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DEX" sheetId="1" r:id="rId5"/>
    <sheet state="visible" name="MASTER" sheetId="2" r:id="rId6"/>
    <sheet state="visible" name=" CPVC PIPE" sheetId="3" r:id="rId7"/>
    <sheet state="visible" name="C Fittings" sheetId="4" r:id="rId8"/>
    <sheet state="visible" name="C Fittings (Brass)" sheetId="5" r:id="rId9"/>
    <sheet state="hidden" name="Brass Cost" sheetId="6" r:id="rId10"/>
    <sheet state="hidden" name="CV" sheetId="7" r:id="rId11"/>
    <sheet state="hidden" name="C Fittings (Without Brass)" sheetId="8" r:id="rId12"/>
    <sheet state="visible" name="UPVC PIPE" sheetId="9" r:id="rId13"/>
    <sheet state="visible" name="U Fittings" sheetId="10" r:id="rId14"/>
    <sheet state="visible" name="U Fittings (Brass)" sheetId="11" r:id="rId15"/>
    <sheet state="hidden" name="U Fittings (Without Brass)" sheetId="12" r:id="rId16"/>
    <sheet state="visible" name="SWR PIPE" sheetId="13" r:id="rId17"/>
    <sheet state="visible" name="SWR Fittings" sheetId="14" r:id="rId18"/>
    <sheet state="visible" name="AGRI PIPE" sheetId="15" r:id="rId19"/>
    <sheet state="visible" name="AGRI Fittings" sheetId="16" r:id="rId20"/>
    <sheet state="visible" name="AGRI SMART PIPE" sheetId="17" r:id="rId21"/>
    <sheet state="visible" name="AGRI SMART Fittings" sheetId="18" r:id="rId22"/>
    <sheet state="visible" name="COLUMN PIPE" sheetId="19" r:id="rId23"/>
    <sheet state="visible" name="CASING PIPE" sheetId="20" r:id="rId24"/>
    <sheet state="visible" name="UGD PIPE" sheetId="21" r:id="rId25"/>
    <sheet state="visible" name="UGD FITTINGS" sheetId="22" r:id="rId26"/>
    <sheet state="visible" name="OPVC PIPE" sheetId="23" r:id="rId27"/>
    <sheet state="visible" name="OPVC FITTINGS" sheetId="24" r:id="rId28"/>
    <sheet state="visible" name="WATER TANK" sheetId="25" r:id="rId29"/>
    <sheet state="visible" name="PPR PIPE" sheetId="26" r:id="rId30"/>
    <sheet state="visible" name="PPR FITTINGS" sheetId="27" r:id="rId31"/>
    <sheet state="visible" name="PE-AL-PE PIPE" sheetId="28" r:id="rId32"/>
    <sheet state="visible" name="PE-AL-PE FITTINGS" sheetId="29" r:id="rId33"/>
    <sheet state="visible" name="TOOL" sheetId="30" r:id="rId34"/>
    <sheet state="hidden" name="PE-AL-PE FITTINGS-2" sheetId="31" r:id="rId35"/>
    <sheet state="hidden" name="WEIGHT CHART" sheetId="32" r:id="rId36"/>
    <sheet state="visible" name="SILENT PIPE" sheetId="33" r:id="rId37"/>
    <sheet state="visible" name="SILENT FITTINGS" sheetId="34" r:id="rId38"/>
    <sheet state="visible" name="Sheet49" sheetId="35" r:id="rId39"/>
    <sheet state="visible" name="HDPE PIPE" sheetId="36" r:id="rId40"/>
    <sheet state="visible" name="PPSU" sheetId="37" r:id="rId41"/>
    <sheet state="visible" name="PEXI PIPE" sheetId="38" r:id="rId42"/>
    <sheet state="visible" name="MDP PIPE" sheetId="39" r:id="rId43"/>
  </sheets>
  <definedNames>
    <definedName hidden="1" localSheetId="26" name="_xlnm._FilterDatabase">'PPR FITTINGS'!$K$3:$K$108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8">
      <text>
        <t xml:space="preserve">348</t>
      </text>
    </comment>
    <comment authorId="0" ref="Q7">
      <text>
        <t xml:space="preserve">226</t>
      </text>
    </comment>
    <comment authorId="0" ref="Q6">
      <text>
        <t xml:space="preserve">156</t>
      </text>
    </comment>
  </commentList>
</comments>
</file>

<file path=xl/sharedStrings.xml><?xml version="1.0" encoding="utf-8"?>
<sst xmlns="http://schemas.openxmlformats.org/spreadsheetml/2006/main" count="19140" uniqueCount="4782">
  <si>
    <t>S.NO.</t>
  </si>
  <si>
    <t>https://docs.google.com/spreadsheets/d/1TX-9XGjxpqHQahWoH9tryIBWer6h9pqOFfc8QE1-51Y/edit#gid=1686480931</t>
  </si>
  <si>
    <t>https://docs.google.com/spreadsheets/d/15fA3q2UYXXJTnJSsdBETDZNP24tMnVOMP19XKJNjnmk/edit#gid=886997750</t>
  </si>
  <si>
    <t>GROUP</t>
  </si>
  <si>
    <t>CODE</t>
  </si>
  <si>
    <t>NAME</t>
  </si>
  <si>
    <t>WEIGHT</t>
  </si>
  <si>
    <t>OLD MRP</t>
  </si>
  <si>
    <t>NEW MRP</t>
  </si>
  <si>
    <t>CPVC PIPE</t>
  </si>
  <si>
    <t>FPP</t>
  </si>
  <si>
    <t>TOTAL</t>
  </si>
  <si>
    <t>PS-1</t>
  </si>
  <si>
    <t xml:space="preserve">Pipe SDR 11 (3 MTR) 1⁄2 inch 15 mm </t>
  </si>
  <si>
    <t>No. of Items</t>
  </si>
  <si>
    <t>Old MRP</t>
  </si>
  <si>
    <t>New MRP</t>
  </si>
  <si>
    <t>Diff.</t>
  </si>
  <si>
    <t>ITEM CODE</t>
  </si>
  <si>
    <t>A-503</t>
  </si>
  <si>
    <t>CPVC FITTING</t>
  </si>
  <si>
    <t>Size (in)</t>
  </si>
  <si>
    <t>PS-2</t>
  </si>
  <si>
    <t xml:space="preserve">Pipe SDR 11 (3 MTR) 3⁄4 inch 20 mm </t>
  </si>
  <si>
    <t>Size (mm)</t>
  </si>
  <si>
    <t>MRP as on 1st May, 2024</t>
  </si>
  <si>
    <t>KG COST</t>
  </si>
  <si>
    <t>PS-3</t>
  </si>
  <si>
    <t xml:space="preserve">Pipe SDR 11 (3 MTR) 1 inch 25 mm </t>
  </si>
  <si>
    <t>PS-4</t>
  </si>
  <si>
    <t xml:space="preserve">Pipe SDR 11 (3 MTR) 1 1⁄4 inch 32 mm </t>
  </si>
  <si>
    <t>Pipe SDR 11 (3 MTR)</t>
  </si>
  <si>
    <t>BRASS</t>
  </si>
  <si>
    <t>PS-5</t>
  </si>
  <si>
    <t xml:space="preserve">Pipe SDR 11 (3 MTR) 1 1⁄2 inch 40 mm </t>
  </si>
  <si>
    <t>WEIGHT WITH BRASS</t>
  </si>
  <si>
    <t>G*250</t>
  </si>
  <si>
    <t>A-504</t>
  </si>
  <si>
    <t>UPVC PIPE</t>
  </si>
  <si>
    <t>PS-6</t>
  </si>
  <si>
    <t xml:space="preserve">Pipe SDR 11 (3 MTR) 2 inch 50 mm </t>
  </si>
  <si>
    <t>H*750</t>
  </si>
  <si>
    <t>K+L</t>
  </si>
  <si>
    <t>1⁄2</t>
  </si>
  <si>
    <t>O/M</t>
  </si>
  <si>
    <t>MRP as on 1st Feb, 2026</t>
  </si>
  <si>
    <t>CONCEALED COST</t>
  </si>
  <si>
    <t>A-702</t>
  </si>
  <si>
    <t>UPVC FITTING</t>
  </si>
  <si>
    <t>PS-7</t>
  </si>
  <si>
    <t xml:space="preserve">Pipe SCH 80 (3 MTR) 2 1⁄2 inch 65 mm </t>
  </si>
  <si>
    <t>3⁄4</t>
  </si>
  <si>
    <t>Elbow 90⁰</t>
  </si>
  <si>
    <t>PS-8</t>
  </si>
  <si>
    <t xml:space="preserve">Pipe SCH 80 (3 MTR) 3 inch 80 mm </t>
  </si>
  <si>
    <t>1 1⁄4</t>
  </si>
  <si>
    <t>1 1⁄2</t>
  </si>
  <si>
    <t>PS-9</t>
  </si>
  <si>
    <t xml:space="preserve">Pipe SCH 80 (3 MTR) 4 inch 100 mm </t>
  </si>
  <si>
    <t>C51</t>
  </si>
  <si>
    <t>A-703</t>
  </si>
  <si>
    <t>SWR PIPE</t>
  </si>
  <si>
    <t>PS-10</t>
  </si>
  <si>
    <t xml:space="preserve">Pipe SCH 80 (3 MTR) 6 inch 150 mm </t>
  </si>
  <si>
    <t>Pipe SCH 80 (3 MTR)</t>
  </si>
  <si>
    <t>A-704</t>
  </si>
  <si>
    <t>SWR FITTING</t>
  </si>
  <si>
    <t>PS-11</t>
  </si>
  <si>
    <t xml:space="preserve">Pipe SDR 13.5 (3 MTR) 1⁄2 inch 15 mm </t>
  </si>
  <si>
    <t>2 1⁄2</t>
  </si>
  <si>
    <t>PS-12</t>
  </si>
  <si>
    <t xml:space="preserve">Pipe SDR 13.5 (3 MTR) 3⁄4 inch 20 mm </t>
  </si>
  <si>
    <t>PS-13</t>
  </si>
  <si>
    <t xml:space="preserve">Pipe SDR 13.5 (3 MTR) 1 inch 25 mm </t>
  </si>
  <si>
    <t>Pipe SDR 11 (5 MTR)</t>
  </si>
  <si>
    <t>PS-1S</t>
  </si>
  <si>
    <t>C52</t>
  </si>
  <si>
    <t>PS-14</t>
  </si>
  <si>
    <t xml:space="preserve">Pipe SDR 13.5 (3 MTR) 1 1⁄4 inch 32 mm </t>
  </si>
  <si>
    <t>PS-2S</t>
  </si>
  <si>
    <t>A-227</t>
  </si>
  <si>
    <t>AGRI PIPE</t>
  </si>
  <si>
    <t>PS-3S</t>
  </si>
  <si>
    <t>PS-4S</t>
  </si>
  <si>
    <t>1</t>
  </si>
  <si>
    <t>C53</t>
  </si>
  <si>
    <t>PS-15</t>
  </si>
  <si>
    <t xml:space="preserve">Pipe SDR 13.5 (3 MTR) 1 1⁄2 inch 40 mm </t>
  </si>
  <si>
    <t>PS-5S</t>
  </si>
  <si>
    <t>A-228</t>
  </si>
  <si>
    <t>AGRI FITTING</t>
  </si>
  <si>
    <t>PS-6S</t>
  </si>
  <si>
    <t>C54</t>
  </si>
  <si>
    <t>PS-16</t>
  </si>
  <si>
    <t xml:space="preserve">Pipe SDR 13.5 (3 MTR) 2 inch 50 mm </t>
  </si>
  <si>
    <t>C55</t>
  </si>
  <si>
    <t>Pipe SCH 80 (5 MTR)</t>
  </si>
  <si>
    <t>A-229</t>
  </si>
  <si>
    <t>AGRI SMART FITTING</t>
  </si>
  <si>
    <t>PS-7S</t>
  </si>
  <si>
    <t>PS-17</t>
  </si>
  <si>
    <t>A-327</t>
  </si>
  <si>
    <t xml:space="preserve">Pipe SCH 40 (3 MTR) 2 1⁄2 inch 65 mm </t>
  </si>
  <si>
    <t>A-328</t>
  </si>
  <si>
    <t>TTS-01</t>
  </si>
  <si>
    <t>A-329</t>
  </si>
  <si>
    <t>TTS-02</t>
  </si>
  <si>
    <t>2</t>
  </si>
  <si>
    <t>A-427</t>
  </si>
  <si>
    <t>C56</t>
  </si>
  <si>
    <t>TTS-03</t>
  </si>
  <si>
    <t>A-428</t>
  </si>
  <si>
    <t>A-429</t>
  </si>
  <si>
    <t>PS-8S</t>
  </si>
  <si>
    <t>PS-18</t>
  </si>
  <si>
    <t xml:space="preserve">Pipe SCH 40 (3 MTR) 3 inch 80 mm </t>
  </si>
  <si>
    <t>PS-9S</t>
  </si>
  <si>
    <t>PS-10S</t>
  </si>
  <si>
    <t>PS-19</t>
  </si>
  <si>
    <t xml:space="preserve">Pipe SCH 40 (3 MTR) 4 inch 100 mm </t>
  </si>
  <si>
    <t>Pipe SDR 13.5 (3 MTR)</t>
  </si>
  <si>
    <t>Elbow 90⁰ (SCH-80)</t>
  </si>
  <si>
    <t>PS-20</t>
  </si>
  <si>
    <t xml:space="preserve">Pipe SCH 40 (3 MTR) 6 inch 150 mm </t>
  </si>
  <si>
    <t>C57</t>
  </si>
  <si>
    <t xml:space="preserve">Pipe SDR 11 (5 MTR) 1⁄2 inch 15 mm </t>
  </si>
  <si>
    <t>C58</t>
  </si>
  <si>
    <t xml:space="preserve">Pipe SDR 11 (5 MTR) 3⁄4 inch 20 mm </t>
  </si>
  <si>
    <t>C59</t>
  </si>
  <si>
    <t>Pipe SCH 40 (3 MTR)</t>
  </si>
  <si>
    <t xml:space="preserve">Pipe SDR 11 (5 MTR) 1 inch 25 mm </t>
  </si>
  <si>
    <t xml:space="preserve">Pipe SDR 11 (5 MTR) 1 1⁄4 inch 32 mm </t>
  </si>
  <si>
    <t>Elbow 90⁰ (SCH-40)</t>
  </si>
  <si>
    <t>Pipe SDR 13.5 (5 MTR)</t>
  </si>
  <si>
    <t>C59N</t>
  </si>
  <si>
    <t xml:space="preserve">Pipe SDR 11 (5 MTR) 1 1⁄2 inch 40 mm </t>
  </si>
  <si>
    <t>PS-11S</t>
  </si>
  <si>
    <t>PS-12S</t>
  </si>
  <si>
    <t>PS-13S</t>
  </si>
  <si>
    <t xml:space="preserve">Pipe SDR 11 (5 MTR) 2 inch 50 mm </t>
  </si>
  <si>
    <t>PS-14S</t>
  </si>
  <si>
    <t>PS-15S</t>
  </si>
  <si>
    <t>PS-16S</t>
  </si>
  <si>
    <t>Reducer Elbow</t>
  </si>
  <si>
    <t>3⁄4 x 1⁄2</t>
  </si>
  <si>
    <t>20x15</t>
  </si>
  <si>
    <t xml:space="preserve">Pipe SCH 80 (5 MTR) 2 1⁄2 inch 65 mm </t>
  </si>
  <si>
    <t>C50</t>
  </si>
  <si>
    <t>Pipe SCH 40 (5 MTR)</t>
  </si>
  <si>
    <t>PS-17S</t>
  </si>
  <si>
    <t xml:space="preserve">Pipe SCH 80 (5 MTR) 3 inch 80 mm </t>
  </si>
  <si>
    <t>PS-18S</t>
  </si>
  <si>
    <t>PS-19S</t>
  </si>
  <si>
    <t>1 x 3⁄4</t>
  </si>
  <si>
    <t>PS-20S</t>
  </si>
  <si>
    <t>25x20</t>
  </si>
  <si>
    <t xml:space="preserve">Pipe SCH 80 (5 MTR) 4 inch 100 mm </t>
  </si>
  <si>
    <t>C532</t>
  </si>
  <si>
    <t xml:space="preserve">Pipe SCH 80 (5 MTR) 6 inch 150 mm </t>
  </si>
  <si>
    <t xml:space="preserve">Pipe SDR 13.5 (5 MTR) 1⁄2 inch 15 mm </t>
  </si>
  <si>
    <t>Elbow 45⁰</t>
  </si>
  <si>
    <t xml:space="preserve">Pipe SDR 13.5 (5 MTR) 3⁄4 inch 20 mm </t>
  </si>
  <si>
    <t>C502</t>
  </si>
  <si>
    <t xml:space="preserve">Pipe SDR 13.5 (5 MTR) 1 inch 25 mm </t>
  </si>
  <si>
    <t>C503</t>
  </si>
  <si>
    <t xml:space="preserve">Pipe SDR 13.5 (5 MTR) 1 1⁄4 inch 32 mm </t>
  </si>
  <si>
    <t>C504</t>
  </si>
  <si>
    <t xml:space="preserve">Pipe SDR 13.5 (5 MTR) 1 1⁄2 inch 40 mm </t>
  </si>
  <si>
    <t>C505</t>
  </si>
  <si>
    <t>C506</t>
  </si>
  <si>
    <t xml:space="preserve">Pipe SDR 13.5 (5 MTR) 2 inch 50 mm </t>
  </si>
  <si>
    <t xml:space="preserve">Pipe SCH 40 (5 MTR) 2 1⁄2 inch 65 mm </t>
  </si>
  <si>
    <t>Tee</t>
  </si>
  <si>
    <t xml:space="preserve">Pipe SCH 40 (5 MTR) 3 inch 80 mm </t>
  </si>
  <si>
    <t>C61</t>
  </si>
  <si>
    <t xml:space="preserve">Pipe SCH 40 (5 MTR) 4 inch 100 mm </t>
  </si>
  <si>
    <t>C62</t>
  </si>
  <si>
    <t xml:space="preserve">Pipe SCH 40 (5 MTR) 6 inch 150 mm </t>
  </si>
  <si>
    <t>C63</t>
  </si>
  <si>
    <t>CPVC Fittings</t>
  </si>
  <si>
    <t xml:space="preserve">Elbow 90⁰ 1⁄2 inch 15 mm </t>
  </si>
  <si>
    <t>C64</t>
  </si>
  <si>
    <t>C65</t>
  </si>
  <si>
    <t xml:space="preserve">Elbow 90⁰ 3⁄4 inch 20 mm </t>
  </si>
  <si>
    <t>C66</t>
  </si>
  <si>
    <t xml:space="preserve">Elbow 90⁰ 1 inch 25 mm </t>
  </si>
  <si>
    <t xml:space="preserve">Elbow 90⁰ 1 1⁄4 inch 32 mm </t>
  </si>
  <si>
    <t>Tee (SCH-80)</t>
  </si>
  <si>
    <t xml:space="preserve">Elbow 90⁰ 1 1⁄2 inch 40 mm </t>
  </si>
  <si>
    <t>C67</t>
  </si>
  <si>
    <t xml:space="preserve">Elbow 90⁰ 2 inch 50 mm </t>
  </si>
  <si>
    <t xml:space="preserve">Elbow 90⁰ (SCH-80) 2 1⁄2 inch 65 mm </t>
  </si>
  <si>
    <t>C68</t>
  </si>
  <si>
    <t xml:space="preserve">Elbow 90⁰ (SCH-80) 3 inch 80 mm </t>
  </si>
  <si>
    <t>C69</t>
  </si>
  <si>
    <t xml:space="preserve">Elbow 90⁰ (SCH-80) 4 inch 100 mm </t>
  </si>
  <si>
    <t xml:space="preserve">Elbow 90⁰ (SCH-40) 6 inch 150 mm </t>
  </si>
  <si>
    <t xml:space="preserve">Reducer Elbow 3⁄4 x 1⁄2 inch 20x15 mm </t>
  </si>
  <si>
    <t>Tee (SCH-40)</t>
  </si>
  <si>
    <t>C69N</t>
  </si>
  <si>
    <t xml:space="preserve">Reducer Elbow 1 x 3⁄4 inch 25x20 mm </t>
  </si>
  <si>
    <t xml:space="preserve">Elbow 45⁰ 3⁄4 inch 20 mm </t>
  </si>
  <si>
    <t>Reducer Tee</t>
  </si>
  <si>
    <t xml:space="preserve">Elbow 45⁰ 1 inch 25 mm </t>
  </si>
  <si>
    <t>3⁄4 x 3⁄4 x 1⁄2</t>
  </si>
  <si>
    <t>20x20x15</t>
  </si>
  <si>
    <t>C221</t>
  </si>
  <si>
    <t xml:space="preserve">Elbow 45⁰ 1 1⁄4 inch 32 mm </t>
  </si>
  <si>
    <t xml:space="preserve">Elbow 45⁰ 1 1⁄2 inch 40 mm </t>
  </si>
  <si>
    <t>1 x 1 x 3⁄4</t>
  </si>
  <si>
    <t>25x25x20</t>
  </si>
  <si>
    <t>C232</t>
  </si>
  <si>
    <t xml:space="preserve">Elbow 45⁰ 2 inch 50 mm </t>
  </si>
  <si>
    <t>1 1⁄4 x 1 1⁄4 x 3⁄4</t>
  </si>
  <si>
    <t>32x32x20</t>
  </si>
  <si>
    <t>C242</t>
  </si>
  <si>
    <t>1 1⁄4 x 1 1⁄4 x 1</t>
  </si>
  <si>
    <t>32x32x25</t>
  </si>
  <si>
    <t>C243</t>
  </si>
  <si>
    <t xml:space="preserve">Tee 1⁄2 inch 15 mm </t>
  </si>
  <si>
    <t>1 1⁄2 x 1 1⁄2 x 3⁄4</t>
  </si>
  <si>
    <t>40x40x20</t>
  </si>
  <si>
    <t>C252</t>
  </si>
  <si>
    <t xml:space="preserve">Tee 3⁄4 inch 20 mm </t>
  </si>
  <si>
    <t>1 1⁄2 x 1 1⁄2 x 1</t>
  </si>
  <si>
    <t>40x40x25</t>
  </si>
  <si>
    <t>C253</t>
  </si>
  <si>
    <t>1 1⁄2 x 1 1⁄2 x 1 1⁄4</t>
  </si>
  <si>
    <t>40x40x32</t>
  </si>
  <si>
    <t>C254</t>
  </si>
  <si>
    <t xml:space="preserve">Tee 1 inch 25 mm </t>
  </si>
  <si>
    <t>2 x 2 x 3⁄4</t>
  </si>
  <si>
    <t>50x50x20</t>
  </si>
  <si>
    <t>C262</t>
  </si>
  <si>
    <t xml:space="preserve">Tee 1 1⁄4 inch 32 mm </t>
  </si>
  <si>
    <t>2 x 2 x 1</t>
  </si>
  <si>
    <t>50x50x25</t>
  </si>
  <si>
    <t>C263</t>
  </si>
  <si>
    <t>2 x 2 x 1 1⁄4</t>
  </si>
  <si>
    <t>50x50x32</t>
  </si>
  <si>
    <t>C264</t>
  </si>
  <si>
    <t xml:space="preserve">Tee 1 1⁄2 inch 40 mm </t>
  </si>
  <si>
    <t>2 x 2 x 1 1⁄2</t>
  </si>
  <si>
    <t>50x50x40</t>
  </si>
  <si>
    <t>C265</t>
  </si>
  <si>
    <t xml:space="preserve">Tee 2 inch 50 mm </t>
  </si>
  <si>
    <t xml:space="preserve">Tee (SCH-80) 2 1⁄2 inch 65 mm </t>
  </si>
  <si>
    <t>Union</t>
  </si>
  <si>
    <t>C32</t>
  </si>
  <si>
    <t xml:space="preserve">Tee (SCH-80) 3 inch 80 mm </t>
  </si>
  <si>
    <t xml:space="preserve">Tee (SCH-80) 4 inch 100 mm </t>
  </si>
  <si>
    <t>C33</t>
  </si>
  <si>
    <t>C34</t>
  </si>
  <si>
    <t xml:space="preserve">Tee (SCH-40) 6 inch 150 mm </t>
  </si>
  <si>
    <t>C35</t>
  </si>
  <si>
    <t>C36</t>
  </si>
  <si>
    <t xml:space="preserve">Reducer Tee 3⁄4 x 3⁄4 x 1⁄2 inch 20x20x15 mm </t>
  </si>
  <si>
    <t>C37</t>
  </si>
  <si>
    <t xml:space="preserve">Reducer Tee 1 x 1 x 3⁄4 inch 25x25x20 mm </t>
  </si>
  <si>
    <t>C38</t>
  </si>
  <si>
    <t xml:space="preserve">Reducer Tee 1 1⁄4 x 1 1⁄4 x 3⁄4 inch 32x32x20 mm </t>
  </si>
  <si>
    <t>C39</t>
  </si>
  <si>
    <t xml:space="preserve">Reducer Tee 1 1⁄4 x 1 1⁄4 x 1 inch 32x32x25 mm </t>
  </si>
  <si>
    <t>Coupling</t>
  </si>
  <si>
    <t xml:space="preserve">Reducer Tee 1 1⁄2 x 1 1⁄2 x 3⁄4 inch 40x40x20 mm </t>
  </si>
  <si>
    <t>C41</t>
  </si>
  <si>
    <t xml:space="preserve">Reducer Tee 1 1⁄2 x 1 1⁄2 x 1 inch 40x40x25 mm </t>
  </si>
  <si>
    <t xml:space="preserve">Reducer Tee 1 1⁄2 x 1 1⁄2 x 1 1⁄4 inch 40x40x32 mm </t>
  </si>
  <si>
    <t>C42</t>
  </si>
  <si>
    <t>C43</t>
  </si>
  <si>
    <t xml:space="preserve">Reducer Tee 2 x 2 x 3⁄4 inch 50x50x20 mm </t>
  </si>
  <si>
    <t>C44</t>
  </si>
  <si>
    <t>C45</t>
  </si>
  <si>
    <t xml:space="preserve">Reducer Tee 2 x 2 x 1 inch 50x50x25 mm </t>
  </si>
  <si>
    <t>C46</t>
  </si>
  <si>
    <t xml:space="preserve">Reducer Tee 2 x 2 x 1 1⁄4 inch 50x50x32 mm </t>
  </si>
  <si>
    <t>Coupling (Sch-80)</t>
  </si>
  <si>
    <t xml:space="preserve">Reducer Tee 2 x 2 x 1 1⁄2 inch 50x50x40 mm </t>
  </si>
  <si>
    <t>C47</t>
  </si>
  <si>
    <t>FPP+</t>
  </si>
  <si>
    <t xml:space="preserve">Union 3⁄4 inch 20 mm </t>
  </si>
  <si>
    <t xml:space="preserve">Union 1 inch 25 mm </t>
  </si>
  <si>
    <t>C48</t>
  </si>
  <si>
    <t>C49</t>
  </si>
  <si>
    <t xml:space="preserve">Union 1 1⁄4 inch 32 mm </t>
  </si>
  <si>
    <t>W*1100</t>
  </si>
  <si>
    <t>F/(K+L)</t>
  </si>
  <si>
    <t xml:space="preserve">Union 1 1⁄2 inch 40 mm </t>
  </si>
  <si>
    <t>BRASS RATE</t>
  </si>
  <si>
    <t>Coupling (Sch-40)</t>
  </si>
  <si>
    <t>Diff. in %age</t>
  </si>
  <si>
    <t>UPDATED BRASS RATE</t>
  </si>
  <si>
    <t>UPDATED BRASS WEIGHT</t>
  </si>
  <si>
    <t>C49N</t>
  </si>
  <si>
    <t xml:space="preserve">Union 2 inch 50 mm </t>
  </si>
  <si>
    <t>Male Adapter Brass Threads</t>
  </si>
  <si>
    <t xml:space="preserve">Union 2 1⁄2 inch 65 mm </t>
  </si>
  <si>
    <t>Reducer Coupling</t>
  </si>
  <si>
    <t>C921</t>
  </si>
  <si>
    <t xml:space="preserve">Union 3 inch 80 mm </t>
  </si>
  <si>
    <t>C932</t>
  </si>
  <si>
    <t>C71</t>
  </si>
  <si>
    <t xml:space="preserve">Union 4 inch 100 mm </t>
  </si>
  <si>
    <t>1 1⁄4 x 3⁄4</t>
  </si>
  <si>
    <t>32x20</t>
  </si>
  <si>
    <t>C942</t>
  </si>
  <si>
    <t>1 1⁄4 x 1</t>
  </si>
  <si>
    <t>32x25</t>
  </si>
  <si>
    <t>C943</t>
  </si>
  <si>
    <t xml:space="preserve">Coupling 1⁄2 inch 15 mm </t>
  </si>
  <si>
    <t>1 1⁄2 x 3⁄4</t>
  </si>
  <si>
    <t>40x20</t>
  </si>
  <si>
    <t>C952</t>
  </si>
  <si>
    <t>1 1⁄2 x 1</t>
  </si>
  <si>
    <t>40x25</t>
  </si>
  <si>
    <t>C953</t>
  </si>
  <si>
    <t xml:space="preserve">Coupling 3⁄4 inch 20 mm </t>
  </si>
  <si>
    <t>1 1⁄2 x 1 1⁄4</t>
  </si>
  <si>
    <t>40x32</t>
  </si>
  <si>
    <t>C954</t>
  </si>
  <si>
    <t>2 x 3⁄4</t>
  </si>
  <si>
    <t>50x20</t>
  </si>
  <si>
    <t>C962</t>
  </si>
  <si>
    <t xml:space="preserve">Coupling 1 inch 25 mm </t>
  </si>
  <si>
    <t>2 x 1</t>
  </si>
  <si>
    <t>50x25</t>
  </si>
  <si>
    <t>C963</t>
  </si>
  <si>
    <t>2 x 1 1⁄4</t>
  </si>
  <si>
    <t>50x32</t>
  </si>
  <si>
    <t>C964</t>
  </si>
  <si>
    <t xml:space="preserve">Coupling 1 1⁄4 inch 32 mm </t>
  </si>
  <si>
    <t>2 x 1 1⁄2</t>
  </si>
  <si>
    <t>50x40</t>
  </si>
  <si>
    <t>C965</t>
  </si>
  <si>
    <t>C72</t>
  </si>
  <si>
    <t xml:space="preserve">Coupling 1 1⁄2 inch 40 mm </t>
  </si>
  <si>
    <t xml:space="preserve">Coupling 2 inch 50 mm </t>
  </si>
  <si>
    <t>Transition Bushing</t>
  </si>
  <si>
    <t>C73</t>
  </si>
  <si>
    <t xml:space="preserve">Coupling (Sch-80) 2 1⁄2 inch 65 mm </t>
  </si>
  <si>
    <t>C74</t>
  </si>
  <si>
    <t>20</t>
  </si>
  <si>
    <t>C702</t>
  </si>
  <si>
    <t xml:space="preserve">Coupling (Sch-80) 3 inch 80 mm </t>
  </si>
  <si>
    <t xml:space="preserve">Coupling (Sch-80) 4 inch 100 mm </t>
  </si>
  <si>
    <t>C75</t>
  </si>
  <si>
    <t>25</t>
  </si>
  <si>
    <t xml:space="preserve">Coupling (Sch-40) 6 inch 150 mm </t>
  </si>
  <si>
    <t>C703</t>
  </si>
  <si>
    <t>C76</t>
  </si>
  <si>
    <t>C703N</t>
  </si>
  <si>
    <t xml:space="preserve">Reducer Coupling 3⁄4 x 1⁄2 inch 20x15 mm </t>
  </si>
  <si>
    <t>1 x 1⁄2</t>
  </si>
  <si>
    <t>25x15</t>
  </si>
  <si>
    <t>C731</t>
  </si>
  <si>
    <t xml:space="preserve">Reducer Coupling 1 x 3⁄4 inch 25x20 mm </t>
  </si>
  <si>
    <t>32</t>
  </si>
  <si>
    <t>C704</t>
  </si>
  <si>
    <t>C732</t>
  </si>
  <si>
    <t xml:space="preserve">Reducer Coupling 1 1⁄4 x 3⁄4 inch 32x20 mm </t>
  </si>
  <si>
    <t xml:space="preserve">Reducer Coupling 1 1⁄4 x 1 inch 32x25 mm </t>
  </si>
  <si>
    <t>End Cap</t>
  </si>
  <si>
    <t xml:space="preserve">Reducer Coupling 1 1⁄2 x 3⁄4 inch 40x20 mm </t>
  </si>
  <si>
    <t>C601</t>
  </si>
  <si>
    <t xml:space="preserve">Reducer Coupling 1 1⁄2 x 1 inch 40x25 mm </t>
  </si>
  <si>
    <t>Female Adapter Brass Threads</t>
  </si>
  <si>
    <t>C602</t>
  </si>
  <si>
    <t xml:space="preserve">Reducer Coupling 1 1⁄2 x 1 1⁄4 inch 40x32 mm </t>
  </si>
  <si>
    <t>C82</t>
  </si>
  <si>
    <t>C603</t>
  </si>
  <si>
    <t>C604</t>
  </si>
  <si>
    <t xml:space="preserve">Reducer Coupling 2 x 3⁄4 inch 50x20 mm </t>
  </si>
  <si>
    <t>C605</t>
  </si>
  <si>
    <t xml:space="preserve">Reducer Coupling 2 x 1 inch 50x25 mm </t>
  </si>
  <si>
    <t>C606</t>
  </si>
  <si>
    <t>C83</t>
  </si>
  <si>
    <t xml:space="preserve">Reducer Coupling 2 x 1 1⁄4 inch 50x32 mm </t>
  </si>
  <si>
    <t>C84</t>
  </si>
  <si>
    <t xml:space="preserve">Reducer Coupling 2 x 1 1⁄2 inch 50x40 mm </t>
  </si>
  <si>
    <t>C85</t>
  </si>
  <si>
    <t>End Cap (Sch-80)</t>
  </si>
  <si>
    <t xml:space="preserve">Transition Bushing 3⁄4 inch 20 mm </t>
  </si>
  <si>
    <t>C86</t>
  </si>
  <si>
    <t>C607</t>
  </si>
  <si>
    <t xml:space="preserve">Transition Bushing 1 inch 25 mm </t>
  </si>
  <si>
    <t>C608</t>
  </si>
  <si>
    <t>Brass Elbow 90⁰</t>
  </si>
  <si>
    <t>C521</t>
  </si>
  <si>
    <t>C609</t>
  </si>
  <si>
    <t xml:space="preserve">Transition Bushing 1 1⁄4 inch 32 mm </t>
  </si>
  <si>
    <t xml:space="preserve">End Cap 1⁄2 inch 15 mm </t>
  </si>
  <si>
    <t>Reducer Bushing</t>
  </si>
  <si>
    <t>C523</t>
  </si>
  <si>
    <t xml:space="preserve">End Cap 3⁄4 inch 20 mm </t>
  </si>
  <si>
    <t>C832</t>
  </si>
  <si>
    <t>C524</t>
  </si>
  <si>
    <t xml:space="preserve">End Cap 1 inch 25 mm </t>
  </si>
  <si>
    <t>1⁄2 x 1⁄2</t>
  </si>
  <si>
    <t>15x15</t>
  </si>
  <si>
    <t>C526</t>
  </si>
  <si>
    <t xml:space="preserve">End Cap 1 1⁄4 inch 32 mm </t>
  </si>
  <si>
    <t>1 1⁄4 x 1⁄2</t>
  </si>
  <si>
    <t>32x15</t>
  </si>
  <si>
    <t>C841</t>
  </si>
  <si>
    <t>3⁄4 x 3⁄4</t>
  </si>
  <si>
    <t>20x20</t>
  </si>
  <si>
    <t>C527</t>
  </si>
  <si>
    <t>C842</t>
  </si>
  <si>
    <t xml:space="preserve">End Cap 1 1⁄2 inch 40 mm </t>
  </si>
  <si>
    <t>1 x 1</t>
  </si>
  <si>
    <t>25x25</t>
  </si>
  <si>
    <t>C528</t>
  </si>
  <si>
    <t>C843</t>
  </si>
  <si>
    <t xml:space="preserve">End Cap 2 inch 50 mm </t>
  </si>
  <si>
    <t>1 1⁄2 x 1⁄2</t>
  </si>
  <si>
    <t>40x15</t>
  </si>
  <si>
    <t>C851</t>
  </si>
  <si>
    <t>1 x 1 1⁄4</t>
  </si>
  <si>
    <t>25x32</t>
  </si>
  <si>
    <t>C529</t>
  </si>
  <si>
    <t xml:space="preserve">End Cap (Sch-80) 2 1⁄2 inch 65 mm </t>
  </si>
  <si>
    <t>C852</t>
  </si>
  <si>
    <t xml:space="preserve">End Cap (Sch-80) 3 inch 80 mm </t>
  </si>
  <si>
    <t>C853</t>
  </si>
  <si>
    <t>C854</t>
  </si>
  <si>
    <t>Reducer Brass Tee</t>
  </si>
  <si>
    <t xml:space="preserve">End Cap (Sch-80) 4 inch 100 mm </t>
  </si>
  <si>
    <t>C862</t>
  </si>
  <si>
    <t>1⁄2 x 1⁄2 x 1⁄2</t>
  </si>
  <si>
    <t>15x15x15</t>
  </si>
  <si>
    <t>C321</t>
  </si>
  <si>
    <t xml:space="preserve">Reducer Bushing 1 x 3⁄4 inch 25x20 mm </t>
  </si>
  <si>
    <t>C863</t>
  </si>
  <si>
    <t xml:space="preserve">Reducer Bushing 1 1⁄4 x 1⁄2 inch 32x15 mm </t>
  </si>
  <si>
    <t>C864</t>
  </si>
  <si>
    <t>C865</t>
  </si>
  <si>
    <t xml:space="preserve">Reducer Bushing 1 1⁄4 x 3⁄4 inch 32x20 mm </t>
  </si>
  <si>
    <t>C322</t>
  </si>
  <si>
    <t xml:space="preserve">Reducer Bushing 1 1⁄4 x 1 inch 32x25 mm </t>
  </si>
  <si>
    <t>1 x 1 x 1⁄2</t>
  </si>
  <si>
    <t>25x25x15</t>
  </si>
  <si>
    <t>C323</t>
  </si>
  <si>
    <t xml:space="preserve">Reducer Bushing 1 1⁄2 x 1⁄2 inch 40x15 mm </t>
  </si>
  <si>
    <t>Reducer Bushing (SCH-80)</t>
  </si>
  <si>
    <t>1 x 1 x 1</t>
  </si>
  <si>
    <t>25x25x25</t>
  </si>
  <si>
    <t>C324</t>
  </si>
  <si>
    <t>2 1⁄2 x 1 1⁄2</t>
  </si>
  <si>
    <t>65x40</t>
  </si>
  <si>
    <t>C875</t>
  </si>
  <si>
    <t xml:space="preserve">Reducer Bushing 1 1⁄2 x 3⁄4 inch 40x20 mm </t>
  </si>
  <si>
    <t>3⁄4 x 3⁄4 x 3⁄4</t>
  </si>
  <si>
    <t>20x20x20</t>
  </si>
  <si>
    <t>C333</t>
  </si>
  <si>
    <t xml:space="preserve">Reducer Bushing 1 1⁄2 x 1 inch 40x25 mm </t>
  </si>
  <si>
    <t>2 1⁄2 x 2</t>
  </si>
  <si>
    <t>65x50</t>
  </si>
  <si>
    <t>C876</t>
  </si>
  <si>
    <t>1 1⁄4 x 1 1⁄4 x 1⁄2</t>
  </si>
  <si>
    <t>32x32x15</t>
  </si>
  <si>
    <t>C342</t>
  </si>
  <si>
    <t>3 x 2</t>
  </si>
  <si>
    <t>80x50</t>
  </si>
  <si>
    <t>C886</t>
  </si>
  <si>
    <t xml:space="preserve">Reducer Bushing 1 1⁄2 x 1 1⁄4 inch 40x32 mm </t>
  </si>
  <si>
    <t>03.08.26</t>
  </si>
  <si>
    <t>1 1⁄4 x 1 1⁄4 x 1 1⁄4</t>
  </si>
  <si>
    <t>32x32x32</t>
  </si>
  <si>
    <t>C344</t>
  </si>
  <si>
    <t>3 x 2 1⁄2</t>
  </si>
  <si>
    <t>80x65</t>
  </si>
  <si>
    <t>C887</t>
  </si>
  <si>
    <t>MABT</t>
  </si>
  <si>
    <t>CONVERSION RATE</t>
  </si>
  <si>
    <t xml:space="preserve">Reducer Bushing 2 x 3⁄4 inch 50x20 mm </t>
  </si>
  <si>
    <t>4 x 2</t>
  </si>
  <si>
    <t>FABT/MTA/FTA</t>
  </si>
  <si>
    <t>100x50</t>
  </si>
  <si>
    <t>C896</t>
  </si>
  <si>
    <t>ITEM</t>
  </si>
  <si>
    <t>concelad body</t>
  </si>
  <si>
    <t>4 x 3</t>
  </si>
  <si>
    <t>100x80</t>
  </si>
  <si>
    <t xml:space="preserve">Reducer Bushing 2 x 1 inch 50x25 mm </t>
  </si>
  <si>
    <t>C897</t>
  </si>
  <si>
    <t>PLB25</t>
  </si>
  <si>
    <t>22X1.5 RING</t>
  </si>
  <si>
    <t>PLB338</t>
  </si>
  <si>
    <t>28X1.5 RING</t>
  </si>
  <si>
    <t>PLB23</t>
  </si>
  <si>
    <t>4 x 2 1⁄2</t>
  </si>
  <si>
    <t>100x65</t>
  </si>
  <si>
    <t>C898</t>
  </si>
  <si>
    <t>1/2" RNG</t>
  </si>
  <si>
    <t xml:space="preserve">Reducer Bushing 2 x 1 1⁄4 inch 50x32 mm </t>
  </si>
  <si>
    <t>Reducer Brass Coupling</t>
  </si>
  <si>
    <t>C920</t>
  </si>
  <si>
    <t>C930</t>
  </si>
  <si>
    <t>U521</t>
  </si>
  <si>
    <t>U523</t>
  </si>
  <si>
    <t>U526</t>
  </si>
  <si>
    <t>U321</t>
  </si>
  <si>
    <t>U322</t>
  </si>
  <si>
    <t>U323</t>
  </si>
  <si>
    <t>U81</t>
  </si>
  <si>
    <t xml:space="preserve">Reducer Bushing 2 x 1 1⁄2 inch 50x40 mm </t>
  </si>
  <si>
    <t>U920</t>
  </si>
  <si>
    <t>U930</t>
  </si>
  <si>
    <t>PLB24</t>
  </si>
  <si>
    <t>3/4" RING</t>
  </si>
  <si>
    <t>C940</t>
  </si>
  <si>
    <t>U524</t>
  </si>
  <si>
    <t>U527</t>
  </si>
  <si>
    <t>U324</t>
  </si>
  <si>
    <t>U82</t>
  </si>
  <si>
    <t>Male Adapter Plastic Threads</t>
  </si>
  <si>
    <t>PLB27</t>
  </si>
  <si>
    <t xml:space="preserve">Reducer Bushing (SCH-80) 2 1⁄2 x 1 1⁄2 inch 65x40 mm </t>
  </si>
  <si>
    <t>1" RING</t>
  </si>
  <si>
    <t>U83</t>
  </si>
  <si>
    <t>PLB28</t>
  </si>
  <si>
    <t>1-1/4" RING</t>
  </si>
  <si>
    <t>PLB12</t>
  </si>
  <si>
    <t>1/2" MABT</t>
  </si>
  <si>
    <t>C101</t>
  </si>
  <si>
    <t>PLB13</t>
  </si>
  <si>
    <t xml:space="preserve">Reducer Bushing (SCH-80) 2 1⁄2 x 2 inch 65x50 mm </t>
  </si>
  <si>
    <t>3/4" MABT</t>
  </si>
  <si>
    <t>PLB14</t>
  </si>
  <si>
    <t>1" MABT</t>
  </si>
  <si>
    <t>PLB15</t>
  </si>
  <si>
    <t>1-1/4" MABT</t>
  </si>
  <si>
    <t>27.07.26</t>
  </si>
  <si>
    <t>PLB16</t>
  </si>
  <si>
    <t>1-1/2" MABT</t>
  </si>
  <si>
    <t>PLB17</t>
  </si>
  <si>
    <t>2" MABT</t>
  </si>
  <si>
    <t>PLB18</t>
  </si>
  <si>
    <t>3/4" FABT</t>
  </si>
  <si>
    <t>PLB19</t>
  </si>
  <si>
    <t>1" FABT</t>
  </si>
  <si>
    <t>PLB20</t>
  </si>
  <si>
    <t>1-1/4" FABT</t>
  </si>
  <si>
    <t xml:space="preserve">Reducer Bushing (SCH-80) 3 x 2 inch 80x50 mm </t>
  </si>
  <si>
    <t>PLB21</t>
  </si>
  <si>
    <t>1-1/2" FABT</t>
  </si>
  <si>
    <t>PLB22</t>
  </si>
  <si>
    <t>2" FABT</t>
  </si>
  <si>
    <t>U70</t>
  </si>
  <si>
    <t>PLB29</t>
  </si>
  <si>
    <t>1/2" MTA</t>
  </si>
  <si>
    <t>U71</t>
  </si>
  <si>
    <t>U731</t>
  </si>
  <si>
    <t>U72</t>
  </si>
  <si>
    <t>PLB30</t>
  </si>
  <si>
    <t>3/4" MTA</t>
  </si>
  <si>
    <t>U73</t>
  </si>
  <si>
    <t>PLB31</t>
  </si>
  <si>
    <t>1" MTA</t>
  </si>
  <si>
    <t>U74</t>
  </si>
  <si>
    <t>PLB32</t>
  </si>
  <si>
    <t>1-1/4" MTA</t>
  </si>
  <si>
    <t>U75</t>
  </si>
  <si>
    <t>PLB33</t>
  </si>
  <si>
    <t>1-1/2" MTA</t>
  </si>
  <si>
    <t>U76</t>
  </si>
  <si>
    <t>PLB34</t>
  </si>
  <si>
    <t>2" MTA</t>
  </si>
  <si>
    <t>U84</t>
  </si>
  <si>
    <t>PLB36</t>
  </si>
  <si>
    <t>1-1/4" FTA</t>
  </si>
  <si>
    <t>U85</t>
  </si>
  <si>
    <t>PLB35</t>
  </si>
  <si>
    <t>1-1/2" FTA</t>
  </si>
  <si>
    <t>U86</t>
  </si>
  <si>
    <t>PLB37</t>
  </si>
  <si>
    <t>2" FTA</t>
  </si>
  <si>
    <t xml:space="preserve">Reducer Bushing (SCH-80) 3 x 2 1⁄2 inch 80x65 mm </t>
  </si>
  <si>
    <t>C102</t>
  </si>
  <si>
    <t>C103</t>
  </si>
  <si>
    <t xml:space="preserve">Reducer Bushing (SCH-80) 4 x 2 inch 100x50 mm </t>
  </si>
  <si>
    <t>C104</t>
  </si>
  <si>
    <t xml:space="preserve">Reducer Bushing (SCH-80) 4 x 3 inch 100x80 mm </t>
  </si>
  <si>
    <t>C105</t>
  </si>
  <si>
    <t>C106</t>
  </si>
  <si>
    <t xml:space="preserve">Reducer Bushing (SCH-80) 4 x 2 1⁄2 inch 100x65 mm </t>
  </si>
  <si>
    <t>C131</t>
  </si>
  <si>
    <t xml:space="preserve">Male Adapter Plastic Threads 3⁄4 x 1⁄2 inch 20x15 mm </t>
  </si>
  <si>
    <t>C132</t>
  </si>
  <si>
    <t>Brass Elbow 3 in 1 Mixer</t>
  </si>
  <si>
    <t xml:space="preserve">Male Adapter Plastic Threads 3⁄4 inch 20 mm </t>
  </si>
  <si>
    <t>CM21</t>
  </si>
  <si>
    <t xml:space="preserve">Male Adapter Plastic Threads 1 inch 25 mm </t>
  </si>
  <si>
    <t>Male Adapter Plastic Threads (SCH-80)</t>
  </si>
  <si>
    <t>Old ItemCode</t>
  </si>
  <si>
    <t>Sap FG ItemName</t>
  </si>
  <si>
    <t>Components Old Code</t>
  </si>
  <si>
    <t>Components Item Name</t>
  </si>
  <si>
    <t>Component Quantity</t>
  </si>
  <si>
    <t>Component UOM</t>
  </si>
  <si>
    <t>Price</t>
  </si>
  <si>
    <t xml:space="preserve">Male Adapter Plastic Threads 1 1⁄4 inch 32 mm </t>
  </si>
  <si>
    <t>TOTAL PRICE</t>
  </si>
  <si>
    <t>CHA-72F2</t>
  </si>
  <si>
    <t>C107</t>
  </si>
  <si>
    <t>20 MM CONCEALED ACCESSORIES(HANDLE +SLEEVE+FLANGE)</t>
  </si>
  <si>
    <t xml:space="preserve">Male Adapter Plastic Threads 1 1⁄2 inch 40 mm </t>
  </si>
  <si>
    <t>PLB167</t>
  </si>
  <si>
    <t>HANDLE TRANQUIL 73</t>
  </si>
  <si>
    <t>NOS</t>
  </si>
  <si>
    <t>CM22</t>
  </si>
  <si>
    <t>C108</t>
  </si>
  <si>
    <t>PLB188</t>
  </si>
  <si>
    <t xml:space="preserve">Male Adapter Plastic Threads 2 inch 50 mm </t>
  </si>
  <si>
    <t>CSC SLEEV 79/79F PLATED</t>
  </si>
  <si>
    <t>PLB227</t>
  </si>
  <si>
    <t>CSC FLANGE</t>
  </si>
  <si>
    <t>C109</t>
  </si>
  <si>
    <t>CM23</t>
  </si>
  <si>
    <t>PLB184</t>
  </si>
  <si>
    <t>CONCEALED VALVE MONO BOX</t>
  </si>
  <si>
    <t>CH72QS</t>
  </si>
  <si>
    <t>3/4 INCH CPVC TRIANGULARCONCEALED VALVE (QT)</t>
  </si>
  <si>
    <t>PLB174</t>
  </si>
  <si>
    <t>FLANGE FOR CSC 7 SERIES POLISHED</t>
  </si>
  <si>
    <t xml:space="preserve">Male Adapter Plastic Threads 1 x 1⁄2 inch 25x15 mm </t>
  </si>
  <si>
    <t>PLMS1</t>
  </si>
  <si>
    <t>CONCELED VALVE CPVC</t>
  </si>
  <si>
    <t>PLB176</t>
  </si>
  <si>
    <t>SEAL 32 X 24.8 X 5.5</t>
  </si>
  <si>
    <t>CM24</t>
  </si>
  <si>
    <t>PLB179</t>
  </si>
  <si>
    <t>SS SCREW 3X16</t>
  </si>
  <si>
    <t>PLB277</t>
  </si>
  <si>
    <t>Q/T FITTING 22X1.5 CSC SMALL</t>
  </si>
  <si>
    <t>PLB180</t>
  </si>
  <si>
    <t>TRINGULAR HANDLE (BOP)</t>
  </si>
  <si>
    <t>CH74QS</t>
  </si>
  <si>
    <t>3/4 INCH CPVC MACASA CONCEALED VALVE (QT)</t>
  </si>
  <si>
    <t>CM25</t>
  </si>
  <si>
    <t xml:space="preserve">Male Adapter Plastic Threads 1 x 3⁄4 inch 25x20 mm </t>
  </si>
  <si>
    <t>Female Adapter Plastic Threads</t>
  </si>
  <si>
    <t>PLB177</t>
  </si>
  <si>
    <t>ALLEN SCREW M-5</t>
  </si>
  <si>
    <t>PLB178</t>
  </si>
  <si>
    <t>ALLEN KEY 2.5MM</t>
  </si>
  <si>
    <t>PLB186</t>
  </si>
  <si>
    <t>INDICATOR SILICON</t>
  </si>
  <si>
    <t>PLB168</t>
  </si>
  <si>
    <t>HANDLE GRACIA 74</t>
  </si>
  <si>
    <t>CH76QS</t>
  </si>
  <si>
    <t>C90</t>
  </si>
  <si>
    <t xml:space="preserve">Male Adapter Plastic Threads (SCH-80) 2 1⁄2 inch 65 mm </t>
  </si>
  <si>
    <t>C91</t>
  </si>
  <si>
    <t>CM31</t>
  </si>
  <si>
    <t xml:space="preserve">Male Adapter Plastic Threads (SCH-80) 3 inch 80 mm </t>
  </si>
  <si>
    <t>C92</t>
  </si>
  <si>
    <t>C93</t>
  </si>
  <si>
    <t xml:space="preserve">Male Adapter Plastic Threads (SCH-80) 4 inch 100 mm </t>
  </si>
  <si>
    <t>C94</t>
  </si>
  <si>
    <t xml:space="preserve">Female Adapter Plastic Threads 3⁄4 x 1⁄2 inch 20x15 mm </t>
  </si>
  <si>
    <t>C95</t>
  </si>
  <si>
    <t>CM32</t>
  </si>
  <si>
    <t xml:space="preserve">Female Adapter Plastic Threads 1 x 3⁄4 inch 25x20 mm </t>
  </si>
  <si>
    <t>C96</t>
  </si>
  <si>
    <t>CM33</t>
  </si>
  <si>
    <t xml:space="preserve">Female Adapter Plastic Threads 3⁄4 inch 20 mm </t>
  </si>
  <si>
    <t>CM34</t>
  </si>
  <si>
    <t>Female Adapter Plastic Threads (SCH-80)</t>
  </si>
  <si>
    <t xml:space="preserve">Female Adapter Plastic Threads 1 inch 25 mm </t>
  </si>
  <si>
    <t>CM35</t>
  </si>
  <si>
    <t>C97</t>
  </si>
  <si>
    <t xml:space="preserve">Female Adapter Plastic Threads 1 1⁄4 inch 32 mm </t>
  </si>
  <si>
    <t>CH78QS</t>
  </si>
  <si>
    <t>3/4 INCH CPVC URBONA CONCEALED VALVE (QT)</t>
  </si>
  <si>
    <t xml:space="preserve">Female Adapter Plastic Threads 1 1⁄2 inch 40 mm </t>
  </si>
  <si>
    <t>PLB170</t>
  </si>
  <si>
    <t>HANDLE URBONA 78</t>
  </si>
  <si>
    <t>CH79QS</t>
  </si>
  <si>
    <t>C98</t>
  </si>
  <si>
    <t>3/4 INCH CPVC VIVA CONCEALED VALVE (QT)</t>
  </si>
  <si>
    <t>C99</t>
  </si>
  <si>
    <t xml:space="preserve">Female Adapter Plastic Threads 2 inch 50 mm </t>
  </si>
  <si>
    <t>PLB171</t>
  </si>
  <si>
    <t>HANDLE SAGA 79F</t>
  </si>
  <si>
    <t>CH80QS</t>
  </si>
  <si>
    <t>Brass Elbow Kitchen Mixer</t>
  </si>
  <si>
    <t>PLB175</t>
  </si>
  <si>
    <t>TIKKI WAVES/VIVA</t>
  </si>
  <si>
    <t xml:space="preserve">Female Adapter Plastic Threads (SCH-80) 2 1⁄2 inch 65 mm </t>
  </si>
  <si>
    <t>CM26</t>
  </si>
  <si>
    <t>PLB166</t>
  </si>
  <si>
    <t>HANDLE VIVA 72</t>
  </si>
  <si>
    <t>CH72F</t>
  </si>
  <si>
    <t>CONCEALED VALVE TRIANGULER FULL TURN 20 MM</t>
  </si>
  <si>
    <t>Cross Tee</t>
  </si>
  <si>
    <t>PLMS2</t>
  </si>
  <si>
    <t>3/4 INCH CONCELED VALVE BODY CPVC</t>
  </si>
  <si>
    <t xml:space="preserve">Female Adapter Plastic Threads (SCH-80) 3 inch 80 mm </t>
  </si>
  <si>
    <t>PLB226</t>
  </si>
  <si>
    <t>3/4 INCH CSC FITTING FT</t>
  </si>
  <si>
    <t>CH74F</t>
  </si>
  <si>
    <t>CONCEALED VALVE GRACIA FULL TURN 20 MM</t>
  </si>
  <si>
    <t>C320</t>
  </si>
  <si>
    <t xml:space="preserve">Female Adapter Plastic Threads (SCH-80) 4 inch 100 mm </t>
  </si>
  <si>
    <t>C330</t>
  </si>
  <si>
    <t xml:space="preserve">Cross Tee 3⁄4 inch 20 mm </t>
  </si>
  <si>
    <t>CH76F</t>
  </si>
  <si>
    <t>CONCEALED VALVE MACASA FULL TURN 20 MM</t>
  </si>
  <si>
    <t>Long Concealed Valve (Quarter Turn)</t>
  </si>
  <si>
    <t xml:space="preserve">Cross Tee 1 inch 25 mm </t>
  </si>
  <si>
    <t>PLB169</t>
  </si>
  <si>
    <t>HANDLE MACASA 76 (PR-244)</t>
  </si>
  <si>
    <t>CH78F</t>
  </si>
  <si>
    <t>CONCEALED VALVE URBONA FULL TURN 20 MM</t>
  </si>
  <si>
    <t>NON RETURN VALVE</t>
  </si>
  <si>
    <t>VIVA</t>
  </si>
  <si>
    <t>C133</t>
  </si>
  <si>
    <t>CH80</t>
  </si>
  <si>
    <t>CH79F</t>
  </si>
  <si>
    <t>CONCEALED VALVE SAGA FULL TURN 20 MM</t>
  </si>
  <si>
    <t>CH80F</t>
  </si>
  <si>
    <t>NEW</t>
  </si>
  <si>
    <t>CONCEALED VALVE VIVA FULL TURN 20 MM</t>
  </si>
  <si>
    <t>C134</t>
  </si>
  <si>
    <t>C135</t>
  </si>
  <si>
    <t>PLB187</t>
  </si>
  <si>
    <t>CSC SLEEV BIG PLATED</t>
  </si>
  <si>
    <t>CH82F</t>
  </si>
  <si>
    <t>SAGA</t>
  </si>
  <si>
    <t>CH79</t>
  </si>
  <si>
    <t>C22</t>
  </si>
  <si>
    <t xml:space="preserve">Ball Valve Butterfly Handle 3⁄4 inch 20 mm </t>
  </si>
  <si>
    <t>25 MM FULL TURN CONCEALED VALVE TRIANGULER</t>
  </si>
  <si>
    <t>PLMS664</t>
  </si>
  <si>
    <t>1"CONCELEAD VALVE BODY</t>
  </si>
  <si>
    <t>C23</t>
  </si>
  <si>
    <t xml:space="preserve">Ball Valve Butterfly Handle 1 inch 25 mm </t>
  </si>
  <si>
    <t>PLB345</t>
  </si>
  <si>
    <t>28X1.5 FULL TURN FITTING (CONCEALED)</t>
  </si>
  <si>
    <t>PCS</t>
  </si>
  <si>
    <t>URBONA</t>
  </si>
  <si>
    <t>CH86F</t>
  </si>
  <si>
    <t>CH78</t>
  </si>
  <si>
    <t>25 MM FULL TURN CONCEALED VALVE MACASA</t>
  </si>
  <si>
    <t>Ball Valve Butterfly Handle</t>
  </si>
  <si>
    <t>C24</t>
  </si>
  <si>
    <t xml:space="preserve">Ball Valve Butterfly Handle 1 1⁄4 inch 32 mm </t>
  </si>
  <si>
    <t>MACASA</t>
  </si>
  <si>
    <t>CH76</t>
  </si>
  <si>
    <t>CH88F</t>
  </si>
  <si>
    <t>25 MM FULL TURN CONCEALED VALVE URBONA</t>
  </si>
  <si>
    <t>C25</t>
  </si>
  <si>
    <t xml:space="preserve">Ball Valve Butterfly Handle 1 1⁄2 inch 40 mm </t>
  </si>
  <si>
    <t>GRACIA</t>
  </si>
  <si>
    <t>CH74</t>
  </si>
  <si>
    <t>CH90F</t>
  </si>
  <si>
    <t>25 MM FULL TURN CONCEALED VALVE VIVA</t>
  </si>
  <si>
    <t>C26</t>
  </si>
  <si>
    <t xml:space="preserve">Ball Valve Butterfly Handle 2 inch 50 mm </t>
  </si>
  <si>
    <t>TRIANGULER</t>
  </si>
  <si>
    <t>CH72</t>
  </si>
  <si>
    <t>CHQ-02</t>
  </si>
  <si>
    <t>QUARTER TURN LONG SPINDLE</t>
  </si>
  <si>
    <t>PLB182</t>
  </si>
  <si>
    <t>Q/T 22X1.5 CSC FITTING BIG</t>
  </si>
  <si>
    <t>UH72-S</t>
  </si>
  <si>
    <t>SHORT CONCEALED VALVE TRIANGULER QUARTER TURN 20 MM</t>
  </si>
  <si>
    <t xml:space="preserve">Male Adapter Brass Threads 3⁄4 x 1⁄2 inch 20x15 mm </t>
  </si>
  <si>
    <t>PLMS273</t>
  </si>
  <si>
    <t>3/4" CONCEALED VALVE UPVC</t>
  </si>
  <si>
    <t>UH74-S</t>
  </si>
  <si>
    <t>3/4 INCH UPVC GREACIA CONCEALED VALVE</t>
  </si>
  <si>
    <t xml:space="preserve">Male Adapter Brass Threads 3⁄4 inch 20 mm </t>
  </si>
  <si>
    <t>UH76-S</t>
  </si>
  <si>
    <t>SHORT CONCEALED VALVE MACASA QUARTER TURN 20 MM</t>
  </si>
  <si>
    <t xml:space="preserve">Male Adapter Brass Threads 1 inch 25 mm </t>
  </si>
  <si>
    <t>Full Turn Concealed Valve</t>
  </si>
  <si>
    <t>UH78-S</t>
  </si>
  <si>
    <t>SHORT CONCEALED VALVE URBONA QUARTER TURN 20 MM</t>
  </si>
  <si>
    <t xml:space="preserve">Male Adapter Brass Threads 1 1⁄4 inch 32 mm </t>
  </si>
  <si>
    <t>UH79-S</t>
  </si>
  <si>
    <t>SHORT CONCEALED VALVE SPA QUARTER TURN 20 MM</t>
  </si>
  <si>
    <t>CH80 F</t>
  </si>
  <si>
    <t xml:space="preserve">Male Adapter Brass Threads 1 1⁄2 inch 40 mm </t>
  </si>
  <si>
    <t xml:space="preserve">Male Adapter Brass Threads 2 inch 50 mm </t>
  </si>
  <si>
    <t>UH80-S</t>
  </si>
  <si>
    <t>SHORT CONCEALED VALVE VIVA QUARTER TURN 20 MM</t>
  </si>
  <si>
    <t xml:space="preserve">Male Adapter Brass Threads 1 x 1⁄2 inch 25x15 mm </t>
  </si>
  <si>
    <t>UH82-S</t>
  </si>
  <si>
    <t>SHORT CONCEALED VALVE TRIANGULER QUARTER TURN 15 MM</t>
  </si>
  <si>
    <t>CH79 F</t>
  </si>
  <si>
    <t xml:space="preserve">Male Adapter Brass Threads 1 x 3⁄4 inch 25x20 mm </t>
  </si>
  <si>
    <t>U821</t>
  </si>
  <si>
    <t>REDUCER BUSHING SCH80 20 X 15 MM</t>
  </si>
  <si>
    <t>UH84-S</t>
  </si>
  <si>
    <t>SHORT CONCEALED VALVE GRACIA QUARTER TURN 15 MM</t>
  </si>
  <si>
    <t>CH78 F</t>
  </si>
  <si>
    <t xml:space="preserve">Female Adapter Brass Threads 3⁄4 inch 20 mm </t>
  </si>
  <si>
    <t>CH76 F</t>
  </si>
  <si>
    <t xml:space="preserve">Female Adapter Brass Threads 1 inch 25 mm </t>
  </si>
  <si>
    <t>UH86-S</t>
  </si>
  <si>
    <t>SHORT CONCEALED VALVE MACASA QUARTER TURN 15 MM</t>
  </si>
  <si>
    <t>CH74 F</t>
  </si>
  <si>
    <t xml:space="preserve">Female Adapter Brass Threads 1 1⁄4 inch 32 mm </t>
  </si>
  <si>
    <t>CH72 F</t>
  </si>
  <si>
    <t>UH88-S</t>
  </si>
  <si>
    <t>SHORT CONCEALED VALVE URBONA QUARTER TURN 15 MM</t>
  </si>
  <si>
    <t xml:space="preserve">Female Adapter Brass Threads 1 1⁄2 inch 40 mm </t>
  </si>
  <si>
    <t xml:space="preserve">Female Adapter Brass Threads 2 inch 50 mm </t>
  </si>
  <si>
    <t>UH89-S</t>
  </si>
  <si>
    <t>SHORT CONCEALED VALVE SPA QUARTER TURN 15 MM</t>
  </si>
  <si>
    <t>C22L</t>
  </si>
  <si>
    <t xml:space="preserve">Ball Valve Long Lever Handle 3⁄4 inch 20 mm </t>
  </si>
  <si>
    <t>Short Concealed Valve (Quarter Turn)</t>
  </si>
  <si>
    <t>UH90-S</t>
  </si>
  <si>
    <t>SHORT CONCEALED VALVE VIVA QUARTER TURN 15 MM</t>
  </si>
  <si>
    <t>C23L</t>
  </si>
  <si>
    <t xml:space="preserve">Ball Valve Long Lever Handle 1 inch 25 mm </t>
  </si>
  <si>
    <t>CH80 QS</t>
  </si>
  <si>
    <t>C24L</t>
  </si>
  <si>
    <t xml:space="preserve">Ball Valve Long Lever Handle 1 1⁄4 inch 32 mm </t>
  </si>
  <si>
    <t>LONG CONCEALED VALVE TRIANGULER QUARTER TURN 20 MM</t>
  </si>
  <si>
    <t>C25L</t>
  </si>
  <si>
    <t xml:space="preserve">Ball Valve Long Lever Handle 1 1⁄2 inch 40 mm </t>
  </si>
  <si>
    <t>LONG CONCEALED VALVE GRACIA QUARTER TURN 20 MM</t>
  </si>
  <si>
    <t>C26L</t>
  </si>
  <si>
    <t xml:space="preserve">Ball Valve Long Lever Handle 2 inch 50 mm </t>
  </si>
  <si>
    <t>CH79 QS</t>
  </si>
  <si>
    <t>LONG CONCEALED VALVE MACASA QUARTER TURN 20 MM</t>
  </si>
  <si>
    <t>C272</t>
  </si>
  <si>
    <t xml:space="preserve">Tank Nipple 3⁄4 inch 20 mm </t>
  </si>
  <si>
    <t>CH78 QS</t>
  </si>
  <si>
    <t>CH76 QS</t>
  </si>
  <si>
    <t>C273</t>
  </si>
  <si>
    <t>3/4 INCH CPVC URBONA CONCEALED VALVE CH78</t>
  </si>
  <si>
    <t xml:space="preserve">Tank Nipple 1 inch 25 mm </t>
  </si>
  <si>
    <t>Ball Valve Long Lever Handle</t>
  </si>
  <si>
    <t>CH74 QS</t>
  </si>
  <si>
    <t>C274</t>
  </si>
  <si>
    <t xml:space="preserve">Tank Nipple 1 1⁄4 inch 32 mm </t>
  </si>
  <si>
    <t>LONG CONCEALED VALVE SAGA QUARTER TURN 20 MM</t>
  </si>
  <si>
    <t>CH72 QS</t>
  </si>
  <si>
    <t>C275</t>
  </si>
  <si>
    <t xml:space="preserve">Tank Nipple 1 1⁄2 inch 40 mm </t>
  </si>
  <si>
    <t>LONG CONCEALED VALVE VIVA QUARTER TURN 20 MM</t>
  </si>
  <si>
    <t>C276</t>
  </si>
  <si>
    <t xml:space="preserve">Tank Nipple 2 inch 50 mm </t>
  </si>
  <si>
    <t>CH84</t>
  </si>
  <si>
    <t>25MM CONCEALED VALVE QUARTER TURN.WITH GRACIA HANDLE</t>
  </si>
  <si>
    <t>PLB340</t>
  </si>
  <si>
    <t>M28X1.5 QTR TURN FITTING (CONSEALED)</t>
  </si>
  <si>
    <t>C272N</t>
  </si>
  <si>
    <t xml:space="preserve">Tank Connector 3⁄4 inch 20 mm </t>
  </si>
  <si>
    <t>Tank Nipple</t>
  </si>
  <si>
    <t>CH86</t>
  </si>
  <si>
    <t>25MM CONCEALED VALVE QUARTER TURN.WITH MACASA HANDLE</t>
  </si>
  <si>
    <t>C273N</t>
  </si>
  <si>
    <t xml:space="preserve">Tank Connector 1 inch 25 mm </t>
  </si>
  <si>
    <t>CH90 F</t>
  </si>
  <si>
    <t>CH88</t>
  </si>
  <si>
    <t>25MM CONCEALED VALVE QUARTER TURN.WITH URBONA HANDLE</t>
  </si>
  <si>
    <t>C274N</t>
  </si>
  <si>
    <t xml:space="preserve">Tank Connector 1 1⁄4 inch 32 mm </t>
  </si>
  <si>
    <t>CH89</t>
  </si>
  <si>
    <t>25MM CONCEALED VALVE QUARTER TURN.WITH SAGA HANDLE</t>
  </si>
  <si>
    <t>CH89 F</t>
  </si>
  <si>
    <t>C275N</t>
  </si>
  <si>
    <t xml:space="preserve">Tank Connector 1 1⁄2 inch 40 mm </t>
  </si>
  <si>
    <t>CH90</t>
  </si>
  <si>
    <t>25MM CONCEALED VALVE QUARTER TURN.WITH VIVA HANDLE</t>
  </si>
  <si>
    <t>UH72</t>
  </si>
  <si>
    <t>CH88 F</t>
  </si>
  <si>
    <t>C276N</t>
  </si>
  <si>
    <t xml:space="preserve">Tank Connector 2 inch 50 mm </t>
  </si>
  <si>
    <t>UH-74</t>
  </si>
  <si>
    <t>CH86 F</t>
  </si>
  <si>
    <t>CH84 F</t>
  </si>
  <si>
    <t>UH76</t>
  </si>
  <si>
    <t>C277N</t>
  </si>
  <si>
    <t xml:space="preserve">Tank Connector 2 1⁄2 inch 65 mm </t>
  </si>
  <si>
    <t>Tank Connector</t>
  </si>
  <si>
    <t>CH82 F</t>
  </si>
  <si>
    <t>UH-78</t>
  </si>
  <si>
    <t>LONG CONCEALED VALVE URBONA QUARTER TURN 20 MM</t>
  </si>
  <si>
    <t>C278N</t>
  </si>
  <si>
    <t xml:space="preserve">Tank Connector 3 inch 80 mm </t>
  </si>
  <si>
    <t>UH-79</t>
  </si>
  <si>
    <t>LONG CONCEALED VALVE SPA QUARTER TURN 20 MM</t>
  </si>
  <si>
    <t>UH-80</t>
  </si>
  <si>
    <t>C279N</t>
  </si>
  <si>
    <t xml:space="preserve">Tank Connector 4 inch 100 mm </t>
  </si>
  <si>
    <t>UH82</t>
  </si>
  <si>
    <t>LONG CONCEALED VALVE TRIANGULER QUARTER TURN 15 MM</t>
  </si>
  <si>
    <t>1" Long Concealed Valve (Quarter Turn)</t>
  </si>
  <si>
    <t>UH84</t>
  </si>
  <si>
    <t>LONG CONCEALED VALVE GRACIA QUARTER TURN 15 MM</t>
  </si>
  <si>
    <t xml:space="preserve">Brass Elbow 90⁰ 3⁄4 x 1⁄2 inch 20x15 mm </t>
  </si>
  <si>
    <t>UH86</t>
  </si>
  <si>
    <t>LONG CONCEALED VALVE MACASA QUARTER TURN 15 MM</t>
  </si>
  <si>
    <t xml:space="preserve">Brass Elbow 90⁰ 1 x 1⁄2 inch 25x15 mm </t>
  </si>
  <si>
    <t>UH88</t>
  </si>
  <si>
    <t>LONG CONCEALED VALVE URBONA QUARTER TURN 15 MM</t>
  </si>
  <si>
    <t xml:space="preserve">Brass Elbow 90⁰ 1 x 3⁄4 inch 25x20 mm </t>
  </si>
  <si>
    <t>UH89</t>
  </si>
  <si>
    <t>LONG CONCEALED VALVE SPA QUARTER TURN 15 MM</t>
  </si>
  <si>
    <t>UH90</t>
  </si>
  <si>
    <t>LONG CONCEALED VALVE VIVA QUARTER TURN 15 MM</t>
  </si>
  <si>
    <t xml:space="preserve">Brass Elbow 90⁰ 1⁄2 x 1⁄2 inch 15x15 mm </t>
  </si>
  <si>
    <t>CH82</t>
  </si>
  <si>
    <t xml:space="preserve">Brass Elbow 90⁰ 3⁄4 x 3⁄4 inch 20x20 mm </t>
  </si>
  <si>
    <t xml:space="preserve">Brass Elbow 90⁰ 1 x 1 inch 25x25 mm </t>
  </si>
  <si>
    <t xml:space="preserve">Brass Elbow 90⁰ 1 x 1 1⁄4 inch 25x32 mm </t>
  </si>
  <si>
    <t xml:space="preserve">Reducer Brass Tee 1⁄2 x 1⁄2 x 1⁄2 inch 15x15x15 mm </t>
  </si>
  <si>
    <t xml:space="preserve">Reducer Brass Tee 3⁄4 x 3⁄4 x 1⁄2 inch 20x20x15 mm </t>
  </si>
  <si>
    <t xml:space="preserve">Reducer Brass Tee 1 x 1 x 1⁄2 inch 25x25x15 mm </t>
  </si>
  <si>
    <t xml:space="preserve">Reducer Brass Tee 1 x 1 x 1 inch 25x25x25 mm </t>
  </si>
  <si>
    <t xml:space="preserve">Reducer Brass Tee 3⁄4 x 3⁄4 x 3⁄4 inch 20x20x20 mm </t>
  </si>
  <si>
    <t xml:space="preserve">Reducer Brass Tee 1 1⁄4 x 1 1⁄4 x 1⁄2 inch 32x32x15 mm </t>
  </si>
  <si>
    <t>PU-1</t>
  </si>
  <si>
    <t xml:space="preserve">Reducer Brass Tee 1 1⁄4 x 1 1⁄4 x 1 1⁄4 inch 32x32x32 mm </t>
  </si>
  <si>
    <t>PU-2</t>
  </si>
  <si>
    <t xml:space="preserve">Reducer Brass Coupling 3⁄4 x 1⁄2 inch 20x15 mm </t>
  </si>
  <si>
    <t>PU-3</t>
  </si>
  <si>
    <t>PU-4</t>
  </si>
  <si>
    <t>PU-5</t>
  </si>
  <si>
    <t xml:space="preserve">Reducer Brass Coupling 1 x 1⁄2 inch 25x15 mm </t>
  </si>
  <si>
    <t>PU-6</t>
  </si>
  <si>
    <t>PU-7</t>
  </si>
  <si>
    <t xml:space="preserve">Reducer Brass Coupling 1 x 3⁄4 inch 25x20 mm </t>
  </si>
  <si>
    <t>PU-8</t>
  </si>
  <si>
    <t>PU-9</t>
  </si>
  <si>
    <t>PU-10</t>
  </si>
  <si>
    <t xml:space="preserve">Brass Elbow 3 in 1 Mixer 3⁄4 x 1⁄2 inch 20x15 mm </t>
  </si>
  <si>
    <t>Pipe SCH 80 (6 MTR)</t>
  </si>
  <si>
    <t>PU-1S</t>
  </si>
  <si>
    <t>PU-2S</t>
  </si>
  <si>
    <t>PU-3S</t>
  </si>
  <si>
    <t>PU-4S</t>
  </si>
  <si>
    <t>PU-5S</t>
  </si>
  <si>
    <t>PU-6S</t>
  </si>
  <si>
    <t>PU-7S</t>
  </si>
  <si>
    <t>PU-8S</t>
  </si>
  <si>
    <t>PU-9S</t>
  </si>
  <si>
    <t>PU-10S</t>
  </si>
  <si>
    <t xml:space="preserve">Brass Elbow 3 in 1 Mixer 1 x 1⁄2 inch 25x15 mm </t>
  </si>
  <si>
    <t>Pipe SCH 80 (Threaded End) (3 MTR)</t>
  </si>
  <si>
    <t>PU-1 T</t>
  </si>
  <si>
    <t>PU-2 T</t>
  </si>
  <si>
    <t>PU-3 T</t>
  </si>
  <si>
    <t>PU-4 T</t>
  </si>
  <si>
    <t>PU-5 T</t>
  </si>
  <si>
    <t>PU-6 T</t>
  </si>
  <si>
    <t xml:space="preserve">Brass Elbow Kitchen Mixer 3⁄4 x 1⁄2 inch 20x15 mm </t>
  </si>
  <si>
    <t>PU-11</t>
  </si>
  <si>
    <t>PP1</t>
  </si>
  <si>
    <t xml:space="preserve">End Plug 1⁄2 inch 15 mm </t>
  </si>
  <si>
    <t>PU-12</t>
  </si>
  <si>
    <t>PU-13</t>
  </si>
  <si>
    <t>PU-14</t>
  </si>
  <si>
    <t>PU-15</t>
  </si>
  <si>
    <t>PP2</t>
  </si>
  <si>
    <t xml:space="preserve">End Plug 3⁄4 inch 20 mm </t>
  </si>
  <si>
    <t>PU-16</t>
  </si>
  <si>
    <t>PU-17</t>
  </si>
  <si>
    <t>PU-18</t>
  </si>
  <si>
    <t>PU-19</t>
  </si>
  <si>
    <t>C12</t>
  </si>
  <si>
    <t xml:space="preserve">Step Over Bend 3⁄4 inch 20 mm </t>
  </si>
  <si>
    <t>PU-20</t>
  </si>
  <si>
    <t>C13</t>
  </si>
  <si>
    <t xml:space="preserve">Step Over Bend 1 inch 25 mm </t>
  </si>
  <si>
    <t>Pipe SCH 40 (6 MTR)</t>
  </si>
  <si>
    <t>PU-11S</t>
  </si>
  <si>
    <t>C14</t>
  </si>
  <si>
    <t xml:space="preserve">Step Over Bend 1 1⁄4 inch 32 mm </t>
  </si>
  <si>
    <t>PU-12S</t>
  </si>
  <si>
    <t>PU-13S</t>
  </si>
  <si>
    <t>PU-14S</t>
  </si>
  <si>
    <t>C15</t>
  </si>
  <si>
    <t xml:space="preserve">Step Over Bend 1 1⁄2 inch 40 mm </t>
  </si>
  <si>
    <t>PU-15S</t>
  </si>
  <si>
    <t>End Plug</t>
  </si>
  <si>
    <t>PU-16S</t>
  </si>
  <si>
    <t>PU-17S</t>
  </si>
  <si>
    <t>PU-18S</t>
  </si>
  <si>
    <t>CH22</t>
  </si>
  <si>
    <t xml:space="preserve">Ball Valve Handle 3⁄4 inch 20 mm </t>
  </si>
  <si>
    <t>PU-19S</t>
  </si>
  <si>
    <t>PU-20S</t>
  </si>
  <si>
    <t>CH23</t>
  </si>
  <si>
    <t xml:space="preserve">Ball Valve Handle 1 inch 25 mm </t>
  </si>
  <si>
    <t>Pipe SCH 80 (Threaded End) (6 MTR)</t>
  </si>
  <si>
    <t>CH24</t>
  </si>
  <si>
    <t>PU-1 TS</t>
  </si>
  <si>
    <t xml:space="preserve">Ball Valve Handle 1 1⁄4 inch 32 mm </t>
  </si>
  <si>
    <t>PU-2 TS</t>
  </si>
  <si>
    <t>PU-3 TS</t>
  </si>
  <si>
    <t>PU-4 TS</t>
  </si>
  <si>
    <t>CH25</t>
  </si>
  <si>
    <t xml:space="preserve">Ball Valve Handle 1 1⁄2 inch 40 mm </t>
  </si>
  <si>
    <t>Step Over Bend</t>
  </si>
  <si>
    <t>PU-5 TS</t>
  </si>
  <si>
    <t>PU-6 TS</t>
  </si>
  <si>
    <t>CH26</t>
  </si>
  <si>
    <t xml:space="preserve">Ball Valve Handle 2 inch 50 mm </t>
  </si>
  <si>
    <t>CF12</t>
  </si>
  <si>
    <t xml:space="preserve">Flange 2 1⁄2 inch 65 mm </t>
  </si>
  <si>
    <t>CF13</t>
  </si>
  <si>
    <t xml:space="preserve">Flange 3 inch 80 mm </t>
  </si>
  <si>
    <t>CF14</t>
  </si>
  <si>
    <t xml:space="preserve">Flange 4 inch 100 mm </t>
  </si>
  <si>
    <t>PC1</t>
  </si>
  <si>
    <t xml:space="preserve">Pipe Clamp 1⁄2 inch 15 mm </t>
  </si>
  <si>
    <t>Ball Valve Handle</t>
  </si>
  <si>
    <t>PC2</t>
  </si>
  <si>
    <t xml:space="preserve">Pipe Clamp 3⁄4 inch 20 mm </t>
  </si>
  <si>
    <t>PC3</t>
  </si>
  <si>
    <t xml:space="preserve">Pipe Clamp 1 inch 25 mm </t>
  </si>
  <si>
    <t>PC21</t>
  </si>
  <si>
    <t xml:space="preserve">Pipe Clamp (Heavy Saddle with Powder Coating) 1⁄2 inch 15 mm </t>
  </si>
  <si>
    <t>PC22</t>
  </si>
  <si>
    <t xml:space="preserve">Pipe Clamp (Heavy Saddle with Powder Coating) 3⁄4 inch 20 mm </t>
  </si>
  <si>
    <t>Flange</t>
  </si>
  <si>
    <t>PC23</t>
  </si>
  <si>
    <t xml:space="preserve">Pipe Clamp (Heavy Saddle with Powder Coating) 1 inch 25 mm </t>
  </si>
  <si>
    <t>PC24</t>
  </si>
  <si>
    <t xml:space="preserve">Pipe Clamp (Heavy Saddle with Powder Coating) 1 1⁄4 inch 32 mm </t>
  </si>
  <si>
    <t>PC25</t>
  </si>
  <si>
    <t xml:space="preserve">Pipe Clamp (Heavy Saddle with Powder Coating) 1 1⁄2 inch 40 mm </t>
  </si>
  <si>
    <t>PC26</t>
  </si>
  <si>
    <t xml:space="preserve">Pipe Clamp (Heavy Saddle with Powder Coating) 2 inch 50 mm </t>
  </si>
  <si>
    <t>Pipe Clamp</t>
  </si>
  <si>
    <t>PC31</t>
  </si>
  <si>
    <t xml:space="preserve">Pipe Clamp (Zinc Plated) 1⁄2 inch 15 mm </t>
  </si>
  <si>
    <t>PC32</t>
  </si>
  <si>
    <t xml:space="preserve">Pipe Clamp (Zinc Plated) 3⁄4 inch 20 mm </t>
  </si>
  <si>
    <t>PC33</t>
  </si>
  <si>
    <t xml:space="preserve">Pipe Clamp (Zinc Plated) 1 inch 25 mm </t>
  </si>
  <si>
    <t>PC34</t>
  </si>
  <si>
    <t>Pipe Clamp (Heavy Saddle with Powder Coating)</t>
  </si>
  <si>
    <t xml:space="preserve">Pipe Clamp (Zinc Plated) 1 1⁄4 inch 32 mm </t>
  </si>
  <si>
    <t>PC35</t>
  </si>
  <si>
    <t xml:space="preserve">Pipe Clamp (Zinc Plated) 1 1⁄2 inch 40 mm </t>
  </si>
  <si>
    <t>PC36</t>
  </si>
  <si>
    <t xml:space="preserve">Pipe Clamp (Zinc Plated) 2 inch 50 mm </t>
  </si>
  <si>
    <t>SL01</t>
  </si>
  <si>
    <t>Single Lever Concealed Diverter BODY</t>
  </si>
  <si>
    <t>Pipe Clamp (Zinc Plated)</t>
  </si>
  <si>
    <t>SL02</t>
  </si>
  <si>
    <t>Single Lever Concealed Diverter UPPER</t>
  </si>
  <si>
    <t>S3</t>
  </si>
  <si>
    <t>Solvent 59 ML</t>
  </si>
  <si>
    <t>S4</t>
  </si>
  <si>
    <t>Solvent 04 OZ/ 118 Tins</t>
  </si>
  <si>
    <t>S5</t>
  </si>
  <si>
    <t>Solvent 08 OZ/237 Tins</t>
  </si>
  <si>
    <t>Single Lever Concealed Diverter</t>
  </si>
  <si>
    <t>S6</t>
  </si>
  <si>
    <t>Solvent 16 OZ/473 Tins</t>
  </si>
  <si>
    <t>BODY</t>
  </si>
  <si>
    <t>S7</t>
  </si>
  <si>
    <t>Solvent 32 OZ/ 946 Tins</t>
  </si>
  <si>
    <t>UPPER PART</t>
  </si>
  <si>
    <t>Long Concealed Valve (Quarter Turn) 3⁄4 inch VIVA</t>
  </si>
  <si>
    <t>Long Concealed Valve (Quarter Turn) 3⁄4 inch SAGA</t>
  </si>
  <si>
    <t>Solvent</t>
  </si>
  <si>
    <t>59 ML</t>
  </si>
  <si>
    <t>Long Concealed Valve (Quarter Turn) 3⁄4 inch URBONA</t>
  </si>
  <si>
    <t>04 OZ/ 118 Tins</t>
  </si>
  <si>
    <t>Long Concealed Valve (Quarter Turn) 3⁄4 inch MACASA</t>
  </si>
  <si>
    <t>08 OZ/237 Tins</t>
  </si>
  <si>
    <t>16 OZ/473 Tins</t>
  </si>
  <si>
    <t>Long Concealed Valve (Quarter Turn) 3⁄4 inch GRACIA</t>
  </si>
  <si>
    <t>32 OZ/ 946 Tins</t>
  </si>
  <si>
    <t>Long Concealed Valve (Quarter Turn) 3⁄4 inch TRIANGULER</t>
  </si>
  <si>
    <t>Full Turn Concealed Valve 3⁄4 inch VIVA</t>
  </si>
  <si>
    <t>Full Turn Concealed Valve 3⁄4 inch SAGA</t>
  </si>
  <si>
    <t>Full Turn Concealed Valve 3⁄4 inch URBONA</t>
  </si>
  <si>
    <t>Full Turn Concealed Valve 3⁄4 inch MACASA</t>
  </si>
  <si>
    <t>Full Turn Concealed Valve 3⁄4 inch GRACIA</t>
  </si>
  <si>
    <t>Full Turn Concealed Valve 3⁄4 inch TRIANGULER</t>
  </si>
  <si>
    <t>Short Concealed Valve (Quarter Turn) 3⁄4 inch VIVA</t>
  </si>
  <si>
    <t>Short Concealed Valve (Quarter Turn) 3⁄4 inch SAGA</t>
  </si>
  <si>
    <t>Short Concealed Valve (Quarter Turn) 3⁄4 inch URBONA</t>
  </si>
  <si>
    <t>Short Concealed Valve (Quarter Turn) 3⁄4 inch MACASA</t>
  </si>
  <si>
    <t>Short Concealed Valve (Quarter Turn) 3⁄4 inch GRACIA</t>
  </si>
  <si>
    <t>Short Concealed Valve (Quarter Turn) 3⁄4 inch TRIANGULER</t>
  </si>
  <si>
    <t>New</t>
  </si>
  <si>
    <t>TEFLONE TAPE</t>
  </si>
  <si>
    <t xml:space="preserve">Pipe SCH 80 (3 MTR) 1⁄2 inch 15 mm </t>
  </si>
  <si>
    <t xml:space="preserve">Pipe SCH 80 (3 MTR) 3⁄4 inch 20 mm </t>
  </si>
  <si>
    <t xml:space="preserve">Pipe SCH 80 (3 MTR) 1 inch 25 mm </t>
  </si>
  <si>
    <t xml:space="preserve">Pipe SCH 80 (3 MTR) 1 1⁄4 inch 32 mm </t>
  </si>
  <si>
    <t xml:space="preserve">Pipe SCH 80 (3 MTR) 1 1⁄2 inch 40 mm </t>
  </si>
  <si>
    <t>CH89F</t>
  </si>
  <si>
    <t xml:space="preserve">Pipe SCH 80 (3 MTR) 2 inch 50 mm </t>
  </si>
  <si>
    <t>CH84F</t>
  </si>
  <si>
    <t>Expansion Loop</t>
  </si>
  <si>
    <t>C230L</t>
  </si>
  <si>
    <t xml:space="preserve">Pipe SCH 40 (3 MTR) 1⁄2 inch 15 mm </t>
  </si>
  <si>
    <t xml:space="preserve">Pipe SCH 40 (3 MTR) 3⁄4 inch 20 mm </t>
  </si>
  <si>
    <t>C231L</t>
  </si>
  <si>
    <t xml:space="preserve">Pipe SCH 40 (3 MTR) 1 inch 25 mm </t>
  </si>
  <si>
    <t>C232L</t>
  </si>
  <si>
    <t>C233L</t>
  </si>
  <si>
    <t>C234L</t>
  </si>
  <si>
    <t>C235L</t>
  </si>
  <si>
    <t xml:space="preserve">Pipe SCH 40 (3 MTR) 1 1⁄4 inch 32 mm </t>
  </si>
  <si>
    <t xml:space="preserve">Pipe SCH 40 (3 MTR) 1 1⁄2 inch 40 mm </t>
  </si>
  <si>
    <t xml:space="preserve">Pipe SCH 40 (3 MTR) 2 inch 50 mm </t>
  </si>
  <si>
    <t>Short Bend</t>
  </si>
  <si>
    <t>C121</t>
  </si>
  <si>
    <t>C122</t>
  </si>
  <si>
    <t>C123</t>
  </si>
  <si>
    <t>C124</t>
  </si>
  <si>
    <t xml:space="preserve">Pipe SCH 80 (Threaded End) (3 MTR) 1⁄2 inch 15 mm </t>
  </si>
  <si>
    <t>C125</t>
  </si>
  <si>
    <t>C126</t>
  </si>
  <si>
    <t xml:space="preserve">Pipe SCH 80 (Threaded End) (3 MTR) 3⁄4 inch 20 mm </t>
  </si>
  <si>
    <t xml:space="preserve">Pipe SCH 80 (Threaded End) (3 MTR) 1 inch 25 mm </t>
  </si>
  <si>
    <t>G*100</t>
  </si>
  <si>
    <t>H*725</t>
  </si>
  <si>
    <t xml:space="preserve">Pipe SCH 80 (Threaded End) (3 MTR) 1 1⁄4 inch 32 mm </t>
  </si>
  <si>
    <t xml:space="preserve">Pipe SCH 80 (Threaded End) (3 MTR) 1 1⁄2 inch 40 mm </t>
  </si>
  <si>
    <t>U50</t>
  </si>
  <si>
    <t xml:space="preserve">Pipe SCH 80 (Threaded End) (3 MTR) 2 inch 50 mm </t>
  </si>
  <si>
    <t xml:space="preserve">Pipe SCH 80 (6 MTR) 1⁄2 inch 15 mm </t>
  </si>
  <si>
    <t>U51</t>
  </si>
  <si>
    <t xml:space="preserve">Pipe SCH 80 (6 MTR) 3⁄4 inch 20 mm </t>
  </si>
  <si>
    <t>U52</t>
  </si>
  <si>
    <t>U53</t>
  </si>
  <si>
    <t xml:space="preserve">Pipe SCH 80 (6 MTR) 1 inch 25 mm </t>
  </si>
  <si>
    <t>U54</t>
  </si>
  <si>
    <t xml:space="preserve">Pipe SCH 80 (6 MTR) 1 1⁄4 inch 32 mm </t>
  </si>
  <si>
    <t>U55</t>
  </si>
  <si>
    <t>U56</t>
  </si>
  <si>
    <t xml:space="preserve">Pipe SCH 80 (6 MTR) 1 1⁄2 inch 40 mm </t>
  </si>
  <si>
    <t>U57</t>
  </si>
  <si>
    <t xml:space="preserve">Pipe SCH 80 (6 MTR) 2 inch 50 mm </t>
  </si>
  <si>
    <t>U58</t>
  </si>
  <si>
    <t>U59</t>
  </si>
  <si>
    <t xml:space="preserve">Pipe SCH 80 (6 MTR) 2 1⁄2 inch 65 mm </t>
  </si>
  <si>
    <t xml:space="preserve">Pipe SCH 80 (6 MTR) 3 inch 80 mm </t>
  </si>
  <si>
    <t xml:space="preserve">Pipe SCH 80 (6 MTR) 4 inch 100 mm </t>
  </si>
  <si>
    <t>U59N</t>
  </si>
  <si>
    <t xml:space="preserve">Pipe SCH 80 (6 MTR) 6 inch 150 mm </t>
  </si>
  <si>
    <t>Reducer Elbow 90⁰ (SCH-80)</t>
  </si>
  <si>
    <t>U531</t>
  </si>
  <si>
    <t xml:space="preserve">Pipe SCH 40 (6 MTR) 1⁄2 inch 15 mm </t>
  </si>
  <si>
    <t xml:space="preserve">Pipe SCH 40 (6 MTR) 3⁄4 inch 20 mm </t>
  </si>
  <si>
    <t>U532</t>
  </si>
  <si>
    <t>U533</t>
  </si>
  <si>
    <t xml:space="preserve">Pipe SCH 40 (6 MTR) 1 inch 25 mm </t>
  </si>
  <si>
    <t>U534</t>
  </si>
  <si>
    <t xml:space="preserve">Pipe SCH 40 (6 MTR) 1 1⁄4 inch 32 mm </t>
  </si>
  <si>
    <t>U535</t>
  </si>
  <si>
    <t>U536</t>
  </si>
  <si>
    <t xml:space="preserve">Pipe SCH 40 (6 MTR) 1 1⁄2 inch 40 mm </t>
  </si>
  <si>
    <t>U537</t>
  </si>
  <si>
    <t xml:space="preserve">Pipe SCH 40 (6 MTR) 2 inch 50 mm </t>
  </si>
  <si>
    <t>U538</t>
  </si>
  <si>
    <t>U539</t>
  </si>
  <si>
    <t xml:space="preserve">Pipe SCH 40 (6 MTR) 2 1⁄2 inch 65 mm </t>
  </si>
  <si>
    <t xml:space="preserve">Pipe SCH 40 (6 MTR) 3 inch 80 mm </t>
  </si>
  <si>
    <t>Reducer Brass Elbow (SCH-80)</t>
  </si>
  <si>
    <t xml:space="preserve">Pipe SCH 40 (6 MTR) 4 inch 100 mm </t>
  </si>
  <si>
    <t xml:space="preserve">Pipe SCH 40 (6 MTR) 6 inch 150 mm </t>
  </si>
  <si>
    <t xml:space="preserve">Pipe SCH 80 (Threaded End) (6 MTR) 1⁄2 inch 15 mm </t>
  </si>
  <si>
    <t>H*1050</t>
  </si>
  <si>
    <t xml:space="preserve">Pipe SCH 80 (Threaded End) (6 MTR) 3⁄4 inch 20 mm </t>
  </si>
  <si>
    <t xml:space="preserve">Pipe SCH 80 (Threaded End) (6 MTR) 1 inch 25 mm </t>
  </si>
  <si>
    <t>Elbow 45⁰ (SCH-80)</t>
  </si>
  <si>
    <t xml:space="preserve">Pipe SCH 80 (Threaded End) (6 MTR) 1 1⁄4 inch 32 mm </t>
  </si>
  <si>
    <t>U502</t>
  </si>
  <si>
    <t xml:space="preserve">Pipe SCH 80 (Threaded End) (6 MTR) 1 1⁄2 inch 40 mm </t>
  </si>
  <si>
    <t>U503</t>
  </si>
  <si>
    <t>U504</t>
  </si>
  <si>
    <t xml:space="preserve">Pipe SCH 80 (Threaded End) (6 MTR) 2 inch 50 mm </t>
  </si>
  <si>
    <t>U505</t>
  </si>
  <si>
    <t>U506</t>
  </si>
  <si>
    <t>UPVC Fittings</t>
  </si>
  <si>
    <t xml:space="preserve">Elbow 90⁰ (SCH-80) 3⁄4 x 1⁄2 inch 20x15 mm </t>
  </si>
  <si>
    <t xml:space="preserve">Elbow 90⁰ (SCH-80) 1⁄2 inch 15 mm </t>
  </si>
  <si>
    <t>U61</t>
  </si>
  <si>
    <t xml:space="preserve">Elbow 90⁰ (SCH-80) 3⁄4 inch 20 mm </t>
  </si>
  <si>
    <t>U62</t>
  </si>
  <si>
    <t>Male Adapter Brass Threads (SCH-80)</t>
  </si>
  <si>
    <t>U63</t>
  </si>
  <si>
    <t xml:space="preserve">Elbow 90⁰ (SCH-80) 1 inch 25 mm </t>
  </si>
  <si>
    <t>U64</t>
  </si>
  <si>
    <t>U65</t>
  </si>
  <si>
    <t>U66</t>
  </si>
  <si>
    <t xml:space="preserve">Elbow 90⁰ (SCH-80) 1 1⁄4 inch 32 mm </t>
  </si>
  <si>
    <t xml:space="preserve">Elbow 90⁰ (SCH-80) 1 1⁄2 inch 40 mm </t>
  </si>
  <si>
    <t xml:space="preserve">Elbow 90⁰ (SCH-80) 2 inch 50 mm </t>
  </si>
  <si>
    <t>U67</t>
  </si>
  <si>
    <t>U68</t>
  </si>
  <si>
    <t>U69</t>
  </si>
  <si>
    <t>Female Adapter Brass Threads (SCH-80)</t>
  </si>
  <si>
    <t>U69N</t>
  </si>
  <si>
    <t xml:space="preserve">Reducer Elbow 90⁰ (SCH-80) 1 x 1⁄2 inch 25x15 mm </t>
  </si>
  <si>
    <t xml:space="preserve">Reducer Elbow 90⁰ (SCH-80) 1 x 3⁄4 inch 25x20 mm </t>
  </si>
  <si>
    <t>Reducer Tee (SCH-80)</t>
  </si>
  <si>
    <t xml:space="preserve">Reducer Elbow 90⁰ (SCH-80) 1 1⁄4 x 1⁄2 inch 32x15 mm </t>
  </si>
  <si>
    <t>U221</t>
  </si>
  <si>
    <t xml:space="preserve">Reducer Elbow 90⁰ (SCH-80) 1 1⁄4 x 3⁄4 inch 32x20 mm </t>
  </si>
  <si>
    <t>U231</t>
  </si>
  <si>
    <t xml:space="preserve">Reducer Elbow 90⁰ (SCH-80) 1 1⁄4 x 1 inch 32x25 mm </t>
  </si>
  <si>
    <t>U241</t>
  </si>
  <si>
    <t>U242</t>
  </si>
  <si>
    <t xml:space="preserve">Reducer Elbow 90⁰ (SCH-80) 1 1⁄2 x 1⁄2 inch 40x15 mm </t>
  </si>
  <si>
    <t>U243</t>
  </si>
  <si>
    <t xml:space="preserve">Reducer Elbow 90⁰ (SCH-80) 1 1⁄2 x 3⁄4 inch 40x20 mm </t>
  </si>
  <si>
    <t>U232</t>
  </si>
  <si>
    <t>1 1⁄2 x 1 1⁄2 x 1⁄2</t>
  </si>
  <si>
    <t>40x40x15</t>
  </si>
  <si>
    <t>U251</t>
  </si>
  <si>
    <t>U252</t>
  </si>
  <si>
    <t xml:space="preserve">Reducer Elbow 90⁰ (SCH-80) 1 1⁄2 x 1 inch 40x25 mm </t>
  </si>
  <si>
    <t>U253</t>
  </si>
  <si>
    <t>U254</t>
  </si>
  <si>
    <t xml:space="preserve">Reducer Elbow 90⁰ (SCH-80) 1 1⁄2 x 1 1⁄4 inch 40x32 mm </t>
  </si>
  <si>
    <t>2 x 2 x 1⁄2</t>
  </si>
  <si>
    <t>50x50x15</t>
  </si>
  <si>
    <t>U261</t>
  </si>
  <si>
    <t xml:space="preserve">Reducer Brass Elbow (SCH-80) 3⁄4 x 1⁄2 inch 20x15 mm </t>
  </si>
  <si>
    <t>U262</t>
  </si>
  <si>
    <t>U263</t>
  </si>
  <si>
    <t xml:space="preserve">Reducer Brass Elbow (SCH-80) 1 x 1⁄2 inch 25x15 mm </t>
  </si>
  <si>
    <t>U264</t>
  </si>
  <si>
    <t>2 x 1 1⁄2 x 2</t>
  </si>
  <si>
    <t>U265</t>
  </si>
  <si>
    <t>Reducer Brass Tee (SCH-80)</t>
  </si>
  <si>
    <t>Union (SCH-80)</t>
  </si>
  <si>
    <t>U31</t>
  </si>
  <si>
    <t>U32</t>
  </si>
  <si>
    <t>U33</t>
  </si>
  <si>
    <t>U34</t>
  </si>
  <si>
    <t>U35</t>
  </si>
  <si>
    <t xml:space="preserve">Reducer Brass Elbow (SCH-80) 1 x 3⁄4 inch 25x20 mm </t>
  </si>
  <si>
    <t>U36</t>
  </si>
  <si>
    <t>U37</t>
  </si>
  <si>
    <t xml:space="preserve">Reducer Brass Elbow (SCH-80) 1⁄2 x 1⁄2 inch 15x15 mm </t>
  </si>
  <si>
    <t>U38</t>
  </si>
  <si>
    <t xml:space="preserve">Reducer Brass Elbow (SCH-80) 3⁄4 x 3⁄4 inch 20x20 mm </t>
  </si>
  <si>
    <t>U39</t>
  </si>
  <si>
    <t xml:space="preserve">Elbow 45⁰ (SCH-80) 3⁄4 inch 20 mm </t>
  </si>
  <si>
    <t xml:space="preserve">Elbow 45⁰ (SCH-80) 1 inch 25 mm </t>
  </si>
  <si>
    <t>SPA</t>
  </si>
  <si>
    <t xml:space="preserve">Elbow 45⁰ (SCH-80) 1 1⁄4 inch 32 mm </t>
  </si>
  <si>
    <t>U831</t>
  </si>
  <si>
    <t>U832</t>
  </si>
  <si>
    <t xml:space="preserve">Elbow 45⁰ (SCH-80) 1 1⁄2 inch 40 mm </t>
  </si>
  <si>
    <t>U841</t>
  </si>
  <si>
    <t xml:space="preserve">Elbow 45⁰ (SCH-80) 2 inch 50 mm </t>
  </si>
  <si>
    <t>U842</t>
  </si>
  <si>
    <t>1 x 3⁄4 x 1</t>
  </si>
  <si>
    <t>U843</t>
  </si>
  <si>
    <t xml:space="preserve">Tee (SCH-80) 1⁄2 inch 15 mm </t>
  </si>
  <si>
    <t>U851</t>
  </si>
  <si>
    <t>U852</t>
  </si>
  <si>
    <t xml:space="preserve">Tee (SCH-80) 3⁄4 inch 20 mm </t>
  </si>
  <si>
    <t>U853</t>
  </si>
  <si>
    <t xml:space="preserve">Tee (SCH-80) 1 inch 25 mm </t>
  </si>
  <si>
    <t>U854</t>
  </si>
  <si>
    <t>U861</t>
  </si>
  <si>
    <t>U862</t>
  </si>
  <si>
    <t xml:space="preserve">Tee (SCH-80) 1 1⁄4 inch 32 mm </t>
  </si>
  <si>
    <t>U863</t>
  </si>
  <si>
    <t xml:space="preserve">Tee (SCH-80) 1 1⁄2 inch 40 mm </t>
  </si>
  <si>
    <t>U864</t>
  </si>
  <si>
    <t>U865</t>
  </si>
  <si>
    <t xml:space="preserve">Tee (SCH-80) 2 inch 50 mm </t>
  </si>
  <si>
    <t>U875</t>
  </si>
  <si>
    <t>U876</t>
  </si>
  <si>
    <t>UH-76</t>
  </si>
  <si>
    <t>U886</t>
  </si>
  <si>
    <t>50X65</t>
  </si>
  <si>
    <t>U887</t>
  </si>
  <si>
    <t>UH-72</t>
  </si>
  <si>
    <t xml:space="preserve">Reducer Tee (SCH-80) 3⁄4 x 3⁄4 x 1⁄2 inch 20x20x15 mm </t>
  </si>
  <si>
    <t>U896</t>
  </si>
  <si>
    <t>U897</t>
  </si>
  <si>
    <t xml:space="preserve">Reducer Tee (SCH-80) 1 x 1 x 1⁄2 inch 25x25x15 mm </t>
  </si>
  <si>
    <t>U898</t>
  </si>
  <si>
    <t xml:space="preserve">Reducer Tee (SCH-80) 1 1⁄4 x 1 1⁄4 x 1⁄2 inch 32x32x15 mm </t>
  </si>
  <si>
    <t>Reducer Coupling (SCH-80)</t>
  </si>
  <si>
    <t xml:space="preserve">Reducer Tee (SCH-80) 1 1⁄4 x 1 1⁄4 x 3⁄4 inch 32x32x20 mm </t>
  </si>
  <si>
    <t>U921</t>
  </si>
  <si>
    <t xml:space="preserve">Reducer Tee (SCH-80) 1 1⁄4 x 1 1⁄4 x 1 inch 32x32x25 mm </t>
  </si>
  <si>
    <t>U931</t>
  </si>
  <si>
    <t xml:space="preserve">Reducer Tee (SCH-80) 1 x 1 x 3⁄4 inch 25x25x20 mm </t>
  </si>
  <si>
    <t>U932</t>
  </si>
  <si>
    <t>U941</t>
  </si>
  <si>
    <t xml:space="preserve">Reducer Tee (SCH-80) 1 1⁄2 x 1 1⁄2 x 1⁄2 inch 40x40x15 mm </t>
  </si>
  <si>
    <t>U942</t>
  </si>
  <si>
    <t xml:space="preserve">Reducer Tee (SCH-80) 1 1⁄2 x 1 1⁄2 x 3⁄4 inch 40x40x20 mm </t>
  </si>
  <si>
    <t>U943</t>
  </si>
  <si>
    <t>U951</t>
  </si>
  <si>
    <t xml:space="preserve">Reducer Tee (SCH-80) 1 1⁄2 x 1 1⁄2 x 1 inch 40x40x25 mm </t>
  </si>
  <si>
    <t>U952</t>
  </si>
  <si>
    <t>UH88-F</t>
  </si>
  <si>
    <t>U953</t>
  </si>
  <si>
    <t xml:space="preserve">Reducer Tee (SCH-80) 1 1⁄2 x 1 1⁄2 x 1 1⁄4 inch 40x40x32 mm </t>
  </si>
  <si>
    <t>U954</t>
  </si>
  <si>
    <t>UH84-F</t>
  </si>
  <si>
    <t xml:space="preserve">Reducer Tee (SCH-80) 2 x 2 x 1⁄2 inch 50x50x15 mm </t>
  </si>
  <si>
    <t>2 x 1⁄2</t>
  </si>
  <si>
    <t>50x15</t>
  </si>
  <si>
    <t>U961</t>
  </si>
  <si>
    <t>UH90-F</t>
  </si>
  <si>
    <t>U962</t>
  </si>
  <si>
    <t>UH86-F</t>
  </si>
  <si>
    <t xml:space="preserve">Reducer Tee (SCH-80) 2 x 2 x 3⁄4 inch 50x50x20 mm </t>
  </si>
  <si>
    <t>UH82-F</t>
  </si>
  <si>
    <t>U963</t>
  </si>
  <si>
    <t>UH89-F</t>
  </si>
  <si>
    <t>U964</t>
  </si>
  <si>
    <t xml:space="preserve">Reducer Tee (SCH-80) 2 x 2 x 1 inch 50x50x25 mm </t>
  </si>
  <si>
    <t>U965</t>
  </si>
  <si>
    <t xml:space="preserve">Reducer Tee (SCH-80) 2 x 2 x 1 1⁄4 inch 50x50x32 mm </t>
  </si>
  <si>
    <t>UH88-L</t>
  </si>
  <si>
    <t>Coupling (SCH-80)</t>
  </si>
  <si>
    <t xml:space="preserve">Reducer Tee (SCH-80) 2 x 1 1⁄2 x 2 inch 50x50x40 mm </t>
  </si>
  <si>
    <t>U41</t>
  </si>
  <si>
    <t>CRACIA</t>
  </si>
  <si>
    <t>UH84-L</t>
  </si>
  <si>
    <t>UH90-L</t>
  </si>
  <si>
    <t xml:space="preserve">Union (SCH-80) 1⁄2 inch 15 mm </t>
  </si>
  <si>
    <t>UH86-L</t>
  </si>
  <si>
    <t>UH82-L</t>
  </si>
  <si>
    <t>UH89-L</t>
  </si>
  <si>
    <t>U42</t>
  </si>
  <si>
    <t xml:space="preserve">Union (SCH-80) 3⁄4 inch 20 mm </t>
  </si>
  <si>
    <t>U43</t>
  </si>
  <si>
    <t>U44</t>
  </si>
  <si>
    <t xml:space="preserve">Union (SCH-80) 1 inch 25 mm </t>
  </si>
  <si>
    <t>U45</t>
  </si>
  <si>
    <t xml:space="preserve">Union (SCH-80) 1 1⁄4 inch 32 mm </t>
  </si>
  <si>
    <t>U46</t>
  </si>
  <si>
    <t xml:space="preserve">Union (SCH-80) 1 1⁄2 inch 40 mm </t>
  </si>
  <si>
    <t xml:space="preserve">Union (SCH-80) 2 inch 50 mm </t>
  </si>
  <si>
    <t>U47</t>
  </si>
  <si>
    <t xml:space="preserve">Union (SCH-80) 2 1⁄2 inch 65 mm </t>
  </si>
  <si>
    <t>U48</t>
  </si>
  <si>
    <t xml:space="preserve">Union (SCH-80) 3 inch 80 mm </t>
  </si>
  <si>
    <t>U49</t>
  </si>
  <si>
    <t xml:space="preserve">Union (SCH-80) 4 inch 100 mm </t>
  </si>
  <si>
    <t>Coupling (SCH-40)</t>
  </si>
  <si>
    <t xml:space="preserve">Reducer Bushing (SCH-80) 3⁄4 x 3⁄4 x 1⁄2 inch 20x20x15 mm </t>
  </si>
  <si>
    <t>U49N</t>
  </si>
  <si>
    <t xml:space="preserve">Reducer Bushing (SCH-80) 1 x 1 x 1⁄2 inch 25x25x15 mm </t>
  </si>
  <si>
    <t>End Cap (SCH-80)</t>
  </si>
  <si>
    <t xml:space="preserve">Reducer Bushing (SCH-80) 1 1⁄4 x 1 1⁄4 x 1⁄2 inch 32x32x15 mm </t>
  </si>
  <si>
    <t>U601</t>
  </si>
  <si>
    <t xml:space="preserve">Reducer Bushing (SCH-80) 1 1⁄4 x 1 1⁄4 x 3⁄4 inch 32x32x20 mm </t>
  </si>
  <si>
    <t>U602</t>
  </si>
  <si>
    <t xml:space="preserve">Reducer Bushing (SCH-80) 1 1⁄4 x 1 1⁄4 x 1 inch 32x32x25 mm </t>
  </si>
  <si>
    <t>U603</t>
  </si>
  <si>
    <t xml:space="preserve">Reducer Bushing (SCH-80) 1 x 3⁄4 x 1 inch 25x25x20 mm </t>
  </si>
  <si>
    <t>U604</t>
  </si>
  <si>
    <t>U605</t>
  </si>
  <si>
    <t xml:space="preserve">Reducer Bushing (SCH-80) 1 1⁄2 x 1 1⁄2 x 1⁄2 inch 40x40x15 mm </t>
  </si>
  <si>
    <t>U606</t>
  </si>
  <si>
    <t xml:space="preserve">Reducer Bushing (SCH-80) 1 1⁄2 x 1 1⁄2 x 3⁄4 inch 40x40x20 mm </t>
  </si>
  <si>
    <t xml:space="preserve">Reducer Bushing (SCH-80) 1 1⁄2 x 1 1⁄2 x 1 inch 40x40x25 mm </t>
  </si>
  <si>
    <t>U607</t>
  </si>
  <si>
    <t xml:space="preserve">Reducer Bushing (SCH-80) 1 1⁄2 x 1 1⁄2 x 1 1⁄4 inch 40x40x32 mm </t>
  </si>
  <si>
    <t xml:space="preserve">Reducer Bushing (SCH-80) 2 x 2 x 1⁄2 inch 50x50x15 mm </t>
  </si>
  <si>
    <t>U608</t>
  </si>
  <si>
    <t>U609</t>
  </si>
  <si>
    <t xml:space="preserve">Reducer Bushing (SCH-80) 2 x 2 x 3⁄4 inch 50x50x20 mm </t>
  </si>
  <si>
    <t xml:space="preserve">Reducer Bushing (SCH-80) 2 x 2 x 1 inch 50x50x25 mm </t>
  </si>
  <si>
    <t xml:space="preserve">Reducer Bushing (SCH-80) 2 x 2 x 1 1⁄4 inch 50x50x32 mm </t>
  </si>
  <si>
    <t>U101</t>
  </si>
  <si>
    <t xml:space="preserve">Reducer Bushing (SCH-80) 2 x 2 x 1 1⁄2 inch 50x50x40 mm </t>
  </si>
  <si>
    <t>U102</t>
  </si>
  <si>
    <t>U103</t>
  </si>
  <si>
    <t>U104</t>
  </si>
  <si>
    <t>U105</t>
  </si>
  <si>
    <t>U106</t>
  </si>
  <si>
    <t xml:space="preserve">Reducer Bushing (SCH-80) 3 x 2 1⁄2 inch 50X65 mm </t>
  </si>
  <si>
    <t>U107</t>
  </si>
  <si>
    <t>U108</t>
  </si>
  <si>
    <t>U109</t>
  </si>
  <si>
    <t xml:space="preserve">Reducer Coupling (SCH-80) 3⁄4 x 1⁄2 inch 20x15 mm </t>
  </si>
  <si>
    <t xml:space="preserve">Reducer Coupling (SCH-80) 1 x 1⁄2 inch 25x15 mm </t>
  </si>
  <si>
    <t>U89</t>
  </si>
  <si>
    <t xml:space="preserve">Reducer Coupling (SCH-80) 1 x 3⁄4 inch 25x20 mm </t>
  </si>
  <si>
    <t xml:space="preserve">Reducer Coupling (SCH-80) 1 1⁄4 x 1⁄2 inch 32x15 mm </t>
  </si>
  <si>
    <t>U90</t>
  </si>
  <si>
    <t xml:space="preserve">Reducer Coupling (SCH-80) 1 1⁄4 x 3⁄4 inch 32x20 mm </t>
  </si>
  <si>
    <t>U91</t>
  </si>
  <si>
    <t xml:space="preserve">Reducer Coupling (SCH-80) 1 1⁄4 x 1 inch 32x25 mm </t>
  </si>
  <si>
    <t>U92</t>
  </si>
  <si>
    <t>U93</t>
  </si>
  <si>
    <t xml:space="preserve">Reducer Coupling (SCH-80) 1 1⁄2 x 1⁄2 inch 40x15 mm </t>
  </si>
  <si>
    <t>U94</t>
  </si>
  <si>
    <t xml:space="preserve">Reducer Coupling (SCH-80) 1 1⁄2 x 3⁄4 inch 40x20 mm </t>
  </si>
  <si>
    <t>U95</t>
  </si>
  <si>
    <t>U96</t>
  </si>
  <si>
    <t xml:space="preserve">Reducer Coupling (SCH-80) 1 1⁄2 x 1 inch 40x25 mm </t>
  </si>
  <si>
    <t xml:space="preserve">Reducer Coupling (SCH-80) 1 1⁄2 x 1 1⁄4 inch 40x32 mm </t>
  </si>
  <si>
    <t>U97</t>
  </si>
  <si>
    <t xml:space="preserve">Reducer Coupling (SCH-80) 2 x 1⁄2 inch 50x15 mm </t>
  </si>
  <si>
    <t xml:space="preserve">Reducer Coupling (SCH-80) 2 x 3⁄4 inch 50x20 mm </t>
  </si>
  <si>
    <t>U98</t>
  </si>
  <si>
    <t xml:space="preserve">Reducer Coupling (SCH-80) 2 x 1 inch 50x25 mm </t>
  </si>
  <si>
    <t>U99</t>
  </si>
  <si>
    <t xml:space="preserve">Reducer Coupling (SCH-80) 2 x 1 1⁄4 inch 50x32 mm </t>
  </si>
  <si>
    <t xml:space="preserve">Reducer Coupling (SCH-80) 2 x 1 1⁄2 inch 50x40 mm </t>
  </si>
  <si>
    <t xml:space="preserve">Coupling (SCH-80) 1⁄2 inch 15 mm </t>
  </si>
  <si>
    <t xml:space="preserve">Coupling (SCH-80) 3⁄4 inch 20 mm </t>
  </si>
  <si>
    <t xml:space="preserve">Coupling (SCH-80) 1 inch 25 mm </t>
  </si>
  <si>
    <t xml:space="preserve">Coupling (SCH-80) 1 1⁄4 inch 32 mm </t>
  </si>
  <si>
    <t xml:space="preserve">Coupling (SCH-80) 1 1⁄2 inch 40 mm </t>
  </si>
  <si>
    <t xml:space="preserve">Coupling (SCH-80) 2 inch 50 mm </t>
  </si>
  <si>
    <t xml:space="preserve">Coupling (SCH-80) 2 1⁄2 inch 65 mm </t>
  </si>
  <si>
    <t xml:space="preserve">Coupling (SCH-80) 3 inch 80 mm </t>
  </si>
  <si>
    <t xml:space="preserve">Coupling (SCH-80) 4 inch 100 mm </t>
  </si>
  <si>
    <t xml:space="preserve">Coupling (SCH-40) 6 inch 150 mm </t>
  </si>
  <si>
    <t>Cross Tee (SCH-80)</t>
  </si>
  <si>
    <t xml:space="preserve">End Cap (SCH-80) 1⁄2 inch 15 mm </t>
  </si>
  <si>
    <t>U310</t>
  </si>
  <si>
    <t xml:space="preserve">End Cap (SCH-80) 3⁄4 inch 20 mm </t>
  </si>
  <si>
    <t xml:space="preserve">End Cap (SCH-80) 1 inch 25 mm </t>
  </si>
  <si>
    <t>U320</t>
  </si>
  <si>
    <t>U330</t>
  </si>
  <si>
    <t xml:space="preserve">End Cap (SCH-80) 1 1⁄4 inch 32 mm </t>
  </si>
  <si>
    <t>U340</t>
  </si>
  <si>
    <t xml:space="preserve">End Cap (SCH-80) 1 1⁄2 inch 40 mm </t>
  </si>
  <si>
    <t>Ball Valve Butterfly Handle (SCH-80)</t>
  </si>
  <si>
    <t xml:space="preserve">End Cap (SCH-80) 2 inch 50 mm </t>
  </si>
  <si>
    <t>U21</t>
  </si>
  <si>
    <t xml:space="preserve">End Cap (SCH-80) 2 1⁄2 inch 65 mm </t>
  </si>
  <si>
    <t>U22</t>
  </si>
  <si>
    <t xml:space="preserve">End Cap (SCH-80) 3 inch 80 mm </t>
  </si>
  <si>
    <t>U23</t>
  </si>
  <si>
    <t xml:space="preserve">End Cap (SCH-80) 4 inch 100 mm </t>
  </si>
  <si>
    <t>U24</t>
  </si>
  <si>
    <t>U25</t>
  </si>
  <si>
    <t>U26</t>
  </si>
  <si>
    <t xml:space="preserve">Male Adapter Plastic Threads (SCH-80) 1⁄2 inch 15 mm </t>
  </si>
  <si>
    <t xml:space="preserve">Male Adapter Plastic Threads (SCH-80) 3⁄4 inch 20 mm </t>
  </si>
  <si>
    <t>Ball Valve Threaded Butterfly Handle (SCH-80)</t>
  </si>
  <si>
    <t xml:space="preserve">Male Adapter Plastic Threads (SCH-80) 1 inch 25 mm </t>
  </si>
  <si>
    <t>U21 T</t>
  </si>
  <si>
    <t xml:space="preserve">Male Adapter Plastic Threads (SCH-80) 1 1⁄4 inch 32 mm </t>
  </si>
  <si>
    <t>U22 T</t>
  </si>
  <si>
    <t xml:space="preserve">Male Adapter Plastic Threads (SCH-80) 1 1⁄2 inch 40 mm </t>
  </si>
  <si>
    <t>U23 T</t>
  </si>
  <si>
    <t xml:space="preserve">Male Adapter Plastic Threads (SCH-80) 2 inch 50 mm </t>
  </si>
  <si>
    <t>U24 T</t>
  </si>
  <si>
    <t>U25 T</t>
  </si>
  <si>
    <t>U26 T</t>
  </si>
  <si>
    <t>Ball Valve Long Lever Handle (SCH-80)</t>
  </si>
  <si>
    <t>U21-L</t>
  </si>
  <si>
    <t xml:space="preserve">Female Adapter Plastic Threads (SCH-80) 3⁄4 x 1⁄2 inch 20x15 mm </t>
  </si>
  <si>
    <t xml:space="preserve">Female Adapter Plastic Threads (SCH-80) 1 x 1⁄2 inch 25x15 mm </t>
  </si>
  <si>
    <t>U22-L</t>
  </si>
  <si>
    <t>U23-L</t>
  </si>
  <si>
    <t xml:space="preserve">Female Adapter Plastic Threads (SCH-80) 1⁄2 inch 15 mm </t>
  </si>
  <si>
    <t>U24-L</t>
  </si>
  <si>
    <t xml:space="preserve">Female Adapter Plastic Threads (SCH-80) 3⁄4 inch 20 mm </t>
  </si>
  <si>
    <t>U25-L</t>
  </si>
  <si>
    <t>U26-L</t>
  </si>
  <si>
    <t xml:space="preserve">Female Adapter Plastic Threads (SCH-80) 1 inch 25 mm </t>
  </si>
  <si>
    <t xml:space="preserve">Female Adapter Plastic Threads (SCH-80) 1 1⁄4 inch 32 mm </t>
  </si>
  <si>
    <t xml:space="preserve">Female Adapter Plastic Threads (SCH-80) 1 1⁄2 inch 40 mm </t>
  </si>
  <si>
    <t>U22 N</t>
  </si>
  <si>
    <t xml:space="preserve">Female Adapter Plastic Threads (SCH-80) 2 inch 50 mm </t>
  </si>
  <si>
    <t>U23 N</t>
  </si>
  <si>
    <t>U24 N</t>
  </si>
  <si>
    <t>U25 N</t>
  </si>
  <si>
    <t>U26 N</t>
  </si>
  <si>
    <t>U22 NL</t>
  </si>
  <si>
    <t xml:space="preserve">Male Adapter Brass Threads (SCH-80) 3⁄4 x 1⁄2 inch 20x15 mm </t>
  </si>
  <si>
    <t xml:space="preserve">Male Adapter Brass Threads (SCH-80) 1⁄2 inch 15 mm </t>
  </si>
  <si>
    <t>U23 NL</t>
  </si>
  <si>
    <t xml:space="preserve">Male Adapter Brass Threads (SCH-80) 3⁄4 inch 20 mm </t>
  </si>
  <si>
    <t>U24 NL</t>
  </si>
  <si>
    <t>U25 NL</t>
  </si>
  <si>
    <t xml:space="preserve">Male Adapter Brass Threads (SCH-80) 1 inch 25 mm </t>
  </si>
  <si>
    <t>U26 NL</t>
  </si>
  <si>
    <t xml:space="preserve">Male Adapter Brass Threads (SCH-80) 1 1⁄4 inch 32 mm </t>
  </si>
  <si>
    <t xml:space="preserve">Male Adapter Brass Threads (SCH-80) 1 1⁄2 inch 40 mm </t>
  </si>
  <si>
    <t>Tank Nipple (SCH-80)</t>
  </si>
  <si>
    <t>U272</t>
  </si>
  <si>
    <t xml:space="preserve">Male Adapter Brass Threads (SCH-80) 2 inch 50 mm </t>
  </si>
  <si>
    <t xml:space="preserve">Male Adapter Brass Threads (SCH-80) 1 x 1⁄2 inch 25x15 mm </t>
  </si>
  <si>
    <t>U273</t>
  </si>
  <si>
    <t xml:space="preserve">Female Adapter Brass Threads (SCH-80) 1⁄2 inch 15 mm </t>
  </si>
  <si>
    <t>U274</t>
  </si>
  <si>
    <t>U275</t>
  </si>
  <si>
    <t xml:space="preserve">Female Adapter Brass Threads (SCH-80) 3⁄4 inch 20 mm </t>
  </si>
  <si>
    <t>U276</t>
  </si>
  <si>
    <t xml:space="preserve">Female Adapter Brass Threads (SCH-80) 1 inch 25 mm </t>
  </si>
  <si>
    <t>Tank Connector (SCH-80)</t>
  </si>
  <si>
    <t xml:space="preserve">Female Adapter Brass Threads (SCH-80) 1 1⁄4 inch 32 mm </t>
  </si>
  <si>
    <t>U272N</t>
  </si>
  <si>
    <t xml:space="preserve">Female Adapter Brass Threads (SCH-80) 1 1⁄2 inch 40 mm </t>
  </si>
  <si>
    <t>Length</t>
  </si>
  <si>
    <t>Length (Mtr)</t>
  </si>
  <si>
    <t>Socket</t>
  </si>
  <si>
    <t>U273N</t>
  </si>
  <si>
    <t xml:space="preserve">Female Adapter Brass Threads (SCH-80) 2 inch 50 mm </t>
  </si>
  <si>
    <t>U274N</t>
  </si>
  <si>
    <t>U275N</t>
  </si>
  <si>
    <t xml:space="preserve">Female Adapter Brass Threads (SCH-80) 3⁄4 x 1⁄2 inch 20x15 mm </t>
  </si>
  <si>
    <t>U276N</t>
  </si>
  <si>
    <t>U277N</t>
  </si>
  <si>
    <t xml:space="preserve">Female Adapter Brass Threads (SCH-80) 1 x 1⁄2 inch 25x15 mm </t>
  </si>
  <si>
    <t>U278N</t>
  </si>
  <si>
    <t>SWR PIPE TYPE "A"</t>
  </si>
  <si>
    <t>SWR PIPE TYPE "B"</t>
  </si>
  <si>
    <t>U279N</t>
  </si>
  <si>
    <t xml:space="preserve">Cross Tee (SCH-80) 1⁄2 inch 15 mm </t>
  </si>
  <si>
    <t>3 Meter</t>
  </si>
  <si>
    <t>S/S</t>
  </si>
  <si>
    <t xml:space="preserve">Cross Tee (SCH-80) 3⁄4 inch 20 mm </t>
  </si>
  <si>
    <t>PW 71</t>
  </si>
  <si>
    <t>PW 31</t>
  </si>
  <si>
    <t xml:space="preserve">Cross Tee (SCH-80) 1 inch 25 mm </t>
  </si>
  <si>
    <t>D/S</t>
  </si>
  <si>
    <t>PW 72</t>
  </si>
  <si>
    <t>PW 32</t>
  </si>
  <si>
    <t xml:space="preserve">Cross Tee (SCH-80) 1 1⁄4 inch 32 mm </t>
  </si>
  <si>
    <t>6 Meter</t>
  </si>
  <si>
    <t>PW 73</t>
  </si>
  <si>
    <t>PW 33</t>
  </si>
  <si>
    <t>PW 74</t>
  </si>
  <si>
    <t>PW 34</t>
  </si>
  <si>
    <t>2 Feet</t>
  </si>
  <si>
    <t xml:space="preserve">Ball Valve Butterfly Handle (SCH-80) 1⁄2 inch 15 mm </t>
  </si>
  <si>
    <t>PW 75</t>
  </si>
  <si>
    <t>PW 35</t>
  </si>
  <si>
    <t>3 Feet</t>
  </si>
  <si>
    <t>PW 76</t>
  </si>
  <si>
    <t xml:space="preserve">Ball Valve Butterfly Handle (SCH-80) 3⁄4 inch 20 mm </t>
  </si>
  <si>
    <t>PW 36</t>
  </si>
  <si>
    <t>4 Feet</t>
  </si>
  <si>
    <t>PW 77</t>
  </si>
  <si>
    <t>PW 37</t>
  </si>
  <si>
    <t>6 Feet</t>
  </si>
  <si>
    <t>PW 78</t>
  </si>
  <si>
    <t>PW 38</t>
  </si>
  <si>
    <t>PW 79</t>
  </si>
  <si>
    <t>PW 39</t>
  </si>
  <si>
    <t xml:space="preserve">Ball Valve Butterfly Handle (SCH-80) 1 inch 25 mm </t>
  </si>
  <si>
    <t>PW 80</t>
  </si>
  <si>
    <t>Step Over Bend (SCH-80)</t>
  </si>
  <si>
    <t>PW 40</t>
  </si>
  <si>
    <t>U11</t>
  </si>
  <si>
    <t>PW 91</t>
  </si>
  <si>
    <t xml:space="preserve">Ball Valve Butterfly Handle (SCH-80) 1 1⁄4 inch 32 mm </t>
  </si>
  <si>
    <t>PW 81</t>
  </si>
  <si>
    <t>PW 92</t>
  </si>
  <si>
    <t>PW 82</t>
  </si>
  <si>
    <t>PW 93</t>
  </si>
  <si>
    <t xml:space="preserve">Ball Valve Butterfly Handle (SCH-80) 1 1⁄2 inch 40 mm </t>
  </si>
  <si>
    <t>PW 83</t>
  </si>
  <si>
    <t>PW 94</t>
  </si>
  <si>
    <t>U12</t>
  </si>
  <si>
    <t>PW 84</t>
  </si>
  <si>
    <t>PW 95</t>
  </si>
  <si>
    <t>PW 85</t>
  </si>
  <si>
    <t>PW 96</t>
  </si>
  <si>
    <t>PW 86</t>
  </si>
  <si>
    <t>U13</t>
  </si>
  <si>
    <t xml:space="preserve">Ball Valve Butterfly Handle (SCH-80) 2 inch 50 mm </t>
  </si>
  <si>
    <t>PW 97</t>
  </si>
  <si>
    <t>PW 87</t>
  </si>
  <si>
    <t>PW 98</t>
  </si>
  <si>
    <t>PW 88</t>
  </si>
  <si>
    <t xml:space="preserve">Ball Valve Threaded Butterfly Handle (SCH-80) 1⁄2 inch 15 mm </t>
  </si>
  <si>
    <t>U14</t>
  </si>
  <si>
    <t>PW 99</t>
  </si>
  <si>
    <t>PW 89</t>
  </si>
  <si>
    <t>PW 100</t>
  </si>
  <si>
    <t>PW 90</t>
  </si>
  <si>
    <t>U15</t>
  </si>
  <si>
    <t xml:space="preserve">Ball Valve Threaded Butterfly Handle (SCH-80) 3⁄4 inch 20 mm </t>
  </si>
  <si>
    <t>PW 11</t>
  </si>
  <si>
    <t>PW 21</t>
  </si>
  <si>
    <t>PW 12</t>
  </si>
  <si>
    <t xml:space="preserve">Ball Valve Threaded Butterfly Handle (SCH-80) 1 inch 25 mm </t>
  </si>
  <si>
    <t>PW 22</t>
  </si>
  <si>
    <t>PW 13</t>
  </si>
  <si>
    <t>PW 23</t>
  </si>
  <si>
    <t>PW 14</t>
  </si>
  <si>
    <t>PW 24</t>
  </si>
  <si>
    <t xml:space="preserve">Ball Valve Threaded Butterfly Handle (SCH-80) 1 1⁄4 inch 32 mm </t>
  </si>
  <si>
    <t>PW 15</t>
  </si>
  <si>
    <t>PW 25</t>
  </si>
  <si>
    <t>UF12</t>
  </si>
  <si>
    <t>PW 16</t>
  </si>
  <si>
    <t>PW 26</t>
  </si>
  <si>
    <t xml:space="preserve">Ball Valve Threaded Butterfly Handle (SCH-80) 1 1⁄2 inch 40 mm </t>
  </si>
  <si>
    <t>PW 17</t>
  </si>
  <si>
    <t>PW 27</t>
  </si>
  <si>
    <t>PW 18</t>
  </si>
  <si>
    <t>PW 28</t>
  </si>
  <si>
    <t>PW 19</t>
  </si>
  <si>
    <t>UF13</t>
  </si>
  <si>
    <t>PW 29</t>
  </si>
  <si>
    <t xml:space="preserve">Ball Valve Threaded Butterfly Handle (SCH-80) 2 inch 50 mm </t>
  </si>
  <si>
    <t>PW 20</t>
  </si>
  <si>
    <t>PW 30</t>
  </si>
  <si>
    <t>UF14</t>
  </si>
  <si>
    <t xml:space="preserve">Ball Valve Long Lever Handle (SCH-80) 1⁄2 inch 15 mm </t>
  </si>
  <si>
    <t>PW 61</t>
  </si>
  <si>
    <t>PW 51</t>
  </si>
  <si>
    <t>PW 62</t>
  </si>
  <si>
    <t>PW 52</t>
  </si>
  <si>
    <t xml:space="preserve">Ball Valve Long Lever Handle (SCH-80) 3⁄4 inch 20 mm </t>
  </si>
  <si>
    <t>PW 63</t>
  </si>
  <si>
    <t>PW 53</t>
  </si>
  <si>
    <t>PW 64</t>
  </si>
  <si>
    <t>PW 54</t>
  </si>
  <si>
    <t>Pipe Clamp (SCH-80)</t>
  </si>
  <si>
    <t>PW 65</t>
  </si>
  <si>
    <t xml:space="preserve">Ball Valve Long Lever Handle (SCH-80) 1 inch 25 mm </t>
  </si>
  <si>
    <t>PW 55</t>
  </si>
  <si>
    <t>PW 66</t>
  </si>
  <si>
    <t>PW 56</t>
  </si>
  <si>
    <t>UC21</t>
  </si>
  <si>
    <t>PW 67</t>
  </si>
  <si>
    <t>PW 57</t>
  </si>
  <si>
    <t xml:space="preserve">Ball Valve Long Lever Handle (SCH-80) 1 1⁄4 inch 32 mm </t>
  </si>
  <si>
    <t>PW 68</t>
  </si>
  <si>
    <t>PW 58</t>
  </si>
  <si>
    <t>PW 69</t>
  </si>
  <si>
    <t>PW 59</t>
  </si>
  <si>
    <t xml:space="preserve">Ball Valve Long Lever Handle (SCH-80) 1 1⁄2 inch 40 mm </t>
  </si>
  <si>
    <t>PW 70</t>
  </si>
  <si>
    <t>PW 60</t>
  </si>
  <si>
    <t>UC22</t>
  </si>
  <si>
    <t>UC23</t>
  </si>
  <si>
    <t xml:space="preserve">Ball Valve Long Lever Handle (SCH-80) 2 inch 50 mm </t>
  </si>
  <si>
    <t>Pipe Clamp (Heavy Saddle with Powder Coating) (SCH-80)</t>
  </si>
  <si>
    <t>SWR PIPE SELF FIT TYPE "A"</t>
  </si>
  <si>
    <t>SWR PIPE SELF FIT TYPE "B"</t>
  </si>
  <si>
    <t>UC1</t>
  </si>
  <si>
    <t>PW71S</t>
  </si>
  <si>
    <t>PW31S</t>
  </si>
  <si>
    <t>UC2</t>
  </si>
  <si>
    <t>PW72S</t>
  </si>
  <si>
    <t>PW32S</t>
  </si>
  <si>
    <t>UC3</t>
  </si>
  <si>
    <t>PW73S</t>
  </si>
  <si>
    <t>PW33S</t>
  </si>
  <si>
    <t>PW74S</t>
  </si>
  <si>
    <t>UC4</t>
  </si>
  <si>
    <t>PW34S</t>
  </si>
  <si>
    <t>PW75S</t>
  </si>
  <si>
    <t>PW35S</t>
  </si>
  <si>
    <t>PW76S</t>
  </si>
  <si>
    <t>UC5</t>
  </si>
  <si>
    <t>PW36S</t>
  </si>
  <si>
    <t>PW77S</t>
  </si>
  <si>
    <t>UC6</t>
  </si>
  <si>
    <t>PW37S</t>
  </si>
  <si>
    <t>PW78S</t>
  </si>
  <si>
    <t>PW38S</t>
  </si>
  <si>
    <t>PW79S</t>
  </si>
  <si>
    <t>PW39S</t>
  </si>
  <si>
    <t>PW80S</t>
  </si>
  <si>
    <t>PW40S</t>
  </si>
  <si>
    <t>Pipe Clamp (Heavy Saddle without Powder Coating) Zinc Plated (SCH-80)</t>
  </si>
  <si>
    <t>PW91S</t>
  </si>
  <si>
    <t>PW81S</t>
  </si>
  <si>
    <t>UC11</t>
  </si>
  <si>
    <t>PW92S</t>
  </si>
  <si>
    <t>PW82S</t>
  </si>
  <si>
    <t>PW93S</t>
  </si>
  <si>
    <t>PW83S</t>
  </si>
  <si>
    <t>PW94S</t>
  </si>
  <si>
    <t>PW84S</t>
  </si>
  <si>
    <t>PW95S</t>
  </si>
  <si>
    <t>PW85S</t>
  </si>
  <si>
    <t>UC12</t>
  </si>
  <si>
    <t>PW96S</t>
  </si>
  <si>
    <t>PW86S</t>
  </si>
  <si>
    <t xml:space="preserve">Tank Nipple (SCH-80) 3⁄4 inch 20 mm </t>
  </si>
  <si>
    <t>PW97S</t>
  </si>
  <si>
    <t>PW87S</t>
  </si>
  <si>
    <t>PW98S</t>
  </si>
  <si>
    <t>UC13</t>
  </si>
  <si>
    <t>PW88S</t>
  </si>
  <si>
    <t>PW99S</t>
  </si>
  <si>
    <t>PW89S</t>
  </si>
  <si>
    <t xml:space="preserve">Tank Nipple (SCH-80) 1 inch 25 mm </t>
  </si>
  <si>
    <t>UC14</t>
  </si>
  <si>
    <t>PW100S</t>
  </si>
  <si>
    <t>PW90S</t>
  </si>
  <si>
    <t>PW11S</t>
  </si>
  <si>
    <t>PW21S</t>
  </si>
  <si>
    <t>UC15</t>
  </si>
  <si>
    <t>PW12S</t>
  </si>
  <si>
    <t>PW22S</t>
  </si>
  <si>
    <t xml:space="preserve">Tank Nipple (SCH-80) 1 1⁄4 inch 32 mm </t>
  </si>
  <si>
    <t>PW13S</t>
  </si>
  <si>
    <t>PW23S</t>
  </si>
  <si>
    <t>UC16</t>
  </si>
  <si>
    <t>PW14S</t>
  </si>
  <si>
    <t>PW24S</t>
  </si>
  <si>
    <t>PW15S</t>
  </si>
  <si>
    <t>PW25S</t>
  </si>
  <si>
    <t xml:space="preserve">Tank Nipple (SCH-80) 1 1⁄2 inch 40 mm </t>
  </si>
  <si>
    <t>PW16S</t>
  </si>
  <si>
    <t>PW26S</t>
  </si>
  <si>
    <t>PW17S</t>
  </si>
  <si>
    <t>PW27S</t>
  </si>
  <si>
    <t>PW18S</t>
  </si>
  <si>
    <t>Solvent Aqua Clear</t>
  </si>
  <si>
    <t>PW28S</t>
  </si>
  <si>
    <t>PW19S</t>
  </si>
  <si>
    <t>PW29S</t>
  </si>
  <si>
    <t>59 ML Tin</t>
  </si>
  <si>
    <t xml:space="preserve">Tank Nipple (SCH-80) 2 inch 50 mm </t>
  </si>
  <si>
    <t>PW20S</t>
  </si>
  <si>
    <t>PW30S</t>
  </si>
  <si>
    <t>S13</t>
  </si>
  <si>
    <t>PW61S</t>
  </si>
  <si>
    <t xml:space="preserve">Tank Connector (SCH-80) 3⁄4 inch 20 mm </t>
  </si>
  <si>
    <t>PW51S</t>
  </si>
  <si>
    <t>PW62S</t>
  </si>
  <si>
    <t>04 OZ/118 Tin</t>
  </si>
  <si>
    <t>PW52S</t>
  </si>
  <si>
    <t>S14</t>
  </si>
  <si>
    <t>PW63S</t>
  </si>
  <si>
    <t>PW53S</t>
  </si>
  <si>
    <t>08 OZ/237 Tin</t>
  </si>
  <si>
    <t>S15</t>
  </si>
  <si>
    <t>PW64S</t>
  </si>
  <si>
    <t>PW54S</t>
  </si>
  <si>
    <t xml:space="preserve">Tank Connector (SCH-80) 1 inch 25 mm </t>
  </si>
  <si>
    <t>16 OZ/437 Tin</t>
  </si>
  <si>
    <t>PW65S</t>
  </si>
  <si>
    <t>S16</t>
  </si>
  <si>
    <t>PW55S</t>
  </si>
  <si>
    <t>32 OZ/946 Tin</t>
  </si>
  <si>
    <t>PW66S</t>
  </si>
  <si>
    <t>S17</t>
  </si>
  <si>
    <t>PW56S</t>
  </si>
  <si>
    <t>PW67S</t>
  </si>
  <si>
    <t>PW57S</t>
  </si>
  <si>
    <t xml:space="preserve">Tank Connector (SCH-80) 1 1⁄4 inch 32 mm </t>
  </si>
  <si>
    <t>PW68S</t>
  </si>
  <si>
    <t>PW58S</t>
  </si>
  <si>
    <t>PW69S</t>
  </si>
  <si>
    <t>PW59S</t>
  </si>
  <si>
    <t>PW70S</t>
  </si>
  <si>
    <t xml:space="preserve">Tank Connector (SCH-80) 1 1⁄2 inch 40 mm </t>
  </si>
  <si>
    <t>PW60S</t>
  </si>
  <si>
    <t xml:space="preserve">Tank Connector (SCH-80) 2 inch 50 mm </t>
  </si>
  <si>
    <t xml:space="preserve">Tank Connector (SCH-80) 2 1⁄2 inch 65 mm </t>
  </si>
  <si>
    <t xml:space="preserve">Tank Connector (SCH-80) 3 inch 80 mm </t>
  </si>
  <si>
    <t xml:space="preserve">Tank Connector (SCH-80) 4 inch 100 mm </t>
  </si>
  <si>
    <t xml:space="preserve">Reducer Brass Tee (SCH-80) 1⁄2 x 1⁄2 x 1⁄2 inch 15x15x15 mm </t>
  </si>
  <si>
    <t xml:space="preserve">Reducer Brass Tee (SCH-80) 3⁄4 x 3⁄4 x 1⁄2 inch 20x20x15 mm </t>
  </si>
  <si>
    <t xml:space="preserve">Reducer Brass Tee (SCH-80) 1 x 1 x 1⁄2 inch 25x25x15 mm </t>
  </si>
  <si>
    <t xml:space="preserve">Reducer Brass Tee (SCH-80) 1 x 1 x 3⁄4 inch 25x25x20 mm </t>
  </si>
  <si>
    <t xml:space="preserve">Step Over Bend (SCH-80) 1⁄2 inch 15 mm </t>
  </si>
  <si>
    <t xml:space="preserve">Step Over Bend (SCH-80) 3⁄4 inch 20 mm </t>
  </si>
  <si>
    <t xml:space="preserve">Step Over Bend (SCH-80) 1 inch 25 mm </t>
  </si>
  <si>
    <t xml:space="preserve">Step Over Bend (SCH-80) 1 1⁄4 inch 32 mm </t>
  </si>
  <si>
    <t xml:space="preserve">Step Over Bend (SCH-80) 1 1⁄2 inch 40 mm </t>
  </si>
  <si>
    <t xml:space="preserve">Pipe Clamp (SCH-80) 1⁄2 inch 15 mm </t>
  </si>
  <si>
    <t>Short Bend (SCH-80)</t>
  </si>
  <si>
    <t xml:space="preserve">Pipe Clamp (SCH-80) 3⁄4 inch 20 mm </t>
  </si>
  <si>
    <t>z</t>
  </si>
  <si>
    <t>U121</t>
  </si>
  <si>
    <t xml:space="preserve">Pipe Clamp (SCH-80) 1 inch 25 mm </t>
  </si>
  <si>
    <t xml:space="preserve">Short Bend (SCH-80) 1⁄2 inch 15 mm </t>
  </si>
  <si>
    <t>U122</t>
  </si>
  <si>
    <t>U123</t>
  </si>
  <si>
    <t xml:space="preserve">Short Bend (SCH-80) 3⁄4 inch 20 mm </t>
  </si>
  <si>
    <t>U124</t>
  </si>
  <si>
    <t xml:space="preserve">Short Bend (SCH-80) 1 inch 25 mm </t>
  </si>
  <si>
    <t>U125</t>
  </si>
  <si>
    <t>U126</t>
  </si>
  <si>
    <t xml:space="preserve">Short Bend (SCH-80) 1 1⁄4 inch 32 mm </t>
  </si>
  <si>
    <t xml:space="preserve">Short Bend (SCH-80) 1 1⁄2 inch 40 mm </t>
  </si>
  <si>
    <t xml:space="preserve">Short Bend (SCH-80) 2 inch 50 mm </t>
  </si>
  <si>
    <t xml:space="preserve">Pipe Clamp (Heavy Saddle with Powder Coating) (SCH-80) 1⁄2 inch 15 mm </t>
  </si>
  <si>
    <t xml:space="preserve">Pipe Clamp (Heavy Saddle with Powder Coating) (SCH-80) 3⁄4 inch 20 mm </t>
  </si>
  <si>
    <t xml:space="preserve">Pipe Clamp (Heavy Saddle with Powder Coating) (SCH-80) 1 inch 25 mm </t>
  </si>
  <si>
    <t xml:space="preserve">Pipe Clamp (Heavy Saddle with Powder Coating) (SCH-80) 1 1⁄4 inch 32 mm </t>
  </si>
  <si>
    <t xml:space="preserve">Pipe Clamp (Heavy Saddle with Powder Coating) (SCH-80) 1 1⁄2 inch 40 mm </t>
  </si>
  <si>
    <t xml:space="preserve">Pipe Clamp (Heavy Saddle with Powder Coating) (SCH-80) 2 inch 50 mm </t>
  </si>
  <si>
    <t xml:space="preserve">Pipe Clamp (Heavy Saddle without Powder Coating) Zinc Plated (SCH-80) 1⁄2 inch 15 mm </t>
  </si>
  <si>
    <t xml:space="preserve">Pipe Clamp (Heavy Saddle without Powder Coating) Zinc Plated (SCH-80) 3⁄4 inch 20 mm </t>
  </si>
  <si>
    <t xml:space="preserve">Pipe Clamp (Heavy Saddle without Powder Coating) Zinc Plated (SCH-80) 1 inch 25 mm </t>
  </si>
  <si>
    <t xml:space="preserve">Pipe Clamp (Heavy Saddle without Powder Coating) Zinc Plated (SCH-80) 1 1⁄4 inch 32 mm </t>
  </si>
  <si>
    <t xml:space="preserve">Pipe Clamp (Heavy Saddle without Powder Coating) Zinc Plated (SCH-80) 1 1⁄2 inch 40 mm </t>
  </si>
  <si>
    <t xml:space="preserve">Pipe Clamp (Heavy Saddle without Powder Coating) Zinc Plated (SCH-80) 2 inch 50 mm </t>
  </si>
  <si>
    <t xml:space="preserve">Solvent Aqua Clear 59 ML Tin inch  mm </t>
  </si>
  <si>
    <t xml:space="preserve">Solvent Aqua Clear 04 OZ/118 Tin inch  mm </t>
  </si>
  <si>
    <t xml:space="preserve">Solvent Aqua Clear 08 OZ/237 Tin inch  mm </t>
  </si>
  <si>
    <t xml:space="preserve">Solvent Aqua Clear 16 OZ/437 Tin inch  mm </t>
  </si>
  <si>
    <t xml:space="preserve">Solvent Aqua Clear 32 OZ/946 Tin inch  mm </t>
  </si>
  <si>
    <t xml:space="preserve">Long Concealed Valve (Quarter Turn) 1⁄2 inch VIVA mm </t>
  </si>
  <si>
    <t xml:space="preserve">Long Concealed Valve (Quarter Turn) 1⁄2 inch SPA mm </t>
  </si>
  <si>
    <t xml:space="preserve">Long Concealed Valve (Quarter Turn) 1⁄2 inch URBONA mm </t>
  </si>
  <si>
    <t xml:space="preserve">Long Concealed Valve (Quarter Turn) 1⁄2 inch MACASA mm </t>
  </si>
  <si>
    <t xml:space="preserve">Long Concealed Valve (Quarter Turn) 1⁄2 inch GRACIA mm </t>
  </si>
  <si>
    <t xml:space="preserve">Long Concealed Valve (Quarter Turn) 1⁄2 inch TRIANGULER mm </t>
  </si>
  <si>
    <t xml:space="preserve">Short Concealed Valve (Quarter Turn) 1⁄2 inch VIVA mm </t>
  </si>
  <si>
    <t xml:space="preserve">Short Concealed Valve (Quarter Turn) 1⁄2 inch SPA mm </t>
  </si>
  <si>
    <t xml:space="preserve">Short Concealed Valve (Quarter Turn) 1⁄2 inch URBONA mm </t>
  </si>
  <si>
    <t xml:space="preserve">Short Concealed Valve (Quarter Turn) 1⁄2 inch MACASA mm </t>
  </si>
  <si>
    <t xml:space="preserve">Short Concealed Valve (Quarter Turn) 1⁄2 inch GRACIA mm </t>
  </si>
  <si>
    <t xml:space="preserve">Short Concealed Valve (Quarter Turn) 1⁄2 inch TRIANGULER mm </t>
  </si>
  <si>
    <t xml:space="preserve">Long Concealed Valve (Quarter Turn) 3⁄4 inch VIVA mm </t>
  </si>
  <si>
    <t xml:space="preserve">Long Concealed Valve (Quarter Turn) 3⁄4 inch SPA mm </t>
  </si>
  <si>
    <t xml:space="preserve">Long Concealed Valve (Quarter Turn) 3⁄4 inch URBONA mm </t>
  </si>
  <si>
    <t xml:space="preserve">Long Concealed Valve (Quarter Turn) 3⁄4 inch MACASA mm </t>
  </si>
  <si>
    <t xml:space="preserve">Long Concealed Valve (Quarter Turn) 3⁄4 inch GRACIA mm </t>
  </si>
  <si>
    <t xml:space="preserve">Long Concealed Valve (Quarter Turn) 3⁄4 inch TRIANGULER mm </t>
  </si>
  <si>
    <t xml:space="preserve">Short Concealed Valve (Quarter Turn) 3⁄4 inch VIVA mm </t>
  </si>
  <si>
    <t xml:space="preserve">Short Concealed Valve (Quarter Turn) 3⁄4 inch SPA mm </t>
  </si>
  <si>
    <t xml:space="preserve">Short Concealed Valve (Quarter Turn) 3⁄4 inch URBONA mm </t>
  </si>
  <si>
    <t xml:space="preserve">Short Concealed Valve (Quarter Turn) 3⁄4 inch MACASA mm </t>
  </si>
  <si>
    <t xml:space="preserve">Short Concealed Valve (Quarter Turn) 3⁄4 inch GRACIA mm </t>
  </si>
  <si>
    <t xml:space="preserve">Short Concealed Valve (Quarter Turn) 3⁄4 inch TRIANGULER mm </t>
  </si>
  <si>
    <t xml:space="preserve">SWR PIPE TYPE "A" 3 Meter 75 mm </t>
  </si>
  <si>
    <t xml:space="preserve">SWR PIPE TYPE "A" 6 Meter 75 mm </t>
  </si>
  <si>
    <t xml:space="preserve">SWR PIPE TYPE "A" 2 Feet 75 mm </t>
  </si>
  <si>
    <t xml:space="preserve">SWR PIPE TYPE "A" 3 Feet 75 mm </t>
  </si>
  <si>
    <t xml:space="preserve">SWR PIPE TYPE "A" 4 Feet 75 mm </t>
  </si>
  <si>
    <t xml:space="preserve">SWR PIPE TYPE "A" 6 Feet 75 mm </t>
  </si>
  <si>
    <t xml:space="preserve">SWR PIPE TYPE "A" 3 Meter 90 mm </t>
  </si>
  <si>
    <t xml:space="preserve">SWR PIPE TYPE "A" 6 Meter 90 mm </t>
  </si>
  <si>
    <t xml:space="preserve">SWR PIPE TYPE "A" 2 Feet 90 mm </t>
  </si>
  <si>
    <t xml:space="preserve">SWR PIPE TYPE "A" 3 Feet 90 mm </t>
  </si>
  <si>
    <t xml:space="preserve">SWR PIPE TYPE "A" 4 Feet 90 mm </t>
  </si>
  <si>
    <t xml:space="preserve">SWR PIPE TYPE "A" 6 Feet 90 mm </t>
  </si>
  <si>
    <t xml:space="preserve">SWR PIPE TYPE "A" 3 Meter 110 mm </t>
  </si>
  <si>
    <t xml:space="preserve">SWR PIPE TYPE "A" 6 Meter 110 mm </t>
  </si>
  <si>
    <t xml:space="preserve">SWR PIPE TYPE "A" 2 Feet 110 mm </t>
  </si>
  <si>
    <t xml:space="preserve">SWR PIPE TYPE "A" 3 Feet 110 mm </t>
  </si>
  <si>
    <t xml:space="preserve">SWR PIPE TYPE "A" 4 Feet 110 mm </t>
  </si>
  <si>
    <t xml:space="preserve">SWR PIPE TYPE "A" 6 Feet 110 mm </t>
  </si>
  <si>
    <t xml:space="preserve">SWR PIPE TYPE "A" 3 Meter 160 mm </t>
  </si>
  <si>
    <t xml:space="preserve">SWR PIPE TYPE "A" 6 Meter 160 mm </t>
  </si>
  <si>
    <t xml:space="preserve">SWR PIPE TYPE "A" 2 Feet 160 mm </t>
  </si>
  <si>
    <t xml:space="preserve">SWR PIPE TYPE "A" 3 Feet 160 mm </t>
  </si>
  <si>
    <t xml:space="preserve">SWR PIPE TYPE "A" 4 Feet 160 mm </t>
  </si>
  <si>
    <t xml:space="preserve">SWR PIPE TYPE "A" 6 Feet 160 mm </t>
  </si>
  <si>
    <t xml:space="preserve">SWR PIPE SELF FIT TYPE "A" 3 Meter 75 mm </t>
  </si>
  <si>
    <t xml:space="preserve">SWR PIPE SELF FIT TYPE "A" 6 Meter 75 mm </t>
  </si>
  <si>
    <t xml:space="preserve">SWR PIPE SELF FIT TYPE "A" 2 Feet 75 mm </t>
  </si>
  <si>
    <t xml:space="preserve">SWR PIPE SELF FIT TYPE "A" 3 Feet 75 mm </t>
  </si>
  <si>
    <t xml:space="preserve">SWR PIPE SELF FIT TYPE "A" 4 Feet 75 mm </t>
  </si>
  <si>
    <t xml:space="preserve">SWR PIPE SELF FIT TYPE "A" 6 Feet 75 mm </t>
  </si>
  <si>
    <t xml:space="preserve">SWR PIPE SELF FIT TYPE "A" 3 Meter 90 mm </t>
  </si>
  <si>
    <t xml:space="preserve">SWR PIPE SELF FIT TYPE "A" 6 Meter 90 mm </t>
  </si>
  <si>
    <t xml:space="preserve">SWR PIPE SELF FIT TYPE "A" 2 Feet 90 mm </t>
  </si>
  <si>
    <t xml:space="preserve">SWR PIPE SELF FIT TYPE "A" 3 Feet 90 mm </t>
  </si>
  <si>
    <t xml:space="preserve">SWR PIPE SELF FIT TYPE "A" 4 Feet 90 mm </t>
  </si>
  <si>
    <t xml:space="preserve">SWR PIPE SELF FIT TYPE "A" 6 Feet 90 mm </t>
  </si>
  <si>
    <t xml:space="preserve">SWR PIPE SELF FIT TYPE "A" 3 Meter 110 mm </t>
  </si>
  <si>
    <t xml:space="preserve">SWR PIPE SELF FIT TYPE "A" 6 Meter 110 mm </t>
  </si>
  <si>
    <t xml:space="preserve">SWR PIPE SELF FIT TYPE "A" 2 Feet 110 mm </t>
  </si>
  <si>
    <t xml:space="preserve">SWR PIPE SELF FIT TYPE "A" 3 Feet 110 mm </t>
  </si>
  <si>
    <t xml:space="preserve">SWR PIPE SELF FIT TYPE "A" 4 Feet 110 mm </t>
  </si>
  <si>
    <t xml:space="preserve">SWR PIPE SELF FIT TYPE "A" 6 Feet 110 mm </t>
  </si>
  <si>
    <t xml:space="preserve">SWR PIPE SELF FIT TYPE "A" 3 Meter 160 mm </t>
  </si>
  <si>
    <t xml:space="preserve">SWR PIPE SELF FIT TYPE "A" 6 Meter 160 mm </t>
  </si>
  <si>
    <t xml:space="preserve">SWR PIPE SELF FIT TYPE "A" 2 Feet 160 mm </t>
  </si>
  <si>
    <t xml:space="preserve">SWR PIPE SELF FIT TYPE "A" 3 Feet 160 mm </t>
  </si>
  <si>
    <t xml:space="preserve">SWR PIPE SELF FIT TYPE "A" 4 Feet 160 mm </t>
  </si>
  <si>
    <t xml:space="preserve">SWR PIPE SELF FIT TYPE "A" 6 Feet 160 mm </t>
  </si>
  <si>
    <t xml:space="preserve">SWR PIPE TYPE "B" 3 Meter 75 mm </t>
  </si>
  <si>
    <t xml:space="preserve">SWR PIPE TYPE "B" 6 Meter 75 mm </t>
  </si>
  <si>
    <t xml:space="preserve">SWR PIPE TYPE "B" 2 Feet 75 mm </t>
  </si>
  <si>
    <t xml:space="preserve">SWR PIPE TYPE "B" 3 Feet 75 mm </t>
  </si>
  <si>
    <t xml:space="preserve">SWR PIPE TYPE "B" 4 Feet 75 mm </t>
  </si>
  <si>
    <t xml:space="preserve">SWR PIPE TYPE "B" 6 Feet 75 mm </t>
  </si>
  <si>
    <t xml:space="preserve">SWR PIPE TYPE "B" 3 Meter 90 mm </t>
  </si>
  <si>
    <t>Bend 45⁰</t>
  </si>
  <si>
    <t>5710</t>
  </si>
  <si>
    <t xml:space="preserve">SWR PIPE TYPE "B" 6 Meter 90 mm </t>
  </si>
  <si>
    <t>5910</t>
  </si>
  <si>
    <t>5110</t>
  </si>
  <si>
    <t>5610</t>
  </si>
  <si>
    <t xml:space="preserve">SWR PIPE TYPE "B" 2 Feet 90 mm </t>
  </si>
  <si>
    <t xml:space="preserve">SWR PIPE TYPE "B" 3 Feet 90 mm </t>
  </si>
  <si>
    <t xml:space="preserve">SWR PIPE TYPE "B" 4 Feet 90 mm </t>
  </si>
  <si>
    <t>Bend 87.5⁰ with Door</t>
  </si>
  <si>
    <t>5712</t>
  </si>
  <si>
    <t xml:space="preserve">SWR PIPE TYPE "B" 6 Feet 90 mm </t>
  </si>
  <si>
    <t>5912</t>
  </si>
  <si>
    <t>5112</t>
  </si>
  <si>
    <t>5612</t>
  </si>
  <si>
    <t>Bend 87.5⁰ with RH Door</t>
  </si>
  <si>
    <t>5715</t>
  </si>
  <si>
    <t xml:space="preserve">SWR PIPE TYPE "B" 3 Meter 110 mm </t>
  </si>
  <si>
    <t>5115</t>
  </si>
  <si>
    <t>Repair Coupler</t>
  </si>
  <si>
    <t>5722</t>
  </si>
  <si>
    <t>5922</t>
  </si>
  <si>
    <t xml:space="preserve">SWR PIPE TYPE "B" 6 Meter 110 mm </t>
  </si>
  <si>
    <t>5122</t>
  </si>
  <si>
    <t>5622</t>
  </si>
  <si>
    <t>PRINCE</t>
  </si>
  <si>
    <t>PER MTR PRICE</t>
  </si>
  <si>
    <t>6 METERS</t>
  </si>
  <si>
    <t>Cross Tee with Door</t>
  </si>
  <si>
    <t>5732</t>
  </si>
  <si>
    <t>2.5 KG</t>
  </si>
  <si>
    <t xml:space="preserve">SWR PIPE TYPE "B" 2 Feet 110 mm </t>
  </si>
  <si>
    <t>A-8C</t>
  </si>
  <si>
    <t>5132</t>
  </si>
  <si>
    <t xml:space="preserve">SWR PIPE TYPE "B" 3 Feet 110 mm </t>
  </si>
  <si>
    <t>Single Tee with Door</t>
  </si>
  <si>
    <t xml:space="preserve">SWR PIPE TYPE "B" 4 Feet 110 mm </t>
  </si>
  <si>
    <t>5734</t>
  </si>
  <si>
    <t>A-9C</t>
  </si>
  <si>
    <t>5934</t>
  </si>
  <si>
    <t xml:space="preserve">SWR PIPE TYPE "B" 6 Feet 110 mm </t>
  </si>
  <si>
    <t>5134</t>
  </si>
  <si>
    <t>5634</t>
  </si>
  <si>
    <t>A-10C</t>
  </si>
  <si>
    <t>A-11C</t>
  </si>
  <si>
    <t>A-12C</t>
  </si>
  <si>
    <t>Bend 87.5⁰</t>
  </si>
  <si>
    <t>A-13C</t>
  </si>
  <si>
    <t>A-14C</t>
  </si>
  <si>
    <t>5711</t>
  </si>
  <si>
    <t>4 KG</t>
  </si>
  <si>
    <t>A-26C</t>
  </si>
  <si>
    <t xml:space="preserve">SWR PIPE TYPE "B" 3 Meter 160 mm </t>
  </si>
  <si>
    <t>5911</t>
  </si>
  <si>
    <t>A-27C</t>
  </si>
  <si>
    <t>5111</t>
  </si>
  <si>
    <t>A-28C</t>
  </si>
  <si>
    <t>5611</t>
  </si>
  <si>
    <t>A-29C</t>
  </si>
  <si>
    <t xml:space="preserve">SWR PIPE TYPE "B" 6 Meter 160 mm </t>
  </si>
  <si>
    <t>A-30C</t>
  </si>
  <si>
    <t>A-31C</t>
  </si>
  <si>
    <t>A-32C</t>
  </si>
  <si>
    <t>A-33C</t>
  </si>
  <si>
    <t>A-34C</t>
  </si>
  <si>
    <t xml:space="preserve">SWR PIPE TYPE "B" 2 Feet 160 mm </t>
  </si>
  <si>
    <t>6 KG</t>
  </si>
  <si>
    <t>A-44C</t>
  </si>
  <si>
    <t>A-45C</t>
  </si>
  <si>
    <t xml:space="preserve">SWR PIPE TYPE "B" 3 Feet 160 mm </t>
  </si>
  <si>
    <t>A-46C</t>
  </si>
  <si>
    <t>A-47C</t>
  </si>
  <si>
    <t>A-48C</t>
  </si>
  <si>
    <t xml:space="preserve">SWR PIPE TYPE "B" 4 Feet 160 mm </t>
  </si>
  <si>
    <t>A-49C</t>
  </si>
  <si>
    <t>A-50C</t>
  </si>
  <si>
    <t>A-51C</t>
  </si>
  <si>
    <t xml:space="preserve">SWR PIPE TYPE "B" 6 Feet 160 mm </t>
  </si>
  <si>
    <t>A-52C</t>
  </si>
  <si>
    <t>A-53C</t>
  </si>
  <si>
    <t>A-54C</t>
  </si>
  <si>
    <t>10 KG</t>
  </si>
  <si>
    <t>A-81C</t>
  </si>
  <si>
    <t>A-82C</t>
  </si>
  <si>
    <t xml:space="preserve">SWR PIPE SELF FIT TYPE "B" 3 Meter 75 mm </t>
  </si>
  <si>
    <t>A-83C</t>
  </si>
  <si>
    <t>A-84C</t>
  </si>
  <si>
    <t>A-85C</t>
  </si>
  <si>
    <t>A-86C</t>
  </si>
  <si>
    <t xml:space="preserve">SWR PIPE SELF FIT TYPE "B" 6 Meter 75 mm </t>
  </si>
  <si>
    <t>A-87C</t>
  </si>
  <si>
    <t>A-88C</t>
  </si>
  <si>
    <t xml:space="preserve">SWR PIPE SELF FIT TYPE "B" 2 Feet 75 mm </t>
  </si>
  <si>
    <t>Bend 87.5⁰ with LH Door</t>
  </si>
  <si>
    <t xml:space="preserve">SWR PIPE SELF FIT TYPE "B" 3 Feet 75 mm </t>
  </si>
  <si>
    <t>5714</t>
  </si>
  <si>
    <t>5114</t>
  </si>
  <si>
    <t xml:space="preserve">SWR PIPE SELF FIT TYPE "B" 4 Feet 75 mm </t>
  </si>
  <si>
    <t xml:space="preserve">SWR PIPE SELF FIT TYPE "B" 6 Feet 75 mm </t>
  </si>
  <si>
    <t>Coupler</t>
  </si>
  <si>
    <t>5721</t>
  </si>
  <si>
    <t>5921</t>
  </si>
  <si>
    <t>5121</t>
  </si>
  <si>
    <t>5621</t>
  </si>
  <si>
    <t>A-89C</t>
  </si>
  <si>
    <t xml:space="preserve">SWR PIPE SELF FIT TYPE "B" 3 Meter 90 mm </t>
  </si>
  <si>
    <t>A-90C</t>
  </si>
  <si>
    <t>Socket Plug</t>
  </si>
  <si>
    <t>A-91C</t>
  </si>
  <si>
    <t>5706</t>
  </si>
  <si>
    <t>A-92C</t>
  </si>
  <si>
    <t>A-93C</t>
  </si>
  <si>
    <t>5106</t>
  </si>
  <si>
    <t>5606</t>
  </si>
  <si>
    <t xml:space="preserve">SWR PIPE SELF FIT TYPE "B" 6 Meter 90 mm </t>
  </si>
  <si>
    <t>A-94C</t>
  </si>
  <si>
    <t>5731</t>
  </si>
  <si>
    <t xml:space="preserve">SWR PIPE SELF FIT TYPE "B" 2 Feet 90 mm </t>
  </si>
  <si>
    <t>5131</t>
  </si>
  <si>
    <t>5 METERS</t>
  </si>
  <si>
    <t xml:space="preserve">SWR PIPE SELF FIT TYPE "B" 3 Feet 90 mm </t>
  </si>
  <si>
    <t>Single Tee</t>
  </si>
  <si>
    <t>A-8B</t>
  </si>
  <si>
    <t>5733</t>
  </si>
  <si>
    <t>5933</t>
  </si>
  <si>
    <t xml:space="preserve">SWR PIPE SELF FIT TYPE "B" 4 Feet 90 mm </t>
  </si>
  <si>
    <t>5133</t>
  </si>
  <si>
    <t>A-9B</t>
  </si>
  <si>
    <t>5633</t>
  </si>
  <si>
    <t xml:space="preserve">SWR PIPE SELF FIT TYPE "B" 6 Feet 90 mm </t>
  </si>
  <si>
    <t>A-10B</t>
  </si>
  <si>
    <t>A-11B</t>
  </si>
  <si>
    <t>A-12B</t>
  </si>
  <si>
    <t>Reducing Tee</t>
  </si>
  <si>
    <t>A-13B</t>
  </si>
  <si>
    <t>2 1⁄2 x 4</t>
  </si>
  <si>
    <t>75 x 110</t>
  </si>
  <si>
    <t>5151</t>
  </si>
  <si>
    <t>A-14B</t>
  </si>
  <si>
    <t>90 x 75</t>
  </si>
  <si>
    <t>5951</t>
  </si>
  <si>
    <t>A-26B</t>
  </si>
  <si>
    <t>4 x 6</t>
  </si>
  <si>
    <t>110 x 160</t>
  </si>
  <si>
    <t>5651</t>
  </si>
  <si>
    <t>A-27B</t>
  </si>
  <si>
    <t>6 x 2 1⁄2</t>
  </si>
  <si>
    <t>160 x 75</t>
  </si>
  <si>
    <t>5751</t>
  </si>
  <si>
    <t>A-28B</t>
  </si>
  <si>
    <t xml:space="preserve">SWR PIPE SELF FIT TYPE "B" 3 Meter 110 mm </t>
  </si>
  <si>
    <t>A-29B</t>
  </si>
  <si>
    <t>A-30B</t>
  </si>
  <si>
    <t>Reducing Tee with Door</t>
  </si>
  <si>
    <t>A-31B</t>
  </si>
  <si>
    <t>5152</t>
  </si>
  <si>
    <t>A-32B</t>
  </si>
  <si>
    <t>5952</t>
  </si>
  <si>
    <t>A-33B</t>
  </si>
  <si>
    <t>5652</t>
  </si>
  <si>
    <t xml:space="preserve">SWR PIPE SELF FIT TYPE "B" 6 Meter 110 mm </t>
  </si>
  <si>
    <t>A-34B</t>
  </si>
  <si>
    <t>5752</t>
  </si>
  <si>
    <t>A-44B</t>
  </si>
  <si>
    <t>A-45B</t>
  </si>
  <si>
    <t>A-46B</t>
  </si>
  <si>
    <t>Single Y with Door</t>
  </si>
  <si>
    <t>A-47B</t>
  </si>
  <si>
    <t>5742</t>
  </si>
  <si>
    <t>A-48B</t>
  </si>
  <si>
    <t>5942</t>
  </si>
  <si>
    <t xml:space="preserve">SWR PIPE SELF FIT TYPE "B" 2 Feet 110 mm </t>
  </si>
  <si>
    <t>A-49B</t>
  </si>
  <si>
    <t>5142</t>
  </si>
  <si>
    <t>AGRI FITTINGS (10 KG)</t>
  </si>
  <si>
    <t>A-50B</t>
  </si>
  <si>
    <t>5642</t>
  </si>
  <si>
    <t>A-51B</t>
  </si>
  <si>
    <t xml:space="preserve">SWR PIPE SELF FIT TYPE "B" 3 Feet 110 mm </t>
  </si>
  <si>
    <t>COUPLER</t>
  </si>
  <si>
    <t>A-52B</t>
  </si>
  <si>
    <t>A-53B</t>
  </si>
  <si>
    <t>Reverse Y with Door</t>
  </si>
  <si>
    <t>A-54B</t>
  </si>
  <si>
    <t xml:space="preserve">SWR PIPE SELF FIT TYPE "B" 4 Feet 110 mm </t>
  </si>
  <si>
    <t>5746</t>
  </si>
  <si>
    <t>A-211</t>
  </si>
  <si>
    <t>A-81B</t>
  </si>
  <si>
    <t>5146</t>
  </si>
  <si>
    <t xml:space="preserve">SWR PIPE SELF FIT TYPE "B" 6 Feet 110 mm </t>
  </si>
  <si>
    <t>A-82B</t>
  </si>
  <si>
    <t>A-212</t>
  </si>
  <si>
    <t>Reducer Y with Door</t>
  </si>
  <si>
    <t>A-213</t>
  </si>
  <si>
    <t>5156</t>
  </si>
  <si>
    <t>A-83B</t>
  </si>
  <si>
    <t>A-214</t>
  </si>
  <si>
    <t>A-215</t>
  </si>
  <si>
    <t>A-84B</t>
  </si>
  <si>
    <t>A-85B</t>
  </si>
  <si>
    <t>Double Y with Door</t>
  </si>
  <si>
    <t>EQUAL TEE</t>
  </si>
  <si>
    <t>A-86B</t>
  </si>
  <si>
    <t>5745</t>
  </si>
  <si>
    <t>A-311</t>
  </si>
  <si>
    <t>A-87B</t>
  </si>
  <si>
    <t>A-312</t>
  </si>
  <si>
    <t xml:space="preserve">SWR PIPE SELF FIT TYPE "B" 3 Meter 160 mm </t>
  </si>
  <si>
    <t>A-88B</t>
  </si>
  <si>
    <t>5145</t>
  </si>
  <si>
    <t>A-313</t>
  </si>
  <si>
    <t>A-314</t>
  </si>
  <si>
    <t>A-315</t>
  </si>
  <si>
    <t>A-89B</t>
  </si>
  <si>
    <t>A-90B</t>
  </si>
  <si>
    <t>ELBOW 90⁰</t>
  </si>
  <si>
    <t>A-411</t>
  </si>
  <si>
    <t>A-91B</t>
  </si>
  <si>
    <t xml:space="preserve">SWR PIPE SELF FIT TYPE "B" 6 Meter 160 mm </t>
  </si>
  <si>
    <t>A-92B</t>
  </si>
  <si>
    <t>A-412</t>
  </si>
  <si>
    <t>A-413</t>
  </si>
  <si>
    <t>A-414</t>
  </si>
  <si>
    <t>A-415</t>
  </si>
  <si>
    <t>A-93B</t>
  </si>
  <si>
    <t>A-94B</t>
  </si>
  <si>
    <t>ELBOW 45⁰</t>
  </si>
  <si>
    <t>A-511</t>
  </si>
  <si>
    <t>A-512</t>
  </si>
  <si>
    <t>A-513</t>
  </si>
  <si>
    <t>A-514</t>
  </si>
  <si>
    <t>A-515</t>
  </si>
  <si>
    <t>Cleaning Pipe</t>
  </si>
  <si>
    <t xml:space="preserve">SWR PIPE SELF FIT TYPE "B" 2 Feet 160 mm </t>
  </si>
  <si>
    <t>3 METERS</t>
  </si>
  <si>
    <t>5758</t>
  </si>
  <si>
    <t>END CAP</t>
  </si>
  <si>
    <t xml:space="preserve">SWR PIPE SELF FIT TYPE "B" 3 Feet 160 mm </t>
  </si>
  <si>
    <t>5158</t>
  </si>
  <si>
    <t>A-911</t>
  </si>
  <si>
    <t>A-8A</t>
  </si>
  <si>
    <t xml:space="preserve">SWR PIPE SELF FIT TYPE "B" 4 Feet 160 mm </t>
  </si>
  <si>
    <t>On the Way</t>
  </si>
  <si>
    <t>Single Y</t>
  </si>
  <si>
    <t>A-912</t>
  </si>
  <si>
    <t>A-913</t>
  </si>
  <si>
    <t>5741</t>
  </si>
  <si>
    <t xml:space="preserve">SWR PIPE SELF FIT TYPE "B" 6 Feet 160 mm </t>
  </si>
  <si>
    <t>A-9A</t>
  </si>
  <si>
    <t>5941</t>
  </si>
  <si>
    <t>A-10A</t>
  </si>
  <si>
    <t>AGRI FITTINGS (6 KG)</t>
  </si>
  <si>
    <t>5141</t>
  </si>
  <si>
    <t>5641</t>
  </si>
  <si>
    <t>A-264</t>
  </si>
  <si>
    <t>A-11A</t>
  </si>
  <si>
    <t>A-265</t>
  </si>
  <si>
    <t>Reverse Y 45⁰</t>
  </si>
  <si>
    <t>A-12A</t>
  </si>
  <si>
    <t>A-266</t>
  </si>
  <si>
    <t>A-13A</t>
  </si>
  <si>
    <t>5743</t>
  </si>
  <si>
    <t>SWR Fittings</t>
  </si>
  <si>
    <t>A-267</t>
  </si>
  <si>
    <t xml:space="preserve">Bend 45⁰ 2 1⁄2 inch 75 mm </t>
  </si>
  <si>
    <t>A-14A</t>
  </si>
  <si>
    <t>A-268</t>
  </si>
  <si>
    <t>5143</t>
  </si>
  <si>
    <t>A-26A</t>
  </si>
  <si>
    <t>A-269</t>
  </si>
  <si>
    <t>A-27A</t>
  </si>
  <si>
    <t>A-270</t>
  </si>
  <si>
    <t>A-28A</t>
  </si>
  <si>
    <t>A-271</t>
  </si>
  <si>
    <t>A-272</t>
  </si>
  <si>
    <t>Reducer Y</t>
  </si>
  <si>
    <t>5155</t>
  </si>
  <si>
    <t>A-29A</t>
  </si>
  <si>
    <t xml:space="preserve">Bend 45⁰ 3 inch 90 mm </t>
  </si>
  <si>
    <t>A-30A</t>
  </si>
  <si>
    <t>A-31A</t>
  </si>
  <si>
    <t>A-32A</t>
  </si>
  <si>
    <t>A-33A</t>
  </si>
  <si>
    <t>A-34A</t>
  </si>
  <si>
    <t xml:space="preserve">Bend 45⁰ 4 inch 110 mm </t>
  </si>
  <si>
    <t>A-364</t>
  </si>
  <si>
    <t>Double Y</t>
  </si>
  <si>
    <t>A-44A</t>
  </si>
  <si>
    <t>A-45A</t>
  </si>
  <si>
    <t>A-46A</t>
  </si>
  <si>
    <t>5744</t>
  </si>
  <si>
    <t>A-47A</t>
  </si>
  <si>
    <t>A-365</t>
  </si>
  <si>
    <t xml:space="preserve">Bend 45⁰ 6 inch 160 mm </t>
  </si>
  <si>
    <t>A-48A</t>
  </si>
  <si>
    <t>A-366</t>
  </si>
  <si>
    <t>A-49A</t>
  </si>
  <si>
    <t>5144</t>
  </si>
  <si>
    <t>A-367</t>
  </si>
  <si>
    <t>A-50A</t>
  </si>
  <si>
    <t>A-368</t>
  </si>
  <si>
    <t>A-51A</t>
  </si>
  <si>
    <t>A-369</t>
  </si>
  <si>
    <t xml:space="preserve">Bend 87.5⁰ with Door 2 1⁄2 inch 75 mm </t>
  </si>
  <si>
    <t>A-52A</t>
  </si>
  <si>
    <t>A-370</t>
  </si>
  <si>
    <t>A-53A</t>
  </si>
  <si>
    <t>A-371</t>
  </si>
  <si>
    <t>A-54A</t>
  </si>
  <si>
    <t xml:space="preserve">Bend 87.5⁰ with Door 3 inch 90 mm </t>
  </si>
  <si>
    <t>A-372</t>
  </si>
  <si>
    <t>A-81A</t>
  </si>
  <si>
    <t>Reducer Coupler</t>
  </si>
  <si>
    <t>5157</t>
  </si>
  <si>
    <t>A-82A</t>
  </si>
  <si>
    <t>A-83A</t>
  </si>
  <si>
    <t xml:space="preserve">Bend 87.5⁰ with Door 4 inch 110 mm </t>
  </si>
  <si>
    <t>3 x 4</t>
  </si>
  <si>
    <t>90 x 100</t>
  </si>
  <si>
    <t>5957</t>
  </si>
  <si>
    <t>A-464</t>
  </si>
  <si>
    <t>A-84A</t>
  </si>
  <si>
    <t>5657</t>
  </si>
  <si>
    <t>A-85A</t>
  </si>
  <si>
    <t>A-465</t>
  </si>
  <si>
    <t xml:space="preserve">Bend 87.5⁰ with Door 6 inch 160 mm </t>
  </si>
  <si>
    <t>A-86A</t>
  </si>
  <si>
    <t>A-466</t>
  </si>
  <si>
    <t>A-87A</t>
  </si>
  <si>
    <t>A-467</t>
  </si>
  <si>
    <t>Vent Cowl</t>
  </si>
  <si>
    <t>A-88A</t>
  </si>
  <si>
    <t>-</t>
  </si>
  <si>
    <t>A-468</t>
  </si>
  <si>
    <t xml:space="preserve">Bend 87.5⁰ with RH Door 2 1⁄2 inch 75 mm </t>
  </si>
  <si>
    <t>4761</t>
  </si>
  <si>
    <t>A-89A</t>
  </si>
  <si>
    <t>A-469</t>
  </si>
  <si>
    <t>A-90A</t>
  </si>
  <si>
    <t>5761</t>
  </si>
  <si>
    <t>A-470</t>
  </si>
  <si>
    <t>5961</t>
  </si>
  <si>
    <t xml:space="preserve">Bend 87.5⁰ with RH Door 4 inch 110 mm </t>
  </si>
  <si>
    <t>A-91A</t>
  </si>
  <si>
    <t>A-471</t>
  </si>
  <si>
    <t>5161</t>
  </si>
  <si>
    <t>A-92A</t>
  </si>
  <si>
    <t>A-472</t>
  </si>
  <si>
    <t>5661</t>
  </si>
  <si>
    <t>A-93A</t>
  </si>
  <si>
    <t>A-94A</t>
  </si>
  <si>
    <t xml:space="preserve">Repair Coupler 2 1⁄2 inch 75 mm </t>
  </si>
  <si>
    <t>Pipe Clip</t>
  </si>
  <si>
    <t>5762</t>
  </si>
  <si>
    <t xml:space="preserve">Repair Coupler 3 inch 90 mm </t>
  </si>
  <si>
    <t>5962</t>
  </si>
  <si>
    <t>5162</t>
  </si>
  <si>
    <t>5662</t>
  </si>
  <si>
    <t xml:space="preserve">Repair Coupler 4 inch 110 mm </t>
  </si>
  <si>
    <t>A-505</t>
  </si>
  <si>
    <t xml:space="preserve">Repair Coupler 6 inch 160 mm </t>
  </si>
  <si>
    <t>Q Trap</t>
  </si>
  <si>
    <t>4 x 4 1⁄2</t>
  </si>
  <si>
    <t>110 x 125</t>
  </si>
  <si>
    <t>5772</t>
  </si>
  <si>
    <t>A-564</t>
  </si>
  <si>
    <t xml:space="preserve">Cross Tee with Door 2 1⁄2 inch 75 mm </t>
  </si>
  <si>
    <t>4 x 4</t>
  </si>
  <si>
    <t>110 x 110</t>
  </si>
  <si>
    <t>5172</t>
  </si>
  <si>
    <t>A-565</t>
  </si>
  <si>
    <t xml:space="preserve">Cross Tee with Door 4 inch 110 mm </t>
  </si>
  <si>
    <t>A-566</t>
  </si>
  <si>
    <t>A-567</t>
  </si>
  <si>
    <t>Nahani Trap &amp; Jali</t>
  </si>
  <si>
    <t>A-568</t>
  </si>
  <si>
    <t xml:space="preserve">Single Tee with Door 2 1⁄2 inch 75 mm </t>
  </si>
  <si>
    <t>5763</t>
  </si>
  <si>
    <t>A-569</t>
  </si>
  <si>
    <t>A-570</t>
  </si>
  <si>
    <t>5963</t>
  </si>
  <si>
    <t>A-571</t>
  </si>
  <si>
    <t>5163</t>
  </si>
  <si>
    <t xml:space="preserve">Single Tee with Door 3 inch 90 mm </t>
  </si>
  <si>
    <t>A-572</t>
  </si>
  <si>
    <t>110 x 63</t>
  </si>
  <si>
    <t>4763</t>
  </si>
  <si>
    <t xml:space="preserve">Single Tee with Door 4 inch 110 mm </t>
  </si>
  <si>
    <t>Nahani Trap without Jali</t>
  </si>
  <si>
    <t>REDUCER TEE</t>
  </si>
  <si>
    <t>5763-W</t>
  </si>
  <si>
    <t>75 x 50</t>
  </si>
  <si>
    <t>A-661</t>
  </si>
  <si>
    <t xml:space="preserve">Single Tee with Door 6 inch 160 mm </t>
  </si>
  <si>
    <t>75 x 63</t>
  </si>
  <si>
    <t>A-662</t>
  </si>
  <si>
    <t>5963-W</t>
  </si>
  <si>
    <t>90 x 63</t>
  </si>
  <si>
    <t>A-663</t>
  </si>
  <si>
    <t xml:space="preserve">Bend 87.5⁰ 2 1⁄2 inch 75 mm </t>
  </si>
  <si>
    <t>A-664</t>
  </si>
  <si>
    <t>5163-W</t>
  </si>
  <si>
    <t>A-665</t>
  </si>
  <si>
    <t>4763-W</t>
  </si>
  <si>
    <t>110 x 75</t>
  </si>
  <si>
    <t>A-666</t>
  </si>
  <si>
    <t xml:space="preserve">Bend 87.5⁰ 3 inch 90 mm </t>
  </si>
  <si>
    <t>110 x 90</t>
  </si>
  <si>
    <t>A-667</t>
  </si>
  <si>
    <t>140 x 75</t>
  </si>
  <si>
    <t>A-668</t>
  </si>
  <si>
    <t>Door Cap</t>
  </si>
  <si>
    <t>140 x 90</t>
  </si>
  <si>
    <t>A-669</t>
  </si>
  <si>
    <t xml:space="preserve">Bend 87.5⁰ 4 inch 110 mm </t>
  </si>
  <si>
    <t>5764</t>
  </si>
  <si>
    <t>A-670</t>
  </si>
  <si>
    <t>160 x 90</t>
  </si>
  <si>
    <t>5964</t>
  </si>
  <si>
    <t>A-671</t>
  </si>
  <si>
    <t xml:space="preserve">Bend 87.5⁰ 6 inch 160 mm </t>
  </si>
  <si>
    <t>160 x 110</t>
  </si>
  <si>
    <t>5164</t>
  </si>
  <si>
    <t>A-672</t>
  </si>
  <si>
    <t>5664</t>
  </si>
  <si>
    <t xml:space="preserve">Bend 87.5⁰ with LH Door 2 1⁄2 inch 75 mm </t>
  </si>
  <si>
    <t>REDUCER COUPLER</t>
  </si>
  <si>
    <t>Floor Trap</t>
  </si>
  <si>
    <t xml:space="preserve">Bend 87.5⁰ with LH Door 4 inch 110 mm </t>
  </si>
  <si>
    <t>A-761</t>
  </si>
  <si>
    <t>5791</t>
  </si>
  <si>
    <t>Multi Floor Trap</t>
  </si>
  <si>
    <t>A-762</t>
  </si>
  <si>
    <t>110 x 75 x 50 x 50 x 50</t>
  </si>
  <si>
    <t xml:space="preserve">Coupler 2 1⁄2 inch 75 mm </t>
  </si>
  <si>
    <t>5792</t>
  </si>
  <si>
    <t>90 x 50</t>
  </si>
  <si>
    <t>A-763</t>
  </si>
  <si>
    <t>Multi Floor Trap with Jali</t>
  </si>
  <si>
    <t>A-764</t>
  </si>
  <si>
    <t>5793</t>
  </si>
  <si>
    <t>A-765</t>
  </si>
  <si>
    <t>Yellow Seal 'O' Ring</t>
  </si>
  <si>
    <t xml:space="preserve">Coupler 3 inch 90 mm </t>
  </si>
  <si>
    <t>5102</t>
  </si>
  <si>
    <t>A-766</t>
  </si>
  <si>
    <t>A-767</t>
  </si>
  <si>
    <t>5103</t>
  </si>
  <si>
    <t xml:space="preserve">Coupler 4 inch 110 mm </t>
  </si>
  <si>
    <t>A-768</t>
  </si>
  <si>
    <t>5104</t>
  </si>
  <si>
    <t>A-769</t>
  </si>
  <si>
    <t>5105</t>
  </si>
  <si>
    <t>A-770</t>
  </si>
  <si>
    <t xml:space="preserve">Coupler 6 inch 160 mm </t>
  </si>
  <si>
    <t>P Trap</t>
  </si>
  <si>
    <t xml:space="preserve">Cross Tee 2 1⁄2 inch 75 mm </t>
  </si>
  <si>
    <t>PVC SOLVENT CEMENT</t>
  </si>
  <si>
    <t>5771</t>
  </si>
  <si>
    <t>250 ML Tin</t>
  </si>
  <si>
    <t>S45</t>
  </si>
  <si>
    <t>5171</t>
  </si>
  <si>
    <t xml:space="preserve">Cross Tee 4 inch 110 mm </t>
  </si>
  <si>
    <t>500 ML Tin</t>
  </si>
  <si>
    <t>S46</t>
  </si>
  <si>
    <t>1000 ML Tin</t>
  </si>
  <si>
    <t>S47</t>
  </si>
  <si>
    <t xml:space="preserve">Single Tee 2 1⁄2 inch 75 mm </t>
  </si>
  <si>
    <t>S Trap</t>
  </si>
  <si>
    <t>5773</t>
  </si>
  <si>
    <t>5173</t>
  </si>
  <si>
    <t xml:space="preserve">Single Tee 3 inch 90 mm </t>
  </si>
  <si>
    <t>AGRI FITTINGS (4 KG)</t>
  </si>
  <si>
    <t>A-246</t>
  </si>
  <si>
    <t xml:space="preserve">Single Tee 4 inch 110 mm </t>
  </si>
  <si>
    <t>Round Jali</t>
  </si>
  <si>
    <t>5765</t>
  </si>
  <si>
    <t>A-247</t>
  </si>
  <si>
    <t xml:space="preserve">Single Tee 6 inch 160 mm </t>
  </si>
  <si>
    <t>Back Flow Valve</t>
  </si>
  <si>
    <t>A-248</t>
  </si>
  <si>
    <t>4507</t>
  </si>
  <si>
    <t>A-249</t>
  </si>
  <si>
    <t>5707</t>
  </si>
  <si>
    <t>5907</t>
  </si>
  <si>
    <t>A-242</t>
  </si>
  <si>
    <t>5107</t>
  </si>
  <si>
    <t xml:space="preserve">Reducing Tee 2 1⁄2 x 4 inch 75 x 110 mm </t>
  </si>
  <si>
    <t>5607</t>
  </si>
  <si>
    <t>A-243</t>
  </si>
  <si>
    <t xml:space="preserve">Reducing Tee 3 x 2 1⁄2 inch 90 x 75 mm </t>
  </si>
  <si>
    <t>Rubber Lubricant</t>
  </si>
  <si>
    <t>24 Can</t>
  </si>
  <si>
    <t>100 GM</t>
  </si>
  <si>
    <t>RL-2</t>
  </si>
  <si>
    <t>20 Can</t>
  </si>
  <si>
    <t>250 GM</t>
  </si>
  <si>
    <t>RL-3</t>
  </si>
  <si>
    <t xml:space="preserve">Reducing Tee 4 x 6 inch 110 x 160 mm </t>
  </si>
  <si>
    <t>A-346</t>
  </si>
  <si>
    <t>500 GM</t>
  </si>
  <si>
    <t>RL-4</t>
  </si>
  <si>
    <t>A-347</t>
  </si>
  <si>
    <t xml:space="preserve">Reducing Tee 6 x 2 1⁄2 inch 160 x 75 mm </t>
  </si>
  <si>
    <t>A-348</t>
  </si>
  <si>
    <t>SWR FITTINGS SELF FIT</t>
  </si>
  <si>
    <t>A-349</t>
  </si>
  <si>
    <t xml:space="preserve">Reducing Tee with Door 2 1⁄2 x 4 inch 75 x 110 mm </t>
  </si>
  <si>
    <t>5710S</t>
  </si>
  <si>
    <t xml:space="preserve">Reducing Tee with Door 3 x 2 1⁄2 inch 90 x 75 mm </t>
  </si>
  <si>
    <t>A-342</t>
  </si>
  <si>
    <t>5910S</t>
  </si>
  <si>
    <t>5110S</t>
  </si>
  <si>
    <t>5610S</t>
  </si>
  <si>
    <t xml:space="preserve">Reducing Tee with Door 4 x 6 inch 110 x 160 mm </t>
  </si>
  <si>
    <t xml:space="preserve">Reducing Tee with Door 6 x 2 1⁄2 inch 160 x 75 mm </t>
  </si>
  <si>
    <t>A-343</t>
  </si>
  <si>
    <t>5711S</t>
  </si>
  <si>
    <t xml:space="preserve">Single Y with Door 2 1⁄2 inch 75 mm </t>
  </si>
  <si>
    <t>5911S</t>
  </si>
  <si>
    <t>5111S</t>
  </si>
  <si>
    <t xml:space="preserve">Single Y with Door 3 inch 90 mm </t>
  </si>
  <si>
    <t>5611S</t>
  </si>
  <si>
    <t xml:space="preserve">Single Y with Door 4 inch 110 mm </t>
  </si>
  <si>
    <t>5712S</t>
  </si>
  <si>
    <t xml:space="preserve">Single Y with Door 6 inch 160 mm </t>
  </si>
  <si>
    <t>A-446</t>
  </si>
  <si>
    <t>5912S</t>
  </si>
  <si>
    <t>5112S</t>
  </si>
  <si>
    <t xml:space="preserve">Reverse Y with Door 2 1⁄2 inch 75 mm </t>
  </si>
  <si>
    <t>5612S</t>
  </si>
  <si>
    <t>A-447</t>
  </si>
  <si>
    <t>A-448</t>
  </si>
  <si>
    <t xml:space="preserve">Reverse Y with Door 4 inch 110 mm </t>
  </si>
  <si>
    <t>A-449</t>
  </si>
  <si>
    <t>A-442</t>
  </si>
  <si>
    <t xml:space="preserve">Reducer Y with Door 2 1⁄2 x 4 inch 75 x 110 mm </t>
  </si>
  <si>
    <t>5721S</t>
  </si>
  <si>
    <t>A-443</t>
  </si>
  <si>
    <t xml:space="preserve">Double Y with Door 2 1⁄2 inch 75 mm </t>
  </si>
  <si>
    <t>5921S</t>
  </si>
  <si>
    <t>5121S</t>
  </si>
  <si>
    <t>5621S</t>
  </si>
  <si>
    <t>A-546</t>
  </si>
  <si>
    <t xml:space="preserve">Double Y with Door 4 inch 110 mm </t>
  </si>
  <si>
    <t>A-547</t>
  </si>
  <si>
    <t xml:space="preserve">Cleaning Pipe 2 1⁄2 inch 75 mm </t>
  </si>
  <si>
    <t>A-548</t>
  </si>
  <si>
    <t>A-549</t>
  </si>
  <si>
    <t>5722S</t>
  </si>
  <si>
    <t>A-542</t>
  </si>
  <si>
    <t xml:space="preserve">Cleaning Pipe 4 inch 110 mm </t>
  </si>
  <si>
    <t>A-543</t>
  </si>
  <si>
    <t>5922S</t>
  </si>
  <si>
    <t>5122S</t>
  </si>
  <si>
    <t xml:space="preserve">Single Y 2 1⁄2 inch 75 mm </t>
  </si>
  <si>
    <t>5622S</t>
  </si>
  <si>
    <t>BUSH</t>
  </si>
  <si>
    <t>50 x 40</t>
  </si>
  <si>
    <t xml:space="preserve">Single Y 3 inch 90 mm </t>
  </si>
  <si>
    <t>5733S</t>
  </si>
  <si>
    <t xml:space="preserve">Single Y 4 inch 110 mm </t>
  </si>
  <si>
    <t>5933S</t>
  </si>
  <si>
    <t>5133S</t>
  </si>
  <si>
    <t xml:space="preserve">Single Y 6 inch 160 mm </t>
  </si>
  <si>
    <t>5633S</t>
  </si>
  <si>
    <t xml:space="preserve">Reverse Y 45⁰ 2 1⁄2 inch 75 mm </t>
  </si>
  <si>
    <t>Tee with Door</t>
  </si>
  <si>
    <t>5734S</t>
  </si>
  <si>
    <t>A-509</t>
  </si>
  <si>
    <t xml:space="preserve">Reverse Y 45⁰ 4 inch 110 mm </t>
  </si>
  <si>
    <t>5934S</t>
  </si>
  <si>
    <t>5134S</t>
  </si>
  <si>
    <t>A-510</t>
  </si>
  <si>
    <t>5634S</t>
  </si>
  <si>
    <t xml:space="preserve">Reducer Y 2 1⁄2 x 4 inch 75 x 110 mm </t>
  </si>
  <si>
    <t>REDUCER ELBOW</t>
  </si>
  <si>
    <t xml:space="preserve">Double Y 2 1⁄2 inch 75 mm </t>
  </si>
  <si>
    <t>5741S</t>
  </si>
  <si>
    <t>A-417</t>
  </si>
  <si>
    <t>5941S</t>
  </si>
  <si>
    <t>A-419</t>
  </si>
  <si>
    <t xml:space="preserve">Double Y 4 inch 110 mm </t>
  </si>
  <si>
    <t>5141S</t>
  </si>
  <si>
    <t>5641S</t>
  </si>
  <si>
    <t xml:space="preserve">Reducer Coupler 2 1⁄2 x 4 inch 75 x 110 mm </t>
  </si>
  <si>
    <t>REDUCER  BUSH</t>
  </si>
  <si>
    <t>20 x 25</t>
  </si>
  <si>
    <t>A-711</t>
  </si>
  <si>
    <t>5742S</t>
  </si>
  <si>
    <t xml:space="preserve">Reducer Coupler 3 x 4 inch 90 x 100 mm </t>
  </si>
  <si>
    <t>20 x 32</t>
  </si>
  <si>
    <t>A-712</t>
  </si>
  <si>
    <t>5942S</t>
  </si>
  <si>
    <t>20 x 40</t>
  </si>
  <si>
    <t>A-713</t>
  </si>
  <si>
    <t>20 x 50</t>
  </si>
  <si>
    <t>A-714</t>
  </si>
  <si>
    <t>5142S</t>
  </si>
  <si>
    <t xml:space="preserve">Reducer Coupler 4 x 6 inch 110 x 160 mm </t>
  </si>
  <si>
    <t>25 x 32</t>
  </si>
  <si>
    <t>A-715</t>
  </si>
  <si>
    <t>5642S</t>
  </si>
  <si>
    <t>25 x 40</t>
  </si>
  <si>
    <t>A-716</t>
  </si>
  <si>
    <t>25 x 50</t>
  </si>
  <si>
    <t>A-717</t>
  </si>
  <si>
    <t>32 x 40</t>
  </si>
  <si>
    <t>A-718</t>
  </si>
  <si>
    <t xml:space="preserve">Vent Cowl - inch 63 mm </t>
  </si>
  <si>
    <t>32 x 50</t>
  </si>
  <si>
    <t>A-719</t>
  </si>
  <si>
    <t>40 x 63</t>
  </si>
  <si>
    <t>A-720</t>
  </si>
  <si>
    <t>50 x 63</t>
  </si>
  <si>
    <t>A-721</t>
  </si>
  <si>
    <t xml:space="preserve">Vent Cowl 2 1⁄2 inch 75 mm </t>
  </si>
  <si>
    <t xml:space="preserve">Vent Cowl 3 inch 90 mm </t>
  </si>
  <si>
    <t>AGRI FITTINGS (2.5 KG)</t>
  </si>
  <si>
    <t xml:space="preserve">Vent Cowl 4 inch 110 mm </t>
  </si>
  <si>
    <t xml:space="preserve">Vent Cowl 6 inch 160 mm </t>
  </si>
  <si>
    <t xml:space="preserve">Pipe Clip 2 1⁄2 inch 75 mm </t>
  </si>
  <si>
    <t xml:space="preserve">Pipe Clip 3 inch 90 mm </t>
  </si>
  <si>
    <t xml:space="preserve">Pipe Clip 4 inch 110 mm </t>
  </si>
  <si>
    <t xml:space="preserve">Pipe Clip 6 inch 160 mm </t>
  </si>
  <si>
    <t xml:space="preserve">Q Trap 4 x 4 1⁄2 inch 110 x 125 mm </t>
  </si>
  <si>
    <t xml:space="preserve">Q Trap 4 x 4 inch 110 x 110 mm </t>
  </si>
  <si>
    <t>AGRI NON-ISI PIPE</t>
  </si>
  <si>
    <t>OD BASED</t>
  </si>
  <si>
    <t>S.No.</t>
  </si>
  <si>
    <t xml:space="preserve">Nahani Trap &amp; Jali 2 1⁄2 inch 75 mm </t>
  </si>
  <si>
    <t>Type</t>
  </si>
  <si>
    <t>Item Code</t>
  </si>
  <si>
    <t>Name</t>
  </si>
  <si>
    <t>Min. Weight (Kg)</t>
  </si>
  <si>
    <t>Max. Weight (Kg)</t>
  </si>
  <si>
    <t>Updated Weight</t>
  </si>
  <si>
    <t>MRP</t>
  </si>
  <si>
    <t xml:space="preserve">KG COST
</t>
  </si>
  <si>
    <t>NON ISI - SOCKETED (IVORY / CREAM)</t>
  </si>
  <si>
    <t xml:space="preserve">Nahani Trap &amp; Jali 3 inch 90 mm </t>
  </si>
  <si>
    <t>PN-6</t>
  </si>
  <si>
    <t>40MM AGRI PIPE NON ISI PN6</t>
  </si>
  <si>
    <t xml:space="preserve">Nahani Trap &amp; Jali 4 inch 110 mm </t>
  </si>
  <si>
    <t>40 MM X 2.5 KG</t>
  </si>
  <si>
    <t>(10 KG / CM2)</t>
  </si>
  <si>
    <t>STANDARD</t>
  </si>
  <si>
    <t>63MM AGRI PIPE NON ISI PN6</t>
  </si>
  <si>
    <t>40 MM X 3.8 KG</t>
  </si>
  <si>
    <t>(THREADED BOTH SIDES)</t>
  </si>
  <si>
    <t>PN-4</t>
  </si>
  <si>
    <t>PN28C</t>
  </si>
  <si>
    <t>90MM AGRI PIPE NON ISI PN4</t>
  </si>
  <si>
    <t>63 MM X 3.5 KG</t>
  </si>
  <si>
    <t>(6 KG / CM2)</t>
  </si>
  <si>
    <t xml:space="preserve">Nahani Trap without Jali 2 1⁄2 inch 75 mm </t>
  </si>
  <si>
    <t>PN48C</t>
  </si>
  <si>
    <t>90MM AGRI PIPE NON ISI PN6</t>
  </si>
  <si>
    <t>90 MM X 5.2 KG</t>
  </si>
  <si>
    <t>(4 KG / CM2)</t>
  </si>
  <si>
    <t>PN29C</t>
  </si>
  <si>
    <t>110MM AGRI PIPE NON ISI PN4</t>
  </si>
  <si>
    <t>90 MM X 7.3 KG</t>
  </si>
  <si>
    <t>110MM AGRI PIPE NON ISI PN6LL</t>
  </si>
  <si>
    <t>110 MM X 8.2 KG</t>
  </si>
  <si>
    <t>DUCT QLTY</t>
  </si>
  <si>
    <t>110MM AGRI PIPE NON ISI PN6L</t>
  </si>
  <si>
    <t>110 MM X 9.2 KG</t>
  </si>
  <si>
    <t>AS PER STD</t>
  </si>
  <si>
    <t xml:space="preserve">Nahani Trap without Jali 3 inch 90 mm </t>
  </si>
  <si>
    <t>PN49C</t>
  </si>
  <si>
    <t>110MM AGRI PIPE NON ISI PN6</t>
  </si>
  <si>
    <t>110 MM X 10.5 KG</t>
  </si>
  <si>
    <t>PN-10</t>
  </si>
  <si>
    <t>110MM AGRI PIPE NON ISI PN10L</t>
  </si>
  <si>
    <t>110 MM X 12 KG</t>
  </si>
  <si>
    <t>PN89C</t>
  </si>
  <si>
    <t>110MM AGRI PIPE NON ISI PN10</t>
  </si>
  <si>
    <t>125 MM X 15 KG</t>
  </si>
  <si>
    <t xml:space="preserve">Nahani Trap without Jali 4 inch 110 mm </t>
  </si>
  <si>
    <t>125MM AGRI PIPE NON ISI PN10</t>
  </si>
  <si>
    <t>140 MM X 15 KG</t>
  </si>
  <si>
    <t>140MM AGRI PIPE NON ISI PN6</t>
  </si>
  <si>
    <t>140 MM X 17 KG</t>
  </si>
  <si>
    <t>140MM AGRI PIPE NON ISI PN6H</t>
  </si>
  <si>
    <t>160 MM X 14 KG</t>
  </si>
  <si>
    <t>PN32C</t>
  </si>
  <si>
    <t>160MM AGRI PIPE NON ISI PN4</t>
  </si>
  <si>
    <t>180 MM X 26 KG</t>
  </si>
  <si>
    <t>PN52C</t>
  </si>
  <si>
    <t>160MM AGRI PIPE NON ISI PN6</t>
  </si>
  <si>
    <t>200 MM X 30 KG</t>
  </si>
  <si>
    <t>180MM AGRI PIPE NON ISI PN6</t>
  </si>
  <si>
    <t>225 MM X 38 KG</t>
  </si>
  <si>
    <t xml:space="preserve">Door Cap 2 1⁄2 inch 75 mm </t>
  </si>
  <si>
    <t>200MM AGRI PIPE NON ISI PN6</t>
  </si>
  <si>
    <t>NA</t>
  </si>
  <si>
    <t>225 MM X 45 KG</t>
  </si>
  <si>
    <t>225MM AGRI PIPE NON ISI PN6</t>
  </si>
  <si>
    <t xml:space="preserve">Door Cap 3 inch 90 mm </t>
  </si>
  <si>
    <t>225MM AGRI PIPE NON ISI PN6H</t>
  </si>
  <si>
    <t xml:space="preserve">Door Cap 4 inch 110 mm </t>
  </si>
  <si>
    <t xml:space="preserve">Door Cap 6 inch 160 mm </t>
  </si>
  <si>
    <t xml:space="preserve">Floor Trap 4 x 2 1⁄2 inch 110 x 75 mm </t>
  </si>
  <si>
    <t xml:space="preserve">Yellow Seal 'O' Ring 2 1⁄2 inch 75 mm </t>
  </si>
  <si>
    <t xml:space="preserve">Yellow Seal 'O' Ring 3 inch 90 mm </t>
  </si>
  <si>
    <t xml:space="preserve">Yellow Seal 'O' Ring 4 inch 110 mm </t>
  </si>
  <si>
    <t xml:space="preserve">Yellow Seal 'O' Ring 6 inch 160 mm </t>
  </si>
  <si>
    <t xml:space="preserve">P Trap 4 x 4 1⁄2 inch 110 x 125 mm </t>
  </si>
  <si>
    <t xml:space="preserve">P Trap 4 x 4 inch 110 x 110 mm </t>
  </si>
  <si>
    <t xml:space="preserve">S Trap 4 x 4 1⁄2 inch 110 x 125 mm </t>
  </si>
  <si>
    <t xml:space="preserve">S Trap 4 x 4 inch 110 x 110 mm </t>
  </si>
  <si>
    <t xml:space="preserve">Round Jali 4 inch 110 mm </t>
  </si>
  <si>
    <t xml:space="preserve">Rubber Lubricant 24 Can inch 100 GM mm </t>
  </si>
  <si>
    <t xml:space="preserve">Rubber Lubricant 20 Can inch 250 GM mm </t>
  </si>
  <si>
    <t xml:space="preserve">Rubber Lubricant 20 Can inch 500 GM mm </t>
  </si>
  <si>
    <t>AGRI FITTINGS PN-6</t>
  </si>
  <si>
    <t>AS-246</t>
  </si>
  <si>
    <t>AS-247</t>
  </si>
  <si>
    <t>AS-248</t>
  </si>
  <si>
    <t>AS-249</t>
  </si>
  <si>
    <t>AS-242</t>
  </si>
  <si>
    <t>AS-243</t>
  </si>
  <si>
    <t xml:space="preserve">Tee 2 1⁄2 inch 75 mm </t>
  </si>
  <si>
    <t>AS-346</t>
  </si>
  <si>
    <t xml:space="preserve">Tee 3 inch 90 mm </t>
  </si>
  <si>
    <t>AS-347</t>
  </si>
  <si>
    <t>AS-348</t>
  </si>
  <si>
    <t>AS-349</t>
  </si>
  <si>
    <t>AS-342</t>
  </si>
  <si>
    <t xml:space="preserve">Tee 4 inch 110 mm </t>
  </si>
  <si>
    <t>AS-343</t>
  </si>
  <si>
    <t xml:space="preserve">Tee 6 inch 160 mm </t>
  </si>
  <si>
    <t xml:space="preserve">Tee with Door 2 1⁄2 inch 75 mm </t>
  </si>
  <si>
    <t>AS-446</t>
  </si>
  <si>
    <t>AS-447</t>
  </si>
  <si>
    <t>AS-448</t>
  </si>
  <si>
    <t xml:space="preserve">Tee with Door 3 inch 90 mm </t>
  </si>
  <si>
    <t>AS-449</t>
  </si>
  <si>
    <t>AS-442</t>
  </si>
  <si>
    <t>AS-443</t>
  </si>
  <si>
    <t xml:space="preserve">Tee with Door 4 inch 110 mm </t>
  </si>
  <si>
    <t>AS-546</t>
  </si>
  <si>
    <t xml:space="preserve">Tee with Door 6 inch 160 mm </t>
  </si>
  <si>
    <t>AS-547</t>
  </si>
  <si>
    <t>AS-548</t>
  </si>
  <si>
    <t>AS-549</t>
  </si>
  <si>
    <t>AS-542</t>
  </si>
  <si>
    <t>AS-543</t>
  </si>
  <si>
    <t>AGRI FITTINGS PN -4</t>
  </si>
  <si>
    <t>AS-227</t>
  </si>
  <si>
    <t>AS-228</t>
  </si>
  <si>
    <t>AS-229</t>
  </si>
  <si>
    <t>AS-327</t>
  </si>
  <si>
    <t>AS-328</t>
  </si>
  <si>
    <t>AS-329</t>
  </si>
  <si>
    <t>AS-427</t>
  </si>
  <si>
    <t>AS-428</t>
  </si>
  <si>
    <t>AS-429</t>
  </si>
  <si>
    <t xml:space="preserve">6 METERS 2.5 KG 90 mm </t>
  </si>
  <si>
    <t xml:space="preserve">6 METERS 2.5 KG 110 mm </t>
  </si>
  <si>
    <t xml:space="preserve">6 METERS 2.5 KG 125 mm </t>
  </si>
  <si>
    <t xml:space="preserve">6 METERS 2.5 KG 140 mm </t>
  </si>
  <si>
    <t>DN (mm)</t>
  </si>
  <si>
    <t>Size (inch)</t>
  </si>
  <si>
    <t>Class</t>
  </si>
  <si>
    <t>Pressure Rating</t>
  </si>
  <si>
    <t>Mean OD</t>
  </si>
  <si>
    <t>Wall Thickness (End)</t>
  </si>
  <si>
    <t>Wall Thickness (Barrel)</t>
  </si>
  <si>
    <t>Thick Portion Length (Both Side)</t>
  </si>
  <si>
    <t>SFG Weight</t>
  </si>
  <si>
    <t>Coupler Weight</t>
  </si>
  <si>
    <t>Fnal FG Weight</t>
  </si>
  <si>
    <t>Rate</t>
  </si>
  <si>
    <t xml:space="preserve">6 METERS 2.5 KG 160 mm </t>
  </si>
  <si>
    <t>COLUMN PIPE COUPLER TYPE</t>
  </si>
  <si>
    <t>1"</t>
  </si>
  <si>
    <t>Class-1</t>
  </si>
  <si>
    <t>PB125</t>
  </si>
  <si>
    <t>33.00 - 33.30</t>
  </si>
  <si>
    <t>2.90 - 3.30</t>
  </si>
  <si>
    <t>1.50 - 1.80</t>
  </si>
  <si>
    <t xml:space="preserve">6 METERS 2.5 KG 180 mm </t>
  </si>
  <si>
    <t>Class-2</t>
  </si>
  <si>
    <t>PB225</t>
  </si>
  <si>
    <t>3.30 - 3.80</t>
  </si>
  <si>
    <t>1.70 - 2.00</t>
  </si>
  <si>
    <t xml:space="preserve">6 METERS 2.5 KG 200 mm </t>
  </si>
  <si>
    <t>Class-3</t>
  </si>
  <si>
    <t>PB325</t>
  </si>
  <si>
    <t>3.80 - 4.40</t>
  </si>
  <si>
    <t>1.90 - 2.20</t>
  </si>
  <si>
    <t>1 1⁄4"</t>
  </si>
  <si>
    <t>PB132</t>
  </si>
  <si>
    <t>42.00 - 42.30</t>
  </si>
  <si>
    <t xml:space="preserve">6 METERS 4 KG 63 mm </t>
  </si>
  <si>
    <t>PB232</t>
  </si>
  <si>
    <t>3.70 - 4.30</t>
  </si>
  <si>
    <t>1.80 - 2.10</t>
  </si>
  <si>
    <t>PB332</t>
  </si>
  <si>
    <t>4.30 - 5.00</t>
  </si>
  <si>
    <t>2.20 - 2.50</t>
  </si>
  <si>
    <t>Class-4</t>
  </si>
  <si>
    <t>PB432</t>
  </si>
  <si>
    <t>5.40 - 6.20</t>
  </si>
  <si>
    <t>2.80 - 3.20</t>
  </si>
  <si>
    <t xml:space="preserve">6 METERS 4 KG 75 mm </t>
  </si>
  <si>
    <t>1 1⁄2"</t>
  </si>
  <si>
    <t>PB240</t>
  </si>
  <si>
    <t>48.00 - 48.30</t>
  </si>
  <si>
    <t>4.10 - 4.70</t>
  </si>
  <si>
    <t>2.10 - 2.40</t>
  </si>
  <si>
    <t>PB340</t>
  </si>
  <si>
    <t>4.90 - 5.70</t>
  </si>
  <si>
    <t>2.50 - 2.90</t>
  </si>
  <si>
    <t>PB440</t>
  </si>
  <si>
    <t>5.90 - 6.80</t>
  </si>
  <si>
    <t>3.20 - 3.70</t>
  </si>
  <si>
    <t xml:space="preserve">6 METERS 4 KG 90 mm </t>
  </si>
  <si>
    <t>2"</t>
  </si>
  <si>
    <t>PB350</t>
  </si>
  <si>
    <t>60.00 - 60.30</t>
  </si>
  <si>
    <t>3.10 - 3.60</t>
  </si>
  <si>
    <t>PB450</t>
  </si>
  <si>
    <t>7.20 - 8.30</t>
  </si>
  <si>
    <t>4.00 - 4.60</t>
  </si>
  <si>
    <t>PB550</t>
  </si>
  <si>
    <t xml:space="preserve">6 METERS 4 KG 110 mm </t>
  </si>
  <si>
    <t>8.80 - 10.10</t>
  </si>
  <si>
    <t>5.00 - 5.80</t>
  </si>
  <si>
    <t>2 1⁄2"</t>
  </si>
  <si>
    <t>PB365</t>
  </si>
  <si>
    <t>75.00 - 75.30</t>
  </si>
  <si>
    <t>7.00 - 8.10</t>
  </si>
  <si>
    <t>3.90 - 4.50</t>
  </si>
  <si>
    <t>PB465</t>
  </si>
  <si>
    <t>8.60 - 9.90</t>
  </si>
  <si>
    <t>PB565</t>
  </si>
  <si>
    <t>10.40 - 12.0</t>
  </si>
  <si>
    <t>6.20 - 7.10</t>
  </si>
  <si>
    <t>3"</t>
  </si>
  <si>
    <t>PB380</t>
  </si>
  <si>
    <t>88.00 - 88.40</t>
  </si>
  <si>
    <t>7.90 - 9.10</t>
  </si>
  <si>
    <t>4.50 - 5.20</t>
  </si>
  <si>
    <t xml:space="preserve">6 METERS 4 KG 125 mm </t>
  </si>
  <si>
    <t>PB480</t>
  </si>
  <si>
    <t>9.70 - 11.20</t>
  </si>
  <si>
    <t>PB580</t>
  </si>
  <si>
    <t>11.60 - 13.30</t>
  </si>
  <si>
    <t>7.30 - 8.40</t>
  </si>
  <si>
    <t>4"</t>
  </si>
  <si>
    <t>PB3100</t>
  </si>
  <si>
    <t>113.00 - 113.40</t>
  </si>
  <si>
    <t>9.60 - 11.00</t>
  </si>
  <si>
    <t>5.80 - 6.70</t>
  </si>
  <si>
    <t xml:space="preserve">6 METERS 4 KG 140 mm </t>
  </si>
  <si>
    <t>PB4100</t>
  </si>
  <si>
    <t>11.90 - 13.70</t>
  </si>
  <si>
    <t>7.60 - 8.60</t>
  </si>
  <si>
    <t>PB5100</t>
  </si>
  <si>
    <t>14.30 - 16.65</t>
  </si>
  <si>
    <t>9.30 - 10.70</t>
  </si>
  <si>
    <t xml:space="preserve">6 METERS 4 KG 160 mm </t>
  </si>
  <si>
    <t xml:space="preserve">6 METERS 4 KG 180 mm </t>
  </si>
  <si>
    <t>COLUMN PIPE BELLING TYPE</t>
  </si>
  <si>
    <t>PB125B</t>
  </si>
  <si>
    <t xml:space="preserve">6 METERS 4 KG 200 mm </t>
  </si>
  <si>
    <t xml:space="preserve">6 METERS 6 KG 40 mm </t>
  </si>
  <si>
    <t>PB225B</t>
  </si>
  <si>
    <t>PB132B</t>
  </si>
  <si>
    <t xml:space="preserve">6 METERS 6 KG 50 mm </t>
  </si>
  <si>
    <t>PB232B</t>
  </si>
  <si>
    <t xml:space="preserve">6 METERS 6 KG 63 mm </t>
  </si>
  <si>
    <t xml:space="preserve">6 METERS 6 KG 75 mm </t>
  </si>
  <si>
    <t xml:space="preserve">6 METERS 6 KG 90 mm </t>
  </si>
  <si>
    <t xml:space="preserve">6 METERS 6 KG 110 mm </t>
  </si>
  <si>
    <t xml:space="preserve">6 METERS 6 KG 125 mm </t>
  </si>
  <si>
    <t xml:space="preserve">6 METERS 6 KG 140 mm </t>
  </si>
  <si>
    <t xml:space="preserve">6 METERS 6 KG 160 mm </t>
  </si>
  <si>
    <t xml:space="preserve">6 METERS 6 KG 180 mm </t>
  </si>
  <si>
    <t xml:space="preserve">6 METERS 6 KG 200 mm </t>
  </si>
  <si>
    <t xml:space="preserve">6 METERS 10 KG 20 mm </t>
  </si>
  <si>
    <t xml:space="preserve">6 METERS 10 KG 25 mm </t>
  </si>
  <si>
    <t xml:space="preserve">6 METERS 10 KG 32 mm </t>
  </si>
  <si>
    <t xml:space="preserve">6 METERS 10 KG 40 mm </t>
  </si>
  <si>
    <t xml:space="preserve">6 METERS 10 KG 50 mm </t>
  </si>
  <si>
    <t xml:space="preserve">6 METERS 10 KG 63 mm </t>
  </si>
  <si>
    <t xml:space="preserve">6 METERS 10 KG 75 mm </t>
  </si>
  <si>
    <t xml:space="preserve">6 METERS 10 KG 90 mm </t>
  </si>
  <si>
    <t xml:space="preserve">6 METERS 10 KG 110 mm </t>
  </si>
  <si>
    <t xml:space="preserve">6 METERS 10 KG 125 mm </t>
  </si>
  <si>
    <t xml:space="preserve">6 METERS 10 KG 140 mm </t>
  </si>
  <si>
    <t xml:space="preserve">6 METERS 10 KG 160 mm </t>
  </si>
  <si>
    <t xml:space="preserve">6 METERS 10 KG 180 mm </t>
  </si>
  <si>
    <t xml:space="preserve">6 METERS 10 KG 200 mm </t>
  </si>
  <si>
    <t xml:space="preserve">5 METERS 2.5 KG 90 mm </t>
  </si>
  <si>
    <t xml:space="preserve">5 METERS 2.5 KG 110 mm </t>
  </si>
  <si>
    <t xml:space="preserve">5 METERS 2.5 KG 125 mm </t>
  </si>
  <si>
    <t xml:space="preserve">5 METERS 2.5 KG 140 mm </t>
  </si>
  <si>
    <t xml:space="preserve">5 METERS 2.5 KG 160 mm </t>
  </si>
  <si>
    <t xml:space="preserve">5 METERS 2.5 KG 180 mm </t>
  </si>
  <si>
    <t xml:space="preserve">5 METERS 2.5 KG 200 mm </t>
  </si>
  <si>
    <t xml:space="preserve">5 METERS 4 KG 63 mm </t>
  </si>
  <si>
    <t xml:space="preserve">5 METERS 4 KG 75 mm </t>
  </si>
  <si>
    <t xml:space="preserve">5 METERS 4 KG 90 mm </t>
  </si>
  <si>
    <t xml:space="preserve">5 METERS 4 KG 110 mm </t>
  </si>
  <si>
    <t xml:space="preserve">5 METERS 4 KG 125 mm </t>
  </si>
  <si>
    <t xml:space="preserve">5 METERS 4 KG 140 mm </t>
  </si>
  <si>
    <t xml:space="preserve">5 METERS 4 KG 160 mm </t>
  </si>
  <si>
    <t xml:space="preserve">5 METERS 4 KG 180 mm </t>
  </si>
  <si>
    <t xml:space="preserve">5 METERS 4 KG 200 mm </t>
  </si>
  <si>
    <t xml:space="preserve">5 METERS 6 KG 40 mm </t>
  </si>
  <si>
    <t xml:space="preserve">5 METERS 6 KG 50 mm </t>
  </si>
  <si>
    <t xml:space="preserve">5 METERS 6 KG 63 mm </t>
  </si>
  <si>
    <t xml:space="preserve">5 METERS 6 KG 75 mm </t>
  </si>
  <si>
    <t xml:space="preserve">5 METERS 6 KG 90 mm </t>
  </si>
  <si>
    <t xml:space="preserve">5 METERS 6 KG 110 mm </t>
  </si>
  <si>
    <t xml:space="preserve">5 METERS 6 KG 125 mm </t>
  </si>
  <si>
    <t xml:space="preserve">5 METERS 6 KG 140 mm </t>
  </si>
  <si>
    <t xml:space="preserve">5 METERS 6 KG 160 mm </t>
  </si>
  <si>
    <t xml:space="preserve">5 METERS 6 KG 180 mm </t>
  </si>
  <si>
    <t>CASING PIPE (3 MTR)</t>
  </si>
  <si>
    <t xml:space="preserve">5 METERS 6 KG 200 mm </t>
  </si>
  <si>
    <t>SIZE (IN METER)</t>
  </si>
  <si>
    <t>CAT NO.</t>
  </si>
  <si>
    <t xml:space="preserve">5 METERS 10 KG 20 mm </t>
  </si>
  <si>
    <t>NEW MRP (Mtr)</t>
  </si>
  <si>
    <t>WALL THICKNESS</t>
  </si>
  <si>
    <t>DIAMETER</t>
  </si>
  <si>
    <t xml:space="preserve">5 METERS 10 KG 25 mm </t>
  </si>
  <si>
    <t>MIN.</t>
  </si>
  <si>
    <t>MAX.</t>
  </si>
  <si>
    <t>Ribbed Medium Well Screen (RMS)</t>
  </si>
  <si>
    <t xml:space="preserve">5 METERS 10 KG 32 mm </t>
  </si>
  <si>
    <t>40 mm</t>
  </si>
  <si>
    <t>PMR-1</t>
  </si>
  <si>
    <t xml:space="preserve">5 METERS 10 KG 40 mm </t>
  </si>
  <si>
    <t>50 mm</t>
  </si>
  <si>
    <t>PMR-2</t>
  </si>
  <si>
    <t xml:space="preserve">5 METERS 10 KG 50 mm </t>
  </si>
  <si>
    <t>80 mm</t>
  </si>
  <si>
    <t>PMR-3</t>
  </si>
  <si>
    <t>100 mm</t>
  </si>
  <si>
    <t>PMR-4</t>
  </si>
  <si>
    <t>115 mm</t>
  </si>
  <si>
    <t>PMR-5</t>
  </si>
  <si>
    <t xml:space="preserve">5 METERS 10 KG 63 mm </t>
  </si>
  <si>
    <t>125 mm</t>
  </si>
  <si>
    <t>PMR-6</t>
  </si>
  <si>
    <t xml:space="preserve">5 METERS 10 KG 75 mm </t>
  </si>
  <si>
    <t>150 mm</t>
  </si>
  <si>
    <t>PMR-7</t>
  </si>
  <si>
    <t>175 mm</t>
  </si>
  <si>
    <t>PMR-8</t>
  </si>
  <si>
    <t>200 mm</t>
  </si>
  <si>
    <t>PMR-9</t>
  </si>
  <si>
    <t xml:space="preserve">5 METERS 10 KG 90 mm </t>
  </si>
  <si>
    <t>Medium Well Casing (CM)</t>
  </si>
  <si>
    <t xml:space="preserve">5 METERS 10 KG 110 mm </t>
  </si>
  <si>
    <t>PMC-1</t>
  </si>
  <si>
    <t xml:space="preserve">5 METERS 10 KG 125 mm </t>
  </si>
  <si>
    <t>PMC-2</t>
  </si>
  <si>
    <t>PMC-3</t>
  </si>
  <si>
    <t xml:space="preserve">5 METERS 10 KG 140 mm </t>
  </si>
  <si>
    <t>PMC-4</t>
  </si>
  <si>
    <t>PMC-5</t>
  </si>
  <si>
    <t xml:space="preserve">5 METERS 10 KG 160 mm </t>
  </si>
  <si>
    <t>PMC-6</t>
  </si>
  <si>
    <t>PMC-7</t>
  </si>
  <si>
    <t>PMC-8</t>
  </si>
  <si>
    <t xml:space="preserve">5 METERS 10 KG 180 mm </t>
  </si>
  <si>
    <t>PMC-9</t>
  </si>
  <si>
    <t xml:space="preserve">5 METERS 10 KG 200 mm </t>
  </si>
  <si>
    <t xml:space="preserve">3 METERS 2.5 KG 90 mm </t>
  </si>
  <si>
    <t xml:space="preserve">3 METERS 2.5 KG 110 mm </t>
  </si>
  <si>
    <t xml:space="preserve">3 METERS 2.5 KG 125 mm </t>
  </si>
  <si>
    <t xml:space="preserve">3 METERS 2.5 KG 140 mm </t>
  </si>
  <si>
    <t xml:space="preserve">3 METERS 2.5 KG 160 mm </t>
  </si>
  <si>
    <t xml:space="preserve">3 METERS 2.5 KG 180 mm </t>
  </si>
  <si>
    <t xml:space="preserve">3 METERS 2.5 KG 200 mm </t>
  </si>
  <si>
    <t xml:space="preserve">3 METERS 4 KG 63 mm </t>
  </si>
  <si>
    <t xml:space="preserve">3 METERS 4 KG 75 mm </t>
  </si>
  <si>
    <t xml:space="preserve">3 METERS 4 KG 90 mm </t>
  </si>
  <si>
    <t xml:space="preserve">3 METERS 4 KG 110 mm </t>
  </si>
  <si>
    <t xml:space="preserve">3 METERS 4 KG 125 mm </t>
  </si>
  <si>
    <t xml:space="preserve">3 METERS 4 KG 140 mm </t>
  </si>
  <si>
    <t xml:space="preserve">3 METERS 4 KG 160 mm </t>
  </si>
  <si>
    <t xml:space="preserve">3 METERS 4 KG 180 mm </t>
  </si>
  <si>
    <t xml:space="preserve">3 METERS 4 KG 200 mm </t>
  </si>
  <si>
    <t xml:space="preserve">3 METERS 6 KG 40 mm </t>
  </si>
  <si>
    <t xml:space="preserve">3 METERS 6 KG 50 mm </t>
  </si>
  <si>
    <t xml:space="preserve">3 METERS 6 KG 63 mm </t>
  </si>
  <si>
    <t xml:space="preserve">3 METERS 6 KG 75 mm </t>
  </si>
  <si>
    <t xml:space="preserve">3 METERS 6 KG 90 mm </t>
  </si>
  <si>
    <t xml:space="preserve">3 METERS 6 KG 110 mm </t>
  </si>
  <si>
    <t xml:space="preserve">3 METERS 6 KG 125 mm </t>
  </si>
  <si>
    <t xml:space="preserve">3 METERS 6 KG 140 mm </t>
  </si>
  <si>
    <t xml:space="preserve">3 METERS 6 KG 160 mm </t>
  </si>
  <si>
    <t xml:space="preserve">3 METERS 6 KG 180 mm </t>
  </si>
  <si>
    <t xml:space="preserve">3 METERS 6 KG 200 mm </t>
  </si>
  <si>
    <t xml:space="preserve">3 METERS 10 KG 20 mm </t>
  </si>
  <si>
    <t xml:space="preserve">3 METERS 10 KG 25 mm </t>
  </si>
  <si>
    <t xml:space="preserve">3 METERS 10 KG 32 mm </t>
  </si>
  <si>
    <t xml:space="preserve">3 METERS 10 KG 40 mm </t>
  </si>
  <si>
    <t xml:space="preserve">3 METERS 10 KG 50 mm </t>
  </si>
  <si>
    <t xml:space="preserve">3 METERS 10 KG 63 mm </t>
  </si>
  <si>
    <t xml:space="preserve">3 METERS 10 KG 75 mm </t>
  </si>
  <si>
    <t xml:space="preserve">3 METERS 10 KG 90 mm </t>
  </si>
  <si>
    <t xml:space="preserve">3 METERS 10 KG 110 mm </t>
  </si>
  <si>
    <t xml:space="preserve">3 METERS 10 KG 125 mm </t>
  </si>
  <si>
    <t xml:space="preserve">3 METERS 10 KG 140 mm </t>
  </si>
  <si>
    <t xml:space="preserve">3 METERS 10 KG 160 mm </t>
  </si>
  <si>
    <t xml:space="preserve">3 METERS 10 KG 180 mm </t>
  </si>
  <si>
    <t xml:space="preserve">3 METERS 10 KG 200 mm </t>
  </si>
  <si>
    <t>AGRI Fittings</t>
  </si>
  <si>
    <t>COUPLER 40 mm - 6 KG</t>
  </si>
  <si>
    <t>COUPLER 50 mm - 6 KG</t>
  </si>
  <si>
    <t>COUPLER 63 mm - 6 KG</t>
  </si>
  <si>
    <t>COUPLER 75 mm - 6 KG</t>
  </si>
  <si>
    <t>COUPLER 90 mm - 6 KG</t>
  </si>
  <si>
    <t>COUPLER 110 mm - 6 KG</t>
  </si>
  <si>
    <t>COUPLER 125 mm - 6 KG</t>
  </si>
  <si>
    <t>COUPLER 140 mm - 6 KG</t>
  </si>
  <si>
    <t>COUPLER 160 mm - 6 KG</t>
  </si>
  <si>
    <t>EQUAL TEE 40 mm - 6 KG</t>
  </si>
  <si>
    <t>EQUAL TEE 50 mm - 6 KG</t>
  </si>
  <si>
    <t>EQUAL TEE 63 mm - 6 KG</t>
  </si>
  <si>
    <t>EQUAL TEE 75 mm - 6 KG</t>
  </si>
  <si>
    <t>EQUAL TEE 90 mm - 6 KG</t>
  </si>
  <si>
    <t>EQUAL TEE 110 mm - 6 KG</t>
  </si>
  <si>
    <t>EQUAL TEE 125 mm - 6 KG</t>
  </si>
  <si>
    <t>EQUAL TEE 140 mm - 6 KG</t>
  </si>
  <si>
    <t>EQUAL TEE 160 mm - 6 KG</t>
  </si>
  <si>
    <t>ELBOW 90⁰ 40 mm - 6 KG</t>
  </si>
  <si>
    <t>ELBOW 90⁰ 50 mm - 6 KG</t>
  </si>
  <si>
    <t>ELBOW 90⁰ 63 mm - 6 KG</t>
  </si>
  <si>
    <t>ELBOW 90⁰ 75 mm - 6 KG</t>
  </si>
  <si>
    <t>ELBOW 90⁰ 90 mm - 6 KG</t>
  </si>
  <si>
    <t>ELBOW 90⁰ 110 mm - 6 KG</t>
  </si>
  <si>
    <t>ELBOW 90⁰ 125 mm - 6 KG</t>
  </si>
  <si>
    <t>ELBOW 90⁰ 140 mm - 6 KG</t>
  </si>
  <si>
    <t>ELBOW 90⁰ 160 mm - 6 KG</t>
  </si>
  <si>
    <t>ELBOW 45⁰ 50 mm - 6 KG</t>
  </si>
  <si>
    <t>ELBOW 45⁰ 63 mm - 6 KG</t>
  </si>
  <si>
    <t>ELBOW 45⁰ 75 mm - 6 KG</t>
  </si>
  <si>
    <t>END CAP 40 mm - 6 KG</t>
  </si>
  <si>
    <t>END CAP 50 mm - 6 KG</t>
  </si>
  <si>
    <t>END CAP 63 mm - 6 KG</t>
  </si>
  <si>
    <t>END CAP 75 mm - 6 KG</t>
  </si>
  <si>
    <t>END CAP 90 mm - 6 KG</t>
  </si>
  <si>
    <t>END CAP 110 mm - 6 KG</t>
  </si>
  <si>
    <t>END CAP 125 mm - 6 KG</t>
  </si>
  <si>
    <t>END CAP 140 mm - 6 KG</t>
  </si>
  <si>
    <t>END CAP 160 mm - 6 KG</t>
  </si>
  <si>
    <t>REDUCER TEE 75 x 50 mm - 6 KG</t>
  </si>
  <si>
    <t>REDUCER TEE 75 x 63 mm - 6 KG</t>
  </si>
  <si>
    <t>REDUCER TEE 90 x 63 mm - 6 KG</t>
  </si>
  <si>
    <t>REDUCER TEE 90 x 75 mm - 6 KG</t>
  </si>
  <si>
    <t>REDUCER TEE 110 x 63 mm - 6 KG</t>
  </si>
  <si>
    <t>REDUCER TEE 110 x 75 mm - 6 KG</t>
  </si>
  <si>
    <t>REDUCER TEE 110 x 90 mm - 6 KG</t>
  </si>
  <si>
    <t>REDUCER TEE 140 x 75 mm - 6 KG</t>
  </si>
  <si>
    <t>REDUCER TEE 140 x 90 mm - 6 KG</t>
  </si>
  <si>
    <t>REDUCER TEE 160 x 75 mm - 6 KG</t>
  </si>
  <si>
    <t>REDUCER TEE 160 x 90 mm - 6 KG</t>
  </si>
  <si>
    <t>REDUCER TEE 160 x 110 mm - 6 KG</t>
  </si>
  <si>
    <t>REDUCER COUPLER 75 x 50 mm - 6 KG</t>
  </si>
  <si>
    <t>REDUCER COUPLER 75 x 63 mm - 6 KG</t>
  </si>
  <si>
    <t>REDUCER COUPLER 90 x 50 mm - 6 KG</t>
  </si>
  <si>
    <t>REDUCER COUPLER 90 x 63 mm - 6 KG</t>
  </si>
  <si>
    <t>REDUCER COUPLER 90 x 75 mm - 6 KG</t>
  </si>
  <si>
    <t>REDUCER COUPLER 110 x 63 mm - 6 KG</t>
  </si>
  <si>
    <t>REDUCER COUPLER 110 x 75 mm - 6 KG</t>
  </si>
  <si>
    <t>REDUCER COUPLER 110 x 90 mm - 6 KG</t>
  </si>
  <si>
    <t>REDUCER COUPLER 140 x 90 mm - 6 KG</t>
  </si>
  <si>
    <t>REDUCER COUPLER 160 x 110 mm - 6 KG</t>
  </si>
  <si>
    <t>PVC SOLVENT CEMENT 250 ML Tin</t>
  </si>
  <si>
    <t>PVC SOLVENT CEMENT 500 ML Tin</t>
  </si>
  <si>
    <t>PVC SOLVENT CEMENT 1000 ML Tin</t>
  </si>
  <si>
    <t>COUPLER 63 mm - 4 KG</t>
  </si>
  <si>
    <t>COUPLER 75 mm - 4 KG</t>
  </si>
  <si>
    <t>COUPLER 90 mm - 4 KG</t>
  </si>
  <si>
    <t>COUPLER 110 mm - 4 KG</t>
  </si>
  <si>
    <t>UGD PIPE (6 MTR)</t>
  </si>
  <si>
    <t>COUPLER 160 mm - 4 KG</t>
  </si>
  <si>
    <t>COUPLER 200 mm - 4 KG</t>
  </si>
  <si>
    <t>THICKNESS</t>
  </si>
  <si>
    <t>SN-8</t>
  </si>
  <si>
    <t>EQUAL TEE 63 mm - 4 KG</t>
  </si>
  <si>
    <t>U-11C</t>
  </si>
  <si>
    <t>U-12C</t>
  </si>
  <si>
    <t>U-13C</t>
  </si>
  <si>
    <t>U-14C</t>
  </si>
  <si>
    <t>U-15C</t>
  </si>
  <si>
    <t>U-16C</t>
  </si>
  <si>
    <t>EQUAL TEE 75 mm - 4 KG</t>
  </si>
  <si>
    <t>SN-4</t>
  </si>
  <si>
    <t>U-11B</t>
  </si>
  <si>
    <t>U-12B</t>
  </si>
  <si>
    <t>U-13B</t>
  </si>
  <si>
    <t>U-14B</t>
  </si>
  <si>
    <t>EQUAL TEE 90 mm - 4 KG</t>
  </si>
  <si>
    <t>EQUAL TEE 110 mm - 4 KG</t>
  </si>
  <si>
    <t>EQUAL TEE 160 mm - 4 KG</t>
  </si>
  <si>
    <t>EQUAL TEE 200 mm - 4 KG</t>
  </si>
  <si>
    <t>ELBOW 90⁰ 63 mm - 4 KG</t>
  </si>
  <si>
    <t>ELBOW 90⁰ 75 mm - 4 KG</t>
  </si>
  <si>
    <t>ELBOW 90⁰ 90 mm - 4 KG</t>
  </si>
  <si>
    <t>UGD FITTINGS (Selfit)</t>
  </si>
  <si>
    <t>ELBOW 90⁰ 110 mm - 4 KG</t>
  </si>
  <si>
    <t>PU-3311S</t>
  </si>
  <si>
    <t>PU-3411S</t>
  </si>
  <si>
    <t>PU-3511S</t>
  </si>
  <si>
    <t>ELBOW 90⁰ 160 mm - 4 KG</t>
  </si>
  <si>
    <t>TEE</t>
  </si>
  <si>
    <t>ELBOW 90⁰ 200 mm - 4 KG</t>
  </si>
  <si>
    <t>PU-4311S</t>
  </si>
  <si>
    <t>PU-4411S</t>
  </si>
  <si>
    <t>PU-4511S</t>
  </si>
  <si>
    <t>END CAP 63 mm - 4 KG</t>
  </si>
  <si>
    <t>PU-7311S</t>
  </si>
  <si>
    <t>PU-7411S</t>
  </si>
  <si>
    <t>PU-7511S</t>
  </si>
  <si>
    <t>END CAP 75 mm - 4 KG</t>
  </si>
  <si>
    <t>PU-8311S</t>
  </si>
  <si>
    <t>PU-8411S</t>
  </si>
  <si>
    <t>PU-8511S</t>
  </si>
  <si>
    <t>END CAP 90 mm - 4 KG</t>
  </si>
  <si>
    <t>UGD FITTINGS (Ringfit)</t>
  </si>
  <si>
    <t>END CAP 110 mm - 4 KG</t>
  </si>
  <si>
    <t>PU-2311</t>
  </si>
  <si>
    <t>END CAP 160 mm - 4 KG</t>
  </si>
  <si>
    <t>PU-2411</t>
  </si>
  <si>
    <t>END CAP 200 mm - 4 KG</t>
  </si>
  <si>
    <t>PU-2312</t>
  </si>
  <si>
    <t>PU-2412</t>
  </si>
  <si>
    <t>BUSH 50 x 40 mm - 4 KG</t>
  </si>
  <si>
    <t>BUSH 75 x 50 mm - 4 KG</t>
  </si>
  <si>
    <t>PU-3311</t>
  </si>
  <si>
    <t>PU-3411</t>
  </si>
  <si>
    <t>BUSH 75 x 110 mm - 4 KG</t>
  </si>
  <si>
    <t>PU-3312</t>
  </si>
  <si>
    <t>PU-4311</t>
  </si>
  <si>
    <t>PU-4411</t>
  </si>
  <si>
    <t>PU-4312</t>
  </si>
  <si>
    <t>PU-4412</t>
  </si>
  <si>
    <t>PU-5311</t>
  </si>
  <si>
    <t>PU-6311</t>
  </si>
  <si>
    <t>PU-6411</t>
  </si>
  <si>
    <t>PU-9013</t>
  </si>
  <si>
    <t>PU-9014</t>
  </si>
  <si>
    <t>COUPLER 75 mm - 2.5 KG</t>
  </si>
  <si>
    <t>COUPLER 90 mm - 2.5 KG</t>
  </si>
  <si>
    <t>COUPLER 110 mm - 2.5 KG</t>
  </si>
  <si>
    <t>EQUAL TEE 75 mm - 2.5 KG</t>
  </si>
  <si>
    <t>EQUAL TEE 90 mm - 2.5 KG</t>
  </si>
  <si>
    <t>EQUAL TEE 110 mm - 2.5 KG</t>
  </si>
  <si>
    <t>ELBOW 90⁰ 75 mm - 2.5 KG</t>
  </si>
  <si>
    <t>ELBOW 90⁰ 90 mm - 2.5 KG</t>
  </si>
  <si>
    <t>ELBOW 90⁰ 110 mm - 2.5 KG</t>
  </si>
  <si>
    <t>AGRI SMART PIPE</t>
  </si>
  <si>
    <t>AGRI SMART Fittings</t>
  </si>
  <si>
    <t>COUPLER 75 mm - PN-6</t>
  </si>
  <si>
    <t>COUPLER 90 mm - PN-6</t>
  </si>
  <si>
    <t>COUPLER 110 mm - PN-6</t>
  </si>
  <si>
    <t>COUPLER 160 mm - PN-6</t>
  </si>
  <si>
    <t>COUPLER 200 mm - PN-6</t>
  </si>
  <si>
    <t>EQUAL TEE 63 mm - PN-6</t>
  </si>
  <si>
    <t>EQUAL TEE 75 mm - PN-6</t>
  </si>
  <si>
    <t>EQUAL TEE 90 mm - PN-6</t>
  </si>
  <si>
    <t>EQUAL TEE 110 mm - PN-6</t>
  </si>
  <si>
    <t>EQUAL TEE 160 mm - PN-6</t>
  </si>
  <si>
    <t>EQUAL TEE 200 mm - PN-6</t>
  </si>
  <si>
    <t>ELBOW 90⁰ 63 mm - PN-6</t>
  </si>
  <si>
    <t>ELBOW 90⁰ 75 mm - PN-6</t>
  </si>
  <si>
    <t>ELBOW 90⁰ 90 mm - PN-6</t>
  </si>
  <si>
    <t>ELBOW 90⁰ 110 mm - PN-6</t>
  </si>
  <si>
    <t>ELBOW 90⁰ 160 mm - PN-6</t>
  </si>
  <si>
    <t>ELBOW 90⁰ 200 mm - PN-6</t>
  </si>
  <si>
    <t>END CAP 63 mm - PN-6</t>
  </si>
  <si>
    <t>END CAP 75 mm - PN-6</t>
  </si>
  <si>
    <t>END CAP 90 mm - PN-6</t>
  </si>
  <si>
    <t>END CAP 110 mm - PN-6</t>
  </si>
  <si>
    <t>END CAP 160 mm - PN-6</t>
  </si>
  <si>
    <t>END CAP 200 mm - PN-6</t>
  </si>
  <si>
    <t>COUPLER 75 mm - PN-4</t>
  </si>
  <si>
    <t>COUPLER 90 mm - PN-4</t>
  </si>
  <si>
    <t>COUPLER 110 mm - PN-4</t>
  </si>
  <si>
    <t>EQUAL TEE 75 mm - PN-4</t>
  </si>
  <si>
    <t>EQUAL TEE 90 mm - PN-4</t>
  </si>
  <si>
    <t>EQUAL TEE 110 mm - PN-4</t>
  </si>
  <si>
    <t>ELBOW 90⁰ 75 mm - PN-4</t>
  </si>
  <si>
    <t>ELBOW 90⁰ 90 mm - PN-4</t>
  </si>
  <si>
    <t>ELBOW 90⁰ 110 mm - PN-4</t>
  </si>
  <si>
    <t>WATER TANK</t>
  </si>
  <si>
    <t>WT-ISI-05</t>
  </si>
  <si>
    <t>WATER TANK 2 LAYER ISI 500 LTR</t>
  </si>
  <si>
    <t>WT-ISI-07</t>
  </si>
  <si>
    <t>WATER TANK 2 LAYER ISI 750 LTR</t>
  </si>
  <si>
    <t>WT-ISI-10</t>
  </si>
  <si>
    <t>WATER TANK 2 LAYER ISI 1000 LTR</t>
  </si>
  <si>
    <t>WT-ISI-15</t>
  </si>
  <si>
    <t>WATER TANK 2 LAYER ISI 1500 LTR</t>
  </si>
  <si>
    <t>WT-ISI-20</t>
  </si>
  <si>
    <t>WATER TANK 2 LAYER ISI 2000 LTR</t>
  </si>
  <si>
    <t>WT-ISI-30</t>
  </si>
  <si>
    <t>WATER TANK 2 LAYER ISI 3000 LTR</t>
  </si>
  <si>
    <t>WT-ISI-50</t>
  </si>
  <si>
    <t>WATER TANK 2 LAYER ISI 5000 LTR</t>
  </si>
  <si>
    <t>WT-4LL-05</t>
  </si>
  <si>
    <t>WATER TANK 4 LAYER LIGHT 500 LTR</t>
  </si>
  <si>
    <t>WT-4LL-07</t>
  </si>
  <si>
    <t>WATER TANK 4 LAYER LIGHT 750 LTR</t>
  </si>
  <si>
    <t>WT-4LL-10</t>
  </si>
  <si>
    <t>WATER TANK 4 LAYER LIGHT 1000 LTR</t>
  </si>
  <si>
    <t>WT-4LL-15</t>
  </si>
  <si>
    <t>WATER TANK 4 LAYER LIGHT 1500 LTR</t>
  </si>
  <si>
    <t>WT-4LL-20</t>
  </si>
  <si>
    <t>WATER TANK 4 LAYER LIGHT 2000 LTR</t>
  </si>
  <si>
    <t>WT-4LL-30</t>
  </si>
  <si>
    <t>WATER TANK 4 LAYER LIGHT 3000 LTR</t>
  </si>
  <si>
    <t>WT-4LL-50</t>
  </si>
  <si>
    <t>WATER TANK 4 LAYER LIGHT 5000 LTR</t>
  </si>
  <si>
    <t>WT-3LL-05</t>
  </si>
  <si>
    <t>WATER TANK 3 LAYER LIGHT 500 LTR</t>
  </si>
  <si>
    <t>WT-3LL-07</t>
  </si>
  <si>
    <t>WATER TANK 3 LAYER LIGHT 750 LTR</t>
  </si>
  <si>
    <t>WT-3LL-10</t>
  </si>
  <si>
    <t>WATER TANK 3 LAYER LIGHT 1000 LTR</t>
  </si>
  <si>
    <t>WT-3LL-15</t>
  </si>
  <si>
    <t>WATER TANK 3 LAYER LIGHT 1500 LTR</t>
  </si>
  <si>
    <t>WT-3LL-20</t>
  </si>
  <si>
    <t>WATER TANK 3 LAYER LIGHT 2000 LTR</t>
  </si>
  <si>
    <t>WT-3LL-30</t>
  </si>
  <si>
    <t>WATER TANK 3 LAYER LIGHT 3000 LTR</t>
  </si>
  <si>
    <t>WT-3LL-50</t>
  </si>
  <si>
    <t>WATER TANK 3 LAYER LIGHT 5000 LTR</t>
  </si>
  <si>
    <t>WT-4LC-05</t>
  </si>
  <si>
    <t>WT-4LC-07</t>
  </si>
  <si>
    <t>WT-4LC-10</t>
  </si>
  <si>
    <t>WT-4LC-15</t>
  </si>
  <si>
    <t>WT-4LC-20</t>
  </si>
  <si>
    <t>WT-4LC-30</t>
  </si>
  <si>
    <t>WT-4LC-50</t>
  </si>
  <si>
    <t>WT-3LC-05</t>
  </si>
  <si>
    <t>WT-3LC-07</t>
  </si>
  <si>
    <t>WT-3LC-10</t>
  </si>
  <si>
    <t>Code</t>
  </si>
  <si>
    <t>WT-3LC-15</t>
  </si>
  <si>
    <t>Weight</t>
  </si>
  <si>
    <t>Item Name</t>
  </si>
  <si>
    <t>Min (mm)</t>
  </si>
  <si>
    <t>Max (mm)</t>
  </si>
  <si>
    <t>Pressure Class</t>
  </si>
  <si>
    <t>Nominal Diameter</t>
  </si>
  <si>
    <t>MRP (Mtr)</t>
  </si>
  <si>
    <t>Wt. Per Mtr</t>
  </si>
  <si>
    <t>NEW KG COST</t>
  </si>
  <si>
    <t>OPVC01</t>
  </si>
  <si>
    <t>90MM OPVC PIPE 12.5KG/CM2</t>
  </si>
  <si>
    <t>WT-3LC-20</t>
  </si>
  <si>
    <t>PN 12.5</t>
  </si>
  <si>
    <t>PVO-101</t>
  </si>
  <si>
    <t>WT-3LC-30</t>
  </si>
  <si>
    <t>WT-3LC-50</t>
  </si>
  <si>
    <t>OPVC02</t>
  </si>
  <si>
    <t>110MM OPVC PIPE 12.5KG/CM2</t>
  </si>
  <si>
    <t>WT-3LH-05</t>
  </si>
  <si>
    <t>OPVC05</t>
  </si>
  <si>
    <t>160MM OPVC PIPE 12.5KG/CM2</t>
  </si>
  <si>
    <t>OPVC07</t>
  </si>
  <si>
    <t>200MM OPVC PIPE 12.5KG/CM2</t>
  </si>
  <si>
    <t>WT-3LH-07</t>
  </si>
  <si>
    <t>OPVC09</t>
  </si>
  <si>
    <t>250MM OPVC PIPE 12.5KG/CM2</t>
  </si>
  <si>
    <t>PVO-201</t>
  </si>
  <si>
    <t>PVO-202</t>
  </si>
  <si>
    <t>OPVC13</t>
  </si>
  <si>
    <t>315MM OPVC PIPE 12.5KG/CM2</t>
  </si>
  <si>
    <t>WT-3LH-10</t>
  </si>
  <si>
    <t>PVO-203</t>
  </si>
  <si>
    <t>OPVC15</t>
  </si>
  <si>
    <t>400MM OPVC PIPE 12.5KG/CM2</t>
  </si>
  <si>
    <t>PVO-204</t>
  </si>
  <si>
    <t>UPCOMING</t>
  </si>
  <si>
    <t>OPVC21</t>
  </si>
  <si>
    <t>90MM OPVC PIPE 16KG/CM2</t>
  </si>
  <si>
    <t>PN 16</t>
  </si>
  <si>
    <t>WT-3LH-15</t>
  </si>
  <si>
    <t>OPVC22</t>
  </si>
  <si>
    <t>110MM OPVC PIPE 16KG/CM2</t>
  </si>
  <si>
    <t>OPVC23</t>
  </si>
  <si>
    <t>125MM OPVC PIPE 16KG/CM2</t>
  </si>
  <si>
    <t>WT-3LH-20</t>
  </si>
  <si>
    <t>OPVC24</t>
  </si>
  <si>
    <t>140MM OPVC PIPE 16KG/CM2</t>
  </si>
  <si>
    <t>OPVC25</t>
  </si>
  <si>
    <t>160MM OPVC PIPE 16KG/CM2</t>
  </si>
  <si>
    <t>PVO-301</t>
  </si>
  <si>
    <t>WT-3LH-30</t>
  </si>
  <si>
    <t>PVO-302</t>
  </si>
  <si>
    <t>OPVC26</t>
  </si>
  <si>
    <t>180MM OPVC PIPE 16KG/CM2</t>
  </si>
  <si>
    <t>PVO-303</t>
  </si>
  <si>
    <t>OPVC27</t>
  </si>
  <si>
    <t>200MM OPVC PIPE 16KG/CM2</t>
  </si>
  <si>
    <t>PVO-304</t>
  </si>
  <si>
    <t>WT-3LH-50</t>
  </si>
  <si>
    <t>OPVC28</t>
  </si>
  <si>
    <t>225MM OPVC PIPE 16KG/CM2</t>
  </si>
  <si>
    <t>OPVC29</t>
  </si>
  <si>
    <t>250MM OPVC PIPE 16KG/CM2</t>
  </si>
  <si>
    <t>OPVC32</t>
  </si>
  <si>
    <t>280MM OPVC PIPE 16KG/CM2</t>
  </si>
  <si>
    <t>WT-5LH-05</t>
  </si>
  <si>
    <t>WATER TANK DOUBLE PUFF</t>
  </si>
  <si>
    <t>PVO-401</t>
  </si>
  <si>
    <t>OPVC33</t>
  </si>
  <si>
    <t>315MM OPVC PIPE 16KG/CM2</t>
  </si>
  <si>
    <t>PVO-402</t>
  </si>
  <si>
    <t>WT-5LH-07</t>
  </si>
  <si>
    <t>OPVC34</t>
  </si>
  <si>
    <t>PVO-403</t>
  </si>
  <si>
    <t>355MM OPVC PIPE 16KG/CM2</t>
  </si>
  <si>
    <t>PVO-404</t>
  </si>
  <si>
    <t>OPVC35</t>
  </si>
  <si>
    <t>400MM OPVC PIPE 16KG/CM2</t>
  </si>
  <si>
    <t>WT-5LH-10</t>
  </si>
  <si>
    <t>OPVC41</t>
  </si>
  <si>
    <t>90MM OPVC PIPE 20KG/CM2</t>
  </si>
  <si>
    <t>PN 20</t>
  </si>
  <si>
    <t>OPVC42</t>
  </si>
  <si>
    <t>110MM OPVC PIPE 20KG/CM2</t>
  </si>
  <si>
    <t>WT-5LH-15</t>
  </si>
  <si>
    <t>OPVC43</t>
  </si>
  <si>
    <t>125MM OPVC PIPE 20KG/CM2</t>
  </si>
  <si>
    <t>WT-5LH-20</t>
  </si>
  <si>
    <t>OPVC44</t>
  </si>
  <si>
    <t>140MM OPVC PIPE 20KG/CM2</t>
  </si>
  <si>
    <t>OPVC45</t>
  </si>
  <si>
    <t>160MM OPVC PIPE 20KG/CM2</t>
  </si>
  <si>
    <t>WT-5LH-30</t>
  </si>
  <si>
    <t>OPVC46</t>
  </si>
  <si>
    <t>180MM OPVC PIPE 20KG/CM2</t>
  </si>
  <si>
    <t>OPVC47</t>
  </si>
  <si>
    <t>200MM OPVC PIPE 20KG/CM2</t>
  </si>
  <si>
    <t>WT-5LH-50</t>
  </si>
  <si>
    <t>OPVC48</t>
  </si>
  <si>
    <t>225MM OPVC PIPE 20KG/CM2</t>
  </si>
  <si>
    <t>OPVC49</t>
  </si>
  <si>
    <t>250MM OPVC PIPE 20KG/CM2</t>
  </si>
  <si>
    <t>WT-5LC-05</t>
  </si>
  <si>
    <t>OPVC52</t>
  </si>
  <si>
    <t>280MM OPVC PIPE 20KG/CM2</t>
  </si>
  <si>
    <t>OPVC53</t>
  </si>
  <si>
    <t>WT-5LC-07</t>
  </si>
  <si>
    <t>315MM OPVC PIPE 20KG/CM2</t>
  </si>
  <si>
    <t>OPVC54</t>
  </si>
  <si>
    <t>355MM OPVC PIPE 20KG/CM2</t>
  </si>
  <si>
    <t>WT-5LC-10</t>
  </si>
  <si>
    <t>OPVC55</t>
  </si>
  <si>
    <t>400MM OPVC PIPE 20KG/CM2</t>
  </si>
  <si>
    <t>OPVC61</t>
  </si>
  <si>
    <t>90MM OPVC PIPE 25KG/CM2</t>
  </si>
  <si>
    <t>PN 25</t>
  </si>
  <si>
    <t>WT-5LC-15</t>
  </si>
  <si>
    <t>OPVC62</t>
  </si>
  <si>
    <t>110MM OPVC PIPE 25KG/CM2</t>
  </si>
  <si>
    <t>WT-5LC-20</t>
  </si>
  <si>
    <t>OPVC63</t>
  </si>
  <si>
    <t>125MM OPVC PIPE 25KG/CM2</t>
  </si>
  <si>
    <t>OPVC64</t>
  </si>
  <si>
    <t>140MM OPVC PIPE 25KG/CM2</t>
  </si>
  <si>
    <t>WT-5LC-30</t>
  </si>
  <si>
    <t>OPVC65</t>
  </si>
  <si>
    <t>160MM OPVC PIPE 25KG/CM2</t>
  </si>
  <si>
    <t>OPVC66</t>
  </si>
  <si>
    <t>180MM OPVC PIPE 25KG/CM2</t>
  </si>
  <si>
    <t>WT-5LC-50</t>
  </si>
  <si>
    <t>OPVC67</t>
  </si>
  <si>
    <t>200MM OPVC PIPE 25KG/CM2</t>
  </si>
  <si>
    <t>WT-6LH-05</t>
  </si>
  <si>
    <t>OPVC68</t>
  </si>
  <si>
    <t>225MM OPVC PIPE 25KG/CM2</t>
  </si>
  <si>
    <t>OPVC69</t>
  </si>
  <si>
    <t>250MM OPVC PIPE 25KG/CM2</t>
  </si>
  <si>
    <t>WT-6LH-07</t>
  </si>
  <si>
    <t>OPVC72</t>
  </si>
  <si>
    <t>280MM OPVC PIPE 25KG/CM2</t>
  </si>
  <si>
    <t>WT-6LH-10</t>
  </si>
  <si>
    <t>OPVC73</t>
  </si>
  <si>
    <t>315MM OPVC PIPE 25KG/CM2</t>
  </si>
  <si>
    <t>OPVC74</t>
  </si>
  <si>
    <t>355MM OPVC PIPE 25KG/CM2</t>
  </si>
  <si>
    <t>WT-6LH-15</t>
  </si>
  <si>
    <t>OPVC75</t>
  </si>
  <si>
    <t>400MM OPVC PIPE 25KG/CM2</t>
  </si>
  <si>
    <t>WT-6LH-20</t>
  </si>
  <si>
    <t>WT-6LH-30</t>
  </si>
  <si>
    <t>WT-6LH-50</t>
  </si>
  <si>
    <t>WT-6LC-05</t>
  </si>
  <si>
    <t>WT-6LC-07</t>
  </si>
  <si>
    <t>WT-6LC-10</t>
  </si>
  <si>
    <r>
      <rPr>
        <rFont val="Calibri, Arial"/>
        <b/>
        <color rgb="FF000000"/>
        <sz val="15.0"/>
      </rPr>
      <t>S.NO</t>
    </r>
    <r>
      <rPr>
        <rFont val="Calibri, Arial"/>
        <b/>
        <color theme="1"/>
        <sz val="15.0"/>
      </rPr>
      <t>.</t>
    </r>
  </si>
  <si>
    <t>Cat No.</t>
  </si>
  <si>
    <t>Capacity (Ltrs.)</t>
  </si>
  <si>
    <t>Overall Diameter (mm)</t>
  </si>
  <si>
    <t>Overall Height (mm)</t>
  </si>
  <si>
    <t>Diameter of Manhole (mm)</t>
  </si>
  <si>
    <t>WT-6LC-15</t>
  </si>
  <si>
    <t>OLD M.R.P. 2022</t>
  </si>
  <si>
    <t>NET WEIGHT</t>
  </si>
  <si>
    <t>Total Cost</t>
  </si>
  <si>
    <t>WT-6LC-20</t>
  </si>
  <si>
    <t>WT-6LC-30</t>
  </si>
  <si>
    <t>WT-6LC-50</t>
  </si>
  <si>
    <t>COLUMN PIPE</t>
  </si>
  <si>
    <t>COLUM PIPE COUPLER TYPE</t>
  </si>
  <si>
    <t>CASING PIPE</t>
  </si>
  <si>
    <t>WT-4LH-05</t>
  </si>
  <si>
    <t>REMOVED</t>
  </si>
  <si>
    <t>WT-4LH-07</t>
  </si>
  <si>
    <t>WT-4LH-10</t>
  </si>
  <si>
    <t>WT-4LH-15</t>
  </si>
  <si>
    <t>WT-4LH-20</t>
  </si>
  <si>
    <t>WT-4LH-30</t>
  </si>
  <si>
    <t>WT-4LH-50</t>
  </si>
  <si>
    <t>UGD PIPE</t>
  </si>
  <si>
    <t>UGD PIPE (6 MTR) SN-8</t>
  </si>
  <si>
    <t>UGD PIPE (6 MTR) SN-4</t>
  </si>
  <si>
    <t>UGD FITTINGS</t>
  </si>
  <si>
    <t>UGD FITTINGS (Selfit) COUPLER</t>
  </si>
  <si>
    <t>DOUBLE PUFF</t>
  </si>
  <si>
    <t>UGD FITTINGS (Selfit) TEE</t>
  </si>
  <si>
    <t>UGD FITTINGS (Selfit) ELBOW 90⁰</t>
  </si>
  <si>
    <t>UGD FITTINGS (Selfit) END CAP</t>
  </si>
  <si>
    <t>UGD FITTINGS (Ringfit) Bend 45⁰</t>
  </si>
  <si>
    <t>UGD FITTINGS (Ringfit) Bend 87.5⁰</t>
  </si>
  <si>
    <t>UGD FITTINGS (Ringfit) Coupler</t>
  </si>
  <si>
    <t>UGD FITTINGS (Ringfit) Reducer Coupler</t>
  </si>
  <si>
    <t>UGD FITTINGS (Ringfit) Tee</t>
  </si>
  <si>
    <t>UGD FITTINGS (Ringfit) Reducing Tee</t>
  </si>
  <si>
    <t>UGD FITTINGS (Ringfit) Cross Tee</t>
  </si>
  <si>
    <t>UGD FITTINGS (Ringfit) Single Y</t>
  </si>
  <si>
    <t>UGD FITTINGS (Ringfit) Pipe Clip</t>
  </si>
  <si>
    <t>OPVC PIPE</t>
  </si>
  <si>
    <t>OPVC FITTINGS</t>
  </si>
  <si>
    <t>PPR PIPE</t>
  </si>
  <si>
    <t>P20G02</t>
  </si>
  <si>
    <t>Green Triple Layer</t>
  </si>
  <si>
    <t>P20G03</t>
  </si>
  <si>
    <t>P20G04</t>
  </si>
  <si>
    <t>P20G05</t>
  </si>
  <si>
    <t>P20G06</t>
  </si>
  <si>
    <t>P20G07</t>
  </si>
  <si>
    <t>P20G08</t>
  </si>
  <si>
    <t>P20G09</t>
  </si>
  <si>
    <t>P20G10</t>
  </si>
  <si>
    <t>P16G02</t>
  </si>
  <si>
    <t>P16G03</t>
  </si>
  <si>
    <t>P16G04</t>
  </si>
  <si>
    <t>P16G05</t>
  </si>
  <si>
    <t>P16G06</t>
  </si>
  <si>
    <t>P16G07</t>
  </si>
  <si>
    <t>P16G08</t>
  </si>
  <si>
    <t>P16G09</t>
  </si>
  <si>
    <t>P16G10</t>
  </si>
  <si>
    <t>P16G11</t>
  </si>
  <si>
    <t>P10G02</t>
  </si>
  <si>
    <t>P10G03</t>
  </si>
  <si>
    <t>P10G04</t>
  </si>
  <si>
    <t>P10G05</t>
  </si>
  <si>
    <t>P10G06</t>
  </si>
  <si>
    <t>P10G07</t>
  </si>
  <si>
    <t>P10G08</t>
  </si>
  <si>
    <t>P10G09</t>
  </si>
  <si>
    <t>P10G10</t>
  </si>
  <si>
    <t>P10G11</t>
  </si>
  <si>
    <t>P10G12</t>
  </si>
  <si>
    <t>P20W02</t>
  </si>
  <si>
    <t>White Triple Layer</t>
  </si>
  <si>
    <t>P20W03</t>
  </si>
  <si>
    <t>P20W04</t>
  </si>
  <si>
    <t>P20W05</t>
  </si>
  <si>
    <t>P20W06</t>
  </si>
  <si>
    <t>P20W07</t>
  </si>
  <si>
    <t>P20W08</t>
  </si>
  <si>
    <t>P20W09</t>
  </si>
  <si>
    <t>P20W10</t>
  </si>
  <si>
    <t>P16W02</t>
  </si>
  <si>
    <t>P16W03</t>
  </si>
  <si>
    <t>P16W04</t>
  </si>
  <si>
    <t>P16W05</t>
  </si>
  <si>
    <t>P16W06</t>
  </si>
  <si>
    <t>P16W07</t>
  </si>
  <si>
    <t>P16W08</t>
  </si>
  <si>
    <t>P16W09</t>
  </si>
  <si>
    <t>P16W10</t>
  </si>
  <si>
    <t>P16W11</t>
  </si>
  <si>
    <t>P10W02</t>
  </si>
  <si>
    <t>P10W03</t>
  </si>
  <si>
    <t>P10W04</t>
  </si>
  <si>
    <t>P10W05</t>
  </si>
  <si>
    <t>P10W06</t>
  </si>
  <si>
    <t>P10W07</t>
  </si>
  <si>
    <t>P10W08</t>
  </si>
  <si>
    <t>P10W09</t>
  </si>
  <si>
    <t>P10W10</t>
  </si>
  <si>
    <t>P10W11</t>
  </si>
  <si>
    <t>P10W12</t>
  </si>
  <si>
    <t>P20A02</t>
  </si>
  <si>
    <t>Anti-Freezing Triple Layer</t>
  </si>
  <si>
    <t>P20A03</t>
  </si>
  <si>
    <t>P20A04</t>
  </si>
  <si>
    <t>P20A05</t>
  </si>
  <si>
    <t>P20A06</t>
  </si>
  <si>
    <t>P20A07</t>
  </si>
  <si>
    <t>P20A08</t>
  </si>
  <si>
    <t>P20A09</t>
  </si>
  <si>
    <t>P20A10</t>
  </si>
  <si>
    <t>P16A02</t>
  </si>
  <si>
    <t>P16A03</t>
  </si>
  <si>
    <t>P16A04</t>
  </si>
  <si>
    <t>P16A05</t>
  </si>
  <si>
    <t>P16A06</t>
  </si>
  <si>
    <t>P16A07</t>
  </si>
  <si>
    <t>P16A08</t>
  </si>
  <si>
    <t>P16A09</t>
  </si>
  <si>
    <t>P16A10</t>
  </si>
  <si>
    <t>P16A11</t>
  </si>
  <si>
    <t>P10A02</t>
  </si>
  <si>
    <t>P10A03</t>
  </si>
  <si>
    <t>P10A04</t>
  </si>
  <si>
    <t>P10A05</t>
  </si>
  <si>
    <t>P10A06</t>
  </si>
  <si>
    <t>P10A07</t>
  </si>
  <si>
    <t>P10A08</t>
  </si>
  <si>
    <t>P10A09</t>
  </si>
  <si>
    <t>P10A10</t>
  </si>
  <si>
    <t>P10A11</t>
  </si>
  <si>
    <t>P10A12</t>
  </si>
  <si>
    <t>PPR FITTINGS</t>
  </si>
  <si>
    <t>PG42</t>
  </si>
  <si>
    <t>PPR FITTINGS (Green Colour) Coupler</t>
  </si>
  <si>
    <t>PG43</t>
  </si>
  <si>
    <t>PG44</t>
  </si>
  <si>
    <t>PG45</t>
  </si>
  <si>
    <t>PG46</t>
  </si>
  <si>
    <t>PG47</t>
  </si>
  <si>
    <t>PG48</t>
  </si>
  <si>
    <t>PG49</t>
  </si>
  <si>
    <t>PG50</t>
  </si>
  <si>
    <t>PG932</t>
  </si>
  <si>
    <t>PPR FITTINGS (Green Colour) Reducer Coupling</t>
  </si>
  <si>
    <t>PG942</t>
  </si>
  <si>
    <t>PG943</t>
  </si>
  <si>
    <t>PG952</t>
  </si>
  <si>
    <t>PG953</t>
  </si>
  <si>
    <t>PG954</t>
  </si>
  <si>
    <t>PG962</t>
  </si>
  <si>
    <t>PG963</t>
  </si>
  <si>
    <t>PN</t>
  </si>
  <si>
    <t>PN-20</t>
  </si>
  <si>
    <t>PG964</t>
  </si>
  <si>
    <t>PN-16</t>
  </si>
  <si>
    <t>PG965</t>
  </si>
  <si>
    <t>SIZE (mm)</t>
  </si>
  <si>
    <t>PG973</t>
  </si>
  <si>
    <t>MRP (Per Mtr)</t>
  </si>
  <si>
    <t>MRP (3 Mtr)</t>
  </si>
  <si>
    <t>PG974</t>
  </si>
  <si>
    <t>PG975</t>
  </si>
  <si>
    <t>PG976</t>
  </si>
  <si>
    <t>PG402</t>
  </si>
  <si>
    <t>PPR FITTINGS (Green Colour) Male Threaded Coupler</t>
  </si>
  <si>
    <t>PG403</t>
  </si>
  <si>
    <t>PG512</t>
  </si>
  <si>
    <t>PPR FITTINGS (Green Colour) Male Threaded Elbow 90⁰</t>
  </si>
  <si>
    <t>PG513</t>
  </si>
  <si>
    <t>PG514</t>
  </si>
  <si>
    <t>PG515</t>
  </si>
  <si>
    <t>PG412</t>
  </si>
  <si>
    <t>PPR FITTINGS (Green Colour) Female Threaded Coupler</t>
  </si>
  <si>
    <t>PG413</t>
  </si>
  <si>
    <t>PG52</t>
  </si>
  <si>
    <t>PPR FITTINGS (Green Colour) Elbow 90⁰</t>
  </si>
  <si>
    <t>PG53</t>
  </si>
  <si>
    <t>PG54</t>
  </si>
  <si>
    <t>PG55</t>
  </si>
  <si>
    <t>PG56</t>
  </si>
  <si>
    <t>PG57</t>
  </si>
  <si>
    <t>PG58</t>
  </si>
  <si>
    <t>PG59</t>
  </si>
  <si>
    <t>PG60</t>
  </si>
  <si>
    <t>PG522</t>
  </si>
  <si>
    <t>PPR FITTINGS (Green Colour) Female Threaded Elbow 90⁰</t>
  </si>
  <si>
    <t>PG523</t>
  </si>
  <si>
    <t>PG524</t>
  </si>
  <si>
    <t>PG525</t>
  </si>
  <si>
    <t>PG62</t>
  </si>
  <si>
    <t>PPR FITTINGS (Green Colour) Equal Tee</t>
  </si>
  <si>
    <t>PG63</t>
  </si>
  <si>
    <t>PG64</t>
  </si>
  <si>
    <t>PG65</t>
  </si>
  <si>
    <t>PG66</t>
  </si>
  <si>
    <t>PG67</t>
  </si>
  <si>
    <t>PG68</t>
  </si>
  <si>
    <t>PG69</t>
  </si>
  <si>
    <t>PG70</t>
  </si>
  <si>
    <t>PG232</t>
  </si>
  <si>
    <t>PPR FITTINGS (Green Colour) Reducer Tee</t>
  </si>
  <si>
    <t>PG242</t>
  </si>
  <si>
    <t>PG243</t>
  </si>
  <si>
    <t>PG252</t>
  </si>
  <si>
    <t>PG253</t>
  </si>
  <si>
    <t>PG254</t>
  </si>
  <si>
    <t>PG262</t>
  </si>
  <si>
    <t>PG263</t>
  </si>
  <si>
    <t>PG264</t>
  </si>
  <si>
    <t>PG265</t>
  </si>
  <si>
    <t>PG283</t>
  </si>
  <si>
    <t>PG284</t>
  </si>
  <si>
    <t>PG285</t>
  </si>
  <si>
    <t>PG286</t>
  </si>
  <si>
    <t>PG322</t>
  </si>
  <si>
    <t>PPR FITTINGS (Green Colour) Female Threaded Tee</t>
  </si>
  <si>
    <t>PG323</t>
  </si>
  <si>
    <t>PG324</t>
  </si>
  <si>
    <t>PG325</t>
  </si>
  <si>
    <t>PG302</t>
  </si>
  <si>
    <t>PPR FITTINGS (Green Colour) Male Threaded Tee</t>
  </si>
  <si>
    <t>PG303</t>
  </si>
  <si>
    <t xml:space="preserve"> </t>
  </si>
  <si>
    <t>PG304</t>
  </si>
  <si>
    <t>Brass</t>
  </si>
  <si>
    <t>PG305</t>
  </si>
  <si>
    <t>white - 104</t>
  </si>
  <si>
    <t>anti - 112</t>
  </si>
  <si>
    <t>PG306</t>
  </si>
  <si>
    <t>PG32</t>
  </si>
  <si>
    <t>PPR FITTINGS (Green Colour) Union</t>
  </si>
  <si>
    <t>PG33</t>
  </si>
  <si>
    <t>01st May, 2026</t>
  </si>
  <si>
    <t>Brass (Grm)</t>
  </si>
  <si>
    <t>Weight (Grm)</t>
  </si>
  <si>
    <t>Weight (Kg)</t>
  </si>
  <si>
    <t>Status</t>
  </si>
  <si>
    <t>PG34</t>
  </si>
  <si>
    <t>SUPREME</t>
  </si>
  <si>
    <t>PPR FITTINGS (Green Colour)</t>
  </si>
  <si>
    <t>PG35</t>
  </si>
  <si>
    <t>GREEN</t>
  </si>
  <si>
    <t>PG36</t>
  </si>
  <si>
    <t>PG37</t>
  </si>
  <si>
    <t>PG272</t>
  </si>
  <si>
    <t>PPR FITTINGS (Green Colour) Tank Nipple</t>
  </si>
  <si>
    <t>PG273</t>
  </si>
  <si>
    <t>Available</t>
  </si>
  <si>
    <t>PG274</t>
  </si>
  <si>
    <t>PG275</t>
  </si>
  <si>
    <t>PG276</t>
  </si>
  <si>
    <t>PG277</t>
  </si>
  <si>
    <t>PG602</t>
  </si>
  <si>
    <t>PPR FITTINGS (Green Colour) End Cap</t>
  </si>
  <si>
    <t>PG603</t>
  </si>
  <si>
    <t>40</t>
  </si>
  <si>
    <t>PG604</t>
  </si>
  <si>
    <t>Ordered</t>
  </si>
  <si>
    <t>50</t>
  </si>
  <si>
    <t>PG605</t>
  </si>
  <si>
    <t>63</t>
  </si>
  <si>
    <t>PG606</t>
  </si>
  <si>
    <t>75</t>
  </si>
  <si>
    <t>Not Available</t>
  </si>
  <si>
    <t>PG607</t>
  </si>
  <si>
    <t>90</t>
  </si>
  <si>
    <t>3</t>
  </si>
  <si>
    <t>110</t>
  </si>
  <si>
    <t>4</t>
  </si>
  <si>
    <t>PG11</t>
  </si>
  <si>
    <t>PPR FITTINGS (Green Colour) End Plug</t>
  </si>
  <si>
    <t>PG12</t>
  </si>
  <si>
    <t>PG23</t>
  </si>
  <si>
    <t>PPR FITTINGS (Green Colour) Ball Valve</t>
  </si>
  <si>
    <t>PG24</t>
  </si>
  <si>
    <t>PG25</t>
  </si>
  <si>
    <t>PG26</t>
  </si>
  <si>
    <t>PGB24</t>
  </si>
  <si>
    <t>PPR FITTINGS (Green Colour) Ball Valve (Metal)</t>
  </si>
  <si>
    <t>PGB25</t>
  </si>
  <si>
    <t>PGB26</t>
  </si>
  <si>
    <t>63x25</t>
  </si>
  <si>
    <t>PP42</t>
  </si>
  <si>
    <t>PPR FITTINGS (White Colour) Coupler</t>
  </si>
  <si>
    <t>63x32</t>
  </si>
  <si>
    <t>PP43</t>
  </si>
  <si>
    <t>63x40</t>
  </si>
  <si>
    <t>PP44</t>
  </si>
  <si>
    <t>ISI PIPE</t>
  </si>
  <si>
    <t>63x50</t>
  </si>
  <si>
    <t>PRT PIPE</t>
  </si>
  <si>
    <t>PP45</t>
  </si>
  <si>
    <t>LPG PIPE</t>
  </si>
  <si>
    <t>AIR PIPE</t>
  </si>
  <si>
    <t>90x63</t>
  </si>
  <si>
    <t>PG997</t>
  </si>
  <si>
    <t>PP46</t>
  </si>
  <si>
    <t>Grm</t>
  </si>
  <si>
    <t>1000 Mtr of Pipe</t>
  </si>
  <si>
    <t>PP47</t>
  </si>
  <si>
    <t>Male Threaded Coupler</t>
  </si>
  <si>
    <t>Mtr</t>
  </si>
  <si>
    <t>Kg</t>
  </si>
  <si>
    <t>BLACK</t>
  </si>
  <si>
    <t>20x1⁄2"</t>
  </si>
  <si>
    <t>WHITE</t>
  </si>
  <si>
    <t>YELLOW</t>
  </si>
  <si>
    <t>PP48</t>
  </si>
  <si>
    <t>BLUE</t>
  </si>
  <si>
    <t>Aluminium Thickness</t>
  </si>
  <si>
    <t>Aluminium Strip width</t>
  </si>
  <si>
    <t>Weight per Mtr</t>
  </si>
  <si>
    <t>weight of Al per mtr</t>
  </si>
  <si>
    <t xml:space="preserve">weight of ADH per mtr </t>
  </si>
  <si>
    <t xml:space="preserve">weight of PE per mtr </t>
  </si>
  <si>
    <t>AL.</t>
  </si>
  <si>
    <t>ADH</t>
  </si>
  <si>
    <t>PE</t>
  </si>
  <si>
    <t>Standard coil</t>
  </si>
  <si>
    <t>Weight of the coil</t>
  </si>
  <si>
    <t>Cost Sheet</t>
  </si>
  <si>
    <t>01st Sep, 2026 MRP (Per Mtr)</t>
  </si>
  <si>
    <t>Dif. in %age</t>
  </si>
  <si>
    <t>PP49</t>
  </si>
  <si>
    <t>25x1⁄2"</t>
  </si>
  <si>
    <t>10-14</t>
  </si>
  <si>
    <t>PP50</t>
  </si>
  <si>
    <t>Male Threaded Elbow 90⁰</t>
  </si>
  <si>
    <t>PP932</t>
  </si>
  <si>
    <t>PPR FITTINGS (White Colour) Reducer Coupling</t>
  </si>
  <si>
    <t>PP942</t>
  </si>
  <si>
    <t>32x1"</t>
  </si>
  <si>
    <t>PP943</t>
  </si>
  <si>
    <t>PEA-1S</t>
  </si>
  <si>
    <t>40x1"</t>
  </si>
  <si>
    <t>PP952</t>
  </si>
  <si>
    <t>Female Threaded Coupler</t>
  </si>
  <si>
    <t>PEA-1P</t>
  </si>
  <si>
    <t>PP953</t>
  </si>
  <si>
    <t>PEA-1L</t>
  </si>
  <si>
    <t>PEA-1A</t>
  </si>
  <si>
    <t>PP954</t>
  </si>
  <si>
    <t>12-16</t>
  </si>
  <si>
    <t>PP962</t>
  </si>
  <si>
    <t>PEA-2S</t>
  </si>
  <si>
    <t>PEA-2P</t>
  </si>
  <si>
    <t>PEA-2L</t>
  </si>
  <si>
    <t>PEA-2A</t>
  </si>
  <si>
    <t>PP963</t>
  </si>
  <si>
    <t>16-20</t>
  </si>
  <si>
    <t>PP964</t>
  </si>
  <si>
    <t>PEA-3S</t>
  </si>
  <si>
    <t>PEA-3P</t>
  </si>
  <si>
    <t>PEA-3L</t>
  </si>
  <si>
    <t>PEA-3A</t>
  </si>
  <si>
    <t>PP965</t>
  </si>
  <si>
    <t>20-25</t>
  </si>
  <si>
    <t>PEA-4S</t>
  </si>
  <si>
    <t>PP973</t>
  </si>
  <si>
    <t>PEA-4P</t>
  </si>
  <si>
    <t>PEA-4L</t>
  </si>
  <si>
    <t>PEA-4A</t>
  </si>
  <si>
    <t>25-32</t>
  </si>
  <si>
    <t>PP974</t>
  </si>
  <si>
    <t>PEA-5S</t>
  </si>
  <si>
    <t>PEA-5P</t>
  </si>
  <si>
    <t>PEA-5L</t>
  </si>
  <si>
    <t>PEA-5A</t>
  </si>
  <si>
    <t>32-40</t>
  </si>
  <si>
    <t>PP975</t>
  </si>
  <si>
    <t>PEA-6S</t>
  </si>
  <si>
    <t>PEA-6P</t>
  </si>
  <si>
    <t>PEA-6L</t>
  </si>
  <si>
    <t>PEA-6A</t>
  </si>
  <si>
    <t>PP976</t>
  </si>
  <si>
    <t>* per mtr plastic weight</t>
  </si>
  <si>
    <t>PP402</t>
  </si>
  <si>
    <t>PPR FITTINGS (White Colour)  Male Threaded Coupler</t>
  </si>
  <si>
    <t>* per mtr almunium weight</t>
  </si>
  <si>
    <t>PP403</t>
  </si>
  <si>
    <t>Black</t>
  </si>
  <si>
    <t>Al</t>
  </si>
  <si>
    <t>Natural</t>
  </si>
  <si>
    <t>PP512</t>
  </si>
  <si>
    <t>PPR FITTINGS (White Colour)  Male Threaded Elbow 90⁰</t>
  </si>
  <si>
    <t>White</t>
  </si>
  <si>
    <t>Female Threaded Elbow 90⁰</t>
  </si>
  <si>
    <t>Yellow</t>
  </si>
  <si>
    <t>PP513</t>
  </si>
  <si>
    <t>Blue</t>
  </si>
  <si>
    <t>PP514</t>
  </si>
  <si>
    <t>5 Layer (Weight)</t>
  </si>
  <si>
    <t>Outer PE</t>
  </si>
  <si>
    <t>PP515</t>
  </si>
  <si>
    <t>Adhesive</t>
  </si>
  <si>
    <t>PP412</t>
  </si>
  <si>
    <t>PPR FITTINGS (White Colour)  Female Threaded Coupler</t>
  </si>
  <si>
    <t>Equal Tee</t>
  </si>
  <si>
    <t>PP413</t>
  </si>
  <si>
    <t>Inner PE</t>
  </si>
  <si>
    <t>PP52</t>
  </si>
  <si>
    <t>PPR FITTINGS (White Colour)  Elbow 90⁰</t>
  </si>
  <si>
    <t>PP53</t>
  </si>
  <si>
    <t>PP54</t>
  </si>
  <si>
    <t>PP55</t>
  </si>
  <si>
    <t>PP56</t>
  </si>
  <si>
    <t>PP57</t>
  </si>
  <si>
    <t>PP58</t>
  </si>
  <si>
    <t>PP59</t>
  </si>
  <si>
    <t>PP60</t>
  </si>
  <si>
    <t>PP522</t>
  </si>
  <si>
    <t>PPR FITTINGS (White Colour)  Female Threaded Elbow 90⁰</t>
  </si>
  <si>
    <t>PP523</t>
  </si>
  <si>
    <t>PP524</t>
  </si>
  <si>
    <t>PP525</t>
  </si>
  <si>
    <t>PP62</t>
  </si>
  <si>
    <t>PPR FITTINGS (White Colour)  Equal Tee</t>
  </si>
  <si>
    <t>PP63</t>
  </si>
  <si>
    <t>PP64</t>
  </si>
  <si>
    <t>PP65</t>
  </si>
  <si>
    <t>PP66</t>
  </si>
  <si>
    <t>PP67</t>
  </si>
  <si>
    <t>PP68</t>
  </si>
  <si>
    <t>PP69</t>
  </si>
  <si>
    <t>PP70</t>
  </si>
  <si>
    <t>PP232</t>
  </si>
  <si>
    <t>PPR FITTINGS (White Colour)  Reducer Tee</t>
  </si>
  <si>
    <t>PP242</t>
  </si>
  <si>
    <t>Female Threaded Tee</t>
  </si>
  <si>
    <t>PP243</t>
  </si>
  <si>
    <t>PP252</t>
  </si>
  <si>
    <t>PP253</t>
  </si>
  <si>
    <t>PP254</t>
  </si>
  <si>
    <t>PP262</t>
  </si>
  <si>
    <t>PP263</t>
  </si>
  <si>
    <t>32x1⁄2"</t>
  </si>
  <si>
    <t>PP264</t>
  </si>
  <si>
    <t>PG326</t>
  </si>
  <si>
    <t>PP265</t>
  </si>
  <si>
    <t>Male Threaded Tee</t>
  </si>
  <si>
    <t>PP283</t>
  </si>
  <si>
    <t>PP284</t>
  </si>
  <si>
    <t>PP285</t>
  </si>
  <si>
    <t>PP286</t>
  </si>
  <si>
    <t>PP322</t>
  </si>
  <si>
    <t>PPR FITTINGS (White Colour)  Female Threaded Tee</t>
  </si>
  <si>
    <t>PP323</t>
  </si>
  <si>
    <t>PP324</t>
  </si>
  <si>
    <t>PP325</t>
  </si>
  <si>
    <t>PP326</t>
  </si>
  <si>
    <t>PP302</t>
  </si>
  <si>
    <t>PPR FITTINGS (White Colour)  Male Threaded Tee</t>
  </si>
  <si>
    <t>PP303</t>
  </si>
  <si>
    <t>PP304</t>
  </si>
  <si>
    <t>PP305</t>
  </si>
  <si>
    <t>PP306</t>
  </si>
  <si>
    <t>PP32</t>
  </si>
  <si>
    <t>PPR FITTINGS (White Colour)  Union</t>
  </si>
  <si>
    <t>PP33</t>
  </si>
  <si>
    <t>PP34</t>
  </si>
  <si>
    <t>PP35</t>
  </si>
  <si>
    <t>PP36</t>
  </si>
  <si>
    <t>PP37</t>
  </si>
  <si>
    <t>PP272</t>
  </si>
  <si>
    <t>PPR FITTINGS (White Colour) Tank Nipple</t>
  </si>
  <si>
    <t>PP273</t>
  </si>
  <si>
    <t>PP274</t>
  </si>
  <si>
    <t>PP275</t>
  </si>
  <si>
    <t>PP276</t>
  </si>
  <si>
    <t>PP277</t>
  </si>
  <si>
    <t>PP602</t>
  </si>
  <si>
    <t>PPR FITTINGS (White Colour)  End Cap</t>
  </si>
  <si>
    <t>Ball Valve</t>
  </si>
  <si>
    <t>PP603</t>
  </si>
  <si>
    <t>PP604</t>
  </si>
  <si>
    <t>PP605</t>
  </si>
  <si>
    <t>PP606</t>
  </si>
  <si>
    <t>PP607</t>
  </si>
  <si>
    <t>Ball Valve (Metal)</t>
  </si>
  <si>
    <t>PP11</t>
  </si>
  <si>
    <t>PPR FITTINGS (White Colour)  End Plug</t>
  </si>
  <si>
    <t>PP12</t>
  </si>
  <si>
    <t>PP23</t>
  </si>
  <si>
    <t>PPR FITTINGS (White Colour)  Ball Valve</t>
  </si>
  <si>
    <t>PP24</t>
  </si>
  <si>
    <t>PPR FITTINGS (White Colour)</t>
  </si>
  <si>
    <t>PP25</t>
  </si>
  <si>
    <t>PP26</t>
  </si>
  <si>
    <t>PPB24</t>
  </si>
  <si>
    <t>PPR FITTINGS (White Colour)  Ball Valve (Metal)</t>
  </si>
  <si>
    <t>PPB25</t>
  </si>
  <si>
    <t>PPB26</t>
  </si>
  <si>
    <t>PF42</t>
  </si>
  <si>
    <t>PPR FITTINGS (Anti-Freezing) Coupler</t>
  </si>
  <si>
    <t>PF43</t>
  </si>
  <si>
    <t>PF44</t>
  </si>
  <si>
    <t>PF45</t>
  </si>
  <si>
    <t>PF46</t>
  </si>
  <si>
    <t>PF47</t>
  </si>
  <si>
    <t>PF48</t>
  </si>
  <si>
    <t>PF49</t>
  </si>
  <si>
    <t>PF50</t>
  </si>
  <si>
    <t>PF932</t>
  </si>
  <si>
    <t>PPR FITTINGS (Anti-Freezing) Reducer Coupling</t>
  </si>
  <si>
    <t>PF942</t>
  </si>
  <si>
    <t>PF943</t>
  </si>
  <si>
    <t>PF952</t>
  </si>
  <si>
    <t>PF953</t>
  </si>
  <si>
    <t>PF954</t>
  </si>
  <si>
    <t>PF962</t>
  </si>
  <si>
    <t>PF963</t>
  </si>
  <si>
    <t>PF964</t>
  </si>
  <si>
    <t>PF965</t>
  </si>
  <si>
    <t>PF973</t>
  </si>
  <si>
    <t>PF974</t>
  </si>
  <si>
    <t>PP997</t>
  </si>
  <si>
    <t>PF975</t>
  </si>
  <si>
    <t>PF976</t>
  </si>
  <si>
    <t>PF997</t>
  </si>
  <si>
    <t>PF402</t>
  </si>
  <si>
    <t>PPR FITTINGS (Anti-Freezing) Male Threaded Coupler</t>
  </si>
  <si>
    <t>PF403</t>
  </si>
  <si>
    <t>PF512</t>
  </si>
  <si>
    <t>PPR FITTINGS (Anti-Freezing) Male Threaded Elbow 90⁰</t>
  </si>
  <si>
    <t>PF513</t>
  </si>
  <si>
    <t>PF514</t>
  </si>
  <si>
    <t>PF515</t>
  </si>
  <si>
    <t>PF412</t>
  </si>
  <si>
    <t>PPR FITTINGS (Anti-Freezing) Female Threaded Coupler</t>
  </si>
  <si>
    <t>PF413</t>
  </si>
  <si>
    <t>PF52</t>
  </si>
  <si>
    <t>PPR FITTINGS (Anti-Freezing) Elbow 90⁰</t>
  </si>
  <si>
    <t>PF53</t>
  </si>
  <si>
    <t>PF54</t>
  </si>
  <si>
    <t>PF55</t>
  </si>
  <si>
    <t>PF56</t>
  </si>
  <si>
    <t>PF57</t>
  </si>
  <si>
    <t>PF58</t>
  </si>
  <si>
    <t>PF59</t>
  </si>
  <si>
    <t>PF60</t>
  </si>
  <si>
    <t>PF522</t>
  </si>
  <si>
    <t>PPR FITTINGS (Anti-Freezing) Female Threaded Elbow 90⁰</t>
  </si>
  <si>
    <t>PF523</t>
  </si>
  <si>
    <t>PF524</t>
  </si>
  <si>
    <t>PF525</t>
  </si>
  <si>
    <t>PF62</t>
  </si>
  <si>
    <t>PPR FITTINGS (Anti-Freezing) Equal Tee</t>
  </si>
  <si>
    <t>PF63</t>
  </si>
  <si>
    <t>PF64</t>
  </si>
  <si>
    <t>PF65</t>
  </si>
  <si>
    <t>PF66</t>
  </si>
  <si>
    <t>PF67</t>
  </si>
  <si>
    <t>PF68</t>
  </si>
  <si>
    <t>PF69</t>
  </si>
  <si>
    <t>PF70</t>
  </si>
  <si>
    <t>PF232</t>
  </si>
  <si>
    <t>PPR FITTINGS (Anti-Freezing) Reducer Tee</t>
  </si>
  <si>
    <t>PF242</t>
  </si>
  <si>
    <t>PF243</t>
  </si>
  <si>
    <t>PF252</t>
  </si>
  <si>
    <t>PF253</t>
  </si>
  <si>
    <t>PF254</t>
  </si>
  <si>
    <t>PF262</t>
  </si>
  <si>
    <t>PF263</t>
  </si>
  <si>
    <t>PF264</t>
  </si>
  <si>
    <t>PF265</t>
  </si>
  <si>
    <t>PF283</t>
  </si>
  <si>
    <t>PF284</t>
  </si>
  <si>
    <t>PF285</t>
  </si>
  <si>
    <t>PF286</t>
  </si>
  <si>
    <t>PF322</t>
  </si>
  <si>
    <t>PPR FITTINGS (Anti-Freezing) Female Threaded Tee</t>
  </si>
  <si>
    <t>PF323</t>
  </si>
  <si>
    <t>PF324</t>
  </si>
  <si>
    <t>PF325</t>
  </si>
  <si>
    <t>PF326</t>
  </si>
  <si>
    <t>PF302</t>
  </si>
  <si>
    <t>PPR FITTINGS (Anti-Freezing) Male Threaded Tee</t>
  </si>
  <si>
    <t>PF303</t>
  </si>
  <si>
    <t>PPR FITTINGS (Anti-Freezing)</t>
  </si>
  <si>
    <t>PF304</t>
  </si>
  <si>
    <t>PF305</t>
  </si>
  <si>
    <t>PF306</t>
  </si>
  <si>
    <t>PF32</t>
  </si>
  <si>
    <t>PPR FITTINGS (Anti-Freezing) Union</t>
  </si>
  <si>
    <t>PF33</t>
  </si>
  <si>
    <t>PF34</t>
  </si>
  <si>
    <t>PF35</t>
  </si>
  <si>
    <t>PF36</t>
  </si>
  <si>
    <t>PF37</t>
  </si>
  <si>
    <t>PF272</t>
  </si>
  <si>
    <t>PPR FITTINGS (Anti-Freezing) Tank Nipple</t>
  </si>
  <si>
    <t>PF273</t>
  </si>
  <si>
    <t>PF274</t>
  </si>
  <si>
    <t>PF275</t>
  </si>
  <si>
    <t>PF276</t>
  </si>
  <si>
    <t>PF277</t>
  </si>
  <si>
    <t>PF602</t>
  </si>
  <si>
    <t>PPR FITTINGS (Anti-Freezing) End Cap</t>
  </si>
  <si>
    <t>PF603</t>
  </si>
  <si>
    <t>PF604</t>
  </si>
  <si>
    <t>PF605</t>
  </si>
  <si>
    <t>PF606</t>
  </si>
  <si>
    <t>PF607</t>
  </si>
  <si>
    <t>PF11</t>
  </si>
  <si>
    <t>PPR FITTINGS (Anti-Freezing) End Plug</t>
  </si>
  <si>
    <t>PF12</t>
  </si>
  <si>
    <t>PF23</t>
  </si>
  <si>
    <t>PPR FITTINGS (Anti-Freezing) Ball Valve</t>
  </si>
  <si>
    <t>PF24</t>
  </si>
  <si>
    <t>PF25</t>
  </si>
  <si>
    <t>PF26</t>
  </si>
  <si>
    <t>PFB24</t>
  </si>
  <si>
    <t>PPR FITTINGS (Anti-Freezing) Ball Valve (Metal)</t>
  </si>
  <si>
    <t>PFB25</t>
  </si>
  <si>
    <t>PFB26</t>
  </si>
  <si>
    <t>PE-AL-PE PIPE</t>
  </si>
  <si>
    <t>ISI PIPE BLACK</t>
  </si>
  <si>
    <t>PRT PIP WHITE</t>
  </si>
  <si>
    <t>LPG PIPE  YELLOW</t>
  </si>
  <si>
    <t>AIR PIPE BLUE</t>
  </si>
  <si>
    <t>PE-AL-PE FITTINGS</t>
  </si>
  <si>
    <t>PEA-42N</t>
  </si>
  <si>
    <t>Composite Fittings (Nylon) Union Coupler</t>
  </si>
  <si>
    <t>PEA-43N</t>
  </si>
  <si>
    <t>PEA-44N</t>
  </si>
  <si>
    <t>PEA-45N</t>
  </si>
  <si>
    <t>PEA-52N</t>
  </si>
  <si>
    <t>Composite Fittings (Nylon) Equal Elbow 90⁰</t>
  </si>
  <si>
    <t>PEA-53N</t>
  </si>
  <si>
    <t>PEA-54N</t>
  </si>
  <si>
    <t>PEA-55N</t>
  </si>
  <si>
    <t>PEA-62N</t>
  </si>
  <si>
    <t>Composite Fittings (Nylon) Equal Tee</t>
  </si>
  <si>
    <t>PEA-63N</t>
  </si>
  <si>
    <t>PEA-64N</t>
  </si>
  <si>
    <t>PEA-65N</t>
  </si>
  <si>
    <t>PEA-522N</t>
  </si>
  <si>
    <t>Composite Fittings (Nylon)  Female Elbow 90⁰</t>
  </si>
  <si>
    <t>PEA-524N</t>
  </si>
  <si>
    <t>PEA-222N</t>
  </si>
  <si>
    <t>Composite Fittings (Nylon)  Female Tee</t>
  </si>
  <si>
    <t>PEA-224N</t>
  </si>
  <si>
    <t>PEA-832N</t>
  </si>
  <si>
    <t>Composite Fittings (Nylon) Female Threaded Adapter</t>
  </si>
  <si>
    <t>PEA-834N</t>
  </si>
  <si>
    <t>PEA-732N</t>
  </si>
  <si>
    <t>Composite Fittings (Nylon) Male Threaded Adapter</t>
  </si>
  <si>
    <t>PEA-734N</t>
  </si>
  <si>
    <t>PEA-922B</t>
  </si>
  <si>
    <t>Composite Fittings (Brass) Unequal Coupler</t>
  </si>
  <si>
    <t>PEA-923B</t>
  </si>
  <si>
    <t>PEA-924B</t>
  </si>
  <si>
    <t>PEA-925B</t>
  </si>
  <si>
    <t>PEA-926B</t>
  </si>
  <si>
    <t>PEA-731B</t>
  </si>
  <si>
    <t>Composite Fittings (Brass)  Male Threaded Adapter</t>
  </si>
  <si>
    <t>PEA-732B</t>
  </si>
  <si>
    <t>PEA-733B</t>
  </si>
  <si>
    <t>PEA-734B</t>
  </si>
  <si>
    <t>PEA-735B</t>
  </si>
  <si>
    <t>PEA-736B</t>
  </si>
  <si>
    <t>PEA-737B</t>
  </si>
  <si>
    <t>PEA-738B</t>
  </si>
  <si>
    <t>PEA-739B</t>
  </si>
  <si>
    <t>PEA-831B</t>
  </si>
  <si>
    <t>Composite Fittings (Brass) Female Threaded Adapter</t>
  </si>
  <si>
    <t>PEA-832B</t>
  </si>
  <si>
    <t>PEA-833B</t>
  </si>
  <si>
    <t>PEA-834B</t>
  </si>
  <si>
    <t>PEA-835B</t>
  </si>
  <si>
    <t>PEA-836B</t>
  </si>
  <si>
    <t>PEA-837B</t>
  </si>
  <si>
    <t>PEA-838B</t>
  </si>
  <si>
    <t>PEA-839B</t>
  </si>
  <si>
    <t>PEA-322B</t>
  </si>
  <si>
    <t>Composite Fittings (Brass)  Unequal Tee</t>
  </si>
  <si>
    <t>PEA-323B</t>
  </si>
  <si>
    <t>PEA-324B</t>
  </si>
  <si>
    <t>PEA-325B</t>
  </si>
  <si>
    <t>PEA-331B</t>
  </si>
  <si>
    <t>Composite Fittings (Brass)  Female Threaded Tee</t>
  </si>
  <si>
    <t>PEA-332B</t>
  </si>
  <si>
    <t>PEA-333B</t>
  </si>
  <si>
    <t>PEA-334B</t>
  </si>
  <si>
    <t>PEA-531B</t>
  </si>
  <si>
    <t>Composite Fittings (Brass)  Female Threaded Elbow 90⁰</t>
  </si>
  <si>
    <t>PEA-532B</t>
  </si>
  <si>
    <t>PEA-533B</t>
  </si>
  <si>
    <t>PEA-534B</t>
  </si>
  <si>
    <t>PEA-535B</t>
  </si>
  <si>
    <t>PEA-536B</t>
  </si>
  <si>
    <t>PEA-537B</t>
  </si>
  <si>
    <t>PEA-538B</t>
  </si>
  <si>
    <t>PEA-542B</t>
  </si>
  <si>
    <t>Composite Fittings (Brass)  Male Threaded Elbow 90⁰</t>
  </si>
  <si>
    <t>PEA-51B</t>
  </si>
  <si>
    <t>Composite Fittings (Brass) Equal Elbow 90⁰</t>
  </si>
  <si>
    <t>PEA-52B</t>
  </si>
  <si>
    <t>PEA-53B</t>
  </si>
  <si>
    <t>PEA-54B</t>
  </si>
  <si>
    <t>PEA-55B</t>
  </si>
  <si>
    <t>PEA-56B</t>
  </si>
  <si>
    <t>PEA-41B</t>
  </si>
  <si>
    <t>Composite Fittings (Brass)  Union Coupler</t>
  </si>
  <si>
    <t>PEA-42B</t>
  </si>
  <si>
    <t>PEA-43B</t>
  </si>
  <si>
    <t>PEA-44B</t>
  </si>
  <si>
    <t>PEA-45B</t>
  </si>
  <si>
    <t>PEA-46B</t>
  </si>
  <si>
    <t>PEA-61B</t>
  </si>
  <si>
    <t>Composite Fittings (Brass) Equal Tee</t>
  </si>
  <si>
    <t>PEA-62B</t>
  </si>
  <si>
    <t>PEA-63B</t>
  </si>
  <si>
    <t>PEA-64B</t>
  </si>
  <si>
    <t>PEA-65B</t>
  </si>
  <si>
    <t>PEA-2B</t>
  </si>
  <si>
    <t>Composite Fittings (Brass)  Manifold - 2 Way Outlet</t>
  </si>
  <si>
    <t>PEA-3B</t>
  </si>
  <si>
    <t>Composite Fittings (Brass)  Manifold - 3 Way Outlet</t>
  </si>
  <si>
    <t>TOOL</t>
  </si>
  <si>
    <t>PEA-1T</t>
  </si>
  <si>
    <t>Out Spring (50cm)</t>
  </si>
  <si>
    <t>PEA-2T</t>
  </si>
  <si>
    <t>PEA-3T</t>
  </si>
  <si>
    <t>PEA-4T</t>
  </si>
  <si>
    <t>PEA-5T</t>
  </si>
  <si>
    <t>Inner Spring (50cm)</t>
  </si>
  <si>
    <t>PEA-6T</t>
  </si>
  <si>
    <t>PEA-7T</t>
  </si>
  <si>
    <t>PEA-8T</t>
  </si>
  <si>
    <t>PEA-9T</t>
  </si>
  <si>
    <t>Bevelling Calibrator</t>
  </si>
  <si>
    <t>PEA-10T</t>
  </si>
  <si>
    <t>PEA-11T</t>
  </si>
  <si>
    <t>Pipe Cutter</t>
  </si>
  <si>
    <t>PEA-12T</t>
  </si>
  <si>
    <t>Pipe Bender Single</t>
  </si>
  <si>
    <t>PEA-13T</t>
  </si>
  <si>
    <t>PEA-14T</t>
  </si>
  <si>
    <t>PEA-15T</t>
  </si>
  <si>
    <t>Crimping Tool</t>
  </si>
  <si>
    <t>PWM-01</t>
  </si>
  <si>
    <t>PPR Welding Machine</t>
  </si>
  <si>
    <t>SILENT PIPE</t>
  </si>
  <si>
    <t>PPD41</t>
  </si>
  <si>
    <t>PP DRAIN PIPE 40 MM</t>
  </si>
  <si>
    <t>PPD42</t>
  </si>
  <si>
    <t>PPD43</t>
  </si>
  <si>
    <t>PPD44</t>
  </si>
  <si>
    <t>PPD45</t>
  </si>
  <si>
    <t>PPD46</t>
  </si>
  <si>
    <t>PPD47</t>
  </si>
  <si>
    <t>PPD48</t>
  </si>
  <si>
    <t>PPD49</t>
  </si>
  <si>
    <t>PPD50</t>
  </si>
  <si>
    <t>PPD51</t>
  </si>
  <si>
    <t>PP DRAIN PIPE 50 MM</t>
  </si>
  <si>
    <t>PPD52</t>
  </si>
  <si>
    <t>PPD53</t>
  </si>
  <si>
    <t>PPD54</t>
  </si>
  <si>
    <t>PPD55</t>
  </si>
  <si>
    <t>PPD56</t>
  </si>
  <si>
    <t>PPD57</t>
  </si>
  <si>
    <t>PPD58</t>
  </si>
  <si>
    <t>PPD59</t>
  </si>
  <si>
    <t>PPD60</t>
  </si>
  <si>
    <t>PPD71</t>
  </si>
  <si>
    <t>PP DRAIN PIPE 75 MM</t>
  </si>
  <si>
    <t>PPD72</t>
  </si>
  <si>
    <t>PPD73</t>
  </si>
  <si>
    <t>PPD74</t>
  </si>
  <si>
    <t>PPD75</t>
  </si>
  <si>
    <t>PPD76</t>
  </si>
  <si>
    <t>PPD77</t>
  </si>
  <si>
    <t>PPD78</t>
  </si>
  <si>
    <t>PPD79</t>
  </si>
  <si>
    <t>PPD80</t>
  </si>
  <si>
    <t>PPD110</t>
  </si>
  <si>
    <t>PP DRAIN PIPE 110 MM</t>
  </si>
  <si>
    <t>PPD120</t>
  </si>
  <si>
    <t>PPD130</t>
  </si>
  <si>
    <t>PPD140</t>
  </si>
  <si>
    <t>PPD150</t>
  </si>
  <si>
    <t>PPD160</t>
  </si>
  <si>
    <t>PPD170</t>
  </si>
  <si>
    <t>PPD180</t>
  </si>
  <si>
    <t>PPD190</t>
  </si>
  <si>
    <t>PPD200</t>
  </si>
  <si>
    <t>PPDS61</t>
  </si>
  <si>
    <t>PP DRAIN PIPE 160 MM</t>
  </si>
  <si>
    <t>PPDS62</t>
  </si>
  <si>
    <t>PPDS63</t>
  </si>
  <si>
    <t>PPDS64</t>
  </si>
  <si>
    <t>PPDS65</t>
  </si>
  <si>
    <t>PPDS66</t>
  </si>
  <si>
    <t>PPDS67</t>
  </si>
  <si>
    <t>PPDS68</t>
  </si>
  <si>
    <t>PPDS69</t>
  </si>
  <si>
    <t>PPDS70</t>
  </si>
  <si>
    <t>PPS41</t>
  </si>
  <si>
    <t>PP SILENT PIPE 40 MM</t>
  </si>
  <si>
    <t>PPS42</t>
  </si>
  <si>
    <t>PPS43</t>
  </si>
  <si>
    <t>PPS44</t>
  </si>
  <si>
    <t>PPS45</t>
  </si>
  <si>
    <t>PPS46</t>
  </si>
  <si>
    <t>PPS47</t>
  </si>
  <si>
    <t>PPS48</t>
  </si>
  <si>
    <t>PPS49</t>
  </si>
  <si>
    <t>PPS50</t>
  </si>
  <si>
    <t>PPS51</t>
  </si>
  <si>
    <t>PP SILENT PIPE 50 MM</t>
  </si>
  <si>
    <t>PPS52</t>
  </si>
  <si>
    <t>PPS53</t>
  </si>
  <si>
    <t>PPS54</t>
  </si>
  <si>
    <t>PPS55</t>
  </si>
  <si>
    <t>PPS56</t>
  </si>
  <si>
    <t>PPS57</t>
  </si>
  <si>
    <t>PPS58</t>
  </si>
  <si>
    <t>PPS59</t>
  </si>
  <si>
    <t>PPS60</t>
  </si>
  <si>
    <t>PPS71</t>
  </si>
  <si>
    <t>PP SILENT PIPE 75 MM</t>
  </si>
  <si>
    <t>PPS72</t>
  </si>
  <si>
    <t>PPS73</t>
  </si>
  <si>
    <t>PPS74</t>
  </si>
  <si>
    <t>PPS75</t>
  </si>
  <si>
    <t>PPS76</t>
  </si>
  <si>
    <t>PPS77</t>
  </si>
  <si>
    <t>PPS78</t>
  </si>
  <si>
    <t>PPS79</t>
  </si>
  <si>
    <t>PPS80</t>
  </si>
  <si>
    <t>PPS110</t>
  </si>
  <si>
    <t>PP SILENT PIPE 110 MM</t>
  </si>
  <si>
    <t>PPS120</t>
  </si>
  <si>
    <t>PPS130</t>
  </si>
  <si>
    <t>PPS140</t>
  </si>
  <si>
    <t>PPS150</t>
  </si>
  <si>
    <t>PPS160</t>
  </si>
  <si>
    <t>PPS170</t>
  </si>
  <si>
    <t>PPS180</t>
  </si>
  <si>
    <t>PPS190</t>
  </si>
  <si>
    <t>PPS200</t>
  </si>
  <si>
    <t>PPS61</t>
  </si>
  <si>
    <t>PP SILENT PIPE 160 MM</t>
  </si>
  <si>
    <t>PPS62</t>
  </si>
  <si>
    <t>PPS63</t>
  </si>
  <si>
    <t>PPS64</t>
  </si>
  <si>
    <t>PPS65</t>
  </si>
  <si>
    <t>PPS66</t>
  </si>
  <si>
    <t>PPS67</t>
  </si>
  <si>
    <t>PPS68</t>
  </si>
  <si>
    <t>PPS69</t>
  </si>
  <si>
    <t>PPS70</t>
  </si>
  <si>
    <t>PSS41</t>
  </si>
  <si>
    <t>PP SUPER SILENT PIPE 40 MM</t>
  </si>
  <si>
    <t>PSS42</t>
  </si>
  <si>
    <t>PSS43</t>
  </si>
  <si>
    <t>PSS44</t>
  </si>
  <si>
    <t>Purchase Rate</t>
  </si>
  <si>
    <t>Brass Weight</t>
  </si>
  <si>
    <t>PSS45</t>
  </si>
  <si>
    <t>Kg Cost</t>
  </si>
  <si>
    <t>New Purchase Rate</t>
  </si>
  <si>
    <t>PSS46</t>
  </si>
  <si>
    <t>JINDAL
Apr ' 25</t>
  </si>
  <si>
    <t>JINDAL
Mar ' 26</t>
  </si>
  <si>
    <t>Composite Fittings (Nylon)</t>
  </si>
  <si>
    <t>PSS47</t>
  </si>
  <si>
    <t>Union Coupler</t>
  </si>
  <si>
    <t>PSS48</t>
  </si>
  <si>
    <t>PSS49</t>
  </si>
  <si>
    <t>PSS50</t>
  </si>
  <si>
    <t>PSS51</t>
  </si>
  <si>
    <t>PP SUPER SILENT PIPE 50 MM</t>
  </si>
  <si>
    <t>Equal Elbow 90⁰</t>
  </si>
  <si>
    <t>PSS52</t>
  </si>
  <si>
    <t>PSS53</t>
  </si>
  <si>
    <t>PSS54</t>
  </si>
  <si>
    <t>PSS55</t>
  </si>
  <si>
    <t>PSS56</t>
  </si>
  <si>
    <t>PSS57</t>
  </si>
  <si>
    <t>PSS58</t>
  </si>
  <si>
    <t>Female Elbow 90⁰</t>
  </si>
  <si>
    <t>PSS59</t>
  </si>
  <si>
    <t>Female Tee</t>
  </si>
  <si>
    <t>PSS60</t>
  </si>
  <si>
    <t>PSS71</t>
  </si>
  <si>
    <t>PP SUPER SILENT PIPE 75 MM</t>
  </si>
  <si>
    <t>Female Threaded Adapter</t>
  </si>
  <si>
    <t>PSS72</t>
  </si>
  <si>
    <t>Male Threaded Adapter</t>
  </si>
  <si>
    <t>PSS73</t>
  </si>
  <si>
    <t>PSS74</t>
  </si>
  <si>
    <t>Composite Fittings (Brass)</t>
  </si>
  <si>
    <t>PSS75</t>
  </si>
  <si>
    <t>Unequal Coupler</t>
  </si>
  <si>
    <t>20x16</t>
  </si>
  <si>
    <t>PSS76</t>
  </si>
  <si>
    <t>PSS77</t>
  </si>
  <si>
    <t>PSS78</t>
  </si>
  <si>
    <t>PSS79</t>
  </si>
  <si>
    <t>25x16</t>
  </si>
  <si>
    <t>PSS80</t>
  </si>
  <si>
    <t>PSS110</t>
  </si>
  <si>
    <t>PP SUPER SILENT PIPE 110 MM</t>
  </si>
  <si>
    <t>PSS120</t>
  </si>
  <si>
    <t>16x1⁄2"</t>
  </si>
  <si>
    <t>PSS130</t>
  </si>
  <si>
    <t>PSS140</t>
  </si>
  <si>
    <t>PSS150</t>
  </si>
  <si>
    <t>20x3⁄4"</t>
  </si>
  <si>
    <t>PSS160</t>
  </si>
  <si>
    <t>PSS170</t>
  </si>
  <si>
    <t>25x3⁄4"</t>
  </si>
  <si>
    <t>PSS180</t>
  </si>
  <si>
    <t>25x1"</t>
  </si>
  <si>
    <t>PSS190</t>
  </si>
  <si>
    <t>32x3⁄4"</t>
  </si>
  <si>
    <t>PSS200</t>
  </si>
  <si>
    <t>PSS61</t>
  </si>
  <si>
    <t>PP SUPER SILENT PIPE 160 MM</t>
  </si>
  <si>
    <t>32x1 1⁄4"</t>
  </si>
  <si>
    <t>PSS62</t>
  </si>
  <si>
    <t>PSS63</t>
  </si>
  <si>
    <t>PSS64</t>
  </si>
  <si>
    <t>PSS65</t>
  </si>
  <si>
    <t>PSS66</t>
  </si>
  <si>
    <t>PSS67</t>
  </si>
  <si>
    <t>PSS68</t>
  </si>
  <si>
    <t>Unequal Tee</t>
  </si>
  <si>
    <t>20x16x20</t>
  </si>
  <si>
    <t>25x20x25</t>
  </si>
  <si>
    <t>32x20x32</t>
  </si>
  <si>
    <t>32x25x32</t>
  </si>
  <si>
    <t>PSS69</t>
  </si>
  <si>
    <t>PSS70</t>
  </si>
  <si>
    <t>SILENT FITTINGS</t>
  </si>
  <si>
    <t>PD4021</t>
  </si>
  <si>
    <t>PP DRAINAGE COUPLER</t>
  </si>
  <si>
    <t>PD5021</t>
  </si>
  <si>
    <t>PD7521</t>
  </si>
  <si>
    <t>PD1121</t>
  </si>
  <si>
    <t>PD1621</t>
  </si>
  <si>
    <t>PD4011</t>
  </si>
  <si>
    <t>PP DRAINAGE ELBOW 90°</t>
  </si>
  <si>
    <t>PD5011</t>
  </si>
  <si>
    <t>PD7511</t>
  </si>
  <si>
    <t>25x1</t>
  </si>
  <si>
    <t>PD1111</t>
  </si>
  <si>
    <t>PD1611</t>
  </si>
  <si>
    <t>32x1</t>
  </si>
  <si>
    <t>PD4010</t>
  </si>
  <si>
    <t>PP DRAINAGE ELBOW 45°</t>
  </si>
  <si>
    <t>PD5010</t>
  </si>
  <si>
    <t>PD7510</t>
  </si>
  <si>
    <t>PD1110</t>
  </si>
  <si>
    <t>PD1610</t>
  </si>
  <si>
    <t>PD4033</t>
  </si>
  <si>
    <t>PP DRAINAGE TEE</t>
  </si>
  <si>
    <t>PD5033</t>
  </si>
  <si>
    <t>16</t>
  </si>
  <si>
    <t>PD7533</t>
  </si>
  <si>
    <t>PD1133</t>
  </si>
  <si>
    <t>PD1633</t>
  </si>
  <si>
    <t>Unequal Elbow 90⁰</t>
  </si>
  <si>
    <t>PD4041</t>
  </si>
  <si>
    <t>PP DRAINAGE Y-TEE</t>
  </si>
  <si>
    <t>PD5041</t>
  </si>
  <si>
    <t>PD7541</t>
  </si>
  <si>
    <t>PD1141</t>
  </si>
  <si>
    <t>PD1641</t>
  </si>
  <si>
    <t>PD5157</t>
  </si>
  <si>
    <t>PP DRAINAGE REDUCER BUSH</t>
  </si>
  <si>
    <t>PD5657</t>
  </si>
  <si>
    <t>PD5656</t>
  </si>
  <si>
    <t>PD5151</t>
  </si>
  <si>
    <t>PP DRAINAGE REDUCER TEE</t>
  </si>
  <si>
    <t>PD5651</t>
  </si>
  <si>
    <t>Manifold - 2 Way Outlet</t>
  </si>
  <si>
    <t>PD5751</t>
  </si>
  <si>
    <t>3⁄4" x 1⁄2"</t>
  </si>
  <si>
    <t>PD5163</t>
  </si>
  <si>
    <t>PP DRAINAGE NAHANI TRAP</t>
  </si>
  <si>
    <t>Manifold - 3 Way Outlet</t>
  </si>
  <si>
    <t>PD5763</t>
  </si>
  <si>
    <t>PD5171</t>
  </si>
  <si>
    <t>PP DRAINAGE P-TRAP</t>
  </si>
  <si>
    <t>PD5771</t>
  </si>
  <si>
    <t>PD7506</t>
  </si>
  <si>
    <t>PP DRAINAGE SOCKET PLUG WITH LOCK</t>
  </si>
  <si>
    <t>PD1106</t>
  </si>
  <si>
    <t>PD1606</t>
  </si>
  <si>
    <t>PP DRAINAGE SOCKET PLUG</t>
  </si>
  <si>
    <t>PS4021</t>
  </si>
  <si>
    <t>PP SILENT COUPLER</t>
  </si>
  <si>
    <t>PS5021</t>
  </si>
  <si>
    <t>PS7521</t>
  </si>
  <si>
    <t>PS1121</t>
  </si>
  <si>
    <t>PS1621</t>
  </si>
  <si>
    <t>PS4011</t>
  </si>
  <si>
    <t>PP SILENT ELBOW 87.5°</t>
  </si>
  <si>
    <t>PS5011</t>
  </si>
  <si>
    <t>UNION / COUPLER</t>
  </si>
  <si>
    <t>PS7511</t>
  </si>
  <si>
    <t>PS1111</t>
  </si>
  <si>
    <t>PS1611</t>
  </si>
  <si>
    <t>ELBOW</t>
  </si>
  <si>
    <t>PS4010</t>
  </si>
  <si>
    <t>PP SILENT ELBOW 45°</t>
  </si>
  <si>
    <t>BRASS TEE</t>
  </si>
  <si>
    <t>BRASS ELBOW</t>
  </si>
  <si>
    <t>FABT</t>
  </si>
  <si>
    <t>PIPE CUTTER</t>
  </si>
  <si>
    <t>PLASTIC REAMER</t>
  </si>
  <si>
    <t>PS5010</t>
  </si>
  <si>
    <t>BRASS BALL VALVE</t>
  </si>
  <si>
    <t>END PLUG</t>
  </si>
  <si>
    <t>TANK NIPPLE</t>
  </si>
  <si>
    <t>* REDUCING TEE</t>
  </si>
  <si>
    <t>*UNEQUAL UNION / REDUCER</t>
  </si>
  <si>
    <t>PS7510</t>
  </si>
  <si>
    <t>BRASS MRP</t>
  </si>
  <si>
    <t>BLACK MRP</t>
  </si>
  <si>
    <t>PS1110</t>
  </si>
  <si>
    <t>PURE BRASS MRP</t>
  </si>
  <si>
    <t>BLACK WITH BRASS MRP</t>
  </si>
  <si>
    <t>PS1610</t>
  </si>
  <si>
    <t>PS4033</t>
  </si>
  <si>
    <t>PP SILENT TEE</t>
  </si>
  <si>
    <t>SPECIAL MRP</t>
  </si>
  <si>
    <t>PREMIUM MRP</t>
  </si>
  <si>
    <t>PS5033</t>
  </si>
  <si>
    <t>16-20-25</t>
  </si>
  <si>
    <t>PS7533</t>
  </si>
  <si>
    <t>20-25-32</t>
  </si>
  <si>
    <t>16X16X1/2</t>
  </si>
  <si>
    <t>16X1/2</t>
  </si>
  <si>
    <t>PSS1133</t>
  </si>
  <si>
    <t>12/16/20</t>
  </si>
  <si>
    <t>PSS1633</t>
  </si>
  <si>
    <t>PSS4041</t>
  </si>
  <si>
    <t>PP SILENT Y-TEE</t>
  </si>
  <si>
    <t>16-32</t>
  </si>
  <si>
    <t>20X16X20</t>
  </si>
  <si>
    <t>20-63</t>
  </si>
  <si>
    <t>20X16</t>
  </si>
  <si>
    <t>20X20X1/2</t>
  </si>
  <si>
    <t>20X1/2</t>
  </si>
  <si>
    <t>25/32/40</t>
  </si>
  <si>
    <t>25X20X25</t>
  </si>
  <si>
    <t>25X20</t>
  </si>
  <si>
    <t>20X3/4</t>
  </si>
  <si>
    <t>25X1/2</t>
  </si>
  <si>
    <t>20/25/32</t>
  </si>
  <si>
    <t>32X25X32</t>
  </si>
  <si>
    <t>32X25</t>
  </si>
  <si>
    <t>32X1/2</t>
  </si>
  <si>
    <t>32X32</t>
  </si>
  <si>
    <t>32X20X32</t>
  </si>
  <si>
    <t>32X20</t>
  </si>
  <si>
    <t>* pure black fittings need weight</t>
  </si>
  <si>
    <t>55-60 % cost'</t>
  </si>
  <si>
    <t>PSS5041</t>
  </si>
  <si>
    <t>PSS7541</t>
  </si>
  <si>
    <t>PS1141</t>
  </si>
  <si>
    <t>PS1641</t>
  </si>
  <si>
    <t>PS5157</t>
  </si>
  <si>
    <t>PP SILENT REDUCER BUSH</t>
  </si>
  <si>
    <t>PS5657</t>
  </si>
  <si>
    <t>PS5656</t>
  </si>
  <si>
    <t>PS5151</t>
  </si>
  <si>
    <t>PP SILENT REDUCER TEE</t>
  </si>
  <si>
    <t>PS5651</t>
  </si>
  <si>
    <t>PS5751</t>
  </si>
  <si>
    <t>PS5163</t>
  </si>
  <si>
    <t>PP SILENT NAHANI TRAP</t>
  </si>
  <si>
    <t>PS5763</t>
  </si>
  <si>
    <t>PS5171</t>
  </si>
  <si>
    <t>PP SILENT P-TRAP</t>
  </si>
  <si>
    <t>PS5771</t>
  </si>
  <si>
    <t>PS7506</t>
  </si>
  <si>
    <t>PP SILENT SOCKET PLUG WITH LOCK</t>
  </si>
  <si>
    <t>PS1106</t>
  </si>
  <si>
    <t>PS1606</t>
  </si>
  <si>
    <t>PP SILENT SOCKET PLUG</t>
  </si>
  <si>
    <t>PSS4021</t>
  </si>
  <si>
    <t>PP SUPER SILENT COUPLER</t>
  </si>
  <si>
    <t>PSS5021</t>
  </si>
  <si>
    <t>PSS7521</t>
  </si>
  <si>
    <t>PSS1121</t>
  </si>
  <si>
    <t>PSS1621</t>
  </si>
  <si>
    <t>PSS4011</t>
  </si>
  <si>
    <t>PP SUPER SILENT ELBOW 87.5°</t>
  </si>
  <si>
    <t>PSS5011</t>
  </si>
  <si>
    <t>PSS7511</t>
  </si>
  <si>
    <t>PSS1111</t>
  </si>
  <si>
    <t>PSS1611</t>
  </si>
  <si>
    <t>PSS4010</t>
  </si>
  <si>
    <t>PP SUPER SILENT ELBOW 45°</t>
  </si>
  <si>
    <t>PSS5010</t>
  </si>
  <si>
    <t>PSS7510</t>
  </si>
  <si>
    <t>PSS1110</t>
  </si>
  <si>
    <t>PSS1610</t>
  </si>
  <si>
    <t>PSS4033</t>
  </si>
  <si>
    <t>PP SUPER SILENT TEE</t>
  </si>
  <si>
    <t>PSS5033</t>
  </si>
  <si>
    <t>PSS7533</t>
  </si>
  <si>
    <t>PSS1141</t>
  </si>
  <si>
    <t>PP SUPER SILENT Y-TEE</t>
  </si>
  <si>
    <t>PSS1641</t>
  </si>
  <si>
    <t>PSS5157</t>
  </si>
  <si>
    <t>PP SUPER SILENT REDUCER BUSH</t>
  </si>
  <si>
    <t>PSS5657</t>
  </si>
  <si>
    <t>PSS5656</t>
  </si>
  <si>
    <t>PSS5151</t>
  </si>
  <si>
    <t>PP SUPER SILENT REDUCER TEE</t>
  </si>
  <si>
    <t>PSS5651</t>
  </si>
  <si>
    <t>PSS5751</t>
  </si>
  <si>
    <t>PSS5163</t>
  </si>
  <si>
    <t>PP SUPER SILENT NAHANI TRAP</t>
  </si>
  <si>
    <t>PSS5763</t>
  </si>
  <si>
    <t>PSS5171</t>
  </si>
  <si>
    <t>PP SUPER SILENT P-TRAP</t>
  </si>
  <si>
    <t>PSS5771</t>
  </si>
  <si>
    <t>PSS7506</t>
  </si>
  <si>
    <t>PP SUPER SILENT SOCKET PLUG WITH LOCK</t>
  </si>
  <si>
    <t>PSS1106</t>
  </si>
  <si>
    <t>PSS1606</t>
  </si>
  <si>
    <t>PP SUPER SILENT SOCKET PLUG</t>
  </si>
  <si>
    <t>HDPE PIPE</t>
  </si>
  <si>
    <t>HD50J</t>
  </si>
  <si>
    <t>HD63J</t>
  </si>
  <si>
    <t>HD75J</t>
  </si>
  <si>
    <t>HD90J</t>
  </si>
  <si>
    <t>HD110J</t>
  </si>
  <si>
    <t>HD125J</t>
  </si>
  <si>
    <t>HD140J</t>
  </si>
  <si>
    <t>HD160J</t>
  </si>
  <si>
    <t>HD180J</t>
  </si>
  <si>
    <t>HD200J</t>
  </si>
  <si>
    <t>HD225J</t>
  </si>
  <si>
    <t>HD250J</t>
  </si>
  <si>
    <t>HD280J</t>
  </si>
  <si>
    <t>HD315J</t>
  </si>
  <si>
    <t>HD315D</t>
  </si>
  <si>
    <t>HD25F</t>
  </si>
  <si>
    <t>HD32F</t>
  </si>
  <si>
    <t>HD40F</t>
  </si>
  <si>
    <t>HD50F</t>
  </si>
  <si>
    <t>HD63F</t>
  </si>
  <si>
    <t>HD75F</t>
  </si>
  <si>
    <t>HD90F</t>
  </si>
  <si>
    <t>HD110F</t>
  </si>
  <si>
    <t>HD125F</t>
  </si>
  <si>
    <t>HD140F</t>
  </si>
  <si>
    <t>HD160F</t>
  </si>
  <si>
    <t>HD180F</t>
  </si>
  <si>
    <t>HD200F</t>
  </si>
  <si>
    <t>HD225F</t>
  </si>
  <si>
    <t>HD250F</t>
  </si>
  <si>
    <t>HD280F</t>
  </si>
  <si>
    <t>HD315F</t>
  </si>
  <si>
    <t>HD20G</t>
  </si>
  <si>
    <t>HD25G</t>
  </si>
  <si>
    <t>HD32G</t>
  </si>
  <si>
    <t>HD40G</t>
  </si>
  <si>
    <t>HD50G</t>
  </si>
  <si>
    <t>HD63G</t>
  </si>
  <si>
    <t>HD75G</t>
  </si>
  <si>
    <t>HD90G</t>
  </si>
  <si>
    <t>HD110G</t>
  </si>
  <si>
    <t>HD125G</t>
  </si>
  <si>
    <t>HD140G</t>
  </si>
  <si>
    <t>HD160G</t>
  </si>
  <si>
    <t>HD180G</t>
  </si>
  <si>
    <t>HD200G</t>
  </si>
  <si>
    <t>HD225G</t>
  </si>
  <si>
    <t>HD250G</t>
  </si>
  <si>
    <t>HD280G</t>
  </si>
  <si>
    <t>HD315G</t>
  </si>
  <si>
    <t>HD32L</t>
  </si>
  <si>
    <t>HD40L</t>
  </si>
  <si>
    <t>HD50L</t>
  </si>
  <si>
    <t>HD63L</t>
  </si>
  <si>
    <t>HD75L</t>
  </si>
  <si>
    <t>HD90L</t>
  </si>
  <si>
    <t>HD110L</t>
  </si>
  <si>
    <t>HD125L</t>
  </si>
  <si>
    <t>HD140L</t>
  </si>
  <si>
    <t>HD160L</t>
  </si>
  <si>
    <t>HD180L</t>
  </si>
  <si>
    <t>HD200L</t>
  </si>
  <si>
    <t>HD225L</t>
  </si>
  <si>
    <t>HD250L</t>
  </si>
  <si>
    <t>HD280L</t>
  </si>
  <si>
    <t>HD315L</t>
  </si>
  <si>
    <t>HD25M</t>
  </si>
  <si>
    <t>HD32M</t>
  </si>
  <si>
    <t>HD40M</t>
  </si>
  <si>
    <t>HD50M</t>
  </si>
  <si>
    <t>HD63M</t>
  </si>
  <si>
    <t>HD75M</t>
  </si>
  <si>
    <t>HD90M</t>
  </si>
  <si>
    <t>HD110M</t>
  </si>
  <si>
    <t>HD125M</t>
  </si>
  <si>
    <t>HD140M</t>
  </si>
  <si>
    <t>HD160M</t>
  </si>
  <si>
    <t>HD180M</t>
  </si>
  <si>
    <t>HD200M</t>
  </si>
  <si>
    <t>HD225M</t>
  </si>
  <si>
    <t>HD250M</t>
  </si>
  <si>
    <t>HD280M</t>
  </si>
  <si>
    <t>HD315M</t>
  </si>
  <si>
    <t>HD20N</t>
  </si>
  <si>
    <t>HD25N</t>
  </si>
  <si>
    <t>HD32N</t>
  </si>
  <si>
    <t>HD40N</t>
  </si>
  <si>
    <t>HD50N</t>
  </si>
  <si>
    <t>HD63N</t>
  </si>
  <si>
    <t>HD75N</t>
  </si>
  <si>
    <t>HD90N</t>
  </si>
  <si>
    <t>HD110N</t>
  </si>
  <si>
    <t>HD125N</t>
  </si>
  <si>
    <t>HD140N</t>
  </si>
  <si>
    <t>HD160N</t>
  </si>
  <si>
    <t>HD180N</t>
  </si>
  <si>
    <t>HD200N</t>
  </si>
  <si>
    <t>HD225N</t>
  </si>
  <si>
    <t>HD250N</t>
  </si>
  <si>
    <t>HD280N</t>
  </si>
  <si>
    <t>HD315N</t>
  </si>
  <si>
    <t>HD20O</t>
  </si>
  <si>
    <t>HD25O</t>
  </si>
  <si>
    <t>HD32O</t>
  </si>
  <si>
    <t>HD40O</t>
  </si>
  <si>
    <t>HD50O</t>
  </si>
  <si>
    <t>HD63O</t>
  </si>
  <si>
    <t>HD75O</t>
  </si>
  <si>
    <t>HD90O</t>
  </si>
  <si>
    <t>HD110O</t>
  </si>
  <si>
    <t>HD125O</t>
  </si>
  <si>
    <t>HD140O</t>
  </si>
  <si>
    <t>HD160O</t>
  </si>
  <si>
    <t>HD180O</t>
  </si>
  <si>
    <t>HD200O</t>
  </si>
  <si>
    <t>HD225O</t>
  </si>
  <si>
    <t>HD250O</t>
  </si>
  <si>
    <t>HD280O</t>
  </si>
  <si>
    <t>HD315O</t>
  </si>
  <si>
    <t>HD75Q</t>
  </si>
  <si>
    <t>HD90Q</t>
  </si>
  <si>
    <t>HD110Q</t>
  </si>
  <si>
    <t>HD125Q</t>
  </si>
  <si>
    <t>HD140Q</t>
  </si>
  <si>
    <t>HD160Q</t>
  </si>
  <si>
    <t>HD180Q</t>
  </si>
  <si>
    <t>HD200Q</t>
  </si>
  <si>
    <t>HD225Q</t>
  </si>
  <si>
    <t>HD250Q</t>
  </si>
  <si>
    <t>HD280Q</t>
  </si>
  <si>
    <t>HD315Q</t>
  </si>
  <si>
    <t>HD40S</t>
  </si>
  <si>
    <t>HD50S</t>
  </si>
  <si>
    <t>HD63S</t>
  </si>
  <si>
    <t>HD75S</t>
  </si>
  <si>
    <t>HD90S</t>
  </si>
  <si>
    <t>HD110S</t>
  </si>
  <si>
    <t>HD125S</t>
  </si>
  <si>
    <t>HD140S</t>
  </si>
  <si>
    <t>HD160S</t>
  </si>
  <si>
    <t>HD180S</t>
  </si>
  <si>
    <t>HD200S</t>
  </si>
  <si>
    <t>HD225S</t>
  </si>
  <si>
    <t>HD250S</t>
  </si>
  <si>
    <t>HD280S</t>
  </si>
  <si>
    <t>HD315S</t>
  </si>
  <si>
    <t>HD32T</t>
  </si>
  <si>
    <t>HD40T</t>
  </si>
  <si>
    <t>HD50T</t>
  </si>
  <si>
    <t>HD63T</t>
  </si>
  <si>
    <t>HD75T</t>
  </si>
  <si>
    <t>HD90T</t>
  </si>
  <si>
    <t>HD110T</t>
  </si>
  <si>
    <t>HD125T</t>
  </si>
  <si>
    <t>HD140T</t>
  </si>
  <si>
    <t>HD160T</t>
  </si>
  <si>
    <t>HD180T</t>
  </si>
  <si>
    <t>HD200T</t>
  </si>
  <si>
    <t>HD225T</t>
  </si>
  <si>
    <t>HD250T</t>
  </si>
  <si>
    <t>HD280T</t>
  </si>
  <si>
    <t>HD315T</t>
  </si>
  <si>
    <t>HD25U</t>
  </si>
  <si>
    <t>HD32U</t>
  </si>
  <si>
    <t>HD40U</t>
  </si>
  <si>
    <t>HD50U</t>
  </si>
  <si>
    <t>HD63U</t>
  </si>
  <si>
    <t>HD75U</t>
  </si>
  <si>
    <t>HD90U</t>
  </si>
  <si>
    <t>HD110U</t>
  </si>
  <si>
    <t>HD125U</t>
  </si>
  <si>
    <t>HD140U</t>
  </si>
  <si>
    <t>HD160U</t>
  </si>
  <si>
    <t>HD180U</t>
  </si>
  <si>
    <t>DRAIN</t>
  </si>
  <si>
    <t>HD200U</t>
  </si>
  <si>
    <t>SILENT</t>
  </si>
  <si>
    <t>SUPER SILENT</t>
  </si>
  <si>
    <t>HD225U</t>
  </si>
  <si>
    <t>SIZE (MM)</t>
  </si>
  <si>
    <t>MRP FOR PP DRAIN SYSTEM</t>
  </si>
  <si>
    <t>HD250U</t>
  </si>
  <si>
    <t>PRAYAG PIPE</t>
  </si>
  <si>
    <t>HULIOT</t>
  </si>
  <si>
    <t>ASTRAL</t>
  </si>
  <si>
    <t>HD280U</t>
  </si>
  <si>
    <t>WAVIN</t>
  </si>
  <si>
    <t>HD315U</t>
  </si>
  <si>
    <t>HD20V</t>
  </si>
  <si>
    <t>HD25V</t>
  </si>
  <si>
    <t>HD32V</t>
  </si>
  <si>
    <t>HD40V</t>
  </si>
  <si>
    <t>HD50V</t>
  </si>
  <si>
    <t>HD63V</t>
  </si>
  <si>
    <t>HD75V</t>
  </si>
  <si>
    <t>HD90V</t>
  </si>
  <si>
    <t>HD110V</t>
  </si>
  <si>
    <t>HD125V</t>
  </si>
  <si>
    <t>HD140V</t>
  </si>
  <si>
    <t>HD160V</t>
  </si>
  <si>
    <t>HD180V</t>
  </si>
  <si>
    <t>HD200V</t>
  </si>
  <si>
    <t>HD225V</t>
  </si>
  <si>
    <t>HD250V</t>
  </si>
  <si>
    <t>HD280V</t>
  </si>
  <si>
    <t>HD315V</t>
  </si>
  <si>
    <t>HD20W</t>
  </si>
  <si>
    <t>HD25W</t>
  </si>
  <si>
    <t>HD32W</t>
  </si>
  <si>
    <t>HD40W</t>
  </si>
  <si>
    <t>HD50W</t>
  </si>
  <si>
    <t>HD63W</t>
  </si>
  <si>
    <t>HD75W</t>
  </si>
  <si>
    <t>HD90W</t>
  </si>
  <si>
    <t>HD110W</t>
  </si>
  <si>
    <t>HD125W</t>
  </si>
  <si>
    <t>HD140W</t>
  </si>
  <si>
    <t>HD160W</t>
  </si>
  <si>
    <t>HD180W</t>
  </si>
  <si>
    <t>HD200W</t>
  </si>
  <si>
    <t>HD225W</t>
  </si>
  <si>
    <t>HD250W</t>
  </si>
  <si>
    <t>HD280W</t>
  </si>
  <si>
    <t>HD315W</t>
  </si>
  <si>
    <t>LENGTH</t>
  </si>
  <si>
    <t>SOCKET</t>
  </si>
  <si>
    <t>40MM</t>
  </si>
  <si>
    <t>50MM</t>
  </si>
  <si>
    <t>75MM</t>
  </si>
  <si>
    <t>110MM</t>
  </si>
  <si>
    <t>160MM</t>
  </si>
  <si>
    <t>PP DRAIN PIPE</t>
  </si>
  <si>
    <t>3 METER</t>
  </si>
  <si>
    <t>2 FEET</t>
  </si>
  <si>
    <t xml:space="preserve"> SUPREME</t>
  </si>
  <si>
    <t>3 FEET</t>
  </si>
  <si>
    <t>4 FEET</t>
  </si>
  <si>
    <t>6 FEET</t>
  </si>
  <si>
    <t>PP SILENT PIPE</t>
  </si>
  <si>
    <t>PP SUPER SILENT PIPE</t>
  </si>
  <si>
    <t>SR. NO.</t>
  </si>
  <si>
    <t>SIZE(mm)</t>
  </si>
  <si>
    <t>SIZE(in)</t>
  </si>
  <si>
    <t>ITEM NAME</t>
  </si>
  <si>
    <t>PRAYAG PVC</t>
  </si>
  <si>
    <t>PP DRAINAGE</t>
  </si>
  <si>
    <t>ELBOW 90°</t>
  </si>
  <si>
    <t>ELBOW 45°</t>
  </si>
  <si>
    <t>on the way</t>
  </si>
  <si>
    <t>SWEEP TEE</t>
  </si>
  <si>
    <t>110X75</t>
  </si>
  <si>
    <t>Y</t>
  </si>
  <si>
    <t>110X50</t>
  </si>
  <si>
    <t>RED Y</t>
  </si>
  <si>
    <t>160X110</t>
  </si>
  <si>
    <t>REDUCER BUSH</t>
  </si>
  <si>
    <t>50X40</t>
  </si>
  <si>
    <t>75X50</t>
  </si>
  <si>
    <t>160X75</t>
  </si>
  <si>
    <t>75X40</t>
  </si>
  <si>
    <t>110X110</t>
  </si>
  <si>
    <t>NAHANI TRAP</t>
  </si>
  <si>
    <t>P-TRAP</t>
  </si>
  <si>
    <t>125X110</t>
  </si>
  <si>
    <t>SOCKET PLUG WITH LOCK</t>
  </si>
  <si>
    <t>SOCKET PLUG</t>
  </si>
  <si>
    <t>PP SILENT</t>
  </si>
  <si>
    <t>Y-TEE</t>
  </si>
  <si>
    <t>COMMON ITMES</t>
  </si>
  <si>
    <t>ULTRA LOCKING SEAL</t>
  </si>
  <si>
    <t>ULTRA SILENT END LOCK</t>
  </si>
  <si>
    <t>ULTRA SILENT AQUISTICK CLAMPS</t>
  </si>
  <si>
    <t>LUBRICANT  250ML</t>
  </si>
  <si>
    <t>LUBRICANT  500ML</t>
  </si>
  <si>
    <t>VENT COWL</t>
  </si>
  <si>
    <t>PP SUPER SILENT</t>
  </si>
  <si>
    <t>PE-63</t>
  </si>
  <si>
    <t>SDR 26</t>
  </si>
  <si>
    <t>SDR 17</t>
  </si>
  <si>
    <t>SDR 13.6</t>
  </si>
  <si>
    <t>PN 4</t>
  </si>
  <si>
    <t>PN 6</t>
  </si>
  <si>
    <t>PN 8</t>
  </si>
  <si>
    <t>SIZES (MM)</t>
  </si>
  <si>
    <t>MIN OD +</t>
  </si>
  <si>
    <t>Nominal OD</t>
  </si>
  <si>
    <t>ROUNDNESS OVALITY</t>
  </si>
  <si>
    <t>Min Wall Thickness (MM)</t>
  </si>
  <si>
    <t>Max Wall Thickness (MM)</t>
  </si>
  <si>
    <t>AVG. wall thickness</t>
  </si>
  <si>
    <t>HD40D</t>
  </si>
  <si>
    <t>HD50D</t>
  </si>
  <si>
    <t>HD63D</t>
  </si>
  <si>
    <t>HD75D</t>
  </si>
  <si>
    <t>HD90D</t>
  </si>
  <si>
    <t>HD110D</t>
  </si>
  <si>
    <t>HD125D</t>
  </si>
  <si>
    <t>HD140D</t>
  </si>
  <si>
    <t>HD160D</t>
  </si>
  <si>
    <t>HD180D</t>
  </si>
  <si>
    <t>HD200D</t>
  </si>
  <si>
    <t>HD225D</t>
  </si>
  <si>
    <t>HD250D</t>
  </si>
  <si>
    <t>HD280D</t>
  </si>
  <si>
    <t>PE-80</t>
  </si>
  <si>
    <t>SDR 11</t>
  </si>
  <si>
    <t>SDR 9</t>
  </si>
  <si>
    <t>PN 10</t>
  </si>
  <si>
    <t>PPSU weight</t>
  </si>
  <si>
    <r>
      <rPr>
        <rFont val="宋体"/>
        <color rgb="FF000000"/>
        <sz val="12.0"/>
      </rPr>
      <t>S.NO</t>
    </r>
    <r>
      <rPr>
        <rFont val="宋体"/>
        <color theme="1"/>
        <sz val="12.0"/>
      </rPr>
      <t>.</t>
    </r>
  </si>
  <si>
    <t>SIZE(MM)</t>
  </si>
  <si>
    <t>Cavity</t>
  </si>
  <si>
    <t>product weight(grams)</t>
  </si>
  <si>
    <t>metal body ss weight (grams)</t>
  </si>
  <si>
    <t>machine</t>
  </si>
  <si>
    <t>160T-200T</t>
  </si>
  <si>
    <t>elbow</t>
  </si>
  <si>
    <t>End cap</t>
  </si>
  <si>
    <t>Connector</t>
  </si>
  <si>
    <t>16x1/2"</t>
  </si>
  <si>
    <t>20x3/4"</t>
  </si>
  <si>
    <t>40x11/4"</t>
  </si>
  <si>
    <t>25x3/4"</t>
  </si>
  <si>
    <t>20x1/2"</t>
  </si>
  <si>
    <t>Red coupler</t>
  </si>
  <si>
    <t>17&amp;6</t>
  </si>
  <si>
    <t>17&amp;10</t>
  </si>
  <si>
    <t>21&amp;10</t>
  </si>
  <si>
    <t>21&amp;17</t>
  </si>
  <si>
    <t>Red Brass elbow</t>
  </si>
  <si>
    <t>Red Brass tee）</t>
  </si>
  <si>
    <t>25x1/2"</t>
  </si>
  <si>
    <t>MTA Red elbow</t>
  </si>
  <si>
    <t>Red tee</t>
  </si>
  <si>
    <t>10&amp;6</t>
  </si>
  <si>
    <t>PE-100</t>
  </si>
  <si>
    <t>SDR 33</t>
  </si>
  <si>
    <t>SDR 21</t>
  </si>
  <si>
    <t>Kg Per Meter</t>
  </si>
  <si>
    <t>Rs. Per Meter</t>
  </si>
  <si>
    <t>MRP / METER</t>
  </si>
  <si>
    <t>XPET20</t>
  </si>
  <si>
    <t>20 mm</t>
  </si>
  <si>
    <t>6 METER</t>
  </si>
  <si>
    <t>XPET25</t>
  </si>
  <si>
    <t>25 mm</t>
  </si>
  <si>
    <t>XPET32</t>
  </si>
  <si>
    <t>32 mm</t>
  </si>
  <si>
    <t>XPET40</t>
  </si>
  <si>
    <t>XPET50</t>
  </si>
  <si>
    <t>20 MM</t>
  </si>
  <si>
    <t>50 METER</t>
  </si>
  <si>
    <t>100 METER</t>
  </si>
  <si>
    <t>200 METER</t>
  </si>
  <si>
    <t>25 MM</t>
  </si>
  <si>
    <t>32 MM</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</si>
</sst>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
    <numFmt numFmtId="165" formatCode="#,##0.0"/>
    <numFmt numFmtId="166" formatCode="#,##0.000"/>
    <numFmt numFmtId="167" formatCode="0.0"/>
    <numFmt numFmtId="168" formatCode="0.0000"/>
    <numFmt numFmtId="169" formatCode="0.0%"/>
    <numFmt numFmtId="170" formatCode="mmmm yyyy"/>
    <numFmt numFmtId="171" formatCode="mmmm, yyyy"/>
  </numFmts>
  <fonts count="56">
    <font>
      <sz val="10.0"/>
      <color rgb="FF000000"/>
      <name val="Arial"/>
      <scheme val="minor"/>
    </font>
    <font>
      <color theme="1"/>
      <name val="Arial"/>
      <scheme val="minor"/>
    </font>
    <font>
      <sz val="10.0"/>
      <color theme="1"/>
      <name val="Arial"/>
      <scheme val="minor"/>
    </font>
    <font>
      <u/>
      <sz val="12.0"/>
      <color rgb="FFFFFFFF"/>
      <name val="Calibri"/>
    </font>
    <font>
      <u/>
      <color rgb="FFFFFFFF"/>
    </font>
    <font>
      <color rgb="FFFFFFFF"/>
      <name val="Arial"/>
      <scheme val="minor"/>
    </font>
    <font>
      <sz val="12.0"/>
      <color theme="1"/>
      <name val="Calibri"/>
    </font>
    <font>
      <color rgb="FF000000"/>
      <name val="Arial"/>
      <scheme val="minor"/>
    </font>
    <font>
      <sz val="12.0"/>
      <color rgb="FFFFFFFF"/>
      <name val="Calibri"/>
    </font>
    <font>
      <sz val="12.0"/>
      <color theme="1"/>
      <name val="Arial"/>
    </font>
    <font>
      <b/>
      <sz val="12.0"/>
      <color rgb="FF0000FF"/>
      <name val="Calibri"/>
    </font>
    <font>
      <b/>
      <sz val="12.0"/>
      <color rgb="FF9900FF"/>
      <name val="Calibri"/>
    </font>
    <font/>
    <font>
      <sz val="12.0"/>
      <color rgb="FF000000"/>
      <name val="Calibri"/>
    </font>
    <font>
      <b/>
      <sz val="12.0"/>
      <color theme="1"/>
      <name val="Calibri"/>
    </font>
    <font>
      <sz val="15.0"/>
      <color theme="1"/>
      <name val="Calibri"/>
    </font>
    <font>
      <b/>
      <sz val="12.0"/>
      <color theme="1"/>
      <name val="Arial"/>
    </font>
    <font>
      <sz val="11.0"/>
      <color theme="1"/>
      <name val="Calibri"/>
    </font>
    <font>
      <sz val="11.0"/>
      <color rgb="FF000000"/>
      <name val="Calibri"/>
    </font>
    <font>
      <b/>
      <sz val="12.0"/>
      <color rgb="FF000000"/>
      <name val="Calibri"/>
    </font>
    <font>
      <b/>
      <sz val="12.0"/>
      <color rgb="FFFFFFFF"/>
      <name val="Arial"/>
      <scheme val="minor"/>
    </font>
    <font>
      <b/>
      <sz val="12.0"/>
      <color theme="1"/>
      <name val="Arial"/>
      <scheme val="minor"/>
    </font>
    <font>
      <sz val="12.0"/>
      <color rgb="FF000000"/>
      <name val="Arial"/>
      <scheme val="minor"/>
    </font>
    <font>
      <b/>
      <sz val="12.0"/>
      <color rgb="FF000000"/>
      <name val="Arial"/>
      <scheme val="minor"/>
    </font>
    <font>
      <sz val="12.0"/>
      <color theme="1"/>
      <name val="Arial"/>
      <scheme val="minor"/>
    </font>
    <font>
      <b/>
      <sz val="11.0"/>
      <color rgb="FF000000"/>
      <name val="Calibri"/>
    </font>
    <font>
      <b/>
      <color theme="1"/>
      <name val="Arial"/>
    </font>
    <font>
      <b/>
      <sz val="12.0"/>
      <color rgb="FF000000"/>
      <name val="Arial"/>
    </font>
    <font>
      <b/>
      <sz val="11.0"/>
      <color theme="1"/>
      <name val="Arial"/>
    </font>
    <font>
      <color theme="1"/>
      <name val="Arial"/>
    </font>
    <font>
      <color rgb="FF000000"/>
      <name val="Arial"/>
    </font>
    <font>
      <b/>
      <sz val="12.0"/>
      <color rgb="FFFFFFFF"/>
      <name val="Arial"/>
    </font>
    <font>
      <b/>
      <sz val="11.0"/>
      <color rgb="FF0000FF"/>
      <name val="Arial"/>
    </font>
    <font>
      <sz val="12.0"/>
      <color rgb="FFFFFFFF"/>
      <name val="Arial"/>
      <scheme val="minor"/>
    </font>
    <font>
      <b/>
      <sz val="15.0"/>
      <color theme="1"/>
      <name val="Georgia"/>
    </font>
    <font>
      <b/>
      <sz val="20.0"/>
      <color rgb="FF0000FF"/>
      <name val="Calibri"/>
    </font>
    <font>
      <b/>
      <sz val="15.0"/>
      <color theme="1"/>
      <name val="Arial"/>
    </font>
    <font>
      <b/>
      <sz val="12.0"/>
      <color rgb="FF9900FF"/>
      <name val="Arial"/>
    </font>
    <font>
      <sz val="11.0"/>
      <color theme="1"/>
      <name val="Arial"/>
      <scheme val="minor"/>
    </font>
    <font>
      <sz val="11.0"/>
      <color theme="1"/>
      <name val="Arial"/>
    </font>
    <font>
      <b/>
      <sz val="11.0"/>
      <color rgb="FF9900FF"/>
      <name val="Arial"/>
    </font>
    <font>
      <b/>
      <sz val="12.0"/>
      <color rgb="FF9900FF"/>
      <name val="Arial"/>
      <scheme val="minor"/>
    </font>
    <font>
      <b/>
      <sz val="12.0"/>
      <color rgb="FF0000FF"/>
      <name val="Arial"/>
    </font>
    <font>
      <b/>
      <sz val="12.0"/>
      <color rgb="FF0000FF"/>
      <name val="Arial"/>
      <scheme val="minor"/>
    </font>
    <font>
      <b/>
      <sz val="15.0"/>
      <color theme="1"/>
      <name val="Calibri"/>
    </font>
    <font>
      <b/>
      <sz val="15.0"/>
      <color rgb="FF0000FF"/>
      <name val="Calibri"/>
    </font>
    <font>
      <b/>
      <sz val="15.0"/>
      <color rgb="FF9900FF"/>
      <name val="Calibri"/>
    </font>
    <font>
      <b/>
      <color theme="1"/>
      <name val="Arial"/>
      <scheme val="minor"/>
    </font>
    <font>
      <sz val="14.0"/>
      <color theme="1"/>
      <name val="Arial"/>
    </font>
    <font>
      <sz val="15.0"/>
      <color rgb="FF000000"/>
      <name val="Arial"/>
      <scheme val="minor"/>
    </font>
    <font>
      <b/>
      <sz val="14.0"/>
      <color theme="1"/>
      <name val="Arial"/>
    </font>
    <font>
      <sz val="22.0"/>
      <color theme="1"/>
      <name val="宋体"/>
    </font>
    <font>
      <sz val="12.0"/>
      <color theme="1"/>
      <name val="宋体"/>
    </font>
    <font>
      <color theme="1"/>
      <name val="宋体"/>
    </font>
    <font>
      <sz val="12.0"/>
      <color rgb="FF000000"/>
      <name val="宋体"/>
    </font>
    <font>
      <sz val="12.0"/>
      <color theme="1"/>
      <name val="楷体"/>
    </font>
  </fonts>
  <fills count="17">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FFF2CC"/>
        <bgColor rgb="FFFFF2CC"/>
      </patternFill>
    </fill>
    <fill>
      <patternFill patternType="solid">
        <fgColor rgb="FFFFFF00"/>
        <bgColor rgb="FFFFFF00"/>
      </patternFill>
    </fill>
    <fill>
      <patternFill patternType="solid">
        <fgColor rgb="FFFF0000"/>
        <bgColor rgb="FFFF0000"/>
      </patternFill>
    </fill>
    <fill>
      <patternFill patternType="solid">
        <fgColor rgb="FF92D050"/>
        <bgColor rgb="FF92D050"/>
      </patternFill>
    </fill>
    <fill>
      <patternFill patternType="solid">
        <fgColor rgb="FFC00000"/>
        <bgColor rgb="FFC00000"/>
      </patternFill>
    </fill>
    <fill>
      <patternFill patternType="solid">
        <fgColor rgb="FF00B0F0"/>
        <bgColor rgb="FF00B0F0"/>
      </patternFill>
    </fill>
    <fill>
      <patternFill patternType="solid">
        <fgColor rgb="FF0070C0"/>
        <bgColor rgb="FF0070C0"/>
      </patternFill>
    </fill>
    <fill>
      <patternFill patternType="solid">
        <fgColor rgb="FFFFC000"/>
        <bgColor rgb="FFFFC000"/>
      </patternFill>
    </fill>
    <fill>
      <patternFill patternType="solid">
        <fgColor rgb="FF00B050"/>
        <bgColor rgb="FF00B050"/>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F3F3F3"/>
        <bgColor rgb="FFF3F3F3"/>
      </patternFill>
    </fill>
  </fills>
  <borders count="19">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right style="thin">
        <color rgb="FF000000"/>
      </right>
    </border>
    <border>
      <top style="thin">
        <color rgb="FF000000"/>
      </top>
    </border>
    <border>
      <left style="thin">
        <color rgb="FF000000"/>
      </left>
    </border>
    <border>
      <left style="thin">
        <color rgb="FF000000"/>
      </left>
      <bottom style="thin">
        <color rgb="FF000000"/>
      </bottom>
    </border>
    <border>
      <left style="thin">
        <color rgb="FF000000"/>
      </left>
      <top style="thin">
        <color rgb="FF000000"/>
      </top>
    </border>
    <border>
      <right style="thin">
        <color rgb="FF000000"/>
      </right>
    </border>
    <border>
      <bottom style="thin">
        <color rgb="FF000000"/>
      </bottom>
    </border>
    <border>
      <left style="medium">
        <color rgb="FF000000"/>
      </left>
      <top style="medium">
        <color rgb="FF000000"/>
      </top>
    </border>
    <border>
      <top style="medium">
        <color rgb="FF000000"/>
      </top>
    </border>
    <border>
      <left style="medium">
        <color rgb="FF000000"/>
      </left>
    </border>
  </borders>
  <cellStyleXfs count="1">
    <xf borderId="0" fillId="0" fontId="0" numFmtId="0" applyAlignment="1" applyFont="1"/>
  </cellStyleXfs>
  <cellXfs count="864">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vertical="center"/>
    </xf>
    <xf borderId="0" fillId="0" fontId="1" numFmtId="0" xfId="0" applyAlignment="1" applyFont="1">
      <alignment horizontal="center" readingOrder="0" vertical="center"/>
    </xf>
    <xf borderId="0" fillId="0" fontId="1" numFmtId="0" xfId="0" applyAlignment="1" applyFont="1">
      <alignment horizontal="left" readingOrder="0" vertical="center"/>
    </xf>
    <xf borderId="0" fillId="0" fontId="1" numFmtId="0" xfId="0" applyAlignment="1" applyFont="1">
      <alignment horizontal="center" readingOrder="0" shrinkToFit="0" vertical="center" wrapText="1"/>
    </xf>
    <xf borderId="0" fillId="0" fontId="2" numFmtId="0" xfId="0" applyAlignment="1" applyFont="1">
      <alignment horizontal="left" readingOrder="0" vertical="center"/>
    </xf>
    <xf borderId="0" fillId="2" fontId="3" numFmtId="0" xfId="0" applyAlignment="1" applyFill="1" applyFont="1">
      <alignment readingOrder="0" shrinkToFit="0" vertical="center" wrapText="0"/>
    </xf>
    <xf borderId="0" fillId="0" fontId="4" numFmtId="0" xfId="0" applyAlignment="1" applyFont="1">
      <alignment readingOrder="0"/>
    </xf>
    <xf borderId="0" fillId="0" fontId="2" numFmtId="0" xfId="0" applyAlignment="1" applyFont="1">
      <alignment readingOrder="0" vertical="center"/>
    </xf>
    <xf borderId="0" fillId="0" fontId="1" numFmtId="0" xfId="0" applyAlignment="1" applyFont="1">
      <alignment readingOrder="0"/>
    </xf>
    <xf borderId="0" fillId="2" fontId="2" numFmtId="0" xfId="0" applyAlignment="1" applyFont="1">
      <alignment horizontal="center" vertical="center"/>
    </xf>
    <xf borderId="0" fillId="0" fontId="1" numFmtId="164" xfId="0" applyAlignment="1" applyFont="1" applyNumberFormat="1">
      <alignment horizontal="left" vertical="center"/>
    </xf>
    <xf borderId="0" fillId="0" fontId="1" numFmtId="0" xfId="0" applyAlignment="1" applyFont="1">
      <alignment horizontal="center" vertical="center"/>
    </xf>
    <xf borderId="0" fillId="2" fontId="5" numFmtId="0" xfId="0" applyAlignment="1" applyFont="1">
      <alignment readingOrder="0" vertical="center"/>
    </xf>
    <xf borderId="0" fillId="2" fontId="1" numFmtId="0" xfId="0" applyAlignment="1" applyFont="1">
      <alignment horizontal="center" vertical="center"/>
    </xf>
    <xf borderId="0" fillId="2" fontId="6" numFmtId="0" xfId="0" applyAlignment="1" applyFont="1">
      <alignment vertical="center"/>
    </xf>
    <xf borderId="0" fillId="2" fontId="1" numFmtId="0" xfId="0" applyAlignment="1" applyFont="1">
      <alignment horizontal="left" vertical="center"/>
    </xf>
    <xf borderId="0" fillId="0" fontId="1" numFmtId="164" xfId="0" applyAlignment="1" applyFont="1" applyNumberFormat="1">
      <alignment horizontal="center" vertical="center"/>
    </xf>
    <xf borderId="0" fillId="0" fontId="1" numFmtId="10" xfId="0" applyAlignment="1" applyFont="1" applyNumberFormat="1">
      <alignment horizontal="center" vertical="center"/>
    </xf>
    <xf borderId="0" fillId="2" fontId="6" numFmtId="0" xfId="0" applyAlignment="1" applyFont="1">
      <alignment horizontal="center" vertical="center"/>
    </xf>
    <xf borderId="0" fillId="2" fontId="7" numFmtId="164" xfId="0" applyAlignment="1" applyFont="1" applyNumberFormat="1">
      <alignment horizontal="center" readingOrder="0" vertical="center"/>
    </xf>
    <xf borderId="0" fillId="2" fontId="8" numFmtId="9" xfId="0" applyAlignment="1" applyFont="1" applyNumberFormat="1">
      <alignment horizontal="center" readingOrder="0" vertical="center"/>
    </xf>
    <xf borderId="0" fillId="2" fontId="7" numFmtId="9" xfId="0" applyAlignment="1" applyFont="1" applyNumberFormat="1">
      <alignment horizontal="center" readingOrder="0" vertical="center"/>
    </xf>
    <xf borderId="0" fillId="2" fontId="6" numFmtId="1" xfId="0" applyAlignment="1" applyFont="1" applyNumberFormat="1">
      <alignment horizontal="center" vertical="center"/>
    </xf>
    <xf borderId="0" fillId="0" fontId="1" numFmtId="4" xfId="0" applyAlignment="1" applyFont="1" applyNumberFormat="1">
      <alignment horizontal="center" vertical="center"/>
    </xf>
    <xf borderId="0" fillId="2" fontId="6" numFmtId="0" xfId="0" applyAlignment="1" applyFont="1">
      <alignment readingOrder="0" vertical="center"/>
    </xf>
    <xf borderId="0" fillId="2" fontId="2" numFmtId="2" xfId="0" applyAlignment="1" applyFont="1" applyNumberFormat="1">
      <alignment horizontal="center" vertical="center"/>
    </xf>
    <xf borderId="1" fillId="2" fontId="6" numFmtId="0" xfId="0" applyAlignment="1" applyBorder="1" applyFont="1">
      <alignment horizontal="center" shrinkToFit="0" vertical="center" wrapText="1"/>
    </xf>
    <xf borderId="0" fillId="2" fontId="1" numFmtId="2" xfId="0" applyAlignment="1" applyFont="1" applyNumberFormat="1">
      <alignment horizontal="center" vertical="center"/>
    </xf>
    <xf borderId="1" fillId="2" fontId="6" numFmtId="0" xfId="0" applyAlignment="1" applyBorder="1" applyFont="1">
      <alignment horizontal="left" shrinkToFit="0" vertical="center" wrapText="1"/>
    </xf>
    <xf borderId="0" fillId="2" fontId="1" numFmtId="4" xfId="0" applyAlignment="1" applyFont="1" applyNumberFormat="1">
      <alignment horizontal="center" vertical="center"/>
    </xf>
    <xf borderId="0" fillId="0" fontId="2" numFmtId="0" xfId="0" applyAlignment="1" applyFont="1">
      <alignment horizontal="left" vertical="center"/>
    </xf>
    <xf borderId="1" fillId="2" fontId="6" numFmtId="0" xfId="0" applyAlignment="1" applyBorder="1" applyFont="1">
      <alignment horizontal="center" readingOrder="0" shrinkToFit="0" vertical="center" wrapText="1"/>
    </xf>
    <xf borderId="0" fillId="2" fontId="5" numFmtId="0" xfId="0" applyAlignment="1" applyFont="1">
      <alignment vertical="center"/>
    </xf>
    <xf borderId="1" fillId="2" fontId="9" numFmtId="0" xfId="0" applyAlignment="1" applyBorder="1" applyFont="1">
      <alignment horizontal="center" shrinkToFit="0" vertical="center" wrapText="1"/>
    </xf>
    <xf borderId="1" fillId="2" fontId="10" numFmtId="0" xfId="0" applyAlignment="1" applyBorder="1" applyFont="1">
      <alignment horizontal="center" readingOrder="0" shrinkToFit="0" vertical="center" wrapText="1"/>
    </xf>
    <xf borderId="1" fillId="2" fontId="9" numFmtId="0" xfId="0" applyAlignment="1" applyBorder="1" applyFont="1">
      <alignment horizontal="center" readingOrder="0" shrinkToFit="0" vertical="center" wrapText="1"/>
    </xf>
    <xf borderId="1" fillId="2" fontId="11" numFmtId="0" xfId="0" applyAlignment="1" applyBorder="1" applyFont="1">
      <alignment horizontal="center" readingOrder="0" shrinkToFit="0" vertical="center" wrapText="1"/>
    </xf>
    <xf borderId="0" fillId="2" fontId="6" numFmtId="0" xfId="0" applyAlignment="1" applyFont="1">
      <alignment horizontal="center" readingOrder="0" shrinkToFit="0" vertical="center" wrapText="1"/>
    </xf>
    <xf borderId="1" fillId="2" fontId="9" numFmtId="0" xfId="0" applyAlignment="1" applyBorder="1" applyFont="1">
      <alignment horizontal="left" shrinkToFit="0" vertical="center" wrapText="1"/>
    </xf>
    <xf borderId="2" fillId="0" fontId="12" numFmtId="0" xfId="0" applyBorder="1" applyFont="1"/>
    <xf borderId="1" fillId="2" fontId="13" numFmtId="164" xfId="0" applyAlignment="1" applyBorder="1" applyFont="1" applyNumberFormat="1">
      <alignment horizontal="center" shrinkToFit="0" vertical="center" wrapText="1"/>
    </xf>
    <xf borderId="0" fillId="0" fontId="1" numFmtId="3" xfId="0" applyAlignment="1" applyFont="1" applyNumberFormat="1">
      <alignment horizontal="center" vertical="center"/>
    </xf>
    <xf borderId="3" fillId="2" fontId="14" numFmtId="0" xfId="0" applyAlignment="1" applyBorder="1" applyFont="1">
      <alignment horizontal="center" vertical="center"/>
    </xf>
    <xf borderId="4" fillId="0" fontId="12" numFmtId="0" xfId="0" applyBorder="1" applyFont="1"/>
    <xf borderId="5" fillId="0" fontId="12" numFmtId="0" xfId="0" applyBorder="1" applyFont="1"/>
    <xf borderId="1" fillId="2" fontId="13" numFmtId="164" xfId="0" applyAlignment="1" applyBorder="1" applyFont="1" applyNumberFormat="1">
      <alignment horizontal="center" readingOrder="0" shrinkToFit="0" vertical="center" wrapText="1"/>
    </xf>
    <xf borderId="0" fillId="2" fontId="14" numFmtId="0" xfId="0" applyAlignment="1" applyFont="1">
      <alignment horizontal="center" vertical="center"/>
    </xf>
    <xf borderId="0" fillId="2" fontId="15" numFmtId="0" xfId="0" applyAlignment="1" applyFont="1">
      <alignment horizontal="center" vertical="center"/>
    </xf>
    <xf borderId="1" fillId="2" fontId="13" numFmtId="0" xfId="0" applyAlignment="1" applyBorder="1" applyFont="1">
      <alignment horizontal="center" readingOrder="0" shrinkToFit="0" vertical="center" wrapText="1"/>
    </xf>
    <xf borderId="6" fillId="2" fontId="6" numFmtId="0" xfId="0" applyAlignment="1" applyBorder="1" applyFont="1">
      <alignment horizontal="center" vertical="center"/>
    </xf>
    <xf borderId="0" fillId="2" fontId="1" numFmtId="2" xfId="0" applyAlignment="1" applyFont="1" applyNumberFormat="1">
      <alignment horizontal="center" readingOrder="0" vertical="center"/>
    </xf>
    <xf borderId="6" fillId="2" fontId="6" numFmtId="0" xfId="0" applyAlignment="1" applyBorder="1" applyFont="1">
      <alignment vertical="center"/>
    </xf>
    <xf borderId="7" fillId="2" fontId="13" numFmtId="0" xfId="0" applyAlignment="1" applyBorder="1" applyFont="1">
      <alignment horizontal="center" readingOrder="0" vertical="center"/>
    </xf>
    <xf borderId="1" fillId="2" fontId="11" numFmtId="2" xfId="0" applyAlignment="1" applyBorder="1" applyFont="1" applyNumberFormat="1">
      <alignment horizontal="center" readingOrder="0" shrinkToFit="0" vertical="center" wrapText="1"/>
    </xf>
    <xf borderId="6" fillId="2" fontId="10" numFmtId="2" xfId="0" applyAlignment="1" applyBorder="1" applyFont="1" applyNumberFormat="1">
      <alignment horizontal="center" readingOrder="0" vertical="center"/>
    </xf>
    <xf borderId="0" fillId="2" fontId="1" numFmtId="4" xfId="0" applyAlignment="1" applyFont="1" applyNumberFormat="1">
      <alignment horizontal="center" readingOrder="0" shrinkToFit="0" vertical="center" wrapText="1"/>
    </xf>
    <xf borderId="0" fillId="2" fontId="13" numFmtId="164" xfId="0" applyAlignment="1" applyFont="1" applyNumberFormat="1">
      <alignment horizontal="center" readingOrder="0" vertical="center"/>
    </xf>
    <xf borderId="0" fillId="2" fontId="13" numFmtId="1" xfId="0" applyAlignment="1" applyFont="1" applyNumberFormat="1">
      <alignment horizontal="center" vertical="center"/>
    </xf>
    <xf borderId="6" fillId="2" fontId="11" numFmtId="4" xfId="0" applyAlignment="1" applyBorder="1" applyFont="1" applyNumberFormat="1">
      <alignment horizontal="center" readingOrder="0" vertical="center"/>
    </xf>
    <xf borderId="2" fillId="2" fontId="10" numFmtId="2" xfId="0" applyAlignment="1" applyBorder="1" applyFont="1" applyNumberFormat="1">
      <alignment horizontal="center" readingOrder="0" vertical="center"/>
    </xf>
    <xf borderId="3" fillId="2" fontId="16" numFmtId="0" xfId="0" applyAlignment="1" applyBorder="1" applyFont="1">
      <alignment horizontal="center" readingOrder="0" vertical="center"/>
    </xf>
    <xf borderId="2" fillId="2" fontId="11" numFmtId="4" xfId="0" applyAlignment="1" applyBorder="1" applyFont="1" applyNumberFormat="1">
      <alignment horizontal="center" readingOrder="0" vertical="center"/>
    </xf>
    <xf borderId="0" fillId="2" fontId="7" numFmtId="164" xfId="0" applyAlignment="1" applyFont="1" applyNumberFormat="1">
      <alignment vertical="center"/>
    </xf>
    <xf borderId="0" fillId="2" fontId="7" numFmtId="0" xfId="0" applyAlignment="1" applyFont="1">
      <alignment vertical="center"/>
    </xf>
    <xf borderId="6" fillId="2" fontId="14" numFmtId="0" xfId="0" applyAlignment="1" applyBorder="1" applyFont="1">
      <alignment horizontal="center" vertical="center"/>
    </xf>
    <xf borderId="0" fillId="2" fontId="8" numFmtId="0" xfId="0" applyAlignment="1" applyFont="1">
      <alignment vertical="center"/>
    </xf>
    <xf borderId="6" fillId="2" fontId="6" numFmtId="0" xfId="0" applyAlignment="1" applyBorder="1" applyFont="1">
      <alignment horizontal="center" vertical="center"/>
    </xf>
    <xf borderId="6" fillId="2" fontId="14" numFmtId="4" xfId="0" applyAlignment="1" applyBorder="1" applyFont="1" applyNumberFormat="1">
      <alignment horizontal="center" vertical="center"/>
    </xf>
    <xf borderId="5" fillId="2" fontId="6" numFmtId="0" xfId="0" applyAlignment="1" applyBorder="1" applyFont="1">
      <alignment horizontal="center" vertical="center"/>
    </xf>
    <xf borderId="0" fillId="2" fontId="14" numFmtId="164" xfId="0" applyAlignment="1" applyFont="1" applyNumberFormat="1">
      <alignment horizontal="center" vertical="center"/>
    </xf>
    <xf borderId="5" fillId="2" fontId="6" numFmtId="49" xfId="0" applyAlignment="1" applyBorder="1" applyFont="1" applyNumberFormat="1">
      <alignment vertical="center"/>
    </xf>
    <xf borderId="0" fillId="2" fontId="14" numFmtId="1" xfId="0" applyAlignment="1" applyFont="1" applyNumberFormat="1">
      <alignment horizontal="center" vertical="center"/>
    </xf>
    <xf borderId="0" fillId="2" fontId="14" numFmtId="3" xfId="0" applyAlignment="1" applyFont="1" applyNumberFormat="1">
      <alignment horizontal="center" vertical="center"/>
    </xf>
    <xf borderId="0" fillId="2" fontId="6" numFmtId="164" xfId="0" applyAlignment="1" applyFont="1" applyNumberFormat="1">
      <alignment horizontal="center" vertical="center"/>
    </xf>
    <xf borderId="0" fillId="2" fontId="13" numFmtId="164" xfId="0" applyAlignment="1" applyFont="1" applyNumberFormat="1">
      <alignment horizontal="center" vertical="center"/>
    </xf>
    <xf borderId="3" fillId="2" fontId="14" numFmtId="0" xfId="0" applyAlignment="1" applyBorder="1" applyFont="1">
      <alignment horizontal="center" readingOrder="0" vertical="center"/>
    </xf>
    <xf borderId="0" fillId="0" fontId="2" numFmtId="0" xfId="0" applyAlignment="1" applyFont="1">
      <alignment horizontal="center" vertical="center"/>
    </xf>
    <xf borderId="0" fillId="2" fontId="14" numFmtId="164" xfId="0" applyAlignment="1" applyFont="1" applyNumberFormat="1">
      <alignment horizontal="center" readingOrder="0" vertical="center"/>
    </xf>
    <xf borderId="0" fillId="2" fontId="14" numFmtId="0" xfId="0" applyAlignment="1" applyFont="1">
      <alignment horizontal="center" readingOrder="0" vertical="center"/>
    </xf>
    <xf borderId="6" fillId="2" fontId="6" numFmtId="0" xfId="0" applyAlignment="1" applyBorder="1" applyFont="1">
      <alignment horizontal="center" readingOrder="0" vertical="center"/>
    </xf>
    <xf borderId="6" fillId="2" fontId="17" numFmtId="0" xfId="0" applyAlignment="1" applyBorder="1" applyFont="1">
      <alignment horizontal="center" vertical="center"/>
    </xf>
    <xf borderId="7" fillId="2" fontId="18" numFmtId="0" xfId="0" applyAlignment="1" applyBorder="1" applyFont="1">
      <alignment horizontal="center" readingOrder="0" vertical="center"/>
    </xf>
    <xf borderId="0" fillId="2" fontId="13" numFmtId="2" xfId="0" applyAlignment="1" applyFont="1" applyNumberFormat="1">
      <alignment horizontal="center" vertical="center"/>
    </xf>
    <xf borderId="0" fillId="2" fontId="6" numFmtId="2" xfId="0" applyAlignment="1" applyFont="1" applyNumberFormat="1">
      <alignment horizontal="center" vertical="center"/>
    </xf>
    <xf borderId="2" fillId="2" fontId="17" numFmtId="0" xfId="0" applyAlignment="1" applyBorder="1" applyFont="1">
      <alignment horizontal="center" vertical="center"/>
    </xf>
    <xf borderId="6" fillId="2" fontId="11" numFmtId="2" xfId="0" applyAlignment="1" applyBorder="1" applyFont="1" applyNumberFormat="1">
      <alignment horizontal="center" readingOrder="0" vertical="center"/>
    </xf>
    <xf borderId="0" fillId="2" fontId="13" numFmtId="4" xfId="0" applyAlignment="1" applyFont="1" applyNumberFormat="1">
      <alignment horizontal="center" readingOrder="0" vertical="center"/>
    </xf>
    <xf borderId="0" fillId="2" fontId="13" numFmtId="4" xfId="0" applyAlignment="1" applyFont="1" applyNumberFormat="1">
      <alignment horizontal="center" vertical="center"/>
    </xf>
    <xf borderId="2" fillId="2" fontId="6" numFmtId="0" xfId="0" applyAlignment="1" applyBorder="1" applyFont="1">
      <alignment horizontal="center" vertical="center"/>
    </xf>
    <xf borderId="7" fillId="2" fontId="13" numFmtId="0" xfId="0" applyAlignment="1" applyBorder="1" applyFont="1">
      <alignment readingOrder="0" shrinkToFit="0" wrapText="0"/>
    </xf>
    <xf borderId="7" fillId="2" fontId="6" numFmtId="0" xfId="0" applyAlignment="1" applyBorder="1" applyFont="1">
      <alignment horizontal="center" vertical="center"/>
    </xf>
    <xf borderId="7" fillId="2" fontId="13" numFmtId="0" xfId="0" applyAlignment="1" applyBorder="1" applyFont="1">
      <alignment horizontal="center" readingOrder="0" shrinkToFit="0" wrapText="0"/>
    </xf>
    <xf borderId="7" fillId="2" fontId="6" numFmtId="0" xfId="0" applyAlignment="1" applyBorder="1" applyFont="1">
      <alignment vertical="center"/>
    </xf>
    <xf borderId="3" fillId="2" fontId="19" numFmtId="0" xfId="0" applyAlignment="1" applyBorder="1" applyFont="1">
      <alignment horizontal="center" readingOrder="0" shrinkToFit="0" wrapText="0"/>
    </xf>
    <xf borderId="6" fillId="2" fontId="19" numFmtId="4" xfId="0" applyAlignment="1" applyBorder="1" applyFont="1" applyNumberFormat="1">
      <alignment horizontal="center" readingOrder="0" shrinkToFit="0" wrapText="0"/>
    </xf>
    <xf borderId="5" fillId="2" fontId="18" numFmtId="0" xfId="0" applyAlignment="1" applyBorder="1" applyFont="1">
      <alignment horizontal="center" readingOrder="0" shrinkToFit="0" wrapText="0"/>
    </xf>
    <xf borderId="5" fillId="2" fontId="13" numFmtId="0" xfId="0" applyAlignment="1" applyBorder="1" applyFont="1">
      <alignment horizontal="center" readingOrder="0" shrinkToFit="0" wrapText="0"/>
    </xf>
    <xf borderId="6" fillId="2" fontId="18" numFmtId="0" xfId="0" applyAlignment="1" applyBorder="1" applyFont="1">
      <alignment horizontal="center" readingOrder="0" shrinkToFit="0" wrapText="0"/>
    </xf>
    <xf borderId="0" fillId="2" fontId="20" numFmtId="0" xfId="0" applyAlignment="1" applyFont="1">
      <alignment vertical="center"/>
    </xf>
    <xf borderId="7" fillId="2" fontId="18" numFmtId="0" xfId="0" applyAlignment="1" applyBorder="1" applyFont="1">
      <alignment horizontal="center" readingOrder="0" shrinkToFit="0" wrapText="0"/>
    </xf>
    <xf borderId="3" fillId="2" fontId="21" numFmtId="0" xfId="0" applyAlignment="1" applyBorder="1" applyFont="1">
      <alignment horizontal="center" vertical="center"/>
    </xf>
    <xf borderId="6" fillId="2" fontId="21" numFmtId="2" xfId="0" applyAlignment="1" applyBorder="1" applyFont="1" applyNumberFormat="1">
      <alignment horizontal="center" vertical="center"/>
    </xf>
    <xf borderId="0" fillId="2" fontId="22" numFmtId="164" xfId="0" applyAlignment="1" applyFont="1" applyNumberFormat="1">
      <alignment vertical="center"/>
    </xf>
    <xf borderId="0" fillId="2" fontId="16" numFmtId="0" xfId="0" applyAlignment="1" applyFont="1">
      <alignment horizontal="center" vertical="center"/>
    </xf>
    <xf borderId="0" fillId="2" fontId="16" numFmtId="0" xfId="0" applyAlignment="1" applyFont="1">
      <alignment horizontal="left" vertical="center"/>
    </xf>
    <xf borderId="0" fillId="2" fontId="21" numFmtId="2" xfId="0" applyAlignment="1" applyFont="1" applyNumberFormat="1">
      <alignment horizontal="center" vertical="center"/>
    </xf>
    <xf borderId="6" fillId="2" fontId="6" numFmtId="0" xfId="0" applyAlignment="1" applyBorder="1" applyFont="1">
      <alignment horizontal="left" vertical="center"/>
    </xf>
    <xf borderId="6" fillId="2" fontId="13" numFmtId="0" xfId="0" applyAlignment="1" applyBorder="1" applyFont="1">
      <alignment horizontal="center" readingOrder="0" vertical="center"/>
    </xf>
    <xf borderId="5" fillId="2" fontId="6" numFmtId="0" xfId="0" applyAlignment="1" applyBorder="1" applyFont="1">
      <alignment horizontal="center" vertical="center"/>
    </xf>
    <xf borderId="5" fillId="2" fontId="6" numFmtId="0" xfId="0" applyAlignment="1" applyBorder="1" applyFont="1">
      <alignment vertical="center"/>
    </xf>
    <xf borderId="7" fillId="2" fontId="6" numFmtId="0" xfId="0" applyAlignment="1" applyBorder="1" applyFont="1">
      <alignment vertical="center"/>
    </xf>
    <xf borderId="0" fillId="2" fontId="6" numFmtId="0" xfId="0" applyAlignment="1" applyFont="1">
      <alignment horizontal="left" vertical="center"/>
    </xf>
    <xf borderId="6" fillId="2" fontId="17" numFmtId="0" xfId="0" applyAlignment="1" applyBorder="1" applyFont="1">
      <alignment horizontal="left" vertical="center"/>
    </xf>
    <xf borderId="2" fillId="2" fontId="17" numFmtId="0" xfId="0" applyAlignment="1" applyBorder="1" applyFont="1">
      <alignment horizontal="left" vertical="center"/>
    </xf>
    <xf borderId="0" fillId="2" fontId="23" numFmtId="0" xfId="0" applyAlignment="1" applyFont="1">
      <alignment vertical="center"/>
    </xf>
    <xf borderId="2" fillId="2" fontId="13" numFmtId="0" xfId="0" applyAlignment="1" applyBorder="1" applyFont="1">
      <alignment horizontal="center" readingOrder="0" shrinkToFit="0" wrapText="0"/>
    </xf>
    <xf borderId="7" fillId="2" fontId="13" numFmtId="0" xfId="0" applyAlignment="1" applyBorder="1" applyFont="1">
      <alignment horizontal="left" readingOrder="0" shrinkToFit="0" wrapText="0"/>
    </xf>
    <xf borderId="0" fillId="2" fontId="24" numFmtId="0" xfId="0" applyAlignment="1" applyFont="1">
      <alignment horizontal="center" readingOrder="0" vertical="center"/>
    </xf>
    <xf borderId="0" fillId="2" fontId="9" numFmtId="0" xfId="0" applyAlignment="1" applyFont="1">
      <alignment horizontal="center" readingOrder="0" vertical="center"/>
    </xf>
    <xf borderId="0" fillId="2" fontId="9" numFmtId="0" xfId="0" applyAlignment="1" applyFont="1">
      <alignment horizontal="left" readingOrder="0" vertical="center"/>
    </xf>
    <xf borderId="6" fillId="2" fontId="19" numFmtId="4" xfId="0" applyAlignment="1" applyBorder="1" applyFont="1" applyNumberFormat="1">
      <alignment horizontal="center" readingOrder="0" shrinkToFit="0" vertical="center" wrapText="0"/>
    </xf>
    <xf borderId="5" fillId="2" fontId="6" numFmtId="165" xfId="0" applyAlignment="1" applyBorder="1" applyFont="1" applyNumberFormat="1">
      <alignment horizontal="center" vertical="center"/>
    </xf>
    <xf borderId="6" fillId="2" fontId="13" numFmtId="0" xfId="0" applyAlignment="1" applyBorder="1" applyFont="1">
      <alignment horizontal="center" readingOrder="0" shrinkToFit="0" wrapText="0"/>
    </xf>
    <xf borderId="5" fillId="2" fontId="18" numFmtId="0" xfId="0" applyAlignment="1" applyBorder="1" applyFont="1">
      <alignment horizontal="left" readingOrder="0" shrinkToFit="0" wrapText="0"/>
    </xf>
    <xf borderId="7" fillId="2" fontId="18" numFmtId="0" xfId="0" applyAlignment="1" applyBorder="1" applyFont="1">
      <alignment horizontal="left" readingOrder="0" shrinkToFit="0" wrapText="0"/>
    </xf>
    <xf borderId="7" fillId="2" fontId="6" numFmtId="0" xfId="0" applyAlignment="1" applyBorder="1" applyFont="1">
      <alignment horizontal="center" vertical="center"/>
    </xf>
    <xf borderId="7" fillId="2" fontId="6" numFmtId="165" xfId="0" applyAlignment="1" applyBorder="1" applyFont="1" applyNumberFormat="1">
      <alignment horizontal="center" vertical="center"/>
    </xf>
    <xf borderId="5" fillId="2" fontId="6" numFmtId="0" xfId="0" applyAlignment="1" applyBorder="1" applyFont="1">
      <alignment vertical="center"/>
    </xf>
    <xf borderId="6" fillId="2" fontId="6" numFmtId="0" xfId="0" applyAlignment="1" applyBorder="1" applyFont="1">
      <alignment horizontal="left" readingOrder="0" vertical="center"/>
    </xf>
    <xf borderId="6" fillId="2" fontId="21" numFmtId="2" xfId="0" applyAlignment="1" applyBorder="1" applyFont="1" applyNumberFormat="1">
      <alignment horizontal="center" readingOrder="0" vertical="center"/>
    </xf>
    <xf borderId="5" fillId="2" fontId="6" numFmtId="49" xfId="0" applyAlignment="1" applyBorder="1" applyFont="1" applyNumberFormat="1">
      <alignment horizontal="center" readingOrder="0" vertical="center"/>
    </xf>
    <xf borderId="7" fillId="2" fontId="6" numFmtId="49" xfId="0" applyAlignment="1" applyBorder="1" applyFont="1" applyNumberFormat="1">
      <alignment horizontal="center" readingOrder="0" vertical="center"/>
    </xf>
    <xf borderId="0" fillId="2" fontId="1" numFmtId="3" xfId="0" applyAlignment="1" applyFont="1" applyNumberFormat="1">
      <alignment horizontal="center" vertical="center"/>
    </xf>
    <xf borderId="0" fillId="2" fontId="1" numFmtId="9" xfId="0" applyAlignment="1" applyFont="1" applyNumberFormat="1">
      <alignment horizontal="center" readingOrder="0" shrinkToFit="0" vertical="center" wrapText="1"/>
    </xf>
    <xf borderId="0" fillId="2" fontId="1" numFmtId="3" xfId="0" applyAlignment="1" applyFont="1" applyNumberFormat="1">
      <alignment horizontal="center" readingOrder="0" shrinkToFit="0" vertical="center" wrapText="1"/>
    </xf>
    <xf borderId="0" fillId="2" fontId="7" numFmtId="1" xfId="0" applyAlignment="1" applyFont="1" applyNumberFormat="1">
      <alignment horizontal="center" readingOrder="0" vertical="center"/>
    </xf>
    <xf borderId="0" fillId="2" fontId="13" numFmtId="3" xfId="0" applyAlignment="1" applyFont="1" applyNumberFormat="1">
      <alignment horizontal="center" vertical="center"/>
    </xf>
    <xf borderId="0" fillId="2" fontId="6" numFmtId="1" xfId="0" applyAlignment="1" applyFont="1" applyNumberFormat="1">
      <alignment horizontal="center" readingOrder="0" vertical="center"/>
    </xf>
    <xf borderId="0" fillId="2" fontId="11" numFmtId="4" xfId="0" applyAlignment="1" applyFont="1" applyNumberFormat="1">
      <alignment horizontal="center" readingOrder="0" vertical="center"/>
    </xf>
    <xf borderId="0" fillId="2" fontId="13" numFmtId="10" xfId="0" applyAlignment="1" applyFont="1" applyNumberFormat="1">
      <alignment horizontal="center" readingOrder="0" vertical="center"/>
    </xf>
    <xf borderId="0" fillId="2" fontId="13" numFmtId="3" xfId="0" applyAlignment="1" applyFont="1" applyNumberFormat="1">
      <alignment horizontal="center" readingOrder="0" vertical="center"/>
    </xf>
    <xf borderId="0" fillId="2" fontId="13" numFmtId="166" xfId="0" applyAlignment="1" applyFont="1" applyNumberFormat="1">
      <alignment horizontal="center" readingOrder="0" vertical="center"/>
    </xf>
    <xf borderId="6" fillId="2" fontId="6" numFmtId="49" xfId="0" applyAlignment="1" applyBorder="1" applyFont="1" applyNumberFormat="1">
      <alignment horizontal="center" vertical="center"/>
    </xf>
    <xf borderId="5" fillId="2" fontId="6" numFmtId="49" xfId="0" applyAlignment="1" applyBorder="1" applyFont="1" applyNumberFormat="1">
      <alignment horizontal="center" vertical="center"/>
    </xf>
    <xf borderId="0" fillId="3" fontId="13" numFmtId="164" xfId="0" applyAlignment="1" applyFill="1" applyFont="1" applyNumberFormat="1">
      <alignment horizontal="center" readingOrder="0" vertical="center"/>
    </xf>
    <xf borderId="2" fillId="2" fontId="6" numFmtId="49" xfId="0" applyAlignment="1" applyBorder="1" applyFont="1" applyNumberFormat="1">
      <alignment horizontal="center" vertical="center"/>
    </xf>
    <xf borderId="7" fillId="2" fontId="6" numFmtId="49" xfId="0" applyAlignment="1" applyBorder="1" applyFont="1" applyNumberFormat="1">
      <alignment horizontal="center" vertical="center"/>
    </xf>
    <xf borderId="3" fillId="2" fontId="6" numFmtId="0" xfId="0" applyAlignment="1" applyBorder="1" applyFont="1">
      <alignment horizontal="center" readingOrder="0" vertical="center"/>
    </xf>
    <xf borderId="2" fillId="2" fontId="6" numFmtId="0" xfId="0" applyAlignment="1" applyBorder="1" applyFont="1">
      <alignment horizontal="center" vertical="center"/>
    </xf>
    <xf borderId="2" fillId="2" fontId="6" numFmtId="0" xfId="0" applyAlignment="1" applyBorder="1" applyFont="1">
      <alignment horizontal="center" readingOrder="0" vertical="center"/>
    </xf>
    <xf borderId="7" fillId="2" fontId="6" numFmtId="0" xfId="0" applyAlignment="1" applyBorder="1" applyFont="1">
      <alignment horizontal="center" readingOrder="0" vertical="center"/>
    </xf>
    <xf borderId="7" fillId="2" fontId="6" numFmtId="0" xfId="0" applyAlignment="1" applyBorder="1" applyFont="1">
      <alignment readingOrder="0" vertical="center"/>
    </xf>
    <xf borderId="0" fillId="0" fontId="18" numFmtId="0" xfId="0" applyAlignment="1" applyFont="1">
      <alignment shrinkToFit="0" vertical="center" wrapText="0"/>
    </xf>
    <xf borderId="0" fillId="0" fontId="18" numFmtId="0" xfId="0" applyAlignment="1" applyFont="1">
      <alignment horizontal="center" shrinkToFit="0" vertical="center" wrapText="0"/>
    </xf>
    <xf borderId="0" fillId="0" fontId="18" numFmtId="0" xfId="0" applyAlignment="1" applyFont="1">
      <alignment horizontal="center" readingOrder="0" shrinkToFit="0" vertical="center" wrapText="0"/>
    </xf>
    <xf borderId="0" fillId="0" fontId="18" numFmtId="0" xfId="0" applyAlignment="1" applyFont="1">
      <alignment readingOrder="0" shrinkToFit="0" vertical="center" wrapText="0"/>
    </xf>
    <xf borderId="1" fillId="0" fontId="18" numFmtId="0" xfId="0" applyAlignment="1" applyBorder="1" applyFont="1">
      <alignment horizontal="center" readingOrder="0" shrinkToFit="0" vertical="center" wrapText="0"/>
    </xf>
    <xf borderId="8" fillId="0" fontId="18" numFmtId="0" xfId="0" applyAlignment="1" applyBorder="1" applyFont="1">
      <alignment horizontal="center" readingOrder="0" shrinkToFit="0" vertical="center" wrapText="0"/>
    </xf>
    <xf borderId="5" fillId="4" fontId="18" numFmtId="4" xfId="0" applyAlignment="1" applyBorder="1" applyFill="1" applyFont="1" applyNumberFormat="1">
      <alignment horizontal="center" readingOrder="0" shrinkToFit="0" vertical="center" wrapText="0"/>
    </xf>
    <xf borderId="9" fillId="0" fontId="18" numFmtId="0" xfId="0" applyAlignment="1" applyBorder="1" applyFont="1">
      <alignment horizontal="center" readingOrder="0" shrinkToFit="0" vertical="center" wrapText="0"/>
    </xf>
    <xf borderId="7" fillId="0" fontId="18" numFmtId="0" xfId="0" applyAlignment="1" applyBorder="1" applyFont="1">
      <alignment horizontal="center" readingOrder="0" shrinkToFit="0" vertical="center" wrapText="0"/>
    </xf>
    <xf borderId="7" fillId="4" fontId="18" numFmtId="4" xfId="0" applyAlignment="1" applyBorder="1" applyFont="1" applyNumberFormat="1">
      <alignment horizontal="center" readingOrder="0" shrinkToFit="0" vertical="center" wrapText="0"/>
    </xf>
    <xf borderId="4" fillId="0" fontId="18" numFmtId="0" xfId="0" applyAlignment="1" applyBorder="1" applyFont="1">
      <alignment readingOrder="0" shrinkToFit="0" vertical="center" wrapText="0"/>
    </xf>
    <xf borderId="10" fillId="0" fontId="18" numFmtId="0" xfId="0" applyAlignment="1" applyBorder="1" applyFont="1">
      <alignment horizontal="center" readingOrder="0" shrinkToFit="0" vertical="center" wrapText="0"/>
    </xf>
    <xf borderId="11" fillId="0" fontId="18" numFmtId="0" xfId="0" applyAlignment="1" applyBorder="1" applyFont="1">
      <alignment horizontal="center" readingOrder="0" shrinkToFit="0" vertical="center" wrapText="0"/>
    </xf>
    <xf borderId="12" fillId="0" fontId="18" numFmtId="0" xfId="0" applyAlignment="1" applyBorder="1" applyFont="1">
      <alignment horizontal="left" readingOrder="0" shrinkToFit="0" vertical="center" wrapText="0"/>
    </xf>
    <xf borderId="13" fillId="0" fontId="18" numFmtId="0" xfId="0" applyAlignment="1" applyBorder="1" applyFont="1">
      <alignment horizontal="center" readingOrder="0" shrinkToFit="0" vertical="center" wrapText="0"/>
    </xf>
    <xf borderId="8" fillId="0" fontId="18" numFmtId="0" xfId="0" applyAlignment="1" applyBorder="1" applyFont="1">
      <alignment horizontal="center" shrinkToFit="0" vertical="center" wrapText="0"/>
    </xf>
    <xf borderId="12" fillId="0" fontId="12" numFmtId="0" xfId="0" applyBorder="1" applyFont="1"/>
    <xf borderId="7" fillId="0" fontId="18" numFmtId="0" xfId="0" applyAlignment="1" applyBorder="1" applyFont="1">
      <alignment horizontal="center" shrinkToFit="0" vertical="center" wrapText="0"/>
    </xf>
    <xf borderId="12" fillId="0" fontId="18" numFmtId="0" xfId="0" applyAlignment="1" applyBorder="1" applyFont="1">
      <alignment horizontal="center" readingOrder="0" shrinkToFit="0" vertical="center" wrapText="0"/>
    </xf>
    <xf borderId="6" fillId="0" fontId="18" numFmtId="0" xfId="0" applyAlignment="1" applyBorder="1" applyFont="1">
      <alignment horizontal="center" shrinkToFit="0" vertical="center" wrapText="0"/>
    </xf>
    <xf borderId="12" fillId="0" fontId="18" numFmtId="0" xfId="0" applyAlignment="1" applyBorder="1" applyFont="1">
      <alignment readingOrder="0" shrinkToFit="0" vertical="center" wrapText="0"/>
    </xf>
    <xf borderId="6" fillId="0" fontId="18" numFmtId="0" xfId="0" applyAlignment="1" applyBorder="1" applyFont="1">
      <alignment horizontal="center" readingOrder="0" shrinkToFit="0" vertical="center" wrapText="0"/>
    </xf>
    <xf borderId="9" fillId="0" fontId="12" numFmtId="0" xfId="0" applyBorder="1" applyFont="1"/>
    <xf borderId="11" fillId="0" fontId="12" numFmtId="0" xfId="0" applyBorder="1" applyFont="1"/>
    <xf borderId="14" fillId="0" fontId="18" numFmtId="0" xfId="0" applyAlignment="1" applyBorder="1" applyFont="1">
      <alignment horizontal="center" readingOrder="0" shrinkToFit="0" vertical="center" wrapText="0"/>
    </xf>
    <xf borderId="3" fillId="0" fontId="18" numFmtId="0" xfId="0" applyAlignment="1" applyBorder="1" applyFont="1">
      <alignment readingOrder="0" shrinkToFit="0" vertical="center" wrapText="0"/>
    </xf>
    <xf borderId="7" fillId="0" fontId="12" numFmtId="0" xfId="0" applyBorder="1" applyFont="1"/>
    <xf borderId="6" fillId="2" fontId="10" numFmtId="2" xfId="0" applyAlignment="1" applyBorder="1" applyFont="1" applyNumberFormat="1">
      <alignment horizontal="center" vertical="center"/>
    </xf>
    <xf borderId="11" fillId="0" fontId="18" numFmtId="0" xfId="0" applyAlignment="1" applyBorder="1" applyFont="1">
      <alignment readingOrder="0" shrinkToFit="0" vertical="center" wrapText="0"/>
    </xf>
    <xf borderId="3" fillId="0" fontId="18" numFmtId="0" xfId="0" applyAlignment="1" applyBorder="1" applyFont="1">
      <alignment horizontal="center" readingOrder="0" shrinkToFit="0" vertical="center" wrapText="0"/>
    </xf>
    <xf borderId="6" fillId="2" fontId="11" numFmtId="2" xfId="0" applyAlignment="1" applyBorder="1" applyFont="1" applyNumberFormat="1">
      <alignment horizontal="center" vertical="center"/>
    </xf>
    <xf borderId="6" fillId="0" fontId="25" numFmtId="0" xfId="0" applyAlignment="1" applyBorder="1" applyFont="1">
      <alignment readingOrder="0" vertical="center"/>
    </xf>
    <xf borderId="6" fillId="0" fontId="25" numFmtId="0" xfId="0" applyAlignment="1" applyBorder="1" applyFont="1">
      <alignment horizontal="center" readingOrder="0" vertical="center"/>
    </xf>
    <xf borderId="4" fillId="0" fontId="25" numFmtId="0" xfId="0" applyAlignment="1" applyBorder="1" applyFont="1">
      <alignment readingOrder="0" vertical="center"/>
    </xf>
    <xf borderId="0" fillId="2" fontId="13" numFmtId="0" xfId="0" applyAlignment="1" applyFont="1">
      <alignment horizontal="center" readingOrder="0" vertical="center"/>
    </xf>
    <xf borderId="2" fillId="5" fontId="18" numFmtId="0" xfId="0" applyAlignment="1" applyBorder="1" applyFill="1" applyFont="1">
      <alignment readingOrder="0" shrinkToFit="0" vertical="center" wrapText="0"/>
    </xf>
    <xf borderId="7" fillId="5" fontId="18" numFmtId="0" xfId="0" applyAlignment="1" applyBorder="1" applyFont="1">
      <alignment readingOrder="0" shrinkToFit="0" vertical="center" wrapText="0"/>
    </xf>
    <xf borderId="7" fillId="5" fontId="18" numFmtId="0" xfId="0" applyAlignment="1" applyBorder="1" applyFont="1">
      <alignment horizontal="right" readingOrder="0" shrinkToFit="0" vertical="center" wrapText="0"/>
    </xf>
    <xf borderId="15" fillId="5" fontId="18" numFmtId="0" xfId="0" applyAlignment="1" applyBorder="1" applyFont="1">
      <alignment horizontal="right" readingOrder="0" shrinkToFit="0" vertical="center" wrapText="0"/>
    </xf>
    <xf borderId="1" fillId="5" fontId="18" numFmtId="0" xfId="0" applyAlignment="1" applyBorder="1" applyFont="1">
      <alignment horizontal="center" readingOrder="0" shrinkToFit="0" vertical="center" wrapText="0"/>
    </xf>
    <xf borderId="6" fillId="5" fontId="18" numFmtId="0" xfId="0" applyAlignment="1" applyBorder="1" applyFont="1">
      <alignment readingOrder="0" shrinkToFit="0" vertical="center" wrapText="0"/>
    </xf>
    <xf borderId="6" fillId="5" fontId="18" numFmtId="0" xfId="0" applyAlignment="1" applyBorder="1" applyFont="1">
      <alignment horizontal="right" readingOrder="0" shrinkToFit="0" vertical="center" wrapText="0"/>
    </xf>
    <xf borderId="6" fillId="6" fontId="18" numFmtId="0" xfId="0" applyAlignment="1" applyBorder="1" applyFill="1" applyFont="1">
      <alignment readingOrder="0" shrinkToFit="0" vertical="center" wrapText="0"/>
    </xf>
    <xf borderId="6" fillId="6" fontId="18" numFmtId="0" xfId="0" applyAlignment="1" applyBorder="1" applyFont="1">
      <alignment horizontal="right" readingOrder="0" shrinkToFit="0" vertical="center" wrapText="0"/>
    </xf>
    <xf borderId="15" fillId="6" fontId="18" numFmtId="0" xfId="0" applyAlignment="1" applyBorder="1" applyFont="1">
      <alignment horizontal="right" readingOrder="0" shrinkToFit="0" vertical="center" wrapText="0"/>
    </xf>
    <xf borderId="1" fillId="6" fontId="18" numFmtId="0" xfId="0" applyAlignment="1" applyBorder="1" applyFont="1">
      <alignment horizontal="center" readingOrder="0" shrinkToFit="0" vertical="center" wrapText="0"/>
    </xf>
    <xf borderId="6" fillId="7" fontId="18" numFmtId="0" xfId="0" applyAlignment="1" applyBorder="1" applyFill="1" applyFont="1">
      <alignment readingOrder="0" shrinkToFit="0" vertical="center" wrapText="0"/>
    </xf>
    <xf borderId="6" fillId="7" fontId="18" numFmtId="0" xfId="0" applyAlignment="1" applyBorder="1" applyFont="1">
      <alignment horizontal="right" readingOrder="0" shrinkToFit="0" vertical="center" wrapText="0"/>
    </xf>
    <xf borderId="15" fillId="7" fontId="18" numFmtId="0" xfId="0" applyAlignment="1" applyBorder="1" applyFont="1">
      <alignment horizontal="right" readingOrder="0" shrinkToFit="0" vertical="center" wrapText="0"/>
    </xf>
    <xf borderId="1" fillId="7" fontId="18" numFmtId="0" xfId="0" applyAlignment="1" applyBorder="1" applyFont="1">
      <alignment horizontal="center" readingOrder="0" shrinkToFit="0" vertical="center" wrapText="0"/>
    </xf>
    <xf borderId="6" fillId="8" fontId="18" numFmtId="0" xfId="0" applyAlignment="1" applyBorder="1" applyFill="1" applyFont="1">
      <alignment readingOrder="0" shrinkToFit="0" vertical="center" wrapText="0"/>
    </xf>
    <xf borderId="0" fillId="2" fontId="13" numFmtId="2" xfId="0" applyAlignment="1" applyFont="1" applyNumberFormat="1">
      <alignment horizontal="center" readingOrder="0" vertical="center"/>
    </xf>
    <xf borderId="6" fillId="8" fontId="18" numFmtId="0" xfId="0" applyAlignment="1" applyBorder="1" applyFont="1">
      <alignment horizontal="right" readingOrder="0" shrinkToFit="0" vertical="center" wrapText="0"/>
    </xf>
    <xf borderId="15" fillId="8" fontId="18" numFmtId="0" xfId="0" applyAlignment="1" applyBorder="1" applyFont="1">
      <alignment horizontal="right" readingOrder="0" shrinkToFit="0" vertical="center" wrapText="0"/>
    </xf>
    <xf borderId="1" fillId="8" fontId="18" numFmtId="0" xfId="0" applyAlignment="1" applyBorder="1" applyFont="1">
      <alignment horizontal="center" readingOrder="0" shrinkToFit="0" vertical="center" wrapText="0"/>
    </xf>
    <xf borderId="6" fillId="9" fontId="18" numFmtId="0" xfId="0" applyAlignment="1" applyBorder="1" applyFill="1" applyFont="1">
      <alignment readingOrder="0" shrinkToFit="0" vertical="center" wrapText="0"/>
    </xf>
    <xf borderId="6" fillId="9" fontId="18" numFmtId="0" xfId="0" applyAlignment="1" applyBorder="1" applyFont="1">
      <alignment horizontal="right" readingOrder="0" shrinkToFit="0" vertical="center" wrapText="0"/>
    </xf>
    <xf borderId="15" fillId="9" fontId="18" numFmtId="0" xfId="0" applyAlignment="1" applyBorder="1" applyFont="1">
      <alignment horizontal="right" readingOrder="0" shrinkToFit="0" vertical="center" wrapText="0"/>
    </xf>
    <xf borderId="1" fillId="9" fontId="18" numFmtId="0" xfId="0" applyAlignment="1" applyBorder="1" applyFont="1">
      <alignment horizontal="center" readingOrder="0" shrinkToFit="0" vertical="center" wrapText="0"/>
    </xf>
    <xf borderId="6" fillId="2" fontId="14" numFmtId="49" xfId="0" applyAlignment="1" applyBorder="1" applyFont="1" applyNumberFormat="1">
      <alignment horizontal="center" vertical="center"/>
    </xf>
    <xf borderId="0" fillId="2" fontId="2" numFmtId="0" xfId="0" applyAlignment="1" applyFont="1">
      <alignment horizontal="center" readingOrder="0" vertical="center"/>
    </xf>
    <xf borderId="0" fillId="0" fontId="1" numFmtId="164" xfId="0" applyAlignment="1" applyFont="1" applyNumberFormat="1">
      <alignment horizontal="left" readingOrder="0" vertical="center"/>
    </xf>
    <xf borderId="6" fillId="2" fontId="9" numFmtId="0" xfId="0" applyAlignment="1" applyBorder="1" applyFont="1">
      <alignment horizontal="center" readingOrder="0" vertical="center"/>
    </xf>
    <xf borderId="6" fillId="2" fontId="9" numFmtId="0" xfId="0" applyAlignment="1" applyBorder="1" applyFont="1">
      <alignment horizontal="left" readingOrder="0" vertical="center"/>
    </xf>
    <xf borderId="6" fillId="10" fontId="18" numFmtId="0" xfId="0" applyAlignment="1" applyBorder="1" applyFill="1" applyFont="1">
      <alignment readingOrder="0" shrinkToFit="0" vertical="center" wrapText="0"/>
    </xf>
    <xf borderId="6" fillId="3" fontId="26" numFmtId="164" xfId="0" applyAlignment="1" applyBorder="1" applyFont="1" applyNumberFormat="1">
      <alignment horizontal="center" readingOrder="0" vertical="center"/>
    </xf>
    <xf borderId="6" fillId="10" fontId="18" numFmtId="0" xfId="0" applyAlignment="1" applyBorder="1" applyFont="1">
      <alignment horizontal="right" readingOrder="0" shrinkToFit="0" vertical="center" wrapText="0"/>
    </xf>
    <xf borderId="15" fillId="10" fontId="18" numFmtId="0" xfId="0" applyAlignment="1" applyBorder="1" applyFont="1">
      <alignment horizontal="right" readingOrder="0" shrinkToFit="0" vertical="center" wrapText="0"/>
    </xf>
    <xf borderId="1" fillId="10" fontId="18" numFmtId="0" xfId="0" applyAlignment="1" applyBorder="1" applyFont="1">
      <alignment horizontal="center" readingOrder="0" shrinkToFit="0" vertical="center" wrapText="0"/>
    </xf>
    <xf borderId="0" fillId="2" fontId="13" numFmtId="1" xfId="0" applyAlignment="1" applyFont="1" applyNumberFormat="1">
      <alignment horizontal="center" readingOrder="0" vertical="center"/>
    </xf>
    <xf borderId="6" fillId="3" fontId="26" numFmtId="164" xfId="0" applyAlignment="1" applyBorder="1" applyFont="1" applyNumberFormat="1">
      <alignment horizontal="center" vertical="center"/>
    </xf>
    <xf borderId="2" fillId="2" fontId="14" numFmtId="49" xfId="0" applyAlignment="1" applyBorder="1" applyFont="1" applyNumberFormat="1">
      <alignment horizontal="center" vertical="center"/>
    </xf>
    <xf borderId="6" fillId="11" fontId="18" numFmtId="0" xfId="0" applyAlignment="1" applyBorder="1" applyFill="1" applyFont="1">
      <alignment readingOrder="0" shrinkToFit="0" vertical="center" wrapText="0"/>
    </xf>
    <xf borderId="6" fillId="11" fontId="18" numFmtId="0" xfId="0" applyAlignment="1" applyBorder="1" applyFont="1">
      <alignment horizontal="right" readingOrder="0" shrinkToFit="0" vertical="center" wrapText="0"/>
    </xf>
    <xf borderId="15" fillId="11" fontId="18" numFmtId="0" xfId="0" applyAlignment="1" applyBorder="1" applyFont="1">
      <alignment horizontal="right" readingOrder="0" shrinkToFit="0" vertical="center" wrapText="0"/>
    </xf>
    <xf borderId="1" fillId="11" fontId="18" numFmtId="0" xfId="0" applyAlignment="1" applyBorder="1" applyFont="1">
      <alignment horizontal="center" readingOrder="0" shrinkToFit="0" vertical="center" wrapText="0"/>
    </xf>
    <xf borderId="6" fillId="12" fontId="18" numFmtId="0" xfId="0" applyAlignment="1" applyBorder="1" applyFill="1" applyFont="1">
      <alignment readingOrder="0" shrinkToFit="0" vertical="center" wrapText="0"/>
    </xf>
    <xf borderId="6" fillId="12" fontId="18" numFmtId="0" xfId="0" applyAlignment="1" applyBorder="1" applyFont="1">
      <alignment horizontal="right" readingOrder="0" shrinkToFit="0" vertical="center" wrapText="0"/>
    </xf>
    <xf borderId="15" fillId="12" fontId="18" numFmtId="0" xfId="0" applyAlignment="1" applyBorder="1" applyFont="1">
      <alignment horizontal="right" readingOrder="0" shrinkToFit="0" vertical="center" wrapText="0"/>
    </xf>
    <xf borderId="1" fillId="12" fontId="18" numFmtId="0" xfId="0" applyAlignment="1" applyBorder="1" applyFont="1">
      <alignment horizontal="center" readingOrder="0" shrinkToFit="0" vertical="center" wrapText="0"/>
    </xf>
    <xf borderId="6" fillId="0" fontId="18" numFmtId="0" xfId="0" applyAlignment="1" applyBorder="1" applyFont="1">
      <alignment readingOrder="0" shrinkToFit="0" vertical="center" wrapText="0"/>
    </xf>
    <xf borderId="6" fillId="0" fontId="18" numFmtId="0" xfId="0" applyAlignment="1" applyBorder="1" applyFont="1">
      <alignment horizontal="right" readingOrder="0" shrinkToFit="0" vertical="center" wrapText="0"/>
    </xf>
    <xf borderId="15" fillId="0" fontId="18" numFmtId="0" xfId="0" applyAlignment="1" applyBorder="1" applyFont="1">
      <alignment horizontal="right" readingOrder="0" shrinkToFit="0" vertical="center" wrapText="0"/>
    </xf>
    <xf borderId="3" fillId="2" fontId="16" numFmtId="0" xfId="0" applyAlignment="1" applyBorder="1" applyFont="1">
      <alignment horizontal="center" vertical="center"/>
    </xf>
    <xf borderId="0" fillId="3" fontId="26" numFmtId="164" xfId="0" applyAlignment="1" applyFont="1" applyNumberFormat="1">
      <alignment horizontal="center" vertical="center"/>
    </xf>
    <xf borderId="3" fillId="2" fontId="16" numFmtId="2" xfId="0" applyAlignment="1" applyBorder="1" applyFont="1" applyNumberFormat="1">
      <alignment horizontal="center" vertical="center"/>
    </xf>
    <xf borderId="6" fillId="2" fontId="16" numFmtId="2" xfId="0" applyAlignment="1" applyBorder="1" applyFont="1" applyNumberFormat="1">
      <alignment horizontal="center" vertical="center"/>
    </xf>
    <xf borderId="0" fillId="2" fontId="16" numFmtId="2" xfId="0" applyAlignment="1" applyFont="1" applyNumberFormat="1">
      <alignment horizontal="center" vertical="center"/>
    </xf>
    <xf borderId="0" fillId="0" fontId="1" numFmtId="0" xfId="0" applyAlignment="1" applyFont="1">
      <alignment vertical="center"/>
    </xf>
    <xf borderId="0" fillId="2" fontId="1" numFmtId="0" xfId="0" applyAlignment="1" applyFont="1">
      <alignment vertical="center"/>
    </xf>
    <xf borderId="0" fillId="2" fontId="5" numFmtId="9" xfId="0" applyAlignment="1" applyFont="1" applyNumberFormat="1">
      <alignment horizontal="center" readingOrder="0" vertical="center"/>
    </xf>
    <xf borderId="0" fillId="0" fontId="5" numFmtId="1" xfId="0" applyAlignment="1" applyFont="1" applyNumberFormat="1">
      <alignment horizontal="center" readingOrder="0" vertical="center"/>
    </xf>
    <xf borderId="1" fillId="0" fontId="6"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2" fontId="6" numFmtId="1" xfId="0" applyAlignment="1" applyBorder="1" applyFont="1" applyNumberFormat="1">
      <alignment horizontal="center" readingOrder="0" shrinkToFit="0" vertical="center" wrapText="1"/>
    </xf>
    <xf borderId="3" fillId="0" fontId="16" numFmtId="0" xfId="0" applyAlignment="1" applyBorder="1" applyFont="1">
      <alignment horizontal="center" readingOrder="0" vertical="center"/>
    </xf>
    <xf borderId="0" fillId="2" fontId="5" numFmtId="0" xfId="0" applyAlignment="1" applyFont="1">
      <alignment horizontal="center" vertical="center"/>
    </xf>
    <xf borderId="0" fillId="0" fontId="5" numFmtId="1" xfId="0" applyAlignment="1" applyFont="1" applyNumberFormat="1">
      <alignment horizontal="center" vertical="center"/>
    </xf>
    <xf borderId="0" fillId="0" fontId="6" numFmtId="0" xfId="0" applyAlignment="1" applyFont="1">
      <alignment vertical="center"/>
    </xf>
    <xf borderId="6" fillId="0" fontId="6" numFmtId="0" xfId="0" applyAlignment="1" applyBorder="1" applyFont="1">
      <alignment horizontal="center" vertical="center"/>
    </xf>
    <xf borderId="6" fillId="2" fontId="6" numFmtId="2" xfId="0" applyAlignment="1" applyBorder="1" applyFont="1" applyNumberFormat="1">
      <alignment horizontal="left" vertical="center"/>
    </xf>
    <xf borderId="6" fillId="0" fontId="10" numFmtId="4" xfId="0" applyAlignment="1" applyBorder="1" applyFont="1" applyNumberFormat="1">
      <alignment horizontal="center" readingOrder="0" vertical="center"/>
    </xf>
    <xf borderId="0" fillId="0" fontId="13" numFmtId="1" xfId="0" applyAlignment="1" applyFont="1" applyNumberFormat="1">
      <alignment horizontal="center" vertical="center"/>
    </xf>
    <xf borderId="6" fillId="0" fontId="11" numFmtId="4" xfId="0" applyAlignment="1" applyBorder="1" applyFont="1" applyNumberFormat="1">
      <alignment horizontal="center" readingOrder="0" vertical="center"/>
    </xf>
    <xf borderId="2" fillId="0" fontId="10" numFmtId="4" xfId="0" applyAlignment="1" applyBorder="1" applyFont="1" applyNumberFormat="1">
      <alignment horizontal="center" readingOrder="0" vertical="center"/>
    </xf>
    <xf borderId="2" fillId="0" fontId="11" numFmtId="4" xfId="0" applyAlignment="1" applyBorder="1" applyFont="1" applyNumberFormat="1">
      <alignment horizontal="center" readingOrder="0" vertical="center"/>
    </xf>
    <xf borderId="2" fillId="0" fontId="10" numFmtId="4" xfId="0" applyAlignment="1" applyBorder="1" applyFont="1" applyNumberFormat="1">
      <alignment horizontal="center" vertical="center"/>
    </xf>
    <xf borderId="2" fillId="0" fontId="11" numFmtId="4" xfId="0" applyAlignment="1" applyBorder="1" applyFont="1" applyNumberFormat="1">
      <alignment horizontal="center" vertical="center"/>
    </xf>
    <xf borderId="3" fillId="0" fontId="16" numFmtId="0" xfId="0" applyAlignment="1" applyBorder="1" applyFont="1">
      <alignment horizontal="center" vertical="center"/>
    </xf>
    <xf borderId="6" fillId="0" fontId="16" numFmtId="4" xfId="0" applyAlignment="1" applyBorder="1" applyFont="1" applyNumberFormat="1">
      <alignment horizontal="center" vertical="center"/>
    </xf>
    <xf borderId="0" fillId="2" fontId="5" numFmtId="164" xfId="0" applyAlignment="1" applyFont="1" applyNumberFormat="1">
      <alignment horizontal="center" vertical="center"/>
    </xf>
    <xf borderId="0" fillId="0" fontId="16" numFmtId="0" xfId="0" applyAlignment="1" applyFont="1">
      <alignment horizontal="center" vertical="center"/>
    </xf>
    <xf borderId="2" fillId="0" fontId="13" numFmtId="0" xfId="0" applyAlignment="1" applyBorder="1" applyFont="1">
      <alignment horizontal="center" readingOrder="0" shrinkToFit="0" wrapText="0"/>
    </xf>
    <xf borderId="0" fillId="2" fontId="7" numFmtId="164" xfId="0" applyAlignment="1" applyFont="1" applyNumberFormat="1">
      <alignment horizontal="center" vertical="center"/>
    </xf>
    <xf borderId="13" fillId="0" fontId="27" numFmtId="0" xfId="0" applyAlignment="1" applyBorder="1" applyFont="1">
      <alignment horizontal="center" readingOrder="0" shrinkToFit="0" wrapText="0"/>
    </xf>
    <xf borderId="10" fillId="0" fontId="12" numFmtId="0" xfId="0" applyBorder="1" applyFont="1"/>
    <xf borderId="8" fillId="0" fontId="12" numFmtId="0" xfId="0" applyBorder="1" applyFont="1"/>
    <xf borderId="4" fillId="0" fontId="16" numFmtId="0" xfId="0" applyAlignment="1" applyBorder="1" applyFont="1">
      <alignment horizontal="center" readingOrder="0" shrinkToFit="0" vertical="center" wrapText="1"/>
    </xf>
    <xf borderId="12" fillId="0" fontId="16" numFmtId="0" xfId="0" applyAlignment="1" applyBorder="1" applyFont="1">
      <alignment horizontal="center" readingOrder="0" shrinkToFit="0" vertical="center" wrapText="1"/>
    </xf>
    <xf borderId="15" fillId="0" fontId="12" numFmtId="0" xfId="0" applyBorder="1" applyFont="1"/>
    <xf borderId="5" fillId="2" fontId="6" numFmtId="2" xfId="0" applyAlignment="1" applyBorder="1" applyFont="1" applyNumberFormat="1">
      <alignment vertical="center"/>
    </xf>
    <xf borderId="2" fillId="0" fontId="6" numFmtId="0" xfId="0" applyAlignment="1" applyBorder="1" applyFont="1">
      <alignment horizontal="center" vertical="center"/>
    </xf>
    <xf borderId="7" fillId="2" fontId="6" numFmtId="2" xfId="0" applyAlignment="1" applyBorder="1" applyFont="1" applyNumberFormat="1">
      <alignment vertical="center"/>
    </xf>
    <xf borderId="2" fillId="0" fontId="6" numFmtId="0" xfId="0" applyAlignment="1" applyBorder="1" applyFont="1">
      <alignment horizontal="center" vertical="center"/>
    </xf>
    <xf borderId="3" fillId="0" fontId="28" numFmtId="0" xfId="0" applyAlignment="1" applyBorder="1" applyFont="1">
      <alignment horizontal="center" readingOrder="0" vertical="center"/>
    </xf>
    <xf borderId="6" fillId="0" fontId="6" numFmtId="0" xfId="0" applyAlignment="1" applyBorder="1" applyFont="1">
      <alignment horizontal="center" readingOrder="0" vertical="center"/>
    </xf>
    <xf borderId="0" fillId="2" fontId="5" numFmtId="2" xfId="0" applyAlignment="1" applyFont="1" applyNumberFormat="1">
      <alignment vertical="center"/>
    </xf>
    <xf borderId="6" fillId="0" fontId="13" numFmtId="0" xfId="0" applyAlignment="1" applyBorder="1" applyFont="1">
      <alignment horizontal="center" readingOrder="0" shrinkToFit="0" wrapText="0"/>
    </xf>
    <xf borderId="5" fillId="2" fontId="13" numFmtId="0" xfId="0" applyAlignment="1" applyBorder="1" applyFont="1">
      <alignment horizontal="left" readingOrder="0" shrinkToFit="0" wrapText="0"/>
    </xf>
    <xf borderId="3" fillId="0" fontId="16" numFmtId="0" xfId="0" applyAlignment="1" applyBorder="1" applyFont="1">
      <alignment horizontal="center" readingOrder="0" shrinkToFit="0" vertical="center" wrapText="1"/>
    </xf>
    <xf borderId="5" fillId="2" fontId="13" numFmtId="4" xfId="0" applyAlignment="1" applyBorder="1" applyFont="1" applyNumberFormat="1">
      <alignment readingOrder="0" shrinkToFit="0" wrapText="0"/>
    </xf>
    <xf borderId="7" fillId="2" fontId="13" numFmtId="4" xfId="0" applyAlignment="1" applyBorder="1" applyFont="1" applyNumberFormat="1">
      <alignment readingOrder="0" shrinkToFit="0" wrapText="0"/>
    </xf>
    <xf borderId="0" fillId="2" fontId="6" numFmtId="2" xfId="0" applyAlignment="1" applyFont="1" applyNumberFormat="1">
      <alignment horizontal="center" readingOrder="0" vertical="center"/>
    </xf>
    <xf borderId="6" fillId="2" fontId="6" numFmtId="0" xfId="0" applyAlignment="1" applyBorder="1" applyFont="1">
      <alignment vertical="center"/>
    </xf>
    <xf borderId="2" fillId="2" fontId="6" numFmtId="0" xfId="0" applyAlignment="1" applyBorder="1" applyFont="1">
      <alignment vertical="center"/>
    </xf>
    <xf borderId="12" fillId="2" fontId="6" numFmtId="0" xfId="0" applyAlignment="1" applyBorder="1" applyFont="1">
      <alignment horizontal="center" vertical="center"/>
    </xf>
    <xf borderId="12" fillId="2" fontId="6" numFmtId="0" xfId="0" applyAlignment="1" applyBorder="1" applyFont="1">
      <alignment horizontal="center" vertical="center"/>
    </xf>
    <xf borderId="1" fillId="2" fontId="21" numFmtId="2" xfId="0" applyAlignment="1" applyBorder="1" applyFont="1" applyNumberFormat="1">
      <alignment horizontal="center" vertical="center"/>
    </xf>
    <xf borderId="10" fillId="2" fontId="16" numFmtId="4" xfId="0" applyAlignment="1" applyBorder="1" applyFont="1" applyNumberFormat="1">
      <alignment horizontal="center" vertical="center"/>
    </xf>
    <xf borderId="6" fillId="2" fontId="16" numFmtId="4" xfId="0" applyAlignment="1" applyBorder="1" applyFont="1" applyNumberFormat="1">
      <alignment horizontal="center" vertical="center"/>
    </xf>
    <xf borderId="0" fillId="0" fontId="1" numFmtId="164" xfId="0" applyAlignment="1" applyFont="1" applyNumberFormat="1">
      <alignment horizontal="center" readingOrder="0" vertical="center"/>
    </xf>
    <xf borderId="0" fillId="2" fontId="29" numFmtId="2" xfId="0" applyAlignment="1" applyFont="1" applyNumberFormat="1">
      <alignment horizontal="center" vertical="center"/>
    </xf>
    <xf borderId="0" fillId="0" fontId="29" numFmtId="164" xfId="0" applyAlignment="1" applyFont="1" applyNumberFormat="1">
      <alignment vertical="center"/>
    </xf>
    <xf borderId="0" fillId="2" fontId="26" numFmtId="164" xfId="0" applyAlignment="1" applyFont="1" applyNumberFormat="1">
      <alignment horizontal="center" vertical="center"/>
    </xf>
    <xf borderId="11" fillId="2" fontId="16" numFmtId="2" xfId="0" applyAlignment="1" applyBorder="1" applyFont="1" applyNumberFormat="1">
      <alignment horizontal="center" vertical="center"/>
    </xf>
    <xf borderId="0" fillId="2" fontId="29" numFmtId="0" xfId="0" applyAlignment="1" applyFont="1">
      <alignment vertical="center"/>
    </xf>
    <xf borderId="0" fillId="2" fontId="29" numFmtId="164" xfId="0" applyAlignment="1" applyFont="1" applyNumberFormat="1">
      <alignment vertical="center"/>
    </xf>
    <xf borderId="0" fillId="2" fontId="13" numFmtId="0" xfId="0" applyAlignment="1" applyFont="1">
      <alignment horizontal="center" vertical="center"/>
    </xf>
    <xf borderId="0" fillId="2" fontId="16" numFmtId="0" xfId="0" applyAlignment="1" applyFont="1">
      <alignment horizontal="center" readingOrder="0" vertical="center"/>
    </xf>
    <xf borderId="14" fillId="2" fontId="16" numFmtId="0" xfId="0" applyAlignment="1" applyBorder="1" applyFont="1">
      <alignment horizontal="center" readingOrder="0" vertical="center"/>
    </xf>
    <xf borderId="0" fillId="2" fontId="1" numFmtId="0" xfId="0" applyAlignment="1" applyFont="1">
      <alignment horizontal="center" readingOrder="0" vertical="center"/>
    </xf>
    <xf borderId="6" fillId="2" fontId="1" numFmtId="0" xfId="0" applyAlignment="1" applyBorder="1" applyFont="1">
      <alignment horizontal="left" readingOrder="0" vertical="center"/>
    </xf>
    <xf borderId="6" fillId="2" fontId="16" numFmtId="0" xfId="0" applyAlignment="1" applyBorder="1" applyFont="1">
      <alignment horizontal="center" readingOrder="0" vertical="center"/>
    </xf>
    <xf borderId="0" fillId="2" fontId="1" numFmtId="164" xfId="0" applyAlignment="1" applyFont="1" applyNumberFormat="1">
      <alignment horizontal="center" vertical="center"/>
    </xf>
    <xf borderId="1" fillId="2" fontId="9" numFmtId="0" xfId="0" applyAlignment="1" applyBorder="1" applyFont="1">
      <alignment horizontal="center" vertical="center"/>
    </xf>
    <xf borderId="0" fillId="2" fontId="1" numFmtId="2" xfId="0" applyAlignment="1" applyFont="1" applyNumberFormat="1">
      <alignment horizontal="center" readingOrder="0" shrinkToFit="0" vertical="center" wrapText="1"/>
    </xf>
    <xf borderId="0" fillId="0" fontId="11" numFmtId="2" xfId="0" applyAlignment="1" applyFont="1" applyNumberFormat="1">
      <alignment horizontal="center" readingOrder="0" vertical="center"/>
    </xf>
    <xf borderId="0" fillId="0" fontId="11" numFmtId="2" xfId="0" applyAlignment="1" applyFont="1" applyNumberFormat="1">
      <alignment horizontal="center" vertical="center"/>
    </xf>
    <xf borderId="0" fillId="2" fontId="2" numFmtId="4" xfId="0" applyAlignment="1" applyFont="1" applyNumberFormat="1">
      <alignment horizontal="center" readingOrder="0" vertical="center"/>
    </xf>
    <xf borderId="0" fillId="2" fontId="1" numFmtId="1" xfId="0" applyAlignment="1" applyFont="1" applyNumberFormat="1">
      <alignment horizontal="center" readingOrder="0" vertical="center"/>
    </xf>
    <xf borderId="12" fillId="2" fontId="16" numFmtId="0" xfId="0" applyAlignment="1" applyBorder="1" applyFont="1">
      <alignment horizontal="center" vertical="center"/>
    </xf>
    <xf borderId="7" fillId="2" fontId="16" numFmtId="2" xfId="0" applyAlignment="1" applyBorder="1" applyFont="1" applyNumberFormat="1">
      <alignment horizontal="center" vertical="center"/>
    </xf>
    <xf borderId="0" fillId="0" fontId="6" numFmtId="1" xfId="0" applyAlignment="1" applyFont="1" applyNumberFormat="1">
      <alignment horizontal="center" readingOrder="0" vertical="center"/>
    </xf>
    <xf borderId="0" fillId="2" fontId="6" numFmtId="164" xfId="0" applyAlignment="1" applyFont="1" applyNumberFormat="1">
      <alignment horizontal="center" readingOrder="0" vertical="center"/>
    </xf>
    <xf borderId="0" fillId="2" fontId="11" numFmtId="2" xfId="0" applyAlignment="1" applyFont="1" applyNumberFormat="1">
      <alignment horizontal="center" readingOrder="0" vertical="center"/>
    </xf>
    <xf borderId="0" fillId="2" fontId="6" numFmtId="0" xfId="0" applyAlignment="1" applyFont="1">
      <alignment horizontal="center" readingOrder="0" vertical="center"/>
    </xf>
    <xf borderId="0" fillId="0" fontId="2" numFmtId="2" xfId="0" applyAlignment="1" applyFont="1" applyNumberFormat="1">
      <alignment horizontal="center" vertical="center"/>
    </xf>
    <xf borderId="5" fillId="2" fontId="6" numFmtId="0" xfId="0" applyAlignment="1" applyBorder="1" applyFont="1">
      <alignment horizontal="center" readingOrder="0" vertical="center"/>
    </xf>
    <xf borderId="3" fillId="2" fontId="16" numFmtId="167" xfId="0" applyAlignment="1" applyBorder="1" applyFont="1" applyNumberFormat="1">
      <alignment horizontal="center" vertical="center"/>
    </xf>
    <xf borderId="0" fillId="2" fontId="30" numFmtId="164" xfId="0" applyAlignment="1" applyFont="1" applyNumberFormat="1">
      <alignment horizontal="center" readingOrder="0" shrinkToFit="0" vertical="center" wrapText="0"/>
    </xf>
    <xf borderId="0" fillId="2" fontId="1" numFmtId="4" xfId="0" applyAlignment="1" applyFont="1" applyNumberFormat="1">
      <alignment horizontal="left" readingOrder="0" shrinkToFit="0" vertical="center" wrapText="1"/>
    </xf>
    <xf borderId="3" fillId="2" fontId="16" numFmtId="0" xfId="0" applyAlignment="1" applyBorder="1" applyFont="1">
      <alignment horizontal="center" vertical="bottom"/>
    </xf>
    <xf borderId="0" fillId="0" fontId="29" numFmtId="164" xfId="0" applyAlignment="1" applyFont="1" applyNumberFormat="1">
      <alignment vertical="bottom"/>
    </xf>
    <xf borderId="6" fillId="2" fontId="6" numFmtId="0" xfId="0" applyAlignment="1" applyBorder="1" applyFont="1">
      <alignment horizontal="center" vertical="bottom"/>
    </xf>
    <xf borderId="6" fillId="2" fontId="14" numFmtId="49" xfId="0" applyAlignment="1" applyBorder="1" applyFont="1" applyNumberFormat="1">
      <alignment horizontal="center" vertical="bottom"/>
    </xf>
    <xf borderId="5" fillId="2" fontId="6" numFmtId="0" xfId="0" applyAlignment="1" applyBorder="1" applyFont="1">
      <alignment horizontal="center" vertical="bottom"/>
    </xf>
    <xf borderId="7" fillId="2" fontId="6" numFmtId="0" xfId="0" applyAlignment="1" applyBorder="1" applyFont="1">
      <alignment readingOrder="0" vertical="bottom"/>
    </xf>
    <xf borderId="6" fillId="2" fontId="10" numFmtId="2" xfId="0" applyAlignment="1" applyBorder="1" applyFont="1" applyNumberFormat="1">
      <alignment horizontal="center" vertical="bottom"/>
    </xf>
    <xf borderId="0" fillId="3" fontId="26" numFmtId="164" xfId="0" applyAlignment="1" applyFont="1" applyNumberFormat="1">
      <alignment horizontal="center" vertical="bottom"/>
    </xf>
    <xf borderId="7" fillId="2" fontId="6" numFmtId="0" xfId="0" applyAlignment="1" applyBorder="1" applyFont="1">
      <alignment horizontal="center"/>
    </xf>
    <xf borderId="7" fillId="2" fontId="6" numFmtId="0" xfId="0" applyAlignment="1" applyBorder="1" applyFont="1">
      <alignment horizontal="center" vertical="bottom"/>
    </xf>
    <xf borderId="2" fillId="2" fontId="16" numFmtId="2" xfId="0" applyAlignment="1" applyBorder="1" applyFont="1" applyNumberFormat="1">
      <alignment horizontal="center" vertical="bottom"/>
    </xf>
    <xf borderId="6" fillId="2" fontId="10" numFmtId="4" xfId="0" applyAlignment="1" applyBorder="1" applyFont="1" applyNumberFormat="1">
      <alignment horizontal="center" readingOrder="0" vertical="center"/>
    </xf>
    <xf borderId="6" fillId="2" fontId="16" numFmtId="2" xfId="0" applyAlignment="1" applyBorder="1" applyFont="1" applyNumberFormat="1">
      <alignment horizontal="center" vertical="bottom"/>
    </xf>
    <xf borderId="6" fillId="2" fontId="10" numFmtId="164" xfId="0" applyAlignment="1" applyBorder="1" applyFont="1" applyNumberFormat="1">
      <alignment horizontal="center" readingOrder="0" vertical="center"/>
    </xf>
    <xf borderId="3" fillId="2" fontId="16" numFmtId="167" xfId="0" applyAlignment="1" applyBorder="1" applyFont="1" applyNumberFormat="1">
      <alignment horizontal="center" readingOrder="0" vertical="center"/>
    </xf>
    <xf borderId="0" fillId="0" fontId="5" numFmtId="0" xfId="0" applyAlignment="1" applyFont="1">
      <alignment vertical="center"/>
    </xf>
    <xf borderId="0" fillId="0" fontId="1" numFmtId="1" xfId="0" applyAlignment="1" applyFont="1" applyNumberFormat="1">
      <alignment horizontal="center" vertical="center"/>
    </xf>
    <xf borderId="1" fillId="2" fontId="13" numFmtId="0" xfId="0" applyAlignment="1" applyBorder="1" applyFont="1">
      <alignment horizontal="center" readingOrder="0" shrinkToFit="0" vertical="center" wrapText="1"/>
    </xf>
    <xf borderId="1" fillId="2" fontId="6" numFmtId="2" xfId="0" applyAlignment="1" applyBorder="1" applyFont="1" applyNumberFormat="1">
      <alignment horizontal="center" shrinkToFit="0" vertical="center" wrapText="1"/>
    </xf>
    <xf borderId="0" fillId="0" fontId="19" numFmtId="0" xfId="0" applyAlignment="1" applyFont="1">
      <alignment horizontal="center" readingOrder="0" shrinkToFit="0" vertical="center" wrapText="1"/>
    </xf>
    <xf borderId="0" fillId="0" fontId="8" numFmtId="0" xfId="0" applyAlignment="1" applyFont="1">
      <alignment readingOrder="0" vertical="center"/>
    </xf>
    <xf borderId="0" fillId="2" fontId="31" numFmtId="0" xfId="0" applyAlignment="1" applyFont="1">
      <alignment horizontal="center" readingOrder="0" vertical="center"/>
    </xf>
    <xf borderId="0" fillId="0" fontId="31" numFmtId="1" xfId="0" applyAlignment="1" applyFont="1" applyNumberFormat="1">
      <alignment horizontal="center" readingOrder="0" vertical="center"/>
    </xf>
    <xf borderId="6" fillId="2" fontId="6" numFmtId="2" xfId="0" applyAlignment="1" applyBorder="1" applyFont="1" applyNumberFormat="1">
      <alignment horizontal="center" vertical="center"/>
    </xf>
    <xf borderId="7" fillId="2" fontId="13" numFmtId="2" xfId="0" applyAlignment="1" applyBorder="1" applyFont="1" applyNumberFormat="1">
      <alignment horizontal="center" readingOrder="0" vertical="center"/>
    </xf>
    <xf borderId="8" fillId="2" fontId="6" numFmtId="1" xfId="0" applyAlignment="1" applyBorder="1" applyFont="1" applyNumberFormat="1">
      <alignment horizontal="center" readingOrder="0" vertical="center"/>
    </xf>
    <xf borderId="0" fillId="2" fontId="13" numFmtId="10" xfId="0" applyAlignment="1" applyFont="1" applyNumberFormat="1">
      <alignment horizontal="left" vertical="center"/>
    </xf>
    <xf borderId="1" fillId="2" fontId="6" numFmtId="1" xfId="0" applyAlignment="1" applyBorder="1" applyFont="1" applyNumberFormat="1">
      <alignment horizontal="center" vertical="center"/>
    </xf>
    <xf borderId="2" fillId="2" fontId="6" numFmtId="2" xfId="0" applyAlignment="1" applyBorder="1" applyFont="1" applyNumberFormat="1">
      <alignment horizontal="center" vertical="center"/>
    </xf>
    <xf borderId="14" fillId="0" fontId="12" numFmtId="0" xfId="0" applyBorder="1" applyFont="1"/>
    <xf borderId="6" fillId="2" fontId="6" numFmtId="0" xfId="0" applyAlignment="1" applyBorder="1" applyFont="1">
      <alignment readingOrder="0" vertical="center"/>
    </xf>
    <xf borderId="6" fillId="2" fontId="6" numFmtId="2" xfId="0" applyAlignment="1" applyBorder="1" applyFont="1" applyNumberFormat="1">
      <alignment horizontal="center" readingOrder="0" vertical="center"/>
    </xf>
    <xf borderId="0" fillId="2" fontId="27" numFmtId="164" xfId="0" applyAlignment="1" applyFont="1" applyNumberFormat="1">
      <alignment horizontal="center" vertical="center"/>
    </xf>
    <xf borderId="0" fillId="2" fontId="27" numFmtId="1" xfId="0" applyAlignment="1" applyFont="1" applyNumberFormat="1">
      <alignment horizontal="center" vertical="center"/>
    </xf>
    <xf borderId="0" fillId="2" fontId="5" numFmtId="164" xfId="0" applyAlignment="1" applyFont="1" applyNumberFormat="1">
      <alignment vertical="center"/>
    </xf>
    <xf borderId="0" fillId="2" fontId="1" numFmtId="1" xfId="0" applyAlignment="1" applyFont="1" applyNumberFormat="1">
      <alignment horizontal="center" vertical="center"/>
    </xf>
    <xf borderId="0" fillId="2" fontId="7" numFmtId="1" xfId="0" applyAlignment="1" applyFont="1" applyNumberFormat="1">
      <alignment horizontal="center" vertical="center"/>
    </xf>
    <xf borderId="0" fillId="2" fontId="1" numFmtId="1" xfId="0" applyAlignment="1" applyFont="1" applyNumberFormat="1">
      <alignment vertical="center"/>
    </xf>
    <xf borderId="3" fillId="2" fontId="16" numFmtId="0" xfId="0" applyAlignment="1" applyBorder="1" applyFont="1">
      <alignment horizontal="center" readingOrder="0" shrinkToFit="0" vertical="center" wrapText="1"/>
    </xf>
    <xf borderId="0" fillId="2" fontId="27" numFmtId="164" xfId="0" applyAlignment="1" applyFont="1" applyNumberFormat="1">
      <alignment horizontal="center" readingOrder="0" vertical="center"/>
    </xf>
    <xf borderId="0" fillId="2" fontId="27" numFmtId="1" xfId="0" applyAlignment="1" applyFont="1" applyNumberFormat="1">
      <alignment horizontal="center" readingOrder="0" vertical="center"/>
    </xf>
    <xf borderId="5" fillId="2" fontId="6" numFmtId="2" xfId="0" applyAlignment="1" applyBorder="1" applyFont="1" applyNumberFormat="1">
      <alignment horizontal="center" vertical="center"/>
    </xf>
    <xf borderId="8" fillId="2" fontId="6" numFmtId="1" xfId="0" applyAlignment="1" applyBorder="1" applyFont="1" applyNumberFormat="1">
      <alignment horizontal="center" vertical="center"/>
    </xf>
    <xf borderId="6" fillId="2" fontId="6" numFmtId="1" xfId="0" applyAlignment="1" applyBorder="1" applyFont="1" applyNumberFormat="1">
      <alignment readingOrder="0" vertical="center"/>
    </xf>
    <xf borderId="7" fillId="2" fontId="6" numFmtId="2" xfId="0" applyAlignment="1" applyBorder="1" applyFont="1" applyNumberFormat="1">
      <alignment horizontal="center" vertical="center"/>
    </xf>
    <xf borderId="2" fillId="2" fontId="6" numFmtId="1" xfId="0" applyAlignment="1" applyBorder="1" applyFont="1" applyNumberFormat="1">
      <alignment readingOrder="0" vertical="center"/>
    </xf>
    <xf borderId="14" fillId="2" fontId="6" numFmtId="1" xfId="0" applyAlignment="1" applyBorder="1" applyFont="1" applyNumberFormat="1">
      <alignment horizontal="center" vertical="center"/>
    </xf>
    <xf borderId="15" fillId="2" fontId="6" numFmtId="0" xfId="0" applyAlignment="1" applyBorder="1" applyFont="1">
      <alignment horizontal="center" readingOrder="0" vertical="center"/>
    </xf>
    <xf borderId="0" fillId="0" fontId="8" numFmtId="0" xfId="0" applyAlignment="1" applyFont="1">
      <alignment vertical="center"/>
    </xf>
    <xf borderId="0" fillId="0" fontId="13" numFmtId="10" xfId="0" applyAlignment="1" applyFont="1" applyNumberFormat="1">
      <alignment horizontal="left" vertical="center"/>
    </xf>
    <xf borderId="0" fillId="0" fontId="27" numFmtId="1" xfId="0" applyAlignment="1" applyFont="1" applyNumberFormat="1">
      <alignment horizontal="center" vertical="center"/>
    </xf>
    <xf borderId="0" fillId="2" fontId="8" numFmtId="0" xfId="0" applyAlignment="1" applyFont="1">
      <alignment readingOrder="0" vertical="center"/>
    </xf>
    <xf borderId="2" fillId="2" fontId="16" numFmtId="2" xfId="0" applyAlignment="1" applyBorder="1" applyFont="1" applyNumberFormat="1">
      <alignment horizontal="center" vertical="center"/>
    </xf>
    <xf borderId="0" fillId="0" fontId="2" numFmtId="0" xfId="0" applyAlignment="1" applyFont="1">
      <alignment vertical="center"/>
    </xf>
    <xf borderId="0" fillId="2" fontId="1" numFmtId="49" xfId="0" applyAlignment="1" applyFont="1" applyNumberFormat="1">
      <alignment horizontal="center" vertical="center"/>
    </xf>
    <xf borderId="0" fillId="2" fontId="1" numFmtId="167" xfId="0" applyAlignment="1" applyFont="1" applyNumberFormat="1">
      <alignment horizontal="center" shrinkToFit="0" vertical="center" wrapText="1"/>
    </xf>
    <xf borderId="1" fillId="2" fontId="9" numFmtId="49" xfId="0" applyAlignment="1" applyBorder="1" applyFont="1" applyNumberFormat="1">
      <alignment horizontal="center" shrinkToFit="0" vertical="center" wrapText="1"/>
    </xf>
    <xf borderId="1" fillId="2" fontId="32" numFmtId="0" xfId="0" applyAlignment="1" applyBorder="1" applyFont="1">
      <alignment horizontal="center" readingOrder="0" shrinkToFit="0" vertical="center" wrapText="1"/>
    </xf>
    <xf borderId="6" fillId="2" fontId="6" numFmtId="49" xfId="0" applyAlignment="1" applyBorder="1" applyFont="1" applyNumberFormat="1">
      <alignment horizontal="center" readingOrder="0" vertical="center"/>
    </xf>
    <xf borderId="0" fillId="2" fontId="24" numFmtId="0" xfId="0" applyAlignment="1" applyFont="1">
      <alignment vertical="center"/>
    </xf>
    <xf borderId="0" fillId="2" fontId="33" numFmtId="0" xfId="0" applyAlignment="1" applyFont="1">
      <alignment horizontal="center" vertical="center"/>
    </xf>
    <xf borderId="0" fillId="2" fontId="24" numFmtId="167" xfId="0" applyAlignment="1" applyFont="1" applyNumberFormat="1">
      <alignment horizontal="center" shrinkToFit="0" vertical="center" wrapText="1"/>
    </xf>
    <xf borderId="0" fillId="2" fontId="24" numFmtId="0" xfId="0" applyAlignment="1" applyFont="1">
      <alignment horizontal="center" vertical="center"/>
    </xf>
    <xf borderId="0" fillId="2" fontId="11" numFmtId="2" xfId="0" applyAlignment="1" applyFont="1" applyNumberFormat="1">
      <alignment horizontal="center" vertical="center"/>
    </xf>
    <xf borderId="0" fillId="0" fontId="1" numFmtId="1" xfId="0" applyAlignment="1" applyFont="1" applyNumberFormat="1">
      <alignment vertical="center"/>
    </xf>
    <xf borderId="6" fillId="0" fontId="6" numFmtId="2" xfId="0" applyAlignment="1" applyBorder="1" applyFont="1" applyNumberFormat="1">
      <alignment horizontal="center" vertical="center"/>
    </xf>
    <xf borderId="5" fillId="0" fontId="6" numFmtId="1" xfId="0" applyAlignment="1" applyBorder="1" applyFont="1" applyNumberFormat="1">
      <alignment horizontal="center" vertical="center"/>
    </xf>
    <xf borderId="0" fillId="0" fontId="11" numFmtId="4" xfId="0" applyAlignment="1" applyFont="1" applyNumberFormat="1">
      <alignment horizontal="center" readingOrder="0" vertical="center"/>
    </xf>
    <xf borderId="0" fillId="0" fontId="6" numFmtId="1" xfId="0" applyAlignment="1" applyFont="1" applyNumberFormat="1">
      <alignment horizontal="center" vertical="center"/>
    </xf>
    <xf borderId="0" fillId="0" fontId="6" numFmtId="3" xfId="0" applyAlignment="1" applyFont="1" applyNumberFormat="1">
      <alignment horizontal="center" vertical="center"/>
    </xf>
    <xf borderId="0" fillId="0" fontId="6" numFmtId="2" xfId="0" applyAlignment="1" applyFont="1" applyNumberFormat="1">
      <alignment horizontal="center" vertical="center"/>
    </xf>
    <xf borderId="7" fillId="0" fontId="6" numFmtId="1" xfId="0" applyAlignment="1" applyBorder="1" applyFont="1" applyNumberFormat="1">
      <alignment horizontal="center" vertical="center"/>
    </xf>
    <xf borderId="0" fillId="0" fontId="6" numFmtId="2" xfId="0" applyAlignment="1" applyFont="1" applyNumberFormat="1">
      <alignment horizontal="center" readingOrder="0" vertical="center"/>
    </xf>
    <xf borderId="6" fillId="3" fontId="19" numFmtId="2" xfId="0" applyAlignment="1" applyBorder="1" applyFont="1" applyNumberFormat="1">
      <alignment horizontal="center" readingOrder="0" vertical="center"/>
    </xf>
    <xf borderId="6" fillId="2" fontId="21" numFmtId="4" xfId="0" applyAlignment="1" applyBorder="1" applyFont="1" applyNumberFormat="1">
      <alignment horizontal="center" vertical="center"/>
    </xf>
    <xf borderId="6" fillId="2" fontId="21" numFmtId="3" xfId="0" applyAlignment="1" applyBorder="1" applyFont="1" applyNumberFormat="1">
      <alignment horizontal="center" vertical="center"/>
    </xf>
    <xf borderId="0" fillId="2" fontId="21" numFmtId="1" xfId="0" applyAlignment="1" applyFont="1" applyNumberFormat="1">
      <alignment horizontal="center" vertical="center"/>
    </xf>
    <xf borderId="0" fillId="0" fontId="13" numFmtId="10" xfId="0" applyAlignment="1" applyFont="1" applyNumberFormat="1">
      <alignment horizontal="center" vertical="center"/>
    </xf>
    <xf borderId="2" fillId="0" fontId="6" numFmtId="2" xfId="0" applyAlignment="1" applyBorder="1" applyFont="1" applyNumberFormat="1">
      <alignment horizontal="center" vertical="center"/>
    </xf>
    <xf borderId="0" fillId="2" fontId="1" numFmtId="0" xfId="0" applyAlignment="1" applyFont="1">
      <alignment readingOrder="0" vertical="center"/>
    </xf>
    <xf borderId="3" fillId="2" fontId="34" numFmtId="0" xfId="0" applyAlignment="1" applyBorder="1" applyFont="1">
      <alignment horizontal="center" readingOrder="0" vertical="center"/>
    </xf>
    <xf borderId="0" fillId="2" fontId="7" numFmtId="0" xfId="0" applyAlignment="1" applyFont="1">
      <alignment horizontal="left" readingOrder="0" vertical="center"/>
    </xf>
    <xf borderId="0" fillId="2" fontId="7" numFmtId="0" xfId="0" applyAlignment="1" applyFont="1">
      <alignment horizontal="center" vertical="center"/>
    </xf>
    <xf borderId="0" fillId="2" fontId="7" numFmtId="0" xfId="0" applyAlignment="1" applyFont="1">
      <alignment horizontal="center" readingOrder="0" vertical="center"/>
    </xf>
    <xf borderId="6" fillId="2" fontId="6" numFmtId="1" xfId="0" applyAlignment="1" applyBorder="1" applyFont="1" applyNumberFormat="1">
      <alignment horizontal="center" readingOrder="0" vertical="center"/>
    </xf>
    <xf borderId="6" fillId="3" fontId="10" numFmtId="2" xfId="0" applyAlignment="1" applyBorder="1" applyFont="1" applyNumberFormat="1">
      <alignment horizontal="center" readingOrder="0" vertical="center"/>
    </xf>
    <xf borderId="0" fillId="2" fontId="6" numFmtId="3" xfId="0" applyAlignment="1" applyFont="1" applyNumberFormat="1">
      <alignment horizontal="center" vertical="center"/>
    </xf>
    <xf borderId="0" fillId="2" fontId="13" numFmtId="10" xfId="0" applyAlignment="1" applyFont="1" applyNumberFormat="1">
      <alignment horizontal="center" vertical="center"/>
    </xf>
    <xf borderId="2" fillId="2" fontId="6" numFmtId="1" xfId="0" applyAlignment="1" applyBorder="1" applyFont="1" applyNumberFormat="1">
      <alignment horizontal="center" readingOrder="0" vertical="center"/>
    </xf>
    <xf borderId="0" fillId="2" fontId="8" numFmtId="0" xfId="0" applyAlignment="1" applyFont="1">
      <alignment horizontal="center" vertical="center"/>
    </xf>
    <xf borderId="1" fillId="3" fontId="19" numFmtId="2" xfId="0" applyAlignment="1" applyBorder="1" applyFont="1" applyNumberFormat="1">
      <alignment horizontal="center" readingOrder="0" vertical="center"/>
    </xf>
    <xf borderId="6" fillId="2" fontId="6" numFmtId="1" xfId="0" applyAlignment="1" applyBorder="1" applyFont="1" applyNumberFormat="1">
      <alignment horizontal="center" vertical="center"/>
    </xf>
    <xf borderId="2" fillId="2" fontId="6" numFmtId="1" xfId="0" applyAlignment="1" applyBorder="1" applyFont="1" applyNumberFormat="1">
      <alignment horizontal="center" vertical="center"/>
    </xf>
    <xf borderId="0" fillId="2" fontId="6" numFmtId="49" xfId="0" applyAlignment="1" applyFont="1" applyNumberFormat="1">
      <alignment horizontal="center" vertical="center"/>
    </xf>
    <xf borderId="0" fillId="0" fontId="2" numFmtId="49" xfId="0" applyAlignment="1" applyFont="1" applyNumberFormat="1">
      <alignment horizontal="center" vertical="center"/>
    </xf>
    <xf borderId="7" fillId="2" fontId="6" numFmtId="1" xfId="0" applyAlignment="1" applyBorder="1" applyFont="1" applyNumberFormat="1">
      <alignment horizontal="center" vertical="center"/>
    </xf>
    <xf borderId="0" fillId="2" fontId="13" numFmtId="168" xfId="0" applyAlignment="1" applyFont="1" applyNumberFormat="1">
      <alignment horizontal="center" readingOrder="0" vertical="center"/>
    </xf>
    <xf borderId="0" fillId="5" fontId="13" numFmtId="164" xfId="0" applyAlignment="1" applyFont="1" applyNumberFormat="1">
      <alignment horizontal="center" readingOrder="0" vertical="center"/>
    </xf>
    <xf borderId="0" fillId="5" fontId="13" numFmtId="164" xfId="0" applyAlignment="1" applyFont="1" applyNumberFormat="1">
      <alignment horizontal="center" vertical="center"/>
    </xf>
    <xf borderId="2" fillId="2" fontId="6" numFmtId="49" xfId="0" applyAlignment="1" applyBorder="1" applyFont="1" applyNumberFormat="1">
      <alignment horizontal="center" readingOrder="0" vertical="center"/>
    </xf>
    <xf borderId="3" fillId="2" fontId="35" numFmtId="0" xfId="0" applyAlignment="1" applyBorder="1" applyFont="1">
      <alignment horizontal="center" readingOrder="0" vertical="center"/>
    </xf>
    <xf borderId="6" fillId="2" fontId="29" numFmtId="49" xfId="0" applyAlignment="1" applyBorder="1" applyFont="1" applyNumberFormat="1">
      <alignment horizontal="center" vertical="center"/>
    </xf>
    <xf borderId="2" fillId="2" fontId="29" numFmtId="49" xfId="0" applyAlignment="1" applyBorder="1" applyFont="1" applyNumberFormat="1">
      <alignment horizontal="center" vertical="center"/>
    </xf>
    <xf borderId="6" fillId="2" fontId="29" numFmtId="49" xfId="0" applyAlignment="1" applyBorder="1" applyFont="1" applyNumberFormat="1">
      <alignment horizontal="center" readingOrder="0" vertical="center"/>
    </xf>
    <xf borderId="2" fillId="2" fontId="29" numFmtId="49" xfId="0" applyAlignment="1" applyBorder="1" applyFont="1" applyNumberFormat="1">
      <alignment horizontal="center" readingOrder="0" vertical="center"/>
    </xf>
    <xf borderId="6" fillId="2" fontId="1" numFmtId="0" xfId="0" applyAlignment="1" applyBorder="1" applyFont="1">
      <alignment horizontal="center" readingOrder="0" vertical="center"/>
    </xf>
    <xf borderId="2" fillId="2" fontId="6" numFmtId="0" xfId="0" applyAlignment="1" applyBorder="1" applyFont="1">
      <alignment horizontal="center" readingOrder="0"/>
    </xf>
    <xf borderId="7" fillId="2" fontId="6" numFmtId="1" xfId="0" applyAlignment="1" applyBorder="1" applyFont="1" applyNumberFormat="1">
      <alignment horizontal="center"/>
    </xf>
    <xf borderId="6" fillId="3" fontId="14" numFmtId="2" xfId="0" applyAlignment="1" applyBorder="1" applyFont="1" applyNumberFormat="1">
      <alignment horizontal="center"/>
    </xf>
    <xf borderId="6" fillId="2" fontId="14" numFmtId="2" xfId="0" applyAlignment="1" applyBorder="1" applyFont="1" applyNumberFormat="1">
      <alignment horizontal="center"/>
    </xf>
    <xf borderId="6" fillId="2" fontId="19" numFmtId="2" xfId="0" applyAlignment="1" applyBorder="1" applyFont="1" applyNumberFormat="1">
      <alignment horizontal="center" readingOrder="0" vertical="center"/>
    </xf>
    <xf borderId="13" fillId="2" fontId="16" numFmtId="0" xfId="0" applyAlignment="1" applyBorder="1" applyFont="1">
      <alignment horizontal="center" vertical="center"/>
    </xf>
    <xf borderId="9" fillId="2" fontId="16" numFmtId="2" xfId="0" applyAlignment="1" applyBorder="1" applyFont="1" applyNumberFormat="1">
      <alignment horizontal="center" vertical="center"/>
    </xf>
    <xf borderId="4" fillId="2" fontId="16" numFmtId="0" xfId="0" applyAlignment="1" applyBorder="1" applyFont="1">
      <alignment horizontal="center" vertical="center"/>
    </xf>
    <xf borderId="4" fillId="2" fontId="16" numFmtId="2" xfId="0" applyAlignment="1" applyBorder="1" applyFont="1" applyNumberFormat="1">
      <alignment horizontal="center" vertical="center"/>
    </xf>
    <xf borderId="12" fillId="2" fontId="34" numFmtId="0" xfId="0" applyAlignment="1" applyBorder="1" applyFont="1">
      <alignment horizontal="center" readingOrder="0" vertical="center"/>
    </xf>
    <xf borderId="12" fillId="2" fontId="16" numFmtId="2" xfId="0" applyAlignment="1" applyBorder="1" applyFont="1" applyNumberFormat="1">
      <alignment horizontal="center" vertical="center"/>
    </xf>
    <xf borderId="0" fillId="0" fontId="1" numFmtId="2" xfId="0" applyFont="1" applyNumberFormat="1"/>
    <xf borderId="0" fillId="0" fontId="1" numFmtId="0" xfId="0" applyAlignment="1" applyFont="1">
      <alignment horizontal="left" vertical="center"/>
    </xf>
    <xf borderId="3" fillId="0" fontId="36" numFmtId="0" xfId="0" applyAlignment="1" applyBorder="1" applyFont="1">
      <alignment horizontal="center" readingOrder="0" vertical="center"/>
    </xf>
    <xf borderId="3" fillId="0" fontId="1" numFmtId="0" xfId="0" applyAlignment="1" applyBorder="1" applyFont="1">
      <alignment horizontal="center" readingOrder="0" vertical="center"/>
    </xf>
    <xf borderId="6" fillId="0" fontId="9" numFmtId="0" xfId="0" applyAlignment="1" applyBorder="1" applyFont="1">
      <alignment horizontal="left" vertical="center"/>
    </xf>
    <xf borderId="6" fillId="0" fontId="9" numFmtId="49" xfId="0" applyAlignment="1" applyBorder="1" applyFont="1" applyNumberFormat="1">
      <alignment horizontal="left" vertical="center"/>
    </xf>
    <xf borderId="6" fillId="0" fontId="9" numFmtId="49" xfId="0" applyAlignment="1" applyBorder="1" applyFont="1" applyNumberFormat="1">
      <alignment horizontal="left" shrinkToFit="0" vertical="center" wrapText="1"/>
    </xf>
    <xf borderId="6" fillId="0" fontId="9" numFmtId="0" xfId="0" applyAlignment="1" applyBorder="1" applyFont="1">
      <alignment horizontal="center" shrinkToFit="0" vertical="center" wrapText="1"/>
    </xf>
    <xf borderId="6" fillId="0" fontId="9" numFmtId="0" xfId="0" applyAlignment="1" applyBorder="1" applyFont="1">
      <alignment horizontal="center" readingOrder="0" shrinkToFit="0" vertical="center" wrapText="1"/>
    </xf>
    <xf borderId="6" fillId="0" fontId="37" numFmtId="0" xfId="0" applyAlignment="1" applyBorder="1" applyFont="1">
      <alignment horizontal="center" vertical="center"/>
    </xf>
    <xf borderId="6" fillId="0" fontId="1" numFmtId="0" xfId="0" applyAlignment="1" applyBorder="1" applyFont="1">
      <alignment horizontal="center" readingOrder="0" vertical="center"/>
    </xf>
    <xf borderId="6" fillId="0" fontId="9" numFmtId="0" xfId="0" applyAlignment="1" applyBorder="1" applyFont="1">
      <alignment horizontal="left" readingOrder="0" vertical="center"/>
    </xf>
    <xf borderId="6" fillId="0" fontId="9" numFmtId="164" xfId="0" applyAlignment="1" applyBorder="1" applyFont="1" applyNumberFormat="1">
      <alignment horizontal="center" readingOrder="0" vertical="center"/>
    </xf>
    <xf borderId="6" fillId="0" fontId="37" numFmtId="3" xfId="0" applyAlignment="1" applyBorder="1" applyFont="1" applyNumberFormat="1">
      <alignment horizontal="center" readingOrder="0" vertical="center"/>
    </xf>
    <xf borderId="6" fillId="0" fontId="9" numFmtId="2" xfId="0" applyAlignment="1" applyBorder="1" applyFont="1" applyNumberFormat="1">
      <alignment horizontal="center" vertical="center"/>
    </xf>
    <xf borderId="6" fillId="0" fontId="1" numFmtId="0" xfId="0" applyAlignment="1" applyBorder="1" applyFont="1">
      <alignment readingOrder="0" vertical="center"/>
    </xf>
    <xf borderId="6" fillId="0" fontId="1" numFmtId="0" xfId="0" applyAlignment="1" applyBorder="1" applyFont="1">
      <alignment horizontal="center"/>
    </xf>
    <xf borderId="6" fillId="0" fontId="1" numFmtId="0" xfId="0" applyAlignment="1" applyBorder="1" applyFont="1">
      <alignment horizontal="left" readingOrder="0" vertical="center"/>
    </xf>
    <xf borderId="0" fillId="0" fontId="2" numFmtId="49" xfId="0" applyAlignment="1" applyFont="1" applyNumberFormat="1">
      <alignment horizontal="center" readingOrder="0" vertical="center"/>
    </xf>
    <xf borderId="6" fillId="5" fontId="9" numFmtId="0" xfId="0" applyAlignment="1" applyBorder="1" applyFont="1">
      <alignment horizontal="left" vertical="center"/>
    </xf>
    <xf borderId="6" fillId="0" fontId="9" numFmtId="164" xfId="0" applyAlignment="1" applyBorder="1" applyFont="1" applyNumberFormat="1">
      <alignment horizontal="center" vertical="center"/>
    </xf>
    <xf borderId="6" fillId="0" fontId="37" numFmtId="3" xfId="0" applyAlignment="1" applyBorder="1" applyFont="1" applyNumberFormat="1">
      <alignment horizontal="center" vertical="center"/>
    </xf>
    <xf borderId="6" fillId="0" fontId="29" numFmtId="0" xfId="0" applyAlignment="1" applyBorder="1" applyFont="1">
      <alignment horizontal="left" vertical="center"/>
    </xf>
    <xf borderId="6" fillId="0" fontId="1" numFmtId="0" xfId="0" applyAlignment="1" applyBorder="1" applyFont="1">
      <alignment horizontal="left" vertical="center"/>
    </xf>
    <xf borderId="6" fillId="0" fontId="9" numFmtId="0" xfId="0" applyAlignment="1" applyBorder="1" applyFont="1">
      <alignment horizontal="center" vertical="center"/>
    </xf>
    <xf borderId="6" fillId="0" fontId="9" numFmtId="0" xfId="0" applyAlignment="1" applyBorder="1" applyFont="1">
      <alignment horizontal="center" readingOrder="0" vertical="center"/>
    </xf>
    <xf borderId="6" fillId="0" fontId="37" numFmtId="0" xfId="0" applyAlignment="1" applyBorder="1" applyFont="1">
      <alignment horizontal="center" readingOrder="0" vertical="center"/>
    </xf>
    <xf borderId="6" fillId="0" fontId="9" numFmtId="1" xfId="0" applyAlignment="1" applyBorder="1" applyFont="1" applyNumberFormat="1">
      <alignment horizontal="center" vertical="center"/>
    </xf>
    <xf borderId="6" fillId="0" fontId="9" numFmtId="1" xfId="0" applyAlignment="1" applyBorder="1" applyFont="1" applyNumberFormat="1">
      <alignment horizontal="center" readingOrder="0" vertical="center"/>
    </xf>
    <xf borderId="6" fillId="0" fontId="37" numFmtId="2" xfId="0" applyAlignment="1" applyBorder="1" applyFont="1" applyNumberFormat="1">
      <alignment horizontal="center" vertical="center"/>
    </xf>
    <xf borderId="6" fillId="0" fontId="37" numFmtId="2" xfId="0" applyAlignment="1" applyBorder="1" applyFont="1" applyNumberFormat="1">
      <alignment horizontal="center" readingOrder="0" vertical="center"/>
    </xf>
    <xf borderId="0" fillId="0" fontId="9" numFmtId="0" xfId="0" applyAlignment="1" applyFont="1">
      <alignment horizontal="center" vertical="center"/>
    </xf>
    <xf borderId="0" fillId="0" fontId="9" numFmtId="0" xfId="0" applyAlignment="1" applyFont="1">
      <alignment horizontal="center" shrinkToFit="0" vertical="center" wrapText="1"/>
    </xf>
    <xf borderId="0" fillId="0" fontId="9" numFmtId="164" xfId="0" applyAlignment="1" applyFont="1" applyNumberFormat="1">
      <alignment horizontal="center" vertical="center"/>
    </xf>
    <xf borderId="0" fillId="0" fontId="9" numFmtId="2" xfId="0" applyAlignment="1" applyFont="1" applyNumberFormat="1">
      <alignment horizontal="center" vertical="center"/>
    </xf>
    <xf borderId="0" fillId="0" fontId="9" numFmtId="1" xfId="0" applyAlignment="1" applyFont="1" applyNumberFormat="1">
      <alignment horizontal="center" vertical="center"/>
    </xf>
    <xf borderId="6" fillId="0" fontId="29" numFmtId="0" xfId="0" applyAlignment="1" applyBorder="1" applyFont="1">
      <alignment vertical="center"/>
    </xf>
    <xf borderId="0" fillId="3" fontId="16" numFmtId="0" xfId="0" applyAlignment="1" applyFont="1">
      <alignment horizontal="center" vertical="center"/>
    </xf>
    <xf borderId="6" fillId="5" fontId="29" numFmtId="0" xfId="0" applyAlignment="1" applyBorder="1" applyFont="1">
      <alignment horizontal="center" readingOrder="0" vertical="center"/>
    </xf>
    <xf borderId="0" fillId="0" fontId="38" numFmtId="0" xfId="0" applyAlignment="1" applyFont="1">
      <alignment horizontal="center" readingOrder="0"/>
    </xf>
    <xf borderId="0" fillId="0" fontId="38" numFmtId="0" xfId="0" applyAlignment="1" applyFont="1">
      <alignment horizontal="left" vertical="center"/>
    </xf>
    <xf borderId="0" fillId="0" fontId="39" numFmtId="0" xfId="0" applyAlignment="1" applyFont="1">
      <alignment horizontal="center" readingOrder="0" vertical="center"/>
    </xf>
    <xf borderId="0" fillId="0" fontId="38" numFmtId="0" xfId="0" applyAlignment="1" applyFont="1">
      <alignment horizontal="center" readingOrder="0" vertical="center"/>
    </xf>
    <xf borderId="0" fillId="0" fontId="38" numFmtId="0" xfId="0" applyFont="1"/>
    <xf borderId="0" fillId="0" fontId="38" numFmtId="0" xfId="0" applyAlignment="1" applyFont="1">
      <alignment horizontal="center"/>
    </xf>
    <xf borderId="1" fillId="0" fontId="39" numFmtId="0" xfId="0" applyAlignment="1" applyBorder="1" applyFont="1">
      <alignment horizontal="left" readingOrder="0" shrinkToFit="0" vertical="center" wrapText="1"/>
    </xf>
    <xf borderId="1" fillId="0" fontId="38" numFmtId="0" xfId="0" applyAlignment="1" applyBorder="1" applyFont="1">
      <alignment horizontal="center" readingOrder="0" vertical="center"/>
    </xf>
    <xf borderId="1" fillId="0" fontId="37" numFmtId="0" xfId="0" applyAlignment="1" applyBorder="1" applyFont="1">
      <alignment horizontal="center" readingOrder="0" shrinkToFit="0" vertical="center" wrapText="1"/>
    </xf>
    <xf borderId="3" fillId="0" fontId="38" numFmtId="0" xfId="0" applyAlignment="1" applyBorder="1" applyFont="1">
      <alignment horizontal="center" readingOrder="0" vertical="center"/>
    </xf>
    <xf borderId="6" fillId="0" fontId="38" numFmtId="0" xfId="0" applyAlignment="1" applyBorder="1" applyFont="1">
      <alignment horizontal="center" readingOrder="0" vertical="center"/>
    </xf>
    <xf borderId="6" fillId="0" fontId="38" numFmtId="0" xfId="0" applyAlignment="1" applyBorder="1" applyFont="1">
      <alignment horizontal="left" readingOrder="0" vertical="center"/>
    </xf>
    <xf borderId="6" fillId="0" fontId="39" numFmtId="3" xfId="0" applyAlignment="1" applyBorder="1" applyFont="1" applyNumberFormat="1">
      <alignment horizontal="center" readingOrder="0" vertical="center"/>
    </xf>
    <xf borderId="6" fillId="0" fontId="39" numFmtId="0" xfId="0" applyAlignment="1" applyBorder="1" applyFont="1">
      <alignment horizontal="center" readingOrder="0" vertical="center"/>
    </xf>
    <xf borderId="6" fillId="0" fontId="39" numFmtId="1" xfId="0" applyAlignment="1" applyBorder="1" applyFont="1" applyNumberFormat="1">
      <alignment horizontal="center" readingOrder="0" vertical="center"/>
    </xf>
    <xf borderId="0" fillId="0" fontId="39" numFmtId="0" xfId="0" applyAlignment="1" applyFont="1">
      <alignment horizontal="center" vertical="center"/>
    </xf>
    <xf borderId="0" fillId="0" fontId="38" numFmtId="0" xfId="0" applyAlignment="1" applyFont="1">
      <alignment horizontal="center" vertical="center"/>
    </xf>
    <xf borderId="6" fillId="13" fontId="39" numFmtId="3" xfId="0" applyAlignment="1" applyBorder="1" applyFill="1" applyFont="1" applyNumberFormat="1">
      <alignment horizontal="center" readingOrder="0" vertical="center"/>
    </xf>
    <xf borderId="6" fillId="2" fontId="37" numFmtId="3" xfId="0" applyAlignment="1" applyBorder="1" applyFont="1" applyNumberFormat="1">
      <alignment horizontal="center" vertical="center"/>
    </xf>
    <xf borderId="0" fillId="0" fontId="2" numFmtId="0" xfId="0" applyAlignment="1" applyFont="1">
      <alignment horizontal="center" readingOrder="0" vertical="center"/>
    </xf>
    <xf borderId="0" fillId="2" fontId="1" numFmtId="9" xfId="0" applyAlignment="1" applyFont="1" applyNumberFormat="1">
      <alignment horizontal="center" readingOrder="0" vertical="center"/>
    </xf>
    <xf borderId="0" fillId="2" fontId="29" numFmtId="0" xfId="0" applyAlignment="1" applyFont="1">
      <alignment horizontal="center" readingOrder="0" vertical="center"/>
    </xf>
    <xf borderId="3" fillId="2" fontId="36" numFmtId="0" xfId="0" applyAlignment="1" applyBorder="1" applyFont="1">
      <alignment horizontal="center" readingOrder="0" vertical="center"/>
    </xf>
    <xf borderId="1" fillId="0" fontId="1" numFmtId="0" xfId="0" applyAlignment="1" applyBorder="1" applyFont="1">
      <alignment horizontal="center" vertical="center"/>
    </xf>
    <xf borderId="1" fillId="2" fontId="29" numFmtId="0" xfId="0" applyAlignment="1" applyBorder="1" applyFont="1">
      <alignment horizontal="center" vertical="center"/>
    </xf>
    <xf borderId="1" fillId="2" fontId="29" numFmtId="0" xfId="0" applyAlignment="1" applyBorder="1" applyFont="1">
      <alignment horizontal="center" readingOrder="0" vertical="center"/>
    </xf>
    <xf borderId="3" fillId="2" fontId="29" numFmtId="0" xfId="0" applyAlignment="1" applyBorder="1" applyFont="1">
      <alignment horizontal="center" readingOrder="0" vertical="center"/>
    </xf>
    <xf borderId="6" fillId="2" fontId="29" numFmtId="0" xfId="0" applyAlignment="1" applyBorder="1" applyFont="1">
      <alignment horizontal="center" readingOrder="0" vertical="center"/>
    </xf>
    <xf borderId="6" fillId="2" fontId="29" numFmtId="3" xfId="0" applyAlignment="1" applyBorder="1" applyFont="1" applyNumberFormat="1">
      <alignment horizontal="center" vertical="center"/>
    </xf>
    <xf borderId="6" fillId="2" fontId="29" numFmtId="0" xfId="0" applyAlignment="1" applyBorder="1" applyFont="1">
      <alignment horizontal="center" vertical="center"/>
    </xf>
    <xf borderId="10" fillId="2" fontId="29" numFmtId="0" xfId="0" applyAlignment="1" applyBorder="1" applyFont="1">
      <alignment horizontal="center" readingOrder="0" vertical="center"/>
    </xf>
    <xf borderId="6" fillId="2" fontId="29" numFmtId="167" xfId="0" applyAlignment="1" applyBorder="1" applyFont="1" applyNumberFormat="1">
      <alignment horizontal="center" readingOrder="0" vertical="center"/>
    </xf>
    <xf borderId="0" fillId="2" fontId="29" numFmtId="0" xfId="0" applyAlignment="1" applyFont="1">
      <alignment horizontal="center" vertical="center"/>
    </xf>
    <xf borderId="6" fillId="0" fontId="1" numFmtId="0" xfId="0" applyAlignment="1" applyBorder="1" applyFont="1">
      <alignment vertical="center"/>
    </xf>
    <xf borderId="0" fillId="0" fontId="1" numFmtId="9" xfId="0" applyAlignment="1" applyFont="1" applyNumberFormat="1">
      <alignment horizontal="center" readingOrder="0" vertical="center"/>
    </xf>
    <xf borderId="1" fillId="2" fontId="9" numFmtId="0" xfId="0" applyAlignment="1" applyBorder="1" applyFont="1">
      <alignment horizontal="center" shrinkToFit="0" vertical="center" wrapText="1"/>
    </xf>
    <xf borderId="1" fillId="2" fontId="40" numFmtId="2" xfId="0" applyAlignment="1" applyBorder="1" applyFont="1" applyNumberFormat="1">
      <alignment horizontal="center" readingOrder="0" shrinkToFit="0" vertical="center" wrapText="1"/>
    </xf>
    <xf borderId="3" fillId="2" fontId="16" numFmtId="0" xfId="0" applyAlignment="1" applyBorder="1" applyFont="1">
      <alignment horizontal="center" vertical="center"/>
    </xf>
    <xf borderId="3" fillId="2" fontId="6" numFmtId="0" xfId="0" applyAlignment="1" applyBorder="1" applyFont="1">
      <alignment horizontal="center" vertical="center"/>
    </xf>
    <xf borderId="0" fillId="2" fontId="29" numFmtId="0" xfId="0" applyAlignment="1" applyFont="1">
      <alignment vertical="center"/>
    </xf>
    <xf borderId="0" fillId="2" fontId="29" numFmtId="49" xfId="0" applyAlignment="1" applyFont="1" applyNumberFormat="1">
      <alignment vertical="center"/>
    </xf>
    <xf borderId="3" fillId="2" fontId="6" numFmtId="0" xfId="0" applyAlignment="1" applyBorder="1" applyFont="1">
      <alignment horizontal="center" vertical="center"/>
    </xf>
    <xf borderId="0" fillId="0" fontId="2" numFmtId="2" xfId="0" applyAlignment="1" applyFont="1" applyNumberFormat="1">
      <alignment horizontal="center" readingOrder="0" vertical="center"/>
    </xf>
    <xf borderId="0" fillId="0" fontId="38" numFmtId="0" xfId="0" applyAlignment="1" applyFont="1">
      <alignment vertical="center"/>
    </xf>
    <xf borderId="0" fillId="0" fontId="1" numFmtId="0" xfId="0" applyAlignment="1" applyFont="1">
      <alignment shrinkToFit="0" vertical="center" wrapText="1"/>
    </xf>
    <xf borderId="1" fillId="2" fontId="9" numFmtId="0" xfId="0" applyAlignment="1" applyBorder="1" applyFont="1">
      <alignment readingOrder="0" shrinkToFit="0" vertical="center" wrapText="1"/>
    </xf>
    <xf borderId="1" fillId="2" fontId="41" numFmtId="0" xfId="0" applyAlignment="1" applyBorder="1" applyFont="1">
      <alignment horizontal="center" readingOrder="0" shrinkToFit="0" vertical="center" wrapText="1"/>
    </xf>
    <xf borderId="6" fillId="0" fontId="39" numFmtId="0" xfId="0" applyAlignment="1" applyBorder="1" applyFont="1">
      <alignment vertical="center"/>
    </xf>
    <xf borderId="6" fillId="0" fontId="42" numFmtId="0" xfId="0" applyAlignment="1" applyBorder="1" applyFont="1">
      <alignment horizontal="center" vertical="center"/>
    </xf>
    <xf borderId="0" fillId="0" fontId="24" numFmtId="0" xfId="0" applyAlignment="1" applyFont="1">
      <alignment horizontal="center" vertical="center"/>
    </xf>
    <xf borderId="6" fillId="0" fontId="37" numFmtId="0" xfId="0" applyAlignment="1" applyBorder="1" applyFont="1">
      <alignment horizontal="center" readingOrder="0" shrinkToFit="0" vertical="center" wrapText="1"/>
    </xf>
    <xf borderId="3" fillId="2" fontId="21" numFmtId="0" xfId="0" applyAlignment="1" applyBorder="1" applyFont="1">
      <alignment horizontal="center" readingOrder="0" vertical="center"/>
    </xf>
    <xf borderId="0" fillId="2" fontId="21" numFmtId="0" xfId="0" applyAlignment="1" applyFont="1">
      <alignment horizontal="center" readingOrder="0" vertical="center"/>
    </xf>
    <xf borderId="0" fillId="0" fontId="24" numFmtId="0" xfId="0" applyAlignment="1" applyFont="1">
      <alignment vertical="center"/>
    </xf>
    <xf borderId="6" fillId="0" fontId="42" numFmtId="3" xfId="0" applyAlignment="1" applyBorder="1" applyFont="1" applyNumberFormat="1">
      <alignment horizontal="center" vertical="center"/>
    </xf>
    <xf borderId="6" fillId="2" fontId="24" numFmtId="0" xfId="0" applyAlignment="1" applyBorder="1" applyFont="1">
      <alignment horizontal="center" vertical="center"/>
    </xf>
    <xf borderId="5" fillId="2" fontId="24" numFmtId="0" xfId="0" applyAlignment="1" applyBorder="1" applyFont="1">
      <alignment horizontal="center" readingOrder="0" vertical="center"/>
    </xf>
    <xf borderId="5" fillId="2" fontId="24" numFmtId="49" xfId="0" applyAlignment="1" applyBorder="1" applyFont="1" applyNumberFormat="1">
      <alignment readingOrder="0" vertical="center"/>
    </xf>
    <xf borderId="6" fillId="0" fontId="29" numFmtId="164" xfId="0" applyAlignment="1" applyBorder="1" applyFont="1" applyNumberFormat="1">
      <alignment vertical="center"/>
    </xf>
    <xf borderId="6" fillId="2" fontId="43" numFmtId="4" xfId="0" applyAlignment="1" applyBorder="1" applyFont="1" applyNumberFormat="1">
      <alignment horizontal="center" readingOrder="0" vertical="center"/>
    </xf>
    <xf borderId="6" fillId="0" fontId="29" numFmtId="2" xfId="0" applyAlignment="1" applyBorder="1" applyFont="1" applyNumberFormat="1">
      <alignment vertical="center"/>
    </xf>
    <xf borderId="6" fillId="0" fontId="24" numFmtId="164" xfId="0" applyAlignment="1" applyBorder="1" applyFont="1" applyNumberFormat="1">
      <alignment horizontal="center" readingOrder="0" vertical="center"/>
    </xf>
    <xf borderId="6" fillId="2" fontId="21" numFmtId="4" xfId="0" applyAlignment="1" applyBorder="1" applyFont="1" applyNumberFormat="1">
      <alignment horizontal="center" readingOrder="0" vertical="center"/>
    </xf>
    <xf borderId="6" fillId="0" fontId="37" numFmtId="4" xfId="0" applyAlignment="1" applyBorder="1" applyFont="1" applyNumberFormat="1">
      <alignment horizontal="center" readingOrder="0" vertical="center"/>
    </xf>
    <xf borderId="0" fillId="0" fontId="24" numFmtId="164" xfId="0" applyAlignment="1" applyFont="1" applyNumberFormat="1">
      <alignment horizontal="center" readingOrder="0" vertical="center"/>
    </xf>
    <xf borderId="6" fillId="2" fontId="24" numFmtId="0" xfId="0" applyAlignment="1" applyBorder="1" applyFont="1">
      <alignment horizontal="center" readingOrder="0" vertical="center"/>
    </xf>
    <xf borderId="6" fillId="0" fontId="24" numFmtId="0" xfId="0" applyAlignment="1" applyBorder="1" applyFont="1">
      <alignment horizontal="center" readingOrder="0" vertical="center"/>
    </xf>
    <xf borderId="6" fillId="0" fontId="24" numFmtId="0" xfId="0" applyAlignment="1" applyBorder="1" applyFont="1">
      <alignment readingOrder="0" vertical="center"/>
    </xf>
    <xf borderId="6" fillId="5" fontId="24" numFmtId="164" xfId="0" applyAlignment="1" applyBorder="1" applyFont="1" applyNumberFormat="1">
      <alignment horizontal="center" readingOrder="0" vertical="center"/>
    </xf>
    <xf borderId="0" fillId="5" fontId="24" numFmtId="164" xfId="0" applyAlignment="1" applyFont="1" applyNumberFormat="1">
      <alignment horizontal="center" readingOrder="0" vertical="center"/>
    </xf>
    <xf borderId="0" fillId="0" fontId="6" numFmtId="0" xfId="0" applyAlignment="1" applyFont="1">
      <alignment horizontal="center" vertical="center"/>
    </xf>
    <xf borderId="6" fillId="13" fontId="9" numFmtId="0" xfId="0" applyAlignment="1" applyBorder="1" applyFont="1">
      <alignment horizontal="center" vertical="center"/>
    </xf>
    <xf borderId="0" fillId="0" fontId="39" numFmtId="0" xfId="0" applyAlignment="1" applyFont="1">
      <alignment vertical="center"/>
    </xf>
    <xf borderId="0" fillId="0" fontId="29" numFmtId="0" xfId="0" applyAlignment="1" applyFont="1">
      <alignment vertical="center"/>
    </xf>
    <xf borderId="0" fillId="0" fontId="29" numFmtId="0" xfId="0" applyAlignment="1" applyFont="1">
      <alignment horizontal="center" vertical="center"/>
    </xf>
    <xf borderId="0" fillId="0" fontId="29" numFmtId="0" xfId="0" applyAlignment="1" applyFont="1">
      <alignment shrinkToFit="0" vertical="center" wrapText="1"/>
    </xf>
    <xf borderId="0" fillId="0" fontId="29" numFmtId="2" xfId="0" applyAlignment="1" applyFont="1" applyNumberFormat="1">
      <alignment vertical="center"/>
    </xf>
    <xf borderId="6" fillId="0" fontId="44" numFmtId="0" xfId="0" applyAlignment="1" applyBorder="1" applyFont="1">
      <alignment horizontal="center" vertical="center"/>
    </xf>
    <xf borderId="5" fillId="2" fontId="44" numFmtId="0" xfId="0" applyAlignment="1" applyBorder="1" applyFont="1">
      <alignment vertical="center"/>
    </xf>
    <xf borderId="5" fillId="2" fontId="44" numFmtId="0" xfId="0" applyAlignment="1" applyBorder="1" applyFont="1">
      <alignment horizontal="center" shrinkToFit="0" vertical="center" wrapText="1"/>
    </xf>
    <xf borderId="5" fillId="2" fontId="44" numFmtId="0" xfId="0" applyAlignment="1" applyBorder="1" applyFont="1">
      <alignment horizontal="center" readingOrder="0" shrinkToFit="0" vertical="center" wrapText="1"/>
    </xf>
    <xf borderId="6" fillId="2" fontId="45" numFmtId="0" xfId="0" applyAlignment="1" applyBorder="1" applyFont="1">
      <alignment horizontal="center" readingOrder="0" shrinkToFit="0" vertical="center" wrapText="1"/>
    </xf>
    <xf borderId="6" fillId="2" fontId="46" numFmtId="0" xfId="0" applyAlignment="1" applyBorder="1" applyFont="1">
      <alignment horizontal="center" readingOrder="0" shrinkToFit="0" vertical="center" wrapText="1"/>
    </xf>
    <xf borderId="0" fillId="2" fontId="45" numFmtId="1" xfId="0" applyAlignment="1" applyFont="1" applyNumberFormat="1">
      <alignment horizontal="center" readingOrder="0" shrinkToFit="0" vertical="center" wrapText="1"/>
    </xf>
    <xf borderId="6" fillId="0" fontId="6" numFmtId="0" xfId="0" applyAlignment="1" applyBorder="1" applyFont="1">
      <alignment horizontal="center" vertical="center"/>
    </xf>
    <xf borderId="5" fillId="0" fontId="6" numFmtId="0" xfId="0" applyAlignment="1" applyBorder="1" applyFont="1">
      <alignment vertical="center"/>
    </xf>
    <xf borderId="5" fillId="0" fontId="6" numFmtId="0" xfId="0" applyAlignment="1" applyBorder="1" applyFont="1">
      <alignment horizontal="center" vertical="center"/>
    </xf>
    <xf borderId="5" fillId="0" fontId="6" numFmtId="3" xfId="0" applyAlignment="1" applyBorder="1" applyFont="1" applyNumberFormat="1">
      <alignment horizontal="center" vertical="center"/>
    </xf>
    <xf borderId="6" fillId="2" fontId="11" numFmtId="3" xfId="0" applyAlignment="1" applyBorder="1" applyFont="1" applyNumberFormat="1">
      <alignment horizontal="center" readingOrder="0" vertical="center"/>
    </xf>
    <xf borderId="0" fillId="0" fontId="6" numFmtId="0" xfId="0" applyAlignment="1" applyFont="1">
      <alignment horizontal="center" readingOrder="0" vertical="center"/>
    </xf>
    <xf borderId="0" fillId="2" fontId="1" numFmtId="3" xfId="0" applyAlignment="1" applyFont="1" applyNumberFormat="1">
      <alignment horizontal="center" readingOrder="0" vertical="center"/>
    </xf>
    <xf borderId="7" fillId="0" fontId="6" numFmtId="0" xfId="0" applyAlignment="1" applyBorder="1" applyFont="1">
      <alignment vertical="center"/>
    </xf>
    <xf borderId="7" fillId="0" fontId="6" numFmtId="0" xfId="0" applyAlignment="1" applyBorder="1" applyFont="1">
      <alignment horizontal="center" vertical="center"/>
    </xf>
    <xf borderId="7" fillId="0" fontId="6" numFmtId="3" xfId="0" applyAlignment="1" applyBorder="1" applyFont="1" applyNumberFormat="1">
      <alignment horizontal="center" vertical="center"/>
    </xf>
    <xf borderId="7" fillId="0" fontId="6" numFmtId="3" xfId="0" applyAlignment="1" applyBorder="1" applyFont="1" applyNumberFormat="1">
      <alignment vertical="center"/>
    </xf>
    <xf borderId="15" fillId="0" fontId="6" numFmtId="0" xfId="0" applyAlignment="1" applyBorder="1" applyFont="1">
      <alignment vertical="center"/>
    </xf>
    <xf borderId="15" fillId="0" fontId="6" numFmtId="0" xfId="0" applyAlignment="1" applyBorder="1" applyFont="1">
      <alignment vertical="center"/>
    </xf>
    <xf borderId="0" fillId="0" fontId="1" numFmtId="167" xfId="0" applyAlignment="1" applyFont="1" applyNumberFormat="1">
      <alignment horizontal="center" vertical="center"/>
    </xf>
    <xf borderId="7" fillId="0" fontId="6" numFmtId="0" xfId="0" applyAlignment="1" applyBorder="1" applyFont="1">
      <alignment horizontal="center" readingOrder="0" vertical="center"/>
    </xf>
    <xf borderId="5" fillId="0" fontId="6" numFmtId="0" xfId="0" applyAlignment="1" applyBorder="1" applyFont="1">
      <alignment readingOrder="0" vertical="center"/>
    </xf>
    <xf borderId="6" fillId="0" fontId="6" numFmtId="3" xfId="0" applyAlignment="1" applyBorder="1" applyFont="1" applyNumberFormat="1">
      <alignment horizontal="center" vertical="center"/>
    </xf>
    <xf borderId="6" fillId="0" fontId="1" numFmtId="0" xfId="0" applyAlignment="1" applyBorder="1" applyFont="1">
      <alignment horizontal="center" vertical="center"/>
    </xf>
    <xf borderId="0" fillId="0" fontId="1" numFmtId="2" xfId="0" applyAlignment="1" applyFont="1" applyNumberFormat="1">
      <alignment horizontal="center" vertical="center"/>
    </xf>
    <xf borderId="7" fillId="0" fontId="6" numFmtId="0" xfId="0" applyAlignment="1" applyBorder="1" applyFont="1">
      <alignment readingOrder="0" vertical="center"/>
    </xf>
    <xf borderId="0" fillId="0" fontId="2" numFmtId="3" xfId="0" applyAlignment="1" applyFont="1" applyNumberFormat="1">
      <alignment horizontal="center" readingOrder="0" vertical="center"/>
    </xf>
    <xf borderId="6" fillId="0" fontId="6" numFmtId="0" xfId="0" applyAlignment="1" applyBorder="1" applyFont="1">
      <alignment readingOrder="0" vertical="center"/>
    </xf>
    <xf borderId="1" fillId="2" fontId="47" numFmtId="0" xfId="0" applyAlignment="1" applyBorder="1" applyFont="1">
      <alignment readingOrder="0" vertical="center"/>
    </xf>
    <xf borderId="7" fillId="0" fontId="6" numFmtId="0" xfId="0" applyAlignment="1" applyBorder="1" applyFont="1">
      <alignment horizontal="center" vertical="center"/>
    </xf>
    <xf borderId="7" fillId="0" fontId="6" numFmtId="0" xfId="0" applyAlignment="1" applyBorder="1" applyFont="1">
      <alignment vertical="center"/>
    </xf>
    <xf borderId="5" fillId="0" fontId="6" numFmtId="3" xfId="0" applyAlignment="1" applyBorder="1" applyFont="1" applyNumberFormat="1">
      <alignment horizontal="center" readingOrder="0" vertical="center"/>
    </xf>
    <xf borderId="7" fillId="0" fontId="6" numFmtId="3" xfId="0" applyAlignment="1" applyBorder="1" applyFont="1" applyNumberFormat="1">
      <alignment horizontal="center" readingOrder="0" vertical="center"/>
    </xf>
    <xf borderId="3" fillId="0" fontId="44" numFmtId="0" xfId="0" applyAlignment="1" applyBorder="1" applyFont="1">
      <alignment horizontal="center" readingOrder="0" vertical="center"/>
    </xf>
    <xf borderId="6" fillId="3" fontId="26" numFmtId="0" xfId="0" applyAlignment="1" applyBorder="1" applyFont="1">
      <alignment horizontal="center" vertical="center"/>
    </xf>
    <xf borderId="0" fillId="0" fontId="6" numFmtId="0" xfId="0" applyAlignment="1" applyFont="1">
      <alignment readingOrder="0" vertical="center"/>
    </xf>
    <xf borderId="0" fillId="2" fontId="11" numFmtId="3" xfId="0" applyAlignment="1" applyFont="1" applyNumberFormat="1">
      <alignment horizontal="center" readingOrder="0" vertical="center"/>
    </xf>
    <xf borderId="0" fillId="0" fontId="29" numFmtId="164" xfId="0" applyAlignment="1" applyFont="1" applyNumberFormat="1">
      <alignment horizontal="center" vertical="center"/>
    </xf>
    <xf borderId="3" fillId="0" fontId="9" numFmtId="0" xfId="0" applyAlignment="1" applyBorder="1" applyFont="1">
      <alignment horizontal="center" vertical="center"/>
    </xf>
    <xf borderId="6" fillId="0" fontId="9" numFmtId="0" xfId="0" applyAlignment="1" applyBorder="1" applyFont="1">
      <alignment vertical="center"/>
    </xf>
    <xf borderId="6" fillId="0" fontId="9" numFmtId="3" xfId="0" applyAlignment="1" applyBorder="1" applyFont="1" applyNumberFormat="1">
      <alignment horizontal="center" shrinkToFit="0" vertical="center" wrapText="1"/>
    </xf>
    <xf borderId="6" fillId="0" fontId="29" numFmtId="0" xfId="0" applyAlignment="1" applyBorder="1" applyFont="1">
      <alignment horizontal="center" vertical="center"/>
    </xf>
    <xf borderId="4" fillId="0" fontId="29" numFmtId="0" xfId="0" applyAlignment="1" applyBorder="1" applyFont="1">
      <alignment vertical="center"/>
    </xf>
    <xf borderId="4" fillId="0" fontId="29" numFmtId="0" xfId="0" applyAlignment="1" applyBorder="1" applyFont="1">
      <alignment horizontal="center" vertical="center"/>
    </xf>
    <xf borderId="4" fillId="0" fontId="29" numFmtId="0" xfId="0" applyAlignment="1" applyBorder="1" applyFont="1">
      <alignment shrinkToFit="0" vertical="center" wrapText="1"/>
    </xf>
    <xf borderId="3" fillId="2" fontId="35" numFmtId="0" xfId="0" applyAlignment="1" applyBorder="1" applyFont="1">
      <alignment horizontal="center" vertical="center"/>
    </xf>
    <xf borderId="0" fillId="0" fontId="38" numFmtId="0" xfId="0" applyAlignment="1" applyFont="1">
      <alignment readingOrder="0" vertical="center"/>
    </xf>
    <xf borderId="0" fillId="0" fontId="9" numFmtId="2" xfId="0" applyAlignment="1" applyFont="1" applyNumberFormat="1">
      <alignment horizontal="center" readingOrder="0" vertical="center"/>
    </xf>
    <xf borderId="0" fillId="0" fontId="9" numFmtId="9" xfId="0" applyAlignment="1" applyFont="1" applyNumberFormat="1">
      <alignment horizontal="center" readingOrder="0" vertical="center"/>
    </xf>
    <xf borderId="0" fillId="0" fontId="5" numFmtId="0" xfId="0" applyAlignment="1" applyFont="1">
      <alignment horizontal="center" readingOrder="0" vertical="center"/>
    </xf>
    <xf borderId="0" fillId="2" fontId="48" numFmtId="0" xfId="0" applyAlignment="1" applyFont="1">
      <alignment horizontal="center" vertical="center"/>
    </xf>
    <xf borderId="1" fillId="2" fontId="48" numFmtId="0" xfId="0" applyAlignment="1" applyBorder="1" applyFont="1">
      <alignment horizontal="center" vertical="center"/>
    </xf>
    <xf borderId="1" fillId="2" fontId="48" numFmtId="0" xfId="0" applyAlignment="1" applyBorder="1" applyFont="1">
      <alignment vertical="center"/>
    </xf>
    <xf borderId="6" fillId="2" fontId="48" numFmtId="0" xfId="0" applyAlignment="1" applyBorder="1" applyFont="1">
      <alignment horizontal="center" shrinkToFit="0" vertical="center" wrapText="1"/>
    </xf>
    <xf borderId="6" fillId="2" fontId="48" numFmtId="0" xfId="0" applyAlignment="1" applyBorder="1" applyFont="1">
      <alignment vertical="center"/>
    </xf>
    <xf borderId="1" fillId="2" fontId="48" numFmtId="0" xfId="0" applyAlignment="1" applyBorder="1" applyFont="1">
      <alignment horizontal="center" readingOrder="0" vertical="center"/>
    </xf>
    <xf borderId="6" fillId="2" fontId="48" numFmtId="0" xfId="0" applyAlignment="1" applyBorder="1" applyFont="1">
      <alignment horizontal="center" readingOrder="0" shrinkToFit="0" vertical="center" wrapText="1"/>
    </xf>
    <xf borderId="0" fillId="2" fontId="48" numFmtId="0" xfId="0" applyAlignment="1" applyFont="1">
      <alignment horizontal="center" readingOrder="0" shrinkToFit="0" vertical="center" wrapText="1"/>
    </xf>
    <xf borderId="0" fillId="0" fontId="24" numFmtId="2" xfId="0" applyAlignment="1" applyFont="1" applyNumberFormat="1">
      <alignment horizontal="center" readingOrder="0" vertical="center"/>
    </xf>
    <xf borderId="0" fillId="2" fontId="35" numFmtId="0" xfId="0" applyAlignment="1" applyFont="1">
      <alignment horizontal="center" readingOrder="0" vertical="center"/>
    </xf>
    <xf borderId="0" fillId="2" fontId="9" numFmtId="0" xfId="0" applyAlignment="1" applyFont="1">
      <alignment vertical="center"/>
    </xf>
    <xf borderId="0" fillId="2" fontId="9" numFmtId="0" xfId="0" applyAlignment="1" applyFont="1">
      <alignment horizontal="left" shrinkToFit="0" vertical="center" wrapText="1"/>
    </xf>
    <xf borderId="0" fillId="2" fontId="9" numFmtId="0" xfId="0" applyAlignment="1" applyFont="1">
      <alignment horizontal="center" vertical="center"/>
    </xf>
    <xf borderId="6" fillId="2" fontId="9" numFmtId="0" xfId="0" applyAlignment="1" applyBorder="1" applyFont="1">
      <alignment horizontal="center" vertical="center"/>
    </xf>
    <xf borderId="1" fillId="2" fontId="24" numFmtId="49" xfId="0" applyAlignment="1" applyBorder="1" applyFont="1" applyNumberFormat="1">
      <alignment readingOrder="0" vertical="center"/>
    </xf>
    <xf borderId="6" fillId="2" fontId="9" numFmtId="49" xfId="0" applyAlignment="1" applyBorder="1" applyFont="1" applyNumberFormat="1">
      <alignment horizontal="center" vertical="center"/>
    </xf>
    <xf borderId="6" fillId="2" fontId="9" numFmtId="49" xfId="0" applyAlignment="1" applyBorder="1" applyFont="1" applyNumberFormat="1">
      <alignment horizontal="center" readingOrder="0" vertical="center"/>
    </xf>
    <xf borderId="6" fillId="2" fontId="9" numFmtId="49" xfId="0" applyAlignment="1" applyBorder="1" applyFont="1" applyNumberFormat="1">
      <alignment readingOrder="0" vertical="center"/>
    </xf>
    <xf borderId="2" fillId="2" fontId="9" numFmtId="2" xfId="0" applyAlignment="1" applyBorder="1" applyFont="1" applyNumberFormat="1">
      <alignment horizontal="center" vertical="center"/>
    </xf>
    <xf borderId="6" fillId="2" fontId="9" numFmtId="0" xfId="0" applyAlignment="1" applyBorder="1" applyFont="1">
      <alignment vertical="center"/>
    </xf>
    <xf borderId="6" fillId="2" fontId="9" numFmtId="0" xfId="0" applyAlignment="1" applyBorder="1" applyFont="1">
      <alignment readingOrder="0" vertical="center"/>
    </xf>
    <xf borderId="0" fillId="0" fontId="24" numFmtId="0" xfId="0" applyAlignment="1" applyFont="1">
      <alignment horizontal="center" readingOrder="0" vertical="center"/>
    </xf>
    <xf borderId="0" fillId="0" fontId="24" numFmtId="2" xfId="0" applyAlignment="1" applyFont="1" applyNumberFormat="1">
      <alignment horizontal="center" vertical="center"/>
    </xf>
    <xf borderId="0" fillId="0" fontId="1" numFmtId="49" xfId="0" applyAlignment="1" applyFont="1" applyNumberFormat="1">
      <alignment horizontal="center" readingOrder="0" vertical="center"/>
    </xf>
    <xf borderId="0" fillId="0" fontId="24" numFmtId="0" xfId="0" applyAlignment="1" applyFont="1">
      <alignment readingOrder="0" vertical="center"/>
    </xf>
    <xf borderId="0" fillId="0" fontId="24" numFmtId="0" xfId="0" applyAlignment="1" applyFont="1">
      <alignment horizontal="left" readingOrder="0" vertical="center"/>
    </xf>
    <xf borderId="0" fillId="0" fontId="24" numFmtId="49" xfId="0" applyAlignment="1" applyFont="1" applyNumberFormat="1">
      <alignment horizontal="left" readingOrder="0" vertical="center"/>
    </xf>
    <xf borderId="0" fillId="0" fontId="24" numFmtId="49" xfId="0" applyAlignment="1" applyFont="1" applyNumberFormat="1">
      <alignment readingOrder="0" vertical="center"/>
    </xf>
    <xf borderId="2" fillId="2" fontId="9" numFmtId="0" xfId="0" applyAlignment="1" applyBorder="1" applyFont="1">
      <alignment horizontal="center" readingOrder="0" vertical="center"/>
    </xf>
    <xf borderId="2" fillId="2" fontId="9" numFmtId="0" xfId="0" applyAlignment="1" applyBorder="1" applyFont="1">
      <alignment horizontal="center" vertical="center"/>
    </xf>
    <xf borderId="6" fillId="2" fontId="39" numFmtId="0" xfId="0" applyAlignment="1" applyBorder="1" applyFont="1">
      <alignment horizontal="center" vertical="center"/>
    </xf>
    <xf borderId="6" fillId="2" fontId="9" numFmtId="2" xfId="0" applyAlignment="1" applyBorder="1" applyFont="1" applyNumberFormat="1">
      <alignment horizontal="center" readingOrder="0" vertical="center"/>
    </xf>
    <xf borderId="1" fillId="0" fontId="24" numFmtId="0" xfId="0" applyAlignment="1" applyBorder="1" applyFont="1">
      <alignment readingOrder="0" vertical="center"/>
    </xf>
    <xf borderId="15" fillId="0" fontId="29" numFmtId="0" xfId="0" applyAlignment="1" applyBorder="1" applyFont="1">
      <alignment horizontal="center" vertical="center"/>
    </xf>
    <xf borderId="15" fillId="0" fontId="9" numFmtId="0" xfId="0" applyAlignment="1" applyBorder="1" applyFont="1">
      <alignment horizontal="center" shrinkToFit="0" vertical="center" wrapText="1"/>
    </xf>
    <xf borderId="3" fillId="0" fontId="9" numFmtId="0" xfId="0" applyAlignment="1" applyBorder="1" applyFont="1">
      <alignment horizontal="center" readingOrder="0" shrinkToFit="0" vertical="center" wrapText="1"/>
    </xf>
    <xf borderId="15" fillId="0" fontId="9" numFmtId="0" xfId="0" applyAlignment="1" applyBorder="1" applyFont="1">
      <alignment horizontal="center" readingOrder="0" shrinkToFit="0" vertical="center" wrapText="1"/>
    </xf>
    <xf borderId="15" fillId="0" fontId="29" numFmtId="0" xfId="0" applyAlignment="1" applyBorder="1" applyFont="1">
      <alignment vertical="center"/>
    </xf>
    <xf borderId="2" fillId="0" fontId="9" numFmtId="0" xfId="0" applyAlignment="1" applyBorder="1" applyFont="1">
      <alignment horizontal="center" readingOrder="0" shrinkToFit="0" vertical="center" wrapText="1"/>
    </xf>
    <xf borderId="2" fillId="0" fontId="9" numFmtId="0" xfId="0" applyAlignment="1" applyBorder="1" applyFont="1">
      <alignment horizontal="center" shrinkToFit="0" vertical="center" wrapText="1"/>
    </xf>
    <xf borderId="0" fillId="0" fontId="29" numFmtId="0" xfId="0" applyAlignment="1" applyFont="1">
      <alignment readingOrder="0" vertical="center"/>
    </xf>
    <xf borderId="6" fillId="0" fontId="9" numFmtId="49" xfId="0" applyAlignment="1" applyBorder="1" applyFont="1" applyNumberFormat="1">
      <alignment horizontal="center" vertical="center"/>
    </xf>
    <xf borderId="6" fillId="0" fontId="9" numFmtId="1" xfId="0" applyAlignment="1" applyBorder="1" applyFont="1" applyNumberFormat="1">
      <alignment horizontal="center" shrinkToFit="0" vertical="center" wrapText="1"/>
    </xf>
    <xf borderId="6" fillId="0" fontId="9" numFmtId="4" xfId="0" applyAlignment="1" applyBorder="1" applyFont="1" applyNumberFormat="1">
      <alignment horizontal="center" shrinkToFit="0" vertical="center" wrapText="1"/>
    </xf>
    <xf borderId="6" fillId="0" fontId="9" numFmtId="2" xfId="0" applyAlignment="1" applyBorder="1" applyFont="1" applyNumberFormat="1">
      <alignment horizontal="center" shrinkToFit="0" vertical="center" wrapText="1"/>
    </xf>
    <xf borderId="6" fillId="0" fontId="9" numFmtId="3" xfId="0" applyAlignment="1" applyBorder="1" applyFont="1" applyNumberFormat="1">
      <alignment horizontal="center" readingOrder="0" shrinkToFit="0" vertical="center" wrapText="1"/>
    </xf>
    <xf borderId="6" fillId="0" fontId="9" numFmtId="10" xfId="0" applyAlignment="1" applyBorder="1" applyFont="1" applyNumberFormat="1">
      <alignment horizontal="center" readingOrder="0" shrinkToFit="0" vertical="center" wrapText="1"/>
    </xf>
    <xf borderId="0" fillId="0" fontId="29" numFmtId="2" xfId="0" applyAlignment="1" applyFont="1" applyNumberFormat="1">
      <alignment horizontal="center" vertical="center"/>
    </xf>
    <xf borderId="1" fillId="0" fontId="24" numFmtId="49" xfId="0" applyAlignment="1" applyBorder="1" applyFont="1" applyNumberFormat="1">
      <alignment readingOrder="0" vertical="center"/>
    </xf>
    <xf borderId="6" fillId="13" fontId="9" numFmtId="49" xfId="0" applyAlignment="1" applyBorder="1" applyFont="1" applyNumberFormat="1">
      <alignment horizontal="center" vertical="center"/>
    </xf>
    <xf borderId="0" fillId="0" fontId="29" numFmtId="0" xfId="0" applyAlignment="1" applyFont="1">
      <alignment horizontal="center" shrinkToFit="0" vertical="center" wrapText="1"/>
    </xf>
    <xf borderId="0" fillId="0" fontId="29" numFmtId="1" xfId="0" applyAlignment="1" applyFont="1" applyNumberFormat="1">
      <alignment horizontal="center" shrinkToFit="0" vertical="center" wrapText="1"/>
    </xf>
    <xf borderId="0" fillId="2" fontId="9" numFmtId="0" xfId="0" applyAlignment="1" applyFont="1">
      <alignment horizontal="center" readingOrder="0" shrinkToFit="0" vertical="center" wrapText="1"/>
    </xf>
    <xf borderId="0" fillId="2" fontId="9" numFmtId="49" xfId="0" applyAlignment="1" applyFont="1" applyNumberFormat="1">
      <alignment horizontal="center" vertical="center"/>
    </xf>
    <xf borderId="0" fillId="2" fontId="9" numFmtId="1" xfId="0" applyAlignment="1" applyFont="1" applyNumberFormat="1">
      <alignment horizontal="center" shrinkToFit="0" vertical="center" wrapText="1"/>
    </xf>
    <xf borderId="1" fillId="2" fontId="24" numFmtId="49" xfId="0" applyAlignment="1" applyBorder="1" applyFont="1" applyNumberFormat="1">
      <alignment vertical="center"/>
    </xf>
    <xf borderId="1" fillId="2" fontId="24" numFmtId="0" xfId="0" applyAlignment="1" applyBorder="1" applyFont="1">
      <alignment readingOrder="0" vertical="center"/>
    </xf>
    <xf borderId="1" fillId="0" fontId="24" numFmtId="49" xfId="0" applyAlignment="1" applyBorder="1" applyFont="1" applyNumberFormat="1">
      <alignment vertical="center"/>
    </xf>
    <xf borderId="6" fillId="2" fontId="9" numFmtId="2" xfId="0" applyAlignment="1" applyBorder="1" applyFont="1" applyNumberFormat="1">
      <alignment horizontal="center" vertical="center"/>
    </xf>
    <xf borderId="0" fillId="0" fontId="1" numFmtId="49" xfId="0" applyAlignment="1" applyFont="1" applyNumberFormat="1">
      <alignment horizontal="left" readingOrder="0" vertical="center"/>
    </xf>
    <xf borderId="2" fillId="2" fontId="9" numFmtId="2" xfId="0" applyAlignment="1" applyBorder="1" applyFont="1" applyNumberFormat="1">
      <alignment horizontal="center" readingOrder="0" vertical="center"/>
    </xf>
    <xf borderId="6" fillId="2" fontId="1" numFmtId="0" xfId="0" applyAlignment="1" applyBorder="1" applyFont="1">
      <alignment vertical="center"/>
    </xf>
    <xf borderId="0" fillId="2" fontId="1" numFmtId="164" xfId="0" applyAlignment="1" applyFont="1" applyNumberFormat="1">
      <alignment vertical="center"/>
    </xf>
    <xf borderId="1" fillId="2" fontId="48" numFmtId="0" xfId="0" applyAlignment="1" applyBorder="1" applyFont="1">
      <alignment readingOrder="0" vertical="center"/>
    </xf>
    <xf borderId="1" fillId="2" fontId="48" numFmtId="0" xfId="0" applyAlignment="1" applyBorder="1" applyFont="1">
      <alignment horizontal="center" readingOrder="0" shrinkToFit="0" vertical="center" wrapText="1"/>
    </xf>
    <xf borderId="1" fillId="2" fontId="48" numFmtId="164" xfId="0" applyAlignment="1" applyBorder="1" applyFont="1" applyNumberFormat="1">
      <alignment horizontal="center" readingOrder="0" shrinkToFit="0" vertical="center" wrapText="1"/>
    </xf>
    <xf borderId="1" fillId="2" fontId="48" numFmtId="164" xfId="0" applyAlignment="1" applyBorder="1" applyFont="1" applyNumberFormat="1">
      <alignment horizontal="center" readingOrder="0" vertical="center"/>
    </xf>
    <xf borderId="6" fillId="0" fontId="48" numFmtId="1" xfId="0" applyAlignment="1" applyBorder="1" applyFont="1" applyNumberFormat="1">
      <alignment horizontal="center" readingOrder="0" vertical="center"/>
    </xf>
    <xf borderId="6" fillId="0" fontId="48" numFmtId="1" xfId="0" applyAlignment="1" applyBorder="1" applyFont="1" applyNumberFormat="1">
      <alignment horizontal="center" readingOrder="0" shrinkToFit="0" vertical="center" wrapText="1"/>
    </xf>
    <xf borderId="0" fillId="0" fontId="48" numFmtId="1" xfId="0" applyAlignment="1" applyFont="1" applyNumberFormat="1">
      <alignment horizontal="center" readingOrder="0" vertical="center"/>
    </xf>
    <xf borderId="0" fillId="2" fontId="35" numFmtId="1" xfId="0" applyAlignment="1" applyFont="1" applyNumberFormat="1">
      <alignment horizontal="center" readingOrder="0" vertical="center"/>
    </xf>
    <xf borderId="1" fillId="2" fontId="9" numFmtId="49" xfId="0" applyAlignment="1" applyBorder="1" applyFont="1" applyNumberFormat="1">
      <alignment readingOrder="0" vertical="center"/>
    </xf>
    <xf borderId="2" fillId="2" fontId="9" numFmtId="164" xfId="0" applyAlignment="1" applyBorder="1" applyFont="1" applyNumberFormat="1">
      <alignment horizontal="center" readingOrder="0" vertical="center"/>
    </xf>
    <xf borderId="0" fillId="2" fontId="9" numFmtId="2" xfId="0" applyAlignment="1" applyFont="1" applyNumberFormat="1">
      <alignment horizontal="center" readingOrder="0" vertical="center"/>
    </xf>
    <xf borderId="0" fillId="2" fontId="9" numFmtId="1" xfId="0" applyAlignment="1" applyFont="1" applyNumberFormat="1">
      <alignment horizontal="center" readingOrder="0" vertical="center"/>
    </xf>
    <xf borderId="0" fillId="2" fontId="9" numFmtId="2" xfId="0" applyAlignment="1" applyFont="1" applyNumberFormat="1">
      <alignment horizontal="center" vertical="center"/>
    </xf>
    <xf borderId="0" fillId="2" fontId="9" numFmtId="1" xfId="0" applyAlignment="1" applyFont="1" applyNumberFormat="1">
      <alignment horizontal="center" vertical="center"/>
    </xf>
    <xf borderId="0" fillId="0" fontId="9" numFmtId="10" xfId="0" applyAlignment="1" applyFont="1" applyNumberFormat="1">
      <alignment horizontal="center" vertical="center"/>
    </xf>
    <xf borderId="2" fillId="2" fontId="9" numFmtId="164" xfId="0" applyAlignment="1" applyBorder="1" applyFont="1" applyNumberFormat="1">
      <alignment horizontal="center" vertical="center"/>
    </xf>
    <xf borderId="6" fillId="2" fontId="9" numFmtId="1" xfId="0" applyAlignment="1" applyBorder="1" applyFont="1" applyNumberFormat="1">
      <alignment horizontal="center" readingOrder="0" vertical="center"/>
    </xf>
    <xf borderId="0" fillId="2" fontId="9" numFmtId="167" xfId="0" applyAlignment="1" applyFont="1" applyNumberFormat="1">
      <alignment horizontal="center" readingOrder="0" vertical="center"/>
    </xf>
    <xf borderId="0" fillId="2" fontId="9" numFmtId="169" xfId="0" applyAlignment="1" applyFont="1" applyNumberFormat="1">
      <alignment horizontal="center" readingOrder="0" vertical="center"/>
    </xf>
    <xf borderId="6" fillId="3" fontId="9" numFmtId="49" xfId="0" applyAlignment="1" applyBorder="1" applyFont="1" applyNumberFormat="1">
      <alignment horizontal="center" readingOrder="0" vertical="center"/>
    </xf>
    <xf borderId="6" fillId="3" fontId="9" numFmtId="49" xfId="0" applyAlignment="1" applyBorder="1" applyFont="1" applyNumberFormat="1">
      <alignment readingOrder="0" vertical="center"/>
    </xf>
    <xf borderId="1" fillId="2" fontId="9" numFmtId="49" xfId="0" applyAlignment="1" applyBorder="1" applyFont="1" applyNumberFormat="1">
      <alignment vertical="center"/>
    </xf>
    <xf borderId="6" fillId="2" fontId="24" numFmtId="0" xfId="0" applyAlignment="1" applyBorder="1" applyFont="1">
      <alignment readingOrder="0" vertical="center"/>
    </xf>
    <xf borderId="6" fillId="2" fontId="9" numFmtId="164" xfId="0" applyAlignment="1" applyBorder="1" applyFont="1" applyNumberFormat="1">
      <alignment horizontal="center" readingOrder="0" vertical="center"/>
    </xf>
    <xf borderId="6" fillId="0" fontId="9" numFmtId="0" xfId="0" applyAlignment="1" applyBorder="1" applyFont="1">
      <alignment readingOrder="0" vertical="center"/>
    </xf>
    <xf borderId="7" fillId="0" fontId="9" numFmtId="0" xfId="0" applyAlignment="1" applyBorder="1" applyFont="1">
      <alignment horizontal="center" vertical="center"/>
    </xf>
    <xf borderId="4" fillId="0" fontId="9" numFmtId="0" xfId="0" applyAlignment="1" applyBorder="1" applyFont="1">
      <alignment horizontal="center" shrinkToFit="0" vertical="center" wrapText="1"/>
    </xf>
    <xf borderId="6" fillId="2" fontId="48" numFmtId="0" xfId="0" applyAlignment="1" applyBorder="1" applyFont="1">
      <alignment horizontal="center" vertical="center"/>
    </xf>
    <xf borderId="3" fillId="0" fontId="9" numFmtId="0" xfId="0" applyAlignment="1" applyBorder="1" applyFont="1">
      <alignment horizontal="center" shrinkToFit="0" vertical="center" wrapText="1"/>
    </xf>
    <xf borderId="6" fillId="0" fontId="48" numFmtId="1" xfId="0" applyAlignment="1" applyBorder="1" applyFont="1" applyNumberFormat="1">
      <alignment horizontal="center" vertical="center"/>
    </xf>
    <xf borderId="6" fillId="0" fontId="24" numFmtId="4" xfId="0" applyAlignment="1" applyBorder="1" applyFont="1" applyNumberFormat="1">
      <alignment horizontal="center" vertical="center"/>
    </xf>
    <xf borderId="2" fillId="0" fontId="9" numFmtId="0" xfId="0" applyAlignment="1" applyBorder="1" applyFont="1">
      <alignment horizontal="center" readingOrder="0" shrinkToFit="0" vertical="center" wrapText="0"/>
    </xf>
    <xf borderId="2" fillId="0" fontId="9" numFmtId="0" xfId="0" applyAlignment="1" applyBorder="1" applyFont="1">
      <alignment horizontal="center" readingOrder="0" vertical="center"/>
    </xf>
    <xf borderId="6" fillId="2" fontId="29" numFmtId="0" xfId="0" applyAlignment="1" applyBorder="1" applyFont="1">
      <alignment vertical="center"/>
    </xf>
    <xf borderId="6" fillId="2" fontId="9" numFmtId="0" xfId="0" applyAlignment="1" applyBorder="1" applyFont="1">
      <alignment horizontal="center" shrinkToFit="0" vertical="center" wrapText="1"/>
    </xf>
    <xf borderId="6" fillId="2" fontId="9" numFmtId="3" xfId="0" applyAlignment="1" applyBorder="1" applyFont="1" applyNumberFormat="1">
      <alignment horizontal="center" shrinkToFit="0" vertical="center" wrapText="1"/>
    </xf>
    <xf borderId="6" fillId="2" fontId="1" numFmtId="0" xfId="0" applyBorder="1" applyFont="1"/>
    <xf borderId="0" fillId="2" fontId="9" numFmtId="0" xfId="0" applyAlignment="1" applyFont="1">
      <alignment horizontal="center" shrinkToFit="0" vertical="center" wrapText="1"/>
    </xf>
    <xf borderId="6" fillId="14" fontId="9" numFmtId="0" xfId="0" applyAlignment="1" applyBorder="1" applyFill="1" applyFont="1">
      <alignment horizontal="center" vertical="center"/>
    </xf>
    <xf borderId="6" fillId="2" fontId="29" numFmtId="3" xfId="0" applyAlignment="1" applyBorder="1" applyFont="1" applyNumberFormat="1">
      <alignment vertical="center"/>
    </xf>
    <xf borderId="0" fillId="0" fontId="24" numFmtId="0" xfId="0" applyAlignment="1" applyFont="1">
      <alignment readingOrder="0"/>
    </xf>
    <xf borderId="6" fillId="0" fontId="24" numFmtId="0" xfId="0" applyAlignment="1" applyBorder="1" applyFont="1">
      <alignment horizontal="center" vertical="center"/>
    </xf>
    <xf borderId="3" fillId="2" fontId="24" numFmtId="1" xfId="0" applyAlignment="1" applyBorder="1" applyFont="1" applyNumberFormat="1">
      <alignment horizontal="center" readingOrder="0" vertical="center"/>
    </xf>
    <xf borderId="6" fillId="5" fontId="24" numFmtId="1" xfId="0" applyAlignment="1" applyBorder="1" applyFont="1" applyNumberFormat="1">
      <alignment horizontal="center" readingOrder="0" vertical="center"/>
    </xf>
    <xf borderId="0" fillId="0" fontId="24" numFmtId="0" xfId="0" applyFont="1"/>
    <xf borderId="0" fillId="0" fontId="24" numFmtId="0" xfId="0" applyAlignment="1" applyFont="1">
      <alignment horizontal="center" readingOrder="0" shrinkToFit="0" vertical="center" wrapText="1"/>
    </xf>
    <xf borderId="6" fillId="2" fontId="24" numFmtId="0" xfId="0" applyAlignment="1" applyBorder="1" applyFont="1">
      <alignment horizontal="center" readingOrder="0" shrinkToFit="0" vertical="center" wrapText="1"/>
    </xf>
    <xf borderId="6" fillId="3" fontId="24" numFmtId="0" xfId="0" applyAlignment="1" applyBorder="1" applyFont="1">
      <alignment horizontal="center" readingOrder="0" shrinkToFit="0" vertical="center" wrapText="1"/>
    </xf>
    <xf borderId="6" fillId="5" fontId="24" numFmtId="0" xfId="0" applyAlignment="1" applyBorder="1" applyFont="1">
      <alignment horizontal="center" readingOrder="0" vertical="center"/>
    </xf>
    <xf borderId="6" fillId="3" fontId="24" numFmtId="0" xfId="0" applyAlignment="1" applyBorder="1" applyFont="1">
      <alignment horizontal="center" readingOrder="0" vertical="center"/>
    </xf>
    <xf borderId="6" fillId="0" fontId="24" numFmtId="0" xfId="0" applyAlignment="1" applyBorder="1" applyFont="1">
      <alignment horizontal="center"/>
    </xf>
    <xf borderId="6" fillId="2" fontId="24" numFmtId="1" xfId="0" applyAlignment="1" applyBorder="1" applyFont="1" applyNumberFormat="1">
      <alignment horizontal="center" readingOrder="0" vertical="center"/>
    </xf>
    <xf borderId="6" fillId="3" fontId="24" numFmtId="1" xfId="0" applyAlignment="1" applyBorder="1" applyFont="1" applyNumberFormat="1">
      <alignment horizontal="center" readingOrder="0" vertical="center"/>
    </xf>
    <xf borderId="6" fillId="2" fontId="24" numFmtId="3" xfId="0" applyAlignment="1" applyBorder="1" applyFont="1" applyNumberFormat="1">
      <alignment horizontal="center" readingOrder="0" vertical="center"/>
    </xf>
    <xf borderId="6" fillId="2" fontId="24" numFmtId="10" xfId="0" applyAlignment="1" applyBorder="1" applyFont="1" applyNumberFormat="1">
      <alignment horizontal="center" readingOrder="0" vertical="center"/>
    </xf>
    <xf borderId="6" fillId="0" fontId="24" numFmtId="1" xfId="0" applyAlignment="1" applyBorder="1" applyFont="1" applyNumberFormat="1">
      <alignment horizontal="center" readingOrder="0" vertical="center"/>
    </xf>
    <xf borderId="6" fillId="5" fontId="24" numFmtId="164" xfId="0" applyAlignment="1" applyBorder="1" applyFont="1" applyNumberFormat="1">
      <alignment horizontal="center" vertical="center"/>
    </xf>
    <xf borderId="6" fillId="2" fontId="24" numFmtId="1" xfId="0" applyAlignment="1" applyBorder="1" applyFont="1" applyNumberFormat="1">
      <alignment horizontal="center" vertical="center"/>
    </xf>
    <xf borderId="0" fillId="0" fontId="24" numFmtId="10" xfId="0" applyAlignment="1" applyFont="1" applyNumberFormat="1">
      <alignment horizontal="center" vertical="center"/>
    </xf>
    <xf borderId="6" fillId="0" fontId="24" numFmtId="1" xfId="0" applyAlignment="1" applyBorder="1" applyFont="1" applyNumberFormat="1">
      <alignment horizontal="center" vertical="center"/>
    </xf>
    <xf borderId="6" fillId="0" fontId="24" numFmtId="10" xfId="0" applyAlignment="1" applyBorder="1" applyFont="1" applyNumberFormat="1">
      <alignment horizontal="center"/>
    </xf>
    <xf borderId="0" fillId="0" fontId="24" numFmtId="0" xfId="0" applyAlignment="1" applyFont="1">
      <alignment horizontal="center"/>
    </xf>
    <xf borderId="0" fillId="0" fontId="24" numFmtId="164" xfId="0" applyAlignment="1" applyFont="1" applyNumberFormat="1">
      <alignment horizontal="center" vertical="center"/>
    </xf>
    <xf borderId="0" fillId="0" fontId="24" numFmtId="1" xfId="0" applyAlignment="1" applyFont="1" applyNumberFormat="1">
      <alignment horizontal="center" vertical="center"/>
    </xf>
    <xf borderId="0" fillId="0" fontId="24" numFmtId="1" xfId="0" applyAlignment="1" applyFont="1" applyNumberFormat="1">
      <alignment horizontal="center" readingOrder="0" vertical="center"/>
    </xf>
    <xf borderId="1" fillId="0" fontId="22" numFmtId="0" xfId="0" applyAlignment="1" applyBorder="1" applyFont="1">
      <alignment horizontal="center" readingOrder="0" shrinkToFit="0" vertical="center" wrapText="0"/>
    </xf>
    <xf borderId="3" fillId="0" fontId="22" numFmtId="0" xfId="0" applyAlignment="1" applyBorder="1" applyFont="1">
      <alignment horizontal="center" readingOrder="0" shrinkToFit="0" vertical="center" wrapText="0"/>
    </xf>
    <xf borderId="6" fillId="0" fontId="22" numFmtId="0" xfId="0" applyAlignment="1" applyBorder="1" applyFont="1">
      <alignment horizontal="center" readingOrder="0" shrinkToFit="0" vertical="center" wrapText="0"/>
    </xf>
    <xf borderId="3" fillId="0" fontId="49" numFmtId="0" xfId="0" applyAlignment="1" applyBorder="1" applyFont="1">
      <alignment horizontal="center" readingOrder="0" shrinkToFit="0" vertical="center" wrapText="0"/>
    </xf>
    <xf borderId="6" fillId="0" fontId="22" numFmtId="164" xfId="0" applyAlignment="1" applyBorder="1" applyFont="1" applyNumberFormat="1">
      <alignment horizontal="center" shrinkToFit="0" vertical="center" wrapText="0"/>
    </xf>
    <xf borderId="6" fillId="0" fontId="22" numFmtId="164" xfId="0" applyAlignment="1" applyBorder="1" applyFont="1" applyNumberFormat="1">
      <alignment horizontal="center" readingOrder="0" shrinkToFit="0" vertical="center" wrapText="0"/>
    </xf>
    <xf borderId="6" fillId="0" fontId="22" numFmtId="0" xfId="0" applyAlignment="1" applyBorder="1" applyFont="1">
      <alignment horizontal="center" shrinkToFit="0" vertical="center" wrapText="0"/>
    </xf>
    <xf borderId="1" fillId="0" fontId="22" numFmtId="0" xfId="0" applyAlignment="1" applyBorder="1" applyFont="1">
      <alignment horizontal="center" shrinkToFit="0" vertical="center" wrapText="0"/>
    </xf>
    <xf borderId="4" fillId="0" fontId="22" numFmtId="0" xfId="0" applyAlignment="1" applyBorder="1" applyFont="1">
      <alignment horizontal="center" readingOrder="0" shrinkToFit="0" vertical="center" wrapText="0"/>
    </xf>
    <xf borderId="10" fillId="0" fontId="22" numFmtId="0" xfId="0" applyAlignment="1" applyBorder="1" applyFont="1">
      <alignment horizontal="center" shrinkToFit="0" vertical="center" wrapText="0"/>
    </xf>
    <xf borderId="0" fillId="14" fontId="1" numFmtId="167" xfId="0" applyAlignment="1" applyFont="1" applyNumberFormat="1">
      <alignment horizontal="center" vertical="center"/>
    </xf>
    <xf borderId="0" fillId="0" fontId="1" numFmtId="170" xfId="0" applyAlignment="1" applyFont="1" applyNumberFormat="1">
      <alignment horizontal="center" readingOrder="0" vertical="center"/>
    </xf>
    <xf borderId="0" fillId="5" fontId="1" numFmtId="171" xfId="0" applyAlignment="1" applyFont="1" applyNumberFormat="1">
      <alignment horizontal="center" readingOrder="0" vertical="center"/>
    </xf>
    <xf borderId="6" fillId="0" fontId="25" numFmtId="0" xfId="0" applyAlignment="1" applyBorder="1" applyFont="1">
      <alignment horizontal="center" readingOrder="0" shrinkToFit="0" vertical="center" wrapText="0"/>
    </xf>
    <xf borderId="6" fillId="0" fontId="25" numFmtId="0" xfId="0" applyAlignment="1" applyBorder="1" applyFont="1">
      <alignment horizontal="left" readingOrder="0" shrinkToFit="0" vertical="center" wrapText="0"/>
    </xf>
    <xf borderId="6" fillId="14" fontId="25" numFmtId="167" xfId="0" applyAlignment="1" applyBorder="1" applyFont="1" applyNumberFormat="1">
      <alignment horizontal="center" readingOrder="0" shrinkToFit="0" vertical="center" wrapText="0"/>
    </xf>
    <xf borderId="0" fillId="0" fontId="25" numFmtId="2" xfId="0" applyAlignment="1" applyFont="1" applyNumberFormat="1">
      <alignment horizontal="center" readingOrder="0" shrinkToFit="0" vertical="center" wrapText="0"/>
    </xf>
    <xf borderId="0" fillId="5" fontId="24" numFmtId="0" xfId="0" applyAlignment="1" applyFont="1">
      <alignment horizontal="center" readingOrder="0" vertical="center"/>
    </xf>
    <xf borderId="0" fillId="0" fontId="33" numFmtId="0" xfId="0" applyAlignment="1" applyFont="1">
      <alignment vertical="center"/>
    </xf>
    <xf borderId="3" fillId="0" fontId="23" numFmtId="0" xfId="0" applyAlignment="1" applyBorder="1" applyFont="1">
      <alignment horizontal="center" readingOrder="0" shrinkToFit="0" vertical="center" wrapText="0"/>
    </xf>
    <xf borderId="0" fillId="0" fontId="23" numFmtId="2" xfId="0" applyAlignment="1" applyFont="1" applyNumberFormat="1">
      <alignment horizontal="center" readingOrder="0" shrinkToFit="0" vertical="center" wrapText="0"/>
    </xf>
    <xf borderId="0" fillId="5" fontId="24" numFmtId="0" xfId="0" applyAlignment="1" applyFont="1">
      <alignment horizontal="center" vertical="center"/>
    </xf>
    <xf borderId="0" fillId="0" fontId="22" numFmtId="0" xfId="0" applyAlignment="1" applyFont="1">
      <alignment horizontal="center" readingOrder="0" shrinkToFit="0" vertical="center" wrapText="0"/>
    </xf>
    <xf borderId="7" fillId="0" fontId="22" numFmtId="0" xfId="0" applyAlignment="1" applyBorder="1" applyFont="1">
      <alignment horizontal="center" readingOrder="0" shrinkToFit="0" vertical="center" wrapText="0"/>
    </xf>
    <xf borderId="7" fillId="0" fontId="22" numFmtId="0" xfId="0" applyAlignment="1" applyBorder="1" applyFont="1">
      <alignment horizontal="center" shrinkToFit="0" vertical="center" wrapText="0"/>
    </xf>
    <xf borderId="7" fillId="0" fontId="22" numFmtId="0" xfId="0" applyAlignment="1" applyBorder="1" applyFont="1">
      <alignment horizontal="left" readingOrder="0" shrinkToFit="0" vertical="center" wrapText="0"/>
    </xf>
    <xf borderId="0" fillId="0" fontId="22" numFmtId="2" xfId="0" applyAlignment="1" applyFont="1" applyNumberFormat="1">
      <alignment horizontal="center" readingOrder="0" shrinkToFit="0" vertical="center" wrapText="0"/>
    </xf>
    <xf borderId="0" fillId="14" fontId="22" numFmtId="167" xfId="0" applyAlignment="1" applyFont="1" applyNumberFormat="1">
      <alignment horizontal="center" readingOrder="0" shrinkToFit="0" vertical="center" wrapText="0"/>
    </xf>
    <xf borderId="0" fillId="0" fontId="22" numFmtId="2" xfId="0" applyAlignment="1" applyFont="1" applyNumberFormat="1">
      <alignment horizontal="center" shrinkToFit="0" vertical="center" wrapText="0"/>
    </xf>
    <xf borderId="6" fillId="0" fontId="22" numFmtId="0" xfId="0" applyAlignment="1" applyBorder="1" applyFont="1">
      <alignment horizontal="left" readingOrder="0" shrinkToFit="0" vertical="center" wrapText="0"/>
    </xf>
    <xf borderId="0" fillId="3" fontId="22" numFmtId="0" xfId="0" applyAlignment="1" applyFont="1">
      <alignment horizontal="center" readingOrder="0" shrinkToFit="0" vertical="center" wrapText="0"/>
    </xf>
    <xf borderId="6" fillId="0" fontId="22" numFmtId="0" xfId="0" applyAlignment="1" applyBorder="1" applyFont="1">
      <alignment horizontal="center" shrinkToFit="0" vertical="center" wrapText="0"/>
    </xf>
    <xf borderId="0" fillId="0" fontId="22" numFmtId="0" xfId="0" applyAlignment="1" applyFont="1">
      <alignment horizontal="center" shrinkToFit="0" vertical="center" wrapText="0"/>
    </xf>
    <xf borderId="0" fillId="14" fontId="22" numFmtId="167" xfId="0" applyAlignment="1" applyFont="1" applyNumberFormat="1">
      <alignment horizontal="center" shrinkToFit="0" vertical="center" wrapText="0"/>
    </xf>
    <xf borderId="0" fillId="0" fontId="23" numFmtId="0" xfId="0" applyAlignment="1" applyFont="1">
      <alignment horizontal="center" readingOrder="0" shrinkToFit="0" vertical="center" wrapText="0"/>
    </xf>
    <xf borderId="0" fillId="0" fontId="22" numFmtId="0" xfId="0" applyAlignment="1" applyFont="1">
      <alignment horizontal="left" readingOrder="0" shrinkToFit="0" vertical="center" wrapText="0"/>
    </xf>
    <xf borderId="6" fillId="0" fontId="23" numFmtId="0" xfId="0" applyAlignment="1" applyBorder="1" applyFont="1">
      <alignment horizontal="center" readingOrder="0" shrinkToFit="0" wrapText="0"/>
    </xf>
    <xf borderId="6" fillId="0" fontId="23" numFmtId="0" xfId="0" applyAlignment="1" applyBorder="1" applyFont="1">
      <alignment horizontal="left" readingOrder="0" shrinkToFit="0" wrapText="0"/>
    </xf>
    <xf borderId="6" fillId="0" fontId="22" numFmtId="0" xfId="0" applyAlignment="1" applyBorder="1" applyFont="1">
      <alignment horizontal="center" readingOrder="0" shrinkToFit="0" wrapText="0"/>
    </xf>
    <xf borderId="7" fillId="0" fontId="22" numFmtId="0" xfId="0" applyAlignment="1" applyBorder="1" applyFont="1">
      <alignment horizontal="center" readingOrder="0" shrinkToFit="0" wrapText="0"/>
    </xf>
    <xf borderId="7" fillId="0" fontId="22" numFmtId="0" xfId="0" applyAlignment="1" applyBorder="1" applyFont="1">
      <alignment horizontal="center" shrinkToFit="0" wrapText="0"/>
    </xf>
    <xf borderId="7" fillId="0" fontId="22" numFmtId="0" xfId="0" applyAlignment="1" applyBorder="1" applyFont="1">
      <alignment horizontal="left" readingOrder="0" shrinkToFit="0" wrapText="0"/>
    </xf>
    <xf borderId="6" fillId="0" fontId="22" numFmtId="0" xfId="0" applyAlignment="1" applyBorder="1" applyFont="1">
      <alignment horizontal="center" shrinkToFit="0" wrapText="0"/>
    </xf>
    <xf borderId="6" fillId="0" fontId="22" numFmtId="0" xfId="0" applyAlignment="1" applyBorder="1" applyFont="1">
      <alignment horizontal="left" readingOrder="0" shrinkToFit="0" wrapText="0"/>
    </xf>
    <xf borderId="6" fillId="0" fontId="22" numFmtId="0" xfId="0" applyAlignment="1" applyBorder="1" applyFont="1">
      <alignment horizontal="center" shrinkToFit="0" wrapText="0"/>
    </xf>
    <xf borderId="0" fillId="0" fontId="22" numFmtId="0" xfId="0" applyAlignment="1" applyFont="1">
      <alignment horizontal="center" readingOrder="0" shrinkToFit="0" vertical="center" wrapText="1"/>
    </xf>
    <xf borderId="6" fillId="3" fontId="22" numFmtId="0" xfId="0" applyAlignment="1" applyBorder="1" applyFont="1">
      <alignment horizontal="center" readingOrder="0" shrinkToFit="0" wrapText="0"/>
    </xf>
    <xf borderId="6" fillId="3" fontId="22" numFmtId="0" xfId="0" applyAlignment="1" applyBorder="1" applyFont="1">
      <alignment horizontal="center" shrinkToFit="0" wrapText="0"/>
    </xf>
    <xf borderId="6" fillId="3" fontId="22" numFmtId="0" xfId="0" applyAlignment="1" applyBorder="1" applyFont="1">
      <alignment horizontal="left" readingOrder="0" shrinkToFit="0" wrapText="0"/>
    </xf>
    <xf borderId="6" fillId="0" fontId="22" numFmtId="0" xfId="0" applyAlignment="1" applyBorder="1" applyFont="1">
      <alignment horizontal="left" readingOrder="0" shrinkToFit="0" wrapText="0"/>
    </xf>
    <xf borderId="0" fillId="0" fontId="24" numFmtId="170" xfId="0" applyAlignment="1" applyFont="1" applyNumberFormat="1">
      <alignment horizontal="center" readingOrder="0" vertical="center"/>
    </xf>
    <xf borderId="0" fillId="0" fontId="24" numFmtId="10" xfId="0" applyAlignment="1" applyFont="1" applyNumberFormat="1">
      <alignment readingOrder="0" vertical="center"/>
    </xf>
    <xf borderId="0" fillId="2" fontId="24" numFmtId="2" xfId="0" applyAlignment="1" applyFont="1" applyNumberFormat="1">
      <alignment horizontal="center" vertical="center"/>
    </xf>
    <xf borderId="6" fillId="4" fontId="22" numFmtId="0" xfId="0" applyAlignment="1" applyBorder="1" applyFont="1">
      <alignment horizontal="left" readingOrder="0" shrinkToFit="0" vertical="center" wrapText="0"/>
    </xf>
    <xf borderId="1" fillId="4" fontId="22" numFmtId="0" xfId="0" applyAlignment="1" applyBorder="1" applyFont="1">
      <alignment horizontal="left" readingOrder="0" shrinkToFit="0" vertical="center" wrapText="0"/>
    </xf>
    <xf borderId="10" fillId="0" fontId="22" numFmtId="0" xfId="0" applyAlignment="1" applyBorder="1" applyFont="1">
      <alignment horizontal="center" readingOrder="0" shrinkToFit="0" wrapText="0"/>
    </xf>
    <xf borderId="10" fillId="0" fontId="22" numFmtId="0" xfId="0" applyAlignment="1" applyBorder="1" applyFont="1">
      <alignment horizontal="center" shrinkToFit="0" wrapText="0"/>
    </xf>
    <xf borderId="10" fillId="0" fontId="22" numFmtId="0" xfId="0" applyAlignment="1" applyBorder="1" applyFont="1">
      <alignment horizontal="left" readingOrder="0" shrinkToFit="0" wrapText="0"/>
    </xf>
    <xf borderId="0" fillId="0" fontId="1" numFmtId="0" xfId="0" applyAlignment="1" applyFont="1">
      <alignment horizontal="center"/>
    </xf>
    <xf borderId="0" fillId="14" fontId="1" numFmtId="167" xfId="0" applyAlignment="1" applyFont="1" applyNumberFormat="1">
      <alignment horizontal="center"/>
    </xf>
    <xf borderId="0" fillId="0" fontId="1" numFmtId="2" xfId="0" applyAlignment="1" applyFont="1" applyNumberFormat="1">
      <alignment horizontal="center"/>
    </xf>
    <xf borderId="0" fillId="0" fontId="22" numFmtId="0" xfId="0" applyAlignment="1" applyFont="1">
      <alignment horizontal="center" readingOrder="0" shrinkToFit="0" wrapText="0"/>
    </xf>
    <xf borderId="0" fillId="0" fontId="22" numFmtId="0" xfId="0" applyAlignment="1" applyFont="1">
      <alignment horizontal="center" shrinkToFit="0" wrapText="0"/>
    </xf>
    <xf borderId="0" fillId="0" fontId="22" numFmtId="0" xfId="0" applyAlignment="1" applyFont="1">
      <alignment horizontal="left" readingOrder="0" shrinkToFit="0" wrapText="0"/>
    </xf>
    <xf borderId="0" fillId="0" fontId="22" numFmtId="0" xfId="0" applyAlignment="1" applyFont="1">
      <alignment horizontal="left" readingOrder="0" shrinkToFit="0" wrapText="0"/>
    </xf>
    <xf borderId="0" fillId="0" fontId="24" numFmtId="0" xfId="0" applyAlignment="1" applyFont="1">
      <alignment horizontal="left" vertical="center"/>
    </xf>
    <xf borderId="0" fillId="14" fontId="24" numFmtId="167" xfId="0" applyAlignment="1" applyFont="1" applyNumberFormat="1">
      <alignment horizontal="center" readingOrder="0" vertical="center"/>
    </xf>
    <xf borderId="0" fillId="14" fontId="24" numFmtId="167" xfId="0" applyAlignment="1" applyFont="1" applyNumberFormat="1">
      <alignment horizontal="center" vertical="center"/>
    </xf>
    <xf borderId="0" fillId="13" fontId="24" numFmtId="2" xfId="0" applyAlignment="1" applyFont="1" applyNumberFormat="1">
      <alignment horizontal="center" vertical="center"/>
    </xf>
    <xf borderId="0" fillId="4" fontId="24" numFmtId="2" xfId="0" applyAlignment="1" applyFont="1" applyNumberFormat="1">
      <alignment horizontal="center" readingOrder="0" vertical="center"/>
    </xf>
    <xf borderId="0" fillId="4" fontId="24" numFmtId="1" xfId="0" applyAlignment="1" applyFont="1" applyNumberFormat="1">
      <alignment horizontal="center" vertical="center"/>
    </xf>
    <xf borderId="0" fillId="4" fontId="24" numFmtId="0" xfId="0" applyAlignment="1" applyFont="1">
      <alignment horizontal="center" vertical="center"/>
    </xf>
    <xf borderId="0" fillId="0" fontId="31" numFmtId="0" xfId="0" applyAlignment="1" applyFont="1">
      <alignment horizontal="center" readingOrder="0" vertical="center"/>
    </xf>
    <xf borderId="3" fillId="2" fontId="50" numFmtId="0" xfId="0" applyAlignment="1" applyBorder="1" applyFont="1">
      <alignment horizontal="center" readingOrder="0" vertical="center"/>
    </xf>
    <xf borderId="11" fillId="2" fontId="50" numFmtId="0" xfId="0" applyAlignment="1" applyBorder="1" applyFont="1">
      <alignment horizontal="center" readingOrder="0" vertical="center"/>
    </xf>
    <xf borderId="0" fillId="2" fontId="50" numFmtId="0" xfId="0" applyAlignment="1" applyFont="1">
      <alignment horizontal="center" readingOrder="0" vertical="center"/>
    </xf>
    <xf borderId="16" fillId="0" fontId="31" numFmtId="0" xfId="0" applyAlignment="1" applyBorder="1" applyFont="1">
      <alignment horizontal="center" readingOrder="0" vertical="center"/>
    </xf>
    <xf borderId="17" fillId="0" fontId="29" numFmtId="0" xfId="0" applyAlignment="1" applyBorder="1" applyFont="1">
      <alignment vertical="center"/>
    </xf>
    <xf borderId="3" fillId="15" fontId="50" numFmtId="2" xfId="0" applyAlignment="1" applyBorder="1" applyFill="1" applyFont="1" applyNumberFormat="1">
      <alignment horizontal="center" vertical="center"/>
    </xf>
    <xf borderId="3" fillId="15" fontId="50" numFmtId="0" xfId="0" applyAlignment="1" applyBorder="1" applyFont="1">
      <alignment horizontal="center" vertical="center"/>
    </xf>
    <xf borderId="3" fillId="2" fontId="50" numFmtId="0" xfId="0" applyAlignment="1" applyBorder="1" applyFont="1">
      <alignment horizontal="center" vertical="center"/>
    </xf>
    <xf borderId="4" fillId="2" fontId="50" numFmtId="0" xfId="0" applyAlignment="1" applyBorder="1" applyFont="1">
      <alignment horizontal="center" vertical="center"/>
    </xf>
    <xf borderId="5" fillId="2" fontId="50" numFmtId="0" xfId="0" applyAlignment="1" applyBorder="1" applyFont="1">
      <alignment horizontal="center" vertical="center"/>
    </xf>
    <xf borderId="3" fillId="15" fontId="16" numFmtId="167" xfId="0" applyAlignment="1" applyBorder="1" applyFont="1" applyNumberFormat="1">
      <alignment horizontal="center" vertical="center"/>
    </xf>
    <xf borderId="3" fillId="15" fontId="16" numFmtId="0" xfId="0" applyAlignment="1" applyBorder="1" applyFont="1">
      <alignment horizontal="center" vertical="center"/>
    </xf>
    <xf borderId="6" fillId="16" fontId="26" numFmtId="0" xfId="0" applyAlignment="1" applyBorder="1" applyFill="1" applyFont="1">
      <alignment horizontal="center" readingOrder="0" shrinkToFit="0" vertical="center" wrapText="1"/>
    </xf>
    <xf borderId="6" fillId="16" fontId="26" numFmtId="0" xfId="0" applyAlignment="1" applyBorder="1" applyFont="1">
      <alignment horizontal="center" shrinkToFit="0" vertical="center" wrapText="1"/>
    </xf>
    <xf borderId="6" fillId="2" fontId="26" numFmtId="0" xfId="0" applyAlignment="1" applyBorder="1" applyFont="1">
      <alignment horizontal="center" shrinkToFit="0" vertical="center" wrapText="1"/>
    </xf>
    <xf borderId="6" fillId="2" fontId="26" numFmtId="0" xfId="0" applyAlignment="1" applyBorder="1" applyFont="1">
      <alignment horizontal="center" readingOrder="0" shrinkToFit="0" vertical="center" wrapText="1"/>
    </xf>
    <xf borderId="6" fillId="2" fontId="26" numFmtId="2" xfId="0" applyAlignment="1" applyBorder="1" applyFont="1" applyNumberFormat="1">
      <alignment horizontal="center" shrinkToFit="0" vertical="center" wrapText="1"/>
    </xf>
    <xf borderId="6" fillId="2" fontId="26" numFmtId="164" xfId="0" applyAlignment="1" applyBorder="1" applyFont="1" applyNumberFormat="1">
      <alignment horizontal="center" shrinkToFit="0" vertical="center" wrapText="1"/>
    </xf>
    <xf borderId="6" fillId="2" fontId="26" numFmtId="2" xfId="0" applyAlignment="1" applyBorder="1" applyFont="1" applyNumberFormat="1">
      <alignment horizontal="center" readingOrder="0" shrinkToFit="0" vertical="center" wrapText="1"/>
    </xf>
    <xf borderId="6" fillId="16" fontId="26" numFmtId="0" xfId="0" applyAlignment="1" applyBorder="1" applyFont="1">
      <alignment horizontal="center" vertical="center"/>
    </xf>
    <xf borderId="6" fillId="16" fontId="26" numFmtId="2" xfId="0" applyAlignment="1" applyBorder="1" applyFont="1" applyNumberFormat="1">
      <alignment horizontal="center" vertical="center"/>
    </xf>
    <xf borderId="6" fillId="16" fontId="26" numFmtId="167" xfId="0" applyAlignment="1" applyBorder="1" applyFont="1" applyNumberFormat="1">
      <alignment horizontal="center" vertical="center"/>
    </xf>
    <xf borderId="6" fillId="2" fontId="29" numFmtId="2" xfId="0" applyAlignment="1" applyBorder="1" applyFont="1" applyNumberFormat="1">
      <alignment horizontal="center" vertical="center"/>
    </xf>
    <xf borderId="6" fillId="2" fontId="29" numFmtId="2" xfId="0" applyAlignment="1" applyBorder="1" applyFont="1" applyNumberFormat="1">
      <alignment horizontal="center" readingOrder="0" vertical="center"/>
    </xf>
    <xf borderId="6" fillId="2" fontId="29" numFmtId="167" xfId="0" applyAlignment="1" applyBorder="1" applyFont="1" applyNumberFormat="1">
      <alignment horizontal="center" vertical="center"/>
    </xf>
    <xf borderId="6" fillId="2" fontId="29" numFmtId="164" xfId="0" applyAlignment="1" applyBorder="1" applyFont="1" applyNumberFormat="1">
      <alignment horizontal="center" vertical="center"/>
    </xf>
    <xf borderId="0" fillId="2" fontId="50" numFmtId="0" xfId="0" applyAlignment="1" applyFont="1">
      <alignment horizontal="center" vertical="center"/>
    </xf>
    <xf borderId="0" fillId="2" fontId="26" numFmtId="2" xfId="0" applyAlignment="1" applyFont="1" applyNumberFormat="1">
      <alignment horizontal="center" shrinkToFit="0" vertical="center" wrapText="1"/>
    </xf>
    <xf borderId="6" fillId="2" fontId="29" numFmtId="167" xfId="0" applyAlignment="1" applyBorder="1" applyFont="1" applyNumberFormat="1">
      <alignment vertical="center"/>
    </xf>
    <xf borderId="6" fillId="2" fontId="29" numFmtId="2" xfId="0" applyAlignment="1" applyBorder="1" applyFont="1" applyNumberFormat="1">
      <alignment horizontal="center" shrinkToFit="0" vertical="center" wrapText="1"/>
    </xf>
    <xf borderId="3" fillId="0" fontId="51" numFmtId="0" xfId="0" applyAlignment="1" applyBorder="1" applyFont="1">
      <alignment horizontal="center" readingOrder="0" shrinkToFit="0" vertical="center" wrapText="0"/>
    </xf>
    <xf borderId="0" fillId="2" fontId="26" numFmtId="2" xfId="0" applyAlignment="1" applyFont="1" applyNumberFormat="1">
      <alignment horizontal="center" readingOrder="0" vertical="center"/>
    </xf>
    <xf borderId="6" fillId="0" fontId="52" numFmtId="0" xfId="0" applyAlignment="1" applyBorder="1" applyFont="1">
      <alignment horizontal="center" readingOrder="0" vertical="center"/>
    </xf>
    <xf borderId="0" fillId="2" fontId="26" numFmtId="2" xfId="0" applyAlignment="1" applyFont="1" applyNumberFormat="1">
      <alignment horizontal="right" vertical="center"/>
    </xf>
    <xf borderId="6" fillId="0" fontId="53" numFmtId="0" xfId="0" applyAlignment="1" applyBorder="1" applyFont="1">
      <alignment horizontal="left" readingOrder="0" vertical="center"/>
    </xf>
    <xf borderId="6" fillId="0" fontId="53" numFmtId="0" xfId="0" applyAlignment="1" applyBorder="1" applyFont="1">
      <alignment horizontal="center" readingOrder="0" vertical="center"/>
    </xf>
    <xf borderId="6" fillId="0" fontId="54" numFmtId="0" xfId="0" applyAlignment="1" applyBorder="1" applyFont="1">
      <alignment horizontal="center" readingOrder="0" vertical="center"/>
    </xf>
    <xf borderId="9" fillId="0" fontId="54" numFmtId="0" xfId="0" applyAlignment="1" applyBorder="1" applyFont="1">
      <alignment horizontal="left" readingOrder="0" vertical="center"/>
    </xf>
    <xf borderId="6" fillId="0" fontId="52" numFmtId="0" xfId="0" applyAlignment="1" applyBorder="1" applyFont="1">
      <alignment horizontal="center" readingOrder="0" vertical="center"/>
    </xf>
    <xf borderId="6" fillId="0" fontId="55" numFmtId="0" xfId="0" applyAlignment="1" applyBorder="1" applyFont="1">
      <alignment horizontal="center" readingOrder="0" vertical="center"/>
    </xf>
    <xf borderId="0" fillId="0" fontId="52" numFmtId="0" xfId="0" applyAlignment="1" applyFont="1">
      <alignment horizontal="left" readingOrder="0" shrinkToFit="0" vertical="center" wrapText="0"/>
    </xf>
    <xf borderId="6" fillId="2" fontId="29" numFmtId="2" xfId="0" applyAlignment="1" applyBorder="1" applyFont="1" applyNumberFormat="1">
      <alignment horizontal="center" readingOrder="0" shrinkToFit="0" vertical="center" wrapText="1"/>
    </xf>
    <xf borderId="9" fillId="0" fontId="52" numFmtId="0" xfId="0" applyAlignment="1" applyBorder="1" applyFont="1">
      <alignment horizontal="left" readingOrder="0" vertical="center"/>
    </xf>
    <xf borderId="6" fillId="0" fontId="55" numFmtId="0" xfId="0" applyAlignment="1" applyBorder="1" applyFont="1">
      <alignment horizontal="center" vertical="center"/>
    </xf>
    <xf borderId="6" fillId="0" fontId="52" numFmtId="0" xfId="0" applyAlignment="1" applyBorder="1" applyFont="1">
      <alignment horizontal="center" vertical="center"/>
    </xf>
    <xf borderId="0" fillId="0" fontId="1" numFmtId="0" xfId="0" applyAlignment="1" applyFont="1">
      <alignment horizontal="left"/>
    </xf>
    <xf borderId="18" fillId="0" fontId="16" numFmtId="0" xfId="0" applyAlignment="1" applyBorder="1" applyFont="1">
      <alignment horizontal="center" readingOrder="0" vertical="center"/>
    </xf>
    <xf borderId="3" fillId="15" fontId="50" numFmtId="0" xfId="0" applyAlignment="1" applyBorder="1" applyFont="1">
      <alignment horizontal="center" readingOrder="0" vertical="center"/>
    </xf>
    <xf borderId="3" fillId="15" fontId="50" numFmtId="167" xfId="0" applyAlignment="1" applyBorder="1" applyFont="1" applyNumberFormat="1">
      <alignment horizontal="center" vertical="center"/>
    </xf>
    <xf borderId="3" fillId="15" fontId="16" numFmtId="0" xfId="0" applyAlignment="1" applyBorder="1" applyFont="1">
      <alignment horizontal="center" readingOrder="0" vertical="center"/>
    </xf>
    <xf borderId="3" fillId="15" fontId="16" numFmtId="167" xfId="0" applyAlignment="1" applyBorder="1" applyFont="1" applyNumberFormat="1">
      <alignment horizontal="center" readingOrder="0" vertical="center"/>
    </xf>
    <xf borderId="6" fillId="2" fontId="26" numFmtId="164" xfId="0" applyAlignment="1" applyBorder="1" applyFont="1" applyNumberFormat="1">
      <alignment horizontal="center" readingOrder="0" shrinkToFit="0" vertical="center" wrapText="1"/>
    </xf>
    <xf borderId="6" fillId="2" fontId="29" numFmtId="164" xfId="0" applyAlignment="1" applyBorder="1" applyFont="1" applyNumberFormat="1">
      <alignment horizontal="center" readingOrder="0" vertical="center"/>
    </xf>
    <xf borderId="0" fillId="0" fontId="1" numFmtId="3" xfId="0" applyAlignment="1" applyFont="1" applyNumberFormat="1">
      <alignment horizontal="center" readingOrder="0" vertical="center"/>
    </xf>
  </cellXfs>
  <cellStyles count="1">
    <cellStyle xfId="0" name="Normal" builtinId="0"/>
  </cellStyles>
  <dxfs count="5">
    <dxf>
      <font/>
      <fill>
        <patternFill patternType="solid">
          <fgColor rgb="FF93C47D"/>
          <bgColor rgb="FF93C47D"/>
        </patternFill>
      </fill>
      <border/>
    </dxf>
    <dxf>
      <font/>
      <fill>
        <patternFill patternType="solid">
          <fgColor rgb="FFEA9999"/>
          <bgColor rgb="FFEA9999"/>
        </patternFill>
      </fill>
      <border/>
    </dxf>
    <dxf>
      <font/>
      <fill>
        <patternFill patternType="solid">
          <fgColor rgb="FFFFFF00"/>
          <bgColor rgb="FFFFFF00"/>
        </patternFill>
      </fill>
      <border/>
    </dxf>
    <dxf>
      <font/>
      <fill>
        <patternFill patternType="solid">
          <fgColor rgb="FF00FFFF"/>
          <bgColor rgb="FF00FFFF"/>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5fA3q2UYXXJTnJSsdBETDZNP24tMnVOMP19XKJNjnmk/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TX-9XGjxpqHQahWoH9tryIBWer6h9pqOFfc8QE1-51Y/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8.xml"/><Relationship Id="rId3" Type="http://schemas.openxmlformats.org/officeDocument/2006/relationships/vmlDrawing" Target="../drawings/vmlDrawing1.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13"/>
    <col customWidth="1" min="2" max="2" width="18.25"/>
    <col hidden="1" min="26" max="26" width="12.63"/>
  </cols>
  <sheetData>
    <row r="1">
      <c r="A1" s="8" t="s">
        <v>2</v>
      </c>
      <c r="B1" s="10" t="s">
        <v>11</v>
      </c>
      <c r="C1" s="13">
        <f t="shared" ref="C1:E1" si="1">SUM(C3:C10)</f>
        <v>1075</v>
      </c>
      <c r="D1" s="13" t="str">
        <f t="shared" si="1"/>
        <v>#REF!</v>
      </c>
      <c r="E1" s="13" t="str">
        <f t="shared" si="1"/>
        <v>#REF!</v>
      </c>
      <c r="F1" s="19" t="str">
        <f>IFERROR(E1-D1,"")/E1</f>
        <v>#REF!</v>
      </c>
    </row>
    <row r="2">
      <c r="B2" s="10"/>
      <c r="C2" s="3" t="s">
        <v>14</v>
      </c>
      <c r="D2" s="3" t="s">
        <v>15</v>
      </c>
      <c r="E2" s="3" t="s">
        <v>16</v>
      </c>
      <c r="F2" s="3" t="s">
        <v>17</v>
      </c>
    </row>
    <row r="3">
      <c r="B3" s="10" t="s">
        <v>9</v>
      </c>
      <c r="C3" s="3">
        <v>20.0</v>
      </c>
      <c r="D3" s="25">
        <f>sum(' CPVC PIPE'!F11,' CPVC PIPE'!F43,' CPVC PIPE'!F18,' CPVC PIPE'!F50)</f>
        <v>71566</v>
      </c>
      <c r="E3" s="13" t="str">
        <f>sum(#REF!,#REF!,#REF!,#REF!)</f>
        <v>#REF!</v>
      </c>
      <c r="F3" s="19" t="str">
        <f t="shared" ref="F3:F11" si="2">IFERROR(E3-D3,"")/E3</f>
        <v>#REF!</v>
      </c>
      <c r="Z3" s="10" t="s">
        <v>19</v>
      </c>
    </row>
    <row r="4">
      <c r="B4" s="10" t="s">
        <v>20</v>
      </c>
      <c r="C4" s="3">
        <v>252.0</v>
      </c>
      <c r="D4" s="43" t="str">
        <f>SUM('C Fittings'!F11,'C Fittings'!F17,'C Fittings'!F20,'C Fittings'!F25,'C Fittings'!F33,'C Fittings'!F42,'C Fittings'!F48,'C Fittings'!F51,'C Fittings'!F65,'C Fittings'!F76,'C Fittings'!F85,'C Fittings'!F91,'C Fittings'!F94,'C Fittings'!F108,'C Fittings'!F115,'C Fittings'!F124,'C Fittings'!F130,'C Fittings'!F145,'C Fittings'!F155,'C Fittings'!F166,'C Fittings'!F172,'C Fittings'!F182,'C Fittings'!F188,'C Fittings'!F193,'C Fittings'!F207,'C Fittings'!F218,'C Fittings'!F226,'C Fittings'!F234,'C Fittings'!F242,'C Fittings'!F253,'C Fittings'!F263,'C Fittings'!F273,'C Fittings'!F279,#REF!,'C Fittings'!F287,'C Fittings'!F295,'C Fittings'!F303,'C Fittings'!F298,'C Fittings'!F310,#REF!,'C Fittings'!F318,'C Fittings'!F324,'C Fittings'!F330,'C Fittings'!F339,'C Fittings'!F348,'C Fittings'!F353,'C Fittings'!F361,'C Fittings'!F370,'C Fittings'!F379,'C Fittings'!F388)</f>
        <v>#REF!</v>
      </c>
      <c r="E4" s="43" t="str">
        <f>SUM(#REF!,#REF!,#REF!,#REF!,#REF!,#REF!,#REF!,#REF!,#REF!,#REF!,#REF!,#REF!,#REF!,#REF!,#REF!,#REF!,#REF!,#REF!,#REF!,#REF!,#REF!,#REF!,#REF!,#REF!,#REF!,#REF!,#REF!,#REF!,#REF!,#REF!,#REF!,#REF!,#REF!,#REF!,#REF!,#REF!,#REF!,#REF!,#REF!,#REF!,#REF!,#REF!,#REF!,#REF!,#REF!,#REF!,#REF!,#REF!,#REF!,#REF!)</f>
        <v>#REF!</v>
      </c>
      <c r="F4" s="19" t="str">
        <f t="shared" si="2"/>
        <v>#REF!</v>
      </c>
      <c r="Z4" s="10" t="s">
        <v>37</v>
      </c>
    </row>
    <row r="5">
      <c r="B5" s="10" t="s">
        <v>38</v>
      </c>
      <c r="C5" s="3">
        <v>20.0</v>
      </c>
      <c r="D5" s="43">
        <f>SUM('UPVC PIPE'!F15,'UPVC PIPE'!F50)</f>
        <v>33523</v>
      </c>
      <c r="E5" s="43" t="str">
        <f>SUM(#REF!,#REF!)</f>
        <v>#REF!</v>
      </c>
      <c r="F5" s="19" t="str">
        <f t="shared" si="2"/>
        <v>#REF!</v>
      </c>
      <c r="Z5" s="10" t="s">
        <v>47</v>
      </c>
    </row>
    <row r="6">
      <c r="B6" s="10" t="s">
        <v>48</v>
      </c>
      <c r="C6" s="3">
        <v>263.0</v>
      </c>
      <c r="D6" s="43" t="str">
        <f>SUM('U Fittings'!F15,'U Fittings'!F18,'U Fittings'!F30,'U Fittings'!F38,'U Fittings'!F46,'U Fittings'!F55,'U Fittings'!F61,'U Fittings'!F64,'U Fittings'!F82,'U Fittings'!F94,'U Fittings'!F112,'U Fittings'!F122,'U Fittings'!F140,'U Fittings'!F149,'U Fittings'!F155,'U Fittings'!F158,'U Fittings'!F167,'U Fittings'!F173,'U Fittings'!F182,'U Fittings'!F188,'U Fittings'!F199,'U Fittings'!F205,'U Fittings'!F216,'U Fittings'!F227,'U Fittings'!F234,'U Fittings'!F243,'U Fittings'!F252,'U Fittings'!F261,'U Fittings'!F269,'U Fittings'!F277,'U Fittings'!F285,'U Fittings'!F296,'U Fittings'!F303,'U Fittings'!F311,'U Fittings'!F317,'U Fittings'!F323,#REF!,'U Fittings'!F332,'U Fittings'!F341,'U Fittings'!F349,'U Fittings'!F358,'U Fittings'!F367,'U Fittings'!F376,'U Fittings'!F385)</f>
        <v>#REF!</v>
      </c>
      <c r="E6" s="43" t="str">
        <f>SUM(#REF!,#REF!,#REF!,#REF!,#REF!,#REF!,#REF!,#REF!,#REF!,#REF!,#REF!,#REF!,#REF!,#REF!,#REF!,#REF!,#REF!,#REF!,#REF!,#REF!,#REF!,#REF!,#REF!,#REF!,#REF!,#REF!,#REF!,#REF!,#REF!,#REF!,#REF!,#REF!,#REF!,#REF!,#REF!,#REF!,#REF!,#REF!,#REF!,#REF!,#REF!,#REF!,#REF!,#REF!)</f>
        <v>#REF!</v>
      </c>
      <c r="F6" s="19" t="str">
        <f t="shared" si="2"/>
        <v>#REF!</v>
      </c>
      <c r="Z6" s="10" t="s">
        <v>60</v>
      </c>
    </row>
    <row r="7">
      <c r="B7" s="10" t="s">
        <v>61</v>
      </c>
      <c r="C7" s="13">
        <v>160.0</v>
      </c>
      <c r="D7" s="43">
        <f>SUM('SWR PIPE'!H45,'SWR PIPE'!S45,'SWR PIPE'!H88,'SWR PIPE'!S88)</f>
        <v>184679.155</v>
      </c>
      <c r="E7" s="43" t="str">
        <f>SUM(#REF!,#REF!,#REF!,#REF!)</f>
        <v>#REF!</v>
      </c>
      <c r="F7" s="19" t="str">
        <f t="shared" si="2"/>
        <v>#REF!</v>
      </c>
      <c r="Z7" s="10" t="s">
        <v>65</v>
      </c>
    </row>
    <row r="8">
      <c r="B8" s="10" t="s">
        <v>66</v>
      </c>
      <c r="C8" s="3">
        <v>137.0</v>
      </c>
      <c r="D8" s="43">
        <f>SUM('SWR Fittings'!F9,'SWR Fittings'!F16,'SWR Fittings'!F21,'SWR Fittings'!F28,'SWR Fittings'!F33,'SWR Fittings'!F40,'SWR Fittings'!F47,'SWR Fittings'!F52,'SWR Fittings'!F59,'SWR Fittings'!F70,'SWR Fittings'!F77,'SWR Fittings'!F84,'SWR Fittings'!F91,'SWR Fittings'!F98,'SWR Fittings'!F103,'SWR Fittings'!F106,'SWR Fittings'!F111,'SWR Fittings'!F116,'SWR Fittings'!F123,'SWR Fittings'!F128,'SWR Fittings'!F131,'SWR Fittings'!F136,'SWR Fittings'!F142,'SWR Fittings'!F150,'SWR Fittings'!F157,'SWR Fittings'!F162,'SWR Fittings'!F169,'SWR Fittings'!F176,'SWR Fittings'!F183,'SWR Fittings'!F186,'SWR Fittings'!F199,'SWR Fittings'!F204,'SWR Fittings'!F209,'SWR Fittings'!F212,'SWR Fittings'!F226,'SWR Fittings'!F235,'SWR Fittings'!F242,'SWR Fittings'!F249,'SWR Fittings'!F256,'SWR Fittings'!F263,'SWR Fittings'!F270,'SWR Fittings'!F277,'SWR Fittings'!F284,'SWR Fittings'!F291)</f>
        <v>30946.5</v>
      </c>
      <c r="E8" s="43" t="str">
        <f>SUM(#REF!,#REF!,#REF!,#REF!,#REF!,#REF!,#REF!,#REF!,#REF!,#REF!,#REF!,#REF!,#REF!,#REF!,#REF!,#REF!,#REF!,#REF!,#REF!,#REF!,#REF!,#REF!,#REF!,#REF!,#REF!,#REF!,#REF!,#REF!,#REF!,#REF!,#REF!,#REF!,#REF!,#REF!,#REF!,#REF!,#REF!,#REF!,#REF!,#REF!,#REF!,#REF!,#REF!,#REF!)</f>
        <v>#REF!</v>
      </c>
      <c r="F8" s="19" t="str">
        <f t="shared" si="2"/>
        <v>#REF!</v>
      </c>
      <c r="Z8" s="10" t="s">
        <v>80</v>
      </c>
    </row>
    <row r="9">
      <c r="B9" s="10" t="s">
        <v>81</v>
      </c>
      <c r="C9" s="13">
        <v>123.0</v>
      </c>
      <c r="D9" s="43">
        <f>SUM('AGRI PIPE'!F46,'AGRI PIPE'!F90,'AGRI PIPE'!F134)</f>
        <v>380189</v>
      </c>
      <c r="E9" s="43" t="str">
        <f>SUM(#REF!,#REF!,#REF!)</f>
        <v>#REF!</v>
      </c>
      <c r="F9" s="19" t="str">
        <f t="shared" si="2"/>
        <v>#REF!</v>
      </c>
      <c r="Z9" s="10" t="s">
        <v>89</v>
      </c>
    </row>
    <row r="10">
      <c r="B10" s="10" t="s">
        <v>90</v>
      </c>
      <c r="C10" s="3">
        <v>100.0</v>
      </c>
      <c r="D10" s="43">
        <f>SUM('AGRI Fittings'!E49,'AGRI Fittings'!E60,'AGRI Fittings'!E71,'AGRI Fittings'!E87,'AGRI Fittings'!E101,'AGRI Fittings'!E113,'AGRI Fittings'!E118,'AGRI Fittings'!E128,'AGRI Fittings'!E136,'AGRI Fittings'!E144,'AGRI Fittings'!E152)</f>
        <v>20599.49</v>
      </c>
      <c r="E10" s="43" t="str">
        <f>SUM(#REF!,#REF!,#REF!,#REF!,#REF!,#REF!,#REF!,#REF!,#REF!,#REF!,#REF!)</f>
        <v>#REF!</v>
      </c>
      <c r="F10" s="19" t="str">
        <f t="shared" si="2"/>
        <v>#REF!</v>
      </c>
      <c r="Z10" s="10" t="s">
        <v>97</v>
      </c>
    </row>
    <row r="11">
      <c r="B11" s="10" t="s">
        <v>98</v>
      </c>
      <c r="C11" s="3">
        <v>33.0</v>
      </c>
      <c r="D11" s="13"/>
      <c r="E11" s="13" t="str">
        <f>SUM(#REF!,#REF!,#REF!,#REF!,#REF!,#REF!,#REF!)</f>
        <v>#REF!</v>
      </c>
      <c r="F11" s="19" t="str">
        <f t="shared" si="2"/>
        <v>#REF!</v>
      </c>
      <c r="Z11" s="10" t="s">
        <v>101</v>
      </c>
    </row>
    <row r="12">
      <c r="C12" s="13"/>
      <c r="D12" s="13"/>
      <c r="E12" s="13"/>
      <c r="F12" s="13"/>
      <c r="Z12" s="10" t="s">
        <v>103</v>
      </c>
    </row>
    <row r="13">
      <c r="B13" s="10" t="s">
        <v>104</v>
      </c>
      <c r="C13" s="13"/>
      <c r="D13" s="13"/>
      <c r="E13" s="13"/>
      <c r="F13" s="13"/>
      <c r="Z13" s="10" t="s">
        <v>105</v>
      </c>
    </row>
    <row r="14">
      <c r="B14" s="10" t="s">
        <v>106</v>
      </c>
      <c r="C14" s="13"/>
      <c r="D14" s="13"/>
      <c r="E14" s="13"/>
      <c r="F14" s="13"/>
      <c r="Z14" s="10" t="s">
        <v>108</v>
      </c>
    </row>
    <row r="15">
      <c r="B15" s="10" t="s">
        <v>110</v>
      </c>
      <c r="C15" s="13"/>
      <c r="D15" s="13"/>
      <c r="E15" s="13"/>
      <c r="F15" s="13"/>
      <c r="Z15" s="10" t="s">
        <v>111</v>
      </c>
    </row>
    <row r="16">
      <c r="C16" s="13"/>
      <c r="D16" s="13"/>
      <c r="E16" s="13"/>
      <c r="F16" s="13"/>
      <c r="Z16" s="10" t="s">
        <v>112</v>
      </c>
    </row>
    <row r="17">
      <c r="C17" s="13"/>
      <c r="D17" s="13"/>
      <c r="E17" s="13"/>
      <c r="F17" s="13"/>
    </row>
    <row r="18">
      <c r="C18" s="13"/>
      <c r="D18" s="13"/>
      <c r="E18" s="13"/>
      <c r="F18" s="13"/>
    </row>
    <row r="19">
      <c r="C19" s="13"/>
      <c r="D19" s="13"/>
      <c r="E19" s="13"/>
      <c r="F19" s="13"/>
    </row>
    <row r="20">
      <c r="C20" s="13"/>
      <c r="D20" s="13"/>
      <c r="E20" s="13"/>
      <c r="F20" s="13"/>
    </row>
    <row r="21">
      <c r="C21" s="13"/>
      <c r="D21" s="13"/>
      <c r="E21" s="13"/>
      <c r="F21" s="13"/>
    </row>
    <row r="22">
      <c r="C22" s="13"/>
      <c r="D22" s="13"/>
      <c r="E22" s="13"/>
      <c r="F22" s="13"/>
    </row>
    <row r="23">
      <c r="C23" s="13"/>
      <c r="D23" s="13"/>
      <c r="E23" s="13"/>
      <c r="F23" s="13"/>
    </row>
    <row r="24">
      <c r="C24" s="13"/>
      <c r="D24" s="13"/>
      <c r="E24" s="13"/>
      <c r="F24" s="13"/>
    </row>
    <row r="25">
      <c r="C25" s="13"/>
      <c r="D25" s="13"/>
      <c r="E25" s="13"/>
      <c r="F25" s="13"/>
    </row>
    <row r="26">
      <c r="C26" s="13"/>
      <c r="D26" s="13"/>
      <c r="E26" s="13"/>
      <c r="F26" s="13"/>
    </row>
    <row r="27">
      <c r="C27" s="13"/>
      <c r="D27" s="13"/>
      <c r="E27" s="13"/>
      <c r="F27" s="13"/>
    </row>
    <row r="28">
      <c r="C28" s="13"/>
      <c r="D28" s="13"/>
      <c r="E28" s="13"/>
      <c r="F28" s="13"/>
    </row>
    <row r="29">
      <c r="C29" s="13"/>
      <c r="D29" s="13"/>
      <c r="E29" s="13"/>
      <c r="F29" s="13"/>
    </row>
    <row r="30">
      <c r="C30" s="13"/>
      <c r="D30" s="13"/>
      <c r="E30" s="13"/>
      <c r="F30" s="13"/>
    </row>
    <row r="31">
      <c r="C31" s="13"/>
      <c r="D31" s="13"/>
      <c r="E31" s="13"/>
      <c r="F31" s="13"/>
    </row>
    <row r="32">
      <c r="C32" s="13"/>
      <c r="D32" s="13"/>
      <c r="E32" s="13"/>
      <c r="F32" s="13"/>
    </row>
    <row r="33">
      <c r="C33" s="13"/>
      <c r="D33" s="13"/>
      <c r="E33" s="13"/>
      <c r="F33" s="13"/>
    </row>
    <row r="34">
      <c r="C34" s="13"/>
      <c r="D34" s="13"/>
      <c r="E34" s="13"/>
      <c r="F34" s="13"/>
    </row>
    <row r="35">
      <c r="C35" s="13"/>
      <c r="D35" s="13"/>
      <c r="E35" s="13"/>
      <c r="F35" s="13"/>
    </row>
    <row r="36">
      <c r="C36" s="13"/>
      <c r="D36" s="13"/>
      <c r="E36" s="13"/>
      <c r="F36" s="13"/>
    </row>
    <row r="37">
      <c r="C37" s="13"/>
      <c r="D37" s="13"/>
      <c r="E37" s="13"/>
      <c r="F37" s="13"/>
    </row>
    <row r="38">
      <c r="C38" s="13"/>
      <c r="D38" s="13"/>
      <c r="E38" s="13"/>
      <c r="F38" s="13"/>
    </row>
    <row r="39">
      <c r="C39" s="13"/>
      <c r="D39" s="13"/>
      <c r="E39" s="13"/>
      <c r="F39" s="13"/>
    </row>
    <row r="40">
      <c r="C40" s="13"/>
      <c r="D40" s="13"/>
      <c r="E40" s="13"/>
      <c r="F40" s="13"/>
    </row>
    <row r="41">
      <c r="C41" s="13"/>
      <c r="D41" s="13"/>
      <c r="E41" s="13"/>
      <c r="F41" s="13"/>
    </row>
    <row r="42">
      <c r="C42" s="13"/>
      <c r="D42" s="13"/>
      <c r="E42" s="13"/>
      <c r="F42" s="13"/>
    </row>
    <row r="43">
      <c r="C43" s="13"/>
      <c r="D43" s="13"/>
      <c r="E43" s="13"/>
      <c r="F43" s="13"/>
    </row>
    <row r="44">
      <c r="C44" s="13"/>
      <c r="D44" s="13"/>
      <c r="E44" s="13"/>
      <c r="F44" s="13"/>
    </row>
    <row r="45">
      <c r="C45" s="13"/>
      <c r="D45" s="13"/>
      <c r="E45" s="13"/>
      <c r="F45" s="13"/>
    </row>
    <row r="46">
      <c r="C46" s="13"/>
      <c r="D46" s="13"/>
      <c r="E46" s="13"/>
      <c r="F46" s="13"/>
    </row>
    <row r="47">
      <c r="C47" s="13"/>
      <c r="D47" s="13"/>
      <c r="E47" s="13"/>
      <c r="F47" s="13"/>
    </row>
    <row r="48">
      <c r="C48" s="13"/>
      <c r="D48" s="13"/>
      <c r="E48" s="13"/>
      <c r="F48" s="13"/>
    </row>
    <row r="49">
      <c r="C49" s="13"/>
      <c r="D49" s="13"/>
      <c r="E49" s="13"/>
      <c r="F49" s="13"/>
    </row>
    <row r="50">
      <c r="C50" s="13"/>
      <c r="D50" s="13"/>
      <c r="E50" s="13"/>
      <c r="F50" s="13"/>
    </row>
    <row r="51">
      <c r="C51" s="13"/>
      <c r="D51" s="13"/>
      <c r="E51" s="13"/>
      <c r="F51" s="13"/>
    </row>
    <row r="52">
      <c r="C52" s="13"/>
      <c r="D52" s="13"/>
      <c r="E52" s="13"/>
      <c r="F52" s="13"/>
    </row>
    <row r="53">
      <c r="C53" s="13"/>
      <c r="D53" s="13"/>
      <c r="E53" s="13"/>
      <c r="F53" s="13"/>
    </row>
    <row r="54">
      <c r="C54" s="13"/>
      <c r="D54" s="13"/>
      <c r="E54" s="13"/>
      <c r="F54" s="13"/>
    </row>
    <row r="55">
      <c r="C55" s="13"/>
      <c r="D55" s="13"/>
      <c r="E55" s="13"/>
      <c r="F55" s="13"/>
    </row>
    <row r="56">
      <c r="C56" s="13"/>
      <c r="D56" s="13"/>
      <c r="E56" s="13"/>
      <c r="F56" s="13"/>
    </row>
    <row r="57">
      <c r="C57" s="13"/>
      <c r="D57" s="13"/>
      <c r="E57" s="13"/>
      <c r="F57" s="13"/>
    </row>
    <row r="58">
      <c r="C58" s="13"/>
      <c r="D58" s="13"/>
      <c r="E58" s="13"/>
      <c r="F58" s="13"/>
    </row>
    <row r="59">
      <c r="C59" s="13"/>
      <c r="D59" s="13"/>
      <c r="E59" s="13"/>
      <c r="F59" s="13"/>
    </row>
    <row r="60">
      <c r="C60" s="13"/>
      <c r="D60" s="13"/>
      <c r="E60" s="13"/>
      <c r="F60" s="13"/>
    </row>
    <row r="61">
      <c r="C61" s="13"/>
      <c r="D61" s="13"/>
      <c r="E61" s="13"/>
      <c r="F61" s="13"/>
    </row>
    <row r="62">
      <c r="C62" s="13"/>
      <c r="D62" s="13"/>
      <c r="E62" s="13"/>
      <c r="F62" s="13"/>
    </row>
    <row r="63">
      <c r="C63" s="13"/>
      <c r="D63" s="13"/>
      <c r="E63" s="13"/>
      <c r="F63" s="13"/>
    </row>
    <row r="64">
      <c r="C64" s="13"/>
      <c r="D64" s="13"/>
      <c r="E64" s="13"/>
      <c r="F64" s="13"/>
    </row>
    <row r="65">
      <c r="C65" s="13"/>
      <c r="D65" s="13"/>
      <c r="E65" s="13"/>
      <c r="F65" s="13"/>
    </row>
    <row r="66">
      <c r="C66" s="13"/>
      <c r="D66" s="13"/>
      <c r="E66" s="13"/>
      <c r="F66" s="13"/>
    </row>
    <row r="67">
      <c r="C67" s="13"/>
      <c r="D67" s="13"/>
      <c r="E67" s="13"/>
      <c r="F67" s="13"/>
    </row>
    <row r="68">
      <c r="C68" s="13"/>
      <c r="D68" s="13"/>
      <c r="E68" s="13"/>
      <c r="F68" s="13"/>
    </row>
    <row r="69">
      <c r="C69" s="13"/>
      <c r="D69" s="13"/>
      <c r="E69" s="13"/>
      <c r="F69" s="13"/>
    </row>
    <row r="70">
      <c r="C70" s="13"/>
      <c r="D70" s="13"/>
      <c r="E70" s="13"/>
      <c r="F70" s="13"/>
    </row>
    <row r="71">
      <c r="C71" s="13"/>
      <c r="D71" s="13"/>
      <c r="E71" s="13"/>
      <c r="F71" s="13"/>
    </row>
    <row r="72">
      <c r="C72" s="13"/>
      <c r="D72" s="13"/>
      <c r="E72" s="13"/>
      <c r="F72" s="13"/>
    </row>
    <row r="73">
      <c r="C73" s="13"/>
      <c r="D73" s="13"/>
      <c r="E73" s="13"/>
      <c r="F73" s="13"/>
    </row>
    <row r="74">
      <c r="C74" s="13"/>
      <c r="D74" s="13"/>
      <c r="E74" s="13"/>
      <c r="F74" s="13"/>
    </row>
    <row r="75">
      <c r="C75" s="13"/>
      <c r="D75" s="13"/>
      <c r="E75" s="13"/>
      <c r="F75" s="13"/>
    </row>
    <row r="76">
      <c r="C76" s="13"/>
      <c r="D76" s="13"/>
      <c r="E76" s="13"/>
      <c r="F76" s="13"/>
    </row>
    <row r="77">
      <c r="C77" s="13"/>
      <c r="D77" s="13"/>
      <c r="E77" s="13"/>
      <c r="F77" s="13"/>
    </row>
    <row r="78">
      <c r="C78" s="13"/>
      <c r="D78" s="13"/>
      <c r="E78" s="13"/>
      <c r="F78" s="13"/>
    </row>
    <row r="79">
      <c r="C79" s="13"/>
      <c r="D79" s="13"/>
      <c r="E79" s="13"/>
      <c r="F79" s="13"/>
    </row>
    <row r="80">
      <c r="C80" s="13"/>
      <c r="D80" s="13"/>
      <c r="E80" s="13"/>
      <c r="F80" s="13"/>
    </row>
    <row r="81">
      <c r="C81" s="13"/>
      <c r="D81" s="13"/>
      <c r="E81" s="13"/>
      <c r="F81" s="13"/>
    </row>
    <row r="82">
      <c r="C82" s="13"/>
      <c r="D82" s="13"/>
      <c r="E82" s="13"/>
      <c r="F82" s="13"/>
    </row>
    <row r="83">
      <c r="C83" s="13"/>
      <c r="D83" s="13"/>
      <c r="E83" s="13"/>
      <c r="F83" s="13"/>
    </row>
    <row r="84">
      <c r="C84" s="13"/>
      <c r="D84" s="13"/>
      <c r="E84" s="13"/>
      <c r="F84" s="13"/>
    </row>
    <row r="85">
      <c r="C85" s="13"/>
      <c r="D85" s="13"/>
      <c r="E85" s="13"/>
      <c r="F85" s="13"/>
    </row>
    <row r="86">
      <c r="C86" s="13"/>
      <c r="D86" s="13"/>
      <c r="E86" s="13"/>
      <c r="F86" s="13"/>
    </row>
    <row r="87">
      <c r="C87" s="13"/>
      <c r="D87" s="13"/>
      <c r="E87" s="13"/>
      <c r="F87" s="13"/>
    </row>
    <row r="88">
      <c r="C88" s="13"/>
      <c r="D88" s="13"/>
      <c r="E88" s="13"/>
      <c r="F88" s="13"/>
    </row>
    <row r="89">
      <c r="C89" s="13"/>
      <c r="D89" s="13"/>
      <c r="E89" s="13"/>
      <c r="F89" s="13"/>
    </row>
    <row r="90">
      <c r="C90" s="13"/>
      <c r="D90" s="13"/>
      <c r="E90" s="13"/>
      <c r="F90" s="13"/>
    </row>
    <row r="91">
      <c r="C91" s="13"/>
      <c r="D91" s="13"/>
      <c r="E91" s="13"/>
      <c r="F91" s="13"/>
    </row>
    <row r="92">
      <c r="C92" s="13"/>
      <c r="D92" s="13"/>
      <c r="E92" s="13"/>
      <c r="F92" s="13"/>
    </row>
    <row r="93">
      <c r="C93" s="13"/>
      <c r="D93" s="13"/>
      <c r="E93" s="13"/>
      <c r="F93" s="13"/>
    </row>
    <row r="94">
      <c r="C94" s="13"/>
      <c r="D94" s="13"/>
      <c r="E94" s="13"/>
      <c r="F94" s="13"/>
    </row>
    <row r="95">
      <c r="C95" s="13"/>
      <c r="D95" s="13"/>
      <c r="E95" s="13"/>
      <c r="F95" s="13"/>
    </row>
    <row r="96">
      <c r="C96" s="13"/>
      <c r="D96" s="13"/>
      <c r="E96" s="13"/>
      <c r="F96" s="13"/>
    </row>
    <row r="97">
      <c r="C97" s="13"/>
      <c r="D97" s="13"/>
      <c r="E97" s="13"/>
      <c r="F97" s="13"/>
    </row>
    <row r="98">
      <c r="C98" s="13"/>
      <c r="D98" s="13"/>
      <c r="E98" s="13"/>
      <c r="F98" s="13"/>
    </row>
    <row r="99">
      <c r="C99" s="13"/>
      <c r="D99" s="13"/>
      <c r="E99" s="13"/>
      <c r="F99" s="13"/>
    </row>
    <row r="100">
      <c r="C100" s="13"/>
      <c r="D100" s="13"/>
      <c r="E100" s="13"/>
      <c r="F100" s="13"/>
    </row>
    <row r="101">
      <c r="C101" s="13"/>
      <c r="D101" s="13"/>
      <c r="E101" s="13"/>
      <c r="F101" s="13"/>
    </row>
    <row r="102">
      <c r="C102" s="13"/>
      <c r="D102" s="13"/>
      <c r="E102" s="13"/>
      <c r="F102" s="13"/>
    </row>
    <row r="103">
      <c r="C103" s="13"/>
      <c r="D103" s="13"/>
      <c r="E103" s="13"/>
      <c r="F103" s="13"/>
    </row>
    <row r="104">
      <c r="C104" s="13"/>
      <c r="D104" s="13"/>
      <c r="E104" s="13"/>
      <c r="F104" s="13"/>
    </row>
    <row r="105">
      <c r="C105" s="13"/>
      <c r="D105" s="13"/>
      <c r="E105" s="13"/>
      <c r="F105" s="13"/>
    </row>
    <row r="106">
      <c r="C106" s="13"/>
      <c r="D106" s="13"/>
      <c r="E106" s="13"/>
      <c r="F106" s="13"/>
    </row>
    <row r="107">
      <c r="C107" s="13"/>
      <c r="D107" s="13"/>
      <c r="E107" s="13"/>
      <c r="F107" s="13"/>
    </row>
    <row r="108">
      <c r="C108" s="13"/>
      <c r="D108" s="13"/>
      <c r="E108" s="13"/>
      <c r="F108" s="13"/>
    </row>
    <row r="109">
      <c r="C109" s="13"/>
      <c r="D109" s="13"/>
      <c r="E109" s="13"/>
      <c r="F109" s="13"/>
    </row>
    <row r="110">
      <c r="C110" s="13"/>
      <c r="D110" s="13"/>
      <c r="E110" s="13"/>
      <c r="F110" s="13"/>
    </row>
    <row r="111">
      <c r="C111" s="13"/>
      <c r="D111" s="13"/>
      <c r="E111" s="13"/>
      <c r="F111" s="13"/>
    </row>
    <row r="112">
      <c r="C112" s="13"/>
      <c r="D112" s="13"/>
      <c r="E112" s="13"/>
      <c r="F112" s="13"/>
    </row>
    <row r="113">
      <c r="C113" s="13"/>
      <c r="D113" s="13"/>
      <c r="E113" s="13"/>
      <c r="F113" s="13"/>
    </row>
    <row r="114">
      <c r="C114" s="13"/>
      <c r="D114" s="13"/>
      <c r="E114" s="13"/>
      <c r="F114" s="13"/>
    </row>
    <row r="115">
      <c r="C115" s="13"/>
      <c r="D115" s="13"/>
      <c r="E115" s="13"/>
      <c r="F115" s="13"/>
    </row>
    <row r="116">
      <c r="C116" s="13"/>
      <c r="D116" s="13"/>
      <c r="E116" s="13"/>
      <c r="F116" s="13"/>
    </row>
    <row r="117">
      <c r="C117" s="13"/>
      <c r="D117" s="13"/>
      <c r="E117" s="13"/>
      <c r="F117" s="13"/>
    </row>
    <row r="118">
      <c r="C118" s="13"/>
      <c r="D118" s="13"/>
      <c r="E118" s="13"/>
      <c r="F118" s="13"/>
    </row>
    <row r="119">
      <c r="C119" s="13"/>
      <c r="D119" s="13"/>
      <c r="E119" s="13"/>
      <c r="F119" s="13"/>
    </row>
    <row r="120">
      <c r="C120" s="13"/>
      <c r="D120" s="13"/>
      <c r="E120" s="13"/>
      <c r="F120" s="13"/>
    </row>
    <row r="121">
      <c r="C121" s="13"/>
      <c r="D121" s="13"/>
      <c r="E121" s="13"/>
      <c r="F121" s="13"/>
    </row>
    <row r="122">
      <c r="C122" s="13"/>
      <c r="D122" s="13"/>
      <c r="E122" s="13"/>
      <c r="F122" s="13"/>
    </row>
    <row r="123">
      <c r="C123" s="13"/>
      <c r="D123" s="13"/>
      <c r="E123" s="13"/>
      <c r="F123" s="13"/>
    </row>
    <row r="124">
      <c r="C124" s="13"/>
      <c r="D124" s="13"/>
      <c r="E124" s="13"/>
      <c r="F124" s="13"/>
    </row>
    <row r="125">
      <c r="C125" s="13"/>
      <c r="D125" s="13"/>
      <c r="E125" s="13"/>
      <c r="F125" s="13"/>
    </row>
    <row r="126">
      <c r="C126" s="13"/>
      <c r="D126" s="13"/>
      <c r="E126" s="13"/>
      <c r="F126" s="13"/>
    </row>
    <row r="127">
      <c r="C127" s="13"/>
      <c r="D127" s="13"/>
      <c r="E127" s="13"/>
      <c r="F127" s="13"/>
    </row>
    <row r="128">
      <c r="C128" s="13"/>
      <c r="D128" s="13"/>
      <c r="E128" s="13"/>
      <c r="F128" s="13"/>
    </row>
    <row r="129">
      <c r="C129" s="13"/>
      <c r="D129" s="13"/>
      <c r="E129" s="13"/>
      <c r="F129" s="13"/>
    </row>
    <row r="130">
      <c r="C130" s="13"/>
      <c r="D130" s="13"/>
      <c r="E130" s="13"/>
      <c r="F130" s="13"/>
    </row>
    <row r="131">
      <c r="C131" s="13"/>
      <c r="D131" s="13"/>
      <c r="E131" s="13"/>
      <c r="F131" s="13"/>
    </row>
    <row r="132">
      <c r="C132" s="13"/>
      <c r="D132" s="13"/>
      <c r="E132" s="13"/>
      <c r="F132" s="13"/>
    </row>
    <row r="133">
      <c r="C133" s="13"/>
      <c r="D133" s="13"/>
      <c r="E133" s="13"/>
      <c r="F133" s="13"/>
    </row>
    <row r="134">
      <c r="C134" s="13"/>
      <c r="D134" s="13"/>
      <c r="E134" s="13"/>
      <c r="F134" s="13"/>
    </row>
    <row r="135">
      <c r="C135" s="13"/>
      <c r="D135" s="13"/>
      <c r="E135" s="13"/>
      <c r="F135" s="13"/>
    </row>
    <row r="136">
      <c r="C136" s="13"/>
      <c r="D136" s="13"/>
      <c r="E136" s="13"/>
      <c r="F136" s="13"/>
    </row>
    <row r="137">
      <c r="C137" s="13"/>
      <c r="D137" s="13"/>
      <c r="E137" s="13"/>
      <c r="F137" s="13"/>
    </row>
    <row r="138">
      <c r="C138" s="13"/>
      <c r="D138" s="13"/>
      <c r="E138" s="13"/>
      <c r="F138" s="13"/>
    </row>
    <row r="139">
      <c r="C139" s="13"/>
      <c r="D139" s="13"/>
      <c r="E139" s="13"/>
      <c r="F139" s="13"/>
    </row>
    <row r="140">
      <c r="C140" s="13"/>
      <c r="D140" s="13"/>
      <c r="E140" s="13"/>
      <c r="F140" s="13"/>
    </row>
    <row r="141">
      <c r="C141" s="13"/>
      <c r="D141" s="13"/>
      <c r="E141" s="13"/>
      <c r="F141" s="13"/>
    </row>
    <row r="142">
      <c r="C142" s="13"/>
      <c r="D142" s="13"/>
      <c r="E142" s="13"/>
      <c r="F142" s="13"/>
    </row>
    <row r="143">
      <c r="C143" s="13"/>
      <c r="D143" s="13"/>
      <c r="E143" s="13"/>
      <c r="F143" s="13"/>
    </row>
    <row r="144">
      <c r="C144" s="13"/>
      <c r="D144" s="13"/>
      <c r="E144" s="13"/>
      <c r="F144" s="13"/>
    </row>
    <row r="145">
      <c r="C145" s="13"/>
      <c r="D145" s="13"/>
      <c r="E145" s="13"/>
      <c r="F145" s="13"/>
    </row>
    <row r="146">
      <c r="C146" s="13"/>
      <c r="D146" s="13"/>
      <c r="E146" s="13"/>
      <c r="F146" s="13"/>
    </row>
    <row r="147">
      <c r="C147" s="13"/>
      <c r="D147" s="13"/>
      <c r="E147" s="13"/>
      <c r="F147" s="13"/>
    </row>
    <row r="148">
      <c r="C148" s="13"/>
      <c r="D148" s="13"/>
      <c r="E148" s="13"/>
      <c r="F148" s="13"/>
    </row>
    <row r="149">
      <c r="C149" s="13"/>
      <c r="D149" s="13"/>
      <c r="E149" s="13"/>
      <c r="F149" s="13"/>
    </row>
    <row r="150">
      <c r="C150" s="13"/>
      <c r="D150" s="13"/>
      <c r="E150" s="13"/>
      <c r="F150" s="13"/>
    </row>
    <row r="151">
      <c r="C151" s="13"/>
      <c r="D151" s="13"/>
      <c r="E151" s="13"/>
      <c r="F151" s="13"/>
    </row>
    <row r="152">
      <c r="C152" s="13"/>
      <c r="D152" s="13"/>
      <c r="E152" s="13"/>
      <c r="F152" s="13"/>
    </row>
    <row r="153">
      <c r="C153" s="13"/>
      <c r="D153" s="13"/>
      <c r="E153" s="13"/>
      <c r="F153" s="13"/>
    </row>
    <row r="154">
      <c r="C154" s="13"/>
      <c r="D154" s="13"/>
      <c r="E154" s="13"/>
      <c r="F154" s="13"/>
    </row>
    <row r="155">
      <c r="C155" s="13"/>
      <c r="D155" s="13"/>
      <c r="E155" s="13"/>
      <c r="F155" s="13"/>
    </row>
    <row r="156">
      <c r="C156" s="13"/>
      <c r="D156" s="13"/>
      <c r="E156" s="13"/>
      <c r="F156" s="13"/>
    </row>
    <row r="157">
      <c r="C157" s="13"/>
      <c r="D157" s="13"/>
      <c r="E157" s="13"/>
      <c r="F157" s="13"/>
    </row>
    <row r="158">
      <c r="C158" s="13"/>
      <c r="D158" s="13"/>
      <c r="E158" s="13"/>
      <c r="F158" s="13"/>
    </row>
    <row r="159">
      <c r="C159" s="13"/>
      <c r="D159" s="13"/>
      <c r="E159" s="13"/>
      <c r="F159" s="13"/>
    </row>
    <row r="160">
      <c r="C160" s="13"/>
      <c r="D160" s="13"/>
      <c r="E160" s="13"/>
      <c r="F160" s="13"/>
    </row>
    <row r="161">
      <c r="C161" s="13"/>
      <c r="D161" s="13"/>
      <c r="E161" s="13"/>
      <c r="F161" s="13"/>
    </row>
    <row r="162">
      <c r="C162" s="13"/>
      <c r="D162" s="13"/>
      <c r="E162" s="13"/>
      <c r="F162" s="13"/>
    </row>
    <row r="163">
      <c r="C163" s="13"/>
      <c r="D163" s="13"/>
      <c r="E163" s="13"/>
      <c r="F163" s="13"/>
    </row>
    <row r="164">
      <c r="C164" s="13"/>
      <c r="D164" s="13"/>
      <c r="E164" s="13"/>
      <c r="F164" s="13"/>
    </row>
    <row r="165">
      <c r="C165" s="13"/>
      <c r="D165" s="13"/>
      <c r="E165" s="13"/>
      <c r="F165" s="13"/>
    </row>
    <row r="166">
      <c r="C166" s="13"/>
      <c r="D166" s="13"/>
      <c r="E166" s="13"/>
      <c r="F166" s="13"/>
    </row>
    <row r="167">
      <c r="C167" s="13"/>
      <c r="D167" s="13"/>
      <c r="E167" s="13"/>
      <c r="F167" s="13"/>
    </row>
    <row r="168">
      <c r="C168" s="13"/>
      <c r="D168" s="13"/>
      <c r="E168" s="13"/>
      <c r="F168" s="13"/>
    </row>
    <row r="169">
      <c r="C169" s="13"/>
      <c r="D169" s="13"/>
      <c r="E169" s="13"/>
      <c r="F169" s="13"/>
    </row>
    <row r="170">
      <c r="C170" s="13"/>
      <c r="D170" s="13"/>
      <c r="E170" s="13"/>
      <c r="F170" s="13"/>
    </row>
    <row r="171">
      <c r="C171" s="13"/>
      <c r="D171" s="13"/>
      <c r="E171" s="13"/>
      <c r="F171" s="13"/>
    </row>
    <row r="172">
      <c r="C172" s="13"/>
      <c r="D172" s="13"/>
      <c r="E172" s="13"/>
      <c r="F172" s="13"/>
    </row>
    <row r="173">
      <c r="C173" s="13"/>
      <c r="D173" s="13"/>
      <c r="E173" s="13"/>
      <c r="F173" s="13"/>
    </row>
    <row r="174">
      <c r="C174" s="13"/>
      <c r="D174" s="13"/>
      <c r="E174" s="13"/>
      <c r="F174" s="13"/>
    </row>
    <row r="175">
      <c r="C175" s="13"/>
      <c r="D175" s="13"/>
      <c r="E175" s="13"/>
      <c r="F175" s="13"/>
    </row>
    <row r="176">
      <c r="C176" s="13"/>
      <c r="D176" s="13"/>
      <c r="E176" s="13"/>
      <c r="F176" s="13"/>
    </row>
    <row r="177">
      <c r="C177" s="13"/>
      <c r="D177" s="13"/>
      <c r="E177" s="13"/>
      <c r="F177" s="13"/>
    </row>
    <row r="178">
      <c r="C178" s="13"/>
      <c r="D178" s="13"/>
      <c r="E178" s="13"/>
      <c r="F178" s="13"/>
    </row>
    <row r="179">
      <c r="C179" s="13"/>
      <c r="D179" s="13"/>
      <c r="E179" s="13"/>
      <c r="F179" s="13"/>
    </row>
    <row r="180">
      <c r="C180" s="13"/>
      <c r="D180" s="13"/>
      <c r="E180" s="13"/>
      <c r="F180" s="13"/>
    </row>
    <row r="181">
      <c r="C181" s="13"/>
      <c r="D181" s="13"/>
      <c r="E181" s="13"/>
      <c r="F181" s="13"/>
    </row>
    <row r="182">
      <c r="C182" s="13"/>
      <c r="D182" s="13"/>
      <c r="E182" s="13"/>
      <c r="F182" s="13"/>
    </row>
    <row r="183">
      <c r="C183" s="13"/>
      <c r="D183" s="13"/>
      <c r="E183" s="13"/>
      <c r="F183" s="13"/>
    </row>
    <row r="184">
      <c r="C184" s="13"/>
      <c r="D184" s="13"/>
      <c r="E184" s="13"/>
      <c r="F184" s="13"/>
    </row>
    <row r="185">
      <c r="C185" s="13"/>
      <c r="D185" s="13"/>
      <c r="E185" s="13"/>
      <c r="F185" s="13"/>
    </row>
    <row r="186">
      <c r="C186" s="13"/>
      <c r="D186" s="13"/>
      <c r="E186" s="13"/>
      <c r="F186" s="13"/>
    </row>
    <row r="187">
      <c r="C187" s="13"/>
      <c r="D187" s="13"/>
      <c r="E187" s="13"/>
      <c r="F187" s="13"/>
    </row>
    <row r="188">
      <c r="C188" s="13"/>
      <c r="D188" s="13"/>
      <c r="E188" s="13"/>
      <c r="F188" s="13"/>
    </row>
    <row r="189">
      <c r="C189" s="13"/>
      <c r="D189" s="13"/>
      <c r="E189" s="13"/>
      <c r="F189" s="13"/>
    </row>
    <row r="190">
      <c r="C190" s="13"/>
      <c r="D190" s="13"/>
      <c r="E190" s="13"/>
      <c r="F190" s="13"/>
    </row>
    <row r="191">
      <c r="C191" s="13"/>
      <c r="D191" s="13"/>
      <c r="E191" s="13"/>
      <c r="F191" s="13"/>
    </row>
    <row r="192">
      <c r="C192" s="13"/>
      <c r="D192" s="13"/>
      <c r="E192" s="13"/>
      <c r="F192" s="13"/>
    </row>
    <row r="193">
      <c r="C193" s="13"/>
      <c r="D193" s="13"/>
      <c r="E193" s="13"/>
      <c r="F193" s="13"/>
    </row>
    <row r="194">
      <c r="C194" s="13"/>
      <c r="D194" s="13"/>
      <c r="E194" s="13"/>
      <c r="F194" s="13"/>
    </row>
    <row r="195">
      <c r="C195" s="13"/>
      <c r="D195" s="13"/>
      <c r="E195" s="13"/>
      <c r="F195" s="13"/>
    </row>
    <row r="196">
      <c r="C196" s="13"/>
      <c r="D196" s="13"/>
      <c r="E196" s="13"/>
      <c r="F196" s="13"/>
    </row>
    <row r="197">
      <c r="C197" s="13"/>
      <c r="D197" s="13"/>
      <c r="E197" s="13"/>
      <c r="F197" s="13"/>
    </row>
    <row r="198">
      <c r="C198" s="13"/>
      <c r="D198" s="13"/>
      <c r="E198" s="13"/>
      <c r="F198" s="13"/>
    </row>
    <row r="199">
      <c r="C199" s="13"/>
      <c r="D199" s="13"/>
      <c r="E199" s="13"/>
      <c r="F199" s="13"/>
    </row>
    <row r="200">
      <c r="C200" s="13"/>
      <c r="D200" s="13"/>
      <c r="E200" s="13"/>
      <c r="F200" s="13"/>
    </row>
    <row r="201">
      <c r="C201" s="13"/>
      <c r="D201" s="13"/>
      <c r="E201" s="13"/>
      <c r="F201" s="13"/>
    </row>
    <row r="202">
      <c r="C202" s="13"/>
      <c r="D202" s="13"/>
      <c r="E202" s="13"/>
      <c r="F202" s="13"/>
    </row>
    <row r="203">
      <c r="C203" s="13"/>
      <c r="D203" s="13"/>
      <c r="E203" s="13"/>
      <c r="F203" s="13"/>
    </row>
    <row r="204">
      <c r="C204" s="13"/>
      <c r="D204" s="13"/>
      <c r="E204" s="13"/>
      <c r="F204" s="13"/>
    </row>
    <row r="205">
      <c r="C205" s="13"/>
      <c r="D205" s="13"/>
      <c r="E205" s="13"/>
      <c r="F205" s="13"/>
    </row>
    <row r="206">
      <c r="C206" s="13"/>
      <c r="D206" s="13"/>
      <c r="E206" s="13"/>
      <c r="F206" s="13"/>
    </row>
    <row r="207">
      <c r="C207" s="13"/>
      <c r="D207" s="13"/>
      <c r="E207" s="13"/>
      <c r="F207" s="13"/>
    </row>
    <row r="208">
      <c r="C208" s="13"/>
      <c r="D208" s="13"/>
      <c r="E208" s="13"/>
      <c r="F208" s="13"/>
    </row>
    <row r="209">
      <c r="C209" s="13"/>
      <c r="D209" s="13"/>
      <c r="E209" s="13"/>
      <c r="F209" s="13"/>
    </row>
    <row r="210">
      <c r="C210" s="13"/>
      <c r="D210" s="13"/>
      <c r="E210" s="13"/>
      <c r="F210" s="13"/>
    </row>
    <row r="211">
      <c r="C211" s="13"/>
      <c r="D211" s="13"/>
      <c r="E211" s="13"/>
      <c r="F211" s="13"/>
    </row>
    <row r="212">
      <c r="C212" s="13"/>
      <c r="D212" s="13"/>
      <c r="E212" s="13"/>
      <c r="F212" s="13"/>
    </row>
    <row r="213">
      <c r="C213" s="13"/>
      <c r="D213" s="13"/>
      <c r="E213" s="13"/>
      <c r="F213" s="13"/>
    </row>
    <row r="214">
      <c r="C214" s="13"/>
      <c r="D214" s="13"/>
      <c r="E214" s="13"/>
      <c r="F214" s="13"/>
    </row>
    <row r="215">
      <c r="C215" s="13"/>
      <c r="D215" s="13"/>
      <c r="E215" s="13"/>
      <c r="F215" s="13"/>
    </row>
    <row r="216">
      <c r="C216" s="13"/>
      <c r="D216" s="13"/>
      <c r="E216" s="13"/>
      <c r="F216" s="13"/>
    </row>
    <row r="217">
      <c r="C217" s="13"/>
      <c r="D217" s="13"/>
      <c r="E217" s="13"/>
      <c r="F217" s="13"/>
    </row>
    <row r="218">
      <c r="C218" s="13"/>
      <c r="D218" s="13"/>
      <c r="E218" s="13"/>
      <c r="F218" s="13"/>
    </row>
    <row r="219">
      <c r="C219" s="13"/>
      <c r="D219" s="13"/>
      <c r="E219" s="13"/>
      <c r="F219" s="13"/>
    </row>
    <row r="220">
      <c r="C220" s="13"/>
      <c r="D220" s="13"/>
      <c r="E220" s="13"/>
      <c r="F220" s="13"/>
    </row>
    <row r="221">
      <c r="C221" s="13"/>
      <c r="D221" s="13"/>
      <c r="E221" s="13"/>
      <c r="F221" s="13"/>
    </row>
    <row r="222">
      <c r="C222" s="13"/>
      <c r="D222" s="13"/>
      <c r="E222" s="13"/>
      <c r="F222" s="13"/>
    </row>
    <row r="223">
      <c r="C223" s="13"/>
      <c r="D223" s="13"/>
      <c r="E223" s="13"/>
      <c r="F223" s="13"/>
    </row>
    <row r="224">
      <c r="C224" s="13"/>
      <c r="D224" s="13"/>
      <c r="E224" s="13"/>
      <c r="F224" s="13"/>
    </row>
    <row r="225">
      <c r="C225" s="13"/>
      <c r="D225" s="13"/>
      <c r="E225" s="13"/>
      <c r="F225" s="13"/>
    </row>
    <row r="226">
      <c r="C226" s="13"/>
      <c r="D226" s="13"/>
      <c r="E226" s="13"/>
      <c r="F226" s="13"/>
    </row>
    <row r="227">
      <c r="C227" s="13"/>
      <c r="D227" s="13"/>
      <c r="E227" s="13"/>
      <c r="F227" s="13"/>
    </row>
    <row r="228">
      <c r="C228" s="13"/>
      <c r="D228" s="13"/>
      <c r="E228" s="13"/>
      <c r="F228" s="13"/>
    </row>
    <row r="229">
      <c r="C229" s="13"/>
      <c r="D229" s="13"/>
      <c r="E229" s="13"/>
      <c r="F229" s="13"/>
    </row>
    <row r="230">
      <c r="C230" s="13"/>
      <c r="D230" s="13"/>
      <c r="E230" s="13"/>
      <c r="F230" s="13"/>
    </row>
    <row r="231">
      <c r="C231" s="13"/>
      <c r="D231" s="13"/>
      <c r="E231" s="13"/>
      <c r="F231" s="13"/>
    </row>
    <row r="232">
      <c r="C232" s="13"/>
      <c r="D232" s="13"/>
      <c r="E232" s="13"/>
      <c r="F232" s="13"/>
    </row>
    <row r="233">
      <c r="C233" s="13"/>
      <c r="D233" s="13"/>
      <c r="E233" s="13"/>
      <c r="F233" s="13"/>
    </row>
    <row r="234">
      <c r="C234" s="13"/>
      <c r="D234" s="13"/>
      <c r="E234" s="13"/>
      <c r="F234" s="13"/>
    </row>
    <row r="235">
      <c r="C235" s="13"/>
      <c r="D235" s="13"/>
      <c r="E235" s="13"/>
      <c r="F235" s="13"/>
    </row>
    <row r="236">
      <c r="C236" s="13"/>
      <c r="D236" s="13"/>
      <c r="E236" s="13"/>
      <c r="F236" s="13"/>
    </row>
    <row r="237">
      <c r="C237" s="13"/>
      <c r="D237" s="13"/>
      <c r="E237" s="13"/>
      <c r="F237" s="13"/>
    </row>
    <row r="238">
      <c r="C238" s="13"/>
      <c r="D238" s="13"/>
      <c r="E238" s="13"/>
      <c r="F238" s="13"/>
    </row>
    <row r="239">
      <c r="C239" s="13"/>
      <c r="D239" s="13"/>
      <c r="E239" s="13"/>
      <c r="F239" s="13"/>
    </row>
    <row r="240">
      <c r="C240" s="13"/>
      <c r="D240" s="13"/>
      <c r="E240" s="13"/>
      <c r="F240" s="13"/>
    </row>
    <row r="241">
      <c r="C241" s="13"/>
      <c r="D241" s="13"/>
      <c r="E241" s="13"/>
      <c r="F241" s="13"/>
    </row>
    <row r="242">
      <c r="C242" s="13"/>
      <c r="D242" s="13"/>
      <c r="E242" s="13"/>
      <c r="F242" s="13"/>
    </row>
    <row r="243">
      <c r="C243" s="13"/>
      <c r="D243" s="13"/>
      <c r="E243" s="13"/>
      <c r="F243" s="13"/>
    </row>
    <row r="244">
      <c r="C244" s="13"/>
      <c r="D244" s="13"/>
      <c r="E244" s="13"/>
      <c r="F244" s="13"/>
    </row>
    <row r="245">
      <c r="C245" s="13"/>
      <c r="D245" s="13"/>
      <c r="E245" s="13"/>
      <c r="F245" s="13"/>
    </row>
    <row r="246">
      <c r="C246" s="13"/>
      <c r="D246" s="13"/>
      <c r="E246" s="13"/>
      <c r="F246" s="13"/>
    </row>
    <row r="247">
      <c r="C247" s="13"/>
      <c r="D247" s="13"/>
      <c r="E247" s="13"/>
      <c r="F247" s="13"/>
    </row>
    <row r="248">
      <c r="C248" s="13"/>
      <c r="D248" s="13"/>
      <c r="E248" s="13"/>
      <c r="F248" s="13"/>
    </row>
    <row r="249">
      <c r="C249" s="13"/>
      <c r="D249" s="13"/>
      <c r="E249" s="13"/>
      <c r="F249" s="13"/>
    </row>
    <row r="250">
      <c r="C250" s="13"/>
      <c r="D250" s="13"/>
      <c r="E250" s="13"/>
      <c r="F250" s="13"/>
    </row>
    <row r="251">
      <c r="C251" s="13"/>
      <c r="D251" s="13"/>
      <c r="E251" s="13"/>
      <c r="F251" s="13"/>
    </row>
    <row r="252">
      <c r="C252" s="13"/>
      <c r="D252" s="13"/>
      <c r="E252" s="13"/>
      <c r="F252" s="13"/>
    </row>
    <row r="253">
      <c r="C253" s="13"/>
      <c r="D253" s="13"/>
      <c r="E253" s="13"/>
      <c r="F253" s="13"/>
    </row>
    <row r="254">
      <c r="C254" s="13"/>
      <c r="D254" s="13"/>
      <c r="E254" s="13"/>
      <c r="F254" s="13"/>
    </row>
    <row r="255">
      <c r="C255" s="13"/>
      <c r="D255" s="13"/>
      <c r="E255" s="13"/>
      <c r="F255" s="13"/>
    </row>
    <row r="256">
      <c r="C256" s="13"/>
      <c r="D256" s="13"/>
      <c r="E256" s="13"/>
      <c r="F256" s="13"/>
    </row>
    <row r="257">
      <c r="C257" s="13"/>
      <c r="D257" s="13"/>
      <c r="E257" s="13"/>
      <c r="F257" s="13"/>
    </row>
    <row r="258">
      <c r="C258" s="13"/>
      <c r="D258" s="13"/>
      <c r="E258" s="13"/>
      <c r="F258" s="13"/>
    </row>
    <row r="259">
      <c r="C259" s="13"/>
      <c r="D259" s="13"/>
      <c r="E259" s="13"/>
      <c r="F259" s="13"/>
    </row>
    <row r="260">
      <c r="C260" s="13"/>
      <c r="D260" s="13"/>
      <c r="E260" s="13"/>
      <c r="F260" s="13"/>
    </row>
    <row r="261">
      <c r="C261" s="13"/>
      <c r="D261" s="13"/>
      <c r="E261" s="13"/>
      <c r="F261" s="13"/>
    </row>
    <row r="262">
      <c r="C262" s="13"/>
      <c r="D262" s="13"/>
      <c r="E262" s="13"/>
      <c r="F262" s="13"/>
    </row>
    <row r="263">
      <c r="C263" s="13"/>
      <c r="D263" s="13"/>
      <c r="E263" s="13"/>
      <c r="F263" s="13"/>
    </row>
    <row r="264">
      <c r="C264" s="13"/>
      <c r="D264" s="13"/>
      <c r="E264" s="13"/>
      <c r="F264" s="13"/>
    </row>
    <row r="265">
      <c r="C265" s="13"/>
      <c r="D265" s="13"/>
      <c r="E265" s="13"/>
      <c r="F265" s="13"/>
    </row>
    <row r="266">
      <c r="C266" s="13"/>
      <c r="D266" s="13"/>
      <c r="E266" s="13"/>
      <c r="F266" s="13"/>
    </row>
    <row r="267">
      <c r="C267" s="13"/>
      <c r="D267" s="13"/>
      <c r="E267" s="13"/>
      <c r="F267" s="13"/>
    </row>
    <row r="268">
      <c r="C268" s="13"/>
      <c r="D268" s="13"/>
      <c r="E268" s="13"/>
      <c r="F268" s="13"/>
    </row>
    <row r="269">
      <c r="C269" s="13"/>
      <c r="D269" s="13"/>
      <c r="E269" s="13"/>
      <c r="F269" s="13"/>
    </row>
    <row r="270">
      <c r="C270" s="13"/>
      <c r="D270" s="13"/>
      <c r="E270" s="13"/>
      <c r="F270" s="13"/>
    </row>
    <row r="271">
      <c r="C271" s="13"/>
      <c r="D271" s="13"/>
      <c r="E271" s="13"/>
      <c r="F271" s="13"/>
    </row>
    <row r="272">
      <c r="C272" s="13"/>
      <c r="D272" s="13"/>
      <c r="E272" s="13"/>
      <c r="F272" s="13"/>
    </row>
    <row r="273">
      <c r="C273" s="13"/>
      <c r="D273" s="13"/>
      <c r="E273" s="13"/>
      <c r="F273" s="13"/>
    </row>
    <row r="274">
      <c r="C274" s="13"/>
      <c r="D274" s="13"/>
      <c r="E274" s="13"/>
      <c r="F274" s="13"/>
    </row>
    <row r="275">
      <c r="C275" s="13"/>
      <c r="D275" s="13"/>
      <c r="E275" s="13"/>
      <c r="F275" s="13"/>
    </row>
    <row r="276">
      <c r="C276" s="13"/>
      <c r="D276" s="13"/>
      <c r="E276" s="13"/>
      <c r="F276" s="13"/>
    </row>
    <row r="277">
      <c r="C277" s="13"/>
      <c r="D277" s="13"/>
      <c r="E277" s="13"/>
      <c r="F277" s="13"/>
    </row>
    <row r="278">
      <c r="C278" s="13"/>
      <c r="D278" s="13"/>
      <c r="E278" s="13"/>
      <c r="F278" s="13"/>
    </row>
    <row r="279">
      <c r="C279" s="13"/>
      <c r="D279" s="13"/>
      <c r="E279" s="13"/>
      <c r="F279" s="13"/>
    </row>
    <row r="280">
      <c r="C280" s="13"/>
      <c r="D280" s="13"/>
      <c r="E280" s="13"/>
      <c r="F280" s="13"/>
    </row>
    <row r="281">
      <c r="C281" s="13"/>
      <c r="D281" s="13"/>
      <c r="E281" s="13"/>
      <c r="F281" s="13"/>
    </row>
    <row r="282">
      <c r="C282" s="13"/>
      <c r="D282" s="13"/>
      <c r="E282" s="13"/>
      <c r="F282" s="13"/>
    </row>
    <row r="283">
      <c r="C283" s="13"/>
      <c r="D283" s="13"/>
      <c r="E283" s="13"/>
      <c r="F283" s="13"/>
    </row>
    <row r="284">
      <c r="C284" s="13"/>
      <c r="D284" s="13"/>
      <c r="E284" s="13"/>
      <c r="F284" s="13"/>
    </row>
    <row r="285">
      <c r="C285" s="13"/>
      <c r="D285" s="13"/>
      <c r="E285" s="13"/>
      <c r="F285" s="13"/>
    </row>
    <row r="286">
      <c r="C286" s="13"/>
      <c r="D286" s="13"/>
      <c r="E286" s="13"/>
      <c r="F286" s="13"/>
    </row>
    <row r="287">
      <c r="C287" s="13"/>
      <c r="D287" s="13"/>
      <c r="E287" s="13"/>
      <c r="F287" s="13"/>
    </row>
    <row r="288">
      <c r="C288" s="13"/>
      <c r="D288" s="13"/>
      <c r="E288" s="13"/>
      <c r="F288" s="13"/>
    </row>
    <row r="289">
      <c r="C289" s="13"/>
      <c r="D289" s="13"/>
      <c r="E289" s="13"/>
      <c r="F289" s="13"/>
    </row>
    <row r="290">
      <c r="C290" s="13"/>
      <c r="D290" s="13"/>
      <c r="E290" s="13"/>
      <c r="F290" s="13"/>
    </row>
    <row r="291">
      <c r="C291" s="13"/>
      <c r="D291" s="13"/>
      <c r="E291" s="13"/>
      <c r="F291" s="13"/>
    </row>
    <row r="292">
      <c r="C292" s="13"/>
      <c r="D292" s="13"/>
      <c r="E292" s="13"/>
      <c r="F292" s="13"/>
    </row>
    <row r="293">
      <c r="C293" s="13"/>
      <c r="D293" s="13"/>
      <c r="E293" s="13"/>
      <c r="F293" s="13"/>
    </row>
    <row r="294">
      <c r="C294" s="13"/>
      <c r="D294" s="13"/>
      <c r="E294" s="13"/>
      <c r="F294" s="13"/>
    </row>
    <row r="295">
      <c r="C295" s="13"/>
      <c r="D295" s="13"/>
      <c r="E295" s="13"/>
      <c r="F295" s="13"/>
    </row>
    <row r="296">
      <c r="C296" s="13"/>
      <c r="D296" s="13"/>
      <c r="E296" s="13"/>
      <c r="F296" s="13"/>
    </row>
    <row r="297">
      <c r="C297" s="13"/>
      <c r="D297" s="13"/>
      <c r="E297" s="13"/>
      <c r="F297" s="13"/>
    </row>
    <row r="298">
      <c r="C298" s="13"/>
      <c r="D298" s="13"/>
      <c r="E298" s="13"/>
      <c r="F298" s="13"/>
    </row>
    <row r="299">
      <c r="C299" s="13"/>
      <c r="D299" s="13"/>
      <c r="E299" s="13"/>
      <c r="F299" s="13"/>
    </row>
    <row r="300">
      <c r="C300" s="13"/>
      <c r="D300" s="13"/>
      <c r="E300" s="13"/>
      <c r="F300" s="13"/>
    </row>
    <row r="301">
      <c r="C301" s="13"/>
      <c r="D301" s="13"/>
      <c r="E301" s="13"/>
      <c r="F301" s="13"/>
    </row>
    <row r="302">
      <c r="C302" s="13"/>
      <c r="D302" s="13"/>
      <c r="E302" s="13"/>
      <c r="F302" s="13"/>
    </row>
    <row r="303">
      <c r="C303" s="13"/>
      <c r="D303" s="13"/>
      <c r="E303" s="13"/>
      <c r="F303" s="13"/>
    </row>
    <row r="304">
      <c r="C304" s="13"/>
      <c r="D304" s="13"/>
      <c r="E304" s="13"/>
      <c r="F304" s="13"/>
    </row>
    <row r="305">
      <c r="C305" s="13"/>
      <c r="D305" s="13"/>
      <c r="E305" s="13"/>
      <c r="F305" s="13"/>
    </row>
    <row r="306">
      <c r="C306" s="13"/>
      <c r="D306" s="13"/>
      <c r="E306" s="13"/>
      <c r="F306" s="13"/>
    </row>
    <row r="307">
      <c r="C307" s="13"/>
      <c r="D307" s="13"/>
      <c r="E307" s="13"/>
      <c r="F307" s="13"/>
    </row>
    <row r="308">
      <c r="C308" s="13"/>
      <c r="D308" s="13"/>
      <c r="E308" s="13"/>
      <c r="F308" s="13"/>
    </row>
    <row r="309">
      <c r="C309" s="13"/>
      <c r="D309" s="13"/>
      <c r="E309" s="13"/>
      <c r="F309" s="13"/>
    </row>
    <row r="310">
      <c r="C310" s="13"/>
      <c r="D310" s="13"/>
      <c r="E310" s="13"/>
      <c r="F310" s="13"/>
    </row>
    <row r="311">
      <c r="C311" s="13"/>
      <c r="D311" s="13"/>
      <c r="E311" s="13"/>
      <c r="F311" s="13"/>
    </row>
    <row r="312">
      <c r="C312" s="13"/>
      <c r="D312" s="13"/>
      <c r="E312" s="13"/>
      <c r="F312" s="13"/>
    </row>
    <row r="313">
      <c r="C313" s="13"/>
      <c r="D313" s="13"/>
      <c r="E313" s="13"/>
      <c r="F313" s="13"/>
    </row>
    <row r="314">
      <c r="C314" s="13"/>
      <c r="D314" s="13"/>
      <c r="E314" s="13"/>
      <c r="F314" s="13"/>
    </row>
    <row r="315">
      <c r="C315" s="13"/>
      <c r="D315" s="13"/>
      <c r="E315" s="13"/>
      <c r="F315" s="13"/>
    </row>
    <row r="316">
      <c r="C316" s="13"/>
      <c r="D316" s="13"/>
      <c r="E316" s="13"/>
      <c r="F316" s="13"/>
    </row>
    <row r="317">
      <c r="C317" s="13"/>
      <c r="D317" s="13"/>
      <c r="E317" s="13"/>
      <c r="F317" s="13"/>
    </row>
    <row r="318">
      <c r="C318" s="13"/>
      <c r="D318" s="13"/>
      <c r="E318" s="13"/>
      <c r="F318" s="13"/>
    </row>
    <row r="319">
      <c r="C319" s="13"/>
      <c r="D319" s="13"/>
      <c r="E319" s="13"/>
      <c r="F319" s="13"/>
    </row>
    <row r="320">
      <c r="C320" s="13"/>
      <c r="D320" s="13"/>
      <c r="E320" s="13"/>
      <c r="F320" s="13"/>
    </row>
    <row r="321">
      <c r="C321" s="13"/>
      <c r="D321" s="13"/>
      <c r="E321" s="13"/>
      <c r="F321" s="13"/>
    </row>
    <row r="322">
      <c r="C322" s="13"/>
      <c r="D322" s="13"/>
      <c r="E322" s="13"/>
      <c r="F322" s="13"/>
    </row>
    <row r="323">
      <c r="C323" s="13"/>
      <c r="D323" s="13"/>
      <c r="E323" s="13"/>
      <c r="F323" s="13"/>
    </row>
    <row r="324">
      <c r="C324" s="13"/>
      <c r="D324" s="13"/>
      <c r="E324" s="13"/>
      <c r="F324" s="13"/>
    </row>
    <row r="325">
      <c r="C325" s="13"/>
      <c r="D325" s="13"/>
      <c r="E325" s="13"/>
      <c r="F325" s="13"/>
    </row>
    <row r="326">
      <c r="C326" s="13"/>
      <c r="D326" s="13"/>
      <c r="E326" s="13"/>
      <c r="F326" s="13"/>
    </row>
    <row r="327">
      <c r="C327" s="13"/>
      <c r="D327" s="13"/>
      <c r="E327" s="13"/>
      <c r="F327" s="13"/>
    </row>
    <row r="328">
      <c r="C328" s="13"/>
      <c r="D328" s="13"/>
      <c r="E328" s="13"/>
      <c r="F328" s="13"/>
    </row>
    <row r="329">
      <c r="C329" s="13"/>
      <c r="D329" s="13"/>
      <c r="E329" s="13"/>
      <c r="F329" s="13"/>
    </row>
    <row r="330">
      <c r="C330" s="13"/>
      <c r="D330" s="13"/>
      <c r="E330" s="13"/>
      <c r="F330" s="13"/>
    </row>
    <row r="331">
      <c r="C331" s="13"/>
      <c r="D331" s="13"/>
      <c r="E331" s="13"/>
      <c r="F331" s="13"/>
    </row>
    <row r="332">
      <c r="C332" s="13"/>
      <c r="D332" s="13"/>
      <c r="E332" s="13"/>
      <c r="F332" s="13"/>
    </row>
    <row r="333">
      <c r="C333" s="13"/>
      <c r="D333" s="13"/>
      <c r="E333" s="13"/>
      <c r="F333" s="13"/>
    </row>
    <row r="334">
      <c r="C334" s="13"/>
      <c r="D334" s="13"/>
      <c r="E334" s="13"/>
      <c r="F334" s="13"/>
    </row>
    <row r="335">
      <c r="C335" s="13"/>
      <c r="D335" s="13"/>
      <c r="E335" s="13"/>
      <c r="F335" s="13"/>
    </row>
    <row r="336">
      <c r="C336" s="13"/>
      <c r="D336" s="13"/>
      <c r="E336" s="13"/>
      <c r="F336" s="13"/>
    </row>
    <row r="337">
      <c r="C337" s="13"/>
      <c r="D337" s="13"/>
      <c r="E337" s="13"/>
      <c r="F337" s="13"/>
    </row>
    <row r="338">
      <c r="C338" s="13"/>
      <c r="D338" s="13"/>
      <c r="E338" s="13"/>
      <c r="F338" s="13"/>
    </row>
    <row r="339">
      <c r="C339" s="13"/>
      <c r="D339" s="13"/>
      <c r="E339" s="13"/>
      <c r="F339" s="13"/>
    </row>
    <row r="340">
      <c r="C340" s="13"/>
      <c r="D340" s="13"/>
      <c r="E340" s="13"/>
      <c r="F340" s="13"/>
    </row>
    <row r="341">
      <c r="C341" s="13"/>
      <c r="D341" s="13"/>
      <c r="E341" s="13"/>
      <c r="F341" s="13"/>
    </row>
    <row r="342">
      <c r="C342" s="13"/>
      <c r="D342" s="13"/>
      <c r="E342" s="13"/>
      <c r="F342" s="13"/>
    </row>
    <row r="343">
      <c r="C343" s="13"/>
      <c r="D343" s="13"/>
      <c r="E343" s="13"/>
      <c r="F343" s="13"/>
    </row>
    <row r="344">
      <c r="C344" s="13"/>
      <c r="D344" s="13"/>
      <c r="E344" s="13"/>
      <c r="F344" s="13"/>
    </row>
    <row r="345">
      <c r="C345" s="13"/>
      <c r="D345" s="13"/>
      <c r="E345" s="13"/>
      <c r="F345" s="13"/>
    </row>
    <row r="346">
      <c r="C346" s="13"/>
      <c r="D346" s="13"/>
      <c r="E346" s="13"/>
      <c r="F346" s="13"/>
    </row>
    <row r="347">
      <c r="C347" s="13"/>
      <c r="D347" s="13"/>
      <c r="E347" s="13"/>
      <c r="F347" s="13"/>
    </row>
    <row r="348">
      <c r="C348" s="13"/>
      <c r="D348" s="13"/>
      <c r="E348" s="13"/>
      <c r="F348" s="13"/>
    </row>
    <row r="349">
      <c r="C349" s="13"/>
      <c r="D349" s="13"/>
      <c r="E349" s="13"/>
      <c r="F349" s="13"/>
    </row>
    <row r="350">
      <c r="C350" s="13"/>
      <c r="D350" s="13"/>
      <c r="E350" s="13"/>
      <c r="F350" s="13"/>
    </row>
    <row r="351">
      <c r="C351" s="13"/>
      <c r="D351" s="13"/>
      <c r="E351" s="13"/>
      <c r="F351" s="13"/>
    </row>
    <row r="352">
      <c r="C352" s="13"/>
      <c r="D352" s="13"/>
      <c r="E352" s="13"/>
      <c r="F352" s="13"/>
    </row>
    <row r="353">
      <c r="C353" s="13"/>
      <c r="D353" s="13"/>
      <c r="E353" s="13"/>
      <c r="F353" s="13"/>
    </row>
    <row r="354">
      <c r="C354" s="13"/>
      <c r="D354" s="13"/>
      <c r="E354" s="13"/>
      <c r="F354" s="13"/>
    </row>
    <row r="355">
      <c r="C355" s="13"/>
      <c r="D355" s="13"/>
      <c r="E355" s="13"/>
      <c r="F355" s="13"/>
    </row>
    <row r="356">
      <c r="C356" s="13"/>
      <c r="D356" s="13"/>
      <c r="E356" s="13"/>
      <c r="F356" s="13"/>
    </row>
    <row r="357">
      <c r="C357" s="13"/>
      <c r="D357" s="13"/>
      <c r="E357" s="13"/>
      <c r="F357" s="13"/>
    </row>
    <row r="358">
      <c r="C358" s="13"/>
      <c r="D358" s="13"/>
      <c r="E358" s="13"/>
      <c r="F358" s="13"/>
    </row>
    <row r="359">
      <c r="C359" s="13"/>
      <c r="D359" s="13"/>
      <c r="E359" s="13"/>
      <c r="F359" s="13"/>
    </row>
    <row r="360">
      <c r="C360" s="13"/>
      <c r="D360" s="13"/>
      <c r="E360" s="13"/>
      <c r="F360" s="13"/>
    </row>
    <row r="361">
      <c r="C361" s="13"/>
      <c r="D361" s="13"/>
      <c r="E361" s="13"/>
      <c r="F361" s="13"/>
    </row>
    <row r="362">
      <c r="C362" s="13"/>
      <c r="D362" s="13"/>
      <c r="E362" s="13"/>
      <c r="F362" s="13"/>
    </row>
    <row r="363">
      <c r="C363" s="13"/>
      <c r="D363" s="13"/>
      <c r="E363" s="13"/>
      <c r="F363" s="13"/>
    </row>
    <row r="364">
      <c r="C364" s="13"/>
      <c r="D364" s="13"/>
      <c r="E364" s="13"/>
      <c r="F364" s="13"/>
    </row>
    <row r="365">
      <c r="C365" s="13"/>
      <c r="D365" s="13"/>
      <c r="E365" s="13"/>
      <c r="F365" s="13"/>
    </row>
    <row r="366">
      <c r="C366" s="13"/>
      <c r="D366" s="13"/>
      <c r="E366" s="13"/>
      <c r="F366" s="13"/>
    </row>
    <row r="367">
      <c r="C367" s="13"/>
      <c r="D367" s="13"/>
      <c r="E367" s="13"/>
      <c r="F367" s="13"/>
    </row>
    <row r="368">
      <c r="C368" s="13"/>
      <c r="D368" s="13"/>
      <c r="E368" s="13"/>
      <c r="F368" s="13"/>
    </row>
    <row r="369">
      <c r="C369" s="13"/>
      <c r="D369" s="13"/>
      <c r="E369" s="13"/>
      <c r="F369" s="13"/>
    </row>
    <row r="370">
      <c r="C370" s="13"/>
      <c r="D370" s="13"/>
      <c r="E370" s="13"/>
      <c r="F370" s="13"/>
    </row>
    <row r="371">
      <c r="C371" s="13"/>
      <c r="D371" s="13"/>
      <c r="E371" s="13"/>
      <c r="F371" s="13"/>
    </row>
    <row r="372">
      <c r="C372" s="13"/>
      <c r="D372" s="13"/>
      <c r="E372" s="13"/>
      <c r="F372" s="13"/>
    </row>
    <row r="373">
      <c r="C373" s="13"/>
      <c r="D373" s="13"/>
      <c r="E373" s="13"/>
      <c r="F373" s="13"/>
    </row>
    <row r="374">
      <c r="C374" s="13"/>
      <c r="D374" s="13"/>
      <c r="E374" s="13"/>
      <c r="F374" s="13"/>
    </row>
    <row r="375">
      <c r="C375" s="13"/>
      <c r="D375" s="13"/>
      <c r="E375" s="13"/>
      <c r="F375" s="13"/>
    </row>
    <row r="376">
      <c r="C376" s="13"/>
      <c r="D376" s="13"/>
      <c r="E376" s="13"/>
      <c r="F376" s="13"/>
    </row>
    <row r="377">
      <c r="C377" s="13"/>
      <c r="D377" s="13"/>
      <c r="E377" s="13"/>
      <c r="F377" s="13"/>
    </row>
    <row r="378">
      <c r="C378" s="13"/>
      <c r="D378" s="13"/>
      <c r="E378" s="13"/>
      <c r="F378" s="13"/>
    </row>
    <row r="379">
      <c r="C379" s="13"/>
      <c r="D379" s="13"/>
      <c r="E379" s="13"/>
      <c r="F379" s="13"/>
    </row>
    <row r="380">
      <c r="C380" s="13"/>
      <c r="D380" s="13"/>
      <c r="E380" s="13"/>
      <c r="F380" s="13"/>
    </row>
    <row r="381">
      <c r="C381" s="13"/>
      <c r="D381" s="13"/>
      <c r="E381" s="13"/>
      <c r="F381" s="13"/>
    </row>
    <row r="382">
      <c r="C382" s="13"/>
      <c r="D382" s="13"/>
      <c r="E382" s="13"/>
      <c r="F382" s="13"/>
    </row>
    <row r="383">
      <c r="C383" s="13"/>
      <c r="D383" s="13"/>
      <c r="E383" s="13"/>
      <c r="F383" s="13"/>
    </row>
    <row r="384">
      <c r="C384" s="13"/>
      <c r="D384" s="13"/>
      <c r="E384" s="13"/>
      <c r="F384" s="13"/>
    </row>
    <row r="385">
      <c r="C385" s="13"/>
      <c r="D385" s="13"/>
      <c r="E385" s="13"/>
      <c r="F385" s="13"/>
    </row>
    <row r="386">
      <c r="C386" s="13"/>
      <c r="D386" s="13"/>
      <c r="E386" s="13"/>
      <c r="F386" s="13"/>
    </row>
    <row r="387">
      <c r="C387" s="13"/>
      <c r="D387" s="13"/>
      <c r="E387" s="13"/>
      <c r="F387" s="13"/>
    </row>
    <row r="388">
      <c r="C388" s="13"/>
      <c r="D388" s="13"/>
      <c r="E388" s="13"/>
      <c r="F388" s="13"/>
    </row>
    <row r="389">
      <c r="C389" s="13"/>
      <c r="D389" s="13"/>
      <c r="E389" s="13"/>
      <c r="F389" s="13"/>
    </row>
    <row r="390">
      <c r="C390" s="13"/>
      <c r="D390" s="13"/>
      <c r="E390" s="13"/>
      <c r="F390" s="13"/>
    </row>
    <row r="391">
      <c r="C391" s="13"/>
      <c r="D391" s="13"/>
      <c r="E391" s="13"/>
      <c r="F391" s="13"/>
    </row>
    <row r="392">
      <c r="C392" s="13"/>
      <c r="D392" s="13"/>
      <c r="E392" s="13"/>
      <c r="F392" s="13"/>
    </row>
    <row r="393">
      <c r="C393" s="13"/>
      <c r="D393" s="13"/>
      <c r="E393" s="13"/>
      <c r="F393" s="13"/>
    </row>
    <row r="394">
      <c r="C394" s="13"/>
      <c r="D394" s="13"/>
      <c r="E394" s="13"/>
      <c r="F394" s="13"/>
    </row>
    <row r="395">
      <c r="C395" s="13"/>
      <c r="D395" s="13"/>
      <c r="E395" s="13"/>
      <c r="F395" s="13"/>
    </row>
    <row r="396">
      <c r="C396" s="13"/>
      <c r="D396" s="13"/>
      <c r="E396" s="13"/>
      <c r="F396" s="13"/>
    </row>
    <row r="397">
      <c r="C397" s="13"/>
      <c r="D397" s="13"/>
      <c r="E397" s="13"/>
      <c r="F397" s="13"/>
    </row>
    <row r="398">
      <c r="C398" s="13"/>
      <c r="D398" s="13"/>
      <c r="E398" s="13"/>
      <c r="F398" s="13"/>
    </row>
    <row r="399">
      <c r="C399" s="13"/>
      <c r="D399" s="13"/>
      <c r="E399" s="13"/>
      <c r="F399" s="13"/>
    </row>
    <row r="400">
      <c r="C400" s="13"/>
      <c r="D400" s="13"/>
      <c r="E400" s="13"/>
      <c r="F400" s="13"/>
    </row>
    <row r="401">
      <c r="C401" s="13"/>
      <c r="D401" s="13"/>
      <c r="E401" s="13"/>
      <c r="F401" s="13"/>
    </row>
    <row r="402">
      <c r="C402" s="13"/>
      <c r="D402" s="13"/>
      <c r="E402" s="13"/>
      <c r="F402" s="13"/>
    </row>
    <row r="403">
      <c r="C403" s="13"/>
      <c r="D403" s="13"/>
      <c r="E403" s="13"/>
      <c r="F403" s="13"/>
    </row>
    <row r="404">
      <c r="C404" s="13"/>
      <c r="D404" s="13"/>
      <c r="E404" s="13"/>
      <c r="F404" s="13"/>
    </row>
    <row r="405">
      <c r="C405" s="13"/>
      <c r="D405" s="13"/>
      <c r="E405" s="13"/>
      <c r="F405" s="13"/>
    </row>
    <row r="406">
      <c r="C406" s="13"/>
      <c r="D406" s="13"/>
      <c r="E406" s="13"/>
      <c r="F406" s="13"/>
    </row>
    <row r="407">
      <c r="C407" s="13"/>
      <c r="D407" s="13"/>
      <c r="E407" s="13"/>
      <c r="F407" s="13"/>
    </row>
    <row r="408">
      <c r="C408" s="13"/>
      <c r="D408" s="13"/>
      <c r="E408" s="13"/>
      <c r="F408" s="13"/>
    </row>
    <row r="409">
      <c r="C409" s="13"/>
      <c r="D409" s="13"/>
      <c r="E409" s="13"/>
      <c r="F409" s="13"/>
    </row>
    <row r="410">
      <c r="C410" s="13"/>
      <c r="D410" s="13"/>
      <c r="E410" s="13"/>
      <c r="F410" s="13"/>
    </row>
    <row r="411">
      <c r="C411" s="13"/>
      <c r="D411" s="13"/>
      <c r="E411" s="13"/>
      <c r="F411" s="13"/>
    </row>
    <row r="412">
      <c r="C412" s="13"/>
      <c r="D412" s="13"/>
      <c r="E412" s="13"/>
      <c r="F412" s="13"/>
    </row>
    <row r="413">
      <c r="C413" s="13"/>
      <c r="D413" s="13"/>
      <c r="E413" s="13"/>
      <c r="F413" s="13"/>
    </row>
    <row r="414">
      <c r="C414" s="13"/>
      <c r="D414" s="13"/>
      <c r="E414" s="13"/>
      <c r="F414" s="13"/>
    </row>
    <row r="415">
      <c r="C415" s="13"/>
      <c r="D415" s="13"/>
      <c r="E415" s="13"/>
      <c r="F415" s="13"/>
    </row>
    <row r="416">
      <c r="C416" s="13"/>
      <c r="D416" s="13"/>
      <c r="E416" s="13"/>
      <c r="F416" s="13"/>
    </row>
    <row r="417">
      <c r="C417" s="13"/>
      <c r="D417" s="13"/>
      <c r="E417" s="13"/>
      <c r="F417" s="13"/>
    </row>
    <row r="418">
      <c r="C418" s="13"/>
      <c r="D418" s="13"/>
      <c r="E418" s="13"/>
      <c r="F418" s="13"/>
    </row>
    <row r="419">
      <c r="C419" s="13"/>
      <c r="D419" s="13"/>
      <c r="E419" s="13"/>
      <c r="F419" s="13"/>
    </row>
    <row r="420">
      <c r="C420" s="13"/>
      <c r="D420" s="13"/>
      <c r="E420" s="13"/>
      <c r="F420" s="13"/>
    </row>
    <row r="421">
      <c r="C421" s="13"/>
      <c r="D421" s="13"/>
      <c r="E421" s="13"/>
      <c r="F421" s="13"/>
    </row>
    <row r="422">
      <c r="C422" s="13"/>
      <c r="D422" s="13"/>
      <c r="E422" s="13"/>
      <c r="F422" s="13"/>
    </row>
    <row r="423">
      <c r="C423" s="13"/>
      <c r="D423" s="13"/>
      <c r="E423" s="13"/>
      <c r="F423" s="13"/>
    </row>
    <row r="424">
      <c r="C424" s="13"/>
      <c r="D424" s="13"/>
      <c r="E424" s="13"/>
      <c r="F424" s="13"/>
    </row>
    <row r="425">
      <c r="C425" s="13"/>
      <c r="D425" s="13"/>
      <c r="E425" s="13"/>
      <c r="F425" s="13"/>
    </row>
    <row r="426">
      <c r="C426" s="13"/>
      <c r="D426" s="13"/>
      <c r="E426" s="13"/>
      <c r="F426" s="13"/>
    </row>
    <row r="427">
      <c r="C427" s="13"/>
      <c r="D427" s="13"/>
      <c r="E427" s="13"/>
      <c r="F427" s="13"/>
    </row>
    <row r="428">
      <c r="C428" s="13"/>
      <c r="D428" s="13"/>
      <c r="E428" s="13"/>
      <c r="F428" s="13"/>
    </row>
    <row r="429">
      <c r="C429" s="13"/>
      <c r="D429" s="13"/>
      <c r="E429" s="13"/>
      <c r="F429" s="13"/>
    </row>
    <row r="430">
      <c r="C430" s="13"/>
      <c r="D430" s="13"/>
      <c r="E430" s="13"/>
      <c r="F430" s="13"/>
    </row>
    <row r="431">
      <c r="C431" s="13"/>
      <c r="D431" s="13"/>
      <c r="E431" s="13"/>
      <c r="F431" s="13"/>
    </row>
    <row r="432">
      <c r="C432" s="13"/>
      <c r="D432" s="13"/>
      <c r="E432" s="13"/>
      <c r="F432" s="13"/>
    </row>
    <row r="433">
      <c r="C433" s="13"/>
      <c r="D433" s="13"/>
      <c r="E433" s="13"/>
      <c r="F433" s="13"/>
    </row>
    <row r="434">
      <c r="C434" s="13"/>
      <c r="D434" s="13"/>
      <c r="E434" s="13"/>
      <c r="F434" s="13"/>
    </row>
    <row r="435">
      <c r="C435" s="13"/>
      <c r="D435" s="13"/>
      <c r="E435" s="13"/>
      <c r="F435" s="13"/>
    </row>
    <row r="436">
      <c r="C436" s="13"/>
      <c r="D436" s="13"/>
      <c r="E436" s="13"/>
      <c r="F436" s="13"/>
    </row>
    <row r="437">
      <c r="C437" s="13"/>
      <c r="D437" s="13"/>
      <c r="E437" s="13"/>
      <c r="F437" s="13"/>
    </row>
    <row r="438">
      <c r="C438" s="13"/>
      <c r="D438" s="13"/>
      <c r="E438" s="13"/>
      <c r="F438" s="13"/>
    </row>
    <row r="439">
      <c r="C439" s="13"/>
      <c r="D439" s="13"/>
      <c r="E439" s="13"/>
      <c r="F439" s="13"/>
    </row>
    <row r="440">
      <c r="C440" s="13"/>
      <c r="D440" s="13"/>
      <c r="E440" s="13"/>
      <c r="F440" s="13"/>
    </row>
    <row r="441">
      <c r="C441" s="13"/>
      <c r="D441" s="13"/>
      <c r="E441" s="13"/>
      <c r="F441" s="13"/>
    </row>
    <row r="442">
      <c r="C442" s="13"/>
      <c r="D442" s="13"/>
      <c r="E442" s="13"/>
      <c r="F442" s="13"/>
    </row>
    <row r="443">
      <c r="C443" s="13"/>
      <c r="D443" s="13"/>
      <c r="E443" s="13"/>
      <c r="F443" s="13"/>
    </row>
    <row r="444">
      <c r="C444" s="13"/>
      <c r="D444" s="13"/>
      <c r="E444" s="13"/>
      <c r="F444" s="13"/>
    </row>
    <row r="445">
      <c r="C445" s="13"/>
      <c r="D445" s="13"/>
      <c r="E445" s="13"/>
      <c r="F445" s="13"/>
    </row>
    <row r="446">
      <c r="C446" s="13"/>
      <c r="D446" s="13"/>
      <c r="E446" s="13"/>
      <c r="F446" s="13"/>
    </row>
    <row r="447">
      <c r="C447" s="13"/>
      <c r="D447" s="13"/>
      <c r="E447" s="13"/>
      <c r="F447" s="13"/>
    </row>
    <row r="448">
      <c r="C448" s="13"/>
      <c r="D448" s="13"/>
      <c r="E448" s="13"/>
      <c r="F448" s="13"/>
    </row>
    <row r="449">
      <c r="C449" s="13"/>
      <c r="D449" s="13"/>
      <c r="E449" s="13"/>
      <c r="F449" s="13"/>
    </row>
    <row r="450">
      <c r="C450" s="13"/>
      <c r="D450" s="13"/>
      <c r="E450" s="13"/>
      <c r="F450" s="13"/>
    </row>
    <row r="451">
      <c r="C451" s="13"/>
      <c r="D451" s="13"/>
      <c r="E451" s="13"/>
      <c r="F451" s="13"/>
    </row>
    <row r="452">
      <c r="C452" s="13"/>
      <c r="D452" s="13"/>
      <c r="E452" s="13"/>
      <c r="F452" s="13"/>
    </row>
    <row r="453">
      <c r="C453" s="13"/>
      <c r="D453" s="13"/>
      <c r="E453" s="13"/>
      <c r="F453" s="13"/>
    </row>
    <row r="454">
      <c r="C454" s="13"/>
      <c r="D454" s="13"/>
      <c r="E454" s="13"/>
      <c r="F454" s="13"/>
    </row>
    <row r="455">
      <c r="C455" s="13"/>
      <c r="D455" s="13"/>
      <c r="E455" s="13"/>
      <c r="F455" s="13"/>
    </row>
    <row r="456">
      <c r="C456" s="13"/>
      <c r="D456" s="13"/>
      <c r="E456" s="13"/>
      <c r="F456" s="13"/>
    </row>
    <row r="457">
      <c r="C457" s="13"/>
      <c r="D457" s="13"/>
      <c r="E457" s="13"/>
      <c r="F457" s="13"/>
    </row>
    <row r="458">
      <c r="C458" s="13"/>
      <c r="D458" s="13"/>
      <c r="E458" s="13"/>
      <c r="F458" s="13"/>
    </row>
    <row r="459">
      <c r="C459" s="13"/>
      <c r="D459" s="13"/>
      <c r="E459" s="13"/>
      <c r="F459" s="13"/>
    </row>
    <row r="460">
      <c r="C460" s="13"/>
      <c r="D460" s="13"/>
      <c r="E460" s="13"/>
      <c r="F460" s="13"/>
    </row>
    <row r="461">
      <c r="C461" s="13"/>
      <c r="D461" s="13"/>
      <c r="E461" s="13"/>
      <c r="F461" s="13"/>
    </row>
    <row r="462">
      <c r="C462" s="13"/>
      <c r="D462" s="13"/>
      <c r="E462" s="13"/>
      <c r="F462" s="13"/>
    </row>
    <row r="463">
      <c r="C463" s="13"/>
      <c r="D463" s="13"/>
      <c r="E463" s="13"/>
      <c r="F463" s="13"/>
    </row>
    <row r="464">
      <c r="C464" s="13"/>
      <c r="D464" s="13"/>
      <c r="E464" s="13"/>
      <c r="F464" s="13"/>
    </row>
    <row r="465">
      <c r="C465" s="13"/>
      <c r="D465" s="13"/>
      <c r="E465" s="13"/>
      <c r="F465" s="13"/>
    </row>
    <row r="466">
      <c r="C466" s="13"/>
      <c r="D466" s="13"/>
      <c r="E466" s="13"/>
      <c r="F466" s="13"/>
    </row>
    <row r="467">
      <c r="C467" s="13"/>
      <c r="D467" s="13"/>
      <c r="E467" s="13"/>
      <c r="F467" s="13"/>
    </row>
    <row r="468">
      <c r="C468" s="13"/>
      <c r="D468" s="13"/>
      <c r="E468" s="13"/>
      <c r="F468" s="13"/>
    </row>
    <row r="469">
      <c r="C469" s="13"/>
      <c r="D469" s="13"/>
      <c r="E469" s="13"/>
      <c r="F469" s="13"/>
    </row>
    <row r="470">
      <c r="C470" s="13"/>
      <c r="D470" s="13"/>
      <c r="E470" s="13"/>
      <c r="F470" s="13"/>
    </row>
    <row r="471">
      <c r="C471" s="13"/>
      <c r="D471" s="13"/>
      <c r="E471" s="13"/>
      <c r="F471" s="13"/>
    </row>
    <row r="472">
      <c r="C472" s="13"/>
      <c r="D472" s="13"/>
      <c r="E472" s="13"/>
      <c r="F472" s="13"/>
    </row>
    <row r="473">
      <c r="C473" s="13"/>
      <c r="D473" s="13"/>
      <c r="E473" s="13"/>
      <c r="F473" s="13"/>
    </row>
    <row r="474">
      <c r="C474" s="13"/>
      <c r="D474" s="13"/>
      <c r="E474" s="13"/>
      <c r="F474" s="13"/>
    </row>
    <row r="475">
      <c r="C475" s="13"/>
      <c r="D475" s="13"/>
      <c r="E475" s="13"/>
      <c r="F475" s="13"/>
    </row>
    <row r="476">
      <c r="C476" s="13"/>
      <c r="D476" s="13"/>
      <c r="E476" s="13"/>
      <c r="F476" s="13"/>
    </row>
    <row r="477">
      <c r="C477" s="13"/>
      <c r="D477" s="13"/>
      <c r="E477" s="13"/>
      <c r="F477" s="13"/>
    </row>
    <row r="478">
      <c r="C478" s="13"/>
      <c r="D478" s="13"/>
      <c r="E478" s="13"/>
      <c r="F478" s="13"/>
    </row>
    <row r="479">
      <c r="C479" s="13"/>
      <c r="D479" s="13"/>
      <c r="E479" s="13"/>
      <c r="F479" s="13"/>
    </row>
    <row r="480">
      <c r="C480" s="13"/>
      <c r="D480" s="13"/>
      <c r="E480" s="13"/>
      <c r="F480" s="13"/>
    </row>
    <row r="481">
      <c r="C481" s="13"/>
      <c r="D481" s="13"/>
      <c r="E481" s="13"/>
      <c r="F481" s="13"/>
    </row>
    <row r="482">
      <c r="C482" s="13"/>
      <c r="D482" s="13"/>
      <c r="E482" s="13"/>
      <c r="F482" s="13"/>
    </row>
    <row r="483">
      <c r="C483" s="13"/>
      <c r="D483" s="13"/>
      <c r="E483" s="13"/>
      <c r="F483" s="13"/>
    </row>
    <row r="484">
      <c r="C484" s="13"/>
      <c r="D484" s="13"/>
      <c r="E484" s="13"/>
      <c r="F484" s="13"/>
    </row>
    <row r="485">
      <c r="C485" s="13"/>
      <c r="D485" s="13"/>
      <c r="E485" s="13"/>
      <c r="F485" s="13"/>
    </row>
    <row r="486">
      <c r="C486" s="13"/>
      <c r="D486" s="13"/>
      <c r="E486" s="13"/>
      <c r="F486" s="13"/>
    </row>
    <row r="487">
      <c r="C487" s="13"/>
      <c r="D487" s="13"/>
      <c r="E487" s="13"/>
      <c r="F487" s="13"/>
    </row>
    <row r="488">
      <c r="C488" s="13"/>
      <c r="D488" s="13"/>
      <c r="E488" s="13"/>
      <c r="F488" s="13"/>
    </row>
    <row r="489">
      <c r="C489" s="13"/>
      <c r="D489" s="13"/>
      <c r="E489" s="13"/>
      <c r="F489" s="13"/>
    </row>
    <row r="490">
      <c r="C490" s="13"/>
      <c r="D490" s="13"/>
      <c r="E490" s="13"/>
      <c r="F490" s="13"/>
    </row>
    <row r="491">
      <c r="C491" s="13"/>
      <c r="D491" s="13"/>
      <c r="E491" s="13"/>
      <c r="F491" s="13"/>
    </row>
    <row r="492">
      <c r="C492" s="13"/>
      <c r="D492" s="13"/>
      <c r="E492" s="13"/>
      <c r="F492" s="13"/>
    </row>
    <row r="493">
      <c r="C493" s="13"/>
      <c r="D493" s="13"/>
      <c r="E493" s="13"/>
      <c r="F493" s="13"/>
    </row>
    <row r="494">
      <c r="C494" s="13"/>
      <c r="D494" s="13"/>
      <c r="E494" s="13"/>
      <c r="F494" s="13"/>
    </row>
    <row r="495">
      <c r="C495" s="13"/>
      <c r="D495" s="13"/>
      <c r="E495" s="13"/>
      <c r="F495" s="13"/>
    </row>
    <row r="496">
      <c r="C496" s="13"/>
      <c r="D496" s="13"/>
      <c r="E496" s="13"/>
      <c r="F496" s="13"/>
    </row>
    <row r="497">
      <c r="C497" s="13"/>
      <c r="D497" s="13"/>
      <c r="E497" s="13"/>
      <c r="F497" s="13"/>
    </row>
    <row r="498">
      <c r="C498" s="13"/>
      <c r="D498" s="13"/>
      <c r="E498" s="13"/>
      <c r="F498" s="13"/>
    </row>
    <row r="499">
      <c r="C499" s="13"/>
      <c r="D499" s="13"/>
      <c r="E499" s="13"/>
      <c r="F499" s="13"/>
    </row>
    <row r="500">
      <c r="C500" s="13"/>
      <c r="D500" s="13"/>
      <c r="E500" s="13"/>
      <c r="F500" s="13"/>
    </row>
    <row r="501">
      <c r="C501" s="13"/>
      <c r="D501" s="13"/>
      <c r="E501" s="13"/>
      <c r="F501" s="13"/>
    </row>
    <row r="502">
      <c r="C502" s="13"/>
      <c r="D502" s="13"/>
      <c r="E502" s="13"/>
      <c r="F502" s="13"/>
    </row>
    <row r="503">
      <c r="C503" s="13"/>
      <c r="D503" s="13"/>
      <c r="E503" s="13"/>
      <c r="F503" s="13"/>
    </row>
    <row r="504">
      <c r="C504" s="13"/>
      <c r="D504" s="13"/>
      <c r="E504" s="13"/>
      <c r="F504" s="13"/>
    </row>
    <row r="505">
      <c r="C505" s="13"/>
      <c r="D505" s="13"/>
      <c r="E505" s="13"/>
      <c r="F505" s="13"/>
    </row>
    <row r="506">
      <c r="C506" s="13"/>
      <c r="D506" s="13"/>
      <c r="E506" s="13"/>
      <c r="F506" s="13"/>
    </row>
    <row r="507">
      <c r="C507" s="13"/>
      <c r="D507" s="13"/>
      <c r="E507" s="13"/>
      <c r="F507" s="13"/>
    </row>
    <row r="508">
      <c r="C508" s="13"/>
      <c r="D508" s="13"/>
      <c r="E508" s="13"/>
      <c r="F508" s="13"/>
    </row>
    <row r="509">
      <c r="C509" s="13"/>
      <c r="D509" s="13"/>
      <c r="E509" s="13"/>
      <c r="F509" s="13"/>
    </row>
    <row r="510">
      <c r="C510" s="13"/>
      <c r="D510" s="13"/>
      <c r="E510" s="13"/>
      <c r="F510" s="13"/>
    </row>
    <row r="511">
      <c r="C511" s="13"/>
      <c r="D511" s="13"/>
      <c r="E511" s="13"/>
      <c r="F511" s="13"/>
    </row>
    <row r="512">
      <c r="C512" s="13"/>
      <c r="D512" s="13"/>
      <c r="E512" s="13"/>
      <c r="F512" s="13"/>
    </row>
    <row r="513">
      <c r="C513" s="13"/>
      <c r="D513" s="13"/>
      <c r="E513" s="13"/>
      <c r="F513" s="13"/>
    </row>
    <row r="514">
      <c r="C514" s="13"/>
      <c r="D514" s="13"/>
      <c r="E514" s="13"/>
      <c r="F514" s="13"/>
    </row>
    <row r="515">
      <c r="C515" s="13"/>
      <c r="D515" s="13"/>
      <c r="E515" s="13"/>
      <c r="F515" s="13"/>
    </row>
    <row r="516">
      <c r="C516" s="13"/>
      <c r="D516" s="13"/>
      <c r="E516" s="13"/>
      <c r="F516" s="13"/>
    </row>
    <row r="517">
      <c r="C517" s="13"/>
      <c r="D517" s="13"/>
      <c r="E517" s="13"/>
      <c r="F517" s="13"/>
    </row>
    <row r="518">
      <c r="C518" s="13"/>
      <c r="D518" s="13"/>
      <c r="E518" s="13"/>
      <c r="F518" s="13"/>
    </row>
    <row r="519">
      <c r="C519" s="13"/>
      <c r="D519" s="13"/>
      <c r="E519" s="13"/>
      <c r="F519" s="13"/>
    </row>
    <row r="520">
      <c r="C520" s="13"/>
      <c r="D520" s="13"/>
      <c r="E520" s="13"/>
      <c r="F520" s="13"/>
    </row>
    <row r="521">
      <c r="C521" s="13"/>
      <c r="D521" s="13"/>
      <c r="E521" s="13"/>
      <c r="F521" s="13"/>
    </row>
    <row r="522">
      <c r="C522" s="13"/>
      <c r="D522" s="13"/>
      <c r="E522" s="13"/>
      <c r="F522" s="13"/>
    </row>
    <row r="523">
      <c r="C523" s="13"/>
      <c r="D523" s="13"/>
      <c r="E523" s="13"/>
      <c r="F523" s="13"/>
    </row>
    <row r="524">
      <c r="C524" s="13"/>
      <c r="D524" s="13"/>
      <c r="E524" s="13"/>
      <c r="F524" s="13"/>
    </row>
    <row r="525">
      <c r="C525" s="13"/>
      <c r="D525" s="13"/>
      <c r="E525" s="13"/>
      <c r="F525" s="13"/>
    </row>
    <row r="526">
      <c r="C526" s="13"/>
      <c r="D526" s="13"/>
      <c r="E526" s="13"/>
      <c r="F526" s="13"/>
    </row>
    <row r="527">
      <c r="C527" s="13"/>
      <c r="D527" s="13"/>
      <c r="E527" s="13"/>
      <c r="F527" s="13"/>
    </row>
    <row r="528">
      <c r="C528" s="13"/>
      <c r="D528" s="13"/>
      <c r="E528" s="13"/>
      <c r="F528" s="13"/>
    </row>
    <row r="529">
      <c r="C529" s="13"/>
      <c r="D529" s="13"/>
      <c r="E529" s="13"/>
      <c r="F529" s="13"/>
    </row>
    <row r="530">
      <c r="C530" s="13"/>
      <c r="D530" s="13"/>
      <c r="E530" s="13"/>
      <c r="F530" s="13"/>
    </row>
    <row r="531">
      <c r="C531" s="13"/>
      <c r="D531" s="13"/>
      <c r="E531" s="13"/>
      <c r="F531" s="13"/>
    </row>
    <row r="532">
      <c r="C532" s="13"/>
      <c r="D532" s="13"/>
      <c r="E532" s="13"/>
      <c r="F532" s="13"/>
    </row>
    <row r="533">
      <c r="C533" s="13"/>
      <c r="D533" s="13"/>
      <c r="E533" s="13"/>
      <c r="F533" s="13"/>
    </row>
    <row r="534">
      <c r="C534" s="13"/>
      <c r="D534" s="13"/>
      <c r="E534" s="13"/>
      <c r="F534" s="13"/>
    </row>
    <row r="535">
      <c r="C535" s="13"/>
      <c r="D535" s="13"/>
      <c r="E535" s="13"/>
      <c r="F535" s="13"/>
    </row>
    <row r="536">
      <c r="C536" s="13"/>
      <c r="D536" s="13"/>
      <c r="E536" s="13"/>
      <c r="F536" s="13"/>
    </row>
    <row r="537">
      <c r="C537" s="13"/>
      <c r="D537" s="13"/>
      <c r="E537" s="13"/>
      <c r="F537" s="13"/>
    </row>
    <row r="538">
      <c r="C538" s="13"/>
      <c r="D538" s="13"/>
      <c r="E538" s="13"/>
      <c r="F538" s="13"/>
    </row>
    <row r="539">
      <c r="C539" s="13"/>
      <c r="D539" s="13"/>
      <c r="E539" s="13"/>
      <c r="F539" s="13"/>
    </row>
    <row r="540">
      <c r="C540" s="13"/>
      <c r="D540" s="13"/>
      <c r="E540" s="13"/>
      <c r="F540" s="13"/>
    </row>
    <row r="541">
      <c r="C541" s="13"/>
      <c r="D541" s="13"/>
      <c r="E541" s="13"/>
      <c r="F541" s="13"/>
    </row>
    <row r="542">
      <c r="C542" s="13"/>
      <c r="D542" s="13"/>
      <c r="E542" s="13"/>
      <c r="F542" s="13"/>
    </row>
    <row r="543">
      <c r="C543" s="13"/>
      <c r="D543" s="13"/>
      <c r="E543" s="13"/>
      <c r="F543" s="13"/>
    </row>
    <row r="544">
      <c r="C544" s="13"/>
      <c r="D544" s="13"/>
      <c r="E544" s="13"/>
      <c r="F544" s="13"/>
    </row>
    <row r="545">
      <c r="C545" s="13"/>
      <c r="D545" s="13"/>
      <c r="E545" s="13"/>
      <c r="F545" s="13"/>
    </row>
    <row r="546">
      <c r="C546" s="13"/>
      <c r="D546" s="13"/>
      <c r="E546" s="13"/>
      <c r="F546" s="13"/>
    </row>
    <row r="547">
      <c r="C547" s="13"/>
      <c r="D547" s="13"/>
      <c r="E547" s="13"/>
      <c r="F547" s="13"/>
    </row>
    <row r="548">
      <c r="C548" s="13"/>
      <c r="D548" s="13"/>
      <c r="E548" s="13"/>
      <c r="F548" s="13"/>
    </row>
    <row r="549">
      <c r="C549" s="13"/>
      <c r="D549" s="13"/>
      <c r="E549" s="13"/>
      <c r="F549" s="13"/>
    </row>
    <row r="550">
      <c r="C550" s="13"/>
      <c r="D550" s="13"/>
      <c r="E550" s="13"/>
      <c r="F550" s="13"/>
    </row>
    <row r="551">
      <c r="C551" s="13"/>
      <c r="D551" s="13"/>
      <c r="E551" s="13"/>
      <c r="F551" s="13"/>
    </row>
    <row r="552">
      <c r="C552" s="13"/>
      <c r="D552" s="13"/>
      <c r="E552" s="13"/>
      <c r="F552" s="13"/>
    </row>
    <row r="553">
      <c r="C553" s="13"/>
      <c r="D553" s="13"/>
      <c r="E553" s="13"/>
      <c r="F553" s="13"/>
    </row>
    <row r="554">
      <c r="C554" s="13"/>
      <c r="D554" s="13"/>
      <c r="E554" s="13"/>
      <c r="F554" s="13"/>
    </row>
    <row r="555">
      <c r="C555" s="13"/>
      <c r="D555" s="13"/>
      <c r="E555" s="13"/>
      <c r="F555" s="13"/>
    </row>
    <row r="556">
      <c r="C556" s="13"/>
      <c r="D556" s="13"/>
      <c r="E556" s="13"/>
      <c r="F556" s="13"/>
    </row>
    <row r="557">
      <c r="C557" s="13"/>
      <c r="D557" s="13"/>
      <c r="E557" s="13"/>
      <c r="F557" s="13"/>
    </row>
    <row r="558">
      <c r="C558" s="13"/>
      <c r="D558" s="13"/>
      <c r="E558" s="13"/>
      <c r="F558" s="13"/>
    </row>
    <row r="559">
      <c r="C559" s="13"/>
      <c r="D559" s="13"/>
      <c r="E559" s="13"/>
      <c r="F559" s="13"/>
    </row>
    <row r="560">
      <c r="C560" s="13"/>
      <c r="D560" s="13"/>
      <c r="E560" s="13"/>
      <c r="F560" s="13"/>
    </row>
    <row r="561">
      <c r="C561" s="13"/>
      <c r="D561" s="13"/>
      <c r="E561" s="13"/>
      <c r="F561" s="13"/>
    </row>
    <row r="562">
      <c r="C562" s="13"/>
      <c r="D562" s="13"/>
      <c r="E562" s="13"/>
      <c r="F562" s="13"/>
    </row>
    <row r="563">
      <c r="C563" s="13"/>
      <c r="D563" s="13"/>
      <c r="E563" s="13"/>
      <c r="F563" s="13"/>
    </row>
    <row r="564">
      <c r="C564" s="13"/>
      <c r="D564" s="13"/>
      <c r="E564" s="13"/>
      <c r="F564" s="13"/>
    </row>
    <row r="565">
      <c r="C565" s="13"/>
      <c r="D565" s="13"/>
      <c r="E565" s="13"/>
      <c r="F565" s="13"/>
    </row>
    <row r="566">
      <c r="C566" s="13"/>
      <c r="D566" s="13"/>
      <c r="E566" s="13"/>
      <c r="F566" s="13"/>
    </row>
    <row r="567">
      <c r="C567" s="13"/>
      <c r="D567" s="13"/>
      <c r="E567" s="13"/>
      <c r="F567" s="13"/>
    </row>
    <row r="568">
      <c r="C568" s="13"/>
      <c r="D568" s="13"/>
      <c r="E568" s="13"/>
      <c r="F568" s="13"/>
    </row>
    <row r="569">
      <c r="C569" s="13"/>
      <c r="D569" s="13"/>
      <c r="E569" s="13"/>
      <c r="F569" s="13"/>
    </row>
    <row r="570">
      <c r="C570" s="13"/>
      <c r="D570" s="13"/>
      <c r="E570" s="13"/>
      <c r="F570" s="13"/>
    </row>
    <row r="571">
      <c r="C571" s="13"/>
      <c r="D571" s="13"/>
      <c r="E571" s="13"/>
      <c r="F571" s="13"/>
    </row>
    <row r="572">
      <c r="C572" s="13"/>
      <c r="D572" s="13"/>
      <c r="E572" s="13"/>
      <c r="F572" s="13"/>
    </row>
    <row r="573">
      <c r="C573" s="13"/>
      <c r="D573" s="13"/>
      <c r="E573" s="13"/>
      <c r="F573" s="13"/>
    </row>
    <row r="574">
      <c r="C574" s="13"/>
      <c r="D574" s="13"/>
      <c r="E574" s="13"/>
      <c r="F574" s="13"/>
    </row>
    <row r="575">
      <c r="C575" s="13"/>
      <c r="D575" s="13"/>
      <c r="E575" s="13"/>
      <c r="F575" s="13"/>
    </row>
    <row r="576">
      <c r="C576" s="13"/>
      <c r="D576" s="13"/>
      <c r="E576" s="13"/>
      <c r="F576" s="13"/>
    </row>
    <row r="577">
      <c r="C577" s="13"/>
      <c r="D577" s="13"/>
      <c r="E577" s="13"/>
      <c r="F577" s="13"/>
    </row>
    <row r="578">
      <c r="C578" s="13"/>
      <c r="D578" s="13"/>
      <c r="E578" s="13"/>
      <c r="F578" s="13"/>
    </row>
    <row r="579">
      <c r="C579" s="13"/>
      <c r="D579" s="13"/>
      <c r="E579" s="13"/>
      <c r="F579" s="13"/>
    </row>
    <row r="580">
      <c r="C580" s="13"/>
      <c r="D580" s="13"/>
      <c r="E580" s="13"/>
      <c r="F580" s="13"/>
    </row>
    <row r="581">
      <c r="C581" s="13"/>
      <c r="D581" s="13"/>
      <c r="E581" s="13"/>
      <c r="F581" s="13"/>
    </row>
    <row r="582">
      <c r="C582" s="13"/>
      <c r="D582" s="13"/>
      <c r="E582" s="13"/>
      <c r="F582" s="13"/>
    </row>
    <row r="583">
      <c r="C583" s="13"/>
      <c r="D583" s="13"/>
      <c r="E583" s="13"/>
      <c r="F583" s="13"/>
    </row>
    <row r="584">
      <c r="C584" s="13"/>
      <c r="D584" s="13"/>
      <c r="E584" s="13"/>
      <c r="F584" s="13"/>
    </row>
    <row r="585">
      <c r="C585" s="13"/>
      <c r="D585" s="13"/>
      <c r="E585" s="13"/>
      <c r="F585" s="13"/>
    </row>
    <row r="586">
      <c r="C586" s="13"/>
      <c r="D586" s="13"/>
      <c r="E586" s="13"/>
      <c r="F586" s="13"/>
    </row>
    <row r="587">
      <c r="C587" s="13"/>
      <c r="D587" s="13"/>
      <c r="E587" s="13"/>
      <c r="F587" s="13"/>
    </row>
    <row r="588">
      <c r="C588" s="13"/>
      <c r="D588" s="13"/>
      <c r="E588" s="13"/>
      <c r="F588" s="13"/>
    </row>
    <row r="589">
      <c r="C589" s="13"/>
      <c r="D589" s="13"/>
      <c r="E589" s="13"/>
      <c r="F589" s="13"/>
    </row>
    <row r="590">
      <c r="C590" s="13"/>
      <c r="D590" s="13"/>
      <c r="E590" s="13"/>
      <c r="F590" s="13"/>
    </row>
    <row r="591">
      <c r="C591" s="13"/>
      <c r="D591" s="13"/>
      <c r="E591" s="13"/>
      <c r="F591" s="13"/>
    </row>
    <row r="592">
      <c r="C592" s="13"/>
      <c r="D592" s="13"/>
      <c r="E592" s="13"/>
      <c r="F592" s="13"/>
    </row>
    <row r="593">
      <c r="C593" s="13"/>
      <c r="D593" s="13"/>
      <c r="E593" s="13"/>
      <c r="F593" s="13"/>
    </row>
    <row r="594">
      <c r="C594" s="13"/>
      <c r="D594" s="13"/>
      <c r="E594" s="13"/>
      <c r="F594" s="13"/>
    </row>
    <row r="595">
      <c r="C595" s="13"/>
      <c r="D595" s="13"/>
      <c r="E595" s="13"/>
      <c r="F595" s="13"/>
    </row>
    <row r="596">
      <c r="C596" s="13"/>
      <c r="D596" s="13"/>
      <c r="E596" s="13"/>
      <c r="F596" s="13"/>
    </row>
    <row r="597">
      <c r="C597" s="13"/>
      <c r="D597" s="13"/>
      <c r="E597" s="13"/>
      <c r="F597" s="13"/>
    </row>
    <row r="598">
      <c r="C598" s="13"/>
      <c r="D598" s="13"/>
      <c r="E598" s="13"/>
      <c r="F598" s="13"/>
    </row>
    <row r="599">
      <c r="C599" s="13"/>
      <c r="D599" s="13"/>
      <c r="E599" s="13"/>
      <c r="F599" s="13"/>
    </row>
    <row r="600">
      <c r="C600" s="13"/>
      <c r="D600" s="13"/>
      <c r="E600" s="13"/>
      <c r="F600" s="13"/>
    </row>
    <row r="601">
      <c r="C601" s="13"/>
      <c r="D601" s="13"/>
      <c r="E601" s="13"/>
      <c r="F601" s="13"/>
    </row>
    <row r="602">
      <c r="C602" s="13"/>
      <c r="D602" s="13"/>
      <c r="E602" s="13"/>
      <c r="F602" s="13"/>
    </row>
    <row r="603">
      <c r="C603" s="13"/>
      <c r="D603" s="13"/>
      <c r="E603" s="13"/>
      <c r="F603" s="13"/>
    </row>
    <row r="604">
      <c r="C604" s="13"/>
      <c r="D604" s="13"/>
      <c r="E604" s="13"/>
      <c r="F604" s="13"/>
    </row>
    <row r="605">
      <c r="C605" s="13"/>
      <c r="D605" s="13"/>
      <c r="E605" s="13"/>
      <c r="F605" s="13"/>
    </row>
    <row r="606">
      <c r="C606" s="13"/>
      <c r="D606" s="13"/>
      <c r="E606" s="13"/>
      <c r="F606" s="13"/>
    </row>
    <row r="607">
      <c r="C607" s="13"/>
      <c r="D607" s="13"/>
      <c r="E607" s="13"/>
      <c r="F607" s="13"/>
    </row>
    <row r="608">
      <c r="C608" s="13"/>
      <c r="D608" s="13"/>
      <c r="E608" s="13"/>
      <c r="F608" s="13"/>
    </row>
    <row r="609">
      <c r="C609" s="13"/>
      <c r="D609" s="13"/>
      <c r="E609" s="13"/>
      <c r="F609" s="13"/>
    </row>
    <row r="610">
      <c r="C610" s="13"/>
      <c r="D610" s="13"/>
      <c r="E610" s="13"/>
      <c r="F610" s="13"/>
    </row>
    <row r="611">
      <c r="C611" s="13"/>
      <c r="D611" s="13"/>
      <c r="E611" s="13"/>
      <c r="F611" s="13"/>
    </row>
    <row r="612">
      <c r="C612" s="13"/>
      <c r="D612" s="13"/>
      <c r="E612" s="13"/>
      <c r="F612" s="13"/>
    </row>
    <row r="613">
      <c r="C613" s="13"/>
      <c r="D613" s="13"/>
      <c r="E613" s="13"/>
      <c r="F613" s="13"/>
    </row>
    <row r="614">
      <c r="C614" s="13"/>
      <c r="D614" s="13"/>
      <c r="E614" s="13"/>
      <c r="F614" s="13"/>
    </row>
    <row r="615">
      <c r="C615" s="13"/>
      <c r="D615" s="13"/>
      <c r="E615" s="13"/>
      <c r="F615" s="13"/>
    </row>
    <row r="616">
      <c r="C616" s="13"/>
      <c r="D616" s="13"/>
      <c r="E616" s="13"/>
      <c r="F616" s="13"/>
    </row>
    <row r="617">
      <c r="C617" s="13"/>
      <c r="D617" s="13"/>
      <c r="E617" s="13"/>
      <c r="F617" s="13"/>
    </row>
    <row r="618">
      <c r="C618" s="13"/>
      <c r="D618" s="13"/>
      <c r="E618" s="13"/>
      <c r="F618" s="13"/>
    </row>
    <row r="619">
      <c r="C619" s="13"/>
      <c r="D619" s="13"/>
      <c r="E619" s="13"/>
      <c r="F619" s="13"/>
    </row>
    <row r="620">
      <c r="C620" s="13"/>
      <c r="D620" s="13"/>
      <c r="E620" s="13"/>
      <c r="F620" s="13"/>
    </row>
    <row r="621">
      <c r="C621" s="13"/>
      <c r="D621" s="13"/>
      <c r="E621" s="13"/>
      <c r="F621" s="13"/>
    </row>
    <row r="622">
      <c r="C622" s="13"/>
      <c r="D622" s="13"/>
      <c r="E622" s="13"/>
      <c r="F622" s="13"/>
    </row>
    <row r="623">
      <c r="C623" s="13"/>
      <c r="D623" s="13"/>
      <c r="E623" s="13"/>
      <c r="F623" s="13"/>
    </row>
    <row r="624">
      <c r="C624" s="13"/>
      <c r="D624" s="13"/>
      <c r="E624" s="13"/>
      <c r="F624" s="13"/>
    </row>
    <row r="625">
      <c r="C625" s="13"/>
      <c r="D625" s="13"/>
      <c r="E625" s="13"/>
      <c r="F625" s="13"/>
    </row>
    <row r="626">
      <c r="C626" s="13"/>
      <c r="D626" s="13"/>
      <c r="E626" s="13"/>
      <c r="F626" s="13"/>
    </row>
    <row r="627">
      <c r="C627" s="13"/>
      <c r="D627" s="13"/>
      <c r="E627" s="13"/>
      <c r="F627" s="13"/>
    </row>
    <row r="628">
      <c r="C628" s="13"/>
      <c r="D628" s="13"/>
      <c r="E628" s="13"/>
      <c r="F628" s="13"/>
    </row>
    <row r="629">
      <c r="C629" s="13"/>
      <c r="D629" s="13"/>
      <c r="E629" s="13"/>
      <c r="F629" s="13"/>
    </row>
    <row r="630">
      <c r="C630" s="13"/>
      <c r="D630" s="13"/>
      <c r="E630" s="13"/>
      <c r="F630" s="13"/>
    </row>
    <row r="631">
      <c r="C631" s="13"/>
      <c r="D631" s="13"/>
      <c r="E631" s="13"/>
      <c r="F631" s="13"/>
    </row>
    <row r="632">
      <c r="C632" s="13"/>
      <c r="D632" s="13"/>
      <c r="E632" s="13"/>
      <c r="F632" s="13"/>
    </row>
    <row r="633">
      <c r="C633" s="13"/>
      <c r="D633" s="13"/>
      <c r="E633" s="13"/>
      <c r="F633" s="13"/>
    </row>
    <row r="634">
      <c r="C634" s="13"/>
      <c r="D634" s="13"/>
      <c r="E634" s="13"/>
      <c r="F634" s="13"/>
    </row>
    <row r="635">
      <c r="C635" s="13"/>
      <c r="D635" s="13"/>
      <c r="E635" s="13"/>
      <c r="F635" s="13"/>
    </row>
    <row r="636">
      <c r="C636" s="13"/>
      <c r="D636" s="13"/>
      <c r="E636" s="13"/>
      <c r="F636" s="13"/>
    </row>
    <row r="637">
      <c r="C637" s="13"/>
      <c r="D637" s="13"/>
      <c r="E637" s="13"/>
      <c r="F637" s="13"/>
    </row>
    <row r="638">
      <c r="C638" s="13"/>
      <c r="D638" s="13"/>
      <c r="E638" s="13"/>
      <c r="F638" s="13"/>
    </row>
    <row r="639">
      <c r="C639" s="13"/>
      <c r="D639" s="13"/>
      <c r="E639" s="13"/>
      <c r="F639" s="13"/>
    </row>
    <row r="640">
      <c r="C640" s="13"/>
      <c r="D640" s="13"/>
      <c r="E640" s="13"/>
      <c r="F640" s="13"/>
    </row>
    <row r="641">
      <c r="C641" s="13"/>
      <c r="D641" s="13"/>
      <c r="E641" s="13"/>
      <c r="F641" s="13"/>
    </row>
    <row r="642">
      <c r="C642" s="13"/>
      <c r="D642" s="13"/>
      <c r="E642" s="13"/>
      <c r="F642" s="13"/>
    </row>
    <row r="643">
      <c r="C643" s="13"/>
      <c r="D643" s="13"/>
      <c r="E643" s="13"/>
      <c r="F643" s="13"/>
    </row>
    <row r="644">
      <c r="C644" s="13"/>
      <c r="D644" s="13"/>
      <c r="E644" s="13"/>
      <c r="F644" s="13"/>
    </row>
    <row r="645">
      <c r="C645" s="13"/>
      <c r="D645" s="13"/>
      <c r="E645" s="13"/>
      <c r="F645" s="13"/>
    </row>
    <row r="646">
      <c r="C646" s="13"/>
      <c r="D646" s="13"/>
      <c r="E646" s="13"/>
      <c r="F646" s="13"/>
    </row>
    <row r="647">
      <c r="C647" s="13"/>
      <c r="D647" s="13"/>
      <c r="E647" s="13"/>
      <c r="F647" s="13"/>
    </row>
    <row r="648">
      <c r="C648" s="13"/>
      <c r="D648" s="13"/>
      <c r="E648" s="13"/>
      <c r="F648" s="13"/>
    </row>
    <row r="649">
      <c r="C649" s="13"/>
      <c r="D649" s="13"/>
      <c r="E649" s="13"/>
      <c r="F649" s="13"/>
    </row>
    <row r="650">
      <c r="C650" s="13"/>
      <c r="D650" s="13"/>
      <c r="E650" s="13"/>
      <c r="F650" s="13"/>
    </row>
    <row r="651">
      <c r="C651" s="13"/>
      <c r="D651" s="13"/>
      <c r="E651" s="13"/>
      <c r="F651" s="13"/>
    </row>
    <row r="652">
      <c r="C652" s="13"/>
      <c r="D652" s="13"/>
      <c r="E652" s="13"/>
      <c r="F652" s="13"/>
    </row>
    <row r="653">
      <c r="C653" s="13"/>
      <c r="D653" s="13"/>
      <c r="E653" s="13"/>
      <c r="F653" s="13"/>
    </row>
    <row r="654">
      <c r="C654" s="13"/>
      <c r="D654" s="13"/>
      <c r="E654" s="13"/>
      <c r="F654" s="13"/>
    </row>
    <row r="655">
      <c r="C655" s="13"/>
      <c r="D655" s="13"/>
      <c r="E655" s="13"/>
      <c r="F655" s="13"/>
    </row>
    <row r="656">
      <c r="C656" s="13"/>
      <c r="D656" s="13"/>
      <c r="E656" s="13"/>
      <c r="F656" s="13"/>
    </row>
    <row r="657">
      <c r="C657" s="13"/>
      <c r="D657" s="13"/>
      <c r="E657" s="13"/>
      <c r="F657" s="13"/>
    </row>
    <row r="658">
      <c r="C658" s="13"/>
      <c r="D658" s="13"/>
      <c r="E658" s="13"/>
      <c r="F658" s="13"/>
    </row>
    <row r="659">
      <c r="C659" s="13"/>
      <c r="D659" s="13"/>
      <c r="E659" s="13"/>
      <c r="F659" s="13"/>
    </row>
    <row r="660">
      <c r="C660" s="13"/>
      <c r="D660" s="13"/>
      <c r="E660" s="13"/>
      <c r="F660" s="13"/>
    </row>
    <row r="661">
      <c r="C661" s="13"/>
      <c r="D661" s="13"/>
      <c r="E661" s="13"/>
      <c r="F661" s="13"/>
    </row>
    <row r="662">
      <c r="C662" s="13"/>
      <c r="D662" s="13"/>
      <c r="E662" s="13"/>
      <c r="F662" s="13"/>
    </row>
    <row r="663">
      <c r="C663" s="13"/>
      <c r="D663" s="13"/>
      <c r="E663" s="13"/>
      <c r="F663" s="13"/>
    </row>
    <row r="664">
      <c r="C664" s="13"/>
      <c r="D664" s="13"/>
      <c r="E664" s="13"/>
      <c r="F664" s="13"/>
    </row>
    <row r="665">
      <c r="C665" s="13"/>
      <c r="D665" s="13"/>
      <c r="E665" s="13"/>
      <c r="F665" s="13"/>
    </row>
    <row r="666">
      <c r="C666" s="13"/>
      <c r="D666" s="13"/>
      <c r="E666" s="13"/>
      <c r="F666" s="13"/>
    </row>
    <row r="667">
      <c r="C667" s="13"/>
      <c r="D667" s="13"/>
      <c r="E667" s="13"/>
      <c r="F667" s="13"/>
    </row>
    <row r="668">
      <c r="C668" s="13"/>
      <c r="D668" s="13"/>
      <c r="E668" s="13"/>
      <c r="F668" s="13"/>
    </row>
    <row r="669">
      <c r="C669" s="13"/>
      <c r="D669" s="13"/>
      <c r="E669" s="13"/>
      <c r="F669" s="13"/>
    </row>
    <row r="670">
      <c r="C670" s="13"/>
      <c r="D670" s="13"/>
      <c r="E670" s="13"/>
      <c r="F670" s="13"/>
    </row>
    <row r="671">
      <c r="C671" s="13"/>
      <c r="D671" s="13"/>
      <c r="E671" s="13"/>
      <c r="F671" s="13"/>
    </row>
    <row r="672">
      <c r="C672" s="13"/>
      <c r="D672" s="13"/>
      <c r="E672" s="13"/>
      <c r="F672" s="13"/>
    </row>
    <row r="673">
      <c r="C673" s="13"/>
      <c r="D673" s="13"/>
      <c r="E673" s="13"/>
      <c r="F673" s="13"/>
    </row>
    <row r="674">
      <c r="C674" s="13"/>
      <c r="D674" s="13"/>
      <c r="E674" s="13"/>
      <c r="F674" s="13"/>
    </row>
    <row r="675">
      <c r="C675" s="13"/>
      <c r="D675" s="13"/>
      <c r="E675" s="13"/>
      <c r="F675" s="13"/>
    </row>
    <row r="676">
      <c r="C676" s="13"/>
      <c r="D676" s="13"/>
      <c r="E676" s="13"/>
      <c r="F676" s="13"/>
    </row>
    <row r="677">
      <c r="C677" s="13"/>
      <c r="D677" s="13"/>
      <c r="E677" s="13"/>
      <c r="F677" s="13"/>
    </row>
    <row r="678">
      <c r="C678" s="13"/>
      <c r="D678" s="13"/>
      <c r="E678" s="13"/>
      <c r="F678" s="13"/>
    </row>
    <row r="679">
      <c r="C679" s="13"/>
      <c r="D679" s="13"/>
      <c r="E679" s="13"/>
      <c r="F679" s="13"/>
    </row>
    <row r="680">
      <c r="C680" s="13"/>
      <c r="D680" s="13"/>
      <c r="E680" s="13"/>
      <c r="F680" s="13"/>
    </row>
    <row r="681">
      <c r="C681" s="13"/>
      <c r="D681" s="13"/>
      <c r="E681" s="13"/>
      <c r="F681" s="13"/>
    </row>
    <row r="682">
      <c r="C682" s="13"/>
      <c r="D682" s="13"/>
      <c r="E682" s="13"/>
      <c r="F682" s="13"/>
    </row>
    <row r="683">
      <c r="C683" s="13"/>
      <c r="D683" s="13"/>
      <c r="E683" s="13"/>
      <c r="F683" s="13"/>
    </row>
    <row r="684">
      <c r="C684" s="13"/>
      <c r="D684" s="13"/>
      <c r="E684" s="13"/>
      <c r="F684" s="13"/>
    </row>
    <row r="685">
      <c r="C685" s="13"/>
      <c r="D685" s="13"/>
      <c r="E685" s="13"/>
      <c r="F685" s="13"/>
    </row>
    <row r="686">
      <c r="C686" s="13"/>
      <c r="D686" s="13"/>
      <c r="E686" s="13"/>
      <c r="F686" s="13"/>
    </row>
    <row r="687">
      <c r="C687" s="13"/>
      <c r="D687" s="13"/>
      <c r="E687" s="13"/>
      <c r="F687" s="13"/>
    </row>
    <row r="688">
      <c r="C688" s="13"/>
      <c r="D688" s="13"/>
      <c r="E688" s="13"/>
      <c r="F688" s="13"/>
    </row>
    <row r="689">
      <c r="C689" s="13"/>
      <c r="D689" s="13"/>
      <c r="E689" s="13"/>
      <c r="F689" s="13"/>
    </row>
    <row r="690">
      <c r="C690" s="13"/>
      <c r="D690" s="13"/>
      <c r="E690" s="13"/>
      <c r="F690" s="13"/>
    </row>
    <row r="691">
      <c r="C691" s="13"/>
      <c r="D691" s="13"/>
      <c r="E691" s="13"/>
      <c r="F691" s="13"/>
    </row>
    <row r="692">
      <c r="C692" s="13"/>
      <c r="D692" s="13"/>
      <c r="E692" s="13"/>
      <c r="F692" s="13"/>
    </row>
    <row r="693">
      <c r="C693" s="13"/>
      <c r="D693" s="13"/>
      <c r="E693" s="13"/>
      <c r="F693" s="13"/>
    </row>
    <row r="694">
      <c r="C694" s="13"/>
      <c r="D694" s="13"/>
      <c r="E694" s="13"/>
      <c r="F694" s="13"/>
    </row>
    <row r="695">
      <c r="C695" s="13"/>
      <c r="D695" s="13"/>
      <c r="E695" s="13"/>
      <c r="F695" s="13"/>
    </row>
    <row r="696">
      <c r="C696" s="13"/>
      <c r="D696" s="13"/>
      <c r="E696" s="13"/>
      <c r="F696" s="13"/>
    </row>
    <row r="697">
      <c r="C697" s="13"/>
      <c r="D697" s="13"/>
      <c r="E697" s="13"/>
      <c r="F697" s="13"/>
    </row>
    <row r="698">
      <c r="C698" s="13"/>
      <c r="D698" s="13"/>
      <c r="E698" s="13"/>
      <c r="F698" s="13"/>
    </row>
    <row r="699">
      <c r="C699" s="13"/>
      <c r="D699" s="13"/>
      <c r="E699" s="13"/>
      <c r="F699" s="13"/>
    </row>
    <row r="700">
      <c r="C700" s="13"/>
      <c r="D700" s="13"/>
      <c r="E700" s="13"/>
      <c r="F700" s="13"/>
    </row>
    <row r="701">
      <c r="C701" s="13"/>
      <c r="D701" s="13"/>
      <c r="E701" s="13"/>
      <c r="F701" s="13"/>
    </row>
    <row r="702">
      <c r="C702" s="13"/>
      <c r="D702" s="13"/>
      <c r="E702" s="13"/>
      <c r="F702" s="13"/>
    </row>
    <row r="703">
      <c r="C703" s="13"/>
      <c r="D703" s="13"/>
      <c r="E703" s="13"/>
      <c r="F703" s="13"/>
    </row>
    <row r="704">
      <c r="C704" s="13"/>
      <c r="D704" s="13"/>
      <c r="E704" s="13"/>
      <c r="F704" s="13"/>
    </row>
    <row r="705">
      <c r="C705" s="13"/>
      <c r="D705" s="13"/>
      <c r="E705" s="13"/>
      <c r="F705" s="13"/>
    </row>
    <row r="706">
      <c r="C706" s="13"/>
      <c r="D706" s="13"/>
      <c r="E706" s="13"/>
      <c r="F706" s="13"/>
    </row>
    <row r="707">
      <c r="C707" s="13"/>
      <c r="D707" s="13"/>
      <c r="E707" s="13"/>
      <c r="F707" s="13"/>
    </row>
    <row r="708">
      <c r="C708" s="13"/>
      <c r="D708" s="13"/>
      <c r="E708" s="13"/>
      <c r="F708" s="13"/>
    </row>
    <row r="709">
      <c r="C709" s="13"/>
      <c r="D709" s="13"/>
      <c r="E709" s="13"/>
      <c r="F709" s="13"/>
    </row>
    <row r="710">
      <c r="C710" s="13"/>
      <c r="D710" s="13"/>
      <c r="E710" s="13"/>
      <c r="F710" s="13"/>
    </row>
    <row r="711">
      <c r="C711" s="13"/>
      <c r="D711" s="13"/>
      <c r="E711" s="13"/>
      <c r="F711" s="13"/>
    </row>
    <row r="712">
      <c r="C712" s="13"/>
      <c r="D712" s="13"/>
      <c r="E712" s="13"/>
      <c r="F712" s="13"/>
    </row>
    <row r="713">
      <c r="C713" s="13"/>
      <c r="D713" s="13"/>
      <c r="E713" s="13"/>
      <c r="F713" s="13"/>
    </row>
    <row r="714">
      <c r="C714" s="13"/>
      <c r="D714" s="13"/>
      <c r="E714" s="13"/>
      <c r="F714" s="13"/>
    </row>
    <row r="715">
      <c r="C715" s="13"/>
      <c r="D715" s="13"/>
      <c r="E715" s="13"/>
      <c r="F715" s="13"/>
    </row>
    <row r="716">
      <c r="C716" s="13"/>
      <c r="D716" s="13"/>
      <c r="E716" s="13"/>
      <c r="F716" s="13"/>
    </row>
    <row r="717">
      <c r="C717" s="13"/>
      <c r="D717" s="13"/>
      <c r="E717" s="13"/>
      <c r="F717" s="13"/>
    </row>
    <row r="718">
      <c r="C718" s="13"/>
      <c r="D718" s="13"/>
      <c r="E718" s="13"/>
      <c r="F718" s="13"/>
    </row>
    <row r="719">
      <c r="C719" s="13"/>
      <c r="D719" s="13"/>
      <c r="E719" s="13"/>
      <c r="F719" s="13"/>
    </row>
    <row r="720">
      <c r="C720" s="13"/>
      <c r="D720" s="13"/>
      <c r="E720" s="13"/>
      <c r="F720" s="13"/>
    </row>
    <row r="721">
      <c r="C721" s="13"/>
      <c r="D721" s="13"/>
      <c r="E721" s="13"/>
      <c r="F721" s="13"/>
    </row>
    <row r="722">
      <c r="C722" s="13"/>
      <c r="D722" s="13"/>
      <c r="E722" s="13"/>
      <c r="F722" s="13"/>
    </row>
    <row r="723">
      <c r="C723" s="13"/>
      <c r="D723" s="13"/>
      <c r="E723" s="13"/>
      <c r="F723" s="13"/>
    </row>
    <row r="724">
      <c r="C724" s="13"/>
      <c r="D724" s="13"/>
      <c r="E724" s="13"/>
      <c r="F724" s="13"/>
    </row>
    <row r="725">
      <c r="C725" s="13"/>
      <c r="D725" s="13"/>
      <c r="E725" s="13"/>
      <c r="F725" s="13"/>
    </row>
    <row r="726">
      <c r="C726" s="13"/>
      <c r="D726" s="13"/>
      <c r="E726" s="13"/>
      <c r="F726" s="13"/>
    </row>
    <row r="727">
      <c r="C727" s="13"/>
      <c r="D727" s="13"/>
      <c r="E727" s="13"/>
      <c r="F727" s="13"/>
    </row>
    <row r="728">
      <c r="C728" s="13"/>
      <c r="D728" s="13"/>
      <c r="E728" s="13"/>
      <c r="F728" s="13"/>
    </row>
    <row r="729">
      <c r="C729" s="13"/>
      <c r="D729" s="13"/>
      <c r="E729" s="13"/>
      <c r="F729" s="13"/>
    </row>
    <row r="730">
      <c r="C730" s="13"/>
      <c r="D730" s="13"/>
      <c r="E730" s="13"/>
      <c r="F730" s="13"/>
    </row>
    <row r="731">
      <c r="C731" s="13"/>
      <c r="D731" s="13"/>
      <c r="E731" s="13"/>
      <c r="F731" s="13"/>
    </row>
    <row r="732">
      <c r="C732" s="13"/>
      <c r="D732" s="13"/>
      <c r="E732" s="13"/>
      <c r="F732" s="13"/>
    </row>
    <row r="733">
      <c r="C733" s="13"/>
      <c r="D733" s="13"/>
      <c r="E733" s="13"/>
      <c r="F733" s="13"/>
    </row>
    <row r="734">
      <c r="C734" s="13"/>
      <c r="D734" s="13"/>
      <c r="E734" s="13"/>
      <c r="F734" s="13"/>
    </row>
    <row r="735">
      <c r="C735" s="13"/>
      <c r="D735" s="13"/>
      <c r="E735" s="13"/>
      <c r="F735" s="13"/>
    </row>
    <row r="736">
      <c r="C736" s="13"/>
      <c r="D736" s="13"/>
      <c r="E736" s="13"/>
      <c r="F736" s="13"/>
    </row>
    <row r="737">
      <c r="C737" s="13"/>
      <c r="D737" s="13"/>
      <c r="E737" s="13"/>
      <c r="F737" s="13"/>
    </row>
    <row r="738">
      <c r="C738" s="13"/>
      <c r="D738" s="13"/>
      <c r="E738" s="13"/>
      <c r="F738" s="13"/>
    </row>
    <row r="739">
      <c r="C739" s="13"/>
      <c r="D739" s="13"/>
      <c r="E739" s="13"/>
      <c r="F739" s="13"/>
    </row>
    <row r="740">
      <c r="C740" s="13"/>
      <c r="D740" s="13"/>
      <c r="E740" s="13"/>
      <c r="F740" s="13"/>
    </row>
    <row r="741">
      <c r="C741" s="13"/>
      <c r="D741" s="13"/>
      <c r="E741" s="13"/>
      <c r="F741" s="13"/>
    </row>
    <row r="742">
      <c r="C742" s="13"/>
      <c r="D742" s="13"/>
      <c r="E742" s="13"/>
      <c r="F742" s="13"/>
    </row>
    <row r="743">
      <c r="C743" s="13"/>
      <c r="D743" s="13"/>
      <c r="E743" s="13"/>
      <c r="F743" s="13"/>
    </row>
    <row r="744">
      <c r="C744" s="13"/>
      <c r="D744" s="13"/>
      <c r="E744" s="13"/>
      <c r="F744" s="13"/>
    </row>
    <row r="745">
      <c r="C745" s="13"/>
      <c r="D745" s="13"/>
      <c r="E745" s="13"/>
      <c r="F745" s="13"/>
    </row>
    <row r="746">
      <c r="C746" s="13"/>
      <c r="D746" s="13"/>
      <c r="E746" s="13"/>
      <c r="F746" s="13"/>
    </row>
    <row r="747">
      <c r="C747" s="13"/>
      <c r="D747" s="13"/>
      <c r="E747" s="13"/>
      <c r="F747" s="13"/>
    </row>
    <row r="748">
      <c r="C748" s="13"/>
      <c r="D748" s="13"/>
      <c r="E748" s="13"/>
      <c r="F748" s="13"/>
    </row>
    <row r="749">
      <c r="C749" s="13"/>
      <c r="D749" s="13"/>
      <c r="E749" s="13"/>
      <c r="F749" s="13"/>
    </row>
    <row r="750">
      <c r="C750" s="13"/>
      <c r="D750" s="13"/>
      <c r="E750" s="13"/>
      <c r="F750" s="13"/>
    </row>
    <row r="751">
      <c r="C751" s="13"/>
      <c r="D751" s="13"/>
      <c r="E751" s="13"/>
      <c r="F751" s="13"/>
    </row>
    <row r="752">
      <c r="C752" s="13"/>
      <c r="D752" s="13"/>
      <c r="E752" s="13"/>
      <c r="F752" s="13"/>
    </row>
    <row r="753">
      <c r="C753" s="13"/>
      <c r="D753" s="13"/>
      <c r="E753" s="13"/>
      <c r="F753" s="13"/>
    </row>
    <row r="754">
      <c r="C754" s="13"/>
      <c r="D754" s="13"/>
      <c r="E754" s="13"/>
      <c r="F754" s="13"/>
    </row>
    <row r="755">
      <c r="C755" s="13"/>
      <c r="D755" s="13"/>
      <c r="E755" s="13"/>
      <c r="F755" s="13"/>
    </row>
    <row r="756">
      <c r="C756" s="13"/>
      <c r="D756" s="13"/>
      <c r="E756" s="13"/>
      <c r="F756" s="13"/>
    </row>
    <row r="757">
      <c r="C757" s="13"/>
      <c r="D757" s="13"/>
      <c r="E757" s="13"/>
      <c r="F757" s="13"/>
    </row>
    <row r="758">
      <c r="C758" s="13"/>
      <c r="D758" s="13"/>
      <c r="E758" s="13"/>
      <c r="F758" s="13"/>
    </row>
    <row r="759">
      <c r="C759" s="13"/>
      <c r="D759" s="13"/>
      <c r="E759" s="13"/>
      <c r="F759" s="13"/>
    </row>
    <row r="760">
      <c r="C760" s="13"/>
      <c r="D760" s="13"/>
      <c r="E760" s="13"/>
      <c r="F760" s="13"/>
    </row>
    <row r="761">
      <c r="C761" s="13"/>
      <c r="D761" s="13"/>
      <c r="E761" s="13"/>
      <c r="F761" s="13"/>
    </row>
    <row r="762">
      <c r="C762" s="13"/>
      <c r="D762" s="13"/>
      <c r="E762" s="13"/>
      <c r="F762" s="13"/>
    </row>
    <row r="763">
      <c r="C763" s="13"/>
      <c r="D763" s="13"/>
      <c r="E763" s="13"/>
      <c r="F763" s="13"/>
    </row>
    <row r="764">
      <c r="C764" s="13"/>
      <c r="D764" s="13"/>
      <c r="E764" s="13"/>
      <c r="F764" s="13"/>
    </row>
    <row r="765">
      <c r="C765" s="13"/>
      <c r="D765" s="13"/>
      <c r="E765" s="13"/>
      <c r="F765" s="13"/>
    </row>
    <row r="766">
      <c r="C766" s="13"/>
      <c r="D766" s="13"/>
      <c r="E766" s="13"/>
      <c r="F766" s="13"/>
    </row>
    <row r="767">
      <c r="C767" s="13"/>
      <c r="D767" s="13"/>
      <c r="E767" s="13"/>
      <c r="F767" s="13"/>
    </row>
    <row r="768">
      <c r="C768" s="13"/>
      <c r="D768" s="13"/>
      <c r="E768" s="13"/>
      <c r="F768" s="13"/>
    </row>
    <row r="769">
      <c r="C769" s="13"/>
      <c r="D769" s="13"/>
      <c r="E769" s="13"/>
      <c r="F769" s="13"/>
    </row>
    <row r="770">
      <c r="C770" s="13"/>
      <c r="D770" s="13"/>
      <c r="E770" s="13"/>
      <c r="F770" s="13"/>
    </row>
    <row r="771">
      <c r="C771" s="13"/>
      <c r="D771" s="13"/>
      <c r="E771" s="13"/>
      <c r="F771" s="13"/>
    </row>
    <row r="772">
      <c r="C772" s="13"/>
      <c r="D772" s="13"/>
      <c r="E772" s="13"/>
      <c r="F772" s="13"/>
    </row>
    <row r="773">
      <c r="C773" s="13"/>
      <c r="D773" s="13"/>
      <c r="E773" s="13"/>
      <c r="F773" s="13"/>
    </row>
    <row r="774">
      <c r="C774" s="13"/>
      <c r="D774" s="13"/>
      <c r="E774" s="13"/>
      <c r="F774" s="13"/>
    </row>
    <row r="775">
      <c r="C775" s="13"/>
      <c r="D775" s="13"/>
      <c r="E775" s="13"/>
      <c r="F775" s="13"/>
    </row>
    <row r="776">
      <c r="C776" s="13"/>
      <c r="D776" s="13"/>
      <c r="E776" s="13"/>
      <c r="F776" s="13"/>
    </row>
    <row r="777">
      <c r="C777" s="13"/>
      <c r="D777" s="13"/>
      <c r="E777" s="13"/>
      <c r="F777" s="13"/>
    </row>
    <row r="778">
      <c r="C778" s="13"/>
      <c r="D778" s="13"/>
      <c r="E778" s="13"/>
      <c r="F778" s="13"/>
    </row>
    <row r="779">
      <c r="C779" s="13"/>
      <c r="D779" s="13"/>
      <c r="E779" s="13"/>
      <c r="F779" s="13"/>
    </row>
    <row r="780">
      <c r="C780" s="13"/>
      <c r="D780" s="13"/>
      <c r="E780" s="13"/>
      <c r="F780" s="13"/>
    </row>
    <row r="781">
      <c r="C781" s="13"/>
      <c r="D781" s="13"/>
      <c r="E781" s="13"/>
      <c r="F781" s="13"/>
    </row>
    <row r="782">
      <c r="C782" s="13"/>
      <c r="D782" s="13"/>
      <c r="E782" s="13"/>
      <c r="F782" s="13"/>
    </row>
    <row r="783">
      <c r="C783" s="13"/>
      <c r="D783" s="13"/>
      <c r="E783" s="13"/>
      <c r="F783" s="13"/>
    </row>
    <row r="784">
      <c r="C784" s="13"/>
      <c r="D784" s="13"/>
      <c r="E784" s="13"/>
      <c r="F784" s="13"/>
    </row>
    <row r="785">
      <c r="C785" s="13"/>
      <c r="D785" s="13"/>
      <c r="E785" s="13"/>
      <c r="F785" s="13"/>
    </row>
    <row r="786">
      <c r="C786" s="13"/>
      <c r="D786" s="13"/>
      <c r="E786" s="13"/>
      <c r="F786" s="13"/>
    </row>
    <row r="787">
      <c r="C787" s="13"/>
      <c r="D787" s="13"/>
      <c r="E787" s="13"/>
      <c r="F787" s="13"/>
    </row>
    <row r="788">
      <c r="C788" s="13"/>
      <c r="D788" s="13"/>
      <c r="E788" s="13"/>
      <c r="F788" s="13"/>
    </row>
    <row r="789">
      <c r="C789" s="13"/>
      <c r="D789" s="13"/>
      <c r="E789" s="13"/>
      <c r="F789" s="13"/>
    </row>
    <row r="790">
      <c r="C790" s="13"/>
      <c r="D790" s="13"/>
      <c r="E790" s="13"/>
      <c r="F790" s="13"/>
    </row>
    <row r="791">
      <c r="C791" s="13"/>
      <c r="D791" s="13"/>
      <c r="E791" s="13"/>
      <c r="F791" s="13"/>
    </row>
    <row r="792">
      <c r="C792" s="13"/>
      <c r="D792" s="13"/>
      <c r="E792" s="13"/>
      <c r="F792" s="13"/>
    </row>
    <row r="793">
      <c r="C793" s="13"/>
      <c r="D793" s="13"/>
      <c r="E793" s="13"/>
      <c r="F793" s="13"/>
    </row>
    <row r="794">
      <c r="C794" s="13"/>
      <c r="D794" s="13"/>
      <c r="E794" s="13"/>
      <c r="F794" s="13"/>
    </row>
    <row r="795">
      <c r="C795" s="13"/>
      <c r="D795" s="13"/>
      <c r="E795" s="13"/>
      <c r="F795" s="13"/>
    </row>
    <row r="796">
      <c r="C796" s="13"/>
      <c r="D796" s="13"/>
      <c r="E796" s="13"/>
      <c r="F796" s="13"/>
    </row>
    <row r="797">
      <c r="C797" s="13"/>
      <c r="D797" s="13"/>
      <c r="E797" s="13"/>
      <c r="F797" s="13"/>
    </row>
    <row r="798">
      <c r="C798" s="13"/>
      <c r="D798" s="13"/>
      <c r="E798" s="13"/>
      <c r="F798" s="13"/>
    </row>
    <row r="799">
      <c r="C799" s="13"/>
      <c r="D799" s="13"/>
      <c r="E799" s="13"/>
      <c r="F799" s="13"/>
    </row>
    <row r="800">
      <c r="C800" s="13"/>
      <c r="D800" s="13"/>
      <c r="E800" s="13"/>
      <c r="F800" s="13"/>
    </row>
    <row r="801">
      <c r="C801" s="13"/>
      <c r="D801" s="13"/>
      <c r="E801" s="13"/>
      <c r="F801" s="13"/>
    </row>
    <row r="802">
      <c r="C802" s="13"/>
      <c r="D802" s="13"/>
      <c r="E802" s="13"/>
      <c r="F802" s="13"/>
    </row>
    <row r="803">
      <c r="C803" s="13"/>
      <c r="D803" s="13"/>
      <c r="E803" s="13"/>
      <c r="F803" s="13"/>
    </row>
    <row r="804">
      <c r="C804" s="13"/>
      <c r="D804" s="13"/>
      <c r="E804" s="13"/>
      <c r="F804" s="13"/>
    </row>
    <row r="805">
      <c r="C805" s="13"/>
      <c r="D805" s="13"/>
      <c r="E805" s="13"/>
      <c r="F805" s="13"/>
    </row>
    <row r="806">
      <c r="C806" s="13"/>
      <c r="D806" s="13"/>
      <c r="E806" s="13"/>
      <c r="F806" s="13"/>
    </row>
    <row r="807">
      <c r="C807" s="13"/>
      <c r="D807" s="13"/>
      <c r="E807" s="13"/>
      <c r="F807" s="13"/>
    </row>
    <row r="808">
      <c r="C808" s="13"/>
      <c r="D808" s="13"/>
      <c r="E808" s="13"/>
      <c r="F808" s="13"/>
    </row>
    <row r="809">
      <c r="C809" s="13"/>
      <c r="D809" s="13"/>
      <c r="E809" s="13"/>
      <c r="F809" s="13"/>
    </row>
    <row r="810">
      <c r="C810" s="13"/>
      <c r="D810" s="13"/>
      <c r="E810" s="13"/>
      <c r="F810" s="13"/>
    </row>
    <row r="811">
      <c r="C811" s="13"/>
      <c r="D811" s="13"/>
      <c r="E811" s="13"/>
      <c r="F811" s="13"/>
    </row>
    <row r="812">
      <c r="C812" s="13"/>
      <c r="D812" s="13"/>
      <c r="E812" s="13"/>
      <c r="F812" s="13"/>
    </row>
    <row r="813">
      <c r="C813" s="13"/>
      <c r="D813" s="13"/>
      <c r="E813" s="13"/>
      <c r="F813" s="13"/>
    </row>
    <row r="814">
      <c r="C814" s="13"/>
      <c r="D814" s="13"/>
      <c r="E814" s="13"/>
      <c r="F814" s="13"/>
    </row>
    <row r="815">
      <c r="C815" s="13"/>
      <c r="D815" s="13"/>
      <c r="E815" s="13"/>
      <c r="F815" s="13"/>
    </row>
    <row r="816">
      <c r="C816" s="13"/>
      <c r="D816" s="13"/>
      <c r="E816" s="13"/>
      <c r="F816" s="13"/>
    </row>
    <row r="817">
      <c r="C817" s="13"/>
      <c r="D817" s="13"/>
      <c r="E817" s="13"/>
      <c r="F817" s="13"/>
    </row>
    <row r="818">
      <c r="C818" s="13"/>
      <c r="D818" s="13"/>
      <c r="E818" s="13"/>
      <c r="F818" s="13"/>
    </row>
    <row r="819">
      <c r="C819" s="13"/>
      <c r="D819" s="13"/>
      <c r="E819" s="13"/>
      <c r="F819" s="13"/>
    </row>
    <row r="820">
      <c r="C820" s="13"/>
      <c r="D820" s="13"/>
      <c r="E820" s="13"/>
      <c r="F820" s="13"/>
    </row>
    <row r="821">
      <c r="C821" s="13"/>
      <c r="D821" s="13"/>
      <c r="E821" s="13"/>
      <c r="F821" s="13"/>
    </row>
    <row r="822">
      <c r="C822" s="13"/>
      <c r="D822" s="13"/>
      <c r="E822" s="13"/>
      <c r="F822" s="13"/>
    </row>
    <row r="823">
      <c r="C823" s="13"/>
      <c r="D823" s="13"/>
      <c r="E823" s="13"/>
      <c r="F823" s="13"/>
    </row>
    <row r="824">
      <c r="C824" s="13"/>
      <c r="D824" s="13"/>
      <c r="E824" s="13"/>
      <c r="F824" s="13"/>
    </row>
    <row r="825">
      <c r="C825" s="13"/>
      <c r="D825" s="13"/>
      <c r="E825" s="13"/>
      <c r="F825" s="13"/>
    </row>
    <row r="826">
      <c r="C826" s="13"/>
      <c r="D826" s="13"/>
      <c r="E826" s="13"/>
      <c r="F826" s="13"/>
    </row>
    <row r="827">
      <c r="C827" s="13"/>
      <c r="D827" s="13"/>
      <c r="E827" s="13"/>
      <c r="F827" s="13"/>
    </row>
    <row r="828">
      <c r="C828" s="13"/>
      <c r="D828" s="13"/>
      <c r="E828" s="13"/>
      <c r="F828" s="13"/>
    </row>
    <row r="829">
      <c r="C829" s="13"/>
      <c r="D829" s="13"/>
      <c r="E829" s="13"/>
      <c r="F829" s="13"/>
    </row>
    <row r="830">
      <c r="C830" s="13"/>
      <c r="D830" s="13"/>
      <c r="E830" s="13"/>
      <c r="F830" s="13"/>
    </row>
    <row r="831">
      <c r="C831" s="13"/>
      <c r="D831" s="13"/>
      <c r="E831" s="13"/>
      <c r="F831" s="13"/>
    </row>
    <row r="832">
      <c r="C832" s="13"/>
      <c r="D832" s="13"/>
      <c r="E832" s="13"/>
      <c r="F832" s="13"/>
    </row>
    <row r="833">
      <c r="C833" s="13"/>
      <c r="D833" s="13"/>
      <c r="E833" s="13"/>
      <c r="F833" s="13"/>
    </row>
    <row r="834">
      <c r="C834" s="13"/>
      <c r="D834" s="13"/>
      <c r="E834" s="13"/>
      <c r="F834" s="13"/>
    </row>
    <row r="835">
      <c r="C835" s="13"/>
      <c r="D835" s="13"/>
      <c r="E835" s="13"/>
      <c r="F835" s="13"/>
    </row>
    <row r="836">
      <c r="C836" s="13"/>
      <c r="D836" s="13"/>
      <c r="E836" s="13"/>
      <c r="F836" s="13"/>
    </row>
    <row r="837">
      <c r="C837" s="13"/>
      <c r="D837" s="13"/>
      <c r="E837" s="13"/>
      <c r="F837" s="13"/>
    </row>
    <row r="838">
      <c r="C838" s="13"/>
      <c r="D838" s="13"/>
      <c r="E838" s="13"/>
      <c r="F838" s="13"/>
    </row>
    <row r="839">
      <c r="C839" s="13"/>
      <c r="D839" s="13"/>
      <c r="E839" s="13"/>
      <c r="F839" s="13"/>
    </row>
    <row r="840">
      <c r="C840" s="13"/>
      <c r="D840" s="13"/>
      <c r="E840" s="13"/>
      <c r="F840" s="13"/>
    </row>
    <row r="841">
      <c r="C841" s="13"/>
      <c r="D841" s="13"/>
      <c r="E841" s="13"/>
      <c r="F841" s="13"/>
    </row>
    <row r="842">
      <c r="C842" s="13"/>
      <c r="D842" s="13"/>
      <c r="E842" s="13"/>
      <c r="F842" s="13"/>
    </row>
    <row r="843">
      <c r="C843" s="13"/>
      <c r="D843" s="13"/>
      <c r="E843" s="13"/>
      <c r="F843" s="13"/>
    </row>
    <row r="844">
      <c r="C844" s="13"/>
      <c r="D844" s="13"/>
      <c r="E844" s="13"/>
      <c r="F844" s="13"/>
    </row>
    <row r="845">
      <c r="C845" s="13"/>
      <c r="D845" s="13"/>
      <c r="E845" s="13"/>
      <c r="F845" s="13"/>
    </row>
    <row r="846">
      <c r="C846" s="13"/>
      <c r="D846" s="13"/>
      <c r="E846" s="13"/>
      <c r="F846" s="13"/>
    </row>
    <row r="847">
      <c r="C847" s="13"/>
      <c r="D847" s="13"/>
      <c r="E847" s="13"/>
      <c r="F847" s="13"/>
    </row>
    <row r="848">
      <c r="C848" s="13"/>
      <c r="D848" s="13"/>
      <c r="E848" s="13"/>
      <c r="F848" s="13"/>
    </row>
    <row r="849">
      <c r="C849" s="13"/>
      <c r="D849" s="13"/>
      <c r="E849" s="13"/>
      <c r="F849" s="13"/>
    </row>
    <row r="850">
      <c r="C850" s="13"/>
      <c r="D850" s="13"/>
      <c r="E850" s="13"/>
      <c r="F850" s="13"/>
    </row>
    <row r="851">
      <c r="C851" s="13"/>
      <c r="D851" s="13"/>
      <c r="E851" s="13"/>
      <c r="F851" s="13"/>
    </row>
    <row r="852">
      <c r="C852" s="13"/>
      <c r="D852" s="13"/>
      <c r="E852" s="13"/>
      <c r="F852" s="13"/>
    </row>
    <row r="853">
      <c r="C853" s="13"/>
      <c r="D853" s="13"/>
      <c r="E853" s="13"/>
      <c r="F853" s="13"/>
    </row>
    <row r="854">
      <c r="C854" s="13"/>
      <c r="D854" s="13"/>
      <c r="E854" s="13"/>
      <c r="F854" s="13"/>
    </row>
    <row r="855">
      <c r="C855" s="13"/>
      <c r="D855" s="13"/>
      <c r="E855" s="13"/>
      <c r="F855" s="13"/>
    </row>
    <row r="856">
      <c r="C856" s="13"/>
      <c r="D856" s="13"/>
      <c r="E856" s="13"/>
      <c r="F856" s="13"/>
    </row>
    <row r="857">
      <c r="C857" s="13"/>
      <c r="D857" s="13"/>
      <c r="E857" s="13"/>
      <c r="F857" s="13"/>
    </row>
    <row r="858">
      <c r="C858" s="13"/>
      <c r="D858" s="13"/>
      <c r="E858" s="13"/>
      <c r="F858" s="13"/>
    </row>
    <row r="859">
      <c r="C859" s="13"/>
      <c r="D859" s="13"/>
      <c r="E859" s="13"/>
      <c r="F859" s="13"/>
    </row>
    <row r="860">
      <c r="C860" s="13"/>
      <c r="D860" s="13"/>
      <c r="E860" s="13"/>
      <c r="F860" s="13"/>
    </row>
    <row r="861">
      <c r="C861" s="13"/>
      <c r="D861" s="13"/>
      <c r="E861" s="13"/>
      <c r="F861" s="13"/>
    </row>
    <row r="862">
      <c r="C862" s="13"/>
      <c r="D862" s="13"/>
      <c r="E862" s="13"/>
      <c r="F862" s="13"/>
    </row>
    <row r="863">
      <c r="C863" s="13"/>
      <c r="D863" s="13"/>
      <c r="E863" s="13"/>
      <c r="F863" s="13"/>
    </row>
    <row r="864">
      <c r="C864" s="13"/>
      <c r="D864" s="13"/>
      <c r="E864" s="13"/>
      <c r="F864" s="13"/>
    </row>
    <row r="865">
      <c r="C865" s="13"/>
      <c r="D865" s="13"/>
      <c r="E865" s="13"/>
      <c r="F865" s="13"/>
    </row>
    <row r="866">
      <c r="C866" s="13"/>
      <c r="D866" s="13"/>
      <c r="E866" s="13"/>
      <c r="F866" s="13"/>
    </row>
    <row r="867">
      <c r="C867" s="13"/>
      <c r="D867" s="13"/>
      <c r="E867" s="13"/>
      <c r="F867" s="13"/>
    </row>
    <row r="868">
      <c r="C868" s="13"/>
      <c r="D868" s="13"/>
      <c r="E868" s="13"/>
      <c r="F868" s="13"/>
    </row>
    <row r="869">
      <c r="C869" s="13"/>
      <c r="D869" s="13"/>
      <c r="E869" s="13"/>
      <c r="F869" s="13"/>
    </row>
    <row r="870">
      <c r="C870" s="13"/>
      <c r="D870" s="13"/>
      <c r="E870" s="13"/>
      <c r="F870" s="13"/>
    </row>
    <row r="871">
      <c r="C871" s="13"/>
      <c r="D871" s="13"/>
      <c r="E871" s="13"/>
      <c r="F871" s="13"/>
    </row>
    <row r="872">
      <c r="C872" s="13"/>
      <c r="D872" s="13"/>
      <c r="E872" s="13"/>
      <c r="F872" s="13"/>
    </row>
    <row r="873">
      <c r="C873" s="13"/>
      <c r="D873" s="13"/>
      <c r="E873" s="13"/>
      <c r="F873" s="13"/>
    </row>
    <row r="874">
      <c r="C874" s="13"/>
      <c r="D874" s="13"/>
      <c r="E874" s="13"/>
      <c r="F874" s="13"/>
    </row>
    <row r="875">
      <c r="C875" s="13"/>
      <c r="D875" s="13"/>
      <c r="E875" s="13"/>
      <c r="F875" s="13"/>
    </row>
    <row r="876">
      <c r="C876" s="13"/>
      <c r="D876" s="13"/>
      <c r="E876" s="13"/>
      <c r="F876" s="13"/>
    </row>
    <row r="877">
      <c r="C877" s="13"/>
      <c r="D877" s="13"/>
      <c r="E877" s="13"/>
      <c r="F877" s="13"/>
    </row>
    <row r="878">
      <c r="C878" s="13"/>
      <c r="D878" s="13"/>
      <c r="E878" s="13"/>
      <c r="F878" s="13"/>
    </row>
    <row r="879">
      <c r="C879" s="13"/>
      <c r="D879" s="13"/>
      <c r="E879" s="13"/>
      <c r="F879" s="13"/>
    </row>
    <row r="880">
      <c r="C880" s="13"/>
      <c r="D880" s="13"/>
      <c r="E880" s="13"/>
      <c r="F880" s="13"/>
    </row>
    <row r="881">
      <c r="C881" s="13"/>
      <c r="D881" s="13"/>
      <c r="E881" s="13"/>
      <c r="F881" s="13"/>
    </row>
    <row r="882">
      <c r="C882" s="13"/>
      <c r="D882" s="13"/>
      <c r="E882" s="13"/>
      <c r="F882" s="13"/>
    </row>
    <row r="883">
      <c r="C883" s="13"/>
      <c r="D883" s="13"/>
      <c r="E883" s="13"/>
      <c r="F883" s="13"/>
    </row>
    <row r="884">
      <c r="C884" s="13"/>
      <c r="D884" s="13"/>
      <c r="E884" s="13"/>
      <c r="F884" s="13"/>
    </row>
    <row r="885">
      <c r="C885" s="13"/>
      <c r="D885" s="13"/>
      <c r="E885" s="13"/>
      <c r="F885" s="13"/>
    </row>
    <row r="886">
      <c r="C886" s="13"/>
      <c r="D886" s="13"/>
      <c r="E886" s="13"/>
      <c r="F886" s="13"/>
    </row>
    <row r="887">
      <c r="C887" s="13"/>
      <c r="D887" s="13"/>
      <c r="E887" s="13"/>
      <c r="F887" s="13"/>
    </row>
    <row r="888">
      <c r="C888" s="13"/>
      <c r="D888" s="13"/>
      <c r="E888" s="13"/>
      <c r="F888" s="13"/>
    </row>
    <row r="889">
      <c r="C889" s="13"/>
      <c r="D889" s="13"/>
      <c r="E889" s="13"/>
      <c r="F889" s="13"/>
    </row>
    <row r="890">
      <c r="C890" s="13"/>
      <c r="D890" s="13"/>
      <c r="E890" s="13"/>
      <c r="F890" s="13"/>
    </row>
    <row r="891">
      <c r="C891" s="13"/>
      <c r="D891" s="13"/>
      <c r="E891" s="13"/>
      <c r="F891" s="13"/>
    </row>
    <row r="892">
      <c r="C892" s="13"/>
      <c r="D892" s="13"/>
      <c r="E892" s="13"/>
      <c r="F892" s="13"/>
    </row>
    <row r="893">
      <c r="C893" s="13"/>
      <c r="D893" s="13"/>
      <c r="E893" s="13"/>
      <c r="F893" s="13"/>
    </row>
    <row r="894">
      <c r="C894" s="13"/>
      <c r="D894" s="13"/>
      <c r="E894" s="13"/>
      <c r="F894" s="13"/>
    </row>
    <row r="895">
      <c r="C895" s="13"/>
      <c r="D895" s="13"/>
      <c r="E895" s="13"/>
      <c r="F895" s="13"/>
    </row>
    <row r="896">
      <c r="C896" s="13"/>
      <c r="D896" s="13"/>
      <c r="E896" s="13"/>
      <c r="F896" s="13"/>
    </row>
    <row r="897">
      <c r="C897" s="13"/>
      <c r="D897" s="13"/>
      <c r="E897" s="13"/>
      <c r="F897" s="13"/>
    </row>
    <row r="898">
      <c r="C898" s="13"/>
      <c r="D898" s="13"/>
      <c r="E898" s="13"/>
      <c r="F898" s="13"/>
    </row>
    <row r="899">
      <c r="C899" s="13"/>
      <c r="D899" s="13"/>
      <c r="E899" s="13"/>
      <c r="F899" s="13"/>
    </row>
    <row r="900">
      <c r="C900" s="13"/>
      <c r="D900" s="13"/>
      <c r="E900" s="13"/>
      <c r="F900" s="13"/>
    </row>
    <row r="901">
      <c r="C901" s="13"/>
      <c r="D901" s="13"/>
      <c r="E901" s="13"/>
      <c r="F901" s="13"/>
    </row>
    <row r="902">
      <c r="C902" s="13"/>
      <c r="D902" s="13"/>
      <c r="E902" s="13"/>
      <c r="F902" s="13"/>
    </row>
    <row r="903">
      <c r="C903" s="13"/>
      <c r="D903" s="13"/>
      <c r="E903" s="13"/>
      <c r="F903" s="13"/>
    </row>
    <row r="904">
      <c r="C904" s="13"/>
      <c r="D904" s="13"/>
      <c r="E904" s="13"/>
      <c r="F904" s="13"/>
    </row>
    <row r="905">
      <c r="C905" s="13"/>
      <c r="D905" s="13"/>
      <c r="E905" s="13"/>
      <c r="F905" s="13"/>
    </row>
    <row r="906">
      <c r="C906" s="13"/>
      <c r="D906" s="13"/>
      <c r="E906" s="13"/>
      <c r="F906" s="13"/>
    </row>
    <row r="907">
      <c r="C907" s="13"/>
      <c r="D907" s="13"/>
      <c r="E907" s="13"/>
      <c r="F907" s="13"/>
    </row>
    <row r="908">
      <c r="C908" s="13"/>
      <c r="D908" s="13"/>
      <c r="E908" s="13"/>
      <c r="F908" s="13"/>
    </row>
    <row r="909">
      <c r="C909" s="13"/>
      <c r="D909" s="13"/>
      <c r="E909" s="13"/>
      <c r="F909" s="13"/>
    </row>
    <row r="910">
      <c r="C910" s="13"/>
      <c r="D910" s="13"/>
      <c r="E910" s="13"/>
      <c r="F910" s="13"/>
    </row>
    <row r="911">
      <c r="C911" s="13"/>
      <c r="D911" s="13"/>
      <c r="E911" s="13"/>
      <c r="F911" s="13"/>
    </row>
    <row r="912">
      <c r="C912" s="13"/>
      <c r="D912" s="13"/>
      <c r="E912" s="13"/>
      <c r="F912" s="13"/>
    </row>
    <row r="913">
      <c r="C913" s="13"/>
      <c r="D913" s="13"/>
      <c r="E913" s="13"/>
      <c r="F913" s="13"/>
    </row>
    <row r="914">
      <c r="C914" s="13"/>
      <c r="D914" s="13"/>
      <c r="E914" s="13"/>
      <c r="F914" s="13"/>
    </row>
    <row r="915">
      <c r="C915" s="13"/>
      <c r="D915" s="13"/>
      <c r="E915" s="13"/>
      <c r="F915" s="13"/>
    </row>
    <row r="916">
      <c r="C916" s="13"/>
      <c r="D916" s="13"/>
      <c r="E916" s="13"/>
      <c r="F916" s="13"/>
    </row>
    <row r="917">
      <c r="C917" s="13"/>
      <c r="D917" s="13"/>
      <c r="E917" s="13"/>
      <c r="F917" s="13"/>
    </row>
    <row r="918">
      <c r="C918" s="13"/>
      <c r="D918" s="13"/>
      <c r="E918" s="13"/>
      <c r="F918" s="13"/>
    </row>
    <row r="919">
      <c r="C919" s="13"/>
      <c r="D919" s="13"/>
      <c r="E919" s="13"/>
      <c r="F919" s="13"/>
    </row>
    <row r="920">
      <c r="C920" s="13"/>
      <c r="D920" s="13"/>
      <c r="E920" s="13"/>
      <c r="F920" s="13"/>
    </row>
    <row r="921">
      <c r="C921" s="13"/>
      <c r="D921" s="13"/>
      <c r="E921" s="13"/>
      <c r="F921" s="13"/>
    </row>
    <row r="922">
      <c r="C922" s="13"/>
      <c r="D922" s="13"/>
      <c r="E922" s="13"/>
      <c r="F922" s="13"/>
    </row>
    <row r="923">
      <c r="C923" s="13"/>
      <c r="D923" s="13"/>
      <c r="E923" s="13"/>
      <c r="F923" s="13"/>
    </row>
    <row r="924">
      <c r="C924" s="13"/>
      <c r="D924" s="13"/>
      <c r="E924" s="13"/>
      <c r="F924" s="13"/>
    </row>
    <row r="925">
      <c r="C925" s="13"/>
      <c r="D925" s="13"/>
      <c r="E925" s="13"/>
      <c r="F925" s="13"/>
    </row>
    <row r="926">
      <c r="C926" s="13"/>
      <c r="D926" s="13"/>
      <c r="E926" s="13"/>
      <c r="F926" s="13"/>
    </row>
    <row r="927">
      <c r="C927" s="13"/>
      <c r="D927" s="13"/>
      <c r="E927" s="13"/>
      <c r="F927" s="13"/>
    </row>
    <row r="928">
      <c r="C928" s="13"/>
      <c r="D928" s="13"/>
      <c r="E928" s="13"/>
      <c r="F928" s="13"/>
    </row>
    <row r="929">
      <c r="C929" s="13"/>
      <c r="D929" s="13"/>
      <c r="E929" s="13"/>
      <c r="F929" s="13"/>
    </row>
    <row r="930">
      <c r="C930" s="13"/>
      <c r="D930" s="13"/>
      <c r="E930" s="13"/>
      <c r="F930" s="13"/>
    </row>
    <row r="931">
      <c r="C931" s="13"/>
      <c r="D931" s="13"/>
      <c r="E931" s="13"/>
      <c r="F931" s="13"/>
    </row>
    <row r="932">
      <c r="C932" s="13"/>
      <c r="D932" s="13"/>
      <c r="E932" s="13"/>
      <c r="F932" s="13"/>
    </row>
    <row r="933">
      <c r="C933" s="13"/>
      <c r="D933" s="13"/>
      <c r="E933" s="13"/>
      <c r="F933" s="13"/>
    </row>
    <row r="934">
      <c r="C934" s="13"/>
      <c r="D934" s="13"/>
      <c r="E934" s="13"/>
      <c r="F934" s="13"/>
    </row>
    <row r="935">
      <c r="C935" s="13"/>
      <c r="D935" s="13"/>
      <c r="E935" s="13"/>
      <c r="F935" s="13"/>
    </row>
    <row r="936">
      <c r="C936" s="13"/>
      <c r="D936" s="13"/>
      <c r="E936" s="13"/>
      <c r="F936" s="13"/>
    </row>
    <row r="937">
      <c r="C937" s="13"/>
      <c r="D937" s="13"/>
      <c r="E937" s="13"/>
      <c r="F937" s="13"/>
    </row>
    <row r="938">
      <c r="C938" s="13"/>
      <c r="D938" s="13"/>
      <c r="E938" s="13"/>
      <c r="F938" s="13"/>
    </row>
    <row r="939">
      <c r="C939" s="13"/>
      <c r="D939" s="13"/>
      <c r="E939" s="13"/>
      <c r="F939" s="13"/>
    </row>
    <row r="940">
      <c r="C940" s="13"/>
      <c r="D940" s="13"/>
      <c r="E940" s="13"/>
      <c r="F940" s="13"/>
    </row>
    <row r="941">
      <c r="C941" s="13"/>
      <c r="D941" s="13"/>
      <c r="E941" s="13"/>
      <c r="F941" s="13"/>
    </row>
    <row r="942">
      <c r="C942" s="13"/>
      <c r="D942" s="13"/>
      <c r="E942" s="13"/>
      <c r="F942" s="13"/>
    </row>
    <row r="943">
      <c r="C943" s="13"/>
      <c r="D943" s="13"/>
      <c r="E943" s="13"/>
      <c r="F943" s="13"/>
    </row>
    <row r="944">
      <c r="C944" s="13"/>
      <c r="D944" s="13"/>
      <c r="E944" s="13"/>
      <c r="F944" s="13"/>
    </row>
    <row r="945">
      <c r="C945" s="13"/>
      <c r="D945" s="13"/>
      <c r="E945" s="13"/>
      <c r="F945" s="13"/>
    </row>
    <row r="946">
      <c r="C946" s="13"/>
      <c r="D946" s="13"/>
      <c r="E946" s="13"/>
      <c r="F946" s="13"/>
    </row>
    <row r="947">
      <c r="C947" s="13"/>
      <c r="D947" s="13"/>
      <c r="E947" s="13"/>
      <c r="F947" s="13"/>
    </row>
    <row r="948">
      <c r="C948" s="13"/>
      <c r="D948" s="13"/>
      <c r="E948" s="13"/>
      <c r="F948" s="13"/>
    </row>
    <row r="949">
      <c r="C949" s="13"/>
      <c r="D949" s="13"/>
      <c r="E949" s="13"/>
      <c r="F949" s="13"/>
    </row>
    <row r="950">
      <c r="C950" s="13"/>
      <c r="D950" s="13"/>
      <c r="E950" s="13"/>
      <c r="F950" s="13"/>
    </row>
    <row r="951">
      <c r="C951" s="13"/>
      <c r="D951" s="13"/>
      <c r="E951" s="13"/>
      <c r="F951" s="13"/>
    </row>
    <row r="952">
      <c r="C952" s="13"/>
      <c r="D952" s="13"/>
      <c r="E952" s="13"/>
      <c r="F952" s="13"/>
    </row>
    <row r="953">
      <c r="C953" s="13"/>
      <c r="D953" s="13"/>
      <c r="E953" s="13"/>
      <c r="F953" s="13"/>
    </row>
    <row r="954">
      <c r="C954" s="13"/>
      <c r="D954" s="13"/>
      <c r="E954" s="13"/>
      <c r="F954" s="13"/>
    </row>
    <row r="955">
      <c r="C955" s="13"/>
      <c r="D955" s="13"/>
      <c r="E955" s="13"/>
      <c r="F955" s="13"/>
    </row>
    <row r="956">
      <c r="C956" s="13"/>
      <c r="D956" s="13"/>
      <c r="E956" s="13"/>
      <c r="F956" s="13"/>
    </row>
    <row r="957">
      <c r="C957" s="13"/>
      <c r="D957" s="13"/>
      <c r="E957" s="13"/>
      <c r="F957" s="13"/>
    </row>
    <row r="958">
      <c r="C958" s="13"/>
      <c r="D958" s="13"/>
      <c r="E958" s="13"/>
      <c r="F958" s="13"/>
    </row>
    <row r="959">
      <c r="C959" s="13"/>
      <c r="D959" s="13"/>
      <c r="E959" s="13"/>
      <c r="F959" s="13"/>
    </row>
    <row r="960">
      <c r="C960" s="13"/>
      <c r="D960" s="13"/>
      <c r="E960" s="13"/>
      <c r="F960" s="13"/>
    </row>
    <row r="961">
      <c r="C961" s="13"/>
      <c r="D961" s="13"/>
      <c r="E961" s="13"/>
      <c r="F961" s="13"/>
    </row>
    <row r="962">
      <c r="C962" s="13"/>
      <c r="D962" s="13"/>
      <c r="E962" s="13"/>
      <c r="F962" s="13"/>
    </row>
    <row r="963">
      <c r="C963" s="13"/>
      <c r="D963" s="13"/>
      <c r="E963" s="13"/>
      <c r="F963" s="13"/>
    </row>
    <row r="964">
      <c r="C964" s="13"/>
      <c r="D964" s="13"/>
      <c r="E964" s="13"/>
      <c r="F964" s="13"/>
    </row>
    <row r="965">
      <c r="C965" s="13"/>
      <c r="D965" s="13"/>
      <c r="E965" s="13"/>
      <c r="F965" s="13"/>
    </row>
    <row r="966">
      <c r="C966" s="13"/>
      <c r="D966" s="13"/>
      <c r="E966" s="13"/>
      <c r="F966" s="13"/>
    </row>
    <row r="967">
      <c r="C967" s="13"/>
      <c r="D967" s="13"/>
      <c r="E967" s="13"/>
      <c r="F967" s="13"/>
    </row>
    <row r="968">
      <c r="C968" s="13"/>
      <c r="D968" s="13"/>
      <c r="E968" s="13"/>
      <c r="F968" s="13"/>
    </row>
    <row r="969">
      <c r="C969" s="13"/>
      <c r="D969" s="13"/>
      <c r="E969" s="13"/>
      <c r="F969" s="13"/>
    </row>
    <row r="970">
      <c r="C970" s="13"/>
      <c r="D970" s="13"/>
      <c r="E970" s="13"/>
      <c r="F970" s="13"/>
    </row>
    <row r="971">
      <c r="C971" s="13"/>
      <c r="D971" s="13"/>
      <c r="E971" s="13"/>
      <c r="F971" s="13"/>
    </row>
    <row r="972">
      <c r="C972" s="13"/>
      <c r="D972" s="13"/>
      <c r="E972" s="13"/>
      <c r="F972" s="13"/>
    </row>
    <row r="973">
      <c r="C973" s="13"/>
      <c r="D973" s="13"/>
      <c r="E973" s="13"/>
      <c r="F973" s="13"/>
    </row>
    <row r="974">
      <c r="C974" s="13"/>
      <c r="D974" s="13"/>
      <c r="E974" s="13"/>
      <c r="F974" s="13"/>
    </row>
    <row r="975">
      <c r="C975" s="13"/>
      <c r="D975" s="13"/>
      <c r="E975" s="13"/>
      <c r="F975" s="13"/>
    </row>
    <row r="976">
      <c r="C976" s="13"/>
      <c r="D976" s="13"/>
      <c r="E976" s="13"/>
      <c r="F976" s="13"/>
    </row>
    <row r="977">
      <c r="C977" s="13"/>
      <c r="D977" s="13"/>
      <c r="E977" s="13"/>
      <c r="F977" s="13"/>
    </row>
    <row r="978">
      <c r="C978" s="13"/>
      <c r="D978" s="13"/>
      <c r="E978" s="13"/>
      <c r="F978" s="13"/>
    </row>
    <row r="979">
      <c r="C979" s="13"/>
      <c r="D979" s="13"/>
      <c r="E979" s="13"/>
      <c r="F979" s="13"/>
    </row>
    <row r="980">
      <c r="C980" s="13"/>
      <c r="D980" s="13"/>
      <c r="E980" s="13"/>
      <c r="F980" s="13"/>
    </row>
    <row r="981">
      <c r="C981" s="13"/>
      <c r="D981" s="13"/>
      <c r="E981" s="13"/>
      <c r="F981" s="13"/>
    </row>
    <row r="982">
      <c r="C982" s="13"/>
      <c r="D982" s="13"/>
      <c r="E982" s="13"/>
      <c r="F982" s="13"/>
    </row>
    <row r="983">
      <c r="C983" s="13"/>
      <c r="D983" s="13"/>
      <c r="E983" s="13"/>
      <c r="F983" s="13"/>
    </row>
    <row r="984">
      <c r="C984" s="13"/>
      <c r="D984" s="13"/>
      <c r="E984" s="13"/>
      <c r="F984" s="13"/>
    </row>
    <row r="985">
      <c r="C985" s="13"/>
      <c r="D985" s="13"/>
      <c r="E985" s="13"/>
      <c r="F985" s="13"/>
    </row>
    <row r="986">
      <c r="C986" s="13"/>
      <c r="D986" s="13"/>
      <c r="E986" s="13"/>
      <c r="F986" s="13"/>
    </row>
    <row r="987">
      <c r="C987" s="13"/>
      <c r="D987" s="13"/>
      <c r="E987" s="13"/>
      <c r="F987" s="13"/>
    </row>
    <row r="988">
      <c r="C988" s="13"/>
      <c r="D988" s="13"/>
      <c r="E988" s="13"/>
      <c r="F988" s="13"/>
    </row>
    <row r="989">
      <c r="C989" s="13"/>
      <c r="D989" s="13"/>
      <c r="E989" s="13"/>
      <c r="F989" s="13"/>
    </row>
    <row r="990">
      <c r="C990" s="13"/>
      <c r="D990" s="13"/>
      <c r="E990" s="13"/>
      <c r="F990" s="13"/>
    </row>
    <row r="991">
      <c r="C991" s="13"/>
      <c r="D991" s="13"/>
      <c r="E991" s="13"/>
      <c r="F991" s="13"/>
    </row>
    <row r="992">
      <c r="C992" s="13"/>
      <c r="D992" s="13"/>
      <c r="E992" s="13"/>
      <c r="F992" s="13"/>
    </row>
    <row r="993">
      <c r="C993" s="13"/>
      <c r="D993" s="13"/>
      <c r="E993" s="13"/>
      <c r="F993" s="13"/>
    </row>
    <row r="994">
      <c r="C994" s="13"/>
      <c r="D994" s="13"/>
      <c r="E994" s="13"/>
      <c r="F994" s="13"/>
    </row>
    <row r="995">
      <c r="C995" s="13"/>
      <c r="D995" s="13"/>
      <c r="E995" s="13"/>
      <c r="F995" s="13"/>
    </row>
    <row r="996">
      <c r="C996" s="13"/>
      <c r="D996" s="13"/>
      <c r="E996" s="13"/>
      <c r="F996" s="13"/>
    </row>
    <row r="997">
      <c r="C997" s="13"/>
      <c r="D997" s="13"/>
      <c r="E997" s="13"/>
      <c r="F997" s="13"/>
    </row>
    <row r="998">
      <c r="C998" s="13"/>
      <c r="D998" s="13"/>
      <c r="E998" s="13"/>
      <c r="F998" s="13"/>
    </row>
    <row r="999">
      <c r="C999" s="13"/>
      <c r="D999" s="13"/>
      <c r="E999" s="13"/>
      <c r="F999" s="13"/>
    </row>
    <row r="1000">
      <c r="C1000" s="13"/>
      <c r="D1000" s="13"/>
      <c r="E1000" s="13"/>
      <c r="F1000" s="13"/>
    </row>
    <row r="1001">
      <c r="C1001" s="13"/>
      <c r="D1001" s="13"/>
      <c r="E1001" s="13"/>
      <c r="F1001" s="13"/>
    </row>
  </sheetData>
  <hyperlinks>
    <hyperlink r:id="rId1" location="gid=886997750" ref="A1"/>
  </hyperlinks>
  <printOptions gridLines="1" horizontalCentered="1"/>
  <pageMargins bottom="0.75" footer="0.0" header="0.0" left="0.25" right="0.25"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17.13"/>
    <col customWidth="1" min="3" max="3" width="9.25"/>
    <col customWidth="1" min="4" max="4" width="68.75"/>
    <col customWidth="1" min="5" max="5" width="11.88"/>
    <col customWidth="1" min="6" max="6" width="11.0"/>
    <col customWidth="1" min="7" max="8" width="15.5"/>
    <col customWidth="1" min="9" max="9" width="34.0"/>
    <col customWidth="1" min="10" max="15" width="15.5"/>
  </cols>
  <sheetData>
    <row r="1" ht="66.75" customHeight="1">
      <c r="A1" s="1" t="s">
        <v>0</v>
      </c>
      <c r="B1" s="2" t="s">
        <v>3</v>
      </c>
      <c r="C1" s="3" t="s">
        <v>4</v>
      </c>
      <c r="D1" s="4" t="s">
        <v>5</v>
      </c>
      <c r="E1" s="3" t="s">
        <v>6</v>
      </c>
      <c r="F1" s="5" t="s">
        <v>7</v>
      </c>
      <c r="G1" s="5" t="s">
        <v>8</v>
      </c>
      <c r="H1" s="3"/>
      <c r="I1" s="3"/>
      <c r="J1" s="3"/>
      <c r="K1" s="3"/>
      <c r="L1" s="3"/>
      <c r="M1" s="3"/>
      <c r="N1" s="3"/>
      <c r="O1" s="3"/>
    </row>
    <row r="2">
      <c r="A2" s="6">
        <v>1.0</v>
      </c>
      <c r="B2" s="9" t="s">
        <v>9</v>
      </c>
      <c r="C2" s="11" t="s">
        <v>12</v>
      </c>
      <c r="D2" s="12" t="s">
        <v>13</v>
      </c>
      <c r="E2" s="18">
        <f>VLOOKUP(C2,' CPVC PIPE'!$C$5:$G2469,5,0)</f>
        <v>0.36</v>
      </c>
      <c r="F2" s="27">
        <f>VLOOKUP(C2,' CPVC PIPE'!$C$5:$F2469,4,0)</f>
        <v>237</v>
      </c>
      <c r="G2" s="27">
        <f>VLOOKUP(C2,' CPVC PIPE'!$C$5:$I2469,7,0)</f>
        <v>237</v>
      </c>
      <c r="H2" s="27"/>
      <c r="I2" s="27"/>
      <c r="J2" s="27"/>
      <c r="K2" s="27"/>
      <c r="L2" s="27"/>
      <c r="M2" s="27"/>
      <c r="N2" s="27"/>
      <c r="O2" s="27"/>
    </row>
    <row r="3">
      <c r="A3" s="32">
        <f t="shared" ref="A3:A2465" si="1">A2+1</f>
        <v>2</v>
      </c>
      <c r="B3" s="9" t="s">
        <v>9</v>
      </c>
      <c r="C3" s="11" t="s">
        <v>22</v>
      </c>
      <c r="D3" s="12" t="s">
        <v>23</v>
      </c>
      <c r="E3" s="18">
        <f>VLOOKUP(C3,' CPVC PIPE'!$C$5:$G2469,5,0)</f>
        <v>0.62</v>
      </c>
      <c r="F3" s="27">
        <f>VLOOKUP(C3,' CPVC PIPE'!$C$5:$F2469,4,0)</f>
        <v>369</v>
      </c>
      <c r="G3" s="27">
        <f>VLOOKUP(C3,' CPVC PIPE'!$C$5:$I2469,7,0)</f>
        <v>369</v>
      </c>
      <c r="H3" s="27"/>
      <c r="I3" s="27"/>
      <c r="J3" s="27"/>
      <c r="K3" s="27"/>
      <c r="L3" s="27"/>
      <c r="M3" s="27"/>
      <c r="N3" s="27"/>
      <c r="O3" s="27"/>
    </row>
    <row r="4">
      <c r="A4" s="32">
        <f t="shared" si="1"/>
        <v>3</v>
      </c>
      <c r="B4" s="9" t="s">
        <v>9</v>
      </c>
      <c r="C4" s="11" t="s">
        <v>27</v>
      </c>
      <c r="D4" s="12" t="s">
        <v>28</v>
      </c>
      <c r="E4" s="18">
        <f>VLOOKUP(C4,' CPVC PIPE'!$C$5:$G2469,5,0)</f>
        <v>1</v>
      </c>
      <c r="F4" s="27">
        <f>VLOOKUP(C4,' CPVC PIPE'!$C$5:$F2469,4,0)</f>
        <v>597</v>
      </c>
      <c r="G4" s="27">
        <f>VLOOKUP(C4,' CPVC PIPE'!$C$5:$I2469,7,0)</f>
        <v>597</v>
      </c>
      <c r="H4" s="27"/>
      <c r="I4" s="27"/>
      <c r="J4" s="27"/>
      <c r="K4" s="27"/>
      <c r="L4" s="27"/>
      <c r="M4" s="27"/>
      <c r="N4" s="27"/>
      <c r="O4" s="27"/>
    </row>
    <row r="5">
      <c r="A5" s="32">
        <f t="shared" si="1"/>
        <v>4</v>
      </c>
      <c r="B5" s="9" t="s">
        <v>9</v>
      </c>
      <c r="C5" s="11" t="s">
        <v>29</v>
      </c>
      <c r="D5" s="12" t="s">
        <v>30</v>
      </c>
      <c r="E5" s="18">
        <f>VLOOKUP(C5,' CPVC PIPE'!$C$5:$G2469,5,0)</f>
        <v>1.5</v>
      </c>
      <c r="F5" s="27">
        <f>VLOOKUP(C5,' CPVC PIPE'!$C$5:$F2469,4,0)</f>
        <v>927</v>
      </c>
      <c r="G5" s="27">
        <f>VLOOKUP(C5,' CPVC PIPE'!$C$5:$I2469,7,0)</f>
        <v>927</v>
      </c>
      <c r="H5" s="27"/>
      <c r="I5" s="27"/>
      <c r="J5" s="27"/>
      <c r="K5" s="27"/>
      <c r="L5" s="27"/>
      <c r="M5" s="27"/>
      <c r="N5" s="27"/>
      <c r="O5" s="27"/>
    </row>
    <row r="6">
      <c r="A6" s="32">
        <f t="shared" si="1"/>
        <v>5</v>
      </c>
      <c r="B6" s="9" t="s">
        <v>9</v>
      </c>
      <c r="C6" s="11" t="s">
        <v>33</v>
      </c>
      <c r="D6" s="12" t="s">
        <v>34</v>
      </c>
      <c r="E6" s="18">
        <f>VLOOKUP(C6,' CPVC PIPE'!$C$5:$G2469,5,0)</f>
        <v>2.05</v>
      </c>
      <c r="F6" s="27">
        <f>VLOOKUP(C6,' CPVC PIPE'!$C$5:$F2469,4,0)</f>
        <v>1287</v>
      </c>
      <c r="G6" s="27">
        <f>VLOOKUP(C6,' CPVC PIPE'!$C$5:$I2469,7,0)</f>
        <v>1287</v>
      </c>
      <c r="H6" s="27"/>
      <c r="I6" s="27"/>
      <c r="J6" s="27"/>
      <c r="K6" s="27"/>
      <c r="L6" s="27"/>
      <c r="M6" s="27"/>
      <c r="N6" s="27"/>
      <c r="O6" s="27"/>
    </row>
    <row r="7">
      <c r="A7" s="32">
        <f t="shared" si="1"/>
        <v>6</v>
      </c>
      <c r="B7" s="9" t="s">
        <v>9</v>
      </c>
      <c r="C7" s="11" t="s">
        <v>39</v>
      </c>
      <c r="D7" s="12" t="s">
        <v>40</v>
      </c>
      <c r="E7" s="18">
        <f>VLOOKUP(C7,' CPVC PIPE'!$C$5:$G2469,5,0)</f>
        <v>3.5</v>
      </c>
      <c r="F7" s="27">
        <f>VLOOKUP(C7,' CPVC PIPE'!$C$5:$F2469,4,0)</f>
        <v>2196</v>
      </c>
      <c r="G7" s="27">
        <f>VLOOKUP(C7,' CPVC PIPE'!$C$5:$I2469,7,0)</f>
        <v>2196</v>
      </c>
      <c r="H7" s="27"/>
      <c r="I7" s="27"/>
      <c r="J7" s="27"/>
      <c r="K7" s="27"/>
      <c r="L7" s="27"/>
      <c r="M7" s="27"/>
      <c r="N7" s="27"/>
      <c r="O7" s="27"/>
    </row>
    <row r="8">
      <c r="A8" s="32">
        <f t="shared" si="1"/>
        <v>7</v>
      </c>
      <c r="B8" s="9" t="s">
        <v>9</v>
      </c>
      <c r="C8" s="11" t="s">
        <v>49</v>
      </c>
      <c r="D8" s="12" t="s">
        <v>50</v>
      </c>
      <c r="E8" s="18">
        <f>VLOOKUP(C8,' CPVC PIPE'!$C$5:$G2469,5,0)</f>
        <v>6.326</v>
      </c>
      <c r="F8" s="27">
        <f>VLOOKUP(C8,' CPVC PIPE'!$C$5:$F2469,4,0)</f>
        <v>4480</v>
      </c>
      <c r="G8" s="27">
        <f>VLOOKUP(C8,' CPVC PIPE'!$C$5:$I2469,7,0)</f>
        <v>4480</v>
      </c>
      <c r="H8" s="27"/>
      <c r="I8" s="27"/>
      <c r="J8" s="27"/>
      <c r="K8" s="27"/>
      <c r="L8" s="27"/>
      <c r="M8" s="27"/>
      <c r="N8" s="27"/>
      <c r="O8" s="27"/>
    </row>
    <row r="9">
      <c r="A9" s="32">
        <f t="shared" si="1"/>
        <v>8</v>
      </c>
      <c r="B9" s="9" t="s">
        <v>9</v>
      </c>
      <c r="C9" s="11" t="s">
        <v>53</v>
      </c>
      <c r="D9" s="12" t="s">
        <v>54</v>
      </c>
      <c r="E9" s="18">
        <f>VLOOKUP(C9,' CPVC PIPE'!$C$5:$G2469,5,0)</f>
        <v>8.473</v>
      </c>
      <c r="F9" s="27">
        <f>VLOOKUP(C9,' CPVC PIPE'!$C$5:$F2469,4,0)</f>
        <v>5980</v>
      </c>
      <c r="G9" s="27">
        <f>VLOOKUP(C9,' CPVC PIPE'!$C$5:$I2469,7,0)</f>
        <v>5980</v>
      </c>
      <c r="H9" s="27"/>
      <c r="I9" s="27"/>
      <c r="J9" s="27"/>
      <c r="K9" s="27"/>
      <c r="L9" s="27"/>
      <c r="M9" s="27"/>
      <c r="N9" s="27"/>
      <c r="O9" s="27"/>
    </row>
    <row r="10">
      <c r="A10" s="32">
        <f t="shared" si="1"/>
        <v>9</v>
      </c>
      <c r="B10" s="9" t="s">
        <v>9</v>
      </c>
      <c r="C10" s="11" t="s">
        <v>57</v>
      </c>
      <c r="D10" s="12" t="s">
        <v>58</v>
      </c>
      <c r="E10" s="18">
        <f>VLOOKUP(C10,' CPVC PIPE'!$C$5:$G2469,5,0)</f>
        <v>12.39</v>
      </c>
      <c r="F10" s="27">
        <f>VLOOKUP(C10,' CPVC PIPE'!$C$5:$F2469,4,0)</f>
        <v>8680</v>
      </c>
      <c r="G10" s="27">
        <f>VLOOKUP(C10,' CPVC PIPE'!$C$5:$I2469,7,0)</f>
        <v>8680</v>
      </c>
      <c r="H10" s="27"/>
      <c r="I10" s="27"/>
      <c r="J10" s="27"/>
      <c r="K10" s="27"/>
      <c r="L10" s="27"/>
      <c r="M10" s="27"/>
      <c r="N10" s="27"/>
      <c r="O10" s="27"/>
    </row>
    <row r="11">
      <c r="A11" s="32">
        <f t="shared" si="1"/>
        <v>10</v>
      </c>
      <c r="B11" s="9" t="s">
        <v>9</v>
      </c>
      <c r="C11" s="11" t="s">
        <v>62</v>
      </c>
      <c r="D11" s="12" t="s">
        <v>63</v>
      </c>
      <c r="E11" s="18">
        <f>VLOOKUP(C11,' CPVC PIPE'!$C$5:$G2469,5,0)</f>
        <v>23.651</v>
      </c>
      <c r="F11" s="27">
        <f>VLOOKUP(C11,' CPVC PIPE'!$C$5:$F2469,4,0)</f>
        <v>16800</v>
      </c>
      <c r="G11" s="27">
        <f>VLOOKUP(C11,' CPVC PIPE'!$C$5:$I2469,7,0)</f>
        <v>16800</v>
      </c>
      <c r="H11" s="27"/>
      <c r="I11" s="27"/>
      <c r="J11" s="27"/>
      <c r="K11" s="27"/>
      <c r="L11" s="27"/>
      <c r="M11" s="27"/>
      <c r="N11" s="27"/>
      <c r="O11" s="27"/>
    </row>
    <row r="12">
      <c r="A12" s="32">
        <f t="shared" si="1"/>
        <v>11</v>
      </c>
      <c r="B12" s="9" t="s">
        <v>9</v>
      </c>
      <c r="C12" s="78" t="s">
        <v>67</v>
      </c>
      <c r="D12" s="12" t="s">
        <v>68</v>
      </c>
      <c r="E12" s="18">
        <f>VLOOKUP(C12,' CPVC PIPE'!$C$5:$G2469,5,0)</f>
        <v>0.33</v>
      </c>
      <c r="F12" s="27">
        <f>VLOOKUP(C12,' CPVC PIPE'!$C$5:$F2469,4,0)</f>
        <v>219</v>
      </c>
      <c r="G12" s="27">
        <f>VLOOKUP(C12,' CPVC PIPE'!$C$5:$I2469,7,0)</f>
        <v>219</v>
      </c>
      <c r="H12" s="27"/>
      <c r="I12" s="27"/>
      <c r="J12" s="27"/>
      <c r="K12" s="27"/>
      <c r="L12" s="27"/>
      <c r="M12" s="27"/>
      <c r="N12" s="27"/>
      <c r="O12" s="27"/>
    </row>
    <row r="13">
      <c r="A13" s="32">
        <f t="shared" si="1"/>
        <v>12</v>
      </c>
      <c r="B13" s="9" t="s">
        <v>9</v>
      </c>
      <c r="C13" s="78" t="s">
        <v>70</v>
      </c>
      <c r="D13" s="12" t="s">
        <v>71</v>
      </c>
      <c r="E13" s="18">
        <f>VLOOKUP(C13,' CPVC PIPE'!$C$5:$G2469,5,0)</f>
        <v>0.53</v>
      </c>
      <c r="F13" s="27">
        <f>VLOOKUP(C13,' CPVC PIPE'!$C$5:$F2469,4,0)</f>
        <v>324</v>
      </c>
      <c r="G13" s="27">
        <f>VLOOKUP(C13,' CPVC PIPE'!$C$5:$I2469,7,0)</f>
        <v>324</v>
      </c>
      <c r="H13" s="27"/>
      <c r="I13" s="27"/>
      <c r="J13" s="27"/>
      <c r="K13" s="27"/>
      <c r="L13" s="27"/>
      <c r="M13" s="27"/>
      <c r="N13" s="27"/>
      <c r="O13" s="27"/>
    </row>
    <row r="14">
      <c r="A14" s="32">
        <f t="shared" si="1"/>
        <v>13</v>
      </c>
      <c r="B14" s="9" t="s">
        <v>9</v>
      </c>
      <c r="C14" s="78" t="s">
        <v>72</v>
      </c>
      <c r="D14" s="12" t="s">
        <v>73</v>
      </c>
      <c r="E14" s="18">
        <f>VLOOKUP(C14,' CPVC PIPE'!$C$5:$G2469,5,0)</f>
        <v>0.83</v>
      </c>
      <c r="F14" s="27">
        <f>VLOOKUP(C14,' CPVC PIPE'!$C$5:$F2469,4,0)</f>
        <v>498</v>
      </c>
      <c r="G14" s="27">
        <f>VLOOKUP(C14,' CPVC PIPE'!$C$5:$I2469,7,0)</f>
        <v>498</v>
      </c>
      <c r="H14" s="27"/>
      <c r="I14" s="27"/>
      <c r="J14" s="27"/>
      <c r="K14" s="27"/>
      <c r="L14" s="27"/>
      <c r="M14" s="27"/>
      <c r="N14" s="27"/>
      <c r="O14" s="27"/>
    </row>
    <row r="15">
      <c r="A15" s="32">
        <f t="shared" si="1"/>
        <v>14</v>
      </c>
      <c r="B15" s="9" t="s">
        <v>9</v>
      </c>
      <c r="C15" s="78" t="s">
        <v>77</v>
      </c>
      <c r="D15" s="12" t="s">
        <v>78</v>
      </c>
      <c r="E15" s="18">
        <f>VLOOKUP(C15,' CPVC PIPE'!$C$5:$G2469,5,0)</f>
        <v>1.25</v>
      </c>
      <c r="F15" s="27">
        <f>VLOOKUP(C15,' CPVC PIPE'!$C$5:$F2469,4,0)</f>
        <v>778</v>
      </c>
      <c r="G15" s="27">
        <f>VLOOKUP(C15,' CPVC PIPE'!$C$5:$I2469,7,0)</f>
        <v>778</v>
      </c>
      <c r="H15" s="27"/>
      <c r="I15" s="27"/>
      <c r="J15" s="27"/>
      <c r="K15" s="27"/>
      <c r="L15" s="27"/>
      <c r="M15" s="27"/>
      <c r="N15" s="27"/>
      <c r="O15" s="27"/>
    </row>
    <row r="16">
      <c r="A16" s="32">
        <f t="shared" si="1"/>
        <v>15</v>
      </c>
      <c r="B16" s="9" t="s">
        <v>9</v>
      </c>
      <c r="C16" s="78" t="s">
        <v>86</v>
      </c>
      <c r="D16" s="12" t="s">
        <v>87</v>
      </c>
      <c r="E16" s="18">
        <f>VLOOKUP(C16,' CPVC PIPE'!$C$5:$G2469,5,0)</f>
        <v>1.75</v>
      </c>
      <c r="F16" s="27">
        <f>VLOOKUP(C16,' CPVC PIPE'!$C$5:$F2469,4,0)</f>
        <v>1092</v>
      </c>
      <c r="G16" s="27">
        <f>VLOOKUP(C16,' CPVC PIPE'!$C$5:$I2469,7,0)</f>
        <v>1092</v>
      </c>
      <c r="H16" s="27"/>
      <c r="I16" s="27"/>
      <c r="J16" s="27"/>
      <c r="K16" s="27"/>
      <c r="L16" s="27"/>
      <c r="M16" s="27"/>
      <c r="N16" s="27"/>
      <c r="O16" s="27"/>
    </row>
    <row r="17">
      <c r="A17" s="32">
        <f t="shared" si="1"/>
        <v>16</v>
      </c>
      <c r="B17" s="9" t="s">
        <v>9</v>
      </c>
      <c r="C17" s="78" t="s">
        <v>93</v>
      </c>
      <c r="D17" s="12" t="s">
        <v>94</v>
      </c>
      <c r="E17" s="18">
        <f>VLOOKUP(C17,' CPVC PIPE'!$C$5:$G2469,5,0)</f>
        <v>2.9</v>
      </c>
      <c r="F17" s="27">
        <f>VLOOKUP(C17,' CPVC PIPE'!$C$5:$F2469,4,0)</f>
        <v>1842</v>
      </c>
      <c r="G17" s="27">
        <f>VLOOKUP(C17,' CPVC PIPE'!$C$5:$I2469,7,0)</f>
        <v>1842</v>
      </c>
      <c r="H17" s="27"/>
      <c r="I17" s="27"/>
      <c r="J17" s="27"/>
      <c r="K17" s="27"/>
      <c r="L17" s="27"/>
      <c r="M17" s="27"/>
      <c r="N17" s="27"/>
      <c r="O17" s="27"/>
    </row>
    <row r="18">
      <c r="A18" s="32">
        <f t="shared" si="1"/>
        <v>17</v>
      </c>
      <c r="B18" s="9" t="s">
        <v>9</v>
      </c>
      <c r="C18" s="78" t="s">
        <v>100</v>
      </c>
      <c r="D18" s="12" t="s">
        <v>102</v>
      </c>
      <c r="E18" s="18">
        <f>VLOOKUP(C18,' CPVC PIPE'!$C$5:$G2469,5,0)</f>
        <v>4.774</v>
      </c>
      <c r="F18" s="27">
        <f>VLOOKUP(C18,' CPVC PIPE'!$C$5:$F2469,4,0)</f>
        <v>3390</v>
      </c>
      <c r="G18" s="27">
        <f>VLOOKUP(C18,' CPVC PIPE'!$C$5:$I2469,7,0)</f>
        <v>3390</v>
      </c>
      <c r="H18" s="27"/>
      <c r="I18" s="27"/>
      <c r="J18" s="27"/>
      <c r="K18" s="27"/>
      <c r="L18" s="27"/>
      <c r="M18" s="27"/>
      <c r="N18" s="27"/>
      <c r="O18" s="27"/>
    </row>
    <row r="19">
      <c r="A19" s="32">
        <f t="shared" si="1"/>
        <v>18</v>
      </c>
      <c r="B19" s="9" t="s">
        <v>9</v>
      </c>
      <c r="C19" s="78" t="s">
        <v>114</v>
      </c>
      <c r="D19" s="12" t="s">
        <v>115</v>
      </c>
      <c r="E19" s="18">
        <f>VLOOKUP(C19,' CPVC PIPE'!$C$5:$G2469,5,0)</f>
        <v>6.248</v>
      </c>
      <c r="F19" s="27">
        <f>VLOOKUP(C19,' CPVC PIPE'!$C$5:$F2469,4,0)</f>
        <v>4490</v>
      </c>
      <c r="G19" s="27">
        <f>VLOOKUP(C19,' CPVC PIPE'!$C$5:$I2469,7,0)</f>
        <v>4490</v>
      </c>
      <c r="H19" s="27"/>
      <c r="I19" s="27"/>
      <c r="J19" s="27"/>
      <c r="K19" s="27"/>
      <c r="L19" s="27"/>
      <c r="M19" s="27"/>
      <c r="N19" s="27"/>
      <c r="O19" s="27"/>
    </row>
    <row r="20">
      <c r="A20" s="32">
        <f t="shared" si="1"/>
        <v>19</v>
      </c>
      <c r="B20" s="9" t="s">
        <v>9</v>
      </c>
      <c r="C20" s="78" t="s">
        <v>118</v>
      </c>
      <c r="D20" s="12" t="s">
        <v>119</v>
      </c>
      <c r="E20" s="18">
        <f>VLOOKUP(C20,' CPVC PIPE'!$C$5:$G2469,5,0)</f>
        <v>8.9</v>
      </c>
      <c r="F20" s="27">
        <f>VLOOKUP(C20,' CPVC PIPE'!$C$5:$F2469,4,0)</f>
        <v>6390</v>
      </c>
      <c r="G20" s="27">
        <f>VLOOKUP(C20,' CPVC PIPE'!$C$5:$I2469,7,0)</f>
        <v>6390</v>
      </c>
      <c r="H20" s="27"/>
      <c r="I20" s="27"/>
      <c r="J20" s="27"/>
      <c r="K20" s="27"/>
      <c r="L20" s="27"/>
      <c r="M20" s="27"/>
      <c r="N20" s="27"/>
      <c r="O20" s="27"/>
    </row>
    <row r="21">
      <c r="A21" s="32">
        <f t="shared" si="1"/>
        <v>20</v>
      </c>
      <c r="B21" s="9" t="s">
        <v>9</v>
      </c>
      <c r="C21" s="78" t="s">
        <v>122</v>
      </c>
      <c r="D21" s="12" t="s">
        <v>123</v>
      </c>
      <c r="E21" s="18">
        <f>VLOOKUP(C21,' CPVC PIPE'!$C$5:$G2469,5,0)</f>
        <v>15.666</v>
      </c>
      <c r="F21" s="27">
        <f>VLOOKUP(C21,' CPVC PIPE'!$C$5:$F2469,4,0)</f>
        <v>10990</v>
      </c>
      <c r="G21" s="27">
        <f>VLOOKUP(C21,' CPVC PIPE'!$C$5:$I2469,7,0)</f>
        <v>10990</v>
      </c>
      <c r="H21" s="27"/>
      <c r="I21" s="27"/>
      <c r="J21" s="27"/>
      <c r="K21" s="27"/>
      <c r="L21" s="27"/>
      <c r="M21" s="27"/>
      <c r="N21" s="27"/>
      <c r="O21" s="27"/>
    </row>
    <row r="22">
      <c r="A22" s="32">
        <f t="shared" si="1"/>
        <v>21</v>
      </c>
      <c r="B22" s="9" t="s">
        <v>9</v>
      </c>
      <c r="C22" s="78" t="s">
        <v>75</v>
      </c>
      <c r="D22" s="12" t="s">
        <v>125</v>
      </c>
      <c r="E22" s="18">
        <f>VLOOKUP(C22,' CPVC PIPE'!$C$5:$G2469,5,0)</f>
        <v>0.6</v>
      </c>
      <c r="F22" s="27">
        <f>VLOOKUP(C22,' CPVC PIPE'!$C$5:$F2469,4,0)</f>
        <v>395</v>
      </c>
      <c r="G22" s="27">
        <f>VLOOKUP(C22,' CPVC PIPE'!$C$5:$I2469,7,0)</f>
        <v>395</v>
      </c>
      <c r="H22" s="27"/>
      <c r="I22" s="27"/>
      <c r="J22" s="27"/>
      <c r="K22" s="27"/>
      <c r="L22" s="27"/>
      <c r="M22" s="27"/>
      <c r="N22" s="27"/>
      <c r="O22" s="27"/>
    </row>
    <row r="23">
      <c r="A23" s="32">
        <f t="shared" si="1"/>
        <v>22</v>
      </c>
      <c r="B23" s="9" t="s">
        <v>9</v>
      </c>
      <c r="C23" s="78" t="s">
        <v>79</v>
      </c>
      <c r="D23" s="12" t="s">
        <v>127</v>
      </c>
      <c r="E23" s="18">
        <f>VLOOKUP(C23,' CPVC PIPE'!$C$5:$G2469,5,0)</f>
        <v>1.033333333</v>
      </c>
      <c r="F23" s="27">
        <f>VLOOKUP(C23,' CPVC PIPE'!$C$5:$F2469,4,0)</f>
        <v>615</v>
      </c>
      <c r="G23" s="27">
        <f>VLOOKUP(C23,' CPVC PIPE'!$C$5:$I2469,7,0)</f>
        <v>615</v>
      </c>
      <c r="H23" s="27"/>
      <c r="I23" s="27"/>
      <c r="J23" s="27"/>
      <c r="K23" s="27"/>
      <c r="L23" s="27"/>
      <c r="M23" s="27"/>
      <c r="N23" s="27"/>
      <c r="O23" s="27"/>
    </row>
    <row r="24">
      <c r="A24" s="32">
        <f t="shared" si="1"/>
        <v>23</v>
      </c>
      <c r="B24" s="9" t="s">
        <v>9</v>
      </c>
      <c r="C24" s="78" t="s">
        <v>82</v>
      </c>
      <c r="D24" s="12" t="s">
        <v>130</v>
      </c>
      <c r="E24" s="18">
        <f>VLOOKUP(C24,' CPVC PIPE'!$C$5:$G2469,5,0)</f>
        <v>1.666666667</v>
      </c>
      <c r="F24" s="27">
        <f>VLOOKUP(C24,' CPVC PIPE'!$C$5:$F2469,4,0)</f>
        <v>995</v>
      </c>
      <c r="G24" s="27">
        <f>VLOOKUP(C24,' CPVC PIPE'!$C$5:$I2469,7,0)</f>
        <v>995</v>
      </c>
      <c r="H24" s="27"/>
      <c r="I24" s="27"/>
      <c r="J24" s="27"/>
      <c r="K24" s="27"/>
      <c r="L24" s="27"/>
      <c r="M24" s="27"/>
      <c r="N24" s="27"/>
      <c r="O24" s="27"/>
    </row>
    <row r="25">
      <c r="A25" s="32">
        <f t="shared" si="1"/>
        <v>24</v>
      </c>
      <c r="B25" s="9" t="s">
        <v>9</v>
      </c>
      <c r="C25" s="78" t="s">
        <v>83</v>
      </c>
      <c r="D25" s="12" t="s">
        <v>131</v>
      </c>
      <c r="E25" s="18">
        <f>VLOOKUP(C25,' CPVC PIPE'!$C$5:$G2469,5,0)</f>
        <v>2.5</v>
      </c>
      <c r="F25" s="27">
        <f>VLOOKUP(C25,' CPVC PIPE'!$C$5:$F2469,4,0)</f>
        <v>1545</v>
      </c>
      <c r="G25" s="27">
        <f>VLOOKUP(C25,' CPVC PIPE'!$C$5:$I2469,7,0)</f>
        <v>1545</v>
      </c>
      <c r="H25" s="27"/>
      <c r="I25" s="27"/>
      <c r="J25" s="27"/>
      <c r="K25" s="27"/>
      <c r="L25" s="27"/>
      <c r="M25" s="27"/>
      <c r="N25" s="27"/>
      <c r="O25" s="27"/>
    </row>
    <row r="26">
      <c r="A26" s="32">
        <f t="shared" si="1"/>
        <v>25</v>
      </c>
      <c r="B26" s="9" t="s">
        <v>9</v>
      </c>
      <c r="C26" s="78" t="s">
        <v>88</v>
      </c>
      <c r="D26" s="12" t="s">
        <v>135</v>
      </c>
      <c r="E26" s="18">
        <f>VLOOKUP(C26,' CPVC PIPE'!$C$5:$G2469,5,0)</f>
        <v>3.416666667</v>
      </c>
      <c r="F26" s="27">
        <f>VLOOKUP(C26,' CPVC PIPE'!$C$5:$F2469,4,0)</f>
        <v>2145</v>
      </c>
      <c r="G26" s="27">
        <f>VLOOKUP(C26,' CPVC PIPE'!$C$5:$I2469,7,0)</f>
        <v>2145</v>
      </c>
      <c r="H26" s="27"/>
      <c r="I26" s="27"/>
      <c r="J26" s="27"/>
      <c r="K26" s="27"/>
      <c r="L26" s="27"/>
      <c r="M26" s="27"/>
      <c r="N26" s="27"/>
      <c r="O26" s="27"/>
    </row>
    <row r="27">
      <c r="A27" s="32">
        <f t="shared" si="1"/>
        <v>26</v>
      </c>
      <c r="B27" s="9" t="s">
        <v>9</v>
      </c>
      <c r="C27" s="78" t="s">
        <v>91</v>
      </c>
      <c r="D27" s="12" t="s">
        <v>139</v>
      </c>
      <c r="E27" s="18">
        <f>VLOOKUP(C27,' CPVC PIPE'!$C$5:$G2469,5,0)</f>
        <v>5.833333333</v>
      </c>
      <c r="F27" s="27">
        <f>VLOOKUP(C27,' CPVC PIPE'!$C$5:$F2469,4,0)</f>
        <v>3660</v>
      </c>
      <c r="G27" s="27">
        <f>VLOOKUP(C27,' CPVC PIPE'!$C$5:$I2469,7,0)</f>
        <v>3660</v>
      </c>
      <c r="H27" s="27"/>
      <c r="I27" s="27"/>
      <c r="J27" s="27"/>
      <c r="K27" s="27"/>
      <c r="L27" s="27"/>
      <c r="M27" s="27"/>
      <c r="N27" s="27"/>
      <c r="O27" s="27"/>
    </row>
    <row r="28">
      <c r="A28" s="32">
        <f t="shared" si="1"/>
        <v>27</v>
      </c>
      <c r="B28" s="9" t="s">
        <v>9</v>
      </c>
      <c r="C28" s="78" t="s">
        <v>99</v>
      </c>
      <c r="D28" s="12" t="s">
        <v>146</v>
      </c>
      <c r="E28" s="18">
        <f>VLOOKUP(C28,' CPVC PIPE'!$C$5:$G2469,5,0)</f>
        <v>10.54333333</v>
      </c>
      <c r="F28" s="27">
        <f>VLOOKUP(C28,' CPVC PIPE'!$C$5:$F2469,4,0)</f>
        <v>7466.67</v>
      </c>
      <c r="G28" s="27">
        <f>VLOOKUP(C28,' CPVC PIPE'!$C$5:$I2469,7,0)</f>
        <v>7466.67</v>
      </c>
      <c r="H28" s="27"/>
      <c r="I28" s="27"/>
      <c r="J28" s="27"/>
      <c r="K28" s="27"/>
      <c r="L28" s="27"/>
      <c r="M28" s="27"/>
      <c r="N28" s="27"/>
      <c r="O28" s="27"/>
    </row>
    <row r="29">
      <c r="A29" s="32">
        <f t="shared" si="1"/>
        <v>28</v>
      </c>
      <c r="B29" s="9" t="s">
        <v>9</v>
      </c>
      <c r="C29" s="78" t="s">
        <v>113</v>
      </c>
      <c r="D29" s="12" t="s">
        <v>150</v>
      </c>
      <c r="E29" s="18">
        <f>VLOOKUP(C29,' CPVC PIPE'!$C$5:$G2469,5,0)</f>
        <v>14.12166667</v>
      </c>
      <c r="F29" s="27">
        <f>VLOOKUP(C29,' CPVC PIPE'!$C$5:$F2469,4,0)</f>
        <v>9966.67</v>
      </c>
      <c r="G29" s="27">
        <f>VLOOKUP(C29,' CPVC PIPE'!$C$5:$I2469,7,0)</f>
        <v>9966.67</v>
      </c>
      <c r="H29" s="27"/>
      <c r="I29" s="27"/>
      <c r="J29" s="27"/>
      <c r="K29" s="27"/>
      <c r="L29" s="27"/>
      <c r="M29" s="27"/>
      <c r="N29" s="27"/>
      <c r="O29" s="27"/>
    </row>
    <row r="30">
      <c r="A30" s="32">
        <f t="shared" si="1"/>
        <v>29</v>
      </c>
      <c r="B30" s="9" t="s">
        <v>9</v>
      </c>
      <c r="C30" s="78" t="s">
        <v>116</v>
      </c>
      <c r="D30" s="12" t="s">
        <v>156</v>
      </c>
      <c r="E30" s="18">
        <f>VLOOKUP(C30,' CPVC PIPE'!$C$5:$G2469,5,0)</f>
        <v>20.65</v>
      </c>
      <c r="F30" s="27">
        <f>VLOOKUP(C30,' CPVC PIPE'!$C$5:$F2469,4,0)</f>
        <v>14466.67</v>
      </c>
      <c r="G30" s="27">
        <f>VLOOKUP(C30,' CPVC PIPE'!$C$5:$I2469,7,0)</f>
        <v>14466.67</v>
      </c>
      <c r="H30" s="27"/>
      <c r="I30" s="27"/>
      <c r="J30" s="27"/>
      <c r="K30" s="27"/>
      <c r="L30" s="27"/>
      <c r="M30" s="27"/>
      <c r="N30" s="27"/>
      <c r="O30" s="27"/>
    </row>
    <row r="31">
      <c r="A31" s="32">
        <f t="shared" si="1"/>
        <v>30</v>
      </c>
      <c r="B31" s="9" t="s">
        <v>9</v>
      </c>
      <c r="C31" s="78" t="s">
        <v>117</v>
      </c>
      <c r="D31" s="12" t="s">
        <v>158</v>
      </c>
      <c r="E31" s="18">
        <f>VLOOKUP(C31,' CPVC PIPE'!$C$5:$G2469,5,0)</f>
        <v>39.41833333</v>
      </c>
      <c r="F31" s="27">
        <f>VLOOKUP(C31,' CPVC PIPE'!$C$5:$F2469,4,0)</f>
        <v>28000</v>
      </c>
      <c r="G31" s="27">
        <f>VLOOKUP(C31,' CPVC PIPE'!$C$5:$I2469,7,0)</f>
        <v>28000</v>
      </c>
      <c r="H31" s="27"/>
      <c r="I31" s="27"/>
      <c r="J31" s="27"/>
      <c r="K31" s="27"/>
      <c r="L31" s="27"/>
      <c r="M31" s="27"/>
      <c r="N31" s="27"/>
      <c r="O31" s="27"/>
    </row>
    <row r="32">
      <c r="A32" s="32">
        <f t="shared" si="1"/>
        <v>31</v>
      </c>
      <c r="B32" s="9" t="s">
        <v>9</v>
      </c>
      <c r="C32" s="78" t="s">
        <v>136</v>
      </c>
      <c r="D32" s="12" t="s">
        <v>159</v>
      </c>
      <c r="E32" s="18">
        <f>VLOOKUP(C32,' CPVC PIPE'!$C$5:$G2469,5,0)</f>
        <v>0.66</v>
      </c>
      <c r="F32" s="27">
        <f>VLOOKUP(C32,' CPVC PIPE'!$C$5:$F2469,4,0)</f>
        <v>365</v>
      </c>
      <c r="G32" s="27">
        <f>VLOOKUP(C32,' CPVC PIPE'!$C$5:$I2469,7,0)</f>
        <v>365</v>
      </c>
      <c r="H32" s="27"/>
      <c r="I32" s="27"/>
      <c r="J32" s="27"/>
      <c r="K32" s="27"/>
      <c r="L32" s="27"/>
      <c r="M32" s="27"/>
      <c r="N32" s="27"/>
      <c r="O32" s="27"/>
    </row>
    <row r="33">
      <c r="A33" s="32">
        <f t="shared" si="1"/>
        <v>32</v>
      </c>
      <c r="B33" s="9" t="s">
        <v>9</v>
      </c>
      <c r="C33" s="78" t="s">
        <v>137</v>
      </c>
      <c r="D33" s="12" t="s">
        <v>161</v>
      </c>
      <c r="E33" s="18">
        <f>VLOOKUP(C33,' CPVC PIPE'!$C$5:$G2469,5,0)</f>
        <v>1.06</v>
      </c>
      <c r="F33" s="27">
        <f>VLOOKUP(C33,' CPVC PIPE'!$C$5:$F2469,4,0)</f>
        <v>540</v>
      </c>
      <c r="G33" s="27">
        <f>VLOOKUP(C33,' CPVC PIPE'!$C$5:$I2469,7,0)</f>
        <v>540</v>
      </c>
      <c r="H33" s="27"/>
      <c r="I33" s="27"/>
      <c r="J33" s="27"/>
      <c r="K33" s="27"/>
      <c r="L33" s="27"/>
      <c r="M33" s="27"/>
      <c r="N33" s="27"/>
      <c r="O33" s="27"/>
    </row>
    <row r="34">
      <c r="A34" s="32">
        <f t="shared" si="1"/>
        <v>33</v>
      </c>
      <c r="B34" s="9" t="s">
        <v>9</v>
      </c>
      <c r="C34" s="78" t="s">
        <v>138</v>
      </c>
      <c r="D34" s="12" t="s">
        <v>163</v>
      </c>
      <c r="E34" s="18">
        <f>VLOOKUP(C34,' CPVC PIPE'!$C$5:$G2469,5,0)</f>
        <v>1.66</v>
      </c>
      <c r="F34" s="27">
        <f>VLOOKUP(C34,' CPVC PIPE'!$C$5:$F2469,4,0)</f>
        <v>830</v>
      </c>
      <c r="G34" s="27">
        <f>VLOOKUP(C34,' CPVC PIPE'!$C$5:$I2469,7,0)</f>
        <v>830</v>
      </c>
      <c r="H34" s="27"/>
      <c r="I34" s="27"/>
      <c r="J34" s="27"/>
      <c r="K34" s="27"/>
      <c r="L34" s="27"/>
      <c r="M34" s="27"/>
      <c r="N34" s="27"/>
      <c r="O34" s="27"/>
    </row>
    <row r="35">
      <c r="A35" s="32">
        <f t="shared" si="1"/>
        <v>34</v>
      </c>
      <c r="B35" s="9" t="s">
        <v>9</v>
      </c>
      <c r="C35" s="78" t="s">
        <v>140</v>
      </c>
      <c r="D35" s="12" t="s">
        <v>165</v>
      </c>
      <c r="E35" s="18">
        <f>VLOOKUP(C35,' CPVC PIPE'!$C$5:$G2469,5,0)</f>
        <v>2.5</v>
      </c>
      <c r="F35" s="27">
        <f>VLOOKUP(C35,' CPVC PIPE'!$C$5:$F2469,4,0)</f>
        <v>1296.67</v>
      </c>
      <c r="G35" s="27">
        <f>VLOOKUP(C35,' CPVC PIPE'!$C$5:$I2469,7,0)</f>
        <v>1296.67</v>
      </c>
      <c r="H35" s="27"/>
      <c r="I35" s="27"/>
      <c r="J35" s="27"/>
      <c r="K35" s="27"/>
      <c r="L35" s="27"/>
      <c r="M35" s="27"/>
      <c r="N35" s="27"/>
      <c r="O35" s="27"/>
    </row>
    <row r="36">
      <c r="A36" s="32">
        <f t="shared" si="1"/>
        <v>35</v>
      </c>
      <c r="B36" s="9" t="s">
        <v>9</v>
      </c>
      <c r="C36" s="78" t="s">
        <v>141</v>
      </c>
      <c r="D36" s="12" t="s">
        <v>167</v>
      </c>
      <c r="E36" s="18">
        <f>VLOOKUP(C36,' CPVC PIPE'!$C$5:$G2469,5,0)</f>
        <v>3.5</v>
      </c>
      <c r="F36" s="27">
        <f>VLOOKUP(C36,' CPVC PIPE'!$C$5:$F2469,4,0)</f>
        <v>1820</v>
      </c>
      <c r="G36" s="27">
        <f>VLOOKUP(C36,' CPVC PIPE'!$C$5:$I2469,7,0)</f>
        <v>1820</v>
      </c>
      <c r="H36" s="27"/>
      <c r="I36" s="27"/>
      <c r="J36" s="27"/>
      <c r="K36" s="27"/>
      <c r="L36" s="27"/>
      <c r="M36" s="27"/>
      <c r="N36" s="27"/>
      <c r="O36" s="27"/>
    </row>
    <row r="37">
      <c r="A37" s="32">
        <f t="shared" si="1"/>
        <v>36</v>
      </c>
      <c r="B37" s="9" t="s">
        <v>9</v>
      </c>
      <c r="C37" s="78" t="s">
        <v>142</v>
      </c>
      <c r="D37" s="12" t="s">
        <v>170</v>
      </c>
      <c r="E37" s="18">
        <f>VLOOKUP(C37,' CPVC PIPE'!$C$5:$G2469,5,0)</f>
        <v>5.8</v>
      </c>
      <c r="F37" s="27">
        <f>VLOOKUP(C37,' CPVC PIPE'!$C$5:$F2469,4,0)</f>
        <v>3070</v>
      </c>
      <c r="G37" s="27">
        <f>VLOOKUP(C37,' CPVC PIPE'!$C$5:$I2469,7,0)</f>
        <v>3070</v>
      </c>
      <c r="H37" s="27"/>
      <c r="I37" s="27"/>
      <c r="J37" s="27"/>
      <c r="K37" s="27"/>
      <c r="L37" s="27"/>
      <c r="M37" s="27"/>
      <c r="N37" s="27"/>
      <c r="O37" s="27"/>
    </row>
    <row r="38">
      <c r="A38" s="32">
        <f t="shared" si="1"/>
        <v>37</v>
      </c>
      <c r="B38" s="9" t="s">
        <v>9</v>
      </c>
      <c r="C38" s="78" t="s">
        <v>149</v>
      </c>
      <c r="D38" s="12" t="s">
        <v>171</v>
      </c>
      <c r="E38" s="18">
        <f>VLOOKUP(C38,' CPVC PIPE'!$C$5:$G2469,5,0)</f>
        <v>9.548</v>
      </c>
      <c r="F38" s="27">
        <f>VLOOKUP(C38,' CPVC PIPE'!$C$5:$F2469,4,0)</f>
        <v>5650</v>
      </c>
      <c r="G38" s="27">
        <f>VLOOKUP(C38,' CPVC PIPE'!$C$5:$I2469,7,0)</f>
        <v>5650</v>
      </c>
      <c r="H38" s="27"/>
      <c r="I38" s="27"/>
      <c r="J38" s="27"/>
      <c r="K38" s="27"/>
      <c r="L38" s="27"/>
      <c r="M38" s="27"/>
      <c r="N38" s="27"/>
      <c r="O38" s="27"/>
    </row>
    <row r="39">
      <c r="A39" s="32">
        <f t="shared" si="1"/>
        <v>38</v>
      </c>
      <c r="B39" s="9" t="s">
        <v>9</v>
      </c>
      <c r="C39" s="78" t="s">
        <v>151</v>
      </c>
      <c r="D39" s="12" t="s">
        <v>173</v>
      </c>
      <c r="E39" s="18">
        <f>VLOOKUP(C39,' CPVC PIPE'!$C$5:$G2469,5,0)</f>
        <v>12.496</v>
      </c>
      <c r="F39" s="27">
        <f>VLOOKUP(C39,' CPVC PIPE'!$C$5:$F2469,4,0)</f>
        <v>7483.33</v>
      </c>
      <c r="G39" s="27">
        <f>VLOOKUP(C39,' CPVC PIPE'!$C$5:$I2469,7,0)</f>
        <v>7483.33</v>
      </c>
      <c r="H39" s="27"/>
      <c r="I39" s="27"/>
      <c r="J39" s="27"/>
      <c r="K39" s="27"/>
      <c r="L39" s="27"/>
      <c r="M39" s="27"/>
      <c r="N39" s="27"/>
      <c r="O39" s="27"/>
    </row>
    <row r="40">
      <c r="A40" s="32">
        <f t="shared" si="1"/>
        <v>39</v>
      </c>
      <c r="B40" s="9" t="s">
        <v>9</v>
      </c>
      <c r="C40" s="78" t="s">
        <v>152</v>
      </c>
      <c r="D40" s="12" t="s">
        <v>175</v>
      </c>
      <c r="E40" s="18">
        <f>VLOOKUP(C40,' CPVC PIPE'!$C$5:$G2469,5,0)</f>
        <v>17.8</v>
      </c>
      <c r="F40" s="27">
        <f>VLOOKUP(C40,' CPVC PIPE'!$C$5:$F2469,4,0)</f>
        <v>10650</v>
      </c>
      <c r="G40" s="27">
        <f>VLOOKUP(C40,' CPVC PIPE'!$C$5:$I2469,7,0)</f>
        <v>10650</v>
      </c>
      <c r="H40" s="27"/>
      <c r="I40" s="27"/>
      <c r="J40" s="27"/>
      <c r="K40" s="27"/>
      <c r="L40" s="27"/>
      <c r="M40" s="27"/>
      <c r="N40" s="27"/>
      <c r="O40" s="27"/>
    </row>
    <row r="41">
      <c r="A41" s="32">
        <f t="shared" si="1"/>
        <v>40</v>
      </c>
      <c r="B41" s="9" t="s">
        <v>9</v>
      </c>
      <c r="C41" s="78" t="s">
        <v>154</v>
      </c>
      <c r="D41" s="12" t="s">
        <v>177</v>
      </c>
      <c r="E41" s="18">
        <f>VLOOKUP(C41,' CPVC PIPE'!$C$5:$G2469,5,0)</f>
        <v>31.332</v>
      </c>
      <c r="F41" s="27">
        <f>VLOOKUP(C41,' CPVC PIPE'!$C$5:$F2469,4,0)</f>
        <v>18316.67</v>
      </c>
      <c r="G41" s="27">
        <f>VLOOKUP(C41,' CPVC PIPE'!$C$5:$I2469,7,0)</f>
        <v>18316.67</v>
      </c>
      <c r="H41" s="27"/>
      <c r="I41" s="27"/>
      <c r="J41" s="27"/>
      <c r="K41" s="27"/>
      <c r="L41" s="27"/>
      <c r="M41" s="27"/>
      <c r="N41" s="27"/>
      <c r="O41" s="27"/>
    </row>
    <row r="42">
      <c r="A42" s="32">
        <f t="shared" si="1"/>
        <v>41</v>
      </c>
      <c r="B42" s="9" t="s">
        <v>179</v>
      </c>
      <c r="C42" s="11" t="s">
        <v>59</v>
      </c>
      <c r="D42" s="12" t="s">
        <v>180</v>
      </c>
      <c r="E42" s="18">
        <f>VLOOKUP(C42,'C Fittings'!$E$5:$I2469,5,0)</f>
        <v>0.011</v>
      </c>
      <c r="F42" s="27">
        <f>VLOOKUP(C42,'C Fittings'!E$5:$F2469,2,0)</f>
        <v>16.8</v>
      </c>
      <c r="G42" s="27">
        <f>IFERROR(VLOOKUP($C42,'C Fittings'!E5:O2469,11,0),0)</f>
        <v>16.8</v>
      </c>
      <c r="H42" s="27"/>
      <c r="I42" s="27"/>
      <c r="J42" s="27"/>
      <c r="K42" s="27"/>
      <c r="L42" s="27"/>
      <c r="M42" s="27"/>
      <c r="N42" s="27"/>
      <c r="O42" s="27"/>
    </row>
    <row r="43">
      <c r="A43" s="32">
        <f t="shared" si="1"/>
        <v>42</v>
      </c>
      <c r="B43" s="9" t="s">
        <v>179</v>
      </c>
      <c r="C43" s="11" t="s">
        <v>76</v>
      </c>
      <c r="D43" s="12" t="s">
        <v>183</v>
      </c>
      <c r="E43" s="18">
        <f>VLOOKUP(C43,'C Fittings'!$E$5:$I2469,5,0)</f>
        <v>0.0229</v>
      </c>
      <c r="F43" s="27">
        <f>VLOOKUP(C43,'C Fittings'!E$5:$F2469,2,0)</f>
        <v>19.9</v>
      </c>
      <c r="G43" s="27">
        <f>IFERROR(VLOOKUP($C43,'C Fittings'!E6:O2469,11,0),0)</f>
        <v>19.9</v>
      </c>
      <c r="H43" s="27"/>
      <c r="I43" s="27"/>
      <c r="J43" s="27"/>
      <c r="K43" s="27"/>
      <c r="L43" s="27"/>
      <c r="M43" s="27"/>
      <c r="N43" s="27"/>
      <c r="O43" s="27"/>
    </row>
    <row r="44">
      <c r="A44" s="32">
        <f t="shared" si="1"/>
        <v>43</v>
      </c>
      <c r="B44" s="9" t="s">
        <v>179</v>
      </c>
      <c r="C44" s="11" t="s">
        <v>85</v>
      </c>
      <c r="D44" s="12" t="s">
        <v>185</v>
      </c>
      <c r="E44" s="18">
        <f>VLOOKUP(C44,'C Fittings'!$E$5:$I2469,5,0)</f>
        <v>0.0363</v>
      </c>
      <c r="F44" s="27">
        <f>VLOOKUP(C44,'C Fittings'!E$5:$F2469,2,0)</f>
        <v>39.8</v>
      </c>
      <c r="G44" s="27">
        <f>IFERROR(VLOOKUP($C44,'C Fittings'!E7:O2469,11,0),0)</f>
        <v>39.8</v>
      </c>
      <c r="H44" s="27"/>
      <c r="I44" s="27"/>
      <c r="J44" s="27"/>
      <c r="K44" s="27"/>
      <c r="L44" s="27"/>
      <c r="M44" s="27"/>
      <c r="N44" s="27"/>
      <c r="O44" s="27"/>
    </row>
    <row r="45">
      <c r="A45" s="32">
        <f t="shared" si="1"/>
        <v>44</v>
      </c>
      <c r="B45" s="9" t="s">
        <v>179</v>
      </c>
      <c r="C45" s="11" t="s">
        <v>92</v>
      </c>
      <c r="D45" s="12" t="s">
        <v>186</v>
      </c>
      <c r="E45" s="18">
        <f>VLOOKUP(C45,'C Fittings'!$E$5:$I2469,5,0)</f>
        <v>0.07095</v>
      </c>
      <c r="F45" s="27">
        <f>VLOOKUP(C45,'C Fittings'!E$5:$F2469,2,0)</f>
        <v>89.9</v>
      </c>
      <c r="G45" s="27">
        <f>IFERROR(VLOOKUP($C45,'C Fittings'!E8:O2469,11,0),0)</f>
        <v>89.9</v>
      </c>
      <c r="H45" s="27"/>
      <c r="I45" s="27"/>
      <c r="J45" s="27"/>
      <c r="K45" s="27"/>
      <c r="L45" s="27"/>
      <c r="M45" s="27"/>
      <c r="N45" s="27"/>
      <c r="O45" s="27"/>
    </row>
    <row r="46">
      <c r="A46" s="32">
        <f t="shared" si="1"/>
        <v>45</v>
      </c>
      <c r="B46" s="9" t="s">
        <v>179</v>
      </c>
      <c r="C46" s="11" t="s">
        <v>95</v>
      </c>
      <c r="D46" s="12" t="s">
        <v>188</v>
      </c>
      <c r="E46" s="18">
        <f>VLOOKUP(C46,'C Fittings'!$E$5:$I2469,5,0)</f>
        <v>0.11225</v>
      </c>
      <c r="F46" s="27">
        <f>VLOOKUP(C46,'C Fittings'!E$5:$F2469,2,0)</f>
        <v>164.4</v>
      </c>
      <c r="G46" s="27">
        <f>IFERROR(VLOOKUP($C46,'C Fittings'!E9:O2469,11,0),0)</f>
        <v>164.4</v>
      </c>
      <c r="H46" s="27"/>
      <c r="I46" s="27"/>
      <c r="J46" s="27"/>
      <c r="K46" s="27"/>
      <c r="L46" s="27"/>
      <c r="M46" s="27"/>
      <c r="N46" s="27"/>
      <c r="O46" s="27"/>
    </row>
    <row r="47">
      <c r="A47" s="32">
        <f t="shared" si="1"/>
        <v>46</v>
      </c>
      <c r="B47" s="9" t="s">
        <v>179</v>
      </c>
      <c r="C47" s="11" t="s">
        <v>109</v>
      </c>
      <c r="D47" s="12" t="s">
        <v>190</v>
      </c>
      <c r="E47" s="18">
        <f>VLOOKUP(C47,'C Fittings'!$E$5:$I2469,5,0)</f>
        <v>0.2132</v>
      </c>
      <c r="F47" s="27">
        <f>VLOOKUP(C47,'C Fittings'!E$5:$F2469,2,0)</f>
        <v>338</v>
      </c>
      <c r="G47" s="27">
        <f>IFERROR(VLOOKUP($C47,'C Fittings'!E10:O2469,11,0),0)</f>
        <v>338</v>
      </c>
      <c r="H47" s="27"/>
      <c r="I47" s="27"/>
      <c r="J47" s="27"/>
      <c r="K47" s="27"/>
      <c r="L47" s="27"/>
      <c r="M47" s="27"/>
      <c r="N47" s="27"/>
      <c r="O47" s="27"/>
    </row>
    <row r="48">
      <c r="A48" s="32">
        <f t="shared" si="1"/>
        <v>47</v>
      </c>
      <c r="B48" s="9" t="s">
        <v>179</v>
      </c>
      <c r="C48" s="11" t="s">
        <v>124</v>
      </c>
      <c r="D48" s="12" t="s">
        <v>191</v>
      </c>
      <c r="E48" s="18">
        <f>VLOOKUP(C48,'C Fittings'!$E$5:$I2469,5,0)</f>
        <v>0.522</v>
      </c>
      <c r="F48" s="27">
        <f>VLOOKUP(C48,'C Fittings'!E$5:$F2469,2,0)</f>
        <v>898</v>
      </c>
      <c r="G48" s="27">
        <f>IFERROR(VLOOKUP($C48,'C Fittings'!E11:O2469,11,0),0)</f>
        <v>898</v>
      </c>
      <c r="H48" s="27"/>
      <c r="I48" s="27"/>
      <c r="J48" s="27"/>
      <c r="K48" s="27"/>
      <c r="L48" s="27"/>
      <c r="M48" s="27"/>
      <c r="N48" s="27"/>
      <c r="O48" s="27"/>
    </row>
    <row r="49">
      <c r="A49" s="32">
        <f t="shared" si="1"/>
        <v>48</v>
      </c>
      <c r="B49" s="9" t="s">
        <v>179</v>
      </c>
      <c r="C49" s="11" t="s">
        <v>126</v>
      </c>
      <c r="D49" s="12" t="s">
        <v>193</v>
      </c>
      <c r="E49" s="18">
        <f>VLOOKUP(C49,'C Fittings'!$E$5:$I2469,5,0)</f>
        <v>0.8142</v>
      </c>
      <c r="F49" s="27">
        <f>VLOOKUP(C49,'C Fittings'!E$5:$F2469,2,0)</f>
        <v>1368</v>
      </c>
      <c r="G49" s="27">
        <f>IFERROR(VLOOKUP($C49,'C Fittings'!E12:O2469,11,0),0)</f>
        <v>1368</v>
      </c>
      <c r="H49" s="27"/>
      <c r="I49" s="27"/>
      <c r="J49" s="27"/>
      <c r="K49" s="27"/>
      <c r="L49" s="27"/>
      <c r="M49" s="27"/>
      <c r="N49" s="27"/>
      <c r="O49" s="27"/>
    </row>
    <row r="50">
      <c r="A50" s="32">
        <f t="shared" si="1"/>
        <v>49</v>
      </c>
      <c r="B50" s="9" t="s">
        <v>179</v>
      </c>
      <c r="C50" s="11" t="s">
        <v>128</v>
      </c>
      <c r="D50" s="12" t="s">
        <v>195</v>
      </c>
      <c r="E50" s="18">
        <f>VLOOKUP(C50,'C Fittings'!$E$5:$I2469,5,0)</f>
        <v>1.362</v>
      </c>
      <c r="F50" s="27">
        <f>VLOOKUP(C50,'C Fittings'!E$5:$F2469,2,0)</f>
        <v>2288</v>
      </c>
      <c r="G50" s="27">
        <f>IFERROR(VLOOKUP($C50,'C Fittings'!E13:O2469,11,0),0)</f>
        <v>2288</v>
      </c>
      <c r="H50" s="27"/>
      <c r="I50" s="27"/>
      <c r="J50" s="27"/>
      <c r="K50" s="27"/>
      <c r="L50" s="27"/>
      <c r="M50" s="27"/>
      <c r="N50" s="27"/>
      <c r="O50" s="27"/>
    </row>
    <row r="51">
      <c r="A51" s="32">
        <f t="shared" si="1"/>
        <v>50</v>
      </c>
      <c r="B51" s="9" t="s">
        <v>179</v>
      </c>
      <c r="C51" s="11" t="s">
        <v>134</v>
      </c>
      <c r="D51" s="12" t="s">
        <v>196</v>
      </c>
      <c r="E51" s="18">
        <f>VLOOKUP(C51,'C Fittings'!$E$5:$I2469,5,0)</f>
        <v>1.975</v>
      </c>
      <c r="F51" s="27">
        <f>VLOOKUP(C51,'C Fittings'!E$5:$F2469,2,0)</f>
        <v>3580</v>
      </c>
      <c r="G51" s="27">
        <f>IFERROR(VLOOKUP($C51,'C Fittings'!E14:O2469,11,0),0)</f>
        <v>3580</v>
      </c>
      <c r="H51" s="27"/>
      <c r="I51" s="27"/>
      <c r="J51" s="27"/>
      <c r="K51" s="27"/>
      <c r="L51" s="27"/>
      <c r="M51" s="27"/>
      <c r="N51" s="27"/>
      <c r="O51" s="27"/>
    </row>
    <row r="52">
      <c r="A52" s="32">
        <f t="shared" si="1"/>
        <v>51</v>
      </c>
      <c r="B52" s="9" t="s">
        <v>179</v>
      </c>
      <c r="C52" s="11" t="s">
        <v>147</v>
      </c>
      <c r="D52" s="12" t="s">
        <v>197</v>
      </c>
      <c r="E52" s="18">
        <f>VLOOKUP(C52,'C Fittings'!$E$5:$I2469,5,0)</f>
        <v>0.017</v>
      </c>
      <c r="F52" s="27">
        <f>VLOOKUP(C52,'C Fittings'!E$5:$F2469,2,0)</f>
        <v>29.8</v>
      </c>
      <c r="G52" s="27">
        <f>IFERROR(VLOOKUP($C52,'C Fittings'!E15:O2469,11,0),0)</f>
        <v>29.8</v>
      </c>
      <c r="H52" s="27"/>
      <c r="I52" s="27"/>
      <c r="J52" s="27"/>
      <c r="K52" s="27"/>
      <c r="L52" s="27"/>
      <c r="M52" s="27"/>
      <c r="N52" s="27"/>
      <c r="O52" s="27"/>
    </row>
    <row r="53">
      <c r="A53" s="32">
        <f t="shared" si="1"/>
        <v>52</v>
      </c>
      <c r="B53" s="9" t="s">
        <v>179</v>
      </c>
      <c r="C53" s="11" t="s">
        <v>157</v>
      </c>
      <c r="D53" s="12" t="s">
        <v>200</v>
      </c>
      <c r="E53" s="18">
        <f>VLOOKUP(C53,'C Fittings'!$E$5:$I2469,5,0)</f>
        <v>0.03025</v>
      </c>
      <c r="F53" s="27">
        <f>VLOOKUP(C53,'C Fittings'!E$5:$F2469,2,0)</f>
        <v>78</v>
      </c>
      <c r="G53" s="27">
        <f>IFERROR(VLOOKUP($C53,'C Fittings'!E16:O2469,11,0),0)</f>
        <v>78</v>
      </c>
      <c r="H53" s="27"/>
      <c r="I53" s="27"/>
      <c r="J53" s="27"/>
      <c r="K53" s="27"/>
      <c r="L53" s="27"/>
      <c r="M53" s="27"/>
      <c r="N53" s="27"/>
      <c r="O53" s="27"/>
    </row>
    <row r="54">
      <c r="A54" s="32">
        <f t="shared" si="1"/>
        <v>53</v>
      </c>
      <c r="B54" s="9" t="s">
        <v>179</v>
      </c>
      <c r="C54" s="11" t="s">
        <v>162</v>
      </c>
      <c r="D54" s="12" t="s">
        <v>201</v>
      </c>
      <c r="E54" s="18">
        <f>VLOOKUP(C54,'C Fittings'!$E$5:$I2469,5,0)</f>
        <v>0.017</v>
      </c>
      <c r="F54" s="27">
        <f>VLOOKUP(C54,'C Fittings'!E$5:$F2469,2,0)</f>
        <v>27.8</v>
      </c>
      <c r="G54" s="27">
        <f>IFERROR(VLOOKUP($C54,'C Fittings'!E17:O2469,11,0),0)</f>
        <v>27.8</v>
      </c>
      <c r="H54" s="27"/>
      <c r="I54" s="27"/>
      <c r="J54" s="27"/>
      <c r="K54" s="27"/>
      <c r="L54" s="27"/>
      <c r="M54" s="27"/>
      <c r="N54" s="27"/>
      <c r="O54" s="27"/>
    </row>
    <row r="55">
      <c r="A55" s="32">
        <f t="shared" si="1"/>
        <v>54</v>
      </c>
      <c r="B55" s="9" t="s">
        <v>179</v>
      </c>
      <c r="C55" s="11" t="s">
        <v>164</v>
      </c>
      <c r="D55" s="12" t="s">
        <v>203</v>
      </c>
      <c r="E55" s="18">
        <f>VLOOKUP(C55,'C Fittings'!$E$5:$I2469,5,0)</f>
        <v>0.029</v>
      </c>
      <c r="F55" s="27">
        <f>VLOOKUP(C55,'C Fittings'!E$5:$F2469,2,0)</f>
        <v>48.8</v>
      </c>
      <c r="G55" s="27">
        <f>IFERROR(VLOOKUP($C55,'C Fittings'!E18:O2469,11,0),0)</f>
        <v>48.8</v>
      </c>
      <c r="H55" s="27"/>
      <c r="I55" s="27"/>
      <c r="J55" s="27"/>
      <c r="K55" s="27"/>
      <c r="L55" s="27"/>
      <c r="M55" s="27"/>
      <c r="N55" s="27"/>
      <c r="O55" s="27"/>
    </row>
    <row r="56">
      <c r="A56" s="32">
        <f t="shared" si="1"/>
        <v>55</v>
      </c>
      <c r="B56" s="9" t="s">
        <v>179</v>
      </c>
      <c r="C56" s="11" t="s">
        <v>166</v>
      </c>
      <c r="D56" s="12" t="s">
        <v>207</v>
      </c>
      <c r="E56" s="18">
        <f>VLOOKUP(C56,'C Fittings'!$E$5:$I2469,5,0)</f>
        <v>0.046</v>
      </c>
      <c r="F56" s="27">
        <f>VLOOKUP(C56,'C Fittings'!E$5:$F2469,2,0)</f>
        <v>106</v>
      </c>
      <c r="G56" s="27">
        <f>IFERROR(VLOOKUP($C56,'C Fittings'!E19:O2469,11,0),0)</f>
        <v>106</v>
      </c>
      <c r="H56" s="27"/>
      <c r="I56" s="27"/>
      <c r="J56" s="27"/>
      <c r="K56" s="27"/>
      <c r="L56" s="27"/>
      <c r="M56" s="27"/>
      <c r="N56" s="27"/>
      <c r="O56" s="27"/>
    </row>
    <row r="57">
      <c r="A57" s="32">
        <f t="shared" si="1"/>
        <v>56</v>
      </c>
      <c r="B57" s="9" t="s">
        <v>179</v>
      </c>
      <c r="C57" s="11" t="s">
        <v>168</v>
      </c>
      <c r="D57" s="12" t="s">
        <v>208</v>
      </c>
      <c r="E57" s="18">
        <f>VLOOKUP(C57,'C Fittings'!$E$5:$I2469,5,0)</f>
        <v>0.078</v>
      </c>
      <c r="F57" s="27">
        <f>VLOOKUP(C57,'C Fittings'!E$5:$F2469,2,0)</f>
        <v>158</v>
      </c>
      <c r="G57" s="27">
        <f>IFERROR(VLOOKUP($C57,'C Fittings'!E20:O2469,11,0),0)</f>
        <v>158</v>
      </c>
      <c r="H57" s="27"/>
      <c r="I57" s="27"/>
      <c r="J57" s="27"/>
      <c r="K57" s="27"/>
      <c r="L57" s="27"/>
      <c r="M57" s="27"/>
      <c r="N57" s="27"/>
      <c r="O57" s="27"/>
    </row>
    <row r="58">
      <c r="A58" s="32">
        <f t="shared" si="1"/>
        <v>57</v>
      </c>
      <c r="B58" s="9" t="s">
        <v>179</v>
      </c>
      <c r="C58" s="11" t="s">
        <v>169</v>
      </c>
      <c r="D58" s="12" t="s">
        <v>212</v>
      </c>
      <c r="E58" s="18">
        <f>VLOOKUP(C58,'C Fittings'!$E$5:$I2469,5,0)</f>
        <v>0.161</v>
      </c>
      <c r="F58" s="27">
        <f>VLOOKUP(C58,'C Fittings'!E$5:$F2469,2,0)</f>
        <v>334</v>
      </c>
      <c r="G58" s="27">
        <f>IFERROR(VLOOKUP($C58,'C Fittings'!E21:O2469,11,0),0)</f>
        <v>334</v>
      </c>
      <c r="H58" s="27"/>
      <c r="I58" s="27"/>
      <c r="J58" s="27"/>
      <c r="K58" s="27"/>
      <c r="L58" s="27"/>
      <c r="M58" s="27"/>
      <c r="N58" s="27"/>
      <c r="O58" s="27"/>
    </row>
    <row r="59">
      <c r="A59" s="32">
        <f t="shared" si="1"/>
        <v>58</v>
      </c>
      <c r="B59" s="9" t="s">
        <v>179</v>
      </c>
      <c r="C59" s="11" t="s">
        <v>174</v>
      </c>
      <c r="D59" s="12" t="s">
        <v>219</v>
      </c>
      <c r="E59" s="18">
        <f>VLOOKUP(C59,'C Fittings'!$E$5:$I2469,5,0)</f>
        <v>0.015</v>
      </c>
      <c r="F59" s="27">
        <f>VLOOKUP(C59,'C Fittings'!E$5:$F2469,2,0)</f>
        <v>23.8</v>
      </c>
      <c r="G59" s="27">
        <f>IFERROR(VLOOKUP($C59,'C Fittings'!E22:O2469,11,0),0)</f>
        <v>23.8</v>
      </c>
      <c r="H59" s="27"/>
      <c r="I59" s="27"/>
      <c r="J59" s="27"/>
      <c r="K59" s="27"/>
      <c r="L59" s="27"/>
      <c r="M59" s="27"/>
      <c r="N59" s="27"/>
      <c r="O59" s="27"/>
    </row>
    <row r="60">
      <c r="A60" s="32">
        <f t="shared" si="1"/>
        <v>59</v>
      </c>
      <c r="B60" s="9" t="s">
        <v>179</v>
      </c>
      <c r="C60" s="11" t="s">
        <v>176</v>
      </c>
      <c r="D60" s="12" t="s">
        <v>223</v>
      </c>
      <c r="E60" s="18">
        <f>VLOOKUP(C60,'C Fittings'!$E$5:$I2469,5,0)</f>
        <v>0.029</v>
      </c>
      <c r="F60" s="27">
        <f>VLOOKUP(C60,'C Fittings'!E$5:$F2469,2,0)</f>
        <v>32.4</v>
      </c>
      <c r="G60" s="27">
        <f>IFERROR(VLOOKUP($C60,'C Fittings'!E23:O2469,11,0),0)</f>
        <v>32.4</v>
      </c>
      <c r="H60" s="27"/>
      <c r="I60" s="27"/>
      <c r="J60" s="27"/>
      <c r="K60" s="27"/>
      <c r="L60" s="27"/>
      <c r="M60" s="27"/>
      <c r="N60" s="27"/>
      <c r="O60" s="27"/>
    </row>
    <row r="61">
      <c r="A61" s="32">
        <f t="shared" si="1"/>
        <v>60</v>
      </c>
      <c r="B61" s="9" t="s">
        <v>179</v>
      </c>
      <c r="C61" s="11" t="s">
        <v>178</v>
      </c>
      <c r="D61" s="12" t="s">
        <v>230</v>
      </c>
      <c r="E61" s="18">
        <f>VLOOKUP(C61,'C Fittings'!$E$5:$I2469,5,0)</f>
        <v>0.0492</v>
      </c>
      <c r="F61" s="27">
        <f>VLOOKUP(C61,'C Fittings'!E$5:$F2469,2,0)</f>
        <v>51.9</v>
      </c>
      <c r="G61" s="27">
        <f>IFERROR(VLOOKUP($C61,'C Fittings'!E24:O2469,11,0),0)</f>
        <v>51.9</v>
      </c>
      <c r="H61" s="27"/>
      <c r="I61" s="27"/>
      <c r="J61" s="27"/>
      <c r="K61" s="27"/>
      <c r="L61" s="27"/>
      <c r="M61" s="27"/>
      <c r="N61" s="27"/>
      <c r="O61" s="27"/>
    </row>
    <row r="62">
      <c r="A62" s="32">
        <f t="shared" si="1"/>
        <v>61</v>
      </c>
      <c r="B62" s="9" t="s">
        <v>179</v>
      </c>
      <c r="C62" s="11" t="s">
        <v>181</v>
      </c>
      <c r="D62" s="12" t="s">
        <v>234</v>
      </c>
      <c r="E62" s="18">
        <f>VLOOKUP(C62,'C Fittings'!$E$5:$I2469,5,0)</f>
        <v>0.0873</v>
      </c>
      <c r="F62" s="27">
        <f>VLOOKUP(C62,'C Fittings'!E$5:$F2469,2,0)</f>
        <v>112</v>
      </c>
      <c r="G62" s="27">
        <f>IFERROR(VLOOKUP($C62,'C Fittings'!E25:O2469,11,0),0)</f>
        <v>112</v>
      </c>
      <c r="H62" s="27"/>
      <c r="I62" s="27"/>
      <c r="J62" s="27"/>
      <c r="K62" s="27"/>
      <c r="L62" s="27"/>
      <c r="M62" s="27"/>
      <c r="N62" s="27"/>
      <c r="O62" s="27"/>
    </row>
    <row r="63">
      <c r="A63" s="32">
        <f t="shared" si="1"/>
        <v>62</v>
      </c>
      <c r="B63" s="9" t="s">
        <v>179</v>
      </c>
      <c r="C63" s="11" t="s">
        <v>182</v>
      </c>
      <c r="D63" s="12" t="s">
        <v>241</v>
      </c>
      <c r="E63" s="18">
        <f>VLOOKUP(C63,'C Fittings'!$E$5:$I2469,5,0)</f>
        <v>0.14545</v>
      </c>
      <c r="F63" s="27">
        <f>VLOOKUP(C63,'C Fittings'!E$5:$F2469,2,0)</f>
        <v>204</v>
      </c>
      <c r="G63" s="27">
        <f>IFERROR(VLOOKUP($C63,'C Fittings'!E26:O2469,11,0),0)</f>
        <v>204</v>
      </c>
      <c r="H63" s="27"/>
      <c r="I63" s="27"/>
      <c r="J63" s="27"/>
      <c r="K63" s="27"/>
      <c r="L63" s="27"/>
      <c r="M63" s="27"/>
      <c r="N63" s="27"/>
      <c r="O63" s="27"/>
    </row>
    <row r="64">
      <c r="A64" s="32">
        <f t="shared" si="1"/>
        <v>63</v>
      </c>
      <c r="B64" s="9" t="s">
        <v>179</v>
      </c>
      <c r="C64" s="11" t="s">
        <v>184</v>
      </c>
      <c r="D64" s="12" t="s">
        <v>245</v>
      </c>
      <c r="E64" s="18">
        <f>VLOOKUP(C64,'C Fittings'!$E$5:$I2469,5,0)</f>
        <v>0.262</v>
      </c>
      <c r="F64" s="27">
        <f>VLOOKUP(C64,'C Fittings'!E$5:$F2469,2,0)</f>
        <v>418</v>
      </c>
      <c r="G64" s="27">
        <f>IFERROR(VLOOKUP($C64,'C Fittings'!E27:O2469,11,0),0)</f>
        <v>418</v>
      </c>
      <c r="H64" s="27"/>
      <c r="I64" s="27"/>
      <c r="J64" s="27"/>
      <c r="K64" s="27"/>
      <c r="L64" s="27"/>
      <c r="M64" s="27"/>
      <c r="N64" s="27"/>
      <c r="O64" s="27"/>
    </row>
    <row r="65">
      <c r="A65" s="32">
        <f t="shared" si="1"/>
        <v>64</v>
      </c>
      <c r="B65" s="9" t="s">
        <v>179</v>
      </c>
      <c r="C65" s="11" t="s">
        <v>189</v>
      </c>
      <c r="D65" s="12" t="s">
        <v>246</v>
      </c>
      <c r="E65" s="18">
        <f>VLOOKUP(C65,'C Fittings'!$E$5:$I2469,5,0)</f>
        <v>0.687</v>
      </c>
      <c r="F65" s="27">
        <f>VLOOKUP(C65,'C Fittings'!E$5:$F2469,2,0)</f>
        <v>1360</v>
      </c>
      <c r="G65" s="27">
        <f>IFERROR(VLOOKUP($C65,'C Fittings'!E28:O2469,11,0),0)</f>
        <v>1360</v>
      </c>
      <c r="H65" s="27"/>
      <c r="I65" s="27"/>
      <c r="J65" s="27"/>
      <c r="K65" s="27"/>
      <c r="L65" s="27"/>
      <c r="M65" s="27"/>
      <c r="N65" s="27"/>
      <c r="O65" s="27"/>
    </row>
    <row r="66">
      <c r="A66" s="32">
        <f t="shared" si="1"/>
        <v>65</v>
      </c>
      <c r="B66" s="9" t="s">
        <v>179</v>
      </c>
      <c r="C66" s="11" t="s">
        <v>192</v>
      </c>
      <c r="D66" s="12" t="s">
        <v>249</v>
      </c>
      <c r="E66" s="18">
        <f>VLOOKUP(C66,'C Fittings'!$E$5:$I2469,5,0)</f>
        <v>1.0736</v>
      </c>
      <c r="F66" s="27">
        <f>VLOOKUP(C66,'C Fittings'!E$5:$F2469,2,0)</f>
        <v>1980</v>
      </c>
      <c r="G66" s="27">
        <f>IFERROR(VLOOKUP($C66,'C Fittings'!E29:O2469,11,0),0)</f>
        <v>1980</v>
      </c>
      <c r="H66" s="27"/>
      <c r="I66" s="27"/>
      <c r="J66" s="27"/>
      <c r="K66" s="27"/>
      <c r="L66" s="27"/>
      <c r="M66" s="27"/>
      <c r="N66" s="27"/>
      <c r="O66" s="27"/>
    </row>
    <row r="67">
      <c r="A67" s="32">
        <f t="shared" si="1"/>
        <v>66</v>
      </c>
      <c r="B67" s="9" t="s">
        <v>179</v>
      </c>
      <c r="C67" s="11" t="s">
        <v>194</v>
      </c>
      <c r="D67" s="12" t="s">
        <v>250</v>
      </c>
      <c r="E67" s="18">
        <f>VLOOKUP(C67,'C Fittings'!$E$5:$I2469,5,0)</f>
        <v>1.723</v>
      </c>
      <c r="F67" s="27">
        <f>VLOOKUP(C67,'C Fittings'!E$5:$F2469,2,0)</f>
        <v>3240</v>
      </c>
      <c r="G67" s="27">
        <f>IFERROR(VLOOKUP($C67,'C Fittings'!E30:O2469,11,0),0)</f>
        <v>3240</v>
      </c>
      <c r="H67" s="27"/>
      <c r="I67" s="27"/>
      <c r="J67" s="27"/>
      <c r="K67" s="27"/>
      <c r="L67" s="27"/>
      <c r="M67" s="27"/>
      <c r="N67" s="27"/>
      <c r="O67" s="27"/>
    </row>
    <row r="68">
      <c r="A68" s="32">
        <f t="shared" si="1"/>
        <v>67</v>
      </c>
      <c r="B68" s="9" t="s">
        <v>179</v>
      </c>
      <c r="C68" s="11" t="s">
        <v>199</v>
      </c>
      <c r="D68" s="12" t="s">
        <v>253</v>
      </c>
      <c r="E68" s="18">
        <f>VLOOKUP(C68,'C Fittings'!$E$5:$I2469,5,0)</f>
        <v>2.445</v>
      </c>
      <c r="F68" s="27">
        <f>VLOOKUP(C68,'C Fittings'!E$5:$F2469,2,0)</f>
        <v>5240</v>
      </c>
      <c r="G68" s="27">
        <f>IFERROR(VLOOKUP($C68,'C Fittings'!E31:O2469,11,0),0)</f>
        <v>5240</v>
      </c>
      <c r="H68" s="27"/>
      <c r="I68" s="27"/>
      <c r="J68" s="27"/>
      <c r="K68" s="27"/>
      <c r="L68" s="27"/>
      <c r="M68" s="27"/>
      <c r="N68" s="27"/>
      <c r="O68" s="27"/>
    </row>
    <row r="69">
      <c r="A69" s="32">
        <f t="shared" si="1"/>
        <v>68</v>
      </c>
      <c r="B69" s="9" t="s">
        <v>179</v>
      </c>
      <c r="C69" s="11" t="s">
        <v>206</v>
      </c>
      <c r="D69" s="12" t="s">
        <v>256</v>
      </c>
      <c r="E69" s="18">
        <f>VLOOKUP(C69,'C Fittings'!$E$5:$I2469,5,0)</f>
        <v>0.02</v>
      </c>
      <c r="F69" s="27">
        <f>VLOOKUP(C69,'C Fittings'!E$5:$F2469,2,0)</f>
        <v>46</v>
      </c>
      <c r="G69" s="27">
        <f>IFERROR(VLOOKUP($C69,'C Fittings'!E32:O2469,11,0),0)</f>
        <v>46</v>
      </c>
      <c r="H69" s="27"/>
      <c r="I69" s="27"/>
      <c r="J69" s="27"/>
      <c r="K69" s="27"/>
      <c r="L69" s="27"/>
      <c r="M69" s="27"/>
      <c r="N69" s="27"/>
      <c r="O69" s="27"/>
    </row>
    <row r="70">
      <c r="A70" s="32">
        <f t="shared" si="1"/>
        <v>69</v>
      </c>
      <c r="B70" s="9" t="s">
        <v>179</v>
      </c>
      <c r="C70" s="11" t="s">
        <v>211</v>
      </c>
      <c r="D70" s="12" t="s">
        <v>258</v>
      </c>
      <c r="E70" s="18">
        <f>VLOOKUP(C70,'C Fittings'!$E$5:$I2469,5,0)</f>
        <v>0.039</v>
      </c>
      <c r="F70" s="27">
        <f>VLOOKUP(C70,'C Fittings'!E$5:$F2469,2,0)</f>
        <v>88</v>
      </c>
      <c r="G70" s="27">
        <f>IFERROR(VLOOKUP($C70,'C Fittings'!E33:O2469,11,0),0)</f>
        <v>88</v>
      </c>
      <c r="H70" s="27"/>
      <c r="I70" s="27"/>
      <c r="J70" s="27"/>
      <c r="K70" s="27"/>
      <c r="L70" s="27"/>
      <c r="M70" s="27"/>
      <c r="N70" s="27"/>
      <c r="O70" s="27"/>
    </row>
    <row r="71">
      <c r="A71" s="32">
        <f t="shared" si="1"/>
        <v>70</v>
      </c>
      <c r="B71" s="9" t="s">
        <v>179</v>
      </c>
      <c r="C71" s="11" t="s">
        <v>215</v>
      </c>
      <c r="D71" s="12" t="s">
        <v>260</v>
      </c>
      <c r="E71" s="18">
        <f>VLOOKUP(C71,'C Fittings'!$E$5:$I2469,5,0)</f>
        <v>0.05995</v>
      </c>
      <c r="F71" s="27">
        <f>VLOOKUP(C71,'C Fittings'!E$5:$F2469,2,0)</f>
        <v>168</v>
      </c>
      <c r="G71" s="27">
        <f>IFERROR(VLOOKUP($C71,'C Fittings'!E34:O2469,11,0),0)</f>
        <v>168</v>
      </c>
      <c r="H71" s="27"/>
      <c r="I71" s="27"/>
      <c r="J71" s="27"/>
      <c r="K71" s="27"/>
      <c r="L71" s="27"/>
      <c r="M71" s="27"/>
      <c r="N71" s="27"/>
      <c r="O71" s="27"/>
    </row>
    <row r="72">
      <c r="A72" s="32">
        <f t="shared" si="1"/>
        <v>71</v>
      </c>
      <c r="B72" s="9" t="s">
        <v>179</v>
      </c>
      <c r="C72" s="11" t="s">
        <v>218</v>
      </c>
      <c r="D72" s="12" t="s">
        <v>262</v>
      </c>
      <c r="E72" s="18">
        <f>VLOOKUP(C72,'C Fittings'!$E$5:$I2469,5,0)</f>
        <v>0.0658</v>
      </c>
      <c r="F72" s="27">
        <f>VLOOKUP(C72,'C Fittings'!E$5:$F2469,2,0)</f>
        <v>136</v>
      </c>
      <c r="G72" s="27">
        <f>IFERROR(VLOOKUP($C72,'C Fittings'!E35:O2469,11,0),0)</f>
        <v>136</v>
      </c>
      <c r="H72" s="27"/>
      <c r="I72" s="27"/>
      <c r="J72" s="27"/>
      <c r="K72" s="27"/>
      <c r="L72" s="27"/>
      <c r="M72" s="27"/>
      <c r="N72" s="27"/>
      <c r="O72" s="27"/>
    </row>
    <row r="73">
      <c r="A73" s="32">
        <f t="shared" si="1"/>
        <v>72</v>
      </c>
      <c r="B73" s="9" t="s">
        <v>179</v>
      </c>
      <c r="C73" s="11" t="s">
        <v>222</v>
      </c>
      <c r="D73" s="12" t="s">
        <v>264</v>
      </c>
      <c r="E73" s="18">
        <f>VLOOKUP(C73,'C Fittings'!$E$5:$I2469,5,0)</f>
        <v>0.18225</v>
      </c>
      <c r="F73" s="27">
        <f>VLOOKUP(C73,'C Fittings'!E$5:$F2469,2,0)</f>
        <v>228</v>
      </c>
      <c r="G73" s="27">
        <f>IFERROR(VLOOKUP($C73,'C Fittings'!E36:O2469,11,0),0)</f>
        <v>228</v>
      </c>
      <c r="H73" s="27"/>
      <c r="I73" s="27"/>
      <c r="J73" s="27"/>
      <c r="K73" s="27"/>
      <c r="L73" s="27"/>
      <c r="M73" s="27"/>
      <c r="N73" s="27"/>
      <c r="O73" s="27"/>
    </row>
    <row r="74">
      <c r="A74" s="32">
        <f t="shared" si="1"/>
        <v>73</v>
      </c>
      <c r="B74" s="9" t="s">
        <v>179</v>
      </c>
      <c r="C74" s="11" t="s">
        <v>226</v>
      </c>
      <c r="D74" s="12" t="s">
        <v>266</v>
      </c>
      <c r="E74" s="18">
        <f>VLOOKUP(C74,'C Fittings'!$E$5:$I2469,5,0)</f>
        <v>0.095</v>
      </c>
      <c r="F74" s="27">
        <f>VLOOKUP(C74,'C Fittings'!E$5:$F2469,2,0)</f>
        <v>218</v>
      </c>
      <c r="G74" s="27">
        <f>IFERROR(VLOOKUP($C74,'C Fittings'!E37:O2469,11,0),0)</f>
        <v>218</v>
      </c>
      <c r="H74" s="27"/>
      <c r="I74" s="27"/>
      <c r="J74" s="27"/>
      <c r="K74" s="27"/>
      <c r="L74" s="27"/>
      <c r="M74" s="27"/>
      <c r="N74" s="27"/>
      <c r="O74" s="27"/>
    </row>
    <row r="75">
      <c r="A75" s="32">
        <f t="shared" si="1"/>
        <v>74</v>
      </c>
      <c r="B75" s="9" t="s">
        <v>179</v>
      </c>
      <c r="C75" s="11" t="s">
        <v>229</v>
      </c>
      <c r="D75" s="12" t="s">
        <v>267</v>
      </c>
      <c r="E75" s="18">
        <f>VLOOKUP(C75,'C Fittings'!$E$5:$I2469,5,0)</f>
        <v>0.1705</v>
      </c>
      <c r="F75" s="27">
        <f>VLOOKUP(C75,'C Fittings'!E$5:$F2469,2,0)</f>
        <v>228</v>
      </c>
      <c r="G75" s="27">
        <f>IFERROR(VLOOKUP($C75,'C Fittings'!E38:O2469,11,0),0)</f>
        <v>228</v>
      </c>
      <c r="H75" s="27"/>
      <c r="I75" s="27"/>
      <c r="J75" s="27"/>
      <c r="K75" s="27"/>
      <c r="L75" s="27"/>
      <c r="M75" s="27"/>
      <c r="N75" s="27"/>
      <c r="O75" s="27"/>
    </row>
    <row r="76">
      <c r="A76" s="32">
        <f t="shared" si="1"/>
        <v>75</v>
      </c>
      <c r="B76" s="9" t="s">
        <v>179</v>
      </c>
      <c r="C76" s="11" t="s">
        <v>233</v>
      </c>
      <c r="D76" s="12" t="s">
        <v>270</v>
      </c>
      <c r="E76" s="18">
        <f>VLOOKUP(C76,'C Fittings'!$E$5:$I2469,5,0)</f>
        <v>0.375</v>
      </c>
      <c r="F76" s="27">
        <f>VLOOKUP(C76,'C Fittings'!E$5:$F2469,2,0)</f>
        <v>396</v>
      </c>
      <c r="G76" s="27">
        <f>IFERROR(VLOOKUP($C76,'C Fittings'!E39:O2469,11,0),0)</f>
        <v>396</v>
      </c>
      <c r="H76" s="27"/>
      <c r="I76" s="27"/>
      <c r="J76" s="27"/>
      <c r="K76" s="27"/>
      <c r="L76" s="27"/>
      <c r="M76" s="27"/>
      <c r="N76" s="27"/>
      <c r="O76" s="27"/>
    </row>
    <row r="77">
      <c r="A77" s="32">
        <f t="shared" si="1"/>
        <v>76</v>
      </c>
      <c r="B77" s="9" t="s">
        <v>179</v>
      </c>
      <c r="C77" s="11" t="s">
        <v>237</v>
      </c>
      <c r="D77" s="12" t="s">
        <v>273</v>
      </c>
      <c r="E77" s="18">
        <f>VLOOKUP(C77,'C Fittings'!$E$5:$I2469,5,0)</f>
        <v>0.377</v>
      </c>
      <c r="F77" s="27">
        <f>VLOOKUP(C77,'C Fittings'!E$5:$F2469,2,0)</f>
        <v>396</v>
      </c>
      <c r="G77" s="27">
        <f>IFERROR(VLOOKUP($C77,'C Fittings'!E40:O2469,11,0),0)</f>
        <v>396</v>
      </c>
      <c r="H77" s="27"/>
      <c r="I77" s="27"/>
      <c r="J77" s="27"/>
      <c r="K77" s="27"/>
      <c r="L77" s="27"/>
      <c r="M77" s="27"/>
      <c r="N77" s="27"/>
      <c r="O77" s="27"/>
    </row>
    <row r="78">
      <c r="A78" s="32">
        <f t="shared" si="1"/>
        <v>77</v>
      </c>
      <c r="B78" s="9" t="s">
        <v>179</v>
      </c>
      <c r="C78" s="11" t="s">
        <v>240</v>
      </c>
      <c r="D78" s="12" t="s">
        <v>275</v>
      </c>
      <c r="E78" s="18">
        <f>VLOOKUP(C78,'C Fittings'!$E$5:$I2469,5,0)</f>
        <v>0.476</v>
      </c>
      <c r="F78" s="27">
        <f>VLOOKUP(C78,'C Fittings'!E$5:$F2469,2,0)</f>
        <v>396</v>
      </c>
      <c r="G78" s="27">
        <f>IFERROR(VLOOKUP($C78,'C Fittings'!E41:O2469,11,0),0)</f>
        <v>396</v>
      </c>
      <c r="H78" s="27"/>
      <c r="I78" s="27"/>
      <c r="J78" s="27"/>
      <c r="K78" s="27"/>
      <c r="L78" s="27"/>
      <c r="M78" s="27"/>
      <c r="N78" s="27"/>
      <c r="O78" s="27"/>
    </row>
    <row r="79">
      <c r="A79" s="32">
        <f t="shared" si="1"/>
        <v>78</v>
      </c>
      <c r="B79" s="9" t="s">
        <v>179</v>
      </c>
      <c r="C79" s="11" t="s">
        <v>244</v>
      </c>
      <c r="D79" s="12" t="s">
        <v>277</v>
      </c>
      <c r="E79" s="18">
        <f>VLOOKUP(C79,'C Fittings'!$E$5:$I2469,5,0)</f>
        <v>0.3655</v>
      </c>
      <c r="F79" s="27">
        <f>VLOOKUP(C79,'C Fittings'!E$5:$F2469,2,0)</f>
        <v>396</v>
      </c>
      <c r="G79" s="27">
        <f>IFERROR(VLOOKUP($C79,'C Fittings'!E42:O2469,11,0),0)</f>
        <v>396</v>
      </c>
      <c r="H79" s="27"/>
      <c r="I79" s="27"/>
      <c r="J79" s="27"/>
      <c r="K79" s="27"/>
      <c r="L79" s="27"/>
      <c r="M79" s="27"/>
      <c r="N79" s="27"/>
      <c r="O79" s="27"/>
    </row>
    <row r="80">
      <c r="A80" s="32">
        <f t="shared" si="1"/>
        <v>79</v>
      </c>
      <c r="B80" s="9" t="s">
        <v>179</v>
      </c>
      <c r="C80" s="11" t="s">
        <v>248</v>
      </c>
      <c r="D80" s="12" t="s">
        <v>280</v>
      </c>
      <c r="E80" s="18">
        <f>VLOOKUP(C80,'C Fittings'!$E$5:$I2469,5,0)</f>
        <v>0.06594</v>
      </c>
      <c r="F80" s="27">
        <f>VLOOKUP(C80,'C Fittings'!E$5:$F2469,2,0)</f>
        <v>94</v>
      </c>
      <c r="G80" s="27">
        <f>IFERROR(VLOOKUP($C80,'C Fittings'!E43:O2469,11,0),0)</f>
        <v>94</v>
      </c>
      <c r="H80" s="27"/>
      <c r="I80" s="27"/>
      <c r="J80" s="27"/>
      <c r="K80" s="27"/>
      <c r="L80" s="27"/>
      <c r="M80" s="27"/>
      <c r="N80" s="27"/>
      <c r="O80" s="27"/>
    </row>
    <row r="81">
      <c r="A81" s="32">
        <f t="shared" si="1"/>
        <v>80</v>
      </c>
      <c r="B81" s="9" t="s">
        <v>179</v>
      </c>
      <c r="C81" s="11" t="s">
        <v>251</v>
      </c>
      <c r="D81" s="12" t="s">
        <v>281</v>
      </c>
      <c r="E81" s="18">
        <f>VLOOKUP(C81,'C Fittings'!$E$5:$I2469,5,0)</f>
        <v>0.09645</v>
      </c>
      <c r="F81" s="27">
        <f>VLOOKUP(C81,'C Fittings'!E$5:$F2469,2,0)</f>
        <v>116</v>
      </c>
      <c r="G81" s="27">
        <f>IFERROR(VLOOKUP($C81,'C Fittings'!E44:O2469,11,0),0)</f>
        <v>116</v>
      </c>
      <c r="H81" s="27"/>
      <c r="I81" s="27"/>
      <c r="J81" s="27"/>
      <c r="K81" s="27"/>
      <c r="L81" s="27"/>
      <c r="M81" s="27"/>
      <c r="N81" s="27"/>
      <c r="O81" s="27"/>
    </row>
    <row r="82">
      <c r="A82" s="32">
        <f t="shared" si="1"/>
        <v>81</v>
      </c>
      <c r="B82" s="9" t="s">
        <v>179</v>
      </c>
      <c r="C82" s="11" t="s">
        <v>252</v>
      </c>
      <c r="D82" s="12" t="s">
        <v>284</v>
      </c>
      <c r="E82" s="18">
        <f>VLOOKUP(C82,'C Fittings'!$E$5:$I2469,5,0)</f>
        <v>0.1449</v>
      </c>
      <c r="F82" s="27">
        <f>VLOOKUP(C82,'C Fittings'!E$5:$F2469,2,0)</f>
        <v>188</v>
      </c>
      <c r="G82" s="27">
        <f>IFERROR(VLOOKUP($C82,'C Fittings'!E45:O2469,11,0),0)</f>
        <v>188</v>
      </c>
      <c r="H82" s="27"/>
      <c r="I82" s="27"/>
      <c r="J82" s="27"/>
      <c r="K82" s="27"/>
      <c r="L82" s="27"/>
      <c r="M82" s="27"/>
      <c r="N82" s="27"/>
      <c r="O82" s="27"/>
    </row>
    <row r="83">
      <c r="A83" s="32">
        <f t="shared" si="1"/>
        <v>82</v>
      </c>
      <c r="B83" s="9" t="s">
        <v>179</v>
      </c>
      <c r="C83" s="11" t="s">
        <v>254</v>
      </c>
      <c r="D83" s="12" t="s">
        <v>287</v>
      </c>
      <c r="E83" s="18">
        <f>VLOOKUP(C83,'C Fittings'!$E$5:$I2469,5,0)</f>
        <v>0.16135</v>
      </c>
      <c r="F83" s="27">
        <f>VLOOKUP(C83,'C Fittings'!E$5:$F2469,2,0)</f>
        <v>308</v>
      </c>
      <c r="G83" s="27">
        <f>IFERROR(VLOOKUP($C83,'C Fittings'!E46:O2469,11,0),0)</f>
        <v>308</v>
      </c>
      <c r="H83" s="27"/>
      <c r="I83" s="27"/>
      <c r="J83" s="27"/>
      <c r="K83" s="27"/>
      <c r="L83" s="27"/>
      <c r="M83" s="27"/>
      <c r="N83" s="27"/>
      <c r="O83" s="27"/>
    </row>
    <row r="84">
      <c r="A84" s="32">
        <f t="shared" si="1"/>
        <v>83</v>
      </c>
      <c r="B84" s="9" t="s">
        <v>179</v>
      </c>
      <c r="C84" s="11" t="s">
        <v>255</v>
      </c>
      <c r="D84" s="12" t="s">
        <v>294</v>
      </c>
      <c r="E84" s="18">
        <f>VLOOKUP(C84,'C Fittings'!$E$5:$I2469,5,0)</f>
        <v>0.28705</v>
      </c>
      <c r="F84" s="27">
        <f>VLOOKUP(C84,'C Fittings'!E$5:$F2469,2,0)</f>
        <v>548</v>
      </c>
      <c r="G84" s="27">
        <f>IFERROR(VLOOKUP($C84,'C Fittings'!E47:O2469,11,0),0)</f>
        <v>548</v>
      </c>
      <c r="H84" s="27"/>
      <c r="I84" s="27"/>
      <c r="J84" s="27"/>
      <c r="K84" s="27"/>
      <c r="L84" s="27"/>
      <c r="M84" s="27"/>
      <c r="N84" s="27"/>
      <c r="O84" s="27"/>
    </row>
    <row r="85">
      <c r="A85" s="32">
        <f t="shared" si="1"/>
        <v>84</v>
      </c>
      <c r="B85" s="9" t="s">
        <v>179</v>
      </c>
      <c r="C85" s="11" t="s">
        <v>257</v>
      </c>
      <c r="D85" s="12" t="s">
        <v>296</v>
      </c>
      <c r="E85" s="18">
        <f>VLOOKUP(C85,'C Fittings'!$E$5:$I2469,5,0)</f>
        <v>0.919</v>
      </c>
      <c r="F85" s="27">
        <f>VLOOKUP(C85,'C Fittings'!E$5:$F2469,2,0)</f>
        <v>1184</v>
      </c>
      <c r="G85" s="27">
        <f>IFERROR(VLOOKUP($C85,'C Fittings'!E48:O2469,11,0),0)</f>
        <v>1184</v>
      </c>
      <c r="H85" s="27"/>
      <c r="I85" s="27"/>
      <c r="J85" s="27"/>
      <c r="K85" s="27"/>
      <c r="L85" s="27"/>
      <c r="M85" s="27"/>
      <c r="N85" s="27"/>
      <c r="O85" s="27"/>
    </row>
    <row r="86">
      <c r="A86" s="32">
        <f t="shared" si="1"/>
        <v>85</v>
      </c>
      <c r="B86" s="9" t="s">
        <v>179</v>
      </c>
      <c r="C86" s="11" t="s">
        <v>259</v>
      </c>
      <c r="D86" s="12" t="s">
        <v>299</v>
      </c>
      <c r="E86" s="18">
        <f>VLOOKUP(C86,'C Fittings'!$E$5:$I2469,5,0)</f>
        <v>0</v>
      </c>
      <c r="F86" s="27">
        <f>VLOOKUP(C86,'C Fittings'!E$5:$F2469,2,0)</f>
        <v>1780</v>
      </c>
      <c r="G86" s="27">
        <f>IFERROR(VLOOKUP($C86,'C Fittings'!E49:O2469,11,0),0)</f>
        <v>1780</v>
      </c>
      <c r="H86" s="27"/>
      <c r="I86" s="27"/>
      <c r="J86" s="27"/>
      <c r="K86" s="27"/>
      <c r="L86" s="27"/>
      <c r="M86" s="27"/>
      <c r="N86" s="27"/>
      <c r="O86" s="27"/>
    </row>
    <row r="87">
      <c r="A87" s="32">
        <f t="shared" si="1"/>
        <v>86</v>
      </c>
      <c r="B87" s="9" t="s">
        <v>179</v>
      </c>
      <c r="C87" s="11" t="s">
        <v>261</v>
      </c>
      <c r="D87" s="12" t="s">
        <v>302</v>
      </c>
      <c r="E87" s="18">
        <f>VLOOKUP(C87,'C Fittings'!$E$5:$I2469,5,0)</f>
        <v>2.398</v>
      </c>
      <c r="F87" s="27">
        <f>VLOOKUP(C87,'C Fittings'!E$5:$F2469,2,0)</f>
        <v>2990</v>
      </c>
      <c r="G87" s="27">
        <f>IFERROR(VLOOKUP($C87,'C Fittings'!E50:O2469,11,0),0)</f>
        <v>2990</v>
      </c>
      <c r="H87" s="27"/>
      <c r="I87" s="27"/>
      <c r="J87" s="27"/>
      <c r="K87" s="27"/>
      <c r="L87" s="27"/>
      <c r="M87" s="27"/>
      <c r="N87" s="27"/>
      <c r="O87" s="27"/>
    </row>
    <row r="88">
      <c r="A88" s="32">
        <f t="shared" si="1"/>
        <v>87</v>
      </c>
      <c r="B88" s="9" t="s">
        <v>179</v>
      </c>
      <c r="C88" s="11" t="s">
        <v>265</v>
      </c>
      <c r="D88" s="12" t="s">
        <v>309</v>
      </c>
      <c r="E88" s="18">
        <f>VLOOKUP(C88,'C Fittings'!$E$5:$I2469,5,0)</f>
        <v>0.00725</v>
      </c>
      <c r="F88" s="27">
        <f>VLOOKUP(C88,'C Fittings'!E$5:$F2469,2,0)</f>
        <v>14.8</v>
      </c>
      <c r="G88" s="27">
        <f>IFERROR(VLOOKUP($C88,'C Fittings'!E51:O2469,11,0),0)</f>
        <v>14.8</v>
      </c>
      <c r="H88" s="27"/>
      <c r="I88" s="27"/>
      <c r="J88" s="27"/>
      <c r="K88" s="27"/>
      <c r="L88" s="27"/>
      <c r="M88" s="27"/>
      <c r="N88" s="27"/>
      <c r="O88" s="27"/>
    </row>
    <row r="89">
      <c r="A89" s="32">
        <f t="shared" si="1"/>
        <v>88</v>
      </c>
      <c r="B89" s="9" t="s">
        <v>179</v>
      </c>
      <c r="C89" s="11" t="s">
        <v>268</v>
      </c>
      <c r="D89" s="12" t="s">
        <v>316</v>
      </c>
      <c r="E89" s="18">
        <f>VLOOKUP(C89,'C Fittings'!$E$5:$I2469,5,0)</f>
        <v>0.0135</v>
      </c>
      <c r="F89" s="27">
        <f>VLOOKUP(C89,'C Fittings'!E$5:$F2469,2,0)</f>
        <v>17.4</v>
      </c>
      <c r="G89" s="27">
        <f>IFERROR(VLOOKUP($C89,'C Fittings'!E52:O2469,11,0),0)</f>
        <v>17.4</v>
      </c>
      <c r="H89" s="27"/>
      <c r="I89" s="27"/>
      <c r="J89" s="27"/>
      <c r="K89" s="27"/>
      <c r="L89" s="27"/>
      <c r="M89" s="27"/>
      <c r="N89" s="27"/>
      <c r="O89" s="27"/>
    </row>
    <row r="90">
      <c r="A90" s="32">
        <f t="shared" si="1"/>
        <v>89</v>
      </c>
      <c r="B90" s="9" t="s">
        <v>179</v>
      </c>
      <c r="C90" s="11" t="s">
        <v>269</v>
      </c>
      <c r="D90" s="12" t="s">
        <v>323</v>
      </c>
      <c r="E90" s="18">
        <f>VLOOKUP(C90,'C Fittings'!$E$5:$I2469,5,0)</f>
        <v>0.0204</v>
      </c>
      <c r="F90" s="27">
        <f>VLOOKUP(C90,'C Fittings'!E$5:$F2469,2,0)</f>
        <v>28.4</v>
      </c>
      <c r="G90" s="27">
        <f>IFERROR(VLOOKUP($C90,'C Fittings'!E53:O2469,11,0),0)</f>
        <v>28.4</v>
      </c>
      <c r="H90" s="27"/>
      <c r="I90" s="27"/>
      <c r="J90" s="27"/>
      <c r="K90" s="27"/>
      <c r="L90" s="27"/>
      <c r="M90" s="27"/>
      <c r="N90" s="27"/>
      <c r="O90" s="27"/>
    </row>
    <row r="91">
      <c r="A91" s="32">
        <f t="shared" si="1"/>
        <v>90</v>
      </c>
      <c r="B91" s="9" t="s">
        <v>179</v>
      </c>
      <c r="C91" s="11" t="s">
        <v>271</v>
      </c>
      <c r="D91" s="12" t="s">
        <v>330</v>
      </c>
      <c r="E91" s="18">
        <f>VLOOKUP(C91,'C Fittings'!$E$5:$I2469,5,0)</f>
        <v>0.0364</v>
      </c>
      <c r="F91" s="27">
        <f>VLOOKUP(C91,'C Fittings'!E$5:$F2469,2,0)</f>
        <v>56.6</v>
      </c>
      <c r="G91" s="27">
        <f>IFERROR(VLOOKUP($C91,'C Fittings'!E54:O2469,11,0),0)</f>
        <v>56.6</v>
      </c>
      <c r="H91" s="27"/>
      <c r="I91" s="27"/>
      <c r="J91" s="27"/>
      <c r="K91" s="27"/>
      <c r="L91" s="27"/>
      <c r="M91" s="27"/>
      <c r="N91" s="27"/>
      <c r="O91" s="27"/>
    </row>
    <row r="92">
      <c r="A92" s="32">
        <f t="shared" si="1"/>
        <v>91</v>
      </c>
      <c r="B92" s="9" t="s">
        <v>179</v>
      </c>
      <c r="C92" s="11" t="s">
        <v>272</v>
      </c>
      <c r="D92" s="12" t="s">
        <v>335</v>
      </c>
      <c r="E92" s="18">
        <f>VLOOKUP(C92,'C Fittings'!$E$5:$I2469,5,0)</f>
        <v>0.0609</v>
      </c>
      <c r="F92" s="27">
        <f>VLOOKUP(C92,'C Fittings'!E$5:$F2469,2,0)</f>
        <v>99.8</v>
      </c>
      <c r="G92" s="27">
        <f>IFERROR(VLOOKUP($C92,'C Fittings'!E55:O2469,11,0),0)</f>
        <v>99.8</v>
      </c>
      <c r="H92" s="27"/>
      <c r="I92" s="27"/>
      <c r="J92" s="27"/>
      <c r="K92" s="27"/>
      <c r="L92" s="27"/>
      <c r="M92" s="27"/>
      <c r="N92" s="27"/>
      <c r="O92" s="27"/>
    </row>
    <row r="93">
      <c r="A93" s="32">
        <f t="shared" si="1"/>
        <v>92</v>
      </c>
      <c r="B93" s="9" t="s">
        <v>179</v>
      </c>
      <c r="C93" s="11" t="s">
        <v>274</v>
      </c>
      <c r="D93" s="12" t="s">
        <v>336</v>
      </c>
      <c r="E93" s="18">
        <f>VLOOKUP(C93,'C Fittings'!$E$5:$I2469,5,0)</f>
        <v>0.133</v>
      </c>
      <c r="F93" s="27">
        <f>VLOOKUP(C93,'C Fittings'!E$5:$F2469,2,0)</f>
        <v>218</v>
      </c>
      <c r="G93" s="27">
        <f>IFERROR(VLOOKUP($C93,'C Fittings'!E56:O2469,11,0),0)</f>
        <v>218</v>
      </c>
      <c r="H93" s="27"/>
      <c r="I93" s="27"/>
      <c r="J93" s="27"/>
      <c r="K93" s="27"/>
      <c r="L93" s="27"/>
      <c r="M93" s="27"/>
      <c r="N93" s="27"/>
      <c r="O93" s="27"/>
    </row>
    <row r="94">
      <c r="A94" s="32">
        <f t="shared" si="1"/>
        <v>93</v>
      </c>
      <c r="B94" s="9" t="s">
        <v>179</v>
      </c>
      <c r="C94" s="11" t="s">
        <v>278</v>
      </c>
      <c r="D94" s="12" t="s">
        <v>339</v>
      </c>
      <c r="E94" s="18">
        <f>VLOOKUP(C94,'C Fittings'!$E$5:$I2469,5,0)</f>
        <v>0.3079</v>
      </c>
      <c r="F94" s="27">
        <f>VLOOKUP(C94,'C Fittings'!E$5:$F2469,2,0)</f>
        <v>618</v>
      </c>
      <c r="G94" s="27">
        <f>IFERROR(VLOOKUP($C94,'C Fittings'!E57:O2469,11,0),0)</f>
        <v>618</v>
      </c>
      <c r="H94" s="27"/>
      <c r="I94" s="27"/>
      <c r="J94" s="27"/>
      <c r="K94" s="27"/>
      <c r="L94" s="27"/>
      <c r="M94" s="27"/>
      <c r="N94" s="27"/>
      <c r="O94" s="27"/>
    </row>
    <row r="95">
      <c r="A95" s="32">
        <f t="shared" si="1"/>
        <v>94</v>
      </c>
      <c r="B95" s="9" t="s">
        <v>179</v>
      </c>
      <c r="C95" s="11" t="s">
        <v>282</v>
      </c>
      <c r="D95" s="12" t="s">
        <v>343</v>
      </c>
      <c r="E95" s="18">
        <f>VLOOKUP(C95,'C Fittings'!$E$5:$I2469,5,0)</f>
        <v>0.4385</v>
      </c>
      <c r="F95" s="27">
        <f>VLOOKUP(C95,'C Fittings'!E$5:$F2469,2,0)</f>
        <v>892</v>
      </c>
      <c r="G95" s="27">
        <f>IFERROR(VLOOKUP($C95,'C Fittings'!E58:O2469,11,0),0)</f>
        <v>892</v>
      </c>
      <c r="H95" s="27"/>
      <c r="I95" s="27"/>
      <c r="J95" s="27"/>
      <c r="K95" s="27"/>
      <c r="L95" s="27"/>
      <c r="M95" s="27"/>
      <c r="N95" s="27"/>
      <c r="O95" s="27"/>
    </row>
    <row r="96">
      <c r="A96" s="32">
        <f t="shared" si="1"/>
        <v>95</v>
      </c>
      <c r="B96" s="9" t="s">
        <v>179</v>
      </c>
      <c r="C96" s="11" t="s">
        <v>283</v>
      </c>
      <c r="D96" s="12" t="s">
        <v>344</v>
      </c>
      <c r="E96" s="18">
        <f>VLOOKUP(C96,'C Fittings'!$E$5:$I2469,5,0)</f>
        <v>0.6595</v>
      </c>
      <c r="F96" s="27">
        <f>VLOOKUP(C96,'C Fittings'!E$5:$F2469,2,0)</f>
        <v>1348</v>
      </c>
      <c r="G96" s="27">
        <f>IFERROR(VLOOKUP($C96,'C Fittings'!E59:O2469,11,0),0)</f>
        <v>1348</v>
      </c>
      <c r="H96" s="27"/>
      <c r="I96" s="27"/>
      <c r="J96" s="27"/>
      <c r="K96" s="27"/>
      <c r="L96" s="27"/>
      <c r="M96" s="27"/>
      <c r="N96" s="27"/>
      <c r="O96" s="27"/>
    </row>
    <row r="97">
      <c r="A97" s="32">
        <f t="shared" si="1"/>
        <v>96</v>
      </c>
      <c r="B97" s="9" t="s">
        <v>179</v>
      </c>
      <c r="C97" s="11" t="s">
        <v>293</v>
      </c>
      <c r="D97" s="12" t="s">
        <v>347</v>
      </c>
      <c r="E97" s="18">
        <f>VLOOKUP(C97,'C Fittings'!$E$5:$I2469,5,0)</f>
        <v>0.964</v>
      </c>
      <c r="F97" s="27">
        <f>VLOOKUP(C97,'C Fittings'!E$5:$F2469,2,0)</f>
        <v>2170</v>
      </c>
      <c r="G97" s="27">
        <f>IFERROR(VLOOKUP($C97,'C Fittings'!E60:O2469,11,0),0)</f>
        <v>2170</v>
      </c>
      <c r="H97" s="27"/>
      <c r="I97" s="27"/>
      <c r="J97" s="27"/>
      <c r="K97" s="27"/>
      <c r="L97" s="27"/>
      <c r="M97" s="27"/>
      <c r="N97" s="27"/>
      <c r="O97" s="27"/>
    </row>
    <row r="98">
      <c r="A98" s="32">
        <f t="shared" si="1"/>
        <v>97</v>
      </c>
      <c r="B98" s="9" t="s">
        <v>179</v>
      </c>
      <c r="C98" s="11" t="s">
        <v>298</v>
      </c>
      <c r="D98" s="12" t="s">
        <v>351</v>
      </c>
      <c r="E98" s="18">
        <f>VLOOKUP(C98,'C Fittings'!$E$5:$I2469,5,0)</f>
        <v>0.01</v>
      </c>
      <c r="F98" s="27">
        <f>VLOOKUP(C98,'C Fittings'!E$5:$F2469,2,0)</f>
        <v>22</v>
      </c>
      <c r="G98" s="27">
        <f>IFERROR(VLOOKUP($C98,'C Fittings'!E61:O2469,11,0),0)</f>
        <v>22</v>
      </c>
      <c r="H98" s="27"/>
      <c r="I98" s="27"/>
      <c r="J98" s="27"/>
      <c r="K98" s="27"/>
      <c r="L98" s="27"/>
      <c r="M98" s="27"/>
      <c r="N98" s="27"/>
      <c r="O98" s="27"/>
    </row>
    <row r="99">
      <c r="A99" s="32">
        <f t="shared" si="1"/>
        <v>98</v>
      </c>
      <c r="B99" s="9" t="s">
        <v>179</v>
      </c>
      <c r="C99" s="11" t="s">
        <v>300</v>
      </c>
      <c r="D99" s="12" t="s">
        <v>355</v>
      </c>
      <c r="E99" s="18">
        <f>VLOOKUP(C99,'C Fittings'!$E$5:$I2469,5,0)</f>
        <v>0.0195</v>
      </c>
      <c r="F99" s="27">
        <f>VLOOKUP(C99,'C Fittings'!E$5:$F2469,2,0)</f>
        <v>39</v>
      </c>
      <c r="G99" s="27">
        <f>IFERROR(VLOOKUP($C99,'C Fittings'!E62:O2469,11,0),0)</f>
        <v>39</v>
      </c>
      <c r="H99" s="27"/>
      <c r="I99" s="27"/>
      <c r="J99" s="27"/>
      <c r="K99" s="27"/>
      <c r="L99" s="27"/>
      <c r="M99" s="27"/>
      <c r="N99" s="27"/>
      <c r="O99" s="27"/>
    </row>
    <row r="100">
      <c r="A100" s="32">
        <f t="shared" si="1"/>
        <v>99</v>
      </c>
      <c r="B100" s="9" t="s">
        <v>179</v>
      </c>
      <c r="C100" s="11" t="s">
        <v>305</v>
      </c>
      <c r="D100" s="12" t="s">
        <v>359</v>
      </c>
      <c r="E100" s="18">
        <f>VLOOKUP(C100,'C Fittings'!$E$5:$I2469,5,0)</f>
        <v>0.0323</v>
      </c>
      <c r="F100" s="27">
        <f>VLOOKUP(C100,'C Fittings'!E$5:$F2469,2,0)</f>
        <v>79</v>
      </c>
      <c r="G100" s="27">
        <f>IFERROR(VLOOKUP($C100,'C Fittings'!E63:O2469,11,0),0)</f>
        <v>79</v>
      </c>
      <c r="H100" s="27"/>
      <c r="I100" s="27"/>
      <c r="J100" s="27"/>
      <c r="K100" s="27"/>
      <c r="L100" s="27"/>
      <c r="M100" s="27"/>
      <c r="N100" s="27"/>
      <c r="O100" s="27"/>
    </row>
    <row r="101">
      <c r="A101" s="32">
        <f t="shared" si="1"/>
        <v>100</v>
      </c>
      <c r="B101" s="9" t="s">
        <v>179</v>
      </c>
      <c r="C101" s="11" t="s">
        <v>308</v>
      </c>
      <c r="D101" s="12" t="s">
        <v>360</v>
      </c>
      <c r="E101" s="18">
        <f>VLOOKUP(C101,'C Fittings'!$E$5:$I2469,5,0)</f>
        <v>0.032</v>
      </c>
      <c r="F101" s="27">
        <f>VLOOKUP(C101,'C Fittings'!E$5:$F2469,2,0)</f>
        <v>81.8</v>
      </c>
      <c r="G101" s="27">
        <f>IFERROR(VLOOKUP($C101,'C Fittings'!E64:O2469,11,0),0)</f>
        <v>81.8</v>
      </c>
      <c r="H101" s="27"/>
      <c r="I101" s="27"/>
      <c r="J101" s="27"/>
      <c r="K101" s="27"/>
      <c r="L101" s="27"/>
      <c r="M101" s="27"/>
      <c r="N101" s="27"/>
      <c r="O101" s="27"/>
    </row>
    <row r="102">
      <c r="A102" s="32">
        <f t="shared" si="1"/>
        <v>101</v>
      </c>
      <c r="B102" s="9" t="s">
        <v>179</v>
      </c>
      <c r="C102" s="11" t="s">
        <v>312</v>
      </c>
      <c r="D102" s="12" t="s">
        <v>362</v>
      </c>
      <c r="E102" s="18">
        <f>VLOOKUP(C102,'C Fittings'!$E$5:$I2469,5,0)</f>
        <v>0</v>
      </c>
      <c r="F102" s="27">
        <f>VLOOKUP(C102,'C Fittings'!E$5:$F2469,2,0)</f>
        <v>116</v>
      </c>
      <c r="G102" s="27">
        <f>IFERROR(VLOOKUP($C102,'C Fittings'!E65:O2469,11,0),0)</f>
        <v>116</v>
      </c>
      <c r="H102" s="27"/>
      <c r="I102" s="27"/>
      <c r="J102" s="27"/>
      <c r="K102" s="27"/>
      <c r="L102" s="27"/>
      <c r="M102" s="27"/>
      <c r="N102" s="27"/>
      <c r="O102" s="27"/>
    </row>
    <row r="103">
      <c r="A103" s="32">
        <f t="shared" si="1"/>
        <v>102</v>
      </c>
      <c r="B103" s="9" t="s">
        <v>179</v>
      </c>
      <c r="C103" s="11" t="s">
        <v>315</v>
      </c>
      <c r="D103" s="12" t="s">
        <v>364</v>
      </c>
      <c r="E103" s="18">
        <f>VLOOKUP(C103,'C Fittings'!$E$5:$I2469,5,0)</f>
        <v>0.0515</v>
      </c>
      <c r="F103" s="27">
        <f>VLOOKUP(C103,'C Fittings'!E$5:$F2469,2,0)</f>
        <v>119</v>
      </c>
      <c r="G103" s="27">
        <f>IFERROR(VLOOKUP($C103,'C Fittings'!E66:O2469,11,0),0)</f>
        <v>119</v>
      </c>
      <c r="H103" s="27"/>
      <c r="I103" s="27"/>
      <c r="J103" s="27"/>
      <c r="K103" s="27"/>
      <c r="L103" s="27"/>
      <c r="M103" s="27"/>
      <c r="N103" s="27"/>
      <c r="O103" s="27"/>
    </row>
    <row r="104">
      <c r="A104" s="32">
        <f t="shared" si="1"/>
        <v>103</v>
      </c>
      <c r="B104" s="9" t="s">
        <v>179</v>
      </c>
      <c r="C104" s="11" t="s">
        <v>319</v>
      </c>
      <c r="D104" s="12" t="s">
        <v>367</v>
      </c>
      <c r="E104" s="18">
        <f>VLOOKUP(C104,'C Fittings'!$E$5:$I2469,5,0)</f>
        <v>0.058</v>
      </c>
      <c r="F104" s="27">
        <f>VLOOKUP(C104,'C Fittings'!E$5:$F2469,2,0)</f>
        <v>114</v>
      </c>
      <c r="G104" s="27">
        <f>IFERROR(VLOOKUP($C104,'C Fittings'!E67:O2469,11,0),0)</f>
        <v>114</v>
      </c>
      <c r="H104" s="27"/>
      <c r="I104" s="27"/>
      <c r="J104" s="27"/>
      <c r="K104" s="27"/>
      <c r="L104" s="27"/>
      <c r="M104" s="27"/>
      <c r="N104" s="27"/>
      <c r="O104" s="27"/>
    </row>
    <row r="105">
      <c r="A105" s="32">
        <f t="shared" si="1"/>
        <v>104</v>
      </c>
      <c r="B105" s="9" t="s">
        <v>179</v>
      </c>
      <c r="C105" s="11" t="s">
        <v>322</v>
      </c>
      <c r="D105" s="12" t="s">
        <v>371</v>
      </c>
      <c r="E105" s="18">
        <f>VLOOKUP(C105,'C Fittings'!$E$5:$I2469,5,0)</f>
        <v>0</v>
      </c>
      <c r="F105" s="27">
        <f>VLOOKUP(C105,'C Fittings'!E$5:$F2469,2,0)</f>
        <v>244</v>
      </c>
      <c r="G105" s="27">
        <f>IFERROR(VLOOKUP($C105,'C Fittings'!E68:O2469,11,0),0)</f>
        <v>244</v>
      </c>
      <c r="H105" s="27"/>
      <c r="I105" s="27"/>
      <c r="J105" s="27"/>
      <c r="K105" s="27"/>
      <c r="L105" s="27"/>
      <c r="M105" s="27"/>
      <c r="N105" s="27"/>
      <c r="O105" s="27"/>
    </row>
    <row r="106">
      <c r="A106" s="32">
        <f t="shared" si="1"/>
        <v>105</v>
      </c>
      <c r="B106" s="9" t="s">
        <v>179</v>
      </c>
      <c r="C106" s="11" t="s">
        <v>326</v>
      </c>
      <c r="D106" s="12" t="s">
        <v>373</v>
      </c>
      <c r="E106" s="18">
        <f>VLOOKUP(C106,'C Fittings'!$E$5:$I2469,5,0)</f>
        <v>0</v>
      </c>
      <c r="F106" s="27">
        <f>VLOOKUP(C106,'C Fittings'!E$5:$F2469,2,0)</f>
        <v>244</v>
      </c>
      <c r="G106" s="27">
        <f>IFERROR(VLOOKUP($C106,'C Fittings'!E69:O2469,11,0),0)</f>
        <v>244</v>
      </c>
      <c r="H106" s="27"/>
      <c r="I106" s="27"/>
      <c r="J106" s="27"/>
      <c r="K106" s="27"/>
      <c r="L106" s="27"/>
      <c r="M106" s="27"/>
      <c r="N106" s="27"/>
      <c r="O106" s="27"/>
    </row>
    <row r="107">
      <c r="A107" s="32">
        <f t="shared" si="1"/>
        <v>106</v>
      </c>
      <c r="B107" s="9" t="s">
        <v>179</v>
      </c>
      <c r="C107" s="11" t="s">
        <v>329</v>
      </c>
      <c r="D107" s="12" t="s">
        <v>376</v>
      </c>
      <c r="E107" s="18">
        <f>VLOOKUP(C107,'C Fittings'!$E$5:$I2469,5,0)</f>
        <v>0</v>
      </c>
      <c r="F107" s="27">
        <f>VLOOKUP(C107,'C Fittings'!E$5:$F2469,2,0)</f>
        <v>244</v>
      </c>
      <c r="G107" s="27">
        <f>IFERROR(VLOOKUP($C107,'C Fittings'!E70:O2469,11,0),0)</f>
        <v>244</v>
      </c>
      <c r="H107" s="27"/>
      <c r="I107" s="27"/>
      <c r="J107" s="27"/>
      <c r="K107" s="27"/>
      <c r="L107" s="27"/>
      <c r="M107" s="27"/>
      <c r="N107" s="27"/>
      <c r="O107" s="27"/>
    </row>
    <row r="108">
      <c r="A108" s="32">
        <f t="shared" si="1"/>
        <v>107</v>
      </c>
      <c r="B108" s="9" t="s">
        <v>179</v>
      </c>
      <c r="C108" s="11" t="s">
        <v>333</v>
      </c>
      <c r="D108" s="12" t="s">
        <v>378</v>
      </c>
      <c r="E108" s="18">
        <f>VLOOKUP(C108,'C Fittings'!$E$5:$I2469,5,0)</f>
        <v>0</v>
      </c>
      <c r="F108" s="27">
        <f>VLOOKUP(C108,'C Fittings'!E$5:$F2469,2,0)</f>
        <v>248</v>
      </c>
      <c r="G108" s="27">
        <f>IFERROR(VLOOKUP($C108,'C Fittings'!E71:O2469,11,0),0)</f>
        <v>248</v>
      </c>
      <c r="H108" s="27"/>
      <c r="I108" s="27"/>
      <c r="J108" s="27"/>
      <c r="K108" s="27"/>
      <c r="L108" s="27"/>
      <c r="M108" s="27"/>
      <c r="N108" s="27"/>
      <c r="O108" s="27"/>
    </row>
    <row r="109">
      <c r="A109" s="32">
        <f t="shared" si="1"/>
        <v>108</v>
      </c>
      <c r="B109" s="9" t="s">
        <v>179</v>
      </c>
      <c r="C109" s="11" t="s">
        <v>342</v>
      </c>
      <c r="D109" s="12" t="s">
        <v>381</v>
      </c>
      <c r="E109" s="18">
        <f>VLOOKUP(C109,'C Fittings'!$E$5:$I2469,5,0)</f>
        <v>0.0293</v>
      </c>
      <c r="F109" s="27">
        <f>VLOOKUP(C109,'C Fittings'!E$5:$F2469,2,0)</f>
        <v>28.4</v>
      </c>
      <c r="G109" s="27">
        <f>IFERROR(VLOOKUP($C109,'C Fittings'!E72:O2469,11,0),0)</f>
        <v>28.4</v>
      </c>
      <c r="H109" s="27"/>
      <c r="I109" s="27"/>
      <c r="J109" s="27"/>
      <c r="K109" s="27"/>
      <c r="L109" s="27"/>
      <c r="M109" s="27"/>
      <c r="N109" s="27"/>
      <c r="O109" s="27"/>
    </row>
    <row r="110">
      <c r="A110" s="32">
        <f t="shared" si="1"/>
        <v>109</v>
      </c>
      <c r="B110" s="9" t="s">
        <v>179</v>
      </c>
      <c r="C110" s="11" t="s">
        <v>348</v>
      </c>
      <c r="D110" s="12" t="s">
        <v>384</v>
      </c>
      <c r="E110" s="18">
        <f>VLOOKUP(C110,'C Fittings'!$E$5:$I2469,5,0)</f>
        <v>0.026</v>
      </c>
      <c r="F110" s="27">
        <f>VLOOKUP(C110,'C Fittings'!E$5:$F2469,2,0)</f>
        <v>38.8</v>
      </c>
      <c r="G110" s="27">
        <f>IFERROR(VLOOKUP($C110,'C Fittings'!E73:O2469,11,0),0)</f>
        <v>38.8</v>
      </c>
      <c r="H110" s="27"/>
      <c r="I110" s="27"/>
      <c r="J110" s="27"/>
      <c r="K110" s="27"/>
      <c r="L110" s="27"/>
      <c r="M110" s="27"/>
      <c r="N110" s="27"/>
      <c r="O110" s="27"/>
    </row>
    <row r="111">
      <c r="A111" s="32">
        <f t="shared" si="1"/>
        <v>110</v>
      </c>
      <c r="B111" s="9" t="s">
        <v>179</v>
      </c>
      <c r="C111" s="11" t="s">
        <v>350</v>
      </c>
      <c r="D111" s="12" t="s">
        <v>384</v>
      </c>
      <c r="E111" s="18">
        <f>VLOOKUP(C111,'C Fittings'!$E$5:$I2469,5,0)</f>
        <v>0.0129</v>
      </c>
      <c r="F111" s="27">
        <f>VLOOKUP(C111,'C Fittings'!E$5:$F2469,2,0)</f>
        <v>28.4</v>
      </c>
      <c r="G111" s="27">
        <f>IFERROR(VLOOKUP($C111,'C Fittings'!E74:O2469,11,0),0)</f>
        <v>28.4</v>
      </c>
      <c r="H111" s="27"/>
      <c r="I111" s="27"/>
      <c r="J111" s="27"/>
      <c r="K111" s="27"/>
      <c r="L111" s="27"/>
      <c r="M111" s="27"/>
      <c r="N111" s="27"/>
      <c r="O111" s="27"/>
    </row>
    <row r="112">
      <c r="A112" s="32">
        <f t="shared" si="1"/>
        <v>111</v>
      </c>
      <c r="B112" s="9" t="s">
        <v>179</v>
      </c>
      <c r="C112" s="11" t="s">
        <v>357</v>
      </c>
      <c r="D112" s="12" t="s">
        <v>389</v>
      </c>
      <c r="E112" s="18">
        <f>VLOOKUP(C112,'C Fittings'!$E$5:$I2469,5,0)</f>
        <v>0.0365</v>
      </c>
      <c r="F112" s="27">
        <f>VLOOKUP(C112,'C Fittings'!E$5:$F2469,2,0)</f>
        <v>46.4</v>
      </c>
      <c r="G112" s="27">
        <f>IFERROR(VLOOKUP($C112,'C Fittings'!E75:O2469,11,0),0)</f>
        <v>46.4</v>
      </c>
      <c r="H112" s="27"/>
      <c r="I112" s="27"/>
      <c r="J112" s="27"/>
      <c r="K112" s="27"/>
      <c r="L112" s="27"/>
      <c r="M112" s="27"/>
      <c r="N112" s="27"/>
      <c r="O112" s="27"/>
    </row>
    <row r="113">
      <c r="A113" s="32">
        <f t="shared" si="1"/>
        <v>112</v>
      </c>
      <c r="B113" s="9" t="s">
        <v>179</v>
      </c>
      <c r="C113" s="11" t="s">
        <v>363</v>
      </c>
      <c r="D113" s="12" t="s">
        <v>390</v>
      </c>
      <c r="E113" s="18">
        <f>VLOOKUP(C113,'C Fittings'!$E$5:$I2469,5,0)</f>
        <v>0.0054</v>
      </c>
      <c r="F113" s="27">
        <f>VLOOKUP(C113,'C Fittings'!E$5:$F2469,2,0)</f>
        <v>10.8</v>
      </c>
      <c r="G113" s="27">
        <f>IFERROR(VLOOKUP($C113,'C Fittings'!E76:O2469,11,0),0)</f>
        <v>10.8</v>
      </c>
      <c r="H113" s="27"/>
      <c r="I113" s="27"/>
      <c r="J113" s="27"/>
      <c r="K113" s="27"/>
      <c r="L113" s="27"/>
      <c r="M113" s="27"/>
      <c r="N113" s="27"/>
      <c r="O113" s="27"/>
    </row>
    <row r="114">
      <c r="A114" s="32">
        <f t="shared" si="1"/>
        <v>113</v>
      </c>
      <c r="B114" s="9" t="s">
        <v>179</v>
      </c>
      <c r="C114" s="11" t="s">
        <v>366</v>
      </c>
      <c r="D114" s="12" t="s">
        <v>393</v>
      </c>
      <c r="E114" s="18">
        <f>VLOOKUP(C114,'C Fittings'!$E$5:$I2469,5,0)</f>
        <v>0.00765</v>
      </c>
      <c r="F114" s="27">
        <f>VLOOKUP(C114,'C Fittings'!E$5:$F2469,2,0)</f>
        <v>13.8</v>
      </c>
      <c r="G114" s="27">
        <f>IFERROR(VLOOKUP($C114,'C Fittings'!E77:O2469,11,0),0)</f>
        <v>13.8</v>
      </c>
      <c r="H114" s="27"/>
      <c r="I114" s="27"/>
      <c r="J114" s="27"/>
      <c r="K114" s="27"/>
      <c r="L114" s="27"/>
      <c r="M114" s="27"/>
      <c r="N114" s="27"/>
      <c r="O114" s="27"/>
    </row>
    <row r="115">
      <c r="A115" s="32">
        <f t="shared" si="1"/>
        <v>114</v>
      </c>
      <c r="B115" s="9" t="s">
        <v>179</v>
      </c>
      <c r="C115" s="11" t="s">
        <v>369</v>
      </c>
      <c r="D115" s="12" t="s">
        <v>396</v>
      </c>
      <c r="E115" s="18">
        <f>VLOOKUP(C115,'C Fittings'!$E$5:$I2469,5,0)</f>
        <v>0.015675</v>
      </c>
      <c r="F115" s="27">
        <f>VLOOKUP(C115,'C Fittings'!E$5:$F2469,2,0)</f>
        <v>24.6</v>
      </c>
      <c r="G115" s="27">
        <f>IFERROR(VLOOKUP($C115,'C Fittings'!E78:O2469,11,0),0)</f>
        <v>24.6</v>
      </c>
      <c r="H115" s="27"/>
      <c r="I115" s="27"/>
      <c r="J115" s="27"/>
      <c r="K115" s="27"/>
      <c r="L115" s="27"/>
      <c r="M115" s="27"/>
      <c r="N115" s="27"/>
      <c r="O115" s="27"/>
    </row>
    <row r="116">
      <c r="A116" s="32">
        <f t="shared" si="1"/>
        <v>115</v>
      </c>
      <c r="B116" s="9" t="s">
        <v>179</v>
      </c>
      <c r="C116" s="11" t="s">
        <v>370</v>
      </c>
      <c r="D116" s="12" t="s">
        <v>400</v>
      </c>
      <c r="E116" s="18">
        <f>VLOOKUP(C116,'C Fittings'!$E$5:$I2469,5,0)</f>
        <v>0.0275</v>
      </c>
      <c r="F116" s="27">
        <f>VLOOKUP(C116,'C Fittings'!E$5:$F2469,2,0)</f>
        <v>48.4</v>
      </c>
      <c r="G116" s="27">
        <f>IFERROR(VLOOKUP($C116,'C Fittings'!E79:O2469,11,0),0)</f>
        <v>48.4</v>
      </c>
      <c r="H116" s="27"/>
      <c r="I116" s="27"/>
      <c r="J116" s="27"/>
      <c r="K116" s="27"/>
      <c r="L116" s="27"/>
      <c r="M116" s="27"/>
      <c r="N116" s="27"/>
      <c r="O116" s="27"/>
    </row>
    <row r="117">
      <c r="A117" s="32">
        <f t="shared" si="1"/>
        <v>116</v>
      </c>
      <c r="B117" s="9" t="s">
        <v>179</v>
      </c>
      <c r="C117" s="11" t="s">
        <v>372</v>
      </c>
      <c r="D117" s="12" t="s">
        <v>408</v>
      </c>
      <c r="E117" s="18">
        <f>VLOOKUP(C117,'C Fittings'!$E$5:$I2469,5,0)</f>
        <v>0.041</v>
      </c>
      <c r="F117" s="27">
        <f>VLOOKUP(C117,'C Fittings'!E$5:$F2469,2,0)</f>
        <v>69.9</v>
      </c>
      <c r="G117" s="27">
        <f>IFERROR(VLOOKUP($C117,'C Fittings'!E80:O2469,11,0),0)</f>
        <v>69.9</v>
      </c>
      <c r="H117" s="27"/>
      <c r="I117" s="27"/>
      <c r="J117" s="27"/>
      <c r="K117" s="27"/>
      <c r="L117" s="27"/>
      <c r="M117" s="27"/>
      <c r="N117" s="27"/>
      <c r="O117" s="27"/>
    </row>
    <row r="118">
      <c r="A118" s="32">
        <f t="shared" si="1"/>
        <v>117</v>
      </c>
      <c r="B118" s="9" t="s">
        <v>179</v>
      </c>
      <c r="C118" s="11" t="s">
        <v>374</v>
      </c>
      <c r="D118" s="12" t="s">
        <v>413</v>
      </c>
      <c r="E118" s="18">
        <f>VLOOKUP(C118,'C Fittings'!$E$5:$I2469,5,0)</f>
        <v>0.086</v>
      </c>
      <c r="F118" s="27">
        <f>VLOOKUP(C118,'C Fittings'!E$5:$F2469,2,0)</f>
        <v>148</v>
      </c>
      <c r="G118" s="27">
        <f>IFERROR(VLOOKUP($C118,'C Fittings'!E81:O2469,11,0),0)</f>
        <v>148</v>
      </c>
      <c r="H118" s="27"/>
      <c r="I118" s="27"/>
      <c r="J118" s="27"/>
      <c r="K118" s="27"/>
      <c r="L118" s="27"/>
      <c r="M118" s="27"/>
      <c r="N118" s="27"/>
      <c r="O118" s="27"/>
    </row>
    <row r="119">
      <c r="A119" s="32">
        <f t="shared" si="1"/>
        <v>118</v>
      </c>
      <c r="B119" s="9" t="s">
        <v>179</v>
      </c>
      <c r="C119" s="11" t="s">
        <v>383</v>
      </c>
      <c r="D119" s="12" t="s">
        <v>420</v>
      </c>
      <c r="E119" s="18">
        <f>VLOOKUP(C119,'C Fittings'!$E$5:$I2469,5,0)</f>
        <v>0.203</v>
      </c>
      <c r="F119" s="27">
        <f>VLOOKUP(C119,'C Fittings'!E$5:$F2469,2,0)</f>
        <v>398</v>
      </c>
      <c r="G119" s="27">
        <f>IFERROR(VLOOKUP($C119,'C Fittings'!E82:O2469,11,0),0)</f>
        <v>398</v>
      </c>
      <c r="H119" s="27"/>
      <c r="I119" s="27"/>
      <c r="J119" s="27"/>
      <c r="K119" s="27"/>
      <c r="L119" s="27"/>
      <c r="M119" s="27"/>
      <c r="N119" s="27"/>
      <c r="O119" s="27"/>
    </row>
    <row r="120">
      <c r="A120" s="32">
        <f t="shared" si="1"/>
        <v>119</v>
      </c>
      <c r="B120" s="9" t="s">
        <v>179</v>
      </c>
      <c r="C120" s="11" t="s">
        <v>385</v>
      </c>
      <c r="D120" s="12" t="s">
        <v>422</v>
      </c>
      <c r="E120" s="18">
        <f>VLOOKUP(C120,'C Fittings'!$E$5:$I2469,5,0)</f>
        <v>0.288</v>
      </c>
      <c r="F120" s="27">
        <f>VLOOKUP(C120,'C Fittings'!E$5:$F2469,2,0)</f>
        <v>588</v>
      </c>
      <c r="G120" s="27">
        <f>IFERROR(VLOOKUP($C120,'C Fittings'!E83:O2469,11,0),0)</f>
        <v>588</v>
      </c>
      <c r="H120" s="27"/>
      <c r="I120" s="27"/>
      <c r="J120" s="27"/>
      <c r="K120" s="27"/>
      <c r="L120" s="27"/>
      <c r="M120" s="27"/>
      <c r="N120" s="27"/>
      <c r="O120" s="27"/>
    </row>
    <row r="121">
      <c r="A121" s="32">
        <f t="shared" si="1"/>
        <v>120</v>
      </c>
      <c r="B121" s="9" t="s">
        <v>179</v>
      </c>
      <c r="C121" s="11" t="s">
        <v>388</v>
      </c>
      <c r="D121" s="12" t="s">
        <v>426</v>
      </c>
      <c r="E121" s="18">
        <f>VLOOKUP(C121,'C Fittings'!$E$5:$I2469,5,0)</f>
        <v>0.505</v>
      </c>
      <c r="F121" s="27">
        <f>VLOOKUP(C121,'C Fittings'!E$5:$F2469,2,0)</f>
        <v>968</v>
      </c>
      <c r="G121" s="27">
        <f>IFERROR(VLOOKUP($C121,'C Fittings'!E84:O2469,11,0),0)</f>
        <v>968</v>
      </c>
      <c r="H121" s="27"/>
      <c r="I121" s="27"/>
      <c r="J121" s="27"/>
      <c r="K121" s="27"/>
      <c r="L121" s="27"/>
      <c r="M121" s="27"/>
      <c r="N121" s="27"/>
      <c r="O121" s="27"/>
    </row>
    <row r="122">
      <c r="A122" s="32">
        <f t="shared" si="1"/>
        <v>121</v>
      </c>
      <c r="B122" s="9" t="s">
        <v>179</v>
      </c>
      <c r="C122" s="11" t="s">
        <v>394</v>
      </c>
      <c r="D122" s="12" t="s">
        <v>431</v>
      </c>
      <c r="E122" s="18">
        <f>VLOOKUP(C122,'C Fittings'!$E$5:$I2469,5,0)</f>
        <v>0.012</v>
      </c>
      <c r="F122" s="27">
        <f>VLOOKUP(C122,'C Fittings'!E$5:$F2469,2,0)</f>
        <v>19.4</v>
      </c>
      <c r="G122" s="27">
        <f>IFERROR(VLOOKUP($C122,'C Fittings'!E85:O2469,11,0),0)</f>
        <v>19.4</v>
      </c>
      <c r="H122" s="27"/>
      <c r="I122" s="27"/>
      <c r="J122" s="27"/>
      <c r="K122" s="27"/>
      <c r="L122" s="27"/>
      <c r="M122" s="27"/>
      <c r="N122" s="27"/>
      <c r="O122" s="27"/>
    </row>
    <row r="123">
      <c r="A123" s="32">
        <f t="shared" si="1"/>
        <v>122</v>
      </c>
      <c r="B123" s="9" t="s">
        <v>179</v>
      </c>
      <c r="C123" s="11" t="s">
        <v>403</v>
      </c>
      <c r="D123" s="12" t="s">
        <v>433</v>
      </c>
      <c r="E123" s="18">
        <f>VLOOKUP(C123,'C Fittings'!$E$5:$I2469,5,0)</f>
        <v>0.02365</v>
      </c>
      <c r="F123" s="27">
        <f>VLOOKUP(C123,'C Fittings'!E$5:$F2469,2,0)</f>
        <v>48.4</v>
      </c>
      <c r="G123" s="27">
        <f>IFERROR(VLOOKUP($C123,'C Fittings'!E86:O2469,11,0),0)</f>
        <v>48.4</v>
      </c>
      <c r="H123" s="27"/>
      <c r="I123" s="27"/>
      <c r="J123" s="27"/>
      <c r="K123" s="27"/>
      <c r="L123" s="27"/>
      <c r="M123" s="27"/>
      <c r="N123" s="27"/>
      <c r="O123" s="27"/>
    </row>
    <row r="124">
      <c r="A124" s="32">
        <f t="shared" si="1"/>
        <v>123</v>
      </c>
      <c r="B124" s="9" t="s">
        <v>179</v>
      </c>
      <c r="C124" s="11" t="s">
        <v>407</v>
      </c>
      <c r="D124" s="12" t="s">
        <v>436</v>
      </c>
      <c r="E124" s="18">
        <f>VLOOKUP(C124,'C Fittings'!$E$5:$I2469,5,0)</f>
        <v>0.02475</v>
      </c>
      <c r="F124" s="27">
        <f>VLOOKUP(C124,'C Fittings'!E$5:$F2469,2,0)</f>
        <v>38.4</v>
      </c>
      <c r="G124" s="27">
        <f>IFERROR(VLOOKUP($C124,'C Fittings'!E87:O2469,11,0),0)</f>
        <v>38.4</v>
      </c>
      <c r="H124" s="27"/>
      <c r="I124" s="27"/>
      <c r="J124" s="27"/>
      <c r="K124" s="27"/>
      <c r="L124" s="27"/>
      <c r="M124" s="27"/>
      <c r="N124" s="27"/>
      <c r="O124" s="27"/>
    </row>
    <row r="125">
      <c r="A125" s="32">
        <f t="shared" si="1"/>
        <v>124</v>
      </c>
      <c r="B125" s="9" t="s">
        <v>179</v>
      </c>
      <c r="C125" s="11" t="s">
        <v>412</v>
      </c>
      <c r="D125" s="12" t="s">
        <v>438</v>
      </c>
      <c r="E125" s="18">
        <f>VLOOKUP(C125,'C Fittings'!$E$5:$I2469,5,0)</f>
        <v>0.0177</v>
      </c>
      <c r="F125" s="27">
        <f>VLOOKUP(C125,'C Fittings'!E$5:$F2469,2,0)</f>
        <v>34.4</v>
      </c>
      <c r="G125" s="27">
        <f>IFERROR(VLOOKUP($C125,'C Fittings'!E88:O2469,11,0),0)</f>
        <v>34.4</v>
      </c>
      <c r="H125" s="27"/>
      <c r="I125" s="27"/>
      <c r="J125" s="27"/>
      <c r="K125" s="27"/>
      <c r="L125" s="27"/>
      <c r="M125" s="27"/>
      <c r="N125" s="27"/>
      <c r="O125" s="27"/>
    </row>
    <row r="126">
      <c r="A126" s="32">
        <f t="shared" si="1"/>
        <v>125</v>
      </c>
      <c r="B126" s="9" t="s">
        <v>179</v>
      </c>
      <c r="C126" s="11" t="s">
        <v>416</v>
      </c>
      <c r="D126" s="12" t="s">
        <v>442</v>
      </c>
      <c r="E126" s="18">
        <f>VLOOKUP(C126,'C Fittings'!$E$5:$I2469,5,0)</f>
        <v>0.0345</v>
      </c>
      <c r="F126" s="27">
        <f>VLOOKUP(C126,'C Fittings'!E$5:$F2469,2,0)</f>
        <v>79.4</v>
      </c>
      <c r="G126" s="27">
        <f>IFERROR(VLOOKUP($C126,'C Fittings'!E89:O2469,11,0),0)</f>
        <v>79.4</v>
      </c>
      <c r="H126" s="27"/>
      <c r="I126" s="27"/>
      <c r="J126" s="27"/>
      <c r="K126" s="27"/>
      <c r="L126" s="27"/>
      <c r="M126" s="27"/>
      <c r="N126" s="27"/>
      <c r="O126" s="27"/>
    </row>
    <row r="127">
      <c r="A127" s="32">
        <f t="shared" si="1"/>
        <v>126</v>
      </c>
      <c r="B127" s="9" t="s">
        <v>179</v>
      </c>
      <c r="C127" s="11" t="s">
        <v>421</v>
      </c>
      <c r="D127" s="12" t="s">
        <v>450</v>
      </c>
      <c r="E127" s="18">
        <f>VLOOKUP(C127,'C Fittings'!$E$5:$I2469,5,0)</f>
        <v>0.03675</v>
      </c>
      <c r="F127" s="27">
        <f>VLOOKUP(C127,'C Fittings'!E$5:$F2469,2,0)</f>
        <v>59.2</v>
      </c>
      <c r="G127" s="27">
        <f>IFERROR(VLOOKUP($C127,'C Fittings'!E90:O2469,11,0),0)</f>
        <v>59.2</v>
      </c>
      <c r="H127" s="27"/>
      <c r="I127" s="27"/>
      <c r="J127" s="27"/>
      <c r="K127" s="27"/>
      <c r="L127" s="27"/>
      <c r="M127" s="27"/>
      <c r="N127" s="27"/>
      <c r="O127" s="27"/>
    </row>
    <row r="128">
      <c r="A128" s="32">
        <f t="shared" si="1"/>
        <v>127</v>
      </c>
      <c r="B128" s="9" t="s">
        <v>179</v>
      </c>
      <c r="C128" s="11" t="s">
        <v>423</v>
      </c>
      <c r="D128" s="12" t="s">
        <v>454</v>
      </c>
      <c r="E128" s="18">
        <f>VLOOKUP(C128,'C Fittings'!$E$5:$I2469,5,0)</f>
        <v>0.036</v>
      </c>
      <c r="F128" s="27">
        <f>VLOOKUP(C128,'C Fittings'!E$5:$F2469,2,0)</f>
        <v>59.4</v>
      </c>
      <c r="G128" s="27">
        <f>IFERROR(VLOOKUP($C128,'C Fittings'!E91:O2469,11,0),0)</f>
        <v>59.4</v>
      </c>
      <c r="H128" s="27"/>
      <c r="I128" s="27"/>
      <c r="J128" s="27"/>
      <c r="K128" s="27"/>
      <c r="L128" s="27"/>
      <c r="M128" s="27"/>
      <c r="N128" s="27"/>
      <c r="O128" s="27"/>
    </row>
    <row r="129">
      <c r="A129" s="32">
        <f t="shared" si="1"/>
        <v>128</v>
      </c>
      <c r="B129" s="9" t="s">
        <v>179</v>
      </c>
      <c r="C129" s="11" t="s">
        <v>424</v>
      </c>
      <c r="D129" s="12" t="s">
        <v>464</v>
      </c>
      <c r="E129" s="18">
        <f>VLOOKUP(C129,'C Fittings'!$E$5:$I2469,5,0)</f>
        <v>0.02425</v>
      </c>
      <c r="F129" s="27">
        <f>VLOOKUP(C129,'C Fittings'!E$5:$F2469,2,0)</f>
        <v>44.4</v>
      </c>
      <c r="G129" s="27">
        <f>IFERROR(VLOOKUP($C129,'C Fittings'!E92:O2469,11,0),0)</f>
        <v>44.4</v>
      </c>
      <c r="H129" s="27"/>
      <c r="I129" s="27"/>
      <c r="J129" s="27"/>
      <c r="K129" s="27"/>
      <c r="L129" s="27"/>
      <c r="M129" s="27"/>
      <c r="N129" s="27"/>
      <c r="O129" s="27"/>
    </row>
    <row r="130">
      <c r="A130" s="32">
        <f t="shared" si="1"/>
        <v>129</v>
      </c>
      <c r="B130" s="9" t="s">
        <v>179</v>
      </c>
      <c r="C130" s="11" t="s">
        <v>427</v>
      </c>
      <c r="D130" s="12" t="s">
        <v>474</v>
      </c>
      <c r="E130" s="18">
        <f>VLOOKUP(C130,'C Fittings'!$E$5:$I2469,5,0)</f>
        <v>0.0765</v>
      </c>
      <c r="F130" s="27">
        <f>VLOOKUP(C130,'C Fittings'!E$5:$F2469,2,0)</f>
        <v>118</v>
      </c>
      <c r="G130" s="27">
        <f>IFERROR(VLOOKUP($C130,'C Fittings'!E93:O2469,11,0),0)</f>
        <v>118</v>
      </c>
      <c r="H130" s="27"/>
      <c r="I130" s="27"/>
      <c r="J130" s="27"/>
      <c r="K130" s="27"/>
      <c r="L130" s="27"/>
      <c r="M130" s="27"/>
      <c r="N130" s="27"/>
      <c r="O130" s="27"/>
    </row>
    <row r="131">
      <c r="A131" s="32">
        <f t="shared" si="1"/>
        <v>130</v>
      </c>
      <c r="B131" s="9" t="s">
        <v>179</v>
      </c>
      <c r="C131" s="11" t="s">
        <v>432</v>
      </c>
      <c r="D131" s="12" t="s">
        <v>483</v>
      </c>
      <c r="E131" s="18">
        <f>VLOOKUP(C131,'C Fittings'!$E$5:$I2469,5,0)</f>
        <v>0.0795</v>
      </c>
      <c r="F131" s="27">
        <f>VLOOKUP(C131,'C Fittings'!E$5:$F2469,2,0)</f>
        <v>118</v>
      </c>
      <c r="G131" s="27">
        <f>IFERROR(VLOOKUP($C131,'C Fittings'!E94:O2469,11,0),0)</f>
        <v>118</v>
      </c>
      <c r="H131" s="27"/>
      <c r="I131" s="27"/>
      <c r="J131" s="27"/>
      <c r="K131" s="27"/>
      <c r="L131" s="27"/>
      <c r="M131" s="27"/>
      <c r="N131" s="27"/>
      <c r="O131" s="27"/>
    </row>
    <row r="132">
      <c r="A132" s="32">
        <f t="shared" si="1"/>
        <v>131</v>
      </c>
      <c r="B132" s="9" t="s">
        <v>179</v>
      </c>
      <c r="C132" s="11" t="s">
        <v>434</v>
      </c>
      <c r="D132" s="12" t="s">
        <v>494</v>
      </c>
      <c r="E132" s="18">
        <f>VLOOKUP(C132,'C Fittings'!$E$5:$I2469,5,0)</f>
        <v>0.0775</v>
      </c>
      <c r="F132" s="27">
        <f>VLOOKUP(C132,'C Fittings'!E$5:$F2469,2,0)</f>
        <v>128</v>
      </c>
      <c r="G132" s="27">
        <f>IFERROR(VLOOKUP($C132,'C Fittings'!E95:O2469,11,0),0)</f>
        <v>128</v>
      </c>
      <c r="H132" s="27"/>
      <c r="I132" s="27"/>
      <c r="J132" s="27"/>
      <c r="K132" s="27"/>
      <c r="L132" s="27"/>
      <c r="M132" s="27"/>
      <c r="N132" s="27"/>
      <c r="O132" s="27"/>
    </row>
    <row r="133">
      <c r="A133" s="32">
        <f t="shared" si="1"/>
        <v>132</v>
      </c>
      <c r="B133" s="9" t="s">
        <v>179</v>
      </c>
      <c r="C133" s="11" t="s">
        <v>435</v>
      </c>
      <c r="D133" s="12" t="s">
        <v>505</v>
      </c>
      <c r="E133" s="18">
        <f>VLOOKUP(C133,'C Fittings'!$E$5:$I2469,5,0)</f>
        <v>0.067</v>
      </c>
      <c r="F133" s="27">
        <f>VLOOKUP(C133,'C Fittings'!E$5:$F2469,2,0)</f>
        <v>106</v>
      </c>
      <c r="G133" s="27">
        <f>IFERROR(VLOOKUP($C133,'C Fittings'!E96:O2469,11,0),0)</f>
        <v>106</v>
      </c>
      <c r="H133" s="27"/>
      <c r="I133" s="27"/>
      <c r="J133" s="27"/>
      <c r="K133" s="27"/>
      <c r="L133" s="27"/>
      <c r="M133" s="27"/>
      <c r="N133" s="27"/>
      <c r="O133" s="27"/>
    </row>
    <row r="134">
      <c r="A134" s="32">
        <f t="shared" si="1"/>
        <v>133</v>
      </c>
      <c r="B134" s="9" t="s">
        <v>179</v>
      </c>
      <c r="C134" s="11" t="s">
        <v>449</v>
      </c>
      <c r="D134" s="12" t="s">
        <v>517</v>
      </c>
      <c r="E134" s="18">
        <f>VLOOKUP(C134,'C Fittings'!$E$5:$I2469,5,0)</f>
        <v>0.1785</v>
      </c>
      <c r="F134" s="27">
        <f>VLOOKUP(C134,'C Fittings'!E$5:$F2469,2,0)</f>
        <v>348</v>
      </c>
      <c r="G134" s="27">
        <f>IFERROR(VLOOKUP($C134,'C Fittings'!E97:O2469,11,0),0)</f>
        <v>348</v>
      </c>
      <c r="H134" s="27"/>
      <c r="I134" s="27"/>
      <c r="J134" s="27"/>
      <c r="K134" s="27"/>
      <c r="L134" s="27"/>
      <c r="M134" s="27"/>
      <c r="N134" s="27"/>
      <c r="O134" s="27"/>
    </row>
    <row r="135">
      <c r="A135" s="32">
        <f t="shared" si="1"/>
        <v>134</v>
      </c>
      <c r="B135" s="9" t="s">
        <v>179</v>
      </c>
      <c r="C135" s="11" t="s">
        <v>457</v>
      </c>
      <c r="D135" s="12" t="s">
        <v>526</v>
      </c>
      <c r="E135" s="18">
        <f>VLOOKUP(C135,'C Fittings'!$E$5:$I2469,5,0)</f>
        <v>0.161</v>
      </c>
      <c r="F135" s="27">
        <f>VLOOKUP(C135,'C Fittings'!E$5:$F2469,2,0)</f>
        <v>348</v>
      </c>
      <c r="G135" s="27">
        <f>IFERROR(VLOOKUP($C135,'C Fittings'!E98:O2469,11,0),0)</f>
        <v>348</v>
      </c>
      <c r="H135" s="27"/>
      <c r="I135" s="27"/>
      <c r="J135" s="27"/>
      <c r="K135" s="27"/>
      <c r="L135" s="27"/>
      <c r="M135" s="27"/>
      <c r="N135" s="27"/>
      <c r="O135" s="27"/>
    </row>
    <row r="136">
      <c r="A136" s="32">
        <f t="shared" si="1"/>
        <v>135</v>
      </c>
      <c r="B136" s="9" t="s">
        <v>179</v>
      </c>
      <c r="C136" s="11" t="s">
        <v>463</v>
      </c>
      <c r="D136" s="12" t="s">
        <v>543</v>
      </c>
      <c r="E136" s="18">
        <f>VLOOKUP(C136,'C Fittings'!$E$5:$I2469,5,0)</f>
        <v>0.335</v>
      </c>
      <c r="F136" s="27">
        <f>VLOOKUP(C136,'C Fittings'!E$5:$F2469,2,0)</f>
        <v>698</v>
      </c>
      <c r="G136" s="27">
        <f>IFERROR(VLOOKUP($C136,'C Fittings'!E99:O2469,11,0),0)</f>
        <v>698</v>
      </c>
      <c r="H136" s="27"/>
      <c r="I136" s="27"/>
      <c r="J136" s="27"/>
      <c r="K136" s="27"/>
      <c r="L136" s="27"/>
      <c r="M136" s="27"/>
      <c r="N136" s="27"/>
      <c r="O136" s="27"/>
    </row>
    <row r="137">
      <c r="A137" s="32">
        <f t="shared" si="1"/>
        <v>136</v>
      </c>
      <c r="B137" s="9" t="s">
        <v>179</v>
      </c>
      <c r="C137" s="11" t="s">
        <v>471</v>
      </c>
      <c r="D137" s="12" t="s">
        <v>577</v>
      </c>
      <c r="E137" s="18">
        <f>VLOOKUP(C137,'C Fittings'!$E$5:$I2469,5,0)</f>
        <v>0.239</v>
      </c>
      <c r="F137" s="27">
        <f>VLOOKUP(C137,'C Fittings'!E$5:$F2469,2,0)</f>
        <v>528</v>
      </c>
      <c r="G137" s="27">
        <f>IFERROR(VLOOKUP($C137,'C Fittings'!E100:O2469,11,0),0)</f>
        <v>528</v>
      </c>
      <c r="H137" s="27"/>
      <c r="I137" s="27"/>
      <c r="J137" s="27"/>
      <c r="K137" s="27"/>
      <c r="L137" s="27"/>
      <c r="M137" s="27"/>
      <c r="N137" s="27"/>
      <c r="O137" s="27"/>
    </row>
    <row r="138">
      <c r="A138" s="32">
        <f t="shared" si="1"/>
        <v>137</v>
      </c>
      <c r="B138" s="9" t="s">
        <v>179</v>
      </c>
      <c r="C138" s="11" t="s">
        <v>478</v>
      </c>
      <c r="D138" s="12" t="s">
        <v>580</v>
      </c>
      <c r="E138" s="18">
        <f>VLOOKUP(C138,'C Fittings'!$E$5:$I2469,5,0)</f>
        <v>0.4995</v>
      </c>
      <c r="F138" s="27">
        <f>VLOOKUP(C138,'C Fittings'!E$5:$F2469,2,0)</f>
        <v>1180</v>
      </c>
      <c r="G138" s="27">
        <f>IFERROR(VLOOKUP($C138,'C Fittings'!E101:O2469,11,0),0)</f>
        <v>1180</v>
      </c>
      <c r="H138" s="27"/>
      <c r="I138" s="27"/>
      <c r="J138" s="27"/>
      <c r="K138" s="27"/>
      <c r="L138" s="27"/>
      <c r="M138" s="27"/>
      <c r="N138" s="27"/>
      <c r="O138" s="27"/>
    </row>
    <row r="139">
      <c r="A139" s="32">
        <f t="shared" si="1"/>
        <v>138</v>
      </c>
      <c r="B139" s="9" t="s">
        <v>179</v>
      </c>
      <c r="C139" s="11" t="s">
        <v>484</v>
      </c>
      <c r="D139" s="12" t="s">
        <v>582</v>
      </c>
      <c r="E139" s="18">
        <f>VLOOKUP(C139,'C Fittings'!$E$5:$I2469,5,0)</f>
        <v>0.423</v>
      </c>
      <c r="F139" s="27">
        <f>VLOOKUP(C139,'C Fittings'!E$5:$F2469,2,0)</f>
        <v>936</v>
      </c>
      <c r="G139" s="27">
        <f>IFERROR(VLOOKUP($C139,'C Fittings'!E102:O2469,11,0),0)</f>
        <v>936</v>
      </c>
      <c r="H139" s="27"/>
      <c r="I139" s="27"/>
      <c r="J139" s="27"/>
      <c r="K139" s="27"/>
      <c r="L139" s="27"/>
      <c r="M139" s="27"/>
      <c r="N139" s="27"/>
      <c r="O139" s="27"/>
    </row>
    <row r="140">
      <c r="A140" s="32">
        <f t="shared" si="1"/>
        <v>139</v>
      </c>
      <c r="B140" s="9" t="s">
        <v>179</v>
      </c>
      <c r="C140" s="11" t="s">
        <v>492</v>
      </c>
      <c r="D140" s="12" t="s">
        <v>585</v>
      </c>
      <c r="E140" s="18">
        <f>VLOOKUP(C140,'C Fittings'!$E$5:$I2469,5,0)</f>
        <v>0.574</v>
      </c>
      <c r="F140" s="27">
        <f>VLOOKUP(C140,'C Fittings'!E$5:$F2469,2,0)</f>
        <v>980</v>
      </c>
      <c r="G140" s="27">
        <f>IFERROR(VLOOKUP($C140,'C Fittings'!E103:O2469,11,0),0)</f>
        <v>980</v>
      </c>
      <c r="H140" s="27"/>
      <c r="I140" s="27"/>
      <c r="J140" s="27"/>
      <c r="K140" s="27"/>
      <c r="L140" s="27"/>
      <c r="M140" s="27"/>
      <c r="N140" s="27"/>
      <c r="O140" s="27"/>
    </row>
    <row r="141">
      <c r="A141" s="32">
        <f t="shared" si="1"/>
        <v>140</v>
      </c>
      <c r="B141" s="9" t="s">
        <v>179</v>
      </c>
      <c r="C141" s="11" t="s">
        <v>524</v>
      </c>
      <c r="D141" s="12" t="s">
        <v>587</v>
      </c>
      <c r="E141" s="18">
        <f>VLOOKUP(C141,'C Fittings'!$E$5:$I2469,5,0)</f>
        <v>0.0157</v>
      </c>
      <c r="F141" s="27">
        <f>VLOOKUP(C141,'C Fittings'!E$5:$F2469,2,0)</f>
        <v>32.3</v>
      </c>
      <c r="G141" s="27">
        <f>IFERROR(VLOOKUP($C141,'C Fittings'!E104:O2469,11,0),0)</f>
        <v>32.3</v>
      </c>
      <c r="H141" s="27"/>
      <c r="I141" s="27"/>
      <c r="J141" s="27"/>
      <c r="K141" s="27"/>
      <c r="L141" s="27"/>
      <c r="M141" s="27"/>
      <c r="N141" s="27"/>
      <c r="O141" s="27"/>
    </row>
    <row r="142">
      <c r="A142" s="32">
        <f t="shared" si="1"/>
        <v>141</v>
      </c>
      <c r="B142" s="9" t="s">
        <v>179</v>
      </c>
      <c r="C142" s="11" t="s">
        <v>578</v>
      </c>
      <c r="D142" s="12" t="s">
        <v>590</v>
      </c>
      <c r="E142" s="18">
        <f>VLOOKUP(C142,'C Fittings'!$E$5:$I2469,5,0)</f>
        <v>0.01572</v>
      </c>
      <c r="F142" s="27">
        <f>VLOOKUP(C142,'C Fittings'!E$5:$F2469,2,0)</f>
        <v>23.6</v>
      </c>
      <c r="G142" s="27">
        <f>IFERROR(VLOOKUP($C142,'C Fittings'!E105:O2469,11,0),0)</f>
        <v>23.6</v>
      </c>
      <c r="H142" s="27"/>
      <c r="I142" s="27"/>
      <c r="J142" s="27"/>
      <c r="K142" s="27"/>
      <c r="L142" s="27"/>
      <c r="M142" s="27"/>
      <c r="N142" s="27"/>
      <c r="O142" s="27"/>
    </row>
    <row r="143">
      <c r="A143" s="32">
        <f t="shared" si="1"/>
        <v>142</v>
      </c>
      <c r="B143" s="9" t="s">
        <v>179</v>
      </c>
      <c r="C143" s="11" t="s">
        <v>579</v>
      </c>
      <c r="D143" s="12" t="s">
        <v>592</v>
      </c>
      <c r="E143" s="18">
        <f>VLOOKUP(C143,'C Fittings'!$E$5:$I2469,5,0)</f>
        <v>0.022625</v>
      </c>
      <c r="F143" s="27">
        <f>VLOOKUP(C143,'C Fittings'!E$5:$F2469,2,0)</f>
        <v>36.5</v>
      </c>
      <c r="G143" s="27">
        <f>IFERROR(VLOOKUP($C143,'C Fittings'!E106:O2469,11,0),0)</f>
        <v>36.5</v>
      </c>
      <c r="H143" s="27"/>
      <c r="I143" s="27"/>
      <c r="J143" s="27"/>
      <c r="K143" s="27"/>
      <c r="L143" s="27"/>
      <c r="M143" s="27"/>
      <c r="N143" s="27"/>
      <c r="O143" s="27"/>
    </row>
    <row r="144">
      <c r="A144" s="32">
        <f t="shared" si="1"/>
        <v>143</v>
      </c>
      <c r="B144" s="9" t="s">
        <v>179</v>
      </c>
      <c r="C144" s="11" t="s">
        <v>581</v>
      </c>
      <c r="D144" s="12" t="s">
        <v>601</v>
      </c>
      <c r="E144" s="18">
        <f>VLOOKUP(C144,'C Fittings'!$E$5:$I2469,5,0)</f>
        <v>0.0371</v>
      </c>
      <c r="F144" s="27">
        <f>VLOOKUP(C144,'C Fittings'!E$5:$F2469,2,0)</f>
        <v>54.2</v>
      </c>
      <c r="G144" s="27">
        <f>IFERROR(VLOOKUP($C144,'C Fittings'!E107:O2469,11,0),0)</f>
        <v>54.2</v>
      </c>
      <c r="H144" s="27"/>
      <c r="I144" s="27"/>
      <c r="J144" s="27"/>
      <c r="K144" s="27"/>
      <c r="L144" s="27"/>
      <c r="M144" s="27"/>
      <c r="N144" s="27"/>
      <c r="O144" s="27"/>
    </row>
    <row r="145">
      <c r="A145" s="32">
        <f t="shared" si="1"/>
        <v>144</v>
      </c>
      <c r="B145" s="9" t="s">
        <v>179</v>
      </c>
      <c r="C145" s="11" t="s">
        <v>583</v>
      </c>
      <c r="D145" s="12" t="s">
        <v>606</v>
      </c>
      <c r="E145" s="18">
        <f>VLOOKUP(C145,'C Fittings'!$E$5:$I2469,5,0)</f>
        <v>0.05675</v>
      </c>
      <c r="F145" s="27">
        <f>VLOOKUP(C145,'C Fittings'!E$5:$F2469,2,0)</f>
        <v>91.6</v>
      </c>
      <c r="G145" s="27">
        <f>IFERROR(VLOOKUP($C145,'C Fittings'!E108:O2469,11,0),0)</f>
        <v>91.6</v>
      </c>
      <c r="H145" s="27"/>
      <c r="I145" s="27"/>
      <c r="J145" s="27"/>
      <c r="K145" s="27"/>
      <c r="L145" s="27"/>
      <c r="M145" s="27"/>
      <c r="N145" s="27"/>
      <c r="O145" s="27"/>
    </row>
    <row r="146">
      <c r="A146" s="32">
        <f t="shared" si="1"/>
        <v>145</v>
      </c>
      <c r="B146" s="9" t="s">
        <v>179</v>
      </c>
      <c r="C146" s="11" t="s">
        <v>584</v>
      </c>
      <c r="D146" s="12" t="s">
        <v>613</v>
      </c>
      <c r="E146" s="18">
        <f>VLOOKUP(C146,'C Fittings'!$E$5:$I2469,5,0)</f>
        <v>0.1092</v>
      </c>
      <c r="F146" s="27">
        <f>VLOOKUP(C146,'C Fittings'!E$5:$F2469,2,0)</f>
        <v>169</v>
      </c>
      <c r="G146" s="27">
        <f>IFERROR(VLOOKUP($C146,'C Fittings'!E109:O2469,11,0),0)</f>
        <v>169</v>
      </c>
      <c r="H146" s="27"/>
      <c r="I146" s="27"/>
      <c r="J146" s="27"/>
      <c r="K146" s="27"/>
      <c r="L146" s="27"/>
      <c r="M146" s="27"/>
      <c r="N146" s="27"/>
      <c r="O146" s="27"/>
    </row>
    <row r="147">
      <c r="A147" s="32">
        <f t="shared" si="1"/>
        <v>146</v>
      </c>
      <c r="B147" s="9" t="s">
        <v>179</v>
      </c>
      <c r="C147" s="11" t="s">
        <v>586</v>
      </c>
      <c r="D147" s="12" t="s">
        <v>625</v>
      </c>
      <c r="E147" s="18">
        <f>VLOOKUP(C147,'C Fittings'!$E$5:$I2469,5,0)</f>
        <v>0.024</v>
      </c>
      <c r="F147" s="27">
        <f>VLOOKUP(C147,'C Fittings'!E$5:$F2469,2,0)</f>
        <v>56.8</v>
      </c>
      <c r="G147" s="27">
        <f>IFERROR(VLOOKUP($C147,'C Fittings'!E110:O2469,11,0),0)</f>
        <v>56.8</v>
      </c>
      <c r="H147" s="27"/>
      <c r="I147" s="27"/>
      <c r="J147" s="27"/>
      <c r="K147" s="27"/>
      <c r="L147" s="27"/>
      <c r="M147" s="27"/>
      <c r="N147" s="27"/>
      <c r="O147" s="27"/>
    </row>
    <row r="148">
      <c r="A148" s="32">
        <f t="shared" si="1"/>
        <v>147</v>
      </c>
      <c r="B148" s="9" t="s">
        <v>179</v>
      </c>
      <c r="C148" s="11" t="s">
        <v>588</v>
      </c>
      <c r="D148" s="12" t="s">
        <v>640</v>
      </c>
      <c r="E148" s="18">
        <f>VLOOKUP(C148,'C Fittings'!$E$5:$I2469,5,0)</f>
        <v>0.024</v>
      </c>
      <c r="F148" s="27">
        <f>VLOOKUP(C148,'C Fittings'!E$5:$F2469,2,0)</f>
        <v>41.8</v>
      </c>
      <c r="G148" s="27">
        <f>IFERROR(VLOOKUP($C148,'C Fittings'!E111:O2469,11,0),0)</f>
        <v>41.8</v>
      </c>
      <c r="H148" s="27"/>
      <c r="I148" s="27"/>
      <c r="J148" s="27"/>
      <c r="K148" s="27"/>
      <c r="L148" s="27"/>
      <c r="M148" s="27"/>
      <c r="N148" s="27"/>
      <c r="O148" s="27"/>
    </row>
    <row r="149">
      <c r="A149" s="32">
        <f t="shared" si="1"/>
        <v>148</v>
      </c>
      <c r="B149" s="9" t="s">
        <v>179</v>
      </c>
      <c r="C149" s="11" t="s">
        <v>604</v>
      </c>
      <c r="D149" s="12" t="s">
        <v>652</v>
      </c>
      <c r="E149" s="18">
        <f>VLOOKUP(C149,'C Fittings'!$E$5:$I2469,5,0)</f>
        <v>0.2145</v>
      </c>
      <c r="F149" s="27">
        <f>VLOOKUP(C149,'C Fittings'!E$5:$F2469,2,0)</f>
        <v>414.2</v>
      </c>
      <c r="G149" s="27">
        <f>IFERROR(VLOOKUP($C149,'C Fittings'!E112:O2469,11,0),0)</f>
        <v>414.2</v>
      </c>
      <c r="H149" s="27"/>
      <c r="I149" s="27"/>
      <c r="J149" s="27"/>
      <c r="K149" s="27"/>
      <c r="L149" s="27"/>
      <c r="M149" s="27"/>
      <c r="N149" s="27"/>
      <c r="O149" s="27"/>
    </row>
    <row r="150">
      <c r="A150" s="32">
        <f t="shared" si="1"/>
        <v>149</v>
      </c>
      <c r="B150" s="9" t="s">
        <v>179</v>
      </c>
      <c r="C150" s="11" t="s">
        <v>611</v>
      </c>
      <c r="D150" s="12" t="s">
        <v>655</v>
      </c>
      <c r="E150" s="18">
        <f>VLOOKUP(C150,'C Fittings'!$E$5:$I2469,5,0)</f>
        <v>0.302</v>
      </c>
      <c r="F150" s="27">
        <f>VLOOKUP(C150,'C Fittings'!E$5:$F2469,2,0)</f>
        <v>568.1</v>
      </c>
      <c r="G150" s="27">
        <f>IFERROR(VLOOKUP($C150,'C Fittings'!E113:O2469,11,0),0)</f>
        <v>568.1</v>
      </c>
      <c r="H150" s="27"/>
      <c r="I150" s="27"/>
      <c r="J150" s="27"/>
      <c r="K150" s="27"/>
      <c r="L150" s="27"/>
      <c r="M150" s="27"/>
      <c r="N150" s="27"/>
      <c r="O150" s="27"/>
    </row>
    <row r="151">
      <c r="A151" s="32">
        <f t="shared" si="1"/>
        <v>150</v>
      </c>
      <c r="B151" s="9" t="s">
        <v>179</v>
      </c>
      <c r="C151" s="11" t="s">
        <v>617</v>
      </c>
      <c r="D151" s="12" t="s">
        <v>658</v>
      </c>
      <c r="E151" s="18">
        <f>VLOOKUP(C151,'C Fittings'!$E$5:$I2469,5,0)</f>
        <v>0.596</v>
      </c>
      <c r="F151" s="27">
        <f>VLOOKUP(C151,'C Fittings'!E$5:$F2469,2,0)</f>
        <v>1079.2</v>
      </c>
      <c r="G151" s="27">
        <f>IFERROR(VLOOKUP($C151,'C Fittings'!E114:O2469,11,0),0)</f>
        <v>1079.2</v>
      </c>
      <c r="H151" s="27"/>
      <c r="I151" s="27"/>
      <c r="J151" s="27"/>
      <c r="K151" s="27"/>
      <c r="L151" s="27"/>
      <c r="M151" s="27"/>
      <c r="N151" s="27"/>
      <c r="O151" s="27"/>
    </row>
    <row r="152">
      <c r="A152" s="32">
        <f t="shared" si="1"/>
        <v>151</v>
      </c>
      <c r="B152" s="9" t="s">
        <v>179</v>
      </c>
      <c r="C152" s="11" t="s">
        <v>651</v>
      </c>
      <c r="D152" s="12" t="s">
        <v>660</v>
      </c>
      <c r="E152" s="18">
        <f>VLOOKUP(C152,'C Fittings'!$E$5:$I2469,5,0)</f>
        <v>0.02095</v>
      </c>
      <c r="F152" s="27">
        <f>VLOOKUP(C152,'C Fittings'!E$5:$F2469,2,0)</f>
        <v>37.8</v>
      </c>
      <c r="G152" s="27">
        <f>IFERROR(VLOOKUP($C152,'C Fittings'!E115:O2469,11,0),0)</f>
        <v>37.8</v>
      </c>
      <c r="H152" s="27"/>
      <c r="I152" s="27"/>
      <c r="J152" s="27"/>
      <c r="K152" s="27"/>
      <c r="L152" s="27"/>
      <c r="M152" s="27"/>
      <c r="N152" s="27"/>
      <c r="O152" s="27"/>
    </row>
    <row r="153">
      <c r="A153" s="32">
        <f t="shared" si="1"/>
        <v>152</v>
      </c>
      <c r="B153" s="9" t="s">
        <v>179</v>
      </c>
      <c r="C153" s="11" t="s">
        <v>653</v>
      </c>
      <c r="D153" s="12" t="s">
        <v>663</v>
      </c>
      <c r="E153" s="18">
        <f>VLOOKUP(C153,'C Fittings'!$E$5:$I2469,5,0)</f>
        <v>0.035075</v>
      </c>
      <c r="F153" s="27">
        <f>VLOOKUP(C153,'C Fittings'!E$5:$F2469,2,0)</f>
        <v>51.8</v>
      </c>
      <c r="G153" s="27">
        <f>IFERROR(VLOOKUP($C153,'C Fittings'!E116:O2469,11,0),0)</f>
        <v>51.8</v>
      </c>
      <c r="H153" s="27"/>
      <c r="I153" s="27"/>
      <c r="J153" s="27"/>
      <c r="K153" s="27"/>
      <c r="L153" s="27"/>
      <c r="M153" s="27"/>
      <c r="N153" s="27"/>
      <c r="O153" s="27"/>
    </row>
    <row r="154">
      <c r="A154" s="32">
        <f t="shared" si="1"/>
        <v>153</v>
      </c>
      <c r="B154" s="9" t="s">
        <v>179</v>
      </c>
      <c r="C154" s="11" t="s">
        <v>656</v>
      </c>
      <c r="D154" s="12" t="s">
        <v>666</v>
      </c>
      <c r="E154" s="18">
        <f>VLOOKUP(C154,'C Fittings'!$E$5:$I2469,5,0)</f>
        <v>0.0185</v>
      </c>
      <c r="F154" s="27">
        <f>VLOOKUP(C154,'C Fittings'!E$5:$F2469,2,0)</f>
        <v>32.9</v>
      </c>
      <c r="G154" s="27">
        <f>IFERROR(VLOOKUP($C154,'C Fittings'!E117:O2469,11,0),0)</f>
        <v>32.9</v>
      </c>
      <c r="H154" s="27"/>
      <c r="I154" s="27"/>
      <c r="J154" s="27"/>
      <c r="K154" s="27"/>
      <c r="L154" s="27"/>
      <c r="M154" s="27"/>
      <c r="N154" s="27"/>
      <c r="O154" s="27"/>
    </row>
    <row r="155">
      <c r="A155" s="32">
        <f t="shared" si="1"/>
        <v>154</v>
      </c>
      <c r="B155" s="9" t="s">
        <v>179</v>
      </c>
      <c r="C155" s="11" t="s">
        <v>657</v>
      </c>
      <c r="D155" s="12" t="s">
        <v>669</v>
      </c>
      <c r="E155" s="18">
        <f>VLOOKUP(C155,'C Fittings'!$E$5:$I2469,5,0)</f>
        <v>0.032</v>
      </c>
      <c r="F155" s="27">
        <f>VLOOKUP(C155,'C Fittings'!E$5:$F2469,2,0)</f>
        <v>46.4</v>
      </c>
      <c r="G155" s="27">
        <f>IFERROR(VLOOKUP($C155,'C Fittings'!E118:O2469,11,0),0)</f>
        <v>46.4</v>
      </c>
      <c r="H155" s="27"/>
      <c r="I155" s="27"/>
      <c r="J155" s="27"/>
      <c r="K155" s="27"/>
      <c r="L155" s="27"/>
      <c r="M155" s="27"/>
      <c r="N155" s="27"/>
      <c r="O155" s="27"/>
    </row>
    <row r="156">
      <c r="A156" s="32">
        <f t="shared" si="1"/>
        <v>155</v>
      </c>
      <c r="B156" s="9" t="s">
        <v>179</v>
      </c>
      <c r="C156" s="11" t="s">
        <v>659</v>
      </c>
      <c r="D156" s="12" t="s">
        <v>672</v>
      </c>
      <c r="E156" s="18">
        <f>VLOOKUP(C156,'C Fittings'!$E$5:$I2469,5,0)</f>
        <v>0.0586</v>
      </c>
      <c r="F156" s="27">
        <f>VLOOKUP(C156,'C Fittings'!E$5:$F2469,2,0)</f>
        <v>109.8</v>
      </c>
      <c r="G156" s="27">
        <f>IFERROR(VLOOKUP($C156,'C Fittings'!E119:O2469,11,0),0)</f>
        <v>109.8</v>
      </c>
      <c r="H156" s="27"/>
      <c r="I156" s="27"/>
      <c r="J156" s="27"/>
      <c r="K156" s="27"/>
      <c r="L156" s="27"/>
      <c r="M156" s="27"/>
      <c r="N156" s="27"/>
      <c r="O156" s="27"/>
    </row>
    <row r="157">
      <c r="A157" s="32">
        <f t="shared" si="1"/>
        <v>156</v>
      </c>
      <c r="B157" s="9" t="s">
        <v>179</v>
      </c>
      <c r="C157" s="11" t="s">
        <v>661</v>
      </c>
      <c r="D157" s="12" t="s">
        <v>675</v>
      </c>
      <c r="E157" s="18">
        <f>VLOOKUP(C157,'C Fittings'!$E$5:$I2469,5,0)</f>
        <v>0.08425</v>
      </c>
      <c r="F157" s="27">
        <f>VLOOKUP(C157,'C Fittings'!E$5:$F2469,2,0)</f>
        <v>158</v>
      </c>
      <c r="G157" s="27">
        <f>IFERROR(VLOOKUP($C157,'C Fittings'!E120:O2469,11,0),0)</f>
        <v>158</v>
      </c>
      <c r="H157" s="27"/>
      <c r="I157" s="27"/>
      <c r="J157" s="27"/>
      <c r="K157" s="27"/>
      <c r="L157" s="27"/>
      <c r="M157" s="27"/>
      <c r="N157" s="27"/>
      <c r="O157" s="27"/>
    </row>
    <row r="158">
      <c r="A158" s="32">
        <f t="shared" si="1"/>
        <v>157</v>
      </c>
      <c r="B158" s="9" t="s">
        <v>179</v>
      </c>
      <c r="C158" s="11" t="s">
        <v>664</v>
      </c>
      <c r="D158" s="12" t="s">
        <v>682</v>
      </c>
      <c r="E158" s="18">
        <f>VLOOKUP(C158,'C Fittings'!$E$5:$I2469,5,0)</f>
        <v>0.148</v>
      </c>
      <c r="F158" s="27">
        <f>VLOOKUP(C158,'C Fittings'!E$5:$F2469,2,0)</f>
        <v>249</v>
      </c>
      <c r="G158" s="27">
        <f>IFERROR(VLOOKUP($C158,'C Fittings'!E121:O2469,11,0),0)</f>
        <v>249</v>
      </c>
      <c r="H158" s="27"/>
      <c r="I158" s="27"/>
      <c r="J158" s="27"/>
      <c r="K158" s="27"/>
      <c r="L158" s="27"/>
      <c r="M158" s="27"/>
      <c r="N158" s="27"/>
      <c r="O158" s="27"/>
    </row>
    <row r="159">
      <c r="A159" s="32">
        <f t="shared" si="1"/>
        <v>158</v>
      </c>
      <c r="B159" s="9" t="s">
        <v>179</v>
      </c>
      <c r="C159" s="11" t="s">
        <v>671</v>
      </c>
      <c r="D159" s="12" t="s">
        <v>689</v>
      </c>
      <c r="E159" s="18">
        <f>VLOOKUP(C159,'C Fittings'!$E$5:$I2469,5,0)</f>
        <v>0.207</v>
      </c>
      <c r="F159" s="27">
        <f>VLOOKUP(C159,'C Fittings'!E$5:$F2469,2,0)</f>
        <v>398</v>
      </c>
      <c r="G159" s="27">
        <f>IFERROR(VLOOKUP($C159,'C Fittings'!E122:O2469,11,0),0)</f>
        <v>398</v>
      </c>
      <c r="H159" s="27"/>
      <c r="I159" s="27"/>
      <c r="J159" s="27"/>
      <c r="K159" s="27"/>
      <c r="L159" s="27"/>
      <c r="M159" s="27"/>
      <c r="N159" s="27"/>
      <c r="O159" s="27"/>
    </row>
    <row r="160">
      <c r="A160" s="32">
        <f t="shared" si="1"/>
        <v>159</v>
      </c>
      <c r="B160" s="9" t="s">
        <v>179</v>
      </c>
      <c r="C160" s="11" t="s">
        <v>679</v>
      </c>
      <c r="D160" s="12" t="s">
        <v>698</v>
      </c>
      <c r="E160" s="18">
        <f>VLOOKUP(C160,'C Fittings'!$E$5:$I2469,5,0)</f>
        <v>0.35</v>
      </c>
      <c r="F160" s="27">
        <f>VLOOKUP(C160,'C Fittings'!E$5:$F2469,2,0)</f>
        <v>648</v>
      </c>
      <c r="G160" s="27">
        <f>IFERROR(VLOOKUP($C160,'C Fittings'!E123:O2469,11,0),0)</f>
        <v>648</v>
      </c>
      <c r="H160" s="27"/>
      <c r="I160" s="27"/>
      <c r="J160" s="27"/>
      <c r="K160" s="27"/>
      <c r="L160" s="27"/>
      <c r="M160" s="27"/>
      <c r="N160" s="27"/>
      <c r="O160" s="27"/>
    </row>
    <row r="161">
      <c r="A161" s="32">
        <f t="shared" si="1"/>
        <v>160</v>
      </c>
      <c r="B161" s="9" t="s">
        <v>179</v>
      </c>
      <c r="C161" s="11" t="s">
        <v>681</v>
      </c>
      <c r="D161" s="12" t="s">
        <v>704</v>
      </c>
      <c r="E161" s="18">
        <f>VLOOKUP(C161,'C Fittings'!$E$5:$I2469,5,0)</f>
        <v>0.598</v>
      </c>
      <c r="F161" s="27">
        <f>VLOOKUP(C161,'C Fittings'!E$5:$F2469,2,0)</f>
        <v>1090</v>
      </c>
      <c r="G161" s="27">
        <f>IFERROR(VLOOKUP($C161,'C Fittings'!E124:O2469,11,0),0)</f>
        <v>1090</v>
      </c>
      <c r="H161" s="27"/>
      <c r="I161" s="27"/>
      <c r="J161" s="27"/>
      <c r="K161" s="27"/>
      <c r="L161" s="27"/>
      <c r="M161" s="27"/>
      <c r="N161" s="27"/>
      <c r="O161" s="27"/>
    </row>
    <row r="162">
      <c r="A162" s="32">
        <f t="shared" si="1"/>
        <v>161</v>
      </c>
      <c r="B162" s="9" t="s">
        <v>179</v>
      </c>
      <c r="C162" s="11" t="s">
        <v>703</v>
      </c>
      <c r="D162" s="12" t="s">
        <v>706</v>
      </c>
      <c r="E162" s="18">
        <f>VLOOKUP(C162,'C Fittings'!$E$5:$I2469,5,0)</f>
        <v>0.042</v>
      </c>
      <c r="F162" s="27">
        <f>VLOOKUP(C162,'C Fittings'!E$5:$F2469,2,0)</f>
        <v>66</v>
      </c>
      <c r="G162" s="27">
        <f>IFERROR(VLOOKUP($C162,'C Fittings'!E125:O2469,11,0),0)</f>
        <v>66</v>
      </c>
      <c r="H162" s="27"/>
      <c r="I162" s="27"/>
      <c r="J162" s="27"/>
      <c r="K162" s="27"/>
      <c r="L162" s="27"/>
      <c r="M162" s="27"/>
      <c r="N162" s="27"/>
      <c r="O162" s="27"/>
    </row>
    <row r="163">
      <c r="A163" s="32">
        <f t="shared" si="1"/>
        <v>162</v>
      </c>
      <c r="B163" s="9" t="s">
        <v>179</v>
      </c>
      <c r="C163" s="11" t="s">
        <v>705</v>
      </c>
      <c r="D163" s="12" t="s">
        <v>710</v>
      </c>
      <c r="E163" s="18">
        <f>VLOOKUP(C163,'C Fittings'!$E$5:$I2469,5,0)</f>
        <v>0.055</v>
      </c>
      <c r="F163" s="27">
        <f>VLOOKUP(C163,'C Fittings'!E$5:$F2469,2,0)</f>
        <v>109</v>
      </c>
      <c r="G163" s="27">
        <f>IFERROR(VLOOKUP($C163,'C Fittings'!E126:O2469,11,0),0)</f>
        <v>109</v>
      </c>
      <c r="H163" s="27"/>
      <c r="I163" s="27"/>
      <c r="J163" s="27"/>
      <c r="K163" s="27"/>
      <c r="L163" s="27"/>
      <c r="M163" s="27"/>
      <c r="N163" s="27"/>
      <c r="O163" s="27"/>
    </row>
    <row r="164">
      <c r="A164" s="32">
        <f t="shared" si="1"/>
        <v>163</v>
      </c>
      <c r="B164" s="9" t="s">
        <v>179</v>
      </c>
      <c r="C164" s="214" t="s">
        <v>717</v>
      </c>
      <c r="D164" s="215" t="s">
        <v>715</v>
      </c>
      <c r="E164" s="18">
        <f>VLOOKUP(C164,'C Fittings'!$E$5:$I2469,5,0)</f>
        <v>0.252</v>
      </c>
      <c r="F164" s="27" t="str">
        <f>VLOOKUP(C164,'C Fittings'!E$5:$F2469,2,0)</f>
        <v>NEW</v>
      </c>
      <c r="G164" s="27" t="str">
        <f>IFERROR(VLOOKUP($C164,'C Fittings'!E127:O2469,11,0),0)</f>
        <v/>
      </c>
      <c r="H164" s="27"/>
      <c r="I164" s="27"/>
      <c r="J164" s="27"/>
      <c r="K164" s="27"/>
      <c r="L164" s="27"/>
      <c r="M164" s="27"/>
      <c r="N164" s="27"/>
      <c r="O164" s="27"/>
    </row>
    <row r="165">
      <c r="A165" s="32">
        <f t="shared" si="1"/>
        <v>164</v>
      </c>
      <c r="B165" s="9" t="s">
        <v>179</v>
      </c>
      <c r="C165" s="214" t="s">
        <v>724</v>
      </c>
      <c r="D165" s="215" t="s">
        <v>715</v>
      </c>
      <c r="E165" s="18">
        <f>VLOOKUP(C165,'C Fittings'!$E$5:$I2469,5,0)</f>
        <v>0.428</v>
      </c>
      <c r="F165" s="27" t="str">
        <f>VLOOKUP(C165,'C Fittings'!E$5:$F2469,2,0)</f>
        <v>NEW</v>
      </c>
      <c r="G165" s="27">
        <f>IFERROR(VLOOKUP($C165,'C Fittings'!E128:O2469,11,0),0)</f>
        <v>980</v>
      </c>
      <c r="H165" s="27"/>
      <c r="I165" s="27"/>
      <c r="J165" s="27"/>
      <c r="K165" s="27"/>
      <c r="L165" s="27"/>
      <c r="M165" s="27"/>
      <c r="N165" s="27"/>
      <c r="O165" s="27"/>
    </row>
    <row r="166">
      <c r="A166" s="32">
        <f t="shared" si="1"/>
        <v>165</v>
      </c>
      <c r="B166" s="9" t="s">
        <v>179</v>
      </c>
      <c r="C166" s="214" t="s">
        <v>725</v>
      </c>
      <c r="D166" s="215" t="s">
        <v>715</v>
      </c>
      <c r="E166" s="18">
        <f>VLOOKUP(C166,'C Fittings'!$E$5:$I2469,5,0)</f>
        <v>0.658</v>
      </c>
      <c r="F166" s="27" t="str">
        <f>VLOOKUP(C166,'C Fittings'!E$5:$F2469,2,0)</f>
        <v>NEW</v>
      </c>
      <c r="G166" s="27">
        <f>IFERROR(VLOOKUP($C166,'C Fittings'!E129:O2469,11,0),0)</f>
        <v>1180</v>
      </c>
      <c r="H166" s="27"/>
      <c r="I166" s="27"/>
      <c r="J166" s="27"/>
      <c r="K166" s="27"/>
      <c r="L166" s="27"/>
      <c r="M166" s="27"/>
      <c r="N166" s="27"/>
      <c r="O166" s="27"/>
    </row>
    <row r="167">
      <c r="A167" s="32">
        <f t="shared" si="1"/>
        <v>166</v>
      </c>
      <c r="B167" s="9" t="s">
        <v>179</v>
      </c>
      <c r="C167" s="11" t="s">
        <v>731</v>
      </c>
      <c r="D167" s="12" t="s">
        <v>732</v>
      </c>
      <c r="E167" s="18">
        <f>VLOOKUP(C167,'C Fittings'!$E$5:$I2469,5,0)</f>
        <v>0.11103</v>
      </c>
      <c r="F167" s="27">
        <f>VLOOKUP(C167,'C Fittings'!E$5:$F2469,2,0)</f>
        <v>176</v>
      </c>
      <c r="G167" s="27">
        <f>IFERROR(VLOOKUP($C167,'C Fittings'!E130:O2469,11,0),0)</f>
        <v>176</v>
      </c>
      <c r="H167" s="27"/>
      <c r="I167" s="27"/>
      <c r="J167" s="27"/>
      <c r="K167" s="27"/>
      <c r="L167" s="27"/>
      <c r="M167" s="27"/>
      <c r="N167" s="27"/>
      <c r="O167" s="27"/>
    </row>
    <row r="168">
      <c r="A168" s="32">
        <f t="shared" si="1"/>
        <v>167</v>
      </c>
      <c r="B168" s="9" t="s">
        <v>179</v>
      </c>
      <c r="C168" s="11" t="s">
        <v>736</v>
      </c>
      <c r="D168" s="12" t="s">
        <v>737</v>
      </c>
      <c r="E168" s="18">
        <f>VLOOKUP(C168,'C Fittings'!$E$5:$I2469,5,0)</f>
        <v>0.17876</v>
      </c>
      <c r="F168" s="27">
        <f>VLOOKUP(C168,'C Fittings'!E$5:$F2469,2,0)</f>
        <v>328</v>
      </c>
      <c r="G168" s="27">
        <f>IFERROR(VLOOKUP($C168,'C Fittings'!E131:O2469,11,0),0)</f>
        <v>328</v>
      </c>
      <c r="H168" s="27"/>
      <c r="I168" s="27"/>
      <c r="J168" s="27"/>
      <c r="K168" s="27"/>
      <c r="L168" s="27"/>
      <c r="M168" s="27"/>
      <c r="N168" s="27"/>
      <c r="O168" s="27"/>
    </row>
    <row r="169">
      <c r="A169" s="32">
        <f t="shared" si="1"/>
        <v>168</v>
      </c>
      <c r="B169" s="9" t="s">
        <v>179</v>
      </c>
      <c r="C169" s="11" t="s">
        <v>746</v>
      </c>
      <c r="D169" s="12" t="s">
        <v>747</v>
      </c>
      <c r="E169" s="18">
        <f>VLOOKUP(C169,'C Fittings'!$E$5:$I2469,5,0)</f>
        <v>0.29445</v>
      </c>
      <c r="F169" s="27">
        <f>VLOOKUP(C169,'C Fittings'!E$5:$F2469,2,0)</f>
        <v>568</v>
      </c>
      <c r="G169" s="27">
        <f>IFERROR(VLOOKUP($C169,'C Fittings'!E132:O2469,11,0),0)</f>
        <v>568</v>
      </c>
      <c r="H169" s="27"/>
      <c r="I169" s="27"/>
      <c r="J169" s="27"/>
      <c r="K169" s="27"/>
      <c r="L169" s="27"/>
      <c r="M169" s="27"/>
      <c r="N169" s="27"/>
      <c r="O169" s="27"/>
    </row>
    <row r="170">
      <c r="A170" s="32">
        <f t="shared" si="1"/>
        <v>169</v>
      </c>
      <c r="B170" s="9" t="s">
        <v>179</v>
      </c>
      <c r="C170" s="11" t="s">
        <v>752</v>
      </c>
      <c r="D170" s="12" t="s">
        <v>753</v>
      </c>
      <c r="E170" s="18">
        <f>VLOOKUP(C170,'C Fittings'!$E$5:$I2469,5,0)</f>
        <v>0.425125</v>
      </c>
      <c r="F170" s="27">
        <f>VLOOKUP(C170,'C Fittings'!E$5:$F2469,2,0)</f>
        <v>848</v>
      </c>
      <c r="G170" s="27">
        <f>IFERROR(VLOOKUP($C170,'C Fittings'!E133:O2469,11,0),0)</f>
        <v>848</v>
      </c>
      <c r="H170" s="27"/>
      <c r="I170" s="27"/>
      <c r="J170" s="27"/>
      <c r="K170" s="27"/>
      <c r="L170" s="27"/>
      <c r="M170" s="27"/>
      <c r="N170" s="27"/>
      <c r="O170" s="27"/>
    </row>
    <row r="171">
      <c r="A171" s="32">
        <f t="shared" si="1"/>
        <v>170</v>
      </c>
      <c r="B171" s="9" t="s">
        <v>179</v>
      </c>
      <c r="C171" s="11" t="s">
        <v>758</v>
      </c>
      <c r="D171" s="12" t="s">
        <v>759</v>
      </c>
      <c r="E171" s="18">
        <f>VLOOKUP(C171,'C Fittings'!$E$5:$I2469,5,0)</f>
        <v>0.6576</v>
      </c>
      <c r="F171" s="27">
        <f>VLOOKUP(C171,'C Fittings'!E$5:$F2469,2,0)</f>
        <v>1398</v>
      </c>
      <c r="G171" s="27">
        <f>IFERROR(VLOOKUP($C171,'C Fittings'!E134:O2469,11,0),0)</f>
        <v>1398</v>
      </c>
      <c r="H171" s="27"/>
      <c r="I171" s="27"/>
      <c r="J171" s="27"/>
      <c r="K171" s="27"/>
      <c r="L171" s="27"/>
      <c r="M171" s="27"/>
      <c r="N171" s="27"/>
      <c r="O171" s="27"/>
    </row>
    <row r="172">
      <c r="A172" s="32">
        <f t="shared" si="1"/>
        <v>171</v>
      </c>
      <c r="B172" s="9" t="s">
        <v>179</v>
      </c>
      <c r="C172" s="11" t="s">
        <v>301</v>
      </c>
      <c r="D172" s="12" t="s">
        <v>768</v>
      </c>
      <c r="E172" s="18">
        <f>VLOOKUP(C172,'C Fittings'!$E$5:$I2469,5,0)</f>
        <v>0.07</v>
      </c>
      <c r="F172" s="27">
        <f>VLOOKUP(C172,'C Fittings'!E$5:$F2469,2,0)</f>
        <v>168.8</v>
      </c>
      <c r="G172" s="27">
        <f>IFERROR(VLOOKUP($C172,'C Fittings'!E135:O2469,11,0),0)</f>
        <v>189</v>
      </c>
      <c r="H172" s="27"/>
      <c r="I172" s="27"/>
      <c r="J172" s="27"/>
      <c r="K172" s="27"/>
      <c r="L172" s="27"/>
      <c r="M172" s="27"/>
      <c r="N172" s="27"/>
      <c r="O172" s="27"/>
    </row>
    <row r="173">
      <c r="A173" s="32">
        <f t="shared" si="1"/>
        <v>172</v>
      </c>
      <c r="B173" s="9" t="s">
        <v>179</v>
      </c>
      <c r="C173" s="11" t="s">
        <v>334</v>
      </c>
      <c r="D173" s="12" t="s">
        <v>773</v>
      </c>
      <c r="E173" s="18">
        <f>VLOOKUP(C173,'C Fittings'!$E$5:$I2469,5,0)</f>
        <v>0.078125</v>
      </c>
      <c r="F173" s="27">
        <f>VLOOKUP(C173,'C Fittings'!E$5:$F2469,2,0)</f>
        <v>248.6</v>
      </c>
      <c r="G173" s="27">
        <f>IFERROR(VLOOKUP($C173,'C Fittings'!E136:O2469,11,0),0)</f>
        <v>278</v>
      </c>
      <c r="H173" s="27"/>
      <c r="I173" s="27"/>
      <c r="J173" s="27"/>
      <c r="K173" s="27"/>
      <c r="L173" s="27"/>
      <c r="M173" s="27"/>
      <c r="N173" s="27"/>
      <c r="O173" s="27"/>
    </row>
    <row r="174">
      <c r="A174" s="32">
        <f t="shared" si="1"/>
        <v>173</v>
      </c>
      <c r="B174" s="9" t="s">
        <v>179</v>
      </c>
      <c r="C174" s="11" t="s">
        <v>338</v>
      </c>
      <c r="D174" s="12" t="s">
        <v>776</v>
      </c>
      <c r="E174" s="18">
        <f>VLOOKUP(C174,'C Fittings'!$E$5:$I2469,5,0)</f>
        <v>0.1645</v>
      </c>
      <c r="F174" s="27">
        <f>VLOOKUP(C174,'C Fittings'!E$5:$F2469,2,0)</f>
        <v>368</v>
      </c>
      <c r="G174" s="27">
        <f>IFERROR(VLOOKUP($C174,'C Fittings'!E137:O2469,11,0),0)</f>
        <v>412</v>
      </c>
      <c r="H174" s="27"/>
      <c r="I174" s="27"/>
      <c r="J174" s="27"/>
      <c r="K174" s="27"/>
      <c r="L174" s="27"/>
      <c r="M174" s="27"/>
      <c r="N174" s="27"/>
      <c r="O174" s="27"/>
    </row>
    <row r="175">
      <c r="A175" s="32">
        <f t="shared" si="1"/>
        <v>174</v>
      </c>
      <c r="B175" s="9" t="s">
        <v>179</v>
      </c>
      <c r="C175" s="11" t="s">
        <v>340</v>
      </c>
      <c r="D175" s="12" t="s">
        <v>780</v>
      </c>
      <c r="E175" s="18">
        <f>VLOOKUP(C175,'C Fittings'!$E$5:$I2469,5,0)</f>
        <v>0.37125</v>
      </c>
      <c r="F175" s="27">
        <f>VLOOKUP(C175,'C Fittings'!E$5:$F2469,2,0)</f>
        <v>798</v>
      </c>
      <c r="G175" s="27">
        <f>IFERROR(VLOOKUP($C175,'C Fittings'!E138:O2469,11,0),0)</f>
        <v>898</v>
      </c>
      <c r="H175" s="27"/>
      <c r="I175" s="27"/>
      <c r="J175" s="27"/>
      <c r="K175" s="27"/>
      <c r="L175" s="27"/>
      <c r="M175" s="27"/>
      <c r="N175" s="27"/>
      <c r="O175" s="27"/>
    </row>
    <row r="176">
      <c r="A176" s="32">
        <f t="shared" si="1"/>
        <v>175</v>
      </c>
      <c r="B176" s="9" t="s">
        <v>179</v>
      </c>
      <c r="C176" s="11" t="s">
        <v>345</v>
      </c>
      <c r="D176" s="12" t="s">
        <v>784</v>
      </c>
      <c r="E176" s="18">
        <f>VLOOKUP(C176,'C Fittings'!$E$5:$I2469,5,0)</f>
        <v>0.488</v>
      </c>
      <c r="F176" s="27">
        <f>VLOOKUP(C176,'C Fittings'!E$5:$F2469,2,0)</f>
        <v>1058.6</v>
      </c>
      <c r="G176" s="27">
        <f>IFERROR(VLOOKUP($C176,'C Fittings'!E139:O2469,11,0),0)</f>
        <v>1188</v>
      </c>
      <c r="H176" s="27"/>
      <c r="I176" s="27"/>
      <c r="J176" s="27"/>
      <c r="K176" s="27"/>
      <c r="L176" s="27"/>
      <c r="M176" s="27"/>
      <c r="N176" s="27"/>
      <c r="O176" s="27"/>
    </row>
    <row r="177">
      <c r="A177" s="32">
        <f t="shared" si="1"/>
        <v>176</v>
      </c>
      <c r="B177" s="9" t="s">
        <v>179</v>
      </c>
      <c r="C177" s="11" t="s">
        <v>349</v>
      </c>
      <c r="D177" s="12" t="s">
        <v>785</v>
      </c>
      <c r="E177" s="18">
        <f>VLOOKUP(C177,'C Fittings'!$E$5:$I2469,5,0)</f>
        <v>0.806</v>
      </c>
      <c r="F177" s="27">
        <f>VLOOKUP(C177,'C Fittings'!E$5:$F2469,2,0)</f>
        <v>1840</v>
      </c>
      <c r="G177" s="27">
        <f>IFERROR(VLOOKUP($C177,'C Fittings'!E140:O2469,11,0),0)</f>
        <v>2080</v>
      </c>
      <c r="H177" s="27"/>
      <c r="I177" s="27"/>
      <c r="J177" s="27"/>
      <c r="K177" s="27"/>
      <c r="L177" s="27"/>
      <c r="M177" s="27"/>
      <c r="N177" s="27"/>
      <c r="O177" s="27"/>
    </row>
    <row r="178">
      <c r="A178" s="32">
        <f t="shared" si="1"/>
        <v>177</v>
      </c>
      <c r="B178" s="9" t="s">
        <v>179</v>
      </c>
      <c r="C178" s="11" t="s">
        <v>354</v>
      </c>
      <c r="D178" s="12" t="s">
        <v>788</v>
      </c>
      <c r="E178" s="18">
        <f>VLOOKUP(C178,'C Fittings'!$E$5:$I2469,5,0)</f>
        <v>0.079</v>
      </c>
      <c r="F178" s="27">
        <f>VLOOKUP(C178,'C Fittings'!E$5:$F2469,2,0)</f>
        <v>254.4</v>
      </c>
      <c r="G178" s="27">
        <f>IFERROR(VLOOKUP($C178,'C Fittings'!E141:O2469,11,0),0)</f>
        <v>278</v>
      </c>
      <c r="H178" s="27"/>
      <c r="I178" s="27"/>
      <c r="J178" s="27"/>
      <c r="K178" s="27"/>
      <c r="L178" s="27"/>
      <c r="M178" s="27"/>
      <c r="N178" s="27"/>
      <c r="O178" s="27"/>
    </row>
    <row r="179">
      <c r="A179" s="32">
        <f t="shared" si="1"/>
        <v>178</v>
      </c>
      <c r="B179" s="9" t="s">
        <v>179</v>
      </c>
      <c r="C179" s="11" t="s">
        <v>358</v>
      </c>
      <c r="D179" s="12" t="s">
        <v>792</v>
      </c>
      <c r="E179" s="18">
        <f>VLOOKUP(C179,'C Fittings'!$E$5:$I2469,5,0)</f>
        <v>0.096</v>
      </c>
      <c r="F179" s="27">
        <f>VLOOKUP(C179,'C Fittings'!E$5:$F2469,2,0)</f>
        <v>262.2</v>
      </c>
      <c r="G179" s="27">
        <f>IFERROR(VLOOKUP($C179,'C Fittings'!E142:O2469,11,0),0)</f>
        <v>288</v>
      </c>
      <c r="H179" s="27"/>
      <c r="I179" s="27"/>
      <c r="J179" s="27"/>
      <c r="K179" s="27"/>
      <c r="L179" s="27"/>
      <c r="M179" s="27"/>
      <c r="N179" s="27"/>
      <c r="O179" s="27"/>
    </row>
    <row r="180">
      <c r="A180" s="32">
        <f t="shared" si="1"/>
        <v>179</v>
      </c>
      <c r="B180" s="9" t="s">
        <v>179</v>
      </c>
      <c r="C180" s="11" t="s">
        <v>368</v>
      </c>
      <c r="D180" s="12" t="s">
        <v>798</v>
      </c>
      <c r="E180" s="18">
        <f>VLOOKUP(C180,'C Fittings'!$E$5:$I2469,5,0)</f>
        <v>0.0917</v>
      </c>
      <c r="F180" s="27">
        <f>VLOOKUP(C180,'C Fittings'!E$5:$F2469,2,0)</f>
        <v>246.2</v>
      </c>
      <c r="G180" s="27">
        <f>IFERROR(VLOOKUP($C180,'C Fittings'!E143:O2469,11,0),0)</f>
        <v>276</v>
      </c>
      <c r="H180" s="27"/>
      <c r="I180" s="27"/>
      <c r="J180" s="27"/>
      <c r="K180" s="27"/>
      <c r="L180" s="27"/>
      <c r="M180" s="27"/>
      <c r="N180" s="27"/>
      <c r="O180" s="27"/>
    </row>
    <row r="181">
      <c r="A181" s="32">
        <f t="shared" si="1"/>
        <v>180</v>
      </c>
      <c r="B181" s="9" t="s">
        <v>179</v>
      </c>
      <c r="C181" s="11" t="s">
        <v>375</v>
      </c>
      <c r="D181" s="12" t="s">
        <v>800</v>
      </c>
      <c r="E181" s="18">
        <f>VLOOKUP(C181,'C Fittings'!$E$5:$I2469,5,0)</f>
        <v>0.207095</v>
      </c>
      <c r="F181" s="27">
        <f>VLOOKUP(C181,'C Fittings'!E$5:$F2469,2,0)</f>
        <v>468.8</v>
      </c>
      <c r="G181" s="27">
        <f>IFERROR(VLOOKUP($C181,'C Fittings'!E144:O2469,11,0),0)</f>
        <v>528</v>
      </c>
      <c r="H181" s="27"/>
      <c r="I181" s="27"/>
      <c r="J181" s="27"/>
      <c r="K181" s="27"/>
      <c r="L181" s="27"/>
      <c r="M181" s="27"/>
      <c r="N181" s="27"/>
      <c r="O181" s="27"/>
    </row>
    <row r="182">
      <c r="A182" s="32">
        <f t="shared" si="1"/>
        <v>181</v>
      </c>
      <c r="B182" s="9" t="s">
        <v>179</v>
      </c>
      <c r="C182" s="11" t="s">
        <v>377</v>
      </c>
      <c r="D182" s="12" t="s">
        <v>804</v>
      </c>
      <c r="E182" s="18">
        <f>VLOOKUP(C182,'C Fittings'!$E$5:$I2469,5,0)</f>
        <v>0.37915</v>
      </c>
      <c r="F182" s="27">
        <f>VLOOKUP(C182,'C Fittings'!E$5:$F2469,2,0)</f>
        <v>848.8</v>
      </c>
      <c r="G182" s="27">
        <f>IFERROR(VLOOKUP($C182,'C Fittings'!E145:O2469,11,0),0)</f>
        <v>954</v>
      </c>
      <c r="H182" s="27"/>
      <c r="I182" s="27"/>
      <c r="J182" s="27"/>
      <c r="K182" s="27"/>
      <c r="L182" s="27"/>
      <c r="M182" s="27"/>
      <c r="N182" s="27"/>
      <c r="O182" s="27"/>
    </row>
    <row r="183">
      <c r="A183" s="32">
        <f t="shared" si="1"/>
        <v>182</v>
      </c>
      <c r="B183" s="9" t="s">
        <v>179</v>
      </c>
      <c r="C183" s="11" t="s">
        <v>379</v>
      </c>
      <c r="D183" s="12" t="s">
        <v>808</v>
      </c>
      <c r="E183" s="18">
        <f>VLOOKUP(C183,'C Fittings'!$E$5:$I2469,5,0)</f>
        <v>0.45475</v>
      </c>
      <c r="F183" s="27">
        <f>VLOOKUP(C183,'C Fittings'!E$5:$F2469,2,0)</f>
        <v>958.4</v>
      </c>
      <c r="G183" s="27">
        <f>IFERROR(VLOOKUP($C183,'C Fittings'!E146:O2469,11,0),0)</f>
        <v>1074</v>
      </c>
      <c r="H183" s="27"/>
      <c r="I183" s="27"/>
      <c r="J183" s="27"/>
      <c r="K183" s="27"/>
      <c r="L183" s="27"/>
      <c r="M183" s="27"/>
      <c r="N183" s="27"/>
      <c r="O183" s="27"/>
    </row>
    <row r="184">
      <c r="A184" s="32">
        <f t="shared" si="1"/>
        <v>183</v>
      </c>
      <c r="B184" s="9" t="s">
        <v>179</v>
      </c>
      <c r="C184" s="11" t="s">
        <v>382</v>
      </c>
      <c r="D184" s="12" t="s">
        <v>809</v>
      </c>
      <c r="E184" s="18">
        <f>VLOOKUP(C184,'C Fittings'!$E$5:$I2469,5,0)</f>
        <v>0.658</v>
      </c>
      <c r="F184" s="27">
        <f>VLOOKUP(C184,'C Fittings'!E$5:$F2469,2,0)</f>
        <v>1822.4</v>
      </c>
      <c r="G184" s="27">
        <f>IFERROR(VLOOKUP($C184,'C Fittings'!E147:O2469,11,0),0)</f>
        <v>2046</v>
      </c>
      <c r="H184" s="27"/>
      <c r="I184" s="27"/>
      <c r="J184" s="27"/>
      <c r="K184" s="27"/>
      <c r="L184" s="27"/>
      <c r="M184" s="27"/>
      <c r="N184" s="27"/>
      <c r="O184" s="27"/>
    </row>
    <row r="185">
      <c r="A185" s="32">
        <f t="shared" si="1"/>
        <v>184</v>
      </c>
      <c r="B185" s="9" t="s">
        <v>179</v>
      </c>
      <c r="C185" s="11" t="s">
        <v>812</v>
      </c>
      <c r="D185" s="12" t="s">
        <v>813</v>
      </c>
      <c r="E185" s="18">
        <f>VLOOKUP(C185,'C Fittings'!$E$5:$I2469,5,0)</f>
        <v>0.11083</v>
      </c>
      <c r="F185" s="27">
        <f>VLOOKUP(C185,'C Fittings'!E$5:$F2469,2,0)</f>
        <v>169.1</v>
      </c>
      <c r="G185" s="27">
        <f>IFERROR(VLOOKUP($C185,'C Fittings'!E148:O2469,11,0),0)</f>
        <v>169.1</v>
      </c>
      <c r="H185" s="27"/>
      <c r="I185" s="27"/>
      <c r="J185" s="27"/>
      <c r="K185" s="27"/>
      <c r="L185" s="27"/>
      <c r="M185" s="27"/>
      <c r="N185" s="27"/>
      <c r="O185" s="27"/>
    </row>
    <row r="186">
      <c r="A186" s="32">
        <f t="shared" si="1"/>
        <v>185</v>
      </c>
      <c r="B186" s="9" t="s">
        <v>179</v>
      </c>
      <c r="C186" s="11" t="s">
        <v>817</v>
      </c>
      <c r="D186" s="12" t="s">
        <v>818</v>
      </c>
      <c r="E186" s="18">
        <f>VLOOKUP(C186,'C Fittings'!$E$5:$I2469,5,0)</f>
        <v>0.17856</v>
      </c>
      <c r="F186" s="27">
        <f>VLOOKUP(C186,'C Fittings'!E$5:$F2469,2,0)</f>
        <v>326.8</v>
      </c>
      <c r="G186" s="27">
        <f>IFERROR(VLOOKUP($C186,'C Fittings'!E149:O2469,11,0),0)</f>
        <v>326.8</v>
      </c>
      <c r="H186" s="27"/>
      <c r="I186" s="27"/>
      <c r="J186" s="27"/>
      <c r="K186" s="27"/>
      <c r="L186" s="27"/>
      <c r="M186" s="27"/>
      <c r="N186" s="27"/>
      <c r="O186" s="27"/>
    </row>
    <row r="187">
      <c r="A187" s="32">
        <f t="shared" si="1"/>
        <v>186</v>
      </c>
      <c r="B187" s="9" t="s">
        <v>179</v>
      </c>
      <c r="C187" s="11" t="s">
        <v>820</v>
      </c>
      <c r="D187" s="12" t="s">
        <v>821</v>
      </c>
      <c r="E187" s="18">
        <f>VLOOKUP(C187,'C Fittings'!$E$5:$I2469,5,0)</f>
        <v>0.2931</v>
      </c>
      <c r="F187" s="27">
        <f>VLOOKUP(C187,'C Fittings'!E$5:$F2469,2,0)</f>
        <v>505.4</v>
      </c>
      <c r="G187" s="27">
        <f>IFERROR(VLOOKUP($C187,'C Fittings'!E150:O2469,11,0),0)</f>
        <v>505.4</v>
      </c>
      <c r="H187" s="27"/>
      <c r="I187" s="27"/>
      <c r="J187" s="27"/>
      <c r="K187" s="27"/>
      <c r="L187" s="27"/>
      <c r="M187" s="27"/>
      <c r="N187" s="27"/>
      <c r="O187" s="27"/>
    </row>
    <row r="188">
      <c r="A188" s="32">
        <f t="shared" si="1"/>
        <v>187</v>
      </c>
      <c r="B188" s="9" t="s">
        <v>179</v>
      </c>
      <c r="C188" s="11" t="s">
        <v>823</v>
      </c>
      <c r="D188" s="12" t="s">
        <v>824</v>
      </c>
      <c r="E188" s="18">
        <f>VLOOKUP(C188,'C Fittings'!$E$5:$I2469,5,0)</f>
        <v>0.425125</v>
      </c>
      <c r="F188" s="27">
        <f>VLOOKUP(C188,'C Fittings'!E$5:$F2469,2,0)</f>
        <v>900.6</v>
      </c>
      <c r="G188" s="27">
        <f>IFERROR(VLOOKUP($C188,'C Fittings'!E151:O2469,11,0),0)</f>
        <v>900.6</v>
      </c>
      <c r="H188" s="27"/>
      <c r="I188" s="27"/>
      <c r="J188" s="27"/>
      <c r="K188" s="27"/>
      <c r="L188" s="27"/>
      <c r="M188" s="27"/>
      <c r="N188" s="27"/>
      <c r="O188" s="27"/>
    </row>
    <row r="189">
      <c r="A189" s="32">
        <f t="shared" si="1"/>
        <v>188</v>
      </c>
      <c r="B189" s="9" t="s">
        <v>179</v>
      </c>
      <c r="C189" s="11" t="s">
        <v>826</v>
      </c>
      <c r="D189" s="12" t="s">
        <v>827</v>
      </c>
      <c r="E189" s="18">
        <f>VLOOKUP(C189,'C Fittings'!$E$5:$I2469,5,0)</f>
        <v>0.69625</v>
      </c>
      <c r="F189" s="27">
        <f>VLOOKUP(C189,'C Fittings'!E$5:$F2469,2,0)</f>
        <v>1606.2</v>
      </c>
      <c r="G189" s="27">
        <f>IFERROR(VLOOKUP($C189,'C Fittings'!E152:O2469,11,0),0)</f>
        <v>1606.2</v>
      </c>
      <c r="H189" s="27"/>
      <c r="I189" s="27"/>
      <c r="J189" s="27"/>
      <c r="K189" s="27"/>
      <c r="L189" s="27"/>
      <c r="M189" s="27"/>
      <c r="N189" s="27"/>
      <c r="O189" s="27"/>
    </row>
    <row r="190">
      <c r="A190" s="32">
        <f t="shared" si="1"/>
        <v>189</v>
      </c>
      <c r="B190" s="9" t="s">
        <v>179</v>
      </c>
      <c r="C190" s="11" t="s">
        <v>830</v>
      </c>
      <c r="D190" s="12" t="s">
        <v>831</v>
      </c>
      <c r="E190" s="18">
        <f>VLOOKUP(C190,'C Fittings'!$E$5:$I2469,5,0)</f>
        <v>0.07605</v>
      </c>
      <c r="F190" s="27">
        <f>VLOOKUP(C190,'C Fittings'!E$5:$F2469,2,0)</f>
        <v>74</v>
      </c>
      <c r="G190" s="27">
        <f>IFERROR(VLOOKUP($C190,'C Fittings'!E153:O2469,11,0),0)</f>
        <v>74</v>
      </c>
      <c r="H190" s="27"/>
      <c r="I190" s="27"/>
      <c r="J190" s="27"/>
      <c r="K190" s="27"/>
      <c r="L190" s="27"/>
      <c r="M190" s="27"/>
      <c r="N190" s="27"/>
      <c r="O190" s="27"/>
    </row>
    <row r="191">
      <c r="A191" s="32">
        <f t="shared" si="1"/>
        <v>190</v>
      </c>
      <c r="B191" s="9" t="s">
        <v>179</v>
      </c>
      <c r="C191" s="11" t="s">
        <v>834</v>
      </c>
      <c r="D191" s="12" t="s">
        <v>836</v>
      </c>
      <c r="E191" s="18">
        <f>VLOOKUP(C191,'C Fittings'!$E$5:$I2469,5,0)</f>
        <v>0.0825</v>
      </c>
      <c r="F191" s="27">
        <f>VLOOKUP(C191,'C Fittings'!E$5:$F2469,2,0)</f>
        <v>98</v>
      </c>
      <c r="G191" s="27">
        <f>IFERROR(VLOOKUP($C191,'C Fittings'!E154:O2469,11,0),0)</f>
        <v>98</v>
      </c>
      <c r="H191" s="27"/>
      <c r="I191" s="27"/>
      <c r="J191" s="27"/>
      <c r="K191" s="27"/>
      <c r="L191" s="27"/>
      <c r="M191" s="27"/>
      <c r="N191" s="27"/>
      <c r="O191" s="27"/>
    </row>
    <row r="192">
      <c r="A192" s="32">
        <f t="shared" si="1"/>
        <v>191</v>
      </c>
      <c r="B192" s="9" t="s">
        <v>179</v>
      </c>
      <c r="C192" s="11" t="s">
        <v>839</v>
      </c>
      <c r="D192" s="12" t="s">
        <v>840</v>
      </c>
      <c r="E192" s="18">
        <f>VLOOKUP(C192,'C Fittings'!$E$5:$I2469,5,0)</f>
        <v>0.11705</v>
      </c>
      <c r="F192" s="27">
        <f>VLOOKUP(C192,'C Fittings'!E$5:$F2469,2,0)</f>
        <v>158</v>
      </c>
      <c r="G192" s="27">
        <f>IFERROR(VLOOKUP($C192,'C Fittings'!E155:O2469,11,0),0)</f>
        <v>158</v>
      </c>
      <c r="H192" s="27"/>
      <c r="I192" s="27"/>
      <c r="J192" s="27"/>
      <c r="K192" s="27"/>
      <c r="L192" s="27"/>
      <c r="M192" s="27"/>
      <c r="N192" s="27"/>
      <c r="O192" s="27"/>
    </row>
    <row r="193">
      <c r="A193" s="32">
        <f t="shared" si="1"/>
        <v>192</v>
      </c>
      <c r="B193" s="9" t="s">
        <v>179</v>
      </c>
      <c r="C193" s="11" t="s">
        <v>843</v>
      </c>
      <c r="D193" s="12" t="s">
        <v>844</v>
      </c>
      <c r="E193" s="18">
        <f>VLOOKUP(C193,'C Fittings'!$E$5:$I2469,5,0)</f>
        <v>0.13535</v>
      </c>
      <c r="F193" s="27">
        <f>VLOOKUP(C193,'C Fittings'!E$5:$F2469,2,0)</f>
        <v>244</v>
      </c>
      <c r="G193" s="27">
        <f>IFERROR(VLOOKUP($C193,'C Fittings'!E156:O2469,11,0),0)</f>
        <v>244</v>
      </c>
      <c r="H193" s="27"/>
      <c r="I193" s="27"/>
      <c r="J193" s="27"/>
      <c r="K193" s="27"/>
      <c r="L193" s="27"/>
      <c r="M193" s="27"/>
      <c r="N193" s="27"/>
      <c r="O193" s="27"/>
    </row>
    <row r="194">
      <c r="A194" s="32">
        <f t="shared" si="1"/>
        <v>193</v>
      </c>
      <c r="B194" s="9" t="s">
        <v>179</v>
      </c>
      <c r="C194" s="11" t="s">
        <v>846</v>
      </c>
      <c r="D194" s="12" t="s">
        <v>847</v>
      </c>
      <c r="E194" s="18">
        <f>VLOOKUP(C194,'C Fittings'!$E$5:$I2469,5,0)</f>
        <v>0.21245</v>
      </c>
      <c r="F194" s="27">
        <f>VLOOKUP(C194,'C Fittings'!E$5:$F2469,2,0)</f>
        <v>368</v>
      </c>
      <c r="G194" s="27">
        <f>IFERROR(VLOOKUP($C194,'C Fittings'!E157:O2469,11,0),0)</f>
        <v>368</v>
      </c>
      <c r="H194" s="27"/>
      <c r="I194" s="27"/>
      <c r="J194" s="27"/>
      <c r="K194" s="27"/>
      <c r="L194" s="27"/>
      <c r="M194" s="27"/>
      <c r="N194" s="27"/>
      <c r="O194" s="27"/>
    </row>
    <row r="195">
      <c r="A195" s="32">
        <f t="shared" si="1"/>
        <v>194</v>
      </c>
      <c r="B195" s="9" t="s">
        <v>179</v>
      </c>
      <c r="C195" s="11" t="s">
        <v>852</v>
      </c>
      <c r="D195" s="12" t="s">
        <v>853</v>
      </c>
      <c r="E195" s="18">
        <f>VLOOKUP(C195,'C Fittings'!$E$5:$I2469,5,0)</f>
        <v>0.06525</v>
      </c>
      <c r="F195" s="27">
        <f>VLOOKUP(C195,'C Fittings'!E$5:$F2469,2,0)</f>
        <v>62</v>
      </c>
      <c r="G195" s="27">
        <f>IFERROR(VLOOKUP($C195,'C Fittings'!E158:O2469,11,0),0)</f>
        <v>62</v>
      </c>
      <c r="H195" s="27"/>
      <c r="I195" s="27"/>
      <c r="J195" s="27"/>
      <c r="K195" s="27"/>
      <c r="L195" s="27"/>
      <c r="M195" s="27"/>
      <c r="N195" s="27"/>
      <c r="O195" s="27"/>
    </row>
    <row r="196">
      <c r="A196" s="32">
        <f t="shared" si="1"/>
        <v>195</v>
      </c>
      <c r="B196" s="9" t="s">
        <v>179</v>
      </c>
      <c r="C196" s="11" t="s">
        <v>857</v>
      </c>
      <c r="D196" s="12" t="s">
        <v>858</v>
      </c>
      <c r="E196" s="18">
        <f>VLOOKUP(C196,'C Fittings'!$E$5:$I2469,5,0)</f>
        <v>0.071</v>
      </c>
      <c r="F196" s="27">
        <f>VLOOKUP(C196,'C Fittings'!E$5:$F2469,2,0)</f>
        <v>89</v>
      </c>
      <c r="G196" s="27">
        <f>IFERROR(VLOOKUP($C196,'C Fittings'!E159:O2469,11,0),0)</f>
        <v>89</v>
      </c>
      <c r="H196" s="27"/>
      <c r="I196" s="27"/>
      <c r="J196" s="27"/>
      <c r="K196" s="27"/>
      <c r="L196" s="27"/>
      <c r="M196" s="27"/>
      <c r="N196" s="27"/>
      <c r="O196" s="27"/>
    </row>
    <row r="197">
      <c r="A197" s="32">
        <f t="shared" si="1"/>
        <v>196</v>
      </c>
      <c r="B197" s="9" t="s">
        <v>179</v>
      </c>
      <c r="C197" s="11" t="s">
        <v>862</v>
      </c>
      <c r="D197" s="12" t="s">
        <v>863</v>
      </c>
      <c r="E197" s="18">
        <f>VLOOKUP(C197,'C Fittings'!$E$5:$I2469,5,0)</f>
        <v>0.105</v>
      </c>
      <c r="F197" s="27">
        <f>VLOOKUP(C197,'C Fittings'!E$5:$F2469,2,0)</f>
        <v>148</v>
      </c>
      <c r="G197" s="27">
        <f>IFERROR(VLOOKUP($C197,'C Fittings'!E160:O2469,11,0),0)</f>
        <v>148</v>
      </c>
      <c r="H197" s="27"/>
      <c r="I197" s="27"/>
      <c r="J197" s="27"/>
      <c r="K197" s="27"/>
      <c r="L197" s="27"/>
      <c r="M197" s="27"/>
      <c r="N197" s="27"/>
      <c r="O197" s="27"/>
    </row>
    <row r="198">
      <c r="A198" s="32">
        <f t="shared" si="1"/>
        <v>197</v>
      </c>
      <c r="B198" s="9" t="s">
        <v>179</v>
      </c>
      <c r="C198" s="11" t="s">
        <v>867</v>
      </c>
      <c r="D198" s="12" t="s">
        <v>868</v>
      </c>
      <c r="E198" s="18">
        <f>VLOOKUP(C198,'C Fittings'!$E$5:$I2469,5,0)</f>
        <v>0.14565</v>
      </c>
      <c r="F198" s="27">
        <f>VLOOKUP(C198,'C Fittings'!E$5:$F2469,2,0)</f>
        <v>198</v>
      </c>
      <c r="G198" s="27">
        <f>IFERROR(VLOOKUP($C198,'C Fittings'!E161:O2469,11,0),0)</f>
        <v>198</v>
      </c>
      <c r="H198" s="27"/>
      <c r="I198" s="27"/>
      <c r="J198" s="27"/>
      <c r="K198" s="27"/>
      <c r="L198" s="27"/>
      <c r="M198" s="27"/>
      <c r="N198" s="27"/>
      <c r="O198" s="27"/>
    </row>
    <row r="199">
      <c r="A199" s="32">
        <f t="shared" si="1"/>
        <v>198</v>
      </c>
      <c r="B199" s="9" t="s">
        <v>179</v>
      </c>
      <c r="C199" s="11" t="s">
        <v>873</v>
      </c>
      <c r="D199" s="12" t="s">
        <v>874</v>
      </c>
      <c r="E199" s="18">
        <f>VLOOKUP(C199,'C Fittings'!$E$5:$I2469,5,0)</f>
        <v>0.20595</v>
      </c>
      <c r="F199" s="27">
        <f>VLOOKUP(C199,'C Fittings'!E$5:$F2469,2,0)</f>
        <v>344</v>
      </c>
      <c r="G199" s="27">
        <f>IFERROR(VLOOKUP($C199,'C Fittings'!E162:O2469,11,0),0)</f>
        <v>344</v>
      </c>
      <c r="H199" s="27"/>
      <c r="I199" s="27"/>
      <c r="J199" s="27"/>
      <c r="K199" s="27"/>
      <c r="L199" s="27"/>
      <c r="M199" s="27"/>
      <c r="N199" s="27"/>
      <c r="O199" s="27"/>
    </row>
    <row r="200">
      <c r="A200" s="32">
        <f t="shared" si="1"/>
        <v>199</v>
      </c>
      <c r="B200" s="9" t="s">
        <v>179</v>
      </c>
      <c r="C200" s="11" t="s">
        <v>879</v>
      </c>
      <c r="D200" s="12" t="s">
        <v>880</v>
      </c>
      <c r="E200" s="18">
        <f>VLOOKUP(C200,'C Fittings'!$E$5:$I2469,5,0)</f>
        <v>0.732</v>
      </c>
      <c r="F200" s="27">
        <f>VLOOKUP(C200,'C Fittings'!E$5:$F2469,2,0)</f>
        <v>1280</v>
      </c>
      <c r="G200" s="27">
        <f>IFERROR(VLOOKUP($C200,'C Fittings'!E163:O2469,11,0),0)</f>
        <v>1280</v>
      </c>
      <c r="H200" s="27"/>
      <c r="I200" s="27"/>
      <c r="J200" s="27"/>
      <c r="K200" s="27"/>
      <c r="L200" s="27"/>
      <c r="M200" s="27"/>
      <c r="N200" s="27"/>
      <c r="O200" s="27"/>
    </row>
    <row r="201">
      <c r="A201" s="32">
        <f t="shared" si="1"/>
        <v>200</v>
      </c>
      <c r="B201" s="9" t="s">
        <v>179</v>
      </c>
      <c r="C201" s="11" t="s">
        <v>885</v>
      </c>
      <c r="D201" s="12" t="s">
        <v>886</v>
      </c>
      <c r="E201" s="18">
        <f>VLOOKUP(C201,'C Fittings'!$E$5:$I2469,5,0)</f>
        <v>0</v>
      </c>
      <c r="F201" s="27">
        <f>VLOOKUP(C201,'C Fittings'!E$5:$F2469,2,0)</f>
        <v>1898</v>
      </c>
      <c r="G201" s="27">
        <f>IFERROR(VLOOKUP($C201,'C Fittings'!E164:O2469,11,0),0)</f>
        <v>1898</v>
      </c>
      <c r="H201" s="27"/>
      <c r="I201" s="27"/>
      <c r="J201" s="27"/>
      <c r="K201" s="27"/>
      <c r="L201" s="27"/>
      <c r="M201" s="27"/>
      <c r="N201" s="27"/>
      <c r="O201" s="27"/>
    </row>
    <row r="202">
      <c r="A202" s="32">
        <f t="shared" si="1"/>
        <v>201</v>
      </c>
      <c r="B202" s="9" t="s">
        <v>179</v>
      </c>
      <c r="C202" s="11" t="s">
        <v>890</v>
      </c>
      <c r="D202" s="12" t="s">
        <v>891</v>
      </c>
      <c r="E202" s="18">
        <f>VLOOKUP(C202,'C Fittings'!$E$5:$I2469,5,0)</f>
        <v>2.235</v>
      </c>
      <c r="F202" s="27">
        <f>VLOOKUP(C202,'C Fittings'!E$5:$F2469,2,0)</f>
        <v>3780</v>
      </c>
      <c r="G202" s="27">
        <f>IFERROR(VLOOKUP($C202,'C Fittings'!E165:O2469,11,0),0)</f>
        <v>3780</v>
      </c>
      <c r="H202" s="27"/>
      <c r="I202" s="27"/>
      <c r="J202" s="27"/>
      <c r="K202" s="27"/>
      <c r="L202" s="27"/>
      <c r="M202" s="27"/>
      <c r="N202" s="27"/>
      <c r="O202" s="27"/>
    </row>
    <row r="203">
      <c r="A203" s="32">
        <f t="shared" si="1"/>
        <v>202</v>
      </c>
      <c r="B203" s="9" t="s">
        <v>179</v>
      </c>
      <c r="C203" s="11" t="s">
        <v>387</v>
      </c>
      <c r="D203" s="12" t="s">
        <v>897</v>
      </c>
      <c r="E203" s="18">
        <f>VLOOKUP(C203,'C Fittings'!$E$5:$I2469,5,0)</f>
        <v>0.049</v>
      </c>
      <c r="F203" s="27">
        <f>VLOOKUP(C203,'C Fittings'!E$5:$F2469,2,0)</f>
        <v>86.2</v>
      </c>
      <c r="G203" s="27">
        <f>IFERROR(VLOOKUP($C203,'C Fittings'!E166:O2469,11,0),0)</f>
        <v>98</v>
      </c>
      <c r="H203" s="27"/>
      <c r="I203" s="27"/>
      <c r="J203" s="27"/>
      <c r="K203" s="27"/>
      <c r="L203" s="27"/>
      <c r="M203" s="27"/>
      <c r="N203" s="27"/>
      <c r="O203" s="27"/>
    </row>
    <row r="204">
      <c r="A204" s="32">
        <f t="shared" si="1"/>
        <v>203</v>
      </c>
      <c r="B204" s="9" t="s">
        <v>179</v>
      </c>
      <c r="C204" s="11" t="s">
        <v>392</v>
      </c>
      <c r="D204" s="12" t="s">
        <v>900</v>
      </c>
      <c r="E204" s="18">
        <f>VLOOKUP(C204,'C Fittings'!$E$5:$I2469,5,0)</f>
        <v>0.057</v>
      </c>
      <c r="F204" s="27">
        <f>VLOOKUP(C204,'C Fittings'!E$5:$F2469,2,0)</f>
        <v>158.6</v>
      </c>
      <c r="G204" s="27">
        <f>IFERROR(VLOOKUP($C204,'C Fittings'!E167:O2469,11,0),0)</f>
        <v>168</v>
      </c>
      <c r="H204" s="27"/>
      <c r="I204" s="27"/>
      <c r="J204" s="27"/>
      <c r="K204" s="27"/>
      <c r="L204" s="27"/>
      <c r="M204" s="27"/>
      <c r="N204" s="27"/>
      <c r="O204" s="27"/>
    </row>
    <row r="205">
      <c r="A205" s="32">
        <f t="shared" si="1"/>
        <v>204</v>
      </c>
      <c r="B205" s="9" t="s">
        <v>179</v>
      </c>
      <c r="C205" s="11" t="s">
        <v>395</v>
      </c>
      <c r="D205" s="12" t="s">
        <v>903</v>
      </c>
      <c r="E205" s="18">
        <f>VLOOKUP(C205,'C Fittings'!$E$5:$I2469,5,0)</f>
        <v>0.084</v>
      </c>
      <c r="F205" s="27">
        <f>VLOOKUP(C205,'C Fittings'!E$5:$F2469,2,0)</f>
        <v>248.4</v>
      </c>
      <c r="G205" s="27">
        <f>IFERROR(VLOOKUP($C205,'C Fittings'!E168:O2469,11,0),0)</f>
        <v>268</v>
      </c>
      <c r="H205" s="27"/>
      <c r="I205" s="27"/>
      <c r="J205" s="27"/>
      <c r="K205" s="27"/>
      <c r="L205" s="27"/>
      <c r="M205" s="27"/>
      <c r="N205" s="27"/>
      <c r="O205" s="27"/>
    </row>
    <row r="206">
      <c r="A206" s="32">
        <f t="shared" si="1"/>
        <v>205</v>
      </c>
      <c r="B206" s="9" t="s">
        <v>179</v>
      </c>
      <c r="C206" s="11" t="s">
        <v>399</v>
      </c>
      <c r="D206" s="12" t="s">
        <v>908</v>
      </c>
      <c r="E206" s="18">
        <f>VLOOKUP(C206,'C Fittings'!$E$5:$I2469,5,0)</f>
        <v>0.04</v>
      </c>
      <c r="F206" s="27">
        <f>VLOOKUP(C206,'C Fittings'!E$5:$F2469,2,0)</f>
        <v>82.6</v>
      </c>
      <c r="G206" s="27">
        <f>IFERROR(VLOOKUP($C206,'C Fittings'!E169:O2469,11,0),0)</f>
        <v>94</v>
      </c>
      <c r="H206" s="27"/>
      <c r="I206" s="27"/>
      <c r="J206" s="27"/>
      <c r="K206" s="27"/>
      <c r="L206" s="27"/>
      <c r="M206" s="27"/>
      <c r="N206" s="27"/>
      <c r="O206" s="27"/>
    </row>
    <row r="207">
      <c r="A207" s="32">
        <f t="shared" si="1"/>
        <v>206</v>
      </c>
      <c r="B207" s="9" t="s">
        <v>179</v>
      </c>
      <c r="C207" s="11" t="s">
        <v>406</v>
      </c>
      <c r="D207" s="12" t="s">
        <v>910</v>
      </c>
      <c r="E207" s="18">
        <f>VLOOKUP(C207,'C Fittings'!$E$5:$I2469,5,0)</f>
        <v>0.09025</v>
      </c>
      <c r="F207" s="27">
        <f>VLOOKUP(C207,'C Fittings'!E$5:$F2469,2,0)</f>
        <v>158.8</v>
      </c>
      <c r="G207" s="27">
        <f>IFERROR(VLOOKUP($C207,'C Fittings'!E170:O2469,11,0),0)</f>
        <v>184</v>
      </c>
      <c r="H207" s="27"/>
      <c r="I207" s="27"/>
      <c r="J207" s="27"/>
      <c r="K207" s="27"/>
      <c r="L207" s="27"/>
      <c r="M207" s="27"/>
      <c r="N207" s="27"/>
      <c r="O207" s="27"/>
    </row>
    <row r="208">
      <c r="A208" s="32">
        <f t="shared" si="1"/>
        <v>207</v>
      </c>
      <c r="B208" s="9" t="s">
        <v>179</v>
      </c>
      <c r="C208" s="11" t="s">
        <v>411</v>
      </c>
      <c r="D208" s="12" t="s">
        <v>911</v>
      </c>
      <c r="E208" s="18">
        <f>VLOOKUP(C208,'C Fittings'!$E$5:$I2469,5,0)</f>
        <v>0.112</v>
      </c>
      <c r="F208" s="27">
        <f>VLOOKUP(C208,'C Fittings'!E$5:$F2469,2,0)</f>
        <v>348</v>
      </c>
      <c r="G208" s="27">
        <f>IFERROR(VLOOKUP($C208,'C Fittings'!E171:O2469,11,0),0)</f>
        <v>358</v>
      </c>
      <c r="H208" s="27"/>
      <c r="I208" s="27"/>
      <c r="J208" s="27"/>
      <c r="K208" s="27"/>
      <c r="L208" s="27"/>
      <c r="M208" s="27"/>
      <c r="N208" s="27"/>
      <c r="O208" s="27"/>
    </row>
    <row r="209">
      <c r="A209" s="32">
        <f t="shared" si="1"/>
        <v>208</v>
      </c>
      <c r="B209" s="9" t="s">
        <v>179</v>
      </c>
      <c r="C209" s="11" t="s">
        <v>419</v>
      </c>
      <c r="D209" s="12" t="s">
        <v>912</v>
      </c>
      <c r="E209" s="18">
        <f>VLOOKUP(C209,'C Fittings'!$E$5:$I2469,5,0)</f>
        <v>0.1935</v>
      </c>
      <c r="F209" s="27">
        <f>VLOOKUP(C209,'C Fittings'!E$5:$F2469,2,0)</f>
        <v>594</v>
      </c>
      <c r="G209" s="27">
        <f>IFERROR(VLOOKUP($C209,'C Fittings'!E172:O2469,11,0),0)</f>
        <v>648</v>
      </c>
      <c r="H209" s="27"/>
      <c r="I209" s="27"/>
      <c r="J209" s="27"/>
      <c r="K209" s="27"/>
      <c r="L209" s="27"/>
      <c r="M209" s="27"/>
      <c r="N209" s="27"/>
      <c r="O209" s="27"/>
    </row>
    <row r="210">
      <c r="A210" s="32">
        <f t="shared" si="1"/>
        <v>209</v>
      </c>
      <c r="B210" s="9" t="s">
        <v>179</v>
      </c>
      <c r="C210" s="11" t="s">
        <v>430</v>
      </c>
      <c r="D210" s="12" t="s">
        <v>913</v>
      </c>
      <c r="E210" s="18">
        <f>VLOOKUP(C210,'C Fittings'!$E$5:$I2469,5,0)</f>
        <v>0.05</v>
      </c>
      <c r="F210" s="27">
        <f>VLOOKUP(C210,'C Fittings'!E$5:$F2469,2,0)</f>
        <v>104.8</v>
      </c>
      <c r="G210" s="27">
        <f>IFERROR(VLOOKUP($C210,'C Fittings'!E173:O2469,11,0),0)</f>
        <v>116</v>
      </c>
      <c r="H210" s="27"/>
      <c r="I210" s="27"/>
      <c r="J210" s="27"/>
      <c r="K210" s="27"/>
      <c r="L210" s="27"/>
      <c r="M210" s="27"/>
      <c r="N210" s="27"/>
      <c r="O210" s="27"/>
    </row>
    <row r="211">
      <c r="A211" s="32">
        <f t="shared" si="1"/>
        <v>210</v>
      </c>
      <c r="B211" s="9" t="s">
        <v>179</v>
      </c>
      <c r="C211" s="11" t="s">
        <v>437</v>
      </c>
      <c r="D211" s="12" t="s">
        <v>914</v>
      </c>
      <c r="E211" s="18">
        <f>VLOOKUP(C211,'C Fittings'!$E$5:$I2469,5,0)</f>
        <v>0.056</v>
      </c>
      <c r="F211" s="27">
        <f>VLOOKUP(C211,'C Fittings'!E$5:$F2469,2,0)</f>
        <v>102.8</v>
      </c>
      <c r="G211" s="27">
        <f>IFERROR(VLOOKUP($C211,'C Fittings'!E174:O2469,11,0),0)</f>
        <v>114</v>
      </c>
      <c r="H211" s="27"/>
      <c r="I211" s="27"/>
      <c r="J211" s="27"/>
      <c r="K211" s="27"/>
      <c r="L211" s="27"/>
      <c r="M211" s="27"/>
      <c r="N211" s="27"/>
      <c r="O211" s="27"/>
    </row>
    <row r="212">
      <c r="A212" s="32">
        <f t="shared" si="1"/>
        <v>211</v>
      </c>
      <c r="B212" s="9" t="s">
        <v>179</v>
      </c>
      <c r="C212" s="11" t="s">
        <v>441</v>
      </c>
      <c r="D212" s="12" t="s">
        <v>915</v>
      </c>
      <c r="E212" s="18">
        <f>VLOOKUP(C212,'C Fittings'!$E$5:$I2469,5,0)</f>
        <v>0.067125</v>
      </c>
      <c r="F212" s="27">
        <f>VLOOKUP(C212,'C Fittings'!E$5:$F2469,2,0)</f>
        <v>168.8</v>
      </c>
      <c r="G212" s="27">
        <f>IFERROR(VLOOKUP($C212,'C Fittings'!E175:O2469,11,0),0)</f>
        <v>178</v>
      </c>
      <c r="H212" s="27"/>
      <c r="I212" s="27"/>
      <c r="J212" s="27"/>
      <c r="K212" s="27"/>
      <c r="L212" s="27"/>
      <c r="M212" s="27"/>
      <c r="N212" s="27"/>
      <c r="O212" s="27"/>
    </row>
    <row r="213">
      <c r="A213" s="32">
        <f t="shared" si="1"/>
        <v>212</v>
      </c>
      <c r="B213" s="9" t="s">
        <v>179</v>
      </c>
      <c r="C213" s="11" t="s">
        <v>446</v>
      </c>
      <c r="D213" s="12" t="s">
        <v>916</v>
      </c>
      <c r="E213" s="18">
        <f>VLOOKUP(C213,'C Fittings'!$E$5:$I2469,5,0)</f>
        <v>0.189</v>
      </c>
      <c r="F213" s="27">
        <f>VLOOKUP(C213,'C Fittings'!E$5:$F2469,2,0)</f>
        <v>368</v>
      </c>
      <c r="G213" s="27">
        <f>IFERROR(VLOOKUP($C213,'C Fittings'!E176:O2469,11,0),0)</f>
        <v>398</v>
      </c>
      <c r="H213" s="27"/>
      <c r="I213" s="27"/>
      <c r="J213" s="27"/>
      <c r="K213" s="27"/>
      <c r="L213" s="27"/>
      <c r="M213" s="27"/>
      <c r="N213" s="27"/>
      <c r="O213" s="27"/>
    </row>
    <row r="214">
      <c r="A214" s="32">
        <f t="shared" si="1"/>
        <v>213</v>
      </c>
      <c r="B214" s="9" t="s">
        <v>179</v>
      </c>
      <c r="C214" s="11" t="s">
        <v>453</v>
      </c>
      <c r="D214" s="12" t="s">
        <v>917</v>
      </c>
      <c r="E214" s="18">
        <f>VLOOKUP(C214,'C Fittings'!$E$5:$I2469,5,0)</f>
        <v>0.084</v>
      </c>
      <c r="F214" s="27">
        <f>VLOOKUP(C214,'C Fittings'!E$5:$F2469,2,0)</f>
        <v>158.6</v>
      </c>
      <c r="G214" s="27">
        <f>IFERROR(VLOOKUP($C214,'C Fittings'!E177:O2469,11,0),0)</f>
        <v>178</v>
      </c>
      <c r="H214" s="27"/>
      <c r="I214" s="27"/>
      <c r="J214" s="27"/>
      <c r="K214" s="27"/>
      <c r="L214" s="27"/>
      <c r="M214" s="27"/>
      <c r="N214" s="27"/>
      <c r="O214" s="27"/>
    </row>
    <row r="215">
      <c r="A215" s="32">
        <f t="shared" si="1"/>
        <v>214</v>
      </c>
      <c r="B215" s="9" t="s">
        <v>179</v>
      </c>
      <c r="C215" s="11" t="s">
        <v>460</v>
      </c>
      <c r="D215" s="12" t="s">
        <v>918</v>
      </c>
      <c r="E215" s="18">
        <f>VLOOKUP(C215,'C Fittings'!$E$5:$I2469,5,0)</f>
        <v>0.095</v>
      </c>
      <c r="F215" s="27">
        <f>VLOOKUP(C215,'C Fittings'!E$5:$F2469,2,0)</f>
        <v>212.8</v>
      </c>
      <c r="G215" s="27">
        <f>IFERROR(VLOOKUP($C215,'C Fittings'!E178:O2469,11,0),0)</f>
        <v>218</v>
      </c>
      <c r="H215" s="27"/>
      <c r="I215" s="27"/>
      <c r="J215" s="27"/>
      <c r="K215" s="27"/>
      <c r="L215" s="27"/>
      <c r="M215" s="27"/>
      <c r="N215" s="27"/>
      <c r="O215" s="27"/>
    </row>
    <row r="216">
      <c r="A216" s="32">
        <f t="shared" si="1"/>
        <v>215</v>
      </c>
      <c r="B216" s="9" t="s">
        <v>179</v>
      </c>
      <c r="C216" s="11" t="s">
        <v>468</v>
      </c>
      <c r="D216" s="12" t="s">
        <v>920</v>
      </c>
      <c r="E216" s="18">
        <f>VLOOKUP(C216,'C Fittings'!$E$5:$I2469,5,0)</f>
        <v>0.21</v>
      </c>
      <c r="F216" s="27">
        <f>VLOOKUP(C216,'C Fittings'!E$5:$F2469,2,0)</f>
        <v>358.8</v>
      </c>
      <c r="G216" s="27">
        <f>IFERROR(VLOOKUP($C216,'C Fittings'!E179:O2469,11,0),0)</f>
        <v>398</v>
      </c>
      <c r="H216" s="27"/>
      <c r="I216" s="27"/>
      <c r="J216" s="27"/>
      <c r="K216" s="27"/>
      <c r="L216" s="27"/>
      <c r="M216" s="27"/>
      <c r="N216" s="27"/>
      <c r="O216" s="27"/>
    </row>
    <row r="217">
      <c r="A217" s="32">
        <f t="shared" si="1"/>
        <v>216</v>
      </c>
      <c r="B217" s="9" t="s">
        <v>179</v>
      </c>
      <c r="C217" s="11" t="s">
        <v>496</v>
      </c>
      <c r="D217" s="12" t="s">
        <v>922</v>
      </c>
      <c r="E217" s="18">
        <f>VLOOKUP(C217,'C Fittings'!$E$5:$I2469,5,0)</f>
        <v>0.038</v>
      </c>
      <c r="F217" s="27">
        <f>VLOOKUP(C217,'C Fittings'!E$5:$F2469,2,0)</f>
        <v>105.8</v>
      </c>
      <c r="G217" s="27">
        <f>IFERROR(VLOOKUP($C217,'C Fittings'!E180:O2469,11,0),0)</f>
        <v>116</v>
      </c>
      <c r="H217" s="27"/>
      <c r="I217" s="27"/>
      <c r="J217" s="27"/>
      <c r="K217" s="27"/>
      <c r="L217" s="27"/>
      <c r="M217" s="27"/>
      <c r="N217" s="27"/>
      <c r="O217" s="27"/>
    </row>
    <row r="218">
      <c r="A218" s="32">
        <f t="shared" si="1"/>
        <v>217</v>
      </c>
      <c r="B218" s="9" t="s">
        <v>179</v>
      </c>
      <c r="C218" s="11" t="s">
        <v>497</v>
      </c>
      <c r="D218" s="12" t="s">
        <v>926</v>
      </c>
      <c r="E218" s="18">
        <f>VLOOKUP(C218,'C Fittings'!$E$5:$I2469,5,0)</f>
        <v>0.049</v>
      </c>
      <c r="F218" s="27">
        <f>VLOOKUP(C218,'C Fittings'!E$5:$F2469,2,0)</f>
        <v>138.2</v>
      </c>
      <c r="G218" s="27">
        <f>IFERROR(VLOOKUP($C218,'C Fittings'!E181:O2469,11,0),0)</f>
        <v>148</v>
      </c>
      <c r="H218" s="27"/>
      <c r="I218" s="27"/>
      <c r="J218" s="27"/>
      <c r="K218" s="27"/>
      <c r="L218" s="27"/>
      <c r="M218" s="27"/>
      <c r="N218" s="27"/>
      <c r="O218" s="27"/>
    </row>
    <row r="219">
      <c r="A219" s="32">
        <f t="shared" si="1"/>
        <v>218</v>
      </c>
      <c r="B219" s="9" t="s">
        <v>179</v>
      </c>
      <c r="C219" s="11" t="s">
        <v>510</v>
      </c>
      <c r="D219" s="12" t="s">
        <v>929</v>
      </c>
      <c r="E219" s="18">
        <f>VLOOKUP(C219,'C Fittings'!$E$5:$I2469,5,0)</f>
        <v>0.071</v>
      </c>
      <c r="F219" s="27">
        <f>VLOOKUP(C219,'C Fittings'!E$5:$F2469,2,0)</f>
        <v>148.8</v>
      </c>
      <c r="G219" s="27">
        <f>IFERROR(VLOOKUP($C219,'C Fittings'!E182:O2469,11,0),0)</f>
        <v>168</v>
      </c>
      <c r="H219" s="27"/>
      <c r="I219" s="27"/>
      <c r="J219" s="27"/>
      <c r="K219" s="27"/>
      <c r="L219" s="27"/>
      <c r="M219" s="27"/>
      <c r="N219" s="27"/>
      <c r="O219" s="27"/>
    </row>
    <row r="220">
      <c r="A220" s="32">
        <f t="shared" si="1"/>
        <v>219</v>
      </c>
      <c r="B220" s="9" t="s">
        <v>179</v>
      </c>
      <c r="C220" s="11" t="s">
        <v>591</v>
      </c>
      <c r="D220" s="12" t="s">
        <v>933</v>
      </c>
      <c r="E220" s="18">
        <f>VLOOKUP(C220,'C Fittings'!$E$5:$I2469,5,0)</f>
        <v>0.21</v>
      </c>
      <c r="F220" s="27">
        <f>VLOOKUP(C220,'C Fittings'!E$5:$F2469,2,0)</f>
        <v>482</v>
      </c>
      <c r="G220" s="27">
        <f>IFERROR(VLOOKUP($C220,'C Fittings'!E183:O2469,11,0),0)</f>
        <v>548</v>
      </c>
      <c r="H220" s="27"/>
      <c r="I220" s="27"/>
      <c r="J220" s="27"/>
      <c r="K220" s="27"/>
      <c r="L220" s="27"/>
      <c r="M220" s="27"/>
      <c r="N220" s="27"/>
      <c r="O220" s="27"/>
    </row>
    <row r="221">
      <c r="A221" s="32">
        <f t="shared" si="1"/>
        <v>220</v>
      </c>
      <c r="B221" s="9" t="s">
        <v>179</v>
      </c>
      <c r="C221" s="11" t="s">
        <v>610</v>
      </c>
      <c r="D221" s="12" t="s">
        <v>933</v>
      </c>
      <c r="E221" s="18">
        <f>VLOOKUP(C221,'C Fittings'!$E$5:$I2469,5,0)</f>
        <v>0.21</v>
      </c>
      <c r="F221" s="27">
        <f>VLOOKUP(C221,'C Fittings'!E$5:$F2469,2,0)</f>
        <v>482</v>
      </c>
      <c r="G221" s="27">
        <f>IFERROR(VLOOKUP($C221,'C Fittings'!E184:O2469,11,0),0)</f>
        <v>548</v>
      </c>
      <c r="H221" s="27"/>
      <c r="I221" s="27"/>
      <c r="J221" s="27"/>
      <c r="K221" s="27"/>
      <c r="L221" s="27"/>
      <c r="M221" s="27"/>
      <c r="N221" s="27"/>
      <c r="O221" s="27"/>
    </row>
    <row r="222">
      <c r="A222" s="32">
        <f t="shared" si="1"/>
        <v>221</v>
      </c>
      <c r="B222" s="9" t="s">
        <v>179</v>
      </c>
      <c r="C222" s="11" t="s">
        <v>618</v>
      </c>
      <c r="D222" s="12" t="s">
        <v>933</v>
      </c>
      <c r="E222" s="18">
        <f>VLOOKUP(C222,'C Fittings'!$E$5:$I2469,5,0)</f>
        <v>0.21</v>
      </c>
      <c r="F222" s="27">
        <f>VLOOKUP(C222,'C Fittings'!E$5:$F2469,2,0)</f>
        <v>482</v>
      </c>
      <c r="G222" s="27">
        <f>IFERROR(VLOOKUP($C222,'C Fittings'!E185:O2469,11,0),0)</f>
        <v>548</v>
      </c>
      <c r="H222" s="27"/>
      <c r="I222" s="27"/>
      <c r="J222" s="27"/>
      <c r="K222" s="27"/>
      <c r="L222" s="27"/>
      <c r="M222" s="27"/>
      <c r="N222" s="27"/>
      <c r="O222" s="27"/>
    </row>
    <row r="223">
      <c r="A223" s="32">
        <f t="shared" si="1"/>
        <v>222</v>
      </c>
      <c r="B223" s="9" t="s">
        <v>179</v>
      </c>
      <c r="C223" s="11" t="s">
        <v>630</v>
      </c>
      <c r="D223" s="12" t="s">
        <v>933</v>
      </c>
      <c r="E223" s="18">
        <f>VLOOKUP(C223,'C Fittings'!$E$5:$I2469,5,0)</f>
        <v>0.21</v>
      </c>
      <c r="F223" s="27">
        <f>VLOOKUP(C223,'C Fittings'!E$5:$F2469,2,0)</f>
        <v>482</v>
      </c>
      <c r="G223" s="27">
        <f>IFERROR(VLOOKUP($C223,'C Fittings'!E186:O2469,11,0),0)</f>
        <v>548</v>
      </c>
      <c r="H223" s="27"/>
      <c r="I223" s="27"/>
      <c r="J223" s="27"/>
      <c r="K223" s="27"/>
      <c r="L223" s="27"/>
      <c r="M223" s="27"/>
      <c r="N223" s="27"/>
      <c r="O223" s="27"/>
    </row>
    <row r="224">
      <c r="A224" s="32">
        <f t="shared" si="1"/>
        <v>223</v>
      </c>
      <c r="B224" s="9" t="s">
        <v>179</v>
      </c>
      <c r="C224" s="11" t="s">
        <v>639</v>
      </c>
      <c r="D224" s="12" t="s">
        <v>933</v>
      </c>
      <c r="E224" s="18">
        <f>VLOOKUP(C224,'C Fittings'!$E$5:$I2469,5,0)</f>
        <v>0.21</v>
      </c>
      <c r="F224" s="27">
        <f>VLOOKUP(C224,'C Fittings'!E$5:$F2469,2,0)</f>
        <v>482</v>
      </c>
      <c r="G224" s="27">
        <f>IFERROR(VLOOKUP($C224,'C Fittings'!E187:O2469,11,0),0)</f>
        <v>548</v>
      </c>
      <c r="H224" s="27"/>
      <c r="I224" s="27"/>
      <c r="J224" s="27"/>
      <c r="K224" s="27"/>
      <c r="L224" s="27"/>
      <c r="M224" s="27"/>
      <c r="N224" s="27"/>
      <c r="O224" s="27"/>
    </row>
    <row r="225">
      <c r="A225" s="32">
        <f t="shared" si="1"/>
        <v>224</v>
      </c>
      <c r="B225" s="9" t="s">
        <v>179</v>
      </c>
      <c r="C225" s="11" t="s">
        <v>654</v>
      </c>
      <c r="D225" s="12" t="s">
        <v>945</v>
      </c>
      <c r="E225" s="18">
        <f>VLOOKUP(C225,'C Fittings'!$E$5:$I2469,5,0)</f>
        <v>0.21</v>
      </c>
      <c r="F225" s="27">
        <f>VLOOKUP(C225,'C Fittings'!E$5:$F2469,2,0)</f>
        <v>558</v>
      </c>
      <c r="G225" s="27">
        <f>IFERROR(VLOOKUP($C225,'C Fittings'!E188:O2469,11,0),0)</f>
        <v>618</v>
      </c>
      <c r="H225" s="27"/>
      <c r="I225" s="27"/>
      <c r="J225" s="27"/>
      <c r="K225" s="27"/>
      <c r="L225" s="27"/>
      <c r="M225" s="27"/>
      <c r="N225" s="27"/>
      <c r="O225" s="27"/>
    </row>
    <row r="226">
      <c r="A226" s="32">
        <f t="shared" si="1"/>
        <v>225</v>
      </c>
      <c r="B226" s="9" t="s">
        <v>179</v>
      </c>
      <c r="C226" s="11" t="s">
        <v>662</v>
      </c>
      <c r="D226" s="12" t="s">
        <v>945</v>
      </c>
      <c r="E226" s="18">
        <f>VLOOKUP(C226,'C Fittings'!$E$5:$I2469,5,0)</f>
        <v>0.21</v>
      </c>
      <c r="F226" s="27">
        <f>VLOOKUP(C226,'C Fittings'!E$5:$F2469,2,0)</f>
        <v>558</v>
      </c>
      <c r="G226" s="27">
        <f>IFERROR(VLOOKUP($C226,'C Fittings'!E189:O2469,11,0),0)</f>
        <v>618</v>
      </c>
      <c r="H226" s="27"/>
      <c r="I226" s="27"/>
      <c r="J226" s="27"/>
      <c r="K226" s="27"/>
      <c r="L226" s="27"/>
      <c r="M226" s="27"/>
      <c r="N226" s="27"/>
      <c r="O226" s="27"/>
    </row>
    <row r="227">
      <c r="A227" s="32">
        <f t="shared" si="1"/>
        <v>226</v>
      </c>
      <c r="B227" s="9" t="s">
        <v>179</v>
      </c>
      <c r="C227" s="11" t="s">
        <v>665</v>
      </c>
      <c r="D227" s="12" t="s">
        <v>945</v>
      </c>
      <c r="E227" s="18">
        <f>VLOOKUP(C227,'C Fittings'!$E$5:$I2469,5,0)</f>
        <v>0.21</v>
      </c>
      <c r="F227" s="27">
        <f>VLOOKUP(C227,'C Fittings'!E$5:$F2469,2,0)</f>
        <v>558</v>
      </c>
      <c r="G227" s="27">
        <f>IFERROR(VLOOKUP($C227,'C Fittings'!E190:O2469,11,0),0)</f>
        <v>618</v>
      </c>
      <c r="H227" s="27"/>
      <c r="I227" s="27"/>
      <c r="J227" s="27"/>
      <c r="K227" s="27"/>
      <c r="L227" s="27"/>
      <c r="M227" s="27"/>
      <c r="N227" s="27"/>
      <c r="O227" s="27"/>
    </row>
    <row r="228">
      <c r="A228" s="32">
        <f t="shared" si="1"/>
        <v>227</v>
      </c>
      <c r="B228" s="9" t="s">
        <v>179</v>
      </c>
      <c r="C228" s="11" t="s">
        <v>667</v>
      </c>
      <c r="D228" s="12" t="s">
        <v>945</v>
      </c>
      <c r="E228" s="18">
        <f>VLOOKUP(C228,'C Fittings'!$E$5:$I2469,5,0)</f>
        <v>0.21</v>
      </c>
      <c r="F228" s="27">
        <f>VLOOKUP(C228,'C Fittings'!E$5:$F2469,2,0)</f>
        <v>558</v>
      </c>
      <c r="G228" s="27">
        <f>IFERROR(VLOOKUP($C228,'C Fittings'!E191:O2469,11,0),0)</f>
        <v>618</v>
      </c>
      <c r="H228" s="27"/>
      <c r="I228" s="27"/>
      <c r="J228" s="27"/>
      <c r="K228" s="27"/>
      <c r="L228" s="27"/>
      <c r="M228" s="27"/>
      <c r="N228" s="27"/>
      <c r="O228" s="27"/>
    </row>
    <row r="229">
      <c r="A229" s="32">
        <f t="shared" si="1"/>
        <v>228</v>
      </c>
      <c r="B229" s="9" t="s">
        <v>179</v>
      </c>
      <c r="C229" s="11" t="s">
        <v>670</v>
      </c>
      <c r="D229" s="12" t="s">
        <v>945</v>
      </c>
      <c r="E229" s="18">
        <f>VLOOKUP(C229,'C Fittings'!$E$5:$I2469,5,0)</f>
        <v>0.21</v>
      </c>
      <c r="F229" s="27">
        <f>VLOOKUP(C229,'C Fittings'!E$5:$F2469,2,0)</f>
        <v>558</v>
      </c>
      <c r="G229" s="27">
        <f>IFERROR(VLOOKUP($C229,'C Fittings'!E192:O2469,11,0),0)</f>
        <v>618</v>
      </c>
      <c r="H229" s="27"/>
      <c r="I229" s="27"/>
      <c r="J229" s="27"/>
      <c r="K229" s="27"/>
      <c r="L229" s="27"/>
      <c r="M229" s="27"/>
      <c r="N229" s="27"/>
      <c r="O229" s="27"/>
    </row>
    <row r="230">
      <c r="A230" s="32">
        <f t="shared" si="1"/>
        <v>229</v>
      </c>
      <c r="B230" s="9" t="s">
        <v>179</v>
      </c>
      <c r="C230" s="11" t="s">
        <v>690</v>
      </c>
      <c r="D230" s="12" t="s">
        <v>953</v>
      </c>
      <c r="E230" s="18">
        <f>VLOOKUP(C230,'C Fittings'!$E$5:$I2469,5,0)</f>
        <v>0.16</v>
      </c>
      <c r="F230" s="27">
        <f>VLOOKUP(C230,'C Fittings'!E$5:$F2469,2,0)</f>
        <v>398</v>
      </c>
      <c r="G230" s="27">
        <f>IFERROR(VLOOKUP($C230,'C Fittings'!E193:O2469,11,0),0)</f>
        <v>444</v>
      </c>
      <c r="H230" s="27"/>
      <c r="I230" s="27"/>
      <c r="J230" s="27"/>
      <c r="K230" s="27"/>
      <c r="L230" s="27"/>
      <c r="M230" s="27"/>
      <c r="N230" s="27"/>
      <c r="O230" s="27"/>
    </row>
    <row r="231">
      <c r="A231" s="32">
        <f t="shared" si="1"/>
        <v>230</v>
      </c>
      <c r="B231" s="9" t="s">
        <v>179</v>
      </c>
      <c r="C231" s="11" t="s">
        <v>955</v>
      </c>
      <c r="D231" s="12" t="s">
        <v>956</v>
      </c>
      <c r="E231" s="18">
        <f>VLOOKUP(C231,'C Fittings'!$E$5:$I2469,5,0)</f>
        <v>0.01535</v>
      </c>
      <c r="F231" s="27">
        <f>VLOOKUP(C231,'C Fittings'!E$5:$F2469,2,0)</f>
        <v>8.2</v>
      </c>
      <c r="G231" s="27">
        <f>IFERROR(VLOOKUP($C231,'C Fittings'!E194:O2469,11,0),0)</f>
        <v>8.2</v>
      </c>
      <c r="H231" s="27"/>
      <c r="I231" s="27"/>
      <c r="J231" s="27"/>
      <c r="K231" s="27"/>
      <c r="L231" s="27"/>
      <c r="M231" s="27"/>
      <c r="N231" s="27"/>
      <c r="O231" s="27"/>
    </row>
    <row r="232">
      <c r="A232" s="32">
        <f t="shared" si="1"/>
        <v>231</v>
      </c>
      <c r="B232" s="9" t="s">
        <v>179</v>
      </c>
      <c r="C232" s="11" t="s">
        <v>961</v>
      </c>
      <c r="D232" s="12" t="s">
        <v>962</v>
      </c>
      <c r="E232" s="18">
        <f>VLOOKUP(C232,'C Fittings'!$E$5:$I2469,5,0)</f>
        <v>0.019</v>
      </c>
      <c r="F232" s="27">
        <f>VLOOKUP(C232,'C Fittings'!E$5:$F2469,2,0)</f>
        <v>9.8</v>
      </c>
      <c r="G232" s="27">
        <f>IFERROR(VLOOKUP($C232,'C Fittings'!E195:O2469,11,0),0)</f>
        <v>9.8</v>
      </c>
      <c r="H232" s="27"/>
      <c r="I232" s="27"/>
      <c r="J232" s="27"/>
      <c r="K232" s="27"/>
      <c r="L232" s="27"/>
      <c r="M232" s="27"/>
      <c r="N232" s="27"/>
      <c r="O232" s="27"/>
    </row>
    <row r="233">
      <c r="A233" s="32">
        <f t="shared" si="1"/>
        <v>232</v>
      </c>
      <c r="B233" s="9" t="s">
        <v>179</v>
      </c>
      <c r="C233" s="11" t="s">
        <v>967</v>
      </c>
      <c r="D233" s="12" t="s">
        <v>968</v>
      </c>
      <c r="E233" s="18">
        <f>VLOOKUP(C233,'C Fittings'!$E$5:$I2469,5,0)</f>
        <v>0.086</v>
      </c>
      <c r="F233" s="27">
        <f>VLOOKUP(C233,'C Fittings'!E$5:$F2469,2,0)</f>
        <v>92.8</v>
      </c>
      <c r="G233" s="27">
        <f>IFERROR(VLOOKUP($C233,'C Fittings'!E196:O2469,11,0),0)</f>
        <v>92.8</v>
      </c>
      <c r="H233" s="27"/>
      <c r="I233" s="27"/>
      <c r="J233" s="27"/>
      <c r="K233" s="27"/>
      <c r="L233" s="27"/>
      <c r="M233" s="27"/>
      <c r="N233" s="27"/>
      <c r="O233" s="27"/>
    </row>
    <row r="234">
      <c r="A234" s="32">
        <f t="shared" si="1"/>
        <v>233</v>
      </c>
      <c r="B234" s="9" t="s">
        <v>179</v>
      </c>
      <c r="C234" s="11" t="s">
        <v>970</v>
      </c>
      <c r="D234" s="12" t="s">
        <v>971</v>
      </c>
      <c r="E234" s="18">
        <f>VLOOKUP(C234,'C Fittings'!$E$5:$I2469,5,0)</f>
        <v>0.08325</v>
      </c>
      <c r="F234" s="27">
        <f>VLOOKUP(C234,'C Fittings'!E$5:$F2469,2,0)</f>
        <v>136</v>
      </c>
      <c r="G234" s="27">
        <f>IFERROR(VLOOKUP($C234,'C Fittings'!E197:O2469,11,0),0)</f>
        <v>136</v>
      </c>
      <c r="H234" s="27"/>
      <c r="I234" s="27"/>
      <c r="J234" s="27"/>
      <c r="K234" s="27"/>
      <c r="L234" s="27"/>
      <c r="M234" s="27"/>
      <c r="N234" s="27"/>
      <c r="O234" s="27"/>
    </row>
    <row r="235">
      <c r="A235" s="32">
        <f t="shared" si="1"/>
        <v>234</v>
      </c>
      <c r="B235" s="9" t="s">
        <v>179</v>
      </c>
      <c r="C235" s="11" t="s">
        <v>974</v>
      </c>
      <c r="D235" s="12" t="s">
        <v>975</v>
      </c>
      <c r="E235" s="18">
        <f>VLOOKUP(C235,'C Fittings'!$E$5:$I2469,5,0)</f>
        <v>0.188</v>
      </c>
      <c r="F235" s="27">
        <f>VLOOKUP(C235,'C Fittings'!E$5:$F2469,2,0)</f>
        <v>278</v>
      </c>
      <c r="G235" s="27">
        <f>IFERROR(VLOOKUP($C235,'C Fittings'!E198:O2469,11,0),0)</f>
        <v>278</v>
      </c>
      <c r="H235" s="27"/>
      <c r="I235" s="27"/>
      <c r="J235" s="27"/>
      <c r="K235" s="27"/>
      <c r="L235" s="27"/>
      <c r="M235" s="27"/>
      <c r="N235" s="27"/>
      <c r="O235" s="27"/>
    </row>
    <row r="236">
      <c r="A236" s="32">
        <f t="shared" si="1"/>
        <v>235</v>
      </c>
      <c r="B236" s="9" t="s">
        <v>179</v>
      </c>
      <c r="C236" s="11" t="s">
        <v>979</v>
      </c>
      <c r="D236" s="12" t="s">
        <v>980</v>
      </c>
      <c r="E236" s="18">
        <f>VLOOKUP(C236,'C Fittings'!$E$5:$I2469,5,0)</f>
        <v>0.421</v>
      </c>
      <c r="F236" s="27">
        <f>VLOOKUP(C236,'C Fittings'!E$5:$F2469,2,0)</f>
        <v>544</v>
      </c>
      <c r="G236" s="27">
        <f>IFERROR(VLOOKUP($C236,'C Fittings'!E199:O2469,11,0),0)</f>
        <v>544</v>
      </c>
      <c r="H236" s="27"/>
      <c r="I236" s="27"/>
      <c r="J236" s="27"/>
      <c r="K236" s="27"/>
      <c r="L236" s="27"/>
      <c r="M236" s="27"/>
      <c r="N236" s="27"/>
      <c r="O236" s="27"/>
    </row>
    <row r="237">
      <c r="A237" s="32">
        <f t="shared" si="1"/>
        <v>236</v>
      </c>
      <c r="B237" s="9" t="s">
        <v>179</v>
      </c>
      <c r="C237" s="11" t="s">
        <v>986</v>
      </c>
      <c r="D237" s="12" t="s">
        <v>987</v>
      </c>
      <c r="E237" s="18">
        <f>VLOOKUP(C237,'C Fittings'!$E$5:$I2469,5,0)</f>
        <v>0</v>
      </c>
      <c r="F237" s="27">
        <f>VLOOKUP(C237,'C Fittings'!E$5:$F2469,2,0)</f>
        <v>24</v>
      </c>
      <c r="G237" s="27">
        <f>IFERROR(VLOOKUP($C237,'C Fittings'!E200:O2469,11,0),0)</f>
        <v>24</v>
      </c>
      <c r="H237" s="27"/>
      <c r="I237" s="27"/>
      <c r="J237" s="27"/>
      <c r="K237" s="27"/>
      <c r="L237" s="27"/>
      <c r="M237" s="27"/>
      <c r="N237" s="27"/>
      <c r="O237" s="27"/>
    </row>
    <row r="238">
      <c r="A238" s="32">
        <f t="shared" si="1"/>
        <v>237</v>
      </c>
      <c r="B238" s="9" t="s">
        <v>179</v>
      </c>
      <c r="C238" s="11" t="s">
        <v>990</v>
      </c>
      <c r="D238" s="12" t="s">
        <v>991</v>
      </c>
      <c r="E238" s="18">
        <f>VLOOKUP(C238,'C Fittings'!$E$5:$I2469,5,0)</f>
        <v>0</v>
      </c>
      <c r="F238" s="27">
        <f>VLOOKUP(C238,'C Fittings'!E$5:$F2469,2,0)</f>
        <v>34</v>
      </c>
      <c r="G238" s="27">
        <f>IFERROR(VLOOKUP($C238,'C Fittings'!E201:O2469,11,0),0)</f>
        <v>34</v>
      </c>
      <c r="H238" s="27"/>
      <c r="I238" s="27"/>
      <c r="J238" s="27"/>
      <c r="K238" s="27"/>
      <c r="L238" s="27"/>
      <c r="M238" s="27"/>
      <c r="N238" s="27"/>
      <c r="O238" s="27"/>
    </row>
    <row r="239">
      <c r="A239" s="32">
        <f t="shared" si="1"/>
        <v>238</v>
      </c>
      <c r="B239" s="9" t="s">
        <v>179</v>
      </c>
      <c r="C239" s="11" t="s">
        <v>993</v>
      </c>
      <c r="D239" s="12" t="s">
        <v>995</v>
      </c>
      <c r="E239" s="18">
        <f>VLOOKUP(C239,'C Fittings'!$E$5:$I2469,5,0)</f>
        <v>0</v>
      </c>
      <c r="F239" s="27">
        <f>VLOOKUP(C239,'C Fittings'!E$5:$F2469,2,0)</f>
        <v>58</v>
      </c>
      <c r="G239" s="27">
        <f>IFERROR(VLOOKUP($C239,'C Fittings'!E202:O2469,11,0),0)</f>
        <v>58</v>
      </c>
      <c r="H239" s="27"/>
      <c r="I239" s="27"/>
      <c r="J239" s="27"/>
      <c r="K239" s="27"/>
      <c r="L239" s="27"/>
      <c r="M239" s="27"/>
      <c r="N239" s="27"/>
      <c r="O239" s="27"/>
    </row>
    <row r="240">
      <c r="A240" s="32">
        <f t="shared" si="1"/>
        <v>239</v>
      </c>
      <c r="B240" s="9" t="s">
        <v>179</v>
      </c>
      <c r="C240" s="11" t="s">
        <v>999</v>
      </c>
      <c r="D240" s="12" t="s">
        <v>1000</v>
      </c>
      <c r="E240" s="18">
        <f>VLOOKUP(C240,'C Fittings'!$E$5:$I2469,5,0)</f>
        <v>0</v>
      </c>
      <c r="F240" s="27">
        <f>VLOOKUP(C240,'C Fittings'!E$5:$F2469,2,0)</f>
        <v>72</v>
      </c>
      <c r="G240" s="27">
        <f>IFERROR(VLOOKUP($C240,'C Fittings'!E203:O2469,11,0),0)</f>
        <v>72</v>
      </c>
      <c r="H240" s="27"/>
      <c r="I240" s="27"/>
      <c r="J240" s="27"/>
      <c r="K240" s="27"/>
      <c r="L240" s="27"/>
      <c r="M240" s="27"/>
      <c r="N240" s="27"/>
      <c r="O240" s="27"/>
    </row>
    <row r="241">
      <c r="A241" s="32">
        <f t="shared" si="1"/>
        <v>240</v>
      </c>
      <c r="B241" s="9" t="s">
        <v>179</v>
      </c>
      <c r="C241" s="11" t="s">
        <v>1004</v>
      </c>
      <c r="D241" s="12" t="s">
        <v>1005</v>
      </c>
      <c r="E241" s="18">
        <f>VLOOKUP(C241,'C Fittings'!$E$5:$I2469,5,0)</f>
        <v>0</v>
      </c>
      <c r="F241" s="27">
        <f>VLOOKUP(C241,'C Fittings'!E$5:$F2469,2,0)</f>
        <v>108</v>
      </c>
      <c r="G241" s="27">
        <f>IFERROR(VLOOKUP($C241,'C Fittings'!E204:O2469,11,0),0)</f>
        <v>108</v>
      </c>
      <c r="H241" s="27"/>
      <c r="I241" s="27"/>
      <c r="J241" s="27"/>
      <c r="K241" s="27"/>
      <c r="L241" s="27"/>
      <c r="M241" s="27"/>
      <c r="N241" s="27"/>
      <c r="O241" s="27"/>
    </row>
    <row r="242">
      <c r="A242" s="32">
        <f t="shared" si="1"/>
        <v>241</v>
      </c>
      <c r="B242" s="9" t="s">
        <v>179</v>
      </c>
      <c r="C242" s="11" t="s">
        <v>1006</v>
      </c>
      <c r="D242" s="12" t="s">
        <v>1007</v>
      </c>
      <c r="E242" s="18">
        <f>VLOOKUP(C242,'C Fittings'!$E$5:$I2469,5,0)</f>
        <v>0</v>
      </c>
      <c r="F242" s="27">
        <f>VLOOKUP(C242,'C Fittings'!E$5:$F2469,2,0)</f>
        <v>1280</v>
      </c>
      <c r="G242" s="27">
        <f>IFERROR(VLOOKUP($C242,'C Fittings'!E205:O2469,11,0),0)</f>
        <v>1280</v>
      </c>
      <c r="H242" s="27"/>
      <c r="I242" s="27"/>
      <c r="J242" s="27"/>
      <c r="K242" s="27"/>
      <c r="L242" s="27"/>
      <c r="M242" s="27"/>
      <c r="N242" s="27"/>
      <c r="O242" s="27"/>
    </row>
    <row r="243">
      <c r="A243" s="32">
        <f t="shared" si="1"/>
        <v>242</v>
      </c>
      <c r="B243" s="9" t="s">
        <v>179</v>
      </c>
      <c r="C243" s="11" t="s">
        <v>1008</v>
      </c>
      <c r="D243" s="12" t="s">
        <v>1009</v>
      </c>
      <c r="E243" s="18">
        <f>VLOOKUP(C243,'C Fittings'!$E$5:$I2469,5,0)</f>
        <v>0.692</v>
      </c>
      <c r="F243" s="27">
        <f>VLOOKUP(C243,'C Fittings'!E$5:$F2469,2,0)</f>
        <v>1660</v>
      </c>
      <c r="G243" s="27">
        <f>IFERROR(VLOOKUP($C243,'C Fittings'!E206:O2469,11,0),0)</f>
        <v>1660</v>
      </c>
      <c r="H243" s="27"/>
      <c r="I243" s="27"/>
      <c r="J243" s="27"/>
      <c r="K243" s="27"/>
      <c r="L243" s="27"/>
      <c r="M243" s="27"/>
      <c r="N243" s="27"/>
      <c r="O243" s="27"/>
    </row>
    <row r="244">
      <c r="A244" s="32">
        <f t="shared" si="1"/>
        <v>243</v>
      </c>
      <c r="B244" s="9" t="s">
        <v>179</v>
      </c>
      <c r="C244" s="11" t="s">
        <v>1010</v>
      </c>
      <c r="D244" s="12" t="s">
        <v>1011</v>
      </c>
      <c r="E244" s="18">
        <f>VLOOKUP(C244,'C Fittings'!$E$5:$I2469,5,0)</f>
        <v>1.277</v>
      </c>
      <c r="F244" s="27">
        <f>VLOOKUP(C244,'C Fittings'!E$5:$F2469,2,0)</f>
        <v>2480</v>
      </c>
      <c r="G244" s="27">
        <f>IFERROR(VLOOKUP($C244,'C Fittings'!E207:O2469,11,0),0)</f>
        <v>2480</v>
      </c>
      <c r="H244" s="27"/>
      <c r="I244" s="27"/>
      <c r="J244" s="27"/>
      <c r="K244" s="27"/>
      <c r="L244" s="27"/>
      <c r="M244" s="27"/>
      <c r="N244" s="27"/>
      <c r="O244" s="27"/>
    </row>
    <row r="245">
      <c r="A245" s="32">
        <f t="shared" si="1"/>
        <v>244</v>
      </c>
      <c r="B245" s="9" t="s">
        <v>179</v>
      </c>
      <c r="C245" s="11" t="s">
        <v>1012</v>
      </c>
      <c r="D245" s="12" t="s">
        <v>1013</v>
      </c>
      <c r="E245" s="18">
        <f>VLOOKUP(C245,'C Fittings'!$E$5:$I2469,5,0)</f>
        <v>0.002</v>
      </c>
      <c r="F245" s="27">
        <f>VLOOKUP(C245,'C Fittings'!E$5:$F2469,2,0)</f>
        <v>4.2</v>
      </c>
      <c r="G245" s="27">
        <f>IFERROR(VLOOKUP($C245,'C Fittings'!E208:O2469,11,0),0)</f>
        <v>4.2</v>
      </c>
      <c r="H245" s="27"/>
      <c r="I245" s="27"/>
      <c r="J245" s="27"/>
      <c r="K245" s="27"/>
      <c r="L245" s="27"/>
      <c r="M245" s="27"/>
      <c r="N245" s="27"/>
      <c r="O245" s="27"/>
    </row>
    <row r="246">
      <c r="A246" s="32">
        <f t="shared" si="1"/>
        <v>245</v>
      </c>
      <c r="B246" s="9" t="s">
        <v>179</v>
      </c>
      <c r="C246" s="11" t="s">
        <v>1015</v>
      </c>
      <c r="D246" s="12" t="s">
        <v>1016</v>
      </c>
      <c r="E246" s="18">
        <f>VLOOKUP(C246,'C Fittings'!$E$5:$I2469,5,0)</f>
        <v>0.00151</v>
      </c>
      <c r="F246" s="27">
        <f>VLOOKUP(C246,'C Fittings'!E$5:$F2469,2,0)</f>
        <v>4.6</v>
      </c>
      <c r="G246" s="27">
        <f>IFERROR(VLOOKUP($C246,'C Fittings'!E209:O2469,11,0),0)</f>
        <v>4.6</v>
      </c>
      <c r="H246" s="27"/>
      <c r="I246" s="27"/>
      <c r="J246" s="27"/>
      <c r="K246" s="27"/>
      <c r="L246" s="27"/>
      <c r="M246" s="27"/>
      <c r="N246" s="27"/>
      <c r="O246" s="27"/>
    </row>
    <row r="247">
      <c r="A247" s="32">
        <f t="shared" si="1"/>
        <v>246</v>
      </c>
      <c r="B247" s="9" t="s">
        <v>179</v>
      </c>
      <c r="C247" s="11" t="s">
        <v>1017</v>
      </c>
      <c r="D247" s="12" t="s">
        <v>1018</v>
      </c>
      <c r="E247" s="18">
        <f>VLOOKUP(C247,'C Fittings'!$E$5:$I2469,5,0)</f>
        <v>0.00212</v>
      </c>
      <c r="F247" s="27">
        <f>VLOOKUP(C247,'C Fittings'!E$5:$F2469,2,0)</f>
        <v>5.6</v>
      </c>
      <c r="G247" s="27">
        <f>IFERROR(VLOOKUP($C247,'C Fittings'!E210:O2469,11,0),0)</f>
        <v>5.6</v>
      </c>
      <c r="H247" s="27"/>
      <c r="I247" s="27"/>
      <c r="J247" s="27"/>
      <c r="K247" s="27"/>
      <c r="L247" s="27"/>
      <c r="M247" s="27"/>
      <c r="N247" s="27"/>
      <c r="O247" s="27"/>
    </row>
    <row r="248">
      <c r="A248" s="32">
        <f t="shared" si="1"/>
        <v>247</v>
      </c>
      <c r="B248" s="9" t="s">
        <v>179</v>
      </c>
      <c r="C248" s="11" t="s">
        <v>1019</v>
      </c>
      <c r="D248" s="12" t="s">
        <v>1020</v>
      </c>
      <c r="E248" s="18">
        <f>VLOOKUP(C248,'C Fittings'!$E$5:$I2469,5,0)</f>
        <v>0</v>
      </c>
      <c r="F248" s="27">
        <f>VLOOKUP(C248,'C Fittings'!E$5:$F2469,2,0)</f>
        <v>10.4</v>
      </c>
      <c r="G248" s="27">
        <f>IFERROR(VLOOKUP($C248,'C Fittings'!E211:O2469,11,0),0)</f>
        <v>10.4</v>
      </c>
      <c r="H248" s="27"/>
      <c r="I248" s="27"/>
      <c r="J248" s="27"/>
      <c r="K248" s="27"/>
      <c r="L248" s="27"/>
      <c r="M248" s="27"/>
      <c r="N248" s="27"/>
      <c r="O248" s="27"/>
    </row>
    <row r="249">
      <c r="A249" s="32">
        <f t="shared" si="1"/>
        <v>248</v>
      </c>
      <c r="B249" s="9" t="s">
        <v>179</v>
      </c>
      <c r="C249" s="11" t="s">
        <v>1021</v>
      </c>
      <c r="D249" s="12" t="s">
        <v>1022</v>
      </c>
      <c r="E249" s="18">
        <f>VLOOKUP(C249,'C Fittings'!$E$5:$I2469,5,0)</f>
        <v>0</v>
      </c>
      <c r="F249" s="27">
        <f>VLOOKUP(C249,'C Fittings'!E$5:$F2469,2,0)</f>
        <v>11.9</v>
      </c>
      <c r="G249" s="27">
        <f>IFERROR(VLOOKUP($C249,'C Fittings'!E212:O2469,11,0),0)</f>
        <v>11.9</v>
      </c>
      <c r="H249" s="27"/>
      <c r="I249" s="27"/>
      <c r="J249" s="27"/>
      <c r="K249" s="27"/>
      <c r="L249" s="27"/>
      <c r="M249" s="27"/>
      <c r="N249" s="27"/>
      <c r="O249" s="27"/>
    </row>
    <row r="250">
      <c r="A250" s="32">
        <f t="shared" si="1"/>
        <v>249</v>
      </c>
      <c r="B250" s="9" t="s">
        <v>179</v>
      </c>
      <c r="C250" s="11" t="s">
        <v>1024</v>
      </c>
      <c r="D250" s="12" t="s">
        <v>1025</v>
      </c>
      <c r="E250" s="18">
        <f>VLOOKUP(C250,'C Fittings'!$E$5:$I2469,5,0)</f>
        <v>0</v>
      </c>
      <c r="F250" s="27">
        <f>VLOOKUP(C250,'C Fittings'!E$5:$F2469,2,0)</f>
        <v>13.9</v>
      </c>
      <c r="G250" s="27">
        <f>IFERROR(VLOOKUP($C250,'C Fittings'!E213:O2469,11,0),0)</f>
        <v>13.9</v>
      </c>
      <c r="H250" s="27"/>
      <c r="I250" s="27"/>
      <c r="J250" s="27"/>
      <c r="K250" s="27"/>
      <c r="L250" s="27"/>
      <c r="M250" s="27"/>
      <c r="N250" s="27"/>
      <c r="O250" s="27"/>
    </row>
    <row r="251">
      <c r="A251" s="32">
        <f t="shared" si="1"/>
        <v>250</v>
      </c>
      <c r="B251" s="9" t="s">
        <v>179</v>
      </c>
      <c r="C251" s="11" t="s">
        <v>1026</v>
      </c>
      <c r="D251" s="12" t="s">
        <v>1027</v>
      </c>
      <c r="E251" s="18">
        <f>VLOOKUP(C251,'C Fittings'!$E$5:$I2469,5,0)</f>
        <v>0</v>
      </c>
      <c r="F251" s="27">
        <f>VLOOKUP(C251,'C Fittings'!E$5:$F2469,2,0)</f>
        <v>14.9</v>
      </c>
      <c r="G251" s="27">
        <f>IFERROR(VLOOKUP($C251,'C Fittings'!E214:O2469,11,0),0)</f>
        <v>14.9</v>
      </c>
      <c r="H251" s="27"/>
      <c r="I251" s="27"/>
      <c r="J251" s="27"/>
      <c r="K251" s="27"/>
      <c r="L251" s="27"/>
      <c r="M251" s="27"/>
      <c r="N251" s="27"/>
      <c r="O251" s="27"/>
    </row>
    <row r="252">
      <c r="A252" s="32">
        <f t="shared" si="1"/>
        <v>251</v>
      </c>
      <c r="B252" s="9" t="s">
        <v>179</v>
      </c>
      <c r="C252" s="11" t="s">
        <v>1028</v>
      </c>
      <c r="D252" s="12" t="s">
        <v>1029</v>
      </c>
      <c r="E252" s="18">
        <f>VLOOKUP(C252,'C Fittings'!$E$5:$I2469,5,0)</f>
        <v>0</v>
      </c>
      <c r="F252" s="27">
        <f>VLOOKUP(C252,'C Fittings'!E$5:$F2469,2,0)</f>
        <v>15.9</v>
      </c>
      <c r="G252" s="27">
        <f>IFERROR(VLOOKUP($C252,'C Fittings'!E215:O2469,11,0),0)</f>
        <v>15.9</v>
      </c>
      <c r="H252" s="27"/>
      <c r="I252" s="27"/>
      <c r="J252" s="27"/>
      <c r="K252" s="27"/>
      <c r="L252" s="27"/>
      <c r="M252" s="27"/>
      <c r="N252" s="27"/>
      <c r="O252" s="27"/>
    </row>
    <row r="253">
      <c r="A253" s="32">
        <f t="shared" si="1"/>
        <v>252</v>
      </c>
      <c r="B253" s="9" t="s">
        <v>179</v>
      </c>
      <c r="C253" s="11" t="s">
        <v>1030</v>
      </c>
      <c r="D253" s="12" t="s">
        <v>1031</v>
      </c>
      <c r="E253" s="18">
        <f>VLOOKUP(C253,'C Fittings'!$E$5:$I2469,5,0)</f>
        <v>0</v>
      </c>
      <c r="F253" s="27">
        <f>VLOOKUP(C253,'C Fittings'!E$5:$F2469,2,0)</f>
        <v>23.8</v>
      </c>
      <c r="G253" s="27">
        <f>IFERROR(VLOOKUP($C253,'C Fittings'!E216:O2469,11,0),0)</f>
        <v>23.8</v>
      </c>
      <c r="H253" s="27"/>
      <c r="I253" s="27"/>
      <c r="J253" s="27"/>
      <c r="K253" s="27"/>
      <c r="L253" s="27"/>
      <c r="M253" s="27"/>
      <c r="N253" s="27"/>
      <c r="O253" s="27"/>
    </row>
    <row r="254">
      <c r="A254" s="32">
        <f t="shared" si="1"/>
        <v>253</v>
      </c>
      <c r="B254" s="9" t="s">
        <v>179</v>
      </c>
      <c r="C254" s="11" t="s">
        <v>1033</v>
      </c>
      <c r="D254" s="12" t="s">
        <v>1034</v>
      </c>
      <c r="E254" s="18">
        <f>VLOOKUP(C254,'C Fittings'!$E$5:$I2469,5,0)</f>
        <v>0</v>
      </c>
      <c r="F254" s="27">
        <f>VLOOKUP(C254,'C Fittings'!E$5:$F2469,2,0)</f>
        <v>12.9</v>
      </c>
      <c r="G254" s="27">
        <f>IFERROR(VLOOKUP($C254,'C Fittings'!E217:O2469,11,0),0)</f>
        <v>12.9</v>
      </c>
      <c r="H254" s="27"/>
      <c r="I254" s="27"/>
      <c r="J254" s="27"/>
      <c r="K254" s="27"/>
      <c r="L254" s="27"/>
      <c r="M254" s="27"/>
      <c r="N254" s="27"/>
      <c r="O254" s="27"/>
    </row>
    <row r="255">
      <c r="A255" s="32">
        <f t="shared" si="1"/>
        <v>254</v>
      </c>
      <c r="B255" s="9" t="s">
        <v>179</v>
      </c>
      <c r="C255" s="11" t="s">
        <v>1035</v>
      </c>
      <c r="D255" s="12" t="s">
        <v>1036</v>
      </c>
      <c r="E255" s="18">
        <f>VLOOKUP(C255,'C Fittings'!$E$5:$I2469,5,0)</f>
        <v>0</v>
      </c>
      <c r="F255" s="27">
        <f>VLOOKUP(C255,'C Fittings'!E$5:$F2469,2,0)</f>
        <v>13.9</v>
      </c>
      <c r="G255" s="27">
        <f>IFERROR(VLOOKUP($C255,'C Fittings'!E218:O2469,11,0),0)</f>
        <v>13.9</v>
      </c>
      <c r="H255" s="27"/>
      <c r="I255" s="27"/>
      <c r="J255" s="27"/>
      <c r="K255" s="27"/>
      <c r="L255" s="27"/>
      <c r="M255" s="27"/>
      <c r="N255" s="27"/>
      <c r="O255" s="27"/>
    </row>
    <row r="256">
      <c r="A256" s="32">
        <f t="shared" si="1"/>
        <v>255</v>
      </c>
      <c r="B256" s="9" t="s">
        <v>179</v>
      </c>
      <c r="C256" s="11" t="s">
        <v>1037</v>
      </c>
      <c r="D256" s="12" t="s">
        <v>1038</v>
      </c>
      <c r="E256" s="18">
        <f>VLOOKUP(C256,'C Fittings'!$E$5:$I2469,5,0)</f>
        <v>0</v>
      </c>
      <c r="F256" s="27">
        <f>VLOOKUP(C256,'C Fittings'!E$5:$F2469,2,0)</f>
        <v>16.9</v>
      </c>
      <c r="G256" s="27">
        <f>IFERROR(VLOOKUP($C256,'C Fittings'!E219:O2469,11,0),0)</f>
        <v>16.9</v>
      </c>
      <c r="H256" s="27"/>
      <c r="I256" s="27"/>
      <c r="J256" s="27"/>
      <c r="K256" s="27"/>
      <c r="L256" s="27"/>
      <c r="M256" s="27"/>
      <c r="N256" s="27"/>
      <c r="O256" s="27"/>
    </row>
    <row r="257">
      <c r="A257" s="32">
        <f t="shared" si="1"/>
        <v>256</v>
      </c>
      <c r="B257" s="9" t="s">
        <v>179</v>
      </c>
      <c r="C257" s="11" t="s">
        <v>1039</v>
      </c>
      <c r="D257" s="12" t="s">
        <v>1041</v>
      </c>
      <c r="E257" s="18">
        <f>VLOOKUP(C257,'C Fittings'!$E$5:$I2469,5,0)</f>
        <v>0</v>
      </c>
      <c r="F257" s="27">
        <f>VLOOKUP(C257,'C Fittings'!E$5:$F2469,2,0)</f>
        <v>18.9</v>
      </c>
      <c r="G257" s="27">
        <f>IFERROR(VLOOKUP($C257,'C Fittings'!E220:O2469,11,0),0)</f>
        <v>18.9</v>
      </c>
      <c r="H257" s="27"/>
      <c r="I257" s="27"/>
      <c r="J257" s="27"/>
      <c r="K257" s="27"/>
      <c r="L257" s="27"/>
      <c r="M257" s="27"/>
      <c r="N257" s="27"/>
      <c r="O257" s="27"/>
    </row>
    <row r="258">
      <c r="A258" s="32">
        <f t="shared" si="1"/>
        <v>257</v>
      </c>
      <c r="B258" s="9" t="s">
        <v>179</v>
      </c>
      <c r="C258" s="11" t="s">
        <v>1042</v>
      </c>
      <c r="D258" s="12" t="s">
        <v>1043</v>
      </c>
      <c r="E258" s="18">
        <f>VLOOKUP(C258,'C Fittings'!$E$5:$I2469,5,0)</f>
        <v>0</v>
      </c>
      <c r="F258" s="27">
        <f>VLOOKUP(C258,'C Fittings'!E$5:$F2469,2,0)</f>
        <v>23.8</v>
      </c>
      <c r="G258" s="27">
        <f>IFERROR(VLOOKUP($C258,'C Fittings'!E221:O2469,11,0),0)</f>
        <v>23.8</v>
      </c>
      <c r="H258" s="27"/>
      <c r="I258" s="27"/>
      <c r="J258" s="27"/>
      <c r="K258" s="27"/>
      <c r="L258" s="27"/>
      <c r="M258" s="27"/>
      <c r="N258" s="27"/>
      <c r="O258" s="27"/>
    </row>
    <row r="259">
      <c r="A259" s="32">
        <f t="shared" si="1"/>
        <v>258</v>
      </c>
      <c r="B259" s="9" t="s">
        <v>179</v>
      </c>
      <c r="C259" s="11" t="s">
        <v>1044</v>
      </c>
      <c r="D259" s="12" t="s">
        <v>1045</v>
      </c>
      <c r="E259" s="18">
        <f>VLOOKUP(C259,'C Fittings'!$E$5:$I2469,5,0)</f>
        <v>0</v>
      </c>
      <c r="F259" s="27">
        <f>VLOOKUP(C259,'C Fittings'!E$5:$F2469,2,0)</f>
        <v>26.8</v>
      </c>
      <c r="G259" s="27">
        <f>IFERROR(VLOOKUP($C259,'C Fittings'!E222:O2469,11,0),0)</f>
        <v>26.8</v>
      </c>
      <c r="H259" s="27"/>
      <c r="I259" s="27"/>
      <c r="J259" s="27"/>
      <c r="K259" s="27"/>
      <c r="L259" s="27"/>
      <c r="M259" s="27"/>
      <c r="N259" s="27"/>
      <c r="O259" s="27"/>
    </row>
    <row r="260">
      <c r="A260" s="32">
        <f t="shared" si="1"/>
        <v>259</v>
      </c>
      <c r="B260" s="9" t="s">
        <v>179</v>
      </c>
      <c r="C260" s="11" t="s">
        <v>1046</v>
      </c>
      <c r="D260" s="12" t="s">
        <v>1047</v>
      </c>
      <c r="E260" s="18">
        <f>VLOOKUP(C260,'C Fittings'!$E$5:$I2469,5,0)</f>
        <v>0</v>
      </c>
      <c r="F260" s="27">
        <f>VLOOKUP(C260,'C Fittings'!E$5:$F2469,2,0)</f>
        <v>2200</v>
      </c>
      <c r="G260" s="27">
        <f>IFERROR(VLOOKUP($C260,'C Fittings'!E223:O2469,11,0),0)</f>
        <v>2200</v>
      </c>
      <c r="H260" s="27"/>
      <c r="I260" s="27"/>
      <c r="J260" s="27"/>
      <c r="K260" s="27"/>
      <c r="L260" s="27"/>
      <c r="M260" s="27"/>
      <c r="N260" s="27"/>
      <c r="O260" s="27"/>
    </row>
    <row r="261">
      <c r="A261" s="32">
        <f t="shared" si="1"/>
        <v>260</v>
      </c>
      <c r="B261" s="9" t="s">
        <v>179</v>
      </c>
      <c r="C261" s="11" t="s">
        <v>1049</v>
      </c>
      <c r="D261" s="12" t="s">
        <v>1050</v>
      </c>
      <c r="E261" s="18">
        <f>VLOOKUP(C261,'C Fittings'!$E$5:$I2469,5,0)</f>
        <v>0</v>
      </c>
      <c r="F261" s="27">
        <f>VLOOKUP(C261,'C Fittings'!E$5:$F2469,2,0)</f>
        <v>1460</v>
      </c>
      <c r="G261" s="27">
        <f>IFERROR(VLOOKUP($C261,'C Fittings'!E224:O2469,11,0),0)</f>
        <v>1460</v>
      </c>
      <c r="H261" s="27"/>
      <c r="I261" s="27"/>
      <c r="J261" s="27"/>
      <c r="K261" s="27"/>
      <c r="L261" s="27"/>
      <c r="M261" s="27"/>
      <c r="N261" s="27"/>
      <c r="O261" s="27"/>
    </row>
    <row r="262">
      <c r="A262" s="32">
        <f t="shared" si="1"/>
        <v>261</v>
      </c>
      <c r="B262" s="9" t="s">
        <v>179</v>
      </c>
      <c r="C262" s="11" t="s">
        <v>1051</v>
      </c>
      <c r="D262" s="12" t="s">
        <v>1052</v>
      </c>
      <c r="E262" s="18">
        <f>VLOOKUP(C262,'C Fittings'!$E$5:$I2469,5,0)</f>
        <v>0</v>
      </c>
      <c r="F262" s="27">
        <f>VLOOKUP(C262,'C Fittings'!E$5:$F2469,2,0)</f>
        <v>108</v>
      </c>
      <c r="G262" s="27">
        <f>IFERROR(VLOOKUP($C262,'C Fittings'!E225:O2469,11,0),0)</f>
        <v>108</v>
      </c>
      <c r="H262" s="27"/>
      <c r="I262" s="27"/>
      <c r="J262" s="27"/>
      <c r="K262" s="27"/>
      <c r="L262" s="27"/>
      <c r="M262" s="27"/>
      <c r="N262" s="27"/>
      <c r="O262" s="27"/>
    </row>
    <row r="263">
      <c r="A263" s="32">
        <f t="shared" si="1"/>
        <v>262</v>
      </c>
      <c r="B263" s="9" t="s">
        <v>179</v>
      </c>
      <c r="C263" s="11" t="s">
        <v>1053</v>
      </c>
      <c r="D263" s="12" t="s">
        <v>1054</v>
      </c>
      <c r="E263" s="18">
        <f>VLOOKUP(C263,'C Fittings'!$E$5:$I2469,5,0)</f>
        <v>0</v>
      </c>
      <c r="F263" s="27">
        <f>VLOOKUP(C263,'C Fittings'!E$5:$F2469,2,0)</f>
        <v>178</v>
      </c>
      <c r="G263" s="27">
        <f>IFERROR(VLOOKUP($C263,'C Fittings'!E226:O2469,11,0),0)</f>
        <v>178</v>
      </c>
      <c r="H263" s="27"/>
      <c r="I263" s="27"/>
      <c r="J263" s="27"/>
      <c r="K263" s="27"/>
      <c r="L263" s="27"/>
      <c r="M263" s="27"/>
      <c r="N263" s="27"/>
      <c r="O263" s="27"/>
    </row>
    <row r="264">
      <c r="A264" s="32">
        <f t="shared" si="1"/>
        <v>263</v>
      </c>
      <c r="B264" s="9" t="s">
        <v>179</v>
      </c>
      <c r="C264" s="11" t="s">
        <v>1055</v>
      </c>
      <c r="D264" s="12" t="s">
        <v>1056</v>
      </c>
      <c r="E264" s="18">
        <f>VLOOKUP(C264,'C Fittings'!$E$5:$I2469,5,0)</f>
        <v>0</v>
      </c>
      <c r="F264" s="27">
        <f>VLOOKUP(C264,'C Fittings'!E$5:$F2469,2,0)</f>
        <v>296</v>
      </c>
      <c r="G264" s="27">
        <f>IFERROR(VLOOKUP($C264,'C Fittings'!E227:O2469,11,0),0)</f>
        <v>296</v>
      </c>
      <c r="H264" s="27"/>
      <c r="I264" s="27"/>
      <c r="J264" s="27"/>
      <c r="K264" s="27"/>
      <c r="L264" s="27"/>
      <c r="M264" s="27"/>
      <c r="N264" s="27"/>
      <c r="O264" s="27"/>
    </row>
    <row r="265">
      <c r="A265" s="32">
        <f t="shared" si="1"/>
        <v>264</v>
      </c>
      <c r="B265" s="9" t="s">
        <v>179</v>
      </c>
      <c r="C265" s="11" t="s">
        <v>1058</v>
      </c>
      <c r="D265" s="12" t="s">
        <v>1059</v>
      </c>
      <c r="E265" s="18">
        <f>VLOOKUP(C265,'C Fittings'!$E$5:$I2469,5,0)</f>
        <v>0</v>
      </c>
      <c r="F265" s="27">
        <f>VLOOKUP(C265,'C Fittings'!E$5:$F2469,2,0)</f>
        <v>546</v>
      </c>
      <c r="G265" s="27">
        <f>IFERROR(VLOOKUP($C265,'C Fittings'!E228:O2469,11,0),0)</f>
        <v>546</v>
      </c>
      <c r="H265" s="27"/>
      <c r="I265" s="27"/>
      <c r="J265" s="27"/>
      <c r="K265" s="27"/>
      <c r="L265" s="27"/>
      <c r="M265" s="27"/>
      <c r="N265" s="27"/>
      <c r="O265" s="27"/>
    </row>
    <row r="266">
      <c r="A266" s="32">
        <f t="shared" si="1"/>
        <v>265</v>
      </c>
      <c r="B266" s="9" t="s">
        <v>179</v>
      </c>
      <c r="C266" s="11" t="s">
        <v>1061</v>
      </c>
      <c r="D266" s="12" t="s">
        <v>1062</v>
      </c>
      <c r="E266" s="18">
        <f>VLOOKUP(C266,'C Fittings'!$E$5:$I2469,5,0)</f>
        <v>0</v>
      </c>
      <c r="F266" s="27">
        <f>VLOOKUP(C266,'C Fittings'!E$5:$F2469,2,0)</f>
        <v>888</v>
      </c>
      <c r="G266" s="27">
        <f>IFERROR(VLOOKUP($C266,'C Fittings'!E229:O2469,11,0),0)</f>
        <v>888</v>
      </c>
      <c r="H266" s="27"/>
      <c r="I266" s="27"/>
      <c r="J266" s="27"/>
      <c r="K266" s="27"/>
      <c r="L266" s="27"/>
      <c r="M266" s="27"/>
      <c r="N266" s="27"/>
      <c r="O266" s="27"/>
    </row>
    <row r="267">
      <c r="A267" s="32">
        <f t="shared" si="1"/>
        <v>266</v>
      </c>
      <c r="B267" s="9" t="s">
        <v>179</v>
      </c>
      <c r="C267" s="11" t="s">
        <v>718</v>
      </c>
      <c r="D267" s="12" t="s">
        <v>1064</v>
      </c>
      <c r="E267" s="18">
        <f>VLOOKUP(C267,'C Fittings'!$E$5:$I2469,5,0)</f>
        <v>0.0951</v>
      </c>
      <c r="F267" s="27">
        <f>VLOOKUP(C267,'C Fittings'!E$5:$F2469,2,0)</f>
        <v>980</v>
      </c>
      <c r="G267" s="27">
        <f>IFERROR(VLOOKUP($C267,'C Fittings'!E230:O2469,11,0),0)</f>
        <v>1080</v>
      </c>
      <c r="H267" s="27"/>
      <c r="I267" s="27"/>
      <c r="J267" s="27"/>
      <c r="K267" s="27"/>
      <c r="L267" s="27"/>
      <c r="M267" s="27"/>
      <c r="N267" s="27"/>
      <c r="O267" s="27"/>
    </row>
    <row r="268">
      <c r="A268" s="32">
        <f t="shared" si="1"/>
        <v>267</v>
      </c>
      <c r="B268" s="9" t="s">
        <v>179</v>
      </c>
      <c r="C268" s="11" t="s">
        <v>730</v>
      </c>
      <c r="D268" s="12" t="s">
        <v>1065</v>
      </c>
      <c r="E268" s="18">
        <f>VLOOKUP(C268,'C Fittings'!$E$5:$I2469,5,0)</f>
        <v>0.0951</v>
      </c>
      <c r="F268" s="27">
        <f>VLOOKUP(C268,'C Fittings'!E$5:$F2469,2,0)</f>
        <v>980</v>
      </c>
      <c r="G268" s="27">
        <f>IFERROR(VLOOKUP($C268,'C Fittings'!E231:O2469,11,0),0)</f>
        <v>1080</v>
      </c>
      <c r="H268" s="27"/>
      <c r="I268" s="27"/>
      <c r="J268" s="27"/>
      <c r="K268" s="27"/>
      <c r="L268" s="27"/>
      <c r="M268" s="27"/>
      <c r="N268" s="27"/>
      <c r="O268" s="27"/>
    </row>
    <row r="269">
      <c r="A269" s="32">
        <f t="shared" si="1"/>
        <v>268</v>
      </c>
      <c r="B269" s="9" t="s">
        <v>179</v>
      </c>
      <c r="C269" s="11" t="s">
        <v>743</v>
      </c>
      <c r="D269" s="12" t="s">
        <v>1068</v>
      </c>
      <c r="E269" s="18">
        <f>VLOOKUP(C269,'C Fittings'!$E$5:$I2469,5,0)</f>
        <v>0.0951</v>
      </c>
      <c r="F269" s="27">
        <f>VLOOKUP(C269,'C Fittings'!E$5:$F2469,2,0)</f>
        <v>1058</v>
      </c>
      <c r="G269" s="27">
        <f>IFERROR(VLOOKUP($C269,'C Fittings'!E232:O2469,11,0),0)</f>
        <v>1140</v>
      </c>
      <c r="H269" s="27"/>
      <c r="I269" s="27"/>
      <c r="J269" s="27"/>
      <c r="K269" s="27"/>
      <c r="L269" s="27"/>
      <c r="M269" s="27"/>
      <c r="N269" s="27"/>
      <c r="O269" s="27"/>
    </row>
    <row r="270">
      <c r="A270" s="32">
        <f t="shared" si="1"/>
        <v>269</v>
      </c>
      <c r="B270" s="9" t="s">
        <v>179</v>
      </c>
      <c r="C270" s="11" t="s">
        <v>749</v>
      </c>
      <c r="D270" s="12" t="s">
        <v>1070</v>
      </c>
      <c r="E270" s="18">
        <f>VLOOKUP(C270,'C Fittings'!$E$5:$I2469,5,0)</f>
        <v>0.0951</v>
      </c>
      <c r="F270" s="27">
        <f>VLOOKUP(C270,'C Fittings'!E$5:$F2469,2,0)</f>
        <v>1058</v>
      </c>
      <c r="G270" s="27">
        <f>IFERROR(VLOOKUP($C270,'C Fittings'!E233:O2469,11,0),0)</f>
        <v>1140</v>
      </c>
      <c r="H270" s="27"/>
      <c r="I270" s="27"/>
      <c r="J270" s="27"/>
      <c r="K270" s="27"/>
      <c r="L270" s="27"/>
      <c r="M270" s="27"/>
      <c r="N270" s="27"/>
      <c r="O270" s="27"/>
    </row>
    <row r="271">
      <c r="A271" s="32">
        <f t="shared" si="1"/>
        <v>270</v>
      </c>
      <c r="B271" s="9" t="s">
        <v>179</v>
      </c>
      <c r="C271" s="11" t="s">
        <v>755</v>
      </c>
      <c r="D271" s="12" t="s">
        <v>1073</v>
      </c>
      <c r="E271" s="18">
        <f>VLOOKUP(C271,'C Fittings'!$E$5:$I2469,5,0)</f>
        <v>0.0951</v>
      </c>
      <c r="F271" s="27">
        <f>VLOOKUP(C271,'C Fittings'!E$5:$F2469,2,0)</f>
        <v>1088</v>
      </c>
      <c r="G271" s="27">
        <f>IFERROR(VLOOKUP($C271,'C Fittings'!E234:O2469,11,0),0)</f>
        <v>1160</v>
      </c>
      <c r="H271" s="27"/>
      <c r="I271" s="27"/>
      <c r="J271" s="27"/>
      <c r="K271" s="27"/>
      <c r="L271" s="27"/>
      <c r="M271" s="27"/>
      <c r="N271" s="27"/>
      <c r="O271" s="27"/>
    </row>
    <row r="272">
      <c r="A272" s="32">
        <f t="shared" si="1"/>
        <v>271</v>
      </c>
      <c r="B272" s="9" t="s">
        <v>179</v>
      </c>
      <c r="C272" s="11" t="s">
        <v>761</v>
      </c>
      <c r="D272" s="12" t="s">
        <v>1075</v>
      </c>
      <c r="E272" s="18">
        <f>VLOOKUP(C272,'C Fittings'!$E$5:$I2469,5,0)</f>
        <v>0.0951</v>
      </c>
      <c r="F272" s="27">
        <f>VLOOKUP(C272,'C Fittings'!E$5:$F2469,2,0)</f>
        <v>980</v>
      </c>
      <c r="G272" s="27">
        <f>IFERROR(VLOOKUP($C272,'C Fittings'!E235:O2469,11,0),0)</f>
        <v>1080</v>
      </c>
      <c r="H272" s="27"/>
      <c r="I272" s="27"/>
      <c r="J272" s="27"/>
      <c r="K272" s="27"/>
      <c r="L272" s="27"/>
      <c r="M272" s="27"/>
      <c r="N272" s="27"/>
      <c r="O272" s="27"/>
    </row>
    <row r="273">
      <c r="A273" s="32">
        <f t="shared" si="1"/>
        <v>272</v>
      </c>
      <c r="B273" s="9" t="s">
        <v>179</v>
      </c>
      <c r="C273" s="11" t="s">
        <v>783</v>
      </c>
      <c r="D273" s="12" t="s">
        <v>1076</v>
      </c>
      <c r="E273" s="18">
        <f>VLOOKUP(C273,'C Fittings'!$E$5:$I2469,5,0)</f>
        <v>0.101</v>
      </c>
      <c r="F273" s="27">
        <f>VLOOKUP(C273,'C Fittings'!E$5:$F2469,2,0)</f>
        <v>980</v>
      </c>
      <c r="G273" s="27">
        <f>IFERROR(VLOOKUP($C273,'C Fittings'!E236:O2469,11,0),0)</f>
        <v>1080</v>
      </c>
      <c r="H273" s="27"/>
      <c r="I273" s="27"/>
      <c r="J273" s="27"/>
      <c r="K273" s="27"/>
      <c r="L273" s="27"/>
      <c r="M273" s="27"/>
      <c r="N273" s="27"/>
      <c r="O273" s="27"/>
    </row>
    <row r="274">
      <c r="A274" s="32">
        <f t="shared" si="1"/>
        <v>273</v>
      </c>
      <c r="B274" s="9" t="s">
        <v>179</v>
      </c>
      <c r="C274" s="11" t="s">
        <v>791</v>
      </c>
      <c r="D274" s="12" t="s">
        <v>1077</v>
      </c>
      <c r="E274" s="18">
        <f>VLOOKUP(C274,'C Fittings'!$E$5:$I2469,5,0)</f>
        <v>0.101</v>
      </c>
      <c r="F274" s="27">
        <f>VLOOKUP(C274,'C Fittings'!E$5:$F2469,2,0)</f>
        <v>980</v>
      </c>
      <c r="G274" s="27">
        <f>IFERROR(VLOOKUP($C274,'C Fittings'!E237:O2469,11,0),0)</f>
        <v>1080</v>
      </c>
      <c r="H274" s="27"/>
      <c r="I274" s="27"/>
      <c r="J274" s="27"/>
      <c r="K274" s="27"/>
      <c r="L274" s="27"/>
      <c r="M274" s="27"/>
      <c r="N274" s="27"/>
      <c r="O274" s="27"/>
    </row>
    <row r="275">
      <c r="A275" s="32">
        <f t="shared" si="1"/>
        <v>274</v>
      </c>
      <c r="B275" s="9" t="s">
        <v>179</v>
      </c>
      <c r="C275" s="11" t="s">
        <v>797</v>
      </c>
      <c r="D275" s="12" t="s">
        <v>1078</v>
      </c>
      <c r="E275" s="18">
        <f>VLOOKUP(C275,'C Fittings'!$E$5:$I2469,5,0)</f>
        <v>0.101</v>
      </c>
      <c r="F275" s="27">
        <f>VLOOKUP(C275,'C Fittings'!E$5:$F2469,2,0)</f>
        <v>980</v>
      </c>
      <c r="G275" s="27">
        <f>IFERROR(VLOOKUP($C275,'C Fittings'!E238:O2469,11,0),0)</f>
        <v>1080</v>
      </c>
      <c r="H275" s="27"/>
      <c r="I275" s="27"/>
      <c r="J275" s="27"/>
      <c r="K275" s="27"/>
      <c r="L275" s="27"/>
      <c r="M275" s="27"/>
      <c r="N275" s="27"/>
      <c r="O275" s="27"/>
    </row>
    <row r="276">
      <c r="A276" s="32">
        <f t="shared" si="1"/>
        <v>275</v>
      </c>
      <c r="B276" s="9" t="s">
        <v>179</v>
      </c>
      <c r="C276" s="11" t="s">
        <v>799</v>
      </c>
      <c r="D276" s="12" t="s">
        <v>1079</v>
      </c>
      <c r="E276" s="18">
        <f>VLOOKUP(C276,'C Fittings'!$E$5:$I2469,5,0)</f>
        <v>0.101</v>
      </c>
      <c r="F276" s="27">
        <f>VLOOKUP(C276,'C Fittings'!E$5:$F2469,2,0)</f>
        <v>980</v>
      </c>
      <c r="G276" s="27">
        <f>IFERROR(VLOOKUP($C276,'C Fittings'!E239:O2469,11,0),0)</f>
        <v>1080</v>
      </c>
      <c r="H276" s="27"/>
      <c r="I276" s="27"/>
      <c r="J276" s="27"/>
      <c r="K276" s="27"/>
      <c r="L276" s="27"/>
      <c r="M276" s="27"/>
      <c r="N276" s="27"/>
      <c r="O276" s="27"/>
    </row>
    <row r="277">
      <c r="A277" s="32">
        <f t="shared" si="1"/>
        <v>276</v>
      </c>
      <c r="B277" s="9" t="s">
        <v>179</v>
      </c>
      <c r="C277" s="11" t="s">
        <v>803</v>
      </c>
      <c r="D277" s="12" t="s">
        <v>1080</v>
      </c>
      <c r="E277" s="18">
        <f>VLOOKUP(C277,'C Fittings'!$E$5:$I2469,5,0)</f>
        <v>0.101</v>
      </c>
      <c r="F277" s="27">
        <f>VLOOKUP(C277,'C Fittings'!E$5:$F2469,2,0)</f>
        <v>980</v>
      </c>
      <c r="G277" s="27">
        <f>IFERROR(VLOOKUP($C277,'C Fittings'!E240:O2469,11,0),0)</f>
        <v>1080</v>
      </c>
      <c r="H277" s="27"/>
      <c r="I277" s="27"/>
      <c r="J277" s="27"/>
      <c r="K277" s="27"/>
      <c r="L277" s="27"/>
      <c r="M277" s="27"/>
      <c r="N277" s="27"/>
      <c r="O277" s="27"/>
    </row>
    <row r="278">
      <c r="A278" s="32">
        <f t="shared" si="1"/>
        <v>277</v>
      </c>
      <c r="B278" s="9" t="s">
        <v>179</v>
      </c>
      <c r="C278" s="11" t="s">
        <v>805</v>
      </c>
      <c r="D278" s="12" t="s">
        <v>1081</v>
      </c>
      <c r="E278" s="18">
        <f>VLOOKUP(C278,'C Fittings'!$E$5:$I2469,5,0)</f>
        <v>0.101</v>
      </c>
      <c r="F278" s="27">
        <f>VLOOKUP(C278,'C Fittings'!E$5:$F2469,2,0)</f>
        <v>980</v>
      </c>
      <c r="G278" s="27">
        <f>IFERROR(VLOOKUP($C278,'C Fittings'!E241:O2469,11,0),0)</f>
        <v>1080</v>
      </c>
      <c r="H278" s="27"/>
      <c r="I278" s="27"/>
      <c r="J278" s="27"/>
      <c r="K278" s="27"/>
      <c r="L278" s="27"/>
      <c r="M278" s="27"/>
      <c r="N278" s="27"/>
      <c r="O278" s="27"/>
    </row>
    <row r="279">
      <c r="A279" s="32">
        <f t="shared" si="1"/>
        <v>278</v>
      </c>
      <c r="B279" s="9" t="s">
        <v>179</v>
      </c>
      <c r="C279" s="11" t="s">
        <v>819</v>
      </c>
      <c r="D279" s="12" t="s">
        <v>1082</v>
      </c>
      <c r="E279" s="18">
        <f>VLOOKUP(C279,'C Fittings'!$E$5:$I2469,5,0)</f>
        <v>0.1078</v>
      </c>
      <c r="F279" s="27">
        <f>VLOOKUP(C279,'C Fittings'!E$5:$F2469,2,0)</f>
        <v>980</v>
      </c>
      <c r="G279" s="27">
        <f>IFERROR(VLOOKUP($C279,'C Fittings'!E242:O2469,11,0),0)</f>
        <v>1080</v>
      </c>
      <c r="H279" s="27"/>
      <c r="I279" s="27"/>
      <c r="J279" s="27"/>
      <c r="K279" s="27"/>
      <c r="L279" s="27"/>
      <c r="M279" s="27"/>
      <c r="N279" s="27"/>
      <c r="O279" s="27"/>
    </row>
    <row r="280">
      <c r="A280" s="32">
        <f t="shared" si="1"/>
        <v>279</v>
      </c>
      <c r="B280" s="9" t="s">
        <v>179</v>
      </c>
      <c r="C280" s="11" t="s">
        <v>828</v>
      </c>
      <c r="D280" s="12" t="s">
        <v>1083</v>
      </c>
      <c r="E280" s="18">
        <f>VLOOKUP(C280,'C Fittings'!$E$5:$I2469,5,0)</f>
        <v>0.1078</v>
      </c>
      <c r="F280" s="27">
        <f>VLOOKUP(C280,'C Fittings'!E$5:$F2469,2,0)</f>
        <v>980</v>
      </c>
      <c r="G280" s="27">
        <f>IFERROR(VLOOKUP($C280,'C Fittings'!E243:O2469,11,0),0)</f>
        <v>1080</v>
      </c>
      <c r="H280" s="27"/>
      <c r="I280" s="27"/>
      <c r="J280" s="27"/>
      <c r="K280" s="27"/>
      <c r="L280" s="27"/>
      <c r="M280" s="27"/>
      <c r="N280" s="27"/>
      <c r="O280" s="27"/>
    </row>
    <row r="281">
      <c r="A281" s="32">
        <f t="shared" si="1"/>
        <v>280</v>
      </c>
      <c r="B281" s="9" t="s">
        <v>179</v>
      </c>
      <c r="C281" s="11" t="s">
        <v>832</v>
      </c>
      <c r="D281" s="12" t="s">
        <v>1084</v>
      </c>
      <c r="E281" s="18">
        <f>VLOOKUP(C281,'C Fittings'!$E$5:$I2469,5,0)</f>
        <v>0.1078</v>
      </c>
      <c r="F281" s="27">
        <f>VLOOKUP(C281,'C Fittings'!E$5:$F2469,2,0)</f>
        <v>980</v>
      </c>
      <c r="G281" s="27">
        <f>IFERROR(VLOOKUP($C281,'C Fittings'!E244:O2469,11,0),0)</f>
        <v>1080</v>
      </c>
      <c r="H281" s="27"/>
      <c r="I281" s="27"/>
      <c r="J281" s="27"/>
      <c r="K281" s="27"/>
      <c r="L281" s="27"/>
      <c r="M281" s="27"/>
      <c r="N281" s="27"/>
      <c r="O281" s="27"/>
    </row>
    <row r="282">
      <c r="A282" s="32">
        <f t="shared" si="1"/>
        <v>281</v>
      </c>
      <c r="B282" s="9" t="s">
        <v>179</v>
      </c>
      <c r="C282" s="11" t="s">
        <v>833</v>
      </c>
      <c r="D282" s="12" t="s">
        <v>1085</v>
      </c>
      <c r="E282" s="18">
        <f>VLOOKUP(C282,'C Fittings'!$E$5:$I2469,5,0)</f>
        <v>0.1078</v>
      </c>
      <c r="F282" s="27">
        <f>VLOOKUP(C282,'C Fittings'!E$5:$F2469,2,0)</f>
        <v>980</v>
      </c>
      <c r="G282" s="27">
        <f>IFERROR(VLOOKUP($C282,'C Fittings'!E245:O2469,11,0),0)</f>
        <v>1080</v>
      </c>
      <c r="H282" s="27"/>
      <c r="I282" s="27"/>
      <c r="J282" s="27"/>
      <c r="K282" s="27"/>
      <c r="L282" s="27"/>
      <c r="M282" s="27"/>
      <c r="N282" s="27"/>
      <c r="O282" s="27"/>
    </row>
    <row r="283">
      <c r="A283" s="32">
        <f t="shared" si="1"/>
        <v>282</v>
      </c>
      <c r="B283" s="9" t="s">
        <v>179</v>
      </c>
      <c r="C283" s="11" t="s">
        <v>838</v>
      </c>
      <c r="D283" s="12" t="s">
        <v>1086</v>
      </c>
      <c r="E283" s="18">
        <f>VLOOKUP(C283,'C Fittings'!$E$5:$I2469,5,0)</f>
        <v>0.1078</v>
      </c>
      <c r="F283" s="27">
        <f>VLOOKUP(C283,'C Fittings'!E$5:$F2469,2,0)</f>
        <v>980</v>
      </c>
      <c r="G283" s="27">
        <f>IFERROR(VLOOKUP($C283,'C Fittings'!E246:O2469,11,0),0)</f>
        <v>1080</v>
      </c>
      <c r="H283" s="27"/>
      <c r="I283" s="27"/>
      <c r="J283" s="27"/>
      <c r="K283" s="27"/>
      <c r="L283" s="27"/>
      <c r="M283" s="27"/>
      <c r="N283" s="27"/>
      <c r="O283" s="27"/>
    </row>
    <row r="284">
      <c r="A284" s="32">
        <f t="shared" si="1"/>
        <v>283</v>
      </c>
      <c r="B284" s="9" t="s">
        <v>179</v>
      </c>
      <c r="C284" s="11" t="s">
        <v>842</v>
      </c>
      <c r="D284" s="12" t="s">
        <v>1087</v>
      </c>
      <c r="E284" s="18">
        <f>VLOOKUP(C284,'C Fittings'!$E$5:$I2469,5,0)</f>
        <v>0.1078</v>
      </c>
      <c r="F284" s="27">
        <f>VLOOKUP(C284,'C Fittings'!E$5:$F2469,2,0)</f>
        <v>980</v>
      </c>
      <c r="G284" s="27">
        <f>IFERROR(VLOOKUP($C284,'C Fittings'!E247:O2469,11,0),0)</f>
        <v>1080</v>
      </c>
      <c r="H284" s="27"/>
      <c r="I284" s="27"/>
      <c r="J284" s="27"/>
      <c r="K284" s="27"/>
      <c r="L284" s="27"/>
      <c r="M284" s="27"/>
      <c r="N284" s="27"/>
      <c r="O284" s="27"/>
    </row>
    <row r="285">
      <c r="A285" s="32">
        <f t="shared" si="1"/>
        <v>284</v>
      </c>
      <c r="B285" s="9" t="s">
        <v>179</v>
      </c>
      <c r="C285" s="11" t="s">
        <v>859</v>
      </c>
      <c r="D285" s="215" t="s">
        <v>777</v>
      </c>
      <c r="E285" s="18"/>
      <c r="F285" s="294" t="s">
        <v>1088</v>
      </c>
      <c r="G285" s="27">
        <f>IFERROR(VLOOKUP($C285,'C Fittings'!E248:O2469,11,0),0)</f>
        <v>1299</v>
      </c>
      <c r="H285" s="27"/>
      <c r="I285" s="27"/>
      <c r="J285" s="27"/>
      <c r="K285" s="27"/>
      <c r="L285" s="27"/>
      <c r="M285" s="27"/>
      <c r="N285" s="27"/>
      <c r="O285" s="27"/>
    </row>
    <row r="286">
      <c r="A286" s="32">
        <f t="shared" si="1"/>
        <v>285</v>
      </c>
      <c r="B286" s="9" t="s">
        <v>179</v>
      </c>
      <c r="C286" s="11" t="s">
        <v>866</v>
      </c>
      <c r="D286" s="215" t="s">
        <v>777</v>
      </c>
      <c r="E286" s="18"/>
      <c r="F286" s="294" t="s">
        <v>1088</v>
      </c>
      <c r="G286" s="27">
        <f>IFERROR(VLOOKUP($C286,'C Fittings'!E249:O2469,11,0),0)</f>
        <v>1299</v>
      </c>
      <c r="H286" s="27"/>
      <c r="I286" s="27"/>
      <c r="J286" s="27"/>
      <c r="K286" s="27"/>
      <c r="L286" s="27"/>
      <c r="M286" s="27"/>
      <c r="N286" s="27"/>
      <c r="O286" s="27"/>
    </row>
    <row r="287">
      <c r="A287" s="32">
        <f t="shared" si="1"/>
        <v>286</v>
      </c>
      <c r="B287" s="9" t="s">
        <v>179</v>
      </c>
      <c r="C287" s="11" t="s">
        <v>872</v>
      </c>
      <c r="D287" s="215" t="s">
        <v>777</v>
      </c>
      <c r="E287" s="18"/>
      <c r="F287" s="294" t="s">
        <v>1088</v>
      </c>
      <c r="G287" s="27">
        <f>IFERROR(VLOOKUP($C287,'C Fittings'!E250:O2469,11,0),0)</f>
        <v>1377</v>
      </c>
      <c r="H287" s="27"/>
      <c r="I287" s="27"/>
      <c r="J287" s="27"/>
      <c r="K287" s="27"/>
      <c r="L287" s="27"/>
      <c r="M287" s="27"/>
      <c r="N287" s="27"/>
      <c r="O287" s="27"/>
    </row>
    <row r="288">
      <c r="A288" s="32">
        <f t="shared" si="1"/>
        <v>287</v>
      </c>
      <c r="B288" s="9" t="s">
        <v>179</v>
      </c>
      <c r="C288" s="11" t="s">
        <v>876</v>
      </c>
      <c r="D288" s="215" t="s">
        <v>777</v>
      </c>
      <c r="E288" s="18"/>
      <c r="F288" s="294" t="s">
        <v>1088</v>
      </c>
      <c r="G288" s="27">
        <f>IFERROR(VLOOKUP($C288,'C Fittings'!E251:O2469,11,0),0)</f>
        <v>1377</v>
      </c>
      <c r="H288" s="27"/>
      <c r="I288" s="27"/>
      <c r="J288" s="27"/>
      <c r="K288" s="27"/>
      <c r="L288" s="27"/>
      <c r="M288" s="27"/>
      <c r="N288" s="27"/>
      <c r="O288" s="27"/>
    </row>
    <row r="289">
      <c r="A289" s="32">
        <f t="shared" si="1"/>
        <v>288</v>
      </c>
      <c r="B289" s="9" t="s">
        <v>179</v>
      </c>
      <c r="C289" s="11" t="s">
        <v>877</v>
      </c>
      <c r="D289" s="215" t="s">
        <v>777</v>
      </c>
      <c r="E289" s="18"/>
      <c r="F289" s="294" t="s">
        <v>1088</v>
      </c>
      <c r="G289" s="27">
        <f>IFERROR(VLOOKUP($C289,'C Fittings'!E252:O2469,11,0),0)</f>
        <v>1407</v>
      </c>
      <c r="H289" s="27"/>
      <c r="I289" s="27"/>
      <c r="J289" s="27"/>
      <c r="K289" s="27"/>
      <c r="L289" s="27"/>
      <c r="M289" s="27"/>
      <c r="N289" s="27"/>
      <c r="O289" s="27"/>
    </row>
    <row r="290">
      <c r="A290" s="32">
        <f t="shared" si="1"/>
        <v>289</v>
      </c>
      <c r="B290" s="9" t="s">
        <v>179</v>
      </c>
      <c r="C290" s="11" t="s">
        <v>882</v>
      </c>
      <c r="D290" s="215" t="s">
        <v>777</v>
      </c>
      <c r="E290" s="18"/>
      <c r="F290" s="294" t="s">
        <v>1088</v>
      </c>
      <c r="G290" s="27">
        <f>IFERROR(VLOOKUP($C290,'C Fittings'!E253:O2469,11,0),0)</f>
        <v>1299</v>
      </c>
      <c r="H290" s="27"/>
      <c r="I290" s="27"/>
      <c r="J290" s="27"/>
      <c r="K290" s="27"/>
      <c r="L290" s="27"/>
      <c r="M290" s="27"/>
      <c r="N290" s="27"/>
      <c r="O290" s="27"/>
    </row>
    <row r="291">
      <c r="A291" s="32">
        <f t="shared" si="1"/>
        <v>290</v>
      </c>
      <c r="B291" s="9" t="s">
        <v>179</v>
      </c>
      <c r="C291" s="11" t="s">
        <v>869</v>
      </c>
      <c r="D291" s="215" t="s">
        <v>894</v>
      </c>
      <c r="E291" s="18"/>
      <c r="F291" s="294" t="s">
        <v>1088</v>
      </c>
      <c r="G291" s="27">
        <f>IFERROR(VLOOKUP($C291,'C Fittings'!E254:O2469,11,0),0)</f>
        <v>1280</v>
      </c>
      <c r="H291" s="27"/>
      <c r="I291" s="27"/>
      <c r="J291" s="27"/>
      <c r="K291" s="27"/>
      <c r="L291" s="27"/>
      <c r="M291" s="27"/>
      <c r="N291" s="27"/>
      <c r="O291" s="27"/>
    </row>
    <row r="292">
      <c r="A292" s="32">
        <f t="shared" si="1"/>
        <v>291</v>
      </c>
      <c r="B292" s="9" t="s">
        <v>179</v>
      </c>
      <c r="C292" s="11" t="s">
        <v>864</v>
      </c>
      <c r="D292" s="215" t="s">
        <v>894</v>
      </c>
      <c r="E292" s="18"/>
      <c r="F292" s="294" t="s">
        <v>1088</v>
      </c>
      <c r="G292" s="27">
        <f>IFERROR(VLOOKUP($C292,'C Fittings'!E255:O2469,11,0),0)</f>
        <v>1280</v>
      </c>
      <c r="H292" s="27"/>
      <c r="I292" s="27"/>
      <c r="J292" s="27"/>
      <c r="K292" s="27"/>
      <c r="L292" s="27"/>
      <c r="M292" s="27"/>
      <c r="N292" s="27"/>
      <c r="O292" s="27"/>
    </row>
    <row r="293">
      <c r="A293" s="32">
        <f t="shared" si="1"/>
        <v>292</v>
      </c>
      <c r="B293" s="9" t="s">
        <v>179</v>
      </c>
      <c r="C293" s="11" t="s">
        <v>860</v>
      </c>
      <c r="D293" s="215" t="s">
        <v>894</v>
      </c>
      <c r="E293" s="18"/>
      <c r="F293" s="294" t="s">
        <v>1088</v>
      </c>
      <c r="G293" s="27">
        <f>IFERROR(VLOOKUP($C293,'C Fittings'!E256:O2469,11,0),0)</f>
        <v>1358</v>
      </c>
      <c r="H293" s="27"/>
      <c r="I293" s="27"/>
      <c r="J293" s="27"/>
      <c r="K293" s="27"/>
      <c r="L293" s="27"/>
      <c r="M293" s="27"/>
      <c r="N293" s="27"/>
      <c r="O293" s="27"/>
    </row>
    <row r="294">
      <c r="A294" s="32">
        <f t="shared" si="1"/>
        <v>293</v>
      </c>
      <c r="B294" s="9" t="s">
        <v>179</v>
      </c>
      <c r="C294" s="11" t="s">
        <v>855</v>
      </c>
      <c r="D294" s="215" t="s">
        <v>894</v>
      </c>
      <c r="E294" s="18"/>
      <c r="F294" s="294" t="s">
        <v>1088</v>
      </c>
      <c r="G294" s="27">
        <f>IFERROR(VLOOKUP($C294,'C Fittings'!E257:O2469,11,0),0)</f>
        <v>1358</v>
      </c>
      <c r="H294" s="27"/>
      <c r="I294" s="27"/>
      <c r="J294" s="27"/>
      <c r="K294" s="27"/>
      <c r="L294" s="27"/>
      <c r="M294" s="27"/>
      <c r="N294" s="27"/>
      <c r="O294" s="27"/>
    </row>
    <row r="295">
      <c r="A295" s="32">
        <f t="shared" si="1"/>
        <v>294</v>
      </c>
      <c r="B295" s="9" t="s">
        <v>179</v>
      </c>
      <c r="C295" s="11" t="s">
        <v>848</v>
      </c>
      <c r="D295" s="215" t="s">
        <v>894</v>
      </c>
      <c r="E295" s="18"/>
      <c r="F295" s="294" t="s">
        <v>1088</v>
      </c>
      <c r="G295" s="27">
        <f>IFERROR(VLOOKUP($C295,'C Fittings'!E258:O2469,11,0),0)</f>
        <v>1388</v>
      </c>
      <c r="H295" s="27"/>
      <c r="I295" s="27"/>
      <c r="J295" s="27"/>
      <c r="K295" s="27"/>
      <c r="L295" s="27"/>
      <c r="M295" s="27"/>
      <c r="N295" s="27"/>
      <c r="O295" s="27"/>
    </row>
    <row r="296">
      <c r="A296" s="32">
        <f t="shared" si="1"/>
        <v>295</v>
      </c>
      <c r="B296" s="9" t="s">
        <v>179</v>
      </c>
      <c r="C296" s="11" t="s">
        <v>909</v>
      </c>
      <c r="D296" s="215" t="s">
        <v>894</v>
      </c>
      <c r="E296" s="18"/>
      <c r="F296" s="294" t="s">
        <v>1088</v>
      </c>
      <c r="G296" s="27">
        <f>IFERROR(VLOOKUP($C296,'C Fittings'!E259:O2469,11,0),0)</f>
        <v>1280</v>
      </c>
      <c r="H296" s="27"/>
      <c r="I296" s="27"/>
      <c r="J296" s="27"/>
      <c r="K296" s="27"/>
      <c r="L296" s="27"/>
      <c r="M296" s="27"/>
      <c r="N296" s="27"/>
      <c r="O296" s="27"/>
    </row>
    <row r="297">
      <c r="A297" s="32">
        <f t="shared" si="1"/>
        <v>296</v>
      </c>
      <c r="B297" s="9" t="s">
        <v>179</v>
      </c>
      <c r="C297" s="214" t="s">
        <v>104</v>
      </c>
      <c r="D297" s="12" t="s">
        <v>1089</v>
      </c>
      <c r="E297" s="18" t="str">
        <f>VLOOKUP(C297,'C Fittings'!$E$5:$I2469,5,0)</f>
        <v/>
      </c>
      <c r="F297" s="27">
        <f>VLOOKUP(C297,'C Fittings'!E$5:$F2469,2,0)</f>
        <v>34</v>
      </c>
      <c r="G297" s="27">
        <f>IFERROR(VLOOKUP($C297,'C Fittings'!E260:O2469,11,0),0)</f>
        <v>34</v>
      </c>
      <c r="H297" s="27"/>
      <c r="I297" s="27"/>
      <c r="J297" s="27"/>
      <c r="K297" s="27"/>
      <c r="L297" s="27"/>
      <c r="M297" s="27"/>
      <c r="N297" s="27"/>
      <c r="O297" s="27"/>
    </row>
    <row r="298">
      <c r="A298" s="32">
        <f t="shared" si="1"/>
        <v>297</v>
      </c>
      <c r="B298" s="9" t="s">
        <v>179</v>
      </c>
      <c r="C298" s="214" t="s">
        <v>106</v>
      </c>
      <c r="D298" s="12" t="s">
        <v>1089</v>
      </c>
      <c r="E298" s="18" t="str">
        <f>VLOOKUP(C298,'C Fittings'!$E$5:$I2469,5,0)</f>
        <v/>
      </c>
      <c r="F298" s="27">
        <f>VLOOKUP(C298,'C Fittings'!E$5:$F2469,2,0)</f>
        <v>38</v>
      </c>
      <c r="G298" s="27">
        <f>IFERROR(VLOOKUP($C298,'C Fittings'!E261:O2469,11,0),0)</f>
        <v>38</v>
      </c>
      <c r="H298" s="27"/>
      <c r="I298" s="27"/>
      <c r="J298" s="27"/>
      <c r="K298" s="27"/>
      <c r="L298" s="27"/>
      <c r="M298" s="27"/>
      <c r="N298" s="27"/>
      <c r="O298" s="27"/>
    </row>
    <row r="299">
      <c r="A299" s="32">
        <f t="shared" si="1"/>
        <v>298</v>
      </c>
      <c r="B299" s="9" t="s">
        <v>179</v>
      </c>
      <c r="C299" s="214" t="s">
        <v>110</v>
      </c>
      <c r="D299" s="12" t="s">
        <v>1089</v>
      </c>
      <c r="E299" s="18" t="str">
        <f>VLOOKUP(C299,'C Fittings'!$E$5:$I2469,5,0)</f>
        <v/>
      </c>
      <c r="F299" s="27">
        <f>VLOOKUP(C299,'C Fittings'!E$5:$F2469,2,0)</f>
        <v>26</v>
      </c>
      <c r="G299" s="27">
        <f>IFERROR(VLOOKUP($C299,'C Fittings'!E262:O2469,11,0),0)</f>
        <v>26</v>
      </c>
      <c r="H299" s="27"/>
      <c r="I299" s="27"/>
      <c r="J299" s="27"/>
      <c r="K299" s="27"/>
      <c r="L299" s="27"/>
      <c r="M299" s="27"/>
      <c r="N299" s="27"/>
      <c r="O299" s="27"/>
    </row>
    <row r="300">
      <c r="A300" s="32">
        <f t="shared" si="1"/>
        <v>299</v>
      </c>
      <c r="B300" s="9" t="s">
        <v>38</v>
      </c>
      <c r="C300" s="11" t="s">
        <v>919</v>
      </c>
      <c r="D300" s="12" t="s">
        <v>1090</v>
      </c>
      <c r="E300" s="295">
        <f>VLOOKUP($C300,'UPVC PIPE'!$C$5:$G2469,5,0)</f>
        <v>0.997</v>
      </c>
      <c r="F300" s="295">
        <f>VLOOKUP($C300,'UPVC PIPE'!$C$5:$F2469,4,0)</f>
        <v>276</v>
      </c>
      <c r="G300" s="295">
        <f>VLOOKUP($C300,'UPVC PIPE'!$C$5:$I2469,7,0)</f>
        <v>276</v>
      </c>
      <c r="H300" s="27"/>
      <c r="I300" s="27"/>
      <c r="J300" s="27"/>
      <c r="K300" s="27"/>
      <c r="L300" s="27"/>
      <c r="M300" s="27"/>
      <c r="N300" s="27"/>
      <c r="O300" s="27"/>
    </row>
    <row r="301">
      <c r="A301" s="32">
        <f t="shared" si="1"/>
        <v>300</v>
      </c>
      <c r="B301" s="9" t="s">
        <v>38</v>
      </c>
      <c r="C301" s="11" t="s">
        <v>921</v>
      </c>
      <c r="D301" s="12" t="s">
        <v>1091</v>
      </c>
      <c r="E301" s="295">
        <f>VLOOKUP($C301,'UPVC PIPE'!$C$5:$G2469,5,0)</f>
        <v>1.349</v>
      </c>
      <c r="F301" s="295">
        <f>VLOOKUP($C301,'UPVC PIPE'!$C$5:$F2469,4,0)</f>
        <v>363</v>
      </c>
      <c r="G301" s="295">
        <f>VLOOKUP($C301,'UPVC PIPE'!$C$5:$I2469,7,0)</f>
        <v>363</v>
      </c>
      <c r="H301" s="27"/>
      <c r="I301" s="27"/>
      <c r="J301" s="27"/>
      <c r="K301" s="27"/>
      <c r="L301" s="27"/>
      <c r="M301" s="27"/>
      <c r="N301" s="27"/>
      <c r="O301" s="27"/>
    </row>
    <row r="302">
      <c r="A302" s="32">
        <f t="shared" si="1"/>
        <v>301</v>
      </c>
      <c r="B302" s="9" t="s">
        <v>38</v>
      </c>
      <c r="C302" s="11" t="s">
        <v>923</v>
      </c>
      <c r="D302" s="12" t="s">
        <v>1092</v>
      </c>
      <c r="E302" s="295">
        <f>VLOOKUP($C302,'UPVC PIPE'!$C$5:$G2469,5,0)</f>
        <v>1.981</v>
      </c>
      <c r="F302" s="295">
        <f>VLOOKUP($C302,'UPVC PIPE'!$C$5:$F2469,4,0)</f>
        <v>531</v>
      </c>
      <c r="G302" s="295">
        <f>VLOOKUP($C302,'UPVC PIPE'!$C$5:$I2469,7,0)</f>
        <v>531</v>
      </c>
      <c r="H302" s="27"/>
      <c r="I302" s="27"/>
      <c r="J302" s="27"/>
      <c r="K302" s="27"/>
      <c r="L302" s="27"/>
      <c r="M302" s="27"/>
      <c r="N302" s="27"/>
      <c r="O302" s="27"/>
    </row>
    <row r="303">
      <c r="A303" s="32">
        <f t="shared" si="1"/>
        <v>302</v>
      </c>
      <c r="B303" s="9" t="s">
        <v>38</v>
      </c>
      <c r="C303" s="11" t="s">
        <v>924</v>
      </c>
      <c r="D303" s="12" t="s">
        <v>1093</v>
      </c>
      <c r="E303" s="295">
        <f>VLOOKUP($C303,'UPVC PIPE'!$C$5:$G2469,5,0)</f>
        <v>2.736</v>
      </c>
      <c r="F303" s="295">
        <f>VLOOKUP($C303,'UPVC PIPE'!$C$5:$F2469,4,0)</f>
        <v>732</v>
      </c>
      <c r="G303" s="295">
        <f>VLOOKUP($C303,'UPVC PIPE'!$C$5:$I2469,7,0)</f>
        <v>732</v>
      </c>
      <c r="H303" s="27"/>
      <c r="I303" s="27"/>
      <c r="J303" s="27"/>
      <c r="K303" s="27"/>
      <c r="L303" s="27"/>
      <c r="M303" s="27"/>
      <c r="N303" s="27"/>
      <c r="O303" s="27"/>
    </row>
    <row r="304">
      <c r="A304" s="32">
        <f t="shared" si="1"/>
        <v>303</v>
      </c>
      <c r="B304" s="9" t="s">
        <v>38</v>
      </c>
      <c r="C304" s="11" t="s">
        <v>925</v>
      </c>
      <c r="D304" s="12" t="s">
        <v>1094</v>
      </c>
      <c r="E304" s="295">
        <f>VLOOKUP($C304,'UPVC PIPE'!$C$5:$G2469,5,0)</f>
        <v>3.32</v>
      </c>
      <c r="F304" s="295">
        <f>VLOOKUP($C304,'UPVC PIPE'!$C$5:$F2469,4,0)</f>
        <v>894</v>
      </c>
      <c r="G304" s="295">
        <f>VLOOKUP($C304,'UPVC PIPE'!$C$5:$I2469,7,0)</f>
        <v>894</v>
      </c>
      <c r="H304" s="27"/>
      <c r="I304" s="27"/>
      <c r="J304" s="27"/>
      <c r="K304" s="27"/>
      <c r="L304" s="27"/>
      <c r="M304" s="27"/>
      <c r="N304" s="27"/>
      <c r="O304" s="27"/>
    </row>
    <row r="305">
      <c r="A305" s="32">
        <f t="shared" si="1"/>
        <v>304</v>
      </c>
      <c r="B305" s="9" t="s">
        <v>38</v>
      </c>
      <c r="C305" s="11" t="s">
        <v>927</v>
      </c>
      <c r="D305" s="12" t="s">
        <v>1096</v>
      </c>
      <c r="E305" s="295">
        <f>VLOOKUP($C305,'UPVC PIPE'!$C$5:$G2469,5,0)</f>
        <v>4.592</v>
      </c>
      <c r="F305" s="295">
        <f>VLOOKUP($C305,'UPVC PIPE'!$C$5:$F2469,4,0)</f>
        <v>1234</v>
      </c>
      <c r="G305" s="295">
        <f>VLOOKUP($C305,'UPVC PIPE'!$C$5:$I2469,7,0)</f>
        <v>1234</v>
      </c>
      <c r="H305" s="27"/>
      <c r="I305" s="27"/>
      <c r="J305" s="27"/>
      <c r="K305" s="27"/>
      <c r="L305" s="27"/>
      <c r="M305" s="27"/>
      <c r="N305" s="27"/>
      <c r="O305" s="27"/>
    </row>
    <row r="306">
      <c r="A306" s="32">
        <f t="shared" si="1"/>
        <v>305</v>
      </c>
      <c r="B306" s="9" t="s">
        <v>38</v>
      </c>
      <c r="C306" s="11" t="s">
        <v>928</v>
      </c>
      <c r="D306" s="12" t="s">
        <v>50</v>
      </c>
      <c r="E306" s="295">
        <f>VLOOKUP($C306,'UPVC PIPE'!$C$5:$G2469,5,0)</f>
        <v>7.002</v>
      </c>
      <c r="F306" s="295">
        <f>VLOOKUP($C306,'UPVC PIPE'!$C$5:$F2469,4,0)</f>
        <v>1965</v>
      </c>
      <c r="G306" s="295">
        <f>VLOOKUP($C306,'UPVC PIPE'!$C$5:$I2469,7,0)</f>
        <v>1965</v>
      </c>
      <c r="H306" s="27"/>
      <c r="I306" s="27"/>
      <c r="J306" s="27"/>
      <c r="K306" s="27"/>
      <c r="L306" s="27"/>
      <c r="M306" s="27"/>
      <c r="N306" s="27"/>
      <c r="O306" s="27"/>
    </row>
    <row r="307">
      <c r="A307" s="32">
        <f t="shared" si="1"/>
        <v>306</v>
      </c>
      <c r="B307" s="9" t="s">
        <v>38</v>
      </c>
      <c r="C307" s="11" t="s">
        <v>930</v>
      </c>
      <c r="D307" s="12" t="s">
        <v>54</v>
      </c>
      <c r="E307" s="295">
        <f>VLOOKUP($C307,'UPVC PIPE'!$C$5:$G2469,5,0)</f>
        <v>9.3</v>
      </c>
      <c r="F307" s="295">
        <f>VLOOKUP($C307,'UPVC PIPE'!$C$5:$F2469,4,0)</f>
        <v>2610</v>
      </c>
      <c r="G307" s="295">
        <f>VLOOKUP($C307,'UPVC PIPE'!$C$5:$I2469,7,0)</f>
        <v>2610</v>
      </c>
      <c r="H307" s="27"/>
      <c r="I307" s="27"/>
      <c r="J307" s="27"/>
      <c r="K307" s="27"/>
      <c r="L307" s="27"/>
      <c r="M307" s="27"/>
      <c r="N307" s="27"/>
      <c r="O307" s="27"/>
    </row>
    <row r="308">
      <c r="A308" s="32">
        <f t="shared" si="1"/>
        <v>307</v>
      </c>
      <c r="B308" s="9" t="s">
        <v>38</v>
      </c>
      <c r="C308" s="11" t="s">
        <v>931</v>
      </c>
      <c r="D308" s="12" t="s">
        <v>58</v>
      </c>
      <c r="E308" s="295">
        <f>VLOOKUP($C308,'UPVC PIPE'!$C$5:$G2469,5,0)</f>
        <v>13.5</v>
      </c>
      <c r="F308" s="295">
        <f>VLOOKUP($C308,'UPVC PIPE'!$C$5:$F2469,4,0)</f>
        <v>3810</v>
      </c>
      <c r="G308" s="295">
        <f>VLOOKUP($C308,'UPVC PIPE'!$C$5:$I2469,7,0)</f>
        <v>3810</v>
      </c>
      <c r="H308" s="27"/>
      <c r="I308" s="27"/>
      <c r="J308" s="27"/>
      <c r="K308" s="27"/>
      <c r="L308" s="27"/>
      <c r="M308" s="27"/>
      <c r="N308" s="27"/>
      <c r="O308" s="27"/>
    </row>
    <row r="309">
      <c r="A309" s="32">
        <f t="shared" si="1"/>
        <v>308</v>
      </c>
      <c r="B309" s="9" t="s">
        <v>38</v>
      </c>
      <c r="C309" s="11" t="s">
        <v>932</v>
      </c>
      <c r="D309" s="12" t="s">
        <v>63</v>
      </c>
      <c r="E309" s="295">
        <f>VLOOKUP($C309,'UPVC PIPE'!$C$5:$G2469,5,0)</f>
        <v>25.5</v>
      </c>
      <c r="F309" s="295">
        <f>VLOOKUP($C309,'UPVC PIPE'!$C$5:$F2469,4,0)</f>
        <v>7242</v>
      </c>
      <c r="G309" s="295">
        <f>VLOOKUP($C309,'UPVC PIPE'!$C$5:$I2469,7,0)</f>
        <v>7242</v>
      </c>
      <c r="H309" s="27"/>
      <c r="I309" s="27"/>
      <c r="J309" s="27"/>
      <c r="K309" s="27"/>
      <c r="L309" s="27"/>
      <c r="M309" s="27"/>
      <c r="N309" s="27"/>
      <c r="O309" s="27"/>
    </row>
    <row r="310">
      <c r="A310" s="32">
        <f t="shared" si="1"/>
        <v>309</v>
      </c>
      <c r="B310" s="9" t="s">
        <v>38</v>
      </c>
      <c r="C310" s="11" t="s">
        <v>954</v>
      </c>
      <c r="D310" s="12" t="s">
        <v>1100</v>
      </c>
      <c r="E310" s="295">
        <f>VLOOKUP($C310,'UPVC PIPE'!$C$5:$G2469,5,0)</f>
        <v>0.776</v>
      </c>
      <c r="F310" s="295">
        <f>VLOOKUP($C310,'UPVC PIPE'!$C$5:$F2469,4,0)</f>
        <v>207</v>
      </c>
      <c r="G310" s="295">
        <f>VLOOKUP($C310,'UPVC PIPE'!$C$5:$I2469,7,0)</f>
        <v>207</v>
      </c>
      <c r="H310" s="27"/>
      <c r="I310" s="27"/>
      <c r="J310" s="27"/>
      <c r="K310" s="27"/>
      <c r="L310" s="27"/>
      <c r="M310" s="27"/>
      <c r="N310" s="27"/>
      <c r="O310" s="27"/>
    </row>
    <row r="311">
      <c r="A311" s="32">
        <f t="shared" si="1"/>
        <v>310</v>
      </c>
      <c r="B311" s="9" t="s">
        <v>38</v>
      </c>
      <c r="C311" s="11" t="s">
        <v>957</v>
      </c>
      <c r="D311" s="12" t="s">
        <v>1101</v>
      </c>
      <c r="E311" s="295">
        <f>VLOOKUP($C311,'UPVC PIPE'!$C$5:$G2469,5,0)</f>
        <v>1.029</v>
      </c>
      <c r="F311" s="295">
        <f>VLOOKUP($C311,'UPVC PIPE'!$C$5:$F2469,4,0)</f>
        <v>279</v>
      </c>
      <c r="G311" s="295">
        <f>VLOOKUP($C311,'UPVC PIPE'!$C$5:$I2469,7,0)</f>
        <v>279</v>
      </c>
      <c r="H311" s="27"/>
      <c r="I311" s="27"/>
      <c r="J311" s="27"/>
      <c r="K311" s="27"/>
      <c r="L311" s="27"/>
      <c r="M311" s="27"/>
      <c r="N311" s="27"/>
      <c r="O311" s="27"/>
    </row>
    <row r="312">
      <c r="A312" s="32">
        <f t="shared" si="1"/>
        <v>311</v>
      </c>
      <c r="B312" s="9" t="s">
        <v>38</v>
      </c>
      <c r="C312" s="11" t="s">
        <v>958</v>
      </c>
      <c r="D312" s="12" t="s">
        <v>1103</v>
      </c>
      <c r="E312" s="295">
        <f>VLOOKUP($C312,'UPVC PIPE'!$C$5:$G2469,5,0)</f>
        <v>1.519</v>
      </c>
      <c r="F312" s="295">
        <f>VLOOKUP($C312,'UPVC PIPE'!$C$5:$F2469,4,0)</f>
        <v>397</v>
      </c>
      <c r="G312" s="295">
        <f>VLOOKUP($C312,'UPVC PIPE'!$C$5:$I2469,7,0)</f>
        <v>397</v>
      </c>
      <c r="H312" s="27"/>
      <c r="I312" s="27"/>
      <c r="J312" s="27"/>
      <c r="K312" s="27"/>
      <c r="L312" s="27"/>
      <c r="M312" s="27"/>
      <c r="N312" s="27"/>
      <c r="O312" s="27"/>
    </row>
    <row r="313">
      <c r="A313" s="32">
        <f t="shared" si="1"/>
        <v>312</v>
      </c>
      <c r="B313" s="9" t="s">
        <v>38</v>
      </c>
      <c r="C313" s="11" t="s">
        <v>959</v>
      </c>
      <c r="D313" s="12" t="s">
        <v>1108</v>
      </c>
      <c r="E313" s="295">
        <f>VLOOKUP($C313,'UPVC PIPE'!$C$5:$G2469,5,0)</f>
        <v>2.053</v>
      </c>
      <c r="F313" s="295">
        <f>VLOOKUP($C313,'UPVC PIPE'!$C$5:$F2469,4,0)</f>
        <v>549</v>
      </c>
      <c r="G313" s="295">
        <f>VLOOKUP($C313,'UPVC PIPE'!$C$5:$I2469,7,0)</f>
        <v>549</v>
      </c>
      <c r="H313" s="27"/>
      <c r="I313" s="27"/>
      <c r="J313" s="27"/>
      <c r="K313" s="27"/>
      <c r="L313" s="27"/>
      <c r="M313" s="27"/>
      <c r="N313" s="27"/>
      <c r="O313" s="27"/>
    </row>
    <row r="314">
      <c r="A314" s="32">
        <f t="shared" si="1"/>
        <v>313</v>
      </c>
      <c r="B314" s="9" t="s">
        <v>38</v>
      </c>
      <c r="C314" s="11" t="s">
        <v>960</v>
      </c>
      <c r="D314" s="12" t="s">
        <v>1109</v>
      </c>
      <c r="E314" s="295">
        <f>VLOOKUP($C314,'UPVC PIPE'!$C$5:$G2469,5,0)</f>
        <v>2.449</v>
      </c>
      <c r="F314" s="295">
        <f>VLOOKUP($C314,'UPVC PIPE'!$C$5:$F2469,4,0)</f>
        <v>661</v>
      </c>
      <c r="G314" s="295">
        <f>VLOOKUP($C314,'UPVC PIPE'!$C$5:$I2469,7,0)</f>
        <v>661</v>
      </c>
      <c r="H314" s="27"/>
      <c r="I314" s="27"/>
      <c r="J314" s="27"/>
      <c r="K314" s="27"/>
      <c r="L314" s="27"/>
      <c r="M314" s="27"/>
      <c r="N314" s="27"/>
      <c r="O314" s="27"/>
    </row>
    <row r="315">
      <c r="A315" s="32">
        <f t="shared" si="1"/>
        <v>314</v>
      </c>
      <c r="B315" s="9" t="s">
        <v>38</v>
      </c>
      <c r="C315" s="11" t="s">
        <v>963</v>
      </c>
      <c r="D315" s="12" t="s">
        <v>1110</v>
      </c>
      <c r="E315" s="295">
        <f>VLOOKUP($C315,'UPVC PIPE'!$C$5:$G2469,5,0)</f>
        <v>3.285</v>
      </c>
      <c r="F315" s="295">
        <f>VLOOKUP($C315,'UPVC PIPE'!$C$5:$F2469,4,0)</f>
        <v>877</v>
      </c>
      <c r="G315" s="295">
        <f>VLOOKUP($C315,'UPVC PIPE'!$C$5:$I2469,7,0)</f>
        <v>877</v>
      </c>
      <c r="H315" s="27"/>
      <c r="I315" s="27"/>
      <c r="J315" s="27"/>
      <c r="K315" s="27"/>
      <c r="L315" s="27"/>
      <c r="M315" s="27"/>
      <c r="N315" s="27"/>
      <c r="O315" s="27"/>
    </row>
    <row r="316">
      <c r="A316" s="32">
        <f t="shared" si="1"/>
        <v>315</v>
      </c>
      <c r="B316" s="9" t="s">
        <v>38</v>
      </c>
      <c r="C316" s="11" t="s">
        <v>964</v>
      </c>
      <c r="D316" s="12" t="s">
        <v>102</v>
      </c>
      <c r="E316" s="295">
        <f>VLOOKUP($C316,'UPVC PIPE'!$C$5:$G2469,5,0)</f>
        <v>5.2</v>
      </c>
      <c r="F316" s="295">
        <f>VLOOKUP($C316,'UPVC PIPE'!$C$5:$F2469,4,0)</f>
        <v>1461</v>
      </c>
      <c r="G316" s="295">
        <f>VLOOKUP($C316,'UPVC PIPE'!$C$5:$I2469,7,0)</f>
        <v>1461</v>
      </c>
      <c r="H316" s="27"/>
      <c r="I316" s="27"/>
      <c r="J316" s="27"/>
      <c r="K316" s="27"/>
      <c r="L316" s="27"/>
      <c r="M316" s="27"/>
      <c r="N316" s="27"/>
      <c r="O316" s="27"/>
    </row>
    <row r="317">
      <c r="A317" s="32">
        <f t="shared" si="1"/>
        <v>316</v>
      </c>
      <c r="B317" s="9" t="s">
        <v>38</v>
      </c>
      <c r="C317" s="11" t="s">
        <v>965</v>
      </c>
      <c r="D317" s="12" t="s">
        <v>115</v>
      </c>
      <c r="E317" s="295">
        <f>VLOOKUP($C317,'UPVC PIPE'!$C$5:$G2469,5,0)</f>
        <v>6.8</v>
      </c>
      <c r="F317" s="295">
        <f>VLOOKUP($C317,'UPVC PIPE'!$C$5:$F2469,4,0)</f>
        <v>1917</v>
      </c>
      <c r="G317" s="295">
        <f>VLOOKUP($C317,'UPVC PIPE'!$C$5:$I2469,7,0)</f>
        <v>1917</v>
      </c>
      <c r="H317" s="27"/>
      <c r="I317" s="27"/>
      <c r="J317" s="27"/>
      <c r="K317" s="27"/>
      <c r="L317" s="27"/>
      <c r="M317" s="27"/>
      <c r="N317" s="27"/>
      <c r="O317" s="27"/>
    </row>
    <row r="318">
      <c r="A318" s="32">
        <f t="shared" si="1"/>
        <v>317</v>
      </c>
      <c r="B318" s="9" t="s">
        <v>38</v>
      </c>
      <c r="C318" s="11" t="s">
        <v>966</v>
      </c>
      <c r="D318" s="12" t="s">
        <v>119</v>
      </c>
      <c r="E318" s="295">
        <f>VLOOKUP($C318,'UPVC PIPE'!$C$5:$G2469,5,0)</f>
        <v>9.7</v>
      </c>
      <c r="F318" s="295">
        <f>VLOOKUP($C318,'UPVC PIPE'!$C$5:$F2469,4,0)</f>
        <v>2727</v>
      </c>
      <c r="G318" s="295">
        <f>VLOOKUP($C318,'UPVC PIPE'!$C$5:$I2469,7,0)</f>
        <v>2727</v>
      </c>
      <c r="H318" s="27"/>
      <c r="I318" s="27"/>
      <c r="J318" s="27"/>
      <c r="K318" s="27"/>
      <c r="L318" s="27"/>
      <c r="M318" s="27"/>
      <c r="N318" s="27"/>
      <c r="O318" s="27"/>
    </row>
    <row r="319">
      <c r="A319" s="32">
        <f t="shared" si="1"/>
        <v>318</v>
      </c>
      <c r="B319" s="9" t="s">
        <v>38</v>
      </c>
      <c r="C319" s="11" t="s">
        <v>969</v>
      </c>
      <c r="D319" s="12" t="s">
        <v>123</v>
      </c>
      <c r="E319" s="295">
        <f>VLOOKUP($C319,'UPVC PIPE'!$C$5:$G2469,5,0)</f>
        <v>17.1</v>
      </c>
      <c r="F319" s="295">
        <f>VLOOKUP($C319,'UPVC PIPE'!$C$5:$F2469,4,0)</f>
        <v>4791</v>
      </c>
      <c r="G319" s="295">
        <f>VLOOKUP($C319,'UPVC PIPE'!$C$5:$I2469,7,0)</f>
        <v>4791</v>
      </c>
      <c r="H319" s="27"/>
      <c r="I319" s="27"/>
      <c r="J319" s="27"/>
      <c r="K319" s="27"/>
      <c r="L319" s="27"/>
      <c r="M319" s="27"/>
      <c r="N319" s="27"/>
      <c r="O319" s="27"/>
    </row>
    <row r="320">
      <c r="A320" s="32">
        <f t="shared" si="1"/>
        <v>319</v>
      </c>
      <c r="B320" s="9" t="s">
        <v>38</v>
      </c>
      <c r="C320" s="11" t="s">
        <v>947</v>
      </c>
      <c r="D320" s="12" t="s">
        <v>1116</v>
      </c>
      <c r="E320" s="295">
        <f>VLOOKUP($C320,'UPVC PIPE'!$C$5:$G2469,5,0)</f>
        <v>0.983</v>
      </c>
      <c r="F320" s="295">
        <f>VLOOKUP($C320,'UPVC PIPE'!$C$5:$F2469,4,0)</f>
        <v>282</v>
      </c>
      <c r="G320" s="295">
        <f>VLOOKUP($C320,'UPVC PIPE'!$C$5:$I2469,7,0)</f>
        <v>282</v>
      </c>
      <c r="H320" s="27"/>
      <c r="I320" s="27"/>
      <c r="J320" s="27"/>
      <c r="K320" s="27"/>
      <c r="L320" s="27"/>
      <c r="M320" s="27"/>
      <c r="N320" s="27"/>
      <c r="O320" s="27"/>
    </row>
    <row r="321">
      <c r="A321" s="32">
        <f t="shared" si="1"/>
        <v>320</v>
      </c>
      <c r="B321" s="9" t="s">
        <v>38</v>
      </c>
      <c r="C321" s="11" t="s">
        <v>948</v>
      </c>
      <c r="D321" s="12" t="s">
        <v>1119</v>
      </c>
      <c r="E321" s="295">
        <f>VLOOKUP($C321,'UPVC PIPE'!$C$5:$G2469,5,0)</f>
        <v>1.331</v>
      </c>
      <c r="F321" s="295">
        <f>VLOOKUP($C321,'UPVC PIPE'!$C$5:$F2469,4,0)</f>
        <v>372</v>
      </c>
      <c r="G321" s="295">
        <f>VLOOKUP($C321,'UPVC PIPE'!$C$5:$I2469,7,0)</f>
        <v>372</v>
      </c>
      <c r="H321" s="27"/>
      <c r="I321" s="27"/>
      <c r="J321" s="27"/>
      <c r="K321" s="27"/>
      <c r="L321" s="27"/>
      <c r="M321" s="27"/>
      <c r="N321" s="27"/>
      <c r="O321" s="27"/>
    </row>
    <row r="322">
      <c r="A322" s="32">
        <f t="shared" si="1"/>
        <v>321</v>
      </c>
      <c r="B322" s="9" t="s">
        <v>38</v>
      </c>
      <c r="C322" s="11" t="s">
        <v>949</v>
      </c>
      <c r="D322" s="12" t="s">
        <v>1120</v>
      </c>
      <c r="E322" s="295">
        <f>VLOOKUP($C322,'UPVC PIPE'!$C$5:$G2469,5,0)</f>
        <v>1.956</v>
      </c>
      <c r="F322" s="295">
        <f>VLOOKUP($C322,'UPVC PIPE'!$C$5:$F2469,4,0)</f>
        <v>543</v>
      </c>
      <c r="G322" s="295">
        <f>VLOOKUP($C322,'UPVC PIPE'!$C$5:$I2469,7,0)</f>
        <v>543</v>
      </c>
      <c r="H322" s="27"/>
      <c r="I322" s="27"/>
      <c r="J322" s="27"/>
      <c r="K322" s="27"/>
      <c r="L322" s="27"/>
      <c r="M322" s="27"/>
      <c r="N322" s="27"/>
      <c r="O322" s="27"/>
    </row>
    <row r="323">
      <c r="A323" s="32">
        <f t="shared" si="1"/>
        <v>322</v>
      </c>
      <c r="B323" s="9" t="s">
        <v>38</v>
      </c>
      <c r="C323" s="11" t="s">
        <v>950</v>
      </c>
      <c r="D323" s="12" t="s">
        <v>1123</v>
      </c>
      <c r="E323" s="295">
        <f>VLOOKUP($C323,'UPVC PIPE'!$C$5:$G2469,5,0)</f>
        <v>2.7</v>
      </c>
      <c r="F323" s="295">
        <f>VLOOKUP($C323,'UPVC PIPE'!$C$5:$F2469,4,0)</f>
        <v>744</v>
      </c>
      <c r="G323" s="295">
        <f>VLOOKUP($C323,'UPVC PIPE'!$C$5:$I2469,7,0)</f>
        <v>744</v>
      </c>
      <c r="H323" s="27"/>
      <c r="I323" s="27"/>
      <c r="J323" s="27"/>
      <c r="K323" s="27"/>
      <c r="L323" s="27"/>
      <c r="M323" s="27"/>
      <c r="N323" s="27"/>
      <c r="O323" s="27"/>
    </row>
    <row r="324">
      <c r="A324" s="32">
        <f t="shared" si="1"/>
        <v>323</v>
      </c>
      <c r="B324" s="9" t="s">
        <v>38</v>
      </c>
      <c r="C324" s="11" t="s">
        <v>951</v>
      </c>
      <c r="D324" s="12" t="s">
        <v>1124</v>
      </c>
      <c r="E324" s="295">
        <f>VLOOKUP($C324,'UPVC PIPE'!$C$5:$G2469,5,0)</f>
        <v>3.275</v>
      </c>
      <c r="F324" s="295">
        <f>VLOOKUP($C324,'UPVC PIPE'!$C$5:$F2469,4,0)</f>
        <v>906</v>
      </c>
      <c r="G324" s="295">
        <f>VLOOKUP($C324,'UPVC PIPE'!$C$5:$I2469,7,0)</f>
        <v>906</v>
      </c>
      <c r="H324" s="27"/>
      <c r="I324" s="27"/>
      <c r="J324" s="27"/>
      <c r="K324" s="27"/>
      <c r="L324" s="27"/>
      <c r="M324" s="27"/>
      <c r="N324" s="27"/>
      <c r="O324" s="27"/>
    </row>
    <row r="325">
      <c r="A325" s="32">
        <f t="shared" si="1"/>
        <v>324</v>
      </c>
      <c r="B325" s="9" t="s">
        <v>38</v>
      </c>
      <c r="C325" s="11" t="s">
        <v>952</v>
      </c>
      <c r="D325" s="12" t="s">
        <v>1126</v>
      </c>
      <c r="E325" s="295">
        <f>VLOOKUP($C325,'UPVC PIPE'!$C$5:$G2469,5,0)</f>
        <v>4.531</v>
      </c>
      <c r="F325" s="295">
        <f>VLOOKUP($C325,'UPVC PIPE'!$C$5:$F2469,4,0)</f>
        <v>1250</v>
      </c>
      <c r="G325" s="295">
        <f>VLOOKUP($C325,'UPVC PIPE'!$C$5:$I2469,7,0)</f>
        <v>1250</v>
      </c>
      <c r="H325" s="27"/>
      <c r="I325" s="27"/>
      <c r="J325" s="27"/>
      <c r="K325" s="27"/>
      <c r="L325" s="27"/>
      <c r="M325" s="27"/>
      <c r="N325" s="27"/>
      <c r="O325" s="27"/>
    </row>
    <row r="326">
      <c r="A326" s="32">
        <f t="shared" si="1"/>
        <v>325</v>
      </c>
      <c r="B326" s="9" t="s">
        <v>38</v>
      </c>
      <c r="C326" s="214" t="s">
        <v>935</v>
      </c>
      <c r="D326" s="12" t="s">
        <v>1127</v>
      </c>
      <c r="E326" s="295">
        <f>VLOOKUP($C326,'UPVC PIPE'!$C$5:$G2469,5,0)</f>
        <v>1.994</v>
      </c>
      <c r="F326" s="295">
        <f>VLOOKUP($C326,'UPVC PIPE'!$C$5:$F2469,4,0)</f>
        <v>552</v>
      </c>
      <c r="G326" s="295">
        <f>VLOOKUP($C326,'UPVC PIPE'!$C$5:$I2469,7,0)</f>
        <v>552</v>
      </c>
      <c r="H326" s="27"/>
      <c r="I326" s="27"/>
      <c r="J326" s="27"/>
      <c r="K326" s="27"/>
      <c r="L326" s="27"/>
      <c r="M326" s="27"/>
      <c r="N326" s="27"/>
      <c r="O326" s="27"/>
    </row>
    <row r="327">
      <c r="A327" s="32">
        <f t="shared" si="1"/>
        <v>326</v>
      </c>
      <c r="B327" s="9" t="s">
        <v>38</v>
      </c>
      <c r="C327" s="214" t="s">
        <v>936</v>
      </c>
      <c r="D327" s="12" t="s">
        <v>1129</v>
      </c>
      <c r="E327" s="295">
        <f>VLOOKUP($C327,'UPVC PIPE'!$C$5:$G2469,5,0)</f>
        <v>2.698</v>
      </c>
      <c r="F327" s="295">
        <f>VLOOKUP($C327,'UPVC PIPE'!$C$5:$F2469,4,0)</f>
        <v>726</v>
      </c>
      <c r="G327" s="295">
        <f>VLOOKUP($C327,'UPVC PIPE'!$C$5:$I2469,7,0)</f>
        <v>726</v>
      </c>
      <c r="H327" s="27"/>
      <c r="I327" s="27"/>
      <c r="J327" s="27"/>
      <c r="K327" s="27"/>
      <c r="L327" s="27"/>
      <c r="M327" s="27"/>
      <c r="N327" s="27"/>
      <c r="O327" s="27"/>
    </row>
    <row r="328">
      <c r="A328" s="32">
        <f t="shared" si="1"/>
        <v>327</v>
      </c>
      <c r="B328" s="9" t="s">
        <v>38</v>
      </c>
      <c r="C328" s="214" t="s">
        <v>937</v>
      </c>
      <c r="D328" s="12" t="s">
        <v>1132</v>
      </c>
      <c r="E328" s="295">
        <f>VLOOKUP($C328,'UPVC PIPE'!$C$5:$G2469,5,0)</f>
        <v>3.962</v>
      </c>
      <c r="F328" s="295">
        <f>VLOOKUP($C328,'UPVC PIPE'!$C$5:$F2469,4,0)</f>
        <v>1062</v>
      </c>
      <c r="G328" s="295">
        <f>VLOOKUP($C328,'UPVC PIPE'!$C$5:$I2469,7,0)</f>
        <v>1062</v>
      </c>
      <c r="H328" s="27"/>
      <c r="I328" s="27"/>
      <c r="J328" s="27"/>
      <c r="K328" s="27"/>
      <c r="L328" s="27"/>
      <c r="M328" s="27"/>
      <c r="N328" s="27"/>
      <c r="O328" s="27"/>
    </row>
    <row r="329">
      <c r="A329" s="32">
        <f t="shared" si="1"/>
        <v>328</v>
      </c>
      <c r="B329" s="9" t="s">
        <v>38</v>
      </c>
      <c r="C329" s="214" t="s">
        <v>938</v>
      </c>
      <c r="D329" s="12" t="s">
        <v>1134</v>
      </c>
      <c r="E329" s="295">
        <f>VLOOKUP($C329,'UPVC PIPE'!$C$5:$G2469,5,0)</f>
        <v>5.472</v>
      </c>
      <c r="F329" s="295">
        <f>VLOOKUP($C329,'UPVC PIPE'!$C$5:$F2469,4,0)</f>
        <v>1464</v>
      </c>
      <c r="G329" s="295">
        <f>VLOOKUP($C329,'UPVC PIPE'!$C$5:$I2469,7,0)</f>
        <v>1464</v>
      </c>
      <c r="H329" s="27"/>
      <c r="I329" s="27"/>
      <c r="J329" s="27"/>
      <c r="K329" s="27"/>
      <c r="L329" s="27"/>
      <c r="M329" s="27"/>
      <c r="N329" s="27"/>
      <c r="O329" s="27"/>
    </row>
    <row r="330">
      <c r="A330" s="32">
        <f t="shared" si="1"/>
        <v>329</v>
      </c>
      <c r="B330" s="9" t="s">
        <v>38</v>
      </c>
      <c r="C330" s="214" t="s">
        <v>939</v>
      </c>
      <c r="D330" s="12" t="s">
        <v>1137</v>
      </c>
      <c r="E330" s="295">
        <f>VLOOKUP($C330,'UPVC PIPE'!$C$5:$G2469,5,0)</f>
        <v>6.64</v>
      </c>
      <c r="F330" s="295">
        <f>VLOOKUP($C330,'UPVC PIPE'!$C$5:$F2469,4,0)</f>
        <v>1788</v>
      </c>
      <c r="G330" s="295">
        <f>VLOOKUP($C330,'UPVC PIPE'!$C$5:$I2469,7,0)</f>
        <v>1788</v>
      </c>
      <c r="H330" s="27"/>
      <c r="I330" s="27"/>
      <c r="J330" s="27"/>
      <c r="K330" s="27"/>
      <c r="L330" s="27"/>
      <c r="M330" s="27"/>
      <c r="N330" s="27"/>
      <c r="O330" s="27"/>
    </row>
    <row r="331">
      <c r="A331" s="32">
        <f t="shared" si="1"/>
        <v>330</v>
      </c>
      <c r="B331" s="9" t="s">
        <v>38</v>
      </c>
      <c r="C331" s="214" t="s">
        <v>940</v>
      </c>
      <c r="D331" s="12" t="s">
        <v>1139</v>
      </c>
      <c r="E331" s="295">
        <f>VLOOKUP($C331,'UPVC PIPE'!$C$5:$G2469,5,0)</f>
        <v>9.184</v>
      </c>
      <c r="F331" s="295">
        <f>VLOOKUP($C331,'UPVC PIPE'!$C$5:$F2469,4,0)</f>
        <v>2468</v>
      </c>
      <c r="G331" s="295">
        <f>VLOOKUP($C331,'UPVC PIPE'!$C$5:$I2469,7,0)</f>
        <v>2468</v>
      </c>
      <c r="H331" s="27"/>
      <c r="I331" s="27"/>
      <c r="J331" s="27"/>
      <c r="K331" s="27"/>
      <c r="L331" s="27"/>
      <c r="M331" s="27"/>
      <c r="N331" s="27"/>
      <c r="O331" s="27"/>
    </row>
    <row r="332">
      <c r="A332" s="32">
        <f t="shared" si="1"/>
        <v>331</v>
      </c>
      <c r="B332" s="9" t="s">
        <v>38</v>
      </c>
      <c r="C332" s="214" t="s">
        <v>941</v>
      </c>
      <c r="D332" s="12" t="s">
        <v>1142</v>
      </c>
      <c r="E332" s="295">
        <f>VLOOKUP($C332,'UPVC PIPE'!$C$5:$G2469,5,0)</f>
        <v>14.004</v>
      </c>
      <c r="F332" s="295">
        <f>VLOOKUP($C332,'UPVC PIPE'!$C$5:$F2469,4,0)</f>
        <v>3930</v>
      </c>
      <c r="G332" s="295">
        <f>VLOOKUP($C332,'UPVC PIPE'!$C$5:$I2469,7,0)</f>
        <v>3930</v>
      </c>
      <c r="H332" s="27"/>
      <c r="I332" s="27"/>
      <c r="J332" s="27"/>
      <c r="K332" s="27"/>
      <c r="L332" s="27"/>
      <c r="M332" s="27"/>
      <c r="N332" s="27"/>
      <c r="O332" s="27"/>
    </row>
    <row r="333">
      <c r="A333" s="32">
        <f t="shared" si="1"/>
        <v>332</v>
      </c>
      <c r="B333" s="9" t="s">
        <v>38</v>
      </c>
      <c r="C333" s="214" t="s">
        <v>942</v>
      </c>
      <c r="D333" s="12" t="s">
        <v>1143</v>
      </c>
      <c r="E333" s="295">
        <f>VLOOKUP($C333,'UPVC PIPE'!$C$5:$G2469,5,0)</f>
        <v>18.6</v>
      </c>
      <c r="F333" s="295">
        <f>VLOOKUP($C333,'UPVC PIPE'!$C$5:$F2469,4,0)</f>
        <v>5220</v>
      </c>
      <c r="G333" s="295">
        <f>VLOOKUP($C333,'UPVC PIPE'!$C$5:$I2469,7,0)</f>
        <v>5220</v>
      </c>
      <c r="H333" s="27"/>
      <c r="I333" s="27"/>
      <c r="J333" s="27"/>
      <c r="K333" s="27"/>
      <c r="L333" s="27"/>
      <c r="M333" s="27"/>
      <c r="N333" s="27"/>
      <c r="O333" s="27"/>
    </row>
    <row r="334">
      <c r="A334" s="32">
        <f t="shared" si="1"/>
        <v>333</v>
      </c>
      <c r="B334" s="9" t="s">
        <v>38</v>
      </c>
      <c r="C334" s="214" t="s">
        <v>943</v>
      </c>
      <c r="D334" s="12" t="s">
        <v>1144</v>
      </c>
      <c r="E334" s="295">
        <f>VLOOKUP($C334,'UPVC PIPE'!$C$5:$G2469,5,0)</f>
        <v>27</v>
      </c>
      <c r="F334" s="295">
        <f>VLOOKUP($C334,'UPVC PIPE'!$C$5:$F2469,4,0)</f>
        <v>7620</v>
      </c>
      <c r="G334" s="295">
        <f>VLOOKUP($C334,'UPVC PIPE'!$C$5:$I2469,7,0)</f>
        <v>7620</v>
      </c>
      <c r="H334" s="27"/>
      <c r="I334" s="27"/>
      <c r="J334" s="27"/>
      <c r="K334" s="27"/>
      <c r="L334" s="27"/>
      <c r="M334" s="27"/>
      <c r="N334" s="27"/>
      <c r="O334" s="27"/>
    </row>
    <row r="335">
      <c r="A335" s="32">
        <f t="shared" si="1"/>
        <v>334</v>
      </c>
      <c r="B335" s="9" t="s">
        <v>38</v>
      </c>
      <c r="C335" s="214" t="s">
        <v>944</v>
      </c>
      <c r="D335" s="12" t="s">
        <v>1146</v>
      </c>
      <c r="E335" s="295">
        <f>VLOOKUP($C335,'UPVC PIPE'!$C$5:$G2469,5,0)</f>
        <v>51</v>
      </c>
      <c r="F335" s="295">
        <f>VLOOKUP($C335,'UPVC PIPE'!$C$5:$F2469,4,0)</f>
        <v>14484</v>
      </c>
      <c r="G335" s="295">
        <f>VLOOKUP($C335,'UPVC PIPE'!$C$5:$I2469,7,0)</f>
        <v>14484</v>
      </c>
      <c r="H335" s="27"/>
      <c r="I335" s="27"/>
      <c r="J335" s="27"/>
      <c r="K335" s="27"/>
      <c r="L335" s="27"/>
      <c r="M335" s="27"/>
      <c r="N335" s="27"/>
      <c r="O335" s="27"/>
    </row>
    <row r="336">
      <c r="A336" s="32">
        <f t="shared" si="1"/>
        <v>335</v>
      </c>
      <c r="B336" s="9" t="s">
        <v>38</v>
      </c>
      <c r="C336" s="214" t="s">
        <v>973</v>
      </c>
      <c r="D336" s="12" t="s">
        <v>1149</v>
      </c>
      <c r="E336" s="295">
        <f>VLOOKUP($C336,'UPVC PIPE'!$C$5:$G2469,5,0)</f>
        <v>1.552</v>
      </c>
      <c r="F336" s="295">
        <f>VLOOKUP($C336,'UPVC PIPE'!$C$5:$F2469,4,0)</f>
        <v>414</v>
      </c>
      <c r="G336" s="295">
        <f>VLOOKUP($C336,'UPVC PIPE'!$C$5:$I2469,7,0)</f>
        <v>414</v>
      </c>
      <c r="H336" s="27"/>
      <c r="I336" s="27"/>
      <c r="J336" s="27"/>
      <c r="K336" s="27"/>
      <c r="L336" s="27"/>
      <c r="M336" s="27"/>
      <c r="N336" s="27"/>
      <c r="O336" s="27"/>
    </row>
    <row r="337">
      <c r="A337" s="32">
        <f t="shared" si="1"/>
        <v>336</v>
      </c>
      <c r="B337" s="9" t="s">
        <v>38</v>
      </c>
      <c r="C337" s="214" t="s">
        <v>976</v>
      </c>
      <c r="D337" s="12" t="s">
        <v>1150</v>
      </c>
      <c r="E337" s="295">
        <f>VLOOKUP($C337,'UPVC PIPE'!$C$5:$G2469,5,0)</f>
        <v>2.058</v>
      </c>
      <c r="F337" s="295">
        <f>VLOOKUP($C337,'UPVC PIPE'!$C$5:$F2469,4,0)</f>
        <v>558</v>
      </c>
      <c r="G337" s="295">
        <f>VLOOKUP($C337,'UPVC PIPE'!$C$5:$I2469,7,0)</f>
        <v>558</v>
      </c>
      <c r="H337" s="27"/>
      <c r="I337" s="27"/>
      <c r="J337" s="27"/>
      <c r="K337" s="27"/>
      <c r="L337" s="27"/>
      <c r="M337" s="27"/>
      <c r="N337" s="27"/>
      <c r="O337" s="27"/>
    </row>
    <row r="338">
      <c r="A338" s="32">
        <f t="shared" si="1"/>
        <v>337</v>
      </c>
      <c r="B338" s="9" t="s">
        <v>38</v>
      </c>
      <c r="C338" s="214" t="s">
        <v>977</v>
      </c>
      <c r="D338" s="12" t="s">
        <v>1153</v>
      </c>
      <c r="E338" s="295">
        <f>VLOOKUP($C338,'UPVC PIPE'!$C$5:$G2469,5,0)</f>
        <v>3.038</v>
      </c>
      <c r="F338" s="295">
        <f>VLOOKUP($C338,'UPVC PIPE'!$C$5:$F2469,4,0)</f>
        <v>794</v>
      </c>
      <c r="G338" s="295">
        <f>VLOOKUP($C338,'UPVC PIPE'!$C$5:$I2469,7,0)</f>
        <v>794</v>
      </c>
      <c r="H338" s="27"/>
      <c r="I338" s="27"/>
      <c r="J338" s="27"/>
      <c r="K338" s="27"/>
      <c r="L338" s="27"/>
      <c r="M338" s="27"/>
      <c r="N338" s="27"/>
      <c r="O338" s="27"/>
    </row>
    <row r="339">
      <c r="A339" s="32">
        <f t="shared" si="1"/>
        <v>338</v>
      </c>
      <c r="B339" s="9" t="s">
        <v>38</v>
      </c>
      <c r="C339" s="214" t="s">
        <v>978</v>
      </c>
      <c r="D339" s="12" t="s">
        <v>1155</v>
      </c>
      <c r="E339" s="295">
        <f>VLOOKUP($C339,'UPVC PIPE'!$C$5:$G2469,5,0)</f>
        <v>4.106</v>
      </c>
      <c r="F339" s="295">
        <f>VLOOKUP($C339,'UPVC PIPE'!$C$5:$F2469,4,0)</f>
        <v>1098</v>
      </c>
      <c r="G339" s="295">
        <f>VLOOKUP($C339,'UPVC PIPE'!$C$5:$I2469,7,0)</f>
        <v>1098</v>
      </c>
      <c r="H339" s="27"/>
      <c r="I339" s="27"/>
      <c r="J339" s="27"/>
      <c r="K339" s="27"/>
      <c r="L339" s="27"/>
      <c r="M339" s="27"/>
      <c r="N339" s="27"/>
      <c r="O339" s="27"/>
    </row>
    <row r="340">
      <c r="A340" s="32">
        <f t="shared" si="1"/>
        <v>339</v>
      </c>
      <c r="B340" s="9" t="s">
        <v>38</v>
      </c>
      <c r="C340" s="214" t="s">
        <v>981</v>
      </c>
      <c r="D340" s="12" t="s">
        <v>1158</v>
      </c>
      <c r="E340" s="295">
        <f>VLOOKUP($C340,'UPVC PIPE'!$C$5:$G2469,5,0)</f>
        <v>4.898</v>
      </c>
      <c r="F340" s="295">
        <f>VLOOKUP($C340,'UPVC PIPE'!$C$5:$F2469,4,0)</f>
        <v>1322</v>
      </c>
      <c r="G340" s="295">
        <f>VLOOKUP($C340,'UPVC PIPE'!$C$5:$I2469,7,0)</f>
        <v>1322</v>
      </c>
      <c r="H340" s="27"/>
      <c r="I340" s="27"/>
      <c r="J340" s="27"/>
      <c r="K340" s="27"/>
      <c r="L340" s="27"/>
      <c r="M340" s="27"/>
      <c r="N340" s="27"/>
      <c r="O340" s="27"/>
    </row>
    <row r="341">
      <c r="A341" s="32">
        <f t="shared" si="1"/>
        <v>340</v>
      </c>
      <c r="B341" s="9" t="s">
        <v>38</v>
      </c>
      <c r="C341" s="214" t="s">
        <v>983</v>
      </c>
      <c r="D341" s="12" t="s">
        <v>1160</v>
      </c>
      <c r="E341" s="295">
        <f>VLOOKUP($C341,'UPVC PIPE'!$C$5:$G2469,5,0)</f>
        <v>6.57</v>
      </c>
      <c r="F341" s="295">
        <f>VLOOKUP($C341,'UPVC PIPE'!$C$5:$F2469,4,0)</f>
        <v>1754</v>
      </c>
      <c r="G341" s="295">
        <f>VLOOKUP($C341,'UPVC PIPE'!$C$5:$I2469,7,0)</f>
        <v>1754</v>
      </c>
      <c r="H341" s="27"/>
      <c r="I341" s="27"/>
      <c r="J341" s="27"/>
      <c r="K341" s="27"/>
      <c r="L341" s="27"/>
      <c r="M341" s="27"/>
      <c r="N341" s="27"/>
      <c r="O341" s="27"/>
    </row>
    <row r="342">
      <c r="A342" s="32">
        <f t="shared" si="1"/>
        <v>341</v>
      </c>
      <c r="B342" s="9" t="s">
        <v>38</v>
      </c>
      <c r="C342" s="214" t="s">
        <v>984</v>
      </c>
      <c r="D342" s="12" t="s">
        <v>1163</v>
      </c>
      <c r="E342" s="295">
        <f>VLOOKUP($C342,'UPVC PIPE'!$C$5:$G2469,5,0)</f>
        <v>10.4</v>
      </c>
      <c r="F342" s="295">
        <f>VLOOKUP($C342,'UPVC PIPE'!$C$5:$F2469,4,0)</f>
        <v>2922</v>
      </c>
      <c r="G342" s="295">
        <f>VLOOKUP($C342,'UPVC PIPE'!$C$5:$I2469,7,0)</f>
        <v>2922</v>
      </c>
      <c r="H342" s="27"/>
      <c r="I342" s="27"/>
      <c r="J342" s="27"/>
      <c r="K342" s="27"/>
      <c r="L342" s="27"/>
      <c r="M342" s="27"/>
      <c r="N342" s="27"/>
      <c r="O342" s="27"/>
    </row>
    <row r="343">
      <c r="A343" s="32">
        <f t="shared" si="1"/>
        <v>342</v>
      </c>
      <c r="B343" s="9" t="s">
        <v>38</v>
      </c>
      <c r="C343" s="214" t="s">
        <v>985</v>
      </c>
      <c r="D343" s="12" t="s">
        <v>1164</v>
      </c>
      <c r="E343" s="295">
        <f>VLOOKUP($C343,'UPVC PIPE'!$C$5:$G2469,5,0)</f>
        <v>13.6</v>
      </c>
      <c r="F343" s="295">
        <f>VLOOKUP($C343,'UPVC PIPE'!$C$5:$F2469,4,0)</f>
        <v>3834</v>
      </c>
      <c r="G343" s="295">
        <f>VLOOKUP($C343,'UPVC PIPE'!$C$5:$I2469,7,0)</f>
        <v>3834</v>
      </c>
      <c r="H343" s="27"/>
      <c r="I343" s="27"/>
      <c r="J343" s="27"/>
      <c r="K343" s="27"/>
      <c r="L343" s="27"/>
      <c r="M343" s="27"/>
      <c r="N343" s="27"/>
      <c r="O343" s="27"/>
    </row>
    <row r="344">
      <c r="A344" s="32">
        <f t="shared" si="1"/>
        <v>343</v>
      </c>
      <c r="B344" s="9" t="s">
        <v>38</v>
      </c>
      <c r="C344" s="214" t="s">
        <v>988</v>
      </c>
      <c r="D344" s="12" t="s">
        <v>1166</v>
      </c>
      <c r="E344" s="295">
        <f>VLOOKUP($C344,'UPVC PIPE'!$C$5:$G2469,5,0)</f>
        <v>19.4</v>
      </c>
      <c r="F344" s="295">
        <f>VLOOKUP($C344,'UPVC PIPE'!$C$5:$F2469,4,0)</f>
        <v>5454</v>
      </c>
      <c r="G344" s="295">
        <f>VLOOKUP($C344,'UPVC PIPE'!$C$5:$I2469,7,0)</f>
        <v>5454</v>
      </c>
      <c r="H344" s="27"/>
      <c r="I344" s="27"/>
      <c r="J344" s="27"/>
      <c r="K344" s="27"/>
      <c r="L344" s="27"/>
      <c r="M344" s="27"/>
      <c r="N344" s="27"/>
      <c r="O344" s="27"/>
    </row>
    <row r="345">
      <c r="A345" s="32">
        <f t="shared" si="1"/>
        <v>344</v>
      </c>
      <c r="B345" s="9" t="s">
        <v>38</v>
      </c>
      <c r="C345" s="214" t="s">
        <v>989</v>
      </c>
      <c r="D345" s="12" t="s">
        <v>1167</v>
      </c>
      <c r="E345" s="295">
        <f>VLOOKUP($C345,'UPVC PIPE'!$C$5:$G2469,5,0)</f>
        <v>34.2</v>
      </c>
      <c r="F345" s="295">
        <f>VLOOKUP($C345,'UPVC PIPE'!$C$5:$F2469,4,0)</f>
        <v>9582</v>
      </c>
      <c r="G345" s="295">
        <f>VLOOKUP($C345,'UPVC PIPE'!$C$5:$I2469,7,0)</f>
        <v>9582</v>
      </c>
      <c r="H345" s="27"/>
      <c r="I345" s="27"/>
      <c r="J345" s="27"/>
      <c r="K345" s="27"/>
      <c r="L345" s="27"/>
      <c r="M345" s="27"/>
      <c r="N345" s="27"/>
      <c r="O345" s="27"/>
    </row>
    <row r="346">
      <c r="A346" s="32">
        <f t="shared" si="1"/>
        <v>345</v>
      </c>
      <c r="B346" s="9" t="s">
        <v>38</v>
      </c>
      <c r="C346" s="312" t="s">
        <v>994</v>
      </c>
      <c r="D346" s="12" t="s">
        <v>1168</v>
      </c>
      <c r="E346" s="295" t="str">
        <f>VLOOKUP($C346,'UPVC PIPE'!$C$5:$G2469,5,0)</f>
        <v/>
      </c>
      <c r="F346" s="295">
        <f>VLOOKUP($C346,'UPVC PIPE'!$C$5:$F2469,4,0)</f>
        <v>564</v>
      </c>
      <c r="G346" s="295">
        <f>VLOOKUP($C346,'UPVC PIPE'!$C$5:$I2469,7,0)</f>
        <v>564</v>
      </c>
      <c r="H346" s="27"/>
      <c r="I346" s="27"/>
      <c r="J346" s="27"/>
      <c r="K346" s="27"/>
      <c r="L346" s="27"/>
      <c r="M346" s="27"/>
      <c r="N346" s="27"/>
      <c r="O346" s="27"/>
    </row>
    <row r="347">
      <c r="A347" s="32">
        <f t="shared" si="1"/>
        <v>346</v>
      </c>
      <c r="B347" s="9" t="s">
        <v>38</v>
      </c>
      <c r="C347" s="312" t="s">
        <v>996</v>
      </c>
      <c r="D347" s="12" t="s">
        <v>1170</v>
      </c>
      <c r="E347" s="295" t="str">
        <f>VLOOKUP($C347,'UPVC PIPE'!$C$5:$G2469,5,0)</f>
        <v/>
      </c>
      <c r="F347" s="295">
        <f>VLOOKUP($C347,'UPVC PIPE'!$C$5:$F2469,4,0)</f>
        <v>744</v>
      </c>
      <c r="G347" s="295">
        <f>VLOOKUP($C347,'UPVC PIPE'!$C$5:$I2469,7,0)</f>
        <v>744</v>
      </c>
      <c r="H347" s="27"/>
      <c r="I347" s="27"/>
      <c r="J347" s="27"/>
      <c r="K347" s="27"/>
      <c r="L347" s="27"/>
      <c r="M347" s="27"/>
      <c r="N347" s="27"/>
      <c r="O347" s="27"/>
    </row>
    <row r="348">
      <c r="A348" s="32">
        <f t="shared" si="1"/>
        <v>347</v>
      </c>
      <c r="B348" s="9" t="s">
        <v>38</v>
      </c>
      <c r="C348" s="312" t="s">
        <v>997</v>
      </c>
      <c r="D348" s="12" t="s">
        <v>1171</v>
      </c>
      <c r="E348" s="295" t="str">
        <f>VLOOKUP($C348,'UPVC PIPE'!$C$5:$G2469,5,0)</f>
        <v/>
      </c>
      <c r="F348" s="295">
        <f>VLOOKUP($C348,'UPVC PIPE'!$C$5:$F2469,4,0)</f>
        <v>1086</v>
      </c>
      <c r="G348" s="295">
        <f>VLOOKUP($C348,'UPVC PIPE'!$C$5:$I2469,7,0)</f>
        <v>1086</v>
      </c>
      <c r="H348" s="27"/>
      <c r="I348" s="27"/>
      <c r="J348" s="27"/>
      <c r="K348" s="27"/>
      <c r="L348" s="27"/>
      <c r="M348" s="27"/>
      <c r="N348" s="27"/>
      <c r="O348" s="27"/>
    </row>
    <row r="349">
      <c r="A349" s="32">
        <f t="shared" si="1"/>
        <v>348</v>
      </c>
      <c r="B349" s="9" t="s">
        <v>38</v>
      </c>
      <c r="C349" s="312" t="s">
        <v>998</v>
      </c>
      <c r="D349" s="12" t="s">
        <v>1173</v>
      </c>
      <c r="E349" s="295" t="str">
        <f>VLOOKUP($C349,'UPVC PIPE'!$C$5:$G2469,5,0)</f>
        <v/>
      </c>
      <c r="F349" s="295">
        <f>VLOOKUP($C349,'UPVC PIPE'!$C$5:$F2469,4,0)</f>
        <v>1488</v>
      </c>
      <c r="G349" s="295">
        <f>VLOOKUP($C349,'UPVC PIPE'!$C$5:$I2469,7,0)</f>
        <v>1488</v>
      </c>
      <c r="H349" s="27"/>
      <c r="I349" s="27"/>
      <c r="J349" s="27"/>
      <c r="K349" s="27"/>
      <c r="L349" s="27"/>
      <c r="M349" s="27"/>
      <c r="N349" s="27"/>
      <c r="O349" s="27"/>
    </row>
    <row r="350">
      <c r="A350" s="32">
        <f t="shared" si="1"/>
        <v>349</v>
      </c>
      <c r="B350" s="9" t="s">
        <v>38</v>
      </c>
      <c r="C350" s="312" t="s">
        <v>1002</v>
      </c>
      <c r="D350" s="12" t="s">
        <v>1175</v>
      </c>
      <c r="E350" s="295" t="str">
        <f>VLOOKUP($C350,'UPVC PIPE'!$C$5:$G2469,5,0)</f>
        <v/>
      </c>
      <c r="F350" s="295">
        <f>VLOOKUP($C350,'UPVC PIPE'!$C$5:$F2469,4,0)</f>
        <v>1812</v>
      </c>
      <c r="G350" s="295">
        <f>VLOOKUP($C350,'UPVC PIPE'!$C$5:$I2469,7,0)</f>
        <v>1812</v>
      </c>
      <c r="H350" s="27"/>
      <c r="I350" s="27"/>
      <c r="J350" s="27"/>
      <c r="K350" s="27"/>
      <c r="L350" s="27"/>
      <c r="M350" s="27"/>
      <c r="N350" s="27"/>
      <c r="O350" s="27"/>
    </row>
    <row r="351">
      <c r="A351" s="32">
        <f t="shared" si="1"/>
        <v>350</v>
      </c>
      <c r="B351" s="9" t="s">
        <v>38</v>
      </c>
      <c r="C351" s="312" t="s">
        <v>1003</v>
      </c>
      <c r="D351" s="12" t="s">
        <v>1178</v>
      </c>
      <c r="E351" s="295" t="str">
        <f>VLOOKUP($C351,'UPVC PIPE'!$C$5:$G2469,5,0)</f>
        <v/>
      </c>
      <c r="F351" s="295">
        <f>VLOOKUP($C351,'UPVC PIPE'!$C$5:$F2469,4,0)</f>
        <v>2500</v>
      </c>
      <c r="G351" s="295">
        <f>VLOOKUP($C351,'UPVC PIPE'!$C$5:$I2469,7,0)</f>
        <v>2500</v>
      </c>
      <c r="H351" s="27"/>
      <c r="I351" s="27"/>
      <c r="J351" s="27"/>
      <c r="K351" s="27"/>
      <c r="L351" s="27"/>
      <c r="M351" s="27"/>
      <c r="N351" s="27"/>
      <c r="O351" s="27"/>
    </row>
    <row r="352">
      <c r="A352" s="32">
        <f t="shared" si="1"/>
        <v>351</v>
      </c>
      <c r="B352" s="9" t="s">
        <v>1181</v>
      </c>
      <c r="C352" s="11" t="s">
        <v>1125</v>
      </c>
      <c r="D352" s="4" t="s">
        <v>1182</v>
      </c>
      <c r="E352" s="27">
        <f>VLOOKUP($C352,'U Fittings'!$E:$O,3,0)</f>
        <v>0.0403</v>
      </c>
      <c r="F352" s="27">
        <f>VLOOKUP($C352,'U Fittings'!$E:$O,2,0)</f>
        <v>19.9</v>
      </c>
      <c r="G352" s="27">
        <f>VLOOKUP($C352,'U Fittings'!$E:$O,11,0)</f>
        <v>19.9</v>
      </c>
      <c r="H352" s="320"/>
      <c r="I352" s="320"/>
      <c r="J352" s="320"/>
      <c r="K352" s="320"/>
      <c r="L352" s="320"/>
      <c r="M352" s="320"/>
      <c r="N352" s="320"/>
      <c r="O352" s="320"/>
    </row>
    <row r="353">
      <c r="A353" s="32">
        <f t="shared" si="1"/>
        <v>352</v>
      </c>
      <c r="B353" s="9" t="s">
        <v>1181</v>
      </c>
      <c r="C353" s="11" t="s">
        <v>1128</v>
      </c>
      <c r="D353" s="4" t="s">
        <v>1183</v>
      </c>
      <c r="E353" s="27">
        <f>VLOOKUP($C353,'U Fittings'!$E:$O,3,0)</f>
        <v>0.0295</v>
      </c>
      <c r="F353" s="27">
        <f>VLOOKUP($C353,'U Fittings'!$E:$O,2,0)</f>
        <v>13.9</v>
      </c>
      <c r="G353" s="27">
        <f>VLOOKUP($C353,'U Fittings'!$E:$O,11,0)</f>
        <v>13.9</v>
      </c>
      <c r="H353" s="320"/>
      <c r="I353" s="320"/>
      <c r="J353" s="320"/>
      <c r="K353" s="320"/>
      <c r="L353" s="320"/>
      <c r="M353" s="320"/>
      <c r="N353" s="320"/>
      <c r="O353" s="320"/>
    </row>
    <row r="354">
      <c r="A354" s="32">
        <f t="shared" si="1"/>
        <v>353</v>
      </c>
      <c r="B354" s="9" t="s">
        <v>1181</v>
      </c>
      <c r="C354" s="11" t="s">
        <v>1130</v>
      </c>
      <c r="D354" s="4" t="s">
        <v>1185</v>
      </c>
      <c r="E354" s="27">
        <f>VLOOKUP($C354,'U Fittings'!$E:$O,3,0)</f>
        <v>0.043</v>
      </c>
      <c r="F354" s="27">
        <f>VLOOKUP($C354,'U Fittings'!$E:$O,2,0)</f>
        <v>19.6</v>
      </c>
      <c r="G354" s="27">
        <f>VLOOKUP($C354,'U Fittings'!$E:$O,11,0)</f>
        <v>19.6</v>
      </c>
      <c r="H354" s="320"/>
      <c r="I354" s="320"/>
      <c r="J354" s="320"/>
      <c r="K354" s="320"/>
      <c r="L354" s="320"/>
      <c r="M354" s="320"/>
      <c r="N354" s="320"/>
      <c r="O354" s="320"/>
    </row>
    <row r="355">
      <c r="A355" s="32">
        <f t="shared" si="1"/>
        <v>354</v>
      </c>
      <c r="B355" s="9" t="s">
        <v>1181</v>
      </c>
      <c r="C355" s="11" t="s">
        <v>1131</v>
      </c>
      <c r="D355" s="4" t="s">
        <v>1189</v>
      </c>
      <c r="E355" s="27">
        <f>VLOOKUP($C355,'U Fittings'!$E:$O,3,0)</f>
        <v>0.074</v>
      </c>
      <c r="F355" s="27">
        <f>VLOOKUP($C355,'U Fittings'!$E:$O,2,0)</f>
        <v>34.4</v>
      </c>
      <c r="G355" s="27">
        <f>VLOOKUP($C355,'U Fittings'!$E:$O,11,0)</f>
        <v>34.4</v>
      </c>
      <c r="H355" s="320"/>
      <c r="I355" s="320"/>
      <c r="J355" s="320"/>
      <c r="K355" s="320"/>
      <c r="L355" s="320"/>
      <c r="M355" s="320"/>
      <c r="N355" s="320"/>
      <c r="O355" s="320"/>
    </row>
    <row r="356">
      <c r="A356" s="32">
        <f t="shared" si="1"/>
        <v>355</v>
      </c>
      <c r="B356" s="9" t="s">
        <v>1181</v>
      </c>
      <c r="C356" s="11" t="s">
        <v>1133</v>
      </c>
      <c r="D356" s="4" t="s">
        <v>1193</v>
      </c>
      <c r="E356" s="27">
        <f>VLOOKUP($C356,'U Fittings'!$E:$O,3,0)</f>
        <v>0.113</v>
      </c>
      <c r="F356" s="27">
        <f>VLOOKUP($C356,'U Fittings'!$E:$O,2,0)</f>
        <v>52.9</v>
      </c>
      <c r="G356" s="27">
        <f>VLOOKUP($C356,'U Fittings'!$E:$O,11,0)</f>
        <v>52.9</v>
      </c>
      <c r="H356" s="320"/>
      <c r="I356" s="320"/>
      <c r="J356" s="320"/>
      <c r="K356" s="320"/>
      <c r="L356" s="320"/>
      <c r="M356" s="320"/>
      <c r="N356" s="320"/>
      <c r="O356" s="320"/>
    </row>
    <row r="357">
      <c r="A357" s="32">
        <f t="shared" si="1"/>
        <v>356</v>
      </c>
      <c r="B357" s="9" t="s">
        <v>1181</v>
      </c>
      <c r="C357" s="11" t="s">
        <v>1135</v>
      </c>
      <c r="D357" s="4" t="s">
        <v>1194</v>
      </c>
      <c r="E357" s="27">
        <f>VLOOKUP($C357,'U Fittings'!$E:$O,3,0)</f>
        <v>0.148</v>
      </c>
      <c r="F357" s="27">
        <f>VLOOKUP($C357,'U Fittings'!$E:$O,2,0)</f>
        <v>68.8</v>
      </c>
      <c r="G357" s="27">
        <f>VLOOKUP($C357,'U Fittings'!$E:$O,11,0)</f>
        <v>68.8</v>
      </c>
      <c r="H357" s="320"/>
      <c r="I357" s="320"/>
      <c r="J357" s="320"/>
      <c r="K357" s="320"/>
      <c r="L357" s="320"/>
      <c r="M357" s="320"/>
      <c r="N357" s="320"/>
      <c r="O357" s="320"/>
    </row>
    <row r="358">
      <c r="A358" s="32">
        <f t="shared" si="1"/>
        <v>357</v>
      </c>
      <c r="B358" s="9" t="s">
        <v>1181</v>
      </c>
      <c r="C358" s="11" t="s">
        <v>1136</v>
      </c>
      <c r="D358" s="4" t="s">
        <v>1195</v>
      </c>
      <c r="E358" s="27">
        <f>VLOOKUP($C358,'U Fittings'!$E:$O,3,0)</f>
        <v>0.222</v>
      </c>
      <c r="F358" s="27">
        <f>VLOOKUP($C358,'U Fittings'!$E:$O,2,0)</f>
        <v>103.4</v>
      </c>
      <c r="G358" s="27">
        <f>VLOOKUP($C358,'U Fittings'!$E:$O,11,0)</f>
        <v>103.4</v>
      </c>
      <c r="H358" s="320"/>
      <c r="I358" s="320"/>
      <c r="J358" s="320"/>
      <c r="K358" s="320"/>
      <c r="L358" s="320"/>
      <c r="M358" s="320"/>
      <c r="N358" s="320"/>
      <c r="O358" s="320"/>
    </row>
    <row r="359">
      <c r="A359" s="32">
        <f t="shared" si="1"/>
        <v>358</v>
      </c>
      <c r="B359" s="9" t="s">
        <v>1181</v>
      </c>
      <c r="C359" s="11" t="s">
        <v>1138</v>
      </c>
      <c r="D359" s="4" t="s">
        <v>191</v>
      </c>
      <c r="E359" s="27">
        <f>VLOOKUP($C359,'U Fittings'!$E:$O,3,0)</f>
        <v>0.4915</v>
      </c>
      <c r="F359" s="27">
        <f>VLOOKUP($C359,'U Fittings'!$E:$O,2,0)</f>
        <v>254</v>
      </c>
      <c r="G359" s="27">
        <f>VLOOKUP($C359,'U Fittings'!$E:$O,11,0)</f>
        <v>254</v>
      </c>
      <c r="H359" s="320"/>
      <c r="I359" s="320"/>
      <c r="J359" s="320"/>
      <c r="K359" s="320"/>
      <c r="L359" s="320"/>
      <c r="M359" s="320"/>
      <c r="N359" s="320"/>
      <c r="O359" s="320"/>
    </row>
    <row r="360">
      <c r="A360" s="32">
        <f t="shared" si="1"/>
        <v>359</v>
      </c>
      <c r="B360" s="9" t="s">
        <v>1181</v>
      </c>
      <c r="C360" s="11" t="s">
        <v>1140</v>
      </c>
      <c r="D360" s="4" t="s">
        <v>193</v>
      </c>
      <c r="E360" s="27">
        <f>VLOOKUP($C360,'U Fittings'!$E:$O,3,0)</f>
        <v>0.7858</v>
      </c>
      <c r="F360" s="27">
        <f>VLOOKUP($C360,'U Fittings'!$E:$O,2,0)</f>
        <v>398</v>
      </c>
      <c r="G360" s="27">
        <f>VLOOKUP($C360,'U Fittings'!$E:$O,11,0)</f>
        <v>398</v>
      </c>
      <c r="H360" s="320"/>
      <c r="I360" s="320"/>
      <c r="J360" s="320"/>
      <c r="K360" s="320"/>
      <c r="L360" s="320"/>
      <c r="M360" s="320"/>
      <c r="N360" s="320"/>
      <c r="O360" s="320"/>
    </row>
    <row r="361">
      <c r="A361" s="32">
        <f t="shared" si="1"/>
        <v>360</v>
      </c>
      <c r="B361" s="9" t="s">
        <v>1181</v>
      </c>
      <c r="C361" s="11" t="s">
        <v>1141</v>
      </c>
      <c r="D361" s="4" t="s">
        <v>195</v>
      </c>
      <c r="E361" s="27">
        <f>VLOOKUP($C361,'U Fittings'!$E:$O,3,0)</f>
        <v>1.285</v>
      </c>
      <c r="F361" s="27">
        <f>VLOOKUP($C361,'U Fittings'!$E:$O,2,0)</f>
        <v>664</v>
      </c>
      <c r="G361" s="27">
        <f>VLOOKUP($C361,'U Fittings'!$E:$O,11,0)</f>
        <v>664</v>
      </c>
      <c r="H361" s="320"/>
      <c r="I361" s="320"/>
      <c r="J361" s="320"/>
      <c r="K361" s="320"/>
      <c r="L361" s="320"/>
      <c r="M361" s="320"/>
      <c r="N361" s="320"/>
      <c r="O361" s="320"/>
    </row>
    <row r="362">
      <c r="A362" s="32">
        <f t="shared" si="1"/>
        <v>361</v>
      </c>
      <c r="B362" s="9" t="s">
        <v>1181</v>
      </c>
      <c r="C362" s="11" t="s">
        <v>1145</v>
      </c>
      <c r="D362" s="4" t="s">
        <v>196</v>
      </c>
      <c r="E362" s="27">
        <f>VLOOKUP($C362,'U Fittings'!$E:$O,3,0)</f>
        <v>0.00189</v>
      </c>
      <c r="F362" s="27">
        <f>VLOOKUP($C362,'U Fittings'!$E:$O,2,0)</f>
        <v>1090</v>
      </c>
      <c r="G362" s="27">
        <f>VLOOKUP($C362,'U Fittings'!$E:$O,11,0)</f>
        <v>1090</v>
      </c>
      <c r="H362" s="320"/>
      <c r="I362" s="320"/>
      <c r="J362" s="320"/>
      <c r="K362" s="320"/>
      <c r="L362" s="320"/>
      <c r="M362" s="320"/>
      <c r="N362" s="320"/>
      <c r="O362" s="320"/>
    </row>
    <row r="363">
      <c r="A363" s="32">
        <f t="shared" si="1"/>
        <v>362</v>
      </c>
      <c r="B363" s="9" t="s">
        <v>1181</v>
      </c>
      <c r="C363" s="11" t="s">
        <v>1148</v>
      </c>
      <c r="D363" s="4" t="s">
        <v>1201</v>
      </c>
      <c r="E363" s="27">
        <f>VLOOKUP($C363,'U Fittings'!$E:$O,3,0)</f>
        <v>0.0613</v>
      </c>
      <c r="F363" s="27">
        <f>VLOOKUP($C363,'U Fittings'!$E:$O,2,0)</f>
        <v>31.8</v>
      </c>
      <c r="G363" s="27">
        <f>VLOOKUP($C363,'U Fittings'!$E:$O,11,0)</f>
        <v>31.8</v>
      </c>
      <c r="H363" s="320"/>
      <c r="I363" s="320"/>
      <c r="J363" s="320"/>
      <c r="K363" s="320"/>
      <c r="L363" s="320"/>
      <c r="M363" s="320"/>
      <c r="N363" s="320"/>
      <c r="O363" s="320"/>
    </row>
    <row r="364">
      <c r="A364" s="32">
        <f t="shared" si="1"/>
        <v>363</v>
      </c>
      <c r="B364" s="9" t="s">
        <v>1181</v>
      </c>
      <c r="C364" s="11" t="s">
        <v>1151</v>
      </c>
      <c r="D364" s="4" t="s">
        <v>1202</v>
      </c>
      <c r="E364" s="27">
        <f>VLOOKUP($C364,'U Fittings'!$E:$O,3,0)</f>
        <v>0.068</v>
      </c>
      <c r="F364" s="27">
        <f>VLOOKUP($C364,'U Fittings'!$E:$O,2,0)</f>
        <v>34.4</v>
      </c>
      <c r="G364" s="27">
        <f>VLOOKUP($C364,'U Fittings'!$E:$O,11,0)</f>
        <v>34.4</v>
      </c>
      <c r="H364" s="320"/>
      <c r="I364" s="320"/>
      <c r="J364" s="320"/>
      <c r="K364" s="320"/>
      <c r="L364" s="320"/>
      <c r="M364" s="320"/>
      <c r="N364" s="320"/>
      <c r="O364" s="320"/>
    </row>
    <row r="365">
      <c r="A365" s="32">
        <f t="shared" si="1"/>
        <v>364</v>
      </c>
      <c r="B365" s="9" t="s">
        <v>1181</v>
      </c>
      <c r="C365" s="11" t="s">
        <v>1152</v>
      </c>
      <c r="D365" s="4" t="s">
        <v>1204</v>
      </c>
      <c r="E365" s="27">
        <f>VLOOKUP($C365,'U Fittings'!$E:$O,3,0)</f>
        <v>0.08</v>
      </c>
      <c r="F365" s="27">
        <f>VLOOKUP($C365,'U Fittings'!$E:$O,2,0)</f>
        <v>42.4</v>
      </c>
      <c r="G365" s="27">
        <f>VLOOKUP($C365,'U Fittings'!$E:$O,11,0)</f>
        <v>42.4</v>
      </c>
      <c r="H365" s="320"/>
      <c r="I365" s="320"/>
      <c r="J365" s="320"/>
      <c r="K365" s="320"/>
      <c r="L365" s="320"/>
      <c r="M365" s="320"/>
      <c r="N365" s="320"/>
      <c r="O365" s="320"/>
    </row>
    <row r="366">
      <c r="A366" s="32">
        <f t="shared" si="1"/>
        <v>365</v>
      </c>
      <c r="B366" s="9" t="s">
        <v>1181</v>
      </c>
      <c r="C366" s="11" t="s">
        <v>1154</v>
      </c>
      <c r="D366" s="4" t="s">
        <v>1206</v>
      </c>
      <c r="E366" s="27">
        <f>VLOOKUP($C366,'U Fittings'!$E:$O,3,0)</f>
        <v>0.085</v>
      </c>
      <c r="F366" s="27">
        <f>VLOOKUP($C366,'U Fittings'!$E:$O,2,0)</f>
        <v>44.9</v>
      </c>
      <c r="G366" s="27">
        <f>VLOOKUP($C366,'U Fittings'!$E:$O,11,0)</f>
        <v>44.9</v>
      </c>
      <c r="H366" s="320"/>
      <c r="I366" s="320"/>
      <c r="J366" s="320"/>
      <c r="K366" s="320"/>
      <c r="L366" s="320"/>
      <c r="M366" s="320"/>
      <c r="N366" s="320"/>
      <c r="O366" s="320"/>
    </row>
    <row r="367">
      <c r="A367" s="32">
        <f t="shared" si="1"/>
        <v>366</v>
      </c>
      <c r="B367" s="9" t="s">
        <v>1181</v>
      </c>
      <c r="C367" s="11" t="s">
        <v>1156</v>
      </c>
      <c r="D367" s="4" t="s">
        <v>1208</v>
      </c>
      <c r="E367" s="27">
        <f>VLOOKUP($C367,'U Fittings'!$E:$O,3,0)</f>
        <v>0.1048</v>
      </c>
      <c r="F367" s="27">
        <f>VLOOKUP($C367,'U Fittings'!$E:$O,2,0)</f>
        <v>58</v>
      </c>
      <c r="G367" s="27">
        <f>VLOOKUP($C367,'U Fittings'!$E:$O,11,0)</f>
        <v>58</v>
      </c>
      <c r="H367" s="320"/>
      <c r="I367" s="320"/>
      <c r="J367" s="320"/>
      <c r="K367" s="320"/>
      <c r="L367" s="320"/>
      <c r="M367" s="320"/>
      <c r="N367" s="320"/>
      <c r="O367" s="320"/>
    </row>
    <row r="368">
      <c r="A368" s="32">
        <f t="shared" si="1"/>
        <v>367</v>
      </c>
      <c r="B368" s="9" t="s">
        <v>1181</v>
      </c>
      <c r="C368" s="11" t="s">
        <v>1157</v>
      </c>
      <c r="D368" s="4" t="s">
        <v>1211</v>
      </c>
      <c r="E368" s="27">
        <f>VLOOKUP($C368,'U Fittings'!$E:$O,3,0)</f>
        <v>0.097</v>
      </c>
      <c r="F368" s="27">
        <f>VLOOKUP($C368,'U Fittings'!$E:$O,2,0)</f>
        <v>64</v>
      </c>
      <c r="G368" s="27">
        <f>VLOOKUP($C368,'U Fittings'!$E:$O,11,0)</f>
        <v>64</v>
      </c>
      <c r="H368" s="320"/>
      <c r="I368" s="320"/>
      <c r="J368" s="320"/>
      <c r="K368" s="320"/>
      <c r="L368" s="320"/>
      <c r="M368" s="320"/>
      <c r="N368" s="320"/>
      <c r="O368" s="320"/>
    </row>
    <row r="369">
      <c r="A369" s="32">
        <f t="shared" si="1"/>
        <v>368</v>
      </c>
      <c r="B369" s="9" t="s">
        <v>1181</v>
      </c>
      <c r="C369" s="11" t="s">
        <v>1159</v>
      </c>
      <c r="D369" s="4" t="s">
        <v>1213</v>
      </c>
      <c r="E369" s="27">
        <f>VLOOKUP($C369,'U Fittings'!$E:$O,3,0)</f>
        <v>0.108</v>
      </c>
      <c r="F369" s="27">
        <f>VLOOKUP($C369,'U Fittings'!$E:$O,2,0)</f>
        <v>62</v>
      </c>
      <c r="G369" s="27">
        <f>VLOOKUP($C369,'U Fittings'!$E:$O,11,0)</f>
        <v>62</v>
      </c>
      <c r="H369" s="320"/>
      <c r="I369" s="320"/>
      <c r="J369" s="320"/>
      <c r="K369" s="320"/>
      <c r="L369" s="320"/>
      <c r="M369" s="320"/>
      <c r="N369" s="320"/>
      <c r="O369" s="320"/>
    </row>
    <row r="370">
      <c r="A370" s="32">
        <f t="shared" si="1"/>
        <v>369</v>
      </c>
      <c r="B370" s="9" t="s">
        <v>1181</v>
      </c>
      <c r="C370" s="11" t="s">
        <v>1161</v>
      </c>
      <c r="D370" s="4" t="s">
        <v>1219</v>
      </c>
      <c r="E370" s="27">
        <f>VLOOKUP($C370,'U Fittings'!$E:$O,3,0)</f>
        <v>0.128</v>
      </c>
      <c r="F370" s="27">
        <f>VLOOKUP($C370,'U Fittings'!$E:$O,2,0)</f>
        <v>72</v>
      </c>
      <c r="G370" s="27">
        <f>VLOOKUP($C370,'U Fittings'!$E:$O,11,0)</f>
        <v>72</v>
      </c>
      <c r="H370" s="320"/>
      <c r="I370" s="320"/>
      <c r="J370" s="320"/>
      <c r="K370" s="320"/>
      <c r="L370" s="320"/>
      <c r="M370" s="320"/>
      <c r="N370" s="320"/>
      <c r="O370" s="320"/>
    </row>
    <row r="371">
      <c r="A371" s="32">
        <f t="shared" si="1"/>
        <v>370</v>
      </c>
      <c r="B371" s="9" t="s">
        <v>1181</v>
      </c>
      <c r="C371" s="11" t="s">
        <v>1162</v>
      </c>
      <c r="D371" s="4" t="s">
        <v>1222</v>
      </c>
      <c r="E371" s="27">
        <f>VLOOKUP($C371,'U Fittings'!$E:$O,3,0)</f>
        <v>0.153</v>
      </c>
      <c r="F371" s="27">
        <f>VLOOKUP($C371,'U Fittings'!$E:$O,2,0)</f>
        <v>88</v>
      </c>
      <c r="G371" s="27">
        <f>VLOOKUP($C371,'U Fittings'!$E:$O,11,0)</f>
        <v>88</v>
      </c>
      <c r="H371" s="320"/>
      <c r="I371" s="320"/>
      <c r="J371" s="320"/>
      <c r="K371" s="320"/>
      <c r="L371" s="320"/>
      <c r="M371" s="320"/>
      <c r="N371" s="320"/>
      <c r="O371" s="320"/>
    </row>
    <row r="372">
      <c r="A372" s="32">
        <f t="shared" si="1"/>
        <v>371</v>
      </c>
      <c r="B372" s="9" t="s">
        <v>1181</v>
      </c>
      <c r="C372" s="11" t="s">
        <v>498</v>
      </c>
      <c r="D372" s="4" t="s">
        <v>1226</v>
      </c>
      <c r="E372" s="27">
        <f>VLOOKUP($C372,'U Fittings'!$E:$O,3,0)</f>
        <v>0.05013</v>
      </c>
      <c r="F372" s="27">
        <f>VLOOKUP($C372,'U Fittings'!$E:$O,2,0)</f>
        <v>88</v>
      </c>
      <c r="G372" s="27" t="str">
        <f>VLOOKUP($C372,'U Fittings'!$E:$O,11,0)</f>
        <v>#REF!</v>
      </c>
      <c r="H372" s="320"/>
      <c r="I372" s="320"/>
      <c r="J372" s="320"/>
      <c r="K372" s="320"/>
      <c r="L372" s="320"/>
      <c r="M372" s="320"/>
      <c r="N372" s="320"/>
      <c r="O372" s="320"/>
    </row>
    <row r="373">
      <c r="A373" s="32">
        <f t="shared" si="1"/>
        <v>372</v>
      </c>
      <c r="B373" s="9" t="s">
        <v>1181</v>
      </c>
      <c r="C373" s="11" t="s">
        <v>499</v>
      </c>
      <c r="D373" s="4" t="s">
        <v>1229</v>
      </c>
      <c r="E373" s="27">
        <f>VLOOKUP($C373,'U Fittings'!$E:$O,3,0)</f>
        <v>0.06675</v>
      </c>
      <c r="F373" s="27">
        <f>VLOOKUP($C373,'U Fittings'!$E:$O,2,0)</f>
        <v>104</v>
      </c>
      <c r="G373" s="27" t="str">
        <f>VLOOKUP($C373,'U Fittings'!$E:$O,11,0)</f>
        <v>#REF!</v>
      </c>
      <c r="H373" s="320"/>
      <c r="I373" s="320"/>
      <c r="J373" s="320"/>
      <c r="K373" s="320"/>
      <c r="L373" s="320"/>
      <c r="M373" s="320"/>
      <c r="N373" s="320"/>
      <c r="O373" s="320"/>
    </row>
    <row r="374">
      <c r="A374" s="32">
        <f t="shared" si="1"/>
        <v>373</v>
      </c>
      <c r="B374" s="9" t="s">
        <v>1181</v>
      </c>
      <c r="C374" s="11" t="s">
        <v>511</v>
      </c>
      <c r="D374" s="4" t="s">
        <v>1240</v>
      </c>
      <c r="E374" s="27">
        <f>VLOOKUP($C374,'U Fittings'!$E:$O,3,0)</f>
        <v>0.06425</v>
      </c>
      <c r="F374" s="27">
        <f>VLOOKUP($C374,'U Fittings'!$E:$O,2,0)</f>
        <v>158</v>
      </c>
      <c r="G374" s="27" t="str">
        <f>VLOOKUP($C374,'U Fittings'!$E:$O,11,0)</f>
        <v>#REF!</v>
      </c>
      <c r="H374" s="320"/>
      <c r="I374" s="320"/>
      <c r="J374" s="320"/>
      <c r="K374" s="320"/>
      <c r="L374" s="320"/>
      <c r="M374" s="320"/>
      <c r="N374" s="320"/>
      <c r="O374" s="320"/>
    </row>
    <row r="375">
      <c r="A375" s="32">
        <f t="shared" si="1"/>
        <v>374</v>
      </c>
      <c r="B375" s="9" t="s">
        <v>1181</v>
      </c>
      <c r="C375" s="11" t="s">
        <v>500</v>
      </c>
      <c r="D375" s="4" t="s">
        <v>1243</v>
      </c>
      <c r="E375" s="27">
        <f>VLOOKUP($C375,'U Fittings'!$E:$O,3,0)</f>
        <v>0.036</v>
      </c>
      <c r="F375" s="27">
        <f>VLOOKUP($C375,'U Fittings'!$E:$O,2,0)</f>
        <v>72</v>
      </c>
      <c r="G375" s="27" t="str">
        <f>VLOOKUP($C375,'U Fittings'!$E:$O,11,0)</f>
        <v>#REF!</v>
      </c>
      <c r="H375" s="320"/>
      <c r="I375" s="320"/>
      <c r="J375" s="320"/>
      <c r="K375" s="320"/>
      <c r="L375" s="320"/>
      <c r="M375" s="320"/>
      <c r="N375" s="320"/>
      <c r="O375" s="320"/>
    </row>
    <row r="376">
      <c r="A376" s="32">
        <f t="shared" si="1"/>
        <v>375</v>
      </c>
      <c r="B376" s="9" t="s">
        <v>1181</v>
      </c>
      <c r="C376" s="11" t="s">
        <v>512</v>
      </c>
      <c r="D376" s="4" t="s">
        <v>1245</v>
      </c>
      <c r="E376" s="27">
        <f>VLOOKUP($C376,'U Fittings'!$E:$O,3,0)</f>
        <v>0.04625</v>
      </c>
      <c r="F376" s="27">
        <f>VLOOKUP($C376,'U Fittings'!$E:$O,2,0)</f>
        <v>148</v>
      </c>
      <c r="G376" s="27" t="str">
        <f>VLOOKUP($C376,'U Fittings'!$E:$O,11,0)</f>
        <v>#REF!</v>
      </c>
      <c r="H376" s="320"/>
      <c r="I376" s="320"/>
      <c r="J376" s="320"/>
      <c r="K376" s="320"/>
      <c r="L376" s="320"/>
      <c r="M376" s="320"/>
      <c r="N376" s="320"/>
      <c r="O376" s="320"/>
    </row>
    <row r="377">
      <c r="A377" s="32">
        <f t="shared" si="1"/>
        <v>376</v>
      </c>
      <c r="B377" s="9" t="s">
        <v>1181</v>
      </c>
      <c r="C377" s="11" t="s">
        <v>1174</v>
      </c>
      <c r="D377" s="4" t="s">
        <v>1247</v>
      </c>
      <c r="E377" s="27">
        <f>VLOOKUP($C377,'U Fittings'!$E:$O,3,0)</f>
        <v>0.03895</v>
      </c>
      <c r="F377" s="27">
        <f>VLOOKUP($C377,'U Fittings'!$E:$O,2,0)</f>
        <v>19.6</v>
      </c>
      <c r="G377" s="27">
        <f>VLOOKUP($C377,'U Fittings'!$E:$O,11,0)</f>
        <v>19.6</v>
      </c>
      <c r="H377" s="320"/>
      <c r="I377" s="320"/>
      <c r="J377" s="320"/>
      <c r="K377" s="320"/>
      <c r="L377" s="320"/>
      <c r="M377" s="320"/>
      <c r="N377" s="320"/>
      <c r="O377" s="320"/>
    </row>
    <row r="378">
      <c r="A378" s="32">
        <f t="shared" si="1"/>
        <v>377</v>
      </c>
      <c r="B378" s="9" t="s">
        <v>1181</v>
      </c>
      <c r="C378" s="11" t="s">
        <v>1176</v>
      </c>
      <c r="D378" s="4" t="s">
        <v>1248</v>
      </c>
      <c r="E378" s="27">
        <f>VLOOKUP($C378,'U Fittings'!$E:$O,3,0)</f>
        <v>0.062</v>
      </c>
      <c r="F378" s="27">
        <f>VLOOKUP($C378,'U Fittings'!$E:$O,2,0)</f>
        <v>31</v>
      </c>
      <c r="G378" s="27">
        <f>VLOOKUP($C378,'U Fittings'!$E:$O,11,0)</f>
        <v>31</v>
      </c>
      <c r="H378" s="320"/>
      <c r="I378" s="320"/>
      <c r="J378" s="320"/>
      <c r="K378" s="320"/>
      <c r="L378" s="320"/>
      <c r="M378" s="320"/>
      <c r="N378" s="320"/>
      <c r="O378" s="320"/>
    </row>
    <row r="379">
      <c r="A379" s="32">
        <f t="shared" si="1"/>
        <v>378</v>
      </c>
      <c r="B379" s="9" t="s">
        <v>1181</v>
      </c>
      <c r="C379" s="11" t="s">
        <v>1177</v>
      </c>
      <c r="D379" s="4" t="s">
        <v>1250</v>
      </c>
      <c r="E379" s="27">
        <f>VLOOKUP($C379,'U Fittings'!$E:$O,3,0)</f>
        <v>0.099</v>
      </c>
      <c r="F379" s="27">
        <f>VLOOKUP($C379,'U Fittings'!$E:$O,2,0)</f>
        <v>50.4</v>
      </c>
      <c r="G379" s="27">
        <f>VLOOKUP($C379,'U Fittings'!$E:$O,11,0)</f>
        <v>50.4</v>
      </c>
      <c r="H379" s="320"/>
      <c r="I379" s="320"/>
      <c r="J379" s="320"/>
      <c r="K379" s="320"/>
      <c r="L379" s="320"/>
      <c r="M379" s="320"/>
      <c r="N379" s="320"/>
      <c r="O379" s="320"/>
    </row>
    <row r="380">
      <c r="A380" s="32">
        <f t="shared" si="1"/>
        <v>379</v>
      </c>
      <c r="B380" s="9" t="s">
        <v>1181</v>
      </c>
      <c r="C380" s="11" t="s">
        <v>1179</v>
      </c>
      <c r="D380" s="4" t="s">
        <v>1253</v>
      </c>
      <c r="E380" s="27">
        <f>VLOOKUP($C380,'U Fittings'!$E:$O,3,0)</f>
        <v>0.1295</v>
      </c>
      <c r="F380" s="27">
        <f>VLOOKUP($C380,'U Fittings'!$E:$O,2,0)</f>
        <v>66.9</v>
      </c>
      <c r="G380" s="27">
        <f>VLOOKUP($C380,'U Fittings'!$E:$O,11,0)</f>
        <v>66.9</v>
      </c>
      <c r="H380" s="320"/>
      <c r="I380" s="320"/>
      <c r="J380" s="320"/>
      <c r="K380" s="320"/>
      <c r="L380" s="320"/>
      <c r="M380" s="320"/>
      <c r="N380" s="320"/>
      <c r="O380" s="320"/>
    </row>
    <row r="381">
      <c r="A381" s="32">
        <f t="shared" si="1"/>
        <v>380</v>
      </c>
      <c r="B381" s="9" t="s">
        <v>1181</v>
      </c>
      <c r="C381" s="11" t="s">
        <v>1180</v>
      </c>
      <c r="D381" s="4" t="s">
        <v>1255</v>
      </c>
      <c r="E381" s="27">
        <f>VLOOKUP($C381,'U Fittings'!$E:$O,3,0)</f>
        <v>0.192</v>
      </c>
      <c r="F381" s="27">
        <f>VLOOKUP($C381,'U Fittings'!$E:$O,2,0)</f>
        <v>97.4</v>
      </c>
      <c r="G381" s="27">
        <f>VLOOKUP($C381,'U Fittings'!$E:$O,11,0)</f>
        <v>97.4</v>
      </c>
      <c r="H381" s="320"/>
      <c r="I381" s="320"/>
      <c r="J381" s="320"/>
      <c r="K381" s="320"/>
      <c r="L381" s="320"/>
      <c r="M381" s="320"/>
      <c r="N381" s="320"/>
      <c r="O381" s="320"/>
    </row>
    <row r="382">
      <c r="A382" s="32">
        <f t="shared" si="1"/>
        <v>381</v>
      </c>
      <c r="B382" s="9" t="s">
        <v>1181</v>
      </c>
      <c r="C382" s="11" t="s">
        <v>1184</v>
      </c>
      <c r="D382" s="4" t="s">
        <v>1259</v>
      </c>
      <c r="E382" s="27">
        <f>VLOOKUP($C382,'U Fittings'!$E:$O,3,0)</f>
        <v>0.0417</v>
      </c>
      <c r="F382" s="27">
        <f>VLOOKUP($C382,'U Fittings'!$E:$O,2,0)</f>
        <v>19.6</v>
      </c>
      <c r="G382" s="27">
        <f>VLOOKUP($C382,'U Fittings'!$E:$O,11,0)</f>
        <v>19.6</v>
      </c>
      <c r="H382" s="320"/>
      <c r="I382" s="320"/>
      <c r="J382" s="320"/>
      <c r="K382" s="320"/>
      <c r="L382" s="320"/>
      <c r="M382" s="320"/>
      <c r="N382" s="320"/>
      <c r="O382" s="320"/>
    </row>
    <row r="383">
      <c r="A383" s="32">
        <f t="shared" si="1"/>
        <v>382</v>
      </c>
      <c r="B383" s="9" t="s">
        <v>1181</v>
      </c>
      <c r="C383" s="11" t="s">
        <v>1186</v>
      </c>
      <c r="D383" s="4" t="s">
        <v>1262</v>
      </c>
      <c r="E383" s="27">
        <f>VLOOKUP($C383,'U Fittings'!$E:$O,3,0)</f>
        <v>0.059</v>
      </c>
      <c r="F383" s="27">
        <f>VLOOKUP($C383,'U Fittings'!$E:$O,2,0)</f>
        <v>29.4</v>
      </c>
      <c r="G383" s="27">
        <f>VLOOKUP($C383,'U Fittings'!$E:$O,11,0)</f>
        <v>29.4</v>
      </c>
      <c r="H383" s="320"/>
      <c r="I383" s="320"/>
      <c r="J383" s="320"/>
      <c r="K383" s="320"/>
      <c r="L383" s="320"/>
      <c r="M383" s="320"/>
      <c r="N383" s="320"/>
      <c r="O383" s="320"/>
    </row>
    <row r="384">
      <c r="A384" s="32">
        <f t="shared" si="1"/>
        <v>383</v>
      </c>
      <c r="B384" s="9" t="s">
        <v>1181</v>
      </c>
      <c r="C384" s="11" t="s">
        <v>1188</v>
      </c>
      <c r="D384" s="4" t="s">
        <v>1264</v>
      </c>
      <c r="E384" s="27">
        <f>VLOOKUP($C384,'U Fittings'!$E:$O,3,0)</f>
        <v>0.094</v>
      </c>
      <c r="F384" s="27">
        <f>VLOOKUP($C384,'U Fittings'!$E:$O,2,0)</f>
        <v>45.8</v>
      </c>
      <c r="G384" s="27">
        <f>VLOOKUP($C384,'U Fittings'!$E:$O,11,0)</f>
        <v>45.8</v>
      </c>
      <c r="H384" s="320"/>
      <c r="I384" s="320"/>
      <c r="J384" s="320"/>
      <c r="K384" s="320"/>
      <c r="L384" s="320"/>
      <c r="M384" s="320"/>
      <c r="N384" s="320"/>
      <c r="O384" s="320"/>
    </row>
    <row r="385">
      <c r="A385" s="32">
        <f t="shared" si="1"/>
        <v>384</v>
      </c>
      <c r="B385" s="9" t="s">
        <v>1181</v>
      </c>
      <c r="C385" s="11" t="s">
        <v>1190</v>
      </c>
      <c r="D385" s="4" t="s">
        <v>1268</v>
      </c>
      <c r="E385" s="27">
        <f>VLOOKUP($C385,'U Fittings'!$E:$O,3,0)</f>
        <v>0.151</v>
      </c>
      <c r="F385" s="27">
        <f>VLOOKUP($C385,'U Fittings'!$E:$O,2,0)</f>
        <v>69.9</v>
      </c>
      <c r="G385" s="27">
        <f>VLOOKUP($C385,'U Fittings'!$E:$O,11,0)</f>
        <v>69.9</v>
      </c>
      <c r="H385" s="320"/>
      <c r="I385" s="320"/>
      <c r="J385" s="320"/>
      <c r="K385" s="320"/>
      <c r="L385" s="320"/>
      <c r="M385" s="320"/>
      <c r="N385" s="320"/>
      <c r="O385" s="320"/>
    </row>
    <row r="386">
      <c r="A386" s="32">
        <f t="shared" si="1"/>
        <v>385</v>
      </c>
      <c r="B386" s="9" t="s">
        <v>1181</v>
      </c>
      <c r="C386" s="11" t="s">
        <v>1191</v>
      </c>
      <c r="D386" s="4" t="s">
        <v>1270</v>
      </c>
      <c r="E386" s="27">
        <f>VLOOKUP($C386,'U Fittings'!$E:$O,3,0)</f>
        <v>0.198</v>
      </c>
      <c r="F386" s="27">
        <f>VLOOKUP($C386,'U Fittings'!$E:$O,2,0)</f>
        <v>91.8</v>
      </c>
      <c r="G386" s="27">
        <f>VLOOKUP($C386,'U Fittings'!$E:$O,11,0)</f>
        <v>91.8</v>
      </c>
      <c r="H386" s="320"/>
      <c r="I386" s="320"/>
      <c r="J386" s="320"/>
      <c r="K386" s="320"/>
      <c r="L386" s="320"/>
      <c r="M386" s="320"/>
      <c r="N386" s="320"/>
      <c r="O386" s="320"/>
    </row>
    <row r="387">
      <c r="A387" s="32">
        <f t="shared" si="1"/>
        <v>386</v>
      </c>
      <c r="B387" s="9" t="s">
        <v>1181</v>
      </c>
      <c r="C387" s="11" t="s">
        <v>1192</v>
      </c>
      <c r="D387" s="4" t="s">
        <v>1273</v>
      </c>
      <c r="E387" s="27">
        <f>VLOOKUP($C387,'U Fittings'!$E:$O,3,0)</f>
        <v>0.2948</v>
      </c>
      <c r="F387" s="27">
        <f>VLOOKUP($C387,'U Fittings'!$E:$O,2,0)</f>
        <v>141.6</v>
      </c>
      <c r="G387" s="27">
        <f>VLOOKUP($C387,'U Fittings'!$E:$O,11,0)</f>
        <v>141.6</v>
      </c>
      <c r="H387" s="320"/>
      <c r="I387" s="320"/>
      <c r="J387" s="320"/>
      <c r="K387" s="320"/>
      <c r="L387" s="320"/>
      <c r="M387" s="320"/>
      <c r="N387" s="320"/>
      <c r="O387" s="320"/>
    </row>
    <row r="388">
      <c r="A388" s="32">
        <f t="shared" si="1"/>
        <v>387</v>
      </c>
      <c r="B388" s="9" t="s">
        <v>1181</v>
      </c>
      <c r="C388" s="11" t="s">
        <v>1196</v>
      </c>
      <c r="D388" s="4" t="s">
        <v>246</v>
      </c>
      <c r="E388" s="27">
        <f>VLOOKUP($C388,'U Fittings'!$E:$O,3,0)</f>
        <v>0.6472</v>
      </c>
      <c r="F388" s="27">
        <f>VLOOKUP($C388,'U Fittings'!$E:$O,2,0)</f>
        <v>338</v>
      </c>
      <c r="G388" s="27">
        <f>VLOOKUP($C388,'U Fittings'!$E:$O,11,0)</f>
        <v>338</v>
      </c>
      <c r="H388" s="320"/>
      <c r="I388" s="320"/>
      <c r="J388" s="320"/>
      <c r="K388" s="320"/>
      <c r="L388" s="320"/>
      <c r="M388" s="320"/>
      <c r="N388" s="320"/>
      <c r="O388" s="320"/>
    </row>
    <row r="389">
      <c r="A389" s="32">
        <f t="shared" si="1"/>
        <v>388</v>
      </c>
      <c r="B389" s="9" t="s">
        <v>1181</v>
      </c>
      <c r="C389" s="11" t="s">
        <v>1197</v>
      </c>
      <c r="D389" s="4" t="s">
        <v>249</v>
      </c>
      <c r="E389" s="27">
        <f>VLOOKUP($C389,'U Fittings'!$E:$O,3,0)</f>
        <v>1.003</v>
      </c>
      <c r="F389" s="27">
        <f>VLOOKUP($C389,'U Fittings'!$E:$O,2,0)</f>
        <v>548</v>
      </c>
      <c r="G389" s="27">
        <f>VLOOKUP($C389,'U Fittings'!$E:$O,11,0)</f>
        <v>548</v>
      </c>
      <c r="H389" s="320"/>
      <c r="I389" s="320"/>
      <c r="J389" s="320"/>
      <c r="K389" s="320"/>
      <c r="L389" s="320"/>
      <c r="M389" s="320"/>
      <c r="N389" s="320"/>
      <c r="O389" s="320"/>
    </row>
    <row r="390">
      <c r="A390" s="32">
        <f t="shared" si="1"/>
        <v>389</v>
      </c>
      <c r="B390" s="9" t="s">
        <v>1181</v>
      </c>
      <c r="C390" s="11" t="s">
        <v>1198</v>
      </c>
      <c r="D390" s="4" t="s">
        <v>250</v>
      </c>
      <c r="E390" s="27">
        <f>VLOOKUP($C390,'U Fittings'!$E:$O,3,0)</f>
        <v>1.605</v>
      </c>
      <c r="F390" s="27">
        <f>VLOOKUP($C390,'U Fittings'!$E:$O,2,0)</f>
        <v>888</v>
      </c>
      <c r="G390" s="27">
        <f>VLOOKUP($C390,'U Fittings'!$E:$O,11,0)</f>
        <v>888</v>
      </c>
      <c r="H390" s="320"/>
      <c r="I390" s="320"/>
      <c r="J390" s="320"/>
      <c r="K390" s="320"/>
      <c r="L390" s="320"/>
      <c r="M390" s="320"/>
      <c r="N390" s="320"/>
      <c r="O390" s="320"/>
    </row>
    <row r="391">
      <c r="A391" s="32">
        <f t="shared" si="1"/>
        <v>390</v>
      </c>
      <c r="B391" s="9" t="s">
        <v>1181</v>
      </c>
      <c r="C391" s="11" t="s">
        <v>1200</v>
      </c>
      <c r="D391" s="4" t="s">
        <v>253</v>
      </c>
      <c r="E391" s="27">
        <f>VLOOKUP($C391,'U Fittings'!$E:$O,3,0)</f>
        <v>2.384</v>
      </c>
      <c r="F391" s="27">
        <f>VLOOKUP($C391,'U Fittings'!$E:$O,2,0)</f>
        <v>1248</v>
      </c>
      <c r="G391" s="27">
        <f>VLOOKUP($C391,'U Fittings'!$E:$O,11,0)</f>
        <v>1248</v>
      </c>
      <c r="H391" s="320"/>
      <c r="I391" s="320"/>
      <c r="J391" s="320"/>
      <c r="K391" s="320"/>
      <c r="L391" s="320"/>
      <c r="M391" s="320"/>
      <c r="N391" s="320"/>
      <c r="O391" s="320"/>
    </row>
    <row r="392">
      <c r="A392" s="32">
        <f t="shared" si="1"/>
        <v>391</v>
      </c>
      <c r="B392" s="9" t="s">
        <v>1181</v>
      </c>
      <c r="C392" s="11" t="s">
        <v>1205</v>
      </c>
      <c r="D392" s="4" t="s">
        <v>1281</v>
      </c>
      <c r="E392" s="27">
        <f>VLOOKUP($C392,'U Fittings'!$E:$O,3,0)</f>
        <v>0.0545</v>
      </c>
      <c r="F392" s="27">
        <f>VLOOKUP($C392,'U Fittings'!$E:$O,2,0)</f>
        <v>28.8</v>
      </c>
      <c r="G392" s="27">
        <f>VLOOKUP($C392,'U Fittings'!$E:$O,11,0)</f>
        <v>28.8</v>
      </c>
      <c r="H392" s="320"/>
      <c r="I392" s="320"/>
      <c r="J392" s="320"/>
      <c r="K392" s="320"/>
      <c r="L392" s="320"/>
      <c r="M392" s="320"/>
      <c r="N392" s="320"/>
      <c r="O392" s="320"/>
    </row>
    <row r="393">
      <c r="A393" s="32">
        <f t="shared" si="1"/>
        <v>392</v>
      </c>
      <c r="B393" s="9" t="s">
        <v>1181</v>
      </c>
      <c r="C393" s="11" t="s">
        <v>1207</v>
      </c>
      <c r="D393" s="4" t="s">
        <v>1284</v>
      </c>
      <c r="E393" s="27">
        <f>VLOOKUP($C393,'U Fittings'!$E:$O,3,0)</f>
        <v>0.08525</v>
      </c>
      <c r="F393" s="27">
        <f>VLOOKUP($C393,'U Fittings'!$E:$O,2,0)</f>
        <v>43.8</v>
      </c>
      <c r="G393" s="27">
        <f>VLOOKUP($C393,'U Fittings'!$E:$O,11,0)</f>
        <v>43.8</v>
      </c>
      <c r="H393" s="320"/>
      <c r="I393" s="320"/>
      <c r="J393" s="320"/>
      <c r="K393" s="320"/>
      <c r="L393" s="320"/>
      <c r="M393" s="320"/>
      <c r="N393" s="320"/>
      <c r="O393" s="320"/>
    </row>
    <row r="394">
      <c r="A394" s="32">
        <f t="shared" si="1"/>
        <v>393</v>
      </c>
      <c r="B394" s="9" t="s">
        <v>1181</v>
      </c>
      <c r="C394" s="11" t="s">
        <v>1209</v>
      </c>
      <c r="D394" s="4" t="s">
        <v>1286</v>
      </c>
      <c r="E394" s="27">
        <f>VLOOKUP($C394,'U Fittings'!$E:$O,3,0)</f>
        <v>0.12885</v>
      </c>
      <c r="F394" s="27">
        <f>VLOOKUP($C394,'U Fittings'!$E:$O,2,0)</f>
        <v>74.4</v>
      </c>
      <c r="G394" s="27">
        <f>VLOOKUP($C394,'U Fittings'!$E:$O,11,0)</f>
        <v>74.4</v>
      </c>
      <c r="H394" s="320"/>
      <c r="I394" s="320"/>
      <c r="J394" s="320"/>
      <c r="K394" s="320"/>
      <c r="L394" s="320"/>
      <c r="M394" s="320"/>
      <c r="N394" s="320"/>
      <c r="O394" s="320"/>
    </row>
    <row r="395">
      <c r="A395" s="32">
        <f t="shared" si="1"/>
        <v>394</v>
      </c>
      <c r="B395" s="9" t="s">
        <v>1181</v>
      </c>
      <c r="C395" s="11" t="s">
        <v>1210</v>
      </c>
      <c r="D395" s="4" t="s">
        <v>1288</v>
      </c>
      <c r="E395" s="27">
        <f>VLOOKUP($C395,'U Fittings'!$E:$O,3,0)</f>
        <v>0.1308</v>
      </c>
      <c r="F395" s="27">
        <f>VLOOKUP($C395,'U Fittings'!$E:$O,2,0)</f>
        <v>74.4</v>
      </c>
      <c r="G395" s="27">
        <f>VLOOKUP($C395,'U Fittings'!$E:$O,11,0)</f>
        <v>74.4</v>
      </c>
      <c r="H395" s="320"/>
      <c r="I395" s="320"/>
      <c r="J395" s="320"/>
      <c r="K395" s="320"/>
      <c r="L395" s="320"/>
      <c r="M395" s="320"/>
      <c r="N395" s="320"/>
      <c r="O395" s="320"/>
    </row>
    <row r="396">
      <c r="A396" s="32">
        <f t="shared" si="1"/>
        <v>395</v>
      </c>
      <c r="B396" s="9" t="s">
        <v>1181</v>
      </c>
      <c r="C396" s="11" t="s">
        <v>1212</v>
      </c>
      <c r="D396" s="4" t="s">
        <v>1290</v>
      </c>
      <c r="E396" s="27">
        <f>VLOOKUP($C396,'U Fittings'!$E:$O,3,0)</f>
        <v>0.13525</v>
      </c>
      <c r="F396" s="27">
        <f>VLOOKUP($C396,'U Fittings'!$E:$O,2,0)</f>
        <v>78</v>
      </c>
      <c r="G396" s="27">
        <f>VLOOKUP($C396,'U Fittings'!$E:$O,11,0)</f>
        <v>78</v>
      </c>
      <c r="H396" s="320"/>
      <c r="I396" s="320"/>
      <c r="J396" s="320"/>
      <c r="K396" s="320"/>
      <c r="L396" s="320"/>
      <c r="M396" s="320"/>
      <c r="N396" s="320"/>
      <c r="O396" s="320"/>
    </row>
    <row r="397">
      <c r="A397" s="32">
        <f t="shared" si="1"/>
        <v>396</v>
      </c>
      <c r="B397" s="9" t="s">
        <v>1181</v>
      </c>
      <c r="C397" s="11" t="s">
        <v>1214</v>
      </c>
      <c r="D397" s="4" t="s">
        <v>1292</v>
      </c>
      <c r="E397" s="27">
        <f>VLOOKUP($C397,'U Fittings'!$E:$O,3,0)</f>
        <v>0.09</v>
      </c>
      <c r="F397" s="27">
        <f>VLOOKUP($C397,'U Fittings'!$E:$O,2,0)</f>
        <v>46</v>
      </c>
      <c r="G397" s="27">
        <f>VLOOKUP($C397,'U Fittings'!$E:$O,11,0)</f>
        <v>46</v>
      </c>
      <c r="H397" s="320"/>
      <c r="I397" s="320"/>
      <c r="J397" s="320"/>
      <c r="K397" s="320"/>
      <c r="L397" s="320"/>
      <c r="M397" s="320"/>
      <c r="N397" s="320"/>
      <c r="O397" s="320"/>
    </row>
    <row r="398">
      <c r="A398" s="32">
        <f t="shared" si="1"/>
        <v>397</v>
      </c>
      <c r="B398" s="9" t="s">
        <v>1181</v>
      </c>
      <c r="C398" s="11" t="s">
        <v>1217</v>
      </c>
      <c r="D398" s="4" t="s">
        <v>1295</v>
      </c>
      <c r="E398" s="27">
        <f>VLOOKUP($C398,'U Fittings'!$E:$O,3,0)</f>
        <v>0.165</v>
      </c>
      <c r="F398" s="27">
        <f>VLOOKUP($C398,'U Fittings'!$E:$O,2,0)</f>
        <v>89.4</v>
      </c>
      <c r="G398" s="27">
        <f>VLOOKUP($C398,'U Fittings'!$E:$O,11,0)</f>
        <v>89.4</v>
      </c>
      <c r="H398" s="320"/>
      <c r="I398" s="320"/>
      <c r="J398" s="320"/>
      <c r="K398" s="320"/>
      <c r="L398" s="320"/>
      <c r="M398" s="320"/>
      <c r="N398" s="320"/>
      <c r="O398" s="320"/>
    </row>
    <row r="399">
      <c r="A399" s="32">
        <f t="shared" si="1"/>
        <v>398</v>
      </c>
      <c r="B399" s="9" t="s">
        <v>1181</v>
      </c>
      <c r="C399" s="11" t="s">
        <v>1218</v>
      </c>
      <c r="D399" s="4" t="s">
        <v>1297</v>
      </c>
      <c r="E399" s="27">
        <f>VLOOKUP($C399,'U Fittings'!$E:$O,3,0)</f>
        <v>0.145</v>
      </c>
      <c r="F399" s="27">
        <f>VLOOKUP($C399,'U Fittings'!$E:$O,2,0)</f>
        <v>94</v>
      </c>
      <c r="G399" s="27">
        <f>VLOOKUP($C399,'U Fittings'!$E:$O,11,0)</f>
        <v>94</v>
      </c>
      <c r="H399" s="320"/>
      <c r="I399" s="320"/>
      <c r="J399" s="320"/>
      <c r="K399" s="320"/>
      <c r="L399" s="320"/>
      <c r="M399" s="320"/>
      <c r="N399" s="320"/>
      <c r="O399" s="320"/>
    </row>
    <row r="400">
      <c r="A400" s="32">
        <f t="shared" si="1"/>
        <v>399</v>
      </c>
      <c r="B400" s="9" t="s">
        <v>1181</v>
      </c>
      <c r="C400" s="11" t="s">
        <v>1220</v>
      </c>
      <c r="D400" s="4" t="s">
        <v>1300</v>
      </c>
      <c r="E400" s="27">
        <f>VLOOKUP($C400,'U Fittings'!$E:$O,3,0)</f>
        <v>0.1698</v>
      </c>
      <c r="F400" s="27">
        <f>VLOOKUP($C400,'U Fittings'!$E:$O,2,0)</f>
        <v>96</v>
      </c>
      <c r="G400" s="27">
        <f>VLOOKUP($C400,'U Fittings'!$E:$O,11,0)</f>
        <v>96</v>
      </c>
      <c r="H400" s="320"/>
      <c r="I400" s="320"/>
      <c r="J400" s="320"/>
      <c r="K400" s="320"/>
      <c r="L400" s="320"/>
      <c r="M400" s="320"/>
      <c r="N400" s="320"/>
      <c r="O400" s="320"/>
    </row>
    <row r="401">
      <c r="A401" s="32">
        <f t="shared" si="1"/>
        <v>400</v>
      </c>
      <c r="B401" s="9" t="s">
        <v>1181</v>
      </c>
      <c r="C401" s="11" t="s">
        <v>1221</v>
      </c>
      <c r="D401" s="4" t="s">
        <v>1304</v>
      </c>
      <c r="E401" s="27">
        <f>VLOOKUP($C401,'U Fittings'!$E:$O,3,0)</f>
        <v>0.2248</v>
      </c>
      <c r="F401" s="27">
        <f>VLOOKUP($C401,'U Fittings'!$E:$O,2,0)</f>
        <v>118</v>
      </c>
      <c r="G401" s="27">
        <f>VLOOKUP($C401,'U Fittings'!$E:$O,11,0)</f>
        <v>118</v>
      </c>
      <c r="H401" s="320"/>
      <c r="I401" s="320"/>
      <c r="J401" s="320"/>
      <c r="K401" s="320"/>
      <c r="L401" s="320"/>
      <c r="M401" s="320"/>
      <c r="N401" s="320"/>
      <c r="O401" s="320"/>
    </row>
    <row r="402">
      <c r="A402" s="32">
        <f t="shared" si="1"/>
        <v>401</v>
      </c>
      <c r="B402" s="9" t="s">
        <v>1181</v>
      </c>
      <c r="C402" s="11" t="s">
        <v>1225</v>
      </c>
      <c r="D402" s="4" t="s">
        <v>1307</v>
      </c>
      <c r="E402" s="27">
        <f>VLOOKUP($C402,'U Fittings'!$E:$O,3,0)</f>
        <v>0.2428</v>
      </c>
      <c r="F402" s="27">
        <f>VLOOKUP($C402,'U Fittings'!$E:$O,2,0)</f>
        <v>138</v>
      </c>
      <c r="G402" s="27">
        <f>VLOOKUP($C402,'U Fittings'!$E:$O,11,0)</f>
        <v>138</v>
      </c>
      <c r="H402" s="320"/>
      <c r="I402" s="320"/>
      <c r="J402" s="320"/>
      <c r="K402" s="320"/>
      <c r="L402" s="320"/>
      <c r="M402" s="320"/>
      <c r="N402" s="320"/>
      <c r="O402" s="320"/>
    </row>
    <row r="403">
      <c r="A403" s="32">
        <f t="shared" si="1"/>
        <v>402</v>
      </c>
      <c r="B403" s="9" t="s">
        <v>1181</v>
      </c>
      <c r="C403" s="11" t="s">
        <v>1227</v>
      </c>
      <c r="D403" s="4" t="s">
        <v>1314</v>
      </c>
      <c r="E403" s="27">
        <f>VLOOKUP($C403,'U Fittings'!$E:$O,3,0)</f>
        <v>0.3868</v>
      </c>
      <c r="F403" s="27">
        <f>VLOOKUP($C403,'U Fittings'!$E:$O,2,0)</f>
        <v>198</v>
      </c>
      <c r="G403" s="27">
        <f>VLOOKUP($C403,'U Fittings'!$E:$O,11,0)</f>
        <v>198</v>
      </c>
      <c r="H403" s="320"/>
      <c r="I403" s="320"/>
      <c r="J403" s="320"/>
      <c r="K403" s="320"/>
      <c r="L403" s="320"/>
      <c r="M403" s="320"/>
      <c r="N403" s="320"/>
      <c r="O403" s="320"/>
    </row>
    <row r="404">
      <c r="A404" s="32">
        <f t="shared" si="1"/>
        <v>403</v>
      </c>
      <c r="B404" s="9" t="s">
        <v>1181</v>
      </c>
      <c r="C404" s="11" t="s">
        <v>1228</v>
      </c>
      <c r="D404" s="4" t="s">
        <v>1319</v>
      </c>
      <c r="E404" s="27">
        <f>VLOOKUP($C404,'U Fittings'!$E:$O,3,0)</f>
        <v>0.39947</v>
      </c>
      <c r="F404" s="27">
        <f>VLOOKUP($C404,'U Fittings'!$E:$O,2,0)</f>
        <v>208</v>
      </c>
      <c r="G404" s="27">
        <f>VLOOKUP($C404,'U Fittings'!$E:$O,11,0)</f>
        <v>208</v>
      </c>
      <c r="H404" s="320"/>
      <c r="I404" s="320"/>
      <c r="J404" s="320"/>
      <c r="K404" s="320"/>
      <c r="L404" s="320"/>
      <c r="M404" s="320"/>
      <c r="N404" s="320"/>
      <c r="O404" s="320"/>
    </row>
    <row r="405">
      <c r="A405" s="32">
        <f t="shared" si="1"/>
        <v>404</v>
      </c>
      <c r="B405" s="9" t="s">
        <v>1181</v>
      </c>
      <c r="C405" s="11" t="s">
        <v>1230</v>
      </c>
      <c r="D405" s="4" t="s">
        <v>1321</v>
      </c>
      <c r="E405" s="27">
        <f>VLOOKUP($C405,'U Fittings'!$E:$O,3,0)</f>
        <v>0.3824</v>
      </c>
      <c r="F405" s="27">
        <f>VLOOKUP($C405,'U Fittings'!$E:$O,2,0)</f>
        <v>196</v>
      </c>
      <c r="G405" s="27">
        <f>VLOOKUP($C405,'U Fittings'!$E:$O,11,0)</f>
        <v>196</v>
      </c>
      <c r="H405" s="320"/>
      <c r="I405" s="320"/>
      <c r="J405" s="320"/>
      <c r="K405" s="320"/>
      <c r="L405" s="320"/>
      <c r="M405" s="320"/>
      <c r="N405" s="320"/>
      <c r="O405" s="320"/>
    </row>
    <row r="406">
      <c r="A406" s="32">
        <f t="shared" si="1"/>
        <v>405</v>
      </c>
      <c r="B406" s="9" t="s">
        <v>1181</v>
      </c>
      <c r="C406" s="11" t="s">
        <v>1232</v>
      </c>
      <c r="D406" s="4" t="s">
        <v>1324</v>
      </c>
      <c r="E406" s="27">
        <f>VLOOKUP($C406,'U Fittings'!$E:$O,3,0)</f>
        <v>0.277</v>
      </c>
      <c r="F406" s="27">
        <f>VLOOKUP($C406,'U Fittings'!$E:$O,2,0)</f>
        <v>152</v>
      </c>
      <c r="G406" s="27">
        <f>VLOOKUP($C406,'U Fittings'!$E:$O,11,0)</f>
        <v>152</v>
      </c>
      <c r="H406" s="320"/>
      <c r="I406" s="320"/>
      <c r="J406" s="320"/>
      <c r="K406" s="320"/>
      <c r="L406" s="320"/>
      <c r="M406" s="320"/>
      <c r="N406" s="320"/>
      <c r="O406" s="320"/>
    </row>
    <row r="407">
      <c r="A407" s="32">
        <f t="shared" si="1"/>
        <v>406</v>
      </c>
      <c r="B407" s="9" t="s">
        <v>1181</v>
      </c>
      <c r="C407" s="11" t="s">
        <v>1235</v>
      </c>
      <c r="D407" s="4" t="s">
        <v>1329</v>
      </c>
      <c r="E407" s="27">
        <f>VLOOKUP($C407,'U Fittings'!$E:$O,3,0)</f>
        <v>0.05695</v>
      </c>
      <c r="F407" s="27">
        <f>VLOOKUP($C407,'U Fittings'!$E:$O,2,0)</f>
        <v>30.2</v>
      </c>
      <c r="G407" s="27">
        <f>VLOOKUP($C407,'U Fittings'!$E:$O,11,0)</f>
        <v>30.2</v>
      </c>
      <c r="H407" s="320"/>
      <c r="I407" s="320"/>
      <c r="J407" s="320"/>
      <c r="K407" s="320"/>
      <c r="L407" s="320"/>
      <c r="M407" s="320"/>
      <c r="N407" s="320"/>
      <c r="O407" s="320"/>
    </row>
    <row r="408">
      <c r="A408" s="32">
        <f t="shared" si="1"/>
        <v>407</v>
      </c>
      <c r="B408" s="9" t="s">
        <v>1181</v>
      </c>
      <c r="C408" s="11" t="s">
        <v>1236</v>
      </c>
      <c r="D408" s="4" t="s">
        <v>1334</v>
      </c>
      <c r="E408" s="27">
        <f>VLOOKUP($C408,'U Fittings'!$E:$O,3,0)</f>
        <v>0.07685</v>
      </c>
      <c r="F408" s="27">
        <f>VLOOKUP($C408,'U Fittings'!$E:$O,2,0)</f>
        <v>40.6</v>
      </c>
      <c r="G408" s="27">
        <f>VLOOKUP($C408,'U Fittings'!$E:$O,11,0)</f>
        <v>40.6</v>
      </c>
      <c r="H408" s="320"/>
      <c r="I408" s="320"/>
      <c r="J408" s="320"/>
      <c r="K408" s="320"/>
      <c r="L408" s="320"/>
      <c r="M408" s="320"/>
      <c r="N408" s="320"/>
      <c r="O408" s="320"/>
    </row>
    <row r="409">
      <c r="A409" s="32">
        <f t="shared" si="1"/>
        <v>408</v>
      </c>
      <c r="B409" s="9" t="s">
        <v>1181</v>
      </c>
      <c r="C409" s="11" t="s">
        <v>1237</v>
      </c>
      <c r="D409" s="4" t="s">
        <v>1337</v>
      </c>
      <c r="E409" s="27">
        <f>VLOOKUP($C409,'U Fittings'!$E:$O,3,0)</f>
        <v>0.10765</v>
      </c>
      <c r="F409" s="27">
        <f>VLOOKUP($C409,'U Fittings'!$E:$O,2,0)</f>
        <v>56.8</v>
      </c>
      <c r="G409" s="27">
        <f>VLOOKUP($C409,'U Fittings'!$E:$O,11,0)</f>
        <v>56.8</v>
      </c>
      <c r="H409" s="320"/>
      <c r="I409" s="320"/>
      <c r="J409" s="320"/>
      <c r="K409" s="320"/>
      <c r="L409" s="320"/>
      <c r="M409" s="320"/>
      <c r="N409" s="320"/>
      <c r="O409" s="320"/>
    </row>
    <row r="410">
      <c r="A410" s="32">
        <f t="shared" si="1"/>
        <v>409</v>
      </c>
      <c r="B410" s="9" t="s">
        <v>1181</v>
      </c>
      <c r="C410" s="11" t="s">
        <v>1238</v>
      </c>
      <c r="D410" s="4" t="s">
        <v>1339</v>
      </c>
      <c r="E410" s="27">
        <f>VLOOKUP($C410,'U Fittings'!$E:$O,3,0)</f>
        <v>0.164</v>
      </c>
      <c r="F410" s="27">
        <f>VLOOKUP($C410,'U Fittings'!$E:$O,2,0)</f>
        <v>87.2</v>
      </c>
      <c r="G410" s="27">
        <f>VLOOKUP($C410,'U Fittings'!$E:$O,11,0)</f>
        <v>87.2</v>
      </c>
      <c r="H410" s="320"/>
      <c r="I410" s="320"/>
      <c r="J410" s="320"/>
      <c r="K410" s="320"/>
      <c r="L410" s="320"/>
      <c r="M410" s="320"/>
      <c r="N410" s="320"/>
      <c r="O410" s="320"/>
    </row>
    <row r="411">
      <c r="A411" s="32">
        <f t="shared" si="1"/>
        <v>410</v>
      </c>
      <c r="B411" s="9" t="s">
        <v>1181</v>
      </c>
      <c r="C411" s="11" t="s">
        <v>1239</v>
      </c>
      <c r="D411" s="4" t="s">
        <v>1341</v>
      </c>
      <c r="E411" s="27">
        <f>VLOOKUP($C411,'U Fittings'!$E:$O,3,0)</f>
        <v>0.2865</v>
      </c>
      <c r="F411" s="27">
        <f>VLOOKUP($C411,'U Fittings'!$E:$O,2,0)</f>
        <v>150.8</v>
      </c>
      <c r="G411" s="27">
        <f>VLOOKUP($C411,'U Fittings'!$E:$O,11,0)</f>
        <v>150.8</v>
      </c>
      <c r="H411" s="320"/>
      <c r="I411" s="320"/>
      <c r="J411" s="320"/>
      <c r="K411" s="320"/>
      <c r="L411" s="320"/>
      <c r="M411" s="320"/>
      <c r="N411" s="320"/>
      <c r="O411" s="320"/>
    </row>
    <row r="412">
      <c r="A412" s="32">
        <f t="shared" si="1"/>
        <v>411</v>
      </c>
      <c r="B412" s="9" t="s">
        <v>1181</v>
      </c>
      <c r="C412" s="11" t="s">
        <v>1241</v>
      </c>
      <c r="D412" s="4" t="s">
        <v>1342</v>
      </c>
      <c r="E412" s="27">
        <f>VLOOKUP($C412,'U Fittings'!$E:$O,3,0)</f>
        <v>0.5009</v>
      </c>
      <c r="F412" s="27">
        <f>VLOOKUP($C412,'U Fittings'!$E:$O,2,0)</f>
        <v>261.2</v>
      </c>
      <c r="G412" s="27">
        <f>VLOOKUP($C412,'U Fittings'!$E:$O,11,0)</f>
        <v>261.2</v>
      </c>
      <c r="H412" s="320"/>
      <c r="I412" s="320"/>
      <c r="J412" s="320"/>
      <c r="K412" s="320"/>
      <c r="L412" s="320"/>
      <c r="M412" s="320"/>
      <c r="N412" s="320"/>
      <c r="O412" s="320"/>
    </row>
    <row r="413">
      <c r="A413" s="32">
        <f t="shared" si="1"/>
        <v>412</v>
      </c>
      <c r="B413" s="9" t="s">
        <v>1181</v>
      </c>
      <c r="C413" s="11" t="s">
        <v>1242</v>
      </c>
      <c r="D413" s="4" t="s">
        <v>1344</v>
      </c>
      <c r="E413" s="27">
        <f>VLOOKUP($C413,'U Fittings'!$E:$O,3,0)</f>
        <v>0.873</v>
      </c>
      <c r="F413" s="27">
        <f>VLOOKUP($C413,'U Fittings'!$E:$O,2,0)</f>
        <v>498</v>
      </c>
      <c r="G413" s="27">
        <f>VLOOKUP($C413,'U Fittings'!$E:$O,11,0)</f>
        <v>498</v>
      </c>
      <c r="H413" s="320"/>
      <c r="I413" s="320"/>
      <c r="J413" s="320"/>
      <c r="K413" s="320"/>
      <c r="L413" s="320"/>
      <c r="M413" s="320"/>
      <c r="N413" s="320"/>
      <c r="O413" s="320"/>
    </row>
    <row r="414">
      <c r="A414" s="32">
        <f t="shared" si="1"/>
        <v>413</v>
      </c>
      <c r="B414" s="9" t="s">
        <v>1181</v>
      </c>
      <c r="C414" s="11" t="s">
        <v>1244</v>
      </c>
      <c r="D414" s="4" t="s">
        <v>1346</v>
      </c>
      <c r="E414" s="27">
        <f>VLOOKUP($C414,'U Fittings'!$E:$O,3,0)</f>
        <v>1.3399</v>
      </c>
      <c r="F414" s="27">
        <f>VLOOKUP($C414,'U Fittings'!$E:$O,2,0)</f>
        <v>768</v>
      </c>
      <c r="G414" s="27">
        <f>VLOOKUP($C414,'U Fittings'!$E:$O,11,0)</f>
        <v>768</v>
      </c>
      <c r="H414" s="320"/>
      <c r="I414" s="320"/>
      <c r="J414" s="320"/>
      <c r="K414" s="320"/>
      <c r="L414" s="320"/>
      <c r="M414" s="320"/>
      <c r="N414" s="320"/>
      <c r="O414" s="320"/>
    </row>
    <row r="415">
      <c r="A415" s="32">
        <f t="shared" si="1"/>
        <v>414</v>
      </c>
      <c r="B415" s="9" t="s">
        <v>1181</v>
      </c>
      <c r="C415" s="11" t="s">
        <v>1246</v>
      </c>
      <c r="D415" s="4" t="s">
        <v>1348</v>
      </c>
      <c r="E415" s="27">
        <f>VLOOKUP($C415,'U Fittings'!$E:$O,3,0)</f>
        <v>2.271</v>
      </c>
      <c r="F415" s="27">
        <f>VLOOKUP($C415,'U Fittings'!$E:$O,2,0)</f>
        <v>1340</v>
      </c>
      <c r="G415" s="27">
        <f>VLOOKUP($C415,'U Fittings'!$E:$O,11,0)</f>
        <v>1340</v>
      </c>
      <c r="H415" s="320"/>
      <c r="I415" s="320"/>
      <c r="J415" s="320"/>
      <c r="K415" s="320"/>
      <c r="L415" s="320"/>
      <c r="M415" s="320"/>
      <c r="N415" s="320"/>
      <c r="O415" s="320"/>
    </row>
    <row r="416">
      <c r="A416" s="32">
        <f t="shared" si="1"/>
        <v>415</v>
      </c>
      <c r="B416" s="9" t="s">
        <v>1181</v>
      </c>
      <c r="C416" s="11" t="s">
        <v>793</v>
      </c>
      <c r="D416" s="4" t="s">
        <v>1350</v>
      </c>
      <c r="E416" s="27">
        <f>VLOOKUP($C416,'U Fittings'!$E:$O,3,0)</f>
        <v>0.01</v>
      </c>
      <c r="F416" s="27">
        <f>VLOOKUP($C416,'U Fittings'!$E:$O,2,0)</f>
        <v>5.9</v>
      </c>
      <c r="G416" s="27">
        <f>VLOOKUP($C416,'U Fittings'!$E:$O,11,0)</f>
        <v>5.9</v>
      </c>
      <c r="H416" s="320"/>
      <c r="I416" s="320"/>
      <c r="J416" s="320"/>
      <c r="K416" s="320"/>
      <c r="L416" s="320"/>
      <c r="M416" s="320"/>
      <c r="N416" s="320"/>
      <c r="O416" s="320"/>
    </row>
    <row r="417">
      <c r="A417" s="32">
        <f t="shared" si="1"/>
        <v>416</v>
      </c>
      <c r="B417" s="9" t="s">
        <v>1181</v>
      </c>
      <c r="C417" s="11" t="s">
        <v>1251</v>
      </c>
      <c r="D417" s="4" t="s">
        <v>1352</v>
      </c>
      <c r="E417" s="27">
        <f>VLOOKUP($C417,'U Fittings'!$E:$O,3,0)</f>
        <v>0.0237</v>
      </c>
      <c r="F417" s="27">
        <f>VLOOKUP($C417,'U Fittings'!$E:$O,2,0)</f>
        <v>13.9</v>
      </c>
      <c r="G417" s="27">
        <f>VLOOKUP($C417,'U Fittings'!$E:$O,11,0)</f>
        <v>13.9</v>
      </c>
      <c r="H417" s="320"/>
      <c r="I417" s="320"/>
      <c r="J417" s="320"/>
      <c r="K417" s="320"/>
      <c r="L417" s="320"/>
      <c r="M417" s="320"/>
      <c r="N417" s="320"/>
      <c r="O417" s="320"/>
    </row>
    <row r="418">
      <c r="A418" s="32">
        <f t="shared" si="1"/>
        <v>417</v>
      </c>
      <c r="B418" s="9" t="s">
        <v>1181</v>
      </c>
      <c r="C418" s="11" t="s">
        <v>1252</v>
      </c>
      <c r="D418" s="4" t="s">
        <v>1354</v>
      </c>
      <c r="E418" s="27">
        <f>VLOOKUP($C418,'U Fittings'!$E:$O,3,0)</f>
        <v>0.038</v>
      </c>
      <c r="F418" s="27">
        <f>VLOOKUP($C418,'U Fittings'!$E:$O,2,0)</f>
        <v>24</v>
      </c>
      <c r="G418" s="27">
        <f>VLOOKUP($C418,'U Fittings'!$E:$O,11,0)</f>
        <v>24</v>
      </c>
      <c r="H418" s="320"/>
      <c r="I418" s="320"/>
      <c r="J418" s="320"/>
      <c r="K418" s="320"/>
      <c r="L418" s="320"/>
      <c r="M418" s="320"/>
      <c r="N418" s="320"/>
      <c r="O418" s="320"/>
    </row>
    <row r="419">
      <c r="A419" s="32">
        <f t="shared" si="1"/>
        <v>418</v>
      </c>
      <c r="B419" s="9" t="s">
        <v>1181</v>
      </c>
      <c r="C419" s="11" t="s">
        <v>1254</v>
      </c>
      <c r="D419" s="4" t="s">
        <v>1356</v>
      </c>
      <c r="E419" s="27">
        <f>VLOOKUP($C419,'U Fittings'!$E:$O,3,0)</f>
        <v>0.0426</v>
      </c>
      <c r="F419" s="27">
        <f>VLOOKUP($C419,'U Fittings'!$E:$O,2,0)</f>
        <v>25.8</v>
      </c>
      <c r="G419" s="27">
        <f>VLOOKUP($C419,'U Fittings'!$E:$O,11,0)</f>
        <v>25.8</v>
      </c>
      <c r="H419" s="320"/>
      <c r="I419" s="320"/>
      <c r="J419" s="320"/>
      <c r="K419" s="320"/>
      <c r="L419" s="320"/>
      <c r="M419" s="320"/>
      <c r="N419" s="320"/>
      <c r="O419" s="320"/>
    </row>
    <row r="420">
      <c r="A420" s="32">
        <f t="shared" si="1"/>
        <v>419</v>
      </c>
      <c r="B420" s="9" t="s">
        <v>1181</v>
      </c>
      <c r="C420" s="11" t="s">
        <v>1256</v>
      </c>
      <c r="D420" s="4" t="s">
        <v>1358</v>
      </c>
      <c r="E420" s="27">
        <f>VLOOKUP($C420,'U Fittings'!$E:$O,3,0)</f>
        <v>0.0402</v>
      </c>
      <c r="F420" s="27">
        <f>VLOOKUP($C420,'U Fittings'!$E:$O,2,0)</f>
        <v>22.9</v>
      </c>
      <c r="G420" s="27">
        <f>VLOOKUP($C420,'U Fittings'!$E:$O,11,0)</f>
        <v>22.9</v>
      </c>
      <c r="H420" s="320"/>
      <c r="I420" s="320"/>
      <c r="J420" s="320"/>
      <c r="K420" s="320"/>
      <c r="L420" s="320"/>
      <c r="M420" s="320"/>
      <c r="N420" s="320"/>
      <c r="O420" s="320"/>
    </row>
    <row r="421">
      <c r="A421" s="32">
        <f t="shared" si="1"/>
        <v>420</v>
      </c>
      <c r="B421" s="9" t="s">
        <v>1181</v>
      </c>
      <c r="C421" s="11" t="s">
        <v>1258</v>
      </c>
      <c r="D421" s="4" t="s">
        <v>1360</v>
      </c>
      <c r="E421" s="27">
        <f>VLOOKUP($C421,'U Fittings'!$E:$O,3,0)</f>
        <v>0.029</v>
      </c>
      <c r="F421" s="27">
        <f>VLOOKUP($C421,'U Fittings'!$E:$O,2,0)</f>
        <v>14.8</v>
      </c>
      <c r="G421" s="27">
        <f>VLOOKUP($C421,'U Fittings'!$E:$O,11,0)</f>
        <v>14.8</v>
      </c>
      <c r="H421" s="320"/>
      <c r="I421" s="320"/>
      <c r="J421" s="320"/>
      <c r="K421" s="320"/>
      <c r="L421" s="320"/>
      <c r="M421" s="320"/>
      <c r="N421" s="320"/>
      <c r="O421" s="320"/>
    </row>
    <row r="422">
      <c r="A422" s="32">
        <f t="shared" si="1"/>
        <v>421</v>
      </c>
      <c r="B422" s="9" t="s">
        <v>1181</v>
      </c>
      <c r="C422" s="11" t="s">
        <v>1260</v>
      </c>
      <c r="D422" s="4" t="s">
        <v>1363</v>
      </c>
      <c r="E422" s="27">
        <f>VLOOKUP($C422,'U Fittings'!$E:$O,3,0)</f>
        <v>0.056</v>
      </c>
      <c r="F422" s="27">
        <f>VLOOKUP($C422,'U Fittings'!$E:$O,2,0)</f>
        <v>34.2</v>
      </c>
      <c r="G422" s="27">
        <f>VLOOKUP($C422,'U Fittings'!$E:$O,11,0)</f>
        <v>34.2</v>
      </c>
      <c r="H422" s="320"/>
      <c r="I422" s="320"/>
      <c r="J422" s="320"/>
      <c r="K422" s="320"/>
      <c r="L422" s="320"/>
      <c r="M422" s="320"/>
      <c r="N422" s="320"/>
      <c r="O422" s="320"/>
    </row>
    <row r="423">
      <c r="A423" s="32">
        <f t="shared" si="1"/>
        <v>422</v>
      </c>
      <c r="B423" s="9" t="s">
        <v>1181</v>
      </c>
      <c r="C423" s="11" t="s">
        <v>1261</v>
      </c>
      <c r="D423" s="4" t="s">
        <v>1365</v>
      </c>
      <c r="E423" s="27">
        <f>VLOOKUP($C423,'U Fittings'!$E:$O,3,0)</f>
        <v>0.0522</v>
      </c>
      <c r="F423" s="27">
        <f>VLOOKUP($C423,'U Fittings'!$E:$O,2,0)</f>
        <v>30.6</v>
      </c>
      <c r="G423" s="27">
        <f>VLOOKUP($C423,'U Fittings'!$E:$O,11,0)</f>
        <v>30.6</v>
      </c>
      <c r="H423" s="320"/>
      <c r="I423" s="320"/>
      <c r="J423" s="320"/>
      <c r="K423" s="320"/>
      <c r="L423" s="320"/>
      <c r="M423" s="320"/>
      <c r="N423" s="320"/>
      <c r="O423" s="320"/>
    </row>
    <row r="424">
      <c r="A424" s="32">
        <f t="shared" si="1"/>
        <v>423</v>
      </c>
      <c r="B424" s="9" t="s">
        <v>1181</v>
      </c>
      <c r="C424" s="11" t="s">
        <v>1263</v>
      </c>
      <c r="D424" s="4" t="s">
        <v>1366</v>
      </c>
      <c r="E424" s="27">
        <f>VLOOKUP($C424,'U Fittings'!$E:$O,3,0)</f>
        <v>0.0509</v>
      </c>
      <c r="F424" s="27">
        <f>VLOOKUP($C424,'U Fittings'!$E:$O,2,0)</f>
        <v>30.6</v>
      </c>
      <c r="G424" s="27">
        <f>VLOOKUP($C424,'U Fittings'!$E:$O,11,0)</f>
        <v>30.6</v>
      </c>
      <c r="H424" s="320"/>
      <c r="I424" s="320"/>
      <c r="J424" s="320"/>
      <c r="K424" s="320"/>
      <c r="L424" s="320"/>
      <c r="M424" s="320"/>
      <c r="N424" s="320"/>
      <c r="O424" s="320"/>
    </row>
    <row r="425">
      <c r="A425" s="32">
        <f t="shared" si="1"/>
        <v>424</v>
      </c>
      <c r="B425" s="9" t="s">
        <v>1181</v>
      </c>
      <c r="C425" s="11" t="s">
        <v>1265</v>
      </c>
      <c r="D425" s="4" t="s">
        <v>1368</v>
      </c>
      <c r="E425" s="27">
        <f>VLOOKUP($C425,'U Fittings'!$E:$O,3,0)</f>
        <v>0.051</v>
      </c>
      <c r="F425" s="27">
        <f>VLOOKUP($C425,'U Fittings'!$E:$O,2,0)</f>
        <v>40.6</v>
      </c>
      <c r="G425" s="27">
        <f>VLOOKUP($C425,'U Fittings'!$E:$O,11,0)</f>
        <v>40.6</v>
      </c>
      <c r="H425" s="320"/>
      <c r="I425" s="320"/>
      <c r="J425" s="320"/>
      <c r="K425" s="320"/>
      <c r="L425" s="320"/>
      <c r="M425" s="320"/>
      <c r="N425" s="320"/>
      <c r="O425" s="320"/>
    </row>
    <row r="426">
      <c r="A426" s="32">
        <f t="shared" si="1"/>
        <v>425</v>
      </c>
      <c r="B426" s="9" t="s">
        <v>1181</v>
      </c>
      <c r="C426" s="11" t="s">
        <v>1266</v>
      </c>
      <c r="D426" s="4" t="s">
        <v>1369</v>
      </c>
      <c r="E426" s="27">
        <f>VLOOKUP($C426,'U Fittings'!$E:$O,3,0)</f>
        <v>0.0916</v>
      </c>
      <c r="F426" s="27">
        <f>VLOOKUP($C426,'U Fittings'!$E:$O,2,0)</f>
        <v>60.2</v>
      </c>
      <c r="G426" s="27">
        <f>VLOOKUP($C426,'U Fittings'!$E:$O,11,0)</f>
        <v>60.2</v>
      </c>
      <c r="H426" s="320"/>
      <c r="I426" s="320"/>
      <c r="J426" s="320"/>
      <c r="K426" s="320"/>
      <c r="L426" s="320"/>
      <c r="M426" s="320"/>
      <c r="N426" s="320"/>
      <c r="O426" s="320"/>
    </row>
    <row r="427">
      <c r="A427" s="32">
        <f t="shared" si="1"/>
        <v>426</v>
      </c>
      <c r="B427" s="9" t="s">
        <v>1181</v>
      </c>
      <c r="C427" s="11" t="s">
        <v>1267</v>
      </c>
      <c r="D427" s="4" t="s">
        <v>1372</v>
      </c>
      <c r="E427" s="27">
        <f>VLOOKUP($C427,'U Fittings'!$E:$O,3,0)</f>
        <v>0.092</v>
      </c>
      <c r="F427" s="27">
        <f>VLOOKUP($C427,'U Fittings'!$E:$O,2,0)</f>
        <v>54.3</v>
      </c>
      <c r="G427" s="27">
        <f>VLOOKUP($C427,'U Fittings'!$E:$O,11,0)</f>
        <v>54.3</v>
      </c>
      <c r="H427" s="320"/>
      <c r="I427" s="320"/>
      <c r="J427" s="320"/>
      <c r="K427" s="320"/>
      <c r="L427" s="320"/>
      <c r="M427" s="320"/>
      <c r="N427" s="320"/>
      <c r="O427" s="320"/>
    </row>
    <row r="428">
      <c r="A428" s="32">
        <f t="shared" si="1"/>
        <v>427</v>
      </c>
      <c r="B428" s="9" t="s">
        <v>1181</v>
      </c>
      <c r="C428" s="11" t="s">
        <v>1269</v>
      </c>
      <c r="D428" s="4" t="s">
        <v>1373</v>
      </c>
      <c r="E428" s="27">
        <f>VLOOKUP($C428,'U Fittings'!$E:$O,3,0)</f>
        <v>0.104675</v>
      </c>
      <c r="F428" s="27">
        <f>VLOOKUP($C428,'U Fittings'!$E:$O,2,0)</f>
        <v>61.9</v>
      </c>
      <c r="G428" s="27">
        <f>VLOOKUP($C428,'U Fittings'!$E:$O,11,0)</f>
        <v>61.9</v>
      </c>
      <c r="H428" s="320"/>
      <c r="I428" s="320"/>
      <c r="J428" s="320"/>
      <c r="K428" s="320"/>
      <c r="L428" s="320"/>
      <c r="M428" s="320"/>
      <c r="N428" s="320"/>
      <c r="O428" s="320"/>
    </row>
    <row r="429">
      <c r="A429" s="32">
        <f t="shared" si="1"/>
        <v>428</v>
      </c>
      <c r="B429" s="9" t="s">
        <v>1181</v>
      </c>
      <c r="C429" s="11" t="s">
        <v>1271</v>
      </c>
      <c r="D429" s="4" t="s">
        <v>1374</v>
      </c>
      <c r="E429" s="27">
        <f>VLOOKUP($C429,'U Fittings'!$E:$O,3,0)</f>
        <v>0.094</v>
      </c>
      <c r="F429" s="27">
        <f>VLOOKUP($C429,'U Fittings'!$E:$O,2,0)</f>
        <v>54.3</v>
      </c>
      <c r="G429" s="27">
        <f>VLOOKUP($C429,'U Fittings'!$E:$O,11,0)</f>
        <v>54.3</v>
      </c>
      <c r="H429" s="320"/>
      <c r="I429" s="320"/>
      <c r="J429" s="320"/>
      <c r="K429" s="320"/>
      <c r="L429" s="320"/>
      <c r="M429" s="320"/>
      <c r="N429" s="320"/>
      <c r="O429" s="320"/>
    </row>
    <row r="430">
      <c r="A430" s="32">
        <f t="shared" si="1"/>
        <v>429</v>
      </c>
      <c r="B430" s="9" t="s">
        <v>1181</v>
      </c>
      <c r="C430" s="11" t="s">
        <v>1272</v>
      </c>
      <c r="D430" s="4" t="s">
        <v>1376</v>
      </c>
      <c r="E430" s="27">
        <f>VLOOKUP($C430,'U Fittings'!$E:$O,3,0)</f>
        <v>0.0714</v>
      </c>
      <c r="F430" s="27">
        <f>VLOOKUP($C430,'U Fittings'!$E:$O,2,0)</f>
        <v>52</v>
      </c>
      <c r="G430" s="27">
        <f>VLOOKUP($C430,'U Fittings'!$E:$O,11,0)</f>
        <v>52</v>
      </c>
      <c r="H430" s="320"/>
      <c r="I430" s="320"/>
      <c r="J430" s="320"/>
      <c r="K430" s="320"/>
      <c r="L430" s="320"/>
      <c r="M430" s="320"/>
      <c r="N430" s="320"/>
      <c r="O430" s="320"/>
    </row>
    <row r="431">
      <c r="A431" s="32">
        <f t="shared" si="1"/>
        <v>430</v>
      </c>
      <c r="B431" s="9" t="s">
        <v>1181</v>
      </c>
      <c r="C431" s="11" t="s">
        <v>1274</v>
      </c>
      <c r="D431" s="4" t="s">
        <v>517</v>
      </c>
      <c r="E431" s="27">
        <f>VLOOKUP($C431,'U Fittings'!$E:$O,3,0)</f>
        <v>0.1592</v>
      </c>
      <c r="F431" s="27">
        <f>VLOOKUP($C431,'U Fittings'!$E:$O,2,0)</f>
        <v>88</v>
      </c>
      <c r="G431" s="27">
        <f>VLOOKUP($C431,'U Fittings'!$E:$O,11,0)</f>
        <v>88</v>
      </c>
      <c r="H431" s="320"/>
      <c r="I431" s="320"/>
      <c r="J431" s="320"/>
      <c r="K431" s="320"/>
      <c r="L431" s="320"/>
      <c r="M431" s="320"/>
      <c r="N431" s="320"/>
      <c r="O431" s="320"/>
    </row>
    <row r="432">
      <c r="A432" s="32">
        <f t="shared" si="1"/>
        <v>431</v>
      </c>
      <c r="B432" s="9" t="s">
        <v>1181</v>
      </c>
      <c r="C432" s="11" t="s">
        <v>1275</v>
      </c>
      <c r="D432" s="4" t="s">
        <v>526</v>
      </c>
      <c r="E432" s="27">
        <f>VLOOKUP($C432,'U Fittings'!$E:$O,3,0)</f>
        <v>0.1103</v>
      </c>
      <c r="F432" s="27">
        <f>VLOOKUP($C432,'U Fittings'!$E:$O,2,0)</f>
        <v>62</v>
      </c>
      <c r="G432" s="27">
        <f>VLOOKUP($C432,'U Fittings'!$E:$O,11,0)</f>
        <v>62</v>
      </c>
      <c r="H432" s="320"/>
      <c r="I432" s="320"/>
      <c r="J432" s="320"/>
      <c r="K432" s="320"/>
      <c r="L432" s="320"/>
      <c r="M432" s="320"/>
      <c r="N432" s="320"/>
      <c r="O432" s="320"/>
    </row>
    <row r="433">
      <c r="A433" s="32">
        <f t="shared" si="1"/>
        <v>432</v>
      </c>
      <c r="B433" s="9" t="s">
        <v>1181</v>
      </c>
      <c r="C433" s="11" t="s">
        <v>1277</v>
      </c>
      <c r="D433" s="4" t="s">
        <v>543</v>
      </c>
      <c r="E433" s="27">
        <f>VLOOKUP($C433,'U Fittings'!$E:$O,3,0)</f>
        <v>0.2925</v>
      </c>
      <c r="F433" s="27">
        <f>VLOOKUP($C433,'U Fittings'!$E:$O,2,0)</f>
        <v>154</v>
      </c>
      <c r="G433" s="27">
        <f>VLOOKUP($C433,'U Fittings'!$E:$O,11,0)</f>
        <v>154</v>
      </c>
      <c r="H433" s="320"/>
      <c r="I433" s="320"/>
      <c r="J433" s="320"/>
      <c r="K433" s="320"/>
      <c r="L433" s="320"/>
      <c r="M433" s="320"/>
      <c r="N433" s="320"/>
      <c r="O433" s="320"/>
    </row>
    <row r="434">
      <c r="A434" s="32">
        <f t="shared" si="1"/>
        <v>433</v>
      </c>
      <c r="B434" s="9" t="s">
        <v>1181</v>
      </c>
      <c r="C434" s="11" t="s">
        <v>1279</v>
      </c>
      <c r="D434" s="4" t="s">
        <v>1382</v>
      </c>
      <c r="E434" s="27">
        <f>VLOOKUP($C434,'U Fittings'!$E:$O,3,0)</f>
        <v>0.228</v>
      </c>
      <c r="F434" s="27">
        <f>VLOOKUP($C434,'U Fittings'!$E:$O,2,0)</f>
        <v>126</v>
      </c>
      <c r="G434" s="27">
        <f>VLOOKUP($C434,'U Fittings'!$E:$O,11,0)</f>
        <v>126</v>
      </c>
      <c r="H434" s="320"/>
      <c r="I434" s="320"/>
      <c r="J434" s="320"/>
      <c r="K434" s="320"/>
      <c r="L434" s="320"/>
      <c r="M434" s="320"/>
      <c r="N434" s="320"/>
      <c r="O434" s="320"/>
    </row>
    <row r="435">
      <c r="A435" s="32">
        <f t="shared" si="1"/>
        <v>434</v>
      </c>
      <c r="B435" s="9" t="s">
        <v>1181</v>
      </c>
      <c r="C435" s="11" t="s">
        <v>1282</v>
      </c>
      <c r="D435" s="4" t="s">
        <v>580</v>
      </c>
      <c r="E435" s="27">
        <f>VLOOKUP($C435,'U Fittings'!$E:$O,3,0)</f>
        <v>0.4356</v>
      </c>
      <c r="F435" s="27">
        <f>VLOOKUP($C435,'U Fittings'!$E:$O,2,0)</f>
        <v>248</v>
      </c>
      <c r="G435" s="27">
        <f>VLOOKUP($C435,'U Fittings'!$E:$O,11,0)</f>
        <v>248</v>
      </c>
      <c r="H435" s="320"/>
      <c r="I435" s="320"/>
      <c r="J435" s="320"/>
      <c r="K435" s="320"/>
      <c r="L435" s="320"/>
      <c r="M435" s="320"/>
      <c r="N435" s="320"/>
      <c r="O435" s="320"/>
    </row>
    <row r="436">
      <c r="A436" s="32">
        <f t="shared" si="1"/>
        <v>435</v>
      </c>
      <c r="B436" s="9" t="s">
        <v>1181</v>
      </c>
      <c r="C436" s="11" t="s">
        <v>1283</v>
      </c>
      <c r="D436" s="4" t="s">
        <v>582</v>
      </c>
      <c r="E436" s="27">
        <f>VLOOKUP($C436,'U Fittings'!$E:$O,3,0)</f>
        <v>0.404</v>
      </c>
      <c r="F436" s="27">
        <f>VLOOKUP($C436,'U Fittings'!$E:$O,2,0)</f>
        <v>216</v>
      </c>
      <c r="G436" s="27">
        <f>VLOOKUP($C436,'U Fittings'!$E:$O,11,0)</f>
        <v>216</v>
      </c>
      <c r="H436" s="320"/>
      <c r="I436" s="320"/>
      <c r="J436" s="320"/>
      <c r="K436" s="320"/>
      <c r="L436" s="320"/>
      <c r="M436" s="320"/>
      <c r="N436" s="320"/>
      <c r="O436" s="320"/>
    </row>
    <row r="437">
      <c r="A437" s="32">
        <f t="shared" si="1"/>
        <v>436</v>
      </c>
      <c r="B437" s="9" t="s">
        <v>1181</v>
      </c>
      <c r="C437" s="11" t="s">
        <v>1285</v>
      </c>
      <c r="D437" s="4" t="s">
        <v>585</v>
      </c>
      <c r="E437" s="27">
        <f>VLOOKUP($C437,'U Fittings'!$E:$O,3,0)</f>
        <v>0.546</v>
      </c>
      <c r="F437" s="27">
        <f>VLOOKUP($C437,'U Fittings'!$E:$O,2,0)</f>
        <v>278</v>
      </c>
      <c r="G437" s="27">
        <f>VLOOKUP($C437,'U Fittings'!$E:$O,11,0)</f>
        <v>278</v>
      </c>
      <c r="H437" s="320"/>
      <c r="I437" s="320"/>
      <c r="J437" s="320"/>
      <c r="K437" s="320"/>
      <c r="L437" s="320"/>
      <c r="M437" s="320"/>
      <c r="N437" s="320"/>
      <c r="O437" s="320"/>
    </row>
    <row r="438">
      <c r="A438" s="32">
        <f t="shared" si="1"/>
        <v>437</v>
      </c>
      <c r="B438" s="9" t="s">
        <v>1181</v>
      </c>
      <c r="C438" s="11" t="s">
        <v>1289</v>
      </c>
      <c r="D438" s="4" t="s">
        <v>1386</v>
      </c>
      <c r="E438" s="27">
        <f>VLOOKUP($C438,'U Fittings'!$E:$O,3,0)</f>
        <v>0.027025</v>
      </c>
      <c r="F438" s="27">
        <f>VLOOKUP($C438,'U Fittings'!$E:$O,2,0)</f>
        <v>15.5</v>
      </c>
      <c r="G438" s="27">
        <f>VLOOKUP($C438,'U Fittings'!$E:$O,11,0)</f>
        <v>15.5</v>
      </c>
      <c r="H438" s="320"/>
      <c r="I438" s="320"/>
      <c r="J438" s="320"/>
      <c r="K438" s="320"/>
      <c r="L438" s="320"/>
      <c r="M438" s="320"/>
      <c r="N438" s="320"/>
      <c r="O438" s="320"/>
    </row>
    <row r="439">
      <c r="A439" s="32">
        <f t="shared" si="1"/>
        <v>438</v>
      </c>
      <c r="B439" s="9" t="s">
        <v>1181</v>
      </c>
      <c r="C439" s="11" t="s">
        <v>1291</v>
      </c>
      <c r="D439" s="4" t="s">
        <v>1387</v>
      </c>
      <c r="E439" s="27">
        <f>VLOOKUP($C439,'U Fittings'!$E:$O,3,0)</f>
        <v>0.04325</v>
      </c>
      <c r="F439" s="27">
        <f>VLOOKUP($C439,'U Fittings'!$E:$O,2,0)</f>
        <v>23.8</v>
      </c>
      <c r="G439" s="27">
        <f>VLOOKUP($C439,'U Fittings'!$E:$O,11,0)</f>
        <v>23.8</v>
      </c>
      <c r="H439" s="320"/>
      <c r="I439" s="320"/>
      <c r="J439" s="320"/>
      <c r="K439" s="320"/>
      <c r="L439" s="320"/>
      <c r="M439" s="320"/>
      <c r="N439" s="320"/>
      <c r="O439" s="320"/>
    </row>
    <row r="440">
      <c r="A440" s="32">
        <f t="shared" si="1"/>
        <v>439</v>
      </c>
      <c r="B440" s="9" t="s">
        <v>1181</v>
      </c>
      <c r="C440" s="11" t="s">
        <v>1293</v>
      </c>
      <c r="D440" s="4" t="s">
        <v>1389</v>
      </c>
      <c r="E440" s="27">
        <f>VLOOKUP($C440,'U Fittings'!$E:$O,3,0)</f>
        <v>0.0446</v>
      </c>
      <c r="F440" s="27">
        <f>VLOOKUP($C440,'U Fittings'!$E:$O,2,0)</f>
        <v>25.2</v>
      </c>
      <c r="G440" s="27">
        <f>VLOOKUP($C440,'U Fittings'!$E:$O,11,0)</f>
        <v>25.2</v>
      </c>
      <c r="H440" s="320"/>
      <c r="I440" s="320"/>
      <c r="J440" s="320"/>
      <c r="K440" s="320"/>
      <c r="L440" s="320"/>
      <c r="M440" s="320"/>
      <c r="N440" s="320"/>
      <c r="O440" s="320"/>
    </row>
    <row r="441">
      <c r="A441" s="32">
        <f t="shared" si="1"/>
        <v>440</v>
      </c>
      <c r="B441" s="9" t="s">
        <v>1181</v>
      </c>
      <c r="C441" s="11" t="s">
        <v>1294</v>
      </c>
      <c r="D441" s="4" t="s">
        <v>1390</v>
      </c>
      <c r="E441" s="27">
        <f>VLOOKUP($C441,'U Fittings'!$E:$O,3,0)</f>
        <v>0.05425</v>
      </c>
      <c r="F441" s="27">
        <f>VLOOKUP($C441,'U Fittings'!$E:$O,2,0)</f>
        <v>31.2</v>
      </c>
      <c r="G441" s="27">
        <f>VLOOKUP($C441,'U Fittings'!$E:$O,11,0)</f>
        <v>31.2</v>
      </c>
      <c r="H441" s="320"/>
      <c r="I441" s="320"/>
      <c r="J441" s="320"/>
      <c r="K441" s="320"/>
      <c r="L441" s="320"/>
      <c r="M441" s="320"/>
      <c r="N441" s="320"/>
      <c r="O441" s="320"/>
    </row>
    <row r="442">
      <c r="A442" s="32">
        <f t="shared" si="1"/>
        <v>441</v>
      </c>
      <c r="B442" s="9" t="s">
        <v>1181</v>
      </c>
      <c r="C442" s="11" t="s">
        <v>1296</v>
      </c>
      <c r="D442" s="4" t="s">
        <v>1392</v>
      </c>
      <c r="E442" s="27">
        <f>VLOOKUP($C442,'U Fittings'!$E:$O,3,0)</f>
        <v>0.056</v>
      </c>
      <c r="F442" s="27">
        <f>VLOOKUP($C442,'U Fittings'!$E:$O,2,0)</f>
        <v>32</v>
      </c>
      <c r="G442" s="27">
        <f>VLOOKUP($C442,'U Fittings'!$E:$O,11,0)</f>
        <v>32</v>
      </c>
      <c r="H442" s="320"/>
      <c r="I442" s="320"/>
      <c r="J442" s="320"/>
      <c r="K442" s="320"/>
      <c r="L442" s="320"/>
      <c r="M442" s="320"/>
      <c r="N442" s="320"/>
      <c r="O442" s="320"/>
    </row>
    <row r="443">
      <c r="A443" s="32">
        <f t="shared" si="1"/>
        <v>442</v>
      </c>
      <c r="B443" s="9" t="s">
        <v>1181</v>
      </c>
      <c r="C443" s="11" t="s">
        <v>1298</v>
      </c>
      <c r="D443" s="4" t="s">
        <v>1394</v>
      </c>
      <c r="E443" s="27">
        <f>VLOOKUP($C443,'U Fittings'!$E:$O,3,0)</f>
        <v>0.063</v>
      </c>
      <c r="F443" s="27">
        <f>VLOOKUP($C443,'U Fittings'!$E:$O,2,0)</f>
        <v>35.7</v>
      </c>
      <c r="G443" s="27">
        <f>VLOOKUP($C443,'U Fittings'!$E:$O,11,0)</f>
        <v>35.7</v>
      </c>
      <c r="H443" s="320"/>
      <c r="I443" s="320"/>
      <c r="J443" s="320"/>
      <c r="K443" s="320"/>
      <c r="L443" s="320"/>
      <c r="M443" s="320"/>
      <c r="N443" s="320"/>
      <c r="O443" s="320"/>
    </row>
    <row r="444">
      <c r="A444" s="32">
        <f t="shared" si="1"/>
        <v>443</v>
      </c>
      <c r="B444" s="9" t="s">
        <v>1181</v>
      </c>
      <c r="C444" s="11" t="s">
        <v>1299</v>
      </c>
      <c r="D444" s="4" t="s">
        <v>1397</v>
      </c>
      <c r="E444" s="27">
        <f>VLOOKUP($C444,'U Fittings'!$E:$O,3,0)</f>
        <v>0.147</v>
      </c>
      <c r="F444" s="27">
        <f>VLOOKUP($C444,'U Fittings'!$E:$O,2,0)</f>
        <v>80.6</v>
      </c>
      <c r="G444" s="27">
        <f>VLOOKUP($C444,'U Fittings'!$E:$O,11,0)</f>
        <v>80.6</v>
      </c>
      <c r="H444" s="320"/>
      <c r="I444" s="320"/>
      <c r="J444" s="320"/>
      <c r="K444" s="320"/>
      <c r="L444" s="320"/>
      <c r="M444" s="320"/>
      <c r="N444" s="320"/>
      <c r="O444" s="320"/>
    </row>
    <row r="445">
      <c r="A445" s="32">
        <f t="shared" si="1"/>
        <v>444</v>
      </c>
      <c r="B445" s="9" t="s">
        <v>1181</v>
      </c>
      <c r="C445" s="11" t="s">
        <v>1301</v>
      </c>
      <c r="D445" s="4" t="s">
        <v>1399</v>
      </c>
      <c r="E445" s="27">
        <f>VLOOKUP($C445,'U Fittings'!$E:$O,3,0)</f>
        <v>0.0756</v>
      </c>
      <c r="F445" s="27">
        <f>VLOOKUP($C445,'U Fittings'!$E:$O,2,0)</f>
        <v>42.6</v>
      </c>
      <c r="G445" s="27">
        <f>VLOOKUP($C445,'U Fittings'!$E:$O,11,0)</f>
        <v>42.6</v>
      </c>
      <c r="H445" s="320"/>
      <c r="I445" s="320"/>
      <c r="J445" s="320"/>
      <c r="K445" s="320"/>
      <c r="L445" s="320"/>
      <c r="M445" s="320"/>
      <c r="N445" s="320"/>
      <c r="O445" s="320"/>
    </row>
    <row r="446">
      <c r="A446" s="32">
        <f t="shared" si="1"/>
        <v>445</v>
      </c>
      <c r="B446" s="9" t="s">
        <v>1181</v>
      </c>
      <c r="C446" s="11" t="s">
        <v>1303</v>
      </c>
      <c r="D446" s="4" t="s">
        <v>1402</v>
      </c>
      <c r="E446" s="27">
        <f>VLOOKUP($C446,'U Fittings'!$E:$O,3,0)</f>
        <v>0.08225</v>
      </c>
      <c r="F446" s="27">
        <f>VLOOKUP($C446,'U Fittings'!$E:$O,2,0)</f>
        <v>47</v>
      </c>
      <c r="G446" s="27">
        <f>VLOOKUP($C446,'U Fittings'!$E:$O,11,0)</f>
        <v>47</v>
      </c>
      <c r="H446" s="320"/>
      <c r="I446" s="320"/>
      <c r="J446" s="320"/>
      <c r="K446" s="320"/>
      <c r="L446" s="320"/>
      <c r="M446" s="320"/>
      <c r="N446" s="320"/>
      <c r="O446" s="320"/>
    </row>
    <row r="447">
      <c r="A447" s="32">
        <f t="shared" si="1"/>
        <v>446</v>
      </c>
      <c r="B447" s="9" t="s">
        <v>1181</v>
      </c>
      <c r="C447" s="11" t="s">
        <v>1305</v>
      </c>
      <c r="D447" s="4" t="s">
        <v>1403</v>
      </c>
      <c r="E447" s="27">
        <f>VLOOKUP($C447,'U Fittings'!$E:$O,3,0)</f>
        <v>0.1214</v>
      </c>
      <c r="F447" s="27">
        <f>VLOOKUP($C447,'U Fittings'!$E:$O,2,0)</f>
        <v>63</v>
      </c>
      <c r="G447" s="27">
        <f>VLOOKUP($C447,'U Fittings'!$E:$O,11,0)</f>
        <v>63</v>
      </c>
      <c r="H447" s="320"/>
      <c r="I447" s="320"/>
      <c r="J447" s="320"/>
      <c r="K447" s="320"/>
      <c r="L447" s="320"/>
      <c r="M447" s="320"/>
      <c r="N447" s="320"/>
      <c r="O447" s="320"/>
    </row>
    <row r="448">
      <c r="A448" s="32">
        <f t="shared" si="1"/>
        <v>447</v>
      </c>
      <c r="B448" s="9" t="s">
        <v>1181</v>
      </c>
      <c r="C448" s="11" t="s">
        <v>1310</v>
      </c>
      <c r="D448" s="4" t="s">
        <v>1405</v>
      </c>
      <c r="E448" s="27">
        <f>VLOOKUP($C448,'U Fittings'!$E:$O,3,0)</f>
        <v>0.22685</v>
      </c>
      <c r="F448" s="27">
        <f>VLOOKUP($C448,'U Fittings'!$E:$O,2,0)</f>
        <v>123.6</v>
      </c>
      <c r="G448" s="27">
        <f>VLOOKUP($C448,'U Fittings'!$E:$O,11,0)</f>
        <v>123.6</v>
      </c>
      <c r="H448" s="320"/>
      <c r="I448" s="320"/>
      <c r="J448" s="320"/>
      <c r="K448" s="320"/>
      <c r="L448" s="320"/>
      <c r="M448" s="320"/>
      <c r="N448" s="320"/>
      <c r="O448" s="320"/>
    </row>
    <row r="449">
      <c r="A449" s="32">
        <f t="shared" si="1"/>
        <v>448</v>
      </c>
      <c r="B449" s="9" t="s">
        <v>1181</v>
      </c>
      <c r="C449" s="11" t="s">
        <v>1312</v>
      </c>
      <c r="D449" s="4" t="s">
        <v>1406</v>
      </c>
      <c r="E449" s="27">
        <f>VLOOKUP($C449,'U Fittings'!$E:$O,3,0)</f>
        <v>0.22585</v>
      </c>
      <c r="F449" s="27">
        <f>VLOOKUP($C449,'U Fittings'!$E:$O,2,0)</f>
        <v>122.6</v>
      </c>
      <c r="G449" s="27">
        <f>VLOOKUP($C449,'U Fittings'!$E:$O,11,0)</f>
        <v>122.6</v>
      </c>
      <c r="H449" s="320"/>
      <c r="I449" s="320"/>
      <c r="J449" s="320"/>
      <c r="K449" s="320"/>
      <c r="L449" s="320"/>
      <c r="M449" s="320"/>
      <c r="N449" s="320"/>
      <c r="O449" s="320"/>
    </row>
    <row r="450">
      <c r="A450" s="32">
        <f t="shared" si="1"/>
        <v>449</v>
      </c>
      <c r="B450" s="9" t="s">
        <v>1181</v>
      </c>
      <c r="C450" s="11" t="s">
        <v>1316</v>
      </c>
      <c r="D450" s="4" t="s">
        <v>1408</v>
      </c>
      <c r="E450" s="27">
        <f>VLOOKUP($C450,'U Fittings'!$E:$O,3,0)</f>
        <v>0.23852</v>
      </c>
      <c r="F450" s="27">
        <f>VLOOKUP($C450,'U Fittings'!$E:$O,2,0)</f>
        <v>124.8</v>
      </c>
      <c r="G450" s="27">
        <f>VLOOKUP($C450,'U Fittings'!$E:$O,11,0)</f>
        <v>124.8</v>
      </c>
      <c r="H450" s="320"/>
      <c r="I450" s="320"/>
      <c r="J450" s="320"/>
      <c r="K450" s="320"/>
      <c r="L450" s="320"/>
      <c r="M450" s="320"/>
      <c r="N450" s="320"/>
      <c r="O450" s="320"/>
    </row>
    <row r="451">
      <c r="A451" s="32">
        <f t="shared" si="1"/>
        <v>450</v>
      </c>
      <c r="B451" s="9" t="s">
        <v>1181</v>
      </c>
      <c r="C451" s="11" t="s">
        <v>1318</v>
      </c>
      <c r="D451" s="4" t="s">
        <v>1410</v>
      </c>
      <c r="E451" s="27">
        <f>VLOOKUP($C451,'U Fittings'!$E:$O,3,0)</f>
        <v>0.22145</v>
      </c>
      <c r="F451" s="27">
        <f>VLOOKUP($C451,'U Fittings'!$E:$O,2,0)</f>
        <v>121.1</v>
      </c>
      <c r="G451" s="27">
        <f>VLOOKUP($C451,'U Fittings'!$E:$O,11,0)</f>
        <v>121.1</v>
      </c>
      <c r="H451" s="320"/>
      <c r="I451" s="320"/>
      <c r="J451" s="320"/>
      <c r="K451" s="320"/>
      <c r="L451" s="320"/>
      <c r="M451" s="320"/>
      <c r="N451" s="320"/>
      <c r="O451" s="320"/>
    </row>
    <row r="452">
      <c r="A452" s="32">
        <f t="shared" si="1"/>
        <v>451</v>
      </c>
      <c r="B452" s="9" t="s">
        <v>1181</v>
      </c>
      <c r="C452" s="11" t="s">
        <v>1320</v>
      </c>
      <c r="D452" s="4" t="s">
        <v>1411</v>
      </c>
      <c r="E452" s="27">
        <f>VLOOKUP($C452,'U Fittings'!$E:$O,3,0)</f>
        <v>0.20525</v>
      </c>
      <c r="F452" s="27">
        <f>VLOOKUP($C452,'U Fittings'!$E:$O,2,0)</f>
        <v>111.9</v>
      </c>
      <c r="G452" s="27">
        <f>VLOOKUP($C452,'U Fittings'!$E:$O,11,0)</f>
        <v>111.9</v>
      </c>
      <c r="H452" s="320"/>
      <c r="I452" s="320"/>
      <c r="J452" s="320"/>
      <c r="K452" s="320"/>
      <c r="L452" s="320"/>
      <c r="M452" s="320"/>
      <c r="N452" s="320"/>
      <c r="O452" s="320"/>
    </row>
    <row r="453">
      <c r="A453" s="32">
        <f t="shared" si="1"/>
        <v>452</v>
      </c>
      <c r="B453" s="9" t="s">
        <v>1181</v>
      </c>
      <c r="C453" s="11" t="s">
        <v>1325</v>
      </c>
      <c r="D453" s="4" t="s">
        <v>1412</v>
      </c>
      <c r="E453" s="27">
        <f>VLOOKUP($C453,'U Fittings'!$E:$O,3,0)</f>
        <v>0.021</v>
      </c>
      <c r="F453" s="27">
        <f>VLOOKUP($C453,'U Fittings'!$E:$O,2,0)</f>
        <v>10.5</v>
      </c>
      <c r="G453" s="27">
        <f>VLOOKUP($C453,'U Fittings'!$E:$O,11,0)</f>
        <v>10.5</v>
      </c>
      <c r="H453" s="320"/>
      <c r="I453" s="320"/>
      <c r="J453" s="320"/>
      <c r="K453" s="320"/>
      <c r="L453" s="320"/>
      <c r="M453" s="320"/>
      <c r="N453" s="320"/>
      <c r="O453" s="320"/>
    </row>
    <row r="454">
      <c r="A454" s="32">
        <f t="shared" si="1"/>
        <v>453</v>
      </c>
      <c r="B454" s="9" t="s">
        <v>1181</v>
      </c>
      <c r="C454" s="11" t="s">
        <v>1333</v>
      </c>
      <c r="D454" s="4" t="s">
        <v>1413</v>
      </c>
      <c r="E454" s="27">
        <f>VLOOKUP($C454,'U Fittings'!$E:$O,3,0)</f>
        <v>0.031</v>
      </c>
      <c r="F454" s="27">
        <f>VLOOKUP($C454,'U Fittings'!$E:$O,2,0)</f>
        <v>15.6</v>
      </c>
      <c r="G454" s="27">
        <f>VLOOKUP($C454,'U Fittings'!$E:$O,11,0)</f>
        <v>15.6</v>
      </c>
      <c r="H454" s="320"/>
      <c r="I454" s="320"/>
      <c r="J454" s="320"/>
      <c r="K454" s="320"/>
      <c r="L454" s="320"/>
      <c r="M454" s="320"/>
      <c r="N454" s="320"/>
      <c r="O454" s="320"/>
    </row>
    <row r="455">
      <c r="A455" s="32">
        <f t="shared" si="1"/>
        <v>454</v>
      </c>
      <c r="B455" s="9" t="s">
        <v>1181</v>
      </c>
      <c r="C455" s="11" t="s">
        <v>1335</v>
      </c>
      <c r="D455" s="4" t="s">
        <v>1414</v>
      </c>
      <c r="E455" s="27">
        <f>VLOOKUP($C455,'U Fittings'!$E:$O,3,0)</f>
        <v>0.048</v>
      </c>
      <c r="F455" s="27">
        <f>VLOOKUP($C455,'U Fittings'!$E:$O,2,0)</f>
        <v>24.8</v>
      </c>
      <c r="G455" s="27">
        <f>VLOOKUP($C455,'U Fittings'!$E:$O,11,0)</f>
        <v>24.8</v>
      </c>
      <c r="H455" s="320"/>
      <c r="I455" s="320"/>
      <c r="J455" s="320"/>
      <c r="K455" s="320"/>
      <c r="L455" s="320"/>
      <c r="M455" s="320"/>
      <c r="N455" s="320"/>
      <c r="O455" s="320"/>
    </row>
    <row r="456">
      <c r="A456" s="32">
        <f t="shared" si="1"/>
        <v>455</v>
      </c>
      <c r="B456" s="9" t="s">
        <v>1181</v>
      </c>
      <c r="C456" s="11" t="s">
        <v>1336</v>
      </c>
      <c r="D456" s="4" t="s">
        <v>1415</v>
      </c>
      <c r="E456" s="27">
        <f>VLOOKUP($C456,'U Fittings'!$E:$O,3,0)</f>
        <v>0.072</v>
      </c>
      <c r="F456" s="27">
        <f>VLOOKUP($C456,'U Fittings'!$E:$O,2,0)</f>
        <v>36.1</v>
      </c>
      <c r="G456" s="27">
        <f>VLOOKUP($C456,'U Fittings'!$E:$O,11,0)</f>
        <v>36.1</v>
      </c>
      <c r="H456" s="320"/>
      <c r="I456" s="320"/>
      <c r="J456" s="320"/>
      <c r="K456" s="320"/>
      <c r="L456" s="320"/>
      <c r="M456" s="320"/>
      <c r="N456" s="320"/>
      <c r="O456" s="320"/>
    </row>
    <row r="457">
      <c r="A457" s="32">
        <f t="shared" si="1"/>
        <v>456</v>
      </c>
      <c r="B457" s="9" t="s">
        <v>1181</v>
      </c>
      <c r="C457" s="11" t="s">
        <v>1338</v>
      </c>
      <c r="D457" s="4" t="s">
        <v>1416</v>
      </c>
      <c r="E457" s="27">
        <f>VLOOKUP($C457,'U Fittings'!$E:$O,3,0)</f>
        <v>0.092</v>
      </c>
      <c r="F457" s="27">
        <f>VLOOKUP($C457,'U Fittings'!$E:$O,2,0)</f>
        <v>45.5</v>
      </c>
      <c r="G457" s="27">
        <f>VLOOKUP($C457,'U Fittings'!$E:$O,11,0)</f>
        <v>45.5</v>
      </c>
      <c r="H457" s="320"/>
      <c r="I457" s="320"/>
      <c r="J457" s="320"/>
      <c r="K457" s="320"/>
      <c r="L457" s="320"/>
      <c r="M457" s="320"/>
      <c r="N457" s="320"/>
      <c r="O457" s="320"/>
    </row>
    <row r="458">
      <c r="A458" s="32">
        <f t="shared" si="1"/>
        <v>457</v>
      </c>
      <c r="B458" s="9" t="s">
        <v>1181</v>
      </c>
      <c r="C458" s="11" t="s">
        <v>1340</v>
      </c>
      <c r="D458" s="4" t="s">
        <v>1417</v>
      </c>
      <c r="E458" s="27">
        <f>VLOOKUP($C458,'U Fittings'!$E:$O,3,0)</f>
        <v>0.13385</v>
      </c>
      <c r="F458" s="27">
        <f>VLOOKUP($C458,'U Fittings'!$E:$O,2,0)</f>
        <v>68.4</v>
      </c>
      <c r="G458" s="27">
        <f>VLOOKUP($C458,'U Fittings'!$E:$O,11,0)</f>
        <v>68.4</v>
      </c>
      <c r="H458" s="320"/>
      <c r="I458" s="320"/>
      <c r="J458" s="320"/>
      <c r="K458" s="320"/>
      <c r="L458" s="320"/>
      <c r="M458" s="320"/>
      <c r="N458" s="320"/>
      <c r="O458" s="320"/>
    </row>
    <row r="459">
      <c r="A459" s="32">
        <f t="shared" si="1"/>
        <v>458</v>
      </c>
      <c r="B459" s="9" t="s">
        <v>1181</v>
      </c>
      <c r="C459" s="11" t="s">
        <v>1343</v>
      </c>
      <c r="D459" s="4" t="s">
        <v>1418</v>
      </c>
      <c r="E459" s="27">
        <f>VLOOKUP($C459,'U Fittings'!$E:$O,3,0)</f>
        <v>0.29</v>
      </c>
      <c r="F459" s="27">
        <f>VLOOKUP($C459,'U Fittings'!$E:$O,2,0)</f>
        <v>168</v>
      </c>
      <c r="G459" s="27">
        <f>VLOOKUP($C459,'U Fittings'!$E:$O,11,0)</f>
        <v>168</v>
      </c>
      <c r="H459" s="320"/>
      <c r="I459" s="320"/>
      <c r="J459" s="320"/>
      <c r="K459" s="320"/>
      <c r="L459" s="320"/>
      <c r="M459" s="320"/>
      <c r="N459" s="320"/>
      <c r="O459" s="320"/>
    </row>
    <row r="460">
      <c r="A460" s="32">
        <f t="shared" si="1"/>
        <v>459</v>
      </c>
      <c r="B460" s="9" t="s">
        <v>1181</v>
      </c>
      <c r="C460" s="11" t="s">
        <v>1345</v>
      </c>
      <c r="D460" s="4" t="s">
        <v>1419</v>
      </c>
      <c r="E460" s="27">
        <f>VLOOKUP($C460,'U Fittings'!$E:$O,3,0)</f>
        <v>0.417</v>
      </c>
      <c r="F460" s="27">
        <f>VLOOKUP($C460,'U Fittings'!$E:$O,2,0)</f>
        <v>228</v>
      </c>
      <c r="G460" s="27">
        <f>VLOOKUP($C460,'U Fittings'!$E:$O,11,0)</f>
        <v>228</v>
      </c>
      <c r="H460" s="320"/>
      <c r="I460" s="320"/>
      <c r="J460" s="320"/>
      <c r="K460" s="320"/>
      <c r="L460" s="320"/>
      <c r="M460" s="320"/>
      <c r="N460" s="320"/>
      <c r="O460" s="320"/>
    </row>
    <row r="461">
      <c r="A461" s="32">
        <f t="shared" si="1"/>
        <v>460</v>
      </c>
      <c r="B461" s="9" t="s">
        <v>1181</v>
      </c>
      <c r="C461" s="11" t="s">
        <v>1347</v>
      </c>
      <c r="D461" s="4" t="s">
        <v>1420</v>
      </c>
      <c r="E461" s="27">
        <f>VLOOKUP($C461,'U Fittings'!$E:$O,3,0)</f>
        <v>0.645</v>
      </c>
      <c r="F461" s="27">
        <f>VLOOKUP($C461,'U Fittings'!$E:$O,2,0)</f>
        <v>362</v>
      </c>
      <c r="G461" s="27">
        <f>VLOOKUP($C461,'U Fittings'!$E:$O,11,0)</f>
        <v>362</v>
      </c>
      <c r="H461" s="320"/>
      <c r="I461" s="320"/>
      <c r="J461" s="320"/>
      <c r="K461" s="320"/>
      <c r="L461" s="320"/>
      <c r="M461" s="320"/>
      <c r="N461" s="320"/>
      <c r="O461" s="320"/>
    </row>
    <row r="462">
      <c r="A462" s="32">
        <f t="shared" si="1"/>
        <v>461</v>
      </c>
      <c r="B462" s="9" t="s">
        <v>1181</v>
      </c>
      <c r="C462" s="11" t="s">
        <v>1351</v>
      </c>
      <c r="D462" s="4" t="s">
        <v>1421</v>
      </c>
      <c r="E462" s="27">
        <f>VLOOKUP($C462,'U Fittings'!$E:$O,3,0)</f>
        <v>0.923</v>
      </c>
      <c r="F462" s="27">
        <f>VLOOKUP($C462,'U Fittings'!$E:$O,2,0)</f>
        <v>534</v>
      </c>
      <c r="G462" s="27">
        <f>VLOOKUP($C462,'U Fittings'!$E:$O,11,0)</f>
        <v>534</v>
      </c>
      <c r="H462" s="320"/>
      <c r="I462" s="320"/>
      <c r="J462" s="320"/>
      <c r="K462" s="320"/>
      <c r="L462" s="320"/>
      <c r="M462" s="320"/>
      <c r="N462" s="320"/>
      <c r="O462" s="320"/>
    </row>
    <row r="463">
      <c r="A463" s="32">
        <f t="shared" si="1"/>
        <v>462</v>
      </c>
      <c r="B463" s="9" t="s">
        <v>1181</v>
      </c>
      <c r="C463" s="11" t="s">
        <v>1355</v>
      </c>
      <c r="D463" s="4" t="s">
        <v>1423</v>
      </c>
      <c r="E463" s="27">
        <f>VLOOKUP($C463,'U Fittings'!$E:$O,3,0)</f>
        <v>0.0129</v>
      </c>
      <c r="F463" s="27">
        <f>VLOOKUP($C463,'U Fittings'!$E:$O,2,0)</f>
        <v>6.6</v>
      </c>
      <c r="G463" s="27">
        <f>VLOOKUP($C463,'U Fittings'!$E:$O,11,0)</f>
        <v>6.6</v>
      </c>
      <c r="H463" s="320"/>
      <c r="I463" s="320"/>
      <c r="J463" s="320"/>
      <c r="K463" s="320"/>
      <c r="L463" s="320"/>
      <c r="M463" s="320"/>
      <c r="N463" s="320"/>
      <c r="O463" s="320"/>
    </row>
    <row r="464">
      <c r="A464" s="32">
        <f t="shared" si="1"/>
        <v>463</v>
      </c>
      <c r="B464" s="9" t="s">
        <v>1181</v>
      </c>
      <c r="C464" s="11" t="s">
        <v>1357</v>
      </c>
      <c r="D464" s="4" t="s">
        <v>1425</v>
      </c>
      <c r="E464" s="27">
        <f>VLOOKUP($C464,'U Fittings'!$E:$O,3,0)</f>
        <v>0.018</v>
      </c>
      <c r="F464" s="27">
        <f>VLOOKUP($C464,'U Fittings'!$E:$O,2,0)</f>
        <v>9.2</v>
      </c>
      <c r="G464" s="27">
        <f>VLOOKUP($C464,'U Fittings'!$E:$O,11,0)</f>
        <v>9.2</v>
      </c>
      <c r="H464" s="320"/>
      <c r="I464" s="320"/>
      <c r="J464" s="320"/>
      <c r="K464" s="320"/>
      <c r="L464" s="320"/>
      <c r="M464" s="320"/>
      <c r="N464" s="320"/>
      <c r="O464" s="320"/>
    </row>
    <row r="465">
      <c r="A465" s="32">
        <f t="shared" si="1"/>
        <v>464</v>
      </c>
      <c r="B465" s="9" t="s">
        <v>1181</v>
      </c>
      <c r="C465" s="11" t="s">
        <v>1359</v>
      </c>
      <c r="D465" s="4" t="s">
        <v>1426</v>
      </c>
      <c r="E465" s="27">
        <f>VLOOKUP($C465,'U Fittings'!$E:$O,3,0)</f>
        <v>0.0298</v>
      </c>
      <c r="F465" s="27">
        <f>VLOOKUP($C465,'U Fittings'!$E:$O,2,0)</f>
        <v>15.2</v>
      </c>
      <c r="G465" s="27">
        <f>VLOOKUP($C465,'U Fittings'!$E:$O,11,0)</f>
        <v>15.2</v>
      </c>
      <c r="H465" s="320"/>
      <c r="I465" s="320"/>
      <c r="J465" s="320"/>
      <c r="K465" s="320"/>
      <c r="L465" s="320"/>
      <c r="M465" s="320"/>
      <c r="N465" s="320"/>
      <c r="O465" s="320"/>
    </row>
    <row r="466">
      <c r="A466" s="32">
        <f t="shared" si="1"/>
        <v>465</v>
      </c>
      <c r="B466" s="9" t="s">
        <v>1181</v>
      </c>
      <c r="C466" s="11" t="s">
        <v>1361</v>
      </c>
      <c r="D466" s="4" t="s">
        <v>1429</v>
      </c>
      <c r="E466" s="27">
        <f>VLOOKUP($C466,'U Fittings'!$E:$O,3,0)</f>
        <v>0.0478</v>
      </c>
      <c r="F466" s="27">
        <f>VLOOKUP($C466,'U Fittings'!$E:$O,2,0)</f>
        <v>24.8</v>
      </c>
      <c r="G466" s="27">
        <f>VLOOKUP($C466,'U Fittings'!$E:$O,11,0)</f>
        <v>24.8</v>
      </c>
      <c r="H466" s="320"/>
      <c r="I466" s="320"/>
      <c r="J466" s="320"/>
      <c r="K466" s="320"/>
      <c r="L466" s="320"/>
      <c r="M466" s="320"/>
      <c r="N466" s="320"/>
      <c r="O466" s="320"/>
    </row>
    <row r="467">
      <c r="A467" s="32">
        <f t="shared" si="1"/>
        <v>466</v>
      </c>
      <c r="B467" s="9" t="s">
        <v>1181</v>
      </c>
      <c r="C467" s="11" t="s">
        <v>1362</v>
      </c>
      <c r="D467" s="4" t="s">
        <v>1431</v>
      </c>
      <c r="E467" s="27">
        <f>VLOOKUP($C467,'U Fittings'!$E:$O,3,0)</f>
        <v>0.0601</v>
      </c>
      <c r="F467" s="27">
        <f>VLOOKUP($C467,'U Fittings'!$E:$O,2,0)</f>
        <v>30.8</v>
      </c>
      <c r="G467" s="27">
        <f>VLOOKUP($C467,'U Fittings'!$E:$O,11,0)</f>
        <v>30.8</v>
      </c>
      <c r="H467" s="320"/>
      <c r="I467" s="320"/>
      <c r="J467" s="320"/>
      <c r="K467" s="320"/>
      <c r="L467" s="320"/>
      <c r="M467" s="320"/>
      <c r="N467" s="320"/>
      <c r="O467" s="320"/>
    </row>
    <row r="468">
      <c r="A468" s="32">
        <f t="shared" si="1"/>
        <v>467</v>
      </c>
      <c r="B468" s="9" t="s">
        <v>1181</v>
      </c>
      <c r="C468" s="11" t="s">
        <v>1364</v>
      </c>
      <c r="D468" s="4" t="s">
        <v>1433</v>
      </c>
      <c r="E468" s="27">
        <f>VLOOKUP($C468,'U Fittings'!$E:$O,3,0)</f>
        <v>0.094</v>
      </c>
      <c r="F468" s="27">
        <f>VLOOKUP($C468,'U Fittings'!$E:$O,2,0)</f>
        <v>49.8</v>
      </c>
      <c r="G468" s="27">
        <f>VLOOKUP($C468,'U Fittings'!$E:$O,11,0)</f>
        <v>49.8</v>
      </c>
      <c r="H468" s="320"/>
      <c r="I468" s="320"/>
      <c r="J468" s="320"/>
      <c r="K468" s="320"/>
      <c r="L468" s="320"/>
      <c r="M468" s="320"/>
      <c r="N468" s="320"/>
      <c r="O468" s="320"/>
    </row>
    <row r="469">
      <c r="A469" s="32">
        <f t="shared" si="1"/>
        <v>468</v>
      </c>
      <c r="B469" s="9" t="s">
        <v>1181</v>
      </c>
      <c r="C469" s="11" t="s">
        <v>1367</v>
      </c>
      <c r="D469" s="4" t="s">
        <v>1435</v>
      </c>
      <c r="E469" s="27">
        <f>VLOOKUP($C469,'U Fittings'!$E:$O,3,0)</f>
        <v>0.1898</v>
      </c>
      <c r="F469" s="27">
        <f>VLOOKUP($C469,'U Fittings'!$E:$O,2,0)</f>
        <v>99.4</v>
      </c>
      <c r="G469" s="27">
        <f>VLOOKUP($C469,'U Fittings'!$E:$O,11,0)</f>
        <v>99.4</v>
      </c>
      <c r="H469" s="320"/>
      <c r="I469" s="320"/>
      <c r="J469" s="320"/>
      <c r="K469" s="320"/>
      <c r="L469" s="320"/>
      <c r="M469" s="320"/>
      <c r="N469" s="320"/>
      <c r="O469" s="320"/>
    </row>
    <row r="470">
      <c r="A470" s="32">
        <f t="shared" si="1"/>
        <v>469</v>
      </c>
      <c r="B470" s="9" t="s">
        <v>1181</v>
      </c>
      <c r="C470" s="11" t="s">
        <v>1370</v>
      </c>
      <c r="D470" s="4" t="s">
        <v>1437</v>
      </c>
      <c r="E470" s="27">
        <f>VLOOKUP($C470,'U Fittings'!$E:$O,3,0)</f>
        <v>0.277</v>
      </c>
      <c r="F470" s="27">
        <f>VLOOKUP($C470,'U Fittings'!$E:$O,2,0)</f>
        <v>148</v>
      </c>
      <c r="G470" s="27">
        <f>VLOOKUP($C470,'U Fittings'!$E:$O,11,0)</f>
        <v>148</v>
      </c>
      <c r="H470" s="320"/>
      <c r="I470" s="320"/>
      <c r="J470" s="320"/>
      <c r="K470" s="320"/>
      <c r="L470" s="320"/>
      <c r="M470" s="320"/>
      <c r="N470" s="320"/>
      <c r="O470" s="320"/>
    </row>
    <row r="471">
      <c r="A471" s="32">
        <f t="shared" si="1"/>
        <v>470</v>
      </c>
      <c r="B471" s="9" t="s">
        <v>1181</v>
      </c>
      <c r="C471" s="11" t="s">
        <v>1371</v>
      </c>
      <c r="D471" s="4" t="s">
        <v>1439</v>
      </c>
      <c r="E471" s="27">
        <f>VLOOKUP($C471,'U Fittings'!$E:$O,3,0)</f>
        <v>0.476</v>
      </c>
      <c r="F471" s="27">
        <f>VLOOKUP($C471,'U Fittings'!$E:$O,2,0)</f>
        <v>248</v>
      </c>
      <c r="G471" s="27">
        <f>VLOOKUP($C471,'U Fittings'!$E:$O,11,0)</f>
        <v>248</v>
      </c>
      <c r="H471" s="320"/>
      <c r="I471" s="320"/>
      <c r="J471" s="320"/>
      <c r="K471" s="320"/>
      <c r="L471" s="320"/>
      <c r="M471" s="320"/>
      <c r="N471" s="320"/>
      <c r="O471" s="320"/>
    </row>
    <row r="472">
      <c r="A472" s="32">
        <f t="shared" si="1"/>
        <v>471</v>
      </c>
      <c r="B472" s="9" t="s">
        <v>1181</v>
      </c>
      <c r="C472" s="11" t="s">
        <v>1375</v>
      </c>
      <c r="D472" s="4" t="s">
        <v>1443</v>
      </c>
      <c r="E472" s="27">
        <f>VLOOKUP($C472,'U Fittings'!$E:$O,3,0)</f>
        <v>0.01492</v>
      </c>
      <c r="F472" s="27">
        <f>VLOOKUP($C472,'U Fittings'!$E:$O,2,0)</f>
        <v>7.5</v>
      </c>
      <c r="G472" s="27">
        <f>VLOOKUP($C472,'U Fittings'!$E:$O,11,0)</f>
        <v>7.5</v>
      </c>
      <c r="H472" s="320"/>
      <c r="I472" s="320"/>
      <c r="J472" s="320"/>
      <c r="K472" s="320"/>
      <c r="L472" s="320"/>
      <c r="M472" s="320"/>
      <c r="N472" s="320"/>
      <c r="O472" s="320"/>
    </row>
    <row r="473">
      <c r="A473" s="32">
        <f t="shared" si="1"/>
        <v>472</v>
      </c>
      <c r="B473" s="9" t="s">
        <v>1181</v>
      </c>
      <c r="C473" s="11" t="s">
        <v>1377</v>
      </c>
      <c r="D473" s="4" t="s">
        <v>1444</v>
      </c>
      <c r="E473" s="27">
        <f>VLOOKUP($C473,'U Fittings'!$E:$O,3,0)</f>
        <v>0.023</v>
      </c>
      <c r="F473" s="27">
        <f>VLOOKUP($C473,'U Fittings'!$E:$O,2,0)</f>
        <v>10.9</v>
      </c>
      <c r="G473" s="27">
        <f>VLOOKUP($C473,'U Fittings'!$E:$O,11,0)</f>
        <v>10.9</v>
      </c>
      <c r="H473" s="320"/>
      <c r="I473" s="320"/>
      <c r="J473" s="320"/>
      <c r="K473" s="320"/>
      <c r="L473" s="320"/>
      <c r="M473" s="320"/>
      <c r="N473" s="320"/>
      <c r="O473" s="320"/>
    </row>
    <row r="474">
      <c r="A474" s="32">
        <f t="shared" si="1"/>
        <v>473</v>
      </c>
      <c r="B474" s="9" t="s">
        <v>1181</v>
      </c>
      <c r="C474" s="11" t="s">
        <v>1378</v>
      </c>
      <c r="D474" s="4" t="s">
        <v>1446</v>
      </c>
      <c r="E474" s="27">
        <f>VLOOKUP($C474,'U Fittings'!$E:$O,3,0)</f>
        <v>0.0425</v>
      </c>
      <c r="F474" s="27">
        <f>VLOOKUP($C474,'U Fittings'!$E:$O,2,0)</f>
        <v>20.4</v>
      </c>
      <c r="G474" s="27">
        <f>VLOOKUP($C474,'U Fittings'!$E:$O,11,0)</f>
        <v>20.4</v>
      </c>
      <c r="H474" s="320"/>
      <c r="I474" s="320"/>
      <c r="J474" s="320"/>
      <c r="K474" s="320"/>
      <c r="L474" s="320"/>
      <c r="M474" s="320"/>
      <c r="N474" s="320"/>
      <c r="O474" s="320"/>
    </row>
    <row r="475">
      <c r="A475" s="32">
        <f t="shared" si="1"/>
        <v>474</v>
      </c>
      <c r="B475" s="9" t="s">
        <v>1181</v>
      </c>
      <c r="C475" s="11" t="s">
        <v>1379</v>
      </c>
      <c r="D475" s="4" t="s">
        <v>1448</v>
      </c>
      <c r="E475" s="27">
        <f>VLOOKUP($C475,'U Fittings'!$E:$O,3,0)</f>
        <v>0.05975</v>
      </c>
      <c r="F475" s="27">
        <f>VLOOKUP($C475,'U Fittings'!$E:$O,2,0)</f>
        <v>29.2</v>
      </c>
      <c r="G475" s="27">
        <f>VLOOKUP($C475,'U Fittings'!$E:$O,11,0)</f>
        <v>29.2</v>
      </c>
      <c r="H475" s="320"/>
      <c r="I475" s="320"/>
      <c r="J475" s="320"/>
      <c r="K475" s="320"/>
      <c r="L475" s="320"/>
      <c r="M475" s="320"/>
      <c r="N475" s="320"/>
      <c r="O475" s="320"/>
    </row>
    <row r="476">
      <c r="A476" s="32">
        <f t="shared" si="1"/>
        <v>475</v>
      </c>
      <c r="B476" s="9" t="s">
        <v>1181</v>
      </c>
      <c r="C476" s="11" t="s">
        <v>1380</v>
      </c>
      <c r="D476" s="4" t="s">
        <v>1450</v>
      </c>
      <c r="E476" s="27">
        <f>VLOOKUP($C476,'U Fittings'!$E:$O,3,0)</f>
        <v>0.0752</v>
      </c>
      <c r="F476" s="27">
        <f>VLOOKUP($C476,'U Fittings'!$E:$O,2,0)</f>
        <v>36.2</v>
      </c>
      <c r="G476" s="27">
        <f>VLOOKUP($C476,'U Fittings'!$E:$O,11,0)</f>
        <v>36.2</v>
      </c>
      <c r="H476" s="320"/>
      <c r="I476" s="320"/>
      <c r="J476" s="320"/>
      <c r="K476" s="320"/>
      <c r="L476" s="320"/>
      <c r="M476" s="320"/>
      <c r="N476" s="320"/>
      <c r="O476" s="320"/>
    </row>
    <row r="477">
      <c r="A477" s="32">
        <f t="shared" si="1"/>
        <v>476</v>
      </c>
      <c r="B477" s="9" t="s">
        <v>1181</v>
      </c>
      <c r="C477" s="11" t="s">
        <v>1381</v>
      </c>
      <c r="D477" s="4" t="s">
        <v>1452</v>
      </c>
      <c r="E477" s="27">
        <f>VLOOKUP($C477,'U Fittings'!$E:$O,3,0)</f>
        <v>0.1092</v>
      </c>
      <c r="F477" s="27">
        <f>VLOOKUP($C477,'U Fittings'!$E:$O,2,0)</f>
        <v>54.6</v>
      </c>
      <c r="G477" s="27">
        <f>VLOOKUP($C477,'U Fittings'!$E:$O,11,0)</f>
        <v>54.6</v>
      </c>
      <c r="H477" s="320"/>
      <c r="I477" s="320"/>
      <c r="J477" s="320"/>
      <c r="K477" s="320"/>
      <c r="L477" s="320"/>
      <c r="M477" s="320"/>
      <c r="N477" s="320"/>
      <c r="O477" s="320"/>
    </row>
    <row r="478">
      <c r="A478" s="32">
        <f t="shared" si="1"/>
        <v>477</v>
      </c>
      <c r="B478" s="9" t="s">
        <v>1181</v>
      </c>
      <c r="C478" s="11" t="s">
        <v>1383</v>
      </c>
      <c r="D478" s="4" t="s">
        <v>652</v>
      </c>
      <c r="E478" s="27">
        <f>VLOOKUP($C478,'U Fittings'!$E:$O,3,0)</f>
        <v>0.2015</v>
      </c>
      <c r="F478" s="27">
        <f>VLOOKUP($C478,'U Fittings'!$E:$O,2,0)</f>
        <v>109</v>
      </c>
      <c r="G478" s="27">
        <f>VLOOKUP($C478,'U Fittings'!$E:$O,11,0)</f>
        <v>109</v>
      </c>
      <c r="H478" s="320"/>
      <c r="I478" s="320"/>
      <c r="J478" s="320"/>
      <c r="K478" s="320"/>
      <c r="L478" s="320"/>
      <c r="M478" s="320"/>
      <c r="N478" s="320"/>
      <c r="O478" s="320"/>
    </row>
    <row r="479">
      <c r="A479" s="32">
        <f t="shared" si="1"/>
        <v>478</v>
      </c>
      <c r="B479" s="9" t="s">
        <v>1181</v>
      </c>
      <c r="C479" s="11" t="s">
        <v>1384</v>
      </c>
      <c r="D479" s="4" t="s">
        <v>655</v>
      </c>
      <c r="E479" s="27">
        <f>VLOOKUP($C479,'U Fittings'!$E:$O,3,0)</f>
        <v>0.2743</v>
      </c>
      <c r="F479" s="27">
        <f>VLOOKUP($C479,'U Fittings'!$E:$O,2,0)</f>
        <v>154</v>
      </c>
      <c r="G479" s="27">
        <f>VLOOKUP($C479,'U Fittings'!$E:$O,11,0)</f>
        <v>154</v>
      </c>
      <c r="H479" s="320"/>
      <c r="I479" s="320"/>
      <c r="J479" s="320"/>
      <c r="K479" s="320"/>
      <c r="L479" s="320"/>
      <c r="M479" s="320"/>
      <c r="N479" s="320"/>
      <c r="O479" s="320"/>
    </row>
    <row r="480">
      <c r="A480" s="32">
        <f t="shared" si="1"/>
        <v>479</v>
      </c>
      <c r="B480" s="9" t="s">
        <v>1181</v>
      </c>
      <c r="C480" s="11" t="s">
        <v>1385</v>
      </c>
      <c r="D480" s="4" t="s">
        <v>658</v>
      </c>
      <c r="E480" s="27">
        <f>VLOOKUP($C480,'U Fittings'!$E:$O,3,0)</f>
        <v>0.5515</v>
      </c>
      <c r="F480" s="27">
        <f>VLOOKUP($C480,'U Fittings'!$E:$O,2,0)</f>
        <v>298</v>
      </c>
      <c r="G480" s="27">
        <f>VLOOKUP($C480,'U Fittings'!$E:$O,11,0)</f>
        <v>298</v>
      </c>
      <c r="H480" s="320"/>
      <c r="I480" s="320"/>
      <c r="J480" s="320"/>
      <c r="K480" s="320"/>
      <c r="L480" s="320"/>
      <c r="M480" s="320"/>
      <c r="N480" s="320"/>
      <c r="O480" s="320"/>
    </row>
    <row r="481">
      <c r="A481" s="32">
        <f t="shared" si="1"/>
        <v>480</v>
      </c>
      <c r="B481" s="9" t="s">
        <v>1181</v>
      </c>
      <c r="C481" s="11" t="s">
        <v>1388</v>
      </c>
      <c r="D481" s="4" t="s">
        <v>1458</v>
      </c>
      <c r="E481" s="27">
        <f>VLOOKUP($C481,'U Fittings'!$E:$O,3,0)</f>
        <v>0.03225</v>
      </c>
      <c r="F481" s="27">
        <f>VLOOKUP($C481,'U Fittings'!$E:$O,2,0)</f>
        <v>15.8</v>
      </c>
      <c r="G481" s="27">
        <f>VLOOKUP($C481,'U Fittings'!$E:$O,11,0)</f>
        <v>15.8</v>
      </c>
      <c r="H481" s="320"/>
      <c r="I481" s="320"/>
      <c r="J481" s="320"/>
      <c r="K481" s="320"/>
      <c r="L481" s="320"/>
      <c r="M481" s="320"/>
      <c r="N481" s="320"/>
      <c r="O481" s="320"/>
    </row>
    <row r="482">
      <c r="A482" s="32">
        <f t="shared" si="1"/>
        <v>481</v>
      </c>
      <c r="B482" s="9" t="s">
        <v>1181</v>
      </c>
      <c r="C482" s="11" t="s">
        <v>1391</v>
      </c>
      <c r="D482" s="4" t="s">
        <v>1459</v>
      </c>
      <c r="E482" s="27">
        <f>VLOOKUP($C482,'U Fittings'!$E:$O,3,0)</f>
        <v>0.05775</v>
      </c>
      <c r="F482" s="27">
        <f>VLOOKUP($C482,'U Fittings'!$E:$O,2,0)</f>
        <v>29.6</v>
      </c>
      <c r="G482" s="27">
        <f>VLOOKUP($C482,'U Fittings'!$E:$O,11,0)</f>
        <v>29.6</v>
      </c>
      <c r="H482" s="320"/>
      <c r="I482" s="320"/>
      <c r="J482" s="320"/>
      <c r="K482" s="320"/>
      <c r="L482" s="320"/>
      <c r="M482" s="320"/>
      <c r="N482" s="320"/>
      <c r="O482" s="320"/>
    </row>
    <row r="483">
      <c r="A483" s="32">
        <f t="shared" si="1"/>
        <v>482</v>
      </c>
      <c r="B483" s="9" t="s">
        <v>1181</v>
      </c>
      <c r="C483" s="11" t="s">
        <v>1393</v>
      </c>
      <c r="D483" s="4" t="s">
        <v>1462</v>
      </c>
      <c r="E483" s="27">
        <f>VLOOKUP($C483,'U Fittings'!$E:$O,3,0)</f>
        <v>0.02055</v>
      </c>
      <c r="F483" s="27">
        <f>VLOOKUP($C483,'U Fittings'!$E:$O,2,0)</f>
        <v>9.6</v>
      </c>
      <c r="G483" s="27">
        <f>VLOOKUP($C483,'U Fittings'!$E:$O,11,0)</f>
        <v>9.6</v>
      </c>
      <c r="H483" s="320"/>
      <c r="I483" s="320"/>
      <c r="J483" s="320"/>
      <c r="K483" s="320"/>
      <c r="L483" s="320"/>
      <c r="M483" s="320"/>
      <c r="N483" s="320"/>
      <c r="O483" s="320"/>
    </row>
    <row r="484">
      <c r="A484" s="32">
        <f t="shared" si="1"/>
        <v>483</v>
      </c>
      <c r="B484" s="9" t="s">
        <v>1181</v>
      </c>
      <c r="C484" s="11" t="s">
        <v>1395</v>
      </c>
      <c r="D484" s="4" t="s">
        <v>1464</v>
      </c>
      <c r="E484" s="27">
        <f>VLOOKUP($C484,'U Fittings'!$E:$O,3,0)</f>
        <v>0.0296</v>
      </c>
      <c r="F484" s="27">
        <f>VLOOKUP($C484,'U Fittings'!$E:$O,2,0)</f>
        <v>14.5</v>
      </c>
      <c r="G484" s="27">
        <f>VLOOKUP($C484,'U Fittings'!$E:$O,11,0)</f>
        <v>14.5</v>
      </c>
      <c r="H484" s="320"/>
      <c r="I484" s="320"/>
      <c r="J484" s="320"/>
      <c r="K484" s="320"/>
      <c r="L484" s="320"/>
      <c r="M484" s="320"/>
      <c r="N484" s="320"/>
      <c r="O484" s="320"/>
    </row>
    <row r="485">
      <c r="A485" s="32">
        <f t="shared" si="1"/>
        <v>484</v>
      </c>
      <c r="B485" s="9" t="s">
        <v>1181</v>
      </c>
      <c r="C485" s="11" t="s">
        <v>1396</v>
      </c>
      <c r="D485" s="4" t="s">
        <v>1467</v>
      </c>
      <c r="E485" s="27">
        <f>VLOOKUP($C485,'U Fittings'!$E:$O,3,0)</f>
        <v>0.051</v>
      </c>
      <c r="F485" s="27">
        <f>VLOOKUP($C485,'U Fittings'!$E:$O,2,0)</f>
        <v>23.8</v>
      </c>
      <c r="G485" s="27">
        <f>VLOOKUP($C485,'U Fittings'!$E:$O,11,0)</f>
        <v>23.8</v>
      </c>
      <c r="H485" s="320"/>
      <c r="I485" s="320"/>
      <c r="J485" s="320"/>
      <c r="K485" s="320"/>
      <c r="L485" s="320"/>
      <c r="M485" s="320"/>
      <c r="N485" s="320"/>
      <c r="O485" s="320"/>
    </row>
    <row r="486">
      <c r="A486" s="32">
        <f t="shared" si="1"/>
        <v>485</v>
      </c>
      <c r="B486" s="9" t="s">
        <v>1181</v>
      </c>
      <c r="C486" s="11" t="s">
        <v>1398</v>
      </c>
      <c r="D486" s="4" t="s">
        <v>1468</v>
      </c>
      <c r="E486" s="27">
        <f>VLOOKUP($C486,'U Fittings'!$E:$O,3,0)</f>
        <v>0.069</v>
      </c>
      <c r="F486" s="27">
        <f>VLOOKUP($C486,'U Fittings'!$E:$O,2,0)</f>
        <v>32.6</v>
      </c>
      <c r="G486" s="27">
        <f>VLOOKUP($C486,'U Fittings'!$E:$O,11,0)</f>
        <v>32.6</v>
      </c>
      <c r="H486" s="320"/>
      <c r="I486" s="320"/>
      <c r="J486" s="320"/>
      <c r="K486" s="320"/>
      <c r="L486" s="320"/>
      <c r="M486" s="320"/>
      <c r="N486" s="320"/>
      <c r="O486" s="320"/>
    </row>
    <row r="487">
      <c r="A487" s="32">
        <f t="shared" si="1"/>
        <v>486</v>
      </c>
      <c r="B487" s="9" t="s">
        <v>1181</v>
      </c>
      <c r="C487" s="11" t="s">
        <v>1400</v>
      </c>
      <c r="D487" s="4" t="s">
        <v>1469</v>
      </c>
      <c r="E487" s="27">
        <f>VLOOKUP($C487,'U Fittings'!$E:$O,3,0)</f>
        <v>0.094</v>
      </c>
      <c r="F487" s="27">
        <f>VLOOKUP($C487,'U Fittings'!$E:$O,2,0)</f>
        <v>44.4</v>
      </c>
      <c r="G487" s="27">
        <f>VLOOKUP($C487,'U Fittings'!$E:$O,11,0)</f>
        <v>44.4</v>
      </c>
      <c r="H487" s="320"/>
      <c r="I487" s="320"/>
      <c r="J487" s="320"/>
      <c r="K487" s="320"/>
      <c r="L487" s="320"/>
      <c r="M487" s="320"/>
      <c r="N487" s="320"/>
      <c r="O487" s="320"/>
    </row>
    <row r="488">
      <c r="A488" s="32">
        <f t="shared" si="1"/>
        <v>487</v>
      </c>
      <c r="B488" s="9" t="s">
        <v>1181</v>
      </c>
      <c r="C488" s="11" t="s">
        <v>1401</v>
      </c>
      <c r="D488" s="4" t="s">
        <v>1471</v>
      </c>
      <c r="E488" s="27">
        <f>VLOOKUP($C488,'U Fittings'!$E:$O,3,0)</f>
        <v>0.132</v>
      </c>
      <c r="F488" s="27">
        <f>VLOOKUP($C488,'U Fittings'!$E:$O,2,0)</f>
        <v>62</v>
      </c>
      <c r="G488" s="27">
        <f>VLOOKUP($C488,'U Fittings'!$E:$O,11,0)</f>
        <v>62</v>
      </c>
      <c r="H488" s="320"/>
      <c r="I488" s="320"/>
      <c r="J488" s="320"/>
      <c r="K488" s="320"/>
      <c r="L488" s="320"/>
      <c r="M488" s="320"/>
      <c r="N488" s="320"/>
      <c r="O488" s="320"/>
    </row>
    <row r="489">
      <c r="A489" s="32">
        <f t="shared" si="1"/>
        <v>488</v>
      </c>
      <c r="B489" s="9" t="s">
        <v>1181</v>
      </c>
      <c r="C489" s="11" t="s">
        <v>1404</v>
      </c>
      <c r="D489" s="4" t="s">
        <v>689</v>
      </c>
      <c r="E489" s="27">
        <f>VLOOKUP($C489,'U Fittings'!$E:$O,3,0)</f>
        <v>0.1949</v>
      </c>
      <c r="F489" s="27">
        <f>VLOOKUP($C489,'U Fittings'!$E:$O,2,0)</f>
        <v>106.8</v>
      </c>
      <c r="G489" s="27">
        <f>VLOOKUP($C489,'U Fittings'!$E:$O,11,0)</f>
        <v>106.8</v>
      </c>
      <c r="H489" s="320"/>
      <c r="I489" s="320"/>
      <c r="J489" s="320"/>
      <c r="K489" s="320"/>
      <c r="L489" s="320"/>
      <c r="M489" s="320"/>
      <c r="N489" s="320"/>
      <c r="O489" s="320"/>
    </row>
    <row r="490">
      <c r="A490" s="32">
        <f t="shared" si="1"/>
        <v>489</v>
      </c>
      <c r="B490" s="9" t="s">
        <v>1181</v>
      </c>
      <c r="C490" s="11" t="s">
        <v>1407</v>
      </c>
      <c r="D490" s="4" t="s">
        <v>698</v>
      </c>
      <c r="E490" s="27">
        <f>VLOOKUP($C490,'U Fittings'!$E:$O,3,0)</f>
        <v>0.3335</v>
      </c>
      <c r="F490" s="27">
        <f>VLOOKUP($C490,'U Fittings'!$E:$O,2,0)</f>
        <v>178</v>
      </c>
      <c r="G490" s="27">
        <f>VLOOKUP($C490,'U Fittings'!$E:$O,11,0)</f>
        <v>178</v>
      </c>
      <c r="H490" s="320"/>
      <c r="I490" s="320"/>
      <c r="J490" s="320"/>
      <c r="K490" s="320"/>
      <c r="L490" s="320"/>
      <c r="M490" s="320"/>
      <c r="N490" s="320"/>
      <c r="O490" s="320"/>
    </row>
    <row r="491">
      <c r="A491" s="32">
        <f t="shared" si="1"/>
        <v>490</v>
      </c>
      <c r="B491" s="9" t="s">
        <v>1181</v>
      </c>
      <c r="C491" s="11" t="s">
        <v>1409</v>
      </c>
      <c r="D491" s="4" t="s">
        <v>704</v>
      </c>
      <c r="E491" s="27">
        <f>VLOOKUP($C491,'U Fittings'!$E:$O,3,0)</f>
        <v>0.5625</v>
      </c>
      <c r="F491" s="27">
        <f>VLOOKUP($C491,'U Fittings'!$E:$O,2,0)</f>
        <v>299.2</v>
      </c>
      <c r="G491" s="27">
        <f>VLOOKUP($C491,'U Fittings'!$E:$O,11,0)</f>
        <v>299.2</v>
      </c>
      <c r="H491" s="320"/>
      <c r="I491" s="320"/>
      <c r="J491" s="320"/>
      <c r="K491" s="320"/>
      <c r="L491" s="320"/>
      <c r="M491" s="320"/>
      <c r="N491" s="320"/>
      <c r="O491" s="320"/>
    </row>
    <row r="492">
      <c r="A492" s="32">
        <f t="shared" si="1"/>
        <v>491</v>
      </c>
      <c r="B492" s="9" t="s">
        <v>1181</v>
      </c>
      <c r="C492" s="11" t="s">
        <v>548</v>
      </c>
      <c r="D492" s="4" t="s">
        <v>1477</v>
      </c>
      <c r="E492" s="27">
        <f>VLOOKUP($C492,'U Fittings'!$E:$O,3,0)</f>
        <v>0.034</v>
      </c>
      <c r="F492" s="27">
        <f>VLOOKUP($C492,'U Fittings'!$E:$O,2,0)</f>
        <v>112.5</v>
      </c>
      <c r="G492" s="27" t="str">
        <f>VLOOKUP($C492,'U Fittings'!$E:$O,11,0)</f>
        <v>#REF!</v>
      </c>
      <c r="H492" s="320"/>
      <c r="I492" s="320"/>
      <c r="J492" s="320"/>
      <c r="K492" s="320"/>
      <c r="L492" s="320"/>
      <c r="M492" s="320"/>
      <c r="N492" s="320"/>
      <c r="O492" s="320"/>
    </row>
    <row r="493">
      <c r="A493" s="32">
        <f t="shared" si="1"/>
        <v>492</v>
      </c>
      <c r="B493" s="9" t="s">
        <v>1181</v>
      </c>
      <c r="C493" s="11" t="s">
        <v>551</v>
      </c>
      <c r="D493" s="4" t="s">
        <v>1478</v>
      </c>
      <c r="E493" s="27">
        <f>VLOOKUP($C493,'U Fittings'!$E:$O,3,0)</f>
        <v>0.029325</v>
      </c>
      <c r="F493" s="27">
        <f>VLOOKUP($C493,'U Fittings'!$E:$O,2,0)</f>
        <v>110</v>
      </c>
      <c r="G493" s="27" t="str">
        <f>VLOOKUP($C493,'U Fittings'!$E:$O,11,0)</f>
        <v>#REF!</v>
      </c>
      <c r="H493" s="320"/>
      <c r="I493" s="320"/>
      <c r="J493" s="320"/>
      <c r="K493" s="320"/>
      <c r="L493" s="320"/>
      <c r="M493" s="320"/>
      <c r="N493" s="320"/>
      <c r="O493" s="320"/>
    </row>
    <row r="494">
      <c r="A494" s="32">
        <f t="shared" si="1"/>
        <v>493</v>
      </c>
      <c r="B494" s="9" t="s">
        <v>1181</v>
      </c>
      <c r="C494" s="11" t="s">
        <v>553</v>
      </c>
      <c r="D494" s="4" t="s">
        <v>1480</v>
      </c>
      <c r="E494" s="27">
        <f>VLOOKUP($C494,'U Fittings'!$E:$O,3,0)</f>
        <v>0.03625</v>
      </c>
      <c r="F494" s="27">
        <f>VLOOKUP($C494,'U Fittings'!$E:$O,2,0)</f>
        <v>174</v>
      </c>
      <c r="G494" s="27" t="str">
        <f>VLOOKUP($C494,'U Fittings'!$E:$O,11,0)</f>
        <v>#REF!</v>
      </c>
      <c r="H494" s="320"/>
      <c r="I494" s="320"/>
      <c r="J494" s="320"/>
      <c r="K494" s="320"/>
      <c r="L494" s="320"/>
      <c r="M494" s="320"/>
      <c r="N494" s="320"/>
      <c r="O494" s="320"/>
    </row>
    <row r="495">
      <c r="A495" s="32">
        <f t="shared" si="1"/>
        <v>494</v>
      </c>
      <c r="B495" s="9" t="s">
        <v>1181</v>
      </c>
      <c r="C495" s="11" t="s">
        <v>556</v>
      </c>
      <c r="D495" s="4" t="s">
        <v>1483</v>
      </c>
      <c r="E495" s="27">
        <f>VLOOKUP($C495,'U Fittings'!$E:$O,3,0)</f>
        <v>0.065</v>
      </c>
      <c r="F495" s="27">
        <f>VLOOKUP($C495,'U Fittings'!$E:$O,2,0)</f>
        <v>242</v>
      </c>
      <c r="G495" s="27" t="str">
        <f>VLOOKUP($C495,'U Fittings'!$E:$O,11,0)</f>
        <v>#REF!</v>
      </c>
      <c r="H495" s="320"/>
      <c r="I495" s="320"/>
      <c r="J495" s="320"/>
      <c r="K495" s="320"/>
      <c r="L495" s="320"/>
      <c r="M495" s="320"/>
      <c r="N495" s="320"/>
      <c r="O495" s="320"/>
    </row>
    <row r="496">
      <c r="A496" s="32">
        <f t="shared" si="1"/>
        <v>495</v>
      </c>
      <c r="B496" s="9" t="s">
        <v>1181</v>
      </c>
      <c r="C496" s="11" t="s">
        <v>559</v>
      </c>
      <c r="D496" s="4" t="s">
        <v>1485</v>
      </c>
      <c r="E496" s="27">
        <f>VLOOKUP($C496,'U Fittings'!$E:$O,3,0)</f>
        <v>0.07315</v>
      </c>
      <c r="F496" s="27">
        <f>VLOOKUP($C496,'U Fittings'!$E:$O,2,0)</f>
        <v>399</v>
      </c>
      <c r="G496" s="27" t="str">
        <f>VLOOKUP($C496,'U Fittings'!$E:$O,11,0)</f>
        <v>#REF!</v>
      </c>
      <c r="H496" s="320"/>
      <c r="I496" s="320"/>
      <c r="J496" s="320"/>
      <c r="K496" s="320"/>
      <c r="L496" s="320"/>
      <c r="M496" s="320"/>
      <c r="N496" s="320"/>
      <c r="O496" s="320"/>
    </row>
    <row r="497">
      <c r="A497" s="32">
        <f t="shared" si="1"/>
        <v>496</v>
      </c>
      <c r="B497" s="9" t="s">
        <v>1181</v>
      </c>
      <c r="C497" s="11" t="s">
        <v>562</v>
      </c>
      <c r="D497" s="4" t="s">
        <v>1486</v>
      </c>
      <c r="E497" s="27">
        <f>VLOOKUP($C497,'U Fittings'!$E:$O,3,0)</f>
        <v>0.0931</v>
      </c>
      <c r="F497" s="27">
        <f>VLOOKUP($C497,'U Fittings'!$E:$O,2,0)</f>
        <v>488</v>
      </c>
      <c r="G497" s="27" t="str">
        <f>VLOOKUP($C497,'U Fittings'!$E:$O,11,0)</f>
        <v>#REF!</v>
      </c>
      <c r="H497" s="320"/>
      <c r="I497" s="320"/>
      <c r="J497" s="320"/>
      <c r="K497" s="320"/>
      <c r="L497" s="320"/>
      <c r="M497" s="320"/>
      <c r="N497" s="320"/>
      <c r="O497" s="320"/>
    </row>
    <row r="498">
      <c r="A498" s="32">
        <f t="shared" si="1"/>
        <v>497</v>
      </c>
      <c r="B498" s="9" t="s">
        <v>1181</v>
      </c>
      <c r="C498" s="11" t="s">
        <v>565</v>
      </c>
      <c r="D498" s="4" t="s">
        <v>1489</v>
      </c>
      <c r="E498" s="27">
        <f>VLOOKUP($C498,'U Fittings'!$E:$O,3,0)</f>
        <v>0.1369</v>
      </c>
      <c r="F498" s="27">
        <f>VLOOKUP($C498,'U Fittings'!$E:$O,2,0)</f>
        <v>799</v>
      </c>
      <c r="G498" s="27" t="str">
        <f>VLOOKUP($C498,'U Fittings'!$E:$O,11,0)</f>
        <v>#REF!</v>
      </c>
      <c r="H498" s="320"/>
      <c r="I498" s="320"/>
      <c r="J498" s="320"/>
      <c r="K498" s="320"/>
      <c r="L498" s="320"/>
      <c r="M498" s="320"/>
      <c r="N498" s="320"/>
      <c r="O498" s="320"/>
    </row>
    <row r="499">
      <c r="A499" s="32">
        <f t="shared" si="1"/>
        <v>498</v>
      </c>
      <c r="B499" s="9" t="s">
        <v>1181</v>
      </c>
      <c r="C499" s="11" t="s">
        <v>552</v>
      </c>
      <c r="D499" s="4" t="s">
        <v>1490</v>
      </c>
      <c r="E499" s="27">
        <f>VLOOKUP($C499,'U Fittings'!$E:$O,3,0)</f>
        <v>0.042</v>
      </c>
      <c r="F499" s="27">
        <f>VLOOKUP($C499,'U Fittings'!$E:$O,2,0)</f>
        <v>114</v>
      </c>
      <c r="G499" s="27" t="str">
        <f>VLOOKUP($C499,'U Fittings'!$E:$O,11,0)</f>
        <v>#REF!</v>
      </c>
      <c r="H499" s="320"/>
      <c r="I499" s="320"/>
      <c r="J499" s="320"/>
      <c r="K499" s="320"/>
      <c r="L499" s="320"/>
      <c r="M499" s="320"/>
      <c r="N499" s="320"/>
      <c r="O499" s="320"/>
    </row>
    <row r="500">
      <c r="A500" s="32">
        <f t="shared" si="1"/>
        <v>499</v>
      </c>
      <c r="B500" s="9" t="s">
        <v>1181</v>
      </c>
      <c r="C500" s="11" t="s">
        <v>504</v>
      </c>
      <c r="D500" s="4" t="s">
        <v>1492</v>
      </c>
      <c r="E500" s="27">
        <f>VLOOKUP($C500,'U Fittings'!$E:$O,3,0)</f>
        <v>0.027</v>
      </c>
      <c r="F500" s="27">
        <f>VLOOKUP($C500,'U Fittings'!$E:$O,2,0)</f>
        <v>58</v>
      </c>
      <c r="G500" s="27" t="str">
        <f>VLOOKUP($C500,'U Fittings'!$E:$O,11,0)</f>
        <v>#REF!</v>
      </c>
      <c r="H500" s="320"/>
      <c r="I500" s="320"/>
      <c r="J500" s="320"/>
      <c r="K500" s="320"/>
      <c r="L500" s="320"/>
      <c r="M500" s="320"/>
      <c r="N500" s="320"/>
      <c r="O500" s="320"/>
    </row>
    <row r="501">
      <c r="A501" s="32">
        <f t="shared" si="1"/>
        <v>500</v>
      </c>
      <c r="B501" s="9" t="s">
        <v>1181</v>
      </c>
      <c r="C501" s="11" t="s">
        <v>514</v>
      </c>
      <c r="D501" s="4" t="s">
        <v>1495</v>
      </c>
      <c r="E501" s="27">
        <f>VLOOKUP($C501,'U Fittings'!$E:$O,3,0)</f>
        <v>0.0285</v>
      </c>
      <c r="F501" s="27">
        <f>VLOOKUP($C501,'U Fittings'!$E:$O,2,0)</f>
        <v>114</v>
      </c>
      <c r="G501" s="27" t="str">
        <f>VLOOKUP($C501,'U Fittings'!$E:$O,11,0)</f>
        <v>#REF!</v>
      </c>
      <c r="H501" s="320"/>
      <c r="I501" s="320"/>
      <c r="J501" s="320"/>
      <c r="K501" s="320"/>
      <c r="L501" s="320"/>
      <c r="M501" s="320"/>
      <c r="N501" s="320"/>
      <c r="O501" s="320"/>
    </row>
    <row r="502">
      <c r="A502" s="32">
        <f t="shared" si="1"/>
        <v>501</v>
      </c>
      <c r="B502" s="9" t="s">
        <v>1181</v>
      </c>
      <c r="C502" s="11" t="s">
        <v>519</v>
      </c>
      <c r="D502" s="4" t="s">
        <v>1497</v>
      </c>
      <c r="E502" s="27">
        <f>VLOOKUP($C502,'U Fittings'!$E:$O,3,0)</f>
        <v>0.062</v>
      </c>
      <c r="F502" s="27">
        <f>VLOOKUP($C502,'U Fittings'!$E:$O,2,0)</f>
        <v>174</v>
      </c>
      <c r="G502" s="27" t="str">
        <f>VLOOKUP($C502,'U Fittings'!$E:$O,11,0)</f>
        <v>#REF!</v>
      </c>
      <c r="H502" s="320"/>
      <c r="I502" s="320"/>
      <c r="J502" s="320"/>
      <c r="K502" s="320"/>
      <c r="L502" s="320"/>
      <c r="M502" s="320"/>
      <c r="N502" s="320"/>
      <c r="O502" s="320"/>
    </row>
    <row r="503">
      <c r="A503" s="32">
        <f t="shared" si="1"/>
        <v>502</v>
      </c>
      <c r="B503" s="9" t="s">
        <v>1181</v>
      </c>
      <c r="C503" s="11" t="s">
        <v>568</v>
      </c>
      <c r="D503" s="4" t="s">
        <v>1499</v>
      </c>
      <c r="E503" s="27">
        <f>VLOOKUP($C503,'U Fittings'!$E:$O,3,0)</f>
        <v>0.0802</v>
      </c>
      <c r="F503" s="27">
        <f>VLOOKUP($C503,'U Fittings'!$E:$O,2,0)</f>
        <v>298</v>
      </c>
      <c r="G503" s="27" t="str">
        <f>VLOOKUP($C503,'U Fittings'!$E:$O,11,0)</f>
        <v>#REF!</v>
      </c>
      <c r="H503" s="320"/>
      <c r="I503" s="320"/>
      <c r="J503" s="320"/>
      <c r="K503" s="320"/>
      <c r="L503" s="320"/>
      <c r="M503" s="320"/>
      <c r="N503" s="320"/>
      <c r="O503" s="320"/>
    </row>
    <row r="504">
      <c r="A504" s="32">
        <f t="shared" si="1"/>
        <v>503</v>
      </c>
      <c r="B504" s="9" t="s">
        <v>1181</v>
      </c>
      <c r="C504" s="11" t="s">
        <v>571</v>
      </c>
      <c r="D504" s="4" t="s">
        <v>1501</v>
      </c>
      <c r="E504" s="27">
        <f>VLOOKUP($C504,'U Fittings'!$E:$O,3,0)</f>
        <v>0.1094</v>
      </c>
      <c r="F504" s="27">
        <f>VLOOKUP($C504,'U Fittings'!$E:$O,2,0)</f>
        <v>468</v>
      </c>
      <c r="G504" s="27" t="str">
        <f>VLOOKUP($C504,'U Fittings'!$E:$O,11,0)</f>
        <v>#REF!</v>
      </c>
      <c r="H504" s="320"/>
      <c r="I504" s="320"/>
      <c r="J504" s="320"/>
      <c r="K504" s="320"/>
      <c r="L504" s="320"/>
      <c r="M504" s="320"/>
      <c r="N504" s="320"/>
      <c r="O504" s="320"/>
    </row>
    <row r="505">
      <c r="A505" s="32">
        <f t="shared" si="1"/>
        <v>504</v>
      </c>
      <c r="B505" s="9" t="s">
        <v>1181</v>
      </c>
      <c r="C505" s="11" t="s">
        <v>574</v>
      </c>
      <c r="D505" s="4" t="s">
        <v>1506</v>
      </c>
      <c r="E505" s="27">
        <f>VLOOKUP($C505,'U Fittings'!$E:$O,3,0)</f>
        <v>0.1575</v>
      </c>
      <c r="F505" s="27">
        <f>VLOOKUP($C505,'U Fittings'!$E:$O,2,0)</f>
        <v>658</v>
      </c>
      <c r="G505" s="27" t="str">
        <f>VLOOKUP($C505,'U Fittings'!$E:$O,11,0)</f>
        <v>#REF!</v>
      </c>
      <c r="H505" s="320"/>
      <c r="I505" s="320"/>
      <c r="J505" s="320"/>
      <c r="K505" s="320"/>
      <c r="L505" s="320"/>
      <c r="M505" s="320"/>
      <c r="N505" s="320"/>
      <c r="O505" s="320"/>
    </row>
    <row r="506">
      <c r="A506" s="32">
        <f t="shared" si="1"/>
        <v>505</v>
      </c>
      <c r="B506" s="9" t="s">
        <v>1181</v>
      </c>
      <c r="C506" s="11" t="s">
        <v>506</v>
      </c>
      <c r="D506" s="4" t="s">
        <v>1509</v>
      </c>
      <c r="E506" s="27">
        <f>VLOOKUP($C506,'U Fittings'!$E:$O,3,0)</f>
        <v>0.03025</v>
      </c>
      <c r="F506" s="27">
        <f>VLOOKUP($C506,'U Fittings'!$E:$O,2,0)</f>
        <v>68</v>
      </c>
      <c r="G506" s="27" t="str">
        <f>VLOOKUP($C506,'U Fittings'!$E:$O,11,0)</f>
        <v>#REF!</v>
      </c>
      <c r="H506" s="320"/>
      <c r="I506" s="320"/>
      <c r="J506" s="320"/>
      <c r="K506" s="320"/>
      <c r="L506" s="320"/>
      <c r="M506" s="320"/>
      <c r="N506" s="320"/>
      <c r="O506" s="320"/>
    </row>
    <row r="507">
      <c r="A507" s="32">
        <f t="shared" si="1"/>
        <v>506</v>
      </c>
      <c r="B507" s="9" t="s">
        <v>1181</v>
      </c>
      <c r="C507" s="11" t="s">
        <v>507</v>
      </c>
      <c r="D507" s="4" t="s">
        <v>1512</v>
      </c>
      <c r="E507" s="27">
        <f>VLOOKUP($C507,'U Fittings'!$E:$O,3,0)</f>
        <v>0.04</v>
      </c>
      <c r="F507" s="27">
        <f>VLOOKUP($C507,'U Fittings'!$E:$O,2,0)</f>
        <v>74</v>
      </c>
      <c r="G507" s="27" t="str">
        <f>VLOOKUP($C507,'U Fittings'!$E:$O,11,0)</f>
        <v>#REF!</v>
      </c>
      <c r="H507" s="320"/>
      <c r="I507" s="320"/>
      <c r="J507" s="320"/>
      <c r="K507" s="320"/>
      <c r="L507" s="320"/>
      <c r="M507" s="320"/>
      <c r="N507" s="320"/>
      <c r="O507" s="320"/>
    </row>
    <row r="508">
      <c r="A508" s="32">
        <f t="shared" si="1"/>
        <v>507</v>
      </c>
      <c r="B508" s="9" t="s">
        <v>1181</v>
      </c>
      <c r="C508" s="11" t="s">
        <v>1424</v>
      </c>
      <c r="D508" s="4" t="s">
        <v>1517</v>
      </c>
      <c r="E508" s="27">
        <f>VLOOKUP($C508,'U Fittings'!$E:$O,3,0)</f>
        <v>0.04977</v>
      </c>
      <c r="F508" s="27">
        <f>VLOOKUP($C508,'U Fittings'!$E:$O,2,0)</f>
        <v>27.2</v>
      </c>
      <c r="G508" s="27">
        <f>VLOOKUP($C508,'U Fittings'!$E:$O,11,0)</f>
        <v>27.2</v>
      </c>
      <c r="H508" s="320"/>
      <c r="I508" s="320"/>
      <c r="J508" s="320"/>
      <c r="K508" s="320"/>
      <c r="L508" s="320"/>
      <c r="M508" s="320"/>
      <c r="N508" s="320"/>
      <c r="O508" s="320"/>
    </row>
    <row r="509">
      <c r="A509" s="32">
        <f t="shared" si="1"/>
        <v>508</v>
      </c>
      <c r="B509" s="9" t="s">
        <v>1181</v>
      </c>
      <c r="C509" s="11" t="s">
        <v>1427</v>
      </c>
      <c r="D509" s="4" t="s">
        <v>1520</v>
      </c>
      <c r="E509" s="27">
        <f>VLOOKUP($C509,'U Fittings'!$E:$O,3,0)</f>
        <v>0.06715</v>
      </c>
      <c r="F509" s="27">
        <f>VLOOKUP($C509,'U Fittings'!$E:$O,2,0)</f>
        <v>35.4</v>
      </c>
      <c r="G509" s="27">
        <f>VLOOKUP($C509,'U Fittings'!$E:$O,11,0)</f>
        <v>35.4</v>
      </c>
      <c r="H509" s="320"/>
      <c r="I509" s="320"/>
      <c r="J509" s="320"/>
      <c r="K509" s="320"/>
      <c r="L509" s="320"/>
      <c r="M509" s="320"/>
      <c r="N509" s="320"/>
      <c r="O509" s="320"/>
    </row>
    <row r="510">
      <c r="A510" s="32">
        <f t="shared" si="1"/>
        <v>509</v>
      </c>
      <c r="B510" s="9" t="s">
        <v>1181</v>
      </c>
      <c r="C510" s="11" t="s">
        <v>1428</v>
      </c>
      <c r="D510" s="4" t="s">
        <v>1523</v>
      </c>
      <c r="E510" s="27">
        <f>VLOOKUP($C510,'U Fittings'!$E:$O,3,0)</f>
        <v>0.1095</v>
      </c>
      <c r="F510" s="27">
        <f>VLOOKUP($C510,'U Fittings'!$E:$O,2,0)</f>
        <v>59.8</v>
      </c>
      <c r="G510" s="27">
        <f>VLOOKUP($C510,'U Fittings'!$E:$O,11,0)</f>
        <v>59.8</v>
      </c>
      <c r="H510" s="320"/>
      <c r="I510" s="320"/>
      <c r="J510" s="320"/>
      <c r="K510" s="320"/>
      <c r="L510" s="320"/>
      <c r="M510" s="320"/>
      <c r="N510" s="320"/>
      <c r="O510" s="320"/>
    </row>
    <row r="511">
      <c r="A511" s="32">
        <f t="shared" si="1"/>
        <v>510</v>
      </c>
      <c r="B511" s="9" t="s">
        <v>1181</v>
      </c>
      <c r="C511" s="11" t="s">
        <v>1430</v>
      </c>
      <c r="D511" s="4" t="s">
        <v>1527</v>
      </c>
      <c r="E511" s="27">
        <f>VLOOKUP($C511,'U Fittings'!$E:$O,3,0)</f>
        <v>0.1865</v>
      </c>
      <c r="F511" s="27">
        <f>VLOOKUP($C511,'U Fittings'!$E:$O,2,0)</f>
        <v>96.8</v>
      </c>
      <c r="G511" s="27">
        <f>VLOOKUP($C511,'U Fittings'!$E:$O,11,0)</f>
        <v>96.8</v>
      </c>
      <c r="H511" s="320"/>
      <c r="I511" s="320"/>
      <c r="J511" s="320"/>
      <c r="K511" s="320"/>
      <c r="L511" s="320"/>
      <c r="M511" s="320"/>
      <c r="N511" s="320"/>
      <c r="O511" s="320"/>
    </row>
    <row r="512">
      <c r="A512" s="32">
        <f t="shared" si="1"/>
        <v>511</v>
      </c>
      <c r="B512" s="9" t="s">
        <v>1181</v>
      </c>
      <c r="C512" s="11" t="s">
        <v>1434</v>
      </c>
      <c r="D512" s="4" t="s">
        <v>1534</v>
      </c>
      <c r="E512" s="27">
        <f>VLOOKUP($C512,'U Fittings'!$E:$O,3,0)</f>
        <v>0.07428</v>
      </c>
      <c r="F512" s="27">
        <f>VLOOKUP($C512,'U Fittings'!$E:$O,2,0)</f>
        <v>78</v>
      </c>
      <c r="G512" s="27">
        <f>VLOOKUP($C512,'U Fittings'!$E:$O,11,0)</f>
        <v>78</v>
      </c>
      <c r="H512" s="320"/>
      <c r="I512" s="320"/>
      <c r="J512" s="320"/>
      <c r="K512" s="320"/>
      <c r="L512" s="320"/>
      <c r="M512" s="320"/>
      <c r="N512" s="320"/>
      <c r="O512" s="320"/>
    </row>
    <row r="513">
      <c r="A513" s="32">
        <f t="shared" si="1"/>
        <v>512</v>
      </c>
      <c r="B513" s="9" t="s">
        <v>1181</v>
      </c>
      <c r="C513" s="11" t="s">
        <v>1436</v>
      </c>
      <c r="D513" s="4" t="s">
        <v>1539</v>
      </c>
      <c r="E513" s="27">
        <f>VLOOKUP($C513,'U Fittings'!$E:$O,3,0)</f>
        <v>0.1114</v>
      </c>
      <c r="F513" s="27">
        <f>VLOOKUP($C513,'U Fittings'!$E:$O,2,0)</f>
        <v>120</v>
      </c>
      <c r="G513" s="27">
        <f>VLOOKUP($C513,'U Fittings'!$E:$O,11,0)</f>
        <v>120</v>
      </c>
      <c r="H513" s="320"/>
      <c r="I513" s="320"/>
      <c r="J513" s="320"/>
      <c r="K513" s="320"/>
      <c r="L513" s="320"/>
      <c r="M513" s="320"/>
      <c r="N513" s="320"/>
      <c r="O513" s="320"/>
    </row>
    <row r="514">
      <c r="A514" s="32">
        <f t="shared" si="1"/>
        <v>513</v>
      </c>
      <c r="B514" s="9" t="s">
        <v>1181</v>
      </c>
      <c r="C514" s="11" t="s">
        <v>1438</v>
      </c>
      <c r="D514" s="4" t="s">
        <v>1549</v>
      </c>
      <c r="E514" s="27">
        <f>VLOOKUP($C514,'U Fittings'!$E:$O,3,0)</f>
        <v>0.1842</v>
      </c>
      <c r="F514" s="27">
        <f>VLOOKUP($C514,'U Fittings'!$E:$O,2,0)</f>
        <v>224</v>
      </c>
      <c r="G514" s="27">
        <f>VLOOKUP($C514,'U Fittings'!$E:$O,11,0)</f>
        <v>224</v>
      </c>
      <c r="H514" s="320"/>
      <c r="I514" s="320"/>
      <c r="J514" s="320"/>
      <c r="K514" s="320"/>
      <c r="L514" s="320"/>
      <c r="M514" s="320"/>
      <c r="N514" s="320"/>
      <c r="O514" s="320"/>
    </row>
    <row r="515">
      <c r="A515" s="32">
        <f t="shared" si="1"/>
        <v>514</v>
      </c>
      <c r="B515" s="9" t="s">
        <v>1181</v>
      </c>
      <c r="C515" s="11" t="s">
        <v>1440</v>
      </c>
      <c r="D515" s="4" t="s">
        <v>1555</v>
      </c>
      <c r="E515" s="27">
        <f>VLOOKUP($C515,'U Fittings'!$E:$O,3,0)</f>
        <v>0.26869</v>
      </c>
      <c r="F515" s="27">
        <f>VLOOKUP($C515,'U Fittings'!$E:$O,2,0)</f>
        <v>296</v>
      </c>
      <c r="G515" s="27">
        <f>VLOOKUP($C515,'U Fittings'!$E:$O,11,0)</f>
        <v>296</v>
      </c>
      <c r="H515" s="320"/>
      <c r="I515" s="320"/>
      <c r="J515" s="320"/>
      <c r="K515" s="320"/>
      <c r="L515" s="320"/>
      <c r="M515" s="320"/>
      <c r="N515" s="320"/>
      <c r="O515" s="320"/>
    </row>
    <row r="516">
      <c r="A516" s="32">
        <f t="shared" si="1"/>
        <v>515</v>
      </c>
      <c r="B516" s="9" t="s">
        <v>1181</v>
      </c>
      <c r="C516" s="11" t="s">
        <v>1441</v>
      </c>
      <c r="D516" s="4" t="s">
        <v>1560</v>
      </c>
      <c r="E516" s="27">
        <f>VLOOKUP($C516,'U Fittings'!$E:$O,3,0)</f>
        <v>0.36604</v>
      </c>
      <c r="F516" s="27">
        <f>VLOOKUP($C516,'U Fittings'!$E:$O,2,0)</f>
        <v>438</v>
      </c>
      <c r="G516" s="27">
        <f>VLOOKUP($C516,'U Fittings'!$E:$O,11,0)</f>
        <v>438</v>
      </c>
      <c r="H516" s="320"/>
      <c r="I516" s="320"/>
      <c r="J516" s="320"/>
      <c r="K516" s="320"/>
      <c r="L516" s="320"/>
      <c r="M516" s="320"/>
      <c r="N516" s="320"/>
      <c r="O516" s="320"/>
    </row>
    <row r="517">
      <c r="A517" s="32">
        <f t="shared" si="1"/>
        <v>516</v>
      </c>
      <c r="B517" s="9" t="s">
        <v>1181</v>
      </c>
      <c r="C517" s="11" t="s">
        <v>1442</v>
      </c>
      <c r="D517" s="4" t="s">
        <v>1570</v>
      </c>
      <c r="E517" s="27">
        <f>VLOOKUP($C517,'U Fittings'!$E:$O,3,0)</f>
        <v>0.6015</v>
      </c>
      <c r="F517" s="27">
        <f>VLOOKUP($C517,'U Fittings'!$E:$O,2,0)</f>
        <v>668</v>
      </c>
      <c r="G517" s="27">
        <f>VLOOKUP($C517,'U Fittings'!$E:$O,11,0)</f>
        <v>668</v>
      </c>
      <c r="H517" s="320"/>
      <c r="I517" s="320"/>
      <c r="J517" s="320"/>
      <c r="K517" s="320"/>
      <c r="L517" s="320"/>
      <c r="M517" s="320"/>
      <c r="N517" s="320"/>
      <c r="O517" s="320"/>
    </row>
    <row r="518">
      <c r="A518" s="32">
        <f t="shared" si="1"/>
        <v>517</v>
      </c>
      <c r="B518" s="9" t="s">
        <v>1181</v>
      </c>
      <c r="C518" s="11" t="s">
        <v>1447</v>
      </c>
      <c r="D518" s="4" t="s">
        <v>1575</v>
      </c>
      <c r="E518" s="27">
        <f>VLOOKUP($C518,'U Fittings'!$E:$O,3,0)</f>
        <v>0.0712</v>
      </c>
      <c r="F518" s="27">
        <f>VLOOKUP($C518,'U Fittings'!$E:$O,2,0)</f>
        <v>84</v>
      </c>
      <c r="G518" s="27">
        <f>VLOOKUP($C518,'U Fittings'!$E:$O,11,0)</f>
        <v>84</v>
      </c>
      <c r="H518" s="320"/>
      <c r="I518" s="320"/>
      <c r="J518" s="320"/>
      <c r="K518" s="320"/>
      <c r="L518" s="320"/>
      <c r="M518" s="320"/>
      <c r="N518" s="320"/>
      <c r="O518" s="320"/>
    </row>
    <row r="519">
      <c r="A519" s="32">
        <f t="shared" si="1"/>
        <v>518</v>
      </c>
      <c r="B519" s="9" t="s">
        <v>1181</v>
      </c>
      <c r="C519" s="11" t="s">
        <v>1449</v>
      </c>
      <c r="D519" s="4" t="s">
        <v>1582</v>
      </c>
      <c r="E519" s="27">
        <f>VLOOKUP($C519,'U Fittings'!$E:$O,3,0)</f>
        <v>0.11456</v>
      </c>
      <c r="F519" s="27">
        <f>VLOOKUP($C519,'U Fittings'!$E:$O,2,0)</f>
        <v>130</v>
      </c>
      <c r="G519" s="27">
        <f>VLOOKUP($C519,'U Fittings'!$E:$O,11,0)</f>
        <v>130</v>
      </c>
      <c r="H519" s="320"/>
      <c r="I519" s="320"/>
      <c r="J519" s="320"/>
      <c r="K519" s="320"/>
      <c r="L519" s="320"/>
      <c r="M519" s="320"/>
      <c r="N519" s="320"/>
      <c r="O519" s="320"/>
    </row>
    <row r="520">
      <c r="A520" s="32">
        <f t="shared" si="1"/>
        <v>519</v>
      </c>
      <c r="B520" s="9" t="s">
        <v>1181</v>
      </c>
      <c r="C520" s="11" t="s">
        <v>1451</v>
      </c>
      <c r="D520" s="4" t="s">
        <v>1586</v>
      </c>
      <c r="E520" s="27">
        <f>VLOOKUP($C520,'U Fittings'!$E:$O,3,0)</f>
        <v>0.1816</v>
      </c>
      <c r="F520" s="27">
        <f>VLOOKUP($C520,'U Fittings'!$E:$O,2,0)</f>
        <v>236</v>
      </c>
      <c r="G520" s="27">
        <f>VLOOKUP($C520,'U Fittings'!$E:$O,11,0)</f>
        <v>236</v>
      </c>
      <c r="H520" s="320"/>
      <c r="I520" s="320"/>
      <c r="J520" s="320"/>
      <c r="K520" s="320"/>
      <c r="L520" s="320"/>
      <c r="M520" s="320"/>
      <c r="N520" s="320"/>
      <c r="O520" s="320"/>
    </row>
    <row r="521">
      <c r="A521" s="32">
        <f t="shared" si="1"/>
        <v>520</v>
      </c>
      <c r="B521" s="9" t="s">
        <v>1181</v>
      </c>
      <c r="C521" s="11" t="s">
        <v>1453</v>
      </c>
      <c r="D521" s="4" t="s">
        <v>1592</v>
      </c>
      <c r="E521" s="27">
        <f>VLOOKUP($C521,'U Fittings'!$E:$O,3,0)</f>
        <v>0.26</v>
      </c>
      <c r="F521" s="27">
        <f>VLOOKUP($C521,'U Fittings'!$E:$O,2,0)</f>
        <v>308</v>
      </c>
      <c r="G521" s="27">
        <f>VLOOKUP($C521,'U Fittings'!$E:$O,11,0)</f>
        <v>308</v>
      </c>
      <c r="H521" s="320"/>
      <c r="I521" s="320"/>
      <c r="J521" s="320"/>
      <c r="K521" s="320"/>
      <c r="L521" s="320"/>
      <c r="M521" s="320"/>
      <c r="N521" s="320"/>
      <c r="O521" s="320"/>
    </row>
    <row r="522">
      <c r="A522" s="32">
        <f t="shared" si="1"/>
        <v>521</v>
      </c>
      <c r="B522" s="9" t="s">
        <v>1181</v>
      </c>
      <c r="C522" s="11" t="s">
        <v>1454</v>
      </c>
      <c r="D522" s="4" t="s">
        <v>1598</v>
      </c>
      <c r="E522" s="27">
        <f>VLOOKUP($C522,'U Fittings'!$E:$O,3,0)</f>
        <v>0.39986</v>
      </c>
      <c r="F522" s="27">
        <f>VLOOKUP($C522,'U Fittings'!$E:$O,2,0)</f>
        <v>454</v>
      </c>
      <c r="G522" s="27">
        <f>VLOOKUP($C522,'U Fittings'!$E:$O,11,0)</f>
        <v>454</v>
      </c>
      <c r="H522" s="320"/>
      <c r="I522" s="320"/>
      <c r="J522" s="320"/>
      <c r="K522" s="320"/>
      <c r="L522" s="320"/>
      <c r="M522" s="320"/>
      <c r="N522" s="320"/>
      <c r="O522" s="320"/>
    </row>
    <row r="523">
      <c r="A523" s="32">
        <f t="shared" si="1"/>
        <v>522</v>
      </c>
      <c r="B523" s="9" t="s">
        <v>1181</v>
      </c>
      <c r="C523" s="11" t="s">
        <v>1455</v>
      </c>
      <c r="D523" s="4" t="s">
        <v>1606</v>
      </c>
      <c r="E523" s="27">
        <f>VLOOKUP($C523,'U Fittings'!$E:$O,3,0)</f>
        <v>0.6015</v>
      </c>
      <c r="F523" s="27">
        <f>VLOOKUP($C523,'U Fittings'!$E:$O,2,0)</f>
        <v>684</v>
      </c>
      <c r="G523" s="27">
        <f>VLOOKUP($C523,'U Fittings'!$E:$O,11,0)</f>
        <v>684</v>
      </c>
      <c r="H523" s="320"/>
      <c r="I523" s="320"/>
      <c r="J523" s="320"/>
      <c r="K523" s="320"/>
      <c r="L523" s="320"/>
      <c r="M523" s="320"/>
      <c r="N523" s="320"/>
      <c r="O523" s="320"/>
    </row>
    <row r="524">
      <c r="A524" s="32">
        <f t="shared" si="1"/>
        <v>523</v>
      </c>
      <c r="B524" s="9" t="s">
        <v>1181</v>
      </c>
      <c r="C524" s="11" t="s">
        <v>1457</v>
      </c>
      <c r="D524" s="4" t="s">
        <v>1610</v>
      </c>
      <c r="E524" s="27">
        <f>VLOOKUP($C524,'U Fittings'!$E:$O,3,0)</f>
        <v>0.07354</v>
      </c>
      <c r="F524" s="27">
        <f>VLOOKUP($C524,'U Fittings'!$E:$O,2,0)</f>
        <v>78</v>
      </c>
      <c r="G524" s="27">
        <f>VLOOKUP($C524,'U Fittings'!$E:$O,11,0)</f>
        <v>78</v>
      </c>
      <c r="H524" s="320"/>
      <c r="I524" s="320"/>
      <c r="J524" s="320"/>
      <c r="K524" s="320"/>
      <c r="L524" s="320"/>
      <c r="M524" s="320"/>
      <c r="N524" s="320"/>
      <c r="O524" s="320"/>
    </row>
    <row r="525">
      <c r="A525" s="32">
        <f t="shared" si="1"/>
        <v>524</v>
      </c>
      <c r="B525" s="9" t="s">
        <v>1181</v>
      </c>
      <c r="C525" s="11" t="s">
        <v>1460</v>
      </c>
      <c r="D525" s="4" t="s">
        <v>1615</v>
      </c>
      <c r="E525" s="27">
        <f>VLOOKUP($C525,'U Fittings'!$E:$O,3,0)</f>
        <v>0.11699</v>
      </c>
      <c r="F525" s="27">
        <f>VLOOKUP($C525,'U Fittings'!$E:$O,2,0)</f>
        <v>120</v>
      </c>
      <c r="G525" s="27">
        <f>VLOOKUP($C525,'U Fittings'!$E:$O,11,0)</f>
        <v>120</v>
      </c>
      <c r="H525" s="320"/>
      <c r="I525" s="320"/>
      <c r="J525" s="320"/>
      <c r="K525" s="320"/>
      <c r="L525" s="320"/>
      <c r="M525" s="320"/>
      <c r="N525" s="320"/>
      <c r="O525" s="320"/>
    </row>
    <row r="526">
      <c r="A526" s="32">
        <f t="shared" si="1"/>
        <v>525</v>
      </c>
      <c r="B526" s="9" t="s">
        <v>1181</v>
      </c>
      <c r="C526" s="11" t="s">
        <v>1461</v>
      </c>
      <c r="D526" s="4" t="s">
        <v>1622</v>
      </c>
      <c r="E526" s="27">
        <f>VLOOKUP($C526,'U Fittings'!$E:$O,3,0)</f>
        <v>0.19097</v>
      </c>
      <c r="F526" s="27">
        <f>VLOOKUP($C526,'U Fittings'!$E:$O,2,0)</f>
        <v>224</v>
      </c>
      <c r="G526" s="27">
        <f>VLOOKUP($C526,'U Fittings'!$E:$O,11,0)</f>
        <v>224</v>
      </c>
      <c r="H526" s="320"/>
      <c r="I526" s="320"/>
      <c r="J526" s="320"/>
      <c r="K526" s="320"/>
      <c r="L526" s="320"/>
      <c r="M526" s="320"/>
      <c r="N526" s="320"/>
      <c r="O526" s="320"/>
    </row>
    <row r="527">
      <c r="A527" s="32">
        <f t="shared" si="1"/>
        <v>526</v>
      </c>
      <c r="B527" s="9" t="s">
        <v>1181</v>
      </c>
      <c r="C527" s="11" t="s">
        <v>1463</v>
      </c>
      <c r="D527" s="4" t="s">
        <v>1629</v>
      </c>
      <c r="E527" s="27">
        <f>VLOOKUP($C527,'U Fittings'!$E:$O,3,0)</f>
        <v>0.27331</v>
      </c>
      <c r="F527" s="27">
        <f>VLOOKUP($C527,'U Fittings'!$E:$O,2,0)</f>
        <v>296</v>
      </c>
      <c r="G527" s="27">
        <f>VLOOKUP($C527,'U Fittings'!$E:$O,11,0)</f>
        <v>296</v>
      </c>
      <c r="H527" s="320"/>
      <c r="I527" s="320"/>
      <c r="J527" s="320"/>
      <c r="K527" s="320"/>
      <c r="L527" s="320"/>
      <c r="M527" s="320"/>
      <c r="N527" s="320"/>
      <c r="O527" s="320"/>
    </row>
    <row r="528">
      <c r="A528" s="32">
        <f t="shared" si="1"/>
        <v>527</v>
      </c>
      <c r="B528" s="9" t="s">
        <v>1181</v>
      </c>
      <c r="C528" s="11" t="s">
        <v>1465</v>
      </c>
      <c r="D528" s="4" t="s">
        <v>1634</v>
      </c>
      <c r="E528" s="27">
        <f>VLOOKUP($C528,'U Fittings'!$E:$O,3,0)</f>
        <v>0.37496</v>
      </c>
      <c r="F528" s="27">
        <f>VLOOKUP($C528,'U Fittings'!$E:$O,2,0)</f>
        <v>438</v>
      </c>
      <c r="G528" s="27">
        <f>VLOOKUP($C528,'U Fittings'!$E:$O,11,0)</f>
        <v>438</v>
      </c>
      <c r="H528" s="320"/>
      <c r="I528" s="320"/>
      <c r="J528" s="320"/>
      <c r="K528" s="320"/>
      <c r="L528" s="320"/>
      <c r="M528" s="320"/>
      <c r="N528" s="320"/>
      <c r="O528" s="320"/>
    </row>
    <row r="529">
      <c r="A529" s="32">
        <f t="shared" si="1"/>
        <v>528</v>
      </c>
      <c r="B529" s="9" t="s">
        <v>1181</v>
      </c>
      <c r="C529" s="11" t="s">
        <v>1466</v>
      </c>
      <c r="D529" s="4" t="s">
        <v>1639</v>
      </c>
      <c r="E529" s="27">
        <f>VLOOKUP($C529,'U Fittings'!$E:$O,3,0)</f>
        <v>0.6015</v>
      </c>
      <c r="F529" s="27">
        <f>VLOOKUP($C529,'U Fittings'!$E:$O,2,0)</f>
        <v>668</v>
      </c>
      <c r="G529" s="27">
        <f>VLOOKUP($C529,'U Fittings'!$E:$O,11,0)</f>
        <v>668</v>
      </c>
      <c r="H529" s="320"/>
      <c r="I529" s="320"/>
      <c r="J529" s="320"/>
      <c r="K529" s="320"/>
      <c r="L529" s="320"/>
      <c r="M529" s="320"/>
      <c r="N529" s="320"/>
      <c r="O529" s="320"/>
    </row>
    <row r="530">
      <c r="A530" s="32">
        <f t="shared" si="1"/>
        <v>529</v>
      </c>
      <c r="B530" s="9" t="s">
        <v>1181</v>
      </c>
      <c r="C530" s="11" t="s">
        <v>1470</v>
      </c>
      <c r="D530" s="4" t="s">
        <v>1539</v>
      </c>
      <c r="E530" s="27">
        <f>VLOOKUP($C530,'U Fittings'!$E:$O,3,0)</f>
        <v>0.11225</v>
      </c>
      <c r="F530" s="27">
        <f>VLOOKUP($C530,'U Fittings'!$E:$O,2,0)</f>
        <v>132</v>
      </c>
      <c r="G530" s="27">
        <f>VLOOKUP($C530,'U Fittings'!$E:$O,11,0)</f>
        <v>132</v>
      </c>
      <c r="H530" s="320"/>
      <c r="I530" s="320"/>
      <c r="J530" s="320"/>
      <c r="K530" s="320"/>
      <c r="L530" s="320"/>
      <c r="M530" s="320"/>
      <c r="N530" s="320"/>
      <c r="O530" s="320"/>
    </row>
    <row r="531">
      <c r="A531" s="32">
        <f t="shared" si="1"/>
        <v>530</v>
      </c>
      <c r="B531" s="9" t="s">
        <v>1181</v>
      </c>
      <c r="C531" s="11" t="s">
        <v>1472</v>
      </c>
      <c r="D531" s="4" t="s">
        <v>1549</v>
      </c>
      <c r="E531" s="27">
        <f>VLOOKUP($C531,'U Fittings'!$E:$O,3,0)</f>
        <v>0.173</v>
      </c>
      <c r="F531" s="27">
        <f>VLOOKUP($C531,'U Fittings'!$E:$O,2,0)</f>
        <v>234</v>
      </c>
      <c r="G531" s="27">
        <f>VLOOKUP($C531,'U Fittings'!$E:$O,11,0)</f>
        <v>234</v>
      </c>
      <c r="H531" s="320"/>
      <c r="I531" s="320"/>
      <c r="J531" s="320"/>
      <c r="K531" s="320"/>
      <c r="L531" s="320"/>
      <c r="M531" s="320"/>
      <c r="N531" s="320"/>
      <c r="O531" s="320"/>
    </row>
    <row r="532">
      <c r="A532" s="32">
        <f t="shared" si="1"/>
        <v>531</v>
      </c>
      <c r="B532" s="9" t="s">
        <v>1181</v>
      </c>
      <c r="C532" s="11" t="s">
        <v>1473</v>
      </c>
      <c r="D532" s="4" t="s">
        <v>1555</v>
      </c>
      <c r="E532" s="27">
        <f>VLOOKUP($C532,'U Fittings'!$E:$O,3,0)</f>
        <v>0.27825</v>
      </c>
      <c r="F532" s="27">
        <f>VLOOKUP($C532,'U Fittings'!$E:$O,2,0)</f>
        <v>308</v>
      </c>
      <c r="G532" s="27">
        <f>VLOOKUP($C532,'U Fittings'!$E:$O,11,0)</f>
        <v>308</v>
      </c>
      <c r="H532" s="320"/>
      <c r="I532" s="320"/>
      <c r="J532" s="320"/>
      <c r="K532" s="320"/>
      <c r="L532" s="320"/>
      <c r="M532" s="320"/>
      <c r="N532" s="320"/>
      <c r="O532" s="320"/>
    </row>
    <row r="533">
      <c r="A533" s="32">
        <f t="shared" si="1"/>
        <v>532</v>
      </c>
      <c r="B533" s="9" t="s">
        <v>1181</v>
      </c>
      <c r="C533" s="11" t="s">
        <v>1474</v>
      </c>
      <c r="D533" s="4" t="s">
        <v>1560</v>
      </c>
      <c r="E533" s="27">
        <f>VLOOKUP($C533,'U Fittings'!$E:$O,3,0)</f>
        <v>0.44675</v>
      </c>
      <c r="F533" s="27">
        <f>VLOOKUP($C533,'U Fittings'!$E:$O,2,0)</f>
        <v>454</v>
      </c>
      <c r="G533" s="27">
        <f>VLOOKUP($C533,'U Fittings'!$E:$O,11,0)</f>
        <v>454</v>
      </c>
      <c r="H533" s="320"/>
      <c r="I533" s="320"/>
      <c r="J533" s="320"/>
      <c r="K533" s="320"/>
      <c r="L533" s="320"/>
      <c r="M533" s="320"/>
      <c r="N533" s="320"/>
      <c r="O533" s="320"/>
    </row>
    <row r="534">
      <c r="A534" s="32">
        <f t="shared" si="1"/>
        <v>533</v>
      </c>
      <c r="B534" s="9" t="s">
        <v>1181</v>
      </c>
      <c r="C534" s="11" t="s">
        <v>1475</v>
      </c>
      <c r="D534" s="4" t="s">
        <v>1570</v>
      </c>
      <c r="E534" s="27">
        <f>VLOOKUP($C534,'U Fittings'!$E:$O,3,0)</f>
        <v>0</v>
      </c>
      <c r="F534" s="27">
        <f>VLOOKUP($C534,'U Fittings'!$E:$O,2,0)</f>
        <v>684</v>
      </c>
      <c r="G534" s="27">
        <f>VLOOKUP($C534,'U Fittings'!$E:$O,11,0)</f>
        <v>684</v>
      </c>
      <c r="H534" s="320"/>
      <c r="I534" s="320"/>
      <c r="J534" s="320"/>
      <c r="K534" s="320"/>
      <c r="L534" s="320"/>
      <c r="M534" s="320"/>
      <c r="N534" s="320"/>
      <c r="O534" s="320"/>
    </row>
    <row r="535">
      <c r="A535" s="32">
        <f t="shared" si="1"/>
        <v>534</v>
      </c>
      <c r="B535" s="9" t="s">
        <v>1181</v>
      </c>
      <c r="C535" s="11" t="s">
        <v>1476</v>
      </c>
      <c r="D535" s="4" t="s">
        <v>1615</v>
      </c>
      <c r="E535" s="27">
        <f>VLOOKUP($C535,'U Fittings'!$E:$O,3,0)</f>
        <v>0.112</v>
      </c>
      <c r="F535" s="27">
        <f>VLOOKUP($C535,'U Fittings'!$E:$O,2,0)</f>
        <v>132</v>
      </c>
      <c r="G535" s="27">
        <f>VLOOKUP($C535,'U Fittings'!$E:$O,11,0)</f>
        <v>132</v>
      </c>
      <c r="H535" s="320"/>
      <c r="I535" s="320"/>
      <c r="J535" s="320"/>
      <c r="K535" s="320"/>
      <c r="L535" s="320"/>
      <c r="M535" s="320"/>
      <c r="N535" s="320"/>
      <c r="O535" s="320"/>
    </row>
    <row r="536">
      <c r="A536" s="32">
        <f t="shared" si="1"/>
        <v>535</v>
      </c>
      <c r="B536" s="9" t="s">
        <v>1181</v>
      </c>
      <c r="C536" s="11" t="s">
        <v>1479</v>
      </c>
      <c r="D536" s="4" t="s">
        <v>1622</v>
      </c>
      <c r="E536" s="27">
        <f>VLOOKUP($C536,'U Fittings'!$E:$O,3,0)</f>
        <v>0.1728</v>
      </c>
      <c r="F536" s="27">
        <f>VLOOKUP($C536,'U Fittings'!$E:$O,2,0)</f>
        <v>234</v>
      </c>
      <c r="G536" s="27">
        <f>VLOOKUP($C536,'U Fittings'!$E:$O,11,0)</f>
        <v>234</v>
      </c>
      <c r="H536" s="320"/>
      <c r="I536" s="320"/>
      <c r="J536" s="320"/>
      <c r="K536" s="320"/>
      <c r="L536" s="320"/>
      <c r="M536" s="320"/>
      <c r="N536" s="320"/>
      <c r="O536" s="320"/>
    </row>
    <row r="537">
      <c r="A537" s="32">
        <f t="shared" si="1"/>
        <v>536</v>
      </c>
      <c r="B537" s="9" t="s">
        <v>1181</v>
      </c>
      <c r="C537" s="11" t="s">
        <v>1481</v>
      </c>
      <c r="D537" s="4" t="s">
        <v>1629</v>
      </c>
      <c r="E537" s="27">
        <f>VLOOKUP($C537,'U Fittings'!$E:$O,3,0)</f>
        <v>0.2769</v>
      </c>
      <c r="F537" s="27">
        <f>VLOOKUP($C537,'U Fittings'!$E:$O,2,0)</f>
        <v>308</v>
      </c>
      <c r="G537" s="27">
        <f>VLOOKUP($C537,'U Fittings'!$E:$O,11,0)</f>
        <v>308</v>
      </c>
      <c r="H537" s="320"/>
      <c r="I537" s="320"/>
      <c r="J537" s="320"/>
      <c r="K537" s="320"/>
      <c r="L537" s="320"/>
      <c r="M537" s="320"/>
      <c r="N537" s="320"/>
      <c r="O537" s="320"/>
    </row>
    <row r="538">
      <c r="A538" s="32">
        <f t="shared" si="1"/>
        <v>537</v>
      </c>
      <c r="B538" s="9" t="s">
        <v>1181</v>
      </c>
      <c r="C538" s="11" t="s">
        <v>1482</v>
      </c>
      <c r="D538" s="4" t="s">
        <v>1634</v>
      </c>
      <c r="E538" s="27">
        <f>VLOOKUP($C538,'U Fittings'!$E:$O,3,0)</f>
        <v>0.4465</v>
      </c>
      <c r="F538" s="27">
        <f>VLOOKUP($C538,'U Fittings'!$E:$O,2,0)</f>
        <v>454</v>
      </c>
      <c r="G538" s="27">
        <f>VLOOKUP($C538,'U Fittings'!$E:$O,11,0)</f>
        <v>454</v>
      </c>
      <c r="H538" s="320"/>
      <c r="I538" s="320"/>
      <c r="J538" s="320"/>
      <c r="K538" s="320"/>
      <c r="L538" s="320"/>
      <c r="M538" s="320"/>
      <c r="N538" s="320"/>
      <c r="O538" s="320"/>
    </row>
    <row r="539">
      <c r="A539" s="32">
        <f t="shared" si="1"/>
        <v>538</v>
      </c>
      <c r="B539" s="9" t="s">
        <v>1181</v>
      </c>
      <c r="C539" s="11" t="s">
        <v>1484</v>
      </c>
      <c r="D539" s="4" t="s">
        <v>1639</v>
      </c>
      <c r="E539" s="27">
        <f>VLOOKUP($C539,'U Fittings'!$E:$O,3,0)</f>
        <v>0</v>
      </c>
      <c r="F539" s="27">
        <f>VLOOKUP($C539,'U Fittings'!$E:$O,2,0)</f>
        <v>684</v>
      </c>
      <c r="G539" s="27">
        <f>VLOOKUP($C539,'U Fittings'!$E:$O,11,0)</f>
        <v>684</v>
      </c>
      <c r="H539" s="320"/>
      <c r="I539" s="320"/>
      <c r="J539" s="320"/>
      <c r="K539" s="320"/>
      <c r="L539" s="320"/>
      <c r="M539" s="320"/>
      <c r="N539" s="320"/>
      <c r="O539" s="320"/>
    </row>
    <row r="540">
      <c r="A540" s="32">
        <f t="shared" si="1"/>
        <v>539</v>
      </c>
      <c r="B540" s="9" t="s">
        <v>1181</v>
      </c>
      <c r="C540" s="11" t="s">
        <v>1488</v>
      </c>
      <c r="D540" s="4" t="s">
        <v>1684</v>
      </c>
      <c r="E540" s="27">
        <f>VLOOKUP($C540,'U Fittings'!$E:$O,3,0)</f>
        <v>0.0713</v>
      </c>
      <c r="F540" s="27">
        <f>VLOOKUP($C540,'U Fittings'!$E:$O,2,0)</f>
        <v>46</v>
      </c>
      <c r="G540" s="27">
        <f>VLOOKUP($C540,'U Fittings'!$E:$O,11,0)</f>
        <v>46</v>
      </c>
      <c r="H540" s="320"/>
      <c r="I540" s="320"/>
      <c r="J540" s="320"/>
      <c r="K540" s="320"/>
      <c r="L540" s="320"/>
      <c r="M540" s="320"/>
      <c r="N540" s="320"/>
      <c r="O540" s="320"/>
    </row>
    <row r="541">
      <c r="A541" s="32">
        <f t="shared" si="1"/>
        <v>540</v>
      </c>
      <c r="B541" s="9" t="s">
        <v>1181</v>
      </c>
      <c r="C541" s="11" t="s">
        <v>1491</v>
      </c>
      <c r="D541" s="4" t="s">
        <v>1692</v>
      </c>
      <c r="E541" s="27">
        <f>VLOOKUP($C541,'U Fittings'!$E:$O,3,0)</f>
        <v>0.0785</v>
      </c>
      <c r="F541" s="27">
        <f>VLOOKUP($C541,'U Fittings'!$E:$O,2,0)</f>
        <v>52</v>
      </c>
      <c r="G541" s="27">
        <f>VLOOKUP($C541,'U Fittings'!$E:$O,11,0)</f>
        <v>52</v>
      </c>
      <c r="H541" s="320"/>
      <c r="I541" s="320"/>
      <c r="J541" s="320"/>
      <c r="K541" s="320"/>
      <c r="L541" s="320"/>
      <c r="M541" s="320"/>
      <c r="N541" s="320"/>
      <c r="O541" s="320"/>
    </row>
    <row r="542">
      <c r="A542" s="32">
        <f t="shared" si="1"/>
        <v>541</v>
      </c>
      <c r="B542" s="9" t="s">
        <v>1181</v>
      </c>
      <c r="C542" s="11" t="s">
        <v>1493</v>
      </c>
      <c r="D542" s="4" t="s">
        <v>1701</v>
      </c>
      <c r="E542" s="27">
        <f>VLOOKUP($C542,'U Fittings'!$E:$O,3,0)</f>
        <v>0.1111</v>
      </c>
      <c r="F542" s="27">
        <f>VLOOKUP($C542,'U Fittings'!$E:$O,2,0)</f>
        <v>68</v>
      </c>
      <c r="G542" s="27">
        <f>VLOOKUP($C542,'U Fittings'!$E:$O,11,0)</f>
        <v>68</v>
      </c>
      <c r="H542" s="320"/>
      <c r="I542" s="320"/>
      <c r="J542" s="320"/>
      <c r="K542" s="320"/>
      <c r="L542" s="320"/>
      <c r="M542" s="320"/>
      <c r="N542" s="320"/>
      <c r="O542" s="320"/>
    </row>
    <row r="543">
      <c r="A543" s="32">
        <f t="shared" si="1"/>
        <v>542</v>
      </c>
      <c r="B543" s="9" t="s">
        <v>1181</v>
      </c>
      <c r="C543" s="11" t="s">
        <v>1494</v>
      </c>
      <c r="D543" s="4" t="s">
        <v>1709</v>
      </c>
      <c r="E543" s="27">
        <f>VLOOKUP($C543,'U Fittings'!$E:$O,3,0)</f>
        <v>0.127</v>
      </c>
      <c r="F543" s="27">
        <f>VLOOKUP($C543,'U Fittings'!$E:$O,2,0)</f>
        <v>82</v>
      </c>
      <c r="G543" s="27">
        <f>VLOOKUP($C543,'U Fittings'!$E:$O,11,0)</f>
        <v>82</v>
      </c>
      <c r="H543" s="320"/>
      <c r="I543" s="320"/>
      <c r="J543" s="320"/>
      <c r="K543" s="320"/>
      <c r="L543" s="320"/>
      <c r="M543" s="320"/>
      <c r="N543" s="320"/>
      <c r="O543" s="320"/>
    </row>
    <row r="544">
      <c r="A544" s="32">
        <f t="shared" si="1"/>
        <v>543</v>
      </c>
      <c r="B544" s="9" t="s">
        <v>1181</v>
      </c>
      <c r="C544" s="11" t="s">
        <v>1496</v>
      </c>
      <c r="D544" s="4" t="s">
        <v>1720</v>
      </c>
      <c r="E544" s="27">
        <f>VLOOKUP($C544,'U Fittings'!$E:$O,3,0)</f>
        <v>0.206</v>
      </c>
      <c r="F544" s="27">
        <f>VLOOKUP($C544,'U Fittings'!$E:$O,2,0)</f>
        <v>124</v>
      </c>
      <c r="G544" s="27">
        <f>VLOOKUP($C544,'U Fittings'!$E:$O,11,0)</f>
        <v>124</v>
      </c>
      <c r="H544" s="320"/>
      <c r="I544" s="320"/>
      <c r="J544" s="320"/>
      <c r="K544" s="320"/>
      <c r="L544" s="320"/>
      <c r="M544" s="320"/>
      <c r="N544" s="320"/>
      <c r="O544" s="320"/>
    </row>
    <row r="545">
      <c r="A545" s="32">
        <f t="shared" si="1"/>
        <v>544</v>
      </c>
      <c r="B545" s="9" t="s">
        <v>1181</v>
      </c>
      <c r="C545" s="11" t="s">
        <v>1500</v>
      </c>
      <c r="D545" s="4" t="s">
        <v>1725</v>
      </c>
      <c r="E545" s="27">
        <f>VLOOKUP($C545,'U Fittings'!$E:$O,3,0)</f>
        <v>0.0708</v>
      </c>
      <c r="F545" s="27">
        <f>VLOOKUP($C545,'U Fittings'!$E:$O,2,0)</f>
        <v>43.7</v>
      </c>
      <c r="G545" s="27">
        <f>VLOOKUP($C545,'U Fittings'!$E:$O,11,0)</f>
        <v>43.7</v>
      </c>
      <c r="H545" s="320"/>
      <c r="I545" s="320"/>
      <c r="J545" s="320"/>
      <c r="K545" s="320"/>
      <c r="L545" s="320"/>
      <c r="M545" s="320"/>
      <c r="N545" s="320"/>
      <c r="O545" s="320"/>
    </row>
    <row r="546">
      <c r="A546" s="32">
        <f t="shared" si="1"/>
        <v>545</v>
      </c>
      <c r="B546" s="9" t="s">
        <v>1181</v>
      </c>
      <c r="C546" s="11" t="s">
        <v>1505</v>
      </c>
      <c r="D546" s="4" t="s">
        <v>1737</v>
      </c>
      <c r="E546" s="27">
        <f>VLOOKUP($C546,'U Fittings'!$E:$O,3,0)</f>
        <v>0.0765</v>
      </c>
      <c r="F546" s="27">
        <f>VLOOKUP($C546,'U Fittings'!$E:$O,2,0)</f>
        <v>49.4</v>
      </c>
      <c r="G546" s="27">
        <f>VLOOKUP($C546,'U Fittings'!$E:$O,11,0)</f>
        <v>49.4</v>
      </c>
      <c r="H546" s="320"/>
      <c r="I546" s="320"/>
      <c r="J546" s="320"/>
      <c r="K546" s="320"/>
      <c r="L546" s="320"/>
      <c r="M546" s="320"/>
      <c r="N546" s="320"/>
      <c r="O546" s="320"/>
    </row>
    <row r="547">
      <c r="A547" s="32">
        <f t="shared" si="1"/>
        <v>546</v>
      </c>
      <c r="B547" s="9" t="s">
        <v>1181</v>
      </c>
      <c r="C547" s="11" t="s">
        <v>1507</v>
      </c>
      <c r="D547" s="4" t="s">
        <v>1748</v>
      </c>
      <c r="E547" s="27">
        <f>VLOOKUP($C547,'U Fittings'!$E:$O,3,0)</f>
        <v>0.11425</v>
      </c>
      <c r="F547" s="27">
        <f>VLOOKUP($C547,'U Fittings'!$E:$O,2,0)</f>
        <v>70.3</v>
      </c>
      <c r="G547" s="27">
        <f>VLOOKUP($C547,'U Fittings'!$E:$O,11,0)</f>
        <v>70.3</v>
      </c>
      <c r="H547" s="320"/>
      <c r="I547" s="320"/>
      <c r="J547" s="320"/>
      <c r="K547" s="320"/>
      <c r="L547" s="320"/>
      <c r="M547" s="320"/>
      <c r="N547" s="320"/>
      <c r="O547" s="320"/>
    </row>
    <row r="548">
      <c r="A548" s="32">
        <f t="shared" si="1"/>
        <v>547</v>
      </c>
      <c r="B548" s="9" t="s">
        <v>1181</v>
      </c>
      <c r="C548" s="11" t="s">
        <v>1508</v>
      </c>
      <c r="D548" s="4" t="s">
        <v>1754</v>
      </c>
      <c r="E548" s="27">
        <f>VLOOKUP($C548,'U Fittings'!$E:$O,3,0)</f>
        <v>0.161</v>
      </c>
      <c r="F548" s="27">
        <f>VLOOKUP($C548,'U Fittings'!$E:$O,2,0)</f>
        <v>93.1</v>
      </c>
      <c r="G548" s="27">
        <f>VLOOKUP($C548,'U Fittings'!$E:$O,11,0)</f>
        <v>93.1</v>
      </c>
      <c r="H548" s="320"/>
      <c r="I548" s="320"/>
      <c r="J548" s="320"/>
      <c r="K548" s="320"/>
      <c r="L548" s="320"/>
      <c r="M548" s="320"/>
      <c r="N548" s="320"/>
      <c r="O548" s="320"/>
    </row>
    <row r="549">
      <c r="A549" s="32">
        <f t="shared" si="1"/>
        <v>548</v>
      </c>
      <c r="B549" s="9" t="s">
        <v>1181</v>
      </c>
      <c r="C549" s="11" t="s">
        <v>1510</v>
      </c>
      <c r="D549" s="4" t="s">
        <v>1756</v>
      </c>
      <c r="E549" s="27">
        <f>VLOOKUP($C549,'U Fittings'!$E:$O,3,0)</f>
        <v>0.223</v>
      </c>
      <c r="F549" s="27">
        <f>VLOOKUP($C549,'U Fittings'!$E:$O,2,0)</f>
        <v>131.1</v>
      </c>
      <c r="G549" s="27">
        <f>VLOOKUP($C549,'U Fittings'!$E:$O,11,0)</f>
        <v>131.1</v>
      </c>
      <c r="H549" s="320"/>
      <c r="I549" s="320"/>
      <c r="J549" s="320"/>
      <c r="K549" s="320"/>
      <c r="L549" s="320"/>
      <c r="M549" s="320"/>
      <c r="N549" s="320"/>
      <c r="O549" s="320"/>
    </row>
    <row r="550">
      <c r="A550" s="32">
        <f t="shared" si="1"/>
        <v>549</v>
      </c>
      <c r="B550" s="9" t="s">
        <v>1181</v>
      </c>
      <c r="C550" s="11" t="s">
        <v>1511</v>
      </c>
      <c r="D550" s="4" t="s">
        <v>1757</v>
      </c>
      <c r="E550" s="27">
        <f>VLOOKUP($C550,'U Fittings'!$E:$O,3,0)</f>
        <v>0.714</v>
      </c>
      <c r="F550" s="27">
        <f>VLOOKUP($C550,'U Fittings'!$E:$O,2,0)</f>
        <v>393.3</v>
      </c>
      <c r="G550" s="27">
        <f>VLOOKUP($C550,'U Fittings'!$E:$O,11,0)</f>
        <v>393.3</v>
      </c>
      <c r="H550" s="320"/>
      <c r="I550" s="320"/>
      <c r="J550" s="320"/>
      <c r="K550" s="320"/>
      <c r="L550" s="320"/>
      <c r="M550" s="320"/>
      <c r="N550" s="320"/>
      <c r="O550" s="320"/>
    </row>
    <row r="551">
      <c r="A551" s="32">
        <f t="shared" si="1"/>
        <v>550</v>
      </c>
      <c r="B551" s="9" t="s">
        <v>1181</v>
      </c>
      <c r="C551" s="11" t="s">
        <v>1513</v>
      </c>
      <c r="D551" s="4" t="s">
        <v>1758</v>
      </c>
      <c r="E551" s="27">
        <f>VLOOKUP($C551,'U Fittings'!$E:$O,3,0)</f>
        <v>1.217</v>
      </c>
      <c r="F551" s="27">
        <f>VLOOKUP($C551,'U Fittings'!$E:$O,2,0)</f>
        <v>663.1</v>
      </c>
      <c r="G551" s="27">
        <f>VLOOKUP($C551,'U Fittings'!$E:$O,11,0)</f>
        <v>663.1</v>
      </c>
      <c r="H551" s="320"/>
      <c r="I551" s="320"/>
      <c r="J551" s="320"/>
      <c r="K551" s="320"/>
      <c r="L551" s="320"/>
      <c r="M551" s="320"/>
      <c r="N551" s="320"/>
      <c r="O551" s="320"/>
    </row>
    <row r="552">
      <c r="A552" s="32">
        <f t="shared" si="1"/>
        <v>551</v>
      </c>
      <c r="B552" s="9" t="s">
        <v>1181</v>
      </c>
      <c r="C552" s="11" t="s">
        <v>1516</v>
      </c>
      <c r="D552" s="4" t="s">
        <v>1759</v>
      </c>
      <c r="E552" s="27">
        <f>VLOOKUP($C552,'U Fittings'!$E:$O,3,0)</f>
        <v>2.126</v>
      </c>
      <c r="F552" s="27">
        <f>VLOOKUP($C552,'U Fittings'!$E:$O,2,0)</f>
        <v>1198</v>
      </c>
      <c r="G552" s="27">
        <f>VLOOKUP($C552,'U Fittings'!$E:$O,11,0)</f>
        <v>1198</v>
      </c>
      <c r="H552" s="320"/>
      <c r="I552" s="320"/>
      <c r="J552" s="320"/>
      <c r="K552" s="320"/>
      <c r="L552" s="320"/>
      <c r="M552" s="320"/>
      <c r="N552" s="320"/>
      <c r="O552" s="320"/>
    </row>
    <row r="553">
      <c r="A553" s="32">
        <f t="shared" si="1"/>
        <v>552</v>
      </c>
      <c r="B553" s="9" t="s">
        <v>1181</v>
      </c>
      <c r="C553" s="11" t="s">
        <v>501</v>
      </c>
      <c r="D553" s="4" t="s">
        <v>1760</v>
      </c>
      <c r="E553" s="27">
        <f>VLOOKUP($C553,'U Fittings'!$E:$O,3,0)</f>
        <v>0.044</v>
      </c>
      <c r="F553" s="27">
        <f>VLOOKUP($C553,'U Fittings'!$E:$O,2,0)</f>
        <v>88</v>
      </c>
      <c r="G553" s="27" t="str">
        <f>VLOOKUP($C553,'U Fittings'!$E:$O,11,0)</f>
        <v>#REF!</v>
      </c>
      <c r="H553" s="320"/>
      <c r="I553" s="320"/>
      <c r="J553" s="320"/>
      <c r="K553" s="320"/>
      <c r="L553" s="320"/>
      <c r="M553" s="320"/>
      <c r="N553" s="320"/>
      <c r="O553" s="320"/>
    </row>
    <row r="554">
      <c r="A554" s="32">
        <f t="shared" si="1"/>
        <v>553</v>
      </c>
      <c r="B554" s="9" t="s">
        <v>1181</v>
      </c>
      <c r="C554" s="11" t="s">
        <v>502</v>
      </c>
      <c r="D554" s="4" t="s">
        <v>1761</v>
      </c>
      <c r="E554" s="27">
        <f>VLOOKUP($C554,'U Fittings'!$E:$O,3,0)</f>
        <v>0.06112</v>
      </c>
      <c r="F554" s="27">
        <f>VLOOKUP($C554,'U Fittings'!$E:$O,2,0)</f>
        <v>108</v>
      </c>
      <c r="G554" s="27" t="str">
        <f>VLOOKUP($C554,'U Fittings'!$E:$O,11,0)</f>
        <v>#REF!</v>
      </c>
      <c r="H554" s="320"/>
      <c r="I554" s="320"/>
      <c r="J554" s="320"/>
      <c r="K554" s="320"/>
      <c r="L554" s="320"/>
      <c r="M554" s="320"/>
      <c r="N554" s="320"/>
      <c r="O554" s="320"/>
    </row>
    <row r="555">
      <c r="A555" s="32">
        <f t="shared" si="1"/>
        <v>554</v>
      </c>
      <c r="B555" s="9" t="s">
        <v>1181</v>
      </c>
      <c r="C555" s="11" t="s">
        <v>503</v>
      </c>
      <c r="D555" s="4" t="s">
        <v>1762</v>
      </c>
      <c r="E555" s="27">
        <f>VLOOKUP($C555,'U Fittings'!$E:$O,3,0)</f>
        <v>0.09</v>
      </c>
      <c r="F555" s="27">
        <f>VLOOKUP($C555,'U Fittings'!$E:$O,2,0)</f>
        <v>138</v>
      </c>
      <c r="G555" s="27" t="str">
        <f>VLOOKUP($C555,'U Fittings'!$E:$O,11,0)</f>
        <v>#REF!</v>
      </c>
      <c r="H555" s="320"/>
      <c r="I555" s="320"/>
      <c r="J555" s="320"/>
      <c r="K555" s="320"/>
      <c r="L555" s="320"/>
      <c r="M555" s="320"/>
      <c r="N555" s="320"/>
      <c r="O555" s="320"/>
    </row>
    <row r="556">
      <c r="A556" s="32">
        <f t="shared" si="1"/>
        <v>555</v>
      </c>
      <c r="B556" s="9" t="s">
        <v>1181</v>
      </c>
      <c r="C556" s="11" t="s">
        <v>513</v>
      </c>
      <c r="D556" s="4" t="s">
        <v>1763</v>
      </c>
      <c r="E556" s="27">
        <f>VLOOKUP($C556,'U Fittings'!$E:$O,3,0)</f>
        <v>0.0865</v>
      </c>
      <c r="F556" s="27">
        <f>VLOOKUP($C556,'U Fittings'!$E:$O,2,0)</f>
        <v>204</v>
      </c>
      <c r="G556" s="27" t="str">
        <f>VLOOKUP($C556,'U Fittings'!$E:$O,11,0)</f>
        <v>#REF!</v>
      </c>
      <c r="H556" s="320"/>
      <c r="I556" s="320"/>
      <c r="J556" s="320"/>
      <c r="K556" s="320"/>
      <c r="L556" s="320"/>
      <c r="M556" s="320"/>
      <c r="N556" s="320"/>
      <c r="O556" s="320"/>
    </row>
    <row r="557">
      <c r="A557" s="32">
        <f t="shared" si="1"/>
        <v>556</v>
      </c>
      <c r="B557" s="9" t="s">
        <v>1181</v>
      </c>
      <c r="C557" s="11" t="s">
        <v>1553</v>
      </c>
      <c r="D557" s="4" t="s">
        <v>1764</v>
      </c>
      <c r="E557" s="27">
        <f>VLOOKUP($C557,'U Fittings'!$E:$O,3,0)</f>
        <v>0.0588</v>
      </c>
      <c r="F557" s="27">
        <f>VLOOKUP($C557,'U Fittings'!$E:$O,2,0)</f>
        <v>34</v>
      </c>
      <c r="G557" s="27">
        <f>VLOOKUP($C557,'U Fittings'!$E:$O,11,0)</f>
        <v>34</v>
      </c>
      <c r="H557" s="320"/>
      <c r="I557" s="320"/>
      <c r="J557" s="320"/>
      <c r="K557" s="320"/>
      <c r="L557" s="320"/>
      <c r="M557" s="320"/>
      <c r="N557" s="320"/>
      <c r="O557" s="320"/>
    </row>
    <row r="558">
      <c r="A558" s="32">
        <f t="shared" si="1"/>
        <v>557</v>
      </c>
      <c r="B558" s="9" t="s">
        <v>1181</v>
      </c>
      <c r="C558" s="11" t="s">
        <v>1563</v>
      </c>
      <c r="D558" s="4" t="s">
        <v>1765</v>
      </c>
      <c r="E558" s="27">
        <f>VLOOKUP($C558,'U Fittings'!$E:$O,3,0)</f>
        <v>0.1035</v>
      </c>
      <c r="F558" s="27">
        <f>VLOOKUP($C558,'U Fittings'!$E:$O,2,0)</f>
        <v>58</v>
      </c>
      <c r="G558" s="27">
        <f>VLOOKUP($C558,'U Fittings'!$E:$O,11,0)</f>
        <v>58</v>
      </c>
      <c r="H558" s="320"/>
      <c r="I558" s="320"/>
      <c r="J558" s="320"/>
      <c r="K558" s="320"/>
      <c r="L558" s="320"/>
      <c r="M558" s="320"/>
      <c r="N558" s="320"/>
      <c r="O558" s="320"/>
    </row>
    <row r="559">
      <c r="A559" s="32">
        <f t="shared" si="1"/>
        <v>558</v>
      </c>
      <c r="B559" s="9" t="s">
        <v>1181</v>
      </c>
      <c r="C559" s="11" t="s">
        <v>1569</v>
      </c>
      <c r="D559" s="4" t="s">
        <v>1766</v>
      </c>
      <c r="E559" s="27">
        <f>VLOOKUP($C559,'U Fittings'!$E:$O,3,0)</f>
        <v>0.1993</v>
      </c>
      <c r="F559" s="27">
        <f>VLOOKUP($C559,'U Fittings'!$E:$O,2,0)</f>
        <v>114</v>
      </c>
      <c r="G559" s="27">
        <f>VLOOKUP($C559,'U Fittings'!$E:$O,11,0)</f>
        <v>114</v>
      </c>
      <c r="H559" s="320"/>
      <c r="I559" s="320"/>
      <c r="J559" s="320"/>
      <c r="K559" s="320"/>
      <c r="L559" s="320"/>
      <c r="M559" s="320"/>
      <c r="N559" s="320"/>
      <c r="O559" s="320"/>
    </row>
    <row r="560">
      <c r="A560" s="32">
        <f t="shared" si="1"/>
        <v>559</v>
      </c>
      <c r="B560" s="9" t="s">
        <v>1181</v>
      </c>
      <c r="C560" s="11" t="s">
        <v>1576</v>
      </c>
      <c r="D560" s="4" t="s">
        <v>1767</v>
      </c>
      <c r="E560" s="27">
        <f>VLOOKUP($C560,'U Fittings'!$E:$O,3,0)</f>
        <v>0.267</v>
      </c>
      <c r="F560" s="27">
        <f>VLOOKUP($C560,'U Fittings'!$E:$O,2,0)</f>
        <v>148</v>
      </c>
      <c r="G560" s="27">
        <f>VLOOKUP($C560,'U Fittings'!$E:$O,11,0)</f>
        <v>148</v>
      </c>
      <c r="H560" s="320"/>
      <c r="I560" s="320"/>
      <c r="J560" s="320"/>
      <c r="K560" s="320"/>
      <c r="L560" s="320"/>
      <c r="M560" s="320"/>
      <c r="N560" s="320"/>
      <c r="O560" s="320"/>
    </row>
    <row r="561">
      <c r="A561" s="32">
        <f t="shared" si="1"/>
        <v>560</v>
      </c>
      <c r="B561" s="9" t="s">
        <v>1181</v>
      </c>
      <c r="C561" s="11" t="s">
        <v>1581</v>
      </c>
      <c r="D561" s="4" t="s">
        <v>1768</v>
      </c>
      <c r="E561" s="27">
        <f>VLOOKUP($C561,'U Fittings'!$E:$O,3,0)</f>
        <v>0.463</v>
      </c>
      <c r="F561" s="27">
        <f>VLOOKUP($C561,'U Fittings'!$E:$O,2,0)</f>
        <v>258</v>
      </c>
      <c r="G561" s="27">
        <f>VLOOKUP($C561,'U Fittings'!$E:$O,11,0)</f>
        <v>258</v>
      </c>
      <c r="H561" s="320"/>
      <c r="I561" s="320"/>
      <c r="J561" s="320"/>
      <c r="K561" s="320"/>
      <c r="L561" s="320"/>
      <c r="M561" s="320"/>
      <c r="N561" s="320"/>
      <c r="O561" s="320"/>
    </row>
    <row r="562">
      <c r="A562" s="32">
        <f t="shared" si="1"/>
        <v>561</v>
      </c>
      <c r="B562" s="9" t="s">
        <v>1181</v>
      </c>
      <c r="C562" s="11" t="s">
        <v>1595</v>
      </c>
      <c r="D562" s="4" t="s">
        <v>1007</v>
      </c>
      <c r="E562" s="27">
        <f>VLOOKUP($C562,'U Fittings'!$E:$O,3,0)</f>
        <v>0.406</v>
      </c>
      <c r="F562" s="27">
        <f>VLOOKUP($C562,'U Fittings'!$E:$O,2,0)</f>
        <v>228</v>
      </c>
      <c r="G562" s="27">
        <f>VLOOKUP($C562,'U Fittings'!$E:$O,11,0)</f>
        <v>228</v>
      </c>
      <c r="H562" s="320"/>
      <c r="I562" s="320"/>
      <c r="J562" s="320"/>
      <c r="K562" s="320"/>
      <c r="L562" s="320"/>
      <c r="M562" s="320"/>
      <c r="N562" s="320"/>
      <c r="O562" s="320"/>
    </row>
    <row r="563">
      <c r="A563" s="32">
        <f t="shared" si="1"/>
        <v>562</v>
      </c>
      <c r="B563" s="9" t="s">
        <v>1181</v>
      </c>
      <c r="C563" s="11" t="s">
        <v>1604</v>
      </c>
      <c r="D563" s="4" t="s">
        <v>1009</v>
      </c>
      <c r="E563" s="27">
        <f>VLOOKUP($C563,'U Fittings'!$E:$O,3,0)</f>
        <v>0.655</v>
      </c>
      <c r="F563" s="27">
        <f>VLOOKUP($C563,'U Fittings'!$E:$O,2,0)</f>
        <v>378</v>
      </c>
      <c r="G563" s="27">
        <f>VLOOKUP($C563,'U Fittings'!$E:$O,11,0)</f>
        <v>378</v>
      </c>
      <c r="H563" s="320"/>
      <c r="I563" s="320"/>
      <c r="J563" s="320"/>
      <c r="K563" s="320"/>
      <c r="L563" s="320"/>
      <c r="M563" s="320"/>
      <c r="N563" s="320"/>
      <c r="O563" s="320"/>
    </row>
    <row r="564">
      <c r="A564" s="32">
        <f t="shared" si="1"/>
        <v>563</v>
      </c>
      <c r="B564" s="9" t="s">
        <v>1181</v>
      </c>
      <c r="C564" s="11" t="s">
        <v>1609</v>
      </c>
      <c r="D564" s="4" t="s">
        <v>1011</v>
      </c>
      <c r="E564" s="27">
        <f>VLOOKUP($C564,'U Fittings'!$E:$O,3,0)</f>
        <v>1.185</v>
      </c>
      <c r="F564" s="27">
        <f>VLOOKUP($C564,'U Fittings'!$E:$O,2,0)</f>
        <v>668</v>
      </c>
      <c r="G564" s="27">
        <f>VLOOKUP($C564,'U Fittings'!$E:$O,11,0)</f>
        <v>668</v>
      </c>
      <c r="H564" s="320"/>
      <c r="I564" s="320"/>
      <c r="J564" s="320"/>
      <c r="K564" s="320"/>
      <c r="L564" s="320"/>
      <c r="M564" s="320"/>
      <c r="N564" s="320"/>
      <c r="O564" s="320"/>
    </row>
    <row r="565">
      <c r="A565" s="32">
        <f t="shared" si="1"/>
        <v>564</v>
      </c>
      <c r="B565" s="9" t="s">
        <v>1181</v>
      </c>
      <c r="C565" s="11" t="s">
        <v>1626</v>
      </c>
      <c r="D565" s="4" t="s">
        <v>1769</v>
      </c>
      <c r="E565" s="27">
        <f>VLOOKUP($C565,'U Fittings'!$E:$O,3,0)</f>
        <v>0.00445</v>
      </c>
      <c r="F565" s="27">
        <f>VLOOKUP($C565,'U Fittings'!$E:$O,2,0)</f>
        <v>12.4</v>
      </c>
      <c r="G565" s="27">
        <f>VLOOKUP($C565,'U Fittings'!$E:$O,11,0)</f>
        <v>12.4</v>
      </c>
      <c r="H565" s="320"/>
      <c r="I565" s="320"/>
      <c r="J565" s="320"/>
      <c r="K565" s="320"/>
      <c r="L565" s="320"/>
      <c r="M565" s="320"/>
      <c r="N565" s="320"/>
      <c r="O565" s="320"/>
    </row>
    <row r="566">
      <c r="A566" s="32">
        <f t="shared" si="1"/>
        <v>565</v>
      </c>
      <c r="B566" s="9" t="s">
        <v>1181</v>
      </c>
      <c r="C566" s="11" t="s">
        <v>1637</v>
      </c>
      <c r="D566" s="4" t="s">
        <v>1771</v>
      </c>
      <c r="E566" s="27">
        <f>VLOOKUP($C566,'U Fittings'!$E:$O,3,0)</f>
        <v>0.0078</v>
      </c>
      <c r="F566" s="27">
        <f>VLOOKUP($C566,'U Fittings'!$E:$O,2,0)</f>
        <v>17.9</v>
      </c>
      <c r="G566" s="27">
        <f>VLOOKUP($C566,'U Fittings'!$E:$O,11,0)</f>
        <v>17.9</v>
      </c>
      <c r="H566" s="320"/>
      <c r="I566" s="320"/>
      <c r="J566" s="320"/>
      <c r="K566" s="320"/>
      <c r="L566" s="320"/>
      <c r="M566" s="320"/>
      <c r="N566" s="320"/>
      <c r="O566" s="320"/>
    </row>
    <row r="567">
      <c r="A567" s="32">
        <f t="shared" si="1"/>
        <v>566</v>
      </c>
      <c r="B567" s="9" t="s">
        <v>1181</v>
      </c>
      <c r="C567" s="11" t="s">
        <v>1638</v>
      </c>
      <c r="D567" s="4" t="s">
        <v>1774</v>
      </c>
      <c r="E567" s="27">
        <f>VLOOKUP($C567,'U Fittings'!$E:$O,3,0)</f>
        <v>0.0126</v>
      </c>
      <c r="F567" s="27">
        <f>VLOOKUP($C567,'U Fittings'!$E:$O,2,0)</f>
        <v>33.5</v>
      </c>
      <c r="G567" s="27">
        <f>VLOOKUP($C567,'U Fittings'!$E:$O,11,0)</f>
        <v>33.5</v>
      </c>
      <c r="H567" s="320"/>
      <c r="I567" s="320"/>
      <c r="J567" s="320"/>
      <c r="K567" s="320"/>
      <c r="L567" s="320"/>
      <c r="M567" s="320"/>
      <c r="N567" s="320"/>
      <c r="O567" s="320"/>
    </row>
    <row r="568">
      <c r="A568" s="32">
        <f t="shared" si="1"/>
        <v>567</v>
      </c>
      <c r="B568" s="9" t="s">
        <v>1181</v>
      </c>
      <c r="C568" s="11" t="s">
        <v>1773</v>
      </c>
      <c r="D568" s="4" t="s">
        <v>1775</v>
      </c>
      <c r="E568" s="27" t="str">
        <f>IFERROR(VLOOKUP($C568,'U Fittings'!$E:$O,3,0),)</f>
        <v/>
      </c>
      <c r="F568" s="27" t="str">
        <f>IFERROR(VLOOKUP($C568,'U Fittings'!$E:$O,2,0),)</f>
        <v/>
      </c>
      <c r="G568" s="27" t="str">
        <f>IFERROR(VLOOKUP($C568,'U Fittings'!$E:$O,11,0),)</f>
        <v/>
      </c>
      <c r="H568" s="320"/>
      <c r="I568" s="320"/>
      <c r="J568" s="320"/>
      <c r="K568" s="320"/>
      <c r="L568" s="320"/>
      <c r="M568" s="320"/>
      <c r="N568" s="320"/>
      <c r="O568" s="320"/>
    </row>
    <row r="569">
      <c r="A569" s="32">
        <f t="shared" si="1"/>
        <v>568</v>
      </c>
      <c r="B569" s="9" t="s">
        <v>1181</v>
      </c>
      <c r="C569" s="11" t="s">
        <v>1776</v>
      </c>
      <c r="D569" s="4" t="s">
        <v>1778</v>
      </c>
      <c r="E569" s="27" t="str">
        <f>IFERROR(VLOOKUP($C569,'U Fittings'!$E:$O,3,0),)</f>
        <v/>
      </c>
      <c r="F569" s="27" t="str">
        <f>IFERROR(VLOOKUP($C569,'U Fittings'!$E:$O,2,0),)</f>
        <v/>
      </c>
      <c r="G569" s="27" t="str">
        <f>IFERROR(VLOOKUP($C569,'U Fittings'!$E:$O,11,0),)</f>
        <v/>
      </c>
      <c r="H569" s="320"/>
      <c r="I569" s="320"/>
      <c r="J569" s="320"/>
      <c r="K569" s="320"/>
      <c r="L569" s="320"/>
      <c r="M569" s="320"/>
      <c r="N569" s="320"/>
      <c r="O569" s="320"/>
    </row>
    <row r="570">
      <c r="A570" s="32">
        <f t="shared" si="1"/>
        <v>569</v>
      </c>
      <c r="B570" s="9" t="s">
        <v>1181</v>
      </c>
      <c r="C570" s="11" t="s">
        <v>1777</v>
      </c>
      <c r="D570" s="4" t="s">
        <v>1780</v>
      </c>
      <c r="E570" s="27" t="str">
        <f>IFERROR(VLOOKUP($C570,'U Fittings'!$E:$O,3,0),)</f>
        <v/>
      </c>
      <c r="F570" s="27" t="str">
        <f>IFERROR(VLOOKUP($C570,'U Fittings'!$E:$O,2,0),)</f>
        <v/>
      </c>
      <c r="G570" s="27" t="str">
        <f>IFERROR(VLOOKUP($C570,'U Fittings'!$E:$O,11,0),)</f>
        <v/>
      </c>
      <c r="H570" s="320"/>
      <c r="I570" s="320"/>
      <c r="J570" s="320"/>
      <c r="K570" s="320"/>
      <c r="L570" s="320"/>
      <c r="M570" s="320"/>
      <c r="N570" s="320"/>
      <c r="O570" s="320"/>
    </row>
    <row r="571">
      <c r="A571" s="32">
        <f t="shared" si="1"/>
        <v>570</v>
      </c>
      <c r="B571" s="9" t="s">
        <v>1181</v>
      </c>
      <c r="C571" s="11" t="s">
        <v>1779</v>
      </c>
      <c r="D571" s="4" t="s">
        <v>1783</v>
      </c>
      <c r="E571" s="27" t="str">
        <f>IFERROR(VLOOKUP($C571,'U Fittings'!$E:$O,3,0),)</f>
        <v/>
      </c>
      <c r="F571" s="27" t="str">
        <f>IFERROR(VLOOKUP($C571,'U Fittings'!$E:$O,2,0),)</f>
        <v/>
      </c>
      <c r="G571" s="27" t="str">
        <f>IFERROR(VLOOKUP($C571,'U Fittings'!$E:$O,11,0),)</f>
        <v/>
      </c>
      <c r="H571" s="320"/>
      <c r="I571" s="320"/>
      <c r="J571" s="320"/>
      <c r="K571" s="320"/>
      <c r="L571" s="320"/>
      <c r="M571" s="320"/>
      <c r="N571" s="320"/>
      <c r="O571" s="320"/>
    </row>
    <row r="572">
      <c r="A572" s="32">
        <f t="shared" si="1"/>
        <v>571</v>
      </c>
      <c r="B572" s="9" t="s">
        <v>1181</v>
      </c>
      <c r="C572" s="11" t="s">
        <v>1781</v>
      </c>
      <c r="D572" s="4" t="s">
        <v>1784</v>
      </c>
      <c r="E572" s="27" t="str">
        <f>IFERROR(VLOOKUP($C572,'U Fittings'!$E:$O,3,0),)</f>
        <v/>
      </c>
      <c r="F572" s="27" t="str">
        <f>IFERROR(VLOOKUP($C572,'U Fittings'!$E:$O,2,0),)</f>
        <v/>
      </c>
      <c r="G572" s="27" t="str">
        <f>IFERROR(VLOOKUP($C572,'U Fittings'!$E:$O,11,0),)</f>
        <v/>
      </c>
      <c r="H572" s="320"/>
      <c r="I572" s="320"/>
      <c r="J572" s="320"/>
      <c r="K572" s="320"/>
      <c r="L572" s="320"/>
      <c r="M572" s="320"/>
      <c r="N572" s="320"/>
      <c r="O572" s="320"/>
    </row>
    <row r="573">
      <c r="A573" s="32">
        <f t="shared" si="1"/>
        <v>572</v>
      </c>
      <c r="B573" s="9" t="s">
        <v>1181</v>
      </c>
      <c r="C573" s="11" t="s">
        <v>1782</v>
      </c>
      <c r="D573" s="4" t="s">
        <v>1785</v>
      </c>
      <c r="E573" s="27" t="str">
        <f>IFERROR(VLOOKUP($C573,'U Fittings'!$E:$O,3,0),)</f>
        <v/>
      </c>
      <c r="F573" s="27" t="str">
        <f>IFERROR(VLOOKUP($C573,'U Fittings'!$E:$O,2,0),)</f>
        <v/>
      </c>
      <c r="G573" s="27" t="str">
        <f>IFERROR(VLOOKUP($C573,'U Fittings'!$E:$O,11,0),)</f>
        <v/>
      </c>
      <c r="H573" s="320"/>
      <c r="I573" s="320"/>
      <c r="J573" s="320"/>
      <c r="K573" s="320"/>
      <c r="L573" s="320"/>
      <c r="M573" s="320"/>
      <c r="N573" s="320"/>
      <c r="O573" s="320"/>
    </row>
    <row r="574">
      <c r="A574" s="32">
        <f t="shared" si="1"/>
        <v>573</v>
      </c>
      <c r="B574" s="9" t="s">
        <v>1181</v>
      </c>
      <c r="C574" s="11" t="s">
        <v>1643</v>
      </c>
      <c r="D574" s="4" t="s">
        <v>1786</v>
      </c>
      <c r="E574" s="27">
        <f>VLOOKUP($C574,'U Fittings'!$E:$O,3,0)</f>
        <v>0.01</v>
      </c>
      <c r="F574" s="27">
        <f>VLOOKUP($C574,'U Fittings'!$E:$O,2,0)</f>
        <v>14.9</v>
      </c>
      <c r="G574" s="27">
        <f>VLOOKUP($C574,'U Fittings'!$E:$O,11,0)</f>
        <v>14.9</v>
      </c>
      <c r="H574" s="320"/>
      <c r="I574" s="320"/>
      <c r="J574" s="320"/>
      <c r="K574" s="320"/>
      <c r="L574" s="320"/>
      <c r="M574" s="320"/>
      <c r="N574" s="320"/>
      <c r="O574" s="320"/>
    </row>
    <row r="575">
      <c r="A575" s="32">
        <f t="shared" si="1"/>
        <v>574</v>
      </c>
      <c r="B575" s="9" t="s">
        <v>1181</v>
      </c>
      <c r="C575" s="11" t="s">
        <v>1646</v>
      </c>
      <c r="D575" s="4" t="s">
        <v>1787</v>
      </c>
      <c r="E575" s="27">
        <f>VLOOKUP($C575,'U Fittings'!$E:$O,3,0)</f>
        <v>0.011</v>
      </c>
      <c r="F575" s="27">
        <f>VLOOKUP($C575,'U Fittings'!$E:$O,2,0)</f>
        <v>16.6</v>
      </c>
      <c r="G575" s="27">
        <f>VLOOKUP($C575,'U Fittings'!$E:$O,11,0)</f>
        <v>16.6</v>
      </c>
      <c r="H575" s="320"/>
      <c r="I575" s="320"/>
      <c r="J575" s="320"/>
      <c r="K575" s="320"/>
      <c r="L575" s="320"/>
      <c r="M575" s="320"/>
      <c r="N575" s="320"/>
      <c r="O575" s="320"/>
    </row>
    <row r="576">
      <c r="A576" s="32">
        <f t="shared" si="1"/>
        <v>575</v>
      </c>
      <c r="B576" s="9" t="s">
        <v>1181</v>
      </c>
      <c r="C576" s="11" t="s">
        <v>1649</v>
      </c>
      <c r="D576" s="4" t="s">
        <v>1788</v>
      </c>
      <c r="E576" s="27">
        <f>VLOOKUP($C576,'U Fittings'!$E:$O,3,0)</f>
        <v>0.013</v>
      </c>
      <c r="F576" s="27">
        <f>VLOOKUP($C576,'U Fittings'!$E:$O,2,0)</f>
        <v>17.9</v>
      </c>
      <c r="G576" s="27">
        <f>VLOOKUP($C576,'U Fittings'!$E:$O,11,0)</f>
        <v>17.9</v>
      </c>
      <c r="H576" s="320"/>
      <c r="I576" s="320"/>
      <c r="J576" s="320"/>
      <c r="K576" s="320"/>
      <c r="L576" s="320"/>
      <c r="M576" s="320"/>
      <c r="N576" s="320"/>
      <c r="O576" s="320"/>
    </row>
    <row r="577">
      <c r="A577" s="32">
        <f t="shared" si="1"/>
        <v>576</v>
      </c>
      <c r="B577" s="9" t="s">
        <v>1181</v>
      </c>
      <c r="C577" s="11" t="s">
        <v>1653</v>
      </c>
      <c r="D577" s="4" t="s">
        <v>1789</v>
      </c>
      <c r="E577" s="27">
        <f>VLOOKUP($C577,'U Fittings'!$E:$O,3,0)</f>
        <v>0.018</v>
      </c>
      <c r="F577" s="27">
        <f>VLOOKUP($C577,'U Fittings'!$E:$O,2,0)</f>
        <v>22.8</v>
      </c>
      <c r="G577" s="27">
        <f>VLOOKUP($C577,'U Fittings'!$E:$O,11,0)</f>
        <v>22.8</v>
      </c>
      <c r="H577" s="320"/>
      <c r="I577" s="320"/>
      <c r="J577" s="320"/>
      <c r="K577" s="320"/>
      <c r="L577" s="320"/>
      <c r="M577" s="320"/>
      <c r="N577" s="320"/>
      <c r="O577" s="320"/>
    </row>
    <row r="578">
      <c r="A578" s="32">
        <f t="shared" si="1"/>
        <v>577</v>
      </c>
      <c r="B578" s="9" t="s">
        <v>1181</v>
      </c>
      <c r="C578" s="11" t="s">
        <v>1658</v>
      </c>
      <c r="D578" s="4" t="s">
        <v>1790</v>
      </c>
      <c r="E578" s="27">
        <f>VLOOKUP($C578,'U Fittings'!$E:$O,3,0)</f>
        <v>0.02</v>
      </c>
      <c r="F578" s="27">
        <f>VLOOKUP($C578,'U Fittings'!$E:$O,2,0)</f>
        <v>24.8</v>
      </c>
      <c r="G578" s="27">
        <f>VLOOKUP($C578,'U Fittings'!$E:$O,11,0)</f>
        <v>24.8</v>
      </c>
      <c r="H578" s="320"/>
      <c r="I578" s="320"/>
      <c r="J578" s="320"/>
      <c r="K578" s="320"/>
      <c r="L578" s="320"/>
      <c r="M578" s="320"/>
      <c r="N578" s="320"/>
      <c r="O578" s="320"/>
    </row>
    <row r="579">
      <c r="A579" s="32">
        <f t="shared" si="1"/>
        <v>578</v>
      </c>
      <c r="B579" s="9" t="s">
        <v>1181</v>
      </c>
      <c r="C579" s="11" t="s">
        <v>1661</v>
      </c>
      <c r="D579" s="4" t="s">
        <v>1791</v>
      </c>
      <c r="E579" s="27">
        <f>VLOOKUP($C579,'U Fittings'!$E:$O,3,0)</f>
        <v>0.035</v>
      </c>
      <c r="F579" s="27">
        <f>VLOOKUP($C579,'U Fittings'!$E:$O,2,0)</f>
        <v>28.8</v>
      </c>
      <c r="G579" s="27">
        <f>VLOOKUP($C579,'U Fittings'!$E:$O,11,0)</f>
        <v>28.8</v>
      </c>
      <c r="H579" s="320"/>
      <c r="I579" s="320"/>
      <c r="J579" s="320"/>
      <c r="K579" s="320"/>
      <c r="L579" s="320"/>
      <c r="M579" s="320"/>
      <c r="N579" s="320"/>
      <c r="O579" s="320"/>
    </row>
    <row r="580">
      <c r="A580" s="32">
        <f t="shared" si="1"/>
        <v>579</v>
      </c>
      <c r="B580" s="9" t="s">
        <v>1181</v>
      </c>
      <c r="C580" s="11" t="s">
        <v>1672</v>
      </c>
      <c r="D580" s="4" t="s">
        <v>1792</v>
      </c>
      <c r="E580" s="27">
        <f>VLOOKUP($C580,'U Fittings'!$E:$O,3,0)</f>
        <v>0.009</v>
      </c>
      <c r="F580" s="27">
        <f>VLOOKUP($C580,'U Fittings'!$E:$O,2,0)</f>
        <v>14.8</v>
      </c>
      <c r="G580" s="27">
        <f>VLOOKUP($C580,'U Fittings'!$E:$O,11,0)</f>
        <v>14.8</v>
      </c>
      <c r="H580" s="320"/>
      <c r="I580" s="320"/>
      <c r="J580" s="320"/>
      <c r="K580" s="320"/>
      <c r="L580" s="320"/>
      <c r="M580" s="320"/>
      <c r="N580" s="320"/>
      <c r="O580" s="320"/>
    </row>
    <row r="581">
      <c r="A581" s="32">
        <f t="shared" si="1"/>
        <v>580</v>
      </c>
      <c r="B581" s="9" t="s">
        <v>1181</v>
      </c>
      <c r="C581" s="11" t="s">
        <v>1681</v>
      </c>
      <c r="D581" s="4" t="s">
        <v>1793</v>
      </c>
      <c r="E581" s="27">
        <f>VLOOKUP($C581,'U Fittings'!$E:$O,3,0)</f>
        <v>0.011</v>
      </c>
      <c r="F581" s="27">
        <f>VLOOKUP($C581,'U Fittings'!$E:$O,2,0)</f>
        <v>12.9</v>
      </c>
      <c r="G581" s="27">
        <f>VLOOKUP($C581,'U Fittings'!$E:$O,11,0)</f>
        <v>12.9</v>
      </c>
      <c r="H581" s="320"/>
      <c r="I581" s="320"/>
      <c r="J581" s="320"/>
      <c r="K581" s="320"/>
      <c r="L581" s="320"/>
      <c r="M581" s="320"/>
      <c r="N581" s="320"/>
      <c r="O581" s="320"/>
    </row>
    <row r="582">
      <c r="A582" s="32">
        <f t="shared" si="1"/>
        <v>581</v>
      </c>
      <c r="B582" s="9" t="s">
        <v>1181</v>
      </c>
      <c r="C582" s="11" t="s">
        <v>1688</v>
      </c>
      <c r="D582" s="4" t="s">
        <v>1794</v>
      </c>
      <c r="E582" s="27">
        <f>VLOOKUP($C582,'U Fittings'!$E:$O,3,0)</f>
        <v>0.013</v>
      </c>
      <c r="F582" s="27">
        <f>VLOOKUP($C582,'U Fittings'!$E:$O,2,0)</f>
        <v>14.9</v>
      </c>
      <c r="G582" s="27">
        <f>VLOOKUP($C582,'U Fittings'!$E:$O,11,0)</f>
        <v>14.9</v>
      </c>
      <c r="H582" s="320"/>
      <c r="I582" s="320"/>
      <c r="J582" s="320"/>
      <c r="K582" s="320"/>
      <c r="L582" s="320"/>
      <c r="M582" s="320"/>
      <c r="N582" s="320"/>
      <c r="O582" s="320"/>
    </row>
    <row r="583">
      <c r="A583" s="32">
        <f t="shared" si="1"/>
        <v>582</v>
      </c>
      <c r="B583" s="9" t="s">
        <v>1181</v>
      </c>
      <c r="C583" s="11" t="s">
        <v>1693</v>
      </c>
      <c r="D583" s="4" t="s">
        <v>1795</v>
      </c>
      <c r="E583" s="27">
        <f>VLOOKUP($C583,'U Fittings'!$E:$O,3,0)</f>
        <v>0.015</v>
      </c>
      <c r="F583" s="27">
        <f>VLOOKUP($C583,'U Fittings'!$E:$O,2,0)</f>
        <v>22.9</v>
      </c>
      <c r="G583" s="27">
        <f>VLOOKUP($C583,'U Fittings'!$E:$O,11,0)</f>
        <v>22.9</v>
      </c>
      <c r="H583" s="320"/>
      <c r="I583" s="320"/>
      <c r="J583" s="320"/>
      <c r="K583" s="320"/>
      <c r="L583" s="320"/>
      <c r="M583" s="320"/>
      <c r="N583" s="320"/>
      <c r="O583" s="320"/>
    </row>
    <row r="584">
      <c r="A584" s="32">
        <f t="shared" si="1"/>
        <v>583</v>
      </c>
      <c r="B584" s="9" t="s">
        <v>1181</v>
      </c>
      <c r="C584" s="11" t="s">
        <v>1698</v>
      </c>
      <c r="D584" s="4" t="s">
        <v>1796</v>
      </c>
      <c r="E584" s="27">
        <f>VLOOKUP($C584,'U Fittings'!$E:$O,3,0)</f>
        <v>0.016</v>
      </c>
      <c r="F584" s="27">
        <f>VLOOKUP($C584,'U Fittings'!$E:$O,2,0)</f>
        <v>25.9</v>
      </c>
      <c r="G584" s="27">
        <f>VLOOKUP($C584,'U Fittings'!$E:$O,11,0)</f>
        <v>25.9</v>
      </c>
      <c r="H584" s="320"/>
      <c r="I584" s="320"/>
      <c r="J584" s="320"/>
      <c r="K584" s="320"/>
      <c r="L584" s="320"/>
      <c r="M584" s="320"/>
      <c r="N584" s="320"/>
      <c r="O584" s="320"/>
    </row>
    <row r="585">
      <c r="A585" s="32">
        <f t="shared" si="1"/>
        <v>584</v>
      </c>
      <c r="B585" s="9" t="s">
        <v>1181</v>
      </c>
      <c r="C585" s="11" t="s">
        <v>1704</v>
      </c>
      <c r="D585" s="4" t="s">
        <v>1797</v>
      </c>
      <c r="E585" s="27">
        <f>VLOOKUP($C585,'U Fittings'!$E:$O,3,0)</f>
        <v>0.034</v>
      </c>
      <c r="F585" s="27">
        <f>VLOOKUP($C585,'U Fittings'!$E:$O,2,0)</f>
        <v>49.9</v>
      </c>
      <c r="G585" s="27">
        <f>VLOOKUP($C585,'U Fittings'!$E:$O,11,0)</f>
        <v>49.9</v>
      </c>
      <c r="H585" s="320"/>
      <c r="I585" s="320"/>
      <c r="J585" s="320"/>
      <c r="K585" s="320"/>
      <c r="L585" s="320"/>
      <c r="M585" s="320"/>
      <c r="N585" s="320"/>
      <c r="O585" s="320"/>
    </row>
    <row r="586">
      <c r="A586" s="32">
        <f t="shared" si="1"/>
        <v>585</v>
      </c>
      <c r="B586" s="9" t="s">
        <v>1181</v>
      </c>
      <c r="C586" s="11" t="s">
        <v>1723</v>
      </c>
      <c r="D586" s="4" t="s">
        <v>1798</v>
      </c>
      <c r="E586" s="27" t="str">
        <f>VLOOKUP($C586,'U Fittings'!$E:$O,3,0)</f>
        <v/>
      </c>
      <c r="F586" s="27">
        <f>VLOOKUP($C586,'U Fittings'!$E:$O,2,0)</f>
        <v>98</v>
      </c>
      <c r="G586" s="27">
        <f>VLOOKUP($C586,'U Fittings'!$E:$O,11,0)</f>
        <v>98</v>
      </c>
      <c r="H586" s="320"/>
      <c r="I586" s="320"/>
      <c r="J586" s="320"/>
      <c r="K586" s="320"/>
      <c r="L586" s="320"/>
      <c r="M586" s="320"/>
      <c r="N586" s="320"/>
      <c r="O586" s="320"/>
    </row>
    <row r="587">
      <c r="A587" s="32">
        <f t="shared" si="1"/>
        <v>586</v>
      </c>
      <c r="B587" s="9" t="s">
        <v>1181</v>
      </c>
      <c r="C587" s="11" t="s">
        <v>1730</v>
      </c>
      <c r="D587" s="4" t="s">
        <v>1799</v>
      </c>
      <c r="E587" s="27" t="str">
        <f>VLOOKUP($C587,'U Fittings'!$E:$O,3,0)</f>
        <v/>
      </c>
      <c r="F587" s="27">
        <f>VLOOKUP($C587,'U Fittings'!$E:$O,2,0)</f>
        <v>168</v>
      </c>
      <c r="G587" s="27">
        <f>VLOOKUP($C587,'U Fittings'!$E:$O,11,0)</f>
        <v>168</v>
      </c>
      <c r="H587" s="320"/>
      <c r="I587" s="320"/>
      <c r="J587" s="320"/>
      <c r="K587" s="320"/>
      <c r="L587" s="320"/>
      <c r="M587" s="320"/>
      <c r="N587" s="320"/>
      <c r="O587" s="320"/>
    </row>
    <row r="588">
      <c r="A588" s="32">
        <f t="shared" si="1"/>
        <v>587</v>
      </c>
      <c r="B588" s="9" t="s">
        <v>1181</v>
      </c>
      <c r="C588" s="11" t="s">
        <v>1734</v>
      </c>
      <c r="D588" s="4" t="s">
        <v>1800</v>
      </c>
      <c r="E588" s="27" t="str">
        <f>VLOOKUP($C588,'U Fittings'!$E:$O,3,0)</f>
        <v/>
      </c>
      <c r="F588" s="27">
        <f>VLOOKUP($C588,'U Fittings'!$E:$O,2,0)</f>
        <v>248</v>
      </c>
      <c r="G588" s="27">
        <f>VLOOKUP($C588,'U Fittings'!$E:$O,11,0)</f>
        <v>248</v>
      </c>
      <c r="H588" s="320"/>
      <c r="I588" s="320"/>
      <c r="J588" s="320"/>
      <c r="K588" s="320"/>
      <c r="L588" s="320"/>
      <c r="M588" s="320"/>
      <c r="N588" s="320"/>
      <c r="O588" s="320"/>
    </row>
    <row r="589">
      <c r="A589" s="32">
        <f t="shared" si="1"/>
        <v>588</v>
      </c>
      <c r="B589" s="9" t="s">
        <v>1181</v>
      </c>
      <c r="C589" s="11" t="s">
        <v>1740</v>
      </c>
      <c r="D589" s="4" t="s">
        <v>1801</v>
      </c>
      <c r="E589" s="27" t="str">
        <f>VLOOKUP($C589,'U Fittings'!$E:$O,3,0)</f>
        <v/>
      </c>
      <c r="F589" s="27">
        <f>VLOOKUP($C589,'U Fittings'!$E:$O,2,0)</f>
        <v>448</v>
      </c>
      <c r="G589" s="27">
        <f>VLOOKUP($C589,'U Fittings'!$E:$O,11,0)</f>
        <v>448</v>
      </c>
      <c r="H589" s="320"/>
      <c r="I589" s="320"/>
      <c r="J589" s="320"/>
      <c r="K589" s="320"/>
      <c r="L589" s="320"/>
      <c r="M589" s="320"/>
      <c r="N589" s="320"/>
      <c r="O589" s="320"/>
    </row>
    <row r="590">
      <c r="A590" s="32">
        <f t="shared" si="1"/>
        <v>589</v>
      </c>
      <c r="B590" s="9" t="s">
        <v>1181</v>
      </c>
      <c r="C590" s="11" t="s">
        <v>1744</v>
      </c>
      <c r="D590" s="4" t="s">
        <v>1802</v>
      </c>
      <c r="E590" s="27" t="str">
        <f>VLOOKUP($C590,'U Fittings'!$E:$O,3,0)</f>
        <v/>
      </c>
      <c r="F590" s="27">
        <f>VLOOKUP($C590,'U Fittings'!$E:$O,2,0)</f>
        <v>828</v>
      </c>
      <c r="G590" s="27">
        <f>VLOOKUP($C590,'U Fittings'!$E:$O,11,0)</f>
        <v>828</v>
      </c>
      <c r="H590" s="320"/>
      <c r="I590" s="320"/>
      <c r="J590" s="320"/>
      <c r="K590" s="320"/>
      <c r="L590" s="320"/>
      <c r="M590" s="320"/>
      <c r="N590" s="320"/>
      <c r="O590" s="320"/>
    </row>
    <row r="591">
      <c r="A591" s="32">
        <f t="shared" si="1"/>
        <v>590</v>
      </c>
      <c r="B591" s="9" t="s">
        <v>1181</v>
      </c>
      <c r="C591" s="11" t="s">
        <v>906</v>
      </c>
      <c r="D591" s="4" t="s">
        <v>1803</v>
      </c>
      <c r="E591" s="27" t="str">
        <f>VLOOKUP($C591,'U Fittings'!$E:$O,3,0)</f>
        <v/>
      </c>
      <c r="F591" s="27">
        <f>VLOOKUP($C591,'U Fittings'!$E:$O,2,0)</f>
        <v>735</v>
      </c>
      <c r="G591" s="27" t="str">
        <f>VLOOKUP($C591,'U Fittings'!$E:$O,11,0)</f>
        <v>#REF!</v>
      </c>
      <c r="H591" s="320"/>
      <c r="I591" s="320"/>
      <c r="J591" s="320"/>
      <c r="K591" s="320"/>
      <c r="L591" s="320"/>
      <c r="M591" s="320"/>
      <c r="N591" s="320"/>
      <c r="O591" s="320"/>
    </row>
    <row r="592">
      <c r="A592" s="32">
        <f t="shared" si="1"/>
        <v>591</v>
      </c>
      <c r="B592" s="9" t="s">
        <v>1181</v>
      </c>
      <c r="C592" s="11" t="s">
        <v>904</v>
      </c>
      <c r="D592" s="4" t="s">
        <v>1804</v>
      </c>
      <c r="E592" s="27" t="str">
        <f>VLOOKUP($C592,'U Fittings'!$E:$O,3,0)</f>
        <v/>
      </c>
      <c r="F592" s="27">
        <f>VLOOKUP($C592,'U Fittings'!$E:$O,2,0)</f>
        <v>740</v>
      </c>
      <c r="G592" s="27" t="str">
        <f>VLOOKUP($C592,'U Fittings'!$E:$O,11,0)</f>
        <v>#REF!</v>
      </c>
      <c r="H592" s="320"/>
      <c r="I592" s="320"/>
      <c r="J592" s="320"/>
      <c r="K592" s="320"/>
      <c r="L592" s="320"/>
      <c r="M592" s="320"/>
      <c r="N592" s="320"/>
      <c r="O592" s="320"/>
    </row>
    <row r="593">
      <c r="A593" s="32">
        <f t="shared" si="1"/>
        <v>592</v>
      </c>
      <c r="B593" s="9" t="s">
        <v>1181</v>
      </c>
      <c r="C593" s="11" t="s">
        <v>901</v>
      </c>
      <c r="D593" s="4" t="s">
        <v>1805</v>
      </c>
      <c r="E593" s="27" t="str">
        <f>VLOOKUP($C593,'U Fittings'!$E:$O,3,0)</f>
        <v/>
      </c>
      <c r="F593" s="27">
        <f>VLOOKUP($C593,'U Fittings'!$E:$O,2,0)</f>
        <v>750</v>
      </c>
      <c r="G593" s="27" t="str">
        <f>VLOOKUP($C593,'U Fittings'!$E:$O,11,0)</f>
        <v>#REF!</v>
      </c>
      <c r="H593" s="320"/>
      <c r="I593" s="320"/>
      <c r="J593" s="320"/>
      <c r="K593" s="320"/>
      <c r="L593" s="320"/>
      <c r="M593" s="320"/>
      <c r="N593" s="320"/>
      <c r="O593" s="320"/>
    </row>
    <row r="594">
      <c r="A594" s="32">
        <f t="shared" si="1"/>
        <v>593</v>
      </c>
      <c r="B594" s="9" t="s">
        <v>1181</v>
      </c>
      <c r="C594" s="11" t="s">
        <v>898</v>
      </c>
      <c r="D594" s="4" t="s">
        <v>1806</v>
      </c>
      <c r="E594" s="27" t="str">
        <f>VLOOKUP($C594,'U Fittings'!$E:$O,3,0)</f>
        <v/>
      </c>
      <c r="F594" s="27">
        <f>VLOOKUP($C594,'U Fittings'!$E:$O,2,0)</f>
        <v>750</v>
      </c>
      <c r="G594" s="27" t="str">
        <f>VLOOKUP($C594,'U Fittings'!$E:$O,11,0)</f>
        <v>#REF!</v>
      </c>
      <c r="H594" s="320"/>
      <c r="I594" s="320"/>
      <c r="J594" s="320"/>
      <c r="K594" s="320"/>
      <c r="L594" s="320"/>
      <c r="M594" s="320"/>
      <c r="N594" s="320"/>
      <c r="O594" s="320"/>
    </row>
    <row r="595">
      <c r="A595" s="32">
        <f t="shared" si="1"/>
        <v>594</v>
      </c>
      <c r="B595" s="9" t="s">
        <v>1181</v>
      </c>
      <c r="C595" s="11" t="s">
        <v>895</v>
      </c>
      <c r="D595" s="4" t="s">
        <v>1807</v>
      </c>
      <c r="E595" s="27" t="str">
        <f>VLOOKUP($C595,'U Fittings'!$E:$O,3,0)</f>
        <v/>
      </c>
      <c r="F595" s="27">
        <f>VLOOKUP($C595,'U Fittings'!$E:$O,2,0)</f>
        <v>754</v>
      </c>
      <c r="G595" s="27" t="str">
        <f>VLOOKUP($C595,'U Fittings'!$E:$O,11,0)</f>
        <v>#REF!</v>
      </c>
      <c r="H595" s="320"/>
      <c r="I595" s="320"/>
      <c r="J595" s="320"/>
      <c r="K595" s="320"/>
      <c r="L595" s="320"/>
      <c r="M595" s="320"/>
      <c r="N595" s="320"/>
      <c r="O595" s="320"/>
    </row>
    <row r="596">
      <c r="A596" s="32">
        <f t="shared" si="1"/>
        <v>595</v>
      </c>
      <c r="B596" s="9" t="s">
        <v>1181</v>
      </c>
      <c r="C596" s="11" t="s">
        <v>892</v>
      </c>
      <c r="D596" s="4" t="s">
        <v>1808</v>
      </c>
      <c r="E596" s="27" t="str">
        <f>VLOOKUP($C596,'U Fittings'!$E:$O,3,0)</f>
        <v/>
      </c>
      <c r="F596" s="27">
        <f>VLOOKUP($C596,'U Fittings'!$E:$O,2,0)</f>
        <v>728</v>
      </c>
      <c r="G596" s="27" t="str">
        <f>VLOOKUP($C596,'U Fittings'!$E:$O,11,0)</f>
        <v>#REF!</v>
      </c>
      <c r="H596" s="320"/>
      <c r="I596" s="320"/>
      <c r="J596" s="320"/>
      <c r="K596" s="320"/>
      <c r="L596" s="320"/>
      <c r="M596" s="320"/>
      <c r="N596" s="320"/>
      <c r="O596" s="320"/>
    </row>
    <row r="597">
      <c r="A597" s="32">
        <f t="shared" si="1"/>
        <v>596</v>
      </c>
      <c r="B597" s="9" t="s">
        <v>1181</v>
      </c>
      <c r="C597" s="11" t="s">
        <v>815</v>
      </c>
      <c r="D597" s="4" t="s">
        <v>1809</v>
      </c>
      <c r="E597" s="27" t="str">
        <f>VLOOKUP($C597,'U Fittings'!$E:$O,3,0)</f>
        <v/>
      </c>
      <c r="F597" s="27">
        <f>VLOOKUP($C597,'U Fittings'!$E:$O,2,0)</f>
        <v>698</v>
      </c>
      <c r="G597" s="27" t="str">
        <f>VLOOKUP($C597,'U Fittings'!$E:$O,11,0)</f>
        <v>#REF!</v>
      </c>
      <c r="H597" s="320"/>
      <c r="I597" s="320"/>
      <c r="J597" s="320"/>
      <c r="K597" s="320"/>
      <c r="L597" s="320"/>
      <c r="M597" s="320"/>
      <c r="N597" s="320"/>
      <c r="O597" s="320"/>
    </row>
    <row r="598">
      <c r="A598" s="32">
        <f t="shared" si="1"/>
        <v>597</v>
      </c>
      <c r="B598" s="9" t="s">
        <v>1181</v>
      </c>
      <c r="C598" s="11" t="s">
        <v>810</v>
      </c>
      <c r="D598" s="4" t="s">
        <v>1810</v>
      </c>
      <c r="E598" s="27" t="str">
        <f>VLOOKUP($C598,'U Fittings'!$E:$O,3,0)</f>
        <v/>
      </c>
      <c r="F598" s="27">
        <f>VLOOKUP($C598,'U Fittings'!$E:$O,2,0)</f>
        <v>702</v>
      </c>
      <c r="G598" s="27" t="str">
        <f>VLOOKUP($C598,'U Fittings'!$E:$O,11,0)</f>
        <v>#REF!</v>
      </c>
      <c r="H598" s="320"/>
      <c r="I598" s="320"/>
      <c r="J598" s="320"/>
      <c r="K598" s="320"/>
      <c r="L598" s="320"/>
      <c r="M598" s="320"/>
      <c r="N598" s="320"/>
      <c r="O598" s="320"/>
    </row>
    <row r="599">
      <c r="A599" s="32">
        <f t="shared" si="1"/>
        <v>598</v>
      </c>
      <c r="B599" s="9" t="s">
        <v>1181</v>
      </c>
      <c r="C599" s="11" t="s">
        <v>806</v>
      </c>
      <c r="D599" s="4" t="s">
        <v>1811</v>
      </c>
      <c r="E599" s="27" t="str">
        <f>VLOOKUP($C599,'U Fittings'!$E:$O,3,0)</f>
        <v/>
      </c>
      <c r="F599" s="27">
        <f>VLOOKUP($C599,'U Fittings'!$E:$O,2,0)</f>
        <v>712</v>
      </c>
      <c r="G599" s="27" t="str">
        <f>VLOOKUP($C599,'U Fittings'!$E:$O,11,0)</f>
        <v>#REF!</v>
      </c>
      <c r="H599" s="320"/>
      <c r="I599" s="320"/>
      <c r="J599" s="320"/>
      <c r="K599" s="320"/>
      <c r="L599" s="320"/>
      <c r="M599" s="320"/>
      <c r="N599" s="320"/>
      <c r="O599" s="320"/>
    </row>
    <row r="600">
      <c r="A600" s="32">
        <f t="shared" si="1"/>
        <v>599</v>
      </c>
      <c r="B600" s="9" t="s">
        <v>1181</v>
      </c>
      <c r="C600" s="11" t="s">
        <v>801</v>
      </c>
      <c r="D600" s="4" t="s">
        <v>1812</v>
      </c>
      <c r="E600" s="27" t="str">
        <f>VLOOKUP($C600,'U Fittings'!$E:$O,3,0)</f>
        <v/>
      </c>
      <c r="F600" s="27">
        <f>VLOOKUP($C600,'U Fittings'!$E:$O,2,0)</f>
        <v>712</v>
      </c>
      <c r="G600" s="27" t="str">
        <f>VLOOKUP($C600,'U Fittings'!$E:$O,11,0)</f>
        <v>#REF!</v>
      </c>
      <c r="H600" s="320"/>
      <c r="I600" s="320"/>
      <c r="J600" s="320"/>
      <c r="K600" s="320"/>
      <c r="L600" s="320"/>
      <c r="M600" s="320"/>
      <c r="N600" s="320"/>
      <c r="O600" s="320"/>
    </row>
    <row r="601">
      <c r="A601" s="32">
        <f t="shared" si="1"/>
        <v>600</v>
      </c>
      <c r="B601" s="9" t="s">
        <v>1181</v>
      </c>
      <c r="C601" s="11" t="s">
        <v>795</v>
      </c>
      <c r="D601" s="4" t="s">
        <v>1813</v>
      </c>
      <c r="E601" s="27" t="str">
        <f>VLOOKUP($C601,'U Fittings'!$E:$O,3,0)</f>
        <v/>
      </c>
      <c r="F601" s="27">
        <f>VLOOKUP($C601,'U Fittings'!$E:$O,2,0)</f>
        <v>722</v>
      </c>
      <c r="G601" s="27" t="str">
        <f>VLOOKUP($C601,'U Fittings'!$E:$O,11,0)</f>
        <v>#REF!</v>
      </c>
      <c r="H601" s="320"/>
      <c r="I601" s="320"/>
      <c r="J601" s="320"/>
      <c r="K601" s="320"/>
      <c r="L601" s="320"/>
      <c r="M601" s="320"/>
      <c r="N601" s="320"/>
      <c r="O601" s="320"/>
    </row>
    <row r="602">
      <c r="A602" s="32">
        <f t="shared" si="1"/>
        <v>601</v>
      </c>
      <c r="B602" s="9" t="s">
        <v>1181</v>
      </c>
      <c r="C602" s="11" t="s">
        <v>789</v>
      </c>
      <c r="D602" s="4" t="s">
        <v>1814</v>
      </c>
      <c r="E602" s="27" t="str">
        <f>VLOOKUP($C602,'U Fittings'!$E:$O,3,0)</f>
        <v/>
      </c>
      <c r="F602" s="27">
        <f>VLOOKUP($C602,'U Fittings'!$E:$O,2,0)</f>
        <v>702</v>
      </c>
      <c r="G602" s="27" t="str">
        <f>VLOOKUP($C602,'U Fittings'!$E:$O,11,0)</f>
        <v>#REF!</v>
      </c>
      <c r="H602" s="320"/>
      <c r="I602" s="320"/>
      <c r="J602" s="320"/>
      <c r="K602" s="320"/>
      <c r="L602" s="320"/>
      <c r="M602" s="320"/>
      <c r="N602" s="320"/>
      <c r="O602" s="320"/>
    </row>
    <row r="603">
      <c r="A603" s="32">
        <f t="shared" si="1"/>
        <v>602</v>
      </c>
      <c r="B603" s="9" t="s">
        <v>1181</v>
      </c>
      <c r="C603" s="11" t="s">
        <v>889</v>
      </c>
      <c r="D603" s="4" t="s">
        <v>1815</v>
      </c>
      <c r="E603" s="27" t="str">
        <f>VLOOKUP($C603,'U Fittings'!$E:$O,3,0)</f>
        <v/>
      </c>
      <c r="F603" s="27">
        <f>VLOOKUP($C603,'U Fittings'!$E:$O,2,0)</f>
        <v>701</v>
      </c>
      <c r="G603" s="27" t="str">
        <f>VLOOKUP($C603,'U Fittings'!$E:$O,11,0)</f>
        <v>#REF!</v>
      </c>
      <c r="H603" s="320"/>
      <c r="I603" s="320"/>
      <c r="J603" s="320"/>
      <c r="K603" s="320"/>
      <c r="L603" s="320"/>
      <c r="M603" s="320"/>
      <c r="N603" s="320"/>
      <c r="O603" s="320"/>
    </row>
    <row r="604">
      <c r="A604" s="32">
        <f t="shared" si="1"/>
        <v>603</v>
      </c>
      <c r="B604" s="9" t="s">
        <v>1181</v>
      </c>
      <c r="C604" s="11" t="s">
        <v>887</v>
      </c>
      <c r="D604" s="4" t="s">
        <v>1816</v>
      </c>
      <c r="E604" s="27" t="str">
        <f>VLOOKUP($C604,'U Fittings'!$E:$O,3,0)</f>
        <v/>
      </c>
      <c r="F604" s="27">
        <f>VLOOKUP($C604,'U Fittings'!$E:$O,2,0)</f>
        <v>728</v>
      </c>
      <c r="G604" s="27" t="str">
        <f>VLOOKUP($C604,'U Fittings'!$E:$O,11,0)</f>
        <v>#REF!</v>
      </c>
      <c r="H604" s="320"/>
      <c r="I604" s="320"/>
      <c r="J604" s="320"/>
      <c r="K604" s="320"/>
      <c r="L604" s="320"/>
      <c r="M604" s="320"/>
      <c r="N604" s="320"/>
      <c r="O604" s="320"/>
    </row>
    <row r="605">
      <c r="A605" s="32">
        <f t="shared" si="1"/>
        <v>604</v>
      </c>
      <c r="B605" s="9" t="s">
        <v>1181</v>
      </c>
      <c r="C605" s="11" t="s">
        <v>883</v>
      </c>
      <c r="D605" s="4" t="s">
        <v>1817</v>
      </c>
      <c r="E605" s="27" t="str">
        <f>VLOOKUP($C605,'U Fittings'!$E:$O,3,0)</f>
        <v/>
      </c>
      <c r="F605" s="27">
        <f>VLOOKUP($C605,'U Fittings'!$E:$O,2,0)</f>
        <v>748</v>
      </c>
      <c r="G605" s="27" t="str">
        <f>VLOOKUP($C605,'U Fittings'!$E:$O,11,0)</f>
        <v>#REF!</v>
      </c>
      <c r="H605" s="320"/>
      <c r="I605" s="320"/>
      <c r="J605" s="320"/>
      <c r="K605" s="320"/>
      <c r="L605" s="320"/>
      <c r="M605" s="320"/>
      <c r="N605" s="320"/>
      <c r="O605" s="320"/>
    </row>
    <row r="606">
      <c r="A606" s="32">
        <f t="shared" si="1"/>
        <v>605</v>
      </c>
      <c r="B606" s="9" t="s">
        <v>1181</v>
      </c>
      <c r="C606" s="11" t="s">
        <v>1276</v>
      </c>
      <c r="D606" s="4" t="s">
        <v>1818</v>
      </c>
      <c r="E606" s="27" t="str">
        <f>VLOOKUP($C606,'U Fittings'!$E:$O,3,0)</f>
        <v/>
      </c>
      <c r="F606" s="27">
        <f>VLOOKUP($C606,'U Fittings'!$E:$O,2,0)</f>
        <v>748</v>
      </c>
      <c r="G606" s="27" t="str">
        <f>VLOOKUP($C606,'U Fittings'!$E:$O,11,0)</f>
        <v>#REF!</v>
      </c>
      <c r="H606" s="320"/>
      <c r="I606" s="320"/>
      <c r="J606" s="320"/>
      <c r="K606" s="320"/>
      <c r="L606" s="320"/>
      <c r="M606" s="320"/>
      <c r="N606" s="320"/>
      <c r="O606" s="320"/>
    </row>
    <row r="607">
      <c r="A607" s="32">
        <f t="shared" si="1"/>
        <v>606</v>
      </c>
      <c r="B607" s="9" t="s">
        <v>1181</v>
      </c>
      <c r="C607" s="11" t="s">
        <v>875</v>
      </c>
      <c r="D607" s="4" t="s">
        <v>1819</v>
      </c>
      <c r="E607" s="27" t="str">
        <f>VLOOKUP($C607,'U Fittings'!$E:$O,3,0)</f>
        <v/>
      </c>
      <c r="F607" s="27">
        <f>VLOOKUP($C607,'U Fittings'!$E:$O,2,0)</f>
        <v>758</v>
      </c>
      <c r="G607" s="27" t="str">
        <f>VLOOKUP($C607,'U Fittings'!$E:$O,11,0)</f>
        <v>#REF!</v>
      </c>
      <c r="H607" s="320"/>
      <c r="I607" s="320"/>
      <c r="J607" s="320"/>
      <c r="K607" s="320"/>
      <c r="L607" s="320"/>
      <c r="M607" s="320"/>
      <c r="N607" s="320"/>
      <c r="O607" s="320"/>
    </row>
    <row r="608">
      <c r="A608" s="32">
        <f t="shared" si="1"/>
        <v>607</v>
      </c>
      <c r="B608" s="9" t="s">
        <v>1181</v>
      </c>
      <c r="C608" s="11" t="s">
        <v>1280</v>
      </c>
      <c r="D608" s="4" t="s">
        <v>1820</v>
      </c>
      <c r="E608" s="27" t="str">
        <f>VLOOKUP($C608,'U Fittings'!$E:$O,3,0)</f>
        <v/>
      </c>
      <c r="F608" s="27">
        <f>VLOOKUP($C608,'U Fittings'!$E:$O,2,0)</f>
        <v>728</v>
      </c>
      <c r="G608" s="27" t="str">
        <f>VLOOKUP($C608,'U Fittings'!$E:$O,11,0)</f>
        <v>#REF!</v>
      </c>
      <c r="H608" s="320"/>
      <c r="I608" s="320"/>
      <c r="J608" s="320"/>
      <c r="K608" s="320"/>
      <c r="L608" s="320"/>
      <c r="M608" s="320"/>
      <c r="N608" s="320"/>
      <c r="O608" s="320"/>
    </row>
    <row r="609">
      <c r="A609" s="32">
        <f t="shared" si="1"/>
        <v>608</v>
      </c>
      <c r="B609" s="9" t="s">
        <v>1181</v>
      </c>
      <c r="C609" s="11" t="s">
        <v>786</v>
      </c>
      <c r="D609" s="4" t="s">
        <v>1821</v>
      </c>
      <c r="E609" s="27" t="str">
        <f>VLOOKUP($C609,'U Fittings'!$E:$O,3,0)</f>
        <v/>
      </c>
      <c r="F609" s="27">
        <f>VLOOKUP($C609,'U Fittings'!$E:$O,2,0)</f>
        <v>703</v>
      </c>
      <c r="G609" s="27" t="str">
        <f>VLOOKUP($C609,'U Fittings'!$E:$O,11,0)</f>
        <v>#REF!</v>
      </c>
      <c r="H609" s="320"/>
      <c r="I609" s="320"/>
      <c r="J609" s="320"/>
      <c r="K609" s="320"/>
      <c r="L609" s="320"/>
      <c r="M609" s="320"/>
      <c r="N609" s="320"/>
      <c r="O609" s="320"/>
    </row>
    <row r="610">
      <c r="A610" s="32">
        <f t="shared" si="1"/>
        <v>609</v>
      </c>
      <c r="B610" s="9" t="s">
        <v>1181</v>
      </c>
      <c r="C610" s="11" t="s">
        <v>781</v>
      </c>
      <c r="D610" s="4" t="s">
        <v>1822</v>
      </c>
      <c r="E610" s="27" t="str">
        <f>VLOOKUP($C610,'U Fittings'!$E:$O,3,0)</f>
        <v/>
      </c>
      <c r="F610" s="27">
        <f>VLOOKUP($C610,'U Fittings'!$E:$O,2,0)</f>
        <v>711</v>
      </c>
      <c r="G610" s="27" t="str">
        <f>VLOOKUP($C610,'U Fittings'!$E:$O,11,0)</f>
        <v>#REF!</v>
      </c>
      <c r="H610" s="320"/>
      <c r="I610" s="320"/>
      <c r="J610" s="320"/>
      <c r="K610" s="320"/>
      <c r="L610" s="320"/>
      <c r="M610" s="320"/>
      <c r="N610" s="320"/>
      <c r="O610" s="320"/>
    </row>
    <row r="611">
      <c r="A611" s="32">
        <f t="shared" si="1"/>
        <v>610</v>
      </c>
      <c r="B611" s="9" t="s">
        <v>1181</v>
      </c>
      <c r="C611" s="11" t="s">
        <v>778</v>
      </c>
      <c r="D611" s="4" t="s">
        <v>1823</v>
      </c>
      <c r="E611" s="27" t="str">
        <f>VLOOKUP($C611,'U Fittings'!$E:$O,3,0)</f>
        <v/>
      </c>
      <c r="F611" s="27">
        <f>VLOOKUP($C611,'U Fittings'!$E:$O,2,0)</f>
        <v>720</v>
      </c>
      <c r="G611" s="27" t="str">
        <f>VLOOKUP($C611,'U Fittings'!$E:$O,11,0)</f>
        <v>#REF!</v>
      </c>
      <c r="H611" s="320"/>
      <c r="I611" s="320"/>
      <c r="J611" s="320"/>
      <c r="K611" s="320"/>
      <c r="L611" s="320"/>
      <c r="M611" s="320"/>
      <c r="N611" s="320"/>
      <c r="O611" s="320"/>
    </row>
    <row r="612">
      <c r="A612" s="32">
        <f t="shared" si="1"/>
        <v>611</v>
      </c>
      <c r="B612" s="9" t="s">
        <v>1181</v>
      </c>
      <c r="C612" s="11" t="s">
        <v>774</v>
      </c>
      <c r="D612" s="4" t="s">
        <v>1824</v>
      </c>
      <c r="E612" s="27" t="str">
        <f>VLOOKUP($C612,'U Fittings'!$E:$O,3,0)</f>
        <v/>
      </c>
      <c r="F612" s="27">
        <f>VLOOKUP($C612,'U Fittings'!$E:$O,2,0)</f>
        <v>720</v>
      </c>
      <c r="G612" s="27" t="str">
        <f>VLOOKUP($C612,'U Fittings'!$E:$O,11,0)</f>
        <v>#REF!</v>
      </c>
      <c r="H612" s="320"/>
      <c r="I612" s="320"/>
      <c r="J612" s="320"/>
      <c r="K612" s="320"/>
      <c r="L612" s="320"/>
      <c r="M612" s="320"/>
      <c r="N612" s="320"/>
      <c r="O612" s="320"/>
    </row>
    <row r="613">
      <c r="A613" s="32">
        <f t="shared" si="1"/>
        <v>612</v>
      </c>
      <c r="B613" s="9" t="s">
        <v>1181</v>
      </c>
      <c r="C613" s="11" t="s">
        <v>771</v>
      </c>
      <c r="D613" s="4" t="s">
        <v>1825</v>
      </c>
      <c r="E613" s="27" t="str">
        <f>VLOOKUP($C613,'U Fittings'!$E:$O,3,0)</f>
        <v/>
      </c>
      <c r="F613" s="27">
        <f>VLOOKUP($C613,'U Fittings'!$E:$O,2,0)</f>
        <v>728</v>
      </c>
      <c r="G613" s="27" t="str">
        <f>VLOOKUP($C613,'U Fittings'!$E:$O,11,0)</f>
        <v>#REF!</v>
      </c>
      <c r="H613" s="320"/>
      <c r="I613" s="320"/>
      <c r="J613" s="320"/>
      <c r="K613" s="320"/>
      <c r="L613" s="320"/>
      <c r="M613" s="320"/>
      <c r="N613" s="320"/>
      <c r="O613" s="320"/>
    </row>
    <row r="614">
      <c r="A614" s="32">
        <f t="shared" si="1"/>
        <v>613</v>
      </c>
      <c r="B614" s="9" t="s">
        <v>1181</v>
      </c>
      <c r="C614" s="11" t="s">
        <v>766</v>
      </c>
      <c r="D614" s="4" t="s">
        <v>1826</v>
      </c>
      <c r="E614" s="27" t="str">
        <f>VLOOKUP($C614,'U Fittings'!$E:$O,3,0)</f>
        <v/>
      </c>
      <c r="F614" s="27">
        <f>VLOOKUP($C614,'U Fittings'!$E:$O,2,0)</f>
        <v>711</v>
      </c>
      <c r="G614" s="27" t="str">
        <f>VLOOKUP($C614,'U Fittings'!$E:$O,11,0)</f>
        <v>#REF!</v>
      </c>
      <c r="H614" s="320"/>
      <c r="I614" s="320"/>
      <c r="J614" s="320"/>
      <c r="K614" s="320"/>
      <c r="L614" s="320"/>
      <c r="M614" s="320"/>
      <c r="N614" s="320"/>
      <c r="O614" s="320"/>
    </row>
    <row r="615">
      <c r="A615" s="32">
        <f t="shared" si="1"/>
        <v>614</v>
      </c>
      <c r="B615" s="9" t="s">
        <v>1181</v>
      </c>
      <c r="C615" s="214" t="s">
        <v>1311</v>
      </c>
      <c r="D615" s="215" t="s">
        <v>777</v>
      </c>
      <c r="E615" s="27" t="str">
        <f>VLOOKUP($C615,'U Fittings'!$E:$O,3,0)</f>
        <v/>
      </c>
      <c r="F615" s="27">
        <f>VLOOKUP($C615,'U Fittings'!$E:$O,2,0)</f>
        <v>1377</v>
      </c>
      <c r="G615" s="27" t="str">
        <f>VLOOKUP($C615,'U Fittings'!$E:$O,11,0)</f>
        <v>#REF!</v>
      </c>
      <c r="H615" s="320"/>
      <c r="I615" s="320"/>
      <c r="J615" s="320"/>
      <c r="K615" s="320"/>
      <c r="L615" s="320"/>
      <c r="M615" s="320"/>
      <c r="N615" s="320"/>
      <c r="O615" s="320"/>
    </row>
    <row r="616">
      <c r="A616" s="32">
        <f t="shared" si="1"/>
        <v>615</v>
      </c>
      <c r="B616" s="9" t="s">
        <v>1181</v>
      </c>
      <c r="C616" s="214" t="s">
        <v>1317</v>
      </c>
      <c r="D616" s="215" t="s">
        <v>777</v>
      </c>
      <c r="E616" s="27" t="str">
        <f>VLOOKUP($C616,'U Fittings'!$E:$O,3,0)</f>
        <v/>
      </c>
      <c r="F616" s="27">
        <f>VLOOKUP($C616,'U Fittings'!$E:$O,2,0)</f>
        <v>1299</v>
      </c>
      <c r="G616" s="27" t="str">
        <f>VLOOKUP($C616,'U Fittings'!$E:$O,11,0)</f>
        <v>#REF!</v>
      </c>
      <c r="H616" s="320"/>
      <c r="I616" s="320"/>
      <c r="J616" s="320"/>
      <c r="K616" s="320"/>
      <c r="L616" s="320"/>
      <c r="M616" s="320"/>
      <c r="N616" s="320"/>
      <c r="O616" s="320"/>
    </row>
    <row r="617">
      <c r="A617" s="32">
        <f t="shared" si="1"/>
        <v>616</v>
      </c>
      <c r="B617" s="9" t="s">
        <v>1181</v>
      </c>
      <c r="C617" s="214" t="s">
        <v>1302</v>
      </c>
      <c r="D617" s="215" t="s">
        <v>777</v>
      </c>
      <c r="E617" s="27" t="str">
        <f>VLOOKUP($C617,'U Fittings'!$E:$O,3,0)</f>
        <v/>
      </c>
      <c r="F617" s="27">
        <f>VLOOKUP($C617,'U Fittings'!$E:$O,2,0)</f>
        <v>1299</v>
      </c>
      <c r="G617" s="27" t="str">
        <f>VLOOKUP($C617,'U Fittings'!$E:$O,11,0)</f>
        <v>#REF!</v>
      </c>
      <c r="H617" s="320"/>
      <c r="I617" s="320"/>
      <c r="J617" s="320"/>
      <c r="K617" s="320"/>
      <c r="L617" s="320"/>
      <c r="M617" s="320"/>
      <c r="N617" s="320"/>
      <c r="O617" s="320"/>
    </row>
    <row r="618">
      <c r="A618" s="32">
        <f t="shared" si="1"/>
        <v>617</v>
      </c>
      <c r="B618" s="9" t="s">
        <v>1181</v>
      </c>
      <c r="C618" s="214" t="s">
        <v>1313</v>
      </c>
      <c r="D618" s="215" t="s">
        <v>777</v>
      </c>
      <c r="E618" s="27" t="str">
        <f>VLOOKUP($C618,'U Fittings'!$E:$O,3,0)</f>
        <v/>
      </c>
      <c r="F618" s="27">
        <f>VLOOKUP($C618,'U Fittings'!$E:$O,2,0)</f>
        <v>1377</v>
      </c>
      <c r="G618" s="27" t="str">
        <f>VLOOKUP($C618,'U Fittings'!$E:$O,11,0)</f>
        <v>#REF!</v>
      </c>
      <c r="H618" s="320"/>
      <c r="I618" s="320"/>
      <c r="J618" s="320"/>
      <c r="K618" s="320"/>
      <c r="L618" s="320"/>
      <c r="M618" s="320"/>
      <c r="N618" s="320"/>
      <c r="O618" s="320"/>
    </row>
    <row r="619">
      <c r="A619" s="32">
        <f t="shared" si="1"/>
        <v>618</v>
      </c>
      <c r="B619" s="9" t="s">
        <v>1181</v>
      </c>
      <c r="C619" s="214" t="s">
        <v>1306</v>
      </c>
      <c r="D619" s="215" t="s">
        <v>777</v>
      </c>
      <c r="E619" s="27" t="str">
        <f>VLOOKUP($C619,'U Fittings'!$E:$O,3,0)</f>
        <v/>
      </c>
      <c r="F619" s="27">
        <f>VLOOKUP($C619,'U Fittings'!$E:$O,2,0)</f>
        <v>1299</v>
      </c>
      <c r="G619" s="27" t="str">
        <f>VLOOKUP($C619,'U Fittings'!$E:$O,11,0)</f>
        <v>#REF!</v>
      </c>
      <c r="H619" s="320"/>
      <c r="I619" s="320"/>
      <c r="J619" s="320"/>
      <c r="K619" s="320"/>
      <c r="L619" s="320"/>
      <c r="M619" s="320"/>
      <c r="N619" s="320"/>
      <c r="O619" s="320"/>
    </row>
    <row r="620">
      <c r="A620" s="32">
        <f t="shared" si="1"/>
        <v>619</v>
      </c>
      <c r="B620" s="9" t="s">
        <v>1181</v>
      </c>
      <c r="C620" s="214" t="s">
        <v>1315</v>
      </c>
      <c r="D620" s="215" t="s">
        <v>777</v>
      </c>
      <c r="E620" s="27" t="str">
        <f>VLOOKUP($C620,'U Fittings'!$E:$O,3,0)</f>
        <v/>
      </c>
      <c r="F620" s="27">
        <f>VLOOKUP($C620,'U Fittings'!$E:$O,2,0)</f>
        <v>1407</v>
      </c>
      <c r="G620" s="27" t="str">
        <f>VLOOKUP($C620,'U Fittings'!$E:$O,11,0)</f>
        <v>#REF!</v>
      </c>
      <c r="H620" s="320"/>
      <c r="I620" s="320"/>
      <c r="J620" s="320"/>
      <c r="K620" s="320"/>
      <c r="L620" s="320"/>
      <c r="M620" s="320"/>
      <c r="N620" s="320"/>
      <c r="O620" s="320"/>
    </row>
    <row r="621">
      <c r="A621" s="32">
        <f t="shared" si="1"/>
        <v>620</v>
      </c>
      <c r="B621" s="9" t="s">
        <v>1181</v>
      </c>
      <c r="C621" s="214" t="s">
        <v>1328</v>
      </c>
      <c r="D621" s="215" t="s">
        <v>709</v>
      </c>
      <c r="E621" s="27" t="str">
        <f>VLOOKUP($C621,'U Fittings'!$E:$O,3,0)</f>
        <v/>
      </c>
      <c r="F621" s="27">
        <f>VLOOKUP($C621,'U Fittings'!$E:$O,2,0)</f>
        <v>1358</v>
      </c>
      <c r="G621" s="27" t="str">
        <f>VLOOKUP($C621,'U Fittings'!$E:$O,11,0)</f>
        <v>#REF!</v>
      </c>
      <c r="H621" s="320"/>
      <c r="I621" s="320"/>
      <c r="J621" s="320"/>
      <c r="K621" s="320"/>
      <c r="L621" s="320"/>
      <c r="M621" s="320"/>
      <c r="N621" s="320"/>
      <c r="O621" s="320"/>
    </row>
    <row r="622">
      <c r="A622" s="32">
        <f t="shared" si="1"/>
        <v>621</v>
      </c>
      <c r="B622" s="9" t="s">
        <v>1181</v>
      </c>
      <c r="C622" s="214" t="s">
        <v>1332</v>
      </c>
      <c r="D622" s="215" t="s">
        <v>709</v>
      </c>
      <c r="E622" s="27" t="str">
        <f>VLOOKUP($C622,'U Fittings'!$E:$O,3,0)</f>
        <v/>
      </c>
      <c r="F622" s="27">
        <f>VLOOKUP($C622,'U Fittings'!$E:$O,2,0)</f>
        <v>1280</v>
      </c>
      <c r="G622" s="27" t="str">
        <f>VLOOKUP($C622,'U Fittings'!$E:$O,11,0)</f>
        <v>#REF!</v>
      </c>
      <c r="H622" s="320"/>
      <c r="I622" s="320"/>
      <c r="J622" s="320"/>
      <c r="K622" s="320"/>
      <c r="L622" s="320"/>
      <c r="M622" s="320"/>
      <c r="N622" s="320"/>
      <c r="O622" s="320"/>
    </row>
    <row r="623">
      <c r="A623" s="32">
        <f t="shared" si="1"/>
        <v>622</v>
      </c>
      <c r="B623" s="9" t="s">
        <v>1181</v>
      </c>
      <c r="C623" s="214" t="s">
        <v>1322</v>
      </c>
      <c r="D623" s="215" t="s">
        <v>709</v>
      </c>
      <c r="E623" s="27" t="str">
        <f>VLOOKUP($C623,'U Fittings'!$E:$O,3,0)</f>
        <v/>
      </c>
      <c r="F623" s="27">
        <f>VLOOKUP($C623,'U Fittings'!$E:$O,2,0)</f>
        <v>1280</v>
      </c>
      <c r="G623" s="27" t="str">
        <f>VLOOKUP($C623,'U Fittings'!$E:$O,11,0)</f>
        <v>#REF!</v>
      </c>
      <c r="H623" s="320"/>
      <c r="I623" s="320"/>
      <c r="J623" s="320"/>
      <c r="K623" s="320"/>
      <c r="L623" s="320"/>
      <c r="M623" s="320"/>
      <c r="N623" s="320"/>
      <c r="O623" s="320"/>
    </row>
    <row r="624">
      <c r="A624" s="32">
        <f t="shared" si="1"/>
        <v>623</v>
      </c>
      <c r="B624" s="9" t="s">
        <v>1181</v>
      </c>
      <c r="C624" s="214" t="s">
        <v>1330</v>
      </c>
      <c r="D624" s="215" t="s">
        <v>709</v>
      </c>
      <c r="E624" s="27" t="str">
        <f>VLOOKUP($C624,'U Fittings'!$E:$O,3,0)</f>
        <v/>
      </c>
      <c r="F624" s="27">
        <f>VLOOKUP($C624,'U Fittings'!$E:$O,2,0)</f>
        <v>1358</v>
      </c>
      <c r="G624" s="27" t="str">
        <f>VLOOKUP($C624,'U Fittings'!$E:$O,11,0)</f>
        <v>#REF!</v>
      </c>
      <c r="H624" s="320"/>
      <c r="I624" s="320"/>
      <c r="J624" s="320"/>
      <c r="K624" s="320"/>
      <c r="L624" s="320"/>
      <c r="M624" s="320"/>
      <c r="N624" s="320"/>
      <c r="O624" s="320"/>
    </row>
    <row r="625">
      <c r="A625" s="32">
        <f t="shared" si="1"/>
        <v>624</v>
      </c>
      <c r="B625" s="9" t="s">
        <v>1181</v>
      </c>
      <c r="C625" s="214" t="s">
        <v>1327</v>
      </c>
      <c r="D625" s="215" t="s">
        <v>709</v>
      </c>
      <c r="E625" s="27" t="str">
        <f>VLOOKUP($C625,'U Fittings'!$E:$O,3,0)</f>
        <v/>
      </c>
      <c r="F625" s="27">
        <f>VLOOKUP($C625,'U Fittings'!$E:$O,2,0)</f>
        <v>1280</v>
      </c>
      <c r="G625" s="27" t="str">
        <f>VLOOKUP($C625,'U Fittings'!$E:$O,11,0)</f>
        <v>#REF!</v>
      </c>
      <c r="H625" s="320"/>
      <c r="I625" s="320"/>
      <c r="J625" s="320"/>
      <c r="K625" s="320"/>
      <c r="L625" s="320"/>
      <c r="M625" s="320"/>
      <c r="N625" s="320"/>
      <c r="O625" s="320"/>
    </row>
    <row r="626">
      <c r="A626" s="32">
        <f t="shared" si="1"/>
        <v>625</v>
      </c>
      <c r="B626" s="9" t="s">
        <v>1181</v>
      </c>
      <c r="C626" s="214" t="s">
        <v>1331</v>
      </c>
      <c r="D626" s="215" t="s">
        <v>709</v>
      </c>
      <c r="E626" s="27" t="str">
        <f>VLOOKUP($C626,'U Fittings'!$E:$O,3,0)</f>
        <v/>
      </c>
      <c r="F626" s="27">
        <f>VLOOKUP($C626,'U Fittings'!$E:$O,2,0)</f>
        <v>1388</v>
      </c>
      <c r="G626" s="27" t="str">
        <f>VLOOKUP($C626,'U Fittings'!$E:$O,11,0)</f>
        <v>#REF!</v>
      </c>
      <c r="H626" s="320"/>
      <c r="I626" s="320"/>
      <c r="J626" s="320"/>
      <c r="K626" s="320"/>
      <c r="L626" s="320"/>
      <c r="M626" s="320"/>
      <c r="N626" s="320"/>
      <c r="O626" s="320"/>
    </row>
    <row r="627">
      <c r="A627" s="32">
        <f t="shared" si="1"/>
        <v>626</v>
      </c>
      <c r="B627" s="378" t="s">
        <v>61</v>
      </c>
      <c r="C627" s="11" t="s">
        <v>1521</v>
      </c>
      <c r="D627" s="12" t="s">
        <v>1827</v>
      </c>
      <c r="E627" s="320">
        <f>VLOOKUP($C627,'SWR PIPE'!$G$5:$K2469,3,0)</f>
        <v>2.2</v>
      </c>
      <c r="F627" s="320">
        <f>VLOOKUP($C627,'SWR PIPE'!$G$5:$K2469,2,0)</f>
        <v>578</v>
      </c>
      <c r="G627" s="320">
        <f>VLOOKUP($C627,'SWR PIPE'!$G$5:$K2469,5,0)</f>
        <v>578</v>
      </c>
      <c r="H627" s="320"/>
      <c r="I627" s="320"/>
      <c r="J627" s="320"/>
      <c r="K627" s="320"/>
      <c r="L627" s="320"/>
      <c r="M627" s="320"/>
      <c r="N627" s="320"/>
      <c r="O627" s="320"/>
    </row>
    <row r="628">
      <c r="A628" s="32">
        <f t="shared" si="1"/>
        <v>627</v>
      </c>
      <c r="B628" s="378" t="s">
        <v>61</v>
      </c>
      <c r="C628" s="11" t="s">
        <v>1525</v>
      </c>
      <c r="D628" s="12" t="s">
        <v>1827</v>
      </c>
      <c r="E628" s="320">
        <f>VLOOKUP($C628,'SWR PIPE'!$G$5:$K2469,3,0)</f>
        <v>2.2</v>
      </c>
      <c r="F628" s="320">
        <f>VLOOKUP($C628,'SWR PIPE'!$G$5:$K2469,2,0)</f>
        <v>598</v>
      </c>
      <c r="G628" s="320">
        <f>VLOOKUP($C628,'SWR PIPE'!$G$5:$K2469,5,0)</f>
        <v>598</v>
      </c>
      <c r="H628" s="320"/>
      <c r="I628" s="320"/>
      <c r="J628" s="320"/>
      <c r="K628" s="320"/>
      <c r="L628" s="320"/>
      <c r="M628" s="320"/>
      <c r="N628" s="320"/>
      <c r="O628" s="320"/>
    </row>
    <row r="629">
      <c r="A629" s="32">
        <f t="shared" si="1"/>
        <v>628</v>
      </c>
      <c r="B629" s="378" t="s">
        <v>61</v>
      </c>
      <c r="C629" s="11" t="s">
        <v>1529</v>
      </c>
      <c r="D629" s="12" t="s">
        <v>1828</v>
      </c>
      <c r="E629" s="320">
        <f>VLOOKUP($C629,'SWR PIPE'!$G$5:$K2469,3,0)</f>
        <v>4.4</v>
      </c>
      <c r="F629" s="320">
        <f>VLOOKUP($C629,'SWR PIPE'!$G$5:$K2469,2,0)</f>
        <v>1196</v>
      </c>
      <c r="G629" s="320">
        <f>VLOOKUP($C629,'SWR PIPE'!$G$5:$K2469,5,0)</f>
        <v>1196</v>
      </c>
      <c r="H629" s="320"/>
      <c r="I629" s="320"/>
      <c r="J629" s="320"/>
      <c r="K629" s="320"/>
      <c r="L629" s="320"/>
      <c r="M629" s="320"/>
      <c r="N629" s="320"/>
      <c r="O629" s="320"/>
    </row>
    <row r="630">
      <c r="A630" s="32">
        <f t="shared" si="1"/>
        <v>629</v>
      </c>
      <c r="B630" s="378" t="s">
        <v>61</v>
      </c>
      <c r="C630" s="11" t="s">
        <v>1531</v>
      </c>
      <c r="D630" s="12" t="s">
        <v>1828</v>
      </c>
      <c r="E630" s="320">
        <f>VLOOKUP($C630,'SWR PIPE'!$G$5:$K2469,3,0)</f>
        <v>4.4</v>
      </c>
      <c r="F630" s="320">
        <f>VLOOKUP($C630,'SWR PIPE'!$G$5:$K2469,2,0)</f>
        <v>1209</v>
      </c>
      <c r="G630" s="320">
        <f>VLOOKUP($C630,'SWR PIPE'!$G$5:$K2469,5,0)</f>
        <v>1209</v>
      </c>
      <c r="H630" s="320"/>
      <c r="I630" s="320"/>
      <c r="J630" s="320"/>
      <c r="K630" s="320"/>
      <c r="L630" s="320"/>
      <c r="M630" s="320"/>
      <c r="N630" s="320"/>
      <c r="O630" s="320"/>
    </row>
    <row r="631">
      <c r="A631" s="32">
        <f t="shared" si="1"/>
        <v>630</v>
      </c>
      <c r="B631" s="378" t="s">
        <v>61</v>
      </c>
      <c r="C631" s="11" t="s">
        <v>1535</v>
      </c>
      <c r="D631" s="12" t="s">
        <v>1829</v>
      </c>
      <c r="E631" s="320">
        <f>VLOOKUP($C631,'SWR PIPE'!$G$5:$K2469,3,0)</f>
        <v>0.44</v>
      </c>
      <c r="F631" s="320">
        <f>VLOOKUP($C631,'SWR PIPE'!$G$5:$K2469,2,0)</f>
        <v>148</v>
      </c>
      <c r="G631" s="320">
        <f>VLOOKUP($C631,'SWR PIPE'!$G$5:$K2469,5,0)</f>
        <v>148</v>
      </c>
      <c r="H631" s="320"/>
      <c r="I631" s="320"/>
      <c r="J631" s="320"/>
      <c r="K631" s="320"/>
      <c r="L631" s="320"/>
      <c r="M631" s="320"/>
      <c r="N631" s="320"/>
      <c r="O631" s="320"/>
    </row>
    <row r="632">
      <c r="A632" s="32">
        <f t="shared" si="1"/>
        <v>631</v>
      </c>
      <c r="B632" s="378" t="s">
        <v>61</v>
      </c>
      <c r="C632" s="11" t="s">
        <v>1538</v>
      </c>
      <c r="D632" s="12" t="s">
        <v>1830</v>
      </c>
      <c r="E632" s="320">
        <f>VLOOKUP($C632,'SWR PIPE'!$G$5:$K2469,3,0)</f>
        <v>0.68</v>
      </c>
      <c r="F632" s="320">
        <f>VLOOKUP($C632,'SWR PIPE'!$G$5:$K2469,2,0)</f>
        <v>222</v>
      </c>
      <c r="G632" s="320">
        <f>VLOOKUP($C632,'SWR PIPE'!$G$5:$K2469,5,0)</f>
        <v>222</v>
      </c>
      <c r="H632" s="320"/>
      <c r="I632" s="320"/>
      <c r="J632" s="320"/>
      <c r="K632" s="320"/>
      <c r="L632" s="320"/>
      <c r="M632" s="320"/>
      <c r="N632" s="320"/>
      <c r="O632" s="320"/>
    </row>
    <row r="633">
      <c r="A633" s="32">
        <f t="shared" si="1"/>
        <v>632</v>
      </c>
      <c r="B633" s="378" t="s">
        <v>61</v>
      </c>
      <c r="C633" s="11" t="s">
        <v>1542</v>
      </c>
      <c r="D633" s="12" t="s">
        <v>1831</v>
      </c>
      <c r="E633" s="320">
        <f>VLOOKUP($C633,'SWR PIPE'!$G$5:$K2469,3,0)</f>
        <v>0.9</v>
      </c>
      <c r="F633" s="320">
        <f>VLOOKUP($C633,'SWR PIPE'!$G$5:$K2469,2,0)</f>
        <v>296</v>
      </c>
      <c r="G633" s="320">
        <f>VLOOKUP($C633,'SWR PIPE'!$G$5:$K2469,5,0)</f>
        <v>296</v>
      </c>
      <c r="H633" s="320"/>
      <c r="I633" s="320"/>
      <c r="J633" s="320"/>
      <c r="K633" s="320"/>
      <c r="L633" s="320"/>
      <c r="M633" s="320"/>
      <c r="N633" s="320"/>
      <c r="O633" s="320"/>
    </row>
    <row r="634">
      <c r="A634" s="32">
        <f t="shared" si="1"/>
        <v>633</v>
      </c>
      <c r="B634" s="378" t="s">
        <v>61</v>
      </c>
      <c r="C634" s="11" t="s">
        <v>1545</v>
      </c>
      <c r="D634" s="12" t="s">
        <v>1832</v>
      </c>
      <c r="E634" s="320">
        <f>VLOOKUP($C634,'SWR PIPE'!$G$5:$K2469,3,0)</f>
        <v>1.33</v>
      </c>
      <c r="F634" s="320">
        <f>VLOOKUP($C634,'SWR PIPE'!$G$5:$K2469,2,0)</f>
        <v>444</v>
      </c>
      <c r="G634" s="320">
        <f>VLOOKUP($C634,'SWR PIPE'!$G$5:$K2469,5,0)</f>
        <v>444</v>
      </c>
      <c r="H634" s="320"/>
      <c r="I634" s="320"/>
      <c r="J634" s="320"/>
      <c r="K634" s="320"/>
      <c r="L634" s="320"/>
      <c r="M634" s="320"/>
      <c r="N634" s="320"/>
      <c r="O634" s="320"/>
    </row>
    <row r="635">
      <c r="A635" s="32">
        <f t="shared" si="1"/>
        <v>634</v>
      </c>
      <c r="B635" s="378" t="s">
        <v>61</v>
      </c>
      <c r="C635" s="11" t="s">
        <v>1547</v>
      </c>
      <c r="D635" s="12" t="s">
        <v>1832</v>
      </c>
      <c r="E635" s="320">
        <f>VLOOKUP($C635,'SWR PIPE'!$G$5:$K2469,3,0)</f>
        <v>1.33</v>
      </c>
      <c r="F635" s="320">
        <f>VLOOKUP($C635,'SWR PIPE'!$G$5:$K2469,2,0)</f>
        <v>434</v>
      </c>
      <c r="G635" s="320">
        <f>VLOOKUP($C635,'SWR PIPE'!$G$5:$K2469,5,0)</f>
        <v>434</v>
      </c>
      <c r="H635" s="320"/>
      <c r="I635" s="320"/>
      <c r="J635" s="320"/>
      <c r="K635" s="320"/>
      <c r="L635" s="320"/>
      <c r="M635" s="320"/>
      <c r="N635" s="320"/>
      <c r="O635" s="320"/>
    </row>
    <row r="636">
      <c r="A636" s="32">
        <f t="shared" si="1"/>
        <v>635</v>
      </c>
      <c r="B636" s="378" t="s">
        <v>61</v>
      </c>
      <c r="C636" s="11" t="s">
        <v>1550</v>
      </c>
      <c r="D636" s="12" t="s">
        <v>1831</v>
      </c>
      <c r="E636" s="320">
        <f>VLOOKUP($C636,'SWR PIPE'!$G$5:$K2469,3,0)</f>
        <v>0.9</v>
      </c>
      <c r="F636" s="320">
        <f>VLOOKUP($C636,'SWR PIPE'!$G$5:$K2469,2,0)</f>
        <v>286</v>
      </c>
      <c r="G636" s="320">
        <f>VLOOKUP($C636,'SWR PIPE'!$G$5:$K2469,5,0)</f>
        <v>286</v>
      </c>
      <c r="H636" s="320"/>
      <c r="I636" s="320"/>
      <c r="J636" s="320"/>
      <c r="K636" s="320"/>
      <c r="L636" s="320"/>
      <c r="M636" s="320"/>
      <c r="N636" s="320"/>
      <c r="O636" s="320"/>
    </row>
    <row r="637">
      <c r="A637" s="32">
        <f t="shared" si="1"/>
        <v>636</v>
      </c>
      <c r="B637" s="378" t="s">
        <v>61</v>
      </c>
      <c r="C637" s="11" t="s">
        <v>1554</v>
      </c>
      <c r="D637" s="12" t="s">
        <v>1833</v>
      </c>
      <c r="E637" s="320">
        <f>VLOOKUP($C637,'SWR PIPE'!$G$5:$K2469,3,0)</f>
        <v>2.6</v>
      </c>
      <c r="F637" s="320">
        <f>VLOOKUP($C637,'SWR PIPE'!$G$5:$K2469,2,0)</f>
        <v>698</v>
      </c>
      <c r="G637" s="320">
        <f>VLOOKUP($C637,'SWR PIPE'!$G$5:$K2469,5,0)</f>
        <v>698</v>
      </c>
      <c r="H637" s="320"/>
      <c r="I637" s="320"/>
      <c r="J637" s="320"/>
      <c r="K637" s="320"/>
      <c r="L637" s="320"/>
      <c r="M637" s="320"/>
      <c r="N637" s="320"/>
      <c r="O637" s="320"/>
    </row>
    <row r="638">
      <c r="A638" s="32">
        <f t="shared" si="1"/>
        <v>637</v>
      </c>
      <c r="B638" s="378" t="s">
        <v>61</v>
      </c>
      <c r="C638" s="11" t="s">
        <v>1557</v>
      </c>
      <c r="D638" s="12" t="s">
        <v>1833</v>
      </c>
      <c r="E638" s="320">
        <f>VLOOKUP($C638,'SWR PIPE'!$G$5:$K2469,3,0)</f>
        <v>2.6</v>
      </c>
      <c r="F638" s="320">
        <f>VLOOKUP($C638,'SWR PIPE'!$G$5:$K2469,2,0)</f>
        <v>710</v>
      </c>
      <c r="G638" s="320">
        <f>VLOOKUP($C638,'SWR PIPE'!$G$5:$K2469,5,0)</f>
        <v>710</v>
      </c>
      <c r="H638" s="320"/>
      <c r="I638" s="320"/>
      <c r="J638" s="320"/>
      <c r="K638" s="320"/>
      <c r="L638" s="320"/>
      <c r="M638" s="320"/>
      <c r="N638" s="320"/>
      <c r="O638" s="320"/>
    </row>
    <row r="639">
      <c r="A639" s="32">
        <f t="shared" si="1"/>
        <v>638</v>
      </c>
      <c r="B639" s="378" t="s">
        <v>61</v>
      </c>
      <c r="C639" s="11" t="s">
        <v>1559</v>
      </c>
      <c r="D639" s="12" t="s">
        <v>1834</v>
      </c>
      <c r="E639" s="320">
        <f>VLOOKUP($C639,'SWR PIPE'!$G$5:$K2469,3,0)</f>
        <v>5.2</v>
      </c>
      <c r="F639" s="320">
        <f>VLOOKUP($C639,'SWR PIPE'!$G$5:$K2469,2,0)</f>
        <v>1396</v>
      </c>
      <c r="G639" s="320">
        <f>VLOOKUP($C639,'SWR PIPE'!$G$5:$K2469,5,0)</f>
        <v>1396</v>
      </c>
      <c r="H639" s="320"/>
      <c r="I639" s="320"/>
      <c r="J639" s="320"/>
      <c r="K639" s="320"/>
      <c r="L639" s="320"/>
      <c r="M639" s="320"/>
      <c r="N639" s="320"/>
      <c r="O639" s="320"/>
    </row>
    <row r="640">
      <c r="A640" s="32">
        <f t="shared" si="1"/>
        <v>639</v>
      </c>
      <c r="B640" s="378" t="s">
        <v>61</v>
      </c>
      <c r="C640" s="11" t="s">
        <v>1562</v>
      </c>
      <c r="D640" s="12" t="s">
        <v>1834</v>
      </c>
      <c r="E640" s="320">
        <f>VLOOKUP($C640,'SWR PIPE'!$G$5:$K2469,3,0)</f>
        <v>5.2</v>
      </c>
      <c r="F640" s="320">
        <f>VLOOKUP($C640,'SWR PIPE'!$G$5:$K2469,2,0)</f>
        <v>1408</v>
      </c>
      <c r="G640" s="320">
        <f>VLOOKUP($C640,'SWR PIPE'!$G$5:$K2469,5,0)</f>
        <v>1408</v>
      </c>
      <c r="H640" s="320"/>
      <c r="I640" s="320"/>
      <c r="J640" s="320"/>
      <c r="K640" s="320"/>
      <c r="L640" s="320"/>
      <c r="M640" s="320"/>
      <c r="N640" s="320"/>
      <c r="O640" s="320"/>
    </row>
    <row r="641">
      <c r="A641" s="32">
        <f t="shared" si="1"/>
        <v>640</v>
      </c>
      <c r="B641" s="378" t="s">
        <v>61</v>
      </c>
      <c r="C641" s="11" t="s">
        <v>1565</v>
      </c>
      <c r="D641" s="12" t="s">
        <v>1835</v>
      </c>
      <c r="E641" s="320">
        <f>VLOOKUP($C641,'SWR PIPE'!$G$5:$K2469,3,0)</f>
        <v>0.52</v>
      </c>
      <c r="F641" s="320">
        <f>VLOOKUP($C641,'SWR PIPE'!$G$5:$K2469,2,0)</f>
        <v>188</v>
      </c>
      <c r="G641" s="320">
        <f>VLOOKUP($C641,'SWR PIPE'!$G$5:$K2469,5,0)</f>
        <v>188</v>
      </c>
      <c r="H641" s="320"/>
      <c r="I641" s="320"/>
      <c r="J641" s="320"/>
      <c r="K641" s="320"/>
      <c r="L641" s="320"/>
      <c r="M641" s="320"/>
      <c r="N641" s="320"/>
      <c r="O641" s="320"/>
    </row>
    <row r="642">
      <c r="A642" s="32">
        <f t="shared" si="1"/>
        <v>641</v>
      </c>
      <c r="B642" s="378" t="s">
        <v>61</v>
      </c>
      <c r="C642" s="11" t="s">
        <v>1567</v>
      </c>
      <c r="D642" s="12" t="s">
        <v>1836</v>
      </c>
      <c r="E642" s="320">
        <f>VLOOKUP($C642,'SWR PIPE'!$G$5:$K2469,3,0)</f>
        <v>0.78</v>
      </c>
      <c r="F642" s="320">
        <f>VLOOKUP($C642,'SWR PIPE'!$G$5:$K2469,2,0)</f>
        <v>268</v>
      </c>
      <c r="G642" s="320">
        <f>VLOOKUP($C642,'SWR PIPE'!$G$5:$K2469,5,0)</f>
        <v>268</v>
      </c>
      <c r="H642" s="320"/>
      <c r="I642" s="320"/>
      <c r="J642" s="320"/>
      <c r="K642" s="320"/>
      <c r="L642" s="320"/>
      <c r="M642" s="320"/>
      <c r="N642" s="320"/>
      <c r="O642" s="320"/>
    </row>
    <row r="643">
      <c r="A643" s="32">
        <f t="shared" si="1"/>
        <v>642</v>
      </c>
      <c r="B643" s="378" t="s">
        <v>61</v>
      </c>
      <c r="C643" s="11" t="s">
        <v>1571</v>
      </c>
      <c r="D643" s="12" t="s">
        <v>1837</v>
      </c>
      <c r="E643" s="320">
        <f>VLOOKUP($C643,'SWR PIPE'!$G$5:$K2469,3,0)</f>
        <v>1.04</v>
      </c>
      <c r="F643" s="320">
        <f>VLOOKUP($C643,'SWR PIPE'!$G$5:$K2469,2,0)</f>
        <v>368</v>
      </c>
      <c r="G643" s="320">
        <f>VLOOKUP($C643,'SWR PIPE'!$G$5:$K2469,5,0)</f>
        <v>368</v>
      </c>
      <c r="H643" s="320"/>
      <c r="I643" s="320"/>
      <c r="J643" s="320"/>
      <c r="K643" s="320"/>
      <c r="L643" s="320"/>
      <c r="M643" s="320"/>
      <c r="N643" s="320"/>
      <c r="O643" s="320"/>
    </row>
    <row r="644">
      <c r="A644" s="32">
        <f t="shared" si="1"/>
        <v>643</v>
      </c>
      <c r="B644" s="378" t="s">
        <v>61</v>
      </c>
      <c r="C644" s="11" t="s">
        <v>1573</v>
      </c>
      <c r="D644" s="12" t="s">
        <v>1838</v>
      </c>
      <c r="E644" s="320">
        <f>VLOOKUP($C644,'SWR PIPE'!$G$5:$K2469,3,0)</f>
        <v>1.56</v>
      </c>
      <c r="F644" s="320">
        <f>VLOOKUP($C644,'SWR PIPE'!$G$5:$K2469,2,0)</f>
        <v>554</v>
      </c>
      <c r="G644" s="320">
        <f>VLOOKUP($C644,'SWR PIPE'!$G$5:$K2469,5,0)</f>
        <v>554</v>
      </c>
      <c r="H644" s="320"/>
      <c r="I644" s="320"/>
      <c r="J644" s="320"/>
      <c r="K644" s="320"/>
      <c r="L644" s="320"/>
      <c r="M644" s="320"/>
      <c r="N644" s="320"/>
      <c r="O644" s="320"/>
    </row>
    <row r="645">
      <c r="A645" s="32">
        <f t="shared" si="1"/>
        <v>644</v>
      </c>
      <c r="B645" s="378" t="s">
        <v>61</v>
      </c>
      <c r="C645" s="11" t="s">
        <v>1577</v>
      </c>
      <c r="D645" s="12" t="s">
        <v>1838</v>
      </c>
      <c r="E645" s="320">
        <f>VLOOKUP($C645,'SWR PIPE'!$G$5:$K2469,3,0)</f>
        <v>1.56</v>
      </c>
      <c r="F645" s="320">
        <f>VLOOKUP($C645,'SWR PIPE'!$G$5:$K2469,2,0)</f>
        <v>540</v>
      </c>
      <c r="G645" s="320">
        <f>VLOOKUP($C645,'SWR PIPE'!$G$5:$K2469,5,0)</f>
        <v>540</v>
      </c>
      <c r="H645" s="320"/>
      <c r="I645" s="320"/>
      <c r="J645" s="320"/>
      <c r="K645" s="320"/>
      <c r="L645" s="320"/>
      <c r="M645" s="320"/>
      <c r="N645" s="320"/>
      <c r="O645" s="320"/>
    </row>
    <row r="646">
      <c r="A646" s="32">
        <f t="shared" si="1"/>
        <v>645</v>
      </c>
      <c r="B646" s="378" t="s">
        <v>61</v>
      </c>
      <c r="C646" s="11" t="s">
        <v>1579</v>
      </c>
      <c r="D646" s="12" t="s">
        <v>1837</v>
      </c>
      <c r="E646" s="320">
        <f>VLOOKUP($C646,'SWR PIPE'!$G$5:$K2469,3,0)</f>
        <v>1.18</v>
      </c>
      <c r="F646" s="320">
        <f>VLOOKUP($C646,'SWR PIPE'!$G$5:$K2469,2,0)</f>
        <v>354</v>
      </c>
      <c r="G646" s="320">
        <f>VLOOKUP($C646,'SWR PIPE'!$G$5:$K2469,5,0)</f>
        <v>354</v>
      </c>
      <c r="H646" s="320"/>
      <c r="I646" s="320"/>
      <c r="J646" s="320"/>
      <c r="K646" s="320"/>
      <c r="L646" s="320"/>
      <c r="M646" s="320"/>
      <c r="N646" s="320"/>
      <c r="O646" s="320"/>
    </row>
    <row r="647">
      <c r="A647" s="32">
        <f t="shared" si="1"/>
        <v>646</v>
      </c>
      <c r="B647" s="378" t="s">
        <v>61</v>
      </c>
      <c r="C647" s="11" t="s">
        <v>1583</v>
      </c>
      <c r="D647" s="12" t="s">
        <v>1839</v>
      </c>
      <c r="E647" s="320">
        <f>VLOOKUP($C647,'SWR PIPE'!$G$5:$K2469,3,0)</f>
        <v>3.65</v>
      </c>
      <c r="F647" s="320">
        <f>VLOOKUP($C647,'SWR PIPE'!$G$5:$K2469,2,0)</f>
        <v>970</v>
      </c>
      <c r="G647" s="320">
        <f>VLOOKUP($C647,'SWR PIPE'!$G$5:$K2469,5,0)</f>
        <v>970</v>
      </c>
      <c r="H647" s="320"/>
      <c r="I647" s="320"/>
      <c r="J647" s="320"/>
      <c r="K647" s="320"/>
      <c r="L647" s="320"/>
      <c r="M647" s="320"/>
      <c r="N647" s="320"/>
      <c r="O647" s="320"/>
    </row>
    <row r="648">
      <c r="A648" s="32">
        <f t="shared" si="1"/>
        <v>647</v>
      </c>
      <c r="B648" s="378" t="s">
        <v>61</v>
      </c>
      <c r="C648" s="11" t="s">
        <v>1585</v>
      </c>
      <c r="D648" s="12" t="s">
        <v>1839</v>
      </c>
      <c r="E648" s="320">
        <f>VLOOKUP($C648,'SWR PIPE'!$G$5:$K2469,3,0)</f>
        <v>3.65</v>
      </c>
      <c r="F648" s="320">
        <f>VLOOKUP($C648,'SWR PIPE'!$G$5:$K2469,2,0)</f>
        <v>987</v>
      </c>
      <c r="G648" s="320">
        <f>VLOOKUP($C648,'SWR PIPE'!$G$5:$K2469,5,0)</f>
        <v>987</v>
      </c>
      <c r="H648" s="320"/>
      <c r="I648" s="320"/>
      <c r="J648" s="320"/>
      <c r="K648" s="320"/>
      <c r="L648" s="320"/>
      <c r="M648" s="320"/>
      <c r="N648" s="320"/>
      <c r="O648" s="320"/>
    </row>
    <row r="649">
      <c r="A649" s="32">
        <f t="shared" si="1"/>
        <v>648</v>
      </c>
      <c r="B649" s="378" t="s">
        <v>61</v>
      </c>
      <c r="C649" s="11" t="s">
        <v>1588</v>
      </c>
      <c r="D649" s="12" t="s">
        <v>1840</v>
      </c>
      <c r="E649" s="320">
        <f>VLOOKUP($C649,'SWR PIPE'!$G$5:$K2469,3,0)</f>
        <v>7.6</v>
      </c>
      <c r="F649" s="320">
        <f>VLOOKUP($C649,'SWR PIPE'!$G$5:$K2469,2,0)</f>
        <v>1940</v>
      </c>
      <c r="G649" s="320">
        <f>VLOOKUP($C649,'SWR PIPE'!$G$5:$K2469,5,0)</f>
        <v>1940</v>
      </c>
      <c r="H649" s="320"/>
      <c r="I649" s="320"/>
      <c r="J649" s="320"/>
      <c r="K649" s="320"/>
      <c r="L649" s="320"/>
      <c r="M649" s="320"/>
      <c r="N649" s="320"/>
      <c r="O649" s="320"/>
    </row>
    <row r="650">
      <c r="A650" s="32">
        <f t="shared" si="1"/>
        <v>649</v>
      </c>
      <c r="B650" s="378" t="s">
        <v>61</v>
      </c>
      <c r="C650" s="11" t="s">
        <v>1590</v>
      </c>
      <c r="D650" s="12" t="s">
        <v>1840</v>
      </c>
      <c r="E650" s="320">
        <f>VLOOKUP($C650,'SWR PIPE'!$G$5:$K2469,3,0)</f>
        <v>7.6</v>
      </c>
      <c r="F650" s="320">
        <f>VLOOKUP($C650,'SWR PIPE'!$G$5:$K2469,2,0)</f>
        <v>1960</v>
      </c>
      <c r="G650" s="320">
        <f>VLOOKUP($C650,'SWR PIPE'!$G$5:$K2469,5,0)</f>
        <v>1960</v>
      </c>
      <c r="H650" s="320"/>
      <c r="I650" s="320"/>
      <c r="J650" s="320"/>
      <c r="K650" s="320"/>
      <c r="L650" s="320"/>
      <c r="M650" s="320"/>
      <c r="N650" s="320"/>
      <c r="O650" s="320"/>
    </row>
    <row r="651">
      <c r="A651" s="32">
        <f t="shared" si="1"/>
        <v>650</v>
      </c>
      <c r="B651" s="378" t="s">
        <v>61</v>
      </c>
      <c r="C651" s="11" t="s">
        <v>1593</v>
      </c>
      <c r="D651" s="12" t="s">
        <v>1841</v>
      </c>
      <c r="E651" s="320">
        <f>VLOOKUP($C651,'SWR PIPE'!$G$5:$K2469,3,0)</f>
        <v>0.76</v>
      </c>
      <c r="F651" s="320">
        <f>VLOOKUP($C651,'SWR PIPE'!$G$5:$K2469,2,0)</f>
        <v>258</v>
      </c>
      <c r="G651" s="320">
        <f>VLOOKUP($C651,'SWR PIPE'!$G$5:$K2469,5,0)</f>
        <v>258</v>
      </c>
      <c r="H651" s="320"/>
      <c r="I651" s="320"/>
      <c r="J651" s="320"/>
      <c r="K651" s="320"/>
      <c r="L651" s="320"/>
      <c r="M651" s="320"/>
      <c r="N651" s="320"/>
      <c r="O651" s="320"/>
    </row>
    <row r="652">
      <c r="A652" s="32">
        <f t="shared" si="1"/>
        <v>651</v>
      </c>
      <c r="B652" s="378" t="s">
        <v>61</v>
      </c>
      <c r="C652" s="11" t="s">
        <v>1596</v>
      </c>
      <c r="D652" s="12" t="s">
        <v>1842</v>
      </c>
      <c r="E652" s="320">
        <f>VLOOKUP($C652,'SWR PIPE'!$G$5:$K2469,3,0)</f>
        <v>1.14</v>
      </c>
      <c r="F652" s="320">
        <f>VLOOKUP($C652,'SWR PIPE'!$G$5:$K2469,2,0)</f>
        <v>378</v>
      </c>
      <c r="G652" s="320">
        <f>VLOOKUP($C652,'SWR PIPE'!$G$5:$K2469,5,0)</f>
        <v>378</v>
      </c>
      <c r="H652" s="320"/>
      <c r="I652" s="320"/>
      <c r="J652" s="320"/>
      <c r="K652" s="320"/>
      <c r="L652" s="320"/>
      <c r="M652" s="320"/>
      <c r="N652" s="320"/>
      <c r="O652" s="320"/>
    </row>
    <row r="653">
      <c r="A653" s="32">
        <f t="shared" si="1"/>
        <v>652</v>
      </c>
      <c r="B653" s="378" t="s">
        <v>61</v>
      </c>
      <c r="C653" s="11" t="s">
        <v>1599</v>
      </c>
      <c r="D653" s="12" t="s">
        <v>1843</v>
      </c>
      <c r="E653" s="320">
        <f>VLOOKUP($C653,'SWR PIPE'!$G$5:$K2469,3,0)</f>
        <v>1.52</v>
      </c>
      <c r="F653" s="320">
        <f>VLOOKUP($C653,'SWR PIPE'!$G$5:$K2469,2,0)</f>
        <v>494</v>
      </c>
      <c r="G653" s="320">
        <f>VLOOKUP($C653,'SWR PIPE'!$G$5:$K2469,5,0)</f>
        <v>494</v>
      </c>
      <c r="H653" s="320"/>
      <c r="I653" s="320"/>
      <c r="J653" s="320"/>
      <c r="K653" s="320"/>
      <c r="L653" s="320"/>
      <c r="M653" s="320"/>
      <c r="N653" s="320"/>
      <c r="O653" s="320"/>
    </row>
    <row r="654">
      <c r="A654" s="32">
        <f t="shared" si="1"/>
        <v>653</v>
      </c>
      <c r="B654" s="378" t="s">
        <v>61</v>
      </c>
      <c r="C654" s="11" t="s">
        <v>1601</v>
      </c>
      <c r="D654" s="12" t="s">
        <v>1844</v>
      </c>
      <c r="E654" s="320">
        <f>VLOOKUP($C654,'SWR PIPE'!$G$5:$K2469,3,0)</f>
        <v>2.28</v>
      </c>
      <c r="F654" s="320">
        <f>VLOOKUP($C654,'SWR PIPE'!$G$5:$K2469,2,0)</f>
        <v>734</v>
      </c>
      <c r="G654" s="320">
        <f>VLOOKUP($C654,'SWR PIPE'!$G$5:$K2469,5,0)</f>
        <v>734</v>
      </c>
      <c r="H654" s="320"/>
      <c r="I654" s="320"/>
      <c r="J654" s="320"/>
      <c r="K654" s="320"/>
      <c r="L654" s="320"/>
      <c r="M654" s="320"/>
      <c r="N654" s="320"/>
      <c r="O654" s="320"/>
    </row>
    <row r="655">
      <c r="A655" s="32">
        <f t="shared" si="1"/>
        <v>654</v>
      </c>
      <c r="B655" s="378" t="s">
        <v>61</v>
      </c>
      <c r="C655" s="11" t="s">
        <v>1603</v>
      </c>
      <c r="D655" s="12" t="s">
        <v>1844</v>
      </c>
      <c r="E655" s="320">
        <f>VLOOKUP($C655,'SWR PIPE'!$G$5:$K2469,3,0)</f>
        <v>2.28</v>
      </c>
      <c r="F655" s="320">
        <f>VLOOKUP($C655,'SWR PIPE'!$G$5:$K2469,2,0)</f>
        <v>720</v>
      </c>
      <c r="G655" s="320">
        <f>VLOOKUP($C655,'SWR PIPE'!$G$5:$K2469,5,0)</f>
        <v>720</v>
      </c>
      <c r="H655" s="320"/>
      <c r="I655" s="320"/>
      <c r="J655" s="320"/>
      <c r="K655" s="320"/>
      <c r="L655" s="320"/>
      <c r="M655" s="320"/>
      <c r="N655" s="320"/>
      <c r="O655" s="320"/>
    </row>
    <row r="656">
      <c r="A656" s="32">
        <f t="shared" si="1"/>
        <v>655</v>
      </c>
      <c r="B656" s="378" t="s">
        <v>61</v>
      </c>
      <c r="C656" s="11" t="s">
        <v>1607</v>
      </c>
      <c r="D656" s="12" t="s">
        <v>1843</v>
      </c>
      <c r="E656" s="320">
        <f>VLOOKUP($C656,'SWR PIPE'!$G$5:$K2469,3,0)</f>
        <v>1.61</v>
      </c>
      <c r="F656" s="320">
        <f>VLOOKUP($C656,'SWR PIPE'!$G$5:$K2469,2,0)</f>
        <v>478</v>
      </c>
      <c r="G656" s="320">
        <f>VLOOKUP($C656,'SWR PIPE'!$G$5:$K2469,5,0)</f>
        <v>478</v>
      </c>
      <c r="H656" s="320"/>
      <c r="I656" s="320"/>
      <c r="J656" s="320"/>
      <c r="K656" s="320"/>
      <c r="L656" s="320"/>
      <c r="M656" s="320"/>
      <c r="N656" s="320"/>
      <c r="O656" s="320"/>
    </row>
    <row r="657">
      <c r="A657" s="32">
        <f t="shared" si="1"/>
        <v>656</v>
      </c>
      <c r="B657" s="378" t="s">
        <v>61</v>
      </c>
      <c r="C657" s="11" t="s">
        <v>1611</v>
      </c>
      <c r="D657" s="12" t="s">
        <v>1845</v>
      </c>
      <c r="E657" s="320">
        <f>VLOOKUP($C657,'SWR PIPE'!$G$5:$K2469,3,0)</f>
        <v>7.8</v>
      </c>
      <c r="F657" s="320">
        <f>VLOOKUP($C657,'SWR PIPE'!$G$5:$K2469,2,0)</f>
        <v>2070</v>
      </c>
      <c r="G657" s="320">
        <f>VLOOKUP($C657,'SWR PIPE'!$G$5:$K2469,5,0)</f>
        <v>2070</v>
      </c>
      <c r="H657" s="320"/>
      <c r="I657" s="320"/>
      <c r="J657" s="320"/>
      <c r="K657" s="320"/>
      <c r="L657" s="320"/>
      <c r="M657" s="320"/>
      <c r="N657" s="320"/>
      <c r="O657" s="320"/>
    </row>
    <row r="658">
      <c r="A658" s="32">
        <f t="shared" si="1"/>
        <v>657</v>
      </c>
      <c r="B658" s="378" t="s">
        <v>61</v>
      </c>
      <c r="C658" s="11" t="s">
        <v>1613</v>
      </c>
      <c r="D658" s="12" t="s">
        <v>1845</v>
      </c>
      <c r="E658" s="320">
        <f>VLOOKUP($C658,'SWR PIPE'!$G$5:$K2469,3,0)</f>
        <v>7.8</v>
      </c>
      <c r="F658" s="320">
        <f>VLOOKUP($C658,'SWR PIPE'!$G$5:$K2469,2,0)</f>
        <v>2090</v>
      </c>
      <c r="G658" s="320">
        <f>VLOOKUP($C658,'SWR PIPE'!$G$5:$K2469,5,0)</f>
        <v>2090</v>
      </c>
      <c r="H658" s="320"/>
      <c r="I658" s="320"/>
      <c r="J658" s="320"/>
      <c r="K658" s="320"/>
      <c r="L658" s="320"/>
      <c r="M658" s="320"/>
      <c r="N658" s="320"/>
      <c r="O658" s="320"/>
    </row>
    <row r="659">
      <c r="A659" s="32">
        <f t="shared" si="1"/>
        <v>658</v>
      </c>
      <c r="B659" s="378" t="s">
        <v>61</v>
      </c>
      <c r="C659" s="11" t="s">
        <v>1616</v>
      </c>
      <c r="D659" s="12" t="s">
        <v>1846</v>
      </c>
      <c r="E659" s="320">
        <f>VLOOKUP($C659,'SWR PIPE'!$G$5:$K2469,3,0)</f>
        <v>15.6</v>
      </c>
      <c r="F659" s="320">
        <f>VLOOKUP($C659,'SWR PIPE'!$G$5:$K2469,2,0)</f>
        <v>4140</v>
      </c>
      <c r="G659" s="320">
        <f>VLOOKUP($C659,'SWR PIPE'!$G$5:$K2469,5,0)</f>
        <v>4140</v>
      </c>
      <c r="H659" s="320"/>
      <c r="I659" s="320"/>
      <c r="J659" s="320"/>
      <c r="K659" s="320"/>
      <c r="L659" s="320"/>
      <c r="M659" s="320"/>
      <c r="N659" s="320"/>
      <c r="O659" s="320"/>
    </row>
    <row r="660">
      <c r="A660" s="32">
        <f t="shared" si="1"/>
        <v>659</v>
      </c>
      <c r="B660" s="378" t="s">
        <v>61</v>
      </c>
      <c r="C660" s="11" t="s">
        <v>1618</v>
      </c>
      <c r="D660" s="12" t="s">
        <v>1846</v>
      </c>
      <c r="E660" s="320">
        <f>VLOOKUP($C660,'SWR PIPE'!$G$5:$K2469,3,0)</f>
        <v>15.6</v>
      </c>
      <c r="F660" s="320">
        <f>VLOOKUP($C660,'SWR PIPE'!$G$5:$K2469,2,0)</f>
        <v>4160</v>
      </c>
      <c r="G660" s="320">
        <f>VLOOKUP($C660,'SWR PIPE'!$G$5:$K2469,5,0)</f>
        <v>4160</v>
      </c>
      <c r="H660" s="320"/>
      <c r="I660" s="320"/>
      <c r="J660" s="320"/>
      <c r="K660" s="320"/>
      <c r="L660" s="320"/>
      <c r="M660" s="320"/>
      <c r="N660" s="320"/>
      <c r="O660" s="320"/>
    </row>
    <row r="661">
      <c r="A661" s="32">
        <f t="shared" si="1"/>
        <v>660</v>
      </c>
      <c r="B661" s="378" t="s">
        <v>61</v>
      </c>
      <c r="C661" s="11" t="s">
        <v>1621</v>
      </c>
      <c r="D661" s="12" t="s">
        <v>1847</v>
      </c>
      <c r="E661" s="320">
        <f>VLOOKUP($C661,'SWR PIPE'!$G$5:$K2469,3,0)</f>
        <v>1.56</v>
      </c>
      <c r="F661" s="320">
        <f>VLOOKUP($C661,'SWR PIPE'!$G$5:$K2469,2,0)</f>
        <v>498</v>
      </c>
      <c r="G661" s="320">
        <f>VLOOKUP($C661,'SWR PIPE'!$G$5:$K2469,5,0)</f>
        <v>498</v>
      </c>
      <c r="H661" s="320"/>
      <c r="I661" s="320"/>
      <c r="J661" s="320"/>
      <c r="K661" s="320"/>
      <c r="L661" s="320"/>
      <c r="M661" s="320"/>
      <c r="N661" s="320"/>
      <c r="O661" s="320"/>
    </row>
    <row r="662">
      <c r="A662" s="32">
        <f t="shared" si="1"/>
        <v>661</v>
      </c>
      <c r="B662" s="378" t="s">
        <v>61</v>
      </c>
      <c r="C662" s="11" t="s">
        <v>1624</v>
      </c>
      <c r="D662" s="12" t="s">
        <v>1848</v>
      </c>
      <c r="E662" s="320">
        <f>VLOOKUP($C662,'SWR PIPE'!$G$5:$K2469,3,0)</f>
        <v>2.31</v>
      </c>
      <c r="F662" s="320">
        <f>VLOOKUP($C662,'SWR PIPE'!$G$5:$K2469,2,0)</f>
        <v>742</v>
      </c>
      <c r="G662" s="320">
        <f>VLOOKUP($C662,'SWR PIPE'!$G$5:$K2469,5,0)</f>
        <v>742</v>
      </c>
      <c r="H662" s="320"/>
      <c r="I662" s="320"/>
      <c r="J662" s="320"/>
      <c r="K662" s="320"/>
      <c r="L662" s="320"/>
      <c r="M662" s="320"/>
      <c r="N662" s="320"/>
      <c r="O662" s="320"/>
    </row>
    <row r="663">
      <c r="A663" s="32">
        <f t="shared" si="1"/>
        <v>662</v>
      </c>
      <c r="B663" s="378" t="s">
        <v>61</v>
      </c>
      <c r="C663" s="11" t="s">
        <v>1627</v>
      </c>
      <c r="D663" s="12" t="s">
        <v>1849</v>
      </c>
      <c r="E663" s="320">
        <f>VLOOKUP($C663,'SWR PIPE'!$G$5:$K2469,3,0)</f>
        <v>3.12</v>
      </c>
      <c r="F663" s="320">
        <f>VLOOKUP($C663,'SWR PIPE'!$G$5:$K2469,2,0)</f>
        <v>978</v>
      </c>
      <c r="G663" s="320">
        <f>VLOOKUP($C663,'SWR PIPE'!$G$5:$K2469,5,0)</f>
        <v>978</v>
      </c>
      <c r="H663" s="320"/>
      <c r="I663" s="320"/>
      <c r="J663" s="320"/>
      <c r="K663" s="320"/>
      <c r="L663" s="320"/>
      <c r="M663" s="320"/>
      <c r="N663" s="320"/>
      <c r="O663" s="320"/>
    </row>
    <row r="664">
      <c r="A664" s="32">
        <f t="shared" si="1"/>
        <v>663</v>
      </c>
      <c r="B664" s="378" t="s">
        <v>61</v>
      </c>
      <c r="C664" s="11" t="s">
        <v>1630</v>
      </c>
      <c r="D664" s="12" t="s">
        <v>1850</v>
      </c>
      <c r="E664" s="320">
        <f>VLOOKUP($C664,'SWR PIPE'!$G$5:$K2469,3,0)</f>
        <v>4.68</v>
      </c>
      <c r="F664" s="320">
        <f>VLOOKUP($C664,'SWR PIPE'!$G$5:$K2469,2,0)</f>
        <v>1472</v>
      </c>
      <c r="G664" s="320">
        <f>VLOOKUP($C664,'SWR PIPE'!$G$5:$K2469,5,0)</f>
        <v>1472</v>
      </c>
      <c r="H664" s="320"/>
      <c r="I664" s="320"/>
      <c r="J664" s="320"/>
      <c r="K664" s="320"/>
      <c r="L664" s="320"/>
      <c r="M664" s="320"/>
      <c r="N664" s="320"/>
      <c r="O664" s="320"/>
    </row>
    <row r="665">
      <c r="A665" s="32">
        <f t="shared" si="1"/>
        <v>664</v>
      </c>
      <c r="B665" s="378" t="s">
        <v>61</v>
      </c>
      <c r="C665" s="11" t="s">
        <v>1632</v>
      </c>
      <c r="D665" s="12" t="s">
        <v>1850</v>
      </c>
      <c r="E665" s="320">
        <f>VLOOKUP($C665,'SWR PIPE'!$G$5:$K2469,3,0)</f>
        <v>4.68</v>
      </c>
      <c r="F665" s="320">
        <f>VLOOKUP($C665,'SWR PIPE'!$G$5:$K2469,2,0)</f>
        <v>1446</v>
      </c>
      <c r="G665" s="320">
        <f>VLOOKUP($C665,'SWR PIPE'!$G$5:$K2469,5,0)</f>
        <v>1446</v>
      </c>
      <c r="H665" s="320"/>
      <c r="I665" s="320"/>
      <c r="J665" s="320"/>
      <c r="K665" s="320"/>
      <c r="L665" s="320"/>
      <c r="M665" s="320"/>
      <c r="N665" s="320"/>
      <c r="O665" s="320"/>
    </row>
    <row r="666">
      <c r="A666" s="32">
        <f t="shared" si="1"/>
        <v>665</v>
      </c>
      <c r="B666" s="378" t="s">
        <v>61</v>
      </c>
      <c r="C666" s="11" t="s">
        <v>1635</v>
      </c>
      <c r="D666" s="12" t="s">
        <v>1849</v>
      </c>
      <c r="E666" s="320">
        <f>VLOOKUP($C666,'SWR PIPE'!$G$5:$K2469,3,0)</f>
        <v>3.2</v>
      </c>
      <c r="F666" s="320">
        <f>VLOOKUP($C666,'SWR PIPE'!$G$5:$K2469,2,0)</f>
        <v>954</v>
      </c>
      <c r="G666" s="320">
        <f>VLOOKUP($C666,'SWR PIPE'!$G$5:$K2469,5,0)</f>
        <v>954</v>
      </c>
      <c r="H666" s="320"/>
      <c r="I666" s="320"/>
      <c r="J666" s="320"/>
      <c r="K666" s="320"/>
      <c r="L666" s="320"/>
      <c r="M666" s="320"/>
      <c r="N666" s="320"/>
      <c r="O666" s="320"/>
    </row>
    <row r="667">
      <c r="A667" s="32">
        <f t="shared" si="1"/>
        <v>666</v>
      </c>
      <c r="B667" s="378" t="s">
        <v>61</v>
      </c>
      <c r="C667" s="11" t="s">
        <v>1644</v>
      </c>
      <c r="D667" s="12" t="s">
        <v>1851</v>
      </c>
      <c r="E667" s="320">
        <f>VLOOKUP($C667,'SWR PIPE'!$G$5:$K2469,3,0)</f>
        <v>2.13</v>
      </c>
      <c r="F667" s="320">
        <f>VLOOKUP($C667,'SWR PIPE'!$G$5:$K2469,2,0)</f>
        <v>566</v>
      </c>
      <c r="G667" s="320">
        <f>VLOOKUP($C667,'SWR PIPE'!$G$5:$K2469,5,0)</f>
        <v>566</v>
      </c>
      <c r="H667" s="320"/>
      <c r="I667" s="320"/>
      <c r="J667" s="320"/>
      <c r="K667" s="320"/>
      <c r="L667" s="320"/>
      <c r="M667" s="320"/>
      <c r="N667" s="320"/>
      <c r="O667" s="320"/>
    </row>
    <row r="668">
      <c r="A668" s="32">
        <f t="shared" si="1"/>
        <v>667</v>
      </c>
      <c r="B668" s="378" t="s">
        <v>61</v>
      </c>
      <c r="C668" s="11" t="s">
        <v>1647</v>
      </c>
      <c r="D668" s="12" t="s">
        <v>1851</v>
      </c>
      <c r="E668" s="320">
        <f>VLOOKUP($C668,'SWR PIPE'!$G$5:$K2469,3,0)</f>
        <v>2.13</v>
      </c>
      <c r="F668" s="320">
        <f>VLOOKUP($C668,'SWR PIPE'!$G$5:$K2469,2,0)</f>
        <v>572</v>
      </c>
      <c r="G668" s="320">
        <f>VLOOKUP($C668,'SWR PIPE'!$G$5:$K2469,5,0)</f>
        <v>572</v>
      </c>
      <c r="H668" s="320"/>
      <c r="I668" s="320"/>
      <c r="J668" s="320"/>
      <c r="K668" s="320"/>
      <c r="L668" s="320"/>
      <c r="M668" s="320"/>
      <c r="N668" s="320"/>
      <c r="O668" s="320"/>
    </row>
    <row r="669">
      <c r="A669" s="32">
        <f t="shared" si="1"/>
        <v>668</v>
      </c>
      <c r="B669" s="378" t="s">
        <v>61</v>
      </c>
      <c r="C669" s="11" t="s">
        <v>1650</v>
      </c>
      <c r="D669" s="12" t="s">
        <v>1852</v>
      </c>
      <c r="E669" s="320">
        <f>VLOOKUP($C669,'SWR PIPE'!$G$5:$K2469,3,0)</f>
        <v>4.222</v>
      </c>
      <c r="F669" s="320">
        <f>VLOOKUP($C669,'SWR PIPE'!$G$5:$K2469,2,0)</f>
        <v>1132</v>
      </c>
      <c r="G669" s="320">
        <f>VLOOKUP($C669,'SWR PIPE'!$G$5:$K2469,5,0)</f>
        <v>1132</v>
      </c>
      <c r="H669" s="320"/>
      <c r="I669" s="320"/>
      <c r="J669" s="320"/>
      <c r="K669" s="320"/>
      <c r="L669" s="320"/>
      <c r="M669" s="320"/>
      <c r="N669" s="320"/>
      <c r="O669" s="320"/>
    </row>
    <row r="670">
      <c r="A670" s="32">
        <f t="shared" si="1"/>
        <v>669</v>
      </c>
      <c r="B670" s="378" t="s">
        <v>61</v>
      </c>
      <c r="C670" s="11" t="s">
        <v>1652</v>
      </c>
      <c r="D670" s="12" t="s">
        <v>1852</v>
      </c>
      <c r="E670" s="320">
        <f>VLOOKUP($C670,'SWR PIPE'!$G$5:$K2469,3,0)</f>
        <v>4.222</v>
      </c>
      <c r="F670" s="320">
        <f>VLOOKUP($C670,'SWR PIPE'!$G$5:$K2469,2,0)</f>
        <v>1138</v>
      </c>
      <c r="G670" s="320">
        <f>VLOOKUP($C670,'SWR PIPE'!$G$5:$K2469,5,0)</f>
        <v>1138</v>
      </c>
      <c r="H670" s="320"/>
      <c r="I670" s="320"/>
      <c r="J670" s="320"/>
      <c r="K670" s="320"/>
      <c r="L670" s="320"/>
      <c r="M670" s="320"/>
      <c r="N670" s="320"/>
      <c r="O670" s="320"/>
    </row>
    <row r="671">
      <c r="A671" s="32">
        <f t="shared" si="1"/>
        <v>670</v>
      </c>
      <c r="B671" s="378" t="s">
        <v>61</v>
      </c>
      <c r="C671" s="11" t="s">
        <v>1655</v>
      </c>
      <c r="D671" s="12" t="s">
        <v>1853</v>
      </c>
      <c r="E671" s="320">
        <f>VLOOKUP($C671,'SWR PIPE'!$G$5:$K2469,3,0)</f>
        <v>0.463</v>
      </c>
      <c r="F671" s="320">
        <f>VLOOKUP($C671,'SWR PIPE'!$G$5:$K2469,2,0)</f>
        <v>130.815</v>
      </c>
      <c r="G671" s="320">
        <f>VLOOKUP($C671,'SWR PIPE'!$G$5:$K2469,5,0)</f>
        <v>131</v>
      </c>
      <c r="H671" s="320"/>
      <c r="I671" s="320"/>
      <c r="J671" s="320"/>
      <c r="K671" s="320"/>
      <c r="L671" s="320"/>
      <c r="M671" s="320"/>
      <c r="N671" s="320"/>
      <c r="O671" s="320"/>
    </row>
    <row r="672">
      <c r="A672" s="32">
        <f t="shared" si="1"/>
        <v>671</v>
      </c>
      <c r="B672" s="378" t="s">
        <v>61</v>
      </c>
      <c r="C672" s="11" t="s">
        <v>1657</v>
      </c>
      <c r="D672" s="12" t="s">
        <v>1854</v>
      </c>
      <c r="E672" s="320">
        <f>VLOOKUP($C672,'SWR PIPE'!$G$5:$K2469,3,0)</f>
        <v>0.676</v>
      </c>
      <c r="F672" s="320">
        <f>VLOOKUP($C672,'SWR PIPE'!$G$5:$K2469,2,0)</f>
        <v>191.235</v>
      </c>
      <c r="G672" s="320">
        <f>VLOOKUP($C672,'SWR PIPE'!$G$5:$K2469,5,0)</f>
        <v>191</v>
      </c>
      <c r="H672" s="320"/>
      <c r="I672" s="320"/>
      <c r="J672" s="320"/>
      <c r="K672" s="320"/>
      <c r="L672" s="320"/>
      <c r="M672" s="320"/>
      <c r="N672" s="320"/>
      <c r="O672" s="320"/>
    </row>
    <row r="673">
      <c r="A673" s="32">
        <f t="shared" si="1"/>
        <v>672</v>
      </c>
      <c r="B673" s="378" t="s">
        <v>61</v>
      </c>
      <c r="C673" s="11" t="s">
        <v>1660</v>
      </c>
      <c r="D673" s="12" t="s">
        <v>1855</v>
      </c>
      <c r="E673" s="320">
        <f>VLOOKUP($C673,'SWR PIPE'!$G$5:$K2469,3,0)</f>
        <v>0.888</v>
      </c>
      <c r="F673" s="320">
        <f>VLOOKUP($C673,'SWR PIPE'!$G$5:$K2469,2,0)</f>
        <v>251.37</v>
      </c>
      <c r="G673" s="320">
        <f>VLOOKUP($C673,'SWR PIPE'!$G$5:$K2469,5,0)</f>
        <v>251</v>
      </c>
      <c r="H673" s="320"/>
      <c r="I673" s="320"/>
      <c r="J673" s="320"/>
      <c r="K673" s="320"/>
      <c r="L673" s="320"/>
      <c r="M673" s="320"/>
      <c r="N673" s="320"/>
      <c r="O673" s="320"/>
    </row>
    <row r="674">
      <c r="A674" s="32">
        <f t="shared" si="1"/>
        <v>673</v>
      </c>
      <c r="B674" s="378" t="s">
        <v>61</v>
      </c>
      <c r="C674" s="11" t="s">
        <v>1663</v>
      </c>
      <c r="D674" s="12" t="s">
        <v>1856</v>
      </c>
      <c r="E674" s="320">
        <f>VLOOKUP($C674,'SWR PIPE'!$G$5:$K2469,3,0)</f>
        <v>1.314</v>
      </c>
      <c r="F674" s="320">
        <f>VLOOKUP($C674,'SWR PIPE'!$G$5:$K2469,2,0)</f>
        <v>372.21</v>
      </c>
      <c r="G674" s="320">
        <f>VLOOKUP($C674,'SWR PIPE'!$G$5:$K2469,5,0)</f>
        <v>372</v>
      </c>
      <c r="H674" s="320"/>
      <c r="I674" s="320"/>
      <c r="J674" s="320"/>
      <c r="K674" s="320"/>
      <c r="L674" s="320"/>
      <c r="M674" s="320"/>
      <c r="N674" s="320"/>
      <c r="O674" s="320"/>
    </row>
    <row r="675">
      <c r="A675" s="32">
        <f t="shared" si="1"/>
        <v>674</v>
      </c>
      <c r="B675" s="378" t="s">
        <v>61</v>
      </c>
      <c r="C675" s="11" t="s">
        <v>1665</v>
      </c>
      <c r="D675" s="12" t="s">
        <v>1856</v>
      </c>
      <c r="E675" s="320">
        <f>VLOOKUP($C675,'SWR PIPE'!$G$5:$K2469,3,0)</f>
        <v>1.314</v>
      </c>
      <c r="F675" s="320">
        <f>VLOOKUP($C675,'SWR PIPE'!$G$5:$K2469,2,0)</f>
        <v>368</v>
      </c>
      <c r="G675" s="320">
        <f>VLOOKUP($C675,'SWR PIPE'!$G$5:$K2469,5,0)</f>
        <v>368</v>
      </c>
      <c r="H675" s="320"/>
      <c r="I675" s="320"/>
      <c r="J675" s="320"/>
      <c r="K675" s="320"/>
      <c r="L675" s="320"/>
      <c r="M675" s="320"/>
      <c r="N675" s="320"/>
      <c r="O675" s="320"/>
    </row>
    <row r="676">
      <c r="A676" s="32">
        <f t="shared" si="1"/>
        <v>675</v>
      </c>
      <c r="B676" s="378" t="s">
        <v>61</v>
      </c>
      <c r="C676" s="11" t="s">
        <v>1667</v>
      </c>
      <c r="D676" s="12" t="s">
        <v>1855</v>
      </c>
      <c r="E676" s="320">
        <f>VLOOKUP($C676,'SWR PIPE'!$G$5:$K2469,3,0)</f>
        <v>0.888</v>
      </c>
      <c r="F676" s="320">
        <f>VLOOKUP($C676,'SWR PIPE'!$G$5:$K2469,2,0)</f>
        <v>246</v>
      </c>
      <c r="G676" s="320">
        <f>VLOOKUP($C676,'SWR PIPE'!$G$5:$K2469,5,0)</f>
        <v>246</v>
      </c>
      <c r="H676" s="320"/>
      <c r="I676" s="320"/>
      <c r="J676" s="320"/>
      <c r="K676" s="320"/>
      <c r="L676" s="320"/>
      <c r="M676" s="320"/>
      <c r="N676" s="320"/>
      <c r="O676" s="320"/>
    </row>
    <row r="677">
      <c r="A677" s="32">
        <f t="shared" si="1"/>
        <v>676</v>
      </c>
      <c r="B677" s="378" t="s">
        <v>61</v>
      </c>
      <c r="C677" s="11" t="s">
        <v>1670</v>
      </c>
      <c r="D677" s="12" t="s">
        <v>1857</v>
      </c>
      <c r="E677" s="320">
        <f>VLOOKUP($C677,'SWR PIPE'!$G$5:$K2469,3,0)</f>
        <v>2.696</v>
      </c>
      <c r="F677" s="320">
        <f>VLOOKUP($C677,'SWR PIPE'!$G$5:$K2469,2,0)</f>
        <v>688</v>
      </c>
      <c r="G677" s="320">
        <f>VLOOKUP($C677,'SWR PIPE'!$G$5:$K2469,5,0)</f>
        <v>688</v>
      </c>
      <c r="H677" s="320"/>
      <c r="I677" s="320"/>
      <c r="J677" s="320"/>
      <c r="K677" s="320"/>
      <c r="L677" s="320"/>
      <c r="M677" s="320"/>
      <c r="N677" s="320"/>
      <c r="O677" s="320"/>
    </row>
    <row r="678">
      <c r="A678" s="32">
        <f t="shared" si="1"/>
        <v>677</v>
      </c>
      <c r="B678" s="378" t="s">
        <v>61</v>
      </c>
      <c r="C678" s="11" t="s">
        <v>1673</v>
      </c>
      <c r="D678" s="12" t="s">
        <v>1857</v>
      </c>
      <c r="E678" s="320">
        <f>VLOOKUP($C678,'SWR PIPE'!$G$5:$K2469,3,0)</f>
        <v>2.696</v>
      </c>
      <c r="F678" s="320">
        <f>VLOOKUP($C678,'SWR PIPE'!$G$5:$K2469,2,0)</f>
        <v>694</v>
      </c>
      <c r="G678" s="320">
        <f>VLOOKUP($C678,'SWR PIPE'!$G$5:$K2469,5,0)</f>
        <v>694</v>
      </c>
      <c r="H678" s="320"/>
      <c r="I678" s="320"/>
      <c r="J678" s="320"/>
      <c r="K678" s="320"/>
      <c r="L678" s="320"/>
      <c r="M678" s="320"/>
      <c r="N678" s="320"/>
      <c r="O678" s="320"/>
    </row>
    <row r="679">
      <c r="A679" s="32">
        <f t="shared" si="1"/>
        <v>678</v>
      </c>
      <c r="B679" s="378" t="s">
        <v>61</v>
      </c>
      <c r="C679" s="11" t="s">
        <v>1675</v>
      </c>
      <c r="D679" s="12" t="s">
        <v>1858</v>
      </c>
      <c r="E679" s="320">
        <f>VLOOKUP($C679,'SWR PIPE'!$G$5:$K2469,3,0)</f>
        <v>5.34</v>
      </c>
      <c r="F679" s="320">
        <f>VLOOKUP($C679,'SWR PIPE'!$G$5:$K2469,2,0)</f>
        <v>1376</v>
      </c>
      <c r="G679" s="320">
        <f>VLOOKUP($C679,'SWR PIPE'!$G$5:$K2469,5,0)</f>
        <v>1376</v>
      </c>
      <c r="H679" s="320"/>
      <c r="I679" s="320"/>
      <c r="J679" s="320"/>
      <c r="K679" s="320"/>
      <c r="L679" s="320"/>
      <c r="M679" s="320"/>
      <c r="N679" s="320"/>
      <c r="O679" s="320"/>
    </row>
    <row r="680">
      <c r="A680" s="32">
        <f t="shared" si="1"/>
        <v>679</v>
      </c>
      <c r="B680" s="378" t="s">
        <v>61</v>
      </c>
      <c r="C680" s="11" t="s">
        <v>1677</v>
      </c>
      <c r="D680" s="12" t="s">
        <v>1858</v>
      </c>
      <c r="E680" s="320">
        <f>VLOOKUP($C680,'SWR PIPE'!$G$5:$K2469,3,0)</f>
        <v>5.34</v>
      </c>
      <c r="F680" s="320">
        <f>VLOOKUP($C680,'SWR PIPE'!$G$5:$K2469,2,0)</f>
        <v>1382</v>
      </c>
      <c r="G680" s="320">
        <f>VLOOKUP($C680,'SWR PIPE'!$G$5:$K2469,5,0)</f>
        <v>1382</v>
      </c>
      <c r="H680" s="320"/>
      <c r="I680" s="320"/>
      <c r="J680" s="320"/>
      <c r="K680" s="320"/>
      <c r="L680" s="320"/>
      <c r="M680" s="320"/>
      <c r="N680" s="320"/>
      <c r="O680" s="320"/>
    </row>
    <row r="681">
      <c r="A681" s="32">
        <f t="shared" si="1"/>
        <v>680</v>
      </c>
      <c r="B681" s="378" t="s">
        <v>61</v>
      </c>
      <c r="C681" s="11" t="s">
        <v>1679</v>
      </c>
      <c r="D681" s="12" t="s">
        <v>1859</v>
      </c>
      <c r="E681" s="320">
        <f>VLOOKUP($C681,'SWR PIPE'!$G$5:$K2469,3,0)</f>
        <v>0.59</v>
      </c>
      <c r="F681" s="320">
        <f>VLOOKUP($C681,'SWR PIPE'!$G$5:$K2469,2,0)</f>
        <v>167.01</v>
      </c>
      <c r="G681" s="320">
        <f>VLOOKUP($C681,'SWR PIPE'!$G$5:$K2469,5,0)</f>
        <v>167</v>
      </c>
      <c r="H681" s="320"/>
      <c r="I681" s="320"/>
      <c r="J681" s="320"/>
      <c r="K681" s="320"/>
      <c r="L681" s="320"/>
      <c r="M681" s="320"/>
      <c r="N681" s="320"/>
      <c r="O681" s="320"/>
    </row>
    <row r="682">
      <c r="A682" s="32">
        <f t="shared" si="1"/>
        <v>681</v>
      </c>
      <c r="B682" s="378" t="s">
        <v>61</v>
      </c>
      <c r="C682" s="11" t="s">
        <v>1682</v>
      </c>
      <c r="D682" s="12" t="s">
        <v>1860</v>
      </c>
      <c r="E682" s="320">
        <f>VLOOKUP($C682,'SWR PIPE'!$G$5:$K2469,3,0)</f>
        <v>0.859</v>
      </c>
      <c r="F682" s="320">
        <f>VLOOKUP($C682,'SWR PIPE'!$G$5:$K2469,2,0)</f>
        <v>243.105</v>
      </c>
      <c r="G682" s="320">
        <f>VLOOKUP($C682,'SWR PIPE'!$G$5:$K2469,5,0)</f>
        <v>243</v>
      </c>
      <c r="H682" s="320"/>
      <c r="I682" s="320"/>
      <c r="J682" s="320"/>
      <c r="K682" s="320"/>
      <c r="L682" s="320"/>
      <c r="M682" s="320"/>
      <c r="N682" s="320"/>
      <c r="O682" s="320"/>
    </row>
    <row r="683">
      <c r="A683" s="32">
        <f t="shared" si="1"/>
        <v>682</v>
      </c>
      <c r="B683" s="378" t="s">
        <v>61</v>
      </c>
      <c r="C683" s="11" t="s">
        <v>1685</v>
      </c>
      <c r="D683" s="12" t="s">
        <v>1861</v>
      </c>
      <c r="E683" s="320">
        <f>VLOOKUP($C683,'SWR PIPE'!$G$5:$K2469,3,0)</f>
        <v>1.128</v>
      </c>
      <c r="F683" s="320">
        <f>VLOOKUP($C683,'SWR PIPE'!$G$5:$K2469,2,0)</f>
        <v>318</v>
      </c>
      <c r="G683" s="320">
        <f>VLOOKUP($C683,'SWR PIPE'!$G$5:$K2469,5,0)</f>
        <v>318</v>
      </c>
      <c r="H683" s="320"/>
      <c r="I683" s="320"/>
      <c r="J683" s="320"/>
      <c r="K683" s="320"/>
      <c r="L683" s="320"/>
      <c r="M683" s="320"/>
      <c r="N683" s="320"/>
      <c r="O683" s="320"/>
    </row>
    <row r="684">
      <c r="A684" s="32">
        <f t="shared" si="1"/>
        <v>683</v>
      </c>
      <c r="B684" s="378" t="s">
        <v>61</v>
      </c>
      <c r="C684" s="11" t="s">
        <v>1687</v>
      </c>
      <c r="D684" s="12" t="s">
        <v>1862</v>
      </c>
      <c r="E684" s="320">
        <f>VLOOKUP($C684,'SWR PIPE'!$G$5:$K2469,3,0)</f>
        <v>1.665</v>
      </c>
      <c r="F684" s="320">
        <f>VLOOKUP($C684,'SWR PIPE'!$G$5:$K2469,2,0)</f>
        <v>471.96</v>
      </c>
      <c r="G684" s="320">
        <f>VLOOKUP($C684,'SWR PIPE'!$G$5:$K2469,5,0)</f>
        <v>472</v>
      </c>
      <c r="H684" s="320"/>
      <c r="I684" s="320"/>
      <c r="J684" s="320"/>
      <c r="K684" s="320"/>
      <c r="L684" s="320"/>
      <c r="M684" s="320"/>
      <c r="N684" s="320"/>
      <c r="O684" s="320"/>
    </row>
    <row r="685">
      <c r="A685" s="32">
        <f t="shared" si="1"/>
        <v>684</v>
      </c>
      <c r="B685" s="378" t="s">
        <v>61</v>
      </c>
      <c r="C685" s="11" t="s">
        <v>1690</v>
      </c>
      <c r="D685" s="12" t="s">
        <v>1862</v>
      </c>
      <c r="E685" s="320">
        <f>VLOOKUP($C685,'SWR PIPE'!$G$5:$K2469,3,0)</f>
        <v>1.665</v>
      </c>
      <c r="F685" s="320">
        <f>VLOOKUP($C685,'SWR PIPE'!$G$5:$K2469,2,0)</f>
        <v>466</v>
      </c>
      <c r="G685" s="320">
        <f>VLOOKUP($C685,'SWR PIPE'!$G$5:$K2469,5,0)</f>
        <v>466</v>
      </c>
      <c r="H685" s="320"/>
      <c r="I685" s="320"/>
      <c r="J685" s="320"/>
      <c r="K685" s="320"/>
      <c r="L685" s="320"/>
      <c r="M685" s="320"/>
      <c r="N685" s="320"/>
      <c r="O685" s="320"/>
    </row>
    <row r="686">
      <c r="A686" s="32">
        <f t="shared" si="1"/>
        <v>685</v>
      </c>
      <c r="B686" s="378" t="s">
        <v>61</v>
      </c>
      <c r="C686" s="11" t="s">
        <v>1694</v>
      </c>
      <c r="D686" s="12" t="s">
        <v>1861</v>
      </c>
      <c r="E686" s="320">
        <f>VLOOKUP($C686,'SWR PIPE'!$G$5:$K2469,3,0)</f>
        <v>1.128</v>
      </c>
      <c r="F686" s="320">
        <f>VLOOKUP($C686,'SWR PIPE'!$G$5:$K2469,2,0)</f>
        <v>312</v>
      </c>
      <c r="G686" s="320">
        <f>VLOOKUP($C686,'SWR PIPE'!$G$5:$K2469,5,0)</f>
        <v>312</v>
      </c>
      <c r="H686" s="320"/>
      <c r="I686" s="320"/>
      <c r="J686" s="320"/>
      <c r="K686" s="320"/>
      <c r="L686" s="320"/>
      <c r="M686" s="320"/>
      <c r="N686" s="320"/>
      <c r="O686" s="320"/>
    </row>
    <row r="687">
      <c r="A687" s="32">
        <f t="shared" si="1"/>
        <v>686</v>
      </c>
      <c r="B687" s="378" t="s">
        <v>61</v>
      </c>
      <c r="C687" s="11" t="s">
        <v>1696</v>
      </c>
      <c r="D687" s="12" t="s">
        <v>1863</v>
      </c>
      <c r="E687" s="320">
        <f>VLOOKUP($C687,'SWR PIPE'!$G$5:$K2469,3,0)</f>
        <v>3.779</v>
      </c>
      <c r="F687" s="320">
        <f>VLOOKUP($C687,'SWR PIPE'!$G$5:$K2469,2,0)</f>
        <v>966</v>
      </c>
      <c r="G687" s="320">
        <f>VLOOKUP($C687,'SWR PIPE'!$G$5:$K2469,5,0)</f>
        <v>966</v>
      </c>
      <c r="H687" s="320"/>
      <c r="I687" s="320"/>
      <c r="J687" s="320"/>
      <c r="K687" s="320"/>
      <c r="L687" s="320"/>
      <c r="M687" s="320"/>
      <c r="N687" s="320"/>
      <c r="O687" s="320"/>
    </row>
    <row r="688">
      <c r="A688" s="32">
        <f t="shared" si="1"/>
        <v>687</v>
      </c>
      <c r="B688" s="378" t="s">
        <v>61</v>
      </c>
      <c r="C688" s="11" t="s">
        <v>1699</v>
      </c>
      <c r="D688" s="12" t="s">
        <v>1863</v>
      </c>
      <c r="E688" s="320">
        <f>VLOOKUP($C688,'SWR PIPE'!$G$5:$K2469,3,0)</f>
        <v>3.779</v>
      </c>
      <c r="F688" s="320">
        <f>VLOOKUP($C688,'SWR PIPE'!$G$5:$K2469,2,0)</f>
        <v>972</v>
      </c>
      <c r="G688" s="320">
        <f>VLOOKUP($C688,'SWR PIPE'!$G$5:$K2469,5,0)</f>
        <v>972</v>
      </c>
      <c r="H688" s="320"/>
      <c r="I688" s="320"/>
      <c r="J688" s="320"/>
      <c r="K688" s="320"/>
      <c r="L688" s="320"/>
      <c r="M688" s="320"/>
      <c r="N688" s="320"/>
      <c r="O688" s="320"/>
    </row>
    <row r="689">
      <c r="A689" s="32">
        <f t="shared" si="1"/>
        <v>688</v>
      </c>
      <c r="B689" s="378" t="s">
        <v>61</v>
      </c>
      <c r="C689" s="11" t="s">
        <v>1702</v>
      </c>
      <c r="D689" s="12" t="s">
        <v>1864</v>
      </c>
      <c r="E689" s="320">
        <f>VLOOKUP($C689,'SWR PIPE'!$G$5:$K2469,3,0)</f>
        <v>7.476</v>
      </c>
      <c r="F689" s="320">
        <f>VLOOKUP($C689,'SWR PIPE'!$G$5:$K2469,2,0)</f>
        <v>1932</v>
      </c>
      <c r="G689" s="320">
        <f>VLOOKUP($C689,'SWR PIPE'!$G$5:$K2469,5,0)</f>
        <v>1932</v>
      </c>
      <c r="H689" s="320"/>
      <c r="I689" s="320"/>
      <c r="J689" s="320"/>
      <c r="K689" s="320"/>
      <c r="L689" s="320"/>
      <c r="M689" s="320"/>
      <c r="N689" s="320"/>
      <c r="O689" s="320"/>
    </row>
    <row r="690">
      <c r="A690" s="32">
        <f t="shared" si="1"/>
        <v>689</v>
      </c>
      <c r="B690" s="378" t="s">
        <v>61</v>
      </c>
      <c r="C690" s="11" t="s">
        <v>1705</v>
      </c>
      <c r="D690" s="12" t="s">
        <v>1864</v>
      </c>
      <c r="E690" s="320">
        <f>VLOOKUP($C690,'SWR PIPE'!$G$5:$K2469,3,0)</f>
        <v>7.476</v>
      </c>
      <c r="F690" s="320">
        <f>VLOOKUP($C690,'SWR PIPE'!$G$5:$K2469,2,0)</f>
        <v>1938</v>
      </c>
      <c r="G690" s="320">
        <f>VLOOKUP($C690,'SWR PIPE'!$G$5:$K2469,5,0)</f>
        <v>1938</v>
      </c>
      <c r="H690" s="320"/>
      <c r="I690" s="320"/>
      <c r="J690" s="320"/>
      <c r="K690" s="320"/>
      <c r="L690" s="320"/>
      <c r="M690" s="320"/>
      <c r="N690" s="320"/>
      <c r="O690" s="320"/>
    </row>
    <row r="691">
      <c r="A691" s="32">
        <f t="shared" si="1"/>
        <v>690</v>
      </c>
      <c r="B691" s="378" t="s">
        <v>61</v>
      </c>
      <c r="C691" s="11" t="s">
        <v>1707</v>
      </c>
      <c r="D691" s="12" t="s">
        <v>1865</v>
      </c>
      <c r="E691" s="320">
        <f>VLOOKUP($C691,'SWR PIPE'!$G$5:$K2469,3,0)</f>
        <v>0.833</v>
      </c>
      <c r="F691" s="320">
        <f>VLOOKUP($C691,'SWR PIPE'!$G$5:$K2469,2,0)</f>
        <v>240.54</v>
      </c>
      <c r="G691" s="320">
        <f>VLOOKUP($C691,'SWR PIPE'!$G$5:$K2469,5,0)</f>
        <v>241</v>
      </c>
      <c r="H691" s="320"/>
      <c r="I691" s="320"/>
      <c r="J691" s="320"/>
      <c r="K691" s="320"/>
      <c r="L691" s="320"/>
      <c r="M691" s="320"/>
      <c r="N691" s="320"/>
      <c r="O691" s="320"/>
    </row>
    <row r="692">
      <c r="A692" s="32">
        <f t="shared" si="1"/>
        <v>691</v>
      </c>
      <c r="B692" s="378" t="s">
        <v>61</v>
      </c>
      <c r="C692" s="11" t="s">
        <v>1710</v>
      </c>
      <c r="D692" s="12" t="s">
        <v>1866</v>
      </c>
      <c r="E692" s="320">
        <f>VLOOKUP($C692,'SWR PIPE'!$G$5:$K2469,3,0)</f>
        <v>1.209</v>
      </c>
      <c r="F692" s="320">
        <f>VLOOKUP($C692,'SWR PIPE'!$G$5:$K2469,2,0)</f>
        <v>349.125</v>
      </c>
      <c r="G692" s="320">
        <f>VLOOKUP($C692,'SWR PIPE'!$G$5:$K2469,5,0)</f>
        <v>349</v>
      </c>
      <c r="H692" s="320"/>
      <c r="I692" s="320"/>
      <c r="J692" s="320"/>
      <c r="K692" s="320"/>
      <c r="L692" s="320"/>
      <c r="M692" s="320"/>
      <c r="N692" s="320"/>
      <c r="O692" s="320"/>
    </row>
    <row r="693">
      <c r="A693" s="32">
        <f t="shared" si="1"/>
        <v>692</v>
      </c>
      <c r="B693" s="378" t="s">
        <v>61</v>
      </c>
      <c r="C693" s="11" t="s">
        <v>1712</v>
      </c>
      <c r="D693" s="12" t="s">
        <v>1867</v>
      </c>
      <c r="E693" s="320">
        <f>VLOOKUP($C693,'SWR PIPE'!$G$5:$K2469,3,0)</f>
        <v>1.585</v>
      </c>
      <c r="F693" s="320">
        <f>VLOOKUP($C693,'SWR PIPE'!$G$5:$K2469,2,0)</f>
        <v>457.995</v>
      </c>
      <c r="G693" s="320">
        <f>VLOOKUP($C693,'SWR PIPE'!$G$5:$K2469,5,0)</f>
        <v>457.995</v>
      </c>
      <c r="H693" s="320"/>
      <c r="I693" s="320"/>
      <c r="J693" s="320"/>
      <c r="K693" s="320"/>
      <c r="L693" s="320"/>
      <c r="M693" s="320"/>
      <c r="N693" s="320"/>
      <c r="O693" s="320"/>
    </row>
    <row r="694">
      <c r="A694" s="32">
        <f t="shared" si="1"/>
        <v>693</v>
      </c>
      <c r="B694" s="378" t="s">
        <v>61</v>
      </c>
      <c r="C694" s="11" t="s">
        <v>1714</v>
      </c>
      <c r="D694" s="12" t="s">
        <v>1868</v>
      </c>
      <c r="E694" s="320">
        <f>VLOOKUP($C694,'SWR PIPE'!$G$5:$K2469,3,0)</f>
        <v>2.336</v>
      </c>
      <c r="F694" s="320">
        <f>VLOOKUP($C694,'SWR PIPE'!$G$5:$K2469,2,0)</f>
        <v>675.735</v>
      </c>
      <c r="G694" s="320">
        <f>VLOOKUP($C694,'SWR PIPE'!$G$5:$K2469,5,0)</f>
        <v>676</v>
      </c>
      <c r="H694" s="320"/>
      <c r="I694" s="320"/>
      <c r="J694" s="320"/>
      <c r="K694" s="320"/>
      <c r="L694" s="320"/>
      <c r="M694" s="320"/>
      <c r="N694" s="320"/>
      <c r="O694" s="320"/>
    </row>
    <row r="695">
      <c r="A695" s="32">
        <f t="shared" si="1"/>
        <v>694</v>
      </c>
      <c r="B695" s="378" t="s">
        <v>61</v>
      </c>
      <c r="C695" s="11" t="s">
        <v>1717</v>
      </c>
      <c r="D695" s="12" t="s">
        <v>1868</v>
      </c>
      <c r="E695" s="320">
        <f>VLOOKUP($C695,'SWR PIPE'!$G$5:$K2469,3,0)</f>
        <v>2.336</v>
      </c>
      <c r="F695" s="320">
        <f>VLOOKUP($C695,'SWR PIPE'!$G$5:$K2469,2,0)</f>
        <v>670</v>
      </c>
      <c r="G695" s="320">
        <f>VLOOKUP($C695,'SWR PIPE'!$G$5:$K2469,5,0)</f>
        <v>670</v>
      </c>
      <c r="H695" s="320"/>
      <c r="I695" s="320"/>
      <c r="J695" s="320"/>
      <c r="K695" s="320"/>
      <c r="L695" s="320"/>
      <c r="M695" s="320"/>
      <c r="N695" s="320"/>
      <c r="O695" s="320"/>
    </row>
    <row r="696">
      <c r="A696" s="32">
        <f t="shared" si="1"/>
        <v>695</v>
      </c>
      <c r="B696" s="378" t="s">
        <v>61</v>
      </c>
      <c r="C696" s="11" t="s">
        <v>1721</v>
      </c>
      <c r="D696" s="12" t="s">
        <v>1867</v>
      </c>
      <c r="E696" s="320">
        <f>VLOOKUP($C696,'SWR PIPE'!$G$5:$K2469,3,0)</f>
        <v>1.585</v>
      </c>
      <c r="F696" s="320">
        <f>VLOOKUP($C696,'SWR PIPE'!$G$5:$K2469,2,0)</f>
        <v>452</v>
      </c>
      <c r="G696" s="320">
        <f>VLOOKUP($C696,'SWR PIPE'!$G$5:$K2469,5,0)</f>
        <v>452</v>
      </c>
      <c r="H696" s="320"/>
      <c r="I696" s="320"/>
      <c r="J696" s="320"/>
      <c r="K696" s="320"/>
      <c r="L696" s="320"/>
      <c r="M696" s="320"/>
      <c r="N696" s="320"/>
      <c r="O696" s="320"/>
    </row>
    <row r="697">
      <c r="A697" s="32">
        <f t="shared" si="1"/>
        <v>696</v>
      </c>
      <c r="B697" s="378" t="s">
        <v>61</v>
      </c>
      <c r="C697" s="11" t="s">
        <v>1724</v>
      </c>
      <c r="D697" s="12" t="s">
        <v>1869</v>
      </c>
      <c r="E697" s="320">
        <f>VLOOKUP($C697,'SWR PIPE'!$G$5:$K2469,3,0)</f>
        <v>7.919</v>
      </c>
      <c r="F697" s="320">
        <f>VLOOKUP($C697,'SWR PIPE'!$G$5:$K2469,2,0)</f>
        <v>2038</v>
      </c>
      <c r="G697" s="320">
        <f>VLOOKUP($C697,'SWR PIPE'!$G$5:$K2469,5,0)</f>
        <v>2038</v>
      </c>
      <c r="H697" s="320"/>
      <c r="I697" s="320"/>
      <c r="J697" s="320"/>
      <c r="K697" s="320"/>
      <c r="L697" s="320"/>
      <c r="M697" s="320"/>
      <c r="N697" s="320"/>
      <c r="O697" s="320"/>
    </row>
    <row r="698">
      <c r="A698" s="32">
        <f t="shared" si="1"/>
        <v>697</v>
      </c>
      <c r="B698" s="378" t="s">
        <v>61</v>
      </c>
      <c r="C698" s="11" t="s">
        <v>1727</v>
      </c>
      <c r="D698" s="12" t="s">
        <v>1869</v>
      </c>
      <c r="E698" s="320">
        <f>VLOOKUP($C698,'SWR PIPE'!$G$5:$K2469,3,0)</f>
        <v>7.919</v>
      </c>
      <c r="F698" s="320">
        <f>VLOOKUP($C698,'SWR PIPE'!$G$5:$K2469,2,0)</f>
        <v>2048</v>
      </c>
      <c r="G698" s="320">
        <f>VLOOKUP($C698,'SWR PIPE'!$G$5:$K2469,5,0)</f>
        <v>2048</v>
      </c>
      <c r="H698" s="320"/>
      <c r="I698" s="320"/>
      <c r="J698" s="320"/>
      <c r="K698" s="320"/>
      <c r="L698" s="320"/>
      <c r="M698" s="320"/>
      <c r="N698" s="320"/>
      <c r="O698" s="320"/>
    </row>
    <row r="699">
      <c r="A699" s="32">
        <f t="shared" si="1"/>
        <v>698</v>
      </c>
      <c r="B699" s="378" t="s">
        <v>61</v>
      </c>
      <c r="C699" s="11" t="s">
        <v>1731</v>
      </c>
      <c r="D699" s="12" t="s">
        <v>1870</v>
      </c>
      <c r="E699" s="320">
        <f>VLOOKUP($C699,'SWR PIPE'!$G$5:$K2469,3,0)</f>
        <v>15.62</v>
      </c>
      <c r="F699" s="320">
        <f>VLOOKUP($C699,'SWR PIPE'!$G$5:$K2469,2,0)</f>
        <v>4076</v>
      </c>
      <c r="G699" s="320">
        <f>VLOOKUP($C699,'SWR PIPE'!$G$5:$K2469,5,0)</f>
        <v>4076</v>
      </c>
      <c r="H699" s="320"/>
      <c r="I699" s="320"/>
      <c r="J699" s="320"/>
      <c r="K699" s="320"/>
      <c r="L699" s="320"/>
      <c r="M699" s="320"/>
      <c r="N699" s="320"/>
      <c r="O699" s="320"/>
    </row>
    <row r="700">
      <c r="A700" s="32">
        <f t="shared" si="1"/>
        <v>699</v>
      </c>
      <c r="B700" s="378" t="s">
        <v>61</v>
      </c>
      <c r="C700" s="11" t="s">
        <v>1735</v>
      </c>
      <c r="D700" s="12" t="s">
        <v>1870</v>
      </c>
      <c r="E700" s="320">
        <f>VLOOKUP($C700,'SWR PIPE'!$G$5:$K2469,3,0)</f>
        <v>15.62</v>
      </c>
      <c r="F700" s="320">
        <f>VLOOKUP($C700,'SWR PIPE'!$G$5:$K2469,2,0)</f>
        <v>4086</v>
      </c>
      <c r="G700" s="320">
        <f>VLOOKUP($C700,'SWR PIPE'!$G$5:$K2469,5,0)</f>
        <v>4086</v>
      </c>
      <c r="H700" s="320"/>
      <c r="I700" s="320"/>
      <c r="J700" s="320"/>
      <c r="K700" s="320"/>
      <c r="L700" s="320"/>
      <c r="M700" s="320"/>
      <c r="N700" s="320"/>
      <c r="O700" s="320"/>
    </row>
    <row r="701">
      <c r="A701" s="32">
        <f t="shared" si="1"/>
        <v>700</v>
      </c>
      <c r="B701" s="378" t="s">
        <v>61</v>
      </c>
      <c r="C701" s="11" t="s">
        <v>1739</v>
      </c>
      <c r="D701" s="12" t="s">
        <v>1871</v>
      </c>
      <c r="E701" s="320">
        <f>VLOOKUP($C701,'SWR PIPE'!$G$5:$K2469,3,0)</f>
        <v>1.783</v>
      </c>
      <c r="F701" s="320">
        <f>VLOOKUP($C701,'SWR PIPE'!$G$5:$K2469,2,0)</f>
        <v>512</v>
      </c>
      <c r="G701" s="320">
        <f>VLOOKUP($C701,'SWR PIPE'!$G$5:$K2469,5,0)</f>
        <v>512</v>
      </c>
      <c r="H701" s="320"/>
      <c r="I701" s="320"/>
      <c r="J701" s="320"/>
      <c r="K701" s="320"/>
      <c r="L701" s="320"/>
      <c r="M701" s="320"/>
      <c r="N701" s="320"/>
      <c r="O701" s="320"/>
    </row>
    <row r="702">
      <c r="A702" s="32">
        <f t="shared" si="1"/>
        <v>701</v>
      </c>
      <c r="B702" s="378" t="s">
        <v>61</v>
      </c>
      <c r="C702" s="11" t="s">
        <v>1743</v>
      </c>
      <c r="D702" s="12" t="s">
        <v>1872</v>
      </c>
      <c r="E702" s="320">
        <f>VLOOKUP($C702,'SWR PIPE'!$G$5:$K2469,3,0)</f>
        <v>2.566</v>
      </c>
      <c r="F702" s="320">
        <f>VLOOKUP($C702,'SWR PIPE'!$G$5:$K2469,2,0)</f>
        <v>732</v>
      </c>
      <c r="G702" s="320">
        <f>VLOOKUP($C702,'SWR PIPE'!$G$5:$K2469,5,0)</f>
        <v>732</v>
      </c>
      <c r="H702" s="320"/>
      <c r="I702" s="320"/>
      <c r="J702" s="320"/>
      <c r="K702" s="320"/>
      <c r="L702" s="320"/>
      <c r="M702" s="320"/>
      <c r="N702" s="320"/>
      <c r="O702" s="320"/>
    </row>
    <row r="703">
      <c r="A703" s="32">
        <f t="shared" si="1"/>
        <v>702</v>
      </c>
      <c r="B703" s="378" t="s">
        <v>61</v>
      </c>
      <c r="C703" s="11" t="s">
        <v>1746</v>
      </c>
      <c r="D703" s="12" t="s">
        <v>1873</v>
      </c>
      <c r="E703" s="320">
        <f>VLOOKUP($C703,'SWR PIPE'!$G$5:$K2469,3,0)</f>
        <v>3.349</v>
      </c>
      <c r="F703" s="320">
        <f>VLOOKUP($C703,'SWR PIPE'!$G$5:$K2469,2,0)</f>
        <v>978</v>
      </c>
      <c r="G703" s="320">
        <f>VLOOKUP($C703,'SWR PIPE'!$G$5:$K2469,5,0)</f>
        <v>978</v>
      </c>
      <c r="H703" s="320"/>
      <c r="I703" s="320"/>
      <c r="J703" s="320"/>
      <c r="K703" s="320"/>
      <c r="L703" s="320"/>
      <c r="M703" s="320"/>
      <c r="N703" s="320"/>
      <c r="O703" s="320"/>
    </row>
    <row r="704">
      <c r="A704" s="32">
        <f t="shared" si="1"/>
        <v>703</v>
      </c>
      <c r="B704" s="378" t="s">
        <v>61</v>
      </c>
      <c r="C704" s="11" t="s">
        <v>1749</v>
      </c>
      <c r="D704" s="12" t="s">
        <v>1874</v>
      </c>
      <c r="E704" s="320">
        <f>VLOOKUP($C704,'SWR PIPE'!$G$5:$K2469,3,0)</f>
        <v>4.915</v>
      </c>
      <c r="F704" s="320">
        <f>VLOOKUP($C704,'SWR PIPE'!$G$5:$K2469,2,0)</f>
        <v>1398</v>
      </c>
      <c r="G704" s="320">
        <f>VLOOKUP($C704,'SWR PIPE'!$G$5:$K2469,5,0)</f>
        <v>1398</v>
      </c>
      <c r="H704" s="320"/>
      <c r="I704" s="320"/>
      <c r="J704" s="320"/>
      <c r="K704" s="320"/>
      <c r="L704" s="320"/>
      <c r="M704" s="320"/>
      <c r="N704" s="320"/>
      <c r="O704" s="320"/>
    </row>
    <row r="705">
      <c r="A705" s="32">
        <f t="shared" si="1"/>
        <v>704</v>
      </c>
      <c r="B705" s="378" t="s">
        <v>61</v>
      </c>
      <c r="C705" s="11" t="s">
        <v>1751</v>
      </c>
      <c r="D705" s="12" t="s">
        <v>1874</v>
      </c>
      <c r="E705" s="320">
        <f>VLOOKUP($C705,'SWR PIPE'!$G$5:$K2469,3,0)</f>
        <v>4.915</v>
      </c>
      <c r="F705" s="320">
        <f>VLOOKUP($C705,'SWR PIPE'!$G$5:$K2469,2,0)</f>
        <v>1388</v>
      </c>
      <c r="G705" s="320">
        <f>VLOOKUP($C705,'SWR PIPE'!$G$5:$K2469,5,0)</f>
        <v>1388</v>
      </c>
      <c r="H705" s="320"/>
      <c r="I705" s="320"/>
      <c r="J705" s="320"/>
      <c r="K705" s="320"/>
      <c r="L705" s="320"/>
      <c r="M705" s="320"/>
      <c r="N705" s="320"/>
      <c r="O705" s="320"/>
    </row>
    <row r="706">
      <c r="A706" s="32">
        <f t="shared" si="1"/>
        <v>705</v>
      </c>
      <c r="B706" s="378" t="s">
        <v>61</v>
      </c>
      <c r="C706" s="11" t="s">
        <v>1753</v>
      </c>
      <c r="D706" s="12" t="s">
        <v>1873</v>
      </c>
      <c r="E706" s="320">
        <f>VLOOKUP($C706,'SWR PIPE'!$G$5:$K2469,3,0)</f>
        <v>3.349</v>
      </c>
      <c r="F706" s="320">
        <f>VLOOKUP($C706,'SWR PIPE'!$G$5:$K2469,2,0)</f>
        <v>968</v>
      </c>
      <c r="G706" s="320">
        <f>VLOOKUP($C706,'SWR PIPE'!$G$5:$K2469,5,0)</f>
        <v>968</v>
      </c>
      <c r="H706" s="320"/>
      <c r="I706" s="320"/>
      <c r="J706" s="320"/>
      <c r="K706" s="320"/>
      <c r="L706" s="320"/>
      <c r="M706" s="320"/>
      <c r="N706" s="320"/>
      <c r="O706" s="320"/>
    </row>
    <row r="707">
      <c r="A707" s="32">
        <f t="shared" si="1"/>
        <v>706</v>
      </c>
      <c r="B707" s="378" t="s">
        <v>61</v>
      </c>
      <c r="C707" s="11" t="s">
        <v>1522</v>
      </c>
      <c r="D707" s="12" t="s">
        <v>1875</v>
      </c>
      <c r="E707" s="320">
        <f>VLOOKUP($C707,'SWR PIPE'!$R$5:$V2469,3,0)</f>
        <v>3.4</v>
      </c>
      <c r="F707" s="320">
        <f>VLOOKUP($C707,'SWR PIPE'!$R$5:$V2469,2,0)</f>
        <v>918</v>
      </c>
      <c r="G707" s="320">
        <f>VLOOKUP($C707,'SWR PIPE'!$R$5:$V2469,5,0)</f>
        <v>918</v>
      </c>
      <c r="H707" s="320"/>
      <c r="I707" s="320"/>
      <c r="J707" s="320"/>
      <c r="K707" s="320"/>
      <c r="L707" s="320"/>
      <c r="M707" s="320"/>
      <c r="N707" s="320"/>
      <c r="O707" s="320"/>
    </row>
    <row r="708">
      <c r="A708" s="32">
        <f t="shared" si="1"/>
        <v>707</v>
      </c>
      <c r="B708" s="378" t="s">
        <v>61</v>
      </c>
      <c r="C708" s="11" t="s">
        <v>1526</v>
      </c>
      <c r="D708" s="12" t="s">
        <v>1875</v>
      </c>
      <c r="E708" s="320">
        <f>VLOOKUP($C708,'SWR PIPE'!$R$5:$V2469,3,0)</f>
        <v>3.4</v>
      </c>
      <c r="F708" s="320">
        <f>VLOOKUP($C708,'SWR PIPE'!$R$5:$V2469,2,0)</f>
        <v>928</v>
      </c>
      <c r="G708" s="320">
        <f>VLOOKUP($C708,'SWR PIPE'!$R$5:$V2469,5,0)</f>
        <v>928</v>
      </c>
      <c r="H708" s="320"/>
      <c r="I708" s="320"/>
      <c r="J708" s="320"/>
      <c r="K708" s="320"/>
      <c r="L708" s="320"/>
      <c r="M708" s="320"/>
      <c r="N708" s="320"/>
      <c r="O708" s="320"/>
    </row>
    <row r="709">
      <c r="A709" s="32">
        <f t="shared" si="1"/>
        <v>708</v>
      </c>
      <c r="B709" s="378" t="s">
        <v>61</v>
      </c>
      <c r="C709" s="11" t="s">
        <v>1530</v>
      </c>
      <c r="D709" s="12" t="s">
        <v>1876</v>
      </c>
      <c r="E709" s="320">
        <f>VLOOKUP($C709,'SWR PIPE'!$R$5:$V2469,3,0)</f>
        <v>6.8</v>
      </c>
      <c r="F709" s="320">
        <f>VLOOKUP($C709,'SWR PIPE'!$R$5:$V2469,2,0)</f>
        <v>1836</v>
      </c>
      <c r="G709" s="320">
        <f>VLOOKUP($C709,'SWR PIPE'!$R$5:$V2469,5,0)</f>
        <v>1836</v>
      </c>
      <c r="H709" s="320"/>
      <c r="I709" s="320"/>
      <c r="J709" s="320"/>
      <c r="K709" s="320"/>
      <c r="L709" s="320"/>
      <c r="M709" s="320"/>
      <c r="N709" s="320"/>
      <c r="O709" s="320"/>
    </row>
    <row r="710">
      <c r="A710" s="32">
        <f t="shared" si="1"/>
        <v>709</v>
      </c>
      <c r="B710" s="378" t="s">
        <v>61</v>
      </c>
      <c r="C710" s="11" t="s">
        <v>1532</v>
      </c>
      <c r="D710" s="12" t="s">
        <v>1876</v>
      </c>
      <c r="E710" s="320">
        <f>VLOOKUP($C710,'SWR PIPE'!$R$5:$V2469,3,0)</f>
        <v>6.8</v>
      </c>
      <c r="F710" s="320">
        <f>VLOOKUP($C710,'SWR PIPE'!$R$5:$V2469,2,0)</f>
        <v>1846</v>
      </c>
      <c r="G710" s="320">
        <f>VLOOKUP($C710,'SWR PIPE'!$R$5:$V2469,5,0)</f>
        <v>1846</v>
      </c>
      <c r="H710" s="320"/>
      <c r="I710" s="320"/>
      <c r="J710" s="320"/>
      <c r="K710" s="320"/>
      <c r="L710" s="320"/>
      <c r="M710" s="320"/>
      <c r="N710" s="320"/>
      <c r="O710" s="320"/>
    </row>
    <row r="711">
      <c r="A711" s="32">
        <f t="shared" si="1"/>
        <v>710</v>
      </c>
      <c r="B711" s="378" t="s">
        <v>61</v>
      </c>
      <c r="C711" s="11" t="s">
        <v>1536</v>
      </c>
      <c r="D711" s="12" t="s">
        <v>1877</v>
      </c>
      <c r="E711" s="320">
        <f>VLOOKUP($C711,'SWR PIPE'!$R$5:$V2469,3,0)</f>
        <v>0.685</v>
      </c>
      <c r="F711" s="320">
        <f>VLOOKUP($C711,'SWR PIPE'!$R$5:$V2469,2,0)</f>
        <v>248</v>
      </c>
      <c r="G711" s="320">
        <f>VLOOKUP($C711,'SWR PIPE'!$R$5:$V2469,5,0)</f>
        <v>248</v>
      </c>
      <c r="H711" s="320"/>
      <c r="I711" s="320"/>
      <c r="J711" s="320"/>
      <c r="K711" s="320"/>
      <c r="L711" s="320"/>
      <c r="M711" s="320"/>
      <c r="N711" s="320"/>
      <c r="O711" s="320"/>
    </row>
    <row r="712">
      <c r="A712" s="32">
        <f t="shared" si="1"/>
        <v>711</v>
      </c>
      <c r="B712" s="378" t="s">
        <v>61</v>
      </c>
      <c r="C712" s="11" t="s">
        <v>1540</v>
      </c>
      <c r="D712" s="12" t="s">
        <v>1878</v>
      </c>
      <c r="E712" s="320">
        <f>VLOOKUP($C712,'SWR PIPE'!$R$5:$V2469,3,0)</f>
        <v>1.03</v>
      </c>
      <c r="F712" s="320">
        <f>VLOOKUP($C712,'SWR PIPE'!$R$5:$V2469,2,0)</f>
        <v>368</v>
      </c>
      <c r="G712" s="320">
        <f>VLOOKUP($C712,'SWR PIPE'!$R$5:$V2469,5,0)</f>
        <v>368</v>
      </c>
      <c r="H712" s="320"/>
      <c r="I712" s="320"/>
      <c r="J712" s="320"/>
      <c r="K712" s="320"/>
      <c r="L712" s="320"/>
      <c r="M712" s="320"/>
      <c r="N712" s="320"/>
      <c r="O712" s="320"/>
    </row>
    <row r="713">
      <c r="A713" s="32">
        <f t="shared" si="1"/>
        <v>712</v>
      </c>
      <c r="B713" s="378" t="s">
        <v>61</v>
      </c>
      <c r="C713" s="11" t="s">
        <v>1543</v>
      </c>
      <c r="D713" s="12" t="s">
        <v>1879</v>
      </c>
      <c r="E713" s="320">
        <f>VLOOKUP($C713,'SWR PIPE'!$R$5:$V2469,3,0)</f>
        <v>1.37</v>
      </c>
      <c r="F713" s="320">
        <f>VLOOKUP($C713,'SWR PIPE'!$R$5:$V2469,2,0)</f>
        <v>482</v>
      </c>
      <c r="G713" s="320">
        <f>VLOOKUP($C713,'SWR PIPE'!$R$5:$V2469,5,0)</f>
        <v>482</v>
      </c>
      <c r="H713" s="320"/>
      <c r="I713" s="320"/>
      <c r="J713" s="320"/>
      <c r="K713" s="320"/>
      <c r="L713" s="320"/>
      <c r="M713" s="320"/>
      <c r="N713" s="320"/>
      <c r="O713" s="320"/>
    </row>
    <row r="714">
      <c r="A714" s="32">
        <f t="shared" si="1"/>
        <v>713</v>
      </c>
      <c r="B714" s="378" t="s">
        <v>61</v>
      </c>
      <c r="C714" s="11" t="s">
        <v>1546</v>
      </c>
      <c r="D714" s="12" t="s">
        <v>1880</v>
      </c>
      <c r="E714" s="320">
        <f>VLOOKUP($C714,'SWR PIPE'!$R$5:$V2469,3,0)</f>
        <v>2.055</v>
      </c>
      <c r="F714" s="320">
        <f>VLOOKUP($C714,'SWR PIPE'!$R$5:$V2469,2,0)</f>
        <v>712</v>
      </c>
      <c r="G714" s="320">
        <f>VLOOKUP($C714,'SWR PIPE'!$R$5:$V2469,5,0)</f>
        <v>712</v>
      </c>
      <c r="H714" s="320"/>
      <c r="I714" s="320"/>
      <c r="J714" s="320"/>
      <c r="K714" s="320"/>
      <c r="L714" s="320"/>
      <c r="M714" s="320"/>
      <c r="N714" s="320"/>
      <c r="O714" s="320"/>
    </row>
    <row r="715">
      <c r="A715" s="32">
        <f t="shared" si="1"/>
        <v>714</v>
      </c>
      <c r="B715" s="378" t="s">
        <v>61</v>
      </c>
      <c r="C715" s="11" t="s">
        <v>1548</v>
      </c>
      <c r="D715" s="12" t="s">
        <v>1880</v>
      </c>
      <c r="E715" s="320">
        <f>VLOOKUP($C715,'SWR PIPE'!$R$5:$V2469,3,0)</f>
        <v>2.055</v>
      </c>
      <c r="F715" s="320">
        <f>VLOOKUP($C715,'SWR PIPE'!$R$5:$V2469,2,0)</f>
        <v>692</v>
      </c>
      <c r="G715" s="320">
        <f>VLOOKUP($C715,'SWR PIPE'!$R$5:$V2469,5,0)</f>
        <v>692</v>
      </c>
      <c r="H715" s="320"/>
      <c r="I715" s="320"/>
      <c r="J715" s="320"/>
      <c r="K715" s="320"/>
      <c r="L715" s="320"/>
      <c r="M715" s="320"/>
      <c r="N715" s="320"/>
      <c r="O715" s="320"/>
    </row>
    <row r="716">
      <c r="A716" s="32">
        <f t="shared" si="1"/>
        <v>715</v>
      </c>
      <c r="B716" s="378" t="s">
        <v>61</v>
      </c>
      <c r="C716" s="11" t="s">
        <v>1552</v>
      </c>
      <c r="D716" s="12" t="s">
        <v>1879</v>
      </c>
      <c r="E716" s="320">
        <f>VLOOKUP($C716,'SWR PIPE'!$R$5:$V2469,3,0)</f>
        <v>1.4</v>
      </c>
      <c r="F716" s="320">
        <f>VLOOKUP($C716,'SWR PIPE'!$R$5:$V2469,2,0)</f>
        <v>468</v>
      </c>
      <c r="G716" s="320">
        <f>VLOOKUP($C716,'SWR PIPE'!$R$5:$V2469,5,0)</f>
        <v>468</v>
      </c>
      <c r="H716" s="320"/>
      <c r="I716" s="320"/>
      <c r="J716" s="320"/>
      <c r="K716" s="320"/>
      <c r="L716" s="320"/>
      <c r="M716" s="320"/>
      <c r="N716" s="320"/>
      <c r="O716" s="320"/>
    </row>
    <row r="717">
      <c r="A717" s="32">
        <f t="shared" si="1"/>
        <v>716</v>
      </c>
      <c r="B717" s="378" t="s">
        <v>61</v>
      </c>
      <c r="C717" s="11" t="s">
        <v>1556</v>
      </c>
      <c r="D717" s="12" t="s">
        <v>1881</v>
      </c>
      <c r="E717" s="320">
        <f>VLOOKUP($C717,'SWR PIPE'!$R$5:$V2469,3,0)</f>
        <v>4.25</v>
      </c>
      <c r="F717" s="320">
        <f>VLOOKUP($C717,'SWR PIPE'!$R$5:$V2469,2,0)</f>
        <v>1122</v>
      </c>
      <c r="G717" s="320">
        <f>VLOOKUP($C717,'SWR PIPE'!$R$5:$V2469,5,0)</f>
        <v>1122</v>
      </c>
      <c r="H717" s="320"/>
      <c r="I717" s="320"/>
      <c r="J717" s="320"/>
      <c r="K717" s="320"/>
      <c r="L717" s="320"/>
      <c r="M717" s="320"/>
      <c r="N717" s="320"/>
      <c r="O717" s="320"/>
    </row>
    <row r="718">
      <c r="A718" s="32">
        <f t="shared" si="1"/>
        <v>717</v>
      </c>
      <c r="B718" s="378" t="s">
        <v>61</v>
      </c>
      <c r="C718" s="11" t="s">
        <v>1558</v>
      </c>
      <c r="D718" s="12" t="s">
        <v>1881</v>
      </c>
      <c r="E718" s="320">
        <f>VLOOKUP($C718,'SWR PIPE'!$R$5:$V2469,3,0)</f>
        <v>4.25</v>
      </c>
      <c r="F718" s="320">
        <f>VLOOKUP($C718,'SWR PIPE'!$R$5:$V2469,2,0)</f>
        <v>1134</v>
      </c>
      <c r="G718" s="320">
        <f>VLOOKUP($C718,'SWR PIPE'!$R$5:$V2469,5,0)</f>
        <v>1134</v>
      </c>
      <c r="H718" s="320"/>
      <c r="I718" s="320"/>
      <c r="J718" s="320"/>
      <c r="K718" s="320"/>
      <c r="L718" s="320"/>
      <c r="M718" s="320"/>
      <c r="N718" s="320"/>
      <c r="O718" s="320"/>
    </row>
    <row r="719">
      <c r="A719" s="32">
        <f t="shared" si="1"/>
        <v>718</v>
      </c>
      <c r="B719" s="378" t="s">
        <v>61</v>
      </c>
      <c r="C719" s="11" t="s">
        <v>1561</v>
      </c>
      <c r="D719" s="12" t="s">
        <v>1884</v>
      </c>
      <c r="E719" s="320">
        <f>VLOOKUP($C719,'SWR PIPE'!$R$5:$V2469,3,0)</f>
        <v>8.5</v>
      </c>
      <c r="F719" s="320">
        <f>VLOOKUP($C719,'SWR PIPE'!$R$5:$V2469,2,0)</f>
        <v>2244</v>
      </c>
      <c r="G719" s="320">
        <f>VLOOKUP($C719,'SWR PIPE'!$R$5:$V2469,5,0)</f>
        <v>2244</v>
      </c>
      <c r="H719" s="320"/>
      <c r="I719" s="320"/>
      <c r="J719" s="320"/>
      <c r="K719" s="320"/>
      <c r="L719" s="320"/>
      <c r="M719" s="320"/>
      <c r="N719" s="320"/>
      <c r="O719" s="320"/>
    </row>
    <row r="720">
      <c r="A720" s="32">
        <f t="shared" si="1"/>
        <v>719</v>
      </c>
      <c r="B720" s="378" t="s">
        <v>61</v>
      </c>
      <c r="C720" s="11" t="s">
        <v>1564</v>
      </c>
      <c r="D720" s="12" t="s">
        <v>1884</v>
      </c>
      <c r="E720" s="320">
        <f>VLOOKUP($C720,'SWR PIPE'!$R$5:$V2469,3,0)</f>
        <v>8.5</v>
      </c>
      <c r="F720" s="320">
        <f>VLOOKUP($C720,'SWR PIPE'!$R$5:$V2469,2,0)</f>
        <v>2256</v>
      </c>
      <c r="G720" s="320">
        <f>VLOOKUP($C720,'SWR PIPE'!$R$5:$V2469,5,0)</f>
        <v>2256</v>
      </c>
      <c r="H720" s="320"/>
      <c r="I720" s="320"/>
      <c r="J720" s="320"/>
      <c r="K720" s="320"/>
      <c r="L720" s="320"/>
      <c r="M720" s="320"/>
      <c r="N720" s="320"/>
      <c r="O720" s="320"/>
    </row>
    <row r="721">
      <c r="A721" s="32">
        <f t="shared" si="1"/>
        <v>720</v>
      </c>
      <c r="B721" s="378" t="s">
        <v>61</v>
      </c>
      <c r="C721" s="11" t="s">
        <v>1566</v>
      </c>
      <c r="D721" s="12" t="s">
        <v>1888</v>
      </c>
      <c r="E721" s="320">
        <f>VLOOKUP($C721,'SWR PIPE'!$R$5:$V2469,3,0)</f>
        <v>0.85</v>
      </c>
      <c r="F721" s="320">
        <f>VLOOKUP($C721,'SWR PIPE'!$R$5:$V2469,2,0)</f>
        <v>298</v>
      </c>
      <c r="G721" s="320">
        <f>VLOOKUP($C721,'SWR PIPE'!$R$5:$V2469,5,0)</f>
        <v>298</v>
      </c>
      <c r="H721" s="320"/>
      <c r="I721" s="320"/>
      <c r="J721" s="320"/>
      <c r="K721" s="320"/>
      <c r="L721" s="320"/>
      <c r="M721" s="320"/>
      <c r="N721" s="320"/>
      <c r="O721" s="320"/>
    </row>
    <row r="722">
      <c r="A722" s="32">
        <f t="shared" si="1"/>
        <v>721</v>
      </c>
      <c r="B722" s="378" t="s">
        <v>61</v>
      </c>
      <c r="C722" s="11" t="s">
        <v>1568</v>
      </c>
      <c r="D722" s="12" t="s">
        <v>1889</v>
      </c>
      <c r="E722" s="320">
        <f>VLOOKUP($C722,'SWR PIPE'!$R$5:$V2469,3,0)</f>
        <v>1.27</v>
      </c>
      <c r="F722" s="320">
        <f>VLOOKUP($C722,'SWR PIPE'!$R$5:$V2469,2,0)</f>
        <v>444</v>
      </c>
      <c r="G722" s="320">
        <f>VLOOKUP($C722,'SWR PIPE'!$R$5:$V2469,5,0)</f>
        <v>444</v>
      </c>
      <c r="H722" s="320"/>
      <c r="I722" s="320"/>
      <c r="J722" s="320"/>
      <c r="K722" s="320"/>
      <c r="L722" s="320"/>
      <c r="M722" s="320"/>
      <c r="N722" s="320"/>
      <c r="O722" s="320"/>
    </row>
    <row r="723">
      <c r="A723" s="32">
        <f t="shared" si="1"/>
        <v>722</v>
      </c>
      <c r="B723" s="378" t="s">
        <v>61</v>
      </c>
      <c r="C723" s="11" t="s">
        <v>1572</v>
      </c>
      <c r="D723" s="12" t="s">
        <v>1890</v>
      </c>
      <c r="E723" s="320">
        <f>VLOOKUP($C723,'SWR PIPE'!$R$5:$V2469,3,0)</f>
        <v>1.7</v>
      </c>
      <c r="F723" s="320">
        <f>VLOOKUP($C723,'SWR PIPE'!$R$5:$V2469,2,0)</f>
        <v>584</v>
      </c>
      <c r="G723" s="320">
        <f>VLOOKUP($C723,'SWR PIPE'!$R$5:$V2469,5,0)</f>
        <v>584</v>
      </c>
      <c r="H723" s="320"/>
      <c r="I723" s="320"/>
      <c r="J723" s="320"/>
      <c r="K723" s="320"/>
      <c r="L723" s="320"/>
      <c r="M723" s="320"/>
      <c r="N723" s="320"/>
      <c r="O723" s="320"/>
    </row>
    <row r="724">
      <c r="A724" s="32">
        <f t="shared" si="1"/>
        <v>723</v>
      </c>
      <c r="B724" s="378" t="s">
        <v>61</v>
      </c>
      <c r="C724" s="11" t="s">
        <v>1574</v>
      </c>
      <c r="D724" s="12" t="s">
        <v>1893</v>
      </c>
      <c r="E724" s="320">
        <f>VLOOKUP($C724,'SWR PIPE'!$R$5:$V2469,3,0)</f>
        <v>2.55</v>
      </c>
      <c r="F724" s="320">
        <f>VLOOKUP($C724,'SWR PIPE'!$R$5:$V2469,2,0)</f>
        <v>858</v>
      </c>
      <c r="G724" s="320">
        <f>VLOOKUP($C724,'SWR PIPE'!$R$5:$V2469,5,0)</f>
        <v>858</v>
      </c>
      <c r="H724" s="320"/>
      <c r="I724" s="320"/>
      <c r="J724" s="320"/>
      <c r="K724" s="320"/>
      <c r="L724" s="320"/>
      <c r="M724" s="320"/>
      <c r="N724" s="320"/>
      <c r="O724" s="320"/>
    </row>
    <row r="725">
      <c r="A725" s="32">
        <f t="shared" si="1"/>
        <v>724</v>
      </c>
      <c r="B725" s="378" t="s">
        <v>61</v>
      </c>
      <c r="C725" s="11" t="s">
        <v>1578</v>
      </c>
      <c r="D725" s="12" t="s">
        <v>1893</v>
      </c>
      <c r="E725" s="320">
        <f>VLOOKUP($C725,'SWR PIPE'!$R$5:$V2469,3,0)</f>
        <v>2.55</v>
      </c>
      <c r="F725" s="320">
        <f>VLOOKUP($C725,'SWR PIPE'!$R$5:$V2469,2,0)</f>
        <v>840</v>
      </c>
      <c r="G725" s="320">
        <f>VLOOKUP($C725,'SWR PIPE'!$R$5:$V2469,5,0)</f>
        <v>840</v>
      </c>
      <c r="H725" s="320"/>
      <c r="I725" s="320"/>
      <c r="J725" s="320"/>
      <c r="K725" s="320"/>
      <c r="L725" s="320"/>
      <c r="M725" s="320"/>
      <c r="N725" s="320"/>
      <c r="O725" s="320"/>
    </row>
    <row r="726">
      <c r="A726" s="32">
        <f t="shared" si="1"/>
        <v>725</v>
      </c>
      <c r="B726" s="378" t="s">
        <v>61</v>
      </c>
      <c r="C726" s="11" t="s">
        <v>1580</v>
      </c>
      <c r="D726" s="12" t="s">
        <v>1890</v>
      </c>
      <c r="E726" s="320">
        <f>VLOOKUP($C726,'SWR PIPE'!$R$5:$V2469,3,0)</f>
        <v>1.84</v>
      </c>
      <c r="F726" s="320">
        <f>VLOOKUP($C726,'SWR PIPE'!$R$5:$V2469,2,0)</f>
        <v>568</v>
      </c>
      <c r="G726" s="320">
        <f>VLOOKUP($C726,'SWR PIPE'!$R$5:$V2469,5,0)</f>
        <v>568</v>
      </c>
      <c r="H726" s="320"/>
      <c r="I726" s="320"/>
      <c r="J726" s="320"/>
      <c r="K726" s="320"/>
      <c r="L726" s="320"/>
      <c r="M726" s="320"/>
      <c r="N726" s="320"/>
      <c r="O726" s="320"/>
    </row>
    <row r="727">
      <c r="A727" s="32">
        <f t="shared" si="1"/>
        <v>726</v>
      </c>
      <c r="B727" s="378" t="s">
        <v>61</v>
      </c>
      <c r="C727" s="11" t="s">
        <v>1584</v>
      </c>
      <c r="D727" s="12" t="s">
        <v>1899</v>
      </c>
      <c r="E727" s="320">
        <f>VLOOKUP($C727,'SWR PIPE'!$R$5:$V2469,3,0)</f>
        <v>5.3</v>
      </c>
      <c r="F727" s="320">
        <f>VLOOKUP($C727,'SWR PIPE'!$R$5:$V2469,2,0)</f>
        <v>1398</v>
      </c>
      <c r="G727" s="320">
        <f>VLOOKUP($C727,'SWR PIPE'!$R$5:$V2469,5,0)</f>
        <v>1398</v>
      </c>
      <c r="H727" s="320"/>
      <c r="I727" s="320"/>
      <c r="J727" s="320"/>
      <c r="K727" s="320"/>
      <c r="L727" s="320"/>
      <c r="M727" s="320"/>
      <c r="N727" s="320"/>
      <c r="O727" s="320"/>
    </row>
    <row r="728">
      <c r="A728" s="32">
        <f t="shared" si="1"/>
        <v>727</v>
      </c>
      <c r="B728" s="378" t="s">
        <v>61</v>
      </c>
      <c r="C728" s="11" t="s">
        <v>1587</v>
      </c>
      <c r="D728" s="12" t="s">
        <v>1899</v>
      </c>
      <c r="E728" s="320">
        <f>VLOOKUP($C728,'SWR PIPE'!$R$5:$V2469,3,0)</f>
        <v>5.3</v>
      </c>
      <c r="F728" s="320">
        <f>VLOOKUP($C728,'SWR PIPE'!$R$5:$V2469,2,0)</f>
        <v>1414</v>
      </c>
      <c r="G728" s="320">
        <f>VLOOKUP($C728,'SWR PIPE'!$R$5:$V2469,5,0)</f>
        <v>1414</v>
      </c>
      <c r="H728" s="320"/>
      <c r="I728" s="320"/>
      <c r="J728" s="320"/>
      <c r="K728" s="320"/>
      <c r="L728" s="320"/>
      <c r="M728" s="320"/>
      <c r="N728" s="320"/>
      <c r="O728" s="320"/>
    </row>
    <row r="729">
      <c r="A729" s="32">
        <f t="shared" si="1"/>
        <v>728</v>
      </c>
      <c r="B729" s="378" t="s">
        <v>61</v>
      </c>
      <c r="C729" s="11" t="s">
        <v>1589</v>
      </c>
      <c r="D729" s="12" t="s">
        <v>1904</v>
      </c>
      <c r="E729" s="320">
        <f>VLOOKUP($C729,'SWR PIPE'!$R$5:$V2469,3,0)</f>
        <v>10.6</v>
      </c>
      <c r="F729" s="320">
        <f>VLOOKUP($C729,'SWR PIPE'!$R$5:$V2469,2,0)</f>
        <v>2798</v>
      </c>
      <c r="G729" s="320">
        <f>VLOOKUP($C729,'SWR PIPE'!$R$5:$V2469,5,0)</f>
        <v>2798</v>
      </c>
      <c r="H729" s="320"/>
      <c r="I729" s="320"/>
      <c r="J729" s="320"/>
      <c r="K729" s="320"/>
      <c r="L729" s="320"/>
      <c r="M729" s="320"/>
      <c r="N729" s="320"/>
      <c r="O729" s="320"/>
    </row>
    <row r="730">
      <c r="A730" s="32">
        <f t="shared" si="1"/>
        <v>729</v>
      </c>
      <c r="B730" s="378" t="s">
        <v>61</v>
      </c>
      <c r="C730" s="11" t="s">
        <v>1591</v>
      </c>
      <c r="D730" s="12" t="s">
        <v>1904</v>
      </c>
      <c r="E730" s="320">
        <f>VLOOKUP($C730,'SWR PIPE'!$R$5:$V2469,3,0)</f>
        <v>10.6</v>
      </c>
      <c r="F730" s="320">
        <f>VLOOKUP($C730,'SWR PIPE'!$R$5:$V2469,2,0)</f>
        <v>2812</v>
      </c>
      <c r="G730" s="320">
        <f>VLOOKUP($C730,'SWR PIPE'!$R$5:$V2469,5,0)</f>
        <v>2812</v>
      </c>
      <c r="H730" s="320"/>
      <c r="I730" s="320"/>
      <c r="J730" s="320"/>
      <c r="K730" s="320"/>
      <c r="L730" s="320"/>
      <c r="M730" s="320"/>
      <c r="N730" s="320"/>
      <c r="O730" s="320"/>
    </row>
    <row r="731">
      <c r="A731" s="32">
        <f t="shared" si="1"/>
        <v>730</v>
      </c>
      <c r="B731" s="378" t="s">
        <v>61</v>
      </c>
      <c r="C731" s="11" t="s">
        <v>1594</v>
      </c>
      <c r="D731" s="12" t="s">
        <v>1913</v>
      </c>
      <c r="E731" s="320">
        <f>VLOOKUP($C731,'SWR PIPE'!$R$5:$V2469,3,0)</f>
        <v>1.06</v>
      </c>
      <c r="F731" s="320">
        <f>VLOOKUP($C731,'SWR PIPE'!$R$5:$V2469,2,0)</f>
        <v>378</v>
      </c>
      <c r="G731" s="320">
        <f>VLOOKUP($C731,'SWR PIPE'!$R$5:$V2469,5,0)</f>
        <v>378</v>
      </c>
      <c r="H731" s="320"/>
      <c r="I731" s="320"/>
      <c r="J731" s="320"/>
      <c r="K731" s="320"/>
      <c r="L731" s="320"/>
      <c r="M731" s="320"/>
      <c r="N731" s="320"/>
      <c r="O731" s="320"/>
    </row>
    <row r="732">
      <c r="A732" s="32">
        <f t="shared" si="1"/>
        <v>731</v>
      </c>
      <c r="B732" s="378" t="s">
        <v>61</v>
      </c>
      <c r="C732" s="11" t="s">
        <v>1597</v>
      </c>
      <c r="D732" s="12" t="s">
        <v>1916</v>
      </c>
      <c r="E732" s="320">
        <f>VLOOKUP($C732,'SWR PIPE'!$R$5:$V2469,3,0)</f>
        <v>1.59</v>
      </c>
      <c r="F732" s="320">
        <f>VLOOKUP($C732,'SWR PIPE'!$R$5:$V2469,2,0)</f>
        <v>536</v>
      </c>
      <c r="G732" s="320">
        <f>VLOOKUP($C732,'SWR PIPE'!$R$5:$V2469,5,0)</f>
        <v>536</v>
      </c>
      <c r="H732" s="320"/>
      <c r="I732" s="320"/>
      <c r="J732" s="320"/>
      <c r="K732" s="320"/>
      <c r="L732" s="320"/>
      <c r="M732" s="320"/>
      <c r="N732" s="320"/>
      <c r="O732" s="320"/>
    </row>
    <row r="733">
      <c r="A733" s="32">
        <f t="shared" si="1"/>
        <v>732</v>
      </c>
      <c r="B733" s="378" t="s">
        <v>61</v>
      </c>
      <c r="C733" s="11" t="s">
        <v>1600</v>
      </c>
      <c r="D733" s="12" t="s">
        <v>1918</v>
      </c>
      <c r="E733" s="320">
        <f>VLOOKUP($C733,'SWR PIPE'!$R$5:$V2469,3,0)</f>
        <v>2.12</v>
      </c>
      <c r="F733" s="320">
        <f>VLOOKUP($C733,'SWR PIPE'!$R$5:$V2469,2,0)</f>
        <v>724</v>
      </c>
      <c r="G733" s="320">
        <f>VLOOKUP($C733,'SWR PIPE'!$R$5:$V2469,5,0)</f>
        <v>724</v>
      </c>
      <c r="H733" s="320"/>
      <c r="I733" s="320"/>
      <c r="J733" s="320"/>
      <c r="K733" s="320"/>
      <c r="L733" s="320"/>
      <c r="M733" s="320"/>
      <c r="N733" s="320"/>
      <c r="O733" s="320"/>
    </row>
    <row r="734">
      <c r="A734" s="32">
        <f t="shared" si="1"/>
        <v>733</v>
      </c>
      <c r="B734" s="378" t="s">
        <v>61</v>
      </c>
      <c r="C734" s="11" t="s">
        <v>1602</v>
      </c>
      <c r="D734" s="12" t="s">
        <v>1922</v>
      </c>
      <c r="E734" s="320">
        <f>VLOOKUP($C734,'SWR PIPE'!$R$5:$V2469,3,0)</f>
        <v>3.18</v>
      </c>
      <c r="F734" s="320">
        <f>VLOOKUP($C734,'SWR PIPE'!$R$5:$V2469,2,0)</f>
        <v>1058</v>
      </c>
      <c r="G734" s="320">
        <f>VLOOKUP($C734,'SWR PIPE'!$R$5:$V2469,5,0)</f>
        <v>1058</v>
      </c>
      <c r="H734" s="320"/>
      <c r="I734" s="320"/>
      <c r="J734" s="320"/>
      <c r="K734" s="320"/>
      <c r="L734" s="320"/>
      <c r="M734" s="320"/>
      <c r="N734" s="320"/>
      <c r="O734" s="320"/>
    </row>
    <row r="735">
      <c r="A735" s="32">
        <f t="shared" si="1"/>
        <v>734</v>
      </c>
      <c r="B735" s="378" t="s">
        <v>61</v>
      </c>
      <c r="C735" s="11" t="s">
        <v>1605</v>
      </c>
      <c r="D735" s="12" t="s">
        <v>1922</v>
      </c>
      <c r="E735" s="320">
        <f>VLOOKUP($C735,'SWR PIPE'!$R$5:$V2469,3,0)</f>
        <v>3.18</v>
      </c>
      <c r="F735" s="320">
        <f>VLOOKUP($C735,'SWR PIPE'!$R$5:$V2469,2,0)</f>
        <v>1038</v>
      </c>
      <c r="G735" s="320">
        <f>VLOOKUP($C735,'SWR PIPE'!$R$5:$V2469,5,0)</f>
        <v>1038</v>
      </c>
      <c r="H735" s="320"/>
      <c r="I735" s="320"/>
      <c r="J735" s="320"/>
      <c r="K735" s="320"/>
      <c r="L735" s="320"/>
      <c r="M735" s="320"/>
      <c r="N735" s="320"/>
      <c r="O735" s="320"/>
    </row>
    <row r="736">
      <c r="A736" s="32">
        <f t="shared" si="1"/>
        <v>735</v>
      </c>
      <c r="B736" s="378" t="s">
        <v>61</v>
      </c>
      <c r="C736" s="11" t="s">
        <v>1608</v>
      </c>
      <c r="D736" s="12" t="s">
        <v>1918</v>
      </c>
      <c r="E736" s="320">
        <f>VLOOKUP($C736,'SWR PIPE'!$R$5:$V2469,3,0)</f>
        <v>2.27</v>
      </c>
      <c r="F736" s="320">
        <f>VLOOKUP($C736,'SWR PIPE'!$R$5:$V2469,2,0)</f>
        <v>708</v>
      </c>
      <c r="G736" s="320">
        <f>VLOOKUP($C736,'SWR PIPE'!$R$5:$V2469,5,0)</f>
        <v>708</v>
      </c>
      <c r="H736" s="320"/>
      <c r="I736" s="320"/>
      <c r="J736" s="320"/>
      <c r="K736" s="320"/>
      <c r="L736" s="320"/>
      <c r="M736" s="320"/>
      <c r="N736" s="320"/>
      <c r="O736" s="320"/>
    </row>
    <row r="737">
      <c r="A737" s="32">
        <f t="shared" si="1"/>
        <v>736</v>
      </c>
      <c r="B737" s="378" t="s">
        <v>61</v>
      </c>
      <c r="C737" s="11" t="s">
        <v>1612</v>
      </c>
      <c r="D737" s="12" t="s">
        <v>1934</v>
      </c>
      <c r="E737" s="320">
        <f>VLOOKUP($C737,'SWR PIPE'!$R$5:$V2469,3,0)</f>
        <v>10.4</v>
      </c>
      <c r="F737" s="320">
        <f>VLOOKUP($C737,'SWR PIPE'!$R$5:$V2469,2,0)</f>
        <v>2498</v>
      </c>
      <c r="G737" s="320">
        <f>VLOOKUP($C737,'SWR PIPE'!$R$5:$V2469,5,0)</f>
        <v>2498</v>
      </c>
      <c r="H737" s="320"/>
      <c r="I737" s="320"/>
      <c r="J737" s="320"/>
      <c r="K737" s="320"/>
      <c r="L737" s="320"/>
      <c r="M737" s="320"/>
      <c r="N737" s="320"/>
      <c r="O737" s="320"/>
    </row>
    <row r="738">
      <c r="A738" s="32">
        <f t="shared" si="1"/>
        <v>737</v>
      </c>
      <c r="B738" s="378" t="s">
        <v>61</v>
      </c>
      <c r="C738" s="11" t="s">
        <v>1614</v>
      </c>
      <c r="D738" s="12" t="s">
        <v>1934</v>
      </c>
      <c r="E738" s="320">
        <f>VLOOKUP($C738,'SWR PIPE'!$R$5:$V2469,3,0)</f>
        <v>10.4</v>
      </c>
      <c r="F738" s="320">
        <f>VLOOKUP($C738,'SWR PIPE'!$R$5:$V2469,2,0)</f>
        <v>2524</v>
      </c>
      <c r="G738" s="320">
        <f>VLOOKUP($C738,'SWR PIPE'!$R$5:$V2469,5,0)</f>
        <v>2524</v>
      </c>
      <c r="H738" s="320"/>
      <c r="I738" s="320"/>
      <c r="J738" s="320"/>
      <c r="K738" s="320"/>
      <c r="L738" s="320"/>
      <c r="M738" s="320"/>
      <c r="N738" s="320"/>
      <c r="O738" s="320"/>
    </row>
    <row r="739">
      <c r="A739" s="32">
        <f t="shared" si="1"/>
        <v>738</v>
      </c>
      <c r="B739" s="378" t="s">
        <v>61</v>
      </c>
      <c r="C739" s="11" t="s">
        <v>1617</v>
      </c>
      <c r="D739" s="12" t="s">
        <v>1941</v>
      </c>
      <c r="E739" s="320">
        <f>VLOOKUP($C739,'SWR PIPE'!$R$5:$V2469,3,0)</f>
        <v>20.8</v>
      </c>
      <c r="F739" s="320">
        <f>VLOOKUP($C739,'SWR PIPE'!$R$5:$V2469,2,0)</f>
        <v>4996</v>
      </c>
      <c r="G739" s="320">
        <f>VLOOKUP($C739,'SWR PIPE'!$R$5:$V2469,5,0)</f>
        <v>4996</v>
      </c>
      <c r="H739" s="320"/>
      <c r="I739" s="320"/>
      <c r="J739" s="320"/>
      <c r="K739" s="320"/>
      <c r="L739" s="320"/>
      <c r="M739" s="320"/>
      <c r="N739" s="320"/>
      <c r="O739" s="320"/>
    </row>
    <row r="740">
      <c r="A740" s="32">
        <f t="shared" si="1"/>
        <v>739</v>
      </c>
      <c r="B740" s="378" t="s">
        <v>61</v>
      </c>
      <c r="C740" s="11" t="s">
        <v>1619</v>
      </c>
      <c r="D740" s="12" t="s">
        <v>1941</v>
      </c>
      <c r="E740" s="320">
        <f>VLOOKUP($C740,'SWR PIPE'!$R$5:$V2469,3,0)</f>
        <v>20.8</v>
      </c>
      <c r="F740" s="320">
        <f>VLOOKUP($C740,'SWR PIPE'!$R$5:$V2469,2,0)</f>
        <v>5020</v>
      </c>
      <c r="G740" s="320">
        <f>VLOOKUP($C740,'SWR PIPE'!$R$5:$V2469,5,0)</f>
        <v>5020</v>
      </c>
      <c r="H740" s="320"/>
      <c r="I740" s="320"/>
      <c r="J740" s="320"/>
      <c r="K740" s="320"/>
      <c r="L740" s="320"/>
      <c r="M740" s="320"/>
      <c r="N740" s="320"/>
      <c r="O740" s="320"/>
    </row>
    <row r="741">
      <c r="A741" s="32">
        <f t="shared" si="1"/>
        <v>740</v>
      </c>
      <c r="B741" s="378" t="s">
        <v>61</v>
      </c>
      <c r="C741" s="11" t="s">
        <v>1623</v>
      </c>
      <c r="D741" s="12" t="s">
        <v>1947</v>
      </c>
      <c r="E741" s="320">
        <f>VLOOKUP($C741,'SWR PIPE'!$R$5:$V2469,3,0)</f>
        <v>2.08</v>
      </c>
      <c r="F741" s="320">
        <f>VLOOKUP($C741,'SWR PIPE'!$R$5:$V2469,2,0)</f>
        <v>692</v>
      </c>
      <c r="G741" s="320">
        <f>VLOOKUP($C741,'SWR PIPE'!$R$5:$V2469,5,0)</f>
        <v>692</v>
      </c>
      <c r="H741" s="320"/>
      <c r="I741" s="320"/>
      <c r="J741" s="320"/>
      <c r="K741" s="320"/>
      <c r="L741" s="320"/>
      <c r="M741" s="320"/>
      <c r="N741" s="320"/>
      <c r="O741" s="320"/>
    </row>
    <row r="742">
      <c r="A742" s="32">
        <f t="shared" si="1"/>
        <v>741</v>
      </c>
      <c r="B742" s="378" t="s">
        <v>61</v>
      </c>
      <c r="C742" s="11" t="s">
        <v>1625</v>
      </c>
      <c r="D742" s="12" t="s">
        <v>1951</v>
      </c>
      <c r="E742" s="320">
        <f>VLOOKUP($C742,'SWR PIPE'!$R$5:$V2469,3,0)</f>
        <v>3.12</v>
      </c>
      <c r="F742" s="320">
        <f>VLOOKUP($C742,'SWR PIPE'!$R$5:$V2469,2,0)</f>
        <v>998</v>
      </c>
      <c r="G742" s="320">
        <f>VLOOKUP($C742,'SWR PIPE'!$R$5:$V2469,5,0)</f>
        <v>998</v>
      </c>
      <c r="H742" s="320"/>
      <c r="I742" s="320"/>
      <c r="J742" s="320"/>
      <c r="K742" s="320"/>
      <c r="L742" s="320"/>
      <c r="M742" s="320"/>
      <c r="N742" s="320"/>
      <c r="O742" s="320"/>
    </row>
    <row r="743">
      <c r="A743" s="32">
        <f t="shared" si="1"/>
        <v>742</v>
      </c>
      <c r="B743" s="378" t="s">
        <v>61</v>
      </c>
      <c r="C743" s="11" t="s">
        <v>1628</v>
      </c>
      <c r="D743" s="12" t="s">
        <v>1955</v>
      </c>
      <c r="E743" s="320">
        <f>VLOOKUP($C743,'SWR PIPE'!$R$5:$V2469,3,0)</f>
        <v>4.16</v>
      </c>
      <c r="F743" s="320">
        <f>VLOOKUP($C743,'SWR PIPE'!$R$5:$V2469,2,0)</f>
        <v>1298</v>
      </c>
      <c r="G743" s="320">
        <f>VLOOKUP($C743,'SWR PIPE'!$R$5:$V2469,5,0)</f>
        <v>1298</v>
      </c>
      <c r="H743" s="320"/>
      <c r="I743" s="320"/>
      <c r="J743" s="320"/>
      <c r="K743" s="320"/>
      <c r="L743" s="320"/>
      <c r="M743" s="320"/>
      <c r="N743" s="320"/>
      <c r="O743" s="320"/>
    </row>
    <row r="744">
      <c r="A744" s="32">
        <f t="shared" si="1"/>
        <v>743</v>
      </c>
      <c r="B744" s="378" t="s">
        <v>61</v>
      </c>
      <c r="C744" s="11" t="s">
        <v>1631</v>
      </c>
      <c r="D744" s="12" t="s">
        <v>1959</v>
      </c>
      <c r="E744" s="320">
        <f>VLOOKUP($C744,'SWR PIPE'!$R$5:$V2469,3,0)</f>
        <v>6.24</v>
      </c>
      <c r="F744" s="320">
        <f>VLOOKUP($C744,'SWR PIPE'!$R$5:$V2469,2,0)</f>
        <v>1884</v>
      </c>
      <c r="G744" s="320">
        <f>VLOOKUP($C744,'SWR PIPE'!$R$5:$V2469,5,0)</f>
        <v>1884</v>
      </c>
      <c r="H744" s="320"/>
      <c r="I744" s="320"/>
      <c r="J744" s="320"/>
      <c r="K744" s="320"/>
      <c r="L744" s="320"/>
      <c r="M744" s="320"/>
      <c r="N744" s="320"/>
      <c r="O744" s="320"/>
    </row>
    <row r="745">
      <c r="A745" s="32">
        <f t="shared" si="1"/>
        <v>744</v>
      </c>
      <c r="B745" s="378" t="s">
        <v>61</v>
      </c>
      <c r="C745" s="11" t="s">
        <v>1633</v>
      </c>
      <c r="D745" s="12" t="s">
        <v>1959</v>
      </c>
      <c r="E745" s="320">
        <f>VLOOKUP($C745,'SWR PIPE'!$R$5:$V2469,3,0)</f>
        <v>6.24</v>
      </c>
      <c r="F745" s="320">
        <f>VLOOKUP($C745,'SWR PIPE'!$R$5:$V2469,2,0)</f>
        <v>1860</v>
      </c>
      <c r="G745" s="320">
        <f>VLOOKUP($C745,'SWR PIPE'!$R$5:$V2469,5,0)</f>
        <v>1860</v>
      </c>
      <c r="H745" s="320"/>
      <c r="I745" s="320"/>
      <c r="J745" s="320"/>
      <c r="K745" s="320"/>
      <c r="L745" s="320"/>
      <c r="M745" s="320"/>
      <c r="N745" s="320"/>
      <c r="O745" s="320"/>
    </row>
    <row r="746">
      <c r="A746" s="32">
        <f t="shared" si="1"/>
        <v>745</v>
      </c>
      <c r="B746" s="378" t="s">
        <v>61</v>
      </c>
      <c r="C746" s="11" t="s">
        <v>1636</v>
      </c>
      <c r="D746" s="12" t="s">
        <v>1955</v>
      </c>
      <c r="E746" s="320">
        <f>VLOOKUP($C746,'SWR PIPE'!$R$5:$V2469,3,0)</f>
        <v>4.14</v>
      </c>
      <c r="F746" s="320">
        <f>VLOOKUP($C746,'SWR PIPE'!$R$5:$V2469,2,0)</f>
        <v>1264</v>
      </c>
      <c r="G746" s="320">
        <f>VLOOKUP($C746,'SWR PIPE'!$R$5:$V2469,5,0)</f>
        <v>1264</v>
      </c>
      <c r="H746" s="320"/>
      <c r="I746" s="320"/>
      <c r="J746" s="320"/>
      <c r="K746" s="320"/>
      <c r="L746" s="320"/>
      <c r="M746" s="320"/>
      <c r="N746" s="320"/>
      <c r="O746" s="320"/>
    </row>
    <row r="747">
      <c r="A747" s="32">
        <f t="shared" si="1"/>
        <v>746</v>
      </c>
      <c r="B747" s="378" t="s">
        <v>61</v>
      </c>
      <c r="C747" s="11" t="s">
        <v>1645</v>
      </c>
      <c r="D747" s="12" t="s">
        <v>1966</v>
      </c>
      <c r="E747" s="320">
        <f>VLOOKUP($C747,'SWR PIPE'!$R$5:$V2469,3,0)</f>
        <v>3.581</v>
      </c>
      <c r="F747" s="320">
        <f>VLOOKUP($C747,'SWR PIPE'!$R$5:$V2469,2,0)</f>
        <v>921</v>
      </c>
      <c r="G747" s="320">
        <f>VLOOKUP($C747,'SWR PIPE'!$R$5:$V2469,5,0)</f>
        <v>921</v>
      </c>
      <c r="H747" s="320"/>
      <c r="I747" s="320"/>
      <c r="J747" s="320"/>
      <c r="K747" s="320"/>
      <c r="L747" s="320"/>
      <c r="M747" s="320"/>
      <c r="N747" s="320"/>
      <c r="O747" s="320"/>
    </row>
    <row r="748">
      <c r="A748" s="32">
        <f t="shared" si="1"/>
        <v>747</v>
      </c>
      <c r="B748" s="378" t="s">
        <v>61</v>
      </c>
      <c r="C748" s="11" t="s">
        <v>1648</v>
      </c>
      <c r="D748" s="12" t="s">
        <v>1966</v>
      </c>
      <c r="E748" s="320">
        <f>VLOOKUP($C748,'SWR PIPE'!$R$5:$V2469,3,0)</f>
        <v>3.581</v>
      </c>
      <c r="F748" s="320">
        <f>VLOOKUP($C748,'SWR PIPE'!$R$5:$V2469,2,0)</f>
        <v>927</v>
      </c>
      <c r="G748" s="320">
        <f>VLOOKUP($C748,'SWR PIPE'!$R$5:$V2469,5,0)</f>
        <v>927</v>
      </c>
      <c r="H748" s="320"/>
      <c r="I748" s="320"/>
      <c r="J748" s="320"/>
      <c r="K748" s="320"/>
      <c r="L748" s="320"/>
      <c r="M748" s="320"/>
      <c r="N748" s="320"/>
      <c r="O748" s="320"/>
    </row>
    <row r="749">
      <c r="A749" s="32">
        <f t="shared" si="1"/>
        <v>748</v>
      </c>
      <c r="B749" s="378" t="s">
        <v>61</v>
      </c>
      <c r="C749" s="11" t="s">
        <v>1651</v>
      </c>
      <c r="D749" s="12" t="s">
        <v>1971</v>
      </c>
      <c r="E749" s="320">
        <f>VLOOKUP($C749,'SWR PIPE'!$R$5:$V2469,3,0)</f>
        <v>7.106</v>
      </c>
      <c r="F749" s="320">
        <f>VLOOKUP($C749,'SWR PIPE'!$R$5:$V2469,2,0)</f>
        <v>1842</v>
      </c>
      <c r="G749" s="320">
        <f>VLOOKUP($C749,'SWR PIPE'!$R$5:$V2469,5,0)</f>
        <v>1842</v>
      </c>
      <c r="H749" s="320"/>
      <c r="I749" s="320"/>
      <c r="J749" s="320"/>
      <c r="K749" s="320"/>
      <c r="L749" s="320"/>
      <c r="M749" s="320"/>
      <c r="N749" s="320"/>
      <c r="O749" s="320"/>
    </row>
    <row r="750">
      <c r="A750" s="32">
        <f t="shared" si="1"/>
        <v>749</v>
      </c>
      <c r="B750" s="378" t="s">
        <v>61</v>
      </c>
      <c r="C750" s="11" t="s">
        <v>1654</v>
      </c>
      <c r="D750" s="12" t="s">
        <v>1971</v>
      </c>
      <c r="E750" s="320">
        <f>VLOOKUP($C750,'SWR PIPE'!$R$5:$V2469,3,0)</f>
        <v>7.106</v>
      </c>
      <c r="F750" s="320">
        <f>VLOOKUP($C750,'SWR PIPE'!$R$5:$V2469,2,0)</f>
        <v>1848</v>
      </c>
      <c r="G750" s="320">
        <f>VLOOKUP($C750,'SWR PIPE'!$R$5:$V2469,5,0)</f>
        <v>1848</v>
      </c>
      <c r="H750" s="320"/>
      <c r="I750" s="320"/>
      <c r="J750" s="320"/>
      <c r="K750" s="320"/>
      <c r="L750" s="320"/>
      <c r="M750" s="320"/>
      <c r="N750" s="320"/>
      <c r="O750" s="320"/>
    </row>
    <row r="751">
      <c r="A751" s="32">
        <f t="shared" si="1"/>
        <v>750</v>
      </c>
      <c r="B751" s="378" t="s">
        <v>61</v>
      </c>
      <c r="C751" s="11" t="s">
        <v>1656</v>
      </c>
      <c r="D751" s="12" t="s">
        <v>1974</v>
      </c>
      <c r="E751" s="320">
        <f>VLOOKUP($C751,'SWR PIPE'!$R$5:$V2469,3,0)</f>
        <v>0.773</v>
      </c>
      <c r="F751" s="320">
        <f>VLOOKUP($C751,'SWR PIPE'!$R$5:$V2469,2,0)</f>
        <v>222.3</v>
      </c>
      <c r="G751" s="320">
        <f>VLOOKUP($C751,'SWR PIPE'!$R$5:$V2469,5,0)</f>
        <v>222</v>
      </c>
      <c r="H751" s="320"/>
      <c r="I751" s="320"/>
      <c r="J751" s="320"/>
      <c r="K751" s="320"/>
      <c r="L751" s="320"/>
      <c r="M751" s="320"/>
      <c r="N751" s="320"/>
      <c r="O751" s="320"/>
    </row>
    <row r="752">
      <c r="A752" s="32">
        <f t="shared" si="1"/>
        <v>751</v>
      </c>
      <c r="B752" s="378" t="s">
        <v>61</v>
      </c>
      <c r="C752" s="11" t="s">
        <v>1659</v>
      </c>
      <c r="D752" s="12" t="s">
        <v>1976</v>
      </c>
      <c r="E752" s="320">
        <f>VLOOKUP($C752,'SWR PIPE'!$R$5:$V2469,3,0)</f>
        <v>1.131</v>
      </c>
      <c r="F752" s="320">
        <f>VLOOKUP($C752,'SWR PIPE'!$R$5:$V2469,2,0)</f>
        <v>325.47</v>
      </c>
      <c r="G752" s="320">
        <f>VLOOKUP($C752,'SWR PIPE'!$R$5:$V2469,5,0)</f>
        <v>325</v>
      </c>
      <c r="H752" s="320"/>
      <c r="I752" s="320"/>
      <c r="J752" s="320"/>
      <c r="K752" s="320"/>
      <c r="L752" s="320"/>
      <c r="M752" s="320"/>
      <c r="N752" s="320"/>
      <c r="O752" s="320"/>
    </row>
    <row r="753">
      <c r="A753" s="32">
        <f t="shared" si="1"/>
        <v>752</v>
      </c>
      <c r="B753" s="378" t="s">
        <v>61</v>
      </c>
      <c r="C753" s="11" t="s">
        <v>1662</v>
      </c>
      <c r="D753" s="12" t="s">
        <v>1979</v>
      </c>
      <c r="E753" s="320">
        <f>VLOOKUP($C753,'SWR PIPE'!$R$5:$V2469,3,0)</f>
        <v>1.49</v>
      </c>
      <c r="F753" s="320">
        <f>VLOOKUP($C753,'SWR PIPE'!$R$5:$V2469,2,0)</f>
        <v>428.925</v>
      </c>
      <c r="G753" s="320">
        <f>VLOOKUP($C753,'SWR PIPE'!$R$5:$V2469,5,0)</f>
        <v>429</v>
      </c>
      <c r="H753" s="320"/>
      <c r="I753" s="320"/>
      <c r="J753" s="320"/>
      <c r="K753" s="320"/>
      <c r="L753" s="320"/>
      <c r="M753" s="320"/>
      <c r="N753" s="320"/>
      <c r="O753" s="320"/>
    </row>
    <row r="754">
      <c r="A754" s="32">
        <f t="shared" si="1"/>
        <v>753</v>
      </c>
      <c r="B754" s="378" t="s">
        <v>61</v>
      </c>
      <c r="C754" s="11" t="s">
        <v>1664</v>
      </c>
      <c r="D754" s="12" t="s">
        <v>1980</v>
      </c>
      <c r="E754" s="320">
        <f>VLOOKUP($C754,'SWR PIPE'!$R$5:$V2469,3,0)</f>
        <v>2.206</v>
      </c>
      <c r="F754" s="320">
        <f>VLOOKUP($C754,'SWR PIPE'!$R$5:$V2469,2,0)</f>
        <v>635.835</v>
      </c>
      <c r="G754" s="320">
        <f>VLOOKUP($C754,'SWR PIPE'!$R$5:$V2469,5,0)</f>
        <v>636</v>
      </c>
      <c r="H754" s="320"/>
      <c r="I754" s="320"/>
      <c r="J754" s="320"/>
      <c r="K754" s="320"/>
      <c r="L754" s="320"/>
      <c r="M754" s="320"/>
      <c r="N754" s="320"/>
      <c r="O754" s="320"/>
    </row>
    <row r="755">
      <c r="A755" s="32">
        <f t="shared" si="1"/>
        <v>754</v>
      </c>
      <c r="B755" s="378" t="s">
        <v>61</v>
      </c>
      <c r="C755" s="11" t="s">
        <v>1666</v>
      </c>
      <c r="D755" s="12" t="s">
        <v>1980</v>
      </c>
      <c r="E755" s="320">
        <f>VLOOKUP($C755,'SWR PIPE'!$R$5:$V2469,3,0)</f>
        <v>2.206</v>
      </c>
      <c r="F755" s="320">
        <f>VLOOKUP($C755,'SWR PIPE'!$R$5:$V2469,2,0)</f>
        <v>630</v>
      </c>
      <c r="G755" s="320">
        <f>VLOOKUP($C755,'SWR PIPE'!$R$5:$V2469,5,0)</f>
        <v>630</v>
      </c>
      <c r="H755" s="320"/>
      <c r="I755" s="320"/>
      <c r="J755" s="320"/>
      <c r="K755" s="320"/>
      <c r="L755" s="320"/>
      <c r="M755" s="320"/>
      <c r="N755" s="320"/>
      <c r="O755" s="320"/>
    </row>
    <row r="756">
      <c r="A756" s="32">
        <f t="shared" si="1"/>
        <v>755</v>
      </c>
      <c r="B756" s="378" t="s">
        <v>61</v>
      </c>
      <c r="C756" s="11" t="s">
        <v>1668</v>
      </c>
      <c r="D756" s="12" t="s">
        <v>1979</v>
      </c>
      <c r="E756" s="320">
        <f>VLOOKUP($C756,'SWR PIPE'!$R$5:$V2469,3,0)</f>
        <v>1.49</v>
      </c>
      <c r="F756" s="320">
        <f>VLOOKUP($C756,'SWR PIPE'!$R$5:$V2469,2,0)</f>
        <v>424</v>
      </c>
      <c r="G756" s="320">
        <f>VLOOKUP($C756,'SWR PIPE'!$R$5:$V2469,5,0)</f>
        <v>424</v>
      </c>
      <c r="H756" s="320"/>
      <c r="I756" s="320"/>
      <c r="J756" s="320"/>
      <c r="K756" s="320"/>
      <c r="L756" s="320"/>
      <c r="M756" s="320"/>
      <c r="N756" s="320"/>
      <c r="O756" s="320"/>
    </row>
    <row r="757">
      <c r="A757" s="32">
        <f t="shared" si="1"/>
        <v>756</v>
      </c>
      <c r="B757" s="378" t="s">
        <v>61</v>
      </c>
      <c r="C757" s="11" t="s">
        <v>1671</v>
      </c>
      <c r="D757" s="12" t="s">
        <v>1987</v>
      </c>
      <c r="E757" s="320">
        <f>VLOOKUP($C757,'SWR PIPE'!$R$5:$V2469,3,0)</f>
        <v>4.346</v>
      </c>
      <c r="F757" s="320">
        <f>VLOOKUP($C757,'SWR PIPE'!$R$5:$V2469,2,0)</f>
        <v>1098</v>
      </c>
      <c r="G757" s="320">
        <f>VLOOKUP($C757,'SWR PIPE'!$R$5:$V2469,5,0)</f>
        <v>1098</v>
      </c>
      <c r="H757" s="320"/>
      <c r="I757" s="320"/>
      <c r="J757" s="320"/>
      <c r="K757" s="320"/>
      <c r="L757" s="320"/>
      <c r="M757" s="320"/>
      <c r="N757" s="320"/>
      <c r="O757" s="320"/>
    </row>
    <row r="758">
      <c r="A758" s="32">
        <f t="shared" si="1"/>
        <v>757</v>
      </c>
      <c r="B758" s="378" t="s">
        <v>61</v>
      </c>
      <c r="C758" s="11" t="s">
        <v>1674</v>
      </c>
      <c r="D758" s="12" t="s">
        <v>1987</v>
      </c>
      <c r="E758" s="320">
        <f>VLOOKUP($C758,'SWR PIPE'!$R$5:$V2469,3,0)</f>
        <v>4.346</v>
      </c>
      <c r="F758" s="320">
        <f>VLOOKUP($C758,'SWR PIPE'!$R$5:$V2469,2,0)</f>
        <v>1108</v>
      </c>
      <c r="G758" s="320">
        <f>VLOOKUP($C758,'SWR PIPE'!$R$5:$V2469,5,0)</f>
        <v>1108</v>
      </c>
      <c r="H758" s="320"/>
      <c r="I758" s="320"/>
      <c r="J758" s="320"/>
      <c r="K758" s="320"/>
      <c r="L758" s="320"/>
      <c r="M758" s="320"/>
      <c r="N758" s="320"/>
      <c r="O758" s="320"/>
    </row>
    <row r="759">
      <c r="A759" s="32">
        <f t="shared" si="1"/>
        <v>758</v>
      </c>
      <c r="B759" s="378" t="s">
        <v>61</v>
      </c>
      <c r="C759" s="11" t="s">
        <v>1676</v>
      </c>
      <c r="D759" s="12" t="s">
        <v>1996</v>
      </c>
      <c r="E759" s="320">
        <f>VLOOKUP($C759,'SWR PIPE'!$R$5:$V2469,3,0)</f>
        <v>8.608</v>
      </c>
      <c r="F759" s="320">
        <f>VLOOKUP($C759,'SWR PIPE'!$R$5:$V2469,2,0)</f>
        <v>2196</v>
      </c>
      <c r="G759" s="320">
        <f>VLOOKUP($C759,'SWR PIPE'!$R$5:$V2469,5,0)</f>
        <v>2196</v>
      </c>
      <c r="H759" s="320"/>
      <c r="I759" s="320"/>
      <c r="J759" s="320"/>
      <c r="K759" s="320"/>
      <c r="L759" s="320"/>
      <c r="M759" s="320"/>
      <c r="N759" s="320"/>
      <c r="O759" s="320"/>
    </row>
    <row r="760">
      <c r="A760" s="32">
        <f t="shared" si="1"/>
        <v>759</v>
      </c>
      <c r="B760" s="378" t="s">
        <v>61</v>
      </c>
      <c r="C760" s="11" t="s">
        <v>1678</v>
      </c>
      <c r="D760" s="12" t="s">
        <v>1996</v>
      </c>
      <c r="E760" s="320">
        <f>VLOOKUP($C760,'SWR PIPE'!$R$5:$V2469,3,0)</f>
        <v>8.608</v>
      </c>
      <c r="F760" s="320">
        <f>VLOOKUP($C760,'SWR PIPE'!$R$5:$V2469,2,0)</f>
        <v>2208</v>
      </c>
      <c r="G760" s="320">
        <f>VLOOKUP($C760,'SWR PIPE'!$R$5:$V2469,5,0)</f>
        <v>2208</v>
      </c>
      <c r="H760" s="320"/>
      <c r="I760" s="320"/>
      <c r="J760" s="320"/>
      <c r="K760" s="320"/>
      <c r="L760" s="320"/>
      <c r="M760" s="320"/>
      <c r="N760" s="320"/>
      <c r="O760" s="320"/>
    </row>
    <row r="761">
      <c r="A761" s="32">
        <f t="shared" si="1"/>
        <v>760</v>
      </c>
      <c r="B761" s="378" t="s">
        <v>61</v>
      </c>
      <c r="C761" s="11" t="s">
        <v>1680</v>
      </c>
      <c r="D761" s="12" t="s">
        <v>1999</v>
      </c>
      <c r="E761" s="320">
        <f>VLOOKUP($C761,'SWR PIPE'!$R$5:$V2469,3,0)</f>
        <v>0.951</v>
      </c>
      <c r="F761" s="320">
        <f>VLOOKUP($C761,'SWR PIPE'!$R$5:$V2469,2,0)</f>
        <v>273.6</v>
      </c>
      <c r="G761" s="320">
        <f>VLOOKUP($C761,'SWR PIPE'!$R$5:$V2469,5,0)</f>
        <v>274</v>
      </c>
      <c r="H761" s="320"/>
      <c r="I761" s="320"/>
      <c r="J761" s="320"/>
      <c r="K761" s="320"/>
      <c r="L761" s="320"/>
      <c r="M761" s="320"/>
      <c r="N761" s="320"/>
      <c r="O761" s="320"/>
    </row>
    <row r="762">
      <c r="A762" s="32">
        <f t="shared" si="1"/>
        <v>761</v>
      </c>
      <c r="B762" s="378" t="s">
        <v>61</v>
      </c>
      <c r="C762" s="11" t="s">
        <v>1683</v>
      </c>
      <c r="D762" s="12" t="s">
        <v>2002</v>
      </c>
      <c r="E762" s="320">
        <f>VLOOKUP($C762,'SWR PIPE'!$R$5:$V2469,3,0)</f>
        <v>1.384</v>
      </c>
      <c r="F762" s="320">
        <f>VLOOKUP($C762,'SWR PIPE'!$R$5:$V2469,2,0)</f>
        <v>398.715</v>
      </c>
      <c r="G762" s="320">
        <f>VLOOKUP($C762,'SWR PIPE'!$R$5:$V2469,5,0)</f>
        <v>399</v>
      </c>
      <c r="H762" s="320"/>
      <c r="I762" s="320"/>
      <c r="J762" s="320"/>
      <c r="K762" s="320"/>
      <c r="L762" s="320"/>
      <c r="M762" s="320"/>
      <c r="N762" s="320"/>
      <c r="O762" s="320"/>
    </row>
    <row r="763">
      <c r="A763" s="32">
        <f t="shared" si="1"/>
        <v>762</v>
      </c>
      <c r="B763" s="378" t="s">
        <v>61</v>
      </c>
      <c r="C763" s="11" t="s">
        <v>1686</v>
      </c>
      <c r="D763" s="12" t="s">
        <v>2007</v>
      </c>
      <c r="E763" s="320">
        <f>VLOOKUP($C763,'SWR PIPE'!$R$5:$V2469,3,0)</f>
        <v>1.818</v>
      </c>
      <c r="F763" s="320">
        <f>VLOOKUP($C763,'SWR PIPE'!$R$5:$V2469,2,0)</f>
        <v>523.83</v>
      </c>
      <c r="G763" s="320">
        <f>VLOOKUP($C763,'SWR PIPE'!$R$5:$V2469,5,0)</f>
        <v>524</v>
      </c>
      <c r="H763" s="320"/>
      <c r="I763" s="320"/>
      <c r="J763" s="320"/>
      <c r="K763" s="320"/>
      <c r="L763" s="320"/>
      <c r="M763" s="320"/>
      <c r="N763" s="320"/>
      <c r="O763" s="320"/>
    </row>
    <row r="764">
      <c r="A764" s="32">
        <f t="shared" si="1"/>
        <v>763</v>
      </c>
      <c r="B764" s="378" t="s">
        <v>61</v>
      </c>
      <c r="C764" s="11" t="s">
        <v>1689</v>
      </c>
      <c r="D764" s="12" t="s">
        <v>2011</v>
      </c>
      <c r="E764" s="320">
        <f>VLOOKUP($C764,'SWR PIPE'!$R$5:$V2469,3,0)</f>
        <v>2.684</v>
      </c>
      <c r="F764" s="320">
        <f>VLOOKUP($C764,'SWR PIPE'!$R$5:$V2469,2,0)</f>
        <v>773.775</v>
      </c>
      <c r="G764" s="320">
        <f>VLOOKUP($C764,'SWR PIPE'!$R$5:$V2469,5,0)</f>
        <v>774</v>
      </c>
      <c r="H764" s="320"/>
      <c r="I764" s="320"/>
      <c r="J764" s="320"/>
      <c r="K764" s="320"/>
      <c r="L764" s="320"/>
      <c r="M764" s="320"/>
      <c r="N764" s="320"/>
      <c r="O764" s="320"/>
    </row>
    <row r="765">
      <c r="A765" s="32">
        <f t="shared" si="1"/>
        <v>764</v>
      </c>
      <c r="B765" s="378" t="s">
        <v>61</v>
      </c>
      <c r="C765" s="11" t="s">
        <v>1691</v>
      </c>
      <c r="D765" s="12" t="s">
        <v>2011</v>
      </c>
      <c r="E765" s="320">
        <f>VLOOKUP($C765,'SWR PIPE'!$R$5:$V2469,3,0)</f>
        <v>2.684</v>
      </c>
      <c r="F765" s="320">
        <f>VLOOKUP($C765,'SWR PIPE'!$R$5:$V2469,2,0)</f>
        <v>773.775</v>
      </c>
      <c r="G765" s="320">
        <f>VLOOKUP($C765,'SWR PIPE'!$R$5:$V2469,5,0)</f>
        <v>774</v>
      </c>
      <c r="H765" s="320"/>
      <c r="I765" s="320"/>
      <c r="J765" s="320"/>
      <c r="K765" s="320"/>
      <c r="L765" s="320"/>
      <c r="M765" s="320"/>
      <c r="N765" s="320"/>
      <c r="O765" s="320"/>
    </row>
    <row r="766">
      <c r="A766" s="32">
        <f t="shared" si="1"/>
        <v>765</v>
      </c>
      <c r="B766" s="378" t="s">
        <v>61</v>
      </c>
      <c r="C766" s="11" t="s">
        <v>1695</v>
      </c>
      <c r="D766" s="12" t="s">
        <v>2007</v>
      </c>
      <c r="E766" s="320">
        <f>VLOOKUP($C766,'SWR PIPE'!$R$5:$V2469,3,0)</f>
        <v>1.818</v>
      </c>
      <c r="F766" s="320">
        <f>VLOOKUP($C766,'SWR PIPE'!$R$5:$V2469,2,0)</f>
        <v>523.83</v>
      </c>
      <c r="G766" s="320">
        <f>VLOOKUP($C766,'SWR PIPE'!$R$5:$V2469,5,0)</f>
        <v>524</v>
      </c>
      <c r="H766" s="320"/>
      <c r="I766" s="320"/>
      <c r="J766" s="320"/>
      <c r="K766" s="320"/>
      <c r="L766" s="320"/>
      <c r="M766" s="320"/>
      <c r="N766" s="320"/>
      <c r="O766" s="320"/>
    </row>
    <row r="767">
      <c r="A767" s="32">
        <f t="shared" si="1"/>
        <v>766</v>
      </c>
      <c r="B767" s="378" t="s">
        <v>61</v>
      </c>
      <c r="C767" s="11" t="s">
        <v>1697</v>
      </c>
      <c r="D767" s="12" t="s">
        <v>2032</v>
      </c>
      <c r="E767" s="320">
        <f>VLOOKUP($C767,'SWR PIPE'!$R$5:$V2469,3,0)</f>
        <v>5.36</v>
      </c>
      <c r="F767" s="320">
        <f>VLOOKUP($C767,'SWR PIPE'!$R$5:$V2469,2,0)</f>
        <v>1378</v>
      </c>
      <c r="G767" s="320">
        <f>VLOOKUP($C767,'SWR PIPE'!$R$5:$V2469,5,0)</f>
        <v>1378</v>
      </c>
      <c r="H767" s="320"/>
      <c r="I767" s="320"/>
      <c r="J767" s="320"/>
      <c r="K767" s="320"/>
      <c r="L767" s="320"/>
      <c r="M767" s="320"/>
      <c r="N767" s="320"/>
      <c r="O767" s="320"/>
    </row>
    <row r="768">
      <c r="A768" s="32">
        <f t="shared" si="1"/>
        <v>767</v>
      </c>
      <c r="B768" s="378" t="s">
        <v>61</v>
      </c>
      <c r="C768" s="11" t="s">
        <v>1700</v>
      </c>
      <c r="D768" s="12" t="s">
        <v>2032</v>
      </c>
      <c r="E768" s="320">
        <f>VLOOKUP($C768,'SWR PIPE'!$R$5:$V2469,3,0)</f>
        <v>5.36</v>
      </c>
      <c r="F768" s="320">
        <f>VLOOKUP($C768,'SWR PIPE'!$R$5:$V2469,2,0)</f>
        <v>1384</v>
      </c>
      <c r="G768" s="320">
        <f>VLOOKUP($C768,'SWR PIPE'!$R$5:$V2469,5,0)</f>
        <v>1384</v>
      </c>
      <c r="H768" s="320"/>
      <c r="I768" s="320"/>
      <c r="J768" s="320"/>
      <c r="K768" s="320"/>
      <c r="L768" s="320"/>
      <c r="M768" s="320"/>
      <c r="N768" s="320"/>
      <c r="O768" s="320"/>
    </row>
    <row r="769">
      <c r="A769" s="32">
        <f t="shared" si="1"/>
        <v>768</v>
      </c>
      <c r="B769" s="378" t="s">
        <v>61</v>
      </c>
      <c r="C769" s="11" t="s">
        <v>1703</v>
      </c>
      <c r="D769" s="12" t="s">
        <v>2042</v>
      </c>
      <c r="E769" s="320">
        <f>VLOOKUP($C769,'SWR PIPE'!$R$5:$V2469,3,0)</f>
        <v>10.605</v>
      </c>
      <c r="F769" s="320">
        <f>VLOOKUP($C769,'SWR PIPE'!$R$5:$V2469,2,0)</f>
        <v>2756</v>
      </c>
      <c r="G769" s="320">
        <f>VLOOKUP($C769,'SWR PIPE'!$R$5:$V2469,5,0)</f>
        <v>2756</v>
      </c>
      <c r="H769" s="320"/>
      <c r="I769" s="320"/>
      <c r="J769" s="320"/>
      <c r="K769" s="320"/>
      <c r="L769" s="320"/>
      <c r="M769" s="320"/>
      <c r="N769" s="320"/>
      <c r="O769" s="320"/>
    </row>
    <row r="770">
      <c r="A770" s="32">
        <f t="shared" si="1"/>
        <v>769</v>
      </c>
      <c r="B770" s="378" t="s">
        <v>61</v>
      </c>
      <c r="C770" s="11" t="s">
        <v>1706</v>
      </c>
      <c r="D770" s="12" t="s">
        <v>2042</v>
      </c>
      <c r="E770" s="320">
        <f>VLOOKUP($C770,'SWR PIPE'!$R$5:$V2469,3,0)</f>
        <v>10.605</v>
      </c>
      <c r="F770" s="320">
        <f>VLOOKUP($C770,'SWR PIPE'!$R$5:$V2469,2,0)</f>
        <v>2762</v>
      </c>
      <c r="G770" s="320">
        <f>VLOOKUP($C770,'SWR PIPE'!$R$5:$V2469,5,0)</f>
        <v>2762</v>
      </c>
      <c r="H770" s="320"/>
      <c r="I770" s="320"/>
      <c r="J770" s="320"/>
      <c r="K770" s="320"/>
      <c r="L770" s="320"/>
      <c r="M770" s="320"/>
      <c r="N770" s="320"/>
      <c r="O770" s="320"/>
    </row>
    <row r="771">
      <c r="A771" s="32">
        <f t="shared" si="1"/>
        <v>770</v>
      </c>
      <c r="B771" s="378" t="s">
        <v>61</v>
      </c>
      <c r="C771" s="11" t="s">
        <v>1708</v>
      </c>
      <c r="D771" s="12" t="s">
        <v>2053</v>
      </c>
      <c r="E771" s="320">
        <f>VLOOKUP($C771,'SWR PIPE'!$R$5:$V2469,3,0)</f>
        <v>1.181</v>
      </c>
      <c r="F771" s="320">
        <f>VLOOKUP($C771,'SWR PIPE'!$R$5:$V2469,2,0)</f>
        <v>336</v>
      </c>
      <c r="G771" s="320">
        <f>VLOOKUP($C771,'SWR PIPE'!$R$5:$V2469,5,0)</f>
        <v>336</v>
      </c>
      <c r="H771" s="320"/>
      <c r="I771" s="320"/>
      <c r="J771" s="320"/>
      <c r="K771" s="320"/>
      <c r="L771" s="320"/>
      <c r="M771" s="320"/>
      <c r="N771" s="320"/>
      <c r="O771" s="320"/>
    </row>
    <row r="772">
      <c r="A772" s="32">
        <f t="shared" si="1"/>
        <v>771</v>
      </c>
      <c r="B772" s="378" t="s">
        <v>61</v>
      </c>
      <c r="C772" s="11" t="s">
        <v>1711</v>
      </c>
      <c r="D772" s="12" t="s">
        <v>2060</v>
      </c>
      <c r="E772" s="320">
        <f>VLOOKUP($C772,'SWR PIPE'!$R$5:$V2469,3,0)</f>
        <v>1.715</v>
      </c>
      <c r="F772" s="320">
        <f>VLOOKUP($C772,'SWR PIPE'!$R$5:$V2469,2,0)</f>
        <v>488</v>
      </c>
      <c r="G772" s="320">
        <f>VLOOKUP($C772,'SWR PIPE'!$R$5:$V2469,5,0)</f>
        <v>488</v>
      </c>
      <c r="H772" s="320"/>
      <c r="I772" s="320"/>
      <c r="J772" s="320"/>
      <c r="K772" s="320"/>
      <c r="L772" s="320"/>
      <c r="M772" s="320"/>
      <c r="N772" s="320"/>
      <c r="O772" s="320"/>
    </row>
    <row r="773">
      <c r="A773" s="32">
        <f t="shared" si="1"/>
        <v>772</v>
      </c>
      <c r="B773" s="378" t="s">
        <v>61</v>
      </c>
      <c r="C773" s="11" t="s">
        <v>1713</v>
      </c>
      <c r="D773" s="12" t="s">
        <v>2066</v>
      </c>
      <c r="E773" s="320">
        <f>VLOOKUP($C773,'SWR PIPE'!$R$5:$V2469,3,0)</f>
        <v>2.248</v>
      </c>
      <c r="F773" s="320">
        <f>VLOOKUP($C773,'SWR PIPE'!$R$5:$V2469,2,0)</f>
        <v>648</v>
      </c>
      <c r="G773" s="320">
        <f>VLOOKUP($C773,'SWR PIPE'!$R$5:$V2469,5,0)</f>
        <v>648</v>
      </c>
      <c r="H773" s="320"/>
      <c r="I773" s="320"/>
      <c r="J773" s="320"/>
      <c r="K773" s="320"/>
      <c r="L773" s="320"/>
      <c r="M773" s="320"/>
      <c r="N773" s="320"/>
      <c r="O773" s="320"/>
    </row>
    <row r="774">
      <c r="A774" s="32">
        <f t="shared" si="1"/>
        <v>773</v>
      </c>
      <c r="B774" s="378" t="s">
        <v>61</v>
      </c>
      <c r="C774" s="11" t="s">
        <v>1716</v>
      </c>
      <c r="D774" s="12" t="s">
        <v>2071</v>
      </c>
      <c r="E774" s="320">
        <f>VLOOKUP($C774,'SWR PIPE'!$R$5:$V2469,3,0)</f>
        <v>3.314</v>
      </c>
      <c r="F774" s="320">
        <f>VLOOKUP($C774,'SWR PIPE'!$R$5:$V2469,2,0)</f>
        <v>938</v>
      </c>
      <c r="G774" s="320">
        <f>VLOOKUP($C774,'SWR PIPE'!$R$5:$V2469,5,0)</f>
        <v>938</v>
      </c>
      <c r="H774" s="320"/>
      <c r="I774" s="320"/>
      <c r="J774" s="320"/>
      <c r="K774" s="320"/>
      <c r="L774" s="320"/>
      <c r="M774" s="320"/>
      <c r="N774" s="320"/>
      <c r="O774" s="320"/>
    </row>
    <row r="775">
      <c r="A775" s="32">
        <f t="shared" si="1"/>
        <v>774</v>
      </c>
      <c r="B775" s="378" t="s">
        <v>61</v>
      </c>
      <c r="C775" s="11" t="s">
        <v>1718</v>
      </c>
      <c r="D775" s="12" t="s">
        <v>2071</v>
      </c>
      <c r="E775" s="320">
        <f>VLOOKUP($C775,'SWR PIPE'!$R$5:$V2469,3,0)</f>
        <v>3.314</v>
      </c>
      <c r="F775" s="320">
        <f>VLOOKUP($C775,'SWR PIPE'!$R$5:$V2469,2,0)</f>
        <v>930</v>
      </c>
      <c r="G775" s="320">
        <f>VLOOKUP($C775,'SWR PIPE'!$R$5:$V2469,5,0)</f>
        <v>930</v>
      </c>
      <c r="H775" s="320"/>
      <c r="I775" s="320"/>
      <c r="J775" s="320"/>
      <c r="K775" s="320"/>
      <c r="L775" s="320"/>
      <c r="M775" s="320"/>
      <c r="N775" s="320"/>
      <c r="O775" s="320"/>
    </row>
    <row r="776">
      <c r="A776" s="32">
        <f t="shared" si="1"/>
        <v>775</v>
      </c>
      <c r="B776" s="378" t="s">
        <v>61</v>
      </c>
      <c r="C776" s="11" t="s">
        <v>1722</v>
      </c>
      <c r="D776" s="12" t="s">
        <v>2066</v>
      </c>
      <c r="E776" s="320">
        <f>VLOOKUP($C776,'SWR PIPE'!$R$5:$V2469,3,0)</f>
        <v>2.248</v>
      </c>
      <c r="F776" s="320">
        <f>VLOOKUP($C776,'SWR PIPE'!$R$5:$V2469,2,0)</f>
        <v>640</v>
      </c>
      <c r="G776" s="320">
        <f>VLOOKUP($C776,'SWR PIPE'!$R$5:$V2469,5,0)</f>
        <v>640</v>
      </c>
      <c r="H776" s="320"/>
      <c r="I776" s="320"/>
      <c r="J776" s="320"/>
      <c r="K776" s="320"/>
      <c r="L776" s="320"/>
      <c r="M776" s="320"/>
      <c r="N776" s="320"/>
      <c r="O776" s="320"/>
    </row>
    <row r="777">
      <c r="A777" s="32">
        <f t="shared" si="1"/>
        <v>776</v>
      </c>
      <c r="B777" s="378" t="s">
        <v>61</v>
      </c>
      <c r="C777" s="11" t="s">
        <v>1726</v>
      </c>
      <c r="D777" s="12" t="s">
        <v>2089</v>
      </c>
      <c r="E777" s="320">
        <f>VLOOKUP($C777,'SWR PIPE'!$R$5:$V2469,3,0)</f>
        <v>9.712</v>
      </c>
      <c r="F777" s="320">
        <f>VLOOKUP($C777,'SWR PIPE'!$R$5:$V2469,2,0)</f>
        <v>2488</v>
      </c>
      <c r="G777" s="320">
        <f>VLOOKUP($C777,'SWR PIPE'!$R$5:$V2469,5,0)</f>
        <v>2488</v>
      </c>
      <c r="H777" s="320"/>
      <c r="I777" s="320"/>
      <c r="J777" s="320"/>
      <c r="K777" s="320"/>
      <c r="L777" s="320"/>
      <c r="M777" s="320"/>
      <c r="N777" s="320"/>
      <c r="O777" s="320"/>
    </row>
    <row r="778">
      <c r="A778" s="32">
        <f t="shared" si="1"/>
        <v>777</v>
      </c>
      <c r="B778" s="378" t="s">
        <v>61</v>
      </c>
      <c r="C778" s="11" t="s">
        <v>1729</v>
      </c>
      <c r="D778" s="12" t="s">
        <v>2089</v>
      </c>
      <c r="E778" s="320">
        <f>VLOOKUP($C778,'SWR PIPE'!$R$5:$V2469,3,0)</f>
        <v>9.712</v>
      </c>
      <c r="F778" s="320">
        <f>VLOOKUP($C778,'SWR PIPE'!$R$5:$V2469,2,0)</f>
        <v>2498</v>
      </c>
      <c r="G778" s="320">
        <f>VLOOKUP($C778,'SWR PIPE'!$R$5:$V2469,5,0)</f>
        <v>2498</v>
      </c>
      <c r="H778" s="320"/>
      <c r="I778" s="320"/>
      <c r="J778" s="320"/>
      <c r="K778" s="320"/>
      <c r="L778" s="320"/>
      <c r="M778" s="320"/>
      <c r="N778" s="320"/>
      <c r="O778" s="320"/>
    </row>
    <row r="779">
      <c r="A779" s="32">
        <f t="shared" si="1"/>
        <v>778</v>
      </c>
      <c r="B779" s="378" t="s">
        <v>61</v>
      </c>
      <c r="C779" s="11" t="s">
        <v>1732</v>
      </c>
      <c r="D779" s="12" t="s">
        <v>2100</v>
      </c>
      <c r="E779" s="320">
        <f>VLOOKUP($C779,'SWR PIPE'!$R$5:$V2469,3,0)</f>
        <v>19.157</v>
      </c>
      <c r="F779" s="320">
        <f>VLOOKUP($C779,'SWR PIPE'!$R$5:$V2469,2,0)</f>
        <v>4976</v>
      </c>
      <c r="G779" s="320">
        <f>VLOOKUP($C779,'SWR PIPE'!$R$5:$V2469,5,0)</f>
        <v>4976</v>
      </c>
      <c r="H779" s="320"/>
      <c r="I779" s="320"/>
      <c r="J779" s="320"/>
      <c r="K779" s="320"/>
      <c r="L779" s="320"/>
      <c r="M779" s="320"/>
      <c r="N779" s="320"/>
      <c r="O779" s="320"/>
    </row>
    <row r="780">
      <c r="A780" s="32">
        <f t="shared" si="1"/>
        <v>779</v>
      </c>
      <c r="B780" s="378" t="s">
        <v>61</v>
      </c>
      <c r="C780" s="11" t="s">
        <v>1736</v>
      </c>
      <c r="D780" s="12" t="s">
        <v>2100</v>
      </c>
      <c r="E780" s="320">
        <f>VLOOKUP($C780,'SWR PIPE'!$R$5:$V2469,3,0)</f>
        <v>19.157</v>
      </c>
      <c r="F780" s="320">
        <f>VLOOKUP($C780,'SWR PIPE'!$R$5:$V2469,2,0)</f>
        <v>4986</v>
      </c>
      <c r="G780" s="320">
        <f>VLOOKUP($C780,'SWR PIPE'!$R$5:$V2469,5,0)</f>
        <v>4986</v>
      </c>
      <c r="H780" s="320"/>
      <c r="I780" s="320"/>
      <c r="J780" s="320"/>
      <c r="K780" s="320"/>
      <c r="L780" s="320"/>
      <c r="M780" s="320"/>
      <c r="N780" s="320"/>
      <c r="O780" s="320"/>
    </row>
    <row r="781">
      <c r="A781" s="32">
        <f t="shared" si="1"/>
        <v>780</v>
      </c>
      <c r="B781" s="378" t="s">
        <v>61</v>
      </c>
      <c r="C781" s="11" t="s">
        <v>1741</v>
      </c>
      <c r="D781" s="12" t="s">
        <v>2115</v>
      </c>
      <c r="E781" s="320">
        <f>VLOOKUP($C781,'SWR PIPE'!$R$5:$V2469,3,0)</f>
        <v>2.187</v>
      </c>
      <c r="F781" s="320">
        <f>VLOOKUP($C781,'SWR PIPE'!$R$5:$V2469,2,0)</f>
        <v>588</v>
      </c>
      <c r="G781" s="320">
        <f>VLOOKUP($C781,'SWR PIPE'!$R$5:$V2469,5,0)</f>
        <v>588</v>
      </c>
      <c r="H781" s="320"/>
      <c r="I781" s="320"/>
      <c r="J781" s="320"/>
      <c r="K781" s="320"/>
      <c r="L781" s="320"/>
      <c r="M781" s="320"/>
      <c r="N781" s="320"/>
      <c r="O781" s="320"/>
    </row>
    <row r="782">
      <c r="A782" s="32">
        <f t="shared" si="1"/>
        <v>781</v>
      </c>
      <c r="B782" s="378" t="s">
        <v>61</v>
      </c>
      <c r="C782" s="11" t="s">
        <v>1745</v>
      </c>
      <c r="D782" s="12" t="s">
        <v>2119</v>
      </c>
      <c r="E782" s="320">
        <f>VLOOKUP($C782,'SWR PIPE'!$R$5:$V2469,3,0)</f>
        <v>3.147</v>
      </c>
      <c r="F782" s="320">
        <f>VLOOKUP($C782,'SWR PIPE'!$R$5:$V2469,2,0)</f>
        <v>882</v>
      </c>
      <c r="G782" s="320">
        <f>VLOOKUP($C782,'SWR PIPE'!$R$5:$V2469,5,0)</f>
        <v>882</v>
      </c>
      <c r="H782" s="320"/>
      <c r="I782" s="320"/>
      <c r="J782" s="320"/>
      <c r="K782" s="320"/>
      <c r="L782" s="320"/>
      <c r="M782" s="320"/>
      <c r="N782" s="320"/>
      <c r="O782" s="320"/>
    </row>
    <row r="783">
      <c r="A783" s="32">
        <f t="shared" si="1"/>
        <v>782</v>
      </c>
      <c r="B783" s="378" t="s">
        <v>61</v>
      </c>
      <c r="C783" s="11" t="s">
        <v>1747</v>
      </c>
      <c r="D783" s="12" t="s">
        <v>2123</v>
      </c>
      <c r="E783" s="320">
        <f>VLOOKUP($C783,'SWR PIPE'!$R$5:$V2469,3,0)</f>
        <v>4.108</v>
      </c>
      <c r="F783" s="320">
        <f>VLOOKUP($C783,'SWR PIPE'!$R$5:$V2469,2,0)</f>
        <v>1176</v>
      </c>
      <c r="G783" s="320">
        <f>VLOOKUP($C783,'SWR PIPE'!$R$5:$V2469,5,0)</f>
        <v>1176</v>
      </c>
      <c r="H783" s="320"/>
      <c r="I783" s="320"/>
      <c r="J783" s="320"/>
      <c r="K783" s="320"/>
      <c r="L783" s="320"/>
      <c r="M783" s="320"/>
      <c r="N783" s="320"/>
      <c r="O783" s="320"/>
    </row>
    <row r="784">
      <c r="A784" s="32">
        <f t="shared" si="1"/>
        <v>783</v>
      </c>
      <c r="B784" s="378" t="s">
        <v>61</v>
      </c>
      <c r="C784" s="11" t="s">
        <v>1750</v>
      </c>
      <c r="D784" s="12" t="s">
        <v>2129</v>
      </c>
      <c r="E784" s="320">
        <f>VLOOKUP($C784,'SWR PIPE'!$R$5:$V2469,3,0)</f>
        <v>6.028</v>
      </c>
      <c r="F784" s="320">
        <f>VLOOKUP($C784,'SWR PIPE'!$R$5:$V2469,2,0)</f>
        <v>1764</v>
      </c>
      <c r="G784" s="320">
        <f>VLOOKUP($C784,'SWR PIPE'!$R$5:$V2469,5,0)</f>
        <v>1764</v>
      </c>
      <c r="H784" s="320"/>
      <c r="I784" s="320"/>
      <c r="J784" s="320"/>
      <c r="K784" s="320"/>
      <c r="L784" s="320"/>
      <c r="M784" s="320"/>
      <c r="N784" s="320"/>
      <c r="O784" s="320"/>
    </row>
    <row r="785">
      <c r="A785" s="32">
        <f t="shared" si="1"/>
        <v>784</v>
      </c>
      <c r="B785" s="378" t="s">
        <v>61</v>
      </c>
      <c r="C785" s="11" t="s">
        <v>1752</v>
      </c>
      <c r="D785" s="12" t="s">
        <v>2129</v>
      </c>
      <c r="E785" s="320">
        <f>VLOOKUP($C785,'SWR PIPE'!$R$5:$V2469,3,0)</f>
        <v>6.028</v>
      </c>
      <c r="F785" s="320">
        <f>VLOOKUP($C785,'SWR PIPE'!$R$5:$V2469,2,0)</f>
        <v>1748</v>
      </c>
      <c r="G785" s="320">
        <f>VLOOKUP($C785,'SWR PIPE'!$R$5:$V2469,5,0)</f>
        <v>1748</v>
      </c>
      <c r="H785" s="320"/>
      <c r="I785" s="320"/>
      <c r="J785" s="320"/>
      <c r="K785" s="320"/>
      <c r="L785" s="320"/>
      <c r="M785" s="320"/>
      <c r="N785" s="320"/>
      <c r="O785" s="320"/>
    </row>
    <row r="786">
      <c r="A786" s="32">
        <f t="shared" si="1"/>
        <v>785</v>
      </c>
      <c r="B786" s="378" t="s">
        <v>61</v>
      </c>
      <c r="C786" s="11" t="s">
        <v>1755</v>
      </c>
      <c r="D786" s="12" t="s">
        <v>2123</v>
      </c>
      <c r="E786" s="320">
        <f>VLOOKUP($C786,'SWR PIPE'!$R$5:$V2469,3,0)</f>
        <v>4.108</v>
      </c>
      <c r="F786" s="320">
        <f>VLOOKUP($C786,'SWR PIPE'!$R$5:$V2469,2,0)</f>
        <v>1160</v>
      </c>
      <c r="G786" s="320">
        <f>VLOOKUP($C786,'SWR PIPE'!$R$5:$V2469,5,0)</f>
        <v>1160</v>
      </c>
      <c r="H786" s="320"/>
      <c r="I786" s="320"/>
      <c r="J786" s="320"/>
      <c r="K786" s="320"/>
      <c r="L786" s="320"/>
      <c r="M786" s="320"/>
      <c r="N786" s="320"/>
      <c r="O786" s="320"/>
    </row>
    <row r="787">
      <c r="A787" s="32">
        <f t="shared" si="1"/>
        <v>786</v>
      </c>
      <c r="B787" s="9" t="s">
        <v>2144</v>
      </c>
      <c r="C787" s="11" t="s">
        <v>1883</v>
      </c>
      <c r="D787" s="12" t="s">
        <v>2146</v>
      </c>
      <c r="E787" s="18">
        <f>VLOOKUP($C787,'SWR Fittings'!$E$5:$I2469,3,0)</f>
        <v>0.174</v>
      </c>
      <c r="F787" s="320">
        <f>VLOOKUP($C787,'SWR Fittings'!$E$5:$I2469,2,0)</f>
        <v>72.7</v>
      </c>
      <c r="G787" s="320">
        <f>VLOOKUP($C787,'SWR Fittings'!$E$5:$I2469,5,0)</f>
        <v>72.7</v>
      </c>
      <c r="H787" s="320"/>
      <c r="I787" s="320"/>
      <c r="J787" s="320"/>
      <c r="K787" s="320"/>
      <c r="L787" s="320"/>
      <c r="M787" s="320"/>
      <c r="N787" s="320"/>
      <c r="O787" s="320"/>
    </row>
    <row r="788">
      <c r="A788" s="32">
        <f t="shared" si="1"/>
        <v>787</v>
      </c>
      <c r="B788" s="9" t="s">
        <v>2144</v>
      </c>
      <c r="C788" s="11" t="s">
        <v>1885</v>
      </c>
      <c r="D788" s="12" t="s">
        <v>2160</v>
      </c>
      <c r="E788" s="18">
        <f>VLOOKUP($C788,'SWR Fittings'!$E$5:$I2469,3,0)</f>
        <v>0.225</v>
      </c>
      <c r="F788" s="320">
        <f>VLOOKUP($C788,'SWR Fittings'!$E$5:$I2469,2,0)</f>
        <v>106.8</v>
      </c>
      <c r="G788" s="320">
        <f>VLOOKUP($C788,'SWR Fittings'!$E$5:$I2469,5,0)</f>
        <v>106.8</v>
      </c>
      <c r="H788" s="320"/>
      <c r="I788" s="320"/>
      <c r="J788" s="320"/>
      <c r="K788" s="320"/>
      <c r="L788" s="320"/>
      <c r="M788" s="320"/>
      <c r="N788" s="320"/>
      <c r="O788" s="320"/>
    </row>
    <row r="789">
      <c r="A789" s="32">
        <f t="shared" si="1"/>
        <v>788</v>
      </c>
      <c r="B789" s="9" t="s">
        <v>2144</v>
      </c>
      <c r="C789" s="11" t="s">
        <v>1886</v>
      </c>
      <c r="D789" s="12" t="s">
        <v>2166</v>
      </c>
      <c r="E789" s="18">
        <f>VLOOKUP($C789,'SWR Fittings'!$E$5:$I2469,3,0)</f>
        <v>0.346</v>
      </c>
      <c r="F789" s="320">
        <f>VLOOKUP($C789,'SWR Fittings'!$E$5:$I2469,2,0)</f>
        <v>152.8</v>
      </c>
      <c r="G789" s="320">
        <f>VLOOKUP($C789,'SWR Fittings'!$E$5:$I2469,5,0)</f>
        <v>152.8</v>
      </c>
      <c r="H789" s="320"/>
      <c r="I789" s="320"/>
      <c r="J789" s="320"/>
      <c r="K789" s="320"/>
      <c r="L789" s="320"/>
      <c r="M789" s="320"/>
      <c r="N789" s="320"/>
      <c r="O789" s="320"/>
    </row>
    <row r="790">
      <c r="A790" s="32">
        <f t="shared" si="1"/>
        <v>789</v>
      </c>
      <c r="B790" s="9" t="s">
        <v>2144</v>
      </c>
      <c r="C790" s="11" t="s">
        <v>1887</v>
      </c>
      <c r="D790" s="12" t="s">
        <v>2175</v>
      </c>
      <c r="E790" s="18">
        <f>VLOOKUP($C790,'SWR Fittings'!$E$5:$I2469,3,0)</f>
        <v>0.785</v>
      </c>
      <c r="F790" s="320">
        <f>VLOOKUP($C790,'SWR Fittings'!$E$5:$I2469,2,0)</f>
        <v>370</v>
      </c>
      <c r="G790" s="320">
        <f>VLOOKUP($C790,'SWR Fittings'!$E$5:$I2469,5,0)</f>
        <v>370</v>
      </c>
      <c r="H790" s="320"/>
      <c r="I790" s="320"/>
      <c r="J790" s="320"/>
      <c r="K790" s="320"/>
      <c r="L790" s="320"/>
      <c r="M790" s="320"/>
      <c r="N790" s="320"/>
      <c r="O790" s="320"/>
    </row>
    <row r="791">
      <c r="A791" s="32">
        <f t="shared" si="1"/>
        <v>790</v>
      </c>
      <c r="B791" s="9" t="s">
        <v>2144</v>
      </c>
      <c r="C791" s="11" t="s">
        <v>1892</v>
      </c>
      <c r="D791" s="12" t="s">
        <v>2185</v>
      </c>
      <c r="E791" s="18">
        <f>VLOOKUP($C791,'SWR Fittings'!$E$5:$I2469,3,0)</f>
        <v>0.205</v>
      </c>
      <c r="F791" s="320">
        <f>VLOOKUP($C791,'SWR Fittings'!$E$5:$I2469,2,0)</f>
        <v>98</v>
      </c>
      <c r="G791" s="320">
        <f>VLOOKUP($C791,'SWR Fittings'!$E$5:$I2469,5,0)</f>
        <v>98</v>
      </c>
      <c r="H791" s="320"/>
      <c r="I791" s="320"/>
      <c r="J791" s="320"/>
      <c r="K791" s="320"/>
      <c r="L791" s="320"/>
      <c r="M791" s="320"/>
      <c r="N791" s="320"/>
      <c r="O791" s="320"/>
    </row>
    <row r="792">
      <c r="A792" s="32">
        <f t="shared" si="1"/>
        <v>791</v>
      </c>
      <c r="B792" s="9" t="s">
        <v>2144</v>
      </c>
      <c r="C792" s="11" t="s">
        <v>1894</v>
      </c>
      <c r="D792" s="12" t="s">
        <v>2191</v>
      </c>
      <c r="E792" s="18">
        <f>VLOOKUP($C792,'SWR Fittings'!$E$5:$I2469,3,0)</f>
        <v>0.277</v>
      </c>
      <c r="F792" s="320">
        <f>VLOOKUP($C792,'SWR Fittings'!$E$5:$I2469,2,0)</f>
        <v>132</v>
      </c>
      <c r="G792" s="320">
        <f>VLOOKUP($C792,'SWR Fittings'!$E$5:$I2469,5,0)</f>
        <v>132</v>
      </c>
      <c r="H792" s="320"/>
      <c r="I792" s="320"/>
      <c r="J792" s="320"/>
      <c r="K792" s="320"/>
      <c r="L792" s="320"/>
      <c r="M792" s="320"/>
      <c r="N792" s="320"/>
      <c r="O792" s="320"/>
    </row>
    <row r="793">
      <c r="A793" s="32">
        <f t="shared" si="1"/>
        <v>792</v>
      </c>
      <c r="B793" s="9" t="s">
        <v>2144</v>
      </c>
      <c r="C793" s="418" t="s">
        <v>1895</v>
      </c>
      <c r="D793" s="12" t="s">
        <v>2198</v>
      </c>
      <c r="E793" s="18">
        <f>VLOOKUP($C793,'SWR Fittings'!$E$5:$I2469,3,0)</f>
        <v>0.432</v>
      </c>
      <c r="F793" s="320">
        <f>VLOOKUP($C793,'SWR Fittings'!$E$5:$I2469,2,0)</f>
        <v>224</v>
      </c>
      <c r="G793" s="320">
        <f>VLOOKUP($C793,'SWR Fittings'!$E$5:$I2469,5,0)</f>
        <v>224</v>
      </c>
      <c r="H793" s="320"/>
      <c r="I793" s="320"/>
      <c r="J793" s="320"/>
      <c r="K793" s="320"/>
      <c r="L793" s="320"/>
      <c r="M793" s="320"/>
      <c r="N793" s="320"/>
      <c r="O793" s="320"/>
    </row>
    <row r="794">
      <c r="A794" s="32">
        <f t="shared" si="1"/>
        <v>793</v>
      </c>
      <c r="B794" s="9" t="s">
        <v>2144</v>
      </c>
      <c r="C794" s="418" t="s">
        <v>1896</v>
      </c>
      <c r="D794" s="12" t="s">
        <v>2207</v>
      </c>
      <c r="E794" s="18">
        <f>VLOOKUP($C794,'SWR Fittings'!$E$5:$I2469,3,0)</f>
        <v>0.983</v>
      </c>
      <c r="F794" s="320">
        <f>VLOOKUP($C794,'SWR Fittings'!$E$5:$I2469,2,0)</f>
        <v>480</v>
      </c>
      <c r="G794" s="320">
        <f>VLOOKUP($C794,'SWR Fittings'!$E$5:$I2469,5,0)</f>
        <v>480</v>
      </c>
      <c r="H794" s="320"/>
      <c r="I794" s="320"/>
      <c r="J794" s="320"/>
      <c r="K794" s="320"/>
      <c r="L794" s="320"/>
      <c r="M794" s="320"/>
      <c r="N794" s="320"/>
      <c r="O794" s="320"/>
    </row>
    <row r="795">
      <c r="A795" s="32">
        <f t="shared" si="1"/>
        <v>794</v>
      </c>
      <c r="B795" s="9" t="s">
        <v>2144</v>
      </c>
      <c r="C795" s="418" t="s">
        <v>1898</v>
      </c>
      <c r="D795" s="12" t="s">
        <v>2216</v>
      </c>
      <c r="E795" s="18">
        <f>VLOOKUP($C795,'SWR Fittings'!$E$5:$I2469,3,0)</f>
        <v>0.194</v>
      </c>
      <c r="F795" s="320">
        <f>VLOOKUP($C795,'SWR Fittings'!$E$5:$I2469,2,0)</f>
        <v>108.3</v>
      </c>
      <c r="G795" s="320">
        <f>VLOOKUP($C795,'SWR Fittings'!$E$5:$I2469,5,0)</f>
        <v>108.3</v>
      </c>
      <c r="H795" s="320"/>
      <c r="I795" s="320"/>
      <c r="J795" s="320"/>
      <c r="K795" s="320"/>
      <c r="L795" s="320"/>
      <c r="M795" s="320"/>
      <c r="N795" s="320"/>
      <c r="O795" s="320"/>
    </row>
    <row r="796">
      <c r="A796" s="32">
        <f t="shared" si="1"/>
        <v>795</v>
      </c>
      <c r="B796" s="9" t="s">
        <v>2144</v>
      </c>
      <c r="C796" s="418" t="s">
        <v>1900</v>
      </c>
      <c r="D796" s="12" t="s">
        <v>2224</v>
      </c>
      <c r="E796" s="18">
        <f>VLOOKUP($C796,'SWR Fittings'!$E$5:$I2469,3,0)</f>
        <v>0.4018</v>
      </c>
      <c r="F796" s="320">
        <f>VLOOKUP($C796,'SWR Fittings'!$E$5:$I2469,2,0)</f>
        <v>226</v>
      </c>
      <c r="G796" s="320">
        <f>VLOOKUP($C796,'SWR Fittings'!$E$5:$I2469,5,0)</f>
        <v>226</v>
      </c>
      <c r="H796" s="320"/>
      <c r="I796" s="320"/>
      <c r="J796" s="320"/>
      <c r="K796" s="320"/>
      <c r="L796" s="320"/>
      <c r="M796" s="320"/>
      <c r="N796" s="320"/>
      <c r="O796" s="320"/>
    </row>
    <row r="797">
      <c r="A797" s="32">
        <f t="shared" si="1"/>
        <v>796</v>
      </c>
      <c r="B797" s="9" t="s">
        <v>2144</v>
      </c>
      <c r="C797" s="419" t="s">
        <v>1902</v>
      </c>
      <c r="D797" s="12" t="s">
        <v>2233</v>
      </c>
      <c r="E797" s="18">
        <f>VLOOKUP($C797,'SWR Fittings'!$E$5:$I2469,3,0)</f>
        <v>0.136</v>
      </c>
      <c r="F797" s="320">
        <f>VLOOKUP($C797,'SWR Fittings'!$E$5:$I2469,2,0)</f>
        <v>66.4</v>
      </c>
      <c r="G797" s="320">
        <f>VLOOKUP($C797,'SWR Fittings'!$E$5:$I2469,5,0)</f>
        <v>66.4</v>
      </c>
      <c r="H797" s="320"/>
      <c r="I797" s="320"/>
      <c r="J797" s="320"/>
      <c r="K797" s="320"/>
      <c r="L797" s="320"/>
      <c r="M797" s="320"/>
      <c r="N797" s="320"/>
      <c r="O797" s="320"/>
    </row>
    <row r="798">
      <c r="A798" s="32">
        <f t="shared" si="1"/>
        <v>797</v>
      </c>
      <c r="B798" s="9" t="s">
        <v>2144</v>
      </c>
      <c r="C798" s="419" t="s">
        <v>1903</v>
      </c>
      <c r="D798" s="12" t="s">
        <v>2236</v>
      </c>
      <c r="E798" s="18">
        <f>VLOOKUP($C798,'SWR Fittings'!$E$5:$I2469,3,0)</f>
        <v>0.189</v>
      </c>
      <c r="F798" s="320">
        <f>VLOOKUP($C798,'SWR Fittings'!$E$5:$I2469,2,0)</f>
        <v>92</v>
      </c>
      <c r="G798" s="320">
        <f>VLOOKUP($C798,'SWR Fittings'!$E$5:$I2469,5,0)</f>
        <v>92</v>
      </c>
      <c r="H798" s="320"/>
      <c r="I798" s="320"/>
      <c r="J798" s="320"/>
      <c r="K798" s="320"/>
      <c r="L798" s="320"/>
      <c r="M798" s="320"/>
      <c r="N798" s="320"/>
      <c r="O798" s="320"/>
    </row>
    <row r="799">
      <c r="A799" s="32">
        <f t="shared" si="1"/>
        <v>798</v>
      </c>
      <c r="B799" s="9" t="s">
        <v>2144</v>
      </c>
      <c r="C799" s="419" t="s">
        <v>1905</v>
      </c>
      <c r="D799" s="12" t="s">
        <v>2240</v>
      </c>
      <c r="E799" s="18">
        <f>VLOOKUP($C799,'SWR Fittings'!$E$5:$I2469,3,0)</f>
        <v>0.278</v>
      </c>
      <c r="F799" s="320">
        <f>VLOOKUP($C799,'SWR Fittings'!$E$5:$I2469,2,0)</f>
        <v>136</v>
      </c>
      <c r="G799" s="320">
        <f>VLOOKUP($C799,'SWR Fittings'!$E$5:$I2469,5,0)</f>
        <v>136</v>
      </c>
      <c r="H799" s="320"/>
      <c r="I799" s="320"/>
      <c r="J799" s="320"/>
      <c r="K799" s="320"/>
      <c r="L799" s="320"/>
      <c r="M799" s="320"/>
      <c r="N799" s="320"/>
      <c r="O799" s="320"/>
    </row>
    <row r="800">
      <c r="A800" s="32">
        <f t="shared" si="1"/>
        <v>799</v>
      </c>
      <c r="B800" s="9" t="s">
        <v>2144</v>
      </c>
      <c r="C800" s="419" t="s">
        <v>1906</v>
      </c>
      <c r="D800" s="12" t="s">
        <v>2242</v>
      </c>
      <c r="E800" s="18">
        <f>VLOOKUP($C800,'SWR Fittings'!$E$5:$I2469,3,0)</f>
        <v>0.6005</v>
      </c>
      <c r="F800" s="320">
        <f>VLOOKUP($C800,'SWR Fittings'!$E$5:$I2469,2,0)</f>
        <v>299</v>
      </c>
      <c r="G800" s="320">
        <f>VLOOKUP($C800,'SWR Fittings'!$E$5:$I2469,5,0)</f>
        <v>299</v>
      </c>
      <c r="H800" s="320"/>
      <c r="I800" s="320"/>
      <c r="J800" s="320"/>
      <c r="K800" s="320"/>
      <c r="L800" s="320"/>
      <c r="M800" s="320"/>
      <c r="N800" s="320"/>
      <c r="O800" s="320"/>
    </row>
    <row r="801">
      <c r="A801" s="32">
        <f t="shared" si="1"/>
        <v>800</v>
      </c>
      <c r="B801" s="9" t="s">
        <v>2144</v>
      </c>
      <c r="C801" s="419" t="s">
        <v>1911</v>
      </c>
      <c r="D801" s="12" t="s">
        <v>2248</v>
      </c>
      <c r="E801" s="18">
        <f>VLOOKUP($C801,'SWR Fittings'!$E$5:$I2469,3,0)</f>
        <v>0.3274</v>
      </c>
      <c r="F801" s="320">
        <f>VLOOKUP($C801,'SWR Fittings'!$E$5:$I2469,2,0)</f>
        <v>164</v>
      </c>
      <c r="G801" s="320">
        <f>VLOOKUP($C801,'SWR Fittings'!$E$5:$I2469,5,0)</f>
        <v>164</v>
      </c>
      <c r="H801" s="320"/>
      <c r="I801" s="320"/>
      <c r="J801" s="320"/>
      <c r="K801" s="320"/>
      <c r="L801" s="320"/>
      <c r="M801" s="320"/>
      <c r="N801" s="320"/>
      <c r="O801" s="320"/>
    </row>
    <row r="802">
      <c r="A802" s="32">
        <f t="shared" si="1"/>
        <v>801</v>
      </c>
      <c r="B802" s="9" t="s">
        <v>2144</v>
      </c>
      <c r="C802" s="419" t="s">
        <v>1915</v>
      </c>
      <c r="D802" s="12" t="s">
        <v>2253</v>
      </c>
      <c r="E802" s="18">
        <f>VLOOKUP($C802,'SWR Fittings'!$E$5:$I2469,3,0)</f>
        <v>0.6565</v>
      </c>
      <c r="F802" s="320">
        <f>VLOOKUP($C802,'SWR Fittings'!$E$5:$I2469,2,0)</f>
        <v>326</v>
      </c>
      <c r="G802" s="320">
        <f>VLOOKUP($C802,'SWR Fittings'!$E$5:$I2469,5,0)</f>
        <v>326</v>
      </c>
      <c r="H802" s="320"/>
      <c r="I802" s="320"/>
      <c r="J802" s="320"/>
      <c r="K802" s="320"/>
      <c r="L802" s="320"/>
      <c r="M802" s="320"/>
      <c r="N802" s="320"/>
      <c r="O802" s="320"/>
    </row>
    <row r="803">
      <c r="A803" s="32">
        <f t="shared" si="1"/>
        <v>802</v>
      </c>
      <c r="B803" s="9" t="s">
        <v>2144</v>
      </c>
      <c r="C803" s="419" t="s">
        <v>1919</v>
      </c>
      <c r="D803" s="12" t="s">
        <v>2258</v>
      </c>
      <c r="E803" s="18">
        <f>VLOOKUP($C803,'SWR Fittings'!$E$5:$I2469,3,0)</f>
        <v>0.293</v>
      </c>
      <c r="F803" s="320">
        <f>VLOOKUP($C803,'SWR Fittings'!$E$5:$I2469,2,0)</f>
        <v>134.7</v>
      </c>
      <c r="G803" s="320">
        <f>VLOOKUP($C803,'SWR Fittings'!$E$5:$I2469,5,0)</f>
        <v>134.7</v>
      </c>
      <c r="H803" s="320"/>
      <c r="I803" s="320"/>
      <c r="J803" s="320"/>
      <c r="K803" s="320"/>
      <c r="L803" s="320"/>
      <c r="M803" s="320"/>
      <c r="N803" s="320"/>
      <c r="O803" s="320"/>
    </row>
    <row r="804">
      <c r="A804" s="32">
        <f t="shared" si="1"/>
        <v>803</v>
      </c>
      <c r="B804" s="9" t="s">
        <v>2144</v>
      </c>
      <c r="C804" s="419" t="s">
        <v>1921</v>
      </c>
      <c r="D804" s="12" t="s">
        <v>2265</v>
      </c>
      <c r="E804" s="18">
        <f>VLOOKUP($C804,'SWR Fittings'!$E$5:$I2469,3,0)</f>
        <v>0.409</v>
      </c>
      <c r="F804" s="320">
        <f>VLOOKUP($C804,'SWR Fittings'!$E$5:$I2469,2,0)</f>
        <v>196</v>
      </c>
      <c r="G804" s="320">
        <f>VLOOKUP($C804,'SWR Fittings'!$E$5:$I2469,5,0)</f>
        <v>196</v>
      </c>
      <c r="H804" s="320"/>
      <c r="I804" s="320"/>
      <c r="J804" s="320"/>
      <c r="K804" s="320"/>
      <c r="L804" s="320"/>
      <c r="M804" s="320"/>
      <c r="N804" s="320"/>
      <c r="O804" s="320"/>
    </row>
    <row r="805">
      <c r="A805" s="32">
        <f t="shared" si="1"/>
        <v>804</v>
      </c>
      <c r="B805" s="9" t="s">
        <v>2144</v>
      </c>
      <c r="C805" s="419" t="s">
        <v>1923</v>
      </c>
      <c r="D805" s="12" t="s">
        <v>2269</v>
      </c>
      <c r="E805" s="18">
        <f>VLOOKUP($C805,'SWR Fittings'!$E$5:$I2469,3,0)</f>
        <v>0.543</v>
      </c>
      <c r="F805" s="320">
        <f>VLOOKUP($C805,'SWR Fittings'!$E$5:$I2469,2,0)</f>
        <v>258</v>
      </c>
      <c r="G805" s="320">
        <f>VLOOKUP($C805,'SWR Fittings'!$E$5:$I2469,5,0)</f>
        <v>258</v>
      </c>
      <c r="H805" s="320"/>
      <c r="I805" s="320"/>
      <c r="J805" s="320"/>
      <c r="K805" s="320"/>
      <c r="L805" s="320"/>
      <c r="M805" s="320"/>
      <c r="N805" s="320"/>
      <c r="O805" s="320"/>
    </row>
    <row r="806">
      <c r="A806" s="32">
        <f t="shared" si="1"/>
        <v>805</v>
      </c>
      <c r="B806" s="9" t="s">
        <v>2144</v>
      </c>
      <c r="C806" s="419" t="s">
        <v>1924</v>
      </c>
      <c r="D806" s="12" t="s">
        <v>2275</v>
      </c>
      <c r="E806" s="18">
        <f>VLOOKUP($C806,'SWR Fittings'!$E$5:$I2469,3,0)</f>
        <v>1.33</v>
      </c>
      <c r="F806" s="320">
        <f>VLOOKUP($C806,'SWR Fittings'!$E$5:$I2469,2,0)</f>
        <v>648</v>
      </c>
      <c r="G806" s="320">
        <f>VLOOKUP($C806,'SWR Fittings'!$E$5:$I2469,5,0)</f>
        <v>648</v>
      </c>
      <c r="H806" s="320"/>
      <c r="I806" s="320"/>
      <c r="J806" s="320"/>
      <c r="K806" s="320"/>
      <c r="L806" s="320"/>
      <c r="M806" s="320"/>
      <c r="N806" s="320"/>
      <c r="O806" s="320"/>
    </row>
    <row r="807">
      <c r="A807" s="32">
        <f t="shared" si="1"/>
        <v>806</v>
      </c>
      <c r="B807" s="9" t="s">
        <v>2144</v>
      </c>
      <c r="C807" s="419" t="s">
        <v>1931</v>
      </c>
      <c r="D807" s="12" t="s">
        <v>2281</v>
      </c>
      <c r="E807" s="18">
        <f>VLOOKUP($C807,'SWR Fittings'!$E$5:$I2469,3,0)</f>
        <v>0.189</v>
      </c>
      <c r="F807" s="320">
        <f>VLOOKUP($C807,'SWR Fittings'!$E$5:$I2469,2,0)</f>
        <v>88</v>
      </c>
      <c r="G807" s="320">
        <f>VLOOKUP($C807,'SWR Fittings'!$E$5:$I2469,5,0)</f>
        <v>88</v>
      </c>
      <c r="H807" s="320"/>
      <c r="I807" s="320"/>
      <c r="J807" s="320"/>
      <c r="K807" s="320"/>
      <c r="L807" s="320"/>
      <c r="M807" s="320"/>
      <c r="N807" s="320"/>
      <c r="O807" s="320"/>
    </row>
    <row r="808">
      <c r="A808" s="32">
        <f t="shared" si="1"/>
        <v>807</v>
      </c>
      <c r="B808" s="9" t="s">
        <v>2144</v>
      </c>
      <c r="C808" s="419" t="s">
        <v>1935</v>
      </c>
      <c r="D808" s="12" t="s">
        <v>2288</v>
      </c>
      <c r="E808" s="18">
        <f>VLOOKUP($C808,'SWR Fittings'!$E$5:$I2469,3,0)</f>
        <v>0.266</v>
      </c>
      <c r="F808" s="320">
        <f>VLOOKUP($C808,'SWR Fittings'!$E$5:$I2469,2,0)</f>
        <v>128</v>
      </c>
      <c r="G808" s="320">
        <f>VLOOKUP($C808,'SWR Fittings'!$E$5:$I2469,5,0)</f>
        <v>128</v>
      </c>
      <c r="H808" s="320"/>
      <c r="I808" s="320"/>
      <c r="J808" s="320"/>
      <c r="K808" s="320"/>
      <c r="L808" s="320"/>
      <c r="M808" s="320"/>
      <c r="N808" s="320"/>
      <c r="O808" s="320"/>
    </row>
    <row r="809">
      <c r="A809" s="32">
        <f t="shared" si="1"/>
        <v>808</v>
      </c>
      <c r="B809" s="9" t="s">
        <v>2144</v>
      </c>
      <c r="C809" s="419" t="s">
        <v>1937</v>
      </c>
      <c r="D809" s="12" t="s">
        <v>2296</v>
      </c>
      <c r="E809" s="18">
        <f>VLOOKUP($C809,'SWR Fittings'!$E$5:$I2469,3,0)</f>
        <v>0.399</v>
      </c>
      <c r="F809" s="320">
        <f>VLOOKUP($C809,'SWR Fittings'!$E$5:$I2469,2,0)</f>
        <v>188</v>
      </c>
      <c r="G809" s="320">
        <f>VLOOKUP($C809,'SWR Fittings'!$E$5:$I2469,5,0)</f>
        <v>188</v>
      </c>
      <c r="H809" s="320"/>
      <c r="I809" s="320"/>
      <c r="J809" s="320"/>
      <c r="K809" s="320"/>
      <c r="L809" s="320"/>
      <c r="M809" s="320"/>
      <c r="N809" s="320"/>
      <c r="O809" s="320"/>
    </row>
    <row r="810">
      <c r="A810" s="32">
        <f t="shared" si="1"/>
        <v>809</v>
      </c>
      <c r="B810" s="9" t="s">
        <v>2144</v>
      </c>
      <c r="C810" s="419" t="s">
        <v>1939</v>
      </c>
      <c r="D810" s="12" t="s">
        <v>2302</v>
      </c>
      <c r="E810" s="18">
        <f>VLOOKUP($C810,'SWR Fittings'!$E$5:$I2469,3,0)</f>
        <v>0.966</v>
      </c>
      <c r="F810" s="320">
        <f>VLOOKUP($C810,'SWR Fittings'!$E$5:$I2469,2,0)</f>
        <v>478</v>
      </c>
      <c r="G810" s="320">
        <f>VLOOKUP($C810,'SWR Fittings'!$E$5:$I2469,5,0)</f>
        <v>478</v>
      </c>
      <c r="H810" s="320"/>
      <c r="I810" s="320"/>
      <c r="J810" s="320"/>
      <c r="K810" s="320"/>
      <c r="L810" s="320"/>
      <c r="M810" s="320"/>
      <c r="N810" s="320"/>
      <c r="O810" s="320"/>
    </row>
    <row r="811">
      <c r="A811" s="32">
        <f t="shared" si="1"/>
        <v>810</v>
      </c>
      <c r="B811" s="9" t="s">
        <v>2144</v>
      </c>
      <c r="C811" s="419" t="s">
        <v>1977</v>
      </c>
      <c r="D811" s="12" t="s">
        <v>2307</v>
      </c>
      <c r="E811" s="18">
        <f>VLOOKUP($C811,'SWR Fittings'!$E$5:$I2469,3,0)</f>
        <v>0.194</v>
      </c>
      <c r="F811" s="320">
        <f>VLOOKUP($C811,'SWR Fittings'!$E$5:$I2469,2,0)</f>
        <v>108</v>
      </c>
      <c r="G811" s="320">
        <f>VLOOKUP($C811,'SWR Fittings'!$E$5:$I2469,5,0)</f>
        <v>108</v>
      </c>
      <c r="H811" s="320"/>
      <c r="I811" s="320"/>
      <c r="J811" s="320"/>
      <c r="K811" s="320"/>
      <c r="L811" s="320"/>
      <c r="M811" s="320"/>
      <c r="N811" s="320"/>
      <c r="O811" s="320"/>
    </row>
    <row r="812">
      <c r="A812" s="32">
        <f t="shared" si="1"/>
        <v>811</v>
      </c>
      <c r="B812" s="9" t="s">
        <v>2144</v>
      </c>
      <c r="C812" s="419" t="s">
        <v>1978</v>
      </c>
      <c r="D812" s="12" t="s">
        <v>2310</v>
      </c>
      <c r="E812" s="18">
        <f>VLOOKUP($C812,'SWR Fittings'!$E$5:$I2469,3,0)</f>
        <v>0.4018</v>
      </c>
      <c r="F812" s="320">
        <f>VLOOKUP($C812,'SWR Fittings'!$E$5:$I2469,2,0)</f>
        <v>224</v>
      </c>
      <c r="G812" s="320">
        <f>VLOOKUP($C812,'SWR Fittings'!$E$5:$I2469,5,0)</f>
        <v>224</v>
      </c>
      <c r="H812" s="320"/>
      <c r="I812" s="320"/>
      <c r="J812" s="320"/>
      <c r="K812" s="320"/>
      <c r="L812" s="320"/>
      <c r="M812" s="320"/>
      <c r="N812" s="320"/>
      <c r="O812" s="320"/>
    </row>
    <row r="813">
      <c r="A813" s="32">
        <f t="shared" si="1"/>
        <v>812</v>
      </c>
      <c r="B813" s="9" t="s">
        <v>2144</v>
      </c>
      <c r="C813" s="419" t="s">
        <v>1982</v>
      </c>
      <c r="D813" s="12" t="s">
        <v>2316</v>
      </c>
      <c r="E813" s="18">
        <f>VLOOKUP($C813,'SWR Fittings'!$E$5:$I2469,3,0)</f>
        <v>0.142</v>
      </c>
      <c r="F813" s="320">
        <f>VLOOKUP($C813,'SWR Fittings'!$E$5:$I2469,2,0)</f>
        <v>64</v>
      </c>
      <c r="G813" s="320">
        <f>VLOOKUP($C813,'SWR Fittings'!$E$5:$I2469,5,0)</f>
        <v>64</v>
      </c>
      <c r="H813" s="320"/>
      <c r="I813" s="320"/>
      <c r="J813" s="320"/>
      <c r="K813" s="320"/>
      <c r="L813" s="320"/>
      <c r="M813" s="320"/>
      <c r="N813" s="320"/>
      <c r="O813" s="320"/>
    </row>
    <row r="814">
      <c r="A814" s="32">
        <f t="shared" si="1"/>
        <v>813</v>
      </c>
      <c r="B814" s="9" t="s">
        <v>2144</v>
      </c>
      <c r="C814" s="419" t="s">
        <v>1983</v>
      </c>
      <c r="D814" s="12" t="s">
        <v>2325</v>
      </c>
      <c r="E814" s="18">
        <f>VLOOKUP($C814,'SWR Fittings'!$E$5:$I2469,3,0)</f>
        <v>0.194</v>
      </c>
      <c r="F814" s="320">
        <f>VLOOKUP($C814,'SWR Fittings'!$E$5:$I2469,2,0)</f>
        <v>92</v>
      </c>
      <c r="G814" s="320">
        <f>VLOOKUP($C814,'SWR Fittings'!$E$5:$I2469,5,0)</f>
        <v>92</v>
      </c>
      <c r="H814" s="320"/>
      <c r="I814" s="320"/>
      <c r="J814" s="320"/>
      <c r="K814" s="320"/>
      <c r="L814" s="320"/>
      <c r="M814" s="320"/>
      <c r="N814" s="320"/>
      <c r="O814" s="320"/>
    </row>
    <row r="815">
      <c r="A815" s="32">
        <f t="shared" si="1"/>
        <v>814</v>
      </c>
      <c r="B815" s="9" t="s">
        <v>2144</v>
      </c>
      <c r="C815" s="419" t="s">
        <v>1984</v>
      </c>
      <c r="D815" s="12" t="s">
        <v>2330</v>
      </c>
      <c r="E815" s="18">
        <f>VLOOKUP($C815,'SWR Fittings'!$E$5:$I2469,3,0)</f>
        <v>0.289</v>
      </c>
      <c r="F815" s="320">
        <f>VLOOKUP($C815,'SWR Fittings'!$E$5:$I2469,2,0)</f>
        <v>134</v>
      </c>
      <c r="G815" s="320">
        <f>VLOOKUP($C815,'SWR Fittings'!$E$5:$I2469,5,0)</f>
        <v>134</v>
      </c>
      <c r="H815" s="320"/>
      <c r="I815" s="320"/>
      <c r="J815" s="320"/>
      <c r="K815" s="320"/>
      <c r="L815" s="320"/>
      <c r="M815" s="320"/>
      <c r="N815" s="320"/>
      <c r="O815" s="320"/>
    </row>
    <row r="816">
      <c r="A816" s="32">
        <f t="shared" si="1"/>
        <v>815</v>
      </c>
      <c r="B816" s="9" t="s">
        <v>2144</v>
      </c>
      <c r="C816" s="419" t="s">
        <v>1985</v>
      </c>
      <c r="D816" s="12" t="s">
        <v>2336</v>
      </c>
      <c r="E816" s="18">
        <f>VLOOKUP($C816,'SWR Fittings'!$E$5:$I2469,3,0)</f>
        <v>0.617</v>
      </c>
      <c r="F816" s="320">
        <f>VLOOKUP($C816,'SWR Fittings'!$E$5:$I2469,2,0)</f>
        <v>306</v>
      </c>
      <c r="G816" s="320">
        <f>VLOOKUP($C816,'SWR Fittings'!$E$5:$I2469,5,0)</f>
        <v>306</v>
      </c>
      <c r="H816" s="320"/>
      <c r="I816" s="320"/>
      <c r="J816" s="320"/>
      <c r="K816" s="320"/>
      <c r="L816" s="320"/>
      <c r="M816" s="320"/>
      <c r="N816" s="320"/>
      <c r="O816" s="320"/>
    </row>
    <row r="817">
      <c r="A817" s="32">
        <f t="shared" si="1"/>
        <v>816</v>
      </c>
      <c r="B817" s="9" t="s">
        <v>2144</v>
      </c>
      <c r="C817" s="419" t="s">
        <v>1998</v>
      </c>
      <c r="D817" s="12" t="s">
        <v>2338</v>
      </c>
      <c r="E817" s="18">
        <f>VLOOKUP($C817,'SWR Fittings'!$E$5:$I2469,3,0)</f>
        <v>0.3272</v>
      </c>
      <c r="F817" s="320">
        <f>VLOOKUP($C817,'SWR Fittings'!$E$5:$I2469,2,0)</f>
        <v>157</v>
      </c>
      <c r="G817" s="320">
        <f>VLOOKUP($C817,'SWR Fittings'!$E$5:$I2469,5,0)</f>
        <v>157</v>
      </c>
      <c r="H817" s="320"/>
      <c r="I817" s="320"/>
      <c r="J817" s="320"/>
      <c r="K817" s="320"/>
      <c r="L817" s="320"/>
      <c r="M817" s="320"/>
      <c r="N817" s="320"/>
      <c r="O817" s="320"/>
    </row>
    <row r="818">
      <c r="A818" s="32">
        <f t="shared" si="1"/>
        <v>817</v>
      </c>
      <c r="B818" s="9" t="s">
        <v>2144</v>
      </c>
      <c r="C818" s="419" t="s">
        <v>2000</v>
      </c>
      <c r="D818" s="12" t="s">
        <v>2344</v>
      </c>
      <c r="E818" s="18">
        <f>VLOOKUP($C818,'SWR Fittings'!$E$5:$I2469,3,0)</f>
        <v>0.6478</v>
      </c>
      <c r="F818" s="320">
        <f>VLOOKUP($C818,'SWR Fittings'!$E$5:$I2469,2,0)</f>
        <v>310</v>
      </c>
      <c r="G818" s="320">
        <f>VLOOKUP($C818,'SWR Fittings'!$E$5:$I2469,5,0)</f>
        <v>310</v>
      </c>
      <c r="H818" s="320"/>
      <c r="I818" s="320"/>
      <c r="J818" s="320"/>
      <c r="K818" s="320"/>
      <c r="L818" s="320"/>
      <c r="M818" s="320"/>
      <c r="N818" s="320"/>
      <c r="O818" s="320"/>
    </row>
    <row r="819">
      <c r="A819" s="32">
        <f t="shared" si="1"/>
        <v>818</v>
      </c>
      <c r="B819" s="9" t="s">
        <v>2144</v>
      </c>
      <c r="C819" s="419" t="s">
        <v>2005</v>
      </c>
      <c r="D819" s="12" t="s">
        <v>2349</v>
      </c>
      <c r="E819" s="18">
        <f>VLOOKUP($C819,'SWR Fittings'!$E$5:$I2469,3,0)</f>
        <v>0.275</v>
      </c>
      <c r="F819" s="320">
        <f>VLOOKUP($C819,'SWR Fittings'!$E$5:$I2469,2,0)</f>
        <v>121</v>
      </c>
      <c r="G819" s="320">
        <f>VLOOKUP($C819,'SWR Fittings'!$E$5:$I2469,5,0)</f>
        <v>121</v>
      </c>
      <c r="H819" s="320"/>
      <c r="I819" s="320"/>
      <c r="J819" s="320"/>
      <c r="K819" s="320"/>
      <c r="L819" s="320"/>
      <c r="M819" s="320"/>
      <c r="N819" s="320"/>
      <c r="O819" s="320"/>
    </row>
    <row r="820">
      <c r="A820" s="32">
        <f t="shared" si="1"/>
        <v>819</v>
      </c>
      <c r="B820" s="9" t="s">
        <v>2144</v>
      </c>
      <c r="C820" s="419" t="s">
        <v>2006</v>
      </c>
      <c r="D820" s="12" t="s">
        <v>2353</v>
      </c>
      <c r="E820" s="18">
        <f>VLOOKUP($C820,'SWR Fittings'!$E$5:$I2469,3,0)</f>
        <v>0.368</v>
      </c>
      <c r="F820" s="320">
        <f>VLOOKUP($C820,'SWR Fittings'!$E$5:$I2469,2,0)</f>
        <v>169.8</v>
      </c>
      <c r="G820" s="320">
        <f>VLOOKUP($C820,'SWR Fittings'!$E$5:$I2469,5,0)</f>
        <v>169.8</v>
      </c>
      <c r="H820" s="320"/>
      <c r="I820" s="320"/>
      <c r="J820" s="320"/>
      <c r="K820" s="320"/>
      <c r="L820" s="320"/>
      <c r="M820" s="320"/>
      <c r="N820" s="320"/>
      <c r="O820" s="320"/>
    </row>
    <row r="821">
      <c r="A821" s="32">
        <f t="shared" si="1"/>
        <v>820</v>
      </c>
      <c r="B821" s="9" t="s">
        <v>2144</v>
      </c>
      <c r="C821" s="419" t="s">
        <v>2008</v>
      </c>
      <c r="D821" s="12" t="s">
        <v>2356</v>
      </c>
      <c r="E821" s="18">
        <f>VLOOKUP($C821,'SWR Fittings'!$E$5:$I2469,3,0)</f>
        <v>0.555</v>
      </c>
      <c r="F821" s="320">
        <f>VLOOKUP($C821,'SWR Fittings'!$E$5:$I2469,2,0)</f>
        <v>248</v>
      </c>
      <c r="G821" s="320">
        <f>VLOOKUP($C821,'SWR Fittings'!$E$5:$I2469,5,0)</f>
        <v>248</v>
      </c>
      <c r="H821" s="320"/>
      <c r="I821" s="320"/>
      <c r="J821" s="320"/>
      <c r="K821" s="320"/>
      <c r="L821" s="320"/>
      <c r="M821" s="320"/>
      <c r="N821" s="320"/>
      <c r="O821" s="320"/>
    </row>
    <row r="822">
      <c r="A822" s="32">
        <f t="shared" si="1"/>
        <v>821</v>
      </c>
      <c r="B822" s="9" t="s">
        <v>2144</v>
      </c>
      <c r="C822" s="419" t="s">
        <v>2010</v>
      </c>
      <c r="D822" s="12" t="s">
        <v>2360</v>
      </c>
      <c r="E822" s="18">
        <f>VLOOKUP($C822,'SWR Fittings'!$E$5:$I2469,3,0)</f>
        <v>1.285</v>
      </c>
      <c r="F822" s="320">
        <f>VLOOKUP($C822,'SWR Fittings'!$E$5:$I2469,2,0)</f>
        <v>632</v>
      </c>
      <c r="G822" s="320">
        <f>VLOOKUP($C822,'SWR Fittings'!$E$5:$I2469,5,0)</f>
        <v>632</v>
      </c>
      <c r="H822" s="320"/>
      <c r="I822" s="320"/>
      <c r="J822" s="320"/>
      <c r="K822" s="320"/>
      <c r="L822" s="320"/>
      <c r="M822" s="320"/>
      <c r="N822" s="320"/>
      <c r="O822" s="320"/>
    </row>
    <row r="823">
      <c r="A823" s="32">
        <f t="shared" si="1"/>
        <v>822</v>
      </c>
      <c r="B823" s="9" t="s">
        <v>2144</v>
      </c>
      <c r="C823" s="419" t="s">
        <v>2019</v>
      </c>
      <c r="D823" s="12" t="s">
        <v>2369</v>
      </c>
      <c r="E823" s="18">
        <f>VLOOKUP($C823,'SWR Fittings'!$E$5:$I2469,3,0)</f>
        <v>0.48</v>
      </c>
      <c r="F823" s="320">
        <f>VLOOKUP($C823,'SWR Fittings'!$E$5:$I2469,2,0)</f>
        <v>228</v>
      </c>
      <c r="G823" s="320">
        <f>VLOOKUP($C823,'SWR Fittings'!$E$5:$I2469,5,0)</f>
        <v>228</v>
      </c>
      <c r="H823" s="320"/>
      <c r="I823" s="320"/>
      <c r="J823" s="320"/>
      <c r="K823" s="320"/>
      <c r="L823" s="320"/>
      <c r="M823" s="320"/>
      <c r="N823" s="320"/>
      <c r="O823" s="320"/>
    </row>
    <row r="824">
      <c r="A824" s="32">
        <f t="shared" si="1"/>
        <v>823</v>
      </c>
      <c r="B824" s="9" t="s">
        <v>2144</v>
      </c>
      <c r="C824" s="419" t="s">
        <v>2022</v>
      </c>
      <c r="D824" s="12" t="s">
        <v>2372</v>
      </c>
      <c r="E824" s="18">
        <f>VLOOKUP($C824,'SWR Fittings'!$E$5:$I2469,3,0)</f>
        <v>0.342</v>
      </c>
      <c r="F824" s="320">
        <f>VLOOKUP($C824,'SWR Fittings'!$E$5:$I2469,2,0)</f>
        <v>176</v>
      </c>
      <c r="G824" s="320">
        <f>VLOOKUP($C824,'SWR Fittings'!$E$5:$I2469,5,0)</f>
        <v>176</v>
      </c>
      <c r="H824" s="320"/>
      <c r="I824" s="320"/>
      <c r="J824" s="320"/>
      <c r="K824" s="320"/>
      <c r="L824" s="320"/>
      <c r="M824" s="320"/>
      <c r="N824" s="320"/>
      <c r="O824" s="320"/>
    </row>
    <row r="825">
      <c r="A825" s="32">
        <f t="shared" si="1"/>
        <v>824</v>
      </c>
      <c r="B825" s="9" t="s">
        <v>2144</v>
      </c>
      <c r="C825" s="419" t="s">
        <v>2026</v>
      </c>
      <c r="D825" s="12" t="s">
        <v>2380</v>
      </c>
      <c r="E825" s="18">
        <f>VLOOKUP($C825,'SWR Fittings'!$E$5:$I2469,3,0)</f>
        <v>1.16</v>
      </c>
      <c r="F825" s="320">
        <f>VLOOKUP($C825,'SWR Fittings'!$E$5:$I2469,2,0)</f>
        <v>596</v>
      </c>
      <c r="G825" s="320">
        <f>VLOOKUP($C825,'SWR Fittings'!$E$5:$I2469,5,0)</f>
        <v>596</v>
      </c>
      <c r="H825" s="320"/>
      <c r="I825" s="320"/>
      <c r="J825" s="320"/>
      <c r="K825" s="320"/>
      <c r="L825" s="320"/>
      <c r="M825" s="320"/>
      <c r="N825" s="320"/>
      <c r="O825" s="320"/>
    </row>
    <row r="826">
      <c r="A826" s="32">
        <f t="shared" si="1"/>
        <v>825</v>
      </c>
      <c r="B826" s="9" t="s">
        <v>2144</v>
      </c>
      <c r="C826" s="419" t="s">
        <v>2030</v>
      </c>
      <c r="D826" s="12" t="s">
        <v>2385</v>
      </c>
      <c r="E826" s="18">
        <f>VLOOKUP($C826,'SWR Fittings'!$E$5:$I2469,3,0)</f>
        <v>1.068</v>
      </c>
      <c r="F826" s="320">
        <f>VLOOKUP($C826,'SWR Fittings'!$E$5:$I2469,2,0)</f>
        <v>548</v>
      </c>
      <c r="G826" s="320">
        <f>VLOOKUP($C826,'SWR Fittings'!$E$5:$I2469,5,0)</f>
        <v>548</v>
      </c>
      <c r="H826" s="320"/>
      <c r="I826" s="320"/>
      <c r="J826" s="320"/>
      <c r="K826" s="320"/>
      <c r="L826" s="320"/>
      <c r="M826" s="320"/>
      <c r="N826" s="320"/>
      <c r="O826" s="320"/>
    </row>
    <row r="827">
      <c r="A827" s="32">
        <f t="shared" si="1"/>
        <v>826</v>
      </c>
      <c r="B827" s="9" t="s">
        <v>2144</v>
      </c>
      <c r="C827" s="419" t="s">
        <v>2037</v>
      </c>
      <c r="D827" s="12" t="s">
        <v>2389</v>
      </c>
      <c r="E827" s="18">
        <f>VLOOKUP($C827,'SWR Fittings'!$E$5:$I2469,3,0)</f>
        <v>0.508</v>
      </c>
      <c r="F827" s="320">
        <f>VLOOKUP($C827,'SWR Fittings'!$E$5:$I2469,2,0)</f>
        <v>239.8</v>
      </c>
      <c r="G827" s="320">
        <f>VLOOKUP($C827,'SWR Fittings'!$E$5:$I2469,5,0)</f>
        <v>239.8</v>
      </c>
      <c r="H827" s="320"/>
      <c r="I827" s="320"/>
      <c r="J827" s="320"/>
      <c r="K827" s="320"/>
      <c r="L827" s="320"/>
      <c r="M827" s="320"/>
      <c r="N827" s="320"/>
      <c r="O827" s="320"/>
    </row>
    <row r="828">
      <c r="A828" s="32">
        <f t="shared" si="1"/>
        <v>827</v>
      </c>
      <c r="B828" s="9" t="s">
        <v>2144</v>
      </c>
      <c r="C828" s="419" t="s">
        <v>2039</v>
      </c>
      <c r="D828" s="12" t="s">
        <v>2391</v>
      </c>
      <c r="E828" s="18">
        <f>VLOOKUP($C828,'SWR Fittings'!$E$5:$I2469,3,0)</f>
        <v>0</v>
      </c>
      <c r="F828" s="320">
        <f>VLOOKUP($C828,'SWR Fittings'!$E$5:$I2469,2,0)</f>
        <v>202.6</v>
      </c>
      <c r="G828" s="320">
        <f>VLOOKUP($C828,'SWR Fittings'!$E$5:$I2469,5,0)</f>
        <v>202.6</v>
      </c>
      <c r="H828" s="320"/>
      <c r="I828" s="320"/>
      <c r="J828" s="320"/>
      <c r="K828" s="320"/>
      <c r="L828" s="320"/>
      <c r="M828" s="320"/>
      <c r="N828" s="320"/>
      <c r="O828" s="320"/>
    </row>
    <row r="829">
      <c r="A829" s="32">
        <f t="shared" si="1"/>
        <v>828</v>
      </c>
      <c r="B829" s="9" t="s">
        <v>2144</v>
      </c>
      <c r="C829" s="419" t="s">
        <v>2041</v>
      </c>
      <c r="D829" s="12" t="s">
        <v>2396</v>
      </c>
      <c r="E829" s="18">
        <f>VLOOKUP($C829,'SWR Fittings'!$E$5:$I2469,3,0)</f>
        <v>1.173</v>
      </c>
      <c r="F829" s="320">
        <f>VLOOKUP($C829,'SWR Fittings'!$E$5:$I2469,2,0)</f>
        <v>621.2</v>
      </c>
      <c r="G829" s="320">
        <f>VLOOKUP($C829,'SWR Fittings'!$E$5:$I2469,5,0)</f>
        <v>621.2</v>
      </c>
      <c r="H829" s="320"/>
      <c r="I829" s="320"/>
      <c r="J829" s="320"/>
      <c r="K829" s="320"/>
      <c r="L829" s="320"/>
      <c r="M829" s="320"/>
      <c r="N829" s="320"/>
      <c r="O829" s="320"/>
    </row>
    <row r="830">
      <c r="A830" s="32">
        <f t="shared" si="1"/>
        <v>829</v>
      </c>
      <c r="B830" s="9" t="s">
        <v>2144</v>
      </c>
      <c r="C830" s="419" t="s">
        <v>2044</v>
      </c>
      <c r="D830" s="12" t="s">
        <v>2397</v>
      </c>
      <c r="E830" s="18">
        <f>VLOOKUP($C830,'SWR Fittings'!$E$5:$I2469,3,0)</f>
        <v>1.108</v>
      </c>
      <c r="F830" s="320">
        <f>VLOOKUP($C830,'SWR Fittings'!$E$5:$I2469,2,0)</f>
        <v>584</v>
      </c>
      <c r="G830" s="320">
        <f>VLOOKUP($C830,'SWR Fittings'!$E$5:$I2469,5,0)</f>
        <v>584</v>
      </c>
      <c r="H830" s="320"/>
      <c r="I830" s="320"/>
      <c r="J830" s="320"/>
      <c r="K830" s="320"/>
      <c r="L830" s="320"/>
      <c r="M830" s="320"/>
      <c r="N830" s="320"/>
      <c r="O830" s="320"/>
    </row>
    <row r="831">
      <c r="A831" s="32">
        <f t="shared" si="1"/>
        <v>830</v>
      </c>
      <c r="B831" s="9" t="s">
        <v>2144</v>
      </c>
      <c r="C831" s="419" t="s">
        <v>2050</v>
      </c>
      <c r="D831" s="12" t="s">
        <v>2400</v>
      </c>
      <c r="E831" s="18">
        <f>VLOOKUP($C831,'SWR Fittings'!$E$5:$I2469,3,0)</f>
        <v>0.3382</v>
      </c>
      <c r="F831" s="320">
        <f>VLOOKUP($C831,'SWR Fittings'!$E$5:$I2469,2,0)</f>
        <v>159.8</v>
      </c>
      <c r="G831" s="320">
        <f>VLOOKUP($C831,'SWR Fittings'!$E$5:$I2469,5,0)</f>
        <v>159.8</v>
      </c>
      <c r="H831" s="320"/>
      <c r="I831" s="320"/>
      <c r="J831" s="320"/>
      <c r="K831" s="320"/>
      <c r="L831" s="320"/>
      <c r="M831" s="320"/>
      <c r="N831" s="320"/>
      <c r="O831" s="320"/>
    </row>
    <row r="832">
      <c r="A832" s="32">
        <f t="shared" si="1"/>
        <v>831</v>
      </c>
      <c r="B832" s="9" t="s">
        <v>2144</v>
      </c>
      <c r="C832" s="419" t="s">
        <v>2052</v>
      </c>
      <c r="D832" s="12" t="s">
        <v>2403</v>
      </c>
      <c r="E832" s="18">
        <f>VLOOKUP($C832,'SWR Fittings'!$E$5:$I2469,3,0)</f>
        <v>0.476</v>
      </c>
      <c r="F832" s="320">
        <f>VLOOKUP($C832,'SWR Fittings'!$E$5:$I2469,2,0)</f>
        <v>225</v>
      </c>
      <c r="G832" s="320">
        <f>VLOOKUP($C832,'SWR Fittings'!$E$5:$I2469,5,0)</f>
        <v>225</v>
      </c>
      <c r="H832" s="320"/>
      <c r="I832" s="320"/>
      <c r="J832" s="320"/>
      <c r="K832" s="320"/>
      <c r="L832" s="320"/>
      <c r="M832" s="320"/>
      <c r="N832" s="320"/>
      <c r="O832" s="320"/>
    </row>
    <row r="833">
      <c r="A833" s="32">
        <f t="shared" si="1"/>
        <v>832</v>
      </c>
      <c r="B833" s="9" t="s">
        <v>2144</v>
      </c>
      <c r="C833" s="419" t="s">
        <v>2055</v>
      </c>
      <c r="D833" s="12" t="s">
        <v>2405</v>
      </c>
      <c r="E833" s="18">
        <f>VLOOKUP($C833,'SWR Fittings'!$E$5:$I2469,3,0)</f>
        <v>0.7216</v>
      </c>
      <c r="F833" s="320">
        <f>VLOOKUP($C833,'SWR Fittings'!$E$5:$I2469,2,0)</f>
        <v>342.2</v>
      </c>
      <c r="G833" s="320">
        <f>VLOOKUP($C833,'SWR Fittings'!$E$5:$I2469,5,0)</f>
        <v>342.2</v>
      </c>
      <c r="H833" s="320"/>
      <c r="I833" s="320"/>
      <c r="J833" s="320"/>
      <c r="K833" s="320"/>
      <c r="L833" s="320"/>
      <c r="M833" s="320"/>
      <c r="N833" s="320"/>
      <c r="O833" s="320"/>
    </row>
    <row r="834">
      <c r="A834" s="32">
        <f t="shared" si="1"/>
        <v>833</v>
      </c>
      <c r="B834" s="9" t="s">
        <v>2144</v>
      </c>
      <c r="C834" s="419" t="s">
        <v>2058</v>
      </c>
      <c r="D834" s="12" t="s">
        <v>2407</v>
      </c>
      <c r="E834" s="18">
        <f>VLOOKUP($C834,'SWR Fittings'!$E$5:$I2469,3,0)</f>
        <v>0</v>
      </c>
      <c r="F834" s="320">
        <f>VLOOKUP($C834,'SWR Fittings'!$E$5:$I2469,2,0)</f>
        <v>974.6</v>
      </c>
      <c r="G834" s="320">
        <f>VLOOKUP($C834,'SWR Fittings'!$E$5:$I2469,5,0)</f>
        <v>974.6</v>
      </c>
      <c r="H834" s="320"/>
      <c r="I834" s="320"/>
      <c r="J834" s="320"/>
      <c r="K834" s="320"/>
      <c r="L834" s="320"/>
      <c r="M834" s="320"/>
      <c r="N834" s="320"/>
      <c r="O834" s="320"/>
    </row>
    <row r="835">
      <c r="A835" s="32">
        <f t="shared" si="1"/>
        <v>834</v>
      </c>
      <c r="B835" s="9" t="s">
        <v>2144</v>
      </c>
      <c r="C835" s="419" t="s">
        <v>2067</v>
      </c>
      <c r="D835" s="12" t="s">
        <v>2411</v>
      </c>
      <c r="E835" s="18">
        <f>VLOOKUP($C835,'SWR Fittings'!$E$5:$I2469,3,0)</f>
        <v>0.316</v>
      </c>
      <c r="F835" s="320">
        <f>VLOOKUP($C835,'SWR Fittings'!$E$5:$I2469,2,0)</f>
        <v>163.7</v>
      </c>
      <c r="G835" s="320">
        <f>VLOOKUP($C835,'SWR Fittings'!$E$5:$I2469,5,0)</f>
        <v>163.7</v>
      </c>
      <c r="H835" s="320"/>
      <c r="I835" s="320"/>
      <c r="J835" s="320"/>
      <c r="K835" s="320"/>
      <c r="L835" s="320"/>
      <c r="M835" s="320"/>
      <c r="N835" s="320"/>
      <c r="O835" s="320"/>
    </row>
    <row r="836">
      <c r="A836" s="32">
        <f t="shared" si="1"/>
        <v>835</v>
      </c>
      <c r="B836" s="9" t="s">
        <v>2144</v>
      </c>
      <c r="C836" s="419" t="s">
        <v>2070</v>
      </c>
      <c r="D836" s="12" t="s">
        <v>2415</v>
      </c>
      <c r="E836" s="18">
        <f>VLOOKUP($C836,'SWR Fittings'!$E$5:$I2469,3,0)</f>
        <v>0</v>
      </c>
      <c r="F836" s="320">
        <f>VLOOKUP($C836,'SWR Fittings'!$E$5:$I2469,2,0)</f>
        <v>277.8</v>
      </c>
      <c r="G836" s="320">
        <f>VLOOKUP($C836,'SWR Fittings'!$E$5:$I2469,5,0)</f>
        <v>277.8</v>
      </c>
      <c r="H836" s="320"/>
      <c r="I836" s="320"/>
      <c r="J836" s="320"/>
      <c r="K836" s="320"/>
      <c r="L836" s="320"/>
      <c r="M836" s="320"/>
      <c r="N836" s="320"/>
      <c r="O836" s="320"/>
    </row>
    <row r="837">
      <c r="A837" s="32">
        <f t="shared" si="1"/>
        <v>836</v>
      </c>
      <c r="B837" s="9" t="s">
        <v>2144</v>
      </c>
      <c r="C837" s="419" t="s">
        <v>2076</v>
      </c>
      <c r="D837" s="12" t="s">
        <v>2418</v>
      </c>
      <c r="E837" s="18">
        <f>VLOOKUP($C837,'SWR Fittings'!$E$5:$I2469,3,0)</f>
        <v>0.552</v>
      </c>
      <c r="F837" s="320">
        <f>VLOOKUP($C837,'SWR Fittings'!$E$5:$I2469,2,0)</f>
        <v>288</v>
      </c>
      <c r="G837" s="320">
        <f>VLOOKUP($C837,'SWR Fittings'!$E$5:$I2469,5,0)</f>
        <v>288</v>
      </c>
      <c r="H837" s="320"/>
      <c r="I837" s="320"/>
      <c r="J837" s="320"/>
      <c r="K837" s="320"/>
      <c r="L837" s="320"/>
      <c r="M837" s="320"/>
      <c r="N837" s="320"/>
      <c r="O837" s="320"/>
    </row>
    <row r="838">
      <c r="A838" s="32">
        <f t="shared" si="1"/>
        <v>837</v>
      </c>
      <c r="B838" s="9" t="s">
        <v>2144</v>
      </c>
      <c r="C838" s="419" t="s">
        <v>2085</v>
      </c>
      <c r="D838" s="12" t="s">
        <v>2421</v>
      </c>
      <c r="E838" s="18">
        <f>VLOOKUP($C838,'SWR Fittings'!$E$5:$I2469,3,0)</f>
        <v>0.416</v>
      </c>
      <c r="F838" s="320">
        <f>VLOOKUP($C838,'SWR Fittings'!$E$5:$I2469,2,0)</f>
        <v>208.2</v>
      </c>
      <c r="G838" s="320">
        <f>VLOOKUP($C838,'SWR Fittings'!$E$5:$I2469,5,0)</f>
        <v>208.2</v>
      </c>
      <c r="H838" s="320"/>
      <c r="I838" s="320"/>
      <c r="J838" s="320"/>
      <c r="K838" s="320"/>
      <c r="L838" s="320"/>
      <c r="M838" s="320"/>
      <c r="N838" s="320"/>
      <c r="O838" s="320"/>
    </row>
    <row r="839">
      <c r="A839" s="32">
        <f t="shared" si="1"/>
        <v>838</v>
      </c>
      <c r="B839" s="9" t="s">
        <v>2144</v>
      </c>
      <c r="C839" s="419" t="s">
        <v>2091</v>
      </c>
      <c r="D839" s="12" t="s">
        <v>2426</v>
      </c>
      <c r="E839" s="18">
        <f>VLOOKUP($C839,'SWR Fittings'!$E$5:$I2469,3,0)</f>
        <v>0.8915</v>
      </c>
      <c r="F839" s="320">
        <f>VLOOKUP($C839,'SWR Fittings'!$E$5:$I2469,2,0)</f>
        <v>444.4</v>
      </c>
      <c r="G839" s="320">
        <f>VLOOKUP($C839,'SWR Fittings'!$E$5:$I2469,5,0)</f>
        <v>444.4</v>
      </c>
      <c r="H839" s="320"/>
      <c r="I839" s="320"/>
      <c r="J839" s="320"/>
      <c r="K839" s="320"/>
      <c r="L839" s="320"/>
      <c r="M839" s="320"/>
      <c r="N839" s="320"/>
      <c r="O839" s="320"/>
    </row>
    <row r="840">
      <c r="A840" s="32">
        <f t="shared" si="1"/>
        <v>839</v>
      </c>
      <c r="B840" s="9" t="s">
        <v>2144</v>
      </c>
      <c r="C840" s="419" t="s">
        <v>2117</v>
      </c>
      <c r="D840" s="12" t="s">
        <v>2428</v>
      </c>
      <c r="E840" s="18">
        <f>VLOOKUP($C840,'SWR Fittings'!$E$5:$I2469,3,0)</f>
        <v>0.2215</v>
      </c>
      <c r="F840" s="320">
        <f>VLOOKUP($C840,'SWR Fittings'!$E$5:$I2469,2,0)</f>
        <v>114</v>
      </c>
      <c r="G840" s="320">
        <f>VLOOKUP($C840,'SWR Fittings'!$E$5:$I2469,5,0)</f>
        <v>114</v>
      </c>
      <c r="H840" s="320"/>
      <c r="I840" s="320"/>
      <c r="J840" s="320"/>
      <c r="K840" s="320"/>
      <c r="L840" s="320"/>
      <c r="M840" s="320"/>
      <c r="N840" s="320"/>
      <c r="O840" s="320"/>
    </row>
    <row r="841">
      <c r="A841" s="32">
        <f t="shared" si="1"/>
        <v>840</v>
      </c>
      <c r="B841" s="9" t="s">
        <v>2144</v>
      </c>
      <c r="C841" s="419" t="s">
        <v>2120</v>
      </c>
      <c r="D841" s="12" t="s">
        <v>2433</v>
      </c>
      <c r="E841" s="18">
        <f>VLOOKUP($C841,'SWR Fittings'!$E$5:$I2469,3,0)</f>
        <v>0.455</v>
      </c>
      <c r="F841" s="320">
        <f>VLOOKUP($C841,'SWR Fittings'!$E$5:$I2469,2,0)</f>
        <v>234</v>
      </c>
      <c r="G841" s="320">
        <f>VLOOKUP($C841,'SWR Fittings'!$E$5:$I2469,5,0)</f>
        <v>234</v>
      </c>
      <c r="H841" s="320"/>
      <c r="I841" s="320"/>
      <c r="J841" s="320"/>
      <c r="K841" s="320"/>
      <c r="L841" s="320"/>
      <c r="M841" s="320"/>
      <c r="N841" s="320"/>
      <c r="O841" s="320"/>
    </row>
    <row r="842">
      <c r="A842" s="32">
        <f t="shared" si="1"/>
        <v>841</v>
      </c>
      <c r="B842" s="9" t="s">
        <v>2144</v>
      </c>
      <c r="C842" s="419" t="s">
        <v>2128</v>
      </c>
      <c r="D842" s="12" t="s">
        <v>2437</v>
      </c>
      <c r="E842" s="18">
        <f>VLOOKUP($C842,'SWR Fittings'!$E$5:$I2469,3,0)</f>
        <v>0.326</v>
      </c>
      <c r="F842" s="320">
        <f>VLOOKUP($C842,'SWR Fittings'!$E$5:$I2469,2,0)</f>
        <v>152.2</v>
      </c>
      <c r="G842" s="320">
        <f>VLOOKUP($C842,'SWR Fittings'!$E$5:$I2469,5,0)</f>
        <v>152.2</v>
      </c>
      <c r="H842" s="320"/>
      <c r="I842" s="320"/>
      <c r="J842" s="320"/>
      <c r="K842" s="320"/>
      <c r="L842" s="320"/>
      <c r="M842" s="320"/>
      <c r="N842" s="320"/>
      <c r="O842" s="320"/>
    </row>
    <row r="843">
      <c r="A843" s="32">
        <f t="shared" si="1"/>
        <v>842</v>
      </c>
      <c r="B843" s="9" t="s">
        <v>2144</v>
      </c>
      <c r="C843" s="419" t="s">
        <v>2131</v>
      </c>
      <c r="D843" s="12" t="s">
        <v>2441</v>
      </c>
      <c r="E843" s="18">
        <f>VLOOKUP($C843,'SWR Fittings'!$E$5:$I2469,3,0)</f>
        <v>0.449</v>
      </c>
      <c r="F843" s="320">
        <f>VLOOKUP($C843,'SWR Fittings'!$E$5:$I2469,2,0)</f>
        <v>217.6</v>
      </c>
      <c r="G843" s="320">
        <f>VLOOKUP($C843,'SWR Fittings'!$E$5:$I2469,5,0)</f>
        <v>217.6</v>
      </c>
      <c r="H843" s="320"/>
      <c r="I843" s="320"/>
      <c r="J843" s="320"/>
      <c r="K843" s="320"/>
      <c r="L843" s="320"/>
      <c r="M843" s="320"/>
      <c r="N843" s="320"/>
      <c r="O843" s="320"/>
    </row>
    <row r="844">
      <c r="A844" s="32">
        <f t="shared" si="1"/>
        <v>843</v>
      </c>
      <c r="B844" s="9" t="s">
        <v>2144</v>
      </c>
      <c r="C844" s="419" t="s">
        <v>2134</v>
      </c>
      <c r="D844" s="12" t="s">
        <v>2443</v>
      </c>
      <c r="E844" s="18">
        <f>VLOOKUP($C844,'SWR Fittings'!$E$5:$I2469,3,0)</f>
        <v>0.689</v>
      </c>
      <c r="F844" s="320">
        <f>VLOOKUP($C844,'SWR Fittings'!$E$5:$I2469,2,0)</f>
        <v>314.2</v>
      </c>
      <c r="G844" s="320">
        <f>VLOOKUP($C844,'SWR Fittings'!$E$5:$I2469,5,0)</f>
        <v>314.2</v>
      </c>
      <c r="H844" s="320"/>
      <c r="I844" s="320"/>
      <c r="J844" s="320"/>
      <c r="K844" s="320"/>
      <c r="L844" s="320"/>
      <c r="M844" s="320"/>
      <c r="N844" s="320"/>
      <c r="O844" s="320"/>
    </row>
    <row r="845">
      <c r="A845" s="32">
        <f t="shared" si="1"/>
        <v>844</v>
      </c>
      <c r="B845" s="9" t="s">
        <v>2144</v>
      </c>
      <c r="C845" s="419" t="s">
        <v>2135</v>
      </c>
      <c r="D845" s="12" t="s">
        <v>2446</v>
      </c>
      <c r="E845" s="18">
        <f>VLOOKUP($C845,'SWR Fittings'!$E$5:$I2469,3,0)</f>
        <v>0</v>
      </c>
      <c r="F845" s="320">
        <f>VLOOKUP($C845,'SWR Fittings'!$E$5:$I2469,2,0)</f>
        <v>929.2</v>
      </c>
      <c r="G845" s="320">
        <f>VLOOKUP($C845,'SWR Fittings'!$E$5:$I2469,5,0)</f>
        <v>929.2</v>
      </c>
      <c r="H845" s="320"/>
      <c r="I845" s="320"/>
      <c r="J845" s="320"/>
      <c r="K845" s="320"/>
      <c r="L845" s="320"/>
      <c r="M845" s="320"/>
      <c r="N845" s="320"/>
      <c r="O845" s="320"/>
    </row>
    <row r="846">
      <c r="A846" s="32">
        <f t="shared" si="1"/>
        <v>845</v>
      </c>
      <c r="B846" s="9" t="s">
        <v>2144</v>
      </c>
      <c r="C846" s="419" t="s">
        <v>2143</v>
      </c>
      <c r="D846" s="12" t="s">
        <v>2448</v>
      </c>
      <c r="E846" s="18">
        <f>VLOOKUP($C846,'SWR Fittings'!$E$5:$I2469,3,0)</f>
        <v>0.3133</v>
      </c>
      <c r="F846" s="320">
        <f>VLOOKUP($C846,'SWR Fittings'!$E$5:$I2469,2,0)</f>
        <v>178</v>
      </c>
      <c r="G846" s="320">
        <f>VLOOKUP($C846,'SWR Fittings'!$E$5:$I2469,5,0)</f>
        <v>178</v>
      </c>
      <c r="H846" s="320"/>
      <c r="I846" s="320"/>
      <c r="J846" s="320"/>
      <c r="K846" s="320"/>
      <c r="L846" s="320"/>
      <c r="M846" s="320"/>
      <c r="N846" s="320"/>
      <c r="O846" s="320"/>
    </row>
    <row r="847">
      <c r="A847" s="32">
        <f t="shared" si="1"/>
        <v>846</v>
      </c>
      <c r="B847" s="9" t="s">
        <v>2144</v>
      </c>
      <c r="C847" s="419" t="s">
        <v>2149</v>
      </c>
      <c r="D847" s="12" t="s">
        <v>2452</v>
      </c>
      <c r="E847" s="18">
        <f>VLOOKUP($C847,'SWR Fittings'!$E$5:$I2469,3,0)</f>
        <v>0</v>
      </c>
      <c r="F847" s="320">
        <f>VLOOKUP($C847,'SWR Fittings'!$E$5:$I2469,2,0)</f>
        <v>438</v>
      </c>
      <c r="G847" s="320">
        <f>VLOOKUP($C847,'SWR Fittings'!$E$5:$I2469,5,0)</f>
        <v>438</v>
      </c>
      <c r="H847" s="320"/>
      <c r="I847" s="320"/>
      <c r="J847" s="320"/>
      <c r="K847" s="320"/>
      <c r="L847" s="320"/>
      <c r="M847" s="320"/>
      <c r="N847" s="320"/>
      <c r="O847" s="320"/>
    </row>
    <row r="848">
      <c r="A848" s="32">
        <f t="shared" si="1"/>
        <v>847</v>
      </c>
      <c r="B848" s="9" t="s">
        <v>2144</v>
      </c>
      <c r="C848" s="419" t="s">
        <v>2158</v>
      </c>
      <c r="D848" s="12" t="s">
        <v>2457</v>
      </c>
      <c r="E848" s="18">
        <f>VLOOKUP($C848,'SWR Fittings'!$E$5:$I2469,3,0)</f>
        <v>0.526</v>
      </c>
      <c r="F848" s="320">
        <f>VLOOKUP($C848,'SWR Fittings'!$E$5:$I2469,2,0)</f>
        <v>264.9</v>
      </c>
      <c r="G848" s="320">
        <f>VLOOKUP($C848,'SWR Fittings'!$E$5:$I2469,5,0)</f>
        <v>264.9</v>
      </c>
      <c r="H848" s="320"/>
      <c r="I848" s="320"/>
      <c r="J848" s="320"/>
      <c r="K848" s="320"/>
      <c r="L848" s="320"/>
      <c r="M848" s="320"/>
      <c r="N848" s="320"/>
      <c r="O848" s="320"/>
    </row>
    <row r="849">
      <c r="A849" s="32">
        <f t="shared" si="1"/>
        <v>848</v>
      </c>
      <c r="B849" s="9" t="s">
        <v>2144</v>
      </c>
      <c r="C849" s="419" t="s">
        <v>2172</v>
      </c>
      <c r="D849" s="12" t="s">
        <v>2459</v>
      </c>
      <c r="E849" s="18">
        <f>VLOOKUP($C849,'SWR Fittings'!$E$5:$I2469,3,0)</f>
        <v>0.409</v>
      </c>
      <c r="F849" s="320">
        <f>VLOOKUP($C849,'SWR Fittings'!$E$5:$I2469,2,0)</f>
        <v>207.9</v>
      </c>
      <c r="G849" s="320">
        <f>VLOOKUP($C849,'SWR Fittings'!$E$5:$I2469,5,0)</f>
        <v>207.9</v>
      </c>
      <c r="H849" s="320"/>
      <c r="I849" s="320"/>
      <c r="J849" s="320"/>
      <c r="K849" s="320"/>
      <c r="L849" s="320"/>
      <c r="M849" s="320"/>
      <c r="N849" s="320"/>
      <c r="O849" s="320"/>
    </row>
    <row r="850">
      <c r="A850" s="32">
        <f t="shared" si="1"/>
        <v>849</v>
      </c>
      <c r="B850" s="9" t="s">
        <v>2144</v>
      </c>
      <c r="C850" s="419" t="s">
        <v>2179</v>
      </c>
      <c r="D850" s="12" t="s">
        <v>2464</v>
      </c>
      <c r="E850" s="18">
        <f>VLOOKUP($C850,'SWR Fittings'!$E$5:$I2469,3,0)</f>
        <v>0.8815</v>
      </c>
      <c r="F850" s="320">
        <f>VLOOKUP($C850,'SWR Fittings'!$E$5:$I2469,2,0)</f>
        <v>448.9</v>
      </c>
      <c r="G850" s="320">
        <f>VLOOKUP($C850,'SWR Fittings'!$E$5:$I2469,5,0)</f>
        <v>448.9</v>
      </c>
      <c r="H850" s="320"/>
      <c r="I850" s="320"/>
      <c r="J850" s="320"/>
      <c r="K850" s="320"/>
      <c r="L850" s="320"/>
      <c r="M850" s="320"/>
      <c r="N850" s="320"/>
      <c r="O850" s="320"/>
    </row>
    <row r="851">
      <c r="A851" s="32">
        <f t="shared" si="1"/>
        <v>850</v>
      </c>
      <c r="B851" s="9" t="s">
        <v>2144</v>
      </c>
      <c r="C851" s="419" t="s">
        <v>2195</v>
      </c>
      <c r="D851" s="12" t="s">
        <v>2467</v>
      </c>
      <c r="E851" s="18">
        <f>VLOOKUP($C851,'SWR Fittings'!$E$5:$I2469,3,0)</f>
        <v>0.2253</v>
      </c>
      <c r="F851" s="320">
        <f>VLOOKUP($C851,'SWR Fittings'!$E$5:$I2469,2,0)</f>
        <v>107.8</v>
      </c>
      <c r="G851" s="320">
        <f>VLOOKUP($C851,'SWR Fittings'!$E$5:$I2469,5,0)</f>
        <v>107.8</v>
      </c>
      <c r="H851" s="320"/>
      <c r="I851" s="320"/>
      <c r="J851" s="320"/>
      <c r="K851" s="320"/>
      <c r="L851" s="320"/>
      <c r="M851" s="320"/>
      <c r="N851" s="320"/>
      <c r="O851" s="320"/>
    </row>
    <row r="852">
      <c r="A852" s="32">
        <f t="shared" si="1"/>
        <v>851</v>
      </c>
      <c r="B852" s="9" t="s">
        <v>2144</v>
      </c>
      <c r="C852" s="419" t="s">
        <v>2201</v>
      </c>
      <c r="D852" s="12" t="s">
        <v>2472</v>
      </c>
      <c r="E852" s="18">
        <f>VLOOKUP($C852,'SWR Fittings'!$E$5:$I2469,3,0)</f>
        <v>0.229</v>
      </c>
      <c r="F852" s="320">
        <f>VLOOKUP($C852,'SWR Fittings'!$E$5:$I2469,2,0)</f>
        <v>126</v>
      </c>
      <c r="G852" s="320">
        <f>VLOOKUP($C852,'SWR Fittings'!$E$5:$I2469,5,0)</f>
        <v>126</v>
      </c>
      <c r="H852" s="320"/>
      <c r="I852" s="320"/>
      <c r="J852" s="320"/>
      <c r="K852" s="320"/>
      <c r="L852" s="320"/>
      <c r="M852" s="320"/>
      <c r="N852" s="320"/>
      <c r="O852" s="320"/>
    </row>
    <row r="853">
      <c r="A853" s="32">
        <f t="shared" si="1"/>
        <v>852</v>
      </c>
      <c r="B853" s="9" t="s">
        <v>2144</v>
      </c>
      <c r="C853" s="419" t="s">
        <v>2204</v>
      </c>
      <c r="D853" s="12" t="s">
        <v>2481</v>
      </c>
      <c r="E853" s="18">
        <f>VLOOKUP($C853,'SWR Fittings'!$E$5:$I2469,3,0)</f>
        <v>0.507</v>
      </c>
      <c r="F853" s="320">
        <f>VLOOKUP($C853,'SWR Fittings'!$E$5:$I2469,2,0)</f>
        <v>258.4</v>
      </c>
      <c r="G853" s="320">
        <f>VLOOKUP($C853,'SWR Fittings'!$E$5:$I2469,5,0)</f>
        <v>258.4</v>
      </c>
      <c r="H853" s="320"/>
      <c r="I853" s="320"/>
      <c r="J853" s="320"/>
      <c r="K853" s="320"/>
      <c r="L853" s="320"/>
      <c r="M853" s="320"/>
      <c r="N853" s="320"/>
      <c r="O853" s="320"/>
    </row>
    <row r="854">
      <c r="A854" s="32">
        <f t="shared" si="1"/>
        <v>853</v>
      </c>
      <c r="B854" s="9" t="s">
        <v>2144</v>
      </c>
      <c r="C854" s="419" t="s">
        <v>2217</v>
      </c>
      <c r="D854" s="12" t="s">
        <v>2491</v>
      </c>
      <c r="E854" s="18">
        <f>VLOOKUP($C854,'SWR Fittings'!$E$5:$I2469,3,0)</f>
        <v>0.029</v>
      </c>
      <c r="F854" s="320">
        <f>VLOOKUP($C854,'SWR Fittings'!$E$5:$I2469,2,0)</f>
        <v>15.2</v>
      </c>
      <c r="G854" s="320">
        <f>VLOOKUP($C854,'SWR Fittings'!$E$5:$I2469,5,0)</f>
        <v>15.2</v>
      </c>
      <c r="H854" s="320"/>
      <c r="I854" s="320"/>
      <c r="J854" s="320"/>
      <c r="K854" s="320"/>
      <c r="L854" s="320"/>
      <c r="M854" s="320"/>
      <c r="N854" s="320"/>
      <c r="O854" s="320"/>
    </row>
    <row r="855">
      <c r="A855" s="32">
        <f t="shared" si="1"/>
        <v>854</v>
      </c>
      <c r="B855" s="9" t="s">
        <v>2144</v>
      </c>
      <c r="C855" s="419" t="s">
        <v>2221</v>
      </c>
      <c r="D855" s="12" t="s">
        <v>2498</v>
      </c>
      <c r="E855" s="18">
        <f>VLOOKUP($C855,'SWR Fittings'!$E$5:$I2469,3,0)</f>
        <v>0.0386</v>
      </c>
      <c r="F855" s="320">
        <f>VLOOKUP($C855,'SWR Fittings'!$E$5:$I2469,2,0)</f>
        <v>19.2</v>
      </c>
      <c r="G855" s="320">
        <f>VLOOKUP($C855,'SWR Fittings'!$E$5:$I2469,5,0)</f>
        <v>19.2</v>
      </c>
      <c r="H855" s="320"/>
      <c r="I855" s="320"/>
      <c r="J855" s="320"/>
      <c r="K855" s="320"/>
      <c r="L855" s="320"/>
      <c r="M855" s="320"/>
      <c r="N855" s="320"/>
      <c r="O855" s="320"/>
    </row>
    <row r="856">
      <c r="A856" s="32">
        <f t="shared" si="1"/>
        <v>855</v>
      </c>
      <c r="B856" s="9" t="s">
        <v>2144</v>
      </c>
      <c r="C856" s="419" t="s">
        <v>2223</v>
      </c>
      <c r="D856" s="12" t="s">
        <v>2499</v>
      </c>
      <c r="E856" s="18">
        <f>VLOOKUP($C856,'SWR Fittings'!$E$5:$I2469,3,0)</f>
        <v>0.063</v>
      </c>
      <c r="F856" s="320">
        <f>VLOOKUP($C856,'SWR Fittings'!$E$5:$I2469,2,0)</f>
        <v>31.4</v>
      </c>
      <c r="G856" s="320">
        <f>VLOOKUP($C856,'SWR Fittings'!$E$5:$I2469,5,0)</f>
        <v>31.4</v>
      </c>
      <c r="H856" s="320"/>
      <c r="I856" s="320"/>
      <c r="J856" s="320"/>
      <c r="K856" s="320"/>
      <c r="L856" s="320"/>
      <c r="M856" s="320"/>
      <c r="N856" s="320"/>
      <c r="O856" s="320"/>
    </row>
    <row r="857">
      <c r="A857" s="32">
        <f t="shared" si="1"/>
        <v>856</v>
      </c>
      <c r="B857" s="9" t="s">
        <v>2144</v>
      </c>
      <c r="C857" s="419" t="s">
        <v>2227</v>
      </c>
      <c r="D857" s="12" t="s">
        <v>2501</v>
      </c>
      <c r="E857" s="18">
        <f>VLOOKUP($C857,'SWR Fittings'!$E$5:$I2469,3,0)</f>
        <v>0.078</v>
      </c>
      <c r="F857" s="320">
        <f>VLOOKUP($C857,'SWR Fittings'!$E$5:$I2469,2,0)</f>
        <v>37.4</v>
      </c>
      <c r="G857" s="320">
        <f>VLOOKUP($C857,'SWR Fittings'!$E$5:$I2469,5,0)</f>
        <v>37.4</v>
      </c>
      <c r="H857" s="320"/>
      <c r="I857" s="320"/>
      <c r="J857" s="320"/>
      <c r="K857" s="320"/>
      <c r="L857" s="320"/>
      <c r="M857" s="320"/>
      <c r="N857" s="320"/>
      <c r="O857" s="320"/>
    </row>
    <row r="858">
      <c r="A858" s="32">
        <f t="shared" si="1"/>
        <v>857</v>
      </c>
      <c r="B858" s="9" t="s">
        <v>2144</v>
      </c>
      <c r="C858" s="419" t="s">
        <v>2230</v>
      </c>
      <c r="D858" s="12" t="s">
        <v>2502</v>
      </c>
      <c r="E858" s="18">
        <f>VLOOKUP($C858,'SWR Fittings'!$E$5:$I2469,3,0)</f>
        <v>0.166</v>
      </c>
      <c r="F858" s="320">
        <f>VLOOKUP($C858,'SWR Fittings'!$E$5:$I2469,2,0)</f>
        <v>84.6</v>
      </c>
      <c r="G858" s="320">
        <f>VLOOKUP($C858,'SWR Fittings'!$E$5:$I2469,5,0)</f>
        <v>84.6</v>
      </c>
      <c r="H858" s="320"/>
      <c r="I858" s="320"/>
      <c r="J858" s="320"/>
      <c r="K858" s="320"/>
      <c r="L858" s="320"/>
      <c r="M858" s="320"/>
      <c r="N858" s="320"/>
      <c r="O858" s="320"/>
    </row>
    <row r="859">
      <c r="A859" s="32">
        <f t="shared" si="1"/>
        <v>858</v>
      </c>
      <c r="B859" s="9" t="s">
        <v>2144</v>
      </c>
      <c r="C859" s="419" t="s">
        <v>2235</v>
      </c>
      <c r="D859" s="12" t="s">
        <v>2503</v>
      </c>
      <c r="E859" s="18">
        <f>VLOOKUP($C859,'SWR Fittings'!$E$5:$I2469,3,0)</f>
        <v>0.0435</v>
      </c>
      <c r="F859" s="320">
        <f>VLOOKUP($C859,'SWR Fittings'!$E$5:$I2469,2,0)</f>
        <v>20.2</v>
      </c>
      <c r="G859" s="320">
        <f>VLOOKUP($C859,'SWR Fittings'!$E$5:$I2469,5,0)</f>
        <v>20.2</v>
      </c>
      <c r="H859" s="320"/>
      <c r="I859" s="320"/>
      <c r="J859" s="320"/>
      <c r="K859" s="320"/>
      <c r="L859" s="320"/>
      <c r="M859" s="320"/>
      <c r="N859" s="320"/>
      <c r="O859" s="320"/>
    </row>
    <row r="860">
      <c r="A860" s="32">
        <f t="shared" si="1"/>
        <v>859</v>
      </c>
      <c r="B860" s="9" t="s">
        <v>2144</v>
      </c>
      <c r="C860" s="419" t="s">
        <v>2237</v>
      </c>
      <c r="D860" s="12" t="s">
        <v>2504</v>
      </c>
      <c r="E860" s="18">
        <f>VLOOKUP($C860,'SWR Fittings'!$E$5:$I2469,3,0)</f>
        <v>0.038</v>
      </c>
      <c r="F860" s="320">
        <f>VLOOKUP($C860,'SWR Fittings'!$E$5:$I2469,2,0)</f>
        <v>20.8</v>
      </c>
      <c r="G860" s="320">
        <f>VLOOKUP($C860,'SWR Fittings'!$E$5:$I2469,5,0)</f>
        <v>20.8</v>
      </c>
      <c r="H860" s="320"/>
      <c r="I860" s="320"/>
      <c r="J860" s="320"/>
      <c r="K860" s="320"/>
      <c r="L860" s="320"/>
      <c r="M860" s="320"/>
      <c r="N860" s="320"/>
      <c r="O860" s="320"/>
    </row>
    <row r="861">
      <c r="A861" s="32">
        <f t="shared" si="1"/>
        <v>860</v>
      </c>
      <c r="B861" s="9" t="s">
        <v>2144</v>
      </c>
      <c r="C861" s="419" t="s">
        <v>2238</v>
      </c>
      <c r="D861" s="12" t="s">
        <v>2505</v>
      </c>
      <c r="E861" s="18">
        <f>VLOOKUP($C861,'SWR Fittings'!$E$5:$I2469,3,0)</f>
        <v>0.055</v>
      </c>
      <c r="F861" s="320">
        <f>VLOOKUP($C861,'SWR Fittings'!$E$5:$I2469,2,0)</f>
        <v>27.8</v>
      </c>
      <c r="G861" s="320">
        <f>VLOOKUP($C861,'SWR Fittings'!$E$5:$I2469,5,0)</f>
        <v>27.8</v>
      </c>
      <c r="H861" s="320"/>
      <c r="I861" s="320"/>
      <c r="J861" s="320"/>
      <c r="K861" s="320"/>
      <c r="L861" s="320"/>
      <c r="M861" s="320"/>
      <c r="N861" s="320"/>
      <c r="O861" s="320"/>
    </row>
    <row r="862">
      <c r="A862" s="32">
        <f t="shared" si="1"/>
        <v>861</v>
      </c>
      <c r="B862" s="9" t="s">
        <v>2144</v>
      </c>
      <c r="C862" s="419" t="s">
        <v>2239</v>
      </c>
      <c r="D862" s="12" t="s">
        <v>2506</v>
      </c>
      <c r="E862" s="18">
        <f>VLOOKUP($C862,'SWR Fittings'!$E$5:$I2469,3,0)</f>
        <v>0.1085</v>
      </c>
      <c r="F862" s="320">
        <f>VLOOKUP($C862,'SWR Fittings'!$E$5:$I2469,2,0)</f>
        <v>57.4</v>
      </c>
      <c r="G862" s="320">
        <f>VLOOKUP($C862,'SWR Fittings'!$E$5:$I2469,5,0)</f>
        <v>57.4</v>
      </c>
      <c r="H862" s="320"/>
      <c r="I862" s="320"/>
      <c r="J862" s="320"/>
      <c r="K862" s="320"/>
      <c r="L862" s="320"/>
      <c r="M862" s="320"/>
      <c r="N862" s="320"/>
      <c r="O862" s="320"/>
    </row>
    <row r="863">
      <c r="A863" s="32">
        <f t="shared" si="1"/>
        <v>862</v>
      </c>
      <c r="B863" s="9" t="s">
        <v>2144</v>
      </c>
      <c r="C863" s="419" t="s">
        <v>2246</v>
      </c>
      <c r="D863" s="12" t="s">
        <v>2507</v>
      </c>
      <c r="E863" s="18">
        <f>VLOOKUP($C863,'SWR Fittings'!$E$5:$I2469,3,0)</f>
        <v>0.901</v>
      </c>
      <c r="F863" s="320">
        <f>VLOOKUP($C863,'SWR Fittings'!$E$5:$I2469,2,0)</f>
        <v>466</v>
      </c>
      <c r="G863" s="320">
        <f>VLOOKUP($C863,'SWR Fittings'!$E$5:$I2469,5,0)</f>
        <v>466</v>
      </c>
      <c r="H863" s="320"/>
      <c r="I863" s="320"/>
      <c r="J863" s="320"/>
      <c r="K863" s="320"/>
      <c r="L863" s="320"/>
      <c r="M863" s="320"/>
      <c r="N863" s="320"/>
      <c r="O863" s="320"/>
    </row>
    <row r="864">
      <c r="A864" s="32">
        <f t="shared" si="1"/>
        <v>863</v>
      </c>
      <c r="B864" s="9" t="s">
        <v>2144</v>
      </c>
      <c r="C864" s="419" t="s">
        <v>2251</v>
      </c>
      <c r="D864" s="12" t="s">
        <v>2508</v>
      </c>
      <c r="E864" s="18">
        <f>VLOOKUP($C864,'SWR Fittings'!$E$5:$I2469,3,0)</f>
        <v>0.807</v>
      </c>
      <c r="F864" s="320">
        <f>VLOOKUP($C864,'SWR Fittings'!$E$5:$I2469,2,0)</f>
        <v>424</v>
      </c>
      <c r="G864" s="320">
        <f>VLOOKUP($C864,'SWR Fittings'!$E$5:$I2469,5,0)</f>
        <v>424</v>
      </c>
      <c r="H864" s="320"/>
      <c r="I864" s="320"/>
      <c r="J864" s="320"/>
      <c r="K864" s="320"/>
      <c r="L864" s="320"/>
      <c r="M864" s="320"/>
      <c r="N864" s="320"/>
      <c r="O864" s="320"/>
    </row>
    <row r="865">
      <c r="A865" s="32">
        <f t="shared" si="1"/>
        <v>864</v>
      </c>
      <c r="B865" s="9" t="s">
        <v>2144</v>
      </c>
      <c r="C865" s="419" t="s">
        <v>2259</v>
      </c>
      <c r="D865" s="12" t="s">
        <v>2512</v>
      </c>
      <c r="E865" s="18">
        <f>VLOOKUP($C865,'SWR Fittings'!$E$5:$I2469,3,0)</f>
        <v>0.404</v>
      </c>
      <c r="F865" s="320">
        <f>VLOOKUP($C865,'SWR Fittings'!$E$5:$I2469,2,0)</f>
        <v>186.2</v>
      </c>
      <c r="G865" s="320">
        <f>VLOOKUP($C865,'SWR Fittings'!$E$5:$I2469,5,0)</f>
        <v>186.2</v>
      </c>
      <c r="H865" s="320"/>
      <c r="I865" s="320"/>
      <c r="J865" s="320"/>
      <c r="K865" s="320"/>
      <c r="L865" s="320"/>
      <c r="M865" s="320"/>
      <c r="N865" s="320"/>
      <c r="O865" s="320"/>
    </row>
    <row r="866">
      <c r="A866" s="32">
        <f t="shared" si="1"/>
        <v>865</v>
      </c>
      <c r="B866" s="9" t="s">
        <v>2144</v>
      </c>
      <c r="C866" s="419" t="s">
        <v>2262</v>
      </c>
      <c r="D866" s="12" t="s">
        <v>2522</v>
      </c>
      <c r="E866" s="18">
        <f>VLOOKUP($C866,'SWR Fittings'!$E$5:$I2469,3,0)</f>
        <v>0.446</v>
      </c>
      <c r="F866" s="320">
        <f>VLOOKUP($C866,'SWR Fittings'!$E$5:$I2469,2,0)</f>
        <v>231.8</v>
      </c>
      <c r="G866" s="320">
        <f>VLOOKUP($C866,'SWR Fittings'!$E$5:$I2469,5,0)</f>
        <v>231.8</v>
      </c>
      <c r="H866" s="320"/>
      <c r="I866" s="320"/>
      <c r="J866" s="320"/>
      <c r="K866" s="320"/>
      <c r="L866" s="320"/>
      <c r="M866" s="320"/>
      <c r="N866" s="320"/>
      <c r="O866" s="320"/>
    </row>
    <row r="867">
      <c r="A867" s="32">
        <f t="shared" si="1"/>
        <v>866</v>
      </c>
      <c r="B867" s="9" t="s">
        <v>2144</v>
      </c>
      <c r="C867" s="419" t="s">
        <v>2264</v>
      </c>
      <c r="D867" s="12" t="s">
        <v>2525</v>
      </c>
      <c r="E867" s="18">
        <f>VLOOKUP($C867,'SWR Fittings'!$E$5:$I2469,3,0)</f>
        <v>0.483</v>
      </c>
      <c r="F867" s="320">
        <f>VLOOKUP($C867,'SWR Fittings'!$E$5:$I2469,2,0)</f>
        <v>203.3</v>
      </c>
      <c r="G867" s="320">
        <f>VLOOKUP($C867,'SWR Fittings'!$E$5:$I2469,5,0)</f>
        <v>203.3</v>
      </c>
      <c r="H867" s="320"/>
      <c r="I867" s="320"/>
      <c r="J867" s="320"/>
      <c r="K867" s="320"/>
      <c r="L867" s="320"/>
      <c r="M867" s="320"/>
      <c r="N867" s="320"/>
      <c r="O867" s="320"/>
    </row>
    <row r="868">
      <c r="A868" s="32">
        <f t="shared" si="1"/>
        <v>867</v>
      </c>
      <c r="B868" s="9" t="s">
        <v>2144</v>
      </c>
      <c r="C868" s="460" t="s">
        <v>2268</v>
      </c>
      <c r="D868" s="215" t="s">
        <v>2256</v>
      </c>
      <c r="E868" s="18" t="str">
        <f>VLOOKUP($C868,'SWR Fittings'!$E$5:$I2469,3,0)</f>
        <v/>
      </c>
      <c r="F868" s="320" t="str">
        <f>VLOOKUP($C868,'SWR Fittings'!$E$5:$I2469,2,0)</f>
        <v>NEW</v>
      </c>
      <c r="G868" s="320">
        <f>VLOOKUP($C868,'SWR Fittings'!$E$5:$I2469,5,0)</f>
        <v>169</v>
      </c>
      <c r="H868" s="320"/>
      <c r="I868" s="320"/>
      <c r="J868" s="320"/>
      <c r="K868" s="320"/>
      <c r="L868" s="320"/>
      <c r="M868" s="320"/>
      <c r="N868" s="320"/>
      <c r="O868" s="320"/>
    </row>
    <row r="869">
      <c r="A869" s="32">
        <f t="shared" si="1"/>
        <v>868</v>
      </c>
      <c r="B869" s="9" t="s">
        <v>2144</v>
      </c>
      <c r="C869" s="419" t="s">
        <v>2272</v>
      </c>
      <c r="D869" s="12" t="s">
        <v>2537</v>
      </c>
      <c r="E869" s="18">
        <f>VLOOKUP($C869,'SWR Fittings'!$E$5:$I2469,3,0)</f>
        <v>0.296</v>
      </c>
      <c r="F869" s="320">
        <f>VLOOKUP($C869,'SWR Fittings'!$E$5:$I2469,2,0)</f>
        <v>167.2</v>
      </c>
      <c r="G869" s="320">
        <f>VLOOKUP($C869,'SWR Fittings'!$E$5:$I2469,5,0)</f>
        <v>167.2</v>
      </c>
      <c r="H869" s="320"/>
      <c r="I869" s="320"/>
      <c r="J869" s="320"/>
      <c r="K869" s="320"/>
      <c r="L869" s="320"/>
      <c r="M869" s="320"/>
      <c r="N869" s="320"/>
      <c r="O869" s="320"/>
    </row>
    <row r="870">
      <c r="A870" s="32">
        <f t="shared" si="1"/>
        <v>869</v>
      </c>
      <c r="B870" s="9" t="s">
        <v>2144</v>
      </c>
      <c r="C870" s="419" t="s">
        <v>2278</v>
      </c>
      <c r="D870" s="12" t="s">
        <v>2551</v>
      </c>
      <c r="E870" s="18" t="str">
        <f>VLOOKUP($C870,'SWR Fittings'!$E$5:$I2469,3,0)</f>
        <v/>
      </c>
      <c r="F870" s="320">
        <f>VLOOKUP($C870,'SWR Fittings'!$E$5:$I2469,2,0)</f>
        <v>207.1</v>
      </c>
      <c r="G870" s="320">
        <f>VLOOKUP($C870,'SWR Fittings'!$E$5:$I2469,5,0)</f>
        <v>207.1</v>
      </c>
      <c r="H870" s="320"/>
      <c r="I870" s="320"/>
      <c r="J870" s="320"/>
      <c r="K870" s="320"/>
      <c r="L870" s="320"/>
      <c r="M870" s="320"/>
      <c r="N870" s="320"/>
      <c r="O870" s="320"/>
    </row>
    <row r="871">
      <c r="A871" s="32">
        <f t="shared" si="1"/>
        <v>870</v>
      </c>
      <c r="B871" s="9" t="s">
        <v>2144</v>
      </c>
      <c r="C871" s="419" t="s">
        <v>2283</v>
      </c>
      <c r="D871" s="12" t="s">
        <v>2561</v>
      </c>
      <c r="E871" s="18">
        <f>VLOOKUP($C871,'SWR Fittings'!$E$5:$I2469,3,0)</f>
        <v>0.395</v>
      </c>
      <c r="F871" s="320">
        <f>VLOOKUP($C871,'SWR Fittings'!$E$5:$I2469,2,0)</f>
        <v>182.4</v>
      </c>
      <c r="G871" s="320">
        <f>VLOOKUP($C871,'SWR Fittings'!$E$5:$I2469,5,0)</f>
        <v>182.4</v>
      </c>
      <c r="H871" s="320"/>
      <c r="I871" s="320"/>
      <c r="J871" s="320"/>
      <c r="K871" s="320"/>
      <c r="L871" s="320"/>
      <c r="M871" s="320"/>
      <c r="N871" s="320"/>
      <c r="O871" s="320"/>
    </row>
    <row r="872">
      <c r="A872" s="32">
        <f t="shared" si="1"/>
        <v>871</v>
      </c>
      <c r="B872" s="9" t="s">
        <v>2144</v>
      </c>
      <c r="C872" s="460" t="s">
        <v>2285</v>
      </c>
      <c r="D872" s="215" t="s">
        <v>2270</v>
      </c>
      <c r="E872" s="18">
        <f>VLOOKUP($C872,'SWR Fittings'!$E$5:$I2469,3,0)</f>
        <v>0.258</v>
      </c>
      <c r="F872" s="320" t="str">
        <f>VLOOKUP($C872,'SWR Fittings'!$E$5:$I2469,2,0)</f>
        <v>NEW</v>
      </c>
      <c r="G872" s="320">
        <f>VLOOKUP($C872,'SWR Fittings'!$E$5:$I2469,5,0)</f>
        <v>147</v>
      </c>
      <c r="H872" s="320"/>
      <c r="I872" s="320"/>
      <c r="J872" s="320"/>
      <c r="K872" s="320"/>
      <c r="L872" s="320"/>
      <c r="M872" s="320"/>
      <c r="N872" s="320"/>
      <c r="O872" s="320"/>
    </row>
    <row r="873">
      <c r="A873" s="32">
        <f t="shared" si="1"/>
        <v>872</v>
      </c>
      <c r="B873" s="9" t="s">
        <v>2144</v>
      </c>
      <c r="C873" s="419" t="s">
        <v>2297</v>
      </c>
      <c r="D873" s="12" t="s">
        <v>2576</v>
      </c>
      <c r="E873" s="18">
        <f>VLOOKUP($C873,'SWR Fittings'!$E$5:$I2469,3,0)</f>
        <v>0.042</v>
      </c>
      <c r="F873" s="320">
        <f>VLOOKUP($C873,'SWR Fittings'!$E$5:$I2469,2,0)</f>
        <v>21.2</v>
      </c>
      <c r="G873" s="320">
        <f>VLOOKUP($C873,'SWR Fittings'!$E$5:$I2469,5,0)</f>
        <v>21.2</v>
      </c>
      <c r="H873" s="320"/>
      <c r="I873" s="320"/>
      <c r="J873" s="320"/>
      <c r="K873" s="320"/>
      <c r="L873" s="320"/>
      <c r="M873" s="320"/>
      <c r="N873" s="320"/>
      <c r="O873" s="320"/>
    </row>
    <row r="874">
      <c r="A874" s="32">
        <f t="shared" si="1"/>
        <v>873</v>
      </c>
      <c r="B874" s="9" t="s">
        <v>2144</v>
      </c>
      <c r="C874" s="419" t="s">
        <v>2300</v>
      </c>
      <c r="D874" s="12" t="s">
        <v>2581</v>
      </c>
      <c r="E874" s="18">
        <f>VLOOKUP($C874,'SWR Fittings'!$E$5:$I2469,3,0)</f>
        <v>0.059</v>
      </c>
      <c r="F874" s="320">
        <f>VLOOKUP($C874,'SWR Fittings'!$E$5:$I2469,2,0)</f>
        <v>31.2</v>
      </c>
      <c r="G874" s="320">
        <f>VLOOKUP($C874,'SWR Fittings'!$E$5:$I2469,5,0)</f>
        <v>31.2</v>
      </c>
      <c r="H874" s="320"/>
      <c r="I874" s="320"/>
      <c r="J874" s="320"/>
      <c r="K874" s="320"/>
      <c r="L874" s="320"/>
      <c r="M874" s="320"/>
      <c r="N874" s="320"/>
      <c r="O874" s="320"/>
    </row>
    <row r="875">
      <c r="A875" s="32">
        <f t="shared" si="1"/>
        <v>874</v>
      </c>
      <c r="B875" s="9" t="s">
        <v>2144</v>
      </c>
      <c r="C875" s="419" t="s">
        <v>2304</v>
      </c>
      <c r="D875" s="12" t="s">
        <v>2583</v>
      </c>
      <c r="E875" s="18">
        <f>VLOOKUP($C875,'SWR Fittings'!$E$5:$I2469,3,0)</f>
        <v>0.085</v>
      </c>
      <c r="F875" s="320">
        <f>VLOOKUP($C875,'SWR Fittings'!$E$5:$I2469,2,0)</f>
        <v>42.6</v>
      </c>
      <c r="G875" s="320">
        <f>VLOOKUP($C875,'SWR Fittings'!$E$5:$I2469,5,0)</f>
        <v>42.6</v>
      </c>
      <c r="H875" s="320"/>
      <c r="I875" s="320"/>
      <c r="J875" s="320"/>
      <c r="K875" s="320"/>
      <c r="L875" s="320"/>
      <c r="M875" s="320"/>
      <c r="N875" s="320"/>
      <c r="O875" s="320"/>
    </row>
    <row r="876">
      <c r="A876" s="32">
        <f t="shared" si="1"/>
        <v>875</v>
      </c>
      <c r="B876" s="9" t="s">
        <v>2144</v>
      </c>
      <c r="C876" s="419" t="s">
        <v>2306</v>
      </c>
      <c r="D876" s="12" t="s">
        <v>2584</v>
      </c>
      <c r="E876" s="18">
        <f>VLOOKUP($C876,'SWR Fittings'!$E$5:$I2469,3,0)</f>
        <v>0.146</v>
      </c>
      <c r="F876" s="320">
        <f>VLOOKUP($C876,'SWR Fittings'!$E$5:$I2469,2,0)</f>
        <v>74.2</v>
      </c>
      <c r="G876" s="320">
        <f>VLOOKUP($C876,'SWR Fittings'!$E$5:$I2469,5,0)</f>
        <v>74.2</v>
      </c>
      <c r="H876" s="320"/>
      <c r="I876" s="320"/>
      <c r="J876" s="320"/>
      <c r="K876" s="320"/>
      <c r="L876" s="320"/>
      <c r="M876" s="320"/>
      <c r="N876" s="320"/>
      <c r="O876" s="320"/>
    </row>
    <row r="877">
      <c r="A877" s="32">
        <f t="shared" si="1"/>
        <v>876</v>
      </c>
      <c r="B877" s="9" t="s">
        <v>2144</v>
      </c>
      <c r="C877" s="419" t="s">
        <v>2312</v>
      </c>
      <c r="D877" s="12" t="s">
        <v>2585</v>
      </c>
      <c r="E877" s="18">
        <f>VLOOKUP($C877,'SWR Fittings'!$E$5:$I2469,3,0)</f>
        <v>0.27</v>
      </c>
      <c r="F877" s="320">
        <f>VLOOKUP($C877,'SWR Fittings'!$E$5:$I2469,2,0)</f>
        <v>129.2</v>
      </c>
      <c r="G877" s="320">
        <f>VLOOKUP($C877,'SWR Fittings'!$E$5:$I2469,5,0)</f>
        <v>129.2</v>
      </c>
      <c r="H877" s="320"/>
      <c r="I877" s="320"/>
      <c r="J877" s="320"/>
      <c r="K877" s="320"/>
      <c r="L877" s="320"/>
      <c r="M877" s="320"/>
      <c r="N877" s="320"/>
      <c r="O877" s="320"/>
    </row>
    <row r="878">
      <c r="A878" s="32">
        <f t="shared" si="1"/>
        <v>877</v>
      </c>
      <c r="B878" s="9" t="s">
        <v>2144</v>
      </c>
      <c r="C878" s="460" t="s">
        <v>2317</v>
      </c>
      <c r="D878" s="215" t="s">
        <v>2313</v>
      </c>
      <c r="E878" s="18" t="str">
        <f>VLOOKUP($C878,'SWR Fittings'!$E$5:$I2469,3,0)</f>
        <v/>
      </c>
      <c r="F878" s="320" t="str">
        <f>VLOOKUP($C878,'SWR Fittings'!$E$5:$I2469,2,0)</f>
        <v>NEW</v>
      </c>
      <c r="G878" s="320">
        <f>VLOOKUP($C878,'SWR Fittings'!$E$5:$I2469,5,0)</f>
        <v>158</v>
      </c>
      <c r="H878" s="320"/>
      <c r="I878" s="320"/>
      <c r="J878" s="320"/>
      <c r="K878" s="320"/>
      <c r="L878" s="320"/>
      <c r="M878" s="320"/>
      <c r="N878" s="320"/>
      <c r="O878" s="320"/>
    </row>
    <row r="879">
      <c r="A879" s="32">
        <f t="shared" si="1"/>
        <v>878</v>
      </c>
      <c r="B879" s="9" t="s">
        <v>2144</v>
      </c>
      <c r="C879" s="460" t="s">
        <v>2322</v>
      </c>
      <c r="D879" s="215" t="s">
        <v>2320</v>
      </c>
      <c r="E879" s="18" t="str">
        <f>VLOOKUP($C879,'SWR Fittings'!$E$5:$I2469,3,0)</f>
        <v/>
      </c>
      <c r="F879" s="320" t="str">
        <f>VLOOKUP($C879,'SWR Fittings'!$E$5:$I2469,2,0)</f>
        <v>NEW</v>
      </c>
      <c r="G879" s="320">
        <f>VLOOKUP($C879,'SWR Fittings'!$E$5:$I2469,5,0)</f>
        <v>194</v>
      </c>
      <c r="H879" s="320"/>
      <c r="I879" s="320"/>
      <c r="J879" s="320"/>
      <c r="K879" s="320"/>
      <c r="L879" s="320"/>
      <c r="M879" s="320"/>
      <c r="N879" s="320"/>
      <c r="O879" s="320"/>
    </row>
    <row r="880">
      <c r="A880" s="32">
        <f t="shared" si="1"/>
        <v>879</v>
      </c>
      <c r="B880" s="9" t="s">
        <v>2144</v>
      </c>
      <c r="C880" s="419" t="s">
        <v>2326</v>
      </c>
      <c r="D880" s="12" t="s">
        <v>2586</v>
      </c>
      <c r="E880" s="18">
        <f>VLOOKUP($C880,'SWR Fittings'!$E$5:$I2469,3,0)</f>
        <v>0.0059</v>
      </c>
      <c r="F880" s="320">
        <f>VLOOKUP($C880,'SWR Fittings'!$E$5:$I2469,2,0)</f>
        <v>10.5</v>
      </c>
      <c r="G880" s="320">
        <f>VLOOKUP($C880,'SWR Fittings'!$E$5:$I2469,5,0)</f>
        <v>10.5</v>
      </c>
      <c r="H880" s="320"/>
      <c r="I880" s="320"/>
      <c r="J880" s="320"/>
      <c r="K880" s="320"/>
      <c r="L880" s="320"/>
      <c r="M880" s="320"/>
      <c r="N880" s="320"/>
      <c r="O880" s="320"/>
    </row>
    <row r="881">
      <c r="A881" s="32">
        <f t="shared" si="1"/>
        <v>880</v>
      </c>
      <c r="B881" s="9" t="s">
        <v>2144</v>
      </c>
      <c r="C881" s="419" t="s">
        <v>2329</v>
      </c>
      <c r="D881" s="12" t="s">
        <v>2587</v>
      </c>
      <c r="E881" s="18">
        <f>VLOOKUP($C881,'SWR Fittings'!$E$5:$I2469,3,0)</f>
        <v>0.0106</v>
      </c>
      <c r="F881" s="320">
        <f>VLOOKUP($C881,'SWR Fittings'!$E$5:$I2469,2,0)</f>
        <v>15.1</v>
      </c>
      <c r="G881" s="320">
        <f>VLOOKUP($C881,'SWR Fittings'!$E$5:$I2469,5,0)</f>
        <v>15.1</v>
      </c>
      <c r="H881" s="320"/>
      <c r="I881" s="320"/>
      <c r="J881" s="320"/>
      <c r="K881" s="320"/>
      <c r="L881" s="320"/>
      <c r="M881" s="320"/>
      <c r="N881" s="320"/>
      <c r="O881" s="320"/>
    </row>
    <row r="882">
      <c r="A882" s="32">
        <f t="shared" si="1"/>
        <v>881</v>
      </c>
      <c r="B882" s="9" t="s">
        <v>2144</v>
      </c>
      <c r="C882" s="419" t="s">
        <v>2332</v>
      </c>
      <c r="D882" s="12" t="s">
        <v>2588</v>
      </c>
      <c r="E882" s="18">
        <f>VLOOKUP($C882,'SWR Fittings'!$E$5:$I2469,3,0)</f>
        <v>0.0131</v>
      </c>
      <c r="F882" s="320">
        <f>VLOOKUP($C882,'SWR Fittings'!$E$5:$I2469,2,0)</f>
        <v>23.4</v>
      </c>
      <c r="G882" s="320">
        <f>VLOOKUP($C882,'SWR Fittings'!$E$5:$I2469,5,0)</f>
        <v>23.4</v>
      </c>
      <c r="H882" s="320"/>
      <c r="I882" s="320"/>
      <c r="J882" s="320"/>
      <c r="K882" s="320"/>
      <c r="L882" s="320"/>
      <c r="M882" s="320"/>
      <c r="N882" s="320"/>
      <c r="O882" s="320"/>
    </row>
    <row r="883">
      <c r="A883" s="32">
        <f t="shared" si="1"/>
        <v>882</v>
      </c>
      <c r="B883" s="9" t="s">
        <v>2144</v>
      </c>
      <c r="C883" s="419" t="s">
        <v>2334</v>
      </c>
      <c r="D883" s="12" t="s">
        <v>2589</v>
      </c>
      <c r="E883" s="18">
        <f>VLOOKUP($C883,'SWR Fittings'!$E$5:$I2469,3,0)</f>
        <v>0.032</v>
      </c>
      <c r="F883" s="320">
        <f>VLOOKUP($C883,'SWR Fittings'!$E$5:$I2469,2,0)</f>
        <v>40.9</v>
      </c>
      <c r="G883" s="320">
        <f>VLOOKUP($C883,'SWR Fittings'!$E$5:$I2469,5,0)</f>
        <v>40.9</v>
      </c>
      <c r="H883" s="320"/>
      <c r="I883" s="320"/>
      <c r="J883" s="320"/>
      <c r="K883" s="320"/>
      <c r="L883" s="320"/>
      <c r="M883" s="320"/>
      <c r="N883" s="320"/>
      <c r="O883" s="320"/>
    </row>
    <row r="884">
      <c r="A884" s="32">
        <f t="shared" si="1"/>
        <v>883</v>
      </c>
      <c r="B884" s="9" t="s">
        <v>2144</v>
      </c>
      <c r="C884" s="419" t="s">
        <v>2340</v>
      </c>
      <c r="D884" s="12" t="s">
        <v>2590</v>
      </c>
      <c r="E884" s="18">
        <f>VLOOKUP($C884,'SWR Fittings'!$E$5:$I2469,3,0)</f>
        <v>0.832</v>
      </c>
      <c r="F884" s="320">
        <f>VLOOKUP($C884,'SWR Fittings'!$E$5:$I2469,2,0)</f>
        <v>398.4</v>
      </c>
      <c r="G884" s="320">
        <f>VLOOKUP($C884,'SWR Fittings'!$E$5:$I2469,5,0)</f>
        <v>398.4</v>
      </c>
      <c r="H884" s="320"/>
      <c r="I884" s="320"/>
      <c r="J884" s="320"/>
      <c r="K884" s="320"/>
      <c r="L884" s="320"/>
      <c r="M884" s="320"/>
      <c r="N884" s="320"/>
      <c r="O884" s="320"/>
    </row>
    <row r="885">
      <c r="A885" s="32">
        <f t="shared" si="1"/>
        <v>884</v>
      </c>
      <c r="B885" s="9" t="s">
        <v>2144</v>
      </c>
      <c r="C885" s="419" t="s">
        <v>2343</v>
      </c>
      <c r="D885" s="12" t="s">
        <v>2591</v>
      </c>
      <c r="E885" s="18">
        <f>VLOOKUP($C885,'SWR Fittings'!$E$5:$I2469,3,0)</f>
        <v>0.738</v>
      </c>
      <c r="F885" s="320">
        <f>VLOOKUP($C885,'SWR Fittings'!$E$5:$I2469,2,0)</f>
        <v>351.4</v>
      </c>
      <c r="G885" s="320">
        <f>VLOOKUP($C885,'SWR Fittings'!$E$5:$I2469,5,0)</f>
        <v>351.4</v>
      </c>
      <c r="H885" s="320"/>
      <c r="I885" s="320"/>
      <c r="J885" s="320"/>
      <c r="K885" s="320"/>
      <c r="L885" s="320"/>
      <c r="M885" s="320"/>
      <c r="N885" s="320"/>
      <c r="O885" s="320"/>
    </row>
    <row r="886">
      <c r="A886" s="32">
        <f t="shared" si="1"/>
        <v>885</v>
      </c>
      <c r="B886" s="9" t="s">
        <v>2144</v>
      </c>
      <c r="C886" s="419" t="s">
        <v>2351</v>
      </c>
      <c r="D886" s="12" t="s">
        <v>2592</v>
      </c>
      <c r="E886" s="18">
        <f>VLOOKUP($C886,'SWR Fittings'!$E$5:$I2469,3,0)</f>
        <v>1.054</v>
      </c>
      <c r="F886" s="320">
        <f>VLOOKUP($C886,'SWR Fittings'!$E$5:$I2469,2,0)</f>
        <v>532</v>
      </c>
      <c r="G886" s="320">
        <f>VLOOKUP($C886,'SWR Fittings'!$E$5:$I2469,5,0)</f>
        <v>532</v>
      </c>
      <c r="H886" s="320"/>
      <c r="I886" s="320"/>
      <c r="J886" s="320"/>
      <c r="K886" s="320"/>
      <c r="L886" s="320"/>
      <c r="M886" s="320"/>
      <c r="N886" s="320"/>
      <c r="O886" s="320"/>
    </row>
    <row r="887">
      <c r="A887" s="32">
        <f t="shared" si="1"/>
        <v>886</v>
      </c>
      <c r="B887" s="9" t="s">
        <v>2144</v>
      </c>
      <c r="C887" s="419" t="s">
        <v>2352</v>
      </c>
      <c r="D887" s="12" t="s">
        <v>2593</v>
      </c>
      <c r="E887" s="18">
        <f>VLOOKUP($C887,'SWR Fittings'!$E$5:$I2469,3,0)</f>
        <v>0.96</v>
      </c>
      <c r="F887" s="320">
        <f>VLOOKUP($C887,'SWR Fittings'!$E$5:$I2469,2,0)</f>
        <v>488</v>
      </c>
      <c r="G887" s="320">
        <f>VLOOKUP($C887,'SWR Fittings'!$E$5:$I2469,5,0)</f>
        <v>488</v>
      </c>
      <c r="H887" s="320"/>
      <c r="I887" s="320"/>
      <c r="J887" s="320"/>
      <c r="K887" s="320"/>
      <c r="L887" s="320"/>
      <c r="M887" s="320"/>
      <c r="N887" s="320"/>
      <c r="O887" s="320"/>
    </row>
    <row r="888">
      <c r="A888" s="32">
        <f t="shared" si="1"/>
        <v>887</v>
      </c>
      <c r="B888" s="9" t="s">
        <v>2144</v>
      </c>
      <c r="C888" s="419" t="s">
        <v>2358</v>
      </c>
      <c r="D888" s="12" t="s">
        <v>2594</v>
      </c>
      <c r="E888" s="18">
        <f>VLOOKUP($C888,'SWR Fittings'!$E$5:$I2469,3,0)</f>
        <v>0.0431</v>
      </c>
      <c r="F888" s="320">
        <f>VLOOKUP($C888,'SWR Fittings'!$E$5:$I2469,2,0)</f>
        <v>22.4</v>
      </c>
      <c r="G888" s="320">
        <f>VLOOKUP($C888,'SWR Fittings'!$E$5:$I2469,5,0)</f>
        <v>22.4</v>
      </c>
      <c r="H888" s="320"/>
      <c r="I888" s="320"/>
      <c r="J888" s="320"/>
      <c r="K888" s="320"/>
      <c r="L888" s="320"/>
      <c r="M888" s="320"/>
      <c r="N888" s="320"/>
      <c r="O888" s="320"/>
    </row>
    <row r="889">
      <c r="A889" s="32">
        <f t="shared" si="1"/>
        <v>888</v>
      </c>
      <c r="B889" s="9" t="s">
        <v>2144</v>
      </c>
      <c r="C889" s="460" t="s">
        <v>2363</v>
      </c>
      <c r="D889" s="215" t="s">
        <v>2361</v>
      </c>
      <c r="E889" s="18" t="str">
        <f>VLOOKUP($C889,'SWR Fittings'!$E$5:$I2469,3,0)</f>
        <v/>
      </c>
      <c r="F889" s="320" t="str">
        <f>VLOOKUP($C889,'SWR Fittings'!$E$5:$I2469,2,0)</f>
        <v>NEW</v>
      </c>
      <c r="G889" s="320">
        <f>VLOOKUP($C889,'SWR Fittings'!$E$5:$I2469,5,0)</f>
        <v>78</v>
      </c>
      <c r="H889" s="320"/>
      <c r="I889" s="320"/>
      <c r="J889" s="320"/>
      <c r="K889" s="320"/>
      <c r="L889" s="320"/>
      <c r="M889" s="320"/>
      <c r="N889" s="320"/>
      <c r="O889" s="320"/>
    </row>
    <row r="890">
      <c r="A890" s="32">
        <f t="shared" si="1"/>
        <v>889</v>
      </c>
      <c r="B890" s="9" t="s">
        <v>2144</v>
      </c>
      <c r="C890" s="460" t="s">
        <v>2365</v>
      </c>
      <c r="D890" s="215" t="s">
        <v>2361</v>
      </c>
      <c r="E890" s="18" t="str">
        <f>VLOOKUP($C890,'SWR Fittings'!$E$5:$I2469,3,0)</f>
        <v/>
      </c>
      <c r="F890" s="320" t="str">
        <f>VLOOKUP($C890,'SWR Fittings'!$E$5:$I2469,2,0)</f>
        <v>NEW</v>
      </c>
      <c r="G890" s="320">
        <f>VLOOKUP($C890,'SWR Fittings'!$E$5:$I2469,5,0)</f>
        <v>90</v>
      </c>
      <c r="H890" s="320"/>
      <c r="I890" s="320"/>
      <c r="J890" s="320"/>
      <c r="K890" s="320"/>
      <c r="L890" s="320"/>
      <c r="M890" s="320"/>
      <c r="N890" s="320"/>
      <c r="O890" s="320"/>
    </row>
    <row r="891">
      <c r="A891" s="32">
        <f t="shared" si="1"/>
        <v>890</v>
      </c>
      <c r="B891" s="9" t="s">
        <v>2144</v>
      </c>
      <c r="C891" s="460" t="s">
        <v>2366</v>
      </c>
      <c r="D891" s="215" t="s">
        <v>2361</v>
      </c>
      <c r="E891" s="18" t="str">
        <f>VLOOKUP($C891,'SWR Fittings'!$E$5:$I2469,3,0)</f>
        <v/>
      </c>
      <c r="F891" s="320" t="str">
        <f>VLOOKUP($C891,'SWR Fittings'!$E$5:$I2469,2,0)</f>
        <v>NEW</v>
      </c>
      <c r="G891" s="320">
        <f>VLOOKUP($C891,'SWR Fittings'!$E$5:$I2469,5,0)</f>
        <v>114</v>
      </c>
      <c r="H891" s="320"/>
      <c r="I891" s="320"/>
      <c r="J891" s="320"/>
      <c r="K891" s="320"/>
      <c r="L891" s="320"/>
      <c r="M891" s="320"/>
      <c r="N891" s="320"/>
      <c r="O891" s="320"/>
    </row>
    <row r="892">
      <c r="A892" s="32">
        <f t="shared" si="1"/>
        <v>891</v>
      </c>
      <c r="B892" s="9" t="s">
        <v>2144</v>
      </c>
      <c r="C892" s="460" t="s">
        <v>2368</v>
      </c>
      <c r="D892" s="215" t="s">
        <v>2361</v>
      </c>
      <c r="E892" s="18" t="str">
        <f>VLOOKUP($C892,'SWR Fittings'!$E$5:$I2469,3,0)</f>
        <v/>
      </c>
      <c r="F892" s="320" t="str">
        <f>VLOOKUP($C892,'SWR Fittings'!$E$5:$I2469,2,0)</f>
        <v>NEW</v>
      </c>
      <c r="G892" s="320">
        <f>VLOOKUP($C892,'SWR Fittings'!$E$5:$I2469,5,0)</f>
        <v>126</v>
      </c>
      <c r="H892" s="320"/>
      <c r="I892" s="320"/>
      <c r="J892" s="320"/>
      <c r="K892" s="320"/>
      <c r="L892" s="320"/>
      <c r="M892" s="320"/>
      <c r="N892" s="320"/>
      <c r="O892" s="320"/>
    </row>
    <row r="893">
      <c r="A893" s="32">
        <f t="shared" si="1"/>
        <v>892</v>
      </c>
      <c r="B893" s="9" t="s">
        <v>2144</v>
      </c>
      <c r="C893" s="460" t="s">
        <v>2370</v>
      </c>
      <c r="D893" s="215" t="s">
        <v>2361</v>
      </c>
      <c r="E893" s="18" t="str">
        <f>VLOOKUP($C893,'SWR Fittings'!$E$5:$I2469,3,0)</f>
        <v/>
      </c>
      <c r="F893" s="320" t="str">
        <f>VLOOKUP($C893,'SWR Fittings'!$E$5:$I2469,2,0)</f>
        <v>NEW</v>
      </c>
      <c r="G893" s="320">
        <f>VLOOKUP($C893,'SWR Fittings'!$E$5:$I2469,5,0)</f>
        <v>300</v>
      </c>
      <c r="H893" s="320"/>
      <c r="I893" s="320"/>
      <c r="J893" s="320"/>
      <c r="K893" s="320"/>
      <c r="L893" s="320"/>
      <c r="M893" s="320"/>
      <c r="N893" s="320"/>
      <c r="O893" s="320"/>
    </row>
    <row r="894">
      <c r="A894" s="32">
        <f t="shared" si="1"/>
        <v>893</v>
      </c>
      <c r="B894" s="9" t="s">
        <v>2144</v>
      </c>
      <c r="C894" s="419" t="s">
        <v>2376</v>
      </c>
      <c r="D894" s="12" t="s">
        <v>2595</v>
      </c>
      <c r="E894" s="18" t="str">
        <f>VLOOKUP($C894,'SWR Fittings'!$E$5:$I2469,3,0)</f>
        <v/>
      </c>
      <c r="F894" s="320">
        <f>VLOOKUP($C894,'SWR Fittings'!$E$5:$I2469,2,0)</f>
        <v>44</v>
      </c>
      <c r="G894" s="320">
        <f>VLOOKUP($C894,'SWR Fittings'!$E$5:$I2469,5,0)</f>
        <v>44</v>
      </c>
      <c r="H894" s="320"/>
      <c r="I894" s="320"/>
      <c r="J894" s="320"/>
      <c r="K894" s="320"/>
      <c r="L894" s="320"/>
      <c r="M894" s="320"/>
      <c r="N894" s="320"/>
      <c r="O894" s="320"/>
    </row>
    <row r="895">
      <c r="A895" s="32">
        <f t="shared" si="1"/>
        <v>894</v>
      </c>
      <c r="B895" s="9" t="s">
        <v>2144</v>
      </c>
      <c r="C895" s="419" t="s">
        <v>2379</v>
      </c>
      <c r="D895" s="12" t="s">
        <v>2596</v>
      </c>
      <c r="E895" s="18" t="str">
        <f>VLOOKUP($C895,'SWR Fittings'!$E$5:$I2469,3,0)</f>
        <v/>
      </c>
      <c r="F895" s="320">
        <f>VLOOKUP($C895,'SWR Fittings'!$E$5:$I2469,2,0)</f>
        <v>92</v>
      </c>
      <c r="G895" s="320">
        <f>VLOOKUP($C895,'SWR Fittings'!$E$5:$I2469,5,0)</f>
        <v>92</v>
      </c>
      <c r="H895" s="320"/>
      <c r="I895" s="320"/>
      <c r="J895" s="320"/>
      <c r="K895" s="320"/>
      <c r="L895" s="320"/>
      <c r="M895" s="320"/>
      <c r="N895" s="320"/>
      <c r="O895" s="320"/>
    </row>
    <row r="896">
      <c r="A896" s="32">
        <f t="shared" si="1"/>
        <v>895</v>
      </c>
      <c r="B896" s="9" t="s">
        <v>2144</v>
      </c>
      <c r="C896" s="419" t="s">
        <v>2383</v>
      </c>
      <c r="D896" s="12" t="s">
        <v>2597</v>
      </c>
      <c r="E896" s="18" t="str">
        <f>VLOOKUP($C896,'SWR Fittings'!$E$5:$I2469,3,0)</f>
        <v/>
      </c>
      <c r="F896" s="320">
        <f>VLOOKUP($C896,'SWR Fittings'!$E$5:$I2469,2,0)</f>
        <v>168</v>
      </c>
      <c r="G896" s="320">
        <f>VLOOKUP($C896,'SWR Fittings'!$E$5:$I2469,5,0)</f>
        <v>168</v>
      </c>
      <c r="H896" s="320"/>
      <c r="I896" s="320"/>
      <c r="J896" s="320"/>
      <c r="K896" s="320"/>
      <c r="L896" s="320"/>
      <c r="M896" s="320"/>
      <c r="N896" s="320"/>
      <c r="O896" s="320"/>
    </row>
    <row r="897">
      <c r="A897" s="32">
        <f t="shared" si="1"/>
        <v>896</v>
      </c>
      <c r="B897" s="9" t="s">
        <v>2144</v>
      </c>
      <c r="C897" s="419" t="s">
        <v>2390</v>
      </c>
      <c r="D897" s="12" t="s">
        <v>2146</v>
      </c>
      <c r="E897" s="18">
        <f>VLOOKUP($C897,'SWR Fittings'!$E$5:$I2469,3,0)</f>
        <v>0.141</v>
      </c>
      <c r="F897" s="320">
        <f>VLOOKUP($C897,'SWR Fittings'!$E$5:$I2469,2,0)</f>
        <v>68</v>
      </c>
      <c r="G897" s="320">
        <f>VLOOKUP($C897,'SWR Fittings'!$E$5:$I2469,5,0)</f>
        <v>68</v>
      </c>
      <c r="H897" s="320"/>
      <c r="I897" s="320"/>
      <c r="J897" s="320"/>
      <c r="K897" s="320"/>
      <c r="L897" s="320"/>
      <c r="M897" s="320"/>
      <c r="N897" s="320"/>
      <c r="O897" s="320"/>
    </row>
    <row r="898">
      <c r="A898" s="32">
        <f t="shared" si="1"/>
        <v>897</v>
      </c>
      <c r="B898" s="9" t="s">
        <v>2144</v>
      </c>
      <c r="C898" s="419" t="s">
        <v>2393</v>
      </c>
      <c r="D898" s="12" t="s">
        <v>2160</v>
      </c>
      <c r="E898" s="18">
        <f>VLOOKUP($C898,'SWR Fittings'!$E$5:$I2469,3,0)</f>
        <v>0.19</v>
      </c>
      <c r="F898" s="320">
        <f>VLOOKUP($C898,'SWR Fittings'!$E$5:$I2469,2,0)</f>
        <v>92</v>
      </c>
      <c r="G898" s="320">
        <f>VLOOKUP($C898,'SWR Fittings'!$E$5:$I2469,5,0)</f>
        <v>92</v>
      </c>
      <c r="H898" s="320"/>
      <c r="I898" s="320"/>
      <c r="J898" s="320"/>
      <c r="K898" s="320"/>
      <c r="L898" s="320"/>
      <c r="M898" s="320"/>
      <c r="N898" s="320"/>
      <c r="O898" s="320"/>
    </row>
    <row r="899">
      <c r="A899" s="32">
        <f t="shared" si="1"/>
        <v>898</v>
      </c>
      <c r="B899" s="9" t="s">
        <v>2144</v>
      </c>
      <c r="C899" s="419" t="s">
        <v>2394</v>
      </c>
      <c r="D899" s="12" t="s">
        <v>2166</v>
      </c>
      <c r="E899" s="18">
        <f>VLOOKUP($C899,'SWR Fittings'!$E$5:$I2469,3,0)</f>
        <v>0.266</v>
      </c>
      <c r="F899" s="320">
        <f>VLOOKUP($C899,'SWR Fittings'!$E$5:$I2469,2,0)</f>
        <v>126</v>
      </c>
      <c r="G899" s="320">
        <f>VLOOKUP($C899,'SWR Fittings'!$E$5:$I2469,5,0)</f>
        <v>126</v>
      </c>
      <c r="H899" s="320"/>
      <c r="I899" s="320"/>
      <c r="J899" s="320"/>
      <c r="K899" s="320"/>
      <c r="L899" s="320"/>
      <c r="M899" s="320"/>
      <c r="N899" s="320"/>
      <c r="O899" s="320"/>
    </row>
    <row r="900">
      <c r="A900" s="32">
        <f t="shared" si="1"/>
        <v>899</v>
      </c>
      <c r="B900" s="9" t="s">
        <v>2144</v>
      </c>
      <c r="C900" s="419" t="s">
        <v>2395</v>
      </c>
      <c r="D900" s="12" t="s">
        <v>2175</v>
      </c>
      <c r="E900" s="18">
        <f>VLOOKUP($C900,'SWR Fittings'!$E$5:$I2469,3,0)</f>
        <v>0.662</v>
      </c>
      <c r="F900" s="320">
        <f>VLOOKUP($C900,'SWR Fittings'!$E$5:$I2469,2,0)</f>
        <v>324</v>
      </c>
      <c r="G900" s="320">
        <f>VLOOKUP($C900,'SWR Fittings'!$E$5:$I2469,5,0)</f>
        <v>324</v>
      </c>
      <c r="H900" s="320"/>
      <c r="I900" s="320"/>
      <c r="J900" s="320"/>
      <c r="K900" s="320"/>
      <c r="L900" s="320"/>
      <c r="M900" s="320"/>
      <c r="N900" s="320"/>
      <c r="O900" s="320"/>
    </row>
    <row r="901">
      <c r="A901" s="32">
        <f t="shared" si="1"/>
        <v>900</v>
      </c>
      <c r="B901" s="9" t="s">
        <v>2144</v>
      </c>
      <c r="C901" s="419" t="s">
        <v>2399</v>
      </c>
      <c r="D901" s="12" t="s">
        <v>2281</v>
      </c>
      <c r="E901" s="18">
        <f>VLOOKUP($C901,'SWR Fittings'!$E$5:$I2469,3,0)</f>
        <v>0.165</v>
      </c>
      <c r="F901" s="320">
        <f>VLOOKUP($C901,'SWR Fittings'!$E$5:$I2469,2,0)</f>
        <v>80</v>
      </c>
      <c r="G901" s="320">
        <f>VLOOKUP($C901,'SWR Fittings'!$E$5:$I2469,5,0)</f>
        <v>80</v>
      </c>
      <c r="H901" s="320"/>
      <c r="I901" s="320"/>
      <c r="J901" s="320"/>
      <c r="K901" s="320"/>
      <c r="L901" s="320"/>
      <c r="M901" s="320"/>
      <c r="N901" s="320"/>
      <c r="O901" s="320"/>
    </row>
    <row r="902">
      <c r="A902" s="32">
        <f t="shared" si="1"/>
        <v>901</v>
      </c>
      <c r="B902" s="9" t="s">
        <v>2144</v>
      </c>
      <c r="C902" s="419" t="s">
        <v>2401</v>
      </c>
      <c r="D902" s="12" t="s">
        <v>2288</v>
      </c>
      <c r="E902" s="18">
        <f>VLOOKUP($C902,'SWR Fittings'!$E$5:$I2469,3,0)</f>
        <v>0.221</v>
      </c>
      <c r="F902" s="320">
        <f>VLOOKUP($C902,'SWR Fittings'!$E$5:$I2469,2,0)</f>
        <v>108</v>
      </c>
      <c r="G902" s="320">
        <f>VLOOKUP($C902,'SWR Fittings'!$E$5:$I2469,5,0)</f>
        <v>108</v>
      </c>
      <c r="H902" s="320"/>
      <c r="I902" s="320"/>
      <c r="J902" s="320"/>
      <c r="K902" s="320"/>
      <c r="L902" s="320"/>
      <c r="M902" s="320"/>
      <c r="N902" s="320"/>
      <c r="O902" s="320"/>
    </row>
    <row r="903">
      <c r="A903" s="32">
        <f t="shared" si="1"/>
        <v>902</v>
      </c>
      <c r="B903" s="9" t="s">
        <v>2144</v>
      </c>
      <c r="C903" s="419" t="s">
        <v>2402</v>
      </c>
      <c r="D903" s="12" t="s">
        <v>2296</v>
      </c>
      <c r="E903" s="18">
        <f>VLOOKUP($C903,'SWR Fittings'!$E$5:$I2469,3,0)</f>
        <v>0.33</v>
      </c>
      <c r="F903" s="320">
        <f>VLOOKUP($C903,'SWR Fittings'!$E$5:$I2469,2,0)</f>
        <v>158</v>
      </c>
      <c r="G903" s="320">
        <f>VLOOKUP($C903,'SWR Fittings'!$E$5:$I2469,5,0)</f>
        <v>158</v>
      </c>
      <c r="H903" s="320"/>
      <c r="I903" s="320"/>
      <c r="J903" s="320"/>
      <c r="K903" s="320"/>
      <c r="L903" s="320"/>
      <c r="M903" s="320"/>
      <c r="N903" s="320"/>
      <c r="O903" s="320"/>
    </row>
    <row r="904">
      <c r="A904" s="32">
        <f t="shared" si="1"/>
        <v>903</v>
      </c>
      <c r="B904" s="9" t="s">
        <v>2144</v>
      </c>
      <c r="C904" s="419" t="s">
        <v>2404</v>
      </c>
      <c r="D904" s="12" t="s">
        <v>2302</v>
      </c>
      <c r="E904" s="18">
        <f>VLOOKUP($C904,'SWR Fittings'!$E$5:$I2469,3,0)</f>
        <v>0.817</v>
      </c>
      <c r="F904" s="320">
        <f>VLOOKUP($C904,'SWR Fittings'!$E$5:$I2469,2,0)</f>
        <v>396</v>
      </c>
      <c r="G904" s="320">
        <f>VLOOKUP($C904,'SWR Fittings'!$E$5:$I2469,5,0)</f>
        <v>396</v>
      </c>
      <c r="H904" s="320"/>
      <c r="I904" s="320"/>
      <c r="J904" s="320"/>
      <c r="K904" s="320"/>
      <c r="L904" s="320"/>
      <c r="M904" s="320"/>
      <c r="N904" s="320"/>
      <c r="O904" s="320"/>
    </row>
    <row r="905">
      <c r="A905" s="32">
        <f t="shared" si="1"/>
        <v>904</v>
      </c>
      <c r="B905" s="9" t="s">
        <v>2144</v>
      </c>
      <c r="C905" s="419" t="s">
        <v>2406</v>
      </c>
      <c r="D905" s="12" t="s">
        <v>2185</v>
      </c>
      <c r="E905" s="18">
        <f>VLOOKUP($C905,'SWR Fittings'!$E$5:$I2469,3,0)</f>
        <v>0.183</v>
      </c>
      <c r="F905" s="320">
        <f>VLOOKUP($C905,'SWR Fittings'!$E$5:$I2469,2,0)</f>
        <v>89</v>
      </c>
      <c r="G905" s="320">
        <f>VLOOKUP($C905,'SWR Fittings'!$E$5:$I2469,5,0)</f>
        <v>89</v>
      </c>
      <c r="H905" s="320"/>
      <c r="I905" s="320"/>
      <c r="J905" s="320"/>
      <c r="K905" s="320"/>
      <c r="L905" s="320"/>
      <c r="M905" s="320"/>
      <c r="N905" s="320"/>
      <c r="O905" s="320"/>
    </row>
    <row r="906">
      <c r="A906" s="32">
        <f t="shared" si="1"/>
        <v>905</v>
      </c>
      <c r="B906" s="9" t="s">
        <v>2144</v>
      </c>
      <c r="C906" s="419" t="s">
        <v>2409</v>
      </c>
      <c r="D906" s="12" t="s">
        <v>2191</v>
      </c>
      <c r="E906" s="18">
        <f>VLOOKUP($C906,'SWR Fittings'!$E$5:$I2469,3,0)</f>
        <v>0.232</v>
      </c>
      <c r="F906" s="320">
        <f>VLOOKUP($C906,'SWR Fittings'!$E$5:$I2469,2,0)</f>
        <v>117.7</v>
      </c>
      <c r="G906" s="320">
        <f>VLOOKUP($C906,'SWR Fittings'!$E$5:$I2469,5,0)</f>
        <v>117.7</v>
      </c>
      <c r="H906" s="320"/>
      <c r="I906" s="320"/>
      <c r="J906" s="320"/>
      <c r="K906" s="320"/>
      <c r="L906" s="320"/>
      <c r="M906" s="320"/>
      <c r="N906" s="320"/>
      <c r="O906" s="320"/>
    </row>
    <row r="907">
      <c r="A907" s="32">
        <f t="shared" si="1"/>
        <v>906</v>
      </c>
      <c r="B907" s="9" t="s">
        <v>2144</v>
      </c>
      <c r="C907" s="419" t="s">
        <v>2410</v>
      </c>
      <c r="D907" s="12" t="s">
        <v>2198</v>
      </c>
      <c r="E907" s="18">
        <f>VLOOKUP($C907,'SWR Fittings'!$E$5:$I2469,3,0)</f>
        <v>0.344</v>
      </c>
      <c r="F907" s="320">
        <f>VLOOKUP($C907,'SWR Fittings'!$E$5:$I2469,2,0)</f>
        <v>180.3</v>
      </c>
      <c r="G907" s="320">
        <f>VLOOKUP($C907,'SWR Fittings'!$E$5:$I2469,5,0)</f>
        <v>180.3</v>
      </c>
      <c r="H907" s="320"/>
      <c r="I907" s="320"/>
      <c r="J907" s="320"/>
      <c r="K907" s="320"/>
      <c r="L907" s="320"/>
      <c r="M907" s="320"/>
      <c r="N907" s="320"/>
      <c r="O907" s="320"/>
    </row>
    <row r="908">
      <c r="A908" s="32">
        <f t="shared" si="1"/>
        <v>907</v>
      </c>
      <c r="B908" s="9" t="s">
        <v>2144</v>
      </c>
      <c r="C908" s="419" t="s">
        <v>2412</v>
      </c>
      <c r="D908" s="12" t="s">
        <v>2207</v>
      </c>
      <c r="E908" s="18">
        <f>VLOOKUP($C908,'SWR Fittings'!$E$5:$I2469,3,0)</f>
        <v>0.867</v>
      </c>
      <c r="F908" s="320">
        <f>VLOOKUP($C908,'SWR Fittings'!$E$5:$I2469,2,0)</f>
        <v>437.9</v>
      </c>
      <c r="G908" s="320">
        <f>VLOOKUP($C908,'SWR Fittings'!$E$5:$I2469,5,0)</f>
        <v>437.9</v>
      </c>
      <c r="H908" s="320"/>
      <c r="I908" s="320"/>
      <c r="J908" s="320"/>
      <c r="K908" s="320"/>
      <c r="L908" s="320"/>
      <c r="M908" s="320"/>
      <c r="N908" s="320"/>
      <c r="O908" s="320"/>
    </row>
    <row r="909">
      <c r="A909" s="32">
        <f t="shared" si="1"/>
        <v>908</v>
      </c>
      <c r="B909" s="9" t="s">
        <v>2144</v>
      </c>
      <c r="C909" s="419" t="s">
        <v>2419</v>
      </c>
      <c r="D909" s="12" t="s">
        <v>2316</v>
      </c>
      <c r="E909" s="18">
        <f>VLOOKUP($C909,'SWR Fittings'!$E$5:$I2469,3,0)</f>
        <v>0.0995</v>
      </c>
      <c r="F909" s="320">
        <f>VLOOKUP($C909,'SWR Fittings'!$E$5:$I2469,2,0)</f>
        <v>48</v>
      </c>
      <c r="G909" s="320">
        <f>VLOOKUP($C909,'SWR Fittings'!$E$5:$I2469,5,0)</f>
        <v>48</v>
      </c>
      <c r="H909" s="320"/>
      <c r="I909" s="320"/>
      <c r="J909" s="320"/>
      <c r="K909" s="320"/>
      <c r="L909" s="320"/>
      <c r="M909" s="320"/>
      <c r="N909" s="320"/>
      <c r="O909" s="320"/>
    </row>
    <row r="910">
      <c r="A910" s="32">
        <f t="shared" si="1"/>
        <v>909</v>
      </c>
      <c r="B910" s="9" t="s">
        <v>2144</v>
      </c>
      <c r="C910" s="419" t="s">
        <v>2422</v>
      </c>
      <c r="D910" s="12" t="s">
        <v>2325</v>
      </c>
      <c r="E910" s="18">
        <f>VLOOKUP($C910,'SWR Fittings'!$E$5:$I2469,3,0)</f>
        <v>0.138</v>
      </c>
      <c r="F910" s="320">
        <f>VLOOKUP($C910,'SWR Fittings'!$E$5:$I2469,2,0)</f>
        <v>67</v>
      </c>
      <c r="G910" s="320">
        <f>VLOOKUP($C910,'SWR Fittings'!$E$5:$I2469,5,0)</f>
        <v>67</v>
      </c>
      <c r="H910" s="320"/>
      <c r="I910" s="320"/>
      <c r="J910" s="320"/>
      <c r="K910" s="320"/>
      <c r="L910" s="320"/>
      <c r="M910" s="320"/>
      <c r="N910" s="320"/>
      <c r="O910" s="320"/>
    </row>
    <row r="911">
      <c r="A911" s="32">
        <f t="shared" si="1"/>
        <v>910</v>
      </c>
      <c r="B911" s="9" t="s">
        <v>2144</v>
      </c>
      <c r="C911" s="419" t="s">
        <v>2423</v>
      </c>
      <c r="D911" s="12" t="s">
        <v>2330</v>
      </c>
      <c r="E911" s="18">
        <f>VLOOKUP($C911,'SWR Fittings'!$E$5:$I2469,3,0)</f>
        <v>0.1797</v>
      </c>
      <c r="F911" s="320">
        <f>VLOOKUP($C911,'SWR Fittings'!$E$5:$I2469,2,0)</f>
        <v>88</v>
      </c>
      <c r="G911" s="320">
        <f>VLOOKUP($C911,'SWR Fittings'!$E$5:$I2469,5,0)</f>
        <v>88</v>
      </c>
      <c r="H911" s="320"/>
      <c r="I911" s="320"/>
      <c r="J911" s="320"/>
      <c r="K911" s="320"/>
      <c r="L911" s="320"/>
      <c r="M911" s="320"/>
      <c r="N911" s="320"/>
      <c r="O911" s="320"/>
    </row>
    <row r="912">
      <c r="A912" s="32">
        <f t="shared" si="1"/>
        <v>911</v>
      </c>
      <c r="B912" s="9" t="s">
        <v>2144</v>
      </c>
      <c r="C912" s="419" t="s">
        <v>2424</v>
      </c>
      <c r="D912" s="12" t="s">
        <v>2336</v>
      </c>
      <c r="E912" s="18">
        <f>VLOOKUP($C912,'SWR Fittings'!$E$5:$I2469,3,0)</f>
        <v>0.4055</v>
      </c>
      <c r="F912" s="320">
        <f>VLOOKUP($C912,'SWR Fittings'!$E$5:$I2469,2,0)</f>
        <v>210.2</v>
      </c>
      <c r="G912" s="320">
        <f>VLOOKUP($C912,'SWR Fittings'!$E$5:$I2469,5,0)</f>
        <v>210.2</v>
      </c>
      <c r="H912" s="320"/>
      <c r="I912" s="320"/>
      <c r="J912" s="320"/>
      <c r="K912" s="320"/>
      <c r="L912" s="320"/>
      <c r="M912" s="320"/>
      <c r="N912" s="320"/>
      <c r="O912" s="320"/>
    </row>
    <row r="913">
      <c r="A913" s="32">
        <f t="shared" si="1"/>
        <v>912</v>
      </c>
      <c r="B913" s="9" t="s">
        <v>2144</v>
      </c>
      <c r="C913" s="460" t="s">
        <v>1991</v>
      </c>
      <c r="D913" s="215" t="s">
        <v>1989</v>
      </c>
      <c r="E913" s="18">
        <f>VLOOKUP($C913,'SWR Fittings'!$E$5:$I2469,3,0)</f>
        <v>0.032</v>
      </c>
      <c r="F913" s="320" t="str">
        <f>VLOOKUP($C913,'SWR Fittings'!$E$5:$I2469,2,0)</f>
        <v>NEW</v>
      </c>
      <c r="G913" s="320">
        <f>VLOOKUP($C913,'SWR Fittings'!$E$5:$I2469,5,0)</f>
        <v>38</v>
      </c>
      <c r="H913" s="320"/>
      <c r="I913" s="320"/>
      <c r="J913" s="320"/>
      <c r="K913" s="320"/>
      <c r="L913" s="320"/>
      <c r="M913" s="320"/>
      <c r="N913" s="320"/>
      <c r="O913" s="320"/>
    </row>
    <row r="914">
      <c r="A914" s="32">
        <f t="shared" si="1"/>
        <v>913</v>
      </c>
      <c r="B914" s="9" t="s">
        <v>2144</v>
      </c>
      <c r="C914" s="460" t="s">
        <v>1994</v>
      </c>
      <c r="D914" s="215" t="s">
        <v>1989</v>
      </c>
      <c r="E914" s="18">
        <f>VLOOKUP($C914,'SWR Fittings'!$E$5:$I2469,3,0)</f>
        <v>0.076</v>
      </c>
      <c r="F914" s="320" t="str">
        <f>VLOOKUP($C914,'SWR Fittings'!$E$5:$I2469,2,0)</f>
        <v>NEW</v>
      </c>
      <c r="G914" s="320">
        <f>VLOOKUP($C914,'SWR Fittings'!$E$5:$I2469,5,0)</f>
        <v>48</v>
      </c>
      <c r="H914" s="320"/>
      <c r="I914" s="320"/>
      <c r="J914" s="320"/>
      <c r="K914" s="320"/>
      <c r="L914" s="320"/>
      <c r="M914" s="320"/>
      <c r="N914" s="320"/>
      <c r="O914" s="320"/>
    </row>
    <row r="915">
      <c r="A915" s="32">
        <f t="shared" si="1"/>
        <v>914</v>
      </c>
      <c r="B915" s="9" t="s">
        <v>2144</v>
      </c>
      <c r="C915" s="460" t="s">
        <v>1995</v>
      </c>
      <c r="D915" s="215" t="s">
        <v>1989</v>
      </c>
      <c r="E915" s="18">
        <f>VLOOKUP($C915,'SWR Fittings'!$E$5:$I2469,3,0)</f>
        <v>0.296</v>
      </c>
      <c r="F915" s="320" t="str">
        <f>VLOOKUP($C915,'SWR Fittings'!$E$5:$I2469,2,0)</f>
        <v>NEW</v>
      </c>
      <c r="G915" s="320">
        <f>VLOOKUP($C915,'SWR Fittings'!$E$5:$I2469,5,0)</f>
        <v>78</v>
      </c>
      <c r="H915" s="320"/>
      <c r="I915" s="320"/>
      <c r="J915" s="320"/>
      <c r="K915" s="320"/>
      <c r="L915" s="320"/>
      <c r="M915" s="320"/>
      <c r="N915" s="320"/>
      <c r="O915" s="320"/>
    </row>
    <row r="916">
      <c r="A916" s="32">
        <f t="shared" si="1"/>
        <v>915</v>
      </c>
      <c r="B916" s="9" t="s">
        <v>2144</v>
      </c>
      <c r="C916" s="419" t="s">
        <v>2431</v>
      </c>
      <c r="D916" s="12" t="s">
        <v>2233</v>
      </c>
      <c r="E916" s="18">
        <f>VLOOKUP($C916,'SWR Fittings'!$E$5:$I2469,3,0)</f>
        <v>0.098</v>
      </c>
      <c r="F916" s="320">
        <f>VLOOKUP($C916,'SWR Fittings'!$E$5:$I2469,2,0)</f>
        <v>52</v>
      </c>
      <c r="G916" s="320">
        <f>VLOOKUP($C916,'SWR Fittings'!$E$5:$I2469,5,0)</f>
        <v>52</v>
      </c>
      <c r="H916" s="320"/>
      <c r="I916" s="320"/>
      <c r="J916" s="320"/>
      <c r="K916" s="320"/>
      <c r="L916" s="320"/>
      <c r="M916" s="320"/>
      <c r="N916" s="320"/>
      <c r="O916" s="320"/>
    </row>
    <row r="917">
      <c r="A917" s="32">
        <f t="shared" si="1"/>
        <v>916</v>
      </c>
      <c r="B917" s="9" t="s">
        <v>2144</v>
      </c>
      <c r="C917" s="419" t="s">
        <v>2435</v>
      </c>
      <c r="D917" s="12" t="s">
        <v>2236</v>
      </c>
      <c r="E917" s="18">
        <f>VLOOKUP($C917,'SWR Fittings'!$E$5:$I2469,3,0)</f>
        <v>0.137</v>
      </c>
      <c r="F917" s="320">
        <f>VLOOKUP($C917,'SWR Fittings'!$E$5:$I2469,2,0)</f>
        <v>72</v>
      </c>
      <c r="G917" s="320">
        <f>VLOOKUP($C917,'SWR Fittings'!$E$5:$I2469,5,0)</f>
        <v>72</v>
      </c>
      <c r="H917" s="320"/>
      <c r="I917" s="320"/>
      <c r="J917" s="320"/>
      <c r="K917" s="320"/>
      <c r="L917" s="320"/>
      <c r="M917" s="320"/>
      <c r="N917" s="320"/>
      <c r="O917" s="320"/>
    </row>
    <row r="918">
      <c r="A918" s="32">
        <f t="shared" si="1"/>
        <v>917</v>
      </c>
      <c r="B918" s="9" t="s">
        <v>2144</v>
      </c>
      <c r="C918" s="419" t="s">
        <v>2436</v>
      </c>
      <c r="D918" s="12" t="s">
        <v>2240</v>
      </c>
      <c r="E918" s="18">
        <f>VLOOKUP($C918,'SWR Fittings'!$E$5:$I2469,3,0)</f>
        <v>0.177</v>
      </c>
      <c r="F918" s="320">
        <f>VLOOKUP($C918,'SWR Fittings'!$E$5:$I2469,2,0)</f>
        <v>94</v>
      </c>
      <c r="G918" s="320">
        <f>VLOOKUP($C918,'SWR Fittings'!$E$5:$I2469,5,0)</f>
        <v>94</v>
      </c>
      <c r="H918" s="320"/>
      <c r="I918" s="320"/>
      <c r="J918" s="320"/>
      <c r="K918" s="320"/>
      <c r="L918" s="320"/>
      <c r="M918" s="320"/>
      <c r="N918" s="320"/>
      <c r="O918" s="320"/>
    </row>
    <row r="919">
      <c r="A919" s="32">
        <f t="shared" si="1"/>
        <v>918</v>
      </c>
      <c r="B919" s="9" t="s">
        <v>2144</v>
      </c>
      <c r="C919" s="419" t="s">
        <v>2438</v>
      </c>
      <c r="D919" s="12" t="s">
        <v>2242</v>
      </c>
      <c r="E919" s="18">
        <f>VLOOKUP($C919,'SWR Fittings'!$E$5:$I2469,3,0)</f>
        <v>0</v>
      </c>
      <c r="F919" s="320">
        <f>VLOOKUP($C919,'SWR Fittings'!$E$5:$I2469,2,0)</f>
        <v>198</v>
      </c>
      <c r="G919" s="320">
        <f>VLOOKUP($C919,'SWR Fittings'!$E$5:$I2469,5,0)</f>
        <v>198</v>
      </c>
      <c r="H919" s="320"/>
      <c r="I919" s="320"/>
      <c r="J919" s="320"/>
      <c r="K919" s="320"/>
      <c r="L919" s="320"/>
      <c r="M919" s="320"/>
      <c r="N919" s="320"/>
      <c r="O919" s="320"/>
    </row>
    <row r="920">
      <c r="A920" s="32">
        <f t="shared" si="1"/>
        <v>919</v>
      </c>
      <c r="B920" s="9" t="s">
        <v>2144</v>
      </c>
      <c r="C920" s="419" t="s">
        <v>2442</v>
      </c>
      <c r="D920" s="12" t="s">
        <v>2605</v>
      </c>
      <c r="E920" s="18">
        <f>VLOOKUP($C920,'SWR Fittings'!$E$5:$I2469,3,0)</f>
        <v>0.251</v>
      </c>
      <c r="F920" s="320">
        <f>VLOOKUP($C920,'SWR Fittings'!$E$5:$I2469,2,0)</f>
        <v>123</v>
      </c>
      <c r="G920" s="320">
        <f>VLOOKUP($C920,'SWR Fittings'!$E$5:$I2469,5,0)</f>
        <v>123</v>
      </c>
      <c r="H920" s="320"/>
      <c r="I920" s="320"/>
      <c r="J920" s="320"/>
      <c r="K920" s="320"/>
      <c r="L920" s="320"/>
      <c r="M920" s="320"/>
      <c r="N920" s="320"/>
      <c r="O920" s="320"/>
    </row>
    <row r="921">
      <c r="A921" s="32">
        <f t="shared" si="1"/>
        <v>920</v>
      </c>
      <c r="B921" s="9" t="s">
        <v>2144</v>
      </c>
      <c r="C921" s="419" t="s">
        <v>2444</v>
      </c>
      <c r="D921" s="12" t="s">
        <v>2607</v>
      </c>
      <c r="E921" s="18">
        <f>VLOOKUP($C921,'SWR Fittings'!$E$5:$I2469,3,0)</f>
        <v>0.324</v>
      </c>
      <c r="F921" s="320">
        <f>VLOOKUP($C921,'SWR Fittings'!$E$5:$I2469,2,0)</f>
        <v>160</v>
      </c>
      <c r="G921" s="320">
        <f>VLOOKUP($C921,'SWR Fittings'!$E$5:$I2469,5,0)</f>
        <v>160</v>
      </c>
      <c r="H921" s="320"/>
      <c r="I921" s="320"/>
      <c r="J921" s="320"/>
      <c r="K921" s="320"/>
      <c r="L921" s="320"/>
      <c r="M921" s="320"/>
      <c r="N921" s="320"/>
      <c r="O921" s="320"/>
    </row>
    <row r="922">
      <c r="A922" s="32">
        <f t="shared" si="1"/>
        <v>921</v>
      </c>
      <c r="B922" s="9" t="s">
        <v>2144</v>
      </c>
      <c r="C922" s="419" t="s">
        <v>2445</v>
      </c>
      <c r="D922" s="12" t="s">
        <v>2612</v>
      </c>
      <c r="E922" s="18">
        <f>VLOOKUP($C922,'SWR Fittings'!$E$5:$I2469,3,0)</f>
        <v>0.4525</v>
      </c>
      <c r="F922" s="320">
        <f>VLOOKUP($C922,'SWR Fittings'!$E$5:$I2469,2,0)</f>
        <v>222</v>
      </c>
      <c r="G922" s="320">
        <f>VLOOKUP($C922,'SWR Fittings'!$E$5:$I2469,5,0)</f>
        <v>222</v>
      </c>
      <c r="H922" s="320"/>
      <c r="I922" s="320"/>
      <c r="J922" s="320"/>
      <c r="K922" s="320"/>
      <c r="L922" s="320"/>
      <c r="M922" s="320"/>
      <c r="N922" s="320"/>
      <c r="O922" s="320"/>
    </row>
    <row r="923">
      <c r="A923" s="32">
        <f t="shared" si="1"/>
        <v>922</v>
      </c>
      <c r="B923" s="9" t="s">
        <v>2144</v>
      </c>
      <c r="C923" s="419" t="s">
        <v>2447</v>
      </c>
      <c r="D923" s="12" t="s">
        <v>2614</v>
      </c>
      <c r="E923" s="18">
        <f>VLOOKUP($C923,'SWR Fittings'!$E$5:$I2469,3,0)</f>
        <v>1.151</v>
      </c>
      <c r="F923" s="320">
        <f>VLOOKUP($C923,'SWR Fittings'!$E$5:$I2469,2,0)</f>
        <v>564</v>
      </c>
      <c r="G923" s="320">
        <f>VLOOKUP($C923,'SWR Fittings'!$E$5:$I2469,5,0)</f>
        <v>564</v>
      </c>
      <c r="H923" s="320"/>
      <c r="I923" s="320"/>
      <c r="J923" s="320"/>
      <c r="K923" s="320"/>
      <c r="L923" s="320"/>
      <c r="M923" s="320"/>
      <c r="N923" s="320"/>
      <c r="O923" s="320"/>
    </row>
    <row r="924">
      <c r="A924" s="32">
        <f t="shared" si="1"/>
        <v>923</v>
      </c>
      <c r="B924" s="9" t="s">
        <v>2144</v>
      </c>
      <c r="C924" s="419" t="s">
        <v>2450</v>
      </c>
      <c r="D924" s="12" t="s">
        <v>2615</v>
      </c>
      <c r="E924" s="18">
        <f>VLOOKUP($C924,'SWR Fittings'!$E$5:$I2469,3,0)</f>
        <v>0.269</v>
      </c>
      <c r="F924" s="320">
        <f>VLOOKUP($C924,'SWR Fittings'!$E$5:$I2469,2,0)</f>
        <v>138</v>
      </c>
      <c r="G924" s="320">
        <f>VLOOKUP($C924,'SWR Fittings'!$E$5:$I2469,5,0)</f>
        <v>138</v>
      </c>
      <c r="H924" s="320"/>
      <c r="I924" s="320"/>
      <c r="J924" s="320"/>
      <c r="K924" s="320"/>
      <c r="L924" s="320"/>
      <c r="M924" s="320"/>
      <c r="N924" s="320"/>
      <c r="O924" s="320"/>
    </row>
    <row r="925">
      <c r="A925" s="32">
        <f t="shared" si="1"/>
        <v>924</v>
      </c>
      <c r="B925" s="9" t="s">
        <v>2144</v>
      </c>
      <c r="C925" s="419" t="s">
        <v>2453</v>
      </c>
      <c r="D925" s="12" t="s">
        <v>2619</v>
      </c>
      <c r="E925" s="18">
        <f>VLOOKUP($C925,'SWR Fittings'!$E$5:$I2469,3,0)</f>
        <v>0.339</v>
      </c>
      <c r="F925" s="320">
        <f>VLOOKUP($C925,'SWR Fittings'!$E$5:$I2469,2,0)</f>
        <v>178</v>
      </c>
      <c r="G925" s="320">
        <f>VLOOKUP($C925,'SWR Fittings'!$E$5:$I2469,5,0)</f>
        <v>178</v>
      </c>
      <c r="H925" s="320"/>
      <c r="I925" s="320"/>
      <c r="J925" s="320"/>
      <c r="K925" s="320"/>
      <c r="L925" s="320"/>
      <c r="M925" s="320"/>
      <c r="N925" s="320"/>
      <c r="O925" s="320"/>
    </row>
    <row r="926">
      <c r="A926" s="32">
        <f t="shared" si="1"/>
        <v>925</v>
      </c>
      <c r="B926" s="9" t="s">
        <v>2144</v>
      </c>
      <c r="C926" s="419" t="s">
        <v>2454</v>
      </c>
      <c r="D926" s="12" t="s">
        <v>2623</v>
      </c>
      <c r="E926" s="18">
        <f>VLOOKUP($C926,'SWR Fittings'!$E$5:$I2469,3,0)</f>
        <v>0.485</v>
      </c>
      <c r="F926" s="320">
        <f>VLOOKUP($C926,'SWR Fittings'!$E$5:$I2469,2,0)</f>
        <v>248</v>
      </c>
      <c r="G926" s="320">
        <f>VLOOKUP($C926,'SWR Fittings'!$E$5:$I2469,5,0)</f>
        <v>248</v>
      </c>
      <c r="H926" s="320"/>
      <c r="I926" s="320"/>
      <c r="J926" s="320"/>
      <c r="K926" s="320"/>
      <c r="L926" s="320"/>
      <c r="M926" s="320"/>
      <c r="N926" s="320"/>
      <c r="O926" s="320"/>
    </row>
    <row r="927">
      <c r="A927" s="32">
        <f t="shared" si="1"/>
        <v>926</v>
      </c>
      <c r="B927" s="9" t="s">
        <v>2144</v>
      </c>
      <c r="C927" s="419" t="s">
        <v>2456</v>
      </c>
      <c r="D927" s="12" t="s">
        <v>2625</v>
      </c>
      <c r="E927" s="18">
        <f>VLOOKUP($C927,'SWR Fittings'!$E$5:$I2469,3,0)</f>
        <v>1.142</v>
      </c>
      <c r="F927" s="320">
        <f>VLOOKUP($C927,'SWR Fittings'!$E$5:$I2469,2,0)</f>
        <v>585</v>
      </c>
      <c r="G927" s="320">
        <f>VLOOKUP($C927,'SWR Fittings'!$E$5:$I2469,5,0)</f>
        <v>585</v>
      </c>
      <c r="H927" s="320"/>
      <c r="I927" s="320"/>
      <c r="J927" s="320"/>
      <c r="K927" s="320"/>
      <c r="L927" s="320"/>
      <c r="M927" s="320"/>
      <c r="N927" s="320"/>
      <c r="O927" s="320"/>
    </row>
    <row r="928">
      <c r="A928" s="32">
        <f t="shared" si="1"/>
        <v>927</v>
      </c>
      <c r="B928" s="9" t="s">
        <v>2144</v>
      </c>
      <c r="C928" s="419" t="s">
        <v>2460</v>
      </c>
      <c r="D928" s="12" t="s">
        <v>2437</v>
      </c>
      <c r="E928" s="18">
        <f>VLOOKUP($C928,'SWR Fittings'!$E$5:$I2469,3,0)</f>
        <v>0.308</v>
      </c>
      <c r="F928" s="320">
        <f>VLOOKUP($C928,'SWR Fittings'!$E$5:$I2469,2,0)</f>
        <v>152</v>
      </c>
      <c r="G928" s="320">
        <f>VLOOKUP($C928,'SWR Fittings'!$E$5:$I2469,5,0)</f>
        <v>152</v>
      </c>
      <c r="H928" s="320"/>
      <c r="I928" s="320"/>
      <c r="J928" s="320"/>
      <c r="K928" s="320"/>
      <c r="L928" s="320"/>
      <c r="M928" s="320"/>
      <c r="N928" s="320"/>
      <c r="O928" s="320"/>
    </row>
    <row r="929">
      <c r="A929" s="32">
        <f t="shared" si="1"/>
        <v>928</v>
      </c>
      <c r="B929" s="9" t="s">
        <v>2144</v>
      </c>
      <c r="C929" s="419" t="s">
        <v>2462</v>
      </c>
      <c r="D929" s="12" t="s">
        <v>2441</v>
      </c>
      <c r="E929" s="18">
        <f>VLOOKUP($C929,'SWR Fittings'!$E$5:$I2469,3,0)</f>
        <v>0.401</v>
      </c>
      <c r="F929" s="320">
        <f>VLOOKUP($C929,'SWR Fittings'!$E$5:$I2469,2,0)</f>
        <v>197</v>
      </c>
      <c r="G929" s="320">
        <f>VLOOKUP($C929,'SWR Fittings'!$E$5:$I2469,5,0)</f>
        <v>197</v>
      </c>
      <c r="H929" s="320"/>
      <c r="I929" s="320"/>
      <c r="J929" s="320"/>
      <c r="K929" s="320"/>
      <c r="L929" s="320"/>
      <c r="M929" s="320"/>
      <c r="N929" s="320"/>
      <c r="O929" s="320"/>
    </row>
    <row r="930">
      <c r="A930" s="32">
        <f t="shared" si="1"/>
        <v>929</v>
      </c>
      <c r="B930" s="9" t="s">
        <v>2144</v>
      </c>
      <c r="C930" s="419" t="s">
        <v>2465</v>
      </c>
      <c r="D930" s="12" t="s">
        <v>2443</v>
      </c>
      <c r="E930" s="18">
        <f>VLOOKUP($C930,'SWR Fittings'!$E$5:$I2469,3,0)</f>
        <v>0.6</v>
      </c>
      <c r="F930" s="320">
        <f>VLOOKUP($C930,'SWR Fittings'!$E$5:$I2469,2,0)</f>
        <v>284</v>
      </c>
      <c r="G930" s="320">
        <f>VLOOKUP($C930,'SWR Fittings'!$E$5:$I2469,5,0)</f>
        <v>284</v>
      </c>
      <c r="H930" s="320"/>
      <c r="I930" s="320"/>
      <c r="J930" s="320"/>
      <c r="K930" s="320"/>
      <c r="L930" s="320"/>
      <c r="M930" s="320"/>
      <c r="N930" s="320"/>
      <c r="O930" s="320"/>
    </row>
    <row r="931">
      <c r="A931" s="32">
        <f t="shared" si="1"/>
        <v>930</v>
      </c>
      <c r="B931" s="9" t="s">
        <v>2144</v>
      </c>
      <c r="C931" s="419" t="s">
        <v>2466</v>
      </c>
      <c r="D931" s="12" t="s">
        <v>2446</v>
      </c>
      <c r="E931" s="18">
        <f>VLOOKUP($C931,'SWR Fittings'!$E$5:$I2469,3,0)</f>
        <v>1.513</v>
      </c>
      <c r="F931" s="320">
        <f>VLOOKUP($C931,'SWR Fittings'!$E$5:$I2469,2,0)</f>
        <v>738</v>
      </c>
      <c r="G931" s="320">
        <f>VLOOKUP($C931,'SWR Fittings'!$E$5:$I2469,5,0)</f>
        <v>738</v>
      </c>
      <c r="H931" s="320"/>
      <c r="I931" s="320"/>
      <c r="J931" s="320"/>
      <c r="K931" s="320"/>
      <c r="L931" s="320"/>
      <c r="M931" s="320"/>
      <c r="N931" s="320"/>
      <c r="O931" s="320"/>
    </row>
    <row r="932">
      <c r="A932" s="32">
        <f t="shared" si="1"/>
        <v>931</v>
      </c>
      <c r="B932" s="9" t="s">
        <v>2144</v>
      </c>
      <c r="C932" s="419" t="s">
        <v>2471</v>
      </c>
      <c r="D932" s="12" t="s">
        <v>2400</v>
      </c>
      <c r="E932" s="18">
        <f>VLOOKUP($C932,'SWR Fittings'!$E$5:$I2469,3,0)</f>
        <v>0.317</v>
      </c>
      <c r="F932" s="320">
        <f>VLOOKUP($C932,'SWR Fittings'!$E$5:$I2469,2,0)</f>
        <v>162</v>
      </c>
      <c r="G932" s="320">
        <f>VLOOKUP($C932,'SWR Fittings'!$E$5:$I2469,5,0)</f>
        <v>162</v>
      </c>
      <c r="H932" s="320"/>
      <c r="I932" s="320"/>
      <c r="J932" s="320"/>
      <c r="K932" s="320"/>
      <c r="L932" s="320"/>
      <c r="M932" s="320"/>
      <c r="N932" s="320"/>
      <c r="O932" s="320"/>
    </row>
    <row r="933">
      <c r="A933" s="32">
        <f t="shared" si="1"/>
        <v>932</v>
      </c>
      <c r="B933" s="9" t="s">
        <v>2144</v>
      </c>
      <c r="C933" s="419" t="s">
        <v>2475</v>
      </c>
      <c r="D933" s="12" t="s">
        <v>2403</v>
      </c>
      <c r="E933" s="18">
        <f>VLOOKUP($C933,'SWR Fittings'!$E$5:$I2469,3,0)</f>
        <v>0.412</v>
      </c>
      <c r="F933" s="320">
        <f>VLOOKUP($C933,'SWR Fittings'!$E$5:$I2469,2,0)</f>
        <v>218</v>
      </c>
      <c r="G933" s="320">
        <f>VLOOKUP($C933,'SWR Fittings'!$E$5:$I2469,5,0)</f>
        <v>218</v>
      </c>
      <c r="H933" s="320"/>
      <c r="I933" s="320"/>
      <c r="J933" s="320"/>
      <c r="K933" s="320"/>
      <c r="L933" s="320"/>
      <c r="M933" s="320"/>
      <c r="N933" s="320"/>
      <c r="O933" s="320"/>
    </row>
    <row r="934">
      <c r="A934" s="32">
        <f t="shared" si="1"/>
        <v>933</v>
      </c>
      <c r="B934" s="9" t="s">
        <v>2144</v>
      </c>
      <c r="C934" s="419" t="s">
        <v>2480</v>
      </c>
      <c r="D934" s="12" t="s">
        <v>2405</v>
      </c>
      <c r="E934" s="18">
        <f>VLOOKUP($C934,'SWR Fittings'!$E$5:$I2469,3,0)</f>
        <v>0.614</v>
      </c>
      <c r="F934" s="320">
        <f>VLOOKUP($C934,'SWR Fittings'!$E$5:$I2469,2,0)</f>
        <v>318</v>
      </c>
      <c r="G934" s="320">
        <f>VLOOKUP($C934,'SWR Fittings'!$E$5:$I2469,5,0)</f>
        <v>318</v>
      </c>
      <c r="H934" s="320"/>
      <c r="I934" s="320"/>
      <c r="J934" s="320"/>
      <c r="K934" s="320"/>
      <c r="L934" s="320"/>
      <c r="M934" s="320"/>
      <c r="N934" s="320"/>
      <c r="O934" s="320"/>
    </row>
    <row r="935">
      <c r="A935" s="32">
        <f t="shared" si="1"/>
        <v>934</v>
      </c>
      <c r="B935" s="9" t="s">
        <v>2144</v>
      </c>
      <c r="C935" s="419" t="s">
        <v>2484</v>
      </c>
      <c r="D935" s="12" t="s">
        <v>2407</v>
      </c>
      <c r="E935" s="18">
        <f>VLOOKUP($C935,'SWR Fittings'!$E$5:$I2469,3,0)</f>
        <v>1.514</v>
      </c>
      <c r="F935" s="320">
        <f>VLOOKUP($C935,'SWR Fittings'!$E$5:$I2469,2,0)</f>
        <v>778</v>
      </c>
      <c r="G935" s="320">
        <f>VLOOKUP($C935,'SWR Fittings'!$E$5:$I2469,5,0)</f>
        <v>778</v>
      </c>
      <c r="H935" s="320"/>
      <c r="I935" s="320"/>
      <c r="J935" s="320"/>
      <c r="K935" s="320"/>
      <c r="L935" s="320"/>
      <c r="M935" s="320"/>
      <c r="N935" s="320"/>
      <c r="O935" s="320"/>
    </row>
    <row r="936">
      <c r="A936" s="32">
        <f t="shared" si="1"/>
        <v>935</v>
      </c>
      <c r="B936" s="9" t="s">
        <v>81</v>
      </c>
      <c r="C936" s="78" t="s">
        <v>1914</v>
      </c>
      <c r="D936" s="12" t="s">
        <v>2641</v>
      </c>
      <c r="E936" s="320">
        <f>VLOOKUP($C936,'AGRI PIPE'!$E$5:$I2469,3,0)</f>
        <v>3.65</v>
      </c>
      <c r="F936" s="320">
        <f>VLOOKUP($C936,'AGRI PIPE'!$E$5:$I2469,2,0)</f>
        <v>990</v>
      </c>
      <c r="G936" s="320">
        <f>VLOOKUP($C936,'AGRI PIPE'!$E$5:$I2469,5,0)</f>
        <v>990</v>
      </c>
      <c r="H936" s="320"/>
      <c r="I936" s="320"/>
      <c r="J936" s="320"/>
      <c r="K936" s="320"/>
      <c r="L936" s="320"/>
      <c r="M936" s="320"/>
      <c r="N936" s="320"/>
      <c r="O936" s="320"/>
    </row>
    <row r="937">
      <c r="A937" s="32">
        <f t="shared" si="1"/>
        <v>936</v>
      </c>
      <c r="B937" s="9" t="s">
        <v>81</v>
      </c>
      <c r="C937" s="78" t="s">
        <v>1920</v>
      </c>
      <c r="D937" s="12" t="s">
        <v>2642</v>
      </c>
      <c r="E937" s="320">
        <f>VLOOKUP($C937,'AGRI PIPE'!$E$5:$I2469,3,0)</f>
        <v>5.35</v>
      </c>
      <c r="F937" s="320">
        <f>VLOOKUP($C937,'AGRI PIPE'!$E$5:$I2469,2,0)</f>
        <v>1480</v>
      </c>
      <c r="G937" s="320">
        <f>VLOOKUP($C937,'AGRI PIPE'!$E$5:$I2469,5,0)</f>
        <v>1480</v>
      </c>
      <c r="H937" s="320"/>
      <c r="I937" s="320"/>
      <c r="J937" s="320"/>
      <c r="K937" s="320"/>
      <c r="L937" s="320"/>
      <c r="M937" s="320"/>
      <c r="N937" s="320"/>
      <c r="O937" s="320"/>
    </row>
    <row r="938">
      <c r="A938" s="32">
        <f t="shared" si="1"/>
        <v>937</v>
      </c>
      <c r="B938" s="9" t="s">
        <v>81</v>
      </c>
      <c r="C938" s="78" t="s">
        <v>1925</v>
      </c>
      <c r="D938" s="12" t="s">
        <v>2643</v>
      </c>
      <c r="E938" s="320">
        <f>VLOOKUP($C938,'AGRI PIPE'!$E$5:$I2469,3,0)</f>
        <v>6.8</v>
      </c>
      <c r="F938" s="320">
        <f>VLOOKUP($C938,'AGRI PIPE'!$E$5:$I2469,2,0)</f>
        <v>1870</v>
      </c>
      <c r="G938" s="320">
        <f>VLOOKUP($C938,'AGRI PIPE'!$E$5:$I2469,5,0)</f>
        <v>1870</v>
      </c>
      <c r="H938" s="320"/>
      <c r="I938" s="320"/>
      <c r="J938" s="320"/>
      <c r="K938" s="320"/>
      <c r="L938" s="320"/>
      <c r="M938" s="320"/>
      <c r="N938" s="320"/>
      <c r="O938" s="320"/>
    </row>
    <row r="939">
      <c r="A939" s="32">
        <f t="shared" si="1"/>
        <v>938</v>
      </c>
      <c r="B939" s="9" t="s">
        <v>81</v>
      </c>
      <c r="C939" s="78" t="s">
        <v>1926</v>
      </c>
      <c r="D939" s="12" t="s">
        <v>2644</v>
      </c>
      <c r="E939" s="320">
        <f>VLOOKUP($C939,'AGRI PIPE'!$E$5:$I2469,3,0)</f>
        <v>8.4</v>
      </c>
      <c r="F939" s="320">
        <f>VLOOKUP($C939,'AGRI PIPE'!$E$5:$I2469,2,0)</f>
        <v>2290</v>
      </c>
      <c r="G939" s="320">
        <f>VLOOKUP($C939,'AGRI PIPE'!$E$5:$I2469,5,0)</f>
        <v>2290</v>
      </c>
      <c r="H939" s="320"/>
      <c r="I939" s="320"/>
      <c r="J939" s="320"/>
      <c r="K939" s="320"/>
      <c r="L939" s="320"/>
      <c r="M939" s="320"/>
      <c r="N939" s="320"/>
      <c r="O939" s="320"/>
    </row>
    <row r="940">
      <c r="A940" s="32">
        <f t="shared" si="1"/>
        <v>939</v>
      </c>
      <c r="B940" s="9" t="s">
        <v>81</v>
      </c>
      <c r="C940" s="78" t="s">
        <v>1927</v>
      </c>
      <c r="D940" s="12" t="s">
        <v>2657</v>
      </c>
      <c r="E940" s="320">
        <f>VLOOKUP($C940,'AGRI PIPE'!$E$5:$I2469,3,0)</f>
        <v>11.25</v>
      </c>
      <c r="F940" s="320">
        <f>VLOOKUP($C940,'AGRI PIPE'!$E$5:$I2469,2,0)</f>
        <v>3090</v>
      </c>
      <c r="G940" s="320">
        <f>VLOOKUP($C940,'AGRI PIPE'!$E$5:$I2469,5,0)</f>
        <v>3090</v>
      </c>
      <c r="H940" s="320"/>
      <c r="I940" s="320"/>
      <c r="J940" s="320"/>
      <c r="K940" s="320"/>
      <c r="L940" s="320"/>
      <c r="M940" s="320"/>
      <c r="N940" s="320"/>
      <c r="O940" s="320"/>
    </row>
    <row r="941">
      <c r="A941" s="32">
        <f t="shared" si="1"/>
        <v>940</v>
      </c>
      <c r="B941" s="9" t="s">
        <v>81</v>
      </c>
      <c r="C941" s="78" t="s">
        <v>1929</v>
      </c>
      <c r="D941" s="12" t="s">
        <v>2665</v>
      </c>
      <c r="E941" s="320">
        <f>VLOOKUP($C941,'AGRI PIPE'!$E$5:$I2469,3,0)</f>
        <v>14.5</v>
      </c>
      <c r="F941" s="320">
        <f>VLOOKUP($C941,'AGRI PIPE'!$E$5:$I2469,2,0)</f>
        <v>3940</v>
      </c>
      <c r="G941" s="320">
        <f>VLOOKUP($C941,'AGRI PIPE'!$E$5:$I2469,5,0)</f>
        <v>3940</v>
      </c>
      <c r="H941" s="320"/>
      <c r="I941" s="320"/>
      <c r="J941" s="320"/>
      <c r="K941" s="320"/>
      <c r="L941" s="320"/>
      <c r="M941" s="320"/>
      <c r="N941" s="320"/>
      <c r="O941" s="320"/>
    </row>
    <row r="942">
      <c r="A942" s="32">
        <f t="shared" si="1"/>
        <v>941</v>
      </c>
      <c r="B942" s="9" t="s">
        <v>81</v>
      </c>
      <c r="C942" s="78" t="s">
        <v>1930</v>
      </c>
      <c r="D942" s="12" t="s">
        <v>2670</v>
      </c>
      <c r="E942" s="320">
        <f>VLOOKUP($C942,'AGRI PIPE'!$E$5:$I2469,3,0)</f>
        <v>17.8</v>
      </c>
      <c r="F942" s="320">
        <f>VLOOKUP($C942,'AGRI PIPE'!$E$5:$I2469,2,0)</f>
        <v>4890</v>
      </c>
      <c r="G942" s="320">
        <f>VLOOKUP($C942,'AGRI PIPE'!$E$5:$I2469,5,0)</f>
        <v>4890</v>
      </c>
      <c r="H942" s="320"/>
      <c r="I942" s="320"/>
      <c r="J942" s="320"/>
      <c r="K942" s="320"/>
      <c r="L942" s="320"/>
      <c r="M942" s="320"/>
      <c r="N942" s="320"/>
      <c r="O942" s="320"/>
    </row>
    <row r="943">
      <c r="A943" s="32">
        <f t="shared" si="1"/>
        <v>942</v>
      </c>
      <c r="B943" s="9" t="s">
        <v>81</v>
      </c>
      <c r="C943" s="78" t="s">
        <v>1933</v>
      </c>
      <c r="D943" s="12" t="s">
        <v>2678</v>
      </c>
      <c r="E943" s="320">
        <f>VLOOKUP($C943,'AGRI PIPE'!$E$5:$I2469,3,0)</f>
        <v>2.95</v>
      </c>
      <c r="F943" s="320">
        <f>VLOOKUP($C943,'AGRI PIPE'!$E$5:$I2469,2,0)</f>
        <v>796</v>
      </c>
      <c r="G943" s="320">
        <f>VLOOKUP($C943,'AGRI PIPE'!$E$5:$I2469,5,0)</f>
        <v>796</v>
      </c>
      <c r="H943" s="320"/>
      <c r="I943" s="320"/>
      <c r="J943" s="320"/>
      <c r="K943" s="320"/>
      <c r="L943" s="320"/>
      <c r="M943" s="320"/>
      <c r="N943" s="320"/>
      <c r="O943" s="320"/>
    </row>
    <row r="944">
      <c r="A944" s="32">
        <f t="shared" si="1"/>
        <v>943</v>
      </c>
      <c r="B944" s="9" t="s">
        <v>81</v>
      </c>
      <c r="C944" s="78" t="s">
        <v>1936</v>
      </c>
      <c r="D944" s="12" t="s">
        <v>2689</v>
      </c>
      <c r="E944" s="320">
        <f>VLOOKUP($C944,'AGRI PIPE'!$E$5:$I2469,3,0)</f>
        <v>4.1</v>
      </c>
      <c r="F944" s="320">
        <f>VLOOKUP($C944,'AGRI PIPE'!$E$5:$I2469,2,0)</f>
        <v>1096</v>
      </c>
      <c r="G944" s="320">
        <f>VLOOKUP($C944,'AGRI PIPE'!$E$5:$I2469,5,0)</f>
        <v>1096</v>
      </c>
      <c r="H944" s="320"/>
      <c r="I944" s="320"/>
      <c r="J944" s="320"/>
      <c r="K944" s="320"/>
      <c r="L944" s="320"/>
      <c r="M944" s="320"/>
      <c r="N944" s="320"/>
      <c r="O944" s="320"/>
    </row>
    <row r="945">
      <c r="A945" s="32">
        <f t="shared" si="1"/>
        <v>944</v>
      </c>
      <c r="B945" s="9" t="s">
        <v>81</v>
      </c>
      <c r="C945" s="78" t="s">
        <v>1938</v>
      </c>
      <c r="D945" s="12" t="s">
        <v>2701</v>
      </c>
      <c r="E945" s="320">
        <f>VLOOKUP($C945,'AGRI PIPE'!$E$5:$I2469,3,0)</f>
        <v>5.55</v>
      </c>
      <c r="F945" s="320">
        <f>VLOOKUP($C945,'AGRI PIPE'!$E$5:$I2469,2,0)</f>
        <v>1496</v>
      </c>
      <c r="G945" s="320">
        <f>VLOOKUP($C945,'AGRI PIPE'!$E$5:$I2469,5,0)</f>
        <v>1496</v>
      </c>
      <c r="H945" s="320"/>
      <c r="I945" s="320"/>
      <c r="J945" s="320"/>
      <c r="K945" s="320"/>
      <c r="L945" s="320"/>
      <c r="M945" s="320"/>
      <c r="N945" s="320"/>
      <c r="O945" s="320"/>
    </row>
    <row r="946">
      <c r="A946" s="32">
        <f t="shared" si="1"/>
        <v>945</v>
      </c>
      <c r="B946" s="9" t="s">
        <v>81</v>
      </c>
      <c r="C946" s="78" t="s">
        <v>1940</v>
      </c>
      <c r="D946" s="12" t="s">
        <v>2710</v>
      </c>
      <c r="E946" s="320">
        <f>VLOOKUP($C946,'AGRI PIPE'!$E$5:$I2469,3,0)</f>
        <v>8</v>
      </c>
      <c r="F946" s="320">
        <f>VLOOKUP($C946,'AGRI PIPE'!$E$5:$I2469,2,0)</f>
        <v>2196</v>
      </c>
      <c r="G946" s="320">
        <f>VLOOKUP($C946,'AGRI PIPE'!$E$5:$I2469,5,0)</f>
        <v>2196</v>
      </c>
      <c r="H946" s="320"/>
      <c r="I946" s="320"/>
      <c r="J946" s="320"/>
      <c r="K946" s="320"/>
      <c r="L946" s="320"/>
      <c r="M946" s="320"/>
      <c r="N946" s="320"/>
      <c r="O946" s="320"/>
    </row>
    <row r="947">
      <c r="A947" s="32">
        <f t="shared" si="1"/>
        <v>946</v>
      </c>
      <c r="B947" s="9" t="s">
        <v>81</v>
      </c>
      <c r="C947" s="78" t="s">
        <v>1942</v>
      </c>
      <c r="D947" s="12" t="s">
        <v>2728</v>
      </c>
      <c r="E947" s="320">
        <f>VLOOKUP($C947,'AGRI PIPE'!$E$5:$I2469,3,0)</f>
        <v>10.5</v>
      </c>
      <c r="F947" s="320">
        <f>VLOOKUP($C947,'AGRI PIPE'!$E$5:$I2469,2,0)</f>
        <v>2896</v>
      </c>
      <c r="G947" s="320">
        <f>VLOOKUP($C947,'AGRI PIPE'!$E$5:$I2469,5,0)</f>
        <v>2896</v>
      </c>
      <c r="H947" s="320"/>
      <c r="I947" s="320"/>
      <c r="J947" s="320"/>
      <c r="K947" s="320"/>
      <c r="L947" s="320"/>
      <c r="M947" s="320"/>
      <c r="N947" s="320"/>
      <c r="O947" s="320"/>
    </row>
    <row r="948">
      <c r="A948" s="32">
        <f t="shared" si="1"/>
        <v>947</v>
      </c>
      <c r="B948" s="9" t="s">
        <v>81</v>
      </c>
      <c r="C948" s="78" t="s">
        <v>1943</v>
      </c>
      <c r="D948" s="12" t="s">
        <v>2739</v>
      </c>
      <c r="E948" s="320">
        <f>VLOOKUP($C948,'AGRI PIPE'!$E$5:$I2469,3,0)</f>
        <v>12.7</v>
      </c>
      <c r="F948" s="320">
        <f>VLOOKUP($C948,'AGRI PIPE'!$E$5:$I2469,2,0)</f>
        <v>3648</v>
      </c>
      <c r="G948" s="320">
        <f>VLOOKUP($C948,'AGRI PIPE'!$E$5:$I2469,5,0)</f>
        <v>3648</v>
      </c>
      <c r="H948" s="320"/>
      <c r="I948" s="320"/>
      <c r="J948" s="320"/>
      <c r="K948" s="320"/>
      <c r="L948" s="320"/>
      <c r="M948" s="320"/>
      <c r="N948" s="320"/>
      <c r="O948" s="320"/>
    </row>
    <row r="949">
      <c r="A949" s="32">
        <f t="shared" si="1"/>
        <v>948</v>
      </c>
      <c r="B949" s="9" t="s">
        <v>81</v>
      </c>
      <c r="C949" s="78" t="s">
        <v>1944</v>
      </c>
      <c r="D949" s="12" t="s">
        <v>2746</v>
      </c>
      <c r="E949" s="320">
        <f>VLOOKUP($C949,'AGRI PIPE'!$E$5:$I2469,3,0)</f>
        <v>17.5</v>
      </c>
      <c r="F949" s="320">
        <f>VLOOKUP($C949,'AGRI PIPE'!$E$5:$I2469,2,0)</f>
        <v>4790</v>
      </c>
      <c r="G949" s="320">
        <f>VLOOKUP($C949,'AGRI PIPE'!$E$5:$I2469,5,0)</f>
        <v>4790</v>
      </c>
      <c r="H949" s="320"/>
      <c r="I949" s="320"/>
      <c r="J949" s="320"/>
      <c r="K949" s="320"/>
      <c r="L949" s="320"/>
      <c r="M949" s="320"/>
      <c r="N949" s="320"/>
      <c r="O949" s="320"/>
    </row>
    <row r="950">
      <c r="A950" s="32">
        <f t="shared" si="1"/>
        <v>949</v>
      </c>
      <c r="B950" s="9" t="s">
        <v>81</v>
      </c>
      <c r="C950" s="78" t="s">
        <v>1945</v>
      </c>
      <c r="D950" s="12" t="s">
        <v>2747</v>
      </c>
      <c r="E950" s="320">
        <f>VLOOKUP($C950,'AGRI PIPE'!$E$5:$I2469,3,0)</f>
        <v>22</v>
      </c>
      <c r="F950" s="320">
        <f>VLOOKUP($C950,'AGRI PIPE'!$E$5:$I2469,2,0)</f>
        <v>6096</v>
      </c>
      <c r="G950" s="320">
        <f>VLOOKUP($C950,'AGRI PIPE'!$E$5:$I2469,5,0)</f>
        <v>6096</v>
      </c>
      <c r="H950" s="320"/>
      <c r="I950" s="320"/>
      <c r="J950" s="320"/>
      <c r="K950" s="320"/>
      <c r="L950" s="320"/>
      <c r="M950" s="320"/>
      <c r="N950" s="320"/>
      <c r="O950" s="320"/>
    </row>
    <row r="951">
      <c r="A951" s="32">
        <f t="shared" si="1"/>
        <v>950</v>
      </c>
      <c r="B951" s="9" t="s">
        <v>81</v>
      </c>
      <c r="C951" s="78" t="s">
        <v>1946</v>
      </c>
      <c r="D951" s="12" t="s">
        <v>2750</v>
      </c>
      <c r="E951" s="320">
        <f>VLOOKUP($C951,'AGRI PIPE'!$E$5:$I2469,3,0)</f>
        <v>26.5</v>
      </c>
      <c r="F951" s="320">
        <f>VLOOKUP($C951,'AGRI PIPE'!$E$5:$I2469,2,0)</f>
        <v>7368</v>
      </c>
      <c r="G951" s="320">
        <f>VLOOKUP($C951,'AGRI PIPE'!$E$5:$I2469,5,0)</f>
        <v>7368</v>
      </c>
      <c r="H951" s="320"/>
      <c r="I951" s="320"/>
      <c r="J951" s="320"/>
      <c r="K951" s="320"/>
      <c r="L951" s="320"/>
      <c r="M951" s="320"/>
      <c r="N951" s="320"/>
      <c r="O951" s="320"/>
    </row>
    <row r="952">
      <c r="A952" s="32">
        <f t="shared" si="1"/>
        <v>951</v>
      </c>
      <c r="B952" s="9" t="s">
        <v>81</v>
      </c>
      <c r="C952" s="78" t="s">
        <v>1949</v>
      </c>
      <c r="D952" s="12" t="s">
        <v>2751</v>
      </c>
      <c r="E952" s="320">
        <f>VLOOKUP($C952,'AGRI PIPE'!$E$5:$I2469,3,0)</f>
        <v>1.7</v>
      </c>
      <c r="F952" s="320">
        <f>VLOOKUP($C952,'AGRI PIPE'!$E$5:$I2469,2,0)</f>
        <v>464</v>
      </c>
      <c r="G952" s="320">
        <f>VLOOKUP($C952,'AGRI PIPE'!$E$5:$I2469,5,0)</f>
        <v>464</v>
      </c>
      <c r="H952" s="320"/>
      <c r="I952" s="320"/>
      <c r="J952" s="320"/>
      <c r="K952" s="320"/>
      <c r="L952" s="320"/>
      <c r="M952" s="320"/>
      <c r="N952" s="320"/>
      <c r="O952" s="320"/>
    </row>
    <row r="953">
      <c r="A953" s="32">
        <f t="shared" si="1"/>
        <v>952</v>
      </c>
      <c r="B953" s="9" t="s">
        <v>81</v>
      </c>
      <c r="C953" s="78" t="s">
        <v>1950</v>
      </c>
      <c r="D953" s="12" t="s">
        <v>2754</v>
      </c>
      <c r="E953" s="320">
        <f>VLOOKUP($C953,'AGRI PIPE'!$E$5:$I2469,3,0)</f>
        <v>2.55</v>
      </c>
      <c r="F953" s="320">
        <f>VLOOKUP($C953,'AGRI PIPE'!$E$5:$I2469,2,0)</f>
        <v>694</v>
      </c>
      <c r="G953" s="320">
        <f>VLOOKUP($C953,'AGRI PIPE'!$E$5:$I2469,5,0)</f>
        <v>694</v>
      </c>
      <c r="H953" s="320"/>
      <c r="I953" s="320"/>
      <c r="J953" s="320"/>
      <c r="K953" s="320"/>
      <c r="L953" s="320"/>
      <c r="M953" s="320"/>
      <c r="N953" s="320"/>
      <c r="O953" s="320"/>
    </row>
    <row r="954">
      <c r="A954" s="32">
        <f t="shared" si="1"/>
        <v>953</v>
      </c>
      <c r="B954" s="9" t="s">
        <v>81</v>
      </c>
      <c r="C954" s="78" t="s">
        <v>1952</v>
      </c>
      <c r="D954" s="12" t="s">
        <v>2756</v>
      </c>
      <c r="E954" s="320">
        <f>VLOOKUP($C954,'AGRI PIPE'!$E$5:$I2469,3,0)</f>
        <v>4.05</v>
      </c>
      <c r="F954" s="320">
        <f>VLOOKUP($C954,'AGRI PIPE'!$E$5:$I2469,2,0)</f>
        <v>1094</v>
      </c>
      <c r="G954" s="320">
        <f>VLOOKUP($C954,'AGRI PIPE'!$E$5:$I2469,5,0)</f>
        <v>1094</v>
      </c>
      <c r="H954" s="320"/>
      <c r="I954" s="320"/>
      <c r="J954" s="320"/>
      <c r="K954" s="320"/>
      <c r="L954" s="320"/>
      <c r="M954" s="320"/>
      <c r="N954" s="320"/>
      <c r="O954" s="320"/>
    </row>
    <row r="955">
      <c r="A955" s="32">
        <f t="shared" si="1"/>
        <v>954</v>
      </c>
      <c r="B955" s="9" t="s">
        <v>81</v>
      </c>
      <c r="C955" s="78" t="s">
        <v>1953</v>
      </c>
      <c r="D955" s="12" t="s">
        <v>2757</v>
      </c>
      <c r="E955" s="320">
        <f>VLOOKUP($C955,'AGRI PIPE'!$E$5:$I2469,3,0)</f>
        <v>5.75</v>
      </c>
      <c r="F955" s="320">
        <f>VLOOKUP($C955,'AGRI PIPE'!$E$5:$I2469,2,0)</f>
        <v>1528</v>
      </c>
      <c r="G955" s="320">
        <f>VLOOKUP($C955,'AGRI PIPE'!$E$5:$I2469,5,0)</f>
        <v>1528</v>
      </c>
      <c r="H955" s="320"/>
      <c r="I955" s="320"/>
      <c r="J955" s="320"/>
      <c r="K955" s="320"/>
      <c r="L955" s="320"/>
      <c r="M955" s="320"/>
      <c r="N955" s="320"/>
      <c r="O955" s="320"/>
    </row>
    <row r="956">
      <c r="A956" s="32">
        <f t="shared" si="1"/>
        <v>955</v>
      </c>
      <c r="B956" s="9" t="s">
        <v>81</v>
      </c>
      <c r="C956" s="78" t="s">
        <v>1954</v>
      </c>
      <c r="D956" s="12" t="s">
        <v>2758</v>
      </c>
      <c r="E956" s="320">
        <f>VLOOKUP($C956,'AGRI PIPE'!$E$5:$I2469,3,0)</f>
        <v>8.1</v>
      </c>
      <c r="F956" s="320">
        <f>VLOOKUP($C956,'AGRI PIPE'!$E$5:$I2469,2,0)</f>
        <v>2148</v>
      </c>
      <c r="G956" s="320">
        <f>VLOOKUP($C956,'AGRI PIPE'!$E$5:$I2469,5,0)</f>
        <v>2148</v>
      </c>
      <c r="H956" s="320"/>
      <c r="I956" s="320"/>
      <c r="J956" s="320"/>
      <c r="K956" s="320"/>
      <c r="L956" s="320"/>
      <c r="M956" s="320"/>
      <c r="N956" s="320"/>
      <c r="O956" s="320"/>
    </row>
    <row r="957">
      <c r="A957" s="32">
        <f t="shared" si="1"/>
        <v>956</v>
      </c>
      <c r="B957" s="9" t="s">
        <v>81</v>
      </c>
      <c r="C957" s="78" t="s">
        <v>1956</v>
      </c>
      <c r="D957" s="12" t="s">
        <v>2759</v>
      </c>
      <c r="E957" s="320">
        <f>VLOOKUP($C957,'AGRI PIPE'!$E$5:$I2469,3,0)</f>
        <v>11.3</v>
      </c>
      <c r="F957" s="320">
        <f>VLOOKUP($C957,'AGRI PIPE'!$E$5:$I2469,2,0)</f>
        <v>3148</v>
      </c>
      <c r="G957" s="320">
        <f>VLOOKUP($C957,'AGRI PIPE'!$E$5:$I2469,5,0)</f>
        <v>3148</v>
      </c>
      <c r="H957" s="320"/>
      <c r="I957" s="320"/>
      <c r="J957" s="320"/>
      <c r="K957" s="320"/>
      <c r="L957" s="320"/>
      <c r="M957" s="320"/>
      <c r="N957" s="320"/>
      <c r="O957" s="320"/>
    </row>
    <row r="958">
      <c r="A958" s="32">
        <f t="shared" si="1"/>
        <v>957</v>
      </c>
      <c r="B958" s="9" t="s">
        <v>81</v>
      </c>
      <c r="C958" s="78" t="s">
        <v>1957</v>
      </c>
      <c r="D958" s="12" t="s">
        <v>2760</v>
      </c>
      <c r="E958" s="320">
        <f>VLOOKUP($C958,'AGRI PIPE'!$E$5:$I2469,3,0)</f>
        <v>15.4</v>
      </c>
      <c r="F958" s="320">
        <f>VLOOKUP($C958,'AGRI PIPE'!$E$5:$I2469,2,0)</f>
        <v>4188</v>
      </c>
      <c r="G958" s="320">
        <f>VLOOKUP($C958,'AGRI PIPE'!$E$5:$I2469,5,0)</f>
        <v>4188</v>
      </c>
      <c r="H958" s="320"/>
      <c r="I958" s="320"/>
      <c r="J958" s="320"/>
      <c r="K958" s="320"/>
      <c r="L958" s="320"/>
      <c r="M958" s="320"/>
      <c r="N958" s="320"/>
      <c r="O958" s="320"/>
    </row>
    <row r="959">
      <c r="A959" s="32">
        <f t="shared" si="1"/>
        <v>958</v>
      </c>
      <c r="B959" s="9" t="s">
        <v>81</v>
      </c>
      <c r="C959" s="78" t="s">
        <v>1958</v>
      </c>
      <c r="D959" s="12" t="s">
        <v>2761</v>
      </c>
      <c r="E959" s="320">
        <f>VLOOKUP($C959,'AGRI PIPE'!$E$5:$I2469,3,0)</f>
        <v>18.5</v>
      </c>
      <c r="F959" s="320">
        <f>VLOOKUP($C959,'AGRI PIPE'!$E$5:$I2469,2,0)</f>
        <v>5228</v>
      </c>
      <c r="G959" s="320">
        <f>VLOOKUP($C959,'AGRI PIPE'!$E$5:$I2469,5,0)</f>
        <v>5228</v>
      </c>
      <c r="H959" s="320"/>
      <c r="I959" s="320"/>
      <c r="J959" s="320"/>
      <c r="K959" s="320"/>
      <c r="L959" s="320"/>
      <c r="M959" s="320"/>
      <c r="N959" s="320"/>
      <c r="O959" s="320"/>
    </row>
    <row r="960">
      <c r="A960" s="32">
        <f t="shared" si="1"/>
        <v>959</v>
      </c>
      <c r="B960" s="9" t="s">
        <v>81</v>
      </c>
      <c r="C960" s="78" t="s">
        <v>1960</v>
      </c>
      <c r="D960" s="12" t="s">
        <v>2762</v>
      </c>
      <c r="E960" s="320">
        <f>VLOOKUP($C960,'AGRI PIPE'!$E$5:$I2469,3,0)</f>
        <v>24.5</v>
      </c>
      <c r="F960" s="320">
        <f>VLOOKUP($C960,'AGRI PIPE'!$E$5:$I2469,2,0)</f>
        <v>6696</v>
      </c>
      <c r="G960" s="320">
        <f>VLOOKUP($C960,'AGRI PIPE'!$E$5:$I2469,5,0)</f>
        <v>6696</v>
      </c>
      <c r="H960" s="320"/>
      <c r="I960" s="320"/>
      <c r="J960" s="320"/>
      <c r="K960" s="320"/>
      <c r="L960" s="320"/>
      <c r="M960" s="320"/>
      <c r="N960" s="320"/>
      <c r="O960" s="320"/>
    </row>
    <row r="961">
      <c r="A961" s="32">
        <f t="shared" si="1"/>
        <v>960</v>
      </c>
      <c r="B961" s="9" t="s">
        <v>81</v>
      </c>
      <c r="C961" s="78" t="s">
        <v>1961</v>
      </c>
      <c r="D961" s="12" t="s">
        <v>2763</v>
      </c>
      <c r="E961" s="320">
        <f>VLOOKUP($C961,'AGRI PIPE'!$E$5:$I2469,3,0)</f>
        <v>30.65</v>
      </c>
      <c r="F961" s="320">
        <f>VLOOKUP($C961,'AGRI PIPE'!$E$5:$I2469,2,0)</f>
        <v>8496</v>
      </c>
      <c r="G961" s="320">
        <f>VLOOKUP($C961,'AGRI PIPE'!$E$5:$I2469,5,0)</f>
        <v>8496</v>
      </c>
      <c r="H961" s="320"/>
      <c r="I961" s="320"/>
      <c r="J961" s="320"/>
      <c r="K961" s="320"/>
      <c r="L961" s="320"/>
      <c r="M961" s="320"/>
      <c r="N961" s="320"/>
      <c r="O961" s="320"/>
    </row>
    <row r="962">
      <c r="A962" s="32">
        <f t="shared" si="1"/>
        <v>961</v>
      </c>
      <c r="B962" s="9" t="s">
        <v>81</v>
      </c>
      <c r="C962" s="78" t="s">
        <v>1962</v>
      </c>
      <c r="D962" s="12" t="s">
        <v>2764</v>
      </c>
      <c r="E962" s="320">
        <f>VLOOKUP($C962,'AGRI PIPE'!$E$5:$I2469,3,0)</f>
        <v>37.65</v>
      </c>
      <c r="F962" s="320">
        <f>VLOOKUP($C962,'AGRI PIPE'!$E$5:$I2469,2,0)</f>
        <v>10488</v>
      </c>
      <c r="G962" s="320">
        <f>VLOOKUP($C962,'AGRI PIPE'!$E$5:$I2469,5,0)</f>
        <v>10488</v>
      </c>
      <c r="H962" s="320"/>
      <c r="I962" s="320"/>
      <c r="J962" s="320"/>
      <c r="K962" s="320"/>
      <c r="L962" s="320"/>
      <c r="M962" s="320"/>
      <c r="N962" s="320"/>
      <c r="O962" s="320"/>
    </row>
    <row r="963">
      <c r="A963" s="32">
        <f t="shared" si="1"/>
        <v>962</v>
      </c>
      <c r="B963" s="9" t="s">
        <v>81</v>
      </c>
      <c r="C963" s="78" t="s">
        <v>1964</v>
      </c>
      <c r="D963" s="12" t="s">
        <v>2765</v>
      </c>
      <c r="E963" s="320">
        <f>VLOOKUP($C963,'AGRI PIPE'!$E$5:$I2469,3,0)</f>
        <v>0.68</v>
      </c>
      <c r="F963" s="320">
        <f>VLOOKUP($C963,'AGRI PIPE'!$E$5:$I2469,2,0)</f>
        <v>222</v>
      </c>
      <c r="G963" s="320">
        <f>VLOOKUP($C963,'AGRI PIPE'!$E$5:$I2469,5,0)</f>
        <v>196</v>
      </c>
      <c r="H963" s="320"/>
      <c r="I963" s="320"/>
      <c r="J963" s="320"/>
      <c r="K963" s="320"/>
      <c r="L963" s="320"/>
      <c r="M963" s="320"/>
      <c r="N963" s="320"/>
      <c r="O963" s="320"/>
    </row>
    <row r="964">
      <c r="A964" s="32">
        <f t="shared" si="1"/>
        <v>963</v>
      </c>
      <c r="B964" s="9" t="s">
        <v>81</v>
      </c>
      <c r="C964" s="78" t="s">
        <v>1965</v>
      </c>
      <c r="D964" s="12" t="s">
        <v>2766</v>
      </c>
      <c r="E964" s="320">
        <f>VLOOKUP($C964,'AGRI PIPE'!$E$5:$I2469,3,0)</f>
        <v>1.05</v>
      </c>
      <c r="F964" s="320">
        <f>VLOOKUP($C964,'AGRI PIPE'!$E$5:$I2469,2,0)</f>
        <v>284</v>
      </c>
      <c r="G964" s="320">
        <f>VLOOKUP($C964,'AGRI PIPE'!$E$5:$I2469,5,0)</f>
        <v>294</v>
      </c>
      <c r="H964" s="320"/>
      <c r="I964" s="320"/>
      <c r="J964" s="320"/>
      <c r="K964" s="320"/>
      <c r="L964" s="320"/>
      <c r="M964" s="320"/>
      <c r="N964" s="320"/>
      <c r="O964" s="320"/>
    </row>
    <row r="965">
      <c r="A965" s="32">
        <f t="shared" si="1"/>
        <v>964</v>
      </c>
      <c r="B965" s="9" t="s">
        <v>81</v>
      </c>
      <c r="C965" s="78" t="s">
        <v>1967</v>
      </c>
      <c r="D965" s="12" t="s">
        <v>2767</v>
      </c>
      <c r="E965" s="320">
        <f>VLOOKUP($C965,'AGRI PIPE'!$E$5:$I2469,3,0)</f>
        <v>1.69</v>
      </c>
      <c r="F965" s="320">
        <f>VLOOKUP($C965,'AGRI PIPE'!$E$5:$I2469,2,0)</f>
        <v>448</v>
      </c>
      <c r="G965" s="320">
        <f>VLOOKUP($C965,'AGRI PIPE'!$E$5:$I2469,5,0)</f>
        <v>468</v>
      </c>
      <c r="H965" s="320"/>
      <c r="I965" s="320"/>
      <c r="J965" s="320"/>
      <c r="K965" s="320"/>
      <c r="L965" s="320"/>
      <c r="M965" s="320"/>
      <c r="N965" s="320"/>
      <c r="O965" s="320"/>
    </row>
    <row r="966">
      <c r="A966" s="32">
        <f t="shared" si="1"/>
        <v>965</v>
      </c>
      <c r="B966" s="9" t="s">
        <v>81</v>
      </c>
      <c r="C966" s="78" t="s">
        <v>1968</v>
      </c>
      <c r="D966" s="12" t="s">
        <v>2768</v>
      </c>
      <c r="E966" s="320">
        <f>VLOOKUP($C966,'AGRI PIPE'!$E$5:$I2469,3,0)</f>
        <v>2.59</v>
      </c>
      <c r="F966" s="320">
        <f>VLOOKUP($C966,'AGRI PIPE'!$E$5:$I2469,2,0)</f>
        <v>684</v>
      </c>
      <c r="G966" s="320">
        <f>VLOOKUP($C966,'AGRI PIPE'!$E$5:$I2469,5,0)</f>
        <v>716</v>
      </c>
      <c r="H966" s="320"/>
      <c r="I966" s="320"/>
      <c r="J966" s="320"/>
      <c r="K966" s="320"/>
      <c r="L966" s="320"/>
      <c r="M966" s="320"/>
      <c r="N966" s="320"/>
      <c r="O966" s="320"/>
    </row>
    <row r="967">
      <c r="A967" s="32">
        <f t="shared" si="1"/>
        <v>966</v>
      </c>
      <c r="B967" s="9" t="s">
        <v>81</v>
      </c>
      <c r="C967" s="78" t="s">
        <v>1969</v>
      </c>
      <c r="D967" s="12" t="s">
        <v>2769</v>
      </c>
      <c r="E967" s="320">
        <f>VLOOKUP($C967,'AGRI PIPE'!$E$5:$I2469,3,0)</f>
        <v>4.5</v>
      </c>
      <c r="F967" s="320">
        <f>VLOOKUP($C967,'AGRI PIPE'!$E$5:$I2469,2,0)</f>
        <v>1068</v>
      </c>
      <c r="G967" s="320">
        <f>VLOOKUP($C967,'AGRI PIPE'!$E$5:$I2469,5,0)</f>
        <v>1240</v>
      </c>
      <c r="H967" s="320"/>
      <c r="I967" s="320"/>
      <c r="J967" s="320"/>
      <c r="K967" s="320"/>
      <c r="L967" s="320"/>
      <c r="M967" s="320"/>
      <c r="N967" s="320"/>
      <c r="O967" s="320"/>
    </row>
    <row r="968">
      <c r="A968" s="32">
        <f t="shared" si="1"/>
        <v>967</v>
      </c>
      <c r="B968" s="9" t="s">
        <v>81</v>
      </c>
      <c r="C968" s="78" t="s">
        <v>1970</v>
      </c>
      <c r="D968" s="12" t="s">
        <v>2770</v>
      </c>
      <c r="E968" s="320">
        <f>VLOOKUP($C968,'AGRI PIPE'!$E$5:$I2469,3,0)</f>
        <v>6.35</v>
      </c>
      <c r="F968" s="320">
        <f>VLOOKUP($C968,'AGRI PIPE'!$E$5:$I2469,2,0)</f>
        <v>1648</v>
      </c>
      <c r="G968" s="320">
        <f>VLOOKUP($C968,'AGRI PIPE'!$E$5:$I2469,5,0)</f>
        <v>1784</v>
      </c>
      <c r="H968" s="320"/>
      <c r="I968" s="320"/>
      <c r="J968" s="320"/>
      <c r="K968" s="320"/>
      <c r="L968" s="320"/>
      <c r="M968" s="320"/>
      <c r="N968" s="320"/>
      <c r="O968" s="320"/>
    </row>
    <row r="969">
      <c r="A969" s="32">
        <f t="shared" si="1"/>
        <v>968</v>
      </c>
      <c r="B969" s="9" t="s">
        <v>81</v>
      </c>
      <c r="C969" s="78" t="s">
        <v>1972</v>
      </c>
      <c r="D969" s="12" t="s">
        <v>2771</v>
      </c>
      <c r="E969" s="320">
        <f>VLOOKUP($C969,'AGRI PIPE'!$E$5:$I2469,3,0)</f>
        <v>9.1</v>
      </c>
      <c r="F969" s="320">
        <f>VLOOKUP($C969,'AGRI PIPE'!$E$5:$I2469,2,0)</f>
        <v>2348</v>
      </c>
      <c r="G969" s="320">
        <f>VLOOKUP($C969,'AGRI PIPE'!$E$5:$I2469,5,0)</f>
        <v>2480</v>
      </c>
      <c r="H969" s="320"/>
      <c r="I969" s="320"/>
      <c r="J969" s="320"/>
      <c r="K969" s="320"/>
      <c r="L969" s="320"/>
      <c r="M969" s="320"/>
      <c r="N969" s="320"/>
      <c r="O969" s="320"/>
    </row>
    <row r="970">
      <c r="A970" s="32">
        <f t="shared" si="1"/>
        <v>969</v>
      </c>
      <c r="B970" s="9" t="s">
        <v>81</v>
      </c>
      <c r="C970" s="78" t="s">
        <v>1973</v>
      </c>
      <c r="D970" s="12" t="s">
        <v>2772</v>
      </c>
      <c r="E970" s="320">
        <f>VLOOKUP($C970,'AGRI PIPE'!$E$5:$I2469,3,0)</f>
        <v>12.8</v>
      </c>
      <c r="F970" s="320">
        <f>VLOOKUP($C970,'AGRI PIPE'!$E$5:$I2469,2,0)</f>
        <v>3348</v>
      </c>
      <c r="G970" s="320">
        <f>VLOOKUP($C970,'AGRI PIPE'!$E$5:$I2469,5,0)</f>
        <v>3496</v>
      </c>
      <c r="H970" s="320"/>
      <c r="I970" s="320"/>
      <c r="J970" s="320"/>
      <c r="K970" s="320"/>
      <c r="L970" s="320"/>
      <c r="M970" s="320"/>
      <c r="N970" s="320"/>
      <c r="O970" s="320"/>
    </row>
    <row r="971">
      <c r="A971" s="32">
        <f t="shared" si="1"/>
        <v>970</v>
      </c>
      <c r="B971" s="9" t="s">
        <v>81</v>
      </c>
      <c r="C971" s="78" t="s">
        <v>1986</v>
      </c>
      <c r="D971" s="12" t="s">
        <v>2773</v>
      </c>
      <c r="E971" s="320">
        <f>VLOOKUP($C971,'AGRI PIPE'!$E$5:$I2469,3,0)</f>
        <v>19.3</v>
      </c>
      <c r="F971" s="320">
        <f>VLOOKUP($C971,'AGRI PIPE'!$E$5:$I2469,2,0)</f>
        <v>4986</v>
      </c>
      <c r="G971" s="320">
        <f>VLOOKUP($C971,'AGRI PIPE'!$E$5:$I2469,5,0)</f>
        <v>5340</v>
      </c>
      <c r="H971" s="320"/>
      <c r="I971" s="320"/>
      <c r="J971" s="320"/>
      <c r="K971" s="320"/>
      <c r="L971" s="320"/>
      <c r="M971" s="320"/>
      <c r="N971" s="320"/>
      <c r="O971" s="320"/>
    </row>
    <row r="972">
      <c r="A972" s="32">
        <f t="shared" si="1"/>
        <v>971</v>
      </c>
      <c r="B972" s="9" t="s">
        <v>81</v>
      </c>
      <c r="C972" s="78" t="s">
        <v>1988</v>
      </c>
      <c r="D972" s="12" t="s">
        <v>2774</v>
      </c>
      <c r="E972" s="320">
        <f>VLOOKUP($C972,'AGRI PIPE'!$E$5:$I2469,3,0)</f>
        <v>24.8</v>
      </c>
      <c r="F972" s="320">
        <f>VLOOKUP($C972,'AGRI PIPE'!$E$5:$I2469,2,0)</f>
        <v>6480</v>
      </c>
      <c r="G972" s="320">
        <f>VLOOKUP($C972,'AGRI PIPE'!$E$5:$I2469,5,0)</f>
        <v>6680</v>
      </c>
      <c r="H972" s="320"/>
      <c r="I972" s="320"/>
      <c r="J972" s="320"/>
      <c r="K972" s="320"/>
      <c r="L972" s="320"/>
      <c r="M972" s="320"/>
      <c r="N972" s="320"/>
      <c r="O972" s="320"/>
    </row>
    <row r="973">
      <c r="A973" s="32">
        <f t="shared" si="1"/>
        <v>972</v>
      </c>
      <c r="B973" s="9" t="s">
        <v>81</v>
      </c>
      <c r="C973" s="78" t="s">
        <v>1990</v>
      </c>
      <c r="D973" s="12" t="s">
        <v>2775</v>
      </c>
      <c r="E973" s="320">
        <f>VLOOKUP($C973,'AGRI PIPE'!$E$5:$I2469,3,0)</f>
        <v>31.1</v>
      </c>
      <c r="F973" s="320">
        <f>VLOOKUP($C973,'AGRI PIPE'!$E$5:$I2469,2,0)</f>
        <v>7980</v>
      </c>
      <c r="G973" s="320">
        <f>VLOOKUP($C973,'AGRI PIPE'!$E$5:$I2469,5,0)</f>
        <v>8580</v>
      </c>
      <c r="H973" s="320"/>
      <c r="I973" s="320"/>
      <c r="J973" s="320"/>
      <c r="K973" s="320"/>
      <c r="L973" s="320"/>
      <c r="M973" s="320"/>
      <c r="N973" s="320"/>
      <c r="O973" s="320"/>
    </row>
    <row r="974">
      <c r="A974" s="32">
        <f t="shared" si="1"/>
        <v>973</v>
      </c>
      <c r="B974" s="9" t="s">
        <v>81</v>
      </c>
      <c r="C974" s="78" t="s">
        <v>1992</v>
      </c>
      <c r="D974" s="12" t="s">
        <v>2776</v>
      </c>
      <c r="E974" s="320">
        <f>VLOOKUP($C974,'AGRI PIPE'!$E$5:$I2469,3,0)</f>
        <v>40.6</v>
      </c>
      <c r="F974" s="320">
        <f>VLOOKUP($C974,'AGRI PIPE'!$E$5:$I2469,2,0)</f>
        <v>10480</v>
      </c>
      <c r="G974" s="320">
        <f>VLOOKUP($C974,'AGRI PIPE'!$E$5:$I2469,5,0)</f>
        <v>10980</v>
      </c>
      <c r="H974" s="320"/>
      <c r="I974" s="320"/>
      <c r="J974" s="320"/>
      <c r="K974" s="320"/>
      <c r="L974" s="320"/>
      <c r="M974" s="320"/>
      <c r="N974" s="320"/>
      <c r="O974" s="320"/>
    </row>
    <row r="975">
      <c r="A975" s="32">
        <f t="shared" si="1"/>
        <v>974</v>
      </c>
      <c r="B975" s="9" t="s">
        <v>81</v>
      </c>
      <c r="C975" s="78" t="s">
        <v>1993</v>
      </c>
      <c r="D975" s="12" t="s">
        <v>2777</v>
      </c>
      <c r="E975" s="320">
        <f>VLOOKUP($C975,'AGRI PIPE'!$E$5:$I2469,3,0)</f>
        <v>51.3</v>
      </c>
      <c r="F975" s="320">
        <f>VLOOKUP($C975,'AGRI PIPE'!$E$5:$I2469,2,0)</f>
        <v>13380</v>
      </c>
      <c r="G975" s="320">
        <f>VLOOKUP($C975,'AGRI PIPE'!$E$5:$I2469,5,0)</f>
        <v>13980</v>
      </c>
      <c r="H975" s="320"/>
      <c r="I975" s="320"/>
      <c r="J975" s="320"/>
      <c r="K975" s="320"/>
      <c r="L975" s="320"/>
      <c r="M975" s="320"/>
      <c r="N975" s="320"/>
      <c r="O975" s="320"/>
    </row>
    <row r="976">
      <c r="A976" s="32">
        <f t="shared" si="1"/>
        <v>975</v>
      </c>
      <c r="B976" s="9" t="s">
        <v>81</v>
      </c>
      <c r="C976" s="78" t="s">
        <v>1997</v>
      </c>
      <c r="D976" s="12" t="s">
        <v>2778</v>
      </c>
      <c r="E976" s="320">
        <f>VLOOKUP($C976,'AGRI PIPE'!$E$5:$I2469,3,0)</f>
        <v>63.5</v>
      </c>
      <c r="F976" s="320">
        <f>VLOOKUP($C976,'AGRI PIPE'!$E$5:$I2469,2,0)</f>
        <v>16480</v>
      </c>
      <c r="G976" s="320">
        <f>VLOOKUP($C976,'AGRI PIPE'!$E$5:$I2469,5,0)</f>
        <v>17380</v>
      </c>
      <c r="H976" s="320"/>
      <c r="I976" s="320"/>
      <c r="J976" s="320"/>
      <c r="K976" s="320"/>
      <c r="L976" s="320"/>
      <c r="M976" s="320"/>
      <c r="N976" s="320"/>
      <c r="O976" s="320"/>
    </row>
    <row r="977">
      <c r="A977" s="32">
        <f t="shared" si="1"/>
        <v>976</v>
      </c>
      <c r="B977" s="9" t="s">
        <v>81</v>
      </c>
      <c r="C977" s="78" t="s">
        <v>2004</v>
      </c>
      <c r="D977" s="12" t="s">
        <v>2779</v>
      </c>
      <c r="E977" s="320">
        <f>VLOOKUP($C977,'AGRI PIPE'!$E$5:$I2469,3,0)</f>
        <v>3.041666667</v>
      </c>
      <c r="F977" s="320">
        <f>VLOOKUP($C977,'AGRI PIPE'!$E$5:$I2469,2,0)</f>
        <v>825</v>
      </c>
      <c r="G977" s="320">
        <f>VLOOKUP($C977,'AGRI PIPE'!$E$5:$I2469,5,0)</f>
        <v>825</v>
      </c>
      <c r="H977" s="320"/>
      <c r="I977" s="320"/>
      <c r="J977" s="320"/>
      <c r="K977" s="320"/>
      <c r="L977" s="320"/>
      <c r="M977" s="320"/>
      <c r="N977" s="320"/>
      <c r="O977" s="320"/>
    </row>
    <row r="978">
      <c r="A978" s="32">
        <f t="shared" si="1"/>
        <v>977</v>
      </c>
      <c r="B978" s="9" t="s">
        <v>81</v>
      </c>
      <c r="C978" s="78" t="s">
        <v>2009</v>
      </c>
      <c r="D978" s="12" t="s">
        <v>2780</v>
      </c>
      <c r="E978" s="320">
        <f>VLOOKUP($C978,'AGRI PIPE'!$E$5:$I2469,3,0)</f>
        <v>4.458333333</v>
      </c>
      <c r="F978" s="320">
        <f>VLOOKUP($C978,'AGRI PIPE'!$E$5:$I2469,2,0)</f>
        <v>1233</v>
      </c>
      <c r="G978" s="320">
        <f>VLOOKUP($C978,'AGRI PIPE'!$E$5:$I2469,5,0)</f>
        <v>1233</v>
      </c>
      <c r="H978" s="320"/>
      <c r="I978" s="320"/>
      <c r="J978" s="320"/>
      <c r="K978" s="320"/>
      <c r="L978" s="320"/>
      <c r="M978" s="320"/>
      <c r="N978" s="320"/>
      <c r="O978" s="320"/>
    </row>
    <row r="979">
      <c r="A979" s="32">
        <f t="shared" si="1"/>
        <v>978</v>
      </c>
      <c r="B979" s="9" t="s">
        <v>81</v>
      </c>
      <c r="C979" s="78" t="s">
        <v>2012</v>
      </c>
      <c r="D979" s="12" t="s">
        <v>2781</v>
      </c>
      <c r="E979" s="320">
        <f>VLOOKUP($C979,'AGRI PIPE'!$E$5:$I2469,3,0)</f>
        <v>5.666666667</v>
      </c>
      <c r="F979" s="320">
        <f>VLOOKUP($C979,'AGRI PIPE'!$E$5:$I2469,2,0)</f>
        <v>1558</v>
      </c>
      <c r="G979" s="320">
        <f>VLOOKUP($C979,'AGRI PIPE'!$E$5:$I2469,5,0)</f>
        <v>1558</v>
      </c>
      <c r="H979" s="320"/>
      <c r="I979" s="320"/>
      <c r="J979" s="320"/>
      <c r="K979" s="320"/>
      <c r="L979" s="320"/>
      <c r="M979" s="320"/>
      <c r="N979" s="320"/>
      <c r="O979" s="320"/>
    </row>
    <row r="980">
      <c r="A980" s="32">
        <f t="shared" si="1"/>
        <v>979</v>
      </c>
      <c r="B980" s="9" t="s">
        <v>81</v>
      </c>
      <c r="C980" s="78" t="s">
        <v>2013</v>
      </c>
      <c r="D980" s="12" t="s">
        <v>2782</v>
      </c>
      <c r="E980" s="320">
        <f>VLOOKUP($C980,'AGRI PIPE'!$E$5:$I2469,3,0)</f>
        <v>7</v>
      </c>
      <c r="F980" s="320">
        <f>VLOOKUP($C980,'AGRI PIPE'!$E$5:$I2469,2,0)</f>
        <v>1908</v>
      </c>
      <c r="G980" s="320">
        <f>VLOOKUP($C980,'AGRI PIPE'!$E$5:$I2469,5,0)</f>
        <v>1908</v>
      </c>
      <c r="H980" s="320"/>
      <c r="I980" s="320"/>
      <c r="J980" s="320"/>
      <c r="K980" s="320"/>
      <c r="L980" s="320"/>
      <c r="M980" s="320"/>
      <c r="N980" s="320"/>
      <c r="O980" s="320"/>
    </row>
    <row r="981">
      <c r="A981" s="32">
        <f t="shared" si="1"/>
        <v>980</v>
      </c>
      <c r="B981" s="9" t="s">
        <v>81</v>
      </c>
      <c r="C981" s="78" t="s">
        <v>2014</v>
      </c>
      <c r="D981" s="12" t="s">
        <v>2783</v>
      </c>
      <c r="E981" s="320">
        <f>VLOOKUP($C981,'AGRI PIPE'!$E$5:$I2469,3,0)</f>
        <v>9.375</v>
      </c>
      <c r="F981" s="320">
        <f>VLOOKUP($C981,'AGRI PIPE'!$E$5:$I2469,2,0)</f>
        <v>2575</v>
      </c>
      <c r="G981" s="320">
        <f>VLOOKUP($C981,'AGRI PIPE'!$E$5:$I2469,5,0)</f>
        <v>2575</v>
      </c>
      <c r="H981" s="320"/>
      <c r="I981" s="320"/>
      <c r="J981" s="320"/>
      <c r="K981" s="320"/>
      <c r="L981" s="320"/>
      <c r="M981" s="320"/>
      <c r="N981" s="320"/>
      <c r="O981" s="320"/>
    </row>
    <row r="982">
      <c r="A982" s="32">
        <f t="shared" si="1"/>
        <v>981</v>
      </c>
      <c r="B982" s="9" t="s">
        <v>81</v>
      </c>
      <c r="C982" s="78" t="s">
        <v>2016</v>
      </c>
      <c r="D982" s="12" t="s">
        <v>2784</v>
      </c>
      <c r="E982" s="320">
        <f>VLOOKUP($C982,'AGRI PIPE'!$E$5:$I2469,3,0)</f>
        <v>12.08333333</v>
      </c>
      <c r="F982" s="320">
        <f>VLOOKUP($C982,'AGRI PIPE'!$E$5:$I2469,2,0)</f>
        <v>3283</v>
      </c>
      <c r="G982" s="320">
        <f>VLOOKUP($C982,'AGRI PIPE'!$E$5:$I2469,5,0)</f>
        <v>3283</v>
      </c>
      <c r="H982" s="320"/>
      <c r="I982" s="320"/>
      <c r="J982" s="320"/>
      <c r="K982" s="320"/>
      <c r="L982" s="320"/>
      <c r="M982" s="320"/>
      <c r="N982" s="320"/>
      <c r="O982" s="320"/>
    </row>
    <row r="983">
      <c r="A983" s="32">
        <f t="shared" si="1"/>
        <v>982</v>
      </c>
      <c r="B983" s="9" t="s">
        <v>81</v>
      </c>
      <c r="C983" s="78" t="s">
        <v>2020</v>
      </c>
      <c r="D983" s="12" t="s">
        <v>2785</v>
      </c>
      <c r="E983" s="320">
        <f>VLOOKUP($C983,'AGRI PIPE'!$E$5:$I2469,3,0)</f>
        <v>14.83333333</v>
      </c>
      <c r="F983" s="320">
        <f>VLOOKUP($C983,'AGRI PIPE'!$E$5:$I2469,2,0)</f>
        <v>4075</v>
      </c>
      <c r="G983" s="320">
        <f>VLOOKUP($C983,'AGRI PIPE'!$E$5:$I2469,5,0)</f>
        <v>4075</v>
      </c>
      <c r="H983" s="320"/>
      <c r="I983" s="320"/>
      <c r="J983" s="320"/>
      <c r="K983" s="320"/>
      <c r="L983" s="320"/>
      <c r="M983" s="320"/>
      <c r="N983" s="320"/>
      <c r="O983" s="320"/>
    </row>
    <row r="984">
      <c r="A984" s="32">
        <f t="shared" si="1"/>
        <v>983</v>
      </c>
      <c r="B984" s="9" t="s">
        <v>81</v>
      </c>
      <c r="C984" s="78" t="s">
        <v>2023</v>
      </c>
      <c r="D984" s="12" t="s">
        <v>2786</v>
      </c>
      <c r="E984" s="320">
        <f>VLOOKUP($C984,'AGRI PIPE'!$E$5:$I2469,3,0)</f>
        <v>2.458333333</v>
      </c>
      <c r="F984" s="320">
        <f>VLOOKUP($C984,'AGRI PIPE'!$E$5:$I2469,2,0)</f>
        <v>663</v>
      </c>
      <c r="G984" s="320">
        <f>VLOOKUP($C984,'AGRI PIPE'!$E$5:$I2469,5,0)</f>
        <v>663</v>
      </c>
      <c r="H984" s="320"/>
      <c r="I984" s="320"/>
      <c r="J984" s="320"/>
      <c r="K984" s="320"/>
      <c r="L984" s="320"/>
      <c r="M984" s="320"/>
      <c r="N984" s="320"/>
      <c r="O984" s="320"/>
    </row>
    <row r="985">
      <c r="A985" s="32">
        <f t="shared" si="1"/>
        <v>984</v>
      </c>
      <c r="B985" s="9" t="s">
        <v>81</v>
      </c>
      <c r="C985" s="78" t="s">
        <v>2027</v>
      </c>
      <c r="D985" s="12" t="s">
        <v>2787</v>
      </c>
      <c r="E985" s="320">
        <f>VLOOKUP($C985,'AGRI PIPE'!$E$5:$I2469,3,0)</f>
        <v>3.416666667</v>
      </c>
      <c r="F985" s="320">
        <f>VLOOKUP($C985,'AGRI PIPE'!$E$5:$I2469,2,0)</f>
        <v>913</v>
      </c>
      <c r="G985" s="320">
        <f>VLOOKUP($C985,'AGRI PIPE'!$E$5:$I2469,5,0)</f>
        <v>913</v>
      </c>
      <c r="H985" s="320"/>
      <c r="I985" s="320"/>
      <c r="J985" s="320"/>
      <c r="K985" s="320"/>
      <c r="L985" s="320"/>
      <c r="M985" s="320"/>
      <c r="N985" s="320"/>
      <c r="O985" s="320"/>
    </row>
    <row r="986">
      <c r="A986" s="32">
        <f t="shared" si="1"/>
        <v>985</v>
      </c>
      <c r="B986" s="9" t="s">
        <v>81</v>
      </c>
      <c r="C986" s="78" t="s">
        <v>2031</v>
      </c>
      <c r="D986" s="12" t="s">
        <v>2788</v>
      </c>
      <c r="E986" s="320">
        <f>VLOOKUP($C986,'AGRI PIPE'!$E$5:$I2469,3,0)</f>
        <v>4.625</v>
      </c>
      <c r="F986" s="320">
        <f>VLOOKUP($C986,'AGRI PIPE'!$E$5:$I2469,2,0)</f>
        <v>1247</v>
      </c>
      <c r="G986" s="320">
        <f>VLOOKUP($C986,'AGRI PIPE'!$E$5:$I2469,5,0)</f>
        <v>1247</v>
      </c>
      <c r="H986" s="320"/>
      <c r="I986" s="320"/>
      <c r="J986" s="320"/>
      <c r="K986" s="320"/>
      <c r="L986" s="320"/>
      <c r="M986" s="320"/>
      <c r="N986" s="320"/>
      <c r="O986" s="320"/>
    </row>
    <row r="987">
      <c r="A987" s="32">
        <f t="shared" si="1"/>
        <v>986</v>
      </c>
      <c r="B987" s="9" t="s">
        <v>81</v>
      </c>
      <c r="C987" s="78" t="s">
        <v>2033</v>
      </c>
      <c r="D987" s="12" t="s">
        <v>2789</v>
      </c>
      <c r="E987" s="320">
        <f>VLOOKUP($C987,'AGRI PIPE'!$E$5:$I2469,3,0)</f>
        <v>6.666666667</v>
      </c>
      <c r="F987" s="320">
        <f>VLOOKUP($C987,'AGRI PIPE'!$E$5:$I2469,2,0)</f>
        <v>1830</v>
      </c>
      <c r="G987" s="320">
        <f>VLOOKUP($C987,'AGRI PIPE'!$E$5:$I2469,5,0)</f>
        <v>1830</v>
      </c>
      <c r="H987" s="320"/>
      <c r="I987" s="320"/>
      <c r="J987" s="320"/>
      <c r="K987" s="320"/>
      <c r="L987" s="320"/>
      <c r="M987" s="320"/>
      <c r="N987" s="320"/>
      <c r="O987" s="320"/>
    </row>
    <row r="988">
      <c r="A988" s="32">
        <f t="shared" si="1"/>
        <v>987</v>
      </c>
      <c r="B988" s="9" t="s">
        <v>81</v>
      </c>
      <c r="C988" s="78" t="s">
        <v>2034</v>
      </c>
      <c r="D988" s="12" t="s">
        <v>2790</v>
      </c>
      <c r="E988" s="320">
        <f>VLOOKUP($C988,'AGRI PIPE'!$E$5:$I2469,3,0)</f>
        <v>8.75</v>
      </c>
      <c r="F988" s="320">
        <f>VLOOKUP($C988,'AGRI PIPE'!$E$5:$I2469,2,0)</f>
        <v>2413</v>
      </c>
      <c r="G988" s="320">
        <f>VLOOKUP($C988,'AGRI PIPE'!$E$5:$I2469,5,0)</f>
        <v>2413</v>
      </c>
      <c r="H988" s="320"/>
      <c r="I988" s="320"/>
      <c r="J988" s="320"/>
      <c r="K988" s="320"/>
      <c r="L988" s="320"/>
      <c r="M988" s="320"/>
      <c r="N988" s="320"/>
      <c r="O988" s="320"/>
    </row>
    <row r="989">
      <c r="A989" s="32">
        <f t="shared" si="1"/>
        <v>988</v>
      </c>
      <c r="B989" s="9" t="s">
        <v>81</v>
      </c>
      <c r="C989" s="78" t="s">
        <v>2036</v>
      </c>
      <c r="D989" s="12" t="s">
        <v>2791</v>
      </c>
      <c r="E989" s="320">
        <f>VLOOKUP($C989,'AGRI PIPE'!$E$5:$I2469,3,0)</f>
        <v>10.58333333</v>
      </c>
      <c r="F989" s="320">
        <f>VLOOKUP($C989,'AGRI PIPE'!$E$5:$I2469,2,0)</f>
        <v>3040</v>
      </c>
      <c r="G989" s="320">
        <f>VLOOKUP($C989,'AGRI PIPE'!$E$5:$I2469,5,0)</f>
        <v>3040</v>
      </c>
      <c r="H989" s="320"/>
      <c r="I989" s="320"/>
      <c r="J989" s="320"/>
      <c r="K989" s="320"/>
      <c r="L989" s="320"/>
      <c r="M989" s="320"/>
      <c r="N989" s="320"/>
      <c r="O989" s="320"/>
    </row>
    <row r="990">
      <c r="A990" s="32">
        <f t="shared" si="1"/>
        <v>989</v>
      </c>
      <c r="B990" s="9" t="s">
        <v>81</v>
      </c>
      <c r="C990" s="78" t="s">
        <v>2038</v>
      </c>
      <c r="D990" s="12" t="s">
        <v>2792</v>
      </c>
      <c r="E990" s="320">
        <f>VLOOKUP($C990,'AGRI PIPE'!$E$5:$I2469,3,0)</f>
        <v>14.58333333</v>
      </c>
      <c r="F990" s="320">
        <f>VLOOKUP($C990,'AGRI PIPE'!$E$5:$I2469,2,0)</f>
        <v>3992</v>
      </c>
      <c r="G990" s="320">
        <f>VLOOKUP($C990,'AGRI PIPE'!$E$5:$I2469,5,0)</f>
        <v>3992</v>
      </c>
      <c r="H990" s="320"/>
      <c r="I990" s="320"/>
      <c r="J990" s="320"/>
      <c r="K990" s="320"/>
      <c r="L990" s="320"/>
      <c r="M990" s="320"/>
      <c r="N990" s="320"/>
      <c r="O990" s="320"/>
    </row>
    <row r="991">
      <c r="A991" s="32">
        <f t="shared" si="1"/>
        <v>990</v>
      </c>
      <c r="B991" s="9" t="s">
        <v>81</v>
      </c>
      <c r="C991" s="78" t="s">
        <v>2040</v>
      </c>
      <c r="D991" s="12" t="s">
        <v>2793</v>
      </c>
      <c r="E991" s="320">
        <f>VLOOKUP($C991,'AGRI PIPE'!$E$5:$I2469,3,0)</f>
        <v>18.33333333</v>
      </c>
      <c r="F991" s="320">
        <f>VLOOKUP($C991,'AGRI PIPE'!$E$5:$I2469,2,0)</f>
        <v>5080</v>
      </c>
      <c r="G991" s="320">
        <f>VLOOKUP($C991,'AGRI PIPE'!$E$5:$I2469,5,0)</f>
        <v>5080</v>
      </c>
      <c r="H991" s="320"/>
      <c r="I991" s="320"/>
      <c r="J991" s="320"/>
      <c r="K991" s="320"/>
      <c r="L991" s="320"/>
      <c r="M991" s="320"/>
      <c r="N991" s="320"/>
      <c r="O991" s="320"/>
    </row>
    <row r="992">
      <c r="A992" s="32">
        <f t="shared" si="1"/>
        <v>991</v>
      </c>
      <c r="B992" s="9" t="s">
        <v>81</v>
      </c>
      <c r="C992" s="78" t="s">
        <v>2043</v>
      </c>
      <c r="D992" s="12" t="s">
        <v>2794</v>
      </c>
      <c r="E992" s="320">
        <f>VLOOKUP($C992,'AGRI PIPE'!$E$5:$I2469,3,0)</f>
        <v>22.08333333</v>
      </c>
      <c r="F992" s="320">
        <f>VLOOKUP($C992,'AGRI PIPE'!$E$5:$I2469,2,0)</f>
        <v>6140</v>
      </c>
      <c r="G992" s="320">
        <f>VLOOKUP($C992,'AGRI PIPE'!$E$5:$I2469,5,0)</f>
        <v>6140</v>
      </c>
      <c r="H992" s="320"/>
      <c r="I992" s="320"/>
      <c r="J992" s="320"/>
      <c r="K992" s="320"/>
      <c r="L992" s="320"/>
      <c r="M992" s="320"/>
      <c r="N992" s="320"/>
      <c r="O992" s="320"/>
    </row>
    <row r="993">
      <c r="A993" s="32">
        <f t="shared" si="1"/>
        <v>992</v>
      </c>
      <c r="B993" s="9" t="s">
        <v>81</v>
      </c>
      <c r="C993" s="78" t="s">
        <v>2045</v>
      </c>
      <c r="D993" s="12" t="s">
        <v>2795</v>
      </c>
      <c r="E993" s="320">
        <f>VLOOKUP($C993,'AGRI PIPE'!$E$5:$I2469,3,0)</f>
        <v>1.416666667</v>
      </c>
      <c r="F993" s="320">
        <f>VLOOKUP($C993,'AGRI PIPE'!$E$5:$I2469,2,0)</f>
        <v>387</v>
      </c>
      <c r="G993" s="320">
        <f>VLOOKUP($C993,'AGRI PIPE'!$E$5:$I2469,5,0)</f>
        <v>387</v>
      </c>
      <c r="H993" s="320"/>
      <c r="I993" s="320"/>
      <c r="J993" s="320"/>
      <c r="K993" s="320"/>
      <c r="L993" s="320"/>
      <c r="M993" s="320"/>
      <c r="N993" s="320"/>
      <c r="O993" s="320"/>
    </row>
    <row r="994">
      <c r="A994" s="32">
        <f t="shared" si="1"/>
        <v>993</v>
      </c>
      <c r="B994" s="9" t="s">
        <v>81</v>
      </c>
      <c r="C994" s="78" t="s">
        <v>2046</v>
      </c>
      <c r="D994" s="12" t="s">
        <v>2796</v>
      </c>
      <c r="E994" s="320">
        <f>VLOOKUP($C994,'AGRI PIPE'!$E$5:$I2469,3,0)</f>
        <v>2.125</v>
      </c>
      <c r="F994" s="320">
        <f>VLOOKUP($C994,'AGRI PIPE'!$E$5:$I2469,2,0)</f>
        <v>578</v>
      </c>
      <c r="G994" s="320">
        <f>VLOOKUP($C994,'AGRI PIPE'!$E$5:$I2469,5,0)</f>
        <v>578</v>
      </c>
      <c r="H994" s="320"/>
      <c r="I994" s="320"/>
      <c r="J994" s="320"/>
      <c r="K994" s="320"/>
      <c r="L994" s="320"/>
      <c r="M994" s="320"/>
      <c r="N994" s="320"/>
      <c r="O994" s="320"/>
    </row>
    <row r="995">
      <c r="A995" s="32">
        <f t="shared" si="1"/>
        <v>994</v>
      </c>
      <c r="B995" s="9" t="s">
        <v>81</v>
      </c>
      <c r="C995" s="78" t="s">
        <v>2047</v>
      </c>
      <c r="D995" s="12" t="s">
        <v>2797</v>
      </c>
      <c r="E995" s="320">
        <f>VLOOKUP($C995,'AGRI PIPE'!$E$5:$I2469,3,0)</f>
        <v>3.375</v>
      </c>
      <c r="F995" s="320">
        <f>VLOOKUP($C995,'AGRI PIPE'!$E$5:$I2469,2,0)</f>
        <v>912</v>
      </c>
      <c r="G995" s="320">
        <f>VLOOKUP($C995,'AGRI PIPE'!$E$5:$I2469,5,0)</f>
        <v>912</v>
      </c>
      <c r="H995" s="320"/>
      <c r="I995" s="320"/>
      <c r="J995" s="320"/>
      <c r="K995" s="320"/>
      <c r="L995" s="320"/>
      <c r="M995" s="320"/>
      <c r="N995" s="320"/>
      <c r="O995" s="320"/>
    </row>
    <row r="996">
      <c r="A996" s="32">
        <f t="shared" si="1"/>
        <v>995</v>
      </c>
      <c r="B996" s="9" t="s">
        <v>81</v>
      </c>
      <c r="C996" s="78" t="s">
        <v>2049</v>
      </c>
      <c r="D996" s="12" t="s">
        <v>2798</v>
      </c>
      <c r="E996" s="320">
        <f>VLOOKUP($C996,'AGRI PIPE'!$E$5:$I2469,3,0)</f>
        <v>4.791666667</v>
      </c>
      <c r="F996" s="320">
        <f>VLOOKUP($C996,'AGRI PIPE'!$E$5:$I2469,2,0)</f>
        <v>1273</v>
      </c>
      <c r="G996" s="320">
        <f>VLOOKUP($C996,'AGRI PIPE'!$E$5:$I2469,5,0)</f>
        <v>1273</v>
      </c>
      <c r="H996" s="320"/>
      <c r="I996" s="320"/>
      <c r="J996" s="320"/>
      <c r="K996" s="320"/>
      <c r="L996" s="320"/>
      <c r="M996" s="320"/>
      <c r="N996" s="320"/>
      <c r="O996" s="320"/>
    </row>
    <row r="997">
      <c r="A997" s="32">
        <f t="shared" si="1"/>
        <v>996</v>
      </c>
      <c r="B997" s="9" t="s">
        <v>81</v>
      </c>
      <c r="C997" s="78" t="s">
        <v>2051</v>
      </c>
      <c r="D997" s="12" t="s">
        <v>2799</v>
      </c>
      <c r="E997" s="320">
        <f>VLOOKUP($C997,'AGRI PIPE'!$E$5:$I2469,3,0)</f>
        <v>6.75</v>
      </c>
      <c r="F997" s="320">
        <f>VLOOKUP($C997,'AGRI PIPE'!$E$5:$I2469,2,0)</f>
        <v>1790</v>
      </c>
      <c r="G997" s="320">
        <f>VLOOKUP($C997,'AGRI PIPE'!$E$5:$I2469,5,0)</f>
        <v>1790</v>
      </c>
      <c r="H997" s="320"/>
      <c r="I997" s="320"/>
      <c r="J997" s="320"/>
      <c r="K997" s="320"/>
      <c r="L997" s="320"/>
      <c r="M997" s="320"/>
      <c r="N997" s="320"/>
      <c r="O997" s="320"/>
    </row>
    <row r="998">
      <c r="A998" s="32">
        <f t="shared" si="1"/>
        <v>997</v>
      </c>
      <c r="B998" s="9" t="s">
        <v>81</v>
      </c>
      <c r="C998" s="78" t="s">
        <v>2054</v>
      </c>
      <c r="D998" s="12" t="s">
        <v>2800</v>
      </c>
      <c r="E998" s="320">
        <f>VLOOKUP($C998,'AGRI PIPE'!$E$5:$I2469,3,0)</f>
        <v>9.416666667</v>
      </c>
      <c r="F998" s="320">
        <f>VLOOKUP($C998,'AGRI PIPE'!$E$5:$I2469,2,0)</f>
        <v>2623</v>
      </c>
      <c r="G998" s="320">
        <f>VLOOKUP($C998,'AGRI PIPE'!$E$5:$I2469,5,0)</f>
        <v>2623</v>
      </c>
      <c r="H998" s="320"/>
      <c r="I998" s="320"/>
      <c r="J998" s="320"/>
      <c r="K998" s="320"/>
      <c r="L998" s="320"/>
      <c r="M998" s="320"/>
      <c r="N998" s="320"/>
      <c r="O998" s="320"/>
    </row>
    <row r="999">
      <c r="A999" s="32">
        <f t="shared" si="1"/>
        <v>998</v>
      </c>
      <c r="B999" s="9" t="s">
        <v>81</v>
      </c>
      <c r="C999" s="78" t="s">
        <v>2057</v>
      </c>
      <c r="D999" s="12" t="s">
        <v>2801</v>
      </c>
      <c r="E999" s="320">
        <f>VLOOKUP($C999,'AGRI PIPE'!$E$5:$I2469,3,0)</f>
        <v>12.83333333</v>
      </c>
      <c r="F999" s="320">
        <f>VLOOKUP($C999,'AGRI PIPE'!$E$5:$I2469,2,0)</f>
        <v>3490</v>
      </c>
      <c r="G999" s="320">
        <f>VLOOKUP($C999,'AGRI PIPE'!$E$5:$I2469,5,0)</f>
        <v>3490</v>
      </c>
      <c r="H999" s="320"/>
      <c r="I999" s="320"/>
      <c r="J999" s="320"/>
      <c r="K999" s="320"/>
      <c r="L999" s="320"/>
      <c r="M999" s="320"/>
      <c r="N999" s="320"/>
      <c r="O999" s="320"/>
    </row>
    <row r="1000">
      <c r="A1000" s="32">
        <f t="shared" si="1"/>
        <v>999</v>
      </c>
      <c r="B1000" s="9" t="s">
        <v>81</v>
      </c>
      <c r="C1000" s="78" t="s">
        <v>2059</v>
      </c>
      <c r="D1000" s="12" t="s">
        <v>2802</v>
      </c>
      <c r="E1000" s="320">
        <f>VLOOKUP($C1000,'AGRI PIPE'!$E$5:$I2469,3,0)</f>
        <v>15.41666667</v>
      </c>
      <c r="F1000" s="320">
        <f>VLOOKUP($C1000,'AGRI PIPE'!$E$5:$I2469,2,0)</f>
        <v>4357</v>
      </c>
      <c r="G1000" s="320">
        <f>VLOOKUP($C1000,'AGRI PIPE'!$E$5:$I2469,5,0)</f>
        <v>4357</v>
      </c>
      <c r="H1000" s="320"/>
      <c r="I1000" s="320"/>
      <c r="J1000" s="320"/>
      <c r="K1000" s="320"/>
      <c r="L1000" s="320"/>
      <c r="M1000" s="320"/>
      <c r="N1000" s="320"/>
      <c r="O1000" s="320"/>
    </row>
    <row r="1001">
      <c r="A1001" s="32">
        <f t="shared" si="1"/>
        <v>1000</v>
      </c>
      <c r="B1001" s="9" t="s">
        <v>81</v>
      </c>
      <c r="C1001" s="78" t="s">
        <v>2062</v>
      </c>
      <c r="D1001" s="12" t="s">
        <v>2803</v>
      </c>
      <c r="E1001" s="320">
        <f>VLOOKUP($C1001,'AGRI PIPE'!$E$5:$I2469,3,0)</f>
        <v>20.41666667</v>
      </c>
      <c r="F1001" s="320">
        <f>VLOOKUP($C1001,'AGRI PIPE'!$E$5:$I2469,2,0)</f>
        <v>5580</v>
      </c>
      <c r="G1001" s="320">
        <f>VLOOKUP($C1001,'AGRI PIPE'!$E$5:$I2469,5,0)</f>
        <v>5580</v>
      </c>
      <c r="H1001" s="320"/>
      <c r="I1001" s="320"/>
      <c r="J1001" s="320"/>
      <c r="K1001" s="320"/>
      <c r="L1001" s="320"/>
      <c r="M1001" s="320"/>
      <c r="N1001" s="320"/>
      <c r="O1001" s="320"/>
    </row>
    <row r="1002">
      <c r="A1002" s="32">
        <f t="shared" si="1"/>
        <v>1001</v>
      </c>
      <c r="B1002" s="9" t="s">
        <v>81</v>
      </c>
      <c r="C1002" s="78" t="s">
        <v>2063</v>
      </c>
      <c r="D1002" s="12" t="s">
        <v>2804</v>
      </c>
      <c r="E1002" s="320">
        <f>VLOOKUP($C1002,'AGRI PIPE'!$E$5:$I2469,3,0)</f>
        <v>25.54166667</v>
      </c>
      <c r="F1002" s="320">
        <f>VLOOKUP($C1002,'AGRI PIPE'!$E$5:$I2469,2,0)</f>
        <v>7080</v>
      </c>
      <c r="G1002" s="320">
        <f>VLOOKUP($C1002,'AGRI PIPE'!$E$5:$I2469,5,0)</f>
        <v>7080</v>
      </c>
      <c r="H1002" s="320"/>
      <c r="I1002" s="320"/>
      <c r="J1002" s="320"/>
      <c r="K1002" s="320"/>
      <c r="L1002" s="320"/>
      <c r="M1002" s="320"/>
      <c r="N1002" s="320"/>
      <c r="O1002" s="320"/>
    </row>
    <row r="1003">
      <c r="A1003" s="32">
        <f t="shared" si="1"/>
        <v>1002</v>
      </c>
      <c r="B1003" s="9" t="s">
        <v>81</v>
      </c>
      <c r="C1003" s="78" t="s">
        <v>2065</v>
      </c>
      <c r="D1003" s="12" t="s">
        <v>2806</v>
      </c>
      <c r="E1003" s="320">
        <f>VLOOKUP($C1003,'AGRI PIPE'!$E$5:$I2469,3,0)</f>
        <v>31.375</v>
      </c>
      <c r="F1003" s="320">
        <f>VLOOKUP($C1003,'AGRI PIPE'!$E$5:$I2469,2,0)</f>
        <v>8740</v>
      </c>
      <c r="G1003" s="320">
        <f>VLOOKUP($C1003,'AGRI PIPE'!$E$5:$I2469,5,0)</f>
        <v>8740</v>
      </c>
      <c r="H1003" s="320"/>
      <c r="I1003" s="320"/>
      <c r="J1003" s="320"/>
      <c r="K1003" s="320"/>
      <c r="L1003" s="320"/>
      <c r="M1003" s="320"/>
      <c r="N1003" s="320"/>
      <c r="O1003" s="320"/>
    </row>
    <row r="1004">
      <c r="A1004" s="32">
        <f t="shared" si="1"/>
        <v>1003</v>
      </c>
      <c r="B1004" s="9" t="s">
        <v>81</v>
      </c>
      <c r="C1004" s="78" t="s">
        <v>2069</v>
      </c>
      <c r="D1004" s="12" t="s">
        <v>2809</v>
      </c>
      <c r="E1004" s="320">
        <f>VLOOKUP($C1004,'AGRI PIPE'!$E$5:$I2469,3,0)</f>
        <v>0.5666666667</v>
      </c>
      <c r="F1004" s="320">
        <f>VLOOKUP($C1004,'AGRI PIPE'!$E$5:$I2469,2,0)</f>
        <v>185</v>
      </c>
      <c r="G1004" s="320">
        <f>VLOOKUP($C1004,'AGRI PIPE'!$E$5:$I2469,5,0)</f>
        <v>163</v>
      </c>
      <c r="H1004" s="320"/>
      <c r="I1004" s="320"/>
      <c r="J1004" s="320"/>
      <c r="K1004" s="320"/>
      <c r="L1004" s="320"/>
      <c r="M1004" s="320"/>
      <c r="N1004" s="320"/>
      <c r="O1004" s="320"/>
    </row>
    <row r="1005">
      <c r="A1005" s="32">
        <f t="shared" si="1"/>
        <v>1004</v>
      </c>
      <c r="B1005" s="9" t="s">
        <v>81</v>
      </c>
      <c r="C1005" s="78" t="s">
        <v>2072</v>
      </c>
      <c r="D1005" s="12" t="s">
        <v>2813</v>
      </c>
      <c r="E1005" s="320">
        <f>VLOOKUP($C1005,'AGRI PIPE'!$E$5:$I2469,3,0)</f>
        <v>0.875</v>
      </c>
      <c r="F1005" s="320">
        <f>VLOOKUP($C1005,'AGRI PIPE'!$E$5:$I2469,2,0)</f>
        <v>236</v>
      </c>
      <c r="G1005" s="320">
        <f>VLOOKUP($C1005,'AGRI PIPE'!$E$5:$I2469,5,0)</f>
        <v>245</v>
      </c>
      <c r="H1005" s="320"/>
      <c r="I1005" s="320"/>
      <c r="J1005" s="320"/>
      <c r="K1005" s="320"/>
      <c r="L1005" s="320"/>
      <c r="M1005" s="320"/>
      <c r="N1005" s="320"/>
      <c r="O1005" s="320"/>
    </row>
    <row r="1006">
      <c r="A1006" s="32">
        <f t="shared" si="1"/>
        <v>1005</v>
      </c>
      <c r="B1006" s="9" t="s">
        <v>81</v>
      </c>
      <c r="C1006" s="78" t="s">
        <v>2077</v>
      </c>
      <c r="D1006" s="12" t="s">
        <v>2817</v>
      </c>
      <c r="E1006" s="320">
        <f>VLOOKUP($C1006,'AGRI PIPE'!$E$5:$I2469,3,0)</f>
        <v>1.408333333</v>
      </c>
      <c r="F1006" s="320">
        <f>VLOOKUP($C1006,'AGRI PIPE'!$E$5:$I2469,2,0)</f>
        <v>373</v>
      </c>
      <c r="G1006" s="320">
        <f>VLOOKUP($C1006,'AGRI PIPE'!$E$5:$I2469,5,0)</f>
        <v>390</v>
      </c>
      <c r="H1006" s="320"/>
      <c r="I1006" s="320"/>
      <c r="J1006" s="320"/>
      <c r="K1006" s="320"/>
      <c r="L1006" s="320"/>
      <c r="M1006" s="320"/>
      <c r="N1006" s="320"/>
      <c r="O1006" s="320"/>
    </row>
    <row r="1007">
      <c r="A1007" s="32">
        <f t="shared" si="1"/>
        <v>1006</v>
      </c>
      <c r="B1007" s="9" t="s">
        <v>81</v>
      </c>
      <c r="C1007" s="78" t="s">
        <v>2080</v>
      </c>
      <c r="D1007" s="12" t="s">
        <v>2820</v>
      </c>
      <c r="E1007" s="320">
        <f>VLOOKUP($C1007,'AGRI PIPE'!$E$5:$I2469,3,0)</f>
        <v>2.158333333</v>
      </c>
      <c r="F1007" s="320">
        <f>VLOOKUP($C1007,'AGRI PIPE'!$E$5:$I2469,2,0)</f>
        <v>570</v>
      </c>
      <c r="G1007" s="320">
        <f>VLOOKUP($C1007,'AGRI PIPE'!$E$5:$I2469,5,0)</f>
        <v>596</v>
      </c>
      <c r="H1007" s="320"/>
      <c r="I1007" s="320"/>
      <c r="J1007" s="320"/>
      <c r="K1007" s="320"/>
      <c r="L1007" s="320"/>
      <c r="M1007" s="320"/>
      <c r="N1007" s="320"/>
      <c r="O1007" s="320"/>
    </row>
    <row r="1008">
      <c r="A1008" s="32">
        <f t="shared" si="1"/>
        <v>1007</v>
      </c>
      <c r="B1008" s="9" t="s">
        <v>81</v>
      </c>
      <c r="C1008" s="78" t="s">
        <v>2081</v>
      </c>
      <c r="D1008" s="12" t="s">
        <v>2823</v>
      </c>
      <c r="E1008" s="320">
        <f>VLOOKUP($C1008,'AGRI PIPE'!$E$5:$I2469,3,0)</f>
        <v>3.75</v>
      </c>
      <c r="F1008" s="320">
        <f>VLOOKUP($C1008,'AGRI PIPE'!$E$5:$I2469,2,0)</f>
        <v>890</v>
      </c>
      <c r="G1008" s="320">
        <f>VLOOKUP($C1008,'AGRI PIPE'!$E$5:$I2469,5,0)</f>
        <v>1033</v>
      </c>
      <c r="H1008" s="320"/>
      <c r="I1008" s="320"/>
      <c r="J1008" s="320"/>
      <c r="K1008" s="320"/>
      <c r="L1008" s="320"/>
      <c r="M1008" s="320"/>
      <c r="N1008" s="320"/>
      <c r="O1008" s="320"/>
    </row>
    <row r="1009">
      <c r="A1009" s="32">
        <f t="shared" si="1"/>
        <v>1008</v>
      </c>
      <c r="B1009" s="9" t="s">
        <v>81</v>
      </c>
      <c r="C1009" s="78" t="s">
        <v>2084</v>
      </c>
      <c r="D1009" s="12" t="s">
        <v>2830</v>
      </c>
      <c r="E1009" s="320">
        <f>VLOOKUP($C1009,'AGRI PIPE'!$E$5:$I2469,3,0)</f>
        <v>5.291666667</v>
      </c>
      <c r="F1009" s="320">
        <f>VLOOKUP($C1009,'AGRI PIPE'!$E$5:$I2469,2,0)</f>
        <v>1373</v>
      </c>
      <c r="G1009" s="320">
        <f>VLOOKUP($C1009,'AGRI PIPE'!$E$5:$I2469,5,0)</f>
        <v>1486</v>
      </c>
      <c r="H1009" s="320"/>
      <c r="I1009" s="320"/>
      <c r="J1009" s="320"/>
      <c r="K1009" s="320"/>
      <c r="L1009" s="320"/>
      <c r="M1009" s="320"/>
      <c r="N1009" s="320"/>
      <c r="O1009" s="320"/>
    </row>
    <row r="1010">
      <c r="A1010" s="32">
        <f t="shared" si="1"/>
        <v>1009</v>
      </c>
      <c r="B1010" s="9" t="s">
        <v>81</v>
      </c>
      <c r="C1010" s="78" t="s">
        <v>2087</v>
      </c>
      <c r="D1010" s="12" t="s">
        <v>2833</v>
      </c>
      <c r="E1010" s="320">
        <f>VLOOKUP($C1010,'AGRI PIPE'!$E$5:$I2469,3,0)</f>
        <v>7.583333333</v>
      </c>
      <c r="F1010" s="320">
        <f>VLOOKUP($C1010,'AGRI PIPE'!$E$5:$I2469,2,0)</f>
        <v>1956</v>
      </c>
      <c r="G1010" s="320">
        <f>VLOOKUP($C1010,'AGRI PIPE'!$E$5:$I2469,5,0)</f>
        <v>2066</v>
      </c>
      <c r="H1010" s="320"/>
      <c r="I1010" s="320"/>
      <c r="J1010" s="320"/>
      <c r="K1010" s="320"/>
      <c r="L1010" s="320"/>
      <c r="M1010" s="320"/>
      <c r="N1010" s="320"/>
      <c r="O1010" s="320"/>
    </row>
    <row r="1011">
      <c r="A1011" s="32">
        <f t="shared" si="1"/>
        <v>1010</v>
      </c>
      <c r="B1011" s="9" t="s">
        <v>81</v>
      </c>
      <c r="C1011" s="78" t="s">
        <v>2090</v>
      </c>
      <c r="D1011" s="12" t="s">
        <v>2840</v>
      </c>
      <c r="E1011" s="320">
        <f>VLOOKUP($C1011,'AGRI PIPE'!$E$5:$I2469,3,0)</f>
        <v>10.66666667</v>
      </c>
      <c r="F1011" s="320">
        <f>VLOOKUP($C1011,'AGRI PIPE'!$E$5:$I2469,2,0)</f>
        <v>2790</v>
      </c>
      <c r="G1011" s="320">
        <f>VLOOKUP($C1011,'AGRI PIPE'!$E$5:$I2469,5,0)</f>
        <v>2913</v>
      </c>
      <c r="H1011" s="320"/>
      <c r="I1011" s="320"/>
      <c r="J1011" s="320"/>
      <c r="K1011" s="320"/>
      <c r="L1011" s="320"/>
      <c r="M1011" s="320"/>
      <c r="N1011" s="320"/>
      <c r="O1011" s="320"/>
    </row>
    <row r="1012">
      <c r="A1012" s="32">
        <f t="shared" si="1"/>
        <v>1011</v>
      </c>
      <c r="B1012" s="9" t="s">
        <v>81</v>
      </c>
      <c r="C1012" s="78" t="s">
        <v>2095</v>
      </c>
      <c r="D1012" s="12" t="s">
        <v>2842</v>
      </c>
      <c r="E1012" s="320">
        <f>VLOOKUP($C1012,'AGRI PIPE'!$E$5:$I2469,3,0)</f>
        <v>16.08333333</v>
      </c>
      <c r="F1012" s="320">
        <f>VLOOKUP($C1012,'AGRI PIPE'!$E$5:$I2469,2,0)</f>
        <v>4155</v>
      </c>
      <c r="G1012" s="320">
        <f>VLOOKUP($C1012,'AGRI PIPE'!$E$5:$I2469,5,0)</f>
        <v>4450</v>
      </c>
      <c r="H1012" s="320"/>
      <c r="I1012" s="320"/>
      <c r="J1012" s="320"/>
      <c r="K1012" s="320"/>
      <c r="L1012" s="320"/>
      <c r="M1012" s="320"/>
      <c r="N1012" s="320"/>
      <c r="O1012" s="320"/>
    </row>
    <row r="1013">
      <c r="A1013" s="32">
        <f t="shared" si="1"/>
        <v>1012</v>
      </c>
      <c r="B1013" s="9" t="s">
        <v>81</v>
      </c>
      <c r="C1013" s="78" t="s">
        <v>2096</v>
      </c>
      <c r="D1013" s="12" t="s">
        <v>2844</v>
      </c>
      <c r="E1013" s="320">
        <f>VLOOKUP($C1013,'AGRI PIPE'!$E$5:$I2469,3,0)</f>
        <v>20.66666667</v>
      </c>
      <c r="F1013" s="320">
        <f>VLOOKUP($C1013,'AGRI PIPE'!$E$5:$I2469,2,0)</f>
        <v>5400</v>
      </c>
      <c r="G1013" s="320">
        <f>VLOOKUP($C1013,'AGRI PIPE'!$E$5:$I2469,5,0)</f>
        <v>5566</v>
      </c>
      <c r="H1013" s="320"/>
      <c r="I1013" s="320"/>
      <c r="J1013" s="320"/>
      <c r="K1013" s="320"/>
      <c r="L1013" s="320"/>
      <c r="M1013" s="320"/>
      <c r="N1013" s="320"/>
      <c r="O1013" s="320"/>
    </row>
    <row r="1014">
      <c r="A1014" s="32">
        <f t="shared" si="1"/>
        <v>1013</v>
      </c>
      <c r="B1014" s="9" t="s">
        <v>81</v>
      </c>
      <c r="C1014" s="78" t="s">
        <v>2099</v>
      </c>
      <c r="D1014" s="12" t="s">
        <v>2847</v>
      </c>
      <c r="E1014" s="320">
        <f>VLOOKUP($C1014,'AGRI PIPE'!$E$5:$I2469,3,0)</f>
        <v>25.91666667</v>
      </c>
      <c r="F1014" s="320">
        <f>VLOOKUP($C1014,'AGRI PIPE'!$E$5:$I2469,2,0)</f>
        <v>6650</v>
      </c>
      <c r="G1014" s="320">
        <f>VLOOKUP($C1014,'AGRI PIPE'!$E$5:$I2469,5,0)</f>
        <v>7150</v>
      </c>
      <c r="H1014" s="320"/>
      <c r="I1014" s="320"/>
      <c r="J1014" s="320"/>
      <c r="K1014" s="320"/>
      <c r="L1014" s="320"/>
      <c r="M1014" s="320"/>
      <c r="N1014" s="320"/>
      <c r="O1014" s="320"/>
    </row>
    <row r="1015">
      <c r="A1015" s="32">
        <f t="shared" si="1"/>
        <v>1014</v>
      </c>
      <c r="B1015" s="9" t="s">
        <v>81</v>
      </c>
      <c r="C1015" s="78" t="s">
        <v>2101</v>
      </c>
      <c r="D1015" s="12" t="s">
        <v>2850</v>
      </c>
      <c r="E1015" s="320">
        <f>VLOOKUP($C1015,'AGRI PIPE'!$E$5:$I2469,3,0)</f>
        <v>33.83333333</v>
      </c>
      <c r="F1015" s="320">
        <f>VLOOKUP($C1015,'AGRI PIPE'!$E$5:$I2469,2,0)</f>
        <v>8733</v>
      </c>
      <c r="G1015" s="320">
        <f>VLOOKUP($C1015,'AGRI PIPE'!$E$5:$I2469,5,0)</f>
        <v>9150</v>
      </c>
      <c r="H1015" s="320"/>
      <c r="I1015" s="320"/>
      <c r="J1015" s="320"/>
      <c r="K1015" s="320"/>
      <c r="L1015" s="320"/>
      <c r="M1015" s="320"/>
      <c r="N1015" s="320"/>
      <c r="O1015" s="320"/>
    </row>
    <row r="1016">
      <c r="A1016" s="32">
        <f t="shared" si="1"/>
        <v>1015</v>
      </c>
      <c r="B1016" s="9" t="s">
        <v>81</v>
      </c>
      <c r="C1016" s="78" t="s">
        <v>2106</v>
      </c>
      <c r="D1016" s="12" t="s">
        <v>2854</v>
      </c>
      <c r="E1016" s="320">
        <f>VLOOKUP($C1016,'AGRI PIPE'!$E$5:$I2469,3,0)</f>
        <v>42.75</v>
      </c>
      <c r="F1016" s="320">
        <f>VLOOKUP($C1016,'AGRI PIPE'!$E$5:$I2469,2,0)</f>
        <v>11150</v>
      </c>
      <c r="G1016" s="320">
        <f>VLOOKUP($C1016,'AGRI PIPE'!$E$5:$I2469,5,0)</f>
        <v>11650</v>
      </c>
      <c r="H1016" s="320"/>
      <c r="I1016" s="320"/>
      <c r="J1016" s="320"/>
      <c r="K1016" s="320"/>
      <c r="L1016" s="320"/>
      <c r="M1016" s="320"/>
      <c r="N1016" s="320"/>
      <c r="O1016" s="320"/>
    </row>
    <row r="1017">
      <c r="A1017" s="32">
        <f t="shared" si="1"/>
        <v>1016</v>
      </c>
      <c r="B1017" s="9" t="s">
        <v>81</v>
      </c>
      <c r="C1017" s="78" t="s">
        <v>2107</v>
      </c>
      <c r="D1017" s="12" t="s">
        <v>2856</v>
      </c>
      <c r="E1017" s="320">
        <f>VLOOKUP($C1017,'AGRI PIPE'!$E$5:$I2469,3,0)</f>
        <v>52.91666667</v>
      </c>
      <c r="F1017" s="320">
        <f>VLOOKUP($C1017,'AGRI PIPE'!$E$5:$I2469,2,0)</f>
        <v>13733</v>
      </c>
      <c r="G1017" s="320">
        <f>VLOOKUP($C1017,'AGRI PIPE'!$E$5:$I2469,5,0)</f>
        <v>14483</v>
      </c>
      <c r="H1017" s="320"/>
      <c r="I1017" s="320"/>
      <c r="J1017" s="320"/>
      <c r="K1017" s="320"/>
      <c r="L1017" s="320"/>
      <c r="M1017" s="320"/>
      <c r="N1017" s="320"/>
      <c r="O1017" s="320"/>
    </row>
    <row r="1018">
      <c r="A1018" s="32">
        <f t="shared" si="1"/>
        <v>1017</v>
      </c>
      <c r="B1018" s="9" t="s">
        <v>81</v>
      </c>
      <c r="C1018" s="78" t="s">
        <v>2122</v>
      </c>
      <c r="D1018" s="12" t="s">
        <v>2857</v>
      </c>
      <c r="E1018" s="320">
        <f>VLOOKUP($C1018,'AGRI PIPE'!$E$5:$I2469,3,0)</f>
        <v>1.825</v>
      </c>
      <c r="F1018" s="320">
        <f>VLOOKUP($C1018,'AGRI PIPE'!$E$5:$I2469,2,0)</f>
        <v>495</v>
      </c>
      <c r="G1018" s="320">
        <f>VLOOKUP($C1018,'AGRI PIPE'!$E$5:$I2469,5,0)</f>
        <v>495</v>
      </c>
      <c r="H1018" s="320"/>
      <c r="I1018" s="320"/>
      <c r="J1018" s="320"/>
      <c r="K1018" s="320"/>
      <c r="L1018" s="320"/>
      <c r="M1018" s="320"/>
      <c r="N1018" s="320"/>
      <c r="O1018" s="320"/>
    </row>
    <row r="1019">
      <c r="A1019" s="32">
        <f t="shared" si="1"/>
        <v>1018</v>
      </c>
      <c r="B1019" s="9" t="s">
        <v>81</v>
      </c>
      <c r="C1019" s="78" t="s">
        <v>2130</v>
      </c>
      <c r="D1019" s="12" t="s">
        <v>2858</v>
      </c>
      <c r="E1019" s="320">
        <f>VLOOKUP($C1019,'AGRI PIPE'!$E$5:$I2469,3,0)</f>
        <v>2.675</v>
      </c>
      <c r="F1019" s="320">
        <f>VLOOKUP($C1019,'AGRI PIPE'!$E$5:$I2469,2,0)</f>
        <v>740</v>
      </c>
      <c r="G1019" s="320">
        <f>VLOOKUP($C1019,'AGRI PIPE'!$E$5:$I2469,5,0)</f>
        <v>740</v>
      </c>
      <c r="H1019" s="320"/>
      <c r="I1019" s="320"/>
      <c r="J1019" s="320"/>
      <c r="K1019" s="320"/>
      <c r="L1019" s="320"/>
      <c r="M1019" s="320"/>
      <c r="N1019" s="320"/>
      <c r="O1019" s="320"/>
    </row>
    <row r="1020">
      <c r="A1020" s="32">
        <f t="shared" si="1"/>
        <v>1019</v>
      </c>
      <c r="B1020" s="9" t="s">
        <v>81</v>
      </c>
      <c r="C1020" s="78" t="s">
        <v>2132</v>
      </c>
      <c r="D1020" s="12" t="s">
        <v>2859</v>
      </c>
      <c r="E1020" s="320">
        <f>VLOOKUP($C1020,'AGRI PIPE'!$E$5:$I2469,3,0)</f>
        <v>3.4</v>
      </c>
      <c r="F1020" s="320">
        <f>VLOOKUP($C1020,'AGRI PIPE'!$E$5:$I2469,2,0)</f>
        <v>935</v>
      </c>
      <c r="G1020" s="320">
        <f>VLOOKUP($C1020,'AGRI PIPE'!$E$5:$I2469,5,0)</f>
        <v>935</v>
      </c>
      <c r="H1020" s="320"/>
      <c r="I1020" s="320"/>
      <c r="J1020" s="320"/>
      <c r="K1020" s="320"/>
      <c r="L1020" s="320"/>
      <c r="M1020" s="320"/>
      <c r="N1020" s="320"/>
      <c r="O1020" s="320"/>
    </row>
    <row r="1021">
      <c r="A1021" s="32">
        <f t="shared" si="1"/>
        <v>1020</v>
      </c>
      <c r="B1021" s="9" t="s">
        <v>81</v>
      </c>
      <c r="C1021" s="78" t="s">
        <v>2137</v>
      </c>
      <c r="D1021" s="12" t="s">
        <v>2860</v>
      </c>
      <c r="E1021" s="320">
        <f>VLOOKUP($C1021,'AGRI PIPE'!$E$5:$I2469,3,0)</f>
        <v>4.2</v>
      </c>
      <c r="F1021" s="320">
        <f>VLOOKUP($C1021,'AGRI PIPE'!$E$5:$I2469,2,0)</f>
        <v>1145</v>
      </c>
      <c r="G1021" s="320">
        <f>VLOOKUP($C1021,'AGRI PIPE'!$E$5:$I2469,5,0)</f>
        <v>1145</v>
      </c>
      <c r="H1021" s="320"/>
      <c r="I1021" s="320"/>
      <c r="J1021" s="320"/>
      <c r="K1021" s="320"/>
      <c r="L1021" s="320"/>
      <c r="M1021" s="320"/>
      <c r="N1021" s="320"/>
      <c r="O1021" s="320"/>
    </row>
    <row r="1022">
      <c r="A1022" s="32">
        <f t="shared" si="1"/>
        <v>1021</v>
      </c>
      <c r="B1022" s="9" t="s">
        <v>81</v>
      </c>
      <c r="C1022" s="78" t="s">
        <v>2140</v>
      </c>
      <c r="D1022" s="12" t="s">
        <v>2861</v>
      </c>
      <c r="E1022" s="320">
        <f>VLOOKUP($C1022,'AGRI PIPE'!$E$5:$I2469,3,0)</f>
        <v>5.625</v>
      </c>
      <c r="F1022" s="320">
        <f>VLOOKUP($C1022,'AGRI PIPE'!$E$5:$I2469,2,0)</f>
        <v>1545</v>
      </c>
      <c r="G1022" s="320">
        <f>VLOOKUP($C1022,'AGRI PIPE'!$E$5:$I2469,5,0)</f>
        <v>1545</v>
      </c>
      <c r="H1022" s="320"/>
      <c r="I1022" s="320"/>
      <c r="J1022" s="320"/>
      <c r="K1022" s="320"/>
      <c r="L1022" s="320"/>
      <c r="M1022" s="320"/>
      <c r="N1022" s="320"/>
      <c r="O1022" s="320"/>
    </row>
    <row r="1023">
      <c r="A1023" s="32">
        <f t="shared" si="1"/>
        <v>1022</v>
      </c>
      <c r="B1023" s="9" t="s">
        <v>81</v>
      </c>
      <c r="C1023" s="78" t="s">
        <v>2142</v>
      </c>
      <c r="D1023" s="12" t="s">
        <v>2862</v>
      </c>
      <c r="E1023" s="320">
        <f>VLOOKUP($C1023,'AGRI PIPE'!$E$5:$I2469,3,0)</f>
        <v>7.25</v>
      </c>
      <c r="F1023" s="320">
        <f>VLOOKUP($C1023,'AGRI PIPE'!$E$5:$I2469,2,0)</f>
        <v>1970</v>
      </c>
      <c r="G1023" s="320">
        <f>VLOOKUP($C1023,'AGRI PIPE'!$E$5:$I2469,5,0)</f>
        <v>1970</v>
      </c>
      <c r="H1023" s="320"/>
      <c r="I1023" s="320"/>
      <c r="J1023" s="320"/>
      <c r="K1023" s="320"/>
      <c r="L1023" s="320"/>
      <c r="M1023" s="320"/>
      <c r="N1023" s="320"/>
      <c r="O1023" s="320"/>
    </row>
    <row r="1024">
      <c r="A1024" s="32">
        <f t="shared" si="1"/>
        <v>1023</v>
      </c>
      <c r="B1024" s="9" t="s">
        <v>81</v>
      </c>
      <c r="C1024" s="78" t="s">
        <v>2147</v>
      </c>
      <c r="D1024" s="12" t="s">
        <v>2863</v>
      </c>
      <c r="E1024" s="320">
        <f>VLOOKUP($C1024,'AGRI PIPE'!$E$5:$I2469,3,0)</f>
        <v>8.9</v>
      </c>
      <c r="F1024" s="320">
        <f>VLOOKUP($C1024,'AGRI PIPE'!$E$5:$I2469,2,0)</f>
        <v>2445</v>
      </c>
      <c r="G1024" s="320">
        <f>VLOOKUP($C1024,'AGRI PIPE'!$E$5:$I2469,5,0)</f>
        <v>2445</v>
      </c>
      <c r="H1024" s="320"/>
      <c r="I1024" s="320"/>
      <c r="J1024" s="320"/>
      <c r="K1024" s="320"/>
      <c r="L1024" s="320"/>
      <c r="M1024" s="320"/>
      <c r="N1024" s="320"/>
      <c r="O1024" s="320"/>
    </row>
    <row r="1025">
      <c r="A1025" s="32">
        <f t="shared" si="1"/>
        <v>1024</v>
      </c>
      <c r="B1025" s="9" t="s">
        <v>81</v>
      </c>
      <c r="C1025" s="78" t="s">
        <v>2150</v>
      </c>
      <c r="D1025" s="12" t="s">
        <v>2864</v>
      </c>
      <c r="E1025" s="320">
        <f>VLOOKUP($C1025,'AGRI PIPE'!$E$5:$I2469,3,0)</f>
        <v>1.475</v>
      </c>
      <c r="F1025" s="320">
        <f>VLOOKUP($C1025,'AGRI PIPE'!$E$5:$I2469,2,0)</f>
        <v>398</v>
      </c>
      <c r="G1025" s="320">
        <f>VLOOKUP($C1025,'AGRI PIPE'!$E$5:$I2469,5,0)</f>
        <v>398</v>
      </c>
      <c r="H1025" s="320"/>
      <c r="I1025" s="320"/>
      <c r="J1025" s="320"/>
      <c r="K1025" s="320"/>
      <c r="L1025" s="320"/>
      <c r="M1025" s="320"/>
      <c r="N1025" s="320"/>
      <c r="O1025" s="320"/>
    </row>
    <row r="1026">
      <c r="A1026" s="32">
        <f t="shared" si="1"/>
        <v>1025</v>
      </c>
      <c r="B1026" s="9" t="s">
        <v>81</v>
      </c>
      <c r="C1026" s="78" t="s">
        <v>2152</v>
      </c>
      <c r="D1026" s="12" t="s">
        <v>2865</v>
      </c>
      <c r="E1026" s="320">
        <f>VLOOKUP($C1026,'AGRI PIPE'!$E$5:$I2469,3,0)</f>
        <v>2.05</v>
      </c>
      <c r="F1026" s="320">
        <f>VLOOKUP($C1026,'AGRI PIPE'!$E$5:$I2469,2,0)</f>
        <v>548</v>
      </c>
      <c r="G1026" s="320">
        <f>VLOOKUP($C1026,'AGRI PIPE'!$E$5:$I2469,5,0)</f>
        <v>548</v>
      </c>
      <c r="H1026" s="320"/>
      <c r="I1026" s="320"/>
      <c r="J1026" s="320"/>
      <c r="K1026" s="320"/>
      <c r="L1026" s="320"/>
      <c r="M1026" s="320"/>
      <c r="N1026" s="320"/>
      <c r="O1026" s="320"/>
    </row>
    <row r="1027">
      <c r="A1027" s="32">
        <f t="shared" si="1"/>
        <v>1026</v>
      </c>
      <c r="B1027" s="9" t="s">
        <v>81</v>
      </c>
      <c r="C1027" s="78" t="s">
        <v>2154</v>
      </c>
      <c r="D1027" s="12" t="s">
        <v>2866</v>
      </c>
      <c r="E1027" s="320">
        <f>VLOOKUP($C1027,'AGRI PIPE'!$E$5:$I2469,3,0)</f>
        <v>2.775</v>
      </c>
      <c r="F1027" s="320">
        <f>VLOOKUP($C1027,'AGRI PIPE'!$E$5:$I2469,2,0)</f>
        <v>748</v>
      </c>
      <c r="G1027" s="320">
        <f>VLOOKUP($C1027,'AGRI PIPE'!$E$5:$I2469,5,0)</f>
        <v>748</v>
      </c>
      <c r="H1027" s="320"/>
      <c r="I1027" s="320"/>
      <c r="J1027" s="320"/>
      <c r="K1027" s="320"/>
      <c r="L1027" s="320"/>
      <c r="M1027" s="320"/>
      <c r="N1027" s="320"/>
      <c r="O1027" s="320"/>
    </row>
    <row r="1028">
      <c r="A1028" s="32">
        <f t="shared" si="1"/>
        <v>1027</v>
      </c>
      <c r="B1028" s="9" t="s">
        <v>81</v>
      </c>
      <c r="C1028" s="78" t="s">
        <v>2159</v>
      </c>
      <c r="D1028" s="12" t="s">
        <v>2867</v>
      </c>
      <c r="E1028" s="320">
        <f>VLOOKUP($C1028,'AGRI PIPE'!$E$5:$I2469,3,0)</f>
        <v>4</v>
      </c>
      <c r="F1028" s="320">
        <f>VLOOKUP($C1028,'AGRI PIPE'!$E$5:$I2469,2,0)</f>
        <v>1098</v>
      </c>
      <c r="G1028" s="320">
        <f>VLOOKUP($C1028,'AGRI PIPE'!$E$5:$I2469,5,0)</f>
        <v>1098</v>
      </c>
      <c r="H1028" s="320"/>
      <c r="I1028" s="320"/>
      <c r="J1028" s="320"/>
      <c r="K1028" s="320"/>
      <c r="L1028" s="320"/>
      <c r="M1028" s="320"/>
      <c r="N1028" s="320"/>
      <c r="O1028" s="320"/>
    </row>
    <row r="1029">
      <c r="A1029" s="32">
        <f t="shared" si="1"/>
        <v>1028</v>
      </c>
      <c r="B1029" s="9" t="s">
        <v>81</v>
      </c>
      <c r="C1029" s="78" t="s">
        <v>2161</v>
      </c>
      <c r="D1029" s="12" t="s">
        <v>2868</v>
      </c>
      <c r="E1029" s="320">
        <f>VLOOKUP($C1029,'AGRI PIPE'!$E$5:$I2469,3,0)</f>
        <v>5.25</v>
      </c>
      <c r="F1029" s="320">
        <f>VLOOKUP($C1029,'AGRI PIPE'!$E$5:$I2469,2,0)</f>
        <v>1448</v>
      </c>
      <c r="G1029" s="320">
        <f>VLOOKUP($C1029,'AGRI PIPE'!$E$5:$I2469,5,0)</f>
        <v>1448</v>
      </c>
      <c r="H1029" s="320"/>
      <c r="I1029" s="320"/>
      <c r="J1029" s="320"/>
      <c r="K1029" s="320"/>
      <c r="L1029" s="320"/>
      <c r="M1029" s="320"/>
      <c r="N1029" s="320"/>
      <c r="O1029" s="320"/>
    </row>
    <row r="1030">
      <c r="A1030" s="32">
        <f t="shared" si="1"/>
        <v>1029</v>
      </c>
      <c r="B1030" s="9" t="s">
        <v>81</v>
      </c>
      <c r="C1030" s="78" t="s">
        <v>2162</v>
      </c>
      <c r="D1030" s="12" t="s">
        <v>2869</v>
      </c>
      <c r="E1030" s="320">
        <f>VLOOKUP($C1030,'AGRI PIPE'!$E$5:$I2469,3,0)</f>
        <v>6.35</v>
      </c>
      <c r="F1030" s="320">
        <f>VLOOKUP($C1030,'AGRI PIPE'!$E$5:$I2469,2,0)</f>
        <v>1824</v>
      </c>
      <c r="G1030" s="320">
        <f>VLOOKUP($C1030,'AGRI PIPE'!$E$5:$I2469,5,0)</f>
        <v>1824</v>
      </c>
      <c r="H1030" s="320"/>
      <c r="I1030" s="320"/>
      <c r="J1030" s="320"/>
      <c r="K1030" s="320"/>
      <c r="L1030" s="320"/>
      <c r="M1030" s="320"/>
      <c r="N1030" s="320"/>
      <c r="O1030" s="320"/>
    </row>
    <row r="1031">
      <c r="A1031" s="32">
        <f t="shared" si="1"/>
        <v>1030</v>
      </c>
      <c r="B1031" s="9" t="s">
        <v>81</v>
      </c>
      <c r="C1031" s="78" t="s">
        <v>2163</v>
      </c>
      <c r="D1031" s="12" t="s">
        <v>2870</v>
      </c>
      <c r="E1031" s="320">
        <f>VLOOKUP($C1031,'AGRI PIPE'!$E$5:$I2469,3,0)</f>
        <v>8.75</v>
      </c>
      <c r="F1031" s="320">
        <f>VLOOKUP($C1031,'AGRI PIPE'!$E$5:$I2469,2,0)</f>
        <v>2395</v>
      </c>
      <c r="G1031" s="320">
        <f>VLOOKUP($C1031,'AGRI PIPE'!$E$5:$I2469,5,0)</f>
        <v>2395</v>
      </c>
      <c r="H1031" s="320"/>
      <c r="I1031" s="320"/>
      <c r="J1031" s="320"/>
      <c r="K1031" s="320"/>
      <c r="L1031" s="320"/>
      <c r="M1031" s="320"/>
      <c r="N1031" s="320"/>
      <c r="O1031" s="320"/>
    </row>
    <row r="1032">
      <c r="A1032" s="32">
        <f t="shared" si="1"/>
        <v>1031</v>
      </c>
      <c r="B1032" s="9" t="s">
        <v>81</v>
      </c>
      <c r="C1032" s="78" t="s">
        <v>2164</v>
      </c>
      <c r="D1032" s="12" t="s">
        <v>2871</v>
      </c>
      <c r="E1032" s="320">
        <f>VLOOKUP($C1032,'AGRI PIPE'!$E$5:$I2469,3,0)</f>
        <v>11</v>
      </c>
      <c r="F1032" s="320">
        <f>VLOOKUP($C1032,'AGRI PIPE'!$E$5:$I2469,2,0)</f>
        <v>3048</v>
      </c>
      <c r="G1032" s="320">
        <f>VLOOKUP($C1032,'AGRI PIPE'!$E$5:$I2469,5,0)</f>
        <v>3048</v>
      </c>
      <c r="H1032" s="320"/>
      <c r="I1032" s="320"/>
      <c r="J1032" s="320"/>
      <c r="K1032" s="320"/>
      <c r="L1032" s="320"/>
      <c r="M1032" s="320"/>
      <c r="N1032" s="320"/>
      <c r="O1032" s="320"/>
    </row>
    <row r="1033">
      <c r="A1033" s="32">
        <f t="shared" si="1"/>
        <v>1032</v>
      </c>
      <c r="B1033" s="9" t="s">
        <v>81</v>
      </c>
      <c r="C1033" s="78" t="s">
        <v>2165</v>
      </c>
      <c r="D1033" s="12" t="s">
        <v>2872</v>
      </c>
      <c r="E1033" s="320">
        <f>VLOOKUP($C1033,'AGRI PIPE'!$E$5:$I2469,3,0)</f>
        <v>13.25</v>
      </c>
      <c r="F1033" s="320">
        <f>VLOOKUP($C1033,'AGRI PIPE'!$E$5:$I2469,2,0)</f>
        <v>3684</v>
      </c>
      <c r="G1033" s="320">
        <f>VLOOKUP($C1033,'AGRI PIPE'!$E$5:$I2469,5,0)</f>
        <v>3684</v>
      </c>
      <c r="H1033" s="320"/>
      <c r="I1033" s="320"/>
      <c r="J1033" s="320"/>
      <c r="K1033" s="320"/>
      <c r="L1033" s="320"/>
      <c r="M1033" s="320"/>
      <c r="N1033" s="320"/>
      <c r="O1033" s="320"/>
    </row>
    <row r="1034">
      <c r="A1034" s="32">
        <f t="shared" si="1"/>
        <v>1033</v>
      </c>
      <c r="B1034" s="9" t="s">
        <v>81</v>
      </c>
      <c r="C1034" s="78" t="s">
        <v>2169</v>
      </c>
      <c r="D1034" s="12" t="s">
        <v>2873</v>
      </c>
      <c r="E1034" s="320">
        <f>VLOOKUP($C1034,'AGRI PIPE'!$E$5:$I2469,3,0)</f>
        <v>0.85</v>
      </c>
      <c r="F1034" s="320">
        <f>VLOOKUP($C1034,'AGRI PIPE'!$E$5:$I2469,2,0)</f>
        <v>232</v>
      </c>
      <c r="G1034" s="320">
        <f>VLOOKUP($C1034,'AGRI PIPE'!$E$5:$I2469,5,0)</f>
        <v>232</v>
      </c>
      <c r="H1034" s="320"/>
      <c r="I1034" s="320"/>
      <c r="J1034" s="320"/>
      <c r="K1034" s="320"/>
      <c r="L1034" s="320"/>
      <c r="M1034" s="320"/>
      <c r="N1034" s="320"/>
      <c r="O1034" s="320"/>
    </row>
    <row r="1035">
      <c r="A1035" s="32">
        <f t="shared" si="1"/>
        <v>1034</v>
      </c>
      <c r="B1035" s="9" t="s">
        <v>81</v>
      </c>
      <c r="C1035" s="78" t="s">
        <v>2170</v>
      </c>
      <c r="D1035" s="12" t="s">
        <v>2874</v>
      </c>
      <c r="E1035" s="320">
        <f>VLOOKUP($C1035,'AGRI PIPE'!$E$5:$I2469,3,0)</f>
        <v>1.275</v>
      </c>
      <c r="F1035" s="320">
        <f>VLOOKUP($C1035,'AGRI PIPE'!$E$5:$I2469,2,0)</f>
        <v>347</v>
      </c>
      <c r="G1035" s="320">
        <f>VLOOKUP($C1035,'AGRI PIPE'!$E$5:$I2469,5,0)</f>
        <v>347</v>
      </c>
      <c r="H1035" s="320"/>
      <c r="I1035" s="320"/>
      <c r="J1035" s="320"/>
      <c r="K1035" s="320"/>
      <c r="L1035" s="320"/>
      <c r="M1035" s="320"/>
      <c r="N1035" s="320"/>
      <c r="O1035" s="320"/>
    </row>
    <row r="1036">
      <c r="A1036" s="32">
        <f t="shared" si="1"/>
        <v>1035</v>
      </c>
      <c r="B1036" s="9" t="s">
        <v>81</v>
      </c>
      <c r="C1036" s="78" t="s">
        <v>2171</v>
      </c>
      <c r="D1036" s="12" t="s">
        <v>2875</v>
      </c>
      <c r="E1036" s="320">
        <f>VLOOKUP($C1036,'AGRI PIPE'!$E$5:$I2469,3,0)</f>
        <v>2.025</v>
      </c>
      <c r="F1036" s="320">
        <f>VLOOKUP($C1036,'AGRI PIPE'!$E$5:$I2469,2,0)</f>
        <v>547</v>
      </c>
      <c r="G1036" s="320">
        <f>VLOOKUP($C1036,'AGRI PIPE'!$E$5:$I2469,5,0)</f>
        <v>547</v>
      </c>
      <c r="H1036" s="320"/>
      <c r="I1036" s="320"/>
      <c r="J1036" s="320"/>
      <c r="K1036" s="320"/>
      <c r="L1036" s="320"/>
      <c r="M1036" s="320"/>
      <c r="N1036" s="320"/>
      <c r="O1036" s="320"/>
    </row>
    <row r="1037">
      <c r="A1037" s="32">
        <f t="shared" si="1"/>
        <v>1036</v>
      </c>
      <c r="B1037" s="9" t="s">
        <v>81</v>
      </c>
      <c r="C1037" s="78" t="s">
        <v>2173</v>
      </c>
      <c r="D1037" s="12" t="s">
        <v>2876</v>
      </c>
      <c r="E1037" s="320">
        <f>VLOOKUP($C1037,'AGRI PIPE'!$E$5:$I2469,3,0)</f>
        <v>2.875</v>
      </c>
      <c r="F1037" s="320">
        <f>VLOOKUP($C1037,'AGRI PIPE'!$E$5:$I2469,2,0)</f>
        <v>764</v>
      </c>
      <c r="G1037" s="320">
        <f>VLOOKUP($C1037,'AGRI PIPE'!$E$5:$I2469,5,0)</f>
        <v>764</v>
      </c>
      <c r="H1037" s="320"/>
      <c r="I1037" s="320"/>
      <c r="J1037" s="320"/>
      <c r="K1037" s="320"/>
      <c r="L1037" s="320"/>
      <c r="M1037" s="320"/>
      <c r="N1037" s="320"/>
      <c r="O1037" s="320"/>
    </row>
    <row r="1038">
      <c r="A1038" s="32">
        <f t="shared" si="1"/>
        <v>1037</v>
      </c>
      <c r="B1038" s="9" t="s">
        <v>81</v>
      </c>
      <c r="C1038" s="78" t="s">
        <v>2176</v>
      </c>
      <c r="D1038" s="12" t="s">
        <v>2877</v>
      </c>
      <c r="E1038" s="320">
        <f>VLOOKUP($C1038,'AGRI PIPE'!$E$5:$I2469,3,0)</f>
        <v>4.05</v>
      </c>
      <c r="F1038" s="320">
        <f>VLOOKUP($C1038,'AGRI PIPE'!$E$5:$I2469,2,0)</f>
        <v>1074</v>
      </c>
      <c r="G1038" s="320">
        <f>VLOOKUP($C1038,'AGRI PIPE'!$E$5:$I2469,5,0)</f>
        <v>1074</v>
      </c>
      <c r="H1038" s="320"/>
      <c r="I1038" s="320"/>
      <c r="J1038" s="320"/>
      <c r="K1038" s="320"/>
      <c r="L1038" s="320"/>
      <c r="M1038" s="320"/>
      <c r="N1038" s="320"/>
      <c r="O1038" s="320"/>
    </row>
    <row r="1039">
      <c r="A1039" s="32">
        <f t="shared" si="1"/>
        <v>1038</v>
      </c>
      <c r="B1039" s="9" t="s">
        <v>81</v>
      </c>
      <c r="C1039" s="78" t="s">
        <v>2178</v>
      </c>
      <c r="D1039" s="12" t="s">
        <v>2878</v>
      </c>
      <c r="E1039" s="320">
        <f>VLOOKUP($C1039,'AGRI PIPE'!$E$5:$I2469,3,0)</f>
        <v>5.65</v>
      </c>
      <c r="F1039" s="320">
        <f>VLOOKUP($C1039,'AGRI PIPE'!$E$5:$I2469,2,0)</f>
        <v>1574</v>
      </c>
      <c r="G1039" s="320">
        <f>VLOOKUP($C1039,'AGRI PIPE'!$E$5:$I2469,5,0)</f>
        <v>1574</v>
      </c>
      <c r="H1039" s="320"/>
      <c r="I1039" s="320"/>
      <c r="J1039" s="320"/>
      <c r="K1039" s="320"/>
      <c r="L1039" s="320"/>
      <c r="M1039" s="320"/>
      <c r="N1039" s="320"/>
      <c r="O1039" s="320"/>
    </row>
    <row r="1040">
      <c r="A1040" s="32">
        <f t="shared" si="1"/>
        <v>1039</v>
      </c>
      <c r="B1040" s="9" t="s">
        <v>81</v>
      </c>
      <c r="C1040" s="78" t="s">
        <v>2181</v>
      </c>
      <c r="D1040" s="12" t="s">
        <v>2879</v>
      </c>
      <c r="E1040" s="320">
        <f>VLOOKUP($C1040,'AGRI PIPE'!$E$5:$I2469,3,0)</f>
        <v>7.7</v>
      </c>
      <c r="F1040" s="320">
        <f>VLOOKUP($C1040,'AGRI PIPE'!$E$5:$I2469,2,0)</f>
        <v>2094</v>
      </c>
      <c r="G1040" s="320">
        <f>VLOOKUP($C1040,'AGRI PIPE'!$E$5:$I2469,5,0)</f>
        <v>2094</v>
      </c>
      <c r="H1040" s="320"/>
      <c r="I1040" s="320"/>
      <c r="J1040" s="320"/>
      <c r="K1040" s="320"/>
      <c r="L1040" s="320"/>
      <c r="M1040" s="320"/>
      <c r="N1040" s="320"/>
      <c r="O1040" s="320"/>
    </row>
    <row r="1041">
      <c r="A1041" s="32">
        <f t="shared" si="1"/>
        <v>1040</v>
      </c>
      <c r="B1041" s="9" t="s">
        <v>81</v>
      </c>
      <c r="C1041" s="78" t="s">
        <v>2183</v>
      </c>
      <c r="D1041" s="12" t="s">
        <v>2880</v>
      </c>
      <c r="E1041" s="320">
        <f>VLOOKUP($C1041,'AGRI PIPE'!$E$5:$I2469,3,0)</f>
        <v>9.25</v>
      </c>
      <c r="F1041" s="320">
        <f>VLOOKUP($C1041,'AGRI PIPE'!$E$5:$I2469,2,0)</f>
        <v>2614</v>
      </c>
      <c r="G1041" s="320">
        <f>VLOOKUP($C1041,'AGRI PIPE'!$E$5:$I2469,5,0)</f>
        <v>2614</v>
      </c>
      <c r="H1041" s="320"/>
      <c r="I1041" s="320"/>
      <c r="J1041" s="320"/>
      <c r="K1041" s="320"/>
      <c r="L1041" s="320"/>
      <c r="M1041" s="320"/>
      <c r="N1041" s="320"/>
      <c r="O1041" s="320"/>
    </row>
    <row r="1042">
      <c r="A1042" s="32">
        <f t="shared" si="1"/>
        <v>1041</v>
      </c>
      <c r="B1042" s="9" t="s">
        <v>81</v>
      </c>
      <c r="C1042" s="78" t="s">
        <v>2186</v>
      </c>
      <c r="D1042" s="12" t="s">
        <v>2881</v>
      </c>
      <c r="E1042" s="320">
        <f>VLOOKUP($C1042,'AGRI PIPE'!$E$5:$I2469,3,0)</f>
        <v>12.25</v>
      </c>
      <c r="F1042" s="320">
        <f>VLOOKUP($C1042,'AGRI PIPE'!$E$5:$I2469,2,0)</f>
        <v>3348</v>
      </c>
      <c r="G1042" s="320">
        <f>VLOOKUP($C1042,'AGRI PIPE'!$E$5:$I2469,5,0)</f>
        <v>3348</v>
      </c>
      <c r="H1042" s="320"/>
      <c r="I1042" s="320"/>
      <c r="J1042" s="320"/>
      <c r="K1042" s="320"/>
      <c r="L1042" s="320"/>
      <c r="M1042" s="320"/>
      <c r="N1042" s="320"/>
      <c r="O1042" s="320"/>
    </row>
    <row r="1043">
      <c r="A1043" s="32">
        <f t="shared" si="1"/>
        <v>1042</v>
      </c>
      <c r="B1043" s="9" t="s">
        <v>81</v>
      </c>
      <c r="C1043" s="78" t="s">
        <v>2188</v>
      </c>
      <c r="D1043" s="12" t="s">
        <v>2882</v>
      </c>
      <c r="E1043" s="320">
        <f>VLOOKUP($C1043,'AGRI PIPE'!$E$5:$I2469,3,0)</f>
        <v>15.325</v>
      </c>
      <c r="F1043" s="320">
        <f>VLOOKUP($C1043,'AGRI PIPE'!$E$5:$I2469,2,0)</f>
        <v>4248</v>
      </c>
      <c r="G1043" s="320">
        <f>VLOOKUP($C1043,'AGRI PIPE'!$E$5:$I2469,5,0)</f>
        <v>4248</v>
      </c>
      <c r="H1043" s="320"/>
      <c r="I1043" s="320"/>
      <c r="J1043" s="320"/>
      <c r="K1043" s="320"/>
      <c r="L1043" s="320"/>
      <c r="M1043" s="320"/>
      <c r="N1043" s="320"/>
      <c r="O1043" s="320"/>
    </row>
    <row r="1044">
      <c r="A1044" s="32">
        <f t="shared" si="1"/>
        <v>1043</v>
      </c>
      <c r="B1044" s="9" t="s">
        <v>81</v>
      </c>
      <c r="C1044" s="78" t="s">
        <v>2190</v>
      </c>
      <c r="D1044" s="12" t="s">
        <v>2883</v>
      </c>
      <c r="E1044" s="320">
        <f>VLOOKUP($C1044,'AGRI PIPE'!$E$5:$I2469,3,0)</f>
        <v>18.825</v>
      </c>
      <c r="F1044" s="320">
        <f>VLOOKUP($C1044,'AGRI PIPE'!$E$5:$I2469,2,0)</f>
        <v>5244</v>
      </c>
      <c r="G1044" s="320">
        <f>VLOOKUP($C1044,'AGRI PIPE'!$E$5:$I2469,5,0)</f>
        <v>5244</v>
      </c>
      <c r="H1044" s="320"/>
      <c r="I1044" s="320"/>
      <c r="J1044" s="320"/>
      <c r="K1044" s="320"/>
      <c r="L1044" s="320"/>
      <c r="M1044" s="320"/>
      <c r="N1044" s="320"/>
      <c r="O1044" s="320"/>
    </row>
    <row r="1045">
      <c r="A1045" s="32">
        <f t="shared" si="1"/>
        <v>1044</v>
      </c>
      <c r="B1045" s="9" t="s">
        <v>81</v>
      </c>
      <c r="C1045" s="78" t="s">
        <v>2193</v>
      </c>
      <c r="D1045" s="12" t="s">
        <v>2884</v>
      </c>
      <c r="E1045" s="320">
        <f>VLOOKUP($C1045,'AGRI PIPE'!$E$5:$I2469,3,0)</f>
        <v>0.34</v>
      </c>
      <c r="F1045" s="320">
        <f>VLOOKUP($C1045,'AGRI PIPE'!$E$5:$I2469,2,0)</f>
        <v>111</v>
      </c>
      <c r="G1045" s="320">
        <f>VLOOKUP($C1045,'AGRI PIPE'!$E$5:$I2469,5,0)</f>
        <v>98</v>
      </c>
      <c r="H1045" s="320"/>
      <c r="I1045" s="320"/>
      <c r="J1045" s="320"/>
      <c r="K1045" s="320"/>
      <c r="L1045" s="320"/>
      <c r="M1045" s="320"/>
      <c r="N1045" s="320"/>
      <c r="O1045" s="320"/>
    </row>
    <row r="1046">
      <c r="A1046" s="32">
        <f t="shared" si="1"/>
        <v>1045</v>
      </c>
      <c r="B1046" s="9" t="s">
        <v>81</v>
      </c>
      <c r="C1046" s="78" t="s">
        <v>2196</v>
      </c>
      <c r="D1046" s="12" t="s">
        <v>2885</v>
      </c>
      <c r="E1046" s="320">
        <f>VLOOKUP($C1046,'AGRI PIPE'!$E$5:$I2469,3,0)</f>
        <v>0.525</v>
      </c>
      <c r="F1046" s="320">
        <f>VLOOKUP($C1046,'AGRI PIPE'!$E$5:$I2469,2,0)</f>
        <v>142</v>
      </c>
      <c r="G1046" s="320">
        <f>VLOOKUP($C1046,'AGRI PIPE'!$E$5:$I2469,5,0)</f>
        <v>147</v>
      </c>
      <c r="H1046" s="320"/>
      <c r="I1046" s="320"/>
      <c r="J1046" s="320"/>
      <c r="K1046" s="320"/>
      <c r="L1046" s="320"/>
      <c r="M1046" s="320"/>
      <c r="N1046" s="320"/>
      <c r="O1046" s="320"/>
    </row>
    <row r="1047">
      <c r="A1047" s="32">
        <f t="shared" si="1"/>
        <v>1046</v>
      </c>
      <c r="B1047" s="9" t="s">
        <v>81</v>
      </c>
      <c r="C1047" s="78" t="s">
        <v>2197</v>
      </c>
      <c r="D1047" s="12" t="s">
        <v>2886</v>
      </c>
      <c r="E1047" s="320">
        <f>VLOOKUP($C1047,'AGRI PIPE'!$E$5:$I2469,3,0)</f>
        <v>0.845</v>
      </c>
      <c r="F1047" s="320">
        <f>VLOOKUP($C1047,'AGRI PIPE'!$E$5:$I2469,2,0)</f>
        <v>224</v>
      </c>
      <c r="G1047" s="320">
        <f>VLOOKUP($C1047,'AGRI PIPE'!$E$5:$I2469,5,0)</f>
        <v>234</v>
      </c>
      <c r="H1047" s="320"/>
      <c r="I1047" s="320"/>
      <c r="J1047" s="320"/>
      <c r="K1047" s="320"/>
      <c r="L1047" s="320"/>
      <c r="M1047" s="320"/>
      <c r="N1047" s="320"/>
      <c r="O1047" s="320"/>
    </row>
    <row r="1048">
      <c r="A1048" s="32">
        <f t="shared" si="1"/>
        <v>1047</v>
      </c>
      <c r="B1048" s="9" t="s">
        <v>81</v>
      </c>
      <c r="C1048" s="78" t="s">
        <v>2203</v>
      </c>
      <c r="D1048" s="12" t="s">
        <v>2887</v>
      </c>
      <c r="E1048" s="320">
        <f>VLOOKUP($C1048,'AGRI PIPE'!$E$5:$I2469,3,0)</f>
        <v>1.295</v>
      </c>
      <c r="F1048" s="320">
        <f>VLOOKUP($C1048,'AGRI PIPE'!$E$5:$I2469,2,0)</f>
        <v>342</v>
      </c>
      <c r="G1048" s="320">
        <f>VLOOKUP($C1048,'AGRI PIPE'!$E$5:$I2469,5,0)</f>
        <v>358</v>
      </c>
      <c r="H1048" s="320"/>
      <c r="I1048" s="320"/>
      <c r="J1048" s="320"/>
      <c r="K1048" s="320"/>
      <c r="L1048" s="320"/>
      <c r="M1048" s="320"/>
      <c r="N1048" s="320"/>
      <c r="O1048" s="320"/>
    </row>
    <row r="1049">
      <c r="A1049" s="32">
        <f t="shared" si="1"/>
        <v>1048</v>
      </c>
      <c r="B1049" s="9" t="s">
        <v>81</v>
      </c>
      <c r="C1049" s="78" t="s">
        <v>2205</v>
      </c>
      <c r="D1049" s="12" t="s">
        <v>2888</v>
      </c>
      <c r="E1049" s="320">
        <f>VLOOKUP($C1049,'AGRI PIPE'!$E$5:$I2469,3,0)</f>
        <v>2.25</v>
      </c>
      <c r="F1049" s="320">
        <f>VLOOKUP($C1049,'AGRI PIPE'!$E$5:$I2469,2,0)</f>
        <v>534</v>
      </c>
      <c r="G1049" s="320">
        <f>VLOOKUP($C1049,'AGRI PIPE'!$E$5:$I2469,5,0)</f>
        <v>620</v>
      </c>
      <c r="H1049" s="320"/>
      <c r="I1049" s="320"/>
      <c r="J1049" s="320"/>
      <c r="K1049" s="320"/>
      <c r="L1049" s="320"/>
      <c r="M1049" s="320"/>
      <c r="N1049" s="320"/>
      <c r="O1049" s="320"/>
    </row>
    <row r="1050">
      <c r="A1050" s="32">
        <f t="shared" si="1"/>
        <v>1049</v>
      </c>
      <c r="B1050" s="9" t="s">
        <v>81</v>
      </c>
      <c r="C1050" s="78" t="s">
        <v>2208</v>
      </c>
      <c r="D1050" s="12" t="s">
        <v>2889</v>
      </c>
      <c r="E1050" s="320">
        <f>VLOOKUP($C1050,'AGRI PIPE'!$E$5:$I2469,3,0)</f>
        <v>3.175</v>
      </c>
      <c r="F1050" s="320">
        <f>VLOOKUP($C1050,'AGRI PIPE'!$E$5:$I2469,2,0)</f>
        <v>824</v>
      </c>
      <c r="G1050" s="320">
        <f>VLOOKUP($C1050,'AGRI PIPE'!$E$5:$I2469,5,0)</f>
        <v>892</v>
      </c>
      <c r="H1050" s="320"/>
      <c r="I1050" s="320"/>
      <c r="J1050" s="320"/>
      <c r="K1050" s="320"/>
      <c r="L1050" s="320"/>
      <c r="M1050" s="320"/>
      <c r="N1050" s="320"/>
      <c r="O1050" s="320"/>
    </row>
    <row r="1051">
      <c r="A1051" s="32">
        <f t="shared" si="1"/>
        <v>1050</v>
      </c>
      <c r="B1051" s="9" t="s">
        <v>81</v>
      </c>
      <c r="C1051" s="78" t="s">
        <v>2210</v>
      </c>
      <c r="D1051" s="12" t="s">
        <v>2890</v>
      </c>
      <c r="E1051" s="320">
        <f>VLOOKUP($C1051,'AGRI PIPE'!$E$5:$I2469,3,0)</f>
        <v>4.55</v>
      </c>
      <c r="F1051" s="320">
        <f>VLOOKUP($C1051,'AGRI PIPE'!$E$5:$I2469,2,0)</f>
        <v>1174</v>
      </c>
      <c r="G1051" s="320">
        <f>VLOOKUP($C1051,'AGRI PIPE'!$E$5:$I2469,5,0)</f>
        <v>1240</v>
      </c>
      <c r="H1051" s="320"/>
      <c r="I1051" s="320"/>
      <c r="J1051" s="320"/>
      <c r="K1051" s="320"/>
      <c r="L1051" s="320"/>
      <c r="M1051" s="320"/>
      <c r="N1051" s="320"/>
      <c r="O1051" s="320"/>
    </row>
    <row r="1052">
      <c r="A1052" s="32">
        <f t="shared" si="1"/>
        <v>1051</v>
      </c>
      <c r="B1052" s="9" t="s">
        <v>81</v>
      </c>
      <c r="C1052" s="78" t="s">
        <v>2213</v>
      </c>
      <c r="D1052" s="12" t="s">
        <v>2891</v>
      </c>
      <c r="E1052" s="320">
        <f>VLOOKUP($C1052,'AGRI PIPE'!$E$5:$I2469,3,0)</f>
        <v>6.4</v>
      </c>
      <c r="F1052" s="320">
        <f>VLOOKUP($C1052,'AGRI PIPE'!$E$5:$I2469,2,0)</f>
        <v>1674</v>
      </c>
      <c r="G1052" s="320">
        <f>VLOOKUP($C1052,'AGRI PIPE'!$E$5:$I2469,5,0)</f>
        <v>1748</v>
      </c>
      <c r="H1052" s="320"/>
      <c r="I1052" s="320"/>
      <c r="J1052" s="320"/>
      <c r="K1052" s="320"/>
      <c r="L1052" s="320"/>
      <c r="M1052" s="320"/>
      <c r="N1052" s="320"/>
      <c r="O1052" s="320"/>
    </row>
    <row r="1053">
      <c r="A1053" s="32">
        <f t="shared" si="1"/>
        <v>1052</v>
      </c>
      <c r="B1053" s="9" t="s">
        <v>81</v>
      </c>
      <c r="C1053" s="78" t="s">
        <v>2218</v>
      </c>
      <c r="D1053" s="12" t="s">
        <v>2892</v>
      </c>
      <c r="E1053" s="320">
        <f>VLOOKUP($C1053,'AGRI PIPE'!$E$5:$I2469,3,0)</f>
        <v>9.65</v>
      </c>
      <c r="F1053" s="320">
        <f>VLOOKUP($C1053,'AGRI PIPE'!$E$5:$I2469,2,0)</f>
        <v>2493</v>
      </c>
      <c r="G1053" s="320">
        <f>VLOOKUP($C1053,'AGRI PIPE'!$E$5:$I2469,5,0)</f>
        <v>2670</v>
      </c>
      <c r="H1053" s="320"/>
      <c r="I1053" s="320"/>
      <c r="J1053" s="320"/>
      <c r="K1053" s="320"/>
      <c r="L1053" s="320"/>
      <c r="M1053" s="320"/>
      <c r="N1053" s="320"/>
      <c r="O1053" s="320"/>
    </row>
    <row r="1054">
      <c r="A1054" s="32">
        <f t="shared" si="1"/>
        <v>1053</v>
      </c>
      <c r="B1054" s="9" t="s">
        <v>81</v>
      </c>
      <c r="C1054" s="78" t="s">
        <v>2220</v>
      </c>
      <c r="D1054" s="12" t="s">
        <v>2893</v>
      </c>
      <c r="E1054" s="320">
        <f>VLOOKUP($C1054,'AGRI PIPE'!$E$5:$I2469,3,0)</f>
        <v>12.4</v>
      </c>
      <c r="F1054" s="320">
        <f>VLOOKUP($C1054,'AGRI PIPE'!$E$5:$I2469,2,0)</f>
        <v>3240</v>
      </c>
      <c r="G1054" s="320">
        <f>VLOOKUP($C1054,'AGRI PIPE'!$E$5:$I2469,5,0)</f>
        <v>3340</v>
      </c>
      <c r="H1054" s="320"/>
      <c r="I1054" s="320"/>
      <c r="J1054" s="320"/>
      <c r="K1054" s="320"/>
      <c r="L1054" s="320"/>
      <c r="M1054" s="320"/>
      <c r="N1054" s="320"/>
      <c r="O1054" s="320"/>
    </row>
    <row r="1055">
      <c r="A1055" s="32">
        <f t="shared" si="1"/>
        <v>1054</v>
      </c>
      <c r="B1055" s="9" t="s">
        <v>81</v>
      </c>
      <c r="C1055" s="78" t="s">
        <v>2225</v>
      </c>
      <c r="D1055" s="12" t="s">
        <v>2894</v>
      </c>
      <c r="E1055" s="320">
        <f>VLOOKUP($C1055,'AGRI PIPE'!$E$5:$I2469,3,0)</f>
        <v>15.55</v>
      </c>
      <c r="F1055" s="320">
        <f>VLOOKUP($C1055,'AGRI PIPE'!$E$5:$I2469,2,0)</f>
        <v>3990</v>
      </c>
      <c r="G1055" s="320">
        <f>VLOOKUP($C1055,'AGRI PIPE'!$E$5:$I2469,5,0)</f>
        <v>4290</v>
      </c>
      <c r="H1055" s="320"/>
      <c r="I1055" s="320"/>
      <c r="J1055" s="320"/>
      <c r="K1055" s="320"/>
      <c r="L1055" s="320"/>
      <c r="M1055" s="320"/>
      <c r="N1055" s="320"/>
      <c r="O1055" s="320"/>
    </row>
    <row r="1056">
      <c r="A1056" s="32">
        <f t="shared" si="1"/>
        <v>1055</v>
      </c>
      <c r="B1056" s="9" t="s">
        <v>81</v>
      </c>
      <c r="C1056" s="78" t="s">
        <v>2228</v>
      </c>
      <c r="D1056" s="12" t="s">
        <v>2895</v>
      </c>
      <c r="E1056" s="320">
        <f>VLOOKUP($C1056,'AGRI PIPE'!$E$5:$I2469,3,0)</f>
        <v>20.3</v>
      </c>
      <c r="F1056" s="320">
        <f>VLOOKUP($C1056,'AGRI PIPE'!$E$5:$I2469,2,0)</f>
        <v>5240</v>
      </c>
      <c r="G1056" s="320">
        <f>VLOOKUP($C1056,'AGRI PIPE'!$E$5:$I2469,5,0)</f>
        <v>5490</v>
      </c>
      <c r="H1056" s="320"/>
      <c r="I1056" s="320"/>
      <c r="J1056" s="320"/>
      <c r="K1056" s="320"/>
      <c r="L1056" s="320"/>
      <c r="M1056" s="320"/>
      <c r="N1056" s="320"/>
      <c r="O1056" s="320"/>
    </row>
    <row r="1057">
      <c r="A1057" s="32">
        <f t="shared" si="1"/>
        <v>1056</v>
      </c>
      <c r="B1057" s="9" t="s">
        <v>81</v>
      </c>
      <c r="C1057" s="78" t="s">
        <v>2231</v>
      </c>
      <c r="D1057" s="12" t="s">
        <v>2896</v>
      </c>
      <c r="E1057" s="320">
        <f>VLOOKUP($C1057,'AGRI PIPE'!$E$5:$I2469,3,0)</f>
        <v>25.65</v>
      </c>
      <c r="F1057" s="320">
        <f>VLOOKUP($C1057,'AGRI PIPE'!$E$5:$I2469,2,0)</f>
        <v>6690</v>
      </c>
      <c r="G1057" s="320">
        <f>VLOOKUP($C1057,'AGRI PIPE'!$E$5:$I2469,5,0)</f>
        <v>6990</v>
      </c>
      <c r="H1057" s="320"/>
      <c r="I1057" s="320"/>
      <c r="J1057" s="320"/>
      <c r="K1057" s="320"/>
      <c r="L1057" s="320"/>
      <c r="M1057" s="320"/>
      <c r="N1057" s="320"/>
      <c r="O1057" s="320"/>
    </row>
    <row r="1058">
      <c r="A1058" s="32">
        <f t="shared" si="1"/>
        <v>1057</v>
      </c>
      <c r="B1058" s="9" t="s">
        <v>81</v>
      </c>
      <c r="C1058" s="78" t="s">
        <v>2232</v>
      </c>
      <c r="D1058" s="12" t="s">
        <v>2897</v>
      </c>
      <c r="E1058" s="320">
        <f>VLOOKUP($C1058,'AGRI PIPE'!$E$5:$I2469,3,0)</f>
        <v>31.75</v>
      </c>
      <c r="F1058" s="320">
        <f>VLOOKUP($C1058,'AGRI PIPE'!$E$5:$I2469,2,0)</f>
        <v>8240</v>
      </c>
      <c r="G1058" s="320">
        <f>VLOOKUP($C1058,'AGRI PIPE'!$E$5:$I2469,5,0)</f>
        <v>8690</v>
      </c>
      <c r="H1058" s="320"/>
      <c r="I1058" s="320"/>
      <c r="J1058" s="320"/>
      <c r="K1058" s="320"/>
      <c r="L1058" s="320"/>
      <c r="M1058" s="320"/>
      <c r="N1058" s="320"/>
      <c r="O1058" s="320"/>
    </row>
    <row r="1059">
      <c r="A1059" s="32">
        <f t="shared" si="1"/>
        <v>1058</v>
      </c>
      <c r="B1059" s="9" t="s">
        <v>2898</v>
      </c>
      <c r="C1059" s="500" t="s">
        <v>2068</v>
      </c>
      <c r="D1059" s="215" t="s">
        <v>2061</v>
      </c>
      <c r="E1059" s="18">
        <f>VLOOKUP($C1059,'AGRI Fittings'!$D$1:$H2469,3,0)</f>
        <v>0.012</v>
      </c>
      <c r="F1059" s="320" t="str">
        <f>VLOOKUP($C1059,'AGRI Fittings'!$D$1:$H2469,2,0)</f>
        <v>NEW</v>
      </c>
      <c r="G1059" s="320">
        <f>VLOOKUP($C1059,'AGRI Fittings'!$D$1:$H2469,5,0)</f>
        <v>6.6</v>
      </c>
      <c r="H1059" s="320"/>
      <c r="I1059" s="320"/>
      <c r="J1059" s="320"/>
      <c r="K1059" s="320"/>
      <c r="L1059" s="320"/>
      <c r="M1059" s="320"/>
      <c r="N1059" s="320"/>
      <c r="O1059" s="320"/>
    </row>
    <row r="1060">
      <c r="A1060" s="32">
        <f t="shared" si="1"/>
        <v>1059</v>
      </c>
      <c r="B1060" s="9" t="s">
        <v>2898</v>
      </c>
      <c r="C1060" s="500" t="s">
        <v>2073</v>
      </c>
      <c r="D1060" s="215" t="s">
        <v>2061</v>
      </c>
      <c r="E1060" s="18">
        <f>VLOOKUP($C1060,'AGRI Fittings'!$D$1:$H2469,3,0)</f>
        <v>0.022</v>
      </c>
      <c r="F1060" s="320" t="str">
        <f>VLOOKUP($C1060,'AGRI Fittings'!$D$1:$H2469,2,0)</f>
        <v>NEW</v>
      </c>
      <c r="G1060" s="320">
        <f>VLOOKUP($C1060,'AGRI Fittings'!$D$1:$H2469,5,0)</f>
        <v>12.2</v>
      </c>
      <c r="H1060" s="320"/>
      <c r="I1060" s="320"/>
      <c r="J1060" s="320"/>
      <c r="K1060" s="320"/>
      <c r="L1060" s="320"/>
      <c r="M1060" s="320"/>
      <c r="N1060" s="320"/>
      <c r="O1060" s="320"/>
    </row>
    <row r="1061">
      <c r="A1061" s="32">
        <f t="shared" si="1"/>
        <v>1060</v>
      </c>
      <c r="B1061" s="9" t="s">
        <v>2898</v>
      </c>
      <c r="C1061" s="500" t="s">
        <v>2075</v>
      </c>
      <c r="D1061" s="215" t="s">
        <v>2061</v>
      </c>
      <c r="E1061" s="18">
        <f>VLOOKUP($C1061,'AGRI Fittings'!$D$1:$H2469,3,0)</f>
        <v>0.031</v>
      </c>
      <c r="F1061" s="320" t="str">
        <f>VLOOKUP($C1061,'AGRI Fittings'!$D$1:$H2469,2,0)</f>
        <v>NEW</v>
      </c>
      <c r="G1061" s="320">
        <f>VLOOKUP($C1061,'AGRI Fittings'!$D$1:$H2469,5,0)</f>
        <v>17.1</v>
      </c>
      <c r="H1061" s="320"/>
      <c r="I1061" s="320"/>
      <c r="J1061" s="320"/>
      <c r="K1061" s="320"/>
      <c r="L1061" s="320"/>
      <c r="M1061" s="320"/>
      <c r="N1061" s="320"/>
      <c r="O1061" s="320"/>
    </row>
    <row r="1062">
      <c r="A1062" s="32">
        <f t="shared" si="1"/>
        <v>1061</v>
      </c>
      <c r="B1062" s="9" t="s">
        <v>2898</v>
      </c>
      <c r="C1062" s="500" t="s">
        <v>2078</v>
      </c>
      <c r="D1062" s="215" t="s">
        <v>2061</v>
      </c>
      <c r="E1062" s="18">
        <f>VLOOKUP($C1062,'AGRI Fittings'!$D$1:$H2469,3,0)</f>
        <v>0.042</v>
      </c>
      <c r="F1062" s="320" t="str">
        <f>VLOOKUP($C1062,'AGRI Fittings'!$D$1:$H2469,2,0)</f>
        <v>NEW</v>
      </c>
      <c r="G1062" s="320">
        <f>VLOOKUP($C1062,'AGRI Fittings'!$D$1:$H2469,5,0)</f>
        <v>23.1</v>
      </c>
      <c r="H1062" s="320"/>
      <c r="I1062" s="320"/>
      <c r="J1062" s="320"/>
      <c r="K1062" s="320"/>
      <c r="L1062" s="320"/>
      <c r="M1062" s="320"/>
      <c r="N1062" s="320"/>
      <c r="O1062" s="320"/>
    </row>
    <row r="1063">
      <c r="A1063" s="32">
        <f t="shared" si="1"/>
        <v>1062</v>
      </c>
      <c r="B1063" s="9" t="s">
        <v>2898</v>
      </c>
      <c r="C1063" s="500" t="s">
        <v>2079</v>
      </c>
      <c r="D1063" s="215" t="s">
        <v>2061</v>
      </c>
      <c r="E1063" s="18">
        <f>VLOOKUP($C1063,'AGRI Fittings'!$D$1:$H2469,3,0)</f>
        <v>0.062</v>
      </c>
      <c r="F1063" s="320" t="str">
        <f>VLOOKUP($C1063,'AGRI Fittings'!$D$1:$H2469,2,0)</f>
        <v>NEW</v>
      </c>
      <c r="G1063" s="320">
        <f>VLOOKUP($C1063,'AGRI Fittings'!$D$1:$H2469,5,0)</f>
        <v>34</v>
      </c>
      <c r="H1063" s="320"/>
      <c r="I1063" s="320"/>
      <c r="J1063" s="320"/>
      <c r="K1063" s="320"/>
      <c r="L1063" s="320"/>
      <c r="M1063" s="320"/>
      <c r="N1063" s="320"/>
      <c r="O1063" s="320"/>
    </row>
    <row r="1064">
      <c r="A1064" s="32">
        <f t="shared" si="1"/>
        <v>1063</v>
      </c>
      <c r="B1064" s="9" t="s">
        <v>2898</v>
      </c>
      <c r="C1064" s="500" t="s">
        <v>2086</v>
      </c>
      <c r="D1064" s="215" t="s">
        <v>2083</v>
      </c>
      <c r="E1064" s="18">
        <f>VLOOKUP($C1064,'AGRI Fittings'!$D$1:$H2469,3,0)</f>
        <v>0.025</v>
      </c>
      <c r="F1064" s="320" t="str">
        <f>VLOOKUP($C1064,'AGRI Fittings'!$D$1:$H2469,2,0)</f>
        <v>NEW</v>
      </c>
      <c r="G1064" s="320">
        <f>VLOOKUP($C1064,'AGRI Fittings'!$D$1:$H2469,5,0)</f>
        <v>13.7</v>
      </c>
      <c r="H1064" s="320"/>
      <c r="I1064" s="320"/>
      <c r="J1064" s="320"/>
      <c r="K1064" s="320"/>
      <c r="L1064" s="320"/>
      <c r="M1064" s="320"/>
      <c r="N1064" s="320"/>
      <c r="O1064" s="320"/>
    </row>
    <row r="1065">
      <c r="A1065" s="32">
        <f t="shared" si="1"/>
        <v>1064</v>
      </c>
      <c r="B1065" s="9" t="s">
        <v>2898</v>
      </c>
      <c r="C1065" s="500" t="s">
        <v>2088</v>
      </c>
      <c r="D1065" s="215" t="s">
        <v>2083</v>
      </c>
      <c r="E1065" s="18">
        <f>VLOOKUP($C1065,'AGRI Fittings'!$D$1:$H2469,3,0)</f>
        <v>0.04</v>
      </c>
      <c r="F1065" s="320" t="str">
        <f>VLOOKUP($C1065,'AGRI Fittings'!$D$1:$H2469,2,0)</f>
        <v>NEW</v>
      </c>
      <c r="G1065" s="320">
        <f>VLOOKUP($C1065,'AGRI Fittings'!$D$1:$H2469,5,0)</f>
        <v>22</v>
      </c>
      <c r="H1065" s="320"/>
      <c r="I1065" s="320"/>
      <c r="J1065" s="320"/>
      <c r="K1065" s="320"/>
      <c r="L1065" s="320"/>
      <c r="M1065" s="320"/>
      <c r="N1065" s="320"/>
      <c r="O1065" s="320"/>
    </row>
    <row r="1066">
      <c r="A1066" s="32">
        <f t="shared" si="1"/>
        <v>1065</v>
      </c>
      <c r="B1066" s="9" t="s">
        <v>2898</v>
      </c>
      <c r="C1066" s="500" t="s">
        <v>2092</v>
      </c>
      <c r="D1066" s="215" t="s">
        <v>2083</v>
      </c>
      <c r="E1066" s="18">
        <f>VLOOKUP($C1066,'AGRI Fittings'!$D$1:$H2469,3,0)</f>
        <v>0.059</v>
      </c>
      <c r="F1066" s="320" t="str">
        <f>VLOOKUP($C1066,'AGRI Fittings'!$D$1:$H2469,2,0)</f>
        <v>NEW</v>
      </c>
      <c r="G1066" s="320">
        <f>VLOOKUP($C1066,'AGRI Fittings'!$D$1:$H2469,5,0)</f>
        <v>32.4</v>
      </c>
      <c r="H1066" s="320"/>
      <c r="I1066" s="320"/>
      <c r="J1066" s="320"/>
      <c r="K1066" s="320"/>
      <c r="L1066" s="320"/>
      <c r="M1066" s="320"/>
      <c r="N1066" s="320"/>
      <c r="O1066" s="320"/>
    </row>
    <row r="1067">
      <c r="A1067" s="32">
        <f t="shared" si="1"/>
        <v>1066</v>
      </c>
      <c r="B1067" s="9" t="s">
        <v>2898</v>
      </c>
      <c r="C1067" s="500" t="s">
        <v>2093</v>
      </c>
      <c r="D1067" s="215" t="s">
        <v>2083</v>
      </c>
      <c r="E1067" s="18">
        <f>VLOOKUP($C1067,'AGRI Fittings'!$D$1:$H2469,3,0)</f>
        <v>0.087</v>
      </c>
      <c r="F1067" s="320" t="str">
        <f>VLOOKUP($C1067,'AGRI Fittings'!$D$1:$H2469,2,0)</f>
        <v>NEW</v>
      </c>
      <c r="G1067" s="320">
        <f>VLOOKUP($C1067,'AGRI Fittings'!$D$1:$H2469,5,0)</f>
        <v>48</v>
      </c>
      <c r="H1067" s="320"/>
      <c r="I1067" s="320"/>
      <c r="J1067" s="320"/>
      <c r="K1067" s="320"/>
      <c r="L1067" s="320"/>
      <c r="M1067" s="320"/>
      <c r="N1067" s="320"/>
      <c r="O1067" s="320"/>
    </row>
    <row r="1068">
      <c r="A1068" s="32">
        <f t="shared" si="1"/>
        <v>1067</v>
      </c>
      <c r="B1068" s="9" t="s">
        <v>2898</v>
      </c>
      <c r="C1068" s="500" t="s">
        <v>2094</v>
      </c>
      <c r="D1068" s="215" t="s">
        <v>2083</v>
      </c>
      <c r="E1068" s="18">
        <f>VLOOKUP($C1068,'AGRI Fittings'!$D$1:$H2469,3,0)</f>
        <v>0.132</v>
      </c>
      <c r="F1068" s="320" t="str">
        <f>VLOOKUP($C1068,'AGRI Fittings'!$D$1:$H2469,2,0)</f>
        <v>NEW</v>
      </c>
      <c r="G1068" s="320">
        <f>VLOOKUP($C1068,'AGRI Fittings'!$D$1:$H2469,5,0)</f>
        <v>72.5</v>
      </c>
      <c r="H1068" s="320"/>
      <c r="I1068" s="320"/>
      <c r="J1068" s="320"/>
      <c r="K1068" s="320"/>
      <c r="L1068" s="320"/>
      <c r="M1068" s="320"/>
      <c r="N1068" s="320"/>
      <c r="O1068" s="320"/>
    </row>
    <row r="1069">
      <c r="A1069" s="32">
        <f t="shared" si="1"/>
        <v>1068</v>
      </c>
      <c r="B1069" s="9" t="s">
        <v>2898</v>
      </c>
      <c r="C1069" s="500" t="s">
        <v>2098</v>
      </c>
      <c r="D1069" s="215" t="s">
        <v>2097</v>
      </c>
      <c r="E1069" s="18">
        <f>VLOOKUP($C1069,'AGRI Fittings'!$D$1:$H2469,3,0)</f>
        <v>0.018</v>
      </c>
      <c r="F1069" s="320" t="str">
        <f>VLOOKUP($C1069,'AGRI Fittings'!$D$1:$H2469,2,0)</f>
        <v>NEW</v>
      </c>
      <c r="G1069" s="320">
        <f>VLOOKUP($C1069,'AGRI Fittings'!$D$1:$H2469,5,0)</f>
        <v>9.9</v>
      </c>
      <c r="H1069" s="320"/>
      <c r="I1069" s="320"/>
      <c r="J1069" s="320"/>
      <c r="K1069" s="320"/>
      <c r="L1069" s="320"/>
      <c r="M1069" s="320"/>
      <c r="N1069" s="320"/>
      <c r="O1069" s="320"/>
    </row>
    <row r="1070">
      <c r="A1070" s="32">
        <f t="shared" si="1"/>
        <v>1069</v>
      </c>
      <c r="B1070" s="9" t="s">
        <v>2898</v>
      </c>
      <c r="C1070" s="500" t="s">
        <v>2102</v>
      </c>
      <c r="D1070" s="215" t="s">
        <v>2097</v>
      </c>
      <c r="E1070" s="18">
        <f>VLOOKUP($C1070,'AGRI Fittings'!$D$1:$H2469,3,0)</f>
        <v>0.029</v>
      </c>
      <c r="F1070" s="320" t="str">
        <f>VLOOKUP($C1070,'AGRI Fittings'!$D$1:$H2469,2,0)</f>
        <v>NEW</v>
      </c>
      <c r="G1070" s="320">
        <f>VLOOKUP($C1070,'AGRI Fittings'!$D$1:$H2469,5,0)</f>
        <v>16</v>
      </c>
      <c r="H1070" s="320"/>
      <c r="I1070" s="320"/>
      <c r="J1070" s="320"/>
      <c r="K1070" s="320"/>
      <c r="L1070" s="320"/>
      <c r="M1070" s="320"/>
      <c r="N1070" s="320"/>
      <c r="O1070" s="320"/>
    </row>
    <row r="1071">
      <c r="A1071" s="32">
        <f t="shared" si="1"/>
        <v>1070</v>
      </c>
      <c r="B1071" s="9" t="s">
        <v>2898</v>
      </c>
      <c r="C1071" s="500" t="s">
        <v>2103</v>
      </c>
      <c r="D1071" s="215" t="s">
        <v>2097</v>
      </c>
      <c r="E1071" s="18">
        <f>VLOOKUP($C1071,'AGRI Fittings'!$D$1:$H2469,3,0)</f>
        <v>0.046</v>
      </c>
      <c r="F1071" s="320" t="str">
        <f>VLOOKUP($C1071,'AGRI Fittings'!$D$1:$H2469,2,0)</f>
        <v>NEW</v>
      </c>
      <c r="G1071" s="320">
        <f>VLOOKUP($C1071,'AGRI Fittings'!$D$1:$H2469,5,0)</f>
        <v>25.3</v>
      </c>
      <c r="H1071" s="320"/>
      <c r="I1071" s="320"/>
      <c r="J1071" s="320"/>
      <c r="K1071" s="320"/>
      <c r="L1071" s="320"/>
      <c r="M1071" s="320"/>
      <c r="N1071" s="320"/>
      <c r="O1071" s="320"/>
    </row>
    <row r="1072">
      <c r="A1072" s="32">
        <f t="shared" si="1"/>
        <v>1071</v>
      </c>
      <c r="B1072" s="9" t="s">
        <v>2898</v>
      </c>
      <c r="C1072" s="500" t="s">
        <v>2104</v>
      </c>
      <c r="D1072" s="215" t="s">
        <v>2097</v>
      </c>
      <c r="E1072" s="18">
        <f>VLOOKUP($C1072,'AGRI Fittings'!$D$1:$H2469,3,0)</f>
        <v>0.066</v>
      </c>
      <c r="F1072" s="320" t="str">
        <f>VLOOKUP($C1072,'AGRI Fittings'!$D$1:$H2469,2,0)</f>
        <v>NEW</v>
      </c>
      <c r="G1072" s="320">
        <f>VLOOKUP($C1072,'AGRI Fittings'!$D$1:$H2469,5,0)</f>
        <v>36.5</v>
      </c>
      <c r="H1072" s="320"/>
      <c r="I1072" s="320"/>
      <c r="J1072" s="320"/>
      <c r="K1072" s="320"/>
      <c r="L1072" s="320"/>
      <c r="M1072" s="320"/>
      <c r="N1072" s="320"/>
      <c r="O1072" s="320"/>
    </row>
    <row r="1073">
      <c r="A1073" s="32">
        <f t="shared" si="1"/>
        <v>1072</v>
      </c>
      <c r="B1073" s="9" t="s">
        <v>2898</v>
      </c>
      <c r="C1073" s="500" t="s">
        <v>2105</v>
      </c>
      <c r="D1073" s="215" t="s">
        <v>2097</v>
      </c>
      <c r="E1073" s="18">
        <f>VLOOKUP($C1073,'AGRI Fittings'!$D$1:$H2469,3,0)</f>
        <v>0.096</v>
      </c>
      <c r="F1073" s="320" t="str">
        <f>VLOOKUP($C1073,'AGRI Fittings'!$D$1:$H2469,2,0)</f>
        <v>NEW</v>
      </c>
      <c r="G1073" s="320">
        <f>VLOOKUP($C1073,'AGRI Fittings'!$D$1:$H2469,5,0)</f>
        <v>53</v>
      </c>
      <c r="H1073" s="320"/>
      <c r="I1073" s="320"/>
      <c r="J1073" s="320"/>
      <c r="K1073" s="320"/>
      <c r="L1073" s="320"/>
      <c r="M1073" s="320"/>
      <c r="N1073" s="320"/>
      <c r="O1073" s="320"/>
    </row>
    <row r="1074">
      <c r="A1074" s="32">
        <f t="shared" si="1"/>
        <v>1073</v>
      </c>
      <c r="B1074" s="9" t="s">
        <v>2898</v>
      </c>
      <c r="C1074" s="500" t="s">
        <v>2109</v>
      </c>
      <c r="D1074" s="215" t="s">
        <v>2108</v>
      </c>
      <c r="E1074" s="18">
        <f>VLOOKUP($C1074,'AGRI Fittings'!$D$1:$H2469,3,0)</f>
        <v>0.017</v>
      </c>
      <c r="F1074" s="320" t="str">
        <f>VLOOKUP($C1074,'AGRI Fittings'!$D$1:$H2469,2,0)</f>
        <v>NEW</v>
      </c>
      <c r="G1074" s="320">
        <f>VLOOKUP($C1074,'AGRI Fittings'!$D$1:$H2469,5,0)</f>
        <v>9.5</v>
      </c>
      <c r="H1074" s="320"/>
      <c r="I1074" s="320"/>
      <c r="J1074" s="320"/>
      <c r="K1074" s="320"/>
      <c r="L1074" s="320"/>
      <c r="M1074" s="320"/>
      <c r="N1074" s="320"/>
      <c r="O1074" s="320"/>
    </row>
    <row r="1075">
      <c r="A1075" s="32">
        <f t="shared" si="1"/>
        <v>1074</v>
      </c>
      <c r="B1075" s="9" t="s">
        <v>2898</v>
      </c>
      <c r="C1075" s="500" t="s">
        <v>2110</v>
      </c>
      <c r="D1075" s="215" t="s">
        <v>2108</v>
      </c>
      <c r="E1075" s="18">
        <f>VLOOKUP($C1075,'AGRI Fittings'!$D$1:$H2469,3,0)</f>
        <v>0.027</v>
      </c>
      <c r="F1075" s="320" t="str">
        <f>VLOOKUP($C1075,'AGRI Fittings'!$D$1:$H2469,2,0)</f>
        <v>NEW</v>
      </c>
      <c r="G1075" s="320">
        <f>VLOOKUP($C1075,'AGRI Fittings'!$D$1:$H2469,5,0)</f>
        <v>15</v>
      </c>
      <c r="H1075" s="320"/>
      <c r="I1075" s="320"/>
      <c r="J1075" s="320"/>
      <c r="K1075" s="320"/>
      <c r="L1075" s="320"/>
      <c r="M1075" s="320"/>
      <c r="N1075" s="320"/>
      <c r="O1075" s="320"/>
    </row>
    <row r="1076">
      <c r="A1076" s="32">
        <f t="shared" si="1"/>
        <v>1075</v>
      </c>
      <c r="B1076" s="9" t="s">
        <v>2898</v>
      </c>
      <c r="C1076" s="500" t="s">
        <v>2111</v>
      </c>
      <c r="D1076" s="215" t="s">
        <v>2108</v>
      </c>
      <c r="E1076" s="18">
        <f>VLOOKUP($C1076,'AGRI Fittings'!$D$1:$H2469,3,0)</f>
        <v>0.038</v>
      </c>
      <c r="F1076" s="320" t="str">
        <f>VLOOKUP($C1076,'AGRI Fittings'!$D$1:$H2469,2,0)</f>
        <v>NEW</v>
      </c>
      <c r="G1076" s="320">
        <f>VLOOKUP($C1076,'AGRI Fittings'!$D$1:$H2469,5,0)</f>
        <v>20.9</v>
      </c>
      <c r="H1076" s="320"/>
      <c r="I1076" s="320"/>
      <c r="J1076" s="320"/>
      <c r="K1076" s="320"/>
      <c r="L1076" s="320"/>
      <c r="M1076" s="320"/>
      <c r="N1076" s="320"/>
      <c r="O1076" s="320"/>
    </row>
    <row r="1077">
      <c r="A1077" s="32">
        <f t="shared" si="1"/>
        <v>1076</v>
      </c>
      <c r="B1077" s="9" t="s">
        <v>2898</v>
      </c>
      <c r="C1077" s="500" t="s">
        <v>2112</v>
      </c>
      <c r="D1077" s="215" t="s">
        <v>2108</v>
      </c>
      <c r="E1077" s="18">
        <f>VLOOKUP($C1077,'AGRI Fittings'!$D$1:$H2469,3,0)</f>
        <v>0.054</v>
      </c>
      <c r="F1077" s="320" t="str">
        <f>VLOOKUP($C1077,'AGRI Fittings'!$D$1:$H2469,2,0)</f>
        <v>NEW</v>
      </c>
      <c r="G1077" s="320">
        <f>VLOOKUP($C1077,'AGRI Fittings'!$D$1:$H2469,5,0)</f>
        <v>30</v>
      </c>
      <c r="H1077" s="320"/>
      <c r="I1077" s="320"/>
      <c r="J1077" s="320"/>
      <c r="K1077" s="320"/>
      <c r="L1077" s="320"/>
      <c r="M1077" s="320"/>
      <c r="N1077" s="320"/>
      <c r="O1077" s="320"/>
    </row>
    <row r="1078">
      <c r="A1078" s="32">
        <f t="shared" si="1"/>
        <v>1077</v>
      </c>
      <c r="B1078" s="9" t="s">
        <v>2898</v>
      </c>
      <c r="C1078" s="500" t="s">
        <v>2113</v>
      </c>
      <c r="D1078" s="215" t="s">
        <v>2108</v>
      </c>
      <c r="E1078" s="18">
        <f>VLOOKUP($C1078,'AGRI Fittings'!$D$1:$H2469,3,0)</f>
        <v>0.081</v>
      </c>
      <c r="F1078" s="320" t="str">
        <f>VLOOKUP($C1078,'AGRI Fittings'!$D$1:$H2469,2,0)</f>
        <v>NEW</v>
      </c>
      <c r="G1078" s="320">
        <f>VLOOKUP($C1078,'AGRI Fittings'!$D$1:$H2469,5,0)</f>
        <v>44.5</v>
      </c>
      <c r="H1078" s="320"/>
      <c r="I1078" s="320"/>
      <c r="J1078" s="320"/>
      <c r="K1078" s="320"/>
      <c r="L1078" s="320"/>
      <c r="M1078" s="320"/>
      <c r="N1078" s="320"/>
      <c r="O1078" s="320"/>
    </row>
    <row r="1079">
      <c r="A1079" s="32">
        <f t="shared" si="1"/>
        <v>1078</v>
      </c>
      <c r="B1079" s="9" t="s">
        <v>2898</v>
      </c>
      <c r="C1079" s="500" t="s">
        <v>2121</v>
      </c>
      <c r="D1079" s="215" t="s">
        <v>2118</v>
      </c>
      <c r="E1079" s="18" t="str">
        <f>VLOOKUP($C1079,'AGRI Fittings'!$D$1:$H2469,3,0)</f>
        <v/>
      </c>
      <c r="F1079" s="320" t="str">
        <f>VLOOKUP($C1079,'AGRI Fittings'!$D$1:$H2469,2,0)</f>
        <v/>
      </c>
      <c r="G1079" s="320" t="str">
        <f>VLOOKUP($C1079,'AGRI Fittings'!$D$1:$H2469,5,0)</f>
        <v>On the Way</v>
      </c>
      <c r="H1079" s="320"/>
      <c r="I1079" s="320"/>
      <c r="J1079" s="320"/>
      <c r="K1079" s="320"/>
      <c r="L1079" s="320"/>
      <c r="M1079" s="320"/>
      <c r="N1079" s="320"/>
      <c r="O1079" s="320"/>
    </row>
    <row r="1080">
      <c r="A1080" s="32">
        <f t="shared" si="1"/>
        <v>1079</v>
      </c>
      <c r="B1080" s="9" t="s">
        <v>2898</v>
      </c>
      <c r="C1080" s="500" t="s">
        <v>2126</v>
      </c>
      <c r="D1080" s="215" t="s">
        <v>2118</v>
      </c>
      <c r="E1080" s="18" t="str">
        <f>VLOOKUP($C1080,'AGRI Fittings'!$D$1:$H2469,3,0)</f>
        <v/>
      </c>
      <c r="F1080" s="320" t="str">
        <f>VLOOKUP($C1080,'AGRI Fittings'!$D$1:$H2469,2,0)</f>
        <v/>
      </c>
      <c r="G1080" s="320" t="str">
        <f>VLOOKUP($C1080,'AGRI Fittings'!$D$1:$H2469,5,0)</f>
        <v>On the Way</v>
      </c>
      <c r="H1080" s="320"/>
      <c r="I1080" s="320"/>
      <c r="J1080" s="320"/>
      <c r="K1080" s="320"/>
      <c r="L1080" s="320"/>
      <c r="M1080" s="320"/>
      <c r="N1080" s="320"/>
      <c r="O1080" s="320"/>
    </row>
    <row r="1081">
      <c r="A1081" s="32">
        <f t="shared" si="1"/>
        <v>1080</v>
      </c>
      <c r="B1081" s="9" t="s">
        <v>2898</v>
      </c>
      <c r="C1081" s="500" t="s">
        <v>2127</v>
      </c>
      <c r="D1081" s="215" t="s">
        <v>2118</v>
      </c>
      <c r="E1081" s="18" t="str">
        <f>VLOOKUP($C1081,'AGRI Fittings'!$D$1:$H2469,3,0)</f>
        <v/>
      </c>
      <c r="F1081" s="320" t="str">
        <f>VLOOKUP($C1081,'AGRI Fittings'!$D$1:$H2469,2,0)</f>
        <v/>
      </c>
      <c r="G1081" s="320" t="str">
        <f>VLOOKUP($C1081,'AGRI Fittings'!$D$1:$H2469,5,0)</f>
        <v>On the Way</v>
      </c>
      <c r="H1081" s="320"/>
      <c r="I1081" s="320"/>
      <c r="J1081" s="320"/>
      <c r="K1081" s="320"/>
      <c r="L1081" s="320"/>
      <c r="M1081" s="320"/>
      <c r="N1081" s="320"/>
      <c r="O1081" s="320"/>
    </row>
    <row r="1082">
      <c r="A1082" s="32">
        <f t="shared" si="1"/>
        <v>1081</v>
      </c>
      <c r="B1082" s="9" t="s">
        <v>2898</v>
      </c>
      <c r="C1082" s="78" t="s">
        <v>2136</v>
      </c>
      <c r="D1082" s="12" t="s">
        <v>2899</v>
      </c>
      <c r="E1082" s="18">
        <f>VLOOKUP($C1082,'AGRI Fittings'!$D$1:$H2469,3,0)</f>
        <v>0.034</v>
      </c>
      <c r="F1082" s="320">
        <f>VLOOKUP($C1082,'AGRI Fittings'!$D$1:$H2469,2,0)</f>
        <v>16.2</v>
      </c>
      <c r="G1082" s="320">
        <f>VLOOKUP($C1082,'AGRI Fittings'!$D$1:$H2469,5,0)</f>
        <v>16.2</v>
      </c>
      <c r="H1082" s="320"/>
      <c r="I1082" s="320"/>
      <c r="J1082" s="320"/>
      <c r="K1082" s="320"/>
      <c r="L1082" s="320"/>
      <c r="M1082" s="320"/>
      <c r="N1082" s="320"/>
      <c r="O1082" s="320"/>
    </row>
    <row r="1083">
      <c r="A1083" s="32">
        <f t="shared" si="1"/>
        <v>1082</v>
      </c>
      <c r="B1083" s="9" t="s">
        <v>2898</v>
      </c>
      <c r="C1083" s="78" t="s">
        <v>2138</v>
      </c>
      <c r="D1083" s="12" t="s">
        <v>2900</v>
      </c>
      <c r="E1083" s="18">
        <f>VLOOKUP($C1083,'AGRI Fittings'!$D$1:$H2469,3,0)</f>
        <v>0.0552</v>
      </c>
      <c r="F1083" s="320">
        <f>VLOOKUP($C1083,'AGRI Fittings'!$D$1:$H2469,2,0)</f>
        <v>26.8</v>
      </c>
      <c r="G1083" s="320">
        <f>VLOOKUP($C1083,'AGRI Fittings'!$D$1:$H2469,5,0)</f>
        <v>26.8</v>
      </c>
      <c r="H1083" s="320"/>
      <c r="I1083" s="320"/>
      <c r="J1083" s="320"/>
      <c r="K1083" s="320"/>
      <c r="L1083" s="320"/>
      <c r="M1083" s="320"/>
      <c r="N1083" s="320"/>
      <c r="O1083" s="320"/>
    </row>
    <row r="1084">
      <c r="A1084" s="32">
        <f t="shared" si="1"/>
        <v>1083</v>
      </c>
      <c r="B1084" s="9" t="s">
        <v>2898</v>
      </c>
      <c r="C1084" s="78" t="s">
        <v>2141</v>
      </c>
      <c r="D1084" s="12" t="s">
        <v>2901</v>
      </c>
      <c r="E1084" s="18">
        <f>VLOOKUP($C1084,'AGRI Fittings'!$D$1:$H2469,3,0)</f>
        <v>0.08835</v>
      </c>
      <c r="F1084" s="320">
        <f>VLOOKUP($C1084,'AGRI Fittings'!$D$1:$H2469,2,0)</f>
        <v>42.8</v>
      </c>
      <c r="G1084" s="320">
        <f>VLOOKUP($C1084,'AGRI Fittings'!$D$1:$H2469,5,0)</f>
        <v>42.8</v>
      </c>
      <c r="H1084" s="320"/>
      <c r="I1084" s="320"/>
      <c r="J1084" s="320"/>
      <c r="K1084" s="320"/>
      <c r="L1084" s="320"/>
      <c r="M1084" s="320"/>
      <c r="N1084" s="320"/>
      <c r="O1084" s="320"/>
    </row>
    <row r="1085">
      <c r="A1085" s="32">
        <f t="shared" si="1"/>
        <v>1084</v>
      </c>
      <c r="B1085" s="9" t="s">
        <v>2898</v>
      </c>
      <c r="C1085" s="78" t="s">
        <v>2145</v>
      </c>
      <c r="D1085" s="12" t="s">
        <v>2902</v>
      </c>
      <c r="E1085" s="18">
        <f>VLOOKUP($C1085,'AGRI Fittings'!$D$1:$H2469,3,0)</f>
        <v>0.1289</v>
      </c>
      <c r="F1085" s="320">
        <f>VLOOKUP($C1085,'AGRI Fittings'!$D$1:$H2469,2,0)</f>
        <v>62.8</v>
      </c>
      <c r="G1085" s="320">
        <f>VLOOKUP($C1085,'AGRI Fittings'!$D$1:$H2469,5,0)</f>
        <v>62.8</v>
      </c>
      <c r="H1085" s="320"/>
      <c r="I1085" s="320"/>
      <c r="J1085" s="320"/>
      <c r="K1085" s="320"/>
      <c r="L1085" s="320"/>
      <c r="M1085" s="320"/>
      <c r="N1085" s="320"/>
      <c r="O1085" s="320"/>
    </row>
    <row r="1086">
      <c r="A1086" s="32">
        <f t="shared" si="1"/>
        <v>1085</v>
      </c>
      <c r="B1086" s="9" t="s">
        <v>2898</v>
      </c>
      <c r="C1086" s="78" t="s">
        <v>2148</v>
      </c>
      <c r="D1086" s="12" t="s">
        <v>2903</v>
      </c>
      <c r="E1086" s="18">
        <f>VLOOKUP($C1086,'AGRI Fittings'!$D$1:$H2469,3,0)</f>
        <v>0.191</v>
      </c>
      <c r="F1086" s="320">
        <f>VLOOKUP($C1086,'AGRI Fittings'!$D$1:$H2469,2,0)</f>
        <v>92.4</v>
      </c>
      <c r="G1086" s="320">
        <f>VLOOKUP($C1086,'AGRI Fittings'!$D$1:$H2469,5,0)</f>
        <v>92.4</v>
      </c>
      <c r="H1086" s="320"/>
      <c r="I1086" s="320"/>
      <c r="J1086" s="320"/>
      <c r="K1086" s="320"/>
      <c r="L1086" s="320"/>
      <c r="M1086" s="320"/>
      <c r="N1086" s="320"/>
      <c r="O1086" s="320"/>
    </row>
    <row r="1087">
      <c r="A1087" s="32">
        <f t="shared" si="1"/>
        <v>1086</v>
      </c>
      <c r="B1087" s="9" t="s">
        <v>2898</v>
      </c>
      <c r="C1087" s="78" t="s">
        <v>2151</v>
      </c>
      <c r="D1087" s="12" t="s">
        <v>2904</v>
      </c>
      <c r="E1087" s="18">
        <f>VLOOKUP($C1087,'AGRI Fittings'!$D$1:$H2469,3,0)</f>
        <v>0.2956</v>
      </c>
      <c r="F1087" s="320">
        <f>VLOOKUP($C1087,'AGRI Fittings'!$D$1:$H2469,2,0)</f>
        <v>143.4</v>
      </c>
      <c r="G1087" s="320">
        <f>VLOOKUP($C1087,'AGRI Fittings'!$D$1:$H2469,5,0)</f>
        <v>143.4</v>
      </c>
      <c r="H1087" s="320"/>
      <c r="I1087" s="320"/>
      <c r="J1087" s="320"/>
      <c r="K1087" s="320"/>
      <c r="L1087" s="320"/>
      <c r="M1087" s="320"/>
      <c r="N1087" s="320"/>
      <c r="O1087" s="320"/>
    </row>
    <row r="1088">
      <c r="A1088" s="32">
        <f t="shared" si="1"/>
        <v>1087</v>
      </c>
      <c r="B1088" s="9" t="s">
        <v>2898</v>
      </c>
      <c r="C1088" s="78" t="s">
        <v>2153</v>
      </c>
      <c r="D1088" s="12" t="s">
        <v>2905</v>
      </c>
      <c r="E1088" s="18">
        <f>VLOOKUP($C1088,'AGRI Fittings'!$D$1:$H2469,3,0)</f>
        <v>0.3998</v>
      </c>
      <c r="F1088" s="320">
        <f>VLOOKUP($C1088,'AGRI Fittings'!$D$1:$H2469,2,0)</f>
        <v>192.4</v>
      </c>
      <c r="G1088" s="320">
        <f>VLOOKUP($C1088,'AGRI Fittings'!$D$1:$H2469,5,0)</f>
        <v>192.4</v>
      </c>
      <c r="H1088" s="320"/>
      <c r="I1088" s="320"/>
      <c r="J1088" s="320"/>
      <c r="K1088" s="320"/>
      <c r="L1088" s="320"/>
      <c r="M1088" s="320"/>
      <c r="N1088" s="320"/>
      <c r="O1088" s="320"/>
    </row>
    <row r="1089">
      <c r="A1089" s="32">
        <f t="shared" si="1"/>
        <v>1088</v>
      </c>
      <c r="B1089" s="9" t="s">
        <v>2898</v>
      </c>
      <c r="C1089" s="78" t="s">
        <v>2155</v>
      </c>
      <c r="D1089" s="12" t="s">
        <v>2906</v>
      </c>
      <c r="E1089" s="18">
        <f>VLOOKUP($C1089,'AGRI Fittings'!$D$1:$H2469,3,0)</f>
        <v>0.5435</v>
      </c>
      <c r="F1089" s="320">
        <f>VLOOKUP($C1089,'AGRI Fittings'!$D$1:$H2469,2,0)</f>
        <v>264</v>
      </c>
      <c r="G1089" s="320">
        <f>VLOOKUP($C1089,'AGRI Fittings'!$D$1:$H2469,5,0)</f>
        <v>264</v>
      </c>
      <c r="H1089" s="320"/>
      <c r="I1089" s="320"/>
      <c r="J1089" s="320"/>
      <c r="K1089" s="320"/>
      <c r="L1089" s="320"/>
      <c r="M1089" s="320"/>
      <c r="N1089" s="320"/>
      <c r="O1089" s="320"/>
    </row>
    <row r="1090">
      <c r="A1090" s="32">
        <f t="shared" si="1"/>
        <v>1089</v>
      </c>
      <c r="B1090" s="9" t="s">
        <v>2898</v>
      </c>
      <c r="C1090" s="78" t="s">
        <v>2156</v>
      </c>
      <c r="D1090" s="12" t="s">
        <v>2907</v>
      </c>
      <c r="E1090" s="18">
        <f>VLOOKUP($C1090,'AGRI Fittings'!$D$1:$H2469,3,0)</f>
        <v>0.7567</v>
      </c>
      <c r="F1090" s="320">
        <f>VLOOKUP($C1090,'AGRI Fittings'!$D$1:$H2469,2,0)</f>
        <v>368</v>
      </c>
      <c r="G1090" s="320">
        <f>VLOOKUP($C1090,'AGRI Fittings'!$D$1:$H2469,5,0)</f>
        <v>368</v>
      </c>
      <c r="H1090" s="320"/>
      <c r="I1090" s="320"/>
      <c r="J1090" s="320"/>
      <c r="K1090" s="320"/>
      <c r="L1090" s="320"/>
      <c r="M1090" s="320"/>
      <c r="N1090" s="320"/>
      <c r="O1090" s="320"/>
    </row>
    <row r="1091">
      <c r="A1091" s="32">
        <f t="shared" si="1"/>
        <v>1090</v>
      </c>
      <c r="B1091" s="9" t="s">
        <v>2898</v>
      </c>
      <c r="C1091" s="78" t="s">
        <v>2167</v>
      </c>
      <c r="D1091" s="12" t="s">
        <v>2908</v>
      </c>
      <c r="E1091" s="18">
        <f>VLOOKUP($C1091,'AGRI Fittings'!$D$1:$H2469,3,0)</f>
        <v>0.0789</v>
      </c>
      <c r="F1091" s="320">
        <f>VLOOKUP($C1091,'AGRI Fittings'!$D$1:$H2469,2,0)</f>
        <v>37.8</v>
      </c>
      <c r="G1091" s="320">
        <f>VLOOKUP($C1091,'AGRI Fittings'!$D$1:$H2469,5,0)</f>
        <v>37.8</v>
      </c>
      <c r="H1091" s="320"/>
      <c r="I1091" s="320"/>
      <c r="J1091" s="320"/>
      <c r="K1091" s="320"/>
      <c r="L1091" s="320"/>
      <c r="M1091" s="320"/>
      <c r="N1091" s="320"/>
      <c r="O1091" s="320"/>
    </row>
    <row r="1092">
      <c r="A1092" s="32">
        <f t="shared" si="1"/>
        <v>1091</v>
      </c>
      <c r="B1092" s="9" t="s">
        <v>2898</v>
      </c>
      <c r="C1092" s="78" t="s">
        <v>2174</v>
      </c>
      <c r="D1092" s="12" t="s">
        <v>2909</v>
      </c>
      <c r="E1092" s="18">
        <f>VLOOKUP($C1092,'AGRI Fittings'!$D$1:$H2469,3,0)</f>
        <v>0.1235</v>
      </c>
      <c r="F1092" s="320">
        <f>VLOOKUP($C1092,'AGRI Fittings'!$D$1:$H2469,2,0)</f>
        <v>59.8</v>
      </c>
      <c r="G1092" s="320">
        <f>VLOOKUP($C1092,'AGRI Fittings'!$D$1:$H2469,5,0)</f>
        <v>59.8</v>
      </c>
      <c r="H1092" s="320"/>
      <c r="I1092" s="320"/>
      <c r="J1092" s="320"/>
      <c r="K1092" s="320"/>
      <c r="L1092" s="320"/>
      <c r="M1092" s="320"/>
      <c r="N1092" s="320"/>
      <c r="O1092" s="320"/>
    </row>
    <row r="1093">
      <c r="A1093" s="32">
        <f t="shared" si="1"/>
        <v>1092</v>
      </c>
      <c r="B1093" s="9" t="s">
        <v>2898</v>
      </c>
      <c r="C1093" s="78" t="s">
        <v>2177</v>
      </c>
      <c r="D1093" s="12" t="s">
        <v>2910</v>
      </c>
      <c r="E1093" s="18">
        <f>VLOOKUP($C1093,'AGRI Fittings'!$D$1:$H2469,3,0)</f>
        <v>0.2002</v>
      </c>
      <c r="F1093" s="320">
        <f>VLOOKUP($C1093,'AGRI Fittings'!$D$1:$H2469,2,0)</f>
        <v>96.8</v>
      </c>
      <c r="G1093" s="320">
        <f>VLOOKUP($C1093,'AGRI Fittings'!$D$1:$H2469,5,0)</f>
        <v>96.8</v>
      </c>
      <c r="H1093" s="320"/>
      <c r="I1093" s="320"/>
      <c r="J1093" s="320"/>
      <c r="K1093" s="320"/>
      <c r="L1093" s="320"/>
      <c r="M1093" s="320"/>
      <c r="N1093" s="320"/>
      <c r="O1093" s="320"/>
    </row>
    <row r="1094">
      <c r="A1094" s="32">
        <f t="shared" si="1"/>
        <v>1093</v>
      </c>
      <c r="B1094" s="9" t="s">
        <v>2898</v>
      </c>
      <c r="C1094" s="78" t="s">
        <v>2180</v>
      </c>
      <c r="D1094" s="12" t="s">
        <v>2911</v>
      </c>
      <c r="E1094" s="18">
        <f>VLOOKUP($C1094,'AGRI Fittings'!$D$1:$H2469,3,0)</f>
        <v>0.3055</v>
      </c>
      <c r="F1094" s="320">
        <f>VLOOKUP($C1094,'AGRI Fittings'!$D$1:$H2469,2,0)</f>
        <v>146.8</v>
      </c>
      <c r="G1094" s="320">
        <f>VLOOKUP($C1094,'AGRI Fittings'!$D$1:$H2469,5,0)</f>
        <v>146.8</v>
      </c>
      <c r="H1094" s="320"/>
      <c r="I1094" s="320"/>
      <c r="J1094" s="320"/>
      <c r="K1094" s="320"/>
      <c r="L1094" s="320"/>
      <c r="M1094" s="320"/>
      <c r="N1094" s="320"/>
      <c r="O1094" s="320"/>
    </row>
    <row r="1095">
      <c r="A1095" s="32">
        <f t="shared" si="1"/>
        <v>1094</v>
      </c>
      <c r="B1095" s="9" t="s">
        <v>2898</v>
      </c>
      <c r="C1095" s="78" t="s">
        <v>2182</v>
      </c>
      <c r="D1095" s="12" t="s">
        <v>2912</v>
      </c>
      <c r="E1095" s="18">
        <f>VLOOKUP($C1095,'AGRI Fittings'!$D$1:$H2469,3,0)</f>
        <v>0.461</v>
      </c>
      <c r="F1095" s="320">
        <f>VLOOKUP($C1095,'AGRI Fittings'!$D$1:$H2469,2,0)</f>
        <v>224</v>
      </c>
      <c r="G1095" s="320">
        <f>VLOOKUP($C1095,'AGRI Fittings'!$D$1:$H2469,5,0)</f>
        <v>224</v>
      </c>
      <c r="H1095" s="320"/>
      <c r="I1095" s="320"/>
      <c r="J1095" s="320"/>
      <c r="K1095" s="320"/>
      <c r="L1095" s="320"/>
      <c r="M1095" s="320"/>
      <c r="N1095" s="320"/>
      <c r="O1095" s="320"/>
    </row>
    <row r="1096">
      <c r="A1096" s="32">
        <f t="shared" si="1"/>
        <v>1095</v>
      </c>
      <c r="B1096" s="9" t="s">
        <v>2898</v>
      </c>
      <c r="C1096" s="78" t="s">
        <v>2184</v>
      </c>
      <c r="D1096" s="12" t="s">
        <v>2913</v>
      </c>
      <c r="E1096" s="18">
        <f>VLOOKUP($C1096,'AGRI Fittings'!$D$1:$H2469,3,0)</f>
        <v>0.725</v>
      </c>
      <c r="F1096" s="320">
        <f>VLOOKUP($C1096,'AGRI Fittings'!$D$1:$H2469,2,0)</f>
        <v>348</v>
      </c>
      <c r="G1096" s="320">
        <f>VLOOKUP($C1096,'AGRI Fittings'!$D$1:$H2469,5,0)</f>
        <v>348</v>
      </c>
      <c r="H1096" s="320"/>
      <c r="I1096" s="320"/>
      <c r="J1096" s="320"/>
      <c r="K1096" s="320"/>
      <c r="L1096" s="320"/>
      <c r="M1096" s="320"/>
      <c r="N1096" s="320"/>
      <c r="O1096" s="320"/>
    </row>
    <row r="1097">
      <c r="A1097" s="32">
        <f t="shared" si="1"/>
        <v>1096</v>
      </c>
      <c r="B1097" s="9" t="s">
        <v>2898</v>
      </c>
      <c r="C1097" s="78" t="s">
        <v>2187</v>
      </c>
      <c r="D1097" s="12" t="s">
        <v>2914</v>
      </c>
      <c r="E1097" s="18">
        <f>VLOOKUP($C1097,'AGRI Fittings'!$D$1:$H2469,3,0)</f>
        <v>0.976</v>
      </c>
      <c r="F1097" s="320">
        <f>VLOOKUP($C1097,'AGRI Fittings'!$D$1:$H2469,2,0)</f>
        <v>472</v>
      </c>
      <c r="G1097" s="320">
        <f>VLOOKUP($C1097,'AGRI Fittings'!$D$1:$H2469,5,0)</f>
        <v>472</v>
      </c>
      <c r="H1097" s="320"/>
      <c r="I1097" s="320"/>
      <c r="J1097" s="320"/>
      <c r="K1097" s="320"/>
      <c r="L1097" s="320"/>
      <c r="M1097" s="320"/>
      <c r="N1097" s="320"/>
      <c r="O1097" s="320"/>
    </row>
    <row r="1098">
      <c r="A1098" s="32">
        <f t="shared" si="1"/>
        <v>1097</v>
      </c>
      <c r="B1098" s="9" t="s">
        <v>2898</v>
      </c>
      <c r="C1098" s="78" t="s">
        <v>2189</v>
      </c>
      <c r="D1098" s="12" t="s">
        <v>2915</v>
      </c>
      <c r="E1098" s="18">
        <f>VLOOKUP($C1098,'AGRI Fittings'!$D$1:$H2469,3,0)</f>
        <v>1.333</v>
      </c>
      <c r="F1098" s="320">
        <f>VLOOKUP($C1098,'AGRI Fittings'!$D$1:$H2469,2,0)</f>
        <v>644</v>
      </c>
      <c r="G1098" s="320">
        <f>VLOOKUP($C1098,'AGRI Fittings'!$D$1:$H2469,5,0)</f>
        <v>644</v>
      </c>
      <c r="H1098" s="320"/>
      <c r="I1098" s="320"/>
      <c r="J1098" s="320"/>
      <c r="K1098" s="320"/>
      <c r="L1098" s="320"/>
      <c r="M1098" s="320"/>
      <c r="N1098" s="320"/>
      <c r="O1098" s="320"/>
    </row>
    <row r="1099">
      <c r="A1099" s="32">
        <f t="shared" si="1"/>
        <v>1098</v>
      </c>
      <c r="B1099" s="9" t="s">
        <v>2898</v>
      </c>
      <c r="C1099" s="78" t="s">
        <v>2192</v>
      </c>
      <c r="D1099" s="12" t="s">
        <v>2916</v>
      </c>
      <c r="E1099" s="18">
        <f>VLOOKUP($C1099,'AGRI Fittings'!$D$1:$H2469,3,0)</f>
        <v>1.84</v>
      </c>
      <c r="F1099" s="320">
        <f>VLOOKUP($C1099,'AGRI Fittings'!$D$1:$H2469,2,0)</f>
        <v>888</v>
      </c>
      <c r="G1099" s="320">
        <f>VLOOKUP($C1099,'AGRI Fittings'!$D$1:$H2469,5,0)</f>
        <v>888</v>
      </c>
      <c r="H1099" s="320"/>
      <c r="I1099" s="320"/>
      <c r="J1099" s="320"/>
      <c r="K1099" s="320"/>
      <c r="L1099" s="320"/>
      <c r="M1099" s="320"/>
      <c r="N1099" s="320"/>
      <c r="O1099" s="320"/>
    </row>
    <row r="1100">
      <c r="A1100" s="32">
        <f t="shared" si="1"/>
        <v>1099</v>
      </c>
      <c r="B1100" s="9" t="s">
        <v>2898</v>
      </c>
      <c r="C1100" s="78" t="s">
        <v>2202</v>
      </c>
      <c r="D1100" s="12" t="s">
        <v>2917</v>
      </c>
      <c r="E1100" s="18">
        <f>VLOOKUP($C1100,'AGRI Fittings'!$D$1:$H2469,3,0)</f>
        <v>0.0615</v>
      </c>
      <c r="F1100" s="320">
        <f>VLOOKUP($C1100,'AGRI Fittings'!$D$1:$H2469,2,0)</f>
        <v>29.4</v>
      </c>
      <c r="G1100" s="320">
        <f>VLOOKUP($C1100,'AGRI Fittings'!$D$1:$H2469,5,0)</f>
        <v>29.4</v>
      </c>
      <c r="H1100" s="320"/>
      <c r="I1100" s="320"/>
      <c r="J1100" s="320"/>
      <c r="K1100" s="320"/>
      <c r="L1100" s="320"/>
      <c r="M1100" s="320"/>
      <c r="N1100" s="320"/>
      <c r="O1100" s="320"/>
    </row>
    <row r="1101">
      <c r="A1101" s="32">
        <f t="shared" si="1"/>
        <v>1100</v>
      </c>
      <c r="B1101" s="9" t="s">
        <v>2898</v>
      </c>
      <c r="C1101" s="78" t="s">
        <v>2206</v>
      </c>
      <c r="D1101" s="12" t="s">
        <v>2918</v>
      </c>
      <c r="E1101" s="18">
        <f>VLOOKUP($C1101,'AGRI Fittings'!$D$1:$H2469,3,0)</f>
        <v>0.0975</v>
      </c>
      <c r="F1101" s="320">
        <f>VLOOKUP($C1101,'AGRI Fittings'!$D$1:$H2469,2,0)</f>
        <v>47.4</v>
      </c>
      <c r="G1101" s="320">
        <f>VLOOKUP($C1101,'AGRI Fittings'!$D$1:$H2469,5,0)</f>
        <v>47.4</v>
      </c>
      <c r="H1101" s="320"/>
      <c r="I1101" s="320"/>
      <c r="J1101" s="320"/>
      <c r="K1101" s="320"/>
      <c r="L1101" s="320"/>
      <c r="M1101" s="320"/>
      <c r="N1101" s="320"/>
      <c r="O1101" s="320"/>
    </row>
    <row r="1102">
      <c r="A1102" s="32">
        <f t="shared" si="1"/>
        <v>1101</v>
      </c>
      <c r="B1102" s="9" t="s">
        <v>2898</v>
      </c>
      <c r="C1102" s="78" t="s">
        <v>2209</v>
      </c>
      <c r="D1102" s="12" t="s">
        <v>2919</v>
      </c>
      <c r="E1102" s="18">
        <f>VLOOKUP($C1102,'AGRI Fittings'!$D$1:$H2469,3,0)</f>
        <v>0.1527</v>
      </c>
      <c r="F1102" s="320">
        <f>VLOOKUP($C1102,'AGRI Fittings'!$D$1:$H2469,2,0)</f>
        <v>73.4</v>
      </c>
      <c r="G1102" s="320">
        <f>VLOOKUP($C1102,'AGRI Fittings'!$D$1:$H2469,5,0)</f>
        <v>73.4</v>
      </c>
      <c r="H1102" s="320"/>
      <c r="I1102" s="320"/>
      <c r="J1102" s="320"/>
      <c r="K1102" s="320"/>
      <c r="L1102" s="320"/>
      <c r="M1102" s="320"/>
      <c r="N1102" s="320"/>
      <c r="O1102" s="320"/>
    </row>
    <row r="1103">
      <c r="A1103" s="32">
        <f t="shared" si="1"/>
        <v>1102</v>
      </c>
      <c r="B1103" s="9" t="s">
        <v>2898</v>
      </c>
      <c r="C1103" s="78" t="s">
        <v>2211</v>
      </c>
      <c r="D1103" s="12" t="s">
        <v>2920</v>
      </c>
      <c r="E1103" s="18">
        <f>VLOOKUP($C1103,'AGRI Fittings'!$D$1:$H2469,3,0)</f>
        <v>0.2328</v>
      </c>
      <c r="F1103" s="320">
        <f>VLOOKUP($C1103,'AGRI Fittings'!$D$1:$H2469,2,0)</f>
        <v>112</v>
      </c>
      <c r="G1103" s="320">
        <f>VLOOKUP($C1103,'AGRI Fittings'!$D$1:$H2469,5,0)</f>
        <v>112</v>
      </c>
      <c r="H1103" s="320"/>
      <c r="I1103" s="320"/>
      <c r="J1103" s="320"/>
      <c r="K1103" s="320"/>
      <c r="L1103" s="320"/>
      <c r="M1103" s="320"/>
      <c r="N1103" s="320"/>
      <c r="O1103" s="320"/>
    </row>
    <row r="1104">
      <c r="A1104" s="32">
        <f t="shared" si="1"/>
        <v>1103</v>
      </c>
      <c r="B1104" s="9" t="s">
        <v>2898</v>
      </c>
      <c r="C1104" s="78" t="s">
        <v>2215</v>
      </c>
      <c r="D1104" s="12" t="s">
        <v>2921</v>
      </c>
      <c r="E1104" s="18">
        <f>VLOOKUP($C1104,'AGRI Fittings'!$D$1:$H2469,3,0)</f>
        <v>0.344</v>
      </c>
      <c r="F1104" s="320">
        <f>VLOOKUP($C1104,'AGRI Fittings'!$D$1:$H2469,2,0)</f>
        <v>168</v>
      </c>
      <c r="G1104" s="320">
        <f>VLOOKUP($C1104,'AGRI Fittings'!$D$1:$H2469,5,0)</f>
        <v>168</v>
      </c>
      <c r="H1104" s="320"/>
      <c r="I1104" s="320"/>
      <c r="J1104" s="320"/>
      <c r="K1104" s="320"/>
      <c r="L1104" s="320"/>
      <c r="M1104" s="320"/>
      <c r="N1104" s="320"/>
      <c r="O1104" s="320"/>
    </row>
    <row r="1105">
      <c r="A1105" s="32">
        <f t="shared" si="1"/>
        <v>1104</v>
      </c>
      <c r="B1105" s="9" t="s">
        <v>2898</v>
      </c>
      <c r="C1105" s="78" t="s">
        <v>2219</v>
      </c>
      <c r="D1105" s="12" t="s">
        <v>2922</v>
      </c>
      <c r="E1105" s="18">
        <f>VLOOKUP($C1105,'AGRI Fittings'!$D$1:$H2469,3,0)</f>
        <v>0.533</v>
      </c>
      <c r="F1105" s="320">
        <f>VLOOKUP($C1105,'AGRI Fittings'!$D$1:$H2469,2,0)</f>
        <v>256</v>
      </c>
      <c r="G1105" s="320">
        <f>VLOOKUP($C1105,'AGRI Fittings'!$D$1:$H2469,5,0)</f>
        <v>256</v>
      </c>
      <c r="H1105" s="320"/>
      <c r="I1105" s="320"/>
      <c r="J1105" s="320"/>
      <c r="K1105" s="320"/>
      <c r="L1105" s="320"/>
      <c r="M1105" s="320"/>
      <c r="N1105" s="320"/>
      <c r="O1105" s="320"/>
    </row>
    <row r="1106">
      <c r="A1106" s="32">
        <f t="shared" si="1"/>
        <v>1105</v>
      </c>
      <c r="B1106" s="9" t="s">
        <v>2898</v>
      </c>
      <c r="C1106" s="78" t="s">
        <v>2222</v>
      </c>
      <c r="D1106" s="12" t="s">
        <v>2923</v>
      </c>
      <c r="E1106" s="18">
        <f>VLOOKUP($C1106,'AGRI Fittings'!$D$1:$H2469,3,0)</f>
        <v>0.812</v>
      </c>
      <c r="F1106" s="320">
        <f>VLOOKUP($C1106,'AGRI Fittings'!$D$1:$H2469,2,0)</f>
        <v>384</v>
      </c>
      <c r="G1106" s="320">
        <f>VLOOKUP($C1106,'AGRI Fittings'!$D$1:$H2469,5,0)</f>
        <v>384</v>
      </c>
      <c r="H1106" s="320"/>
      <c r="I1106" s="320"/>
      <c r="J1106" s="320"/>
      <c r="K1106" s="320"/>
      <c r="L1106" s="320"/>
      <c r="M1106" s="320"/>
      <c r="N1106" s="320"/>
      <c r="O1106" s="320"/>
    </row>
    <row r="1107">
      <c r="A1107" s="32">
        <f t="shared" si="1"/>
        <v>1106</v>
      </c>
      <c r="B1107" s="9" t="s">
        <v>2898</v>
      </c>
      <c r="C1107" s="78" t="s">
        <v>2226</v>
      </c>
      <c r="D1107" s="12" t="s">
        <v>2924</v>
      </c>
      <c r="E1107" s="18">
        <f>VLOOKUP($C1107,'AGRI Fittings'!$D$1:$H2469,3,0)</f>
        <v>1.051</v>
      </c>
      <c r="F1107" s="320">
        <f>VLOOKUP($C1107,'AGRI Fittings'!$D$1:$H2469,2,0)</f>
        <v>506</v>
      </c>
      <c r="G1107" s="320">
        <f>VLOOKUP($C1107,'AGRI Fittings'!$D$1:$H2469,5,0)</f>
        <v>506</v>
      </c>
      <c r="H1107" s="320"/>
      <c r="I1107" s="320"/>
      <c r="J1107" s="320"/>
      <c r="K1107" s="320"/>
      <c r="L1107" s="320"/>
      <c r="M1107" s="320"/>
      <c r="N1107" s="320"/>
      <c r="O1107" s="320"/>
    </row>
    <row r="1108">
      <c r="A1108" s="32">
        <f t="shared" si="1"/>
        <v>1107</v>
      </c>
      <c r="B1108" s="9" t="s">
        <v>2898</v>
      </c>
      <c r="C1108" s="78" t="s">
        <v>2229</v>
      </c>
      <c r="D1108" s="12" t="s">
        <v>2925</v>
      </c>
      <c r="E1108" s="18">
        <f>VLOOKUP($C1108,'AGRI Fittings'!$D$1:$H2469,3,0)</f>
        <v>1.568</v>
      </c>
      <c r="F1108" s="320">
        <f>VLOOKUP($C1108,'AGRI Fittings'!$D$1:$H2469,2,0)</f>
        <v>754</v>
      </c>
      <c r="G1108" s="320">
        <f>VLOOKUP($C1108,'AGRI Fittings'!$D$1:$H2469,5,0)</f>
        <v>754</v>
      </c>
      <c r="H1108" s="320"/>
      <c r="I1108" s="320"/>
      <c r="J1108" s="320"/>
      <c r="K1108" s="320"/>
      <c r="L1108" s="320"/>
      <c r="M1108" s="320"/>
      <c r="N1108" s="320"/>
      <c r="O1108" s="320"/>
    </row>
    <row r="1109">
      <c r="A1109" s="32">
        <f t="shared" si="1"/>
        <v>1108</v>
      </c>
      <c r="B1109" s="9" t="s">
        <v>2898</v>
      </c>
      <c r="C1109" s="78" t="s">
        <v>19</v>
      </c>
      <c r="D1109" s="12" t="s">
        <v>2926</v>
      </c>
      <c r="E1109" s="18">
        <f>VLOOKUP($C1109,'AGRI Fittings'!$D$1:$H2469,3,0)</f>
        <v>0.0709</v>
      </c>
      <c r="F1109" s="320">
        <f>VLOOKUP($C1109,'AGRI Fittings'!$D$1:$H2469,2,0)</f>
        <v>38.995</v>
      </c>
      <c r="G1109" s="320">
        <f>VLOOKUP($C1109,'AGRI Fittings'!$D$1:$H2469,5,0)</f>
        <v>38.995</v>
      </c>
      <c r="H1109" s="320"/>
      <c r="I1109" s="320"/>
      <c r="J1109" s="320"/>
      <c r="K1109" s="320"/>
      <c r="L1109" s="320"/>
      <c r="M1109" s="320"/>
      <c r="N1109" s="320"/>
      <c r="O1109" s="320"/>
    </row>
    <row r="1110">
      <c r="A1110" s="32">
        <f t="shared" si="1"/>
        <v>1109</v>
      </c>
      <c r="B1110" s="9" t="s">
        <v>2898</v>
      </c>
      <c r="C1110" s="78" t="s">
        <v>37</v>
      </c>
      <c r="D1110" s="12" t="s">
        <v>2927</v>
      </c>
      <c r="E1110" s="18">
        <f>VLOOKUP($C1110,'AGRI Fittings'!$D$1:$H2469,3,0)</f>
        <v>0.1196</v>
      </c>
      <c r="F1110" s="320">
        <f>VLOOKUP($C1110,'AGRI Fittings'!$D$1:$H2469,2,0)</f>
        <v>65.6</v>
      </c>
      <c r="G1110" s="320">
        <f>VLOOKUP($C1110,'AGRI Fittings'!$D$1:$H2469,5,0)</f>
        <v>65.6</v>
      </c>
      <c r="H1110" s="320"/>
      <c r="I1110" s="320"/>
      <c r="J1110" s="320"/>
      <c r="K1110" s="320"/>
      <c r="L1110" s="320"/>
      <c r="M1110" s="320"/>
      <c r="N1110" s="320"/>
      <c r="O1110" s="320"/>
    </row>
    <row r="1111">
      <c r="A1111" s="32">
        <f t="shared" si="1"/>
        <v>1110</v>
      </c>
      <c r="B1111" s="9" t="s">
        <v>2898</v>
      </c>
      <c r="C1111" s="78" t="s">
        <v>2241</v>
      </c>
      <c r="D1111" s="12" t="s">
        <v>2928</v>
      </c>
      <c r="E1111" s="18">
        <f>VLOOKUP($C1111,'AGRI Fittings'!$D$1:$H2469,3,0)</f>
        <v>0.1719</v>
      </c>
      <c r="F1111" s="320">
        <f>VLOOKUP($C1111,'AGRI Fittings'!$D$1:$H2469,2,0)</f>
        <v>94.4</v>
      </c>
      <c r="G1111" s="320">
        <f>VLOOKUP($C1111,'AGRI Fittings'!$D$1:$H2469,5,0)</f>
        <v>94.4</v>
      </c>
      <c r="H1111" s="320"/>
      <c r="I1111" s="320"/>
      <c r="J1111" s="320"/>
      <c r="K1111" s="320"/>
      <c r="L1111" s="320"/>
      <c r="M1111" s="320"/>
      <c r="N1111" s="320"/>
      <c r="O1111" s="320"/>
    </row>
    <row r="1112">
      <c r="A1112" s="32">
        <f t="shared" si="1"/>
        <v>1111</v>
      </c>
      <c r="B1112" s="9" t="s">
        <v>2898</v>
      </c>
      <c r="C1112" s="78" t="s">
        <v>2247</v>
      </c>
      <c r="D1112" s="12" t="s">
        <v>2929</v>
      </c>
      <c r="E1112" s="18">
        <f>VLOOKUP($C1112,'AGRI Fittings'!$D$1:$H2469,3,0)</f>
        <v>0.0246</v>
      </c>
      <c r="F1112" s="320">
        <f>VLOOKUP($C1112,'AGRI Fittings'!$D$1:$H2469,2,0)</f>
        <v>12.2</v>
      </c>
      <c r="G1112" s="320">
        <f>VLOOKUP($C1112,'AGRI Fittings'!$D$1:$H2469,5,0)</f>
        <v>12.2</v>
      </c>
      <c r="H1112" s="320"/>
      <c r="I1112" s="320"/>
      <c r="J1112" s="320"/>
      <c r="K1112" s="320"/>
      <c r="L1112" s="320"/>
      <c r="M1112" s="320"/>
      <c r="N1112" s="320"/>
      <c r="O1112" s="320"/>
    </row>
    <row r="1113">
      <c r="A1113" s="32">
        <f t="shared" si="1"/>
        <v>1112</v>
      </c>
      <c r="B1113" s="9" t="s">
        <v>2898</v>
      </c>
      <c r="C1113" s="78" t="s">
        <v>2252</v>
      </c>
      <c r="D1113" s="12" t="s">
        <v>2930</v>
      </c>
      <c r="E1113" s="18">
        <f>VLOOKUP($C1113,'AGRI Fittings'!$D$1:$H2469,3,0)</f>
        <v>0.04</v>
      </c>
      <c r="F1113" s="320">
        <f>VLOOKUP($C1113,'AGRI Fittings'!$D$1:$H2469,2,0)</f>
        <v>19.2</v>
      </c>
      <c r="G1113" s="320">
        <f>VLOOKUP($C1113,'AGRI Fittings'!$D$1:$H2469,5,0)</f>
        <v>19.2</v>
      </c>
      <c r="H1113" s="320"/>
      <c r="I1113" s="320"/>
      <c r="J1113" s="320"/>
      <c r="K1113" s="320"/>
      <c r="L1113" s="320"/>
      <c r="M1113" s="320"/>
      <c r="N1113" s="320"/>
      <c r="O1113" s="320"/>
    </row>
    <row r="1114">
      <c r="A1114" s="32">
        <f t="shared" si="1"/>
        <v>1113</v>
      </c>
      <c r="B1114" s="9" t="s">
        <v>2898</v>
      </c>
      <c r="C1114" s="78" t="s">
        <v>2254</v>
      </c>
      <c r="D1114" s="12" t="s">
        <v>2931</v>
      </c>
      <c r="E1114" s="18">
        <f>VLOOKUP($C1114,'AGRI Fittings'!$D$1:$H2469,3,0)</f>
        <v>0.0641</v>
      </c>
      <c r="F1114" s="320">
        <f>VLOOKUP($C1114,'AGRI Fittings'!$D$1:$H2469,2,0)</f>
        <v>30.8</v>
      </c>
      <c r="G1114" s="320">
        <f>VLOOKUP($C1114,'AGRI Fittings'!$D$1:$H2469,5,0)</f>
        <v>30.8</v>
      </c>
      <c r="H1114" s="320"/>
      <c r="I1114" s="320"/>
      <c r="J1114" s="320"/>
      <c r="K1114" s="320"/>
      <c r="L1114" s="320"/>
      <c r="M1114" s="320"/>
      <c r="N1114" s="320"/>
      <c r="O1114" s="320"/>
    </row>
    <row r="1115">
      <c r="A1115" s="32">
        <f t="shared" si="1"/>
        <v>1114</v>
      </c>
      <c r="B1115" s="9" t="s">
        <v>2898</v>
      </c>
      <c r="C1115" s="78" t="s">
        <v>2255</v>
      </c>
      <c r="D1115" s="12" t="s">
        <v>2932</v>
      </c>
      <c r="E1115" s="18">
        <f>VLOOKUP($C1115,'AGRI Fittings'!$D$1:$H2469,3,0)</f>
        <v>0.0897</v>
      </c>
      <c r="F1115" s="320">
        <f>VLOOKUP($C1115,'AGRI Fittings'!$D$1:$H2469,2,0)</f>
        <v>43.4</v>
      </c>
      <c r="G1115" s="320">
        <f>VLOOKUP($C1115,'AGRI Fittings'!$D$1:$H2469,5,0)</f>
        <v>43.4</v>
      </c>
      <c r="H1115" s="320"/>
      <c r="I1115" s="320"/>
      <c r="J1115" s="320"/>
      <c r="K1115" s="320"/>
      <c r="L1115" s="320"/>
      <c r="M1115" s="320"/>
      <c r="N1115" s="320"/>
      <c r="O1115" s="320"/>
    </row>
    <row r="1116">
      <c r="A1116" s="32">
        <f t="shared" si="1"/>
        <v>1115</v>
      </c>
      <c r="B1116" s="9" t="s">
        <v>2898</v>
      </c>
      <c r="C1116" s="78" t="s">
        <v>2257</v>
      </c>
      <c r="D1116" s="12" t="s">
        <v>2933</v>
      </c>
      <c r="E1116" s="18">
        <f>VLOOKUP($C1116,'AGRI Fittings'!$D$1:$H2469,3,0)</f>
        <v>0.1385</v>
      </c>
      <c r="F1116" s="320">
        <f>VLOOKUP($C1116,'AGRI Fittings'!$D$1:$H2469,2,0)</f>
        <v>67.6</v>
      </c>
      <c r="G1116" s="320">
        <f>VLOOKUP($C1116,'AGRI Fittings'!$D$1:$H2469,5,0)</f>
        <v>67.6</v>
      </c>
      <c r="H1116" s="320"/>
      <c r="I1116" s="320"/>
      <c r="J1116" s="320"/>
      <c r="K1116" s="320"/>
      <c r="L1116" s="320"/>
      <c r="M1116" s="320"/>
      <c r="N1116" s="320"/>
      <c r="O1116" s="320"/>
    </row>
    <row r="1117">
      <c r="A1117" s="32">
        <f t="shared" si="1"/>
        <v>1116</v>
      </c>
      <c r="B1117" s="9" t="s">
        <v>2898</v>
      </c>
      <c r="C1117" s="78" t="s">
        <v>2260</v>
      </c>
      <c r="D1117" s="12" t="s">
        <v>2934</v>
      </c>
      <c r="E1117" s="18">
        <f>VLOOKUP($C1117,'AGRI Fittings'!$D$1:$H2469,3,0)</f>
        <v>0.218</v>
      </c>
      <c r="F1117" s="320">
        <f>VLOOKUP($C1117,'AGRI Fittings'!$D$1:$H2469,2,0)</f>
        <v>104.8</v>
      </c>
      <c r="G1117" s="320">
        <f>VLOOKUP($C1117,'AGRI Fittings'!$D$1:$H2469,5,0)</f>
        <v>104.8</v>
      </c>
      <c r="H1117" s="320"/>
      <c r="I1117" s="320"/>
      <c r="J1117" s="320"/>
      <c r="K1117" s="320"/>
      <c r="L1117" s="320"/>
      <c r="M1117" s="320"/>
      <c r="N1117" s="320"/>
      <c r="O1117" s="320"/>
    </row>
    <row r="1118">
      <c r="A1118" s="32">
        <f t="shared" si="1"/>
        <v>1117</v>
      </c>
      <c r="B1118" s="9" t="s">
        <v>2898</v>
      </c>
      <c r="C1118" s="78" t="s">
        <v>2261</v>
      </c>
      <c r="D1118" s="12" t="s">
        <v>2935</v>
      </c>
      <c r="E1118" s="18">
        <f>VLOOKUP($C1118,'AGRI Fittings'!$D$1:$H2469,3,0)</f>
        <v>0.278</v>
      </c>
      <c r="F1118" s="320">
        <f>VLOOKUP($C1118,'AGRI Fittings'!$D$1:$H2469,2,0)</f>
        <v>136.8</v>
      </c>
      <c r="G1118" s="320">
        <f>VLOOKUP($C1118,'AGRI Fittings'!$D$1:$H2469,5,0)</f>
        <v>136.8</v>
      </c>
      <c r="H1118" s="320"/>
      <c r="I1118" s="320"/>
      <c r="J1118" s="320"/>
      <c r="K1118" s="320"/>
      <c r="L1118" s="320"/>
      <c r="M1118" s="320"/>
      <c r="N1118" s="320"/>
      <c r="O1118" s="320"/>
    </row>
    <row r="1119">
      <c r="A1119" s="32">
        <f t="shared" si="1"/>
        <v>1118</v>
      </c>
      <c r="B1119" s="9" t="s">
        <v>2898</v>
      </c>
      <c r="C1119" s="78" t="s">
        <v>2263</v>
      </c>
      <c r="D1119" s="12" t="s">
        <v>2936</v>
      </c>
      <c r="E1119" s="18">
        <f>VLOOKUP($C1119,'AGRI Fittings'!$D$1:$H2469,3,0)</f>
        <v>0.369</v>
      </c>
      <c r="F1119" s="320">
        <f>VLOOKUP($C1119,'AGRI Fittings'!$D$1:$H2469,2,0)</f>
        <v>182.4</v>
      </c>
      <c r="G1119" s="320">
        <f>VLOOKUP($C1119,'AGRI Fittings'!$D$1:$H2469,5,0)</f>
        <v>182.4</v>
      </c>
      <c r="H1119" s="320"/>
      <c r="I1119" s="320"/>
      <c r="J1119" s="320"/>
      <c r="K1119" s="320"/>
      <c r="L1119" s="320"/>
      <c r="M1119" s="320"/>
      <c r="N1119" s="320"/>
      <c r="O1119" s="320"/>
    </row>
    <row r="1120">
      <c r="A1120" s="32">
        <f t="shared" si="1"/>
        <v>1119</v>
      </c>
      <c r="B1120" s="9" t="s">
        <v>2898</v>
      </c>
      <c r="C1120" s="78" t="s">
        <v>2266</v>
      </c>
      <c r="D1120" s="12" t="s">
        <v>2937</v>
      </c>
      <c r="E1120" s="18">
        <f>VLOOKUP($C1120,'AGRI Fittings'!$D$1:$H2469,3,0)</f>
        <v>0.542</v>
      </c>
      <c r="F1120" s="320">
        <f>VLOOKUP($C1120,'AGRI Fittings'!$D$1:$H2469,2,0)</f>
        <v>260.395</v>
      </c>
      <c r="G1120" s="320">
        <f>VLOOKUP($C1120,'AGRI Fittings'!$D$1:$H2469,5,0)</f>
        <v>260.395</v>
      </c>
      <c r="H1120" s="320"/>
      <c r="I1120" s="320"/>
      <c r="J1120" s="320"/>
      <c r="K1120" s="320"/>
      <c r="L1120" s="320"/>
      <c r="M1120" s="320"/>
      <c r="N1120" s="320"/>
      <c r="O1120" s="320"/>
    </row>
    <row r="1121">
      <c r="A1121" s="32">
        <f t="shared" si="1"/>
        <v>1120</v>
      </c>
      <c r="B1121" s="9" t="s">
        <v>2898</v>
      </c>
      <c r="C1121" s="78" t="s">
        <v>2274</v>
      </c>
      <c r="D1121" s="12" t="s">
        <v>2938</v>
      </c>
      <c r="E1121" s="18">
        <f>VLOOKUP($C1121,'AGRI Fittings'!$D$1:$H2469,3,0)</f>
        <v>0.2335</v>
      </c>
      <c r="F1121" s="320">
        <f>VLOOKUP($C1121,'AGRI Fittings'!$D$1:$H2469,2,0)</f>
        <v>113</v>
      </c>
      <c r="G1121" s="320">
        <f>VLOOKUP($C1121,'AGRI Fittings'!$D$1:$H2469,5,0)</f>
        <v>113</v>
      </c>
      <c r="H1121" s="320"/>
      <c r="I1121" s="320"/>
      <c r="J1121" s="320"/>
      <c r="K1121" s="320"/>
      <c r="L1121" s="320"/>
      <c r="M1121" s="320"/>
      <c r="N1121" s="320"/>
      <c r="O1121" s="320"/>
    </row>
    <row r="1122">
      <c r="A1122" s="32">
        <f t="shared" si="1"/>
        <v>1121</v>
      </c>
      <c r="B1122" s="9" t="s">
        <v>2898</v>
      </c>
      <c r="C1122" s="78" t="s">
        <v>2277</v>
      </c>
      <c r="D1122" s="12" t="s">
        <v>2939</v>
      </c>
      <c r="E1122" s="18">
        <f>VLOOKUP($C1122,'AGRI Fittings'!$D$1:$H2469,3,0)</f>
        <v>0.2715</v>
      </c>
      <c r="F1122" s="320">
        <f>VLOOKUP($C1122,'AGRI Fittings'!$D$1:$H2469,2,0)</f>
        <v>132</v>
      </c>
      <c r="G1122" s="320">
        <f>VLOOKUP($C1122,'AGRI Fittings'!$D$1:$H2469,5,0)</f>
        <v>132</v>
      </c>
      <c r="H1122" s="320"/>
      <c r="I1122" s="320"/>
      <c r="J1122" s="320"/>
      <c r="K1122" s="320"/>
      <c r="L1122" s="320"/>
      <c r="M1122" s="320"/>
      <c r="N1122" s="320"/>
      <c r="O1122" s="320"/>
    </row>
    <row r="1123">
      <c r="A1123" s="32">
        <f t="shared" si="1"/>
        <v>1122</v>
      </c>
      <c r="B1123" s="9" t="s">
        <v>2898</v>
      </c>
      <c r="C1123" s="78" t="s">
        <v>2280</v>
      </c>
      <c r="D1123" s="12" t="s">
        <v>2940</v>
      </c>
      <c r="E1123" s="18">
        <f>VLOOKUP($C1123,'AGRI Fittings'!$D$1:$H2469,3,0)</f>
        <v>0.3605</v>
      </c>
      <c r="F1123" s="320">
        <f>VLOOKUP($C1123,'AGRI Fittings'!$D$1:$H2469,2,0)</f>
        <v>173.1</v>
      </c>
      <c r="G1123" s="320">
        <f>VLOOKUP($C1123,'AGRI Fittings'!$D$1:$H2469,5,0)</f>
        <v>173.1</v>
      </c>
      <c r="H1123" s="320"/>
      <c r="I1123" s="320"/>
      <c r="J1123" s="320"/>
      <c r="K1123" s="320"/>
      <c r="L1123" s="320"/>
      <c r="M1123" s="320"/>
      <c r="N1123" s="320"/>
      <c r="O1123" s="320"/>
    </row>
    <row r="1124">
      <c r="A1124" s="32">
        <f t="shared" si="1"/>
        <v>1123</v>
      </c>
      <c r="B1124" s="9" t="s">
        <v>2898</v>
      </c>
      <c r="C1124" s="78" t="s">
        <v>2282</v>
      </c>
      <c r="D1124" s="12" t="s">
        <v>2941</v>
      </c>
      <c r="E1124" s="18">
        <f>VLOOKUP($C1124,'AGRI Fittings'!$D$1:$H2469,3,0)</f>
        <v>0.398</v>
      </c>
      <c r="F1124" s="320">
        <f>VLOOKUP($C1124,'AGRI Fittings'!$D$1:$H2469,2,0)</f>
        <v>187.2</v>
      </c>
      <c r="G1124" s="320">
        <f>VLOOKUP($C1124,'AGRI Fittings'!$D$1:$H2469,5,0)</f>
        <v>187.2</v>
      </c>
      <c r="H1124" s="320"/>
      <c r="I1124" s="320"/>
      <c r="J1124" s="320"/>
      <c r="K1124" s="320"/>
      <c r="L1124" s="320"/>
      <c r="M1124" s="320"/>
      <c r="N1124" s="320"/>
      <c r="O1124" s="320"/>
    </row>
    <row r="1125">
      <c r="A1125" s="32">
        <f t="shared" si="1"/>
        <v>1124</v>
      </c>
      <c r="B1125" s="9" t="s">
        <v>2898</v>
      </c>
      <c r="C1125" s="78" t="s">
        <v>2284</v>
      </c>
      <c r="D1125" s="12" t="s">
        <v>2942</v>
      </c>
      <c r="E1125" s="18">
        <f>VLOOKUP($C1125,'AGRI Fittings'!$D$1:$H2469,3,0)</f>
        <v>0.5075</v>
      </c>
      <c r="F1125" s="320">
        <f>VLOOKUP($C1125,'AGRI Fittings'!$D$1:$H2469,2,0)</f>
        <v>244</v>
      </c>
      <c r="G1125" s="320">
        <f>VLOOKUP($C1125,'AGRI Fittings'!$D$1:$H2469,5,0)</f>
        <v>244</v>
      </c>
      <c r="H1125" s="320"/>
      <c r="I1125" s="320"/>
      <c r="J1125" s="320"/>
      <c r="K1125" s="320"/>
      <c r="L1125" s="320"/>
      <c r="M1125" s="320"/>
      <c r="N1125" s="320"/>
      <c r="O1125" s="320"/>
    </row>
    <row r="1126">
      <c r="A1126" s="32">
        <f t="shared" si="1"/>
        <v>1125</v>
      </c>
      <c r="B1126" s="9" t="s">
        <v>2898</v>
      </c>
      <c r="C1126" s="78" t="s">
        <v>2287</v>
      </c>
      <c r="D1126" s="12" t="s">
        <v>2943</v>
      </c>
      <c r="E1126" s="18">
        <f>VLOOKUP($C1126,'AGRI Fittings'!$D$1:$H2469,3,0)</f>
        <v>0.552</v>
      </c>
      <c r="F1126" s="320">
        <f>VLOOKUP($C1126,'AGRI Fittings'!$D$1:$H2469,2,0)</f>
        <v>269.1</v>
      </c>
      <c r="G1126" s="320">
        <f>VLOOKUP($C1126,'AGRI Fittings'!$D$1:$H2469,5,0)</f>
        <v>269.1</v>
      </c>
      <c r="H1126" s="320"/>
      <c r="I1126" s="320"/>
      <c r="J1126" s="320"/>
      <c r="K1126" s="320"/>
      <c r="L1126" s="320"/>
      <c r="M1126" s="320"/>
      <c r="N1126" s="320"/>
      <c r="O1126" s="320"/>
    </row>
    <row r="1127">
      <c r="A1127" s="32">
        <f t="shared" si="1"/>
        <v>1126</v>
      </c>
      <c r="B1127" s="9" t="s">
        <v>2898</v>
      </c>
      <c r="C1127" s="78" t="s">
        <v>2290</v>
      </c>
      <c r="D1127" s="12" t="s">
        <v>2944</v>
      </c>
      <c r="E1127" s="18">
        <f>VLOOKUP($C1127,'AGRI Fittings'!$D$1:$H2469,3,0)</f>
        <v>0.618</v>
      </c>
      <c r="F1127" s="320">
        <f>VLOOKUP($C1127,'AGRI Fittings'!$D$1:$H2469,2,0)</f>
        <v>300.6</v>
      </c>
      <c r="G1127" s="320">
        <f>VLOOKUP($C1127,'AGRI Fittings'!$D$1:$H2469,5,0)</f>
        <v>300.6</v>
      </c>
      <c r="H1127" s="320"/>
      <c r="I1127" s="320"/>
      <c r="J1127" s="320"/>
      <c r="K1127" s="320"/>
      <c r="L1127" s="320"/>
      <c r="M1127" s="320"/>
      <c r="N1127" s="320"/>
      <c r="O1127" s="320"/>
    </row>
    <row r="1128">
      <c r="A1128" s="32">
        <f t="shared" si="1"/>
        <v>1127</v>
      </c>
      <c r="B1128" s="9" t="s">
        <v>2898</v>
      </c>
      <c r="C1128" s="78" t="s">
        <v>2292</v>
      </c>
      <c r="D1128" s="12" t="s">
        <v>2945</v>
      </c>
      <c r="E1128" s="18">
        <f>VLOOKUP($C1128,'AGRI Fittings'!$D$1:$H2469,3,0)</f>
        <v>0</v>
      </c>
      <c r="F1128" s="320">
        <f>VLOOKUP($C1128,'AGRI Fittings'!$D$1:$H2469,2,0)</f>
        <v>439.6</v>
      </c>
      <c r="G1128" s="320">
        <f>VLOOKUP($C1128,'AGRI Fittings'!$D$1:$H2469,5,0)</f>
        <v>439.6</v>
      </c>
      <c r="H1128" s="320"/>
      <c r="I1128" s="320"/>
      <c r="J1128" s="320"/>
      <c r="K1128" s="320"/>
      <c r="L1128" s="320"/>
      <c r="M1128" s="320"/>
      <c r="N1128" s="320"/>
      <c r="O1128" s="320"/>
    </row>
    <row r="1129">
      <c r="A1129" s="32">
        <f t="shared" si="1"/>
        <v>1128</v>
      </c>
      <c r="B1129" s="9" t="s">
        <v>2898</v>
      </c>
      <c r="C1129" s="78" t="s">
        <v>2295</v>
      </c>
      <c r="D1129" s="12" t="s">
        <v>2946</v>
      </c>
      <c r="E1129" s="18">
        <f>VLOOKUP($C1129,'AGRI Fittings'!$D$1:$H2469,3,0)</f>
        <v>0</v>
      </c>
      <c r="F1129" s="320">
        <f>VLOOKUP($C1129,'AGRI Fittings'!$D$1:$H2469,2,0)</f>
        <v>473.1</v>
      </c>
      <c r="G1129" s="320">
        <f>VLOOKUP($C1129,'AGRI Fittings'!$D$1:$H2469,5,0)</f>
        <v>473.1</v>
      </c>
      <c r="H1129" s="320"/>
      <c r="I1129" s="320"/>
      <c r="J1129" s="320"/>
      <c r="K1129" s="320"/>
      <c r="L1129" s="320"/>
      <c r="M1129" s="320"/>
      <c r="N1129" s="320"/>
      <c r="O1129" s="320"/>
    </row>
    <row r="1130">
      <c r="A1130" s="32">
        <f t="shared" si="1"/>
        <v>1129</v>
      </c>
      <c r="B1130" s="9" t="s">
        <v>2898</v>
      </c>
      <c r="C1130" s="78" t="s">
        <v>2298</v>
      </c>
      <c r="D1130" s="12" t="s">
        <v>2947</v>
      </c>
      <c r="E1130" s="18">
        <f>VLOOKUP($C1130,'AGRI Fittings'!$D$1:$H2469,3,0)</f>
        <v>1.205</v>
      </c>
      <c r="F1130" s="320">
        <f>VLOOKUP($C1130,'AGRI Fittings'!$D$1:$H2469,2,0)</f>
        <v>581.4</v>
      </c>
      <c r="G1130" s="320">
        <f>VLOOKUP($C1130,'AGRI Fittings'!$D$1:$H2469,5,0)</f>
        <v>581.4</v>
      </c>
      <c r="H1130" s="320"/>
      <c r="I1130" s="320"/>
      <c r="J1130" s="320"/>
      <c r="K1130" s="320"/>
      <c r="L1130" s="320"/>
      <c r="M1130" s="320"/>
      <c r="N1130" s="320"/>
      <c r="O1130" s="320"/>
    </row>
    <row r="1131">
      <c r="A1131" s="32">
        <f t="shared" si="1"/>
        <v>1130</v>
      </c>
      <c r="B1131" s="9" t="s">
        <v>2898</v>
      </c>
      <c r="C1131" s="78" t="s">
        <v>2301</v>
      </c>
      <c r="D1131" s="12" t="s">
        <v>2948</v>
      </c>
      <c r="E1131" s="18">
        <f>VLOOKUP($C1131,'AGRI Fittings'!$D$1:$H2469,3,0)</f>
        <v>1.439</v>
      </c>
      <c r="F1131" s="320">
        <f>VLOOKUP($C1131,'AGRI Fittings'!$D$1:$H2469,2,0)</f>
        <v>695.4</v>
      </c>
      <c r="G1131" s="320">
        <f>VLOOKUP($C1131,'AGRI Fittings'!$D$1:$H2469,5,0)</f>
        <v>695.4</v>
      </c>
      <c r="H1131" s="320"/>
      <c r="I1131" s="320"/>
      <c r="J1131" s="320"/>
      <c r="K1131" s="320"/>
      <c r="L1131" s="320"/>
      <c r="M1131" s="320"/>
      <c r="N1131" s="320"/>
      <c r="O1131" s="320"/>
    </row>
    <row r="1132">
      <c r="A1132" s="32">
        <f t="shared" si="1"/>
        <v>1131</v>
      </c>
      <c r="B1132" s="9" t="s">
        <v>2898</v>
      </c>
      <c r="C1132" s="78" t="s">
        <v>2305</v>
      </c>
      <c r="D1132" s="12" t="s">
        <v>2949</v>
      </c>
      <c r="E1132" s="18">
        <f>VLOOKUP($C1132,'AGRI Fittings'!$D$1:$H2469,3,0)</f>
        <v>1.396</v>
      </c>
      <c r="F1132" s="320">
        <f>VLOOKUP($C1132,'AGRI Fittings'!$D$1:$H2469,2,0)</f>
        <v>682.1</v>
      </c>
      <c r="G1132" s="320">
        <f>VLOOKUP($C1132,'AGRI Fittings'!$D$1:$H2469,5,0)</f>
        <v>682.1</v>
      </c>
      <c r="H1132" s="320"/>
      <c r="I1132" s="320"/>
      <c r="J1132" s="320"/>
      <c r="K1132" s="320"/>
      <c r="L1132" s="320"/>
      <c r="M1132" s="320"/>
      <c r="N1132" s="320"/>
      <c r="O1132" s="320"/>
    </row>
    <row r="1133">
      <c r="A1133" s="32">
        <f t="shared" si="1"/>
        <v>1132</v>
      </c>
      <c r="B1133" s="9" t="s">
        <v>2898</v>
      </c>
      <c r="C1133" s="78" t="s">
        <v>2311</v>
      </c>
      <c r="D1133" s="12" t="s">
        <v>2950</v>
      </c>
      <c r="E1133" s="18">
        <f>VLOOKUP($C1133,'AGRI Fittings'!$D$1:$H2469,3,0)</f>
        <v>0.1005</v>
      </c>
      <c r="F1133" s="320">
        <f>VLOOKUP($C1133,'AGRI Fittings'!$D$1:$H2469,2,0)</f>
        <v>48.4</v>
      </c>
      <c r="G1133" s="320">
        <f>VLOOKUP($C1133,'AGRI Fittings'!$D$1:$H2469,5,0)</f>
        <v>48.4</v>
      </c>
      <c r="H1133" s="320"/>
      <c r="I1133" s="320"/>
      <c r="J1133" s="320"/>
      <c r="K1133" s="320"/>
      <c r="L1133" s="320"/>
      <c r="M1133" s="320"/>
      <c r="N1133" s="320"/>
      <c r="O1133" s="320"/>
    </row>
    <row r="1134">
      <c r="A1134" s="32">
        <f t="shared" si="1"/>
        <v>1133</v>
      </c>
      <c r="B1134" s="9" t="s">
        <v>2898</v>
      </c>
      <c r="C1134" s="78" t="s">
        <v>2314</v>
      </c>
      <c r="D1134" s="12" t="s">
        <v>2951</v>
      </c>
      <c r="E1134" s="18">
        <f>VLOOKUP($C1134,'AGRI Fittings'!$D$1:$H2469,3,0)</f>
        <v>0.1117</v>
      </c>
      <c r="F1134" s="320">
        <f>VLOOKUP($C1134,'AGRI Fittings'!$D$1:$H2469,2,0)</f>
        <v>53.8</v>
      </c>
      <c r="G1134" s="320">
        <f>VLOOKUP($C1134,'AGRI Fittings'!$D$1:$H2469,5,0)</f>
        <v>53.8</v>
      </c>
      <c r="H1134" s="320"/>
      <c r="I1134" s="320"/>
      <c r="J1134" s="320"/>
      <c r="K1134" s="320"/>
      <c r="L1134" s="320"/>
      <c r="M1134" s="320"/>
      <c r="N1134" s="320"/>
      <c r="O1134" s="320"/>
    </row>
    <row r="1135">
      <c r="A1135" s="32">
        <f t="shared" si="1"/>
        <v>1134</v>
      </c>
      <c r="B1135" s="9" t="s">
        <v>2898</v>
      </c>
      <c r="C1135" s="78" t="s">
        <v>2319</v>
      </c>
      <c r="D1135" s="12" t="s">
        <v>2952</v>
      </c>
      <c r="E1135" s="18">
        <f>VLOOKUP($C1135,'AGRI Fittings'!$D$1:$H2469,3,0)</f>
        <v>0.144</v>
      </c>
      <c r="F1135" s="320">
        <f>VLOOKUP($C1135,'AGRI Fittings'!$D$1:$H2469,2,0)</f>
        <v>69.2</v>
      </c>
      <c r="G1135" s="320">
        <f>VLOOKUP($C1135,'AGRI Fittings'!$D$1:$H2469,5,0)</f>
        <v>69.2</v>
      </c>
      <c r="H1135" s="320"/>
      <c r="I1135" s="320"/>
      <c r="J1135" s="320"/>
      <c r="K1135" s="320"/>
      <c r="L1135" s="320"/>
      <c r="M1135" s="320"/>
      <c r="N1135" s="320"/>
      <c r="O1135" s="320"/>
    </row>
    <row r="1136">
      <c r="A1136" s="32">
        <f t="shared" si="1"/>
        <v>1135</v>
      </c>
      <c r="B1136" s="9" t="s">
        <v>2898</v>
      </c>
      <c r="C1136" s="78" t="s">
        <v>2321</v>
      </c>
      <c r="D1136" s="12" t="s">
        <v>2953</v>
      </c>
      <c r="E1136" s="18">
        <f>VLOOKUP($C1136,'AGRI Fittings'!$D$1:$H2469,3,0)</f>
        <v>0.15</v>
      </c>
      <c r="F1136" s="320">
        <f>VLOOKUP($C1136,'AGRI Fittings'!$D$1:$H2469,2,0)</f>
        <v>72.9</v>
      </c>
      <c r="G1136" s="320">
        <f>VLOOKUP($C1136,'AGRI Fittings'!$D$1:$H2469,5,0)</f>
        <v>72.9</v>
      </c>
      <c r="H1136" s="320"/>
      <c r="I1136" s="320"/>
      <c r="J1136" s="320"/>
      <c r="K1136" s="320"/>
      <c r="L1136" s="320"/>
      <c r="M1136" s="320"/>
      <c r="N1136" s="320"/>
      <c r="O1136" s="320"/>
    </row>
    <row r="1137">
      <c r="A1137" s="32">
        <f t="shared" si="1"/>
        <v>1136</v>
      </c>
      <c r="B1137" s="9" t="s">
        <v>2898</v>
      </c>
      <c r="C1137" s="78" t="s">
        <v>2323</v>
      </c>
      <c r="D1137" s="12" t="s">
        <v>2954</v>
      </c>
      <c r="E1137" s="18">
        <f>VLOOKUP($C1137,'AGRI Fittings'!$D$1:$H2469,3,0)</f>
        <v>0.1665</v>
      </c>
      <c r="F1137" s="320">
        <f>VLOOKUP($C1137,'AGRI Fittings'!$D$1:$H2469,2,0)</f>
        <v>80.4</v>
      </c>
      <c r="G1137" s="320">
        <f>VLOOKUP($C1137,'AGRI Fittings'!$D$1:$H2469,5,0)</f>
        <v>80.4</v>
      </c>
      <c r="H1137" s="320"/>
      <c r="I1137" s="320"/>
      <c r="J1137" s="320"/>
      <c r="K1137" s="320"/>
      <c r="L1137" s="320"/>
      <c r="M1137" s="320"/>
      <c r="N1137" s="320"/>
      <c r="O1137" s="320"/>
    </row>
    <row r="1138">
      <c r="A1138" s="32">
        <f t="shared" si="1"/>
        <v>1137</v>
      </c>
      <c r="B1138" s="9" t="s">
        <v>2898</v>
      </c>
      <c r="C1138" s="78" t="s">
        <v>2327</v>
      </c>
      <c r="D1138" s="12" t="s">
        <v>2955</v>
      </c>
      <c r="E1138" s="18">
        <f>VLOOKUP($C1138,'AGRI Fittings'!$D$1:$H2469,3,0)</f>
        <v>0.2275</v>
      </c>
      <c r="F1138" s="320">
        <f>VLOOKUP($C1138,'AGRI Fittings'!$D$1:$H2469,2,0)</f>
        <v>110.1</v>
      </c>
      <c r="G1138" s="320">
        <f>VLOOKUP($C1138,'AGRI Fittings'!$D$1:$H2469,5,0)</f>
        <v>110.1</v>
      </c>
      <c r="H1138" s="320"/>
      <c r="I1138" s="320"/>
      <c r="J1138" s="320"/>
      <c r="K1138" s="320"/>
      <c r="L1138" s="320"/>
      <c r="M1138" s="320"/>
      <c r="N1138" s="320"/>
      <c r="O1138" s="320"/>
    </row>
    <row r="1139">
      <c r="A1139" s="32">
        <f t="shared" si="1"/>
        <v>1138</v>
      </c>
      <c r="B1139" s="9" t="s">
        <v>2898</v>
      </c>
      <c r="C1139" s="78" t="s">
        <v>2328</v>
      </c>
      <c r="D1139" s="12" t="s">
        <v>2956</v>
      </c>
      <c r="E1139" s="18">
        <f>VLOOKUP($C1139,'AGRI Fittings'!$D$1:$H2469,3,0)</f>
        <v>0.236</v>
      </c>
      <c r="F1139" s="320">
        <f>VLOOKUP($C1139,'AGRI Fittings'!$D$1:$H2469,2,0)</f>
        <v>116.2</v>
      </c>
      <c r="G1139" s="320">
        <f>VLOOKUP($C1139,'AGRI Fittings'!$D$1:$H2469,5,0)</f>
        <v>116.2</v>
      </c>
      <c r="H1139" s="320"/>
      <c r="I1139" s="320"/>
      <c r="J1139" s="320"/>
      <c r="K1139" s="320"/>
      <c r="L1139" s="320"/>
      <c r="M1139" s="320"/>
      <c r="N1139" s="320"/>
      <c r="O1139" s="320"/>
    </row>
    <row r="1140">
      <c r="A1140" s="32">
        <f t="shared" si="1"/>
        <v>1139</v>
      </c>
      <c r="B1140" s="9" t="s">
        <v>2898</v>
      </c>
      <c r="C1140" s="78" t="s">
        <v>2331</v>
      </c>
      <c r="D1140" s="12" t="s">
        <v>2957</v>
      </c>
      <c r="E1140" s="18">
        <f>VLOOKUP($C1140,'AGRI Fittings'!$D$1:$H2469,3,0)</f>
        <v>0.255</v>
      </c>
      <c r="F1140" s="320">
        <f>VLOOKUP($C1140,'AGRI Fittings'!$D$1:$H2469,2,0)</f>
        <v>124.1</v>
      </c>
      <c r="G1140" s="320">
        <f>VLOOKUP($C1140,'AGRI Fittings'!$D$1:$H2469,5,0)</f>
        <v>124.1</v>
      </c>
      <c r="H1140" s="320"/>
      <c r="I1140" s="320"/>
      <c r="J1140" s="320"/>
      <c r="K1140" s="320"/>
      <c r="L1140" s="320"/>
      <c r="M1140" s="320"/>
      <c r="N1140" s="320"/>
      <c r="O1140" s="320"/>
    </row>
    <row r="1141">
      <c r="A1141" s="32">
        <f t="shared" si="1"/>
        <v>1140</v>
      </c>
      <c r="B1141" s="9" t="s">
        <v>2898</v>
      </c>
      <c r="C1141" s="78" t="s">
        <v>2333</v>
      </c>
      <c r="D1141" s="12" t="s">
        <v>2958</v>
      </c>
      <c r="E1141" s="18">
        <f>VLOOKUP($C1141,'AGRI Fittings'!$D$1:$H2469,3,0)</f>
        <v>0.427</v>
      </c>
      <c r="F1141" s="320">
        <f>VLOOKUP($C1141,'AGRI Fittings'!$D$1:$H2469,2,0)</f>
        <v>207.9</v>
      </c>
      <c r="G1141" s="320">
        <f>VLOOKUP($C1141,'AGRI Fittings'!$D$1:$H2469,5,0)</f>
        <v>207.9</v>
      </c>
      <c r="H1141" s="320"/>
      <c r="I1141" s="320"/>
      <c r="J1141" s="320"/>
      <c r="K1141" s="320"/>
      <c r="L1141" s="320"/>
      <c r="M1141" s="320"/>
      <c r="N1141" s="320"/>
      <c r="O1141" s="320"/>
    </row>
    <row r="1142">
      <c r="A1142" s="32">
        <f t="shared" si="1"/>
        <v>1141</v>
      </c>
      <c r="B1142" s="9" t="s">
        <v>2898</v>
      </c>
      <c r="C1142" s="78" t="s">
        <v>2335</v>
      </c>
      <c r="D1142" s="12" t="s">
        <v>2959</v>
      </c>
      <c r="E1142" s="18">
        <f>VLOOKUP($C1142,'AGRI Fittings'!$D$1:$H2469,3,0)</f>
        <v>0.625</v>
      </c>
      <c r="F1142" s="320">
        <f>VLOOKUP($C1142,'AGRI Fittings'!$D$1:$H2469,2,0)</f>
        <v>304.095</v>
      </c>
      <c r="G1142" s="320">
        <f>VLOOKUP($C1142,'AGRI Fittings'!$D$1:$H2469,5,0)</f>
        <v>304.095</v>
      </c>
      <c r="H1142" s="320"/>
      <c r="I1142" s="320"/>
      <c r="J1142" s="320"/>
      <c r="K1142" s="320"/>
      <c r="L1142" s="320"/>
      <c r="M1142" s="320"/>
      <c r="N1142" s="320"/>
      <c r="O1142" s="320"/>
    </row>
    <row r="1143">
      <c r="A1143" s="32">
        <f t="shared" si="1"/>
        <v>1142</v>
      </c>
      <c r="B1143" s="9" t="s">
        <v>2898</v>
      </c>
      <c r="C1143" s="78" t="s">
        <v>2342</v>
      </c>
      <c r="D1143" s="12" t="s">
        <v>2960</v>
      </c>
      <c r="E1143" s="18" t="str">
        <f>VLOOKUP($C1143,'AGRI Fittings'!$D$1:$H2469,3,0)</f>
        <v/>
      </c>
      <c r="F1143" s="320">
        <f>VLOOKUP($C1143,'AGRI Fittings'!$D$1:$H2469,2,0)</f>
        <v>198</v>
      </c>
      <c r="G1143" s="320">
        <f>VLOOKUP($C1143,'AGRI Fittings'!$D$1:$H2469,5,0)</f>
        <v>198</v>
      </c>
      <c r="H1143" s="320"/>
      <c r="I1143" s="320"/>
      <c r="J1143" s="320"/>
      <c r="K1143" s="320"/>
      <c r="L1143" s="320"/>
      <c r="M1143" s="320"/>
      <c r="N1143" s="320"/>
      <c r="O1143" s="320"/>
    </row>
    <row r="1144">
      <c r="A1144" s="32">
        <f t="shared" si="1"/>
        <v>1143</v>
      </c>
      <c r="B1144" s="9" t="s">
        <v>2898</v>
      </c>
      <c r="C1144" s="78" t="s">
        <v>2346</v>
      </c>
      <c r="D1144" s="12" t="s">
        <v>2961</v>
      </c>
      <c r="E1144" s="18" t="str">
        <f>VLOOKUP($C1144,'AGRI Fittings'!$D$1:$H2469,3,0)</f>
        <v/>
      </c>
      <c r="F1144" s="320">
        <f>VLOOKUP($C1144,'AGRI Fittings'!$D$1:$H2469,2,0)</f>
        <v>358</v>
      </c>
      <c r="G1144" s="320">
        <f>VLOOKUP($C1144,'AGRI Fittings'!$D$1:$H2469,5,0)</f>
        <v>358</v>
      </c>
      <c r="H1144" s="320"/>
      <c r="I1144" s="320"/>
      <c r="J1144" s="320"/>
      <c r="K1144" s="320"/>
      <c r="L1144" s="320"/>
      <c r="M1144" s="320"/>
      <c r="N1144" s="320"/>
      <c r="O1144" s="320"/>
    </row>
    <row r="1145">
      <c r="A1145" s="32">
        <f t="shared" si="1"/>
        <v>1144</v>
      </c>
      <c r="B1145" s="9" t="s">
        <v>2898</v>
      </c>
      <c r="C1145" s="78" t="s">
        <v>2348</v>
      </c>
      <c r="D1145" s="12" t="s">
        <v>2962</v>
      </c>
      <c r="E1145" s="18" t="str">
        <f>VLOOKUP($C1145,'AGRI Fittings'!$D$1:$H2469,3,0)</f>
        <v/>
      </c>
      <c r="F1145" s="320">
        <f>VLOOKUP($C1145,'AGRI Fittings'!$D$1:$H2469,2,0)</f>
        <v>588</v>
      </c>
      <c r="G1145" s="320">
        <f>VLOOKUP($C1145,'AGRI Fittings'!$D$1:$H2469,5,0)</f>
        <v>588</v>
      </c>
      <c r="H1145" s="320"/>
      <c r="I1145" s="320"/>
      <c r="J1145" s="320"/>
      <c r="K1145" s="320"/>
      <c r="L1145" s="320"/>
      <c r="M1145" s="320"/>
      <c r="N1145" s="320"/>
      <c r="O1145" s="320"/>
    </row>
    <row r="1146">
      <c r="A1146" s="32">
        <f t="shared" si="1"/>
        <v>1145</v>
      </c>
      <c r="B1146" s="9" t="s">
        <v>2898</v>
      </c>
      <c r="C1146" s="78" t="s">
        <v>2355</v>
      </c>
      <c r="D1146" s="12" t="s">
        <v>2963</v>
      </c>
      <c r="E1146" s="18">
        <f>VLOOKUP($C1146,'AGRI Fittings'!$D$1:$H2469,3,0)</f>
        <v>0.074</v>
      </c>
      <c r="F1146" s="320">
        <f>VLOOKUP($C1146,'AGRI Fittings'!$D$1:$H2469,2,0)</f>
        <v>35.6</v>
      </c>
      <c r="G1146" s="320">
        <f>VLOOKUP($C1146,'AGRI Fittings'!$D$1:$H2469,5,0)</f>
        <v>35.6</v>
      </c>
      <c r="H1146" s="320"/>
      <c r="I1146" s="320"/>
      <c r="J1146" s="320"/>
      <c r="K1146" s="320"/>
      <c r="L1146" s="320"/>
      <c r="M1146" s="320"/>
      <c r="N1146" s="320"/>
      <c r="O1146" s="320"/>
    </row>
    <row r="1147">
      <c r="A1147" s="32">
        <f t="shared" si="1"/>
        <v>1146</v>
      </c>
      <c r="B1147" s="9" t="s">
        <v>2898</v>
      </c>
      <c r="C1147" s="78" t="s">
        <v>2359</v>
      </c>
      <c r="D1147" s="12" t="s">
        <v>2964</v>
      </c>
      <c r="E1147" s="18">
        <f>VLOOKUP($C1147,'AGRI Fittings'!$D$1:$H2469,3,0)</f>
        <v>0.1065</v>
      </c>
      <c r="F1147" s="320">
        <f>VLOOKUP($C1147,'AGRI Fittings'!$D$1:$H2469,2,0)</f>
        <v>52</v>
      </c>
      <c r="G1147" s="320">
        <f>VLOOKUP($C1147,'AGRI Fittings'!$D$1:$H2469,5,0)</f>
        <v>52</v>
      </c>
      <c r="H1147" s="320"/>
      <c r="I1147" s="320"/>
      <c r="J1147" s="320"/>
      <c r="K1147" s="320"/>
      <c r="L1147" s="320"/>
      <c r="M1147" s="320"/>
      <c r="N1147" s="320"/>
      <c r="O1147" s="320"/>
    </row>
    <row r="1148">
      <c r="A1148" s="32">
        <f t="shared" si="1"/>
        <v>1147</v>
      </c>
      <c r="B1148" s="9" t="s">
        <v>2898</v>
      </c>
      <c r="C1148" s="78" t="s">
        <v>2362</v>
      </c>
      <c r="D1148" s="12" t="s">
        <v>2965</v>
      </c>
      <c r="E1148" s="18">
        <f>VLOOKUP($C1148,'AGRI Fittings'!$D$1:$H2469,3,0)</f>
        <v>0.155</v>
      </c>
      <c r="F1148" s="320">
        <f>VLOOKUP($C1148,'AGRI Fittings'!$D$1:$H2469,2,0)</f>
        <v>75.8</v>
      </c>
      <c r="G1148" s="320">
        <f>VLOOKUP($C1148,'AGRI Fittings'!$D$1:$H2469,5,0)</f>
        <v>75.8</v>
      </c>
      <c r="H1148" s="320"/>
      <c r="I1148" s="320"/>
      <c r="J1148" s="320"/>
      <c r="K1148" s="320"/>
      <c r="L1148" s="320"/>
      <c r="M1148" s="320"/>
      <c r="N1148" s="320"/>
      <c r="O1148" s="320"/>
    </row>
    <row r="1149">
      <c r="A1149" s="32">
        <f t="shared" si="1"/>
        <v>1148</v>
      </c>
      <c r="B1149" s="9" t="s">
        <v>2898</v>
      </c>
      <c r="C1149" s="78" t="s">
        <v>2364</v>
      </c>
      <c r="D1149" s="12" t="s">
        <v>2966</v>
      </c>
      <c r="E1149" s="18">
        <f>VLOOKUP($C1149,'AGRI Fittings'!$D$1:$H2469,3,0)</f>
        <v>0.242</v>
      </c>
      <c r="F1149" s="320">
        <f>VLOOKUP($C1149,'AGRI Fittings'!$D$1:$H2469,2,0)</f>
        <v>116.8</v>
      </c>
      <c r="G1149" s="320">
        <f>VLOOKUP($C1149,'AGRI Fittings'!$D$1:$H2469,5,0)</f>
        <v>116.8</v>
      </c>
      <c r="H1149" s="320"/>
      <c r="I1149" s="320"/>
      <c r="J1149" s="320"/>
      <c r="K1149" s="320"/>
      <c r="L1149" s="320"/>
      <c r="M1149" s="320"/>
      <c r="N1149" s="320"/>
      <c r="O1149" s="320"/>
    </row>
    <row r="1150">
      <c r="A1150" s="32">
        <f t="shared" si="1"/>
        <v>1149</v>
      </c>
      <c r="B1150" s="9" t="s">
        <v>2898</v>
      </c>
      <c r="C1150" s="78" t="s">
        <v>2367</v>
      </c>
      <c r="D1150" s="12" t="s">
        <v>2968</v>
      </c>
      <c r="E1150" s="18">
        <f>VLOOKUP($C1150,'AGRI Fittings'!$D$1:$H2469,3,0)</f>
        <v>0.583</v>
      </c>
      <c r="F1150" s="320">
        <f>VLOOKUP($C1150,'AGRI Fittings'!$D$1:$H2469,2,0)</f>
        <v>281.2</v>
      </c>
      <c r="G1150" s="320">
        <f>VLOOKUP($C1150,'AGRI Fittings'!$D$1:$H2469,5,0)</f>
        <v>281.2</v>
      </c>
      <c r="H1150" s="320"/>
      <c r="I1150" s="320"/>
      <c r="J1150" s="320"/>
      <c r="K1150" s="320"/>
      <c r="L1150" s="320"/>
      <c r="M1150" s="320"/>
      <c r="N1150" s="320"/>
      <c r="O1150" s="320"/>
    </row>
    <row r="1151">
      <c r="A1151" s="32">
        <f t="shared" si="1"/>
        <v>1150</v>
      </c>
      <c r="B1151" s="9" t="s">
        <v>2898</v>
      </c>
      <c r="C1151" s="78" t="s">
        <v>2371</v>
      </c>
      <c r="D1151" s="12" t="s">
        <v>2969</v>
      </c>
      <c r="E1151" s="18">
        <f>VLOOKUP($C1151,'AGRI Fittings'!$D$1:$H2469,3,0)</f>
        <v>1.025</v>
      </c>
      <c r="F1151" s="320">
        <f>VLOOKUP($C1151,'AGRI Fittings'!$D$1:$H2469,2,0)</f>
        <v>492.8</v>
      </c>
      <c r="G1151" s="320">
        <f>VLOOKUP($C1151,'AGRI Fittings'!$D$1:$H2469,5,0)</f>
        <v>492.8</v>
      </c>
      <c r="H1151" s="320"/>
      <c r="I1151" s="320"/>
      <c r="J1151" s="320"/>
      <c r="K1151" s="320"/>
      <c r="L1151" s="320"/>
      <c r="M1151" s="320"/>
      <c r="N1151" s="320"/>
      <c r="O1151" s="320"/>
    </row>
    <row r="1152">
      <c r="A1152" s="32">
        <f t="shared" si="1"/>
        <v>1151</v>
      </c>
      <c r="B1152" s="9" t="s">
        <v>2898</v>
      </c>
      <c r="C1152" s="78" t="s">
        <v>2381</v>
      </c>
      <c r="D1152" s="12" t="s">
        <v>2972</v>
      </c>
      <c r="E1152" s="18">
        <f>VLOOKUP($C1152,'AGRI Fittings'!$D$1:$H2469,3,0)</f>
        <v>0.181</v>
      </c>
      <c r="F1152" s="320">
        <f>VLOOKUP($C1152,'AGRI Fittings'!$D$1:$H2469,2,0)</f>
        <v>87</v>
      </c>
      <c r="G1152" s="320">
        <f>VLOOKUP($C1152,'AGRI Fittings'!$D$1:$H2469,5,0)</f>
        <v>87</v>
      </c>
      <c r="H1152" s="320"/>
      <c r="I1152" s="320"/>
      <c r="J1152" s="320"/>
      <c r="K1152" s="320"/>
      <c r="L1152" s="320"/>
      <c r="M1152" s="320"/>
      <c r="N1152" s="320"/>
      <c r="O1152" s="320"/>
    </row>
    <row r="1153">
      <c r="A1153" s="32">
        <f t="shared" si="1"/>
        <v>1152</v>
      </c>
      <c r="B1153" s="9" t="s">
        <v>2898</v>
      </c>
      <c r="C1153" s="78" t="s">
        <v>2384</v>
      </c>
      <c r="D1153" s="12" t="s">
        <v>2979</v>
      </c>
      <c r="E1153" s="18">
        <f>VLOOKUP($C1153,'AGRI Fittings'!$D$1:$H2469,3,0)</f>
        <v>0.268</v>
      </c>
      <c r="F1153" s="320">
        <f>VLOOKUP($C1153,'AGRI Fittings'!$D$1:$H2469,2,0)</f>
        <v>129.2</v>
      </c>
      <c r="G1153" s="320">
        <f>VLOOKUP($C1153,'AGRI Fittings'!$D$1:$H2469,5,0)</f>
        <v>129.2</v>
      </c>
      <c r="H1153" s="320"/>
      <c r="I1153" s="320"/>
      <c r="J1153" s="320"/>
      <c r="K1153" s="320"/>
      <c r="L1153" s="320"/>
      <c r="M1153" s="320"/>
      <c r="N1153" s="320"/>
      <c r="O1153" s="320"/>
    </row>
    <row r="1154">
      <c r="A1154" s="32">
        <f t="shared" si="1"/>
        <v>1153</v>
      </c>
      <c r="B1154" s="9" t="s">
        <v>2898</v>
      </c>
      <c r="C1154" s="78" t="s">
        <v>2386</v>
      </c>
      <c r="D1154" s="12" t="s">
        <v>2985</v>
      </c>
      <c r="E1154" s="18">
        <f>VLOOKUP($C1154,'AGRI Fittings'!$D$1:$H2469,3,0)</f>
        <v>0.398</v>
      </c>
      <c r="F1154" s="320">
        <f>VLOOKUP($C1154,'AGRI Fittings'!$D$1:$H2469,2,0)</f>
        <v>190.8</v>
      </c>
      <c r="G1154" s="320">
        <f>VLOOKUP($C1154,'AGRI Fittings'!$D$1:$H2469,5,0)</f>
        <v>190.8</v>
      </c>
      <c r="H1154" s="320"/>
      <c r="I1154" s="320"/>
      <c r="J1154" s="320"/>
      <c r="K1154" s="320"/>
      <c r="L1154" s="320"/>
      <c r="M1154" s="320"/>
      <c r="N1154" s="320"/>
      <c r="O1154" s="320"/>
    </row>
    <row r="1155">
      <c r="A1155" s="32">
        <f t="shared" si="1"/>
        <v>1154</v>
      </c>
      <c r="B1155" s="9" t="s">
        <v>2898</v>
      </c>
      <c r="C1155" s="78" t="s">
        <v>2388</v>
      </c>
      <c r="D1155" s="12" t="s">
        <v>2986</v>
      </c>
      <c r="E1155" s="18">
        <f>VLOOKUP($C1155,'AGRI Fittings'!$D$1:$H2469,3,0)</f>
        <v>0.6235</v>
      </c>
      <c r="F1155" s="320">
        <f>VLOOKUP($C1155,'AGRI Fittings'!$D$1:$H2469,2,0)</f>
        <v>302.1</v>
      </c>
      <c r="G1155" s="320">
        <f>VLOOKUP($C1155,'AGRI Fittings'!$D$1:$H2469,5,0)</f>
        <v>302.1</v>
      </c>
      <c r="H1155" s="320"/>
      <c r="I1155" s="320"/>
      <c r="J1155" s="320"/>
      <c r="K1155" s="320"/>
      <c r="L1155" s="320"/>
      <c r="M1155" s="320"/>
      <c r="N1155" s="320"/>
      <c r="O1155" s="320"/>
    </row>
    <row r="1156">
      <c r="A1156" s="32">
        <f t="shared" si="1"/>
        <v>1155</v>
      </c>
      <c r="B1156" s="9" t="s">
        <v>2898</v>
      </c>
      <c r="C1156" s="78" t="s">
        <v>2392</v>
      </c>
      <c r="D1156" s="12" t="s">
        <v>2987</v>
      </c>
      <c r="E1156" s="18">
        <f>VLOOKUP($C1156,'AGRI Fittings'!$D$1:$H2469,3,0)</f>
        <v>1.575</v>
      </c>
      <c r="F1156" s="320">
        <f>VLOOKUP($C1156,'AGRI Fittings'!$D$1:$H2469,2,0)</f>
        <v>756.8</v>
      </c>
      <c r="G1156" s="320">
        <f>VLOOKUP($C1156,'AGRI Fittings'!$D$1:$H2469,5,0)</f>
        <v>756.8</v>
      </c>
      <c r="H1156" s="320"/>
      <c r="I1156" s="320"/>
      <c r="J1156" s="320"/>
      <c r="K1156" s="320"/>
      <c r="L1156" s="320"/>
      <c r="M1156" s="320"/>
      <c r="N1156" s="320"/>
      <c r="O1156" s="320"/>
    </row>
    <row r="1157">
      <c r="A1157" s="32">
        <f t="shared" si="1"/>
        <v>1156</v>
      </c>
      <c r="B1157" s="9" t="s">
        <v>2898</v>
      </c>
      <c r="C1157" s="78" t="s">
        <v>2398</v>
      </c>
      <c r="D1157" s="12" t="s">
        <v>2988</v>
      </c>
      <c r="E1157" s="18">
        <f>VLOOKUP($C1157,'AGRI Fittings'!$D$1:$H2469,3,0)</f>
        <v>2.64</v>
      </c>
      <c r="F1157" s="320">
        <f>VLOOKUP($C1157,'AGRI Fittings'!$D$1:$H2469,2,0)</f>
        <v>1276</v>
      </c>
      <c r="G1157" s="320">
        <f>VLOOKUP($C1157,'AGRI Fittings'!$D$1:$H2469,5,0)</f>
        <v>1276</v>
      </c>
      <c r="H1157" s="320"/>
      <c r="I1157" s="320"/>
      <c r="J1157" s="320"/>
      <c r="K1157" s="320"/>
      <c r="L1157" s="320"/>
      <c r="M1157" s="320"/>
      <c r="N1157" s="320"/>
      <c r="O1157" s="320"/>
    </row>
    <row r="1158">
      <c r="A1158" s="32">
        <f t="shared" si="1"/>
        <v>1157</v>
      </c>
      <c r="B1158" s="9" t="s">
        <v>2898</v>
      </c>
      <c r="C1158" s="78" t="s">
        <v>2408</v>
      </c>
      <c r="D1158" s="12" t="s">
        <v>2989</v>
      </c>
      <c r="E1158" s="18">
        <f>VLOOKUP($C1158,'AGRI Fittings'!$D$1:$H2469,3,0)</f>
        <v>0.129</v>
      </c>
      <c r="F1158" s="320">
        <f>VLOOKUP($C1158,'AGRI Fittings'!$D$1:$H2469,2,0)</f>
        <v>62</v>
      </c>
      <c r="G1158" s="320">
        <f>VLOOKUP($C1158,'AGRI Fittings'!$D$1:$H2469,5,0)</f>
        <v>62</v>
      </c>
      <c r="H1158" s="320"/>
      <c r="I1158" s="320"/>
      <c r="J1158" s="320"/>
      <c r="K1158" s="320"/>
      <c r="L1158" s="320"/>
      <c r="M1158" s="320"/>
      <c r="N1158" s="320"/>
      <c r="O1158" s="320"/>
    </row>
    <row r="1159">
      <c r="A1159" s="32">
        <f t="shared" si="1"/>
        <v>1158</v>
      </c>
      <c r="B1159" s="9" t="s">
        <v>2898</v>
      </c>
      <c r="C1159" s="78" t="s">
        <v>2413</v>
      </c>
      <c r="D1159" s="12" t="s">
        <v>2990</v>
      </c>
      <c r="E1159" s="18">
        <f>VLOOKUP($C1159,'AGRI Fittings'!$D$1:$H2469,3,0)</f>
        <v>0.192</v>
      </c>
      <c r="F1159" s="320">
        <f>VLOOKUP($C1159,'AGRI Fittings'!$D$1:$H2469,2,0)</f>
        <v>93.1</v>
      </c>
      <c r="G1159" s="320">
        <f>VLOOKUP($C1159,'AGRI Fittings'!$D$1:$H2469,5,0)</f>
        <v>93.1</v>
      </c>
      <c r="H1159" s="320"/>
      <c r="I1159" s="320"/>
      <c r="J1159" s="320"/>
      <c r="K1159" s="320"/>
      <c r="L1159" s="320"/>
      <c r="M1159" s="320"/>
      <c r="N1159" s="320"/>
      <c r="O1159" s="320"/>
    </row>
    <row r="1160">
      <c r="A1160" s="32">
        <f t="shared" si="1"/>
        <v>1159</v>
      </c>
      <c r="B1160" s="9" t="s">
        <v>2898</v>
      </c>
      <c r="C1160" s="78" t="s">
        <v>2414</v>
      </c>
      <c r="D1160" s="12" t="s">
        <v>2991</v>
      </c>
      <c r="E1160" s="18">
        <f>VLOOKUP($C1160,'AGRI Fittings'!$D$1:$H2469,3,0)</f>
        <v>0.286</v>
      </c>
      <c r="F1160" s="320">
        <f>VLOOKUP($C1160,'AGRI Fittings'!$D$1:$H2469,2,0)</f>
        <v>138.6</v>
      </c>
      <c r="G1160" s="320">
        <f>VLOOKUP($C1160,'AGRI Fittings'!$D$1:$H2469,5,0)</f>
        <v>138.6</v>
      </c>
      <c r="H1160" s="320"/>
      <c r="I1160" s="320"/>
      <c r="J1160" s="320"/>
      <c r="K1160" s="320"/>
      <c r="L1160" s="320"/>
      <c r="M1160" s="320"/>
      <c r="N1160" s="320"/>
      <c r="O1160" s="320"/>
    </row>
    <row r="1161">
      <c r="A1161" s="32">
        <f t="shared" si="1"/>
        <v>1160</v>
      </c>
      <c r="B1161" s="9" t="s">
        <v>2898</v>
      </c>
      <c r="C1161" s="78" t="s">
        <v>2416</v>
      </c>
      <c r="D1161" s="12" t="s">
        <v>2993</v>
      </c>
      <c r="E1161" s="18">
        <f>VLOOKUP($C1161,'AGRI Fittings'!$D$1:$H2469,3,0)</f>
        <v>0.463</v>
      </c>
      <c r="F1161" s="320">
        <f>VLOOKUP($C1161,'AGRI Fittings'!$D$1:$H2469,2,0)</f>
        <v>226.1</v>
      </c>
      <c r="G1161" s="320">
        <f>VLOOKUP($C1161,'AGRI Fittings'!$D$1:$H2469,5,0)</f>
        <v>226.1</v>
      </c>
      <c r="H1161" s="320"/>
      <c r="I1161" s="320"/>
      <c r="J1161" s="320"/>
      <c r="K1161" s="320"/>
      <c r="L1161" s="320"/>
      <c r="M1161" s="320"/>
      <c r="N1161" s="320"/>
      <c r="O1161" s="320"/>
    </row>
    <row r="1162">
      <c r="A1162" s="32">
        <f t="shared" si="1"/>
        <v>1161</v>
      </c>
      <c r="B1162" s="9" t="s">
        <v>2898</v>
      </c>
      <c r="C1162" s="78" t="s">
        <v>2417</v>
      </c>
      <c r="D1162" s="12" t="s">
        <v>2997</v>
      </c>
      <c r="E1162" s="18">
        <f>VLOOKUP($C1162,'AGRI Fittings'!$D$1:$H2469,3,0)</f>
        <v>1.275</v>
      </c>
      <c r="F1162" s="320">
        <f>VLOOKUP($C1162,'AGRI Fittings'!$D$1:$H2469,2,0)</f>
        <v>627</v>
      </c>
      <c r="G1162" s="320">
        <f>VLOOKUP($C1162,'AGRI Fittings'!$D$1:$H2469,5,0)</f>
        <v>627</v>
      </c>
      <c r="H1162" s="320"/>
      <c r="I1162" s="320"/>
      <c r="J1162" s="320"/>
      <c r="K1162" s="320"/>
      <c r="L1162" s="320"/>
      <c r="M1162" s="320"/>
      <c r="N1162" s="320"/>
      <c r="O1162" s="320"/>
    </row>
    <row r="1163">
      <c r="A1163" s="32">
        <f t="shared" si="1"/>
        <v>1162</v>
      </c>
      <c r="B1163" s="9" t="s">
        <v>2898</v>
      </c>
      <c r="C1163" s="78" t="s">
        <v>2420</v>
      </c>
      <c r="D1163" s="12" t="s">
        <v>2999</v>
      </c>
      <c r="E1163" s="18">
        <f>VLOOKUP($C1163,'AGRI Fittings'!$D$1:$H2469,3,0)</f>
        <v>1.831</v>
      </c>
      <c r="F1163" s="320">
        <f>VLOOKUP($C1163,'AGRI Fittings'!$D$1:$H2469,2,0)</f>
        <v>898</v>
      </c>
      <c r="G1163" s="320">
        <f>VLOOKUP($C1163,'AGRI Fittings'!$D$1:$H2469,5,0)</f>
        <v>898</v>
      </c>
      <c r="H1163" s="320"/>
      <c r="I1163" s="320"/>
      <c r="J1163" s="320"/>
      <c r="K1163" s="320"/>
      <c r="L1163" s="320"/>
      <c r="M1163" s="320"/>
      <c r="N1163" s="320"/>
      <c r="O1163" s="320"/>
    </row>
    <row r="1164">
      <c r="A1164" s="32">
        <f t="shared" si="1"/>
        <v>1163</v>
      </c>
      <c r="B1164" s="9" t="s">
        <v>2898</v>
      </c>
      <c r="C1164" s="78" t="s">
        <v>2425</v>
      </c>
      <c r="D1164" s="12" t="s">
        <v>3003</v>
      </c>
      <c r="E1164" s="18">
        <f>VLOOKUP($C1164,'AGRI Fittings'!$D$1:$H2469,3,0)</f>
        <v>0.054</v>
      </c>
      <c r="F1164" s="320">
        <f>VLOOKUP($C1164,'AGRI Fittings'!$D$1:$H2469,2,0)</f>
        <v>26.2</v>
      </c>
      <c r="G1164" s="320">
        <f>VLOOKUP($C1164,'AGRI Fittings'!$D$1:$H2469,5,0)</f>
        <v>26.2</v>
      </c>
      <c r="H1164" s="320"/>
      <c r="I1164" s="320"/>
      <c r="J1164" s="320"/>
      <c r="K1164" s="320"/>
      <c r="L1164" s="320"/>
      <c r="M1164" s="320"/>
      <c r="N1164" s="320"/>
      <c r="O1164" s="320"/>
    </row>
    <row r="1165">
      <c r="A1165" s="32">
        <f t="shared" si="1"/>
        <v>1164</v>
      </c>
      <c r="B1165" s="9" t="s">
        <v>2898</v>
      </c>
      <c r="C1165" s="78" t="s">
        <v>2427</v>
      </c>
      <c r="D1165" s="12" t="s">
        <v>3007</v>
      </c>
      <c r="E1165" s="18">
        <f>VLOOKUP($C1165,'AGRI Fittings'!$D$1:$H2469,3,0)</f>
        <v>0.078</v>
      </c>
      <c r="F1165" s="320">
        <f>VLOOKUP($C1165,'AGRI Fittings'!$D$1:$H2469,2,0)</f>
        <v>37.9</v>
      </c>
      <c r="G1165" s="320">
        <f>VLOOKUP($C1165,'AGRI Fittings'!$D$1:$H2469,5,0)</f>
        <v>37.9</v>
      </c>
      <c r="H1165" s="320"/>
      <c r="I1165" s="320"/>
      <c r="J1165" s="320"/>
      <c r="K1165" s="320"/>
      <c r="L1165" s="320"/>
      <c r="M1165" s="320"/>
      <c r="N1165" s="320"/>
      <c r="O1165" s="320"/>
    </row>
    <row r="1166">
      <c r="A1166" s="32">
        <f t="shared" si="1"/>
        <v>1165</v>
      </c>
      <c r="B1166" s="9" t="s">
        <v>2898</v>
      </c>
      <c r="C1166" s="78" t="s">
        <v>2429</v>
      </c>
      <c r="D1166" s="12" t="s">
        <v>3011</v>
      </c>
      <c r="E1166" s="18">
        <f>VLOOKUP($C1166,'AGRI Fittings'!$D$1:$H2469,3,0)</f>
        <v>0.1125</v>
      </c>
      <c r="F1166" s="320">
        <f>VLOOKUP($C1166,'AGRI Fittings'!$D$1:$H2469,2,0)</f>
        <v>54</v>
      </c>
      <c r="G1166" s="320">
        <f>VLOOKUP($C1166,'AGRI Fittings'!$D$1:$H2469,5,0)</f>
        <v>54</v>
      </c>
      <c r="H1166" s="320"/>
      <c r="I1166" s="320"/>
      <c r="J1166" s="320"/>
      <c r="K1166" s="320"/>
      <c r="L1166" s="320"/>
      <c r="M1166" s="320"/>
      <c r="N1166" s="320"/>
      <c r="O1166" s="320"/>
    </row>
    <row r="1167">
      <c r="A1167" s="32">
        <f t="shared" si="1"/>
        <v>1166</v>
      </c>
      <c r="B1167" s="9" t="s">
        <v>2898</v>
      </c>
      <c r="C1167" s="78" t="s">
        <v>2430</v>
      </c>
      <c r="D1167" s="12" t="s">
        <v>3013</v>
      </c>
      <c r="E1167" s="18">
        <f>VLOOKUP($C1167,'AGRI Fittings'!$D$1:$H2469,3,0)</f>
        <v>0.174</v>
      </c>
      <c r="F1167" s="320">
        <f>VLOOKUP($C1167,'AGRI Fittings'!$D$1:$H2469,2,0)</f>
        <v>83.9</v>
      </c>
      <c r="G1167" s="320">
        <f>VLOOKUP($C1167,'AGRI Fittings'!$D$1:$H2469,5,0)</f>
        <v>83.9</v>
      </c>
      <c r="H1167" s="320"/>
      <c r="I1167" s="320"/>
      <c r="J1167" s="320"/>
      <c r="K1167" s="320"/>
      <c r="L1167" s="320"/>
      <c r="M1167" s="320"/>
      <c r="N1167" s="320"/>
      <c r="O1167" s="320"/>
    </row>
    <row r="1168">
      <c r="A1168" s="32">
        <f t="shared" si="1"/>
        <v>1167</v>
      </c>
      <c r="B1168" s="9" t="s">
        <v>2898</v>
      </c>
      <c r="C1168" s="78" t="s">
        <v>2432</v>
      </c>
      <c r="D1168" s="12" t="s">
        <v>3015</v>
      </c>
      <c r="E1168" s="18">
        <f>VLOOKUP($C1168,'AGRI Fittings'!$D$1:$H2469,3,0)</f>
        <v>0.422</v>
      </c>
      <c r="F1168" s="320">
        <f>VLOOKUP($C1168,'AGRI Fittings'!$D$1:$H2469,2,0)</f>
        <v>207.1</v>
      </c>
      <c r="G1168" s="320">
        <f>VLOOKUP($C1168,'AGRI Fittings'!$D$1:$H2469,5,0)</f>
        <v>207.1</v>
      </c>
      <c r="H1168" s="320"/>
      <c r="I1168" s="320"/>
      <c r="J1168" s="320"/>
      <c r="K1168" s="320"/>
      <c r="L1168" s="320"/>
      <c r="M1168" s="320"/>
      <c r="N1168" s="320"/>
      <c r="O1168" s="320"/>
    </row>
    <row r="1169">
      <c r="A1169" s="32">
        <f t="shared" si="1"/>
        <v>1168</v>
      </c>
      <c r="B1169" s="9" t="s">
        <v>2898</v>
      </c>
      <c r="C1169" s="78" t="s">
        <v>2434</v>
      </c>
      <c r="D1169" s="12" t="s">
        <v>3017</v>
      </c>
      <c r="E1169" s="18">
        <f>VLOOKUP($C1169,'AGRI Fittings'!$D$1:$H2469,3,0)</f>
        <v>0.843</v>
      </c>
      <c r="F1169" s="320">
        <f>VLOOKUP($C1169,'AGRI Fittings'!$D$1:$H2469,2,0)</f>
        <v>414</v>
      </c>
      <c r="G1169" s="320">
        <f>VLOOKUP($C1169,'AGRI Fittings'!$D$1:$H2469,5,0)</f>
        <v>414</v>
      </c>
      <c r="H1169" s="320"/>
      <c r="I1169" s="320"/>
      <c r="J1169" s="320"/>
      <c r="K1169" s="320"/>
      <c r="L1169" s="320"/>
      <c r="M1169" s="320"/>
      <c r="N1169" s="320"/>
      <c r="O1169" s="320"/>
    </row>
    <row r="1170">
      <c r="A1170" s="32">
        <f t="shared" si="1"/>
        <v>1169</v>
      </c>
      <c r="B1170" s="9" t="s">
        <v>2898</v>
      </c>
      <c r="C1170" s="78" t="s">
        <v>47</v>
      </c>
      <c r="D1170" s="12" t="s">
        <v>3020</v>
      </c>
      <c r="E1170" s="18">
        <f>VLOOKUP($C1170,'AGRI Fittings'!$D$1:$H2469,3,0)</f>
        <v>0.035</v>
      </c>
      <c r="F1170" s="320">
        <f>VLOOKUP($C1170,'AGRI Fittings'!$D$1:$H2469,2,0)</f>
        <v>19.2</v>
      </c>
      <c r="G1170" s="320">
        <f>VLOOKUP($C1170,'AGRI Fittings'!$D$1:$H2469,5,0)</f>
        <v>19.2</v>
      </c>
      <c r="H1170" s="320"/>
      <c r="I1170" s="320"/>
      <c r="J1170" s="320"/>
      <c r="K1170" s="320"/>
      <c r="L1170" s="320"/>
      <c r="M1170" s="320"/>
      <c r="N1170" s="320"/>
      <c r="O1170" s="320"/>
    </row>
    <row r="1171">
      <c r="A1171" s="32">
        <f t="shared" si="1"/>
        <v>1170</v>
      </c>
      <c r="B1171" s="9" t="s">
        <v>2898</v>
      </c>
      <c r="C1171" s="78" t="s">
        <v>60</v>
      </c>
      <c r="D1171" s="12" t="s">
        <v>3021</v>
      </c>
      <c r="E1171" s="18">
        <f>VLOOKUP($C1171,'AGRI Fittings'!$D$1:$H2469,3,0)</f>
        <v>0.075</v>
      </c>
      <c r="F1171" s="320">
        <f>VLOOKUP($C1171,'AGRI Fittings'!$D$1:$H2469,2,0)</f>
        <v>41.2</v>
      </c>
      <c r="G1171" s="320">
        <f>VLOOKUP($C1171,'AGRI Fittings'!$D$1:$H2469,5,0)</f>
        <v>41.2</v>
      </c>
      <c r="H1171" s="320"/>
      <c r="I1171" s="320"/>
      <c r="J1171" s="320"/>
      <c r="K1171" s="320"/>
      <c r="L1171" s="320"/>
      <c r="M1171" s="320"/>
      <c r="N1171" s="320"/>
      <c r="O1171" s="320"/>
    </row>
    <row r="1172">
      <c r="A1172" s="32">
        <f t="shared" si="1"/>
        <v>1171</v>
      </c>
      <c r="B1172" s="9" t="s">
        <v>2898</v>
      </c>
      <c r="C1172" s="78" t="s">
        <v>65</v>
      </c>
      <c r="D1172" s="12" t="s">
        <v>3024</v>
      </c>
      <c r="E1172" s="18">
        <f>VLOOKUP($C1172,'AGRI Fittings'!$D$1:$H2469,3,0)</f>
        <v>0.235</v>
      </c>
      <c r="F1172" s="320">
        <f>VLOOKUP($C1172,'AGRI Fittings'!$D$1:$H2469,2,0)</f>
        <v>129.2</v>
      </c>
      <c r="G1172" s="320">
        <f>VLOOKUP($C1172,'AGRI Fittings'!$D$1:$H2469,5,0)</f>
        <v>129.2</v>
      </c>
      <c r="H1172" s="320"/>
      <c r="I1172" s="320"/>
      <c r="J1172" s="320"/>
      <c r="K1172" s="320"/>
      <c r="L1172" s="320"/>
      <c r="M1172" s="320"/>
      <c r="N1172" s="320"/>
      <c r="O1172" s="320"/>
    </row>
    <row r="1173">
      <c r="A1173" s="32">
        <f t="shared" si="1"/>
        <v>1172</v>
      </c>
      <c r="B1173" s="9" t="s">
        <v>2898</v>
      </c>
      <c r="C1173" s="78" t="s">
        <v>2451</v>
      </c>
      <c r="D1173" s="215" t="s">
        <v>2108</v>
      </c>
      <c r="E1173" s="18">
        <f>VLOOKUP($C1173,'AGRI Fittings'!$D$1:$H2469,3,0)</f>
        <v>0.227</v>
      </c>
      <c r="F1173" s="320" t="str">
        <f>VLOOKUP($C1173,'AGRI Fittings'!$D$1:$H2469,2,0)</f>
        <v>NEW</v>
      </c>
      <c r="G1173" s="320">
        <f>VLOOKUP($C1173,'AGRI Fittings'!$D$1:$H2469,5,0)</f>
        <v>148</v>
      </c>
      <c r="H1173" s="320"/>
      <c r="I1173" s="320"/>
      <c r="J1173" s="320"/>
      <c r="K1173" s="320"/>
      <c r="L1173" s="320"/>
      <c r="M1173" s="320"/>
      <c r="N1173" s="320"/>
      <c r="O1173" s="320"/>
    </row>
    <row r="1174">
      <c r="A1174" s="32">
        <f t="shared" si="1"/>
        <v>1173</v>
      </c>
      <c r="B1174" s="9" t="s">
        <v>2898</v>
      </c>
      <c r="C1174" s="78" t="s">
        <v>2455</v>
      </c>
      <c r="D1174" s="215" t="s">
        <v>2108</v>
      </c>
      <c r="E1174" s="18">
        <f>VLOOKUP($C1174,'AGRI Fittings'!$D$1:$H2469,3,0)</f>
        <v>0.345</v>
      </c>
      <c r="F1174" s="320" t="str">
        <f>VLOOKUP($C1174,'AGRI Fittings'!$D$1:$H2469,2,0)</f>
        <v>NEW</v>
      </c>
      <c r="G1174" s="320">
        <f>VLOOKUP($C1174,'AGRI Fittings'!$D$1:$H2469,5,0)</f>
        <v>236</v>
      </c>
      <c r="H1174" s="320"/>
      <c r="I1174" s="320"/>
      <c r="J1174" s="320"/>
      <c r="K1174" s="320"/>
      <c r="L1174" s="320"/>
      <c r="M1174" s="320"/>
      <c r="N1174" s="320"/>
      <c r="O1174" s="320"/>
    </row>
    <row r="1175">
      <c r="A1175" s="32">
        <f t="shared" si="1"/>
        <v>1174</v>
      </c>
      <c r="B1175" s="9" t="s">
        <v>2898</v>
      </c>
      <c r="C1175" s="78" t="s">
        <v>2461</v>
      </c>
      <c r="D1175" s="215" t="s">
        <v>2458</v>
      </c>
      <c r="E1175" s="18">
        <f>VLOOKUP($C1175,'AGRI Fittings'!$D$1:$H2469,3,0)</f>
        <v>0.397</v>
      </c>
      <c r="F1175" s="320" t="str">
        <f>VLOOKUP($C1175,'AGRI Fittings'!$D$1:$H2469,2,0)</f>
        <v>NEW</v>
      </c>
      <c r="G1175" s="320">
        <f>VLOOKUP($C1175,'AGRI Fittings'!$D$1:$H2469,5,0)</f>
        <v>232</v>
      </c>
      <c r="H1175" s="320"/>
      <c r="I1175" s="320"/>
      <c r="J1175" s="320"/>
      <c r="K1175" s="320"/>
      <c r="L1175" s="320"/>
      <c r="M1175" s="320"/>
      <c r="N1175" s="320"/>
      <c r="O1175" s="320"/>
    </row>
    <row r="1176">
      <c r="A1176" s="32">
        <f t="shared" si="1"/>
        <v>1175</v>
      </c>
      <c r="B1176" s="9" t="s">
        <v>2898</v>
      </c>
      <c r="C1176" s="78" t="s">
        <v>2463</v>
      </c>
      <c r="D1176" s="215" t="s">
        <v>2458</v>
      </c>
      <c r="E1176" s="18">
        <f>VLOOKUP($C1176,'AGRI Fittings'!$D$1:$H2469,3,0)</f>
        <v>0.476</v>
      </c>
      <c r="F1176" s="320" t="str">
        <f>VLOOKUP($C1176,'AGRI Fittings'!$D$1:$H2469,2,0)</f>
        <v>NEW</v>
      </c>
      <c r="G1176" s="320">
        <f>VLOOKUP($C1176,'AGRI Fittings'!$D$1:$H2469,5,0)</f>
        <v>238</v>
      </c>
      <c r="H1176" s="320"/>
      <c r="I1176" s="320"/>
      <c r="J1176" s="320"/>
      <c r="K1176" s="320"/>
      <c r="L1176" s="320"/>
      <c r="M1176" s="320"/>
      <c r="N1176" s="320"/>
      <c r="O1176" s="320"/>
    </row>
    <row r="1177">
      <c r="A1177" s="32">
        <f t="shared" si="1"/>
        <v>1176</v>
      </c>
      <c r="B1177" s="9" t="s">
        <v>2898</v>
      </c>
      <c r="C1177" s="500" t="s">
        <v>2470</v>
      </c>
      <c r="D1177" s="215" t="s">
        <v>2468</v>
      </c>
      <c r="E1177" s="18">
        <f>VLOOKUP($C1177,'AGRI Fittings'!$D$1:$H2469,3,0)</f>
        <v>0.007</v>
      </c>
      <c r="F1177" s="320" t="str">
        <f>VLOOKUP($C1177,'AGRI Fittings'!$D$1:$H2469,2,0)</f>
        <v>NEW</v>
      </c>
      <c r="G1177" s="320">
        <f>VLOOKUP($C1177,'AGRI Fittings'!$D$1:$H2469,5,0)</f>
        <v>3.5</v>
      </c>
      <c r="H1177" s="320"/>
      <c r="I1177" s="320"/>
      <c r="J1177" s="320"/>
      <c r="K1177" s="320"/>
      <c r="L1177" s="320"/>
      <c r="M1177" s="320"/>
      <c r="N1177" s="320"/>
      <c r="O1177" s="320"/>
    </row>
    <row r="1178">
      <c r="A1178" s="32">
        <f t="shared" si="1"/>
        <v>1177</v>
      </c>
      <c r="B1178" s="9" t="s">
        <v>2898</v>
      </c>
      <c r="C1178" s="500" t="s">
        <v>2474</v>
      </c>
      <c r="D1178" s="215" t="s">
        <v>2468</v>
      </c>
      <c r="E1178" s="18">
        <f>VLOOKUP($C1178,'AGRI Fittings'!$D$1:$H2469,3,0)</f>
        <v>0.014</v>
      </c>
      <c r="F1178" s="320" t="str">
        <f>VLOOKUP($C1178,'AGRI Fittings'!$D$1:$H2469,2,0)</f>
        <v>NEW</v>
      </c>
      <c r="G1178" s="320">
        <f>VLOOKUP($C1178,'AGRI Fittings'!$D$1:$H2469,5,0)</f>
        <v>6.9</v>
      </c>
      <c r="H1178" s="320"/>
      <c r="I1178" s="320"/>
      <c r="J1178" s="320"/>
      <c r="K1178" s="320"/>
      <c r="L1178" s="320"/>
      <c r="M1178" s="320"/>
      <c r="N1178" s="320"/>
      <c r="O1178" s="320"/>
    </row>
    <row r="1179">
      <c r="A1179" s="32">
        <f t="shared" si="1"/>
        <v>1178</v>
      </c>
      <c r="B1179" s="9" t="s">
        <v>2898</v>
      </c>
      <c r="C1179" s="500" t="s">
        <v>2477</v>
      </c>
      <c r="D1179" s="215" t="s">
        <v>2468</v>
      </c>
      <c r="E1179" s="18">
        <f>VLOOKUP($C1179,'AGRI Fittings'!$D$1:$H2469,3,0)</f>
        <v>0.028</v>
      </c>
      <c r="F1179" s="320" t="str">
        <f>VLOOKUP($C1179,'AGRI Fittings'!$D$1:$H2469,2,0)</f>
        <v>NEW</v>
      </c>
      <c r="G1179" s="320">
        <f>VLOOKUP($C1179,'AGRI Fittings'!$D$1:$H2469,5,0)</f>
        <v>13.7</v>
      </c>
      <c r="H1179" s="320"/>
      <c r="I1179" s="320"/>
      <c r="J1179" s="320"/>
      <c r="K1179" s="320"/>
      <c r="L1179" s="320"/>
      <c r="M1179" s="320"/>
      <c r="N1179" s="320"/>
      <c r="O1179" s="320"/>
    </row>
    <row r="1180">
      <c r="A1180" s="32">
        <f t="shared" si="1"/>
        <v>1179</v>
      </c>
      <c r="B1180" s="9" t="s">
        <v>2898</v>
      </c>
      <c r="C1180" s="500" t="s">
        <v>2479</v>
      </c>
      <c r="D1180" s="215" t="s">
        <v>2468</v>
      </c>
      <c r="E1180" s="18">
        <f>VLOOKUP($C1180,'AGRI Fittings'!$D$1:$H2469,3,0)</f>
        <v>0.04</v>
      </c>
      <c r="F1180" s="320" t="str">
        <f>VLOOKUP($C1180,'AGRI Fittings'!$D$1:$H2469,2,0)</f>
        <v>NEW</v>
      </c>
      <c r="G1180" s="320">
        <f>VLOOKUP($C1180,'AGRI Fittings'!$D$1:$H2469,5,0)</f>
        <v>19.6</v>
      </c>
      <c r="H1180" s="320"/>
      <c r="I1180" s="320"/>
      <c r="J1180" s="320"/>
      <c r="K1180" s="320"/>
      <c r="L1180" s="320"/>
      <c r="M1180" s="320"/>
      <c r="N1180" s="320"/>
      <c r="O1180" s="320"/>
    </row>
    <row r="1181">
      <c r="A1181" s="32">
        <f t="shared" si="1"/>
        <v>1180</v>
      </c>
      <c r="B1181" s="9" t="s">
        <v>2898</v>
      </c>
      <c r="C1181" s="500" t="s">
        <v>2483</v>
      </c>
      <c r="D1181" s="215" t="s">
        <v>2468</v>
      </c>
      <c r="E1181" s="18">
        <f>VLOOKUP($C1181,'AGRI Fittings'!$D$1:$H2469,3,0)</f>
        <v>0.013</v>
      </c>
      <c r="F1181" s="320" t="str">
        <f>VLOOKUP($C1181,'AGRI Fittings'!$D$1:$H2469,2,0)</f>
        <v>NEW</v>
      </c>
      <c r="G1181" s="320">
        <f>VLOOKUP($C1181,'AGRI Fittings'!$D$1:$H2469,5,0)</f>
        <v>6.4</v>
      </c>
      <c r="H1181" s="320"/>
      <c r="I1181" s="320"/>
      <c r="J1181" s="320"/>
      <c r="K1181" s="320"/>
      <c r="L1181" s="320"/>
      <c r="M1181" s="320"/>
      <c r="N1181" s="320"/>
      <c r="O1181" s="320"/>
    </row>
    <row r="1182">
      <c r="A1182" s="32">
        <f t="shared" si="1"/>
        <v>1181</v>
      </c>
      <c r="B1182" s="9" t="s">
        <v>2898</v>
      </c>
      <c r="C1182" s="500" t="s">
        <v>2486</v>
      </c>
      <c r="D1182" s="215" t="s">
        <v>2468</v>
      </c>
      <c r="E1182" s="18">
        <f>VLOOKUP($C1182,'AGRI Fittings'!$D$1:$H2469,3,0)</f>
        <v>0.032</v>
      </c>
      <c r="F1182" s="320" t="str">
        <f>VLOOKUP($C1182,'AGRI Fittings'!$D$1:$H2469,2,0)</f>
        <v>NEW</v>
      </c>
      <c r="G1182" s="320">
        <f>VLOOKUP($C1182,'AGRI Fittings'!$D$1:$H2469,5,0)</f>
        <v>15.7</v>
      </c>
      <c r="H1182" s="320"/>
      <c r="I1182" s="320"/>
      <c r="J1182" s="320"/>
      <c r="K1182" s="320"/>
      <c r="L1182" s="320"/>
      <c r="M1182" s="320"/>
      <c r="N1182" s="320"/>
      <c r="O1182" s="320"/>
    </row>
    <row r="1183">
      <c r="A1183" s="32">
        <f t="shared" si="1"/>
        <v>1182</v>
      </c>
      <c r="B1183" s="9" t="s">
        <v>2898</v>
      </c>
      <c r="C1183" s="500" t="s">
        <v>2488</v>
      </c>
      <c r="D1183" s="215" t="s">
        <v>2468</v>
      </c>
      <c r="E1183" s="18">
        <f>VLOOKUP($C1183,'AGRI Fittings'!$D$1:$H2469,3,0)</f>
        <v>0.045</v>
      </c>
      <c r="F1183" s="320" t="str">
        <f>VLOOKUP($C1183,'AGRI Fittings'!$D$1:$H2469,2,0)</f>
        <v>NEW</v>
      </c>
      <c r="G1183" s="320">
        <f>VLOOKUP($C1183,'AGRI Fittings'!$D$1:$H2469,5,0)</f>
        <v>22.1</v>
      </c>
      <c r="H1183" s="320"/>
      <c r="I1183" s="320"/>
      <c r="J1183" s="320"/>
      <c r="K1183" s="320"/>
      <c r="L1183" s="320"/>
      <c r="M1183" s="320"/>
      <c r="N1183" s="320"/>
      <c r="O1183" s="320"/>
    </row>
    <row r="1184">
      <c r="A1184" s="32">
        <f t="shared" si="1"/>
        <v>1183</v>
      </c>
      <c r="B1184" s="9" t="s">
        <v>2898</v>
      </c>
      <c r="C1184" s="500" t="s">
        <v>2490</v>
      </c>
      <c r="D1184" s="215" t="s">
        <v>2468</v>
      </c>
      <c r="E1184" s="18">
        <f>VLOOKUP($C1184,'AGRI Fittings'!$D$1:$H2469,3,0)</f>
        <v>0.025</v>
      </c>
      <c r="F1184" s="320" t="str">
        <f>VLOOKUP($C1184,'AGRI Fittings'!$D$1:$H2469,2,0)</f>
        <v>NEW</v>
      </c>
      <c r="G1184" s="320">
        <f>VLOOKUP($C1184,'AGRI Fittings'!$D$1:$H2469,5,0)</f>
        <v>12.4</v>
      </c>
      <c r="H1184" s="320"/>
      <c r="I1184" s="320"/>
      <c r="J1184" s="320"/>
      <c r="K1184" s="320"/>
      <c r="L1184" s="320"/>
      <c r="M1184" s="320"/>
      <c r="N1184" s="320"/>
      <c r="O1184" s="320"/>
    </row>
    <row r="1185">
      <c r="A1185" s="32">
        <f t="shared" si="1"/>
        <v>1184</v>
      </c>
      <c r="B1185" s="9" t="s">
        <v>2898</v>
      </c>
      <c r="C1185" s="500" t="s">
        <v>2493</v>
      </c>
      <c r="D1185" s="215" t="s">
        <v>2468</v>
      </c>
      <c r="E1185" s="18">
        <f>VLOOKUP($C1185,'AGRI Fittings'!$D$1:$H2469,3,0)</f>
        <v>0.044</v>
      </c>
      <c r="F1185" s="320" t="str">
        <f>VLOOKUP($C1185,'AGRI Fittings'!$D$1:$H2469,2,0)</f>
        <v>NEW</v>
      </c>
      <c r="G1185" s="320">
        <f>VLOOKUP($C1185,'AGRI Fittings'!$D$1:$H2469,5,0)</f>
        <v>21.6</v>
      </c>
      <c r="H1185" s="320"/>
      <c r="I1185" s="320"/>
      <c r="J1185" s="320"/>
      <c r="K1185" s="320"/>
      <c r="L1185" s="320"/>
      <c r="M1185" s="320"/>
      <c r="N1185" s="320"/>
      <c r="O1185" s="320"/>
    </row>
    <row r="1186">
      <c r="A1186" s="32">
        <f t="shared" si="1"/>
        <v>1185</v>
      </c>
      <c r="B1186" s="9" t="s">
        <v>2898</v>
      </c>
      <c r="C1186" s="500" t="s">
        <v>2495</v>
      </c>
      <c r="D1186" s="215" t="s">
        <v>2468</v>
      </c>
      <c r="E1186" s="18">
        <f>VLOOKUP($C1186,'AGRI Fittings'!$D$1:$H2469,3,0)</f>
        <v>0.063</v>
      </c>
      <c r="F1186" s="320" t="str">
        <f>VLOOKUP($C1186,'AGRI Fittings'!$D$1:$H2469,2,0)</f>
        <v>NEW</v>
      </c>
      <c r="G1186" s="320">
        <f>VLOOKUP($C1186,'AGRI Fittings'!$D$1:$H2469,5,0)</f>
        <v>31.2</v>
      </c>
      <c r="H1186" s="320"/>
      <c r="I1186" s="320"/>
      <c r="J1186" s="320"/>
      <c r="K1186" s="320"/>
      <c r="L1186" s="320"/>
      <c r="M1186" s="320"/>
      <c r="N1186" s="320"/>
      <c r="O1186" s="320"/>
    </row>
    <row r="1187">
      <c r="A1187" s="32">
        <f t="shared" si="1"/>
        <v>1186</v>
      </c>
      <c r="B1187" s="9" t="s">
        <v>2898</v>
      </c>
      <c r="C1187" s="500" t="s">
        <v>2497</v>
      </c>
      <c r="D1187" s="215" t="s">
        <v>2468</v>
      </c>
      <c r="E1187" s="18">
        <f>VLOOKUP($C1187,'AGRI Fittings'!$D$1:$H2469,3,0)</f>
        <v>0.074</v>
      </c>
      <c r="F1187" s="320" t="str">
        <f>VLOOKUP($C1187,'AGRI Fittings'!$D$1:$H2469,2,0)</f>
        <v>NEW</v>
      </c>
      <c r="G1187" s="320">
        <f>VLOOKUP($C1187,'AGRI Fittings'!$D$1:$H2469,5,0)</f>
        <v>36.3</v>
      </c>
      <c r="H1187" s="320"/>
      <c r="I1187" s="320"/>
      <c r="J1187" s="320"/>
      <c r="K1187" s="320"/>
      <c r="L1187" s="320"/>
      <c r="M1187" s="320"/>
      <c r="N1187" s="320"/>
      <c r="O1187" s="320"/>
    </row>
    <row r="1188">
      <c r="A1188" s="32">
        <f t="shared" si="1"/>
        <v>1187</v>
      </c>
      <c r="B1188" s="9" t="s">
        <v>2898</v>
      </c>
      <c r="C1188" s="78" t="s">
        <v>80</v>
      </c>
      <c r="D1188" s="12" t="s">
        <v>3035</v>
      </c>
      <c r="E1188" s="18">
        <f>VLOOKUP($C1188,'AGRI Fittings'!$D$1:$H2469,3,0)</f>
        <v>0.05</v>
      </c>
      <c r="F1188" s="320">
        <f>VLOOKUP($C1188,'AGRI Fittings'!$D$1:$H2469,2,0)</f>
        <v>27.4</v>
      </c>
      <c r="G1188" s="320">
        <f>VLOOKUP($C1188,'AGRI Fittings'!$D$1:$H2469,5,0)</f>
        <v>27.4</v>
      </c>
      <c r="H1188" s="320"/>
      <c r="I1188" s="320"/>
      <c r="J1188" s="320"/>
      <c r="K1188" s="320"/>
      <c r="L1188" s="320"/>
      <c r="M1188" s="320"/>
      <c r="N1188" s="320"/>
      <c r="O1188" s="320"/>
    </row>
    <row r="1189">
      <c r="A1189" s="32">
        <f t="shared" si="1"/>
        <v>1188</v>
      </c>
      <c r="B1189" s="9" t="s">
        <v>2898</v>
      </c>
      <c r="C1189" s="78" t="s">
        <v>89</v>
      </c>
      <c r="D1189" s="12" t="s">
        <v>3036</v>
      </c>
      <c r="E1189" s="18">
        <f>VLOOKUP($C1189,'AGRI Fittings'!$D$1:$H2469,3,0)</f>
        <v>0.07</v>
      </c>
      <c r="F1189" s="320">
        <f>VLOOKUP($C1189,'AGRI Fittings'!$D$1:$H2469,2,0)</f>
        <v>38.4</v>
      </c>
      <c r="G1189" s="320">
        <f>VLOOKUP($C1189,'AGRI Fittings'!$D$1:$H2469,5,0)</f>
        <v>38.4</v>
      </c>
      <c r="H1189" s="320"/>
      <c r="I1189" s="320"/>
      <c r="J1189" s="320"/>
      <c r="K1189" s="320"/>
      <c r="L1189" s="320"/>
      <c r="M1189" s="320"/>
      <c r="N1189" s="320"/>
      <c r="O1189" s="320"/>
    </row>
    <row r="1190">
      <c r="A1190" s="32">
        <f t="shared" si="1"/>
        <v>1189</v>
      </c>
      <c r="B1190" s="9" t="s">
        <v>2898</v>
      </c>
      <c r="C1190" s="78" t="s">
        <v>97</v>
      </c>
      <c r="D1190" s="12" t="s">
        <v>3037</v>
      </c>
      <c r="E1190" s="18">
        <f>VLOOKUP($C1190,'AGRI Fittings'!$D$1:$H2469,3,0)</f>
        <v>0.12</v>
      </c>
      <c r="F1190" s="320">
        <f>VLOOKUP($C1190,'AGRI Fittings'!$D$1:$H2469,2,0)</f>
        <v>66</v>
      </c>
      <c r="G1190" s="320">
        <f>VLOOKUP($C1190,'AGRI Fittings'!$D$1:$H2469,5,0)</f>
        <v>66</v>
      </c>
      <c r="H1190" s="320"/>
      <c r="I1190" s="320"/>
      <c r="J1190" s="320"/>
      <c r="K1190" s="320"/>
      <c r="L1190" s="320"/>
      <c r="M1190" s="320"/>
      <c r="N1190" s="320"/>
      <c r="O1190" s="320"/>
    </row>
    <row r="1191">
      <c r="A1191" s="32">
        <f t="shared" si="1"/>
        <v>1190</v>
      </c>
      <c r="B1191" s="9" t="s">
        <v>2898</v>
      </c>
      <c r="C1191" s="78" t="s">
        <v>101</v>
      </c>
      <c r="D1191" s="12" t="s">
        <v>3038</v>
      </c>
      <c r="E1191" s="18">
        <f>VLOOKUP($C1191,'AGRI Fittings'!$D$1:$H2469,3,0)</f>
        <v>0.115</v>
      </c>
      <c r="F1191" s="320">
        <f>VLOOKUP($C1191,'AGRI Fittings'!$D$1:$H2469,2,0)</f>
        <v>63.2</v>
      </c>
      <c r="G1191" s="320">
        <f>VLOOKUP($C1191,'AGRI Fittings'!$D$1:$H2469,5,0)</f>
        <v>63.2</v>
      </c>
      <c r="H1191" s="320"/>
      <c r="I1191" s="320"/>
      <c r="J1191" s="320"/>
      <c r="K1191" s="320"/>
      <c r="L1191" s="320"/>
      <c r="M1191" s="320"/>
      <c r="N1191" s="320"/>
      <c r="O1191" s="320"/>
    </row>
    <row r="1192">
      <c r="A1192" s="32">
        <f t="shared" si="1"/>
        <v>1191</v>
      </c>
      <c r="B1192" s="9" t="s">
        <v>2898</v>
      </c>
      <c r="C1192" s="78" t="s">
        <v>103</v>
      </c>
      <c r="D1192" s="12" t="s">
        <v>3039</v>
      </c>
      <c r="E1192" s="18">
        <f>VLOOKUP($C1192,'AGRI Fittings'!$D$1:$H2469,3,0)</f>
        <v>0.175</v>
      </c>
      <c r="F1192" s="320">
        <f>VLOOKUP($C1192,'AGRI Fittings'!$D$1:$H2469,2,0)</f>
        <v>96.2</v>
      </c>
      <c r="G1192" s="320">
        <f>VLOOKUP($C1192,'AGRI Fittings'!$D$1:$H2469,5,0)</f>
        <v>96.2</v>
      </c>
      <c r="H1192" s="320"/>
      <c r="I1192" s="320"/>
      <c r="J1192" s="320"/>
      <c r="K1192" s="320"/>
      <c r="L1192" s="320"/>
      <c r="M1192" s="320"/>
      <c r="N1192" s="320"/>
      <c r="O1192" s="320"/>
    </row>
    <row r="1193">
      <c r="A1193" s="32">
        <f t="shared" si="1"/>
        <v>1192</v>
      </c>
      <c r="B1193" s="9" t="s">
        <v>2898</v>
      </c>
      <c r="C1193" s="78" t="s">
        <v>105</v>
      </c>
      <c r="D1193" s="12" t="s">
        <v>3040</v>
      </c>
      <c r="E1193" s="18">
        <f>VLOOKUP($C1193,'AGRI Fittings'!$D$1:$H2469,3,0)</f>
        <v>0.3</v>
      </c>
      <c r="F1193" s="320">
        <f>VLOOKUP($C1193,'AGRI Fittings'!$D$1:$H2469,2,0)</f>
        <v>165</v>
      </c>
      <c r="G1193" s="320">
        <f>VLOOKUP($C1193,'AGRI Fittings'!$D$1:$H2469,5,0)</f>
        <v>165</v>
      </c>
      <c r="H1193" s="320"/>
      <c r="I1193" s="320"/>
      <c r="J1193" s="320"/>
      <c r="K1193" s="320"/>
      <c r="L1193" s="320"/>
      <c r="M1193" s="320"/>
      <c r="N1193" s="320"/>
      <c r="O1193" s="320"/>
    </row>
    <row r="1194">
      <c r="A1194" s="32">
        <f t="shared" si="1"/>
        <v>1193</v>
      </c>
      <c r="B1194" s="9" t="s">
        <v>2898</v>
      </c>
      <c r="C1194" s="78" t="s">
        <v>108</v>
      </c>
      <c r="D1194" s="12" t="s">
        <v>3041</v>
      </c>
      <c r="E1194" s="18">
        <f>VLOOKUP($C1194,'AGRI Fittings'!$D$1:$H2469,3,0)</f>
        <v>0.085</v>
      </c>
      <c r="F1194" s="320">
        <f>VLOOKUP($C1194,'AGRI Fittings'!$D$1:$H2469,2,0)</f>
        <v>46.6</v>
      </c>
      <c r="G1194" s="320">
        <f>VLOOKUP($C1194,'AGRI Fittings'!$D$1:$H2469,5,0)</f>
        <v>46.6</v>
      </c>
      <c r="H1194" s="320"/>
      <c r="I1194" s="320"/>
      <c r="J1194" s="320"/>
      <c r="K1194" s="320"/>
      <c r="L1194" s="320"/>
      <c r="M1194" s="320"/>
      <c r="N1194" s="320"/>
      <c r="O1194" s="320"/>
    </row>
    <row r="1195">
      <c r="A1195" s="32">
        <f t="shared" si="1"/>
        <v>1194</v>
      </c>
      <c r="B1195" s="9" t="s">
        <v>2898</v>
      </c>
      <c r="C1195" s="78" t="s">
        <v>111</v>
      </c>
      <c r="D1195" s="12" t="s">
        <v>3042</v>
      </c>
      <c r="E1195" s="18">
        <f>VLOOKUP($C1195,'AGRI Fittings'!$D$1:$H2469,3,0)</f>
        <v>0.13</v>
      </c>
      <c r="F1195" s="320">
        <f>VLOOKUP($C1195,'AGRI Fittings'!$D$1:$H2469,2,0)</f>
        <v>71.4</v>
      </c>
      <c r="G1195" s="320">
        <f>VLOOKUP($C1195,'AGRI Fittings'!$D$1:$H2469,5,0)</f>
        <v>71.4</v>
      </c>
      <c r="H1195" s="320"/>
      <c r="I1195" s="320"/>
      <c r="J1195" s="320"/>
      <c r="K1195" s="320"/>
      <c r="L1195" s="320"/>
      <c r="M1195" s="320"/>
      <c r="N1195" s="320"/>
      <c r="O1195" s="320"/>
    </row>
    <row r="1196">
      <c r="A1196" s="32">
        <f t="shared" si="1"/>
        <v>1195</v>
      </c>
      <c r="B1196" s="9" t="s">
        <v>2898</v>
      </c>
      <c r="C1196" s="78" t="s">
        <v>112</v>
      </c>
      <c r="D1196" s="12" t="s">
        <v>3043</v>
      </c>
      <c r="E1196" s="18">
        <f>VLOOKUP($C1196,'AGRI Fittings'!$D$1:$H2469,3,0)</f>
        <v>0.21</v>
      </c>
      <c r="F1196" s="320">
        <f>VLOOKUP($C1196,'AGRI Fittings'!$D$1:$H2469,2,0)</f>
        <v>115.4</v>
      </c>
      <c r="G1196" s="320">
        <f>VLOOKUP($C1196,'AGRI Fittings'!$D$1:$H2469,5,0)</f>
        <v>115.4</v>
      </c>
      <c r="H1196" s="320"/>
      <c r="I1196" s="320"/>
      <c r="J1196" s="320"/>
      <c r="K1196" s="320"/>
      <c r="L1196" s="320"/>
      <c r="M1196" s="320"/>
      <c r="N1196" s="320"/>
      <c r="O1196" s="320"/>
    </row>
    <row r="1197">
      <c r="A1197" s="32">
        <f t="shared" si="1"/>
        <v>1196</v>
      </c>
      <c r="B1197" s="9" t="s">
        <v>3044</v>
      </c>
      <c r="C1197" s="78" t="s">
        <v>2533</v>
      </c>
      <c r="D1197" s="443" t="s">
        <v>2534</v>
      </c>
      <c r="E1197" s="18">
        <f>VLOOKUP($C1197,'AGRI SMART PIPE'!$E$4:$K2469,5,0)</f>
        <v>5</v>
      </c>
      <c r="F1197" s="523" t="s">
        <v>1088</v>
      </c>
      <c r="G1197" s="18">
        <f>VLOOKUP($C1197,'AGRI SMART PIPE'!$E$4:$K2469,6,0)</f>
        <v>1440</v>
      </c>
      <c r="H1197" s="320"/>
      <c r="I1197" s="320"/>
      <c r="J1197" s="320"/>
      <c r="K1197" s="320"/>
      <c r="L1197" s="320"/>
      <c r="M1197" s="320"/>
      <c r="N1197" s="320"/>
      <c r="O1197" s="320"/>
    </row>
    <row r="1198">
      <c r="A1198" s="32">
        <f t="shared" si="1"/>
        <v>1197</v>
      </c>
      <c r="B1198" s="9" t="s">
        <v>3044</v>
      </c>
      <c r="C1198" s="78" t="s">
        <v>2538</v>
      </c>
      <c r="D1198" s="443" t="s">
        <v>2539</v>
      </c>
      <c r="E1198" s="18">
        <f>VLOOKUP($C1198,'AGRI SMART PIPE'!$E$4:$K2469,5,0)</f>
        <v>6.8</v>
      </c>
      <c r="F1198" s="523" t="s">
        <v>1088</v>
      </c>
      <c r="G1198" s="18">
        <f>VLOOKUP($C1198,'AGRI SMART PIPE'!$E$4:$K2469,6,0)</f>
        <v>1980</v>
      </c>
      <c r="H1198" s="320"/>
      <c r="I1198" s="320"/>
      <c r="J1198" s="320"/>
      <c r="K1198" s="320"/>
      <c r="L1198" s="320"/>
      <c r="M1198" s="320"/>
      <c r="N1198" s="320"/>
      <c r="O1198" s="320"/>
    </row>
    <row r="1199">
      <c r="A1199" s="32">
        <f t="shared" si="1"/>
        <v>1198</v>
      </c>
      <c r="B1199" s="9" t="s">
        <v>3044</v>
      </c>
      <c r="C1199" s="78" t="s">
        <v>2542</v>
      </c>
      <c r="D1199" s="443" t="s">
        <v>2543</v>
      </c>
      <c r="E1199" s="18">
        <f>VLOOKUP($C1199,'AGRI SMART PIPE'!$E$4:$K2469,5,0)</f>
        <v>6.8</v>
      </c>
      <c r="F1199" s="523" t="s">
        <v>1088</v>
      </c>
      <c r="G1199" s="18">
        <f>VLOOKUP($C1199,'AGRI SMART PIPE'!$E$4:$K2469,6,0)</f>
        <v>1980</v>
      </c>
      <c r="H1199" s="320"/>
      <c r="I1199" s="320"/>
      <c r="J1199" s="320"/>
      <c r="K1199" s="320"/>
      <c r="L1199" s="320"/>
      <c r="M1199" s="320"/>
      <c r="N1199" s="320"/>
      <c r="O1199" s="320"/>
    </row>
    <row r="1200">
      <c r="A1200" s="32">
        <f t="shared" si="1"/>
        <v>1199</v>
      </c>
      <c r="B1200" s="9" t="s">
        <v>3044</v>
      </c>
      <c r="C1200" s="78" t="s">
        <v>2552</v>
      </c>
      <c r="D1200" s="443" t="s">
        <v>2553</v>
      </c>
      <c r="E1200" s="18">
        <f>VLOOKUP($C1200,'AGRI SMART PIPE'!$E$4:$K2469,5,0)</f>
        <v>9.8</v>
      </c>
      <c r="F1200" s="523" t="s">
        <v>1088</v>
      </c>
      <c r="G1200" s="18">
        <f>VLOOKUP($C1200,'AGRI SMART PIPE'!$E$4:$K2469,6,0)</f>
        <v>2750</v>
      </c>
      <c r="H1200" s="320"/>
      <c r="I1200" s="320"/>
      <c r="J1200" s="320"/>
      <c r="K1200" s="320"/>
      <c r="L1200" s="320"/>
      <c r="M1200" s="320"/>
      <c r="N1200" s="320"/>
      <c r="O1200" s="320"/>
    </row>
    <row r="1201">
      <c r="A1201" s="32">
        <f t="shared" si="1"/>
        <v>1200</v>
      </c>
      <c r="B1201" s="9" t="s">
        <v>3044</v>
      </c>
      <c r="C1201" s="78" t="s">
        <v>2558</v>
      </c>
      <c r="D1201" s="443" t="s">
        <v>2559</v>
      </c>
      <c r="E1201" s="18" t="str">
        <f>VLOOKUP($C1201,'AGRI SMART PIPE'!$E$4:$K2469,5,0)</f>
        <v/>
      </c>
      <c r="F1201" s="523" t="s">
        <v>1088</v>
      </c>
      <c r="G1201" s="18">
        <f>VLOOKUP($C1201,'AGRI SMART PIPE'!$E$4:$K2469,6,0)</f>
        <v>3980</v>
      </c>
      <c r="H1201" s="320"/>
      <c r="I1201" s="320"/>
      <c r="J1201" s="320"/>
      <c r="K1201" s="320"/>
      <c r="L1201" s="320"/>
      <c r="M1201" s="320"/>
      <c r="N1201" s="320"/>
      <c r="O1201" s="320"/>
    </row>
    <row r="1202">
      <c r="A1202" s="32">
        <f t="shared" si="1"/>
        <v>1201</v>
      </c>
      <c r="B1202" s="9" t="s">
        <v>3044</v>
      </c>
      <c r="C1202" s="78" t="s">
        <v>2568</v>
      </c>
      <c r="D1202" s="443" t="s">
        <v>2569</v>
      </c>
      <c r="E1202" s="18">
        <f>VLOOKUP($C1202,'AGRI SMART PIPE'!$E$4:$K2469,5,0)</f>
        <v>14.5</v>
      </c>
      <c r="F1202" s="523" t="s">
        <v>1088</v>
      </c>
      <c r="G1202" s="18">
        <f>VLOOKUP($C1202,'AGRI SMART PIPE'!$E$4:$K2469,6,0)</f>
        <v>4180</v>
      </c>
      <c r="H1202" s="320"/>
      <c r="I1202" s="320"/>
      <c r="J1202" s="320"/>
      <c r="K1202" s="320"/>
      <c r="L1202" s="320"/>
      <c r="M1202" s="320"/>
      <c r="N1202" s="320"/>
      <c r="O1202" s="320"/>
    </row>
    <row r="1203">
      <c r="A1203" s="32">
        <f t="shared" si="1"/>
        <v>1202</v>
      </c>
      <c r="B1203" s="9" t="s">
        <v>3044</v>
      </c>
      <c r="C1203" s="78" t="s">
        <v>2571</v>
      </c>
      <c r="D1203" s="443" t="s">
        <v>2572</v>
      </c>
      <c r="E1203" s="18">
        <f>VLOOKUP($C1203,'AGRI SMART PIPE'!$E$4:$K2469,5,0)</f>
        <v>19.8</v>
      </c>
      <c r="F1203" s="523" t="s">
        <v>1088</v>
      </c>
      <c r="G1203" s="18">
        <f>VLOOKUP($C1203,'AGRI SMART PIPE'!$E$4:$K2469,6,0)</f>
        <v>5740</v>
      </c>
      <c r="H1203" s="320"/>
      <c r="I1203" s="320"/>
      <c r="J1203" s="320"/>
      <c r="K1203" s="320"/>
      <c r="L1203" s="320"/>
      <c r="M1203" s="320"/>
      <c r="N1203" s="320"/>
      <c r="O1203" s="320"/>
    </row>
    <row r="1204">
      <c r="A1204" s="32">
        <f t="shared" si="1"/>
        <v>1203</v>
      </c>
      <c r="B1204" s="9" t="s">
        <v>3045</v>
      </c>
      <c r="C1204" s="78" t="s">
        <v>2600</v>
      </c>
      <c r="D1204" s="12" t="s">
        <v>3046</v>
      </c>
      <c r="E1204" s="18">
        <f>VLOOKUP($C1204,'AGRI SMART Fittings'!$D$6:$H2469,3,0)</f>
        <v>0.1065</v>
      </c>
      <c r="F1204" s="320">
        <f>VLOOKUP($C1204,'AGRI SMART Fittings'!$D$6:$H2469,2,0)</f>
        <v>55.4</v>
      </c>
      <c r="G1204" s="320">
        <f>VLOOKUP($C1204,'AGRI SMART Fittings'!$D$6:$H2469,5,0)</f>
        <v>55.4</v>
      </c>
      <c r="H1204" s="320"/>
      <c r="I1204" s="320"/>
      <c r="J1204" s="320"/>
      <c r="K1204" s="320"/>
      <c r="L1204" s="320"/>
      <c r="M1204" s="320"/>
      <c r="N1204" s="320"/>
      <c r="O1204" s="320"/>
    </row>
    <row r="1205">
      <c r="A1205" s="32">
        <f t="shared" si="1"/>
        <v>1204</v>
      </c>
      <c r="B1205" s="9" t="s">
        <v>3045</v>
      </c>
      <c r="C1205" s="78" t="s">
        <v>2601</v>
      </c>
      <c r="D1205" s="12" t="s">
        <v>3047</v>
      </c>
      <c r="E1205" s="18">
        <f>VLOOKUP($C1205,'AGRI SMART Fittings'!$D$6:$H2469,3,0)</f>
        <v>0.155</v>
      </c>
      <c r="F1205" s="320">
        <f>VLOOKUP($C1205,'AGRI SMART Fittings'!$D$6:$H2469,2,0)</f>
        <v>80.8</v>
      </c>
      <c r="G1205" s="320">
        <f>VLOOKUP($C1205,'AGRI SMART Fittings'!$D$6:$H2469,5,0)</f>
        <v>80.8</v>
      </c>
      <c r="H1205" s="320"/>
      <c r="I1205" s="320"/>
      <c r="J1205" s="320"/>
      <c r="K1205" s="320"/>
      <c r="L1205" s="320"/>
      <c r="M1205" s="320"/>
      <c r="N1205" s="320"/>
      <c r="O1205" s="320"/>
    </row>
    <row r="1206">
      <c r="A1206" s="32">
        <f t="shared" si="1"/>
        <v>1205</v>
      </c>
      <c r="B1206" s="9" t="s">
        <v>3045</v>
      </c>
      <c r="C1206" s="78" t="s">
        <v>2602</v>
      </c>
      <c r="D1206" s="12" t="s">
        <v>3048</v>
      </c>
      <c r="E1206" s="18">
        <f>VLOOKUP($C1206,'AGRI SMART Fittings'!$D$6:$H2469,3,0)</f>
        <v>0.242</v>
      </c>
      <c r="F1206" s="320">
        <f>VLOOKUP($C1206,'AGRI SMART Fittings'!$D$6:$H2469,2,0)</f>
        <v>124.8</v>
      </c>
      <c r="G1206" s="320">
        <f>VLOOKUP($C1206,'AGRI SMART Fittings'!$D$6:$H2469,5,0)</f>
        <v>124.8</v>
      </c>
      <c r="H1206" s="320"/>
      <c r="I1206" s="320"/>
      <c r="J1206" s="320"/>
      <c r="K1206" s="320"/>
      <c r="L1206" s="320"/>
      <c r="M1206" s="320"/>
      <c r="N1206" s="320"/>
      <c r="O1206" s="320"/>
    </row>
    <row r="1207">
      <c r="A1207" s="32">
        <f t="shared" si="1"/>
        <v>1206</v>
      </c>
      <c r="B1207" s="9" t="s">
        <v>3045</v>
      </c>
      <c r="C1207" s="78" t="s">
        <v>2603</v>
      </c>
      <c r="D1207" s="12" t="s">
        <v>3049</v>
      </c>
      <c r="E1207" s="18">
        <f>VLOOKUP($C1207,'AGRI SMART Fittings'!$D$6:$H2469,3,0)</f>
        <v>0.583</v>
      </c>
      <c r="F1207" s="320">
        <f>VLOOKUP($C1207,'AGRI SMART Fittings'!$D$6:$H2469,2,0)</f>
        <v>299.4</v>
      </c>
      <c r="G1207" s="320">
        <f>VLOOKUP($C1207,'AGRI SMART Fittings'!$D$6:$H2469,5,0)</f>
        <v>299.4</v>
      </c>
      <c r="H1207" s="320"/>
      <c r="I1207" s="320"/>
      <c r="J1207" s="320"/>
      <c r="K1207" s="320"/>
      <c r="L1207" s="320"/>
      <c r="M1207" s="320"/>
      <c r="N1207" s="320"/>
      <c r="O1207" s="320"/>
    </row>
    <row r="1208">
      <c r="A1208" s="32">
        <f t="shared" si="1"/>
        <v>1207</v>
      </c>
      <c r="B1208" s="9" t="s">
        <v>3045</v>
      </c>
      <c r="C1208" s="78" t="s">
        <v>2604</v>
      </c>
      <c r="D1208" s="12" t="s">
        <v>3050</v>
      </c>
      <c r="E1208" s="18">
        <f>VLOOKUP($C1208,'AGRI SMART Fittings'!$D$6:$H2469,3,0)</f>
        <v>1.025</v>
      </c>
      <c r="F1208" s="320">
        <f>VLOOKUP($C1208,'AGRI SMART Fittings'!$D$6:$H2469,2,0)</f>
        <v>520.4</v>
      </c>
      <c r="G1208" s="320">
        <f>VLOOKUP($C1208,'AGRI SMART Fittings'!$D$6:$H2469,5,0)</f>
        <v>520.4</v>
      </c>
      <c r="H1208" s="320"/>
      <c r="I1208" s="320"/>
      <c r="J1208" s="320"/>
      <c r="K1208" s="320"/>
      <c r="L1208" s="320"/>
      <c r="M1208" s="320"/>
      <c r="N1208" s="320"/>
      <c r="O1208" s="320"/>
    </row>
    <row r="1209">
      <c r="A1209" s="32">
        <f t="shared" si="1"/>
        <v>1208</v>
      </c>
      <c r="B1209" s="9" t="s">
        <v>3045</v>
      </c>
      <c r="C1209" s="78" t="s">
        <v>2606</v>
      </c>
      <c r="D1209" s="12" t="s">
        <v>3051</v>
      </c>
      <c r="E1209" s="18">
        <f>VLOOKUP($C1209,'AGRI SMART Fittings'!$D$6:$H2469,3,0)</f>
        <v>0.181</v>
      </c>
      <c r="F1209" s="320">
        <f>VLOOKUP($C1209,'AGRI SMART Fittings'!$D$6:$H2469,2,0)</f>
        <v>93.4</v>
      </c>
      <c r="G1209" s="320">
        <f>VLOOKUP($C1209,'AGRI SMART Fittings'!$D$6:$H2469,5,0)</f>
        <v>93.4</v>
      </c>
      <c r="H1209" s="320"/>
      <c r="I1209" s="320"/>
      <c r="J1209" s="320"/>
      <c r="K1209" s="320"/>
      <c r="L1209" s="320"/>
      <c r="M1209" s="320"/>
      <c r="N1209" s="320"/>
      <c r="O1209" s="320"/>
    </row>
    <row r="1210">
      <c r="A1210" s="32">
        <f t="shared" si="1"/>
        <v>1209</v>
      </c>
      <c r="B1210" s="9" t="s">
        <v>3045</v>
      </c>
      <c r="C1210" s="78" t="s">
        <v>2608</v>
      </c>
      <c r="D1210" s="12" t="s">
        <v>3052</v>
      </c>
      <c r="E1210" s="18">
        <f>VLOOKUP($C1210,'AGRI SMART Fittings'!$D$6:$H2469,3,0)</f>
        <v>0.267</v>
      </c>
      <c r="F1210" s="320">
        <f>VLOOKUP($C1210,'AGRI SMART Fittings'!$D$6:$H2469,2,0)</f>
        <v>138.4</v>
      </c>
      <c r="G1210" s="320">
        <f>VLOOKUP($C1210,'AGRI SMART Fittings'!$D$6:$H2469,5,0)</f>
        <v>138.4</v>
      </c>
      <c r="H1210" s="320"/>
      <c r="I1210" s="320"/>
      <c r="J1210" s="320"/>
      <c r="K1210" s="320"/>
      <c r="L1210" s="320"/>
      <c r="M1210" s="320"/>
      <c r="N1210" s="320"/>
      <c r="O1210" s="320"/>
    </row>
    <row r="1211">
      <c r="A1211" s="32">
        <f t="shared" si="1"/>
        <v>1210</v>
      </c>
      <c r="B1211" s="9" t="s">
        <v>3045</v>
      </c>
      <c r="C1211" s="78" t="s">
        <v>2609</v>
      </c>
      <c r="D1211" s="12" t="s">
        <v>3053</v>
      </c>
      <c r="E1211" s="18">
        <f>VLOOKUP($C1211,'AGRI SMART Fittings'!$D$6:$H2469,3,0)</f>
        <v>0.397</v>
      </c>
      <c r="F1211" s="320">
        <f>VLOOKUP($C1211,'AGRI SMART Fittings'!$D$6:$H2469,2,0)</f>
        <v>204.4</v>
      </c>
      <c r="G1211" s="320">
        <f>VLOOKUP($C1211,'AGRI SMART Fittings'!$D$6:$H2469,5,0)</f>
        <v>204.4</v>
      </c>
      <c r="H1211" s="320"/>
      <c r="I1211" s="320"/>
      <c r="J1211" s="320"/>
      <c r="K1211" s="320"/>
      <c r="L1211" s="320"/>
      <c r="M1211" s="320"/>
      <c r="N1211" s="320"/>
      <c r="O1211" s="320"/>
    </row>
    <row r="1212">
      <c r="A1212" s="32">
        <f t="shared" si="1"/>
        <v>1211</v>
      </c>
      <c r="B1212" s="9" t="s">
        <v>3045</v>
      </c>
      <c r="C1212" s="78" t="s">
        <v>2610</v>
      </c>
      <c r="D1212" s="12" t="s">
        <v>3054</v>
      </c>
      <c r="E1212" s="18">
        <f>VLOOKUP($C1212,'AGRI SMART Fittings'!$D$6:$H2469,3,0)</f>
        <v>0.6235</v>
      </c>
      <c r="F1212" s="320">
        <f>VLOOKUP($C1212,'AGRI SMART Fittings'!$D$6:$H2469,2,0)</f>
        <v>324.4</v>
      </c>
      <c r="G1212" s="320">
        <f>VLOOKUP($C1212,'AGRI SMART Fittings'!$D$6:$H2469,5,0)</f>
        <v>324.4</v>
      </c>
      <c r="H1212" s="320"/>
      <c r="I1212" s="320"/>
      <c r="J1212" s="320"/>
      <c r="K1212" s="320"/>
      <c r="L1212" s="320"/>
      <c r="M1212" s="320"/>
      <c r="N1212" s="320"/>
      <c r="O1212" s="320"/>
    </row>
    <row r="1213">
      <c r="A1213" s="32">
        <f t="shared" si="1"/>
        <v>1212</v>
      </c>
      <c r="B1213" s="9" t="s">
        <v>3045</v>
      </c>
      <c r="C1213" s="78" t="s">
        <v>2611</v>
      </c>
      <c r="D1213" s="12" t="s">
        <v>3055</v>
      </c>
      <c r="E1213" s="18">
        <f>VLOOKUP($C1213,'AGRI SMART Fittings'!$D$6:$H2469,3,0)</f>
        <v>1.575</v>
      </c>
      <c r="F1213" s="320">
        <f>VLOOKUP($C1213,'AGRI SMART Fittings'!$D$6:$H2469,2,0)</f>
        <v>812.8</v>
      </c>
      <c r="G1213" s="320">
        <f>VLOOKUP($C1213,'AGRI SMART Fittings'!$D$6:$H2469,5,0)</f>
        <v>812.8</v>
      </c>
      <c r="H1213" s="320"/>
      <c r="I1213" s="320"/>
      <c r="J1213" s="320"/>
      <c r="K1213" s="320"/>
      <c r="L1213" s="320"/>
      <c r="M1213" s="320"/>
      <c r="N1213" s="320"/>
      <c r="O1213" s="320"/>
    </row>
    <row r="1214">
      <c r="A1214" s="32">
        <f t="shared" si="1"/>
        <v>1213</v>
      </c>
      <c r="B1214" s="9" t="s">
        <v>3045</v>
      </c>
      <c r="C1214" s="78" t="s">
        <v>2613</v>
      </c>
      <c r="D1214" s="12" t="s">
        <v>3056</v>
      </c>
      <c r="E1214" s="18">
        <f>VLOOKUP($C1214,'AGRI SMART Fittings'!$D$6:$H2469,3,0)</f>
        <v>2.64</v>
      </c>
      <c r="F1214" s="320">
        <f>VLOOKUP($C1214,'AGRI SMART Fittings'!$D$6:$H2469,2,0)</f>
        <v>1564.8</v>
      </c>
      <c r="G1214" s="320">
        <f>VLOOKUP($C1214,'AGRI SMART Fittings'!$D$6:$H2469,5,0)</f>
        <v>1564.8</v>
      </c>
      <c r="H1214" s="320"/>
      <c r="I1214" s="320"/>
      <c r="J1214" s="320"/>
      <c r="K1214" s="320"/>
      <c r="L1214" s="320"/>
      <c r="M1214" s="320"/>
      <c r="N1214" s="320"/>
      <c r="O1214" s="320"/>
    </row>
    <row r="1215">
      <c r="A1215" s="32">
        <f t="shared" si="1"/>
        <v>1214</v>
      </c>
      <c r="B1215" s="9" t="s">
        <v>3045</v>
      </c>
      <c r="C1215" s="78" t="s">
        <v>2616</v>
      </c>
      <c r="D1215" s="12" t="s">
        <v>3057</v>
      </c>
      <c r="E1215" s="18">
        <f>VLOOKUP($C1215,'AGRI SMART Fittings'!$D$6:$H2469,3,0)</f>
        <v>0.1285</v>
      </c>
      <c r="F1215" s="320">
        <f>VLOOKUP($C1215,'AGRI SMART Fittings'!$D$6:$H2469,2,0)</f>
        <v>67.4</v>
      </c>
      <c r="G1215" s="320">
        <f>VLOOKUP($C1215,'AGRI SMART Fittings'!$D$6:$H2469,5,0)</f>
        <v>67.4</v>
      </c>
      <c r="H1215" s="320"/>
      <c r="I1215" s="320"/>
      <c r="J1215" s="320"/>
      <c r="K1215" s="320"/>
      <c r="L1215" s="320"/>
      <c r="M1215" s="320"/>
      <c r="N1215" s="320"/>
      <c r="O1215" s="320"/>
    </row>
    <row r="1216">
      <c r="A1216" s="32">
        <f t="shared" si="1"/>
        <v>1215</v>
      </c>
      <c r="B1216" s="9" t="s">
        <v>3045</v>
      </c>
      <c r="C1216" s="78" t="s">
        <v>2617</v>
      </c>
      <c r="D1216" s="12" t="s">
        <v>3058</v>
      </c>
      <c r="E1216" s="18">
        <f>VLOOKUP($C1216,'AGRI SMART Fittings'!$D$6:$H2469,3,0)</f>
        <v>0.192</v>
      </c>
      <c r="F1216" s="320">
        <f>VLOOKUP($C1216,'AGRI SMART Fittings'!$D$6:$H2469,2,0)</f>
        <v>99.8</v>
      </c>
      <c r="G1216" s="320">
        <f>VLOOKUP($C1216,'AGRI SMART Fittings'!$D$6:$H2469,5,0)</f>
        <v>99.8</v>
      </c>
      <c r="H1216" s="320"/>
      <c r="I1216" s="320"/>
      <c r="J1216" s="320"/>
      <c r="K1216" s="320"/>
      <c r="L1216" s="320"/>
      <c r="M1216" s="320"/>
      <c r="N1216" s="320"/>
      <c r="O1216" s="320"/>
    </row>
    <row r="1217">
      <c r="A1217" s="32">
        <f t="shared" si="1"/>
        <v>1216</v>
      </c>
      <c r="B1217" s="9" t="s">
        <v>3045</v>
      </c>
      <c r="C1217" s="78" t="s">
        <v>2618</v>
      </c>
      <c r="D1217" s="12" t="s">
        <v>3059</v>
      </c>
      <c r="E1217" s="18">
        <f>VLOOKUP($C1217,'AGRI SMART Fittings'!$D$6:$H2469,3,0)</f>
        <v>0.286</v>
      </c>
      <c r="F1217" s="320">
        <f>VLOOKUP($C1217,'AGRI SMART Fittings'!$D$6:$H2469,2,0)</f>
        <v>148.8</v>
      </c>
      <c r="G1217" s="320">
        <f>VLOOKUP($C1217,'AGRI SMART Fittings'!$D$6:$H2469,5,0)</f>
        <v>148.8</v>
      </c>
      <c r="H1217" s="320"/>
      <c r="I1217" s="320"/>
      <c r="J1217" s="320"/>
      <c r="K1217" s="320"/>
      <c r="L1217" s="320"/>
      <c r="M1217" s="320"/>
      <c r="N1217" s="320"/>
      <c r="O1217" s="320"/>
    </row>
    <row r="1218">
      <c r="A1218" s="32">
        <f t="shared" si="1"/>
        <v>1217</v>
      </c>
      <c r="B1218" s="9" t="s">
        <v>3045</v>
      </c>
      <c r="C1218" s="78" t="s">
        <v>2620</v>
      </c>
      <c r="D1218" s="12" t="s">
        <v>3060</v>
      </c>
      <c r="E1218" s="18">
        <f>VLOOKUP($C1218,'AGRI SMART Fittings'!$D$6:$H2469,3,0)</f>
        <v>0.463</v>
      </c>
      <c r="F1218" s="320">
        <f>VLOOKUP($C1218,'AGRI SMART Fittings'!$D$6:$H2469,2,0)</f>
        <v>242.8</v>
      </c>
      <c r="G1218" s="320">
        <f>VLOOKUP($C1218,'AGRI SMART Fittings'!$D$6:$H2469,5,0)</f>
        <v>242.8</v>
      </c>
      <c r="H1218" s="320"/>
      <c r="I1218" s="320"/>
      <c r="J1218" s="320"/>
      <c r="K1218" s="320"/>
      <c r="L1218" s="320"/>
      <c r="M1218" s="320"/>
      <c r="N1218" s="320"/>
      <c r="O1218" s="320"/>
    </row>
    <row r="1219">
      <c r="A1219" s="32">
        <f t="shared" si="1"/>
        <v>1218</v>
      </c>
      <c r="B1219" s="9" t="s">
        <v>3045</v>
      </c>
      <c r="C1219" s="78" t="s">
        <v>2621</v>
      </c>
      <c r="D1219" s="12" t="s">
        <v>3061</v>
      </c>
      <c r="E1219" s="18">
        <f>VLOOKUP($C1219,'AGRI SMART Fittings'!$D$6:$H2469,3,0)</f>
        <v>1.275</v>
      </c>
      <c r="F1219" s="320">
        <f>VLOOKUP($C1219,'AGRI SMART Fittings'!$D$6:$H2469,2,0)</f>
        <v>672.2</v>
      </c>
      <c r="G1219" s="320">
        <f>VLOOKUP($C1219,'AGRI SMART Fittings'!$D$6:$H2469,5,0)</f>
        <v>672.2</v>
      </c>
      <c r="H1219" s="320"/>
      <c r="I1219" s="320"/>
      <c r="J1219" s="320"/>
      <c r="K1219" s="320"/>
      <c r="L1219" s="320"/>
      <c r="M1219" s="320"/>
      <c r="N1219" s="320"/>
      <c r="O1219" s="320"/>
    </row>
    <row r="1220">
      <c r="A1220" s="32">
        <f t="shared" si="1"/>
        <v>1219</v>
      </c>
      <c r="B1220" s="9" t="s">
        <v>3045</v>
      </c>
      <c r="C1220" s="78" t="s">
        <v>2622</v>
      </c>
      <c r="D1220" s="12" t="s">
        <v>3062</v>
      </c>
      <c r="E1220" s="18">
        <f>VLOOKUP($C1220,'AGRI SMART Fittings'!$D$6:$H2469,3,0)</f>
        <v>1.831</v>
      </c>
      <c r="F1220" s="320">
        <f>VLOOKUP($C1220,'AGRI SMART Fittings'!$D$6:$H2469,2,0)</f>
        <v>1053.4</v>
      </c>
      <c r="G1220" s="320">
        <f>VLOOKUP($C1220,'AGRI SMART Fittings'!$D$6:$H2469,5,0)</f>
        <v>1053.4</v>
      </c>
      <c r="H1220" s="320"/>
      <c r="I1220" s="320"/>
      <c r="J1220" s="320"/>
      <c r="K1220" s="320"/>
      <c r="L1220" s="320"/>
      <c r="M1220" s="320"/>
      <c r="N1220" s="320"/>
      <c r="O1220" s="320"/>
    </row>
    <row r="1221">
      <c r="A1221" s="32">
        <f t="shared" si="1"/>
        <v>1220</v>
      </c>
      <c r="B1221" s="9" t="s">
        <v>3045</v>
      </c>
      <c r="C1221" s="78" t="s">
        <v>2624</v>
      </c>
      <c r="D1221" s="12" t="s">
        <v>3063</v>
      </c>
      <c r="E1221" s="18">
        <f>VLOOKUP($C1221,'AGRI SMART Fittings'!$D$6:$H2469,3,0)</f>
        <v>0.054</v>
      </c>
      <c r="F1221" s="320">
        <f>VLOOKUP($C1221,'AGRI SMART Fittings'!$D$6:$H2469,2,0)</f>
        <v>28.8</v>
      </c>
      <c r="G1221" s="320">
        <f>VLOOKUP($C1221,'AGRI SMART Fittings'!$D$6:$H2469,5,0)</f>
        <v>28.8</v>
      </c>
      <c r="H1221" s="320"/>
      <c r="I1221" s="320"/>
      <c r="J1221" s="320"/>
      <c r="K1221" s="320"/>
      <c r="L1221" s="320"/>
      <c r="M1221" s="320"/>
      <c r="N1221" s="320"/>
      <c r="O1221" s="320"/>
    </row>
    <row r="1222">
      <c r="A1222" s="32">
        <f t="shared" si="1"/>
        <v>1221</v>
      </c>
      <c r="B1222" s="9" t="s">
        <v>3045</v>
      </c>
      <c r="C1222" s="78" t="s">
        <v>2626</v>
      </c>
      <c r="D1222" s="12" t="s">
        <v>3064</v>
      </c>
      <c r="E1222" s="18">
        <f>VLOOKUP($C1222,'AGRI SMART Fittings'!$D$6:$H2469,3,0)</f>
        <v>0.078</v>
      </c>
      <c r="F1222" s="320">
        <f>VLOOKUP($C1222,'AGRI SMART Fittings'!$D$6:$H2469,2,0)</f>
        <v>40.2</v>
      </c>
      <c r="G1222" s="320">
        <f>VLOOKUP($C1222,'AGRI SMART Fittings'!$D$6:$H2469,5,0)</f>
        <v>40.2</v>
      </c>
      <c r="H1222" s="320"/>
      <c r="I1222" s="320"/>
      <c r="J1222" s="320"/>
      <c r="K1222" s="320"/>
      <c r="L1222" s="320"/>
      <c r="M1222" s="320"/>
      <c r="N1222" s="320"/>
      <c r="O1222" s="320"/>
    </row>
    <row r="1223">
      <c r="A1223" s="32">
        <f t="shared" si="1"/>
        <v>1222</v>
      </c>
      <c r="B1223" s="9" t="s">
        <v>3045</v>
      </c>
      <c r="C1223" s="78" t="s">
        <v>2627</v>
      </c>
      <c r="D1223" s="12" t="s">
        <v>3065</v>
      </c>
      <c r="E1223" s="18">
        <f>VLOOKUP($C1223,'AGRI SMART Fittings'!$D$6:$H2469,3,0)</f>
        <v>0.1125</v>
      </c>
      <c r="F1223" s="320">
        <f>VLOOKUP($C1223,'AGRI SMART Fittings'!$D$6:$H2469,2,0)</f>
        <v>58.2</v>
      </c>
      <c r="G1223" s="320">
        <f>VLOOKUP($C1223,'AGRI SMART Fittings'!$D$6:$H2469,5,0)</f>
        <v>58.2</v>
      </c>
      <c r="H1223" s="320"/>
      <c r="I1223" s="320"/>
      <c r="J1223" s="320"/>
      <c r="K1223" s="320"/>
      <c r="L1223" s="320"/>
      <c r="M1223" s="320"/>
      <c r="N1223" s="320"/>
      <c r="O1223" s="320"/>
    </row>
    <row r="1224">
      <c r="A1224" s="32">
        <f t="shared" si="1"/>
        <v>1223</v>
      </c>
      <c r="B1224" s="9" t="s">
        <v>3045</v>
      </c>
      <c r="C1224" s="78" t="s">
        <v>2628</v>
      </c>
      <c r="D1224" s="12" t="s">
        <v>3066</v>
      </c>
      <c r="E1224" s="18">
        <f>VLOOKUP($C1224,'AGRI SMART Fittings'!$D$6:$H2469,3,0)</f>
        <v>0.174</v>
      </c>
      <c r="F1224" s="320">
        <f>VLOOKUP($C1224,'AGRI SMART Fittings'!$D$6:$H2469,2,0)</f>
        <v>90.2</v>
      </c>
      <c r="G1224" s="320">
        <f>VLOOKUP($C1224,'AGRI SMART Fittings'!$D$6:$H2469,5,0)</f>
        <v>90.2</v>
      </c>
      <c r="H1224" s="320"/>
      <c r="I1224" s="320"/>
      <c r="J1224" s="320"/>
      <c r="K1224" s="320"/>
      <c r="L1224" s="320"/>
      <c r="M1224" s="320"/>
      <c r="N1224" s="320"/>
      <c r="O1224" s="320"/>
    </row>
    <row r="1225">
      <c r="A1225" s="32">
        <f t="shared" si="1"/>
        <v>1224</v>
      </c>
      <c r="B1225" s="9" t="s">
        <v>3045</v>
      </c>
      <c r="C1225" s="78" t="s">
        <v>2629</v>
      </c>
      <c r="D1225" s="12" t="s">
        <v>3067</v>
      </c>
      <c r="E1225" s="18">
        <f>VLOOKUP($C1225,'AGRI SMART Fittings'!$D$6:$H2469,3,0)</f>
        <v>0.422</v>
      </c>
      <c r="F1225" s="320">
        <f>VLOOKUP($C1225,'AGRI SMART Fittings'!$D$6:$H2469,2,0)</f>
        <v>222.4</v>
      </c>
      <c r="G1225" s="320">
        <f>VLOOKUP($C1225,'AGRI SMART Fittings'!$D$6:$H2469,5,0)</f>
        <v>222.4</v>
      </c>
      <c r="H1225" s="320"/>
      <c r="I1225" s="320"/>
      <c r="J1225" s="320"/>
      <c r="K1225" s="320"/>
      <c r="L1225" s="320"/>
      <c r="M1225" s="320"/>
      <c r="N1225" s="320"/>
      <c r="O1225" s="320"/>
    </row>
    <row r="1226">
      <c r="A1226" s="32">
        <f t="shared" si="1"/>
        <v>1225</v>
      </c>
      <c r="B1226" s="9" t="s">
        <v>3045</v>
      </c>
      <c r="C1226" s="78" t="s">
        <v>2630</v>
      </c>
      <c r="D1226" s="12" t="s">
        <v>3068</v>
      </c>
      <c r="E1226" s="18">
        <f>VLOOKUP($C1226,'AGRI SMART Fittings'!$D$6:$H2469,3,0)</f>
        <v>0.843</v>
      </c>
      <c r="F1226" s="320">
        <f>VLOOKUP($C1226,'AGRI SMART Fittings'!$D$6:$H2469,2,0)</f>
        <v>464.4</v>
      </c>
      <c r="G1226" s="320">
        <f>VLOOKUP($C1226,'AGRI SMART Fittings'!$D$6:$H2469,5,0)</f>
        <v>464.4</v>
      </c>
      <c r="H1226" s="320"/>
      <c r="I1226" s="320"/>
      <c r="J1226" s="320"/>
      <c r="K1226" s="320"/>
      <c r="L1226" s="320"/>
      <c r="M1226" s="320"/>
      <c r="N1226" s="320"/>
      <c r="O1226" s="320"/>
    </row>
    <row r="1227">
      <c r="A1227" s="32">
        <f t="shared" si="1"/>
        <v>1226</v>
      </c>
      <c r="B1227" s="9" t="s">
        <v>3045</v>
      </c>
      <c r="C1227" s="78" t="s">
        <v>2632</v>
      </c>
      <c r="D1227" s="12" t="s">
        <v>3069</v>
      </c>
      <c r="E1227" s="18">
        <f>VLOOKUP($C1227,'AGRI SMART Fittings'!$D$6:$H2469,3,0)</f>
        <v>0.047</v>
      </c>
      <c r="F1227" s="320">
        <f>VLOOKUP($C1227,'AGRI SMART Fittings'!$D$6:$H2469,2,0)</f>
        <v>28.8</v>
      </c>
      <c r="G1227" s="320">
        <f>VLOOKUP($C1227,'AGRI SMART Fittings'!$D$6:$H2469,5,0)</f>
        <v>28.8</v>
      </c>
      <c r="H1227" s="320"/>
      <c r="I1227" s="320"/>
      <c r="J1227" s="320"/>
      <c r="K1227" s="320"/>
      <c r="L1227" s="320"/>
      <c r="M1227" s="320"/>
      <c r="N1227" s="320"/>
      <c r="O1227" s="320"/>
    </row>
    <row r="1228">
      <c r="A1228" s="32">
        <f t="shared" si="1"/>
        <v>1227</v>
      </c>
      <c r="B1228" s="9" t="s">
        <v>3045</v>
      </c>
      <c r="C1228" s="78" t="s">
        <v>2633</v>
      </c>
      <c r="D1228" s="12" t="s">
        <v>3070</v>
      </c>
      <c r="E1228" s="18">
        <f>VLOOKUP($C1228,'AGRI SMART Fittings'!$D$6:$H2469,3,0)</f>
        <v>0.067</v>
      </c>
      <c r="F1228" s="320">
        <f>VLOOKUP($C1228,'AGRI SMART Fittings'!$D$6:$H2469,2,0)</f>
        <v>40.2</v>
      </c>
      <c r="G1228" s="320">
        <f>VLOOKUP($C1228,'AGRI SMART Fittings'!$D$6:$H2469,5,0)</f>
        <v>40.2</v>
      </c>
      <c r="H1228" s="320"/>
      <c r="I1228" s="320"/>
      <c r="J1228" s="320"/>
      <c r="K1228" s="320"/>
      <c r="L1228" s="320"/>
      <c r="M1228" s="320"/>
      <c r="N1228" s="320"/>
      <c r="O1228" s="320"/>
    </row>
    <row r="1229">
      <c r="A1229" s="32">
        <f t="shared" si="1"/>
        <v>1228</v>
      </c>
      <c r="B1229" s="9" t="s">
        <v>3045</v>
      </c>
      <c r="C1229" s="78" t="s">
        <v>2634</v>
      </c>
      <c r="D1229" s="12" t="s">
        <v>3071</v>
      </c>
      <c r="E1229" s="18">
        <f>VLOOKUP($C1229,'AGRI SMART Fittings'!$D$6:$H2469,3,0)</f>
        <v>0.114</v>
      </c>
      <c r="F1229" s="320">
        <f>VLOOKUP($C1229,'AGRI SMART Fittings'!$D$6:$H2469,2,0)</f>
        <v>68</v>
      </c>
      <c r="G1229" s="320">
        <f>VLOOKUP($C1229,'AGRI SMART Fittings'!$D$6:$H2469,5,0)</f>
        <v>68</v>
      </c>
      <c r="H1229" s="320"/>
      <c r="I1229" s="320"/>
      <c r="J1229" s="320"/>
      <c r="K1229" s="320"/>
      <c r="L1229" s="320"/>
      <c r="M1229" s="320"/>
      <c r="N1229" s="320"/>
      <c r="O1229" s="320"/>
    </row>
    <row r="1230">
      <c r="A1230" s="32">
        <f t="shared" si="1"/>
        <v>1229</v>
      </c>
      <c r="B1230" s="9" t="s">
        <v>3045</v>
      </c>
      <c r="C1230" s="78" t="s">
        <v>2635</v>
      </c>
      <c r="D1230" s="12" t="s">
        <v>3072</v>
      </c>
      <c r="E1230" s="18">
        <f>VLOOKUP($C1230,'AGRI SMART Fittings'!$D$6:$H2469,3,0)</f>
        <v>0.11</v>
      </c>
      <c r="F1230" s="320">
        <f>VLOOKUP($C1230,'AGRI SMART Fittings'!$D$6:$H2469,2,0)</f>
        <v>64.4</v>
      </c>
      <c r="G1230" s="320">
        <f>VLOOKUP($C1230,'AGRI SMART Fittings'!$D$6:$H2469,5,0)</f>
        <v>64.4</v>
      </c>
      <c r="H1230" s="320"/>
      <c r="I1230" s="320"/>
      <c r="J1230" s="320"/>
      <c r="K1230" s="320"/>
      <c r="L1230" s="320"/>
      <c r="M1230" s="320"/>
      <c r="N1230" s="320"/>
      <c r="O1230" s="320"/>
    </row>
    <row r="1231">
      <c r="A1231" s="32">
        <f t="shared" si="1"/>
        <v>1230</v>
      </c>
      <c r="B1231" s="9" t="s">
        <v>3045</v>
      </c>
      <c r="C1231" s="78" t="s">
        <v>2636</v>
      </c>
      <c r="D1231" s="12" t="s">
        <v>3073</v>
      </c>
      <c r="E1231" s="18">
        <f>VLOOKUP($C1231,'AGRI SMART Fittings'!$D$6:$H2469,3,0)</f>
        <v>0.167</v>
      </c>
      <c r="F1231" s="320">
        <f>VLOOKUP($C1231,'AGRI SMART Fittings'!$D$6:$H2469,2,0)</f>
        <v>98.2</v>
      </c>
      <c r="G1231" s="320">
        <f>VLOOKUP($C1231,'AGRI SMART Fittings'!$D$6:$H2469,5,0)</f>
        <v>98.2</v>
      </c>
      <c r="H1231" s="320"/>
      <c r="I1231" s="320"/>
      <c r="J1231" s="320"/>
      <c r="K1231" s="320"/>
      <c r="L1231" s="320"/>
      <c r="M1231" s="320"/>
      <c r="N1231" s="320"/>
      <c r="O1231" s="320"/>
    </row>
    <row r="1232">
      <c r="A1232" s="32">
        <f t="shared" si="1"/>
        <v>1231</v>
      </c>
      <c r="B1232" s="9" t="s">
        <v>3045</v>
      </c>
      <c r="C1232" s="78" t="s">
        <v>2637</v>
      </c>
      <c r="D1232" s="12" t="s">
        <v>3074</v>
      </c>
      <c r="E1232" s="18">
        <f>VLOOKUP($C1232,'AGRI SMART Fittings'!$D$6:$H2469,3,0)</f>
        <v>0.291</v>
      </c>
      <c r="F1232" s="320">
        <f>VLOOKUP($C1232,'AGRI SMART Fittings'!$D$6:$H2469,2,0)</f>
        <v>168.4</v>
      </c>
      <c r="G1232" s="320">
        <f>VLOOKUP($C1232,'AGRI SMART Fittings'!$D$6:$H2469,5,0)</f>
        <v>168.4</v>
      </c>
      <c r="H1232" s="320"/>
      <c r="I1232" s="320"/>
      <c r="J1232" s="320"/>
      <c r="K1232" s="320"/>
      <c r="L1232" s="320"/>
      <c r="M1232" s="320"/>
      <c r="N1232" s="320"/>
      <c r="O1232" s="320"/>
    </row>
    <row r="1233">
      <c r="A1233" s="32">
        <f t="shared" si="1"/>
        <v>1232</v>
      </c>
      <c r="B1233" s="9" t="s">
        <v>3045</v>
      </c>
      <c r="C1233" s="78" t="s">
        <v>2638</v>
      </c>
      <c r="D1233" s="12" t="s">
        <v>3075</v>
      </c>
      <c r="E1233" s="18">
        <f>VLOOKUP($C1233,'AGRI SMART Fittings'!$D$6:$H2469,3,0)</f>
        <v>0.081</v>
      </c>
      <c r="F1233" s="320">
        <f>VLOOKUP($C1233,'AGRI SMART Fittings'!$D$6:$H2469,2,0)</f>
        <v>48.2</v>
      </c>
      <c r="G1233" s="320">
        <f>VLOOKUP($C1233,'AGRI SMART Fittings'!$D$6:$H2469,5,0)</f>
        <v>48.2</v>
      </c>
      <c r="H1233" s="320"/>
      <c r="I1233" s="320"/>
      <c r="J1233" s="320"/>
      <c r="K1233" s="320"/>
      <c r="L1233" s="320"/>
      <c r="M1233" s="320"/>
      <c r="N1233" s="320"/>
      <c r="O1233" s="320"/>
    </row>
    <row r="1234">
      <c r="A1234" s="32">
        <f t="shared" si="1"/>
        <v>1233</v>
      </c>
      <c r="B1234" s="9" t="s">
        <v>3045</v>
      </c>
      <c r="C1234" s="78" t="s">
        <v>2639</v>
      </c>
      <c r="D1234" s="12" t="s">
        <v>3076</v>
      </c>
      <c r="E1234" s="18">
        <f>VLOOKUP($C1234,'AGRI SMART Fittings'!$D$6:$H2469,3,0)</f>
        <v>0.125</v>
      </c>
      <c r="F1234" s="320">
        <f>VLOOKUP($C1234,'AGRI SMART Fittings'!$D$6:$H2469,2,0)</f>
        <v>72.8</v>
      </c>
      <c r="G1234" s="320">
        <f>VLOOKUP($C1234,'AGRI SMART Fittings'!$D$6:$H2469,5,0)</f>
        <v>72.8</v>
      </c>
      <c r="H1234" s="320"/>
      <c r="I1234" s="320"/>
      <c r="J1234" s="320"/>
      <c r="K1234" s="320"/>
      <c r="L1234" s="320"/>
      <c r="M1234" s="320"/>
      <c r="N1234" s="320"/>
      <c r="O1234" s="320"/>
    </row>
    <row r="1235">
      <c r="A1235" s="32">
        <f t="shared" si="1"/>
        <v>1234</v>
      </c>
      <c r="B1235" s="9" t="s">
        <v>3045</v>
      </c>
      <c r="C1235" s="78" t="s">
        <v>2640</v>
      </c>
      <c r="D1235" s="12" t="s">
        <v>3077</v>
      </c>
      <c r="E1235" s="18">
        <f>VLOOKUP($C1235,'AGRI SMART Fittings'!$D$6:$H2469,3,0)</f>
        <v>0.201</v>
      </c>
      <c r="F1235" s="320">
        <f>VLOOKUP($C1235,'AGRI SMART Fittings'!$D$6:$H2469,2,0)</f>
        <v>117.4</v>
      </c>
      <c r="G1235" s="320">
        <f>VLOOKUP($C1235,'AGRI SMART Fittings'!$D$6:$H2469,5,0)</f>
        <v>117.4</v>
      </c>
      <c r="H1235" s="320"/>
      <c r="I1235" s="320"/>
      <c r="J1235" s="320"/>
      <c r="K1235" s="320"/>
      <c r="L1235" s="320"/>
      <c r="M1235" s="320"/>
      <c r="N1235" s="320"/>
      <c r="O1235" s="320"/>
    </row>
    <row r="1236">
      <c r="A1236" s="32">
        <f t="shared" si="1"/>
        <v>1235</v>
      </c>
      <c r="B1236" s="9" t="s">
        <v>3078</v>
      </c>
      <c r="C1236" s="78" t="s">
        <v>3079</v>
      </c>
      <c r="D1236" s="12" t="s">
        <v>3080</v>
      </c>
      <c r="E1236" s="320">
        <f>VLOOKUP($C1236,'WATER TANK'!$C$3:$M2469,11,0)</f>
        <v>18</v>
      </c>
      <c r="F1236" s="320">
        <f>VLOOKUP($C1236,'WATER TANK'!$C$3:$K2469,7,0)</f>
        <v>16990</v>
      </c>
      <c r="G1236" s="320">
        <f>VLOOKUP($C1236,'WATER TANK'!$C$3:$K2469,9,0)</f>
        <v>13000</v>
      </c>
      <c r="H1236" s="523"/>
      <c r="I1236" s="523"/>
      <c r="J1236" s="320"/>
      <c r="K1236" s="320"/>
      <c r="L1236" s="320"/>
      <c r="M1236" s="320"/>
      <c r="N1236" s="320"/>
      <c r="O1236" s="320"/>
    </row>
    <row r="1237">
      <c r="A1237" s="32">
        <f t="shared" si="1"/>
        <v>1236</v>
      </c>
      <c r="B1237" s="9" t="s">
        <v>3078</v>
      </c>
      <c r="C1237" s="78" t="s">
        <v>3081</v>
      </c>
      <c r="D1237" s="12" t="s">
        <v>3082</v>
      </c>
      <c r="E1237" s="320">
        <f>VLOOKUP($C1237,'WATER TANK'!$C$3:$M2469,11,0)</f>
        <v>23</v>
      </c>
      <c r="F1237" s="320">
        <f>VLOOKUP($C1237,'WATER TANK'!$C$3:$K2469,7,0)</f>
        <v>23990</v>
      </c>
      <c r="G1237" s="320">
        <f>VLOOKUP($C1237,'WATER TANK'!$C$3:$K2469,9,0)</f>
        <v>18200</v>
      </c>
      <c r="H1237" s="523"/>
      <c r="I1237" s="523"/>
      <c r="J1237" s="320"/>
      <c r="K1237" s="320"/>
      <c r="L1237" s="320"/>
      <c r="M1237" s="320"/>
      <c r="N1237" s="320"/>
      <c r="O1237" s="320"/>
    </row>
    <row r="1238">
      <c r="A1238" s="32">
        <f t="shared" si="1"/>
        <v>1237</v>
      </c>
      <c r="B1238" s="9" t="s">
        <v>3078</v>
      </c>
      <c r="C1238" s="78" t="s">
        <v>3083</v>
      </c>
      <c r="D1238" s="12" t="s">
        <v>3084</v>
      </c>
      <c r="E1238" s="320">
        <f>VLOOKUP($C1238,'WATER TANK'!$C$3:$M2469,11,0)</f>
        <v>33</v>
      </c>
      <c r="F1238" s="320">
        <f>VLOOKUP($C1238,'WATER TANK'!$C$3:$K2469,7,0)</f>
        <v>34990</v>
      </c>
      <c r="G1238" s="320">
        <f>VLOOKUP($C1238,'WATER TANK'!$C$3:$K2469,9,0)</f>
        <v>26000</v>
      </c>
      <c r="H1238" s="523"/>
      <c r="I1238" s="523"/>
      <c r="J1238" s="320"/>
      <c r="K1238" s="320"/>
      <c r="L1238" s="320"/>
      <c r="M1238" s="320"/>
      <c r="N1238" s="320"/>
      <c r="O1238" s="320"/>
    </row>
    <row r="1239">
      <c r="A1239" s="32">
        <f t="shared" si="1"/>
        <v>1238</v>
      </c>
      <c r="B1239" s="9" t="s">
        <v>3078</v>
      </c>
      <c r="C1239" s="78" t="s">
        <v>3085</v>
      </c>
      <c r="D1239" s="12" t="s">
        <v>3086</v>
      </c>
      <c r="E1239" s="320">
        <f>VLOOKUP($C1239,'WATER TANK'!$C$3:$M2469,11,0)</f>
        <v>47</v>
      </c>
      <c r="F1239" s="320">
        <f>VLOOKUP($C1239,'WATER TANK'!$C$3:$K2469,7,0)</f>
        <v>51990</v>
      </c>
      <c r="G1239" s="320">
        <f>VLOOKUP($C1239,'WATER TANK'!$C$3:$K2469,9,0)</f>
        <v>39000</v>
      </c>
      <c r="H1239" s="523"/>
      <c r="I1239" s="523"/>
      <c r="J1239" s="320"/>
      <c r="K1239" s="320"/>
      <c r="L1239" s="320"/>
      <c r="M1239" s="320"/>
      <c r="N1239" s="320"/>
      <c r="O1239" s="320"/>
    </row>
    <row r="1240">
      <c r="A1240" s="32">
        <f t="shared" si="1"/>
        <v>1239</v>
      </c>
      <c r="B1240" s="9" t="s">
        <v>3078</v>
      </c>
      <c r="C1240" s="78" t="s">
        <v>3087</v>
      </c>
      <c r="D1240" s="12" t="s">
        <v>3088</v>
      </c>
      <c r="E1240" s="320">
        <f>VLOOKUP($C1240,'WATER TANK'!$C$3:$M2469,11,0)</f>
        <v>64</v>
      </c>
      <c r="F1240" s="320">
        <f>VLOOKUP($C1240,'WATER TANK'!$C$3:$K2469,7,0)</f>
        <v>69990</v>
      </c>
      <c r="G1240" s="320">
        <f>VLOOKUP($C1240,'WATER TANK'!$C$3:$K2469,9,0)</f>
        <v>52000</v>
      </c>
      <c r="H1240" s="523"/>
      <c r="I1240" s="523"/>
      <c r="J1240" s="320"/>
      <c r="K1240" s="320"/>
      <c r="L1240" s="320"/>
      <c r="M1240" s="320"/>
      <c r="N1240" s="320"/>
      <c r="O1240" s="320"/>
    </row>
    <row r="1241">
      <c r="A1241" s="32">
        <f t="shared" si="1"/>
        <v>1240</v>
      </c>
      <c r="B1241" s="9" t="s">
        <v>3078</v>
      </c>
      <c r="C1241" s="78" t="s">
        <v>3089</v>
      </c>
      <c r="D1241" s="12" t="s">
        <v>3090</v>
      </c>
      <c r="E1241" s="320">
        <f>VLOOKUP($C1241,'WATER TANK'!$C$3:$M2469,11,0)</f>
        <v>96</v>
      </c>
      <c r="F1241" s="320">
        <f>VLOOKUP($C1241,'WATER TANK'!$C$3:$K2469,7,0)</f>
        <v>105000</v>
      </c>
      <c r="G1241" s="320">
        <f>VLOOKUP($C1241,'WATER TANK'!$C$3:$K2469,9,0)</f>
        <v>78000</v>
      </c>
      <c r="H1241" s="523"/>
      <c r="I1241" s="523"/>
      <c r="J1241" s="320"/>
      <c r="K1241" s="320"/>
      <c r="L1241" s="320"/>
      <c r="M1241" s="320"/>
      <c r="N1241" s="320"/>
      <c r="O1241" s="320"/>
    </row>
    <row r="1242">
      <c r="A1242" s="32">
        <f t="shared" si="1"/>
        <v>1241</v>
      </c>
      <c r="B1242" s="9" t="s">
        <v>3078</v>
      </c>
      <c r="C1242" s="78" t="s">
        <v>3091</v>
      </c>
      <c r="D1242" s="12" t="s">
        <v>3092</v>
      </c>
      <c r="E1242" s="320">
        <f>VLOOKUP($C1242,'WATER TANK'!$C$3:$M2469,11,0)</f>
        <v>180</v>
      </c>
      <c r="F1242" s="320">
        <f>VLOOKUP($C1242,'WATER TANK'!$C$3:$K2469,7,0)</f>
        <v>175000</v>
      </c>
      <c r="G1242" s="320">
        <f>VLOOKUP($C1242,'WATER TANK'!$C$3:$K2469,9,0)</f>
        <v>130000</v>
      </c>
      <c r="H1242" s="523"/>
      <c r="I1242" s="523"/>
      <c r="J1242" s="320"/>
      <c r="K1242" s="320"/>
      <c r="L1242" s="320"/>
      <c r="M1242" s="320"/>
      <c r="N1242" s="320"/>
      <c r="O1242" s="320"/>
    </row>
    <row r="1243">
      <c r="A1243" s="32">
        <f t="shared" si="1"/>
        <v>1242</v>
      </c>
      <c r="B1243" s="9" t="s">
        <v>3078</v>
      </c>
      <c r="C1243" s="78" t="s">
        <v>3093</v>
      </c>
      <c r="D1243" s="12" t="s">
        <v>3094</v>
      </c>
      <c r="E1243" s="320">
        <f>VLOOKUP($C1243,'WATER TANK'!$C$3:$M2469,11,0)</f>
        <v>13</v>
      </c>
      <c r="F1243" s="320">
        <f>VLOOKUP($C1243,'WATER TANK'!$C$3:$K2469,7,0)</f>
        <v>8750</v>
      </c>
      <c r="G1243" s="320">
        <f>VLOOKUP($C1243,'WATER TANK'!$C$3:$K2469,9,0)</f>
        <v>10000</v>
      </c>
      <c r="H1243" s="523"/>
      <c r="I1243" s="523"/>
      <c r="J1243" s="320"/>
      <c r="K1243" s="320"/>
      <c r="L1243" s="320"/>
      <c r="M1243" s="320"/>
      <c r="N1243" s="320"/>
      <c r="O1243" s="320"/>
    </row>
    <row r="1244">
      <c r="A1244" s="32">
        <f t="shared" si="1"/>
        <v>1243</v>
      </c>
      <c r="B1244" s="9" t="s">
        <v>3078</v>
      </c>
      <c r="C1244" s="78" t="s">
        <v>3095</v>
      </c>
      <c r="D1244" s="12" t="s">
        <v>3096</v>
      </c>
      <c r="E1244" s="320">
        <f>VLOOKUP($C1244,'WATER TANK'!$C$3:$M2469,11,0)</f>
        <v>19.5</v>
      </c>
      <c r="F1244" s="320">
        <f>VLOOKUP($C1244,'WATER TANK'!$C$3:$K2469,7,0)</f>
        <v>13125</v>
      </c>
      <c r="G1244" s="320">
        <f>VLOOKUP($C1244,'WATER TANK'!$C$3:$K2469,9,0)</f>
        <v>15000</v>
      </c>
      <c r="H1244" s="523"/>
      <c r="I1244" s="523"/>
      <c r="J1244" s="320"/>
      <c r="K1244" s="320"/>
      <c r="L1244" s="320"/>
      <c r="M1244" s="320"/>
      <c r="N1244" s="320"/>
      <c r="O1244" s="320"/>
    </row>
    <row r="1245">
      <c r="A1245" s="32">
        <f t="shared" si="1"/>
        <v>1244</v>
      </c>
      <c r="B1245" s="9" t="s">
        <v>3078</v>
      </c>
      <c r="C1245" s="78" t="s">
        <v>3097</v>
      </c>
      <c r="D1245" s="12" t="s">
        <v>3098</v>
      </c>
      <c r="E1245" s="320">
        <f>VLOOKUP($C1245,'WATER TANK'!$C$3:$M2469,11,0)</f>
        <v>25</v>
      </c>
      <c r="F1245" s="320">
        <f>VLOOKUP($C1245,'WATER TANK'!$C$3:$K2469,7,0)</f>
        <v>17500</v>
      </c>
      <c r="G1245" s="320">
        <f>VLOOKUP($C1245,'WATER TANK'!$C$3:$K2469,9,0)</f>
        <v>20000</v>
      </c>
      <c r="H1245" s="523"/>
      <c r="I1245" s="523"/>
      <c r="J1245" s="320"/>
      <c r="K1245" s="320"/>
      <c r="L1245" s="320"/>
      <c r="M1245" s="320"/>
      <c r="N1245" s="320"/>
      <c r="O1245" s="320"/>
    </row>
    <row r="1246">
      <c r="A1246" s="32">
        <f t="shared" si="1"/>
        <v>1245</v>
      </c>
      <c r="B1246" s="9" t="s">
        <v>3078</v>
      </c>
      <c r="C1246" s="78" t="s">
        <v>3099</v>
      </c>
      <c r="D1246" s="12" t="s">
        <v>3100</v>
      </c>
      <c r="E1246" s="320">
        <f>VLOOKUP($C1246,'WATER TANK'!$C$3:$M2469,11,0)</f>
        <v>35</v>
      </c>
      <c r="F1246" s="320">
        <f>VLOOKUP($C1246,'WATER TANK'!$C$3:$K2469,7,0)</f>
        <v>26250</v>
      </c>
      <c r="G1246" s="320">
        <f>VLOOKUP($C1246,'WATER TANK'!$C$3:$K2469,9,0)</f>
        <v>30000</v>
      </c>
      <c r="H1246" s="523"/>
      <c r="I1246" s="523"/>
      <c r="J1246" s="320"/>
      <c r="K1246" s="320"/>
      <c r="L1246" s="320"/>
      <c r="M1246" s="320"/>
      <c r="N1246" s="320"/>
      <c r="O1246" s="320"/>
    </row>
    <row r="1247">
      <c r="A1247" s="32">
        <f t="shared" si="1"/>
        <v>1246</v>
      </c>
      <c r="B1247" s="9" t="s">
        <v>3078</v>
      </c>
      <c r="C1247" s="78" t="s">
        <v>3101</v>
      </c>
      <c r="D1247" s="12" t="s">
        <v>3102</v>
      </c>
      <c r="E1247" s="320">
        <f>VLOOKUP($C1247,'WATER TANK'!$C$3:$M2469,11,0)</f>
        <v>46</v>
      </c>
      <c r="F1247" s="320">
        <f>VLOOKUP($C1247,'WATER TANK'!$C$3:$K2469,7,0)</f>
        <v>35000</v>
      </c>
      <c r="G1247" s="320">
        <f>VLOOKUP($C1247,'WATER TANK'!$C$3:$K2469,9,0)</f>
        <v>40000</v>
      </c>
      <c r="H1247" s="523"/>
      <c r="I1247" s="523"/>
      <c r="J1247" s="320"/>
      <c r="K1247" s="320"/>
      <c r="L1247" s="320"/>
      <c r="M1247" s="320"/>
      <c r="N1247" s="320"/>
      <c r="O1247" s="320"/>
    </row>
    <row r="1248">
      <c r="A1248" s="32">
        <f t="shared" si="1"/>
        <v>1247</v>
      </c>
      <c r="B1248" s="9" t="s">
        <v>3078</v>
      </c>
      <c r="C1248" s="78" t="s">
        <v>3103</v>
      </c>
      <c r="D1248" s="215" t="s">
        <v>3104</v>
      </c>
      <c r="E1248" s="320">
        <f>VLOOKUP($C1248,'WATER TANK'!$C$3:$M2469,11,0)</f>
        <v>76</v>
      </c>
      <c r="F1248" s="320">
        <f>VLOOKUP($C1248,'WATER TANK'!$C$3:$K2469,7,0)</f>
        <v>52500</v>
      </c>
      <c r="G1248" s="320">
        <f>VLOOKUP($C1248,'WATER TANK'!$C$3:$K2469,9,0)</f>
        <v>60000</v>
      </c>
      <c r="H1248" s="523"/>
      <c r="I1248" s="523"/>
      <c r="J1248" s="320"/>
      <c r="K1248" s="320"/>
      <c r="L1248" s="320"/>
      <c r="M1248" s="320"/>
      <c r="N1248" s="320"/>
      <c r="O1248" s="320"/>
    </row>
    <row r="1249">
      <c r="A1249" s="32">
        <f t="shared" si="1"/>
        <v>1248</v>
      </c>
      <c r="B1249" s="9" t="s">
        <v>3078</v>
      </c>
      <c r="C1249" s="78" t="s">
        <v>3105</v>
      </c>
      <c r="D1249" s="12" t="s">
        <v>3106</v>
      </c>
      <c r="E1249" s="320">
        <f>VLOOKUP($C1249,'WATER TANK'!$C$3:$M2469,11,0)</f>
        <v>125</v>
      </c>
      <c r="F1249" s="320">
        <f>VLOOKUP($C1249,'WATER TANK'!$C$3:$K2469,7,0)</f>
        <v>87500</v>
      </c>
      <c r="G1249" s="320">
        <f>VLOOKUP($C1249,'WATER TANK'!$C$3:$K2469,9,0)</f>
        <v>100000</v>
      </c>
      <c r="H1249" s="523"/>
      <c r="I1249" s="523"/>
      <c r="J1249" s="320"/>
      <c r="K1249" s="320"/>
      <c r="L1249" s="320"/>
      <c r="M1249" s="320"/>
      <c r="N1249" s="320"/>
      <c r="O1249" s="320"/>
    </row>
    <row r="1250">
      <c r="A1250" s="32">
        <f t="shared" si="1"/>
        <v>1249</v>
      </c>
      <c r="B1250" s="9" t="s">
        <v>3078</v>
      </c>
      <c r="C1250" s="78" t="s">
        <v>3107</v>
      </c>
      <c r="D1250" s="12" t="s">
        <v>3108</v>
      </c>
      <c r="E1250" s="320">
        <f>VLOOKUP($C1250,'WATER TANK'!$C$3:$M2469,11,0)</f>
        <v>11.5</v>
      </c>
      <c r="F1250" s="320">
        <f>VLOOKUP($C1250,'WATER TANK'!$C$3:$K2469,7,0)</f>
        <v>7250</v>
      </c>
      <c r="G1250" s="320">
        <f>VLOOKUP($C1250,'WATER TANK'!$C$3:$K2469,9,0)</f>
        <v>8000</v>
      </c>
      <c r="H1250" s="523"/>
      <c r="I1250" s="523"/>
      <c r="J1250" s="320"/>
      <c r="K1250" s="320"/>
      <c r="L1250" s="320"/>
      <c r="M1250" s="320"/>
      <c r="N1250" s="320"/>
      <c r="O1250" s="320"/>
    </row>
    <row r="1251">
      <c r="A1251" s="32">
        <f t="shared" si="1"/>
        <v>1250</v>
      </c>
      <c r="B1251" s="9" t="s">
        <v>3078</v>
      </c>
      <c r="C1251" s="78" t="s">
        <v>3109</v>
      </c>
      <c r="D1251" s="12" t="s">
        <v>3110</v>
      </c>
      <c r="E1251" s="320">
        <f>VLOOKUP($C1251,'WATER TANK'!$C$3:$M2469,11,0)</f>
        <v>17</v>
      </c>
      <c r="F1251" s="320">
        <f>VLOOKUP($C1251,'WATER TANK'!$C$3:$K2469,7,0)</f>
        <v>10875</v>
      </c>
      <c r="G1251" s="320">
        <f>VLOOKUP($C1251,'WATER TANK'!$C$3:$K2469,9,0)</f>
        <v>12000</v>
      </c>
      <c r="H1251" s="523"/>
      <c r="I1251" s="523"/>
      <c r="J1251" s="320"/>
      <c r="K1251" s="320"/>
      <c r="L1251" s="320"/>
      <c r="M1251" s="320"/>
      <c r="N1251" s="320"/>
      <c r="O1251" s="320"/>
    </row>
    <row r="1252">
      <c r="A1252" s="32">
        <f t="shared" si="1"/>
        <v>1251</v>
      </c>
      <c r="B1252" s="9" t="s">
        <v>3078</v>
      </c>
      <c r="C1252" s="78" t="s">
        <v>3111</v>
      </c>
      <c r="D1252" s="12" t="s">
        <v>3112</v>
      </c>
      <c r="E1252" s="320">
        <f>VLOOKUP($C1252,'WATER TANK'!$C$3:$M2469,11,0)</f>
        <v>21</v>
      </c>
      <c r="F1252" s="320">
        <f>VLOOKUP($C1252,'WATER TANK'!$C$3:$K2469,7,0)</f>
        <v>14500</v>
      </c>
      <c r="G1252" s="320">
        <f>VLOOKUP($C1252,'WATER TANK'!$C$3:$K2469,9,0)</f>
        <v>16000</v>
      </c>
      <c r="H1252" s="523"/>
      <c r="I1252" s="523"/>
      <c r="J1252" s="320"/>
      <c r="K1252" s="320"/>
      <c r="L1252" s="320"/>
      <c r="M1252" s="320"/>
      <c r="N1252" s="320"/>
      <c r="O1252" s="320"/>
    </row>
    <row r="1253">
      <c r="A1253" s="32">
        <f t="shared" si="1"/>
        <v>1252</v>
      </c>
      <c r="B1253" s="9" t="s">
        <v>3078</v>
      </c>
      <c r="C1253" s="78" t="s">
        <v>3113</v>
      </c>
      <c r="D1253" s="12" t="s">
        <v>3114</v>
      </c>
      <c r="E1253" s="320">
        <f>VLOOKUP($C1253,'WATER TANK'!$C$3:$M2469,11,0)</f>
        <v>29</v>
      </c>
      <c r="F1253" s="320">
        <f>VLOOKUP($C1253,'WATER TANK'!$C$3:$K2469,7,0)</f>
        <v>21750</v>
      </c>
      <c r="G1253" s="320">
        <f>VLOOKUP($C1253,'WATER TANK'!$C$3:$K2469,9,0)</f>
        <v>24000</v>
      </c>
      <c r="H1253" s="523"/>
      <c r="I1253" s="523"/>
      <c r="J1253" s="320"/>
      <c r="K1253" s="320"/>
      <c r="L1253" s="320"/>
      <c r="M1253" s="320"/>
      <c r="N1253" s="320"/>
      <c r="O1253" s="320"/>
    </row>
    <row r="1254">
      <c r="A1254" s="32">
        <f t="shared" si="1"/>
        <v>1253</v>
      </c>
      <c r="B1254" s="9" t="s">
        <v>3078</v>
      </c>
      <c r="C1254" s="78" t="s">
        <v>3115</v>
      </c>
      <c r="D1254" s="12" t="s">
        <v>3116</v>
      </c>
      <c r="E1254" s="320">
        <f>VLOOKUP($C1254,'WATER TANK'!$C$3:$M2469,11,0)</f>
        <v>38</v>
      </c>
      <c r="F1254" s="320">
        <f>VLOOKUP($C1254,'WATER TANK'!$C$3:$K2469,7,0)</f>
        <v>29000</v>
      </c>
      <c r="G1254" s="320">
        <f>VLOOKUP($C1254,'WATER TANK'!$C$3:$K2469,9,0)</f>
        <v>32000</v>
      </c>
      <c r="H1254" s="523"/>
      <c r="I1254" s="523"/>
      <c r="J1254" s="320"/>
      <c r="K1254" s="320"/>
      <c r="L1254" s="320"/>
      <c r="M1254" s="320"/>
      <c r="N1254" s="320"/>
      <c r="O1254" s="320"/>
    </row>
    <row r="1255">
      <c r="A1255" s="32">
        <f t="shared" si="1"/>
        <v>1254</v>
      </c>
      <c r="B1255" s="9" t="s">
        <v>3078</v>
      </c>
      <c r="C1255" s="78" t="s">
        <v>3117</v>
      </c>
      <c r="D1255" s="12" t="s">
        <v>3118</v>
      </c>
      <c r="E1255" s="320">
        <f>VLOOKUP($C1255,'WATER TANK'!$C$3:$M2469,11,0)</f>
        <v>62</v>
      </c>
      <c r="F1255" s="320">
        <f>VLOOKUP($C1255,'WATER TANK'!$C$3:$K2469,7,0)</f>
        <v>43500</v>
      </c>
      <c r="G1255" s="320">
        <f>VLOOKUP($C1255,'WATER TANK'!$C$3:$K2469,9,0)</f>
        <v>48000</v>
      </c>
      <c r="H1255" s="523"/>
      <c r="I1255" s="523"/>
      <c r="J1255" s="320"/>
      <c r="K1255" s="320"/>
      <c r="L1255" s="320"/>
      <c r="M1255" s="320"/>
      <c r="N1255" s="320"/>
      <c r="O1255" s="320"/>
    </row>
    <row r="1256">
      <c r="A1256" s="32">
        <f t="shared" si="1"/>
        <v>1255</v>
      </c>
      <c r="B1256" s="9" t="s">
        <v>3078</v>
      </c>
      <c r="C1256" s="78" t="s">
        <v>3119</v>
      </c>
      <c r="D1256" s="12" t="s">
        <v>3120</v>
      </c>
      <c r="E1256" s="320">
        <f>VLOOKUP($C1256,'WATER TANK'!$C$3:$M2469,11,0)</f>
        <v>105</v>
      </c>
      <c r="F1256" s="320">
        <f>VLOOKUP($C1256,'WATER TANK'!$C$3:$K2469,7,0)</f>
        <v>72500</v>
      </c>
      <c r="G1256" s="320">
        <f>VLOOKUP($C1256,'WATER TANK'!$C$3:$K2469,9,0)</f>
        <v>80000</v>
      </c>
      <c r="H1256" s="523"/>
      <c r="I1256" s="523"/>
      <c r="J1256" s="320"/>
      <c r="K1256" s="320"/>
      <c r="L1256" s="320"/>
      <c r="M1256" s="320"/>
      <c r="N1256" s="320"/>
      <c r="O1256" s="320"/>
    </row>
    <row r="1257">
      <c r="A1257" s="32">
        <f t="shared" si="1"/>
        <v>1256</v>
      </c>
      <c r="B1257" s="9" t="s">
        <v>3078</v>
      </c>
      <c r="C1257" s="500" t="s">
        <v>3121</v>
      </c>
      <c r="D1257" s="215" t="s">
        <v>3094</v>
      </c>
      <c r="E1257" s="320" t="str">
        <f>VLOOKUP($C1257,'WATER TANK'!$C$3:$M2469,11,0)</f>
        <v/>
      </c>
      <c r="F1257" s="320">
        <f>VLOOKUP($C1257,'WATER TANK'!$C$3:$K2469,7,0)</f>
        <v>8750</v>
      </c>
      <c r="G1257" s="320">
        <f>VLOOKUP($C1257,'WATER TANK'!$C$3:$K2469,9,0)</f>
        <v>12500</v>
      </c>
      <c r="H1257" s="523"/>
      <c r="I1257" s="523"/>
      <c r="J1257" s="320"/>
      <c r="K1257" s="320"/>
      <c r="L1257" s="320"/>
      <c r="M1257" s="320"/>
      <c r="N1257" s="320"/>
      <c r="O1257" s="320"/>
    </row>
    <row r="1258">
      <c r="A1258" s="32">
        <f t="shared" si="1"/>
        <v>1257</v>
      </c>
      <c r="B1258" s="9" t="s">
        <v>3078</v>
      </c>
      <c r="C1258" s="500" t="s">
        <v>3122</v>
      </c>
      <c r="D1258" s="215" t="s">
        <v>3096</v>
      </c>
      <c r="E1258" s="320" t="str">
        <f>VLOOKUP($C1258,'WATER TANK'!$C$3:$M2469,11,0)</f>
        <v/>
      </c>
      <c r="F1258" s="320">
        <f>VLOOKUP($C1258,'WATER TANK'!$C$3:$K2469,7,0)</f>
        <v>13125</v>
      </c>
      <c r="G1258" s="320">
        <f>VLOOKUP($C1258,'WATER TANK'!$C$3:$K2469,9,0)</f>
        <v>19000</v>
      </c>
      <c r="H1258" s="523"/>
      <c r="I1258" s="523"/>
      <c r="J1258" s="320"/>
      <c r="K1258" s="320"/>
      <c r="L1258" s="320"/>
      <c r="M1258" s="320"/>
      <c r="N1258" s="320"/>
      <c r="O1258" s="320"/>
    </row>
    <row r="1259">
      <c r="A1259" s="32">
        <f t="shared" si="1"/>
        <v>1258</v>
      </c>
      <c r="B1259" s="9" t="s">
        <v>3078</v>
      </c>
      <c r="C1259" s="500" t="s">
        <v>3123</v>
      </c>
      <c r="D1259" s="215" t="s">
        <v>3098</v>
      </c>
      <c r="E1259" s="320" t="str">
        <f>VLOOKUP($C1259,'WATER TANK'!$C$3:$M2469,11,0)</f>
        <v/>
      </c>
      <c r="F1259" s="320">
        <f>VLOOKUP($C1259,'WATER TANK'!$C$3:$K2469,7,0)</f>
        <v>17500</v>
      </c>
      <c r="G1259" s="320">
        <f>VLOOKUP($C1259,'WATER TANK'!$C$3:$K2469,9,0)</f>
        <v>25000</v>
      </c>
      <c r="H1259" s="523"/>
      <c r="I1259" s="523"/>
      <c r="J1259" s="320"/>
      <c r="K1259" s="320"/>
      <c r="L1259" s="320"/>
      <c r="M1259" s="320"/>
      <c r="N1259" s="320"/>
      <c r="O1259" s="320"/>
    </row>
    <row r="1260">
      <c r="A1260" s="32">
        <f t="shared" si="1"/>
        <v>1259</v>
      </c>
      <c r="B1260" s="9" t="s">
        <v>3078</v>
      </c>
      <c r="C1260" s="500" t="s">
        <v>3124</v>
      </c>
      <c r="D1260" s="215" t="s">
        <v>3100</v>
      </c>
      <c r="E1260" s="320" t="str">
        <f>VLOOKUP($C1260,'WATER TANK'!$C$3:$M2469,11,0)</f>
        <v/>
      </c>
      <c r="F1260" s="320">
        <f>VLOOKUP($C1260,'WATER TANK'!$C$3:$K2469,7,0)</f>
        <v>26250</v>
      </c>
      <c r="G1260" s="320">
        <f>VLOOKUP($C1260,'WATER TANK'!$C$3:$K2469,9,0)</f>
        <v>37000</v>
      </c>
      <c r="H1260" s="523"/>
      <c r="I1260" s="523"/>
      <c r="J1260" s="320"/>
      <c r="K1260" s="320"/>
      <c r="L1260" s="320"/>
      <c r="M1260" s="320"/>
      <c r="N1260" s="320"/>
      <c r="O1260" s="320"/>
    </row>
    <row r="1261">
      <c r="A1261" s="32">
        <f t="shared" si="1"/>
        <v>1260</v>
      </c>
      <c r="B1261" s="9" t="s">
        <v>3078</v>
      </c>
      <c r="C1261" s="500" t="s">
        <v>3125</v>
      </c>
      <c r="D1261" s="215" t="s">
        <v>3102</v>
      </c>
      <c r="E1261" s="320" t="str">
        <f>VLOOKUP($C1261,'WATER TANK'!$C$3:$M2469,11,0)</f>
        <v/>
      </c>
      <c r="F1261" s="320">
        <f>VLOOKUP($C1261,'WATER TANK'!$C$3:$K2469,7,0)</f>
        <v>35000</v>
      </c>
      <c r="G1261" s="320">
        <f>VLOOKUP($C1261,'WATER TANK'!$C$3:$K2469,9,0)</f>
        <v>50000</v>
      </c>
      <c r="H1261" s="523"/>
      <c r="I1261" s="523"/>
      <c r="J1261" s="320"/>
      <c r="K1261" s="320"/>
      <c r="L1261" s="320"/>
      <c r="M1261" s="320"/>
      <c r="N1261" s="320"/>
      <c r="O1261" s="320"/>
    </row>
    <row r="1262">
      <c r="A1262" s="32">
        <f t="shared" si="1"/>
        <v>1261</v>
      </c>
      <c r="B1262" s="9" t="s">
        <v>3078</v>
      </c>
      <c r="C1262" s="500" t="s">
        <v>3126</v>
      </c>
      <c r="D1262" s="215" t="s">
        <v>3104</v>
      </c>
      <c r="E1262" s="320" t="str">
        <f>VLOOKUP($C1262,'WATER TANK'!$C$3:$M2469,11,0)</f>
        <v/>
      </c>
      <c r="F1262" s="320">
        <f>VLOOKUP($C1262,'WATER TANK'!$C$3:$K2469,7,0)</f>
        <v>52500</v>
      </c>
      <c r="G1262" s="320">
        <f>VLOOKUP($C1262,'WATER TANK'!$C$3:$K2469,9,0)</f>
        <v>75000</v>
      </c>
      <c r="H1262" s="523"/>
      <c r="I1262" s="523"/>
      <c r="J1262" s="320"/>
      <c r="K1262" s="320"/>
      <c r="L1262" s="320"/>
      <c r="M1262" s="320"/>
      <c r="N1262" s="320"/>
      <c r="O1262" s="320"/>
    </row>
    <row r="1263">
      <c r="A1263" s="32">
        <f t="shared" si="1"/>
        <v>1262</v>
      </c>
      <c r="B1263" s="9" t="s">
        <v>3078</v>
      </c>
      <c r="C1263" s="500" t="s">
        <v>3127</v>
      </c>
      <c r="D1263" s="215" t="s">
        <v>3106</v>
      </c>
      <c r="E1263" s="320" t="str">
        <f>VLOOKUP($C1263,'WATER TANK'!$C$3:$M2469,11,0)</f>
        <v/>
      </c>
      <c r="F1263" s="320">
        <f>VLOOKUP($C1263,'WATER TANK'!$C$3:$K2469,7,0)</f>
        <v>87500</v>
      </c>
      <c r="G1263" s="320">
        <f>VLOOKUP($C1263,'WATER TANK'!$C$3:$K2469,9,0)</f>
        <v>125000</v>
      </c>
      <c r="H1263" s="523"/>
      <c r="I1263" s="523"/>
      <c r="J1263" s="320"/>
      <c r="K1263" s="320"/>
      <c r="L1263" s="320"/>
      <c r="M1263" s="320"/>
      <c r="N1263" s="320"/>
      <c r="O1263" s="320"/>
    </row>
    <row r="1264">
      <c r="A1264" s="32">
        <f t="shared" si="1"/>
        <v>1263</v>
      </c>
      <c r="B1264" s="9" t="s">
        <v>3078</v>
      </c>
      <c r="C1264" s="500" t="s">
        <v>3128</v>
      </c>
      <c r="D1264" s="215" t="s">
        <v>3108</v>
      </c>
      <c r="E1264" s="320" t="str">
        <f>VLOOKUP($C1264,'WATER TANK'!$C$3:$M2469,11,0)</f>
        <v/>
      </c>
      <c r="F1264" s="320">
        <f>VLOOKUP($C1264,'WATER TANK'!$C$3:$K2469,7,0)</f>
        <v>7250</v>
      </c>
      <c r="G1264" s="320">
        <f>VLOOKUP($C1264,'WATER TANK'!$C$3:$K2469,9,0)</f>
        <v>10000</v>
      </c>
      <c r="H1264" s="523"/>
      <c r="I1264" s="523"/>
      <c r="J1264" s="320"/>
      <c r="K1264" s="320"/>
      <c r="L1264" s="320"/>
      <c r="M1264" s="320"/>
      <c r="N1264" s="320"/>
      <c r="O1264" s="320"/>
    </row>
    <row r="1265">
      <c r="A1265" s="32">
        <f t="shared" si="1"/>
        <v>1264</v>
      </c>
      <c r="B1265" s="9" t="s">
        <v>3078</v>
      </c>
      <c r="C1265" s="500" t="s">
        <v>3129</v>
      </c>
      <c r="D1265" s="215" t="s">
        <v>3110</v>
      </c>
      <c r="E1265" s="320" t="str">
        <f>VLOOKUP($C1265,'WATER TANK'!$C$3:$M2469,11,0)</f>
        <v/>
      </c>
      <c r="F1265" s="320">
        <f>VLOOKUP($C1265,'WATER TANK'!$C$3:$K2469,7,0)</f>
        <v>10875</v>
      </c>
      <c r="G1265" s="320">
        <f>VLOOKUP($C1265,'WATER TANK'!$C$3:$K2469,9,0)</f>
        <v>15000</v>
      </c>
      <c r="H1265" s="523"/>
      <c r="I1265" s="523"/>
      <c r="J1265" s="320"/>
      <c r="K1265" s="320"/>
      <c r="L1265" s="320"/>
      <c r="M1265" s="320"/>
      <c r="N1265" s="320"/>
      <c r="O1265" s="320"/>
    </row>
    <row r="1266">
      <c r="A1266" s="32">
        <f t="shared" si="1"/>
        <v>1265</v>
      </c>
      <c r="B1266" s="9" t="s">
        <v>3078</v>
      </c>
      <c r="C1266" s="500" t="s">
        <v>3130</v>
      </c>
      <c r="D1266" s="215" t="s">
        <v>3112</v>
      </c>
      <c r="E1266" s="320" t="str">
        <f>VLOOKUP($C1266,'WATER TANK'!$C$3:$M2469,11,0)</f>
        <v/>
      </c>
      <c r="F1266" s="320">
        <f>VLOOKUP($C1266,'WATER TANK'!$C$3:$K2469,7,0)</f>
        <v>14500</v>
      </c>
      <c r="G1266" s="320">
        <f>VLOOKUP($C1266,'WATER TANK'!$C$3:$K2469,9,0)</f>
        <v>20000</v>
      </c>
      <c r="H1266" s="523"/>
      <c r="I1266" s="523"/>
      <c r="J1266" s="320"/>
      <c r="K1266" s="320"/>
      <c r="L1266" s="320"/>
      <c r="M1266" s="320"/>
      <c r="N1266" s="320"/>
      <c r="O1266" s="320"/>
    </row>
    <row r="1267">
      <c r="A1267" s="32">
        <f t="shared" si="1"/>
        <v>1266</v>
      </c>
      <c r="B1267" s="9" t="s">
        <v>3078</v>
      </c>
      <c r="C1267" s="500" t="s">
        <v>3132</v>
      </c>
      <c r="D1267" s="215" t="s">
        <v>3114</v>
      </c>
      <c r="E1267" s="320" t="str">
        <f>VLOOKUP($C1267,'WATER TANK'!$C$3:$M2469,11,0)</f>
        <v/>
      </c>
      <c r="F1267" s="320">
        <f>VLOOKUP($C1267,'WATER TANK'!$C$3:$K2469,7,0)</f>
        <v>21750</v>
      </c>
      <c r="G1267" s="320">
        <f>VLOOKUP($C1267,'WATER TANK'!$C$3:$K2469,9,0)</f>
        <v>30000</v>
      </c>
      <c r="H1267" s="523"/>
      <c r="I1267" s="523"/>
      <c r="J1267" s="320"/>
      <c r="K1267" s="320"/>
      <c r="L1267" s="320"/>
      <c r="M1267" s="320"/>
      <c r="N1267" s="320"/>
      <c r="O1267" s="320"/>
    </row>
    <row r="1268">
      <c r="A1268" s="32">
        <f t="shared" si="1"/>
        <v>1267</v>
      </c>
      <c r="B1268" s="9" t="s">
        <v>3078</v>
      </c>
      <c r="C1268" s="500" t="s">
        <v>3144</v>
      </c>
      <c r="D1268" s="215" t="s">
        <v>3116</v>
      </c>
      <c r="E1268" s="320" t="str">
        <f>VLOOKUP($C1268,'WATER TANK'!$C$3:$M2469,11,0)</f>
        <v/>
      </c>
      <c r="F1268" s="320">
        <f>VLOOKUP($C1268,'WATER TANK'!$C$3:$K2469,7,0)</f>
        <v>29000</v>
      </c>
      <c r="G1268" s="320">
        <f>VLOOKUP($C1268,'WATER TANK'!$C$3:$K2469,9,0)</f>
        <v>40000</v>
      </c>
      <c r="H1268" s="523"/>
      <c r="I1268" s="523"/>
      <c r="J1268" s="320"/>
      <c r="K1268" s="320"/>
      <c r="L1268" s="320"/>
      <c r="M1268" s="320"/>
      <c r="N1268" s="320"/>
      <c r="O1268" s="320"/>
    </row>
    <row r="1269">
      <c r="A1269" s="32">
        <f t="shared" si="1"/>
        <v>1268</v>
      </c>
      <c r="B1269" s="9" t="s">
        <v>3078</v>
      </c>
      <c r="C1269" s="500" t="s">
        <v>3147</v>
      </c>
      <c r="D1269" s="215" t="s">
        <v>3118</v>
      </c>
      <c r="E1269" s="320" t="str">
        <f>VLOOKUP($C1269,'WATER TANK'!$C$3:$M2469,11,0)</f>
        <v/>
      </c>
      <c r="F1269" s="320">
        <f>VLOOKUP($C1269,'WATER TANK'!$C$3:$K2469,7,0)</f>
        <v>43500</v>
      </c>
      <c r="G1269" s="320">
        <f>VLOOKUP($C1269,'WATER TANK'!$C$3:$K2469,9,0)</f>
        <v>60000</v>
      </c>
      <c r="H1269" s="523"/>
      <c r="I1269" s="523"/>
      <c r="J1269" s="320"/>
      <c r="K1269" s="320"/>
      <c r="L1269" s="320"/>
      <c r="M1269" s="320"/>
      <c r="N1269" s="320"/>
      <c r="O1269" s="320"/>
    </row>
    <row r="1270">
      <c r="A1270" s="32">
        <f t="shared" si="1"/>
        <v>1269</v>
      </c>
      <c r="B1270" s="9" t="s">
        <v>3078</v>
      </c>
      <c r="C1270" s="500" t="s">
        <v>3148</v>
      </c>
      <c r="D1270" s="215" t="s">
        <v>3120</v>
      </c>
      <c r="E1270" s="320" t="str">
        <f>VLOOKUP($C1270,'WATER TANK'!$C$3:$M2469,11,0)</f>
        <v/>
      </c>
      <c r="F1270" s="320">
        <f>VLOOKUP($C1270,'WATER TANK'!$C$3:$K2469,7,0)</f>
        <v>72500</v>
      </c>
      <c r="G1270" s="320">
        <f>VLOOKUP($C1270,'WATER TANK'!$C$3:$K2469,9,0)</f>
        <v>100000</v>
      </c>
      <c r="H1270" s="523"/>
      <c r="I1270" s="523"/>
      <c r="J1270" s="320"/>
      <c r="K1270" s="320"/>
      <c r="L1270" s="320"/>
      <c r="M1270" s="320"/>
      <c r="N1270" s="320"/>
      <c r="O1270" s="320"/>
    </row>
    <row r="1271">
      <c r="A1271" s="32">
        <f t="shared" si="1"/>
        <v>1270</v>
      </c>
      <c r="B1271" s="9" t="s">
        <v>3078</v>
      </c>
      <c r="C1271" s="500" t="s">
        <v>3151</v>
      </c>
      <c r="D1271" s="215" t="s">
        <v>3108</v>
      </c>
      <c r="E1271" s="320" t="str">
        <f>VLOOKUP($C1271,'WATER TANK'!$C$3:$M2469,11,0)</f>
        <v/>
      </c>
      <c r="F1271" s="320" t="str">
        <f>VLOOKUP($C1271,'WATER TANK'!$C$3:$K2469,7,0)</f>
        <v>REMOVED</v>
      </c>
      <c r="G1271" s="320">
        <f>VLOOKUP($C1271,'WATER TANK'!$C$3:$K2469,9,0)</f>
        <v>10000</v>
      </c>
      <c r="H1271" s="523"/>
      <c r="I1271" s="523"/>
      <c r="J1271" s="320"/>
      <c r="K1271" s="320"/>
      <c r="L1271" s="320"/>
      <c r="M1271" s="320"/>
      <c r="N1271" s="320"/>
      <c r="O1271" s="320"/>
    </row>
    <row r="1272">
      <c r="A1272" s="32">
        <f t="shared" si="1"/>
        <v>1271</v>
      </c>
      <c r="B1272" s="9" t="s">
        <v>3078</v>
      </c>
      <c r="C1272" s="500" t="s">
        <v>3156</v>
      </c>
      <c r="D1272" s="215" t="s">
        <v>3110</v>
      </c>
      <c r="E1272" s="320" t="str">
        <f>VLOOKUP($C1272,'WATER TANK'!$C$3:$M2469,11,0)</f>
        <v/>
      </c>
      <c r="F1272" s="320" t="str">
        <f>VLOOKUP($C1272,'WATER TANK'!$C$3:$K2469,7,0)</f>
        <v>REMOVED</v>
      </c>
      <c r="G1272" s="320">
        <f>VLOOKUP($C1272,'WATER TANK'!$C$3:$K2469,9,0)</f>
        <v>15000</v>
      </c>
      <c r="H1272" s="523"/>
      <c r="I1272" s="523"/>
      <c r="J1272" s="320"/>
      <c r="K1272" s="320"/>
      <c r="L1272" s="320"/>
      <c r="M1272" s="320"/>
      <c r="N1272" s="320"/>
      <c r="O1272" s="320"/>
    </row>
    <row r="1273">
      <c r="A1273" s="32">
        <f t="shared" si="1"/>
        <v>1272</v>
      </c>
      <c r="B1273" s="9" t="s">
        <v>3078</v>
      </c>
      <c r="C1273" s="500" t="s">
        <v>3163</v>
      </c>
      <c r="D1273" s="215" t="s">
        <v>3112</v>
      </c>
      <c r="E1273" s="320" t="str">
        <f>VLOOKUP($C1273,'WATER TANK'!$C$3:$M2469,11,0)</f>
        <v/>
      </c>
      <c r="F1273" s="320" t="str">
        <f>VLOOKUP($C1273,'WATER TANK'!$C$3:$K2469,7,0)</f>
        <v>REMOVED</v>
      </c>
      <c r="G1273" s="320">
        <f>VLOOKUP($C1273,'WATER TANK'!$C$3:$K2469,9,0)</f>
        <v>20000</v>
      </c>
      <c r="H1273" s="523"/>
      <c r="I1273" s="523"/>
      <c r="J1273" s="320"/>
      <c r="K1273" s="320"/>
      <c r="L1273" s="320"/>
      <c r="M1273" s="320"/>
      <c r="N1273" s="320"/>
      <c r="O1273" s="320"/>
    </row>
    <row r="1274">
      <c r="A1274" s="32">
        <f t="shared" si="1"/>
        <v>1273</v>
      </c>
      <c r="B1274" s="9" t="s">
        <v>3078</v>
      </c>
      <c r="C1274" s="500" t="s">
        <v>3172</v>
      </c>
      <c r="D1274" s="215" t="s">
        <v>3114</v>
      </c>
      <c r="E1274" s="320" t="str">
        <f>VLOOKUP($C1274,'WATER TANK'!$C$3:$M2469,11,0)</f>
        <v/>
      </c>
      <c r="F1274" s="320" t="str">
        <f>VLOOKUP($C1274,'WATER TANK'!$C$3:$K2469,7,0)</f>
        <v>REMOVED</v>
      </c>
      <c r="G1274" s="320">
        <f>VLOOKUP($C1274,'WATER TANK'!$C$3:$K2469,9,0)</f>
        <v>30000</v>
      </c>
      <c r="H1274" s="523"/>
      <c r="I1274" s="523"/>
      <c r="J1274" s="320"/>
      <c r="K1274" s="320"/>
      <c r="L1274" s="320"/>
      <c r="M1274" s="320"/>
      <c r="N1274" s="320"/>
      <c r="O1274" s="320"/>
    </row>
    <row r="1275">
      <c r="A1275" s="32">
        <f t="shared" si="1"/>
        <v>1274</v>
      </c>
      <c r="B1275" s="9" t="s">
        <v>3078</v>
      </c>
      <c r="C1275" s="500" t="s">
        <v>3177</v>
      </c>
      <c r="D1275" s="215" t="s">
        <v>3116</v>
      </c>
      <c r="E1275" s="320" t="str">
        <f>VLOOKUP($C1275,'WATER TANK'!$C$3:$M2469,11,0)</f>
        <v/>
      </c>
      <c r="F1275" s="320" t="str">
        <f>VLOOKUP($C1275,'WATER TANK'!$C$3:$K2469,7,0)</f>
        <v>REMOVED</v>
      </c>
      <c r="G1275" s="320">
        <f>VLOOKUP($C1275,'WATER TANK'!$C$3:$K2469,9,0)</f>
        <v>40000</v>
      </c>
      <c r="H1275" s="523"/>
      <c r="I1275" s="523"/>
      <c r="J1275" s="320"/>
      <c r="K1275" s="320"/>
      <c r="L1275" s="320"/>
      <c r="M1275" s="320"/>
      <c r="N1275" s="320"/>
      <c r="O1275" s="320"/>
    </row>
    <row r="1276">
      <c r="A1276" s="32">
        <f t="shared" si="1"/>
        <v>1275</v>
      </c>
      <c r="B1276" s="9" t="s">
        <v>3078</v>
      </c>
      <c r="C1276" s="500" t="s">
        <v>3183</v>
      </c>
      <c r="D1276" s="215" t="s">
        <v>3118</v>
      </c>
      <c r="E1276" s="320" t="str">
        <f>VLOOKUP($C1276,'WATER TANK'!$C$3:$M2469,11,0)</f>
        <v/>
      </c>
      <c r="F1276" s="320" t="str">
        <f>VLOOKUP($C1276,'WATER TANK'!$C$3:$K2469,7,0)</f>
        <v>REMOVED</v>
      </c>
      <c r="G1276" s="320">
        <f>VLOOKUP($C1276,'WATER TANK'!$C$3:$K2469,9,0)</f>
        <v>60000</v>
      </c>
      <c r="H1276" s="523"/>
      <c r="I1276" s="523"/>
      <c r="J1276" s="320"/>
      <c r="K1276" s="320"/>
      <c r="L1276" s="320"/>
      <c r="M1276" s="320"/>
      <c r="N1276" s="320"/>
      <c r="O1276" s="320"/>
    </row>
    <row r="1277">
      <c r="A1277" s="32">
        <f t="shared" si="1"/>
        <v>1276</v>
      </c>
      <c r="B1277" s="9" t="s">
        <v>3078</v>
      </c>
      <c r="C1277" s="500" t="s">
        <v>3191</v>
      </c>
      <c r="D1277" s="215" t="s">
        <v>3120</v>
      </c>
      <c r="E1277" s="320" t="str">
        <f>VLOOKUP($C1277,'WATER TANK'!$C$3:$M2469,11,0)</f>
        <v/>
      </c>
      <c r="F1277" s="320" t="str">
        <f>VLOOKUP($C1277,'WATER TANK'!$C$3:$K2469,7,0)</f>
        <v>REMOVED</v>
      </c>
      <c r="G1277" s="320">
        <f>VLOOKUP($C1277,'WATER TANK'!$C$3:$K2469,9,0)</f>
        <v>100000</v>
      </c>
      <c r="H1277" s="523"/>
      <c r="I1277" s="523"/>
      <c r="J1277" s="320"/>
      <c r="K1277" s="320"/>
      <c r="L1277" s="320"/>
      <c r="M1277" s="320"/>
      <c r="N1277" s="320"/>
      <c r="O1277" s="320"/>
    </row>
    <row r="1278">
      <c r="A1278" s="32">
        <f t="shared" si="1"/>
        <v>1277</v>
      </c>
      <c r="B1278" s="9" t="s">
        <v>3078</v>
      </c>
      <c r="C1278" s="500" t="s">
        <v>3198</v>
      </c>
      <c r="D1278" s="4" t="s">
        <v>3199</v>
      </c>
      <c r="E1278" s="320" t="str">
        <f>VLOOKUP($C1278,'WATER TANK'!$C$3:$M2469,11,0)</f>
        <v/>
      </c>
      <c r="F1278" s="320" t="str">
        <f>VLOOKUP($C1278,'WATER TANK'!$C$3:$K2469,7,0)</f>
        <v>NEW</v>
      </c>
      <c r="G1278" s="320">
        <f>VLOOKUP($C1278,'WATER TANK'!$C$3:$K2469,9,0)</f>
        <v>16000</v>
      </c>
      <c r="H1278" s="523"/>
      <c r="I1278" s="523"/>
      <c r="J1278" s="320"/>
      <c r="K1278" s="320"/>
      <c r="L1278" s="320"/>
      <c r="M1278" s="320"/>
      <c r="N1278" s="320"/>
      <c r="O1278" s="320"/>
    </row>
    <row r="1279">
      <c r="A1279" s="32">
        <f t="shared" si="1"/>
        <v>1278</v>
      </c>
      <c r="B1279" s="9" t="s">
        <v>3078</v>
      </c>
      <c r="C1279" s="500" t="s">
        <v>3204</v>
      </c>
      <c r="D1279" s="4" t="s">
        <v>3199</v>
      </c>
      <c r="E1279" s="320" t="str">
        <f>VLOOKUP($C1279,'WATER TANK'!$C$3:$M2469,11,0)</f>
        <v/>
      </c>
      <c r="F1279" s="320" t="str">
        <f>VLOOKUP($C1279,'WATER TANK'!$C$3:$K2469,7,0)</f>
        <v>NEW</v>
      </c>
      <c r="G1279" s="320">
        <f>VLOOKUP($C1279,'WATER TANK'!$C$3:$K2469,9,0)</f>
        <v>24000</v>
      </c>
      <c r="H1279" s="523"/>
      <c r="I1279" s="523"/>
      <c r="J1279" s="320"/>
      <c r="K1279" s="320"/>
      <c r="L1279" s="320"/>
      <c r="M1279" s="320"/>
      <c r="N1279" s="320"/>
      <c r="O1279" s="320"/>
    </row>
    <row r="1280">
      <c r="A1280" s="32">
        <f t="shared" si="1"/>
        <v>1279</v>
      </c>
      <c r="B1280" s="9" t="s">
        <v>3078</v>
      </c>
      <c r="C1280" s="500" t="s">
        <v>3211</v>
      </c>
      <c r="D1280" s="4" t="s">
        <v>3199</v>
      </c>
      <c r="E1280" s="320" t="str">
        <f>VLOOKUP($C1280,'WATER TANK'!$C$3:$M2469,11,0)</f>
        <v/>
      </c>
      <c r="F1280" s="320" t="str">
        <f>VLOOKUP($C1280,'WATER TANK'!$C$3:$K2469,7,0)</f>
        <v>NEW</v>
      </c>
      <c r="G1280" s="320">
        <f>VLOOKUP($C1280,'WATER TANK'!$C$3:$K2469,9,0)</f>
        <v>32000</v>
      </c>
      <c r="H1280" s="523"/>
      <c r="I1280" s="523"/>
      <c r="J1280" s="320"/>
      <c r="K1280" s="320"/>
      <c r="L1280" s="320"/>
      <c r="M1280" s="320"/>
      <c r="N1280" s="320"/>
      <c r="O1280" s="320"/>
    </row>
    <row r="1281">
      <c r="A1281" s="32">
        <f t="shared" si="1"/>
        <v>1280</v>
      </c>
      <c r="B1281" s="9" t="s">
        <v>3078</v>
      </c>
      <c r="C1281" s="500" t="s">
        <v>3217</v>
      </c>
      <c r="D1281" s="4" t="s">
        <v>3199</v>
      </c>
      <c r="E1281" s="320" t="str">
        <f>VLOOKUP($C1281,'WATER TANK'!$C$3:$M2469,11,0)</f>
        <v/>
      </c>
      <c r="F1281" s="320" t="str">
        <f>VLOOKUP($C1281,'WATER TANK'!$C$3:$K2469,7,0)</f>
        <v>NEW</v>
      </c>
      <c r="G1281" s="320">
        <f>VLOOKUP($C1281,'WATER TANK'!$C$3:$K2469,9,0)</f>
        <v>48000</v>
      </c>
      <c r="H1281" s="523"/>
      <c r="I1281" s="523"/>
      <c r="J1281" s="320"/>
      <c r="K1281" s="320"/>
      <c r="L1281" s="320"/>
      <c r="M1281" s="320"/>
      <c r="N1281" s="320"/>
      <c r="O1281" s="320"/>
    </row>
    <row r="1282">
      <c r="A1282" s="32">
        <f t="shared" si="1"/>
        <v>1281</v>
      </c>
      <c r="B1282" s="9" t="s">
        <v>3078</v>
      </c>
      <c r="C1282" s="500" t="s">
        <v>3220</v>
      </c>
      <c r="D1282" s="4" t="s">
        <v>3199</v>
      </c>
      <c r="E1282" s="320" t="str">
        <f>VLOOKUP($C1282,'WATER TANK'!$C$3:$M2469,11,0)</f>
        <v/>
      </c>
      <c r="F1282" s="320" t="str">
        <f>VLOOKUP($C1282,'WATER TANK'!$C$3:$K2469,7,0)</f>
        <v>NEW</v>
      </c>
      <c r="G1282" s="320">
        <f>VLOOKUP($C1282,'WATER TANK'!$C$3:$K2469,9,0)</f>
        <v>64000</v>
      </c>
      <c r="H1282" s="523"/>
      <c r="I1282" s="523"/>
      <c r="J1282" s="320"/>
      <c r="K1282" s="320"/>
      <c r="L1282" s="320"/>
      <c r="M1282" s="320"/>
      <c r="N1282" s="320"/>
      <c r="O1282" s="320"/>
    </row>
    <row r="1283">
      <c r="A1283" s="32">
        <f t="shared" si="1"/>
        <v>1282</v>
      </c>
      <c r="B1283" s="9" t="s">
        <v>3078</v>
      </c>
      <c r="C1283" s="500" t="s">
        <v>3225</v>
      </c>
      <c r="D1283" s="4" t="s">
        <v>3199</v>
      </c>
      <c r="E1283" s="320" t="str">
        <f>VLOOKUP($C1283,'WATER TANK'!$C$3:$M2469,11,0)</f>
        <v/>
      </c>
      <c r="F1283" s="320" t="str">
        <f>VLOOKUP($C1283,'WATER TANK'!$C$3:$K2469,7,0)</f>
        <v>NEW</v>
      </c>
      <c r="G1283" s="320">
        <f>VLOOKUP($C1283,'WATER TANK'!$C$3:$K2469,9,0)</f>
        <v>96000</v>
      </c>
      <c r="H1283" s="523"/>
      <c r="I1283" s="523"/>
      <c r="J1283" s="320"/>
      <c r="K1283" s="320"/>
      <c r="L1283" s="320"/>
      <c r="M1283" s="320"/>
      <c r="N1283" s="320"/>
      <c r="O1283" s="320"/>
    </row>
    <row r="1284">
      <c r="A1284" s="32">
        <f t="shared" si="1"/>
        <v>1283</v>
      </c>
      <c r="B1284" s="9" t="s">
        <v>3078</v>
      </c>
      <c r="C1284" s="500" t="s">
        <v>3230</v>
      </c>
      <c r="D1284" s="4" t="s">
        <v>3199</v>
      </c>
      <c r="E1284" s="320" t="str">
        <f>VLOOKUP($C1284,'WATER TANK'!$C$3:$M2469,11,0)</f>
        <v/>
      </c>
      <c r="F1284" s="320" t="str">
        <f>VLOOKUP($C1284,'WATER TANK'!$C$3:$K2469,7,0)</f>
        <v>NEW</v>
      </c>
      <c r="G1284" s="320">
        <f>VLOOKUP($C1284,'WATER TANK'!$C$3:$K2469,9,0)</f>
        <v>160000</v>
      </c>
      <c r="H1284" s="523"/>
      <c r="I1284" s="523"/>
      <c r="J1284" s="320"/>
      <c r="K1284" s="320"/>
      <c r="L1284" s="320"/>
      <c r="M1284" s="320"/>
      <c r="N1284" s="320"/>
      <c r="O1284" s="320"/>
    </row>
    <row r="1285">
      <c r="A1285" s="32">
        <f t="shared" si="1"/>
        <v>1284</v>
      </c>
      <c r="B1285" s="9" t="s">
        <v>3078</v>
      </c>
      <c r="C1285" s="500" t="s">
        <v>3235</v>
      </c>
      <c r="D1285" s="4" t="s">
        <v>3199</v>
      </c>
      <c r="E1285" s="320" t="str">
        <f>VLOOKUP($C1285,'WATER TANK'!$C$3:$M2469,11,0)</f>
        <v/>
      </c>
      <c r="F1285" s="320" t="str">
        <f>VLOOKUP($C1285,'WATER TANK'!$C$3:$K2469,7,0)</f>
        <v>NEW</v>
      </c>
      <c r="G1285" s="320">
        <f>VLOOKUP($C1285,'WATER TANK'!$C$3:$K2469,9,0)</f>
        <v>16000</v>
      </c>
      <c r="H1285" s="523"/>
      <c r="I1285" s="523"/>
      <c r="J1285" s="320"/>
      <c r="K1285" s="320"/>
      <c r="L1285" s="320"/>
      <c r="M1285" s="320"/>
      <c r="N1285" s="320"/>
      <c r="O1285" s="320"/>
    </row>
    <row r="1286">
      <c r="A1286" s="32">
        <f t="shared" si="1"/>
        <v>1285</v>
      </c>
      <c r="B1286" s="9" t="s">
        <v>3078</v>
      </c>
      <c r="C1286" s="500" t="s">
        <v>3239</v>
      </c>
      <c r="D1286" s="4" t="s">
        <v>3199</v>
      </c>
      <c r="E1286" s="320" t="str">
        <f>VLOOKUP($C1286,'WATER TANK'!$C$3:$M2469,11,0)</f>
        <v/>
      </c>
      <c r="F1286" s="320" t="str">
        <f>VLOOKUP($C1286,'WATER TANK'!$C$3:$K2469,7,0)</f>
        <v>NEW</v>
      </c>
      <c r="G1286" s="320">
        <f>VLOOKUP($C1286,'WATER TANK'!$C$3:$K2469,9,0)</f>
        <v>24000</v>
      </c>
      <c r="H1286" s="523"/>
      <c r="I1286" s="523"/>
      <c r="J1286" s="320"/>
      <c r="K1286" s="320"/>
      <c r="L1286" s="320"/>
      <c r="M1286" s="320"/>
      <c r="N1286" s="320"/>
      <c r="O1286" s="320"/>
    </row>
    <row r="1287">
      <c r="A1287" s="32">
        <f t="shared" si="1"/>
        <v>1286</v>
      </c>
      <c r="B1287" s="9" t="s">
        <v>3078</v>
      </c>
      <c r="C1287" s="500" t="s">
        <v>3243</v>
      </c>
      <c r="D1287" s="4" t="s">
        <v>3199</v>
      </c>
      <c r="E1287" s="320" t="str">
        <f>VLOOKUP($C1287,'WATER TANK'!$C$3:$M2469,11,0)</f>
        <v/>
      </c>
      <c r="F1287" s="320" t="str">
        <f>VLOOKUP($C1287,'WATER TANK'!$C$3:$K2469,7,0)</f>
        <v>NEW</v>
      </c>
      <c r="G1287" s="320">
        <f>VLOOKUP($C1287,'WATER TANK'!$C$3:$K2469,9,0)</f>
        <v>32000</v>
      </c>
      <c r="H1287" s="523"/>
      <c r="I1287" s="523"/>
      <c r="J1287" s="320"/>
      <c r="K1287" s="320"/>
      <c r="L1287" s="320"/>
      <c r="M1287" s="320"/>
      <c r="N1287" s="320"/>
      <c r="O1287" s="320"/>
    </row>
    <row r="1288">
      <c r="A1288" s="32">
        <f t="shared" si="1"/>
        <v>1287</v>
      </c>
      <c r="B1288" s="9" t="s">
        <v>3078</v>
      </c>
      <c r="C1288" s="500" t="s">
        <v>3249</v>
      </c>
      <c r="D1288" s="4" t="s">
        <v>3199</v>
      </c>
      <c r="E1288" s="320" t="str">
        <f>VLOOKUP($C1288,'WATER TANK'!$C$3:$M2469,11,0)</f>
        <v/>
      </c>
      <c r="F1288" s="320" t="str">
        <f>VLOOKUP($C1288,'WATER TANK'!$C$3:$K2469,7,0)</f>
        <v>NEW</v>
      </c>
      <c r="G1288" s="320">
        <f>VLOOKUP($C1288,'WATER TANK'!$C$3:$K2469,9,0)</f>
        <v>48000</v>
      </c>
      <c r="H1288" s="523"/>
      <c r="I1288" s="523"/>
      <c r="J1288" s="320"/>
      <c r="K1288" s="320"/>
      <c r="L1288" s="320"/>
      <c r="M1288" s="320"/>
      <c r="N1288" s="320"/>
      <c r="O1288" s="320"/>
    </row>
    <row r="1289">
      <c r="A1289" s="32">
        <f t="shared" si="1"/>
        <v>1288</v>
      </c>
      <c r="B1289" s="9" t="s">
        <v>3078</v>
      </c>
      <c r="C1289" s="500" t="s">
        <v>3252</v>
      </c>
      <c r="D1289" s="4" t="s">
        <v>3199</v>
      </c>
      <c r="E1289" s="320" t="str">
        <f>VLOOKUP($C1289,'WATER TANK'!$C$3:$M2469,11,0)</f>
        <v/>
      </c>
      <c r="F1289" s="320" t="str">
        <f>VLOOKUP($C1289,'WATER TANK'!$C$3:$K2469,7,0)</f>
        <v>NEW</v>
      </c>
      <c r="G1289" s="320">
        <f>VLOOKUP($C1289,'WATER TANK'!$C$3:$K2469,9,0)</f>
        <v>64000</v>
      </c>
      <c r="H1289" s="523"/>
      <c r="I1289" s="523"/>
      <c r="J1289" s="320"/>
      <c r="K1289" s="320"/>
      <c r="L1289" s="320"/>
      <c r="M1289" s="320"/>
      <c r="N1289" s="320"/>
      <c r="O1289" s="320"/>
    </row>
    <row r="1290">
      <c r="A1290" s="32">
        <f t="shared" si="1"/>
        <v>1289</v>
      </c>
      <c r="B1290" s="9" t="s">
        <v>3078</v>
      </c>
      <c r="C1290" s="500" t="s">
        <v>3257</v>
      </c>
      <c r="D1290" s="4" t="s">
        <v>3199</v>
      </c>
      <c r="E1290" s="320" t="str">
        <f>VLOOKUP($C1290,'WATER TANK'!$C$3:$M2469,11,0)</f>
        <v/>
      </c>
      <c r="F1290" s="320" t="str">
        <f>VLOOKUP($C1290,'WATER TANK'!$C$3:$K2469,7,0)</f>
        <v>NEW</v>
      </c>
      <c r="G1290" s="320">
        <f>VLOOKUP($C1290,'WATER TANK'!$C$3:$K2469,9,0)</f>
        <v>96000</v>
      </c>
      <c r="H1290" s="523"/>
      <c r="I1290" s="523"/>
      <c r="J1290" s="320"/>
      <c r="K1290" s="320"/>
      <c r="L1290" s="320"/>
      <c r="M1290" s="320"/>
      <c r="N1290" s="320"/>
      <c r="O1290" s="320"/>
    </row>
    <row r="1291">
      <c r="A1291" s="32">
        <f t="shared" si="1"/>
        <v>1290</v>
      </c>
      <c r="B1291" s="9" t="s">
        <v>3078</v>
      </c>
      <c r="C1291" s="500" t="s">
        <v>3262</v>
      </c>
      <c r="D1291" s="4" t="s">
        <v>3199</v>
      </c>
      <c r="E1291" s="320" t="str">
        <f>VLOOKUP($C1291,'WATER TANK'!$C$3:$M2469,11,0)</f>
        <v/>
      </c>
      <c r="F1291" s="320" t="str">
        <f>VLOOKUP($C1291,'WATER TANK'!$C$3:$K2469,7,0)</f>
        <v>NEW</v>
      </c>
      <c r="G1291" s="320">
        <f>VLOOKUP($C1291,'WATER TANK'!$C$3:$K2469,9,0)</f>
        <v>160000</v>
      </c>
      <c r="H1291" s="523"/>
      <c r="I1291" s="523"/>
      <c r="J1291" s="320"/>
      <c r="K1291" s="320"/>
      <c r="L1291" s="320"/>
      <c r="M1291" s="320"/>
      <c r="N1291" s="320"/>
      <c r="O1291" s="320"/>
    </row>
    <row r="1292">
      <c r="A1292" s="32">
        <f t="shared" si="1"/>
        <v>1291</v>
      </c>
      <c r="B1292" s="9" t="s">
        <v>3078</v>
      </c>
      <c r="C1292" s="500" t="s">
        <v>3265</v>
      </c>
      <c r="D1292" s="4" t="s">
        <v>3199</v>
      </c>
      <c r="E1292" s="320" t="str">
        <f>VLOOKUP($C1292,'WATER TANK'!$C$3:$M2469,11,0)</f>
        <v/>
      </c>
      <c r="F1292" s="320" t="str">
        <f>VLOOKUP($C1292,'WATER TANK'!$C$3:$K2469,7,0)</f>
        <v>NEW</v>
      </c>
      <c r="G1292" s="320">
        <f>VLOOKUP($C1292,'WATER TANK'!$C$3:$K2469,9,0)</f>
        <v>18000</v>
      </c>
      <c r="H1292" s="523"/>
      <c r="I1292" s="523"/>
      <c r="J1292" s="320"/>
      <c r="K1292" s="320"/>
      <c r="L1292" s="320"/>
      <c r="M1292" s="320"/>
      <c r="N1292" s="320"/>
      <c r="O1292" s="320"/>
    </row>
    <row r="1293">
      <c r="A1293" s="32">
        <f t="shared" si="1"/>
        <v>1292</v>
      </c>
      <c r="B1293" s="9" t="s">
        <v>3078</v>
      </c>
      <c r="C1293" s="500" t="s">
        <v>3270</v>
      </c>
      <c r="D1293" s="4" t="s">
        <v>3199</v>
      </c>
      <c r="E1293" s="320" t="str">
        <f>VLOOKUP($C1293,'WATER TANK'!$C$3:$M2469,11,0)</f>
        <v/>
      </c>
      <c r="F1293" s="320" t="str">
        <f>VLOOKUP($C1293,'WATER TANK'!$C$3:$K2469,7,0)</f>
        <v>NEW</v>
      </c>
      <c r="G1293" s="320">
        <f>VLOOKUP($C1293,'WATER TANK'!$C$3:$K2469,9,0)</f>
        <v>27000</v>
      </c>
      <c r="H1293" s="523"/>
      <c r="I1293" s="523"/>
      <c r="J1293" s="320"/>
      <c r="K1293" s="320"/>
      <c r="L1293" s="320"/>
      <c r="M1293" s="320"/>
      <c r="N1293" s="320"/>
      <c r="O1293" s="320"/>
    </row>
    <row r="1294">
      <c r="A1294" s="32">
        <f t="shared" si="1"/>
        <v>1293</v>
      </c>
      <c r="B1294" s="9" t="s">
        <v>3078</v>
      </c>
      <c r="C1294" s="500" t="s">
        <v>3273</v>
      </c>
      <c r="D1294" s="4" t="s">
        <v>3199</v>
      </c>
      <c r="E1294" s="320" t="str">
        <f>VLOOKUP($C1294,'WATER TANK'!$C$3:$M2469,11,0)</f>
        <v/>
      </c>
      <c r="F1294" s="320" t="str">
        <f>VLOOKUP($C1294,'WATER TANK'!$C$3:$K2469,7,0)</f>
        <v>NEW</v>
      </c>
      <c r="G1294" s="320">
        <f>VLOOKUP($C1294,'WATER TANK'!$C$3:$K2469,9,0)</f>
        <v>36000</v>
      </c>
      <c r="H1294" s="523"/>
      <c r="I1294" s="523"/>
      <c r="J1294" s="320"/>
      <c r="K1294" s="320"/>
      <c r="L1294" s="320"/>
      <c r="M1294" s="320"/>
      <c r="N1294" s="320"/>
      <c r="O1294" s="320"/>
    </row>
    <row r="1295">
      <c r="A1295" s="32">
        <f t="shared" si="1"/>
        <v>1294</v>
      </c>
      <c r="B1295" s="9" t="s">
        <v>3078</v>
      </c>
      <c r="C1295" s="500" t="s">
        <v>3278</v>
      </c>
      <c r="D1295" s="4" t="s">
        <v>3199</v>
      </c>
      <c r="E1295" s="320" t="str">
        <f>VLOOKUP($C1295,'WATER TANK'!$C$3:$M2469,11,0)</f>
        <v/>
      </c>
      <c r="F1295" s="320" t="str">
        <f>VLOOKUP($C1295,'WATER TANK'!$C$3:$K2469,7,0)</f>
        <v>NEW</v>
      </c>
      <c r="G1295" s="320">
        <f>VLOOKUP($C1295,'WATER TANK'!$C$3:$K2469,9,0)</f>
        <v>54000</v>
      </c>
      <c r="H1295" s="523"/>
      <c r="I1295" s="523"/>
      <c r="J1295" s="320"/>
      <c r="K1295" s="320"/>
      <c r="L1295" s="320"/>
      <c r="M1295" s="320"/>
      <c r="N1295" s="320"/>
      <c r="O1295" s="320"/>
    </row>
    <row r="1296">
      <c r="A1296" s="32">
        <f t="shared" si="1"/>
        <v>1295</v>
      </c>
      <c r="B1296" s="9" t="s">
        <v>3078</v>
      </c>
      <c r="C1296" s="500" t="s">
        <v>3281</v>
      </c>
      <c r="D1296" s="4" t="s">
        <v>3199</v>
      </c>
      <c r="E1296" s="320" t="str">
        <f>VLOOKUP($C1296,'WATER TANK'!$C$3:$M2469,11,0)</f>
        <v/>
      </c>
      <c r="F1296" s="320" t="str">
        <f>VLOOKUP($C1296,'WATER TANK'!$C$3:$K2469,7,0)</f>
        <v>NEW</v>
      </c>
      <c r="G1296" s="320">
        <f>VLOOKUP($C1296,'WATER TANK'!$C$3:$K2469,9,0)</f>
        <v>72000</v>
      </c>
      <c r="H1296" s="523"/>
      <c r="I1296" s="523"/>
      <c r="J1296" s="320"/>
      <c r="K1296" s="320"/>
      <c r="L1296" s="320"/>
      <c r="M1296" s="320"/>
      <c r="N1296" s="320"/>
      <c r="O1296" s="320"/>
    </row>
    <row r="1297">
      <c r="A1297" s="32">
        <f t="shared" si="1"/>
        <v>1296</v>
      </c>
      <c r="B1297" s="9" t="s">
        <v>3078</v>
      </c>
      <c r="C1297" s="500" t="s">
        <v>3282</v>
      </c>
      <c r="D1297" s="4" t="s">
        <v>3199</v>
      </c>
      <c r="E1297" s="320" t="str">
        <f>VLOOKUP($C1297,'WATER TANK'!$C$3:$M2469,11,0)</f>
        <v/>
      </c>
      <c r="F1297" s="320" t="str">
        <f>VLOOKUP($C1297,'WATER TANK'!$C$3:$K2469,7,0)</f>
        <v>NEW</v>
      </c>
      <c r="G1297" s="320">
        <f>VLOOKUP($C1297,'WATER TANK'!$C$3:$K2469,9,0)</f>
        <v>108000</v>
      </c>
      <c r="H1297" s="523"/>
      <c r="I1297" s="523"/>
      <c r="J1297" s="320"/>
      <c r="K1297" s="320"/>
      <c r="L1297" s="320"/>
      <c r="M1297" s="320"/>
      <c r="N1297" s="320"/>
      <c r="O1297" s="320"/>
    </row>
    <row r="1298">
      <c r="A1298" s="32">
        <f t="shared" si="1"/>
        <v>1297</v>
      </c>
      <c r="B1298" s="9" t="s">
        <v>3078</v>
      </c>
      <c r="C1298" s="500" t="s">
        <v>3283</v>
      </c>
      <c r="D1298" s="4" t="s">
        <v>3199</v>
      </c>
      <c r="E1298" s="320" t="str">
        <f>VLOOKUP($C1298,'WATER TANK'!$C$3:$M2469,11,0)</f>
        <v/>
      </c>
      <c r="F1298" s="320" t="str">
        <f>VLOOKUP($C1298,'WATER TANK'!$C$3:$K2469,7,0)</f>
        <v>NEW</v>
      </c>
      <c r="G1298" s="320">
        <f>VLOOKUP($C1298,'WATER TANK'!$C$3:$K2469,9,0)</f>
        <v>180000</v>
      </c>
      <c r="H1298" s="523"/>
      <c r="I1298" s="523"/>
      <c r="J1298" s="320"/>
      <c r="K1298" s="320"/>
      <c r="L1298" s="320"/>
      <c r="M1298" s="320"/>
      <c r="N1298" s="320"/>
      <c r="O1298" s="320"/>
    </row>
    <row r="1299">
      <c r="A1299" s="32">
        <f t="shared" si="1"/>
        <v>1298</v>
      </c>
      <c r="B1299" s="9" t="s">
        <v>3078</v>
      </c>
      <c r="C1299" s="500" t="s">
        <v>3284</v>
      </c>
      <c r="D1299" s="4" t="s">
        <v>3199</v>
      </c>
      <c r="E1299" s="320" t="str">
        <f>VLOOKUP($C1299,'WATER TANK'!$C$3:$M2469,11,0)</f>
        <v/>
      </c>
      <c r="F1299" s="320" t="str">
        <f>VLOOKUP($C1299,'WATER TANK'!$C$3:$K2469,7,0)</f>
        <v>NEW</v>
      </c>
      <c r="G1299" s="320">
        <f>VLOOKUP($C1299,'WATER TANK'!$C$3:$K2469,9,0)</f>
        <v>18000</v>
      </c>
      <c r="H1299" s="523"/>
      <c r="I1299" s="523"/>
      <c r="J1299" s="320"/>
      <c r="K1299" s="320"/>
      <c r="L1299" s="320"/>
      <c r="M1299" s="320"/>
      <c r="N1299" s="320"/>
      <c r="O1299" s="320"/>
    </row>
    <row r="1300">
      <c r="A1300" s="32">
        <f t="shared" si="1"/>
        <v>1299</v>
      </c>
      <c r="B1300" s="9" t="s">
        <v>3078</v>
      </c>
      <c r="C1300" s="500" t="s">
        <v>3285</v>
      </c>
      <c r="D1300" s="4" t="s">
        <v>3199</v>
      </c>
      <c r="E1300" s="320" t="str">
        <f>VLOOKUP($C1300,'WATER TANK'!$C$3:$M2469,11,0)</f>
        <v/>
      </c>
      <c r="F1300" s="320" t="str">
        <f>VLOOKUP($C1300,'WATER TANK'!$C$3:$K2469,7,0)</f>
        <v>NEW</v>
      </c>
      <c r="G1300" s="320">
        <f>VLOOKUP($C1300,'WATER TANK'!$C$3:$K2469,9,0)</f>
        <v>27000</v>
      </c>
      <c r="H1300" s="523"/>
      <c r="I1300" s="523"/>
      <c r="J1300" s="320"/>
      <c r="K1300" s="320"/>
      <c r="L1300" s="320"/>
      <c r="M1300" s="320"/>
      <c r="N1300" s="320"/>
      <c r="O1300" s="320"/>
    </row>
    <row r="1301">
      <c r="A1301" s="32">
        <f t="shared" si="1"/>
        <v>1300</v>
      </c>
      <c r="B1301" s="9" t="s">
        <v>3078</v>
      </c>
      <c r="C1301" s="500" t="s">
        <v>3286</v>
      </c>
      <c r="D1301" s="4" t="s">
        <v>3199</v>
      </c>
      <c r="E1301" s="320" t="str">
        <f>VLOOKUP($C1301,'WATER TANK'!$C$3:$M2469,11,0)</f>
        <v/>
      </c>
      <c r="F1301" s="320" t="str">
        <f>VLOOKUP($C1301,'WATER TANK'!$C$3:$K2469,7,0)</f>
        <v>NEW</v>
      </c>
      <c r="G1301" s="320">
        <f>VLOOKUP($C1301,'WATER TANK'!$C$3:$K2469,9,0)</f>
        <v>36000</v>
      </c>
      <c r="H1301" s="523"/>
      <c r="I1301" s="523"/>
      <c r="J1301" s="320"/>
      <c r="K1301" s="320"/>
      <c r="L1301" s="320"/>
      <c r="M1301" s="320"/>
      <c r="N1301" s="320"/>
      <c r="O1301" s="320"/>
    </row>
    <row r="1302">
      <c r="A1302" s="32">
        <f t="shared" si="1"/>
        <v>1301</v>
      </c>
      <c r="B1302" s="9" t="s">
        <v>3078</v>
      </c>
      <c r="C1302" s="500" t="s">
        <v>3293</v>
      </c>
      <c r="D1302" s="4" t="s">
        <v>3199</v>
      </c>
      <c r="E1302" s="320" t="str">
        <f>VLOOKUP($C1302,'WATER TANK'!$C$3:$M2469,11,0)</f>
        <v/>
      </c>
      <c r="F1302" s="320" t="str">
        <f>VLOOKUP($C1302,'WATER TANK'!$C$3:$K2469,7,0)</f>
        <v>NEW</v>
      </c>
      <c r="G1302" s="320">
        <f>VLOOKUP($C1302,'WATER TANK'!$C$3:$K2469,9,0)</f>
        <v>54000</v>
      </c>
      <c r="H1302" s="523"/>
      <c r="I1302" s="523"/>
      <c r="J1302" s="320"/>
      <c r="K1302" s="320"/>
      <c r="L1302" s="320"/>
      <c r="M1302" s="320"/>
      <c r="N1302" s="320"/>
      <c r="O1302" s="320"/>
    </row>
    <row r="1303">
      <c r="A1303" s="32">
        <f t="shared" si="1"/>
        <v>1302</v>
      </c>
      <c r="B1303" s="9" t="s">
        <v>3078</v>
      </c>
      <c r="C1303" s="500" t="s">
        <v>3297</v>
      </c>
      <c r="D1303" s="4" t="s">
        <v>3199</v>
      </c>
      <c r="E1303" s="320" t="str">
        <f>VLOOKUP($C1303,'WATER TANK'!$C$3:$M2469,11,0)</f>
        <v/>
      </c>
      <c r="F1303" s="320" t="str">
        <f>VLOOKUP($C1303,'WATER TANK'!$C$3:$K2469,7,0)</f>
        <v>NEW</v>
      </c>
      <c r="G1303" s="320">
        <f>VLOOKUP($C1303,'WATER TANK'!$C$3:$K2469,9,0)</f>
        <v>72000</v>
      </c>
      <c r="H1303" s="523"/>
      <c r="I1303" s="523"/>
      <c r="J1303" s="320"/>
      <c r="K1303" s="320"/>
      <c r="L1303" s="320"/>
      <c r="M1303" s="320"/>
      <c r="N1303" s="320"/>
      <c r="O1303" s="320"/>
    </row>
    <row r="1304">
      <c r="A1304" s="32">
        <f t="shared" si="1"/>
        <v>1303</v>
      </c>
      <c r="B1304" s="9" t="s">
        <v>3078</v>
      </c>
      <c r="C1304" s="500" t="s">
        <v>3298</v>
      </c>
      <c r="D1304" s="4" t="s">
        <v>3199</v>
      </c>
      <c r="E1304" s="320" t="str">
        <f>VLOOKUP($C1304,'WATER TANK'!$C$3:$M2469,11,0)</f>
        <v/>
      </c>
      <c r="F1304" s="320" t="str">
        <f>VLOOKUP($C1304,'WATER TANK'!$C$3:$K2469,7,0)</f>
        <v>NEW</v>
      </c>
      <c r="G1304" s="320">
        <f>VLOOKUP($C1304,'WATER TANK'!$C$3:$K2469,9,0)</f>
        <v>108000</v>
      </c>
      <c r="H1304" s="523"/>
      <c r="I1304" s="523"/>
      <c r="J1304" s="320"/>
      <c r="K1304" s="320"/>
      <c r="L1304" s="320"/>
      <c r="M1304" s="320"/>
      <c r="N1304" s="320"/>
      <c r="O1304" s="320"/>
    </row>
    <row r="1305">
      <c r="A1305" s="32">
        <f t="shared" si="1"/>
        <v>1304</v>
      </c>
      <c r="B1305" s="9" t="s">
        <v>3078</v>
      </c>
      <c r="C1305" s="500" t="s">
        <v>3299</v>
      </c>
      <c r="D1305" s="4" t="s">
        <v>3199</v>
      </c>
      <c r="E1305" s="320" t="str">
        <f>VLOOKUP($C1305,'WATER TANK'!$C$3:$M2469,11,0)</f>
        <v/>
      </c>
      <c r="F1305" s="320" t="str">
        <f>VLOOKUP($C1305,'WATER TANK'!$C$3:$K2469,7,0)</f>
        <v>NEW</v>
      </c>
      <c r="G1305" s="320">
        <f>VLOOKUP($C1305,'WATER TANK'!$C$3:$K2469,9,0)</f>
        <v>180000</v>
      </c>
      <c r="H1305" s="523"/>
      <c r="I1305" s="523"/>
      <c r="J1305" s="320"/>
      <c r="K1305" s="320"/>
      <c r="L1305" s="320"/>
      <c r="M1305" s="320"/>
      <c r="N1305" s="320"/>
      <c r="O1305" s="320"/>
    </row>
    <row r="1306">
      <c r="A1306" s="32">
        <f t="shared" si="1"/>
        <v>1305</v>
      </c>
      <c r="B1306" s="9" t="s">
        <v>3300</v>
      </c>
      <c r="C1306" s="78" t="s">
        <v>2661</v>
      </c>
      <c r="D1306" s="215" t="s">
        <v>3301</v>
      </c>
      <c r="E1306" s="18">
        <f>VLOOKUP($C1306,'COLUMN PIPE'!$E$4:$O2469,9,0)</f>
        <v>1.02</v>
      </c>
      <c r="F1306" s="523" t="s">
        <v>722</v>
      </c>
      <c r="G1306" s="18">
        <f>VLOOKUP($C1306,'COLUMN PIPE'!$E$4:$O2469,11,0)</f>
        <v>320</v>
      </c>
      <c r="H1306" s="523"/>
      <c r="I1306" s="523"/>
      <c r="J1306" s="320"/>
      <c r="K1306" s="320"/>
      <c r="L1306" s="320"/>
      <c r="M1306" s="320"/>
      <c r="N1306" s="320"/>
      <c r="O1306" s="320"/>
    </row>
    <row r="1307">
      <c r="A1307" s="32">
        <f t="shared" si="1"/>
        <v>1306</v>
      </c>
      <c r="B1307" s="9" t="s">
        <v>3300</v>
      </c>
      <c r="C1307" s="78" t="s">
        <v>2667</v>
      </c>
      <c r="D1307" s="215" t="s">
        <v>3301</v>
      </c>
      <c r="E1307" s="18">
        <f>VLOOKUP($C1307,'COLUMN PIPE'!$E$4:$O2469,9,0)</f>
        <v>1.13</v>
      </c>
      <c r="F1307" s="523" t="s">
        <v>722</v>
      </c>
      <c r="G1307" s="18">
        <f>VLOOKUP($C1307,'COLUMN PIPE'!$E$4:$O2469,11,0)</f>
        <v>361.6</v>
      </c>
      <c r="H1307" s="523"/>
      <c r="I1307" s="523"/>
      <c r="J1307" s="320"/>
      <c r="K1307" s="320"/>
      <c r="L1307" s="320"/>
      <c r="M1307" s="320"/>
      <c r="N1307" s="320"/>
      <c r="O1307" s="320"/>
    </row>
    <row r="1308">
      <c r="A1308" s="32">
        <f t="shared" si="1"/>
        <v>1307</v>
      </c>
      <c r="B1308" s="9" t="s">
        <v>3300</v>
      </c>
      <c r="C1308" s="78" t="s">
        <v>2672</v>
      </c>
      <c r="D1308" s="215" t="s">
        <v>3301</v>
      </c>
      <c r="E1308" s="18">
        <f>VLOOKUP($C1308,'COLUMN PIPE'!$E$4:$O2469,9,0)</f>
        <v>1.17</v>
      </c>
      <c r="F1308" s="523" t="s">
        <v>722</v>
      </c>
      <c r="G1308" s="18">
        <f>VLOOKUP($C1308,'COLUMN PIPE'!$E$4:$O2469,11,0)</f>
        <v>374.4</v>
      </c>
      <c r="H1308" s="523"/>
      <c r="I1308" s="523"/>
      <c r="J1308" s="320"/>
      <c r="K1308" s="320"/>
      <c r="L1308" s="320"/>
      <c r="M1308" s="320"/>
      <c r="N1308" s="320"/>
      <c r="O1308" s="320"/>
    </row>
    <row r="1309">
      <c r="A1309" s="32">
        <f t="shared" si="1"/>
        <v>1308</v>
      </c>
      <c r="B1309" s="9" t="s">
        <v>3300</v>
      </c>
      <c r="C1309" s="78" t="s">
        <v>2676</v>
      </c>
      <c r="D1309" s="215" t="s">
        <v>3301</v>
      </c>
      <c r="E1309" s="18">
        <f>VLOOKUP($C1309,'COLUMN PIPE'!$E$4:$O2469,9,0)</f>
        <v>1.44</v>
      </c>
      <c r="F1309" s="523" t="s">
        <v>722</v>
      </c>
      <c r="G1309" s="18">
        <f>VLOOKUP($C1309,'COLUMN PIPE'!$E$4:$O2469,11,0)</f>
        <v>460.8</v>
      </c>
      <c r="H1309" s="523"/>
      <c r="I1309" s="523"/>
      <c r="J1309" s="320"/>
      <c r="K1309" s="320"/>
      <c r="L1309" s="320"/>
      <c r="M1309" s="320"/>
      <c r="N1309" s="320"/>
      <c r="O1309" s="320"/>
    </row>
    <row r="1310">
      <c r="A1310" s="32">
        <f t="shared" si="1"/>
        <v>1309</v>
      </c>
      <c r="B1310" s="9" t="s">
        <v>3300</v>
      </c>
      <c r="C1310" s="78" t="s">
        <v>2679</v>
      </c>
      <c r="D1310" s="215" t="s">
        <v>3301</v>
      </c>
      <c r="E1310" s="18">
        <f>VLOOKUP($C1310,'COLUMN PIPE'!$E$4:$O2469,9,0)</f>
        <v>1.47</v>
      </c>
      <c r="F1310" s="523" t="s">
        <v>722</v>
      </c>
      <c r="G1310" s="18">
        <f>VLOOKUP($C1310,'COLUMN PIPE'!$E$4:$O2469,11,0)</f>
        <v>470.4</v>
      </c>
      <c r="H1310" s="523"/>
      <c r="I1310" s="523"/>
      <c r="J1310" s="320"/>
      <c r="K1310" s="320"/>
      <c r="L1310" s="320"/>
      <c r="M1310" s="320"/>
      <c r="N1310" s="320"/>
      <c r="O1310" s="320"/>
    </row>
    <row r="1311">
      <c r="A1311" s="32">
        <f t="shared" si="1"/>
        <v>1310</v>
      </c>
      <c r="B1311" s="9" t="s">
        <v>3300</v>
      </c>
      <c r="C1311" s="78" t="s">
        <v>2682</v>
      </c>
      <c r="D1311" s="215" t="s">
        <v>3301</v>
      </c>
      <c r="E1311" s="18">
        <f>VLOOKUP($C1311,'COLUMN PIPE'!$E$4:$O2469,9,0)</f>
        <v>1.78</v>
      </c>
      <c r="F1311" s="523" t="s">
        <v>722</v>
      </c>
      <c r="G1311" s="18">
        <f>VLOOKUP($C1311,'COLUMN PIPE'!$E$4:$O2469,11,0)</f>
        <v>569.6</v>
      </c>
      <c r="H1311" s="523"/>
      <c r="I1311" s="523"/>
      <c r="J1311" s="320"/>
      <c r="K1311" s="320"/>
      <c r="L1311" s="320"/>
      <c r="M1311" s="320"/>
      <c r="N1311" s="320"/>
      <c r="O1311" s="320"/>
    </row>
    <row r="1312">
      <c r="A1312" s="32">
        <f t="shared" si="1"/>
        <v>1311</v>
      </c>
      <c r="B1312" s="9" t="s">
        <v>3300</v>
      </c>
      <c r="C1312" s="78" t="s">
        <v>2686</v>
      </c>
      <c r="D1312" s="215" t="s">
        <v>3301</v>
      </c>
      <c r="E1312" s="18">
        <f>VLOOKUP($C1312,'COLUMN PIPE'!$E$4:$O2469,9,0)</f>
        <v>2.06</v>
      </c>
      <c r="F1312" s="523" t="s">
        <v>722</v>
      </c>
      <c r="G1312" s="18">
        <f>VLOOKUP($C1312,'COLUMN PIPE'!$E$4:$O2469,11,0)</f>
        <v>659.2</v>
      </c>
      <c r="H1312" s="523"/>
      <c r="I1312" s="523"/>
      <c r="J1312" s="320"/>
      <c r="K1312" s="320"/>
      <c r="L1312" s="320"/>
      <c r="M1312" s="320"/>
      <c r="N1312" s="320"/>
      <c r="O1312" s="320"/>
    </row>
    <row r="1313">
      <c r="A1313" s="32">
        <f t="shared" si="1"/>
        <v>1312</v>
      </c>
      <c r="B1313" s="9" t="s">
        <v>3300</v>
      </c>
      <c r="C1313" s="78" t="s">
        <v>2691</v>
      </c>
      <c r="D1313" s="215" t="s">
        <v>3301</v>
      </c>
      <c r="E1313" s="18">
        <f>VLOOKUP($C1313,'COLUMN PIPE'!$E$4:$O2469,9,0)</f>
        <v>1.894</v>
      </c>
      <c r="F1313" s="523" t="s">
        <v>722</v>
      </c>
      <c r="G1313" s="18">
        <f>VLOOKUP($C1313,'COLUMN PIPE'!$E$4:$O2469,11,0)</f>
        <v>606.1</v>
      </c>
      <c r="H1313" s="523"/>
      <c r="I1313" s="523"/>
      <c r="J1313" s="320"/>
      <c r="K1313" s="320"/>
      <c r="L1313" s="320"/>
      <c r="M1313" s="320"/>
      <c r="N1313" s="320"/>
      <c r="O1313" s="320"/>
    </row>
    <row r="1314">
      <c r="A1314" s="32">
        <f t="shared" si="1"/>
        <v>1313</v>
      </c>
      <c r="B1314" s="9" t="s">
        <v>3300</v>
      </c>
      <c r="C1314" s="78" t="s">
        <v>2695</v>
      </c>
      <c r="D1314" s="215" t="s">
        <v>3301</v>
      </c>
      <c r="E1314" s="18">
        <f>VLOOKUP($C1314,'COLUMN PIPE'!$E$4:$O2469,9,0)</f>
        <v>2.214</v>
      </c>
      <c r="F1314" s="523" t="s">
        <v>722</v>
      </c>
      <c r="G1314" s="18">
        <f>VLOOKUP($C1314,'COLUMN PIPE'!$E$4:$O2469,11,0)</f>
        <v>708.5</v>
      </c>
      <c r="H1314" s="523"/>
      <c r="I1314" s="523"/>
      <c r="J1314" s="320"/>
      <c r="K1314" s="320"/>
      <c r="L1314" s="320"/>
      <c r="M1314" s="320"/>
      <c r="N1314" s="320"/>
      <c r="O1314" s="320"/>
    </row>
    <row r="1315">
      <c r="A1315" s="32">
        <f t="shared" si="1"/>
        <v>1314</v>
      </c>
      <c r="B1315" s="9" t="s">
        <v>3300</v>
      </c>
      <c r="C1315" s="78" t="s">
        <v>2698</v>
      </c>
      <c r="D1315" s="215" t="s">
        <v>3301</v>
      </c>
      <c r="E1315" s="18">
        <f>VLOOKUP($C1315,'COLUMN PIPE'!$E$4:$O2469,9,0)</f>
        <v>2.664</v>
      </c>
      <c r="F1315" s="523" t="s">
        <v>722</v>
      </c>
      <c r="G1315" s="18">
        <f>VLOOKUP($C1315,'COLUMN PIPE'!$E$4:$O2469,11,0)</f>
        <v>852.5</v>
      </c>
      <c r="H1315" s="523"/>
      <c r="I1315" s="523"/>
      <c r="J1315" s="320"/>
      <c r="K1315" s="320"/>
      <c r="L1315" s="320"/>
      <c r="M1315" s="320"/>
      <c r="N1315" s="320"/>
      <c r="O1315" s="320"/>
    </row>
    <row r="1316">
      <c r="A1316" s="32">
        <f t="shared" si="1"/>
        <v>1315</v>
      </c>
      <c r="B1316" s="9" t="s">
        <v>3300</v>
      </c>
      <c r="C1316" s="78" t="s">
        <v>2703</v>
      </c>
      <c r="D1316" s="215" t="s">
        <v>3301</v>
      </c>
      <c r="E1316" s="18">
        <f>VLOOKUP($C1316,'COLUMN PIPE'!$E$4:$O2469,9,0)</f>
        <v>3.793</v>
      </c>
      <c r="F1316" s="523" t="s">
        <v>722</v>
      </c>
      <c r="G1316" s="18">
        <f>VLOOKUP($C1316,'COLUMN PIPE'!$E$4:$O2469,11,0)</f>
        <v>1213.8</v>
      </c>
      <c r="H1316" s="523"/>
      <c r="I1316" s="523"/>
      <c r="J1316" s="320"/>
      <c r="K1316" s="320"/>
      <c r="L1316" s="320"/>
      <c r="M1316" s="320"/>
      <c r="N1316" s="320"/>
      <c r="O1316" s="320"/>
    </row>
    <row r="1317">
      <c r="A1317" s="32">
        <f t="shared" si="1"/>
        <v>1316</v>
      </c>
      <c r="B1317" s="9" t="s">
        <v>3300</v>
      </c>
      <c r="C1317" s="78" t="s">
        <v>2706</v>
      </c>
      <c r="D1317" s="215" t="s">
        <v>3301</v>
      </c>
      <c r="E1317" s="18">
        <f>VLOOKUP($C1317,'COLUMN PIPE'!$E$4:$O2469,9,0)</f>
        <v>4.303</v>
      </c>
      <c r="F1317" s="523" t="s">
        <v>722</v>
      </c>
      <c r="G1317" s="18">
        <f>VLOOKUP($C1317,'COLUMN PIPE'!$E$4:$O2469,11,0)</f>
        <v>1376.9</v>
      </c>
      <c r="H1317" s="523"/>
      <c r="I1317" s="523"/>
      <c r="J1317" s="320"/>
      <c r="K1317" s="320"/>
      <c r="L1317" s="320"/>
      <c r="M1317" s="320"/>
      <c r="N1317" s="320"/>
      <c r="O1317" s="320"/>
    </row>
    <row r="1318">
      <c r="A1318" s="32">
        <f t="shared" si="1"/>
        <v>1317</v>
      </c>
      <c r="B1318" s="9" t="s">
        <v>3300</v>
      </c>
      <c r="C1318" s="78" t="s">
        <v>2709</v>
      </c>
      <c r="D1318" s="215" t="s">
        <v>3301</v>
      </c>
      <c r="E1318" s="18">
        <f>VLOOKUP($C1318,'COLUMN PIPE'!$E$4:$O2469,9,0)</f>
        <v>5.133</v>
      </c>
      <c r="F1318" s="523" t="s">
        <v>722</v>
      </c>
      <c r="G1318" s="18">
        <f>VLOOKUP($C1318,'COLUMN PIPE'!$E$4:$O2469,11,0)</f>
        <v>1642.6</v>
      </c>
      <c r="H1318" s="523"/>
      <c r="I1318" s="523"/>
      <c r="J1318" s="320"/>
      <c r="K1318" s="320"/>
      <c r="L1318" s="320"/>
      <c r="M1318" s="320"/>
      <c r="N1318" s="320"/>
      <c r="O1318" s="320"/>
    </row>
    <row r="1319">
      <c r="A1319" s="32">
        <f t="shared" si="1"/>
        <v>1318</v>
      </c>
      <c r="B1319" s="9" t="s">
        <v>3300</v>
      </c>
      <c r="C1319" s="78" t="s">
        <v>2714</v>
      </c>
      <c r="D1319" s="215" t="s">
        <v>3301</v>
      </c>
      <c r="E1319" s="18">
        <f>VLOOKUP($C1319,'COLUMN PIPE'!$E$4:$O2469,9,0)</f>
        <v>5.233</v>
      </c>
      <c r="F1319" s="523" t="s">
        <v>722</v>
      </c>
      <c r="G1319" s="18">
        <f>VLOOKUP($C1319,'COLUMN PIPE'!$E$4:$O2469,11,0)</f>
        <v>1674.6</v>
      </c>
      <c r="H1319" s="523"/>
      <c r="I1319" s="523"/>
      <c r="J1319" s="320"/>
      <c r="K1319" s="320"/>
      <c r="L1319" s="320"/>
      <c r="M1319" s="320"/>
      <c r="N1319" s="320"/>
      <c r="O1319" s="320"/>
    </row>
    <row r="1320">
      <c r="A1320" s="32">
        <f t="shared" si="1"/>
        <v>1319</v>
      </c>
      <c r="B1320" s="9" t="s">
        <v>3300</v>
      </c>
      <c r="C1320" s="78" t="s">
        <v>2718</v>
      </c>
      <c r="D1320" s="215" t="s">
        <v>3301</v>
      </c>
      <c r="E1320" s="18">
        <f>VLOOKUP($C1320,'COLUMN PIPE'!$E$4:$O2469,9,0)</f>
        <v>6.423</v>
      </c>
      <c r="F1320" s="523" t="s">
        <v>722</v>
      </c>
      <c r="G1320" s="18">
        <f>VLOOKUP($C1320,'COLUMN PIPE'!$E$4:$O2469,11,0)</f>
        <v>2055.5</v>
      </c>
      <c r="H1320" s="523"/>
      <c r="I1320" s="523"/>
      <c r="J1320" s="320"/>
      <c r="K1320" s="320"/>
      <c r="L1320" s="320"/>
      <c r="M1320" s="320"/>
      <c r="N1320" s="320"/>
      <c r="O1320" s="320"/>
    </row>
    <row r="1321">
      <c r="A1321" s="32">
        <f t="shared" si="1"/>
        <v>1320</v>
      </c>
      <c r="B1321" s="9" t="s">
        <v>3300</v>
      </c>
      <c r="C1321" s="78" t="s">
        <v>2720</v>
      </c>
      <c r="D1321" s="215" t="s">
        <v>3301</v>
      </c>
      <c r="E1321" s="18">
        <f>VLOOKUP($C1321,'COLUMN PIPE'!$E$4:$O2469,9,0)</f>
        <v>7.563</v>
      </c>
      <c r="F1321" s="523" t="s">
        <v>722</v>
      </c>
      <c r="G1321" s="18">
        <f>VLOOKUP($C1321,'COLUMN PIPE'!$E$4:$O2469,11,0)</f>
        <v>2420.2</v>
      </c>
      <c r="H1321" s="523"/>
      <c r="I1321" s="523"/>
      <c r="J1321" s="320"/>
      <c r="K1321" s="320"/>
      <c r="L1321" s="320"/>
      <c r="M1321" s="320"/>
      <c r="N1321" s="320"/>
      <c r="O1321" s="320"/>
    </row>
    <row r="1322">
      <c r="A1322" s="32">
        <f t="shared" si="1"/>
        <v>1321</v>
      </c>
      <c r="B1322" s="9" t="s">
        <v>3300</v>
      </c>
      <c r="C1322" s="78" t="s">
        <v>2724</v>
      </c>
      <c r="D1322" s="215" t="s">
        <v>3301</v>
      </c>
      <c r="E1322" s="18">
        <f>VLOOKUP($C1322,'COLUMN PIPE'!$E$4:$O2469,9,0)</f>
        <v>7.043</v>
      </c>
      <c r="F1322" s="523" t="s">
        <v>722</v>
      </c>
      <c r="G1322" s="18">
        <f>VLOOKUP($C1322,'COLUMN PIPE'!$E$4:$O2469,11,0)</f>
        <v>2253.8</v>
      </c>
      <c r="H1322" s="523"/>
      <c r="I1322" s="523"/>
      <c r="J1322" s="320"/>
      <c r="K1322" s="320"/>
      <c r="L1322" s="320"/>
      <c r="M1322" s="320"/>
      <c r="N1322" s="320"/>
      <c r="O1322" s="320"/>
    </row>
    <row r="1323">
      <c r="A1323" s="32">
        <f t="shared" si="1"/>
        <v>1322</v>
      </c>
      <c r="B1323" s="9" t="s">
        <v>3300</v>
      </c>
      <c r="C1323" s="78" t="s">
        <v>2729</v>
      </c>
      <c r="D1323" s="215" t="s">
        <v>3301</v>
      </c>
      <c r="E1323" s="18">
        <f>VLOOKUP($C1323,'COLUMN PIPE'!$E$4:$O2469,9,0)</f>
        <v>8.753</v>
      </c>
      <c r="F1323" s="523" t="s">
        <v>722</v>
      </c>
      <c r="G1323" s="18">
        <f>VLOOKUP($C1323,'COLUMN PIPE'!$E$4:$O2469,11,0)</f>
        <v>2800.9</v>
      </c>
      <c r="H1323" s="523"/>
      <c r="I1323" s="523"/>
      <c r="J1323" s="320"/>
      <c r="K1323" s="320"/>
      <c r="L1323" s="320"/>
      <c r="M1323" s="320"/>
      <c r="N1323" s="320"/>
      <c r="O1323" s="320"/>
    </row>
    <row r="1324">
      <c r="A1324" s="32">
        <f t="shared" si="1"/>
        <v>1323</v>
      </c>
      <c r="B1324" s="9" t="s">
        <v>3300</v>
      </c>
      <c r="C1324" s="78" t="s">
        <v>2731</v>
      </c>
      <c r="D1324" s="215" t="s">
        <v>3301</v>
      </c>
      <c r="E1324" s="18">
        <f>VLOOKUP($C1324,'COLUMN PIPE'!$E$4:$O2469,9,0)</f>
        <v>10.343</v>
      </c>
      <c r="F1324" s="523" t="s">
        <v>722</v>
      </c>
      <c r="G1324" s="18">
        <f>VLOOKUP($C1324,'COLUMN PIPE'!$E$4:$O2469,11,0)</f>
        <v>3309.8</v>
      </c>
      <c r="H1324" s="523"/>
      <c r="I1324" s="523"/>
      <c r="J1324" s="320"/>
      <c r="K1324" s="320"/>
      <c r="L1324" s="320"/>
      <c r="M1324" s="320"/>
      <c r="N1324" s="320"/>
      <c r="O1324" s="320"/>
    </row>
    <row r="1325">
      <c r="A1325" s="32">
        <f t="shared" si="1"/>
        <v>1324</v>
      </c>
      <c r="B1325" s="9" t="s">
        <v>3300</v>
      </c>
      <c r="C1325" s="78" t="s">
        <v>2735</v>
      </c>
      <c r="D1325" s="215" t="s">
        <v>3301</v>
      </c>
      <c r="E1325" s="18">
        <f>VLOOKUP($C1325,'COLUMN PIPE'!$E$4:$O2469,9,0)</f>
        <v>11.47</v>
      </c>
      <c r="F1325" s="523" t="s">
        <v>722</v>
      </c>
      <c r="G1325" s="18">
        <f>VLOOKUP($C1325,'COLUMN PIPE'!$E$4:$O2469,11,0)</f>
        <v>3670.4</v>
      </c>
      <c r="H1325" s="523"/>
      <c r="I1325" s="523"/>
      <c r="J1325" s="320"/>
      <c r="K1325" s="320"/>
      <c r="L1325" s="320"/>
      <c r="M1325" s="320"/>
      <c r="N1325" s="320"/>
      <c r="O1325" s="320"/>
    </row>
    <row r="1326">
      <c r="A1326" s="32">
        <f t="shared" si="1"/>
        <v>1325</v>
      </c>
      <c r="B1326" s="9" t="s">
        <v>3300</v>
      </c>
      <c r="C1326" s="78" t="s">
        <v>2740</v>
      </c>
      <c r="D1326" s="215" t="s">
        <v>3301</v>
      </c>
      <c r="E1326" s="18">
        <f>VLOOKUP($C1326,'COLUMN PIPE'!$E$4:$O2469,9,0)</f>
        <v>14.12</v>
      </c>
      <c r="F1326" s="523" t="s">
        <v>722</v>
      </c>
      <c r="G1326" s="18">
        <f>VLOOKUP($C1326,'COLUMN PIPE'!$E$4:$O2469,11,0)</f>
        <v>4518.4</v>
      </c>
      <c r="H1326" s="523"/>
      <c r="I1326" s="523"/>
      <c r="J1326" s="320"/>
      <c r="K1326" s="320"/>
      <c r="L1326" s="320"/>
      <c r="M1326" s="320"/>
      <c r="N1326" s="320"/>
      <c r="O1326" s="320"/>
    </row>
    <row r="1327">
      <c r="A1327" s="32">
        <f t="shared" si="1"/>
        <v>1326</v>
      </c>
      <c r="B1327" s="9" t="s">
        <v>3300</v>
      </c>
      <c r="C1327" s="78" t="s">
        <v>2743</v>
      </c>
      <c r="D1327" s="215" t="s">
        <v>3301</v>
      </c>
      <c r="E1327" s="18">
        <f>VLOOKUP($C1327,'COLUMN PIPE'!$E$4:$O2469,9,0)</f>
        <v>16.81</v>
      </c>
      <c r="F1327" s="523" t="s">
        <v>722</v>
      </c>
      <c r="G1327" s="18">
        <f>VLOOKUP($C1327,'COLUMN PIPE'!$E$4:$O2469,11,0)</f>
        <v>5379.2</v>
      </c>
      <c r="H1327" s="523"/>
      <c r="I1327" s="523"/>
      <c r="J1327" s="320"/>
      <c r="K1327" s="320"/>
      <c r="L1327" s="320"/>
      <c r="M1327" s="320"/>
      <c r="N1327" s="320"/>
      <c r="O1327" s="320"/>
    </row>
    <row r="1328">
      <c r="A1328" s="32">
        <f t="shared" si="1"/>
        <v>1327</v>
      </c>
      <c r="B1328" s="9" t="s">
        <v>3300</v>
      </c>
      <c r="C1328" s="78" t="s">
        <v>2749</v>
      </c>
      <c r="D1328" s="215" t="s">
        <v>2748</v>
      </c>
      <c r="E1328" s="18">
        <f>VLOOKUP($C1328,'COLUMN PIPE'!$E$4:$O2469,9,0)</f>
        <v>1.05</v>
      </c>
      <c r="F1328" s="523" t="s">
        <v>722</v>
      </c>
      <c r="G1328" s="18">
        <f>VLOOKUP($C1328,'COLUMN PIPE'!$E$4:$O2469,11,0)</f>
        <v>290</v>
      </c>
      <c r="H1328" s="320"/>
      <c r="I1328" s="320"/>
      <c r="J1328" s="320"/>
      <c r="K1328" s="320"/>
      <c r="L1328" s="320"/>
      <c r="M1328" s="320"/>
      <c r="N1328" s="320"/>
      <c r="O1328" s="320"/>
    </row>
    <row r="1329">
      <c r="A1329" s="32">
        <f t="shared" si="1"/>
        <v>1328</v>
      </c>
      <c r="B1329" s="9" t="s">
        <v>3300</v>
      </c>
      <c r="C1329" s="78" t="s">
        <v>2752</v>
      </c>
      <c r="D1329" s="215" t="s">
        <v>2748</v>
      </c>
      <c r="E1329" s="18">
        <f>VLOOKUP($C1329,'COLUMN PIPE'!$E$4:$O2469,9,0)</f>
        <v>1.1</v>
      </c>
      <c r="F1329" s="523" t="s">
        <v>722</v>
      </c>
      <c r="G1329" s="18">
        <f>VLOOKUP($C1329,'COLUMN PIPE'!$E$4:$O2469,11,0)</f>
        <v>326</v>
      </c>
      <c r="H1329" s="320"/>
      <c r="I1329" s="320"/>
      <c r="J1329" s="320"/>
      <c r="K1329" s="320"/>
      <c r="L1329" s="320"/>
      <c r="M1329" s="320"/>
      <c r="N1329" s="320"/>
      <c r="O1329" s="320"/>
    </row>
    <row r="1330">
      <c r="A1330" s="32">
        <f t="shared" si="1"/>
        <v>1329</v>
      </c>
      <c r="B1330" s="9" t="s">
        <v>3300</v>
      </c>
      <c r="C1330" s="78" t="s">
        <v>2753</v>
      </c>
      <c r="D1330" s="215" t="s">
        <v>2748</v>
      </c>
      <c r="E1330" s="18">
        <f>VLOOKUP($C1330,'COLUMN PIPE'!$E$4:$O2469,9,0)</f>
        <v>1.25</v>
      </c>
      <c r="F1330" s="523" t="s">
        <v>722</v>
      </c>
      <c r="G1330" s="18">
        <f>VLOOKUP($C1330,'COLUMN PIPE'!$E$4:$O2469,11,0)</f>
        <v>416</v>
      </c>
      <c r="H1330" s="320"/>
      <c r="I1330" s="320"/>
      <c r="J1330" s="320"/>
      <c r="K1330" s="320"/>
      <c r="L1330" s="320"/>
      <c r="M1330" s="320"/>
      <c r="N1330" s="320"/>
      <c r="O1330" s="320"/>
    </row>
    <row r="1331">
      <c r="A1331" s="32">
        <f t="shared" si="1"/>
        <v>1330</v>
      </c>
      <c r="B1331" s="9" t="s">
        <v>3300</v>
      </c>
      <c r="C1331" s="78" t="s">
        <v>2755</v>
      </c>
      <c r="D1331" s="215" t="s">
        <v>2748</v>
      </c>
      <c r="E1331" s="18">
        <f>VLOOKUP($C1331,'COLUMN PIPE'!$E$4:$O2469,9,0)</f>
        <v>1.4</v>
      </c>
      <c r="F1331" s="523" t="s">
        <v>722</v>
      </c>
      <c r="G1331" s="18">
        <f>VLOOKUP($C1331,'COLUMN PIPE'!$E$4:$O2469,11,0)</f>
        <v>420</v>
      </c>
      <c r="H1331" s="320"/>
      <c r="I1331" s="320"/>
      <c r="J1331" s="320"/>
      <c r="K1331" s="320"/>
      <c r="L1331" s="320"/>
      <c r="M1331" s="320"/>
      <c r="N1331" s="320"/>
      <c r="O1331" s="320"/>
    </row>
    <row r="1332">
      <c r="A1332" s="32">
        <f t="shared" si="1"/>
        <v>1331</v>
      </c>
      <c r="B1332" s="9" t="s">
        <v>3302</v>
      </c>
      <c r="C1332" s="585" t="s">
        <v>2819</v>
      </c>
      <c r="D1332" s="215" t="s">
        <v>2816</v>
      </c>
      <c r="E1332" s="18">
        <f>vlookup($C1332,'CASING PIPE'!$C$1:$E2469,3,0)</f>
        <v>2.9</v>
      </c>
      <c r="F1332" s="523" t="s">
        <v>722</v>
      </c>
      <c r="G1332" s="18">
        <f>vlookup($C1332,'CASING PIPE'!$C$1:$E2469,2,0)</f>
        <v>928</v>
      </c>
      <c r="H1332" s="320"/>
      <c r="I1332" s="320"/>
      <c r="J1332" s="320"/>
      <c r="K1332" s="320"/>
      <c r="L1332" s="320"/>
      <c r="M1332" s="320"/>
      <c r="N1332" s="320"/>
      <c r="O1332" s="320"/>
    </row>
    <row r="1333">
      <c r="A1333" s="32">
        <f t="shared" si="1"/>
        <v>1332</v>
      </c>
      <c r="B1333" s="9" t="s">
        <v>3302</v>
      </c>
      <c r="C1333" s="585" t="s">
        <v>2822</v>
      </c>
      <c r="D1333" s="215" t="s">
        <v>2816</v>
      </c>
      <c r="E1333" s="18">
        <f>vlookup($C1333,'CASING PIPE'!$C$1:$E2469,3,0)</f>
        <v>4.2</v>
      </c>
      <c r="F1333" s="523" t="s">
        <v>722</v>
      </c>
      <c r="G1333" s="18">
        <f>vlookup($C1333,'CASING PIPE'!$C$1:$E2469,2,0)</f>
        <v>1344</v>
      </c>
      <c r="H1333" s="320"/>
      <c r="I1333" s="320"/>
      <c r="J1333" s="320"/>
      <c r="K1333" s="320"/>
      <c r="L1333" s="320"/>
      <c r="M1333" s="320"/>
      <c r="N1333" s="320"/>
      <c r="O1333" s="320"/>
    </row>
    <row r="1334">
      <c r="A1334" s="32">
        <f t="shared" si="1"/>
        <v>1333</v>
      </c>
      <c r="B1334" s="9" t="s">
        <v>3302</v>
      </c>
      <c r="C1334" s="585" t="s">
        <v>2825</v>
      </c>
      <c r="D1334" s="215" t="s">
        <v>2816</v>
      </c>
      <c r="E1334" s="18">
        <f>vlookup($C1334,'CASING PIPE'!$C$1:$E2469,3,0)</f>
        <v>6.4</v>
      </c>
      <c r="F1334" s="523" t="s">
        <v>722</v>
      </c>
      <c r="G1334" s="18">
        <f>vlookup($C1334,'CASING PIPE'!$C$1:$E2469,2,0)</f>
        <v>2048</v>
      </c>
      <c r="H1334" s="320"/>
      <c r="I1334" s="320"/>
      <c r="J1334" s="320"/>
      <c r="K1334" s="320"/>
      <c r="L1334" s="320"/>
      <c r="M1334" s="320"/>
      <c r="N1334" s="320"/>
      <c r="O1334" s="320"/>
    </row>
    <row r="1335">
      <c r="A1335" s="32">
        <f t="shared" si="1"/>
        <v>1334</v>
      </c>
      <c r="B1335" s="9" t="s">
        <v>3302</v>
      </c>
      <c r="C1335" s="585" t="s">
        <v>2827</v>
      </c>
      <c r="D1335" s="215" t="s">
        <v>2816</v>
      </c>
      <c r="E1335" s="18">
        <f>vlookup($C1335,'CASING PIPE'!$C$1:$E2469,3,0)</f>
        <v>9.4</v>
      </c>
      <c r="F1335" s="523" t="s">
        <v>722</v>
      </c>
      <c r="G1335" s="18">
        <f>vlookup($C1335,'CASING PIPE'!$C$1:$E2469,2,0)</f>
        <v>3008</v>
      </c>
      <c r="H1335" s="320"/>
      <c r="I1335" s="320"/>
      <c r="J1335" s="320"/>
      <c r="K1335" s="320"/>
      <c r="L1335" s="320"/>
      <c r="M1335" s="320"/>
      <c r="N1335" s="320"/>
      <c r="O1335" s="320"/>
    </row>
    <row r="1336">
      <c r="A1336" s="32">
        <f t="shared" si="1"/>
        <v>1335</v>
      </c>
      <c r="B1336" s="9" t="s">
        <v>3302</v>
      </c>
      <c r="C1336" s="585" t="s">
        <v>2829</v>
      </c>
      <c r="D1336" s="215" t="s">
        <v>2816</v>
      </c>
      <c r="E1336" s="18" t="str">
        <f>vlookup($C1336,'CASING PIPE'!$C$1:$E2469,3,0)</f>
        <v>-</v>
      </c>
      <c r="F1336" s="523" t="s">
        <v>722</v>
      </c>
      <c r="G1336" s="18" t="str">
        <f>vlookup($C1336,'CASING PIPE'!$C$1:$E2469,2,0)</f>
        <v>-</v>
      </c>
      <c r="H1336" s="320"/>
      <c r="I1336" s="320"/>
      <c r="J1336" s="320"/>
      <c r="K1336" s="320"/>
      <c r="L1336" s="320"/>
      <c r="M1336" s="320"/>
      <c r="N1336" s="320"/>
      <c r="O1336" s="320"/>
    </row>
    <row r="1337">
      <c r="A1337" s="32">
        <f t="shared" si="1"/>
        <v>1336</v>
      </c>
      <c r="B1337" s="9" t="s">
        <v>3302</v>
      </c>
      <c r="C1337" s="585" t="s">
        <v>2832</v>
      </c>
      <c r="D1337" s="215" t="s">
        <v>2816</v>
      </c>
      <c r="E1337" s="18">
        <f>vlookup($C1337,'CASING PIPE'!$C$1:$E2469,3,0)</f>
        <v>14.5</v>
      </c>
      <c r="F1337" s="523" t="s">
        <v>722</v>
      </c>
      <c r="G1337" s="18">
        <f>vlookup($C1337,'CASING PIPE'!$C$1:$E2469,2,0)</f>
        <v>4640</v>
      </c>
      <c r="H1337" s="320"/>
      <c r="I1337" s="320"/>
      <c r="J1337" s="320"/>
      <c r="K1337" s="320"/>
      <c r="L1337" s="320"/>
      <c r="M1337" s="320"/>
      <c r="N1337" s="320"/>
      <c r="O1337" s="320"/>
    </row>
    <row r="1338">
      <c r="A1338" s="32">
        <f t="shared" si="1"/>
        <v>1337</v>
      </c>
      <c r="B1338" s="9" t="s">
        <v>3302</v>
      </c>
      <c r="C1338" s="585" t="s">
        <v>2835</v>
      </c>
      <c r="D1338" s="215" t="s">
        <v>2816</v>
      </c>
      <c r="E1338" s="18">
        <f>vlookup($C1338,'CASING PIPE'!$C$1:$E2469,3,0)</f>
        <v>19.8</v>
      </c>
      <c r="F1338" s="523" t="s">
        <v>722</v>
      </c>
      <c r="G1338" s="18">
        <f>vlookup($C1338,'CASING PIPE'!$C$1:$E2469,2,0)</f>
        <v>6336</v>
      </c>
      <c r="H1338" s="320"/>
      <c r="I1338" s="320"/>
      <c r="J1338" s="320"/>
      <c r="K1338" s="320"/>
      <c r="L1338" s="320"/>
      <c r="M1338" s="320"/>
      <c r="N1338" s="320"/>
      <c r="O1338" s="320"/>
    </row>
    <row r="1339">
      <c r="A1339" s="32">
        <f t="shared" si="1"/>
        <v>1338</v>
      </c>
      <c r="B1339" s="9" t="s">
        <v>3302</v>
      </c>
      <c r="C1339" s="585" t="s">
        <v>2837</v>
      </c>
      <c r="D1339" s="215" t="s">
        <v>2816</v>
      </c>
      <c r="E1339" s="18" t="str">
        <f>vlookup($C1339,'CASING PIPE'!$C$1:$E2469,3,0)</f>
        <v>-</v>
      </c>
      <c r="F1339" s="523" t="s">
        <v>722</v>
      </c>
      <c r="G1339" s="18" t="str">
        <f>vlookup($C1339,'CASING PIPE'!$C$1:$E2469,2,0)</f>
        <v>-</v>
      </c>
      <c r="H1339" s="320"/>
      <c r="I1339" s="320"/>
      <c r="J1339" s="320"/>
      <c r="K1339" s="320"/>
      <c r="L1339" s="320"/>
      <c r="M1339" s="320"/>
      <c r="N1339" s="320"/>
      <c r="O1339" s="320"/>
    </row>
    <row r="1340">
      <c r="A1340" s="32">
        <f t="shared" si="1"/>
        <v>1339</v>
      </c>
      <c r="B1340" s="9" t="s">
        <v>3302</v>
      </c>
      <c r="C1340" s="585" t="s">
        <v>2839</v>
      </c>
      <c r="D1340" s="215" t="s">
        <v>2816</v>
      </c>
      <c r="E1340" s="18" t="str">
        <f>vlookup($C1340,'CASING PIPE'!$C$1:$E2469,3,0)</f>
        <v>-</v>
      </c>
      <c r="F1340" s="523" t="s">
        <v>722</v>
      </c>
      <c r="G1340" s="18" t="str">
        <f>vlookup($C1340,'CASING PIPE'!$C$1:$E2469,2,0)</f>
        <v>-</v>
      </c>
      <c r="H1340" s="320"/>
      <c r="I1340" s="320"/>
      <c r="J1340" s="320"/>
      <c r="K1340" s="320"/>
      <c r="L1340" s="320"/>
      <c r="M1340" s="320"/>
      <c r="N1340" s="320"/>
      <c r="O1340" s="320"/>
    </row>
    <row r="1341">
      <c r="A1341" s="32">
        <f t="shared" si="1"/>
        <v>1340</v>
      </c>
      <c r="B1341" s="9" t="s">
        <v>3302</v>
      </c>
      <c r="C1341" s="585" t="s">
        <v>2843</v>
      </c>
      <c r="D1341" s="215" t="s">
        <v>2841</v>
      </c>
      <c r="E1341" s="18">
        <f>vlookup($C1341,'CASING PIPE'!$C$1:$E2469,3,0)</f>
        <v>2.35</v>
      </c>
      <c r="F1341" s="523" t="s">
        <v>722</v>
      </c>
      <c r="G1341" s="18">
        <f>vlookup($C1341,'CASING PIPE'!$C$1:$E2469,2,0)</f>
        <v>681.5</v>
      </c>
      <c r="H1341" s="320"/>
      <c r="I1341" s="320"/>
      <c r="J1341" s="320"/>
      <c r="K1341" s="320"/>
      <c r="L1341" s="320"/>
      <c r="M1341" s="320"/>
      <c r="N1341" s="320"/>
      <c r="O1341" s="320"/>
    </row>
    <row r="1342">
      <c r="A1342" s="32">
        <f t="shared" si="1"/>
        <v>1341</v>
      </c>
      <c r="B1342" s="9" t="s">
        <v>3302</v>
      </c>
      <c r="C1342" s="585" t="s">
        <v>2845</v>
      </c>
      <c r="D1342" s="215" t="s">
        <v>2841</v>
      </c>
      <c r="E1342" s="18">
        <f>vlookup($C1342,'CASING PIPE'!$C$1:$E2469,3,0)</f>
        <v>3.3</v>
      </c>
      <c r="F1342" s="523" t="s">
        <v>722</v>
      </c>
      <c r="G1342" s="18">
        <f>vlookup($C1342,'CASING PIPE'!$C$1:$E2469,2,0)</f>
        <v>957</v>
      </c>
      <c r="H1342" s="320"/>
      <c r="I1342" s="320"/>
      <c r="J1342" s="320"/>
      <c r="K1342" s="320"/>
      <c r="L1342" s="320"/>
      <c r="M1342" s="320"/>
      <c r="N1342" s="320"/>
      <c r="O1342" s="320"/>
    </row>
    <row r="1343">
      <c r="A1343" s="32">
        <f t="shared" si="1"/>
        <v>1342</v>
      </c>
      <c r="B1343" s="9" t="s">
        <v>3302</v>
      </c>
      <c r="C1343" s="585" t="s">
        <v>2846</v>
      </c>
      <c r="D1343" s="215" t="s">
        <v>2841</v>
      </c>
      <c r="E1343" s="18">
        <f>vlookup($C1343,'CASING PIPE'!$C$1:$E2469,3,0)</f>
        <v>4.95</v>
      </c>
      <c r="F1343" s="523" t="s">
        <v>722</v>
      </c>
      <c r="G1343" s="18">
        <f>vlookup($C1343,'CASING PIPE'!$C$1:$E2469,2,0)</f>
        <v>1435.5</v>
      </c>
      <c r="H1343" s="320"/>
      <c r="I1343" s="320"/>
      <c r="J1343" s="320"/>
      <c r="K1343" s="320"/>
      <c r="L1343" s="320"/>
      <c r="M1343" s="320"/>
      <c r="N1343" s="320"/>
      <c r="O1343" s="320"/>
    </row>
    <row r="1344">
      <c r="A1344" s="32">
        <f t="shared" si="1"/>
        <v>1343</v>
      </c>
      <c r="B1344" s="9" t="s">
        <v>3302</v>
      </c>
      <c r="C1344" s="585" t="s">
        <v>2848</v>
      </c>
      <c r="D1344" s="215" t="s">
        <v>2841</v>
      </c>
      <c r="E1344" s="18">
        <f>vlookup($C1344,'CASING PIPE'!$C$1:$E2469,3,0)</f>
        <v>7.95</v>
      </c>
      <c r="F1344" s="523" t="s">
        <v>722</v>
      </c>
      <c r="G1344" s="18">
        <f>vlookup($C1344,'CASING PIPE'!$C$1:$E2469,2,0)</f>
        <v>2305.5</v>
      </c>
      <c r="H1344" s="320"/>
      <c r="I1344" s="320"/>
      <c r="J1344" s="320"/>
      <c r="K1344" s="320"/>
      <c r="L1344" s="320"/>
      <c r="M1344" s="320"/>
      <c r="N1344" s="320"/>
      <c r="O1344" s="320"/>
    </row>
    <row r="1345">
      <c r="A1345" s="32">
        <f t="shared" si="1"/>
        <v>1344</v>
      </c>
      <c r="B1345" s="9" t="s">
        <v>3302</v>
      </c>
      <c r="C1345" s="585" t="s">
        <v>2849</v>
      </c>
      <c r="D1345" s="215" t="s">
        <v>2841</v>
      </c>
      <c r="E1345" s="18">
        <f>vlookup($C1345,'CASING PIPE'!$C$1:$E2469,3,0)</f>
        <v>9.7</v>
      </c>
      <c r="F1345" s="523" t="s">
        <v>722</v>
      </c>
      <c r="G1345" s="18">
        <f>vlookup($C1345,'CASING PIPE'!$C$1:$E2469,2,0)</f>
        <v>2813</v>
      </c>
      <c r="H1345" s="320"/>
      <c r="I1345" s="320"/>
      <c r="J1345" s="320"/>
      <c r="K1345" s="320"/>
      <c r="L1345" s="320"/>
      <c r="M1345" s="320"/>
      <c r="N1345" s="320"/>
      <c r="O1345" s="320"/>
    </row>
    <row r="1346">
      <c r="A1346" s="32">
        <f t="shared" si="1"/>
        <v>1345</v>
      </c>
      <c r="B1346" s="9" t="s">
        <v>3302</v>
      </c>
      <c r="C1346" s="585" t="s">
        <v>2851</v>
      </c>
      <c r="D1346" s="215" t="s">
        <v>2841</v>
      </c>
      <c r="E1346" s="18">
        <f>vlookup($C1346,'CASING PIPE'!$C$1:$E2469,3,0)</f>
        <v>12.5</v>
      </c>
      <c r="F1346" s="523" t="s">
        <v>722</v>
      </c>
      <c r="G1346" s="18">
        <f>vlookup($C1346,'CASING PIPE'!$C$1:$E2469,2,0)</f>
        <v>3625</v>
      </c>
      <c r="H1346" s="320"/>
      <c r="I1346" s="320"/>
      <c r="J1346" s="320"/>
      <c r="K1346" s="320"/>
      <c r="L1346" s="320"/>
      <c r="M1346" s="320"/>
      <c r="N1346" s="320"/>
      <c r="O1346" s="320"/>
    </row>
    <row r="1347">
      <c r="A1347" s="32">
        <f t="shared" si="1"/>
        <v>1346</v>
      </c>
      <c r="B1347" s="9" t="s">
        <v>3302</v>
      </c>
      <c r="C1347" s="585" t="s">
        <v>2852</v>
      </c>
      <c r="D1347" s="215" t="s">
        <v>2841</v>
      </c>
      <c r="E1347" s="18">
        <f>vlookup($C1347,'CASING PIPE'!$C$1:$E2469,3,0)</f>
        <v>17.5</v>
      </c>
      <c r="F1347" s="523" t="s">
        <v>722</v>
      </c>
      <c r="G1347" s="18">
        <f>vlookup($C1347,'CASING PIPE'!$C$1:$E2469,2,0)</f>
        <v>5075</v>
      </c>
      <c r="H1347" s="320"/>
      <c r="I1347" s="320"/>
      <c r="J1347" s="320"/>
      <c r="K1347" s="320"/>
      <c r="L1347" s="320"/>
      <c r="M1347" s="320"/>
      <c r="N1347" s="320"/>
      <c r="O1347" s="320"/>
    </row>
    <row r="1348">
      <c r="A1348" s="32">
        <f t="shared" si="1"/>
        <v>1347</v>
      </c>
      <c r="B1348" s="9" t="s">
        <v>3302</v>
      </c>
      <c r="C1348" s="585" t="s">
        <v>2853</v>
      </c>
      <c r="D1348" s="215" t="s">
        <v>2841</v>
      </c>
      <c r="E1348" s="18">
        <f>vlookup($C1348,'CASING PIPE'!$C$1:$E2469,3,0)</f>
        <v>26</v>
      </c>
      <c r="F1348" s="523" t="s">
        <v>722</v>
      </c>
      <c r="G1348" s="18">
        <f>vlookup($C1348,'CASING PIPE'!$C$1:$E2469,2,0)</f>
        <v>7540</v>
      </c>
      <c r="H1348" s="320"/>
      <c r="I1348" s="320"/>
      <c r="J1348" s="320"/>
      <c r="K1348" s="320"/>
      <c r="L1348" s="320"/>
      <c r="M1348" s="320"/>
      <c r="N1348" s="320"/>
      <c r="O1348" s="320"/>
    </row>
    <row r="1349">
      <c r="A1349" s="32">
        <f t="shared" si="1"/>
        <v>1348</v>
      </c>
      <c r="B1349" s="9" t="s">
        <v>3302</v>
      </c>
      <c r="C1349" s="585" t="s">
        <v>2855</v>
      </c>
      <c r="D1349" s="215" t="s">
        <v>2841</v>
      </c>
      <c r="E1349" s="18">
        <f>vlookup($C1349,'CASING PIPE'!$C$1:$E2469,3,0)</f>
        <v>33</v>
      </c>
      <c r="F1349" s="523" t="s">
        <v>722</v>
      </c>
      <c r="G1349" s="18">
        <f>vlookup($C1349,'CASING PIPE'!$C$1:$E2469,2,0)</f>
        <v>9570</v>
      </c>
      <c r="H1349" s="320"/>
      <c r="I1349" s="320"/>
      <c r="J1349" s="320"/>
      <c r="K1349" s="320"/>
      <c r="L1349" s="320"/>
      <c r="M1349" s="320"/>
      <c r="N1349" s="320"/>
      <c r="O1349" s="320"/>
    </row>
    <row r="1350">
      <c r="A1350" s="32">
        <f t="shared" si="1"/>
        <v>1349</v>
      </c>
      <c r="B1350" s="9" t="s">
        <v>3311</v>
      </c>
      <c r="C1350" s="500" t="s">
        <v>2973</v>
      </c>
      <c r="D1350" s="215" t="s">
        <v>3312</v>
      </c>
      <c r="E1350" s="18">
        <f>vlookup($C1350,'UGD PIPE'!$D$2:$I2469,6,0)</f>
        <v>10.3</v>
      </c>
      <c r="F1350" s="523" t="s">
        <v>722</v>
      </c>
      <c r="G1350" s="18">
        <f>vlookup($C1350,'UGD PIPE'!$D$2:$I2469,2,0)</f>
        <v>2987</v>
      </c>
      <c r="H1350" s="320"/>
      <c r="I1350" s="320"/>
      <c r="J1350" s="320"/>
      <c r="K1350" s="320"/>
      <c r="L1350" s="320"/>
      <c r="M1350" s="320"/>
      <c r="N1350" s="320"/>
      <c r="O1350" s="320"/>
    </row>
    <row r="1351">
      <c r="A1351" s="32">
        <f t="shared" si="1"/>
        <v>1350</v>
      </c>
      <c r="B1351" s="9" t="s">
        <v>3311</v>
      </c>
      <c r="C1351" s="500" t="s">
        <v>2974</v>
      </c>
      <c r="D1351" s="215" t="s">
        <v>3312</v>
      </c>
      <c r="E1351" s="18">
        <f>vlookup($C1351,'UGD PIPE'!$D$2:$I2469,6,0)</f>
        <v>15.8</v>
      </c>
      <c r="F1351" s="523" t="s">
        <v>722</v>
      </c>
      <c r="G1351" s="18">
        <f>vlookup($C1351,'UGD PIPE'!$D$2:$I2469,2,0)</f>
        <v>4582</v>
      </c>
      <c r="H1351" s="320"/>
      <c r="I1351" s="320"/>
      <c r="J1351" s="320"/>
      <c r="K1351" s="320"/>
      <c r="L1351" s="320"/>
      <c r="M1351" s="320"/>
      <c r="N1351" s="320"/>
      <c r="O1351" s="320"/>
    </row>
    <row r="1352">
      <c r="A1352" s="32">
        <f t="shared" si="1"/>
        <v>1351</v>
      </c>
      <c r="B1352" s="9" t="s">
        <v>3311</v>
      </c>
      <c r="C1352" s="500" t="s">
        <v>2975</v>
      </c>
      <c r="D1352" s="215" t="s">
        <v>3312</v>
      </c>
      <c r="E1352" s="18">
        <f>vlookup($C1352,'UGD PIPE'!$D$2:$I2469,6,0)</f>
        <v>21.8</v>
      </c>
      <c r="F1352" s="523" t="s">
        <v>722</v>
      </c>
      <c r="G1352" s="18">
        <f>vlookup($C1352,'UGD PIPE'!$D$2:$I2469,2,0)</f>
        <v>6322</v>
      </c>
      <c r="H1352" s="320"/>
      <c r="I1352" s="320"/>
      <c r="J1352" s="320"/>
      <c r="K1352" s="320"/>
      <c r="L1352" s="320"/>
      <c r="M1352" s="320"/>
      <c r="N1352" s="320"/>
      <c r="O1352" s="320"/>
    </row>
    <row r="1353">
      <c r="A1353" s="32">
        <f t="shared" si="1"/>
        <v>1352</v>
      </c>
      <c r="B1353" s="9" t="s">
        <v>3311</v>
      </c>
      <c r="C1353" s="500" t="s">
        <v>2976</v>
      </c>
      <c r="D1353" s="215" t="s">
        <v>3312</v>
      </c>
      <c r="E1353" s="18">
        <f>vlookup($C1353,'UGD PIPE'!$D$2:$I2469,6,0)</f>
        <v>34.5</v>
      </c>
      <c r="F1353" s="523" t="s">
        <v>722</v>
      </c>
      <c r="G1353" s="18">
        <f>vlookup($C1353,'UGD PIPE'!$D$2:$I2469,2,0)</f>
        <v>10005</v>
      </c>
      <c r="H1353" s="320"/>
      <c r="I1353" s="320"/>
      <c r="J1353" s="320"/>
      <c r="K1353" s="320"/>
      <c r="L1353" s="320"/>
      <c r="M1353" s="320"/>
      <c r="N1353" s="320"/>
      <c r="O1353" s="320"/>
    </row>
    <row r="1354">
      <c r="A1354" s="32">
        <f t="shared" si="1"/>
        <v>1353</v>
      </c>
      <c r="B1354" s="9" t="s">
        <v>3311</v>
      </c>
      <c r="C1354" s="500" t="s">
        <v>2977</v>
      </c>
      <c r="D1354" s="215" t="s">
        <v>3312</v>
      </c>
      <c r="E1354" s="18">
        <f>vlookup($C1354,'UGD PIPE'!$D$2:$I2469,6,0)</f>
        <v>54.5</v>
      </c>
      <c r="F1354" s="523" t="s">
        <v>722</v>
      </c>
      <c r="G1354" s="18">
        <f>vlookup($C1354,'UGD PIPE'!$D$2:$I2469,2,0)</f>
        <v>15805</v>
      </c>
      <c r="H1354" s="320"/>
      <c r="I1354" s="320"/>
      <c r="J1354" s="320"/>
      <c r="K1354" s="320"/>
      <c r="L1354" s="320"/>
      <c r="M1354" s="320"/>
      <c r="N1354" s="320"/>
      <c r="O1354" s="320"/>
    </row>
    <row r="1355">
      <c r="A1355" s="32">
        <f t="shared" si="1"/>
        <v>1354</v>
      </c>
      <c r="B1355" s="9" t="s">
        <v>3311</v>
      </c>
      <c r="C1355" s="500" t="s">
        <v>2978</v>
      </c>
      <c r="D1355" s="215" t="s">
        <v>3312</v>
      </c>
      <c r="E1355" s="18">
        <f>vlookup($C1355,'UGD PIPE'!$D$2:$I2469,6,0)</f>
        <v>87</v>
      </c>
      <c r="F1355" s="523" t="s">
        <v>722</v>
      </c>
      <c r="G1355" s="18">
        <f>vlookup($C1355,'UGD PIPE'!$D$2:$I2469,2,0)</f>
        <v>25230</v>
      </c>
      <c r="H1355" s="320"/>
      <c r="I1355" s="320"/>
      <c r="J1355" s="320"/>
      <c r="K1355" s="320"/>
      <c r="L1355" s="320"/>
      <c r="M1355" s="320"/>
      <c r="N1355" s="320"/>
      <c r="O1355" s="320"/>
    </row>
    <row r="1356">
      <c r="A1356" s="32">
        <f t="shared" si="1"/>
        <v>1355</v>
      </c>
      <c r="B1356" s="9" t="s">
        <v>3311</v>
      </c>
      <c r="C1356" s="500" t="s">
        <v>2981</v>
      </c>
      <c r="D1356" s="215" t="s">
        <v>3313</v>
      </c>
      <c r="E1356" s="18" t="str">
        <f>vlookup($C1356,'UGD PIPE'!$D$2:$I2469,6,0)</f>
        <v/>
      </c>
      <c r="F1356" s="523" t="s">
        <v>722</v>
      </c>
      <c r="G1356" s="18">
        <f>vlookup($C1356,'UGD PIPE'!$D$2:$I2469,2,0)</f>
        <v>2196</v>
      </c>
      <c r="H1356" s="320"/>
      <c r="I1356" s="320"/>
      <c r="J1356" s="320"/>
      <c r="K1356" s="320"/>
      <c r="L1356" s="320"/>
      <c r="M1356" s="320"/>
      <c r="N1356" s="320"/>
      <c r="O1356" s="320"/>
    </row>
    <row r="1357">
      <c r="A1357" s="32">
        <f t="shared" si="1"/>
        <v>1356</v>
      </c>
      <c r="B1357" s="9" t="s">
        <v>3311</v>
      </c>
      <c r="C1357" s="500" t="s">
        <v>2982</v>
      </c>
      <c r="D1357" s="215" t="s">
        <v>3313</v>
      </c>
      <c r="E1357" s="18" t="str">
        <f>vlookup($C1357,'UGD PIPE'!$D$2:$I2469,6,0)</f>
        <v/>
      </c>
      <c r="F1357" s="523" t="s">
        <v>722</v>
      </c>
      <c r="G1357" s="18">
        <f>vlookup($C1357,'UGD PIPE'!$D$2:$I2469,2,0)</f>
        <v>2896</v>
      </c>
      <c r="H1357" s="320"/>
      <c r="I1357" s="320"/>
      <c r="J1357" s="320"/>
      <c r="K1357" s="320"/>
      <c r="L1357" s="320"/>
      <c r="M1357" s="320"/>
      <c r="N1357" s="320"/>
      <c r="O1357" s="320"/>
    </row>
    <row r="1358">
      <c r="A1358" s="32">
        <f t="shared" si="1"/>
        <v>1357</v>
      </c>
      <c r="B1358" s="9" t="s">
        <v>3311</v>
      </c>
      <c r="C1358" s="500" t="s">
        <v>2983</v>
      </c>
      <c r="D1358" s="215" t="s">
        <v>3313</v>
      </c>
      <c r="E1358" s="18" t="str">
        <f>vlookup($C1358,'UGD PIPE'!$D$2:$I2469,6,0)</f>
        <v/>
      </c>
      <c r="F1358" s="523" t="s">
        <v>722</v>
      </c>
      <c r="G1358" s="18">
        <f>vlookup($C1358,'UGD PIPE'!$D$2:$I2469,2,0)</f>
        <v>4790</v>
      </c>
      <c r="H1358" s="320"/>
      <c r="I1358" s="320"/>
      <c r="J1358" s="320"/>
      <c r="K1358" s="320"/>
      <c r="L1358" s="320"/>
      <c r="M1358" s="320"/>
      <c r="N1358" s="320"/>
      <c r="O1358" s="320"/>
    </row>
    <row r="1359">
      <c r="A1359" s="32">
        <f t="shared" si="1"/>
        <v>1358</v>
      </c>
      <c r="B1359" s="9" t="s">
        <v>3311</v>
      </c>
      <c r="C1359" s="500" t="s">
        <v>2984</v>
      </c>
      <c r="D1359" s="215" t="s">
        <v>3313</v>
      </c>
      <c r="E1359" s="18" t="str">
        <f>vlookup($C1359,'UGD PIPE'!$D$2:$I2469,6,0)</f>
        <v/>
      </c>
      <c r="F1359" s="523" t="s">
        <v>722</v>
      </c>
      <c r="G1359" s="18">
        <f>vlookup($C1359,'UGD PIPE'!$D$2:$I2469,2,0)</f>
        <v>7368</v>
      </c>
      <c r="H1359" s="320"/>
      <c r="I1359" s="320"/>
      <c r="J1359" s="320"/>
      <c r="K1359" s="320"/>
      <c r="L1359" s="320"/>
      <c r="M1359" s="320"/>
      <c r="N1359" s="320"/>
      <c r="O1359" s="320"/>
    </row>
    <row r="1360">
      <c r="A1360" s="32">
        <f t="shared" si="1"/>
        <v>1359</v>
      </c>
      <c r="B1360" s="9" t="s">
        <v>3314</v>
      </c>
      <c r="C1360" s="460" t="s">
        <v>2994</v>
      </c>
      <c r="D1360" s="215" t="s">
        <v>3315</v>
      </c>
      <c r="E1360" s="18"/>
      <c r="F1360" s="18">
        <f>vlookup($C1360,'UGD FITTINGS'!$E$6:$G2469,2,0)</f>
        <v>116.8</v>
      </c>
      <c r="G1360" s="18">
        <f>vlookup($C1360,'UGD FITTINGS'!$E$6:$G2469,3,0)</f>
        <v>122.6</v>
      </c>
      <c r="H1360" s="320"/>
      <c r="I1360" s="320"/>
      <c r="J1360" s="320"/>
      <c r="K1360" s="320"/>
      <c r="L1360" s="320"/>
      <c r="M1360" s="320"/>
      <c r="N1360" s="320"/>
      <c r="O1360" s="320"/>
    </row>
    <row r="1361">
      <c r="A1361" s="32">
        <f t="shared" si="1"/>
        <v>1360</v>
      </c>
      <c r="B1361" s="9" t="s">
        <v>3314</v>
      </c>
      <c r="C1361" s="460" t="s">
        <v>2995</v>
      </c>
      <c r="D1361" s="215" t="s">
        <v>3315</v>
      </c>
      <c r="E1361" s="18"/>
      <c r="F1361" s="18">
        <f>vlookup($C1361,'UGD FITTINGS'!$E$6:$G2469,2,0)</f>
        <v>281.2</v>
      </c>
      <c r="G1361" s="18">
        <f>vlookup($C1361,'UGD FITTINGS'!$E$6:$G2469,3,0)</f>
        <v>295.3</v>
      </c>
      <c r="H1361" s="320"/>
      <c r="I1361" s="320"/>
      <c r="J1361" s="320"/>
      <c r="K1361" s="320"/>
      <c r="L1361" s="320"/>
      <c r="M1361" s="320"/>
      <c r="N1361" s="320"/>
      <c r="O1361" s="320"/>
    </row>
    <row r="1362">
      <c r="A1362" s="32">
        <f t="shared" si="1"/>
        <v>1361</v>
      </c>
      <c r="B1362" s="9" t="s">
        <v>3314</v>
      </c>
      <c r="C1362" s="460" t="s">
        <v>2996</v>
      </c>
      <c r="D1362" s="215" t="s">
        <v>3315</v>
      </c>
      <c r="E1362" s="18"/>
      <c r="F1362" s="18">
        <f>vlookup($C1362,'UGD FITTINGS'!$E$6:$G2469,2,0)</f>
        <v>492.8</v>
      </c>
      <c r="G1362" s="18">
        <f>vlookup($C1362,'UGD FITTINGS'!$E$6:$G2469,3,0)</f>
        <v>517.5</v>
      </c>
      <c r="H1362" s="320"/>
      <c r="I1362" s="320"/>
      <c r="J1362" s="320"/>
      <c r="K1362" s="320"/>
      <c r="L1362" s="320"/>
      <c r="M1362" s="320"/>
      <c r="N1362" s="320"/>
      <c r="O1362" s="320"/>
    </row>
    <row r="1363">
      <c r="A1363" s="32">
        <f t="shared" si="1"/>
        <v>1362</v>
      </c>
      <c r="B1363" s="9" t="s">
        <v>3314</v>
      </c>
      <c r="C1363" s="460" t="s">
        <v>3000</v>
      </c>
      <c r="D1363" s="215" t="s">
        <v>3317</v>
      </c>
      <c r="E1363" s="18"/>
      <c r="F1363" s="18">
        <f>vlookup($C1363,'UGD FITTINGS'!$E$6:$G2469,2,0)</f>
        <v>302.1</v>
      </c>
      <c r="G1363" s="18">
        <f>vlookup($C1363,'UGD FITTINGS'!$E$6:$G2469,3,0)</f>
        <v>317.3</v>
      </c>
      <c r="H1363" s="320"/>
      <c r="I1363" s="320"/>
      <c r="J1363" s="320"/>
      <c r="K1363" s="320"/>
      <c r="L1363" s="320"/>
      <c r="M1363" s="320"/>
      <c r="N1363" s="320"/>
      <c r="O1363" s="320"/>
    </row>
    <row r="1364">
      <c r="A1364" s="32">
        <f t="shared" si="1"/>
        <v>1363</v>
      </c>
      <c r="B1364" s="9" t="s">
        <v>3314</v>
      </c>
      <c r="C1364" s="460" t="s">
        <v>3001</v>
      </c>
      <c r="D1364" s="215" t="s">
        <v>3317</v>
      </c>
      <c r="E1364" s="18"/>
      <c r="F1364" s="18">
        <f>vlookup($C1364,'UGD FITTINGS'!$E$6:$G2469,2,0)</f>
        <v>756.8</v>
      </c>
      <c r="G1364" s="18">
        <f>vlookup($C1364,'UGD FITTINGS'!$E$6:$G2469,3,0)</f>
        <v>794.6</v>
      </c>
      <c r="H1364" s="320"/>
      <c r="I1364" s="320"/>
      <c r="J1364" s="320"/>
      <c r="K1364" s="320"/>
      <c r="L1364" s="320"/>
      <c r="M1364" s="320"/>
      <c r="N1364" s="320"/>
      <c r="O1364" s="320"/>
    </row>
    <row r="1365">
      <c r="A1365" s="32">
        <f t="shared" si="1"/>
        <v>1364</v>
      </c>
      <c r="B1365" s="9" t="s">
        <v>3314</v>
      </c>
      <c r="C1365" s="460" t="s">
        <v>3002</v>
      </c>
      <c r="D1365" s="215" t="s">
        <v>3317</v>
      </c>
      <c r="E1365" s="18"/>
      <c r="F1365" s="18">
        <f>vlookup($C1365,'UGD FITTINGS'!$E$6:$G2469,2,0)</f>
        <v>1276</v>
      </c>
      <c r="G1365" s="18">
        <f>vlookup($C1365,'UGD FITTINGS'!$E$6:$G2469,3,0)</f>
        <v>1339.8</v>
      </c>
      <c r="H1365" s="320"/>
      <c r="I1365" s="320"/>
      <c r="J1365" s="320"/>
      <c r="K1365" s="320"/>
      <c r="L1365" s="320"/>
      <c r="M1365" s="320"/>
      <c r="N1365" s="320"/>
      <c r="O1365" s="320"/>
    </row>
    <row r="1366">
      <c r="A1366" s="32">
        <f t="shared" si="1"/>
        <v>1365</v>
      </c>
      <c r="B1366" s="9" t="s">
        <v>3314</v>
      </c>
      <c r="C1366" s="460" t="s">
        <v>3004</v>
      </c>
      <c r="D1366" s="215" t="s">
        <v>3318</v>
      </c>
      <c r="E1366" s="18"/>
      <c r="F1366" s="18">
        <f>vlookup($C1366,'UGD FITTINGS'!$E$6:$G2469,2,0)</f>
        <v>226.1</v>
      </c>
      <c r="G1366" s="18">
        <f>vlookup($C1366,'UGD FITTINGS'!$E$6:$G2469,3,0)</f>
        <v>237.4</v>
      </c>
      <c r="H1366" s="320"/>
      <c r="I1366" s="320"/>
      <c r="J1366" s="320"/>
      <c r="K1366" s="320"/>
      <c r="L1366" s="320"/>
      <c r="M1366" s="320"/>
      <c r="N1366" s="320"/>
      <c r="O1366" s="320"/>
    </row>
    <row r="1367">
      <c r="A1367" s="32">
        <f t="shared" si="1"/>
        <v>1366</v>
      </c>
      <c r="B1367" s="9" t="s">
        <v>3314</v>
      </c>
      <c r="C1367" s="460" t="s">
        <v>3005</v>
      </c>
      <c r="D1367" s="215" t="s">
        <v>3318</v>
      </c>
      <c r="E1367" s="18"/>
      <c r="F1367" s="18">
        <f>vlookup($C1367,'UGD FITTINGS'!$E$6:$G2469,2,0)</f>
        <v>627</v>
      </c>
      <c r="G1367" s="18">
        <f>vlookup($C1367,'UGD FITTINGS'!$E$6:$G2469,3,0)</f>
        <v>658.4</v>
      </c>
      <c r="H1367" s="320"/>
      <c r="I1367" s="320"/>
      <c r="J1367" s="320"/>
      <c r="K1367" s="320"/>
      <c r="L1367" s="320"/>
      <c r="M1367" s="320"/>
      <c r="N1367" s="320"/>
      <c r="O1367" s="320"/>
    </row>
    <row r="1368">
      <c r="A1368" s="32">
        <f t="shared" si="1"/>
        <v>1367</v>
      </c>
      <c r="B1368" s="9" t="s">
        <v>3314</v>
      </c>
      <c r="C1368" s="460" t="s">
        <v>3006</v>
      </c>
      <c r="D1368" s="215" t="s">
        <v>3318</v>
      </c>
      <c r="E1368" s="18"/>
      <c r="F1368" s="18">
        <f>vlookup($C1368,'UGD FITTINGS'!$E$6:$G2469,2,0)</f>
        <v>898</v>
      </c>
      <c r="G1368" s="18">
        <f>vlookup($C1368,'UGD FITTINGS'!$E$6:$G2469,3,0)</f>
        <v>942.9</v>
      </c>
      <c r="H1368" s="320"/>
      <c r="I1368" s="320"/>
      <c r="J1368" s="320"/>
      <c r="K1368" s="320"/>
      <c r="L1368" s="320"/>
      <c r="M1368" s="320"/>
      <c r="N1368" s="320"/>
      <c r="O1368" s="320"/>
    </row>
    <row r="1369">
      <c r="A1369" s="32">
        <f t="shared" si="1"/>
        <v>1368</v>
      </c>
      <c r="B1369" s="9" t="s">
        <v>3314</v>
      </c>
      <c r="C1369" s="460" t="s">
        <v>3008</v>
      </c>
      <c r="D1369" s="215" t="s">
        <v>3319</v>
      </c>
      <c r="E1369" s="18"/>
      <c r="F1369" s="18">
        <f>vlookup($C1369,'UGD FITTINGS'!$E$6:$G2469,2,0)</f>
        <v>83.9</v>
      </c>
      <c r="G1369" s="18">
        <f>vlookup($C1369,'UGD FITTINGS'!$E$6:$G2469,3,0)</f>
        <v>88.095</v>
      </c>
      <c r="H1369" s="320"/>
      <c r="I1369" s="320"/>
      <c r="J1369" s="320"/>
      <c r="K1369" s="320"/>
      <c r="L1369" s="320"/>
      <c r="M1369" s="320"/>
      <c r="N1369" s="320"/>
      <c r="O1369" s="320"/>
    </row>
    <row r="1370">
      <c r="A1370" s="32">
        <f t="shared" si="1"/>
        <v>1369</v>
      </c>
      <c r="B1370" s="9" t="s">
        <v>3314</v>
      </c>
      <c r="C1370" s="460" t="s">
        <v>3009</v>
      </c>
      <c r="D1370" s="215" t="s">
        <v>3319</v>
      </c>
      <c r="E1370" s="18"/>
      <c r="F1370" s="18">
        <f>vlookup($C1370,'UGD FITTINGS'!$E$6:$G2469,2,0)</f>
        <v>207.1</v>
      </c>
      <c r="G1370" s="18">
        <f>vlookup($C1370,'UGD FITTINGS'!$E$6:$G2469,3,0)</f>
        <v>217.5</v>
      </c>
      <c r="H1370" s="320"/>
      <c r="I1370" s="320"/>
      <c r="J1370" s="320"/>
      <c r="K1370" s="320"/>
      <c r="L1370" s="320"/>
      <c r="M1370" s="320"/>
      <c r="N1370" s="320"/>
      <c r="O1370" s="320"/>
    </row>
    <row r="1371">
      <c r="A1371" s="32">
        <f t="shared" si="1"/>
        <v>1370</v>
      </c>
      <c r="B1371" s="9" t="s">
        <v>3314</v>
      </c>
      <c r="C1371" s="460" t="s">
        <v>3010</v>
      </c>
      <c r="D1371" s="215" t="s">
        <v>3319</v>
      </c>
      <c r="E1371" s="18"/>
      <c r="F1371" s="18">
        <f>vlookup($C1371,'UGD FITTINGS'!$E$6:$G2469,2,0)</f>
        <v>414</v>
      </c>
      <c r="G1371" s="18">
        <f>vlookup($C1371,'UGD FITTINGS'!$E$6:$G2469,3,0)</f>
        <v>434.7</v>
      </c>
      <c r="H1371" s="320"/>
      <c r="I1371" s="320"/>
      <c r="J1371" s="320"/>
      <c r="K1371" s="320"/>
      <c r="L1371" s="320"/>
      <c r="M1371" s="320"/>
      <c r="N1371" s="320"/>
      <c r="O1371" s="320"/>
    </row>
    <row r="1372">
      <c r="A1372" s="32">
        <f t="shared" si="1"/>
        <v>1371</v>
      </c>
      <c r="B1372" s="9" t="s">
        <v>3314</v>
      </c>
      <c r="C1372" s="460" t="s">
        <v>3014</v>
      </c>
      <c r="D1372" s="215" t="s">
        <v>3320</v>
      </c>
      <c r="E1372" s="18"/>
      <c r="F1372" s="18">
        <f>vlookup($C1372,'UGD FITTINGS'!$E$6:$G2469,2,0)</f>
        <v>152.8</v>
      </c>
      <c r="G1372" s="18">
        <f>vlookup($C1372,'UGD FITTINGS'!$E$6:$G2469,3,0)</f>
        <v>160.5</v>
      </c>
      <c r="H1372" s="320"/>
      <c r="I1372" s="320"/>
      <c r="J1372" s="320"/>
      <c r="K1372" s="320"/>
      <c r="L1372" s="320"/>
      <c r="M1372" s="320"/>
      <c r="N1372" s="320"/>
      <c r="O1372" s="320"/>
    </row>
    <row r="1373">
      <c r="A1373" s="32">
        <f t="shared" si="1"/>
        <v>1372</v>
      </c>
      <c r="B1373" s="9" t="s">
        <v>3314</v>
      </c>
      <c r="C1373" s="460" t="s">
        <v>3016</v>
      </c>
      <c r="D1373" s="215" t="s">
        <v>3320</v>
      </c>
      <c r="E1373" s="18"/>
      <c r="F1373" s="18">
        <f>vlookup($C1373,'UGD FITTINGS'!$E$6:$G2469,2,0)</f>
        <v>370</v>
      </c>
      <c r="G1373" s="18">
        <f>vlookup($C1373,'UGD FITTINGS'!$E$6:$G2469,3,0)</f>
        <v>388.5</v>
      </c>
      <c r="H1373" s="320"/>
      <c r="I1373" s="320"/>
      <c r="J1373" s="320"/>
      <c r="K1373" s="320"/>
      <c r="L1373" s="320"/>
      <c r="M1373" s="320"/>
      <c r="N1373" s="320"/>
      <c r="O1373" s="320"/>
    </row>
    <row r="1374">
      <c r="A1374" s="32">
        <f t="shared" si="1"/>
        <v>1373</v>
      </c>
      <c r="B1374" s="9" t="s">
        <v>3314</v>
      </c>
      <c r="C1374" s="460" t="s">
        <v>3018</v>
      </c>
      <c r="D1374" s="215" t="s">
        <v>3321</v>
      </c>
      <c r="E1374" s="18"/>
      <c r="F1374" s="18">
        <f>vlookup($C1374,'UGD FITTINGS'!$E$6:$G2469,2,0)</f>
        <v>188</v>
      </c>
      <c r="G1374" s="18">
        <f>vlookup($C1374,'UGD FITTINGS'!$E$6:$G2469,3,0)</f>
        <v>197.4</v>
      </c>
      <c r="H1374" s="320"/>
      <c r="I1374" s="320"/>
      <c r="J1374" s="320"/>
      <c r="K1374" s="320"/>
      <c r="L1374" s="320"/>
      <c r="M1374" s="320"/>
      <c r="N1374" s="320"/>
      <c r="O1374" s="320"/>
    </row>
    <row r="1375">
      <c r="A1375" s="32">
        <f t="shared" si="1"/>
        <v>1374</v>
      </c>
      <c r="B1375" s="9" t="s">
        <v>3314</v>
      </c>
      <c r="C1375" s="460" t="s">
        <v>3019</v>
      </c>
      <c r="D1375" s="215" t="s">
        <v>3321</v>
      </c>
      <c r="E1375" s="18"/>
      <c r="F1375" s="18">
        <f>vlookup($C1375,'UGD FITTINGS'!$E$6:$G2469,2,0)</f>
        <v>478</v>
      </c>
      <c r="G1375" s="18">
        <f>vlookup($C1375,'UGD FITTINGS'!$E$6:$G2469,3,0)</f>
        <v>501.9</v>
      </c>
      <c r="H1375" s="320"/>
      <c r="I1375" s="320"/>
      <c r="J1375" s="320"/>
      <c r="K1375" s="320"/>
      <c r="L1375" s="320"/>
      <c r="M1375" s="320"/>
      <c r="N1375" s="320"/>
      <c r="O1375" s="320"/>
    </row>
    <row r="1376">
      <c r="A1376" s="32">
        <f t="shared" si="1"/>
        <v>1375</v>
      </c>
      <c r="B1376" s="9" t="s">
        <v>3314</v>
      </c>
      <c r="C1376" s="460" t="s">
        <v>3022</v>
      </c>
      <c r="D1376" s="215" t="s">
        <v>3322</v>
      </c>
      <c r="E1376" s="18"/>
      <c r="F1376" s="18">
        <f>vlookup($C1376,'UGD FITTINGS'!$E$6:$G2469,2,0)</f>
        <v>134</v>
      </c>
      <c r="G1376" s="18">
        <f>vlookup($C1376,'UGD FITTINGS'!$E$6:$G2469,3,0)</f>
        <v>140.7</v>
      </c>
      <c r="H1376" s="320"/>
      <c r="I1376" s="320"/>
      <c r="J1376" s="320"/>
      <c r="K1376" s="320"/>
      <c r="L1376" s="320"/>
      <c r="M1376" s="320"/>
      <c r="N1376" s="320"/>
      <c r="O1376" s="320"/>
    </row>
    <row r="1377">
      <c r="A1377" s="32">
        <f t="shared" si="1"/>
        <v>1376</v>
      </c>
      <c r="B1377" s="9" t="s">
        <v>3314</v>
      </c>
      <c r="C1377" s="460" t="s">
        <v>3023</v>
      </c>
      <c r="D1377" s="215" t="s">
        <v>3322</v>
      </c>
      <c r="E1377" s="18"/>
      <c r="F1377" s="18">
        <f>vlookup($C1377,'UGD FITTINGS'!$E$6:$G2469,2,0)</f>
        <v>306</v>
      </c>
      <c r="G1377" s="18">
        <f>vlookup($C1377,'UGD FITTINGS'!$E$6:$G2469,3,0)</f>
        <v>321.3</v>
      </c>
      <c r="H1377" s="320"/>
      <c r="I1377" s="320"/>
      <c r="J1377" s="320"/>
      <c r="K1377" s="320"/>
      <c r="L1377" s="320"/>
      <c r="M1377" s="320"/>
      <c r="N1377" s="320"/>
      <c r="O1377" s="320"/>
    </row>
    <row r="1378">
      <c r="A1378" s="32">
        <f t="shared" si="1"/>
        <v>1377</v>
      </c>
      <c r="B1378" s="9" t="s">
        <v>3314</v>
      </c>
      <c r="C1378" s="460" t="s">
        <v>3025</v>
      </c>
      <c r="D1378" s="215" t="s">
        <v>3323</v>
      </c>
      <c r="E1378" s="18"/>
      <c r="F1378" s="18">
        <f>vlookup($C1378,'UGD FITTINGS'!$E$6:$G2469,2,0)</f>
        <v>258.4</v>
      </c>
      <c r="G1378" s="18">
        <f>vlookup($C1378,'UGD FITTINGS'!$E$6:$G2469,3,0)</f>
        <v>271.3</v>
      </c>
      <c r="H1378" s="320"/>
      <c r="I1378" s="320"/>
      <c r="J1378" s="320"/>
      <c r="K1378" s="320"/>
      <c r="L1378" s="320"/>
      <c r="M1378" s="320"/>
      <c r="N1378" s="320"/>
      <c r="O1378" s="320"/>
    </row>
    <row r="1379">
      <c r="A1379" s="32">
        <f t="shared" si="1"/>
        <v>1378</v>
      </c>
      <c r="B1379" s="9" t="s">
        <v>3314</v>
      </c>
      <c r="C1379" s="460" t="s">
        <v>3026</v>
      </c>
      <c r="D1379" s="215" t="s">
        <v>3324</v>
      </c>
      <c r="E1379" s="18"/>
      <c r="F1379" s="18">
        <f>vlookup($C1379,'UGD FITTINGS'!$E$6:$G2469,2,0)</f>
        <v>248</v>
      </c>
      <c r="G1379" s="18">
        <f>vlookup($C1379,'UGD FITTINGS'!$E$6:$G2469,3,0)</f>
        <v>260.4</v>
      </c>
      <c r="H1379" s="320"/>
      <c r="I1379" s="320"/>
      <c r="J1379" s="320"/>
      <c r="K1379" s="320"/>
      <c r="L1379" s="320"/>
      <c r="M1379" s="320"/>
      <c r="N1379" s="320"/>
      <c r="O1379" s="320"/>
    </row>
    <row r="1380">
      <c r="A1380" s="32">
        <f t="shared" si="1"/>
        <v>1379</v>
      </c>
      <c r="B1380" s="9" t="s">
        <v>3314</v>
      </c>
      <c r="C1380" s="460" t="s">
        <v>3027</v>
      </c>
      <c r="D1380" s="215" t="s">
        <v>3324</v>
      </c>
      <c r="E1380" s="18"/>
      <c r="F1380" s="18">
        <f>vlookup($C1380,'UGD FITTINGS'!$E$6:$G2469,2,0)</f>
        <v>632</v>
      </c>
      <c r="G1380" s="18">
        <f>vlookup($C1380,'UGD FITTINGS'!$E$6:$G2469,3,0)</f>
        <v>663.6</v>
      </c>
      <c r="H1380" s="320"/>
      <c r="I1380" s="320"/>
      <c r="J1380" s="320"/>
      <c r="K1380" s="320"/>
      <c r="L1380" s="320"/>
      <c r="M1380" s="320"/>
      <c r="N1380" s="320"/>
      <c r="O1380" s="320"/>
    </row>
    <row r="1381">
      <c r="A1381" s="32">
        <f t="shared" si="1"/>
        <v>1380</v>
      </c>
      <c r="B1381" s="9" t="s">
        <v>3314</v>
      </c>
      <c r="C1381" s="460" t="s">
        <v>3028</v>
      </c>
      <c r="D1381" s="215" t="s">
        <v>3325</v>
      </c>
      <c r="E1381" s="18"/>
      <c r="F1381" s="18">
        <f>vlookup($C1381,'UGD FITTINGS'!$E$6:$G2469,2,0)</f>
        <v>596</v>
      </c>
      <c r="G1381" s="18">
        <f>vlookup($C1381,'UGD FITTINGS'!$E$6:$G2469,3,0)</f>
        <v>625.8</v>
      </c>
      <c r="H1381" s="320"/>
      <c r="I1381" s="320"/>
      <c r="J1381" s="320"/>
      <c r="K1381" s="320"/>
      <c r="L1381" s="320"/>
      <c r="M1381" s="320"/>
      <c r="N1381" s="320"/>
      <c r="O1381" s="320"/>
    </row>
    <row r="1382">
      <c r="A1382" s="32">
        <f t="shared" si="1"/>
        <v>1381</v>
      </c>
      <c r="B1382" s="9" t="s">
        <v>3314</v>
      </c>
      <c r="C1382" s="460" t="s">
        <v>3029</v>
      </c>
      <c r="D1382" s="215" t="s">
        <v>3325</v>
      </c>
      <c r="E1382" s="18"/>
      <c r="F1382" s="18">
        <f>vlookup($C1382,'UGD FITTINGS'!$E$6:$G2469,2,0)</f>
        <v>548</v>
      </c>
      <c r="G1382" s="18">
        <f>vlookup($C1382,'UGD FITTINGS'!$E$6:$G2469,3,0)</f>
        <v>575.4</v>
      </c>
      <c r="H1382" s="320"/>
      <c r="I1382" s="320"/>
      <c r="J1382" s="320"/>
      <c r="K1382" s="320"/>
      <c r="L1382" s="320"/>
      <c r="M1382" s="320"/>
      <c r="N1382" s="320"/>
      <c r="O1382" s="320"/>
    </row>
    <row r="1383">
      <c r="A1383" s="32">
        <f t="shared" si="1"/>
        <v>1382</v>
      </c>
      <c r="B1383" s="9" t="s">
        <v>3314</v>
      </c>
      <c r="C1383" s="460" t="s">
        <v>3030</v>
      </c>
      <c r="D1383" s="215" t="s">
        <v>3326</v>
      </c>
      <c r="E1383" s="18"/>
      <c r="F1383" s="18">
        <f>vlookup($C1383,'UGD FITTINGS'!$E$6:$G2469,2,0)</f>
        <v>326</v>
      </c>
      <c r="G1383" s="18">
        <f>vlookup($C1383,'UGD FITTINGS'!$E$6:$G2469,3,0)</f>
        <v>342.3</v>
      </c>
      <c r="H1383" s="320"/>
      <c r="I1383" s="320"/>
      <c r="J1383" s="320"/>
      <c r="K1383" s="320"/>
      <c r="L1383" s="320"/>
      <c r="M1383" s="320"/>
      <c r="N1383" s="320"/>
      <c r="O1383" s="320"/>
    </row>
    <row r="1384">
      <c r="A1384" s="32">
        <f t="shared" si="1"/>
        <v>1383</v>
      </c>
      <c r="B1384" s="9" t="s">
        <v>3314</v>
      </c>
      <c r="C1384" s="460" t="s">
        <v>3031</v>
      </c>
      <c r="D1384" s="215" t="s">
        <v>3327</v>
      </c>
      <c r="E1384" s="18"/>
      <c r="F1384" s="18">
        <f>vlookup($C1384,'UGD FITTINGS'!$E$6:$G2469,2,0)</f>
        <v>314.2</v>
      </c>
      <c r="G1384" s="18">
        <f>vlookup($C1384,'UGD FITTINGS'!$E$6:$G2469,3,0)</f>
        <v>329.9</v>
      </c>
      <c r="H1384" s="320"/>
      <c r="I1384" s="320"/>
      <c r="J1384" s="320"/>
      <c r="K1384" s="320"/>
      <c r="L1384" s="320"/>
      <c r="M1384" s="320"/>
      <c r="N1384" s="320"/>
      <c r="O1384" s="320"/>
    </row>
    <row r="1385">
      <c r="A1385" s="32">
        <f t="shared" si="1"/>
        <v>1384</v>
      </c>
      <c r="B1385" s="9" t="s">
        <v>3314</v>
      </c>
      <c r="C1385" s="460" t="s">
        <v>3032</v>
      </c>
      <c r="D1385" s="215" t="s">
        <v>3327</v>
      </c>
      <c r="E1385" s="18"/>
      <c r="F1385" s="18">
        <f>vlookup($C1385,'UGD FITTINGS'!$E$6:$G2469,2,0)</f>
        <v>929.2</v>
      </c>
      <c r="G1385" s="18">
        <f>vlookup($C1385,'UGD FITTINGS'!$E$6:$G2469,3,0)</f>
        <v>675.7</v>
      </c>
      <c r="H1385" s="320"/>
      <c r="I1385" s="320"/>
      <c r="J1385" s="320"/>
      <c r="K1385" s="320"/>
      <c r="L1385" s="320"/>
      <c r="M1385" s="320"/>
      <c r="N1385" s="320"/>
      <c r="O1385" s="320"/>
    </row>
    <row r="1386">
      <c r="A1386" s="32">
        <f t="shared" si="1"/>
        <v>1385</v>
      </c>
      <c r="B1386" s="9" t="s">
        <v>3314</v>
      </c>
      <c r="C1386" s="460" t="s">
        <v>3033</v>
      </c>
      <c r="D1386" s="215" t="s">
        <v>3328</v>
      </c>
      <c r="E1386" s="18"/>
      <c r="F1386" s="18">
        <f>vlookup($C1386,'UGD FITTINGS'!$E$6:$G2469,2,0)</f>
        <v>27.8</v>
      </c>
      <c r="G1386" s="18">
        <f>vlookup($C1386,'UGD FITTINGS'!$E$6:$G2469,3,0)</f>
        <v>23.2</v>
      </c>
      <c r="H1386" s="320"/>
      <c r="I1386" s="320"/>
      <c r="J1386" s="320"/>
      <c r="K1386" s="320"/>
      <c r="L1386" s="320"/>
      <c r="M1386" s="320"/>
      <c r="N1386" s="320"/>
      <c r="O1386" s="320"/>
    </row>
    <row r="1387">
      <c r="A1387" s="32">
        <f t="shared" si="1"/>
        <v>1386</v>
      </c>
      <c r="B1387" s="9" t="s">
        <v>3314</v>
      </c>
      <c r="C1387" s="460" t="s">
        <v>3034</v>
      </c>
      <c r="D1387" s="215" t="s">
        <v>3328</v>
      </c>
      <c r="E1387" s="18"/>
      <c r="F1387" s="18">
        <f>vlookup($C1387,'UGD FITTINGS'!$E$6:$G2469,2,0)</f>
        <v>57.4</v>
      </c>
      <c r="G1387" s="18">
        <f>vlookup($C1387,'UGD FITTINGS'!$E$6:$G2469,3,0)</f>
        <v>60.3</v>
      </c>
      <c r="H1387" s="320"/>
      <c r="I1387" s="320"/>
      <c r="J1387" s="320"/>
      <c r="K1387" s="320"/>
      <c r="L1387" s="320"/>
      <c r="M1387" s="320"/>
      <c r="N1387" s="320"/>
      <c r="O1387" s="320"/>
    </row>
    <row r="1388">
      <c r="A1388" s="32">
        <f t="shared" si="1"/>
        <v>1387</v>
      </c>
      <c r="B1388" s="9" t="s">
        <v>3329</v>
      </c>
      <c r="C1388" s="78" t="s">
        <v>3142</v>
      </c>
      <c r="D1388" s="443" t="s">
        <v>3143</v>
      </c>
      <c r="E1388" s="18" t="str">
        <f>vlookup($C1388,'OPVC PIPE'!$B$3:$L2469,3,0)</f>
        <v>-</v>
      </c>
      <c r="F1388" s="18" t="str">
        <f>vlookup($C1388,'OPVC PIPE'!$B$3:$L2469,8,0)</f>
        <v>-</v>
      </c>
      <c r="G1388" s="18" t="str">
        <f>vlookup($C1388,'OPVC PIPE'!$B$3:$L2469,11,0)</f>
        <v>-</v>
      </c>
      <c r="H1388" s="320"/>
      <c r="I1388" s="320"/>
      <c r="J1388" s="320"/>
      <c r="K1388" s="320"/>
      <c r="L1388" s="320"/>
      <c r="M1388" s="320"/>
      <c r="N1388" s="320"/>
      <c r="O1388" s="320"/>
    </row>
    <row r="1389">
      <c r="A1389" s="32">
        <f t="shared" si="1"/>
        <v>1388</v>
      </c>
      <c r="B1389" s="9" t="s">
        <v>3329</v>
      </c>
      <c r="C1389" s="78" t="s">
        <v>3149</v>
      </c>
      <c r="D1389" s="443" t="s">
        <v>3150</v>
      </c>
      <c r="E1389" s="18">
        <f>vlookup($C1389,'OPVC PIPE'!$B$3:$L2469,3,0)</f>
        <v>6.75</v>
      </c>
      <c r="F1389" s="18">
        <f>vlookup($C1389,'OPVC PIPE'!$B$3:$L2469,8,0)</f>
        <v>890</v>
      </c>
      <c r="G1389" s="18">
        <f>vlookup($C1389,'OPVC PIPE'!$B$3:$L2469,11,0)</f>
        <v>690</v>
      </c>
      <c r="H1389" s="320"/>
      <c r="I1389" s="320"/>
      <c r="J1389" s="320"/>
      <c r="K1389" s="320"/>
      <c r="L1389" s="320"/>
      <c r="M1389" s="320"/>
      <c r="N1389" s="320"/>
      <c r="O1389" s="320"/>
    </row>
    <row r="1390">
      <c r="A1390" s="32">
        <f t="shared" si="1"/>
        <v>1389</v>
      </c>
      <c r="B1390" s="9" t="s">
        <v>3329</v>
      </c>
      <c r="C1390" s="78" t="s">
        <v>3152</v>
      </c>
      <c r="D1390" s="443" t="s">
        <v>3153</v>
      </c>
      <c r="E1390" s="18">
        <f>vlookup($C1390,'OPVC PIPE'!$B$3:$L2469,3,0)</f>
        <v>13.8</v>
      </c>
      <c r="F1390" s="18">
        <f>vlookup($C1390,'OPVC PIPE'!$B$3:$L2469,8,0)</f>
        <v>1840</v>
      </c>
      <c r="G1390" s="18">
        <f>vlookup($C1390,'OPVC PIPE'!$B$3:$L2469,11,0)</f>
        <v>1390</v>
      </c>
      <c r="H1390" s="320"/>
      <c r="I1390" s="320"/>
      <c r="J1390" s="320"/>
      <c r="K1390" s="320"/>
      <c r="L1390" s="320"/>
      <c r="M1390" s="320"/>
      <c r="N1390" s="320"/>
      <c r="O1390" s="320"/>
    </row>
    <row r="1391">
      <c r="A1391" s="32">
        <f t="shared" si="1"/>
        <v>1390</v>
      </c>
      <c r="B1391" s="9" t="s">
        <v>3329</v>
      </c>
      <c r="C1391" s="78" t="s">
        <v>3154</v>
      </c>
      <c r="D1391" s="443" t="s">
        <v>3155</v>
      </c>
      <c r="E1391" s="18">
        <f>vlookup($C1391,'OPVC PIPE'!$B$3:$L2469,3,0)</f>
        <v>21</v>
      </c>
      <c r="F1391" s="18">
        <f>vlookup($C1391,'OPVC PIPE'!$B$3:$L2469,8,0)</f>
        <v>2820</v>
      </c>
      <c r="G1391" s="18">
        <f>vlookup($C1391,'OPVC PIPE'!$B$3:$L2469,11,0)</f>
        <v>2140</v>
      </c>
      <c r="H1391" s="320"/>
      <c r="I1391" s="320"/>
      <c r="J1391" s="320"/>
      <c r="K1391" s="320"/>
      <c r="L1391" s="320"/>
      <c r="M1391" s="320"/>
      <c r="N1391" s="320"/>
      <c r="O1391" s="320"/>
    </row>
    <row r="1392">
      <c r="A1392" s="32">
        <f t="shared" si="1"/>
        <v>1391</v>
      </c>
      <c r="B1392" s="9" t="s">
        <v>3329</v>
      </c>
      <c r="C1392" s="78" t="s">
        <v>3157</v>
      </c>
      <c r="D1392" s="443" t="s">
        <v>3158</v>
      </c>
      <c r="E1392" s="18">
        <f>vlookup($C1392,'OPVC PIPE'!$B$3:$L2469,3,0)</f>
        <v>32.5</v>
      </c>
      <c r="F1392" s="18">
        <f>vlookup($C1392,'OPVC PIPE'!$B$3:$L2469,8,0)</f>
        <v>4330</v>
      </c>
      <c r="G1392" s="18">
        <f>vlookup($C1392,'OPVC PIPE'!$B$3:$L2469,11,0)</f>
        <v>3290</v>
      </c>
      <c r="H1392" s="320"/>
      <c r="I1392" s="320"/>
      <c r="J1392" s="320"/>
      <c r="K1392" s="320"/>
      <c r="L1392" s="320"/>
      <c r="M1392" s="320"/>
      <c r="N1392" s="320"/>
      <c r="O1392" s="320"/>
    </row>
    <row r="1393">
      <c r="A1393" s="32">
        <f t="shared" si="1"/>
        <v>1392</v>
      </c>
      <c r="B1393" s="9" t="s">
        <v>3329</v>
      </c>
      <c r="C1393" s="78" t="s">
        <v>3161</v>
      </c>
      <c r="D1393" s="443" t="s">
        <v>3162</v>
      </c>
      <c r="E1393" s="18">
        <f>vlookup($C1393,'OPVC PIPE'!$B$3:$L2469,3,0)</f>
        <v>52</v>
      </c>
      <c r="F1393" s="18">
        <f>vlookup($C1393,'OPVC PIPE'!$B$3:$L2469,8,0)</f>
        <v>7760</v>
      </c>
      <c r="G1393" s="18">
        <f>vlookup($C1393,'OPVC PIPE'!$B$3:$L2469,11,0)</f>
        <v>5490</v>
      </c>
      <c r="H1393" s="320"/>
      <c r="I1393" s="320"/>
      <c r="J1393" s="320"/>
      <c r="K1393" s="320"/>
      <c r="L1393" s="320"/>
      <c r="M1393" s="320"/>
      <c r="N1393" s="320"/>
      <c r="O1393" s="320"/>
    </row>
    <row r="1394">
      <c r="A1394" s="32">
        <f t="shared" si="1"/>
        <v>1393</v>
      </c>
      <c r="B1394" s="9" t="s">
        <v>3329</v>
      </c>
      <c r="C1394" s="78" t="s">
        <v>3165</v>
      </c>
      <c r="D1394" s="443" t="s">
        <v>3166</v>
      </c>
      <c r="E1394" s="18">
        <f>vlookup($C1394,'OPVC PIPE'!$B$3:$L2469,3,0)</f>
        <v>82.5</v>
      </c>
      <c r="F1394" s="18">
        <f>vlookup($C1394,'OPVC PIPE'!$B$3:$L2469,8,0)</f>
        <v>12340</v>
      </c>
      <c r="G1394" s="18">
        <f>vlookup($C1394,'OPVC PIPE'!$B$3:$L2469,11,0)</f>
        <v>8890</v>
      </c>
      <c r="H1394" s="320"/>
      <c r="I1394" s="320"/>
      <c r="J1394" s="320"/>
      <c r="K1394" s="320"/>
      <c r="L1394" s="320"/>
      <c r="M1394" s="320"/>
      <c r="N1394" s="320"/>
      <c r="O1394" s="320"/>
    </row>
    <row r="1395">
      <c r="A1395" s="32">
        <f t="shared" si="1"/>
        <v>1394</v>
      </c>
      <c r="B1395" s="9" t="s">
        <v>3329</v>
      </c>
      <c r="C1395" s="78" t="s">
        <v>3169</v>
      </c>
      <c r="D1395" s="443" t="s">
        <v>3170</v>
      </c>
      <c r="E1395" s="18" t="str">
        <f>vlookup($C1395,'OPVC PIPE'!$B$3:$L2469,3,0)</f>
        <v>-</v>
      </c>
      <c r="F1395" s="18" t="str">
        <f>vlookup($C1395,'OPVC PIPE'!$B$3:$L2469,8,0)</f>
        <v>-</v>
      </c>
      <c r="G1395" s="18" t="str">
        <f>vlookup($C1395,'OPVC PIPE'!$B$3:$L2469,11,0)</f>
        <v>-</v>
      </c>
      <c r="H1395" s="320"/>
      <c r="I1395" s="320"/>
      <c r="J1395" s="320"/>
      <c r="K1395" s="320"/>
      <c r="L1395" s="320"/>
      <c r="M1395" s="320"/>
      <c r="N1395" s="320"/>
      <c r="O1395" s="320"/>
    </row>
    <row r="1396">
      <c r="A1396" s="32">
        <f t="shared" si="1"/>
        <v>1395</v>
      </c>
      <c r="B1396" s="9" t="s">
        <v>3329</v>
      </c>
      <c r="C1396" s="78" t="s">
        <v>3173</v>
      </c>
      <c r="D1396" s="443" t="s">
        <v>3174</v>
      </c>
      <c r="E1396" s="18">
        <f>vlookup($C1396,'OPVC PIPE'!$B$3:$L2469,3,0)</f>
        <v>8.5</v>
      </c>
      <c r="F1396" s="18">
        <f>vlookup($C1396,'OPVC PIPE'!$B$3:$L2469,8,0)</f>
        <v>1135</v>
      </c>
      <c r="G1396" s="18">
        <f>vlookup($C1396,'OPVC PIPE'!$B$3:$L2469,11,0)</f>
        <v>870</v>
      </c>
      <c r="H1396" s="320"/>
      <c r="I1396" s="320"/>
      <c r="J1396" s="320"/>
      <c r="K1396" s="320"/>
      <c r="L1396" s="320"/>
      <c r="M1396" s="320"/>
      <c r="N1396" s="320"/>
      <c r="O1396" s="320"/>
    </row>
    <row r="1397">
      <c r="A1397" s="32">
        <f t="shared" si="1"/>
        <v>1396</v>
      </c>
      <c r="B1397" s="9" t="s">
        <v>3329</v>
      </c>
      <c r="C1397" s="78" t="s">
        <v>3175</v>
      </c>
      <c r="D1397" s="443" t="s">
        <v>3176</v>
      </c>
      <c r="E1397" s="18" t="str">
        <f>vlookup($C1397,'OPVC PIPE'!$B$3:$L2469,3,0)</f>
        <v>-</v>
      </c>
      <c r="F1397" s="18" t="str">
        <f>vlookup($C1397,'OPVC PIPE'!$B$3:$L2469,8,0)</f>
        <v>-</v>
      </c>
      <c r="G1397" s="18" t="str">
        <f>vlookup($C1397,'OPVC PIPE'!$B$3:$L2469,11,0)</f>
        <v>-</v>
      </c>
      <c r="H1397" s="320"/>
      <c r="I1397" s="320"/>
      <c r="J1397" s="320"/>
      <c r="K1397" s="320"/>
      <c r="L1397" s="320"/>
      <c r="M1397" s="320"/>
      <c r="N1397" s="320"/>
      <c r="O1397" s="320"/>
    </row>
    <row r="1398">
      <c r="A1398" s="32">
        <f t="shared" si="1"/>
        <v>1397</v>
      </c>
      <c r="B1398" s="9" t="s">
        <v>3329</v>
      </c>
      <c r="C1398" s="78" t="s">
        <v>3178</v>
      </c>
      <c r="D1398" s="443" t="s">
        <v>3179</v>
      </c>
      <c r="E1398" s="18" t="str">
        <f>vlookup($C1398,'OPVC PIPE'!$B$3:$L2469,3,0)</f>
        <v>-</v>
      </c>
      <c r="F1398" s="18" t="str">
        <f>vlookup($C1398,'OPVC PIPE'!$B$3:$L2469,8,0)</f>
        <v>-</v>
      </c>
      <c r="G1398" s="18" t="str">
        <f>vlookup($C1398,'OPVC PIPE'!$B$3:$L2469,11,0)</f>
        <v>-</v>
      </c>
      <c r="H1398" s="320"/>
      <c r="I1398" s="320"/>
      <c r="J1398" s="320"/>
      <c r="K1398" s="320"/>
      <c r="L1398" s="320"/>
      <c r="M1398" s="320"/>
      <c r="N1398" s="320"/>
      <c r="O1398" s="320"/>
    </row>
    <row r="1399">
      <c r="A1399" s="32">
        <f t="shared" si="1"/>
        <v>1398</v>
      </c>
      <c r="B1399" s="9" t="s">
        <v>3329</v>
      </c>
      <c r="C1399" s="78" t="s">
        <v>3180</v>
      </c>
      <c r="D1399" s="443" t="s">
        <v>3181</v>
      </c>
      <c r="E1399" s="18">
        <f>vlookup($C1399,'OPVC PIPE'!$B$3:$L2469,3,0)</f>
        <v>17</v>
      </c>
      <c r="F1399" s="18">
        <f>vlookup($C1399,'OPVC PIPE'!$B$3:$L2469,8,0)</f>
        <v>2265</v>
      </c>
      <c r="G1399" s="18">
        <f>vlookup($C1399,'OPVC PIPE'!$B$3:$L2469,11,0)</f>
        <v>1690</v>
      </c>
      <c r="H1399" s="320"/>
      <c r="I1399" s="320"/>
      <c r="J1399" s="320"/>
      <c r="K1399" s="320"/>
      <c r="L1399" s="320"/>
      <c r="M1399" s="320"/>
      <c r="N1399" s="320"/>
      <c r="O1399" s="320"/>
    </row>
    <row r="1400">
      <c r="A1400" s="32">
        <f t="shared" si="1"/>
        <v>1399</v>
      </c>
      <c r="B1400" s="9" t="s">
        <v>3329</v>
      </c>
      <c r="C1400" s="78" t="s">
        <v>3185</v>
      </c>
      <c r="D1400" s="443" t="s">
        <v>3186</v>
      </c>
      <c r="E1400" s="18" t="str">
        <f>vlookup($C1400,'OPVC PIPE'!$B$3:$L2469,3,0)</f>
        <v>-</v>
      </c>
      <c r="F1400" s="18" t="str">
        <f>vlookup($C1400,'OPVC PIPE'!$B$3:$L2469,8,0)</f>
        <v>-</v>
      </c>
      <c r="G1400" s="18" t="str">
        <f>vlookup($C1400,'OPVC PIPE'!$B$3:$L2469,11,0)</f>
        <v>-</v>
      </c>
      <c r="H1400" s="320"/>
      <c r="I1400" s="320"/>
      <c r="J1400" s="320"/>
      <c r="K1400" s="320"/>
      <c r="L1400" s="320"/>
      <c r="M1400" s="320"/>
      <c r="N1400" s="320"/>
      <c r="O1400" s="320"/>
    </row>
    <row r="1401">
      <c r="A1401" s="32">
        <f t="shared" si="1"/>
        <v>1400</v>
      </c>
      <c r="B1401" s="9" t="s">
        <v>3329</v>
      </c>
      <c r="C1401" s="78" t="s">
        <v>3188</v>
      </c>
      <c r="D1401" s="443" t="s">
        <v>3189</v>
      </c>
      <c r="E1401" s="18">
        <f>vlookup($C1401,'OPVC PIPE'!$B$3:$L2469,3,0)</f>
        <v>26.5</v>
      </c>
      <c r="F1401" s="18">
        <f>vlookup($C1401,'OPVC PIPE'!$B$3:$L2469,8,0)</f>
        <v>3530</v>
      </c>
      <c r="G1401" s="18">
        <f>vlookup($C1401,'OPVC PIPE'!$B$3:$L2469,11,0)</f>
        <v>2690</v>
      </c>
      <c r="H1401" s="320"/>
      <c r="I1401" s="320"/>
      <c r="J1401" s="320"/>
      <c r="K1401" s="320"/>
      <c r="L1401" s="320"/>
      <c r="M1401" s="320"/>
      <c r="N1401" s="320"/>
      <c r="O1401" s="320"/>
    </row>
    <row r="1402">
      <c r="A1402" s="32">
        <f t="shared" si="1"/>
        <v>1401</v>
      </c>
      <c r="B1402" s="9" t="s">
        <v>3329</v>
      </c>
      <c r="C1402" s="78" t="s">
        <v>3192</v>
      </c>
      <c r="D1402" s="443" t="s">
        <v>3193</v>
      </c>
      <c r="E1402" s="18" t="str">
        <f>vlookup($C1402,'OPVC PIPE'!$B$3:$L2469,3,0)</f>
        <v>-</v>
      </c>
      <c r="F1402" s="18" t="str">
        <f>vlookup($C1402,'OPVC PIPE'!$B$3:$L2469,8,0)</f>
        <v>-</v>
      </c>
      <c r="G1402" s="18" t="str">
        <f>vlookup($C1402,'OPVC PIPE'!$B$3:$L2469,11,0)</f>
        <v>-</v>
      </c>
      <c r="H1402" s="320"/>
      <c r="I1402" s="320"/>
      <c r="J1402" s="320"/>
      <c r="K1402" s="320"/>
      <c r="L1402" s="320"/>
      <c r="M1402" s="320"/>
      <c r="N1402" s="320"/>
      <c r="O1402" s="320"/>
    </row>
    <row r="1403">
      <c r="A1403" s="32">
        <f t="shared" si="1"/>
        <v>1402</v>
      </c>
      <c r="B1403" s="9" t="s">
        <v>3329</v>
      </c>
      <c r="C1403" s="78" t="s">
        <v>3194</v>
      </c>
      <c r="D1403" s="443" t="s">
        <v>3195</v>
      </c>
      <c r="E1403" s="18">
        <f>vlookup($C1403,'OPVC PIPE'!$B$3:$L2469,3,0)</f>
        <v>41.5</v>
      </c>
      <c r="F1403" s="18">
        <f>vlookup($C1403,'OPVC PIPE'!$B$3:$L2469,8,0)</f>
        <v>5530</v>
      </c>
      <c r="G1403" s="18">
        <f>vlookup($C1403,'OPVC PIPE'!$B$3:$L2469,11,0)</f>
        <v>4190</v>
      </c>
      <c r="H1403" s="320"/>
      <c r="I1403" s="320"/>
      <c r="J1403" s="320"/>
      <c r="K1403" s="320"/>
      <c r="L1403" s="320"/>
      <c r="M1403" s="320"/>
      <c r="N1403" s="320"/>
      <c r="O1403" s="320"/>
    </row>
    <row r="1404">
      <c r="A1404" s="32">
        <f t="shared" si="1"/>
        <v>1403</v>
      </c>
      <c r="B1404" s="9" t="s">
        <v>3329</v>
      </c>
      <c r="C1404" s="78" t="s">
        <v>3196</v>
      </c>
      <c r="D1404" s="443" t="s">
        <v>3197</v>
      </c>
      <c r="E1404" s="18" t="str">
        <f>vlookup($C1404,'OPVC PIPE'!$B$3:$L2469,3,0)</f>
        <v>-</v>
      </c>
      <c r="F1404" s="18" t="str">
        <f>vlookup($C1404,'OPVC PIPE'!$B$3:$L2469,8,0)</f>
        <v>-</v>
      </c>
      <c r="G1404" s="18" t="str">
        <f>vlookup($C1404,'OPVC PIPE'!$B$3:$L2469,11,0)</f>
        <v>-</v>
      </c>
      <c r="H1404" s="320"/>
      <c r="I1404" s="320"/>
      <c r="J1404" s="320"/>
      <c r="K1404" s="320"/>
      <c r="L1404" s="320"/>
      <c r="M1404" s="320"/>
      <c r="N1404" s="320"/>
      <c r="O1404" s="320"/>
    </row>
    <row r="1405">
      <c r="A1405" s="32">
        <f t="shared" si="1"/>
        <v>1404</v>
      </c>
      <c r="B1405" s="9" t="s">
        <v>3329</v>
      </c>
      <c r="C1405" s="78" t="s">
        <v>3201</v>
      </c>
      <c r="D1405" s="443" t="s">
        <v>3202</v>
      </c>
      <c r="E1405" s="18">
        <f>vlookup($C1405,'OPVC PIPE'!$B$3:$L2469,3,0)</f>
        <v>64.5</v>
      </c>
      <c r="F1405" s="18">
        <f>vlookup($C1405,'OPVC PIPE'!$B$3:$L2469,8,0)</f>
        <v>9670</v>
      </c>
      <c r="G1405" s="18">
        <f>vlookup($C1405,'OPVC PIPE'!$B$3:$L2469,11,0)</f>
        <v>6890</v>
      </c>
      <c r="H1405" s="320"/>
      <c r="I1405" s="320"/>
      <c r="J1405" s="320"/>
      <c r="K1405" s="320"/>
      <c r="L1405" s="320"/>
      <c r="M1405" s="320"/>
      <c r="N1405" s="320"/>
      <c r="O1405" s="320"/>
    </row>
    <row r="1406">
      <c r="A1406" s="32">
        <f t="shared" si="1"/>
        <v>1405</v>
      </c>
      <c r="B1406" s="9" t="s">
        <v>3329</v>
      </c>
      <c r="C1406" s="78" t="s">
        <v>3205</v>
      </c>
      <c r="D1406" s="443" t="s">
        <v>3207</v>
      </c>
      <c r="E1406" s="18" t="str">
        <f>vlookup($C1406,'OPVC PIPE'!$B$3:$L2469,3,0)</f>
        <v>-</v>
      </c>
      <c r="F1406" s="18" t="str">
        <f>vlookup($C1406,'OPVC PIPE'!$B$3:$L2469,8,0)</f>
        <v>-</v>
      </c>
      <c r="G1406" s="18" t="str">
        <f>vlookup($C1406,'OPVC PIPE'!$B$3:$L2469,11,0)</f>
        <v>-</v>
      </c>
      <c r="H1406" s="320"/>
      <c r="I1406" s="320"/>
      <c r="J1406" s="320"/>
      <c r="K1406" s="320"/>
      <c r="L1406" s="320"/>
      <c r="M1406" s="320"/>
      <c r="N1406" s="320"/>
      <c r="O1406" s="320"/>
    </row>
    <row r="1407">
      <c r="A1407" s="32">
        <f t="shared" si="1"/>
        <v>1406</v>
      </c>
      <c r="B1407" s="9" t="s">
        <v>3329</v>
      </c>
      <c r="C1407" s="78" t="s">
        <v>3209</v>
      </c>
      <c r="D1407" s="443" t="s">
        <v>3210</v>
      </c>
      <c r="E1407" s="18">
        <f>vlookup($C1407,'OPVC PIPE'!$B$3:$L2469,3,0)</f>
        <v>104</v>
      </c>
      <c r="F1407" s="18">
        <f>vlookup($C1407,'OPVC PIPE'!$B$3:$L2469,8,0)</f>
        <v>15560</v>
      </c>
      <c r="G1407" s="18">
        <f>vlookup($C1407,'OPVC PIPE'!$B$3:$L2469,11,0)</f>
        <v>11900</v>
      </c>
      <c r="H1407" s="320"/>
      <c r="I1407" s="320"/>
      <c r="J1407" s="320"/>
      <c r="K1407" s="320"/>
      <c r="L1407" s="320"/>
      <c r="M1407" s="320"/>
      <c r="N1407" s="320"/>
      <c r="O1407" s="320"/>
    </row>
    <row r="1408">
      <c r="A1408" s="32">
        <f t="shared" si="1"/>
        <v>1407</v>
      </c>
      <c r="B1408" s="9" t="s">
        <v>3329</v>
      </c>
      <c r="C1408" s="78" t="s">
        <v>3212</v>
      </c>
      <c r="D1408" s="443" t="s">
        <v>3213</v>
      </c>
      <c r="E1408" s="18" t="str">
        <f>vlookup($C1408,'OPVC PIPE'!$B$3:$L2469,3,0)</f>
        <v>-</v>
      </c>
      <c r="F1408" s="18" t="str">
        <f>vlookup($C1408,'OPVC PIPE'!$B$3:$L2469,8,0)</f>
        <v>-</v>
      </c>
      <c r="G1408" s="18" t="str">
        <f>vlookup($C1408,'OPVC PIPE'!$B$3:$L2469,11,0)</f>
        <v>-</v>
      </c>
      <c r="H1408" s="320"/>
      <c r="I1408" s="320"/>
      <c r="J1408" s="320"/>
      <c r="K1408" s="320"/>
      <c r="L1408" s="320"/>
      <c r="M1408" s="320"/>
      <c r="N1408" s="320"/>
      <c r="O1408" s="320"/>
    </row>
    <row r="1409">
      <c r="A1409" s="32">
        <f t="shared" si="1"/>
        <v>1408</v>
      </c>
      <c r="B1409" s="9" t="s">
        <v>3329</v>
      </c>
      <c r="C1409" s="78" t="s">
        <v>3215</v>
      </c>
      <c r="D1409" s="443" t="s">
        <v>3216</v>
      </c>
      <c r="E1409" s="18">
        <f>vlookup($C1409,'OPVC PIPE'!$B$3:$L2469,3,0)</f>
        <v>10</v>
      </c>
      <c r="F1409" s="18">
        <f>vlookup($C1409,'OPVC PIPE'!$B$3:$L2469,8,0)</f>
        <v>1320</v>
      </c>
      <c r="G1409" s="18">
        <f>vlookup($C1409,'OPVC PIPE'!$B$3:$L2469,11,0)</f>
        <v>990</v>
      </c>
      <c r="H1409" s="320"/>
      <c r="I1409" s="320"/>
      <c r="J1409" s="320"/>
      <c r="K1409" s="320"/>
      <c r="L1409" s="320"/>
      <c r="M1409" s="320"/>
      <c r="N1409" s="320"/>
      <c r="O1409" s="320"/>
    </row>
    <row r="1410">
      <c r="A1410" s="32">
        <f t="shared" si="1"/>
        <v>1409</v>
      </c>
      <c r="B1410" s="9" t="s">
        <v>3329</v>
      </c>
      <c r="C1410" s="78" t="s">
        <v>3218</v>
      </c>
      <c r="D1410" s="443" t="s">
        <v>3219</v>
      </c>
      <c r="E1410" s="18" t="str">
        <f>vlookup($C1410,'OPVC PIPE'!$B$3:$L2469,3,0)</f>
        <v>-</v>
      </c>
      <c r="F1410" s="18" t="str">
        <f>vlookup($C1410,'OPVC PIPE'!$B$3:$L2469,8,0)</f>
        <v>-</v>
      </c>
      <c r="G1410" s="18" t="str">
        <f>vlookup($C1410,'OPVC PIPE'!$B$3:$L2469,11,0)</f>
        <v>-</v>
      </c>
      <c r="H1410" s="320"/>
      <c r="I1410" s="320"/>
      <c r="J1410" s="320"/>
      <c r="K1410" s="320"/>
      <c r="L1410" s="320"/>
      <c r="M1410" s="320"/>
      <c r="N1410" s="320"/>
      <c r="O1410" s="320"/>
    </row>
    <row r="1411">
      <c r="A1411" s="32">
        <f t="shared" si="1"/>
        <v>1410</v>
      </c>
      <c r="B1411" s="9" t="s">
        <v>3329</v>
      </c>
      <c r="C1411" s="78" t="s">
        <v>3221</v>
      </c>
      <c r="D1411" s="443" t="s">
        <v>3222</v>
      </c>
      <c r="E1411" s="18" t="str">
        <f>vlookup($C1411,'OPVC PIPE'!$B$3:$L2469,3,0)</f>
        <v>-</v>
      </c>
      <c r="F1411" s="18" t="str">
        <f>vlookup($C1411,'OPVC PIPE'!$B$3:$L2469,8,0)</f>
        <v>-</v>
      </c>
      <c r="G1411" s="18" t="str">
        <f>vlookup($C1411,'OPVC PIPE'!$B$3:$L2469,11,0)</f>
        <v>-</v>
      </c>
      <c r="H1411" s="320"/>
      <c r="I1411" s="320"/>
      <c r="J1411" s="320"/>
      <c r="K1411" s="320"/>
      <c r="L1411" s="320"/>
      <c r="M1411" s="320"/>
      <c r="N1411" s="320"/>
      <c r="O1411" s="320"/>
    </row>
    <row r="1412">
      <c r="A1412" s="32">
        <f t="shared" si="1"/>
        <v>1411</v>
      </c>
      <c r="B1412" s="9" t="s">
        <v>3329</v>
      </c>
      <c r="C1412" s="78" t="s">
        <v>3223</v>
      </c>
      <c r="D1412" s="443" t="s">
        <v>3224</v>
      </c>
      <c r="E1412" s="18">
        <f>vlookup($C1412,'OPVC PIPE'!$B$3:$L2469,3,0)</f>
        <v>21</v>
      </c>
      <c r="F1412" s="18">
        <f>vlookup($C1412,'OPVC PIPE'!$B$3:$L2469,8,0)</f>
        <v>2760</v>
      </c>
      <c r="G1412" s="18">
        <f>vlookup($C1412,'OPVC PIPE'!$B$3:$L2469,11,0)</f>
        <v>2140</v>
      </c>
      <c r="H1412" s="320"/>
      <c r="I1412" s="320"/>
      <c r="J1412" s="320"/>
      <c r="K1412" s="320"/>
      <c r="L1412" s="320"/>
      <c r="M1412" s="320"/>
      <c r="N1412" s="320"/>
      <c r="O1412" s="320"/>
    </row>
    <row r="1413">
      <c r="A1413" s="32">
        <f t="shared" si="1"/>
        <v>1412</v>
      </c>
      <c r="B1413" s="9" t="s">
        <v>3329</v>
      </c>
      <c r="C1413" s="78" t="s">
        <v>3226</v>
      </c>
      <c r="D1413" s="443" t="s">
        <v>3227</v>
      </c>
      <c r="E1413" s="18" t="str">
        <f>vlookup($C1413,'OPVC PIPE'!$B$3:$L2469,3,0)</f>
        <v>-</v>
      </c>
      <c r="F1413" s="18" t="str">
        <f>vlookup($C1413,'OPVC PIPE'!$B$3:$L2469,8,0)</f>
        <v>-</v>
      </c>
      <c r="G1413" s="18" t="str">
        <f>vlookup($C1413,'OPVC PIPE'!$B$3:$L2469,11,0)</f>
        <v>-</v>
      </c>
      <c r="H1413" s="320"/>
      <c r="I1413" s="320"/>
      <c r="J1413" s="320"/>
      <c r="K1413" s="320"/>
      <c r="L1413" s="320"/>
      <c r="M1413" s="320"/>
      <c r="N1413" s="320"/>
      <c r="O1413" s="320"/>
    </row>
    <row r="1414">
      <c r="A1414" s="32">
        <f t="shared" si="1"/>
        <v>1413</v>
      </c>
      <c r="B1414" s="9" t="s">
        <v>3329</v>
      </c>
      <c r="C1414" s="78" t="s">
        <v>3228</v>
      </c>
      <c r="D1414" s="443" t="s">
        <v>3229</v>
      </c>
      <c r="E1414" s="18">
        <f>vlookup($C1414,'OPVC PIPE'!$B$3:$L2469,3,0)</f>
        <v>32.5</v>
      </c>
      <c r="F1414" s="18">
        <f>vlookup($C1414,'OPVC PIPE'!$B$3:$L2469,8,0)</f>
        <v>4330</v>
      </c>
      <c r="G1414" s="18">
        <f>vlookup($C1414,'OPVC PIPE'!$B$3:$L2469,11,0)</f>
        <v>3290</v>
      </c>
      <c r="H1414" s="320"/>
      <c r="I1414" s="320"/>
      <c r="J1414" s="320"/>
      <c r="K1414" s="320"/>
      <c r="L1414" s="320"/>
      <c r="M1414" s="320"/>
      <c r="N1414" s="320"/>
      <c r="O1414" s="320"/>
    </row>
    <row r="1415">
      <c r="A1415" s="32">
        <f t="shared" si="1"/>
        <v>1414</v>
      </c>
      <c r="B1415" s="9" t="s">
        <v>3329</v>
      </c>
      <c r="C1415" s="78" t="s">
        <v>3231</v>
      </c>
      <c r="D1415" s="443" t="s">
        <v>3232</v>
      </c>
      <c r="E1415" s="18" t="str">
        <f>vlookup($C1415,'OPVC PIPE'!$B$3:$L2469,3,0)</f>
        <v>-</v>
      </c>
      <c r="F1415" s="18" t="str">
        <f>vlookup($C1415,'OPVC PIPE'!$B$3:$L2469,8,0)</f>
        <v>-</v>
      </c>
      <c r="G1415" s="18" t="str">
        <f>vlookup($C1415,'OPVC PIPE'!$B$3:$L2469,11,0)</f>
        <v>-</v>
      </c>
      <c r="H1415" s="320"/>
      <c r="I1415" s="320"/>
      <c r="J1415" s="320"/>
      <c r="K1415" s="320"/>
      <c r="L1415" s="320"/>
      <c r="M1415" s="320"/>
      <c r="N1415" s="320"/>
      <c r="O1415" s="320"/>
    </row>
    <row r="1416">
      <c r="A1416" s="32">
        <f t="shared" si="1"/>
        <v>1415</v>
      </c>
      <c r="B1416" s="9" t="s">
        <v>3329</v>
      </c>
      <c r="C1416" s="78" t="s">
        <v>3233</v>
      </c>
      <c r="D1416" s="443" t="s">
        <v>3234</v>
      </c>
      <c r="E1416" s="18">
        <f>vlookup($C1416,'OPVC PIPE'!$B$3:$L2469,3,0)</f>
        <v>51.5</v>
      </c>
      <c r="F1416" s="18">
        <f>vlookup($C1416,'OPVC PIPE'!$B$3:$L2469,8,0)</f>
        <v>6860</v>
      </c>
      <c r="G1416" s="18">
        <f>vlookup($C1416,'OPVC PIPE'!$B$3:$L2469,11,0)</f>
        <v>5240</v>
      </c>
      <c r="H1416" s="320"/>
      <c r="I1416" s="320"/>
      <c r="J1416" s="320"/>
      <c r="K1416" s="320"/>
      <c r="L1416" s="320"/>
      <c r="M1416" s="320"/>
      <c r="N1416" s="320"/>
      <c r="O1416" s="320"/>
    </row>
    <row r="1417">
      <c r="A1417" s="32">
        <f t="shared" si="1"/>
        <v>1416</v>
      </c>
      <c r="B1417" s="9" t="s">
        <v>3329</v>
      </c>
      <c r="C1417" s="78" t="s">
        <v>3236</v>
      </c>
      <c r="D1417" s="443" t="s">
        <v>3237</v>
      </c>
      <c r="E1417" s="18" t="str">
        <f>vlookup($C1417,'OPVC PIPE'!$B$3:$L2469,3,0)</f>
        <v>-</v>
      </c>
      <c r="F1417" s="18" t="str">
        <f>vlookup($C1417,'OPVC PIPE'!$B$3:$L2469,8,0)</f>
        <v>-</v>
      </c>
      <c r="G1417" s="18" t="str">
        <f>vlookup($C1417,'OPVC PIPE'!$B$3:$L2469,11,0)</f>
        <v>-</v>
      </c>
      <c r="H1417" s="320"/>
      <c r="I1417" s="320"/>
      <c r="J1417" s="320"/>
      <c r="K1417" s="320"/>
      <c r="L1417" s="320"/>
      <c r="M1417" s="320"/>
      <c r="N1417" s="320"/>
      <c r="O1417" s="320"/>
    </row>
    <row r="1418">
      <c r="A1418" s="32">
        <f t="shared" si="1"/>
        <v>1417</v>
      </c>
      <c r="B1418" s="9" t="s">
        <v>3329</v>
      </c>
      <c r="C1418" s="78" t="s">
        <v>3238</v>
      </c>
      <c r="D1418" s="443" t="s">
        <v>3240</v>
      </c>
      <c r="E1418" s="18">
        <f>vlookup($C1418,'OPVC PIPE'!$B$3:$L2469,3,0)</f>
        <v>80.5</v>
      </c>
      <c r="F1418" s="18">
        <f>vlookup($C1418,'OPVC PIPE'!$B$3:$L2469,8,0)</f>
        <v>11960</v>
      </c>
      <c r="G1418" s="18">
        <f>vlookup($C1418,'OPVC PIPE'!$B$3:$L2469,11,0)</f>
        <v>8640</v>
      </c>
      <c r="H1418" s="320"/>
      <c r="I1418" s="320"/>
      <c r="J1418" s="320"/>
      <c r="K1418" s="320"/>
      <c r="L1418" s="320"/>
      <c r="M1418" s="320"/>
      <c r="N1418" s="320"/>
      <c r="O1418" s="320"/>
    </row>
    <row r="1419">
      <c r="A1419" s="32">
        <f t="shared" si="1"/>
        <v>1418</v>
      </c>
      <c r="B1419" s="9" t="s">
        <v>3329</v>
      </c>
      <c r="C1419" s="78" t="s">
        <v>3241</v>
      </c>
      <c r="D1419" s="443" t="s">
        <v>3242</v>
      </c>
      <c r="E1419" s="18" t="str">
        <f>vlookup($C1419,'OPVC PIPE'!$B$3:$L2469,3,0)</f>
        <v>-</v>
      </c>
      <c r="F1419" s="18" t="str">
        <f>vlookup($C1419,'OPVC PIPE'!$B$3:$L2469,8,0)</f>
        <v>-</v>
      </c>
      <c r="G1419" s="18" t="str">
        <f>vlookup($C1419,'OPVC PIPE'!$B$3:$L2469,11,0)</f>
        <v>-</v>
      </c>
      <c r="H1419" s="320"/>
      <c r="I1419" s="320"/>
      <c r="J1419" s="320"/>
      <c r="K1419" s="320"/>
      <c r="L1419" s="320"/>
      <c r="M1419" s="320"/>
      <c r="N1419" s="320"/>
      <c r="O1419" s="320"/>
    </row>
    <row r="1420">
      <c r="A1420" s="32">
        <f t="shared" si="1"/>
        <v>1419</v>
      </c>
      <c r="B1420" s="9" t="s">
        <v>3329</v>
      </c>
      <c r="C1420" s="78" t="s">
        <v>3244</v>
      </c>
      <c r="D1420" s="443" t="s">
        <v>3245</v>
      </c>
      <c r="E1420" s="18">
        <f>vlookup($C1420,'OPVC PIPE'!$B$3:$L2469,3,0)</f>
        <v>128.5</v>
      </c>
      <c r="F1420" s="18">
        <f>vlookup($C1420,'OPVC PIPE'!$B$3:$L2469,8,0)</f>
        <v>18890</v>
      </c>
      <c r="G1420" s="18">
        <f>vlookup($C1420,'OPVC PIPE'!$B$3:$L2469,11,0)</f>
        <v>13680</v>
      </c>
      <c r="H1420" s="320"/>
      <c r="I1420" s="320"/>
      <c r="J1420" s="320"/>
      <c r="K1420" s="320"/>
      <c r="L1420" s="320"/>
      <c r="M1420" s="320"/>
      <c r="N1420" s="320"/>
      <c r="O1420" s="320"/>
    </row>
    <row r="1421">
      <c r="A1421" s="32">
        <f t="shared" si="1"/>
        <v>1420</v>
      </c>
      <c r="B1421" s="9" t="s">
        <v>3329</v>
      </c>
      <c r="C1421" s="78" t="s">
        <v>3246</v>
      </c>
      <c r="D1421" s="443" t="s">
        <v>3247</v>
      </c>
      <c r="E1421" s="18" t="str">
        <f>vlookup($C1421,'OPVC PIPE'!$B$3:$L2469,3,0)</f>
        <v>-</v>
      </c>
      <c r="F1421" s="18" t="str">
        <f>vlookup($C1421,'OPVC PIPE'!$B$3:$L2469,8,0)</f>
        <v>-</v>
      </c>
      <c r="G1421" s="18" t="str">
        <f>vlookup($C1421,'OPVC PIPE'!$B$3:$L2469,11,0)</f>
        <v>-</v>
      </c>
      <c r="H1421" s="320"/>
      <c r="I1421" s="320"/>
      <c r="J1421" s="320"/>
      <c r="K1421" s="320"/>
      <c r="L1421" s="320"/>
      <c r="M1421" s="320"/>
      <c r="N1421" s="320"/>
      <c r="O1421" s="320"/>
    </row>
    <row r="1422">
      <c r="A1422" s="32">
        <f t="shared" si="1"/>
        <v>1421</v>
      </c>
      <c r="B1422" s="9" t="s">
        <v>3329</v>
      </c>
      <c r="C1422" s="78" t="s">
        <v>3250</v>
      </c>
      <c r="D1422" s="443" t="s">
        <v>3251</v>
      </c>
      <c r="E1422" s="18">
        <f>vlookup($C1422,'OPVC PIPE'!$B$3:$L2469,3,0)</f>
        <v>12.5</v>
      </c>
      <c r="F1422" s="18">
        <f>vlookup($C1422,'OPVC PIPE'!$B$3:$L2469,8,0)</f>
        <v>1660</v>
      </c>
      <c r="G1422" s="18">
        <f>vlookup($C1422,'OPVC PIPE'!$B$3:$L2469,11,0)</f>
        <v>1280</v>
      </c>
      <c r="H1422" s="320"/>
      <c r="I1422" s="320"/>
      <c r="J1422" s="320"/>
      <c r="K1422" s="320"/>
      <c r="L1422" s="320"/>
      <c r="M1422" s="320"/>
      <c r="N1422" s="320"/>
      <c r="O1422" s="320"/>
    </row>
    <row r="1423">
      <c r="A1423" s="32">
        <f t="shared" si="1"/>
        <v>1422</v>
      </c>
      <c r="B1423" s="9" t="s">
        <v>3329</v>
      </c>
      <c r="C1423" s="78" t="s">
        <v>3253</v>
      </c>
      <c r="D1423" s="443" t="s">
        <v>3254</v>
      </c>
      <c r="E1423" s="18" t="str">
        <f>vlookup($C1423,'OPVC PIPE'!$B$3:$L2469,3,0)</f>
        <v>-</v>
      </c>
      <c r="F1423" s="18" t="str">
        <f>vlookup($C1423,'OPVC PIPE'!$B$3:$L2469,8,0)</f>
        <v>-</v>
      </c>
      <c r="G1423" s="18" t="str">
        <f>vlookup($C1423,'OPVC PIPE'!$B$3:$L2469,11,0)</f>
        <v>-</v>
      </c>
      <c r="H1423" s="320"/>
      <c r="I1423" s="320"/>
      <c r="J1423" s="320"/>
      <c r="K1423" s="320"/>
      <c r="L1423" s="320"/>
      <c r="M1423" s="320"/>
      <c r="N1423" s="320"/>
      <c r="O1423" s="320"/>
    </row>
    <row r="1424">
      <c r="A1424" s="32">
        <f t="shared" si="1"/>
        <v>1423</v>
      </c>
      <c r="B1424" s="9" t="s">
        <v>3329</v>
      </c>
      <c r="C1424" s="78" t="s">
        <v>3255</v>
      </c>
      <c r="D1424" s="443" t="s">
        <v>3256</v>
      </c>
      <c r="E1424" s="18" t="str">
        <f>vlookup($C1424,'OPVC PIPE'!$B$3:$L2469,3,0)</f>
        <v>-</v>
      </c>
      <c r="F1424" s="18" t="str">
        <f>vlookup($C1424,'OPVC PIPE'!$B$3:$L2469,8,0)</f>
        <v>-</v>
      </c>
      <c r="G1424" s="18" t="str">
        <f>vlookup($C1424,'OPVC PIPE'!$B$3:$L2469,11,0)</f>
        <v>-</v>
      </c>
      <c r="H1424" s="320"/>
      <c r="I1424" s="320"/>
      <c r="J1424" s="320"/>
      <c r="K1424" s="320"/>
      <c r="L1424" s="320"/>
      <c r="M1424" s="320"/>
      <c r="N1424" s="320"/>
      <c r="O1424" s="320"/>
    </row>
    <row r="1425">
      <c r="A1425" s="32">
        <f t="shared" si="1"/>
        <v>1424</v>
      </c>
      <c r="B1425" s="9" t="s">
        <v>3329</v>
      </c>
      <c r="C1425" s="78" t="s">
        <v>3258</v>
      </c>
      <c r="D1425" s="443" t="s">
        <v>3259</v>
      </c>
      <c r="E1425" s="18">
        <f>vlookup($C1425,'OPVC PIPE'!$B$3:$L2469,3,0)</f>
        <v>26.5</v>
      </c>
      <c r="F1425" s="18">
        <f>vlookup($C1425,'OPVC PIPE'!$B$3:$L2469,8,0)</f>
        <v>3530</v>
      </c>
      <c r="G1425" s="18">
        <f>vlookup($C1425,'OPVC PIPE'!$B$3:$L2469,11,0)</f>
        <v>2680</v>
      </c>
      <c r="H1425" s="320"/>
      <c r="I1425" s="320"/>
      <c r="J1425" s="320"/>
      <c r="K1425" s="320"/>
      <c r="L1425" s="320"/>
      <c r="M1425" s="320"/>
      <c r="N1425" s="320"/>
      <c r="O1425" s="320"/>
    </row>
    <row r="1426">
      <c r="A1426" s="32">
        <f t="shared" si="1"/>
        <v>1425</v>
      </c>
      <c r="B1426" s="9" t="s">
        <v>3329</v>
      </c>
      <c r="C1426" s="78" t="s">
        <v>3260</v>
      </c>
      <c r="D1426" s="443" t="s">
        <v>3261</v>
      </c>
      <c r="E1426" s="18" t="str">
        <f>vlookup($C1426,'OPVC PIPE'!$B$3:$L2469,3,0)</f>
        <v>-</v>
      </c>
      <c r="F1426" s="18" t="str">
        <f>vlookup($C1426,'OPVC PIPE'!$B$3:$L2469,8,0)</f>
        <v>-</v>
      </c>
      <c r="G1426" s="18" t="str">
        <f>vlookup($C1426,'OPVC PIPE'!$B$3:$L2469,11,0)</f>
        <v>-</v>
      </c>
      <c r="H1426" s="320"/>
      <c r="I1426" s="320"/>
      <c r="J1426" s="320"/>
      <c r="K1426" s="320"/>
      <c r="L1426" s="320"/>
      <c r="M1426" s="320"/>
      <c r="N1426" s="320"/>
      <c r="O1426" s="320"/>
    </row>
    <row r="1427">
      <c r="A1427" s="32">
        <f t="shared" si="1"/>
        <v>1426</v>
      </c>
      <c r="B1427" s="9" t="s">
        <v>3329</v>
      </c>
      <c r="C1427" s="78" t="s">
        <v>3263</v>
      </c>
      <c r="D1427" s="443" t="s">
        <v>3264</v>
      </c>
      <c r="E1427" s="18">
        <f>vlookup($C1427,'OPVC PIPE'!$B$3:$L2469,3,0)</f>
        <v>40.5</v>
      </c>
      <c r="F1427" s="18">
        <f>vlookup($C1427,'OPVC PIPE'!$B$3:$L2469,8,0)</f>
        <v>5370</v>
      </c>
      <c r="G1427" s="18">
        <f>vlookup($C1427,'OPVC PIPE'!$B$3:$L2469,11,0)</f>
        <v>4160</v>
      </c>
      <c r="H1427" s="320"/>
      <c r="I1427" s="320"/>
      <c r="J1427" s="320"/>
      <c r="K1427" s="320"/>
      <c r="L1427" s="320"/>
      <c r="M1427" s="320"/>
      <c r="N1427" s="320"/>
      <c r="O1427" s="320"/>
    </row>
    <row r="1428">
      <c r="A1428" s="32">
        <f t="shared" si="1"/>
        <v>1427</v>
      </c>
      <c r="B1428" s="9" t="s">
        <v>3329</v>
      </c>
      <c r="C1428" s="78" t="s">
        <v>3266</v>
      </c>
      <c r="D1428" s="443" t="s">
        <v>3267</v>
      </c>
      <c r="E1428" s="18" t="str">
        <f>vlookup($C1428,'OPVC PIPE'!$B$3:$L2469,3,0)</f>
        <v>-</v>
      </c>
      <c r="F1428" s="18" t="str">
        <f>vlookup($C1428,'OPVC PIPE'!$B$3:$L2469,8,0)</f>
        <v>-</v>
      </c>
      <c r="G1428" s="18" t="str">
        <f>vlookup($C1428,'OPVC PIPE'!$B$3:$L2469,11,0)</f>
        <v>-</v>
      </c>
      <c r="H1428" s="320"/>
      <c r="I1428" s="320"/>
      <c r="J1428" s="320"/>
      <c r="K1428" s="320"/>
      <c r="L1428" s="320"/>
      <c r="M1428" s="320"/>
      <c r="N1428" s="320"/>
      <c r="O1428" s="320"/>
    </row>
    <row r="1429">
      <c r="A1429" s="32">
        <f t="shared" si="1"/>
        <v>1428</v>
      </c>
      <c r="B1429" s="9" t="s">
        <v>3329</v>
      </c>
      <c r="C1429" s="78" t="s">
        <v>3268</v>
      </c>
      <c r="D1429" s="443" t="s">
        <v>3269</v>
      </c>
      <c r="E1429" s="18">
        <f>vlookup($C1429,'OPVC PIPE'!$B$3:$L2469,3,0)</f>
        <v>63.5</v>
      </c>
      <c r="F1429" s="18">
        <f>vlookup($C1429,'OPVC PIPE'!$B$3:$L2469,8,0)</f>
        <v>8460</v>
      </c>
      <c r="G1429" s="18">
        <f>vlookup($C1429,'OPVC PIPE'!$B$3:$L2469,11,0)</f>
        <v>5480</v>
      </c>
      <c r="H1429" s="320"/>
      <c r="I1429" s="320"/>
      <c r="J1429" s="320"/>
      <c r="K1429" s="320"/>
      <c r="L1429" s="320"/>
      <c r="M1429" s="320"/>
      <c r="N1429" s="320"/>
      <c r="O1429" s="320"/>
    </row>
    <row r="1430">
      <c r="A1430" s="32">
        <f t="shared" si="1"/>
        <v>1429</v>
      </c>
      <c r="B1430" s="9" t="s">
        <v>3329</v>
      </c>
      <c r="C1430" s="78" t="s">
        <v>3271</v>
      </c>
      <c r="D1430" s="443" t="s">
        <v>3272</v>
      </c>
      <c r="E1430" s="18" t="str">
        <f>vlookup($C1430,'OPVC PIPE'!$B$3:$L2469,3,0)</f>
        <v>-</v>
      </c>
      <c r="F1430" s="18" t="str">
        <f>vlookup($C1430,'OPVC PIPE'!$B$3:$L2469,8,0)</f>
        <v>-</v>
      </c>
      <c r="G1430" s="18" t="str">
        <f>vlookup($C1430,'OPVC PIPE'!$B$3:$L2469,11,0)</f>
        <v>-</v>
      </c>
      <c r="H1430" s="320"/>
      <c r="I1430" s="320"/>
      <c r="J1430" s="320"/>
      <c r="K1430" s="320"/>
      <c r="L1430" s="320"/>
      <c r="M1430" s="320"/>
      <c r="N1430" s="320"/>
      <c r="O1430" s="320"/>
    </row>
    <row r="1431">
      <c r="A1431" s="32">
        <f t="shared" si="1"/>
        <v>1430</v>
      </c>
      <c r="B1431" s="9" t="s">
        <v>3329</v>
      </c>
      <c r="C1431" s="78" t="s">
        <v>3274</v>
      </c>
      <c r="D1431" s="443" t="s">
        <v>3275</v>
      </c>
      <c r="E1431" s="18">
        <f>vlookup($C1431,'OPVC PIPE'!$B$3:$L2469,3,0)</f>
        <v>100</v>
      </c>
      <c r="F1431" s="18">
        <f>vlookup($C1431,'OPVC PIPE'!$B$3:$L2469,8,0)</f>
        <v>14890</v>
      </c>
      <c r="G1431" s="18">
        <f>vlookup($C1431,'OPVC PIPE'!$B$3:$L2469,11,0)</f>
        <v>10680</v>
      </c>
      <c r="H1431" s="320"/>
      <c r="I1431" s="320"/>
      <c r="J1431" s="320"/>
      <c r="K1431" s="320"/>
      <c r="L1431" s="320"/>
      <c r="M1431" s="320"/>
      <c r="N1431" s="320"/>
      <c r="O1431" s="320"/>
    </row>
    <row r="1432">
      <c r="A1432" s="32">
        <f t="shared" si="1"/>
        <v>1431</v>
      </c>
      <c r="B1432" s="9" t="s">
        <v>3329</v>
      </c>
      <c r="C1432" s="78" t="s">
        <v>3276</v>
      </c>
      <c r="D1432" s="443" t="s">
        <v>3277</v>
      </c>
      <c r="E1432" s="18" t="str">
        <f>vlookup($C1432,'OPVC PIPE'!$B$3:$L2469,3,0)</f>
        <v>-</v>
      </c>
      <c r="F1432" s="18" t="str">
        <f>vlookup($C1432,'OPVC PIPE'!$B$3:$L2469,8,0)</f>
        <v>-</v>
      </c>
      <c r="G1432" s="18" t="str">
        <f>vlookup($C1432,'OPVC PIPE'!$B$3:$L2469,11,0)</f>
        <v>-</v>
      </c>
      <c r="H1432" s="320"/>
      <c r="I1432" s="320"/>
      <c r="J1432" s="320"/>
      <c r="K1432" s="320"/>
      <c r="L1432" s="320"/>
      <c r="M1432" s="320"/>
      <c r="N1432" s="320"/>
      <c r="O1432" s="320"/>
    </row>
    <row r="1433">
      <c r="A1433" s="32">
        <f t="shared" si="1"/>
        <v>1432</v>
      </c>
      <c r="B1433" s="9" t="s">
        <v>3329</v>
      </c>
      <c r="C1433" s="78" t="s">
        <v>3279</v>
      </c>
      <c r="D1433" s="443" t="s">
        <v>3280</v>
      </c>
      <c r="E1433" s="18">
        <f>vlookup($C1433,'OPVC PIPE'!$B$3:$L2469,3,0)</f>
        <v>160</v>
      </c>
      <c r="F1433" s="18">
        <f>vlookup($C1433,'OPVC PIPE'!$B$3:$L2469,8,0)</f>
        <v>23840</v>
      </c>
      <c r="G1433" s="18">
        <f>vlookup($C1433,'OPVC PIPE'!$B$3:$L2469,11,0)</f>
        <v>16940</v>
      </c>
      <c r="H1433" s="320"/>
      <c r="I1433" s="320"/>
      <c r="J1433" s="320"/>
      <c r="K1433" s="320"/>
      <c r="L1433" s="320"/>
      <c r="M1433" s="320"/>
      <c r="N1433" s="320"/>
      <c r="O1433" s="320"/>
    </row>
    <row r="1434">
      <c r="A1434" s="32">
        <f t="shared" si="1"/>
        <v>1433</v>
      </c>
      <c r="B1434" s="9" t="s">
        <v>3330</v>
      </c>
      <c r="C1434" s="460" t="s">
        <v>3146</v>
      </c>
      <c r="D1434" s="4" t="s">
        <v>2061</v>
      </c>
      <c r="E1434" s="18">
        <f>vlookup($C1434,'OPVC FITTINGS'!$E$5:$H2469,3,0)</f>
        <v>3580</v>
      </c>
      <c r="F1434" s="320"/>
      <c r="G1434" s="18">
        <f>vlookup($C1434,'OPVC FITTINGS'!$E$5:$H2469,2,0)</f>
        <v>4480</v>
      </c>
      <c r="H1434" s="320"/>
      <c r="I1434" s="320"/>
      <c r="J1434" s="320"/>
      <c r="K1434" s="320"/>
      <c r="L1434" s="320"/>
      <c r="M1434" s="320"/>
      <c r="N1434" s="320"/>
      <c r="O1434" s="320"/>
    </row>
    <row r="1435">
      <c r="A1435" s="32">
        <f t="shared" si="1"/>
        <v>1434</v>
      </c>
      <c r="B1435" s="9" t="s">
        <v>3330</v>
      </c>
      <c r="C1435" s="500" t="s">
        <v>3159</v>
      </c>
      <c r="D1435" s="4" t="s">
        <v>2998</v>
      </c>
      <c r="E1435" s="18">
        <f>vlookup($C1435,'OPVC FITTINGS'!$E$5:$H2469,3,0)</f>
        <v>8590</v>
      </c>
      <c r="F1435" s="320"/>
      <c r="G1435" s="18">
        <f>vlookup($C1435,'OPVC FITTINGS'!$E$5:$H2469,2,0)</f>
        <v>9960</v>
      </c>
      <c r="H1435" s="320"/>
      <c r="I1435" s="320"/>
      <c r="J1435" s="320"/>
      <c r="K1435" s="320"/>
      <c r="L1435" s="320"/>
      <c r="M1435" s="320"/>
      <c r="N1435" s="320"/>
      <c r="O1435" s="320"/>
    </row>
    <row r="1436">
      <c r="A1436" s="32">
        <f t="shared" si="1"/>
        <v>1435</v>
      </c>
      <c r="B1436" s="9" t="s">
        <v>3330</v>
      </c>
      <c r="C1436" s="500" t="s">
        <v>3160</v>
      </c>
      <c r="D1436" s="4" t="s">
        <v>2998</v>
      </c>
      <c r="E1436" s="18">
        <f>vlookup($C1436,'OPVC FITTINGS'!$E$5:$H2469,3,0)</f>
        <v>18270</v>
      </c>
      <c r="F1436" s="320"/>
      <c r="G1436" s="18">
        <f>vlookup($C1436,'OPVC FITTINGS'!$E$5:$H2469,2,0)</f>
        <v>19840</v>
      </c>
      <c r="H1436" s="320"/>
      <c r="I1436" s="320"/>
      <c r="J1436" s="320"/>
      <c r="K1436" s="320"/>
      <c r="L1436" s="320"/>
      <c r="M1436" s="320"/>
      <c r="N1436" s="320"/>
      <c r="O1436" s="320"/>
    </row>
    <row r="1437">
      <c r="A1437" s="32">
        <f t="shared" si="1"/>
        <v>1436</v>
      </c>
      <c r="B1437" s="9" t="s">
        <v>3330</v>
      </c>
      <c r="C1437" s="500" t="s">
        <v>3164</v>
      </c>
      <c r="D1437" s="4" t="s">
        <v>2998</v>
      </c>
      <c r="E1437" s="18">
        <f>vlookup($C1437,'OPVC FITTINGS'!$E$5:$H2469,3,0)</f>
        <v>25940</v>
      </c>
      <c r="F1437" s="320"/>
      <c r="G1437" s="18">
        <f>vlookup($C1437,'OPVC FITTINGS'!$E$5:$H2469,2,0)</f>
        <v>28840</v>
      </c>
      <c r="H1437" s="320"/>
      <c r="I1437" s="320"/>
      <c r="J1437" s="320"/>
      <c r="K1437" s="320"/>
      <c r="L1437" s="320"/>
      <c r="M1437" s="320"/>
      <c r="N1437" s="320"/>
      <c r="O1437" s="320"/>
    </row>
    <row r="1438">
      <c r="A1438" s="32">
        <f t="shared" si="1"/>
        <v>1437</v>
      </c>
      <c r="B1438" s="9" t="s">
        <v>3330</v>
      </c>
      <c r="C1438" s="500" t="s">
        <v>3167</v>
      </c>
      <c r="D1438" s="4" t="s">
        <v>2998</v>
      </c>
      <c r="E1438" s="18" t="str">
        <f>vlookup($C1438,'OPVC FITTINGS'!$E$5:$H2469,3,0)</f>
        <v/>
      </c>
      <c r="F1438" s="320"/>
      <c r="G1438" s="18" t="str">
        <f>vlookup($C1438,'OPVC FITTINGS'!$E$5:$H2469,2,0)</f>
        <v>UPCOMING</v>
      </c>
      <c r="H1438" s="320"/>
      <c r="I1438" s="320"/>
      <c r="J1438" s="320"/>
      <c r="K1438" s="320"/>
      <c r="L1438" s="320"/>
      <c r="M1438" s="320"/>
      <c r="N1438" s="320"/>
      <c r="O1438" s="320"/>
    </row>
    <row r="1439">
      <c r="A1439" s="32">
        <f t="shared" si="1"/>
        <v>1438</v>
      </c>
      <c r="B1439" s="9" t="s">
        <v>3330</v>
      </c>
      <c r="C1439" s="500" t="s">
        <v>3182</v>
      </c>
      <c r="D1439" s="4" t="s">
        <v>52</v>
      </c>
      <c r="E1439" s="18">
        <f>vlookup($C1439,'OPVC FITTINGS'!$E$5:$H2469,3,0)</f>
        <v>5480</v>
      </c>
      <c r="F1439" s="320"/>
      <c r="G1439" s="18">
        <f>vlookup($C1439,'OPVC FITTINGS'!$E$5:$H2469,2,0)</f>
        <v>6380</v>
      </c>
      <c r="H1439" s="320"/>
      <c r="I1439" s="320"/>
      <c r="J1439" s="320"/>
      <c r="K1439" s="320"/>
      <c r="L1439" s="320"/>
      <c r="M1439" s="320"/>
      <c r="N1439" s="320"/>
      <c r="O1439" s="320"/>
    </row>
    <row r="1440">
      <c r="A1440" s="32">
        <f t="shared" si="1"/>
        <v>1439</v>
      </c>
      <c r="B1440" s="9" t="s">
        <v>3330</v>
      </c>
      <c r="C1440" s="500" t="s">
        <v>3184</v>
      </c>
      <c r="D1440" s="4" t="s">
        <v>52</v>
      </c>
      <c r="E1440" s="18">
        <f>vlookup($C1440,'OPVC FITTINGS'!$E$5:$H2469,3,0)</f>
        <v>12480</v>
      </c>
      <c r="F1440" s="320"/>
      <c r="G1440" s="18">
        <f>vlookup($C1440,'OPVC FITTINGS'!$E$5:$H2469,2,0)</f>
        <v>13980</v>
      </c>
      <c r="H1440" s="320"/>
      <c r="I1440" s="320"/>
      <c r="J1440" s="320"/>
      <c r="K1440" s="320"/>
      <c r="L1440" s="320"/>
      <c r="M1440" s="320"/>
      <c r="N1440" s="320"/>
      <c r="O1440" s="320"/>
    </row>
    <row r="1441">
      <c r="A1441" s="32">
        <f t="shared" si="1"/>
        <v>1440</v>
      </c>
      <c r="B1441" s="9" t="s">
        <v>3330</v>
      </c>
      <c r="C1441" s="500" t="s">
        <v>3187</v>
      </c>
      <c r="D1441" s="4" t="s">
        <v>52</v>
      </c>
      <c r="E1441" s="18">
        <f>vlookup($C1441,'OPVC FITTINGS'!$E$5:$H2469,3,0)</f>
        <v>18890</v>
      </c>
      <c r="F1441" s="320"/>
      <c r="G1441" s="18">
        <f>vlookup($C1441,'OPVC FITTINGS'!$E$5:$H2469,2,0)</f>
        <v>20000</v>
      </c>
      <c r="H1441" s="320"/>
      <c r="I1441" s="320"/>
      <c r="J1441" s="320"/>
      <c r="K1441" s="320"/>
      <c r="L1441" s="320"/>
      <c r="M1441" s="320"/>
      <c r="N1441" s="320"/>
      <c r="O1441" s="320"/>
    </row>
    <row r="1442">
      <c r="A1442" s="32">
        <f t="shared" si="1"/>
        <v>1441</v>
      </c>
      <c r="B1442" s="9" t="s">
        <v>3330</v>
      </c>
      <c r="C1442" s="500" t="s">
        <v>3190</v>
      </c>
      <c r="D1442" s="4" t="s">
        <v>52</v>
      </c>
      <c r="E1442" s="18" t="str">
        <f>vlookup($C1442,'OPVC FITTINGS'!$E$5:$H2469,3,0)</f>
        <v/>
      </c>
      <c r="F1442" s="320"/>
      <c r="G1442" s="18" t="str">
        <f>vlookup($C1442,'OPVC FITTINGS'!$E$5:$H2469,2,0)</f>
        <v>UPCOMING</v>
      </c>
      <c r="H1442" s="320"/>
      <c r="I1442" s="320"/>
      <c r="J1442" s="320"/>
      <c r="K1442" s="320"/>
      <c r="L1442" s="320"/>
      <c r="M1442" s="320"/>
      <c r="N1442" s="320"/>
      <c r="O1442" s="320"/>
    </row>
    <row r="1443">
      <c r="A1443" s="32">
        <f t="shared" si="1"/>
        <v>1442</v>
      </c>
      <c r="B1443" s="9" t="s">
        <v>3330</v>
      </c>
      <c r="C1443" s="500" t="s">
        <v>3200</v>
      </c>
      <c r="D1443" s="4" t="s">
        <v>160</v>
      </c>
      <c r="E1443" s="18">
        <f>vlookup($C1443,'OPVC FITTINGS'!$E$5:$H2469,3,0)</f>
        <v>5180</v>
      </c>
      <c r="F1443" s="320"/>
      <c r="G1443" s="18">
        <f>vlookup($C1443,'OPVC FITTINGS'!$E$5:$H2469,2,0)</f>
        <v>5780</v>
      </c>
      <c r="H1443" s="320"/>
      <c r="I1443" s="320"/>
      <c r="J1443" s="320"/>
      <c r="K1443" s="320"/>
      <c r="L1443" s="320"/>
      <c r="M1443" s="320"/>
      <c r="N1443" s="320"/>
      <c r="O1443" s="320"/>
    </row>
    <row r="1444">
      <c r="A1444" s="32">
        <f t="shared" si="1"/>
        <v>1443</v>
      </c>
      <c r="B1444" s="9" t="s">
        <v>3330</v>
      </c>
      <c r="C1444" s="500" t="s">
        <v>3203</v>
      </c>
      <c r="D1444" s="4" t="s">
        <v>160</v>
      </c>
      <c r="E1444" s="18">
        <f>vlookup($C1444,'OPVC FITTINGS'!$E$5:$H2469,3,0)</f>
        <v>12880</v>
      </c>
      <c r="F1444" s="320"/>
      <c r="G1444" s="18">
        <f>vlookup($C1444,'OPVC FITTINGS'!$E$5:$H2469,2,0)</f>
        <v>16840</v>
      </c>
      <c r="H1444" s="320"/>
      <c r="I1444" s="320"/>
      <c r="J1444" s="320"/>
      <c r="K1444" s="320"/>
      <c r="L1444" s="320"/>
      <c r="M1444" s="320"/>
      <c r="N1444" s="320"/>
      <c r="O1444" s="320"/>
    </row>
    <row r="1445">
      <c r="A1445" s="32">
        <f t="shared" si="1"/>
        <v>1444</v>
      </c>
      <c r="B1445" s="9" t="s">
        <v>3330</v>
      </c>
      <c r="C1445" s="500" t="s">
        <v>3206</v>
      </c>
      <c r="D1445" s="4" t="s">
        <v>160</v>
      </c>
      <c r="E1445" s="18">
        <f>vlookup($C1445,'OPVC FITTINGS'!$E$5:$H2469,3,0)</f>
        <v>15780</v>
      </c>
      <c r="F1445" s="320"/>
      <c r="G1445" s="18">
        <f>vlookup($C1445,'OPVC FITTINGS'!$E$5:$H2469,2,0)</f>
        <v>16840</v>
      </c>
      <c r="H1445" s="320"/>
      <c r="I1445" s="320"/>
      <c r="J1445" s="320"/>
      <c r="K1445" s="320"/>
      <c r="L1445" s="320"/>
      <c r="M1445" s="320"/>
      <c r="N1445" s="320"/>
      <c r="O1445" s="320"/>
    </row>
    <row r="1446">
      <c r="A1446" s="32">
        <f t="shared" si="1"/>
        <v>1445</v>
      </c>
      <c r="B1446" s="9" t="s">
        <v>3330</v>
      </c>
      <c r="C1446" s="500" t="s">
        <v>3208</v>
      </c>
      <c r="D1446" s="4" t="s">
        <v>160</v>
      </c>
      <c r="E1446" s="18" t="str">
        <f>vlookup($C1446,'OPVC FITTINGS'!$E$5:$H2469,3,0)</f>
        <v/>
      </c>
      <c r="F1446" s="320"/>
      <c r="G1446" s="18" t="str">
        <f>vlookup($C1446,'OPVC FITTINGS'!$E$5:$H2469,2,0)</f>
        <v>UPCOMING</v>
      </c>
      <c r="H1446" s="320"/>
      <c r="I1446" s="320"/>
      <c r="J1446" s="320"/>
      <c r="K1446" s="320"/>
      <c r="L1446" s="320"/>
      <c r="M1446" s="320"/>
      <c r="N1446" s="320"/>
      <c r="O1446" s="320"/>
    </row>
    <row r="1447">
      <c r="A1447" s="32">
        <f t="shared" si="1"/>
        <v>1446</v>
      </c>
      <c r="B1447" s="9" t="s">
        <v>3331</v>
      </c>
      <c r="C1447" s="78" t="s">
        <v>3332</v>
      </c>
      <c r="D1447" s="215" t="s">
        <v>3333</v>
      </c>
      <c r="E1447" s="18" t="str">
        <f>VLOOKUP($C1447,'PPR PIPE'!$C$5:$E2469,2,0)</f>
        <v/>
      </c>
      <c r="F1447" s="523" t="s">
        <v>1088</v>
      </c>
      <c r="G1447" s="18">
        <f>VLOOKUP($C1447,'PPR PIPE'!$C$5:$E2469,3,0)</f>
        <v>89</v>
      </c>
      <c r="H1447" s="320"/>
      <c r="I1447" s="320"/>
      <c r="J1447" s="320"/>
      <c r="K1447" s="320"/>
      <c r="L1447" s="320"/>
      <c r="M1447" s="320"/>
      <c r="N1447" s="320"/>
      <c r="O1447" s="320"/>
    </row>
    <row r="1448">
      <c r="A1448" s="32">
        <f t="shared" si="1"/>
        <v>1447</v>
      </c>
      <c r="B1448" s="9" t="s">
        <v>3331</v>
      </c>
      <c r="C1448" s="78" t="s">
        <v>3334</v>
      </c>
      <c r="D1448" s="215" t="s">
        <v>3333</v>
      </c>
      <c r="E1448" s="18" t="str">
        <f>VLOOKUP($C1448,'PPR PIPE'!$C$5:$E2469,2,0)</f>
        <v/>
      </c>
      <c r="F1448" s="523" t="s">
        <v>1088</v>
      </c>
      <c r="G1448" s="18">
        <f>VLOOKUP($C1448,'PPR PIPE'!$C$5:$E2469,3,0)</f>
        <v>118</v>
      </c>
      <c r="H1448" s="320"/>
      <c r="I1448" s="320"/>
      <c r="J1448" s="320"/>
      <c r="K1448" s="320"/>
      <c r="L1448" s="320"/>
      <c r="M1448" s="320"/>
      <c r="N1448" s="320"/>
      <c r="O1448" s="320"/>
    </row>
    <row r="1449">
      <c r="A1449" s="32">
        <f t="shared" si="1"/>
        <v>1448</v>
      </c>
      <c r="B1449" s="9" t="s">
        <v>3331</v>
      </c>
      <c r="C1449" s="78" t="s">
        <v>3335</v>
      </c>
      <c r="D1449" s="215" t="s">
        <v>3333</v>
      </c>
      <c r="E1449" s="18" t="str">
        <f>VLOOKUP($C1449,'PPR PIPE'!$C$5:$E2469,2,0)</f>
        <v/>
      </c>
      <c r="F1449" s="523" t="s">
        <v>1088</v>
      </c>
      <c r="G1449" s="18">
        <f>VLOOKUP($C1449,'PPR PIPE'!$C$5:$E2469,3,0)</f>
        <v>192</v>
      </c>
      <c r="H1449" s="320"/>
      <c r="I1449" s="320"/>
      <c r="J1449" s="320"/>
      <c r="K1449" s="320"/>
      <c r="L1449" s="320"/>
      <c r="M1449" s="320"/>
      <c r="N1449" s="320"/>
      <c r="O1449" s="320"/>
    </row>
    <row r="1450">
      <c r="A1450" s="32">
        <f t="shared" si="1"/>
        <v>1449</v>
      </c>
      <c r="B1450" s="9" t="s">
        <v>3331</v>
      </c>
      <c r="C1450" s="78" t="s">
        <v>3336</v>
      </c>
      <c r="D1450" s="215" t="s">
        <v>3333</v>
      </c>
      <c r="E1450" s="18" t="str">
        <f>VLOOKUP($C1450,'PPR PIPE'!$C$5:$E2469,2,0)</f>
        <v/>
      </c>
      <c r="F1450" s="523" t="s">
        <v>1088</v>
      </c>
      <c r="G1450" s="18">
        <f>VLOOKUP($C1450,'PPR PIPE'!$C$5:$E2469,3,0)</f>
        <v>285</v>
      </c>
      <c r="H1450" s="320"/>
      <c r="I1450" s="320"/>
      <c r="J1450" s="320"/>
      <c r="K1450" s="320"/>
      <c r="L1450" s="320"/>
      <c r="M1450" s="320"/>
      <c r="N1450" s="320"/>
      <c r="O1450" s="320"/>
    </row>
    <row r="1451">
      <c r="A1451" s="32">
        <f t="shared" si="1"/>
        <v>1450</v>
      </c>
      <c r="B1451" s="9" t="s">
        <v>3331</v>
      </c>
      <c r="C1451" s="78" t="s">
        <v>3337</v>
      </c>
      <c r="D1451" s="215" t="s">
        <v>3333</v>
      </c>
      <c r="E1451" s="18" t="str">
        <f>VLOOKUP($C1451,'PPR PIPE'!$C$5:$E2469,2,0)</f>
        <v/>
      </c>
      <c r="F1451" s="523" t="s">
        <v>1088</v>
      </c>
      <c r="G1451" s="18">
        <f>VLOOKUP($C1451,'PPR PIPE'!$C$5:$E2469,3,0)</f>
        <v>518</v>
      </c>
      <c r="H1451" s="320"/>
      <c r="I1451" s="320"/>
      <c r="J1451" s="320"/>
      <c r="K1451" s="320"/>
      <c r="L1451" s="320"/>
      <c r="M1451" s="320"/>
      <c r="N1451" s="320"/>
      <c r="O1451" s="320"/>
    </row>
    <row r="1452">
      <c r="A1452" s="32">
        <f t="shared" si="1"/>
        <v>1451</v>
      </c>
      <c r="B1452" s="9" t="s">
        <v>3331</v>
      </c>
      <c r="C1452" s="78" t="s">
        <v>3338</v>
      </c>
      <c r="D1452" s="215" t="s">
        <v>3333</v>
      </c>
      <c r="E1452" s="18" t="str">
        <f>VLOOKUP($C1452,'PPR PIPE'!$C$5:$E2469,2,0)</f>
        <v/>
      </c>
      <c r="F1452" s="523" t="s">
        <v>1088</v>
      </c>
      <c r="G1452" s="18">
        <f>VLOOKUP($C1452,'PPR PIPE'!$C$5:$E2469,3,0)</f>
        <v>835</v>
      </c>
      <c r="H1452" s="320"/>
      <c r="I1452" s="320"/>
      <c r="J1452" s="320"/>
      <c r="K1452" s="320"/>
      <c r="L1452" s="320"/>
      <c r="M1452" s="320"/>
      <c r="N1452" s="320"/>
      <c r="O1452" s="320"/>
    </row>
    <row r="1453">
      <c r="A1453" s="32">
        <f t="shared" si="1"/>
        <v>1452</v>
      </c>
      <c r="B1453" s="9" t="s">
        <v>3331</v>
      </c>
      <c r="C1453" s="78" t="s">
        <v>3339</v>
      </c>
      <c r="D1453" s="215" t="s">
        <v>3333</v>
      </c>
      <c r="E1453" s="18" t="str">
        <f>VLOOKUP($C1453,'PPR PIPE'!$C$5:$E2469,2,0)</f>
        <v/>
      </c>
      <c r="F1453" s="523" t="s">
        <v>1088</v>
      </c>
      <c r="G1453" s="18">
        <f>VLOOKUP($C1453,'PPR PIPE'!$C$5:$E2469,3,0)</f>
        <v>990</v>
      </c>
      <c r="H1453" s="320"/>
      <c r="I1453" s="320"/>
      <c r="J1453" s="320"/>
      <c r="K1453" s="320"/>
      <c r="L1453" s="320"/>
      <c r="M1453" s="320"/>
      <c r="N1453" s="320"/>
      <c r="O1453" s="320"/>
    </row>
    <row r="1454">
      <c r="A1454" s="32">
        <f t="shared" si="1"/>
        <v>1453</v>
      </c>
      <c r="B1454" s="9" t="s">
        <v>3331</v>
      </c>
      <c r="C1454" s="78" t="s">
        <v>3340</v>
      </c>
      <c r="D1454" s="215" t="s">
        <v>3333</v>
      </c>
      <c r="E1454" s="18" t="str">
        <f>VLOOKUP($C1454,'PPR PIPE'!$C$5:$E2469,2,0)</f>
        <v/>
      </c>
      <c r="F1454" s="523" t="s">
        <v>1088</v>
      </c>
      <c r="G1454" s="18">
        <f>VLOOKUP($C1454,'PPR PIPE'!$C$5:$E2469,3,0)</f>
        <v>1290</v>
      </c>
      <c r="H1454" s="320"/>
      <c r="I1454" s="320"/>
      <c r="J1454" s="320"/>
      <c r="K1454" s="320"/>
      <c r="L1454" s="320"/>
      <c r="M1454" s="320"/>
      <c r="N1454" s="320"/>
      <c r="O1454" s="320"/>
    </row>
    <row r="1455">
      <c r="A1455" s="32">
        <f t="shared" si="1"/>
        <v>1454</v>
      </c>
      <c r="B1455" s="9" t="s">
        <v>3331</v>
      </c>
      <c r="C1455" s="78" t="s">
        <v>3341</v>
      </c>
      <c r="D1455" s="215" t="s">
        <v>3333</v>
      </c>
      <c r="E1455" s="18" t="str">
        <f>VLOOKUP($C1455,'PPR PIPE'!$C$5:$E2469,2,0)</f>
        <v/>
      </c>
      <c r="F1455" s="523" t="s">
        <v>1088</v>
      </c>
      <c r="G1455" s="18">
        <f>VLOOKUP($C1455,'PPR PIPE'!$C$5:$E2469,3,0)</f>
        <v>2070</v>
      </c>
      <c r="H1455" s="320"/>
      <c r="I1455" s="320"/>
      <c r="J1455" s="320"/>
      <c r="K1455" s="320"/>
      <c r="L1455" s="320"/>
      <c r="M1455" s="320"/>
      <c r="N1455" s="320"/>
      <c r="O1455" s="320"/>
    </row>
    <row r="1456">
      <c r="A1456" s="32">
        <f t="shared" si="1"/>
        <v>1455</v>
      </c>
      <c r="B1456" s="9" t="s">
        <v>3331</v>
      </c>
      <c r="C1456" s="78" t="s">
        <v>3342</v>
      </c>
      <c r="D1456" s="215" t="s">
        <v>3333</v>
      </c>
      <c r="E1456" s="296" t="str">
        <f>VLOOKUP($C1456,'PPR PIPE'!$H$5:$J2469,2,0)</f>
        <v/>
      </c>
      <c r="F1456" s="523" t="s">
        <v>1088</v>
      </c>
      <c r="G1456" s="596">
        <f>VLOOKUP($C1456,'PPR PIPE'!$H$5:$J2469,3,0)</f>
        <v>77</v>
      </c>
      <c r="H1456" s="320"/>
      <c r="I1456" s="320"/>
      <c r="J1456" s="320"/>
      <c r="K1456" s="320"/>
      <c r="L1456" s="320"/>
      <c r="M1456" s="320"/>
      <c r="N1456" s="320"/>
      <c r="O1456" s="320"/>
    </row>
    <row r="1457">
      <c r="A1457" s="32">
        <f t="shared" si="1"/>
        <v>1456</v>
      </c>
      <c r="B1457" s="9" t="s">
        <v>3331</v>
      </c>
      <c r="C1457" s="78" t="s">
        <v>3343</v>
      </c>
      <c r="D1457" s="215" t="s">
        <v>3333</v>
      </c>
      <c r="E1457" s="18" t="str">
        <f>VLOOKUP($C1457,'PPR PIPE'!$H$5:$J2469,2,0)</f>
        <v/>
      </c>
      <c r="F1457" s="523" t="s">
        <v>1088</v>
      </c>
      <c r="G1457" s="18">
        <f>VLOOKUP($C1457,'PPR PIPE'!$H$5:$J2469,3,0)</f>
        <v>102</v>
      </c>
      <c r="H1457" s="320"/>
      <c r="I1457" s="320"/>
      <c r="J1457" s="320"/>
      <c r="K1457" s="320"/>
      <c r="L1457" s="320"/>
      <c r="M1457" s="320"/>
      <c r="N1457" s="320"/>
      <c r="O1457" s="320"/>
    </row>
    <row r="1458">
      <c r="A1458" s="32">
        <f t="shared" si="1"/>
        <v>1457</v>
      </c>
      <c r="B1458" s="9" t="s">
        <v>3331</v>
      </c>
      <c r="C1458" s="78" t="s">
        <v>3344</v>
      </c>
      <c r="D1458" s="215" t="s">
        <v>3333</v>
      </c>
      <c r="E1458" s="18" t="str">
        <f>VLOOKUP($C1458,'PPR PIPE'!$H$5:$J2469,2,0)</f>
        <v/>
      </c>
      <c r="F1458" s="523" t="s">
        <v>1088</v>
      </c>
      <c r="G1458" s="18">
        <f>VLOOKUP($C1458,'PPR PIPE'!$H$5:$J2469,3,0)</f>
        <v>165</v>
      </c>
      <c r="H1458" s="320"/>
      <c r="I1458" s="320"/>
      <c r="J1458" s="320"/>
      <c r="K1458" s="320"/>
      <c r="L1458" s="320"/>
      <c r="M1458" s="320"/>
      <c r="N1458" s="320"/>
      <c r="O1458" s="320"/>
    </row>
    <row r="1459">
      <c r="A1459" s="32">
        <f t="shared" si="1"/>
        <v>1458</v>
      </c>
      <c r="B1459" s="9" t="s">
        <v>3331</v>
      </c>
      <c r="C1459" s="78" t="s">
        <v>3345</v>
      </c>
      <c r="D1459" s="215" t="s">
        <v>3333</v>
      </c>
      <c r="E1459" s="18" t="str">
        <f>VLOOKUP($C1459,'PPR PIPE'!$H$5:$J2469,2,0)</f>
        <v/>
      </c>
      <c r="F1459" s="523" t="s">
        <v>1088</v>
      </c>
      <c r="G1459" s="18">
        <f>VLOOKUP($C1459,'PPR PIPE'!$H$5:$J2469,3,0)</f>
        <v>245</v>
      </c>
      <c r="H1459" s="320"/>
      <c r="I1459" s="320"/>
      <c r="J1459" s="320"/>
      <c r="K1459" s="320"/>
      <c r="L1459" s="320"/>
      <c r="M1459" s="320"/>
      <c r="N1459" s="320"/>
      <c r="O1459" s="320"/>
    </row>
    <row r="1460">
      <c r="A1460" s="32">
        <f t="shared" si="1"/>
        <v>1459</v>
      </c>
      <c r="B1460" s="9" t="s">
        <v>3331</v>
      </c>
      <c r="C1460" s="78" t="s">
        <v>3346</v>
      </c>
      <c r="D1460" s="215" t="s">
        <v>3333</v>
      </c>
      <c r="E1460" s="18" t="str">
        <f>VLOOKUP($C1460,'PPR PIPE'!$H$5:$J2469,2,0)</f>
        <v/>
      </c>
      <c r="F1460" s="523" t="s">
        <v>1088</v>
      </c>
      <c r="G1460" s="18">
        <f>VLOOKUP($C1460,'PPR PIPE'!$H$5:$J2469,3,0)</f>
        <v>442</v>
      </c>
      <c r="H1460" s="320"/>
      <c r="I1460" s="320"/>
      <c r="J1460" s="320"/>
      <c r="K1460" s="320"/>
      <c r="L1460" s="320"/>
      <c r="M1460" s="320"/>
      <c r="N1460" s="320"/>
      <c r="O1460" s="320"/>
    </row>
    <row r="1461">
      <c r="A1461" s="32">
        <f t="shared" si="1"/>
        <v>1460</v>
      </c>
      <c r="B1461" s="9" t="s">
        <v>3331</v>
      </c>
      <c r="C1461" s="78" t="s">
        <v>3347</v>
      </c>
      <c r="D1461" s="215" t="s">
        <v>3333</v>
      </c>
      <c r="E1461" s="18" t="str">
        <f>VLOOKUP($C1461,'PPR PIPE'!$H$5:$J2469,2,0)</f>
        <v/>
      </c>
      <c r="F1461" s="523" t="s">
        <v>1088</v>
      </c>
      <c r="G1461" s="18">
        <f>VLOOKUP($C1461,'PPR PIPE'!$H$5:$J2469,3,0)</f>
        <v>648</v>
      </c>
      <c r="H1461" s="320"/>
      <c r="I1461" s="320"/>
      <c r="J1461" s="320"/>
      <c r="K1461" s="320"/>
      <c r="L1461" s="320"/>
      <c r="M1461" s="320"/>
      <c r="N1461" s="320"/>
      <c r="O1461" s="320"/>
    </row>
    <row r="1462">
      <c r="A1462" s="32">
        <f t="shared" si="1"/>
        <v>1461</v>
      </c>
      <c r="B1462" s="9" t="s">
        <v>3331</v>
      </c>
      <c r="C1462" s="78" t="s">
        <v>3348</v>
      </c>
      <c r="D1462" s="215" t="s">
        <v>3333</v>
      </c>
      <c r="E1462" s="18" t="str">
        <f>VLOOKUP($C1462,'PPR PIPE'!$H$5:$J2469,2,0)</f>
        <v/>
      </c>
      <c r="F1462" s="523" t="s">
        <v>1088</v>
      </c>
      <c r="G1462" s="18">
        <f>VLOOKUP($C1462,'PPR PIPE'!$H$5:$J2469,3,0)</f>
        <v>848</v>
      </c>
      <c r="H1462" s="320"/>
      <c r="I1462" s="320"/>
      <c r="J1462" s="320"/>
      <c r="K1462" s="320"/>
      <c r="L1462" s="320"/>
      <c r="M1462" s="320"/>
      <c r="N1462" s="320"/>
      <c r="O1462" s="320"/>
    </row>
    <row r="1463">
      <c r="A1463" s="32">
        <f t="shared" si="1"/>
        <v>1462</v>
      </c>
      <c r="B1463" s="9" t="s">
        <v>3331</v>
      </c>
      <c r="C1463" s="78" t="s">
        <v>3349</v>
      </c>
      <c r="D1463" s="215" t="s">
        <v>3333</v>
      </c>
      <c r="E1463" s="18" t="str">
        <f>VLOOKUP($C1463,'PPR PIPE'!$H$5:$J2469,2,0)</f>
        <v/>
      </c>
      <c r="F1463" s="523" t="s">
        <v>1088</v>
      </c>
      <c r="G1463" s="18">
        <f>VLOOKUP($C1463,'PPR PIPE'!$H$5:$J2469,3,0)</f>
        <v>1248</v>
      </c>
      <c r="H1463" s="320"/>
      <c r="I1463" s="320"/>
      <c r="J1463" s="320"/>
      <c r="K1463" s="320"/>
      <c r="L1463" s="320"/>
      <c r="M1463" s="320"/>
      <c r="N1463" s="320"/>
      <c r="O1463" s="320"/>
    </row>
    <row r="1464">
      <c r="A1464" s="32">
        <f t="shared" si="1"/>
        <v>1463</v>
      </c>
      <c r="B1464" s="9" t="s">
        <v>3331</v>
      </c>
      <c r="C1464" s="78" t="s">
        <v>3350</v>
      </c>
      <c r="D1464" s="215" t="s">
        <v>3333</v>
      </c>
      <c r="E1464" s="18" t="str">
        <f>VLOOKUP($C1464,'PPR PIPE'!$H$5:$J2469,2,0)</f>
        <v/>
      </c>
      <c r="F1464" s="523" t="s">
        <v>1088</v>
      </c>
      <c r="G1464" s="18">
        <f>VLOOKUP($C1464,'PPR PIPE'!$H$5:$J2469,3,0)</f>
        <v>1870</v>
      </c>
      <c r="H1464" s="320"/>
      <c r="I1464" s="320"/>
      <c r="J1464" s="320"/>
      <c r="K1464" s="320"/>
      <c r="L1464" s="320"/>
      <c r="M1464" s="320"/>
      <c r="N1464" s="320"/>
      <c r="O1464" s="320"/>
    </row>
    <row r="1465">
      <c r="A1465" s="32">
        <f t="shared" si="1"/>
        <v>1464</v>
      </c>
      <c r="B1465" s="9" t="s">
        <v>3331</v>
      </c>
      <c r="C1465" s="78" t="s">
        <v>3351</v>
      </c>
      <c r="D1465" s="215" t="s">
        <v>3333</v>
      </c>
      <c r="E1465" s="18" t="str">
        <f>VLOOKUP($C1465,'PPR PIPE'!$H$5:$J2469,2,0)</f>
        <v/>
      </c>
      <c r="F1465" s="523" t="s">
        <v>1088</v>
      </c>
      <c r="G1465" s="18">
        <f>VLOOKUP($C1465,'PPR PIPE'!$H$5:$J2469,3,0)</f>
        <v>4880</v>
      </c>
      <c r="H1465" s="320"/>
      <c r="I1465" s="320"/>
      <c r="J1465" s="320"/>
      <c r="K1465" s="320"/>
      <c r="L1465" s="320"/>
      <c r="M1465" s="320"/>
      <c r="N1465" s="320"/>
      <c r="O1465" s="320"/>
    </row>
    <row r="1466">
      <c r="A1466" s="32">
        <f t="shared" si="1"/>
        <v>1465</v>
      </c>
      <c r="B1466" s="9" t="s">
        <v>3331</v>
      </c>
      <c r="C1466" s="78" t="s">
        <v>3352</v>
      </c>
      <c r="D1466" s="215" t="s">
        <v>3333</v>
      </c>
      <c r="E1466" s="18" t="str">
        <f>VLOOKUP($C1466,'PPR PIPE'!$M$5:$O2469,2,0)</f>
        <v/>
      </c>
      <c r="F1466" s="523" t="s">
        <v>1088</v>
      </c>
      <c r="G1466" s="18">
        <f>VLOOKUP($C1466,'PPR PIPE'!$M$5:$O2469,3,0)</f>
        <v>58</v>
      </c>
      <c r="H1466" s="320"/>
      <c r="I1466" s="320"/>
      <c r="J1466" s="320"/>
      <c r="K1466" s="320"/>
      <c r="L1466" s="320"/>
      <c r="M1466" s="320"/>
      <c r="N1466" s="320"/>
      <c r="O1466" s="320"/>
    </row>
    <row r="1467">
      <c r="A1467" s="32">
        <f t="shared" si="1"/>
        <v>1466</v>
      </c>
      <c r="B1467" s="9" t="s">
        <v>3331</v>
      </c>
      <c r="C1467" s="78" t="s">
        <v>3353</v>
      </c>
      <c r="D1467" s="215" t="s">
        <v>3333</v>
      </c>
      <c r="E1467" s="18" t="str">
        <f>VLOOKUP($C1467,'PPR PIPE'!$M$5:$O2469,2,0)</f>
        <v/>
      </c>
      <c r="F1467" s="523" t="s">
        <v>1088</v>
      </c>
      <c r="G1467" s="18">
        <f>VLOOKUP($C1467,'PPR PIPE'!$M$5:$O2469,3,0)</f>
        <v>86</v>
      </c>
      <c r="H1467" s="320"/>
      <c r="I1467" s="320"/>
      <c r="J1467" s="320"/>
      <c r="K1467" s="320"/>
      <c r="L1467" s="320"/>
      <c r="M1467" s="320"/>
      <c r="N1467" s="320"/>
      <c r="O1467" s="320"/>
    </row>
    <row r="1468">
      <c r="A1468" s="32">
        <f t="shared" si="1"/>
        <v>1467</v>
      </c>
      <c r="B1468" s="9" t="s">
        <v>3331</v>
      </c>
      <c r="C1468" s="78" t="s">
        <v>3354</v>
      </c>
      <c r="D1468" s="215" t="s">
        <v>3333</v>
      </c>
      <c r="E1468" s="18" t="str">
        <f>VLOOKUP($C1468,'PPR PIPE'!$M$5:$O2469,2,0)</f>
        <v/>
      </c>
      <c r="F1468" s="523" t="s">
        <v>1088</v>
      </c>
      <c r="G1468" s="18">
        <f>VLOOKUP($C1468,'PPR PIPE'!$M$5:$O2469,3,0)</f>
        <v>138</v>
      </c>
      <c r="H1468" s="320"/>
      <c r="I1468" s="320"/>
      <c r="J1468" s="320"/>
      <c r="K1468" s="320"/>
      <c r="L1468" s="320"/>
      <c r="M1468" s="320"/>
      <c r="N1468" s="320"/>
      <c r="O1468" s="320"/>
    </row>
    <row r="1469">
      <c r="A1469" s="32">
        <f t="shared" si="1"/>
        <v>1468</v>
      </c>
      <c r="B1469" s="9" t="s">
        <v>3331</v>
      </c>
      <c r="C1469" s="78" t="s">
        <v>3355</v>
      </c>
      <c r="D1469" s="215" t="s">
        <v>3333</v>
      </c>
      <c r="E1469" s="18" t="str">
        <f>VLOOKUP($C1469,'PPR PIPE'!$M$5:$O2469,2,0)</f>
        <v/>
      </c>
      <c r="F1469" s="523" t="s">
        <v>1088</v>
      </c>
      <c r="G1469" s="18">
        <f>VLOOKUP($C1469,'PPR PIPE'!$M$5:$O2469,3,0)</f>
        <v>198</v>
      </c>
      <c r="H1469" s="320"/>
      <c r="I1469" s="320"/>
      <c r="J1469" s="320"/>
      <c r="K1469" s="320"/>
      <c r="L1469" s="320"/>
      <c r="M1469" s="320"/>
      <c r="N1469" s="320"/>
      <c r="O1469" s="320"/>
    </row>
    <row r="1470">
      <c r="A1470" s="32">
        <f t="shared" si="1"/>
        <v>1469</v>
      </c>
      <c r="B1470" s="9" t="s">
        <v>3331</v>
      </c>
      <c r="C1470" s="78" t="s">
        <v>3356</v>
      </c>
      <c r="D1470" s="215" t="s">
        <v>3333</v>
      </c>
      <c r="E1470" s="18" t="str">
        <f>VLOOKUP($C1470,'PPR PIPE'!$M$5:$O2469,2,0)</f>
        <v/>
      </c>
      <c r="F1470" s="523" t="s">
        <v>1088</v>
      </c>
      <c r="G1470" s="18">
        <f>VLOOKUP($C1470,'PPR PIPE'!$M$5:$O2469,3,0)</f>
        <v>328</v>
      </c>
      <c r="H1470" s="320"/>
      <c r="I1470" s="320"/>
      <c r="J1470" s="320"/>
      <c r="K1470" s="320"/>
      <c r="L1470" s="320"/>
      <c r="M1470" s="320"/>
      <c r="N1470" s="320"/>
      <c r="O1470" s="320"/>
    </row>
    <row r="1471">
      <c r="A1471" s="32">
        <f t="shared" si="1"/>
        <v>1470</v>
      </c>
      <c r="B1471" s="9" t="s">
        <v>3331</v>
      </c>
      <c r="C1471" s="78" t="s">
        <v>3357</v>
      </c>
      <c r="D1471" s="215" t="s">
        <v>3333</v>
      </c>
      <c r="E1471" s="18" t="str">
        <f>VLOOKUP($C1471,'PPR PIPE'!$M$5:$O2469,2,0)</f>
        <v/>
      </c>
      <c r="F1471" s="523" t="s">
        <v>1088</v>
      </c>
      <c r="G1471" s="18">
        <f>VLOOKUP($C1471,'PPR PIPE'!$M$5:$O2469,3,0)</f>
        <v>465</v>
      </c>
      <c r="H1471" s="320"/>
      <c r="I1471" s="320"/>
      <c r="J1471" s="320"/>
      <c r="K1471" s="320"/>
      <c r="L1471" s="320"/>
      <c r="M1471" s="320"/>
      <c r="N1471" s="320"/>
      <c r="O1471" s="320"/>
    </row>
    <row r="1472">
      <c r="A1472" s="32">
        <f t="shared" si="1"/>
        <v>1471</v>
      </c>
      <c r="B1472" s="9" t="s">
        <v>3331</v>
      </c>
      <c r="C1472" s="78" t="s">
        <v>3358</v>
      </c>
      <c r="D1472" s="215" t="s">
        <v>3333</v>
      </c>
      <c r="E1472" s="18" t="str">
        <f>VLOOKUP($C1472,'PPR PIPE'!$M$5:$O2469,2,0)</f>
        <v/>
      </c>
      <c r="F1472" s="523" t="s">
        <v>1088</v>
      </c>
      <c r="G1472" s="18">
        <f>VLOOKUP($C1472,'PPR PIPE'!$M$5:$O2469,3,0)</f>
        <v>596</v>
      </c>
      <c r="H1472" s="320"/>
      <c r="I1472" s="320"/>
      <c r="J1472" s="320"/>
      <c r="K1472" s="320"/>
      <c r="L1472" s="320"/>
      <c r="M1472" s="320"/>
      <c r="N1472" s="320"/>
      <c r="O1472" s="320"/>
    </row>
    <row r="1473">
      <c r="A1473" s="32">
        <f t="shared" si="1"/>
        <v>1472</v>
      </c>
      <c r="B1473" s="9" t="s">
        <v>3331</v>
      </c>
      <c r="C1473" s="78" t="s">
        <v>3359</v>
      </c>
      <c r="D1473" s="215" t="s">
        <v>3333</v>
      </c>
      <c r="E1473" s="18" t="str">
        <f>VLOOKUP($C1473,'PPR PIPE'!$M$5:$O2469,2,0)</f>
        <v/>
      </c>
      <c r="F1473" s="523" t="s">
        <v>1088</v>
      </c>
      <c r="G1473" s="18">
        <f>VLOOKUP($C1473,'PPR PIPE'!$M$5:$O2469,3,0)</f>
        <v>864</v>
      </c>
      <c r="H1473" s="320"/>
      <c r="I1473" s="320"/>
      <c r="J1473" s="320"/>
      <c r="K1473" s="320"/>
      <c r="L1473" s="320"/>
      <c r="M1473" s="320"/>
      <c r="N1473" s="320"/>
      <c r="O1473" s="320"/>
    </row>
    <row r="1474">
      <c r="A1474" s="32">
        <f t="shared" si="1"/>
        <v>1473</v>
      </c>
      <c r="B1474" s="9" t="s">
        <v>3331</v>
      </c>
      <c r="C1474" s="78" t="s">
        <v>3360</v>
      </c>
      <c r="D1474" s="215" t="s">
        <v>3333</v>
      </c>
      <c r="E1474" s="18" t="str">
        <f>VLOOKUP($C1474,'PPR PIPE'!$M$5:$O2469,2,0)</f>
        <v/>
      </c>
      <c r="F1474" s="523" t="s">
        <v>1088</v>
      </c>
      <c r="G1474" s="18">
        <f>VLOOKUP($C1474,'PPR PIPE'!$M$5:$O2469,3,0)</f>
        <v>1280</v>
      </c>
      <c r="H1474" s="320"/>
      <c r="I1474" s="320"/>
      <c r="J1474" s="320"/>
      <c r="K1474" s="320"/>
      <c r="L1474" s="320"/>
      <c r="M1474" s="320"/>
      <c r="N1474" s="320"/>
      <c r="O1474" s="320"/>
    </row>
    <row r="1475">
      <c r="A1475" s="32">
        <f t="shared" si="1"/>
        <v>1474</v>
      </c>
      <c r="B1475" s="9" t="s">
        <v>3331</v>
      </c>
      <c r="C1475" s="78" t="s">
        <v>3361</v>
      </c>
      <c r="D1475" s="215" t="s">
        <v>3333</v>
      </c>
      <c r="E1475" s="18" t="str">
        <f>VLOOKUP($C1475,'PPR PIPE'!$M$5:$O2469,2,0)</f>
        <v/>
      </c>
      <c r="F1475" s="523" t="s">
        <v>1088</v>
      </c>
      <c r="G1475" s="18">
        <f>VLOOKUP($C1475,'PPR PIPE'!$M$5:$O2469,3,0)</f>
        <v>2648</v>
      </c>
      <c r="H1475" s="320"/>
      <c r="I1475" s="320"/>
      <c r="J1475" s="320"/>
      <c r="K1475" s="320"/>
      <c r="L1475" s="320"/>
      <c r="M1475" s="320"/>
      <c r="N1475" s="320"/>
      <c r="O1475" s="320"/>
    </row>
    <row r="1476">
      <c r="A1476" s="32">
        <f t="shared" si="1"/>
        <v>1475</v>
      </c>
      <c r="B1476" s="9" t="s">
        <v>3331</v>
      </c>
      <c r="C1476" s="78" t="s">
        <v>3362</v>
      </c>
      <c r="D1476" s="215" t="s">
        <v>3333</v>
      </c>
      <c r="E1476" s="18" t="str">
        <f>VLOOKUP($C1476,'PPR PIPE'!$M$5:$O2469,2,0)</f>
        <v/>
      </c>
      <c r="F1476" s="523" t="s">
        <v>1088</v>
      </c>
      <c r="G1476" s="18">
        <f>VLOOKUP($C1476,'PPR PIPE'!$M$5:$O2469,3,0)</f>
        <v>4380</v>
      </c>
      <c r="H1476" s="320"/>
      <c r="I1476" s="320"/>
      <c r="J1476" s="320"/>
      <c r="K1476" s="320"/>
      <c r="L1476" s="320"/>
      <c r="M1476" s="320"/>
      <c r="N1476" s="320"/>
      <c r="O1476" s="320"/>
    </row>
    <row r="1477">
      <c r="A1477" s="32">
        <f t="shared" si="1"/>
        <v>1476</v>
      </c>
      <c r="B1477" s="9" t="s">
        <v>3331</v>
      </c>
      <c r="C1477" s="78" t="s">
        <v>3363</v>
      </c>
      <c r="D1477" s="4" t="s">
        <v>3364</v>
      </c>
      <c r="E1477" s="18" t="str">
        <f>VLOOKUP($C1477,'PPR PIPE'!$C$5:$E2469,2,0)</f>
        <v/>
      </c>
      <c r="F1477" s="523" t="s">
        <v>1088</v>
      </c>
      <c r="G1477" s="18">
        <f>VLOOKUP($C1477,'PPR PIPE'!$C$5:$E2469,3,0)</f>
        <v>96.12</v>
      </c>
      <c r="H1477" s="320"/>
      <c r="I1477" s="320"/>
      <c r="J1477" s="320"/>
      <c r="K1477" s="320"/>
      <c r="L1477" s="320"/>
      <c r="M1477" s="320"/>
      <c r="N1477" s="320"/>
      <c r="O1477" s="320"/>
    </row>
    <row r="1478">
      <c r="A1478" s="32">
        <f t="shared" si="1"/>
        <v>1477</v>
      </c>
      <c r="B1478" s="9" t="s">
        <v>3331</v>
      </c>
      <c r="C1478" s="78" t="s">
        <v>3365</v>
      </c>
      <c r="D1478" s="4" t="s">
        <v>3364</v>
      </c>
      <c r="E1478" s="18">
        <f>VLOOKUP($C1478,'PPR PIPE'!$C$5:$E2469,2,0)</f>
        <v>0.81</v>
      </c>
      <c r="F1478" s="523" t="s">
        <v>1088</v>
      </c>
      <c r="G1478" s="18">
        <f>VLOOKUP($C1478,'PPR PIPE'!$C$5:$E2469,3,0)</f>
        <v>127.44</v>
      </c>
      <c r="H1478" s="320"/>
      <c r="I1478" s="320"/>
      <c r="J1478" s="320"/>
      <c r="K1478" s="320"/>
      <c r="L1478" s="320"/>
      <c r="M1478" s="320"/>
      <c r="N1478" s="320"/>
      <c r="O1478" s="320"/>
    </row>
    <row r="1479">
      <c r="A1479" s="32">
        <f t="shared" si="1"/>
        <v>1478</v>
      </c>
      <c r="B1479" s="9" t="s">
        <v>3331</v>
      </c>
      <c r="C1479" s="78" t="s">
        <v>3366</v>
      </c>
      <c r="D1479" s="4" t="s">
        <v>3364</v>
      </c>
      <c r="E1479" s="18">
        <f>VLOOKUP($C1479,'PPR PIPE'!$C$5:$E2469,2,0)</f>
        <v>1.35</v>
      </c>
      <c r="F1479" s="523" t="s">
        <v>1088</v>
      </c>
      <c r="G1479" s="18">
        <f>VLOOKUP($C1479,'PPR PIPE'!$C$5:$E2469,3,0)</f>
        <v>207.36</v>
      </c>
      <c r="H1479" s="320"/>
      <c r="I1479" s="320"/>
      <c r="J1479" s="320"/>
      <c r="K1479" s="320"/>
      <c r="L1479" s="320"/>
      <c r="M1479" s="320"/>
      <c r="N1479" s="320"/>
      <c r="O1479" s="320"/>
    </row>
    <row r="1480">
      <c r="A1480" s="32">
        <f t="shared" si="1"/>
        <v>1479</v>
      </c>
      <c r="B1480" s="9" t="s">
        <v>3331</v>
      </c>
      <c r="C1480" s="78" t="s">
        <v>3367</v>
      </c>
      <c r="D1480" s="4" t="s">
        <v>3364</v>
      </c>
      <c r="E1480" s="18">
        <f>VLOOKUP($C1480,'PPR PIPE'!$C$5:$E2469,2,0)</f>
        <v>2.04</v>
      </c>
      <c r="F1480" s="523" t="s">
        <v>1088</v>
      </c>
      <c r="G1480" s="18">
        <f>VLOOKUP($C1480,'PPR PIPE'!$C$5:$E2469,3,0)</f>
        <v>307.8</v>
      </c>
      <c r="H1480" s="320"/>
      <c r="I1480" s="320"/>
      <c r="J1480" s="320"/>
      <c r="K1480" s="320"/>
      <c r="L1480" s="320"/>
      <c r="M1480" s="320"/>
      <c r="N1480" s="320"/>
      <c r="O1480" s="320"/>
    </row>
    <row r="1481">
      <c r="A1481" s="32">
        <f t="shared" si="1"/>
        <v>1480</v>
      </c>
      <c r="B1481" s="9" t="s">
        <v>3331</v>
      </c>
      <c r="C1481" s="78" t="s">
        <v>3368</v>
      </c>
      <c r="D1481" s="4" t="s">
        <v>3364</v>
      </c>
      <c r="E1481" s="18" t="str">
        <f>VLOOKUP($C1481,'PPR PIPE'!$C$5:$E2469,2,0)</f>
        <v/>
      </c>
      <c r="F1481" s="523" t="s">
        <v>1088</v>
      </c>
      <c r="G1481" s="18">
        <f>VLOOKUP($C1481,'PPR PIPE'!$C$5:$E2469,3,0)</f>
        <v>559.44</v>
      </c>
      <c r="H1481" s="320"/>
      <c r="I1481" s="320"/>
      <c r="J1481" s="320"/>
      <c r="K1481" s="320"/>
      <c r="L1481" s="320"/>
      <c r="M1481" s="320"/>
      <c r="N1481" s="320"/>
      <c r="O1481" s="320"/>
    </row>
    <row r="1482">
      <c r="A1482" s="32">
        <f t="shared" si="1"/>
        <v>1481</v>
      </c>
      <c r="B1482" s="9" t="s">
        <v>3331</v>
      </c>
      <c r="C1482" s="78" t="s">
        <v>3369</v>
      </c>
      <c r="D1482" s="4" t="s">
        <v>3364</v>
      </c>
      <c r="E1482" s="18" t="str">
        <f>VLOOKUP($C1482,'PPR PIPE'!$C$5:$E2469,2,0)</f>
        <v/>
      </c>
      <c r="F1482" s="523" t="s">
        <v>1088</v>
      </c>
      <c r="G1482" s="18">
        <f>VLOOKUP($C1482,'PPR PIPE'!$C$5:$E2469,3,0)</f>
        <v>901.8</v>
      </c>
      <c r="H1482" s="320"/>
      <c r="I1482" s="320"/>
      <c r="J1482" s="320"/>
      <c r="K1482" s="320"/>
      <c r="L1482" s="320"/>
      <c r="M1482" s="320"/>
      <c r="N1482" s="320"/>
      <c r="O1482" s="320"/>
    </row>
    <row r="1483">
      <c r="A1483" s="32">
        <f t="shared" si="1"/>
        <v>1482</v>
      </c>
      <c r="B1483" s="9" t="s">
        <v>3331</v>
      </c>
      <c r="C1483" s="78" t="s">
        <v>3370</v>
      </c>
      <c r="D1483" s="4" t="s">
        <v>3364</v>
      </c>
      <c r="E1483" s="18" t="str">
        <f>VLOOKUP($C1483,'PPR PIPE'!$C$5:$E2469,2,0)</f>
        <v/>
      </c>
      <c r="F1483" s="523" t="s">
        <v>1088</v>
      </c>
      <c r="G1483" s="18">
        <f>VLOOKUP($C1483,'PPR PIPE'!$C$5:$E2469,3,0)</f>
        <v>1069.2</v>
      </c>
      <c r="H1483" s="320"/>
      <c r="I1483" s="320"/>
      <c r="J1483" s="320"/>
      <c r="K1483" s="320"/>
      <c r="L1483" s="320"/>
      <c r="M1483" s="320"/>
      <c r="N1483" s="320"/>
      <c r="O1483" s="320"/>
    </row>
    <row r="1484">
      <c r="A1484" s="32">
        <f t="shared" si="1"/>
        <v>1483</v>
      </c>
      <c r="B1484" s="9" t="s">
        <v>3331</v>
      </c>
      <c r="C1484" s="78" t="s">
        <v>3371</v>
      </c>
      <c r="D1484" s="4" t="s">
        <v>3364</v>
      </c>
      <c r="E1484" s="18" t="str">
        <f>VLOOKUP($C1484,'PPR PIPE'!$C$5:$E2469,2,0)</f>
        <v/>
      </c>
      <c r="F1484" s="523" t="s">
        <v>1088</v>
      </c>
      <c r="G1484" s="18">
        <f>VLOOKUP($C1484,'PPR PIPE'!$C$5:$E2469,3,0)</f>
        <v>1393.2</v>
      </c>
      <c r="H1484" s="320"/>
      <c r="I1484" s="320"/>
      <c r="J1484" s="320"/>
      <c r="K1484" s="320"/>
      <c r="L1484" s="320"/>
      <c r="M1484" s="320"/>
      <c r="N1484" s="320"/>
      <c r="O1484" s="320"/>
    </row>
    <row r="1485">
      <c r="A1485" s="32">
        <f t="shared" si="1"/>
        <v>1484</v>
      </c>
      <c r="B1485" s="9" t="s">
        <v>3331</v>
      </c>
      <c r="C1485" s="78" t="s">
        <v>3372</v>
      </c>
      <c r="D1485" s="4" t="s">
        <v>3364</v>
      </c>
      <c r="E1485" s="18" t="str">
        <f>VLOOKUP($C1485,'PPR PIPE'!$C$5:$E2469,2,0)</f>
        <v/>
      </c>
      <c r="F1485" s="523" t="s">
        <v>1088</v>
      </c>
      <c r="G1485" s="18">
        <f>VLOOKUP($C1485,'PPR PIPE'!$C$5:$E2469,3,0)</f>
        <v>2235.6</v>
      </c>
      <c r="H1485" s="320"/>
      <c r="I1485" s="320"/>
      <c r="J1485" s="320"/>
      <c r="K1485" s="320"/>
      <c r="L1485" s="320"/>
      <c r="M1485" s="320"/>
      <c r="N1485" s="320"/>
      <c r="O1485" s="320"/>
    </row>
    <row r="1486">
      <c r="A1486" s="32">
        <f t="shared" si="1"/>
        <v>1485</v>
      </c>
      <c r="B1486" s="9" t="s">
        <v>3331</v>
      </c>
      <c r="C1486" s="78" t="s">
        <v>3373</v>
      </c>
      <c r="D1486" s="4" t="s">
        <v>3364</v>
      </c>
      <c r="E1486" s="296" t="str">
        <f>VLOOKUP($C1486,'PPR PIPE'!$H$5:$J2469,2,0)</f>
        <v/>
      </c>
      <c r="F1486" s="523" t="s">
        <v>1088</v>
      </c>
      <c r="G1486" s="596">
        <f>VLOOKUP($C1486,'PPR PIPE'!$H$5:$J2469,3,0)</f>
        <v>83.16</v>
      </c>
      <c r="H1486" s="320"/>
      <c r="I1486" s="320"/>
      <c r="J1486" s="320"/>
      <c r="K1486" s="320"/>
      <c r="L1486" s="320"/>
      <c r="M1486" s="320"/>
      <c r="N1486" s="320"/>
      <c r="O1486" s="320"/>
    </row>
    <row r="1487">
      <c r="A1487" s="32">
        <f t="shared" si="1"/>
        <v>1486</v>
      </c>
      <c r="B1487" s="9" t="s">
        <v>3331</v>
      </c>
      <c r="C1487" s="78" t="s">
        <v>3374</v>
      </c>
      <c r="D1487" s="4" t="s">
        <v>3364</v>
      </c>
      <c r="E1487" s="18" t="str">
        <f>VLOOKUP($C1487,'PPR PIPE'!$H$5:$J2469,2,0)</f>
        <v/>
      </c>
      <c r="F1487" s="523" t="s">
        <v>1088</v>
      </c>
      <c r="G1487" s="18">
        <f>VLOOKUP($C1487,'PPR PIPE'!$H$5:$J2469,3,0)</f>
        <v>110.16</v>
      </c>
      <c r="H1487" s="320"/>
      <c r="I1487" s="320"/>
      <c r="J1487" s="320"/>
      <c r="K1487" s="320"/>
      <c r="L1487" s="320"/>
      <c r="M1487" s="320"/>
      <c r="N1487" s="320"/>
      <c r="O1487" s="320"/>
    </row>
    <row r="1488">
      <c r="A1488" s="32">
        <f t="shared" si="1"/>
        <v>1487</v>
      </c>
      <c r="B1488" s="9" t="s">
        <v>3331</v>
      </c>
      <c r="C1488" s="78" t="s">
        <v>3375</v>
      </c>
      <c r="D1488" s="4" t="s">
        <v>3364</v>
      </c>
      <c r="E1488" s="18" t="str">
        <f>VLOOKUP($C1488,'PPR PIPE'!$H$5:$J2469,2,0)</f>
        <v/>
      </c>
      <c r="F1488" s="523" t="s">
        <v>1088</v>
      </c>
      <c r="G1488" s="18">
        <f>VLOOKUP($C1488,'PPR PIPE'!$H$5:$J2469,3,0)</f>
        <v>178.2</v>
      </c>
      <c r="H1488" s="320"/>
      <c r="I1488" s="320"/>
      <c r="J1488" s="320"/>
      <c r="K1488" s="320"/>
      <c r="L1488" s="320"/>
      <c r="M1488" s="320"/>
      <c r="N1488" s="320"/>
      <c r="O1488" s="320"/>
    </row>
    <row r="1489">
      <c r="A1489" s="32">
        <f t="shared" si="1"/>
        <v>1488</v>
      </c>
      <c r="B1489" s="9" t="s">
        <v>3331</v>
      </c>
      <c r="C1489" s="78" t="s">
        <v>3376</v>
      </c>
      <c r="D1489" s="4" t="s">
        <v>3364</v>
      </c>
      <c r="E1489" s="18" t="str">
        <f>VLOOKUP($C1489,'PPR PIPE'!$H$5:$J2469,2,0)</f>
        <v/>
      </c>
      <c r="F1489" s="523" t="s">
        <v>1088</v>
      </c>
      <c r="G1489" s="18">
        <f>VLOOKUP($C1489,'PPR PIPE'!$H$5:$J2469,3,0)</f>
        <v>264.6</v>
      </c>
      <c r="H1489" s="320"/>
      <c r="I1489" s="320"/>
      <c r="J1489" s="320"/>
      <c r="K1489" s="320"/>
      <c r="L1489" s="320"/>
      <c r="M1489" s="320"/>
      <c r="N1489" s="320"/>
      <c r="O1489" s="320"/>
    </row>
    <row r="1490">
      <c r="A1490" s="32">
        <f t="shared" si="1"/>
        <v>1489</v>
      </c>
      <c r="B1490" s="9" t="s">
        <v>3331</v>
      </c>
      <c r="C1490" s="78" t="s">
        <v>3377</v>
      </c>
      <c r="D1490" s="4" t="s">
        <v>3364</v>
      </c>
      <c r="E1490" s="18" t="str">
        <f>VLOOKUP($C1490,'PPR PIPE'!$H$5:$J2469,2,0)</f>
        <v/>
      </c>
      <c r="F1490" s="523" t="s">
        <v>1088</v>
      </c>
      <c r="G1490" s="18">
        <f>VLOOKUP($C1490,'PPR PIPE'!$H$5:$J2469,3,0)</f>
        <v>477.36</v>
      </c>
      <c r="H1490" s="320"/>
      <c r="I1490" s="320"/>
      <c r="J1490" s="320"/>
      <c r="K1490" s="320"/>
      <c r="L1490" s="320"/>
      <c r="M1490" s="320"/>
      <c r="N1490" s="320"/>
      <c r="O1490" s="320"/>
    </row>
    <row r="1491">
      <c r="A1491" s="32">
        <f t="shared" si="1"/>
        <v>1490</v>
      </c>
      <c r="B1491" s="9" t="s">
        <v>3331</v>
      </c>
      <c r="C1491" s="78" t="s">
        <v>3378</v>
      </c>
      <c r="D1491" s="4" t="s">
        <v>3364</v>
      </c>
      <c r="E1491" s="18" t="str">
        <f>VLOOKUP($C1491,'PPR PIPE'!$H$5:$J2469,2,0)</f>
        <v/>
      </c>
      <c r="F1491" s="523" t="s">
        <v>1088</v>
      </c>
      <c r="G1491" s="18">
        <f>VLOOKUP($C1491,'PPR PIPE'!$H$5:$J2469,3,0)</f>
        <v>699.84</v>
      </c>
      <c r="H1491" s="320"/>
      <c r="I1491" s="320"/>
      <c r="J1491" s="320"/>
      <c r="K1491" s="320"/>
      <c r="L1491" s="320"/>
      <c r="M1491" s="320"/>
      <c r="N1491" s="320"/>
      <c r="O1491" s="320"/>
    </row>
    <row r="1492">
      <c r="A1492" s="32">
        <f t="shared" si="1"/>
        <v>1491</v>
      </c>
      <c r="B1492" s="9" t="s">
        <v>3331</v>
      </c>
      <c r="C1492" s="78" t="s">
        <v>3379</v>
      </c>
      <c r="D1492" s="4" t="s">
        <v>3364</v>
      </c>
      <c r="E1492" s="18" t="str">
        <f>VLOOKUP($C1492,'PPR PIPE'!$H$5:$J2469,2,0)</f>
        <v/>
      </c>
      <c r="F1492" s="523" t="s">
        <v>1088</v>
      </c>
      <c r="G1492" s="18">
        <f>VLOOKUP($C1492,'PPR PIPE'!$H$5:$J2469,3,0)</f>
        <v>915.84</v>
      </c>
      <c r="H1492" s="320"/>
      <c r="I1492" s="320"/>
      <c r="J1492" s="320"/>
      <c r="K1492" s="320"/>
      <c r="L1492" s="320"/>
      <c r="M1492" s="320"/>
      <c r="N1492" s="320"/>
      <c r="O1492" s="320"/>
    </row>
    <row r="1493">
      <c r="A1493" s="32">
        <f t="shared" si="1"/>
        <v>1492</v>
      </c>
      <c r="B1493" s="9" t="s">
        <v>3331</v>
      </c>
      <c r="C1493" s="78" t="s">
        <v>3380</v>
      </c>
      <c r="D1493" s="4" t="s">
        <v>3364</v>
      </c>
      <c r="E1493" s="18" t="str">
        <f>VLOOKUP($C1493,'PPR PIPE'!$H$5:$J2469,2,0)</f>
        <v/>
      </c>
      <c r="F1493" s="523" t="s">
        <v>1088</v>
      </c>
      <c r="G1493" s="18">
        <f>VLOOKUP($C1493,'PPR PIPE'!$H$5:$J2469,3,0)</f>
        <v>1347.84</v>
      </c>
      <c r="H1493" s="320"/>
      <c r="I1493" s="320"/>
      <c r="J1493" s="320"/>
      <c r="K1493" s="320"/>
      <c r="L1493" s="320"/>
      <c r="M1493" s="320"/>
      <c r="N1493" s="320"/>
      <c r="O1493" s="320"/>
    </row>
    <row r="1494">
      <c r="A1494" s="32">
        <f t="shared" si="1"/>
        <v>1493</v>
      </c>
      <c r="B1494" s="9" t="s">
        <v>3331</v>
      </c>
      <c r="C1494" s="78" t="s">
        <v>3381</v>
      </c>
      <c r="D1494" s="4" t="s">
        <v>3364</v>
      </c>
      <c r="E1494" s="18" t="str">
        <f>VLOOKUP($C1494,'PPR PIPE'!$H$5:$J2469,2,0)</f>
        <v/>
      </c>
      <c r="F1494" s="523" t="s">
        <v>1088</v>
      </c>
      <c r="G1494" s="18">
        <f>VLOOKUP($C1494,'PPR PIPE'!$H$5:$J2469,3,0)</f>
        <v>2019.6</v>
      </c>
      <c r="H1494" s="320"/>
      <c r="I1494" s="320"/>
      <c r="J1494" s="320"/>
      <c r="K1494" s="320"/>
      <c r="L1494" s="320"/>
      <c r="M1494" s="320"/>
      <c r="N1494" s="320"/>
      <c r="O1494" s="320"/>
    </row>
    <row r="1495">
      <c r="A1495" s="32">
        <f t="shared" si="1"/>
        <v>1494</v>
      </c>
      <c r="B1495" s="9" t="s">
        <v>3331</v>
      </c>
      <c r="C1495" s="78" t="s">
        <v>3382</v>
      </c>
      <c r="D1495" s="4" t="s">
        <v>3364</v>
      </c>
      <c r="E1495" s="18" t="str">
        <f>VLOOKUP($C1495,'PPR PIPE'!$H$5:$J2469,2,0)</f>
        <v/>
      </c>
      <c r="F1495" s="523" t="s">
        <v>1088</v>
      </c>
      <c r="G1495" s="18">
        <f>VLOOKUP($C1495,'PPR PIPE'!$H$5:$J2469,3,0)</f>
        <v>5270.4</v>
      </c>
      <c r="H1495" s="320"/>
      <c r="I1495" s="320"/>
      <c r="J1495" s="320"/>
      <c r="K1495" s="320"/>
      <c r="L1495" s="320"/>
      <c r="M1495" s="320"/>
      <c r="N1495" s="320"/>
      <c r="O1495" s="320"/>
    </row>
    <row r="1496">
      <c r="A1496" s="32">
        <f t="shared" si="1"/>
        <v>1495</v>
      </c>
      <c r="B1496" s="9" t="s">
        <v>3331</v>
      </c>
      <c r="C1496" s="78" t="s">
        <v>3383</v>
      </c>
      <c r="D1496" s="4" t="s">
        <v>3364</v>
      </c>
      <c r="E1496" s="18" t="str">
        <f>VLOOKUP($C1496,'PPR PIPE'!$M$5:$O2469,2,0)</f>
        <v/>
      </c>
      <c r="F1496" s="523" t="s">
        <v>1088</v>
      </c>
      <c r="G1496" s="18">
        <f>VLOOKUP($C1496,'PPR PIPE'!$M$5:$O2469,3,0)</f>
        <v>62.64</v>
      </c>
      <c r="H1496" s="320"/>
      <c r="I1496" s="320"/>
      <c r="J1496" s="320"/>
      <c r="K1496" s="320"/>
      <c r="L1496" s="320"/>
      <c r="M1496" s="320"/>
      <c r="N1496" s="320"/>
      <c r="O1496" s="320"/>
    </row>
    <row r="1497">
      <c r="A1497" s="32">
        <f t="shared" si="1"/>
        <v>1496</v>
      </c>
      <c r="B1497" s="9" t="s">
        <v>3331</v>
      </c>
      <c r="C1497" s="78" t="s">
        <v>3384</v>
      </c>
      <c r="D1497" s="4" t="s">
        <v>3364</v>
      </c>
      <c r="E1497" s="18" t="str">
        <f>VLOOKUP($C1497,'PPR PIPE'!$M$5:$O2469,2,0)</f>
        <v/>
      </c>
      <c r="F1497" s="523" t="s">
        <v>1088</v>
      </c>
      <c r="G1497" s="18">
        <f>VLOOKUP($C1497,'PPR PIPE'!$M$5:$O2469,3,0)</f>
        <v>92.88</v>
      </c>
      <c r="H1497" s="320"/>
      <c r="I1497" s="320"/>
      <c r="J1497" s="320"/>
      <c r="K1497" s="320"/>
      <c r="L1497" s="320"/>
      <c r="M1497" s="320"/>
      <c r="N1497" s="320"/>
      <c r="O1497" s="320"/>
    </row>
    <row r="1498">
      <c r="A1498" s="32">
        <f t="shared" si="1"/>
        <v>1497</v>
      </c>
      <c r="B1498" s="9" t="s">
        <v>3331</v>
      </c>
      <c r="C1498" s="78" t="s">
        <v>3385</v>
      </c>
      <c r="D1498" s="4" t="s">
        <v>3364</v>
      </c>
      <c r="E1498" s="18" t="str">
        <f>VLOOKUP($C1498,'PPR PIPE'!$M$5:$O2469,2,0)</f>
        <v/>
      </c>
      <c r="F1498" s="523" t="s">
        <v>1088</v>
      </c>
      <c r="G1498" s="18">
        <f>VLOOKUP($C1498,'PPR PIPE'!$M$5:$O2469,3,0)</f>
        <v>149.04</v>
      </c>
      <c r="H1498" s="320"/>
      <c r="I1498" s="320"/>
      <c r="J1498" s="320"/>
      <c r="K1498" s="320"/>
      <c r="L1498" s="320"/>
      <c r="M1498" s="320"/>
      <c r="N1498" s="320"/>
      <c r="O1498" s="320"/>
    </row>
    <row r="1499">
      <c r="A1499" s="32">
        <f t="shared" si="1"/>
        <v>1498</v>
      </c>
      <c r="B1499" s="9" t="s">
        <v>3331</v>
      </c>
      <c r="C1499" s="78" t="s">
        <v>3386</v>
      </c>
      <c r="D1499" s="4" t="s">
        <v>3364</v>
      </c>
      <c r="E1499" s="18" t="str">
        <f>VLOOKUP($C1499,'PPR PIPE'!$M$5:$O2469,2,0)</f>
        <v/>
      </c>
      <c r="F1499" s="523" t="s">
        <v>1088</v>
      </c>
      <c r="G1499" s="18">
        <f>VLOOKUP($C1499,'PPR PIPE'!$M$5:$O2469,3,0)</f>
        <v>213.84</v>
      </c>
      <c r="H1499" s="320"/>
      <c r="I1499" s="320"/>
      <c r="J1499" s="320"/>
      <c r="K1499" s="320"/>
      <c r="L1499" s="320"/>
      <c r="M1499" s="320"/>
      <c r="N1499" s="320"/>
      <c r="O1499" s="320"/>
    </row>
    <row r="1500">
      <c r="A1500" s="32">
        <f t="shared" si="1"/>
        <v>1499</v>
      </c>
      <c r="B1500" s="9" t="s">
        <v>3331</v>
      </c>
      <c r="C1500" s="78" t="s">
        <v>3387</v>
      </c>
      <c r="D1500" s="4" t="s">
        <v>3364</v>
      </c>
      <c r="E1500" s="18" t="str">
        <f>VLOOKUP($C1500,'PPR PIPE'!$M$5:$O2469,2,0)</f>
        <v/>
      </c>
      <c r="F1500" s="523" t="s">
        <v>1088</v>
      </c>
      <c r="G1500" s="18">
        <f>VLOOKUP($C1500,'PPR PIPE'!$M$5:$O2469,3,0)</f>
        <v>354.24</v>
      </c>
      <c r="H1500" s="320"/>
      <c r="I1500" s="320"/>
      <c r="J1500" s="320"/>
      <c r="K1500" s="320"/>
      <c r="L1500" s="320"/>
      <c r="M1500" s="320"/>
      <c r="N1500" s="320"/>
      <c r="O1500" s="320"/>
    </row>
    <row r="1501">
      <c r="A1501" s="32">
        <f t="shared" si="1"/>
        <v>1500</v>
      </c>
      <c r="B1501" s="9" t="s">
        <v>3331</v>
      </c>
      <c r="C1501" s="78" t="s">
        <v>3388</v>
      </c>
      <c r="D1501" s="4" t="s">
        <v>3364</v>
      </c>
      <c r="E1501" s="18" t="str">
        <f>VLOOKUP($C1501,'PPR PIPE'!$M$5:$O2469,2,0)</f>
        <v/>
      </c>
      <c r="F1501" s="523" t="s">
        <v>1088</v>
      </c>
      <c r="G1501" s="18">
        <f>VLOOKUP($C1501,'PPR PIPE'!$M$5:$O2469,3,0)</f>
        <v>502.2</v>
      </c>
      <c r="H1501" s="320"/>
      <c r="I1501" s="320"/>
      <c r="J1501" s="320"/>
      <c r="K1501" s="320"/>
      <c r="L1501" s="320"/>
      <c r="M1501" s="320"/>
      <c r="N1501" s="320"/>
      <c r="O1501" s="320"/>
    </row>
    <row r="1502">
      <c r="A1502" s="32">
        <f t="shared" si="1"/>
        <v>1501</v>
      </c>
      <c r="B1502" s="9" t="s">
        <v>3331</v>
      </c>
      <c r="C1502" s="78" t="s">
        <v>3389</v>
      </c>
      <c r="D1502" s="4" t="s">
        <v>3364</v>
      </c>
      <c r="E1502" s="18" t="str">
        <f>VLOOKUP($C1502,'PPR PIPE'!$M$5:$O2469,2,0)</f>
        <v/>
      </c>
      <c r="F1502" s="523" t="s">
        <v>1088</v>
      </c>
      <c r="G1502" s="18">
        <f>VLOOKUP($C1502,'PPR PIPE'!$M$5:$O2469,3,0)</f>
        <v>643.68</v>
      </c>
      <c r="H1502" s="320"/>
      <c r="I1502" s="320"/>
      <c r="J1502" s="320"/>
      <c r="K1502" s="320"/>
      <c r="L1502" s="320"/>
      <c r="M1502" s="320"/>
      <c r="N1502" s="320"/>
      <c r="O1502" s="320"/>
    </row>
    <row r="1503">
      <c r="A1503" s="32">
        <f t="shared" si="1"/>
        <v>1502</v>
      </c>
      <c r="B1503" s="9" t="s">
        <v>3331</v>
      </c>
      <c r="C1503" s="78" t="s">
        <v>3390</v>
      </c>
      <c r="D1503" s="4" t="s">
        <v>3364</v>
      </c>
      <c r="E1503" s="18" t="str">
        <f>VLOOKUP($C1503,'PPR PIPE'!$M$5:$O2469,2,0)</f>
        <v/>
      </c>
      <c r="F1503" s="523" t="s">
        <v>1088</v>
      </c>
      <c r="G1503" s="18">
        <f>VLOOKUP($C1503,'PPR PIPE'!$M$5:$O2469,3,0)</f>
        <v>933.12</v>
      </c>
      <c r="H1503" s="320"/>
      <c r="I1503" s="320"/>
      <c r="J1503" s="320"/>
      <c r="K1503" s="320"/>
      <c r="L1503" s="320"/>
      <c r="M1503" s="320"/>
      <c r="N1503" s="320"/>
      <c r="O1503" s="320"/>
    </row>
    <row r="1504">
      <c r="A1504" s="32">
        <f t="shared" si="1"/>
        <v>1503</v>
      </c>
      <c r="B1504" s="9" t="s">
        <v>3331</v>
      </c>
      <c r="C1504" s="78" t="s">
        <v>3391</v>
      </c>
      <c r="D1504" s="4" t="s">
        <v>3364</v>
      </c>
      <c r="E1504" s="18" t="str">
        <f>VLOOKUP($C1504,'PPR PIPE'!$M$5:$O2469,2,0)</f>
        <v/>
      </c>
      <c r="F1504" s="523" t="s">
        <v>1088</v>
      </c>
      <c r="G1504" s="18">
        <f>VLOOKUP($C1504,'PPR PIPE'!$M$5:$O2469,3,0)</f>
        <v>1382.4</v>
      </c>
      <c r="H1504" s="320"/>
      <c r="I1504" s="320"/>
      <c r="J1504" s="320"/>
      <c r="K1504" s="320"/>
      <c r="L1504" s="320"/>
      <c r="M1504" s="320"/>
      <c r="N1504" s="320"/>
      <c r="O1504" s="320"/>
    </row>
    <row r="1505">
      <c r="A1505" s="32">
        <f t="shared" si="1"/>
        <v>1504</v>
      </c>
      <c r="B1505" s="9" t="s">
        <v>3331</v>
      </c>
      <c r="C1505" s="78" t="s">
        <v>3392</v>
      </c>
      <c r="D1505" s="4" t="s">
        <v>3364</v>
      </c>
      <c r="E1505" s="18" t="str">
        <f>VLOOKUP($C1505,'PPR PIPE'!$M$5:$O2469,2,0)</f>
        <v/>
      </c>
      <c r="F1505" s="523" t="s">
        <v>1088</v>
      </c>
      <c r="G1505" s="18">
        <f>VLOOKUP($C1505,'PPR PIPE'!$M$5:$O2469,3,0)</f>
        <v>2859.84</v>
      </c>
      <c r="H1505" s="320"/>
      <c r="I1505" s="320"/>
      <c r="J1505" s="320"/>
      <c r="K1505" s="320"/>
      <c r="L1505" s="320"/>
      <c r="M1505" s="320"/>
      <c r="N1505" s="320"/>
      <c r="O1505" s="320"/>
    </row>
    <row r="1506">
      <c r="A1506" s="32">
        <f t="shared" si="1"/>
        <v>1505</v>
      </c>
      <c r="B1506" s="9" t="s">
        <v>3331</v>
      </c>
      <c r="C1506" s="78" t="s">
        <v>3393</v>
      </c>
      <c r="D1506" s="4" t="s">
        <v>3364</v>
      </c>
      <c r="E1506" s="18" t="str">
        <f>VLOOKUP($C1506,'PPR PIPE'!$M$5:$O2469,2,0)</f>
        <v/>
      </c>
      <c r="F1506" s="523" t="s">
        <v>1088</v>
      </c>
      <c r="G1506" s="18">
        <f>VLOOKUP($C1506,'PPR PIPE'!$M$5:$O2469,3,0)</f>
        <v>4730.4</v>
      </c>
      <c r="H1506" s="320"/>
      <c r="I1506" s="320"/>
      <c r="J1506" s="320"/>
      <c r="K1506" s="320"/>
      <c r="L1506" s="320"/>
      <c r="M1506" s="320"/>
      <c r="N1506" s="320"/>
      <c r="O1506" s="320"/>
    </row>
    <row r="1507">
      <c r="A1507" s="32">
        <f t="shared" si="1"/>
        <v>1506</v>
      </c>
      <c r="B1507" s="9" t="s">
        <v>3331</v>
      </c>
      <c r="C1507" s="78" t="s">
        <v>3394</v>
      </c>
      <c r="D1507" s="4" t="s">
        <v>3395</v>
      </c>
      <c r="E1507" s="18" t="str">
        <f>VLOOKUP($C1507,'PPR PIPE'!$C$5:$E2469,2,0)</f>
        <v/>
      </c>
      <c r="F1507" s="523" t="s">
        <v>1088</v>
      </c>
      <c r="G1507" s="18">
        <f>VLOOKUP($C1507,'PPR PIPE'!$C$5:$E2469,3,0)</f>
        <v>120.15</v>
      </c>
      <c r="H1507" s="320"/>
      <c r="I1507" s="320"/>
      <c r="J1507" s="320"/>
      <c r="K1507" s="320"/>
      <c r="L1507" s="320"/>
      <c r="M1507" s="320"/>
      <c r="N1507" s="320"/>
      <c r="O1507" s="320"/>
    </row>
    <row r="1508">
      <c r="A1508" s="32">
        <f t="shared" si="1"/>
        <v>1507</v>
      </c>
      <c r="B1508" s="9" t="s">
        <v>3331</v>
      </c>
      <c r="C1508" s="78" t="s">
        <v>3396</v>
      </c>
      <c r="D1508" s="4" t="s">
        <v>3395</v>
      </c>
      <c r="E1508" s="18" t="str">
        <f>VLOOKUP($C1508,'PPR PIPE'!$C$5:$E2469,2,0)</f>
        <v/>
      </c>
      <c r="F1508" s="523" t="s">
        <v>1088</v>
      </c>
      <c r="G1508" s="18">
        <f>VLOOKUP($C1508,'PPR PIPE'!$C$5:$E2469,3,0)</f>
        <v>159.3</v>
      </c>
      <c r="H1508" s="320"/>
      <c r="I1508" s="320"/>
      <c r="J1508" s="320"/>
      <c r="K1508" s="320"/>
      <c r="L1508" s="320"/>
      <c r="M1508" s="320"/>
      <c r="N1508" s="320"/>
      <c r="O1508" s="320"/>
    </row>
    <row r="1509">
      <c r="A1509" s="32">
        <f t="shared" si="1"/>
        <v>1508</v>
      </c>
      <c r="B1509" s="9" t="s">
        <v>3331</v>
      </c>
      <c r="C1509" s="78" t="s">
        <v>3397</v>
      </c>
      <c r="D1509" s="4" t="s">
        <v>3395</v>
      </c>
      <c r="E1509" s="18" t="str">
        <f>VLOOKUP($C1509,'PPR PIPE'!$C$5:$E2469,2,0)</f>
        <v/>
      </c>
      <c r="F1509" s="523" t="s">
        <v>1088</v>
      </c>
      <c r="G1509" s="18">
        <f>VLOOKUP($C1509,'PPR PIPE'!$C$5:$E2469,3,0)</f>
        <v>259.2</v>
      </c>
      <c r="H1509" s="320"/>
      <c r="I1509" s="320"/>
      <c r="J1509" s="320"/>
      <c r="K1509" s="320"/>
      <c r="L1509" s="320"/>
      <c r="M1509" s="320"/>
      <c r="N1509" s="320"/>
      <c r="O1509" s="320"/>
    </row>
    <row r="1510">
      <c r="A1510" s="32">
        <f t="shared" si="1"/>
        <v>1509</v>
      </c>
      <c r="B1510" s="9" t="s">
        <v>3331</v>
      </c>
      <c r="C1510" s="78" t="s">
        <v>3398</v>
      </c>
      <c r="D1510" s="4" t="s">
        <v>3395</v>
      </c>
      <c r="E1510" s="18" t="str">
        <f>VLOOKUP($C1510,'PPR PIPE'!$C$5:$E2469,2,0)</f>
        <v/>
      </c>
      <c r="F1510" s="523" t="s">
        <v>1088</v>
      </c>
      <c r="G1510" s="18">
        <f>VLOOKUP($C1510,'PPR PIPE'!$C$5:$E2469,3,0)</f>
        <v>384.75</v>
      </c>
      <c r="H1510" s="320"/>
      <c r="I1510" s="320"/>
      <c r="J1510" s="320"/>
      <c r="K1510" s="320"/>
      <c r="L1510" s="320"/>
      <c r="M1510" s="320"/>
      <c r="N1510" s="320"/>
      <c r="O1510" s="320"/>
    </row>
    <row r="1511">
      <c r="A1511" s="32">
        <f t="shared" si="1"/>
        <v>1510</v>
      </c>
      <c r="B1511" s="9" t="s">
        <v>3331</v>
      </c>
      <c r="C1511" s="78" t="s">
        <v>3399</v>
      </c>
      <c r="D1511" s="4" t="s">
        <v>3395</v>
      </c>
      <c r="E1511" s="18" t="str">
        <f>VLOOKUP($C1511,'PPR PIPE'!$C$5:$E2469,2,0)</f>
        <v/>
      </c>
      <c r="F1511" s="523" t="s">
        <v>1088</v>
      </c>
      <c r="G1511" s="18">
        <f>VLOOKUP($C1511,'PPR PIPE'!$C$5:$E2469,3,0)</f>
        <v>699.3</v>
      </c>
      <c r="H1511" s="320"/>
      <c r="I1511" s="320"/>
      <c r="J1511" s="320"/>
      <c r="K1511" s="320"/>
      <c r="L1511" s="320"/>
      <c r="M1511" s="320"/>
      <c r="N1511" s="320"/>
      <c r="O1511" s="320"/>
    </row>
    <row r="1512">
      <c r="A1512" s="32">
        <f t="shared" si="1"/>
        <v>1511</v>
      </c>
      <c r="B1512" s="9" t="s">
        <v>3331</v>
      </c>
      <c r="C1512" s="78" t="s">
        <v>3400</v>
      </c>
      <c r="D1512" s="4" t="s">
        <v>3395</v>
      </c>
      <c r="E1512" s="18" t="str">
        <f>VLOOKUP($C1512,'PPR PIPE'!$C$5:$E2469,2,0)</f>
        <v/>
      </c>
      <c r="F1512" s="523" t="s">
        <v>1088</v>
      </c>
      <c r="G1512" s="18">
        <f>VLOOKUP($C1512,'PPR PIPE'!$C$5:$E2469,3,0)</f>
        <v>1127.25</v>
      </c>
      <c r="H1512" s="320"/>
      <c r="I1512" s="320"/>
      <c r="J1512" s="320"/>
      <c r="K1512" s="320"/>
      <c r="L1512" s="320"/>
      <c r="M1512" s="320"/>
      <c r="N1512" s="320"/>
      <c r="O1512" s="320"/>
    </row>
    <row r="1513">
      <c r="A1513" s="32">
        <f t="shared" si="1"/>
        <v>1512</v>
      </c>
      <c r="B1513" s="9" t="s">
        <v>3331</v>
      </c>
      <c r="C1513" s="78" t="s">
        <v>3401</v>
      </c>
      <c r="D1513" s="4" t="s">
        <v>3395</v>
      </c>
      <c r="E1513" s="18" t="str">
        <f>VLOOKUP($C1513,'PPR PIPE'!$C$5:$E2469,2,0)</f>
        <v/>
      </c>
      <c r="F1513" s="523" t="s">
        <v>1088</v>
      </c>
      <c r="G1513" s="18">
        <f>VLOOKUP($C1513,'PPR PIPE'!$C$5:$E2469,3,0)</f>
        <v>1336.5</v>
      </c>
      <c r="H1513" s="320"/>
      <c r="I1513" s="320"/>
      <c r="J1513" s="320"/>
      <c r="K1513" s="320"/>
      <c r="L1513" s="320"/>
      <c r="M1513" s="320"/>
      <c r="N1513" s="320"/>
      <c r="O1513" s="320"/>
    </row>
    <row r="1514">
      <c r="A1514" s="32">
        <f t="shared" si="1"/>
        <v>1513</v>
      </c>
      <c r="B1514" s="9" t="s">
        <v>3331</v>
      </c>
      <c r="C1514" s="78" t="s">
        <v>3402</v>
      </c>
      <c r="D1514" s="4" t="s">
        <v>3395</v>
      </c>
      <c r="E1514" s="18" t="str">
        <f>VLOOKUP($C1514,'PPR PIPE'!$C$5:$E2469,2,0)</f>
        <v/>
      </c>
      <c r="F1514" s="523" t="s">
        <v>1088</v>
      </c>
      <c r="G1514" s="18">
        <f>VLOOKUP($C1514,'PPR PIPE'!$C$5:$E2469,3,0)</f>
        <v>1741.5</v>
      </c>
      <c r="H1514" s="320"/>
      <c r="I1514" s="320"/>
      <c r="J1514" s="320"/>
      <c r="K1514" s="320"/>
      <c r="L1514" s="320"/>
      <c r="M1514" s="320"/>
      <c r="N1514" s="320"/>
      <c r="O1514" s="320"/>
    </row>
    <row r="1515">
      <c r="A1515" s="32">
        <f t="shared" si="1"/>
        <v>1514</v>
      </c>
      <c r="B1515" s="9" t="s">
        <v>3331</v>
      </c>
      <c r="C1515" s="78" t="s">
        <v>3403</v>
      </c>
      <c r="D1515" s="4" t="s">
        <v>3395</v>
      </c>
      <c r="E1515" s="18" t="str">
        <f>VLOOKUP($C1515,'PPR PIPE'!$C$5:$E2469,2,0)</f>
        <v/>
      </c>
      <c r="F1515" s="523" t="s">
        <v>1088</v>
      </c>
      <c r="G1515" s="18">
        <f>VLOOKUP($C1515,'PPR PIPE'!$C$5:$E2469,3,0)</f>
        <v>2794.5</v>
      </c>
      <c r="H1515" s="320"/>
      <c r="I1515" s="320"/>
      <c r="J1515" s="320"/>
      <c r="K1515" s="320"/>
      <c r="L1515" s="320"/>
      <c r="M1515" s="320"/>
      <c r="N1515" s="320"/>
      <c r="O1515" s="320"/>
    </row>
    <row r="1516">
      <c r="A1516" s="32">
        <f t="shared" si="1"/>
        <v>1515</v>
      </c>
      <c r="B1516" s="9" t="s">
        <v>3331</v>
      </c>
      <c r="C1516" s="78" t="s">
        <v>3404</v>
      </c>
      <c r="D1516" s="4" t="s">
        <v>3395</v>
      </c>
      <c r="E1516" s="296" t="str">
        <f>VLOOKUP($C1516,'PPR PIPE'!$H$5:$J2469,2,0)</f>
        <v/>
      </c>
      <c r="F1516" s="523" t="s">
        <v>1088</v>
      </c>
      <c r="G1516" s="596">
        <f>VLOOKUP($C1516,'PPR PIPE'!$H$5:$J2469,3,0)</f>
        <v>103.95</v>
      </c>
      <c r="H1516" s="320"/>
      <c r="I1516" s="320"/>
      <c r="J1516" s="320"/>
      <c r="K1516" s="320"/>
      <c r="L1516" s="320"/>
      <c r="M1516" s="320"/>
      <c r="N1516" s="320"/>
      <c r="O1516" s="320"/>
    </row>
    <row r="1517">
      <c r="A1517" s="32">
        <f t="shared" si="1"/>
        <v>1516</v>
      </c>
      <c r="B1517" s="9" t="s">
        <v>3331</v>
      </c>
      <c r="C1517" s="78" t="s">
        <v>3405</v>
      </c>
      <c r="D1517" s="4" t="s">
        <v>3395</v>
      </c>
      <c r="E1517" s="18" t="str">
        <f>VLOOKUP($C1517,'PPR PIPE'!$H$5:$J2469,2,0)</f>
        <v/>
      </c>
      <c r="F1517" s="523" t="s">
        <v>1088</v>
      </c>
      <c r="G1517" s="18">
        <f>VLOOKUP($C1517,'PPR PIPE'!$H$5:$J2469,3,0)</f>
        <v>137.7</v>
      </c>
      <c r="H1517" s="320"/>
      <c r="I1517" s="320"/>
      <c r="J1517" s="320"/>
      <c r="K1517" s="320"/>
      <c r="L1517" s="320"/>
      <c r="M1517" s="320"/>
      <c r="N1517" s="320"/>
      <c r="O1517" s="320"/>
    </row>
    <row r="1518">
      <c r="A1518" s="32">
        <f t="shared" si="1"/>
        <v>1517</v>
      </c>
      <c r="B1518" s="9" t="s">
        <v>3331</v>
      </c>
      <c r="C1518" s="78" t="s">
        <v>3406</v>
      </c>
      <c r="D1518" s="4" t="s">
        <v>3395</v>
      </c>
      <c r="E1518" s="18" t="str">
        <f>VLOOKUP($C1518,'PPR PIPE'!$H$5:$J2469,2,0)</f>
        <v/>
      </c>
      <c r="F1518" s="523" t="s">
        <v>1088</v>
      </c>
      <c r="G1518" s="18">
        <f>VLOOKUP($C1518,'PPR PIPE'!$H$5:$J2469,3,0)</f>
        <v>222.75</v>
      </c>
      <c r="H1518" s="320"/>
      <c r="I1518" s="320"/>
      <c r="J1518" s="320"/>
      <c r="K1518" s="320"/>
      <c r="L1518" s="320"/>
      <c r="M1518" s="320"/>
      <c r="N1518" s="320"/>
      <c r="O1518" s="320"/>
    </row>
    <row r="1519">
      <c r="A1519" s="32">
        <f t="shared" si="1"/>
        <v>1518</v>
      </c>
      <c r="B1519" s="9" t="s">
        <v>3331</v>
      </c>
      <c r="C1519" s="78" t="s">
        <v>3407</v>
      </c>
      <c r="D1519" s="4" t="s">
        <v>3395</v>
      </c>
      <c r="E1519" s="18" t="str">
        <f>VLOOKUP($C1519,'PPR PIPE'!$H$5:$J2469,2,0)</f>
        <v/>
      </c>
      <c r="F1519" s="523" t="s">
        <v>1088</v>
      </c>
      <c r="G1519" s="18">
        <f>VLOOKUP($C1519,'PPR PIPE'!$H$5:$J2469,3,0)</f>
        <v>330.75</v>
      </c>
      <c r="H1519" s="320"/>
      <c r="I1519" s="320"/>
      <c r="J1519" s="320"/>
      <c r="K1519" s="320"/>
      <c r="L1519" s="320"/>
      <c r="M1519" s="320"/>
      <c r="N1519" s="320"/>
      <c r="O1519" s="320"/>
    </row>
    <row r="1520">
      <c r="A1520" s="32">
        <f t="shared" si="1"/>
        <v>1519</v>
      </c>
      <c r="B1520" s="9" t="s">
        <v>3331</v>
      </c>
      <c r="C1520" s="78" t="s">
        <v>3408</v>
      </c>
      <c r="D1520" s="4" t="s">
        <v>3395</v>
      </c>
      <c r="E1520" s="18" t="str">
        <f>VLOOKUP($C1520,'PPR PIPE'!$H$5:$J2469,2,0)</f>
        <v/>
      </c>
      <c r="F1520" s="523" t="s">
        <v>1088</v>
      </c>
      <c r="G1520" s="18">
        <f>VLOOKUP($C1520,'PPR PIPE'!$H$5:$J2469,3,0)</f>
        <v>596.7</v>
      </c>
      <c r="H1520" s="320"/>
      <c r="I1520" s="320"/>
      <c r="J1520" s="320"/>
      <c r="K1520" s="320"/>
      <c r="L1520" s="320"/>
      <c r="M1520" s="320"/>
      <c r="N1520" s="320"/>
      <c r="O1520" s="320"/>
    </row>
    <row r="1521">
      <c r="A1521" s="32">
        <f t="shared" si="1"/>
        <v>1520</v>
      </c>
      <c r="B1521" s="9" t="s">
        <v>3331</v>
      </c>
      <c r="C1521" s="78" t="s">
        <v>3409</v>
      </c>
      <c r="D1521" s="4" t="s">
        <v>3395</v>
      </c>
      <c r="E1521" s="18" t="str">
        <f>VLOOKUP($C1521,'PPR PIPE'!$H$5:$J2469,2,0)</f>
        <v/>
      </c>
      <c r="F1521" s="523" t="s">
        <v>1088</v>
      </c>
      <c r="G1521" s="18">
        <f>VLOOKUP($C1521,'PPR PIPE'!$H$5:$J2469,3,0)</f>
        <v>874.8</v>
      </c>
      <c r="H1521" s="320"/>
      <c r="I1521" s="320"/>
      <c r="J1521" s="320"/>
      <c r="K1521" s="320"/>
      <c r="L1521" s="320"/>
      <c r="M1521" s="320"/>
      <c r="N1521" s="320"/>
      <c r="O1521" s="320"/>
    </row>
    <row r="1522">
      <c r="A1522" s="32">
        <f t="shared" si="1"/>
        <v>1521</v>
      </c>
      <c r="B1522" s="9" t="s">
        <v>3331</v>
      </c>
      <c r="C1522" s="78" t="s">
        <v>3410</v>
      </c>
      <c r="D1522" s="4" t="s">
        <v>3395</v>
      </c>
      <c r="E1522" s="18" t="str">
        <f>VLOOKUP($C1522,'PPR PIPE'!$H$5:$J2469,2,0)</f>
        <v/>
      </c>
      <c r="F1522" s="523" t="s">
        <v>1088</v>
      </c>
      <c r="G1522" s="18">
        <f>VLOOKUP($C1522,'PPR PIPE'!$H$5:$J2469,3,0)</f>
        <v>1144.8</v>
      </c>
      <c r="H1522" s="320"/>
      <c r="I1522" s="320"/>
      <c r="J1522" s="320"/>
      <c r="K1522" s="320"/>
      <c r="L1522" s="320"/>
      <c r="M1522" s="320"/>
      <c r="N1522" s="320"/>
      <c r="O1522" s="320"/>
    </row>
    <row r="1523">
      <c r="A1523" s="32">
        <f t="shared" si="1"/>
        <v>1522</v>
      </c>
      <c r="B1523" s="9" t="s">
        <v>3331</v>
      </c>
      <c r="C1523" s="78" t="s">
        <v>3411</v>
      </c>
      <c r="D1523" s="4" t="s">
        <v>3395</v>
      </c>
      <c r="E1523" s="18" t="str">
        <f>VLOOKUP($C1523,'PPR PIPE'!$H$5:$J2469,2,0)</f>
        <v/>
      </c>
      <c r="F1523" s="523" t="s">
        <v>1088</v>
      </c>
      <c r="G1523" s="18">
        <f>VLOOKUP($C1523,'PPR PIPE'!$H$5:$J2469,3,0)</f>
        <v>1684.8</v>
      </c>
      <c r="H1523" s="320"/>
      <c r="I1523" s="320"/>
      <c r="J1523" s="320"/>
      <c r="K1523" s="320"/>
      <c r="L1523" s="320"/>
      <c r="M1523" s="320"/>
      <c r="N1523" s="320"/>
      <c r="O1523" s="320"/>
    </row>
    <row r="1524">
      <c r="A1524" s="32">
        <f t="shared" si="1"/>
        <v>1523</v>
      </c>
      <c r="B1524" s="9" t="s">
        <v>3331</v>
      </c>
      <c r="C1524" s="78" t="s">
        <v>3412</v>
      </c>
      <c r="D1524" s="4" t="s">
        <v>3395</v>
      </c>
      <c r="E1524" s="18" t="str">
        <f>VLOOKUP($C1524,'PPR PIPE'!$H$5:$J2469,2,0)</f>
        <v/>
      </c>
      <c r="F1524" s="523" t="s">
        <v>1088</v>
      </c>
      <c r="G1524" s="18">
        <f>VLOOKUP($C1524,'PPR PIPE'!$H$5:$J2469,3,0)</f>
        <v>2524.5</v>
      </c>
      <c r="H1524" s="320"/>
      <c r="I1524" s="320"/>
      <c r="J1524" s="320"/>
      <c r="K1524" s="320"/>
      <c r="L1524" s="320"/>
      <c r="M1524" s="320"/>
      <c r="N1524" s="320"/>
      <c r="O1524" s="320"/>
    </row>
    <row r="1525">
      <c r="A1525" s="32">
        <f t="shared" si="1"/>
        <v>1524</v>
      </c>
      <c r="B1525" s="9" t="s">
        <v>3331</v>
      </c>
      <c r="C1525" s="78" t="s">
        <v>3413</v>
      </c>
      <c r="D1525" s="4" t="s">
        <v>3395</v>
      </c>
      <c r="E1525" s="18" t="str">
        <f>VLOOKUP($C1525,'PPR PIPE'!$H$5:$J2469,2,0)</f>
        <v/>
      </c>
      <c r="F1525" s="523" t="s">
        <v>1088</v>
      </c>
      <c r="G1525" s="18">
        <f>VLOOKUP($C1525,'PPR PIPE'!$H$5:$J2469,3,0)</f>
        <v>6588</v>
      </c>
      <c r="H1525" s="320"/>
      <c r="I1525" s="320"/>
      <c r="J1525" s="320"/>
      <c r="K1525" s="320"/>
      <c r="L1525" s="320"/>
      <c r="M1525" s="320"/>
      <c r="N1525" s="320"/>
      <c r="O1525" s="320"/>
    </row>
    <row r="1526">
      <c r="A1526" s="32">
        <f t="shared" si="1"/>
        <v>1525</v>
      </c>
      <c r="B1526" s="9" t="s">
        <v>3331</v>
      </c>
      <c r="C1526" s="78" t="s">
        <v>3414</v>
      </c>
      <c r="D1526" s="4" t="s">
        <v>3395</v>
      </c>
      <c r="E1526" s="18" t="str">
        <f>VLOOKUP($C1526,'PPR PIPE'!$M$5:$O2469,2,0)</f>
        <v/>
      </c>
      <c r="F1526" s="523" t="s">
        <v>1088</v>
      </c>
      <c r="G1526" s="18">
        <f>VLOOKUP($C1526,'PPR PIPE'!$M$5:$O2469,3,0)</f>
        <v>78.3</v>
      </c>
      <c r="H1526" s="320"/>
      <c r="I1526" s="320"/>
      <c r="J1526" s="320"/>
      <c r="K1526" s="320"/>
      <c r="L1526" s="320"/>
      <c r="M1526" s="320"/>
      <c r="N1526" s="320"/>
      <c r="O1526" s="320"/>
    </row>
    <row r="1527">
      <c r="A1527" s="32">
        <f t="shared" si="1"/>
        <v>1526</v>
      </c>
      <c r="B1527" s="9" t="s">
        <v>3331</v>
      </c>
      <c r="C1527" s="78" t="s">
        <v>3415</v>
      </c>
      <c r="D1527" s="4" t="s">
        <v>3395</v>
      </c>
      <c r="E1527" s="18" t="str">
        <f>VLOOKUP($C1527,'PPR PIPE'!$M$5:$O2469,2,0)</f>
        <v/>
      </c>
      <c r="F1527" s="523" t="s">
        <v>1088</v>
      </c>
      <c r="G1527" s="18">
        <f>VLOOKUP($C1527,'PPR PIPE'!$M$5:$O2469,3,0)</f>
        <v>116.1</v>
      </c>
      <c r="H1527" s="320"/>
      <c r="I1527" s="320"/>
      <c r="J1527" s="320"/>
      <c r="K1527" s="320"/>
      <c r="L1527" s="320"/>
      <c r="M1527" s="320"/>
      <c r="N1527" s="320"/>
      <c r="O1527" s="320"/>
    </row>
    <row r="1528">
      <c r="A1528" s="32">
        <f t="shared" si="1"/>
        <v>1527</v>
      </c>
      <c r="B1528" s="9" t="s">
        <v>3331</v>
      </c>
      <c r="C1528" s="78" t="s">
        <v>3416</v>
      </c>
      <c r="D1528" s="4" t="s">
        <v>3395</v>
      </c>
      <c r="E1528" s="18" t="str">
        <f>VLOOKUP($C1528,'PPR PIPE'!$M$5:$O2469,2,0)</f>
        <v/>
      </c>
      <c r="F1528" s="523" t="s">
        <v>1088</v>
      </c>
      <c r="G1528" s="18">
        <f>VLOOKUP($C1528,'PPR PIPE'!$M$5:$O2469,3,0)</f>
        <v>186.3</v>
      </c>
      <c r="H1528" s="320"/>
      <c r="I1528" s="320"/>
      <c r="J1528" s="320"/>
      <c r="K1528" s="320"/>
      <c r="L1528" s="320"/>
      <c r="M1528" s="320"/>
      <c r="N1528" s="320"/>
      <c r="O1528" s="320"/>
    </row>
    <row r="1529">
      <c r="A1529" s="32">
        <f t="shared" si="1"/>
        <v>1528</v>
      </c>
      <c r="B1529" s="9" t="s">
        <v>3331</v>
      </c>
      <c r="C1529" s="78" t="s">
        <v>3417</v>
      </c>
      <c r="D1529" s="4" t="s">
        <v>3395</v>
      </c>
      <c r="E1529" s="18" t="str">
        <f>VLOOKUP($C1529,'PPR PIPE'!$M$5:$O2469,2,0)</f>
        <v/>
      </c>
      <c r="F1529" s="523" t="s">
        <v>1088</v>
      </c>
      <c r="G1529" s="18">
        <f>VLOOKUP($C1529,'PPR PIPE'!$M$5:$O2469,3,0)</f>
        <v>267.3</v>
      </c>
      <c r="H1529" s="320"/>
      <c r="I1529" s="320"/>
      <c r="J1529" s="320"/>
      <c r="K1529" s="320"/>
      <c r="L1529" s="320"/>
      <c r="M1529" s="320"/>
      <c r="N1529" s="320"/>
      <c r="O1529" s="320"/>
    </row>
    <row r="1530">
      <c r="A1530" s="32">
        <f t="shared" si="1"/>
        <v>1529</v>
      </c>
      <c r="B1530" s="9" t="s">
        <v>3331</v>
      </c>
      <c r="C1530" s="78" t="s">
        <v>3418</v>
      </c>
      <c r="D1530" s="4" t="s">
        <v>3395</v>
      </c>
      <c r="E1530" s="18" t="str">
        <f>VLOOKUP($C1530,'PPR PIPE'!$M$5:$O2469,2,0)</f>
        <v/>
      </c>
      <c r="F1530" s="523" t="s">
        <v>1088</v>
      </c>
      <c r="G1530" s="18">
        <f>VLOOKUP($C1530,'PPR PIPE'!$M$5:$O2469,3,0)</f>
        <v>442.8</v>
      </c>
      <c r="H1530" s="320"/>
      <c r="I1530" s="320"/>
      <c r="J1530" s="320"/>
      <c r="K1530" s="320"/>
      <c r="L1530" s="320"/>
      <c r="M1530" s="320"/>
      <c r="N1530" s="320"/>
      <c r="O1530" s="320"/>
    </row>
    <row r="1531">
      <c r="A1531" s="32">
        <f t="shared" si="1"/>
        <v>1530</v>
      </c>
      <c r="B1531" s="9" t="s">
        <v>3331</v>
      </c>
      <c r="C1531" s="78" t="s">
        <v>3419</v>
      </c>
      <c r="D1531" s="4" t="s">
        <v>3395</v>
      </c>
      <c r="E1531" s="18" t="str">
        <f>VLOOKUP($C1531,'PPR PIPE'!$M$5:$O2469,2,0)</f>
        <v/>
      </c>
      <c r="F1531" s="523" t="s">
        <v>1088</v>
      </c>
      <c r="G1531" s="18">
        <f>VLOOKUP($C1531,'PPR PIPE'!$M$5:$O2469,3,0)</f>
        <v>627.75</v>
      </c>
      <c r="H1531" s="320"/>
      <c r="I1531" s="320"/>
      <c r="J1531" s="320"/>
      <c r="K1531" s="320"/>
      <c r="L1531" s="320"/>
      <c r="M1531" s="320"/>
      <c r="N1531" s="320"/>
      <c r="O1531" s="320"/>
    </row>
    <row r="1532">
      <c r="A1532" s="32">
        <f t="shared" si="1"/>
        <v>1531</v>
      </c>
      <c r="B1532" s="9" t="s">
        <v>3331</v>
      </c>
      <c r="C1532" s="78" t="s">
        <v>3420</v>
      </c>
      <c r="D1532" s="4" t="s">
        <v>3395</v>
      </c>
      <c r="E1532" s="18" t="str">
        <f>VLOOKUP($C1532,'PPR PIPE'!$M$5:$O2469,2,0)</f>
        <v/>
      </c>
      <c r="F1532" s="523" t="s">
        <v>1088</v>
      </c>
      <c r="G1532" s="18">
        <f>VLOOKUP($C1532,'PPR PIPE'!$M$5:$O2469,3,0)</f>
        <v>804.6</v>
      </c>
      <c r="H1532" s="320"/>
      <c r="I1532" s="320"/>
      <c r="J1532" s="320"/>
      <c r="K1532" s="320"/>
      <c r="L1532" s="320"/>
      <c r="M1532" s="320"/>
      <c r="N1532" s="320"/>
      <c r="O1532" s="320"/>
    </row>
    <row r="1533">
      <c r="A1533" s="32">
        <f t="shared" si="1"/>
        <v>1532</v>
      </c>
      <c r="B1533" s="9" t="s">
        <v>3331</v>
      </c>
      <c r="C1533" s="78" t="s">
        <v>3421</v>
      </c>
      <c r="D1533" s="4" t="s">
        <v>3395</v>
      </c>
      <c r="E1533" s="18" t="str">
        <f>VLOOKUP($C1533,'PPR PIPE'!$M$5:$O2469,2,0)</f>
        <v/>
      </c>
      <c r="F1533" s="523" t="s">
        <v>1088</v>
      </c>
      <c r="G1533" s="18">
        <f>VLOOKUP($C1533,'PPR PIPE'!$M$5:$O2469,3,0)</f>
        <v>1166.4</v>
      </c>
      <c r="H1533" s="320"/>
      <c r="I1533" s="320"/>
      <c r="J1533" s="320"/>
      <c r="K1533" s="320"/>
      <c r="L1533" s="320"/>
      <c r="M1533" s="320"/>
      <c r="N1533" s="320"/>
      <c r="O1533" s="320"/>
    </row>
    <row r="1534">
      <c r="A1534" s="32">
        <f t="shared" si="1"/>
        <v>1533</v>
      </c>
      <c r="B1534" s="9" t="s">
        <v>3331</v>
      </c>
      <c r="C1534" s="78" t="s">
        <v>3422</v>
      </c>
      <c r="D1534" s="4" t="s">
        <v>3395</v>
      </c>
      <c r="E1534" s="18" t="str">
        <f>VLOOKUP($C1534,'PPR PIPE'!$M$5:$O2469,2,0)</f>
        <v/>
      </c>
      <c r="F1534" s="523" t="s">
        <v>1088</v>
      </c>
      <c r="G1534" s="18">
        <f>VLOOKUP($C1534,'PPR PIPE'!$M$5:$O2469,3,0)</f>
        <v>1728</v>
      </c>
      <c r="H1534" s="320"/>
      <c r="I1534" s="320"/>
      <c r="J1534" s="320"/>
      <c r="K1534" s="320"/>
      <c r="L1534" s="320"/>
      <c r="M1534" s="320"/>
      <c r="N1534" s="320"/>
      <c r="O1534" s="320"/>
    </row>
    <row r="1535">
      <c r="A1535" s="32">
        <f t="shared" si="1"/>
        <v>1534</v>
      </c>
      <c r="B1535" s="9" t="s">
        <v>3331</v>
      </c>
      <c r="C1535" s="78" t="s">
        <v>3423</v>
      </c>
      <c r="D1535" s="4" t="s">
        <v>3395</v>
      </c>
      <c r="E1535" s="18" t="str">
        <f>VLOOKUP($C1535,'PPR PIPE'!$M$5:$O2469,2,0)</f>
        <v/>
      </c>
      <c r="F1535" s="523" t="s">
        <v>1088</v>
      </c>
      <c r="G1535" s="18">
        <f>VLOOKUP($C1535,'PPR PIPE'!$M$5:$O2469,3,0)</f>
        <v>3574.8</v>
      </c>
      <c r="H1535" s="320"/>
      <c r="I1535" s="320"/>
      <c r="J1535" s="320"/>
      <c r="K1535" s="320"/>
      <c r="L1535" s="320"/>
      <c r="M1535" s="320"/>
      <c r="N1535" s="320"/>
      <c r="O1535" s="320"/>
    </row>
    <row r="1536">
      <c r="A1536" s="32">
        <f t="shared" si="1"/>
        <v>1535</v>
      </c>
      <c r="B1536" s="9" t="s">
        <v>3331</v>
      </c>
      <c r="C1536" s="78" t="s">
        <v>3424</v>
      </c>
      <c r="D1536" s="4" t="s">
        <v>3395</v>
      </c>
      <c r="E1536" s="18" t="str">
        <f>VLOOKUP($C1536,'PPR PIPE'!$M$5:$O2469,2,0)</f>
        <v/>
      </c>
      <c r="F1536" s="523" t="s">
        <v>1088</v>
      </c>
      <c r="G1536" s="18">
        <f>VLOOKUP($C1536,'PPR PIPE'!$M$5:$O2469,3,0)</f>
        <v>5913</v>
      </c>
      <c r="H1536" s="320"/>
      <c r="I1536" s="320"/>
      <c r="J1536" s="320"/>
      <c r="K1536" s="320"/>
      <c r="L1536" s="320"/>
      <c r="M1536" s="320"/>
      <c r="N1536" s="320"/>
      <c r="O1536" s="320"/>
    </row>
    <row r="1537">
      <c r="A1537" s="32">
        <f t="shared" si="1"/>
        <v>1536</v>
      </c>
      <c r="B1537" s="9" t="s">
        <v>3425</v>
      </c>
      <c r="C1537" s="460" t="s">
        <v>3426</v>
      </c>
      <c r="D1537" s="4" t="s">
        <v>3427</v>
      </c>
      <c r="E1537" s="18" t="str">
        <f>VLOOKUP($C1537,'PPR FITTINGS'!$F$4:$I2469,3,0)</f>
        <v/>
      </c>
      <c r="F1537" s="523" t="s">
        <v>1088</v>
      </c>
      <c r="G1537" s="18">
        <f>VLOOKUP($C1537,'PPR FITTINGS'!$F$4:$I2469,2,0)</f>
        <v>12.7</v>
      </c>
      <c r="H1537" s="320"/>
      <c r="I1537" s="320"/>
      <c r="J1537" s="320"/>
      <c r="K1537" s="320"/>
      <c r="L1537" s="320"/>
      <c r="M1537" s="320"/>
      <c r="N1537" s="320"/>
      <c r="O1537" s="320"/>
    </row>
    <row r="1538">
      <c r="A1538" s="32">
        <f t="shared" si="1"/>
        <v>1537</v>
      </c>
      <c r="B1538" s="9" t="s">
        <v>3425</v>
      </c>
      <c r="C1538" s="460" t="s">
        <v>3428</v>
      </c>
      <c r="D1538" s="4" t="s">
        <v>3427</v>
      </c>
      <c r="E1538" s="18" t="str">
        <f>VLOOKUP($C1538,'PPR FITTINGS'!$F$4:$I2469,3,0)</f>
        <v/>
      </c>
      <c r="F1538" s="523" t="s">
        <v>1088</v>
      </c>
      <c r="G1538" s="18">
        <f>VLOOKUP($C1538,'PPR FITTINGS'!$F$4:$I2469,2,0)</f>
        <v>16.6</v>
      </c>
      <c r="H1538" s="320"/>
      <c r="I1538" s="320"/>
      <c r="J1538" s="320"/>
      <c r="K1538" s="320"/>
      <c r="L1538" s="320"/>
      <c r="M1538" s="320"/>
      <c r="N1538" s="320"/>
      <c r="O1538" s="320"/>
    </row>
    <row r="1539">
      <c r="A1539" s="32">
        <f t="shared" si="1"/>
        <v>1538</v>
      </c>
      <c r="B1539" s="9" t="s">
        <v>3425</v>
      </c>
      <c r="C1539" s="460" t="s">
        <v>3429</v>
      </c>
      <c r="D1539" s="4" t="s">
        <v>3427</v>
      </c>
      <c r="E1539" s="18" t="str">
        <f>VLOOKUP($C1539,'PPR FITTINGS'!$F$4:$I2469,3,0)</f>
        <v/>
      </c>
      <c r="F1539" s="523" t="s">
        <v>1088</v>
      </c>
      <c r="G1539" s="18">
        <f>VLOOKUP($C1539,'PPR FITTINGS'!$F$4:$I2469,2,0)</f>
        <v>30.3</v>
      </c>
      <c r="H1539" s="320"/>
      <c r="I1539" s="320"/>
      <c r="J1539" s="320"/>
      <c r="K1539" s="320"/>
      <c r="L1539" s="320"/>
      <c r="M1539" s="320"/>
      <c r="N1539" s="320"/>
      <c r="O1539" s="320"/>
    </row>
    <row r="1540">
      <c r="A1540" s="32">
        <f t="shared" si="1"/>
        <v>1539</v>
      </c>
      <c r="B1540" s="9" t="s">
        <v>3425</v>
      </c>
      <c r="C1540" s="460" t="s">
        <v>3430</v>
      </c>
      <c r="D1540" s="4" t="s">
        <v>3427</v>
      </c>
      <c r="E1540" s="18" t="str">
        <f>VLOOKUP($C1540,'PPR FITTINGS'!$F$4:$I2469,3,0)</f>
        <v/>
      </c>
      <c r="F1540" s="523" t="s">
        <v>1088</v>
      </c>
      <c r="G1540" s="18">
        <f>VLOOKUP($C1540,'PPR FITTINGS'!$F$4:$I2469,2,0)</f>
        <v>43.9</v>
      </c>
      <c r="H1540" s="320"/>
      <c r="I1540" s="320"/>
      <c r="J1540" s="320"/>
      <c r="K1540" s="320"/>
      <c r="L1540" s="320"/>
      <c r="M1540" s="320"/>
      <c r="N1540" s="320"/>
      <c r="O1540" s="320"/>
    </row>
    <row r="1541">
      <c r="A1541" s="32">
        <f t="shared" si="1"/>
        <v>1540</v>
      </c>
      <c r="B1541" s="9" t="s">
        <v>3425</v>
      </c>
      <c r="C1541" s="460" t="s">
        <v>3431</v>
      </c>
      <c r="D1541" s="4" t="s">
        <v>3427</v>
      </c>
      <c r="E1541" s="18" t="str">
        <f>VLOOKUP($C1541,'PPR FITTINGS'!$F$4:$I2469,3,0)</f>
        <v/>
      </c>
      <c r="F1541" s="523" t="s">
        <v>1088</v>
      </c>
      <c r="G1541" s="18">
        <f>VLOOKUP($C1541,'PPR FITTINGS'!$F$4:$I2469,2,0)</f>
        <v>69.4</v>
      </c>
      <c r="H1541" s="320"/>
      <c r="I1541" s="320"/>
      <c r="J1541" s="320"/>
      <c r="K1541" s="320"/>
      <c r="L1541" s="320"/>
      <c r="M1541" s="320"/>
      <c r="N1541" s="320"/>
      <c r="O1541" s="320"/>
    </row>
    <row r="1542">
      <c r="A1542" s="32">
        <f t="shared" si="1"/>
        <v>1541</v>
      </c>
      <c r="B1542" s="9" t="s">
        <v>3425</v>
      </c>
      <c r="C1542" s="460" t="s">
        <v>3432</v>
      </c>
      <c r="D1542" s="4" t="s">
        <v>3427</v>
      </c>
      <c r="E1542" s="18" t="str">
        <f>VLOOKUP($C1542,'PPR FITTINGS'!$F$4:$I2469,3,0)</f>
        <v/>
      </c>
      <c r="F1542" s="523" t="s">
        <v>1088</v>
      </c>
      <c r="G1542" s="18">
        <f>VLOOKUP($C1542,'PPR FITTINGS'!$F$4:$I2469,2,0)</f>
        <v>132.3</v>
      </c>
      <c r="H1542" s="320"/>
      <c r="I1542" s="320"/>
      <c r="J1542" s="320"/>
      <c r="K1542" s="320"/>
      <c r="L1542" s="320"/>
      <c r="M1542" s="320"/>
      <c r="N1542" s="320"/>
      <c r="O1542" s="320"/>
    </row>
    <row r="1543">
      <c r="A1543" s="32">
        <f t="shared" si="1"/>
        <v>1542</v>
      </c>
      <c r="B1543" s="9" t="s">
        <v>3425</v>
      </c>
      <c r="C1543" s="460" t="s">
        <v>3433</v>
      </c>
      <c r="D1543" s="4" t="s">
        <v>3427</v>
      </c>
      <c r="E1543" s="18" t="str">
        <f>VLOOKUP($C1543,'PPR FITTINGS'!$F$4:$I2469,3,0)</f>
        <v/>
      </c>
      <c r="F1543" s="523" t="s">
        <v>1088</v>
      </c>
      <c r="G1543" s="18">
        <f>VLOOKUP($C1543,'PPR FITTINGS'!$F$4:$I2469,2,0)</f>
        <v>278</v>
      </c>
      <c r="H1543" s="320"/>
      <c r="I1543" s="320"/>
      <c r="J1543" s="320"/>
      <c r="K1543" s="320"/>
      <c r="L1543" s="320"/>
      <c r="M1543" s="320"/>
      <c r="N1543" s="320"/>
      <c r="O1543" s="320"/>
    </row>
    <row r="1544">
      <c r="A1544" s="32">
        <f t="shared" si="1"/>
        <v>1543</v>
      </c>
      <c r="B1544" s="9" t="s">
        <v>3425</v>
      </c>
      <c r="C1544" s="460" t="s">
        <v>3434</v>
      </c>
      <c r="D1544" s="4" t="s">
        <v>3427</v>
      </c>
      <c r="E1544" s="18" t="str">
        <f>VLOOKUP($C1544,'PPR FITTINGS'!$F$4:$I2469,3,0)</f>
        <v/>
      </c>
      <c r="F1544" s="523" t="s">
        <v>1088</v>
      </c>
      <c r="G1544" s="18">
        <f>VLOOKUP($C1544,'PPR FITTINGS'!$F$4:$I2469,2,0)</f>
        <v>417.9</v>
      </c>
      <c r="H1544" s="320"/>
      <c r="I1544" s="320"/>
      <c r="J1544" s="320"/>
      <c r="K1544" s="320"/>
      <c r="L1544" s="320"/>
      <c r="M1544" s="320"/>
      <c r="N1544" s="320"/>
      <c r="O1544" s="320"/>
    </row>
    <row r="1545">
      <c r="A1545" s="32">
        <f t="shared" si="1"/>
        <v>1544</v>
      </c>
      <c r="B1545" s="9" t="s">
        <v>3425</v>
      </c>
      <c r="C1545" s="460" t="s">
        <v>3435</v>
      </c>
      <c r="D1545" s="4" t="s">
        <v>3427</v>
      </c>
      <c r="E1545" s="18" t="str">
        <f>VLOOKUP($C1545,'PPR FITTINGS'!$F$4:$I2469,3,0)</f>
        <v/>
      </c>
      <c r="F1545" s="523" t="s">
        <v>1088</v>
      </c>
      <c r="G1545" s="18">
        <f>VLOOKUP($C1545,'PPR FITTINGS'!$F$4:$I2469,2,0)</f>
        <v>876</v>
      </c>
      <c r="H1545" s="320"/>
      <c r="I1545" s="320"/>
      <c r="J1545" s="320"/>
      <c r="K1545" s="320"/>
      <c r="L1545" s="320"/>
      <c r="M1545" s="320"/>
      <c r="N1545" s="320"/>
      <c r="O1545" s="320"/>
    </row>
    <row r="1546">
      <c r="A1546" s="32">
        <f t="shared" si="1"/>
        <v>1545</v>
      </c>
      <c r="B1546" s="9" t="s">
        <v>3425</v>
      </c>
      <c r="C1546" s="460" t="s">
        <v>3436</v>
      </c>
      <c r="D1546" s="4" t="s">
        <v>3437</v>
      </c>
      <c r="E1546" s="18" t="str">
        <f>VLOOKUP($C1546,'PPR FITTINGS'!$F$4:$I2469,3,0)</f>
        <v/>
      </c>
      <c r="F1546" s="523" t="s">
        <v>1088</v>
      </c>
      <c r="G1546" s="18">
        <f>VLOOKUP($C1546,'PPR FITTINGS'!$F$4:$I2469,2,0)</f>
        <v>14.7</v>
      </c>
      <c r="H1546" s="320"/>
      <c r="I1546" s="320"/>
      <c r="J1546" s="320"/>
      <c r="K1546" s="320"/>
      <c r="L1546" s="320"/>
      <c r="M1546" s="320"/>
      <c r="N1546" s="320"/>
      <c r="O1546" s="320"/>
    </row>
    <row r="1547">
      <c r="A1547" s="32">
        <f t="shared" si="1"/>
        <v>1546</v>
      </c>
      <c r="B1547" s="9" t="s">
        <v>3425</v>
      </c>
      <c r="C1547" s="460" t="s">
        <v>3438</v>
      </c>
      <c r="D1547" s="4" t="s">
        <v>3437</v>
      </c>
      <c r="E1547" s="18" t="str">
        <f>VLOOKUP($C1547,'PPR FITTINGS'!$F$4:$I2469,3,0)</f>
        <v/>
      </c>
      <c r="F1547" s="523" t="s">
        <v>1088</v>
      </c>
      <c r="G1547" s="18">
        <f>VLOOKUP($C1547,'PPR FITTINGS'!$F$4:$I2469,2,0)</f>
        <v>23.5</v>
      </c>
      <c r="H1547" s="320"/>
      <c r="I1547" s="320"/>
      <c r="J1547" s="320"/>
      <c r="K1547" s="320"/>
      <c r="L1547" s="320"/>
      <c r="M1547" s="320"/>
      <c r="N1547" s="320"/>
      <c r="O1547" s="320"/>
    </row>
    <row r="1548">
      <c r="A1548" s="32">
        <f t="shared" si="1"/>
        <v>1547</v>
      </c>
      <c r="B1548" s="9" t="s">
        <v>3425</v>
      </c>
      <c r="C1548" s="460" t="s">
        <v>3439</v>
      </c>
      <c r="D1548" s="4" t="s">
        <v>3437</v>
      </c>
      <c r="E1548" s="18" t="str">
        <f>VLOOKUP($C1548,'PPR FITTINGS'!$F$4:$I2469,3,0)</f>
        <v/>
      </c>
      <c r="F1548" s="523" t="s">
        <v>1088</v>
      </c>
      <c r="G1548" s="18">
        <f>VLOOKUP($C1548,'PPR FITTINGS'!$F$4:$I2469,2,0)</f>
        <v>31.3</v>
      </c>
      <c r="H1548" s="320"/>
      <c r="I1548" s="320"/>
      <c r="J1548" s="320"/>
      <c r="K1548" s="320"/>
      <c r="L1548" s="320"/>
      <c r="M1548" s="320"/>
      <c r="N1548" s="320"/>
      <c r="O1548" s="320"/>
    </row>
    <row r="1549">
      <c r="A1549" s="32">
        <f t="shared" si="1"/>
        <v>1548</v>
      </c>
      <c r="B1549" s="9" t="s">
        <v>3425</v>
      </c>
      <c r="C1549" s="460" t="s">
        <v>3440</v>
      </c>
      <c r="D1549" s="4" t="s">
        <v>3437</v>
      </c>
      <c r="E1549" s="18" t="str">
        <f>VLOOKUP($C1549,'PPR FITTINGS'!$F$4:$I2469,3,0)</f>
        <v/>
      </c>
      <c r="F1549" s="523" t="s">
        <v>1088</v>
      </c>
      <c r="G1549" s="18">
        <f>VLOOKUP($C1549,'PPR FITTINGS'!$F$4:$I2469,2,0)</f>
        <v>36.8</v>
      </c>
      <c r="H1549" s="320"/>
      <c r="I1549" s="320"/>
      <c r="J1549" s="320"/>
      <c r="K1549" s="320"/>
      <c r="L1549" s="320"/>
      <c r="M1549" s="320"/>
      <c r="N1549" s="320"/>
      <c r="O1549" s="320"/>
    </row>
    <row r="1550">
      <c r="A1550" s="32">
        <f t="shared" si="1"/>
        <v>1549</v>
      </c>
      <c r="B1550" s="9" t="s">
        <v>3425</v>
      </c>
      <c r="C1550" s="460" t="s">
        <v>3441</v>
      </c>
      <c r="D1550" s="4" t="s">
        <v>3437</v>
      </c>
      <c r="E1550" s="18" t="str">
        <f>VLOOKUP($C1550,'PPR FITTINGS'!$F$4:$I2469,3,0)</f>
        <v/>
      </c>
      <c r="F1550" s="523" t="s">
        <v>1088</v>
      </c>
      <c r="G1550" s="18">
        <f>VLOOKUP($C1550,'PPR FITTINGS'!$F$4:$I2469,2,0)</f>
        <v>37.8</v>
      </c>
      <c r="H1550" s="320"/>
      <c r="I1550" s="320"/>
      <c r="J1550" s="320"/>
      <c r="K1550" s="320"/>
      <c r="L1550" s="320"/>
      <c r="M1550" s="320"/>
      <c r="N1550" s="320"/>
      <c r="O1550" s="320"/>
    </row>
    <row r="1551">
      <c r="A1551" s="32">
        <f t="shared" si="1"/>
        <v>1550</v>
      </c>
      <c r="B1551" s="9" t="s">
        <v>3425</v>
      </c>
      <c r="C1551" s="460" t="s">
        <v>3442</v>
      </c>
      <c r="D1551" s="4" t="s">
        <v>3437</v>
      </c>
      <c r="E1551" s="18" t="str">
        <f>VLOOKUP($C1551,'PPR FITTINGS'!$F$4:$I2469,3,0)</f>
        <v/>
      </c>
      <c r="F1551" s="523" t="s">
        <v>1088</v>
      </c>
      <c r="G1551" s="18">
        <f>VLOOKUP($C1551,'PPR FITTINGS'!$F$4:$I2469,2,0)</f>
        <v>39.8</v>
      </c>
      <c r="H1551" s="320"/>
      <c r="I1551" s="320"/>
      <c r="J1551" s="320"/>
      <c r="K1551" s="320"/>
      <c r="L1551" s="320"/>
      <c r="M1551" s="320"/>
      <c r="N1551" s="320"/>
      <c r="O1551" s="320"/>
    </row>
    <row r="1552">
      <c r="A1552" s="32">
        <f t="shared" si="1"/>
        <v>1551</v>
      </c>
      <c r="B1552" s="9" t="s">
        <v>3425</v>
      </c>
      <c r="C1552" s="460" t="s">
        <v>3443</v>
      </c>
      <c r="D1552" s="4" t="s">
        <v>3437</v>
      </c>
      <c r="E1552" s="18" t="str">
        <f>VLOOKUP($C1552,'PPR FITTINGS'!$F$4:$I2469,3,0)</f>
        <v/>
      </c>
      <c r="F1552" s="523" t="s">
        <v>1088</v>
      </c>
      <c r="G1552" s="18">
        <f>VLOOKUP($C1552,'PPR FITTINGS'!$F$4:$I2469,2,0)</f>
        <v>61.4</v>
      </c>
      <c r="H1552" s="320"/>
      <c r="I1552" s="320"/>
      <c r="J1552" s="320"/>
      <c r="K1552" s="320"/>
      <c r="L1552" s="320"/>
      <c r="M1552" s="320"/>
      <c r="N1552" s="320"/>
      <c r="O1552" s="320"/>
    </row>
    <row r="1553">
      <c r="A1553" s="32">
        <f t="shared" si="1"/>
        <v>1552</v>
      </c>
      <c r="B1553" s="9" t="s">
        <v>3425</v>
      </c>
      <c r="C1553" s="460" t="s">
        <v>3444</v>
      </c>
      <c r="D1553" s="4" t="s">
        <v>3437</v>
      </c>
      <c r="E1553" s="18" t="str">
        <f>VLOOKUP($C1553,'PPR FITTINGS'!$F$4:$I2469,3,0)</f>
        <v/>
      </c>
      <c r="F1553" s="523" t="s">
        <v>1088</v>
      </c>
      <c r="G1553" s="18">
        <f>VLOOKUP($C1553,'PPR FITTINGS'!$F$4:$I2469,2,0)</f>
        <v>64.4</v>
      </c>
      <c r="H1553" s="320"/>
      <c r="I1553" s="320"/>
      <c r="J1553" s="320"/>
      <c r="K1553" s="320"/>
      <c r="L1553" s="320"/>
      <c r="M1553" s="320"/>
      <c r="N1553" s="320"/>
      <c r="O1553" s="320"/>
    </row>
    <row r="1554">
      <c r="A1554" s="32">
        <f t="shared" si="1"/>
        <v>1553</v>
      </c>
      <c r="B1554" s="9" t="s">
        <v>3425</v>
      </c>
      <c r="C1554" s="460" t="s">
        <v>3447</v>
      </c>
      <c r="D1554" s="4" t="s">
        <v>3437</v>
      </c>
      <c r="E1554" s="18" t="str">
        <f>VLOOKUP($C1554,'PPR FITTINGS'!$F$4:$I2469,3,0)</f>
        <v/>
      </c>
      <c r="F1554" s="523" t="s">
        <v>1088</v>
      </c>
      <c r="G1554" s="18">
        <f>VLOOKUP($C1554,'PPR FITTINGS'!$F$4:$I2469,2,0)</f>
        <v>66.4</v>
      </c>
      <c r="H1554" s="320"/>
      <c r="I1554" s="320"/>
      <c r="J1554" s="320"/>
      <c r="K1554" s="320"/>
      <c r="L1554" s="320"/>
      <c r="M1554" s="320"/>
      <c r="N1554" s="320"/>
      <c r="O1554" s="320"/>
    </row>
    <row r="1555">
      <c r="A1555" s="32">
        <f t="shared" si="1"/>
        <v>1554</v>
      </c>
      <c r="B1555" s="9" t="s">
        <v>3425</v>
      </c>
      <c r="C1555" s="460" t="s">
        <v>3449</v>
      </c>
      <c r="D1555" s="4" t="s">
        <v>3437</v>
      </c>
      <c r="E1555" s="18" t="str">
        <f>VLOOKUP($C1555,'PPR FITTINGS'!$F$4:$I2469,3,0)</f>
        <v/>
      </c>
      <c r="F1555" s="523" t="s">
        <v>1088</v>
      </c>
      <c r="G1555" s="18">
        <f>VLOOKUP($C1555,'PPR FITTINGS'!$F$4:$I2469,2,0)</f>
        <v>69.8</v>
      </c>
      <c r="H1555" s="320"/>
      <c r="I1555" s="320"/>
      <c r="J1555" s="320"/>
      <c r="K1555" s="320"/>
      <c r="L1555" s="320"/>
      <c r="M1555" s="320"/>
      <c r="N1555" s="320"/>
      <c r="O1555" s="320"/>
    </row>
    <row r="1556">
      <c r="A1556" s="32">
        <f t="shared" si="1"/>
        <v>1555</v>
      </c>
      <c r="B1556" s="9" t="s">
        <v>3425</v>
      </c>
      <c r="C1556" s="460" t="s">
        <v>3451</v>
      </c>
      <c r="D1556" s="4" t="s">
        <v>3437</v>
      </c>
      <c r="E1556" s="18" t="str">
        <f>VLOOKUP($C1556,'PPR FITTINGS'!$F$4:$I2469,3,0)</f>
        <v/>
      </c>
      <c r="F1556" s="523" t="s">
        <v>1088</v>
      </c>
      <c r="G1556" s="18">
        <f>VLOOKUP($C1556,'PPR FITTINGS'!$F$4:$I2469,2,0)</f>
        <v>113.4</v>
      </c>
      <c r="H1556" s="320"/>
      <c r="I1556" s="320"/>
      <c r="J1556" s="320"/>
      <c r="K1556" s="320"/>
      <c r="L1556" s="320"/>
      <c r="M1556" s="320"/>
      <c r="N1556" s="320"/>
      <c r="O1556" s="320"/>
    </row>
    <row r="1557">
      <c r="A1557" s="32">
        <f t="shared" si="1"/>
        <v>1556</v>
      </c>
      <c r="B1557" s="9" t="s">
        <v>3425</v>
      </c>
      <c r="C1557" s="460" t="s">
        <v>3454</v>
      </c>
      <c r="D1557" s="4" t="s">
        <v>3437</v>
      </c>
      <c r="E1557" s="18" t="str">
        <f>VLOOKUP($C1557,'PPR FITTINGS'!$F$4:$I2469,3,0)</f>
        <v/>
      </c>
      <c r="F1557" s="523" t="s">
        <v>1088</v>
      </c>
      <c r="G1557" s="18">
        <f>VLOOKUP($C1557,'PPR FITTINGS'!$F$4:$I2469,2,0)</f>
        <v>121.8</v>
      </c>
      <c r="H1557" s="320"/>
      <c r="I1557" s="320"/>
      <c r="J1557" s="320"/>
      <c r="K1557" s="320"/>
      <c r="L1557" s="320"/>
      <c r="M1557" s="320"/>
      <c r="N1557" s="320"/>
      <c r="O1557" s="320"/>
    </row>
    <row r="1558">
      <c r="A1558" s="32">
        <f t="shared" si="1"/>
        <v>1557</v>
      </c>
      <c r="B1558" s="9" t="s">
        <v>3425</v>
      </c>
      <c r="C1558" s="460" t="s">
        <v>3455</v>
      </c>
      <c r="D1558" s="4" t="s">
        <v>3437</v>
      </c>
      <c r="E1558" s="18" t="str">
        <f>VLOOKUP($C1558,'PPR FITTINGS'!$F$4:$I2469,3,0)</f>
        <v/>
      </c>
      <c r="F1558" s="523" t="s">
        <v>1088</v>
      </c>
      <c r="G1558" s="18">
        <f>VLOOKUP($C1558,'PPR FITTINGS'!$F$4:$I2469,2,0)</f>
        <v>140.4</v>
      </c>
      <c r="H1558" s="320"/>
      <c r="I1558" s="320"/>
      <c r="J1558" s="320"/>
      <c r="K1558" s="320"/>
      <c r="L1558" s="320"/>
      <c r="M1558" s="320"/>
      <c r="N1558" s="320"/>
      <c r="O1558" s="320"/>
    </row>
    <row r="1559">
      <c r="A1559" s="32">
        <f t="shared" si="1"/>
        <v>1558</v>
      </c>
      <c r="B1559" s="9" t="s">
        <v>3425</v>
      </c>
      <c r="C1559" s="460" t="s">
        <v>3456</v>
      </c>
      <c r="D1559" s="4" t="s">
        <v>3437</v>
      </c>
      <c r="E1559" s="18" t="str">
        <f>VLOOKUP($C1559,'PPR FITTINGS'!$F$4:$I2469,3,0)</f>
        <v/>
      </c>
      <c r="F1559" s="523" t="s">
        <v>1088</v>
      </c>
      <c r="G1559" s="18">
        <f>VLOOKUP($C1559,'PPR FITTINGS'!$F$4:$I2469,2,0)</f>
        <v>139.7</v>
      </c>
      <c r="H1559" s="320"/>
      <c r="I1559" s="320"/>
      <c r="J1559" s="320"/>
      <c r="K1559" s="320"/>
      <c r="L1559" s="320"/>
      <c r="M1559" s="320"/>
      <c r="N1559" s="320"/>
      <c r="O1559" s="320"/>
    </row>
    <row r="1560">
      <c r="A1560" s="32">
        <f t="shared" si="1"/>
        <v>1559</v>
      </c>
      <c r="B1560" s="9" t="s">
        <v>3425</v>
      </c>
      <c r="C1560" s="460" t="s">
        <v>3457</v>
      </c>
      <c r="D1560" s="4" t="s">
        <v>3458</v>
      </c>
      <c r="E1560" s="18">
        <f>VLOOKUP($C1560,'PPR FITTINGS'!$F$4:$I2469,3,0)</f>
        <v>40</v>
      </c>
      <c r="F1560" s="523" t="s">
        <v>1088</v>
      </c>
      <c r="G1560" s="18">
        <f>VLOOKUP($C1560,'PPR FITTINGS'!$F$4:$I2469,2,0)</f>
        <v>119.7</v>
      </c>
      <c r="H1560" s="320"/>
      <c r="I1560" s="320"/>
      <c r="J1560" s="320"/>
      <c r="K1560" s="320"/>
      <c r="L1560" s="320"/>
      <c r="M1560" s="320"/>
      <c r="N1560" s="320"/>
      <c r="O1560" s="320"/>
    </row>
    <row r="1561">
      <c r="A1561" s="32">
        <f t="shared" si="1"/>
        <v>1560</v>
      </c>
      <c r="B1561" s="9" t="s">
        <v>3425</v>
      </c>
      <c r="C1561" s="460" t="s">
        <v>3459</v>
      </c>
      <c r="D1561" s="4" t="s">
        <v>3458</v>
      </c>
      <c r="E1561" s="18">
        <f>VLOOKUP($C1561,'PPR FITTINGS'!$F$4:$I2469,3,0)</f>
        <v>40</v>
      </c>
      <c r="F1561" s="523" t="s">
        <v>1088</v>
      </c>
      <c r="G1561" s="18">
        <f>VLOOKUP($C1561,'PPR FITTINGS'!$F$4:$I2469,2,0)</f>
        <v>124.7</v>
      </c>
      <c r="H1561" s="320"/>
      <c r="I1561" s="320"/>
      <c r="J1561" s="320"/>
      <c r="K1561" s="320"/>
      <c r="L1561" s="320"/>
      <c r="M1561" s="320"/>
      <c r="N1561" s="320"/>
      <c r="O1561" s="320"/>
    </row>
    <row r="1562">
      <c r="A1562" s="32">
        <f t="shared" si="1"/>
        <v>1561</v>
      </c>
      <c r="B1562" s="9" t="s">
        <v>3425</v>
      </c>
      <c r="C1562" s="460" t="s">
        <v>3460</v>
      </c>
      <c r="D1562" s="4" t="s">
        <v>3461</v>
      </c>
      <c r="E1562" s="18" t="str">
        <f>VLOOKUP($C1562,'PPR FITTINGS'!$F$4:$I2469,3,0)</f>
        <v/>
      </c>
      <c r="F1562" s="523" t="s">
        <v>1088</v>
      </c>
      <c r="G1562" s="18">
        <f>VLOOKUP($C1562,'PPR FITTINGS'!$F$4:$I2469,2,0)</f>
        <v>129.5</v>
      </c>
      <c r="H1562" s="320"/>
      <c r="I1562" s="320"/>
      <c r="J1562" s="320"/>
      <c r="K1562" s="320"/>
      <c r="L1562" s="320"/>
      <c r="M1562" s="320"/>
      <c r="N1562" s="320"/>
      <c r="O1562" s="320"/>
    </row>
    <row r="1563">
      <c r="A1563" s="32">
        <f t="shared" si="1"/>
        <v>1562</v>
      </c>
      <c r="B1563" s="9" t="s">
        <v>3425</v>
      </c>
      <c r="C1563" s="460" t="s">
        <v>3462</v>
      </c>
      <c r="D1563" s="4" t="s">
        <v>3461</v>
      </c>
      <c r="E1563" s="18">
        <f>VLOOKUP($C1563,'PPR FITTINGS'!$F$4:$I2469,3,0)</f>
        <v>40</v>
      </c>
      <c r="F1563" s="523" t="s">
        <v>1088</v>
      </c>
      <c r="G1563" s="18">
        <f>VLOOKUP($C1563,'PPR FITTINGS'!$F$4:$I2469,2,0)</f>
        <v>169.5</v>
      </c>
      <c r="H1563" s="320"/>
      <c r="I1563" s="320"/>
      <c r="J1563" s="320"/>
      <c r="K1563" s="320"/>
      <c r="L1563" s="320"/>
      <c r="M1563" s="320"/>
      <c r="N1563" s="320"/>
      <c r="O1563" s="320"/>
    </row>
    <row r="1564">
      <c r="A1564" s="32">
        <f t="shared" si="1"/>
        <v>1563</v>
      </c>
      <c r="B1564" s="9" t="s">
        <v>3425</v>
      </c>
      <c r="C1564" s="460" t="s">
        <v>3463</v>
      </c>
      <c r="D1564" s="4" t="s">
        <v>3461</v>
      </c>
      <c r="E1564" s="18" t="str">
        <f>VLOOKUP($C1564,'PPR FITTINGS'!$F$4:$I2469,3,0)</f>
        <v/>
      </c>
      <c r="F1564" s="523" t="s">
        <v>1088</v>
      </c>
      <c r="G1564" s="18">
        <f>VLOOKUP($C1564,'PPR FITTINGS'!$F$4:$I2469,2,0)</f>
        <v>288.7</v>
      </c>
      <c r="H1564" s="320"/>
      <c r="I1564" s="320"/>
      <c r="J1564" s="320"/>
      <c r="K1564" s="320"/>
      <c r="L1564" s="320"/>
      <c r="M1564" s="320"/>
      <c r="N1564" s="320"/>
      <c r="O1564" s="320"/>
    </row>
    <row r="1565">
      <c r="A1565" s="32">
        <f t="shared" si="1"/>
        <v>1564</v>
      </c>
      <c r="B1565" s="9" t="s">
        <v>3425</v>
      </c>
      <c r="C1565" s="460" t="s">
        <v>3464</v>
      </c>
      <c r="D1565" s="4" t="s">
        <v>3461</v>
      </c>
      <c r="E1565" s="18" t="str">
        <f>VLOOKUP($C1565,'PPR FITTINGS'!$F$4:$I2469,3,0)</f>
        <v/>
      </c>
      <c r="F1565" s="523" t="s">
        <v>1088</v>
      </c>
      <c r="G1565" s="18">
        <f>VLOOKUP($C1565,'PPR FITTINGS'!$F$4:$I2469,2,0)</f>
        <v>638</v>
      </c>
      <c r="H1565" s="320"/>
      <c r="I1565" s="320"/>
      <c r="J1565" s="320"/>
      <c r="K1565" s="320"/>
      <c r="L1565" s="320"/>
      <c r="M1565" s="320"/>
      <c r="N1565" s="320"/>
      <c r="O1565" s="320"/>
    </row>
    <row r="1566">
      <c r="A1566" s="32">
        <f t="shared" si="1"/>
        <v>1565</v>
      </c>
      <c r="B1566" s="9" t="s">
        <v>3425</v>
      </c>
      <c r="C1566" s="460" t="s">
        <v>3465</v>
      </c>
      <c r="D1566" s="4" t="s">
        <v>3466</v>
      </c>
      <c r="E1566" s="18">
        <f>VLOOKUP($C1566,'PPR FITTINGS'!$F$4:$I2469,3,0)</f>
        <v>26</v>
      </c>
      <c r="F1566" s="523" t="s">
        <v>1088</v>
      </c>
      <c r="G1566" s="18">
        <f>VLOOKUP($C1566,'PPR FITTINGS'!$F$4:$I2469,2,0)</f>
        <v>89.9</v>
      </c>
      <c r="H1566" s="320"/>
      <c r="I1566" s="320"/>
      <c r="J1566" s="320"/>
      <c r="K1566" s="320"/>
      <c r="L1566" s="320"/>
      <c r="M1566" s="320"/>
      <c r="N1566" s="320"/>
      <c r="O1566" s="320"/>
    </row>
    <row r="1567">
      <c r="A1567" s="32">
        <f t="shared" si="1"/>
        <v>1566</v>
      </c>
      <c r="B1567" s="9" t="s">
        <v>3425</v>
      </c>
      <c r="C1567" s="460" t="s">
        <v>3467</v>
      </c>
      <c r="D1567" s="4" t="s">
        <v>3466</v>
      </c>
      <c r="E1567" s="18">
        <f>VLOOKUP($C1567,'PPR FITTINGS'!$F$4:$I2469,3,0)</f>
        <v>26</v>
      </c>
      <c r="F1567" s="523" t="s">
        <v>1088</v>
      </c>
      <c r="G1567" s="18">
        <f>VLOOKUP($C1567,'PPR FITTINGS'!$F$4:$I2469,2,0)</f>
        <v>106.4</v>
      </c>
      <c r="H1567" s="320"/>
      <c r="I1567" s="320"/>
      <c r="J1567" s="320"/>
      <c r="K1567" s="320"/>
      <c r="L1567" s="320"/>
      <c r="M1567" s="320"/>
      <c r="N1567" s="320"/>
      <c r="O1567" s="320"/>
    </row>
    <row r="1568">
      <c r="A1568" s="32">
        <f t="shared" si="1"/>
        <v>1567</v>
      </c>
      <c r="B1568" s="9" t="s">
        <v>3425</v>
      </c>
      <c r="C1568" s="460" t="s">
        <v>3468</v>
      </c>
      <c r="D1568" s="4" t="s">
        <v>3469</v>
      </c>
      <c r="E1568" s="18" t="str">
        <f>VLOOKUP($C1568,'PPR FITTINGS'!$F$4:$I2469,3,0)</f>
        <v/>
      </c>
      <c r="F1568" s="523" t="s">
        <v>1088</v>
      </c>
      <c r="G1568" s="18">
        <f>VLOOKUP($C1568,'PPR FITTINGS'!$F$4:$I2469,2,0)</f>
        <v>16.6</v>
      </c>
      <c r="H1568" s="320"/>
      <c r="I1568" s="320"/>
      <c r="J1568" s="320"/>
      <c r="K1568" s="320"/>
      <c r="L1568" s="320"/>
      <c r="M1568" s="320"/>
      <c r="N1568" s="320"/>
      <c r="O1568" s="320"/>
    </row>
    <row r="1569">
      <c r="A1569" s="32">
        <f t="shared" si="1"/>
        <v>1568</v>
      </c>
      <c r="B1569" s="9" t="s">
        <v>3425</v>
      </c>
      <c r="C1569" s="460" t="s">
        <v>3470</v>
      </c>
      <c r="D1569" s="4" t="s">
        <v>3469</v>
      </c>
      <c r="E1569" s="18" t="str">
        <f>VLOOKUP($C1569,'PPR FITTINGS'!$F$4:$I2469,3,0)</f>
        <v/>
      </c>
      <c r="F1569" s="523" t="s">
        <v>1088</v>
      </c>
      <c r="G1569" s="18">
        <f>VLOOKUP($C1569,'PPR FITTINGS'!$F$4:$I2469,2,0)</f>
        <v>22.5</v>
      </c>
      <c r="H1569" s="320"/>
      <c r="I1569" s="320"/>
      <c r="J1569" s="320"/>
      <c r="K1569" s="320"/>
      <c r="L1569" s="320"/>
      <c r="M1569" s="320"/>
      <c r="N1569" s="320"/>
      <c r="O1569" s="320"/>
    </row>
    <row r="1570">
      <c r="A1570" s="32">
        <f t="shared" si="1"/>
        <v>1569</v>
      </c>
      <c r="B1570" s="9" t="s">
        <v>3425</v>
      </c>
      <c r="C1570" s="460" t="s">
        <v>3471</v>
      </c>
      <c r="D1570" s="4" t="s">
        <v>3469</v>
      </c>
      <c r="E1570" s="18" t="str">
        <f>VLOOKUP($C1570,'PPR FITTINGS'!$F$4:$I2469,3,0)</f>
        <v/>
      </c>
      <c r="F1570" s="523" t="s">
        <v>1088</v>
      </c>
      <c r="G1570" s="18">
        <f>VLOOKUP($C1570,'PPR FITTINGS'!$F$4:$I2469,2,0)</f>
        <v>39.8</v>
      </c>
      <c r="H1570" s="320"/>
      <c r="I1570" s="320"/>
      <c r="J1570" s="320"/>
      <c r="K1570" s="320"/>
      <c r="L1570" s="320"/>
      <c r="M1570" s="320"/>
      <c r="N1570" s="320"/>
      <c r="O1570" s="320"/>
    </row>
    <row r="1571">
      <c r="A1571" s="32">
        <f t="shared" si="1"/>
        <v>1570</v>
      </c>
      <c r="B1571" s="9" t="s">
        <v>3425</v>
      </c>
      <c r="C1571" s="460" t="s">
        <v>3472</v>
      </c>
      <c r="D1571" s="4" t="s">
        <v>3469</v>
      </c>
      <c r="E1571" s="18" t="str">
        <f>VLOOKUP($C1571,'PPR FITTINGS'!$F$4:$I2469,3,0)</f>
        <v/>
      </c>
      <c r="F1571" s="523" t="s">
        <v>1088</v>
      </c>
      <c r="G1571" s="18">
        <f>VLOOKUP($C1571,'PPR FITTINGS'!$F$4:$I2469,2,0)</f>
        <v>64.5</v>
      </c>
      <c r="H1571" s="320"/>
      <c r="I1571" s="320"/>
      <c r="J1571" s="320"/>
      <c r="K1571" s="320"/>
      <c r="L1571" s="320"/>
      <c r="M1571" s="320"/>
      <c r="N1571" s="320"/>
      <c r="O1571" s="320"/>
    </row>
    <row r="1572">
      <c r="A1572" s="32">
        <f t="shared" si="1"/>
        <v>1571</v>
      </c>
      <c r="B1572" s="9" t="s">
        <v>3425</v>
      </c>
      <c r="C1572" s="460" t="s">
        <v>3473</v>
      </c>
      <c r="D1572" s="4" t="s">
        <v>3469</v>
      </c>
      <c r="E1572" s="18" t="str">
        <f>VLOOKUP($C1572,'PPR FITTINGS'!$F$4:$I2469,3,0)</f>
        <v/>
      </c>
      <c r="F1572" s="523" t="s">
        <v>1088</v>
      </c>
      <c r="G1572" s="18">
        <f>VLOOKUP($C1572,'PPR FITTINGS'!$F$4:$I2469,2,0)</f>
        <v>114.9</v>
      </c>
      <c r="H1572" s="320"/>
      <c r="I1572" s="320"/>
      <c r="J1572" s="320"/>
      <c r="K1572" s="320"/>
      <c r="L1572" s="320"/>
      <c r="M1572" s="320"/>
      <c r="N1572" s="320"/>
      <c r="O1572" s="320"/>
    </row>
    <row r="1573">
      <c r="A1573" s="32">
        <f t="shared" si="1"/>
        <v>1572</v>
      </c>
      <c r="B1573" s="9" t="s">
        <v>3425</v>
      </c>
      <c r="C1573" s="460" t="s">
        <v>3474</v>
      </c>
      <c r="D1573" s="4" t="s">
        <v>3469</v>
      </c>
      <c r="E1573" s="18" t="str">
        <f>VLOOKUP($C1573,'PPR FITTINGS'!$F$4:$I2469,3,0)</f>
        <v/>
      </c>
      <c r="F1573" s="523" t="s">
        <v>1088</v>
      </c>
      <c r="G1573" s="18">
        <f>VLOOKUP($C1573,'PPR FITTINGS'!$F$4:$I2469,2,0)</f>
        <v>258</v>
      </c>
      <c r="H1573" s="320"/>
      <c r="I1573" s="320"/>
      <c r="J1573" s="320"/>
      <c r="K1573" s="320"/>
      <c r="L1573" s="320"/>
      <c r="M1573" s="320"/>
      <c r="N1573" s="320"/>
      <c r="O1573" s="320"/>
    </row>
    <row r="1574">
      <c r="A1574" s="32">
        <f t="shared" si="1"/>
        <v>1573</v>
      </c>
      <c r="B1574" s="9" t="s">
        <v>3425</v>
      </c>
      <c r="C1574" s="460" t="s">
        <v>3475</v>
      </c>
      <c r="D1574" s="4" t="s">
        <v>3469</v>
      </c>
      <c r="E1574" s="18" t="str">
        <f>VLOOKUP($C1574,'PPR FITTINGS'!$F$4:$I2469,3,0)</f>
        <v/>
      </c>
      <c r="F1574" s="523" t="s">
        <v>1088</v>
      </c>
      <c r="G1574" s="18">
        <f>VLOOKUP($C1574,'PPR FITTINGS'!$F$4:$I2469,2,0)</f>
        <v>554</v>
      </c>
      <c r="H1574" s="320"/>
      <c r="I1574" s="320"/>
      <c r="J1574" s="320"/>
      <c r="K1574" s="320"/>
      <c r="L1574" s="320"/>
      <c r="M1574" s="320"/>
      <c r="N1574" s="320"/>
      <c r="O1574" s="320"/>
    </row>
    <row r="1575">
      <c r="A1575" s="32">
        <f t="shared" si="1"/>
        <v>1574</v>
      </c>
      <c r="B1575" s="9" t="s">
        <v>3425</v>
      </c>
      <c r="C1575" s="460" t="s">
        <v>3476</v>
      </c>
      <c r="D1575" s="4" t="s">
        <v>3469</v>
      </c>
      <c r="E1575" s="18" t="str">
        <f>VLOOKUP($C1575,'PPR FITTINGS'!$F$4:$I2469,3,0)</f>
        <v/>
      </c>
      <c r="F1575" s="523" t="s">
        <v>1088</v>
      </c>
      <c r="G1575" s="18">
        <f>VLOOKUP($C1575,'PPR FITTINGS'!$F$4:$I2469,2,0)</f>
        <v>724</v>
      </c>
      <c r="H1575" s="320"/>
      <c r="I1575" s="320"/>
      <c r="J1575" s="320"/>
      <c r="K1575" s="320"/>
      <c r="L1575" s="320"/>
      <c r="M1575" s="320"/>
      <c r="N1575" s="320"/>
      <c r="O1575" s="320"/>
    </row>
    <row r="1576">
      <c r="A1576" s="32">
        <f t="shared" si="1"/>
        <v>1575</v>
      </c>
      <c r="B1576" s="9" t="s">
        <v>3425</v>
      </c>
      <c r="C1576" s="460" t="s">
        <v>3477</v>
      </c>
      <c r="D1576" s="4" t="s">
        <v>3469</v>
      </c>
      <c r="E1576" s="18" t="str">
        <f>VLOOKUP($C1576,'PPR FITTINGS'!$F$4:$I2469,3,0)</f>
        <v/>
      </c>
      <c r="F1576" s="523" t="s">
        <v>1088</v>
      </c>
      <c r="G1576" s="18">
        <f>VLOOKUP($C1576,'PPR FITTINGS'!$F$4:$I2469,2,0)</f>
        <v>1272</v>
      </c>
      <c r="H1576" s="320"/>
      <c r="I1576" s="320"/>
      <c r="J1576" s="320"/>
      <c r="K1576" s="320"/>
      <c r="L1576" s="320"/>
      <c r="M1576" s="320"/>
      <c r="N1576" s="320"/>
      <c r="O1576" s="320"/>
    </row>
    <row r="1577">
      <c r="A1577" s="32">
        <f t="shared" si="1"/>
        <v>1576</v>
      </c>
      <c r="B1577" s="9" t="s">
        <v>3425</v>
      </c>
      <c r="C1577" s="460" t="s">
        <v>3478</v>
      </c>
      <c r="D1577" s="4" t="s">
        <v>3479</v>
      </c>
      <c r="E1577" s="18" t="str">
        <f>VLOOKUP($C1577,'PPR FITTINGS'!$F$4:$I2469,3,0)</f>
        <v/>
      </c>
      <c r="F1577" s="523" t="s">
        <v>1088</v>
      </c>
      <c r="G1577" s="18">
        <f>VLOOKUP($C1577,'PPR FITTINGS'!$F$4:$I2469,2,0)</f>
        <v>129.3</v>
      </c>
      <c r="H1577" s="320"/>
      <c r="I1577" s="320"/>
      <c r="J1577" s="320"/>
      <c r="K1577" s="320"/>
      <c r="L1577" s="320"/>
      <c r="M1577" s="320"/>
      <c r="N1577" s="320"/>
      <c r="O1577" s="320"/>
    </row>
    <row r="1578">
      <c r="A1578" s="32">
        <f t="shared" si="1"/>
        <v>1577</v>
      </c>
      <c r="B1578" s="9" t="s">
        <v>3425</v>
      </c>
      <c r="C1578" s="460" t="s">
        <v>3480</v>
      </c>
      <c r="D1578" s="4" t="s">
        <v>3479</v>
      </c>
      <c r="E1578" s="18">
        <f>VLOOKUP($C1578,'PPR FITTINGS'!$F$4:$I2469,3,0)</f>
        <v>26</v>
      </c>
      <c r="F1578" s="523" t="s">
        <v>1088</v>
      </c>
      <c r="G1578" s="18">
        <f>VLOOKUP($C1578,'PPR FITTINGS'!$F$4:$I2469,2,0)</f>
        <v>162.5</v>
      </c>
      <c r="H1578" s="320"/>
      <c r="I1578" s="320"/>
      <c r="J1578" s="320"/>
      <c r="K1578" s="320"/>
      <c r="L1578" s="320"/>
      <c r="M1578" s="320"/>
      <c r="N1578" s="320"/>
      <c r="O1578" s="320"/>
    </row>
    <row r="1579">
      <c r="A1579" s="32">
        <f t="shared" si="1"/>
        <v>1578</v>
      </c>
      <c r="B1579" s="9" t="s">
        <v>3425</v>
      </c>
      <c r="C1579" s="460" t="s">
        <v>3481</v>
      </c>
      <c r="D1579" s="4" t="s">
        <v>3479</v>
      </c>
      <c r="E1579" s="18" t="str">
        <f>VLOOKUP($C1579,'PPR FITTINGS'!$F$4:$I2469,3,0)</f>
        <v/>
      </c>
      <c r="F1579" s="523" t="s">
        <v>1088</v>
      </c>
      <c r="G1579" s="18">
        <f>VLOOKUP($C1579,'PPR FITTINGS'!$F$4:$I2469,2,0)</f>
        <v>182.8</v>
      </c>
      <c r="H1579" s="320"/>
      <c r="I1579" s="320"/>
      <c r="J1579" s="320"/>
      <c r="K1579" s="320"/>
      <c r="L1579" s="320"/>
      <c r="M1579" s="320"/>
      <c r="N1579" s="320"/>
      <c r="O1579" s="320"/>
    </row>
    <row r="1580">
      <c r="A1580" s="32">
        <f t="shared" si="1"/>
        <v>1579</v>
      </c>
      <c r="B1580" s="9" t="s">
        <v>3425</v>
      </c>
      <c r="C1580" s="460" t="s">
        <v>3482</v>
      </c>
      <c r="D1580" s="4" t="s">
        <v>3479</v>
      </c>
      <c r="E1580" s="18" t="str">
        <f>VLOOKUP($C1580,'PPR FITTINGS'!$F$4:$I2469,3,0)</f>
        <v/>
      </c>
      <c r="F1580" s="523" t="s">
        <v>1088</v>
      </c>
      <c r="G1580" s="18">
        <f>VLOOKUP($C1580,'PPR FITTINGS'!$F$4:$I2469,2,0)</f>
        <v>0</v>
      </c>
      <c r="H1580" s="320"/>
      <c r="I1580" s="320"/>
      <c r="J1580" s="320"/>
      <c r="K1580" s="320"/>
      <c r="L1580" s="320"/>
      <c r="M1580" s="320"/>
      <c r="N1580" s="320"/>
      <c r="O1580" s="320"/>
    </row>
    <row r="1581">
      <c r="A1581" s="32">
        <f t="shared" si="1"/>
        <v>1580</v>
      </c>
      <c r="B1581" s="9" t="s">
        <v>3425</v>
      </c>
      <c r="C1581" s="460" t="s">
        <v>3483</v>
      </c>
      <c r="D1581" s="4" t="s">
        <v>3484</v>
      </c>
      <c r="E1581" s="18" t="str">
        <f>VLOOKUP($C1581,'PPR FITTINGS'!$F$4:$I2469,3,0)</f>
        <v/>
      </c>
      <c r="F1581" s="523" t="s">
        <v>1088</v>
      </c>
      <c r="G1581" s="18">
        <f>VLOOKUP($C1581,'PPR FITTINGS'!$F$4:$I2469,2,0)</f>
        <v>19.6</v>
      </c>
      <c r="H1581" s="320"/>
      <c r="I1581" s="320"/>
      <c r="J1581" s="320"/>
      <c r="K1581" s="320"/>
      <c r="L1581" s="320"/>
      <c r="M1581" s="320"/>
      <c r="N1581" s="320"/>
      <c r="O1581" s="320"/>
    </row>
    <row r="1582">
      <c r="A1582" s="32">
        <f t="shared" si="1"/>
        <v>1581</v>
      </c>
      <c r="B1582" s="9" t="s">
        <v>3425</v>
      </c>
      <c r="C1582" s="460" t="s">
        <v>3485</v>
      </c>
      <c r="D1582" s="4" t="s">
        <v>3484</v>
      </c>
      <c r="E1582" s="18" t="str">
        <f>VLOOKUP($C1582,'PPR FITTINGS'!$F$4:$I2469,3,0)</f>
        <v/>
      </c>
      <c r="F1582" s="523" t="s">
        <v>1088</v>
      </c>
      <c r="G1582" s="18">
        <f>VLOOKUP($C1582,'PPR FITTINGS'!$F$4:$I2469,2,0)</f>
        <v>36.2</v>
      </c>
      <c r="H1582" s="320"/>
      <c r="I1582" s="320"/>
      <c r="J1582" s="320"/>
      <c r="K1582" s="320"/>
      <c r="L1582" s="320"/>
      <c r="M1582" s="320"/>
      <c r="N1582" s="320"/>
      <c r="O1582" s="320"/>
    </row>
    <row r="1583">
      <c r="A1583" s="32">
        <f t="shared" si="1"/>
        <v>1582</v>
      </c>
      <c r="B1583" s="9" t="s">
        <v>3425</v>
      </c>
      <c r="C1583" s="460" t="s">
        <v>3486</v>
      </c>
      <c r="D1583" s="4" t="s">
        <v>3484</v>
      </c>
      <c r="E1583" s="18" t="str">
        <f>VLOOKUP($C1583,'PPR FITTINGS'!$F$4:$I2469,3,0)</f>
        <v/>
      </c>
      <c r="F1583" s="523" t="s">
        <v>1088</v>
      </c>
      <c r="G1583" s="18">
        <f>VLOOKUP($C1583,'PPR FITTINGS'!$F$4:$I2469,2,0)</f>
        <v>58.6</v>
      </c>
      <c r="H1583" s="320"/>
      <c r="I1583" s="320"/>
      <c r="J1583" s="320"/>
      <c r="K1583" s="320"/>
      <c r="L1583" s="320"/>
      <c r="M1583" s="320"/>
      <c r="N1583" s="320"/>
      <c r="O1583" s="320"/>
    </row>
    <row r="1584">
      <c r="A1584" s="32">
        <f t="shared" si="1"/>
        <v>1583</v>
      </c>
      <c r="B1584" s="9" t="s">
        <v>3425</v>
      </c>
      <c r="C1584" s="460" t="s">
        <v>3487</v>
      </c>
      <c r="D1584" s="4" t="s">
        <v>3484</v>
      </c>
      <c r="E1584" s="18" t="str">
        <f>VLOOKUP($C1584,'PPR FITTINGS'!$F$4:$I2469,3,0)</f>
        <v/>
      </c>
      <c r="F1584" s="523" t="s">
        <v>1088</v>
      </c>
      <c r="G1584" s="18">
        <f>VLOOKUP($C1584,'PPR FITTINGS'!$F$4:$I2469,2,0)</f>
        <v>85</v>
      </c>
      <c r="H1584" s="320"/>
      <c r="I1584" s="320"/>
      <c r="J1584" s="320"/>
      <c r="K1584" s="320"/>
      <c r="L1584" s="320"/>
      <c r="M1584" s="320"/>
      <c r="N1584" s="320"/>
      <c r="O1584" s="320"/>
    </row>
    <row r="1585">
      <c r="A1585" s="32">
        <f t="shared" si="1"/>
        <v>1584</v>
      </c>
      <c r="B1585" s="9" t="s">
        <v>3425</v>
      </c>
      <c r="C1585" s="460" t="s">
        <v>3488</v>
      </c>
      <c r="D1585" s="4" t="s">
        <v>3484</v>
      </c>
      <c r="E1585" s="18" t="str">
        <f>VLOOKUP($C1585,'PPR FITTINGS'!$F$4:$I2469,3,0)</f>
        <v/>
      </c>
      <c r="F1585" s="523" t="s">
        <v>1088</v>
      </c>
      <c r="G1585" s="18">
        <f>VLOOKUP($C1585,'PPR FITTINGS'!$F$4:$I2469,2,0)</f>
        <v>170</v>
      </c>
      <c r="H1585" s="320"/>
      <c r="I1585" s="320"/>
      <c r="J1585" s="320"/>
      <c r="K1585" s="320"/>
      <c r="L1585" s="320"/>
      <c r="M1585" s="320"/>
      <c r="N1585" s="320"/>
      <c r="O1585" s="320"/>
    </row>
    <row r="1586">
      <c r="A1586" s="32">
        <f t="shared" si="1"/>
        <v>1585</v>
      </c>
      <c r="B1586" s="9" t="s">
        <v>3425</v>
      </c>
      <c r="C1586" s="460" t="s">
        <v>3489</v>
      </c>
      <c r="D1586" s="4" t="s">
        <v>3484</v>
      </c>
      <c r="E1586" s="18" t="str">
        <f>VLOOKUP($C1586,'PPR FITTINGS'!$F$4:$I2469,3,0)</f>
        <v/>
      </c>
      <c r="F1586" s="523" t="s">
        <v>1088</v>
      </c>
      <c r="G1586" s="18">
        <f>VLOOKUP($C1586,'PPR FITTINGS'!$F$4:$I2469,2,0)</f>
        <v>374</v>
      </c>
      <c r="H1586" s="320"/>
      <c r="I1586" s="320"/>
      <c r="J1586" s="320"/>
      <c r="K1586" s="320"/>
      <c r="L1586" s="320"/>
      <c r="M1586" s="320"/>
      <c r="N1586" s="320"/>
      <c r="O1586" s="320"/>
    </row>
    <row r="1587">
      <c r="A1587" s="32">
        <f t="shared" si="1"/>
        <v>1586</v>
      </c>
      <c r="B1587" s="9" t="s">
        <v>3425</v>
      </c>
      <c r="C1587" s="460" t="s">
        <v>3490</v>
      </c>
      <c r="D1587" s="4" t="s">
        <v>3484</v>
      </c>
      <c r="E1587" s="18" t="str">
        <f>VLOOKUP($C1587,'PPR FITTINGS'!$F$4:$I2469,3,0)</f>
        <v/>
      </c>
      <c r="F1587" s="523" t="s">
        <v>1088</v>
      </c>
      <c r="G1587" s="18">
        <f>VLOOKUP($C1587,'PPR FITTINGS'!$F$4:$I2469,2,0)</f>
        <v>714</v>
      </c>
      <c r="H1587" s="320"/>
      <c r="I1587" s="320"/>
      <c r="J1587" s="320"/>
      <c r="K1587" s="320"/>
      <c r="L1587" s="320"/>
      <c r="M1587" s="320"/>
      <c r="N1587" s="320"/>
      <c r="O1587" s="320"/>
    </row>
    <row r="1588">
      <c r="A1588" s="32">
        <f t="shared" si="1"/>
        <v>1587</v>
      </c>
      <c r="B1588" s="9" t="s">
        <v>3425</v>
      </c>
      <c r="C1588" s="460" t="s">
        <v>3491</v>
      </c>
      <c r="D1588" s="4" t="s">
        <v>3484</v>
      </c>
      <c r="E1588" s="18" t="str">
        <f>VLOOKUP($C1588,'PPR FITTINGS'!$F$4:$I2469,3,0)</f>
        <v/>
      </c>
      <c r="F1588" s="523" t="s">
        <v>1088</v>
      </c>
      <c r="G1588" s="18">
        <f>VLOOKUP($C1588,'PPR FITTINGS'!$F$4:$I2469,2,0)</f>
        <v>948</v>
      </c>
      <c r="H1588" s="320"/>
      <c r="I1588" s="320"/>
      <c r="J1588" s="320"/>
      <c r="K1588" s="320"/>
      <c r="L1588" s="320"/>
      <c r="M1588" s="320"/>
      <c r="N1588" s="320"/>
      <c r="O1588" s="320"/>
    </row>
    <row r="1589">
      <c r="A1589" s="32">
        <f t="shared" si="1"/>
        <v>1588</v>
      </c>
      <c r="B1589" s="9" t="s">
        <v>3425</v>
      </c>
      <c r="C1589" s="460" t="s">
        <v>3492</v>
      </c>
      <c r="D1589" s="4" t="s">
        <v>3484</v>
      </c>
      <c r="E1589" s="18" t="str">
        <f>VLOOKUP($C1589,'PPR FITTINGS'!$F$4:$I2469,3,0)</f>
        <v/>
      </c>
      <c r="F1589" s="523" t="s">
        <v>1088</v>
      </c>
      <c r="G1589" s="18">
        <f>VLOOKUP($C1589,'PPR FITTINGS'!$F$4:$I2469,2,0)</f>
        <v>1478</v>
      </c>
      <c r="H1589" s="320"/>
      <c r="I1589" s="320"/>
      <c r="J1589" s="320"/>
      <c r="K1589" s="320"/>
      <c r="L1589" s="320"/>
      <c r="M1589" s="320"/>
      <c r="N1589" s="320"/>
      <c r="O1589" s="320"/>
    </row>
    <row r="1590">
      <c r="A1590" s="32">
        <f t="shared" si="1"/>
        <v>1589</v>
      </c>
      <c r="B1590" s="9" t="s">
        <v>3425</v>
      </c>
      <c r="C1590" s="460" t="s">
        <v>3493</v>
      </c>
      <c r="D1590" s="4" t="s">
        <v>3494</v>
      </c>
      <c r="E1590" s="18" t="str">
        <f>VLOOKUP($C1590,'PPR FITTINGS'!$F$4:$I2469,3,0)</f>
        <v/>
      </c>
      <c r="F1590" s="523" t="s">
        <v>1088</v>
      </c>
      <c r="G1590" s="18">
        <f>VLOOKUP($C1590,'PPR FITTINGS'!$F$4:$I2469,2,0)</f>
        <v>35.2</v>
      </c>
      <c r="H1590" s="320"/>
      <c r="I1590" s="320"/>
      <c r="J1590" s="320"/>
      <c r="K1590" s="320"/>
      <c r="L1590" s="320"/>
      <c r="M1590" s="320"/>
      <c r="N1590" s="320"/>
      <c r="O1590" s="320"/>
    </row>
    <row r="1591">
      <c r="A1591" s="32">
        <f t="shared" si="1"/>
        <v>1590</v>
      </c>
      <c r="B1591" s="9" t="s">
        <v>3425</v>
      </c>
      <c r="C1591" s="460" t="s">
        <v>3495</v>
      </c>
      <c r="D1591" s="4" t="s">
        <v>3494</v>
      </c>
      <c r="E1591" s="18" t="str">
        <f>VLOOKUP($C1591,'PPR FITTINGS'!$F$4:$I2469,3,0)</f>
        <v/>
      </c>
      <c r="F1591" s="523" t="s">
        <v>1088</v>
      </c>
      <c r="G1591" s="18">
        <f>VLOOKUP($C1591,'PPR FITTINGS'!$F$4:$I2469,2,0)</f>
        <v>59.6</v>
      </c>
      <c r="H1591" s="320"/>
      <c r="I1591" s="320"/>
      <c r="J1591" s="320"/>
      <c r="K1591" s="320"/>
      <c r="L1591" s="320"/>
      <c r="M1591" s="320"/>
      <c r="N1591" s="320"/>
      <c r="O1591" s="320"/>
    </row>
    <row r="1592">
      <c r="A1592" s="32">
        <f t="shared" si="1"/>
        <v>1591</v>
      </c>
      <c r="B1592" s="9" t="s">
        <v>3425</v>
      </c>
      <c r="C1592" s="460" t="s">
        <v>3496</v>
      </c>
      <c r="D1592" s="4" t="s">
        <v>3494</v>
      </c>
      <c r="E1592" s="18" t="str">
        <f>VLOOKUP($C1592,'PPR FITTINGS'!$F$4:$I2469,3,0)</f>
        <v/>
      </c>
      <c r="F1592" s="523" t="s">
        <v>1088</v>
      </c>
      <c r="G1592" s="18">
        <f>VLOOKUP($C1592,'PPR FITTINGS'!$F$4:$I2469,2,0)</f>
        <v>60.6</v>
      </c>
      <c r="H1592" s="320"/>
      <c r="I1592" s="320"/>
      <c r="J1592" s="320"/>
      <c r="K1592" s="320"/>
      <c r="L1592" s="320"/>
      <c r="M1592" s="320"/>
      <c r="N1592" s="320"/>
      <c r="O1592" s="320"/>
    </row>
    <row r="1593">
      <c r="A1593" s="32">
        <f t="shared" si="1"/>
        <v>1592</v>
      </c>
      <c r="B1593" s="9" t="s">
        <v>3425</v>
      </c>
      <c r="C1593" s="460" t="s">
        <v>3497</v>
      </c>
      <c r="D1593" s="4" t="s">
        <v>3494</v>
      </c>
      <c r="E1593" s="18" t="str">
        <f>VLOOKUP($C1593,'PPR FITTINGS'!$F$4:$I2469,3,0)</f>
        <v/>
      </c>
      <c r="F1593" s="523" t="s">
        <v>1088</v>
      </c>
      <c r="G1593" s="18">
        <f>VLOOKUP($C1593,'PPR FITTINGS'!$F$4:$I2469,2,0)</f>
        <v>79.6</v>
      </c>
      <c r="H1593" s="320"/>
      <c r="I1593" s="320"/>
      <c r="J1593" s="320"/>
      <c r="K1593" s="320"/>
      <c r="L1593" s="320"/>
      <c r="M1593" s="320"/>
      <c r="N1593" s="320"/>
      <c r="O1593" s="320"/>
    </row>
    <row r="1594">
      <c r="A1594" s="32">
        <f t="shared" si="1"/>
        <v>1593</v>
      </c>
      <c r="B1594" s="9" t="s">
        <v>3425</v>
      </c>
      <c r="C1594" s="460" t="s">
        <v>3498</v>
      </c>
      <c r="D1594" s="4" t="s">
        <v>3494</v>
      </c>
      <c r="E1594" s="18" t="str">
        <f>VLOOKUP($C1594,'PPR FITTINGS'!$F$4:$I2469,3,0)</f>
        <v/>
      </c>
      <c r="F1594" s="523" t="s">
        <v>1088</v>
      </c>
      <c r="G1594" s="18">
        <f>VLOOKUP($C1594,'PPR FITTINGS'!$F$4:$I2469,2,0)</f>
        <v>83</v>
      </c>
      <c r="H1594" s="320"/>
      <c r="I1594" s="320"/>
      <c r="J1594" s="320"/>
      <c r="K1594" s="320"/>
      <c r="L1594" s="320"/>
      <c r="M1594" s="320"/>
      <c r="N1594" s="320"/>
      <c r="O1594" s="320"/>
    </row>
    <row r="1595">
      <c r="A1595" s="32">
        <f t="shared" si="1"/>
        <v>1594</v>
      </c>
      <c r="B1595" s="9" t="s">
        <v>3425</v>
      </c>
      <c r="C1595" s="460" t="s">
        <v>3499</v>
      </c>
      <c r="D1595" s="4" t="s">
        <v>3494</v>
      </c>
      <c r="E1595" s="18" t="str">
        <f>VLOOKUP($C1595,'PPR FITTINGS'!$F$4:$I2469,3,0)</f>
        <v/>
      </c>
      <c r="F1595" s="523" t="s">
        <v>1088</v>
      </c>
      <c r="G1595" s="18">
        <f>VLOOKUP($C1595,'PPR FITTINGS'!$F$4:$I2469,2,0)</f>
        <v>84.8</v>
      </c>
      <c r="H1595" s="320"/>
      <c r="I1595" s="320"/>
      <c r="J1595" s="320"/>
      <c r="K1595" s="320"/>
      <c r="L1595" s="320"/>
      <c r="M1595" s="320"/>
      <c r="N1595" s="320"/>
      <c r="O1595" s="320"/>
    </row>
    <row r="1596">
      <c r="A1596" s="32">
        <f t="shared" si="1"/>
        <v>1595</v>
      </c>
      <c r="B1596" s="9" t="s">
        <v>3425</v>
      </c>
      <c r="C1596" s="460" t="s">
        <v>3500</v>
      </c>
      <c r="D1596" s="4" t="s">
        <v>3494</v>
      </c>
      <c r="E1596" s="18" t="str">
        <f>VLOOKUP($C1596,'PPR FITTINGS'!$F$4:$I2469,3,0)</f>
        <v/>
      </c>
      <c r="F1596" s="523" t="s">
        <v>1088</v>
      </c>
      <c r="G1596" s="18">
        <f>VLOOKUP($C1596,'PPR FITTINGS'!$F$4:$I2469,2,0)</f>
        <v>154.4</v>
      </c>
      <c r="H1596" s="320"/>
      <c r="I1596" s="320"/>
      <c r="J1596" s="320"/>
      <c r="K1596" s="320"/>
      <c r="L1596" s="320"/>
      <c r="M1596" s="320"/>
      <c r="N1596" s="320"/>
      <c r="O1596" s="320"/>
    </row>
    <row r="1597">
      <c r="A1597" s="32">
        <f t="shared" si="1"/>
        <v>1596</v>
      </c>
      <c r="B1597" s="9" t="s">
        <v>3425</v>
      </c>
      <c r="C1597" s="460" t="s">
        <v>3501</v>
      </c>
      <c r="D1597" s="4" t="s">
        <v>3494</v>
      </c>
      <c r="E1597" s="18" t="str">
        <f>VLOOKUP($C1597,'PPR FITTINGS'!$F$4:$I2469,3,0)</f>
        <v/>
      </c>
      <c r="F1597" s="523" t="s">
        <v>1088</v>
      </c>
      <c r="G1597" s="18">
        <f>VLOOKUP($C1597,'PPR FITTINGS'!$F$4:$I2469,2,0)</f>
        <v>159.6</v>
      </c>
      <c r="H1597" s="320"/>
      <c r="I1597" s="320"/>
      <c r="J1597" s="320"/>
      <c r="K1597" s="320"/>
      <c r="L1597" s="320"/>
      <c r="M1597" s="320"/>
      <c r="N1597" s="320"/>
      <c r="O1597" s="320"/>
    </row>
    <row r="1598">
      <c r="A1598" s="32">
        <f t="shared" si="1"/>
        <v>1597</v>
      </c>
      <c r="B1598" s="9" t="s">
        <v>3425</v>
      </c>
      <c r="C1598" s="460" t="s">
        <v>3502</v>
      </c>
      <c r="D1598" s="4" t="s">
        <v>3494</v>
      </c>
      <c r="E1598" s="18" t="str">
        <f>VLOOKUP($C1598,'PPR FITTINGS'!$F$4:$I2469,3,0)</f>
        <v/>
      </c>
      <c r="F1598" s="523" t="s">
        <v>1088</v>
      </c>
      <c r="G1598" s="18">
        <f>VLOOKUP($C1598,'PPR FITTINGS'!$F$4:$I2469,2,0)</f>
        <v>161.2</v>
      </c>
      <c r="H1598" s="320"/>
      <c r="I1598" s="320"/>
      <c r="J1598" s="320"/>
      <c r="K1598" s="320"/>
      <c r="L1598" s="320"/>
      <c r="M1598" s="320"/>
      <c r="N1598" s="320"/>
      <c r="O1598" s="320"/>
    </row>
    <row r="1599">
      <c r="A1599" s="32">
        <f t="shared" si="1"/>
        <v>1598</v>
      </c>
      <c r="B1599" s="9" t="s">
        <v>3425</v>
      </c>
      <c r="C1599" s="460" t="s">
        <v>3503</v>
      </c>
      <c r="D1599" s="4" t="s">
        <v>3494</v>
      </c>
      <c r="E1599" s="18" t="str">
        <f>VLOOKUP($C1599,'PPR FITTINGS'!$F$4:$I2469,3,0)</f>
        <v/>
      </c>
      <c r="F1599" s="523" t="s">
        <v>1088</v>
      </c>
      <c r="G1599" s="18">
        <f>VLOOKUP($C1599,'PPR FITTINGS'!$F$4:$I2469,2,0)</f>
        <v>162.4</v>
      </c>
      <c r="H1599" s="320"/>
      <c r="I1599" s="320"/>
      <c r="J1599" s="320"/>
      <c r="K1599" s="320"/>
      <c r="L1599" s="320"/>
      <c r="M1599" s="320"/>
      <c r="N1599" s="320"/>
      <c r="O1599" s="320"/>
    </row>
    <row r="1600">
      <c r="A1600" s="32">
        <f t="shared" si="1"/>
        <v>1599</v>
      </c>
      <c r="B1600" s="9" t="s">
        <v>3425</v>
      </c>
      <c r="C1600" s="460" t="s">
        <v>3504</v>
      </c>
      <c r="D1600" s="4" t="s">
        <v>3494</v>
      </c>
      <c r="E1600" s="18" t="str">
        <f>VLOOKUP($C1600,'PPR FITTINGS'!$F$4:$I2469,3,0)</f>
        <v/>
      </c>
      <c r="F1600" s="523" t="s">
        <v>1088</v>
      </c>
      <c r="G1600" s="18">
        <f>VLOOKUP($C1600,'PPR FITTINGS'!$F$4:$I2469,2,0)</f>
        <v>318</v>
      </c>
      <c r="H1600" s="320"/>
      <c r="I1600" s="320"/>
      <c r="J1600" s="320"/>
      <c r="K1600" s="320"/>
      <c r="L1600" s="320"/>
      <c r="M1600" s="320"/>
      <c r="N1600" s="320"/>
      <c r="O1600" s="320"/>
    </row>
    <row r="1601">
      <c r="A1601" s="32">
        <f t="shared" si="1"/>
        <v>1600</v>
      </c>
      <c r="B1601" s="9" t="s">
        <v>3425</v>
      </c>
      <c r="C1601" s="460" t="s">
        <v>3505</v>
      </c>
      <c r="D1601" s="4" t="s">
        <v>3494</v>
      </c>
      <c r="E1601" s="18" t="str">
        <f>VLOOKUP($C1601,'PPR FITTINGS'!$F$4:$I2469,3,0)</f>
        <v/>
      </c>
      <c r="F1601" s="523" t="s">
        <v>1088</v>
      </c>
      <c r="G1601" s="18">
        <f>VLOOKUP($C1601,'PPR FITTINGS'!$F$4:$I2469,2,0)</f>
        <v>324</v>
      </c>
      <c r="H1601" s="320"/>
      <c r="I1601" s="320"/>
      <c r="J1601" s="320"/>
      <c r="K1601" s="320"/>
      <c r="L1601" s="320"/>
      <c r="M1601" s="320"/>
      <c r="N1601" s="320"/>
      <c r="O1601" s="320"/>
    </row>
    <row r="1602">
      <c r="A1602" s="32">
        <f t="shared" si="1"/>
        <v>1601</v>
      </c>
      <c r="B1602" s="9" t="s">
        <v>3425</v>
      </c>
      <c r="C1602" s="460" t="s">
        <v>3506</v>
      </c>
      <c r="D1602" s="4" t="s">
        <v>3494</v>
      </c>
      <c r="E1602" s="18" t="str">
        <f>VLOOKUP($C1602,'PPR FITTINGS'!$F$4:$I2469,3,0)</f>
        <v/>
      </c>
      <c r="F1602" s="523" t="s">
        <v>1088</v>
      </c>
      <c r="G1602" s="18">
        <f>VLOOKUP($C1602,'PPR FITTINGS'!$F$4:$I2469,2,0)</f>
        <v>328</v>
      </c>
      <c r="H1602" s="320"/>
      <c r="I1602" s="320"/>
      <c r="J1602" s="320"/>
      <c r="K1602" s="320"/>
      <c r="L1602" s="320"/>
      <c r="M1602" s="320"/>
      <c r="N1602" s="320"/>
      <c r="O1602" s="320"/>
    </row>
    <row r="1603">
      <c r="A1603" s="32">
        <f t="shared" si="1"/>
        <v>1602</v>
      </c>
      <c r="B1603" s="9" t="s">
        <v>3425</v>
      </c>
      <c r="C1603" s="460" t="s">
        <v>3507</v>
      </c>
      <c r="D1603" s="4" t="s">
        <v>3494</v>
      </c>
      <c r="E1603" s="18" t="str">
        <f>VLOOKUP($C1603,'PPR FITTINGS'!$F$4:$I2469,3,0)</f>
        <v/>
      </c>
      <c r="F1603" s="523" t="s">
        <v>1088</v>
      </c>
      <c r="G1603" s="18">
        <f>VLOOKUP($C1603,'PPR FITTINGS'!$F$4:$I2469,2,0)</f>
        <v>342</v>
      </c>
      <c r="H1603" s="320"/>
      <c r="I1603" s="320"/>
      <c r="J1603" s="320"/>
      <c r="K1603" s="320"/>
      <c r="L1603" s="320"/>
      <c r="M1603" s="320"/>
      <c r="N1603" s="320"/>
      <c r="O1603" s="320"/>
    </row>
    <row r="1604">
      <c r="A1604" s="32">
        <f t="shared" si="1"/>
        <v>1603</v>
      </c>
      <c r="B1604" s="9" t="s">
        <v>3425</v>
      </c>
      <c r="C1604" s="460" t="s">
        <v>3508</v>
      </c>
      <c r="D1604" s="4" t="s">
        <v>3509</v>
      </c>
      <c r="E1604" s="18">
        <f>VLOOKUP($C1604,'PPR FITTINGS'!$F$4:$I2469,3,0)</f>
        <v>26</v>
      </c>
      <c r="F1604" s="523" t="s">
        <v>1088</v>
      </c>
      <c r="G1604" s="18">
        <f>VLOOKUP($C1604,'PPR FITTINGS'!$F$4:$I2469,2,0)</f>
        <v>142.6</v>
      </c>
      <c r="H1604" s="320"/>
      <c r="I1604" s="320"/>
      <c r="J1604" s="320"/>
      <c r="K1604" s="320"/>
      <c r="L1604" s="320"/>
      <c r="M1604" s="320"/>
      <c r="N1604" s="320"/>
      <c r="O1604" s="320"/>
    </row>
    <row r="1605">
      <c r="A1605" s="32">
        <f t="shared" si="1"/>
        <v>1604</v>
      </c>
      <c r="B1605" s="9" t="s">
        <v>3425</v>
      </c>
      <c r="C1605" s="460" t="s">
        <v>3510</v>
      </c>
      <c r="D1605" s="4" t="s">
        <v>3509</v>
      </c>
      <c r="E1605" s="18">
        <f>VLOOKUP($C1605,'PPR FITTINGS'!$F$4:$I2469,3,0)</f>
        <v>26</v>
      </c>
      <c r="F1605" s="523" t="s">
        <v>1088</v>
      </c>
      <c r="G1605" s="18">
        <f>VLOOKUP($C1605,'PPR FITTINGS'!$F$4:$I2469,2,0)</f>
        <v>157.5</v>
      </c>
      <c r="H1605" s="320"/>
      <c r="I1605" s="320"/>
      <c r="J1605" s="320"/>
      <c r="K1605" s="320"/>
      <c r="L1605" s="320"/>
      <c r="M1605" s="320"/>
      <c r="N1605" s="320"/>
      <c r="O1605" s="320"/>
    </row>
    <row r="1606">
      <c r="A1606" s="32">
        <f t="shared" si="1"/>
        <v>1605</v>
      </c>
      <c r="B1606" s="9" t="s">
        <v>3425</v>
      </c>
      <c r="C1606" s="460" t="s">
        <v>3511</v>
      </c>
      <c r="D1606" s="4" t="s">
        <v>3509</v>
      </c>
      <c r="E1606" s="18" t="str">
        <f>VLOOKUP($C1606,'PPR FITTINGS'!$F$4:$I2469,3,0)</f>
        <v/>
      </c>
      <c r="F1606" s="523" t="s">
        <v>1088</v>
      </c>
      <c r="G1606" s="18">
        <f>VLOOKUP($C1606,'PPR FITTINGS'!$F$4:$I2469,2,0)</f>
        <v>184</v>
      </c>
      <c r="H1606" s="320"/>
      <c r="I1606" s="320"/>
      <c r="J1606" s="320"/>
      <c r="K1606" s="320"/>
      <c r="L1606" s="320"/>
      <c r="M1606" s="320"/>
      <c r="N1606" s="320"/>
      <c r="O1606" s="320"/>
    </row>
    <row r="1607">
      <c r="A1607" s="32">
        <f t="shared" si="1"/>
        <v>1606</v>
      </c>
      <c r="B1607" s="9" t="s">
        <v>3425</v>
      </c>
      <c r="C1607" s="460" t="s">
        <v>3512</v>
      </c>
      <c r="D1607" s="4" t="s">
        <v>3509</v>
      </c>
      <c r="E1607" s="18" t="str">
        <f>VLOOKUP($C1607,'PPR FITTINGS'!$F$4:$I2469,3,0)</f>
        <v/>
      </c>
      <c r="F1607" s="523" t="s">
        <v>1088</v>
      </c>
      <c r="G1607" s="18">
        <f>VLOOKUP($C1607,'PPR FITTINGS'!$F$4:$I2469,2,0)</f>
        <v>194</v>
      </c>
      <c r="H1607" s="320"/>
      <c r="I1607" s="320"/>
      <c r="J1607" s="320"/>
      <c r="K1607" s="320"/>
      <c r="L1607" s="320"/>
      <c r="M1607" s="320"/>
      <c r="N1607" s="320"/>
      <c r="O1607" s="320"/>
    </row>
    <row r="1608">
      <c r="A1608" s="32">
        <f t="shared" si="1"/>
        <v>1607</v>
      </c>
      <c r="B1608" s="9" t="s">
        <v>3425</v>
      </c>
      <c r="C1608" s="460" t="s">
        <v>3513</v>
      </c>
      <c r="D1608" s="4" t="s">
        <v>3514</v>
      </c>
      <c r="E1608" s="18">
        <f>VLOOKUP($C1608,'PPR FITTINGS'!$F$4:$I2469,3,0)</f>
        <v>40</v>
      </c>
      <c r="F1608" s="523" t="s">
        <v>1088</v>
      </c>
      <c r="G1608" s="18">
        <f>VLOOKUP($C1608,'PPR FITTINGS'!$F$4:$I2469,2,0)</f>
        <v>136.8</v>
      </c>
      <c r="H1608" s="320"/>
      <c r="I1608" s="320"/>
      <c r="J1608" s="320"/>
      <c r="K1608" s="320"/>
      <c r="L1608" s="320"/>
      <c r="M1608" s="320"/>
      <c r="N1608" s="320"/>
      <c r="O1608" s="320"/>
    </row>
    <row r="1609">
      <c r="A1609" s="32">
        <f t="shared" si="1"/>
        <v>1608</v>
      </c>
      <c r="B1609" s="9" t="s">
        <v>3425</v>
      </c>
      <c r="C1609" s="460" t="s">
        <v>3515</v>
      </c>
      <c r="D1609" s="4" t="s">
        <v>3514</v>
      </c>
      <c r="E1609" s="18">
        <f>VLOOKUP($C1609,'PPR FITTINGS'!$F$4:$I2469,3,0)</f>
        <v>40</v>
      </c>
      <c r="F1609" s="523" t="s">
        <v>1088</v>
      </c>
      <c r="G1609" s="18">
        <f>VLOOKUP($C1609,'PPR FITTINGS'!$F$4:$I2469,2,0)</f>
        <v>149.6</v>
      </c>
      <c r="H1609" s="320"/>
      <c r="I1609" s="320"/>
      <c r="J1609" s="320"/>
      <c r="K1609" s="320"/>
      <c r="L1609" s="320"/>
      <c r="M1609" s="320"/>
      <c r="N1609" s="320"/>
      <c r="O1609" s="320"/>
    </row>
    <row r="1610">
      <c r="A1610" s="32">
        <f t="shared" si="1"/>
        <v>1609</v>
      </c>
      <c r="B1610" s="9" t="s">
        <v>3425</v>
      </c>
      <c r="C1610" s="460" t="s">
        <v>3517</v>
      </c>
      <c r="D1610" s="4" t="s">
        <v>3514</v>
      </c>
      <c r="E1610" s="18" t="str">
        <f>VLOOKUP($C1610,'PPR FITTINGS'!$F$4:$I2469,3,0)</f>
        <v/>
      </c>
      <c r="F1610" s="523" t="s">
        <v>1088</v>
      </c>
      <c r="G1610" s="18">
        <f>VLOOKUP($C1610,'PPR FITTINGS'!$F$4:$I2469,2,0)</f>
        <v>279.4</v>
      </c>
      <c r="H1610" s="320"/>
      <c r="I1610" s="320"/>
      <c r="J1610" s="320"/>
      <c r="K1610" s="320"/>
      <c r="L1610" s="320"/>
      <c r="M1610" s="320"/>
      <c r="N1610" s="320"/>
      <c r="O1610" s="320"/>
    </row>
    <row r="1611">
      <c r="A1611" s="32">
        <f t="shared" si="1"/>
        <v>1610</v>
      </c>
      <c r="B1611" s="9" t="s">
        <v>3425</v>
      </c>
      <c r="C1611" s="460" t="s">
        <v>3519</v>
      </c>
      <c r="D1611" s="4" t="s">
        <v>3514</v>
      </c>
      <c r="E1611" s="18" t="str">
        <f>VLOOKUP($C1611,'PPR FITTINGS'!$F$4:$I2469,3,0)</f>
        <v/>
      </c>
      <c r="F1611" s="523" t="s">
        <v>1088</v>
      </c>
      <c r="G1611" s="18">
        <f>VLOOKUP($C1611,'PPR FITTINGS'!$F$4:$I2469,2,0)</f>
        <v>169.6</v>
      </c>
      <c r="H1611" s="320"/>
      <c r="I1611" s="320"/>
      <c r="J1611" s="320"/>
      <c r="K1611" s="320"/>
      <c r="L1611" s="320"/>
      <c r="M1611" s="320"/>
      <c r="N1611" s="320"/>
      <c r="O1611" s="320"/>
    </row>
    <row r="1612">
      <c r="A1612" s="32">
        <f t="shared" si="1"/>
        <v>1611</v>
      </c>
      <c r="B1612" s="9" t="s">
        <v>3425</v>
      </c>
      <c r="C1612" s="460" t="s">
        <v>3522</v>
      </c>
      <c r="D1612" s="4" t="s">
        <v>3514</v>
      </c>
      <c r="E1612" s="18" t="str">
        <f>VLOOKUP($C1612,'PPR FITTINGS'!$F$4:$I2469,3,0)</f>
        <v/>
      </c>
      <c r="F1612" s="523" t="s">
        <v>1088</v>
      </c>
      <c r="G1612" s="18">
        <f>VLOOKUP($C1612,'PPR FITTINGS'!$F$4:$I2469,2,0)</f>
        <v>0</v>
      </c>
      <c r="H1612" s="320"/>
      <c r="I1612" s="320"/>
      <c r="J1612" s="320"/>
      <c r="K1612" s="320"/>
      <c r="L1612" s="320"/>
      <c r="M1612" s="320"/>
      <c r="N1612" s="320"/>
      <c r="O1612" s="320"/>
    </row>
    <row r="1613">
      <c r="A1613" s="32">
        <f t="shared" si="1"/>
        <v>1612</v>
      </c>
      <c r="B1613" s="9" t="s">
        <v>3425</v>
      </c>
      <c r="C1613" s="460" t="s">
        <v>3523</v>
      </c>
      <c r="D1613" s="4" t="s">
        <v>3524</v>
      </c>
      <c r="E1613" s="18" t="str">
        <f>VLOOKUP($C1613,'PPR FITTINGS'!$F$4:$I2469,3,0)</f>
        <v/>
      </c>
      <c r="F1613" s="523" t="s">
        <v>1088</v>
      </c>
      <c r="G1613" s="18">
        <f>VLOOKUP($C1613,'PPR FITTINGS'!$F$4:$I2469,2,0)</f>
        <v>92.8</v>
      </c>
      <c r="H1613" s="320"/>
      <c r="I1613" s="320"/>
      <c r="J1613" s="320"/>
      <c r="K1613" s="320"/>
      <c r="L1613" s="320"/>
      <c r="M1613" s="320"/>
      <c r="N1613" s="320"/>
      <c r="O1613" s="320"/>
    </row>
    <row r="1614">
      <c r="A1614" s="32">
        <f t="shared" si="1"/>
        <v>1613</v>
      </c>
      <c r="B1614" s="9" t="s">
        <v>3425</v>
      </c>
      <c r="C1614" s="460" t="s">
        <v>3525</v>
      </c>
      <c r="D1614" s="4" t="s">
        <v>3524</v>
      </c>
      <c r="E1614" s="18" t="str">
        <f>VLOOKUP($C1614,'PPR FITTINGS'!$F$4:$I2469,3,0)</f>
        <v/>
      </c>
      <c r="F1614" s="523" t="s">
        <v>1088</v>
      </c>
      <c r="G1614" s="18">
        <f>VLOOKUP($C1614,'PPR FITTINGS'!$F$4:$I2469,2,0)</f>
        <v>126</v>
      </c>
      <c r="H1614" s="320"/>
      <c r="I1614" s="320"/>
      <c r="J1614" s="320"/>
      <c r="K1614" s="320"/>
      <c r="L1614" s="320"/>
      <c r="M1614" s="320"/>
      <c r="N1614" s="320"/>
      <c r="O1614" s="320"/>
    </row>
    <row r="1615">
      <c r="A1615" s="32">
        <f t="shared" si="1"/>
        <v>1614</v>
      </c>
      <c r="B1615" s="9" t="s">
        <v>3425</v>
      </c>
      <c r="C1615" s="460" t="s">
        <v>3531</v>
      </c>
      <c r="D1615" s="4" t="s">
        <v>3524</v>
      </c>
      <c r="E1615" s="18" t="str">
        <f>VLOOKUP($C1615,'PPR FITTINGS'!$F$4:$I2469,3,0)</f>
        <v/>
      </c>
      <c r="F1615" s="523" t="s">
        <v>1088</v>
      </c>
      <c r="G1615" s="18">
        <f>VLOOKUP($C1615,'PPR FITTINGS'!$F$4:$I2469,2,0)</f>
        <v>246.2</v>
      </c>
      <c r="H1615" s="320"/>
      <c r="I1615" s="320"/>
      <c r="J1615" s="320"/>
      <c r="K1615" s="320"/>
      <c r="L1615" s="320"/>
      <c r="M1615" s="320"/>
      <c r="N1615" s="320"/>
      <c r="O1615" s="320"/>
    </row>
    <row r="1616">
      <c r="A1616" s="32">
        <f t="shared" si="1"/>
        <v>1615</v>
      </c>
      <c r="B1616" s="9" t="s">
        <v>3425</v>
      </c>
      <c r="C1616" s="460" t="s">
        <v>3534</v>
      </c>
      <c r="D1616" s="4" t="s">
        <v>3524</v>
      </c>
      <c r="E1616" s="18" t="str">
        <f>VLOOKUP($C1616,'PPR FITTINGS'!$F$4:$I2469,3,0)</f>
        <v/>
      </c>
      <c r="F1616" s="523" t="s">
        <v>1088</v>
      </c>
      <c r="G1616" s="18">
        <f>VLOOKUP($C1616,'PPR FITTINGS'!$F$4:$I2469,2,0)</f>
        <v>635</v>
      </c>
      <c r="H1616" s="320"/>
      <c r="I1616" s="320"/>
      <c r="J1616" s="320"/>
      <c r="K1616" s="320"/>
      <c r="L1616" s="320"/>
      <c r="M1616" s="320"/>
      <c r="N1616" s="320"/>
      <c r="O1616" s="320"/>
    </row>
    <row r="1617">
      <c r="A1617" s="32">
        <f t="shared" si="1"/>
        <v>1616</v>
      </c>
      <c r="B1617" s="9" t="s">
        <v>3425</v>
      </c>
      <c r="C1617" s="460" t="s">
        <v>3536</v>
      </c>
      <c r="D1617" s="4" t="s">
        <v>3524</v>
      </c>
      <c r="E1617" s="18" t="str">
        <f>VLOOKUP($C1617,'PPR FITTINGS'!$F$4:$I2469,3,0)</f>
        <v/>
      </c>
      <c r="F1617" s="523" t="s">
        <v>1088</v>
      </c>
      <c r="G1617" s="18">
        <f>VLOOKUP($C1617,'PPR FITTINGS'!$F$4:$I2469,2,0)</f>
        <v>895.9</v>
      </c>
      <c r="H1617" s="320"/>
      <c r="I1617" s="320"/>
      <c r="J1617" s="320"/>
      <c r="K1617" s="320"/>
      <c r="L1617" s="320"/>
      <c r="M1617" s="320"/>
      <c r="N1617" s="320"/>
      <c r="O1617" s="320"/>
    </row>
    <row r="1618">
      <c r="A1618" s="32">
        <f t="shared" si="1"/>
        <v>1617</v>
      </c>
      <c r="B1618" s="9" t="s">
        <v>3425</v>
      </c>
      <c r="C1618" s="460" t="s">
        <v>3537</v>
      </c>
      <c r="D1618" s="4" t="s">
        <v>3524</v>
      </c>
      <c r="E1618" s="18" t="str">
        <f>VLOOKUP($C1618,'PPR FITTINGS'!$F$4:$I2469,3,0)</f>
        <v/>
      </c>
      <c r="F1618" s="523" t="s">
        <v>1088</v>
      </c>
      <c r="G1618" s="18">
        <f>VLOOKUP($C1618,'PPR FITTINGS'!$F$4:$I2469,2,0)</f>
        <v>1118</v>
      </c>
      <c r="H1618" s="320"/>
      <c r="I1618" s="320"/>
      <c r="J1618" s="320"/>
      <c r="K1618" s="320"/>
      <c r="L1618" s="320"/>
      <c r="M1618" s="320"/>
      <c r="N1618" s="320"/>
      <c r="O1618" s="320"/>
    </row>
    <row r="1619">
      <c r="A1619" s="32">
        <f t="shared" si="1"/>
        <v>1618</v>
      </c>
      <c r="B1619" s="9" t="s">
        <v>3425</v>
      </c>
      <c r="C1619" s="460" t="s">
        <v>3538</v>
      </c>
      <c r="D1619" s="4" t="s">
        <v>3539</v>
      </c>
      <c r="E1619" s="18" t="str">
        <f>VLOOKUP($C1619,'PPR FITTINGS'!$F$4:$I2469,3,0)</f>
        <v/>
      </c>
      <c r="F1619" s="523" t="s">
        <v>1088</v>
      </c>
      <c r="G1619" s="18">
        <f>VLOOKUP($C1619,'PPR FITTINGS'!$F$4:$I2469,2,0)</f>
        <v>95.8</v>
      </c>
      <c r="H1619" s="320"/>
      <c r="I1619" s="320"/>
      <c r="J1619" s="320"/>
      <c r="K1619" s="320"/>
      <c r="L1619" s="320"/>
      <c r="M1619" s="320"/>
      <c r="N1619" s="320"/>
      <c r="O1619" s="320"/>
    </row>
    <row r="1620">
      <c r="A1620" s="32">
        <f t="shared" si="1"/>
        <v>1619</v>
      </c>
      <c r="B1620" s="9" t="s">
        <v>3425</v>
      </c>
      <c r="C1620" s="460" t="s">
        <v>3540</v>
      </c>
      <c r="D1620" s="4" t="s">
        <v>3539</v>
      </c>
      <c r="E1620" s="18" t="str">
        <f>VLOOKUP($C1620,'PPR FITTINGS'!$F$4:$I2469,3,0)</f>
        <v/>
      </c>
      <c r="F1620" s="523" t="s">
        <v>1088</v>
      </c>
      <c r="G1620" s="18">
        <f>VLOOKUP($C1620,'PPR FITTINGS'!$F$4:$I2469,2,0)</f>
        <v>101.6</v>
      </c>
      <c r="H1620" s="320"/>
      <c r="I1620" s="320"/>
      <c r="J1620" s="320"/>
      <c r="K1620" s="320"/>
      <c r="L1620" s="320"/>
      <c r="M1620" s="320"/>
      <c r="N1620" s="320"/>
      <c r="O1620" s="320"/>
    </row>
    <row r="1621">
      <c r="A1621" s="32">
        <f t="shared" si="1"/>
        <v>1620</v>
      </c>
      <c r="B1621" s="9" t="s">
        <v>3425</v>
      </c>
      <c r="C1621" s="460" t="s">
        <v>3542</v>
      </c>
      <c r="D1621" s="4" t="s">
        <v>3539</v>
      </c>
      <c r="E1621" s="18" t="str">
        <f>VLOOKUP($C1621,'PPR FITTINGS'!$F$4:$I2469,3,0)</f>
        <v/>
      </c>
      <c r="F1621" s="523" t="s">
        <v>1088</v>
      </c>
      <c r="G1621" s="18">
        <f>VLOOKUP($C1621,'PPR FITTINGS'!$F$4:$I2469,2,0)</f>
        <v>130.9</v>
      </c>
      <c r="H1621" s="320"/>
      <c r="I1621" s="320"/>
      <c r="J1621" s="320"/>
      <c r="K1621" s="320"/>
      <c r="L1621" s="320"/>
      <c r="M1621" s="320"/>
      <c r="N1621" s="320"/>
      <c r="O1621" s="320"/>
    </row>
    <row r="1622">
      <c r="A1622" s="32">
        <f t="shared" si="1"/>
        <v>1621</v>
      </c>
      <c r="B1622" s="9" t="s">
        <v>3425</v>
      </c>
      <c r="C1622" s="460" t="s">
        <v>3543</v>
      </c>
      <c r="D1622" s="4" t="s">
        <v>3539</v>
      </c>
      <c r="E1622" s="18" t="str">
        <f>VLOOKUP($C1622,'PPR FITTINGS'!$F$4:$I2469,3,0)</f>
        <v/>
      </c>
      <c r="F1622" s="523" t="s">
        <v>1088</v>
      </c>
      <c r="G1622" s="18">
        <f>VLOOKUP($C1622,'PPR FITTINGS'!$F$4:$I2469,2,0)</f>
        <v>217.9</v>
      </c>
      <c r="H1622" s="320"/>
      <c r="I1622" s="320"/>
      <c r="J1622" s="320"/>
      <c r="K1622" s="320"/>
      <c r="L1622" s="320"/>
      <c r="M1622" s="320"/>
      <c r="N1622" s="320"/>
      <c r="O1622" s="320"/>
    </row>
    <row r="1623">
      <c r="A1623" s="32">
        <f t="shared" si="1"/>
        <v>1622</v>
      </c>
      <c r="B1623" s="9" t="s">
        <v>3425</v>
      </c>
      <c r="C1623" s="460" t="s">
        <v>3544</v>
      </c>
      <c r="D1623" s="4" t="s">
        <v>3539</v>
      </c>
      <c r="E1623" s="18" t="str">
        <f>VLOOKUP($C1623,'PPR FITTINGS'!$F$4:$I2469,3,0)</f>
        <v/>
      </c>
      <c r="F1623" s="523" t="s">
        <v>1088</v>
      </c>
      <c r="G1623" s="18">
        <f>VLOOKUP($C1623,'PPR FITTINGS'!$F$4:$I2469,2,0)</f>
        <v>292.9</v>
      </c>
      <c r="H1623" s="320"/>
      <c r="I1623" s="320"/>
      <c r="J1623" s="320"/>
      <c r="K1623" s="320"/>
      <c r="L1623" s="320"/>
      <c r="M1623" s="320"/>
      <c r="N1623" s="320"/>
      <c r="O1623" s="320"/>
    </row>
    <row r="1624">
      <c r="A1624" s="32">
        <f t="shared" si="1"/>
        <v>1623</v>
      </c>
      <c r="B1624" s="9" t="s">
        <v>3425</v>
      </c>
      <c r="C1624" s="460" t="s">
        <v>3545</v>
      </c>
      <c r="D1624" s="4" t="s">
        <v>3539</v>
      </c>
      <c r="E1624" s="18" t="str">
        <f>VLOOKUP($C1624,'PPR FITTINGS'!$F$4:$I2469,3,0)</f>
        <v/>
      </c>
      <c r="F1624" s="523" t="s">
        <v>1088</v>
      </c>
      <c r="G1624" s="18">
        <f>VLOOKUP($C1624,'PPR FITTINGS'!$F$4:$I2469,2,0)</f>
        <v>496</v>
      </c>
      <c r="H1624" s="320"/>
      <c r="I1624" s="320"/>
      <c r="J1624" s="320"/>
      <c r="K1624" s="320"/>
      <c r="L1624" s="320"/>
      <c r="M1624" s="320"/>
      <c r="N1624" s="320"/>
      <c r="O1624" s="320"/>
    </row>
    <row r="1625">
      <c r="A1625" s="32">
        <f t="shared" si="1"/>
        <v>1624</v>
      </c>
      <c r="B1625" s="9" t="s">
        <v>3425</v>
      </c>
      <c r="C1625" s="500" t="s">
        <v>3546</v>
      </c>
      <c r="D1625" s="4" t="s">
        <v>3547</v>
      </c>
      <c r="E1625" s="18" t="str">
        <f>VLOOKUP($C1625,'PPR FITTINGS'!$F$4:$I2469,3,0)</f>
        <v/>
      </c>
      <c r="F1625" s="523" t="s">
        <v>1088</v>
      </c>
      <c r="G1625" s="18">
        <f>VLOOKUP($C1625,'PPR FITTINGS'!$F$4:$I2469,2,0)</f>
        <v>12.7</v>
      </c>
      <c r="H1625" s="320"/>
      <c r="I1625" s="320"/>
      <c r="J1625" s="320"/>
      <c r="K1625" s="320"/>
      <c r="L1625" s="320"/>
      <c r="M1625" s="320"/>
      <c r="N1625" s="320"/>
      <c r="O1625" s="320"/>
    </row>
    <row r="1626">
      <c r="A1626" s="32">
        <f t="shared" si="1"/>
        <v>1625</v>
      </c>
      <c r="B1626" s="9" t="s">
        <v>3425</v>
      </c>
      <c r="C1626" s="500" t="s">
        <v>3548</v>
      </c>
      <c r="D1626" s="4" t="s">
        <v>3547</v>
      </c>
      <c r="E1626" s="18" t="str">
        <f>VLOOKUP($C1626,'PPR FITTINGS'!$F$4:$I2469,3,0)</f>
        <v/>
      </c>
      <c r="F1626" s="523" t="s">
        <v>1088</v>
      </c>
      <c r="G1626" s="18">
        <f>VLOOKUP($C1626,'PPR FITTINGS'!$F$4:$I2469,2,0)</f>
        <v>18.6</v>
      </c>
      <c r="H1626" s="320"/>
      <c r="I1626" s="320"/>
      <c r="J1626" s="320"/>
      <c r="K1626" s="320"/>
      <c r="L1626" s="320"/>
      <c r="M1626" s="320"/>
      <c r="N1626" s="320"/>
      <c r="O1626" s="320"/>
    </row>
    <row r="1627">
      <c r="A1627" s="32">
        <f t="shared" si="1"/>
        <v>1626</v>
      </c>
      <c r="B1627" s="9" t="s">
        <v>3425</v>
      </c>
      <c r="C1627" s="500" t="s">
        <v>3550</v>
      </c>
      <c r="D1627" s="4" t="s">
        <v>3547</v>
      </c>
      <c r="E1627" s="18" t="str">
        <f>VLOOKUP($C1627,'PPR FITTINGS'!$F$4:$I2469,3,0)</f>
        <v/>
      </c>
      <c r="F1627" s="523" t="s">
        <v>1088</v>
      </c>
      <c r="G1627" s="18">
        <f>VLOOKUP($C1627,'PPR FITTINGS'!$F$4:$I2469,2,0)</f>
        <v>22.5</v>
      </c>
      <c r="H1627" s="320"/>
      <c r="I1627" s="320"/>
      <c r="J1627" s="320"/>
      <c r="K1627" s="320"/>
      <c r="L1627" s="320"/>
      <c r="M1627" s="320"/>
      <c r="N1627" s="320"/>
      <c r="O1627" s="320"/>
    </row>
    <row r="1628">
      <c r="A1628" s="32">
        <f t="shared" si="1"/>
        <v>1627</v>
      </c>
      <c r="B1628" s="9" t="s">
        <v>3425</v>
      </c>
      <c r="C1628" s="500" t="s">
        <v>3553</v>
      </c>
      <c r="D1628" s="4" t="s">
        <v>3547</v>
      </c>
      <c r="E1628" s="18" t="str">
        <f>VLOOKUP($C1628,'PPR FITTINGS'!$F$4:$I2469,3,0)</f>
        <v/>
      </c>
      <c r="F1628" s="523" t="s">
        <v>1088</v>
      </c>
      <c r="G1628" s="18">
        <f>VLOOKUP($C1628,'PPR FITTINGS'!$F$4:$I2469,2,0)</f>
        <v>31.3</v>
      </c>
      <c r="H1628" s="320"/>
      <c r="I1628" s="320"/>
      <c r="J1628" s="320"/>
      <c r="K1628" s="320"/>
      <c r="L1628" s="320"/>
      <c r="M1628" s="320"/>
      <c r="N1628" s="320"/>
      <c r="O1628" s="320"/>
    </row>
    <row r="1629">
      <c r="A1629" s="32">
        <f t="shared" si="1"/>
        <v>1628</v>
      </c>
      <c r="B1629" s="9" t="s">
        <v>3425</v>
      </c>
      <c r="C1629" s="500" t="s">
        <v>3555</v>
      </c>
      <c r="D1629" s="4" t="s">
        <v>3547</v>
      </c>
      <c r="E1629" s="18" t="str">
        <f>VLOOKUP($C1629,'PPR FITTINGS'!$F$4:$I2469,3,0)</f>
        <v/>
      </c>
      <c r="F1629" s="523" t="s">
        <v>1088</v>
      </c>
      <c r="G1629" s="18">
        <f>VLOOKUP($C1629,'PPR FITTINGS'!$F$4:$I2469,2,0)</f>
        <v>59.6</v>
      </c>
      <c r="H1629" s="320"/>
      <c r="I1629" s="320"/>
      <c r="J1629" s="320"/>
      <c r="K1629" s="320"/>
      <c r="L1629" s="320"/>
      <c r="M1629" s="320"/>
      <c r="N1629" s="320"/>
      <c r="O1629" s="320"/>
    </row>
    <row r="1630">
      <c r="A1630" s="32">
        <f t="shared" si="1"/>
        <v>1629</v>
      </c>
      <c r="B1630" s="9" t="s">
        <v>3425</v>
      </c>
      <c r="C1630" s="500" t="s">
        <v>3558</v>
      </c>
      <c r="D1630" s="4" t="s">
        <v>3547</v>
      </c>
      <c r="E1630" s="18" t="str">
        <f>VLOOKUP($C1630,'PPR FITTINGS'!$F$4:$I2469,3,0)</f>
        <v/>
      </c>
      <c r="F1630" s="523" t="s">
        <v>1088</v>
      </c>
      <c r="G1630" s="18">
        <f>VLOOKUP($C1630,'PPR FITTINGS'!$F$4:$I2469,2,0)</f>
        <v>98</v>
      </c>
      <c r="H1630" s="320"/>
      <c r="I1630" s="320"/>
      <c r="J1630" s="320"/>
      <c r="K1630" s="320"/>
      <c r="L1630" s="320"/>
      <c r="M1630" s="320"/>
      <c r="N1630" s="320"/>
      <c r="O1630" s="320"/>
    </row>
    <row r="1631">
      <c r="A1631" s="32">
        <f t="shared" si="1"/>
        <v>1630</v>
      </c>
      <c r="B1631" s="9" t="s">
        <v>3425</v>
      </c>
      <c r="C1631" s="500" t="s">
        <v>3563</v>
      </c>
      <c r="D1631" s="4" t="s">
        <v>3564</v>
      </c>
      <c r="E1631" s="18" t="str">
        <f>VLOOKUP($C1631,'PPR FITTINGS'!$F$4:$I2469,3,0)</f>
        <v/>
      </c>
      <c r="F1631" s="523" t="s">
        <v>1088</v>
      </c>
      <c r="G1631" s="18">
        <f>VLOOKUP($C1631,'PPR FITTINGS'!$F$4:$I2469,2,0)</f>
        <v>8.2</v>
      </c>
      <c r="H1631" s="320"/>
      <c r="I1631" s="320"/>
      <c r="J1631" s="320"/>
      <c r="K1631" s="320"/>
      <c r="L1631" s="320"/>
      <c r="M1631" s="320"/>
      <c r="N1631" s="320"/>
      <c r="O1631" s="320"/>
    </row>
    <row r="1632">
      <c r="A1632" s="32">
        <f t="shared" si="1"/>
        <v>1631</v>
      </c>
      <c r="B1632" s="9" t="s">
        <v>3425</v>
      </c>
      <c r="C1632" s="500" t="s">
        <v>3565</v>
      </c>
      <c r="D1632" s="4" t="s">
        <v>3564</v>
      </c>
      <c r="E1632" s="18" t="str">
        <f>VLOOKUP($C1632,'PPR FITTINGS'!$F$4:$I2469,3,0)</f>
        <v/>
      </c>
      <c r="F1632" s="523" t="s">
        <v>1088</v>
      </c>
      <c r="G1632" s="18">
        <f>VLOOKUP($C1632,'PPR FITTINGS'!$F$4:$I2469,2,0)</f>
        <v>9.8</v>
      </c>
      <c r="H1632" s="320"/>
      <c r="I1632" s="320"/>
      <c r="J1632" s="320"/>
      <c r="K1632" s="320"/>
      <c r="L1632" s="320"/>
      <c r="M1632" s="320"/>
      <c r="N1632" s="320"/>
      <c r="O1632" s="320"/>
    </row>
    <row r="1633">
      <c r="A1633" s="32">
        <f t="shared" si="1"/>
        <v>1632</v>
      </c>
      <c r="B1633" s="9" t="s">
        <v>3425</v>
      </c>
      <c r="C1633" s="500" t="s">
        <v>3566</v>
      </c>
      <c r="D1633" s="4" t="s">
        <v>3567</v>
      </c>
      <c r="E1633" s="18" t="str">
        <f>VLOOKUP($C1633,'PPR FITTINGS'!$F$4:$I2469,3,0)</f>
        <v/>
      </c>
      <c r="F1633" s="523" t="s">
        <v>1088</v>
      </c>
      <c r="G1633" s="18">
        <f>VLOOKUP($C1633,'PPR FITTINGS'!$F$4:$I2469,2,0)</f>
        <v>197.4</v>
      </c>
      <c r="H1633" s="320"/>
      <c r="I1633" s="320"/>
      <c r="J1633" s="320"/>
      <c r="K1633" s="320"/>
      <c r="L1633" s="320"/>
      <c r="M1633" s="320"/>
      <c r="N1633" s="320"/>
      <c r="O1633" s="320"/>
    </row>
    <row r="1634">
      <c r="A1634" s="32">
        <f t="shared" si="1"/>
        <v>1633</v>
      </c>
      <c r="B1634" s="9" t="s">
        <v>3425</v>
      </c>
      <c r="C1634" s="500" t="s">
        <v>3568</v>
      </c>
      <c r="D1634" s="4" t="s">
        <v>3567</v>
      </c>
      <c r="E1634" s="18" t="str">
        <f>VLOOKUP($C1634,'PPR FITTINGS'!$F$4:$I2469,3,0)</f>
        <v/>
      </c>
      <c r="F1634" s="523" t="s">
        <v>1088</v>
      </c>
      <c r="G1634" s="18">
        <f>VLOOKUP($C1634,'PPR FITTINGS'!$F$4:$I2469,2,0)</f>
        <v>311.6</v>
      </c>
      <c r="H1634" s="320"/>
      <c r="I1634" s="320"/>
      <c r="J1634" s="320"/>
      <c r="K1634" s="320"/>
      <c r="L1634" s="320"/>
      <c r="M1634" s="320"/>
      <c r="N1634" s="320"/>
      <c r="O1634" s="320"/>
    </row>
    <row r="1635">
      <c r="A1635" s="32">
        <f t="shared" si="1"/>
        <v>1634</v>
      </c>
      <c r="B1635" s="9" t="s">
        <v>3425</v>
      </c>
      <c r="C1635" s="500" t="s">
        <v>3569</v>
      </c>
      <c r="D1635" s="4" t="s">
        <v>3567</v>
      </c>
      <c r="E1635" s="18" t="str">
        <f>VLOOKUP($C1635,'PPR FITTINGS'!$F$4:$I2469,3,0)</f>
        <v/>
      </c>
      <c r="F1635" s="523" t="s">
        <v>1088</v>
      </c>
      <c r="G1635" s="18">
        <f>VLOOKUP($C1635,'PPR FITTINGS'!$F$4:$I2469,2,0)</f>
        <v>407.5</v>
      </c>
      <c r="H1635" s="320"/>
      <c r="I1635" s="320"/>
      <c r="J1635" s="320"/>
      <c r="K1635" s="320"/>
      <c r="L1635" s="320"/>
      <c r="M1635" s="320"/>
      <c r="N1635" s="320"/>
      <c r="O1635" s="320"/>
    </row>
    <row r="1636">
      <c r="A1636" s="32">
        <f t="shared" si="1"/>
        <v>1635</v>
      </c>
      <c r="B1636" s="9" t="s">
        <v>3425</v>
      </c>
      <c r="C1636" s="500" t="s">
        <v>3570</v>
      </c>
      <c r="D1636" s="4" t="s">
        <v>3567</v>
      </c>
      <c r="E1636" s="18" t="str">
        <f>VLOOKUP($C1636,'PPR FITTINGS'!$F$4:$I2469,3,0)</f>
        <v/>
      </c>
      <c r="F1636" s="523" t="s">
        <v>1088</v>
      </c>
      <c r="G1636" s="18">
        <f>VLOOKUP($C1636,'PPR FITTINGS'!$F$4:$I2469,2,0)</f>
        <v>608.8</v>
      </c>
      <c r="H1636" s="320"/>
      <c r="I1636" s="320"/>
      <c r="J1636" s="320"/>
      <c r="K1636" s="320"/>
      <c r="L1636" s="320"/>
      <c r="M1636" s="320"/>
      <c r="N1636" s="320"/>
      <c r="O1636" s="320"/>
    </row>
    <row r="1637">
      <c r="A1637" s="32">
        <f t="shared" si="1"/>
        <v>1636</v>
      </c>
      <c r="B1637" s="9" t="s">
        <v>3425</v>
      </c>
      <c r="C1637" s="500" t="s">
        <v>3571</v>
      </c>
      <c r="D1637" s="4" t="s">
        <v>3572</v>
      </c>
      <c r="E1637" s="18" t="str">
        <f>VLOOKUP($C1637,'PPR FITTINGS'!$F$4:$I2469,3,0)</f>
        <v/>
      </c>
      <c r="F1637" s="523" t="s">
        <v>1088</v>
      </c>
      <c r="G1637" s="18">
        <f>VLOOKUP($C1637,'PPR FITTINGS'!$F$4:$I2469,2,0)</f>
        <v>1291.6</v>
      </c>
      <c r="H1637" s="320"/>
      <c r="I1637" s="320"/>
      <c r="J1637" s="320"/>
      <c r="K1637" s="320"/>
      <c r="L1637" s="320"/>
      <c r="M1637" s="320"/>
      <c r="N1637" s="320"/>
      <c r="O1637" s="320"/>
    </row>
    <row r="1638">
      <c r="A1638" s="32">
        <f t="shared" si="1"/>
        <v>1637</v>
      </c>
      <c r="B1638" s="9" t="s">
        <v>3425</v>
      </c>
      <c r="C1638" s="500" t="s">
        <v>3573</v>
      </c>
      <c r="D1638" s="4" t="s">
        <v>3572</v>
      </c>
      <c r="E1638" s="18" t="str">
        <f>VLOOKUP($C1638,'PPR FITTINGS'!$F$4:$I2469,3,0)</f>
        <v/>
      </c>
      <c r="F1638" s="523" t="s">
        <v>1088</v>
      </c>
      <c r="G1638" s="18">
        <f>VLOOKUP($C1638,'PPR FITTINGS'!$F$4:$I2469,2,0)</f>
        <v>2184.6</v>
      </c>
      <c r="H1638" s="320"/>
      <c r="I1638" s="320"/>
      <c r="J1638" s="320"/>
      <c r="K1638" s="320"/>
      <c r="L1638" s="320"/>
      <c r="M1638" s="320"/>
      <c r="N1638" s="320"/>
      <c r="O1638" s="320"/>
    </row>
    <row r="1639">
      <c r="A1639" s="32">
        <f t="shared" si="1"/>
        <v>1638</v>
      </c>
      <c r="B1639" s="9" t="s">
        <v>3425</v>
      </c>
      <c r="C1639" s="500" t="s">
        <v>3574</v>
      </c>
      <c r="D1639" s="4" t="s">
        <v>3572</v>
      </c>
      <c r="E1639" s="18" t="str">
        <f>VLOOKUP($C1639,'PPR FITTINGS'!$F$4:$I2469,3,0)</f>
        <v/>
      </c>
      <c r="F1639" s="523" t="s">
        <v>1088</v>
      </c>
      <c r="G1639" s="18">
        <f>VLOOKUP($C1639,'PPR FITTINGS'!$F$4:$I2469,2,0)</f>
        <v>3480</v>
      </c>
      <c r="H1639" s="320"/>
      <c r="I1639" s="320"/>
      <c r="J1639" s="320"/>
      <c r="K1639" s="320"/>
      <c r="L1639" s="320"/>
      <c r="M1639" s="320"/>
      <c r="N1639" s="320"/>
      <c r="O1639" s="320"/>
    </row>
    <row r="1640">
      <c r="A1640" s="32">
        <f t="shared" si="1"/>
        <v>1639</v>
      </c>
      <c r="B1640" s="9" t="s">
        <v>3425</v>
      </c>
      <c r="C1640" s="460" t="s">
        <v>3576</v>
      </c>
      <c r="D1640" s="4" t="s">
        <v>3577</v>
      </c>
      <c r="E1640" s="18" t="str">
        <f>VLOOKUP($C1640,'PPR FITTINGS'!$F$4:$I2469,3,0)</f>
        <v/>
      </c>
      <c r="F1640" s="523" t="s">
        <v>1088</v>
      </c>
      <c r="G1640" s="18">
        <f>VLOOKUP($C1640,'PPR FITTINGS'!$F$4:$I2469,2,0)</f>
        <v>13.2</v>
      </c>
      <c r="H1640" s="320"/>
      <c r="I1640" s="320"/>
      <c r="J1640" s="320"/>
      <c r="K1640" s="320"/>
      <c r="L1640" s="320"/>
      <c r="M1640" s="320"/>
      <c r="N1640" s="320"/>
      <c r="O1640" s="320"/>
    </row>
    <row r="1641">
      <c r="A1641" s="32">
        <f t="shared" si="1"/>
        <v>1640</v>
      </c>
      <c r="B1641" s="9" t="s">
        <v>3425</v>
      </c>
      <c r="C1641" s="460" t="s">
        <v>3579</v>
      </c>
      <c r="D1641" s="4" t="s">
        <v>3577</v>
      </c>
      <c r="E1641" s="18" t="str">
        <f>VLOOKUP($C1641,'PPR FITTINGS'!$F$4:$I2469,3,0)</f>
        <v/>
      </c>
      <c r="F1641" s="523" t="s">
        <v>1088</v>
      </c>
      <c r="G1641" s="18">
        <f>VLOOKUP($C1641,'PPR FITTINGS'!$F$4:$I2469,2,0)</f>
        <v>17.3</v>
      </c>
      <c r="H1641" s="320"/>
      <c r="I1641" s="320"/>
      <c r="J1641" s="320"/>
      <c r="K1641" s="320"/>
      <c r="L1641" s="320"/>
      <c r="M1641" s="320"/>
      <c r="N1641" s="320"/>
      <c r="O1641" s="320"/>
    </row>
    <row r="1642">
      <c r="A1642" s="32">
        <f t="shared" si="1"/>
        <v>1641</v>
      </c>
      <c r="B1642" s="9" t="s">
        <v>3425</v>
      </c>
      <c r="C1642" s="460" t="s">
        <v>3581</v>
      </c>
      <c r="D1642" s="4" t="s">
        <v>3577</v>
      </c>
      <c r="E1642" s="18" t="str">
        <f>VLOOKUP($C1642,'PPR FITTINGS'!$F$4:$I2469,3,0)</f>
        <v/>
      </c>
      <c r="F1642" s="523" t="s">
        <v>1088</v>
      </c>
      <c r="G1642" s="18">
        <f>VLOOKUP($C1642,'PPR FITTINGS'!$F$4:$I2469,2,0)</f>
        <v>31.5</v>
      </c>
      <c r="H1642" s="320"/>
      <c r="I1642" s="320"/>
      <c r="J1642" s="320"/>
      <c r="K1642" s="320"/>
      <c r="L1642" s="320"/>
      <c r="M1642" s="320"/>
      <c r="N1642" s="320"/>
      <c r="O1642" s="320"/>
    </row>
    <row r="1643">
      <c r="A1643" s="32">
        <f t="shared" si="1"/>
        <v>1642</v>
      </c>
      <c r="B1643" s="9" t="s">
        <v>3425</v>
      </c>
      <c r="C1643" s="460" t="s">
        <v>3585</v>
      </c>
      <c r="D1643" s="4" t="s">
        <v>3577</v>
      </c>
      <c r="E1643" s="18" t="str">
        <f>VLOOKUP($C1643,'PPR FITTINGS'!$F$4:$I2469,3,0)</f>
        <v/>
      </c>
      <c r="F1643" s="523" t="s">
        <v>1088</v>
      </c>
      <c r="G1643" s="18">
        <f>VLOOKUP($C1643,'PPR FITTINGS'!$F$4:$I2469,2,0)</f>
        <v>45.7</v>
      </c>
      <c r="H1643" s="320"/>
      <c r="I1643" s="320"/>
      <c r="J1643" s="320"/>
      <c r="K1643" s="320"/>
      <c r="L1643" s="320"/>
      <c r="M1643" s="320"/>
      <c r="N1643" s="320"/>
      <c r="O1643" s="320"/>
    </row>
    <row r="1644">
      <c r="A1644" s="32">
        <f t="shared" si="1"/>
        <v>1643</v>
      </c>
      <c r="B1644" s="9" t="s">
        <v>3425</v>
      </c>
      <c r="C1644" s="460" t="s">
        <v>3590</v>
      </c>
      <c r="D1644" s="4" t="s">
        <v>3577</v>
      </c>
      <c r="E1644" s="18" t="str">
        <f>VLOOKUP($C1644,'PPR FITTINGS'!$F$4:$I2469,3,0)</f>
        <v/>
      </c>
      <c r="F1644" s="523" t="s">
        <v>1088</v>
      </c>
      <c r="G1644" s="18">
        <f>VLOOKUP($C1644,'PPR FITTINGS'!$F$4:$I2469,2,0)</f>
        <v>72.2</v>
      </c>
      <c r="H1644" s="320"/>
      <c r="I1644" s="320"/>
      <c r="J1644" s="320"/>
      <c r="K1644" s="320"/>
      <c r="L1644" s="320"/>
      <c r="M1644" s="320"/>
      <c r="N1644" s="320"/>
      <c r="O1644" s="320"/>
    </row>
    <row r="1645">
      <c r="A1645" s="32">
        <f t="shared" si="1"/>
        <v>1644</v>
      </c>
      <c r="B1645" s="9" t="s">
        <v>3425</v>
      </c>
      <c r="C1645" s="460" t="s">
        <v>3593</v>
      </c>
      <c r="D1645" s="4" t="s">
        <v>3577</v>
      </c>
      <c r="E1645" s="18" t="str">
        <f>VLOOKUP($C1645,'PPR FITTINGS'!$F$4:$I2469,3,0)</f>
        <v/>
      </c>
      <c r="F1645" s="523" t="s">
        <v>1088</v>
      </c>
      <c r="G1645" s="18">
        <f>VLOOKUP($C1645,'PPR FITTINGS'!$F$4:$I2469,2,0)</f>
        <v>137.6</v>
      </c>
      <c r="H1645" s="320"/>
      <c r="I1645" s="320"/>
      <c r="J1645" s="320"/>
      <c r="K1645" s="320"/>
      <c r="L1645" s="320"/>
      <c r="M1645" s="320"/>
      <c r="N1645" s="320"/>
      <c r="O1645" s="320"/>
    </row>
    <row r="1646">
      <c r="A1646" s="32">
        <f t="shared" si="1"/>
        <v>1645</v>
      </c>
      <c r="B1646" s="9" t="s">
        <v>3425</v>
      </c>
      <c r="C1646" s="460" t="s">
        <v>3601</v>
      </c>
      <c r="D1646" s="4" t="s">
        <v>3577</v>
      </c>
      <c r="E1646" s="18" t="str">
        <f>VLOOKUP($C1646,'PPR FITTINGS'!$F$4:$I2469,3,0)</f>
        <v/>
      </c>
      <c r="F1646" s="523" t="s">
        <v>1088</v>
      </c>
      <c r="G1646" s="18">
        <f>VLOOKUP($C1646,'PPR FITTINGS'!$F$4:$I2469,2,0)</f>
        <v>289.1</v>
      </c>
      <c r="H1646" s="320"/>
      <c r="I1646" s="320"/>
      <c r="J1646" s="320"/>
      <c r="K1646" s="320"/>
      <c r="L1646" s="320"/>
      <c r="M1646" s="320"/>
      <c r="N1646" s="320"/>
      <c r="O1646" s="320"/>
    </row>
    <row r="1647">
      <c r="A1647" s="32">
        <f t="shared" si="1"/>
        <v>1646</v>
      </c>
      <c r="B1647" s="9" t="s">
        <v>3425</v>
      </c>
      <c r="C1647" s="460" t="s">
        <v>3617</v>
      </c>
      <c r="D1647" s="4" t="s">
        <v>3577</v>
      </c>
      <c r="E1647" s="18" t="str">
        <f>VLOOKUP($C1647,'PPR FITTINGS'!$F$4:$I2469,3,0)</f>
        <v/>
      </c>
      <c r="F1647" s="523" t="s">
        <v>1088</v>
      </c>
      <c r="G1647" s="18">
        <f>VLOOKUP($C1647,'PPR FITTINGS'!$F$4:$I2469,2,0)</f>
        <v>434.6</v>
      </c>
      <c r="H1647" s="320"/>
      <c r="I1647" s="320"/>
      <c r="J1647" s="320"/>
      <c r="K1647" s="320"/>
      <c r="L1647" s="320"/>
      <c r="M1647" s="320"/>
      <c r="N1647" s="320"/>
      <c r="O1647" s="320"/>
    </row>
    <row r="1648">
      <c r="A1648" s="32">
        <f t="shared" si="1"/>
        <v>1647</v>
      </c>
      <c r="B1648" s="9" t="s">
        <v>3425</v>
      </c>
      <c r="C1648" s="460" t="s">
        <v>3620</v>
      </c>
      <c r="D1648" s="4" t="s">
        <v>3577</v>
      </c>
      <c r="E1648" s="18" t="str">
        <f>VLOOKUP($C1648,'PPR FITTINGS'!$F$4:$I2469,3,0)</f>
        <v/>
      </c>
      <c r="F1648" s="523" t="s">
        <v>1088</v>
      </c>
      <c r="G1648" s="18">
        <f>VLOOKUP($C1648,'PPR FITTINGS'!$F$4:$I2469,2,0)</f>
        <v>911</v>
      </c>
      <c r="H1648" s="320"/>
      <c r="I1648" s="320"/>
      <c r="J1648" s="320"/>
      <c r="K1648" s="320"/>
      <c r="L1648" s="320"/>
      <c r="M1648" s="320"/>
      <c r="N1648" s="320"/>
      <c r="O1648" s="320"/>
    </row>
    <row r="1649">
      <c r="A1649" s="32">
        <f t="shared" si="1"/>
        <v>1648</v>
      </c>
      <c r="B1649" s="9" t="s">
        <v>3425</v>
      </c>
      <c r="C1649" s="460" t="s">
        <v>3622</v>
      </c>
      <c r="D1649" s="4" t="s">
        <v>3623</v>
      </c>
      <c r="E1649" s="18" t="str">
        <f>VLOOKUP($C1649,'PPR FITTINGS'!$F$4:$I2469,3,0)</f>
        <v/>
      </c>
      <c r="F1649" s="523" t="s">
        <v>1088</v>
      </c>
      <c r="G1649" s="18">
        <f>VLOOKUP($C1649,'PPR FITTINGS'!$F$4:$I2469,2,0)</f>
        <v>15.3</v>
      </c>
      <c r="H1649" s="320"/>
      <c r="I1649" s="320"/>
      <c r="J1649" s="320"/>
      <c r="K1649" s="320"/>
      <c r="L1649" s="320"/>
      <c r="M1649" s="320"/>
      <c r="N1649" s="320"/>
      <c r="O1649" s="320"/>
    </row>
    <row r="1650">
      <c r="A1650" s="32">
        <f t="shared" si="1"/>
        <v>1649</v>
      </c>
      <c r="B1650" s="9" t="s">
        <v>3425</v>
      </c>
      <c r="C1650" s="460" t="s">
        <v>3624</v>
      </c>
      <c r="D1650" s="4" t="s">
        <v>3623</v>
      </c>
      <c r="E1650" s="18" t="str">
        <f>VLOOKUP($C1650,'PPR FITTINGS'!$F$4:$I2469,3,0)</f>
        <v/>
      </c>
      <c r="F1650" s="523" t="s">
        <v>1088</v>
      </c>
      <c r="G1650" s="18">
        <f>VLOOKUP($C1650,'PPR FITTINGS'!$F$4:$I2469,2,0)</f>
        <v>24.4</v>
      </c>
      <c r="H1650" s="320"/>
      <c r="I1650" s="320"/>
      <c r="J1650" s="320"/>
      <c r="K1650" s="320"/>
      <c r="L1650" s="320"/>
      <c r="M1650" s="320"/>
      <c r="N1650" s="320"/>
      <c r="O1650" s="320"/>
    </row>
    <row r="1651">
      <c r="A1651" s="32">
        <f t="shared" si="1"/>
        <v>1650</v>
      </c>
      <c r="B1651" s="9" t="s">
        <v>3425</v>
      </c>
      <c r="C1651" s="460" t="s">
        <v>3626</v>
      </c>
      <c r="D1651" s="4" t="s">
        <v>3623</v>
      </c>
      <c r="E1651" s="18" t="str">
        <f>VLOOKUP($C1651,'PPR FITTINGS'!$F$4:$I2469,3,0)</f>
        <v/>
      </c>
      <c r="F1651" s="523" t="s">
        <v>1088</v>
      </c>
      <c r="G1651" s="18">
        <f>VLOOKUP($C1651,'PPR FITTINGS'!$F$4:$I2469,2,0)</f>
        <v>32.6</v>
      </c>
      <c r="H1651" s="320"/>
      <c r="I1651" s="320"/>
      <c r="J1651" s="320"/>
      <c r="K1651" s="320"/>
      <c r="L1651" s="320"/>
      <c r="M1651" s="320"/>
      <c r="N1651" s="320"/>
      <c r="O1651" s="320"/>
    </row>
    <row r="1652">
      <c r="A1652" s="32">
        <f t="shared" si="1"/>
        <v>1651</v>
      </c>
      <c r="B1652" s="9" t="s">
        <v>3425</v>
      </c>
      <c r="C1652" s="460" t="s">
        <v>3629</v>
      </c>
      <c r="D1652" s="4" t="s">
        <v>3623</v>
      </c>
      <c r="E1652" s="18" t="str">
        <f>VLOOKUP($C1652,'PPR FITTINGS'!$F$4:$I2469,3,0)</f>
        <v/>
      </c>
      <c r="F1652" s="523" t="s">
        <v>1088</v>
      </c>
      <c r="G1652" s="18">
        <f>VLOOKUP($C1652,'PPR FITTINGS'!$F$4:$I2469,2,0)</f>
        <v>38.3</v>
      </c>
      <c r="H1652" s="320"/>
      <c r="I1652" s="320"/>
      <c r="J1652" s="320"/>
      <c r="K1652" s="320"/>
      <c r="L1652" s="320"/>
      <c r="M1652" s="320"/>
      <c r="N1652" s="320"/>
      <c r="O1652" s="320"/>
    </row>
    <row r="1653">
      <c r="A1653" s="32">
        <f t="shared" si="1"/>
        <v>1652</v>
      </c>
      <c r="B1653" s="9" t="s">
        <v>3425</v>
      </c>
      <c r="C1653" s="460" t="s">
        <v>3632</v>
      </c>
      <c r="D1653" s="4" t="s">
        <v>3623</v>
      </c>
      <c r="E1653" s="18" t="str">
        <f>VLOOKUP($C1653,'PPR FITTINGS'!$F$4:$I2469,3,0)</f>
        <v/>
      </c>
      <c r="F1653" s="523" t="s">
        <v>1088</v>
      </c>
      <c r="G1653" s="18">
        <f>VLOOKUP($C1653,'PPR FITTINGS'!$F$4:$I2469,2,0)</f>
        <v>39.3</v>
      </c>
      <c r="H1653" s="320"/>
      <c r="I1653" s="320"/>
      <c r="J1653" s="320"/>
      <c r="K1653" s="320"/>
      <c r="L1653" s="320"/>
      <c r="M1653" s="320"/>
      <c r="N1653" s="320"/>
      <c r="O1653" s="320"/>
    </row>
    <row r="1654">
      <c r="A1654" s="32">
        <f t="shared" si="1"/>
        <v>1653</v>
      </c>
      <c r="B1654" s="9" t="s">
        <v>3425</v>
      </c>
      <c r="C1654" s="460" t="s">
        <v>3635</v>
      </c>
      <c r="D1654" s="4" t="s">
        <v>3623</v>
      </c>
      <c r="E1654" s="18" t="str">
        <f>VLOOKUP($C1654,'PPR FITTINGS'!$F$4:$I2469,3,0)</f>
        <v/>
      </c>
      <c r="F1654" s="523" t="s">
        <v>1088</v>
      </c>
      <c r="G1654" s="18">
        <f>VLOOKUP($C1654,'PPR FITTINGS'!$F$4:$I2469,2,0)</f>
        <v>41.4</v>
      </c>
      <c r="H1654" s="320"/>
      <c r="I1654" s="320"/>
      <c r="J1654" s="320"/>
      <c r="K1654" s="320"/>
      <c r="L1654" s="320"/>
      <c r="M1654" s="320"/>
      <c r="N1654" s="320"/>
      <c r="O1654" s="320"/>
    </row>
    <row r="1655">
      <c r="A1655" s="32">
        <f t="shared" si="1"/>
        <v>1654</v>
      </c>
      <c r="B1655" s="9" t="s">
        <v>3425</v>
      </c>
      <c r="C1655" s="460" t="s">
        <v>3637</v>
      </c>
      <c r="D1655" s="4" t="s">
        <v>3623</v>
      </c>
      <c r="E1655" s="18" t="str">
        <f>VLOOKUP($C1655,'PPR FITTINGS'!$F$4:$I2469,3,0)</f>
        <v/>
      </c>
      <c r="F1655" s="523" t="s">
        <v>1088</v>
      </c>
      <c r="G1655" s="18">
        <f>VLOOKUP($C1655,'PPR FITTINGS'!$F$4:$I2469,2,0)</f>
        <v>63.9</v>
      </c>
      <c r="H1655" s="320"/>
      <c r="I1655" s="320"/>
      <c r="J1655" s="320"/>
      <c r="K1655" s="320"/>
      <c r="L1655" s="320"/>
      <c r="M1655" s="320"/>
      <c r="N1655" s="320"/>
      <c r="O1655" s="320"/>
    </row>
    <row r="1656">
      <c r="A1656" s="32">
        <f t="shared" si="1"/>
        <v>1655</v>
      </c>
      <c r="B1656" s="9" t="s">
        <v>3425</v>
      </c>
      <c r="C1656" s="460" t="s">
        <v>3642</v>
      </c>
      <c r="D1656" s="4" t="s">
        <v>3623</v>
      </c>
      <c r="E1656" s="18" t="str">
        <f>VLOOKUP($C1656,'PPR FITTINGS'!$F$4:$I2469,3,0)</f>
        <v/>
      </c>
      <c r="F1656" s="523" t="s">
        <v>1088</v>
      </c>
      <c r="G1656" s="18">
        <f>VLOOKUP($C1656,'PPR FITTINGS'!$F$4:$I2469,2,0)</f>
        <v>66.9</v>
      </c>
      <c r="H1656" s="320"/>
      <c r="I1656" s="320"/>
      <c r="J1656" s="320"/>
      <c r="K1656" s="320"/>
      <c r="L1656" s="320"/>
      <c r="M1656" s="320"/>
      <c r="N1656" s="320"/>
      <c r="O1656" s="320"/>
    </row>
    <row r="1657">
      <c r="A1657" s="32">
        <f t="shared" si="1"/>
        <v>1656</v>
      </c>
      <c r="B1657" s="9" t="s">
        <v>3425</v>
      </c>
      <c r="C1657" s="460" t="s">
        <v>3644</v>
      </c>
      <c r="D1657" s="4" t="s">
        <v>3623</v>
      </c>
      <c r="E1657" s="18" t="str">
        <f>VLOOKUP($C1657,'PPR FITTINGS'!$F$4:$I2469,3,0)</f>
        <v/>
      </c>
      <c r="F1657" s="523" t="s">
        <v>1088</v>
      </c>
      <c r="G1657" s="18">
        <f>VLOOKUP($C1657,'PPR FITTINGS'!$F$4:$I2469,2,0)</f>
        <v>69.1</v>
      </c>
      <c r="H1657" s="320"/>
      <c r="I1657" s="320"/>
      <c r="J1657" s="320"/>
      <c r="K1657" s="320"/>
      <c r="L1657" s="320"/>
      <c r="M1657" s="320"/>
      <c r="N1657" s="320"/>
      <c r="O1657" s="320"/>
    </row>
    <row r="1658">
      <c r="A1658" s="32">
        <f t="shared" si="1"/>
        <v>1657</v>
      </c>
      <c r="B1658" s="9" t="s">
        <v>3425</v>
      </c>
      <c r="C1658" s="460" t="s">
        <v>3649</v>
      </c>
      <c r="D1658" s="4" t="s">
        <v>3623</v>
      </c>
      <c r="E1658" s="18" t="str">
        <f>VLOOKUP($C1658,'PPR FITTINGS'!$F$4:$I2469,3,0)</f>
        <v/>
      </c>
      <c r="F1658" s="523" t="s">
        <v>1088</v>
      </c>
      <c r="G1658" s="18">
        <f>VLOOKUP($C1658,'PPR FITTINGS'!$F$4:$I2469,2,0)</f>
        <v>72.6</v>
      </c>
      <c r="H1658" s="320"/>
      <c r="I1658" s="320"/>
      <c r="J1658" s="320"/>
      <c r="K1658" s="320"/>
      <c r="L1658" s="320"/>
      <c r="M1658" s="320"/>
      <c r="N1658" s="320"/>
      <c r="O1658" s="320"/>
    </row>
    <row r="1659">
      <c r="A1659" s="32">
        <f t="shared" si="1"/>
        <v>1658</v>
      </c>
      <c r="B1659" s="9" t="s">
        <v>3425</v>
      </c>
      <c r="C1659" s="460" t="s">
        <v>3652</v>
      </c>
      <c r="D1659" s="4" t="s">
        <v>3623</v>
      </c>
      <c r="E1659" s="18" t="str">
        <f>VLOOKUP($C1659,'PPR FITTINGS'!$F$4:$I2469,3,0)</f>
        <v/>
      </c>
      <c r="F1659" s="523" t="s">
        <v>1088</v>
      </c>
      <c r="G1659" s="18">
        <f>VLOOKUP($C1659,'PPR FITTINGS'!$F$4:$I2469,2,0)</f>
        <v>117.9</v>
      </c>
      <c r="H1659" s="320"/>
      <c r="I1659" s="320"/>
      <c r="J1659" s="320"/>
      <c r="K1659" s="320"/>
      <c r="L1659" s="320"/>
      <c r="M1659" s="320"/>
      <c r="N1659" s="320"/>
      <c r="O1659" s="320"/>
    </row>
    <row r="1660">
      <c r="A1660" s="32">
        <f t="shared" si="1"/>
        <v>1659</v>
      </c>
      <c r="B1660" s="9" t="s">
        <v>3425</v>
      </c>
      <c r="C1660" s="460" t="s">
        <v>3657</v>
      </c>
      <c r="D1660" s="4" t="s">
        <v>3623</v>
      </c>
      <c r="E1660" s="18" t="str">
        <f>VLOOKUP($C1660,'PPR FITTINGS'!$F$4:$I2469,3,0)</f>
        <v/>
      </c>
      <c r="F1660" s="523" t="s">
        <v>1088</v>
      </c>
      <c r="G1660" s="18">
        <f>VLOOKUP($C1660,'PPR FITTINGS'!$F$4:$I2469,2,0)</f>
        <v>126.7</v>
      </c>
      <c r="H1660" s="320"/>
      <c r="I1660" s="320"/>
      <c r="J1660" s="320"/>
      <c r="K1660" s="320"/>
      <c r="L1660" s="320"/>
      <c r="M1660" s="320"/>
      <c r="N1660" s="320"/>
      <c r="O1660" s="320"/>
    </row>
    <row r="1661">
      <c r="A1661" s="32">
        <f t="shared" si="1"/>
        <v>1660</v>
      </c>
      <c r="B1661" s="9" t="s">
        <v>3425</v>
      </c>
      <c r="C1661" s="460" t="s">
        <v>3663</v>
      </c>
      <c r="D1661" s="4" t="s">
        <v>3623</v>
      </c>
      <c r="E1661" s="18" t="str">
        <f>VLOOKUP($C1661,'PPR FITTINGS'!$F$4:$I2469,3,0)</f>
        <v/>
      </c>
      <c r="F1661" s="523" t="s">
        <v>1088</v>
      </c>
      <c r="G1661" s="18">
        <f>VLOOKUP($C1661,'PPR FITTINGS'!$F$4:$I2469,2,0)</f>
        <v>145.9</v>
      </c>
      <c r="H1661" s="320"/>
      <c r="I1661" s="320"/>
      <c r="J1661" s="320"/>
      <c r="K1661" s="320"/>
      <c r="L1661" s="320"/>
      <c r="M1661" s="320"/>
      <c r="N1661" s="320"/>
      <c r="O1661" s="320"/>
    </row>
    <row r="1662">
      <c r="A1662" s="32">
        <f t="shared" si="1"/>
        <v>1661</v>
      </c>
      <c r="B1662" s="9" t="s">
        <v>3425</v>
      </c>
      <c r="C1662" s="460" t="s">
        <v>3668</v>
      </c>
      <c r="D1662" s="4" t="s">
        <v>3623</v>
      </c>
      <c r="E1662" s="18" t="str">
        <f>VLOOKUP($C1662,'PPR FITTINGS'!$F$4:$I2469,3,0)</f>
        <v/>
      </c>
      <c r="F1662" s="523" t="s">
        <v>1088</v>
      </c>
      <c r="G1662" s="18">
        <f>VLOOKUP($C1662,'PPR FITTINGS'!$F$4:$I2469,2,0)</f>
        <v>145.3</v>
      </c>
      <c r="H1662" s="320"/>
      <c r="I1662" s="320"/>
      <c r="J1662" s="320"/>
      <c r="K1662" s="320"/>
      <c r="L1662" s="320"/>
      <c r="M1662" s="320"/>
      <c r="N1662" s="320"/>
      <c r="O1662" s="320"/>
    </row>
    <row r="1663">
      <c r="A1663" s="32">
        <f t="shared" si="1"/>
        <v>1662</v>
      </c>
      <c r="B1663" s="9" t="s">
        <v>3425</v>
      </c>
      <c r="C1663" s="460" t="s">
        <v>3670</v>
      </c>
      <c r="D1663" s="4" t="s">
        <v>3671</v>
      </c>
      <c r="E1663" s="18" t="str">
        <f>VLOOKUP($C1663,'PPR FITTINGS'!$F$4:$I2469,3,0)</f>
        <v/>
      </c>
      <c r="F1663" s="523" t="s">
        <v>1088</v>
      </c>
      <c r="G1663" s="18">
        <f>VLOOKUP($C1663,'PPR FITTINGS'!$F$4:$I2469,2,0)</f>
        <v>124.5</v>
      </c>
      <c r="H1663" s="320"/>
      <c r="I1663" s="320"/>
      <c r="J1663" s="320"/>
      <c r="K1663" s="320"/>
      <c r="L1663" s="320"/>
      <c r="M1663" s="320"/>
      <c r="N1663" s="320"/>
      <c r="O1663" s="320"/>
    </row>
    <row r="1664">
      <c r="A1664" s="32">
        <f t="shared" si="1"/>
        <v>1663</v>
      </c>
      <c r="B1664" s="9" t="s">
        <v>3425</v>
      </c>
      <c r="C1664" s="460" t="s">
        <v>3673</v>
      </c>
      <c r="D1664" s="4" t="s">
        <v>3671</v>
      </c>
      <c r="E1664" s="18" t="str">
        <f>VLOOKUP($C1664,'PPR FITTINGS'!$F$4:$I2469,3,0)</f>
        <v/>
      </c>
      <c r="F1664" s="523" t="s">
        <v>1088</v>
      </c>
      <c r="G1664" s="18">
        <f>VLOOKUP($C1664,'PPR FITTINGS'!$F$4:$I2469,2,0)</f>
        <v>129.7</v>
      </c>
      <c r="H1664" s="320"/>
      <c r="I1664" s="320"/>
      <c r="J1664" s="320"/>
      <c r="K1664" s="320"/>
      <c r="L1664" s="320"/>
      <c r="M1664" s="320"/>
      <c r="N1664" s="320"/>
      <c r="O1664" s="320"/>
    </row>
    <row r="1665">
      <c r="A1665" s="32">
        <f t="shared" si="1"/>
        <v>1664</v>
      </c>
      <c r="B1665" s="9" t="s">
        <v>3425</v>
      </c>
      <c r="C1665" s="460" t="s">
        <v>3677</v>
      </c>
      <c r="D1665" s="4" t="s">
        <v>3678</v>
      </c>
      <c r="E1665" s="18" t="str">
        <f>VLOOKUP($C1665,'PPR FITTINGS'!$F$4:$I2469,3,0)</f>
        <v/>
      </c>
      <c r="F1665" s="523" t="s">
        <v>1088</v>
      </c>
      <c r="G1665" s="18">
        <f>VLOOKUP($C1665,'PPR FITTINGS'!$F$4:$I2469,2,0)</f>
        <v>134.7</v>
      </c>
      <c r="H1665" s="320"/>
      <c r="I1665" s="320"/>
      <c r="J1665" s="320"/>
      <c r="K1665" s="320"/>
      <c r="L1665" s="320"/>
      <c r="M1665" s="320"/>
      <c r="N1665" s="320"/>
      <c r="O1665" s="320"/>
    </row>
    <row r="1666">
      <c r="A1666" s="32">
        <f t="shared" si="1"/>
        <v>1665</v>
      </c>
      <c r="B1666" s="9" t="s">
        <v>3425</v>
      </c>
      <c r="C1666" s="460" t="s">
        <v>3682</v>
      </c>
      <c r="D1666" s="4" t="s">
        <v>3678</v>
      </c>
      <c r="E1666" s="18" t="str">
        <f>VLOOKUP($C1666,'PPR FITTINGS'!$F$4:$I2469,3,0)</f>
        <v/>
      </c>
      <c r="F1666" s="523" t="s">
        <v>1088</v>
      </c>
      <c r="G1666" s="18">
        <f>VLOOKUP($C1666,'PPR FITTINGS'!$F$4:$I2469,2,0)</f>
        <v>176.3</v>
      </c>
      <c r="H1666" s="320"/>
      <c r="I1666" s="320"/>
      <c r="J1666" s="320"/>
      <c r="K1666" s="320"/>
      <c r="L1666" s="320"/>
      <c r="M1666" s="320"/>
      <c r="N1666" s="320"/>
      <c r="O1666" s="320"/>
    </row>
    <row r="1667">
      <c r="A1667" s="32">
        <f t="shared" si="1"/>
        <v>1666</v>
      </c>
      <c r="B1667" s="9" t="s">
        <v>3425</v>
      </c>
      <c r="C1667" s="460" t="s">
        <v>3684</v>
      </c>
      <c r="D1667" s="4" t="s">
        <v>3678</v>
      </c>
      <c r="E1667" s="18" t="str">
        <f>VLOOKUP($C1667,'PPR FITTINGS'!$F$4:$I2469,3,0)</f>
        <v/>
      </c>
      <c r="F1667" s="523" t="s">
        <v>1088</v>
      </c>
      <c r="G1667" s="18">
        <f>VLOOKUP($C1667,'PPR FITTINGS'!$F$4:$I2469,2,0)</f>
        <v>300.3</v>
      </c>
      <c r="H1667" s="320"/>
      <c r="I1667" s="320"/>
      <c r="J1667" s="320"/>
      <c r="K1667" s="320"/>
      <c r="L1667" s="320"/>
      <c r="M1667" s="320"/>
      <c r="N1667" s="320"/>
      <c r="O1667" s="320"/>
    </row>
    <row r="1668">
      <c r="A1668" s="32">
        <f t="shared" si="1"/>
        <v>1667</v>
      </c>
      <c r="B1668" s="9" t="s">
        <v>3425</v>
      </c>
      <c r="C1668" s="460" t="s">
        <v>3687</v>
      </c>
      <c r="D1668" s="4" t="s">
        <v>3678</v>
      </c>
      <c r="E1668" s="18" t="str">
        <f>VLOOKUP($C1668,'PPR FITTINGS'!$F$4:$I2469,3,0)</f>
        <v/>
      </c>
      <c r="F1668" s="523" t="s">
        <v>1088</v>
      </c>
      <c r="G1668" s="18">
        <f>VLOOKUP($C1668,'PPR FITTINGS'!$F$4:$I2469,2,0)</f>
        <v>663.5</v>
      </c>
      <c r="H1668" s="320"/>
      <c r="I1668" s="320"/>
      <c r="J1668" s="320"/>
      <c r="K1668" s="320"/>
      <c r="L1668" s="320"/>
      <c r="M1668" s="320"/>
      <c r="N1668" s="320"/>
      <c r="O1668" s="320"/>
    </row>
    <row r="1669">
      <c r="A1669" s="32">
        <f t="shared" si="1"/>
        <v>1668</v>
      </c>
      <c r="B1669" s="9" t="s">
        <v>3425</v>
      </c>
      <c r="C1669" s="460" t="s">
        <v>3689</v>
      </c>
      <c r="D1669" s="4" t="s">
        <v>3690</v>
      </c>
      <c r="E1669" s="18" t="str">
        <f>VLOOKUP($C1669,'PPR FITTINGS'!$F$4:$I2469,3,0)</f>
        <v/>
      </c>
      <c r="F1669" s="523" t="s">
        <v>1088</v>
      </c>
      <c r="G1669" s="18">
        <f>VLOOKUP($C1669,'PPR FITTINGS'!$F$4:$I2469,2,0)</f>
        <v>93.5</v>
      </c>
      <c r="H1669" s="320"/>
      <c r="I1669" s="320"/>
      <c r="J1669" s="320"/>
      <c r="K1669" s="320"/>
      <c r="L1669" s="320"/>
      <c r="M1669" s="320"/>
      <c r="N1669" s="320"/>
      <c r="O1669" s="320"/>
    </row>
    <row r="1670">
      <c r="A1670" s="32">
        <f t="shared" si="1"/>
        <v>1669</v>
      </c>
      <c r="B1670" s="9" t="s">
        <v>3425</v>
      </c>
      <c r="C1670" s="460" t="s">
        <v>3692</v>
      </c>
      <c r="D1670" s="4" t="s">
        <v>3690</v>
      </c>
      <c r="E1670" s="18" t="str">
        <f>VLOOKUP($C1670,'PPR FITTINGS'!$F$4:$I2469,3,0)</f>
        <v/>
      </c>
      <c r="F1670" s="523" t="s">
        <v>1088</v>
      </c>
      <c r="G1670" s="18">
        <f>VLOOKUP($C1670,'PPR FITTINGS'!$F$4:$I2469,2,0)</f>
        <v>110.7</v>
      </c>
      <c r="H1670" s="320"/>
      <c r="I1670" s="320"/>
      <c r="J1670" s="320"/>
      <c r="K1670" s="320"/>
      <c r="L1670" s="320"/>
      <c r="M1670" s="320"/>
      <c r="N1670" s="320"/>
      <c r="O1670" s="320"/>
    </row>
    <row r="1671">
      <c r="A1671" s="32">
        <f t="shared" si="1"/>
        <v>1670</v>
      </c>
      <c r="B1671" s="9" t="s">
        <v>3425</v>
      </c>
      <c r="C1671" s="460" t="s">
        <v>3694</v>
      </c>
      <c r="D1671" s="4" t="s">
        <v>3695</v>
      </c>
      <c r="E1671" s="18" t="str">
        <f>VLOOKUP($C1671,'PPR FITTINGS'!$F$4:$I2469,3,0)</f>
        <v/>
      </c>
      <c r="F1671" s="523" t="s">
        <v>1088</v>
      </c>
      <c r="G1671" s="18">
        <f>VLOOKUP($C1671,'PPR FITTINGS'!$F$4:$I2469,2,0)</f>
        <v>17.3</v>
      </c>
      <c r="H1671" s="320"/>
      <c r="I1671" s="320"/>
      <c r="J1671" s="320"/>
      <c r="K1671" s="320"/>
      <c r="L1671" s="320"/>
      <c r="M1671" s="320"/>
      <c r="N1671" s="320"/>
      <c r="O1671" s="320"/>
    </row>
    <row r="1672">
      <c r="A1672" s="32">
        <f t="shared" si="1"/>
        <v>1671</v>
      </c>
      <c r="B1672" s="9" t="s">
        <v>3425</v>
      </c>
      <c r="C1672" s="460" t="s">
        <v>3696</v>
      </c>
      <c r="D1672" s="4" t="s">
        <v>3695</v>
      </c>
      <c r="E1672" s="18" t="str">
        <f>VLOOKUP($C1672,'PPR FITTINGS'!$F$4:$I2469,3,0)</f>
        <v/>
      </c>
      <c r="F1672" s="523" t="s">
        <v>1088</v>
      </c>
      <c r="G1672" s="18">
        <f>VLOOKUP($C1672,'PPR FITTINGS'!$F$4:$I2469,2,0)</f>
        <v>23.4</v>
      </c>
      <c r="H1672" s="320"/>
      <c r="I1672" s="320"/>
      <c r="J1672" s="320"/>
      <c r="K1672" s="320"/>
      <c r="L1672" s="320"/>
      <c r="M1672" s="320"/>
      <c r="N1672" s="320"/>
      <c r="O1672" s="320"/>
    </row>
    <row r="1673">
      <c r="A1673" s="32">
        <f t="shared" si="1"/>
        <v>1672</v>
      </c>
      <c r="B1673" s="9" t="s">
        <v>3425</v>
      </c>
      <c r="C1673" s="460" t="s">
        <v>3697</v>
      </c>
      <c r="D1673" s="4" t="s">
        <v>3695</v>
      </c>
      <c r="E1673" s="18" t="str">
        <f>VLOOKUP($C1673,'PPR FITTINGS'!$F$4:$I2469,3,0)</f>
        <v/>
      </c>
      <c r="F1673" s="523" t="s">
        <v>1088</v>
      </c>
      <c r="G1673" s="18">
        <f>VLOOKUP($C1673,'PPR FITTINGS'!$F$4:$I2469,2,0)</f>
        <v>41.4</v>
      </c>
      <c r="H1673" s="320"/>
      <c r="I1673" s="320"/>
      <c r="J1673" s="320"/>
      <c r="K1673" s="320"/>
      <c r="L1673" s="320"/>
      <c r="M1673" s="320"/>
      <c r="N1673" s="320"/>
      <c r="O1673" s="320"/>
    </row>
    <row r="1674">
      <c r="A1674" s="32">
        <f t="shared" si="1"/>
        <v>1673</v>
      </c>
      <c r="B1674" s="9" t="s">
        <v>3425</v>
      </c>
      <c r="C1674" s="460" t="s">
        <v>3698</v>
      </c>
      <c r="D1674" s="4" t="s">
        <v>3695</v>
      </c>
      <c r="E1674" s="18" t="str">
        <f>VLOOKUP($C1674,'PPR FITTINGS'!$F$4:$I2469,3,0)</f>
        <v/>
      </c>
      <c r="F1674" s="523" t="s">
        <v>1088</v>
      </c>
      <c r="G1674" s="18">
        <f>VLOOKUP($C1674,'PPR FITTINGS'!$F$4:$I2469,2,0)</f>
        <v>67.1</v>
      </c>
      <c r="H1674" s="320"/>
      <c r="I1674" s="320"/>
      <c r="J1674" s="320"/>
      <c r="K1674" s="320"/>
      <c r="L1674" s="320"/>
      <c r="M1674" s="320"/>
      <c r="N1674" s="320"/>
      <c r="O1674" s="320"/>
    </row>
    <row r="1675">
      <c r="A1675" s="32">
        <f t="shared" si="1"/>
        <v>1674</v>
      </c>
      <c r="B1675" s="9" t="s">
        <v>3425</v>
      </c>
      <c r="C1675" s="460" t="s">
        <v>3699</v>
      </c>
      <c r="D1675" s="4" t="s">
        <v>3695</v>
      </c>
      <c r="E1675" s="18" t="str">
        <f>VLOOKUP($C1675,'PPR FITTINGS'!$F$4:$I2469,3,0)</f>
        <v/>
      </c>
      <c r="F1675" s="523" t="s">
        <v>1088</v>
      </c>
      <c r="G1675" s="18">
        <f>VLOOKUP($C1675,'PPR FITTINGS'!$F$4:$I2469,2,0)</f>
        <v>119.496</v>
      </c>
      <c r="H1675" s="320"/>
      <c r="I1675" s="320"/>
      <c r="J1675" s="320"/>
      <c r="K1675" s="320"/>
      <c r="L1675" s="320"/>
      <c r="M1675" s="320"/>
      <c r="N1675" s="320"/>
      <c r="O1675" s="320"/>
    </row>
    <row r="1676">
      <c r="A1676" s="32">
        <f t="shared" si="1"/>
        <v>1675</v>
      </c>
      <c r="B1676" s="9" t="s">
        <v>3425</v>
      </c>
      <c r="C1676" s="460" t="s">
        <v>3700</v>
      </c>
      <c r="D1676" s="4" t="s">
        <v>3695</v>
      </c>
      <c r="E1676" s="18" t="str">
        <f>VLOOKUP($C1676,'PPR FITTINGS'!$F$4:$I2469,3,0)</f>
        <v/>
      </c>
      <c r="F1676" s="523" t="s">
        <v>1088</v>
      </c>
      <c r="G1676" s="18">
        <f>VLOOKUP($C1676,'PPR FITTINGS'!$F$4:$I2469,2,0)</f>
        <v>268.3</v>
      </c>
      <c r="H1676" s="320"/>
      <c r="I1676" s="320"/>
      <c r="J1676" s="320"/>
      <c r="K1676" s="320"/>
      <c r="L1676" s="320"/>
      <c r="M1676" s="320"/>
      <c r="N1676" s="320"/>
      <c r="O1676" s="320"/>
    </row>
    <row r="1677">
      <c r="A1677" s="32">
        <f t="shared" si="1"/>
        <v>1676</v>
      </c>
      <c r="B1677" s="9" t="s">
        <v>3425</v>
      </c>
      <c r="C1677" s="460" t="s">
        <v>3701</v>
      </c>
      <c r="D1677" s="4" t="s">
        <v>3695</v>
      </c>
      <c r="E1677" s="18" t="str">
        <f>VLOOKUP($C1677,'PPR FITTINGS'!$F$4:$I2469,3,0)</f>
        <v/>
      </c>
      <c r="F1677" s="523" t="s">
        <v>1088</v>
      </c>
      <c r="G1677" s="18">
        <f>VLOOKUP($C1677,'PPR FITTINGS'!$F$4:$I2469,2,0)</f>
        <v>576.2</v>
      </c>
      <c r="H1677" s="320"/>
      <c r="I1677" s="320"/>
      <c r="J1677" s="320"/>
      <c r="K1677" s="320"/>
      <c r="L1677" s="320"/>
      <c r="M1677" s="320"/>
      <c r="N1677" s="320"/>
      <c r="O1677" s="320"/>
    </row>
    <row r="1678">
      <c r="A1678" s="32">
        <f t="shared" si="1"/>
        <v>1677</v>
      </c>
      <c r="B1678" s="9" t="s">
        <v>3425</v>
      </c>
      <c r="C1678" s="460" t="s">
        <v>3702</v>
      </c>
      <c r="D1678" s="4" t="s">
        <v>3695</v>
      </c>
      <c r="E1678" s="18" t="str">
        <f>VLOOKUP($C1678,'PPR FITTINGS'!$F$4:$I2469,3,0)</f>
        <v/>
      </c>
      <c r="F1678" s="523" t="s">
        <v>1088</v>
      </c>
      <c r="G1678" s="18">
        <f>VLOOKUP($C1678,'PPR FITTINGS'!$F$4:$I2469,2,0)</f>
        <v>752.9</v>
      </c>
      <c r="H1678" s="320"/>
      <c r="I1678" s="320"/>
      <c r="J1678" s="320"/>
      <c r="K1678" s="320"/>
      <c r="L1678" s="320"/>
      <c r="M1678" s="320"/>
      <c r="N1678" s="320"/>
      <c r="O1678" s="320"/>
    </row>
    <row r="1679">
      <c r="A1679" s="32">
        <f t="shared" si="1"/>
        <v>1678</v>
      </c>
      <c r="B1679" s="9" t="s">
        <v>3425</v>
      </c>
      <c r="C1679" s="460" t="s">
        <v>3703</v>
      </c>
      <c r="D1679" s="4" t="s">
        <v>3695</v>
      </c>
      <c r="E1679" s="18" t="str">
        <f>VLOOKUP($C1679,'PPR FITTINGS'!$F$4:$I2469,3,0)</f>
        <v/>
      </c>
      <c r="F1679" s="523" t="s">
        <v>1088</v>
      </c>
      <c r="G1679" s="18">
        <f>VLOOKUP($C1679,'PPR FITTINGS'!$F$4:$I2469,2,0)</f>
        <v>1322.9</v>
      </c>
      <c r="H1679" s="320"/>
      <c r="I1679" s="320"/>
      <c r="J1679" s="320"/>
      <c r="K1679" s="320"/>
      <c r="L1679" s="320"/>
      <c r="M1679" s="320"/>
      <c r="N1679" s="320"/>
      <c r="O1679" s="320"/>
    </row>
    <row r="1680">
      <c r="A1680" s="32">
        <f t="shared" si="1"/>
        <v>1679</v>
      </c>
      <c r="B1680" s="9" t="s">
        <v>3425</v>
      </c>
      <c r="C1680" s="460" t="s">
        <v>3704</v>
      </c>
      <c r="D1680" s="9" t="s">
        <v>3705</v>
      </c>
      <c r="E1680" s="18" t="str">
        <f>VLOOKUP($C1680,'PPR FITTINGS'!$F$4:$I2469,3,0)</f>
        <v/>
      </c>
      <c r="F1680" s="523" t="s">
        <v>1088</v>
      </c>
      <c r="G1680" s="18">
        <f>VLOOKUP($C1680,'PPR FITTINGS'!$F$4:$I2469,2,0)</f>
        <v>134.5</v>
      </c>
      <c r="H1680" s="320"/>
      <c r="I1680" s="320"/>
      <c r="J1680" s="320"/>
      <c r="K1680" s="320"/>
      <c r="L1680" s="320"/>
      <c r="M1680" s="320"/>
      <c r="N1680" s="320"/>
      <c r="O1680" s="320"/>
    </row>
    <row r="1681">
      <c r="A1681" s="32">
        <f t="shared" si="1"/>
        <v>1680</v>
      </c>
      <c r="B1681" s="9" t="s">
        <v>3425</v>
      </c>
      <c r="C1681" s="460" t="s">
        <v>3706</v>
      </c>
      <c r="D1681" s="9" t="s">
        <v>3705</v>
      </c>
      <c r="E1681" s="18" t="str">
        <f>VLOOKUP($C1681,'PPR FITTINGS'!$F$4:$I2469,3,0)</f>
        <v/>
      </c>
      <c r="F1681" s="523" t="s">
        <v>1088</v>
      </c>
      <c r="G1681" s="18">
        <f>VLOOKUP($C1681,'PPR FITTINGS'!$F$4:$I2469,2,0)</f>
        <v>169</v>
      </c>
      <c r="H1681" s="320"/>
      <c r="I1681" s="320"/>
      <c r="J1681" s="320"/>
      <c r="K1681" s="320"/>
      <c r="L1681" s="320"/>
      <c r="M1681" s="320"/>
      <c r="N1681" s="320"/>
      <c r="O1681" s="320"/>
    </row>
    <row r="1682">
      <c r="A1682" s="32">
        <f t="shared" si="1"/>
        <v>1681</v>
      </c>
      <c r="B1682" s="9" t="s">
        <v>3425</v>
      </c>
      <c r="C1682" s="460" t="s">
        <v>3707</v>
      </c>
      <c r="D1682" s="9" t="s">
        <v>3705</v>
      </c>
      <c r="E1682" s="18" t="str">
        <f>VLOOKUP($C1682,'PPR FITTINGS'!$F$4:$I2469,3,0)</f>
        <v/>
      </c>
      <c r="F1682" s="523" t="s">
        <v>1088</v>
      </c>
      <c r="G1682" s="18">
        <f>VLOOKUP($C1682,'PPR FITTINGS'!$F$4:$I2469,2,0)</f>
        <v>190.1</v>
      </c>
      <c r="H1682" s="320"/>
      <c r="I1682" s="320"/>
      <c r="J1682" s="320"/>
      <c r="K1682" s="320"/>
      <c r="L1682" s="320"/>
      <c r="M1682" s="320"/>
      <c r="N1682" s="320"/>
      <c r="O1682" s="320"/>
    </row>
    <row r="1683">
      <c r="A1683" s="32">
        <f t="shared" si="1"/>
        <v>1682</v>
      </c>
      <c r="B1683" s="9" t="s">
        <v>3425</v>
      </c>
      <c r="C1683" s="460" t="s">
        <v>3708</v>
      </c>
      <c r="D1683" s="9" t="s">
        <v>3705</v>
      </c>
      <c r="E1683" s="18" t="str">
        <f>VLOOKUP($C1683,'PPR FITTINGS'!$F$4:$I2469,3,0)</f>
        <v/>
      </c>
      <c r="F1683" s="523" t="s">
        <v>1088</v>
      </c>
      <c r="G1683" s="18">
        <f>VLOOKUP($C1683,'PPR FITTINGS'!$F$4:$I2469,2,0)</f>
        <v>0</v>
      </c>
      <c r="H1683" s="320"/>
      <c r="I1683" s="320"/>
      <c r="J1683" s="320"/>
      <c r="K1683" s="320"/>
      <c r="L1683" s="320"/>
      <c r="M1683" s="320"/>
      <c r="N1683" s="320"/>
      <c r="O1683" s="320"/>
    </row>
    <row r="1684">
      <c r="A1684" s="32">
        <f t="shared" si="1"/>
        <v>1683</v>
      </c>
      <c r="B1684" s="9" t="s">
        <v>3425</v>
      </c>
      <c r="C1684" s="460" t="s">
        <v>3709</v>
      </c>
      <c r="D1684" s="4" t="s">
        <v>3710</v>
      </c>
      <c r="E1684" s="18" t="str">
        <f>VLOOKUP($C1684,'PPR FITTINGS'!$F$4:$I2469,3,0)</f>
        <v/>
      </c>
      <c r="F1684" s="523" t="s">
        <v>1088</v>
      </c>
      <c r="G1684" s="18">
        <f>VLOOKUP($C1684,'PPR FITTINGS'!$F$4:$I2469,2,0)</f>
        <v>20.4</v>
      </c>
      <c r="H1684" s="320"/>
      <c r="I1684" s="320"/>
      <c r="J1684" s="320"/>
      <c r="K1684" s="320"/>
      <c r="L1684" s="320"/>
      <c r="M1684" s="320"/>
      <c r="N1684" s="320"/>
      <c r="O1684" s="320"/>
    </row>
    <row r="1685">
      <c r="A1685" s="32">
        <f t="shared" si="1"/>
        <v>1684</v>
      </c>
      <c r="B1685" s="9" t="s">
        <v>3425</v>
      </c>
      <c r="C1685" s="460" t="s">
        <v>3711</v>
      </c>
      <c r="D1685" s="4" t="s">
        <v>3710</v>
      </c>
      <c r="E1685" s="18" t="str">
        <f>VLOOKUP($C1685,'PPR FITTINGS'!$F$4:$I2469,3,0)</f>
        <v/>
      </c>
      <c r="F1685" s="523" t="s">
        <v>1088</v>
      </c>
      <c r="G1685" s="18">
        <f>VLOOKUP($C1685,'PPR FITTINGS'!$F$4:$I2469,2,0)</f>
        <v>37.7</v>
      </c>
      <c r="H1685" s="320"/>
      <c r="I1685" s="320"/>
      <c r="J1685" s="320"/>
      <c r="K1685" s="320"/>
      <c r="L1685" s="320"/>
      <c r="M1685" s="320"/>
      <c r="N1685" s="320"/>
      <c r="O1685" s="320"/>
    </row>
    <row r="1686">
      <c r="A1686" s="32">
        <f t="shared" si="1"/>
        <v>1685</v>
      </c>
      <c r="B1686" s="9" t="s">
        <v>3425</v>
      </c>
      <c r="C1686" s="460" t="s">
        <v>3712</v>
      </c>
      <c r="D1686" s="4" t="s">
        <v>3710</v>
      </c>
      <c r="E1686" s="18" t="str">
        <f>VLOOKUP($C1686,'PPR FITTINGS'!$F$4:$I2469,3,0)</f>
        <v/>
      </c>
      <c r="F1686" s="523" t="s">
        <v>1088</v>
      </c>
      <c r="G1686" s="18">
        <f>VLOOKUP($C1686,'PPR FITTINGS'!$F$4:$I2469,2,0)</f>
        <v>60.9</v>
      </c>
      <c r="H1686" s="320"/>
      <c r="I1686" s="320"/>
      <c r="J1686" s="320"/>
      <c r="K1686" s="320"/>
      <c r="L1686" s="320"/>
      <c r="M1686" s="320"/>
      <c r="N1686" s="320"/>
      <c r="O1686" s="320"/>
    </row>
    <row r="1687">
      <c r="A1687" s="32">
        <f t="shared" si="1"/>
        <v>1686</v>
      </c>
      <c r="B1687" s="9" t="s">
        <v>3425</v>
      </c>
      <c r="C1687" s="460" t="s">
        <v>3713</v>
      </c>
      <c r="D1687" s="4" t="s">
        <v>3710</v>
      </c>
      <c r="E1687" s="18" t="str">
        <f>VLOOKUP($C1687,'PPR FITTINGS'!$F$4:$I2469,3,0)</f>
        <v/>
      </c>
      <c r="F1687" s="523" t="s">
        <v>1088</v>
      </c>
      <c r="G1687" s="18">
        <f>VLOOKUP($C1687,'PPR FITTINGS'!$F$4:$I2469,2,0)</f>
        <v>88.4</v>
      </c>
      <c r="H1687" s="320"/>
      <c r="I1687" s="320"/>
      <c r="J1687" s="320"/>
      <c r="K1687" s="320"/>
      <c r="L1687" s="320"/>
      <c r="M1687" s="320"/>
      <c r="N1687" s="320"/>
      <c r="O1687" s="320"/>
    </row>
    <row r="1688">
      <c r="A1688" s="32">
        <f t="shared" si="1"/>
        <v>1687</v>
      </c>
      <c r="B1688" s="9" t="s">
        <v>3425</v>
      </c>
      <c r="C1688" s="460" t="s">
        <v>3714</v>
      </c>
      <c r="D1688" s="4" t="s">
        <v>3710</v>
      </c>
      <c r="E1688" s="18" t="str">
        <f>VLOOKUP($C1688,'PPR FITTINGS'!$F$4:$I2469,3,0)</f>
        <v/>
      </c>
      <c r="F1688" s="523" t="s">
        <v>1088</v>
      </c>
      <c r="G1688" s="18">
        <f>VLOOKUP($C1688,'PPR FITTINGS'!$F$4:$I2469,2,0)</f>
        <v>176.8</v>
      </c>
      <c r="H1688" s="320"/>
      <c r="I1688" s="320"/>
      <c r="J1688" s="320"/>
      <c r="K1688" s="320"/>
      <c r="L1688" s="320"/>
      <c r="M1688" s="320"/>
      <c r="N1688" s="320"/>
      <c r="O1688" s="320"/>
    </row>
    <row r="1689">
      <c r="A1689" s="32">
        <f t="shared" si="1"/>
        <v>1688</v>
      </c>
      <c r="B1689" s="9" t="s">
        <v>3425</v>
      </c>
      <c r="C1689" s="460" t="s">
        <v>3715</v>
      </c>
      <c r="D1689" s="4" t="s">
        <v>3710</v>
      </c>
      <c r="E1689" s="18" t="str">
        <f>VLOOKUP($C1689,'PPR FITTINGS'!$F$4:$I2469,3,0)</f>
        <v/>
      </c>
      <c r="F1689" s="523" t="s">
        <v>1088</v>
      </c>
      <c r="G1689" s="18">
        <f>VLOOKUP($C1689,'PPR FITTINGS'!$F$4:$I2469,2,0)</f>
        <v>388.9</v>
      </c>
      <c r="H1689" s="320"/>
      <c r="I1689" s="320"/>
      <c r="J1689" s="320"/>
      <c r="K1689" s="320"/>
      <c r="L1689" s="320"/>
      <c r="M1689" s="320"/>
      <c r="N1689" s="320"/>
      <c r="O1689" s="320"/>
    </row>
    <row r="1690">
      <c r="A1690" s="32">
        <f t="shared" si="1"/>
        <v>1689</v>
      </c>
      <c r="B1690" s="9" t="s">
        <v>3425</v>
      </c>
      <c r="C1690" s="460" t="s">
        <v>3716</v>
      </c>
      <c r="D1690" s="4" t="s">
        <v>3710</v>
      </c>
      <c r="E1690" s="18" t="str">
        <f>VLOOKUP($C1690,'PPR FITTINGS'!$F$4:$I2469,3,0)</f>
        <v/>
      </c>
      <c r="F1690" s="523" t="s">
        <v>1088</v>
      </c>
      <c r="G1690" s="18">
        <f>VLOOKUP($C1690,'PPR FITTINGS'!$F$4:$I2469,2,0)</f>
        <v>742.6</v>
      </c>
      <c r="H1690" s="320"/>
      <c r="I1690" s="320"/>
      <c r="J1690" s="320"/>
      <c r="K1690" s="320"/>
      <c r="L1690" s="320"/>
      <c r="M1690" s="320"/>
      <c r="N1690" s="320"/>
      <c r="O1690" s="320"/>
    </row>
    <row r="1691">
      <c r="A1691" s="32">
        <f t="shared" si="1"/>
        <v>1690</v>
      </c>
      <c r="B1691" s="9" t="s">
        <v>3425</v>
      </c>
      <c r="C1691" s="460" t="s">
        <v>3717</v>
      </c>
      <c r="D1691" s="4" t="s">
        <v>3710</v>
      </c>
      <c r="E1691" s="18" t="str">
        <f>VLOOKUP($C1691,'PPR FITTINGS'!$F$4:$I2469,3,0)</f>
        <v/>
      </c>
      <c r="F1691" s="523" t="s">
        <v>1088</v>
      </c>
      <c r="G1691" s="18">
        <f>VLOOKUP($C1691,'PPR FITTINGS'!$F$4:$I2469,2,0)</f>
        <v>985.9</v>
      </c>
      <c r="H1691" s="320"/>
      <c r="I1691" s="320"/>
      <c r="J1691" s="320"/>
      <c r="K1691" s="320"/>
      <c r="L1691" s="320"/>
      <c r="M1691" s="320"/>
      <c r="N1691" s="320"/>
      <c r="O1691" s="320"/>
    </row>
    <row r="1692">
      <c r="A1692" s="32">
        <f t="shared" si="1"/>
        <v>1691</v>
      </c>
      <c r="B1692" s="9" t="s">
        <v>3425</v>
      </c>
      <c r="C1692" s="460" t="s">
        <v>3718</v>
      </c>
      <c r="D1692" s="4" t="s">
        <v>3710</v>
      </c>
      <c r="E1692" s="18" t="str">
        <f>VLOOKUP($C1692,'PPR FITTINGS'!$F$4:$I2469,3,0)</f>
        <v/>
      </c>
      <c r="F1692" s="523" t="s">
        <v>1088</v>
      </c>
      <c r="G1692" s="18">
        <f>VLOOKUP($C1692,'PPR FITTINGS'!$F$4:$I2469,2,0)</f>
        <v>1537.1</v>
      </c>
      <c r="H1692" s="320"/>
      <c r="I1692" s="320"/>
      <c r="J1692" s="320"/>
      <c r="K1692" s="320"/>
      <c r="L1692" s="320"/>
      <c r="M1692" s="320"/>
      <c r="N1692" s="320"/>
      <c r="O1692" s="320"/>
    </row>
    <row r="1693">
      <c r="A1693" s="32">
        <f t="shared" si="1"/>
        <v>1692</v>
      </c>
      <c r="B1693" s="9" t="s">
        <v>3425</v>
      </c>
      <c r="C1693" s="460" t="s">
        <v>3719</v>
      </c>
      <c r="D1693" s="4" t="s">
        <v>3720</v>
      </c>
      <c r="E1693" s="18" t="str">
        <f>VLOOKUP($C1693,'PPR FITTINGS'!$F$4:$I2469,3,0)</f>
        <v/>
      </c>
      <c r="F1693" s="523" t="s">
        <v>1088</v>
      </c>
      <c r="G1693" s="18">
        <f>VLOOKUP($C1693,'PPR FITTINGS'!$F$4:$I2469,2,0)</f>
        <v>36.6</v>
      </c>
      <c r="H1693" s="320"/>
      <c r="I1693" s="320"/>
      <c r="J1693" s="320"/>
      <c r="K1693" s="320"/>
      <c r="L1693" s="320"/>
      <c r="M1693" s="320"/>
      <c r="N1693" s="320"/>
      <c r="O1693" s="320"/>
    </row>
    <row r="1694">
      <c r="A1694" s="32">
        <f t="shared" si="1"/>
        <v>1693</v>
      </c>
      <c r="B1694" s="9" t="s">
        <v>3425</v>
      </c>
      <c r="C1694" s="460" t="s">
        <v>3721</v>
      </c>
      <c r="D1694" s="4" t="s">
        <v>3720</v>
      </c>
      <c r="E1694" s="18" t="str">
        <f>VLOOKUP($C1694,'PPR FITTINGS'!$F$4:$I2469,3,0)</f>
        <v/>
      </c>
      <c r="F1694" s="523" t="s">
        <v>1088</v>
      </c>
      <c r="G1694" s="18">
        <f>VLOOKUP($C1694,'PPR FITTINGS'!$F$4:$I2469,2,0)</f>
        <v>62</v>
      </c>
      <c r="H1694" s="320"/>
      <c r="I1694" s="320"/>
      <c r="J1694" s="320"/>
      <c r="K1694" s="320"/>
      <c r="L1694" s="320"/>
      <c r="M1694" s="320"/>
      <c r="N1694" s="320"/>
      <c r="O1694" s="320"/>
    </row>
    <row r="1695">
      <c r="A1695" s="32">
        <f t="shared" si="1"/>
        <v>1694</v>
      </c>
      <c r="B1695" s="9" t="s">
        <v>3425</v>
      </c>
      <c r="C1695" s="460" t="s">
        <v>3723</v>
      </c>
      <c r="D1695" s="4" t="s">
        <v>3720</v>
      </c>
      <c r="E1695" s="18" t="str">
        <f>VLOOKUP($C1695,'PPR FITTINGS'!$F$4:$I2469,3,0)</f>
        <v/>
      </c>
      <c r="F1695" s="523" t="s">
        <v>1088</v>
      </c>
      <c r="G1695" s="18">
        <f>VLOOKUP($C1695,'PPR FITTINGS'!$F$4:$I2469,2,0)</f>
        <v>63.1</v>
      </c>
      <c r="H1695" s="320"/>
      <c r="I1695" s="320"/>
      <c r="J1695" s="320"/>
      <c r="K1695" s="320"/>
      <c r="L1695" s="320"/>
      <c r="M1695" s="320"/>
      <c r="N1695" s="320"/>
      <c r="O1695" s="320"/>
    </row>
    <row r="1696">
      <c r="A1696" s="32">
        <f t="shared" si="1"/>
        <v>1695</v>
      </c>
      <c r="B1696" s="9" t="s">
        <v>3425</v>
      </c>
      <c r="C1696" s="460" t="s">
        <v>3724</v>
      </c>
      <c r="D1696" s="4" t="s">
        <v>3720</v>
      </c>
      <c r="E1696" s="18" t="str">
        <f>VLOOKUP($C1696,'PPR FITTINGS'!$F$4:$I2469,3,0)</f>
        <v/>
      </c>
      <c r="F1696" s="523" t="s">
        <v>1088</v>
      </c>
      <c r="G1696" s="18">
        <f>VLOOKUP($C1696,'PPR FITTINGS'!$F$4:$I2469,2,0)</f>
        <v>82.8</v>
      </c>
      <c r="H1696" s="320"/>
      <c r="I1696" s="320"/>
      <c r="J1696" s="320"/>
      <c r="K1696" s="320"/>
      <c r="L1696" s="320"/>
      <c r="M1696" s="320"/>
      <c r="N1696" s="320"/>
      <c r="O1696" s="320"/>
    </row>
    <row r="1697">
      <c r="A1697" s="32">
        <f t="shared" si="1"/>
        <v>1696</v>
      </c>
      <c r="B1697" s="9" t="s">
        <v>3425</v>
      </c>
      <c r="C1697" s="460" t="s">
        <v>3725</v>
      </c>
      <c r="D1697" s="4" t="s">
        <v>3720</v>
      </c>
      <c r="E1697" s="18" t="str">
        <f>VLOOKUP($C1697,'PPR FITTINGS'!$F$4:$I2469,3,0)</f>
        <v/>
      </c>
      <c r="F1697" s="523" t="s">
        <v>1088</v>
      </c>
      <c r="G1697" s="18">
        <f>VLOOKUP($C1697,'PPR FITTINGS'!$F$4:$I2469,2,0)</f>
        <v>86.3</v>
      </c>
      <c r="H1697" s="320"/>
      <c r="I1697" s="320"/>
      <c r="J1697" s="320"/>
      <c r="K1697" s="320"/>
      <c r="L1697" s="320"/>
      <c r="M1697" s="320"/>
      <c r="N1697" s="320"/>
      <c r="O1697" s="320"/>
    </row>
    <row r="1698">
      <c r="A1698" s="32">
        <f t="shared" si="1"/>
        <v>1697</v>
      </c>
      <c r="B1698" s="9" t="s">
        <v>3425</v>
      </c>
      <c r="C1698" s="460" t="s">
        <v>3726</v>
      </c>
      <c r="D1698" s="4" t="s">
        <v>3720</v>
      </c>
      <c r="E1698" s="18" t="str">
        <f>VLOOKUP($C1698,'PPR FITTINGS'!$F$4:$I2469,3,0)</f>
        <v/>
      </c>
      <c r="F1698" s="523" t="s">
        <v>1088</v>
      </c>
      <c r="G1698" s="18">
        <f>VLOOKUP($C1698,'PPR FITTINGS'!$F$4:$I2469,2,0)</f>
        <v>88.2</v>
      </c>
      <c r="H1698" s="320"/>
      <c r="I1698" s="320"/>
      <c r="J1698" s="320"/>
      <c r="K1698" s="320"/>
      <c r="L1698" s="320"/>
      <c r="M1698" s="320"/>
      <c r="N1698" s="320"/>
      <c r="O1698" s="320"/>
    </row>
    <row r="1699">
      <c r="A1699" s="32">
        <f t="shared" si="1"/>
        <v>1698</v>
      </c>
      <c r="B1699" s="9" t="s">
        <v>3425</v>
      </c>
      <c r="C1699" s="460" t="s">
        <v>3727</v>
      </c>
      <c r="D1699" s="4" t="s">
        <v>3720</v>
      </c>
      <c r="E1699" s="18" t="str">
        <f>VLOOKUP($C1699,'PPR FITTINGS'!$F$4:$I2469,3,0)</f>
        <v/>
      </c>
      <c r="F1699" s="523" t="s">
        <v>1088</v>
      </c>
      <c r="G1699" s="18">
        <f>VLOOKUP($C1699,'PPR FITTINGS'!$F$4:$I2469,2,0)</f>
        <v>160.6</v>
      </c>
      <c r="H1699" s="320"/>
      <c r="I1699" s="320"/>
      <c r="J1699" s="320"/>
      <c r="K1699" s="320"/>
      <c r="L1699" s="320"/>
      <c r="M1699" s="320"/>
      <c r="N1699" s="320"/>
      <c r="O1699" s="320"/>
    </row>
    <row r="1700">
      <c r="A1700" s="32">
        <f t="shared" si="1"/>
        <v>1699</v>
      </c>
      <c r="B1700" s="9" t="s">
        <v>3425</v>
      </c>
      <c r="C1700" s="460" t="s">
        <v>3728</v>
      </c>
      <c r="D1700" s="4" t="s">
        <v>3720</v>
      </c>
      <c r="E1700" s="18" t="str">
        <f>VLOOKUP($C1700,'PPR FITTINGS'!$F$4:$I2469,3,0)</f>
        <v/>
      </c>
      <c r="F1700" s="523" t="s">
        <v>1088</v>
      </c>
      <c r="G1700" s="18">
        <f>VLOOKUP($C1700,'PPR FITTINGS'!$F$4:$I2469,2,0)</f>
        <v>165.9</v>
      </c>
      <c r="H1700" s="320"/>
      <c r="I1700" s="320"/>
      <c r="J1700" s="320"/>
      <c r="K1700" s="320"/>
      <c r="L1700" s="320"/>
      <c r="M1700" s="320"/>
      <c r="N1700" s="320"/>
      <c r="O1700" s="320"/>
    </row>
    <row r="1701">
      <c r="A1701" s="32">
        <f t="shared" si="1"/>
        <v>1700</v>
      </c>
      <c r="B1701" s="9" t="s">
        <v>3425</v>
      </c>
      <c r="C1701" s="460" t="s">
        <v>3730</v>
      </c>
      <c r="D1701" s="4" t="s">
        <v>3720</v>
      </c>
      <c r="E1701" s="18" t="str">
        <f>VLOOKUP($C1701,'PPR FITTINGS'!$F$4:$I2469,3,0)</f>
        <v/>
      </c>
      <c r="F1701" s="523" t="s">
        <v>1088</v>
      </c>
      <c r="G1701" s="18">
        <f>VLOOKUP($C1701,'PPR FITTINGS'!$F$4:$I2469,2,0)</f>
        <v>167.7</v>
      </c>
      <c r="H1701" s="320"/>
      <c r="I1701" s="320"/>
      <c r="J1701" s="320"/>
      <c r="K1701" s="320"/>
      <c r="L1701" s="320"/>
      <c r="M1701" s="320"/>
      <c r="N1701" s="320"/>
      <c r="O1701" s="320"/>
    </row>
    <row r="1702">
      <c r="A1702" s="32">
        <f t="shared" si="1"/>
        <v>1701</v>
      </c>
      <c r="B1702" s="9" t="s">
        <v>3425</v>
      </c>
      <c r="C1702" s="460" t="s">
        <v>3732</v>
      </c>
      <c r="D1702" s="4" t="s">
        <v>3720</v>
      </c>
      <c r="E1702" s="18" t="str">
        <f>VLOOKUP($C1702,'PPR FITTINGS'!$F$4:$I2469,3,0)</f>
        <v/>
      </c>
      <c r="F1702" s="523" t="s">
        <v>1088</v>
      </c>
      <c r="G1702" s="18">
        <f>VLOOKUP($C1702,'PPR FITTINGS'!$F$4:$I2469,2,0)</f>
        <v>168.9</v>
      </c>
      <c r="H1702" s="320"/>
      <c r="I1702" s="320"/>
      <c r="J1702" s="320"/>
      <c r="K1702" s="320"/>
      <c r="L1702" s="320"/>
      <c r="M1702" s="320"/>
      <c r="N1702" s="320"/>
      <c r="O1702" s="320"/>
    </row>
    <row r="1703">
      <c r="A1703" s="32">
        <f t="shared" si="1"/>
        <v>1702</v>
      </c>
      <c r="B1703" s="9" t="s">
        <v>3425</v>
      </c>
      <c r="C1703" s="460" t="s">
        <v>3734</v>
      </c>
      <c r="D1703" s="4" t="s">
        <v>3720</v>
      </c>
      <c r="E1703" s="18" t="str">
        <f>VLOOKUP($C1703,'PPR FITTINGS'!$F$4:$I2469,3,0)</f>
        <v/>
      </c>
      <c r="F1703" s="523" t="s">
        <v>1088</v>
      </c>
      <c r="G1703" s="18">
        <f>VLOOKUP($C1703,'PPR FITTINGS'!$F$4:$I2469,2,0)</f>
        <v>330.7</v>
      </c>
      <c r="H1703" s="320"/>
      <c r="I1703" s="320"/>
      <c r="J1703" s="320"/>
      <c r="K1703" s="320"/>
      <c r="L1703" s="320"/>
      <c r="M1703" s="320"/>
      <c r="N1703" s="320"/>
      <c r="O1703" s="320"/>
    </row>
    <row r="1704">
      <c r="A1704" s="32">
        <f t="shared" si="1"/>
        <v>1703</v>
      </c>
      <c r="B1704" s="9" t="s">
        <v>3425</v>
      </c>
      <c r="C1704" s="460" t="s">
        <v>3735</v>
      </c>
      <c r="D1704" s="4" t="s">
        <v>3720</v>
      </c>
      <c r="E1704" s="18" t="str">
        <f>VLOOKUP($C1704,'PPR FITTINGS'!$F$4:$I2469,3,0)</f>
        <v/>
      </c>
      <c r="F1704" s="523" t="s">
        <v>1088</v>
      </c>
      <c r="G1704" s="18">
        <f>VLOOKUP($C1704,'PPR FITTINGS'!$F$4:$I2469,2,0)</f>
        <v>336.9</v>
      </c>
      <c r="H1704" s="320"/>
      <c r="I1704" s="320"/>
      <c r="J1704" s="320"/>
      <c r="K1704" s="320"/>
      <c r="L1704" s="320"/>
      <c r="M1704" s="320"/>
      <c r="N1704" s="320"/>
      <c r="O1704" s="320"/>
    </row>
    <row r="1705">
      <c r="A1705" s="32">
        <f t="shared" si="1"/>
        <v>1704</v>
      </c>
      <c r="B1705" s="9" t="s">
        <v>3425</v>
      </c>
      <c r="C1705" s="460" t="s">
        <v>3736</v>
      </c>
      <c r="D1705" s="4" t="s">
        <v>3720</v>
      </c>
      <c r="E1705" s="18" t="str">
        <f>VLOOKUP($C1705,'PPR FITTINGS'!$F$4:$I2469,3,0)</f>
        <v/>
      </c>
      <c r="F1705" s="523" t="s">
        <v>1088</v>
      </c>
      <c r="G1705" s="18">
        <f>VLOOKUP($C1705,'PPR FITTINGS'!$F$4:$I2469,2,0)</f>
        <v>341.1</v>
      </c>
      <c r="H1705" s="320"/>
      <c r="I1705" s="320"/>
      <c r="J1705" s="320"/>
      <c r="K1705" s="320"/>
      <c r="L1705" s="320"/>
      <c r="M1705" s="320"/>
      <c r="N1705" s="320"/>
      <c r="O1705" s="320"/>
    </row>
    <row r="1706">
      <c r="A1706" s="32">
        <f t="shared" si="1"/>
        <v>1705</v>
      </c>
      <c r="B1706" s="9" t="s">
        <v>3425</v>
      </c>
      <c r="C1706" s="460" t="s">
        <v>3737</v>
      </c>
      <c r="D1706" s="4" t="s">
        <v>3720</v>
      </c>
      <c r="E1706" s="18" t="str">
        <f>VLOOKUP($C1706,'PPR FITTINGS'!$F$4:$I2469,3,0)</f>
        <v/>
      </c>
      <c r="F1706" s="523" t="s">
        <v>1088</v>
      </c>
      <c r="G1706" s="18">
        <f>VLOOKUP($C1706,'PPR FITTINGS'!$F$4:$I2469,2,0)</f>
        <v>355.7</v>
      </c>
      <c r="H1706" s="320"/>
      <c r="I1706" s="320"/>
      <c r="J1706" s="320"/>
      <c r="K1706" s="320"/>
      <c r="L1706" s="320"/>
      <c r="M1706" s="320"/>
      <c r="N1706" s="320"/>
      <c r="O1706" s="320"/>
    </row>
    <row r="1707">
      <c r="A1707" s="32">
        <f t="shared" si="1"/>
        <v>1706</v>
      </c>
      <c r="B1707" s="9" t="s">
        <v>3425</v>
      </c>
      <c r="C1707" s="460" t="s">
        <v>3738</v>
      </c>
      <c r="D1707" s="4" t="s">
        <v>3739</v>
      </c>
      <c r="E1707" s="18" t="str">
        <f>VLOOKUP($C1707,'PPR FITTINGS'!$F$4:$I2469,3,0)</f>
        <v/>
      </c>
      <c r="F1707" s="523" t="s">
        <v>1088</v>
      </c>
      <c r="G1707" s="18">
        <f>VLOOKUP($C1707,'PPR FITTINGS'!$F$4:$I2469,2,0)</f>
        <v>148.304</v>
      </c>
      <c r="H1707" s="320"/>
      <c r="I1707" s="320"/>
      <c r="J1707" s="320"/>
      <c r="K1707" s="320"/>
      <c r="L1707" s="320"/>
      <c r="M1707" s="320"/>
      <c r="N1707" s="320"/>
      <c r="O1707" s="320"/>
    </row>
    <row r="1708">
      <c r="A1708" s="32">
        <f t="shared" si="1"/>
        <v>1707</v>
      </c>
      <c r="B1708" s="9" t="s">
        <v>3425</v>
      </c>
      <c r="C1708" s="460" t="s">
        <v>3740</v>
      </c>
      <c r="D1708" s="4" t="s">
        <v>3739</v>
      </c>
      <c r="E1708" s="18" t="str">
        <f>VLOOKUP($C1708,'PPR FITTINGS'!$F$4:$I2469,3,0)</f>
        <v/>
      </c>
      <c r="F1708" s="523" t="s">
        <v>1088</v>
      </c>
      <c r="G1708" s="18">
        <f>VLOOKUP($C1708,'PPR FITTINGS'!$F$4:$I2469,2,0)</f>
        <v>163.8</v>
      </c>
      <c r="H1708" s="320"/>
      <c r="I1708" s="320"/>
      <c r="J1708" s="320"/>
      <c r="K1708" s="320"/>
      <c r="L1708" s="320"/>
      <c r="M1708" s="320"/>
      <c r="N1708" s="320"/>
      <c r="O1708" s="320"/>
    </row>
    <row r="1709">
      <c r="A1709" s="32">
        <f t="shared" si="1"/>
        <v>1708</v>
      </c>
      <c r="B1709" s="9" t="s">
        <v>3425</v>
      </c>
      <c r="C1709" s="460" t="s">
        <v>3741</v>
      </c>
      <c r="D1709" s="4" t="s">
        <v>3739</v>
      </c>
      <c r="E1709" s="18" t="str">
        <f>VLOOKUP($C1709,'PPR FITTINGS'!$F$4:$I2469,3,0)</f>
        <v/>
      </c>
      <c r="F1709" s="523" t="s">
        <v>1088</v>
      </c>
      <c r="G1709" s="18">
        <f>VLOOKUP($C1709,'PPR FITTINGS'!$F$4:$I2469,2,0)</f>
        <v>191.4</v>
      </c>
      <c r="H1709" s="320"/>
      <c r="I1709" s="320"/>
      <c r="J1709" s="320"/>
      <c r="K1709" s="320"/>
      <c r="L1709" s="320"/>
      <c r="M1709" s="320"/>
      <c r="N1709" s="320"/>
      <c r="O1709" s="320"/>
    </row>
    <row r="1710">
      <c r="A1710" s="32">
        <f t="shared" si="1"/>
        <v>1709</v>
      </c>
      <c r="B1710" s="9" t="s">
        <v>3425</v>
      </c>
      <c r="C1710" s="460" t="s">
        <v>3742</v>
      </c>
      <c r="D1710" s="4" t="s">
        <v>3739</v>
      </c>
      <c r="E1710" s="18" t="str">
        <f>VLOOKUP($C1710,'PPR FITTINGS'!$F$4:$I2469,3,0)</f>
        <v/>
      </c>
      <c r="F1710" s="523" t="s">
        <v>1088</v>
      </c>
      <c r="G1710" s="18">
        <f>VLOOKUP($C1710,'PPR FITTINGS'!$F$4:$I2469,2,0)</f>
        <v>201.8</v>
      </c>
      <c r="H1710" s="320"/>
      <c r="I1710" s="320"/>
      <c r="J1710" s="320"/>
      <c r="K1710" s="320"/>
      <c r="L1710" s="320"/>
      <c r="M1710" s="320"/>
      <c r="N1710" s="320"/>
      <c r="O1710" s="320"/>
    </row>
    <row r="1711">
      <c r="A1711" s="32">
        <f t="shared" si="1"/>
        <v>1710</v>
      </c>
      <c r="B1711" s="9" t="s">
        <v>3425</v>
      </c>
      <c r="C1711" s="460" t="s">
        <v>3743</v>
      </c>
      <c r="D1711" s="4" t="s">
        <v>3739</v>
      </c>
      <c r="E1711" s="18" t="str">
        <f>VLOOKUP($C1711,'PPR FITTINGS'!$F$4:$I2469,3,0)</f>
        <v/>
      </c>
      <c r="F1711" s="523" t="s">
        <v>1088</v>
      </c>
      <c r="G1711" s="18">
        <f>VLOOKUP($C1711,'PPR FITTINGS'!$F$4:$I2469,2,0)</f>
        <v>0</v>
      </c>
      <c r="H1711" s="320"/>
      <c r="I1711" s="320"/>
      <c r="J1711" s="320"/>
      <c r="K1711" s="320"/>
      <c r="L1711" s="320"/>
      <c r="M1711" s="320"/>
      <c r="N1711" s="320"/>
      <c r="O1711" s="320"/>
    </row>
    <row r="1712">
      <c r="A1712" s="32">
        <f t="shared" si="1"/>
        <v>1711</v>
      </c>
      <c r="B1712" s="9" t="s">
        <v>3425</v>
      </c>
      <c r="C1712" s="460" t="s">
        <v>3744</v>
      </c>
      <c r="D1712" s="4" t="s">
        <v>3745</v>
      </c>
      <c r="E1712" s="18" t="str">
        <f>VLOOKUP($C1712,'PPR FITTINGS'!$F$4:$I2469,3,0)</f>
        <v/>
      </c>
      <c r="F1712" s="523" t="s">
        <v>1088</v>
      </c>
      <c r="G1712" s="18">
        <f>VLOOKUP($C1712,'PPR FITTINGS'!$F$4:$I2469,2,0)</f>
        <v>142.3</v>
      </c>
      <c r="H1712" s="320"/>
      <c r="I1712" s="320"/>
      <c r="J1712" s="320"/>
      <c r="K1712" s="320"/>
      <c r="L1712" s="320"/>
      <c r="M1712" s="320"/>
      <c r="N1712" s="320"/>
      <c r="O1712" s="320"/>
    </row>
    <row r="1713">
      <c r="A1713" s="32">
        <f t="shared" si="1"/>
        <v>1712</v>
      </c>
      <c r="B1713" s="9" t="s">
        <v>3425</v>
      </c>
      <c r="C1713" s="460" t="s">
        <v>3746</v>
      </c>
      <c r="D1713" s="4" t="s">
        <v>3745</v>
      </c>
      <c r="E1713" s="18" t="str">
        <f>VLOOKUP($C1713,'PPR FITTINGS'!$F$4:$I2469,3,0)</f>
        <v/>
      </c>
      <c r="F1713" s="523" t="s">
        <v>1088</v>
      </c>
      <c r="G1713" s="18">
        <f>VLOOKUP($C1713,'PPR FITTINGS'!$F$4:$I2469,2,0)</f>
        <v>155.6</v>
      </c>
      <c r="H1713" s="320"/>
      <c r="I1713" s="320"/>
      <c r="J1713" s="320"/>
      <c r="K1713" s="320"/>
      <c r="L1713" s="320"/>
      <c r="M1713" s="320"/>
      <c r="N1713" s="320"/>
      <c r="O1713" s="320"/>
    </row>
    <row r="1714">
      <c r="A1714" s="32">
        <f t="shared" si="1"/>
        <v>1713</v>
      </c>
      <c r="B1714" s="9" t="s">
        <v>3425</v>
      </c>
      <c r="C1714" s="460" t="s">
        <v>3747</v>
      </c>
      <c r="D1714" s="4" t="s">
        <v>3745</v>
      </c>
      <c r="E1714" s="18" t="str">
        <f>VLOOKUP($C1714,'PPR FITTINGS'!$F$4:$I2469,3,0)</f>
        <v/>
      </c>
      <c r="F1714" s="523" t="s">
        <v>1088</v>
      </c>
      <c r="G1714" s="18">
        <f>VLOOKUP($C1714,'PPR FITTINGS'!$F$4:$I2469,2,0)</f>
        <v>290.6</v>
      </c>
      <c r="H1714" s="320"/>
      <c r="I1714" s="320"/>
      <c r="J1714" s="320"/>
      <c r="K1714" s="320"/>
      <c r="L1714" s="320"/>
      <c r="M1714" s="320"/>
      <c r="N1714" s="320"/>
      <c r="O1714" s="320"/>
    </row>
    <row r="1715">
      <c r="A1715" s="32">
        <f t="shared" si="1"/>
        <v>1714</v>
      </c>
      <c r="B1715" s="9" t="s">
        <v>3425</v>
      </c>
      <c r="C1715" s="460" t="s">
        <v>3748</v>
      </c>
      <c r="D1715" s="4" t="s">
        <v>3745</v>
      </c>
      <c r="E1715" s="18" t="str">
        <f>VLOOKUP($C1715,'PPR FITTINGS'!$F$4:$I2469,3,0)</f>
        <v/>
      </c>
      <c r="F1715" s="523" t="s">
        <v>1088</v>
      </c>
      <c r="G1715" s="18">
        <f>VLOOKUP($C1715,'PPR FITTINGS'!$F$4:$I2469,2,0)</f>
        <v>176.4</v>
      </c>
      <c r="H1715" s="320"/>
      <c r="I1715" s="320"/>
      <c r="J1715" s="320"/>
      <c r="K1715" s="320"/>
      <c r="L1715" s="320"/>
      <c r="M1715" s="320"/>
      <c r="N1715" s="320"/>
      <c r="O1715" s="320"/>
    </row>
    <row r="1716">
      <c r="A1716" s="32">
        <f t="shared" si="1"/>
        <v>1715</v>
      </c>
      <c r="B1716" s="9" t="s">
        <v>3425</v>
      </c>
      <c r="C1716" s="460" t="s">
        <v>3749</v>
      </c>
      <c r="D1716" s="4" t="s">
        <v>3745</v>
      </c>
      <c r="E1716" s="18" t="str">
        <f>VLOOKUP($C1716,'PPR FITTINGS'!$F$4:$I2469,3,0)</f>
        <v/>
      </c>
      <c r="F1716" s="523" t="s">
        <v>1088</v>
      </c>
      <c r="G1716" s="18">
        <f>VLOOKUP($C1716,'PPR FITTINGS'!$F$4:$I2469,2,0)</f>
        <v>0</v>
      </c>
      <c r="H1716" s="320"/>
      <c r="I1716" s="320"/>
      <c r="J1716" s="320"/>
      <c r="K1716" s="320"/>
      <c r="L1716" s="320"/>
      <c r="M1716" s="320"/>
      <c r="N1716" s="320"/>
      <c r="O1716" s="320"/>
    </row>
    <row r="1717">
      <c r="A1717" s="32">
        <f t="shared" si="1"/>
        <v>1716</v>
      </c>
      <c r="B1717" s="9" t="s">
        <v>3425</v>
      </c>
      <c r="C1717" s="460" t="s">
        <v>3750</v>
      </c>
      <c r="D1717" s="4" t="s">
        <v>3751</v>
      </c>
      <c r="E1717" s="18" t="str">
        <f>VLOOKUP($C1717,'PPR FITTINGS'!$F$4:$I2469,3,0)</f>
        <v/>
      </c>
      <c r="F1717" s="523" t="s">
        <v>1088</v>
      </c>
      <c r="G1717" s="18">
        <f>VLOOKUP($C1717,'PPR FITTINGS'!$F$4:$I2469,2,0)</f>
        <v>96.5</v>
      </c>
      <c r="H1717" s="320"/>
      <c r="I1717" s="320"/>
      <c r="J1717" s="320"/>
      <c r="K1717" s="320"/>
      <c r="L1717" s="320"/>
      <c r="M1717" s="320"/>
      <c r="N1717" s="320"/>
      <c r="O1717" s="320"/>
    </row>
    <row r="1718">
      <c r="A1718" s="32">
        <f t="shared" si="1"/>
        <v>1717</v>
      </c>
      <c r="B1718" s="9" t="s">
        <v>3425</v>
      </c>
      <c r="C1718" s="460" t="s">
        <v>3752</v>
      </c>
      <c r="D1718" s="4" t="s">
        <v>3751</v>
      </c>
      <c r="E1718" s="18" t="str">
        <f>VLOOKUP($C1718,'PPR FITTINGS'!$F$4:$I2469,3,0)</f>
        <v/>
      </c>
      <c r="F1718" s="523" t="s">
        <v>1088</v>
      </c>
      <c r="G1718" s="18">
        <f>VLOOKUP($C1718,'PPR FITTINGS'!$F$4:$I2469,2,0)</f>
        <v>131</v>
      </c>
      <c r="H1718" s="320"/>
      <c r="I1718" s="320"/>
      <c r="J1718" s="320"/>
      <c r="K1718" s="320"/>
      <c r="L1718" s="320"/>
      <c r="M1718" s="320"/>
      <c r="N1718" s="320"/>
      <c r="O1718" s="320"/>
    </row>
    <row r="1719">
      <c r="A1719" s="32">
        <f t="shared" si="1"/>
        <v>1718</v>
      </c>
      <c r="B1719" s="9" t="s">
        <v>3425</v>
      </c>
      <c r="C1719" s="460" t="s">
        <v>3753</v>
      </c>
      <c r="D1719" s="4" t="s">
        <v>3751</v>
      </c>
      <c r="E1719" s="18" t="str">
        <f>VLOOKUP($C1719,'PPR FITTINGS'!$F$4:$I2469,3,0)</f>
        <v/>
      </c>
      <c r="F1719" s="523" t="s">
        <v>1088</v>
      </c>
      <c r="G1719" s="18">
        <f>VLOOKUP($C1719,'PPR FITTINGS'!$F$4:$I2469,2,0)</f>
        <v>256</v>
      </c>
      <c r="H1719" s="320"/>
      <c r="I1719" s="320"/>
      <c r="J1719" s="320"/>
      <c r="K1719" s="320"/>
      <c r="L1719" s="320"/>
      <c r="M1719" s="320"/>
      <c r="N1719" s="320"/>
      <c r="O1719" s="320"/>
    </row>
    <row r="1720">
      <c r="A1720" s="32">
        <f t="shared" si="1"/>
        <v>1719</v>
      </c>
      <c r="B1720" s="9" t="s">
        <v>3425</v>
      </c>
      <c r="C1720" s="460" t="s">
        <v>3754</v>
      </c>
      <c r="D1720" s="4" t="s">
        <v>3751</v>
      </c>
      <c r="E1720" s="18" t="str">
        <f>VLOOKUP($C1720,'PPR FITTINGS'!$F$4:$I2469,3,0)</f>
        <v/>
      </c>
      <c r="F1720" s="523" t="s">
        <v>1088</v>
      </c>
      <c r="G1720" s="18">
        <f>VLOOKUP($C1720,'PPR FITTINGS'!$F$4:$I2469,2,0)</f>
        <v>660.4</v>
      </c>
      <c r="H1720" s="320"/>
      <c r="I1720" s="320"/>
      <c r="J1720" s="320"/>
      <c r="K1720" s="320"/>
      <c r="L1720" s="320"/>
      <c r="M1720" s="320"/>
      <c r="N1720" s="320"/>
      <c r="O1720" s="320"/>
    </row>
    <row r="1721">
      <c r="A1721" s="32">
        <f t="shared" si="1"/>
        <v>1720</v>
      </c>
      <c r="B1721" s="9" t="s">
        <v>3425</v>
      </c>
      <c r="C1721" s="460" t="s">
        <v>3755</v>
      </c>
      <c r="D1721" s="4" t="s">
        <v>3751</v>
      </c>
      <c r="E1721" s="18" t="str">
        <f>VLOOKUP($C1721,'PPR FITTINGS'!$F$4:$I2469,3,0)</f>
        <v/>
      </c>
      <c r="F1721" s="523" t="s">
        <v>1088</v>
      </c>
      <c r="G1721" s="18">
        <f>VLOOKUP($C1721,'PPR FITTINGS'!$F$4:$I2469,2,0)</f>
        <v>931.7</v>
      </c>
      <c r="H1721" s="320"/>
      <c r="I1721" s="320"/>
      <c r="J1721" s="320"/>
      <c r="K1721" s="320"/>
      <c r="L1721" s="320"/>
      <c r="M1721" s="320"/>
      <c r="N1721" s="320"/>
      <c r="O1721" s="320"/>
    </row>
    <row r="1722">
      <c r="A1722" s="32">
        <f t="shared" si="1"/>
        <v>1721</v>
      </c>
      <c r="B1722" s="9" t="s">
        <v>3425</v>
      </c>
      <c r="C1722" s="460" t="s">
        <v>3756</v>
      </c>
      <c r="D1722" s="4" t="s">
        <v>3751</v>
      </c>
      <c r="E1722" s="18" t="str">
        <f>VLOOKUP($C1722,'PPR FITTINGS'!$F$4:$I2469,3,0)</f>
        <v/>
      </c>
      <c r="F1722" s="523" t="s">
        <v>1088</v>
      </c>
      <c r="G1722" s="18">
        <f>VLOOKUP($C1722,'PPR FITTINGS'!$F$4:$I2469,2,0)</f>
        <v>1162.7</v>
      </c>
      <c r="H1722" s="320"/>
      <c r="I1722" s="320"/>
      <c r="J1722" s="320"/>
      <c r="K1722" s="320"/>
      <c r="L1722" s="320"/>
      <c r="M1722" s="320"/>
      <c r="N1722" s="320"/>
      <c r="O1722" s="320"/>
    </row>
    <row r="1723">
      <c r="A1723" s="32">
        <f t="shared" si="1"/>
        <v>1722</v>
      </c>
      <c r="B1723" s="9" t="s">
        <v>3425</v>
      </c>
      <c r="C1723" s="460" t="s">
        <v>3757</v>
      </c>
      <c r="D1723" s="4" t="s">
        <v>3758</v>
      </c>
      <c r="E1723" s="18" t="str">
        <f>VLOOKUP($C1723,'PPR FITTINGS'!$F$4:$I2469,3,0)</f>
        <v/>
      </c>
      <c r="F1723" s="523" t="s">
        <v>1088</v>
      </c>
      <c r="G1723" s="18">
        <f>VLOOKUP($C1723,'PPR FITTINGS'!$F$4:$I2469,2,0)</f>
        <v>99.6</v>
      </c>
      <c r="H1723" s="320"/>
      <c r="I1723" s="320"/>
      <c r="J1723" s="320"/>
      <c r="K1723" s="320"/>
      <c r="L1723" s="320"/>
      <c r="M1723" s="320"/>
      <c r="N1723" s="320"/>
      <c r="O1723" s="320"/>
    </row>
    <row r="1724">
      <c r="A1724" s="32">
        <f t="shared" si="1"/>
        <v>1723</v>
      </c>
      <c r="B1724" s="9" t="s">
        <v>3425</v>
      </c>
      <c r="C1724" s="460" t="s">
        <v>3759</v>
      </c>
      <c r="D1724" s="4" t="s">
        <v>3758</v>
      </c>
      <c r="E1724" s="18" t="str">
        <f>VLOOKUP($C1724,'PPR FITTINGS'!$F$4:$I2469,3,0)</f>
        <v/>
      </c>
      <c r="F1724" s="523" t="s">
        <v>1088</v>
      </c>
      <c r="G1724" s="18">
        <f>VLOOKUP($C1724,'PPR FITTINGS'!$F$4:$I2469,2,0)</f>
        <v>105.7</v>
      </c>
      <c r="H1724" s="320"/>
      <c r="I1724" s="320"/>
      <c r="J1724" s="320"/>
      <c r="K1724" s="320"/>
      <c r="L1724" s="320"/>
      <c r="M1724" s="320"/>
      <c r="N1724" s="320"/>
      <c r="O1724" s="320"/>
    </row>
    <row r="1725">
      <c r="A1725" s="32">
        <f t="shared" si="1"/>
        <v>1724</v>
      </c>
      <c r="B1725" s="9" t="s">
        <v>3425</v>
      </c>
      <c r="C1725" s="460" t="s">
        <v>3760</v>
      </c>
      <c r="D1725" s="4" t="s">
        <v>3758</v>
      </c>
      <c r="E1725" s="18" t="str">
        <f>VLOOKUP($C1725,'PPR FITTINGS'!$F$4:$I2469,3,0)</f>
        <v/>
      </c>
      <c r="F1725" s="523" t="s">
        <v>1088</v>
      </c>
      <c r="G1725" s="18">
        <f>VLOOKUP($C1725,'PPR FITTINGS'!$F$4:$I2469,2,0)</f>
        <v>136.1</v>
      </c>
      <c r="H1725" s="320"/>
      <c r="I1725" s="320"/>
      <c r="J1725" s="320"/>
      <c r="K1725" s="320"/>
      <c r="L1725" s="320"/>
      <c r="M1725" s="320"/>
      <c r="N1725" s="320"/>
      <c r="O1725" s="320"/>
    </row>
    <row r="1726">
      <c r="A1726" s="32">
        <f t="shared" si="1"/>
        <v>1725</v>
      </c>
      <c r="B1726" s="9" t="s">
        <v>3425</v>
      </c>
      <c r="C1726" s="460" t="s">
        <v>3761</v>
      </c>
      <c r="D1726" s="4" t="s">
        <v>3758</v>
      </c>
      <c r="E1726" s="18" t="str">
        <f>VLOOKUP($C1726,'PPR FITTINGS'!$F$4:$I2469,3,0)</f>
        <v/>
      </c>
      <c r="F1726" s="523" t="s">
        <v>1088</v>
      </c>
      <c r="G1726" s="18">
        <f>VLOOKUP($C1726,'PPR FITTINGS'!$F$4:$I2469,2,0)</f>
        <v>226.6</v>
      </c>
      <c r="H1726" s="320"/>
      <c r="I1726" s="320"/>
      <c r="J1726" s="320"/>
      <c r="K1726" s="320"/>
      <c r="L1726" s="320"/>
      <c r="M1726" s="320"/>
      <c r="N1726" s="320"/>
      <c r="O1726" s="320"/>
    </row>
    <row r="1727">
      <c r="A1727" s="32">
        <f t="shared" si="1"/>
        <v>1726</v>
      </c>
      <c r="B1727" s="9" t="s">
        <v>3425</v>
      </c>
      <c r="C1727" s="460" t="s">
        <v>3762</v>
      </c>
      <c r="D1727" s="4" t="s">
        <v>3758</v>
      </c>
      <c r="E1727" s="18" t="str">
        <f>VLOOKUP($C1727,'PPR FITTINGS'!$F$4:$I2469,3,0)</f>
        <v/>
      </c>
      <c r="F1727" s="523" t="s">
        <v>1088</v>
      </c>
      <c r="G1727" s="18">
        <f>VLOOKUP($C1727,'PPR FITTINGS'!$F$4:$I2469,2,0)</f>
        <v>304.6</v>
      </c>
      <c r="H1727" s="320"/>
      <c r="I1727" s="320"/>
      <c r="J1727" s="320"/>
      <c r="K1727" s="320"/>
      <c r="L1727" s="320"/>
      <c r="M1727" s="320"/>
      <c r="N1727" s="320"/>
      <c r="O1727" s="320"/>
    </row>
    <row r="1728">
      <c r="A1728" s="32">
        <f t="shared" si="1"/>
        <v>1727</v>
      </c>
      <c r="B1728" s="9" t="s">
        <v>3425</v>
      </c>
      <c r="C1728" s="460" t="s">
        <v>3763</v>
      </c>
      <c r="D1728" s="4" t="s">
        <v>3758</v>
      </c>
      <c r="E1728" s="18" t="str">
        <f>VLOOKUP($C1728,'PPR FITTINGS'!$F$4:$I2469,3,0)</f>
        <v/>
      </c>
      <c r="F1728" s="523" t="s">
        <v>1088</v>
      </c>
      <c r="G1728" s="18">
        <f>VLOOKUP($C1728,'PPR FITTINGS'!$F$4:$I2469,2,0)</f>
        <v>515.8</v>
      </c>
      <c r="H1728" s="320"/>
      <c r="I1728" s="320"/>
      <c r="J1728" s="320"/>
      <c r="K1728" s="320"/>
      <c r="L1728" s="320"/>
      <c r="M1728" s="320"/>
      <c r="N1728" s="320"/>
      <c r="O1728" s="320"/>
    </row>
    <row r="1729">
      <c r="A1729" s="32">
        <f t="shared" si="1"/>
        <v>1728</v>
      </c>
      <c r="B1729" s="9" t="s">
        <v>3425</v>
      </c>
      <c r="C1729" s="500" t="s">
        <v>3764</v>
      </c>
      <c r="D1729" s="4" t="s">
        <v>3765</v>
      </c>
      <c r="E1729" s="18" t="str">
        <f>VLOOKUP($C1729,'PPR FITTINGS'!$F$4:$I2469,3,0)</f>
        <v/>
      </c>
      <c r="F1729" s="523" t="s">
        <v>1088</v>
      </c>
      <c r="G1729" s="18">
        <f>VLOOKUP($C1729,'PPR FITTINGS'!$F$4:$I2469,2,0)</f>
        <v>13.2</v>
      </c>
      <c r="H1729" s="320"/>
      <c r="I1729" s="320"/>
      <c r="J1729" s="320"/>
      <c r="K1729" s="320"/>
      <c r="L1729" s="320"/>
      <c r="M1729" s="320"/>
      <c r="N1729" s="320"/>
      <c r="O1729" s="320"/>
    </row>
    <row r="1730">
      <c r="A1730" s="32">
        <f t="shared" si="1"/>
        <v>1729</v>
      </c>
      <c r="B1730" s="9" t="s">
        <v>3425</v>
      </c>
      <c r="C1730" s="500" t="s">
        <v>3767</v>
      </c>
      <c r="D1730" s="4" t="s">
        <v>3765</v>
      </c>
      <c r="E1730" s="18" t="str">
        <f>VLOOKUP($C1730,'PPR FITTINGS'!$F$4:$I2469,3,0)</f>
        <v/>
      </c>
      <c r="F1730" s="523" t="s">
        <v>1088</v>
      </c>
      <c r="G1730" s="18">
        <f>VLOOKUP($C1730,'PPR FITTINGS'!$F$4:$I2469,2,0)</f>
        <v>19.3</v>
      </c>
      <c r="H1730" s="320"/>
      <c r="I1730" s="320"/>
      <c r="J1730" s="320"/>
      <c r="K1730" s="320"/>
      <c r="L1730" s="320"/>
      <c r="M1730" s="320"/>
      <c r="N1730" s="320"/>
      <c r="O1730" s="320"/>
    </row>
    <row r="1731">
      <c r="A1731" s="32">
        <f t="shared" si="1"/>
        <v>1730</v>
      </c>
      <c r="B1731" s="9" t="s">
        <v>3425</v>
      </c>
      <c r="C1731" s="500" t="s">
        <v>3768</v>
      </c>
      <c r="D1731" s="4" t="s">
        <v>3765</v>
      </c>
      <c r="E1731" s="18" t="str">
        <f>VLOOKUP($C1731,'PPR FITTINGS'!$F$4:$I2469,3,0)</f>
        <v/>
      </c>
      <c r="F1731" s="523" t="s">
        <v>1088</v>
      </c>
      <c r="G1731" s="18">
        <f>VLOOKUP($C1731,'PPR FITTINGS'!$F$4:$I2469,2,0)</f>
        <v>23.4</v>
      </c>
      <c r="H1731" s="320"/>
      <c r="I1731" s="320"/>
      <c r="J1731" s="320"/>
      <c r="K1731" s="320"/>
      <c r="L1731" s="320"/>
      <c r="M1731" s="320"/>
      <c r="N1731" s="320"/>
      <c r="O1731" s="320"/>
    </row>
    <row r="1732">
      <c r="A1732" s="32">
        <f t="shared" si="1"/>
        <v>1731</v>
      </c>
      <c r="B1732" s="9" t="s">
        <v>3425</v>
      </c>
      <c r="C1732" s="500" t="s">
        <v>3769</v>
      </c>
      <c r="D1732" s="4" t="s">
        <v>3765</v>
      </c>
      <c r="E1732" s="18" t="str">
        <f>VLOOKUP($C1732,'PPR FITTINGS'!$F$4:$I2469,3,0)</f>
        <v/>
      </c>
      <c r="F1732" s="523" t="s">
        <v>1088</v>
      </c>
      <c r="G1732" s="18">
        <f>VLOOKUP($C1732,'PPR FITTINGS'!$F$4:$I2469,2,0)</f>
        <v>32.5</v>
      </c>
      <c r="H1732" s="320"/>
      <c r="I1732" s="320"/>
      <c r="J1732" s="320"/>
      <c r="K1732" s="320"/>
      <c r="L1732" s="320"/>
      <c r="M1732" s="320"/>
      <c r="N1732" s="320"/>
      <c r="O1732" s="320"/>
    </row>
    <row r="1733">
      <c r="A1733" s="32">
        <f t="shared" si="1"/>
        <v>1732</v>
      </c>
      <c r="B1733" s="9" t="s">
        <v>3425</v>
      </c>
      <c r="C1733" s="500" t="s">
        <v>3770</v>
      </c>
      <c r="D1733" s="4" t="s">
        <v>3765</v>
      </c>
      <c r="E1733" s="18" t="str">
        <f>VLOOKUP($C1733,'PPR FITTINGS'!$F$4:$I2469,3,0)</f>
        <v/>
      </c>
      <c r="F1733" s="523" t="s">
        <v>1088</v>
      </c>
      <c r="G1733" s="18">
        <f>VLOOKUP($C1733,'PPR FITTINGS'!$F$4:$I2469,2,0)</f>
        <v>62</v>
      </c>
      <c r="H1733" s="320"/>
      <c r="I1733" s="320"/>
      <c r="J1733" s="320"/>
      <c r="K1733" s="320"/>
      <c r="L1733" s="320"/>
      <c r="M1733" s="320"/>
      <c r="N1733" s="320"/>
      <c r="O1733" s="320"/>
    </row>
    <row r="1734">
      <c r="A1734" s="32">
        <f t="shared" si="1"/>
        <v>1733</v>
      </c>
      <c r="B1734" s="9" t="s">
        <v>3425</v>
      </c>
      <c r="C1734" s="500" t="s">
        <v>3771</v>
      </c>
      <c r="D1734" s="4" t="s">
        <v>3765</v>
      </c>
      <c r="E1734" s="18" t="str">
        <f>VLOOKUP($C1734,'PPR FITTINGS'!$F$4:$I2469,3,0)</f>
        <v/>
      </c>
      <c r="F1734" s="523" t="s">
        <v>1088</v>
      </c>
      <c r="G1734" s="18">
        <f>VLOOKUP($C1734,'PPR FITTINGS'!$F$4:$I2469,2,0)</f>
        <v>101.9</v>
      </c>
      <c r="H1734" s="320"/>
      <c r="I1734" s="320"/>
      <c r="J1734" s="320"/>
      <c r="K1734" s="320"/>
      <c r="L1734" s="320"/>
      <c r="M1734" s="320"/>
      <c r="N1734" s="320"/>
      <c r="O1734" s="320"/>
    </row>
    <row r="1735">
      <c r="A1735" s="32">
        <f t="shared" si="1"/>
        <v>1734</v>
      </c>
      <c r="B1735" s="9" t="s">
        <v>3425</v>
      </c>
      <c r="C1735" s="500" t="s">
        <v>3773</v>
      </c>
      <c r="D1735" s="4" t="s">
        <v>3774</v>
      </c>
      <c r="E1735" s="18" t="str">
        <f>VLOOKUP($C1735,'PPR FITTINGS'!$F$4:$I2469,3,0)</f>
        <v/>
      </c>
      <c r="F1735" s="523" t="s">
        <v>1088</v>
      </c>
      <c r="G1735" s="18">
        <f>VLOOKUP($C1735,'PPR FITTINGS'!$F$4:$I2469,2,0)</f>
        <v>8.5</v>
      </c>
      <c r="H1735" s="320"/>
      <c r="I1735" s="320"/>
      <c r="J1735" s="320"/>
      <c r="K1735" s="320"/>
      <c r="L1735" s="320"/>
      <c r="M1735" s="320"/>
      <c r="N1735" s="320"/>
      <c r="O1735" s="320"/>
    </row>
    <row r="1736">
      <c r="A1736" s="32">
        <f t="shared" si="1"/>
        <v>1735</v>
      </c>
      <c r="B1736" s="9" t="s">
        <v>3425</v>
      </c>
      <c r="C1736" s="500" t="s">
        <v>3775</v>
      </c>
      <c r="D1736" s="4" t="s">
        <v>3774</v>
      </c>
      <c r="E1736" s="18" t="str">
        <f>VLOOKUP($C1736,'PPR FITTINGS'!$F$4:$I2469,3,0)</f>
        <v/>
      </c>
      <c r="F1736" s="523" t="s">
        <v>1088</v>
      </c>
      <c r="G1736" s="18">
        <f>VLOOKUP($C1736,'PPR FITTINGS'!$F$4:$I2469,2,0)</f>
        <v>10.2</v>
      </c>
      <c r="H1736" s="320"/>
      <c r="I1736" s="320"/>
      <c r="J1736" s="320"/>
      <c r="K1736" s="320"/>
      <c r="L1736" s="320"/>
      <c r="M1736" s="320"/>
      <c r="N1736" s="320"/>
      <c r="O1736" s="320"/>
    </row>
    <row r="1737">
      <c r="A1737" s="32">
        <f t="shared" si="1"/>
        <v>1736</v>
      </c>
      <c r="B1737" s="9" t="s">
        <v>3425</v>
      </c>
      <c r="C1737" s="500" t="s">
        <v>3776</v>
      </c>
      <c r="D1737" s="4" t="s">
        <v>3777</v>
      </c>
      <c r="E1737" s="18" t="str">
        <f>VLOOKUP($C1737,'PPR FITTINGS'!$F$4:$I2469,3,0)</f>
        <v/>
      </c>
      <c r="F1737" s="523" t="s">
        <v>1088</v>
      </c>
      <c r="G1737" s="18">
        <f>VLOOKUP($C1737,'PPR FITTINGS'!$F$4:$I2469,2,0)</f>
        <v>205.296</v>
      </c>
      <c r="H1737" s="320"/>
      <c r="I1737" s="320"/>
      <c r="J1737" s="320"/>
      <c r="K1737" s="320"/>
      <c r="L1737" s="320"/>
      <c r="M1737" s="320"/>
      <c r="N1737" s="320"/>
      <c r="O1737" s="320"/>
    </row>
    <row r="1738">
      <c r="A1738" s="32">
        <f t="shared" si="1"/>
        <v>1737</v>
      </c>
      <c r="B1738" s="9" t="s">
        <v>3425</v>
      </c>
      <c r="C1738" s="500" t="s">
        <v>3778</v>
      </c>
      <c r="D1738" s="4" t="s">
        <v>3777</v>
      </c>
      <c r="E1738" s="18" t="str">
        <f>VLOOKUP($C1738,'PPR FITTINGS'!$F$4:$I2469,3,0)</f>
        <v/>
      </c>
      <c r="F1738" s="523" t="s">
        <v>1088</v>
      </c>
      <c r="G1738" s="18">
        <f>VLOOKUP($C1738,'PPR FITTINGS'!$F$4:$I2469,2,0)</f>
        <v>324.1</v>
      </c>
      <c r="H1738" s="320"/>
      <c r="I1738" s="320"/>
      <c r="J1738" s="320"/>
      <c r="K1738" s="320"/>
      <c r="L1738" s="320"/>
      <c r="M1738" s="320"/>
      <c r="N1738" s="320"/>
      <c r="O1738" s="320"/>
    </row>
    <row r="1739">
      <c r="A1739" s="32">
        <f t="shared" si="1"/>
        <v>1738</v>
      </c>
      <c r="B1739" s="9" t="s">
        <v>3425</v>
      </c>
      <c r="C1739" s="500" t="s">
        <v>3780</v>
      </c>
      <c r="D1739" s="4" t="s">
        <v>3777</v>
      </c>
      <c r="E1739" s="18" t="str">
        <f>VLOOKUP($C1739,'PPR FITTINGS'!$F$4:$I2469,3,0)</f>
        <v/>
      </c>
      <c r="F1739" s="523" t="s">
        <v>1088</v>
      </c>
      <c r="G1739" s="18">
        <f>VLOOKUP($C1739,'PPR FITTINGS'!$F$4:$I2469,2,0)</f>
        <v>423.8</v>
      </c>
      <c r="H1739" s="320"/>
      <c r="I1739" s="320"/>
      <c r="J1739" s="320"/>
      <c r="K1739" s="320"/>
      <c r="L1739" s="320"/>
      <c r="M1739" s="320"/>
      <c r="N1739" s="320"/>
      <c r="O1739" s="320"/>
    </row>
    <row r="1740">
      <c r="A1740" s="32">
        <f t="shared" si="1"/>
        <v>1739</v>
      </c>
      <c r="B1740" s="9" t="s">
        <v>3425</v>
      </c>
      <c r="C1740" s="500" t="s">
        <v>3781</v>
      </c>
      <c r="D1740" s="4" t="s">
        <v>3777</v>
      </c>
      <c r="E1740" s="18" t="str">
        <f>VLOOKUP($C1740,'PPR FITTINGS'!$F$4:$I2469,3,0)</f>
        <v/>
      </c>
      <c r="F1740" s="523" t="s">
        <v>1088</v>
      </c>
      <c r="G1740" s="18">
        <f>VLOOKUP($C1740,'PPR FITTINGS'!$F$4:$I2469,2,0)</f>
        <v>633.2</v>
      </c>
      <c r="H1740" s="320"/>
      <c r="I1740" s="320"/>
      <c r="J1740" s="320"/>
      <c r="K1740" s="320"/>
      <c r="L1740" s="320"/>
      <c r="M1740" s="320"/>
      <c r="N1740" s="320"/>
      <c r="O1740" s="320"/>
    </row>
    <row r="1741">
      <c r="A1741" s="32">
        <f t="shared" si="1"/>
        <v>1740</v>
      </c>
      <c r="B1741" s="9" t="s">
        <v>3425</v>
      </c>
      <c r="C1741" s="500" t="s">
        <v>3782</v>
      </c>
      <c r="D1741" s="4" t="s">
        <v>3783</v>
      </c>
      <c r="E1741" s="18" t="str">
        <f>VLOOKUP($C1741,'PPR FITTINGS'!$F$4:$I2469,3,0)</f>
        <v/>
      </c>
      <c r="F1741" s="523" t="s">
        <v>1088</v>
      </c>
      <c r="G1741" s="18">
        <f>VLOOKUP($C1741,'PPR FITTINGS'!$F$4:$I2469,2,0)</f>
        <v>1343.264</v>
      </c>
      <c r="H1741" s="320"/>
      <c r="I1741" s="320"/>
      <c r="J1741" s="320"/>
      <c r="K1741" s="320"/>
      <c r="L1741" s="320"/>
      <c r="M1741" s="320"/>
      <c r="N1741" s="320"/>
      <c r="O1741" s="320"/>
    </row>
    <row r="1742">
      <c r="A1742" s="32">
        <f t="shared" si="1"/>
        <v>1741</v>
      </c>
      <c r="B1742" s="9" t="s">
        <v>3425</v>
      </c>
      <c r="C1742" s="500" t="s">
        <v>3784</v>
      </c>
      <c r="D1742" s="4" t="s">
        <v>3783</v>
      </c>
      <c r="E1742" s="18" t="str">
        <f>VLOOKUP($C1742,'PPR FITTINGS'!$F$4:$I2469,3,0)</f>
        <v/>
      </c>
      <c r="F1742" s="523" t="s">
        <v>1088</v>
      </c>
      <c r="G1742" s="18">
        <f>VLOOKUP($C1742,'PPR FITTINGS'!$F$4:$I2469,2,0)</f>
        <v>2272</v>
      </c>
      <c r="H1742" s="320"/>
      <c r="I1742" s="320"/>
      <c r="J1742" s="320"/>
      <c r="K1742" s="320"/>
      <c r="L1742" s="320"/>
      <c r="M1742" s="320"/>
      <c r="N1742" s="320"/>
      <c r="O1742" s="320"/>
    </row>
    <row r="1743">
      <c r="A1743" s="32">
        <f t="shared" si="1"/>
        <v>1742</v>
      </c>
      <c r="B1743" s="9" t="s">
        <v>3425</v>
      </c>
      <c r="C1743" s="500" t="s">
        <v>3785</v>
      </c>
      <c r="D1743" s="4" t="s">
        <v>3783</v>
      </c>
      <c r="E1743" s="18" t="str">
        <f>VLOOKUP($C1743,'PPR FITTINGS'!$F$4:$I2469,3,0)</f>
        <v/>
      </c>
      <c r="F1743" s="523" t="s">
        <v>1088</v>
      </c>
      <c r="G1743" s="18">
        <f>VLOOKUP($C1743,'PPR FITTINGS'!$F$4:$I2469,2,0)</f>
        <v>3619.2</v>
      </c>
      <c r="H1743" s="320"/>
      <c r="I1743" s="320"/>
      <c r="J1743" s="320"/>
      <c r="K1743" s="320"/>
      <c r="L1743" s="320"/>
      <c r="M1743" s="320"/>
      <c r="N1743" s="320"/>
      <c r="O1743" s="320"/>
    </row>
    <row r="1744">
      <c r="A1744" s="32">
        <f t="shared" si="1"/>
        <v>1743</v>
      </c>
      <c r="B1744" s="9" t="s">
        <v>3425</v>
      </c>
      <c r="C1744" s="460" t="s">
        <v>3786</v>
      </c>
      <c r="D1744" s="4" t="s">
        <v>3787</v>
      </c>
      <c r="E1744" s="18" t="str">
        <f>VLOOKUP($C1744,'PPR FITTINGS'!$F$4:$I2469,3,0)</f>
        <v/>
      </c>
      <c r="F1744" s="523" t="s">
        <v>1088</v>
      </c>
      <c r="G1744" s="18">
        <f>VLOOKUP($C1744,'PPR FITTINGS'!$F$4:$I2469,2,0)</f>
        <v>14.2</v>
      </c>
      <c r="H1744" s="320"/>
      <c r="I1744" s="320"/>
      <c r="J1744" s="320"/>
      <c r="K1744" s="320"/>
      <c r="L1744" s="320"/>
      <c r="M1744" s="320"/>
      <c r="N1744" s="320"/>
      <c r="O1744" s="320"/>
    </row>
    <row r="1745">
      <c r="A1745" s="32">
        <f t="shared" si="1"/>
        <v>1744</v>
      </c>
      <c r="B1745" s="9" t="s">
        <v>3425</v>
      </c>
      <c r="C1745" s="460" t="s">
        <v>3788</v>
      </c>
      <c r="D1745" s="4" t="s">
        <v>3787</v>
      </c>
      <c r="E1745" s="18" t="str">
        <f>VLOOKUP($C1745,'PPR FITTINGS'!$F$4:$I2469,3,0)</f>
        <v/>
      </c>
      <c r="F1745" s="523" t="s">
        <v>1088</v>
      </c>
      <c r="G1745" s="18">
        <f>VLOOKUP($C1745,'PPR FITTINGS'!$F$4:$I2469,2,0)</f>
        <v>18.6</v>
      </c>
      <c r="H1745" s="320"/>
      <c r="I1745" s="320"/>
      <c r="J1745" s="320"/>
      <c r="K1745" s="320"/>
      <c r="L1745" s="320"/>
      <c r="M1745" s="320"/>
      <c r="N1745" s="320"/>
      <c r="O1745" s="320"/>
    </row>
    <row r="1746">
      <c r="A1746" s="32">
        <f t="shared" si="1"/>
        <v>1745</v>
      </c>
      <c r="B1746" s="9" t="s">
        <v>3425</v>
      </c>
      <c r="C1746" s="460" t="s">
        <v>3789</v>
      </c>
      <c r="D1746" s="4" t="s">
        <v>3787</v>
      </c>
      <c r="E1746" s="18" t="str">
        <f>VLOOKUP($C1746,'PPR FITTINGS'!$F$4:$I2469,3,0)</f>
        <v/>
      </c>
      <c r="F1746" s="523" t="s">
        <v>1088</v>
      </c>
      <c r="G1746" s="18">
        <f>VLOOKUP($C1746,'PPR FITTINGS'!$F$4:$I2469,2,0)</f>
        <v>33.9</v>
      </c>
      <c r="H1746" s="320"/>
      <c r="I1746" s="320"/>
      <c r="J1746" s="320"/>
      <c r="K1746" s="320"/>
      <c r="L1746" s="320"/>
      <c r="M1746" s="320"/>
      <c r="N1746" s="320"/>
      <c r="O1746" s="320"/>
    </row>
    <row r="1747">
      <c r="A1747" s="32">
        <f t="shared" si="1"/>
        <v>1746</v>
      </c>
      <c r="B1747" s="9" t="s">
        <v>3425</v>
      </c>
      <c r="C1747" s="460" t="s">
        <v>3790</v>
      </c>
      <c r="D1747" s="4" t="s">
        <v>3787</v>
      </c>
      <c r="E1747" s="18" t="str">
        <f>VLOOKUP($C1747,'PPR FITTINGS'!$F$4:$I2469,3,0)</f>
        <v/>
      </c>
      <c r="F1747" s="523" t="s">
        <v>1088</v>
      </c>
      <c r="G1747" s="18">
        <f>VLOOKUP($C1747,'PPR FITTINGS'!$F$4:$I2469,2,0)</f>
        <v>49.2</v>
      </c>
      <c r="H1747" s="320"/>
      <c r="I1747" s="320"/>
      <c r="J1747" s="320"/>
      <c r="K1747" s="320"/>
      <c r="L1747" s="320"/>
      <c r="M1747" s="320"/>
      <c r="N1747" s="320"/>
      <c r="O1747" s="320"/>
    </row>
    <row r="1748">
      <c r="A1748" s="32">
        <f t="shared" si="1"/>
        <v>1747</v>
      </c>
      <c r="B1748" s="9" t="s">
        <v>3425</v>
      </c>
      <c r="C1748" s="460" t="s">
        <v>3791</v>
      </c>
      <c r="D1748" s="4" t="s">
        <v>3787</v>
      </c>
      <c r="E1748" s="18" t="str">
        <f>VLOOKUP($C1748,'PPR FITTINGS'!$F$4:$I2469,3,0)</f>
        <v/>
      </c>
      <c r="F1748" s="523" t="s">
        <v>1088</v>
      </c>
      <c r="G1748" s="18">
        <f>VLOOKUP($C1748,'PPR FITTINGS'!$F$4:$I2469,2,0)</f>
        <v>77.7</v>
      </c>
      <c r="H1748" s="320"/>
      <c r="I1748" s="320"/>
      <c r="J1748" s="320"/>
      <c r="K1748" s="320"/>
      <c r="L1748" s="320"/>
      <c r="M1748" s="320"/>
      <c r="N1748" s="320"/>
      <c r="O1748" s="320"/>
    </row>
    <row r="1749">
      <c r="A1749" s="32">
        <f t="shared" si="1"/>
        <v>1748</v>
      </c>
      <c r="B1749" s="9" t="s">
        <v>3425</v>
      </c>
      <c r="C1749" s="460" t="s">
        <v>3792</v>
      </c>
      <c r="D1749" s="4" t="s">
        <v>3787</v>
      </c>
      <c r="E1749" s="18" t="str">
        <f>VLOOKUP($C1749,'PPR FITTINGS'!$F$4:$I2469,3,0)</f>
        <v/>
      </c>
      <c r="F1749" s="523" t="s">
        <v>1088</v>
      </c>
      <c r="G1749" s="18">
        <f>VLOOKUP($C1749,'PPR FITTINGS'!$F$4:$I2469,2,0)</f>
        <v>148.2</v>
      </c>
      <c r="H1749" s="320"/>
      <c r="I1749" s="320"/>
      <c r="J1749" s="320"/>
      <c r="K1749" s="320"/>
      <c r="L1749" s="320"/>
      <c r="M1749" s="320"/>
      <c r="N1749" s="320"/>
      <c r="O1749" s="320"/>
    </row>
    <row r="1750">
      <c r="A1750" s="32">
        <f t="shared" si="1"/>
        <v>1749</v>
      </c>
      <c r="B1750" s="9" t="s">
        <v>3425</v>
      </c>
      <c r="C1750" s="460" t="s">
        <v>3793</v>
      </c>
      <c r="D1750" s="4" t="s">
        <v>3787</v>
      </c>
      <c r="E1750" s="18" t="str">
        <f>VLOOKUP($C1750,'PPR FITTINGS'!$F$4:$I2469,3,0)</f>
        <v/>
      </c>
      <c r="F1750" s="523" t="s">
        <v>1088</v>
      </c>
      <c r="G1750" s="18">
        <f>VLOOKUP($C1750,'PPR FITTINGS'!$F$4:$I2469,2,0)</f>
        <v>311.4</v>
      </c>
      <c r="H1750" s="320"/>
      <c r="I1750" s="320"/>
      <c r="J1750" s="320"/>
      <c r="K1750" s="320"/>
      <c r="L1750" s="320"/>
      <c r="M1750" s="320"/>
      <c r="N1750" s="320"/>
      <c r="O1750" s="320"/>
    </row>
    <row r="1751">
      <c r="A1751" s="32">
        <f t="shared" si="1"/>
        <v>1750</v>
      </c>
      <c r="B1751" s="9" t="s">
        <v>3425</v>
      </c>
      <c r="C1751" s="460" t="s">
        <v>3794</v>
      </c>
      <c r="D1751" s="4" t="s">
        <v>3787</v>
      </c>
      <c r="E1751" s="18" t="str">
        <f>VLOOKUP($C1751,'PPR FITTINGS'!$F$4:$I2469,3,0)</f>
        <v/>
      </c>
      <c r="F1751" s="523" t="s">
        <v>1088</v>
      </c>
      <c r="G1751" s="18">
        <f>VLOOKUP($C1751,'PPR FITTINGS'!$F$4:$I2469,2,0)</f>
        <v>468</v>
      </c>
      <c r="H1751" s="320"/>
      <c r="I1751" s="320"/>
      <c r="J1751" s="320"/>
      <c r="K1751" s="320"/>
      <c r="L1751" s="320"/>
      <c r="M1751" s="320"/>
      <c r="N1751" s="320"/>
      <c r="O1751" s="320"/>
    </row>
    <row r="1752">
      <c r="A1752" s="32">
        <f t="shared" si="1"/>
        <v>1751</v>
      </c>
      <c r="B1752" s="9" t="s">
        <v>3425</v>
      </c>
      <c r="C1752" s="460" t="s">
        <v>3795</v>
      </c>
      <c r="D1752" s="4" t="s">
        <v>3787</v>
      </c>
      <c r="E1752" s="18" t="str">
        <f>VLOOKUP($C1752,'PPR FITTINGS'!$F$4:$I2469,3,0)</f>
        <v/>
      </c>
      <c r="F1752" s="523" t="s">
        <v>1088</v>
      </c>
      <c r="G1752" s="18">
        <f>VLOOKUP($C1752,'PPR FITTINGS'!$F$4:$I2469,2,0)</f>
        <v>981.1</v>
      </c>
      <c r="H1752" s="320"/>
      <c r="I1752" s="320"/>
      <c r="J1752" s="320"/>
      <c r="K1752" s="320"/>
      <c r="L1752" s="320"/>
      <c r="M1752" s="320"/>
      <c r="N1752" s="320"/>
      <c r="O1752" s="320"/>
    </row>
    <row r="1753">
      <c r="A1753" s="32">
        <f t="shared" si="1"/>
        <v>1752</v>
      </c>
      <c r="B1753" s="9" t="s">
        <v>3425</v>
      </c>
      <c r="C1753" s="460" t="s">
        <v>3796</v>
      </c>
      <c r="D1753" s="4" t="s">
        <v>3797</v>
      </c>
      <c r="E1753" s="18" t="str">
        <f>VLOOKUP($C1753,'PPR FITTINGS'!$F$4:$I2469,3,0)</f>
        <v/>
      </c>
      <c r="F1753" s="523" t="s">
        <v>1088</v>
      </c>
      <c r="G1753" s="18">
        <f>VLOOKUP($C1753,'PPR FITTINGS'!$F$4:$I2469,2,0)</f>
        <v>16.5</v>
      </c>
      <c r="H1753" s="320"/>
      <c r="I1753" s="320"/>
      <c r="J1753" s="320"/>
      <c r="K1753" s="320"/>
      <c r="L1753" s="320"/>
      <c r="M1753" s="320"/>
      <c r="N1753" s="320"/>
      <c r="O1753" s="320"/>
    </row>
    <row r="1754">
      <c r="A1754" s="32">
        <f t="shared" si="1"/>
        <v>1753</v>
      </c>
      <c r="B1754" s="9" t="s">
        <v>3425</v>
      </c>
      <c r="C1754" s="460" t="s">
        <v>3798</v>
      </c>
      <c r="D1754" s="4" t="s">
        <v>3797</v>
      </c>
      <c r="E1754" s="18" t="str">
        <f>VLOOKUP($C1754,'PPR FITTINGS'!$F$4:$I2469,3,0)</f>
        <v/>
      </c>
      <c r="F1754" s="523" t="s">
        <v>1088</v>
      </c>
      <c r="G1754" s="18">
        <f>VLOOKUP($C1754,'PPR FITTINGS'!$F$4:$I2469,2,0)</f>
        <v>23.3</v>
      </c>
      <c r="H1754" s="320"/>
      <c r="I1754" s="320"/>
      <c r="J1754" s="320"/>
      <c r="K1754" s="320"/>
      <c r="L1754" s="320"/>
      <c r="M1754" s="320"/>
      <c r="N1754" s="320"/>
      <c r="O1754" s="320"/>
    </row>
    <row r="1755">
      <c r="A1755" s="32">
        <f t="shared" si="1"/>
        <v>1754</v>
      </c>
      <c r="B1755" s="9" t="s">
        <v>3425</v>
      </c>
      <c r="C1755" s="460" t="s">
        <v>3799</v>
      </c>
      <c r="D1755" s="4" t="s">
        <v>3797</v>
      </c>
      <c r="E1755" s="18" t="str">
        <f>VLOOKUP($C1755,'PPR FITTINGS'!$F$4:$I2469,3,0)</f>
        <v/>
      </c>
      <c r="F1755" s="523" t="s">
        <v>1088</v>
      </c>
      <c r="G1755" s="18">
        <f>VLOOKUP($C1755,'PPR FITTINGS'!$F$4:$I2469,2,0)</f>
        <v>35.1</v>
      </c>
      <c r="H1755" s="320"/>
      <c r="I1755" s="320"/>
      <c r="J1755" s="320"/>
      <c r="K1755" s="320"/>
      <c r="L1755" s="320"/>
      <c r="M1755" s="320"/>
      <c r="N1755" s="320"/>
      <c r="O1755" s="320"/>
    </row>
    <row r="1756">
      <c r="A1756" s="32">
        <f t="shared" si="1"/>
        <v>1755</v>
      </c>
      <c r="B1756" s="9" t="s">
        <v>3425</v>
      </c>
      <c r="C1756" s="460" t="s">
        <v>3800</v>
      </c>
      <c r="D1756" s="4" t="s">
        <v>3797</v>
      </c>
      <c r="E1756" s="18" t="str">
        <f>VLOOKUP($C1756,'PPR FITTINGS'!$F$4:$I2469,3,0)</f>
        <v/>
      </c>
      <c r="F1756" s="523" t="s">
        <v>1088</v>
      </c>
      <c r="G1756" s="18">
        <f>VLOOKUP($C1756,'PPR FITTINGS'!$F$4:$I2469,2,0)</f>
        <v>41.2</v>
      </c>
      <c r="H1756" s="320"/>
      <c r="I1756" s="320"/>
      <c r="J1756" s="320"/>
      <c r="K1756" s="320"/>
      <c r="L1756" s="320"/>
      <c r="M1756" s="320"/>
      <c r="N1756" s="320"/>
      <c r="O1756" s="320"/>
    </row>
    <row r="1757">
      <c r="A1757" s="32">
        <f t="shared" si="1"/>
        <v>1756</v>
      </c>
      <c r="B1757" s="9" t="s">
        <v>3425</v>
      </c>
      <c r="C1757" s="460" t="s">
        <v>3801</v>
      </c>
      <c r="D1757" s="4" t="s">
        <v>3797</v>
      </c>
      <c r="E1757" s="18" t="str">
        <f>VLOOKUP($C1757,'PPR FITTINGS'!$F$4:$I2469,3,0)</f>
        <v/>
      </c>
      <c r="F1757" s="523" t="s">
        <v>1088</v>
      </c>
      <c r="G1757" s="18">
        <f>VLOOKUP($C1757,'PPR FITTINGS'!$F$4:$I2469,2,0)</f>
        <v>42.3</v>
      </c>
      <c r="H1757" s="320"/>
      <c r="I1757" s="320"/>
      <c r="J1757" s="320"/>
      <c r="K1757" s="320"/>
      <c r="L1757" s="320"/>
      <c r="M1757" s="320"/>
      <c r="N1757" s="320"/>
      <c r="O1757" s="320"/>
    </row>
    <row r="1758">
      <c r="A1758" s="32">
        <f t="shared" si="1"/>
        <v>1757</v>
      </c>
      <c r="B1758" s="9" t="s">
        <v>3425</v>
      </c>
      <c r="C1758" s="460" t="s">
        <v>3802</v>
      </c>
      <c r="D1758" s="4" t="s">
        <v>3797</v>
      </c>
      <c r="E1758" s="18" t="str">
        <f>VLOOKUP($C1758,'PPR FITTINGS'!$F$4:$I2469,3,0)</f>
        <v/>
      </c>
      <c r="F1758" s="523" t="s">
        <v>1088</v>
      </c>
      <c r="G1758" s="18">
        <f>VLOOKUP($C1758,'PPR FITTINGS'!$F$4:$I2469,2,0)</f>
        <v>44.6</v>
      </c>
      <c r="H1758" s="320"/>
      <c r="I1758" s="320"/>
      <c r="J1758" s="320"/>
      <c r="K1758" s="320"/>
      <c r="L1758" s="320"/>
      <c r="M1758" s="320"/>
      <c r="N1758" s="320"/>
      <c r="O1758" s="320"/>
    </row>
    <row r="1759">
      <c r="A1759" s="32">
        <f t="shared" si="1"/>
        <v>1758</v>
      </c>
      <c r="B1759" s="9" t="s">
        <v>3425</v>
      </c>
      <c r="C1759" s="460" t="s">
        <v>3803</v>
      </c>
      <c r="D1759" s="4" t="s">
        <v>3797</v>
      </c>
      <c r="E1759" s="18" t="str">
        <f>VLOOKUP($C1759,'PPR FITTINGS'!$F$4:$I2469,3,0)</f>
        <v/>
      </c>
      <c r="F1759" s="523" t="s">
        <v>1088</v>
      </c>
      <c r="G1759" s="18">
        <f>VLOOKUP($C1759,'PPR FITTINGS'!$F$4:$I2469,2,0)</f>
        <v>68.8</v>
      </c>
      <c r="H1759" s="320"/>
      <c r="I1759" s="320"/>
      <c r="J1759" s="320"/>
      <c r="K1759" s="320"/>
      <c r="L1759" s="320"/>
      <c r="M1759" s="320"/>
      <c r="N1759" s="320"/>
      <c r="O1759" s="320"/>
    </row>
    <row r="1760">
      <c r="A1760" s="32">
        <f t="shared" si="1"/>
        <v>1759</v>
      </c>
      <c r="B1760" s="9" t="s">
        <v>3425</v>
      </c>
      <c r="C1760" s="460" t="s">
        <v>3804</v>
      </c>
      <c r="D1760" s="4" t="s">
        <v>3797</v>
      </c>
      <c r="E1760" s="18" t="str">
        <f>VLOOKUP($C1760,'PPR FITTINGS'!$F$4:$I2469,3,0)</f>
        <v/>
      </c>
      <c r="F1760" s="523" t="s">
        <v>1088</v>
      </c>
      <c r="G1760" s="18">
        <f>VLOOKUP($C1760,'PPR FITTINGS'!$F$4:$I2469,2,0)</f>
        <v>72.1</v>
      </c>
      <c r="H1760" s="320"/>
      <c r="I1760" s="320"/>
      <c r="J1760" s="320"/>
      <c r="K1760" s="320"/>
      <c r="L1760" s="320"/>
      <c r="M1760" s="320"/>
      <c r="N1760" s="320"/>
      <c r="O1760" s="320"/>
    </row>
    <row r="1761">
      <c r="A1761" s="32">
        <f t="shared" si="1"/>
        <v>1760</v>
      </c>
      <c r="B1761" s="9" t="s">
        <v>3425</v>
      </c>
      <c r="C1761" s="460" t="s">
        <v>3805</v>
      </c>
      <c r="D1761" s="4" t="s">
        <v>3797</v>
      </c>
      <c r="E1761" s="18" t="str">
        <f>VLOOKUP($C1761,'PPR FITTINGS'!$F$4:$I2469,3,0)</f>
        <v/>
      </c>
      <c r="F1761" s="523" t="s">
        <v>1088</v>
      </c>
      <c r="G1761" s="18">
        <f>VLOOKUP($C1761,'PPR FITTINGS'!$F$4:$I2469,2,0)</f>
        <v>74.4</v>
      </c>
      <c r="H1761" s="320"/>
      <c r="I1761" s="320"/>
      <c r="J1761" s="320"/>
      <c r="K1761" s="320"/>
      <c r="L1761" s="320"/>
      <c r="M1761" s="320"/>
      <c r="N1761" s="320"/>
      <c r="O1761" s="320"/>
    </row>
    <row r="1762">
      <c r="A1762" s="32">
        <f t="shared" si="1"/>
        <v>1761</v>
      </c>
      <c r="B1762" s="9" t="s">
        <v>3425</v>
      </c>
      <c r="C1762" s="460" t="s">
        <v>3806</v>
      </c>
      <c r="D1762" s="4" t="s">
        <v>3797</v>
      </c>
      <c r="E1762" s="18" t="str">
        <f>VLOOKUP($C1762,'PPR FITTINGS'!$F$4:$I2469,3,0)</f>
        <v/>
      </c>
      <c r="F1762" s="523" t="s">
        <v>1088</v>
      </c>
      <c r="G1762" s="18">
        <f>VLOOKUP($C1762,'PPR FITTINGS'!$F$4:$I2469,2,0)</f>
        <v>78.2</v>
      </c>
      <c r="H1762" s="320"/>
      <c r="I1762" s="320"/>
      <c r="J1762" s="320"/>
      <c r="K1762" s="320"/>
      <c r="L1762" s="320"/>
      <c r="M1762" s="320"/>
      <c r="N1762" s="320"/>
      <c r="O1762" s="320"/>
    </row>
    <row r="1763">
      <c r="A1763" s="32">
        <f t="shared" si="1"/>
        <v>1762</v>
      </c>
      <c r="B1763" s="9" t="s">
        <v>3425</v>
      </c>
      <c r="C1763" s="460" t="s">
        <v>3807</v>
      </c>
      <c r="D1763" s="4" t="s">
        <v>3797</v>
      </c>
      <c r="E1763" s="18" t="str">
        <f>VLOOKUP($C1763,'PPR FITTINGS'!$F$4:$I2469,3,0)</f>
        <v/>
      </c>
      <c r="F1763" s="523" t="s">
        <v>1088</v>
      </c>
      <c r="G1763" s="18">
        <f>VLOOKUP($C1763,'PPR FITTINGS'!$F$4:$I2469,2,0)</f>
        <v>126.9</v>
      </c>
      <c r="H1763" s="320"/>
      <c r="I1763" s="320"/>
      <c r="J1763" s="320"/>
      <c r="K1763" s="320"/>
      <c r="L1763" s="320"/>
      <c r="M1763" s="320"/>
      <c r="N1763" s="320"/>
      <c r="O1763" s="320"/>
    </row>
    <row r="1764">
      <c r="A1764" s="32">
        <f t="shared" si="1"/>
        <v>1763</v>
      </c>
      <c r="B1764" s="9" t="s">
        <v>3425</v>
      </c>
      <c r="C1764" s="460" t="s">
        <v>3808</v>
      </c>
      <c r="D1764" s="4" t="s">
        <v>3797</v>
      </c>
      <c r="E1764" s="18" t="str">
        <f>VLOOKUP($C1764,'PPR FITTINGS'!$F$4:$I2469,3,0)</f>
        <v/>
      </c>
      <c r="F1764" s="523" t="s">
        <v>1088</v>
      </c>
      <c r="G1764" s="18">
        <f>VLOOKUP($C1764,'PPR FITTINGS'!$F$4:$I2469,2,0)</f>
        <v>136.4</v>
      </c>
      <c r="H1764" s="320"/>
      <c r="I1764" s="320"/>
      <c r="J1764" s="320"/>
      <c r="K1764" s="320"/>
      <c r="L1764" s="320"/>
      <c r="M1764" s="320"/>
      <c r="N1764" s="320"/>
      <c r="O1764" s="320"/>
    </row>
    <row r="1765">
      <c r="A1765" s="32">
        <f t="shared" si="1"/>
        <v>1764</v>
      </c>
      <c r="B1765" s="9" t="s">
        <v>3425</v>
      </c>
      <c r="C1765" s="460" t="s">
        <v>3810</v>
      </c>
      <c r="D1765" s="4" t="s">
        <v>3797</v>
      </c>
      <c r="E1765" s="18" t="str">
        <f>VLOOKUP($C1765,'PPR FITTINGS'!$F$4:$I2469,3,0)</f>
        <v/>
      </c>
      <c r="F1765" s="523" t="s">
        <v>1088</v>
      </c>
      <c r="G1765" s="18">
        <f>VLOOKUP($C1765,'PPR FITTINGS'!$F$4:$I2469,2,0)</f>
        <v>157.3</v>
      </c>
      <c r="H1765" s="320"/>
      <c r="I1765" s="320"/>
      <c r="J1765" s="320"/>
      <c r="K1765" s="320"/>
      <c r="L1765" s="320"/>
      <c r="M1765" s="320"/>
      <c r="N1765" s="320"/>
      <c r="O1765" s="320"/>
    </row>
    <row r="1766">
      <c r="A1766" s="32">
        <f t="shared" si="1"/>
        <v>1765</v>
      </c>
      <c r="B1766" s="9" t="s">
        <v>3425</v>
      </c>
      <c r="C1766" s="460" t="s">
        <v>3811</v>
      </c>
      <c r="D1766" s="4" t="s">
        <v>3797</v>
      </c>
      <c r="E1766" s="18" t="str">
        <f>VLOOKUP($C1766,'PPR FITTINGS'!$F$4:$I2469,3,0)</f>
        <v/>
      </c>
      <c r="F1766" s="523" t="s">
        <v>1088</v>
      </c>
      <c r="G1766" s="18">
        <f>VLOOKUP($C1766,'PPR FITTINGS'!$F$4:$I2469,2,0)</f>
        <v>156.5</v>
      </c>
      <c r="H1766" s="320"/>
      <c r="I1766" s="320"/>
      <c r="J1766" s="320"/>
      <c r="K1766" s="320"/>
      <c r="L1766" s="320"/>
      <c r="M1766" s="320"/>
      <c r="N1766" s="320"/>
      <c r="O1766" s="320"/>
    </row>
    <row r="1767">
      <c r="A1767" s="32">
        <f t="shared" si="1"/>
        <v>1766</v>
      </c>
      <c r="B1767" s="9" t="s">
        <v>3425</v>
      </c>
      <c r="C1767" s="460" t="s">
        <v>3812</v>
      </c>
      <c r="D1767" s="4" t="s">
        <v>3797</v>
      </c>
      <c r="E1767" s="18" t="str">
        <f>VLOOKUP($C1767,'PPR FITTINGS'!$F$4:$I2469,3,0)</f>
        <v/>
      </c>
      <c r="F1767" s="523" t="s">
        <v>1088</v>
      </c>
      <c r="G1767" s="18">
        <f>VLOOKUP($C1767,'PPR FITTINGS'!$F$4:$I2469,2,0)</f>
        <v>782.3</v>
      </c>
      <c r="H1767" s="320"/>
      <c r="I1767" s="320"/>
      <c r="J1767" s="320"/>
      <c r="K1767" s="320"/>
      <c r="L1767" s="320"/>
      <c r="M1767" s="320"/>
      <c r="N1767" s="320"/>
      <c r="O1767" s="320"/>
    </row>
    <row r="1768">
      <c r="A1768" s="32">
        <f t="shared" si="1"/>
        <v>1767</v>
      </c>
      <c r="B1768" s="9" t="s">
        <v>3425</v>
      </c>
      <c r="C1768" s="460" t="s">
        <v>3813</v>
      </c>
      <c r="D1768" s="4" t="s">
        <v>3814</v>
      </c>
      <c r="E1768" s="18" t="str">
        <f>VLOOKUP($C1768,'PPR FITTINGS'!$F$4:$I2469,3,0)</f>
        <v/>
      </c>
      <c r="F1768" s="523" t="s">
        <v>1088</v>
      </c>
      <c r="G1768" s="18">
        <f>VLOOKUP($C1768,'PPR FITTINGS'!$F$4:$I2469,2,0)</f>
        <v>134.1</v>
      </c>
      <c r="H1768" s="320"/>
      <c r="I1768" s="320"/>
      <c r="J1768" s="320"/>
      <c r="K1768" s="320"/>
      <c r="L1768" s="320"/>
      <c r="M1768" s="320"/>
      <c r="N1768" s="320"/>
      <c r="O1768" s="320"/>
    </row>
    <row r="1769">
      <c r="A1769" s="32">
        <f t="shared" si="1"/>
        <v>1768</v>
      </c>
      <c r="B1769" s="9" t="s">
        <v>3425</v>
      </c>
      <c r="C1769" s="460" t="s">
        <v>3815</v>
      </c>
      <c r="D1769" s="4" t="s">
        <v>3814</v>
      </c>
      <c r="E1769" s="18" t="str">
        <f>VLOOKUP($C1769,'PPR FITTINGS'!$F$4:$I2469,3,0)</f>
        <v/>
      </c>
      <c r="F1769" s="523" t="s">
        <v>1088</v>
      </c>
      <c r="G1769" s="18">
        <f>VLOOKUP($C1769,'PPR FITTINGS'!$F$4:$I2469,2,0)</f>
        <v>139.7</v>
      </c>
      <c r="H1769" s="320"/>
      <c r="I1769" s="320"/>
      <c r="J1769" s="320"/>
      <c r="K1769" s="320"/>
      <c r="L1769" s="320"/>
      <c r="M1769" s="320"/>
      <c r="N1769" s="320"/>
      <c r="O1769" s="320"/>
    </row>
    <row r="1770">
      <c r="A1770" s="32">
        <f t="shared" si="1"/>
        <v>1769</v>
      </c>
      <c r="B1770" s="9" t="s">
        <v>3425</v>
      </c>
      <c r="C1770" s="460" t="s">
        <v>3816</v>
      </c>
      <c r="D1770" s="4" t="s">
        <v>3817</v>
      </c>
      <c r="E1770" s="18" t="str">
        <f>VLOOKUP($C1770,'PPR FITTINGS'!$F$4:$I2469,3,0)</f>
        <v/>
      </c>
      <c r="F1770" s="523" t="s">
        <v>1088</v>
      </c>
      <c r="G1770" s="18">
        <f>VLOOKUP($C1770,'PPR FITTINGS'!$F$4:$I2469,2,0)</f>
        <v>145</v>
      </c>
      <c r="H1770" s="320"/>
      <c r="I1770" s="320"/>
      <c r="J1770" s="320"/>
      <c r="K1770" s="320"/>
      <c r="L1770" s="320"/>
      <c r="M1770" s="320"/>
      <c r="N1770" s="320"/>
      <c r="O1770" s="320"/>
    </row>
    <row r="1771">
      <c r="A1771" s="32">
        <f t="shared" si="1"/>
        <v>1770</v>
      </c>
      <c r="B1771" s="9" t="s">
        <v>3425</v>
      </c>
      <c r="C1771" s="460" t="s">
        <v>3818</v>
      </c>
      <c r="D1771" s="4" t="s">
        <v>3817</v>
      </c>
      <c r="E1771" s="18" t="str">
        <f>VLOOKUP($C1771,'PPR FITTINGS'!$F$4:$I2469,3,0)</f>
        <v/>
      </c>
      <c r="F1771" s="523" t="s">
        <v>1088</v>
      </c>
      <c r="G1771" s="18">
        <f>VLOOKUP($C1771,'PPR FITTINGS'!$F$4:$I2469,2,0)</f>
        <v>189.8</v>
      </c>
      <c r="H1771" s="320"/>
      <c r="I1771" s="320"/>
      <c r="J1771" s="320"/>
      <c r="K1771" s="320"/>
      <c r="L1771" s="320"/>
      <c r="M1771" s="320"/>
      <c r="N1771" s="320"/>
      <c r="O1771" s="320"/>
    </row>
    <row r="1772">
      <c r="A1772" s="32">
        <f t="shared" si="1"/>
        <v>1771</v>
      </c>
      <c r="B1772" s="9" t="s">
        <v>3425</v>
      </c>
      <c r="C1772" s="460" t="s">
        <v>3819</v>
      </c>
      <c r="D1772" s="4" t="s">
        <v>3817</v>
      </c>
      <c r="E1772" s="18" t="str">
        <f>VLOOKUP($C1772,'PPR FITTINGS'!$F$4:$I2469,3,0)</f>
        <v/>
      </c>
      <c r="F1772" s="523" t="s">
        <v>1088</v>
      </c>
      <c r="G1772" s="18">
        <f>VLOOKUP($C1772,'PPR FITTINGS'!$F$4:$I2469,2,0)</f>
        <v>323.3</v>
      </c>
      <c r="H1772" s="320"/>
      <c r="I1772" s="320"/>
      <c r="J1772" s="320"/>
      <c r="K1772" s="320"/>
      <c r="L1772" s="320"/>
      <c r="M1772" s="320"/>
      <c r="N1772" s="320"/>
      <c r="O1772" s="320"/>
    </row>
    <row r="1773">
      <c r="A1773" s="32">
        <f t="shared" si="1"/>
        <v>1772</v>
      </c>
      <c r="B1773" s="9" t="s">
        <v>3425</v>
      </c>
      <c r="C1773" s="460" t="s">
        <v>3820</v>
      </c>
      <c r="D1773" s="4" t="s">
        <v>3817</v>
      </c>
      <c r="E1773" s="18" t="str">
        <f>VLOOKUP($C1773,'PPR FITTINGS'!$F$4:$I2469,3,0)</f>
        <v/>
      </c>
      <c r="F1773" s="523" t="s">
        <v>1088</v>
      </c>
      <c r="G1773" s="18">
        <f>VLOOKUP($C1773,'PPR FITTINGS'!$F$4:$I2469,2,0)</f>
        <v>714.6</v>
      </c>
      <c r="H1773" s="320"/>
      <c r="I1773" s="320"/>
      <c r="J1773" s="320"/>
      <c r="K1773" s="320"/>
      <c r="L1773" s="320"/>
      <c r="M1773" s="320"/>
      <c r="N1773" s="320"/>
      <c r="O1773" s="320"/>
    </row>
    <row r="1774">
      <c r="A1774" s="32">
        <f t="shared" si="1"/>
        <v>1773</v>
      </c>
      <c r="B1774" s="9" t="s">
        <v>3425</v>
      </c>
      <c r="C1774" s="460" t="s">
        <v>3821</v>
      </c>
      <c r="D1774" s="4" t="s">
        <v>3822</v>
      </c>
      <c r="E1774" s="18" t="str">
        <f>VLOOKUP($C1774,'PPR FITTINGS'!$F$4:$I2469,3,0)</f>
        <v/>
      </c>
      <c r="F1774" s="523" t="s">
        <v>1088</v>
      </c>
      <c r="G1774" s="18">
        <f>VLOOKUP($C1774,'PPR FITTINGS'!$F$4:$I2469,2,0)</f>
        <v>100.7</v>
      </c>
      <c r="H1774" s="320"/>
      <c r="I1774" s="320"/>
      <c r="J1774" s="320"/>
      <c r="K1774" s="320"/>
      <c r="L1774" s="320"/>
      <c r="M1774" s="320"/>
      <c r="N1774" s="320"/>
      <c r="O1774" s="320"/>
    </row>
    <row r="1775">
      <c r="A1775" s="32">
        <f t="shared" si="1"/>
        <v>1774</v>
      </c>
      <c r="B1775" s="9" t="s">
        <v>3425</v>
      </c>
      <c r="C1775" s="460" t="s">
        <v>3823</v>
      </c>
      <c r="D1775" s="4" t="s">
        <v>3822</v>
      </c>
      <c r="E1775" s="18" t="str">
        <f>VLOOKUP($C1775,'PPR FITTINGS'!$F$4:$I2469,3,0)</f>
        <v/>
      </c>
      <c r="F1775" s="523" t="s">
        <v>1088</v>
      </c>
      <c r="G1775" s="18">
        <f>VLOOKUP($C1775,'PPR FITTINGS'!$F$4:$I2469,2,0)</f>
        <v>119.2</v>
      </c>
      <c r="H1775" s="320"/>
      <c r="I1775" s="320"/>
      <c r="J1775" s="320"/>
      <c r="K1775" s="320"/>
      <c r="L1775" s="320"/>
      <c r="M1775" s="320"/>
      <c r="N1775" s="320"/>
      <c r="O1775" s="320"/>
    </row>
    <row r="1776">
      <c r="A1776" s="32">
        <f t="shared" si="1"/>
        <v>1775</v>
      </c>
      <c r="B1776" s="9" t="s">
        <v>3425</v>
      </c>
      <c r="C1776" s="460" t="s">
        <v>3824</v>
      </c>
      <c r="D1776" s="668" t="s">
        <v>3825</v>
      </c>
      <c r="E1776" s="18" t="str">
        <f>VLOOKUP($C1776,'PPR FITTINGS'!$F$4:$I2469,3,0)</f>
        <v/>
      </c>
      <c r="F1776" s="523" t="s">
        <v>1088</v>
      </c>
      <c r="G1776" s="18">
        <f>VLOOKUP($C1776,'PPR FITTINGS'!$F$4:$I2469,2,0)</f>
        <v>18.6</v>
      </c>
      <c r="H1776" s="320"/>
      <c r="I1776" s="320"/>
      <c r="J1776" s="320"/>
      <c r="K1776" s="320"/>
      <c r="L1776" s="320"/>
      <c r="M1776" s="320"/>
      <c r="N1776" s="320"/>
      <c r="O1776" s="320"/>
    </row>
    <row r="1777">
      <c r="A1777" s="32">
        <f t="shared" si="1"/>
        <v>1776</v>
      </c>
      <c r="B1777" s="9" t="s">
        <v>3425</v>
      </c>
      <c r="C1777" s="460" t="s">
        <v>3826</v>
      </c>
      <c r="D1777" s="668" t="s">
        <v>3825</v>
      </c>
      <c r="E1777" s="18" t="str">
        <f>VLOOKUP($C1777,'PPR FITTINGS'!$F$4:$I2469,3,0)</f>
        <v/>
      </c>
      <c r="F1777" s="523" t="s">
        <v>1088</v>
      </c>
      <c r="G1777" s="18">
        <f>VLOOKUP($C1777,'PPR FITTINGS'!$F$4:$I2469,2,0)</f>
        <v>25.2</v>
      </c>
      <c r="H1777" s="320"/>
      <c r="I1777" s="320"/>
      <c r="J1777" s="320"/>
      <c r="K1777" s="320"/>
      <c r="L1777" s="320"/>
      <c r="M1777" s="320"/>
      <c r="N1777" s="320"/>
      <c r="O1777" s="320"/>
    </row>
    <row r="1778">
      <c r="A1778" s="32">
        <f t="shared" si="1"/>
        <v>1777</v>
      </c>
      <c r="B1778" s="9" t="s">
        <v>3425</v>
      </c>
      <c r="C1778" s="460" t="s">
        <v>3827</v>
      </c>
      <c r="D1778" s="668" t="s">
        <v>3825</v>
      </c>
      <c r="E1778" s="18" t="str">
        <f>VLOOKUP($C1778,'PPR FITTINGS'!$F$4:$I2469,3,0)</f>
        <v/>
      </c>
      <c r="F1778" s="523" t="s">
        <v>1088</v>
      </c>
      <c r="G1778" s="18">
        <f>VLOOKUP($C1778,'PPR FITTINGS'!$F$4:$I2469,2,0)</f>
        <v>44.6</v>
      </c>
      <c r="H1778" s="320"/>
      <c r="I1778" s="320"/>
      <c r="J1778" s="320"/>
      <c r="K1778" s="320"/>
      <c r="L1778" s="320"/>
      <c r="M1778" s="320"/>
      <c r="N1778" s="320"/>
      <c r="O1778" s="320"/>
    </row>
    <row r="1779">
      <c r="A1779" s="32">
        <f t="shared" si="1"/>
        <v>1778</v>
      </c>
      <c r="B1779" s="9" t="s">
        <v>3425</v>
      </c>
      <c r="C1779" s="460" t="s">
        <v>3828</v>
      </c>
      <c r="D1779" s="668" t="s">
        <v>3825</v>
      </c>
      <c r="E1779" s="18" t="str">
        <f>VLOOKUP($C1779,'PPR FITTINGS'!$F$4:$I2469,3,0)</f>
        <v/>
      </c>
      <c r="F1779" s="523" t="s">
        <v>1088</v>
      </c>
      <c r="G1779" s="18">
        <f>VLOOKUP($C1779,'PPR FITTINGS'!$F$4:$I2469,2,0)</f>
        <v>72.2</v>
      </c>
      <c r="H1779" s="320"/>
      <c r="I1779" s="320"/>
      <c r="J1779" s="320"/>
      <c r="K1779" s="320"/>
      <c r="L1779" s="320"/>
      <c r="M1779" s="320"/>
      <c r="N1779" s="320"/>
      <c r="O1779" s="320"/>
    </row>
    <row r="1780">
      <c r="A1780" s="32">
        <f t="shared" si="1"/>
        <v>1779</v>
      </c>
      <c r="B1780" s="9" t="s">
        <v>3425</v>
      </c>
      <c r="C1780" s="460" t="s">
        <v>3829</v>
      </c>
      <c r="D1780" s="668" t="s">
        <v>3825</v>
      </c>
      <c r="E1780" s="18" t="str">
        <f>VLOOKUP($C1780,'PPR FITTINGS'!$F$4:$I2469,3,0)</f>
        <v/>
      </c>
      <c r="F1780" s="523" t="s">
        <v>1088</v>
      </c>
      <c r="G1780" s="18">
        <f>VLOOKUP($C1780,'PPR FITTINGS'!$F$4:$I2469,2,0)</f>
        <v>128.7</v>
      </c>
      <c r="H1780" s="320"/>
      <c r="I1780" s="320"/>
      <c r="J1780" s="320"/>
      <c r="K1780" s="320"/>
      <c r="L1780" s="320"/>
      <c r="M1780" s="320"/>
      <c r="N1780" s="320"/>
      <c r="O1780" s="320"/>
    </row>
    <row r="1781">
      <c r="A1781" s="32">
        <f t="shared" si="1"/>
        <v>1780</v>
      </c>
      <c r="B1781" s="9" t="s">
        <v>3425</v>
      </c>
      <c r="C1781" s="460" t="s">
        <v>3830</v>
      </c>
      <c r="D1781" s="668" t="s">
        <v>3825</v>
      </c>
      <c r="E1781" s="18" t="str">
        <f>VLOOKUP($C1781,'PPR FITTINGS'!$F$4:$I2469,3,0)</f>
        <v/>
      </c>
      <c r="F1781" s="523" t="s">
        <v>1088</v>
      </c>
      <c r="G1781" s="18">
        <f>VLOOKUP($C1781,'PPR FITTINGS'!$F$4:$I2469,2,0)</f>
        <v>288.9</v>
      </c>
      <c r="H1781" s="320"/>
      <c r="I1781" s="320"/>
      <c r="J1781" s="320"/>
      <c r="K1781" s="320"/>
      <c r="L1781" s="320"/>
      <c r="M1781" s="320"/>
      <c r="N1781" s="320"/>
      <c r="O1781" s="320"/>
    </row>
    <row r="1782">
      <c r="A1782" s="32">
        <f t="shared" si="1"/>
        <v>1781</v>
      </c>
      <c r="B1782" s="9" t="s">
        <v>3425</v>
      </c>
      <c r="C1782" s="460" t="s">
        <v>3831</v>
      </c>
      <c r="D1782" s="668" t="s">
        <v>3825</v>
      </c>
      <c r="E1782" s="18" t="str">
        <f>VLOOKUP($C1782,'PPR FITTINGS'!$F$4:$I2469,3,0)</f>
        <v/>
      </c>
      <c r="F1782" s="523" t="s">
        <v>1088</v>
      </c>
      <c r="G1782" s="18">
        <f>VLOOKUP($C1782,'PPR FITTINGS'!$F$4:$I2469,2,0)</f>
        <v>620.5</v>
      </c>
      <c r="H1782" s="320"/>
      <c r="I1782" s="320"/>
      <c r="J1782" s="320"/>
      <c r="K1782" s="320"/>
      <c r="L1782" s="320"/>
      <c r="M1782" s="320"/>
      <c r="N1782" s="320"/>
      <c r="O1782" s="320"/>
    </row>
    <row r="1783">
      <c r="A1783" s="32">
        <f t="shared" si="1"/>
        <v>1782</v>
      </c>
      <c r="B1783" s="9" t="s">
        <v>3425</v>
      </c>
      <c r="C1783" s="460" t="s">
        <v>3832</v>
      </c>
      <c r="D1783" s="668" t="s">
        <v>3825</v>
      </c>
      <c r="E1783" s="18" t="str">
        <f>VLOOKUP($C1783,'PPR FITTINGS'!$F$4:$I2469,3,0)</f>
        <v/>
      </c>
      <c r="F1783" s="523" t="s">
        <v>1088</v>
      </c>
      <c r="G1783" s="18">
        <f>VLOOKUP($C1783,'PPR FITTINGS'!$F$4:$I2469,2,0)</f>
        <v>810.9</v>
      </c>
      <c r="H1783" s="320"/>
      <c r="I1783" s="320"/>
      <c r="J1783" s="320"/>
      <c r="K1783" s="320"/>
      <c r="L1783" s="320"/>
      <c r="M1783" s="320"/>
      <c r="N1783" s="320"/>
      <c r="O1783" s="320"/>
    </row>
    <row r="1784">
      <c r="A1784" s="32">
        <f t="shared" si="1"/>
        <v>1783</v>
      </c>
      <c r="B1784" s="9" t="s">
        <v>3425</v>
      </c>
      <c r="C1784" s="460" t="s">
        <v>3833</v>
      </c>
      <c r="D1784" s="668" t="s">
        <v>3825</v>
      </c>
      <c r="E1784" s="18" t="str">
        <f>VLOOKUP($C1784,'PPR FITTINGS'!$F$4:$I2469,3,0)</f>
        <v/>
      </c>
      <c r="F1784" s="523" t="s">
        <v>1088</v>
      </c>
      <c r="G1784" s="18">
        <f>VLOOKUP($C1784,'PPR FITTINGS'!$F$4:$I2469,2,0)</f>
        <v>1424.7</v>
      </c>
      <c r="H1784" s="320"/>
      <c r="I1784" s="320"/>
      <c r="J1784" s="320"/>
      <c r="K1784" s="320"/>
      <c r="L1784" s="320"/>
      <c r="M1784" s="320"/>
      <c r="N1784" s="320"/>
      <c r="O1784" s="320"/>
    </row>
    <row r="1785">
      <c r="A1785" s="32">
        <f t="shared" si="1"/>
        <v>1784</v>
      </c>
      <c r="B1785" s="9" t="s">
        <v>3425</v>
      </c>
      <c r="C1785" s="460" t="s">
        <v>3834</v>
      </c>
      <c r="D1785" s="4" t="s">
        <v>3835</v>
      </c>
      <c r="E1785" s="18" t="str">
        <f>VLOOKUP($C1785,'PPR FITTINGS'!$F$4:$I2469,3,0)</f>
        <v/>
      </c>
      <c r="F1785" s="523" t="s">
        <v>1088</v>
      </c>
      <c r="G1785" s="18">
        <f>VLOOKUP($C1785,'PPR FITTINGS'!$F$4:$I2469,2,0)</f>
        <v>144.8</v>
      </c>
      <c r="H1785" s="320"/>
      <c r="I1785" s="320"/>
      <c r="J1785" s="320"/>
      <c r="K1785" s="320"/>
      <c r="L1785" s="320"/>
      <c r="M1785" s="320"/>
      <c r="N1785" s="320"/>
      <c r="O1785" s="320"/>
    </row>
    <row r="1786">
      <c r="A1786" s="32">
        <f t="shared" si="1"/>
        <v>1785</v>
      </c>
      <c r="B1786" s="9" t="s">
        <v>3425</v>
      </c>
      <c r="C1786" s="460" t="s">
        <v>3836</v>
      </c>
      <c r="D1786" s="4" t="s">
        <v>3835</v>
      </c>
      <c r="E1786" s="18" t="str">
        <f>VLOOKUP($C1786,'PPR FITTINGS'!$F$4:$I2469,3,0)</f>
        <v/>
      </c>
      <c r="F1786" s="523" t="s">
        <v>1088</v>
      </c>
      <c r="G1786" s="18">
        <f>VLOOKUP($C1786,'PPR FITTINGS'!$F$4:$I2469,2,0)</f>
        <v>182</v>
      </c>
      <c r="H1786" s="320"/>
      <c r="I1786" s="320"/>
      <c r="J1786" s="320"/>
      <c r="K1786" s="320"/>
      <c r="L1786" s="320"/>
      <c r="M1786" s="320"/>
      <c r="N1786" s="320"/>
      <c r="O1786" s="320"/>
    </row>
    <row r="1787">
      <c r="A1787" s="32">
        <f t="shared" si="1"/>
        <v>1786</v>
      </c>
      <c r="B1787" s="9" t="s">
        <v>3425</v>
      </c>
      <c r="C1787" s="460" t="s">
        <v>3837</v>
      </c>
      <c r="D1787" s="4" t="s">
        <v>3835</v>
      </c>
      <c r="E1787" s="18" t="str">
        <f>VLOOKUP($C1787,'PPR FITTINGS'!$F$4:$I2469,3,0)</f>
        <v/>
      </c>
      <c r="F1787" s="523" t="s">
        <v>1088</v>
      </c>
      <c r="G1787" s="18">
        <f>VLOOKUP($C1787,'PPR FITTINGS'!$F$4:$I2469,2,0)</f>
        <v>204.7</v>
      </c>
      <c r="H1787" s="320"/>
      <c r="I1787" s="320"/>
      <c r="J1787" s="320"/>
      <c r="K1787" s="320"/>
      <c r="L1787" s="320"/>
      <c r="M1787" s="320"/>
      <c r="N1787" s="320"/>
      <c r="O1787" s="320"/>
    </row>
    <row r="1788">
      <c r="A1788" s="32">
        <f t="shared" si="1"/>
        <v>1787</v>
      </c>
      <c r="B1788" s="9" t="s">
        <v>3425</v>
      </c>
      <c r="C1788" s="460" t="s">
        <v>3838</v>
      </c>
      <c r="D1788" s="4" t="s">
        <v>3835</v>
      </c>
      <c r="E1788" s="18" t="str">
        <f>VLOOKUP($C1788,'PPR FITTINGS'!$F$4:$I2469,3,0)</f>
        <v/>
      </c>
      <c r="F1788" s="523" t="s">
        <v>1088</v>
      </c>
      <c r="G1788" s="18">
        <f>VLOOKUP($C1788,'PPR FITTINGS'!$F$4:$I2469,2,0)</f>
        <v>0</v>
      </c>
      <c r="H1788" s="320"/>
      <c r="I1788" s="320"/>
      <c r="J1788" s="320"/>
      <c r="K1788" s="320"/>
      <c r="L1788" s="320"/>
      <c r="M1788" s="320"/>
      <c r="N1788" s="320"/>
      <c r="O1788" s="320"/>
    </row>
    <row r="1789">
      <c r="A1789" s="32">
        <f t="shared" si="1"/>
        <v>1788</v>
      </c>
      <c r="B1789" s="9" t="s">
        <v>3425</v>
      </c>
      <c r="C1789" s="460" t="s">
        <v>3839</v>
      </c>
      <c r="D1789" s="668" t="s">
        <v>3840</v>
      </c>
      <c r="E1789" s="18" t="str">
        <f>VLOOKUP($C1789,'PPR FITTINGS'!$F$4:$I2469,3,0)</f>
        <v/>
      </c>
      <c r="F1789" s="523" t="s">
        <v>1088</v>
      </c>
      <c r="G1789" s="18">
        <f>VLOOKUP($C1789,'PPR FITTINGS'!$F$4:$I2469,2,0)</f>
        <v>22</v>
      </c>
      <c r="H1789" s="320"/>
      <c r="I1789" s="320"/>
      <c r="J1789" s="320"/>
      <c r="K1789" s="320"/>
      <c r="L1789" s="320"/>
      <c r="M1789" s="320"/>
      <c r="N1789" s="320"/>
      <c r="O1789" s="320"/>
    </row>
    <row r="1790">
      <c r="A1790" s="32">
        <f t="shared" si="1"/>
        <v>1789</v>
      </c>
      <c r="B1790" s="9" t="s">
        <v>3425</v>
      </c>
      <c r="C1790" s="460" t="s">
        <v>3841</v>
      </c>
      <c r="D1790" s="668" t="s">
        <v>3840</v>
      </c>
      <c r="E1790" s="18" t="str">
        <f>VLOOKUP($C1790,'PPR FITTINGS'!$F$4:$I2469,3,0)</f>
        <v/>
      </c>
      <c r="F1790" s="523" t="s">
        <v>1088</v>
      </c>
      <c r="G1790" s="18">
        <f>VLOOKUP($C1790,'PPR FITTINGS'!$F$4:$I2469,2,0)</f>
        <v>40.5</v>
      </c>
      <c r="H1790" s="320"/>
      <c r="I1790" s="320"/>
      <c r="J1790" s="320"/>
      <c r="K1790" s="320"/>
      <c r="L1790" s="320"/>
      <c r="M1790" s="320"/>
      <c r="N1790" s="320"/>
      <c r="O1790" s="320"/>
    </row>
    <row r="1791">
      <c r="A1791" s="32">
        <f t="shared" si="1"/>
        <v>1790</v>
      </c>
      <c r="B1791" s="9" t="s">
        <v>3425</v>
      </c>
      <c r="C1791" s="460" t="s">
        <v>3842</v>
      </c>
      <c r="D1791" s="668" t="s">
        <v>3840</v>
      </c>
      <c r="E1791" s="18" t="str">
        <f>VLOOKUP($C1791,'PPR FITTINGS'!$F$4:$I2469,3,0)</f>
        <v/>
      </c>
      <c r="F1791" s="523" t="s">
        <v>1088</v>
      </c>
      <c r="G1791" s="18">
        <f>VLOOKUP($C1791,'PPR FITTINGS'!$F$4:$I2469,2,0)</f>
        <v>65.6</v>
      </c>
      <c r="H1791" s="320"/>
      <c r="I1791" s="320"/>
      <c r="J1791" s="320"/>
      <c r="K1791" s="320"/>
      <c r="L1791" s="320"/>
      <c r="M1791" s="320"/>
      <c r="N1791" s="320"/>
      <c r="O1791" s="320"/>
    </row>
    <row r="1792">
      <c r="A1792" s="32">
        <f t="shared" si="1"/>
        <v>1791</v>
      </c>
      <c r="B1792" s="9" t="s">
        <v>3425</v>
      </c>
      <c r="C1792" s="460" t="s">
        <v>3843</v>
      </c>
      <c r="D1792" s="668" t="s">
        <v>3840</v>
      </c>
      <c r="E1792" s="18" t="str">
        <f>VLOOKUP($C1792,'PPR FITTINGS'!$F$4:$I2469,3,0)</f>
        <v/>
      </c>
      <c r="F1792" s="523" t="s">
        <v>1088</v>
      </c>
      <c r="G1792" s="18">
        <f>VLOOKUP($C1792,'PPR FITTINGS'!$F$4:$I2469,2,0)</f>
        <v>95.2</v>
      </c>
      <c r="H1792" s="320"/>
      <c r="I1792" s="320"/>
      <c r="J1792" s="320"/>
      <c r="K1792" s="320"/>
      <c r="L1792" s="320"/>
      <c r="M1792" s="320"/>
      <c r="N1792" s="320"/>
      <c r="O1792" s="320"/>
    </row>
    <row r="1793">
      <c r="A1793" s="32">
        <f t="shared" si="1"/>
        <v>1792</v>
      </c>
      <c r="B1793" s="9" t="s">
        <v>3425</v>
      </c>
      <c r="C1793" s="460" t="s">
        <v>3844</v>
      </c>
      <c r="D1793" s="668" t="s">
        <v>3840</v>
      </c>
      <c r="E1793" s="18" t="str">
        <f>VLOOKUP($C1793,'PPR FITTINGS'!$F$4:$I2469,3,0)</f>
        <v/>
      </c>
      <c r="F1793" s="523" t="s">
        <v>1088</v>
      </c>
      <c r="G1793" s="18">
        <f>VLOOKUP($C1793,'PPR FITTINGS'!$F$4:$I2469,2,0)</f>
        <v>190.4</v>
      </c>
      <c r="H1793" s="320"/>
      <c r="I1793" s="320"/>
      <c r="J1793" s="320"/>
      <c r="K1793" s="320"/>
      <c r="L1793" s="320"/>
      <c r="M1793" s="320"/>
      <c r="N1793" s="320"/>
      <c r="O1793" s="320"/>
    </row>
    <row r="1794">
      <c r="A1794" s="32">
        <f t="shared" si="1"/>
        <v>1793</v>
      </c>
      <c r="B1794" s="9" t="s">
        <v>3425</v>
      </c>
      <c r="C1794" s="460" t="s">
        <v>3845</v>
      </c>
      <c r="D1794" s="668" t="s">
        <v>3840</v>
      </c>
      <c r="E1794" s="18" t="str">
        <f>VLOOKUP($C1794,'PPR FITTINGS'!$F$4:$I2469,3,0)</f>
        <v/>
      </c>
      <c r="F1794" s="523" t="s">
        <v>1088</v>
      </c>
      <c r="G1794" s="18">
        <f>VLOOKUP($C1794,'PPR FITTINGS'!$F$4:$I2469,2,0)</f>
        <v>418.9</v>
      </c>
      <c r="H1794" s="320"/>
      <c r="I1794" s="320"/>
      <c r="J1794" s="320"/>
      <c r="K1794" s="320"/>
      <c r="L1794" s="320"/>
      <c r="M1794" s="320"/>
      <c r="N1794" s="320"/>
      <c r="O1794" s="320"/>
    </row>
    <row r="1795">
      <c r="A1795" s="32">
        <f t="shared" si="1"/>
        <v>1794</v>
      </c>
      <c r="B1795" s="9" t="s">
        <v>3425</v>
      </c>
      <c r="C1795" s="460" t="s">
        <v>3846</v>
      </c>
      <c r="D1795" s="668" t="s">
        <v>3840</v>
      </c>
      <c r="E1795" s="18" t="str">
        <f>VLOOKUP($C1795,'PPR FITTINGS'!$F$4:$I2469,3,0)</f>
        <v/>
      </c>
      <c r="F1795" s="523" t="s">
        <v>1088</v>
      </c>
      <c r="G1795" s="18">
        <f>VLOOKUP($C1795,'PPR FITTINGS'!$F$4:$I2469,2,0)</f>
        <v>799.7</v>
      </c>
      <c r="H1795" s="320"/>
      <c r="I1795" s="320"/>
      <c r="J1795" s="320"/>
      <c r="K1795" s="320"/>
      <c r="L1795" s="320"/>
      <c r="M1795" s="320"/>
      <c r="N1795" s="320"/>
      <c r="O1795" s="320"/>
    </row>
    <row r="1796">
      <c r="A1796" s="32">
        <f t="shared" si="1"/>
        <v>1795</v>
      </c>
      <c r="B1796" s="9" t="s">
        <v>3425</v>
      </c>
      <c r="C1796" s="460" t="s">
        <v>3847</v>
      </c>
      <c r="D1796" s="668" t="s">
        <v>3840</v>
      </c>
      <c r="E1796" s="18" t="str">
        <f>VLOOKUP($C1796,'PPR FITTINGS'!$F$4:$I2469,3,0)</f>
        <v/>
      </c>
      <c r="F1796" s="523" t="s">
        <v>1088</v>
      </c>
      <c r="G1796" s="18">
        <f>VLOOKUP($C1796,'PPR FITTINGS'!$F$4:$I2469,2,0)</f>
        <v>1061.8</v>
      </c>
      <c r="H1796" s="320"/>
      <c r="I1796" s="320"/>
      <c r="J1796" s="320"/>
      <c r="K1796" s="320"/>
      <c r="L1796" s="320"/>
      <c r="M1796" s="320"/>
      <c r="N1796" s="320"/>
      <c r="O1796" s="320"/>
    </row>
    <row r="1797">
      <c r="A1797" s="32">
        <f t="shared" si="1"/>
        <v>1796</v>
      </c>
      <c r="B1797" s="9" t="s">
        <v>3425</v>
      </c>
      <c r="C1797" s="460" t="s">
        <v>3848</v>
      </c>
      <c r="D1797" s="668" t="s">
        <v>3840</v>
      </c>
      <c r="E1797" s="18" t="str">
        <f>VLOOKUP($C1797,'PPR FITTINGS'!$F$4:$I2469,3,0)</f>
        <v/>
      </c>
      <c r="F1797" s="523" t="s">
        <v>1088</v>
      </c>
      <c r="G1797" s="18">
        <f>VLOOKUP($C1797,'PPR FITTINGS'!$F$4:$I2469,2,0)</f>
        <v>1655.4</v>
      </c>
      <c r="H1797" s="320"/>
      <c r="I1797" s="320"/>
      <c r="J1797" s="320"/>
      <c r="K1797" s="320"/>
      <c r="L1797" s="320"/>
      <c r="M1797" s="320"/>
      <c r="N1797" s="320"/>
      <c r="O1797" s="320"/>
    </row>
    <row r="1798">
      <c r="A1798" s="32">
        <f t="shared" si="1"/>
        <v>1797</v>
      </c>
      <c r="B1798" s="9" t="s">
        <v>3425</v>
      </c>
      <c r="C1798" s="460" t="s">
        <v>3849</v>
      </c>
      <c r="D1798" s="668" t="s">
        <v>3850</v>
      </c>
      <c r="E1798" s="18" t="str">
        <f>VLOOKUP($C1798,'PPR FITTINGS'!$F$4:$I2469,3,0)</f>
        <v/>
      </c>
      <c r="F1798" s="523" t="s">
        <v>1088</v>
      </c>
      <c r="G1798" s="18">
        <f>VLOOKUP($C1798,'PPR FITTINGS'!$F$4:$I2469,2,0)</f>
        <v>39.4</v>
      </c>
      <c r="H1798" s="320"/>
      <c r="I1798" s="320"/>
      <c r="J1798" s="320"/>
      <c r="K1798" s="320"/>
      <c r="L1798" s="320"/>
      <c r="M1798" s="320"/>
      <c r="N1798" s="320"/>
      <c r="O1798" s="320"/>
    </row>
    <row r="1799">
      <c r="A1799" s="32">
        <f t="shared" si="1"/>
        <v>1798</v>
      </c>
      <c r="B1799" s="9" t="s">
        <v>3425</v>
      </c>
      <c r="C1799" s="460" t="s">
        <v>3851</v>
      </c>
      <c r="D1799" s="668" t="s">
        <v>3850</v>
      </c>
      <c r="E1799" s="18" t="str">
        <f>VLOOKUP($C1799,'PPR FITTINGS'!$F$4:$I2469,3,0)</f>
        <v/>
      </c>
      <c r="F1799" s="523" t="s">
        <v>1088</v>
      </c>
      <c r="G1799" s="18">
        <f>VLOOKUP($C1799,'PPR FITTINGS'!$F$4:$I2469,2,0)</f>
        <v>66.8</v>
      </c>
      <c r="H1799" s="320"/>
      <c r="I1799" s="320"/>
      <c r="J1799" s="320"/>
      <c r="K1799" s="320"/>
      <c r="L1799" s="320"/>
      <c r="M1799" s="320"/>
      <c r="N1799" s="320"/>
      <c r="O1799" s="320"/>
    </row>
    <row r="1800">
      <c r="A1800" s="32">
        <f t="shared" si="1"/>
        <v>1799</v>
      </c>
      <c r="B1800" s="9" t="s">
        <v>3425</v>
      </c>
      <c r="C1800" s="460" t="s">
        <v>3852</v>
      </c>
      <c r="D1800" s="668" t="s">
        <v>3850</v>
      </c>
      <c r="E1800" s="18" t="str">
        <f>VLOOKUP($C1800,'PPR FITTINGS'!$F$4:$I2469,3,0)</f>
        <v/>
      </c>
      <c r="F1800" s="523" t="s">
        <v>1088</v>
      </c>
      <c r="G1800" s="18">
        <f>VLOOKUP($C1800,'PPR FITTINGS'!$F$4:$I2469,2,0)</f>
        <v>67.9</v>
      </c>
      <c r="H1800" s="320"/>
      <c r="I1800" s="320"/>
      <c r="J1800" s="320"/>
      <c r="K1800" s="320"/>
      <c r="L1800" s="320"/>
      <c r="M1800" s="320"/>
      <c r="N1800" s="320"/>
      <c r="O1800" s="320"/>
    </row>
    <row r="1801">
      <c r="A1801" s="32">
        <f t="shared" si="1"/>
        <v>1800</v>
      </c>
      <c r="B1801" s="9" t="s">
        <v>3425</v>
      </c>
      <c r="C1801" s="460" t="s">
        <v>3853</v>
      </c>
      <c r="D1801" s="668" t="s">
        <v>3850</v>
      </c>
      <c r="E1801" s="18" t="str">
        <f>VLOOKUP($C1801,'PPR FITTINGS'!$F$4:$I2469,3,0)</f>
        <v/>
      </c>
      <c r="F1801" s="523" t="s">
        <v>1088</v>
      </c>
      <c r="G1801" s="18">
        <f>VLOOKUP($C1801,'PPR FITTINGS'!$F$4:$I2469,2,0)</f>
        <v>89.2</v>
      </c>
      <c r="H1801" s="320"/>
      <c r="I1801" s="320"/>
      <c r="J1801" s="320"/>
      <c r="K1801" s="320"/>
      <c r="L1801" s="320"/>
      <c r="M1801" s="320"/>
      <c r="N1801" s="320"/>
      <c r="O1801" s="320"/>
    </row>
    <row r="1802">
      <c r="A1802" s="32">
        <f t="shared" si="1"/>
        <v>1801</v>
      </c>
      <c r="B1802" s="9" t="s">
        <v>3425</v>
      </c>
      <c r="C1802" s="460" t="s">
        <v>3854</v>
      </c>
      <c r="D1802" s="668" t="s">
        <v>3850</v>
      </c>
      <c r="E1802" s="18" t="str">
        <f>VLOOKUP($C1802,'PPR FITTINGS'!$F$4:$I2469,3,0)</f>
        <v/>
      </c>
      <c r="F1802" s="523" t="s">
        <v>1088</v>
      </c>
      <c r="G1802" s="18">
        <f>VLOOKUP($C1802,'PPR FITTINGS'!$F$4:$I2469,2,0)</f>
        <v>93</v>
      </c>
      <c r="H1802" s="320"/>
      <c r="I1802" s="320"/>
      <c r="J1802" s="320"/>
      <c r="K1802" s="320"/>
      <c r="L1802" s="320"/>
      <c r="M1802" s="320"/>
      <c r="N1802" s="320"/>
      <c r="O1802" s="320"/>
    </row>
    <row r="1803">
      <c r="A1803" s="32">
        <f t="shared" si="1"/>
        <v>1802</v>
      </c>
      <c r="B1803" s="9" t="s">
        <v>3425</v>
      </c>
      <c r="C1803" s="460" t="s">
        <v>3855</v>
      </c>
      <c r="D1803" s="668" t="s">
        <v>3850</v>
      </c>
      <c r="E1803" s="18" t="str">
        <f>VLOOKUP($C1803,'PPR FITTINGS'!$F$4:$I2469,3,0)</f>
        <v/>
      </c>
      <c r="F1803" s="523" t="s">
        <v>1088</v>
      </c>
      <c r="G1803" s="18">
        <f>VLOOKUP($C1803,'PPR FITTINGS'!$F$4:$I2469,2,0)</f>
        <v>94.9</v>
      </c>
      <c r="H1803" s="320"/>
      <c r="I1803" s="320"/>
      <c r="J1803" s="320"/>
      <c r="K1803" s="320"/>
      <c r="L1803" s="320"/>
      <c r="M1803" s="320"/>
      <c r="N1803" s="320"/>
      <c r="O1803" s="320"/>
    </row>
    <row r="1804">
      <c r="A1804" s="32">
        <f t="shared" si="1"/>
        <v>1803</v>
      </c>
      <c r="B1804" s="9" t="s">
        <v>3425</v>
      </c>
      <c r="C1804" s="460" t="s">
        <v>3856</v>
      </c>
      <c r="D1804" s="668" t="s">
        <v>3850</v>
      </c>
      <c r="E1804" s="18" t="str">
        <f>VLOOKUP($C1804,'PPR FITTINGS'!$F$4:$I2469,3,0)</f>
        <v/>
      </c>
      <c r="F1804" s="523" t="s">
        <v>1088</v>
      </c>
      <c r="G1804" s="18">
        <f>VLOOKUP($C1804,'PPR FITTINGS'!$F$4:$I2469,2,0)</f>
        <v>172.9</v>
      </c>
      <c r="H1804" s="320"/>
      <c r="I1804" s="320"/>
      <c r="J1804" s="320"/>
      <c r="K1804" s="320"/>
      <c r="L1804" s="320"/>
      <c r="M1804" s="320"/>
      <c r="N1804" s="320"/>
      <c r="O1804" s="320"/>
    </row>
    <row r="1805">
      <c r="A1805" s="32">
        <f t="shared" si="1"/>
        <v>1804</v>
      </c>
      <c r="B1805" s="9" t="s">
        <v>3425</v>
      </c>
      <c r="C1805" s="460" t="s">
        <v>3857</v>
      </c>
      <c r="D1805" s="668" t="s">
        <v>3850</v>
      </c>
      <c r="E1805" s="18" t="str">
        <f>VLOOKUP($C1805,'PPR FITTINGS'!$F$4:$I2469,3,0)</f>
        <v/>
      </c>
      <c r="F1805" s="523" t="s">
        <v>1088</v>
      </c>
      <c r="G1805" s="18">
        <f>VLOOKUP($C1805,'PPR FITTINGS'!$F$4:$I2469,2,0)</f>
        <v>178.8</v>
      </c>
      <c r="H1805" s="320"/>
      <c r="I1805" s="320"/>
      <c r="J1805" s="320"/>
      <c r="K1805" s="320"/>
      <c r="L1805" s="320"/>
      <c r="M1805" s="320"/>
      <c r="N1805" s="320"/>
      <c r="O1805" s="320"/>
    </row>
    <row r="1806">
      <c r="A1806" s="32">
        <f t="shared" si="1"/>
        <v>1805</v>
      </c>
      <c r="B1806" s="9" t="s">
        <v>3425</v>
      </c>
      <c r="C1806" s="460" t="s">
        <v>3858</v>
      </c>
      <c r="D1806" s="668" t="s">
        <v>3850</v>
      </c>
      <c r="E1806" s="18" t="str">
        <f>VLOOKUP($C1806,'PPR FITTINGS'!$F$4:$I2469,3,0)</f>
        <v/>
      </c>
      <c r="F1806" s="523" t="s">
        <v>1088</v>
      </c>
      <c r="G1806" s="18">
        <f>VLOOKUP($C1806,'PPR FITTINGS'!$F$4:$I2469,2,0)</f>
        <v>180.5</v>
      </c>
      <c r="H1806" s="320"/>
      <c r="I1806" s="320"/>
      <c r="J1806" s="320"/>
      <c r="K1806" s="320"/>
      <c r="L1806" s="320"/>
      <c r="M1806" s="320"/>
      <c r="N1806" s="320"/>
      <c r="O1806" s="320"/>
    </row>
    <row r="1807">
      <c r="A1807" s="32">
        <f t="shared" si="1"/>
        <v>1806</v>
      </c>
      <c r="B1807" s="9" t="s">
        <v>3425</v>
      </c>
      <c r="C1807" s="460" t="s">
        <v>3859</v>
      </c>
      <c r="D1807" s="668" t="s">
        <v>3850</v>
      </c>
      <c r="E1807" s="18" t="str">
        <f>VLOOKUP($C1807,'PPR FITTINGS'!$F$4:$I2469,3,0)</f>
        <v/>
      </c>
      <c r="F1807" s="523" t="s">
        <v>1088</v>
      </c>
      <c r="G1807" s="18">
        <f>VLOOKUP($C1807,'PPR FITTINGS'!$F$4:$I2469,2,0)</f>
        <v>181.9</v>
      </c>
      <c r="H1807" s="320"/>
      <c r="I1807" s="320"/>
      <c r="J1807" s="320"/>
      <c r="K1807" s="320"/>
      <c r="L1807" s="320"/>
      <c r="M1807" s="320"/>
      <c r="N1807" s="320"/>
      <c r="O1807" s="320"/>
    </row>
    <row r="1808">
      <c r="A1808" s="32">
        <f t="shared" si="1"/>
        <v>1807</v>
      </c>
      <c r="B1808" s="9" t="s">
        <v>3425</v>
      </c>
      <c r="C1808" s="460" t="s">
        <v>3860</v>
      </c>
      <c r="D1808" s="668" t="s">
        <v>3850</v>
      </c>
      <c r="E1808" s="18" t="str">
        <f>VLOOKUP($C1808,'PPR FITTINGS'!$F$4:$I2469,3,0)</f>
        <v/>
      </c>
      <c r="F1808" s="523" t="s">
        <v>1088</v>
      </c>
      <c r="G1808" s="18">
        <f>VLOOKUP($C1808,'PPR FITTINGS'!$F$4:$I2469,2,0)</f>
        <v>356.2</v>
      </c>
      <c r="H1808" s="320"/>
      <c r="I1808" s="320"/>
      <c r="J1808" s="320"/>
      <c r="K1808" s="320"/>
      <c r="L1808" s="320"/>
      <c r="M1808" s="320"/>
      <c r="N1808" s="320"/>
      <c r="O1808" s="320"/>
    </row>
    <row r="1809">
      <c r="A1809" s="32">
        <f t="shared" si="1"/>
        <v>1808</v>
      </c>
      <c r="B1809" s="9" t="s">
        <v>3425</v>
      </c>
      <c r="C1809" s="460" t="s">
        <v>3861</v>
      </c>
      <c r="D1809" s="668" t="s">
        <v>3850</v>
      </c>
      <c r="E1809" s="18" t="str">
        <f>VLOOKUP($C1809,'PPR FITTINGS'!$F$4:$I2469,3,0)</f>
        <v/>
      </c>
      <c r="F1809" s="523" t="s">
        <v>1088</v>
      </c>
      <c r="G1809" s="18">
        <f>VLOOKUP($C1809,'PPR FITTINGS'!$F$4:$I2469,2,0)</f>
        <v>362.9</v>
      </c>
      <c r="H1809" s="320"/>
      <c r="I1809" s="320"/>
      <c r="J1809" s="320"/>
      <c r="K1809" s="320"/>
      <c r="L1809" s="320"/>
      <c r="M1809" s="320"/>
      <c r="N1809" s="320"/>
      <c r="O1809" s="320"/>
    </row>
    <row r="1810">
      <c r="A1810" s="32">
        <f t="shared" si="1"/>
        <v>1809</v>
      </c>
      <c r="B1810" s="9" t="s">
        <v>3425</v>
      </c>
      <c r="C1810" s="460" t="s">
        <v>3862</v>
      </c>
      <c r="D1810" s="668" t="s">
        <v>3850</v>
      </c>
      <c r="E1810" s="18" t="str">
        <f>VLOOKUP($C1810,'PPR FITTINGS'!$F$4:$I2469,3,0)</f>
        <v/>
      </c>
      <c r="F1810" s="523" t="s">
        <v>1088</v>
      </c>
      <c r="G1810" s="18">
        <f>VLOOKUP($C1810,'PPR FITTINGS'!$F$4:$I2469,2,0)</f>
        <v>367.4</v>
      </c>
      <c r="H1810" s="320"/>
      <c r="I1810" s="320"/>
      <c r="J1810" s="320"/>
      <c r="K1810" s="320"/>
      <c r="L1810" s="320"/>
      <c r="M1810" s="320"/>
      <c r="N1810" s="320"/>
      <c r="O1810" s="320"/>
    </row>
    <row r="1811">
      <c r="A1811" s="32">
        <f t="shared" si="1"/>
        <v>1810</v>
      </c>
      <c r="B1811" s="9" t="s">
        <v>3425</v>
      </c>
      <c r="C1811" s="460" t="s">
        <v>3863</v>
      </c>
      <c r="D1811" s="668" t="s">
        <v>3850</v>
      </c>
      <c r="E1811" s="18" t="str">
        <f>VLOOKUP($C1811,'PPR FITTINGS'!$F$4:$I2469,3,0)</f>
        <v/>
      </c>
      <c r="F1811" s="523" t="s">
        <v>1088</v>
      </c>
      <c r="G1811" s="18">
        <f>VLOOKUP($C1811,'PPR FITTINGS'!$F$4:$I2469,2,0)</f>
        <v>382.9</v>
      </c>
      <c r="H1811" s="320"/>
      <c r="I1811" s="320"/>
      <c r="J1811" s="320"/>
      <c r="K1811" s="320"/>
      <c r="L1811" s="320"/>
      <c r="M1811" s="320"/>
      <c r="N1811" s="320"/>
      <c r="O1811" s="320"/>
    </row>
    <row r="1812">
      <c r="A1812" s="32">
        <f t="shared" si="1"/>
        <v>1811</v>
      </c>
      <c r="B1812" s="9" t="s">
        <v>3425</v>
      </c>
      <c r="C1812" s="460" t="s">
        <v>3864</v>
      </c>
      <c r="D1812" s="4" t="s">
        <v>3865</v>
      </c>
      <c r="E1812" s="18" t="str">
        <f>VLOOKUP($C1812,'PPR FITTINGS'!$F$4:$I2469,3,0)</f>
        <v/>
      </c>
      <c r="F1812" s="523" t="s">
        <v>1088</v>
      </c>
      <c r="G1812" s="18">
        <f>VLOOKUP($C1812,'PPR FITTINGS'!$F$4:$I2469,2,0)</f>
        <v>159.7</v>
      </c>
      <c r="H1812" s="320"/>
      <c r="I1812" s="320"/>
      <c r="J1812" s="320"/>
      <c r="K1812" s="320"/>
      <c r="L1812" s="320"/>
      <c r="M1812" s="320"/>
      <c r="N1812" s="320"/>
      <c r="O1812" s="320"/>
    </row>
    <row r="1813">
      <c r="A1813" s="32">
        <f t="shared" si="1"/>
        <v>1812</v>
      </c>
      <c r="B1813" s="9" t="s">
        <v>3425</v>
      </c>
      <c r="C1813" s="460" t="s">
        <v>3866</v>
      </c>
      <c r="D1813" s="4" t="s">
        <v>3865</v>
      </c>
      <c r="E1813" s="18" t="str">
        <f>VLOOKUP($C1813,'PPR FITTINGS'!$F$4:$I2469,3,0)</f>
        <v/>
      </c>
      <c r="F1813" s="523" t="s">
        <v>1088</v>
      </c>
      <c r="G1813" s="18">
        <f>VLOOKUP($C1813,'PPR FITTINGS'!$F$4:$I2469,2,0)</f>
        <v>176.4</v>
      </c>
      <c r="H1813" s="320"/>
      <c r="I1813" s="320"/>
      <c r="J1813" s="320"/>
      <c r="K1813" s="320"/>
      <c r="L1813" s="320"/>
      <c r="M1813" s="320"/>
      <c r="N1813" s="320"/>
      <c r="O1813" s="320"/>
    </row>
    <row r="1814">
      <c r="A1814" s="32">
        <f t="shared" si="1"/>
        <v>1813</v>
      </c>
      <c r="B1814" s="9" t="s">
        <v>3425</v>
      </c>
      <c r="C1814" s="460" t="s">
        <v>3867</v>
      </c>
      <c r="D1814" s="4" t="s">
        <v>3865</v>
      </c>
      <c r="E1814" s="18" t="str">
        <f>VLOOKUP($C1814,'PPR FITTINGS'!$F$4:$I2469,3,0)</f>
        <v/>
      </c>
      <c r="F1814" s="523" t="s">
        <v>1088</v>
      </c>
      <c r="G1814" s="18">
        <f>VLOOKUP($C1814,'PPR FITTINGS'!$F$4:$I2469,2,0)</f>
        <v>206</v>
      </c>
      <c r="H1814" s="320"/>
      <c r="I1814" s="320"/>
      <c r="J1814" s="320"/>
      <c r="K1814" s="320"/>
      <c r="L1814" s="320"/>
      <c r="M1814" s="320"/>
      <c r="N1814" s="320"/>
      <c r="O1814" s="320"/>
    </row>
    <row r="1815">
      <c r="A1815" s="32">
        <f t="shared" si="1"/>
        <v>1814</v>
      </c>
      <c r="B1815" s="9" t="s">
        <v>3425</v>
      </c>
      <c r="C1815" s="460" t="s">
        <v>3868</v>
      </c>
      <c r="D1815" s="4" t="s">
        <v>3865</v>
      </c>
      <c r="E1815" s="18" t="str">
        <f>VLOOKUP($C1815,'PPR FITTINGS'!$F$4:$I2469,3,0)</f>
        <v/>
      </c>
      <c r="F1815" s="523" t="s">
        <v>1088</v>
      </c>
      <c r="G1815" s="18">
        <f>VLOOKUP($C1815,'PPR FITTINGS'!$F$4:$I2469,2,0)</f>
        <v>217.3</v>
      </c>
      <c r="H1815" s="320"/>
      <c r="I1815" s="320"/>
      <c r="J1815" s="320"/>
      <c r="K1815" s="320"/>
      <c r="L1815" s="320"/>
      <c r="M1815" s="320"/>
      <c r="N1815" s="320"/>
      <c r="O1815" s="320"/>
    </row>
    <row r="1816">
      <c r="A1816" s="32">
        <f t="shared" si="1"/>
        <v>1815</v>
      </c>
      <c r="B1816" s="9" t="s">
        <v>3425</v>
      </c>
      <c r="C1816" s="460" t="s">
        <v>3869</v>
      </c>
      <c r="D1816" s="4" t="s">
        <v>3865</v>
      </c>
      <c r="E1816" s="18" t="str">
        <f>VLOOKUP($C1816,'PPR FITTINGS'!$F$4:$I2469,3,0)</f>
        <v/>
      </c>
      <c r="F1816" s="523" t="s">
        <v>1088</v>
      </c>
      <c r="G1816" s="18">
        <f>VLOOKUP($C1816,'PPR FITTINGS'!$F$4:$I2469,2,0)</f>
        <v>0</v>
      </c>
      <c r="H1816" s="320"/>
      <c r="I1816" s="320"/>
      <c r="J1816" s="320"/>
      <c r="K1816" s="320"/>
      <c r="L1816" s="320"/>
      <c r="M1816" s="320"/>
      <c r="N1816" s="320"/>
      <c r="O1816" s="320"/>
    </row>
    <row r="1817">
      <c r="A1817" s="32">
        <f t="shared" si="1"/>
        <v>1816</v>
      </c>
      <c r="B1817" s="9" t="s">
        <v>3425</v>
      </c>
      <c r="C1817" s="460" t="s">
        <v>3870</v>
      </c>
      <c r="D1817" s="4" t="s">
        <v>3871</v>
      </c>
      <c r="E1817" s="18" t="str">
        <f>VLOOKUP($C1817,'PPR FITTINGS'!$F$4:$I2469,3,0)</f>
        <v/>
      </c>
      <c r="F1817" s="523" t="s">
        <v>1088</v>
      </c>
      <c r="G1817" s="18">
        <f>VLOOKUP($C1817,'PPR FITTINGS'!$F$4:$I2469,2,0)</f>
        <v>153.2</v>
      </c>
      <c r="H1817" s="320"/>
      <c r="I1817" s="320"/>
      <c r="J1817" s="320"/>
      <c r="K1817" s="320"/>
      <c r="L1817" s="320"/>
      <c r="M1817" s="320"/>
      <c r="N1817" s="320"/>
      <c r="O1817" s="320"/>
    </row>
    <row r="1818">
      <c r="A1818" s="32">
        <f t="shared" si="1"/>
        <v>1817</v>
      </c>
      <c r="B1818" s="9" t="s">
        <v>3425</v>
      </c>
      <c r="C1818" s="460" t="s">
        <v>3872</v>
      </c>
      <c r="D1818" s="4" t="s">
        <v>3871</v>
      </c>
      <c r="E1818" s="18" t="str">
        <f>VLOOKUP($C1818,'PPR FITTINGS'!$F$4:$I2469,3,0)</f>
        <v/>
      </c>
      <c r="F1818" s="523" t="s">
        <v>1088</v>
      </c>
      <c r="G1818" s="18">
        <f>VLOOKUP($C1818,'PPR FITTINGS'!$F$4:$I2469,2,0)</f>
        <v>167.6</v>
      </c>
      <c r="H1818" s="320"/>
      <c r="I1818" s="320"/>
      <c r="J1818" s="320"/>
      <c r="K1818" s="320"/>
      <c r="L1818" s="320"/>
      <c r="M1818" s="320"/>
      <c r="N1818" s="320"/>
      <c r="O1818" s="320"/>
    </row>
    <row r="1819">
      <c r="A1819" s="32">
        <f t="shared" si="1"/>
        <v>1818</v>
      </c>
      <c r="B1819" s="9" t="s">
        <v>3425</v>
      </c>
      <c r="C1819" s="460" t="s">
        <v>3874</v>
      </c>
      <c r="D1819" s="4" t="s">
        <v>3871</v>
      </c>
      <c r="E1819" s="18" t="str">
        <f>VLOOKUP($C1819,'PPR FITTINGS'!$F$4:$I2469,3,0)</f>
        <v/>
      </c>
      <c r="F1819" s="523" t="s">
        <v>1088</v>
      </c>
      <c r="G1819" s="18">
        <f>VLOOKUP($C1819,'PPR FITTINGS'!$F$4:$I2469,2,0)</f>
        <v>312.9</v>
      </c>
      <c r="H1819" s="320"/>
      <c r="I1819" s="320"/>
      <c r="J1819" s="320"/>
      <c r="K1819" s="320"/>
      <c r="L1819" s="320"/>
      <c r="M1819" s="320"/>
      <c r="N1819" s="320"/>
      <c r="O1819" s="320"/>
    </row>
    <row r="1820">
      <c r="A1820" s="32">
        <f t="shared" si="1"/>
        <v>1819</v>
      </c>
      <c r="B1820" s="9" t="s">
        <v>3425</v>
      </c>
      <c r="C1820" s="460" t="s">
        <v>3875</v>
      </c>
      <c r="D1820" s="4" t="s">
        <v>3871</v>
      </c>
      <c r="E1820" s="18" t="str">
        <f>VLOOKUP($C1820,'PPR FITTINGS'!$F$4:$I2469,3,0)</f>
        <v/>
      </c>
      <c r="F1820" s="523" t="s">
        <v>1088</v>
      </c>
      <c r="G1820" s="18">
        <f>VLOOKUP($C1820,'PPR FITTINGS'!$F$4:$I2469,2,0)</f>
        <v>189.9</v>
      </c>
      <c r="H1820" s="320"/>
      <c r="I1820" s="320"/>
      <c r="J1820" s="320"/>
      <c r="K1820" s="320"/>
      <c r="L1820" s="320"/>
      <c r="M1820" s="320"/>
      <c r="N1820" s="320"/>
      <c r="O1820" s="320"/>
    </row>
    <row r="1821">
      <c r="A1821" s="32">
        <f t="shared" si="1"/>
        <v>1820</v>
      </c>
      <c r="B1821" s="9" t="s">
        <v>3425</v>
      </c>
      <c r="C1821" s="460" t="s">
        <v>3876</v>
      </c>
      <c r="D1821" s="4" t="s">
        <v>3871</v>
      </c>
      <c r="E1821" s="18" t="str">
        <f>VLOOKUP($C1821,'PPR FITTINGS'!$F$4:$I2469,3,0)</f>
        <v/>
      </c>
      <c r="F1821" s="523" t="s">
        <v>1088</v>
      </c>
      <c r="G1821" s="18">
        <f>VLOOKUP($C1821,'PPR FITTINGS'!$F$4:$I2469,2,0)</f>
        <v>0</v>
      </c>
      <c r="H1821" s="320"/>
      <c r="I1821" s="320"/>
      <c r="J1821" s="320"/>
      <c r="K1821" s="320"/>
      <c r="L1821" s="320"/>
      <c r="M1821" s="320"/>
      <c r="N1821" s="320"/>
      <c r="O1821" s="320"/>
    </row>
    <row r="1822">
      <c r="A1822" s="32">
        <f t="shared" si="1"/>
        <v>1821</v>
      </c>
      <c r="B1822" s="9" t="s">
        <v>3425</v>
      </c>
      <c r="C1822" s="460" t="s">
        <v>3877</v>
      </c>
      <c r="D1822" s="668" t="s">
        <v>3878</v>
      </c>
      <c r="E1822" s="18" t="str">
        <f>VLOOKUP($C1822,'PPR FITTINGS'!$F$4:$I2469,3,0)</f>
        <v/>
      </c>
      <c r="F1822" s="523" t="s">
        <v>1088</v>
      </c>
      <c r="G1822" s="18">
        <f>VLOOKUP($C1822,'PPR FITTINGS'!$F$4:$I2469,2,0)</f>
        <v>103.9</v>
      </c>
      <c r="H1822" s="320"/>
      <c r="I1822" s="320"/>
      <c r="J1822" s="320"/>
      <c r="K1822" s="320"/>
      <c r="L1822" s="320"/>
      <c r="M1822" s="320"/>
      <c r="N1822" s="320"/>
      <c r="O1822" s="320"/>
    </row>
    <row r="1823">
      <c r="A1823" s="32">
        <f t="shared" si="1"/>
        <v>1822</v>
      </c>
      <c r="B1823" s="9" t="s">
        <v>3425</v>
      </c>
      <c r="C1823" s="460" t="s">
        <v>3879</v>
      </c>
      <c r="D1823" s="668" t="s">
        <v>3878</v>
      </c>
      <c r="E1823" s="18" t="str">
        <f>VLOOKUP($C1823,'PPR FITTINGS'!$F$4:$I2469,3,0)</f>
        <v/>
      </c>
      <c r="F1823" s="523" t="s">
        <v>1088</v>
      </c>
      <c r="G1823" s="18">
        <f>VLOOKUP($C1823,'PPR FITTINGS'!$F$4:$I2469,2,0)</f>
        <v>141.1</v>
      </c>
      <c r="H1823" s="320"/>
      <c r="I1823" s="320"/>
      <c r="J1823" s="320"/>
      <c r="K1823" s="320"/>
      <c r="L1823" s="320"/>
      <c r="M1823" s="320"/>
      <c r="N1823" s="320"/>
      <c r="O1823" s="320"/>
    </row>
    <row r="1824">
      <c r="A1824" s="32">
        <f t="shared" si="1"/>
        <v>1823</v>
      </c>
      <c r="B1824" s="9" t="s">
        <v>3425</v>
      </c>
      <c r="C1824" s="460" t="s">
        <v>3880</v>
      </c>
      <c r="D1824" s="668" t="s">
        <v>3878</v>
      </c>
      <c r="E1824" s="18" t="str">
        <f>VLOOKUP($C1824,'PPR FITTINGS'!$F$4:$I2469,3,0)</f>
        <v/>
      </c>
      <c r="F1824" s="523" t="s">
        <v>1088</v>
      </c>
      <c r="G1824" s="18">
        <f>VLOOKUP($C1824,'PPR FITTINGS'!$F$4:$I2469,2,0)</f>
        <v>275.7</v>
      </c>
      <c r="H1824" s="320"/>
      <c r="I1824" s="320"/>
      <c r="J1824" s="320"/>
      <c r="K1824" s="320"/>
      <c r="L1824" s="320"/>
      <c r="M1824" s="320"/>
      <c r="N1824" s="320"/>
      <c r="O1824" s="320"/>
    </row>
    <row r="1825">
      <c r="A1825" s="32">
        <f t="shared" si="1"/>
        <v>1824</v>
      </c>
      <c r="B1825" s="9" t="s">
        <v>3425</v>
      </c>
      <c r="C1825" s="460" t="s">
        <v>3881</v>
      </c>
      <c r="D1825" s="668" t="s">
        <v>3878</v>
      </c>
      <c r="E1825" s="18" t="str">
        <f>VLOOKUP($C1825,'PPR FITTINGS'!$F$4:$I2469,3,0)</f>
        <v/>
      </c>
      <c r="F1825" s="523" t="s">
        <v>1088</v>
      </c>
      <c r="G1825" s="18">
        <f>VLOOKUP($C1825,'PPR FITTINGS'!$F$4:$I2469,2,0)</f>
        <v>711.2</v>
      </c>
      <c r="H1825" s="320"/>
      <c r="I1825" s="320"/>
      <c r="J1825" s="320"/>
      <c r="K1825" s="320"/>
      <c r="L1825" s="320"/>
      <c r="M1825" s="320"/>
      <c r="N1825" s="320"/>
      <c r="O1825" s="320"/>
    </row>
    <row r="1826">
      <c r="A1826" s="32">
        <f t="shared" si="1"/>
        <v>1825</v>
      </c>
      <c r="B1826" s="9" t="s">
        <v>3425</v>
      </c>
      <c r="C1826" s="460" t="s">
        <v>3882</v>
      </c>
      <c r="D1826" s="668" t="s">
        <v>3878</v>
      </c>
      <c r="E1826" s="18" t="str">
        <f>VLOOKUP($C1826,'PPR FITTINGS'!$F$4:$I2469,3,0)</f>
        <v/>
      </c>
      <c r="F1826" s="523" t="s">
        <v>1088</v>
      </c>
      <c r="G1826" s="18">
        <f>VLOOKUP($C1826,'PPR FITTINGS'!$F$4:$I2469,2,0)</f>
        <v>1003.4</v>
      </c>
      <c r="H1826" s="320"/>
      <c r="I1826" s="320"/>
      <c r="J1826" s="320"/>
      <c r="K1826" s="320"/>
      <c r="L1826" s="320"/>
      <c r="M1826" s="320"/>
      <c r="N1826" s="320"/>
      <c r="O1826" s="320"/>
    </row>
    <row r="1827">
      <c r="A1827" s="32">
        <f t="shared" si="1"/>
        <v>1826</v>
      </c>
      <c r="B1827" s="9" t="s">
        <v>3425</v>
      </c>
      <c r="C1827" s="460" t="s">
        <v>3883</v>
      </c>
      <c r="D1827" s="668" t="s">
        <v>3878</v>
      </c>
      <c r="E1827" s="18" t="str">
        <f>VLOOKUP($C1827,'PPR FITTINGS'!$F$4:$I2469,3,0)</f>
        <v/>
      </c>
      <c r="F1827" s="523" t="s">
        <v>1088</v>
      </c>
      <c r="G1827" s="18">
        <f>VLOOKUP($C1827,'PPR FITTINGS'!$F$4:$I2469,2,0)</f>
        <v>1252.2</v>
      </c>
      <c r="H1827" s="320"/>
      <c r="I1827" s="320"/>
      <c r="J1827" s="320"/>
      <c r="K1827" s="320"/>
      <c r="L1827" s="320"/>
      <c r="M1827" s="320"/>
      <c r="N1827" s="320"/>
      <c r="O1827" s="320"/>
    </row>
    <row r="1828">
      <c r="A1828" s="32">
        <f t="shared" si="1"/>
        <v>1827</v>
      </c>
      <c r="B1828" s="9" t="s">
        <v>3425</v>
      </c>
      <c r="C1828" s="460" t="s">
        <v>3884</v>
      </c>
      <c r="D1828" s="668" t="s">
        <v>3885</v>
      </c>
      <c r="E1828" s="18" t="str">
        <f>VLOOKUP($C1828,'PPR FITTINGS'!$F$4:$I2469,3,0)</f>
        <v/>
      </c>
      <c r="F1828" s="523" t="s">
        <v>1088</v>
      </c>
      <c r="G1828" s="18">
        <f>VLOOKUP($C1828,'PPR FITTINGS'!$F$4:$I2469,2,0)</f>
        <v>107.296</v>
      </c>
      <c r="H1828" s="320"/>
      <c r="I1828" s="320"/>
      <c r="J1828" s="320"/>
      <c r="K1828" s="320"/>
      <c r="L1828" s="320"/>
      <c r="M1828" s="320"/>
      <c r="N1828" s="320"/>
      <c r="O1828" s="320"/>
    </row>
    <row r="1829">
      <c r="A1829" s="32">
        <f t="shared" si="1"/>
        <v>1828</v>
      </c>
      <c r="B1829" s="9" t="s">
        <v>3425</v>
      </c>
      <c r="C1829" s="460" t="s">
        <v>3886</v>
      </c>
      <c r="D1829" s="668" t="s">
        <v>3885</v>
      </c>
      <c r="E1829" s="18" t="str">
        <f>VLOOKUP($C1829,'PPR FITTINGS'!$F$4:$I2469,3,0)</f>
        <v/>
      </c>
      <c r="F1829" s="523" t="s">
        <v>1088</v>
      </c>
      <c r="G1829" s="18">
        <f>VLOOKUP($C1829,'PPR FITTINGS'!$F$4:$I2469,2,0)</f>
        <v>113.8</v>
      </c>
      <c r="H1829" s="320"/>
      <c r="I1829" s="320"/>
      <c r="J1829" s="320"/>
      <c r="K1829" s="320"/>
      <c r="L1829" s="320"/>
      <c r="M1829" s="320"/>
      <c r="N1829" s="320"/>
      <c r="O1829" s="320"/>
    </row>
    <row r="1830">
      <c r="A1830" s="32">
        <f t="shared" si="1"/>
        <v>1829</v>
      </c>
      <c r="B1830" s="9" t="s">
        <v>3425</v>
      </c>
      <c r="C1830" s="460" t="s">
        <v>3887</v>
      </c>
      <c r="D1830" s="668" t="s">
        <v>3885</v>
      </c>
      <c r="E1830" s="18" t="str">
        <f>VLOOKUP($C1830,'PPR FITTINGS'!$F$4:$I2469,3,0)</f>
        <v/>
      </c>
      <c r="F1830" s="523" t="s">
        <v>1088</v>
      </c>
      <c r="G1830" s="18">
        <f>VLOOKUP($C1830,'PPR FITTINGS'!$F$4:$I2469,2,0)</f>
        <v>146.6</v>
      </c>
      <c r="H1830" s="320"/>
      <c r="I1830" s="320"/>
      <c r="J1830" s="320"/>
      <c r="K1830" s="320"/>
      <c r="L1830" s="320"/>
      <c r="M1830" s="320"/>
      <c r="N1830" s="320"/>
      <c r="O1830" s="320"/>
    </row>
    <row r="1831">
      <c r="A1831" s="32">
        <f t="shared" si="1"/>
        <v>1830</v>
      </c>
      <c r="B1831" s="9" t="s">
        <v>3425</v>
      </c>
      <c r="C1831" s="460" t="s">
        <v>3888</v>
      </c>
      <c r="D1831" s="668" t="s">
        <v>3885</v>
      </c>
      <c r="E1831" s="18" t="str">
        <f>VLOOKUP($C1831,'PPR FITTINGS'!$F$4:$I2469,3,0)</f>
        <v/>
      </c>
      <c r="F1831" s="523" t="s">
        <v>1088</v>
      </c>
      <c r="G1831" s="18">
        <f>VLOOKUP($C1831,'PPR FITTINGS'!$F$4:$I2469,2,0)</f>
        <v>244</v>
      </c>
      <c r="H1831" s="320"/>
      <c r="I1831" s="320"/>
      <c r="J1831" s="320"/>
      <c r="K1831" s="320"/>
      <c r="L1831" s="320"/>
      <c r="M1831" s="320"/>
      <c r="N1831" s="320"/>
      <c r="O1831" s="320"/>
    </row>
    <row r="1832">
      <c r="A1832" s="32">
        <f t="shared" si="1"/>
        <v>1831</v>
      </c>
      <c r="B1832" s="9" t="s">
        <v>3425</v>
      </c>
      <c r="C1832" s="460" t="s">
        <v>3889</v>
      </c>
      <c r="D1832" s="668" t="s">
        <v>3885</v>
      </c>
      <c r="E1832" s="18" t="str">
        <f>VLOOKUP($C1832,'PPR FITTINGS'!$F$4:$I2469,3,0)</f>
        <v/>
      </c>
      <c r="F1832" s="523" t="s">
        <v>1088</v>
      </c>
      <c r="G1832" s="18">
        <f>VLOOKUP($C1832,'PPR FITTINGS'!$F$4:$I2469,2,0)</f>
        <v>328</v>
      </c>
      <c r="H1832" s="320"/>
      <c r="I1832" s="320"/>
      <c r="J1832" s="320"/>
      <c r="K1832" s="320"/>
      <c r="L1832" s="320"/>
      <c r="M1832" s="320"/>
      <c r="N1832" s="320"/>
      <c r="O1832" s="320"/>
    </row>
    <row r="1833">
      <c r="A1833" s="32">
        <f t="shared" si="1"/>
        <v>1832</v>
      </c>
      <c r="B1833" s="9" t="s">
        <v>3425</v>
      </c>
      <c r="C1833" s="460" t="s">
        <v>3890</v>
      </c>
      <c r="D1833" s="668" t="s">
        <v>3885</v>
      </c>
      <c r="E1833" s="18" t="str">
        <f>VLOOKUP($C1833,'PPR FITTINGS'!$F$4:$I2469,3,0)</f>
        <v/>
      </c>
      <c r="F1833" s="523" t="s">
        <v>1088</v>
      </c>
      <c r="G1833" s="18">
        <f>VLOOKUP($C1833,'PPR FITTINGS'!$F$4:$I2469,2,0)</f>
        <v>555.5</v>
      </c>
      <c r="H1833" s="320"/>
      <c r="I1833" s="320"/>
      <c r="J1833" s="320"/>
      <c r="K1833" s="320"/>
      <c r="L1833" s="320"/>
      <c r="M1833" s="320"/>
      <c r="N1833" s="320"/>
      <c r="O1833" s="320"/>
    </row>
    <row r="1834">
      <c r="A1834" s="32">
        <f t="shared" si="1"/>
        <v>1833</v>
      </c>
      <c r="B1834" s="9" t="s">
        <v>3425</v>
      </c>
      <c r="C1834" s="500" t="s">
        <v>3891</v>
      </c>
      <c r="D1834" s="668" t="s">
        <v>3892</v>
      </c>
      <c r="E1834" s="18" t="str">
        <f>VLOOKUP($C1834,'PPR FITTINGS'!$F$4:$I2469,3,0)</f>
        <v/>
      </c>
      <c r="F1834" s="523" t="s">
        <v>1088</v>
      </c>
      <c r="G1834" s="18">
        <f>VLOOKUP($C1834,'PPR FITTINGS'!$F$4:$I2469,2,0)</f>
        <v>14.2</v>
      </c>
      <c r="H1834" s="320"/>
      <c r="I1834" s="320"/>
      <c r="J1834" s="320"/>
      <c r="K1834" s="320"/>
      <c r="L1834" s="320"/>
      <c r="M1834" s="320"/>
      <c r="N1834" s="320"/>
      <c r="O1834" s="320"/>
    </row>
    <row r="1835">
      <c r="A1835" s="32">
        <f t="shared" si="1"/>
        <v>1834</v>
      </c>
      <c r="B1835" s="9" t="s">
        <v>3425</v>
      </c>
      <c r="C1835" s="500" t="s">
        <v>3893</v>
      </c>
      <c r="D1835" s="668" t="s">
        <v>3892</v>
      </c>
      <c r="E1835" s="18" t="str">
        <f>VLOOKUP($C1835,'PPR FITTINGS'!$F$4:$I2469,3,0)</f>
        <v/>
      </c>
      <c r="F1835" s="523" t="s">
        <v>1088</v>
      </c>
      <c r="G1835" s="18">
        <f>VLOOKUP($C1835,'PPR FITTINGS'!$F$4:$I2469,2,0)</f>
        <v>20.8</v>
      </c>
      <c r="H1835" s="320"/>
      <c r="I1835" s="320"/>
      <c r="J1835" s="320"/>
      <c r="K1835" s="320"/>
      <c r="L1835" s="320"/>
      <c r="M1835" s="320"/>
      <c r="N1835" s="320"/>
      <c r="O1835" s="320"/>
    </row>
    <row r="1836">
      <c r="A1836" s="32">
        <f t="shared" si="1"/>
        <v>1835</v>
      </c>
      <c r="B1836" s="9" t="s">
        <v>3425</v>
      </c>
      <c r="C1836" s="500" t="s">
        <v>3894</v>
      </c>
      <c r="D1836" s="668" t="s">
        <v>3892</v>
      </c>
      <c r="E1836" s="18" t="str">
        <f>VLOOKUP($C1836,'PPR FITTINGS'!$F$4:$I2469,3,0)</f>
        <v/>
      </c>
      <c r="F1836" s="523" t="s">
        <v>1088</v>
      </c>
      <c r="G1836" s="18">
        <f>VLOOKUP($C1836,'PPR FITTINGS'!$F$4:$I2469,2,0)</f>
        <v>25.2</v>
      </c>
      <c r="H1836" s="320"/>
      <c r="I1836" s="320"/>
      <c r="J1836" s="320"/>
      <c r="K1836" s="320"/>
      <c r="L1836" s="320"/>
      <c r="M1836" s="320"/>
      <c r="N1836" s="320"/>
      <c r="O1836" s="320"/>
    </row>
    <row r="1837">
      <c r="A1837" s="32">
        <f t="shared" si="1"/>
        <v>1836</v>
      </c>
      <c r="B1837" s="9" t="s">
        <v>3425</v>
      </c>
      <c r="C1837" s="500" t="s">
        <v>3895</v>
      </c>
      <c r="D1837" s="668" t="s">
        <v>3892</v>
      </c>
      <c r="E1837" s="18" t="str">
        <f>VLOOKUP($C1837,'PPR FITTINGS'!$F$4:$I2469,3,0)</f>
        <v/>
      </c>
      <c r="F1837" s="523" t="s">
        <v>1088</v>
      </c>
      <c r="G1837" s="18">
        <f>VLOOKUP($C1837,'PPR FITTINGS'!$F$4:$I2469,2,0)</f>
        <v>35.1</v>
      </c>
      <c r="H1837" s="320"/>
      <c r="I1837" s="320"/>
      <c r="J1837" s="320"/>
      <c r="K1837" s="320"/>
      <c r="L1837" s="320"/>
      <c r="M1837" s="320"/>
      <c r="N1837" s="320"/>
      <c r="O1837" s="320"/>
    </row>
    <row r="1838">
      <c r="A1838" s="32">
        <f t="shared" si="1"/>
        <v>1837</v>
      </c>
      <c r="B1838" s="9" t="s">
        <v>3425</v>
      </c>
      <c r="C1838" s="500" t="s">
        <v>3896</v>
      </c>
      <c r="D1838" s="668" t="s">
        <v>3892</v>
      </c>
      <c r="E1838" s="18" t="str">
        <f>VLOOKUP($C1838,'PPR FITTINGS'!$F$4:$I2469,3,0)</f>
        <v/>
      </c>
      <c r="F1838" s="523" t="s">
        <v>1088</v>
      </c>
      <c r="G1838" s="18">
        <f>VLOOKUP($C1838,'PPR FITTINGS'!$F$4:$I2469,2,0)</f>
        <v>66.7</v>
      </c>
      <c r="H1838" s="320"/>
      <c r="I1838" s="320"/>
      <c r="J1838" s="320"/>
      <c r="K1838" s="320"/>
      <c r="L1838" s="320"/>
      <c r="M1838" s="320"/>
      <c r="N1838" s="320"/>
      <c r="O1838" s="320"/>
    </row>
    <row r="1839">
      <c r="A1839" s="32">
        <f t="shared" si="1"/>
        <v>1838</v>
      </c>
      <c r="B1839" s="9" t="s">
        <v>3425</v>
      </c>
      <c r="C1839" s="500" t="s">
        <v>3897</v>
      </c>
      <c r="D1839" s="668" t="s">
        <v>3892</v>
      </c>
      <c r="E1839" s="18" t="str">
        <f>VLOOKUP($C1839,'PPR FITTINGS'!$F$4:$I2469,3,0)</f>
        <v/>
      </c>
      <c r="F1839" s="523" t="s">
        <v>1088</v>
      </c>
      <c r="G1839" s="18">
        <f>VLOOKUP($C1839,'PPR FITTINGS'!$F$4:$I2469,2,0)</f>
        <v>109.8</v>
      </c>
      <c r="H1839" s="320"/>
      <c r="I1839" s="320"/>
      <c r="J1839" s="320"/>
      <c r="K1839" s="320"/>
      <c r="L1839" s="320"/>
      <c r="M1839" s="320"/>
      <c r="N1839" s="320"/>
      <c r="O1839" s="320"/>
    </row>
    <row r="1840">
      <c r="A1840" s="32">
        <f t="shared" si="1"/>
        <v>1839</v>
      </c>
      <c r="B1840" s="9" t="s">
        <v>3425</v>
      </c>
      <c r="C1840" s="500" t="s">
        <v>3898</v>
      </c>
      <c r="D1840" s="4" t="s">
        <v>3899</v>
      </c>
      <c r="E1840" s="18" t="str">
        <f>VLOOKUP($C1840,'PPR FITTINGS'!$F$4:$I2469,3,0)</f>
        <v/>
      </c>
      <c r="F1840" s="523" t="s">
        <v>1088</v>
      </c>
      <c r="G1840" s="18">
        <f>VLOOKUP($C1840,'PPR FITTINGS'!$F$4:$I2469,2,0)</f>
        <v>9.2</v>
      </c>
      <c r="H1840" s="320"/>
      <c r="I1840" s="320"/>
      <c r="J1840" s="320"/>
      <c r="K1840" s="320"/>
      <c r="L1840" s="320"/>
      <c r="M1840" s="320"/>
      <c r="N1840" s="320"/>
      <c r="O1840" s="320"/>
    </row>
    <row r="1841">
      <c r="A1841" s="32">
        <f t="shared" si="1"/>
        <v>1840</v>
      </c>
      <c r="B1841" s="9" t="s">
        <v>3425</v>
      </c>
      <c r="C1841" s="500" t="s">
        <v>3900</v>
      </c>
      <c r="D1841" s="4" t="s">
        <v>3899</v>
      </c>
      <c r="E1841" s="18" t="str">
        <f>VLOOKUP($C1841,'PPR FITTINGS'!$F$4:$I2469,3,0)</f>
        <v/>
      </c>
      <c r="F1841" s="523" t="s">
        <v>1088</v>
      </c>
      <c r="G1841" s="18">
        <f>VLOOKUP($C1841,'PPR FITTINGS'!$F$4:$I2469,2,0)</f>
        <v>10.9</v>
      </c>
      <c r="H1841" s="320"/>
      <c r="I1841" s="320"/>
      <c r="J1841" s="320"/>
      <c r="K1841" s="320"/>
      <c r="L1841" s="320"/>
      <c r="M1841" s="320"/>
      <c r="N1841" s="320"/>
      <c r="O1841" s="320"/>
    </row>
    <row r="1842">
      <c r="A1842" s="32">
        <f t="shared" si="1"/>
        <v>1841</v>
      </c>
      <c r="B1842" s="9" t="s">
        <v>3425</v>
      </c>
      <c r="C1842" s="500" t="s">
        <v>3901</v>
      </c>
      <c r="D1842" s="668" t="s">
        <v>3902</v>
      </c>
      <c r="E1842" s="18" t="str">
        <f>VLOOKUP($C1842,'PPR FITTINGS'!$F$4:$I2469,3,0)</f>
        <v/>
      </c>
      <c r="F1842" s="523" t="s">
        <v>1088</v>
      </c>
      <c r="G1842" s="18">
        <f>VLOOKUP($C1842,'PPR FITTINGS'!$F$4:$I2469,2,0)</f>
        <v>221.1</v>
      </c>
      <c r="H1842" s="320"/>
      <c r="I1842" s="320"/>
      <c r="J1842" s="320"/>
      <c r="K1842" s="320"/>
      <c r="L1842" s="320"/>
      <c r="M1842" s="320"/>
      <c r="N1842" s="320"/>
      <c r="O1842" s="320"/>
    </row>
    <row r="1843">
      <c r="A1843" s="32">
        <f t="shared" si="1"/>
        <v>1842</v>
      </c>
      <c r="B1843" s="9" t="s">
        <v>3425</v>
      </c>
      <c r="C1843" s="500" t="s">
        <v>3903</v>
      </c>
      <c r="D1843" s="668" t="s">
        <v>3902</v>
      </c>
      <c r="E1843" s="18" t="str">
        <f>VLOOKUP($C1843,'PPR FITTINGS'!$F$4:$I2469,3,0)</f>
        <v/>
      </c>
      <c r="F1843" s="523" t="s">
        <v>1088</v>
      </c>
      <c r="G1843" s="18">
        <f>VLOOKUP($C1843,'PPR FITTINGS'!$F$4:$I2469,2,0)</f>
        <v>348.9</v>
      </c>
      <c r="H1843" s="320"/>
      <c r="I1843" s="320"/>
      <c r="J1843" s="320"/>
      <c r="K1843" s="320"/>
      <c r="L1843" s="320"/>
      <c r="M1843" s="320"/>
      <c r="N1843" s="320"/>
      <c r="O1843" s="320"/>
    </row>
    <row r="1844">
      <c r="A1844" s="32">
        <f t="shared" si="1"/>
        <v>1843</v>
      </c>
      <c r="B1844" s="9" t="s">
        <v>3425</v>
      </c>
      <c r="C1844" s="500" t="s">
        <v>3904</v>
      </c>
      <c r="D1844" s="668" t="s">
        <v>3902</v>
      </c>
      <c r="E1844" s="18" t="str">
        <f>VLOOKUP($C1844,'PPR FITTINGS'!$F$4:$I2469,3,0)</f>
        <v/>
      </c>
      <c r="F1844" s="523" t="s">
        <v>1088</v>
      </c>
      <c r="G1844" s="18">
        <f>VLOOKUP($C1844,'PPR FITTINGS'!$F$4:$I2469,2,0)</f>
        <v>456.4</v>
      </c>
      <c r="H1844" s="320"/>
      <c r="I1844" s="320"/>
      <c r="J1844" s="320"/>
      <c r="K1844" s="320"/>
      <c r="L1844" s="320"/>
      <c r="M1844" s="320"/>
      <c r="N1844" s="320"/>
      <c r="O1844" s="320"/>
    </row>
    <row r="1845">
      <c r="A1845" s="32">
        <f t="shared" si="1"/>
        <v>1844</v>
      </c>
      <c r="B1845" s="9" t="s">
        <v>3425</v>
      </c>
      <c r="C1845" s="500" t="s">
        <v>3905</v>
      </c>
      <c r="D1845" s="668" t="s">
        <v>3902</v>
      </c>
      <c r="E1845" s="18" t="str">
        <f>VLOOKUP($C1845,'PPR FITTINGS'!$F$4:$I2469,3,0)</f>
        <v/>
      </c>
      <c r="F1845" s="523" t="s">
        <v>1088</v>
      </c>
      <c r="G1845" s="18">
        <f>VLOOKUP($C1845,'PPR FITTINGS'!$F$4:$I2469,2,0)</f>
        <v>681.9</v>
      </c>
      <c r="H1845" s="320"/>
      <c r="I1845" s="320"/>
      <c r="J1845" s="320"/>
      <c r="K1845" s="320"/>
      <c r="L1845" s="320"/>
      <c r="M1845" s="320"/>
      <c r="N1845" s="320"/>
      <c r="O1845" s="320"/>
    </row>
    <row r="1846">
      <c r="A1846" s="32">
        <f t="shared" si="1"/>
        <v>1845</v>
      </c>
      <c r="B1846" s="9" t="s">
        <v>3425</v>
      </c>
      <c r="C1846" s="500" t="s">
        <v>3906</v>
      </c>
      <c r="D1846" s="668" t="s">
        <v>3907</v>
      </c>
      <c r="E1846" s="18" t="str">
        <f>VLOOKUP($C1846,'PPR FITTINGS'!$F$4:$I2469,3,0)</f>
        <v/>
      </c>
      <c r="F1846" s="523" t="s">
        <v>1088</v>
      </c>
      <c r="G1846" s="18">
        <f>VLOOKUP($C1846,'PPR FITTINGS'!$F$4:$I2469,2,0)</f>
        <v>1446.6</v>
      </c>
      <c r="H1846" s="320"/>
      <c r="I1846" s="320"/>
      <c r="J1846" s="320"/>
      <c r="K1846" s="320"/>
      <c r="L1846" s="320"/>
      <c r="M1846" s="320"/>
      <c r="N1846" s="320"/>
      <c r="O1846" s="320"/>
    </row>
    <row r="1847">
      <c r="A1847" s="32">
        <f t="shared" si="1"/>
        <v>1846</v>
      </c>
      <c r="B1847" s="9" t="s">
        <v>3425</v>
      </c>
      <c r="C1847" s="500" t="s">
        <v>3908</v>
      </c>
      <c r="D1847" s="668" t="s">
        <v>3907</v>
      </c>
      <c r="E1847" s="18" t="str">
        <f>VLOOKUP($C1847,'PPR FITTINGS'!$F$4:$I2469,3,0)</f>
        <v/>
      </c>
      <c r="F1847" s="523" t="s">
        <v>1088</v>
      </c>
      <c r="G1847" s="18">
        <f>VLOOKUP($C1847,'PPR FITTINGS'!$F$4:$I2469,2,0)</f>
        <v>2446.8</v>
      </c>
      <c r="H1847" s="320"/>
      <c r="I1847" s="320"/>
      <c r="J1847" s="320"/>
      <c r="K1847" s="320"/>
      <c r="L1847" s="320"/>
      <c r="M1847" s="320"/>
      <c r="N1847" s="320"/>
      <c r="O1847" s="320"/>
    </row>
    <row r="1848">
      <c r="A1848" s="32">
        <f t="shared" si="1"/>
        <v>1847</v>
      </c>
      <c r="B1848" s="9" t="s">
        <v>3425</v>
      </c>
      <c r="C1848" s="500" t="s">
        <v>3909</v>
      </c>
      <c r="D1848" s="668" t="s">
        <v>3907</v>
      </c>
      <c r="E1848" s="18" t="str">
        <f>VLOOKUP($C1848,'PPR FITTINGS'!$F$4:$I2469,3,0)</f>
        <v/>
      </c>
      <c r="F1848" s="523" t="s">
        <v>1088</v>
      </c>
      <c r="G1848" s="18">
        <f>VLOOKUP($C1848,'PPR FITTINGS'!$F$4:$I2469,2,0)</f>
        <v>3897.6</v>
      </c>
      <c r="H1848" s="320"/>
      <c r="I1848" s="320"/>
      <c r="J1848" s="320"/>
      <c r="K1848" s="320"/>
      <c r="L1848" s="320"/>
      <c r="M1848" s="320"/>
      <c r="N1848" s="320"/>
      <c r="O1848" s="320"/>
    </row>
    <row r="1849">
      <c r="A1849" s="32">
        <f t="shared" si="1"/>
        <v>1848</v>
      </c>
      <c r="B1849" s="9" t="s">
        <v>3910</v>
      </c>
      <c r="C1849" s="500" t="s">
        <v>3627</v>
      </c>
      <c r="D1849" s="4" t="s">
        <v>3911</v>
      </c>
      <c r="E1849" s="13"/>
      <c r="F1849" s="523" t="s">
        <v>1088</v>
      </c>
      <c r="G1849" s="18">
        <f>VLOOKUP($C1849,'PE-AL-PE PIPE'!$P:$Q,2,0)</f>
        <v>96</v>
      </c>
      <c r="H1849" s="320"/>
      <c r="I1849" s="320"/>
      <c r="J1849" s="320"/>
      <c r="K1849" s="320"/>
      <c r="L1849" s="320"/>
      <c r="M1849" s="320"/>
      <c r="N1849" s="320"/>
      <c r="O1849" s="320"/>
    </row>
    <row r="1850">
      <c r="A1850" s="32">
        <f t="shared" si="1"/>
        <v>1849</v>
      </c>
      <c r="B1850" s="9" t="s">
        <v>3910</v>
      </c>
      <c r="C1850" s="500" t="s">
        <v>3638</v>
      </c>
      <c r="D1850" s="4" t="s">
        <v>3911</v>
      </c>
      <c r="E1850" s="18"/>
      <c r="F1850" s="523" t="s">
        <v>1088</v>
      </c>
      <c r="G1850" s="18">
        <f>VLOOKUP($C1850,'PE-AL-PE PIPE'!$P:$Q,2,0)</f>
        <v>116</v>
      </c>
      <c r="H1850" s="320"/>
      <c r="I1850" s="320"/>
      <c r="J1850" s="320"/>
      <c r="K1850" s="320"/>
      <c r="L1850" s="320"/>
      <c r="M1850" s="320"/>
      <c r="N1850" s="320"/>
      <c r="O1850" s="320"/>
    </row>
    <row r="1851">
      <c r="A1851" s="32">
        <f t="shared" si="1"/>
        <v>1850</v>
      </c>
      <c r="B1851" s="9" t="s">
        <v>3910</v>
      </c>
      <c r="C1851" s="500" t="s">
        <v>3645</v>
      </c>
      <c r="D1851" s="4" t="s">
        <v>3911</v>
      </c>
      <c r="E1851" s="18"/>
      <c r="F1851" s="523" t="s">
        <v>1088</v>
      </c>
      <c r="G1851" s="18">
        <f>VLOOKUP($C1851,'PE-AL-PE PIPE'!$P:$Q,2,0)</f>
        <v>136</v>
      </c>
      <c r="H1851" s="320"/>
      <c r="I1851" s="320"/>
      <c r="J1851" s="320"/>
      <c r="K1851" s="320"/>
      <c r="L1851" s="320"/>
      <c r="M1851" s="320"/>
      <c r="N1851" s="320"/>
      <c r="O1851" s="320"/>
    </row>
    <row r="1852">
      <c r="A1852" s="32">
        <f t="shared" si="1"/>
        <v>1851</v>
      </c>
      <c r="B1852" s="9" t="s">
        <v>3910</v>
      </c>
      <c r="C1852" s="500" t="s">
        <v>3651</v>
      </c>
      <c r="D1852" s="4" t="s">
        <v>3911</v>
      </c>
      <c r="E1852" s="18"/>
      <c r="F1852" s="523" t="s">
        <v>1088</v>
      </c>
      <c r="G1852" s="18">
        <f>VLOOKUP($C1852,'PE-AL-PE PIPE'!$P:$Q,2,0)</f>
        <v>236</v>
      </c>
      <c r="H1852" s="320"/>
      <c r="I1852" s="320"/>
      <c r="J1852" s="320"/>
      <c r="K1852" s="320"/>
      <c r="L1852" s="320"/>
      <c r="M1852" s="320"/>
      <c r="N1852" s="320"/>
      <c r="O1852" s="320"/>
    </row>
    <row r="1853">
      <c r="A1853" s="32">
        <f t="shared" si="1"/>
        <v>1852</v>
      </c>
      <c r="B1853" s="9" t="s">
        <v>3910</v>
      </c>
      <c r="C1853" s="500" t="s">
        <v>3658</v>
      </c>
      <c r="D1853" s="4" t="s">
        <v>3911</v>
      </c>
      <c r="E1853" s="18"/>
      <c r="F1853" s="523" t="s">
        <v>1088</v>
      </c>
      <c r="G1853" s="18">
        <f>VLOOKUP($C1853,'PE-AL-PE PIPE'!$P:$Q,2,0)</f>
        <v>336</v>
      </c>
      <c r="H1853" s="320"/>
      <c r="I1853" s="320"/>
      <c r="J1853" s="320"/>
      <c r="K1853" s="320"/>
      <c r="L1853" s="320"/>
      <c r="M1853" s="320"/>
      <c r="N1853" s="320"/>
      <c r="O1853" s="320"/>
    </row>
    <row r="1854">
      <c r="A1854" s="32">
        <f t="shared" si="1"/>
        <v>1853</v>
      </c>
      <c r="B1854" s="9" t="s">
        <v>3910</v>
      </c>
      <c r="C1854" s="500" t="s">
        <v>3664</v>
      </c>
      <c r="D1854" s="4" t="s">
        <v>3911</v>
      </c>
      <c r="E1854" s="18"/>
      <c r="F1854" s="523" t="s">
        <v>1088</v>
      </c>
      <c r="G1854" s="18">
        <f>VLOOKUP($C1854,'PE-AL-PE PIPE'!$P:$Q,2,0)</f>
        <v>516</v>
      </c>
      <c r="H1854" s="320"/>
      <c r="I1854" s="320"/>
      <c r="J1854" s="320"/>
      <c r="K1854" s="320"/>
      <c r="L1854" s="320"/>
      <c r="M1854" s="320"/>
      <c r="N1854" s="320"/>
      <c r="O1854" s="320"/>
    </row>
    <row r="1855">
      <c r="A1855" s="32">
        <f t="shared" si="1"/>
        <v>1854</v>
      </c>
      <c r="B1855" s="9" t="s">
        <v>3910</v>
      </c>
      <c r="C1855" s="500" t="s">
        <v>3631</v>
      </c>
      <c r="D1855" s="4" t="s">
        <v>3912</v>
      </c>
      <c r="E1855" s="18"/>
      <c r="F1855" s="523" t="s">
        <v>1088</v>
      </c>
      <c r="G1855" s="18">
        <f>VLOOKUP($C1855,'PE-AL-PE PIPE'!$T:$U,2,0)</f>
        <v>106</v>
      </c>
      <c r="H1855" s="320"/>
      <c r="I1855" s="320"/>
      <c r="J1855" s="320"/>
      <c r="K1855" s="320"/>
      <c r="L1855" s="320"/>
      <c r="M1855" s="320"/>
      <c r="N1855" s="320"/>
      <c r="O1855" s="320"/>
    </row>
    <row r="1856">
      <c r="A1856" s="32">
        <f t="shared" si="1"/>
        <v>1855</v>
      </c>
      <c r="B1856" s="9" t="s">
        <v>3910</v>
      </c>
      <c r="C1856" s="500" t="s">
        <v>3639</v>
      </c>
      <c r="D1856" s="4" t="s">
        <v>3912</v>
      </c>
      <c r="E1856" s="18"/>
      <c r="F1856" s="523" t="s">
        <v>1088</v>
      </c>
      <c r="G1856" s="18">
        <f>VLOOKUP($C1856,'PE-AL-PE PIPE'!$T:$U,2,0)</f>
        <v>126</v>
      </c>
      <c r="H1856" s="320"/>
      <c r="I1856" s="320"/>
      <c r="J1856" s="320"/>
      <c r="K1856" s="320"/>
      <c r="L1856" s="320"/>
      <c r="M1856" s="320"/>
      <c r="N1856" s="320"/>
      <c r="O1856" s="320"/>
    </row>
    <row r="1857">
      <c r="A1857" s="32">
        <f t="shared" si="1"/>
        <v>1856</v>
      </c>
      <c r="B1857" s="9" t="s">
        <v>3910</v>
      </c>
      <c r="C1857" s="500" t="s">
        <v>3646</v>
      </c>
      <c r="D1857" s="4" t="s">
        <v>3912</v>
      </c>
      <c r="E1857" s="18"/>
      <c r="F1857" s="523" t="s">
        <v>1088</v>
      </c>
      <c r="G1857" s="18">
        <f>VLOOKUP($C1857,'PE-AL-PE PIPE'!$T:$U,2,0)</f>
        <v>146</v>
      </c>
      <c r="H1857" s="320"/>
      <c r="I1857" s="320"/>
      <c r="J1857" s="320"/>
      <c r="K1857" s="320"/>
      <c r="L1857" s="320"/>
      <c r="M1857" s="320"/>
      <c r="N1857" s="320"/>
      <c r="O1857" s="320"/>
    </row>
    <row r="1858">
      <c r="A1858" s="32">
        <f t="shared" si="1"/>
        <v>1857</v>
      </c>
      <c r="B1858" s="9" t="s">
        <v>3910</v>
      </c>
      <c r="C1858" s="500" t="s">
        <v>3653</v>
      </c>
      <c r="D1858" s="4" t="s">
        <v>3912</v>
      </c>
      <c r="E1858" s="18"/>
      <c r="F1858" s="523" t="s">
        <v>1088</v>
      </c>
      <c r="G1858" s="18">
        <f>VLOOKUP($C1858,'PE-AL-PE PIPE'!$T:$U,2,0)</f>
        <v>256</v>
      </c>
      <c r="H1858" s="320"/>
      <c r="I1858" s="320"/>
      <c r="J1858" s="320"/>
      <c r="K1858" s="320"/>
      <c r="L1858" s="320"/>
      <c r="M1858" s="320"/>
      <c r="N1858" s="320"/>
      <c r="O1858" s="320"/>
    </row>
    <row r="1859">
      <c r="A1859" s="32">
        <f t="shared" si="1"/>
        <v>1858</v>
      </c>
      <c r="B1859" s="9" t="s">
        <v>3910</v>
      </c>
      <c r="C1859" s="500" t="s">
        <v>3659</v>
      </c>
      <c r="D1859" s="4" t="s">
        <v>3912</v>
      </c>
      <c r="E1859" s="18"/>
      <c r="F1859" s="523" t="s">
        <v>1088</v>
      </c>
      <c r="G1859" s="18">
        <f>VLOOKUP($C1859,'PE-AL-PE PIPE'!$T:$U,2,0)</f>
        <v>366</v>
      </c>
      <c r="H1859" s="320"/>
      <c r="I1859" s="320"/>
      <c r="J1859" s="320"/>
      <c r="K1859" s="320"/>
      <c r="L1859" s="320"/>
      <c r="M1859" s="320"/>
      <c r="N1859" s="320"/>
      <c r="O1859" s="320"/>
    </row>
    <row r="1860">
      <c r="A1860" s="32">
        <f t="shared" si="1"/>
        <v>1859</v>
      </c>
      <c r="B1860" s="9" t="s">
        <v>3910</v>
      </c>
      <c r="C1860" s="500" t="s">
        <v>3665</v>
      </c>
      <c r="D1860" s="4" t="s">
        <v>3912</v>
      </c>
      <c r="E1860" s="18"/>
      <c r="F1860" s="523" t="s">
        <v>1088</v>
      </c>
      <c r="G1860" s="18">
        <f>VLOOKUP($C1860,'PE-AL-PE PIPE'!$T:$U,2,0)</f>
        <v>566</v>
      </c>
      <c r="H1860" s="320"/>
      <c r="I1860" s="320"/>
      <c r="J1860" s="320"/>
      <c r="K1860" s="320"/>
      <c r="L1860" s="320"/>
      <c r="M1860" s="320"/>
      <c r="N1860" s="320"/>
      <c r="O1860" s="320"/>
    </row>
    <row r="1861">
      <c r="A1861" s="32">
        <f t="shared" si="1"/>
        <v>1860</v>
      </c>
      <c r="B1861" s="9" t="s">
        <v>3910</v>
      </c>
      <c r="C1861" s="500" t="s">
        <v>3633</v>
      </c>
      <c r="D1861" s="4" t="s">
        <v>3913</v>
      </c>
      <c r="E1861" s="18"/>
      <c r="F1861" s="523" t="s">
        <v>1088</v>
      </c>
      <c r="G1861" s="18">
        <f>VLOOKUP($C1861,'PE-AL-PE PIPE'!$X:$Y,2,0)</f>
        <v>106</v>
      </c>
      <c r="H1861" s="320"/>
      <c r="I1861" s="320"/>
      <c r="J1861" s="320"/>
      <c r="K1861" s="320"/>
      <c r="L1861" s="320"/>
      <c r="M1861" s="320"/>
      <c r="N1861" s="320"/>
      <c r="O1861" s="320"/>
    </row>
    <row r="1862">
      <c r="A1862" s="32">
        <f t="shared" si="1"/>
        <v>1861</v>
      </c>
      <c r="B1862" s="9" t="s">
        <v>3910</v>
      </c>
      <c r="C1862" s="500" t="s">
        <v>3640</v>
      </c>
      <c r="D1862" s="4" t="s">
        <v>3913</v>
      </c>
      <c r="E1862" s="18"/>
      <c r="F1862" s="523" t="s">
        <v>1088</v>
      </c>
      <c r="G1862" s="18">
        <f>VLOOKUP($C1862,'PE-AL-PE PIPE'!$X:$Y,2,0)</f>
        <v>126</v>
      </c>
      <c r="H1862" s="320"/>
      <c r="I1862" s="320"/>
      <c r="J1862" s="320"/>
      <c r="K1862" s="320"/>
      <c r="L1862" s="320"/>
      <c r="M1862" s="320"/>
      <c r="N1862" s="320"/>
      <c r="O1862" s="320"/>
    </row>
    <row r="1863">
      <c r="A1863" s="32">
        <f t="shared" si="1"/>
        <v>1862</v>
      </c>
      <c r="B1863" s="9" t="s">
        <v>3910</v>
      </c>
      <c r="C1863" s="500" t="s">
        <v>3647</v>
      </c>
      <c r="D1863" s="4" t="s">
        <v>3913</v>
      </c>
      <c r="E1863" s="18"/>
      <c r="F1863" s="523" t="s">
        <v>1088</v>
      </c>
      <c r="G1863" s="18">
        <f>VLOOKUP($C1863,'PE-AL-PE PIPE'!$X:$Y,2,0)</f>
        <v>146</v>
      </c>
      <c r="H1863" s="320"/>
      <c r="I1863" s="320"/>
      <c r="J1863" s="320"/>
      <c r="K1863" s="320"/>
      <c r="L1863" s="320"/>
      <c r="M1863" s="320"/>
      <c r="N1863" s="320"/>
      <c r="O1863" s="320"/>
    </row>
    <row r="1864">
      <c r="A1864" s="32">
        <f t="shared" si="1"/>
        <v>1863</v>
      </c>
      <c r="B1864" s="9" t="s">
        <v>3910</v>
      </c>
      <c r="C1864" s="500" t="s">
        <v>3654</v>
      </c>
      <c r="D1864" s="4" t="s">
        <v>3913</v>
      </c>
      <c r="E1864" s="18"/>
      <c r="F1864" s="523" t="s">
        <v>1088</v>
      </c>
      <c r="G1864" s="18">
        <f>VLOOKUP($C1864,'PE-AL-PE PIPE'!$X:$Y,2,0)</f>
        <v>256</v>
      </c>
      <c r="H1864" s="320"/>
      <c r="I1864" s="320"/>
      <c r="J1864" s="320"/>
      <c r="K1864" s="320"/>
      <c r="L1864" s="320"/>
      <c r="M1864" s="320"/>
      <c r="N1864" s="320"/>
      <c r="O1864" s="320"/>
    </row>
    <row r="1865">
      <c r="A1865" s="32">
        <f t="shared" si="1"/>
        <v>1864</v>
      </c>
      <c r="B1865" s="9" t="s">
        <v>3910</v>
      </c>
      <c r="C1865" s="500" t="s">
        <v>3660</v>
      </c>
      <c r="D1865" s="4" t="s">
        <v>3913</v>
      </c>
      <c r="E1865" s="18"/>
      <c r="F1865" s="523" t="s">
        <v>1088</v>
      </c>
      <c r="G1865" s="18">
        <f>VLOOKUP($C1865,'PE-AL-PE PIPE'!$X:$Y,2,0)</f>
        <v>366</v>
      </c>
      <c r="H1865" s="320"/>
      <c r="I1865" s="320"/>
      <c r="J1865" s="320"/>
      <c r="K1865" s="320"/>
      <c r="L1865" s="320"/>
      <c r="M1865" s="320"/>
      <c r="N1865" s="320"/>
      <c r="O1865" s="320"/>
    </row>
    <row r="1866">
      <c r="A1866" s="32">
        <f t="shared" si="1"/>
        <v>1865</v>
      </c>
      <c r="B1866" s="9" t="s">
        <v>3910</v>
      </c>
      <c r="C1866" s="500" t="s">
        <v>3666</v>
      </c>
      <c r="D1866" s="4" t="s">
        <v>3913</v>
      </c>
      <c r="E1866" s="18"/>
      <c r="F1866" s="523" t="s">
        <v>1088</v>
      </c>
      <c r="G1866" s="18">
        <f>VLOOKUP($C1866,'PE-AL-PE PIPE'!$X:$Y,2,0)</f>
        <v>566</v>
      </c>
      <c r="H1866" s="320"/>
      <c r="I1866" s="320"/>
      <c r="J1866" s="320"/>
      <c r="K1866" s="320"/>
      <c r="L1866" s="320"/>
      <c r="M1866" s="320"/>
      <c r="N1866" s="320"/>
      <c r="O1866" s="320"/>
    </row>
    <row r="1867">
      <c r="A1867" s="32">
        <f t="shared" si="1"/>
        <v>1866</v>
      </c>
      <c r="B1867" s="9" t="s">
        <v>3910</v>
      </c>
      <c r="C1867" s="500" t="s">
        <v>3634</v>
      </c>
      <c r="D1867" s="668" t="s">
        <v>3914</v>
      </c>
      <c r="E1867" s="18"/>
      <c r="F1867" s="523" t="s">
        <v>1088</v>
      </c>
      <c r="G1867" s="18">
        <f>VLOOKUP($C1867,'PE-AL-PE PIPE'!$AB:$AC,2,0)</f>
        <v>96</v>
      </c>
      <c r="H1867" s="320"/>
      <c r="I1867" s="320"/>
      <c r="J1867" s="320"/>
      <c r="K1867" s="320"/>
      <c r="L1867" s="320"/>
      <c r="M1867" s="320"/>
      <c r="N1867" s="320"/>
      <c r="O1867" s="320"/>
    </row>
    <row r="1868">
      <c r="A1868" s="32">
        <f t="shared" si="1"/>
        <v>1867</v>
      </c>
      <c r="B1868" s="9" t="s">
        <v>3910</v>
      </c>
      <c r="C1868" s="500" t="s">
        <v>3641</v>
      </c>
      <c r="D1868" s="668" t="s">
        <v>3914</v>
      </c>
      <c r="E1868" s="18"/>
      <c r="F1868" s="523" t="s">
        <v>1088</v>
      </c>
      <c r="G1868" s="18">
        <f>VLOOKUP($C1868,'PE-AL-PE PIPE'!$AB:$AC,2,0)</f>
        <v>116</v>
      </c>
      <c r="H1868" s="320"/>
      <c r="I1868" s="320"/>
      <c r="J1868" s="320"/>
      <c r="K1868" s="320"/>
      <c r="L1868" s="320"/>
      <c r="M1868" s="320"/>
      <c r="N1868" s="320"/>
      <c r="O1868" s="320"/>
    </row>
    <row r="1869">
      <c r="A1869" s="32">
        <f t="shared" si="1"/>
        <v>1868</v>
      </c>
      <c r="B1869" s="9" t="s">
        <v>3910</v>
      </c>
      <c r="C1869" s="500" t="s">
        <v>3648</v>
      </c>
      <c r="D1869" s="668" t="s">
        <v>3914</v>
      </c>
      <c r="E1869" s="18"/>
      <c r="F1869" s="523" t="s">
        <v>1088</v>
      </c>
      <c r="G1869" s="18">
        <f>VLOOKUP($C1869,'PE-AL-PE PIPE'!$AB:$AC,2,0)</f>
        <v>136</v>
      </c>
      <c r="H1869" s="320"/>
      <c r="I1869" s="320"/>
      <c r="J1869" s="320"/>
      <c r="K1869" s="320"/>
      <c r="L1869" s="320"/>
      <c r="M1869" s="320"/>
      <c r="N1869" s="320"/>
      <c r="O1869" s="320"/>
    </row>
    <row r="1870">
      <c r="A1870" s="32">
        <f t="shared" si="1"/>
        <v>1869</v>
      </c>
      <c r="B1870" s="9" t="s">
        <v>3910</v>
      </c>
      <c r="C1870" s="500" t="s">
        <v>3655</v>
      </c>
      <c r="D1870" s="668" t="s">
        <v>3914</v>
      </c>
      <c r="E1870" s="18"/>
      <c r="F1870" s="523" t="s">
        <v>1088</v>
      </c>
      <c r="G1870" s="18">
        <f>VLOOKUP($C1870,'PE-AL-PE PIPE'!$AB:$AC,2,0)</f>
        <v>236</v>
      </c>
      <c r="H1870" s="320"/>
      <c r="I1870" s="320"/>
      <c r="J1870" s="320"/>
      <c r="K1870" s="320"/>
      <c r="L1870" s="320"/>
      <c r="M1870" s="320"/>
      <c r="N1870" s="320"/>
      <c r="O1870" s="320"/>
    </row>
    <row r="1871">
      <c r="A1871" s="32">
        <f t="shared" si="1"/>
        <v>1870</v>
      </c>
      <c r="B1871" s="9" t="s">
        <v>3910</v>
      </c>
      <c r="C1871" s="500" t="s">
        <v>3661</v>
      </c>
      <c r="D1871" s="668" t="s">
        <v>3914</v>
      </c>
      <c r="E1871" s="18"/>
      <c r="F1871" s="523" t="s">
        <v>1088</v>
      </c>
      <c r="G1871" s="18">
        <f>VLOOKUP($C1871,'PE-AL-PE PIPE'!$AB:$AC,2,0)</f>
        <v>336</v>
      </c>
      <c r="H1871" s="320"/>
      <c r="I1871" s="320"/>
      <c r="J1871" s="320"/>
      <c r="K1871" s="320"/>
      <c r="L1871" s="320"/>
      <c r="M1871" s="320"/>
      <c r="N1871" s="320"/>
      <c r="O1871" s="320"/>
    </row>
    <row r="1872">
      <c r="A1872" s="32">
        <f t="shared" si="1"/>
        <v>1871</v>
      </c>
      <c r="B1872" s="9" t="s">
        <v>3910</v>
      </c>
      <c r="C1872" s="500" t="s">
        <v>3667</v>
      </c>
      <c r="D1872" s="668" t="s">
        <v>3914</v>
      </c>
      <c r="E1872" s="18"/>
      <c r="F1872" s="523" t="s">
        <v>1088</v>
      </c>
      <c r="G1872" s="18">
        <f>VLOOKUP($C1872,'PE-AL-PE PIPE'!$AB:$AC,2,0)</f>
        <v>516</v>
      </c>
      <c r="H1872" s="320"/>
      <c r="I1872" s="320"/>
      <c r="J1872" s="320"/>
      <c r="K1872" s="320"/>
      <c r="L1872" s="320"/>
      <c r="M1872" s="320"/>
      <c r="N1872" s="320"/>
      <c r="O1872" s="320"/>
    </row>
    <row r="1873">
      <c r="A1873" s="32">
        <f t="shared" si="1"/>
        <v>1872</v>
      </c>
      <c r="B1873" s="9" t="s">
        <v>3915</v>
      </c>
      <c r="C1873" s="460" t="s">
        <v>3916</v>
      </c>
      <c r="D1873" s="668" t="s">
        <v>3917</v>
      </c>
      <c r="E1873" s="18" t="str">
        <f>VLOOKUP($C1873,'PE-AL-PE FITTINGS'!$E$4:$I2469,3,0)</f>
        <v/>
      </c>
      <c r="F1873" s="523" t="s">
        <v>1088</v>
      </c>
      <c r="G1873" s="18">
        <f>VLOOKUP($C1873,'PE-AL-PE FITTINGS'!$E$4:$I2469,4,0)</f>
        <v>0.04</v>
      </c>
      <c r="H1873" s="320"/>
      <c r="I1873" s="320"/>
      <c r="J1873" s="320"/>
      <c r="K1873" s="320"/>
      <c r="L1873" s="320"/>
      <c r="M1873" s="320"/>
      <c r="N1873" s="320"/>
      <c r="O1873" s="320"/>
    </row>
    <row r="1874">
      <c r="A1874" s="32">
        <f t="shared" si="1"/>
        <v>1873</v>
      </c>
      <c r="B1874" s="9" t="s">
        <v>3915</v>
      </c>
      <c r="C1874" s="460" t="s">
        <v>3918</v>
      </c>
      <c r="D1874" s="668" t="s">
        <v>3917</v>
      </c>
      <c r="E1874" s="18" t="str">
        <f>VLOOKUP($C1874,'PE-AL-PE FITTINGS'!$E$4:$I2469,3,0)</f>
        <v/>
      </c>
      <c r="F1874" s="523" t="s">
        <v>1088</v>
      </c>
      <c r="G1874" s="18">
        <f>VLOOKUP($C1874,'PE-AL-PE FITTINGS'!$E$4:$I2469,4,0)</f>
        <v>0.053</v>
      </c>
      <c r="H1874" s="320"/>
      <c r="I1874" s="320"/>
      <c r="J1874" s="320"/>
      <c r="K1874" s="320"/>
      <c r="L1874" s="320"/>
      <c r="M1874" s="320"/>
      <c r="N1874" s="320"/>
      <c r="O1874" s="320"/>
    </row>
    <row r="1875">
      <c r="A1875" s="32">
        <f t="shared" si="1"/>
        <v>1874</v>
      </c>
      <c r="B1875" s="9" t="s">
        <v>3915</v>
      </c>
      <c r="C1875" s="460" t="s">
        <v>3919</v>
      </c>
      <c r="D1875" s="668" t="s">
        <v>3917</v>
      </c>
      <c r="E1875" s="18" t="str">
        <f>VLOOKUP($C1875,'PE-AL-PE FITTINGS'!$E$4:$I2469,3,0)</f>
        <v/>
      </c>
      <c r="F1875" s="523" t="s">
        <v>1088</v>
      </c>
      <c r="G1875" s="18" t="str">
        <f>VLOOKUP($C1875,'PE-AL-PE FITTINGS'!$E$4:$I2469,4,0)</f>
        <v/>
      </c>
      <c r="H1875" s="320"/>
      <c r="I1875" s="320"/>
      <c r="J1875" s="320"/>
      <c r="K1875" s="320"/>
      <c r="L1875" s="320"/>
      <c r="M1875" s="320"/>
      <c r="N1875" s="320"/>
      <c r="O1875" s="320"/>
    </row>
    <row r="1876">
      <c r="A1876" s="32">
        <f t="shared" si="1"/>
        <v>1875</v>
      </c>
      <c r="B1876" s="9" t="s">
        <v>3915</v>
      </c>
      <c r="C1876" s="460" t="s">
        <v>3920</v>
      </c>
      <c r="D1876" s="668" t="s">
        <v>3917</v>
      </c>
      <c r="E1876" s="18" t="str">
        <f>VLOOKUP($C1876,'PE-AL-PE FITTINGS'!$E$4:$I2469,3,0)</f>
        <v/>
      </c>
      <c r="F1876" s="523" t="s">
        <v>1088</v>
      </c>
      <c r="G1876" s="18" t="str">
        <f>VLOOKUP($C1876,'PE-AL-PE FITTINGS'!$E$4:$I2469,4,0)</f>
        <v/>
      </c>
      <c r="H1876" s="320"/>
      <c r="I1876" s="320"/>
      <c r="J1876" s="320"/>
      <c r="K1876" s="320"/>
      <c r="L1876" s="320"/>
      <c r="M1876" s="320"/>
      <c r="N1876" s="320"/>
      <c r="O1876" s="320"/>
    </row>
    <row r="1877">
      <c r="A1877" s="32">
        <f t="shared" si="1"/>
        <v>1876</v>
      </c>
      <c r="B1877" s="9" t="s">
        <v>3915</v>
      </c>
      <c r="C1877" s="460" t="s">
        <v>3921</v>
      </c>
      <c r="D1877" s="668" t="s">
        <v>3922</v>
      </c>
      <c r="E1877" s="18" t="str">
        <f>VLOOKUP($C1877,'PE-AL-PE FITTINGS'!$E$4:$I2469,3,0)</f>
        <v/>
      </c>
      <c r="F1877" s="523" t="s">
        <v>1088</v>
      </c>
      <c r="G1877" s="18">
        <f>VLOOKUP($C1877,'PE-AL-PE FITTINGS'!$E$4:$I2469,4,0)</f>
        <v>0.042</v>
      </c>
      <c r="H1877" s="320"/>
      <c r="I1877" s="320"/>
      <c r="J1877" s="320"/>
      <c r="K1877" s="320"/>
      <c r="L1877" s="320"/>
      <c r="M1877" s="320"/>
      <c r="N1877" s="320"/>
      <c r="O1877" s="320"/>
    </row>
    <row r="1878">
      <c r="A1878" s="32">
        <f t="shared" si="1"/>
        <v>1877</v>
      </c>
      <c r="B1878" s="9" t="s">
        <v>3915</v>
      </c>
      <c r="C1878" s="460" t="s">
        <v>3923</v>
      </c>
      <c r="D1878" s="668" t="s">
        <v>3922</v>
      </c>
      <c r="E1878" s="18" t="str">
        <f>VLOOKUP($C1878,'PE-AL-PE FITTINGS'!$E$4:$I2469,3,0)</f>
        <v/>
      </c>
      <c r="F1878" s="523" t="s">
        <v>1088</v>
      </c>
      <c r="G1878" s="18">
        <f>VLOOKUP($C1878,'PE-AL-PE FITTINGS'!$E$4:$I2469,4,0)</f>
        <v>0.056</v>
      </c>
      <c r="H1878" s="320"/>
      <c r="I1878" s="320"/>
      <c r="J1878" s="320"/>
      <c r="K1878" s="320"/>
      <c r="L1878" s="320"/>
      <c r="M1878" s="320"/>
      <c r="N1878" s="320"/>
      <c r="O1878" s="320"/>
    </row>
    <row r="1879">
      <c r="A1879" s="32">
        <f t="shared" si="1"/>
        <v>1878</v>
      </c>
      <c r="B1879" s="9" t="s">
        <v>3915</v>
      </c>
      <c r="C1879" s="460" t="s">
        <v>3924</v>
      </c>
      <c r="D1879" s="668" t="s">
        <v>3922</v>
      </c>
      <c r="E1879" s="18" t="str">
        <f>VLOOKUP($C1879,'PE-AL-PE FITTINGS'!$E$4:$I2469,3,0)</f>
        <v/>
      </c>
      <c r="F1879" s="523" t="s">
        <v>1088</v>
      </c>
      <c r="G1879" s="18" t="str">
        <f>VLOOKUP($C1879,'PE-AL-PE FITTINGS'!$E$4:$I2469,4,0)</f>
        <v/>
      </c>
      <c r="H1879" s="320"/>
      <c r="I1879" s="320"/>
      <c r="J1879" s="320"/>
      <c r="K1879" s="320"/>
      <c r="L1879" s="320"/>
      <c r="M1879" s="320"/>
      <c r="N1879" s="320"/>
      <c r="O1879" s="320"/>
    </row>
    <row r="1880">
      <c r="A1880" s="32">
        <f t="shared" si="1"/>
        <v>1879</v>
      </c>
      <c r="B1880" s="9" t="s">
        <v>3915</v>
      </c>
      <c r="C1880" s="460" t="s">
        <v>3925</v>
      </c>
      <c r="D1880" s="668" t="s">
        <v>3922</v>
      </c>
      <c r="E1880" s="18" t="str">
        <f>VLOOKUP($C1880,'PE-AL-PE FITTINGS'!$E$4:$I2469,3,0)</f>
        <v/>
      </c>
      <c r="F1880" s="523" t="s">
        <v>1088</v>
      </c>
      <c r="G1880" s="18">
        <f>VLOOKUP($C1880,'PE-AL-PE FITTINGS'!$E$4:$I2469,4,0)</f>
        <v>0.152</v>
      </c>
      <c r="H1880" s="320"/>
      <c r="I1880" s="320"/>
      <c r="J1880" s="320"/>
      <c r="K1880" s="320"/>
      <c r="L1880" s="320"/>
      <c r="M1880" s="320"/>
      <c r="N1880" s="320"/>
      <c r="O1880" s="320"/>
    </row>
    <row r="1881">
      <c r="A1881" s="32">
        <f t="shared" si="1"/>
        <v>1880</v>
      </c>
      <c r="B1881" s="9" t="s">
        <v>3915</v>
      </c>
      <c r="C1881" s="460" t="s">
        <v>3926</v>
      </c>
      <c r="D1881" s="668" t="s">
        <v>3927</v>
      </c>
      <c r="E1881" s="18" t="str">
        <f>VLOOKUP($C1881,'PE-AL-PE FITTINGS'!$E$4:$I2469,3,0)</f>
        <v/>
      </c>
      <c r="F1881" s="523" t="s">
        <v>1088</v>
      </c>
      <c r="G1881" s="18">
        <f>VLOOKUP($C1881,'PE-AL-PE FITTINGS'!$E$4:$I2469,4,0)</f>
        <v>0.062</v>
      </c>
      <c r="H1881" s="320"/>
      <c r="I1881" s="320"/>
      <c r="J1881" s="320"/>
      <c r="K1881" s="320"/>
      <c r="L1881" s="320"/>
      <c r="M1881" s="320"/>
      <c r="N1881" s="320"/>
      <c r="O1881" s="320"/>
    </row>
    <row r="1882">
      <c r="A1882" s="32">
        <f t="shared" si="1"/>
        <v>1881</v>
      </c>
      <c r="B1882" s="9" t="s">
        <v>3915</v>
      </c>
      <c r="C1882" s="460" t="s">
        <v>3928</v>
      </c>
      <c r="D1882" s="668" t="s">
        <v>3927</v>
      </c>
      <c r="E1882" s="18" t="str">
        <f>VLOOKUP($C1882,'PE-AL-PE FITTINGS'!$E$4:$I2469,3,0)</f>
        <v/>
      </c>
      <c r="F1882" s="523" t="s">
        <v>1088</v>
      </c>
      <c r="G1882" s="18">
        <f>VLOOKUP($C1882,'PE-AL-PE FITTINGS'!$E$4:$I2469,4,0)</f>
        <v>0.083</v>
      </c>
      <c r="H1882" s="320"/>
      <c r="I1882" s="320"/>
      <c r="J1882" s="320"/>
      <c r="K1882" s="320"/>
      <c r="L1882" s="320"/>
      <c r="M1882" s="320"/>
      <c r="N1882" s="320"/>
      <c r="O1882" s="320"/>
    </row>
    <row r="1883">
      <c r="A1883" s="32">
        <f t="shared" si="1"/>
        <v>1882</v>
      </c>
      <c r="B1883" s="9" t="s">
        <v>3915</v>
      </c>
      <c r="C1883" s="460" t="s">
        <v>3929</v>
      </c>
      <c r="D1883" s="668" t="s">
        <v>3927</v>
      </c>
      <c r="E1883" s="18" t="str">
        <f>VLOOKUP($C1883,'PE-AL-PE FITTINGS'!$E$4:$I2469,3,0)</f>
        <v/>
      </c>
      <c r="F1883" s="523" t="s">
        <v>1088</v>
      </c>
      <c r="G1883" s="18" t="str">
        <f>VLOOKUP($C1883,'PE-AL-PE FITTINGS'!$E$4:$I2469,4,0)</f>
        <v/>
      </c>
      <c r="H1883" s="320"/>
      <c r="I1883" s="320"/>
      <c r="J1883" s="320"/>
      <c r="K1883" s="320"/>
      <c r="L1883" s="320"/>
      <c r="M1883" s="320"/>
      <c r="N1883" s="320"/>
      <c r="O1883" s="320"/>
    </row>
    <row r="1884">
      <c r="A1884" s="32">
        <f t="shared" si="1"/>
        <v>1883</v>
      </c>
      <c r="B1884" s="9" t="s">
        <v>3915</v>
      </c>
      <c r="C1884" s="460" t="s">
        <v>3930</v>
      </c>
      <c r="D1884" s="668" t="s">
        <v>3927</v>
      </c>
      <c r="E1884" s="18" t="str">
        <f>VLOOKUP($C1884,'PE-AL-PE FITTINGS'!$E$4:$I2469,3,0)</f>
        <v/>
      </c>
      <c r="F1884" s="523" t="s">
        <v>1088</v>
      </c>
      <c r="G1884" s="18">
        <f>VLOOKUP($C1884,'PE-AL-PE FITTINGS'!$E$4:$I2469,4,0)</f>
        <v>0.234</v>
      </c>
      <c r="H1884" s="320"/>
      <c r="I1884" s="320"/>
      <c r="J1884" s="320"/>
      <c r="K1884" s="320"/>
      <c r="L1884" s="320"/>
      <c r="M1884" s="320"/>
      <c r="N1884" s="320"/>
      <c r="O1884" s="320"/>
    </row>
    <row r="1885">
      <c r="A1885" s="32">
        <f t="shared" si="1"/>
        <v>1884</v>
      </c>
      <c r="B1885" s="9" t="s">
        <v>3915</v>
      </c>
      <c r="C1885" s="460" t="s">
        <v>3931</v>
      </c>
      <c r="D1885" s="668" t="s">
        <v>3932</v>
      </c>
      <c r="E1885" s="18">
        <f>VLOOKUP($C1885,'PE-AL-PE FITTINGS'!$E$4:$I2469,3,0)</f>
        <v>0.026</v>
      </c>
      <c r="F1885" s="523" t="s">
        <v>1088</v>
      </c>
      <c r="G1885" s="18">
        <f>VLOOKUP($C1885,'PE-AL-PE FITTINGS'!$E$4:$I2469,4,0)</f>
        <v>0.053</v>
      </c>
      <c r="H1885" s="320"/>
      <c r="I1885" s="320"/>
      <c r="J1885" s="320"/>
      <c r="K1885" s="320"/>
      <c r="L1885" s="320"/>
      <c r="M1885" s="320"/>
      <c r="N1885" s="320"/>
      <c r="O1885" s="320"/>
    </row>
    <row r="1886">
      <c r="A1886" s="32">
        <f t="shared" si="1"/>
        <v>1885</v>
      </c>
      <c r="B1886" s="9" t="s">
        <v>3915</v>
      </c>
      <c r="C1886" s="460" t="s">
        <v>3933</v>
      </c>
      <c r="D1886" s="668" t="s">
        <v>3932</v>
      </c>
      <c r="E1886" s="18">
        <f>VLOOKUP($C1886,'PE-AL-PE FITTINGS'!$E$4:$I2469,3,0)</f>
        <v>0.026</v>
      </c>
      <c r="F1886" s="523" t="s">
        <v>1088</v>
      </c>
      <c r="G1886" s="18">
        <f>VLOOKUP($C1886,'PE-AL-PE FITTINGS'!$E$4:$I2469,4,0)</f>
        <v>0.061</v>
      </c>
      <c r="H1886" s="320"/>
      <c r="I1886" s="320"/>
      <c r="J1886" s="320"/>
      <c r="K1886" s="320"/>
      <c r="L1886" s="320"/>
      <c r="M1886" s="320"/>
      <c r="N1886" s="320"/>
      <c r="O1886" s="320"/>
    </row>
    <row r="1887">
      <c r="A1887" s="32">
        <f t="shared" si="1"/>
        <v>1886</v>
      </c>
      <c r="B1887" s="9" t="s">
        <v>3915</v>
      </c>
      <c r="C1887" s="460" t="s">
        <v>3934</v>
      </c>
      <c r="D1887" s="668" t="s">
        <v>3935</v>
      </c>
      <c r="E1887" s="18" t="str">
        <f>VLOOKUP($C1887,'PE-AL-PE FITTINGS'!$E$4:$I2469,3,0)</f>
        <v/>
      </c>
      <c r="F1887" s="523" t="s">
        <v>1088</v>
      </c>
      <c r="G1887" s="18" t="str">
        <f>VLOOKUP($C1887,'PE-AL-PE FITTINGS'!$E$4:$I2469,4,0)</f>
        <v/>
      </c>
      <c r="H1887" s="320"/>
      <c r="I1887" s="320"/>
      <c r="J1887" s="320"/>
      <c r="K1887" s="320"/>
      <c r="L1887" s="320"/>
      <c r="M1887" s="320"/>
      <c r="N1887" s="320"/>
      <c r="O1887" s="320"/>
    </row>
    <row r="1888">
      <c r="A1888" s="32">
        <f t="shared" si="1"/>
        <v>1887</v>
      </c>
      <c r="B1888" s="9" t="s">
        <v>3915</v>
      </c>
      <c r="C1888" s="460" t="s">
        <v>3936</v>
      </c>
      <c r="D1888" s="668" t="s">
        <v>3935</v>
      </c>
      <c r="E1888" s="18" t="str">
        <f>VLOOKUP($C1888,'PE-AL-PE FITTINGS'!$E$4:$I2469,3,0)</f>
        <v/>
      </c>
      <c r="F1888" s="523" t="s">
        <v>1088</v>
      </c>
      <c r="G1888" s="18" t="str">
        <f>VLOOKUP($C1888,'PE-AL-PE FITTINGS'!$E$4:$I2469,4,0)</f>
        <v/>
      </c>
      <c r="H1888" s="320"/>
      <c r="I1888" s="320"/>
      <c r="J1888" s="320"/>
      <c r="K1888" s="320"/>
      <c r="L1888" s="320"/>
      <c r="M1888" s="320"/>
      <c r="N1888" s="320"/>
      <c r="O1888" s="320"/>
    </row>
    <row r="1889">
      <c r="A1889" s="32">
        <f t="shared" si="1"/>
        <v>1888</v>
      </c>
      <c r="B1889" s="9" t="s">
        <v>3915</v>
      </c>
      <c r="C1889" s="460" t="s">
        <v>3937</v>
      </c>
      <c r="D1889" s="668" t="s">
        <v>3938</v>
      </c>
      <c r="E1889" s="18" t="str">
        <f>VLOOKUP($C1889,'PE-AL-PE FITTINGS'!$E$4:$I2469,3,0)</f>
        <v/>
      </c>
      <c r="F1889" s="523" t="s">
        <v>1088</v>
      </c>
      <c r="G1889" s="18" t="str">
        <f>VLOOKUP($C1889,'PE-AL-PE FITTINGS'!$E$4:$I2469,4,0)</f>
        <v/>
      </c>
      <c r="H1889" s="320"/>
      <c r="I1889" s="320"/>
      <c r="J1889" s="320"/>
      <c r="K1889" s="320"/>
      <c r="L1889" s="320"/>
      <c r="M1889" s="320"/>
      <c r="N1889" s="320"/>
      <c r="O1889" s="320"/>
    </row>
    <row r="1890">
      <c r="A1890" s="32">
        <f t="shared" si="1"/>
        <v>1889</v>
      </c>
      <c r="B1890" s="9" t="s">
        <v>3915</v>
      </c>
      <c r="C1890" s="460" t="s">
        <v>3939</v>
      </c>
      <c r="D1890" s="668" t="s">
        <v>3938</v>
      </c>
      <c r="E1890" s="18" t="str">
        <f>VLOOKUP($C1890,'PE-AL-PE FITTINGS'!$E$4:$I2469,3,0)</f>
        <v/>
      </c>
      <c r="F1890" s="523" t="s">
        <v>1088</v>
      </c>
      <c r="G1890" s="18" t="str">
        <f>VLOOKUP($C1890,'PE-AL-PE FITTINGS'!$E$4:$I2469,4,0)</f>
        <v/>
      </c>
      <c r="H1890" s="320"/>
      <c r="I1890" s="320"/>
      <c r="J1890" s="320"/>
      <c r="K1890" s="320"/>
      <c r="L1890" s="320"/>
      <c r="M1890" s="320"/>
      <c r="N1890" s="320"/>
      <c r="O1890" s="320"/>
    </row>
    <row r="1891">
      <c r="A1891" s="32">
        <f t="shared" si="1"/>
        <v>1890</v>
      </c>
      <c r="B1891" s="9" t="s">
        <v>3915</v>
      </c>
      <c r="C1891" s="460" t="s">
        <v>3940</v>
      </c>
      <c r="D1891" s="668" t="s">
        <v>3941</v>
      </c>
      <c r="E1891" s="18">
        <f>VLOOKUP($C1891,'PE-AL-PE FITTINGS'!$E$4:$I2469,3,0)</f>
        <v>0.087</v>
      </c>
      <c r="F1891" s="523" t="s">
        <v>1088</v>
      </c>
      <c r="G1891" s="18">
        <f>VLOOKUP($C1891,'PE-AL-PE FITTINGS'!$E$4:$I2469,4,0)</f>
        <v>0.097</v>
      </c>
      <c r="H1891" s="320"/>
      <c r="I1891" s="320"/>
      <c r="J1891" s="320"/>
      <c r="K1891" s="320"/>
      <c r="L1891" s="320"/>
      <c r="M1891" s="320"/>
      <c r="N1891" s="320"/>
      <c r="O1891" s="320"/>
    </row>
    <row r="1892">
      <c r="A1892" s="32">
        <f t="shared" si="1"/>
        <v>1891</v>
      </c>
      <c r="B1892" s="9" t="s">
        <v>3915</v>
      </c>
      <c r="C1892" s="460" t="s">
        <v>3942</v>
      </c>
      <c r="D1892" s="668" t="s">
        <v>3941</v>
      </c>
      <c r="E1892" s="18" t="str">
        <f>VLOOKUP($C1892,'PE-AL-PE FITTINGS'!$E$4:$I2469,3,0)</f>
        <v/>
      </c>
      <c r="F1892" s="523" t="s">
        <v>1088</v>
      </c>
      <c r="G1892" s="18" t="str">
        <f>VLOOKUP($C1892,'PE-AL-PE FITTINGS'!$E$4:$I2469,4,0)</f>
        <v/>
      </c>
      <c r="H1892" s="320"/>
      <c r="I1892" s="320"/>
      <c r="J1892" s="320"/>
      <c r="K1892" s="320"/>
      <c r="L1892" s="320"/>
      <c r="M1892" s="320"/>
      <c r="N1892" s="320"/>
      <c r="O1892" s="320"/>
    </row>
    <row r="1893">
      <c r="A1893" s="32">
        <f t="shared" si="1"/>
        <v>1892</v>
      </c>
      <c r="B1893" s="9" t="s">
        <v>3915</v>
      </c>
      <c r="C1893" s="460" t="s">
        <v>3943</v>
      </c>
      <c r="D1893" s="668" t="s">
        <v>3944</v>
      </c>
      <c r="E1893" s="18">
        <f>VLOOKUP($C1893,'PE-AL-PE FITTINGS'!$E$4:$I2469,3,0)</f>
        <v>0.072</v>
      </c>
      <c r="F1893" s="523" t="s">
        <v>1088</v>
      </c>
      <c r="G1893" s="18">
        <f>VLOOKUP($C1893,'PE-AL-PE FITTINGS'!$E$4:$I2469,4,0)</f>
        <v>0.121</v>
      </c>
      <c r="H1893" s="320"/>
      <c r="I1893" s="320"/>
      <c r="J1893" s="320"/>
      <c r="K1893" s="320"/>
      <c r="L1893" s="320"/>
      <c r="M1893" s="320"/>
      <c r="N1893" s="320"/>
      <c r="O1893" s="320"/>
    </row>
    <row r="1894">
      <c r="A1894" s="32">
        <f t="shared" si="1"/>
        <v>1893</v>
      </c>
      <c r="B1894" s="9" t="s">
        <v>3915</v>
      </c>
      <c r="C1894" s="460" t="s">
        <v>3945</v>
      </c>
      <c r="D1894" s="668" t="s">
        <v>3944</v>
      </c>
      <c r="E1894" s="18">
        <f>VLOOKUP($C1894,'PE-AL-PE FITTINGS'!$E$4:$I2469,3,0)</f>
        <v>0.114</v>
      </c>
      <c r="F1894" s="523" t="s">
        <v>1088</v>
      </c>
      <c r="G1894" s="18">
        <f>VLOOKUP($C1894,'PE-AL-PE FITTINGS'!$E$4:$I2469,4,0)</f>
        <v>0.188</v>
      </c>
      <c r="H1894" s="320"/>
      <c r="I1894" s="320"/>
      <c r="J1894" s="320"/>
      <c r="K1894" s="320"/>
      <c r="L1894" s="320"/>
      <c r="M1894" s="320"/>
      <c r="N1894" s="320"/>
      <c r="O1894" s="320"/>
    </row>
    <row r="1895">
      <c r="A1895" s="32">
        <f t="shared" si="1"/>
        <v>1894</v>
      </c>
      <c r="B1895" s="9" t="s">
        <v>3915</v>
      </c>
      <c r="C1895" s="460" t="s">
        <v>3946</v>
      </c>
      <c r="D1895" s="668" t="s">
        <v>3944</v>
      </c>
      <c r="E1895" s="18">
        <f>VLOOKUP($C1895,'PE-AL-PE FITTINGS'!$E$4:$I2469,3,0)</f>
        <v>0.12</v>
      </c>
      <c r="F1895" s="523" t="s">
        <v>1088</v>
      </c>
      <c r="G1895" s="18">
        <f>VLOOKUP($C1895,'PE-AL-PE FITTINGS'!$E$4:$I2469,4,0)</f>
        <v>0.197</v>
      </c>
      <c r="H1895" s="320"/>
      <c r="I1895" s="320"/>
      <c r="J1895" s="320"/>
      <c r="K1895" s="320"/>
      <c r="L1895" s="320"/>
      <c r="M1895" s="320"/>
      <c r="N1895" s="320"/>
      <c r="O1895" s="320"/>
    </row>
    <row r="1896">
      <c r="A1896" s="32">
        <f t="shared" si="1"/>
        <v>1895</v>
      </c>
      <c r="B1896" s="9" t="s">
        <v>3915</v>
      </c>
      <c r="C1896" s="460" t="s">
        <v>3947</v>
      </c>
      <c r="D1896" s="668" t="s">
        <v>3944</v>
      </c>
      <c r="E1896" s="18">
        <f>VLOOKUP($C1896,'PE-AL-PE FITTINGS'!$E$4:$I2469,3,0)</f>
        <v>0.166</v>
      </c>
      <c r="F1896" s="523" t="s">
        <v>1088</v>
      </c>
      <c r="G1896" s="18">
        <f>VLOOKUP($C1896,'PE-AL-PE FITTINGS'!$E$4:$I2469,4,0)</f>
        <v>0.276</v>
      </c>
      <c r="H1896" s="320"/>
      <c r="I1896" s="320"/>
      <c r="J1896" s="320"/>
      <c r="K1896" s="320"/>
      <c r="L1896" s="320"/>
      <c r="M1896" s="320"/>
      <c r="N1896" s="320"/>
      <c r="O1896" s="320"/>
    </row>
    <row r="1897">
      <c r="A1897" s="32">
        <f t="shared" si="1"/>
        <v>1896</v>
      </c>
      <c r="B1897" s="9" t="s">
        <v>3915</v>
      </c>
      <c r="C1897" s="460" t="s">
        <v>3948</v>
      </c>
      <c r="D1897" s="668" t="s">
        <v>3944</v>
      </c>
      <c r="E1897" s="18">
        <f>VLOOKUP($C1897,'PE-AL-PE FITTINGS'!$E$4:$I2469,3,0)</f>
        <v>0.195</v>
      </c>
      <c r="F1897" s="523" t="s">
        <v>1088</v>
      </c>
      <c r="G1897" s="18">
        <f>VLOOKUP($C1897,'PE-AL-PE FITTINGS'!$E$4:$I2469,4,0)</f>
        <v>0.33</v>
      </c>
      <c r="H1897" s="320"/>
      <c r="I1897" s="320"/>
      <c r="J1897" s="320"/>
      <c r="K1897" s="320"/>
      <c r="L1897" s="320"/>
      <c r="M1897" s="320"/>
      <c r="N1897" s="320"/>
      <c r="O1897" s="320"/>
    </row>
    <row r="1898">
      <c r="A1898" s="32">
        <f t="shared" si="1"/>
        <v>1897</v>
      </c>
      <c r="B1898" s="9" t="s">
        <v>3915</v>
      </c>
      <c r="C1898" s="460" t="s">
        <v>3949</v>
      </c>
      <c r="D1898" s="668" t="s">
        <v>3950</v>
      </c>
      <c r="E1898" s="18">
        <f>VLOOKUP($C1898,'PE-AL-PE FITTINGS'!$E$4:$I2469,3,0)</f>
        <v>0.061</v>
      </c>
      <c r="F1898" s="523" t="s">
        <v>1088</v>
      </c>
      <c r="G1898" s="18">
        <f>VLOOKUP($C1898,'PE-AL-PE FITTINGS'!$E$4:$I2469,4,0)</f>
        <v>0.084</v>
      </c>
      <c r="H1898" s="320"/>
      <c r="I1898" s="320"/>
      <c r="J1898" s="320"/>
      <c r="K1898" s="320"/>
      <c r="L1898" s="320"/>
      <c r="M1898" s="320"/>
      <c r="N1898" s="320"/>
      <c r="O1898" s="320"/>
    </row>
    <row r="1899">
      <c r="A1899" s="32">
        <f t="shared" si="1"/>
        <v>1898</v>
      </c>
      <c r="B1899" s="9" t="s">
        <v>3915</v>
      </c>
      <c r="C1899" s="460" t="s">
        <v>3951</v>
      </c>
      <c r="D1899" s="668" t="s">
        <v>3950</v>
      </c>
      <c r="E1899" s="18">
        <f>VLOOKUP($C1899,'PE-AL-PE FITTINGS'!$E$4:$I2469,3,0)</f>
        <v>0.07</v>
      </c>
      <c r="F1899" s="523" t="s">
        <v>1088</v>
      </c>
      <c r="G1899" s="18">
        <f>VLOOKUP($C1899,'PE-AL-PE FITTINGS'!$E$4:$I2469,4,0)</f>
        <v>0.096</v>
      </c>
      <c r="H1899" s="320"/>
      <c r="I1899" s="320"/>
      <c r="J1899" s="320"/>
      <c r="K1899" s="320"/>
      <c r="L1899" s="320"/>
      <c r="M1899" s="320"/>
      <c r="N1899" s="320"/>
      <c r="O1899" s="320"/>
    </row>
    <row r="1900">
      <c r="A1900" s="32">
        <f t="shared" si="1"/>
        <v>1899</v>
      </c>
      <c r="B1900" s="9" t="s">
        <v>3915</v>
      </c>
      <c r="C1900" s="460" t="s">
        <v>3952</v>
      </c>
      <c r="D1900" s="668" t="s">
        <v>3950</v>
      </c>
      <c r="E1900" s="18">
        <f>VLOOKUP($C1900,'PE-AL-PE FITTINGS'!$E$4:$I2469,3,0)</f>
        <v>0.087</v>
      </c>
      <c r="F1900" s="523" t="s">
        <v>1088</v>
      </c>
      <c r="G1900" s="18">
        <f>VLOOKUP($C1900,'PE-AL-PE FITTINGS'!$E$4:$I2469,4,0)</f>
        <v>0.113</v>
      </c>
      <c r="H1900" s="320"/>
      <c r="I1900" s="320"/>
      <c r="J1900" s="320"/>
      <c r="K1900" s="320"/>
      <c r="L1900" s="320"/>
      <c r="M1900" s="320"/>
      <c r="N1900" s="320"/>
      <c r="O1900" s="320"/>
    </row>
    <row r="1901">
      <c r="A1901" s="32">
        <f t="shared" si="1"/>
        <v>1900</v>
      </c>
      <c r="B1901" s="9" t="s">
        <v>3915</v>
      </c>
      <c r="C1901" s="460" t="s">
        <v>3953</v>
      </c>
      <c r="D1901" s="668" t="s">
        <v>3950</v>
      </c>
      <c r="E1901" s="18">
        <f>VLOOKUP($C1901,'PE-AL-PE FITTINGS'!$E$4:$I2469,3,0)</f>
        <v>0.108</v>
      </c>
      <c r="F1901" s="523" t="s">
        <v>1088</v>
      </c>
      <c r="G1901" s="18">
        <f>VLOOKUP($C1901,'PE-AL-PE FITTINGS'!$E$4:$I2469,4,0)</f>
        <v>0.159</v>
      </c>
      <c r="H1901" s="320"/>
      <c r="I1901" s="320"/>
      <c r="J1901" s="320"/>
      <c r="K1901" s="320"/>
      <c r="L1901" s="320"/>
      <c r="M1901" s="320"/>
      <c r="N1901" s="320"/>
      <c r="O1901" s="320"/>
    </row>
    <row r="1902">
      <c r="A1902" s="32">
        <f t="shared" si="1"/>
        <v>1901</v>
      </c>
      <c r="B1902" s="9" t="s">
        <v>3915</v>
      </c>
      <c r="C1902" s="460" t="s">
        <v>3954</v>
      </c>
      <c r="D1902" s="668" t="s">
        <v>3950</v>
      </c>
      <c r="E1902" s="18">
        <f>VLOOKUP($C1902,'PE-AL-PE FITTINGS'!$E$4:$I2469,3,0)</f>
        <v>0.112</v>
      </c>
      <c r="F1902" s="523" t="s">
        <v>1088</v>
      </c>
      <c r="G1902" s="18">
        <f>VLOOKUP($C1902,'PE-AL-PE FITTINGS'!$E$4:$I2469,4,0)</f>
        <v>0.163</v>
      </c>
      <c r="H1902" s="320"/>
      <c r="I1902" s="320"/>
      <c r="J1902" s="320"/>
      <c r="K1902" s="320"/>
      <c r="L1902" s="320"/>
      <c r="M1902" s="320"/>
      <c r="N1902" s="320"/>
      <c r="O1902" s="320"/>
    </row>
    <row r="1903">
      <c r="A1903" s="32">
        <f t="shared" si="1"/>
        <v>1902</v>
      </c>
      <c r="B1903" s="9" t="s">
        <v>3915</v>
      </c>
      <c r="C1903" s="460" t="s">
        <v>3955</v>
      </c>
      <c r="D1903" s="668" t="s">
        <v>3950</v>
      </c>
      <c r="E1903" s="18">
        <f>VLOOKUP($C1903,'PE-AL-PE FITTINGS'!$E$4:$I2469,3,0)</f>
        <v>0.124</v>
      </c>
      <c r="F1903" s="523" t="s">
        <v>1088</v>
      </c>
      <c r="G1903" s="18">
        <f>VLOOKUP($C1903,'PE-AL-PE FITTINGS'!$E$4:$I2469,4,0)</f>
        <v>0.175</v>
      </c>
      <c r="H1903" s="320"/>
      <c r="I1903" s="320"/>
      <c r="J1903" s="320"/>
      <c r="K1903" s="320"/>
      <c r="L1903" s="320"/>
      <c r="M1903" s="320"/>
      <c r="N1903" s="320"/>
      <c r="O1903" s="320"/>
    </row>
    <row r="1904">
      <c r="A1904" s="32">
        <f t="shared" si="1"/>
        <v>1903</v>
      </c>
      <c r="B1904" s="9" t="s">
        <v>3915</v>
      </c>
      <c r="C1904" s="460" t="s">
        <v>3956</v>
      </c>
      <c r="D1904" s="668" t="s">
        <v>3950</v>
      </c>
      <c r="E1904" s="18">
        <f>VLOOKUP($C1904,'PE-AL-PE FITTINGS'!$E$4:$I2469,3,0)</f>
        <v>0.161</v>
      </c>
      <c r="F1904" s="523" t="s">
        <v>1088</v>
      </c>
      <c r="G1904" s="18">
        <f>VLOOKUP($C1904,'PE-AL-PE FITTINGS'!$E$4:$I2469,4,0)</f>
        <v>0.245</v>
      </c>
      <c r="H1904" s="320"/>
      <c r="I1904" s="320"/>
      <c r="J1904" s="320"/>
      <c r="K1904" s="320"/>
      <c r="L1904" s="320"/>
      <c r="M1904" s="320"/>
      <c r="N1904" s="320"/>
      <c r="O1904" s="320"/>
    </row>
    <row r="1905">
      <c r="A1905" s="32">
        <f t="shared" si="1"/>
        <v>1904</v>
      </c>
      <c r="B1905" s="9" t="s">
        <v>3915</v>
      </c>
      <c r="C1905" s="460" t="s">
        <v>3957</v>
      </c>
      <c r="D1905" s="668" t="s">
        <v>3950</v>
      </c>
      <c r="E1905" s="18">
        <f>VLOOKUP($C1905,'PE-AL-PE FITTINGS'!$E$4:$I2469,3,0)</f>
        <v>0.173</v>
      </c>
      <c r="F1905" s="523" t="s">
        <v>1088</v>
      </c>
      <c r="G1905" s="18">
        <f>VLOOKUP($C1905,'PE-AL-PE FITTINGS'!$E$4:$I2469,4,0)</f>
        <v>0.257</v>
      </c>
      <c r="H1905" s="320"/>
      <c r="I1905" s="320"/>
      <c r="J1905" s="320"/>
      <c r="K1905" s="320"/>
      <c r="L1905" s="320"/>
      <c r="M1905" s="320"/>
      <c r="N1905" s="320"/>
      <c r="O1905" s="320"/>
    </row>
    <row r="1906">
      <c r="A1906" s="32">
        <f t="shared" si="1"/>
        <v>1905</v>
      </c>
      <c r="B1906" s="9" t="s">
        <v>3915</v>
      </c>
      <c r="C1906" s="460" t="s">
        <v>3958</v>
      </c>
      <c r="D1906" s="668" t="s">
        <v>3950</v>
      </c>
      <c r="E1906" s="18">
        <f>VLOOKUP($C1906,'PE-AL-PE FITTINGS'!$E$4:$I2469,3,0)</f>
        <v>0.204</v>
      </c>
      <c r="F1906" s="523" t="s">
        <v>1088</v>
      </c>
      <c r="G1906" s="18">
        <f>VLOOKUP($C1906,'PE-AL-PE FITTINGS'!$E$4:$I2469,4,0)</f>
        <v>0.288</v>
      </c>
      <c r="H1906" s="320"/>
      <c r="I1906" s="320"/>
      <c r="J1906" s="320"/>
      <c r="K1906" s="320"/>
      <c r="L1906" s="320"/>
      <c r="M1906" s="320"/>
      <c r="N1906" s="320"/>
      <c r="O1906" s="320"/>
    </row>
    <row r="1907">
      <c r="A1907" s="32">
        <f t="shared" si="1"/>
        <v>1906</v>
      </c>
      <c r="B1907" s="9" t="s">
        <v>3915</v>
      </c>
      <c r="C1907" s="460" t="s">
        <v>3959</v>
      </c>
      <c r="D1907" s="668" t="s">
        <v>3960</v>
      </c>
      <c r="E1907" s="18">
        <f>VLOOKUP($C1907,'PE-AL-PE FITTINGS'!$E$4:$I2469,3,0)</f>
        <v>0.058</v>
      </c>
      <c r="F1907" s="523" t="s">
        <v>1088</v>
      </c>
      <c r="G1907" s="18">
        <f>VLOOKUP($C1907,'PE-AL-PE FITTINGS'!$E$4:$I2469,4,0)</f>
        <v>0.081</v>
      </c>
      <c r="H1907" s="320"/>
      <c r="I1907" s="320"/>
      <c r="J1907" s="320"/>
      <c r="K1907" s="320"/>
      <c r="L1907" s="320"/>
      <c r="M1907" s="320"/>
      <c r="N1907" s="320"/>
      <c r="O1907" s="320"/>
    </row>
    <row r="1908">
      <c r="A1908" s="32">
        <f t="shared" si="1"/>
        <v>1907</v>
      </c>
      <c r="B1908" s="9" t="s">
        <v>3915</v>
      </c>
      <c r="C1908" s="460" t="s">
        <v>3961</v>
      </c>
      <c r="D1908" s="668" t="s">
        <v>3960</v>
      </c>
      <c r="E1908" s="18">
        <f>VLOOKUP($C1908,'PE-AL-PE FITTINGS'!$E$4:$I2469,3,0)</f>
        <v>0.063</v>
      </c>
      <c r="F1908" s="523" t="s">
        <v>1088</v>
      </c>
      <c r="G1908" s="18">
        <f>VLOOKUP($C1908,'PE-AL-PE FITTINGS'!$E$4:$I2469,4,0)</f>
        <v>0.089</v>
      </c>
      <c r="H1908" s="320"/>
      <c r="I1908" s="320"/>
      <c r="J1908" s="320"/>
      <c r="K1908" s="320"/>
      <c r="L1908" s="320"/>
      <c r="M1908" s="320"/>
      <c r="N1908" s="320"/>
      <c r="O1908" s="320"/>
    </row>
    <row r="1909">
      <c r="A1909" s="32">
        <f t="shared" si="1"/>
        <v>1908</v>
      </c>
      <c r="B1909" s="9" t="s">
        <v>3915</v>
      </c>
      <c r="C1909" s="460" t="s">
        <v>3962</v>
      </c>
      <c r="D1909" s="668" t="s">
        <v>3960</v>
      </c>
      <c r="E1909" s="18">
        <f>VLOOKUP($C1909,'PE-AL-PE FITTINGS'!$E$4:$I2469,3,0)</f>
        <v>0.07</v>
      </c>
      <c r="F1909" s="523" t="s">
        <v>1088</v>
      </c>
      <c r="G1909" s="18">
        <f>VLOOKUP($C1909,'PE-AL-PE FITTINGS'!$E$4:$I2469,4,0)</f>
        <v>0.096</v>
      </c>
      <c r="H1909" s="320"/>
      <c r="I1909" s="320"/>
      <c r="J1909" s="320"/>
      <c r="K1909" s="320"/>
      <c r="L1909" s="320"/>
      <c r="M1909" s="320"/>
      <c r="N1909" s="320"/>
      <c r="O1909" s="320"/>
    </row>
    <row r="1910">
      <c r="A1910" s="32">
        <f t="shared" si="1"/>
        <v>1909</v>
      </c>
      <c r="B1910" s="9" t="s">
        <v>3915</v>
      </c>
      <c r="C1910" s="460" t="s">
        <v>3963</v>
      </c>
      <c r="D1910" s="668" t="s">
        <v>3960</v>
      </c>
      <c r="E1910" s="18">
        <f>VLOOKUP($C1910,'PE-AL-PE FITTINGS'!$E$4:$I2469,3,0)</f>
        <v>0.101</v>
      </c>
      <c r="F1910" s="523" t="s">
        <v>1088</v>
      </c>
      <c r="G1910" s="18">
        <f>VLOOKUP($C1910,'PE-AL-PE FITTINGS'!$E$4:$I2469,4,0)</f>
        <v>0.152</v>
      </c>
      <c r="H1910" s="320"/>
      <c r="I1910" s="320"/>
      <c r="J1910" s="320"/>
      <c r="K1910" s="320"/>
      <c r="L1910" s="320"/>
      <c r="M1910" s="320"/>
      <c r="N1910" s="320"/>
      <c r="O1910" s="320"/>
    </row>
    <row r="1911">
      <c r="A1911" s="32">
        <f t="shared" si="1"/>
        <v>1910</v>
      </c>
      <c r="B1911" s="9" t="s">
        <v>3915</v>
      </c>
      <c r="C1911" s="460" t="s">
        <v>3964</v>
      </c>
      <c r="D1911" s="668" t="s">
        <v>3960</v>
      </c>
      <c r="E1911" s="18">
        <f>VLOOKUP($C1911,'PE-AL-PE FITTINGS'!$E$4:$I2469,3,0)</f>
        <v>0.113</v>
      </c>
      <c r="F1911" s="523" t="s">
        <v>1088</v>
      </c>
      <c r="G1911" s="18">
        <f>VLOOKUP($C1911,'PE-AL-PE FITTINGS'!$E$4:$I2469,4,0)</f>
        <v>0.164</v>
      </c>
      <c r="H1911" s="320"/>
      <c r="I1911" s="320"/>
      <c r="J1911" s="320"/>
      <c r="K1911" s="320"/>
      <c r="L1911" s="320"/>
      <c r="M1911" s="320"/>
      <c r="N1911" s="320"/>
      <c r="O1911" s="320"/>
    </row>
    <row r="1912">
      <c r="A1912" s="32">
        <f t="shared" si="1"/>
        <v>1911</v>
      </c>
      <c r="B1912" s="9" t="s">
        <v>3915</v>
      </c>
      <c r="C1912" s="460" t="s">
        <v>3965</v>
      </c>
      <c r="D1912" s="668" t="s">
        <v>3960</v>
      </c>
      <c r="E1912" s="18">
        <f>VLOOKUP($C1912,'PE-AL-PE FITTINGS'!$E$4:$I2469,3,0)</f>
        <v>0.168</v>
      </c>
      <c r="F1912" s="523" t="s">
        <v>1088</v>
      </c>
      <c r="G1912" s="18">
        <f>VLOOKUP($C1912,'PE-AL-PE FITTINGS'!$E$4:$I2469,4,0)</f>
        <v>0.219</v>
      </c>
      <c r="H1912" s="320"/>
      <c r="I1912" s="320"/>
      <c r="J1912" s="320"/>
      <c r="K1912" s="320"/>
      <c r="L1912" s="320"/>
      <c r="M1912" s="320"/>
      <c r="N1912" s="320"/>
      <c r="O1912" s="320"/>
    </row>
    <row r="1913">
      <c r="A1913" s="32">
        <f t="shared" si="1"/>
        <v>1912</v>
      </c>
      <c r="B1913" s="9" t="s">
        <v>3915</v>
      </c>
      <c r="C1913" s="460" t="s">
        <v>3966</v>
      </c>
      <c r="D1913" s="668" t="s">
        <v>3960</v>
      </c>
      <c r="E1913" s="18">
        <f>VLOOKUP($C1913,'PE-AL-PE FITTINGS'!$E$4:$I2469,3,0)</f>
        <v>0.159</v>
      </c>
      <c r="F1913" s="523" t="s">
        <v>1088</v>
      </c>
      <c r="G1913" s="18">
        <f>VLOOKUP($C1913,'PE-AL-PE FITTINGS'!$E$4:$I2469,4,0)</f>
        <v>0.243</v>
      </c>
      <c r="H1913" s="320"/>
      <c r="I1913" s="320"/>
      <c r="J1913" s="320"/>
      <c r="K1913" s="320"/>
      <c r="L1913" s="320"/>
      <c r="M1913" s="320"/>
      <c r="N1913" s="320"/>
      <c r="O1913" s="320"/>
    </row>
    <row r="1914">
      <c r="A1914" s="32">
        <f t="shared" si="1"/>
        <v>1913</v>
      </c>
      <c r="B1914" s="9" t="s">
        <v>3915</v>
      </c>
      <c r="C1914" s="460" t="s">
        <v>3967</v>
      </c>
      <c r="D1914" s="668" t="s">
        <v>3960</v>
      </c>
      <c r="E1914" s="18">
        <f>VLOOKUP($C1914,'PE-AL-PE FITTINGS'!$E$4:$I2469,3,0)</f>
        <v>0.198</v>
      </c>
      <c r="F1914" s="523" t="s">
        <v>1088</v>
      </c>
      <c r="G1914" s="18">
        <f>VLOOKUP($C1914,'PE-AL-PE FITTINGS'!$E$4:$I2469,4,0)</f>
        <v>0.282</v>
      </c>
      <c r="H1914" s="320"/>
      <c r="I1914" s="320"/>
      <c r="J1914" s="320"/>
      <c r="K1914" s="320"/>
      <c r="L1914" s="320"/>
      <c r="M1914" s="320"/>
      <c r="N1914" s="320"/>
      <c r="O1914" s="320"/>
    </row>
    <row r="1915">
      <c r="A1915" s="32">
        <f t="shared" si="1"/>
        <v>1914</v>
      </c>
      <c r="B1915" s="9" t="s">
        <v>3915</v>
      </c>
      <c r="C1915" s="460" t="s">
        <v>3968</v>
      </c>
      <c r="D1915" s="668" t="s">
        <v>3960</v>
      </c>
      <c r="E1915" s="18">
        <f>VLOOKUP($C1915,'PE-AL-PE FITTINGS'!$E$4:$I2469,3,0)</f>
        <v>0.268</v>
      </c>
      <c r="F1915" s="523" t="s">
        <v>1088</v>
      </c>
      <c r="G1915" s="18">
        <f>VLOOKUP($C1915,'PE-AL-PE FITTINGS'!$E$4:$I2469,4,0)</f>
        <v>0.352</v>
      </c>
      <c r="H1915" s="320"/>
      <c r="I1915" s="320"/>
      <c r="J1915" s="320"/>
      <c r="K1915" s="320"/>
      <c r="L1915" s="320"/>
      <c r="M1915" s="320"/>
      <c r="N1915" s="320"/>
      <c r="O1915" s="320"/>
    </row>
    <row r="1916">
      <c r="A1916" s="32">
        <f t="shared" si="1"/>
        <v>1915</v>
      </c>
      <c r="B1916" s="9" t="s">
        <v>3915</v>
      </c>
      <c r="C1916" s="460" t="s">
        <v>3969</v>
      </c>
      <c r="D1916" s="668" t="s">
        <v>3970</v>
      </c>
      <c r="E1916" s="18">
        <f>VLOOKUP($C1916,'PE-AL-PE FITTINGS'!$E$4:$I2469,3,0)</f>
        <v>0.101</v>
      </c>
      <c r="F1916" s="523" t="s">
        <v>1088</v>
      </c>
      <c r="G1916" s="18">
        <f>VLOOKUP($C1916,'PE-AL-PE FITTINGS'!$E$4:$I2469,4,0)</f>
        <v>0.176</v>
      </c>
      <c r="H1916" s="320"/>
      <c r="I1916" s="320"/>
      <c r="J1916" s="320"/>
      <c r="K1916" s="320"/>
      <c r="L1916" s="320"/>
      <c r="M1916" s="320"/>
      <c r="N1916" s="320"/>
      <c r="O1916" s="320"/>
    </row>
    <row r="1917">
      <c r="A1917" s="32">
        <f t="shared" si="1"/>
        <v>1916</v>
      </c>
      <c r="B1917" s="9" t="s">
        <v>3915</v>
      </c>
      <c r="C1917" s="460" t="s">
        <v>3971</v>
      </c>
      <c r="D1917" s="668" t="s">
        <v>3970</v>
      </c>
      <c r="E1917" s="18">
        <f>VLOOKUP($C1917,'PE-AL-PE FITTINGS'!$E$4:$I2469,3,0)</f>
        <v>0.16</v>
      </c>
      <c r="F1917" s="523" t="s">
        <v>1088</v>
      </c>
      <c r="G1917" s="18">
        <f>VLOOKUP($C1917,'PE-AL-PE FITTINGS'!$E$4:$I2469,4,0)</f>
        <v>0.288</v>
      </c>
      <c r="H1917" s="320"/>
      <c r="I1917" s="320"/>
      <c r="J1917" s="320"/>
      <c r="K1917" s="320"/>
      <c r="L1917" s="320"/>
      <c r="M1917" s="320"/>
      <c r="N1917" s="320"/>
      <c r="O1917" s="320"/>
    </row>
    <row r="1918">
      <c r="A1918" s="32">
        <f t="shared" si="1"/>
        <v>1917</v>
      </c>
      <c r="B1918" s="9" t="s">
        <v>3915</v>
      </c>
      <c r="C1918" s="460" t="s">
        <v>3972</v>
      </c>
      <c r="D1918" s="668" t="s">
        <v>3970</v>
      </c>
      <c r="E1918" s="18">
        <f>VLOOKUP($C1918,'PE-AL-PE FITTINGS'!$E$4:$I2469,3,0)</f>
        <v>0.236</v>
      </c>
      <c r="F1918" s="523" t="s">
        <v>1088</v>
      </c>
      <c r="G1918" s="18">
        <f>VLOOKUP($C1918,'PE-AL-PE FITTINGS'!$E$4:$I2469,4,0)</f>
        <v>0.43</v>
      </c>
      <c r="H1918" s="320"/>
      <c r="I1918" s="320"/>
      <c r="J1918" s="320"/>
      <c r="K1918" s="320"/>
      <c r="L1918" s="320"/>
      <c r="M1918" s="320"/>
      <c r="N1918" s="320"/>
      <c r="O1918" s="320"/>
    </row>
    <row r="1919">
      <c r="A1919" s="32">
        <f t="shared" si="1"/>
        <v>1918</v>
      </c>
      <c r="B1919" s="9" t="s">
        <v>3915</v>
      </c>
      <c r="C1919" s="460" t="s">
        <v>3973</v>
      </c>
      <c r="D1919" s="668" t="s">
        <v>3970</v>
      </c>
      <c r="E1919" s="18">
        <f>VLOOKUP($C1919,'PE-AL-PE FITTINGS'!$E$4:$I2469,3,0)</f>
        <v>0.256</v>
      </c>
      <c r="F1919" s="523" t="s">
        <v>1088</v>
      </c>
      <c r="G1919" s="18">
        <f>VLOOKUP($C1919,'PE-AL-PE FITTINGS'!$E$4:$I2469,4,0)</f>
        <v>0.475</v>
      </c>
      <c r="H1919" s="320"/>
      <c r="I1919" s="320"/>
      <c r="J1919" s="320"/>
      <c r="K1919" s="320"/>
      <c r="L1919" s="320"/>
      <c r="M1919" s="320"/>
      <c r="N1919" s="320"/>
      <c r="O1919" s="320"/>
    </row>
    <row r="1920">
      <c r="A1920" s="32">
        <f t="shared" si="1"/>
        <v>1919</v>
      </c>
      <c r="B1920" s="9" t="s">
        <v>3915</v>
      </c>
      <c r="C1920" s="460" t="s">
        <v>3974</v>
      </c>
      <c r="D1920" s="668" t="s">
        <v>3975</v>
      </c>
      <c r="E1920" s="18">
        <f>VLOOKUP($C1920,'PE-AL-PE FITTINGS'!$E$4:$I2469,3,0)</f>
        <v>0.089</v>
      </c>
      <c r="F1920" s="523" t="s">
        <v>1088</v>
      </c>
      <c r="G1920" s="18">
        <f>VLOOKUP($C1920,'PE-AL-PE FITTINGS'!$E$4:$I2469,4,0)</f>
        <v>0.135</v>
      </c>
      <c r="H1920" s="320"/>
      <c r="I1920" s="320"/>
      <c r="J1920" s="320"/>
      <c r="K1920" s="320"/>
      <c r="L1920" s="320"/>
      <c r="M1920" s="320"/>
      <c r="N1920" s="320"/>
      <c r="O1920" s="320"/>
    </row>
    <row r="1921">
      <c r="A1921" s="32">
        <f t="shared" si="1"/>
        <v>1920</v>
      </c>
      <c r="B1921" s="9" t="s">
        <v>3915</v>
      </c>
      <c r="C1921" s="460" t="s">
        <v>3976</v>
      </c>
      <c r="D1921" s="668" t="s">
        <v>3975</v>
      </c>
      <c r="E1921" s="18">
        <f>VLOOKUP($C1921,'PE-AL-PE FITTINGS'!$E$4:$I2469,3,0)</f>
        <v>0.11</v>
      </c>
      <c r="F1921" s="523" t="s">
        <v>1088</v>
      </c>
      <c r="G1921" s="18">
        <f>VLOOKUP($C1921,'PE-AL-PE FITTINGS'!$E$4:$I2469,4,0)</f>
        <v>0.162</v>
      </c>
      <c r="H1921" s="320"/>
      <c r="I1921" s="320"/>
      <c r="J1921" s="320"/>
      <c r="K1921" s="320"/>
      <c r="L1921" s="320"/>
      <c r="M1921" s="320"/>
      <c r="N1921" s="320"/>
      <c r="O1921" s="320"/>
    </row>
    <row r="1922">
      <c r="A1922" s="32">
        <f t="shared" si="1"/>
        <v>1921</v>
      </c>
      <c r="B1922" s="9" t="s">
        <v>3915</v>
      </c>
      <c r="C1922" s="460" t="s">
        <v>3977</v>
      </c>
      <c r="D1922" s="668" t="s">
        <v>3975</v>
      </c>
      <c r="E1922" s="18">
        <f>VLOOKUP($C1922,'PE-AL-PE FITTINGS'!$E$4:$I2469,3,0)</f>
        <v>0.162</v>
      </c>
      <c r="F1922" s="523" t="s">
        <v>1088</v>
      </c>
      <c r="G1922" s="18">
        <f>VLOOKUP($C1922,'PE-AL-PE FITTINGS'!$E$4:$I2469,4,0)</f>
        <v>0.264</v>
      </c>
      <c r="H1922" s="320"/>
      <c r="I1922" s="320"/>
      <c r="J1922" s="320"/>
      <c r="K1922" s="320"/>
      <c r="L1922" s="320"/>
      <c r="M1922" s="320"/>
      <c r="N1922" s="320"/>
      <c r="O1922" s="320"/>
    </row>
    <row r="1923">
      <c r="A1923" s="32">
        <f t="shared" si="1"/>
        <v>1922</v>
      </c>
      <c r="B1923" s="9" t="s">
        <v>3915</v>
      </c>
      <c r="C1923" s="460" t="s">
        <v>3978</v>
      </c>
      <c r="D1923" s="668" t="s">
        <v>3975</v>
      </c>
      <c r="E1923" s="18">
        <f>VLOOKUP($C1923,'PE-AL-PE FITTINGS'!$E$4:$I2469,3,0)</f>
        <v>0.217</v>
      </c>
      <c r="F1923" s="523" t="s">
        <v>1088</v>
      </c>
      <c r="G1923" s="18">
        <f>VLOOKUP($C1923,'PE-AL-PE FITTINGS'!$E$4:$I2469,4,0)</f>
        <v>0.319</v>
      </c>
      <c r="H1923" s="320"/>
      <c r="I1923" s="320"/>
      <c r="J1923" s="320"/>
      <c r="K1923" s="320"/>
      <c r="L1923" s="320"/>
      <c r="M1923" s="320"/>
      <c r="N1923" s="320"/>
      <c r="O1923" s="320"/>
    </row>
    <row r="1924">
      <c r="A1924" s="32">
        <f t="shared" si="1"/>
        <v>1923</v>
      </c>
      <c r="B1924" s="9" t="s">
        <v>3915</v>
      </c>
      <c r="C1924" s="460" t="s">
        <v>3979</v>
      </c>
      <c r="D1924" s="668" t="s">
        <v>3980</v>
      </c>
      <c r="E1924" s="18">
        <f>VLOOKUP($C1924,'PE-AL-PE FITTINGS'!$E$4:$I2469,3,0)</f>
        <v>0.078</v>
      </c>
      <c r="F1924" s="523" t="s">
        <v>1088</v>
      </c>
      <c r="G1924" s="18">
        <f>VLOOKUP($C1924,'PE-AL-PE FITTINGS'!$E$4:$I2469,4,0)</f>
        <v>0.101</v>
      </c>
      <c r="H1924" s="320"/>
      <c r="I1924" s="320"/>
      <c r="J1924" s="320"/>
      <c r="K1924" s="320"/>
      <c r="L1924" s="320"/>
      <c r="M1924" s="320"/>
      <c r="N1924" s="320"/>
      <c r="O1924" s="320"/>
    </row>
    <row r="1925">
      <c r="A1925" s="32">
        <f t="shared" si="1"/>
        <v>1924</v>
      </c>
      <c r="B1925" s="9" t="s">
        <v>3915</v>
      </c>
      <c r="C1925" s="460" t="s">
        <v>3981</v>
      </c>
      <c r="D1925" s="668" t="s">
        <v>3980</v>
      </c>
      <c r="E1925" s="18">
        <f>VLOOKUP($C1925,'PE-AL-PE FITTINGS'!$E$4:$I2469,3,0)</f>
        <v>0.086</v>
      </c>
      <c r="F1925" s="523" t="s">
        <v>1088</v>
      </c>
      <c r="G1925" s="18">
        <f>VLOOKUP($C1925,'PE-AL-PE FITTINGS'!$E$4:$I2469,4,0)</f>
        <v>0.112</v>
      </c>
      <c r="H1925" s="320"/>
      <c r="I1925" s="320"/>
      <c r="J1925" s="320"/>
      <c r="K1925" s="320"/>
      <c r="L1925" s="320"/>
      <c r="M1925" s="320"/>
      <c r="N1925" s="320"/>
      <c r="O1925" s="320"/>
    </row>
    <row r="1926">
      <c r="A1926" s="32">
        <f t="shared" si="1"/>
        <v>1925</v>
      </c>
      <c r="B1926" s="9" t="s">
        <v>3915</v>
      </c>
      <c r="C1926" s="460" t="s">
        <v>3982</v>
      </c>
      <c r="D1926" s="668" t="s">
        <v>3980</v>
      </c>
      <c r="E1926" s="18">
        <f>VLOOKUP($C1926,'PE-AL-PE FITTINGS'!$E$4:$I2469,3,0)</f>
        <v>0.094</v>
      </c>
      <c r="F1926" s="523" t="s">
        <v>1088</v>
      </c>
      <c r="G1926" s="18">
        <f>VLOOKUP($C1926,'PE-AL-PE FITTINGS'!$E$4:$I2469,4,0)</f>
        <v>0.12</v>
      </c>
      <c r="H1926" s="320"/>
      <c r="I1926" s="320"/>
      <c r="J1926" s="320"/>
      <c r="K1926" s="320"/>
      <c r="L1926" s="320"/>
      <c r="M1926" s="320"/>
      <c r="N1926" s="320"/>
      <c r="O1926" s="320"/>
    </row>
    <row r="1927">
      <c r="A1927" s="32">
        <f t="shared" si="1"/>
        <v>1926</v>
      </c>
      <c r="B1927" s="9" t="s">
        <v>3915</v>
      </c>
      <c r="C1927" s="460" t="s">
        <v>3983</v>
      </c>
      <c r="D1927" s="668" t="s">
        <v>3980</v>
      </c>
      <c r="E1927" s="18">
        <f>VLOOKUP($C1927,'PE-AL-PE FITTINGS'!$E$4:$I2469,3,0)</f>
        <v>0.117</v>
      </c>
      <c r="F1927" s="523" t="s">
        <v>1088</v>
      </c>
      <c r="G1927" s="18">
        <f>VLOOKUP($C1927,'PE-AL-PE FITTINGS'!$E$4:$I2469,4,0)</f>
        <v>0.168</v>
      </c>
      <c r="H1927" s="320"/>
      <c r="I1927" s="320"/>
      <c r="J1927" s="320"/>
      <c r="K1927" s="320"/>
      <c r="L1927" s="320"/>
      <c r="M1927" s="320"/>
      <c r="N1927" s="320"/>
      <c r="O1927" s="320"/>
    </row>
    <row r="1928">
      <c r="A1928" s="32">
        <f t="shared" si="1"/>
        <v>1927</v>
      </c>
      <c r="B1928" s="9" t="s">
        <v>3915</v>
      </c>
      <c r="C1928" s="460" t="s">
        <v>3984</v>
      </c>
      <c r="D1928" s="668" t="s">
        <v>3980</v>
      </c>
      <c r="E1928" s="18">
        <f>VLOOKUP($C1928,'PE-AL-PE FITTINGS'!$E$4:$I2469,3,0)</f>
        <v>0.133</v>
      </c>
      <c r="F1928" s="523" t="s">
        <v>1088</v>
      </c>
      <c r="G1928" s="18">
        <f>VLOOKUP($C1928,'PE-AL-PE FITTINGS'!$E$4:$I2469,4,0)</f>
        <v>0.184</v>
      </c>
      <c r="H1928" s="320"/>
      <c r="I1928" s="320"/>
      <c r="J1928" s="320"/>
      <c r="K1928" s="320"/>
      <c r="L1928" s="320"/>
      <c r="M1928" s="320"/>
      <c r="N1928" s="320"/>
      <c r="O1928" s="320"/>
    </row>
    <row r="1929">
      <c r="A1929" s="32">
        <f t="shared" si="1"/>
        <v>1928</v>
      </c>
      <c r="B1929" s="9" t="s">
        <v>3915</v>
      </c>
      <c r="C1929" s="460" t="s">
        <v>3985</v>
      </c>
      <c r="D1929" s="668" t="s">
        <v>3980</v>
      </c>
      <c r="E1929" s="18">
        <f>VLOOKUP($C1929,'PE-AL-PE FITTINGS'!$E$4:$I2469,3,0)</f>
        <v>0.157</v>
      </c>
      <c r="F1929" s="523" t="s">
        <v>1088</v>
      </c>
      <c r="G1929" s="18">
        <f>VLOOKUP($C1929,'PE-AL-PE FITTINGS'!$E$4:$I2469,4,0)</f>
        <v>0.208</v>
      </c>
      <c r="H1929" s="320"/>
      <c r="I1929" s="320"/>
      <c r="J1929" s="320"/>
      <c r="K1929" s="320"/>
      <c r="L1929" s="320"/>
      <c r="M1929" s="320"/>
      <c r="N1929" s="320"/>
      <c r="O1929" s="320"/>
    </row>
    <row r="1930">
      <c r="A1930" s="32">
        <f t="shared" si="1"/>
        <v>1929</v>
      </c>
      <c r="B1930" s="9" t="s">
        <v>3915</v>
      </c>
      <c r="C1930" s="460" t="s">
        <v>3986</v>
      </c>
      <c r="D1930" s="668" t="s">
        <v>3980</v>
      </c>
      <c r="E1930" s="18">
        <f>VLOOKUP($C1930,'PE-AL-PE FITTINGS'!$E$4:$I2469,3,0)</f>
        <v>0.205</v>
      </c>
      <c r="F1930" s="523" t="s">
        <v>1088</v>
      </c>
      <c r="G1930" s="18">
        <f>VLOOKUP($C1930,'PE-AL-PE FITTINGS'!$E$4:$I2469,4,0)</f>
        <v>0.289</v>
      </c>
      <c r="H1930" s="320"/>
      <c r="I1930" s="320"/>
      <c r="J1930" s="320"/>
      <c r="K1930" s="320"/>
      <c r="L1930" s="320"/>
      <c r="M1930" s="320"/>
      <c r="N1930" s="320"/>
      <c r="O1930" s="320"/>
    </row>
    <row r="1931">
      <c r="A1931" s="32">
        <f t="shared" si="1"/>
        <v>1930</v>
      </c>
      <c r="B1931" s="9" t="s">
        <v>3915</v>
      </c>
      <c r="C1931" s="460" t="s">
        <v>3987</v>
      </c>
      <c r="D1931" s="668" t="s">
        <v>3980</v>
      </c>
      <c r="E1931" s="18">
        <f>VLOOKUP($C1931,'PE-AL-PE FITTINGS'!$E$4:$I2469,3,0)</f>
        <v>0.258</v>
      </c>
      <c r="F1931" s="523" t="s">
        <v>1088</v>
      </c>
      <c r="G1931" s="18">
        <f>VLOOKUP($C1931,'PE-AL-PE FITTINGS'!$E$4:$I2469,4,0)</f>
        <v>0.342</v>
      </c>
      <c r="H1931" s="320"/>
      <c r="I1931" s="320"/>
      <c r="J1931" s="320"/>
      <c r="K1931" s="320"/>
      <c r="L1931" s="320"/>
      <c r="M1931" s="320"/>
      <c r="N1931" s="320"/>
      <c r="O1931" s="320"/>
    </row>
    <row r="1932">
      <c r="A1932" s="32">
        <f t="shared" si="1"/>
        <v>1931</v>
      </c>
      <c r="B1932" s="9" t="s">
        <v>3915</v>
      </c>
      <c r="C1932" s="460" t="s">
        <v>3988</v>
      </c>
      <c r="D1932" s="668" t="s">
        <v>3989</v>
      </c>
      <c r="E1932" s="18">
        <f>VLOOKUP($C1932,'PE-AL-PE FITTINGS'!$E$4:$I2469,3,0)</f>
        <v>0.104</v>
      </c>
      <c r="F1932" s="523" t="s">
        <v>1088</v>
      </c>
      <c r="G1932" s="18">
        <f>VLOOKUP($C1932,'PE-AL-PE FITTINGS'!$E$4:$I2469,4,0)</f>
        <v>0.13</v>
      </c>
      <c r="H1932" s="320"/>
      <c r="I1932" s="320"/>
      <c r="J1932" s="320"/>
      <c r="K1932" s="320"/>
      <c r="L1932" s="320"/>
      <c r="M1932" s="320"/>
      <c r="N1932" s="320"/>
      <c r="O1932" s="320"/>
    </row>
    <row r="1933">
      <c r="A1933" s="32">
        <f t="shared" si="1"/>
        <v>1932</v>
      </c>
      <c r="B1933" s="9" t="s">
        <v>3915</v>
      </c>
      <c r="C1933" s="460" t="s">
        <v>3990</v>
      </c>
      <c r="D1933" s="668" t="s">
        <v>3991</v>
      </c>
      <c r="E1933" s="18">
        <f>VLOOKUP($C1933,'PE-AL-PE FITTINGS'!$E$4:$I2469,3,0)</f>
        <v>0.054</v>
      </c>
      <c r="F1933" s="523" t="s">
        <v>1088</v>
      </c>
      <c r="G1933" s="18">
        <f>VLOOKUP($C1933,'PE-AL-PE FITTINGS'!$E$4:$I2469,4,0)</f>
        <v>0.1</v>
      </c>
      <c r="H1933" s="320"/>
      <c r="I1933" s="320"/>
      <c r="J1933" s="320"/>
      <c r="K1933" s="320"/>
      <c r="L1933" s="320"/>
      <c r="M1933" s="320"/>
      <c r="N1933" s="320"/>
      <c r="O1933" s="320"/>
    </row>
    <row r="1934">
      <c r="A1934" s="32">
        <f t="shared" si="1"/>
        <v>1933</v>
      </c>
      <c r="B1934" s="9" t="s">
        <v>3915</v>
      </c>
      <c r="C1934" s="460" t="s">
        <v>3992</v>
      </c>
      <c r="D1934" s="668" t="s">
        <v>3991</v>
      </c>
      <c r="E1934" s="18">
        <f>VLOOKUP($C1934,'PE-AL-PE FITTINGS'!$E$4:$I2469,3,0)</f>
        <v>0.078</v>
      </c>
      <c r="F1934" s="523" t="s">
        <v>1088</v>
      </c>
      <c r="G1934" s="18">
        <f>VLOOKUP($C1934,'PE-AL-PE FITTINGS'!$E$4:$I2469,4,0)</f>
        <v>0.13</v>
      </c>
      <c r="H1934" s="320"/>
      <c r="I1934" s="320"/>
      <c r="J1934" s="320"/>
      <c r="K1934" s="320"/>
      <c r="L1934" s="320"/>
      <c r="M1934" s="320"/>
      <c r="N1934" s="320"/>
      <c r="O1934" s="320"/>
    </row>
    <row r="1935">
      <c r="A1935" s="32">
        <f t="shared" si="1"/>
        <v>1934</v>
      </c>
      <c r="B1935" s="9" t="s">
        <v>3915</v>
      </c>
      <c r="C1935" s="460" t="s">
        <v>3993</v>
      </c>
      <c r="D1935" s="668" t="s">
        <v>3991</v>
      </c>
      <c r="E1935" s="18">
        <f>VLOOKUP($C1935,'PE-AL-PE FITTINGS'!$E$4:$I2469,3,0)</f>
        <v>0.133</v>
      </c>
      <c r="F1935" s="523" t="s">
        <v>1088</v>
      </c>
      <c r="G1935" s="18">
        <f>VLOOKUP($C1935,'PE-AL-PE FITTINGS'!$E$4:$I2469,4,0)</f>
        <v>0.235</v>
      </c>
      <c r="H1935" s="320"/>
      <c r="I1935" s="320"/>
      <c r="J1935" s="320"/>
      <c r="K1935" s="320"/>
      <c r="L1935" s="320"/>
      <c r="M1935" s="320"/>
      <c r="N1935" s="320"/>
      <c r="O1935" s="320"/>
    </row>
    <row r="1936">
      <c r="A1936" s="32">
        <f t="shared" si="1"/>
        <v>1935</v>
      </c>
      <c r="B1936" s="9" t="s">
        <v>3915</v>
      </c>
      <c r="C1936" s="460" t="s">
        <v>3994</v>
      </c>
      <c r="D1936" s="668" t="s">
        <v>3991</v>
      </c>
      <c r="E1936" s="18">
        <f>VLOOKUP($C1936,'PE-AL-PE FITTINGS'!$E$4:$I2469,3,0)</f>
        <v>0.227</v>
      </c>
      <c r="F1936" s="523" t="s">
        <v>1088</v>
      </c>
      <c r="G1936" s="18">
        <f>VLOOKUP($C1936,'PE-AL-PE FITTINGS'!$E$4:$I2469,4,0)</f>
        <v>0.395</v>
      </c>
      <c r="H1936" s="320"/>
      <c r="I1936" s="320"/>
      <c r="J1936" s="320"/>
      <c r="K1936" s="320"/>
      <c r="L1936" s="320"/>
      <c r="M1936" s="320"/>
      <c r="N1936" s="320"/>
      <c r="O1936" s="320"/>
    </row>
    <row r="1937">
      <c r="A1937" s="32">
        <f t="shared" si="1"/>
        <v>1936</v>
      </c>
      <c r="B1937" s="9" t="s">
        <v>3915</v>
      </c>
      <c r="C1937" s="460" t="s">
        <v>3995</v>
      </c>
      <c r="D1937" s="668" t="s">
        <v>3991</v>
      </c>
      <c r="E1937" s="18" t="str">
        <f>VLOOKUP($C1937,'PE-AL-PE FITTINGS'!$E$4:$I2469,3,0)</f>
        <v/>
      </c>
      <c r="F1937" s="523" t="s">
        <v>1088</v>
      </c>
      <c r="G1937" s="18" t="str">
        <f>VLOOKUP($C1937,'PE-AL-PE FITTINGS'!$E$4:$I2469,4,0)</f>
        <v/>
      </c>
      <c r="H1937" s="320"/>
      <c r="I1937" s="320"/>
      <c r="J1937" s="320"/>
      <c r="K1937" s="320"/>
      <c r="L1937" s="320"/>
      <c r="M1937" s="320"/>
      <c r="N1937" s="320"/>
      <c r="O1937" s="320"/>
    </row>
    <row r="1938">
      <c r="A1938" s="32">
        <f t="shared" si="1"/>
        <v>1937</v>
      </c>
      <c r="B1938" s="9" t="s">
        <v>3915</v>
      </c>
      <c r="C1938" s="460" t="s">
        <v>3996</v>
      </c>
      <c r="D1938" s="668" t="s">
        <v>3991</v>
      </c>
      <c r="E1938" s="18" t="str">
        <f>VLOOKUP($C1938,'PE-AL-PE FITTINGS'!$E$4:$I2469,3,0)</f>
        <v/>
      </c>
      <c r="F1938" s="523" t="s">
        <v>1088</v>
      </c>
      <c r="G1938" s="18" t="str">
        <f>VLOOKUP($C1938,'PE-AL-PE FITTINGS'!$E$4:$I2469,4,0)</f>
        <v/>
      </c>
      <c r="H1938" s="320"/>
      <c r="I1938" s="320"/>
      <c r="J1938" s="320"/>
      <c r="K1938" s="320"/>
      <c r="L1938" s="320"/>
      <c r="M1938" s="320"/>
      <c r="N1938" s="320"/>
      <c r="O1938" s="320"/>
    </row>
    <row r="1939">
      <c r="A1939" s="32">
        <f t="shared" si="1"/>
        <v>1938</v>
      </c>
      <c r="B1939" s="9" t="s">
        <v>3915</v>
      </c>
      <c r="C1939" s="460" t="s">
        <v>3981</v>
      </c>
      <c r="D1939" s="668" t="s">
        <v>3991</v>
      </c>
      <c r="E1939" s="18">
        <f>VLOOKUP($C1939,'PE-AL-PE FITTINGS'!$E$4:$I2469,3,0)</f>
        <v>0.086</v>
      </c>
      <c r="F1939" s="523" t="s">
        <v>1088</v>
      </c>
      <c r="G1939" s="18">
        <f>VLOOKUP($C1939,'PE-AL-PE FITTINGS'!$E$4:$I2469,4,0)</f>
        <v>0.112</v>
      </c>
      <c r="H1939" s="320"/>
      <c r="I1939" s="320"/>
      <c r="J1939" s="320"/>
      <c r="K1939" s="320"/>
      <c r="L1939" s="320"/>
      <c r="M1939" s="320"/>
      <c r="N1939" s="320"/>
      <c r="O1939" s="320"/>
    </row>
    <row r="1940">
      <c r="A1940" s="32">
        <f t="shared" si="1"/>
        <v>1939</v>
      </c>
      <c r="B1940" s="9" t="s">
        <v>3915</v>
      </c>
      <c r="C1940" s="460" t="s">
        <v>3983</v>
      </c>
      <c r="D1940" s="668" t="s">
        <v>3991</v>
      </c>
      <c r="E1940" s="18">
        <f>VLOOKUP($C1940,'PE-AL-PE FITTINGS'!$E$4:$I2469,3,0)</f>
        <v>0.117</v>
      </c>
      <c r="F1940" s="523" t="s">
        <v>1088</v>
      </c>
      <c r="G1940" s="18">
        <f>VLOOKUP($C1940,'PE-AL-PE FITTINGS'!$E$4:$I2469,4,0)</f>
        <v>0.168</v>
      </c>
      <c r="H1940" s="320"/>
      <c r="I1940" s="320"/>
      <c r="J1940" s="320"/>
      <c r="K1940" s="320"/>
      <c r="L1940" s="320"/>
      <c r="M1940" s="320"/>
      <c r="N1940" s="320"/>
      <c r="O1940" s="320"/>
    </row>
    <row r="1941">
      <c r="A1941" s="32">
        <f t="shared" si="1"/>
        <v>1940</v>
      </c>
      <c r="B1941" s="9" t="s">
        <v>3915</v>
      </c>
      <c r="C1941" s="460" t="s">
        <v>3984</v>
      </c>
      <c r="D1941" s="668" t="s">
        <v>3991</v>
      </c>
      <c r="E1941" s="18">
        <f>VLOOKUP($C1941,'PE-AL-PE FITTINGS'!$E$4:$I2469,3,0)</f>
        <v>0.133</v>
      </c>
      <c r="F1941" s="523" t="s">
        <v>1088</v>
      </c>
      <c r="G1941" s="18">
        <f>VLOOKUP($C1941,'PE-AL-PE FITTINGS'!$E$4:$I2469,4,0)</f>
        <v>0.184</v>
      </c>
      <c r="H1941" s="320"/>
      <c r="I1941" s="320"/>
      <c r="J1941" s="320"/>
      <c r="K1941" s="320"/>
      <c r="L1941" s="320"/>
      <c r="M1941" s="320"/>
      <c r="N1941" s="320"/>
      <c r="O1941" s="320"/>
    </row>
    <row r="1942">
      <c r="A1942" s="32">
        <f t="shared" si="1"/>
        <v>1941</v>
      </c>
      <c r="B1942" s="9" t="s">
        <v>3915</v>
      </c>
      <c r="C1942" s="460" t="s">
        <v>3985</v>
      </c>
      <c r="D1942" s="668" t="s">
        <v>3991</v>
      </c>
      <c r="E1942" s="18">
        <f>VLOOKUP($C1942,'PE-AL-PE FITTINGS'!$E$4:$I2469,3,0)</f>
        <v>0.157</v>
      </c>
      <c r="F1942" s="523" t="s">
        <v>1088</v>
      </c>
      <c r="G1942" s="18">
        <f>VLOOKUP($C1942,'PE-AL-PE FITTINGS'!$E$4:$I2469,4,0)</f>
        <v>0.208</v>
      </c>
      <c r="H1942" s="320"/>
      <c r="I1942" s="320"/>
      <c r="J1942" s="320"/>
      <c r="K1942" s="320"/>
      <c r="L1942" s="320"/>
      <c r="M1942" s="320"/>
      <c r="N1942" s="320"/>
      <c r="O1942" s="320"/>
    </row>
    <row r="1943">
      <c r="A1943" s="32">
        <f t="shared" si="1"/>
        <v>1942</v>
      </c>
      <c r="B1943" s="9" t="s">
        <v>3915</v>
      </c>
      <c r="C1943" s="460" t="s">
        <v>3997</v>
      </c>
      <c r="D1943" s="668" t="s">
        <v>3998</v>
      </c>
      <c r="E1943" s="18">
        <f>VLOOKUP($C1943,'PE-AL-PE FITTINGS'!$E$4:$I2469,3,0)</f>
        <v>0.058</v>
      </c>
      <c r="F1943" s="523" t="s">
        <v>1088</v>
      </c>
      <c r="G1943" s="18">
        <f>VLOOKUP($C1943,'PE-AL-PE FITTINGS'!$E$4:$I2469,4,0)</f>
        <v>0.104</v>
      </c>
      <c r="H1943" s="320"/>
      <c r="I1943" s="320"/>
      <c r="J1943" s="320"/>
      <c r="K1943" s="320"/>
      <c r="L1943" s="320"/>
      <c r="M1943" s="320"/>
      <c r="N1943" s="320"/>
      <c r="O1943" s="320"/>
    </row>
    <row r="1944">
      <c r="A1944" s="32">
        <f t="shared" si="1"/>
        <v>1943</v>
      </c>
      <c r="B1944" s="9" t="s">
        <v>3915</v>
      </c>
      <c r="C1944" s="460" t="s">
        <v>3999</v>
      </c>
      <c r="D1944" s="668" t="s">
        <v>3998</v>
      </c>
      <c r="E1944" s="18">
        <f>VLOOKUP($C1944,'PE-AL-PE FITTINGS'!$E$4:$I2469,3,0)</f>
        <v>0.78</v>
      </c>
      <c r="F1944" s="523" t="s">
        <v>1088</v>
      </c>
      <c r="G1944" s="18">
        <f>VLOOKUP($C1944,'PE-AL-PE FITTINGS'!$E$4:$I2469,4,0)</f>
        <v>0.13</v>
      </c>
      <c r="H1944" s="320"/>
      <c r="I1944" s="320"/>
      <c r="J1944" s="320"/>
      <c r="K1944" s="320"/>
      <c r="L1944" s="320"/>
      <c r="M1944" s="320"/>
      <c r="N1944" s="320"/>
      <c r="O1944" s="320"/>
    </row>
    <row r="1945">
      <c r="A1945" s="32">
        <f t="shared" si="1"/>
        <v>1944</v>
      </c>
      <c r="B1945" s="9" t="s">
        <v>3915</v>
      </c>
      <c r="C1945" s="460" t="s">
        <v>4000</v>
      </c>
      <c r="D1945" s="668" t="s">
        <v>3998</v>
      </c>
      <c r="E1945" s="18">
        <f>VLOOKUP($C1945,'PE-AL-PE FITTINGS'!$E$4:$I2469,3,0)</f>
        <v>0.143</v>
      </c>
      <c r="F1945" s="523" t="s">
        <v>1088</v>
      </c>
      <c r="G1945" s="18">
        <f>VLOOKUP($C1945,'PE-AL-PE FITTINGS'!$E$4:$I2469,4,0)</f>
        <v>0.245</v>
      </c>
      <c r="H1945" s="320"/>
      <c r="I1945" s="320"/>
      <c r="J1945" s="320"/>
      <c r="K1945" s="320"/>
      <c r="L1945" s="320"/>
      <c r="M1945" s="320"/>
      <c r="N1945" s="320"/>
      <c r="O1945" s="320"/>
    </row>
    <row r="1946">
      <c r="A1946" s="32">
        <f t="shared" si="1"/>
        <v>1945</v>
      </c>
      <c r="B1946" s="9" t="s">
        <v>3915</v>
      </c>
      <c r="C1946" s="460" t="s">
        <v>4001</v>
      </c>
      <c r="D1946" s="668" t="s">
        <v>3998</v>
      </c>
      <c r="E1946" s="18">
        <f>VLOOKUP($C1946,'PE-AL-PE FITTINGS'!$E$4:$I2469,3,0)</f>
        <v>0.158</v>
      </c>
      <c r="F1946" s="523" t="s">
        <v>1088</v>
      </c>
      <c r="G1946" s="18">
        <f>VLOOKUP($C1946,'PE-AL-PE FITTINGS'!$E$4:$I2469,4,0)</f>
        <v>0.326</v>
      </c>
      <c r="H1946" s="320"/>
      <c r="I1946" s="320"/>
      <c r="J1946" s="320"/>
      <c r="K1946" s="320"/>
      <c r="L1946" s="320"/>
      <c r="M1946" s="320"/>
      <c r="N1946" s="320"/>
      <c r="O1946" s="320"/>
    </row>
    <row r="1947">
      <c r="A1947" s="32">
        <f t="shared" si="1"/>
        <v>1946</v>
      </c>
      <c r="B1947" s="9" t="s">
        <v>3915</v>
      </c>
      <c r="C1947" s="460" t="s">
        <v>4002</v>
      </c>
      <c r="D1947" s="668" t="s">
        <v>3998</v>
      </c>
      <c r="E1947" s="18" t="str">
        <f>VLOOKUP($C1947,'PE-AL-PE FITTINGS'!$E$4:$I2469,3,0)</f>
        <v/>
      </c>
      <c r="F1947" s="523" t="s">
        <v>1088</v>
      </c>
      <c r="G1947" s="18" t="str">
        <f>VLOOKUP($C1947,'PE-AL-PE FITTINGS'!$E$4:$I2469,4,0)</f>
        <v/>
      </c>
      <c r="H1947" s="320"/>
      <c r="I1947" s="320"/>
      <c r="J1947" s="320"/>
      <c r="K1947" s="320"/>
      <c r="L1947" s="320"/>
      <c r="M1947" s="320"/>
      <c r="N1947" s="320"/>
      <c r="O1947" s="320"/>
    </row>
    <row r="1948">
      <c r="A1948" s="32">
        <f t="shared" si="1"/>
        <v>1947</v>
      </c>
      <c r="B1948" s="9" t="s">
        <v>3915</v>
      </c>
      <c r="C1948" s="460" t="s">
        <v>4003</v>
      </c>
      <c r="D1948" s="668" t="s">
        <v>3998</v>
      </c>
      <c r="E1948" s="18" t="str">
        <f>VLOOKUP($C1948,'PE-AL-PE FITTINGS'!$E$4:$I2469,3,0)</f>
        <v/>
      </c>
      <c r="F1948" s="523" t="s">
        <v>1088</v>
      </c>
      <c r="G1948" s="18" t="str">
        <f>VLOOKUP($C1948,'PE-AL-PE FITTINGS'!$E$4:$I2469,4,0)</f>
        <v/>
      </c>
      <c r="H1948" s="320"/>
      <c r="I1948" s="320"/>
      <c r="J1948" s="320"/>
      <c r="K1948" s="320"/>
      <c r="L1948" s="320"/>
      <c r="M1948" s="320"/>
      <c r="N1948" s="320"/>
      <c r="O1948" s="320"/>
    </row>
    <row r="1949">
      <c r="A1949" s="32">
        <f t="shared" si="1"/>
        <v>1948</v>
      </c>
      <c r="B1949" s="9" t="s">
        <v>3915</v>
      </c>
      <c r="C1949" s="460" t="s">
        <v>4004</v>
      </c>
      <c r="D1949" s="668" t="s">
        <v>4005</v>
      </c>
      <c r="E1949" s="18">
        <f>VLOOKUP($C1949,'PE-AL-PE FITTINGS'!$E$4:$I2469,3,0)</f>
        <v>0.076</v>
      </c>
      <c r="F1949" s="523" t="s">
        <v>1088</v>
      </c>
      <c r="G1949" s="18">
        <f>VLOOKUP($C1949,'PE-AL-PE FITTINGS'!$E$4:$I2469,4,0)</f>
        <v>0.145</v>
      </c>
      <c r="H1949" s="320"/>
      <c r="I1949" s="320"/>
      <c r="J1949" s="320"/>
      <c r="K1949" s="320"/>
      <c r="L1949" s="320"/>
      <c r="M1949" s="320"/>
      <c r="N1949" s="320"/>
      <c r="O1949" s="320"/>
    </row>
    <row r="1950">
      <c r="A1950" s="32">
        <f t="shared" si="1"/>
        <v>1949</v>
      </c>
      <c r="B1950" s="9" t="s">
        <v>3915</v>
      </c>
      <c r="C1950" s="460" t="s">
        <v>4006</v>
      </c>
      <c r="D1950" s="668" t="s">
        <v>4005</v>
      </c>
      <c r="E1950" s="18">
        <f>VLOOKUP($C1950,'PE-AL-PE FITTINGS'!$E$4:$I2469,3,0)</f>
        <v>0.108</v>
      </c>
      <c r="F1950" s="523" t="s">
        <v>1088</v>
      </c>
      <c r="G1950" s="18">
        <f>VLOOKUP($C1950,'PE-AL-PE FITTINGS'!$E$4:$I2469,4,0)</f>
        <v>0.186</v>
      </c>
      <c r="H1950" s="320"/>
      <c r="I1950" s="320"/>
      <c r="J1950" s="320"/>
      <c r="K1950" s="320"/>
      <c r="L1950" s="320"/>
      <c r="M1950" s="320"/>
      <c r="N1950" s="320"/>
      <c r="O1950" s="320"/>
    </row>
    <row r="1951">
      <c r="A1951" s="32">
        <f t="shared" si="1"/>
        <v>1950</v>
      </c>
      <c r="B1951" s="9" t="s">
        <v>3915</v>
      </c>
      <c r="C1951" s="460" t="s">
        <v>4007</v>
      </c>
      <c r="D1951" s="668" t="s">
        <v>4005</v>
      </c>
      <c r="E1951" s="18">
        <f>VLOOKUP($C1951,'PE-AL-PE FITTINGS'!$E$4:$I2469,3,0)</f>
        <v>0.185</v>
      </c>
      <c r="F1951" s="523" t="s">
        <v>1088</v>
      </c>
      <c r="G1951" s="18">
        <f>VLOOKUP($C1951,'PE-AL-PE FITTINGS'!$E$4:$I2469,4,0)</f>
        <v>0.338</v>
      </c>
      <c r="H1951" s="320"/>
      <c r="I1951" s="320"/>
      <c r="J1951" s="320"/>
      <c r="K1951" s="320"/>
      <c r="L1951" s="320"/>
      <c r="M1951" s="320"/>
      <c r="N1951" s="320"/>
      <c r="O1951" s="320"/>
    </row>
    <row r="1952">
      <c r="A1952" s="32">
        <f t="shared" si="1"/>
        <v>1951</v>
      </c>
      <c r="B1952" s="9" t="s">
        <v>3915</v>
      </c>
      <c r="C1952" s="460" t="s">
        <v>4008</v>
      </c>
      <c r="D1952" s="668" t="s">
        <v>4005</v>
      </c>
      <c r="E1952" s="18">
        <f>VLOOKUP($C1952,'PE-AL-PE FITTINGS'!$E$4:$I2469,3,0)</f>
        <v>0.3</v>
      </c>
      <c r="F1952" s="523" t="s">
        <v>1088</v>
      </c>
      <c r="G1952" s="18">
        <f>VLOOKUP($C1952,'PE-AL-PE FITTINGS'!$E$4:$I2469,4,0)</f>
        <v>0.552</v>
      </c>
      <c r="H1952" s="320"/>
      <c r="I1952" s="320"/>
      <c r="J1952" s="320"/>
      <c r="K1952" s="320"/>
      <c r="L1952" s="320"/>
      <c r="M1952" s="320"/>
      <c r="N1952" s="320"/>
      <c r="O1952" s="320"/>
    </row>
    <row r="1953">
      <c r="A1953" s="32">
        <f t="shared" si="1"/>
        <v>1952</v>
      </c>
      <c r="B1953" s="9" t="s">
        <v>3915</v>
      </c>
      <c r="C1953" s="460" t="s">
        <v>4009</v>
      </c>
      <c r="D1953" s="668" t="s">
        <v>4005</v>
      </c>
      <c r="E1953" s="18" t="str">
        <f>VLOOKUP($C1953,'PE-AL-PE FITTINGS'!$E$4:$I2469,3,0)</f>
        <v/>
      </c>
      <c r="F1953" s="523" t="s">
        <v>1088</v>
      </c>
      <c r="G1953" s="18" t="str">
        <f>VLOOKUP($C1953,'PE-AL-PE FITTINGS'!$E$4:$I2469,4,0)</f>
        <v/>
      </c>
      <c r="H1953" s="320"/>
      <c r="I1953" s="320"/>
      <c r="J1953" s="320"/>
      <c r="K1953" s="320"/>
      <c r="L1953" s="320"/>
      <c r="M1953" s="320"/>
      <c r="N1953" s="320"/>
      <c r="O1953" s="320"/>
    </row>
    <row r="1954">
      <c r="A1954" s="32">
        <f t="shared" si="1"/>
        <v>1953</v>
      </c>
      <c r="B1954" s="9" t="s">
        <v>3915</v>
      </c>
      <c r="C1954" s="460" t="s">
        <v>4009</v>
      </c>
      <c r="D1954" s="668" t="s">
        <v>4005</v>
      </c>
      <c r="E1954" s="18" t="str">
        <f>VLOOKUP($C1954,'PE-AL-PE FITTINGS'!$E$4:$I2469,3,0)</f>
        <v/>
      </c>
      <c r="F1954" s="523" t="s">
        <v>1088</v>
      </c>
      <c r="G1954" s="18" t="str">
        <f>VLOOKUP($C1954,'PE-AL-PE FITTINGS'!$E$4:$I2469,4,0)</f>
        <v/>
      </c>
      <c r="H1954" s="320"/>
      <c r="I1954" s="320"/>
      <c r="J1954" s="320"/>
      <c r="K1954" s="320"/>
      <c r="L1954" s="320"/>
      <c r="M1954" s="320"/>
      <c r="N1954" s="320"/>
      <c r="O1954" s="320"/>
    </row>
    <row r="1955">
      <c r="A1955" s="32">
        <f t="shared" si="1"/>
        <v>1954</v>
      </c>
      <c r="B1955" s="9" t="s">
        <v>3915</v>
      </c>
      <c r="C1955" s="460" t="s">
        <v>4010</v>
      </c>
      <c r="D1955" s="668" t="s">
        <v>4011</v>
      </c>
      <c r="E1955" s="18">
        <f>VLOOKUP($C1955,'PE-AL-PE FITTINGS'!$E$4:$I2469,3,0)</f>
        <v>0.207</v>
      </c>
      <c r="F1955" s="523" t="s">
        <v>1088</v>
      </c>
      <c r="G1955" s="18">
        <f>VLOOKUP($C1955,'PE-AL-PE FITTINGS'!$E$4:$I2469,4,0)</f>
        <v>0.207</v>
      </c>
      <c r="H1955" s="320"/>
      <c r="I1955" s="320"/>
      <c r="J1955" s="320"/>
      <c r="K1955" s="320"/>
      <c r="L1955" s="320"/>
      <c r="M1955" s="320"/>
      <c r="N1955" s="320"/>
      <c r="O1955" s="320"/>
    </row>
    <row r="1956">
      <c r="A1956" s="32">
        <f t="shared" si="1"/>
        <v>1955</v>
      </c>
      <c r="B1956" s="9" t="s">
        <v>3915</v>
      </c>
      <c r="C1956" s="460" t="s">
        <v>4012</v>
      </c>
      <c r="D1956" s="668" t="s">
        <v>4013</v>
      </c>
      <c r="E1956" s="18">
        <f>VLOOKUP($C1956,'PE-AL-PE FITTINGS'!$E$4:$I2469,3,0)</f>
        <v>0.295</v>
      </c>
      <c r="F1956" s="523" t="s">
        <v>1088</v>
      </c>
      <c r="G1956" s="18">
        <f>VLOOKUP($C1956,'PE-AL-PE FITTINGS'!$E$4:$I2469,4,0)</f>
        <v>0.295</v>
      </c>
      <c r="H1956" s="320"/>
      <c r="I1956" s="320"/>
      <c r="J1956" s="320"/>
      <c r="K1956" s="320"/>
      <c r="L1956" s="320"/>
      <c r="M1956" s="320"/>
      <c r="N1956" s="320"/>
      <c r="O1956" s="320"/>
    </row>
    <row r="1957">
      <c r="A1957" s="32">
        <f t="shared" si="1"/>
        <v>1956</v>
      </c>
      <c r="B1957" s="9" t="s">
        <v>4014</v>
      </c>
      <c r="C1957" s="500" t="s">
        <v>4015</v>
      </c>
      <c r="D1957" s="668" t="s">
        <v>4016</v>
      </c>
      <c r="E1957" s="18">
        <f>VLOOKUP($C1957,TOOL!$E$2:$H2469,2,0)</f>
        <v>0.16</v>
      </c>
      <c r="F1957" s="523" t="s">
        <v>1088</v>
      </c>
      <c r="G1957" s="18">
        <f>VLOOKUP($C1957,TOOL!$E$2:$H2469,4,0)</f>
        <v>333</v>
      </c>
      <c r="H1957" s="320"/>
      <c r="I1957" s="320"/>
      <c r="J1957" s="320"/>
      <c r="K1957" s="320"/>
      <c r="L1957" s="320"/>
      <c r="M1957" s="320"/>
      <c r="N1957" s="320"/>
      <c r="O1957" s="320"/>
    </row>
    <row r="1958">
      <c r="A1958" s="32">
        <f t="shared" si="1"/>
        <v>1957</v>
      </c>
      <c r="B1958" s="9" t="s">
        <v>4014</v>
      </c>
      <c r="C1958" s="500" t="s">
        <v>4017</v>
      </c>
      <c r="D1958" s="668" t="s">
        <v>4016</v>
      </c>
      <c r="E1958" s="18">
        <f>VLOOKUP($C1958,TOOL!$E$2:$H2469,2,0)</f>
        <v>0.24</v>
      </c>
      <c r="F1958" s="523" t="s">
        <v>1088</v>
      </c>
      <c r="G1958" s="18">
        <f>VLOOKUP($C1958,TOOL!$E$2:$H2469,4,0)</f>
        <v>445.5</v>
      </c>
      <c r="H1958" s="320"/>
      <c r="I1958" s="320"/>
      <c r="J1958" s="320"/>
      <c r="K1958" s="320"/>
      <c r="L1958" s="320"/>
      <c r="M1958" s="320"/>
      <c r="N1958" s="320"/>
      <c r="O1958" s="320"/>
    </row>
    <row r="1959">
      <c r="A1959" s="32">
        <f t="shared" si="1"/>
        <v>1958</v>
      </c>
      <c r="B1959" s="9" t="s">
        <v>4014</v>
      </c>
      <c r="C1959" s="500" t="s">
        <v>4018</v>
      </c>
      <c r="D1959" s="668" t="s">
        <v>4016</v>
      </c>
      <c r="E1959" s="18">
        <f>VLOOKUP($C1959,TOOL!$E$2:$H2469,2,0)</f>
        <v>0.38</v>
      </c>
      <c r="F1959" s="523" t="s">
        <v>1088</v>
      </c>
      <c r="G1959" s="18">
        <f>VLOOKUP($C1959,TOOL!$E$2:$H2469,4,0)</f>
        <v>630</v>
      </c>
      <c r="H1959" s="320"/>
      <c r="I1959" s="320"/>
      <c r="J1959" s="320"/>
      <c r="K1959" s="320"/>
      <c r="L1959" s="320"/>
      <c r="M1959" s="320"/>
      <c r="N1959" s="320"/>
      <c r="O1959" s="320"/>
    </row>
    <row r="1960">
      <c r="A1960" s="32">
        <f t="shared" si="1"/>
        <v>1959</v>
      </c>
      <c r="B1960" s="9" t="s">
        <v>4014</v>
      </c>
      <c r="C1960" s="500" t="s">
        <v>4019</v>
      </c>
      <c r="D1960" s="668" t="s">
        <v>4016</v>
      </c>
      <c r="E1960" s="18">
        <f>VLOOKUP($C1960,TOOL!$E$2:$H2469,2,0)</f>
        <v>0.5</v>
      </c>
      <c r="F1960" s="523" t="s">
        <v>1088</v>
      </c>
      <c r="G1960" s="18">
        <f>VLOOKUP($C1960,TOOL!$E$2:$H2469,4,0)</f>
        <v>819</v>
      </c>
      <c r="H1960" s="320"/>
      <c r="I1960" s="320"/>
      <c r="J1960" s="320"/>
      <c r="K1960" s="320"/>
      <c r="L1960" s="320"/>
      <c r="M1960" s="320"/>
      <c r="N1960" s="320"/>
      <c r="O1960" s="320"/>
    </row>
    <row r="1961">
      <c r="A1961" s="32">
        <f t="shared" si="1"/>
        <v>1960</v>
      </c>
      <c r="B1961" s="9" t="s">
        <v>4014</v>
      </c>
      <c r="C1961" s="500" t="s">
        <v>4020</v>
      </c>
      <c r="D1961" s="668" t="s">
        <v>4021</v>
      </c>
      <c r="E1961" s="18">
        <f>VLOOKUP($C1961,TOOL!$E$2:$H2469,2,0)</f>
        <v>0.063</v>
      </c>
      <c r="F1961" s="523" t="s">
        <v>1088</v>
      </c>
      <c r="G1961" s="18">
        <f>VLOOKUP($C1961,TOOL!$E$2:$H2469,4,0)</f>
        <v>171</v>
      </c>
      <c r="H1961" s="320"/>
      <c r="I1961" s="320"/>
      <c r="J1961" s="320"/>
      <c r="K1961" s="320"/>
      <c r="L1961" s="320"/>
      <c r="M1961" s="320"/>
      <c r="N1961" s="320"/>
      <c r="O1961" s="320"/>
    </row>
    <row r="1962">
      <c r="A1962" s="32">
        <f t="shared" si="1"/>
        <v>1961</v>
      </c>
      <c r="B1962" s="9" t="s">
        <v>4014</v>
      </c>
      <c r="C1962" s="500" t="s">
        <v>4022</v>
      </c>
      <c r="D1962" s="668" t="s">
        <v>4021</v>
      </c>
      <c r="E1962" s="18">
        <f>VLOOKUP($C1962,TOOL!$E$2:$H2469,2,0)</f>
        <v>0.1</v>
      </c>
      <c r="F1962" s="523" t="s">
        <v>1088</v>
      </c>
      <c r="G1962" s="18">
        <f>VLOOKUP($C1962,TOOL!$E$2:$H2469,4,0)</f>
        <v>234</v>
      </c>
      <c r="H1962" s="320"/>
      <c r="I1962" s="320"/>
      <c r="J1962" s="320"/>
      <c r="K1962" s="320"/>
      <c r="L1962" s="320"/>
      <c r="M1962" s="320"/>
      <c r="N1962" s="320"/>
      <c r="O1962" s="320"/>
    </row>
    <row r="1963">
      <c r="A1963" s="32">
        <f t="shared" si="1"/>
        <v>1962</v>
      </c>
      <c r="B1963" s="9" t="s">
        <v>4014</v>
      </c>
      <c r="C1963" s="500" t="s">
        <v>4023</v>
      </c>
      <c r="D1963" s="668" t="s">
        <v>4021</v>
      </c>
      <c r="E1963" s="18">
        <f>VLOOKUP($C1963,TOOL!$E$2:$H2469,2,0)</f>
        <v>0.125</v>
      </c>
      <c r="F1963" s="523" t="s">
        <v>1088</v>
      </c>
      <c r="G1963" s="18">
        <f>VLOOKUP($C1963,TOOL!$E$2:$H2469,4,0)</f>
        <v>310.5</v>
      </c>
      <c r="H1963" s="320"/>
      <c r="I1963" s="320"/>
      <c r="J1963" s="320"/>
      <c r="K1963" s="320"/>
      <c r="L1963" s="320"/>
      <c r="M1963" s="320"/>
      <c r="N1963" s="320"/>
      <c r="O1963" s="320"/>
    </row>
    <row r="1964">
      <c r="A1964" s="32">
        <f t="shared" si="1"/>
        <v>1963</v>
      </c>
      <c r="B1964" s="9" t="s">
        <v>4014</v>
      </c>
      <c r="C1964" s="500" t="s">
        <v>4024</v>
      </c>
      <c r="D1964" s="668" t="s">
        <v>4021</v>
      </c>
      <c r="E1964" s="18">
        <f>VLOOKUP($C1964,TOOL!$E$2:$H2469,2,0)</f>
        <v>0.22</v>
      </c>
      <c r="F1964" s="523" t="s">
        <v>1088</v>
      </c>
      <c r="G1964" s="18">
        <f>VLOOKUP($C1964,TOOL!$E$2:$H2469,4,0)</f>
        <v>400.5</v>
      </c>
      <c r="H1964" s="320"/>
      <c r="I1964" s="320"/>
      <c r="J1964" s="320"/>
      <c r="K1964" s="320"/>
      <c r="L1964" s="320"/>
      <c r="M1964" s="320"/>
      <c r="N1964" s="320"/>
      <c r="O1964" s="320"/>
    </row>
    <row r="1965">
      <c r="A1965" s="32">
        <f t="shared" si="1"/>
        <v>1964</v>
      </c>
      <c r="B1965" s="9" t="s">
        <v>4014</v>
      </c>
      <c r="C1965" s="500" t="s">
        <v>4025</v>
      </c>
      <c r="D1965" s="668" t="s">
        <v>4026</v>
      </c>
      <c r="E1965" s="18">
        <f>VLOOKUP($C1965,TOOL!$E$2:$H2469,2,0)</f>
        <v>0.068</v>
      </c>
      <c r="F1965" s="523" t="s">
        <v>1088</v>
      </c>
      <c r="G1965" s="18">
        <f>VLOOKUP($C1965,TOOL!$E$2:$H2469,4,0)</f>
        <v>450</v>
      </c>
      <c r="H1965" s="320"/>
      <c r="I1965" s="320"/>
      <c r="J1965" s="320"/>
      <c r="K1965" s="320"/>
      <c r="L1965" s="320"/>
      <c r="M1965" s="320"/>
      <c r="N1965" s="320"/>
      <c r="O1965" s="320"/>
    </row>
    <row r="1966">
      <c r="A1966" s="32">
        <f t="shared" si="1"/>
        <v>1965</v>
      </c>
      <c r="B1966" s="9" t="s">
        <v>4014</v>
      </c>
      <c r="C1966" s="500" t="s">
        <v>4027</v>
      </c>
      <c r="D1966" s="668" t="s">
        <v>4026</v>
      </c>
      <c r="E1966" s="18">
        <f>VLOOKUP($C1966,TOOL!$E$2:$H2469,2,0)</f>
        <v>0.07</v>
      </c>
      <c r="F1966" s="523" t="s">
        <v>1088</v>
      </c>
      <c r="G1966" s="18">
        <f>VLOOKUP($C1966,TOOL!$E$2:$H2469,4,0)</f>
        <v>450</v>
      </c>
      <c r="H1966" s="320"/>
      <c r="I1966" s="320"/>
      <c r="J1966" s="320"/>
      <c r="K1966" s="320"/>
      <c r="L1966" s="320"/>
      <c r="M1966" s="320"/>
      <c r="N1966" s="320"/>
      <c r="O1966" s="320"/>
    </row>
    <row r="1967">
      <c r="A1967" s="32">
        <f t="shared" si="1"/>
        <v>1966</v>
      </c>
      <c r="B1967" s="9" t="s">
        <v>4014</v>
      </c>
      <c r="C1967" s="500" t="s">
        <v>4028</v>
      </c>
      <c r="D1967" s="668" t="s">
        <v>4029</v>
      </c>
      <c r="E1967" s="18">
        <f>VLOOKUP($C1967,TOOL!$E$2:$H2469,2,0)</f>
        <v>0.095</v>
      </c>
      <c r="F1967" s="523" t="s">
        <v>1088</v>
      </c>
      <c r="G1967" s="18">
        <f>VLOOKUP($C1967,TOOL!$E$2:$H2469,4,0)</f>
        <v>945</v>
      </c>
      <c r="H1967" s="320"/>
      <c r="I1967" s="320"/>
      <c r="J1967" s="320"/>
      <c r="K1967" s="320"/>
      <c r="L1967" s="320"/>
      <c r="M1967" s="320"/>
      <c r="N1967" s="320"/>
      <c r="O1967" s="320"/>
    </row>
    <row r="1968">
      <c r="A1968" s="32">
        <f t="shared" si="1"/>
        <v>1967</v>
      </c>
      <c r="B1968" s="9" t="s">
        <v>4014</v>
      </c>
      <c r="C1968" s="500" t="s">
        <v>4030</v>
      </c>
      <c r="D1968" s="668" t="s">
        <v>4031</v>
      </c>
      <c r="E1968" s="18">
        <f>VLOOKUP($C1968,TOOL!$E$2:$H2469,2,0)</f>
        <v>0.27</v>
      </c>
      <c r="F1968" s="523" t="s">
        <v>1088</v>
      </c>
      <c r="G1968" s="18">
        <f>VLOOKUP($C1968,TOOL!$E$2:$H2469,4,0)</f>
        <v>12870</v>
      </c>
      <c r="H1968" s="320"/>
      <c r="I1968" s="320"/>
      <c r="J1968" s="320"/>
      <c r="K1968" s="320"/>
      <c r="L1968" s="320"/>
      <c r="M1968" s="320"/>
      <c r="N1968" s="320"/>
      <c r="O1968" s="320"/>
    </row>
    <row r="1969">
      <c r="A1969" s="32">
        <f t="shared" si="1"/>
        <v>1968</v>
      </c>
      <c r="B1969" s="9" t="s">
        <v>4014</v>
      </c>
      <c r="C1969" s="500" t="s">
        <v>4032</v>
      </c>
      <c r="D1969" s="668" t="s">
        <v>4031</v>
      </c>
      <c r="E1969" s="18">
        <f>VLOOKUP($C1969,TOOL!$E$2:$H2469,2,0)</f>
        <v>0.36</v>
      </c>
      <c r="F1969" s="523" t="s">
        <v>1088</v>
      </c>
      <c r="G1969" s="18">
        <f>VLOOKUP($C1969,TOOL!$E$2:$H2469,4,0)</f>
        <v>14580</v>
      </c>
      <c r="H1969" s="320"/>
      <c r="I1969" s="320"/>
      <c r="J1969" s="320"/>
      <c r="K1969" s="320"/>
      <c r="L1969" s="320"/>
      <c r="M1969" s="320"/>
      <c r="N1969" s="320"/>
      <c r="O1969" s="320"/>
    </row>
    <row r="1970">
      <c r="A1970" s="32">
        <f t="shared" si="1"/>
        <v>1969</v>
      </c>
      <c r="B1970" s="9" t="s">
        <v>4014</v>
      </c>
      <c r="C1970" s="500" t="s">
        <v>4033</v>
      </c>
      <c r="D1970" s="668" t="s">
        <v>4031</v>
      </c>
      <c r="E1970" s="18">
        <f>VLOOKUP($C1970,TOOL!$E$2:$H2469,2,0)</f>
        <v>0.64</v>
      </c>
      <c r="F1970" s="523" t="s">
        <v>1088</v>
      </c>
      <c r="G1970" s="18">
        <f>VLOOKUP($C1970,TOOL!$E$2:$H2469,4,0)</f>
        <v>16830</v>
      </c>
      <c r="H1970" s="320"/>
      <c r="I1970" s="320"/>
      <c r="J1970" s="320"/>
      <c r="K1970" s="320"/>
      <c r="L1970" s="320"/>
      <c r="M1970" s="320"/>
      <c r="N1970" s="320"/>
      <c r="O1970" s="320"/>
    </row>
    <row r="1971">
      <c r="A1971" s="32">
        <f t="shared" si="1"/>
        <v>1970</v>
      </c>
      <c r="B1971" s="9" t="s">
        <v>4014</v>
      </c>
      <c r="C1971" s="500" t="s">
        <v>4034</v>
      </c>
      <c r="D1971" s="668" t="s">
        <v>4035</v>
      </c>
      <c r="E1971" s="18">
        <f>VLOOKUP($C1971,TOOL!$E$2:$H2469,2,0)</f>
        <v>1.95</v>
      </c>
      <c r="F1971" s="523" t="s">
        <v>1088</v>
      </c>
      <c r="G1971" s="18">
        <f>VLOOKUP($C1971,TOOL!$E$2:$H2469,4,0)</f>
        <v>21285</v>
      </c>
      <c r="H1971" s="320"/>
      <c r="I1971" s="320"/>
      <c r="J1971" s="320"/>
      <c r="K1971" s="320"/>
      <c r="L1971" s="320"/>
      <c r="M1971" s="320"/>
      <c r="N1971" s="320"/>
      <c r="O1971" s="320"/>
    </row>
    <row r="1972">
      <c r="A1972" s="32">
        <f t="shared" si="1"/>
        <v>1971</v>
      </c>
      <c r="B1972" s="9" t="s">
        <v>4014</v>
      </c>
      <c r="C1972" s="500" t="s">
        <v>4036</v>
      </c>
      <c r="D1972" s="668" t="s">
        <v>4037</v>
      </c>
      <c r="E1972" s="18">
        <f>VLOOKUP($C1972,TOOL!$E$2:$H2469,2,0)</f>
        <v>2.4</v>
      </c>
      <c r="F1972" s="523" t="s">
        <v>1088</v>
      </c>
      <c r="G1972" s="18">
        <f>VLOOKUP($C1972,TOOL!$E$2:$H2469,4,0)</f>
        <v>9900</v>
      </c>
      <c r="H1972" s="320"/>
      <c r="I1972" s="320"/>
      <c r="J1972" s="320"/>
      <c r="K1972" s="320"/>
      <c r="L1972" s="320"/>
      <c r="M1972" s="320"/>
      <c r="N1972" s="320"/>
      <c r="O1972" s="320"/>
    </row>
    <row r="1973">
      <c r="A1973" s="32">
        <f t="shared" si="1"/>
        <v>1972</v>
      </c>
      <c r="B1973" s="9" t="s">
        <v>4038</v>
      </c>
      <c r="C1973" s="500" t="s">
        <v>4039</v>
      </c>
      <c r="D1973" s="668" t="s">
        <v>4040</v>
      </c>
      <c r="E1973" s="18">
        <f>VLOOKUP($C1973,'SILENT PIPE'!$E$3:$G2469,2,0)</f>
        <v>0.75</v>
      </c>
      <c r="F1973" s="523" t="s">
        <v>1088</v>
      </c>
      <c r="G1973" s="18" t="str">
        <f>VLOOKUP($C1973,'SILENT PIPE'!$E$3:$G2469,3,0)</f>
        <v/>
      </c>
      <c r="H1973" s="320"/>
      <c r="I1973" s="320"/>
      <c r="J1973" s="320"/>
      <c r="K1973" s="320"/>
      <c r="L1973" s="320"/>
      <c r="M1973" s="320"/>
      <c r="N1973" s="320"/>
      <c r="O1973" s="320"/>
    </row>
    <row r="1974">
      <c r="A1974" s="32">
        <f t="shared" si="1"/>
        <v>1973</v>
      </c>
      <c r="B1974" s="9" t="s">
        <v>4038</v>
      </c>
      <c r="C1974" s="500" t="s">
        <v>4041</v>
      </c>
      <c r="D1974" s="668" t="s">
        <v>4040</v>
      </c>
      <c r="E1974" s="18">
        <f>VLOOKUP($C1974,'SILENT PIPE'!$E$3:$G2469,2,0)</f>
        <v>0.75</v>
      </c>
      <c r="F1974" s="523" t="s">
        <v>1088</v>
      </c>
      <c r="G1974" s="18" t="str">
        <f>VLOOKUP($C1974,'SILENT PIPE'!$E$3:$G2469,3,0)</f>
        <v/>
      </c>
      <c r="H1974" s="320"/>
      <c r="I1974" s="320"/>
      <c r="J1974" s="320"/>
      <c r="K1974" s="320"/>
      <c r="L1974" s="320"/>
      <c r="M1974" s="320"/>
      <c r="N1974" s="320"/>
      <c r="O1974" s="320"/>
    </row>
    <row r="1975">
      <c r="A1975" s="32">
        <f t="shared" si="1"/>
        <v>1974</v>
      </c>
      <c r="B1975" s="9" t="s">
        <v>4038</v>
      </c>
      <c r="C1975" s="500" t="s">
        <v>4042</v>
      </c>
      <c r="D1975" s="668" t="s">
        <v>4040</v>
      </c>
      <c r="E1975" s="18">
        <f>VLOOKUP($C1975,'SILENT PIPE'!$E$3:$G2469,2,0)</f>
        <v>0.15</v>
      </c>
      <c r="F1975" s="523" t="s">
        <v>1088</v>
      </c>
      <c r="G1975" s="18" t="str">
        <f>VLOOKUP($C1975,'SILENT PIPE'!$E$3:$G2469,3,0)</f>
        <v/>
      </c>
      <c r="H1975" s="320"/>
      <c r="I1975" s="320"/>
      <c r="J1975" s="320"/>
      <c r="K1975" s="320"/>
      <c r="L1975" s="320"/>
      <c r="M1975" s="320"/>
      <c r="N1975" s="320"/>
      <c r="O1975" s="320"/>
    </row>
    <row r="1976">
      <c r="A1976" s="32">
        <f t="shared" si="1"/>
        <v>1975</v>
      </c>
      <c r="B1976" s="9" t="s">
        <v>4038</v>
      </c>
      <c r="C1976" s="500" t="s">
        <v>4043</v>
      </c>
      <c r="D1976" s="668" t="s">
        <v>4040</v>
      </c>
      <c r="E1976" s="18">
        <f>VLOOKUP($C1976,'SILENT PIPE'!$E$3:$G2469,2,0)</f>
        <v>0.15</v>
      </c>
      <c r="F1976" s="523" t="s">
        <v>1088</v>
      </c>
      <c r="G1976" s="18" t="str">
        <f>VLOOKUP($C1976,'SILENT PIPE'!$E$3:$G2469,3,0)</f>
        <v/>
      </c>
      <c r="H1976" s="320"/>
      <c r="I1976" s="320"/>
      <c r="J1976" s="320"/>
      <c r="K1976" s="320"/>
      <c r="L1976" s="320"/>
      <c r="M1976" s="320"/>
      <c r="N1976" s="320"/>
      <c r="O1976" s="320"/>
    </row>
    <row r="1977">
      <c r="A1977" s="32">
        <f t="shared" si="1"/>
        <v>1976</v>
      </c>
      <c r="B1977" s="9" t="s">
        <v>4038</v>
      </c>
      <c r="C1977" s="500" t="s">
        <v>4044</v>
      </c>
      <c r="D1977" s="668" t="s">
        <v>4040</v>
      </c>
      <c r="E1977" s="18">
        <f>VLOOKUP($C1977,'SILENT PIPE'!$E$3:$G2469,2,0)</f>
        <v>0.225</v>
      </c>
      <c r="F1977" s="523" t="s">
        <v>1088</v>
      </c>
      <c r="G1977" s="18" t="str">
        <f>VLOOKUP($C1977,'SILENT PIPE'!$E$3:$G2469,3,0)</f>
        <v/>
      </c>
      <c r="H1977" s="320"/>
      <c r="I1977" s="320"/>
      <c r="J1977" s="320"/>
      <c r="K1977" s="320"/>
      <c r="L1977" s="320"/>
      <c r="M1977" s="320"/>
      <c r="N1977" s="320"/>
      <c r="O1977" s="320"/>
    </row>
    <row r="1978">
      <c r="A1978" s="32">
        <f t="shared" si="1"/>
        <v>1977</v>
      </c>
      <c r="B1978" s="9" t="s">
        <v>4038</v>
      </c>
      <c r="C1978" s="500" t="s">
        <v>4045</v>
      </c>
      <c r="D1978" s="668" t="s">
        <v>4040</v>
      </c>
      <c r="E1978" s="18">
        <f>VLOOKUP($C1978,'SILENT PIPE'!$E$3:$G2469,2,0)</f>
        <v>0.225</v>
      </c>
      <c r="F1978" s="523" t="s">
        <v>1088</v>
      </c>
      <c r="G1978" s="18" t="str">
        <f>VLOOKUP($C1978,'SILENT PIPE'!$E$3:$G2469,3,0)</f>
        <v/>
      </c>
      <c r="H1978" s="320"/>
      <c r="I1978" s="320"/>
      <c r="J1978" s="320"/>
      <c r="K1978" s="320"/>
      <c r="L1978" s="320"/>
      <c r="M1978" s="320"/>
      <c r="N1978" s="320"/>
      <c r="O1978" s="320"/>
    </row>
    <row r="1979">
      <c r="A1979" s="32">
        <f t="shared" si="1"/>
        <v>1978</v>
      </c>
      <c r="B1979" s="9" t="s">
        <v>4038</v>
      </c>
      <c r="C1979" s="500" t="s">
        <v>4046</v>
      </c>
      <c r="D1979" s="668" t="s">
        <v>4040</v>
      </c>
      <c r="E1979" s="18">
        <f>VLOOKUP($C1979,'SILENT PIPE'!$E$3:$G2469,2,0)</f>
        <v>0.3</v>
      </c>
      <c r="F1979" s="523" t="s">
        <v>1088</v>
      </c>
      <c r="G1979" s="18" t="str">
        <f>VLOOKUP($C1979,'SILENT PIPE'!$E$3:$G2469,3,0)</f>
        <v/>
      </c>
      <c r="H1979" s="320"/>
      <c r="I1979" s="320"/>
      <c r="J1979" s="320"/>
      <c r="K1979" s="320"/>
      <c r="L1979" s="320"/>
      <c r="M1979" s="320"/>
      <c r="N1979" s="320"/>
      <c r="O1979" s="320"/>
    </row>
    <row r="1980">
      <c r="A1980" s="32">
        <f t="shared" si="1"/>
        <v>1979</v>
      </c>
      <c r="B1980" s="9" t="s">
        <v>4038</v>
      </c>
      <c r="C1980" s="500" t="s">
        <v>4047</v>
      </c>
      <c r="D1980" s="668" t="s">
        <v>4040</v>
      </c>
      <c r="E1980" s="18">
        <f>VLOOKUP($C1980,'SILENT PIPE'!$E$3:$G2469,2,0)</f>
        <v>0.3</v>
      </c>
      <c r="F1980" s="523" t="s">
        <v>1088</v>
      </c>
      <c r="G1980" s="18" t="str">
        <f>VLOOKUP($C1980,'SILENT PIPE'!$E$3:$G2469,3,0)</f>
        <v/>
      </c>
      <c r="H1980" s="320"/>
      <c r="I1980" s="320"/>
      <c r="J1980" s="320"/>
      <c r="K1980" s="320"/>
      <c r="L1980" s="320"/>
      <c r="M1980" s="320"/>
      <c r="N1980" s="320"/>
      <c r="O1980" s="320"/>
    </row>
    <row r="1981">
      <c r="A1981" s="32">
        <f t="shared" si="1"/>
        <v>1980</v>
      </c>
      <c r="B1981" s="9" t="s">
        <v>4038</v>
      </c>
      <c r="C1981" s="500" t="s">
        <v>4048</v>
      </c>
      <c r="D1981" s="668" t="s">
        <v>4040</v>
      </c>
      <c r="E1981" s="18">
        <f>VLOOKUP($C1981,'SILENT PIPE'!$E$3:$G2469,2,0)</f>
        <v>0.45</v>
      </c>
      <c r="F1981" s="523" t="s">
        <v>1088</v>
      </c>
      <c r="G1981" s="18" t="str">
        <f>VLOOKUP($C1981,'SILENT PIPE'!$E$3:$G2469,3,0)</f>
        <v/>
      </c>
      <c r="H1981" s="320"/>
      <c r="I1981" s="320"/>
      <c r="J1981" s="320"/>
      <c r="K1981" s="320"/>
      <c r="L1981" s="320"/>
      <c r="M1981" s="320"/>
      <c r="N1981" s="320"/>
      <c r="O1981" s="320"/>
    </row>
    <row r="1982">
      <c r="A1982" s="32">
        <f t="shared" si="1"/>
        <v>1981</v>
      </c>
      <c r="B1982" s="9" t="s">
        <v>4038</v>
      </c>
      <c r="C1982" s="500" t="s">
        <v>4049</v>
      </c>
      <c r="D1982" s="668" t="s">
        <v>4040</v>
      </c>
      <c r="E1982" s="18">
        <f>VLOOKUP($C1982,'SILENT PIPE'!$E$3:$G2469,2,0)</f>
        <v>0.45</v>
      </c>
      <c r="F1982" s="523" t="s">
        <v>1088</v>
      </c>
      <c r="G1982" s="18" t="str">
        <f>VLOOKUP($C1982,'SILENT PIPE'!$E$3:$G2469,3,0)</f>
        <v/>
      </c>
      <c r="H1982" s="320"/>
      <c r="I1982" s="320"/>
      <c r="J1982" s="320"/>
      <c r="K1982" s="320"/>
      <c r="L1982" s="320"/>
      <c r="M1982" s="320"/>
      <c r="N1982" s="320"/>
      <c r="O1982" s="320"/>
    </row>
    <row r="1983">
      <c r="A1983" s="32">
        <f t="shared" si="1"/>
        <v>1982</v>
      </c>
      <c r="B1983" s="9" t="s">
        <v>4038</v>
      </c>
      <c r="C1983" s="500" t="s">
        <v>4050</v>
      </c>
      <c r="D1983" s="668" t="s">
        <v>4051</v>
      </c>
      <c r="E1983" s="18">
        <f>VLOOKUP($C1983,'SILENT PIPE'!$H$3:$J2469,2,0)</f>
        <v>0.925</v>
      </c>
      <c r="F1983" s="523" t="s">
        <v>1088</v>
      </c>
      <c r="G1983" s="18" t="str">
        <f>VLOOKUP($C1983,'SILENT PIPE'!$H$3:$J2469,3,0)</f>
        <v/>
      </c>
      <c r="H1983" s="320"/>
      <c r="I1983" s="320"/>
      <c r="J1983" s="320"/>
      <c r="K1983" s="320"/>
      <c r="L1983" s="320"/>
      <c r="M1983" s="320"/>
      <c r="N1983" s="320"/>
      <c r="O1983" s="320"/>
    </row>
    <row r="1984">
      <c r="A1984" s="32">
        <f t="shared" si="1"/>
        <v>1983</v>
      </c>
      <c r="B1984" s="9" t="s">
        <v>4038</v>
      </c>
      <c r="C1984" s="500" t="s">
        <v>4052</v>
      </c>
      <c r="D1984" s="668" t="s">
        <v>4051</v>
      </c>
      <c r="E1984" s="18">
        <f>VLOOKUP($C1984,'SILENT PIPE'!$H$3:$J2469,2,0)</f>
        <v>0.925</v>
      </c>
      <c r="F1984" s="523" t="s">
        <v>1088</v>
      </c>
      <c r="G1984" s="18" t="str">
        <f>VLOOKUP($C1984,'SILENT PIPE'!$H$3:$J2469,3,0)</f>
        <v/>
      </c>
      <c r="H1984" s="320"/>
      <c r="I1984" s="320"/>
      <c r="J1984" s="320"/>
      <c r="K1984" s="320"/>
      <c r="L1984" s="320"/>
      <c r="M1984" s="320"/>
      <c r="N1984" s="320"/>
      <c r="O1984" s="320"/>
    </row>
    <row r="1985">
      <c r="A1985" s="32">
        <f t="shared" si="1"/>
        <v>1984</v>
      </c>
      <c r="B1985" s="9" t="s">
        <v>4038</v>
      </c>
      <c r="C1985" s="500" t="s">
        <v>4053</v>
      </c>
      <c r="D1985" s="668" t="s">
        <v>4051</v>
      </c>
      <c r="E1985" s="18">
        <f>VLOOKUP($C1985,'SILENT PIPE'!$H$3:$J2469,2,0)</f>
        <v>0.185</v>
      </c>
      <c r="F1985" s="523" t="s">
        <v>1088</v>
      </c>
      <c r="G1985" s="18" t="str">
        <f>VLOOKUP($C1985,'SILENT PIPE'!$H$3:$J2469,3,0)</f>
        <v/>
      </c>
      <c r="H1985" s="320"/>
      <c r="I1985" s="320"/>
      <c r="J1985" s="320"/>
      <c r="K1985" s="320"/>
      <c r="L1985" s="320"/>
      <c r="M1985" s="320"/>
      <c r="N1985" s="320"/>
      <c r="O1985" s="320"/>
    </row>
    <row r="1986">
      <c r="A1986" s="32">
        <f t="shared" si="1"/>
        <v>1985</v>
      </c>
      <c r="B1986" s="9" t="s">
        <v>4038</v>
      </c>
      <c r="C1986" s="500" t="s">
        <v>4054</v>
      </c>
      <c r="D1986" s="668" t="s">
        <v>4051</v>
      </c>
      <c r="E1986" s="18">
        <f>VLOOKUP($C1986,'SILENT PIPE'!$H$3:$J2469,2,0)</f>
        <v>0.185</v>
      </c>
      <c r="F1986" s="523" t="s">
        <v>1088</v>
      </c>
      <c r="G1986" s="18" t="str">
        <f>VLOOKUP($C1986,'SILENT PIPE'!$H$3:$J2469,3,0)</f>
        <v/>
      </c>
      <c r="H1986" s="320"/>
      <c r="I1986" s="320"/>
      <c r="J1986" s="320"/>
      <c r="K1986" s="320"/>
      <c r="L1986" s="320"/>
      <c r="M1986" s="320"/>
      <c r="N1986" s="320"/>
      <c r="O1986" s="320"/>
    </row>
    <row r="1987">
      <c r="A1987" s="32">
        <f t="shared" si="1"/>
        <v>1986</v>
      </c>
      <c r="B1987" s="9" t="s">
        <v>4038</v>
      </c>
      <c r="C1987" s="500" t="s">
        <v>4055</v>
      </c>
      <c r="D1987" s="668" t="s">
        <v>4051</v>
      </c>
      <c r="E1987" s="18">
        <f>VLOOKUP($C1987,'SILENT PIPE'!$H$3:$J2469,2,0)</f>
        <v>0.2775</v>
      </c>
      <c r="F1987" s="523" t="s">
        <v>1088</v>
      </c>
      <c r="G1987" s="18" t="str">
        <f>VLOOKUP($C1987,'SILENT PIPE'!$H$3:$J2469,3,0)</f>
        <v/>
      </c>
      <c r="H1987" s="320"/>
      <c r="I1987" s="320"/>
      <c r="J1987" s="320"/>
      <c r="K1987" s="320"/>
      <c r="L1987" s="320"/>
      <c r="M1987" s="320"/>
      <c r="N1987" s="320"/>
      <c r="O1987" s="320"/>
    </row>
    <row r="1988">
      <c r="A1988" s="32">
        <f t="shared" si="1"/>
        <v>1987</v>
      </c>
      <c r="B1988" s="9" t="s">
        <v>4038</v>
      </c>
      <c r="C1988" s="500" t="s">
        <v>4056</v>
      </c>
      <c r="D1988" s="668" t="s">
        <v>4051</v>
      </c>
      <c r="E1988" s="18">
        <f>VLOOKUP($C1988,'SILENT PIPE'!$H$3:$J2469,2,0)</f>
        <v>0.2775</v>
      </c>
      <c r="F1988" s="523" t="s">
        <v>1088</v>
      </c>
      <c r="G1988" s="18" t="str">
        <f>VLOOKUP($C1988,'SILENT PIPE'!$H$3:$J2469,3,0)</f>
        <v/>
      </c>
      <c r="H1988" s="320"/>
      <c r="I1988" s="320"/>
      <c r="J1988" s="320"/>
      <c r="K1988" s="320"/>
      <c r="L1988" s="320"/>
      <c r="M1988" s="320"/>
      <c r="N1988" s="320"/>
      <c r="O1988" s="320"/>
    </row>
    <row r="1989">
      <c r="A1989" s="32">
        <f t="shared" si="1"/>
        <v>1988</v>
      </c>
      <c r="B1989" s="9" t="s">
        <v>4038</v>
      </c>
      <c r="C1989" s="500" t="s">
        <v>4057</v>
      </c>
      <c r="D1989" s="668" t="s">
        <v>4051</v>
      </c>
      <c r="E1989" s="18">
        <f>VLOOKUP($C1989,'SILENT PIPE'!$H$3:$J2469,2,0)</f>
        <v>0.37</v>
      </c>
      <c r="F1989" s="523" t="s">
        <v>1088</v>
      </c>
      <c r="G1989" s="18" t="str">
        <f>VLOOKUP($C1989,'SILENT PIPE'!$H$3:$J2469,3,0)</f>
        <v/>
      </c>
      <c r="H1989" s="320"/>
      <c r="I1989" s="320"/>
      <c r="J1989" s="320"/>
      <c r="K1989" s="320"/>
      <c r="L1989" s="320"/>
      <c r="M1989" s="320"/>
      <c r="N1989" s="320"/>
      <c r="O1989" s="320"/>
    </row>
    <row r="1990">
      <c r="A1990" s="32">
        <f t="shared" si="1"/>
        <v>1989</v>
      </c>
      <c r="B1990" s="9" t="s">
        <v>4038</v>
      </c>
      <c r="C1990" s="500" t="s">
        <v>4058</v>
      </c>
      <c r="D1990" s="668" t="s">
        <v>4051</v>
      </c>
      <c r="E1990" s="18">
        <f>VLOOKUP($C1990,'SILENT PIPE'!$H$3:$J2469,2,0)</f>
        <v>0.37</v>
      </c>
      <c r="F1990" s="523" t="s">
        <v>1088</v>
      </c>
      <c r="G1990" s="18" t="str">
        <f>VLOOKUP($C1990,'SILENT PIPE'!$H$3:$J2469,3,0)</f>
        <v/>
      </c>
      <c r="H1990" s="320"/>
      <c r="I1990" s="320"/>
      <c r="J1990" s="320"/>
      <c r="K1990" s="320"/>
      <c r="L1990" s="320"/>
      <c r="M1990" s="320"/>
      <c r="N1990" s="320"/>
      <c r="O1990" s="320"/>
    </row>
    <row r="1991">
      <c r="A1991" s="32">
        <f t="shared" si="1"/>
        <v>1990</v>
      </c>
      <c r="B1991" s="9" t="s">
        <v>4038</v>
      </c>
      <c r="C1991" s="500" t="s">
        <v>4059</v>
      </c>
      <c r="D1991" s="668" t="s">
        <v>4051</v>
      </c>
      <c r="E1991" s="18">
        <f>VLOOKUP($C1991,'SILENT PIPE'!$H$3:$J2469,2,0)</f>
        <v>0.555</v>
      </c>
      <c r="F1991" s="523" t="s">
        <v>1088</v>
      </c>
      <c r="G1991" s="18" t="str">
        <f>VLOOKUP($C1991,'SILENT PIPE'!$H$3:$J2469,3,0)</f>
        <v/>
      </c>
      <c r="H1991" s="320"/>
      <c r="I1991" s="320"/>
      <c r="J1991" s="320"/>
      <c r="K1991" s="320"/>
      <c r="L1991" s="320"/>
      <c r="M1991" s="320"/>
      <c r="N1991" s="320"/>
      <c r="O1991" s="320"/>
    </row>
    <row r="1992">
      <c r="A1992" s="32">
        <f t="shared" si="1"/>
        <v>1991</v>
      </c>
      <c r="B1992" s="9" t="s">
        <v>4038</v>
      </c>
      <c r="C1992" s="500" t="s">
        <v>4060</v>
      </c>
      <c r="D1992" s="668" t="s">
        <v>4051</v>
      </c>
      <c r="E1992" s="18">
        <f>VLOOKUP($C1992,'SILENT PIPE'!$H$3:$J2469,2,0)</f>
        <v>0.555</v>
      </c>
      <c r="F1992" s="523" t="s">
        <v>1088</v>
      </c>
      <c r="G1992" s="18" t="str">
        <f>VLOOKUP($C1992,'SILENT PIPE'!$H$3:$J2469,3,0)</f>
        <v/>
      </c>
      <c r="H1992" s="320"/>
      <c r="I1992" s="320"/>
      <c r="J1992" s="320"/>
      <c r="K1992" s="320"/>
      <c r="L1992" s="320"/>
      <c r="M1992" s="320"/>
      <c r="N1992" s="320"/>
      <c r="O1992" s="320"/>
    </row>
    <row r="1993">
      <c r="A1993" s="32">
        <f t="shared" si="1"/>
        <v>1992</v>
      </c>
      <c r="B1993" s="9" t="s">
        <v>4038</v>
      </c>
      <c r="C1993" s="500" t="s">
        <v>4061</v>
      </c>
      <c r="D1993" s="668" t="s">
        <v>4062</v>
      </c>
      <c r="E1993" s="18">
        <f>VLOOKUP($C1993,'SILENT PIPE'!$K$3:$M2469,2,0)</f>
        <v>1.85</v>
      </c>
      <c r="F1993" s="523" t="s">
        <v>1088</v>
      </c>
      <c r="G1993" s="18" t="str">
        <f>VLOOKUP($C1993,'SILENT PIPE'!$K$3:$M2469,3,0)</f>
        <v/>
      </c>
      <c r="H1993" s="320"/>
      <c r="I1993" s="320"/>
      <c r="J1993" s="320"/>
      <c r="K1993" s="320"/>
      <c r="L1993" s="320"/>
      <c r="M1993" s="320"/>
      <c r="N1993" s="320"/>
      <c r="O1993" s="320"/>
    </row>
    <row r="1994">
      <c r="A1994" s="32">
        <f t="shared" si="1"/>
        <v>1993</v>
      </c>
      <c r="B1994" s="9" t="s">
        <v>4038</v>
      </c>
      <c r="C1994" s="500" t="s">
        <v>4063</v>
      </c>
      <c r="D1994" s="668" t="s">
        <v>4062</v>
      </c>
      <c r="E1994" s="18">
        <f>VLOOKUP($C1994,'SILENT PIPE'!$K$3:$M2469,2,0)</f>
        <v>1.85</v>
      </c>
      <c r="F1994" s="523" t="s">
        <v>1088</v>
      </c>
      <c r="G1994" s="18" t="str">
        <f>VLOOKUP($C1994,'SILENT PIPE'!$K$3:$M2469,3,0)</f>
        <v/>
      </c>
      <c r="H1994" s="320"/>
      <c r="I1994" s="320"/>
      <c r="J1994" s="320"/>
      <c r="K1994" s="320"/>
      <c r="L1994" s="320"/>
      <c r="M1994" s="320"/>
      <c r="N1994" s="320"/>
      <c r="O1994" s="320"/>
    </row>
    <row r="1995">
      <c r="A1995" s="32">
        <f t="shared" si="1"/>
        <v>1994</v>
      </c>
      <c r="B1995" s="9" t="s">
        <v>4038</v>
      </c>
      <c r="C1995" s="500" t="s">
        <v>4064</v>
      </c>
      <c r="D1995" s="668" t="s">
        <v>4062</v>
      </c>
      <c r="E1995" s="18">
        <f>VLOOKUP($C1995,'SILENT PIPE'!$K$3:$M2469,2,0)</f>
        <v>0.37</v>
      </c>
      <c r="F1995" s="523" t="s">
        <v>1088</v>
      </c>
      <c r="G1995" s="18" t="str">
        <f>VLOOKUP($C1995,'SILENT PIPE'!$K$3:$M2469,3,0)</f>
        <v/>
      </c>
      <c r="H1995" s="320"/>
      <c r="I1995" s="320"/>
      <c r="J1995" s="320"/>
      <c r="K1995" s="320"/>
      <c r="L1995" s="320"/>
      <c r="M1995" s="320"/>
      <c r="N1995" s="320"/>
      <c r="O1995" s="320"/>
    </row>
    <row r="1996">
      <c r="A1996" s="32">
        <f t="shared" si="1"/>
        <v>1995</v>
      </c>
      <c r="B1996" s="9" t="s">
        <v>4038</v>
      </c>
      <c r="C1996" s="500" t="s">
        <v>4065</v>
      </c>
      <c r="D1996" s="668" t="s">
        <v>4062</v>
      </c>
      <c r="E1996" s="18">
        <f>VLOOKUP($C1996,'SILENT PIPE'!$K$3:$M2469,2,0)</f>
        <v>0.37</v>
      </c>
      <c r="F1996" s="523" t="s">
        <v>1088</v>
      </c>
      <c r="G1996" s="18" t="str">
        <f>VLOOKUP($C1996,'SILENT PIPE'!$K$3:$M2469,3,0)</f>
        <v/>
      </c>
      <c r="H1996" s="320"/>
      <c r="I1996" s="320"/>
      <c r="J1996" s="320"/>
      <c r="K1996" s="320"/>
      <c r="L1996" s="320"/>
      <c r="M1996" s="320"/>
      <c r="N1996" s="320"/>
      <c r="O1996" s="320"/>
    </row>
    <row r="1997">
      <c r="A1997" s="32">
        <f t="shared" si="1"/>
        <v>1996</v>
      </c>
      <c r="B1997" s="9" t="s">
        <v>4038</v>
      </c>
      <c r="C1997" s="500" t="s">
        <v>4066</v>
      </c>
      <c r="D1997" s="668" t="s">
        <v>4062</v>
      </c>
      <c r="E1997" s="18">
        <f>VLOOKUP($C1997,'SILENT PIPE'!$K$3:$M2469,2,0)</f>
        <v>0.555</v>
      </c>
      <c r="F1997" s="523" t="s">
        <v>1088</v>
      </c>
      <c r="G1997" s="18" t="str">
        <f>VLOOKUP($C1997,'SILENT PIPE'!$K$3:$M2469,3,0)</f>
        <v/>
      </c>
      <c r="H1997" s="320"/>
      <c r="I1997" s="320"/>
      <c r="J1997" s="320"/>
      <c r="K1997" s="320"/>
      <c r="L1997" s="320"/>
      <c r="M1997" s="320"/>
      <c r="N1997" s="320"/>
      <c r="O1997" s="320"/>
    </row>
    <row r="1998">
      <c r="A1998" s="32">
        <f t="shared" si="1"/>
        <v>1997</v>
      </c>
      <c r="B1998" s="9" t="s">
        <v>4038</v>
      </c>
      <c r="C1998" s="500" t="s">
        <v>4067</v>
      </c>
      <c r="D1998" s="668" t="s">
        <v>4062</v>
      </c>
      <c r="E1998" s="18">
        <f>VLOOKUP($C1998,'SILENT PIPE'!$K$3:$M2469,2,0)</f>
        <v>0.555</v>
      </c>
      <c r="F1998" s="523" t="s">
        <v>1088</v>
      </c>
      <c r="G1998" s="18" t="str">
        <f>VLOOKUP($C1998,'SILENT PIPE'!$K$3:$M2469,3,0)</f>
        <v/>
      </c>
      <c r="H1998" s="320"/>
      <c r="I1998" s="320"/>
      <c r="J1998" s="320"/>
      <c r="K1998" s="320"/>
      <c r="L1998" s="320"/>
      <c r="M1998" s="320"/>
      <c r="N1998" s="320"/>
      <c r="O1998" s="320"/>
    </row>
    <row r="1999">
      <c r="A1999" s="32">
        <f t="shared" si="1"/>
        <v>1998</v>
      </c>
      <c r="B1999" s="9" t="s">
        <v>4038</v>
      </c>
      <c r="C1999" s="500" t="s">
        <v>4068</v>
      </c>
      <c r="D1999" s="668" t="s">
        <v>4062</v>
      </c>
      <c r="E1999" s="18">
        <f>VLOOKUP($C1999,'SILENT PIPE'!$K$3:$M2469,2,0)</f>
        <v>0.74</v>
      </c>
      <c r="F1999" s="523" t="s">
        <v>1088</v>
      </c>
      <c r="G1999" s="18" t="str">
        <f>VLOOKUP($C1999,'SILENT PIPE'!$K$3:$M2469,3,0)</f>
        <v/>
      </c>
      <c r="H1999" s="320"/>
      <c r="I1999" s="320"/>
      <c r="J1999" s="320"/>
      <c r="K1999" s="320"/>
      <c r="L1999" s="320"/>
      <c r="M1999" s="320"/>
      <c r="N1999" s="320"/>
      <c r="O1999" s="320"/>
    </row>
    <row r="2000">
      <c r="A2000" s="32">
        <f t="shared" si="1"/>
        <v>1999</v>
      </c>
      <c r="B2000" s="9" t="s">
        <v>4038</v>
      </c>
      <c r="C2000" s="500" t="s">
        <v>4069</v>
      </c>
      <c r="D2000" s="668" t="s">
        <v>4062</v>
      </c>
      <c r="E2000" s="18">
        <f>VLOOKUP($C2000,'SILENT PIPE'!$K$3:$M2469,2,0)</f>
        <v>0.74</v>
      </c>
      <c r="F2000" s="523" t="s">
        <v>1088</v>
      </c>
      <c r="G2000" s="18" t="str">
        <f>VLOOKUP($C2000,'SILENT PIPE'!$K$3:$M2469,3,0)</f>
        <v/>
      </c>
      <c r="H2000" s="320"/>
      <c r="I2000" s="320"/>
      <c r="J2000" s="320"/>
      <c r="K2000" s="320"/>
      <c r="L2000" s="320"/>
      <c r="M2000" s="320"/>
      <c r="N2000" s="320"/>
      <c r="O2000" s="320"/>
    </row>
    <row r="2001">
      <c r="A2001" s="32">
        <f t="shared" si="1"/>
        <v>2000</v>
      </c>
      <c r="B2001" s="9" t="s">
        <v>4038</v>
      </c>
      <c r="C2001" s="500" t="s">
        <v>4070</v>
      </c>
      <c r="D2001" s="668" t="s">
        <v>4062</v>
      </c>
      <c r="E2001" s="18">
        <f>VLOOKUP($C2001,'SILENT PIPE'!$K$3:$M2469,2,0)</f>
        <v>1.11</v>
      </c>
      <c r="F2001" s="523" t="s">
        <v>1088</v>
      </c>
      <c r="G2001" s="18" t="str">
        <f>VLOOKUP($C2001,'SILENT PIPE'!$K$3:$M2469,3,0)</f>
        <v/>
      </c>
      <c r="H2001" s="320"/>
      <c r="I2001" s="320"/>
      <c r="J2001" s="320"/>
      <c r="K2001" s="320"/>
      <c r="L2001" s="320"/>
      <c r="M2001" s="320"/>
      <c r="N2001" s="320"/>
      <c r="O2001" s="320"/>
    </row>
    <row r="2002">
      <c r="A2002" s="32">
        <f t="shared" si="1"/>
        <v>2001</v>
      </c>
      <c r="B2002" s="9" t="s">
        <v>4038</v>
      </c>
      <c r="C2002" s="500" t="s">
        <v>4071</v>
      </c>
      <c r="D2002" s="668" t="s">
        <v>4062</v>
      </c>
      <c r="E2002" s="18">
        <f>VLOOKUP($C2002,'SILENT PIPE'!$K$3:$M2469,2,0)</f>
        <v>1.11</v>
      </c>
      <c r="F2002" s="523" t="s">
        <v>1088</v>
      </c>
      <c r="G2002" s="18" t="str">
        <f>VLOOKUP($C2002,'SILENT PIPE'!$K$3:$M2469,3,0)</f>
        <v/>
      </c>
      <c r="H2002" s="320"/>
      <c r="I2002" s="320"/>
      <c r="J2002" s="320"/>
      <c r="K2002" s="320"/>
      <c r="L2002" s="320"/>
      <c r="M2002" s="320"/>
      <c r="N2002" s="320"/>
      <c r="O2002" s="320"/>
    </row>
    <row r="2003">
      <c r="A2003" s="32">
        <f t="shared" si="1"/>
        <v>2002</v>
      </c>
      <c r="B2003" s="9" t="s">
        <v>4038</v>
      </c>
      <c r="C2003" s="500" t="s">
        <v>4072</v>
      </c>
      <c r="D2003" s="668" t="s">
        <v>4073</v>
      </c>
      <c r="E2003" s="596">
        <f>VLOOKUP($C2003,'SILENT PIPE'!$N$3:$P2469,2,0)</f>
        <v>3.25</v>
      </c>
      <c r="F2003" s="656" t="s">
        <v>1088</v>
      </c>
      <c r="G2003" s="296" t="str">
        <f>VLOOKUP($C2003,'SILENT PIPE'!$N$3:$P2469,3,0)</f>
        <v/>
      </c>
      <c r="H2003" s="320"/>
      <c r="I2003" s="320"/>
      <c r="J2003" s="320"/>
      <c r="K2003" s="320"/>
      <c r="L2003" s="320"/>
      <c r="M2003" s="320"/>
      <c r="N2003" s="320"/>
      <c r="O2003" s="320"/>
    </row>
    <row r="2004">
      <c r="A2004" s="32">
        <f t="shared" si="1"/>
        <v>2003</v>
      </c>
      <c r="B2004" s="9" t="s">
        <v>4038</v>
      </c>
      <c r="C2004" s="500" t="s">
        <v>4074</v>
      </c>
      <c r="D2004" s="668" t="s">
        <v>4073</v>
      </c>
      <c r="E2004" s="18">
        <f>VLOOKUP($C2004,'SILENT PIPE'!$N$3:$P2469,2,0)</f>
        <v>3.25</v>
      </c>
      <c r="F2004" s="523" t="s">
        <v>1088</v>
      </c>
      <c r="G2004" s="18" t="str">
        <f>VLOOKUP($C2004,'SILENT PIPE'!$N$3:$P2469,3,0)</f>
        <v/>
      </c>
      <c r="H2004" s="320"/>
      <c r="I2004" s="320"/>
      <c r="J2004" s="320"/>
      <c r="K2004" s="320"/>
      <c r="L2004" s="320"/>
      <c r="M2004" s="320"/>
      <c r="N2004" s="320"/>
      <c r="O2004" s="320"/>
    </row>
    <row r="2005">
      <c r="A2005" s="32">
        <f t="shared" si="1"/>
        <v>2004</v>
      </c>
      <c r="B2005" s="9" t="s">
        <v>4038</v>
      </c>
      <c r="C2005" s="500" t="s">
        <v>4075</v>
      </c>
      <c r="D2005" s="668" t="s">
        <v>4073</v>
      </c>
      <c r="E2005" s="18">
        <f>VLOOKUP($C2005,'SILENT PIPE'!$N$3:$P2469,2,0)</f>
        <v>0.65</v>
      </c>
      <c r="F2005" s="523" t="s">
        <v>1088</v>
      </c>
      <c r="G2005" s="18" t="str">
        <f>VLOOKUP($C2005,'SILENT PIPE'!$N$3:$P2469,3,0)</f>
        <v/>
      </c>
      <c r="H2005" s="320"/>
      <c r="I2005" s="320"/>
      <c r="J2005" s="320"/>
      <c r="K2005" s="320"/>
      <c r="L2005" s="320"/>
      <c r="M2005" s="320"/>
      <c r="N2005" s="320"/>
      <c r="O2005" s="320"/>
    </row>
    <row r="2006">
      <c r="A2006" s="32">
        <f t="shared" si="1"/>
        <v>2005</v>
      </c>
      <c r="B2006" s="9" t="s">
        <v>4038</v>
      </c>
      <c r="C2006" s="500" t="s">
        <v>4076</v>
      </c>
      <c r="D2006" s="668" t="s">
        <v>4073</v>
      </c>
      <c r="E2006" s="18">
        <f>VLOOKUP($C2006,'SILENT PIPE'!$N$3:$P2469,2,0)</f>
        <v>0.65</v>
      </c>
      <c r="F2006" s="523" t="s">
        <v>1088</v>
      </c>
      <c r="G2006" s="18" t="str">
        <f>VLOOKUP($C2006,'SILENT PIPE'!$N$3:$P2469,3,0)</f>
        <v/>
      </c>
      <c r="H2006" s="320"/>
      <c r="I2006" s="320"/>
      <c r="J2006" s="320"/>
      <c r="K2006" s="320"/>
      <c r="L2006" s="320"/>
      <c r="M2006" s="320"/>
      <c r="N2006" s="320"/>
      <c r="O2006" s="320"/>
    </row>
    <row r="2007">
      <c r="A2007" s="32">
        <f t="shared" si="1"/>
        <v>2006</v>
      </c>
      <c r="B2007" s="9" t="s">
        <v>4038</v>
      </c>
      <c r="C2007" s="500" t="s">
        <v>4077</v>
      </c>
      <c r="D2007" s="668" t="s">
        <v>4073</v>
      </c>
      <c r="E2007" s="18">
        <f>VLOOKUP($C2007,'SILENT PIPE'!$N$3:$P2469,2,0)</f>
        <v>0.975</v>
      </c>
      <c r="F2007" s="523" t="s">
        <v>1088</v>
      </c>
      <c r="G2007" s="18" t="str">
        <f>VLOOKUP($C2007,'SILENT PIPE'!$N$3:$P2469,3,0)</f>
        <v/>
      </c>
      <c r="H2007" s="320"/>
      <c r="I2007" s="320"/>
      <c r="J2007" s="320"/>
      <c r="K2007" s="320"/>
      <c r="L2007" s="320"/>
      <c r="M2007" s="320"/>
      <c r="N2007" s="320"/>
      <c r="O2007" s="320"/>
    </row>
    <row r="2008">
      <c r="A2008" s="32">
        <f t="shared" si="1"/>
        <v>2007</v>
      </c>
      <c r="B2008" s="9" t="s">
        <v>4038</v>
      </c>
      <c r="C2008" s="500" t="s">
        <v>4078</v>
      </c>
      <c r="D2008" s="668" t="s">
        <v>4073</v>
      </c>
      <c r="E2008" s="18">
        <f>VLOOKUP($C2008,'SILENT PIPE'!$N$3:$P2469,2,0)</f>
        <v>0.975</v>
      </c>
      <c r="F2008" s="523" t="s">
        <v>1088</v>
      </c>
      <c r="G2008" s="18" t="str">
        <f>VLOOKUP($C2008,'SILENT PIPE'!$N$3:$P2469,3,0)</f>
        <v/>
      </c>
      <c r="H2008" s="320"/>
      <c r="I2008" s="320"/>
      <c r="J2008" s="320"/>
      <c r="K2008" s="320"/>
      <c r="L2008" s="320"/>
      <c r="M2008" s="320"/>
      <c r="N2008" s="320"/>
      <c r="O2008" s="320"/>
    </row>
    <row r="2009">
      <c r="A2009" s="32">
        <f t="shared" si="1"/>
        <v>2008</v>
      </c>
      <c r="B2009" s="9" t="s">
        <v>4038</v>
      </c>
      <c r="C2009" s="500" t="s">
        <v>4079</v>
      </c>
      <c r="D2009" s="668" t="s">
        <v>4073</v>
      </c>
      <c r="E2009" s="18">
        <f>VLOOKUP($C2009,'SILENT PIPE'!$N$3:$P2469,2,0)</f>
        <v>1.3</v>
      </c>
      <c r="F2009" s="523" t="s">
        <v>1088</v>
      </c>
      <c r="G2009" s="18" t="str">
        <f>VLOOKUP($C2009,'SILENT PIPE'!$N$3:$P2469,3,0)</f>
        <v/>
      </c>
      <c r="H2009" s="320"/>
      <c r="I2009" s="320"/>
      <c r="J2009" s="320"/>
      <c r="K2009" s="320"/>
      <c r="L2009" s="320"/>
      <c r="M2009" s="320"/>
      <c r="N2009" s="320"/>
      <c r="O2009" s="320"/>
    </row>
    <row r="2010">
      <c r="A2010" s="32">
        <f t="shared" si="1"/>
        <v>2009</v>
      </c>
      <c r="B2010" s="9" t="s">
        <v>4038</v>
      </c>
      <c r="C2010" s="500" t="s">
        <v>4080</v>
      </c>
      <c r="D2010" s="668" t="s">
        <v>4073</v>
      </c>
      <c r="E2010" s="18">
        <f>VLOOKUP($C2010,'SILENT PIPE'!$N$3:$P2469,2,0)</f>
        <v>1.3</v>
      </c>
      <c r="F2010" s="523" t="s">
        <v>1088</v>
      </c>
      <c r="G2010" s="18" t="str">
        <f>VLOOKUP($C2010,'SILENT PIPE'!$N$3:$P2469,3,0)</f>
        <v/>
      </c>
      <c r="H2010" s="320"/>
      <c r="I2010" s="320"/>
      <c r="J2010" s="320"/>
      <c r="K2010" s="320"/>
      <c r="L2010" s="320"/>
      <c r="M2010" s="320"/>
      <c r="N2010" s="320"/>
      <c r="O2010" s="320"/>
    </row>
    <row r="2011">
      <c r="A2011" s="32">
        <f t="shared" si="1"/>
        <v>2010</v>
      </c>
      <c r="B2011" s="9" t="s">
        <v>4038</v>
      </c>
      <c r="C2011" s="500" t="s">
        <v>4081</v>
      </c>
      <c r="D2011" s="668" t="s">
        <v>4073</v>
      </c>
      <c r="E2011" s="18">
        <f>VLOOKUP($C2011,'SILENT PIPE'!$N$3:$P2469,2,0)</f>
        <v>1.95</v>
      </c>
      <c r="F2011" s="523" t="s">
        <v>1088</v>
      </c>
      <c r="G2011" s="18" t="str">
        <f>VLOOKUP($C2011,'SILENT PIPE'!$N$3:$P2469,3,0)</f>
        <v/>
      </c>
      <c r="H2011" s="320"/>
      <c r="I2011" s="320"/>
      <c r="J2011" s="320"/>
      <c r="K2011" s="320"/>
      <c r="L2011" s="320"/>
      <c r="M2011" s="320"/>
      <c r="N2011" s="320"/>
      <c r="O2011" s="320"/>
    </row>
    <row r="2012">
      <c r="A2012" s="32">
        <f t="shared" si="1"/>
        <v>2011</v>
      </c>
      <c r="B2012" s="9" t="s">
        <v>4038</v>
      </c>
      <c r="C2012" s="500" t="s">
        <v>4082</v>
      </c>
      <c r="D2012" s="668" t="s">
        <v>4073</v>
      </c>
      <c r="E2012" s="18">
        <f>VLOOKUP($C2012,'SILENT PIPE'!$N$3:$P2469,2,0)</f>
        <v>1.95</v>
      </c>
      <c r="F2012" s="523" t="s">
        <v>1088</v>
      </c>
      <c r="G2012" s="18" t="str">
        <f>VLOOKUP($C2012,'SILENT PIPE'!$N$3:$P2469,3,0)</f>
        <v/>
      </c>
      <c r="H2012" s="320"/>
      <c r="I2012" s="320"/>
      <c r="J2012" s="320"/>
      <c r="K2012" s="320"/>
      <c r="L2012" s="320"/>
      <c r="M2012" s="320"/>
      <c r="N2012" s="320"/>
      <c r="O2012" s="320"/>
    </row>
    <row r="2013">
      <c r="A2013" s="32">
        <f t="shared" si="1"/>
        <v>2012</v>
      </c>
      <c r="B2013" s="9" t="s">
        <v>4038</v>
      </c>
      <c r="C2013" s="500" t="s">
        <v>4083</v>
      </c>
      <c r="D2013" s="668" t="s">
        <v>4084</v>
      </c>
      <c r="E2013" s="596">
        <f>VLOOKUP($C2013,'SILENT PIPE'!$Q$3:$S2469,2,0)</f>
        <v>7.7</v>
      </c>
      <c r="F2013" s="656" t="s">
        <v>1088</v>
      </c>
      <c r="G2013" s="296" t="str">
        <f>VLOOKUP($C2013,'SILENT PIPE'!$Q$3:$S2469,3,0)</f>
        <v/>
      </c>
      <c r="H2013" s="320"/>
      <c r="I2013" s="320"/>
      <c r="J2013" s="320"/>
      <c r="K2013" s="320"/>
      <c r="L2013" s="320"/>
      <c r="M2013" s="320"/>
      <c r="N2013" s="320"/>
      <c r="O2013" s="320"/>
    </row>
    <row r="2014">
      <c r="A2014" s="32">
        <f t="shared" si="1"/>
        <v>2013</v>
      </c>
      <c r="B2014" s="9" t="s">
        <v>4038</v>
      </c>
      <c r="C2014" s="500" t="s">
        <v>4085</v>
      </c>
      <c r="D2014" s="668" t="s">
        <v>4084</v>
      </c>
      <c r="E2014" s="596">
        <f>VLOOKUP($C2014,'SILENT PIPE'!$Q$3:$S2469,2,0)</f>
        <v>7.7</v>
      </c>
      <c r="F2014" s="656" t="s">
        <v>1088</v>
      </c>
      <c r="G2014" s="296" t="str">
        <f>VLOOKUP($C2014,'SILENT PIPE'!$Q$3:$S2469,3,0)</f>
        <v/>
      </c>
      <c r="H2014" s="320"/>
      <c r="I2014" s="320"/>
      <c r="J2014" s="320"/>
      <c r="K2014" s="320"/>
      <c r="L2014" s="320"/>
      <c r="M2014" s="320"/>
      <c r="N2014" s="320"/>
      <c r="O2014" s="320"/>
    </row>
    <row r="2015">
      <c r="A2015" s="32">
        <f t="shared" si="1"/>
        <v>2014</v>
      </c>
      <c r="B2015" s="9" t="s">
        <v>4038</v>
      </c>
      <c r="C2015" s="500" t="s">
        <v>4086</v>
      </c>
      <c r="D2015" s="668" t="s">
        <v>4084</v>
      </c>
      <c r="E2015" s="596">
        <f>VLOOKUP($C2015,'SILENT PIPE'!$Q$3:$S2469,2,0)</f>
        <v>1.54</v>
      </c>
      <c r="F2015" s="656" t="s">
        <v>1088</v>
      </c>
      <c r="G2015" s="296" t="str">
        <f>VLOOKUP($C2015,'SILENT PIPE'!$Q$3:$S2469,3,0)</f>
        <v/>
      </c>
      <c r="H2015" s="320"/>
      <c r="I2015" s="320"/>
      <c r="J2015" s="320"/>
      <c r="K2015" s="320"/>
      <c r="L2015" s="320"/>
      <c r="M2015" s="320"/>
      <c r="N2015" s="320"/>
      <c r="O2015" s="320"/>
    </row>
    <row r="2016">
      <c r="A2016" s="32">
        <f t="shared" si="1"/>
        <v>2015</v>
      </c>
      <c r="B2016" s="9" t="s">
        <v>4038</v>
      </c>
      <c r="C2016" s="500" t="s">
        <v>4087</v>
      </c>
      <c r="D2016" s="668" t="s">
        <v>4084</v>
      </c>
      <c r="E2016" s="596">
        <f>VLOOKUP($C2016,'SILENT PIPE'!$Q$3:$S2469,2,0)</f>
        <v>1.54</v>
      </c>
      <c r="F2016" s="656" t="s">
        <v>1088</v>
      </c>
      <c r="G2016" s="296" t="str">
        <f>VLOOKUP($C2016,'SILENT PIPE'!$Q$3:$S2469,3,0)</f>
        <v/>
      </c>
      <c r="H2016" s="320"/>
      <c r="I2016" s="320"/>
      <c r="J2016" s="320"/>
      <c r="K2016" s="320"/>
      <c r="L2016" s="320"/>
      <c r="M2016" s="320"/>
      <c r="N2016" s="320"/>
      <c r="O2016" s="320"/>
    </row>
    <row r="2017">
      <c r="A2017" s="32">
        <f t="shared" si="1"/>
        <v>2016</v>
      </c>
      <c r="B2017" s="9" t="s">
        <v>4038</v>
      </c>
      <c r="C2017" s="500" t="s">
        <v>4088</v>
      </c>
      <c r="D2017" s="668" t="s">
        <v>4084</v>
      </c>
      <c r="E2017" s="596">
        <f>VLOOKUP($C2017,'SILENT PIPE'!$Q$3:$S2469,2,0)</f>
        <v>2.31</v>
      </c>
      <c r="F2017" s="656" t="s">
        <v>1088</v>
      </c>
      <c r="G2017" s="296" t="str">
        <f>VLOOKUP($C2017,'SILENT PIPE'!$Q$3:$S2469,3,0)</f>
        <v/>
      </c>
      <c r="H2017" s="320"/>
      <c r="I2017" s="320"/>
      <c r="J2017" s="320"/>
      <c r="K2017" s="320"/>
      <c r="L2017" s="320"/>
      <c r="M2017" s="320"/>
      <c r="N2017" s="320"/>
      <c r="O2017" s="320"/>
    </row>
    <row r="2018">
      <c r="A2018" s="32">
        <f t="shared" si="1"/>
        <v>2017</v>
      </c>
      <c r="B2018" s="9" t="s">
        <v>4038</v>
      </c>
      <c r="C2018" s="500" t="s">
        <v>4089</v>
      </c>
      <c r="D2018" s="668" t="s">
        <v>4084</v>
      </c>
      <c r="E2018" s="596">
        <f>VLOOKUP($C2018,'SILENT PIPE'!$Q$3:$S2469,2,0)</f>
        <v>2.31</v>
      </c>
      <c r="F2018" s="656" t="s">
        <v>1088</v>
      </c>
      <c r="G2018" s="296" t="str">
        <f>VLOOKUP($C2018,'SILENT PIPE'!$Q$3:$S2469,3,0)</f>
        <v/>
      </c>
      <c r="H2018" s="320"/>
      <c r="I2018" s="320"/>
      <c r="J2018" s="320"/>
      <c r="K2018" s="320"/>
      <c r="L2018" s="320"/>
      <c r="M2018" s="320"/>
      <c r="N2018" s="320"/>
      <c r="O2018" s="320"/>
    </row>
    <row r="2019">
      <c r="A2019" s="32">
        <f t="shared" si="1"/>
        <v>2018</v>
      </c>
      <c r="B2019" s="9" t="s">
        <v>4038</v>
      </c>
      <c r="C2019" s="500" t="s">
        <v>4090</v>
      </c>
      <c r="D2019" s="668" t="s">
        <v>4084</v>
      </c>
      <c r="E2019" s="596">
        <f>VLOOKUP($C2019,'SILENT PIPE'!$Q$3:$S2469,2,0)</f>
        <v>3.08</v>
      </c>
      <c r="F2019" s="656" t="s">
        <v>1088</v>
      </c>
      <c r="G2019" s="296" t="str">
        <f>VLOOKUP($C2019,'SILENT PIPE'!$Q$3:$S2469,3,0)</f>
        <v/>
      </c>
      <c r="H2019" s="320"/>
      <c r="I2019" s="320"/>
      <c r="J2019" s="320"/>
      <c r="K2019" s="320"/>
      <c r="L2019" s="320"/>
      <c r="M2019" s="320"/>
      <c r="N2019" s="320"/>
      <c r="O2019" s="320"/>
    </row>
    <row r="2020">
      <c r="A2020" s="32">
        <f t="shared" si="1"/>
        <v>2019</v>
      </c>
      <c r="B2020" s="9" t="s">
        <v>4038</v>
      </c>
      <c r="C2020" s="500" t="s">
        <v>4091</v>
      </c>
      <c r="D2020" s="668" t="s">
        <v>4084</v>
      </c>
      <c r="E2020" s="596">
        <f>VLOOKUP($C2020,'SILENT PIPE'!$Q$3:$S2469,2,0)</f>
        <v>3.08</v>
      </c>
      <c r="F2020" s="656" t="s">
        <v>1088</v>
      </c>
      <c r="G2020" s="296" t="str">
        <f>VLOOKUP($C2020,'SILENT PIPE'!$Q$3:$S2469,3,0)</f>
        <v/>
      </c>
      <c r="H2020" s="320"/>
      <c r="I2020" s="320"/>
      <c r="J2020" s="320"/>
      <c r="K2020" s="320"/>
      <c r="L2020" s="320"/>
      <c r="M2020" s="320"/>
      <c r="N2020" s="320"/>
      <c r="O2020" s="320"/>
    </row>
    <row r="2021">
      <c r="A2021" s="32">
        <f t="shared" si="1"/>
        <v>2020</v>
      </c>
      <c r="B2021" s="9" t="s">
        <v>4038</v>
      </c>
      <c r="C2021" s="500" t="s">
        <v>4092</v>
      </c>
      <c r="D2021" s="668" t="s">
        <v>4084</v>
      </c>
      <c r="E2021" s="596">
        <f>VLOOKUP($C2021,'SILENT PIPE'!$Q$3:$S2469,2,0)</f>
        <v>4.62</v>
      </c>
      <c r="F2021" s="656" t="s">
        <v>1088</v>
      </c>
      <c r="G2021" s="296" t="str">
        <f>VLOOKUP($C2021,'SILENT PIPE'!$Q$3:$S2469,3,0)</f>
        <v/>
      </c>
      <c r="H2021" s="320"/>
      <c r="I2021" s="320"/>
      <c r="J2021" s="320"/>
      <c r="K2021" s="320"/>
      <c r="L2021" s="320"/>
      <c r="M2021" s="320"/>
      <c r="N2021" s="320"/>
      <c r="O2021" s="320"/>
    </row>
    <row r="2022">
      <c r="A2022" s="32">
        <f t="shared" si="1"/>
        <v>2021</v>
      </c>
      <c r="B2022" s="9" t="s">
        <v>4038</v>
      </c>
      <c r="C2022" s="500" t="s">
        <v>4093</v>
      </c>
      <c r="D2022" s="668" t="s">
        <v>4084</v>
      </c>
      <c r="E2022" s="596">
        <f>VLOOKUP($C2022,'SILENT PIPE'!$Q$3:$S2469,2,0)</f>
        <v>4.62</v>
      </c>
      <c r="F2022" s="656" t="s">
        <v>1088</v>
      </c>
      <c r="G2022" s="296" t="str">
        <f>VLOOKUP($C2022,'SILENT PIPE'!$Q$3:$S2469,3,0)</f>
        <v/>
      </c>
      <c r="H2022" s="320"/>
      <c r="I2022" s="320"/>
      <c r="J2022" s="320"/>
      <c r="K2022" s="320"/>
      <c r="L2022" s="320"/>
      <c r="M2022" s="320"/>
      <c r="N2022" s="320"/>
      <c r="O2022" s="320"/>
    </row>
    <row r="2023">
      <c r="A2023" s="32">
        <f t="shared" si="1"/>
        <v>2022</v>
      </c>
      <c r="B2023" s="9" t="s">
        <v>4038</v>
      </c>
      <c r="C2023" s="500" t="s">
        <v>4094</v>
      </c>
      <c r="D2023" s="668" t="s">
        <v>4095</v>
      </c>
      <c r="E2023" s="18">
        <f>VLOOKUP($C2023,'SILENT PIPE'!$E$3:$G2469,2,0)</f>
        <v>1.1</v>
      </c>
      <c r="F2023" s="523" t="s">
        <v>1088</v>
      </c>
      <c r="G2023" s="18" t="str">
        <f>VLOOKUP($C2023,'SILENT PIPE'!$E$3:$G2469,3,0)</f>
        <v/>
      </c>
      <c r="H2023" s="320"/>
      <c r="I2023" s="320"/>
      <c r="J2023" s="320"/>
      <c r="K2023" s="320"/>
      <c r="L2023" s="320"/>
      <c r="M2023" s="320"/>
      <c r="N2023" s="320"/>
      <c r="O2023" s="320"/>
    </row>
    <row r="2024">
      <c r="A2024" s="32">
        <f t="shared" si="1"/>
        <v>2023</v>
      </c>
      <c r="B2024" s="9" t="s">
        <v>4038</v>
      </c>
      <c r="C2024" s="500" t="s">
        <v>4096</v>
      </c>
      <c r="D2024" s="668" t="s">
        <v>4095</v>
      </c>
      <c r="E2024" s="18">
        <f>VLOOKUP($C2024,'SILENT PIPE'!$E$3:$G2469,2,0)</f>
        <v>1.1</v>
      </c>
      <c r="F2024" s="523" t="s">
        <v>1088</v>
      </c>
      <c r="G2024" s="18" t="str">
        <f>VLOOKUP($C2024,'SILENT PIPE'!$E$3:$G2469,3,0)</f>
        <v/>
      </c>
      <c r="H2024" s="320"/>
      <c r="I2024" s="320"/>
      <c r="J2024" s="320"/>
      <c r="K2024" s="320"/>
      <c r="L2024" s="320"/>
      <c r="M2024" s="320"/>
      <c r="N2024" s="320"/>
      <c r="O2024" s="320"/>
    </row>
    <row r="2025">
      <c r="A2025" s="32">
        <f t="shared" si="1"/>
        <v>2024</v>
      </c>
      <c r="B2025" s="9" t="s">
        <v>4038</v>
      </c>
      <c r="C2025" s="500" t="s">
        <v>4097</v>
      </c>
      <c r="D2025" s="668" t="s">
        <v>4095</v>
      </c>
      <c r="E2025" s="18">
        <f>VLOOKUP($C2025,'SILENT PIPE'!$E$3:$G2469,2,0)</f>
        <v>0.22</v>
      </c>
      <c r="F2025" s="523" t="s">
        <v>1088</v>
      </c>
      <c r="G2025" s="18" t="str">
        <f>VLOOKUP($C2025,'SILENT PIPE'!$E$3:$G2469,3,0)</f>
        <v/>
      </c>
      <c r="H2025" s="320"/>
      <c r="I2025" s="320"/>
      <c r="J2025" s="320"/>
      <c r="K2025" s="320"/>
      <c r="L2025" s="320"/>
      <c r="M2025" s="320"/>
      <c r="N2025" s="320"/>
      <c r="O2025" s="320"/>
    </row>
    <row r="2026">
      <c r="A2026" s="32">
        <f t="shared" si="1"/>
        <v>2025</v>
      </c>
      <c r="B2026" s="9" t="s">
        <v>4038</v>
      </c>
      <c r="C2026" s="500" t="s">
        <v>4098</v>
      </c>
      <c r="D2026" s="668" t="s">
        <v>4095</v>
      </c>
      <c r="E2026" s="18">
        <f>VLOOKUP($C2026,'SILENT PIPE'!$E$3:$G2469,2,0)</f>
        <v>0.22</v>
      </c>
      <c r="F2026" s="523" t="s">
        <v>1088</v>
      </c>
      <c r="G2026" s="18" t="str">
        <f>VLOOKUP($C2026,'SILENT PIPE'!$E$3:$G2469,3,0)</f>
        <v/>
      </c>
      <c r="H2026" s="320"/>
      <c r="I2026" s="320"/>
      <c r="J2026" s="320"/>
      <c r="K2026" s="320"/>
      <c r="L2026" s="320"/>
      <c r="M2026" s="320"/>
      <c r="N2026" s="320"/>
      <c r="O2026" s="320"/>
    </row>
    <row r="2027">
      <c r="A2027" s="32">
        <f t="shared" si="1"/>
        <v>2026</v>
      </c>
      <c r="B2027" s="9" t="s">
        <v>4038</v>
      </c>
      <c r="C2027" s="500" t="s">
        <v>4099</v>
      </c>
      <c r="D2027" s="668" t="s">
        <v>4095</v>
      </c>
      <c r="E2027" s="18">
        <f>VLOOKUP($C2027,'SILENT PIPE'!$E$3:$G2469,2,0)</f>
        <v>0.33</v>
      </c>
      <c r="F2027" s="523" t="s">
        <v>1088</v>
      </c>
      <c r="G2027" s="18" t="str">
        <f>VLOOKUP($C2027,'SILENT PIPE'!$E$3:$G2469,3,0)</f>
        <v/>
      </c>
      <c r="H2027" s="320"/>
      <c r="I2027" s="320"/>
      <c r="J2027" s="320"/>
      <c r="K2027" s="320"/>
      <c r="L2027" s="320"/>
      <c r="M2027" s="320"/>
      <c r="N2027" s="320"/>
      <c r="O2027" s="320"/>
    </row>
    <row r="2028">
      <c r="A2028" s="32">
        <f t="shared" si="1"/>
        <v>2027</v>
      </c>
      <c r="B2028" s="9" t="s">
        <v>4038</v>
      </c>
      <c r="C2028" s="500" t="s">
        <v>4100</v>
      </c>
      <c r="D2028" s="668" t="s">
        <v>4095</v>
      </c>
      <c r="E2028" s="18">
        <f>VLOOKUP($C2028,'SILENT PIPE'!$E$3:$G2469,2,0)</f>
        <v>0.33</v>
      </c>
      <c r="F2028" s="523" t="s">
        <v>1088</v>
      </c>
      <c r="G2028" s="18" t="str">
        <f>VLOOKUP($C2028,'SILENT PIPE'!$E$3:$G2469,3,0)</f>
        <v/>
      </c>
      <c r="H2028" s="320"/>
      <c r="I2028" s="320"/>
      <c r="J2028" s="320"/>
      <c r="K2028" s="320"/>
      <c r="L2028" s="320"/>
      <c r="M2028" s="320"/>
      <c r="N2028" s="320"/>
      <c r="O2028" s="320"/>
    </row>
    <row r="2029">
      <c r="A2029" s="32">
        <f t="shared" si="1"/>
        <v>2028</v>
      </c>
      <c r="B2029" s="9" t="s">
        <v>4038</v>
      </c>
      <c r="C2029" s="500" t="s">
        <v>4101</v>
      </c>
      <c r="D2029" s="668" t="s">
        <v>4095</v>
      </c>
      <c r="E2029" s="18">
        <f>VLOOKUP($C2029,'SILENT PIPE'!$E$3:$G2469,2,0)</f>
        <v>0.44</v>
      </c>
      <c r="F2029" s="523" t="s">
        <v>1088</v>
      </c>
      <c r="G2029" s="18" t="str">
        <f>VLOOKUP($C2029,'SILENT PIPE'!$E$3:$G2469,3,0)</f>
        <v/>
      </c>
      <c r="H2029" s="320"/>
      <c r="I2029" s="320"/>
      <c r="J2029" s="320"/>
      <c r="K2029" s="320"/>
      <c r="L2029" s="320"/>
      <c r="M2029" s="320"/>
      <c r="N2029" s="320"/>
      <c r="O2029" s="320"/>
    </row>
    <row r="2030">
      <c r="A2030" s="32">
        <f t="shared" si="1"/>
        <v>2029</v>
      </c>
      <c r="B2030" s="9" t="s">
        <v>4038</v>
      </c>
      <c r="C2030" s="500" t="s">
        <v>4102</v>
      </c>
      <c r="D2030" s="668" t="s">
        <v>4095</v>
      </c>
      <c r="E2030" s="18">
        <f>VLOOKUP($C2030,'SILENT PIPE'!$E$3:$G2469,2,0)</f>
        <v>0.44</v>
      </c>
      <c r="F2030" s="523" t="s">
        <v>1088</v>
      </c>
      <c r="G2030" s="18" t="str">
        <f>VLOOKUP($C2030,'SILENT PIPE'!$E$3:$G2469,3,0)</f>
        <v/>
      </c>
      <c r="H2030" s="320"/>
      <c r="I2030" s="320"/>
      <c r="J2030" s="320"/>
      <c r="K2030" s="320"/>
      <c r="L2030" s="320"/>
      <c r="M2030" s="320"/>
      <c r="N2030" s="320"/>
      <c r="O2030" s="320"/>
    </row>
    <row r="2031">
      <c r="A2031" s="32">
        <f t="shared" si="1"/>
        <v>2030</v>
      </c>
      <c r="B2031" s="9" t="s">
        <v>4038</v>
      </c>
      <c r="C2031" s="500" t="s">
        <v>4103</v>
      </c>
      <c r="D2031" s="668" t="s">
        <v>4095</v>
      </c>
      <c r="E2031" s="18">
        <f>VLOOKUP($C2031,'SILENT PIPE'!$E$3:$G2469,2,0)</f>
        <v>0.66</v>
      </c>
      <c r="F2031" s="523" t="s">
        <v>1088</v>
      </c>
      <c r="G2031" s="18" t="str">
        <f>VLOOKUP($C2031,'SILENT PIPE'!$E$3:$G2469,3,0)</f>
        <v/>
      </c>
      <c r="H2031" s="320"/>
      <c r="I2031" s="320"/>
      <c r="J2031" s="320"/>
      <c r="K2031" s="320"/>
      <c r="L2031" s="320"/>
      <c r="M2031" s="320"/>
      <c r="N2031" s="320"/>
      <c r="O2031" s="320"/>
    </row>
    <row r="2032">
      <c r="A2032" s="32">
        <f t="shared" si="1"/>
        <v>2031</v>
      </c>
      <c r="B2032" s="9" t="s">
        <v>4038</v>
      </c>
      <c r="C2032" s="500" t="s">
        <v>4104</v>
      </c>
      <c r="D2032" s="668" t="s">
        <v>4095</v>
      </c>
      <c r="E2032" s="18">
        <f>VLOOKUP($C2032,'SILENT PIPE'!$E$3:$G2469,2,0)</f>
        <v>0.66</v>
      </c>
      <c r="F2032" s="523" t="s">
        <v>1088</v>
      </c>
      <c r="G2032" s="18" t="str">
        <f>VLOOKUP($C2032,'SILENT PIPE'!$E$3:$G2469,3,0)</f>
        <v/>
      </c>
      <c r="H2032" s="320"/>
      <c r="I2032" s="320"/>
      <c r="J2032" s="320"/>
      <c r="K2032" s="320"/>
      <c r="L2032" s="320"/>
      <c r="M2032" s="320"/>
      <c r="N2032" s="320"/>
      <c r="O2032" s="320"/>
    </row>
    <row r="2033">
      <c r="A2033" s="32">
        <f t="shared" si="1"/>
        <v>2032</v>
      </c>
      <c r="B2033" s="9" t="s">
        <v>4038</v>
      </c>
      <c r="C2033" s="500" t="s">
        <v>4105</v>
      </c>
      <c r="D2033" s="668" t="s">
        <v>4106</v>
      </c>
      <c r="E2033" s="18">
        <f>VLOOKUP($C2033,'SILENT PIPE'!$H$3:$J2469,2,0)</f>
        <v>1.35</v>
      </c>
      <c r="F2033" s="523" t="s">
        <v>1088</v>
      </c>
      <c r="G2033" s="18" t="str">
        <f>VLOOKUP($C2033,'SILENT PIPE'!$H$3:$J2469,3,0)</f>
        <v/>
      </c>
      <c r="H2033" s="320"/>
      <c r="I2033" s="320"/>
      <c r="J2033" s="320"/>
      <c r="K2033" s="320"/>
      <c r="L2033" s="320"/>
      <c r="M2033" s="320"/>
      <c r="N2033" s="320"/>
      <c r="O2033" s="320"/>
    </row>
    <row r="2034">
      <c r="A2034" s="32">
        <f t="shared" si="1"/>
        <v>2033</v>
      </c>
      <c r="B2034" s="9" t="s">
        <v>4038</v>
      </c>
      <c r="C2034" s="500" t="s">
        <v>4107</v>
      </c>
      <c r="D2034" s="668" t="s">
        <v>4106</v>
      </c>
      <c r="E2034" s="18">
        <f>VLOOKUP($C2034,'SILENT PIPE'!$H$3:$J2469,2,0)</f>
        <v>1.35</v>
      </c>
      <c r="F2034" s="523" t="s">
        <v>1088</v>
      </c>
      <c r="G2034" s="18" t="str">
        <f>VLOOKUP($C2034,'SILENT PIPE'!$H$3:$J2469,3,0)</f>
        <v/>
      </c>
      <c r="H2034" s="320"/>
      <c r="I2034" s="320"/>
      <c r="J2034" s="320"/>
      <c r="K2034" s="320"/>
      <c r="L2034" s="320"/>
      <c r="M2034" s="320"/>
      <c r="N2034" s="320"/>
      <c r="O2034" s="320"/>
    </row>
    <row r="2035">
      <c r="A2035" s="32">
        <f t="shared" si="1"/>
        <v>2034</v>
      </c>
      <c r="B2035" s="9" t="s">
        <v>4038</v>
      </c>
      <c r="C2035" s="500" t="s">
        <v>4108</v>
      </c>
      <c r="D2035" s="668" t="s">
        <v>4106</v>
      </c>
      <c r="E2035" s="18">
        <f>VLOOKUP($C2035,'SILENT PIPE'!$H$3:$J2469,2,0)</f>
        <v>0.27</v>
      </c>
      <c r="F2035" s="523" t="s">
        <v>1088</v>
      </c>
      <c r="G2035" s="18" t="str">
        <f>VLOOKUP($C2035,'SILENT PIPE'!$H$3:$J2469,3,0)</f>
        <v/>
      </c>
      <c r="H2035" s="320"/>
      <c r="I2035" s="320"/>
      <c r="J2035" s="320"/>
      <c r="K2035" s="320"/>
      <c r="L2035" s="320"/>
      <c r="M2035" s="320"/>
      <c r="N2035" s="320"/>
      <c r="O2035" s="320"/>
    </row>
    <row r="2036">
      <c r="A2036" s="32">
        <f t="shared" si="1"/>
        <v>2035</v>
      </c>
      <c r="B2036" s="9" t="s">
        <v>4038</v>
      </c>
      <c r="C2036" s="500" t="s">
        <v>4109</v>
      </c>
      <c r="D2036" s="668" t="s">
        <v>4106</v>
      </c>
      <c r="E2036" s="18">
        <f>VLOOKUP($C2036,'SILENT PIPE'!$H$3:$J2469,2,0)</f>
        <v>0.27</v>
      </c>
      <c r="F2036" s="523" t="s">
        <v>1088</v>
      </c>
      <c r="G2036" s="18" t="str">
        <f>VLOOKUP($C2036,'SILENT PIPE'!$H$3:$J2469,3,0)</f>
        <v/>
      </c>
      <c r="H2036" s="320"/>
      <c r="I2036" s="320"/>
      <c r="J2036" s="320"/>
      <c r="K2036" s="320"/>
      <c r="L2036" s="320"/>
      <c r="M2036" s="320"/>
      <c r="N2036" s="320"/>
      <c r="O2036" s="320"/>
    </row>
    <row r="2037">
      <c r="A2037" s="32">
        <f t="shared" si="1"/>
        <v>2036</v>
      </c>
      <c r="B2037" s="9" t="s">
        <v>4038</v>
      </c>
      <c r="C2037" s="500" t="s">
        <v>4110</v>
      </c>
      <c r="D2037" s="668" t="s">
        <v>4106</v>
      </c>
      <c r="E2037" s="18">
        <f>VLOOKUP($C2037,'SILENT PIPE'!$H$3:$J2469,2,0)</f>
        <v>0.405</v>
      </c>
      <c r="F2037" s="523" t="s">
        <v>1088</v>
      </c>
      <c r="G2037" s="18" t="str">
        <f>VLOOKUP($C2037,'SILENT PIPE'!$H$3:$J2469,3,0)</f>
        <v/>
      </c>
      <c r="H2037" s="320"/>
      <c r="I2037" s="320"/>
      <c r="J2037" s="320"/>
      <c r="K2037" s="320"/>
      <c r="L2037" s="320"/>
      <c r="M2037" s="320"/>
      <c r="N2037" s="320"/>
      <c r="O2037" s="320"/>
    </row>
    <row r="2038">
      <c r="A2038" s="32">
        <f t="shared" si="1"/>
        <v>2037</v>
      </c>
      <c r="B2038" s="9" t="s">
        <v>4038</v>
      </c>
      <c r="C2038" s="500" t="s">
        <v>4111</v>
      </c>
      <c r="D2038" s="668" t="s">
        <v>4106</v>
      </c>
      <c r="E2038" s="18">
        <f>VLOOKUP($C2038,'SILENT PIPE'!$H$3:$J2469,2,0)</f>
        <v>0.405</v>
      </c>
      <c r="F2038" s="523" t="s">
        <v>1088</v>
      </c>
      <c r="G2038" s="18" t="str">
        <f>VLOOKUP($C2038,'SILENT PIPE'!$H$3:$J2469,3,0)</f>
        <v/>
      </c>
      <c r="H2038" s="320"/>
      <c r="I2038" s="320"/>
      <c r="J2038" s="320"/>
      <c r="K2038" s="320"/>
      <c r="L2038" s="320"/>
      <c r="M2038" s="320"/>
      <c r="N2038" s="320"/>
      <c r="O2038" s="320"/>
    </row>
    <row r="2039">
      <c r="A2039" s="32">
        <f t="shared" si="1"/>
        <v>2038</v>
      </c>
      <c r="B2039" s="9" t="s">
        <v>4038</v>
      </c>
      <c r="C2039" s="500" t="s">
        <v>4112</v>
      </c>
      <c r="D2039" s="668" t="s">
        <v>4106</v>
      </c>
      <c r="E2039" s="18">
        <f>VLOOKUP($C2039,'SILENT PIPE'!$H$3:$J2469,2,0)</f>
        <v>0.54</v>
      </c>
      <c r="F2039" s="523" t="s">
        <v>1088</v>
      </c>
      <c r="G2039" s="18" t="str">
        <f>VLOOKUP($C2039,'SILENT PIPE'!$H$3:$J2469,3,0)</f>
        <v/>
      </c>
      <c r="H2039" s="320"/>
      <c r="I2039" s="320"/>
      <c r="J2039" s="320"/>
      <c r="K2039" s="320"/>
      <c r="L2039" s="320"/>
      <c r="M2039" s="320"/>
      <c r="N2039" s="320"/>
      <c r="O2039" s="320"/>
    </row>
    <row r="2040">
      <c r="A2040" s="32">
        <f t="shared" si="1"/>
        <v>2039</v>
      </c>
      <c r="B2040" s="9" t="s">
        <v>4038</v>
      </c>
      <c r="C2040" s="500" t="s">
        <v>4113</v>
      </c>
      <c r="D2040" s="668" t="s">
        <v>4106</v>
      </c>
      <c r="E2040" s="18">
        <f>VLOOKUP($C2040,'SILENT PIPE'!$H$3:$J2469,2,0)</f>
        <v>0.54</v>
      </c>
      <c r="F2040" s="523" t="s">
        <v>1088</v>
      </c>
      <c r="G2040" s="18" t="str">
        <f>VLOOKUP($C2040,'SILENT PIPE'!$H$3:$J2469,3,0)</f>
        <v/>
      </c>
      <c r="H2040" s="320"/>
      <c r="I2040" s="320"/>
      <c r="J2040" s="320"/>
      <c r="K2040" s="320"/>
      <c r="L2040" s="320"/>
      <c r="M2040" s="320"/>
      <c r="N2040" s="320"/>
      <c r="O2040" s="320"/>
    </row>
    <row r="2041">
      <c r="A2041" s="32">
        <f t="shared" si="1"/>
        <v>2040</v>
      </c>
      <c r="B2041" s="9" t="s">
        <v>4038</v>
      </c>
      <c r="C2041" s="500" t="s">
        <v>4114</v>
      </c>
      <c r="D2041" s="668" t="s">
        <v>4106</v>
      </c>
      <c r="E2041" s="18">
        <f>VLOOKUP($C2041,'SILENT PIPE'!$H$3:$J2469,2,0)</f>
        <v>0.81</v>
      </c>
      <c r="F2041" s="523" t="s">
        <v>1088</v>
      </c>
      <c r="G2041" s="18" t="str">
        <f>VLOOKUP($C2041,'SILENT PIPE'!$H$3:$J2469,3,0)</f>
        <v/>
      </c>
      <c r="H2041" s="320"/>
      <c r="I2041" s="320"/>
      <c r="J2041" s="320"/>
      <c r="K2041" s="320"/>
      <c r="L2041" s="320"/>
      <c r="M2041" s="320"/>
      <c r="N2041" s="320"/>
      <c r="O2041" s="320"/>
    </row>
    <row r="2042">
      <c r="A2042" s="32">
        <f t="shared" si="1"/>
        <v>2041</v>
      </c>
      <c r="B2042" s="9" t="s">
        <v>4038</v>
      </c>
      <c r="C2042" s="500" t="s">
        <v>4115</v>
      </c>
      <c r="D2042" s="668" t="s">
        <v>4106</v>
      </c>
      <c r="E2042" s="18">
        <f>VLOOKUP($C2042,'SILENT PIPE'!$H$3:$J2469,2,0)</f>
        <v>0.81</v>
      </c>
      <c r="F2042" s="523" t="s">
        <v>1088</v>
      </c>
      <c r="G2042" s="18" t="str">
        <f>VLOOKUP($C2042,'SILENT PIPE'!$H$3:$J2469,3,0)</f>
        <v/>
      </c>
      <c r="H2042" s="320"/>
      <c r="I2042" s="320"/>
      <c r="J2042" s="320"/>
      <c r="K2042" s="320"/>
      <c r="L2042" s="320"/>
      <c r="M2042" s="320"/>
      <c r="N2042" s="320"/>
      <c r="O2042" s="320"/>
    </row>
    <row r="2043">
      <c r="A2043" s="32">
        <f t="shared" si="1"/>
        <v>2042</v>
      </c>
      <c r="B2043" s="9" t="s">
        <v>4038</v>
      </c>
      <c r="C2043" s="500" t="s">
        <v>4116</v>
      </c>
      <c r="D2043" s="668" t="s">
        <v>4117</v>
      </c>
      <c r="E2043" s="18">
        <f>VLOOKUP($C2043,'SILENT PIPE'!$K$3:$M2469,2,0)</f>
        <v>2.65</v>
      </c>
      <c r="F2043" s="523" t="s">
        <v>1088</v>
      </c>
      <c r="G2043" s="18" t="str">
        <f>VLOOKUP($C2043,'SILENT PIPE'!$K$3:$M2469,3,0)</f>
        <v/>
      </c>
      <c r="H2043" s="320"/>
      <c r="I2043" s="320"/>
      <c r="J2043" s="320"/>
      <c r="K2043" s="320"/>
      <c r="L2043" s="320"/>
      <c r="M2043" s="320"/>
      <c r="N2043" s="320"/>
      <c r="O2043" s="320"/>
    </row>
    <row r="2044">
      <c r="A2044" s="32">
        <f t="shared" si="1"/>
        <v>2043</v>
      </c>
      <c r="B2044" s="9" t="s">
        <v>4038</v>
      </c>
      <c r="C2044" s="500" t="s">
        <v>4118</v>
      </c>
      <c r="D2044" s="668" t="s">
        <v>4117</v>
      </c>
      <c r="E2044" s="18">
        <f>VLOOKUP($C2044,'SILENT PIPE'!$K$3:$M2469,2,0)</f>
        <v>2.65</v>
      </c>
      <c r="F2044" s="523" t="s">
        <v>1088</v>
      </c>
      <c r="G2044" s="18" t="str">
        <f>VLOOKUP($C2044,'SILENT PIPE'!$K$3:$M2469,3,0)</f>
        <v/>
      </c>
      <c r="H2044" s="320"/>
      <c r="I2044" s="320"/>
      <c r="J2044" s="320"/>
      <c r="K2044" s="320"/>
      <c r="L2044" s="320"/>
      <c r="M2044" s="320"/>
      <c r="N2044" s="320"/>
      <c r="O2044" s="320"/>
    </row>
    <row r="2045">
      <c r="A2045" s="32">
        <f t="shared" si="1"/>
        <v>2044</v>
      </c>
      <c r="B2045" s="9" t="s">
        <v>4038</v>
      </c>
      <c r="C2045" s="500" t="s">
        <v>4119</v>
      </c>
      <c r="D2045" s="668" t="s">
        <v>4117</v>
      </c>
      <c r="E2045" s="18">
        <f>VLOOKUP($C2045,'SILENT PIPE'!$K$3:$M2469,2,0)</f>
        <v>0.53</v>
      </c>
      <c r="F2045" s="523" t="s">
        <v>1088</v>
      </c>
      <c r="G2045" s="18" t="str">
        <f>VLOOKUP($C2045,'SILENT PIPE'!$K$3:$M2469,3,0)</f>
        <v/>
      </c>
      <c r="H2045" s="320"/>
      <c r="I2045" s="320"/>
      <c r="J2045" s="320"/>
      <c r="K2045" s="320"/>
      <c r="L2045" s="320"/>
      <c r="M2045" s="320"/>
      <c r="N2045" s="320"/>
      <c r="O2045" s="320"/>
    </row>
    <row r="2046">
      <c r="A2046" s="32">
        <f t="shared" si="1"/>
        <v>2045</v>
      </c>
      <c r="B2046" s="9" t="s">
        <v>4038</v>
      </c>
      <c r="C2046" s="500" t="s">
        <v>4120</v>
      </c>
      <c r="D2046" s="668" t="s">
        <v>4117</v>
      </c>
      <c r="E2046" s="18">
        <f>VLOOKUP($C2046,'SILENT PIPE'!$K$3:$M2469,2,0)</f>
        <v>0.53</v>
      </c>
      <c r="F2046" s="523" t="s">
        <v>1088</v>
      </c>
      <c r="G2046" s="18" t="str">
        <f>VLOOKUP($C2046,'SILENT PIPE'!$K$3:$M2469,3,0)</f>
        <v/>
      </c>
      <c r="H2046" s="320"/>
      <c r="I2046" s="320"/>
      <c r="J2046" s="320"/>
      <c r="K2046" s="320"/>
      <c r="L2046" s="320"/>
      <c r="M2046" s="320"/>
      <c r="N2046" s="320"/>
      <c r="O2046" s="320"/>
    </row>
    <row r="2047">
      <c r="A2047" s="32">
        <f t="shared" si="1"/>
        <v>2046</v>
      </c>
      <c r="B2047" s="9" t="s">
        <v>4038</v>
      </c>
      <c r="C2047" s="500" t="s">
        <v>4121</v>
      </c>
      <c r="D2047" s="668" t="s">
        <v>4117</v>
      </c>
      <c r="E2047" s="18">
        <f>VLOOKUP($C2047,'SILENT PIPE'!$K$3:$M2469,2,0)</f>
        <v>0.795</v>
      </c>
      <c r="F2047" s="523" t="s">
        <v>1088</v>
      </c>
      <c r="G2047" s="18" t="str">
        <f>VLOOKUP($C2047,'SILENT PIPE'!$K$3:$M2469,3,0)</f>
        <v/>
      </c>
      <c r="H2047" s="320"/>
      <c r="I2047" s="320"/>
      <c r="J2047" s="320"/>
      <c r="K2047" s="320"/>
      <c r="L2047" s="320"/>
      <c r="M2047" s="320"/>
      <c r="N2047" s="320"/>
      <c r="O2047" s="320"/>
    </row>
    <row r="2048">
      <c r="A2048" s="32">
        <f t="shared" si="1"/>
        <v>2047</v>
      </c>
      <c r="B2048" s="9" t="s">
        <v>4038</v>
      </c>
      <c r="C2048" s="500" t="s">
        <v>4122</v>
      </c>
      <c r="D2048" s="668" t="s">
        <v>4117</v>
      </c>
      <c r="E2048" s="18">
        <f>VLOOKUP($C2048,'SILENT PIPE'!$K$3:$M2469,2,0)</f>
        <v>0.795</v>
      </c>
      <c r="F2048" s="523" t="s">
        <v>1088</v>
      </c>
      <c r="G2048" s="18" t="str">
        <f>VLOOKUP($C2048,'SILENT PIPE'!$K$3:$M2469,3,0)</f>
        <v/>
      </c>
      <c r="H2048" s="320"/>
      <c r="I2048" s="320"/>
      <c r="J2048" s="320"/>
      <c r="K2048" s="320"/>
      <c r="L2048" s="320"/>
      <c r="M2048" s="320"/>
      <c r="N2048" s="320"/>
      <c r="O2048" s="320"/>
    </row>
    <row r="2049">
      <c r="A2049" s="32">
        <f t="shared" si="1"/>
        <v>2048</v>
      </c>
      <c r="B2049" s="9" t="s">
        <v>4038</v>
      </c>
      <c r="C2049" s="500" t="s">
        <v>4123</v>
      </c>
      <c r="D2049" s="668" t="s">
        <v>4117</v>
      </c>
      <c r="E2049" s="18">
        <f>VLOOKUP($C2049,'SILENT PIPE'!$K$3:$M2469,2,0)</f>
        <v>1.06</v>
      </c>
      <c r="F2049" s="523" t="s">
        <v>1088</v>
      </c>
      <c r="G2049" s="18" t="str">
        <f>VLOOKUP($C2049,'SILENT PIPE'!$K$3:$M2469,3,0)</f>
        <v/>
      </c>
      <c r="H2049" s="320"/>
      <c r="I2049" s="320"/>
      <c r="J2049" s="320"/>
      <c r="K2049" s="320"/>
      <c r="L2049" s="320"/>
      <c r="M2049" s="320"/>
      <c r="N2049" s="320"/>
      <c r="O2049" s="320"/>
    </row>
    <row r="2050">
      <c r="A2050" s="32">
        <f t="shared" si="1"/>
        <v>2049</v>
      </c>
      <c r="B2050" s="9" t="s">
        <v>4038</v>
      </c>
      <c r="C2050" s="500" t="s">
        <v>4124</v>
      </c>
      <c r="D2050" s="668" t="s">
        <v>4117</v>
      </c>
      <c r="E2050" s="18">
        <f>VLOOKUP($C2050,'SILENT PIPE'!$K$3:$M2469,2,0)</f>
        <v>1.06</v>
      </c>
      <c r="F2050" s="523" t="s">
        <v>1088</v>
      </c>
      <c r="G2050" s="18" t="str">
        <f>VLOOKUP($C2050,'SILENT PIPE'!$K$3:$M2469,3,0)</f>
        <v/>
      </c>
      <c r="H2050" s="320"/>
      <c r="I2050" s="320"/>
      <c r="J2050" s="320"/>
      <c r="K2050" s="320"/>
      <c r="L2050" s="320"/>
      <c r="M2050" s="320"/>
      <c r="N2050" s="320"/>
      <c r="O2050" s="320"/>
    </row>
    <row r="2051">
      <c r="A2051" s="32">
        <f t="shared" si="1"/>
        <v>2050</v>
      </c>
      <c r="B2051" s="9" t="s">
        <v>4038</v>
      </c>
      <c r="C2051" s="500" t="s">
        <v>4125</v>
      </c>
      <c r="D2051" s="668" t="s">
        <v>4117</v>
      </c>
      <c r="E2051" s="18">
        <f>VLOOKUP($C2051,'SILENT PIPE'!$K$3:$M2469,2,0)</f>
        <v>1.59</v>
      </c>
      <c r="F2051" s="523" t="s">
        <v>1088</v>
      </c>
      <c r="G2051" s="18" t="str">
        <f>VLOOKUP($C2051,'SILENT PIPE'!$K$3:$M2469,3,0)</f>
        <v/>
      </c>
      <c r="H2051" s="320"/>
      <c r="I2051" s="320"/>
      <c r="J2051" s="320"/>
      <c r="K2051" s="320"/>
      <c r="L2051" s="320"/>
      <c r="M2051" s="320"/>
      <c r="N2051" s="320"/>
      <c r="O2051" s="320"/>
    </row>
    <row r="2052">
      <c r="A2052" s="32">
        <f t="shared" si="1"/>
        <v>2051</v>
      </c>
      <c r="B2052" s="9" t="s">
        <v>4038</v>
      </c>
      <c r="C2052" s="500" t="s">
        <v>4126</v>
      </c>
      <c r="D2052" s="668" t="s">
        <v>4117</v>
      </c>
      <c r="E2052" s="18">
        <f>VLOOKUP($C2052,'SILENT PIPE'!$K$3:$M2469,2,0)</f>
        <v>1.59</v>
      </c>
      <c r="F2052" s="523" t="s">
        <v>1088</v>
      </c>
      <c r="G2052" s="18" t="str">
        <f>VLOOKUP($C2052,'SILENT PIPE'!$K$3:$M2469,3,0)</f>
        <v/>
      </c>
      <c r="H2052" s="320"/>
      <c r="I2052" s="320"/>
      <c r="J2052" s="320"/>
      <c r="K2052" s="320"/>
      <c r="L2052" s="320"/>
      <c r="M2052" s="320"/>
      <c r="N2052" s="320"/>
      <c r="O2052" s="320"/>
    </row>
    <row r="2053">
      <c r="A2053" s="32">
        <f t="shared" si="1"/>
        <v>2052</v>
      </c>
      <c r="B2053" s="9" t="s">
        <v>4038</v>
      </c>
      <c r="C2053" s="500" t="s">
        <v>4127</v>
      </c>
      <c r="D2053" s="668" t="s">
        <v>4128</v>
      </c>
      <c r="E2053" s="596">
        <f>VLOOKUP($C2053,'SILENT PIPE'!$N$3:$P2469,2,0)</f>
        <v>4.8</v>
      </c>
      <c r="F2053" s="656" t="s">
        <v>1088</v>
      </c>
      <c r="G2053" s="296" t="str">
        <f>VLOOKUP($C2053,'SILENT PIPE'!$N$3:$P2469,3,0)</f>
        <v/>
      </c>
      <c r="H2053" s="320"/>
      <c r="I2053" s="320"/>
      <c r="J2053" s="320"/>
      <c r="K2053" s="320"/>
      <c r="L2053" s="320"/>
      <c r="M2053" s="320"/>
      <c r="N2053" s="320"/>
      <c r="O2053" s="320"/>
    </row>
    <row r="2054">
      <c r="A2054" s="32">
        <f t="shared" si="1"/>
        <v>2053</v>
      </c>
      <c r="B2054" s="9" t="s">
        <v>4038</v>
      </c>
      <c r="C2054" s="500" t="s">
        <v>4129</v>
      </c>
      <c r="D2054" s="668" t="s">
        <v>4128</v>
      </c>
      <c r="E2054" s="18">
        <f>VLOOKUP($C2054,'SILENT PIPE'!$N$3:$P2469,2,0)</f>
        <v>4.8</v>
      </c>
      <c r="F2054" s="523" t="s">
        <v>1088</v>
      </c>
      <c r="G2054" s="18" t="str">
        <f>VLOOKUP($C2054,'SILENT PIPE'!$N$3:$P2469,3,0)</f>
        <v/>
      </c>
      <c r="H2054" s="320"/>
      <c r="I2054" s="320"/>
      <c r="J2054" s="320"/>
      <c r="K2054" s="320"/>
      <c r="L2054" s="320"/>
      <c r="M2054" s="320"/>
      <c r="N2054" s="320"/>
      <c r="O2054" s="320"/>
    </row>
    <row r="2055">
      <c r="A2055" s="32">
        <f t="shared" si="1"/>
        <v>2054</v>
      </c>
      <c r="B2055" s="9" t="s">
        <v>4038</v>
      </c>
      <c r="C2055" s="500" t="s">
        <v>4130</v>
      </c>
      <c r="D2055" s="668" t="s">
        <v>4128</v>
      </c>
      <c r="E2055" s="18">
        <f>VLOOKUP($C2055,'SILENT PIPE'!$N$3:$P2469,2,0)</f>
        <v>0.96</v>
      </c>
      <c r="F2055" s="523" t="s">
        <v>1088</v>
      </c>
      <c r="G2055" s="18" t="str">
        <f>VLOOKUP($C2055,'SILENT PIPE'!$N$3:$P2469,3,0)</f>
        <v/>
      </c>
      <c r="H2055" s="320"/>
      <c r="I2055" s="320"/>
      <c r="J2055" s="320"/>
      <c r="K2055" s="320"/>
      <c r="L2055" s="320"/>
      <c r="M2055" s="320"/>
      <c r="N2055" s="320"/>
      <c r="O2055" s="320"/>
    </row>
    <row r="2056">
      <c r="A2056" s="32">
        <f t="shared" si="1"/>
        <v>2055</v>
      </c>
      <c r="B2056" s="9" t="s">
        <v>4038</v>
      </c>
      <c r="C2056" s="500" t="s">
        <v>4131</v>
      </c>
      <c r="D2056" s="668" t="s">
        <v>4128</v>
      </c>
      <c r="E2056" s="18">
        <f>VLOOKUP($C2056,'SILENT PIPE'!$N$3:$P2469,2,0)</f>
        <v>0.96</v>
      </c>
      <c r="F2056" s="523" t="s">
        <v>1088</v>
      </c>
      <c r="G2056" s="18" t="str">
        <f>VLOOKUP($C2056,'SILENT PIPE'!$N$3:$P2469,3,0)</f>
        <v/>
      </c>
      <c r="H2056" s="320"/>
      <c r="I2056" s="320"/>
      <c r="J2056" s="320"/>
      <c r="K2056" s="320"/>
      <c r="L2056" s="320"/>
      <c r="M2056" s="320"/>
      <c r="N2056" s="320"/>
      <c r="O2056" s="320"/>
    </row>
    <row r="2057">
      <c r="A2057" s="32">
        <f t="shared" si="1"/>
        <v>2056</v>
      </c>
      <c r="B2057" s="9" t="s">
        <v>4038</v>
      </c>
      <c r="C2057" s="500" t="s">
        <v>4132</v>
      </c>
      <c r="D2057" s="668" t="s">
        <v>4128</v>
      </c>
      <c r="E2057" s="18">
        <f>VLOOKUP($C2057,'SILENT PIPE'!$N$3:$P2469,2,0)</f>
        <v>1.44</v>
      </c>
      <c r="F2057" s="523" t="s">
        <v>1088</v>
      </c>
      <c r="G2057" s="18" t="str">
        <f>VLOOKUP($C2057,'SILENT PIPE'!$N$3:$P2469,3,0)</f>
        <v/>
      </c>
      <c r="H2057" s="320"/>
      <c r="I2057" s="320"/>
      <c r="J2057" s="320"/>
      <c r="K2057" s="320"/>
      <c r="L2057" s="320"/>
      <c r="M2057" s="320"/>
      <c r="N2057" s="320"/>
      <c r="O2057" s="320"/>
    </row>
    <row r="2058">
      <c r="A2058" s="32">
        <f t="shared" si="1"/>
        <v>2057</v>
      </c>
      <c r="B2058" s="9" t="s">
        <v>4038</v>
      </c>
      <c r="C2058" s="500" t="s">
        <v>4133</v>
      </c>
      <c r="D2058" s="668" t="s">
        <v>4128</v>
      </c>
      <c r="E2058" s="18">
        <f>VLOOKUP($C2058,'SILENT PIPE'!$N$3:$P2469,2,0)</f>
        <v>1.44</v>
      </c>
      <c r="F2058" s="523" t="s">
        <v>1088</v>
      </c>
      <c r="G2058" s="18" t="str">
        <f>VLOOKUP($C2058,'SILENT PIPE'!$N$3:$P2469,3,0)</f>
        <v/>
      </c>
      <c r="H2058" s="320"/>
      <c r="I2058" s="320"/>
      <c r="J2058" s="320"/>
      <c r="K2058" s="320"/>
      <c r="L2058" s="320"/>
      <c r="M2058" s="320"/>
      <c r="N2058" s="320"/>
      <c r="O2058" s="320"/>
    </row>
    <row r="2059">
      <c r="A2059" s="32">
        <f t="shared" si="1"/>
        <v>2058</v>
      </c>
      <c r="B2059" s="9" t="s">
        <v>4038</v>
      </c>
      <c r="C2059" s="500" t="s">
        <v>4134</v>
      </c>
      <c r="D2059" s="668" t="s">
        <v>4128</v>
      </c>
      <c r="E2059" s="18">
        <f>VLOOKUP($C2059,'SILENT PIPE'!$N$3:$P2469,2,0)</f>
        <v>1.92</v>
      </c>
      <c r="F2059" s="523" t="s">
        <v>1088</v>
      </c>
      <c r="G2059" s="18" t="str">
        <f>VLOOKUP($C2059,'SILENT PIPE'!$N$3:$P2469,3,0)</f>
        <v/>
      </c>
      <c r="H2059" s="320"/>
      <c r="I2059" s="320"/>
      <c r="J2059" s="320"/>
      <c r="K2059" s="320"/>
      <c r="L2059" s="320"/>
      <c r="M2059" s="320"/>
      <c r="N2059" s="320"/>
      <c r="O2059" s="320"/>
    </row>
    <row r="2060">
      <c r="A2060" s="32">
        <f t="shared" si="1"/>
        <v>2059</v>
      </c>
      <c r="B2060" s="9" t="s">
        <v>4038</v>
      </c>
      <c r="C2060" s="500" t="s">
        <v>4135</v>
      </c>
      <c r="D2060" s="668" t="s">
        <v>4128</v>
      </c>
      <c r="E2060" s="18">
        <f>VLOOKUP($C2060,'SILENT PIPE'!$N$3:$P2469,2,0)</f>
        <v>1.92</v>
      </c>
      <c r="F2060" s="523" t="s">
        <v>1088</v>
      </c>
      <c r="G2060" s="18" t="str">
        <f>VLOOKUP($C2060,'SILENT PIPE'!$N$3:$P2469,3,0)</f>
        <v/>
      </c>
      <c r="H2060" s="320"/>
      <c r="I2060" s="320"/>
      <c r="J2060" s="320"/>
      <c r="K2060" s="320"/>
      <c r="L2060" s="320"/>
      <c r="M2060" s="320"/>
      <c r="N2060" s="320"/>
      <c r="O2060" s="320"/>
    </row>
    <row r="2061">
      <c r="A2061" s="32">
        <f t="shared" si="1"/>
        <v>2060</v>
      </c>
      <c r="B2061" s="9" t="s">
        <v>4038</v>
      </c>
      <c r="C2061" s="500" t="s">
        <v>4136</v>
      </c>
      <c r="D2061" s="668" t="s">
        <v>4128</v>
      </c>
      <c r="E2061" s="18">
        <f>VLOOKUP($C2061,'SILENT PIPE'!$N$3:$P2469,2,0)</f>
        <v>2.88</v>
      </c>
      <c r="F2061" s="523" t="s">
        <v>1088</v>
      </c>
      <c r="G2061" s="18" t="str">
        <f>VLOOKUP($C2061,'SILENT PIPE'!$N$3:$P2469,3,0)</f>
        <v/>
      </c>
      <c r="H2061" s="320"/>
      <c r="I2061" s="320"/>
      <c r="J2061" s="320"/>
      <c r="K2061" s="320"/>
      <c r="L2061" s="320"/>
      <c r="M2061" s="320"/>
      <c r="N2061" s="320"/>
      <c r="O2061" s="320"/>
    </row>
    <row r="2062">
      <c r="A2062" s="32">
        <f t="shared" si="1"/>
        <v>2061</v>
      </c>
      <c r="B2062" s="9" t="s">
        <v>4038</v>
      </c>
      <c r="C2062" s="500" t="s">
        <v>4137</v>
      </c>
      <c r="D2062" s="668" t="s">
        <v>4128</v>
      </c>
      <c r="E2062" s="18">
        <f>VLOOKUP($C2062,'SILENT PIPE'!$N$3:$P2469,2,0)</f>
        <v>2.88</v>
      </c>
      <c r="F2062" s="523" t="s">
        <v>1088</v>
      </c>
      <c r="G2062" s="18" t="str">
        <f>VLOOKUP($C2062,'SILENT PIPE'!$N$3:$P2469,3,0)</f>
        <v/>
      </c>
      <c r="H2062" s="320"/>
      <c r="I2062" s="320"/>
      <c r="J2062" s="320"/>
      <c r="K2062" s="320"/>
      <c r="L2062" s="320"/>
      <c r="M2062" s="320"/>
      <c r="N2062" s="320"/>
      <c r="O2062" s="320"/>
    </row>
    <row r="2063">
      <c r="A2063" s="32">
        <f t="shared" si="1"/>
        <v>2062</v>
      </c>
      <c r="B2063" s="9" t="s">
        <v>4038</v>
      </c>
      <c r="C2063" s="500" t="s">
        <v>4138</v>
      </c>
      <c r="D2063" s="668" t="s">
        <v>4139</v>
      </c>
      <c r="E2063" s="596">
        <f>VLOOKUP($C2063,'SILENT PIPE'!$Q$3:$S2469,2,0)</f>
        <v>10.8</v>
      </c>
      <c r="F2063" s="656" t="s">
        <v>1088</v>
      </c>
      <c r="G2063" s="296" t="str">
        <f>VLOOKUP($C2063,'SILENT PIPE'!$Q$3:$S2469,3,0)</f>
        <v/>
      </c>
      <c r="H2063" s="320"/>
      <c r="I2063" s="320"/>
      <c r="J2063" s="320"/>
      <c r="K2063" s="320"/>
      <c r="L2063" s="320"/>
      <c r="M2063" s="320"/>
      <c r="N2063" s="320"/>
      <c r="O2063" s="320"/>
    </row>
    <row r="2064">
      <c r="A2064" s="32">
        <f t="shared" si="1"/>
        <v>2063</v>
      </c>
      <c r="B2064" s="9" t="s">
        <v>4038</v>
      </c>
      <c r="C2064" s="500" t="s">
        <v>4140</v>
      </c>
      <c r="D2064" s="668" t="s">
        <v>4139</v>
      </c>
      <c r="E2064" s="596">
        <f>VLOOKUP($C2064,'SILENT PIPE'!$Q$3:$S2469,2,0)</f>
        <v>10.8</v>
      </c>
      <c r="F2064" s="656" t="s">
        <v>1088</v>
      </c>
      <c r="G2064" s="296" t="str">
        <f>VLOOKUP($C2064,'SILENT PIPE'!$Q$3:$S2469,3,0)</f>
        <v/>
      </c>
      <c r="H2064" s="320"/>
      <c r="I2064" s="320"/>
      <c r="J2064" s="320"/>
      <c r="K2064" s="320"/>
      <c r="L2064" s="320"/>
      <c r="M2064" s="320"/>
      <c r="N2064" s="320"/>
      <c r="O2064" s="320"/>
    </row>
    <row r="2065">
      <c r="A2065" s="32">
        <f t="shared" si="1"/>
        <v>2064</v>
      </c>
      <c r="B2065" s="9" t="s">
        <v>4038</v>
      </c>
      <c r="C2065" s="500" t="s">
        <v>4141</v>
      </c>
      <c r="D2065" s="668" t="s">
        <v>4139</v>
      </c>
      <c r="E2065" s="596">
        <f>VLOOKUP($C2065,'SILENT PIPE'!$Q$3:$S2469,2,0)</f>
        <v>2.16</v>
      </c>
      <c r="F2065" s="656" t="s">
        <v>1088</v>
      </c>
      <c r="G2065" s="296" t="str">
        <f>VLOOKUP($C2065,'SILENT PIPE'!$Q$3:$S2469,3,0)</f>
        <v/>
      </c>
      <c r="H2065" s="320"/>
      <c r="I2065" s="320"/>
      <c r="J2065" s="320"/>
      <c r="K2065" s="320"/>
      <c r="L2065" s="320"/>
      <c r="M2065" s="320"/>
      <c r="N2065" s="320"/>
      <c r="O2065" s="320"/>
    </row>
    <row r="2066">
      <c r="A2066" s="32">
        <f t="shared" si="1"/>
        <v>2065</v>
      </c>
      <c r="B2066" s="9" t="s">
        <v>4038</v>
      </c>
      <c r="C2066" s="500" t="s">
        <v>4142</v>
      </c>
      <c r="D2066" s="668" t="s">
        <v>4139</v>
      </c>
      <c r="E2066" s="596">
        <f>VLOOKUP($C2066,'SILENT PIPE'!$Q$3:$S2469,2,0)</f>
        <v>2.16</v>
      </c>
      <c r="F2066" s="656" t="s">
        <v>1088</v>
      </c>
      <c r="G2066" s="296" t="str">
        <f>VLOOKUP($C2066,'SILENT PIPE'!$Q$3:$S2469,3,0)</f>
        <v/>
      </c>
      <c r="H2066" s="320"/>
      <c r="I2066" s="320"/>
      <c r="J2066" s="320"/>
      <c r="K2066" s="320"/>
      <c r="L2066" s="320"/>
      <c r="M2066" s="320"/>
      <c r="N2066" s="320"/>
      <c r="O2066" s="320"/>
    </row>
    <row r="2067">
      <c r="A2067" s="32">
        <f t="shared" si="1"/>
        <v>2066</v>
      </c>
      <c r="B2067" s="9" t="s">
        <v>4038</v>
      </c>
      <c r="C2067" s="500" t="s">
        <v>4143</v>
      </c>
      <c r="D2067" s="668" t="s">
        <v>4139</v>
      </c>
      <c r="E2067" s="596">
        <f>VLOOKUP($C2067,'SILENT PIPE'!$Q$3:$S2469,2,0)</f>
        <v>3.24</v>
      </c>
      <c r="F2067" s="656" t="s">
        <v>1088</v>
      </c>
      <c r="G2067" s="296" t="str">
        <f>VLOOKUP($C2067,'SILENT PIPE'!$Q$3:$S2469,3,0)</f>
        <v/>
      </c>
      <c r="H2067" s="320"/>
      <c r="I2067" s="320"/>
      <c r="J2067" s="320"/>
      <c r="K2067" s="320"/>
      <c r="L2067" s="320"/>
      <c r="M2067" s="320"/>
      <c r="N2067" s="320"/>
      <c r="O2067" s="320"/>
    </row>
    <row r="2068">
      <c r="A2068" s="32">
        <f t="shared" si="1"/>
        <v>2067</v>
      </c>
      <c r="B2068" s="9" t="s">
        <v>4038</v>
      </c>
      <c r="C2068" s="500" t="s">
        <v>4144</v>
      </c>
      <c r="D2068" s="668" t="s">
        <v>4139</v>
      </c>
      <c r="E2068" s="596">
        <f>VLOOKUP($C2068,'SILENT PIPE'!$Q$3:$S2469,2,0)</f>
        <v>3.24</v>
      </c>
      <c r="F2068" s="656" t="s">
        <v>1088</v>
      </c>
      <c r="G2068" s="296" t="str">
        <f>VLOOKUP($C2068,'SILENT PIPE'!$Q$3:$S2469,3,0)</f>
        <v/>
      </c>
      <c r="H2068" s="320"/>
      <c r="I2068" s="320"/>
      <c r="J2068" s="320"/>
      <c r="K2068" s="320"/>
      <c r="L2068" s="320"/>
      <c r="M2068" s="320"/>
      <c r="N2068" s="320"/>
      <c r="O2068" s="320"/>
    </row>
    <row r="2069">
      <c r="A2069" s="32">
        <f t="shared" si="1"/>
        <v>2068</v>
      </c>
      <c r="B2069" s="9" t="s">
        <v>4038</v>
      </c>
      <c r="C2069" s="500" t="s">
        <v>4145</v>
      </c>
      <c r="D2069" s="668" t="s">
        <v>4139</v>
      </c>
      <c r="E2069" s="596">
        <f>VLOOKUP($C2069,'SILENT PIPE'!$Q$3:$S2469,2,0)</f>
        <v>4.32</v>
      </c>
      <c r="F2069" s="656" t="s">
        <v>1088</v>
      </c>
      <c r="G2069" s="296" t="str">
        <f>VLOOKUP($C2069,'SILENT PIPE'!$Q$3:$S2469,3,0)</f>
        <v/>
      </c>
      <c r="H2069" s="320"/>
      <c r="I2069" s="320"/>
      <c r="J2069" s="320"/>
      <c r="K2069" s="320"/>
      <c r="L2069" s="320"/>
      <c r="M2069" s="320"/>
      <c r="N2069" s="320"/>
      <c r="O2069" s="320"/>
    </row>
    <row r="2070">
      <c r="A2070" s="32">
        <f t="shared" si="1"/>
        <v>2069</v>
      </c>
      <c r="B2070" s="9" t="s">
        <v>4038</v>
      </c>
      <c r="C2070" s="500" t="s">
        <v>4146</v>
      </c>
      <c r="D2070" s="668" t="s">
        <v>4139</v>
      </c>
      <c r="E2070" s="596">
        <f>VLOOKUP($C2070,'SILENT PIPE'!$Q$3:$S2469,2,0)</f>
        <v>4.32</v>
      </c>
      <c r="F2070" s="656" t="s">
        <v>1088</v>
      </c>
      <c r="G2070" s="296" t="str">
        <f>VLOOKUP($C2070,'SILENT PIPE'!$Q$3:$S2469,3,0)</f>
        <v/>
      </c>
      <c r="H2070" s="320"/>
      <c r="I2070" s="320"/>
      <c r="J2070" s="320"/>
      <c r="K2070" s="320"/>
      <c r="L2070" s="320"/>
      <c r="M2070" s="320"/>
      <c r="N2070" s="320"/>
      <c r="O2070" s="320"/>
    </row>
    <row r="2071">
      <c r="A2071" s="32">
        <f t="shared" si="1"/>
        <v>2070</v>
      </c>
      <c r="B2071" s="9" t="s">
        <v>4038</v>
      </c>
      <c r="C2071" s="500" t="s">
        <v>4147</v>
      </c>
      <c r="D2071" s="668" t="s">
        <v>4139</v>
      </c>
      <c r="E2071" s="596">
        <f>VLOOKUP($C2071,'SILENT PIPE'!$Q$3:$S2469,2,0)</f>
        <v>6.48</v>
      </c>
      <c r="F2071" s="656" t="s">
        <v>1088</v>
      </c>
      <c r="G2071" s="296" t="str">
        <f>VLOOKUP($C2071,'SILENT PIPE'!$Q$3:$S2469,3,0)</f>
        <v/>
      </c>
      <c r="H2071" s="320"/>
      <c r="I2071" s="320"/>
      <c r="J2071" s="320"/>
      <c r="K2071" s="320"/>
      <c r="L2071" s="320"/>
      <c r="M2071" s="320"/>
      <c r="N2071" s="320"/>
      <c r="O2071" s="320"/>
    </row>
    <row r="2072">
      <c r="A2072" s="32">
        <f t="shared" si="1"/>
        <v>2071</v>
      </c>
      <c r="B2072" s="9" t="s">
        <v>4038</v>
      </c>
      <c r="C2072" s="500" t="s">
        <v>4148</v>
      </c>
      <c r="D2072" s="668" t="s">
        <v>4139</v>
      </c>
      <c r="E2072" s="596">
        <f>VLOOKUP($C2072,'SILENT PIPE'!$Q$3:$S2469,2,0)</f>
        <v>6.48</v>
      </c>
      <c r="F2072" s="656" t="s">
        <v>1088</v>
      </c>
      <c r="G2072" s="296" t="str">
        <f>VLOOKUP($C2072,'SILENT PIPE'!$Q$3:$S2469,3,0)</f>
        <v/>
      </c>
      <c r="H2072" s="320"/>
      <c r="I2072" s="320"/>
      <c r="J2072" s="320"/>
      <c r="K2072" s="320"/>
      <c r="L2072" s="320"/>
      <c r="M2072" s="320"/>
      <c r="N2072" s="320"/>
      <c r="O2072" s="320"/>
    </row>
    <row r="2073">
      <c r="A2073" s="32">
        <f t="shared" si="1"/>
        <v>2072</v>
      </c>
      <c r="B2073" s="9" t="s">
        <v>4038</v>
      </c>
      <c r="C2073" s="500" t="s">
        <v>4149</v>
      </c>
      <c r="D2073" s="668" t="s">
        <v>4150</v>
      </c>
      <c r="E2073" s="18">
        <f>VLOOKUP($C2073,'SILENT PIPE'!$E$3:$G2469,2,0)</f>
        <v>1.55</v>
      </c>
      <c r="F2073" s="523" t="s">
        <v>1088</v>
      </c>
      <c r="G2073" s="18" t="str">
        <f>VLOOKUP($C2073,'SILENT PIPE'!$E$3:$G2469,3,0)</f>
        <v/>
      </c>
      <c r="H2073" s="320"/>
      <c r="I2073" s="320"/>
      <c r="J2073" s="320"/>
      <c r="K2073" s="320"/>
      <c r="L2073" s="320"/>
      <c r="M2073" s="320"/>
      <c r="N2073" s="320"/>
      <c r="O2073" s="320"/>
    </row>
    <row r="2074">
      <c r="A2074" s="32">
        <f t="shared" si="1"/>
        <v>2073</v>
      </c>
      <c r="B2074" s="9" t="s">
        <v>4038</v>
      </c>
      <c r="C2074" s="500" t="s">
        <v>4151</v>
      </c>
      <c r="D2074" s="668" t="s">
        <v>4150</v>
      </c>
      <c r="E2074" s="18">
        <f>VLOOKUP($C2074,'SILENT PIPE'!$E$3:$G2469,2,0)</f>
        <v>1.55</v>
      </c>
      <c r="F2074" s="523" t="s">
        <v>1088</v>
      </c>
      <c r="G2074" s="18" t="str">
        <f>VLOOKUP($C2074,'SILENT PIPE'!$E$3:$G2469,3,0)</f>
        <v/>
      </c>
      <c r="H2074" s="320"/>
      <c r="I2074" s="320"/>
      <c r="J2074" s="320"/>
      <c r="K2074" s="320"/>
      <c r="L2074" s="320"/>
      <c r="M2074" s="320"/>
      <c r="N2074" s="320"/>
      <c r="O2074" s="320"/>
    </row>
    <row r="2075">
      <c r="A2075" s="32">
        <f t="shared" si="1"/>
        <v>2074</v>
      </c>
      <c r="B2075" s="9" t="s">
        <v>4038</v>
      </c>
      <c r="C2075" s="500" t="s">
        <v>4152</v>
      </c>
      <c r="D2075" s="668" t="s">
        <v>4150</v>
      </c>
      <c r="E2075" s="18">
        <f>VLOOKUP($C2075,'SILENT PIPE'!$E$3:$G2469,2,0)</f>
        <v>0.31</v>
      </c>
      <c r="F2075" s="523" t="s">
        <v>1088</v>
      </c>
      <c r="G2075" s="18" t="str">
        <f>VLOOKUP($C2075,'SILENT PIPE'!$E$3:$G2469,3,0)</f>
        <v/>
      </c>
      <c r="H2075" s="320"/>
      <c r="I2075" s="320"/>
      <c r="J2075" s="320"/>
      <c r="K2075" s="320"/>
      <c r="L2075" s="320"/>
      <c r="M2075" s="320"/>
      <c r="N2075" s="320"/>
      <c r="O2075" s="320"/>
    </row>
    <row r="2076">
      <c r="A2076" s="32">
        <f t="shared" si="1"/>
        <v>2075</v>
      </c>
      <c r="B2076" s="9" t="s">
        <v>4038</v>
      </c>
      <c r="C2076" s="500" t="s">
        <v>4153</v>
      </c>
      <c r="D2076" s="668" t="s">
        <v>4150</v>
      </c>
      <c r="E2076" s="18">
        <f>VLOOKUP($C2076,'SILENT PIPE'!$E$3:$G2469,2,0)</f>
        <v>0.31</v>
      </c>
      <c r="F2076" s="523" t="s">
        <v>1088</v>
      </c>
      <c r="G2076" s="18" t="str">
        <f>VLOOKUP($C2076,'SILENT PIPE'!$E$3:$G2469,3,0)</f>
        <v/>
      </c>
      <c r="H2076" s="320"/>
      <c r="I2076" s="320"/>
      <c r="J2076" s="320"/>
      <c r="K2076" s="320"/>
      <c r="L2076" s="320"/>
      <c r="M2076" s="320"/>
      <c r="N2076" s="320"/>
      <c r="O2076" s="320"/>
    </row>
    <row r="2077">
      <c r="A2077" s="32">
        <f t="shared" si="1"/>
        <v>2076</v>
      </c>
      <c r="B2077" s="9" t="s">
        <v>4038</v>
      </c>
      <c r="C2077" s="500" t="s">
        <v>4156</v>
      </c>
      <c r="D2077" s="668" t="s">
        <v>4150</v>
      </c>
      <c r="E2077" s="18">
        <f>VLOOKUP($C2077,'SILENT PIPE'!$E$3:$G2469,2,0)</f>
        <v>0.465</v>
      </c>
      <c r="F2077" s="523" t="s">
        <v>1088</v>
      </c>
      <c r="G2077" s="18" t="str">
        <f>VLOOKUP($C2077,'SILENT PIPE'!$E$3:$G2469,3,0)</f>
        <v/>
      </c>
      <c r="H2077" s="320"/>
      <c r="I2077" s="320"/>
      <c r="J2077" s="320"/>
      <c r="K2077" s="320"/>
      <c r="L2077" s="320"/>
      <c r="M2077" s="320"/>
      <c r="N2077" s="320"/>
      <c r="O2077" s="320"/>
    </row>
    <row r="2078">
      <c r="A2078" s="32">
        <f t="shared" si="1"/>
        <v>2077</v>
      </c>
      <c r="B2078" s="9" t="s">
        <v>4038</v>
      </c>
      <c r="C2078" s="500" t="s">
        <v>4159</v>
      </c>
      <c r="D2078" s="668" t="s">
        <v>4150</v>
      </c>
      <c r="E2078" s="18">
        <f>VLOOKUP($C2078,'SILENT PIPE'!$E$3:$G2469,2,0)</f>
        <v>0.465</v>
      </c>
      <c r="F2078" s="523" t="s">
        <v>1088</v>
      </c>
      <c r="G2078" s="18" t="str">
        <f>VLOOKUP($C2078,'SILENT PIPE'!$E$3:$G2469,3,0)</f>
        <v/>
      </c>
      <c r="H2078" s="320"/>
      <c r="I2078" s="320"/>
      <c r="J2078" s="320"/>
      <c r="K2078" s="320"/>
      <c r="L2078" s="320"/>
      <c r="M2078" s="320"/>
      <c r="N2078" s="320"/>
      <c r="O2078" s="320"/>
    </row>
    <row r="2079">
      <c r="A2079" s="32">
        <f t="shared" si="1"/>
        <v>2078</v>
      </c>
      <c r="B2079" s="9" t="s">
        <v>4038</v>
      </c>
      <c r="C2079" s="500" t="s">
        <v>4163</v>
      </c>
      <c r="D2079" s="668" t="s">
        <v>4150</v>
      </c>
      <c r="E2079" s="18">
        <f>VLOOKUP($C2079,'SILENT PIPE'!$E$3:$G2469,2,0)</f>
        <v>0.62</v>
      </c>
      <c r="F2079" s="523" t="s">
        <v>1088</v>
      </c>
      <c r="G2079" s="18" t="str">
        <f>VLOOKUP($C2079,'SILENT PIPE'!$E$3:$G2469,3,0)</f>
        <v/>
      </c>
      <c r="H2079" s="320"/>
      <c r="I2079" s="320"/>
      <c r="J2079" s="320"/>
      <c r="K2079" s="320"/>
      <c r="L2079" s="320"/>
      <c r="M2079" s="320"/>
      <c r="N2079" s="320"/>
      <c r="O2079" s="320"/>
    </row>
    <row r="2080">
      <c r="A2080" s="32">
        <f t="shared" si="1"/>
        <v>2079</v>
      </c>
      <c r="B2080" s="9" t="s">
        <v>4038</v>
      </c>
      <c r="C2080" s="500" t="s">
        <v>4165</v>
      </c>
      <c r="D2080" s="668" t="s">
        <v>4150</v>
      </c>
      <c r="E2080" s="18">
        <f>VLOOKUP($C2080,'SILENT PIPE'!$E$3:$G2469,2,0)</f>
        <v>0.62</v>
      </c>
      <c r="F2080" s="523" t="s">
        <v>1088</v>
      </c>
      <c r="G2080" s="18" t="str">
        <f>VLOOKUP($C2080,'SILENT PIPE'!$E$3:$G2469,3,0)</f>
        <v/>
      </c>
      <c r="H2080" s="320"/>
      <c r="I2080" s="320"/>
      <c r="J2080" s="320"/>
      <c r="K2080" s="320"/>
      <c r="L2080" s="320"/>
      <c r="M2080" s="320"/>
      <c r="N2080" s="320"/>
      <c r="O2080" s="320"/>
    </row>
    <row r="2081">
      <c r="A2081" s="32">
        <f t="shared" si="1"/>
        <v>2080</v>
      </c>
      <c r="B2081" s="9" t="s">
        <v>4038</v>
      </c>
      <c r="C2081" s="500" t="s">
        <v>4166</v>
      </c>
      <c r="D2081" s="668" t="s">
        <v>4150</v>
      </c>
      <c r="E2081" s="18">
        <f>VLOOKUP($C2081,'SILENT PIPE'!$E$3:$G2469,2,0)</f>
        <v>0.93</v>
      </c>
      <c r="F2081" s="523" t="s">
        <v>1088</v>
      </c>
      <c r="G2081" s="18" t="str">
        <f>VLOOKUP($C2081,'SILENT PIPE'!$E$3:$G2469,3,0)</f>
        <v/>
      </c>
      <c r="H2081" s="320"/>
      <c r="I2081" s="320"/>
      <c r="J2081" s="320"/>
      <c r="K2081" s="320"/>
      <c r="L2081" s="320"/>
      <c r="M2081" s="320"/>
      <c r="N2081" s="320"/>
      <c r="O2081" s="320"/>
    </row>
    <row r="2082">
      <c r="A2082" s="32">
        <f t="shared" si="1"/>
        <v>2081</v>
      </c>
      <c r="B2082" s="9" t="s">
        <v>4038</v>
      </c>
      <c r="C2082" s="500" t="s">
        <v>4167</v>
      </c>
      <c r="D2082" s="668" t="s">
        <v>4150</v>
      </c>
      <c r="E2082" s="18">
        <f>VLOOKUP($C2082,'SILENT PIPE'!$E$3:$G2469,2,0)</f>
        <v>0.93</v>
      </c>
      <c r="F2082" s="523" t="s">
        <v>1088</v>
      </c>
      <c r="G2082" s="18" t="str">
        <f>VLOOKUP($C2082,'SILENT PIPE'!$E$3:$G2469,3,0)</f>
        <v/>
      </c>
      <c r="H2082" s="320"/>
      <c r="I2082" s="320"/>
      <c r="J2082" s="320"/>
      <c r="K2082" s="320"/>
      <c r="L2082" s="320"/>
      <c r="M2082" s="320"/>
      <c r="N2082" s="320"/>
      <c r="O2082" s="320"/>
    </row>
    <row r="2083">
      <c r="A2083" s="32">
        <f t="shared" si="1"/>
        <v>2082</v>
      </c>
      <c r="B2083" s="9" t="s">
        <v>4038</v>
      </c>
      <c r="C2083" s="500" t="s">
        <v>4168</v>
      </c>
      <c r="D2083" s="668" t="s">
        <v>4169</v>
      </c>
      <c r="E2083" s="18">
        <f>VLOOKUP($C2083,'SILENT PIPE'!$H$3:$J2469,2,0)</f>
        <v>1.95</v>
      </c>
      <c r="F2083" s="523" t="s">
        <v>1088</v>
      </c>
      <c r="G2083" s="18" t="str">
        <f>VLOOKUP($C2083,'SILENT PIPE'!$H$3:$J2469,3,0)</f>
        <v/>
      </c>
      <c r="H2083" s="320"/>
      <c r="I2083" s="320"/>
      <c r="J2083" s="320"/>
      <c r="K2083" s="320"/>
      <c r="L2083" s="320"/>
      <c r="M2083" s="320"/>
      <c r="N2083" s="320"/>
      <c r="O2083" s="320"/>
    </row>
    <row r="2084">
      <c r="A2084" s="32">
        <f t="shared" si="1"/>
        <v>2083</v>
      </c>
      <c r="B2084" s="9" t="s">
        <v>4038</v>
      </c>
      <c r="C2084" s="500" t="s">
        <v>4171</v>
      </c>
      <c r="D2084" s="668" t="s">
        <v>4169</v>
      </c>
      <c r="E2084" s="18">
        <f>VLOOKUP($C2084,'SILENT PIPE'!$H$3:$J2469,2,0)</f>
        <v>1.95</v>
      </c>
      <c r="F2084" s="523" t="s">
        <v>1088</v>
      </c>
      <c r="G2084" s="18" t="str">
        <f>VLOOKUP($C2084,'SILENT PIPE'!$H$3:$J2469,3,0)</f>
        <v/>
      </c>
      <c r="H2084" s="320"/>
      <c r="I2084" s="320"/>
      <c r="J2084" s="320"/>
      <c r="K2084" s="320"/>
      <c r="L2084" s="320"/>
      <c r="M2084" s="320"/>
      <c r="N2084" s="320"/>
      <c r="O2084" s="320"/>
    </row>
    <row r="2085">
      <c r="A2085" s="32">
        <f t="shared" si="1"/>
        <v>2084</v>
      </c>
      <c r="B2085" s="9" t="s">
        <v>4038</v>
      </c>
      <c r="C2085" s="500" t="s">
        <v>4172</v>
      </c>
      <c r="D2085" s="668" t="s">
        <v>4169</v>
      </c>
      <c r="E2085" s="18">
        <f>VLOOKUP($C2085,'SILENT PIPE'!$H$3:$J2469,2,0)</f>
        <v>0.39</v>
      </c>
      <c r="F2085" s="523" t="s">
        <v>1088</v>
      </c>
      <c r="G2085" s="18" t="str">
        <f>VLOOKUP($C2085,'SILENT PIPE'!$H$3:$J2469,3,0)</f>
        <v/>
      </c>
      <c r="H2085" s="320"/>
      <c r="I2085" s="320"/>
      <c r="J2085" s="320"/>
      <c r="K2085" s="320"/>
      <c r="L2085" s="320"/>
      <c r="M2085" s="320"/>
      <c r="N2085" s="320"/>
      <c r="O2085" s="320"/>
    </row>
    <row r="2086">
      <c r="A2086" s="32">
        <f t="shared" si="1"/>
        <v>2085</v>
      </c>
      <c r="B2086" s="9" t="s">
        <v>4038</v>
      </c>
      <c r="C2086" s="500" t="s">
        <v>4173</v>
      </c>
      <c r="D2086" s="668" t="s">
        <v>4169</v>
      </c>
      <c r="E2086" s="18">
        <f>VLOOKUP($C2086,'SILENT PIPE'!$H$3:$J2469,2,0)</f>
        <v>0.39</v>
      </c>
      <c r="F2086" s="523" t="s">
        <v>1088</v>
      </c>
      <c r="G2086" s="18" t="str">
        <f>VLOOKUP($C2086,'SILENT PIPE'!$H$3:$J2469,3,0)</f>
        <v/>
      </c>
      <c r="H2086" s="320"/>
      <c r="I2086" s="320"/>
      <c r="J2086" s="320"/>
      <c r="K2086" s="320"/>
      <c r="L2086" s="320"/>
      <c r="M2086" s="320"/>
      <c r="N2086" s="320"/>
      <c r="O2086" s="320"/>
    </row>
    <row r="2087">
      <c r="A2087" s="32">
        <f t="shared" si="1"/>
        <v>2086</v>
      </c>
      <c r="B2087" s="9" t="s">
        <v>4038</v>
      </c>
      <c r="C2087" s="500" t="s">
        <v>4174</v>
      </c>
      <c r="D2087" s="668" t="s">
        <v>4169</v>
      </c>
      <c r="E2087" s="18">
        <f>VLOOKUP($C2087,'SILENT PIPE'!$H$3:$J2469,2,0)</f>
        <v>0.585</v>
      </c>
      <c r="F2087" s="523" t="s">
        <v>1088</v>
      </c>
      <c r="G2087" s="18" t="str">
        <f>VLOOKUP($C2087,'SILENT PIPE'!$H$3:$J2469,3,0)</f>
        <v/>
      </c>
      <c r="H2087" s="320"/>
      <c r="I2087" s="320"/>
      <c r="J2087" s="320"/>
      <c r="K2087" s="320"/>
      <c r="L2087" s="320"/>
      <c r="M2087" s="320"/>
      <c r="N2087" s="320"/>
      <c r="O2087" s="320"/>
    </row>
    <row r="2088">
      <c r="A2088" s="32">
        <f t="shared" si="1"/>
        <v>2087</v>
      </c>
      <c r="B2088" s="9" t="s">
        <v>4038</v>
      </c>
      <c r="C2088" s="500" t="s">
        <v>4175</v>
      </c>
      <c r="D2088" s="668" t="s">
        <v>4169</v>
      </c>
      <c r="E2088" s="18">
        <f>VLOOKUP($C2088,'SILENT PIPE'!$H$3:$J2469,2,0)</f>
        <v>0.585</v>
      </c>
      <c r="F2088" s="523" t="s">
        <v>1088</v>
      </c>
      <c r="G2088" s="18" t="str">
        <f>VLOOKUP($C2088,'SILENT PIPE'!$H$3:$J2469,3,0)</f>
        <v/>
      </c>
      <c r="H2088" s="320"/>
      <c r="I2088" s="320"/>
      <c r="J2088" s="320"/>
      <c r="K2088" s="320"/>
      <c r="L2088" s="320"/>
      <c r="M2088" s="320"/>
      <c r="N2088" s="320"/>
      <c r="O2088" s="320"/>
    </row>
    <row r="2089">
      <c r="A2089" s="32">
        <f t="shared" si="1"/>
        <v>2088</v>
      </c>
      <c r="B2089" s="9" t="s">
        <v>4038</v>
      </c>
      <c r="C2089" s="500" t="s">
        <v>4176</v>
      </c>
      <c r="D2089" s="668" t="s">
        <v>4169</v>
      </c>
      <c r="E2089" s="18">
        <f>VLOOKUP($C2089,'SILENT PIPE'!$H$3:$J2469,2,0)</f>
        <v>0.78</v>
      </c>
      <c r="F2089" s="523" t="s">
        <v>1088</v>
      </c>
      <c r="G2089" s="18" t="str">
        <f>VLOOKUP($C2089,'SILENT PIPE'!$H$3:$J2469,3,0)</f>
        <v/>
      </c>
      <c r="H2089" s="320"/>
      <c r="I2089" s="320"/>
      <c r="J2089" s="320"/>
      <c r="K2089" s="320"/>
      <c r="L2089" s="320"/>
      <c r="M2089" s="320"/>
      <c r="N2089" s="320"/>
      <c r="O2089" s="320"/>
    </row>
    <row r="2090">
      <c r="A2090" s="32">
        <f t="shared" si="1"/>
        <v>2089</v>
      </c>
      <c r="B2090" s="9" t="s">
        <v>4038</v>
      </c>
      <c r="C2090" s="500" t="s">
        <v>4177</v>
      </c>
      <c r="D2090" s="668" t="s">
        <v>4169</v>
      </c>
      <c r="E2090" s="18">
        <f>VLOOKUP($C2090,'SILENT PIPE'!$H$3:$J2469,2,0)</f>
        <v>0.78</v>
      </c>
      <c r="F2090" s="523" t="s">
        <v>1088</v>
      </c>
      <c r="G2090" s="18" t="str">
        <f>VLOOKUP($C2090,'SILENT PIPE'!$H$3:$J2469,3,0)</f>
        <v/>
      </c>
      <c r="H2090" s="320"/>
      <c r="I2090" s="320"/>
      <c r="J2090" s="320"/>
      <c r="K2090" s="320"/>
      <c r="L2090" s="320"/>
      <c r="M2090" s="320"/>
      <c r="N2090" s="320"/>
      <c r="O2090" s="320"/>
    </row>
    <row r="2091">
      <c r="A2091" s="32">
        <f t="shared" si="1"/>
        <v>2090</v>
      </c>
      <c r="B2091" s="9" t="s">
        <v>4038</v>
      </c>
      <c r="C2091" s="500" t="s">
        <v>4179</v>
      </c>
      <c r="D2091" s="668" t="s">
        <v>4169</v>
      </c>
      <c r="E2091" s="18">
        <f>VLOOKUP($C2091,'SILENT PIPE'!$H$3:$J2469,2,0)</f>
        <v>1.17</v>
      </c>
      <c r="F2091" s="523" t="s">
        <v>1088</v>
      </c>
      <c r="G2091" s="18" t="str">
        <f>VLOOKUP($C2091,'SILENT PIPE'!$H$3:$J2469,3,0)</f>
        <v/>
      </c>
      <c r="H2091" s="320"/>
      <c r="I2091" s="320"/>
      <c r="J2091" s="320"/>
      <c r="K2091" s="320"/>
      <c r="L2091" s="320"/>
      <c r="M2091" s="320"/>
      <c r="N2091" s="320"/>
      <c r="O2091" s="320"/>
    </row>
    <row r="2092">
      <c r="A2092" s="32">
        <f t="shared" si="1"/>
        <v>2091</v>
      </c>
      <c r="B2092" s="9" t="s">
        <v>4038</v>
      </c>
      <c r="C2092" s="500" t="s">
        <v>4181</v>
      </c>
      <c r="D2092" s="668" t="s">
        <v>4169</v>
      </c>
      <c r="E2092" s="18">
        <f>VLOOKUP($C2092,'SILENT PIPE'!$H$3:$J2469,2,0)</f>
        <v>1.17</v>
      </c>
      <c r="F2092" s="523" t="s">
        <v>1088</v>
      </c>
      <c r="G2092" s="18" t="str">
        <f>VLOOKUP($C2092,'SILENT PIPE'!$H$3:$J2469,3,0)</f>
        <v/>
      </c>
      <c r="H2092" s="320"/>
      <c r="I2092" s="320"/>
      <c r="J2092" s="320"/>
      <c r="K2092" s="320"/>
      <c r="L2092" s="320"/>
      <c r="M2092" s="320"/>
      <c r="N2092" s="320"/>
      <c r="O2092" s="320"/>
    </row>
    <row r="2093">
      <c r="A2093" s="32">
        <f t="shared" si="1"/>
        <v>2092</v>
      </c>
      <c r="B2093" s="9" t="s">
        <v>4038</v>
      </c>
      <c r="C2093" s="500" t="s">
        <v>4182</v>
      </c>
      <c r="D2093" s="668" t="s">
        <v>4183</v>
      </c>
      <c r="E2093" s="18">
        <f>VLOOKUP($C2093,'SILENT PIPE'!$K$3:$M2469,2,0)</f>
        <v>3.85</v>
      </c>
      <c r="F2093" s="523" t="s">
        <v>1088</v>
      </c>
      <c r="G2093" s="18" t="str">
        <f>VLOOKUP($C2093,'SILENT PIPE'!$K$3:$M2469,3,0)</f>
        <v/>
      </c>
      <c r="H2093" s="320"/>
      <c r="I2093" s="320"/>
      <c r="J2093" s="320"/>
      <c r="K2093" s="320"/>
      <c r="L2093" s="320"/>
      <c r="M2093" s="320"/>
      <c r="N2093" s="320"/>
      <c r="O2093" s="320"/>
    </row>
    <row r="2094">
      <c r="A2094" s="32">
        <f t="shared" si="1"/>
        <v>2093</v>
      </c>
      <c r="B2094" s="9" t="s">
        <v>4038</v>
      </c>
      <c r="C2094" s="500" t="s">
        <v>4185</v>
      </c>
      <c r="D2094" s="668" t="s">
        <v>4183</v>
      </c>
      <c r="E2094" s="18">
        <f>VLOOKUP($C2094,'SILENT PIPE'!$K$3:$M2469,2,0)</f>
        <v>3.85</v>
      </c>
      <c r="F2094" s="523" t="s">
        <v>1088</v>
      </c>
      <c r="G2094" s="18" t="str">
        <f>VLOOKUP($C2094,'SILENT PIPE'!$K$3:$M2469,3,0)</f>
        <v/>
      </c>
      <c r="H2094" s="320"/>
      <c r="I2094" s="320"/>
      <c r="J2094" s="320"/>
      <c r="K2094" s="320"/>
      <c r="L2094" s="320"/>
      <c r="M2094" s="320"/>
      <c r="N2094" s="320"/>
      <c r="O2094" s="320"/>
    </row>
    <row r="2095">
      <c r="A2095" s="32">
        <f t="shared" si="1"/>
        <v>2094</v>
      </c>
      <c r="B2095" s="9" t="s">
        <v>4038</v>
      </c>
      <c r="C2095" s="500" t="s">
        <v>4187</v>
      </c>
      <c r="D2095" s="668" t="s">
        <v>4183</v>
      </c>
      <c r="E2095" s="18">
        <f>VLOOKUP($C2095,'SILENT PIPE'!$K$3:$M2469,2,0)</f>
        <v>0.77</v>
      </c>
      <c r="F2095" s="523" t="s">
        <v>1088</v>
      </c>
      <c r="G2095" s="18" t="str">
        <f>VLOOKUP($C2095,'SILENT PIPE'!$K$3:$M2469,3,0)</f>
        <v/>
      </c>
      <c r="H2095" s="320"/>
      <c r="I2095" s="320"/>
      <c r="J2095" s="320"/>
      <c r="K2095" s="320"/>
      <c r="L2095" s="320"/>
      <c r="M2095" s="320"/>
      <c r="N2095" s="320"/>
      <c r="O2095" s="320"/>
    </row>
    <row r="2096">
      <c r="A2096" s="32">
        <f t="shared" si="1"/>
        <v>2095</v>
      </c>
      <c r="B2096" s="9" t="s">
        <v>4038</v>
      </c>
      <c r="C2096" s="500" t="s">
        <v>4188</v>
      </c>
      <c r="D2096" s="668" t="s">
        <v>4183</v>
      </c>
      <c r="E2096" s="18">
        <f>VLOOKUP($C2096,'SILENT PIPE'!$K$3:$M2469,2,0)</f>
        <v>0.77</v>
      </c>
      <c r="F2096" s="523" t="s">
        <v>1088</v>
      </c>
      <c r="G2096" s="18" t="str">
        <f>VLOOKUP($C2096,'SILENT PIPE'!$K$3:$M2469,3,0)</f>
        <v/>
      </c>
      <c r="H2096" s="320"/>
      <c r="I2096" s="320"/>
      <c r="J2096" s="320"/>
      <c r="K2096" s="320"/>
      <c r="L2096" s="320"/>
      <c r="M2096" s="320"/>
      <c r="N2096" s="320"/>
      <c r="O2096" s="320"/>
    </row>
    <row r="2097">
      <c r="A2097" s="32">
        <f t="shared" si="1"/>
        <v>2096</v>
      </c>
      <c r="B2097" s="9" t="s">
        <v>4038</v>
      </c>
      <c r="C2097" s="500" t="s">
        <v>4190</v>
      </c>
      <c r="D2097" s="668" t="s">
        <v>4183</v>
      </c>
      <c r="E2097" s="18">
        <f>VLOOKUP($C2097,'SILENT PIPE'!$K$3:$M2469,2,0)</f>
        <v>1.155</v>
      </c>
      <c r="F2097" s="523" t="s">
        <v>1088</v>
      </c>
      <c r="G2097" s="18" t="str">
        <f>VLOOKUP($C2097,'SILENT PIPE'!$K$3:$M2469,3,0)</f>
        <v/>
      </c>
      <c r="H2097" s="320"/>
      <c r="I2097" s="320"/>
      <c r="J2097" s="320"/>
      <c r="K2097" s="320"/>
      <c r="L2097" s="320"/>
      <c r="M2097" s="320"/>
      <c r="N2097" s="320"/>
      <c r="O2097" s="320"/>
    </row>
    <row r="2098">
      <c r="A2098" s="32">
        <f t="shared" si="1"/>
        <v>2097</v>
      </c>
      <c r="B2098" s="9" t="s">
        <v>4038</v>
      </c>
      <c r="C2098" s="500" t="s">
        <v>4193</v>
      </c>
      <c r="D2098" s="668" t="s">
        <v>4183</v>
      </c>
      <c r="E2098" s="18">
        <f>VLOOKUP($C2098,'SILENT PIPE'!$K$3:$M2469,2,0)</f>
        <v>1.155</v>
      </c>
      <c r="F2098" s="523" t="s">
        <v>1088</v>
      </c>
      <c r="G2098" s="18" t="str">
        <f>VLOOKUP($C2098,'SILENT PIPE'!$K$3:$M2469,3,0)</f>
        <v/>
      </c>
      <c r="H2098" s="320"/>
      <c r="I2098" s="320"/>
      <c r="J2098" s="320"/>
      <c r="K2098" s="320"/>
      <c r="L2098" s="320"/>
      <c r="M2098" s="320"/>
      <c r="N2098" s="320"/>
      <c r="O2098" s="320"/>
    </row>
    <row r="2099">
      <c r="A2099" s="32">
        <f t="shared" si="1"/>
        <v>2098</v>
      </c>
      <c r="B2099" s="9" t="s">
        <v>4038</v>
      </c>
      <c r="C2099" s="500" t="s">
        <v>4194</v>
      </c>
      <c r="D2099" s="668" t="s">
        <v>4183</v>
      </c>
      <c r="E2099" s="18">
        <f>VLOOKUP($C2099,'SILENT PIPE'!$K$3:$M2469,2,0)</f>
        <v>1.54</v>
      </c>
      <c r="F2099" s="523" t="s">
        <v>1088</v>
      </c>
      <c r="G2099" s="18" t="str">
        <f>VLOOKUP($C2099,'SILENT PIPE'!$K$3:$M2469,3,0)</f>
        <v/>
      </c>
      <c r="H2099" s="320"/>
      <c r="I2099" s="320"/>
      <c r="J2099" s="320"/>
      <c r="K2099" s="320"/>
      <c r="L2099" s="320"/>
      <c r="M2099" s="320"/>
      <c r="N2099" s="320"/>
      <c r="O2099" s="320"/>
    </row>
    <row r="2100">
      <c r="A2100" s="32">
        <f t="shared" si="1"/>
        <v>2099</v>
      </c>
      <c r="B2100" s="9" t="s">
        <v>4038</v>
      </c>
      <c r="C2100" s="500" t="s">
        <v>4195</v>
      </c>
      <c r="D2100" s="668" t="s">
        <v>4183</v>
      </c>
      <c r="E2100" s="18">
        <f>VLOOKUP($C2100,'SILENT PIPE'!$K$3:$M2469,2,0)</f>
        <v>1.54</v>
      </c>
      <c r="F2100" s="523" t="s">
        <v>1088</v>
      </c>
      <c r="G2100" s="18" t="str">
        <f>VLOOKUP($C2100,'SILENT PIPE'!$K$3:$M2469,3,0)</f>
        <v/>
      </c>
      <c r="H2100" s="320"/>
      <c r="I2100" s="320"/>
      <c r="J2100" s="320"/>
      <c r="K2100" s="320"/>
      <c r="L2100" s="320"/>
      <c r="M2100" s="320"/>
      <c r="N2100" s="320"/>
      <c r="O2100" s="320"/>
    </row>
    <row r="2101">
      <c r="A2101" s="32">
        <f t="shared" si="1"/>
        <v>2100</v>
      </c>
      <c r="B2101" s="9" t="s">
        <v>4038</v>
      </c>
      <c r="C2101" s="500" t="s">
        <v>4196</v>
      </c>
      <c r="D2101" s="668" t="s">
        <v>4183</v>
      </c>
      <c r="E2101" s="18">
        <f>VLOOKUP($C2101,'SILENT PIPE'!$K$3:$M2469,2,0)</f>
        <v>2.31</v>
      </c>
      <c r="F2101" s="523" t="s">
        <v>1088</v>
      </c>
      <c r="G2101" s="18" t="str">
        <f>VLOOKUP($C2101,'SILENT PIPE'!$K$3:$M2469,3,0)</f>
        <v/>
      </c>
      <c r="H2101" s="320"/>
      <c r="I2101" s="320"/>
      <c r="J2101" s="320"/>
      <c r="K2101" s="320"/>
      <c r="L2101" s="320"/>
      <c r="M2101" s="320"/>
      <c r="N2101" s="320"/>
      <c r="O2101" s="320"/>
    </row>
    <row r="2102">
      <c r="A2102" s="32">
        <f t="shared" si="1"/>
        <v>2101</v>
      </c>
      <c r="B2102" s="9" t="s">
        <v>4038</v>
      </c>
      <c r="C2102" s="500" t="s">
        <v>4198</v>
      </c>
      <c r="D2102" s="668" t="s">
        <v>4183</v>
      </c>
      <c r="E2102" s="18">
        <f>VLOOKUP($C2102,'SILENT PIPE'!$K$3:$M2469,2,0)</f>
        <v>2.31</v>
      </c>
      <c r="F2102" s="523" t="s">
        <v>1088</v>
      </c>
      <c r="G2102" s="18" t="str">
        <f>VLOOKUP($C2102,'SILENT PIPE'!$K$3:$M2469,3,0)</f>
        <v/>
      </c>
      <c r="H2102" s="320"/>
      <c r="I2102" s="320"/>
      <c r="J2102" s="320"/>
      <c r="K2102" s="320"/>
      <c r="L2102" s="320"/>
      <c r="M2102" s="320"/>
      <c r="N2102" s="320"/>
      <c r="O2102" s="320"/>
    </row>
    <row r="2103">
      <c r="A2103" s="32">
        <f t="shared" si="1"/>
        <v>2102</v>
      </c>
      <c r="B2103" s="9" t="s">
        <v>4038</v>
      </c>
      <c r="C2103" s="500" t="s">
        <v>4199</v>
      </c>
      <c r="D2103" s="668" t="s">
        <v>4200</v>
      </c>
      <c r="E2103" s="596">
        <f>VLOOKUP($C2103,'SILENT PIPE'!$N$3:$P2469,2,0)</f>
        <v>7.1</v>
      </c>
      <c r="F2103" s="656" t="s">
        <v>1088</v>
      </c>
      <c r="G2103" s="296" t="str">
        <f>VLOOKUP($C2103,'SILENT PIPE'!$N$3:$P2469,3,0)</f>
        <v/>
      </c>
      <c r="H2103" s="320"/>
      <c r="I2103" s="320"/>
      <c r="J2103" s="320"/>
      <c r="K2103" s="320"/>
      <c r="L2103" s="320"/>
      <c r="M2103" s="320"/>
      <c r="N2103" s="320"/>
      <c r="O2103" s="320"/>
    </row>
    <row r="2104">
      <c r="A2104" s="32">
        <f t="shared" si="1"/>
        <v>2103</v>
      </c>
      <c r="B2104" s="9" t="s">
        <v>4038</v>
      </c>
      <c r="C2104" s="500" t="s">
        <v>4201</v>
      </c>
      <c r="D2104" s="668" t="s">
        <v>4200</v>
      </c>
      <c r="E2104" s="18">
        <f>VLOOKUP($C2104,'SILENT PIPE'!$N$3:$P2469,2,0)</f>
        <v>7.1</v>
      </c>
      <c r="F2104" s="523" t="s">
        <v>1088</v>
      </c>
      <c r="G2104" s="18" t="str">
        <f>VLOOKUP($C2104,'SILENT PIPE'!$N$3:$P2469,3,0)</f>
        <v/>
      </c>
      <c r="H2104" s="320"/>
      <c r="I2104" s="320"/>
      <c r="J2104" s="320"/>
      <c r="K2104" s="320"/>
      <c r="L2104" s="320"/>
      <c r="M2104" s="320"/>
      <c r="N2104" s="320"/>
      <c r="O2104" s="320"/>
    </row>
    <row r="2105">
      <c r="A2105" s="32">
        <f t="shared" si="1"/>
        <v>2104</v>
      </c>
      <c r="B2105" s="9" t="s">
        <v>4038</v>
      </c>
      <c r="C2105" s="500" t="s">
        <v>4203</v>
      </c>
      <c r="D2105" s="668" t="s">
        <v>4200</v>
      </c>
      <c r="E2105" s="18">
        <f>VLOOKUP($C2105,'SILENT PIPE'!$N$3:$P2469,2,0)</f>
        <v>1.42</v>
      </c>
      <c r="F2105" s="523" t="s">
        <v>1088</v>
      </c>
      <c r="G2105" s="18" t="str">
        <f>VLOOKUP($C2105,'SILENT PIPE'!$N$3:$P2469,3,0)</f>
        <v/>
      </c>
      <c r="H2105" s="320"/>
      <c r="I2105" s="320"/>
      <c r="J2105" s="320"/>
      <c r="K2105" s="320"/>
      <c r="L2105" s="320"/>
      <c r="M2105" s="320"/>
      <c r="N2105" s="320"/>
      <c r="O2105" s="320"/>
    </row>
    <row r="2106">
      <c r="A2106" s="32">
        <f t="shared" si="1"/>
        <v>2105</v>
      </c>
      <c r="B2106" s="9" t="s">
        <v>4038</v>
      </c>
      <c r="C2106" s="500" t="s">
        <v>4204</v>
      </c>
      <c r="D2106" s="668" t="s">
        <v>4200</v>
      </c>
      <c r="E2106" s="18">
        <f>VLOOKUP($C2106,'SILENT PIPE'!$N$3:$P2469,2,0)</f>
        <v>1.42</v>
      </c>
      <c r="F2106" s="523" t="s">
        <v>1088</v>
      </c>
      <c r="G2106" s="18" t="str">
        <f>VLOOKUP($C2106,'SILENT PIPE'!$N$3:$P2469,3,0)</f>
        <v/>
      </c>
      <c r="H2106" s="320"/>
      <c r="I2106" s="320"/>
      <c r="J2106" s="320"/>
      <c r="K2106" s="320"/>
      <c r="L2106" s="320"/>
      <c r="M2106" s="320"/>
      <c r="N2106" s="320"/>
      <c r="O2106" s="320"/>
    </row>
    <row r="2107">
      <c r="A2107" s="32">
        <f t="shared" si="1"/>
        <v>2106</v>
      </c>
      <c r="B2107" s="9" t="s">
        <v>4038</v>
      </c>
      <c r="C2107" s="500" t="s">
        <v>4205</v>
      </c>
      <c r="D2107" s="668" t="s">
        <v>4200</v>
      </c>
      <c r="E2107" s="18">
        <f>VLOOKUP($C2107,'SILENT PIPE'!$N$3:$P2469,2,0)</f>
        <v>2.13</v>
      </c>
      <c r="F2107" s="523" t="s">
        <v>1088</v>
      </c>
      <c r="G2107" s="18" t="str">
        <f>VLOOKUP($C2107,'SILENT PIPE'!$N$3:$P2469,3,0)</f>
        <v/>
      </c>
      <c r="H2107" s="320"/>
      <c r="I2107" s="320"/>
      <c r="J2107" s="320"/>
      <c r="K2107" s="320"/>
      <c r="L2107" s="320"/>
      <c r="M2107" s="320"/>
      <c r="N2107" s="320"/>
      <c r="O2107" s="320"/>
    </row>
    <row r="2108">
      <c r="A2108" s="32">
        <f t="shared" si="1"/>
        <v>2107</v>
      </c>
      <c r="B2108" s="9" t="s">
        <v>4038</v>
      </c>
      <c r="C2108" s="500" t="s">
        <v>4207</v>
      </c>
      <c r="D2108" s="668" t="s">
        <v>4200</v>
      </c>
      <c r="E2108" s="18">
        <f>VLOOKUP($C2108,'SILENT PIPE'!$N$3:$P2469,2,0)</f>
        <v>2.13</v>
      </c>
      <c r="F2108" s="523" t="s">
        <v>1088</v>
      </c>
      <c r="G2108" s="18" t="str">
        <f>VLOOKUP($C2108,'SILENT PIPE'!$N$3:$P2469,3,0)</f>
        <v/>
      </c>
      <c r="H2108" s="320"/>
      <c r="I2108" s="320"/>
      <c r="J2108" s="320"/>
      <c r="K2108" s="320"/>
      <c r="L2108" s="320"/>
      <c r="M2108" s="320"/>
      <c r="N2108" s="320"/>
      <c r="O2108" s="320"/>
    </row>
    <row r="2109">
      <c r="A2109" s="32">
        <f t="shared" si="1"/>
        <v>2108</v>
      </c>
      <c r="B2109" s="9" t="s">
        <v>4038</v>
      </c>
      <c r="C2109" s="500" t="s">
        <v>4208</v>
      </c>
      <c r="D2109" s="668" t="s">
        <v>4200</v>
      </c>
      <c r="E2109" s="18">
        <f>VLOOKUP($C2109,'SILENT PIPE'!$N$3:$P2469,2,0)</f>
        <v>2.84</v>
      </c>
      <c r="F2109" s="523" t="s">
        <v>1088</v>
      </c>
      <c r="G2109" s="18" t="str">
        <f>VLOOKUP($C2109,'SILENT PIPE'!$N$3:$P2469,3,0)</f>
        <v/>
      </c>
      <c r="H2109" s="320"/>
      <c r="I2109" s="320"/>
      <c r="J2109" s="320"/>
      <c r="K2109" s="320"/>
      <c r="L2109" s="320"/>
      <c r="M2109" s="320"/>
      <c r="N2109" s="320"/>
      <c r="O2109" s="320"/>
    </row>
    <row r="2110">
      <c r="A2110" s="32">
        <f t="shared" si="1"/>
        <v>2109</v>
      </c>
      <c r="B2110" s="9" t="s">
        <v>4038</v>
      </c>
      <c r="C2110" s="500" t="s">
        <v>4210</v>
      </c>
      <c r="D2110" s="668" t="s">
        <v>4200</v>
      </c>
      <c r="E2110" s="18">
        <f>VLOOKUP($C2110,'SILENT PIPE'!$N$3:$P2469,2,0)</f>
        <v>2.84</v>
      </c>
      <c r="F2110" s="523" t="s">
        <v>1088</v>
      </c>
      <c r="G2110" s="18" t="str">
        <f>VLOOKUP($C2110,'SILENT PIPE'!$N$3:$P2469,3,0)</f>
        <v/>
      </c>
      <c r="H2110" s="320"/>
      <c r="I2110" s="320"/>
      <c r="J2110" s="320"/>
      <c r="K2110" s="320"/>
      <c r="L2110" s="320"/>
      <c r="M2110" s="320"/>
      <c r="N2110" s="320"/>
      <c r="O2110" s="320"/>
    </row>
    <row r="2111">
      <c r="A2111" s="32">
        <f t="shared" si="1"/>
        <v>2110</v>
      </c>
      <c r="B2111" s="9" t="s">
        <v>4038</v>
      </c>
      <c r="C2111" s="500" t="s">
        <v>4212</v>
      </c>
      <c r="D2111" s="668" t="s">
        <v>4200</v>
      </c>
      <c r="E2111" s="18">
        <f>VLOOKUP($C2111,'SILENT PIPE'!$N$3:$P2469,2,0)</f>
        <v>4.26</v>
      </c>
      <c r="F2111" s="523" t="s">
        <v>1088</v>
      </c>
      <c r="G2111" s="18" t="str">
        <f>VLOOKUP($C2111,'SILENT PIPE'!$N$3:$P2469,3,0)</f>
        <v/>
      </c>
      <c r="H2111" s="320"/>
      <c r="I2111" s="320"/>
      <c r="J2111" s="320"/>
      <c r="K2111" s="320"/>
      <c r="L2111" s="320"/>
      <c r="M2111" s="320"/>
      <c r="N2111" s="320"/>
      <c r="O2111" s="320"/>
    </row>
    <row r="2112">
      <c r="A2112" s="32">
        <f t="shared" si="1"/>
        <v>2111</v>
      </c>
      <c r="B2112" s="9" t="s">
        <v>4038</v>
      </c>
      <c r="C2112" s="500" t="s">
        <v>4214</v>
      </c>
      <c r="D2112" s="668" t="s">
        <v>4200</v>
      </c>
      <c r="E2112" s="18">
        <f>VLOOKUP($C2112,'SILENT PIPE'!$N$3:$P2469,2,0)</f>
        <v>4.26</v>
      </c>
      <c r="F2112" s="523" t="s">
        <v>1088</v>
      </c>
      <c r="G2112" s="18" t="str">
        <f>VLOOKUP($C2112,'SILENT PIPE'!$N$3:$P2469,3,0)</f>
        <v/>
      </c>
      <c r="H2112" s="320"/>
      <c r="I2112" s="320"/>
      <c r="J2112" s="320"/>
      <c r="K2112" s="320"/>
      <c r="L2112" s="320"/>
      <c r="M2112" s="320"/>
      <c r="N2112" s="320"/>
      <c r="O2112" s="320"/>
    </row>
    <row r="2113">
      <c r="A2113" s="32">
        <f t="shared" si="1"/>
        <v>2112</v>
      </c>
      <c r="B2113" s="9" t="s">
        <v>4038</v>
      </c>
      <c r="C2113" s="500" t="s">
        <v>4215</v>
      </c>
      <c r="D2113" s="668" t="s">
        <v>4216</v>
      </c>
      <c r="E2113" s="596">
        <f>VLOOKUP($C2113,'SILENT PIPE'!$Q$3:$S2469,2,0)</f>
        <v>15.5</v>
      </c>
      <c r="F2113" s="656" t="s">
        <v>1088</v>
      </c>
      <c r="G2113" s="296" t="str">
        <f>VLOOKUP($C2113,'SILENT PIPE'!$Q$3:$S2469,3,0)</f>
        <v/>
      </c>
      <c r="H2113" s="320"/>
      <c r="I2113" s="320"/>
      <c r="J2113" s="320"/>
      <c r="K2113" s="320"/>
      <c r="L2113" s="320"/>
      <c r="M2113" s="320"/>
      <c r="N2113" s="320"/>
      <c r="O2113" s="320"/>
    </row>
    <row r="2114">
      <c r="A2114" s="32">
        <f t="shared" si="1"/>
        <v>2113</v>
      </c>
      <c r="B2114" s="9" t="s">
        <v>4038</v>
      </c>
      <c r="C2114" s="500" t="s">
        <v>4218</v>
      </c>
      <c r="D2114" s="668" t="s">
        <v>4216</v>
      </c>
      <c r="E2114" s="596">
        <f>VLOOKUP($C2114,'SILENT PIPE'!$Q$3:$S2469,2,0)</f>
        <v>15.5</v>
      </c>
      <c r="F2114" s="656" t="s">
        <v>1088</v>
      </c>
      <c r="G2114" s="296" t="str">
        <f>VLOOKUP($C2114,'SILENT PIPE'!$Q$3:$S2469,3,0)</f>
        <v/>
      </c>
      <c r="H2114" s="320"/>
      <c r="I2114" s="320"/>
      <c r="J2114" s="320"/>
      <c r="K2114" s="320"/>
      <c r="L2114" s="320"/>
      <c r="M2114" s="320"/>
      <c r="N2114" s="320"/>
      <c r="O2114" s="320"/>
    </row>
    <row r="2115">
      <c r="A2115" s="32">
        <f t="shared" si="1"/>
        <v>2114</v>
      </c>
      <c r="B2115" s="9" t="s">
        <v>4038</v>
      </c>
      <c r="C2115" s="500" t="s">
        <v>4219</v>
      </c>
      <c r="D2115" s="668" t="s">
        <v>4216</v>
      </c>
      <c r="E2115" s="596">
        <f>VLOOKUP($C2115,'SILENT PIPE'!$Q$3:$S2469,2,0)</f>
        <v>3.1</v>
      </c>
      <c r="F2115" s="656" t="s">
        <v>1088</v>
      </c>
      <c r="G2115" s="296" t="str">
        <f>VLOOKUP($C2115,'SILENT PIPE'!$Q$3:$S2469,3,0)</f>
        <v/>
      </c>
      <c r="H2115" s="320"/>
      <c r="I2115" s="320"/>
      <c r="J2115" s="320"/>
      <c r="K2115" s="320"/>
      <c r="L2115" s="320"/>
      <c r="M2115" s="320"/>
      <c r="N2115" s="320"/>
      <c r="O2115" s="320"/>
    </row>
    <row r="2116">
      <c r="A2116" s="32">
        <f t="shared" si="1"/>
        <v>2115</v>
      </c>
      <c r="B2116" s="9" t="s">
        <v>4038</v>
      </c>
      <c r="C2116" s="500" t="s">
        <v>4220</v>
      </c>
      <c r="D2116" s="668" t="s">
        <v>4216</v>
      </c>
      <c r="E2116" s="596">
        <f>VLOOKUP($C2116,'SILENT PIPE'!$Q$3:$S2469,2,0)</f>
        <v>3.1</v>
      </c>
      <c r="F2116" s="656" t="s">
        <v>1088</v>
      </c>
      <c r="G2116" s="296" t="str">
        <f>VLOOKUP($C2116,'SILENT PIPE'!$Q$3:$S2469,3,0)</f>
        <v/>
      </c>
      <c r="H2116" s="320"/>
      <c r="I2116" s="320"/>
      <c r="J2116" s="320"/>
      <c r="K2116" s="320"/>
      <c r="L2116" s="320"/>
      <c r="M2116" s="320"/>
      <c r="N2116" s="320"/>
      <c r="O2116" s="320"/>
    </row>
    <row r="2117">
      <c r="A2117" s="32">
        <f t="shared" si="1"/>
        <v>2116</v>
      </c>
      <c r="B2117" s="9" t="s">
        <v>4038</v>
      </c>
      <c r="C2117" s="500" t="s">
        <v>4221</v>
      </c>
      <c r="D2117" s="668" t="s">
        <v>4216</v>
      </c>
      <c r="E2117" s="596">
        <f>VLOOKUP($C2117,'SILENT PIPE'!$Q$3:$S2469,2,0)</f>
        <v>4.65</v>
      </c>
      <c r="F2117" s="656" t="s">
        <v>1088</v>
      </c>
      <c r="G2117" s="296" t="str">
        <f>VLOOKUP($C2117,'SILENT PIPE'!$Q$3:$S2469,3,0)</f>
        <v/>
      </c>
      <c r="H2117" s="320"/>
      <c r="I2117" s="320"/>
      <c r="J2117" s="320"/>
      <c r="K2117" s="320"/>
      <c r="L2117" s="320"/>
      <c r="M2117" s="320"/>
      <c r="N2117" s="320"/>
      <c r="O2117" s="320"/>
    </row>
    <row r="2118">
      <c r="A2118" s="32">
        <f t="shared" si="1"/>
        <v>2117</v>
      </c>
      <c r="B2118" s="9" t="s">
        <v>4038</v>
      </c>
      <c r="C2118" s="500" t="s">
        <v>4222</v>
      </c>
      <c r="D2118" s="668" t="s">
        <v>4216</v>
      </c>
      <c r="E2118" s="596">
        <f>VLOOKUP($C2118,'SILENT PIPE'!$Q$3:$S2469,2,0)</f>
        <v>4.65</v>
      </c>
      <c r="F2118" s="656" t="s">
        <v>1088</v>
      </c>
      <c r="G2118" s="296" t="str">
        <f>VLOOKUP($C2118,'SILENT PIPE'!$Q$3:$S2469,3,0)</f>
        <v/>
      </c>
      <c r="H2118" s="320"/>
      <c r="I2118" s="320"/>
      <c r="J2118" s="320"/>
      <c r="K2118" s="320"/>
      <c r="L2118" s="320"/>
      <c r="M2118" s="320"/>
      <c r="N2118" s="320"/>
      <c r="O2118" s="320"/>
    </row>
    <row r="2119">
      <c r="A2119" s="32">
        <f t="shared" si="1"/>
        <v>2118</v>
      </c>
      <c r="B2119" s="9" t="s">
        <v>4038</v>
      </c>
      <c r="C2119" s="500" t="s">
        <v>4223</v>
      </c>
      <c r="D2119" s="668" t="s">
        <v>4216</v>
      </c>
      <c r="E2119" s="596">
        <f>VLOOKUP($C2119,'SILENT PIPE'!$Q$3:$S2469,2,0)</f>
        <v>6.2</v>
      </c>
      <c r="F2119" s="656" t="s">
        <v>1088</v>
      </c>
      <c r="G2119" s="296" t="str">
        <f>VLOOKUP($C2119,'SILENT PIPE'!$Q$3:$S2469,3,0)</f>
        <v/>
      </c>
      <c r="H2119" s="320"/>
      <c r="I2119" s="320"/>
      <c r="J2119" s="320"/>
      <c r="K2119" s="320"/>
      <c r="L2119" s="320"/>
      <c r="M2119" s="320"/>
      <c r="N2119" s="320"/>
      <c r="O2119" s="320"/>
    </row>
    <row r="2120">
      <c r="A2120" s="32">
        <f t="shared" si="1"/>
        <v>2119</v>
      </c>
      <c r="B2120" s="9" t="s">
        <v>4038</v>
      </c>
      <c r="C2120" s="500" t="s">
        <v>4224</v>
      </c>
      <c r="D2120" s="668" t="s">
        <v>4216</v>
      </c>
      <c r="E2120" s="596">
        <f>VLOOKUP($C2120,'SILENT PIPE'!$Q$3:$S2469,2,0)</f>
        <v>6.2</v>
      </c>
      <c r="F2120" s="656" t="s">
        <v>1088</v>
      </c>
      <c r="G2120" s="296" t="str">
        <f>VLOOKUP($C2120,'SILENT PIPE'!$Q$3:$S2469,3,0)</f>
        <v/>
      </c>
      <c r="H2120" s="320"/>
      <c r="I2120" s="320"/>
      <c r="J2120" s="320"/>
      <c r="K2120" s="320"/>
      <c r="L2120" s="320"/>
      <c r="M2120" s="320"/>
      <c r="N2120" s="320"/>
      <c r="O2120" s="320"/>
    </row>
    <row r="2121">
      <c r="A2121" s="32">
        <f t="shared" si="1"/>
        <v>2120</v>
      </c>
      <c r="B2121" s="9" t="s">
        <v>4038</v>
      </c>
      <c r="C2121" s="500" t="s">
        <v>4230</v>
      </c>
      <c r="D2121" s="668" t="s">
        <v>4216</v>
      </c>
      <c r="E2121" s="596">
        <f>VLOOKUP($C2121,'SILENT PIPE'!$Q$3:$S2469,2,0)</f>
        <v>9.3</v>
      </c>
      <c r="F2121" s="656" t="s">
        <v>1088</v>
      </c>
      <c r="G2121" s="296" t="str">
        <f>VLOOKUP($C2121,'SILENT PIPE'!$Q$3:$S2469,3,0)</f>
        <v/>
      </c>
      <c r="H2121" s="320"/>
      <c r="I2121" s="320"/>
      <c r="J2121" s="320"/>
      <c r="K2121" s="320"/>
      <c r="L2121" s="320"/>
      <c r="M2121" s="320"/>
      <c r="N2121" s="320"/>
      <c r="O2121" s="320"/>
    </row>
    <row r="2122">
      <c r="A2122" s="32">
        <f t="shared" si="1"/>
        <v>2121</v>
      </c>
      <c r="B2122" s="9" t="s">
        <v>4038</v>
      </c>
      <c r="C2122" s="500" t="s">
        <v>4231</v>
      </c>
      <c r="D2122" s="668" t="s">
        <v>4216</v>
      </c>
      <c r="E2122" s="596">
        <f>VLOOKUP($C2122,'SILENT PIPE'!$Q$3:$S2469,2,0)</f>
        <v>9.3</v>
      </c>
      <c r="F2122" s="656" t="s">
        <v>1088</v>
      </c>
      <c r="G2122" s="296" t="str">
        <f>VLOOKUP($C2122,'SILENT PIPE'!$Q$3:$S2469,3,0)</f>
        <v/>
      </c>
      <c r="H2122" s="320"/>
      <c r="I2122" s="320"/>
      <c r="J2122" s="320"/>
      <c r="K2122" s="320"/>
      <c r="L2122" s="320"/>
      <c r="M2122" s="320"/>
      <c r="N2122" s="320"/>
      <c r="O2122" s="320"/>
    </row>
    <row r="2123">
      <c r="A2123" s="32">
        <f t="shared" si="1"/>
        <v>2122</v>
      </c>
      <c r="B2123" s="9" t="s">
        <v>4232</v>
      </c>
      <c r="C2123" s="500" t="s">
        <v>4233</v>
      </c>
      <c r="D2123" s="668" t="s">
        <v>4234</v>
      </c>
      <c r="E2123" s="668"/>
      <c r="F2123" s="656" t="s">
        <v>1088</v>
      </c>
      <c r="G2123" s="668">
        <f>VLOOKUP($C2123,'SILENT FITTINGS'!$C$4:$O2469,5,0)</f>
        <v>41.37</v>
      </c>
      <c r="H2123" s="320"/>
      <c r="I2123" s="320"/>
      <c r="J2123" s="320"/>
      <c r="K2123" s="320"/>
      <c r="L2123" s="320"/>
      <c r="M2123" s="320"/>
      <c r="N2123" s="320"/>
      <c r="O2123" s="320"/>
    </row>
    <row r="2124">
      <c r="A2124" s="32">
        <f t="shared" si="1"/>
        <v>2123</v>
      </c>
      <c r="B2124" s="9" t="s">
        <v>4232</v>
      </c>
      <c r="C2124" s="500" t="s">
        <v>4235</v>
      </c>
      <c r="D2124" s="668" t="s">
        <v>4234</v>
      </c>
      <c r="E2124" s="18"/>
      <c r="F2124" s="656" t="s">
        <v>1088</v>
      </c>
      <c r="G2124" s="668">
        <f>VLOOKUP($C2124,'SILENT FITTINGS'!$C$4:$O2469,5,0)</f>
        <v>58.2</v>
      </c>
      <c r="H2124" s="320"/>
      <c r="I2124" s="320"/>
      <c r="J2124" s="320"/>
      <c r="K2124" s="320"/>
      <c r="L2124" s="320"/>
      <c r="M2124" s="320"/>
      <c r="N2124" s="320"/>
      <c r="O2124" s="320"/>
    </row>
    <row r="2125">
      <c r="A2125" s="32">
        <f t="shared" si="1"/>
        <v>2124</v>
      </c>
      <c r="B2125" s="9" t="s">
        <v>4232</v>
      </c>
      <c r="C2125" s="500" t="s">
        <v>4236</v>
      </c>
      <c r="D2125" s="668" t="s">
        <v>4234</v>
      </c>
      <c r="E2125" s="18"/>
      <c r="F2125" s="656" t="s">
        <v>1088</v>
      </c>
      <c r="G2125" s="668">
        <f>VLOOKUP($C2125,'SILENT FITTINGS'!$C$4:$O2469,5,0)</f>
        <v>81.9</v>
      </c>
      <c r="H2125" s="320"/>
      <c r="I2125" s="320"/>
      <c r="J2125" s="320"/>
      <c r="K2125" s="320"/>
      <c r="L2125" s="320"/>
      <c r="M2125" s="320"/>
      <c r="N2125" s="320"/>
      <c r="O2125" s="320"/>
    </row>
    <row r="2126">
      <c r="A2126" s="32">
        <f t="shared" si="1"/>
        <v>2125</v>
      </c>
      <c r="B2126" s="9" t="s">
        <v>4232</v>
      </c>
      <c r="C2126" s="500" t="s">
        <v>4237</v>
      </c>
      <c r="D2126" s="668" t="s">
        <v>4234</v>
      </c>
      <c r="E2126" s="18"/>
      <c r="F2126" s="656" t="s">
        <v>1088</v>
      </c>
      <c r="G2126" s="668">
        <f>VLOOKUP($C2126,'SILENT FITTINGS'!$C$4:$O2469,5,0)</f>
        <v>209.18</v>
      </c>
      <c r="H2126" s="320"/>
      <c r="I2126" s="320"/>
      <c r="J2126" s="320"/>
      <c r="K2126" s="320"/>
      <c r="L2126" s="320"/>
      <c r="M2126" s="320"/>
      <c r="N2126" s="320"/>
      <c r="O2126" s="320"/>
    </row>
    <row r="2127">
      <c r="A2127" s="32">
        <f t="shared" si="1"/>
        <v>2126</v>
      </c>
      <c r="B2127" s="9" t="s">
        <v>4232</v>
      </c>
      <c r="C2127" s="500" t="s">
        <v>4238</v>
      </c>
      <c r="D2127" s="668" t="s">
        <v>4234</v>
      </c>
      <c r="E2127" s="18"/>
      <c r="F2127" s="656" t="s">
        <v>1088</v>
      </c>
      <c r="G2127" s="668">
        <f>VLOOKUP($C2127,'SILENT FITTINGS'!$C$4:$O2469,5,0)</f>
        <v>448.03</v>
      </c>
      <c r="H2127" s="320"/>
      <c r="I2127" s="320"/>
      <c r="J2127" s="320"/>
      <c r="K2127" s="320"/>
      <c r="L2127" s="320"/>
      <c r="M2127" s="320"/>
      <c r="N2127" s="320"/>
      <c r="O2127" s="320"/>
    </row>
    <row r="2128">
      <c r="A2128" s="32">
        <f t="shared" si="1"/>
        <v>2127</v>
      </c>
      <c r="B2128" s="9" t="s">
        <v>4232</v>
      </c>
      <c r="C2128" s="500" t="s">
        <v>4239</v>
      </c>
      <c r="D2128" s="668" t="s">
        <v>4240</v>
      </c>
      <c r="E2128" s="18"/>
      <c r="F2128" s="656" t="s">
        <v>1088</v>
      </c>
      <c r="G2128" s="668">
        <f>VLOOKUP($C2128,'SILENT FITTINGS'!$C$4:$O2469,5,0)</f>
        <v>47.8</v>
      </c>
      <c r="H2128" s="320"/>
      <c r="I2128" s="320"/>
      <c r="J2128" s="320"/>
      <c r="K2128" s="320"/>
      <c r="L2128" s="320"/>
      <c r="M2128" s="320"/>
      <c r="N2128" s="320"/>
      <c r="O2128" s="320"/>
    </row>
    <row r="2129">
      <c r="A2129" s="32">
        <f t="shared" si="1"/>
        <v>2128</v>
      </c>
      <c r="B2129" s="9" t="s">
        <v>4232</v>
      </c>
      <c r="C2129" s="500" t="s">
        <v>4241</v>
      </c>
      <c r="D2129" s="668" t="s">
        <v>4240</v>
      </c>
      <c r="E2129" s="18"/>
      <c r="F2129" s="656" t="s">
        <v>1088</v>
      </c>
      <c r="G2129" s="668">
        <f>VLOOKUP($C2129,'SILENT FITTINGS'!$C$4:$O2469,5,0)</f>
        <v>69.08</v>
      </c>
      <c r="H2129" s="320"/>
      <c r="I2129" s="320"/>
      <c r="J2129" s="320"/>
      <c r="K2129" s="320"/>
      <c r="L2129" s="320"/>
      <c r="M2129" s="320"/>
      <c r="N2129" s="320"/>
      <c r="O2129" s="320"/>
    </row>
    <row r="2130">
      <c r="A2130" s="32">
        <f t="shared" si="1"/>
        <v>2129</v>
      </c>
      <c r="B2130" s="9" t="s">
        <v>4232</v>
      </c>
      <c r="C2130" s="500" t="s">
        <v>4242</v>
      </c>
      <c r="D2130" s="668" t="s">
        <v>4240</v>
      </c>
      <c r="E2130" s="18"/>
      <c r="F2130" s="656" t="s">
        <v>1088</v>
      </c>
      <c r="G2130" s="668">
        <f>VLOOKUP($C2130,'SILENT FITTINGS'!$C$4:$O2469,5,0)</f>
        <v>124.74</v>
      </c>
      <c r="H2130" s="320"/>
      <c r="I2130" s="320"/>
      <c r="J2130" s="320"/>
      <c r="K2130" s="320"/>
      <c r="L2130" s="320"/>
      <c r="M2130" s="320"/>
      <c r="N2130" s="320"/>
      <c r="O2130" s="320"/>
    </row>
    <row r="2131">
      <c r="A2131" s="32">
        <f t="shared" si="1"/>
        <v>2130</v>
      </c>
      <c r="B2131" s="9" t="s">
        <v>4232</v>
      </c>
      <c r="C2131" s="500" t="s">
        <v>4244</v>
      </c>
      <c r="D2131" s="668" t="s">
        <v>4240</v>
      </c>
      <c r="E2131" s="18"/>
      <c r="F2131" s="656" t="s">
        <v>1088</v>
      </c>
      <c r="G2131" s="668">
        <f>VLOOKUP($C2131,'SILENT FITTINGS'!$C$4:$O2469,5,0)</f>
        <v>344.38</v>
      </c>
      <c r="H2131" s="320"/>
      <c r="I2131" s="320"/>
      <c r="J2131" s="320"/>
      <c r="K2131" s="320"/>
      <c r="L2131" s="320"/>
      <c r="M2131" s="320"/>
      <c r="N2131" s="320"/>
      <c r="O2131" s="320"/>
    </row>
    <row r="2132">
      <c r="A2132" s="32">
        <f t="shared" si="1"/>
        <v>2131</v>
      </c>
      <c r="B2132" s="9" t="s">
        <v>4232</v>
      </c>
      <c r="C2132" s="500" t="s">
        <v>4245</v>
      </c>
      <c r="D2132" s="668" t="s">
        <v>4240</v>
      </c>
      <c r="E2132" s="18"/>
      <c r="F2132" s="656" t="s">
        <v>1088</v>
      </c>
      <c r="G2132" s="668">
        <f>VLOOKUP($C2132,'SILENT FITTINGS'!$C$4:$O2469,5,0)</f>
        <v>688.67</v>
      </c>
      <c r="H2132" s="320"/>
      <c r="I2132" s="320"/>
      <c r="J2132" s="320"/>
      <c r="K2132" s="320"/>
      <c r="L2132" s="320"/>
      <c r="M2132" s="320"/>
      <c r="N2132" s="320"/>
      <c r="O2132" s="320"/>
    </row>
    <row r="2133">
      <c r="A2133" s="32">
        <f t="shared" si="1"/>
        <v>2132</v>
      </c>
      <c r="B2133" s="9" t="s">
        <v>4232</v>
      </c>
      <c r="C2133" s="500" t="s">
        <v>4247</v>
      </c>
      <c r="D2133" s="668" t="s">
        <v>4248</v>
      </c>
      <c r="E2133" s="18"/>
      <c r="F2133" s="656" t="s">
        <v>1088</v>
      </c>
      <c r="G2133" s="668">
        <f>VLOOKUP($C2133,'SILENT FITTINGS'!$C$4:$O2469,5,0)</f>
        <v>42.15</v>
      </c>
      <c r="H2133" s="320"/>
      <c r="I2133" s="320"/>
      <c r="J2133" s="320"/>
      <c r="K2133" s="320"/>
      <c r="L2133" s="320"/>
      <c r="M2133" s="320"/>
      <c r="N2133" s="320"/>
      <c r="O2133" s="320"/>
    </row>
    <row r="2134">
      <c r="A2134" s="32">
        <f t="shared" si="1"/>
        <v>2133</v>
      </c>
      <c r="B2134" s="9" t="s">
        <v>4232</v>
      </c>
      <c r="C2134" s="500" t="s">
        <v>4249</v>
      </c>
      <c r="D2134" s="668" t="s">
        <v>4248</v>
      </c>
      <c r="E2134" s="18"/>
      <c r="F2134" s="656" t="s">
        <v>1088</v>
      </c>
      <c r="G2134" s="668">
        <f>VLOOKUP($C2134,'SILENT FITTINGS'!$C$4:$O2469,5,0)</f>
        <v>60.6</v>
      </c>
      <c r="H2134" s="320"/>
      <c r="I2134" s="320"/>
      <c r="J2134" s="320"/>
      <c r="K2134" s="320"/>
      <c r="L2134" s="320"/>
      <c r="M2134" s="320"/>
      <c r="N2134" s="320"/>
      <c r="O2134" s="320"/>
    </row>
    <row r="2135">
      <c r="A2135" s="32">
        <f t="shared" si="1"/>
        <v>2134</v>
      </c>
      <c r="B2135" s="9" t="s">
        <v>4232</v>
      </c>
      <c r="C2135" s="500" t="s">
        <v>4250</v>
      </c>
      <c r="D2135" s="668" t="s">
        <v>4248</v>
      </c>
      <c r="E2135" s="18"/>
      <c r="F2135" s="656" t="s">
        <v>1088</v>
      </c>
      <c r="G2135" s="668">
        <f>VLOOKUP($C2135,'SILENT FITTINGS'!$C$4:$O2469,5,0)</f>
        <v>103.52</v>
      </c>
      <c r="H2135" s="320"/>
      <c r="I2135" s="320"/>
      <c r="J2135" s="320"/>
      <c r="K2135" s="320"/>
      <c r="L2135" s="320"/>
      <c r="M2135" s="320"/>
      <c r="N2135" s="320"/>
      <c r="O2135" s="320"/>
    </row>
    <row r="2136">
      <c r="A2136" s="32">
        <f t="shared" si="1"/>
        <v>2135</v>
      </c>
      <c r="B2136" s="9" t="s">
        <v>4232</v>
      </c>
      <c r="C2136" s="500" t="s">
        <v>4251</v>
      </c>
      <c r="D2136" s="668" t="s">
        <v>4248</v>
      </c>
      <c r="E2136" s="18"/>
      <c r="F2136" s="656" t="s">
        <v>1088</v>
      </c>
      <c r="G2136" s="668">
        <f>VLOOKUP($C2136,'SILENT FITTINGS'!$C$4:$O2469,5,0)</f>
        <v>275.94</v>
      </c>
      <c r="H2136" s="320"/>
      <c r="I2136" s="320"/>
      <c r="J2136" s="320"/>
      <c r="K2136" s="320"/>
      <c r="L2136" s="320"/>
      <c r="M2136" s="320"/>
      <c r="N2136" s="320"/>
      <c r="O2136" s="320"/>
    </row>
    <row r="2137">
      <c r="A2137" s="32">
        <f t="shared" si="1"/>
        <v>2136</v>
      </c>
      <c r="B2137" s="9" t="s">
        <v>4232</v>
      </c>
      <c r="C2137" s="500" t="s">
        <v>4252</v>
      </c>
      <c r="D2137" s="668" t="s">
        <v>4248</v>
      </c>
      <c r="E2137" s="18"/>
      <c r="F2137" s="656" t="s">
        <v>1088</v>
      </c>
      <c r="G2137" s="668">
        <f>VLOOKUP($C2137,'SILENT FITTINGS'!$C$4:$O2469,5,0)</f>
        <v>542.12</v>
      </c>
      <c r="H2137" s="320"/>
      <c r="I2137" s="320"/>
      <c r="J2137" s="320"/>
      <c r="K2137" s="320"/>
      <c r="L2137" s="320"/>
      <c r="M2137" s="320"/>
      <c r="N2137" s="320"/>
      <c r="O2137" s="320"/>
    </row>
    <row r="2138">
      <c r="A2138" s="32">
        <f t="shared" si="1"/>
        <v>2137</v>
      </c>
      <c r="B2138" s="9" t="s">
        <v>4232</v>
      </c>
      <c r="C2138" s="500" t="s">
        <v>4253</v>
      </c>
      <c r="D2138" s="668" t="s">
        <v>4254</v>
      </c>
      <c r="E2138" s="18"/>
      <c r="F2138" s="656" t="s">
        <v>1088</v>
      </c>
      <c r="G2138" s="668">
        <f>VLOOKUP($C2138,'SILENT FITTINGS'!$C$4:$O2469,5,0)</f>
        <v>74.58</v>
      </c>
      <c r="H2138" s="320"/>
      <c r="I2138" s="320"/>
      <c r="J2138" s="320"/>
      <c r="K2138" s="320"/>
      <c r="L2138" s="320"/>
      <c r="M2138" s="320"/>
      <c r="N2138" s="320"/>
      <c r="O2138" s="320"/>
    </row>
    <row r="2139">
      <c r="A2139" s="32">
        <f t="shared" si="1"/>
        <v>2138</v>
      </c>
      <c r="B2139" s="9" t="s">
        <v>4232</v>
      </c>
      <c r="C2139" s="500" t="s">
        <v>4255</v>
      </c>
      <c r="D2139" s="668" t="s">
        <v>4254</v>
      </c>
      <c r="E2139" s="18"/>
      <c r="F2139" s="656" t="s">
        <v>1088</v>
      </c>
      <c r="G2139" s="668">
        <f>VLOOKUP($C2139,'SILENT FITTINGS'!$C$4:$O2469,5,0)</f>
        <v>99.66</v>
      </c>
      <c r="H2139" s="320"/>
      <c r="I2139" s="320"/>
      <c r="J2139" s="320"/>
      <c r="K2139" s="320"/>
      <c r="L2139" s="320"/>
      <c r="M2139" s="320"/>
      <c r="N2139" s="320"/>
      <c r="O2139" s="320"/>
    </row>
    <row r="2140">
      <c r="A2140" s="32">
        <f t="shared" si="1"/>
        <v>2139</v>
      </c>
      <c r="B2140" s="9" t="s">
        <v>4232</v>
      </c>
      <c r="C2140" s="500" t="s">
        <v>4257</v>
      </c>
      <c r="D2140" s="668" t="s">
        <v>4254</v>
      </c>
      <c r="E2140" s="18"/>
      <c r="F2140" s="656" t="s">
        <v>1088</v>
      </c>
      <c r="G2140" s="668">
        <f>VLOOKUP($C2140,'SILENT FITTINGS'!$C$4:$O2469,5,0)</f>
        <v>169.99</v>
      </c>
      <c r="H2140" s="320"/>
      <c r="I2140" s="320"/>
      <c r="J2140" s="320"/>
      <c r="K2140" s="320"/>
      <c r="L2140" s="320"/>
      <c r="M2140" s="320"/>
      <c r="N2140" s="320"/>
      <c r="O2140" s="320"/>
    </row>
    <row r="2141">
      <c r="A2141" s="32">
        <f t="shared" si="1"/>
        <v>2140</v>
      </c>
      <c r="B2141" s="9" t="s">
        <v>4232</v>
      </c>
      <c r="C2141" s="500" t="s">
        <v>4258</v>
      </c>
      <c r="D2141" s="668" t="s">
        <v>4254</v>
      </c>
      <c r="E2141" s="18"/>
      <c r="F2141" s="656" t="s">
        <v>1088</v>
      </c>
      <c r="G2141" s="668">
        <f>VLOOKUP($C2141,'SILENT FITTINGS'!$C$4:$O2469,5,0)</f>
        <v>514.95</v>
      </c>
      <c r="H2141" s="320"/>
      <c r="I2141" s="320"/>
      <c r="J2141" s="320"/>
      <c r="K2141" s="320"/>
      <c r="L2141" s="320"/>
      <c r="M2141" s="320"/>
      <c r="N2141" s="320"/>
      <c r="O2141" s="320"/>
    </row>
    <row r="2142">
      <c r="A2142" s="32">
        <f t="shared" si="1"/>
        <v>2141</v>
      </c>
      <c r="B2142" s="9" t="s">
        <v>4232</v>
      </c>
      <c r="C2142" s="500" t="s">
        <v>4259</v>
      </c>
      <c r="D2142" s="668" t="s">
        <v>4254</v>
      </c>
      <c r="E2142" s="18"/>
      <c r="F2142" s="656" t="s">
        <v>1088</v>
      </c>
      <c r="G2142" s="668">
        <f>VLOOKUP($C2142,'SILENT FITTINGS'!$C$4:$O2469,5,0)</f>
        <v>973.25</v>
      </c>
      <c r="H2142" s="320"/>
      <c r="I2142" s="320"/>
      <c r="J2142" s="320"/>
      <c r="K2142" s="320"/>
      <c r="L2142" s="320"/>
      <c r="M2142" s="320"/>
      <c r="N2142" s="320"/>
      <c r="O2142" s="320"/>
    </row>
    <row r="2143">
      <c r="A2143" s="32">
        <f t="shared" si="1"/>
        <v>2142</v>
      </c>
      <c r="B2143" s="9" t="s">
        <v>4232</v>
      </c>
      <c r="C2143" s="500" t="s">
        <v>4261</v>
      </c>
      <c r="D2143" s="668" t="s">
        <v>4262</v>
      </c>
      <c r="E2143" s="18"/>
      <c r="F2143" s="656" t="s">
        <v>1088</v>
      </c>
      <c r="G2143" s="668">
        <f>VLOOKUP($C2143,'SILENT FITTINGS'!$C$4:$O2469,5,0)</f>
        <v>82.3</v>
      </c>
      <c r="H2143" s="320"/>
      <c r="I2143" s="320"/>
      <c r="J2143" s="320"/>
      <c r="K2143" s="320"/>
      <c r="L2143" s="320"/>
      <c r="M2143" s="320"/>
      <c r="N2143" s="320"/>
      <c r="O2143" s="320"/>
    </row>
    <row r="2144">
      <c r="A2144" s="32">
        <f t="shared" si="1"/>
        <v>2143</v>
      </c>
      <c r="B2144" s="9" t="s">
        <v>4232</v>
      </c>
      <c r="C2144" s="500" t="s">
        <v>4263</v>
      </c>
      <c r="D2144" s="668" t="s">
        <v>4262</v>
      </c>
      <c r="E2144" s="18"/>
      <c r="F2144" s="656" t="s">
        <v>1088</v>
      </c>
      <c r="G2144" s="668">
        <f>VLOOKUP($C2144,'SILENT FITTINGS'!$C$4:$O2469,5,0)</f>
        <v>119.8</v>
      </c>
      <c r="H2144" s="320"/>
      <c r="I2144" s="320"/>
      <c r="J2144" s="320"/>
      <c r="K2144" s="320"/>
      <c r="L2144" s="320"/>
      <c r="M2144" s="320"/>
      <c r="N2144" s="320"/>
      <c r="O2144" s="320"/>
    </row>
    <row r="2145">
      <c r="A2145" s="32">
        <f t="shared" si="1"/>
        <v>2144</v>
      </c>
      <c r="B2145" s="9" t="s">
        <v>4232</v>
      </c>
      <c r="C2145" s="500" t="s">
        <v>4264</v>
      </c>
      <c r="D2145" s="668" t="s">
        <v>4262</v>
      </c>
      <c r="E2145" s="18"/>
      <c r="F2145" s="656" t="s">
        <v>1088</v>
      </c>
      <c r="G2145" s="668">
        <f>VLOOKUP($C2145,'SILENT FITTINGS'!$C$4:$O2469,5,0)</f>
        <v>220.4</v>
      </c>
      <c r="H2145" s="320"/>
      <c r="I2145" s="320"/>
      <c r="J2145" s="320"/>
      <c r="K2145" s="320"/>
      <c r="L2145" s="320"/>
      <c r="M2145" s="320"/>
      <c r="N2145" s="320"/>
      <c r="O2145" s="320"/>
    </row>
    <row r="2146">
      <c r="A2146" s="32">
        <f t="shared" si="1"/>
        <v>2145</v>
      </c>
      <c r="B2146" s="9" t="s">
        <v>4232</v>
      </c>
      <c r="C2146" s="500" t="s">
        <v>4265</v>
      </c>
      <c r="D2146" s="668" t="s">
        <v>4262</v>
      </c>
      <c r="E2146" s="18"/>
      <c r="F2146" s="656" t="s">
        <v>1088</v>
      </c>
      <c r="G2146" s="668">
        <f>VLOOKUP($C2146,'SILENT FITTINGS'!$C$4:$O2469,5,0)</f>
        <v>619.09</v>
      </c>
      <c r="H2146" s="320"/>
      <c r="I2146" s="320"/>
      <c r="J2146" s="320"/>
      <c r="K2146" s="320"/>
      <c r="L2146" s="320"/>
      <c r="M2146" s="320"/>
      <c r="N2146" s="320"/>
      <c r="O2146" s="320"/>
    </row>
    <row r="2147">
      <c r="A2147" s="32">
        <f t="shared" si="1"/>
        <v>2146</v>
      </c>
      <c r="B2147" s="9" t="s">
        <v>4232</v>
      </c>
      <c r="C2147" s="500" t="s">
        <v>4266</v>
      </c>
      <c r="D2147" s="668" t="s">
        <v>4262</v>
      </c>
      <c r="E2147" s="18"/>
      <c r="F2147" s="656" t="s">
        <v>1088</v>
      </c>
      <c r="G2147" s="668">
        <f>VLOOKUP($C2147,'SILENT FITTINGS'!$C$4:$O2469,5,0)</f>
        <v>1253.18</v>
      </c>
      <c r="H2147" s="320"/>
      <c r="I2147" s="320"/>
      <c r="J2147" s="320"/>
      <c r="K2147" s="320"/>
      <c r="L2147" s="320"/>
      <c r="M2147" s="320"/>
      <c r="N2147" s="320"/>
      <c r="O2147" s="320"/>
    </row>
    <row r="2148">
      <c r="A2148" s="32">
        <f t="shared" si="1"/>
        <v>2147</v>
      </c>
      <c r="B2148" s="9" t="s">
        <v>4232</v>
      </c>
      <c r="C2148" s="500" t="s">
        <v>4267</v>
      </c>
      <c r="D2148" s="668" t="s">
        <v>4268</v>
      </c>
      <c r="E2148" s="18"/>
      <c r="F2148" s="656" t="s">
        <v>1088</v>
      </c>
      <c r="G2148" s="668" t="str">
        <f>VLOOKUP($C2148,'SILENT FITTINGS'!$C$4:$O2469,5,0)</f>
        <v/>
      </c>
      <c r="H2148" s="320"/>
      <c r="I2148" s="320"/>
      <c r="J2148" s="320"/>
      <c r="K2148" s="320"/>
      <c r="L2148" s="320"/>
      <c r="M2148" s="320"/>
      <c r="N2148" s="320"/>
      <c r="O2148" s="320"/>
    </row>
    <row r="2149">
      <c r="A2149" s="32">
        <f t="shared" si="1"/>
        <v>2148</v>
      </c>
      <c r="B2149" s="9" t="s">
        <v>4232</v>
      </c>
      <c r="C2149" s="500" t="s">
        <v>4269</v>
      </c>
      <c r="D2149" s="668" t="s">
        <v>4268</v>
      </c>
      <c r="E2149" s="18"/>
      <c r="F2149" s="656" t="s">
        <v>1088</v>
      </c>
      <c r="G2149" s="668" t="str">
        <f>VLOOKUP($C2149,'SILENT FITTINGS'!$C$4:$O2469,5,0)</f>
        <v/>
      </c>
      <c r="H2149" s="320"/>
      <c r="I2149" s="320"/>
      <c r="J2149" s="320"/>
      <c r="K2149" s="320"/>
      <c r="L2149" s="320"/>
      <c r="M2149" s="320"/>
      <c r="N2149" s="320"/>
      <c r="O2149" s="320"/>
    </row>
    <row r="2150">
      <c r="A2150" s="32">
        <f t="shared" si="1"/>
        <v>2149</v>
      </c>
      <c r="B2150" s="9" t="s">
        <v>4232</v>
      </c>
      <c r="C2150" s="500" t="s">
        <v>4270</v>
      </c>
      <c r="D2150" s="668" t="s">
        <v>4268</v>
      </c>
      <c r="E2150" s="18"/>
      <c r="F2150" s="656" t="s">
        <v>1088</v>
      </c>
      <c r="G2150" s="668" t="str">
        <f>VLOOKUP($C2150,'SILENT FITTINGS'!$C$4:$O2469,5,0)</f>
        <v/>
      </c>
      <c r="H2150" s="320"/>
      <c r="I2150" s="320"/>
      <c r="J2150" s="320"/>
      <c r="K2150" s="320"/>
      <c r="L2150" s="320"/>
      <c r="M2150" s="320"/>
      <c r="N2150" s="320"/>
      <c r="O2150" s="320"/>
    </row>
    <row r="2151">
      <c r="A2151" s="32">
        <f t="shared" si="1"/>
        <v>2150</v>
      </c>
      <c r="B2151" s="9" t="s">
        <v>4232</v>
      </c>
      <c r="C2151" s="500" t="s">
        <v>4271</v>
      </c>
      <c r="D2151" s="668" t="s">
        <v>4272</v>
      </c>
      <c r="E2151" s="18"/>
      <c r="F2151" s="656" t="s">
        <v>1088</v>
      </c>
      <c r="G2151" s="668">
        <f>VLOOKUP($C2151,'SILENT FITTINGS'!$C$4:$O2469,5,0)</f>
        <v>349.38</v>
      </c>
      <c r="H2151" s="320"/>
      <c r="I2151" s="320"/>
      <c r="J2151" s="320"/>
      <c r="K2151" s="320"/>
      <c r="L2151" s="320"/>
      <c r="M2151" s="320"/>
      <c r="N2151" s="320"/>
      <c r="O2151" s="320"/>
    </row>
    <row r="2152">
      <c r="A2152" s="32">
        <f t="shared" si="1"/>
        <v>2151</v>
      </c>
      <c r="B2152" s="9" t="s">
        <v>4232</v>
      </c>
      <c r="C2152" s="500" t="s">
        <v>4273</v>
      </c>
      <c r="D2152" s="668" t="s">
        <v>4272</v>
      </c>
      <c r="E2152" s="18"/>
      <c r="F2152" s="656" t="s">
        <v>1088</v>
      </c>
      <c r="G2152" s="668">
        <f>VLOOKUP($C2152,'SILENT FITTINGS'!$C$4:$O2469,5,0)</f>
        <v>703.96</v>
      </c>
      <c r="H2152" s="320"/>
      <c r="I2152" s="320"/>
      <c r="J2152" s="320"/>
      <c r="K2152" s="320"/>
      <c r="L2152" s="320"/>
      <c r="M2152" s="320"/>
      <c r="N2152" s="320"/>
      <c r="O2152" s="320"/>
    </row>
    <row r="2153">
      <c r="A2153" s="32">
        <f t="shared" si="1"/>
        <v>2152</v>
      </c>
      <c r="B2153" s="9" t="s">
        <v>4232</v>
      </c>
      <c r="C2153" s="500" t="s">
        <v>4275</v>
      </c>
      <c r="D2153" s="668" t="s">
        <v>4272</v>
      </c>
      <c r="E2153" s="18"/>
      <c r="F2153" s="656" t="s">
        <v>1088</v>
      </c>
      <c r="G2153" s="668">
        <f>VLOOKUP($C2153,'SILENT FITTINGS'!$C$4:$O2469,5,0)</f>
        <v>578.87</v>
      </c>
      <c r="H2153" s="320"/>
      <c r="I2153" s="320"/>
      <c r="J2153" s="320"/>
      <c r="K2153" s="320"/>
      <c r="L2153" s="320"/>
      <c r="M2153" s="320"/>
      <c r="N2153" s="320"/>
      <c r="O2153" s="320"/>
    </row>
    <row r="2154">
      <c r="A2154" s="32">
        <f t="shared" si="1"/>
        <v>2153</v>
      </c>
      <c r="B2154" s="9" t="s">
        <v>4232</v>
      </c>
      <c r="C2154" s="500" t="s">
        <v>4277</v>
      </c>
      <c r="D2154" s="668" t="s">
        <v>4278</v>
      </c>
      <c r="E2154" s="18"/>
      <c r="F2154" s="656" t="s">
        <v>1088</v>
      </c>
      <c r="G2154" s="668" t="str">
        <f>VLOOKUP($C2154,'SILENT FITTINGS'!$C$4:$O2469,5,0)</f>
        <v/>
      </c>
      <c r="H2154" s="320"/>
      <c r="I2154" s="320"/>
      <c r="J2154" s="320"/>
      <c r="K2154" s="320"/>
      <c r="L2154" s="320"/>
      <c r="M2154" s="320"/>
      <c r="N2154" s="320"/>
      <c r="O2154" s="320"/>
    </row>
    <row r="2155">
      <c r="A2155" s="32">
        <f t="shared" si="1"/>
        <v>2154</v>
      </c>
      <c r="B2155" s="9" t="s">
        <v>4232</v>
      </c>
      <c r="C2155" s="500" t="s">
        <v>4280</v>
      </c>
      <c r="D2155" s="668" t="s">
        <v>4278</v>
      </c>
      <c r="E2155" s="18"/>
      <c r="F2155" s="656" t="s">
        <v>1088</v>
      </c>
      <c r="G2155" s="668" t="str">
        <f>VLOOKUP($C2155,'SILENT FITTINGS'!$C$4:$O2469,5,0)</f>
        <v/>
      </c>
      <c r="H2155" s="320"/>
      <c r="I2155" s="320"/>
      <c r="J2155" s="320"/>
      <c r="K2155" s="320"/>
      <c r="L2155" s="320"/>
      <c r="M2155" s="320"/>
      <c r="N2155" s="320"/>
      <c r="O2155" s="320"/>
    </row>
    <row r="2156">
      <c r="A2156" s="32">
        <f t="shared" si="1"/>
        <v>2155</v>
      </c>
      <c r="B2156" s="9" t="s">
        <v>4232</v>
      </c>
      <c r="C2156" s="500" t="s">
        <v>4281</v>
      </c>
      <c r="D2156" s="668" t="s">
        <v>4282</v>
      </c>
      <c r="E2156" s="18"/>
      <c r="F2156" s="656" t="s">
        <v>1088</v>
      </c>
      <c r="G2156" s="668" t="str">
        <f>VLOOKUP($C2156,'SILENT FITTINGS'!$C$4:$O2469,5,0)</f>
        <v/>
      </c>
      <c r="H2156" s="320"/>
      <c r="I2156" s="320"/>
      <c r="J2156" s="320"/>
      <c r="K2156" s="320"/>
      <c r="L2156" s="320"/>
      <c r="M2156" s="320"/>
      <c r="N2156" s="320"/>
      <c r="O2156" s="320"/>
    </row>
    <row r="2157">
      <c r="A2157" s="32">
        <f t="shared" si="1"/>
        <v>2156</v>
      </c>
      <c r="B2157" s="9" t="s">
        <v>4232</v>
      </c>
      <c r="C2157" s="500" t="s">
        <v>4283</v>
      </c>
      <c r="D2157" s="668" t="s">
        <v>4282</v>
      </c>
      <c r="E2157" s="18"/>
      <c r="F2157" s="656" t="s">
        <v>1088</v>
      </c>
      <c r="G2157" s="668" t="str">
        <f>VLOOKUP($C2157,'SILENT FITTINGS'!$C$4:$O2469,5,0)</f>
        <v/>
      </c>
      <c r="H2157" s="320"/>
      <c r="I2157" s="320"/>
      <c r="J2157" s="320"/>
      <c r="K2157" s="320"/>
      <c r="L2157" s="320"/>
      <c r="M2157" s="320"/>
      <c r="N2157" s="320"/>
      <c r="O2157" s="320"/>
    </row>
    <row r="2158">
      <c r="A2158" s="32">
        <f t="shared" si="1"/>
        <v>2157</v>
      </c>
      <c r="B2158" s="9" t="s">
        <v>4232</v>
      </c>
      <c r="C2158" s="500" t="s">
        <v>4284</v>
      </c>
      <c r="D2158" s="668" t="s">
        <v>4285</v>
      </c>
      <c r="E2158" s="18"/>
      <c r="F2158" s="656" t="s">
        <v>1088</v>
      </c>
      <c r="G2158" s="668" t="str">
        <f>VLOOKUP($C2158,'SILENT FITTINGS'!$C$4:$O2469,5,0)</f>
        <v/>
      </c>
      <c r="H2158" s="320"/>
      <c r="I2158" s="320"/>
      <c r="J2158" s="320"/>
      <c r="K2158" s="320"/>
      <c r="L2158" s="320"/>
      <c r="M2158" s="320"/>
      <c r="N2158" s="320"/>
      <c r="O2158" s="320"/>
    </row>
    <row r="2159">
      <c r="A2159" s="32">
        <f t="shared" si="1"/>
        <v>2158</v>
      </c>
      <c r="B2159" s="9" t="s">
        <v>4232</v>
      </c>
      <c r="C2159" s="500" t="s">
        <v>4286</v>
      </c>
      <c r="D2159" s="668" t="s">
        <v>4285</v>
      </c>
      <c r="E2159" s="18"/>
      <c r="F2159" s="656" t="s">
        <v>1088</v>
      </c>
      <c r="G2159" s="668" t="str">
        <f>VLOOKUP($C2159,'SILENT FITTINGS'!$C$4:$O2469,5,0)</f>
        <v/>
      </c>
      <c r="H2159" s="320"/>
      <c r="I2159" s="320"/>
      <c r="J2159" s="320"/>
      <c r="K2159" s="320"/>
      <c r="L2159" s="320"/>
      <c r="M2159" s="320"/>
      <c r="N2159" s="320"/>
      <c r="O2159" s="320"/>
    </row>
    <row r="2160">
      <c r="A2160" s="32">
        <f t="shared" si="1"/>
        <v>2159</v>
      </c>
      <c r="B2160" s="9" t="s">
        <v>4232</v>
      </c>
      <c r="C2160" s="500" t="s">
        <v>4287</v>
      </c>
      <c r="D2160" s="668" t="s">
        <v>4288</v>
      </c>
      <c r="E2160" s="18"/>
      <c r="F2160" s="656" t="s">
        <v>1088</v>
      </c>
      <c r="G2160" s="668" t="str">
        <f>VLOOKUP($C2160,'SILENT FITTINGS'!$C$4:$O2469,5,0)</f>
        <v/>
      </c>
      <c r="H2160" s="320"/>
      <c r="I2160" s="320"/>
      <c r="J2160" s="320"/>
      <c r="K2160" s="320"/>
      <c r="L2160" s="320"/>
      <c r="M2160" s="320"/>
      <c r="N2160" s="320"/>
      <c r="O2160" s="320"/>
    </row>
    <row r="2161">
      <c r="A2161" s="32">
        <f t="shared" si="1"/>
        <v>2160</v>
      </c>
      <c r="B2161" s="9" t="s">
        <v>4232</v>
      </c>
      <c r="C2161" s="500" t="s">
        <v>4289</v>
      </c>
      <c r="D2161" s="668" t="s">
        <v>4290</v>
      </c>
      <c r="E2161" s="18"/>
      <c r="F2161" s="656" t="s">
        <v>1088</v>
      </c>
      <c r="G2161" s="668">
        <f>VLOOKUP($C2161,'SILENT FITTINGS'!$C:$R,5,0)</f>
        <v>58.46</v>
      </c>
      <c r="H2161" s="320"/>
      <c r="I2161" s="320"/>
      <c r="J2161" s="320"/>
      <c r="K2161" s="320"/>
      <c r="L2161" s="320"/>
      <c r="M2161" s="320"/>
      <c r="N2161" s="320"/>
      <c r="O2161" s="320"/>
    </row>
    <row r="2162">
      <c r="A2162" s="32">
        <f t="shared" si="1"/>
        <v>2161</v>
      </c>
      <c r="B2162" s="9" t="s">
        <v>4232</v>
      </c>
      <c r="C2162" s="500" t="s">
        <v>4291</v>
      </c>
      <c r="D2162" s="668" t="s">
        <v>4290</v>
      </c>
      <c r="E2162" s="18"/>
      <c r="F2162" s="656" t="s">
        <v>1088</v>
      </c>
      <c r="G2162" s="668">
        <f>VLOOKUP($C2162,'SILENT FITTINGS'!$C:$R,5,0)</f>
        <v>82.24</v>
      </c>
      <c r="H2162" s="320"/>
      <c r="I2162" s="320"/>
      <c r="J2162" s="320"/>
      <c r="K2162" s="320"/>
      <c r="L2162" s="320"/>
      <c r="M2162" s="320"/>
      <c r="N2162" s="320"/>
      <c r="O2162" s="320"/>
    </row>
    <row r="2163">
      <c r="A2163" s="32">
        <f t="shared" si="1"/>
        <v>2162</v>
      </c>
      <c r="B2163" s="9" t="s">
        <v>4232</v>
      </c>
      <c r="C2163" s="500" t="s">
        <v>4292</v>
      </c>
      <c r="D2163" s="668" t="s">
        <v>4290</v>
      </c>
      <c r="E2163" s="18"/>
      <c r="F2163" s="656" t="s">
        <v>1088</v>
      </c>
      <c r="G2163" s="668">
        <f>VLOOKUP($C2163,'SILENT FITTINGS'!$C:$R,5,0)</f>
        <v>115.73</v>
      </c>
      <c r="H2163" s="320"/>
      <c r="I2163" s="320"/>
      <c r="J2163" s="320"/>
      <c r="K2163" s="320"/>
      <c r="L2163" s="320"/>
      <c r="M2163" s="320"/>
      <c r="N2163" s="320"/>
      <c r="O2163" s="320"/>
    </row>
    <row r="2164">
      <c r="A2164" s="32">
        <f t="shared" si="1"/>
        <v>2163</v>
      </c>
      <c r="B2164" s="9" t="s">
        <v>4232</v>
      </c>
      <c r="C2164" s="500" t="s">
        <v>4293</v>
      </c>
      <c r="D2164" s="668" t="s">
        <v>4290</v>
      </c>
      <c r="E2164" s="18"/>
      <c r="F2164" s="656" t="s">
        <v>1088</v>
      </c>
      <c r="G2164" s="668">
        <f>VLOOKUP($C2164,'SILENT FITTINGS'!$C:$R,5,0)</f>
        <v>295.58</v>
      </c>
      <c r="H2164" s="320"/>
      <c r="I2164" s="320"/>
      <c r="J2164" s="320"/>
      <c r="K2164" s="320"/>
      <c r="L2164" s="320"/>
      <c r="M2164" s="320"/>
      <c r="N2164" s="320"/>
      <c r="O2164" s="320"/>
    </row>
    <row r="2165">
      <c r="A2165" s="32">
        <f t="shared" si="1"/>
        <v>2164</v>
      </c>
      <c r="B2165" s="9" t="s">
        <v>4232</v>
      </c>
      <c r="C2165" s="500" t="s">
        <v>4294</v>
      </c>
      <c r="D2165" s="668" t="s">
        <v>4290</v>
      </c>
      <c r="E2165" s="18"/>
      <c r="F2165" s="656" t="s">
        <v>1088</v>
      </c>
      <c r="G2165" s="668">
        <f>VLOOKUP($C2165,'SILENT FITTINGS'!$C:$R,5,0)</f>
        <v>633.09</v>
      </c>
      <c r="H2165" s="320"/>
      <c r="I2165" s="320"/>
      <c r="J2165" s="320"/>
      <c r="K2165" s="320"/>
      <c r="L2165" s="320"/>
      <c r="M2165" s="320"/>
      <c r="N2165" s="320"/>
      <c r="O2165" s="320"/>
    </row>
    <row r="2166">
      <c r="A2166" s="32">
        <f t="shared" si="1"/>
        <v>2165</v>
      </c>
      <c r="B2166" s="9" t="s">
        <v>4232</v>
      </c>
      <c r="C2166" s="500" t="s">
        <v>4295</v>
      </c>
      <c r="D2166" s="668" t="s">
        <v>4296</v>
      </c>
      <c r="E2166" s="18"/>
      <c r="F2166" s="656" t="s">
        <v>1088</v>
      </c>
      <c r="G2166" s="668">
        <f>VLOOKUP($C2166,'SILENT FITTINGS'!$C:$R,5,0)</f>
        <v>66.53</v>
      </c>
      <c r="H2166" s="320"/>
      <c r="I2166" s="320"/>
      <c r="J2166" s="320"/>
      <c r="K2166" s="320"/>
      <c r="L2166" s="320"/>
      <c r="M2166" s="320"/>
      <c r="N2166" s="320"/>
      <c r="O2166" s="320"/>
    </row>
    <row r="2167">
      <c r="A2167" s="32">
        <f t="shared" si="1"/>
        <v>2166</v>
      </c>
      <c r="B2167" s="9" t="s">
        <v>4232</v>
      </c>
      <c r="C2167" s="500" t="s">
        <v>4297</v>
      </c>
      <c r="D2167" s="668" t="s">
        <v>4296</v>
      </c>
      <c r="E2167" s="18"/>
      <c r="F2167" s="656" t="s">
        <v>1088</v>
      </c>
      <c r="G2167" s="668">
        <f>VLOOKUP($C2167,'SILENT FITTINGS'!$C:$R,5,0)</f>
        <v>97.61</v>
      </c>
      <c r="H2167" s="320"/>
      <c r="I2167" s="320"/>
      <c r="J2167" s="320"/>
      <c r="K2167" s="320"/>
      <c r="L2167" s="320"/>
      <c r="M2167" s="320"/>
      <c r="N2167" s="320"/>
      <c r="O2167" s="320"/>
    </row>
    <row r="2168">
      <c r="A2168" s="32">
        <f t="shared" si="1"/>
        <v>2167</v>
      </c>
      <c r="B2168" s="9" t="s">
        <v>4232</v>
      </c>
      <c r="C2168" s="500" t="s">
        <v>4299</v>
      </c>
      <c r="D2168" s="668" t="s">
        <v>4296</v>
      </c>
      <c r="E2168" s="18"/>
      <c r="F2168" s="656" t="s">
        <v>1088</v>
      </c>
      <c r="G2168" s="668">
        <f>VLOOKUP($C2168,'SILENT FITTINGS'!$C:$R,5,0)</f>
        <v>176.26</v>
      </c>
      <c r="H2168" s="320"/>
      <c r="I2168" s="320"/>
      <c r="J2168" s="320"/>
      <c r="K2168" s="320"/>
      <c r="L2168" s="320"/>
      <c r="M2168" s="320"/>
      <c r="N2168" s="320"/>
      <c r="O2168" s="320"/>
    </row>
    <row r="2169">
      <c r="A2169" s="32">
        <f t="shared" si="1"/>
        <v>2168</v>
      </c>
      <c r="B2169" s="9" t="s">
        <v>4232</v>
      </c>
      <c r="C2169" s="500" t="s">
        <v>4300</v>
      </c>
      <c r="D2169" s="668" t="s">
        <v>4296</v>
      </c>
      <c r="E2169" s="18"/>
      <c r="F2169" s="656" t="s">
        <v>1088</v>
      </c>
      <c r="G2169" s="668">
        <f>VLOOKUP($C2169,'SILENT FITTINGS'!$C:$R,5,0)</f>
        <v>486.63</v>
      </c>
      <c r="H2169" s="320"/>
      <c r="I2169" s="320"/>
      <c r="J2169" s="320"/>
      <c r="K2169" s="320"/>
      <c r="L2169" s="320"/>
      <c r="M2169" s="320"/>
      <c r="N2169" s="320"/>
      <c r="O2169" s="320"/>
    </row>
    <row r="2170">
      <c r="A2170" s="32">
        <f t="shared" si="1"/>
        <v>2169</v>
      </c>
      <c r="B2170" s="9" t="s">
        <v>4232</v>
      </c>
      <c r="C2170" s="500" t="s">
        <v>4301</v>
      </c>
      <c r="D2170" s="668" t="s">
        <v>4296</v>
      </c>
      <c r="E2170" s="18"/>
      <c r="F2170" s="656" t="s">
        <v>1088</v>
      </c>
      <c r="G2170" s="668">
        <f>VLOOKUP($C2170,'SILENT FITTINGS'!$C:$R,5,0)</f>
        <v>973.11</v>
      </c>
      <c r="H2170" s="320"/>
      <c r="I2170" s="320"/>
      <c r="J2170" s="320"/>
      <c r="K2170" s="320"/>
      <c r="L2170" s="320"/>
      <c r="M2170" s="320"/>
      <c r="N2170" s="320"/>
      <c r="O2170" s="320"/>
    </row>
    <row r="2171">
      <c r="A2171" s="32">
        <f t="shared" si="1"/>
        <v>2170</v>
      </c>
      <c r="B2171" s="9" t="s">
        <v>4232</v>
      </c>
      <c r="C2171" s="500" t="s">
        <v>4303</v>
      </c>
      <c r="D2171" s="668" t="s">
        <v>4304</v>
      </c>
      <c r="E2171" s="18"/>
      <c r="F2171" s="656" t="s">
        <v>1088</v>
      </c>
      <c r="G2171" s="668">
        <f>VLOOKUP($C2171,'SILENT FITTINGS'!$C:$R,5,0)</f>
        <v>59.56</v>
      </c>
      <c r="H2171" s="320"/>
      <c r="I2171" s="320"/>
      <c r="J2171" s="320"/>
      <c r="K2171" s="320"/>
      <c r="L2171" s="320"/>
      <c r="M2171" s="320"/>
      <c r="N2171" s="320"/>
      <c r="O2171" s="320"/>
    </row>
    <row r="2172">
      <c r="A2172" s="32">
        <f t="shared" si="1"/>
        <v>2171</v>
      </c>
      <c r="B2172" s="9" t="s">
        <v>4232</v>
      </c>
      <c r="C2172" s="500" t="s">
        <v>4310</v>
      </c>
      <c r="D2172" s="668" t="s">
        <v>4304</v>
      </c>
      <c r="E2172" s="18"/>
      <c r="F2172" s="656" t="s">
        <v>1088</v>
      </c>
      <c r="G2172" s="668">
        <f>VLOOKUP($C2172,'SILENT FITTINGS'!$C:$R,5,0)</f>
        <v>85.62</v>
      </c>
      <c r="H2172" s="320"/>
      <c r="I2172" s="320"/>
      <c r="J2172" s="320"/>
      <c r="K2172" s="320"/>
      <c r="L2172" s="320"/>
      <c r="M2172" s="320"/>
      <c r="N2172" s="320"/>
      <c r="O2172" s="320"/>
    </row>
    <row r="2173">
      <c r="A2173" s="32">
        <f t="shared" si="1"/>
        <v>2172</v>
      </c>
      <c r="B2173" s="9" t="s">
        <v>4232</v>
      </c>
      <c r="C2173" s="500" t="s">
        <v>4316</v>
      </c>
      <c r="D2173" s="668" t="s">
        <v>4304</v>
      </c>
      <c r="E2173" s="18"/>
      <c r="F2173" s="656" t="s">
        <v>1088</v>
      </c>
      <c r="G2173" s="668">
        <f>VLOOKUP($C2173,'SILENT FITTINGS'!$C:$R,5,0)</f>
        <v>146.28</v>
      </c>
      <c r="H2173" s="320"/>
      <c r="I2173" s="320"/>
      <c r="J2173" s="320"/>
      <c r="K2173" s="320"/>
      <c r="L2173" s="320"/>
      <c r="M2173" s="320"/>
      <c r="N2173" s="320"/>
      <c r="O2173" s="320"/>
    </row>
    <row r="2174">
      <c r="A2174" s="32">
        <f t="shared" si="1"/>
        <v>2173</v>
      </c>
      <c r="B2174" s="9" t="s">
        <v>4232</v>
      </c>
      <c r="C2174" s="500" t="s">
        <v>4319</v>
      </c>
      <c r="D2174" s="668" t="s">
        <v>4304</v>
      </c>
      <c r="E2174" s="18"/>
      <c r="F2174" s="656" t="s">
        <v>1088</v>
      </c>
      <c r="G2174" s="668">
        <f>VLOOKUP($C2174,'SILENT FITTINGS'!$C:$R,5,0)</f>
        <v>389.92</v>
      </c>
      <c r="H2174" s="320"/>
      <c r="I2174" s="320"/>
      <c r="J2174" s="320"/>
      <c r="K2174" s="320"/>
      <c r="L2174" s="320"/>
      <c r="M2174" s="320"/>
      <c r="N2174" s="320"/>
      <c r="O2174" s="320"/>
    </row>
    <row r="2175">
      <c r="A2175" s="32">
        <f t="shared" si="1"/>
        <v>2174</v>
      </c>
      <c r="B2175" s="9" t="s">
        <v>4232</v>
      </c>
      <c r="C2175" s="500" t="s">
        <v>4322</v>
      </c>
      <c r="D2175" s="668" t="s">
        <v>4304</v>
      </c>
      <c r="E2175" s="18"/>
      <c r="F2175" s="656" t="s">
        <v>1088</v>
      </c>
      <c r="G2175" s="668">
        <f>VLOOKUP($C2175,'SILENT FITTINGS'!$C:$R,5,0)</f>
        <v>766.04</v>
      </c>
      <c r="H2175" s="320"/>
      <c r="I2175" s="320"/>
      <c r="J2175" s="320"/>
      <c r="K2175" s="320"/>
      <c r="L2175" s="320"/>
      <c r="M2175" s="320"/>
      <c r="N2175" s="320"/>
      <c r="O2175" s="320"/>
    </row>
    <row r="2176">
      <c r="A2176" s="32">
        <f t="shared" si="1"/>
        <v>2175</v>
      </c>
      <c r="B2176" s="9" t="s">
        <v>4232</v>
      </c>
      <c r="C2176" s="500" t="s">
        <v>4323</v>
      </c>
      <c r="D2176" s="668" t="s">
        <v>4324</v>
      </c>
      <c r="E2176" s="18"/>
      <c r="F2176" s="656" t="s">
        <v>1088</v>
      </c>
      <c r="G2176" s="668">
        <f>VLOOKUP($C2176,'SILENT FITTINGS'!$C:$R,5,0)</f>
        <v>105.39</v>
      </c>
      <c r="H2176" s="320"/>
      <c r="I2176" s="320"/>
      <c r="J2176" s="320"/>
      <c r="K2176" s="320"/>
      <c r="L2176" s="320"/>
      <c r="M2176" s="320"/>
      <c r="N2176" s="320"/>
      <c r="O2176" s="320"/>
    </row>
    <row r="2177">
      <c r="A2177" s="32">
        <f t="shared" si="1"/>
        <v>2176</v>
      </c>
      <c r="B2177" s="9" t="s">
        <v>4232</v>
      </c>
      <c r="C2177" s="500" t="s">
        <v>4327</v>
      </c>
      <c r="D2177" s="668" t="s">
        <v>4324</v>
      </c>
      <c r="E2177" s="18"/>
      <c r="F2177" s="656" t="s">
        <v>1088</v>
      </c>
      <c r="G2177" s="668">
        <f>VLOOKUP($C2177,'SILENT FITTINGS'!$C:$R,5,0)</f>
        <v>140.82</v>
      </c>
      <c r="H2177" s="320"/>
      <c r="I2177" s="320"/>
      <c r="J2177" s="320"/>
      <c r="K2177" s="320"/>
      <c r="L2177" s="320"/>
      <c r="M2177" s="320"/>
      <c r="N2177" s="320"/>
      <c r="O2177" s="320"/>
    </row>
    <row r="2178">
      <c r="A2178" s="32">
        <f t="shared" si="1"/>
        <v>2177</v>
      </c>
      <c r="B2178" s="9" t="s">
        <v>4232</v>
      </c>
      <c r="C2178" s="500" t="s">
        <v>4329</v>
      </c>
      <c r="D2178" s="668" t="s">
        <v>4324</v>
      </c>
      <c r="E2178" s="18"/>
      <c r="F2178" s="656" t="s">
        <v>1088</v>
      </c>
      <c r="G2178" s="668">
        <f>VLOOKUP($C2178,'SILENT FITTINGS'!$C:$R,5,0)</f>
        <v>240.21</v>
      </c>
      <c r="H2178" s="320"/>
      <c r="I2178" s="320"/>
      <c r="J2178" s="320"/>
      <c r="K2178" s="320"/>
      <c r="L2178" s="320"/>
      <c r="M2178" s="320"/>
      <c r="N2178" s="320"/>
      <c r="O2178" s="320"/>
    </row>
    <row r="2179">
      <c r="A2179" s="32">
        <f t="shared" si="1"/>
        <v>2178</v>
      </c>
      <c r="B2179" s="9" t="s">
        <v>4232</v>
      </c>
      <c r="C2179" s="500" t="s">
        <v>4333</v>
      </c>
      <c r="D2179" s="668" t="s">
        <v>4324</v>
      </c>
      <c r="E2179" s="18"/>
      <c r="F2179" s="656" t="s">
        <v>1088</v>
      </c>
      <c r="G2179" s="668">
        <f>VLOOKUP($C2179,'SILENT FITTINGS'!$C:$R,5,0)</f>
        <v>727.64</v>
      </c>
      <c r="H2179" s="320"/>
      <c r="I2179" s="320"/>
      <c r="J2179" s="320"/>
      <c r="K2179" s="320"/>
      <c r="L2179" s="320"/>
      <c r="M2179" s="320"/>
      <c r="N2179" s="320"/>
      <c r="O2179" s="320"/>
    </row>
    <row r="2180">
      <c r="A2180" s="32">
        <f t="shared" si="1"/>
        <v>2179</v>
      </c>
      <c r="B2180" s="9" t="s">
        <v>4232</v>
      </c>
      <c r="C2180" s="500" t="s">
        <v>4335</v>
      </c>
      <c r="D2180" s="668" t="s">
        <v>4324</v>
      </c>
      <c r="E2180" s="18"/>
      <c r="F2180" s="656" t="s">
        <v>1088</v>
      </c>
      <c r="G2180" s="668">
        <f>VLOOKUP($C2180,'SILENT FITTINGS'!$C:$R,5,0)</f>
        <v>1375.24</v>
      </c>
      <c r="H2180" s="320"/>
      <c r="I2180" s="320"/>
      <c r="J2180" s="320"/>
      <c r="K2180" s="320"/>
      <c r="L2180" s="320"/>
      <c r="M2180" s="320"/>
      <c r="N2180" s="320"/>
      <c r="O2180" s="320"/>
    </row>
    <row r="2181">
      <c r="A2181" s="32">
        <f t="shared" si="1"/>
        <v>2180</v>
      </c>
      <c r="B2181" s="9" t="s">
        <v>4232</v>
      </c>
      <c r="C2181" s="500" t="s">
        <v>4336</v>
      </c>
      <c r="D2181" s="668" t="s">
        <v>4337</v>
      </c>
      <c r="E2181" s="18"/>
      <c r="F2181" s="656" t="s">
        <v>1088</v>
      </c>
      <c r="G2181" s="668">
        <f>VLOOKUP($C2181,'SILENT FITTINGS'!$C:$R,5,0)</f>
        <v>116.3</v>
      </c>
      <c r="H2181" s="320"/>
      <c r="I2181" s="320"/>
      <c r="J2181" s="320"/>
      <c r="K2181" s="320"/>
      <c r="L2181" s="320"/>
      <c r="M2181" s="320"/>
      <c r="N2181" s="320"/>
      <c r="O2181" s="320"/>
    </row>
    <row r="2182">
      <c r="A2182" s="32">
        <f t="shared" si="1"/>
        <v>2181</v>
      </c>
      <c r="B2182" s="9" t="s">
        <v>4232</v>
      </c>
      <c r="C2182" s="500" t="s">
        <v>4358</v>
      </c>
      <c r="D2182" s="668" t="s">
        <v>4337</v>
      </c>
      <c r="E2182" s="18"/>
      <c r="F2182" s="656" t="s">
        <v>1088</v>
      </c>
      <c r="G2182" s="668">
        <f>VLOOKUP($C2182,'SILENT FITTINGS'!$C:$R,5,0)</f>
        <v>169.2</v>
      </c>
      <c r="H2182" s="320"/>
      <c r="I2182" s="320"/>
      <c r="J2182" s="320"/>
      <c r="K2182" s="320"/>
      <c r="L2182" s="320"/>
      <c r="M2182" s="320"/>
      <c r="N2182" s="320"/>
      <c r="O2182" s="320"/>
    </row>
    <row r="2183">
      <c r="A2183" s="32">
        <f t="shared" si="1"/>
        <v>2182</v>
      </c>
      <c r="B2183" s="9" t="s">
        <v>4232</v>
      </c>
      <c r="C2183" s="500" t="s">
        <v>4359</v>
      </c>
      <c r="D2183" s="668" t="s">
        <v>4337</v>
      </c>
      <c r="E2183" s="18"/>
      <c r="F2183" s="656" t="s">
        <v>1088</v>
      </c>
      <c r="G2183" s="668">
        <f>VLOOKUP($C2183,'SILENT FITTINGS'!$C:$R,5,0)</f>
        <v>311.44</v>
      </c>
      <c r="H2183" s="320"/>
      <c r="I2183" s="320"/>
      <c r="J2183" s="320"/>
      <c r="K2183" s="320"/>
      <c r="L2183" s="320"/>
      <c r="M2183" s="320"/>
      <c r="N2183" s="320"/>
      <c r="O2183" s="320"/>
    </row>
    <row r="2184">
      <c r="A2184" s="32">
        <f t="shared" si="1"/>
        <v>2183</v>
      </c>
      <c r="B2184" s="9" t="s">
        <v>4232</v>
      </c>
      <c r="C2184" s="500" t="s">
        <v>4360</v>
      </c>
      <c r="D2184" s="668" t="s">
        <v>4337</v>
      </c>
      <c r="E2184" s="18"/>
      <c r="F2184" s="656" t="s">
        <v>1088</v>
      </c>
      <c r="G2184" s="668">
        <f>VLOOKUP($C2184,'SILENT FITTINGS'!$C:$R,5,0)</f>
        <v>874.79</v>
      </c>
      <c r="H2184" s="320"/>
      <c r="I2184" s="320"/>
      <c r="J2184" s="320"/>
      <c r="K2184" s="320"/>
      <c r="L2184" s="320"/>
      <c r="M2184" s="320"/>
      <c r="N2184" s="320"/>
      <c r="O2184" s="320"/>
    </row>
    <row r="2185">
      <c r="A2185" s="32">
        <f t="shared" si="1"/>
        <v>2184</v>
      </c>
      <c r="B2185" s="9" t="s">
        <v>4232</v>
      </c>
      <c r="C2185" s="500" t="s">
        <v>4361</v>
      </c>
      <c r="D2185" s="668" t="s">
        <v>4337</v>
      </c>
      <c r="E2185" s="18"/>
      <c r="F2185" s="656" t="s">
        <v>1088</v>
      </c>
      <c r="G2185" s="668">
        <f>VLOOKUP($C2185,'SILENT FITTINGS'!$C:$R,5,0)</f>
        <v>1770.8</v>
      </c>
      <c r="H2185" s="320"/>
      <c r="I2185" s="320"/>
      <c r="J2185" s="320"/>
      <c r="K2185" s="320"/>
      <c r="L2185" s="320"/>
      <c r="M2185" s="320"/>
      <c r="N2185" s="320"/>
      <c r="O2185" s="320"/>
    </row>
    <row r="2186">
      <c r="A2186" s="32">
        <f t="shared" si="1"/>
        <v>2185</v>
      </c>
      <c r="B2186" s="9" t="s">
        <v>4232</v>
      </c>
      <c r="C2186" s="500" t="s">
        <v>4362</v>
      </c>
      <c r="D2186" s="668" t="s">
        <v>4363</v>
      </c>
      <c r="E2186" s="18"/>
      <c r="F2186" s="656" t="s">
        <v>1088</v>
      </c>
      <c r="G2186" s="668" t="str">
        <f>VLOOKUP($C2186,'SILENT FITTINGS'!$C:$R,5,0)</f>
        <v/>
      </c>
      <c r="H2186" s="320"/>
      <c r="I2186" s="320"/>
      <c r="J2186" s="320"/>
      <c r="K2186" s="320"/>
      <c r="L2186" s="320"/>
      <c r="M2186" s="320"/>
      <c r="N2186" s="320"/>
      <c r="O2186" s="320"/>
    </row>
    <row r="2187">
      <c r="A2187" s="32">
        <f t="shared" si="1"/>
        <v>2186</v>
      </c>
      <c r="B2187" s="9" t="s">
        <v>4232</v>
      </c>
      <c r="C2187" s="500" t="s">
        <v>4364</v>
      </c>
      <c r="D2187" s="668" t="s">
        <v>4363</v>
      </c>
      <c r="E2187" s="18"/>
      <c r="F2187" s="656" t="s">
        <v>1088</v>
      </c>
      <c r="G2187" s="668" t="str">
        <f>VLOOKUP($C2187,'SILENT FITTINGS'!$C:$R,5,0)</f>
        <v/>
      </c>
      <c r="H2187" s="320"/>
      <c r="I2187" s="320"/>
      <c r="J2187" s="320"/>
      <c r="K2187" s="320"/>
      <c r="L2187" s="320"/>
      <c r="M2187" s="320"/>
      <c r="N2187" s="320"/>
      <c r="O2187" s="320"/>
    </row>
    <row r="2188">
      <c r="A2188" s="32">
        <f t="shared" si="1"/>
        <v>2187</v>
      </c>
      <c r="B2188" s="9" t="s">
        <v>4232</v>
      </c>
      <c r="C2188" s="500" t="s">
        <v>4365</v>
      </c>
      <c r="D2188" s="668" t="s">
        <v>4363</v>
      </c>
      <c r="E2188" s="18"/>
      <c r="F2188" s="656" t="s">
        <v>1088</v>
      </c>
      <c r="G2188" s="668" t="str">
        <f>VLOOKUP($C2188,'SILENT FITTINGS'!$C:$R,5,0)</f>
        <v/>
      </c>
      <c r="H2188" s="320"/>
      <c r="I2188" s="320"/>
      <c r="J2188" s="320"/>
      <c r="K2188" s="320"/>
      <c r="L2188" s="320"/>
      <c r="M2188" s="320"/>
      <c r="N2188" s="320"/>
      <c r="O2188" s="320"/>
    </row>
    <row r="2189">
      <c r="A2189" s="32">
        <f t="shared" si="1"/>
        <v>2188</v>
      </c>
      <c r="B2189" s="9" t="s">
        <v>4232</v>
      </c>
      <c r="C2189" s="500" t="s">
        <v>4366</v>
      </c>
      <c r="D2189" s="668" t="s">
        <v>4367</v>
      </c>
      <c r="E2189" s="18"/>
      <c r="F2189" s="656" t="s">
        <v>1088</v>
      </c>
      <c r="G2189" s="668">
        <f>VLOOKUP($C2189,'SILENT FITTINGS'!$C:$R,5,0)</f>
        <v>493.69</v>
      </c>
      <c r="H2189" s="320"/>
      <c r="I2189" s="320"/>
      <c r="J2189" s="320"/>
      <c r="K2189" s="320"/>
      <c r="L2189" s="320"/>
      <c r="M2189" s="320"/>
      <c r="N2189" s="320"/>
      <c r="O2189" s="320"/>
    </row>
    <row r="2190">
      <c r="A2190" s="32">
        <f t="shared" si="1"/>
        <v>2189</v>
      </c>
      <c r="B2190" s="9" t="s">
        <v>4232</v>
      </c>
      <c r="C2190" s="500" t="s">
        <v>4368</v>
      </c>
      <c r="D2190" s="668" t="s">
        <v>4367</v>
      </c>
      <c r="E2190" s="18"/>
      <c r="F2190" s="656" t="s">
        <v>1088</v>
      </c>
      <c r="G2190" s="668">
        <f>VLOOKUP($C2190,'SILENT FITTINGS'!$C:$R,5,0)</f>
        <v>994.72</v>
      </c>
      <c r="H2190" s="320"/>
      <c r="I2190" s="320"/>
      <c r="J2190" s="320"/>
      <c r="K2190" s="320"/>
      <c r="L2190" s="320"/>
      <c r="M2190" s="320"/>
      <c r="N2190" s="320"/>
      <c r="O2190" s="320"/>
    </row>
    <row r="2191">
      <c r="A2191" s="32">
        <f t="shared" si="1"/>
        <v>2190</v>
      </c>
      <c r="B2191" s="9" t="s">
        <v>4232</v>
      </c>
      <c r="C2191" s="500" t="s">
        <v>4369</v>
      </c>
      <c r="D2191" s="668" t="s">
        <v>4367</v>
      </c>
      <c r="E2191" s="18"/>
      <c r="F2191" s="656" t="s">
        <v>1088</v>
      </c>
      <c r="G2191" s="668">
        <f>VLOOKUP($C2191,'SILENT FITTINGS'!$C:$R,5,0)</f>
        <v>817.97</v>
      </c>
      <c r="H2191" s="320"/>
      <c r="I2191" s="320"/>
      <c r="J2191" s="320"/>
      <c r="K2191" s="320"/>
      <c r="L2191" s="320"/>
      <c r="M2191" s="320"/>
      <c r="N2191" s="320"/>
      <c r="O2191" s="320"/>
    </row>
    <row r="2192">
      <c r="A2192" s="32">
        <f t="shared" si="1"/>
        <v>2191</v>
      </c>
      <c r="B2192" s="9" t="s">
        <v>4232</v>
      </c>
      <c r="C2192" s="500" t="s">
        <v>4370</v>
      </c>
      <c r="D2192" s="668" t="s">
        <v>4371</v>
      </c>
      <c r="E2192" s="18"/>
      <c r="F2192" s="656" t="s">
        <v>1088</v>
      </c>
      <c r="G2192" s="668" t="str">
        <f>VLOOKUP($C2192,'SILENT FITTINGS'!$C:$R,5,0)</f>
        <v/>
      </c>
      <c r="H2192" s="320"/>
      <c r="I2192" s="320"/>
      <c r="J2192" s="320"/>
      <c r="K2192" s="320"/>
      <c r="L2192" s="320"/>
      <c r="M2192" s="320"/>
      <c r="N2192" s="320"/>
      <c r="O2192" s="320"/>
    </row>
    <row r="2193">
      <c r="A2193" s="32">
        <f t="shared" si="1"/>
        <v>2192</v>
      </c>
      <c r="B2193" s="9" t="s">
        <v>4232</v>
      </c>
      <c r="C2193" s="500" t="s">
        <v>4372</v>
      </c>
      <c r="D2193" s="668" t="s">
        <v>4371</v>
      </c>
      <c r="E2193" s="18"/>
      <c r="F2193" s="656" t="s">
        <v>1088</v>
      </c>
      <c r="G2193" s="668" t="str">
        <f>VLOOKUP($C2193,'SILENT FITTINGS'!$C:$R,5,0)</f>
        <v/>
      </c>
      <c r="H2193" s="320"/>
      <c r="I2193" s="320"/>
      <c r="J2193" s="320"/>
      <c r="K2193" s="320"/>
      <c r="L2193" s="320"/>
      <c r="M2193" s="320"/>
      <c r="N2193" s="320"/>
      <c r="O2193" s="320"/>
    </row>
    <row r="2194">
      <c r="A2194" s="32">
        <f t="shared" si="1"/>
        <v>2193</v>
      </c>
      <c r="B2194" s="9" t="s">
        <v>4232</v>
      </c>
      <c r="C2194" s="500" t="s">
        <v>4373</v>
      </c>
      <c r="D2194" s="668" t="s">
        <v>4374</v>
      </c>
      <c r="E2194" s="18"/>
      <c r="F2194" s="656" t="s">
        <v>1088</v>
      </c>
      <c r="G2194" s="668" t="str">
        <f>VLOOKUP($C2194,'SILENT FITTINGS'!$C:$R,5,0)</f>
        <v/>
      </c>
      <c r="H2194" s="320"/>
      <c r="I2194" s="320"/>
      <c r="J2194" s="320"/>
      <c r="K2194" s="320"/>
      <c r="L2194" s="320"/>
      <c r="M2194" s="320"/>
      <c r="N2194" s="320"/>
      <c r="O2194" s="320"/>
    </row>
    <row r="2195">
      <c r="A2195" s="32">
        <f t="shared" si="1"/>
        <v>2194</v>
      </c>
      <c r="B2195" s="9" t="s">
        <v>4232</v>
      </c>
      <c r="C2195" s="500" t="s">
        <v>4375</v>
      </c>
      <c r="D2195" s="668" t="s">
        <v>4374</v>
      </c>
      <c r="E2195" s="18"/>
      <c r="F2195" s="656" t="s">
        <v>1088</v>
      </c>
      <c r="G2195" s="668" t="str">
        <f>VLOOKUP($C2195,'SILENT FITTINGS'!$C:$R,5,0)</f>
        <v/>
      </c>
      <c r="H2195" s="320"/>
      <c r="I2195" s="320"/>
      <c r="J2195" s="320"/>
      <c r="K2195" s="320"/>
      <c r="L2195" s="320"/>
      <c r="M2195" s="320"/>
      <c r="N2195" s="320"/>
      <c r="O2195" s="320"/>
    </row>
    <row r="2196">
      <c r="A2196" s="32">
        <f t="shared" si="1"/>
        <v>2195</v>
      </c>
      <c r="B2196" s="9" t="s">
        <v>4232</v>
      </c>
      <c r="C2196" s="500" t="s">
        <v>4376</v>
      </c>
      <c r="D2196" s="668" t="s">
        <v>4377</v>
      </c>
      <c r="E2196" s="18"/>
      <c r="F2196" s="656" t="s">
        <v>1088</v>
      </c>
      <c r="G2196" s="668" t="str">
        <f>VLOOKUP($C2196,'SILENT FITTINGS'!$C:$R,5,0)</f>
        <v/>
      </c>
      <c r="H2196" s="320"/>
      <c r="I2196" s="320"/>
      <c r="J2196" s="320"/>
      <c r="K2196" s="320"/>
      <c r="L2196" s="320"/>
      <c r="M2196" s="320"/>
      <c r="N2196" s="320"/>
      <c r="O2196" s="320"/>
    </row>
    <row r="2197">
      <c r="A2197" s="32">
        <f t="shared" si="1"/>
        <v>2196</v>
      </c>
      <c r="B2197" s="9" t="s">
        <v>4232</v>
      </c>
      <c r="C2197" s="500" t="s">
        <v>4378</v>
      </c>
      <c r="D2197" s="668" t="s">
        <v>4377</v>
      </c>
      <c r="E2197" s="18"/>
      <c r="F2197" s="656" t="s">
        <v>1088</v>
      </c>
      <c r="G2197" s="668" t="str">
        <f>VLOOKUP($C2197,'SILENT FITTINGS'!$C:$R,5,0)</f>
        <v/>
      </c>
      <c r="H2197" s="320"/>
      <c r="I2197" s="320"/>
      <c r="J2197" s="320"/>
      <c r="K2197" s="320"/>
      <c r="L2197" s="320"/>
      <c r="M2197" s="320"/>
      <c r="N2197" s="320"/>
      <c r="O2197" s="320"/>
    </row>
    <row r="2198">
      <c r="A2198" s="32">
        <f t="shared" si="1"/>
        <v>2197</v>
      </c>
      <c r="B2198" s="9" t="s">
        <v>4232</v>
      </c>
      <c r="C2198" s="500" t="s">
        <v>4379</v>
      </c>
      <c r="D2198" s="668" t="s">
        <v>4380</v>
      </c>
      <c r="E2198" s="18"/>
      <c r="F2198" s="656" t="s">
        <v>1088</v>
      </c>
      <c r="G2198" s="668" t="str">
        <f>VLOOKUP($C2198,'SILENT FITTINGS'!$C:$R,5,0)</f>
        <v/>
      </c>
      <c r="H2198" s="320"/>
      <c r="I2198" s="320"/>
      <c r="J2198" s="320"/>
      <c r="K2198" s="320"/>
      <c r="L2198" s="320"/>
      <c r="M2198" s="320"/>
      <c r="N2198" s="320"/>
      <c r="O2198" s="320"/>
    </row>
    <row r="2199">
      <c r="A2199" s="32">
        <f t="shared" si="1"/>
        <v>2198</v>
      </c>
      <c r="B2199" s="9" t="s">
        <v>4232</v>
      </c>
      <c r="C2199" s="500" t="s">
        <v>4381</v>
      </c>
      <c r="D2199" s="668" t="s">
        <v>4382</v>
      </c>
      <c r="E2199" s="18"/>
      <c r="F2199" s="656" t="s">
        <v>1088</v>
      </c>
      <c r="G2199" s="668">
        <f>VLOOKUP($C2199,'SILENT FITTINGS'!$C:$R,5,0)</f>
        <v>74.19</v>
      </c>
      <c r="H2199" s="320"/>
      <c r="I2199" s="320"/>
      <c r="J2199" s="320"/>
      <c r="K2199" s="320"/>
      <c r="L2199" s="320"/>
      <c r="M2199" s="320"/>
      <c r="N2199" s="320"/>
      <c r="O2199" s="320"/>
    </row>
    <row r="2200">
      <c r="A2200" s="32">
        <f t="shared" si="1"/>
        <v>2199</v>
      </c>
      <c r="B2200" s="9" t="s">
        <v>4232</v>
      </c>
      <c r="C2200" s="500" t="s">
        <v>4383</v>
      </c>
      <c r="D2200" s="668" t="s">
        <v>4382</v>
      </c>
      <c r="E2200" s="18"/>
      <c r="F2200" s="656" t="s">
        <v>1088</v>
      </c>
      <c r="G2200" s="668">
        <f>VLOOKUP($C2200,'SILENT FITTINGS'!$C:$R,5,0)</f>
        <v>104.39</v>
      </c>
      <c r="H2200" s="320"/>
      <c r="I2200" s="320"/>
      <c r="J2200" s="320"/>
      <c r="K2200" s="320"/>
      <c r="L2200" s="320"/>
      <c r="M2200" s="320"/>
      <c r="N2200" s="320"/>
      <c r="O2200" s="320"/>
    </row>
    <row r="2201">
      <c r="A2201" s="32">
        <f t="shared" si="1"/>
        <v>2200</v>
      </c>
      <c r="B2201" s="9" t="s">
        <v>4232</v>
      </c>
      <c r="C2201" s="500" t="s">
        <v>4384</v>
      </c>
      <c r="D2201" s="668" t="s">
        <v>4382</v>
      </c>
      <c r="E2201" s="18"/>
      <c r="F2201" s="656" t="s">
        <v>1088</v>
      </c>
      <c r="G2201" s="668">
        <f>VLOOKUP($C2201,'SILENT FITTINGS'!$C:$R,5,0)</f>
        <v>146.89</v>
      </c>
      <c r="H2201" s="320"/>
      <c r="I2201" s="320"/>
      <c r="J2201" s="320"/>
      <c r="K2201" s="320"/>
      <c r="L2201" s="320"/>
      <c r="M2201" s="320"/>
      <c r="N2201" s="320"/>
      <c r="O2201" s="320"/>
    </row>
    <row r="2202">
      <c r="A2202" s="32">
        <f t="shared" si="1"/>
        <v>2201</v>
      </c>
      <c r="B2202" s="9" t="s">
        <v>4232</v>
      </c>
      <c r="C2202" s="500" t="s">
        <v>4385</v>
      </c>
      <c r="D2202" s="668" t="s">
        <v>4382</v>
      </c>
      <c r="E2202" s="18"/>
      <c r="F2202" s="656" t="s">
        <v>1088</v>
      </c>
      <c r="G2202" s="668">
        <f>VLOOKUP($C2202,'SILENT FITTINGS'!$C:$R,5,0)</f>
        <v>375.17</v>
      </c>
      <c r="H2202" s="320"/>
      <c r="I2202" s="320"/>
      <c r="J2202" s="320"/>
      <c r="K2202" s="320"/>
      <c r="L2202" s="320"/>
      <c r="M2202" s="320"/>
      <c r="N2202" s="320"/>
      <c r="O2202" s="320"/>
    </row>
    <row r="2203">
      <c r="A2203" s="32">
        <f t="shared" si="1"/>
        <v>2202</v>
      </c>
      <c r="B2203" s="9" t="s">
        <v>4232</v>
      </c>
      <c r="C2203" s="500" t="s">
        <v>4386</v>
      </c>
      <c r="D2203" s="668" t="s">
        <v>4382</v>
      </c>
      <c r="E2203" s="18"/>
      <c r="F2203" s="656" t="s">
        <v>1088</v>
      </c>
      <c r="G2203" s="668">
        <f>VLOOKUP($C2203,'SILENT FITTINGS'!$C:$R,5,0)</f>
        <v>803.54</v>
      </c>
      <c r="H2203" s="320"/>
      <c r="I2203" s="320"/>
      <c r="J2203" s="320"/>
      <c r="K2203" s="320"/>
      <c r="L2203" s="320"/>
      <c r="M2203" s="320"/>
      <c r="N2203" s="320"/>
      <c r="O2203" s="320"/>
    </row>
    <row r="2204">
      <c r="A2204" s="32">
        <f t="shared" si="1"/>
        <v>2203</v>
      </c>
      <c r="B2204" s="9" t="s">
        <v>4232</v>
      </c>
      <c r="C2204" s="500" t="s">
        <v>4387</v>
      </c>
      <c r="D2204" s="668" t="s">
        <v>4388</v>
      </c>
      <c r="E2204" s="18"/>
      <c r="F2204" s="656" t="s">
        <v>1088</v>
      </c>
      <c r="G2204" s="668">
        <f>VLOOKUP($C2204,'SILENT FITTINGS'!$C:$R,5,0)</f>
        <v>84.44</v>
      </c>
      <c r="H2204" s="320"/>
      <c r="I2204" s="320"/>
      <c r="J2204" s="320"/>
      <c r="K2204" s="320"/>
      <c r="L2204" s="320"/>
      <c r="M2204" s="320"/>
      <c r="N2204" s="320"/>
      <c r="O2204" s="320"/>
    </row>
    <row r="2205">
      <c r="A2205" s="32">
        <f t="shared" si="1"/>
        <v>2204</v>
      </c>
      <c r="B2205" s="9" t="s">
        <v>4232</v>
      </c>
      <c r="C2205" s="500" t="s">
        <v>4389</v>
      </c>
      <c r="D2205" s="668" t="s">
        <v>4388</v>
      </c>
      <c r="E2205" s="18"/>
      <c r="F2205" s="656" t="s">
        <v>1088</v>
      </c>
      <c r="G2205" s="668">
        <f>VLOOKUP($C2205,'SILENT FITTINGS'!$C:$R,5,0)</f>
        <v>123.9</v>
      </c>
      <c r="H2205" s="320"/>
      <c r="I2205" s="320"/>
      <c r="J2205" s="320"/>
      <c r="K2205" s="320"/>
      <c r="L2205" s="320"/>
      <c r="M2205" s="320"/>
      <c r="N2205" s="320"/>
      <c r="O2205" s="320"/>
    </row>
    <row r="2206">
      <c r="A2206" s="32">
        <f t="shared" si="1"/>
        <v>2205</v>
      </c>
      <c r="B2206" s="9" t="s">
        <v>4232</v>
      </c>
      <c r="C2206" s="500" t="s">
        <v>4390</v>
      </c>
      <c r="D2206" s="668" t="s">
        <v>4388</v>
      </c>
      <c r="E2206" s="18"/>
      <c r="F2206" s="656" t="s">
        <v>1088</v>
      </c>
      <c r="G2206" s="668">
        <f>VLOOKUP($C2206,'SILENT FITTINGS'!$C:$R,5,0)</f>
        <v>223.72</v>
      </c>
      <c r="H2206" s="320"/>
      <c r="I2206" s="320"/>
      <c r="J2206" s="320"/>
      <c r="K2206" s="320"/>
      <c r="L2206" s="320"/>
      <c r="M2206" s="320"/>
      <c r="N2206" s="320"/>
      <c r="O2206" s="320"/>
    </row>
    <row r="2207">
      <c r="A2207" s="32">
        <f t="shared" si="1"/>
        <v>2206</v>
      </c>
      <c r="B2207" s="9" t="s">
        <v>4232</v>
      </c>
      <c r="C2207" s="500" t="s">
        <v>4391</v>
      </c>
      <c r="D2207" s="668" t="s">
        <v>4388</v>
      </c>
      <c r="E2207" s="18"/>
      <c r="F2207" s="656" t="s">
        <v>1088</v>
      </c>
      <c r="G2207" s="668">
        <f>VLOOKUP($C2207,'SILENT FITTINGS'!$C:$R,5,0)</f>
        <v>617.64</v>
      </c>
      <c r="H2207" s="320"/>
      <c r="I2207" s="320"/>
      <c r="J2207" s="320"/>
      <c r="K2207" s="320"/>
      <c r="L2207" s="320"/>
      <c r="M2207" s="320"/>
      <c r="N2207" s="320"/>
      <c r="O2207" s="320"/>
    </row>
    <row r="2208">
      <c r="A2208" s="32">
        <f t="shared" si="1"/>
        <v>2207</v>
      </c>
      <c r="B2208" s="9" t="s">
        <v>4232</v>
      </c>
      <c r="C2208" s="500" t="s">
        <v>4392</v>
      </c>
      <c r="D2208" s="668" t="s">
        <v>4388</v>
      </c>
      <c r="E2208" s="18"/>
      <c r="F2208" s="656" t="s">
        <v>1088</v>
      </c>
      <c r="G2208" s="668">
        <f>VLOOKUP($C2208,'SILENT FITTINGS'!$C:$R,5,0)</f>
        <v>1235.11</v>
      </c>
      <c r="H2208" s="320"/>
      <c r="I2208" s="320"/>
      <c r="J2208" s="320"/>
      <c r="K2208" s="320"/>
      <c r="L2208" s="320"/>
      <c r="M2208" s="320"/>
      <c r="N2208" s="320"/>
      <c r="O2208" s="320"/>
    </row>
    <row r="2209">
      <c r="A2209" s="32">
        <f t="shared" si="1"/>
        <v>2208</v>
      </c>
      <c r="B2209" s="9" t="s">
        <v>4232</v>
      </c>
      <c r="C2209" s="500" t="s">
        <v>4393</v>
      </c>
      <c r="D2209" s="668" t="s">
        <v>4394</v>
      </c>
      <c r="E2209" s="18"/>
      <c r="F2209" s="656" t="s">
        <v>1088</v>
      </c>
      <c r="G2209" s="668">
        <f>VLOOKUP($C2209,'SILENT FITTINGS'!$C:$R,5,0)</f>
        <v>75.59</v>
      </c>
      <c r="H2209" s="320"/>
      <c r="I2209" s="320"/>
      <c r="J2209" s="320"/>
      <c r="K2209" s="320"/>
      <c r="L2209" s="320"/>
      <c r="M2209" s="320"/>
      <c r="N2209" s="320"/>
      <c r="O2209" s="320"/>
    </row>
    <row r="2210">
      <c r="A2210" s="32">
        <f t="shared" si="1"/>
        <v>2209</v>
      </c>
      <c r="B2210" s="9" t="s">
        <v>4232</v>
      </c>
      <c r="C2210" s="500" t="s">
        <v>4395</v>
      </c>
      <c r="D2210" s="668" t="s">
        <v>4394</v>
      </c>
      <c r="E2210" s="18"/>
      <c r="F2210" s="656" t="s">
        <v>1088</v>
      </c>
      <c r="G2210" s="668">
        <f>VLOOKUP($C2210,'SILENT FITTINGS'!$C:$R,5,0)</f>
        <v>108.68</v>
      </c>
      <c r="H2210" s="320"/>
      <c r="I2210" s="320"/>
      <c r="J2210" s="320"/>
      <c r="K2210" s="320"/>
      <c r="L2210" s="320"/>
      <c r="M2210" s="320"/>
      <c r="N2210" s="320"/>
      <c r="O2210" s="320"/>
    </row>
    <row r="2211">
      <c r="A2211" s="32">
        <f t="shared" si="1"/>
        <v>2210</v>
      </c>
      <c r="B2211" s="9" t="s">
        <v>4232</v>
      </c>
      <c r="C2211" s="500" t="s">
        <v>4396</v>
      </c>
      <c r="D2211" s="668" t="s">
        <v>4394</v>
      </c>
      <c r="E2211" s="18"/>
      <c r="F2211" s="656" t="s">
        <v>1088</v>
      </c>
      <c r="G2211" s="668">
        <f>VLOOKUP($C2211,'SILENT FITTINGS'!$C:$R,5,0)</f>
        <v>185.66</v>
      </c>
      <c r="H2211" s="320"/>
      <c r="I2211" s="320"/>
      <c r="J2211" s="320"/>
      <c r="K2211" s="320"/>
      <c r="L2211" s="320"/>
      <c r="M2211" s="320"/>
      <c r="N2211" s="320"/>
      <c r="O2211" s="320"/>
    </row>
    <row r="2212">
      <c r="A2212" s="32">
        <f t="shared" si="1"/>
        <v>2211</v>
      </c>
      <c r="B2212" s="9" t="s">
        <v>4232</v>
      </c>
      <c r="C2212" s="500" t="s">
        <v>4397</v>
      </c>
      <c r="D2212" s="668" t="s">
        <v>4394</v>
      </c>
      <c r="E2212" s="18"/>
      <c r="F2212" s="656" t="s">
        <v>1088</v>
      </c>
      <c r="G2212" s="668">
        <f>VLOOKUP($C2212,'SILENT FITTINGS'!$C:$R,5,0)</f>
        <v>494.9</v>
      </c>
      <c r="H2212" s="320"/>
      <c r="I2212" s="320"/>
      <c r="J2212" s="320"/>
      <c r="K2212" s="320"/>
      <c r="L2212" s="320"/>
      <c r="M2212" s="320"/>
      <c r="N2212" s="320"/>
      <c r="O2212" s="320"/>
    </row>
    <row r="2213">
      <c r="A2213" s="32">
        <f t="shared" si="1"/>
        <v>2212</v>
      </c>
      <c r="B2213" s="9" t="s">
        <v>4232</v>
      </c>
      <c r="C2213" s="500" t="s">
        <v>4398</v>
      </c>
      <c r="D2213" s="668" t="s">
        <v>4394</v>
      </c>
      <c r="E2213" s="18"/>
      <c r="F2213" s="656" t="s">
        <v>1088</v>
      </c>
      <c r="G2213" s="668">
        <f>VLOOKUP($C2213,'SILENT FITTINGS'!$C:$R,5,0)</f>
        <v>972.28</v>
      </c>
      <c r="H2213" s="320"/>
      <c r="I2213" s="320"/>
      <c r="J2213" s="320"/>
      <c r="K2213" s="320"/>
      <c r="L2213" s="320"/>
      <c r="M2213" s="320"/>
      <c r="N2213" s="320"/>
      <c r="O2213" s="320"/>
    </row>
    <row r="2214">
      <c r="A2214" s="32">
        <f t="shared" si="1"/>
        <v>2213</v>
      </c>
      <c r="B2214" s="9" t="s">
        <v>4232</v>
      </c>
      <c r="C2214" s="500" t="s">
        <v>4399</v>
      </c>
      <c r="D2214" s="668" t="s">
        <v>4400</v>
      </c>
      <c r="E2214" s="18"/>
      <c r="F2214" s="656" t="s">
        <v>1088</v>
      </c>
      <c r="G2214" s="668">
        <f>VLOOKUP($C2214,'SILENT FITTINGS'!$C:$R,5,0)</f>
        <v>133.76</v>
      </c>
      <c r="H2214" s="320"/>
      <c r="I2214" s="320"/>
      <c r="J2214" s="320"/>
      <c r="K2214" s="320"/>
      <c r="L2214" s="320"/>
      <c r="M2214" s="320"/>
      <c r="N2214" s="320"/>
      <c r="O2214" s="320"/>
    </row>
    <row r="2215">
      <c r="A2215" s="32">
        <f t="shared" si="1"/>
        <v>2214</v>
      </c>
      <c r="B2215" s="9" t="s">
        <v>4232</v>
      </c>
      <c r="C2215" s="500" t="s">
        <v>4401</v>
      </c>
      <c r="D2215" s="668" t="s">
        <v>4400</v>
      </c>
      <c r="E2215" s="18"/>
      <c r="F2215" s="656" t="s">
        <v>1088</v>
      </c>
      <c r="G2215" s="668">
        <f>VLOOKUP($C2215,'SILENT FITTINGS'!$C:$R,5,0)</f>
        <v>178.74</v>
      </c>
      <c r="H2215" s="320"/>
      <c r="I2215" s="320"/>
      <c r="J2215" s="320"/>
      <c r="K2215" s="320"/>
      <c r="L2215" s="320"/>
      <c r="M2215" s="320"/>
      <c r="N2215" s="320"/>
      <c r="O2215" s="320"/>
    </row>
    <row r="2216">
      <c r="A2216" s="32">
        <f t="shared" si="1"/>
        <v>2215</v>
      </c>
      <c r="B2216" s="9" t="s">
        <v>4232</v>
      </c>
      <c r="C2216" s="500" t="s">
        <v>4402</v>
      </c>
      <c r="D2216" s="668" t="s">
        <v>4400</v>
      </c>
      <c r="E2216" s="18"/>
      <c r="F2216" s="656" t="s">
        <v>1088</v>
      </c>
      <c r="G2216" s="668">
        <f>VLOOKUP($C2216,'SILENT FITTINGS'!$C:$R,5,0)</f>
        <v>304.88</v>
      </c>
      <c r="H2216" s="320"/>
      <c r="I2216" s="320"/>
      <c r="J2216" s="320"/>
      <c r="K2216" s="320"/>
      <c r="L2216" s="320"/>
      <c r="M2216" s="320"/>
      <c r="N2216" s="320"/>
      <c r="O2216" s="320"/>
    </row>
    <row r="2217">
      <c r="A2217" s="32">
        <f t="shared" si="1"/>
        <v>2216</v>
      </c>
      <c r="B2217" s="9" t="s">
        <v>4232</v>
      </c>
      <c r="C2217" s="500" t="s">
        <v>4333</v>
      </c>
      <c r="D2217" s="668" t="s">
        <v>4324</v>
      </c>
      <c r="E2217" s="18"/>
      <c r="F2217" s="656" t="s">
        <v>1088</v>
      </c>
      <c r="G2217" s="668">
        <f>VLOOKUP($C2217,'SILENT FITTINGS'!$C:$R,5,0)</f>
        <v>727.64</v>
      </c>
      <c r="H2217" s="320"/>
      <c r="I2217" s="320"/>
      <c r="J2217" s="320"/>
      <c r="K2217" s="320"/>
      <c r="L2217" s="320"/>
      <c r="M2217" s="320"/>
      <c r="N2217" s="320"/>
      <c r="O2217" s="320"/>
    </row>
    <row r="2218">
      <c r="A2218" s="32">
        <f t="shared" si="1"/>
        <v>2217</v>
      </c>
      <c r="B2218" s="9" t="s">
        <v>4232</v>
      </c>
      <c r="C2218" s="500" t="s">
        <v>4335</v>
      </c>
      <c r="D2218" s="668" t="s">
        <v>4324</v>
      </c>
      <c r="E2218" s="18"/>
      <c r="F2218" s="656" t="s">
        <v>1088</v>
      </c>
      <c r="G2218" s="668">
        <f>VLOOKUP($C2218,'SILENT FITTINGS'!$C:$R,5,0)</f>
        <v>1375.24</v>
      </c>
      <c r="H2218" s="320"/>
      <c r="I2218" s="320"/>
      <c r="J2218" s="320"/>
      <c r="K2218" s="320"/>
      <c r="L2218" s="320"/>
      <c r="M2218" s="320"/>
      <c r="N2218" s="320"/>
      <c r="O2218" s="320"/>
    </row>
    <row r="2219">
      <c r="A2219" s="32">
        <f t="shared" si="1"/>
        <v>2218</v>
      </c>
      <c r="B2219" s="9" t="s">
        <v>4232</v>
      </c>
      <c r="C2219" s="500" t="s">
        <v>4336</v>
      </c>
      <c r="D2219" s="668" t="s">
        <v>4337</v>
      </c>
      <c r="E2219" s="18"/>
      <c r="F2219" s="656" t="s">
        <v>1088</v>
      </c>
      <c r="G2219" s="668">
        <f>VLOOKUP($C2219,'SILENT FITTINGS'!$C:$R,5,0)</f>
        <v>116.3</v>
      </c>
      <c r="H2219" s="320"/>
      <c r="I2219" s="320"/>
      <c r="J2219" s="320"/>
      <c r="K2219" s="320"/>
      <c r="L2219" s="320"/>
      <c r="M2219" s="320"/>
      <c r="N2219" s="320"/>
      <c r="O2219" s="320"/>
    </row>
    <row r="2220">
      <c r="A2220" s="32">
        <f t="shared" si="1"/>
        <v>2219</v>
      </c>
      <c r="B2220" s="9" t="s">
        <v>4232</v>
      </c>
      <c r="C2220" s="500" t="s">
        <v>4358</v>
      </c>
      <c r="D2220" s="668" t="s">
        <v>4337</v>
      </c>
      <c r="E2220" s="18"/>
      <c r="F2220" s="656" t="s">
        <v>1088</v>
      </c>
      <c r="G2220" s="668">
        <f>VLOOKUP($C2220,'SILENT FITTINGS'!$C:$R,5,0)</f>
        <v>169.2</v>
      </c>
      <c r="H2220" s="320"/>
      <c r="I2220" s="320"/>
      <c r="J2220" s="320"/>
      <c r="K2220" s="320"/>
      <c r="L2220" s="320"/>
      <c r="M2220" s="320"/>
      <c r="N2220" s="320"/>
      <c r="O2220" s="320"/>
    </row>
    <row r="2221">
      <c r="A2221" s="32">
        <f t="shared" si="1"/>
        <v>2220</v>
      </c>
      <c r="B2221" s="9" t="s">
        <v>4232</v>
      </c>
      <c r="C2221" s="500" t="s">
        <v>4359</v>
      </c>
      <c r="D2221" s="668" t="s">
        <v>4337</v>
      </c>
      <c r="E2221" s="18"/>
      <c r="F2221" s="656" t="s">
        <v>1088</v>
      </c>
      <c r="G2221" s="668">
        <f>VLOOKUP($C2221,'SILENT FITTINGS'!$C:$R,5,0)</f>
        <v>311.44</v>
      </c>
      <c r="H2221" s="320"/>
      <c r="I2221" s="320"/>
      <c r="J2221" s="320"/>
      <c r="K2221" s="320"/>
      <c r="L2221" s="320"/>
      <c r="M2221" s="320"/>
      <c r="N2221" s="320"/>
      <c r="O2221" s="320"/>
    </row>
    <row r="2222">
      <c r="A2222" s="32">
        <f t="shared" si="1"/>
        <v>2221</v>
      </c>
      <c r="B2222" s="9" t="s">
        <v>4232</v>
      </c>
      <c r="C2222" s="500" t="s">
        <v>4403</v>
      </c>
      <c r="D2222" s="668" t="s">
        <v>4404</v>
      </c>
      <c r="E2222" s="18"/>
      <c r="F2222" s="656" t="s">
        <v>1088</v>
      </c>
      <c r="G2222" s="668">
        <f>VLOOKUP($C2222,'SILENT FITTINGS'!$C:$R,5,0)</f>
        <v>1110.32</v>
      </c>
      <c r="H2222" s="320"/>
      <c r="I2222" s="320"/>
      <c r="J2222" s="320"/>
      <c r="K2222" s="320"/>
      <c r="L2222" s="320"/>
      <c r="M2222" s="320"/>
      <c r="N2222" s="320"/>
      <c r="O2222" s="320"/>
    </row>
    <row r="2223">
      <c r="A2223" s="32">
        <f t="shared" si="1"/>
        <v>2222</v>
      </c>
      <c r="B2223" s="9" t="s">
        <v>4232</v>
      </c>
      <c r="C2223" s="500" t="s">
        <v>4405</v>
      </c>
      <c r="D2223" s="668" t="s">
        <v>4404</v>
      </c>
      <c r="E2223" s="18"/>
      <c r="F2223" s="656" t="s">
        <v>1088</v>
      </c>
      <c r="G2223" s="668">
        <f>VLOOKUP($C2223,'SILENT FITTINGS'!$C:$R,5,0)</f>
        <v>2247.55</v>
      </c>
      <c r="H2223" s="320"/>
      <c r="I2223" s="320"/>
      <c r="J2223" s="320"/>
      <c r="K2223" s="320"/>
      <c r="L2223" s="320"/>
      <c r="M2223" s="320"/>
      <c r="N2223" s="320"/>
      <c r="O2223" s="320"/>
    </row>
    <row r="2224">
      <c r="A2224" s="32">
        <f t="shared" si="1"/>
        <v>2223</v>
      </c>
      <c r="B2224" s="9" t="s">
        <v>4232</v>
      </c>
      <c r="C2224" s="500" t="s">
        <v>4406</v>
      </c>
      <c r="D2224" s="668" t="s">
        <v>4407</v>
      </c>
      <c r="E2224" s="18"/>
      <c r="F2224" s="656" t="s">
        <v>1088</v>
      </c>
      <c r="G2224" s="668" t="str">
        <f>VLOOKUP($C2224,'SILENT FITTINGS'!$C:$R,5,0)</f>
        <v/>
      </c>
      <c r="H2224" s="320"/>
      <c r="I2224" s="320"/>
      <c r="J2224" s="320"/>
      <c r="K2224" s="320"/>
      <c r="L2224" s="320"/>
      <c r="M2224" s="320"/>
      <c r="N2224" s="320"/>
      <c r="O2224" s="320"/>
    </row>
    <row r="2225">
      <c r="A2225" s="32">
        <f t="shared" si="1"/>
        <v>2224</v>
      </c>
      <c r="B2225" s="9" t="s">
        <v>4232</v>
      </c>
      <c r="C2225" s="500" t="s">
        <v>4408</v>
      </c>
      <c r="D2225" s="668" t="s">
        <v>4407</v>
      </c>
      <c r="E2225" s="18"/>
      <c r="F2225" s="656" t="s">
        <v>1088</v>
      </c>
      <c r="G2225" s="668" t="str">
        <f>VLOOKUP($C2225,'SILENT FITTINGS'!$C:$R,5,0)</f>
        <v/>
      </c>
      <c r="H2225" s="320"/>
      <c r="I2225" s="320"/>
      <c r="J2225" s="320"/>
      <c r="K2225" s="320"/>
      <c r="L2225" s="320"/>
      <c r="M2225" s="320"/>
      <c r="N2225" s="320"/>
      <c r="O2225" s="320"/>
    </row>
    <row r="2226">
      <c r="A2226" s="32">
        <f t="shared" si="1"/>
        <v>2225</v>
      </c>
      <c r="B2226" s="9" t="s">
        <v>4232</v>
      </c>
      <c r="C2226" s="500" t="s">
        <v>4409</v>
      </c>
      <c r="D2226" s="668" t="s">
        <v>4407</v>
      </c>
      <c r="E2226" s="18"/>
      <c r="F2226" s="656" t="s">
        <v>1088</v>
      </c>
      <c r="G2226" s="668" t="str">
        <f>VLOOKUP($C2226,'SILENT FITTINGS'!$C:$R,5,0)</f>
        <v/>
      </c>
      <c r="H2226" s="320"/>
      <c r="I2226" s="320"/>
      <c r="J2226" s="320"/>
      <c r="K2226" s="320"/>
      <c r="L2226" s="320"/>
      <c r="M2226" s="320"/>
      <c r="N2226" s="320"/>
      <c r="O2226" s="320"/>
    </row>
    <row r="2227">
      <c r="A2227" s="32">
        <f t="shared" si="1"/>
        <v>2226</v>
      </c>
      <c r="B2227" s="9" t="s">
        <v>4232</v>
      </c>
      <c r="C2227" s="500" t="s">
        <v>4410</v>
      </c>
      <c r="D2227" s="668" t="s">
        <v>4411</v>
      </c>
      <c r="E2227" s="18"/>
      <c r="F2227" s="656" t="s">
        <v>1088</v>
      </c>
      <c r="G2227" s="668">
        <f>VLOOKUP($C2227,'SILENT FITTINGS'!$C:$R,5,0)</f>
        <v>626.61</v>
      </c>
      <c r="H2227" s="320"/>
      <c r="I2227" s="320"/>
      <c r="J2227" s="320"/>
      <c r="K2227" s="320"/>
      <c r="L2227" s="320"/>
      <c r="M2227" s="320"/>
      <c r="N2227" s="320"/>
      <c r="O2227" s="320"/>
    </row>
    <row r="2228">
      <c r="A2228" s="32">
        <f t="shared" si="1"/>
        <v>2227</v>
      </c>
      <c r="B2228" s="9" t="s">
        <v>4232</v>
      </c>
      <c r="C2228" s="500" t="s">
        <v>4412</v>
      </c>
      <c r="D2228" s="668" t="s">
        <v>4411</v>
      </c>
      <c r="E2228" s="18"/>
      <c r="F2228" s="656" t="s">
        <v>1088</v>
      </c>
      <c r="G2228" s="668">
        <f>VLOOKUP($C2228,'SILENT FITTINGS'!$C:$R,5,0)</f>
        <v>1262.53</v>
      </c>
      <c r="H2228" s="320"/>
      <c r="I2228" s="320"/>
      <c r="J2228" s="320"/>
      <c r="K2228" s="320"/>
      <c r="L2228" s="320"/>
      <c r="M2228" s="320"/>
      <c r="N2228" s="320"/>
      <c r="O2228" s="320"/>
    </row>
    <row r="2229">
      <c r="A2229" s="32">
        <f t="shared" si="1"/>
        <v>2228</v>
      </c>
      <c r="B2229" s="9" t="s">
        <v>4232</v>
      </c>
      <c r="C2229" s="500" t="s">
        <v>4413</v>
      </c>
      <c r="D2229" s="668" t="s">
        <v>4411</v>
      </c>
      <c r="E2229" s="18"/>
      <c r="F2229" s="656" t="s">
        <v>1088</v>
      </c>
      <c r="G2229" s="668">
        <f>VLOOKUP($C2229,'SILENT FITTINGS'!$C:$R,5,0)</f>
        <v>1038.2</v>
      </c>
      <c r="H2229" s="320"/>
      <c r="I2229" s="320"/>
      <c r="J2229" s="320"/>
      <c r="K2229" s="320"/>
      <c r="L2229" s="320"/>
      <c r="M2229" s="320"/>
      <c r="N2229" s="320"/>
      <c r="O2229" s="320"/>
    </row>
    <row r="2230">
      <c r="A2230" s="32">
        <f t="shared" si="1"/>
        <v>2229</v>
      </c>
      <c r="B2230" s="9" t="s">
        <v>4232</v>
      </c>
      <c r="C2230" s="500" t="s">
        <v>4414</v>
      </c>
      <c r="D2230" s="668" t="s">
        <v>4415</v>
      </c>
      <c r="E2230" s="18"/>
      <c r="F2230" s="656" t="s">
        <v>1088</v>
      </c>
      <c r="G2230" s="668" t="str">
        <f>VLOOKUP($C2230,'SILENT FITTINGS'!$C:$R,5,0)</f>
        <v/>
      </c>
      <c r="H2230" s="320"/>
      <c r="I2230" s="320"/>
      <c r="J2230" s="320"/>
      <c r="K2230" s="320"/>
      <c r="L2230" s="320"/>
      <c r="M2230" s="320"/>
      <c r="N2230" s="320"/>
      <c r="O2230" s="320"/>
    </row>
    <row r="2231">
      <c r="A2231" s="32">
        <f t="shared" si="1"/>
        <v>2230</v>
      </c>
      <c r="B2231" s="9" t="s">
        <v>4232</v>
      </c>
      <c r="C2231" s="500" t="s">
        <v>4416</v>
      </c>
      <c r="D2231" s="668" t="s">
        <v>4415</v>
      </c>
      <c r="E2231" s="18"/>
      <c r="F2231" s="656" t="s">
        <v>1088</v>
      </c>
      <c r="G2231" s="668" t="str">
        <f>VLOOKUP($C2231,'SILENT FITTINGS'!$C:$R,5,0)</f>
        <v/>
      </c>
      <c r="H2231" s="320"/>
      <c r="I2231" s="320"/>
      <c r="J2231" s="320"/>
      <c r="K2231" s="320"/>
      <c r="L2231" s="320"/>
      <c r="M2231" s="320"/>
      <c r="N2231" s="320"/>
      <c r="O2231" s="320"/>
    </row>
    <row r="2232">
      <c r="A2232" s="32">
        <f t="shared" si="1"/>
        <v>2231</v>
      </c>
      <c r="B2232" s="9" t="s">
        <v>4232</v>
      </c>
      <c r="C2232" s="500" t="s">
        <v>4417</v>
      </c>
      <c r="D2232" s="668" t="s">
        <v>4418</v>
      </c>
      <c r="E2232" s="18"/>
      <c r="F2232" s="656" t="s">
        <v>1088</v>
      </c>
      <c r="G2232" s="668" t="str">
        <f>VLOOKUP($C2232,'SILENT FITTINGS'!$C:$R,5,0)</f>
        <v/>
      </c>
      <c r="H2232" s="320"/>
      <c r="I2232" s="320"/>
      <c r="J2232" s="320"/>
      <c r="K2232" s="320"/>
      <c r="L2232" s="320"/>
      <c r="M2232" s="320"/>
      <c r="N2232" s="320"/>
      <c r="O2232" s="320"/>
    </row>
    <row r="2233">
      <c r="A2233" s="32">
        <f t="shared" si="1"/>
        <v>2232</v>
      </c>
      <c r="B2233" s="9" t="s">
        <v>4232</v>
      </c>
      <c r="C2233" s="500" t="s">
        <v>4419</v>
      </c>
      <c r="D2233" s="668" t="s">
        <v>4418</v>
      </c>
      <c r="E2233" s="18"/>
      <c r="F2233" s="656" t="s">
        <v>1088</v>
      </c>
      <c r="G2233" s="668" t="str">
        <f>VLOOKUP($C2233,'SILENT FITTINGS'!$C:$R,5,0)</f>
        <v/>
      </c>
      <c r="H2233" s="320"/>
      <c r="I2233" s="320"/>
      <c r="J2233" s="320"/>
      <c r="K2233" s="320"/>
      <c r="L2233" s="320"/>
      <c r="M2233" s="320"/>
      <c r="N2233" s="320"/>
      <c r="O2233" s="320"/>
    </row>
    <row r="2234">
      <c r="A2234" s="32">
        <f t="shared" si="1"/>
        <v>2233</v>
      </c>
      <c r="B2234" s="9" t="s">
        <v>4232</v>
      </c>
      <c r="C2234" s="500" t="s">
        <v>4420</v>
      </c>
      <c r="D2234" s="668" t="s">
        <v>4421</v>
      </c>
      <c r="E2234" s="18"/>
      <c r="F2234" s="656" t="s">
        <v>1088</v>
      </c>
      <c r="G2234" s="668" t="str">
        <f>VLOOKUP($C2234,'SILENT FITTINGS'!$C:$R,5,0)</f>
        <v/>
      </c>
      <c r="H2234" s="320"/>
      <c r="I2234" s="320"/>
      <c r="J2234" s="320"/>
      <c r="K2234" s="320"/>
      <c r="L2234" s="320"/>
      <c r="M2234" s="320"/>
      <c r="N2234" s="320"/>
      <c r="O2234" s="320"/>
    </row>
    <row r="2235">
      <c r="A2235" s="32">
        <f t="shared" si="1"/>
        <v>2234</v>
      </c>
      <c r="B2235" s="9" t="s">
        <v>4232</v>
      </c>
      <c r="C2235" s="500" t="s">
        <v>4422</v>
      </c>
      <c r="D2235" s="668" t="s">
        <v>4421</v>
      </c>
      <c r="E2235" s="18"/>
      <c r="F2235" s="656" t="s">
        <v>1088</v>
      </c>
      <c r="G2235" s="668" t="str">
        <f>VLOOKUP($C2235,'SILENT FITTINGS'!$C:$R,5,0)</f>
        <v/>
      </c>
      <c r="H2235" s="320"/>
      <c r="I2235" s="320"/>
      <c r="J2235" s="320"/>
      <c r="K2235" s="320"/>
      <c r="L2235" s="320"/>
      <c r="M2235" s="320"/>
      <c r="N2235" s="320"/>
      <c r="O2235" s="320"/>
    </row>
    <row r="2236">
      <c r="A2236" s="32">
        <f t="shared" si="1"/>
        <v>2235</v>
      </c>
      <c r="B2236" s="9" t="s">
        <v>4232</v>
      </c>
      <c r="C2236" s="500" t="s">
        <v>4423</v>
      </c>
      <c r="D2236" s="668" t="s">
        <v>4424</v>
      </c>
      <c r="E2236" s="18"/>
      <c r="F2236" s="656" t="s">
        <v>1088</v>
      </c>
      <c r="G2236" s="668" t="str">
        <f>VLOOKUP($C2236,'SILENT FITTINGS'!$C:$R,5,0)</f>
        <v/>
      </c>
      <c r="H2236" s="320"/>
      <c r="I2236" s="320"/>
      <c r="J2236" s="320"/>
      <c r="K2236" s="320"/>
      <c r="L2236" s="320"/>
      <c r="M2236" s="320"/>
      <c r="N2236" s="320"/>
      <c r="O2236" s="320"/>
    </row>
    <row r="2237">
      <c r="A2237" s="32">
        <f t="shared" si="1"/>
        <v>2236</v>
      </c>
      <c r="B2237" s="9" t="s">
        <v>4425</v>
      </c>
      <c r="C2237" s="78" t="s">
        <v>4426</v>
      </c>
      <c r="D2237" s="668"/>
      <c r="E2237" s="18">
        <f>VLOOKUP($C2237,'HDPE PIPE'!$F$5:$K2469,5,0)</f>
        <v>0.3116084784</v>
      </c>
      <c r="F2237" s="656" t="s">
        <v>1088</v>
      </c>
      <c r="G2237" s="18">
        <f>VLOOKUP($C2237,'HDPE PIPE'!$F$5:$K2469,6,0)</f>
        <v>118.5</v>
      </c>
      <c r="H2237" s="320"/>
      <c r="I2237" s="320"/>
      <c r="J2237" s="320"/>
      <c r="K2237" s="320"/>
      <c r="L2237" s="320"/>
      <c r="M2237" s="320"/>
      <c r="N2237" s="320"/>
      <c r="O2237" s="320"/>
    </row>
    <row r="2238">
      <c r="A2238" s="32">
        <f t="shared" si="1"/>
        <v>2237</v>
      </c>
      <c r="B2238" s="9" t="s">
        <v>4425</v>
      </c>
      <c r="C2238" s="78" t="s">
        <v>4427</v>
      </c>
      <c r="D2238" s="668"/>
      <c r="E2238" s="18">
        <f>VLOOKUP($C2238,'HDPE PIPE'!$F$5:$K2469,5,0)</f>
        <v>0.492715872</v>
      </c>
      <c r="F2238" s="656" t="s">
        <v>1088</v>
      </c>
      <c r="G2238" s="18">
        <f>VLOOKUP($C2238,'HDPE PIPE'!$F$5:$K2469,6,0)</f>
        <v>187.25</v>
      </c>
      <c r="H2238" s="320"/>
      <c r="I2238" s="320"/>
      <c r="J2238" s="320"/>
      <c r="K2238" s="320"/>
      <c r="L2238" s="320"/>
      <c r="M2238" s="320"/>
      <c r="N2238" s="320"/>
      <c r="O2238" s="320"/>
    </row>
    <row r="2239">
      <c r="A2239" s="32">
        <f t="shared" si="1"/>
        <v>2238</v>
      </c>
      <c r="B2239" s="9" t="s">
        <v>4425</v>
      </c>
      <c r="C2239" s="78" t="s">
        <v>4428</v>
      </c>
      <c r="D2239" s="668"/>
      <c r="E2239" s="18">
        <f>VLOOKUP($C2239,'HDPE PIPE'!$F$5:$K2469,5,0)</f>
        <v>0.6746452128</v>
      </c>
      <c r="F2239" s="656" t="s">
        <v>1088</v>
      </c>
      <c r="G2239" s="18">
        <f>VLOOKUP($C2239,'HDPE PIPE'!$F$5:$K2469,6,0)</f>
        <v>256.5</v>
      </c>
      <c r="H2239" s="320"/>
      <c r="I2239" s="320"/>
      <c r="J2239" s="320"/>
      <c r="K2239" s="320"/>
      <c r="L2239" s="320"/>
      <c r="M2239" s="320"/>
      <c r="N2239" s="320"/>
      <c r="O2239" s="320"/>
    </row>
    <row r="2240">
      <c r="A2240" s="32">
        <f t="shared" si="1"/>
        <v>2239</v>
      </c>
      <c r="B2240" s="9" t="s">
        <v>4425</v>
      </c>
      <c r="C2240" s="78" t="s">
        <v>4429</v>
      </c>
      <c r="D2240" s="668"/>
      <c r="E2240" s="18">
        <f>VLOOKUP($C2240,'HDPE PIPE'!$F$5:$K2469,5,0)</f>
        <v>0.97898436</v>
      </c>
      <c r="F2240" s="656" t="s">
        <v>1088</v>
      </c>
      <c r="G2240" s="18">
        <f>VLOOKUP($C2240,'HDPE PIPE'!$F$5:$K2469,6,0)</f>
        <v>372</v>
      </c>
      <c r="H2240" s="320"/>
      <c r="I2240" s="320"/>
      <c r="J2240" s="320"/>
      <c r="K2240" s="320"/>
      <c r="L2240" s="320"/>
      <c r="M2240" s="320"/>
      <c r="N2240" s="320"/>
      <c r="O2240" s="320"/>
    </row>
    <row r="2241">
      <c r="A2241" s="32">
        <f t="shared" si="1"/>
        <v>2240</v>
      </c>
      <c r="B2241" s="9" t="s">
        <v>4425</v>
      </c>
      <c r="C2241" s="78" t="s">
        <v>4430</v>
      </c>
      <c r="D2241" s="668"/>
      <c r="E2241" s="18">
        <f>VLOOKUP($C2241,'HDPE PIPE'!$F$5:$K2469,5,0)</f>
        <v>1.467288864</v>
      </c>
      <c r="F2241" s="656" t="s">
        <v>1088</v>
      </c>
      <c r="G2241" s="18">
        <f>VLOOKUP($C2241,'HDPE PIPE'!$F$5:$K2469,6,0)</f>
        <v>557.5</v>
      </c>
      <c r="H2241" s="320"/>
      <c r="I2241" s="320"/>
      <c r="J2241" s="320"/>
      <c r="K2241" s="320"/>
      <c r="L2241" s="320"/>
      <c r="M2241" s="320"/>
      <c r="N2241" s="320"/>
      <c r="O2241" s="320"/>
    </row>
    <row r="2242">
      <c r="A2242" s="32">
        <f t="shared" si="1"/>
        <v>2241</v>
      </c>
      <c r="B2242" s="9" t="s">
        <v>4425</v>
      </c>
      <c r="C2242" s="78" t="s">
        <v>4431</v>
      </c>
      <c r="D2242" s="668"/>
      <c r="E2242" s="18">
        <f>VLOOKUP($C2242,'HDPE PIPE'!$F$5:$K2469,5,0)</f>
        <v>1.885320653</v>
      </c>
      <c r="F2242" s="656" t="s">
        <v>1088</v>
      </c>
      <c r="G2242" s="18">
        <f>VLOOKUP($C2242,'HDPE PIPE'!$F$5:$K2469,6,0)</f>
        <v>716.5</v>
      </c>
      <c r="H2242" s="320"/>
      <c r="I2242" s="320"/>
      <c r="J2242" s="320"/>
      <c r="K2242" s="320"/>
      <c r="L2242" s="320"/>
      <c r="M2242" s="320"/>
      <c r="N2242" s="320"/>
      <c r="O2242" s="320"/>
    </row>
    <row r="2243">
      <c r="A2243" s="32">
        <f t="shared" si="1"/>
        <v>2242</v>
      </c>
      <c r="B2243" s="9" t="s">
        <v>4425</v>
      </c>
      <c r="C2243" s="78" t="s">
        <v>4432</v>
      </c>
      <c r="D2243" s="668"/>
      <c r="E2243" s="18">
        <f>VLOOKUP($C2243,'HDPE PIPE'!$F$5:$K2469,5,0)</f>
        <v>2.336215248</v>
      </c>
      <c r="F2243" s="656" t="s">
        <v>1088</v>
      </c>
      <c r="G2243" s="18">
        <f>VLOOKUP($C2243,'HDPE PIPE'!$F$5:$K2469,6,0)</f>
        <v>887.75</v>
      </c>
      <c r="H2243" s="320"/>
      <c r="I2243" s="320"/>
      <c r="J2243" s="320"/>
      <c r="K2243" s="320"/>
      <c r="L2243" s="320"/>
      <c r="M2243" s="320"/>
      <c r="N2243" s="320"/>
      <c r="O2243" s="320"/>
    </row>
    <row r="2244">
      <c r="A2244" s="32">
        <f t="shared" si="1"/>
        <v>2243</v>
      </c>
      <c r="B2244" s="9" t="s">
        <v>4425</v>
      </c>
      <c r="C2244" s="78" t="s">
        <v>4433</v>
      </c>
      <c r="D2244" s="668"/>
      <c r="E2244" s="18">
        <f>VLOOKUP($C2244,'HDPE PIPE'!$F$5:$K2469,5,0)</f>
        <v>3.063796877</v>
      </c>
      <c r="F2244" s="656" t="s">
        <v>1088</v>
      </c>
      <c r="G2244" s="18">
        <f>VLOOKUP($C2244,'HDPE PIPE'!$F$5:$K2469,6,0)</f>
        <v>1164.25</v>
      </c>
      <c r="H2244" s="320"/>
      <c r="I2244" s="320"/>
      <c r="J2244" s="320"/>
      <c r="K2244" s="320"/>
      <c r="L2244" s="320"/>
      <c r="M2244" s="320"/>
      <c r="N2244" s="320"/>
      <c r="O2244" s="320"/>
    </row>
    <row r="2245">
      <c r="A2245" s="32">
        <f t="shared" si="1"/>
        <v>2244</v>
      </c>
      <c r="B2245" s="9" t="s">
        <v>4425</v>
      </c>
      <c r="C2245" s="78" t="s">
        <v>4434</v>
      </c>
      <c r="D2245" s="668"/>
      <c r="E2245" s="18">
        <f>VLOOKUP($C2245,'HDPE PIPE'!$F$5:$K2469,5,0)</f>
        <v>3.864840979</v>
      </c>
      <c r="F2245" s="656" t="s">
        <v>1088</v>
      </c>
      <c r="G2245" s="18">
        <f>VLOOKUP($C2245,'HDPE PIPE'!$F$5:$K2469,6,0)</f>
        <v>1468.75</v>
      </c>
      <c r="H2245" s="320"/>
      <c r="I2245" s="320"/>
      <c r="J2245" s="320"/>
      <c r="K2245" s="320"/>
      <c r="L2245" s="320"/>
      <c r="M2245" s="320"/>
      <c r="N2245" s="320"/>
      <c r="O2245" s="320"/>
    </row>
    <row r="2246">
      <c r="A2246" s="32">
        <f t="shared" si="1"/>
        <v>2245</v>
      </c>
      <c r="B2246" s="9" t="s">
        <v>4425</v>
      </c>
      <c r="C2246" s="78" t="s">
        <v>4435</v>
      </c>
      <c r="D2246" s="668"/>
      <c r="E2246" s="18">
        <f>VLOOKUP($C2246,'HDPE PIPE'!$F$5:$K2469,5,0)</f>
        <v>4.73099989</v>
      </c>
      <c r="F2246" s="656" t="s">
        <v>1088</v>
      </c>
      <c r="G2246" s="18">
        <f>VLOOKUP($C2246,'HDPE PIPE'!$F$5:$K2469,6,0)</f>
        <v>1797.75</v>
      </c>
      <c r="H2246" s="320"/>
      <c r="I2246" s="320"/>
      <c r="J2246" s="320"/>
      <c r="K2246" s="320"/>
      <c r="L2246" s="320"/>
      <c r="M2246" s="320"/>
      <c r="N2246" s="320"/>
      <c r="O2246" s="320"/>
    </row>
    <row r="2247">
      <c r="A2247" s="32">
        <f t="shared" si="1"/>
        <v>2246</v>
      </c>
      <c r="B2247" s="9" t="s">
        <v>4425</v>
      </c>
      <c r="C2247" s="78" t="s">
        <v>4436</v>
      </c>
      <c r="D2247" s="668"/>
      <c r="E2247" s="18">
        <f>VLOOKUP($C2247,'HDPE PIPE'!$F$5:$K2469,5,0)</f>
        <v>6.007906176</v>
      </c>
      <c r="F2247" s="656" t="s">
        <v>1088</v>
      </c>
      <c r="G2247" s="18">
        <f>VLOOKUP($C2247,'HDPE PIPE'!$F$5:$K2469,6,0)</f>
        <v>2283</v>
      </c>
      <c r="H2247" s="320"/>
      <c r="I2247" s="320"/>
      <c r="J2247" s="320"/>
      <c r="K2247" s="320"/>
      <c r="L2247" s="320"/>
      <c r="M2247" s="320"/>
      <c r="N2247" s="320"/>
      <c r="O2247" s="320"/>
    </row>
    <row r="2248">
      <c r="A2248" s="32">
        <f t="shared" si="1"/>
        <v>2247</v>
      </c>
      <c r="B2248" s="9" t="s">
        <v>4425</v>
      </c>
      <c r="C2248" s="78" t="s">
        <v>4437</v>
      </c>
      <c r="D2248" s="668"/>
      <c r="E2248" s="18">
        <f>VLOOKUP($C2248,'HDPE PIPE'!$F$5:$K2469,5,0)</f>
        <v>7.434059976</v>
      </c>
      <c r="F2248" s="656" t="s">
        <v>1088</v>
      </c>
      <c r="G2248" s="18">
        <f>VLOOKUP($C2248,'HDPE PIPE'!$F$5:$K2469,6,0)</f>
        <v>2825</v>
      </c>
      <c r="H2248" s="320"/>
      <c r="I2248" s="320"/>
      <c r="J2248" s="320"/>
      <c r="K2248" s="320"/>
      <c r="L2248" s="320"/>
      <c r="M2248" s="320"/>
      <c r="N2248" s="320"/>
      <c r="O2248" s="320"/>
    </row>
    <row r="2249">
      <c r="A2249" s="32">
        <f t="shared" si="1"/>
        <v>2248</v>
      </c>
      <c r="B2249" s="9" t="s">
        <v>4425</v>
      </c>
      <c r="C2249" s="78" t="s">
        <v>4438</v>
      </c>
      <c r="D2249" s="668"/>
      <c r="E2249" s="18">
        <f>VLOOKUP($C2249,'HDPE PIPE'!$F$5:$K2469,5,0)</f>
        <v>9.265320634</v>
      </c>
      <c r="F2249" s="656" t="s">
        <v>1088</v>
      </c>
      <c r="G2249" s="18">
        <f>VLOOKUP($C2249,'HDPE PIPE'!$F$5:$K2469,6,0)</f>
        <v>3520.75</v>
      </c>
      <c r="H2249" s="320"/>
      <c r="I2249" s="320"/>
      <c r="J2249" s="320"/>
      <c r="K2249" s="320"/>
      <c r="L2249" s="320"/>
      <c r="M2249" s="320"/>
      <c r="N2249" s="320"/>
      <c r="O2249" s="320"/>
    </row>
    <row r="2250">
      <c r="A2250" s="32">
        <f t="shared" si="1"/>
        <v>2249</v>
      </c>
      <c r="B2250" s="9" t="s">
        <v>4425</v>
      </c>
      <c r="C2250" s="78" t="s">
        <v>4439</v>
      </c>
      <c r="D2250" s="668"/>
      <c r="E2250" s="18">
        <f>VLOOKUP($C2250,'HDPE PIPE'!$F$5:$K2469,5,0)</f>
        <v>11.7910573</v>
      </c>
      <c r="F2250" s="656" t="s">
        <v>1088</v>
      </c>
      <c r="G2250" s="18">
        <f>VLOOKUP($C2250,'HDPE PIPE'!$F$5:$K2469,6,0)</f>
        <v>4480.75</v>
      </c>
      <c r="H2250" s="320"/>
      <c r="I2250" s="320"/>
      <c r="J2250" s="320"/>
      <c r="K2250" s="320"/>
      <c r="L2250" s="320"/>
      <c r="M2250" s="320"/>
      <c r="N2250" s="320"/>
      <c r="O2250" s="320"/>
    </row>
    <row r="2251">
      <c r="A2251" s="32">
        <f t="shared" si="1"/>
        <v>2250</v>
      </c>
      <c r="B2251" s="9" t="s">
        <v>4425</v>
      </c>
      <c r="C2251" s="78" t="s">
        <v>4440</v>
      </c>
      <c r="D2251" s="668"/>
      <c r="E2251" s="596">
        <f>VLOOKUP($C2251,'HDPE PIPE'!$F$5:$K2469,5,0)</f>
        <v>14.304</v>
      </c>
      <c r="F2251" s="656" t="s">
        <v>1088</v>
      </c>
      <c r="G2251" s="596">
        <f>VLOOKUP($C2251,'HDPE PIPE'!$F$5:$K2469,6,0)</f>
        <v>5435.5</v>
      </c>
      <c r="H2251" s="320"/>
      <c r="I2251" s="320"/>
      <c r="J2251" s="320"/>
      <c r="K2251" s="320"/>
      <c r="L2251" s="320"/>
      <c r="M2251" s="320"/>
      <c r="N2251" s="320"/>
      <c r="O2251" s="320"/>
    </row>
    <row r="2252">
      <c r="A2252" s="32">
        <f t="shared" si="1"/>
        <v>2251</v>
      </c>
      <c r="B2252" s="9" t="s">
        <v>4425</v>
      </c>
      <c r="C2252" s="78" t="s">
        <v>4441</v>
      </c>
      <c r="D2252" s="668"/>
      <c r="E2252" s="596">
        <f>VLOOKUP($C2252,'HDPE PIPE'!$L$5:$Q2469,5,0)</f>
        <v>0.149</v>
      </c>
      <c r="F2252" s="656" t="s">
        <v>1088</v>
      </c>
      <c r="G2252" s="596">
        <f>VLOOKUP($C2252,'HDPE PIPE'!$L$5:$Q2469,6,0)</f>
        <v>56.6</v>
      </c>
      <c r="H2252" s="320"/>
      <c r="I2252" s="320"/>
      <c r="J2252" s="320"/>
      <c r="K2252" s="320"/>
      <c r="L2252" s="320"/>
      <c r="M2252" s="320"/>
      <c r="N2252" s="320"/>
      <c r="O2252" s="320"/>
    </row>
    <row r="2253">
      <c r="A2253" s="32">
        <f t="shared" si="1"/>
        <v>2252</v>
      </c>
      <c r="B2253" s="9" t="s">
        <v>4425</v>
      </c>
      <c r="C2253" s="78" t="s">
        <v>4442</v>
      </c>
      <c r="D2253" s="668"/>
      <c r="E2253" s="596">
        <f>VLOOKUP($C2253,'HDPE PIPE'!$L$5:$Q2469,5,0)</f>
        <v>0.232</v>
      </c>
      <c r="F2253" s="656" t="s">
        <v>1088</v>
      </c>
      <c r="G2253" s="596">
        <f>VLOOKUP($C2253,'HDPE PIPE'!$L$5:$Q2469,6,0)</f>
        <v>88.15</v>
      </c>
      <c r="H2253" s="320"/>
      <c r="I2253" s="320"/>
      <c r="J2253" s="320"/>
      <c r="K2253" s="320"/>
      <c r="L2253" s="320"/>
      <c r="M2253" s="320"/>
      <c r="N2253" s="320"/>
      <c r="O2253" s="320"/>
    </row>
    <row r="2254">
      <c r="A2254" s="32">
        <f t="shared" si="1"/>
        <v>2253</v>
      </c>
      <c r="B2254" s="9" t="s">
        <v>4425</v>
      </c>
      <c r="C2254" s="78" t="s">
        <v>4443</v>
      </c>
      <c r="D2254" s="668"/>
      <c r="E2254" s="596">
        <f>VLOOKUP($C2254,'HDPE PIPE'!$L$5:$Q2469,5,0)</f>
        <v>0.357</v>
      </c>
      <c r="F2254" s="656" t="s">
        <v>1088</v>
      </c>
      <c r="G2254" s="596">
        <f>VLOOKUP($C2254,'HDPE PIPE'!$L$5:$Q2469,6,0)</f>
        <v>135.65</v>
      </c>
      <c r="H2254" s="320"/>
      <c r="I2254" s="320"/>
      <c r="J2254" s="320"/>
      <c r="K2254" s="320"/>
      <c r="L2254" s="320"/>
      <c r="M2254" s="320"/>
      <c r="N2254" s="320"/>
      <c r="O2254" s="320"/>
    </row>
    <row r="2255">
      <c r="A2255" s="32">
        <f t="shared" si="1"/>
        <v>2254</v>
      </c>
      <c r="B2255" s="9" t="s">
        <v>4425</v>
      </c>
      <c r="C2255" s="78" t="s">
        <v>4444</v>
      </c>
      <c r="D2255" s="668"/>
      <c r="E2255" s="596">
        <f>VLOOKUP($C2255,'HDPE PIPE'!$L$5:$Q2469,5,0)</f>
        <v>0.551</v>
      </c>
      <c r="F2255" s="656" t="s">
        <v>1088</v>
      </c>
      <c r="G2255" s="596">
        <f>VLOOKUP($C2255,'HDPE PIPE'!$L$5:$Q2469,6,0)</f>
        <v>209.4</v>
      </c>
      <c r="H2255" s="320"/>
      <c r="I2255" s="320"/>
      <c r="J2255" s="320"/>
      <c r="K2255" s="320"/>
      <c r="L2255" s="320"/>
      <c r="M2255" s="320"/>
      <c r="N2255" s="320"/>
      <c r="O2255" s="320"/>
    </row>
    <row r="2256">
      <c r="A2256" s="32">
        <f t="shared" si="1"/>
        <v>2255</v>
      </c>
      <c r="B2256" s="9" t="s">
        <v>4425</v>
      </c>
      <c r="C2256" s="78" t="s">
        <v>4445</v>
      </c>
      <c r="D2256" s="668"/>
      <c r="E2256" s="596">
        <f>VLOOKUP($C2256,'HDPE PIPE'!$L$5:$Q2469,5,0)</f>
        <v>0.878</v>
      </c>
      <c r="F2256" s="656" t="s">
        <v>1088</v>
      </c>
      <c r="G2256" s="596">
        <f>VLOOKUP($C2256,'HDPE PIPE'!$L$5:$Q2469,6,0)</f>
        <v>333.65</v>
      </c>
      <c r="H2256" s="320"/>
      <c r="I2256" s="320"/>
      <c r="J2256" s="320"/>
      <c r="K2256" s="320"/>
      <c r="L2256" s="320"/>
      <c r="M2256" s="320"/>
      <c r="N2256" s="320"/>
      <c r="O2256" s="320"/>
    </row>
    <row r="2257">
      <c r="A2257" s="32">
        <f t="shared" si="1"/>
        <v>2256</v>
      </c>
      <c r="B2257" s="9" t="s">
        <v>4425</v>
      </c>
      <c r="C2257" s="78" t="s">
        <v>4446</v>
      </c>
      <c r="D2257" s="668"/>
      <c r="E2257" s="596">
        <f>VLOOKUP($C2257,'HDPE PIPE'!$L$5:$Q2469,5,0)</f>
        <v>1.244</v>
      </c>
      <c r="F2257" s="656" t="s">
        <v>1088</v>
      </c>
      <c r="G2257" s="596">
        <f>VLOOKUP($C2257,'HDPE PIPE'!$L$5:$Q2469,6,0)</f>
        <v>472.7</v>
      </c>
      <c r="H2257" s="320"/>
      <c r="I2257" s="320"/>
      <c r="J2257" s="320"/>
      <c r="K2257" s="320"/>
      <c r="L2257" s="320"/>
      <c r="M2257" s="320"/>
      <c r="N2257" s="320"/>
      <c r="O2257" s="320"/>
    </row>
    <row r="2258">
      <c r="A2258" s="32">
        <f t="shared" si="1"/>
        <v>2257</v>
      </c>
      <c r="B2258" s="9" t="s">
        <v>4425</v>
      </c>
      <c r="C2258" s="78" t="s">
        <v>4447</v>
      </c>
      <c r="D2258" s="668"/>
      <c r="E2258" s="596">
        <f>VLOOKUP($C2258,'HDPE PIPE'!$L$5:$Q2469,5,0)</f>
        <v>1.782</v>
      </c>
      <c r="F2258" s="656" t="s">
        <v>1088</v>
      </c>
      <c r="G2258" s="596">
        <f>VLOOKUP($C2258,'HDPE PIPE'!$L$5:$Q2469,6,0)</f>
        <v>677.15</v>
      </c>
      <c r="H2258" s="320"/>
      <c r="I2258" s="320"/>
      <c r="J2258" s="320"/>
      <c r="K2258" s="320"/>
      <c r="L2258" s="320"/>
      <c r="M2258" s="320"/>
      <c r="N2258" s="320"/>
      <c r="O2258" s="320"/>
    </row>
    <row r="2259">
      <c r="A2259" s="32">
        <f t="shared" si="1"/>
        <v>2258</v>
      </c>
      <c r="B2259" s="9" t="s">
        <v>4425</v>
      </c>
      <c r="C2259" s="78" t="s">
        <v>4448</v>
      </c>
      <c r="D2259" s="668"/>
      <c r="E2259" s="596">
        <f>VLOOKUP($C2259,'HDPE PIPE'!$L$5:$Q2469,5,0)</f>
        <v>2.639</v>
      </c>
      <c r="F2259" s="656" t="s">
        <v>1088</v>
      </c>
      <c r="G2259" s="596">
        <f>VLOOKUP($C2259,'HDPE PIPE'!$L$5:$Q2469,6,0)</f>
        <v>1002.8</v>
      </c>
      <c r="H2259" s="320"/>
      <c r="I2259" s="320"/>
      <c r="J2259" s="320"/>
      <c r="K2259" s="320"/>
      <c r="L2259" s="320"/>
      <c r="M2259" s="320"/>
      <c r="N2259" s="320"/>
      <c r="O2259" s="320"/>
    </row>
    <row r="2260">
      <c r="A2260" s="32">
        <f t="shared" si="1"/>
        <v>2259</v>
      </c>
      <c r="B2260" s="9" t="s">
        <v>4425</v>
      </c>
      <c r="C2260" s="78" t="s">
        <v>4449</v>
      </c>
      <c r="D2260" s="668"/>
      <c r="E2260" s="596">
        <f>VLOOKUP($C2260,'HDPE PIPE'!$L$5:$Q2469,5,0)</f>
        <v>3.401</v>
      </c>
      <c r="F2260" s="656" t="s">
        <v>1088</v>
      </c>
      <c r="G2260" s="596">
        <f>VLOOKUP($C2260,'HDPE PIPE'!$L$5:$Q2469,6,0)</f>
        <v>1292.4</v>
      </c>
      <c r="H2260" s="320"/>
      <c r="I2260" s="320"/>
      <c r="J2260" s="320"/>
      <c r="K2260" s="320"/>
      <c r="L2260" s="320"/>
      <c r="M2260" s="320"/>
      <c r="N2260" s="320"/>
      <c r="O2260" s="320"/>
    </row>
    <row r="2261">
      <c r="A2261" s="32">
        <f t="shared" si="1"/>
        <v>2260</v>
      </c>
      <c r="B2261" s="9" t="s">
        <v>4425</v>
      </c>
      <c r="C2261" s="78" t="s">
        <v>4450</v>
      </c>
      <c r="D2261" s="668"/>
      <c r="E2261" s="596">
        <f>VLOOKUP($C2261,'HDPE PIPE'!$L$5:$Q2469,5,0)</f>
        <v>4.259</v>
      </c>
      <c r="F2261" s="656" t="s">
        <v>1088</v>
      </c>
      <c r="G2261" s="596">
        <f>VLOOKUP($C2261,'HDPE PIPE'!$L$5:$Q2469,6,0)</f>
        <v>1618.4</v>
      </c>
      <c r="H2261" s="320"/>
      <c r="I2261" s="320"/>
      <c r="J2261" s="320"/>
      <c r="K2261" s="320"/>
      <c r="L2261" s="320"/>
      <c r="M2261" s="320"/>
      <c r="N2261" s="320"/>
      <c r="O2261" s="320"/>
    </row>
    <row r="2262">
      <c r="A2262" s="32">
        <f t="shared" si="1"/>
        <v>2261</v>
      </c>
      <c r="B2262" s="9" t="s">
        <v>4425</v>
      </c>
      <c r="C2262" s="78" t="s">
        <v>4451</v>
      </c>
      <c r="D2262" s="668"/>
      <c r="E2262" s="596">
        <f>VLOOKUP($C2262,'HDPE PIPE'!$L$5:$Q2469,5,0)</f>
        <v>5.56</v>
      </c>
      <c r="F2262" s="656" t="s">
        <v>1088</v>
      </c>
      <c r="G2262" s="596">
        <f>VLOOKUP($C2262,'HDPE PIPE'!$L$5:$Q2469,6,0)</f>
        <v>2112.8</v>
      </c>
      <c r="H2262" s="320"/>
      <c r="I2262" s="320"/>
      <c r="J2262" s="320"/>
      <c r="K2262" s="320"/>
      <c r="L2262" s="320"/>
      <c r="M2262" s="320"/>
      <c r="N2262" s="320"/>
      <c r="O2262" s="320"/>
    </row>
    <row r="2263">
      <c r="A2263" s="32">
        <f t="shared" si="1"/>
        <v>2262</v>
      </c>
      <c r="B2263" s="9" t="s">
        <v>4425</v>
      </c>
      <c r="C2263" s="78" t="s">
        <v>4452</v>
      </c>
      <c r="D2263" s="668"/>
      <c r="E2263" s="596">
        <f>VLOOKUP($C2263,'HDPE PIPE'!$L$5:$Q2469,5,0)</f>
        <v>7.056</v>
      </c>
      <c r="F2263" s="656" t="s">
        <v>1088</v>
      </c>
      <c r="G2263" s="596">
        <f>VLOOKUP($C2263,'HDPE PIPE'!$L$5:$Q2469,6,0)</f>
        <v>2681.3</v>
      </c>
      <c r="H2263" s="320"/>
      <c r="I2263" s="320"/>
      <c r="J2263" s="320"/>
      <c r="K2263" s="320"/>
      <c r="L2263" s="320"/>
      <c r="M2263" s="320"/>
      <c r="N2263" s="320"/>
      <c r="O2263" s="320"/>
    </row>
    <row r="2264">
      <c r="A2264" s="32">
        <f t="shared" si="1"/>
        <v>2263</v>
      </c>
      <c r="B2264" s="9" t="s">
        <v>4425</v>
      </c>
      <c r="C2264" s="78" t="s">
        <v>4453</v>
      </c>
      <c r="D2264" s="668"/>
      <c r="E2264" s="596">
        <f>VLOOKUP($C2264,'HDPE PIPE'!$L$5:$Q2469,5,0)</f>
        <v>8.705</v>
      </c>
      <c r="F2264" s="656" t="s">
        <v>1088</v>
      </c>
      <c r="G2264" s="596">
        <f>VLOOKUP($C2264,'HDPE PIPE'!$L$5:$Q2469,6,0)</f>
        <v>3307.9</v>
      </c>
      <c r="H2264" s="320"/>
      <c r="I2264" s="320"/>
      <c r="J2264" s="320"/>
      <c r="K2264" s="320"/>
      <c r="L2264" s="320"/>
      <c r="M2264" s="320"/>
      <c r="N2264" s="320"/>
      <c r="O2264" s="320"/>
    </row>
    <row r="2265">
      <c r="A2265" s="32">
        <f t="shared" si="1"/>
        <v>2264</v>
      </c>
      <c r="B2265" s="9" t="s">
        <v>4425</v>
      </c>
      <c r="C2265" s="78" t="s">
        <v>4454</v>
      </c>
      <c r="D2265" s="668"/>
      <c r="E2265" s="596">
        <f>VLOOKUP($C2265,'HDPE PIPE'!$L$5:$Q2469,5,0)</f>
        <v>10.99</v>
      </c>
      <c r="F2265" s="656" t="s">
        <v>1088</v>
      </c>
      <c r="G2265" s="596">
        <f>VLOOKUP($C2265,'HDPE PIPE'!$L$5:$Q2469,6,0)</f>
        <v>4176.2</v>
      </c>
      <c r="H2265" s="320"/>
      <c r="I2265" s="320"/>
      <c r="J2265" s="320"/>
      <c r="K2265" s="320"/>
      <c r="L2265" s="320"/>
      <c r="M2265" s="320"/>
      <c r="N2265" s="320"/>
      <c r="O2265" s="320"/>
    </row>
    <row r="2266">
      <c r="A2266" s="32">
        <f t="shared" si="1"/>
        <v>2265</v>
      </c>
      <c r="B2266" s="9" t="s">
        <v>4425</v>
      </c>
      <c r="C2266" s="78" t="s">
        <v>4455</v>
      </c>
      <c r="D2266" s="668"/>
      <c r="E2266" s="596">
        <f>VLOOKUP($C2266,'HDPE PIPE'!$L$5:$Q2469,5,0)</f>
        <v>13.535</v>
      </c>
      <c r="F2266" s="656" t="s">
        <v>1088</v>
      </c>
      <c r="G2266" s="596">
        <f>VLOOKUP($C2266,'HDPE PIPE'!$L$5:$Q2469,6,0)</f>
        <v>5143.3</v>
      </c>
      <c r="H2266" s="320"/>
      <c r="I2266" s="320"/>
      <c r="J2266" s="320"/>
      <c r="K2266" s="320"/>
      <c r="L2266" s="320"/>
      <c r="M2266" s="320"/>
      <c r="N2266" s="320"/>
      <c r="O2266" s="320"/>
    </row>
    <row r="2267">
      <c r="A2267" s="32">
        <f t="shared" si="1"/>
        <v>2266</v>
      </c>
      <c r="B2267" s="9" t="s">
        <v>4425</v>
      </c>
      <c r="C2267" s="78" t="s">
        <v>4456</v>
      </c>
      <c r="D2267" s="668"/>
      <c r="E2267" s="596">
        <f>VLOOKUP($C2267,'HDPE PIPE'!$L$5:$Q2469,5,0)</f>
        <v>16.962</v>
      </c>
      <c r="F2267" s="656" t="s">
        <v>1088</v>
      </c>
      <c r="G2267" s="596">
        <f>VLOOKUP($C2267,'HDPE PIPE'!$L$5:$Q2469,6,0)</f>
        <v>6445.6</v>
      </c>
      <c r="H2267" s="320"/>
      <c r="I2267" s="320"/>
      <c r="J2267" s="320"/>
      <c r="K2267" s="320"/>
      <c r="L2267" s="320"/>
      <c r="M2267" s="320"/>
      <c r="N2267" s="320"/>
      <c r="O2267" s="320"/>
    </row>
    <row r="2268">
      <c r="A2268" s="32">
        <f t="shared" si="1"/>
        <v>2267</v>
      </c>
      <c r="B2268" s="9" t="s">
        <v>4425</v>
      </c>
      <c r="C2268" s="78" t="s">
        <v>4457</v>
      </c>
      <c r="D2268" s="668"/>
      <c r="E2268" s="596">
        <f>VLOOKUP($C2268,'HDPE PIPE'!$L$5:$Q2469,5,0)</f>
        <v>21.496</v>
      </c>
      <c r="F2268" s="656" t="s">
        <v>1088</v>
      </c>
      <c r="G2268" s="596">
        <f>VLOOKUP($C2268,'HDPE PIPE'!$L$5:$Q2469,6,0)</f>
        <v>8168.9</v>
      </c>
      <c r="H2268" s="320"/>
      <c r="I2268" s="320"/>
      <c r="J2268" s="320"/>
      <c r="K2268" s="320"/>
      <c r="L2268" s="320"/>
      <c r="M2268" s="320"/>
      <c r="N2268" s="320"/>
      <c r="O2268" s="320"/>
    </row>
    <row r="2269">
      <c r="A2269" s="32">
        <f t="shared" si="1"/>
        <v>2268</v>
      </c>
      <c r="B2269" s="9" t="s">
        <v>4425</v>
      </c>
      <c r="C2269" s="78" t="s">
        <v>4458</v>
      </c>
      <c r="D2269" s="668"/>
      <c r="E2269" s="596">
        <f>VLOOKUP($C2269,'HDPE PIPE'!$R$5:$W2469,5,0)</f>
        <v>0.117</v>
      </c>
      <c r="F2269" s="656" t="s">
        <v>1088</v>
      </c>
      <c r="G2269" s="596">
        <f>VLOOKUP($C2269,'HDPE PIPE'!$R$5:$W2469,6,0)</f>
        <v>44.5</v>
      </c>
      <c r="H2269" s="320"/>
      <c r="I2269" s="320"/>
      <c r="J2269" s="320"/>
      <c r="K2269" s="320"/>
      <c r="L2269" s="320"/>
      <c r="M2269" s="320"/>
      <c r="N2269" s="320"/>
      <c r="O2269" s="320"/>
    </row>
    <row r="2270">
      <c r="A2270" s="32">
        <f t="shared" si="1"/>
        <v>2269</v>
      </c>
      <c r="B2270" s="9" t="s">
        <v>4425</v>
      </c>
      <c r="C2270" s="78" t="s">
        <v>4459</v>
      </c>
      <c r="D2270" s="668"/>
      <c r="E2270" s="596">
        <f>VLOOKUP($C2270,'HDPE PIPE'!$R$5:$W2469,5,0)</f>
        <v>0.171</v>
      </c>
      <c r="F2270" s="656" t="s">
        <v>1088</v>
      </c>
      <c r="G2270" s="596">
        <f>VLOOKUP($C2270,'HDPE PIPE'!$R$5:$W2469,6,0)</f>
        <v>65</v>
      </c>
      <c r="H2270" s="320"/>
      <c r="I2270" s="320"/>
      <c r="J2270" s="320"/>
      <c r="K2270" s="320"/>
      <c r="L2270" s="320"/>
      <c r="M2270" s="320"/>
      <c r="N2270" s="320"/>
      <c r="O2270" s="320"/>
    </row>
    <row r="2271">
      <c r="A2271" s="32">
        <f t="shared" si="1"/>
        <v>2270</v>
      </c>
      <c r="B2271" s="9" t="s">
        <v>4425</v>
      </c>
      <c r="C2271" s="78" t="s">
        <v>4460</v>
      </c>
      <c r="D2271" s="668"/>
      <c r="E2271" s="596">
        <f>VLOOKUP($C2271,'HDPE PIPE'!$R$5:$W2469,5,0)</f>
        <v>0.279</v>
      </c>
      <c r="F2271" s="656" t="s">
        <v>1088</v>
      </c>
      <c r="G2271" s="596">
        <f>VLOOKUP($C2271,'HDPE PIPE'!$R$5:$W2469,6,0)</f>
        <v>106</v>
      </c>
      <c r="H2271" s="320"/>
      <c r="I2271" s="320"/>
      <c r="J2271" s="320"/>
      <c r="K2271" s="320"/>
      <c r="L2271" s="320"/>
      <c r="M2271" s="320"/>
      <c r="N2271" s="320"/>
      <c r="O2271" s="320"/>
    </row>
    <row r="2272">
      <c r="A2272" s="32">
        <f t="shared" si="1"/>
        <v>2271</v>
      </c>
      <c r="B2272" s="9" t="s">
        <v>4425</v>
      </c>
      <c r="C2272" s="78" t="s">
        <v>4461</v>
      </c>
      <c r="D2272" s="668"/>
      <c r="E2272" s="596">
        <f>VLOOKUP($C2272,'HDPE PIPE'!$R$5:$W2469,5,0)</f>
        <v>0.432</v>
      </c>
      <c r="F2272" s="656" t="s">
        <v>1088</v>
      </c>
      <c r="G2272" s="596">
        <f>VLOOKUP($C2272,'HDPE PIPE'!$R$5:$W2469,6,0)</f>
        <v>164.2</v>
      </c>
      <c r="H2272" s="320"/>
      <c r="I2272" s="320"/>
      <c r="J2272" s="320"/>
      <c r="K2272" s="320"/>
      <c r="L2272" s="320"/>
      <c r="M2272" s="320"/>
      <c r="N2272" s="320"/>
      <c r="O2272" s="320"/>
    </row>
    <row r="2273">
      <c r="A2273" s="32">
        <f t="shared" si="1"/>
        <v>2272</v>
      </c>
      <c r="B2273" s="9" t="s">
        <v>4425</v>
      </c>
      <c r="C2273" s="78" t="s">
        <v>4462</v>
      </c>
      <c r="D2273" s="668"/>
      <c r="E2273" s="596">
        <f>VLOOKUP($C2273,'HDPE PIPE'!$R$5:$W2469,5,0)</f>
        <v>0.67</v>
      </c>
      <c r="F2273" s="656" t="s">
        <v>1088</v>
      </c>
      <c r="G2273" s="596">
        <f>VLOOKUP($C2273,'HDPE PIPE'!$R$5:$W2469,6,0)</f>
        <v>254.6</v>
      </c>
      <c r="H2273" s="320"/>
      <c r="I2273" s="320"/>
      <c r="J2273" s="320"/>
      <c r="K2273" s="320"/>
      <c r="L2273" s="320"/>
      <c r="M2273" s="320"/>
      <c r="N2273" s="320"/>
      <c r="O2273" s="320"/>
    </row>
    <row r="2274">
      <c r="A2274" s="32">
        <f t="shared" si="1"/>
        <v>2273</v>
      </c>
      <c r="B2274" s="9" t="s">
        <v>4425</v>
      </c>
      <c r="C2274" s="78" t="s">
        <v>4463</v>
      </c>
      <c r="D2274" s="668"/>
      <c r="E2274" s="596">
        <f>VLOOKUP($C2274,'HDPE PIPE'!$R$5:$W2469,5,0)</f>
        <v>1.058</v>
      </c>
      <c r="F2274" s="656" t="s">
        <v>1088</v>
      </c>
      <c r="G2274" s="596">
        <f>VLOOKUP($C2274,'HDPE PIPE'!$R$5:$W2469,6,0)</f>
        <v>402.05</v>
      </c>
      <c r="H2274" s="320"/>
      <c r="I2274" s="320"/>
      <c r="J2274" s="320"/>
      <c r="K2274" s="320"/>
      <c r="L2274" s="320"/>
      <c r="M2274" s="320"/>
      <c r="N2274" s="320"/>
      <c r="O2274" s="320"/>
    </row>
    <row r="2275">
      <c r="A2275" s="32">
        <f t="shared" si="1"/>
        <v>2274</v>
      </c>
      <c r="B2275" s="9" t="s">
        <v>4425</v>
      </c>
      <c r="C2275" s="78" t="s">
        <v>4464</v>
      </c>
      <c r="D2275" s="668"/>
      <c r="E2275" s="596">
        <f>VLOOKUP($C2275,'HDPE PIPE'!$R$5:$W2469,5,0)</f>
        <v>1.496</v>
      </c>
      <c r="F2275" s="656" t="s">
        <v>1088</v>
      </c>
      <c r="G2275" s="596">
        <f>VLOOKUP($C2275,'HDPE PIPE'!$R$5:$W2469,6,0)</f>
        <v>568.5</v>
      </c>
      <c r="H2275" s="320"/>
      <c r="I2275" s="320"/>
      <c r="J2275" s="320"/>
      <c r="K2275" s="320"/>
      <c r="L2275" s="320"/>
      <c r="M2275" s="320"/>
      <c r="N2275" s="320"/>
      <c r="O2275" s="320"/>
    </row>
    <row r="2276">
      <c r="A2276" s="32">
        <f t="shared" si="1"/>
        <v>2275</v>
      </c>
      <c r="B2276" s="9" t="s">
        <v>4425</v>
      </c>
      <c r="C2276" s="78" t="s">
        <v>4465</v>
      </c>
      <c r="D2276" s="668"/>
      <c r="E2276" s="596">
        <f>VLOOKUP($C2276,'HDPE PIPE'!$R$5:$W2469,5,0)</f>
        <v>2.141</v>
      </c>
      <c r="F2276" s="656" t="s">
        <v>1088</v>
      </c>
      <c r="G2276" s="596">
        <f>VLOOKUP($C2276,'HDPE PIPE'!$R$5:$W2469,6,0)</f>
        <v>813.6</v>
      </c>
      <c r="H2276" s="320"/>
      <c r="I2276" s="320"/>
      <c r="J2276" s="320"/>
      <c r="K2276" s="320"/>
      <c r="L2276" s="320"/>
      <c r="M2276" s="320"/>
      <c r="N2276" s="320"/>
      <c r="O2276" s="320"/>
    </row>
    <row r="2277">
      <c r="A2277" s="32">
        <f t="shared" si="1"/>
        <v>2276</v>
      </c>
      <c r="B2277" s="9" t="s">
        <v>4425</v>
      </c>
      <c r="C2277" s="78" t="s">
        <v>4466</v>
      </c>
      <c r="D2277" s="668"/>
      <c r="E2277" s="596">
        <f>VLOOKUP($C2277,'HDPE PIPE'!$R$5:$W2469,5,0)</f>
        <v>3.176</v>
      </c>
      <c r="F2277" s="656" t="s">
        <v>1088</v>
      </c>
      <c r="G2277" s="596">
        <f>VLOOKUP($C2277,'HDPE PIPE'!$R$5:$W2469,6,0)</f>
        <v>1206.9</v>
      </c>
      <c r="H2277" s="320"/>
      <c r="I2277" s="320"/>
      <c r="J2277" s="320"/>
      <c r="K2277" s="320"/>
      <c r="L2277" s="320"/>
      <c r="M2277" s="320"/>
      <c r="N2277" s="320"/>
      <c r="O2277" s="320"/>
    </row>
    <row r="2278">
      <c r="A2278" s="32">
        <f t="shared" si="1"/>
        <v>2277</v>
      </c>
      <c r="B2278" s="9" t="s">
        <v>4425</v>
      </c>
      <c r="C2278" s="78" t="s">
        <v>4467</v>
      </c>
      <c r="D2278" s="668"/>
      <c r="E2278" s="596">
        <f>VLOOKUP($C2278,'HDPE PIPE'!$R$5:$W2469,5,0)</f>
        <v>4.12</v>
      </c>
      <c r="F2278" s="656" t="s">
        <v>1088</v>
      </c>
      <c r="G2278" s="596">
        <f>VLOOKUP($C2278,'HDPE PIPE'!$R$5:$W2469,6,0)</f>
        <v>1565.6</v>
      </c>
      <c r="H2278" s="320"/>
      <c r="I2278" s="320"/>
      <c r="J2278" s="320"/>
      <c r="K2278" s="320"/>
      <c r="L2278" s="320"/>
      <c r="M2278" s="320"/>
      <c r="N2278" s="320"/>
      <c r="O2278" s="320"/>
    </row>
    <row r="2279">
      <c r="A2279" s="32">
        <f t="shared" si="1"/>
        <v>2278</v>
      </c>
      <c r="B2279" s="9" t="s">
        <v>4425</v>
      </c>
      <c r="C2279" s="78" t="s">
        <v>4468</v>
      </c>
      <c r="D2279" s="668"/>
      <c r="E2279" s="596">
        <f>VLOOKUP($C2279,'HDPE PIPE'!$R$5:$W2469,5,0)</f>
        <v>5.169</v>
      </c>
      <c r="F2279" s="656" t="s">
        <v>1088</v>
      </c>
      <c r="G2279" s="596">
        <f>VLOOKUP($C2279,'HDPE PIPE'!$R$5:$W2469,6,0)</f>
        <v>1964.2</v>
      </c>
      <c r="H2279" s="320"/>
      <c r="I2279" s="320"/>
      <c r="J2279" s="320"/>
      <c r="K2279" s="320"/>
      <c r="L2279" s="320"/>
      <c r="M2279" s="320"/>
      <c r="N2279" s="320"/>
      <c r="O2279" s="320"/>
    </row>
    <row r="2280">
      <c r="A2280" s="32">
        <f t="shared" si="1"/>
        <v>2279</v>
      </c>
      <c r="B2280" s="9" t="s">
        <v>4425</v>
      </c>
      <c r="C2280" s="78" t="s">
        <v>4469</v>
      </c>
      <c r="D2280" s="668"/>
      <c r="E2280" s="596">
        <f>VLOOKUP($C2280,'HDPE PIPE'!$R$5:$W2469,5,0)</f>
        <v>6.74</v>
      </c>
      <c r="F2280" s="656" t="s">
        <v>1088</v>
      </c>
      <c r="G2280" s="596">
        <f>VLOOKUP($C2280,'HDPE PIPE'!$R$5:$W2469,6,0)</f>
        <v>2561.2</v>
      </c>
      <c r="H2280" s="320"/>
      <c r="I2280" s="320"/>
      <c r="J2280" s="320"/>
      <c r="K2280" s="320"/>
      <c r="L2280" s="320"/>
      <c r="M2280" s="320"/>
      <c r="N2280" s="320"/>
      <c r="O2280" s="320"/>
    </row>
    <row r="2281">
      <c r="A2281" s="32">
        <f t="shared" si="1"/>
        <v>2280</v>
      </c>
      <c r="B2281" s="9" t="s">
        <v>4425</v>
      </c>
      <c r="C2281" s="78" t="s">
        <v>4470</v>
      </c>
      <c r="D2281" s="668"/>
      <c r="E2281" s="596">
        <f>VLOOKUP($C2281,'HDPE PIPE'!$R$5:$W2469,5,0)</f>
        <v>8.519</v>
      </c>
      <c r="F2281" s="656" t="s">
        <v>1088</v>
      </c>
      <c r="G2281" s="596">
        <f>VLOOKUP($C2281,'HDPE PIPE'!$R$5:$W2469,6,0)</f>
        <v>3237.2</v>
      </c>
      <c r="H2281" s="320"/>
      <c r="I2281" s="320"/>
      <c r="J2281" s="320"/>
      <c r="K2281" s="320"/>
      <c r="L2281" s="320"/>
      <c r="M2281" s="320"/>
      <c r="N2281" s="320"/>
      <c r="O2281" s="320"/>
    </row>
    <row r="2282">
      <c r="A2282" s="32">
        <f t="shared" si="1"/>
        <v>2281</v>
      </c>
      <c r="B2282" s="9" t="s">
        <v>4425</v>
      </c>
      <c r="C2282" s="78" t="s">
        <v>4471</v>
      </c>
      <c r="D2282" s="668"/>
      <c r="E2282" s="596">
        <f>VLOOKUP($C2282,'HDPE PIPE'!$R$5:$W2469,5,0)</f>
        <v>10.505</v>
      </c>
      <c r="F2282" s="656" t="s">
        <v>1088</v>
      </c>
      <c r="G2282" s="596">
        <f>VLOOKUP($C2282,'HDPE PIPE'!$R$5:$W2469,6,0)</f>
        <v>3991.9</v>
      </c>
      <c r="H2282" s="320"/>
      <c r="I2282" s="320"/>
      <c r="J2282" s="320"/>
      <c r="K2282" s="320"/>
      <c r="L2282" s="320"/>
      <c r="M2282" s="320"/>
      <c r="N2282" s="320"/>
      <c r="O2282" s="320"/>
    </row>
    <row r="2283">
      <c r="A2283" s="32">
        <f t="shared" si="1"/>
        <v>2282</v>
      </c>
      <c r="B2283" s="9" t="s">
        <v>4425</v>
      </c>
      <c r="C2283" s="78" t="s">
        <v>4472</v>
      </c>
      <c r="D2283" s="668"/>
      <c r="E2283" s="596">
        <f>VLOOKUP($C2283,'HDPE PIPE'!$R$5:$W2469,5,0)</f>
        <v>13.298</v>
      </c>
      <c r="F2283" s="656" t="s">
        <v>1088</v>
      </c>
      <c r="G2283" s="596">
        <f>VLOOKUP($C2283,'HDPE PIPE'!$R$5:$W2469,6,0)</f>
        <v>5053.25</v>
      </c>
      <c r="H2283" s="320"/>
      <c r="I2283" s="320"/>
      <c r="J2283" s="320"/>
      <c r="K2283" s="320"/>
      <c r="L2283" s="320"/>
      <c r="M2283" s="320"/>
      <c r="N2283" s="320"/>
      <c r="O2283" s="320"/>
    </row>
    <row r="2284">
      <c r="A2284" s="32">
        <f t="shared" si="1"/>
        <v>2283</v>
      </c>
      <c r="B2284" s="9" t="s">
        <v>4425</v>
      </c>
      <c r="C2284" s="78" t="s">
        <v>4473</v>
      </c>
      <c r="D2284" s="668"/>
      <c r="E2284" s="596">
        <f>VLOOKUP($C2284,'HDPE PIPE'!$R$5:$W2469,5,0)</f>
        <v>16.411</v>
      </c>
      <c r="F2284" s="656" t="s">
        <v>1088</v>
      </c>
      <c r="G2284" s="596">
        <f>VLOOKUP($C2284,'HDPE PIPE'!$R$5:$W2469,6,0)</f>
        <v>6236.2</v>
      </c>
      <c r="H2284" s="320"/>
      <c r="I2284" s="320"/>
      <c r="J2284" s="320"/>
      <c r="K2284" s="320"/>
      <c r="L2284" s="320"/>
      <c r="M2284" s="320"/>
      <c r="N2284" s="320"/>
      <c r="O2284" s="320"/>
    </row>
    <row r="2285">
      <c r="A2285" s="32">
        <f t="shared" si="1"/>
        <v>2284</v>
      </c>
      <c r="B2285" s="9" t="s">
        <v>4425</v>
      </c>
      <c r="C2285" s="78" t="s">
        <v>4474</v>
      </c>
      <c r="D2285" s="668"/>
      <c r="E2285" s="596">
        <f>VLOOKUP($C2285,'HDPE PIPE'!$R$5:$W2469,5,0)</f>
        <v>20.571</v>
      </c>
      <c r="F2285" s="656" t="s">
        <v>1088</v>
      </c>
      <c r="G2285" s="596">
        <f>VLOOKUP($C2285,'HDPE PIPE'!$R$5:$W2469,6,0)</f>
        <v>7817</v>
      </c>
      <c r="H2285" s="320"/>
      <c r="I2285" s="320"/>
      <c r="J2285" s="320"/>
      <c r="K2285" s="320"/>
      <c r="L2285" s="320"/>
      <c r="M2285" s="320"/>
      <c r="N2285" s="320"/>
      <c r="O2285" s="320"/>
    </row>
    <row r="2286">
      <c r="A2286" s="32">
        <f t="shared" si="1"/>
        <v>2285</v>
      </c>
      <c r="B2286" s="9" t="s">
        <v>4425</v>
      </c>
      <c r="C2286" s="78" t="s">
        <v>4475</v>
      </c>
      <c r="D2286" s="668"/>
      <c r="E2286" s="596">
        <f>VLOOKUP($C2286,'HDPE PIPE'!$R$5:$W2469,5,0)</f>
        <v>26.028</v>
      </c>
      <c r="F2286" s="656" t="s">
        <v>1088</v>
      </c>
      <c r="G2286" s="596">
        <f>VLOOKUP($C2286,'HDPE PIPE'!$R$5:$W2469,6,0)</f>
        <v>9890.6</v>
      </c>
      <c r="H2286" s="320"/>
      <c r="I2286" s="320"/>
      <c r="J2286" s="320"/>
      <c r="K2286" s="320"/>
      <c r="L2286" s="320"/>
      <c r="M2286" s="320"/>
      <c r="N2286" s="320"/>
      <c r="O2286" s="320"/>
    </row>
    <row r="2287">
      <c r="A2287" s="32">
        <f t="shared" si="1"/>
        <v>2286</v>
      </c>
      <c r="B2287" s="9" t="s">
        <v>4425</v>
      </c>
      <c r="C2287" s="78" t="s">
        <v>4426</v>
      </c>
      <c r="D2287" s="668"/>
      <c r="E2287" s="596">
        <f>VLOOKUP($C2287,'HDPE PIPE'!$F$5:$K2469,5,0)</f>
        <v>0.3116084784</v>
      </c>
      <c r="F2287" s="656" t="s">
        <v>1088</v>
      </c>
      <c r="G2287" s="596">
        <f>VLOOKUP($C2287,'HDPE PIPE'!$F$5:$K2469,6,0)</f>
        <v>118.5</v>
      </c>
      <c r="H2287" s="320"/>
      <c r="I2287" s="320"/>
      <c r="J2287" s="320"/>
      <c r="K2287" s="320"/>
      <c r="L2287" s="320"/>
      <c r="M2287" s="320"/>
      <c r="N2287" s="320"/>
      <c r="O2287" s="320"/>
    </row>
    <row r="2288">
      <c r="A2288" s="32">
        <f t="shared" si="1"/>
        <v>2287</v>
      </c>
      <c r="B2288" s="9" t="s">
        <v>4425</v>
      </c>
      <c r="C2288" s="78" t="s">
        <v>4427</v>
      </c>
      <c r="D2288" s="668"/>
      <c r="E2288" s="596">
        <f>VLOOKUP($C2288,'HDPE PIPE'!$F$5:$K2469,5,0)</f>
        <v>0.492715872</v>
      </c>
      <c r="F2288" s="656" t="s">
        <v>1088</v>
      </c>
      <c r="G2288" s="596">
        <f>VLOOKUP($C2288,'HDPE PIPE'!$F$5:$K2469,6,0)</f>
        <v>187.25</v>
      </c>
      <c r="H2288" s="320"/>
      <c r="I2288" s="320"/>
      <c r="J2288" s="320"/>
      <c r="K2288" s="320"/>
      <c r="L2288" s="320"/>
      <c r="M2288" s="320"/>
      <c r="N2288" s="320"/>
      <c r="O2288" s="320"/>
    </row>
    <row r="2289">
      <c r="A2289" s="32">
        <f t="shared" si="1"/>
        <v>2288</v>
      </c>
      <c r="B2289" s="9" t="s">
        <v>4425</v>
      </c>
      <c r="C2289" s="78" t="s">
        <v>4428</v>
      </c>
      <c r="D2289" s="668"/>
      <c r="E2289" s="596">
        <f>VLOOKUP($C2289,'HDPE PIPE'!$F$5:$K2469,5,0)</f>
        <v>0.6746452128</v>
      </c>
      <c r="F2289" s="656" t="s">
        <v>1088</v>
      </c>
      <c r="G2289" s="596">
        <f>VLOOKUP($C2289,'HDPE PIPE'!$F$5:$K2469,6,0)</f>
        <v>256.5</v>
      </c>
      <c r="H2289" s="320"/>
      <c r="I2289" s="320"/>
      <c r="J2289" s="320"/>
      <c r="K2289" s="320"/>
      <c r="L2289" s="320"/>
      <c r="M2289" s="320"/>
      <c r="N2289" s="320"/>
      <c r="O2289" s="320"/>
    </row>
    <row r="2290">
      <c r="A2290" s="32">
        <f t="shared" si="1"/>
        <v>2289</v>
      </c>
      <c r="B2290" s="9" t="s">
        <v>4425</v>
      </c>
      <c r="C2290" s="78" t="s">
        <v>4429</v>
      </c>
      <c r="D2290" s="668"/>
      <c r="E2290" s="596">
        <f>VLOOKUP($C2290,'HDPE PIPE'!$F$5:$K2469,5,0)</f>
        <v>0.97898436</v>
      </c>
      <c r="F2290" s="656" t="s">
        <v>1088</v>
      </c>
      <c r="G2290" s="596">
        <f>VLOOKUP($C2290,'HDPE PIPE'!$F$5:$K2469,6,0)</f>
        <v>372</v>
      </c>
      <c r="H2290" s="320"/>
      <c r="I2290" s="320"/>
      <c r="J2290" s="320"/>
      <c r="K2290" s="320"/>
      <c r="L2290" s="320"/>
      <c r="M2290" s="320"/>
      <c r="N2290" s="320"/>
      <c r="O2290" s="320"/>
    </row>
    <row r="2291">
      <c r="A2291" s="32">
        <f t="shared" si="1"/>
        <v>2290</v>
      </c>
      <c r="B2291" s="9" t="s">
        <v>4425</v>
      </c>
      <c r="C2291" s="78" t="s">
        <v>4430</v>
      </c>
      <c r="D2291" s="668"/>
      <c r="E2291" s="596">
        <f>VLOOKUP($C2291,'HDPE PIPE'!$F$5:$K2469,5,0)</f>
        <v>1.467288864</v>
      </c>
      <c r="F2291" s="656" t="s">
        <v>1088</v>
      </c>
      <c r="G2291" s="596">
        <f>VLOOKUP($C2291,'HDPE PIPE'!$F$5:$K2469,6,0)</f>
        <v>557.5</v>
      </c>
      <c r="H2291" s="320"/>
      <c r="I2291" s="320"/>
      <c r="J2291" s="320"/>
      <c r="K2291" s="320"/>
      <c r="L2291" s="320"/>
      <c r="M2291" s="320"/>
      <c r="N2291" s="320"/>
      <c r="O2291" s="320"/>
    </row>
    <row r="2292">
      <c r="A2292" s="32">
        <f t="shared" si="1"/>
        <v>2291</v>
      </c>
      <c r="B2292" s="9" t="s">
        <v>4425</v>
      </c>
      <c r="C2292" s="78" t="s">
        <v>4431</v>
      </c>
      <c r="D2292" s="668"/>
      <c r="E2292" s="596">
        <f>VLOOKUP($C2292,'HDPE PIPE'!$F$5:$K2469,5,0)</f>
        <v>1.885320653</v>
      </c>
      <c r="F2292" s="656" t="s">
        <v>1088</v>
      </c>
      <c r="G2292" s="596">
        <f>VLOOKUP($C2292,'HDPE PIPE'!$F$5:$K2469,6,0)</f>
        <v>716.5</v>
      </c>
      <c r="H2292" s="320"/>
      <c r="I2292" s="320"/>
      <c r="J2292" s="320"/>
      <c r="K2292" s="320"/>
      <c r="L2292" s="320"/>
      <c r="M2292" s="320"/>
      <c r="N2292" s="320"/>
      <c r="O2292" s="320"/>
    </row>
    <row r="2293">
      <c r="A2293" s="32">
        <f t="shared" si="1"/>
        <v>2292</v>
      </c>
      <c r="B2293" s="9" t="s">
        <v>4425</v>
      </c>
      <c r="C2293" s="78" t="s">
        <v>4432</v>
      </c>
      <c r="D2293" s="668"/>
      <c r="E2293" s="596">
        <f>VLOOKUP($C2293,'HDPE PIPE'!$F$5:$K2469,5,0)</f>
        <v>2.336215248</v>
      </c>
      <c r="F2293" s="656" t="s">
        <v>1088</v>
      </c>
      <c r="G2293" s="596">
        <f>VLOOKUP($C2293,'HDPE PIPE'!$F$5:$K2469,6,0)</f>
        <v>887.75</v>
      </c>
      <c r="H2293" s="320"/>
      <c r="I2293" s="320"/>
      <c r="J2293" s="320"/>
      <c r="K2293" s="320"/>
      <c r="L2293" s="320"/>
      <c r="M2293" s="320"/>
      <c r="N2293" s="320"/>
      <c r="O2293" s="320"/>
    </row>
    <row r="2294">
      <c r="A2294" s="32">
        <f t="shared" si="1"/>
        <v>2293</v>
      </c>
      <c r="B2294" s="9" t="s">
        <v>4425</v>
      </c>
      <c r="C2294" s="78" t="s">
        <v>4433</v>
      </c>
      <c r="D2294" s="668"/>
      <c r="E2294" s="596">
        <f>VLOOKUP($C2294,'HDPE PIPE'!$F$5:$K2469,5,0)</f>
        <v>3.063796877</v>
      </c>
      <c r="F2294" s="656" t="s">
        <v>1088</v>
      </c>
      <c r="G2294" s="596">
        <f>VLOOKUP($C2294,'HDPE PIPE'!$F$5:$K2469,6,0)</f>
        <v>1164.25</v>
      </c>
      <c r="H2294" s="320"/>
      <c r="I2294" s="320"/>
      <c r="J2294" s="320"/>
      <c r="K2294" s="320"/>
      <c r="L2294" s="320"/>
      <c r="M2294" s="320"/>
      <c r="N2294" s="320"/>
      <c r="O2294" s="320"/>
    </row>
    <row r="2295">
      <c r="A2295" s="32">
        <f t="shared" si="1"/>
        <v>2294</v>
      </c>
      <c r="B2295" s="9" t="s">
        <v>4425</v>
      </c>
      <c r="C2295" s="78" t="s">
        <v>4434</v>
      </c>
      <c r="D2295" s="668"/>
      <c r="E2295" s="596">
        <f>VLOOKUP($C2295,'HDPE PIPE'!$F$5:$K2469,5,0)</f>
        <v>3.864840979</v>
      </c>
      <c r="F2295" s="656" t="s">
        <v>1088</v>
      </c>
      <c r="G2295" s="596">
        <f>VLOOKUP($C2295,'HDPE PIPE'!$F$5:$K2469,6,0)</f>
        <v>1468.75</v>
      </c>
      <c r="H2295" s="320"/>
      <c r="I2295" s="320"/>
      <c r="J2295" s="320"/>
      <c r="K2295" s="320"/>
      <c r="L2295" s="320"/>
      <c r="M2295" s="320"/>
      <c r="N2295" s="320"/>
      <c r="O2295" s="320"/>
    </row>
    <row r="2296">
      <c r="A2296" s="32">
        <f t="shared" si="1"/>
        <v>2295</v>
      </c>
      <c r="B2296" s="9" t="s">
        <v>4425</v>
      </c>
      <c r="C2296" s="78" t="s">
        <v>4435</v>
      </c>
      <c r="D2296" s="668"/>
      <c r="E2296" s="596">
        <f>VLOOKUP($C2296,'HDPE PIPE'!$F$5:$K2469,5,0)</f>
        <v>4.73099989</v>
      </c>
      <c r="F2296" s="656" t="s">
        <v>1088</v>
      </c>
      <c r="G2296" s="596">
        <f>VLOOKUP($C2296,'HDPE PIPE'!$F$5:$K2469,6,0)</f>
        <v>1797.75</v>
      </c>
      <c r="H2296" s="320"/>
      <c r="I2296" s="320"/>
      <c r="J2296" s="320"/>
      <c r="K2296" s="320"/>
      <c r="L2296" s="320"/>
      <c r="M2296" s="320"/>
      <c r="N2296" s="320"/>
      <c r="O2296" s="320"/>
    </row>
    <row r="2297">
      <c r="A2297" s="32">
        <f t="shared" si="1"/>
        <v>2296</v>
      </c>
      <c r="B2297" s="9" t="s">
        <v>4425</v>
      </c>
      <c r="C2297" s="78" t="s">
        <v>4436</v>
      </c>
      <c r="D2297" s="668"/>
      <c r="E2297" s="596">
        <f>VLOOKUP($C2297,'HDPE PIPE'!$F$5:$K2469,5,0)</f>
        <v>6.007906176</v>
      </c>
      <c r="F2297" s="656" t="s">
        <v>1088</v>
      </c>
      <c r="G2297" s="596">
        <f>VLOOKUP($C2297,'HDPE PIPE'!$F$5:$K2469,6,0)</f>
        <v>2283</v>
      </c>
      <c r="H2297" s="320"/>
      <c r="I2297" s="320"/>
      <c r="J2297" s="320"/>
      <c r="K2297" s="320"/>
      <c r="L2297" s="320"/>
      <c r="M2297" s="320"/>
      <c r="N2297" s="320"/>
      <c r="O2297" s="320"/>
    </row>
    <row r="2298">
      <c r="A2298" s="32">
        <f t="shared" si="1"/>
        <v>2297</v>
      </c>
      <c r="B2298" s="9" t="s">
        <v>4425</v>
      </c>
      <c r="C2298" s="78" t="s">
        <v>4437</v>
      </c>
      <c r="D2298" s="668"/>
      <c r="E2298" s="596">
        <f>VLOOKUP($C2298,'HDPE PIPE'!$F$5:$K2469,5,0)</f>
        <v>7.434059976</v>
      </c>
      <c r="F2298" s="656" t="s">
        <v>1088</v>
      </c>
      <c r="G2298" s="596">
        <f>VLOOKUP($C2298,'HDPE PIPE'!$F$5:$K2469,6,0)</f>
        <v>2825</v>
      </c>
      <c r="H2298" s="320"/>
      <c r="I2298" s="320"/>
      <c r="J2298" s="320"/>
      <c r="K2298" s="320"/>
      <c r="L2298" s="320"/>
      <c r="M2298" s="320"/>
      <c r="N2298" s="320"/>
      <c r="O2298" s="320"/>
    </row>
    <row r="2299">
      <c r="A2299" s="32">
        <f t="shared" si="1"/>
        <v>2298</v>
      </c>
      <c r="B2299" s="9" t="s">
        <v>4425</v>
      </c>
      <c r="C2299" s="78" t="s">
        <v>4438</v>
      </c>
      <c r="D2299" s="668"/>
      <c r="E2299" s="596">
        <f>VLOOKUP($C2299,'HDPE PIPE'!$F$5:$K2469,5,0)</f>
        <v>9.265320634</v>
      </c>
      <c r="F2299" s="656" t="s">
        <v>1088</v>
      </c>
      <c r="G2299" s="596">
        <f>VLOOKUP($C2299,'HDPE PIPE'!$F$5:$K2469,6,0)</f>
        <v>3520.75</v>
      </c>
      <c r="H2299" s="320"/>
      <c r="I2299" s="320"/>
      <c r="J2299" s="320"/>
      <c r="K2299" s="320"/>
      <c r="L2299" s="320"/>
      <c r="M2299" s="320"/>
      <c r="N2299" s="320"/>
      <c r="O2299" s="320"/>
    </row>
    <row r="2300">
      <c r="A2300" s="32">
        <f t="shared" si="1"/>
        <v>2299</v>
      </c>
      <c r="B2300" s="9" t="s">
        <v>4425</v>
      </c>
      <c r="C2300" s="78" t="s">
        <v>4439</v>
      </c>
      <c r="D2300" s="668"/>
      <c r="E2300" s="596">
        <f>VLOOKUP($C2300,'HDPE PIPE'!$F$5:$K2469,5,0)</f>
        <v>11.7910573</v>
      </c>
      <c r="F2300" s="656" t="s">
        <v>1088</v>
      </c>
      <c r="G2300" s="596">
        <f>VLOOKUP($C2300,'HDPE PIPE'!$F$5:$K2469,6,0)</f>
        <v>4480.75</v>
      </c>
      <c r="H2300" s="320"/>
      <c r="I2300" s="320"/>
      <c r="J2300" s="320"/>
      <c r="K2300" s="320"/>
      <c r="L2300" s="320"/>
      <c r="M2300" s="320"/>
      <c r="N2300" s="320"/>
      <c r="O2300" s="320"/>
    </row>
    <row r="2301">
      <c r="A2301" s="32">
        <f t="shared" si="1"/>
        <v>2300</v>
      </c>
      <c r="B2301" s="9" t="s">
        <v>4425</v>
      </c>
      <c r="C2301" s="78" t="s">
        <v>4476</v>
      </c>
      <c r="D2301" s="668"/>
      <c r="E2301" s="596">
        <f>VLOOKUP($C2301,'HDPE PIPE'!$L$5:$Q2469,5,0)</f>
        <v>0.19455264</v>
      </c>
      <c r="F2301" s="656" t="s">
        <v>1088</v>
      </c>
      <c r="G2301" s="596">
        <f>VLOOKUP($C2301,'HDPE PIPE'!$L$5:$Q2469,6,0)</f>
        <v>74</v>
      </c>
      <c r="H2301" s="320"/>
      <c r="I2301" s="320"/>
      <c r="J2301" s="320"/>
      <c r="K2301" s="320"/>
      <c r="L2301" s="320"/>
      <c r="M2301" s="320"/>
      <c r="N2301" s="320"/>
      <c r="O2301" s="320"/>
    </row>
    <row r="2302">
      <c r="A2302" s="32">
        <f t="shared" si="1"/>
        <v>2301</v>
      </c>
      <c r="B2302" s="9" t="s">
        <v>4425</v>
      </c>
      <c r="C2302" s="78" t="s">
        <v>4477</v>
      </c>
      <c r="D2302" s="668"/>
      <c r="E2302" s="596">
        <f>VLOOKUP($C2302,'HDPE PIPE'!$L$5:$Q2469,5,0)</f>
        <v>0.2948754432</v>
      </c>
      <c r="F2302" s="656" t="s">
        <v>1088</v>
      </c>
      <c r="G2302" s="596">
        <f>VLOOKUP($C2302,'HDPE PIPE'!$L$5:$Q2469,6,0)</f>
        <v>112.25</v>
      </c>
      <c r="H2302" s="320"/>
      <c r="I2302" s="320"/>
      <c r="J2302" s="320"/>
      <c r="K2302" s="320"/>
      <c r="L2302" s="320"/>
      <c r="M2302" s="320"/>
      <c r="N2302" s="320"/>
      <c r="O2302" s="320"/>
    </row>
    <row r="2303">
      <c r="A2303" s="32">
        <f t="shared" si="1"/>
        <v>2302</v>
      </c>
      <c r="B2303" s="9" t="s">
        <v>4425</v>
      </c>
      <c r="C2303" s="78" t="s">
        <v>4478</v>
      </c>
      <c r="D2303" s="668"/>
      <c r="E2303" s="596">
        <f>VLOOKUP($C2303,'HDPE PIPE'!$L$5:$Q2469,5,0)</f>
        <v>0.453654528</v>
      </c>
      <c r="F2303" s="656" t="s">
        <v>1088</v>
      </c>
      <c r="G2303" s="596">
        <f>VLOOKUP($C2303,'HDPE PIPE'!$L$5:$Q2469,6,0)</f>
        <v>172.5</v>
      </c>
      <c r="H2303" s="320"/>
      <c r="I2303" s="320"/>
      <c r="J2303" s="320"/>
      <c r="K2303" s="320"/>
      <c r="L2303" s="320"/>
      <c r="M2303" s="320"/>
      <c r="N2303" s="320"/>
      <c r="O2303" s="320"/>
    </row>
    <row r="2304">
      <c r="A2304" s="32">
        <f t="shared" si="1"/>
        <v>2303</v>
      </c>
      <c r="B2304" s="9" t="s">
        <v>4425</v>
      </c>
      <c r="C2304" s="78" t="s">
        <v>4479</v>
      </c>
      <c r="D2304" s="668"/>
      <c r="E2304" s="596">
        <f>VLOOKUP($C2304,'HDPE PIPE'!$L$5:$Q2469,5,0)</f>
        <v>0.7225820784</v>
      </c>
      <c r="F2304" s="656" t="s">
        <v>1088</v>
      </c>
      <c r="G2304" s="596">
        <f>VLOOKUP($C2304,'HDPE PIPE'!$L$5:$Q2469,6,0)</f>
        <v>274.5</v>
      </c>
      <c r="H2304" s="320"/>
      <c r="I2304" s="320"/>
      <c r="J2304" s="320"/>
      <c r="K2304" s="320"/>
      <c r="L2304" s="320"/>
      <c r="M2304" s="320"/>
      <c r="N2304" s="320"/>
      <c r="O2304" s="320"/>
    </row>
    <row r="2305">
      <c r="A2305" s="32">
        <f t="shared" si="1"/>
        <v>2304</v>
      </c>
      <c r="B2305" s="9" t="s">
        <v>4425</v>
      </c>
      <c r="C2305" s="78" t="s">
        <v>4480</v>
      </c>
      <c r="D2305" s="668"/>
      <c r="E2305" s="596">
        <f>VLOOKUP($C2305,'HDPE PIPE'!$L$5:$Q2469,5,0)</f>
        <v>1.019998771</v>
      </c>
      <c r="F2305" s="656" t="s">
        <v>1088</v>
      </c>
      <c r="G2305" s="596">
        <f>VLOOKUP($C2305,'HDPE PIPE'!$L$5:$Q2469,6,0)</f>
        <v>387.5</v>
      </c>
      <c r="H2305" s="320"/>
      <c r="I2305" s="320"/>
      <c r="J2305" s="320"/>
      <c r="K2305" s="320"/>
      <c r="L2305" s="320"/>
      <c r="M2305" s="320"/>
      <c r="N2305" s="320"/>
      <c r="O2305" s="320"/>
    </row>
    <row r="2306">
      <c r="A2306" s="32">
        <f t="shared" si="1"/>
        <v>2305</v>
      </c>
      <c r="B2306" s="9" t="s">
        <v>4425</v>
      </c>
      <c r="C2306" s="78" t="s">
        <v>4481</v>
      </c>
      <c r="D2306" s="668"/>
      <c r="E2306" s="596">
        <f>VLOOKUP($C2306,'HDPE PIPE'!$L$5:$Q2469,5,0)</f>
        <v>1.442622907</v>
      </c>
      <c r="F2306" s="656" t="s">
        <v>1088</v>
      </c>
      <c r="G2306" s="596">
        <f>VLOOKUP($C2306,'HDPE PIPE'!$L$5:$Q2469,6,0)</f>
        <v>548.25</v>
      </c>
      <c r="H2306" s="320"/>
      <c r="I2306" s="320"/>
      <c r="J2306" s="320"/>
      <c r="K2306" s="320"/>
      <c r="L2306" s="320"/>
      <c r="M2306" s="320"/>
      <c r="N2306" s="320"/>
      <c r="O2306" s="320"/>
    </row>
    <row r="2307">
      <c r="A2307" s="32">
        <f t="shared" si="1"/>
        <v>2306</v>
      </c>
      <c r="B2307" s="9" t="s">
        <v>4425</v>
      </c>
      <c r="C2307" s="78" t="s">
        <v>4482</v>
      </c>
      <c r="D2307" s="668"/>
      <c r="E2307" s="596">
        <f>VLOOKUP($C2307,'HDPE PIPE'!$L$5:$Q2469,5,0)</f>
        <v>2.153064298</v>
      </c>
      <c r="F2307" s="656" t="s">
        <v>1088</v>
      </c>
      <c r="G2307" s="596">
        <f>VLOOKUP($C2307,'HDPE PIPE'!$L$5:$Q2469,6,0)</f>
        <v>818.25</v>
      </c>
      <c r="H2307" s="320"/>
      <c r="I2307" s="320"/>
      <c r="J2307" s="320"/>
      <c r="K2307" s="320"/>
      <c r="L2307" s="320"/>
      <c r="M2307" s="320"/>
      <c r="N2307" s="320"/>
      <c r="O2307" s="320"/>
    </row>
    <row r="2308">
      <c r="A2308" s="32">
        <f t="shared" si="1"/>
        <v>2307</v>
      </c>
      <c r="B2308" s="9" t="s">
        <v>4425</v>
      </c>
      <c r="C2308" s="78" t="s">
        <v>4483</v>
      </c>
      <c r="D2308" s="668"/>
      <c r="E2308" s="596">
        <f>VLOOKUP($C2308,'HDPE PIPE'!$L$5:$Q2469,5,0)</f>
        <v>2.783362066</v>
      </c>
      <c r="F2308" s="656" t="s">
        <v>1088</v>
      </c>
      <c r="G2308" s="596">
        <f>VLOOKUP($C2308,'HDPE PIPE'!$L$5:$Q2469,6,0)</f>
        <v>1057.75</v>
      </c>
      <c r="H2308" s="320"/>
      <c r="I2308" s="320"/>
      <c r="J2308" s="320"/>
      <c r="K2308" s="320"/>
      <c r="L2308" s="320"/>
      <c r="M2308" s="320"/>
      <c r="N2308" s="320"/>
      <c r="O2308" s="320"/>
    </row>
    <row r="2309">
      <c r="A2309" s="32">
        <f t="shared" si="1"/>
        <v>2308</v>
      </c>
      <c r="B2309" s="9" t="s">
        <v>4425</v>
      </c>
      <c r="C2309" s="78" t="s">
        <v>4484</v>
      </c>
      <c r="D2309" s="668"/>
      <c r="E2309" s="596">
        <f>VLOOKUP($C2309,'HDPE PIPE'!$L$5:$Q2469,5,0)</f>
        <v>3.494467046</v>
      </c>
      <c r="F2309" s="656" t="s">
        <v>1088</v>
      </c>
      <c r="G2309" s="596">
        <f>VLOOKUP($C2309,'HDPE PIPE'!$L$5:$Q2469,6,0)</f>
        <v>1328</v>
      </c>
      <c r="H2309" s="320"/>
      <c r="I2309" s="320"/>
      <c r="J2309" s="320"/>
      <c r="K2309" s="320"/>
      <c r="L2309" s="320"/>
      <c r="M2309" s="320"/>
      <c r="N2309" s="320"/>
      <c r="O2309" s="320"/>
    </row>
    <row r="2310">
      <c r="A2310" s="32">
        <f t="shared" si="1"/>
        <v>2309</v>
      </c>
      <c r="B2310" s="9" t="s">
        <v>4425</v>
      </c>
      <c r="C2310" s="78" t="s">
        <v>4485</v>
      </c>
      <c r="D2310" s="668"/>
      <c r="E2310" s="596">
        <f>VLOOKUP($C2310,'HDPE PIPE'!$L$5:$Q2469,5,0)</f>
        <v>4.560743707</v>
      </c>
      <c r="F2310" s="656" t="s">
        <v>1088</v>
      </c>
      <c r="G2310" s="596">
        <f>VLOOKUP($C2310,'HDPE PIPE'!$L$5:$Q2469,6,0)</f>
        <v>1733.25</v>
      </c>
      <c r="H2310" s="320"/>
      <c r="I2310" s="320"/>
      <c r="J2310" s="320"/>
      <c r="K2310" s="320"/>
      <c r="L2310" s="320"/>
      <c r="M2310" s="320"/>
      <c r="N2310" s="320"/>
      <c r="O2310" s="320"/>
    </row>
    <row r="2311">
      <c r="A2311" s="32">
        <f t="shared" si="1"/>
        <v>2310</v>
      </c>
      <c r="B2311" s="9" t="s">
        <v>4425</v>
      </c>
      <c r="C2311" s="78" t="s">
        <v>4486</v>
      </c>
      <c r="D2311" s="668"/>
      <c r="E2311" s="596">
        <f>VLOOKUP($C2311,'HDPE PIPE'!$L$5:$Q2469,5,0)</f>
        <v>5.72111447</v>
      </c>
      <c r="F2311" s="656" t="s">
        <v>1088</v>
      </c>
      <c r="G2311" s="596">
        <f>VLOOKUP($C2311,'HDPE PIPE'!$L$5:$Q2469,6,0)</f>
        <v>2174</v>
      </c>
      <c r="H2311" s="320"/>
      <c r="I2311" s="320"/>
      <c r="J2311" s="320"/>
      <c r="K2311" s="320"/>
      <c r="L2311" s="320"/>
      <c r="M2311" s="320"/>
      <c r="N2311" s="320"/>
      <c r="O2311" s="320"/>
    </row>
    <row r="2312">
      <c r="A2312" s="32">
        <f t="shared" si="1"/>
        <v>2311</v>
      </c>
      <c r="B2312" s="9" t="s">
        <v>4425</v>
      </c>
      <c r="C2312" s="78" t="s">
        <v>4487</v>
      </c>
      <c r="D2312" s="668"/>
      <c r="E2312" s="596">
        <f>VLOOKUP($C2312,'HDPE PIPE'!$L$5:$Q2469,5,0)</f>
        <v>7.06563157</v>
      </c>
      <c r="F2312" s="656" t="s">
        <v>1088</v>
      </c>
      <c r="G2312" s="596">
        <f>VLOOKUP($C2312,'HDPE PIPE'!$L$5:$Q2469,6,0)</f>
        <v>2685</v>
      </c>
      <c r="H2312" s="320"/>
      <c r="I2312" s="320"/>
      <c r="J2312" s="320"/>
      <c r="K2312" s="320"/>
      <c r="L2312" s="320"/>
      <c r="M2312" s="320"/>
      <c r="N2312" s="320"/>
      <c r="O2312" s="320"/>
    </row>
    <row r="2313">
      <c r="A2313" s="32">
        <f t="shared" si="1"/>
        <v>2312</v>
      </c>
      <c r="B2313" s="9" t="s">
        <v>4425</v>
      </c>
      <c r="C2313" s="78" t="s">
        <v>4488</v>
      </c>
      <c r="D2313" s="668"/>
      <c r="E2313" s="596">
        <f>VLOOKUP($C2313,'HDPE PIPE'!$L$5:$Q2469,5,0)</f>
        <v>8.969577998</v>
      </c>
      <c r="F2313" s="656" t="s">
        <v>1088</v>
      </c>
      <c r="G2313" s="596">
        <f>VLOOKUP($C2313,'HDPE PIPE'!$L$5:$Q2469,6,0)</f>
        <v>3408.5</v>
      </c>
      <c r="H2313" s="320"/>
      <c r="I2313" s="320"/>
      <c r="J2313" s="320"/>
      <c r="K2313" s="320"/>
      <c r="L2313" s="320"/>
      <c r="M2313" s="320"/>
      <c r="N2313" s="320"/>
      <c r="O2313" s="320"/>
    </row>
    <row r="2314">
      <c r="A2314" s="32">
        <f t="shared" si="1"/>
        <v>2313</v>
      </c>
      <c r="B2314" s="9" t="s">
        <v>4425</v>
      </c>
      <c r="C2314" s="78" t="s">
        <v>4489</v>
      </c>
      <c r="D2314" s="668"/>
      <c r="E2314" s="596">
        <f>VLOOKUP($C2314,'HDPE PIPE'!$L$5:$Q2469,5,0)</f>
        <v>11.06253458</v>
      </c>
      <c r="F2314" s="656" t="s">
        <v>1088</v>
      </c>
      <c r="G2314" s="596">
        <f>VLOOKUP($C2314,'HDPE PIPE'!$L$5:$Q2469,6,0)</f>
        <v>4203.75</v>
      </c>
      <c r="H2314" s="320"/>
      <c r="I2314" s="320"/>
      <c r="J2314" s="320"/>
      <c r="K2314" s="320"/>
      <c r="L2314" s="320"/>
      <c r="M2314" s="320"/>
      <c r="N2314" s="320"/>
      <c r="O2314" s="320"/>
    </row>
    <row r="2315">
      <c r="A2315" s="32">
        <f t="shared" si="1"/>
        <v>2314</v>
      </c>
      <c r="B2315" s="9" t="s">
        <v>4425</v>
      </c>
      <c r="C2315" s="78" t="s">
        <v>4490</v>
      </c>
      <c r="D2315" s="668"/>
      <c r="E2315" s="596">
        <f>VLOOKUP($C2315,'HDPE PIPE'!$L$5:$Q2469,5,0)</f>
        <v>13.82690137</v>
      </c>
      <c r="F2315" s="656" t="s">
        <v>1088</v>
      </c>
      <c r="G2315" s="596">
        <f>VLOOKUP($C2315,'HDPE PIPE'!$L$5:$Q2469,6,0)</f>
        <v>5254.25</v>
      </c>
      <c r="H2315" s="320"/>
      <c r="I2315" s="320"/>
      <c r="J2315" s="320"/>
      <c r="K2315" s="320"/>
      <c r="L2315" s="320"/>
      <c r="M2315" s="320"/>
      <c r="N2315" s="320"/>
      <c r="O2315" s="320"/>
    </row>
    <row r="2316">
      <c r="A2316" s="32">
        <f t="shared" si="1"/>
        <v>2315</v>
      </c>
      <c r="B2316" s="9" t="s">
        <v>4425</v>
      </c>
      <c r="C2316" s="78" t="s">
        <v>4491</v>
      </c>
      <c r="D2316" s="668"/>
      <c r="E2316" s="596">
        <f>VLOOKUP($C2316,'HDPE PIPE'!$L$5:$Q2469,5,0)</f>
        <v>17.51899167</v>
      </c>
      <c r="F2316" s="656" t="s">
        <v>1088</v>
      </c>
      <c r="G2316" s="596">
        <f>VLOOKUP($C2316,'HDPE PIPE'!$L$5:$Q2469,6,0)</f>
        <v>6657.25</v>
      </c>
      <c r="H2316" s="320"/>
      <c r="I2316" s="320"/>
      <c r="J2316" s="320"/>
      <c r="K2316" s="320"/>
      <c r="L2316" s="320"/>
      <c r="M2316" s="320"/>
      <c r="N2316" s="320"/>
      <c r="O2316" s="320"/>
    </row>
    <row r="2317">
      <c r="A2317" s="32">
        <f t="shared" si="1"/>
        <v>2316</v>
      </c>
      <c r="B2317" s="9" t="s">
        <v>4425</v>
      </c>
      <c r="C2317" s="78" t="s">
        <v>4492</v>
      </c>
      <c r="D2317" s="668"/>
      <c r="E2317" s="596">
        <f>VLOOKUP($C2317,'HDPE PIPE'!$R$5:$W2469,5,0)</f>
        <v>0.149157024</v>
      </c>
      <c r="F2317" s="656" t="s">
        <v>1088</v>
      </c>
      <c r="G2317" s="596">
        <f>VLOOKUP($C2317,'HDPE PIPE'!$R$5:$W2469,6,0)</f>
        <v>56.75</v>
      </c>
      <c r="H2317" s="320"/>
      <c r="I2317" s="320"/>
      <c r="J2317" s="320"/>
      <c r="K2317" s="320"/>
      <c r="L2317" s="320"/>
      <c r="M2317" s="320"/>
      <c r="N2317" s="320"/>
      <c r="O2317" s="320"/>
    </row>
    <row r="2318">
      <c r="A2318" s="32">
        <f t="shared" si="1"/>
        <v>2317</v>
      </c>
      <c r="B2318" s="9" t="s">
        <v>4425</v>
      </c>
      <c r="C2318" s="78" t="s">
        <v>4493</v>
      </c>
      <c r="D2318" s="668"/>
      <c r="E2318" s="596">
        <f>VLOOKUP($C2318,'HDPE PIPE'!$R$5:$W2469,5,0)</f>
        <v>0.2317438656</v>
      </c>
      <c r="F2318" s="656" t="s">
        <v>1088</v>
      </c>
      <c r="G2318" s="596">
        <f>VLOOKUP($C2318,'HDPE PIPE'!$R$5:$W2469,6,0)</f>
        <v>88.25</v>
      </c>
      <c r="H2318" s="320"/>
      <c r="I2318" s="320"/>
      <c r="J2318" s="320"/>
      <c r="K2318" s="320"/>
      <c r="L2318" s="320"/>
      <c r="M2318" s="320"/>
      <c r="N2318" s="320"/>
      <c r="O2318" s="320"/>
    </row>
    <row r="2319">
      <c r="A2319" s="32">
        <f t="shared" si="1"/>
        <v>2318</v>
      </c>
      <c r="B2319" s="9" t="s">
        <v>4425</v>
      </c>
      <c r="C2319" s="78" t="s">
        <v>4494</v>
      </c>
      <c r="D2319" s="668"/>
      <c r="E2319" s="596">
        <f>VLOOKUP($C2319,'HDPE PIPE'!$R$5:$W2469,5,0)</f>
        <v>0.357132288</v>
      </c>
      <c r="F2319" s="656" t="s">
        <v>1088</v>
      </c>
      <c r="G2319" s="596">
        <f>VLOOKUP($C2319,'HDPE PIPE'!$R$5:$W2469,6,0)</f>
        <v>135.75</v>
      </c>
      <c r="H2319" s="320"/>
      <c r="I2319" s="320"/>
      <c r="J2319" s="320"/>
      <c r="K2319" s="320"/>
      <c r="L2319" s="320"/>
      <c r="M2319" s="320"/>
      <c r="N2319" s="320"/>
      <c r="O2319" s="320"/>
    </row>
    <row r="2320">
      <c r="A2320" s="32">
        <f t="shared" si="1"/>
        <v>2319</v>
      </c>
      <c r="B2320" s="9" t="s">
        <v>4425</v>
      </c>
      <c r="C2320" s="78" t="s">
        <v>4495</v>
      </c>
      <c r="D2320" s="668"/>
      <c r="E2320" s="596">
        <f>VLOOKUP($C2320,'HDPE PIPE'!$R$5:$W2469,5,0)</f>
        <v>0.55104396</v>
      </c>
      <c r="F2320" s="656" t="s">
        <v>1088</v>
      </c>
      <c r="G2320" s="596">
        <f>VLOOKUP($C2320,'HDPE PIPE'!$R$5:$W2469,6,0)</f>
        <v>209.5</v>
      </c>
      <c r="H2320" s="320"/>
      <c r="I2320" s="320"/>
      <c r="J2320" s="320"/>
      <c r="K2320" s="320"/>
      <c r="L2320" s="320"/>
      <c r="M2320" s="320"/>
      <c r="N2320" s="320"/>
      <c r="O2320" s="320"/>
    </row>
    <row r="2321">
      <c r="A2321" s="32">
        <f t="shared" si="1"/>
        <v>2320</v>
      </c>
      <c r="B2321" s="9" t="s">
        <v>4425</v>
      </c>
      <c r="C2321" s="78" t="s">
        <v>4496</v>
      </c>
      <c r="D2321" s="668"/>
      <c r="E2321" s="596">
        <f>VLOOKUP($C2321,'HDPE PIPE'!$R$5:$W2469,5,0)</f>
        <v>0.87774912</v>
      </c>
      <c r="F2321" s="656" t="s">
        <v>1088</v>
      </c>
      <c r="G2321" s="596">
        <f>VLOOKUP($C2321,'HDPE PIPE'!$R$5:$W2469,6,0)</f>
        <v>333.5</v>
      </c>
      <c r="H2321" s="320"/>
      <c r="I2321" s="320"/>
      <c r="J2321" s="320"/>
      <c r="K2321" s="320"/>
      <c r="L2321" s="320"/>
      <c r="M2321" s="320"/>
      <c r="N2321" s="320"/>
      <c r="O2321" s="320"/>
    </row>
    <row r="2322">
      <c r="A2322" s="32">
        <f t="shared" si="1"/>
        <v>2321</v>
      </c>
      <c r="B2322" s="9" t="s">
        <v>4425</v>
      </c>
      <c r="C2322" s="78" t="s">
        <v>4497</v>
      </c>
      <c r="D2322" s="668"/>
      <c r="E2322" s="596">
        <f>VLOOKUP($C2322,'HDPE PIPE'!$R$5:$W2469,5,0)</f>
        <v>1.243734307</v>
      </c>
      <c r="F2322" s="656" t="s">
        <v>1088</v>
      </c>
      <c r="G2322" s="596">
        <f>VLOOKUP($C2322,'HDPE PIPE'!$R$5:$W2469,6,0)</f>
        <v>472.75</v>
      </c>
      <c r="H2322" s="320"/>
      <c r="I2322" s="320"/>
      <c r="J2322" s="320"/>
      <c r="K2322" s="320"/>
      <c r="L2322" s="320"/>
      <c r="M2322" s="320"/>
      <c r="N2322" s="320"/>
      <c r="O2322" s="320"/>
    </row>
    <row r="2323">
      <c r="A2323" s="32">
        <f t="shared" si="1"/>
        <v>2322</v>
      </c>
      <c r="B2323" s="9" t="s">
        <v>4425</v>
      </c>
      <c r="C2323" s="78" t="s">
        <v>4498</v>
      </c>
      <c r="D2323" s="668"/>
      <c r="E2323" s="596">
        <f>VLOOKUP($C2323,'HDPE PIPE'!$R$5:$W2469,5,0)</f>
        <v>1.78180055</v>
      </c>
      <c r="F2323" s="656" t="s">
        <v>1088</v>
      </c>
      <c r="G2323" s="596">
        <f>VLOOKUP($C2323,'HDPE PIPE'!$R$5:$W2469,6,0)</f>
        <v>677.25</v>
      </c>
      <c r="H2323" s="320"/>
      <c r="I2323" s="320"/>
      <c r="J2323" s="320"/>
      <c r="K2323" s="320"/>
      <c r="L2323" s="320"/>
      <c r="M2323" s="320"/>
      <c r="N2323" s="320"/>
      <c r="O2323" s="320"/>
    </row>
    <row r="2324">
      <c r="A2324" s="32">
        <f t="shared" si="1"/>
        <v>2323</v>
      </c>
      <c r="B2324" s="9" t="s">
        <v>4425</v>
      </c>
      <c r="C2324" s="78" t="s">
        <v>4499</v>
      </c>
      <c r="D2324" s="668"/>
      <c r="E2324" s="596">
        <f>VLOOKUP($C2324,'HDPE PIPE'!$R$5:$W2469,5,0)</f>
        <v>2.639430816</v>
      </c>
      <c r="F2324" s="656" t="s">
        <v>1088</v>
      </c>
      <c r="G2324" s="596">
        <f>VLOOKUP($C2324,'HDPE PIPE'!$R$5:$W2469,6,0)</f>
        <v>1003</v>
      </c>
      <c r="H2324" s="320"/>
      <c r="I2324" s="320"/>
      <c r="J2324" s="320"/>
      <c r="K2324" s="320"/>
      <c r="L2324" s="320"/>
      <c r="M2324" s="320"/>
      <c r="N2324" s="320"/>
      <c r="O2324" s="320"/>
    </row>
    <row r="2325">
      <c r="A2325" s="32">
        <f t="shared" si="1"/>
        <v>2324</v>
      </c>
      <c r="B2325" s="9" t="s">
        <v>4425</v>
      </c>
      <c r="C2325" s="78" t="s">
        <v>4500</v>
      </c>
      <c r="D2325" s="668"/>
      <c r="E2325" s="596">
        <f>VLOOKUP($C2325,'HDPE PIPE'!$R$5:$W2469,5,0)</f>
        <v>3.401164728</v>
      </c>
      <c r="F2325" s="656" t="s">
        <v>1088</v>
      </c>
      <c r="G2325" s="596">
        <f>VLOOKUP($C2325,'HDPE PIPE'!$R$5:$W2469,6,0)</f>
        <v>1292.5</v>
      </c>
      <c r="H2325" s="320"/>
      <c r="I2325" s="320"/>
      <c r="J2325" s="320"/>
      <c r="K2325" s="320"/>
      <c r="L2325" s="320"/>
      <c r="M2325" s="320"/>
      <c r="N2325" s="320"/>
      <c r="O2325" s="320"/>
    </row>
    <row r="2326">
      <c r="A2326" s="32">
        <f t="shared" si="1"/>
        <v>2325</v>
      </c>
      <c r="B2326" s="9" t="s">
        <v>4425</v>
      </c>
      <c r="C2326" s="78" t="s">
        <v>4501</v>
      </c>
      <c r="D2326" s="668"/>
      <c r="E2326" s="596">
        <f>VLOOKUP($C2326,'HDPE PIPE'!$R$5:$W2469,5,0)</f>
        <v>4.25933039</v>
      </c>
      <c r="F2326" s="656" t="s">
        <v>1088</v>
      </c>
      <c r="G2326" s="596">
        <f>VLOOKUP($C2326,'HDPE PIPE'!$R$5:$W2469,6,0)</f>
        <v>1618.5</v>
      </c>
      <c r="H2326" s="320"/>
      <c r="I2326" s="320"/>
      <c r="J2326" s="320"/>
      <c r="K2326" s="320"/>
      <c r="L2326" s="320"/>
      <c r="M2326" s="320"/>
      <c r="N2326" s="320"/>
      <c r="O2326" s="320"/>
    </row>
    <row r="2327">
      <c r="A2327" s="32">
        <f t="shared" si="1"/>
        <v>2326</v>
      </c>
      <c r="B2327" s="9" t="s">
        <v>4425</v>
      </c>
      <c r="C2327" s="78" t="s">
        <v>4502</v>
      </c>
      <c r="D2327" s="668"/>
      <c r="E2327" s="596">
        <f>VLOOKUP($C2327,'HDPE PIPE'!$R$5:$W2469,5,0)</f>
        <v>5.559748891</v>
      </c>
      <c r="F2327" s="656" t="s">
        <v>1088</v>
      </c>
      <c r="G2327" s="596">
        <f>VLOOKUP($C2327,'HDPE PIPE'!$R$5:$W2469,6,0)</f>
        <v>2112.75</v>
      </c>
      <c r="H2327" s="320"/>
      <c r="I2327" s="320"/>
      <c r="J2327" s="320"/>
      <c r="K2327" s="320"/>
      <c r="L2327" s="320"/>
      <c r="M2327" s="320"/>
      <c r="N2327" s="320"/>
      <c r="O2327" s="320"/>
    </row>
    <row r="2328">
      <c r="A2328" s="32">
        <f t="shared" si="1"/>
        <v>2327</v>
      </c>
      <c r="B2328" s="9" t="s">
        <v>4425</v>
      </c>
      <c r="C2328" s="78" t="s">
        <v>4503</v>
      </c>
      <c r="D2328" s="668"/>
      <c r="E2328" s="596">
        <f>VLOOKUP($C2328,'HDPE PIPE'!$R$5:$W2469,5,0)</f>
        <v>7.056152784</v>
      </c>
      <c r="F2328" s="656" t="s">
        <v>1088</v>
      </c>
      <c r="G2328" s="596">
        <f>VLOOKUP($C2328,'HDPE PIPE'!$R$5:$W2469,6,0)</f>
        <v>2681.5</v>
      </c>
      <c r="H2328" s="320"/>
      <c r="I2328" s="320"/>
      <c r="J2328" s="320"/>
      <c r="K2328" s="320"/>
      <c r="L2328" s="320"/>
      <c r="M2328" s="320"/>
      <c r="N2328" s="320"/>
      <c r="O2328" s="320"/>
    </row>
    <row r="2329">
      <c r="A2329" s="32">
        <f t="shared" si="1"/>
        <v>2328</v>
      </c>
      <c r="B2329" s="9" t="s">
        <v>4425</v>
      </c>
      <c r="C2329" s="78" t="s">
        <v>4504</v>
      </c>
      <c r="D2329" s="668"/>
      <c r="E2329" s="596">
        <f>VLOOKUP($C2329,'HDPE PIPE'!$R$5:$W2469,5,0)</f>
        <v>8.70509952</v>
      </c>
      <c r="F2329" s="656" t="s">
        <v>1088</v>
      </c>
      <c r="G2329" s="596">
        <f>VLOOKUP($C2329,'HDPE PIPE'!$R$5:$W2469,6,0)</f>
        <v>3308</v>
      </c>
      <c r="H2329" s="320"/>
      <c r="I2329" s="320"/>
      <c r="J2329" s="320"/>
      <c r="K2329" s="320"/>
      <c r="L2329" s="320"/>
      <c r="M2329" s="320"/>
      <c r="N2329" s="320"/>
      <c r="O2329" s="320"/>
    </row>
    <row r="2330">
      <c r="A2330" s="32">
        <f t="shared" si="1"/>
        <v>2329</v>
      </c>
      <c r="B2330" s="9" t="s">
        <v>4425</v>
      </c>
      <c r="C2330" s="78" t="s">
        <v>4505</v>
      </c>
      <c r="D2330" s="668"/>
      <c r="E2330" s="596">
        <f>VLOOKUP($C2330,'HDPE PIPE'!$R$5:$W2469,5,0)</f>
        <v>10.98996192</v>
      </c>
      <c r="F2330" s="656" t="s">
        <v>1088</v>
      </c>
      <c r="G2330" s="596">
        <f>VLOOKUP($C2330,'HDPE PIPE'!$R$5:$W2469,6,0)</f>
        <v>4176.25</v>
      </c>
      <c r="H2330" s="320"/>
      <c r="I2330" s="320"/>
      <c r="J2330" s="320"/>
      <c r="K2330" s="320"/>
      <c r="L2330" s="320"/>
      <c r="M2330" s="320"/>
      <c r="N2330" s="320"/>
      <c r="O2330" s="320"/>
    </row>
    <row r="2331">
      <c r="A2331" s="32">
        <f t="shared" si="1"/>
        <v>2330</v>
      </c>
      <c r="B2331" s="9" t="s">
        <v>4425</v>
      </c>
      <c r="C2331" s="78" t="s">
        <v>4506</v>
      </c>
      <c r="D2331" s="668"/>
      <c r="E2331" s="596">
        <f>VLOOKUP($C2331,'HDPE PIPE'!$R$5:$W2469,5,0)</f>
        <v>13.53489143</v>
      </c>
      <c r="F2331" s="656" t="s">
        <v>1088</v>
      </c>
      <c r="G2331" s="596">
        <f>VLOOKUP($C2331,'HDPE PIPE'!$R$5:$W2469,6,0)</f>
        <v>5143.25</v>
      </c>
      <c r="H2331" s="320"/>
      <c r="I2331" s="320"/>
      <c r="J2331" s="320"/>
      <c r="K2331" s="320"/>
      <c r="L2331" s="320"/>
      <c r="M2331" s="320"/>
      <c r="N2331" s="320"/>
      <c r="O2331" s="320"/>
    </row>
    <row r="2332">
      <c r="A2332" s="32">
        <f t="shared" si="1"/>
        <v>2331</v>
      </c>
      <c r="B2332" s="9" t="s">
        <v>4425</v>
      </c>
      <c r="C2332" s="78" t="s">
        <v>4507</v>
      </c>
      <c r="D2332" s="668"/>
      <c r="E2332" s="596">
        <f>VLOOKUP($C2332,'HDPE PIPE'!$R$5:$W2469,5,0)</f>
        <v>16.96244142</v>
      </c>
      <c r="F2332" s="656" t="s">
        <v>1088</v>
      </c>
      <c r="G2332" s="596">
        <f>VLOOKUP($C2332,'HDPE PIPE'!$R$5:$W2469,6,0)</f>
        <v>6445.75</v>
      </c>
      <c r="H2332" s="320"/>
      <c r="I2332" s="320"/>
      <c r="J2332" s="320"/>
      <c r="K2332" s="320"/>
      <c r="L2332" s="320"/>
      <c r="M2332" s="320"/>
      <c r="N2332" s="320"/>
      <c r="O2332" s="320"/>
    </row>
    <row r="2333">
      <c r="A2333" s="32">
        <f t="shared" si="1"/>
        <v>2332</v>
      </c>
      <c r="B2333" s="9" t="s">
        <v>4425</v>
      </c>
      <c r="C2333" s="78" t="s">
        <v>4508</v>
      </c>
      <c r="D2333" s="668"/>
      <c r="E2333" s="596">
        <f>VLOOKUP($C2333,'HDPE PIPE'!$R$5:$W2469,5,0)</f>
        <v>21.49636552</v>
      </c>
      <c r="F2333" s="656" t="s">
        <v>1088</v>
      </c>
      <c r="G2333" s="596">
        <f>VLOOKUP($C2333,'HDPE PIPE'!$R$5:$W2469,6,0)</f>
        <v>8168.75</v>
      </c>
      <c r="H2333" s="320"/>
      <c r="I2333" s="320"/>
      <c r="J2333" s="320"/>
      <c r="K2333" s="320"/>
      <c r="L2333" s="320"/>
      <c r="M2333" s="320"/>
      <c r="N2333" s="320"/>
      <c r="O2333" s="320"/>
    </row>
    <row r="2334">
      <c r="A2334" s="32">
        <f t="shared" si="1"/>
        <v>2333</v>
      </c>
      <c r="B2334" s="9" t="s">
        <v>4425</v>
      </c>
      <c r="C2334" s="78" t="s">
        <v>4509</v>
      </c>
      <c r="D2334" s="668"/>
      <c r="E2334" s="596">
        <f>VLOOKUP($C2334,'HDPE PIPE'!$X$5:$AC2469,5,0)</f>
        <v>0.116731584</v>
      </c>
      <c r="F2334" s="656" t="s">
        <v>1088</v>
      </c>
      <c r="G2334" s="596">
        <f>VLOOKUP($C2334,'HDPE PIPE'!$X$5:$AC2469,6,0)</f>
        <v>44.5</v>
      </c>
      <c r="H2334" s="320"/>
      <c r="I2334" s="320"/>
      <c r="J2334" s="320"/>
      <c r="K2334" s="320"/>
      <c r="L2334" s="320"/>
      <c r="M2334" s="320"/>
      <c r="N2334" s="320"/>
      <c r="O2334" s="320"/>
    </row>
    <row r="2335">
      <c r="A2335" s="32">
        <f t="shared" si="1"/>
        <v>2334</v>
      </c>
      <c r="B2335" s="9" t="s">
        <v>4425</v>
      </c>
      <c r="C2335" s="78" t="s">
        <v>4510</v>
      </c>
      <c r="D2335" s="668"/>
      <c r="E2335" s="596">
        <f>VLOOKUP($C2335,'HDPE PIPE'!$X$5:$AC2469,5,0)</f>
        <v>0.17079912</v>
      </c>
      <c r="F2335" s="656" t="s">
        <v>1088</v>
      </c>
      <c r="G2335" s="596">
        <f>VLOOKUP($C2335,'HDPE PIPE'!$X$5:$AC2469,6,0)</f>
        <v>65</v>
      </c>
      <c r="H2335" s="320"/>
      <c r="I2335" s="320"/>
      <c r="J2335" s="320"/>
      <c r="K2335" s="320"/>
      <c r="L2335" s="320"/>
      <c r="M2335" s="320"/>
      <c r="N2335" s="320"/>
      <c r="O2335" s="320"/>
    </row>
    <row r="2336">
      <c r="A2336" s="32">
        <f t="shared" si="1"/>
        <v>2335</v>
      </c>
      <c r="B2336" s="9" t="s">
        <v>4425</v>
      </c>
      <c r="C2336" s="78" t="s">
        <v>4511</v>
      </c>
      <c r="D2336" s="668"/>
      <c r="E2336" s="596">
        <f>VLOOKUP($C2336,'HDPE PIPE'!$X$5:$AC2469,5,0)</f>
        <v>0.2794318848</v>
      </c>
      <c r="F2336" s="656" t="s">
        <v>1088</v>
      </c>
      <c r="G2336" s="596">
        <f>VLOOKUP($C2336,'HDPE PIPE'!$X$5:$AC2469,6,0)</f>
        <v>106.25</v>
      </c>
      <c r="H2336" s="320"/>
      <c r="I2336" s="320"/>
      <c r="J2336" s="320"/>
      <c r="K2336" s="320"/>
      <c r="L2336" s="320"/>
      <c r="M2336" s="320"/>
      <c r="N2336" s="320"/>
      <c r="O2336" s="320"/>
    </row>
    <row r="2337">
      <c r="A2337" s="32">
        <f t="shared" si="1"/>
        <v>2336</v>
      </c>
      <c r="B2337" s="9" t="s">
        <v>4425</v>
      </c>
      <c r="C2337" s="78" t="s">
        <v>4512</v>
      </c>
      <c r="D2337" s="668"/>
      <c r="E2337" s="596">
        <f>VLOOKUP($C2337,'HDPE PIPE'!$X$5:$AC2469,5,0)</f>
        <v>0.43189932</v>
      </c>
      <c r="F2337" s="656" t="s">
        <v>1088</v>
      </c>
      <c r="G2337" s="596">
        <f>VLOOKUP($C2337,'HDPE PIPE'!$X$5:$AC2469,6,0)</f>
        <v>164.25</v>
      </c>
      <c r="H2337" s="320"/>
      <c r="I2337" s="320"/>
      <c r="J2337" s="320"/>
      <c r="K2337" s="320"/>
      <c r="L2337" s="320"/>
      <c r="M2337" s="320"/>
      <c r="N2337" s="320"/>
      <c r="O2337" s="320"/>
    </row>
    <row r="2338">
      <c r="A2338" s="32">
        <f t="shared" si="1"/>
        <v>2337</v>
      </c>
      <c r="B2338" s="9" t="s">
        <v>4425</v>
      </c>
      <c r="C2338" s="78" t="s">
        <v>4513</v>
      </c>
      <c r="D2338" s="668"/>
      <c r="E2338" s="596">
        <f>VLOOKUP($C2338,'HDPE PIPE'!$X$5:$AC2469,5,0)</f>
        <v>0.6695325504</v>
      </c>
      <c r="F2338" s="656" t="s">
        <v>1088</v>
      </c>
      <c r="G2338" s="596">
        <f>VLOOKUP($C2338,'HDPE PIPE'!$X$5:$AC2469,6,0)</f>
        <v>254.5</v>
      </c>
      <c r="H2338" s="320"/>
      <c r="I2338" s="320"/>
      <c r="J2338" s="320"/>
      <c r="K2338" s="320"/>
      <c r="L2338" s="320"/>
      <c r="M2338" s="320"/>
      <c r="N2338" s="320"/>
      <c r="O2338" s="320"/>
    </row>
    <row r="2339">
      <c r="A2339" s="32">
        <f t="shared" si="1"/>
        <v>2338</v>
      </c>
      <c r="B2339" s="9" t="s">
        <v>4425</v>
      </c>
      <c r="C2339" s="78" t="s">
        <v>4514</v>
      </c>
      <c r="D2339" s="668"/>
      <c r="E2339" s="596">
        <f>VLOOKUP($C2339,'HDPE PIPE'!$X$5:$AC2469,5,0)</f>
        <v>1.058298494</v>
      </c>
      <c r="F2339" s="656" t="s">
        <v>1088</v>
      </c>
      <c r="G2339" s="596">
        <f>VLOOKUP($C2339,'HDPE PIPE'!$X$5:$AC2469,6,0)</f>
        <v>402.25</v>
      </c>
      <c r="H2339" s="320"/>
      <c r="I2339" s="320"/>
      <c r="J2339" s="320"/>
      <c r="K2339" s="320"/>
      <c r="L2339" s="320"/>
      <c r="M2339" s="320"/>
      <c r="N2339" s="320"/>
      <c r="O2339" s="320"/>
    </row>
    <row r="2340">
      <c r="A2340" s="32">
        <f t="shared" si="1"/>
        <v>2339</v>
      </c>
      <c r="B2340" s="9" t="s">
        <v>4425</v>
      </c>
      <c r="C2340" s="78" t="s">
        <v>4515</v>
      </c>
      <c r="D2340" s="668"/>
      <c r="E2340" s="596">
        <f>VLOOKUP($C2340,'HDPE PIPE'!$X$5:$AC2469,5,0)</f>
        <v>1.496200291</v>
      </c>
      <c r="F2340" s="656" t="s">
        <v>1088</v>
      </c>
      <c r="G2340" s="596">
        <f>VLOOKUP($C2340,'HDPE PIPE'!$X$5:$AC2469,6,0)</f>
        <v>568.5</v>
      </c>
      <c r="H2340" s="320"/>
      <c r="I2340" s="320"/>
      <c r="J2340" s="320"/>
      <c r="K2340" s="320"/>
      <c r="L2340" s="320"/>
      <c r="M2340" s="320"/>
      <c r="N2340" s="320"/>
      <c r="O2340" s="320"/>
    </row>
    <row r="2341">
      <c r="A2341" s="32">
        <f t="shared" si="1"/>
        <v>2340</v>
      </c>
      <c r="B2341" s="9" t="s">
        <v>4425</v>
      </c>
      <c r="C2341" s="78" t="s">
        <v>4516</v>
      </c>
      <c r="D2341" s="668"/>
      <c r="E2341" s="596">
        <f>VLOOKUP($C2341,'HDPE PIPE'!$X$5:$AC2469,5,0)</f>
        <v>2.141345894</v>
      </c>
      <c r="F2341" s="656" t="s">
        <v>1088</v>
      </c>
      <c r="G2341" s="596">
        <f>VLOOKUP($C2341,'HDPE PIPE'!$X$5:$AC2469,6,0)</f>
        <v>813.75</v>
      </c>
      <c r="H2341" s="320"/>
      <c r="I2341" s="320"/>
      <c r="J2341" s="320"/>
      <c r="K2341" s="320"/>
      <c r="L2341" s="320"/>
      <c r="M2341" s="320"/>
      <c r="N2341" s="320"/>
      <c r="O2341" s="320"/>
    </row>
    <row r="2342">
      <c r="A2342" s="32">
        <f t="shared" si="1"/>
        <v>2341</v>
      </c>
      <c r="B2342" s="9" t="s">
        <v>4425</v>
      </c>
      <c r="C2342" s="78" t="s">
        <v>4517</v>
      </c>
      <c r="D2342" s="668"/>
      <c r="E2342" s="596">
        <f>VLOOKUP($C2342,'HDPE PIPE'!$X$5:$AC2469,5,0)</f>
        <v>3.175853165</v>
      </c>
      <c r="F2342" s="656" t="s">
        <v>1088</v>
      </c>
      <c r="G2342" s="596">
        <f>VLOOKUP($C2342,'HDPE PIPE'!$X$5:$AC2469,6,0)</f>
        <v>1206.75</v>
      </c>
      <c r="H2342" s="320"/>
      <c r="I2342" s="320"/>
      <c r="J2342" s="320"/>
      <c r="K2342" s="320"/>
      <c r="L2342" s="320"/>
      <c r="M2342" s="320"/>
      <c r="N2342" s="320"/>
      <c r="O2342" s="320"/>
    </row>
    <row r="2343">
      <c r="A2343" s="32">
        <f t="shared" si="1"/>
        <v>2342</v>
      </c>
      <c r="B2343" s="9" t="s">
        <v>4425</v>
      </c>
      <c r="C2343" s="78" t="s">
        <v>4518</v>
      </c>
      <c r="D2343" s="668"/>
      <c r="E2343" s="596">
        <f>VLOOKUP($C2343,'HDPE PIPE'!$X$5:$AC2469,5,0)</f>
        <v>4.119893458</v>
      </c>
      <c r="F2343" s="656" t="s">
        <v>1088</v>
      </c>
      <c r="G2343" s="596">
        <f>VLOOKUP($C2343,'HDPE PIPE'!$X$5:$AC2469,6,0)</f>
        <v>1565.5</v>
      </c>
      <c r="H2343" s="320"/>
      <c r="I2343" s="320"/>
      <c r="J2343" s="320"/>
      <c r="K2343" s="320"/>
      <c r="L2343" s="320"/>
      <c r="M2343" s="320"/>
      <c r="N2343" s="320"/>
      <c r="O2343" s="320"/>
    </row>
    <row r="2344">
      <c r="A2344" s="32">
        <f t="shared" si="1"/>
        <v>2343</v>
      </c>
      <c r="B2344" s="9" t="s">
        <v>4425</v>
      </c>
      <c r="C2344" s="78" t="s">
        <v>4519</v>
      </c>
      <c r="D2344" s="668"/>
      <c r="E2344" s="596">
        <f>VLOOKUP($C2344,'HDPE PIPE'!$X$5:$AC2469,5,0)</f>
        <v>5.169444624</v>
      </c>
      <c r="F2344" s="656" t="s">
        <v>1088</v>
      </c>
      <c r="G2344" s="596">
        <f>VLOOKUP($C2344,'HDPE PIPE'!$X$5:$AC2469,6,0)</f>
        <v>1964.5</v>
      </c>
      <c r="H2344" s="320"/>
      <c r="I2344" s="320"/>
      <c r="J2344" s="320"/>
      <c r="K2344" s="320"/>
      <c r="L2344" s="320"/>
      <c r="M2344" s="320"/>
      <c r="N2344" s="320"/>
      <c r="O2344" s="320"/>
    </row>
    <row r="2345">
      <c r="A2345" s="32">
        <f t="shared" si="1"/>
        <v>2344</v>
      </c>
      <c r="B2345" s="9" t="s">
        <v>4425</v>
      </c>
      <c r="C2345" s="78" t="s">
        <v>4520</v>
      </c>
      <c r="D2345" s="668"/>
      <c r="E2345" s="596">
        <f>VLOOKUP($C2345,'HDPE PIPE'!$X$5:$AC2469,5,0)</f>
        <v>6.740087693</v>
      </c>
      <c r="F2345" s="656" t="s">
        <v>1088</v>
      </c>
      <c r="G2345" s="596">
        <f>VLOOKUP($C2345,'HDPE PIPE'!$X$5:$AC2469,6,0)</f>
        <v>2561.25</v>
      </c>
      <c r="H2345" s="320"/>
      <c r="I2345" s="320"/>
      <c r="J2345" s="320"/>
      <c r="K2345" s="320"/>
      <c r="L2345" s="320"/>
      <c r="M2345" s="320"/>
      <c r="N2345" s="320"/>
      <c r="O2345" s="320"/>
    </row>
    <row r="2346">
      <c r="A2346" s="32">
        <f t="shared" si="1"/>
        <v>2345</v>
      </c>
      <c r="B2346" s="9" t="s">
        <v>4425</v>
      </c>
      <c r="C2346" s="78" t="s">
        <v>4521</v>
      </c>
      <c r="D2346" s="668"/>
      <c r="E2346" s="596">
        <f>VLOOKUP($C2346,'HDPE PIPE'!$X$5:$AC2469,5,0)</f>
        <v>8.518766352</v>
      </c>
      <c r="F2346" s="656" t="s">
        <v>1088</v>
      </c>
      <c r="G2346" s="596">
        <f>VLOOKUP($C2346,'HDPE PIPE'!$X$5:$AC2469,6,0)</f>
        <v>3237.25</v>
      </c>
      <c r="H2346" s="320"/>
      <c r="I2346" s="320"/>
      <c r="J2346" s="320"/>
      <c r="K2346" s="320"/>
      <c r="L2346" s="320"/>
      <c r="M2346" s="320"/>
      <c r="N2346" s="320"/>
      <c r="O2346" s="320"/>
    </row>
    <row r="2347">
      <c r="A2347" s="32">
        <f t="shared" si="1"/>
        <v>2346</v>
      </c>
      <c r="B2347" s="9" t="s">
        <v>4425</v>
      </c>
      <c r="C2347" s="78" t="s">
        <v>4522</v>
      </c>
      <c r="D2347" s="668"/>
      <c r="E2347" s="596">
        <f>VLOOKUP($C2347,'HDPE PIPE'!$X$5:$AC2469,5,0)</f>
        <v>10.5054806</v>
      </c>
      <c r="F2347" s="656" t="s">
        <v>1088</v>
      </c>
      <c r="G2347" s="596">
        <f>VLOOKUP($C2347,'HDPE PIPE'!$X$5:$AC2469,6,0)</f>
        <v>3992.25</v>
      </c>
      <c r="H2347" s="320"/>
      <c r="I2347" s="320"/>
      <c r="J2347" s="320"/>
      <c r="K2347" s="320"/>
      <c r="L2347" s="320"/>
      <c r="M2347" s="320"/>
      <c r="N2347" s="320"/>
      <c r="O2347" s="320"/>
    </row>
    <row r="2348">
      <c r="A2348" s="32">
        <f t="shared" si="1"/>
        <v>2347</v>
      </c>
      <c r="B2348" s="9" t="s">
        <v>4425</v>
      </c>
      <c r="C2348" s="78" t="s">
        <v>4523</v>
      </c>
      <c r="D2348" s="668"/>
      <c r="E2348" s="596">
        <f>VLOOKUP($C2348,'HDPE PIPE'!$X$5:$AC2469,5,0)</f>
        <v>13.2976277</v>
      </c>
      <c r="F2348" s="656" t="s">
        <v>1088</v>
      </c>
      <c r="G2348" s="596">
        <f>VLOOKUP($C2348,'HDPE PIPE'!$X$5:$AC2469,6,0)</f>
        <v>5053.25</v>
      </c>
      <c r="H2348" s="320"/>
      <c r="I2348" s="320"/>
      <c r="J2348" s="320"/>
      <c r="K2348" s="320"/>
      <c r="L2348" s="320"/>
      <c r="M2348" s="320"/>
      <c r="N2348" s="320"/>
      <c r="O2348" s="320"/>
    </row>
    <row r="2349">
      <c r="A2349" s="32">
        <f t="shared" si="1"/>
        <v>2348</v>
      </c>
      <c r="B2349" s="9" t="s">
        <v>4425</v>
      </c>
      <c r="C2349" s="78" t="s">
        <v>4524</v>
      </c>
      <c r="D2349" s="668"/>
      <c r="E2349" s="596">
        <f>VLOOKUP($C2349,'HDPE PIPE'!$X$5:$AC2469,5,0)</f>
        <v>16.41119386</v>
      </c>
      <c r="F2349" s="656" t="s">
        <v>1088</v>
      </c>
      <c r="G2349" s="596">
        <f>VLOOKUP($C2349,'HDPE PIPE'!$X$5:$AC2469,6,0)</f>
        <v>6263.25</v>
      </c>
      <c r="H2349" s="320"/>
      <c r="I2349" s="320"/>
      <c r="J2349" s="320"/>
      <c r="K2349" s="320"/>
      <c r="L2349" s="320"/>
      <c r="M2349" s="320"/>
      <c r="N2349" s="320"/>
      <c r="O2349" s="320"/>
    </row>
    <row r="2350">
      <c r="A2350" s="32">
        <f t="shared" si="1"/>
        <v>2349</v>
      </c>
      <c r="B2350" s="9" t="s">
        <v>4425</v>
      </c>
      <c r="C2350" s="78" t="s">
        <v>4525</v>
      </c>
      <c r="D2350" s="668"/>
      <c r="E2350" s="596">
        <f>VLOOKUP($C2350,'HDPE PIPE'!$X$5:$AC2469,5,0)</f>
        <v>20.57100077</v>
      </c>
      <c r="F2350" s="656" t="s">
        <v>1088</v>
      </c>
      <c r="G2350" s="596">
        <f>VLOOKUP($C2350,'HDPE PIPE'!$X$5:$AC2469,6,0)</f>
        <v>7817</v>
      </c>
      <c r="H2350" s="320"/>
      <c r="I2350" s="320"/>
      <c r="J2350" s="320"/>
      <c r="K2350" s="320"/>
      <c r="L2350" s="320"/>
      <c r="M2350" s="320"/>
      <c r="N2350" s="320"/>
      <c r="O2350" s="320"/>
    </row>
    <row r="2351">
      <c r="A2351" s="32">
        <f t="shared" si="1"/>
        <v>2350</v>
      </c>
      <c r="B2351" s="9" t="s">
        <v>4425</v>
      </c>
      <c r="C2351" s="78" t="s">
        <v>4526</v>
      </c>
      <c r="D2351" s="668"/>
      <c r="E2351" s="596">
        <f>VLOOKUP($C2351,'HDPE PIPE'!$X$5:$AC2469,5,0)</f>
        <v>26.02796403</v>
      </c>
      <c r="F2351" s="656" t="s">
        <v>1088</v>
      </c>
      <c r="G2351" s="596">
        <f>VLOOKUP($C2351,'HDPE PIPE'!$X$5:$AC2469,6,0)</f>
        <v>9890.75</v>
      </c>
      <c r="H2351" s="320"/>
      <c r="I2351" s="320"/>
      <c r="J2351" s="320"/>
      <c r="K2351" s="320"/>
      <c r="L2351" s="320"/>
      <c r="M2351" s="320"/>
      <c r="N2351" s="320"/>
      <c r="O2351" s="320"/>
    </row>
    <row r="2352">
      <c r="A2352" s="32">
        <f t="shared" si="1"/>
        <v>2351</v>
      </c>
      <c r="B2352" s="9" t="s">
        <v>4425</v>
      </c>
      <c r="C2352" s="78" t="s">
        <v>4527</v>
      </c>
      <c r="D2352" s="668"/>
      <c r="E2352" s="596">
        <f>VLOOKUP($C2352,'HDPE PIPE'!$AD$5:$AI2469,5,0)</f>
        <v>0.13309512</v>
      </c>
      <c r="F2352" s="656" t="s">
        <v>1088</v>
      </c>
      <c r="G2352" s="596">
        <f>VLOOKUP($C2352,'HDPE PIPE'!$AD$5:$AI2469,6,0)</f>
        <v>50.5</v>
      </c>
      <c r="H2352" s="320"/>
      <c r="I2352" s="320"/>
      <c r="J2352" s="320"/>
      <c r="K2352" s="320"/>
      <c r="L2352" s="320"/>
      <c r="M2352" s="320"/>
      <c r="N2352" s="320"/>
      <c r="O2352" s="320"/>
    </row>
    <row r="2353">
      <c r="A2353" s="32">
        <f t="shared" si="1"/>
        <v>2352</v>
      </c>
      <c r="B2353" s="9" t="s">
        <v>4425</v>
      </c>
      <c r="C2353" s="78" t="s">
        <v>4528</v>
      </c>
      <c r="D2353" s="668"/>
      <c r="E2353" s="596">
        <f>VLOOKUP($C2353,'HDPE PIPE'!$AD$5:$AI2469,5,0)</f>
        <v>0.200434464</v>
      </c>
      <c r="F2353" s="656" t="s">
        <v>1088</v>
      </c>
      <c r="G2353" s="596">
        <f>VLOOKUP($C2353,'HDPE PIPE'!$AD$5:$AI2469,6,0)</f>
        <v>76.25</v>
      </c>
      <c r="H2353" s="320"/>
      <c r="I2353" s="320"/>
      <c r="J2353" s="320"/>
      <c r="K2353" s="320"/>
      <c r="L2353" s="320"/>
      <c r="M2353" s="320"/>
      <c r="N2353" s="320"/>
      <c r="O2353" s="320"/>
    </row>
    <row r="2354">
      <c r="A2354" s="32">
        <f t="shared" si="1"/>
        <v>2353</v>
      </c>
      <c r="B2354" s="9" t="s">
        <v>4425</v>
      </c>
      <c r="C2354" s="78" t="s">
        <v>4529</v>
      </c>
      <c r="D2354" s="668"/>
      <c r="E2354" s="596">
        <f>VLOOKUP($C2354,'HDPE PIPE'!$AD$5:$AI2469,5,0)</f>
        <v>0.3286431456</v>
      </c>
      <c r="F2354" s="656" t="s">
        <v>1088</v>
      </c>
      <c r="G2354" s="596">
        <f>VLOOKUP($C2354,'HDPE PIPE'!$AD$5:$AI2469,6,0)</f>
        <v>125</v>
      </c>
      <c r="H2354" s="320"/>
      <c r="I2354" s="320"/>
      <c r="J2354" s="320"/>
      <c r="K2354" s="320"/>
      <c r="L2354" s="320"/>
      <c r="M2354" s="320"/>
      <c r="N2354" s="320"/>
      <c r="O2354" s="320"/>
    </row>
    <row r="2355">
      <c r="A2355" s="32">
        <f t="shared" si="1"/>
        <v>2354</v>
      </c>
      <c r="B2355" s="9" t="s">
        <v>4425</v>
      </c>
      <c r="C2355" s="78" t="s">
        <v>4530</v>
      </c>
      <c r="D2355" s="668"/>
      <c r="E2355" s="596">
        <f>VLOOKUP($C2355,'HDPE PIPE'!$AD$5:$AI2469,5,0)</f>
        <v>0.5125330944</v>
      </c>
      <c r="F2355" s="656" t="s">
        <v>1088</v>
      </c>
      <c r="G2355" s="596">
        <f>VLOOKUP($C2355,'HDPE PIPE'!$AD$5:$AI2469,6,0)</f>
        <v>194.75</v>
      </c>
      <c r="H2355" s="320"/>
      <c r="I2355" s="320"/>
      <c r="J2355" s="320"/>
      <c r="K2355" s="320"/>
      <c r="L2355" s="320"/>
      <c r="M2355" s="320"/>
      <c r="N2355" s="320"/>
      <c r="O2355" s="320"/>
    </row>
    <row r="2356">
      <c r="A2356" s="32">
        <f t="shared" si="1"/>
        <v>2355</v>
      </c>
      <c r="B2356" s="9" t="s">
        <v>4425</v>
      </c>
      <c r="C2356" s="78" t="s">
        <v>4531</v>
      </c>
      <c r="D2356" s="668"/>
      <c r="E2356" s="596">
        <f>VLOOKUP($C2356,'HDPE PIPE'!$AD$5:$AI2469,5,0)</f>
        <v>0.794159352</v>
      </c>
      <c r="F2356" s="656" t="s">
        <v>1088</v>
      </c>
      <c r="G2356" s="596">
        <f>VLOOKUP($C2356,'HDPE PIPE'!$AD$5:$AI2469,6,0)</f>
        <v>301.75</v>
      </c>
      <c r="H2356" s="320"/>
      <c r="I2356" s="320"/>
      <c r="J2356" s="320"/>
      <c r="K2356" s="320"/>
      <c r="L2356" s="320"/>
      <c r="M2356" s="320"/>
      <c r="N2356" s="320"/>
      <c r="O2356" s="320"/>
    </row>
    <row r="2357">
      <c r="A2357" s="32">
        <f t="shared" si="1"/>
        <v>2356</v>
      </c>
      <c r="B2357" s="9" t="s">
        <v>4425</v>
      </c>
      <c r="C2357" s="78" t="s">
        <v>4532</v>
      </c>
      <c r="D2357" s="668"/>
      <c r="E2357" s="596">
        <f>VLOOKUP($C2357,'HDPE PIPE'!$AD$5:$AI2469,5,0)</f>
        <v>1.245498854</v>
      </c>
      <c r="F2357" s="656" t="s">
        <v>1088</v>
      </c>
      <c r="G2357" s="596">
        <f>VLOOKUP($C2357,'HDPE PIPE'!$AD$5:$AI2469,6,0)</f>
        <v>473.25</v>
      </c>
      <c r="H2357" s="320"/>
      <c r="I2357" s="320"/>
      <c r="J2357" s="320"/>
      <c r="K2357" s="320"/>
      <c r="L2357" s="320"/>
      <c r="M2357" s="320"/>
      <c r="N2357" s="320"/>
      <c r="O2357" s="320"/>
    </row>
    <row r="2358">
      <c r="A2358" s="32">
        <f t="shared" si="1"/>
        <v>2357</v>
      </c>
      <c r="B2358" s="9" t="s">
        <v>4425</v>
      </c>
      <c r="C2358" s="78" t="s">
        <v>4533</v>
      </c>
      <c r="D2358" s="668"/>
      <c r="E2358" s="596">
        <f>VLOOKUP($C2358,'HDPE PIPE'!$AD$5:$AI2469,5,0)</f>
        <v>1.781182205</v>
      </c>
      <c r="F2358" s="656" t="s">
        <v>1088</v>
      </c>
      <c r="G2358" s="596">
        <f>VLOOKUP($C2358,'HDPE PIPE'!$AD$5:$AI2469,6,0)</f>
        <v>676.75</v>
      </c>
      <c r="H2358" s="320"/>
      <c r="I2358" s="320"/>
      <c r="J2358" s="320"/>
      <c r="K2358" s="320"/>
      <c r="L2358" s="320"/>
      <c r="M2358" s="320"/>
      <c r="N2358" s="320"/>
      <c r="O2358" s="320"/>
    </row>
    <row r="2359">
      <c r="A2359" s="32">
        <f t="shared" si="1"/>
        <v>2358</v>
      </c>
      <c r="B2359" s="9" t="s">
        <v>4425</v>
      </c>
      <c r="C2359" s="78" t="s">
        <v>4534</v>
      </c>
      <c r="D2359" s="668"/>
      <c r="E2359" s="596">
        <f>VLOOKUP($C2359,'HDPE PIPE'!$AD$5:$AI2469,5,0)</f>
        <v>2.537818536</v>
      </c>
      <c r="F2359" s="656" t="s">
        <v>1088</v>
      </c>
      <c r="G2359" s="596">
        <f>VLOOKUP($C2359,'HDPE PIPE'!$AD$5:$AI2469,6,0)</f>
        <v>964.25</v>
      </c>
      <c r="H2359" s="320"/>
      <c r="I2359" s="320"/>
      <c r="J2359" s="320"/>
      <c r="K2359" s="320"/>
      <c r="L2359" s="320"/>
      <c r="M2359" s="320"/>
      <c r="N2359" s="320"/>
      <c r="O2359" s="320"/>
    </row>
    <row r="2360">
      <c r="A2360" s="32">
        <f t="shared" si="1"/>
        <v>2359</v>
      </c>
      <c r="B2360" s="9" t="s">
        <v>4425</v>
      </c>
      <c r="C2360" s="78" t="s">
        <v>4535</v>
      </c>
      <c r="D2360" s="668"/>
      <c r="E2360" s="596">
        <f>VLOOKUP($C2360,'HDPE PIPE'!$AD$5:$AI2469,5,0)</f>
        <v>3.817303776</v>
      </c>
      <c r="F2360" s="656" t="s">
        <v>1088</v>
      </c>
      <c r="G2360" s="596">
        <f>VLOOKUP($C2360,'HDPE PIPE'!$AD$5:$AI2469,6,0)</f>
        <v>1450.5</v>
      </c>
      <c r="H2360" s="320"/>
      <c r="I2360" s="320"/>
      <c r="J2360" s="320"/>
      <c r="K2360" s="320"/>
      <c r="L2360" s="320"/>
      <c r="M2360" s="320"/>
      <c r="N2360" s="320"/>
      <c r="O2360" s="320"/>
    </row>
    <row r="2361">
      <c r="A2361" s="32">
        <f t="shared" si="1"/>
        <v>2360</v>
      </c>
      <c r="B2361" s="9" t="s">
        <v>4425</v>
      </c>
      <c r="C2361" s="78" t="s">
        <v>4536</v>
      </c>
      <c r="D2361" s="668"/>
      <c r="E2361" s="596">
        <f>VLOOKUP($C2361,'HDPE PIPE'!$AD$5:$AI2469,5,0)</f>
        <v>4.893941496</v>
      </c>
      <c r="F2361" s="656" t="s">
        <v>1088</v>
      </c>
      <c r="G2361" s="596">
        <f>VLOOKUP($C2361,'HDPE PIPE'!$AD$5:$AI2469,6,0)</f>
        <v>1859.75</v>
      </c>
      <c r="H2361" s="320"/>
      <c r="I2361" s="320"/>
      <c r="J2361" s="320"/>
      <c r="K2361" s="320"/>
      <c r="L2361" s="320"/>
      <c r="M2361" s="320"/>
      <c r="N2361" s="320"/>
      <c r="O2361" s="320"/>
    </row>
    <row r="2362">
      <c r="A2362" s="32">
        <f t="shared" si="1"/>
        <v>2361</v>
      </c>
      <c r="B2362" s="9" t="s">
        <v>4425</v>
      </c>
      <c r="C2362" s="78" t="s">
        <v>4537</v>
      </c>
      <c r="D2362" s="668"/>
      <c r="E2362" s="596">
        <f>VLOOKUP($C2362,'HDPE PIPE'!$AD$5:$AI2469,5,0)</f>
        <v>6.152689536</v>
      </c>
      <c r="F2362" s="656" t="s">
        <v>1088</v>
      </c>
      <c r="G2362" s="596">
        <f>VLOOKUP($C2362,'HDPE PIPE'!$AD$5:$AI2469,6,0)</f>
        <v>2338</v>
      </c>
      <c r="H2362" s="320"/>
      <c r="I2362" s="320"/>
      <c r="J2362" s="320"/>
      <c r="K2362" s="320"/>
      <c r="L2362" s="320"/>
      <c r="M2362" s="320"/>
      <c r="N2362" s="320"/>
      <c r="O2362" s="320"/>
    </row>
    <row r="2363">
      <c r="A2363" s="32">
        <f t="shared" si="1"/>
        <v>2362</v>
      </c>
      <c r="B2363" s="9" t="s">
        <v>4425</v>
      </c>
      <c r="C2363" s="78" t="s">
        <v>4538</v>
      </c>
      <c r="D2363" s="668"/>
      <c r="E2363" s="596">
        <f>VLOOKUP($C2363,'HDPE PIPE'!$AD$5:$AI2469,5,0)</f>
        <v>8.016813</v>
      </c>
      <c r="F2363" s="656" t="s">
        <v>1088</v>
      </c>
      <c r="G2363" s="596">
        <f>VLOOKUP($C2363,'HDPE PIPE'!$AD$5:$AI2469,6,0)</f>
        <v>3046.25</v>
      </c>
      <c r="H2363" s="320"/>
      <c r="I2363" s="320"/>
      <c r="J2363" s="320"/>
      <c r="K2363" s="320"/>
      <c r="L2363" s="320"/>
      <c r="M2363" s="320"/>
      <c r="N2363" s="320"/>
      <c r="O2363" s="320"/>
    </row>
    <row r="2364">
      <c r="A2364" s="32">
        <f t="shared" si="1"/>
        <v>2363</v>
      </c>
      <c r="B2364" s="9" t="s">
        <v>4425</v>
      </c>
      <c r="C2364" s="78" t="s">
        <v>4539</v>
      </c>
      <c r="D2364" s="668"/>
      <c r="E2364" s="596">
        <f>VLOOKUP($C2364,'HDPE PIPE'!$AD$5:$AI2469,5,0)</f>
        <v>10.12721899</v>
      </c>
      <c r="F2364" s="656" t="s">
        <v>1088</v>
      </c>
      <c r="G2364" s="596">
        <f>VLOOKUP($C2364,'HDPE PIPE'!$AD$5:$AI2469,6,0)</f>
        <v>3848.25</v>
      </c>
      <c r="H2364" s="320"/>
      <c r="I2364" s="320"/>
      <c r="J2364" s="320"/>
      <c r="K2364" s="320"/>
      <c r="L2364" s="320"/>
      <c r="M2364" s="320"/>
      <c r="N2364" s="320"/>
      <c r="O2364" s="320"/>
    </row>
    <row r="2365">
      <c r="A2365" s="32">
        <f t="shared" si="1"/>
        <v>2364</v>
      </c>
      <c r="B2365" s="9" t="s">
        <v>4425</v>
      </c>
      <c r="C2365" s="78" t="s">
        <v>4540</v>
      </c>
      <c r="D2365" s="668"/>
      <c r="E2365" s="596">
        <f>VLOOKUP($C2365,'HDPE PIPE'!$AD$5:$AI2469,5,0)</f>
        <v>12.55347139</v>
      </c>
      <c r="F2365" s="656" t="s">
        <v>1088</v>
      </c>
      <c r="G2365" s="596">
        <f>VLOOKUP($C2365,'HDPE PIPE'!$AD$5:$AI2469,6,0)</f>
        <v>4770.25</v>
      </c>
      <c r="H2365" s="320"/>
      <c r="I2365" s="320"/>
      <c r="J2365" s="320"/>
      <c r="K2365" s="320"/>
      <c r="L2365" s="320"/>
      <c r="M2365" s="320"/>
      <c r="N2365" s="320"/>
      <c r="O2365" s="320"/>
    </row>
    <row r="2366">
      <c r="A2366" s="32">
        <f t="shared" si="1"/>
        <v>2365</v>
      </c>
      <c r="B2366" s="9" t="s">
        <v>4425</v>
      </c>
      <c r="C2366" s="78" t="s">
        <v>4541</v>
      </c>
      <c r="D2366" s="668"/>
      <c r="E2366" s="596">
        <f>VLOOKUP($C2366,'HDPE PIPE'!$AD$5:$AI2469,5,0)</f>
        <v>15.81824567</v>
      </c>
      <c r="F2366" s="656" t="s">
        <v>1088</v>
      </c>
      <c r="G2366" s="596">
        <f>VLOOKUP($C2366,'HDPE PIPE'!$AD$5:$AI2469,6,0)</f>
        <v>6011</v>
      </c>
      <c r="H2366" s="320"/>
      <c r="I2366" s="320"/>
      <c r="J2366" s="320"/>
      <c r="K2366" s="320"/>
      <c r="L2366" s="320"/>
      <c r="M2366" s="320"/>
      <c r="N2366" s="320"/>
      <c r="O2366" s="320"/>
    </row>
    <row r="2367">
      <c r="A2367" s="32">
        <f t="shared" si="1"/>
        <v>2366</v>
      </c>
      <c r="B2367" s="9" t="s">
        <v>4425</v>
      </c>
      <c r="C2367" s="78" t="s">
        <v>4542</v>
      </c>
      <c r="D2367" s="668"/>
      <c r="E2367" s="596">
        <f>VLOOKUP($C2367,'HDPE PIPE'!$AD$5:$AI2469,5,0)</f>
        <v>19.53794887</v>
      </c>
      <c r="F2367" s="656" t="s">
        <v>1088</v>
      </c>
      <c r="G2367" s="596">
        <f>VLOOKUP($C2367,'HDPE PIPE'!$AD$5:$AI2469,6,0)</f>
        <v>7424.5</v>
      </c>
      <c r="H2367" s="320"/>
      <c r="I2367" s="320"/>
      <c r="J2367" s="320"/>
      <c r="K2367" s="320"/>
      <c r="L2367" s="320"/>
      <c r="M2367" s="320"/>
      <c r="N2367" s="320"/>
      <c r="O2367" s="320"/>
    </row>
    <row r="2368">
      <c r="A2368" s="32">
        <f t="shared" si="1"/>
        <v>2367</v>
      </c>
      <c r="B2368" s="9" t="s">
        <v>4425</v>
      </c>
      <c r="C2368" s="78" t="s">
        <v>4543</v>
      </c>
      <c r="D2368" s="668"/>
      <c r="E2368" s="596">
        <f>VLOOKUP($C2368,'HDPE PIPE'!$AD$5:$AI2469,5,0)</f>
        <v>24.57335578</v>
      </c>
      <c r="F2368" s="656" t="s">
        <v>1088</v>
      </c>
      <c r="G2368" s="596">
        <f>VLOOKUP($C2368,'HDPE PIPE'!$AD$5:$AI2469,6,0)</f>
        <v>9338</v>
      </c>
      <c r="H2368" s="320"/>
      <c r="I2368" s="320"/>
      <c r="J2368" s="320"/>
      <c r="K2368" s="320"/>
      <c r="L2368" s="320"/>
      <c r="M2368" s="320"/>
      <c r="N2368" s="320"/>
      <c r="O2368" s="320"/>
    </row>
    <row r="2369">
      <c r="A2369" s="32">
        <f t="shared" si="1"/>
        <v>2368</v>
      </c>
      <c r="B2369" s="9" t="s">
        <v>4425</v>
      </c>
      <c r="C2369" s="78" t="s">
        <v>4544</v>
      </c>
      <c r="D2369" s="668"/>
      <c r="E2369" s="596">
        <f>VLOOKUP($C2369,'HDPE PIPE'!$AD$5:$AI2469,5,0)</f>
        <v>30.98359078</v>
      </c>
      <c r="F2369" s="656" t="s">
        <v>1088</v>
      </c>
      <c r="G2369" s="596">
        <f>VLOOKUP($C2369,'HDPE PIPE'!$AD$5:$AI2469,6,0)</f>
        <v>11773.75</v>
      </c>
      <c r="H2369" s="320"/>
      <c r="I2369" s="320"/>
      <c r="J2369" s="320"/>
      <c r="K2369" s="320"/>
      <c r="L2369" s="320"/>
      <c r="M2369" s="320"/>
      <c r="N2369" s="320"/>
      <c r="O2369" s="320"/>
    </row>
    <row r="2370">
      <c r="A2370" s="32">
        <f t="shared" si="1"/>
        <v>2369</v>
      </c>
      <c r="B2370" s="9" t="s">
        <v>4425</v>
      </c>
      <c r="C2370" s="500" t="s">
        <v>4545</v>
      </c>
      <c r="D2370" s="668"/>
      <c r="E2370" s="596">
        <f>VLOOKUP($C2370,'HDPE PIPE'!$F$5:$K2469,5,0)</f>
        <v>0.549</v>
      </c>
      <c r="F2370" s="656" t="s">
        <v>1088</v>
      </c>
      <c r="G2370" s="596">
        <f>VLOOKUP($C2370,'HDPE PIPE'!$F$5:$K2469,6,0)</f>
        <v>208.75</v>
      </c>
      <c r="H2370" s="320"/>
      <c r="I2370" s="320"/>
      <c r="J2370" s="320"/>
      <c r="K2370" s="320"/>
      <c r="L2370" s="320"/>
      <c r="M2370" s="320"/>
      <c r="N2370" s="320"/>
      <c r="O2370" s="320"/>
    </row>
    <row r="2371">
      <c r="A2371" s="32">
        <f t="shared" si="1"/>
        <v>2370</v>
      </c>
      <c r="B2371" s="9" t="s">
        <v>4425</v>
      </c>
      <c r="C2371" s="500" t="s">
        <v>4546</v>
      </c>
      <c r="D2371" s="668"/>
      <c r="E2371" s="596">
        <f>VLOOKUP($C2371,'HDPE PIPE'!$F$5:$K2469,5,0)</f>
        <v>0.79</v>
      </c>
      <c r="F2371" s="656" t="s">
        <v>1088</v>
      </c>
      <c r="G2371" s="596">
        <f>VLOOKUP($C2371,'HDPE PIPE'!$F$5:$K2469,6,0)</f>
        <v>300.25</v>
      </c>
      <c r="H2371" s="320"/>
      <c r="I2371" s="320"/>
      <c r="J2371" s="320"/>
      <c r="K2371" s="320"/>
      <c r="L2371" s="320"/>
      <c r="M2371" s="320"/>
      <c r="N2371" s="320"/>
      <c r="O2371" s="320"/>
    </row>
    <row r="2372">
      <c r="A2372" s="32">
        <f t="shared" si="1"/>
        <v>2371</v>
      </c>
      <c r="B2372" s="9" t="s">
        <v>4425</v>
      </c>
      <c r="C2372" s="500" t="s">
        <v>4547</v>
      </c>
      <c r="D2372" s="668"/>
      <c r="E2372" s="596">
        <f>VLOOKUP($C2372,'HDPE PIPE'!$F$5:$K2469,5,0)</f>
        <v>1.175</v>
      </c>
      <c r="F2372" s="656" t="s">
        <v>1088</v>
      </c>
      <c r="G2372" s="596">
        <f>VLOOKUP($C2372,'HDPE PIPE'!$F$5:$K2469,6,0)</f>
        <v>446.5</v>
      </c>
      <c r="H2372" s="320"/>
      <c r="I2372" s="320"/>
      <c r="J2372" s="320"/>
      <c r="K2372" s="320"/>
      <c r="L2372" s="320"/>
      <c r="M2372" s="320"/>
      <c r="N2372" s="320"/>
      <c r="O2372" s="320"/>
    </row>
    <row r="2373">
      <c r="A2373" s="32">
        <f t="shared" si="1"/>
        <v>2372</v>
      </c>
      <c r="B2373" s="9" t="s">
        <v>4425</v>
      </c>
      <c r="C2373" s="500" t="s">
        <v>4548</v>
      </c>
      <c r="D2373" s="668"/>
      <c r="E2373" s="596">
        <f>VLOOKUP($C2373,'HDPE PIPE'!$F$5:$K2469,5,0)</f>
        <v>1.482</v>
      </c>
      <c r="F2373" s="656" t="s">
        <v>1088</v>
      </c>
      <c r="G2373" s="596">
        <f>VLOOKUP($C2373,'HDPE PIPE'!$F$5:$K2469,6,0)</f>
        <v>563.25</v>
      </c>
      <c r="H2373" s="320"/>
      <c r="I2373" s="320"/>
      <c r="J2373" s="320"/>
      <c r="K2373" s="320"/>
      <c r="L2373" s="320"/>
      <c r="M2373" s="320"/>
      <c r="N2373" s="320"/>
      <c r="O2373" s="320"/>
    </row>
    <row r="2374">
      <c r="A2374" s="32">
        <f t="shared" si="1"/>
        <v>2373</v>
      </c>
      <c r="B2374" s="9" t="s">
        <v>4425</v>
      </c>
      <c r="C2374" s="500" t="s">
        <v>4549</v>
      </c>
      <c r="D2374" s="668"/>
      <c r="E2374" s="596">
        <f>VLOOKUP($C2374,'HDPE PIPE'!$F$5:$K2469,5,0)</f>
        <v>1.885</v>
      </c>
      <c r="F2374" s="656" t="s">
        <v>1088</v>
      </c>
      <c r="G2374" s="596">
        <f>VLOOKUP($C2374,'HDPE PIPE'!$F$5:$K2469,6,0)</f>
        <v>716.25</v>
      </c>
      <c r="H2374" s="320"/>
      <c r="I2374" s="320"/>
      <c r="J2374" s="320"/>
      <c r="K2374" s="320"/>
      <c r="L2374" s="320"/>
      <c r="M2374" s="320"/>
      <c r="N2374" s="320"/>
      <c r="O2374" s="320"/>
    </row>
    <row r="2375">
      <c r="A2375" s="32">
        <f t="shared" si="1"/>
        <v>2374</v>
      </c>
      <c r="B2375" s="9" t="s">
        <v>4425</v>
      </c>
      <c r="C2375" s="500" t="s">
        <v>4550</v>
      </c>
      <c r="D2375" s="668"/>
      <c r="E2375" s="596">
        <f>VLOOKUP($C2375,'HDPE PIPE'!$F$5:$K2469,5,0)</f>
        <v>2.436</v>
      </c>
      <c r="F2375" s="656" t="s">
        <v>1088</v>
      </c>
      <c r="G2375" s="596">
        <f>VLOOKUP($C2375,'HDPE PIPE'!$F$5:$K2469,6,0)</f>
        <v>925.75</v>
      </c>
      <c r="H2375" s="320"/>
      <c r="I2375" s="320"/>
      <c r="J2375" s="320"/>
      <c r="K2375" s="320"/>
      <c r="L2375" s="320"/>
      <c r="M2375" s="320"/>
      <c r="N2375" s="320"/>
      <c r="O2375" s="320"/>
    </row>
    <row r="2376">
      <c r="A2376" s="32">
        <f t="shared" si="1"/>
        <v>2375</v>
      </c>
      <c r="B2376" s="9" t="s">
        <v>4425</v>
      </c>
      <c r="C2376" s="500" t="s">
        <v>4551</v>
      </c>
      <c r="D2376" s="668"/>
      <c r="E2376" s="596">
        <f>VLOOKUP($C2376,'HDPE PIPE'!$F$5:$K2469,5,0)</f>
        <v>3.083</v>
      </c>
      <c r="F2376" s="656" t="s">
        <v>1088</v>
      </c>
      <c r="G2376" s="596">
        <f>VLOOKUP($C2376,'HDPE PIPE'!$F$5:$K2469,6,0)</f>
        <v>1171.5</v>
      </c>
      <c r="H2376" s="320"/>
      <c r="I2376" s="320"/>
      <c r="J2376" s="320"/>
      <c r="K2376" s="320"/>
      <c r="L2376" s="320"/>
      <c r="M2376" s="320"/>
      <c r="N2376" s="320"/>
      <c r="O2376" s="320"/>
    </row>
    <row r="2377">
      <c r="A2377" s="32">
        <f t="shared" si="1"/>
        <v>2376</v>
      </c>
      <c r="B2377" s="9" t="s">
        <v>4425</v>
      </c>
      <c r="C2377" s="500" t="s">
        <v>4552</v>
      </c>
      <c r="D2377" s="668"/>
      <c r="E2377" s="596">
        <f>VLOOKUP($C2377,'HDPE PIPE'!$F$5:$K2469,5,0)</f>
        <v>3.806</v>
      </c>
      <c r="F2377" s="656" t="s">
        <v>1088</v>
      </c>
      <c r="G2377" s="596">
        <f>VLOOKUP($C2377,'HDPE PIPE'!$F$5:$K2469,6,0)</f>
        <v>1446.25</v>
      </c>
      <c r="H2377" s="320"/>
      <c r="I2377" s="320"/>
      <c r="J2377" s="320"/>
      <c r="K2377" s="320"/>
      <c r="L2377" s="320"/>
      <c r="M2377" s="320"/>
      <c r="N2377" s="320"/>
      <c r="O2377" s="320"/>
    </row>
    <row r="2378">
      <c r="A2378" s="32">
        <f t="shared" si="1"/>
        <v>2377</v>
      </c>
      <c r="B2378" s="9" t="s">
        <v>4425</v>
      </c>
      <c r="C2378" s="500" t="s">
        <v>4553</v>
      </c>
      <c r="D2378" s="668"/>
      <c r="E2378" s="596">
        <f>VLOOKUP($C2378,'HDPE PIPE'!$F$5:$K2469,5,0)</f>
        <v>4.809</v>
      </c>
      <c r="F2378" s="656" t="s">
        <v>1088</v>
      </c>
      <c r="G2378" s="596">
        <f>VLOOKUP($C2378,'HDPE PIPE'!$F$5:$K2469,6,0)</f>
        <v>1827.5</v>
      </c>
      <c r="H2378" s="320"/>
      <c r="I2378" s="320"/>
      <c r="J2378" s="320"/>
      <c r="K2378" s="320"/>
      <c r="L2378" s="320"/>
      <c r="M2378" s="320"/>
      <c r="N2378" s="320"/>
      <c r="O2378" s="320"/>
    </row>
    <row r="2379">
      <c r="A2379" s="32">
        <f t="shared" si="1"/>
        <v>2378</v>
      </c>
      <c r="B2379" s="9" t="s">
        <v>4425</v>
      </c>
      <c r="C2379" s="500" t="s">
        <v>4554</v>
      </c>
      <c r="D2379" s="668"/>
      <c r="E2379" s="596">
        <f>VLOOKUP($C2379,'HDPE PIPE'!$F$5:$K2469,5,0)</f>
        <v>5.892</v>
      </c>
      <c r="F2379" s="656" t="s">
        <v>1088</v>
      </c>
      <c r="G2379" s="596">
        <f>VLOOKUP($C2379,'HDPE PIPE'!$F$5:$K2469,6,0)</f>
        <v>2239</v>
      </c>
      <c r="H2379" s="320"/>
      <c r="I2379" s="320"/>
      <c r="J2379" s="320"/>
      <c r="K2379" s="320"/>
      <c r="L2379" s="320"/>
      <c r="M2379" s="320"/>
      <c r="N2379" s="320"/>
      <c r="O2379" s="320"/>
    </row>
    <row r="2380">
      <c r="A2380" s="32">
        <f t="shared" si="1"/>
        <v>2379</v>
      </c>
      <c r="B2380" s="9" t="s">
        <v>4425</v>
      </c>
      <c r="C2380" s="500" t="s">
        <v>4555</v>
      </c>
      <c r="D2380" s="668"/>
      <c r="E2380" s="596">
        <f>VLOOKUP($C2380,'HDPE PIPE'!$F$5:$K2469,5,0)</f>
        <v>7.38</v>
      </c>
      <c r="F2380" s="656" t="s">
        <v>1088</v>
      </c>
      <c r="G2380" s="596">
        <f>VLOOKUP($C2380,'HDPE PIPE'!$F$5:$K2469,6,0)</f>
        <v>2804.5</v>
      </c>
      <c r="H2380" s="320"/>
      <c r="I2380" s="320"/>
      <c r="J2380" s="320"/>
      <c r="K2380" s="320"/>
      <c r="L2380" s="320"/>
      <c r="M2380" s="320"/>
      <c r="N2380" s="320"/>
      <c r="O2380" s="320"/>
    </row>
    <row r="2381">
      <c r="A2381" s="32">
        <f t="shared" si="1"/>
        <v>2380</v>
      </c>
      <c r="B2381" s="9" t="s">
        <v>4425</v>
      </c>
      <c r="C2381" s="500" t="s">
        <v>4556</v>
      </c>
      <c r="D2381" s="668"/>
      <c r="E2381" s="596">
        <f>VLOOKUP($C2381,'HDPE PIPE'!$F$5:$K2469,5,0)</f>
        <v>9.362</v>
      </c>
      <c r="F2381" s="656" t="s">
        <v>1088</v>
      </c>
      <c r="G2381" s="596">
        <f>VLOOKUP($C2381,'HDPE PIPE'!$F$5:$K2469,6,0)</f>
        <v>3557.5</v>
      </c>
      <c r="H2381" s="320"/>
      <c r="I2381" s="320"/>
      <c r="J2381" s="320"/>
      <c r="K2381" s="320"/>
      <c r="L2381" s="320"/>
      <c r="M2381" s="320"/>
      <c r="N2381" s="320"/>
      <c r="O2381" s="320"/>
    </row>
    <row r="2382">
      <c r="A2382" s="32">
        <f t="shared" si="1"/>
        <v>2381</v>
      </c>
      <c r="B2382" s="9" t="s">
        <v>4425</v>
      </c>
      <c r="C2382" s="500" t="s">
        <v>4557</v>
      </c>
      <c r="D2382" s="668"/>
      <c r="E2382" s="596">
        <f>VLOOKUP($C2382,'HDPE PIPE'!$L$5:$Q2469,5,0)</f>
        <v>0.247</v>
      </c>
      <c r="F2382" s="656" t="s">
        <v>1088</v>
      </c>
      <c r="G2382" s="596">
        <f>VLOOKUP($C2382,'HDPE PIPE'!$L$5:$Q2469,6,0)</f>
        <v>93.75</v>
      </c>
      <c r="H2382" s="320"/>
      <c r="I2382" s="320"/>
      <c r="J2382" s="320"/>
      <c r="K2382" s="320"/>
      <c r="L2382" s="320"/>
      <c r="M2382" s="320"/>
      <c r="N2382" s="320"/>
      <c r="O2382" s="320"/>
    </row>
    <row r="2383">
      <c r="A2383" s="32">
        <f t="shared" si="1"/>
        <v>2382</v>
      </c>
      <c r="B2383" s="9" t="s">
        <v>4425</v>
      </c>
      <c r="C2383" s="500" t="s">
        <v>4558</v>
      </c>
      <c r="D2383" s="668"/>
      <c r="E2383" s="596">
        <f>VLOOKUP($C2383,'HDPE PIPE'!$L$5:$Q2469,5,0)</f>
        <v>0.373</v>
      </c>
      <c r="F2383" s="656" t="s">
        <v>1088</v>
      </c>
      <c r="G2383" s="596">
        <f>VLOOKUP($C2383,'HDPE PIPE'!$L$5:$Q2469,6,0)</f>
        <v>141.75</v>
      </c>
      <c r="H2383" s="320"/>
      <c r="I2383" s="320"/>
      <c r="J2383" s="320"/>
      <c r="K2383" s="320"/>
      <c r="L2383" s="320"/>
      <c r="M2383" s="320"/>
      <c r="N2383" s="320"/>
      <c r="O2383" s="320"/>
    </row>
    <row r="2384">
      <c r="A2384" s="32">
        <f t="shared" si="1"/>
        <v>2383</v>
      </c>
      <c r="B2384" s="9" t="s">
        <v>4425</v>
      </c>
      <c r="C2384" s="500" t="s">
        <v>4559</v>
      </c>
      <c r="D2384" s="668"/>
      <c r="E2384" s="596">
        <f>VLOOKUP($C2384,'HDPE PIPE'!$L$5:$Q2469,5,0)</f>
        <v>0.579</v>
      </c>
      <c r="F2384" s="656" t="s">
        <v>1088</v>
      </c>
      <c r="G2384" s="596">
        <f>VLOOKUP($C2384,'HDPE PIPE'!$L$5:$Q2469,6,0)</f>
        <v>220</v>
      </c>
      <c r="H2384" s="320"/>
      <c r="I2384" s="320"/>
      <c r="J2384" s="320"/>
      <c r="K2384" s="320"/>
      <c r="L2384" s="320"/>
      <c r="M2384" s="320"/>
      <c r="N2384" s="320"/>
      <c r="O2384" s="320"/>
    </row>
    <row r="2385">
      <c r="A2385" s="32">
        <f t="shared" si="1"/>
        <v>2384</v>
      </c>
      <c r="B2385" s="9" t="s">
        <v>4425</v>
      </c>
      <c r="C2385" s="500" t="s">
        <v>4560</v>
      </c>
      <c r="D2385" s="668"/>
      <c r="E2385" s="596">
        <f>VLOOKUP($C2385,'HDPE PIPE'!$L$5:$Q2469,5,0)</f>
        <v>0.829</v>
      </c>
      <c r="F2385" s="656" t="s">
        <v>1088</v>
      </c>
      <c r="G2385" s="596">
        <f>VLOOKUP($C2385,'HDPE PIPE'!$L$5:$Q2469,6,0)</f>
        <v>315</v>
      </c>
      <c r="H2385" s="320"/>
      <c r="I2385" s="320"/>
      <c r="J2385" s="320"/>
      <c r="K2385" s="320"/>
      <c r="L2385" s="320"/>
      <c r="M2385" s="320"/>
      <c r="N2385" s="320"/>
      <c r="O2385" s="320"/>
    </row>
    <row r="2386">
      <c r="A2386" s="32">
        <f t="shared" si="1"/>
        <v>2385</v>
      </c>
      <c r="B2386" s="9" t="s">
        <v>4425</v>
      </c>
      <c r="C2386" s="500" t="s">
        <v>4561</v>
      </c>
      <c r="D2386" s="668"/>
      <c r="E2386" s="596">
        <f>VLOOKUP($C2386,'HDPE PIPE'!$L$5:$Q2469,5,0)</f>
        <v>1.189</v>
      </c>
      <c r="F2386" s="656" t="s">
        <v>1088</v>
      </c>
      <c r="G2386" s="596">
        <f>VLOOKUP($C2386,'HDPE PIPE'!$L$5:$Q2469,6,0)</f>
        <v>451.75</v>
      </c>
      <c r="H2386" s="320"/>
      <c r="I2386" s="320"/>
      <c r="J2386" s="320"/>
      <c r="K2386" s="320"/>
      <c r="L2386" s="320"/>
      <c r="M2386" s="320"/>
      <c r="N2386" s="320"/>
      <c r="O2386" s="320"/>
    </row>
    <row r="2387">
      <c r="A2387" s="32">
        <f t="shared" si="1"/>
        <v>2386</v>
      </c>
      <c r="B2387" s="9" t="s">
        <v>4425</v>
      </c>
      <c r="C2387" s="500" t="s">
        <v>4562</v>
      </c>
      <c r="D2387" s="668"/>
      <c r="E2387" s="596">
        <f>VLOOKUP($C2387,'HDPE PIPE'!$L$5:$Q2469,5,0)</f>
        <v>1.784</v>
      </c>
      <c r="F2387" s="656" t="s">
        <v>1088</v>
      </c>
      <c r="G2387" s="596">
        <f>VLOOKUP($C2387,'HDPE PIPE'!$L$5:$Q2469,6,0)</f>
        <v>678</v>
      </c>
      <c r="H2387" s="320"/>
      <c r="I2387" s="320"/>
      <c r="J2387" s="320"/>
      <c r="K2387" s="320"/>
      <c r="L2387" s="320"/>
      <c r="M2387" s="320"/>
      <c r="N2387" s="320"/>
      <c r="O2387" s="320"/>
    </row>
    <row r="2388">
      <c r="A2388" s="32">
        <f t="shared" si="1"/>
        <v>2387</v>
      </c>
      <c r="B2388" s="9" t="s">
        <v>4425</v>
      </c>
      <c r="C2388" s="500" t="s">
        <v>4563</v>
      </c>
      <c r="D2388" s="668"/>
      <c r="E2388" s="596">
        <f>VLOOKUP($C2388,'HDPE PIPE'!$L$5:$Q2469,5,0)</f>
        <v>2.28</v>
      </c>
      <c r="F2388" s="656" t="s">
        <v>1088</v>
      </c>
      <c r="G2388" s="596">
        <f>VLOOKUP($C2388,'HDPE PIPE'!$L$5:$Q2469,6,0)</f>
        <v>866.5</v>
      </c>
      <c r="H2388" s="320"/>
      <c r="I2388" s="320"/>
      <c r="J2388" s="320"/>
      <c r="K2388" s="320"/>
      <c r="L2388" s="320"/>
      <c r="M2388" s="320"/>
      <c r="N2388" s="320"/>
      <c r="O2388" s="320"/>
    </row>
    <row r="2389">
      <c r="A2389" s="32">
        <f t="shared" si="1"/>
        <v>2388</v>
      </c>
      <c r="B2389" s="9" t="s">
        <v>4425</v>
      </c>
      <c r="C2389" s="500" t="s">
        <v>4564</v>
      </c>
      <c r="D2389" s="668"/>
      <c r="E2389" s="596">
        <f>VLOOKUP($C2389,'HDPE PIPE'!$L$5:$Q2469,5,0)</f>
        <v>2.856</v>
      </c>
      <c r="F2389" s="656" t="s">
        <v>1088</v>
      </c>
      <c r="G2389" s="596">
        <f>VLOOKUP($C2389,'HDPE PIPE'!$L$5:$Q2469,6,0)</f>
        <v>1085.25</v>
      </c>
      <c r="H2389" s="320"/>
      <c r="I2389" s="320"/>
      <c r="J2389" s="320"/>
      <c r="K2389" s="320"/>
      <c r="L2389" s="320"/>
      <c r="M2389" s="320"/>
      <c r="N2389" s="320"/>
      <c r="O2389" s="320"/>
    </row>
    <row r="2390">
      <c r="A2390" s="32">
        <f t="shared" si="1"/>
        <v>2389</v>
      </c>
      <c r="B2390" s="9" t="s">
        <v>4425</v>
      </c>
      <c r="C2390" s="500" t="s">
        <v>4565</v>
      </c>
      <c r="D2390" s="668"/>
      <c r="E2390" s="596">
        <f>VLOOKUP($C2390,'HDPE PIPE'!$L$5:$Q2469,5,0)</f>
        <v>3.745</v>
      </c>
      <c r="F2390" s="656" t="s">
        <v>1088</v>
      </c>
      <c r="G2390" s="596">
        <f>VLOOKUP($C2390,'HDPE PIPE'!$L$5:$Q2469,6,0)</f>
        <v>1423.25</v>
      </c>
      <c r="H2390" s="320"/>
      <c r="I2390" s="320"/>
      <c r="J2390" s="320"/>
      <c r="K2390" s="320"/>
      <c r="L2390" s="320"/>
      <c r="M2390" s="320"/>
      <c r="N2390" s="320"/>
      <c r="O2390" s="320"/>
    </row>
    <row r="2391">
      <c r="A2391" s="32">
        <f t="shared" si="1"/>
        <v>2390</v>
      </c>
      <c r="B2391" s="9" t="s">
        <v>4425</v>
      </c>
      <c r="C2391" s="500" t="s">
        <v>4566</v>
      </c>
      <c r="D2391" s="668"/>
      <c r="E2391" s="596">
        <f>VLOOKUP($C2391,'HDPE PIPE'!$L$5:$Q2469,5,0)</f>
        <v>4.706</v>
      </c>
      <c r="F2391" s="656" t="s">
        <v>1088</v>
      </c>
      <c r="G2391" s="596">
        <f>VLOOKUP($C2391,'HDPE PIPE'!$L$5:$Q2469,6,0)</f>
        <v>1788.25</v>
      </c>
      <c r="H2391" s="320"/>
      <c r="I2391" s="320"/>
      <c r="J2391" s="320"/>
      <c r="K2391" s="320"/>
      <c r="L2391" s="320"/>
      <c r="M2391" s="320"/>
      <c r="N2391" s="320"/>
      <c r="O2391" s="320"/>
    </row>
    <row r="2392">
      <c r="A2392" s="32">
        <f t="shared" si="1"/>
        <v>2391</v>
      </c>
      <c r="B2392" s="9" t="s">
        <v>4425</v>
      </c>
      <c r="C2392" s="500" t="s">
        <v>4567</v>
      </c>
      <c r="D2392" s="668"/>
      <c r="E2392" s="596">
        <f>VLOOKUP($C2392,'HDPE PIPE'!$L$5:$Q2469,5,0)</f>
        <v>5.831</v>
      </c>
      <c r="F2392" s="656" t="s">
        <v>1088</v>
      </c>
      <c r="G2392" s="596">
        <f>VLOOKUP($C2392,'HDPE PIPE'!$L$5:$Q2469,6,0)</f>
        <v>2215.75</v>
      </c>
      <c r="H2392" s="320"/>
      <c r="I2392" s="320"/>
      <c r="J2392" s="320"/>
      <c r="K2392" s="320"/>
      <c r="L2392" s="320"/>
      <c r="M2392" s="320"/>
      <c r="N2392" s="320"/>
      <c r="O2392" s="320"/>
    </row>
    <row r="2393">
      <c r="A2393" s="32">
        <f t="shared" si="1"/>
        <v>2392</v>
      </c>
      <c r="B2393" s="9" t="s">
        <v>4425</v>
      </c>
      <c r="C2393" s="500" t="s">
        <v>4568</v>
      </c>
      <c r="D2393" s="668"/>
      <c r="E2393" s="596">
        <f>VLOOKUP($C2393,'HDPE PIPE'!$L$5:$Q2469,5,0)</f>
        <v>7.369</v>
      </c>
      <c r="F2393" s="656" t="s">
        <v>1088</v>
      </c>
      <c r="G2393" s="596">
        <f>VLOOKUP($C2393,'HDPE PIPE'!$L$5:$Q2469,6,0)</f>
        <v>2800.25</v>
      </c>
      <c r="H2393" s="320"/>
      <c r="I2393" s="320"/>
      <c r="J2393" s="320"/>
      <c r="K2393" s="320"/>
      <c r="L2393" s="320"/>
      <c r="M2393" s="320"/>
      <c r="N2393" s="320"/>
      <c r="O2393" s="320"/>
    </row>
    <row r="2394">
      <c r="A2394" s="32">
        <f t="shared" si="1"/>
        <v>2393</v>
      </c>
      <c r="B2394" s="9" t="s">
        <v>4425</v>
      </c>
      <c r="C2394" s="500" t="s">
        <v>4569</v>
      </c>
      <c r="D2394" s="668"/>
      <c r="E2394" s="596">
        <f>VLOOKUP($C2394,'HDPE PIPE'!$L$5:$Q2469,5,0)</f>
        <v>9.083</v>
      </c>
      <c r="F2394" s="656" t="s">
        <v>1088</v>
      </c>
      <c r="G2394" s="596">
        <f>VLOOKUP($C2394,'HDPE PIPE'!$L$5:$Q2469,6,0)</f>
        <v>3451.5</v>
      </c>
      <c r="H2394" s="320"/>
      <c r="I2394" s="320"/>
      <c r="J2394" s="320"/>
      <c r="K2394" s="320"/>
      <c r="L2394" s="320"/>
      <c r="M2394" s="320"/>
      <c r="N2394" s="320"/>
      <c r="O2394" s="320"/>
    </row>
    <row r="2395">
      <c r="A2395" s="32">
        <f t="shared" si="1"/>
        <v>2394</v>
      </c>
      <c r="B2395" s="9" t="s">
        <v>4425</v>
      </c>
      <c r="C2395" s="500" t="s">
        <v>4570</v>
      </c>
      <c r="D2395" s="668"/>
      <c r="E2395" s="596">
        <f>VLOOKUP($C2395,'HDPE PIPE'!$L$5:$Q2469,5,0)</f>
        <v>11.383</v>
      </c>
      <c r="F2395" s="656" t="s">
        <v>1088</v>
      </c>
      <c r="G2395" s="596">
        <f>VLOOKUP($C2395,'HDPE PIPE'!$L$5:$Q2469,6,0)</f>
        <v>4325.5</v>
      </c>
      <c r="H2395" s="320"/>
      <c r="I2395" s="320"/>
      <c r="J2395" s="320"/>
      <c r="K2395" s="320"/>
      <c r="L2395" s="320"/>
      <c r="M2395" s="320"/>
      <c r="N2395" s="320"/>
      <c r="O2395" s="320"/>
    </row>
    <row r="2396">
      <c r="A2396" s="32">
        <f t="shared" si="1"/>
        <v>2395</v>
      </c>
      <c r="B2396" s="9" t="s">
        <v>4425</v>
      </c>
      <c r="C2396" s="500" t="s">
        <v>4571</v>
      </c>
      <c r="D2396" s="668"/>
      <c r="E2396" s="596">
        <f>VLOOKUP($C2396,'HDPE PIPE'!$L$5:$Q2469,5,0)</f>
        <v>14.304</v>
      </c>
      <c r="F2396" s="656" t="s">
        <v>1088</v>
      </c>
      <c r="G2396" s="596">
        <f>VLOOKUP($C2396,'HDPE PIPE'!$L$5:$Q2469,6,0)</f>
        <v>5435.5</v>
      </c>
      <c r="H2396" s="320"/>
      <c r="I2396" s="320"/>
      <c r="J2396" s="320"/>
      <c r="K2396" s="320"/>
      <c r="L2396" s="320"/>
      <c r="M2396" s="320"/>
      <c r="N2396" s="320"/>
      <c r="O2396" s="320"/>
    </row>
    <row r="2397">
      <c r="A2397" s="32">
        <f t="shared" si="1"/>
        <v>2396</v>
      </c>
      <c r="B2397" s="9" t="s">
        <v>4425</v>
      </c>
      <c r="C2397" s="78" t="s">
        <v>4572</v>
      </c>
      <c r="D2397" s="668"/>
      <c r="E2397" s="596">
        <f>VLOOKUP($C2397,'HDPE PIPE'!$R$5:$W2469,5,0)</f>
        <v>0.195</v>
      </c>
      <c r="F2397" s="656" t="s">
        <v>1088</v>
      </c>
      <c r="G2397" s="596">
        <f>VLOOKUP($C2397,'HDPE PIPE'!$R$5:$W2469,6,0)</f>
        <v>74.25</v>
      </c>
      <c r="H2397" s="320"/>
      <c r="I2397" s="320"/>
      <c r="J2397" s="320"/>
      <c r="K2397" s="320"/>
      <c r="L2397" s="320"/>
      <c r="M2397" s="320"/>
      <c r="N2397" s="320"/>
      <c r="O2397" s="320"/>
    </row>
    <row r="2398">
      <c r="A2398" s="32">
        <f t="shared" si="1"/>
        <v>2397</v>
      </c>
      <c r="B2398" s="9" t="s">
        <v>4425</v>
      </c>
      <c r="C2398" s="78" t="s">
        <v>4573</v>
      </c>
      <c r="D2398" s="668"/>
      <c r="E2398" s="596">
        <f>VLOOKUP($C2398,'HDPE PIPE'!$R$5:$W2469,5,0)</f>
        <v>0.295</v>
      </c>
      <c r="F2398" s="656" t="s">
        <v>1088</v>
      </c>
      <c r="G2398" s="596">
        <f>VLOOKUP($C2398,'HDPE PIPE'!$R$5:$W2469,6,0)</f>
        <v>112.25</v>
      </c>
      <c r="H2398" s="320"/>
      <c r="I2398" s="320"/>
      <c r="J2398" s="320"/>
      <c r="K2398" s="320"/>
      <c r="L2398" s="320"/>
      <c r="M2398" s="320"/>
      <c r="N2398" s="320"/>
      <c r="O2398" s="320"/>
    </row>
    <row r="2399">
      <c r="A2399" s="32">
        <f t="shared" si="1"/>
        <v>2398</v>
      </c>
      <c r="B2399" s="9" t="s">
        <v>4425</v>
      </c>
      <c r="C2399" s="78" t="s">
        <v>4574</v>
      </c>
      <c r="D2399" s="668"/>
      <c r="E2399" s="596">
        <f>VLOOKUP($C2399,'HDPE PIPE'!$R$5:$W2469,5,0)</f>
        <v>0.454</v>
      </c>
      <c r="F2399" s="656" t="s">
        <v>1088</v>
      </c>
      <c r="G2399" s="596">
        <f>VLOOKUP($C2399,'HDPE PIPE'!$R$5:$W2469,6,0)</f>
        <v>172.5</v>
      </c>
      <c r="H2399" s="320"/>
      <c r="I2399" s="320"/>
      <c r="J2399" s="320"/>
      <c r="K2399" s="320"/>
      <c r="L2399" s="320"/>
      <c r="M2399" s="320"/>
      <c r="N2399" s="320"/>
      <c r="O2399" s="320"/>
    </row>
    <row r="2400">
      <c r="A2400" s="32">
        <f t="shared" si="1"/>
        <v>2399</v>
      </c>
      <c r="B2400" s="9" t="s">
        <v>4425</v>
      </c>
      <c r="C2400" s="78" t="s">
        <v>4575</v>
      </c>
      <c r="D2400" s="668"/>
      <c r="E2400" s="596">
        <f>VLOOKUP($C2400,'HDPE PIPE'!$R$5:$W2469,5,0)</f>
        <v>0.723</v>
      </c>
      <c r="F2400" s="656" t="s">
        <v>1088</v>
      </c>
      <c r="G2400" s="596">
        <f>VLOOKUP($C2400,'HDPE PIPE'!$R$5:$W2469,6,0)</f>
        <v>274.75</v>
      </c>
      <c r="H2400" s="320"/>
      <c r="I2400" s="320"/>
      <c r="J2400" s="320"/>
      <c r="K2400" s="320"/>
      <c r="L2400" s="320"/>
      <c r="M2400" s="320"/>
      <c r="N2400" s="320"/>
      <c r="O2400" s="320"/>
    </row>
    <row r="2401">
      <c r="A2401" s="32">
        <f t="shared" si="1"/>
        <v>2400</v>
      </c>
      <c r="B2401" s="9" t="s">
        <v>4425</v>
      </c>
      <c r="C2401" s="78" t="s">
        <v>4576</v>
      </c>
      <c r="D2401" s="668"/>
      <c r="E2401" s="596">
        <f>VLOOKUP($C2401,'HDPE PIPE'!$R$5:$W2469,5,0)</f>
        <v>1.02</v>
      </c>
      <c r="F2401" s="656" t="s">
        <v>1088</v>
      </c>
      <c r="G2401" s="596">
        <f>VLOOKUP($C2401,'HDPE PIPE'!$R$5:$W2469,6,0)</f>
        <v>387.5</v>
      </c>
      <c r="H2401" s="320"/>
      <c r="I2401" s="320"/>
      <c r="J2401" s="320"/>
      <c r="K2401" s="320"/>
      <c r="L2401" s="320"/>
      <c r="M2401" s="320"/>
      <c r="N2401" s="320"/>
      <c r="O2401" s="320"/>
    </row>
    <row r="2402">
      <c r="A2402" s="32">
        <f t="shared" si="1"/>
        <v>2401</v>
      </c>
      <c r="B2402" s="9" t="s">
        <v>4425</v>
      </c>
      <c r="C2402" s="78" t="s">
        <v>4577</v>
      </c>
      <c r="D2402" s="668"/>
      <c r="E2402" s="596">
        <f>VLOOKUP($C2402,'HDPE PIPE'!$R$5:$W2469,5,0)</f>
        <v>1.443</v>
      </c>
      <c r="F2402" s="656" t="s">
        <v>1088</v>
      </c>
      <c r="G2402" s="596">
        <f>VLOOKUP($C2402,'HDPE PIPE'!$R$5:$W2469,6,0)</f>
        <v>548.25</v>
      </c>
      <c r="H2402" s="320"/>
      <c r="I2402" s="320"/>
      <c r="J2402" s="320"/>
      <c r="K2402" s="320"/>
      <c r="L2402" s="320"/>
      <c r="M2402" s="320"/>
      <c r="N2402" s="320"/>
      <c r="O2402" s="320"/>
    </row>
    <row r="2403">
      <c r="A2403" s="32">
        <f t="shared" si="1"/>
        <v>2402</v>
      </c>
      <c r="B2403" s="9" t="s">
        <v>4425</v>
      </c>
      <c r="C2403" s="78" t="s">
        <v>4578</v>
      </c>
      <c r="D2403" s="668"/>
      <c r="E2403" s="596">
        <f>VLOOKUP($C2403,'HDPE PIPE'!$R$5:$W2469,5,0)</f>
        <v>2.153</v>
      </c>
      <c r="F2403" s="656" t="s">
        <v>1088</v>
      </c>
      <c r="G2403" s="596">
        <f>VLOOKUP($C2403,'HDPE PIPE'!$R$5:$W2469,6,0)</f>
        <v>818.25</v>
      </c>
      <c r="H2403" s="320"/>
      <c r="I2403" s="320"/>
      <c r="J2403" s="320"/>
      <c r="K2403" s="320"/>
      <c r="L2403" s="320"/>
      <c r="M2403" s="320"/>
      <c r="N2403" s="320"/>
      <c r="O2403" s="320"/>
    </row>
    <row r="2404">
      <c r="A2404" s="32">
        <f t="shared" si="1"/>
        <v>2403</v>
      </c>
      <c r="B2404" s="9" t="s">
        <v>4425</v>
      </c>
      <c r="C2404" s="78" t="s">
        <v>4579</v>
      </c>
      <c r="D2404" s="668"/>
      <c r="E2404" s="596">
        <f>VLOOKUP($C2404,'HDPE PIPE'!$R$5:$W2469,5,0)</f>
        <v>2.783</v>
      </c>
      <c r="F2404" s="656" t="s">
        <v>1088</v>
      </c>
      <c r="G2404" s="596">
        <f>VLOOKUP($C2404,'HDPE PIPE'!$R$5:$W2469,6,0)</f>
        <v>1057.5</v>
      </c>
      <c r="H2404" s="320"/>
      <c r="I2404" s="320"/>
      <c r="J2404" s="320"/>
      <c r="K2404" s="320"/>
      <c r="L2404" s="320"/>
      <c r="M2404" s="320"/>
      <c r="N2404" s="320"/>
      <c r="O2404" s="320"/>
    </row>
    <row r="2405">
      <c r="A2405" s="32">
        <f t="shared" si="1"/>
        <v>2404</v>
      </c>
      <c r="B2405" s="9" t="s">
        <v>4425</v>
      </c>
      <c r="C2405" s="78" t="s">
        <v>4580</v>
      </c>
      <c r="D2405" s="668"/>
      <c r="E2405" s="596">
        <f>VLOOKUP($C2405,'HDPE PIPE'!$R$5:$W2469,5,0)</f>
        <v>3.494</v>
      </c>
      <c r="F2405" s="656" t="s">
        <v>1088</v>
      </c>
      <c r="G2405" s="596">
        <f>VLOOKUP($C2405,'HDPE PIPE'!$R$5:$W2469,6,0)</f>
        <v>1327.75</v>
      </c>
      <c r="H2405" s="320"/>
      <c r="I2405" s="320"/>
      <c r="J2405" s="320"/>
      <c r="K2405" s="320"/>
      <c r="L2405" s="320"/>
      <c r="M2405" s="320"/>
      <c r="N2405" s="320"/>
      <c r="O2405" s="320"/>
    </row>
    <row r="2406">
      <c r="A2406" s="32">
        <f t="shared" si="1"/>
        <v>2405</v>
      </c>
      <c r="B2406" s="9" t="s">
        <v>4425</v>
      </c>
      <c r="C2406" s="78" t="s">
        <v>4581</v>
      </c>
      <c r="D2406" s="668"/>
      <c r="E2406" s="596">
        <f>VLOOKUP($C2406,'HDPE PIPE'!$R$5:$W2469,5,0)</f>
        <v>4.561</v>
      </c>
      <c r="F2406" s="656" t="s">
        <v>1088</v>
      </c>
      <c r="G2406" s="596">
        <f>VLOOKUP($C2406,'HDPE PIPE'!$R$5:$W2469,6,0)</f>
        <v>1733.25</v>
      </c>
      <c r="H2406" s="320"/>
      <c r="I2406" s="320"/>
      <c r="J2406" s="320"/>
      <c r="K2406" s="320"/>
      <c r="L2406" s="320"/>
      <c r="M2406" s="320"/>
      <c r="N2406" s="320"/>
      <c r="O2406" s="320"/>
    </row>
    <row r="2407">
      <c r="A2407" s="32">
        <f t="shared" si="1"/>
        <v>2406</v>
      </c>
      <c r="B2407" s="9" t="s">
        <v>4425</v>
      </c>
      <c r="C2407" s="78" t="s">
        <v>4582</v>
      </c>
      <c r="D2407" s="668"/>
      <c r="E2407" s="596">
        <f>VLOOKUP($C2407,'HDPE PIPE'!$R$5:$W2469,5,0)</f>
        <v>5.721</v>
      </c>
      <c r="F2407" s="656" t="s">
        <v>1088</v>
      </c>
      <c r="G2407" s="596">
        <f>VLOOKUP($C2407,'HDPE PIPE'!$R$5:$W2469,6,0)</f>
        <v>2174</v>
      </c>
      <c r="H2407" s="320"/>
      <c r="I2407" s="320"/>
      <c r="J2407" s="320"/>
      <c r="K2407" s="320"/>
      <c r="L2407" s="320"/>
      <c r="M2407" s="320"/>
      <c r="N2407" s="320"/>
      <c r="O2407" s="320"/>
    </row>
    <row r="2408">
      <c r="A2408" s="32">
        <f t="shared" si="1"/>
        <v>2407</v>
      </c>
      <c r="B2408" s="9" t="s">
        <v>4425</v>
      </c>
      <c r="C2408" s="78" t="s">
        <v>4583</v>
      </c>
      <c r="D2408" s="668"/>
      <c r="E2408" s="596">
        <f>VLOOKUP($C2408,'HDPE PIPE'!$R$5:$W2469,5,0)</f>
        <v>7.066</v>
      </c>
      <c r="F2408" s="656" t="s">
        <v>1088</v>
      </c>
      <c r="G2408" s="596">
        <f>VLOOKUP($C2408,'HDPE PIPE'!$R$5:$W2469,6,0)</f>
        <v>2685</v>
      </c>
      <c r="H2408" s="320"/>
      <c r="I2408" s="320"/>
      <c r="J2408" s="320"/>
      <c r="K2408" s="320"/>
      <c r="L2408" s="320"/>
      <c r="M2408" s="320"/>
      <c r="N2408" s="320"/>
      <c r="O2408" s="320"/>
    </row>
    <row r="2409">
      <c r="A2409" s="32">
        <f t="shared" si="1"/>
        <v>2408</v>
      </c>
      <c r="B2409" s="9" t="s">
        <v>4425</v>
      </c>
      <c r="C2409" s="78" t="s">
        <v>4584</v>
      </c>
      <c r="D2409" s="668"/>
      <c r="E2409" s="596">
        <f>VLOOKUP($C2409,'HDPE PIPE'!$R$5:$W2469,5,0)</f>
        <v>8.97</v>
      </c>
      <c r="F2409" s="656" t="s">
        <v>1088</v>
      </c>
      <c r="G2409" s="596">
        <f>VLOOKUP($C2409,'HDPE PIPE'!$R$5:$W2469,6,0)</f>
        <v>3408.5</v>
      </c>
      <c r="H2409" s="320"/>
      <c r="I2409" s="320"/>
      <c r="J2409" s="320"/>
      <c r="K2409" s="320"/>
      <c r="L2409" s="320"/>
      <c r="M2409" s="320"/>
      <c r="N2409" s="320"/>
      <c r="O2409" s="320"/>
    </row>
    <row r="2410">
      <c r="A2410" s="32">
        <f t="shared" si="1"/>
        <v>2409</v>
      </c>
      <c r="B2410" s="9" t="s">
        <v>4425</v>
      </c>
      <c r="C2410" s="78" t="s">
        <v>4585</v>
      </c>
      <c r="D2410" s="668"/>
      <c r="E2410" s="596">
        <f>VLOOKUP($C2410,'HDPE PIPE'!$R$5:$W2469,5,0)</f>
        <v>11.063</v>
      </c>
      <c r="F2410" s="656" t="s">
        <v>1088</v>
      </c>
      <c r="G2410" s="596">
        <f>VLOOKUP($C2410,'HDPE PIPE'!$R$5:$W2469,6,0)</f>
        <v>4204</v>
      </c>
      <c r="H2410" s="320"/>
      <c r="I2410" s="320"/>
      <c r="J2410" s="320"/>
      <c r="K2410" s="320"/>
      <c r="L2410" s="320"/>
      <c r="M2410" s="320"/>
      <c r="N2410" s="320"/>
      <c r="O2410" s="320"/>
    </row>
    <row r="2411">
      <c r="A2411" s="32">
        <f t="shared" si="1"/>
        <v>2410</v>
      </c>
      <c r="B2411" s="9" t="s">
        <v>4425</v>
      </c>
      <c r="C2411" s="78" t="s">
        <v>4586</v>
      </c>
      <c r="D2411" s="668"/>
      <c r="E2411" s="596">
        <f>VLOOKUP($C2411,'HDPE PIPE'!$R$5:$W2469,5,0)</f>
        <v>13.827</v>
      </c>
      <c r="F2411" s="656" t="s">
        <v>1088</v>
      </c>
      <c r="G2411" s="596">
        <f>VLOOKUP($C2411,'HDPE PIPE'!$R$5:$W2469,6,0)</f>
        <v>5254.25</v>
      </c>
      <c r="H2411" s="320"/>
      <c r="I2411" s="320"/>
      <c r="J2411" s="320"/>
      <c r="K2411" s="320"/>
      <c r="L2411" s="320"/>
      <c r="M2411" s="320"/>
      <c r="N2411" s="320"/>
      <c r="O2411" s="320"/>
    </row>
    <row r="2412">
      <c r="A2412" s="32">
        <f t="shared" si="1"/>
        <v>2411</v>
      </c>
      <c r="B2412" s="9" t="s">
        <v>4425</v>
      </c>
      <c r="C2412" s="78" t="s">
        <v>4587</v>
      </c>
      <c r="D2412" s="668"/>
      <c r="E2412" s="596">
        <f>VLOOKUP($C2412,'HDPE PIPE'!$R$5:$W2469,5,0)</f>
        <v>17.519</v>
      </c>
      <c r="F2412" s="656" t="s">
        <v>1088</v>
      </c>
      <c r="G2412" s="596">
        <f>VLOOKUP($C2412,'HDPE PIPE'!$R$5:$W2469,6,0)</f>
        <v>6657.25</v>
      </c>
      <c r="H2412" s="320"/>
      <c r="I2412" s="320"/>
      <c r="J2412" s="320"/>
      <c r="K2412" s="320"/>
      <c r="L2412" s="320"/>
      <c r="M2412" s="320"/>
      <c r="N2412" s="320"/>
      <c r="O2412" s="320"/>
    </row>
    <row r="2413">
      <c r="A2413" s="32">
        <f t="shared" si="1"/>
        <v>2412</v>
      </c>
      <c r="B2413" s="9" t="s">
        <v>4425</v>
      </c>
      <c r="C2413" s="78" t="s">
        <v>4588</v>
      </c>
      <c r="D2413" s="668"/>
      <c r="E2413" s="596">
        <f>VLOOKUP($C2413,'HDPE PIPE'!$X$5:$AC2469,5,0)</f>
        <v>0.149157024</v>
      </c>
      <c r="F2413" s="656" t="s">
        <v>1088</v>
      </c>
      <c r="G2413" s="596">
        <f>VLOOKUP($C2413,'HDPE PIPE'!$X$5:$AC2469,6,0)</f>
        <v>56.75</v>
      </c>
      <c r="H2413" s="320"/>
      <c r="I2413" s="320"/>
      <c r="J2413" s="320"/>
      <c r="K2413" s="320"/>
      <c r="L2413" s="320"/>
      <c r="M2413" s="320"/>
      <c r="N2413" s="320"/>
      <c r="O2413" s="320"/>
    </row>
    <row r="2414">
      <c r="A2414" s="32">
        <f t="shared" si="1"/>
        <v>2413</v>
      </c>
      <c r="B2414" s="9" t="s">
        <v>4425</v>
      </c>
      <c r="C2414" s="78" t="s">
        <v>4589</v>
      </c>
      <c r="D2414" s="668"/>
      <c r="E2414" s="596">
        <f>VLOOKUP($C2414,'HDPE PIPE'!$X$5:$AC2469,5,0)</f>
        <v>0.2317438656</v>
      </c>
      <c r="F2414" s="656" t="s">
        <v>1088</v>
      </c>
      <c r="G2414" s="596">
        <f>VLOOKUP($C2414,'HDPE PIPE'!$X$5:$AC2469,6,0)</f>
        <v>88</v>
      </c>
      <c r="H2414" s="320"/>
      <c r="I2414" s="320"/>
      <c r="J2414" s="320"/>
      <c r="K2414" s="320"/>
      <c r="L2414" s="320"/>
      <c r="M2414" s="320"/>
      <c r="N2414" s="320"/>
      <c r="O2414" s="320"/>
    </row>
    <row r="2415">
      <c r="A2415" s="32">
        <f t="shared" si="1"/>
        <v>2414</v>
      </c>
      <c r="B2415" s="9" t="s">
        <v>4425</v>
      </c>
      <c r="C2415" s="78" t="s">
        <v>4590</v>
      </c>
      <c r="D2415" s="668"/>
      <c r="E2415" s="596">
        <f>VLOOKUP($C2415,'HDPE PIPE'!$X$5:$AC2469,5,0)</f>
        <v>0.357132288</v>
      </c>
      <c r="F2415" s="656" t="s">
        <v>1088</v>
      </c>
      <c r="G2415" s="596">
        <f>VLOOKUP($C2415,'HDPE PIPE'!$X$5:$AC2469,6,0)</f>
        <v>135.75</v>
      </c>
      <c r="H2415" s="320"/>
      <c r="I2415" s="320"/>
      <c r="J2415" s="320"/>
      <c r="K2415" s="320"/>
      <c r="L2415" s="320"/>
      <c r="M2415" s="320"/>
      <c r="N2415" s="320"/>
      <c r="O2415" s="320"/>
    </row>
    <row r="2416">
      <c r="A2416" s="32">
        <f t="shared" si="1"/>
        <v>2415</v>
      </c>
      <c r="B2416" s="9" t="s">
        <v>4425</v>
      </c>
      <c r="C2416" s="78" t="s">
        <v>4591</v>
      </c>
      <c r="D2416" s="668"/>
      <c r="E2416" s="596">
        <f>VLOOKUP($C2416,'HDPE PIPE'!$X$5:$AC2469,5,0)</f>
        <v>0.55104396</v>
      </c>
      <c r="F2416" s="656" t="s">
        <v>1088</v>
      </c>
      <c r="G2416" s="596">
        <f>VLOOKUP($C2416,'HDPE PIPE'!$X$5:$AC2469,6,0)</f>
        <v>209.5</v>
      </c>
      <c r="H2416" s="320"/>
      <c r="I2416" s="320"/>
      <c r="J2416" s="320"/>
      <c r="K2416" s="320"/>
      <c r="L2416" s="320"/>
      <c r="M2416" s="320"/>
      <c r="N2416" s="320"/>
      <c r="O2416" s="320"/>
    </row>
    <row r="2417">
      <c r="A2417" s="32">
        <f t="shared" si="1"/>
        <v>2416</v>
      </c>
      <c r="B2417" s="9" t="s">
        <v>4425</v>
      </c>
      <c r="C2417" s="78" t="s">
        <v>4592</v>
      </c>
      <c r="D2417" s="668"/>
      <c r="E2417" s="596">
        <f>VLOOKUP($C2417,'HDPE PIPE'!$X$5:$AC2469,5,0)</f>
        <v>0.87774912</v>
      </c>
      <c r="F2417" s="656" t="s">
        <v>1088</v>
      </c>
      <c r="G2417" s="596">
        <f>VLOOKUP($C2417,'HDPE PIPE'!$X$5:$AC2469,6,0)</f>
        <v>333.5</v>
      </c>
      <c r="H2417" s="320"/>
      <c r="I2417" s="320"/>
      <c r="J2417" s="320"/>
      <c r="K2417" s="320"/>
      <c r="L2417" s="320"/>
      <c r="M2417" s="320"/>
      <c r="N2417" s="320"/>
      <c r="O2417" s="320"/>
    </row>
    <row r="2418">
      <c r="A2418" s="32">
        <f t="shared" si="1"/>
        <v>2417</v>
      </c>
      <c r="B2418" s="9" t="s">
        <v>4425</v>
      </c>
      <c r="C2418" s="78" t="s">
        <v>4593</v>
      </c>
      <c r="D2418" s="668"/>
      <c r="E2418" s="596">
        <f>VLOOKUP($C2418,'HDPE PIPE'!$X$5:$AC2469,5,0)</f>
        <v>1.243734307</v>
      </c>
      <c r="F2418" s="656" t="s">
        <v>1088</v>
      </c>
      <c r="G2418" s="596">
        <f>VLOOKUP($C2418,'HDPE PIPE'!$X$5:$AC2469,6,0)</f>
        <v>475.5</v>
      </c>
      <c r="H2418" s="320"/>
      <c r="I2418" s="320"/>
      <c r="J2418" s="320"/>
      <c r="K2418" s="320"/>
      <c r="L2418" s="320"/>
      <c r="M2418" s="320"/>
      <c r="N2418" s="320"/>
      <c r="O2418" s="320"/>
    </row>
    <row r="2419">
      <c r="A2419" s="32">
        <f t="shared" si="1"/>
        <v>2418</v>
      </c>
      <c r="B2419" s="9" t="s">
        <v>4425</v>
      </c>
      <c r="C2419" s="78" t="s">
        <v>4594</v>
      </c>
      <c r="D2419" s="668"/>
      <c r="E2419" s="596">
        <f>VLOOKUP($C2419,'HDPE PIPE'!$X$5:$AC2469,5,0)</f>
        <v>1.78180055</v>
      </c>
      <c r="F2419" s="656" t="s">
        <v>1088</v>
      </c>
      <c r="G2419" s="596">
        <f>VLOOKUP($C2419,'HDPE PIPE'!$X$5:$AC2469,6,0)</f>
        <v>677</v>
      </c>
      <c r="H2419" s="320"/>
      <c r="I2419" s="320"/>
      <c r="J2419" s="320"/>
      <c r="K2419" s="320"/>
      <c r="L2419" s="320"/>
      <c r="M2419" s="320"/>
      <c r="N2419" s="320"/>
      <c r="O2419" s="320"/>
    </row>
    <row r="2420">
      <c r="A2420" s="32">
        <f t="shared" si="1"/>
        <v>2419</v>
      </c>
      <c r="B2420" s="9" t="s">
        <v>4425</v>
      </c>
      <c r="C2420" s="78" t="s">
        <v>4595</v>
      </c>
      <c r="D2420" s="668"/>
      <c r="E2420" s="596">
        <f>VLOOKUP($C2420,'HDPE PIPE'!$X$5:$AC2469,5,0)</f>
        <v>2.639430816</v>
      </c>
      <c r="F2420" s="656" t="s">
        <v>1088</v>
      </c>
      <c r="G2420" s="596">
        <f>VLOOKUP($C2420,'HDPE PIPE'!$X$5:$AC2469,6,0)</f>
        <v>1003</v>
      </c>
      <c r="H2420" s="320"/>
      <c r="I2420" s="320"/>
      <c r="J2420" s="320"/>
      <c r="K2420" s="320"/>
      <c r="L2420" s="320"/>
      <c r="M2420" s="320"/>
      <c r="N2420" s="320"/>
      <c r="O2420" s="320"/>
    </row>
    <row r="2421">
      <c r="A2421" s="32">
        <f t="shared" si="1"/>
        <v>2420</v>
      </c>
      <c r="B2421" s="9" t="s">
        <v>4425</v>
      </c>
      <c r="C2421" s="78" t="s">
        <v>4596</v>
      </c>
      <c r="D2421" s="668"/>
      <c r="E2421" s="596">
        <f>VLOOKUP($C2421,'HDPE PIPE'!$X$5:$AC2469,5,0)</f>
        <v>3.401164728</v>
      </c>
      <c r="F2421" s="656" t="s">
        <v>1088</v>
      </c>
      <c r="G2421" s="596">
        <f>VLOOKUP($C2421,'HDPE PIPE'!$X$5:$AC2469,6,0)</f>
        <v>1292.5</v>
      </c>
      <c r="H2421" s="320"/>
      <c r="I2421" s="320"/>
      <c r="J2421" s="320"/>
      <c r="K2421" s="320"/>
      <c r="L2421" s="320"/>
      <c r="M2421" s="320"/>
      <c r="N2421" s="320"/>
      <c r="O2421" s="320"/>
    </row>
    <row r="2422">
      <c r="A2422" s="32">
        <f t="shared" si="1"/>
        <v>2421</v>
      </c>
      <c r="B2422" s="9" t="s">
        <v>4425</v>
      </c>
      <c r="C2422" s="78" t="s">
        <v>4597</v>
      </c>
      <c r="D2422" s="668"/>
      <c r="E2422" s="596">
        <f>VLOOKUP($C2422,'HDPE PIPE'!$X$5:$AC2469,5,0)</f>
        <v>4.25933039</v>
      </c>
      <c r="F2422" s="656" t="s">
        <v>1088</v>
      </c>
      <c r="G2422" s="596">
        <f>VLOOKUP($C2422,'HDPE PIPE'!$X$5:$AC2469,6,0)</f>
        <v>1618.5</v>
      </c>
      <c r="H2422" s="320"/>
      <c r="I2422" s="320"/>
      <c r="J2422" s="320"/>
      <c r="K2422" s="320"/>
      <c r="L2422" s="320"/>
      <c r="M2422" s="320"/>
      <c r="N2422" s="320"/>
      <c r="O2422" s="320"/>
    </row>
    <row r="2423">
      <c r="A2423" s="32">
        <f t="shared" si="1"/>
        <v>2422</v>
      </c>
      <c r="B2423" s="9" t="s">
        <v>4425</v>
      </c>
      <c r="C2423" s="78" t="s">
        <v>4598</v>
      </c>
      <c r="D2423" s="668"/>
      <c r="E2423" s="596">
        <f>VLOOKUP($C2423,'HDPE PIPE'!$X$5:$AC2469,5,0)</f>
        <v>5.559748891</v>
      </c>
      <c r="F2423" s="656" t="s">
        <v>1088</v>
      </c>
      <c r="G2423" s="596">
        <f>VLOOKUP($C2423,'HDPE PIPE'!$X$5:$AC2469,6,0)</f>
        <v>2112.75</v>
      </c>
      <c r="H2423" s="320"/>
      <c r="I2423" s="320"/>
      <c r="J2423" s="320"/>
      <c r="K2423" s="320"/>
      <c r="L2423" s="320"/>
      <c r="M2423" s="320"/>
      <c r="N2423" s="320"/>
      <c r="O2423" s="320"/>
    </row>
    <row r="2424">
      <c r="A2424" s="32">
        <f t="shared" si="1"/>
        <v>2423</v>
      </c>
      <c r="B2424" s="9" t="s">
        <v>4425</v>
      </c>
      <c r="C2424" s="78" t="s">
        <v>4599</v>
      </c>
      <c r="D2424" s="668"/>
      <c r="E2424" s="596">
        <f>VLOOKUP($C2424,'HDPE PIPE'!$X$5:$AC2469,5,0)</f>
        <v>7.056152784</v>
      </c>
      <c r="F2424" s="656" t="s">
        <v>1088</v>
      </c>
      <c r="G2424" s="596">
        <f>VLOOKUP($C2424,'HDPE PIPE'!$X$5:$AC2469,6,0)</f>
        <v>2681.5</v>
      </c>
      <c r="H2424" s="320"/>
      <c r="I2424" s="320"/>
      <c r="J2424" s="320"/>
      <c r="K2424" s="320"/>
      <c r="L2424" s="320"/>
      <c r="M2424" s="320"/>
      <c r="N2424" s="320"/>
      <c r="O2424" s="320"/>
    </row>
    <row r="2425">
      <c r="A2425" s="32">
        <f t="shared" si="1"/>
        <v>2424</v>
      </c>
      <c r="B2425" s="9" t="s">
        <v>4425</v>
      </c>
      <c r="C2425" s="78" t="s">
        <v>4601</v>
      </c>
      <c r="D2425" s="668"/>
      <c r="E2425" s="596">
        <f>VLOOKUP($C2425,'HDPE PIPE'!$X$5:$AC2469,5,0)</f>
        <v>8.70509952</v>
      </c>
      <c r="F2425" s="656" t="s">
        <v>1088</v>
      </c>
      <c r="G2425" s="596">
        <f>VLOOKUP($C2425,'HDPE PIPE'!$X$5:$AC2469,6,0)</f>
        <v>3308</v>
      </c>
      <c r="H2425" s="320"/>
      <c r="I2425" s="320"/>
      <c r="J2425" s="320"/>
      <c r="K2425" s="320"/>
      <c r="L2425" s="320"/>
      <c r="M2425" s="320"/>
      <c r="N2425" s="320"/>
      <c r="O2425" s="320"/>
    </row>
    <row r="2426">
      <c r="A2426" s="32">
        <f t="shared" si="1"/>
        <v>2425</v>
      </c>
      <c r="B2426" s="9" t="s">
        <v>4425</v>
      </c>
      <c r="C2426" s="78" t="s">
        <v>4604</v>
      </c>
      <c r="D2426" s="668"/>
      <c r="E2426" s="596">
        <f>VLOOKUP($C2426,'HDPE PIPE'!$X$5:$AC2469,5,0)</f>
        <v>10.98996192</v>
      </c>
      <c r="F2426" s="656" t="s">
        <v>1088</v>
      </c>
      <c r="G2426" s="596">
        <f>VLOOKUP($C2426,'HDPE PIPE'!$X$5:$AC2469,6,0)</f>
        <v>4176.25</v>
      </c>
      <c r="H2426" s="320"/>
      <c r="I2426" s="320"/>
      <c r="J2426" s="320"/>
      <c r="K2426" s="320"/>
      <c r="L2426" s="320"/>
      <c r="M2426" s="320"/>
      <c r="N2426" s="320"/>
      <c r="O2426" s="320"/>
    </row>
    <row r="2427">
      <c r="A2427" s="32">
        <f t="shared" si="1"/>
        <v>2426</v>
      </c>
      <c r="B2427" s="9" t="s">
        <v>4425</v>
      </c>
      <c r="C2427" s="78" t="s">
        <v>4607</v>
      </c>
      <c r="D2427" s="668"/>
      <c r="E2427" s="596">
        <f>VLOOKUP($C2427,'HDPE PIPE'!$X$5:$AC2469,5,0)</f>
        <v>13.53489143</v>
      </c>
      <c r="F2427" s="656" t="s">
        <v>1088</v>
      </c>
      <c r="G2427" s="596">
        <f>VLOOKUP($C2427,'HDPE PIPE'!$X$5:$AC2469,6,0)</f>
        <v>5143.25</v>
      </c>
      <c r="H2427" s="320"/>
      <c r="I2427" s="320"/>
      <c r="J2427" s="320"/>
      <c r="K2427" s="320"/>
      <c r="L2427" s="320"/>
      <c r="M2427" s="320"/>
      <c r="N2427" s="320"/>
      <c r="O2427" s="320"/>
    </row>
    <row r="2428">
      <c r="A2428" s="32">
        <f t="shared" si="1"/>
        <v>2427</v>
      </c>
      <c r="B2428" s="9" t="s">
        <v>4425</v>
      </c>
      <c r="C2428" s="78" t="s">
        <v>4611</v>
      </c>
      <c r="D2428" s="668"/>
      <c r="E2428" s="596">
        <f>VLOOKUP($C2428,'HDPE PIPE'!$X$5:$AC2469,5,0)</f>
        <v>16.96244142</v>
      </c>
      <c r="F2428" s="656" t="s">
        <v>1088</v>
      </c>
      <c r="G2428" s="596">
        <f>VLOOKUP($C2428,'HDPE PIPE'!$X$5:$AC2469,6,0)</f>
        <v>6445.75</v>
      </c>
      <c r="H2428" s="320"/>
      <c r="I2428" s="320"/>
      <c r="J2428" s="320"/>
      <c r="K2428" s="320"/>
      <c r="L2428" s="320"/>
      <c r="M2428" s="320"/>
      <c r="N2428" s="320"/>
      <c r="O2428" s="320"/>
    </row>
    <row r="2429">
      <c r="A2429" s="32">
        <f t="shared" si="1"/>
        <v>2428</v>
      </c>
      <c r="B2429" s="9" t="s">
        <v>4425</v>
      </c>
      <c r="C2429" s="78" t="s">
        <v>4613</v>
      </c>
      <c r="D2429" s="668"/>
      <c r="E2429" s="596">
        <f>VLOOKUP($C2429,'HDPE PIPE'!$X$5:$AC2469,5,0)</f>
        <v>21.49636552</v>
      </c>
      <c r="F2429" s="656" t="s">
        <v>1088</v>
      </c>
      <c r="G2429" s="596">
        <f>VLOOKUP($C2429,'HDPE PIPE'!$X$5:$AC2469,6,0)</f>
        <v>8168.75</v>
      </c>
      <c r="H2429" s="320"/>
      <c r="I2429" s="320"/>
      <c r="J2429" s="320"/>
      <c r="K2429" s="320"/>
      <c r="L2429" s="320"/>
      <c r="M2429" s="320"/>
      <c r="N2429" s="320"/>
      <c r="O2429" s="320"/>
    </row>
    <row r="2430">
      <c r="A2430" s="32">
        <f t="shared" si="1"/>
        <v>2429</v>
      </c>
      <c r="B2430" s="9" t="s">
        <v>4425</v>
      </c>
      <c r="C2430" s="78" t="s">
        <v>4614</v>
      </c>
      <c r="D2430" s="668"/>
      <c r="E2430" s="596">
        <f>VLOOKUP($C2430,'HDPE PIPE'!$AD$5:$AI2469,5,0)</f>
        <v>0.116731584</v>
      </c>
      <c r="F2430" s="656" t="s">
        <v>1088</v>
      </c>
      <c r="G2430" s="596">
        <f>VLOOKUP($C2430,'HDPE PIPE'!$AD$5:$AI2469,6,0)</f>
        <v>44.5</v>
      </c>
      <c r="H2430" s="320"/>
      <c r="I2430" s="320"/>
      <c r="J2430" s="320"/>
      <c r="K2430" s="320"/>
      <c r="L2430" s="320"/>
      <c r="M2430" s="320"/>
      <c r="N2430" s="320"/>
      <c r="O2430" s="320"/>
    </row>
    <row r="2431">
      <c r="A2431" s="32">
        <f t="shared" si="1"/>
        <v>2430</v>
      </c>
      <c r="B2431" s="9" t="s">
        <v>4425</v>
      </c>
      <c r="C2431" s="78" t="s">
        <v>4615</v>
      </c>
      <c r="D2431" s="668"/>
      <c r="E2431" s="596">
        <f>VLOOKUP($C2431,'HDPE PIPE'!$AD$5:$AI2469,5,0)</f>
        <v>0.17079912</v>
      </c>
      <c r="F2431" s="656" t="s">
        <v>1088</v>
      </c>
      <c r="G2431" s="596">
        <f>VLOOKUP($C2431,'HDPE PIPE'!$AD$5:$AI2469,6,0)</f>
        <v>65</v>
      </c>
      <c r="H2431" s="320"/>
      <c r="I2431" s="320"/>
      <c r="J2431" s="320"/>
      <c r="K2431" s="320"/>
      <c r="L2431" s="320"/>
      <c r="M2431" s="320"/>
      <c r="N2431" s="320"/>
      <c r="O2431" s="320"/>
    </row>
    <row r="2432">
      <c r="A2432" s="32">
        <f t="shared" si="1"/>
        <v>2431</v>
      </c>
      <c r="B2432" s="9" t="s">
        <v>4425</v>
      </c>
      <c r="C2432" s="78" t="s">
        <v>4616</v>
      </c>
      <c r="D2432" s="668"/>
      <c r="E2432" s="596">
        <f>VLOOKUP($C2432,'HDPE PIPE'!$AD$5:$AI2469,5,0)</f>
        <v>0.2794318848</v>
      </c>
      <c r="F2432" s="656" t="s">
        <v>1088</v>
      </c>
      <c r="G2432" s="596">
        <f>VLOOKUP($C2432,'HDPE PIPE'!$AD$5:$AI2469,6,0)</f>
        <v>106.25</v>
      </c>
      <c r="H2432" s="320"/>
      <c r="I2432" s="320"/>
      <c r="J2432" s="320"/>
      <c r="K2432" s="320"/>
      <c r="L2432" s="320"/>
      <c r="M2432" s="320"/>
      <c r="N2432" s="320"/>
      <c r="O2432" s="320"/>
    </row>
    <row r="2433">
      <c r="A2433" s="32">
        <f t="shared" si="1"/>
        <v>2432</v>
      </c>
      <c r="B2433" s="9" t="s">
        <v>4425</v>
      </c>
      <c r="C2433" s="78" t="s">
        <v>4617</v>
      </c>
      <c r="D2433" s="668"/>
      <c r="E2433" s="596">
        <f>VLOOKUP($C2433,'HDPE PIPE'!$AD$5:$AI2469,5,0)</f>
        <v>0.43189932</v>
      </c>
      <c r="F2433" s="656" t="s">
        <v>1088</v>
      </c>
      <c r="G2433" s="596">
        <f>VLOOKUP($C2433,'HDPE PIPE'!$AD$5:$AI2469,6,0)</f>
        <v>164.25</v>
      </c>
      <c r="H2433" s="320"/>
      <c r="I2433" s="320"/>
      <c r="J2433" s="320"/>
      <c r="K2433" s="320"/>
      <c r="L2433" s="320"/>
      <c r="M2433" s="320"/>
      <c r="N2433" s="320"/>
      <c r="O2433" s="320"/>
    </row>
    <row r="2434">
      <c r="A2434" s="32">
        <f t="shared" si="1"/>
        <v>2433</v>
      </c>
      <c r="B2434" s="9" t="s">
        <v>4425</v>
      </c>
      <c r="C2434" s="78" t="s">
        <v>4618</v>
      </c>
      <c r="D2434" s="668"/>
      <c r="E2434" s="596">
        <f>VLOOKUP($C2434,'HDPE PIPE'!$AD$5:$AI2469,5,0)</f>
        <v>0.6695325504</v>
      </c>
      <c r="F2434" s="656" t="s">
        <v>1088</v>
      </c>
      <c r="G2434" s="596">
        <f>VLOOKUP($C2434,'HDPE PIPE'!$AD$5:$AI2469,6,0)</f>
        <v>254.5</v>
      </c>
      <c r="H2434" s="320"/>
      <c r="I2434" s="320"/>
      <c r="J2434" s="320"/>
      <c r="K2434" s="320"/>
      <c r="L2434" s="320"/>
      <c r="M2434" s="320"/>
      <c r="N2434" s="320"/>
      <c r="O2434" s="320"/>
    </row>
    <row r="2435">
      <c r="A2435" s="32">
        <f t="shared" si="1"/>
        <v>2434</v>
      </c>
      <c r="B2435" s="9" t="s">
        <v>4425</v>
      </c>
      <c r="C2435" s="78" t="s">
        <v>4619</v>
      </c>
      <c r="D2435" s="668"/>
      <c r="E2435" s="596">
        <f>VLOOKUP($C2435,'HDPE PIPE'!$AD$5:$AI2469,5,0)</f>
        <v>1.058298494</v>
      </c>
      <c r="F2435" s="656" t="s">
        <v>1088</v>
      </c>
      <c r="G2435" s="596">
        <f>VLOOKUP($C2435,'HDPE PIPE'!$AD$5:$AI2469,6,0)</f>
        <v>402.25</v>
      </c>
      <c r="H2435" s="320"/>
      <c r="I2435" s="320"/>
      <c r="J2435" s="320"/>
      <c r="K2435" s="320"/>
      <c r="L2435" s="320"/>
      <c r="M2435" s="320"/>
      <c r="N2435" s="320"/>
      <c r="O2435" s="320"/>
    </row>
    <row r="2436">
      <c r="A2436" s="32">
        <f t="shared" si="1"/>
        <v>2435</v>
      </c>
      <c r="B2436" s="9" t="s">
        <v>4425</v>
      </c>
      <c r="C2436" s="78" t="s">
        <v>4620</v>
      </c>
      <c r="D2436" s="668"/>
      <c r="E2436" s="596">
        <f>VLOOKUP($C2436,'HDPE PIPE'!$AD$5:$AI2469,5,0)</f>
        <v>1.496200291</v>
      </c>
      <c r="F2436" s="656" t="s">
        <v>1088</v>
      </c>
      <c r="G2436" s="596">
        <f>VLOOKUP($C2436,'HDPE PIPE'!$AD$5:$AI2469,6,0)</f>
        <v>568.5</v>
      </c>
      <c r="H2436" s="320"/>
      <c r="I2436" s="320"/>
      <c r="J2436" s="320"/>
      <c r="K2436" s="320"/>
      <c r="L2436" s="320"/>
      <c r="M2436" s="320"/>
      <c r="N2436" s="320"/>
      <c r="O2436" s="320"/>
    </row>
    <row r="2437">
      <c r="A2437" s="32">
        <f t="shared" si="1"/>
        <v>2436</v>
      </c>
      <c r="B2437" s="9" t="s">
        <v>4425</v>
      </c>
      <c r="C2437" s="78" t="s">
        <v>4621</v>
      </c>
      <c r="D2437" s="668"/>
      <c r="E2437" s="596">
        <f>VLOOKUP($C2437,'HDPE PIPE'!$AD$5:$AI2469,5,0)</f>
        <v>2.141345894</v>
      </c>
      <c r="F2437" s="656" t="s">
        <v>1088</v>
      </c>
      <c r="G2437" s="596">
        <f>VLOOKUP($C2437,'HDPE PIPE'!$AD$5:$AI2469,6,0)</f>
        <v>813.75</v>
      </c>
      <c r="H2437" s="320"/>
      <c r="I2437" s="320"/>
      <c r="J2437" s="320"/>
      <c r="K2437" s="320"/>
      <c r="L2437" s="320"/>
      <c r="M2437" s="320"/>
      <c r="N2437" s="320"/>
      <c r="O2437" s="320"/>
    </row>
    <row r="2438">
      <c r="A2438" s="32">
        <f t="shared" si="1"/>
        <v>2437</v>
      </c>
      <c r="B2438" s="9" t="s">
        <v>4425</v>
      </c>
      <c r="C2438" s="78" t="s">
        <v>4622</v>
      </c>
      <c r="D2438" s="668"/>
      <c r="E2438" s="596">
        <f>VLOOKUP($C2438,'HDPE PIPE'!$AD$5:$AI2469,5,0)</f>
        <v>3.175853165</v>
      </c>
      <c r="F2438" s="656" t="s">
        <v>1088</v>
      </c>
      <c r="G2438" s="596">
        <f>VLOOKUP($C2438,'HDPE PIPE'!$AD$5:$AI2469,6,0)</f>
        <v>1206.75</v>
      </c>
      <c r="H2438" s="320"/>
      <c r="I2438" s="320"/>
      <c r="J2438" s="320"/>
      <c r="K2438" s="320"/>
      <c r="L2438" s="320"/>
      <c r="M2438" s="320"/>
      <c r="N2438" s="320"/>
      <c r="O2438" s="320"/>
    </row>
    <row r="2439">
      <c r="A2439" s="32">
        <f t="shared" si="1"/>
        <v>2438</v>
      </c>
      <c r="B2439" s="9" t="s">
        <v>4425</v>
      </c>
      <c r="C2439" s="78" t="s">
        <v>4623</v>
      </c>
      <c r="D2439" s="668"/>
      <c r="E2439" s="596">
        <f>VLOOKUP($C2439,'HDPE PIPE'!$AD$5:$AI2469,5,0)</f>
        <v>4.119893458</v>
      </c>
      <c r="F2439" s="656" t="s">
        <v>1088</v>
      </c>
      <c r="G2439" s="596">
        <f>VLOOKUP($C2439,'HDPE PIPE'!$AD$5:$AI2469,6,0)</f>
        <v>1565.5</v>
      </c>
      <c r="H2439" s="320"/>
      <c r="I2439" s="320"/>
      <c r="J2439" s="320"/>
      <c r="K2439" s="320"/>
      <c r="L2439" s="320"/>
      <c r="M2439" s="320"/>
      <c r="N2439" s="320"/>
      <c r="O2439" s="320"/>
    </row>
    <row r="2440">
      <c r="A2440" s="32">
        <f t="shared" si="1"/>
        <v>2439</v>
      </c>
      <c r="B2440" s="9" t="s">
        <v>4425</v>
      </c>
      <c r="C2440" s="78" t="s">
        <v>4624</v>
      </c>
      <c r="D2440" s="668"/>
      <c r="E2440" s="596">
        <f>VLOOKUP($C2440,'HDPE PIPE'!$AD$5:$AI2469,5,0)</f>
        <v>5.169444624</v>
      </c>
      <c r="F2440" s="656" t="s">
        <v>1088</v>
      </c>
      <c r="G2440" s="596">
        <f>VLOOKUP($C2440,'HDPE PIPE'!$AD$5:$AI2469,6,0)</f>
        <v>1964.5</v>
      </c>
      <c r="H2440" s="320"/>
      <c r="I2440" s="320"/>
      <c r="J2440" s="320"/>
      <c r="K2440" s="320"/>
      <c r="L2440" s="320"/>
      <c r="M2440" s="320"/>
      <c r="N2440" s="320"/>
      <c r="O2440" s="320"/>
    </row>
    <row r="2441">
      <c r="A2441" s="32">
        <f t="shared" si="1"/>
        <v>2440</v>
      </c>
      <c r="B2441" s="9" t="s">
        <v>4425</v>
      </c>
      <c r="C2441" s="78" t="s">
        <v>4625</v>
      </c>
      <c r="D2441" s="668"/>
      <c r="E2441" s="596">
        <f>VLOOKUP($C2441,'HDPE PIPE'!$AD$5:$AI2469,5,0)</f>
        <v>6.740087693</v>
      </c>
      <c r="F2441" s="656" t="s">
        <v>1088</v>
      </c>
      <c r="G2441" s="596">
        <f>VLOOKUP($C2441,'HDPE PIPE'!$AD$5:$AI2469,6,0)</f>
        <v>2561.25</v>
      </c>
      <c r="H2441" s="320"/>
      <c r="I2441" s="320"/>
      <c r="J2441" s="320"/>
      <c r="K2441" s="320"/>
      <c r="L2441" s="320"/>
      <c r="M2441" s="320"/>
      <c r="N2441" s="320"/>
      <c r="O2441" s="320"/>
    </row>
    <row r="2442">
      <c r="A2442" s="32">
        <f t="shared" si="1"/>
        <v>2441</v>
      </c>
      <c r="B2442" s="9" t="s">
        <v>4425</v>
      </c>
      <c r="C2442" s="78" t="s">
        <v>4626</v>
      </c>
      <c r="D2442" s="668"/>
      <c r="E2442" s="596">
        <f>VLOOKUP($C2442,'HDPE PIPE'!$AD$5:$AI2469,5,0)</f>
        <v>8.518766352</v>
      </c>
      <c r="F2442" s="656" t="s">
        <v>1088</v>
      </c>
      <c r="G2442" s="596">
        <f>VLOOKUP($C2442,'HDPE PIPE'!$AD$5:$AI2469,6,0)</f>
        <v>3237.25</v>
      </c>
      <c r="H2442" s="320"/>
      <c r="I2442" s="320"/>
      <c r="J2442" s="320"/>
      <c r="K2442" s="320"/>
      <c r="L2442" s="320"/>
      <c r="M2442" s="320"/>
      <c r="N2442" s="320"/>
      <c r="O2442" s="320"/>
    </row>
    <row r="2443">
      <c r="A2443" s="32">
        <f t="shared" si="1"/>
        <v>2442</v>
      </c>
      <c r="B2443" s="9" t="s">
        <v>4425</v>
      </c>
      <c r="C2443" s="78" t="s">
        <v>4627</v>
      </c>
      <c r="D2443" s="668"/>
      <c r="E2443" s="596">
        <f>VLOOKUP($C2443,'HDPE PIPE'!$AD$5:$AI2469,5,0)</f>
        <v>10.5054806</v>
      </c>
      <c r="F2443" s="656" t="s">
        <v>1088</v>
      </c>
      <c r="G2443" s="596">
        <f>VLOOKUP($C2443,'HDPE PIPE'!$AD$5:$AI2469,6,0)</f>
        <v>3992</v>
      </c>
      <c r="H2443" s="320"/>
      <c r="I2443" s="320"/>
      <c r="J2443" s="320"/>
      <c r="K2443" s="320"/>
      <c r="L2443" s="320"/>
      <c r="M2443" s="320"/>
      <c r="N2443" s="320"/>
      <c r="O2443" s="320"/>
    </row>
    <row r="2444">
      <c r="A2444" s="32">
        <f t="shared" si="1"/>
        <v>2443</v>
      </c>
      <c r="B2444" s="9" t="s">
        <v>4425</v>
      </c>
      <c r="C2444" s="78" t="s">
        <v>4628</v>
      </c>
      <c r="D2444" s="668"/>
      <c r="E2444" s="596">
        <f>VLOOKUP($C2444,'HDPE PIPE'!$AD$5:$AI2469,5,0)</f>
        <v>13.2976277</v>
      </c>
      <c r="F2444" s="656" t="s">
        <v>1088</v>
      </c>
      <c r="G2444" s="596">
        <f>VLOOKUP($C2444,'HDPE PIPE'!$AD$5:$AI2469,6,0)</f>
        <v>5053.25</v>
      </c>
      <c r="H2444" s="320"/>
      <c r="I2444" s="320"/>
      <c r="J2444" s="320"/>
      <c r="K2444" s="320"/>
      <c r="L2444" s="320"/>
      <c r="M2444" s="320"/>
      <c r="N2444" s="320"/>
      <c r="O2444" s="320"/>
    </row>
    <row r="2445">
      <c r="A2445" s="32">
        <f t="shared" si="1"/>
        <v>2444</v>
      </c>
      <c r="B2445" s="9" t="s">
        <v>4425</v>
      </c>
      <c r="C2445" s="78" t="s">
        <v>4629</v>
      </c>
      <c r="D2445" s="668"/>
      <c r="E2445" s="596">
        <f>VLOOKUP($C2445,'HDPE PIPE'!$AD$5:$AI2469,5,0)</f>
        <v>16.41119386</v>
      </c>
      <c r="F2445" s="656" t="s">
        <v>1088</v>
      </c>
      <c r="G2445" s="596">
        <f>VLOOKUP($C2445,'HDPE PIPE'!$AD$5:$AI2469,6,0)</f>
        <v>6236.253665</v>
      </c>
      <c r="H2445" s="320"/>
      <c r="I2445" s="320"/>
      <c r="J2445" s="320"/>
      <c r="K2445" s="320"/>
      <c r="L2445" s="320"/>
      <c r="M2445" s="320"/>
      <c r="N2445" s="320"/>
      <c r="O2445" s="320"/>
    </row>
    <row r="2446">
      <c r="A2446" s="32">
        <f t="shared" si="1"/>
        <v>2445</v>
      </c>
      <c r="B2446" s="9" t="s">
        <v>4425</v>
      </c>
      <c r="C2446" s="78" t="s">
        <v>4630</v>
      </c>
      <c r="D2446" s="668"/>
      <c r="E2446" s="596">
        <f>VLOOKUP($C2446,'HDPE PIPE'!$AD$5:$AI2469,5,0)</f>
        <v>20.57100077</v>
      </c>
      <c r="F2446" s="656" t="s">
        <v>1088</v>
      </c>
      <c r="G2446" s="596">
        <f>VLOOKUP($C2446,'HDPE PIPE'!$AD$5:$AI2469,6,0)</f>
        <v>7817</v>
      </c>
      <c r="H2446" s="320"/>
      <c r="I2446" s="320"/>
      <c r="J2446" s="320"/>
      <c r="K2446" s="320"/>
      <c r="L2446" s="320"/>
      <c r="M2446" s="320"/>
      <c r="N2446" s="320"/>
      <c r="O2446" s="320"/>
    </row>
    <row r="2447">
      <c r="A2447" s="32">
        <f t="shared" si="1"/>
        <v>2446</v>
      </c>
      <c r="B2447" s="9" t="s">
        <v>4425</v>
      </c>
      <c r="C2447" s="78" t="s">
        <v>4631</v>
      </c>
      <c r="D2447" s="668"/>
      <c r="E2447" s="596">
        <f>VLOOKUP($C2447,'HDPE PIPE'!$AD$5:$AI2469,5,0)</f>
        <v>26.02796403</v>
      </c>
      <c r="F2447" s="656" t="s">
        <v>1088</v>
      </c>
      <c r="G2447" s="596">
        <f>VLOOKUP($C2447,'HDPE PIPE'!$AD$5:$AI2469,6,0)</f>
        <v>9890.75</v>
      </c>
      <c r="H2447" s="320"/>
      <c r="I2447" s="320"/>
      <c r="J2447" s="320"/>
      <c r="K2447" s="320"/>
      <c r="L2447" s="320"/>
      <c r="M2447" s="320"/>
      <c r="N2447" s="320"/>
      <c r="O2447" s="320"/>
    </row>
    <row r="2448">
      <c r="A2448" s="32">
        <f t="shared" si="1"/>
        <v>2447</v>
      </c>
      <c r="B2448" s="9" t="s">
        <v>4425</v>
      </c>
      <c r="C2448" s="78" t="s">
        <v>4632</v>
      </c>
      <c r="D2448" s="668"/>
      <c r="E2448" s="596">
        <f>VLOOKUP($C2448,'HDPE PIPE'!$AJ$5:$AO2469,5,0)</f>
        <v>0.13309512</v>
      </c>
      <c r="F2448" s="656" t="s">
        <v>1088</v>
      </c>
      <c r="G2448" s="596">
        <f>VLOOKUP($C2448,'HDPE PIPE'!$AJ$5:$AO2469,6,0)</f>
        <v>50.5</v>
      </c>
      <c r="H2448" s="320"/>
      <c r="I2448" s="320"/>
      <c r="J2448" s="320"/>
      <c r="K2448" s="320"/>
      <c r="L2448" s="320"/>
      <c r="M2448" s="320"/>
      <c r="N2448" s="320"/>
      <c r="O2448" s="320"/>
    </row>
    <row r="2449">
      <c r="A2449" s="32">
        <f t="shared" si="1"/>
        <v>2448</v>
      </c>
      <c r="B2449" s="9" t="s">
        <v>4425</v>
      </c>
      <c r="C2449" s="78" t="s">
        <v>4633</v>
      </c>
      <c r="D2449" s="668"/>
      <c r="E2449" s="596">
        <f>VLOOKUP($C2449,'HDPE PIPE'!$AJ$5:$AO2469,5,0)</f>
        <v>0.200434464</v>
      </c>
      <c r="F2449" s="656" t="s">
        <v>1088</v>
      </c>
      <c r="G2449" s="596">
        <f>VLOOKUP($C2449,'HDPE PIPE'!$AJ$5:$AO2469,6,0)</f>
        <v>76.25</v>
      </c>
      <c r="H2449" s="320"/>
      <c r="I2449" s="320"/>
      <c r="J2449" s="320"/>
      <c r="K2449" s="320"/>
      <c r="L2449" s="320"/>
      <c r="M2449" s="320"/>
      <c r="N2449" s="320"/>
      <c r="O2449" s="320"/>
    </row>
    <row r="2450">
      <c r="A2450" s="32">
        <f t="shared" si="1"/>
        <v>2449</v>
      </c>
      <c r="B2450" s="9" t="s">
        <v>4425</v>
      </c>
      <c r="C2450" s="78" t="s">
        <v>4634</v>
      </c>
      <c r="D2450" s="668"/>
      <c r="E2450" s="596">
        <f>VLOOKUP($C2450,'HDPE PIPE'!$AJ$5:$AO2469,5,0)</f>
        <v>0.3286431456</v>
      </c>
      <c r="F2450" s="656" t="s">
        <v>1088</v>
      </c>
      <c r="G2450" s="596">
        <f>VLOOKUP($C2450,'HDPE PIPE'!$AJ$5:$AO2469,6,0)</f>
        <v>124.75</v>
      </c>
      <c r="H2450" s="320"/>
      <c r="I2450" s="320"/>
      <c r="J2450" s="320"/>
      <c r="K2450" s="320"/>
      <c r="L2450" s="320"/>
      <c r="M2450" s="320"/>
      <c r="N2450" s="320"/>
      <c r="O2450" s="320"/>
    </row>
    <row r="2451">
      <c r="A2451" s="32">
        <f t="shared" si="1"/>
        <v>2450</v>
      </c>
      <c r="B2451" s="9" t="s">
        <v>4425</v>
      </c>
      <c r="C2451" s="78" t="s">
        <v>4635</v>
      </c>
      <c r="D2451" s="668"/>
      <c r="E2451" s="596">
        <f>VLOOKUP($C2451,'HDPE PIPE'!$AJ$5:$AO2469,5,0)</f>
        <v>0.5125330944</v>
      </c>
      <c r="F2451" s="656" t="s">
        <v>1088</v>
      </c>
      <c r="G2451" s="596">
        <f>VLOOKUP($C2451,'HDPE PIPE'!$AJ$5:$AO2469,6,0)</f>
        <v>194.75</v>
      </c>
      <c r="H2451" s="320"/>
      <c r="I2451" s="320"/>
      <c r="J2451" s="320"/>
      <c r="K2451" s="320"/>
      <c r="L2451" s="320"/>
      <c r="M2451" s="320"/>
      <c r="N2451" s="320"/>
      <c r="O2451" s="320"/>
    </row>
    <row r="2452">
      <c r="A2452" s="32">
        <f t="shared" si="1"/>
        <v>2451</v>
      </c>
      <c r="B2452" s="9" t="s">
        <v>4425</v>
      </c>
      <c r="C2452" s="78" t="s">
        <v>4636</v>
      </c>
      <c r="D2452" s="668"/>
      <c r="E2452" s="596">
        <f>VLOOKUP($C2452,'HDPE PIPE'!$AJ$5:$AO2469,5,0)</f>
        <v>0.794159352</v>
      </c>
      <c r="F2452" s="656" t="s">
        <v>1088</v>
      </c>
      <c r="G2452" s="596">
        <f>VLOOKUP($C2452,'HDPE PIPE'!$AJ$5:$AO2469,6,0)</f>
        <v>301.75</v>
      </c>
      <c r="H2452" s="320"/>
      <c r="I2452" s="320"/>
      <c r="J2452" s="320"/>
      <c r="K2452" s="320"/>
      <c r="L2452" s="320"/>
      <c r="M2452" s="320"/>
      <c r="N2452" s="320"/>
      <c r="O2452" s="320"/>
    </row>
    <row r="2453">
      <c r="A2453" s="32">
        <f t="shared" si="1"/>
        <v>2452</v>
      </c>
      <c r="B2453" s="9" t="s">
        <v>4425</v>
      </c>
      <c r="C2453" s="78" t="s">
        <v>4637</v>
      </c>
      <c r="D2453" s="668"/>
      <c r="E2453" s="596">
        <f>VLOOKUP($C2453,'HDPE PIPE'!$AJ$5:$AO2469,5,0)</f>
        <v>1.245498854</v>
      </c>
      <c r="F2453" s="656" t="s">
        <v>1088</v>
      </c>
      <c r="G2453" s="596">
        <f>VLOOKUP($C2453,'HDPE PIPE'!$AJ$5:$AO2469,6,0)</f>
        <v>473.25</v>
      </c>
      <c r="H2453" s="320"/>
      <c r="I2453" s="320"/>
      <c r="J2453" s="320"/>
      <c r="K2453" s="320"/>
      <c r="L2453" s="320"/>
      <c r="M2453" s="320"/>
      <c r="N2453" s="320"/>
      <c r="O2453" s="320"/>
    </row>
    <row r="2454">
      <c r="A2454" s="32">
        <f t="shared" si="1"/>
        <v>2453</v>
      </c>
      <c r="B2454" s="9" t="s">
        <v>4425</v>
      </c>
      <c r="C2454" s="78" t="s">
        <v>4638</v>
      </c>
      <c r="D2454" s="668"/>
      <c r="E2454" s="596">
        <f>VLOOKUP($C2454,'HDPE PIPE'!$AJ$5:$AO2469,5,0)</f>
        <v>1.781182205</v>
      </c>
      <c r="F2454" s="656" t="s">
        <v>1088</v>
      </c>
      <c r="G2454" s="596">
        <f>VLOOKUP($C2454,'HDPE PIPE'!$AJ$5:$AO2469,6,0)</f>
        <v>676.75</v>
      </c>
      <c r="H2454" s="320"/>
      <c r="I2454" s="320"/>
      <c r="J2454" s="320"/>
      <c r="K2454" s="320"/>
      <c r="L2454" s="320"/>
      <c r="M2454" s="320"/>
      <c r="N2454" s="320"/>
      <c r="O2454" s="320"/>
    </row>
    <row r="2455">
      <c r="A2455" s="32">
        <f t="shared" si="1"/>
        <v>2454</v>
      </c>
      <c r="B2455" s="9" t="s">
        <v>4425</v>
      </c>
      <c r="C2455" s="78" t="s">
        <v>4639</v>
      </c>
      <c r="D2455" s="668"/>
      <c r="E2455" s="596">
        <f>VLOOKUP($C2455,'HDPE PIPE'!$AJ$5:$AO2469,5,0)</f>
        <v>2.537818536</v>
      </c>
      <c r="F2455" s="656" t="s">
        <v>1088</v>
      </c>
      <c r="G2455" s="596">
        <f>VLOOKUP($C2455,'HDPE PIPE'!$AJ$5:$AO2469,6,0)</f>
        <v>964.25</v>
      </c>
      <c r="H2455" s="320"/>
      <c r="I2455" s="320"/>
      <c r="J2455" s="320"/>
      <c r="K2455" s="320"/>
      <c r="L2455" s="320"/>
      <c r="M2455" s="320"/>
      <c r="N2455" s="320"/>
      <c r="O2455" s="320"/>
    </row>
    <row r="2456">
      <c r="A2456" s="32">
        <f t="shared" si="1"/>
        <v>2455</v>
      </c>
      <c r="B2456" s="9" t="s">
        <v>4425</v>
      </c>
      <c r="C2456" s="78" t="s">
        <v>4640</v>
      </c>
      <c r="D2456" s="668"/>
      <c r="E2456" s="596">
        <f>VLOOKUP($C2456,'HDPE PIPE'!$AJ$5:$AO2469,5,0)</f>
        <v>3.817303776</v>
      </c>
      <c r="F2456" s="656" t="s">
        <v>1088</v>
      </c>
      <c r="G2456" s="596">
        <f>VLOOKUP($C2456,'HDPE PIPE'!$AJ$5:$AO2469,6,0)</f>
        <v>1450.5</v>
      </c>
      <c r="H2456" s="320"/>
      <c r="I2456" s="320"/>
      <c r="J2456" s="320"/>
      <c r="K2456" s="320"/>
      <c r="L2456" s="320"/>
      <c r="M2456" s="320"/>
      <c r="N2456" s="320"/>
      <c r="O2456" s="320"/>
    </row>
    <row r="2457">
      <c r="A2457" s="32">
        <f t="shared" si="1"/>
        <v>2456</v>
      </c>
      <c r="B2457" s="9" t="s">
        <v>4425</v>
      </c>
      <c r="C2457" s="78" t="s">
        <v>4641</v>
      </c>
      <c r="D2457" s="668"/>
      <c r="E2457" s="596">
        <f>VLOOKUP($C2457,'HDPE PIPE'!$AJ$5:$AO2469,5,0)</f>
        <v>4.893941496</v>
      </c>
      <c r="F2457" s="656" t="s">
        <v>1088</v>
      </c>
      <c r="G2457" s="596">
        <f>VLOOKUP($C2457,'HDPE PIPE'!$AJ$5:$AO2469,6,0)</f>
        <v>1859.75</v>
      </c>
      <c r="H2457" s="320"/>
      <c r="I2457" s="320"/>
      <c r="J2457" s="320"/>
      <c r="K2457" s="320"/>
      <c r="L2457" s="320"/>
      <c r="M2457" s="320"/>
      <c r="N2457" s="320"/>
      <c r="O2457" s="320"/>
    </row>
    <row r="2458">
      <c r="A2458" s="32">
        <f t="shared" si="1"/>
        <v>2457</v>
      </c>
      <c r="B2458" s="9" t="s">
        <v>4425</v>
      </c>
      <c r="C2458" s="78" t="s">
        <v>4642</v>
      </c>
      <c r="D2458" s="668"/>
      <c r="E2458" s="596">
        <f>VLOOKUP($C2458,'HDPE PIPE'!$AJ$5:$AO2469,5,0)</f>
        <v>6.152689536</v>
      </c>
      <c r="F2458" s="656" t="s">
        <v>1088</v>
      </c>
      <c r="G2458" s="596">
        <f>VLOOKUP($C2458,'HDPE PIPE'!$AJ$5:$AO2469,6,0)</f>
        <v>2338</v>
      </c>
      <c r="H2458" s="320"/>
      <c r="I2458" s="320"/>
      <c r="J2458" s="320"/>
      <c r="K2458" s="320"/>
      <c r="L2458" s="320"/>
      <c r="M2458" s="320"/>
      <c r="N2458" s="320"/>
      <c r="O2458" s="320"/>
    </row>
    <row r="2459">
      <c r="A2459" s="32">
        <f t="shared" si="1"/>
        <v>2458</v>
      </c>
      <c r="B2459" s="9" t="s">
        <v>4425</v>
      </c>
      <c r="C2459" s="78" t="s">
        <v>4643</v>
      </c>
      <c r="D2459" s="668"/>
      <c r="E2459" s="596">
        <f>VLOOKUP($C2459,'HDPE PIPE'!$AJ$5:$AO2469,5,0)</f>
        <v>8.016813</v>
      </c>
      <c r="F2459" s="656" t="s">
        <v>1088</v>
      </c>
      <c r="G2459" s="596">
        <f>VLOOKUP($C2459,'HDPE PIPE'!$AJ$5:$AO2469,6,0)</f>
        <v>3046.5</v>
      </c>
      <c r="H2459" s="320"/>
      <c r="I2459" s="320"/>
      <c r="J2459" s="320"/>
      <c r="K2459" s="320"/>
      <c r="L2459" s="320"/>
      <c r="M2459" s="320"/>
      <c r="N2459" s="320"/>
      <c r="O2459" s="320"/>
    </row>
    <row r="2460">
      <c r="A2460" s="32">
        <f t="shared" si="1"/>
        <v>2459</v>
      </c>
      <c r="B2460" s="9" t="s">
        <v>4425</v>
      </c>
      <c r="C2460" s="78" t="s">
        <v>4644</v>
      </c>
      <c r="D2460" s="668"/>
      <c r="E2460" s="596">
        <f>VLOOKUP($C2460,'HDPE PIPE'!$AJ$5:$AO2469,5,0)</f>
        <v>10.12721899</v>
      </c>
      <c r="F2460" s="656" t="s">
        <v>1088</v>
      </c>
      <c r="G2460" s="596">
        <f>VLOOKUP($C2460,'HDPE PIPE'!$AJ$5:$AO2469,6,0)</f>
        <v>3848.5</v>
      </c>
      <c r="H2460" s="320"/>
      <c r="I2460" s="320"/>
      <c r="J2460" s="320"/>
      <c r="K2460" s="320"/>
      <c r="L2460" s="320"/>
      <c r="M2460" s="320"/>
      <c r="N2460" s="320"/>
      <c r="O2460" s="320"/>
    </row>
    <row r="2461">
      <c r="A2461" s="32">
        <f t="shared" si="1"/>
        <v>2460</v>
      </c>
      <c r="B2461" s="9" t="s">
        <v>4425</v>
      </c>
      <c r="C2461" s="78" t="s">
        <v>4645</v>
      </c>
      <c r="D2461" s="668"/>
      <c r="E2461" s="596">
        <f>VLOOKUP($C2461,'HDPE PIPE'!$AJ$5:$AO2469,5,0)</f>
        <v>12.55347139</v>
      </c>
      <c r="F2461" s="656" t="s">
        <v>1088</v>
      </c>
      <c r="G2461" s="596">
        <f>VLOOKUP($C2461,'HDPE PIPE'!$AJ$5:$AO2469,6,0)</f>
        <v>4770.5</v>
      </c>
      <c r="H2461" s="320"/>
      <c r="I2461" s="320"/>
      <c r="J2461" s="320"/>
      <c r="K2461" s="320"/>
      <c r="L2461" s="320"/>
      <c r="M2461" s="320"/>
      <c r="N2461" s="320"/>
      <c r="O2461" s="320"/>
    </row>
    <row r="2462">
      <c r="A2462" s="32">
        <f t="shared" si="1"/>
        <v>2461</v>
      </c>
      <c r="B2462" s="9" t="s">
        <v>4425</v>
      </c>
      <c r="C2462" s="78" t="s">
        <v>4646</v>
      </c>
      <c r="D2462" s="668"/>
      <c r="E2462" s="596">
        <f>VLOOKUP($C2462,'HDPE PIPE'!$AJ$5:$AO2469,5,0)</f>
        <v>15.81824567</v>
      </c>
      <c r="F2462" s="656" t="s">
        <v>1088</v>
      </c>
      <c r="G2462" s="596">
        <f>VLOOKUP($C2462,'HDPE PIPE'!$AJ$5:$AO2469,6,0)</f>
        <v>6011</v>
      </c>
      <c r="H2462" s="320"/>
      <c r="I2462" s="320"/>
      <c r="J2462" s="320"/>
      <c r="K2462" s="320"/>
      <c r="L2462" s="320"/>
      <c r="M2462" s="320"/>
      <c r="N2462" s="320"/>
      <c r="O2462" s="320"/>
    </row>
    <row r="2463">
      <c r="A2463" s="32">
        <f t="shared" si="1"/>
        <v>2462</v>
      </c>
      <c r="B2463" s="9" t="s">
        <v>4425</v>
      </c>
      <c r="C2463" s="78" t="s">
        <v>4647</v>
      </c>
      <c r="D2463" s="668"/>
      <c r="E2463" s="596">
        <f>VLOOKUP($C2463,'HDPE PIPE'!$AJ$5:$AO2469,5,0)</f>
        <v>19.53794887</v>
      </c>
      <c r="F2463" s="656" t="s">
        <v>1088</v>
      </c>
      <c r="G2463" s="596">
        <f>VLOOKUP($C2463,'HDPE PIPE'!$AJ$5:$AO2469,6,0)</f>
        <v>7424.5</v>
      </c>
      <c r="H2463" s="320"/>
      <c r="I2463" s="320"/>
      <c r="J2463" s="320"/>
      <c r="K2463" s="320"/>
      <c r="L2463" s="320"/>
      <c r="M2463" s="320"/>
      <c r="N2463" s="320"/>
      <c r="O2463" s="320"/>
    </row>
    <row r="2464">
      <c r="A2464" s="32">
        <f t="shared" si="1"/>
        <v>2463</v>
      </c>
      <c r="B2464" s="9" t="s">
        <v>4425</v>
      </c>
      <c r="C2464" s="78" t="s">
        <v>4648</v>
      </c>
      <c r="D2464" s="668"/>
      <c r="E2464" s="596">
        <f>VLOOKUP($C2464,'HDPE PIPE'!$AJ$5:$AO2469,5,0)</f>
        <v>24.57335578</v>
      </c>
      <c r="F2464" s="656" t="s">
        <v>1088</v>
      </c>
      <c r="G2464" s="596">
        <f>VLOOKUP($C2464,'HDPE PIPE'!$AJ$5:$AO2469,6,0)</f>
        <v>9337.75</v>
      </c>
      <c r="H2464" s="320"/>
      <c r="I2464" s="320"/>
      <c r="J2464" s="320"/>
      <c r="K2464" s="320"/>
      <c r="L2464" s="320"/>
      <c r="M2464" s="320"/>
      <c r="N2464" s="320"/>
      <c r="O2464" s="320"/>
    </row>
    <row r="2465">
      <c r="A2465" s="32">
        <f t="shared" si="1"/>
        <v>2464</v>
      </c>
      <c r="B2465" s="9" t="s">
        <v>4425</v>
      </c>
      <c r="C2465" s="78" t="s">
        <v>4649</v>
      </c>
      <c r="D2465" s="668"/>
      <c r="E2465" s="596">
        <f>VLOOKUP($C2465,'HDPE PIPE'!$AJ$5:$AO2469,5,0)</f>
        <v>30.98359078</v>
      </c>
      <c r="F2465" s="656" t="s">
        <v>1088</v>
      </c>
      <c r="G2465" s="596">
        <f>VLOOKUP($C2465,'HDPE PIPE'!$AJ$5:$AO2469,6,0)</f>
        <v>11773.75</v>
      </c>
      <c r="H2465" s="320"/>
      <c r="I2465" s="320"/>
      <c r="J2465" s="320"/>
      <c r="K2465" s="320"/>
      <c r="L2465" s="320"/>
      <c r="M2465" s="320"/>
      <c r="N2465" s="320"/>
      <c r="O2465" s="320"/>
    </row>
    <row r="2466">
      <c r="A2466" s="32"/>
      <c r="B2466" s="9"/>
      <c r="C2466" s="78"/>
      <c r="D2466" s="668"/>
      <c r="E2466" s="18"/>
      <c r="F2466" s="656"/>
      <c r="G2466" s="668"/>
      <c r="H2466" s="320"/>
      <c r="I2466" s="320"/>
      <c r="J2466" s="320"/>
      <c r="K2466" s="320"/>
      <c r="L2466" s="320"/>
      <c r="M2466" s="320"/>
      <c r="N2466" s="320"/>
      <c r="O2466" s="320"/>
    </row>
    <row r="2467">
      <c r="A2467" s="32"/>
      <c r="B2467" s="9"/>
      <c r="C2467" s="78"/>
      <c r="D2467" s="668"/>
      <c r="E2467" s="18"/>
      <c r="F2467" s="656"/>
      <c r="G2467" s="668"/>
      <c r="H2467" s="320"/>
      <c r="I2467" s="320"/>
      <c r="J2467" s="320"/>
      <c r="K2467" s="320"/>
      <c r="L2467" s="320"/>
      <c r="M2467" s="320"/>
      <c r="N2467" s="320"/>
      <c r="O2467" s="320"/>
    </row>
    <row r="2468">
      <c r="A2468" s="32"/>
      <c r="B2468" s="9"/>
      <c r="C2468" s="78"/>
      <c r="D2468" s="668"/>
      <c r="E2468" s="18"/>
      <c r="F2468" s="656"/>
      <c r="G2468" s="668"/>
      <c r="H2468" s="320"/>
      <c r="I2468" s="320"/>
      <c r="J2468" s="320"/>
      <c r="K2468" s="320"/>
      <c r="L2468" s="320"/>
      <c r="M2468" s="320"/>
      <c r="N2468" s="320"/>
      <c r="O2468" s="320"/>
    </row>
    <row r="2469">
      <c r="A2469" s="32"/>
      <c r="B2469" s="9"/>
      <c r="C2469" s="78"/>
      <c r="D2469" s="668"/>
      <c r="E2469" s="18"/>
      <c r="F2469" s="656"/>
      <c r="G2469" s="668"/>
      <c r="H2469" s="320"/>
      <c r="I2469" s="320"/>
      <c r="J2469" s="320"/>
      <c r="K2469" s="320"/>
      <c r="L2469" s="320"/>
      <c r="M2469" s="320"/>
      <c r="N2469" s="320"/>
      <c r="O2469" s="3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5"/>
    <col customWidth="1" min="2" max="2" width="6.0"/>
    <col customWidth="1" min="3" max="3" width="6.5"/>
    <col customWidth="1" min="4" max="4" width="4.13"/>
    <col customWidth="1" min="5" max="5" width="5.38"/>
    <col customWidth="1" min="6" max="6" width="9.13"/>
    <col customWidth="1" min="7" max="7" width="7.63"/>
    <col customWidth="1" min="8" max="8" width="6.88"/>
    <col customWidth="1" min="9" max="9" width="9.75"/>
    <col customWidth="1" min="10" max="10" width="7.88"/>
    <col customWidth="1" min="11" max="15" width="6.88"/>
  </cols>
  <sheetData>
    <row r="1" ht="11.25" customHeight="1">
      <c r="A1" s="7" t="s">
        <v>1</v>
      </c>
      <c r="B1" s="16"/>
      <c r="C1" s="16"/>
      <c r="D1" s="16"/>
      <c r="E1" s="16"/>
      <c r="F1" s="20"/>
      <c r="G1" s="22"/>
      <c r="H1" s="22"/>
      <c r="I1" s="20"/>
      <c r="J1" s="24"/>
      <c r="K1" s="24"/>
      <c r="L1" s="24"/>
      <c r="M1" s="24"/>
      <c r="N1" s="24"/>
      <c r="O1" s="24"/>
    </row>
    <row r="2" ht="28.5" customHeight="1">
      <c r="A2" s="26"/>
      <c r="B2" s="28" t="s">
        <v>0</v>
      </c>
      <c r="C2" s="30" t="s">
        <v>18</v>
      </c>
      <c r="D2" s="33" t="s">
        <v>21</v>
      </c>
      <c r="E2" s="33" t="s">
        <v>24</v>
      </c>
      <c r="F2" s="36" t="s">
        <v>25</v>
      </c>
      <c r="G2" s="33" t="s">
        <v>6</v>
      </c>
      <c r="H2" s="33" t="s">
        <v>26</v>
      </c>
      <c r="I2" s="38" t="s">
        <v>8</v>
      </c>
      <c r="J2" s="39"/>
      <c r="K2" s="39"/>
      <c r="L2" s="39"/>
      <c r="M2" s="39"/>
      <c r="N2" s="39"/>
      <c r="O2" s="39"/>
    </row>
    <row r="3" ht="30.0" customHeight="1">
      <c r="A3" s="26"/>
      <c r="B3" s="41"/>
      <c r="C3" s="41"/>
      <c r="D3" s="41"/>
      <c r="E3" s="41"/>
      <c r="F3" s="41"/>
      <c r="G3" s="41"/>
      <c r="H3" s="41"/>
      <c r="I3" s="41"/>
      <c r="J3" s="39"/>
      <c r="K3" s="39"/>
      <c r="L3" s="39"/>
      <c r="M3" s="39"/>
      <c r="N3" s="39"/>
      <c r="O3" s="39"/>
    </row>
    <row r="4">
      <c r="A4" s="16"/>
      <c r="B4" s="44" t="s">
        <v>31</v>
      </c>
      <c r="C4" s="45"/>
      <c r="D4" s="45"/>
      <c r="E4" s="45"/>
      <c r="F4" s="46"/>
      <c r="G4" s="15"/>
      <c r="H4" s="48"/>
      <c r="I4" s="49"/>
      <c r="J4" s="39"/>
      <c r="K4" s="24"/>
      <c r="L4" s="24"/>
      <c r="M4" s="24"/>
      <c r="N4" s="24"/>
      <c r="O4" s="24"/>
    </row>
    <row r="5">
      <c r="A5" s="16"/>
      <c r="B5" s="51">
        <v>1.0</v>
      </c>
      <c r="C5" s="53" t="s">
        <v>12</v>
      </c>
      <c r="D5" s="51" t="s">
        <v>43</v>
      </c>
      <c r="E5" s="54">
        <v>15.0</v>
      </c>
      <c r="F5" s="56">
        <v>237.0</v>
      </c>
      <c r="G5" s="58">
        <v>0.36</v>
      </c>
      <c r="H5" s="59">
        <f t="shared" ref="H5:H10" si="1">IFERROR(F5/G5,"")</f>
        <v>658.3333333</v>
      </c>
      <c r="I5" s="60">
        <v>237.0</v>
      </c>
      <c r="J5" s="39"/>
      <c r="K5" s="24"/>
      <c r="L5" s="24"/>
      <c r="M5" s="24"/>
      <c r="N5" s="24"/>
      <c r="O5" s="24"/>
    </row>
    <row r="6">
      <c r="A6" s="16"/>
      <c r="B6" s="51">
        <v>2.0</v>
      </c>
      <c r="C6" s="53" t="s">
        <v>22</v>
      </c>
      <c r="D6" s="51" t="s">
        <v>51</v>
      </c>
      <c r="E6" s="54">
        <v>20.0</v>
      </c>
      <c r="F6" s="61">
        <v>369.0</v>
      </c>
      <c r="G6" s="58">
        <v>0.62</v>
      </c>
      <c r="H6" s="59">
        <f t="shared" si="1"/>
        <v>595.1612903</v>
      </c>
      <c r="I6" s="63">
        <v>369.0</v>
      </c>
      <c r="J6" s="39"/>
      <c r="K6" s="24"/>
      <c r="L6" s="24"/>
      <c r="M6" s="24"/>
      <c r="N6" s="24"/>
      <c r="O6" s="24"/>
    </row>
    <row r="7">
      <c r="A7" s="16"/>
      <c r="B7" s="51">
        <v>3.0</v>
      </c>
      <c r="C7" s="53" t="s">
        <v>27</v>
      </c>
      <c r="D7" s="51">
        <v>1.0</v>
      </c>
      <c r="E7" s="54">
        <v>25.0</v>
      </c>
      <c r="F7" s="61">
        <v>597.0</v>
      </c>
      <c r="G7" s="58">
        <v>1.0</v>
      </c>
      <c r="H7" s="59">
        <f t="shared" si="1"/>
        <v>597</v>
      </c>
      <c r="I7" s="63">
        <v>597.0</v>
      </c>
      <c r="J7" s="39"/>
      <c r="K7" s="24"/>
      <c r="L7" s="24"/>
      <c r="M7" s="24"/>
      <c r="N7" s="24"/>
      <c r="O7" s="24"/>
    </row>
    <row r="8">
      <c r="A8" s="16"/>
      <c r="B8" s="51">
        <v>4.0</v>
      </c>
      <c r="C8" s="53" t="s">
        <v>29</v>
      </c>
      <c r="D8" s="51" t="s">
        <v>55</v>
      </c>
      <c r="E8" s="54">
        <v>32.0</v>
      </c>
      <c r="F8" s="61">
        <v>927.0</v>
      </c>
      <c r="G8" s="58">
        <v>1.5</v>
      </c>
      <c r="H8" s="59">
        <f t="shared" si="1"/>
        <v>618</v>
      </c>
      <c r="I8" s="63">
        <v>927.0</v>
      </c>
      <c r="J8" s="39"/>
      <c r="K8" s="24"/>
      <c r="L8" s="24"/>
      <c r="M8" s="24"/>
      <c r="N8" s="24"/>
      <c r="O8" s="24"/>
    </row>
    <row r="9">
      <c r="A9" s="16"/>
      <c r="B9" s="51">
        <v>5.0</v>
      </c>
      <c r="C9" s="53" t="s">
        <v>33</v>
      </c>
      <c r="D9" s="51" t="s">
        <v>56</v>
      </c>
      <c r="E9" s="54">
        <v>40.0</v>
      </c>
      <c r="F9" s="61">
        <v>1287.0</v>
      </c>
      <c r="G9" s="58">
        <v>2.05</v>
      </c>
      <c r="H9" s="59">
        <f t="shared" si="1"/>
        <v>627.804878</v>
      </c>
      <c r="I9" s="63">
        <v>1287.0</v>
      </c>
      <c r="J9" s="39"/>
      <c r="K9" s="24"/>
      <c r="L9" s="24"/>
      <c r="M9" s="24"/>
      <c r="N9" s="24"/>
      <c r="O9" s="24"/>
    </row>
    <row r="10">
      <c r="A10" s="16"/>
      <c r="B10" s="51">
        <v>6.0</v>
      </c>
      <c r="C10" s="53" t="s">
        <v>39</v>
      </c>
      <c r="D10" s="51">
        <v>2.0</v>
      </c>
      <c r="E10" s="54">
        <v>50.0</v>
      </c>
      <c r="F10" s="61">
        <v>2196.0</v>
      </c>
      <c r="G10" s="58">
        <v>3.5</v>
      </c>
      <c r="H10" s="59">
        <f t="shared" si="1"/>
        <v>627.4285714</v>
      </c>
      <c r="I10" s="63">
        <v>2196.0</v>
      </c>
      <c r="J10" s="39"/>
      <c r="K10" s="24"/>
      <c r="L10" s="24"/>
      <c r="M10" s="24"/>
      <c r="N10" s="24"/>
      <c r="O10" s="24"/>
    </row>
    <row r="11">
      <c r="A11" s="16"/>
      <c r="B11" s="44" t="s">
        <v>11</v>
      </c>
      <c r="C11" s="45"/>
      <c r="D11" s="46"/>
      <c r="E11" s="66"/>
      <c r="F11" s="69">
        <f>SUM(F5:F10)</f>
        <v>5613</v>
      </c>
      <c r="G11" s="71"/>
      <c r="H11" s="73"/>
      <c r="I11" s="69">
        <f>SUM(I5:I10)</f>
        <v>5613</v>
      </c>
      <c r="J11" s="39"/>
      <c r="K11" s="74"/>
      <c r="L11" s="74"/>
      <c r="M11" s="74"/>
      <c r="N11" s="74"/>
      <c r="O11" s="74"/>
    </row>
    <row r="12" ht="6.75" customHeight="1">
      <c r="A12" s="16"/>
      <c r="B12" s="16"/>
      <c r="C12" s="16"/>
      <c r="D12" s="16"/>
      <c r="E12" s="16"/>
      <c r="F12" s="20"/>
      <c r="G12" s="75"/>
      <c r="H12" s="20"/>
      <c r="I12" s="20"/>
      <c r="J12" s="39"/>
      <c r="K12" s="24"/>
      <c r="L12" s="24"/>
      <c r="M12" s="24"/>
      <c r="N12" s="24"/>
      <c r="O12" s="24"/>
    </row>
    <row r="13">
      <c r="A13" s="16"/>
      <c r="B13" s="77" t="s">
        <v>64</v>
      </c>
      <c r="C13" s="45"/>
      <c r="D13" s="45"/>
      <c r="E13" s="45"/>
      <c r="F13" s="46"/>
      <c r="G13" s="79"/>
      <c r="H13" s="80"/>
      <c r="I13" s="49"/>
      <c r="J13" s="39"/>
      <c r="K13" s="24"/>
      <c r="L13" s="24"/>
      <c r="M13" s="24"/>
      <c r="N13" s="24"/>
      <c r="O13" s="24"/>
    </row>
    <row r="14">
      <c r="A14" s="16"/>
      <c r="B14" s="81">
        <v>7.0</v>
      </c>
      <c r="C14" s="82" t="s">
        <v>49</v>
      </c>
      <c r="D14" s="51" t="s">
        <v>69</v>
      </c>
      <c r="E14" s="83">
        <v>65.0</v>
      </c>
      <c r="F14" s="56">
        <v>4480.0</v>
      </c>
      <c r="G14" s="58">
        <v>6.326</v>
      </c>
      <c r="H14" s="59">
        <f t="shared" ref="H14:H17" si="2">IFERROR(F14/G14,"")</f>
        <v>708.1884287</v>
      </c>
      <c r="I14" s="60">
        <v>4480.0</v>
      </c>
      <c r="J14" s="39"/>
      <c r="K14" s="24"/>
      <c r="L14" s="24"/>
      <c r="M14" s="24"/>
      <c r="N14" s="24"/>
      <c r="O14" s="24"/>
    </row>
    <row r="15">
      <c r="A15" s="16"/>
      <c r="B15" s="81">
        <v>8.0</v>
      </c>
      <c r="C15" s="86" t="s">
        <v>53</v>
      </c>
      <c r="D15" s="51">
        <v>3.0</v>
      </c>
      <c r="E15" s="83">
        <v>80.0</v>
      </c>
      <c r="F15" s="61">
        <v>5980.0</v>
      </c>
      <c r="G15" s="58">
        <v>8.473</v>
      </c>
      <c r="H15" s="59">
        <f t="shared" si="2"/>
        <v>705.7712735</v>
      </c>
      <c r="I15" s="63">
        <v>5980.0</v>
      </c>
      <c r="J15" s="39"/>
      <c r="K15" s="24"/>
      <c r="L15" s="24"/>
      <c r="M15" s="24"/>
      <c r="N15" s="24"/>
      <c r="O15" s="24"/>
    </row>
    <row r="16">
      <c r="A16" s="16"/>
      <c r="B16" s="81">
        <v>9.0</v>
      </c>
      <c r="C16" s="86" t="s">
        <v>57</v>
      </c>
      <c r="D16" s="51">
        <v>4.0</v>
      </c>
      <c r="E16" s="83">
        <v>100.0</v>
      </c>
      <c r="F16" s="61">
        <v>8680.0</v>
      </c>
      <c r="G16" s="58">
        <v>12.39</v>
      </c>
      <c r="H16" s="59">
        <f t="shared" si="2"/>
        <v>700.5649718</v>
      </c>
      <c r="I16" s="63">
        <v>8680.0</v>
      </c>
      <c r="J16" s="39"/>
      <c r="K16" s="24"/>
      <c r="L16" s="24"/>
      <c r="M16" s="24"/>
      <c r="N16" s="24"/>
      <c r="O16" s="24"/>
    </row>
    <row r="17">
      <c r="A17" s="16"/>
      <c r="B17" s="81">
        <v>10.0</v>
      </c>
      <c r="C17" s="86" t="s">
        <v>62</v>
      </c>
      <c r="D17" s="51">
        <v>6.0</v>
      </c>
      <c r="E17" s="83">
        <v>150.0</v>
      </c>
      <c r="F17" s="61">
        <v>16800.0</v>
      </c>
      <c r="G17" s="58">
        <v>23.651</v>
      </c>
      <c r="H17" s="59">
        <f t="shared" si="2"/>
        <v>710.329373</v>
      </c>
      <c r="I17" s="63">
        <v>16800.0</v>
      </c>
      <c r="J17" s="39"/>
      <c r="K17" s="24"/>
      <c r="L17" s="24"/>
      <c r="M17" s="24"/>
      <c r="N17" s="24"/>
      <c r="O17" s="24"/>
    </row>
    <row r="18">
      <c r="A18" s="16"/>
      <c r="B18" s="44" t="s">
        <v>11</v>
      </c>
      <c r="C18" s="45"/>
      <c r="D18" s="46"/>
      <c r="E18" s="66"/>
      <c r="F18" s="69">
        <f>SUM(F14:F17)</f>
        <v>35940</v>
      </c>
      <c r="G18" s="73"/>
      <c r="H18" s="73"/>
      <c r="I18" s="69">
        <f>SUM(I14:I17)</f>
        <v>35940</v>
      </c>
      <c r="J18" s="39"/>
      <c r="K18" s="74"/>
      <c r="L18" s="74"/>
      <c r="M18" s="74"/>
      <c r="N18" s="74"/>
      <c r="O18" s="74"/>
    </row>
    <row r="19" ht="7.5" customHeight="1">
      <c r="A19" s="16"/>
      <c r="B19" s="16"/>
      <c r="C19" s="16"/>
      <c r="D19" s="16"/>
      <c r="E19" s="16"/>
      <c r="F19" s="20"/>
      <c r="G19" s="20"/>
      <c r="H19" s="20"/>
      <c r="I19" s="20"/>
      <c r="J19" s="39"/>
      <c r="K19" s="24"/>
      <c r="L19" s="24"/>
      <c r="M19" s="24"/>
      <c r="N19" s="24"/>
      <c r="O19" s="24"/>
    </row>
    <row r="20">
      <c r="A20" s="16"/>
      <c r="B20" s="77" t="s">
        <v>74</v>
      </c>
      <c r="C20" s="45"/>
      <c r="D20" s="45"/>
      <c r="E20" s="45"/>
      <c r="F20" s="46"/>
      <c r="G20" s="20"/>
      <c r="H20" s="20"/>
      <c r="I20" s="20"/>
      <c r="J20" s="39"/>
      <c r="K20" s="24"/>
      <c r="L20" s="24"/>
      <c r="M20" s="24"/>
      <c r="N20" s="24"/>
      <c r="O20" s="24"/>
    </row>
    <row r="21">
      <c r="A21" s="16"/>
      <c r="B21" s="81">
        <v>11.0</v>
      </c>
      <c r="C21" s="91" t="s">
        <v>75</v>
      </c>
      <c r="D21" s="93" t="s">
        <v>43</v>
      </c>
      <c r="E21" s="93">
        <v>15.0</v>
      </c>
      <c r="F21" s="56">
        <v>395.0</v>
      </c>
      <c r="G21" s="75">
        <f t="shared" ref="G21:G26" si="3">(G5/3)*5</f>
        <v>0.6</v>
      </c>
      <c r="H21" s="59">
        <f t="shared" ref="H21:H26" si="4">IFERROR(F21/G21,"")</f>
        <v>658.3333333</v>
      </c>
      <c r="I21" s="60">
        <v>395.0</v>
      </c>
      <c r="J21" s="39"/>
      <c r="K21" s="24"/>
      <c r="L21" s="24"/>
      <c r="M21" s="24"/>
      <c r="N21" s="24"/>
      <c r="O21" s="24"/>
    </row>
    <row r="22">
      <c r="A22" s="16"/>
      <c r="B22" s="81">
        <v>12.0</v>
      </c>
      <c r="C22" s="91" t="s">
        <v>79</v>
      </c>
      <c r="D22" s="93" t="s">
        <v>51</v>
      </c>
      <c r="E22" s="93">
        <v>20.0</v>
      </c>
      <c r="F22" s="56">
        <v>615.0</v>
      </c>
      <c r="G22" s="75">
        <f t="shared" si="3"/>
        <v>1.033333333</v>
      </c>
      <c r="H22" s="59">
        <f t="shared" si="4"/>
        <v>595.1612903</v>
      </c>
      <c r="I22" s="63">
        <v>615.0</v>
      </c>
      <c r="J22" s="39"/>
      <c r="K22" s="24"/>
      <c r="L22" s="24"/>
      <c r="M22" s="24"/>
      <c r="N22" s="24"/>
      <c r="O22" s="24"/>
    </row>
    <row r="23">
      <c r="A23" s="16"/>
      <c r="B23" s="81">
        <v>13.0</v>
      </c>
      <c r="C23" s="91" t="s">
        <v>82</v>
      </c>
      <c r="D23" s="93">
        <v>1.0</v>
      </c>
      <c r="E23" s="93">
        <v>25.0</v>
      </c>
      <c r="F23" s="56">
        <v>995.0</v>
      </c>
      <c r="G23" s="75">
        <f t="shared" si="3"/>
        <v>1.666666667</v>
      </c>
      <c r="H23" s="59">
        <f t="shared" si="4"/>
        <v>597</v>
      </c>
      <c r="I23" s="63">
        <v>995.0</v>
      </c>
      <c r="J23" s="39"/>
      <c r="K23" s="24"/>
      <c r="L23" s="24"/>
      <c r="M23" s="24"/>
      <c r="N23" s="24"/>
      <c r="O23" s="24"/>
    </row>
    <row r="24">
      <c r="A24" s="16"/>
      <c r="B24" s="81">
        <v>14.0</v>
      </c>
      <c r="C24" s="91" t="s">
        <v>83</v>
      </c>
      <c r="D24" s="93" t="s">
        <v>55</v>
      </c>
      <c r="E24" s="93">
        <v>32.0</v>
      </c>
      <c r="F24" s="56">
        <v>1545.0</v>
      </c>
      <c r="G24" s="75">
        <f t="shared" si="3"/>
        <v>2.5</v>
      </c>
      <c r="H24" s="59">
        <f t="shared" si="4"/>
        <v>618</v>
      </c>
      <c r="I24" s="63">
        <v>1545.0</v>
      </c>
      <c r="J24" s="39"/>
      <c r="K24" s="24"/>
      <c r="L24" s="24"/>
      <c r="M24" s="24"/>
      <c r="N24" s="24"/>
      <c r="O24" s="24"/>
    </row>
    <row r="25">
      <c r="A25" s="16"/>
      <c r="B25" s="81">
        <v>15.0</v>
      </c>
      <c r="C25" s="91" t="s">
        <v>88</v>
      </c>
      <c r="D25" s="93" t="s">
        <v>56</v>
      </c>
      <c r="E25" s="93">
        <v>40.0</v>
      </c>
      <c r="F25" s="56">
        <v>2145.0</v>
      </c>
      <c r="G25" s="75">
        <f t="shared" si="3"/>
        <v>3.416666667</v>
      </c>
      <c r="H25" s="59">
        <f t="shared" si="4"/>
        <v>627.804878</v>
      </c>
      <c r="I25" s="63">
        <v>2145.0</v>
      </c>
      <c r="J25" s="39"/>
      <c r="K25" s="24"/>
      <c r="L25" s="24"/>
      <c r="M25" s="24"/>
      <c r="N25" s="24"/>
      <c r="O25" s="24"/>
    </row>
    <row r="26">
      <c r="A26" s="16"/>
      <c r="B26" s="81">
        <v>16.0</v>
      </c>
      <c r="C26" s="91" t="s">
        <v>91</v>
      </c>
      <c r="D26" s="93">
        <v>2.0</v>
      </c>
      <c r="E26" s="93">
        <v>50.0</v>
      </c>
      <c r="F26" s="56">
        <v>3660.0</v>
      </c>
      <c r="G26" s="75">
        <f t="shared" si="3"/>
        <v>5.833333333</v>
      </c>
      <c r="H26" s="59">
        <f t="shared" si="4"/>
        <v>627.4285714</v>
      </c>
      <c r="I26" s="63">
        <v>3660.0</v>
      </c>
      <c r="J26" s="39"/>
      <c r="K26" s="24"/>
      <c r="L26" s="24"/>
      <c r="M26" s="24"/>
      <c r="N26" s="24"/>
      <c r="O26" s="24"/>
    </row>
    <row r="27">
      <c r="A27" s="16"/>
      <c r="B27" s="95" t="s">
        <v>11</v>
      </c>
      <c r="C27" s="45"/>
      <c r="D27" s="45"/>
      <c r="E27" s="46"/>
      <c r="F27" s="96">
        <f>SUM(F21:F26)</f>
        <v>9355</v>
      </c>
      <c r="G27" s="20"/>
      <c r="H27" s="20"/>
      <c r="I27" s="96">
        <f>SUM(I21:I26)</f>
        <v>9355</v>
      </c>
      <c r="J27" s="39"/>
      <c r="K27" s="24"/>
      <c r="L27" s="24"/>
      <c r="M27" s="24"/>
      <c r="N27" s="24"/>
      <c r="O27" s="24"/>
    </row>
    <row r="28" ht="6.0" customHeight="1">
      <c r="A28" s="16"/>
      <c r="B28" s="16"/>
      <c r="C28" s="16"/>
      <c r="D28" s="16"/>
      <c r="E28" s="16"/>
      <c r="F28" s="20"/>
      <c r="G28" s="20"/>
      <c r="H28" s="20"/>
      <c r="I28" s="20"/>
      <c r="J28" s="39"/>
      <c r="K28" s="24"/>
      <c r="L28" s="24"/>
      <c r="M28" s="24"/>
      <c r="N28" s="24"/>
      <c r="O28" s="24"/>
    </row>
    <row r="29">
      <c r="A29" s="16"/>
      <c r="B29" s="77" t="s">
        <v>96</v>
      </c>
      <c r="C29" s="45"/>
      <c r="D29" s="45"/>
      <c r="E29" s="45"/>
      <c r="F29" s="46"/>
      <c r="G29" s="20"/>
      <c r="H29" s="20"/>
      <c r="I29" s="20"/>
      <c r="J29" s="39"/>
      <c r="K29" s="24"/>
      <c r="L29" s="24"/>
      <c r="M29" s="24"/>
      <c r="N29" s="24"/>
      <c r="O29" s="24"/>
    </row>
    <row r="30">
      <c r="A30" s="16"/>
      <c r="B30" s="81">
        <v>17.0</v>
      </c>
      <c r="C30" s="97" t="s">
        <v>99</v>
      </c>
      <c r="D30" s="98" t="s">
        <v>69</v>
      </c>
      <c r="E30" s="99">
        <v>65.0</v>
      </c>
      <c r="F30" s="56">
        <v>7466.67</v>
      </c>
      <c r="G30" s="75">
        <f t="shared" ref="G30:G33" si="5">(G14/3)*5</f>
        <v>10.54333333</v>
      </c>
      <c r="H30" s="59">
        <f t="shared" ref="H30:H33" si="6">IFERROR(F30/G30,"")</f>
        <v>708.1887449</v>
      </c>
      <c r="I30" s="60">
        <v>7466.67</v>
      </c>
      <c r="J30" s="39"/>
      <c r="K30" s="24"/>
      <c r="L30" s="24"/>
      <c r="M30" s="24"/>
      <c r="N30" s="24"/>
      <c r="O30" s="24"/>
    </row>
    <row r="31">
      <c r="A31" s="16"/>
      <c r="B31" s="81">
        <v>18.0</v>
      </c>
      <c r="C31" s="101" t="s">
        <v>113</v>
      </c>
      <c r="D31" s="93">
        <v>3.0</v>
      </c>
      <c r="E31" s="101">
        <v>80.0</v>
      </c>
      <c r="F31" s="56">
        <v>9966.67</v>
      </c>
      <c r="G31" s="75">
        <f t="shared" si="5"/>
        <v>14.12166667</v>
      </c>
      <c r="H31" s="59">
        <f t="shared" si="6"/>
        <v>705.7715095</v>
      </c>
      <c r="I31" s="63">
        <v>9966.67</v>
      </c>
      <c r="J31" s="39"/>
      <c r="K31" s="24"/>
      <c r="L31" s="24"/>
      <c r="M31" s="24"/>
      <c r="N31" s="24"/>
      <c r="O31" s="24"/>
    </row>
    <row r="32">
      <c r="A32" s="16"/>
      <c r="B32" s="81">
        <v>19.0</v>
      </c>
      <c r="C32" s="101" t="s">
        <v>116</v>
      </c>
      <c r="D32" s="93">
        <v>4.0</v>
      </c>
      <c r="E32" s="101">
        <v>100.0</v>
      </c>
      <c r="F32" s="56">
        <v>14466.67</v>
      </c>
      <c r="G32" s="75">
        <f t="shared" si="5"/>
        <v>20.65</v>
      </c>
      <c r="H32" s="59">
        <f t="shared" si="6"/>
        <v>700.5651332</v>
      </c>
      <c r="I32" s="63">
        <v>14466.67</v>
      </c>
      <c r="J32" s="39"/>
      <c r="K32" s="24"/>
      <c r="L32" s="24"/>
      <c r="M32" s="24"/>
      <c r="N32" s="24"/>
      <c r="O32" s="24"/>
    </row>
    <row r="33">
      <c r="A33" s="16"/>
      <c r="B33" s="81">
        <v>20.0</v>
      </c>
      <c r="C33" s="101" t="s">
        <v>117</v>
      </c>
      <c r="D33" s="93">
        <v>6.0</v>
      </c>
      <c r="E33" s="101">
        <v>150.0</v>
      </c>
      <c r="F33" s="56">
        <v>28000.0</v>
      </c>
      <c r="G33" s="75">
        <f t="shared" si="5"/>
        <v>39.41833333</v>
      </c>
      <c r="H33" s="59">
        <f t="shared" si="6"/>
        <v>710.329373</v>
      </c>
      <c r="I33" s="63">
        <v>28000.0</v>
      </c>
      <c r="J33" s="39"/>
      <c r="K33" s="24"/>
      <c r="L33" s="24"/>
      <c r="M33" s="24"/>
      <c r="N33" s="24"/>
      <c r="O33" s="24"/>
    </row>
    <row r="34">
      <c r="A34" s="16"/>
      <c r="B34" s="95" t="s">
        <v>11</v>
      </c>
      <c r="C34" s="45"/>
      <c r="D34" s="45"/>
      <c r="E34" s="46"/>
      <c r="F34" s="96">
        <f>SUM(F30:F33)</f>
        <v>59900.01</v>
      </c>
      <c r="G34" s="20"/>
      <c r="H34" s="20"/>
      <c r="I34" s="96">
        <f>SUM(I30:I33)</f>
        <v>59900.01</v>
      </c>
      <c r="J34" s="39"/>
      <c r="K34" s="24"/>
      <c r="L34" s="24"/>
      <c r="M34" s="24"/>
      <c r="N34" s="24"/>
      <c r="O34" s="24"/>
    </row>
    <row r="35">
      <c r="A35" s="16"/>
      <c r="B35" s="16"/>
      <c r="C35" s="16"/>
      <c r="D35" s="16"/>
      <c r="E35" s="16"/>
      <c r="F35" s="20"/>
      <c r="G35" s="20"/>
      <c r="H35" s="20"/>
      <c r="I35" s="20"/>
      <c r="J35" s="39"/>
      <c r="K35" s="24"/>
      <c r="L35" s="24"/>
      <c r="M35" s="24"/>
      <c r="N35" s="24"/>
      <c r="O35" s="24"/>
    </row>
    <row r="36">
      <c r="A36" s="16"/>
      <c r="B36" s="77" t="s">
        <v>120</v>
      </c>
      <c r="C36" s="45"/>
      <c r="D36" s="45"/>
      <c r="E36" s="45"/>
      <c r="F36" s="46"/>
      <c r="G36" s="20"/>
      <c r="H36" s="20"/>
      <c r="I36" s="20"/>
      <c r="J36" s="39"/>
      <c r="K36" s="24"/>
      <c r="L36" s="24"/>
      <c r="M36" s="24"/>
      <c r="N36" s="24"/>
      <c r="O36" s="24"/>
    </row>
    <row r="37">
      <c r="A37" s="16"/>
      <c r="B37" s="81">
        <v>21.0</v>
      </c>
      <c r="C37" s="108" t="s">
        <v>67</v>
      </c>
      <c r="D37" s="51" t="s">
        <v>43</v>
      </c>
      <c r="E37" s="109">
        <v>15.0</v>
      </c>
      <c r="F37" s="56">
        <v>219.0</v>
      </c>
      <c r="G37" s="58">
        <v>0.33</v>
      </c>
      <c r="H37" s="59">
        <f t="shared" ref="H37:H42" si="7">IFERROR(F37/G37,"")</f>
        <v>663.6363636</v>
      </c>
      <c r="I37" s="60">
        <v>219.0</v>
      </c>
      <c r="J37" s="39"/>
      <c r="K37" s="24"/>
      <c r="L37" s="24"/>
      <c r="M37" s="24"/>
      <c r="N37" s="24"/>
      <c r="O37" s="24"/>
    </row>
    <row r="38">
      <c r="A38" s="16"/>
      <c r="B38" s="81">
        <v>22.0</v>
      </c>
      <c r="C38" s="108" t="s">
        <v>70</v>
      </c>
      <c r="D38" s="51" t="s">
        <v>51</v>
      </c>
      <c r="E38" s="54">
        <v>20.0</v>
      </c>
      <c r="F38" s="61">
        <v>324.0</v>
      </c>
      <c r="G38" s="58">
        <v>0.53</v>
      </c>
      <c r="H38" s="59">
        <f t="shared" si="7"/>
        <v>611.3207547</v>
      </c>
      <c r="I38" s="60">
        <v>324.0</v>
      </c>
      <c r="J38" s="39"/>
      <c r="K38" s="24"/>
      <c r="L38" s="24"/>
      <c r="M38" s="24"/>
      <c r="N38" s="24"/>
      <c r="O38" s="24"/>
    </row>
    <row r="39">
      <c r="A39" s="16"/>
      <c r="B39" s="81">
        <v>23.0</v>
      </c>
      <c r="C39" s="108" t="s">
        <v>72</v>
      </c>
      <c r="D39" s="51">
        <v>1.0</v>
      </c>
      <c r="E39" s="54">
        <v>25.0</v>
      </c>
      <c r="F39" s="61">
        <v>498.0</v>
      </c>
      <c r="G39" s="58">
        <v>0.83</v>
      </c>
      <c r="H39" s="59">
        <f t="shared" si="7"/>
        <v>600</v>
      </c>
      <c r="I39" s="60">
        <v>498.0</v>
      </c>
      <c r="J39" s="39"/>
      <c r="K39" s="24"/>
      <c r="L39" s="24"/>
      <c r="M39" s="24"/>
      <c r="N39" s="24"/>
      <c r="O39" s="24"/>
    </row>
    <row r="40">
      <c r="A40" s="16"/>
      <c r="B40" s="81">
        <v>24.0</v>
      </c>
      <c r="C40" s="108" t="s">
        <v>77</v>
      </c>
      <c r="D40" s="51" t="s">
        <v>55</v>
      </c>
      <c r="E40" s="54">
        <v>32.0</v>
      </c>
      <c r="F40" s="61">
        <v>778.0</v>
      </c>
      <c r="G40" s="58">
        <v>1.25</v>
      </c>
      <c r="H40" s="59">
        <f t="shared" si="7"/>
        <v>622.4</v>
      </c>
      <c r="I40" s="60">
        <v>778.0</v>
      </c>
      <c r="J40" s="39"/>
      <c r="K40" s="24"/>
      <c r="L40" s="24"/>
      <c r="M40" s="24"/>
      <c r="N40" s="24"/>
      <c r="O40" s="24"/>
    </row>
    <row r="41">
      <c r="A41" s="16"/>
      <c r="B41" s="81">
        <v>25.0</v>
      </c>
      <c r="C41" s="108" t="s">
        <v>86</v>
      </c>
      <c r="D41" s="51" t="s">
        <v>56</v>
      </c>
      <c r="E41" s="54">
        <v>40.0</v>
      </c>
      <c r="F41" s="61">
        <v>1092.0</v>
      </c>
      <c r="G41" s="58">
        <v>1.75</v>
      </c>
      <c r="H41" s="59">
        <f t="shared" si="7"/>
        <v>624</v>
      </c>
      <c r="I41" s="60">
        <v>1092.0</v>
      </c>
      <c r="J41" s="39"/>
      <c r="K41" s="24"/>
      <c r="L41" s="24"/>
      <c r="M41" s="24"/>
      <c r="N41" s="24"/>
      <c r="O41" s="24"/>
    </row>
    <row r="42">
      <c r="A42" s="16"/>
      <c r="B42" s="81">
        <v>26.0</v>
      </c>
      <c r="C42" s="108" t="s">
        <v>93</v>
      </c>
      <c r="D42" s="51">
        <v>2.0</v>
      </c>
      <c r="E42" s="54">
        <v>50.0</v>
      </c>
      <c r="F42" s="61">
        <v>1842.0</v>
      </c>
      <c r="G42" s="58">
        <v>2.9</v>
      </c>
      <c r="H42" s="59">
        <f t="shared" si="7"/>
        <v>635.1724138</v>
      </c>
      <c r="I42" s="60">
        <v>1842.0</v>
      </c>
      <c r="J42" s="39"/>
      <c r="K42" s="24"/>
      <c r="L42" s="24"/>
      <c r="M42" s="24"/>
      <c r="N42" s="24"/>
      <c r="O42" s="24"/>
    </row>
    <row r="43">
      <c r="A43" s="16"/>
      <c r="B43" s="95" t="s">
        <v>11</v>
      </c>
      <c r="C43" s="45"/>
      <c r="D43" s="45"/>
      <c r="E43" s="46"/>
      <c r="F43" s="69">
        <f>SUM(F37:F42)</f>
        <v>4753</v>
      </c>
      <c r="G43" s="75"/>
      <c r="H43" s="24"/>
      <c r="I43" s="69">
        <f>SUM(I37:I42)</f>
        <v>4753</v>
      </c>
      <c r="J43" s="39"/>
      <c r="K43" s="24"/>
      <c r="L43" s="24"/>
      <c r="M43" s="24"/>
      <c r="N43" s="24"/>
      <c r="O43" s="24"/>
    </row>
    <row r="44">
      <c r="A44" s="16"/>
      <c r="B44" s="20"/>
      <c r="C44" s="113"/>
      <c r="D44" s="20"/>
      <c r="E44" s="75"/>
      <c r="F44" s="24"/>
      <c r="G44" s="20"/>
      <c r="H44" s="20"/>
      <c r="I44" s="20"/>
      <c r="J44" s="39"/>
      <c r="K44" s="24"/>
      <c r="L44" s="24"/>
      <c r="M44" s="24"/>
      <c r="N44" s="24"/>
      <c r="O44" s="24"/>
    </row>
    <row r="45">
      <c r="A45" s="16"/>
      <c r="B45" s="77" t="s">
        <v>129</v>
      </c>
      <c r="C45" s="45"/>
      <c r="D45" s="45"/>
      <c r="E45" s="45"/>
      <c r="F45" s="46"/>
      <c r="G45" s="20"/>
      <c r="H45" s="20"/>
      <c r="I45" s="20"/>
      <c r="J45" s="39"/>
      <c r="K45" s="24"/>
      <c r="L45" s="24"/>
      <c r="M45" s="24"/>
      <c r="N45" s="24"/>
      <c r="O45" s="24"/>
    </row>
    <row r="46">
      <c r="A46" s="16"/>
      <c r="B46" s="81">
        <v>27.0</v>
      </c>
      <c r="C46" s="114" t="s">
        <v>100</v>
      </c>
      <c r="D46" s="98" t="s">
        <v>69</v>
      </c>
      <c r="E46" s="99">
        <v>65.0</v>
      </c>
      <c r="F46" s="56">
        <v>3390.0</v>
      </c>
      <c r="G46" s="58">
        <v>4.774</v>
      </c>
      <c r="H46" s="59">
        <f t="shared" ref="H46:H49" si="8">IFERROR(F46/G46,"")</f>
        <v>710.0963553</v>
      </c>
      <c r="I46" s="60">
        <v>3390.0</v>
      </c>
      <c r="J46" s="39"/>
      <c r="K46" s="24"/>
      <c r="L46" s="24"/>
      <c r="M46" s="24"/>
      <c r="N46" s="24"/>
      <c r="O46" s="24"/>
    </row>
    <row r="47">
      <c r="A47" s="16"/>
      <c r="B47" s="81">
        <v>28.0</v>
      </c>
      <c r="C47" s="115" t="s">
        <v>114</v>
      </c>
      <c r="D47" s="93">
        <v>3.0</v>
      </c>
      <c r="E47" s="101">
        <v>80.0</v>
      </c>
      <c r="F47" s="61">
        <v>4490.0</v>
      </c>
      <c r="G47" s="58">
        <v>6.248</v>
      </c>
      <c r="H47" s="59">
        <f t="shared" si="8"/>
        <v>718.6299616</v>
      </c>
      <c r="I47" s="60">
        <v>4490.0</v>
      </c>
      <c r="J47" s="39"/>
      <c r="K47" s="24"/>
      <c r="L47" s="24"/>
      <c r="M47" s="24"/>
      <c r="N47" s="24"/>
      <c r="O47" s="24"/>
    </row>
    <row r="48">
      <c r="A48" s="16"/>
      <c r="B48" s="81">
        <v>29.0</v>
      </c>
      <c r="C48" s="115" t="s">
        <v>118</v>
      </c>
      <c r="D48" s="93">
        <v>4.0</v>
      </c>
      <c r="E48" s="101">
        <v>100.0</v>
      </c>
      <c r="F48" s="61">
        <v>6390.0</v>
      </c>
      <c r="G48" s="58">
        <v>8.9</v>
      </c>
      <c r="H48" s="59">
        <f t="shared" si="8"/>
        <v>717.9775281</v>
      </c>
      <c r="I48" s="60">
        <v>6390.0</v>
      </c>
      <c r="J48" s="39"/>
      <c r="K48" s="24"/>
      <c r="L48" s="24"/>
      <c r="M48" s="24"/>
      <c r="N48" s="24"/>
      <c r="O48" s="24"/>
    </row>
    <row r="49">
      <c r="A49" s="16"/>
      <c r="B49" s="81">
        <v>30.0</v>
      </c>
      <c r="C49" s="115" t="s">
        <v>122</v>
      </c>
      <c r="D49" s="93">
        <v>6.0</v>
      </c>
      <c r="E49" s="101">
        <v>150.0</v>
      </c>
      <c r="F49" s="61">
        <v>10990.0</v>
      </c>
      <c r="G49" s="58">
        <v>15.666</v>
      </c>
      <c r="H49" s="59">
        <f t="shared" si="8"/>
        <v>701.5192136</v>
      </c>
      <c r="I49" s="60">
        <v>10990.0</v>
      </c>
      <c r="J49" s="39"/>
      <c r="K49" s="24"/>
      <c r="L49" s="24"/>
      <c r="M49" s="24"/>
      <c r="N49" s="24"/>
      <c r="O49" s="24"/>
    </row>
    <row r="50">
      <c r="A50" s="16"/>
      <c r="B50" s="95" t="s">
        <v>11</v>
      </c>
      <c r="C50" s="45"/>
      <c r="D50" s="45"/>
      <c r="E50" s="46"/>
      <c r="F50" s="69">
        <f>SUM(F46:F49)</f>
        <v>25260</v>
      </c>
      <c r="G50" s="85"/>
      <c r="H50" s="24"/>
      <c r="I50" s="69">
        <f>SUM(I46:I49)</f>
        <v>25260</v>
      </c>
      <c r="J50" s="39"/>
      <c r="K50" s="24"/>
      <c r="L50" s="24"/>
      <c r="M50" s="24"/>
      <c r="N50" s="24"/>
      <c r="O50" s="24"/>
    </row>
    <row r="51">
      <c r="A51" s="16"/>
      <c r="B51" s="20"/>
      <c r="C51" s="113"/>
      <c r="D51" s="20"/>
      <c r="E51" s="85"/>
      <c r="F51" s="24"/>
      <c r="G51" s="20"/>
      <c r="H51" s="20"/>
      <c r="I51" s="20"/>
      <c r="J51" s="39"/>
      <c r="K51" s="24"/>
      <c r="L51" s="24"/>
      <c r="M51" s="24"/>
      <c r="N51" s="24"/>
      <c r="O51" s="24"/>
    </row>
    <row r="52">
      <c r="A52" s="16"/>
      <c r="B52" s="77" t="s">
        <v>133</v>
      </c>
      <c r="C52" s="45"/>
      <c r="D52" s="45"/>
      <c r="E52" s="45"/>
      <c r="F52" s="46"/>
      <c r="G52" s="20"/>
      <c r="H52" s="20"/>
      <c r="I52" s="20"/>
      <c r="J52" s="39"/>
      <c r="K52" s="24"/>
      <c r="L52" s="24"/>
      <c r="M52" s="24"/>
      <c r="N52" s="24"/>
      <c r="O52" s="24"/>
    </row>
    <row r="53">
      <c r="A53" s="16"/>
      <c r="B53" s="117">
        <v>31.0</v>
      </c>
      <c r="C53" s="118" t="s">
        <v>136</v>
      </c>
      <c r="D53" s="51" t="s">
        <v>43</v>
      </c>
      <c r="E53" s="54">
        <v>15.0</v>
      </c>
      <c r="F53" s="56">
        <v>365.0</v>
      </c>
      <c r="G53" s="75">
        <f t="shared" ref="G53:G58" si="9">G37*2</f>
        <v>0.66</v>
      </c>
      <c r="H53" s="59">
        <f t="shared" ref="H53:H58" si="10">IFERROR(F53/G53,"")</f>
        <v>553.030303</v>
      </c>
      <c r="I53" s="60">
        <v>365.0</v>
      </c>
      <c r="J53" s="39"/>
      <c r="K53" s="24"/>
      <c r="L53" s="24"/>
      <c r="M53" s="24"/>
      <c r="N53" s="24"/>
      <c r="O53" s="24"/>
    </row>
    <row r="54">
      <c r="A54" s="16"/>
      <c r="B54" s="117">
        <v>32.0</v>
      </c>
      <c r="C54" s="118" t="s">
        <v>137</v>
      </c>
      <c r="D54" s="51" t="s">
        <v>51</v>
      </c>
      <c r="E54" s="54">
        <v>20.0</v>
      </c>
      <c r="F54" s="61">
        <v>540.0</v>
      </c>
      <c r="G54" s="75">
        <f t="shared" si="9"/>
        <v>1.06</v>
      </c>
      <c r="H54" s="59">
        <f t="shared" si="10"/>
        <v>509.4339623</v>
      </c>
      <c r="I54" s="60">
        <v>540.0</v>
      </c>
      <c r="J54" s="39"/>
      <c r="K54" s="24"/>
      <c r="L54" s="24"/>
      <c r="M54" s="24"/>
      <c r="N54" s="24"/>
      <c r="O54" s="24"/>
    </row>
    <row r="55">
      <c r="A55" s="16"/>
      <c r="B55" s="117">
        <v>33.0</v>
      </c>
      <c r="C55" s="118" t="s">
        <v>138</v>
      </c>
      <c r="D55" s="51">
        <v>1.0</v>
      </c>
      <c r="E55" s="54">
        <v>25.0</v>
      </c>
      <c r="F55" s="61">
        <v>830.0</v>
      </c>
      <c r="G55" s="75">
        <f t="shared" si="9"/>
        <v>1.66</v>
      </c>
      <c r="H55" s="59">
        <f t="shared" si="10"/>
        <v>500</v>
      </c>
      <c r="I55" s="60">
        <v>830.0</v>
      </c>
      <c r="J55" s="39"/>
      <c r="K55" s="24"/>
      <c r="L55" s="24"/>
      <c r="M55" s="24"/>
      <c r="N55" s="24"/>
      <c r="O55" s="24"/>
    </row>
    <row r="56">
      <c r="A56" s="16"/>
      <c r="B56" s="117">
        <v>34.0</v>
      </c>
      <c r="C56" s="118" t="s">
        <v>140</v>
      </c>
      <c r="D56" s="51" t="s">
        <v>55</v>
      </c>
      <c r="E56" s="54">
        <v>32.0</v>
      </c>
      <c r="F56" s="61">
        <v>1296.67</v>
      </c>
      <c r="G56" s="75">
        <f t="shared" si="9"/>
        <v>2.5</v>
      </c>
      <c r="H56" s="59">
        <f t="shared" si="10"/>
        <v>518.668</v>
      </c>
      <c r="I56" s="60">
        <v>1296.67</v>
      </c>
      <c r="J56" s="39"/>
      <c r="K56" s="24"/>
      <c r="L56" s="24"/>
      <c r="M56" s="24"/>
      <c r="N56" s="24"/>
      <c r="O56" s="24"/>
    </row>
    <row r="57">
      <c r="A57" s="16"/>
      <c r="B57" s="117">
        <v>35.0</v>
      </c>
      <c r="C57" s="118" t="s">
        <v>141</v>
      </c>
      <c r="D57" s="51" t="s">
        <v>56</v>
      </c>
      <c r="E57" s="54">
        <v>40.0</v>
      </c>
      <c r="F57" s="61">
        <v>1820.0</v>
      </c>
      <c r="G57" s="75">
        <f t="shared" si="9"/>
        <v>3.5</v>
      </c>
      <c r="H57" s="59">
        <f t="shared" si="10"/>
        <v>520</v>
      </c>
      <c r="I57" s="60">
        <v>1820.0</v>
      </c>
      <c r="J57" s="39"/>
      <c r="K57" s="24"/>
      <c r="L57" s="24"/>
      <c r="M57" s="24"/>
      <c r="N57" s="24"/>
      <c r="O57" s="24"/>
    </row>
    <row r="58">
      <c r="A58" s="16"/>
      <c r="B58" s="117">
        <v>36.0</v>
      </c>
      <c r="C58" s="118" t="s">
        <v>142</v>
      </c>
      <c r="D58" s="51">
        <v>2.0</v>
      </c>
      <c r="E58" s="54">
        <v>50.0</v>
      </c>
      <c r="F58" s="61">
        <v>3070.0</v>
      </c>
      <c r="G58" s="75">
        <f t="shared" si="9"/>
        <v>5.8</v>
      </c>
      <c r="H58" s="59">
        <f t="shared" si="10"/>
        <v>529.3103448</v>
      </c>
      <c r="I58" s="60">
        <v>3070.0</v>
      </c>
      <c r="J58" s="39"/>
      <c r="K58" s="24"/>
      <c r="L58" s="24"/>
      <c r="M58" s="24"/>
      <c r="N58" s="24"/>
      <c r="O58" s="24"/>
    </row>
    <row r="59">
      <c r="A59" s="16"/>
      <c r="B59" s="95" t="s">
        <v>11</v>
      </c>
      <c r="C59" s="45"/>
      <c r="D59" s="45"/>
      <c r="E59" s="46"/>
      <c r="F59" s="122">
        <f>SUM(F53:F58)</f>
        <v>7921.67</v>
      </c>
      <c r="G59" s="85"/>
      <c r="H59" s="20"/>
      <c r="I59" s="122">
        <f>SUM(I53:I58)</f>
        <v>7921.67</v>
      </c>
      <c r="J59" s="39"/>
      <c r="K59" s="24"/>
      <c r="L59" s="24"/>
      <c r="M59" s="24"/>
      <c r="N59" s="24"/>
      <c r="O59" s="24"/>
    </row>
    <row r="60">
      <c r="A60" s="16"/>
      <c r="B60" s="20"/>
      <c r="C60" s="113"/>
      <c r="D60" s="20"/>
      <c r="E60" s="85"/>
      <c r="F60" s="24"/>
      <c r="G60" s="20"/>
      <c r="H60" s="20"/>
      <c r="I60" s="20"/>
      <c r="J60" s="39"/>
      <c r="K60" s="24"/>
      <c r="L60" s="24"/>
      <c r="M60" s="24"/>
      <c r="N60" s="24"/>
      <c r="O60" s="24"/>
    </row>
    <row r="61">
      <c r="A61" s="16"/>
      <c r="B61" s="77" t="s">
        <v>148</v>
      </c>
      <c r="C61" s="45"/>
      <c r="D61" s="45"/>
      <c r="E61" s="45"/>
      <c r="F61" s="46"/>
      <c r="G61" s="20"/>
      <c r="H61" s="20"/>
      <c r="I61" s="20"/>
      <c r="J61" s="39"/>
      <c r="K61" s="24"/>
      <c r="L61" s="24"/>
      <c r="M61" s="24"/>
      <c r="N61" s="24"/>
      <c r="O61" s="24"/>
    </row>
    <row r="62">
      <c r="A62" s="16"/>
      <c r="B62" s="124">
        <v>37.0</v>
      </c>
      <c r="C62" s="125" t="s">
        <v>149</v>
      </c>
      <c r="D62" s="98" t="s">
        <v>69</v>
      </c>
      <c r="E62" s="99">
        <v>65.0</v>
      </c>
      <c r="F62" s="56">
        <v>5650.0</v>
      </c>
      <c r="G62" s="75">
        <f t="shared" ref="G62:G65" si="11">G46*2</f>
        <v>9.548</v>
      </c>
      <c r="H62" s="59">
        <f t="shared" ref="H62:H65" si="12">IFERROR(F62/G62,"")</f>
        <v>591.7469627</v>
      </c>
      <c r="I62" s="60">
        <v>5650.0</v>
      </c>
      <c r="J62" s="39"/>
      <c r="K62" s="24"/>
      <c r="L62" s="24"/>
      <c r="M62" s="24"/>
      <c r="N62" s="24"/>
      <c r="O62" s="24"/>
    </row>
    <row r="63">
      <c r="A63" s="16"/>
      <c r="B63" s="117">
        <v>38.0</v>
      </c>
      <c r="C63" s="126" t="s">
        <v>151</v>
      </c>
      <c r="D63" s="93">
        <v>3.0</v>
      </c>
      <c r="E63" s="101">
        <v>80.0</v>
      </c>
      <c r="F63" s="61">
        <v>7483.33</v>
      </c>
      <c r="G63" s="75">
        <f t="shared" si="11"/>
        <v>12.496</v>
      </c>
      <c r="H63" s="59">
        <f t="shared" si="12"/>
        <v>598.8580346</v>
      </c>
      <c r="I63" s="60">
        <v>7483.33</v>
      </c>
      <c r="J63" s="39"/>
      <c r="K63" s="24"/>
      <c r="L63" s="24"/>
      <c r="M63" s="24"/>
      <c r="N63" s="24"/>
      <c r="O63" s="24"/>
    </row>
    <row r="64">
      <c r="A64" s="16"/>
      <c r="B64" s="117">
        <v>39.0</v>
      </c>
      <c r="C64" s="126" t="s">
        <v>152</v>
      </c>
      <c r="D64" s="93">
        <v>4.0</v>
      </c>
      <c r="E64" s="101">
        <v>100.0</v>
      </c>
      <c r="F64" s="61">
        <v>10650.0</v>
      </c>
      <c r="G64" s="75">
        <f t="shared" si="11"/>
        <v>17.8</v>
      </c>
      <c r="H64" s="59">
        <f t="shared" si="12"/>
        <v>598.3146067</v>
      </c>
      <c r="I64" s="60">
        <v>10650.0</v>
      </c>
      <c r="J64" s="39"/>
      <c r="K64" s="24"/>
      <c r="L64" s="24"/>
      <c r="M64" s="24"/>
      <c r="N64" s="24"/>
      <c r="O64" s="24"/>
    </row>
    <row r="65">
      <c r="A65" s="16"/>
      <c r="B65" s="117">
        <v>40.0</v>
      </c>
      <c r="C65" s="126" t="s">
        <v>154</v>
      </c>
      <c r="D65" s="93">
        <v>6.0</v>
      </c>
      <c r="E65" s="101">
        <v>150.0</v>
      </c>
      <c r="F65" s="61">
        <v>18316.67</v>
      </c>
      <c r="G65" s="75">
        <f t="shared" si="11"/>
        <v>31.332</v>
      </c>
      <c r="H65" s="59">
        <f t="shared" si="12"/>
        <v>584.599451</v>
      </c>
      <c r="I65" s="60">
        <v>18316.67</v>
      </c>
      <c r="J65" s="39"/>
      <c r="K65" s="24"/>
      <c r="L65" s="24"/>
      <c r="M65" s="24"/>
      <c r="N65" s="24"/>
      <c r="O65" s="24"/>
    </row>
    <row r="66">
      <c r="A66" s="16"/>
      <c r="B66" s="95" t="s">
        <v>11</v>
      </c>
      <c r="C66" s="45"/>
      <c r="D66" s="45"/>
      <c r="E66" s="46"/>
      <c r="F66" s="96">
        <f>SUM(F62:F65)</f>
        <v>42100</v>
      </c>
      <c r="G66" s="85"/>
      <c r="H66" s="20"/>
      <c r="I66" s="96">
        <f>SUM(I62:I65)</f>
        <v>42100</v>
      </c>
      <c r="J66" s="39"/>
      <c r="K66" s="24"/>
      <c r="L66" s="24"/>
      <c r="M66" s="24"/>
      <c r="N66" s="24"/>
      <c r="O66" s="24"/>
    </row>
    <row r="67">
      <c r="A67" s="16"/>
      <c r="B67" s="16"/>
      <c r="C67" s="16"/>
      <c r="D67" s="16"/>
      <c r="E67" s="16"/>
      <c r="F67" s="20"/>
      <c r="G67" s="20"/>
      <c r="H67" s="20"/>
      <c r="I67" s="20"/>
      <c r="J67" s="39"/>
      <c r="K67" s="24"/>
      <c r="L67" s="24"/>
      <c r="M67" s="24"/>
      <c r="N67" s="24"/>
      <c r="O67" s="24"/>
    </row>
    <row r="68">
      <c r="A68" s="16"/>
      <c r="B68" s="16"/>
      <c r="C68" s="16"/>
      <c r="D68" s="16"/>
      <c r="E68" s="16"/>
      <c r="F68" s="20"/>
      <c r="G68" s="20"/>
      <c r="H68" s="20"/>
      <c r="I68" s="20"/>
      <c r="J68" s="39"/>
      <c r="K68" s="24"/>
      <c r="L68" s="24"/>
      <c r="M68" s="24"/>
      <c r="N68" s="24"/>
      <c r="O68" s="24"/>
    </row>
    <row r="69">
      <c r="A69" s="16"/>
      <c r="B69" s="16"/>
      <c r="C69" s="16"/>
      <c r="D69" s="16"/>
      <c r="E69" s="16"/>
      <c r="F69" s="20"/>
      <c r="G69" s="20"/>
      <c r="H69" s="20"/>
      <c r="I69" s="20"/>
      <c r="J69" s="39"/>
      <c r="K69" s="24"/>
      <c r="L69" s="24"/>
      <c r="M69" s="24"/>
      <c r="N69" s="24"/>
      <c r="O69" s="24"/>
    </row>
    <row r="70">
      <c r="A70" s="16"/>
      <c r="B70" s="16"/>
      <c r="C70" s="16"/>
      <c r="D70" s="16"/>
      <c r="E70" s="16"/>
      <c r="F70" s="20"/>
      <c r="G70" s="20"/>
      <c r="H70" s="20"/>
      <c r="I70" s="20"/>
      <c r="J70" s="39"/>
      <c r="K70" s="24"/>
      <c r="L70" s="24"/>
      <c r="M70" s="24"/>
      <c r="N70" s="24"/>
      <c r="O70" s="24"/>
    </row>
    <row r="71">
      <c r="A71" s="16"/>
      <c r="B71" s="16"/>
      <c r="C71" s="16"/>
      <c r="D71" s="16"/>
      <c r="E71" s="16"/>
      <c r="F71" s="20"/>
      <c r="G71" s="20"/>
      <c r="H71" s="20"/>
      <c r="I71" s="20"/>
      <c r="J71" s="39"/>
      <c r="K71" s="24"/>
      <c r="L71" s="24"/>
      <c r="M71" s="24"/>
      <c r="N71" s="24"/>
      <c r="O71" s="24"/>
    </row>
    <row r="72">
      <c r="A72" s="16"/>
      <c r="B72" s="16"/>
      <c r="C72" s="16"/>
      <c r="D72" s="16"/>
      <c r="E72" s="16"/>
      <c r="F72" s="20"/>
      <c r="G72" s="20"/>
      <c r="H72" s="20"/>
      <c r="I72" s="20"/>
      <c r="J72" s="39"/>
      <c r="K72" s="24"/>
      <c r="L72" s="24"/>
      <c r="M72" s="24"/>
      <c r="N72" s="24"/>
      <c r="O72" s="24"/>
    </row>
    <row r="73">
      <c r="A73" s="16"/>
      <c r="B73" s="16"/>
      <c r="C73" s="16"/>
      <c r="D73" s="16"/>
      <c r="E73" s="16"/>
      <c r="F73" s="20"/>
      <c r="G73" s="20"/>
      <c r="H73" s="20"/>
      <c r="I73" s="20"/>
      <c r="J73" s="39"/>
      <c r="K73" s="24"/>
      <c r="L73" s="24"/>
      <c r="M73" s="24"/>
      <c r="N73" s="24"/>
      <c r="O73" s="24"/>
    </row>
    <row r="74">
      <c r="A74" s="16"/>
      <c r="B74" s="16"/>
      <c r="C74" s="16"/>
      <c r="D74" s="16"/>
      <c r="E74" s="16"/>
      <c r="F74" s="20"/>
      <c r="G74" s="20"/>
      <c r="H74" s="20"/>
      <c r="I74" s="20"/>
      <c r="J74" s="39"/>
      <c r="K74" s="24"/>
      <c r="L74" s="24"/>
      <c r="M74" s="24"/>
      <c r="N74" s="24"/>
      <c r="O74" s="24"/>
    </row>
    <row r="75">
      <c r="A75" s="16"/>
      <c r="B75" s="16"/>
      <c r="C75" s="16"/>
      <c r="D75" s="16"/>
      <c r="E75" s="16"/>
      <c r="F75" s="20"/>
      <c r="G75" s="20"/>
      <c r="H75" s="20"/>
      <c r="I75" s="20"/>
      <c r="J75" s="39"/>
      <c r="K75" s="24"/>
      <c r="L75" s="24"/>
      <c r="M75" s="24"/>
      <c r="N75" s="24"/>
      <c r="O75" s="24"/>
    </row>
    <row r="76">
      <c r="A76" s="16"/>
      <c r="B76" s="16"/>
      <c r="C76" s="16"/>
      <c r="D76" s="16"/>
      <c r="E76" s="16"/>
      <c r="F76" s="20"/>
      <c r="G76" s="20"/>
      <c r="H76" s="20"/>
      <c r="I76" s="20"/>
      <c r="J76" s="39"/>
      <c r="K76" s="24"/>
      <c r="L76" s="24"/>
      <c r="M76" s="24"/>
      <c r="N76" s="24"/>
      <c r="O76" s="24"/>
    </row>
    <row r="77">
      <c r="A77" s="16"/>
      <c r="B77" s="16"/>
      <c r="C77" s="16"/>
      <c r="D77" s="16"/>
      <c r="E77" s="16"/>
      <c r="F77" s="20"/>
      <c r="G77" s="20"/>
      <c r="H77" s="20"/>
      <c r="I77" s="20"/>
      <c r="J77" s="39"/>
      <c r="K77" s="24"/>
      <c r="L77" s="24"/>
      <c r="M77" s="24"/>
      <c r="N77" s="24"/>
      <c r="O77" s="24"/>
    </row>
    <row r="78">
      <c r="A78" s="16"/>
      <c r="B78" s="16"/>
      <c r="C78" s="16"/>
      <c r="D78" s="16"/>
      <c r="E78" s="16"/>
      <c r="F78" s="20"/>
      <c r="G78" s="20"/>
      <c r="H78" s="20"/>
      <c r="I78" s="20"/>
      <c r="J78" s="39"/>
      <c r="K78" s="24"/>
      <c r="L78" s="24"/>
      <c r="M78" s="24"/>
      <c r="N78" s="24"/>
      <c r="O78" s="24"/>
    </row>
    <row r="79">
      <c r="A79" s="16"/>
      <c r="B79" s="16"/>
      <c r="C79" s="16"/>
      <c r="D79" s="16"/>
      <c r="E79" s="16"/>
      <c r="F79" s="20"/>
      <c r="G79" s="20"/>
      <c r="H79" s="20"/>
      <c r="I79" s="20"/>
      <c r="J79" s="39"/>
      <c r="K79" s="24"/>
      <c r="L79" s="24"/>
      <c r="M79" s="24"/>
      <c r="N79" s="24"/>
      <c r="O79" s="24"/>
    </row>
    <row r="80">
      <c r="A80" s="16"/>
      <c r="B80" s="16"/>
      <c r="C80" s="16"/>
      <c r="D80" s="16"/>
      <c r="E80" s="16"/>
      <c r="F80" s="20"/>
      <c r="G80" s="20"/>
      <c r="H80" s="20"/>
      <c r="I80" s="20"/>
      <c r="J80" s="39"/>
      <c r="K80" s="24"/>
      <c r="L80" s="24"/>
      <c r="M80" s="24"/>
      <c r="N80" s="24"/>
      <c r="O80" s="24"/>
    </row>
    <row r="81">
      <c r="A81" s="16"/>
      <c r="B81" s="16"/>
      <c r="C81" s="16"/>
      <c r="D81" s="16"/>
      <c r="E81" s="16"/>
      <c r="F81" s="20"/>
      <c r="G81" s="20"/>
      <c r="H81" s="20"/>
      <c r="I81" s="20"/>
      <c r="J81" s="39"/>
      <c r="K81" s="24"/>
      <c r="L81" s="24"/>
      <c r="M81" s="24"/>
      <c r="N81" s="24"/>
      <c r="O81" s="24"/>
    </row>
    <row r="82">
      <c r="A82" s="16"/>
      <c r="B82" s="16"/>
      <c r="C82" s="16"/>
      <c r="D82" s="16"/>
      <c r="E82" s="16"/>
      <c r="F82" s="20"/>
      <c r="G82" s="20"/>
      <c r="H82" s="20"/>
      <c r="I82" s="20"/>
      <c r="J82" s="39"/>
      <c r="K82" s="24"/>
      <c r="L82" s="24"/>
      <c r="M82" s="24"/>
      <c r="N82" s="24"/>
      <c r="O82" s="24"/>
    </row>
    <row r="83">
      <c r="A83" s="16"/>
      <c r="B83" s="16"/>
      <c r="C83" s="16"/>
      <c r="D83" s="16"/>
      <c r="E83" s="16"/>
      <c r="F83" s="20"/>
      <c r="G83" s="20"/>
      <c r="H83" s="20"/>
      <c r="I83" s="20"/>
      <c r="J83" s="39"/>
      <c r="K83" s="24"/>
      <c r="L83" s="24"/>
      <c r="M83" s="24"/>
      <c r="N83" s="24"/>
      <c r="O83" s="24"/>
    </row>
    <row r="84">
      <c r="A84" s="16"/>
      <c r="B84" s="16"/>
      <c r="C84" s="16"/>
      <c r="D84" s="16"/>
      <c r="E84" s="16"/>
      <c r="F84" s="20"/>
      <c r="G84" s="20"/>
      <c r="H84" s="20"/>
      <c r="I84" s="20"/>
      <c r="J84" s="24"/>
      <c r="K84" s="24"/>
      <c r="L84" s="24"/>
      <c r="M84" s="24"/>
      <c r="N84" s="24"/>
      <c r="O84" s="24"/>
    </row>
    <row r="85">
      <c r="A85" s="16"/>
      <c r="B85" s="16"/>
      <c r="C85" s="16"/>
      <c r="D85" s="16"/>
      <c r="E85" s="16"/>
      <c r="F85" s="20"/>
      <c r="G85" s="20"/>
      <c r="H85" s="20"/>
      <c r="I85" s="20"/>
      <c r="J85" s="24"/>
      <c r="K85" s="24"/>
      <c r="L85" s="24"/>
      <c r="M85" s="24"/>
      <c r="N85" s="24"/>
      <c r="O85" s="24"/>
    </row>
    <row r="86">
      <c r="A86" s="16"/>
      <c r="B86" s="16"/>
      <c r="C86" s="16"/>
      <c r="D86" s="16"/>
      <c r="E86" s="16"/>
      <c r="F86" s="20"/>
      <c r="G86" s="20"/>
      <c r="H86" s="20"/>
      <c r="I86" s="20"/>
      <c r="J86" s="24"/>
      <c r="K86" s="24"/>
      <c r="L86" s="24"/>
      <c r="M86" s="24"/>
      <c r="N86" s="24"/>
      <c r="O86" s="24"/>
    </row>
    <row r="87">
      <c r="A87" s="16"/>
      <c r="B87" s="16"/>
      <c r="C87" s="16"/>
      <c r="D87" s="16"/>
      <c r="E87" s="16"/>
      <c r="F87" s="20"/>
      <c r="G87" s="20"/>
      <c r="H87" s="20"/>
      <c r="I87" s="20"/>
      <c r="J87" s="24"/>
      <c r="K87" s="24"/>
      <c r="L87" s="24"/>
      <c r="M87" s="24"/>
      <c r="N87" s="24"/>
      <c r="O87" s="24"/>
    </row>
    <row r="88">
      <c r="A88" s="16"/>
      <c r="B88" s="16"/>
      <c r="C88" s="16"/>
      <c r="D88" s="16"/>
      <c r="E88" s="16"/>
      <c r="F88" s="20"/>
      <c r="G88" s="20"/>
      <c r="H88" s="20"/>
      <c r="I88" s="20"/>
      <c r="J88" s="24"/>
      <c r="K88" s="24"/>
      <c r="L88" s="24"/>
      <c r="M88" s="24"/>
      <c r="N88" s="24"/>
      <c r="O88" s="24"/>
    </row>
    <row r="89">
      <c r="A89" s="16"/>
      <c r="B89" s="16"/>
      <c r="C89" s="16"/>
      <c r="D89" s="16"/>
      <c r="E89" s="16"/>
      <c r="F89" s="20"/>
      <c r="G89" s="20"/>
      <c r="H89" s="20"/>
      <c r="I89" s="20"/>
      <c r="J89" s="24"/>
      <c r="K89" s="24"/>
      <c r="L89" s="24"/>
      <c r="M89" s="24"/>
      <c r="N89" s="24"/>
      <c r="O89" s="24"/>
    </row>
    <row r="90">
      <c r="A90" s="16"/>
      <c r="B90" s="16"/>
      <c r="C90" s="16"/>
      <c r="D90" s="16"/>
      <c r="E90" s="16"/>
      <c r="F90" s="20"/>
      <c r="G90" s="20"/>
      <c r="H90" s="20"/>
      <c r="I90" s="20"/>
      <c r="J90" s="24"/>
      <c r="K90" s="24"/>
      <c r="L90" s="24"/>
      <c r="M90" s="24"/>
      <c r="N90" s="24"/>
      <c r="O90" s="24"/>
    </row>
    <row r="91">
      <c r="A91" s="16"/>
      <c r="B91" s="16"/>
      <c r="C91" s="16"/>
      <c r="D91" s="16"/>
      <c r="E91" s="16"/>
      <c r="F91" s="20"/>
      <c r="G91" s="20"/>
      <c r="H91" s="20"/>
      <c r="I91" s="20"/>
      <c r="J91" s="24"/>
      <c r="K91" s="24"/>
      <c r="L91" s="24"/>
      <c r="M91" s="24"/>
      <c r="N91" s="24"/>
      <c r="O91" s="24"/>
    </row>
    <row r="92">
      <c r="A92" s="16"/>
      <c r="B92" s="16"/>
      <c r="C92" s="16"/>
      <c r="D92" s="16"/>
      <c r="E92" s="16"/>
      <c r="F92" s="20"/>
      <c r="G92" s="20"/>
      <c r="H92" s="20"/>
      <c r="I92" s="20"/>
      <c r="J92" s="24"/>
      <c r="K92" s="24"/>
      <c r="L92" s="24"/>
      <c r="M92" s="24"/>
      <c r="N92" s="24"/>
      <c r="O92" s="24"/>
    </row>
    <row r="93">
      <c r="A93" s="16"/>
      <c r="B93" s="16"/>
      <c r="C93" s="16"/>
      <c r="D93" s="16"/>
      <c r="E93" s="16"/>
      <c r="F93" s="20"/>
      <c r="G93" s="20"/>
      <c r="H93" s="20"/>
      <c r="I93" s="20"/>
      <c r="J93" s="24"/>
      <c r="K93" s="24"/>
      <c r="L93" s="24"/>
      <c r="M93" s="24"/>
      <c r="N93" s="24"/>
      <c r="O93" s="24"/>
    </row>
    <row r="94">
      <c r="A94" s="16"/>
      <c r="B94" s="16"/>
      <c r="C94" s="16"/>
      <c r="D94" s="16"/>
      <c r="E94" s="16"/>
      <c r="F94" s="20"/>
      <c r="G94" s="20"/>
      <c r="H94" s="20"/>
      <c r="I94" s="20"/>
      <c r="J94" s="24"/>
      <c r="K94" s="24"/>
      <c r="L94" s="24"/>
      <c r="M94" s="24"/>
      <c r="N94" s="24"/>
      <c r="O94" s="24"/>
    </row>
    <row r="95">
      <c r="A95" s="16"/>
      <c r="B95" s="16"/>
      <c r="C95" s="16"/>
      <c r="D95" s="16"/>
      <c r="E95" s="16"/>
      <c r="F95" s="20"/>
      <c r="G95" s="20"/>
      <c r="H95" s="20"/>
      <c r="I95" s="20"/>
      <c r="J95" s="24"/>
      <c r="K95" s="24"/>
      <c r="L95" s="24"/>
      <c r="M95" s="24"/>
      <c r="N95" s="24"/>
      <c r="O95" s="24"/>
    </row>
    <row r="96">
      <c r="A96" s="16"/>
      <c r="B96" s="16"/>
      <c r="C96" s="16"/>
      <c r="D96" s="16"/>
      <c r="E96" s="16"/>
      <c r="F96" s="20"/>
      <c r="G96" s="20"/>
      <c r="H96" s="20"/>
      <c r="I96" s="20"/>
      <c r="J96" s="24"/>
      <c r="K96" s="24"/>
      <c r="L96" s="24"/>
      <c r="M96" s="24"/>
      <c r="N96" s="24"/>
      <c r="O96" s="24"/>
    </row>
    <row r="97">
      <c r="A97" s="16"/>
      <c r="B97" s="16"/>
      <c r="C97" s="16"/>
      <c r="D97" s="16"/>
      <c r="E97" s="16"/>
      <c r="F97" s="20"/>
      <c r="G97" s="20"/>
      <c r="H97" s="20"/>
      <c r="I97" s="20"/>
      <c r="J97" s="24"/>
      <c r="K97" s="24"/>
      <c r="L97" s="24"/>
      <c r="M97" s="24"/>
      <c r="N97" s="24"/>
      <c r="O97" s="24"/>
    </row>
    <row r="98">
      <c r="A98" s="16"/>
      <c r="B98" s="16"/>
      <c r="C98" s="16"/>
      <c r="D98" s="16"/>
      <c r="E98" s="16"/>
      <c r="F98" s="20"/>
      <c r="G98" s="20"/>
      <c r="H98" s="20"/>
      <c r="I98" s="20"/>
      <c r="J98" s="24"/>
      <c r="K98" s="24"/>
      <c r="L98" s="24"/>
      <c r="M98" s="24"/>
      <c r="N98" s="24"/>
      <c r="O98" s="24"/>
    </row>
    <row r="99">
      <c r="A99" s="16"/>
      <c r="B99" s="16"/>
      <c r="C99" s="16"/>
      <c r="D99" s="16"/>
      <c r="E99" s="16"/>
      <c r="F99" s="20"/>
      <c r="G99" s="20"/>
      <c r="H99" s="20"/>
      <c r="I99" s="20"/>
      <c r="J99" s="24"/>
      <c r="K99" s="24"/>
      <c r="L99" s="24"/>
      <c r="M99" s="24"/>
      <c r="N99" s="24"/>
      <c r="O99" s="24"/>
    </row>
    <row r="100">
      <c r="A100" s="16"/>
      <c r="B100" s="16"/>
      <c r="C100" s="16"/>
      <c r="D100" s="16"/>
      <c r="E100" s="16"/>
      <c r="F100" s="20"/>
      <c r="G100" s="20"/>
      <c r="H100" s="20"/>
      <c r="I100" s="20"/>
      <c r="J100" s="24"/>
      <c r="K100" s="24"/>
      <c r="L100" s="24"/>
      <c r="M100" s="24"/>
      <c r="N100" s="24"/>
      <c r="O100" s="24"/>
    </row>
    <row r="101">
      <c r="A101" s="16"/>
      <c r="B101" s="16"/>
      <c r="C101" s="16"/>
      <c r="D101" s="16"/>
      <c r="E101" s="16"/>
      <c r="F101" s="20"/>
      <c r="G101" s="20"/>
      <c r="H101" s="20"/>
      <c r="I101" s="20"/>
      <c r="J101" s="24"/>
      <c r="K101" s="24"/>
      <c r="L101" s="24"/>
      <c r="M101" s="24"/>
      <c r="N101" s="24"/>
      <c r="O101" s="24"/>
    </row>
    <row r="102">
      <c r="A102" s="16"/>
      <c r="B102" s="16"/>
      <c r="C102" s="16"/>
      <c r="D102" s="16"/>
      <c r="E102" s="16"/>
      <c r="F102" s="20"/>
      <c r="G102" s="20"/>
      <c r="H102" s="20"/>
      <c r="I102" s="20"/>
      <c r="J102" s="24"/>
      <c r="K102" s="24"/>
      <c r="L102" s="24"/>
      <c r="M102" s="24"/>
      <c r="N102" s="24"/>
      <c r="O102" s="24"/>
    </row>
    <row r="103">
      <c r="A103" s="16"/>
      <c r="B103" s="16"/>
      <c r="C103" s="16"/>
      <c r="D103" s="16"/>
      <c r="E103" s="16"/>
      <c r="F103" s="20"/>
      <c r="G103" s="20"/>
      <c r="H103" s="20"/>
      <c r="I103" s="20"/>
      <c r="J103" s="24"/>
      <c r="K103" s="24"/>
      <c r="L103" s="24"/>
      <c r="M103" s="24"/>
      <c r="N103" s="24"/>
      <c r="O103" s="24"/>
    </row>
    <row r="104">
      <c r="A104" s="16"/>
      <c r="B104" s="16"/>
      <c r="C104" s="16"/>
      <c r="D104" s="16"/>
      <c r="E104" s="16"/>
      <c r="F104" s="20"/>
      <c r="G104" s="20"/>
      <c r="H104" s="20"/>
      <c r="I104" s="20"/>
      <c r="J104" s="24"/>
      <c r="K104" s="24"/>
      <c r="L104" s="24"/>
      <c r="M104" s="24"/>
      <c r="N104" s="24"/>
      <c r="O104" s="24"/>
    </row>
    <row r="105">
      <c r="A105" s="16"/>
      <c r="B105" s="16"/>
      <c r="C105" s="16"/>
      <c r="D105" s="16"/>
      <c r="E105" s="16"/>
      <c r="F105" s="20"/>
      <c r="G105" s="20"/>
      <c r="H105" s="20"/>
      <c r="I105" s="20"/>
      <c r="J105" s="24"/>
      <c r="K105" s="24"/>
      <c r="L105" s="24"/>
      <c r="M105" s="24"/>
      <c r="N105" s="24"/>
      <c r="O105" s="24"/>
    </row>
    <row r="106">
      <c r="A106" s="16"/>
      <c r="B106" s="16"/>
      <c r="C106" s="16"/>
      <c r="D106" s="16"/>
      <c r="E106" s="16"/>
      <c r="F106" s="20"/>
      <c r="G106" s="20"/>
      <c r="H106" s="20"/>
      <c r="I106" s="20"/>
      <c r="J106" s="24"/>
      <c r="K106" s="24"/>
      <c r="L106" s="24"/>
      <c r="M106" s="24"/>
      <c r="N106" s="24"/>
      <c r="O106" s="24"/>
    </row>
    <row r="107">
      <c r="A107" s="16"/>
      <c r="B107" s="16"/>
      <c r="C107" s="16"/>
      <c r="D107" s="16"/>
      <c r="E107" s="16"/>
      <c r="F107" s="20"/>
      <c r="G107" s="20"/>
      <c r="H107" s="20"/>
      <c r="I107" s="20"/>
      <c r="J107" s="24"/>
      <c r="K107" s="24"/>
      <c r="L107" s="24"/>
      <c r="M107" s="24"/>
      <c r="N107" s="24"/>
      <c r="O107" s="24"/>
    </row>
    <row r="108">
      <c r="A108" s="16"/>
      <c r="B108" s="16"/>
      <c r="C108" s="16"/>
      <c r="D108" s="16"/>
      <c r="E108" s="16"/>
      <c r="F108" s="20"/>
      <c r="G108" s="20"/>
      <c r="H108" s="20"/>
      <c r="I108" s="20"/>
      <c r="J108" s="24"/>
      <c r="K108" s="24"/>
      <c r="L108" s="24"/>
      <c r="M108" s="24"/>
      <c r="N108" s="24"/>
      <c r="O108" s="24"/>
    </row>
    <row r="109">
      <c r="A109" s="16"/>
      <c r="B109" s="16"/>
      <c r="C109" s="16"/>
      <c r="D109" s="16"/>
      <c r="E109" s="16"/>
      <c r="F109" s="20"/>
      <c r="G109" s="20"/>
      <c r="H109" s="20"/>
      <c r="I109" s="20"/>
      <c r="J109" s="24"/>
      <c r="K109" s="24"/>
      <c r="L109" s="24"/>
      <c r="M109" s="24"/>
      <c r="N109" s="24"/>
      <c r="O109" s="24"/>
    </row>
    <row r="110">
      <c r="A110" s="16"/>
      <c r="B110" s="16"/>
      <c r="C110" s="16"/>
      <c r="D110" s="16"/>
      <c r="E110" s="16"/>
      <c r="F110" s="20"/>
      <c r="G110" s="20"/>
      <c r="H110" s="20"/>
      <c r="I110" s="20"/>
      <c r="J110" s="24"/>
      <c r="K110" s="24"/>
      <c r="L110" s="24"/>
      <c r="M110" s="24"/>
      <c r="N110" s="24"/>
      <c r="O110" s="24"/>
    </row>
    <row r="111">
      <c r="A111" s="16"/>
      <c r="B111" s="16"/>
      <c r="C111" s="16"/>
      <c r="D111" s="16"/>
      <c r="E111" s="16"/>
      <c r="F111" s="20"/>
      <c r="G111" s="20"/>
      <c r="H111" s="20"/>
      <c r="I111" s="20"/>
      <c r="J111" s="24"/>
      <c r="K111" s="24"/>
      <c r="L111" s="24"/>
      <c r="M111" s="24"/>
      <c r="N111" s="24"/>
      <c r="O111" s="24"/>
    </row>
    <row r="112">
      <c r="A112" s="16"/>
      <c r="B112" s="16"/>
      <c r="C112" s="16"/>
      <c r="D112" s="16"/>
      <c r="E112" s="16"/>
      <c r="F112" s="20"/>
      <c r="G112" s="20"/>
      <c r="H112" s="20"/>
      <c r="I112" s="20"/>
      <c r="J112" s="24"/>
      <c r="K112" s="24"/>
      <c r="L112" s="24"/>
      <c r="M112" s="24"/>
      <c r="N112" s="24"/>
      <c r="O112" s="24"/>
    </row>
    <row r="113">
      <c r="A113" s="16"/>
      <c r="B113" s="16"/>
      <c r="C113" s="16"/>
      <c r="D113" s="16"/>
      <c r="E113" s="16"/>
      <c r="F113" s="20"/>
      <c r="G113" s="20"/>
      <c r="H113" s="20"/>
      <c r="I113" s="20"/>
      <c r="J113" s="24"/>
      <c r="K113" s="24"/>
      <c r="L113" s="24"/>
      <c r="M113" s="24"/>
      <c r="N113" s="24"/>
      <c r="O113" s="24"/>
    </row>
    <row r="114">
      <c r="A114" s="16"/>
      <c r="B114" s="16"/>
      <c r="C114" s="16"/>
      <c r="D114" s="16"/>
      <c r="E114" s="16"/>
      <c r="F114" s="20"/>
      <c r="G114" s="20"/>
      <c r="H114" s="20"/>
      <c r="I114" s="20"/>
      <c r="J114" s="24"/>
      <c r="K114" s="24"/>
      <c r="L114" s="24"/>
      <c r="M114" s="24"/>
      <c r="N114" s="24"/>
      <c r="O114" s="24"/>
    </row>
    <row r="115">
      <c r="A115" s="16"/>
      <c r="B115" s="16"/>
      <c r="C115" s="16"/>
      <c r="D115" s="16"/>
      <c r="E115" s="16"/>
      <c r="F115" s="20"/>
      <c r="G115" s="20"/>
      <c r="H115" s="20"/>
      <c r="I115" s="20"/>
      <c r="J115" s="24"/>
      <c r="K115" s="24"/>
      <c r="L115" s="24"/>
      <c r="M115" s="24"/>
      <c r="N115" s="24"/>
      <c r="O115" s="24"/>
    </row>
    <row r="116">
      <c r="A116" s="16"/>
      <c r="B116" s="16"/>
      <c r="C116" s="16"/>
      <c r="D116" s="16"/>
      <c r="E116" s="16"/>
      <c r="F116" s="20"/>
      <c r="G116" s="20"/>
      <c r="H116" s="20"/>
      <c r="I116" s="20"/>
      <c r="J116" s="24"/>
      <c r="K116" s="24"/>
      <c r="L116" s="24"/>
      <c r="M116" s="24"/>
      <c r="N116" s="24"/>
      <c r="O116" s="24"/>
    </row>
    <row r="117">
      <c r="A117" s="16"/>
      <c r="B117" s="16"/>
      <c r="C117" s="16"/>
      <c r="D117" s="16"/>
      <c r="E117" s="16"/>
      <c r="F117" s="20"/>
      <c r="G117" s="20"/>
      <c r="H117" s="20"/>
      <c r="I117" s="20"/>
      <c r="J117" s="24"/>
      <c r="K117" s="24"/>
      <c r="L117" s="24"/>
      <c r="M117" s="24"/>
      <c r="N117" s="24"/>
      <c r="O117" s="24"/>
    </row>
    <row r="118">
      <c r="A118" s="16"/>
      <c r="B118" s="16"/>
      <c r="C118" s="16"/>
      <c r="D118" s="16"/>
      <c r="E118" s="16"/>
      <c r="F118" s="20"/>
      <c r="G118" s="20"/>
      <c r="H118" s="20"/>
      <c r="I118" s="20"/>
      <c r="J118" s="24"/>
      <c r="K118" s="24"/>
      <c r="L118" s="24"/>
      <c r="M118" s="24"/>
      <c r="N118" s="24"/>
      <c r="O118" s="24"/>
    </row>
    <row r="119">
      <c r="A119" s="16"/>
      <c r="B119" s="16"/>
      <c r="C119" s="16"/>
      <c r="D119" s="16"/>
      <c r="E119" s="16"/>
      <c r="F119" s="20"/>
      <c r="G119" s="20"/>
      <c r="H119" s="20"/>
      <c r="I119" s="20"/>
      <c r="J119" s="24"/>
      <c r="K119" s="24"/>
      <c r="L119" s="24"/>
      <c r="M119" s="24"/>
      <c r="N119" s="24"/>
      <c r="O119" s="24"/>
    </row>
    <row r="120">
      <c r="A120" s="16"/>
      <c r="B120" s="16"/>
      <c r="C120" s="16"/>
      <c r="D120" s="16"/>
      <c r="E120" s="16"/>
      <c r="F120" s="20"/>
      <c r="G120" s="20"/>
      <c r="H120" s="20"/>
      <c r="I120" s="20"/>
      <c r="J120" s="24"/>
      <c r="K120" s="24"/>
      <c r="L120" s="24"/>
      <c r="M120" s="24"/>
      <c r="N120" s="24"/>
      <c r="O120" s="24"/>
    </row>
    <row r="121">
      <c r="A121" s="16"/>
      <c r="B121" s="16"/>
      <c r="C121" s="16"/>
      <c r="D121" s="16"/>
      <c r="E121" s="16"/>
      <c r="F121" s="20"/>
      <c r="G121" s="20"/>
      <c r="H121" s="20"/>
      <c r="I121" s="20"/>
      <c r="J121" s="24"/>
      <c r="K121" s="24"/>
      <c r="L121" s="24"/>
      <c r="M121" s="24"/>
      <c r="N121" s="24"/>
      <c r="O121" s="24"/>
    </row>
    <row r="122">
      <c r="A122" s="16"/>
      <c r="B122" s="16"/>
      <c r="C122" s="16"/>
      <c r="D122" s="16"/>
      <c r="E122" s="16"/>
      <c r="F122" s="20"/>
      <c r="G122" s="20"/>
      <c r="H122" s="20"/>
      <c r="I122" s="20"/>
      <c r="J122" s="24"/>
      <c r="K122" s="24"/>
      <c r="L122" s="24"/>
      <c r="M122" s="24"/>
      <c r="N122" s="24"/>
      <c r="O122" s="24"/>
    </row>
    <row r="123">
      <c r="A123" s="16"/>
      <c r="B123" s="16"/>
      <c r="C123" s="16"/>
      <c r="D123" s="16"/>
      <c r="E123" s="16"/>
      <c r="F123" s="20"/>
      <c r="G123" s="20"/>
      <c r="H123" s="20"/>
      <c r="I123" s="20"/>
      <c r="J123" s="24"/>
      <c r="K123" s="24"/>
      <c r="L123" s="24"/>
      <c r="M123" s="24"/>
      <c r="N123" s="24"/>
      <c r="O123" s="24"/>
    </row>
    <row r="124">
      <c r="A124" s="16"/>
      <c r="B124" s="16"/>
      <c r="C124" s="16"/>
      <c r="D124" s="16"/>
      <c r="E124" s="16"/>
      <c r="F124" s="20"/>
      <c r="G124" s="20"/>
      <c r="H124" s="20"/>
      <c r="I124" s="20"/>
      <c r="J124" s="24"/>
      <c r="K124" s="24"/>
      <c r="L124" s="24"/>
      <c r="M124" s="24"/>
      <c r="N124" s="24"/>
      <c r="O124" s="24"/>
    </row>
    <row r="125">
      <c r="A125" s="16"/>
      <c r="B125" s="16"/>
      <c r="C125" s="16"/>
      <c r="D125" s="16"/>
      <c r="E125" s="16"/>
      <c r="F125" s="20"/>
      <c r="G125" s="20"/>
      <c r="H125" s="20"/>
      <c r="I125" s="20"/>
      <c r="J125" s="24"/>
      <c r="K125" s="24"/>
      <c r="L125" s="24"/>
      <c r="M125" s="24"/>
      <c r="N125" s="24"/>
      <c r="O125" s="24"/>
    </row>
    <row r="126">
      <c r="A126" s="16"/>
      <c r="B126" s="16"/>
      <c r="C126" s="16"/>
      <c r="D126" s="16"/>
      <c r="E126" s="16"/>
      <c r="F126" s="20"/>
      <c r="G126" s="20"/>
      <c r="H126" s="20"/>
      <c r="I126" s="20"/>
      <c r="J126" s="24"/>
      <c r="K126" s="24"/>
      <c r="L126" s="24"/>
      <c r="M126" s="24"/>
      <c r="N126" s="24"/>
      <c r="O126" s="24"/>
    </row>
    <row r="127">
      <c r="A127" s="16"/>
      <c r="B127" s="16"/>
      <c r="C127" s="16"/>
      <c r="D127" s="16"/>
      <c r="E127" s="16"/>
      <c r="F127" s="20"/>
      <c r="G127" s="20"/>
      <c r="H127" s="20"/>
      <c r="I127" s="20"/>
      <c r="J127" s="24"/>
      <c r="K127" s="24"/>
      <c r="L127" s="24"/>
      <c r="M127" s="24"/>
      <c r="N127" s="24"/>
      <c r="O127" s="24"/>
    </row>
    <row r="128">
      <c r="A128" s="16"/>
      <c r="B128" s="16"/>
      <c r="C128" s="16"/>
      <c r="D128" s="16"/>
      <c r="E128" s="16"/>
      <c r="F128" s="20"/>
      <c r="G128" s="20"/>
      <c r="H128" s="20"/>
      <c r="I128" s="20"/>
      <c r="J128" s="24"/>
      <c r="K128" s="24"/>
      <c r="L128" s="24"/>
      <c r="M128" s="24"/>
      <c r="N128" s="24"/>
      <c r="O128" s="24"/>
    </row>
    <row r="129">
      <c r="A129" s="16"/>
      <c r="B129" s="16"/>
      <c r="C129" s="16"/>
      <c r="D129" s="16"/>
      <c r="E129" s="16"/>
      <c r="F129" s="20"/>
      <c r="G129" s="20"/>
      <c r="H129" s="20"/>
      <c r="I129" s="20"/>
      <c r="J129" s="24"/>
      <c r="K129" s="24"/>
      <c r="L129" s="24"/>
      <c r="M129" s="24"/>
      <c r="N129" s="24"/>
      <c r="O129" s="24"/>
    </row>
    <row r="130">
      <c r="A130" s="16"/>
      <c r="B130" s="16"/>
      <c r="C130" s="16"/>
      <c r="D130" s="16"/>
      <c r="E130" s="16"/>
      <c r="F130" s="20"/>
      <c r="G130" s="20"/>
      <c r="H130" s="20"/>
      <c r="I130" s="20"/>
      <c r="J130" s="24"/>
      <c r="K130" s="24"/>
      <c r="L130" s="24"/>
      <c r="M130" s="24"/>
      <c r="N130" s="24"/>
      <c r="O130" s="24"/>
    </row>
    <row r="131">
      <c r="A131" s="16"/>
      <c r="B131" s="16"/>
      <c r="C131" s="16"/>
      <c r="D131" s="16"/>
      <c r="E131" s="16"/>
      <c r="F131" s="20"/>
      <c r="G131" s="20"/>
      <c r="H131" s="20"/>
      <c r="I131" s="20"/>
      <c r="J131" s="24"/>
      <c r="K131" s="24"/>
      <c r="L131" s="24"/>
      <c r="M131" s="24"/>
      <c r="N131" s="24"/>
      <c r="O131" s="24"/>
    </row>
    <row r="132">
      <c r="A132" s="16"/>
      <c r="B132" s="16"/>
      <c r="C132" s="16"/>
      <c r="D132" s="16"/>
      <c r="E132" s="16"/>
      <c r="F132" s="20"/>
      <c r="G132" s="20"/>
      <c r="H132" s="20"/>
      <c r="I132" s="20"/>
      <c r="J132" s="24"/>
      <c r="K132" s="24"/>
      <c r="L132" s="24"/>
      <c r="M132" s="24"/>
      <c r="N132" s="24"/>
      <c r="O132" s="24"/>
    </row>
    <row r="133">
      <c r="A133" s="16"/>
      <c r="B133" s="16"/>
      <c r="C133" s="16"/>
      <c r="D133" s="16"/>
      <c r="E133" s="16"/>
      <c r="F133" s="20"/>
      <c r="G133" s="20"/>
      <c r="H133" s="20"/>
      <c r="I133" s="20"/>
      <c r="J133" s="24"/>
      <c r="K133" s="24"/>
      <c r="L133" s="24"/>
      <c r="M133" s="24"/>
      <c r="N133" s="24"/>
      <c r="O133" s="24"/>
    </row>
    <row r="134">
      <c r="A134" s="16"/>
      <c r="B134" s="16"/>
      <c r="C134" s="16"/>
      <c r="D134" s="16"/>
      <c r="E134" s="16"/>
      <c r="F134" s="20"/>
      <c r="G134" s="20"/>
      <c r="H134" s="20"/>
      <c r="I134" s="20"/>
      <c r="J134" s="24"/>
      <c r="K134" s="24"/>
      <c r="L134" s="24"/>
      <c r="M134" s="24"/>
      <c r="N134" s="24"/>
      <c r="O134" s="24"/>
    </row>
    <row r="135">
      <c r="A135" s="16"/>
      <c r="B135" s="16"/>
      <c r="C135" s="16"/>
      <c r="D135" s="16"/>
      <c r="E135" s="16"/>
      <c r="F135" s="20"/>
      <c r="G135" s="20"/>
      <c r="H135" s="20"/>
      <c r="I135" s="20"/>
      <c r="J135" s="24"/>
      <c r="K135" s="24"/>
      <c r="L135" s="24"/>
      <c r="M135" s="24"/>
      <c r="N135" s="24"/>
      <c r="O135" s="24"/>
    </row>
    <row r="136">
      <c r="A136" s="16"/>
      <c r="B136" s="16"/>
      <c r="C136" s="16"/>
      <c r="D136" s="16"/>
      <c r="E136" s="16"/>
      <c r="F136" s="20"/>
      <c r="G136" s="20"/>
      <c r="H136" s="20"/>
      <c r="I136" s="20"/>
      <c r="J136" s="24"/>
      <c r="K136" s="24"/>
      <c r="L136" s="24"/>
      <c r="M136" s="24"/>
      <c r="N136" s="24"/>
      <c r="O136" s="24"/>
    </row>
    <row r="137">
      <c r="A137" s="16"/>
      <c r="B137" s="16"/>
      <c r="C137" s="16"/>
      <c r="D137" s="16"/>
      <c r="E137" s="16"/>
      <c r="F137" s="20"/>
      <c r="G137" s="20"/>
      <c r="H137" s="20"/>
      <c r="I137" s="20"/>
      <c r="J137" s="24"/>
      <c r="K137" s="24"/>
      <c r="L137" s="24"/>
      <c r="M137" s="24"/>
      <c r="N137" s="24"/>
      <c r="O137" s="24"/>
    </row>
    <row r="138">
      <c r="A138" s="16"/>
      <c r="B138" s="16"/>
      <c r="C138" s="16"/>
      <c r="D138" s="16"/>
      <c r="E138" s="16"/>
      <c r="F138" s="20"/>
      <c r="G138" s="20"/>
      <c r="H138" s="20"/>
      <c r="I138" s="20"/>
      <c r="J138" s="24"/>
      <c r="K138" s="24"/>
      <c r="L138" s="24"/>
      <c r="M138" s="24"/>
      <c r="N138" s="24"/>
      <c r="O138" s="24"/>
    </row>
    <row r="139">
      <c r="A139" s="16"/>
      <c r="B139" s="16"/>
      <c r="C139" s="16"/>
      <c r="D139" s="16"/>
      <c r="E139" s="16"/>
      <c r="F139" s="20"/>
      <c r="G139" s="20"/>
      <c r="H139" s="20"/>
      <c r="I139" s="20"/>
      <c r="J139" s="24"/>
      <c r="K139" s="24"/>
      <c r="L139" s="24"/>
      <c r="M139" s="24"/>
      <c r="N139" s="24"/>
      <c r="O139" s="24"/>
    </row>
    <row r="140">
      <c r="A140" s="16"/>
      <c r="B140" s="16"/>
      <c r="C140" s="16"/>
      <c r="D140" s="16"/>
      <c r="E140" s="16"/>
      <c r="F140" s="20"/>
      <c r="G140" s="20"/>
      <c r="H140" s="20"/>
      <c r="I140" s="20"/>
      <c r="J140" s="24"/>
      <c r="K140" s="24"/>
      <c r="L140" s="24"/>
      <c r="M140" s="24"/>
      <c r="N140" s="24"/>
      <c r="O140" s="24"/>
    </row>
    <row r="141">
      <c r="A141" s="16"/>
      <c r="B141" s="16"/>
      <c r="C141" s="16"/>
      <c r="D141" s="16"/>
      <c r="E141" s="16"/>
      <c r="F141" s="20"/>
      <c r="G141" s="20"/>
      <c r="H141" s="20"/>
      <c r="I141" s="20"/>
      <c r="J141" s="24"/>
      <c r="K141" s="24"/>
      <c r="L141" s="24"/>
      <c r="M141" s="24"/>
      <c r="N141" s="24"/>
      <c r="O141" s="24"/>
    </row>
    <row r="142">
      <c r="A142" s="16"/>
      <c r="B142" s="16"/>
      <c r="C142" s="16"/>
      <c r="D142" s="16"/>
      <c r="E142" s="16"/>
      <c r="F142" s="20"/>
      <c r="G142" s="20"/>
      <c r="H142" s="20"/>
      <c r="I142" s="20"/>
      <c r="J142" s="24"/>
      <c r="K142" s="24"/>
      <c r="L142" s="24"/>
      <c r="M142" s="24"/>
      <c r="N142" s="24"/>
      <c r="O142" s="24"/>
    </row>
    <row r="143">
      <c r="A143" s="16"/>
      <c r="B143" s="16"/>
      <c r="C143" s="16"/>
      <c r="D143" s="16"/>
      <c r="E143" s="16"/>
      <c r="F143" s="20"/>
      <c r="G143" s="20"/>
      <c r="H143" s="20"/>
      <c r="I143" s="20"/>
      <c r="J143" s="24"/>
      <c r="K143" s="24"/>
      <c r="L143" s="24"/>
      <c r="M143" s="24"/>
      <c r="N143" s="24"/>
      <c r="O143" s="24"/>
    </row>
    <row r="144">
      <c r="A144" s="16"/>
      <c r="B144" s="16"/>
      <c r="C144" s="16"/>
      <c r="D144" s="16"/>
      <c r="E144" s="16"/>
      <c r="F144" s="20"/>
      <c r="G144" s="20"/>
      <c r="H144" s="20"/>
      <c r="I144" s="20"/>
      <c r="J144" s="24"/>
      <c r="K144" s="24"/>
      <c r="L144" s="24"/>
      <c r="M144" s="24"/>
      <c r="N144" s="24"/>
      <c r="O144" s="24"/>
    </row>
    <row r="145">
      <c r="A145" s="16"/>
      <c r="B145" s="16"/>
      <c r="C145" s="16"/>
      <c r="D145" s="16"/>
      <c r="E145" s="16"/>
      <c r="F145" s="20"/>
      <c r="G145" s="20"/>
      <c r="H145" s="20"/>
      <c r="I145" s="20"/>
      <c r="J145" s="24"/>
      <c r="K145" s="24"/>
      <c r="L145" s="24"/>
      <c r="M145" s="24"/>
      <c r="N145" s="24"/>
      <c r="O145" s="24"/>
    </row>
    <row r="146">
      <c r="A146" s="16"/>
      <c r="B146" s="16"/>
      <c r="C146" s="16"/>
      <c r="D146" s="16"/>
      <c r="E146" s="16"/>
      <c r="F146" s="20"/>
      <c r="G146" s="20"/>
      <c r="H146" s="20"/>
      <c r="I146" s="20"/>
      <c r="J146" s="24"/>
      <c r="K146" s="24"/>
      <c r="L146" s="24"/>
      <c r="M146" s="24"/>
      <c r="N146" s="24"/>
      <c r="O146" s="24"/>
    </row>
    <row r="147">
      <c r="A147" s="16"/>
      <c r="B147" s="16"/>
      <c r="C147" s="16"/>
      <c r="D147" s="16"/>
      <c r="E147" s="16"/>
      <c r="F147" s="20"/>
      <c r="G147" s="20"/>
      <c r="H147" s="20"/>
      <c r="I147" s="20"/>
      <c r="J147" s="24"/>
      <c r="K147" s="24"/>
      <c r="L147" s="24"/>
      <c r="M147" s="24"/>
      <c r="N147" s="24"/>
      <c r="O147" s="24"/>
    </row>
    <row r="148">
      <c r="A148" s="16"/>
      <c r="B148" s="16"/>
      <c r="C148" s="16"/>
      <c r="D148" s="16"/>
      <c r="E148" s="16"/>
      <c r="F148" s="20"/>
      <c r="G148" s="20"/>
      <c r="H148" s="20"/>
      <c r="I148" s="20"/>
      <c r="J148" s="24"/>
      <c r="K148" s="24"/>
      <c r="L148" s="24"/>
      <c r="M148" s="24"/>
      <c r="N148" s="24"/>
      <c r="O148" s="24"/>
    </row>
    <row r="149">
      <c r="A149" s="16"/>
      <c r="B149" s="16"/>
      <c r="C149" s="16"/>
      <c r="D149" s="16"/>
      <c r="E149" s="16"/>
      <c r="F149" s="20"/>
      <c r="G149" s="20"/>
      <c r="H149" s="20"/>
      <c r="I149" s="20"/>
      <c r="J149" s="24"/>
      <c r="K149" s="24"/>
      <c r="L149" s="24"/>
      <c r="M149" s="24"/>
      <c r="N149" s="24"/>
      <c r="O149" s="24"/>
    </row>
    <row r="150">
      <c r="A150" s="16"/>
      <c r="B150" s="16"/>
      <c r="C150" s="16"/>
      <c r="D150" s="16"/>
      <c r="E150" s="16"/>
      <c r="F150" s="20"/>
      <c r="G150" s="20"/>
      <c r="H150" s="20"/>
      <c r="I150" s="20"/>
      <c r="J150" s="24"/>
      <c r="K150" s="24"/>
      <c r="L150" s="24"/>
      <c r="M150" s="24"/>
      <c r="N150" s="24"/>
      <c r="O150" s="24"/>
    </row>
    <row r="151">
      <c r="A151" s="16"/>
      <c r="B151" s="16"/>
      <c r="C151" s="16"/>
      <c r="D151" s="16"/>
      <c r="E151" s="16"/>
      <c r="F151" s="20"/>
      <c r="G151" s="20"/>
      <c r="H151" s="20"/>
      <c r="I151" s="20"/>
      <c r="J151" s="24"/>
      <c r="K151" s="24"/>
      <c r="L151" s="24"/>
      <c r="M151" s="24"/>
      <c r="N151" s="24"/>
      <c r="O151" s="24"/>
    </row>
    <row r="152">
      <c r="A152" s="16"/>
      <c r="B152" s="16"/>
      <c r="C152" s="16"/>
      <c r="D152" s="16"/>
      <c r="E152" s="16"/>
      <c r="F152" s="20"/>
      <c r="G152" s="20"/>
      <c r="H152" s="20"/>
      <c r="I152" s="20"/>
      <c r="J152" s="24"/>
      <c r="K152" s="24"/>
      <c r="L152" s="24"/>
      <c r="M152" s="24"/>
      <c r="N152" s="24"/>
      <c r="O152" s="24"/>
    </row>
    <row r="153">
      <c r="A153" s="16"/>
      <c r="B153" s="16"/>
      <c r="C153" s="16"/>
      <c r="D153" s="16"/>
      <c r="E153" s="16"/>
      <c r="F153" s="20"/>
      <c r="G153" s="20"/>
      <c r="H153" s="20"/>
      <c r="I153" s="20"/>
      <c r="J153" s="24"/>
      <c r="K153" s="24"/>
      <c r="L153" s="24"/>
      <c r="M153" s="24"/>
      <c r="N153" s="24"/>
      <c r="O153" s="24"/>
    </row>
    <row r="154">
      <c r="A154" s="16"/>
      <c r="B154" s="16"/>
      <c r="C154" s="16"/>
      <c r="D154" s="16"/>
      <c r="E154" s="16"/>
      <c r="F154" s="20"/>
      <c r="G154" s="20"/>
      <c r="H154" s="20"/>
      <c r="I154" s="20"/>
      <c r="J154" s="24"/>
      <c r="K154" s="24"/>
      <c r="L154" s="24"/>
      <c r="M154" s="24"/>
      <c r="N154" s="24"/>
      <c r="O154" s="24"/>
    </row>
    <row r="155">
      <c r="A155" s="16"/>
      <c r="B155" s="16"/>
      <c r="C155" s="16"/>
      <c r="D155" s="16"/>
      <c r="E155" s="16"/>
      <c r="F155" s="20"/>
      <c r="G155" s="20"/>
      <c r="H155" s="20"/>
      <c r="I155" s="20"/>
      <c r="J155" s="24"/>
      <c r="K155" s="24"/>
      <c r="L155" s="24"/>
      <c r="M155" s="24"/>
      <c r="N155" s="24"/>
      <c r="O155" s="24"/>
    </row>
    <row r="156">
      <c r="A156" s="16"/>
      <c r="B156" s="16"/>
      <c r="C156" s="16"/>
      <c r="D156" s="16"/>
      <c r="E156" s="16"/>
      <c r="F156" s="20"/>
      <c r="G156" s="20"/>
      <c r="H156" s="20"/>
      <c r="I156" s="20"/>
      <c r="J156" s="24"/>
      <c r="K156" s="24"/>
      <c r="L156" s="24"/>
      <c r="M156" s="24"/>
      <c r="N156" s="24"/>
      <c r="O156" s="24"/>
    </row>
    <row r="157">
      <c r="A157" s="16"/>
      <c r="B157" s="16"/>
      <c r="C157" s="16"/>
      <c r="D157" s="16"/>
      <c r="E157" s="16"/>
      <c r="F157" s="20"/>
      <c r="G157" s="20"/>
      <c r="H157" s="20"/>
      <c r="I157" s="20"/>
      <c r="J157" s="24"/>
      <c r="K157" s="24"/>
      <c r="L157" s="24"/>
      <c r="M157" s="24"/>
      <c r="N157" s="24"/>
      <c r="O157" s="24"/>
    </row>
    <row r="158">
      <c r="A158" s="16"/>
      <c r="B158" s="16"/>
      <c r="C158" s="16"/>
      <c r="D158" s="16"/>
      <c r="E158" s="16"/>
      <c r="F158" s="20"/>
      <c r="G158" s="20"/>
      <c r="H158" s="20"/>
      <c r="I158" s="20"/>
      <c r="J158" s="24"/>
      <c r="K158" s="24"/>
      <c r="L158" s="24"/>
      <c r="M158" s="24"/>
      <c r="N158" s="24"/>
      <c r="O158" s="24"/>
    </row>
    <row r="159">
      <c r="A159" s="16"/>
      <c r="B159" s="16"/>
      <c r="C159" s="16"/>
      <c r="D159" s="16"/>
      <c r="E159" s="16"/>
      <c r="F159" s="20"/>
      <c r="G159" s="20"/>
      <c r="H159" s="20"/>
      <c r="I159" s="20"/>
      <c r="J159" s="24"/>
      <c r="K159" s="24"/>
      <c r="L159" s="24"/>
      <c r="M159" s="24"/>
      <c r="N159" s="24"/>
      <c r="O159" s="24"/>
    </row>
    <row r="160">
      <c r="A160" s="16"/>
      <c r="B160" s="16"/>
      <c r="C160" s="16"/>
      <c r="D160" s="16"/>
      <c r="E160" s="16"/>
      <c r="F160" s="20"/>
      <c r="G160" s="20"/>
      <c r="H160" s="20"/>
      <c r="I160" s="20"/>
      <c r="J160" s="24"/>
      <c r="K160" s="24"/>
      <c r="L160" s="24"/>
      <c r="M160" s="24"/>
      <c r="N160" s="24"/>
      <c r="O160" s="24"/>
    </row>
    <row r="161">
      <c r="A161" s="16"/>
      <c r="B161" s="16"/>
      <c r="C161" s="16"/>
      <c r="D161" s="16"/>
      <c r="E161" s="16"/>
      <c r="F161" s="20"/>
      <c r="G161" s="20"/>
      <c r="H161" s="20"/>
      <c r="I161" s="20"/>
      <c r="J161" s="24"/>
      <c r="K161" s="24"/>
      <c r="L161" s="24"/>
      <c r="M161" s="24"/>
      <c r="N161" s="24"/>
      <c r="O161" s="24"/>
    </row>
    <row r="162">
      <c r="A162" s="16"/>
      <c r="B162" s="16"/>
      <c r="C162" s="16"/>
      <c r="D162" s="16"/>
      <c r="E162" s="16"/>
      <c r="F162" s="20"/>
      <c r="G162" s="20"/>
      <c r="H162" s="20"/>
      <c r="I162" s="20"/>
      <c r="J162" s="24"/>
      <c r="K162" s="24"/>
      <c r="L162" s="24"/>
      <c r="M162" s="24"/>
      <c r="N162" s="24"/>
      <c r="O162" s="24"/>
    </row>
    <row r="163">
      <c r="A163" s="16"/>
      <c r="B163" s="16"/>
      <c r="C163" s="16"/>
      <c r="D163" s="16"/>
      <c r="E163" s="16"/>
      <c r="F163" s="20"/>
      <c r="G163" s="20"/>
      <c r="H163" s="20"/>
      <c r="I163" s="20"/>
      <c r="J163" s="24"/>
      <c r="K163" s="24"/>
      <c r="L163" s="24"/>
      <c r="M163" s="24"/>
      <c r="N163" s="24"/>
      <c r="O163" s="24"/>
    </row>
    <row r="164">
      <c r="A164" s="16"/>
      <c r="B164" s="16"/>
      <c r="C164" s="16"/>
      <c r="D164" s="16"/>
      <c r="E164" s="16"/>
      <c r="F164" s="20"/>
      <c r="G164" s="20"/>
      <c r="H164" s="20"/>
      <c r="I164" s="20"/>
      <c r="J164" s="24"/>
      <c r="K164" s="24"/>
      <c r="L164" s="24"/>
      <c r="M164" s="24"/>
      <c r="N164" s="24"/>
      <c r="O164" s="24"/>
    </row>
    <row r="165">
      <c r="A165" s="16"/>
      <c r="B165" s="16"/>
      <c r="C165" s="16"/>
      <c r="D165" s="16"/>
      <c r="E165" s="16"/>
      <c r="F165" s="20"/>
      <c r="G165" s="20"/>
      <c r="H165" s="20"/>
      <c r="I165" s="20"/>
      <c r="J165" s="24"/>
      <c r="K165" s="24"/>
      <c r="L165" s="24"/>
      <c r="M165" s="24"/>
      <c r="N165" s="24"/>
      <c r="O165" s="24"/>
    </row>
    <row r="166">
      <c r="A166" s="16"/>
      <c r="B166" s="16"/>
      <c r="C166" s="16"/>
      <c r="D166" s="16"/>
      <c r="E166" s="16"/>
      <c r="F166" s="20"/>
      <c r="G166" s="20"/>
      <c r="H166" s="20"/>
      <c r="I166" s="20"/>
      <c r="J166" s="24"/>
      <c r="K166" s="24"/>
      <c r="L166" s="24"/>
      <c r="M166" s="24"/>
      <c r="N166" s="24"/>
      <c r="O166" s="24"/>
    </row>
    <row r="167">
      <c r="A167" s="16"/>
      <c r="B167" s="16"/>
      <c r="C167" s="16"/>
      <c r="D167" s="16"/>
      <c r="E167" s="16"/>
      <c r="F167" s="20"/>
      <c r="G167" s="20"/>
      <c r="H167" s="20"/>
      <c r="I167" s="20"/>
      <c r="J167" s="24"/>
      <c r="K167" s="24"/>
      <c r="L167" s="24"/>
      <c r="M167" s="24"/>
      <c r="N167" s="24"/>
      <c r="O167" s="24"/>
    </row>
    <row r="168">
      <c r="A168" s="16"/>
      <c r="B168" s="16"/>
      <c r="C168" s="16"/>
      <c r="D168" s="16"/>
      <c r="E168" s="16"/>
      <c r="F168" s="20"/>
      <c r="G168" s="20"/>
      <c r="H168" s="20"/>
      <c r="I168" s="20"/>
      <c r="J168" s="24"/>
      <c r="K168" s="24"/>
      <c r="L168" s="24"/>
      <c r="M168" s="24"/>
      <c r="N168" s="24"/>
      <c r="O168" s="24"/>
    </row>
    <row r="169">
      <c r="A169" s="16"/>
      <c r="B169" s="16"/>
      <c r="C169" s="16"/>
      <c r="D169" s="16"/>
      <c r="E169" s="16"/>
      <c r="F169" s="20"/>
      <c r="G169" s="20"/>
      <c r="H169" s="20"/>
      <c r="I169" s="20"/>
      <c r="J169" s="24"/>
      <c r="K169" s="24"/>
      <c r="L169" s="24"/>
      <c r="M169" s="24"/>
      <c r="N169" s="24"/>
      <c r="O169" s="24"/>
    </row>
    <row r="170">
      <c r="A170" s="16"/>
      <c r="B170" s="16"/>
      <c r="C170" s="16"/>
      <c r="D170" s="16"/>
      <c r="E170" s="16"/>
      <c r="F170" s="20"/>
      <c r="G170" s="20"/>
      <c r="H170" s="20"/>
      <c r="I170" s="20"/>
      <c r="J170" s="24"/>
      <c r="K170" s="24"/>
      <c r="L170" s="24"/>
      <c r="M170" s="24"/>
      <c r="N170" s="24"/>
      <c r="O170" s="24"/>
    </row>
    <row r="171">
      <c r="A171" s="16"/>
      <c r="B171" s="16"/>
      <c r="C171" s="16"/>
      <c r="D171" s="16"/>
      <c r="E171" s="16"/>
      <c r="F171" s="20"/>
      <c r="G171" s="20"/>
      <c r="H171" s="20"/>
      <c r="I171" s="20"/>
      <c r="J171" s="24"/>
      <c r="K171" s="24"/>
      <c r="L171" s="24"/>
      <c r="M171" s="24"/>
      <c r="N171" s="24"/>
      <c r="O171" s="24"/>
    </row>
    <row r="172">
      <c r="A172" s="16"/>
      <c r="B172" s="16"/>
      <c r="C172" s="16"/>
      <c r="D172" s="16"/>
      <c r="E172" s="16"/>
      <c r="F172" s="20"/>
      <c r="G172" s="20"/>
      <c r="H172" s="20"/>
      <c r="I172" s="20"/>
      <c r="J172" s="24"/>
      <c r="K172" s="24"/>
      <c r="L172" s="24"/>
      <c r="M172" s="24"/>
      <c r="N172" s="24"/>
      <c r="O172" s="24"/>
    </row>
    <row r="173">
      <c r="A173" s="16"/>
      <c r="B173" s="16"/>
      <c r="C173" s="16"/>
      <c r="D173" s="16"/>
      <c r="E173" s="16"/>
      <c r="F173" s="20"/>
      <c r="G173" s="20"/>
      <c r="H173" s="20"/>
      <c r="I173" s="20"/>
      <c r="J173" s="24"/>
      <c r="K173" s="24"/>
      <c r="L173" s="24"/>
      <c r="M173" s="24"/>
      <c r="N173" s="24"/>
      <c r="O173" s="24"/>
    </row>
    <row r="174">
      <c r="A174" s="16"/>
      <c r="B174" s="16"/>
      <c r="C174" s="16"/>
      <c r="D174" s="16"/>
      <c r="E174" s="16"/>
      <c r="F174" s="20"/>
      <c r="G174" s="20"/>
      <c r="H174" s="20"/>
      <c r="I174" s="20"/>
      <c r="J174" s="24"/>
      <c r="K174" s="24"/>
      <c r="L174" s="24"/>
      <c r="M174" s="24"/>
      <c r="N174" s="24"/>
      <c r="O174" s="24"/>
    </row>
    <row r="175">
      <c r="A175" s="16"/>
      <c r="B175" s="16"/>
      <c r="C175" s="16"/>
      <c r="D175" s="16"/>
      <c r="E175" s="16"/>
      <c r="F175" s="20"/>
      <c r="G175" s="20"/>
      <c r="H175" s="20"/>
      <c r="I175" s="20"/>
      <c r="J175" s="24"/>
      <c r="K175" s="24"/>
      <c r="L175" s="24"/>
      <c r="M175" s="24"/>
      <c r="N175" s="24"/>
      <c r="O175" s="24"/>
    </row>
    <row r="176">
      <c r="A176" s="16"/>
      <c r="B176" s="16"/>
      <c r="C176" s="16"/>
      <c r="D176" s="16"/>
      <c r="E176" s="16"/>
      <c r="F176" s="20"/>
      <c r="G176" s="20"/>
      <c r="H176" s="20"/>
      <c r="I176" s="20"/>
      <c r="J176" s="24"/>
      <c r="K176" s="24"/>
      <c r="L176" s="24"/>
      <c r="M176" s="24"/>
      <c r="N176" s="24"/>
      <c r="O176" s="24"/>
    </row>
    <row r="177">
      <c r="A177" s="16"/>
      <c r="B177" s="16"/>
      <c r="C177" s="16"/>
      <c r="D177" s="16"/>
      <c r="E177" s="16"/>
      <c r="F177" s="20"/>
      <c r="G177" s="20"/>
      <c r="H177" s="20"/>
      <c r="I177" s="20"/>
      <c r="J177" s="24"/>
      <c r="K177" s="24"/>
      <c r="L177" s="24"/>
      <c r="M177" s="24"/>
      <c r="N177" s="24"/>
      <c r="O177" s="24"/>
    </row>
    <row r="178">
      <c r="A178" s="16"/>
      <c r="B178" s="16"/>
      <c r="C178" s="16"/>
      <c r="D178" s="16"/>
      <c r="E178" s="16"/>
      <c r="F178" s="20"/>
      <c r="G178" s="20"/>
      <c r="H178" s="20"/>
      <c r="I178" s="20"/>
      <c r="J178" s="24"/>
      <c r="K178" s="24"/>
      <c r="L178" s="24"/>
      <c r="M178" s="24"/>
      <c r="N178" s="24"/>
      <c r="O178" s="24"/>
    </row>
    <row r="179">
      <c r="A179" s="16"/>
      <c r="B179" s="16"/>
      <c r="C179" s="16"/>
      <c r="D179" s="16"/>
      <c r="E179" s="16"/>
      <c r="F179" s="20"/>
      <c r="G179" s="20"/>
      <c r="H179" s="20"/>
      <c r="I179" s="20"/>
      <c r="J179" s="24"/>
      <c r="K179" s="24"/>
      <c r="L179" s="24"/>
      <c r="M179" s="24"/>
      <c r="N179" s="24"/>
      <c r="O179" s="24"/>
    </row>
    <row r="180">
      <c r="A180" s="16"/>
      <c r="B180" s="16"/>
      <c r="C180" s="16"/>
      <c r="D180" s="16"/>
      <c r="E180" s="16"/>
      <c r="F180" s="20"/>
      <c r="G180" s="20"/>
      <c r="H180" s="20"/>
      <c r="I180" s="20"/>
      <c r="J180" s="24"/>
      <c r="K180" s="24"/>
      <c r="L180" s="24"/>
      <c r="M180" s="24"/>
      <c r="N180" s="24"/>
      <c r="O180" s="24"/>
    </row>
    <row r="181">
      <c r="A181" s="16"/>
      <c r="B181" s="16"/>
      <c r="C181" s="16"/>
      <c r="D181" s="16"/>
      <c r="E181" s="16"/>
      <c r="F181" s="20"/>
      <c r="G181" s="20"/>
      <c r="H181" s="20"/>
      <c r="I181" s="20"/>
      <c r="J181" s="24"/>
      <c r="K181" s="24"/>
      <c r="L181" s="24"/>
      <c r="M181" s="24"/>
      <c r="N181" s="24"/>
      <c r="O181" s="24"/>
    </row>
    <row r="182">
      <c r="A182" s="16"/>
      <c r="B182" s="16"/>
      <c r="C182" s="16"/>
      <c r="D182" s="16"/>
      <c r="E182" s="16"/>
      <c r="F182" s="20"/>
      <c r="G182" s="20"/>
      <c r="H182" s="20"/>
      <c r="I182" s="20"/>
      <c r="J182" s="24"/>
      <c r="K182" s="24"/>
      <c r="L182" s="24"/>
      <c r="M182" s="24"/>
      <c r="N182" s="24"/>
      <c r="O182" s="24"/>
    </row>
    <row r="183">
      <c r="A183" s="16"/>
      <c r="B183" s="16"/>
      <c r="C183" s="16"/>
      <c r="D183" s="16"/>
      <c r="E183" s="16"/>
      <c r="F183" s="20"/>
      <c r="G183" s="20"/>
      <c r="H183" s="20"/>
      <c r="I183" s="20"/>
      <c r="J183" s="24"/>
      <c r="K183" s="24"/>
      <c r="L183" s="24"/>
      <c r="M183" s="24"/>
      <c r="N183" s="24"/>
      <c r="O183" s="24"/>
    </row>
    <row r="184">
      <c r="A184" s="16"/>
      <c r="B184" s="16"/>
      <c r="C184" s="16"/>
      <c r="D184" s="16"/>
      <c r="E184" s="16"/>
      <c r="F184" s="20"/>
      <c r="G184" s="20"/>
      <c r="H184" s="20"/>
      <c r="I184" s="20"/>
      <c r="J184" s="24"/>
      <c r="K184" s="24"/>
      <c r="L184" s="24"/>
      <c r="M184" s="24"/>
      <c r="N184" s="24"/>
      <c r="O184" s="24"/>
    </row>
    <row r="185">
      <c r="A185" s="16"/>
      <c r="B185" s="16"/>
      <c r="C185" s="16"/>
      <c r="D185" s="16"/>
      <c r="E185" s="16"/>
      <c r="F185" s="20"/>
      <c r="G185" s="20"/>
      <c r="H185" s="20"/>
      <c r="I185" s="20"/>
      <c r="J185" s="24"/>
      <c r="K185" s="24"/>
      <c r="L185" s="24"/>
      <c r="M185" s="24"/>
      <c r="N185" s="24"/>
      <c r="O185" s="24"/>
    </row>
    <row r="186">
      <c r="A186" s="16"/>
      <c r="B186" s="16"/>
      <c r="C186" s="16"/>
      <c r="D186" s="16"/>
      <c r="E186" s="16"/>
      <c r="F186" s="20"/>
      <c r="G186" s="20"/>
      <c r="H186" s="20"/>
      <c r="I186" s="20"/>
      <c r="J186" s="24"/>
      <c r="K186" s="24"/>
      <c r="L186" s="24"/>
      <c r="M186" s="24"/>
      <c r="N186" s="24"/>
      <c r="O186" s="24"/>
    </row>
    <row r="187">
      <c r="A187" s="16"/>
      <c r="B187" s="16"/>
      <c r="C187" s="16"/>
      <c r="D187" s="16"/>
      <c r="E187" s="16"/>
      <c r="F187" s="20"/>
      <c r="G187" s="20"/>
      <c r="H187" s="20"/>
      <c r="I187" s="20"/>
      <c r="J187" s="24"/>
      <c r="K187" s="24"/>
      <c r="L187" s="24"/>
      <c r="M187" s="24"/>
      <c r="N187" s="24"/>
      <c r="O187" s="24"/>
    </row>
    <row r="188">
      <c r="A188" s="16"/>
      <c r="B188" s="16"/>
      <c r="C188" s="16"/>
      <c r="D188" s="16"/>
      <c r="E188" s="16"/>
      <c r="F188" s="20"/>
      <c r="G188" s="20"/>
      <c r="H188" s="20"/>
      <c r="I188" s="20"/>
      <c r="J188" s="24"/>
      <c r="K188" s="24"/>
      <c r="L188" s="24"/>
      <c r="M188" s="24"/>
      <c r="N188" s="24"/>
      <c r="O188" s="24"/>
    </row>
    <row r="189">
      <c r="A189" s="16"/>
      <c r="B189" s="16"/>
      <c r="C189" s="16"/>
      <c r="D189" s="16"/>
      <c r="E189" s="16"/>
      <c r="F189" s="20"/>
      <c r="G189" s="20"/>
      <c r="H189" s="20"/>
      <c r="I189" s="20"/>
      <c r="J189" s="24"/>
      <c r="K189" s="24"/>
      <c r="L189" s="24"/>
      <c r="M189" s="24"/>
      <c r="N189" s="24"/>
      <c r="O189" s="24"/>
    </row>
    <row r="190">
      <c r="A190" s="16"/>
      <c r="B190" s="16"/>
      <c r="C190" s="16"/>
      <c r="D190" s="16"/>
      <c r="E190" s="16"/>
      <c r="F190" s="20"/>
      <c r="G190" s="20"/>
      <c r="H190" s="20"/>
      <c r="I190" s="20"/>
      <c r="J190" s="24"/>
      <c r="K190" s="24"/>
      <c r="L190" s="24"/>
      <c r="M190" s="24"/>
      <c r="N190" s="24"/>
      <c r="O190" s="24"/>
    </row>
    <row r="191">
      <c r="A191" s="16"/>
      <c r="B191" s="16"/>
      <c r="C191" s="16"/>
      <c r="D191" s="16"/>
      <c r="E191" s="16"/>
      <c r="F191" s="20"/>
      <c r="G191" s="20"/>
      <c r="H191" s="20"/>
      <c r="I191" s="20"/>
      <c r="J191" s="24"/>
      <c r="K191" s="24"/>
      <c r="L191" s="24"/>
      <c r="M191" s="24"/>
      <c r="N191" s="24"/>
      <c r="O191" s="24"/>
    </row>
    <row r="192">
      <c r="A192" s="16"/>
      <c r="B192" s="16"/>
      <c r="C192" s="16"/>
      <c r="D192" s="16"/>
      <c r="E192" s="16"/>
      <c r="F192" s="20"/>
      <c r="G192" s="20"/>
      <c r="H192" s="20"/>
      <c r="I192" s="20"/>
      <c r="J192" s="24"/>
      <c r="K192" s="24"/>
      <c r="L192" s="24"/>
      <c r="M192" s="24"/>
      <c r="N192" s="24"/>
      <c r="O192" s="24"/>
    </row>
    <row r="193">
      <c r="A193" s="16"/>
      <c r="B193" s="16"/>
      <c r="C193" s="16"/>
      <c r="D193" s="16"/>
      <c r="E193" s="16"/>
      <c r="F193" s="20"/>
      <c r="G193" s="20"/>
      <c r="H193" s="20"/>
      <c r="I193" s="20"/>
      <c r="J193" s="24"/>
      <c r="K193" s="24"/>
      <c r="L193" s="24"/>
      <c r="M193" s="24"/>
      <c r="N193" s="24"/>
      <c r="O193" s="24"/>
    </row>
    <row r="194">
      <c r="A194" s="16"/>
      <c r="B194" s="16"/>
      <c r="C194" s="16"/>
      <c r="D194" s="16"/>
      <c r="E194" s="16"/>
      <c r="F194" s="20"/>
      <c r="G194" s="20"/>
      <c r="H194" s="20"/>
      <c r="I194" s="20"/>
      <c r="J194" s="24"/>
      <c r="K194" s="24"/>
      <c r="L194" s="24"/>
      <c r="M194" s="24"/>
      <c r="N194" s="24"/>
      <c r="O194" s="24"/>
    </row>
    <row r="195">
      <c r="A195" s="16"/>
      <c r="B195" s="16"/>
      <c r="C195" s="16"/>
      <c r="D195" s="16"/>
      <c r="E195" s="16"/>
      <c r="F195" s="20"/>
      <c r="G195" s="20"/>
      <c r="H195" s="20"/>
      <c r="I195" s="20"/>
      <c r="J195" s="24"/>
      <c r="K195" s="24"/>
      <c r="L195" s="24"/>
      <c r="M195" s="24"/>
      <c r="N195" s="24"/>
      <c r="O195" s="24"/>
    </row>
    <row r="196">
      <c r="A196" s="16"/>
      <c r="B196" s="16"/>
      <c r="C196" s="16"/>
      <c r="D196" s="16"/>
      <c r="E196" s="16"/>
      <c r="F196" s="20"/>
      <c r="G196" s="20"/>
      <c r="H196" s="20"/>
      <c r="I196" s="20"/>
      <c r="J196" s="24"/>
      <c r="K196" s="24"/>
      <c r="L196" s="24"/>
      <c r="M196" s="24"/>
      <c r="N196" s="24"/>
      <c r="O196" s="24"/>
    </row>
    <row r="197">
      <c r="A197" s="16"/>
      <c r="B197" s="16"/>
      <c r="C197" s="16"/>
      <c r="D197" s="16"/>
      <c r="E197" s="16"/>
      <c r="F197" s="20"/>
      <c r="G197" s="20"/>
      <c r="H197" s="20"/>
      <c r="I197" s="20"/>
      <c r="J197" s="24"/>
      <c r="K197" s="24"/>
      <c r="L197" s="24"/>
      <c r="M197" s="24"/>
      <c r="N197" s="24"/>
      <c r="O197" s="24"/>
    </row>
    <row r="198">
      <c r="A198" s="16"/>
      <c r="B198" s="16"/>
      <c r="C198" s="16"/>
      <c r="D198" s="16"/>
      <c r="E198" s="16"/>
      <c r="F198" s="20"/>
      <c r="G198" s="20"/>
      <c r="H198" s="20"/>
      <c r="I198" s="20"/>
      <c r="J198" s="24"/>
      <c r="K198" s="24"/>
      <c r="L198" s="24"/>
      <c r="M198" s="24"/>
      <c r="N198" s="24"/>
      <c r="O198" s="24"/>
    </row>
    <row r="199">
      <c r="A199" s="16"/>
      <c r="B199" s="16"/>
      <c r="C199" s="16"/>
      <c r="D199" s="16"/>
      <c r="E199" s="16"/>
      <c r="F199" s="20"/>
      <c r="G199" s="20"/>
      <c r="H199" s="20"/>
      <c r="I199" s="20"/>
      <c r="J199" s="24"/>
      <c r="K199" s="24"/>
      <c r="L199" s="24"/>
      <c r="M199" s="24"/>
      <c r="N199" s="24"/>
      <c r="O199" s="24"/>
    </row>
    <row r="200">
      <c r="A200" s="16"/>
      <c r="B200" s="16"/>
      <c r="C200" s="16"/>
      <c r="D200" s="16"/>
      <c r="E200" s="16"/>
      <c r="F200" s="20"/>
      <c r="G200" s="20"/>
      <c r="H200" s="20"/>
      <c r="I200" s="20"/>
      <c r="J200" s="24"/>
      <c r="K200" s="24"/>
      <c r="L200" s="24"/>
      <c r="M200" s="24"/>
      <c r="N200" s="24"/>
      <c r="O200" s="24"/>
    </row>
    <row r="201">
      <c r="A201" s="16"/>
      <c r="B201" s="16"/>
      <c r="C201" s="16"/>
      <c r="D201" s="16"/>
      <c r="E201" s="16"/>
      <c r="F201" s="20"/>
      <c r="G201" s="20"/>
      <c r="H201" s="20"/>
      <c r="I201" s="20"/>
      <c r="J201" s="24"/>
      <c r="K201" s="24"/>
      <c r="L201" s="24"/>
      <c r="M201" s="24"/>
      <c r="N201" s="24"/>
      <c r="O201" s="24"/>
    </row>
    <row r="202">
      <c r="A202" s="16"/>
      <c r="B202" s="16"/>
      <c r="C202" s="16"/>
      <c r="D202" s="16"/>
      <c r="E202" s="16"/>
      <c r="F202" s="20"/>
      <c r="G202" s="20"/>
      <c r="H202" s="20"/>
      <c r="I202" s="20"/>
      <c r="J202" s="24"/>
      <c r="K202" s="24"/>
      <c r="L202" s="24"/>
      <c r="M202" s="24"/>
      <c r="N202" s="24"/>
      <c r="O202" s="24"/>
    </row>
    <row r="203">
      <c r="A203" s="16"/>
      <c r="B203" s="16"/>
      <c r="C203" s="16"/>
      <c r="D203" s="16"/>
      <c r="E203" s="16"/>
      <c r="F203" s="20"/>
      <c r="G203" s="20"/>
      <c r="H203" s="20"/>
      <c r="I203" s="20"/>
      <c r="J203" s="24"/>
      <c r="K203" s="24"/>
      <c r="L203" s="24"/>
      <c r="M203" s="24"/>
      <c r="N203" s="24"/>
      <c r="O203" s="24"/>
    </row>
    <row r="204">
      <c r="A204" s="16"/>
      <c r="B204" s="16"/>
      <c r="C204" s="16"/>
      <c r="D204" s="16"/>
      <c r="E204" s="16"/>
      <c r="F204" s="20"/>
      <c r="G204" s="20"/>
      <c r="H204" s="20"/>
      <c r="I204" s="20"/>
      <c r="J204" s="24"/>
      <c r="K204" s="24"/>
      <c r="L204" s="24"/>
      <c r="M204" s="24"/>
      <c r="N204" s="24"/>
      <c r="O204" s="24"/>
    </row>
    <row r="205">
      <c r="A205" s="16"/>
      <c r="B205" s="16"/>
      <c r="C205" s="16"/>
      <c r="D205" s="16"/>
      <c r="E205" s="16"/>
      <c r="F205" s="20"/>
      <c r="G205" s="20"/>
      <c r="H205" s="20"/>
      <c r="I205" s="20"/>
      <c r="J205" s="24"/>
      <c r="K205" s="24"/>
      <c r="L205" s="24"/>
      <c r="M205" s="24"/>
      <c r="N205" s="24"/>
      <c r="O205" s="24"/>
    </row>
    <row r="206">
      <c r="A206" s="16"/>
      <c r="B206" s="16"/>
      <c r="C206" s="16"/>
      <c r="D206" s="16"/>
      <c r="E206" s="16"/>
      <c r="F206" s="20"/>
      <c r="G206" s="20"/>
      <c r="H206" s="20"/>
      <c r="I206" s="20"/>
      <c r="J206" s="24"/>
      <c r="K206" s="24"/>
      <c r="L206" s="24"/>
      <c r="M206" s="24"/>
      <c r="N206" s="24"/>
      <c r="O206" s="24"/>
    </row>
    <row r="207">
      <c r="A207" s="16"/>
      <c r="B207" s="16"/>
      <c r="C207" s="16"/>
      <c r="D207" s="16"/>
      <c r="E207" s="16"/>
      <c r="F207" s="20"/>
      <c r="G207" s="20"/>
      <c r="H207" s="20"/>
      <c r="I207" s="20"/>
      <c r="J207" s="24"/>
      <c r="K207" s="24"/>
      <c r="L207" s="24"/>
      <c r="M207" s="24"/>
      <c r="N207" s="24"/>
      <c r="O207" s="24"/>
    </row>
    <row r="208">
      <c r="A208" s="16"/>
      <c r="B208" s="16"/>
      <c r="C208" s="16"/>
      <c r="D208" s="16"/>
      <c r="E208" s="16"/>
      <c r="F208" s="20"/>
      <c r="G208" s="20"/>
      <c r="H208" s="20"/>
      <c r="I208" s="20"/>
      <c r="J208" s="24"/>
      <c r="K208" s="24"/>
      <c r="L208" s="24"/>
      <c r="M208" s="24"/>
      <c r="N208" s="24"/>
      <c r="O208" s="24"/>
    </row>
    <row r="209">
      <c r="A209" s="16"/>
      <c r="B209" s="16"/>
      <c r="C209" s="16"/>
      <c r="D209" s="16"/>
      <c r="E209" s="16"/>
      <c r="F209" s="20"/>
      <c r="G209" s="20"/>
      <c r="H209" s="20"/>
      <c r="I209" s="20"/>
      <c r="J209" s="24"/>
      <c r="K209" s="24"/>
      <c r="L209" s="24"/>
      <c r="M209" s="24"/>
      <c r="N209" s="24"/>
      <c r="O209" s="24"/>
    </row>
    <row r="210">
      <c r="A210" s="16"/>
      <c r="B210" s="16"/>
      <c r="C210" s="16"/>
      <c r="D210" s="16"/>
      <c r="E210" s="16"/>
      <c r="F210" s="20"/>
      <c r="G210" s="20"/>
      <c r="H210" s="20"/>
      <c r="I210" s="20"/>
      <c r="J210" s="24"/>
      <c r="K210" s="24"/>
      <c r="L210" s="24"/>
      <c r="M210" s="24"/>
      <c r="N210" s="24"/>
      <c r="O210" s="24"/>
    </row>
    <row r="211">
      <c r="A211" s="16"/>
      <c r="B211" s="16"/>
      <c r="C211" s="16"/>
      <c r="D211" s="16"/>
      <c r="E211" s="16"/>
      <c r="F211" s="20"/>
      <c r="G211" s="20"/>
      <c r="H211" s="20"/>
      <c r="I211" s="20"/>
      <c r="J211" s="24"/>
      <c r="K211" s="24"/>
      <c r="L211" s="24"/>
      <c r="M211" s="24"/>
      <c r="N211" s="24"/>
      <c r="O211" s="24"/>
    </row>
    <row r="212">
      <c r="A212" s="16"/>
      <c r="B212" s="16"/>
      <c r="C212" s="16"/>
      <c r="D212" s="16"/>
      <c r="E212" s="16"/>
      <c r="F212" s="20"/>
      <c r="G212" s="20"/>
      <c r="H212" s="20"/>
      <c r="I212" s="20"/>
      <c r="J212" s="24"/>
      <c r="K212" s="24"/>
      <c r="L212" s="24"/>
      <c r="M212" s="24"/>
      <c r="N212" s="24"/>
      <c r="O212" s="24"/>
    </row>
    <row r="213">
      <c r="A213" s="16"/>
      <c r="B213" s="16"/>
      <c r="C213" s="16"/>
      <c r="D213" s="16"/>
      <c r="E213" s="16"/>
      <c r="F213" s="20"/>
      <c r="G213" s="20"/>
      <c r="H213" s="20"/>
      <c r="I213" s="20"/>
      <c r="J213" s="24"/>
      <c r="K213" s="24"/>
      <c r="L213" s="24"/>
      <c r="M213" s="24"/>
      <c r="N213" s="24"/>
      <c r="O213" s="24"/>
    </row>
    <row r="214">
      <c r="A214" s="16"/>
      <c r="B214" s="16"/>
      <c r="C214" s="16"/>
      <c r="D214" s="16"/>
      <c r="E214" s="16"/>
      <c r="F214" s="20"/>
      <c r="G214" s="20"/>
      <c r="H214" s="20"/>
      <c r="I214" s="20"/>
      <c r="J214" s="24"/>
      <c r="K214" s="24"/>
      <c r="L214" s="24"/>
      <c r="M214" s="24"/>
      <c r="N214" s="24"/>
      <c r="O214" s="24"/>
    </row>
    <row r="215">
      <c r="A215" s="16"/>
      <c r="B215" s="16"/>
      <c r="C215" s="16"/>
      <c r="D215" s="16"/>
      <c r="E215" s="16"/>
      <c r="F215" s="20"/>
      <c r="G215" s="20"/>
      <c r="H215" s="20"/>
      <c r="I215" s="20"/>
      <c r="J215" s="24"/>
      <c r="K215" s="24"/>
      <c r="L215" s="24"/>
      <c r="M215" s="24"/>
      <c r="N215" s="24"/>
      <c r="O215" s="24"/>
    </row>
    <row r="216">
      <c r="A216" s="16"/>
      <c r="B216" s="16"/>
      <c r="C216" s="16"/>
      <c r="D216" s="16"/>
      <c r="E216" s="16"/>
      <c r="F216" s="20"/>
      <c r="G216" s="20"/>
      <c r="H216" s="20"/>
      <c r="I216" s="20"/>
      <c r="J216" s="24"/>
      <c r="K216" s="24"/>
      <c r="L216" s="24"/>
      <c r="M216" s="24"/>
      <c r="N216" s="24"/>
      <c r="O216" s="24"/>
    </row>
    <row r="217">
      <c r="A217" s="16"/>
      <c r="B217" s="16"/>
      <c r="C217" s="16"/>
      <c r="D217" s="16"/>
      <c r="E217" s="16"/>
      <c r="F217" s="20"/>
      <c r="G217" s="20"/>
      <c r="H217" s="20"/>
      <c r="I217" s="20"/>
      <c r="J217" s="24"/>
      <c r="K217" s="24"/>
      <c r="L217" s="24"/>
      <c r="M217" s="24"/>
      <c r="N217" s="24"/>
      <c r="O217" s="24"/>
    </row>
    <row r="218">
      <c r="A218" s="16"/>
      <c r="B218" s="16"/>
      <c r="C218" s="16"/>
      <c r="D218" s="16"/>
      <c r="E218" s="16"/>
      <c r="F218" s="20"/>
      <c r="G218" s="20"/>
      <c r="H218" s="20"/>
      <c r="I218" s="20"/>
      <c r="J218" s="24"/>
      <c r="K218" s="24"/>
      <c r="L218" s="24"/>
      <c r="M218" s="24"/>
      <c r="N218" s="24"/>
      <c r="O218" s="24"/>
    </row>
    <row r="219">
      <c r="A219" s="16"/>
      <c r="B219" s="16"/>
      <c r="C219" s="16"/>
      <c r="D219" s="16"/>
      <c r="E219" s="16"/>
      <c r="F219" s="20"/>
      <c r="G219" s="20"/>
      <c r="H219" s="20"/>
      <c r="I219" s="20"/>
      <c r="J219" s="24"/>
      <c r="K219" s="24"/>
      <c r="L219" s="24"/>
      <c r="M219" s="24"/>
      <c r="N219" s="24"/>
      <c r="O219" s="24"/>
    </row>
    <row r="220">
      <c r="A220" s="16"/>
      <c r="B220" s="16"/>
      <c r="C220" s="16"/>
      <c r="D220" s="16"/>
      <c r="E220" s="16"/>
      <c r="F220" s="20"/>
      <c r="G220" s="20"/>
      <c r="H220" s="20"/>
      <c r="I220" s="20"/>
      <c r="J220" s="24"/>
      <c r="K220" s="24"/>
      <c r="L220" s="24"/>
      <c r="M220" s="24"/>
      <c r="N220" s="24"/>
      <c r="O220" s="24"/>
    </row>
    <row r="221">
      <c r="A221" s="16"/>
      <c r="B221" s="16"/>
      <c r="C221" s="16"/>
      <c r="D221" s="16"/>
      <c r="E221" s="16"/>
      <c r="F221" s="20"/>
      <c r="G221" s="20"/>
      <c r="H221" s="20"/>
      <c r="I221" s="20"/>
      <c r="J221" s="24"/>
      <c r="K221" s="24"/>
      <c r="L221" s="24"/>
      <c r="M221" s="24"/>
      <c r="N221" s="24"/>
      <c r="O221" s="24"/>
    </row>
    <row r="222">
      <c r="A222" s="16"/>
      <c r="B222" s="16"/>
      <c r="C222" s="16"/>
      <c r="D222" s="16"/>
      <c r="E222" s="16"/>
      <c r="F222" s="20"/>
      <c r="G222" s="20"/>
      <c r="H222" s="20"/>
      <c r="I222" s="20"/>
      <c r="J222" s="24"/>
      <c r="K222" s="24"/>
      <c r="L222" s="24"/>
      <c r="M222" s="24"/>
      <c r="N222" s="24"/>
      <c r="O222" s="24"/>
    </row>
    <row r="223">
      <c r="A223" s="16"/>
      <c r="B223" s="16"/>
      <c r="C223" s="16"/>
      <c r="D223" s="16"/>
      <c r="E223" s="16"/>
      <c r="F223" s="20"/>
      <c r="G223" s="20"/>
      <c r="H223" s="20"/>
      <c r="I223" s="20"/>
      <c r="J223" s="24"/>
      <c r="K223" s="24"/>
      <c r="L223" s="24"/>
      <c r="M223" s="24"/>
      <c r="N223" s="24"/>
      <c r="O223" s="24"/>
    </row>
    <row r="224">
      <c r="A224" s="16"/>
      <c r="B224" s="16"/>
      <c r="C224" s="16"/>
      <c r="D224" s="16"/>
      <c r="E224" s="16"/>
      <c r="F224" s="20"/>
      <c r="G224" s="20"/>
      <c r="H224" s="20"/>
      <c r="I224" s="20"/>
      <c r="J224" s="24"/>
      <c r="K224" s="24"/>
      <c r="L224" s="24"/>
      <c r="M224" s="24"/>
      <c r="N224" s="24"/>
      <c r="O224" s="24"/>
    </row>
    <row r="225">
      <c r="A225" s="16"/>
      <c r="B225" s="16"/>
      <c r="C225" s="16"/>
      <c r="D225" s="16"/>
      <c r="E225" s="16"/>
      <c r="F225" s="20"/>
      <c r="G225" s="20"/>
      <c r="H225" s="20"/>
      <c r="I225" s="20"/>
      <c r="J225" s="24"/>
      <c r="K225" s="24"/>
      <c r="L225" s="24"/>
      <c r="M225" s="24"/>
      <c r="N225" s="24"/>
      <c r="O225" s="24"/>
    </row>
    <row r="226">
      <c r="A226" s="16"/>
      <c r="B226" s="16"/>
      <c r="C226" s="16"/>
      <c r="D226" s="16"/>
      <c r="E226" s="16"/>
      <c r="F226" s="20"/>
      <c r="G226" s="20"/>
      <c r="H226" s="20"/>
      <c r="I226" s="20"/>
      <c r="J226" s="24"/>
      <c r="K226" s="24"/>
      <c r="L226" s="24"/>
      <c r="M226" s="24"/>
      <c r="N226" s="24"/>
      <c r="O226" s="24"/>
    </row>
    <row r="227">
      <c r="A227" s="16"/>
      <c r="B227" s="16"/>
      <c r="C227" s="16"/>
      <c r="D227" s="16"/>
      <c r="E227" s="16"/>
      <c r="F227" s="20"/>
      <c r="G227" s="20"/>
      <c r="H227" s="20"/>
      <c r="I227" s="20"/>
      <c r="J227" s="24"/>
      <c r="K227" s="24"/>
      <c r="L227" s="24"/>
      <c r="M227" s="24"/>
      <c r="N227" s="24"/>
      <c r="O227" s="24"/>
    </row>
    <row r="228">
      <c r="A228" s="16"/>
      <c r="B228" s="16"/>
      <c r="C228" s="16"/>
      <c r="D228" s="16"/>
      <c r="E228" s="16"/>
      <c r="F228" s="20"/>
      <c r="G228" s="20"/>
      <c r="H228" s="20"/>
      <c r="I228" s="20"/>
      <c r="J228" s="24"/>
      <c r="K228" s="24"/>
      <c r="L228" s="24"/>
      <c r="M228" s="24"/>
      <c r="N228" s="24"/>
      <c r="O228" s="24"/>
    </row>
    <row r="229">
      <c r="A229" s="16"/>
      <c r="B229" s="16"/>
      <c r="C229" s="16"/>
      <c r="D229" s="16"/>
      <c r="E229" s="16"/>
      <c r="F229" s="20"/>
      <c r="G229" s="20"/>
      <c r="H229" s="20"/>
      <c r="I229" s="20"/>
      <c r="J229" s="24"/>
      <c r="K229" s="24"/>
      <c r="L229" s="24"/>
      <c r="M229" s="24"/>
      <c r="N229" s="24"/>
      <c r="O229" s="24"/>
    </row>
    <row r="230">
      <c r="A230" s="16"/>
      <c r="B230" s="16"/>
      <c r="C230" s="16"/>
      <c r="D230" s="16"/>
      <c r="E230" s="16"/>
      <c r="F230" s="20"/>
      <c r="G230" s="20"/>
      <c r="H230" s="20"/>
      <c r="I230" s="20"/>
      <c r="J230" s="24"/>
      <c r="K230" s="24"/>
      <c r="L230" s="24"/>
      <c r="M230" s="24"/>
      <c r="N230" s="24"/>
      <c r="O230" s="24"/>
    </row>
    <row r="231">
      <c r="A231" s="16"/>
      <c r="B231" s="16"/>
      <c r="C231" s="16"/>
      <c r="D231" s="16"/>
      <c r="E231" s="16"/>
      <c r="F231" s="20"/>
      <c r="G231" s="20"/>
      <c r="H231" s="20"/>
      <c r="I231" s="20"/>
      <c r="J231" s="24"/>
      <c r="K231" s="24"/>
      <c r="L231" s="24"/>
      <c r="M231" s="24"/>
      <c r="N231" s="24"/>
      <c r="O231" s="24"/>
    </row>
    <row r="232">
      <c r="A232" s="16"/>
      <c r="B232" s="16"/>
      <c r="C232" s="16"/>
      <c r="D232" s="16"/>
      <c r="E232" s="16"/>
      <c r="F232" s="20"/>
      <c r="G232" s="20"/>
      <c r="H232" s="20"/>
      <c r="I232" s="20"/>
      <c r="J232" s="24"/>
      <c r="K232" s="24"/>
      <c r="L232" s="24"/>
      <c r="M232" s="24"/>
      <c r="N232" s="24"/>
      <c r="O232" s="24"/>
    </row>
    <row r="233">
      <c r="A233" s="16"/>
      <c r="B233" s="16"/>
      <c r="C233" s="16"/>
      <c r="D233" s="16"/>
      <c r="E233" s="16"/>
      <c r="F233" s="20"/>
      <c r="G233" s="20"/>
      <c r="H233" s="20"/>
      <c r="I233" s="20"/>
      <c r="J233" s="24"/>
      <c r="K233" s="24"/>
      <c r="L233" s="24"/>
      <c r="M233" s="24"/>
      <c r="N233" s="24"/>
      <c r="O233" s="24"/>
    </row>
    <row r="234">
      <c r="A234" s="16"/>
      <c r="B234" s="16"/>
      <c r="C234" s="16"/>
      <c r="D234" s="16"/>
      <c r="E234" s="16"/>
      <c r="F234" s="20"/>
      <c r="G234" s="20"/>
      <c r="H234" s="20"/>
      <c r="I234" s="20"/>
      <c r="J234" s="24"/>
      <c r="K234" s="24"/>
      <c r="L234" s="24"/>
      <c r="M234" s="24"/>
      <c r="N234" s="24"/>
      <c r="O234" s="24"/>
    </row>
    <row r="235">
      <c r="A235" s="16"/>
      <c r="B235" s="16"/>
      <c r="C235" s="16"/>
      <c r="D235" s="16"/>
      <c r="E235" s="16"/>
      <c r="F235" s="20"/>
      <c r="G235" s="20"/>
      <c r="H235" s="20"/>
      <c r="I235" s="20"/>
      <c r="J235" s="24"/>
      <c r="K235" s="24"/>
      <c r="L235" s="24"/>
      <c r="M235" s="24"/>
      <c r="N235" s="24"/>
      <c r="O235" s="24"/>
    </row>
    <row r="236">
      <c r="A236" s="16"/>
      <c r="B236" s="16"/>
      <c r="C236" s="16"/>
      <c r="D236" s="16"/>
      <c r="E236" s="16"/>
      <c r="F236" s="20"/>
      <c r="G236" s="20"/>
      <c r="H236" s="20"/>
      <c r="I236" s="20"/>
      <c r="J236" s="24"/>
      <c r="K236" s="24"/>
      <c r="L236" s="24"/>
      <c r="M236" s="24"/>
      <c r="N236" s="24"/>
      <c r="O236" s="24"/>
    </row>
    <row r="237">
      <c r="A237" s="16"/>
      <c r="B237" s="16"/>
      <c r="C237" s="16"/>
      <c r="D237" s="16"/>
      <c r="E237" s="16"/>
      <c r="F237" s="20"/>
      <c r="G237" s="20"/>
      <c r="H237" s="20"/>
      <c r="I237" s="20"/>
      <c r="J237" s="24"/>
      <c r="K237" s="24"/>
      <c r="L237" s="24"/>
      <c r="M237" s="24"/>
      <c r="N237" s="24"/>
      <c r="O237" s="24"/>
    </row>
    <row r="238">
      <c r="A238" s="16"/>
      <c r="B238" s="16"/>
      <c r="C238" s="16"/>
      <c r="D238" s="16"/>
      <c r="E238" s="16"/>
      <c r="F238" s="20"/>
      <c r="G238" s="20"/>
      <c r="H238" s="20"/>
      <c r="I238" s="20"/>
      <c r="J238" s="24"/>
      <c r="K238" s="24"/>
      <c r="L238" s="24"/>
      <c r="M238" s="24"/>
      <c r="N238" s="24"/>
      <c r="O238" s="24"/>
    </row>
    <row r="239">
      <c r="A239" s="16"/>
      <c r="B239" s="16"/>
      <c r="C239" s="16"/>
      <c r="D239" s="16"/>
      <c r="E239" s="16"/>
      <c r="F239" s="20"/>
      <c r="G239" s="20"/>
      <c r="H239" s="20"/>
      <c r="I239" s="20"/>
      <c r="J239" s="24"/>
      <c r="K239" s="24"/>
      <c r="L239" s="24"/>
      <c r="M239" s="24"/>
      <c r="N239" s="24"/>
      <c r="O239" s="24"/>
    </row>
    <row r="240">
      <c r="A240" s="16"/>
      <c r="B240" s="16"/>
      <c r="C240" s="16"/>
      <c r="D240" s="16"/>
      <c r="E240" s="16"/>
      <c r="F240" s="20"/>
      <c r="G240" s="20"/>
      <c r="H240" s="20"/>
      <c r="I240" s="20"/>
      <c r="J240" s="24"/>
      <c r="K240" s="24"/>
      <c r="L240" s="24"/>
      <c r="M240" s="24"/>
      <c r="N240" s="24"/>
      <c r="O240" s="24"/>
    </row>
    <row r="241">
      <c r="A241" s="16"/>
      <c r="B241" s="16"/>
      <c r="C241" s="16"/>
      <c r="D241" s="16"/>
      <c r="E241" s="16"/>
      <c r="F241" s="20"/>
      <c r="G241" s="20"/>
      <c r="H241" s="20"/>
      <c r="I241" s="20"/>
      <c r="J241" s="24"/>
      <c r="K241" s="24"/>
      <c r="L241" s="24"/>
      <c r="M241" s="24"/>
      <c r="N241" s="24"/>
      <c r="O241" s="24"/>
    </row>
    <row r="242">
      <c r="A242" s="16"/>
      <c r="B242" s="16"/>
      <c r="C242" s="16"/>
      <c r="D242" s="16"/>
      <c r="E242" s="16"/>
      <c r="F242" s="20"/>
      <c r="G242" s="20"/>
      <c r="H242" s="20"/>
      <c r="I242" s="20"/>
      <c r="J242" s="24"/>
      <c r="K242" s="24"/>
      <c r="L242" s="24"/>
      <c r="M242" s="24"/>
      <c r="N242" s="24"/>
      <c r="O242" s="24"/>
    </row>
    <row r="243">
      <c r="A243" s="16"/>
      <c r="B243" s="16"/>
      <c r="C243" s="16"/>
      <c r="D243" s="16"/>
      <c r="E243" s="16"/>
      <c r="F243" s="20"/>
      <c r="G243" s="20"/>
      <c r="H243" s="20"/>
      <c r="I243" s="20"/>
      <c r="J243" s="24"/>
      <c r="K243" s="24"/>
      <c r="L243" s="24"/>
      <c r="M243" s="24"/>
      <c r="N243" s="24"/>
      <c r="O243" s="24"/>
    </row>
    <row r="244">
      <c r="A244" s="16"/>
      <c r="B244" s="16"/>
      <c r="C244" s="16"/>
      <c r="D244" s="16"/>
      <c r="E244" s="16"/>
      <c r="F244" s="20"/>
      <c r="G244" s="20"/>
      <c r="H244" s="20"/>
      <c r="I244" s="20"/>
      <c r="J244" s="24"/>
      <c r="K244" s="24"/>
      <c r="L244" s="24"/>
      <c r="M244" s="24"/>
      <c r="N244" s="24"/>
      <c r="O244" s="24"/>
    </row>
    <row r="245">
      <c r="A245" s="16"/>
      <c r="B245" s="16"/>
      <c r="C245" s="16"/>
      <c r="D245" s="16"/>
      <c r="E245" s="16"/>
      <c r="F245" s="20"/>
      <c r="G245" s="20"/>
      <c r="H245" s="20"/>
      <c r="I245" s="20"/>
      <c r="J245" s="24"/>
      <c r="K245" s="24"/>
      <c r="L245" s="24"/>
      <c r="M245" s="24"/>
      <c r="N245" s="24"/>
      <c r="O245" s="24"/>
    </row>
    <row r="246">
      <c r="A246" s="16"/>
      <c r="B246" s="16"/>
      <c r="C246" s="16"/>
      <c r="D246" s="16"/>
      <c r="E246" s="16"/>
      <c r="F246" s="20"/>
      <c r="G246" s="20"/>
      <c r="H246" s="20"/>
      <c r="I246" s="20"/>
      <c r="J246" s="24"/>
      <c r="K246" s="24"/>
      <c r="L246" s="24"/>
      <c r="M246" s="24"/>
      <c r="N246" s="24"/>
      <c r="O246" s="24"/>
    </row>
    <row r="247">
      <c r="A247" s="16"/>
      <c r="B247" s="16"/>
      <c r="C247" s="16"/>
      <c r="D247" s="16"/>
      <c r="E247" s="16"/>
      <c r="F247" s="20"/>
      <c r="G247" s="20"/>
      <c r="H247" s="20"/>
      <c r="I247" s="20"/>
      <c r="J247" s="24"/>
      <c r="K247" s="24"/>
      <c r="L247" s="24"/>
      <c r="M247" s="24"/>
      <c r="N247" s="24"/>
      <c r="O247" s="24"/>
    </row>
    <row r="248">
      <c r="A248" s="16"/>
      <c r="B248" s="16"/>
      <c r="C248" s="16"/>
      <c r="D248" s="16"/>
      <c r="E248" s="16"/>
      <c r="F248" s="20"/>
      <c r="G248" s="20"/>
      <c r="H248" s="20"/>
      <c r="I248" s="20"/>
      <c r="J248" s="24"/>
      <c r="K248" s="24"/>
      <c r="L248" s="24"/>
      <c r="M248" s="24"/>
      <c r="N248" s="24"/>
      <c r="O248" s="24"/>
    </row>
    <row r="249">
      <c r="A249" s="16"/>
      <c r="B249" s="16"/>
      <c r="C249" s="16"/>
      <c r="D249" s="16"/>
      <c r="E249" s="16"/>
      <c r="F249" s="20"/>
      <c r="G249" s="20"/>
      <c r="H249" s="20"/>
      <c r="I249" s="20"/>
      <c r="J249" s="24"/>
      <c r="K249" s="24"/>
      <c r="L249" s="24"/>
      <c r="M249" s="24"/>
      <c r="N249" s="24"/>
      <c r="O249" s="24"/>
    </row>
    <row r="250">
      <c r="A250" s="16"/>
      <c r="B250" s="16"/>
      <c r="C250" s="16"/>
      <c r="D250" s="16"/>
      <c r="E250" s="16"/>
      <c r="F250" s="20"/>
      <c r="G250" s="20"/>
      <c r="H250" s="20"/>
      <c r="I250" s="20"/>
      <c r="J250" s="24"/>
      <c r="K250" s="24"/>
      <c r="L250" s="24"/>
      <c r="M250" s="24"/>
      <c r="N250" s="24"/>
      <c r="O250" s="24"/>
    </row>
    <row r="251">
      <c r="A251" s="16"/>
      <c r="B251" s="16"/>
      <c r="C251" s="16"/>
      <c r="D251" s="16"/>
      <c r="E251" s="16"/>
      <c r="F251" s="20"/>
      <c r="G251" s="20"/>
      <c r="H251" s="20"/>
      <c r="I251" s="20"/>
      <c r="J251" s="24"/>
      <c r="K251" s="24"/>
      <c r="L251" s="24"/>
      <c r="M251" s="24"/>
      <c r="N251" s="24"/>
      <c r="O251" s="24"/>
    </row>
    <row r="252">
      <c r="A252" s="16"/>
      <c r="B252" s="16"/>
      <c r="C252" s="16"/>
      <c r="D252" s="16"/>
      <c r="E252" s="16"/>
      <c r="F252" s="20"/>
      <c r="G252" s="20"/>
      <c r="H252" s="20"/>
      <c r="I252" s="20"/>
      <c r="J252" s="24"/>
      <c r="K252" s="24"/>
      <c r="L252" s="24"/>
      <c r="M252" s="24"/>
      <c r="N252" s="24"/>
      <c r="O252" s="24"/>
    </row>
    <row r="253">
      <c r="A253" s="16"/>
      <c r="B253" s="16"/>
      <c r="C253" s="16"/>
      <c r="D253" s="16"/>
      <c r="E253" s="16"/>
      <c r="F253" s="20"/>
      <c r="G253" s="20"/>
      <c r="H253" s="20"/>
      <c r="I253" s="20"/>
      <c r="J253" s="24"/>
      <c r="K253" s="24"/>
      <c r="L253" s="24"/>
      <c r="M253" s="24"/>
      <c r="N253" s="24"/>
      <c r="O253" s="24"/>
    </row>
    <row r="254">
      <c r="A254" s="16"/>
      <c r="B254" s="16"/>
      <c r="C254" s="16"/>
      <c r="D254" s="16"/>
      <c r="E254" s="16"/>
      <c r="F254" s="20"/>
      <c r="G254" s="20"/>
      <c r="H254" s="20"/>
      <c r="I254" s="20"/>
      <c r="J254" s="24"/>
      <c r="K254" s="24"/>
      <c r="L254" s="24"/>
      <c r="M254" s="24"/>
      <c r="N254" s="24"/>
      <c r="O254" s="24"/>
    </row>
    <row r="255">
      <c r="A255" s="16"/>
      <c r="B255" s="16"/>
      <c r="C255" s="16"/>
      <c r="D255" s="16"/>
      <c r="E255" s="16"/>
      <c r="F255" s="20"/>
      <c r="G255" s="20"/>
      <c r="H255" s="20"/>
      <c r="I255" s="20"/>
      <c r="J255" s="24"/>
      <c r="K255" s="24"/>
      <c r="L255" s="24"/>
      <c r="M255" s="24"/>
      <c r="N255" s="24"/>
      <c r="O255" s="24"/>
    </row>
    <row r="256">
      <c r="A256" s="16"/>
      <c r="B256" s="16"/>
      <c r="C256" s="16"/>
      <c r="D256" s="16"/>
      <c r="E256" s="16"/>
      <c r="F256" s="20"/>
      <c r="G256" s="20"/>
      <c r="H256" s="20"/>
      <c r="I256" s="20"/>
      <c r="J256" s="24"/>
      <c r="K256" s="24"/>
      <c r="L256" s="24"/>
      <c r="M256" s="24"/>
      <c r="N256" s="24"/>
      <c r="O256" s="24"/>
    </row>
    <row r="257">
      <c r="A257" s="16"/>
      <c r="B257" s="16"/>
      <c r="C257" s="16"/>
      <c r="D257" s="16"/>
      <c r="E257" s="16"/>
      <c r="F257" s="20"/>
      <c r="G257" s="20"/>
      <c r="H257" s="20"/>
      <c r="I257" s="20"/>
      <c r="J257" s="24"/>
      <c r="K257" s="24"/>
      <c r="L257" s="24"/>
      <c r="M257" s="24"/>
      <c r="N257" s="24"/>
      <c r="O257" s="24"/>
    </row>
    <row r="258">
      <c r="A258" s="16"/>
      <c r="B258" s="16"/>
      <c r="C258" s="16"/>
      <c r="D258" s="16"/>
      <c r="E258" s="16"/>
      <c r="F258" s="20"/>
      <c r="G258" s="20"/>
      <c r="H258" s="20"/>
      <c r="I258" s="20"/>
      <c r="J258" s="24"/>
      <c r="K258" s="24"/>
      <c r="L258" s="24"/>
      <c r="M258" s="24"/>
      <c r="N258" s="24"/>
      <c r="O258" s="24"/>
    </row>
    <row r="259">
      <c r="A259" s="16"/>
      <c r="B259" s="16"/>
      <c r="C259" s="16"/>
      <c r="D259" s="16"/>
      <c r="E259" s="16"/>
      <c r="F259" s="20"/>
      <c r="G259" s="20"/>
      <c r="H259" s="20"/>
      <c r="I259" s="20"/>
      <c r="J259" s="24"/>
      <c r="K259" s="24"/>
      <c r="L259" s="24"/>
      <c r="M259" s="24"/>
      <c r="N259" s="24"/>
      <c r="O259" s="24"/>
    </row>
    <row r="260">
      <c r="A260" s="16"/>
      <c r="B260" s="16"/>
      <c r="C260" s="16"/>
      <c r="D260" s="16"/>
      <c r="E260" s="16"/>
      <c r="F260" s="20"/>
      <c r="G260" s="20"/>
      <c r="H260" s="20"/>
      <c r="I260" s="20"/>
      <c r="J260" s="24"/>
      <c r="K260" s="24"/>
      <c r="L260" s="24"/>
      <c r="M260" s="24"/>
      <c r="N260" s="24"/>
      <c r="O260" s="24"/>
    </row>
    <row r="261">
      <c r="A261" s="16"/>
      <c r="B261" s="16"/>
      <c r="C261" s="16"/>
      <c r="D261" s="16"/>
      <c r="E261" s="16"/>
      <c r="F261" s="20"/>
      <c r="G261" s="20"/>
      <c r="H261" s="20"/>
      <c r="I261" s="20"/>
      <c r="J261" s="24"/>
      <c r="K261" s="24"/>
      <c r="L261" s="24"/>
      <c r="M261" s="24"/>
      <c r="N261" s="24"/>
      <c r="O261" s="24"/>
    </row>
    <row r="262">
      <c r="A262" s="16"/>
      <c r="B262" s="16"/>
      <c r="C262" s="16"/>
      <c r="D262" s="16"/>
      <c r="E262" s="16"/>
      <c r="F262" s="20"/>
      <c r="G262" s="20"/>
      <c r="H262" s="20"/>
      <c r="I262" s="20"/>
      <c r="J262" s="24"/>
      <c r="K262" s="24"/>
      <c r="L262" s="24"/>
      <c r="M262" s="24"/>
      <c r="N262" s="24"/>
      <c r="O262" s="24"/>
    </row>
    <row r="263">
      <c r="A263" s="16"/>
      <c r="B263" s="16"/>
      <c r="C263" s="16"/>
      <c r="D263" s="16"/>
      <c r="E263" s="16"/>
      <c r="F263" s="20"/>
      <c r="G263" s="20"/>
      <c r="H263" s="20"/>
      <c r="I263" s="20"/>
      <c r="J263" s="24"/>
      <c r="K263" s="24"/>
      <c r="L263" s="24"/>
      <c r="M263" s="24"/>
      <c r="N263" s="24"/>
      <c r="O263" s="24"/>
    </row>
    <row r="264">
      <c r="A264" s="16"/>
      <c r="B264" s="16"/>
      <c r="C264" s="16"/>
      <c r="D264" s="16"/>
      <c r="E264" s="16"/>
      <c r="F264" s="20"/>
      <c r="G264" s="20"/>
      <c r="H264" s="20"/>
      <c r="I264" s="20"/>
      <c r="J264" s="24"/>
      <c r="K264" s="24"/>
      <c r="L264" s="24"/>
      <c r="M264" s="24"/>
      <c r="N264" s="24"/>
      <c r="O264" s="24"/>
    </row>
    <row r="265">
      <c r="A265" s="16"/>
      <c r="B265" s="16"/>
      <c r="C265" s="16"/>
      <c r="D265" s="16"/>
      <c r="E265" s="16"/>
      <c r="F265" s="20"/>
      <c r="G265" s="20"/>
      <c r="H265" s="20"/>
      <c r="I265" s="20"/>
      <c r="J265" s="24"/>
      <c r="K265" s="24"/>
      <c r="L265" s="24"/>
      <c r="M265" s="24"/>
      <c r="N265" s="24"/>
      <c r="O265" s="24"/>
    </row>
    <row r="266">
      <c r="A266" s="16"/>
      <c r="B266" s="16"/>
      <c r="C266" s="16"/>
      <c r="D266" s="16"/>
      <c r="E266" s="16"/>
      <c r="F266" s="20"/>
      <c r="G266" s="20"/>
      <c r="H266" s="20"/>
      <c r="I266" s="20"/>
      <c r="J266" s="24"/>
      <c r="K266" s="24"/>
      <c r="L266" s="24"/>
      <c r="M266" s="24"/>
      <c r="N266" s="24"/>
      <c r="O266" s="24"/>
    </row>
    <row r="267">
      <c r="A267" s="16"/>
      <c r="B267" s="16"/>
      <c r="C267" s="16"/>
      <c r="D267" s="16"/>
      <c r="E267" s="16"/>
      <c r="F267" s="20"/>
      <c r="G267" s="20"/>
      <c r="H267" s="20"/>
      <c r="I267" s="20"/>
      <c r="J267" s="24"/>
      <c r="K267" s="24"/>
      <c r="L267" s="24"/>
      <c r="M267" s="24"/>
      <c r="N267" s="24"/>
      <c r="O267" s="24"/>
    </row>
    <row r="268">
      <c r="A268" s="16"/>
      <c r="B268" s="16"/>
      <c r="C268" s="16"/>
      <c r="D268" s="16"/>
      <c r="E268" s="16"/>
      <c r="F268" s="20"/>
      <c r="G268" s="20"/>
      <c r="H268" s="20"/>
      <c r="I268" s="20"/>
      <c r="J268" s="24"/>
      <c r="K268" s="24"/>
      <c r="L268" s="24"/>
      <c r="M268" s="24"/>
      <c r="N268" s="24"/>
      <c r="O268" s="24"/>
    </row>
    <row r="269">
      <c r="A269" s="16"/>
      <c r="B269" s="16"/>
      <c r="C269" s="16"/>
      <c r="D269" s="16"/>
      <c r="E269" s="16"/>
      <c r="F269" s="20"/>
      <c r="G269" s="20"/>
      <c r="H269" s="20"/>
      <c r="I269" s="20"/>
      <c r="J269" s="24"/>
      <c r="K269" s="24"/>
      <c r="L269" s="24"/>
      <c r="M269" s="24"/>
      <c r="N269" s="24"/>
      <c r="O269" s="24"/>
    </row>
    <row r="270">
      <c r="A270" s="16"/>
      <c r="B270" s="16"/>
      <c r="C270" s="16"/>
      <c r="D270" s="16"/>
      <c r="E270" s="16"/>
      <c r="F270" s="20"/>
      <c r="G270" s="20"/>
      <c r="H270" s="20"/>
      <c r="I270" s="20"/>
      <c r="J270" s="24"/>
      <c r="K270" s="24"/>
      <c r="L270" s="24"/>
      <c r="M270" s="24"/>
      <c r="N270" s="24"/>
      <c r="O270" s="24"/>
    </row>
    <row r="271">
      <c r="A271" s="16"/>
      <c r="B271" s="16"/>
      <c r="C271" s="16"/>
      <c r="D271" s="16"/>
      <c r="E271" s="16"/>
      <c r="F271" s="20"/>
      <c r="G271" s="20"/>
      <c r="H271" s="20"/>
      <c r="I271" s="20"/>
      <c r="J271" s="24"/>
      <c r="K271" s="24"/>
      <c r="L271" s="24"/>
      <c r="M271" s="24"/>
      <c r="N271" s="24"/>
      <c r="O271" s="24"/>
    </row>
    <row r="272">
      <c r="A272" s="16"/>
      <c r="B272" s="16"/>
      <c r="C272" s="16"/>
      <c r="D272" s="16"/>
      <c r="E272" s="16"/>
      <c r="F272" s="20"/>
      <c r="G272" s="20"/>
      <c r="H272" s="20"/>
      <c r="I272" s="20"/>
      <c r="J272" s="24"/>
      <c r="K272" s="24"/>
      <c r="L272" s="24"/>
      <c r="M272" s="24"/>
      <c r="N272" s="24"/>
      <c r="O272" s="24"/>
    </row>
    <row r="273">
      <c r="A273" s="16"/>
      <c r="B273" s="16"/>
      <c r="C273" s="16"/>
      <c r="D273" s="16"/>
      <c r="E273" s="16"/>
      <c r="F273" s="20"/>
      <c r="G273" s="20"/>
      <c r="H273" s="20"/>
      <c r="I273" s="20"/>
      <c r="J273" s="24"/>
      <c r="K273" s="24"/>
      <c r="L273" s="24"/>
      <c r="M273" s="24"/>
      <c r="N273" s="24"/>
      <c r="O273" s="24"/>
    </row>
    <row r="274">
      <c r="A274" s="16"/>
      <c r="B274" s="16"/>
      <c r="C274" s="16"/>
      <c r="D274" s="16"/>
      <c r="E274" s="16"/>
      <c r="F274" s="20"/>
      <c r="G274" s="20"/>
      <c r="H274" s="20"/>
      <c r="I274" s="20"/>
      <c r="J274" s="24"/>
      <c r="K274" s="24"/>
      <c r="L274" s="24"/>
      <c r="M274" s="24"/>
      <c r="N274" s="24"/>
      <c r="O274" s="24"/>
    </row>
    <row r="275">
      <c r="A275" s="16"/>
      <c r="B275" s="16"/>
      <c r="C275" s="16"/>
      <c r="D275" s="16"/>
      <c r="E275" s="16"/>
      <c r="F275" s="20"/>
      <c r="G275" s="20"/>
      <c r="H275" s="20"/>
      <c r="I275" s="20"/>
      <c r="J275" s="24"/>
      <c r="K275" s="24"/>
      <c r="L275" s="24"/>
      <c r="M275" s="24"/>
      <c r="N275" s="24"/>
      <c r="O275" s="24"/>
    </row>
    <row r="276">
      <c r="A276" s="16"/>
      <c r="B276" s="16"/>
      <c r="C276" s="16"/>
      <c r="D276" s="16"/>
      <c r="E276" s="16"/>
      <c r="F276" s="20"/>
      <c r="G276" s="20"/>
      <c r="H276" s="20"/>
      <c r="I276" s="20"/>
      <c r="J276" s="24"/>
      <c r="K276" s="24"/>
      <c r="L276" s="24"/>
      <c r="M276" s="24"/>
      <c r="N276" s="24"/>
      <c r="O276" s="24"/>
    </row>
    <row r="277">
      <c r="A277" s="16"/>
      <c r="B277" s="16"/>
      <c r="C277" s="16"/>
      <c r="D277" s="16"/>
      <c r="E277" s="16"/>
      <c r="F277" s="20"/>
      <c r="G277" s="20"/>
      <c r="H277" s="20"/>
      <c r="I277" s="20"/>
      <c r="J277" s="24"/>
      <c r="K277" s="24"/>
      <c r="L277" s="24"/>
      <c r="M277" s="24"/>
      <c r="N277" s="24"/>
      <c r="O277" s="24"/>
    </row>
    <row r="278">
      <c r="A278" s="16"/>
      <c r="B278" s="16"/>
      <c r="C278" s="16"/>
      <c r="D278" s="16"/>
      <c r="E278" s="16"/>
      <c r="F278" s="20"/>
      <c r="G278" s="20"/>
      <c r="H278" s="20"/>
      <c r="I278" s="20"/>
      <c r="J278" s="24"/>
      <c r="K278" s="24"/>
      <c r="L278" s="24"/>
      <c r="M278" s="24"/>
      <c r="N278" s="24"/>
      <c r="O278" s="24"/>
    </row>
    <row r="279">
      <c r="A279" s="16"/>
      <c r="B279" s="16"/>
      <c r="C279" s="16"/>
      <c r="D279" s="16"/>
      <c r="E279" s="16"/>
      <c r="F279" s="20"/>
      <c r="G279" s="20"/>
      <c r="H279" s="20"/>
      <c r="I279" s="20"/>
      <c r="J279" s="24"/>
      <c r="K279" s="24"/>
      <c r="L279" s="24"/>
      <c r="M279" s="24"/>
      <c r="N279" s="24"/>
      <c r="O279" s="24"/>
    </row>
    <row r="280">
      <c r="A280" s="16"/>
      <c r="B280" s="16"/>
      <c r="C280" s="16"/>
      <c r="D280" s="16"/>
      <c r="E280" s="16"/>
      <c r="F280" s="20"/>
      <c r="G280" s="20"/>
      <c r="H280" s="20"/>
      <c r="I280" s="20"/>
      <c r="J280" s="24"/>
      <c r="K280" s="24"/>
      <c r="L280" s="24"/>
      <c r="M280" s="24"/>
      <c r="N280" s="24"/>
      <c r="O280" s="24"/>
    </row>
    <row r="281">
      <c r="A281" s="16"/>
      <c r="B281" s="16"/>
      <c r="C281" s="16"/>
      <c r="D281" s="16"/>
      <c r="E281" s="16"/>
      <c r="F281" s="20"/>
      <c r="G281" s="20"/>
      <c r="H281" s="20"/>
      <c r="I281" s="20"/>
      <c r="J281" s="24"/>
      <c r="K281" s="24"/>
      <c r="L281" s="24"/>
      <c r="M281" s="24"/>
      <c r="N281" s="24"/>
      <c r="O281" s="24"/>
    </row>
    <row r="282">
      <c r="A282" s="16"/>
      <c r="B282" s="16"/>
      <c r="C282" s="16"/>
      <c r="D282" s="16"/>
      <c r="E282" s="16"/>
      <c r="F282" s="20"/>
      <c r="G282" s="20"/>
      <c r="H282" s="20"/>
      <c r="I282" s="20"/>
      <c r="J282" s="24"/>
      <c r="K282" s="24"/>
      <c r="L282" s="24"/>
      <c r="M282" s="24"/>
      <c r="N282" s="24"/>
      <c r="O282" s="24"/>
    </row>
    <row r="283">
      <c r="A283" s="16"/>
      <c r="B283" s="16"/>
      <c r="C283" s="16"/>
      <c r="D283" s="16"/>
      <c r="E283" s="16"/>
      <c r="F283" s="20"/>
      <c r="G283" s="20"/>
      <c r="H283" s="20"/>
      <c r="I283" s="20"/>
      <c r="J283" s="24"/>
      <c r="K283" s="24"/>
      <c r="L283" s="24"/>
      <c r="M283" s="24"/>
      <c r="N283" s="24"/>
      <c r="O283" s="24"/>
    </row>
    <row r="284">
      <c r="A284" s="16"/>
      <c r="B284" s="16"/>
      <c r="C284" s="16"/>
      <c r="D284" s="16"/>
      <c r="E284" s="16"/>
      <c r="F284" s="20"/>
      <c r="G284" s="20"/>
      <c r="H284" s="20"/>
      <c r="I284" s="20"/>
      <c r="J284" s="24"/>
      <c r="K284" s="24"/>
      <c r="L284" s="24"/>
      <c r="M284" s="24"/>
      <c r="N284" s="24"/>
      <c r="O284" s="24"/>
    </row>
    <row r="285">
      <c r="A285" s="16"/>
      <c r="B285" s="16"/>
      <c r="C285" s="16"/>
      <c r="D285" s="16"/>
      <c r="E285" s="16"/>
      <c r="F285" s="20"/>
      <c r="G285" s="20"/>
      <c r="H285" s="20"/>
      <c r="I285" s="20"/>
      <c r="J285" s="24"/>
      <c r="K285" s="24"/>
      <c r="L285" s="24"/>
      <c r="M285" s="24"/>
      <c r="N285" s="24"/>
      <c r="O285" s="24"/>
    </row>
    <row r="286">
      <c r="A286" s="16"/>
      <c r="B286" s="16"/>
      <c r="C286" s="16"/>
      <c r="D286" s="16"/>
      <c r="E286" s="16"/>
      <c r="F286" s="20"/>
      <c r="G286" s="20"/>
      <c r="H286" s="20"/>
      <c r="I286" s="20"/>
      <c r="J286" s="24"/>
      <c r="K286" s="24"/>
      <c r="L286" s="24"/>
      <c r="M286" s="24"/>
      <c r="N286" s="24"/>
      <c r="O286" s="24"/>
    </row>
    <row r="287">
      <c r="A287" s="16"/>
      <c r="B287" s="16"/>
      <c r="C287" s="16"/>
      <c r="D287" s="16"/>
      <c r="E287" s="16"/>
      <c r="F287" s="20"/>
      <c r="G287" s="20"/>
      <c r="H287" s="20"/>
      <c r="I287" s="20"/>
      <c r="J287" s="24"/>
      <c r="K287" s="24"/>
      <c r="L287" s="24"/>
      <c r="M287" s="24"/>
      <c r="N287" s="24"/>
      <c r="O287" s="24"/>
    </row>
    <row r="288">
      <c r="A288" s="16"/>
      <c r="B288" s="16"/>
      <c r="C288" s="16"/>
      <c r="D288" s="16"/>
      <c r="E288" s="16"/>
      <c r="F288" s="20"/>
      <c r="G288" s="20"/>
      <c r="H288" s="20"/>
      <c r="I288" s="20"/>
      <c r="J288" s="24"/>
      <c r="K288" s="24"/>
      <c r="L288" s="24"/>
      <c r="M288" s="24"/>
      <c r="N288" s="24"/>
      <c r="O288" s="24"/>
    </row>
    <row r="289">
      <c r="A289" s="16"/>
      <c r="B289" s="16"/>
      <c r="C289" s="16"/>
      <c r="D289" s="16"/>
      <c r="E289" s="16"/>
      <c r="F289" s="20"/>
      <c r="G289" s="20"/>
      <c r="H289" s="20"/>
      <c r="I289" s="20"/>
      <c r="J289" s="24"/>
      <c r="K289" s="24"/>
      <c r="L289" s="24"/>
      <c r="M289" s="24"/>
      <c r="N289" s="24"/>
      <c r="O289" s="24"/>
    </row>
    <row r="290">
      <c r="A290" s="16"/>
      <c r="B290" s="16"/>
      <c r="C290" s="16"/>
      <c r="D290" s="16"/>
      <c r="E290" s="16"/>
      <c r="F290" s="20"/>
      <c r="G290" s="20"/>
      <c r="H290" s="20"/>
      <c r="I290" s="20"/>
      <c r="J290" s="24"/>
      <c r="K290" s="24"/>
      <c r="L290" s="24"/>
      <c r="M290" s="24"/>
      <c r="N290" s="24"/>
      <c r="O290" s="24"/>
    </row>
    <row r="291">
      <c r="A291" s="16"/>
      <c r="B291" s="16"/>
      <c r="C291" s="16"/>
      <c r="D291" s="16"/>
      <c r="E291" s="16"/>
      <c r="F291" s="20"/>
      <c r="G291" s="20"/>
      <c r="H291" s="20"/>
      <c r="I291" s="20"/>
      <c r="J291" s="24"/>
      <c r="K291" s="24"/>
      <c r="L291" s="24"/>
      <c r="M291" s="24"/>
      <c r="N291" s="24"/>
      <c r="O291" s="24"/>
    </row>
    <row r="292">
      <c r="A292" s="16"/>
      <c r="B292" s="16"/>
      <c r="C292" s="16"/>
      <c r="D292" s="16"/>
      <c r="E292" s="16"/>
      <c r="F292" s="20"/>
      <c r="G292" s="20"/>
      <c r="H292" s="20"/>
      <c r="I292" s="20"/>
      <c r="J292" s="24"/>
      <c r="K292" s="24"/>
      <c r="L292" s="24"/>
      <c r="M292" s="24"/>
      <c r="N292" s="24"/>
      <c r="O292" s="24"/>
    </row>
    <row r="293">
      <c r="A293" s="16"/>
      <c r="B293" s="16"/>
      <c r="C293" s="16"/>
      <c r="D293" s="16"/>
      <c r="E293" s="16"/>
      <c r="F293" s="20"/>
      <c r="G293" s="20"/>
      <c r="H293" s="20"/>
      <c r="I293" s="20"/>
      <c r="J293" s="24"/>
      <c r="K293" s="24"/>
      <c r="L293" s="24"/>
      <c r="M293" s="24"/>
      <c r="N293" s="24"/>
      <c r="O293" s="24"/>
    </row>
    <row r="294">
      <c r="A294" s="16"/>
      <c r="B294" s="16"/>
      <c r="C294" s="16"/>
      <c r="D294" s="16"/>
      <c r="E294" s="16"/>
      <c r="F294" s="20"/>
      <c r="G294" s="20"/>
      <c r="H294" s="20"/>
      <c r="I294" s="20"/>
      <c r="J294" s="24"/>
      <c r="K294" s="24"/>
      <c r="L294" s="24"/>
      <c r="M294" s="24"/>
      <c r="N294" s="24"/>
      <c r="O294" s="24"/>
    </row>
    <row r="295">
      <c r="A295" s="16"/>
      <c r="B295" s="16"/>
      <c r="C295" s="16"/>
      <c r="D295" s="16"/>
      <c r="E295" s="16"/>
      <c r="F295" s="20"/>
      <c r="G295" s="20"/>
      <c r="H295" s="20"/>
      <c r="I295" s="20"/>
      <c r="J295" s="24"/>
      <c r="K295" s="24"/>
      <c r="L295" s="24"/>
      <c r="M295" s="24"/>
      <c r="N295" s="24"/>
      <c r="O295" s="24"/>
    </row>
    <row r="296">
      <c r="A296" s="16"/>
      <c r="B296" s="16"/>
      <c r="C296" s="16"/>
      <c r="D296" s="16"/>
      <c r="E296" s="16"/>
      <c r="F296" s="20"/>
      <c r="G296" s="20"/>
      <c r="H296" s="20"/>
      <c r="I296" s="20"/>
      <c r="J296" s="24"/>
      <c r="K296" s="24"/>
      <c r="L296" s="24"/>
      <c r="M296" s="24"/>
      <c r="N296" s="24"/>
      <c r="O296" s="24"/>
    </row>
    <row r="297">
      <c r="A297" s="16"/>
      <c r="B297" s="16"/>
      <c r="C297" s="16"/>
      <c r="D297" s="16"/>
      <c r="E297" s="16"/>
      <c r="F297" s="20"/>
      <c r="G297" s="20"/>
      <c r="H297" s="20"/>
      <c r="I297" s="20"/>
      <c r="J297" s="24"/>
      <c r="K297" s="24"/>
      <c r="L297" s="24"/>
      <c r="M297" s="24"/>
      <c r="N297" s="24"/>
      <c r="O297" s="24"/>
    </row>
    <row r="298">
      <c r="A298" s="16"/>
      <c r="B298" s="16"/>
      <c r="C298" s="16"/>
      <c r="D298" s="16"/>
      <c r="E298" s="16"/>
      <c r="F298" s="20"/>
      <c r="G298" s="20"/>
      <c r="H298" s="20"/>
      <c r="I298" s="20"/>
      <c r="J298" s="24"/>
      <c r="K298" s="24"/>
      <c r="L298" s="24"/>
      <c r="M298" s="24"/>
      <c r="N298" s="24"/>
      <c r="O298" s="24"/>
    </row>
    <row r="299">
      <c r="A299" s="16"/>
      <c r="B299" s="16"/>
      <c r="C299" s="16"/>
      <c r="D299" s="16"/>
      <c r="E299" s="16"/>
      <c r="F299" s="20"/>
      <c r="G299" s="20"/>
      <c r="H299" s="20"/>
      <c r="I299" s="20"/>
      <c r="J299" s="24"/>
      <c r="K299" s="24"/>
      <c r="L299" s="24"/>
      <c r="M299" s="24"/>
      <c r="N299" s="24"/>
      <c r="O299" s="24"/>
    </row>
    <row r="300">
      <c r="A300" s="16"/>
      <c r="B300" s="16"/>
      <c r="C300" s="16"/>
      <c r="D300" s="16"/>
      <c r="E300" s="16"/>
      <c r="F300" s="20"/>
      <c r="G300" s="20"/>
      <c r="H300" s="20"/>
      <c r="I300" s="20"/>
      <c r="J300" s="24"/>
      <c r="K300" s="24"/>
      <c r="L300" s="24"/>
      <c r="M300" s="24"/>
      <c r="N300" s="24"/>
      <c r="O300" s="24"/>
    </row>
    <row r="301">
      <c r="A301" s="16"/>
      <c r="B301" s="16"/>
      <c r="C301" s="16"/>
      <c r="D301" s="16"/>
      <c r="E301" s="16"/>
      <c r="F301" s="20"/>
      <c r="G301" s="20"/>
      <c r="H301" s="20"/>
      <c r="I301" s="20"/>
      <c r="J301" s="24"/>
      <c r="K301" s="24"/>
      <c r="L301" s="24"/>
      <c r="M301" s="24"/>
      <c r="N301" s="24"/>
      <c r="O301" s="24"/>
    </row>
    <row r="302">
      <c r="A302" s="16"/>
      <c r="B302" s="16"/>
      <c r="C302" s="16"/>
      <c r="D302" s="16"/>
      <c r="E302" s="16"/>
      <c r="F302" s="20"/>
      <c r="G302" s="20"/>
      <c r="H302" s="20"/>
      <c r="I302" s="20"/>
      <c r="J302" s="24"/>
      <c r="K302" s="24"/>
      <c r="L302" s="24"/>
      <c r="M302" s="24"/>
      <c r="N302" s="24"/>
      <c r="O302" s="24"/>
    </row>
    <row r="303">
      <c r="A303" s="16"/>
      <c r="B303" s="16"/>
      <c r="C303" s="16"/>
      <c r="D303" s="16"/>
      <c r="E303" s="16"/>
      <c r="F303" s="20"/>
      <c r="G303" s="20"/>
      <c r="H303" s="20"/>
      <c r="I303" s="20"/>
      <c r="J303" s="24"/>
      <c r="K303" s="24"/>
      <c r="L303" s="24"/>
      <c r="M303" s="24"/>
      <c r="N303" s="24"/>
      <c r="O303" s="24"/>
    </row>
    <row r="304">
      <c r="A304" s="16"/>
      <c r="B304" s="16"/>
      <c r="C304" s="16"/>
      <c r="D304" s="16"/>
      <c r="E304" s="16"/>
      <c r="F304" s="20"/>
      <c r="G304" s="20"/>
      <c r="H304" s="20"/>
      <c r="I304" s="20"/>
      <c r="J304" s="24"/>
      <c r="K304" s="24"/>
      <c r="L304" s="24"/>
      <c r="M304" s="24"/>
      <c r="N304" s="24"/>
      <c r="O304" s="24"/>
    </row>
    <row r="305">
      <c r="A305" s="16"/>
      <c r="B305" s="16"/>
      <c r="C305" s="16"/>
      <c r="D305" s="16"/>
      <c r="E305" s="16"/>
      <c r="F305" s="20"/>
      <c r="G305" s="20"/>
      <c r="H305" s="20"/>
      <c r="I305" s="20"/>
      <c r="J305" s="24"/>
      <c r="K305" s="24"/>
      <c r="L305" s="24"/>
      <c r="M305" s="24"/>
      <c r="N305" s="24"/>
      <c r="O305" s="24"/>
    </row>
    <row r="306">
      <c r="A306" s="16"/>
      <c r="B306" s="16"/>
      <c r="C306" s="16"/>
      <c r="D306" s="16"/>
      <c r="E306" s="16"/>
      <c r="F306" s="20"/>
      <c r="G306" s="20"/>
      <c r="H306" s="20"/>
      <c r="I306" s="20"/>
      <c r="J306" s="24"/>
      <c r="K306" s="24"/>
      <c r="L306" s="24"/>
      <c r="M306" s="24"/>
      <c r="N306" s="24"/>
      <c r="O306" s="24"/>
    </row>
    <row r="307">
      <c r="A307" s="16"/>
      <c r="B307" s="16"/>
      <c r="C307" s="16"/>
      <c r="D307" s="16"/>
      <c r="E307" s="16"/>
      <c r="F307" s="20"/>
      <c r="G307" s="20"/>
      <c r="H307" s="20"/>
      <c r="I307" s="20"/>
      <c r="J307" s="24"/>
      <c r="K307" s="24"/>
      <c r="L307" s="24"/>
      <c r="M307" s="24"/>
      <c r="N307" s="24"/>
      <c r="O307" s="24"/>
    </row>
    <row r="308">
      <c r="A308" s="16"/>
      <c r="B308" s="16"/>
      <c r="C308" s="16"/>
      <c r="D308" s="16"/>
      <c r="E308" s="16"/>
      <c r="F308" s="20"/>
      <c r="G308" s="20"/>
      <c r="H308" s="20"/>
      <c r="I308" s="20"/>
      <c r="J308" s="24"/>
      <c r="K308" s="24"/>
      <c r="L308" s="24"/>
      <c r="M308" s="24"/>
      <c r="N308" s="24"/>
      <c r="O308" s="24"/>
    </row>
    <row r="309">
      <c r="A309" s="16"/>
      <c r="B309" s="16"/>
      <c r="C309" s="16"/>
      <c r="D309" s="16"/>
      <c r="E309" s="16"/>
      <c r="F309" s="20"/>
      <c r="G309" s="20"/>
      <c r="H309" s="20"/>
      <c r="I309" s="20"/>
      <c r="J309" s="24"/>
      <c r="K309" s="24"/>
      <c r="L309" s="24"/>
      <c r="M309" s="24"/>
      <c r="N309" s="24"/>
      <c r="O309" s="24"/>
    </row>
    <row r="310">
      <c r="A310" s="16"/>
      <c r="B310" s="16"/>
      <c r="C310" s="16"/>
      <c r="D310" s="16"/>
      <c r="E310" s="16"/>
      <c r="F310" s="20"/>
      <c r="G310" s="20"/>
      <c r="H310" s="20"/>
      <c r="I310" s="20"/>
      <c r="J310" s="24"/>
      <c r="K310" s="24"/>
      <c r="L310" s="24"/>
      <c r="M310" s="24"/>
      <c r="N310" s="24"/>
      <c r="O310" s="24"/>
    </row>
    <row r="311">
      <c r="A311" s="16"/>
      <c r="B311" s="16"/>
      <c r="C311" s="16"/>
      <c r="D311" s="16"/>
      <c r="E311" s="16"/>
      <c r="F311" s="20"/>
      <c r="G311" s="20"/>
      <c r="H311" s="20"/>
      <c r="I311" s="20"/>
      <c r="J311" s="24"/>
      <c r="K311" s="24"/>
      <c r="L311" s="24"/>
      <c r="M311" s="24"/>
      <c r="N311" s="24"/>
      <c r="O311" s="24"/>
    </row>
    <row r="312">
      <c r="A312" s="16"/>
      <c r="B312" s="16"/>
      <c r="C312" s="16"/>
      <c r="D312" s="16"/>
      <c r="E312" s="16"/>
      <c r="F312" s="20"/>
      <c r="G312" s="20"/>
      <c r="H312" s="20"/>
      <c r="I312" s="20"/>
      <c r="J312" s="24"/>
      <c r="K312" s="24"/>
      <c r="L312" s="24"/>
      <c r="M312" s="24"/>
      <c r="N312" s="24"/>
      <c r="O312" s="24"/>
    </row>
    <row r="313">
      <c r="A313" s="16"/>
      <c r="B313" s="16"/>
      <c r="C313" s="16"/>
      <c r="D313" s="16"/>
      <c r="E313" s="16"/>
      <c r="F313" s="20"/>
      <c r="G313" s="20"/>
      <c r="H313" s="20"/>
      <c r="I313" s="20"/>
      <c r="J313" s="24"/>
      <c r="K313" s="24"/>
      <c r="L313" s="24"/>
      <c r="M313" s="24"/>
      <c r="N313" s="24"/>
      <c r="O313" s="24"/>
    </row>
    <row r="314">
      <c r="A314" s="16"/>
      <c r="B314" s="16"/>
      <c r="C314" s="16"/>
      <c r="D314" s="16"/>
      <c r="E314" s="16"/>
      <c r="F314" s="20"/>
      <c r="G314" s="20"/>
      <c r="H314" s="20"/>
      <c r="I314" s="20"/>
      <c r="J314" s="24"/>
      <c r="K314" s="24"/>
      <c r="L314" s="24"/>
      <c r="M314" s="24"/>
      <c r="N314" s="24"/>
      <c r="O314" s="24"/>
    </row>
    <row r="315">
      <c r="A315" s="16"/>
      <c r="B315" s="16"/>
      <c r="C315" s="16"/>
      <c r="D315" s="16"/>
      <c r="E315" s="16"/>
      <c r="F315" s="20"/>
      <c r="G315" s="20"/>
      <c r="H315" s="20"/>
      <c r="I315" s="20"/>
      <c r="J315" s="24"/>
      <c r="K315" s="24"/>
      <c r="L315" s="24"/>
      <c r="M315" s="24"/>
      <c r="N315" s="24"/>
      <c r="O315" s="24"/>
    </row>
    <row r="316">
      <c r="A316" s="16"/>
      <c r="B316" s="16"/>
      <c r="C316" s="16"/>
      <c r="D316" s="16"/>
      <c r="E316" s="16"/>
      <c r="F316" s="20"/>
      <c r="G316" s="20"/>
      <c r="H316" s="20"/>
      <c r="I316" s="20"/>
      <c r="J316" s="24"/>
      <c r="K316" s="24"/>
      <c r="L316" s="24"/>
      <c r="M316" s="24"/>
      <c r="N316" s="24"/>
      <c r="O316" s="24"/>
    </row>
    <row r="317">
      <c r="A317" s="16"/>
      <c r="B317" s="16"/>
      <c r="C317" s="16"/>
      <c r="D317" s="16"/>
      <c r="E317" s="16"/>
      <c r="F317" s="20"/>
      <c r="G317" s="20"/>
      <c r="H317" s="20"/>
      <c r="I317" s="20"/>
      <c r="J317" s="24"/>
      <c r="K317" s="24"/>
      <c r="L317" s="24"/>
      <c r="M317" s="24"/>
      <c r="N317" s="24"/>
      <c r="O317" s="24"/>
    </row>
    <row r="318">
      <c r="A318" s="16"/>
      <c r="B318" s="16"/>
      <c r="C318" s="16"/>
      <c r="D318" s="16"/>
      <c r="E318" s="16"/>
      <c r="F318" s="20"/>
      <c r="G318" s="20"/>
      <c r="H318" s="20"/>
      <c r="I318" s="20"/>
      <c r="J318" s="24"/>
      <c r="K318" s="24"/>
      <c r="L318" s="24"/>
      <c r="M318" s="24"/>
      <c r="N318" s="24"/>
      <c r="O318" s="24"/>
    </row>
    <row r="319">
      <c r="A319" s="16"/>
      <c r="B319" s="16"/>
      <c r="C319" s="16"/>
      <c r="D319" s="16"/>
      <c r="E319" s="16"/>
      <c r="F319" s="20"/>
      <c r="G319" s="20"/>
      <c r="H319" s="20"/>
      <c r="I319" s="20"/>
      <c r="J319" s="24"/>
      <c r="K319" s="24"/>
      <c r="L319" s="24"/>
      <c r="M319" s="24"/>
      <c r="N319" s="24"/>
      <c r="O319" s="24"/>
    </row>
    <row r="320">
      <c r="A320" s="16"/>
      <c r="B320" s="16"/>
      <c r="C320" s="16"/>
      <c r="D320" s="16"/>
      <c r="E320" s="16"/>
      <c r="F320" s="20"/>
      <c r="G320" s="20"/>
      <c r="H320" s="20"/>
      <c r="I320" s="20"/>
      <c r="J320" s="24"/>
      <c r="K320" s="24"/>
      <c r="L320" s="24"/>
      <c r="M320" s="24"/>
      <c r="N320" s="24"/>
      <c r="O320" s="24"/>
    </row>
    <row r="321">
      <c r="A321" s="16"/>
      <c r="B321" s="16"/>
      <c r="C321" s="16"/>
      <c r="D321" s="16"/>
      <c r="E321" s="16"/>
      <c r="F321" s="20"/>
      <c r="G321" s="20"/>
      <c r="H321" s="20"/>
      <c r="I321" s="20"/>
      <c r="J321" s="24"/>
      <c r="K321" s="24"/>
      <c r="L321" s="24"/>
      <c r="M321" s="24"/>
      <c r="N321" s="24"/>
      <c r="O321" s="24"/>
    </row>
    <row r="322">
      <c r="A322" s="16"/>
      <c r="B322" s="16"/>
      <c r="C322" s="16"/>
      <c r="D322" s="16"/>
      <c r="E322" s="16"/>
      <c r="F322" s="20"/>
      <c r="G322" s="20"/>
      <c r="H322" s="20"/>
      <c r="I322" s="20"/>
      <c r="J322" s="24"/>
      <c r="K322" s="24"/>
      <c r="L322" s="24"/>
      <c r="M322" s="24"/>
      <c r="N322" s="24"/>
      <c r="O322" s="24"/>
    </row>
    <row r="323">
      <c r="A323" s="16"/>
      <c r="B323" s="16"/>
      <c r="C323" s="16"/>
      <c r="D323" s="16"/>
      <c r="E323" s="16"/>
      <c r="F323" s="20"/>
      <c r="G323" s="20"/>
      <c r="H323" s="20"/>
      <c r="I323" s="20"/>
      <c r="J323" s="24"/>
      <c r="K323" s="24"/>
      <c r="L323" s="24"/>
      <c r="M323" s="24"/>
      <c r="N323" s="24"/>
      <c r="O323" s="24"/>
    </row>
    <row r="324">
      <c r="A324" s="16"/>
      <c r="B324" s="16"/>
      <c r="C324" s="16"/>
      <c r="D324" s="16"/>
      <c r="E324" s="16"/>
      <c r="F324" s="20"/>
      <c r="G324" s="20"/>
      <c r="H324" s="20"/>
      <c r="I324" s="20"/>
      <c r="J324" s="24"/>
      <c r="K324" s="24"/>
      <c r="L324" s="24"/>
      <c r="M324" s="24"/>
      <c r="N324" s="24"/>
      <c r="O324" s="24"/>
    </row>
    <row r="325">
      <c r="A325" s="16"/>
      <c r="B325" s="16"/>
      <c r="C325" s="16"/>
      <c r="D325" s="16"/>
      <c r="E325" s="16"/>
      <c r="F325" s="20"/>
      <c r="G325" s="20"/>
      <c r="H325" s="20"/>
      <c r="I325" s="20"/>
      <c r="J325" s="24"/>
      <c r="K325" s="24"/>
      <c r="L325" s="24"/>
      <c r="M325" s="24"/>
      <c r="N325" s="24"/>
      <c r="O325" s="24"/>
    </row>
    <row r="326">
      <c r="A326" s="16"/>
      <c r="B326" s="16"/>
      <c r="C326" s="16"/>
      <c r="D326" s="16"/>
      <c r="E326" s="16"/>
      <c r="F326" s="20"/>
      <c r="G326" s="20"/>
      <c r="H326" s="20"/>
      <c r="I326" s="20"/>
      <c r="J326" s="24"/>
      <c r="K326" s="24"/>
      <c r="L326" s="24"/>
      <c r="M326" s="24"/>
      <c r="N326" s="24"/>
      <c r="O326" s="24"/>
    </row>
    <row r="327">
      <c r="A327" s="16"/>
      <c r="B327" s="16"/>
      <c r="C327" s="16"/>
      <c r="D327" s="16"/>
      <c r="E327" s="16"/>
      <c r="F327" s="20"/>
      <c r="G327" s="20"/>
      <c r="H327" s="20"/>
      <c r="I327" s="20"/>
      <c r="J327" s="24"/>
      <c r="K327" s="24"/>
      <c r="L327" s="24"/>
      <c r="M327" s="24"/>
      <c r="N327" s="24"/>
      <c r="O327" s="24"/>
    </row>
    <row r="328">
      <c r="A328" s="16"/>
      <c r="B328" s="16"/>
      <c r="C328" s="16"/>
      <c r="D328" s="16"/>
      <c r="E328" s="16"/>
      <c r="F328" s="20"/>
      <c r="G328" s="20"/>
      <c r="H328" s="20"/>
      <c r="I328" s="20"/>
      <c r="J328" s="24"/>
      <c r="K328" s="24"/>
      <c r="L328" s="24"/>
      <c r="M328" s="24"/>
      <c r="N328" s="24"/>
      <c r="O328" s="24"/>
    </row>
    <row r="329">
      <c r="A329" s="16"/>
      <c r="B329" s="16"/>
      <c r="C329" s="16"/>
      <c r="D329" s="16"/>
      <c r="E329" s="16"/>
      <c r="F329" s="20"/>
      <c r="G329" s="20"/>
      <c r="H329" s="20"/>
      <c r="I329" s="20"/>
      <c r="J329" s="24"/>
      <c r="K329" s="24"/>
      <c r="L329" s="24"/>
      <c r="M329" s="24"/>
      <c r="N329" s="24"/>
      <c r="O329" s="24"/>
    </row>
    <row r="330">
      <c r="A330" s="16"/>
      <c r="B330" s="16"/>
      <c r="C330" s="16"/>
      <c r="D330" s="16"/>
      <c r="E330" s="16"/>
      <c r="F330" s="20"/>
      <c r="G330" s="20"/>
      <c r="H330" s="20"/>
      <c r="I330" s="20"/>
      <c r="J330" s="24"/>
      <c r="K330" s="24"/>
      <c r="L330" s="24"/>
      <c r="M330" s="24"/>
      <c r="N330" s="24"/>
      <c r="O330" s="24"/>
    </row>
    <row r="331">
      <c r="A331" s="16"/>
      <c r="B331" s="16"/>
      <c r="C331" s="16"/>
      <c r="D331" s="16"/>
      <c r="E331" s="16"/>
      <c r="F331" s="20"/>
      <c r="G331" s="20"/>
      <c r="H331" s="20"/>
      <c r="I331" s="20"/>
      <c r="J331" s="24"/>
      <c r="K331" s="24"/>
      <c r="L331" s="24"/>
      <c r="M331" s="24"/>
      <c r="N331" s="24"/>
      <c r="O331" s="24"/>
    </row>
    <row r="332">
      <c r="A332" s="16"/>
      <c r="B332" s="16"/>
      <c r="C332" s="16"/>
      <c r="D332" s="16"/>
      <c r="E332" s="16"/>
      <c r="F332" s="20"/>
      <c r="G332" s="20"/>
      <c r="H332" s="20"/>
      <c r="I332" s="20"/>
      <c r="J332" s="24"/>
      <c r="K332" s="24"/>
      <c r="L332" s="24"/>
      <c r="M332" s="24"/>
      <c r="N332" s="24"/>
      <c r="O332" s="24"/>
    </row>
    <row r="333">
      <c r="A333" s="16"/>
      <c r="B333" s="16"/>
      <c r="C333" s="16"/>
      <c r="D333" s="16"/>
      <c r="E333" s="16"/>
      <c r="F333" s="20"/>
      <c r="G333" s="20"/>
      <c r="H333" s="20"/>
      <c r="I333" s="20"/>
      <c r="J333" s="24"/>
      <c r="K333" s="24"/>
      <c r="L333" s="24"/>
      <c r="M333" s="24"/>
      <c r="N333" s="24"/>
      <c r="O333" s="24"/>
    </row>
    <row r="334">
      <c r="A334" s="16"/>
      <c r="B334" s="16"/>
      <c r="C334" s="16"/>
      <c r="D334" s="16"/>
      <c r="E334" s="16"/>
      <c r="F334" s="20"/>
      <c r="G334" s="20"/>
      <c r="H334" s="20"/>
      <c r="I334" s="20"/>
      <c r="J334" s="24"/>
      <c r="K334" s="24"/>
      <c r="L334" s="24"/>
      <c r="M334" s="24"/>
      <c r="N334" s="24"/>
      <c r="O334" s="24"/>
    </row>
    <row r="335">
      <c r="A335" s="16"/>
      <c r="B335" s="16"/>
      <c r="C335" s="16"/>
      <c r="D335" s="16"/>
      <c r="E335" s="16"/>
      <c r="F335" s="20"/>
      <c r="G335" s="20"/>
      <c r="H335" s="20"/>
      <c r="I335" s="20"/>
      <c r="J335" s="24"/>
      <c r="K335" s="24"/>
      <c r="L335" s="24"/>
      <c r="M335" s="24"/>
      <c r="N335" s="24"/>
      <c r="O335" s="24"/>
    </row>
    <row r="336">
      <c r="A336" s="16"/>
      <c r="B336" s="16"/>
      <c r="C336" s="16"/>
      <c r="D336" s="16"/>
      <c r="E336" s="16"/>
      <c r="F336" s="20"/>
      <c r="G336" s="20"/>
      <c r="H336" s="20"/>
      <c r="I336" s="20"/>
      <c r="J336" s="24"/>
      <c r="K336" s="24"/>
      <c r="L336" s="24"/>
      <c r="M336" s="24"/>
      <c r="N336" s="24"/>
      <c r="O336" s="24"/>
    </row>
    <row r="337">
      <c r="A337" s="16"/>
      <c r="B337" s="16"/>
      <c r="C337" s="16"/>
      <c r="D337" s="16"/>
      <c r="E337" s="16"/>
      <c r="F337" s="20"/>
      <c r="G337" s="20"/>
      <c r="H337" s="20"/>
      <c r="I337" s="20"/>
      <c r="J337" s="24"/>
      <c r="K337" s="24"/>
      <c r="L337" s="24"/>
      <c r="M337" s="24"/>
      <c r="N337" s="24"/>
      <c r="O337" s="24"/>
    </row>
    <row r="338">
      <c r="A338" s="16"/>
      <c r="B338" s="16"/>
      <c r="C338" s="16"/>
      <c r="D338" s="16"/>
      <c r="E338" s="16"/>
      <c r="F338" s="20"/>
      <c r="G338" s="20"/>
      <c r="H338" s="20"/>
      <c r="I338" s="20"/>
      <c r="J338" s="24"/>
      <c r="K338" s="24"/>
      <c r="L338" s="24"/>
      <c r="M338" s="24"/>
      <c r="N338" s="24"/>
      <c r="O338" s="24"/>
    </row>
    <row r="339">
      <c r="A339" s="16"/>
      <c r="B339" s="16"/>
      <c r="C339" s="16"/>
      <c r="D339" s="16"/>
      <c r="E339" s="16"/>
      <c r="F339" s="20"/>
      <c r="G339" s="20"/>
      <c r="H339" s="20"/>
      <c r="I339" s="20"/>
      <c r="J339" s="24"/>
      <c r="K339" s="24"/>
      <c r="L339" s="24"/>
      <c r="M339" s="24"/>
      <c r="N339" s="24"/>
      <c r="O339" s="24"/>
    </row>
    <row r="340">
      <c r="A340" s="16"/>
      <c r="B340" s="16"/>
      <c r="C340" s="16"/>
      <c r="D340" s="16"/>
      <c r="E340" s="16"/>
      <c r="F340" s="20"/>
      <c r="G340" s="20"/>
      <c r="H340" s="20"/>
      <c r="I340" s="20"/>
      <c r="J340" s="24"/>
      <c r="K340" s="24"/>
      <c r="L340" s="24"/>
      <c r="M340" s="24"/>
      <c r="N340" s="24"/>
      <c r="O340" s="24"/>
    </row>
    <row r="341">
      <c r="A341" s="16"/>
      <c r="B341" s="16"/>
      <c r="C341" s="16"/>
      <c r="D341" s="16"/>
      <c r="E341" s="16"/>
      <c r="F341" s="20"/>
      <c r="G341" s="20"/>
      <c r="H341" s="20"/>
      <c r="I341" s="20"/>
      <c r="J341" s="24"/>
      <c r="K341" s="24"/>
      <c r="L341" s="24"/>
      <c r="M341" s="24"/>
      <c r="N341" s="24"/>
      <c r="O341" s="24"/>
    </row>
    <row r="342">
      <c r="A342" s="16"/>
      <c r="B342" s="16"/>
      <c r="C342" s="16"/>
      <c r="D342" s="16"/>
      <c r="E342" s="16"/>
      <c r="F342" s="20"/>
      <c r="G342" s="20"/>
      <c r="H342" s="20"/>
      <c r="I342" s="20"/>
      <c r="J342" s="24"/>
      <c r="K342" s="24"/>
      <c r="L342" s="24"/>
      <c r="M342" s="24"/>
      <c r="N342" s="24"/>
      <c r="O342" s="24"/>
    </row>
    <row r="343">
      <c r="A343" s="16"/>
      <c r="B343" s="16"/>
      <c r="C343" s="16"/>
      <c r="D343" s="16"/>
      <c r="E343" s="16"/>
      <c r="F343" s="20"/>
      <c r="G343" s="20"/>
      <c r="H343" s="20"/>
      <c r="I343" s="20"/>
      <c r="J343" s="24"/>
      <c r="K343" s="24"/>
      <c r="L343" s="24"/>
      <c r="M343" s="24"/>
      <c r="N343" s="24"/>
      <c r="O343" s="24"/>
    </row>
    <row r="344">
      <c r="A344" s="16"/>
      <c r="B344" s="16"/>
      <c r="C344" s="16"/>
      <c r="D344" s="16"/>
      <c r="E344" s="16"/>
      <c r="F344" s="20"/>
      <c r="G344" s="20"/>
      <c r="H344" s="20"/>
      <c r="I344" s="20"/>
      <c r="J344" s="24"/>
      <c r="K344" s="24"/>
      <c r="L344" s="24"/>
      <c r="M344" s="24"/>
      <c r="N344" s="24"/>
      <c r="O344" s="24"/>
    </row>
    <row r="345">
      <c r="A345" s="16"/>
      <c r="B345" s="16"/>
      <c r="C345" s="16"/>
      <c r="D345" s="16"/>
      <c r="E345" s="16"/>
      <c r="F345" s="20"/>
      <c r="G345" s="20"/>
      <c r="H345" s="20"/>
      <c r="I345" s="20"/>
      <c r="J345" s="24"/>
      <c r="K345" s="24"/>
      <c r="L345" s="24"/>
      <c r="M345" s="24"/>
      <c r="N345" s="24"/>
      <c r="O345" s="24"/>
    </row>
    <row r="346">
      <c r="A346" s="16"/>
      <c r="B346" s="16"/>
      <c r="C346" s="16"/>
      <c r="D346" s="16"/>
      <c r="E346" s="16"/>
      <c r="F346" s="20"/>
      <c r="G346" s="20"/>
      <c r="H346" s="20"/>
      <c r="I346" s="20"/>
      <c r="J346" s="24"/>
      <c r="K346" s="24"/>
      <c r="L346" s="24"/>
      <c r="M346" s="24"/>
      <c r="N346" s="24"/>
      <c r="O346" s="24"/>
    </row>
    <row r="347">
      <c r="A347" s="16"/>
      <c r="B347" s="16"/>
      <c r="C347" s="16"/>
      <c r="D347" s="16"/>
      <c r="E347" s="16"/>
      <c r="F347" s="20"/>
      <c r="G347" s="20"/>
      <c r="H347" s="20"/>
      <c r="I347" s="20"/>
      <c r="J347" s="24"/>
      <c r="K347" s="24"/>
      <c r="L347" s="24"/>
      <c r="M347" s="24"/>
      <c r="N347" s="24"/>
      <c r="O347" s="24"/>
    </row>
    <row r="348">
      <c r="A348" s="16"/>
      <c r="B348" s="16"/>
      <c r="C348" s="16"/>
      <c r="D348" s="16"/>
      <c r="E348" s="16"/>
      <c r="F348" s="20"/>
      <c r="G348" s="20"/>
      <c r="H348" s="20"/>
      <c r="I348" s="20"/>
      <c r="J348" s="24"/>
      <c r="K348" s="24"/>
      <c r="L348" s="24"/>
      <c r="M348" s="24"/>
      <c r="N348" s="24"/>
      <c r="O348" s="24"/>
    </row>
    <row r="349">
      <c r="A349" s="16"/>
      <c r="B349" s="16"/>
      <c r="C349" s="16"/>
      <c r="D349" s="16"/>
      <c r="E349" s="16"/>
      <c r="F349" s="20"/>
      <c r="G349" s="20"/>
      <c r="H349" s="20"/>
      <c r="I349" s="20"/>
      <c r="J349" s="24"/>
      <c r="K349" s="24"/>
      <c r="L349" s="24"/>
      <c r="M349" s="24"/>
      <c r="N349" s="24"/>
      <c r="O349" s="24"/>
    </row>
    <row r="350">
      <c r="A350" s="16"/>
      <c r="B350" s="16"/>
      <c r="C350" s="16"/>
      <c r="D350" s="16"/>
      <c r="E350" s="16"/>
      <c r="F350" s="20"/>
      <c r="G350" s="20"/>
      <c r="H350" s="20"/>
      <c r="I350" s="20"/>
      <c r="J350" s="24"/>
      <c r="K350" s="24"/>
      <c r="L350" s="24"/>
      <c r="M350" s="24"/>
      <c r="N350" s="24"/>
      <c r="O350" s="24"/>
    </row>
    <row r="351">
      <c r="A351" s="16"/>
      <c r="B351" s="16"/>
      <c r="C351" s="16"/>
      <c r="D351" s="16"/>
      <c r="E351" s="16"/>
      <c r="F351" s="20"/>
      <c r="G351" s="20"/>
      <c r="H351" s="20"/>
      <c r="I351" s="20"/>
      <c r="J351" s="24"/>
      <c r="K351" s="24"/>
      <c r="L351" s="24"/>
      <c r="M351" s="24"/>
      <c r="N351" s="24"/>
      <c r="O351" s="24"/>
    </row>
    <row r="352">
      <c r="A352" s="16"/>
      <c r="B352" s="16"/>
      <c r="C352" s="16"/>
      <c r="D352" s="16"/>
      <c r="E352" s="16"/>
      <c r="F352" s="20"/>
      <c r="G352" s="20"/>
      <c r="H352" s="20"/>
      <c r="I352" s="20"/>
      <c r="J352" s="24"/>
      <c r="K352" s="24"/>
      <c r="L352" s="24"/>
      <c r="M352" s="24"/>
      <c r="N352" s="24"/>
      <c r="O352" s="24"/>
    </row>
    <row r="353">
      <c r="A353" s="16"/>
      <c r="B353" s="16"/>
      <c r="C353" s="16"/>
      <c r="D353" s="16"/>
      <c r="E353" s="16"/>
      <c r="F353" s="20"/>
      <c r="G353" s="20"/>
      <c r="H353" s="20"/>
      <c r="I353" s="20"/>
      <c r="J353" s="24"/>
      <c r="K353" s="24"/>
      <c r="L353" s="24"/>
      <c r="M353" s="24"/>
      <c r="N353" s="24"/>
      <c r="O353" s="24"/>
    </row>
    <row r="354">
      <c r="A354" s="16"/>
      <c r="B354" s="16"/>
      <c r="C354" s="16"/>
      <c r="D354" s="16"/>
      <c r="E354" s="16"/>
      <c r="F354" s="20"/>
      <c r="G354" s="20"/>
      <c r="H354" s="20"/>
      <c r="I354" s="20"/>
      <c r="J354" s="24"/>
      <c r="K354" s="24"/>
      <c r="L354" s="24"/>
      <c r="M354" s="24"/>
      <c r="N354" s="24"/>
      <c r="O354" s="24"/>
    </row>
    <row r="355">
      <c r="A355" s="16"/>
      <c r="B355" s="16"/>
      <c r="C355" s="16"/>
      <c r="D355" s="16"/>
      <c r="E355" s="16"/>
      <c r="F355" s="20"/>
      <c r="G355" s="20"/>
      <c r="H355" s="20"/>
      <c r="I355" s="20"/>
      <c r="J355" s="24"/>
      <c r="K355" s="24"/>
      <c r="L355" s="24"/>
      <c r="M355" s="24"/>
      <c r="N355" s="24"/>
      <c r="O355" s="24"/>
    </row>
    <row r="356">
      <c r="A356" s="16"/>
      <c r="B356" s="16"/>
      <c r="C356" s="16"/>
      <c r="D356" s="16"/>
      <c r="E356" s="16"/>
      <c r="F356" s="20"/>
      <c r="G356" s="20"/>
      <c r="H356" s="20"/>
      <c r="I356" s="20"/>
      <c r="J356" s="24"/>
      <c r="K356" s="24"/>
      <c r="L356" s="24"/>
      <c r="M356" s="24"/>
      <c r="N356" s="24"/>
      <c r="O356" s="24"/>
    </row>
    <row r="357">
      <c r="A357" s="16"/>
      <c r="B357" s="16"/>
      <c r="C357" s="16"/>
      <c r="D357" s="16"/>
      <c r="E357" s="16"/>
      <c r="F357" s="20"/>
      <c r="G357" s="20"/>
      <c r="H357" s="20"/>
      <c r="I357" s="20"/>
      <c r="J357" s="24"/>
      <c r="K357" s="24"/>
      <c r="L357" s="24"/>
      <c r="M357" s="24"/>
      <c r="N357" s="24"/>
      <c r="O357" s="24"/>
    </row>
    <row r="358">
      <c r="A358" s="16"/>
      <c r="B358" s="16"/>
      <c r="C358" s="16"/>
      <c r="D358" s="16"/>
      <c r="E358" s="16"/>
      <c r="F358" s="20"/>
      <c r="G358" s="20"/>
      <c r="H358" s="20"/>
      <c r="I358" s="20"/>
      <c r="J358" s="24"/>
      <c r="K358" s="24"/>
      <c r="L358" s="24"/>
      <c r="M358" s="24"/>
      <c r="N358" s="24"/>
      <c r="O358" s="24"/>
    </row>
    <row r="359">
      <c r="A359" s="16"/>
      <c r="B359" s="16"/>
      <c r="C359" s="16"/>
      <c r="D359" s="16"/>
      <c r="E359" s="16"/>
      <c r="F359" s="20"/>
      <c r="G359" s="20"/>
      <c r="H359" s="20"/>
      <c r="I359" s="20"/>
      <c r="J359" s="24"/>
      <c r="K359" s="24"/>
      <c r="L359" s="24"/>
      <c r="M359" s="24"/>
      <c r="N359" s="24"/>
      <c r="O359" s="24"/>
    </row>
    <row r="360">
      <c r="A360" s="16"/>
      <c r="B360" s="16"/>
      <c r="C360" s="16"/>
      <c r="D360" s="16"/>
      <c r="E360" s="16"/>
      <c r="F360" s="20"/>
      <c r="G360" s="20"/>
      <c r="H360" s="20"/>
      <c r="I360" s="20"/>
      <c r="J360" s="24"/>
      <c r="K360" s="24"/>
      <c r="L360" s="24"/>
      <c r="M360" s="24"/>
      <c r="N360" s="24"/>
      <c r="O360" s="24"/>
    </row>
    <row r="361">
      <c r="A361" s="16"/>
      <c r="B361" s="16"/>
      <c r="C361" s="16"/>
      <c r="D361" s="16"/>
      <c r="E361" s="16"/>
      <c r="F361" s="20"/>
      <c r="G361" s="20"/>
      <c r="H361" s="20"/>
      <c r="I361" s="20"/>
      <c r="J361" s="24"/>
      <c r="K361" s="24"/>
      <c r="L361" s="24"/>
      <c r="M361" s="24"/>
      <c r="N361" s="24"/>
      <c r="O361" s="24"/>
    </row>
    <row r="362">
      <c r="A362" s="16"/>
      <c r="B362" s="16"/>
      <c r="C362" s="16"/>
      <c r="D362" s="16"/>
      <c r="E362" s="16"/>
      <c r="F362" s="20"/>
      <c r="G362" s="20"/>
      <c r="H362" s="20"/>
      <c r="I362" s="20"/>
      <c r="J362" s="24"/>
      <c r="K362" s="24"/>
      <c r="L362" s="24"/>
      <c r="M362" s="24"/>
      <c r="N362" s="24"/>
      <c r="O362" s="24"/>
    </row>
    <row r="363">
      <c r="A363" s="16"/>
      <c r="B363" s="16"/>
      <c r="C363" s="16"/>
      <c r="D363" s="16"/>
      <c r="E363" s="16"/>
      <c r="F363" s="20"/>
      <c r="G363" s="20"/>
      <c r="H363" s="20"/>
      <c r="I363" s="20"/>
      <c r="J363" s="24"/>
      <c r="K363" s="24"/>
      <c r="L363" s="24"/>
      <c r="M363" s="24"/>
      <c r="N363" s="24"/>
      <c r="O363" s="24"/>
    </row>
    <row r="364">
      <c r="A364" s="16"/>
      <c r="B364" s="16"/>
      <c r="C364" s="16"/>
      <c r="D364" s="16"/>
      <c r="E364" s="16"/>
      <c r="F364" s="20"/>
      <c r="G364" s="20"/>
      <c r="H364" s="20"/>
      <c r="I364" s="20"/>
      <c r="J364" s="24"/>
      <c r="K364" s="24"/>
      <c r="L364" s="24"/>
      <c r="M364" s="24"/>
      <c r="N364" s="24"/>
      <c r="O364" s="24"/>
    </row>
    <row r="365">
      <c r="A365" s="16"/>
      <c r="B365" s="16"/>
      <c r="C365" s="16"/>
      <c r="D365" s="16"/>
      <c r="E365" s="16"/>
      <c r="F365" s="20"/>
      <c r="G365" s="20"/>
      <c r="H365" s="20"/>
      <c r="I365" s="20"/>
      <c r="J365" s="24"/>
      <c r="K365" s="24"/>
      <c r="L365" s="24"/>
      <c r="M365" s="24"/>
      <c r="N365" s="24"/>
      <c r="O365" s="24"/>
    </row>
    <row r="366">
      <c r="A366" s="16"/>
      <c r="B366" s="16"/>
      <c r="C366" s="16"/>
      <c r="D366" s="16"/>
      <c r="E366" s="16"/>
      <c r="F366" s="20"/>
      <c r="G366" s="20"/>
      <c r="H366" s="20"/>
      <c r="I366" s="20"/>
      <c r="J366" s="24"/>
      <c r="K366" s="24"/>
      <c r="L366" s="24"/>
      <c r="M366" s="24"/>
      <c r="N366" s="24"/>
      <c r="O366" s="24"/>
    </row>
    <row r="367">
      <c r="A367" s="16"/>
      <c r="B367" s="16"/>
      <c r="C367" s="16"/>
      <c r="D367" s="16"/>
      <c r="E367" s="16"/>
      <c r="F367" s="20"/>
      <c r="G367" s="20"/>
      <c r="H367" s="20"/>
      <c r="I367" s="20"/>
      <c r="J367" s="24"/>
      <c r="K367" s="24"/>
      <c r="L367" s="24"/>
      <c r="M367" s="24"/>
      <c r="N367" s="24"/>
      <c r="O367" s="24"/>
    </row>
    <row r="368">
      <c r="A368" s="16"/>
      <c r="B368" s="16"/>
      <c r="C368" s="16"/>
      <c r="D368" s="16"/>
      <c r="E368" s="16"/>
      <c r="F368" s="20"/>
      <c r="G368" s="20"/>
      <c r="H368" s="20"/>
      <c r="I368" s="20"/>
      <c r="J368" s="24"/>
      <c r="K368" s="24"/>
      <c r="L368" s="24"/>
      <c r="M368" s="24"/>
      <c r="N368" s="24"/>
      <c r="O368" s="24"/>
    </row>
    <row r="369">
      <c r="A369" s="16"/>
      <c r="B369" s="16"/>
      <c r="C369" s="16"/>
      <c r="D369" s="16"/>
      <c r="E369" s="16"/>
      <c r="F369" s="20"/>
      <c r="G369" s="20"/>
      <c r="H369" s="20"/>
      <c r="I369" s="20"/>
      <c r="J369" s="24"/>
      <c r="K369" s="24"/>
      <c r="L369" s="24"/>
      <c r="M369" s="24"/>
      <c r="N369" s="24"/>
      <c r="O369" s="24"/>
    </row>
    <row r="370">
      <c r="A370" s="16"/>
      <c r="B370" s="16"/>
      <c r="C370" s="16"/>
      <c r="D370" s="16"/>
      <c r="E370" s="16"/>
      <c r="F370" s="20"/>
      <c r="G370" s="20"/>
      <c r="H370" s="20"/>
      <c r="I370" s="20"/>
      <c r="J370" s="24"/>
      <c r="K370" s="24"/>
      <c r="L370" s="24"/>
      <c r="M370" s="24"/>
      <c r="N370" s="24"/>
      <c r="O370" s="24"/>
    </row>
    <row r="371">
      <c r="A371" s="16"/>
      <c r="B371" s="16"/>
      <c r="C371" s="16"/>
      <c r="D371" s="16"/>
      <c r="E371" s="16"/>
      <c r="F371" s="20"/>
      <c r="G371" s="20"/>
      <c r="H371" s="20"/>
      <c r="I371" s="20"/>
      <c r="J371" s="24"/>
      <c r="K371" s="24"/>
      <c r="L371" s="24"/>
      <c r="M371" s="24"/>
      <c r="N371" s="24"/>
      <c r="O371" s="24"/>
    </row>
    <row r="372">
      <c r="A372" s="16"/>
      <c r="B372" s="16"/>
      <c r="C372" s="16"/>
      <c r="D372" s="16"/>
      <c r="E372" s="16"/>
      <c r="F372" s="20"/>
      <c r="G372" s="20"/>
      <c r="H372" s="20"/>
      <c r="I372" s="20"/>
      <c r="J372" s="24"/>
      <c r="K372" s="24"/>
      <c r="L372" s="24"/>
      <c r="M372" s="24"/>
      <c r="N372" s="24"/>
      <c r="O372" s="24"/>
    </row>
    <row r="373">
      <c r="A373" s="16"/>
      <c r="B373" s="16"/>
      <c r="C373" s="16"/>
      <c r="D373" s="16"/>
      <c r="E373" s="16"/>
      <c r="F373" s="20"/>
      <c r="G373" s="20"/>
      <c r="H373" s="20"/>
      <c r="I373" s="20"/>
      <c r="J373" s="24"/>
      <c r="K373" s="24"/>
      <c r="L373" s="24"/>
      <c r="M373" s="24"/>
      <c r="N373" s="24"/>
      <c r="O373" s="24"/>
    </row>
    <row r="374">
      <c r="A374" s="16"/>
      <c r="B374" s="16"/>
      <c r="C374" s="16"/>
      <c r="D374" s="16"/>
      <c r="E374" s="16"/>
      <c r="F374" s="20"/>
      <c r="G374" s="20"/>
      <c r="H374" s="20"/>
      <c r="I374" s="20"/>
      <c r="J374" s="24"/>
      <c r="K374" s="24"/>
      <c r="L374" s="24"/>
      <c r="M374" s="24"/>
      <c r="N374" s="24"/>
      <c r="O374" s="24"/>
    </row>
    <row r="375">
      <c r="A375" s="16"/>
      <c r="B375" s="16"/>
      <c r="C375" s="16"/>
      <c r="D375" s="16"/>
      <c r="E375" s="16"/>
      <c r="F375" s="20"/>
      <c r="G375" s="20"/>
      <c r="H375" s="20"/>
      <c r="I375" s="20"/>
      <c r="J375" s="24"/>
      <c r="K375" s="24"/>
      <c r="L375" s="24"/>
      <c r="M375" s="24"/>
      <c r="N375" s="24"/>
      <c r="O375" s="24"/>
    </row>
    <row r="376">
      <c r="A376" s="16"/>
      <c r="B376" s="16"/>
      <c r="C376" s="16"/>
      <c r="D376" s="16"/>
      <c r="E376" s="16"/>
      <c r="F376" s="20"/>
      <c r="G376" s="20"/>
      <c r="H376" s="20"/>
      <c r="I376" s="20"/>
      <c r="J376" s="24"/>
      <c r="K376" s="24"/>
      <c r="L376" s="24"/>
      <c r="M376" s="24"/>
      <c r="N376" s="24"/>
      <c r="O376" s="24"/>
    </row>
    <row r="377">
      <c r="A377" s="16"/>
      <c r="B377" s="16"/>
      <c r="C377" s="16"/>
      <c r="D377" s="16"/>
      <c r="E377" s="16"/>
      <c r="F377" s="20"/>
      <c r="G377" s="20"/>
      <c r="H377" s="20"/>
      <c r="I377" s="20"/>
      <c r="J377" s="24"/>
      <c r="K377" s="24"/>
      <c r="L377" s="24"/>
      <c r="M377" s="24"/>
      <c r="N377" s="24"/>
      <c r="O377" s="24"/>
    </row>
    <row r="378">
      <c r="A378" s="16"/>
      <c r="B378" s="16"/>
      <c r="C378" s="16"/>
      <c r="D378" s="16"/>
      <c r="E378" s="16"/>
      <c r="F378" s="20"/>
      <c r="G378" s="20"/>
      <c r="H378" s="20"/>
      <c r="I378" s="20"/>
      <c r="J378" s="24"/>
      <c r="K378" s="24"/>
      <c r="L378" s="24"/>
      <c r="M378" s="24"/>
      <c r="N378" s="24"/>
      <c r="O378" s="24"/>
    </row>
    <row r="379">
      <c r="A379" s="16"/>
      <c r="B379" s="16"/>
      <c r="C379" s="16"/>
      <c r="D379" s="16"/>
      <c r="E379" s="16"/>
      <c r="F379" s="20"/>
      <c r="G379" s="20"/>
      <c r="H379" s="20"/>
      <c r="I379" s="20"/>
      <c r="J379" s="24"/>
      <c r="K379" s="24"/>
      <c r="L379" s="24"/>
      <c r="M379" s="24"/>
      <c r="N379" s="24"/>
      <c r="O379" s="24"/>
    </row>
    <row r="380">
      <c r="A380" s="16"/>
      <c r="B380" s="16"/>
      <c r="C380" s="16"/>
      <c r="D380" s="16"/>
      <c r="E380" s="16"/>
      <c r="F380" s="20"/>
      <c r="G380" s="20"/>
      <c r="H380" s="20"/>
      <c r="I380" s="20"/>
      <c r="J380" s="24"/>
      <c r="K380" s="24"/>
      <c r="L380" s="24"/>
      <c r="M380" s="24"/>
      <c r="N380" s="24"/>
      <c r="O380" s="24"/>
    </row>
    <row r="381">
      <c r="A381" s="16"/>
      <c r="B381" s="16"/>
      <c r="C381" s="16"/>
      <c r="D381" s="16"/>
      <c r="E381" s="16"/>
      <c r="F381" s="20"/>
      <c r="G381" s="20"/>
      <c r="H381" s="20"/>
      <c r="I381" s="20"/>
      <c r="J381" s="24"/>
      <c r="K381" s="24"/>
      <c r="L381" s="24"/>
      <c r="M381" s="24"/>
      <c r="N381" s="24"/>
      <c r="O381" s="24"/>
    </row>
    <row r="382">
      <c r="A382" s="16"/>
      <c r="B382" s="16"/>
      <c r="C382" s="16"/>
      <c r="D382" s="16"/>
      <c r="E382" s="16"/>
      <c r="F382" s="20"/>
      <c r="G382" s="20"/>
      <c r="H382" s="20"/>
      <c r="I382" s="20"/>
      <c r="J382" s="24"/>
      <c r="K382" s="24"/>
      <c r="L382" s="24"/>
      <c r="M382" s="24"/>
      <c r="N382" s="24"/>
      <c r="O382" s="24"/>
    </row>
    <row r="383">
      <c r="A383" s="16"/>
      <c r="B383" s="16"/>
      <c r="C383" s="16"/>
      <c r="D383" s="16"/>
      <c r="E383" s="16"/>
      <c r="F383" s="20"/>
      <c r="G383" s="20"/>
      <c r="H383" s="20"/>
      <c r="I383" s="20"/>
      <c r="J383" s="24"/>
      <c r="K383" s="24"/>
      <c r="L383" s="24"/>
      <c r="M383" s="24"/>
      <c r="N383" s="24"/>
      <c r="O383" s="24"/>
    </row>
    <row r="384">
      <c r="A384" s="16"/>
      <c r="B384" s="16"/>
      <c r="C384" s="16"/>
      <c r="D384" s="16"/>
      <c r="E384" s="16"/>
      <c r="F384" s="20"/>
      <c r="G384" s="20"/>
      <c r="H384" s="20"/>
      <c r="I384" s="20"/>
      <c r="J384" s="24"/>
      <c r="K384" s="24"/>
      <c r="L384" s="24"/>
      <c r="M384" s="24"/>
      <c r="N384" s="24"/>
      <c r="O384" s="24"/>
    </row>
    <row r="385">
      <c r="A385" s="16"/>
      <c r="B385" s="16"/>
      <c r="C385" s="16"/>
      <c r="D385" s="16"/>
      <c r="E385" s="16"/>
      <c r="F385" s="20"/>
      <c r="G385" s="20"/>
      <c r="H385" s="20"/>
      <c r="I385" s="20"/>
      <c r="J385" s="24"/>
      <c r="K385" s="24"/>
      <c r="L385" s="24"/>
      <c r="M385" s="24"/>
      <c r="N385" s="24"/>
      <c r="O385" s="24"/>
    </row>
    <row r="386">
      <c r="A386" s="16"/>
      <c r="B386" s="16"/>
      <c r="C386" s="16"/>
      <c r="D386" s="16"/>
      <c r="E386" s="16"/>
      <c r="F386" s="20"/>
      <c r="G386" s="20"/>
      <c r="H386" s="20"/>
      <c r="I386" s="20"/>
      <c r="J386" s="24"/>
      <c r="K386" s="24"/>
      <c r="L386" s="24"/>
      <c r="M386" s="24"/>
      <c r="N386" s="24"/>
      <c r="O386" s="24"/>
    </row>
    <row r="387">
      <c r="A387" s="16"/>
      <c r="B387" s="16"/>
      <c r="C387" s="16"/>
      <c r="D387" s="16"/>
      <c r="E387" s="16"/>
      <c r="F387" s="20"/>
      <c r="G387" s="20"/>
      <c r="H387" s="20"/>
      <c r="I387" s="20"/>
      <c r="J387" s="24"/>
      <c r="K387" s="24"/>
      <c r="L387" s="24"/>
      <c r="M387" s="24"/>
      <c r="N387" s="24"/>
      <c r="O387" s="24"/>
    </row>
    <row r="388">
      <c r="A388" s="16"/>
      <c r="B388" s="16"/>
      <c r="C388" s="16"/>
      <c r="D388" s="16"/>
      <c r="E388" s="16"/>
      <c r="F388" s="20"/>
      <c r="G388" s="20"/>
      <c r="H388" s="20"/>
      <c r="I388" s="20"/>
      <c r="J388" s="24"/>
      <c r="K388" s="24"/>
      <c r="L388" s="24"/>
      <c r="M388" s="24"/>
      <c r="N388" s="24"/>
      <c r="O388" s="24"/>
    </row>
    <row r="389">
      <c r="A389" s="16"/>
      <c r="B389" s="16"/>
      <c r="C389" s="16"/>
      <c r="D389" s="16"/>
      <c r="E389" s="16"/>
      <c r="F389" s="20"/>
      <c r="G389" s="20"/>
      <c r="H389" s="20"/>
      <c r="I389" s="20"/>
      <c r="J389" s="24"/>
      <c r="K389" s="24"/>
      <c r="L389" s="24"/>
      <c r="M389" s="24"/>
      <c r="N389" s="24"/>
      <c r="O389" s="24"/>
    </row>
    <row r="390">
      <c r="A390" s="16"/>
      <c r="B390" s="16"/>
      <c r="C390" s="16"/>
      <c r="D390" s="16"/>
      <c r="E390" s="16"/>
      <c r="F390" s="20"/>
      <c r="G390" s="20"/>
      <c r="H390" s="20"/>
      <c r="I390" s="20"/>
      <c r="J390" s="24"/>
      <c r="K390" s="24"/>
      <c r="L390" s="24"/>
      <c r="M390" s="24"/>
      <c r="N390" s="24"/>
      <c r="O390" s="24"/>
    </row>
    <row r="391">
      <c r="A391" s="16"/>
      <c r="B391" s="16"/>
      <c r="C391" s="16"/>
      <c r="D391" s="16"/>
      <c r="E391" s="16"/>
      <c r="F391" s="20"/>
      <c r="G391" s="20"/>
      <c r="H391" s="20"/>
      <c r="I391" s="20"/>
      <c r="J391" s="24"/>
      <c r="K391" s="24"/>
      <c r="L391" s="24"/>
      <c r="M391" s="24"/>
      <c r="N391" s="24"/>
      <c r="O391" s="24"/>
    </row>
    <row r="392">
      <c r="A392" s="16"/>
      <c r="B392" s="16"/>
      <c r="C392" s="16"/>
      <c r="D392" s="16"/>
      <c r="E392" s="16"/>
      <c r="F392" s="20"/>
      <c r="G392" s="20"/>
      <c r="H392" s="20"/>
      <c r="I392" s="20"/>
      <c r="J392" s="24"/>
      <c r="K392" s="24"/>
      <c r="L392" s="24"/>
      <c r="M392" s="24"/>
      <c r="N392" s="24"/>
      <c r="O392" s="24"/>
    </row>
    <row r="393">
      <c r="A393" s="16"/>
      <c r="B393" s="16"/>
      <c r="C393" s="16"/>
      <c r="D393" s="16"/>
      <c r="E393" s="16"/>
      <c r="F393" s="20"/>
      <c r="G393" s="20"/>
      <c r="H393" s="20"/>
      <c r="I393" s="20"/>
      <c r="J393" s="24"/>
      <c r="K393" s="24"/>
      <c r="L393" s="24"/>
      <c r="M393" s="24"/>
      <c r="N393" s="24"/>
      <c r="O393" s="24"/>
    </row>
    <row r="394">
      <c r="A394" s="16"/>
      <c r="B394" s="16"/>
      <c r="C394" s="16"/>
      <c r="D394" s="16"/>
      <c r="E394" s="16"/>
      <c r="F394" s="20"/>
      <c r="G394" s="20"/>
      <c r="H394" s="20"/>
      <c r="I394" s="20"/>
      <c r="J394" s="24"/>
      <c r="K394" s="24"/>
      <c r="L394" s="24"/>
      <c r="M394" s="24"/>
      <c r="N394" s="24"/>
      <c r="O394" s="24"/>
    </row>
    <row r="395">
      <c r="A395" s="16"/>
      <c r="B395" s="16"/>
      <c r="C395" s="16"/>
      <c r="D395" s="16"/>
      <c r="E395" s="16"/>
      <c r="F395" s="20"/>
      <c r="G395" s="20"/>
      <c r="H395" s="20"/>
      <c r="I395" s="20"/>
      <c r="J395" s="24"/>
      <c r="K395" s="24"/>
      <c r="L395" s="24"/>
      <c r="M395" s="24"/>
      <c r="N395" s="24"/>
      <c r="O395" s="24"/>
    </row>
    <row r="396">
      <c r="A396" s="16"/>
      <c r="B396" s="16"/>
      <c r="C396" s="16"/>
      <c r="D396" s="16"/>
      <c r="E396" s="16"/>
      <c r="F396" s="20"/>
      <c r="G396" s="20"/>
      <c r="H396" s="20"/>
      <c r="I396" s="20"/>
      <c r="J396" s="24"/>
      <c r="K396" s="24"/>
      <c r="L396" s="24"/>
      <c r="M396" s="24"/>
      <c r="N396" s="24"/>
      <c r="O396" s="24"/>
    </row>
    <row r="397">
      <c r="A397" s="16"/>
      <c r="B397" s="16"/>
      <c r="C397" s="16"/>
      <c r="D397" s="16"/>
      <c r="E397" s="16"/>
      <c r="F397" s="20"/>
      <c r="G397" s="20"/>
      <c r="H397" s="20"/>
      <c r="I397" s="20"/>
      <c r="J397" s="24"/>
      <c r="K397" s="24"/>
      <c r="L397" s="24"/>
      <c r="M397" s="24"/>
      <c r="N397" s="24"/>
      <c r="O397" s="24"/>
    </row>
    <row r="398">
      <c r="A398" s="16"/>
      <c r="B398" s="16"/>
      <c r="C398" s="16"/>
      <c r="D398" s="16"/>
      <c r="E398" s="16"/>
      <c r="F398" s="20"/>
      <c r="G398" s="20"/>
      <c r="H398" s="20"/>
      <c r="I398" s="20"/>
      <c r="J398" s="24"/>
      <c r="K398" s="24"/>
      <c r="L398" s="24"/>
      <c r="M398" s="24"/>
      <c r="N398" s="24"/>
      <c r="O398" s="24"/>
    </row>
    <row r="399">
      <c r="A399" s="16"/>
      <c r="B399" s="16"/>
      <c r="C399" s="16"/>
      <c r="D399" s="16"/>
      <c r="E399" s="16"/>
      <c r="F399" s="20"/>
      <c r="G399" s="20"/>
      <c r="H399" s="20"/>
      <c r="I399" s="20"/>
      <c r="J399" s="24"/>
      <c r="K399" s="24"/>
      <c r="L399" s="24"/>
      <c r="M399" s="24"/>
      <c r="N399" s="24"/>
      <c r="O399" s="24"/>
    </row>
    <row r="400">
      <c r="A400" s="16"/>
      <c r="B400" s="16"/>
      <c r="C400" s="16"/>
      <c r="D400" s="16"/>
      <c r="E400" s="16"/>
      <c r="F400" s="20"/>
      <c r="G400" s="20"/>
      <c r="H400" s="20"/>
      <c r="I400" s="20"/>
      <c r="J400" s="24"/>
      <c r="K400" s="24"/>
      <c r="L400" s="24"/>
      <c r="M400" s="24"/>
      <c r="N400" s="24"/>
      <c r="O400" s="24"/>
    </row>
    <row r="401">
      <c r="A401" s="16"/>
      <c r="B401" s="16"/>
      <c r="C401" s="16"/>
      <c r="D401" s="16"/>
      <c r="E401" s="16"/>
      <c r="F401" s="20"/>
      <c r="G401" s="20"/>
      <c r="H401" s="20"/>
      <c r="I401" s="20"/>
      <c r="J401" s="24"/>
      <c r="K401" s="24"/>
      <c r="L401" s="24"/>
      <c r="M401" s="24"/>
      <c r="N401" s="24"/>
      <c r="O401" s="24"/>
    </row>
    <row r="402">
      <c r="A402" s="16"/>
      <c r="B402" s="16"/>
      <c r="C402" s="16"/>
      <c r="D402" s="16"/>
      <c r="E402" s="16"/>
      <c r="F402" s="20"/>
      <c r="G402" s="20"/>
      <c r="H402" s="20"/>
      <c r="I402" s="20"/>
      <c r="J402" s="24"/>
      <c r="K402" s="24"/>
      <c r="L402" s="24"/>
      <c r="M402" s="24"/>
      <c r="N402" s="24"/>
      <c r="O402" s="24"/>
    </row>
    <row r="403">
      <c r="A403" s="16"/>
      <c r="B403" s="16"/>
      <c r="C403" s="16"/>
      <c r="D403" s="16"/>
      <c r="E403" s="16"/>
      <c r="F403" s="20"/>
      <c r="G403" s="20"/>
      <c r="H403" s="20"/>
      <c r="I403" s="20"/>
      <c r="J403" s="24"/>
      <c r="K403" s="24"/>
      <c r="L403" s="24"/>
      <c r="M403" s="24"/>
      <c r="N403" s="24"/>
      <c r="O403" s="24"/>
    </row>
    <row r="404">
      <c r="A404" s="16"/>
      <c r="B404" s="16"/>
      <c r="C404" s="16"/>
      <c r="D404" s="16"/>
      <c r="E404" s="16"/>
      <c r="F404" s="20"/>
      <c r="G404" s="20"/>
      <c r="H404" s="20"/>
      <c r="I404" s="20"/>
      <c r="J404" s="24"/>
      <c r="K404" s="24"/>
      <c r="L404" s="24"/>
      <c r="M404" s="24"/>
      <c r="N404" s="24"/>
      <c r="O404" s="24"/>
    </row>
    <row r="405">
      <c r="A405" s="16"/>
      <c r="B405" s="16"/>
      <c r="C405" s="16"/>
      <c r="D405" s="16"/>
      <c r="E405" s="16"/>
      <c r="F405" s="20"/>
      <c r="G405" s="20"/>
      <c r="H405" s="20"/>
      <c r="I405" s="20"/>
      <c r="J405" s="24"/>
      <c r="K405" s="24"/>
      <c r="L405" s="24"/>
      <c r="M405" s="24"/>
      <c r="N405" s="24"/>
      <c r="O405" s="24"/>
    </row>
    <row r="406">
      <c r="A406" s="16"/>
      <c r="B406" s="16"/>
      <c r="C406" s="16"/>
      <c r="D406" s="16"/>
      <c r="E406" s="16"/>
      <c r="F406" s="20"/>
      <c r="G406" s="20"/>
      <c r="H406" s="20"/>
      <c r="I406" s="20"/>
      <c r="J406" s="24"/>
      <c r="K406" s="24"/>
      <c r="L406" s="24"/>
      <c r="M406" s="24"/>
      <c r="N406" s="24"/>
      <c r="O406" s="24"/>
    </row>
    <row r="407">
      <c r="A407" s="16"/>
      <c r="B407" s="16"/>
      <c r="C407" s="16"/>
      <c r="D407" s="16"/>
      <c r="E407" s="16"/>
      <c r="F407" s="20"/>
      <c r="G407" s="20"/>
      <c r="H407" s="20"/>
      <c r="I407" s="20"/>
      <c r="J407" s="24"/>
      <c r="K407" s="24"/>
      <c r="L407" s="24"/>
      <c r="M407" s="24"/>
      <c r="N407" s="24"/>
      <c r="O407" s="24"/>
    </row>
    <row r="408">
      <c r="A408" s="16"/>
      <c r="B408" s="16"/>
      <c r="C408" s="16"/>
      <c r="D408" s="16"/>
      <c r="E408" s="16"/>
      <c r="F408" s="20"/>
      <c r="G408" s="20"/>
      <c r="H408" s="20"/>
      <c r="I408" s="20"/>
      <c r="J408" s="24"/>
      <c r="K408" s="24"/>
      <c r="L408" s="24"/>
      <c r="M408" s="24"/>
      <c r="N408" s="24"/>
      <c r="O408" s="24"/>
    </row>
    <row r="409">
      <c r="A409" s="16"/>
      <c r="B409" s="16"/>
      <c r="C409" s="16"/>
      <c r="D409" s="16"/>
      <c r="E409" s="16"/>
      <c r="F409" s="20"/>
      <c r="G409" s="20"/>
      <c r="H409" s="20"/>
      <c r="I409" s="20"/>
      <c r="J409" s="24"/>
      <c r="K409" s="24"/>
      <c r="L409" s="24"/>
      <c r="M409" s="24"/>
      <c r="N409" s="24"/>
      <c r="O409" s="24"/>
    </row>
    <row r="410">
      <c r="A410" s="16"/>
      <c r="B410" s="16"/>
      <c r="C410" s="16"/>
      <c r="D410" s="16"/>
      <c r="E410" s="16"/>
      <c r="F410" s="20"/>
      <c r="G410" s="20"/>
      <c r="H410" s="20"/>
      <c r="I410" s="20"/>
      <c r="J410" s="24"/>
      <c r="K410" s="24"/>
      <c r="L410" s="24"/>
      <c r="M410" s="24"/>
      <c r="N410" s="24"/>
      <c r="O410" s="24"/>
    </row>
    <row r="411">
      <c r="A411" s="16"/>
      <c r="B411" s="16"/>
      <c r="C411" s="16"/>
      <c r="D411" s="16"/>
      <c r="E411" s="16"/>
      <c r="F411" s="20"/>
      <c r="G411" s="20"/>
      <c r="H411" s="20"/>
      <c r="I411" s="20"/>
      <c r="J411" s="24"/>
      <c r="K411" s="24"/>
      <c r="L411" s="24"/>
      <c r="M411" s="24"/>
      <c r="N411" s="24"/>
      <c r="O411" s="24"/>
    </row>
    <row r="412">
      <c r="A412" s="16"/>
      <c r="B412" s="16"/>
      <c r="C412" s="16"/>
      <c r="D412" s="16"/>
      <c r="E412" s="16"/>
      <c r="F412" s="20"/>
      <c r="G412" s="20"/>
      <c r="H412" s="20"/>
      <c r="I412" s="20"/>
      <c r="J412" s="24"/>
      <c r="K412" s="24"/>
      <c r="L412" s="24"/>
      <c r="M412" s="24"/>
      <c r="N412" s="24"/>
      <c r="O412" s="24"/>
    </row>
    <row r="413">
      <c r="A413" s="16"/>
      <c r="B413" s="16"/>
      <c r="C413" s="16"/>
      <c r="D413" s="16"/>
      <c r="E413" s="16"/>
      <c r="F413" s="20"/>
      <c r="G413" s="20"/>
      <c r="H413" s="20"/>
      <c r="I413" s="20"/>
      <c r="J413" s="24"/>
      <c r="K413" s="24"/>
      <c r="L413" s="24"/>
      <c r="M413" s="24"/>
      <c r="N413" s="24"/>
      <c r="O413" s="24"/>
    </row>
    <row r="414">
      <c r="A414" s="16"/>
      <c r="B414" s="16"/>
      <c r="C414" s="16"/>
      <c r="D414" s="16"/>
      <c r="E414" s="16"/>
      <c r="F414" s="20"/>
      <c r="G414" s="20"/>
      <c r="H414" s="20"/>
      <c r="I414" s="20"/>
      <c r="J414" s="24"/>
      <c r="K414" s="24"/>
      <c r="L414" s="24"/>
      <c r="M414" s="24"/>
      <c r="N414" s="24"/>
      <c r="O414" s="24"/>
    </row>
    <row r="415">
      <c r="A415" s="16"/>
      <c r="B415" s="16"/>
      <c r="C415" s="16"/>
      <c r="D415" s="16"/>
      <c r="E415" s="16"/>
      <c r="F415" s="20"/>
      <c r="G415" s="20"/>
      <c r="H415" s="20"/>
      <c r="I415" s="20"/>
      <c r="J415" s="24"/>
      <c r="K415" s="24"/>
      <c r="L415" s="24"/>
      <c r="M415" s="24"/>
      <c r="N415" s="24"/>
      <c r="O415" s="24"/>
    </row>
    <row r="416">
      <c r="A416" s="16"/>
      <c r="B416" s="16"/>
      <c r="C416" s="16"/>
      <c r="D416" s="16"/>
      <c r="E416" s="16"/>
      <c r="F416" s="20"/>
      <c r="G416" s="20"/>
      <c r="H416" s="20"/>
      <c r="I416" s="20"/>
      <c r="J416" s="24"/>
      <c r="K416" s="24"/>
      <c r="L416" s="24"/>
      <c r="M416" s="24"/>
      <c r="N416" s="24"/>
      <c r="O416" s="24"/>
    </row>
    <row r="417">
      <c r="A417" s="16"/>
      <c r="B417" s="16"/>
      <c r="C417" s="16"/>
      <c r="D417" s="16"/>
      <c r="E417" s="16"/>
      <c r="F417" s="20"/>
      <c r="G417" s="20"/>
      <c r="H417" s="20"/>
      <c r="I417" s="20"/>
      <c r="J417" s="24"/>
      <c r="K417" s="24"/>
      <c r="L417" s="24"/>
      <c r="M417" s="24"/>
      <c r="N417" s="24"/>
      <c r="O417" s="24"/>
    </row>
    <row r="418">
      <c r="A418" s="16"/>
      <c r="B418" s="16"/>
      <c r="C418" s="16"/>
      <c r="D418" s="16"/>
      <c r="E418" s="16"/>
      <c r="F418" s="20"/>
      <c r="G418" s="20"/>
      <c r="H418" s="20"/>
      <c r="I418" s="20"/>
      <c r="J418" s="24"/>
      <c r="K418" s="24"/>
      <c r="L418" s="24"/>
      <c r="M418" s="24"/>
      <c r="N418" s="24"/>
      <c r="O418" s="24"/>
    </row>
    <row r="419">
      <c r="A419" s="16"/>
      <c r="B419" s="16"/>
      <c r="C419" s="16"/>
      <c r="D419" s="16"/>
      <c r="E419" s="16"/>
      <c r="F419" s="20"/>
      <c r="G419" s="20"/>
      <c r="H419" s="20"/>
      <c r="I419" s="20"/>
      <c r="J419" s="24"/>
      <c r="K419" s="24"/>
      <c r="L419" s="24"/>
      <c r="M419" s="24"/>
      <c r="N419" s="24"/>
      <c r="O419" s="24"/>
    </row>
    <row r="420">
      <c r="A420" s="16"/>
      <c r="B420" s="16"/>
      <c r="C420" s="16"/>
      <c r="D420" s="16"/>
      <c r="E420" s="16"/>
      <c r="F420" s="20"/>
      <c r="G420" s="20"/>
      <c r="H420" s="20"/>
      <c r="I420" s="20"/>
      <c r="J420" s="24"/>
      <c r="K420" s="24"/>
      <c r="L420" s="24"/>
      <c r="M420" s="24"/>
      <c r="N420" s="24"/>
      <c r="O420" s="24"/>
    </row>
    <row r="421">
      <c r="A421" s="16"/>
      <c r="B421" s="16"/>
      <c r="C421" s="16"/>
      <c r="D421" s="16"/>
      <c r="E421" s="16"/>
      <c r="F421" s="20"/>
      <c r="G421" s="20"/>
      <c r="H421" s="20"/>
      <c r="I421" s="20"/>
      <c r="J421" s="24"/>
      <c r="K421" s="24"/>
      <c r="L421" s="24"/>
      <c r="M421" s="24"/>
      <c r="N421" s="24"/>
      <c r="O421" s="24"/>
    </row>
    <row r="422">
      <c r="A422" s="16"/>
      <c r="B422" s="16"/>
      <c r="C422" s="16"/>
      <c r="D422" s="16"/>
      <c r="E422" s="16"/>
      <c r="F422" s="20"/>
      <c r="G422" s="20"/>
      <c r="H422" s="20"/>
      <c r="I422" s="20"/>
      <c r="J422" s="24"/>
      <c r="K422" s="24"/>
      <c r="L422" s="24"/>
      <c r="M422" s="24"/>
      <c r="N422" s="24"/>
      <c r="O422" s="24"/>
    </row>
    <row r="423">
      <c r="A423" s="16"/>
      <c r="B423" s="16"/>
      <c r="C423" s="16"/>
      <c r="D423" s="16"/>
      <c r="E423" s="16"/>
      <c r="F423" s="20"/>
      <c r="G423" s="20"/>
      <c r="H423" s="20"/>
      <c r="I423" s="20"/>
      <c r="J423" s="24"/>
      <c r="K423" s="24"/>
      <c r="L423" s="24"/>
      <c r="M423" s="24"/>
      <c r="N423" s="24"/>
      <c r="O423" s="24"/>
    </row>
    <row r="424">
      <c r="A424" s="16"/>
      <c r="B424" s="16"/>
      <c r="C424" s="16"/>
      <c r="D424" s="16"/>
      <c r="E424" s="16"/>
      <c r="F424" s="20"/>
      <c r="G424" s="20"/>
      <c r="H424" s="20"/>
      <c r="I424" s="20"/>
      <c r="J424" s="24"/>
      <c r="K424" s="24"/>
      <c r="L424" s="24"/>
      <c r="M424" s="24"/>
      <c r="N424" s="24"/>
      <c r="O424" s="24"/>
    </row>
    <row r="425">
      <c r="A425" s="16"/>
      <c r="B425" s="16"/>
      <c r="C425" s="16"/>
      <c r="D425" s="16"/>
      <c r="E425" s="16"/>
      <c r="F425" s="20"/>
      <c r="G425" s="20"/>
      <c r="H425" s="20"/>
      <c r="I425" s="20"/>
      <c r="J425" s="24"/>
      <c r="K425" s="24"/>
      <c r="L425" s="24"/>
      <c r="M425" s="24"/>
      <c r="N425" s="24"/>
      <c r="O425" s="24"/>
    </row>
    <row r="426">
      <c r="A426" s="16"/>
      <c r="B426" s="16"/>
      <c r="C426" s="16"/>
      <c r="D426" s="16"/>
      <c r="E426" s="16"/>
      <c r="F426" s="20"/>
      <c r="G426" s="20"/>
      <c r="H426" s="20"/>
      <c r="I426" s="20"/>
      <c r="J426" s="24"/>
      <c r="K426" s="24"/>
      <c r="L426" s="24"/>
      <c r="M426" s="24"/>
      <c r="N426" s="24"/>
      <c r="O426" s="24"/>
    </row>
    <row r="427">
      <c r="A427" s="16"/>
      <c r="B427" s="16"/>
      <c r="C427" s="16"/>
      <c r="D427" s="16"/>
      <c r="E427" s="16"/>
      <c r="F427" s="20"/>
      <c r="G427" s="20"/>
      <c r="H427" s="20"/>
      <c r="I427" s="20"/>
      <c r="J427" s="24"/>
      <c r="K427" s="24"/>
      <c r="L427" s="24"/>
      <c r="M427" s="24"/>
      <c r="N427" s="24"/>
      <c r="O427" s="24"/>
    </row>
    <row r="428">
      <c r="A428" s="16"/>
      <c r="B428" s="16"/>
      <c r="C428" s="16"/>
      <c r="D428" s="16"/>
      <c r="E428" s="16"/>
      <c r="F428" s="20"/>
      <c r="G428" s="20"/>
      <c r="H428" s="20"/>
      <c r="I428" s="20"/>
      <c r="J428" s="24"/>
      <c r="K428" s="24"/>
      <c r="L428" s="24"/>
      <c r="M428" s="24"/>
      <c r="N428" s="24"/>
      <c r="O428" s="24"/>
    </row>
    <row r="429">
      <c r="A429" s="16"/>
      <c r="B429" s="16"/>
      <c r="C429" s="16"/>
      <c r="D429" s="16"/>
      <c r="E429" s="16"/>
      <c r="F429" s="20"/>
      <c r="G429" s="20"/>
      <c r="H429" s="20"/>
      <c r="I429" s="20"/>
      <c r="J429" s="24"/>
      <c r="K429" s="24"/>
      <c r="L429" s="24"/>
      <c r="M429" s="24"/>
      <c r="N429" s="24"/>
      <c r="O429" s="24"/>
    </row>
    <row r="430">
      <c r="A430" s="16"/>
      <c r="B430" s="16"/>
      <c r="C430" s="16"/>
      <c r="D430" s="16"/>
      <c r="E430" s="16"/>
      <c r="F430" s="20"/>
      <c r="G430" s="20"/>
      <c r="H430" s="20"/>
      <c r="I430" s="20"/>
      <c r="J430" s="24"/>
      <c r="K430" s="24"/>
      <c r="L430" s="24"/>
      <c r="M430" s="24"/>
      <c r="N430" s="24"/>
      <c r="O430" s="24"/>
    </row>
    <row r="431">
      <c r="A431" s="16"/>
      <c r="B431" s="16"/>
      <c r="C431" s="16"/>
      <c r="D431" s="16"/>
      <c r="E431" s="16"/>
      <c r="F431" s="20"/>
      <c r="G431" s="20"/>
      <c r="H431" s="20"/>
      <c r="I431" s="20"/>
      <c r="J431" s="24"/>
      <c r="K431" s="24"/>
      <c r="L431" s="24"/>
      <c r="M431" s="24"/>
      <c r="N431" s="24"/>
      <c r="O431" s="24"/>
    </row>
    <row r="432">
      <c r="A432" s="16"/>
      <c r="B432" s="16"/>
      <c r="C432" s="16"/>
      <c r="D432" s="16"/>
      <c r="E432" s="16"/>
      <c r="F432" s="20"/>
      <c r="G432" s="20"/>
      <c r="H432" s="20"/>
      <c r="I432" s="20"/>
      <c r="J432" s="24"/>
      <c r="K432" s="24"/>
      <c r="L432" s="24"/>
      <c r="M432" s="24"/>
      <c r="N432" s="24"/>
      <c r="O432" s="24"/>
    </row>
    <row r="433">
      <c r="A433" s="16"/>
      <c r="B433" s="16"/>
      <c r="C433" s="16"/>
      <c r="D433" s="16"/>
      <c r="E433" s="16"/>
      <c r="F433" s="20"/>
      <c r="G433" s="20"/>
      <c r="H433" s="20"/>
      <c r="I433" s="20"/>
      <c r="J433" s="24"/>
      <c r="K433" s="24"/>
      <c r="L433" s="24"/>
      <c r="M433" s="24"/>
      <c r="N433" s="24"/>
      <c r="O433" s="24"/>
    </row>
    <row r="434">
      <c r="A434" s="16"/>
      <c r="B434" s="16"/>
      <c r="C434" s="16"/>
      <c r="D434" s="16"/>
      <c r="E434" s="16"/>
      <c r="F434" s="20"/>
      <c r="G434" s="20"/>
      <c r="H434" s="20"/>
      <c r="I434" s="20"/>
      <c r="J434" s="24"/>
      <c r="K434" s="24"/>
      <c r="L434" s="24"/>
      <c r="M434" s="24"/>
      <c r="N434" s="24"/>
      <c r="O434" s="24"/>
    </row>
    <row r="435">
      <c r="A435" s="16"/>
      <c r="B435" s="16"/>
      <c r="C435" s="16"/>
      <c r="D435" s="16"/>
      <c r="E435" s="16"/>
      <c r="F435" s="20"/>
      <c r="G435" s="20"/>
      <c r="H435" s="20"/>
      <c r="I435" s="20"/>
      <c r="J435" s="24"/>
      <c r="K435" s="24"/>
      <c r="L435" s="24"/>
      <c r="M435" s="24"/>
      <c r="N435" s="24"/>
      <c r="O435" s="24"/>
    </row>
    <row r="436">
      <c r="A436" s="16"/>
      <c r="B436" s="16"/>
      <c r="C436" s="16"/>
      <c r="D436" s="16"/>
      <c r="E436" s="16"/>
      <c r="F436" s="20"/>
      <c r="G436" s="20"/>
      <c r="H436" s="20"/>
      <c r="I436" s="20"/>
      <c r="J436" s="24"/>
      <c r="K436" s="24"/>
      <c r="L436" s="24"/>
      <c r="M436" s="24"/>
      <c r="N436" s="24"/>
      <c r="O436" s="24"/>
    </row>
    <row r="437">
      <c r="A437" s="16"/>
      <c r="B437" s="16"/>
      <c r="C437" s="16"/>
      <c r="D437" s="16"/>
      <c r="E437" s="16"/>
      <c r="F437" s="20"/>
      <c r="G437" s="20"/>
      <c r="H437" s="20"/>
      <c r="I437" s="20"/>
      <c r="J437" s="24"/>
      <c r="K437" s="24"/>
      <c r="L437" s="24"/>
      <c r="M437" s="24"/>
      <c r="N437" s="24"/>
      <c r="O437" s="24"/>
    </row>
    <row r="438">
      <c r="A438" s="16"/>
      <c r="B438" s="16"/>
      <c r="C438" s="16"/>
      <c r="D438" s="16"/>
      <c r="E438" s="16"/>
      <c r="F438" s="20"/>
      <c r="G438" s="20"/>
      <c r="H438" s="20"/>
      <c r="I438" s="20"/>
      <c r="J438" s="24"/>
      <c r="K438" s="24"/>
      <c r="L438" s="24"/>
      <c r="M438" s="24"/>
      <c r="N438" s="24"/>
      <c r="O438" s="24"/>
    </row>
    <row r="439">
      <c r="A439" s="16"/>
      <c r="B439" s="16"/>
      <c r="C439" s="16"/>
      <c r="D439" s="16"/>
      <c r="E439" s="16"/>
      <c r="F439" s="20"/>
      <c r="G439" s="20"/>
      <c r="H439" s="20"/>
      <c r="I439" s="20"/>
      <c r="J439" s="24"/>
      <c r="K439" s="24"/>
      <c r="L439" s="24"/>
      <c r="M439" s="24"/>
      <c r="N439" s="24"/>
      <c r="O439" s="24"/>
    </row>
    <row r="440">
      <c r="A440" s="16"/>
      <c r="B440" s="16"/>
      <c r="C440" s="16"/>
      <c r="D440" s="16"/>
      <c r="E440" s="16"/>
      <c r="F440" s="20"/>
      <c r="G440" s="20"/>
      <c r="H440" s="20"/>
      <c r="I440" s="20"/>
      <c r="J440" s="24"/>
      <c r="K440" s="24"/>
      <c r="L440" s="24"/>
      <c r="M440" s="24"/>
      <c r="N440" s="24"/>
      <c r="O440" s="24"/>
    </row>
    <row r="441">
      <c r="A441" s="16"/>
      <c r="B441" s="16"/>
      <c r="C441" s="16"/>
      <c r="D441" s="16"/>
      <c r="E441" s="16"/>
      <c r="F441" s="20"/>
      <c r="G441" s="20"/>
      <c r="H441" s="20"/>
      <c r="I441" s="20"/>
      <c r="J441" s="24"/>
      <c r="K441" s="24"/>
      <c r="L441" s="24"/>
      <c r="M441" s="24"/>
      <c r="N441" s="24"/>
      <c r="O441" s="24"/>
    </row>
    <row r="442">
      <c r="A442" s="16"/>
      <c r="B442" s="16"/>
      <c r="C442" s="16"/>
      <c r="D442" s="16"/>
      <c r="E442" s="16"/>
      <c r="F442" s="20"/>
      <c r="G442" s="20"/>
      <c r="H442" s="20"/>
      <c r="I442" s="20"/>
      <c r="J442" s="24"/>
      <c r="K442" s="24"/>
      <c r="L442" s="24"/>
      <c r="M442" s="24"/>
      <c r="N442" s="24"/>
      <c r="O442" s="24"/>
    </row>
    <row r="443">
      <c r="A443" s="16"/>
      <c r="B443" s="16"/>
      <c r="C443" s="16"/>
      <c r="D443" s="16"/>
      <c r="E443" s="16"/>
      <c r="F443" s="20"/>
      <c r="G443" s="20"/>
      <c r="H443" s="20"/>
      <c r="I443" s="20"/>
      <c r="J443" s="24"/>
      <c r="K443" s="24"/>
      <c r="L443" s="24"/>
      <c r="M443" s="24"/>
      <c r="N443" s="24"/>
      <c r="O443" s="24"/>
    </row>
    <row r="444">
      <c r="A444" s="16"/>
      <c r="B444" s="16"/>
      <c r="C444" s="16"/>
      <c r="D444" s="16"/>
      <c r="E444" s="16"/>
      <c r="F444" s="20"/>
      <c r="G444" s="20"/>
      <c r="H444" s="20"/>
      <c r="I444" s="20"/>
      <c r="J444" s="24"/>
      <c r="K444" s="24"/>
      <c r="L444" s="24"/>
      <c r="M444" s="24"/>
      <c r="N444" s="24"/>
      <c r="O444" s="24"/>
    </row>
    <row r="445">
      <c r="A445" s="16"/>
      <c r="B445" s="16"/>
      <c r="C445" s="16"/>
      <c r="D445" s="16"/>
      <c r="E445" s="16"/>
      <c r="F445" s="20"/>
      <c r="G445" s="20"/>
      <c r="H445" s="20"/>
      <c r="I445" s="20"/>
      <c r="J445" s="24"/>
      <c r="K445" s="24"/>
      <c r="L445" s="24"/>
      <c r="M445" s="24"/>
      <c r="N445" s="24"/>
      <c r="O445" s="24"/>
    </row>
    <row r="446">
      <c r="A446" s="16"/>
      <c r="B446" s="16"/>
      <c r="C446" s="16"/>
      <c r="D446" s="16"/>
      <c r="E446" s="16"/>
      <c r="F446" s="20"/>
      <c r="G446" s="20"/>
      <c r="H446" s="20"/>
      <c r="I446" s="20"/>
      <c r="J446" s="24"/>
      <c r="K446" s="24"/>
      <c r="L446" s="24"/>
      <c r="M446" s="24"/>
      <c r="N446" s="24"/>
      <c r="O446" s="24"/>
    </row>
    <row r="447">
      <c r="A447" s="16"/>
      <c r="B447" s="16"/>
      <c r="C447" s="16"/>
      <c r="D447" s="16"/>
      <c r="E447" s="16"/>
      <c r="F447" s="20"/>
      <c r="G447" s="20"/>
      <c r="H447" s="20"/>
      <c r="I447" s="20"/>
      <c r="J447" s="24"/>
      <c r="K447" s="24"/>
      <c r="L447" s="24"/>
      <c r="M447" s="24"/>
      <c r="N447" s="24"/>
      <c r="O447" s="24"/>
    </row>
    <row r="448">
      <c r="A448" s="16"/>
      <c r="B448" s="16"/>
      <c r="C448" s="16"/>
      <c r="D448" s="16"/>
      <c r="E448" s="16"/>
      <c r="F448" s="20"/>
      <c r="G448" s="20"/>
      <c r="H448" s="20"/>
      <c r="I448" s="20"/>
      <c r="J448" s="24"/>
      <c r="K448" s="24"/>
      <c r="L448" s="24"/>
      <c r="M448" s="24"/>
      <c r="N448" s="24"/>
      <c r="O448" s="24"/>
    </row>
    <row r="449">
      <c r="A449" s="16"/>
      <c r="B449" s="16"/>
      <c r="C449" s="16"/>
      <c r="D449" s="16"/>
      <c r="E449" s="16"/>
      <c r="F449" s="20"/>
      <c r="G449" s="20"/>
      <c r="H449" s="20"/>
      <c r="I449" s="20"/>
      <c r="J449" s="24"/>
      <c r="K449" s="24"/>
      <c r="L449" s="24"/>
      <c r="M449" s="24"/>
      <c r="N449" s="24"/>
      <c r="O449" s="24"/>
    </row>
    <row r="450">
      <c r="A450" s="16"/>
      <c r="B450" s="16"/>
      <c r="C450" s="16"/>
      <c r="D450" s="16"/>
      <c r="E450" s="16"/>
      <c r="F450" s="20"/>
      <c r="G450" s="20"/>
      <c r="H450" s="20"/>
      <c r="I450" s="20"/>
      <c r="J450" s="24"/>
      <c r="K450" s="24"/>
      <c r="L450" s="24"/>
      <c r="M450" s="24"/>
      <c r="N450" s="24"/>
      <c r="O450" s="24"/>
    </row>
    <row r="451">
      <c r="A451" s="16"/>
      <c r="B451" s="16"/>
      <c r="C451" s="16"/>
      <c r="D451" s="16"/>
      <c r="E451" s="16"/>
      <c r="F451" s="20"/>
      <c r="G451" s="20"/>
      <c r="H451" s="20"/>
      <c r="I451" s="20"/>
      <c r="J451" s="24"/>
      <c r="K451" s="24"/>
      <c r="L451" s="24"/>
      <c r="M451" s="24"/>
      <c r="N451" s="24"/>
      <c r="O451" s="24"/>
    </row>
    <row r="452">
      <c r="A452" s="16"/>
      <c r="B452" s="16"/>
      <c r="C452" s="16"/>
      <c r="D452" s="16"/>
      <c r="E452" s="16"/>
      <c r="F452" s="20"/>
      <c r="G452" s="20"/>
      <c r="H452" s="20"/>
      <c r="I452" s="20"/>
      <c r="J452" s="24"/>
      <c r="K452" s="24"/>
      <c r="L452" s="24"/>
      <c r="M452" s="24"/>
      <c r="N452" s="24"/>
      <c r="O452" s="24"/>
    </row>
    <row r="453">
      <c r="A453" s="16"/>
      <c r="B453" s="16"/>
      <c r="C453" s="16"/>
      <c r="D453" s="16"/>
      <c r="E453" s="16"/>
      <c r="F453" s="20"/>
      <c r="G453" s="20"/>
      <c r="H453" s="20"/>
      <c r="I453" s="20"/>
      <c r="J453" s="24"/>
      <c r="K453" s="24"/>
      <c r="L453" s="24"/>
      <c r="M453" s="24"/>
      <c r="N453" s="24"/>
      <c r="O453" s="24"/>
    </row>
    <row r="454">
      <c r="A454" s="16"/>
      <c r="B454" s="16"/>
      <c r="C454" s="16"/>
      <c r="D454" s="16"/>
      <c r="E454" s="16"/>
      <c r="F454" s="20"/>
      <c r="G454" s="20"/>
      <c r="H454" s="20"/>
      <c r="I454" s="20"/>
      <c r="J454" s="24"/>
      <c r="K454" s="24"/>
      <c r="L454" s="24"/>
      <c r="M454" s="24"/>
      <c r="N454" s="24"/>
      <c r="O454" s="24"/>
    </row>
    <row r="455">
      <c r="A455" s="16"/>
      <c r="B455" s="16"/>
      <c r="C455" s="16"/>
      <c r="D455" s="16"/>
      <c r="E455" s="16"/>
      <c r="F455" s="20"/>
      <c r="G455" s="20"/>
      <c r="H455" s="20"/>
      <c r="I455" s="20"/>
      <c r="J455" s="24"/>
      <c r="K455" s="24"/>
      <c r="L455" s="24"/>
      <c r="M455" s="24"/>
      <c r="N455" s="24"/>
      <c r="O455" s="24"/>
    </row>
    <row r="456">
      <c r="A456" s="16"/>
      <c r="B456" s="16"/>
      <c r="C456" s="16"/>
      <c r="D456" s="16"/>
      <c r="E456" s="16"/>
      <c r="F456" s="20"/>
      <c r="G456" s="20"/>
      <c r="H456" s="20"/>
      <c r="I456" s="20"/>
      <c r="J456" s="24"/>
      <c r="K456" s="24"/>
      <c r="L456" s="24"/>
      <c r="M456" s="24"/>
      <c r="N456" s="24"/>
      <c r="O456" s="24"/>
    </row>
    <row r="457">
      <c r="A457" s="16"/>
      <c r="B457" s="16"/>
      <c r="C457" s="16"/>
      <c r="D457" s="16"/>
      <c r="E457" s="16"/>
      <c r="F457" s="20"/>
      <c r="G457" s="20"/>
      <c r="H457" s="20"/>
      <c r="I457" s="20"/>
      <c r="J457" s="24"/>
      <c r="K457" s="24"/>
      <c r="L457" s="24"/>
      <c r="M457" s="24"/>
      <c r="N457" s="24"/>
      <c r="O457" s="24"/>
    </row>
    <row r="458">
      <c r="A458" s="16"/>
      <c r="B458" s="16"/>
      <c r="C458" s="16"/>
      <c r="D458" s="16"/>
      <c r="E458" s="16"/>
      <c r="F458" s="20"/>
      <c r="G458" s="20"/>
      <c r="H458" s="20"/>
      <c r="I458" s="20"/>
      <c r="J458" s="24"/>
      <c r="K458" s="24"/>
      <c r="L458" s="24"/>
      <c r="M458" s="24"/>
      <c r="N458" s="24"/>
      <c r="O458" s="24"/>
    </row>
    <row r="459">
      <c r="A459" s="16"/>
      <c r="B459" s="16"/>
      <c r="C459" s="16"/>
      <c r="D459" s="16"/>
      <c r="E459" s="16"/>
      <c r="F459" s="20"/>
      <c r="G459" s="20"/>
      <c r="H459" s="20"/>
      <c r="I459" s="20"/>
      <c r="J459" s="24"/>
      <c r="K459" s="24"/>
      <c r="L459" s="24"/>
      <c r="M459" s="24"/>
      <c r="N459" s="24"/>
      <c r="O459" s="24"/>
    </row>
    <row r="460">
      <c r="A460" s="16"/>
      <c r="B460" s="16"/>
      <c r="C460" s="16"/>
      <c r="D460" s="16"/>
      <c r="E460" s="16"/>
      <c r="F460" s="20"/>
      <c r="G460" s="20"/>
      <c r="H460" s="20"/>
      <c r="I460" s="20"/>
      <c r="J460" s="24"/>
      <c r="K460" s="24"/>
      <c r="L460" s="24"/>
      <c r="M460" s="24"/>
      <c r="N460" s="24"/>
      <c r="O460" s="24"/>
    </row>
    <row r="461">
      <c r="A461" s="16"/>
      <c r="B461" s="16"/>
      <c r="C461" s="16"/>
      <c r="D461" s="16"/>
      <c r="E461" s="16"/>
      <c r="F461" s="20"/>
      <c r="G461" s="20"/>
      <c r="H461" s="20"/>
      <c r="I461" s="20"/>
      <c r="J461" s="24"/>
      <c r="K461" s="24"/>
      <c r="L461" s="24"/>
      <c r="M461" s="24"/>
      <c r="N461" s="24"/>
      <c r="O461" s="24"/>
    </row>
    <row r="462">
      <c r="A462" s="16"/>
      <c r="B462" s="16"/>
      <c r="C462" s="16"/>
      <c r="D462" s="16"/>
      <c r="E462" s="16"/>
      <c r="F462" s="20"/>
      <c r="G462" s="20"/>
      <c r="H462" s="20"/>
      <c r="I462" s="20"/>
      <c r="J462" s="24"/>
      <c r="K462" s="24"/>
      <c r="L462" s="24"/>
      <c r="M462" s="24"/>
      <c r="N462" s="24"/>
      <c r="O462" s="24"/>
    </row>
    <row r="463">
      <c r="A463" s="16"/>
      <c r="B463" s="16"/>
      <c r="C463" s="16"/>
      <c r="D463" s="16"/>
      <c r="E463" s="16"/>
      <c r="F463" s="20"/>
      <c r="G463" s="20"/>
      <c r="H463" s="20"/>
      <c r="I463" s="20"/>
      <c r="J463" s="24"/>
      <c r="K463" s="24"/>
      <c r="L463" s="24"/>
      <c r="M463" s="24"/>
      <c r="N463" s="24"/>
      <c r="O463" s="24"/>
    </row>
    <row r="464">
      <c r="A464" s="16"/>
      <c r="B464" s="16"/>
      <c r="C464" s="16"/>
      <c r="D464" s="16"/>
      <c r="E464" s="16"/>
      <c r="F464" s="20"/>
      <c r="G464" s="20"/>
      <c r="H464" s="20"/>
      <c r="I464" s="20"/>
      <c r="J464" s="24"/>
      <c r="K464" s="24"/>
      <c r="L464" s="24"/>
      <c r="M464" s="24"/>
      <c r="N464" s="24"/>
      <c r="O464" s="24"/>
    </row>
    <row r="465">
      <c r="A465" s="16"/>
      <c r="B465" s="16"/>
      <c r="C465" s="16"/>
      <c r="D465" s="16"/>
      <c r="E465" s="16"/>
      <c r="F465" s="20"/>
      <c r="G465" s="20"/>
      <c r="H465" s="20"/>
      <c r="I465" s="20"/>
      <c r="J465" s="24"/>
      <c r="K465" s="24"/>
      <c r="L465" s="24"/>
      <c r="M465" s="24"/>
      <c r="N465" s="24"/>
      <c r="O465" s="24"/>
    </row>
    <row r="466">
      <c r="A466" s="16"/>
      <c r="B466" s="16"/>
      <c r="C466" s="16"/>
      <c r="D466" s="16"/>
      <c r="E466" s="16"/>
      <c r="F466" s="20"/>
      <c r="G466" s="20"/>
      <c r="H466" s="20"/>
      <c r="I466" s="20"/>
      <c r="J466" s="24"/>
      <c r="K466" s="24"/>
      <c r="L466" s="24"/>
      <c r="M466" s="24"/>
      <c r="N466" s="24"/>
      <c r="O466" s="24"/>
    </row>
    <row r="467">
      <c r="A467" s="16"/>
      <c r="B467" s="16"/>
      <c r="C467" s="16"/>
      <c r="D467" s="16"/>
      <c r="E467" s="16"/>
      <c r="F467" s="20"/>
      <c r="G467" s="20"/>
      <c r="H467" s="20"/>
      <c r="I467" s="20"/>
      <c r="J467" s="24"/>
      <c r="K467" s="24"/>
      <c r="L467" s="24"/>
      <c r="M467" s="24"/>
      <c r="N467" s="24"/>
      <c r="O467" s="24"/>
    </row>
    <row r="468">
      <c r="A468" s="16"/>
      <c r="B468" s="16"/>
      <c r="C468" s="16"/>
      <c r="D468" s="16"/>
      <c r="E468" s="16"/>
      <c r="F468" s="20"/>
      <c r="G468" s="20"/>
      <c r="H468" s="20"/>
      <c r="I468" s="20"/>
      <c r="J468" s="24"/>
      <c r="K468" s="24"/>
      <c r="L468" s="24"/>
      <c r="M468" s="24"/>
      <c r="N468" s="24"/>
      <c r="O468" s="24"/>
    </row>
    <row r="469">
      <c r="A469" s="16"/>
      <c r="B469" s="16"/>
      <c r="C469" s="16"/>
      <c r="D469" s="16"/>
      <c r="E469" s="16"/>
      <c r="F469" s="20"/>
      <c r="G469" s="20"/>
      <c r="H469" s="20"/>
      <c r="I469" s="20"/>
      <c r="J469" s="24"/>
      <c r="K469" s="24"/>
      <c r="L469" s="24"/>
      <c r="M469" s="24"/>
      <c r="N469" s="24"/>
      <c r="O469" s="24"/>
    </row>
    <row r="470">
      <c r="A470" s="16"/>
      <c r="B470" s="16"/>
      <c r="C470" s="16"/>
      <c r="D470" s="16"/>
      <c r="E470" s="16"/>
      <c r="F470" s="20"/>
      <c r="G470" s="20"/>
      <c r="H470" s="20"/>
      <c r="I470" s="20"/>
      <c r="J470" s="24"/>
      <c r="K470" s="24"/>
      <c r="L470" s="24"/>
      <c r="M470" s="24"/>
      <c r="N470" s="24"/>
      <c r="O470" s="24"/>
    </row>
    <row r="471">
      <c r="A471" s="16"/>
      <c r="B471" s="16"/>
      <c r="C471" s="16"/>
      <c r="D471" s="16"/>
      <c r="E471" s="16"/>
      <c r="F471" s="20"/>
      <c r="G471" s="20"/>
      <c r="H471" s="20"/>
      <c r="I471" s="20"/>
      <c r="J471" s="24"/>
      <c r="K471" s="24"/>
      <c r="L471" s="24"/>
      <c r="M471" s="24"/>
      <c r="N471" s="24"/>
      <c r="O471" s="24"/>
    </row>
    <row r="472">
      <c r="A472" s="16"/>
      <c r="B472" s="16"/>
      <c r="C472" s="16"/>
      <c r="D472" s="16"/>
      <c r="E472" s="16"/>
      <c r="F472" s="20"/>
      <c r="G472" s="20"/>
      <c r="H472" s="20"/>
      <c r="I472" s="20"/>
      <c r="J472" s="24"/>
      <c r="K472" s="24"/>
      <c r="L472" s="24"/>
      <c r="M472" s="24"/>
      <c r="N472" s="24"/>
      <c r="O472" s="24"/>
    </row>
    <row r="473">
      <c r="A473" s="16"/>
      <c r="B473" s="16"/>
      <c r="C473" s="16"/>
      <c r="D473" s="16"/>
      <c r="E473" s="16"/>
      <c r="F473" s="20"/>
      <c r="G473" s="20"/>
      <c r="H473" s="20"/>
      <c r="I473" s="20"/>
      <c r="J473" s="24"/>
      <c r="K473" s="24"/>
      <c r="L473" s="24"/>
      <c r="M473" s="24"/>
      <c r="N473" s="24"/>
      <c r="O473" s="24"/>
    </row>
    <row r="474">
      <c r="A474" s="16"/>
      <c r="B474" s="16"/>
      <c r="C474" s="16"/>
      <c r="D474" s="16"/>
      <c r="E474" s="16"/>
      <c r="F474" s="20"/>
      <c r="G474" s="20"/>
      <c r="H474" s="20"/>
      <c r="I474" s="20"/>
      <c r="J474" s="24"/>
      <c r="K474" s="24"/>
      <c r="L474" s="24"/>
      <c r="M474" s="24"/>
      <c r="N474" s="24"/>
      <c r="O474" s="24"/>
    </row>
    <row r="475">
      <c r="A475" s="16"/>
      <c r="B475" s="16"/>
      <c r="C475" s="16"/>
      <c r="D475" s="16"/>
      <c r="E475" s="16"/>
      <c r="F475" s="20"/>
      <c r="G475" s="20"/>
      <c r="H475" s="20"/>
      <c r="I475" s="20"/>
      <c r="J475" s="24"/>
      <c r="K475" s="24"/>
      <c r="L475" s="24"/>
      <c r="M475" s="24"/>
      <c r="N475" s="24"/>
      <c r="O475" s="24"/>
    </row>
    <row r="476">
      <c r="A476" s="16"/>
      <c r="B476" s="16"/>
      <c r="C476" s="16"/>
      <c r="D476" s="16"/>
      <c r="E476" s="16"/>
      <c r="F476" s="20"/>
      <c r="G476" s="20"/>
      <c r="H476" s="20"/>
      <c r="I476" s="20"/>
      <c r="J476" s="24"/>
      <c r="K476" s="24"/>
      <c r="L476" s="24"/>
      <c r="M476" s="24"/>
      <c r="N476" s="24"/>
      <c r="O476" s="24"/>
    </row>
    <row r="477">
      <c r="A477" s="16"/>
      <c r="B477" s="16"/>
      <c r="C477" s="16"/>
      <c r="D477" s="16"/>
      <c r="E477" s="16"/>
      <c r="F477" s="20"/>
      <c r="G477" s="20"/>
      <c r="H477" s="20"/>
      <c r="I477" s="20"/>
      <c r="J477" s="24"/>
      <c r="K477" s="24"/>
      <c r="L477" s="24"/>
      <c r="M477" s="24"/>
      <c r="N477" s="24"/>
      <c r="O477" s="24"/>
    </row>
    <row r="478">
      <c r="A478" s="16"/>
      <c r="B478" s="16"/>
      <c r="C478" s="16"/>
      <c r="D478" s="16"/>
      <c r="E478" s="16"/>
      <c r="F478" s="20"/>
      <c r="G478" s="20"/>
      <c r="H478" s="20"/>
      <c r="I478" s="20"/>
      <c r="J478" s="24"/>
      <c r="K478" s="24"/>
      <c r="L478" s="24"/>
      <c r="M478" s="24"/>
      <c r="N478" s="24"/>
      <c r="O478" s="24"/>
    </row>
    <row r="479">
      <c r="A479" s="16"/>
      <c r="B479" s="16"/>
      <c r="C479" s="16"/>
      <c r="D479" s="16"/>
      <c r="E479" s="16"/>
      <c r="F479" s="20"/>
      <c r="G479" s="20"/>
      <c r="H479" s="20"/>
      <c r="I479" s="20"/>
      <c r="J479" s="24"/>
      <c r="K479" s="24"/>
      <c r="L479" s="24"/>
      <c r="M479" s="24"/>
      <c r="N479" s="24"/>
      <c r="O479" s="24"/>
    </row>
    <row r="480">
      <c r="A480" s="16"/>
      <c r="B480" s="16"/>
      <c r="C480" s="16"/>
      <c r="D480" s="16"/>
      <c r="E480" s="16"/>
      <c r="F480" s="20"/>
      <c r="G480" s="20"/>
      <c r="H480" s="20"/>
      <c r="I480" s="20"/>
      <c r="J480" s="24"/>
      <c r="K480" s="24"/>
      <c r="L480" s="24"/>
      <c r="M480" s="24"/>
      <c r="N480" s="24"/>
      <c r="O480" s="24"/>
    </row>
    <row r="481">
      <c r="A481" s="16"/>
      <c r="B481" s="16"/>
      <c r="C481" s="16"/>
      <c r="D481" s="16"/>
      <c r="E481" s="16"/>
      <c r="F481" s="20"/>
      <c r="G481" s="20"/>
      <c r="H481" s="20"/>
      <c r="I481" s="20"/>
      <c r="J481" s="24"/>
      <c r="K481" s="24"/>
      <c r="L481" s="24"/>
      <c r="M481" s="24"/>
      <c r="N481" s="24"/>
      <c r="O481" s="24"/>
    </row>
    <row r="482">
      <c r="A482" s="16"/>
      <c r="B482" s="16"/>
      <c r="C482" s="16"/>
      <c r="D482" s="16"/>
      <c r="E482" s="16"/>
      <c r="F482" s="20"/>
      <c r="G482" s="20"/>
      <c r="H482" s="20"/>
      <c r="I482" s="20"/>
      <c r="J482" s="24"/>
      <c r="K482" s="24"/>
      <c r="L482" s="24"/>
      <c r="M482" s="24"/>
      <c r="N482" s="24"/>
      <c r="O482" s="24"/>
    </row>
    <row r="483">
      <c r="A483" s="16"/>
      <c r="B483" s="16"/>
      <c r="C483" s="16"/>
      <c r="D483" s="16"/>
      <c r="E483" s="16"/>
      <c r="F483" s="20"/>
      <c r="G483" s="20"/>
      <c r="H483" s="20"/>
      <c r="I483" s="20"/>
      <c r="J483" s="24"/>
      <c r="K483" s="24"/>
      <c r="L483" s="24"/>
      <c r="M483" s="24"/>
      <c r="N483" s="24"/>
      <c r="O483" s="24"/>
    </row>
    <row r="484">
      <c r="A484" s="16"/>
      <c r="B484" s="16"/>
      <c r="C484" s="16"/>
      <c r="D484" s="16"/>
      <c r="E484" s="16"/>
      <c r="F484" s="20"/>
      <c r="G484" s="20"/>
      <c r="H484" s="20"/>
      <c r="I484" s="20"/>
      <c r="J484" s="24"/>
      <c r="K484" s="24"/>
      <c r="L484" s="24"/>
      <c r="M484" s="24"/>
      <c r="N484" s="24"/>
      <c r="O484" s="24"/>
    </row>
    <row r="485">
      <c r="A485" s="16"/>
      <c r="B485" s="16"/>
      <c r="C485" s="16"/>
      <c r="D485" s="16"/>
      <c r="E485" s="16"/>
      <c r="F485" s="20"/>
      <c r="G485" s="20"/>
      <c r="H485" s="20"/>
      <c r="I485" s="20"/>
      <c r="J485" s="24"/>
      <c r="K485" s="24"/>
      <c r="L485" s="24"/>
      <c r="M485" s="24"/>
      <c r="N485" s="24"/>
      <c r="O485" s="24"/>
    </row>
    <row r="486">
      <c r="A486" s="16"/>
      <c r="B486" s="16"/>
      <c r="C486" s="16"/>
      <c r="D486" s="16"/>
      <c r="E486" s="16"/>
      <c r="F486" s="20"/>
      <c r="G486" s="20"/>
      <c r="H486" s="20"/>
      <c r="I486" s="20"/>
      <c r="J486" s="24"/>
      <c r="K486" s="24"/>
      <c r="L486" s="24"/>
      <c r="M486" s="24"/>
      <c r="N486" s="24"/>
      <c r="O486" s="24"/>
    </row>
    <row r="487">
      <c r="A487" s="16"/>
      <c r="B487" s="16"/>
      <c r="C487" s="16"/>
      <c r="D487" s="16"/>
      <c r="E487" s="16"/>
      <c r="F487" s="20"/>
      <c r="G487" s="20"/>
      <c r="H487" s="20"/>
      <c r="I487" s="20"/>
      <c r="J487" s="24"/>
      <c r="K487" s="24"/>
      <c r="L487" s="24"/>
      <c r="M487" s="24"/>
      <c r="N487" s="24"/>
      <c r="O487" s="24"/>
    </row>
    <row r="488">
      <c r="A488" s="16"/>
      <c r="B488" s="16"/>
      <c r="C488" s="16"/>
      <c r="D488" s="16"/>
      <c r="E488" s="16"/>
      <c r="F488" s="20"/>
      <c r="G488" s="20"/>
      <c r="H488" s="20"/>
      <c r="I488" s="20"/>
      <c r="J488" s="24"/>
      <c r="K488" s="24"/>
      <c r="L488" s="24"/>
      <c r="M488" s="24"/>
      <c r="N488" s="24"/>
      <c r="O488" s="24"/>
    </row>
    <row r="489">
      <c r="A489" s="16"/>
      <c r="B489" s="16"/>
      <c r="C489" s="16"/>
      <c r="D489" s="16"/>
      <c r="E489" s="16"/>
      <c r="F489" s="20"/>
      <c r="G489" s="20"/>
      <c r="H489" s="20"/>
      <c r="I489" s="20"/>
      <c r="J489" s="24"/>
      <c r="K489" s="24"/>
      <c r="L489" s="24"/>
      <c r="M489" s="24"/>
      <c r="N489" s="24"/>
      <c r="O489" s="24"/>
    </row>
    <row r="490">
      <c r="A490" s="16"/>
      <c r="B490" s="16"/>
      <c r="C490" s="16"/>
      <c r="D490" s="16"/>
      <c r="E490" s="16"/>
      <c r="F490" s="20"/>
      <c r="G490" s="20"/>
      <c r="H490" s="20"/>
      <c r="I490" s="20"/>
      <c r="J490" s="24"/>
      <c r="K490" s="24"/>
      <c r="L490" s="24"/>
      <c r="M490" s="24"/>
      <c r="N490" s="24"/>
      <c r="O490" s="24"/>
    </row>
    <row r="491">
      <c r="A491" s="16"/>
      <c r="B491" s="16"/>
      <c r="C491" s="16"/>
      <c r="D491" s="16"/>
      <c r="E491" s="16"/>
      <c r="F491" s="20"/>
      <c r="G491" s="20"/>
      <c r="H491" s="20"/>
      <c r="I491" s="20"/>
      <c r="J491" s="24"/>
      <c r="K491" s="24"/>
      <c r="L491" s="24"/>
      <c r="M491" s="24"/>
      <c r="N491" s="24"/>
      <c r="O491" s="24"/>
    </row>
    <row r="492">
      <c r="A492" s="16"/>
      <c r="B492" s="16"/>
      <c r="C492" s="16"/>
      <c r="D492" s="16"/>
      <c r="E492" s="16"/>
      <c r="F492" s="20"/>
      <c r="G492" s="20"/>
      <c r="H492" s="20"/>
      <c r="I492" s="20"/>
      <c r="J492" s="24"/>
      <c r="K492" s="24"/>
      <c r="L492" s="24"/>
      <c r="M492" s="24"/>
      <c r="N492" s="24"/>
      <c r="O492" s="24"/>
    </row>
    <row r="493">
      <c r="A493" s="16"/>
      <c r="B493" s="16"/>
      <c r="C493" s="16"/>
      <c r="D493" s="16"/>
      <c r="E493" s="16"/>
      <c r="F493" s="20"/>
      <c r="G493" s="20"/>
      <c r="H493" s="20"/>
      <c r="I493" s="20"/>
      <c r="J493" s="24"/>
      <c r="K493" s="24"/>
      <c r="L493" s="24"/>
      <c r="M493" s="24"/>
      <c r="N493" s="24"/>
      <c r="O493" s="24"/>
    </row>
    <row r="494">
      <c r="A494" s="16"/>
      <c r="B494" s="16"/>
      <c r="C494" s="16"/>
      <c r="D494" s="16"/>
      <c r="E494" s="16"/>
      <c r="F494" s="20"/>
      <c r="G494" s="20"/>
      <c r="H494" s="20"/>
      <c r="I494" s="20"/>
      <c r="J494" s="24"/>
      <c r="K494" s="24"/>
      <c r="L494" s="24"/>
      <c r="M494" s="24"/>
      <c r="N494" s="24"/>
      <c r="O494" s="24"/>
    </row>
    <row r="495">
      <c r="A495" s="16"/>
      <c r="B495" s="16"/>
      <c r="C495" s="16"/>
      <c r="D495" s="16"/>
      <c r="E495" s="16"/>
      <c r="F495" s="20"/>
      <c r="G495" s="20"/>
      <c r="H495" s="20"/>
      <c r="I495" s="20"/>
      <c r="J495" s="24"/>
      <c r="K495" s="24"/>
      <c r="L495" s="24"/>
      <c r="M495" s="24"/>
      <c r="N495" s="24"/>
      <c r="O495" s="24"/>
    </row>
    <row r="496">
      <c r="A496" s="16"/>
      <c r="B496" s="16"/>
      <c r="C496" s="16"/>
      <c r="D496" s="16"/>
      <c r="E496" s="16"/>
      <c r="F496" s="20"/>
      <c r="G496" s="20"/>
      <c r="H496" s="20"/>
      <c r="I496" s="20"/>
      <c r="J496" s="24"/>
      <c r="K496" s="24"/>
      <c r="L496" s="24"/>
      <c r="M496" s="24"/>
      <c r="N496" s="24"/>
      <c r="O496" s="24"/>
    </row>
    <row r="497">
      <c r="A497" s="16"/>
      <c r="B497" s="16"/>
      <c r="C497" s="16"/>
      <c r="D497" s="16"/>
      <c r="E497" s="16"/>
      <c r="F497" s="20"/>
      <c r="G497" s="20"/>
      <c r="H497" s="20"/>
      <c r="I497" s="20"/>
      <c r="J497" s="24"/>
      <c r="K497" s="24"/>
      <c r="L497" s="24"/>
      <c r="M497" s="24"/>
      <c r="N497" s="24"/>
      <c r="O497" s="24"/>
    </row>
    <row r="498">
      <c r="A498" s="16"/>
      <c r="B498" s="16"/>
      <c r="C498" s="16"/>
      <c r="D498" s="16"/>
      <c r="E498" s="16"/>
      <c r="F498" s="20"/>
      <c r="G498" s="20"/>
      <c r="H498" s="20"/>
      <c r="I498" s="20"/>
      <c r="J498" s="24"/>
      <c r="K498" s="24"/>
      <c r="L498" s="24"/>
      <c r="M498" s="24"/>
      <c r="N498" s="24"/>
      <c r="O498" s="24"/>
    </row>
    <row r="499">
      <c r="A499" s="16"/>
      <c r="B499" s="16"/>
      <c r="C499" s="16"/>
      <c r="D499" s="16"/>
      <c r="E499" s="16"/>
      <c r="F499" s="20"/>
      <c r="G499" s="20"/>
      <c r="H499" s="20"/>
      <c r="I499" s="20"/>
      <c r="J499" s="24"/>
      <c r="K499" s="24"/>
      <c r="L499" s="24"/>
      <c r="M499" s="24"/>
      <c r="N499" s="24"/>
      <c r="O499" s="24"/>
    </row>
    <row r="500">
      <c r="A500" s="16"/>
      <c r="B500" s="16"/>
      <c r="C500" s="16"/>
      <c r="D500" s="16"/>
      <c r="E500" s="16"/>
      <c r="F500" s="20"/>
      <c r="G500" s="20"/>
      <c r="H500" s="20"/>
      <c r="I500" s="20"/>
      <c r="J500" s="24"/>
      <c r="K500" s="24"/>
      <c r="L500" s="24"/>
      <c r="M500" s="24"/>
      <c r="N500" s="24"/>
      <c r="O500" s="24"/>
    </row>
    <row r="501">
      <c r="A501" s="16"/>
      <c r="B501" s="16"/>
      <c r="C501" s="16"/>
      <c r="D501" s="16"/>
      <c r="E501" s="16"/>
      <c r="F501" s="20"/>
      <c r="G501" s="20"/>
      <c r="H501" s="20"/>
      <c r="I501" s="20"/>
      <c r="J501" s="24"/>
      <c r="K501" s="24"/>
      <c r="L501" s="24"/>
      <c r="M501" s="24"/>
      <c r="N501" s="24"/>
      <c r="O501" s="24"/>
    </row>
    <row r="502">
      <c r="A502" s="16"/>
      <c r="B502" s="16"/>
      <c r="C502" s="16"/>
      <c r="D502" s="16"/>
      <c r="E502" s="16"/>
      <c r="F502" s="20"/>
      <c r="G502" s="20"/>
      <c r="H502" s="20"/>
      <c r="I502" s="20"/>
      <c r="J502" s="24"/>
      <c r="K502" s="24"/>
      <c r="L502" s="24"/>
      <c r="M502" s="24"/>
      <c r="N502" s="24"/>
      <c r="O502" s="24"/>
    </row>
    <row r="503">
      <c r="A503" s="16"/>
      <c r="B503" s="16"/>
      <c r="C503" s="16"/>
      <c r="D503" s="16"/>
      <c r="E503" s="16"/>
      <c r="F503" s="20"/>
      <c r="G503" s="20"/>
      <c r="H503" s="20"/>
      <c r="I503" s="20"/>
      <c r="J503" s="24"/>
      <c r="K503" s="24"/>
      <c r="L503" s="24"/>
      <c r="M503" s="24"/>
      <c r="N503" s="24"/>
      <c r="O503" s="24"/>
    </row>
    <row r="504">
      <c r="A504" s="16"/>
      <c r="B504" s="16"/>
      <c r="C504" s="16"/>
      <c r="D504" s="16"/>
      <c r="E504" s="16"/>
      <c r="F504" s="20"/>
      <c r="G504" s="20"/>
      <c r="H504" s="20"/>
      <c r="I504" s="20"/>
      <c r="J504" s="24"/>
      <c r="K504" s="24"/>
      <c r="L504" s="24"/>
      <c r="M504" s="24"/>
      <c r="N504" s="24"/>
      <c r="O504" s="24"/>
    </row>
    <row r="505">
      <c r="A505" s="16"/>
      <c r="B505" s="16"/>
      <c r="C505" s="16"/>
      <c r="D505" s="16"/>
      <c r="E505" s="16"/>
      <c r="F505" s="20"/>
      <c r="G505" s="20"/>
      <c r="H505" s="20"/>
      <c r="I505" s="20"/>
      <c r="J505" s="24"/>
      <c r="K505" s="24"/>
      <c r="L505" s="24"/>
      <c r="M505" s="24"/>
      <c r="N505" s="24"/>
      <c r="O505" s="24"/>
    </row>
    <row r="506">
      <c r="A506" s="16"/>
      <c r="B506" s="16"/>
      <c r="C506" s="16"/>
      <c r="D506" s="16"/>
      <c r="E506" s="16"/>
      <c r="F506" s="20"/>
      <c r="G506" s="20"/>
      <c r="H506" s="20"/>
      <c r="I506" s="20"/>
      <c r="J506" s="24"/>
      <c r="K506" s="24"/>
      <c r="L506" s="24"/>
      <c r="M506" s="24"/>
      <c r="N506" s="24"/>
      <c r="O506" s="24"/>
    </row>
    <row r="507">
      <c r="A507" s="16"/>
      <c r="B507" s="16"/>
      <c r="C507" s="16"/>
      <c r="D507" s="16"/>
      <c r="E507" s="16"/>
      <c r="F507" s="20"/>
      <c r="G507" s="20"/>
      <c r="H507" s="20"/>
      <c r="I507" s="20"/>
      <c r="J507" s="24"/>
      <c r="K507" s="24"/>
      <c r="L507" s="24"/>
      <c r="M507" s="24"/>
      <c r="N507" s="24"/>
      <c r="O507" s="24"/>
    </row>
    <row r="508">
      <c r="A508" s="16"/>
      <c r="B508" s="16"/>
      <c r="C508" s="16"/>
      <c r="D508" s="16"/>
      <c r="E508" s="16"/>
      <c r="F508" s="20"/>
      <c r="G508" s="20"/>
      <c r="H508" s="20"/>
      <c r="I508" s="20"/>
      <c r="J508" s="24"/>
      <c r="K508" s="24"/>
      <c r="L508" s="24"/>
      <c r="M508" s="24"/>
      <c r="N508" s="24"/>
      <c r="O508" s="24"/>
    </row>
    <row r="509">
      <c r="A509" s="16"/>
      <c r="B509" s="16"/>
      <c r="C509" s="16"/>
      <c r="D509" s="16"/>
      <c r="E509" s="16"/>
      <c r="F509" s="20"/>
      <c r="G509" s="20"/>
      <c r="H509" s="20"/>
      <c r="I509" s="20"/>
      <c r="J509" s="24"/>
      <c r="K509" s="24"/>
      <c r="L509" s="24"/>
      <c r="M509" s="24"/>
      <c r="N509" s="24"/>
      <c r="O509" s="24"/>
    </row>
    <row r="510">
      <c r="A510" s="16"/>
      <c r="B510" s="16"/>
      <c r="C510" s="16"/>
      <c r="D510" s="16"/>
      <c r="E510" s="16"/>
      <c r="F510" s="20"/>
      <c r="G510" s="20"/>
      <c r="H510" s="20"/>
      <c r="I510" s="20"/>
      <c r="J510" s="24"/>
      <c r="K510" s="24"/>
      <c r="L510" s="24"/>
      <c r="M510" s="24"/>
      <c r="N510" s="24"/>
      <c r="O510" s="24"/>
    </row>
    <row r="511">
      <c r="A511" s="16"/>
      <c r="B511" s="16"/>
      <c r="C511" s="16"/>
      <c r="D511" s="16"/>
      <c r="E511" s="16"/>
      <c r="F511" s="20"/>
      <c r="G511" s="20"/>
      <c r="H511" s="20"/>
      <c r="I511" s="20"/>
      <c r="J511" s="24"/>
      <c r="K511" s="24"/>
      <c r="L511" s="24"/>
      <c r="M511" s="24"/>
      <c r="N511" s="24"/>
      <c r="O511" s="24"/>
    </row>
    <row r="512">
      <c r="A512" s="16"/>
      <c r="B512" s="16"/>
      <c r="C512" s="16"/>
      <c r="D512" s="16"/>
      <c r="E512" s="16"/>
      <c r="F512" s="20"/>
      <c r="G512" s="20"/>
      <c r="H512" s="20"/>
      <c r="I512" s="20"/>
      <c r="J512" s="24"/>
      <c r="K512" s="24"/>
      <c r="L512" s="24"/>
      <c r="M512" s="24"/>
      <c r="N512" s="24"/>
      <c r="O512" s="24"/>
    </row>
    <row r="513">
      <c r="A513" s="16"/>
      <c r="B513" s="16"/>
      <c r="C513" s="16"/>
      <c r="D513" s="16"/>
      <c r="E513" s="16"/>
      <c r="F513" s="20"/>
      <c r="G513" s="20"/>
      <c r="H513" s="20"/>
      <c r="I513" s="20"/>
      <c r="J513" s="24"/>
      <c r="K513" s="24"/>
      <c r="L513" s="24"/>
      <c r="M513" s="24"/>
      <c r="N513" s="24"/>
      <c r="O513" s="24"/>
    </row>
    <row r="514">
      <c r="A514" s="16"/>
      <c r="B514" s="16"/>
      <c r="C514" s="16"/>
      <c r="D514" s="16"/>
      <c r="E514" s="16"/>
      <c r="F514" s="20"/>
      <c r="G514" s="20"/>
      <c r="H514" s="20"/>
      <c r="I514" s="20"/>
      <c r="J514" s="24"/>
      <c r="K514" s="24"/>
      <c r="L514" s="24"/>
      <c r="M514" s="24"/>
      <c r="N514" s="24"/>
      <c r="O514" s="24"/>
    </row>
    <row r="515">
      <c r="A515" s="16"/>
      <c r="B515" s="16"/>
      <c r="C515" s="16"/>
      <c r="D515" s="16"/>
      <c r="E515" s="16"/>
      <c r="F515" s="20"/>
      <c r="G515" s="20"/>
      <c r="H515" s="20"/>
      <c r="I515" s="20"/>
      <c r="J515" s="24"/>
      <c r="K515" s="24"/>
      <c r="L515" s="24"/>
      <c r="M515" s="24"/>
      <c r="N515" s="24"/>
      <c r="O515" s="24"/>
    </row>
    <row r="516">
      <c r="A516" s="16"/>
      <c r="B516" s="16"/>
      <c r="C516" s="16"/>
      <c r="D516" s="16"/>
      <c r="E516" s="16"/>
      <c r="F516" s="20"/>
      <c r="G516" s="20"/>
      <c r="H516" s="20"/>
      <c r="I516" s="20"/>
      <c r="J516" s="24"/>
      <c r="K516" s="24"/>
      <c r="L516" s="24"/>
      <c r="M516" s="24"/>
      <c r="N516" s="24"/>
      <c r="O516" s="24"/>
    </row>
    <row r="517">
      <c r="A517" s="16"/>
      <c r="B517" s="16"/>
      <c r="C517" s="16"/>
      <c r="D517" s="16"/>
      <c r="E517" s="16"/>
      <c r="F517" s="20"/>
      <c r="G517" s="20"/>
      <c r="H517" s="20"/>
      <c r="I517" s="20"/>
      <c r="J517" s="24"/>
      <c r="K517" s="24"/>
      <c r="L517" s="24"/>
      <c r="M517" s="24"/>
      <c r="N517" s="24"/>
      <c r="O517" s="24"/>
    </row>
    <row r="518">
      <c r="A518" s="16"/>
      <c r="B518" s="16"/>
      <c r="C518" s="16"/>
      <c r="D518" s="16"/>
      <c r="E518" s="16"/>
      <c r="F518" s="20"/>
      <c r="G518" s="20"/>
      <c r="H518" s="20"/>
      <c r="I518" s="20"/>
      <c r="J518" s="24"/>
      <c r="K518" s="24"/>
      <c r="L518" s="24"/>
      <c r="M518" s="24"/>
      <c r="N518" s="24"/>
      <c r="O518" s="24"/>
    </row>
    <row r="519">
      <c r="A519" s="16"/>
      <c r="B519" s="16"/>
      <c r="C519" s="16"/>
      <c r="D519" s="16"/>
      <c r="E519" s="16"/>
      <c r="F519" s="20"/>
      <c r="G519" s="20"/>
      <c r="H519" s="20"/>
      <c r="I519" s="20"/>
      <c r="J519" s="24"/>
      <c r="K519" s="24"/>
      <c r="L519" s="24"/>
      <c r="M519" s="24"/>
      <c r="N519" s="24"/>
      <c r="O519" s="24"/>
    </row>
    <row r="520">
      <c r="A520" s="16"/>
      <c r="B520" s="16"/>
      <c r="C520" s="16"/>
      <c r="D520" s="16"/>
      <c r="E520" s="16"/>
      <c r="F520" s="20"/>
      <c r="G520" s="20"/>
      <c r="H520" s="20"/>
      <c r="I520" s="20"/>
      <c r="J520" s="24"/>
      <c r="K520" s="24"/>
      <c r="L520" s="24"/>
      <c r="M520" s="24"/>
      <c r="N520" s="24"/>
      <c r="O520" s="24"/>
    </row>
    <row r="521">
      <c r="A521" s="16"/>
      <c r="B521" s="16"/>
      <c r="C521" s="16"/>
      <c r="D521" s="16"/>
      <c r="E521" s="16"/>
      <c r="F521" s="20"/>
      <c r="G521" s="20"/>
      <c r="H521" s="20"/>
      <c r="I521" s="20"/>
      <c r="J521" s="24"/>
      <c r="K521" s="24"/>
      <c r="L521" s="24"/>
      <c r="M521" s="24"/>
      <c r="N521" s="24"/>
      <c r="O521" s="24"/>
    </row>
    <row r="522">
      <c r="A522" s="16"/>
      <c r="B522" s="16"/>
      <c r="C522" s="16"/>
      <c r="D522" s="16"/>
      <c r="E522" s="16"/>
      <c r="F522" s="20"/>
      <c r="G522" s="20"/>
      <c r="H522" s="20"/>
      <c r="I522" s="20"/>
      <c r="J522" s="24"/>
      <c r="K522" s="24"/>
      <c r="L522" s="24"/>
      <c r="M522" s="24"/>
      <c r="N522" s="24"/>
      <c r="O522" s="24"/>
    </row>
    <row r="523">
      <c r="A523" s="16"/>
      <c r="B523" s="16"/>
      <c r="C523" s="16"/>
      <c r="D523" s="16"/>
      <c r="E523" s="16"/>
      <c r="F523" s="20"/>
      <c r="G523" s="20"/>
      <c r="H523" s="20"/>
      <c r="I523" s="20"/>
      <c r="J523" s="24"/>
      <c r="K523" s="24"/>
      <c r="L523" s="24"/>
      <c r="M523" s="24"/>
      <c r="N523" s="24"/>
      <c r="O523" s="24"/>
    </row>
    <row r="524">
      <c r="A524" s="16"/>
      <c r="B524" s="16"/>
      <c r="C524" s="16"/>
      <c r="D524" s="16"/>
      <c r="E524" s="16"/>
      <c r="F524" s="20"/>
      <c r="G524" s="20"/>
      <c r="H524" s="20"/>
      <c r="I524" s="20"/>
      <c r="J524" s="24"/>
      <c r="K524" s="24"/>
      <c r="L524" s="24"/>
      <c r="M524" s="24"/>
      <c r="N524" s="24"/>
      <c r="O524" s="24"/>
    </row>
    <row r="525">
      <c r="A525" s="16"/>
      <c r="B525" s="16"/>
      <c r="C525" s="16"/>
      <c r="D525" s="16"/>
      <c r="E525" s="16"/>
      <c r="F525" s="20"/>
      <c r="G525" s="20"/>
      <c r="H525" s="20"/>
      <c r="I525" s="20"/>
      <c r="J525" s="24"/>
      <c r="K525" s="24"/>
      <c r="L525" s="24"/>
      <c r="M525" s="24"/>
      <c r="N525" s="24"/>
      <c r="O525" s="24"/>
    </row>
    <row r="526">
      <c r="A526" s="16"/>
      <c r="B526" s="16"/>
      <c r="C526" s="16"/>
      <c r="D526" s="16"/>
      <c r="E526" s="16"/>
      <c r="F526" s="20"/>
      <c r="G526" s="20"/>
      <c r="H526" s="20"/>
      <c r="I526" s="20"/>
      <c r="J526" s="24"/>
      <c r="K526" s="24"/>
      <c r="L526" s="24"/>
      <c r="M526" s="24"/>
      <c r="N526" s="24"/>
      <c r="O526" s="24"/>
    </row>
    <row r="527">
      <c r="A527" s="16"/>
      <c r="B527" s="16"/>
      <c r="C527" s="16"/>
      <c r="D527" s="16"/>
      <c r="E527" s="16"/>
      <c r="F527" s="20"/>
      <c r="G527" s="20"/>
      <c r="H527" s="20"/>
      <c r="I527" s="20"/>
      <c r="J527" s="24"/>
      <c r="K527" s="24"/>
      <c r="L527" s="24"/>
      <c r="M527" s="24"/>
      <c r="N527" s="24"/>
      <c r="O527" s="24"/>
    </row>
    <row r="528">
      <c r="A528" s="16"/>
      <c r="B528" s="16"/>
      <c r="C528" s="16"/>
      <c r="D528" s="16"/>
      <c r="E528" s="16"/>
      <c r="F528" s="20"/>
      <c r="G528" s="20"/>
      <c r="H528" s="20"/>
      <c r="I528" s="20"/>
      <c r="J528" s="24"/>
      <c r="K528" s="24"/>
      <c r="L528" s="24"/>
      <c r="M528" s="24"/>
      <c r="N528" s="24"/>
      <c r="O528" s="24"/>
    </row>
    <row r="529">
      <c r="A529" s="16"/>
      <c r="B529" s="16"/>
      <c r="C529" s="16"/>
      <c r="D529" s="16"/>
      <c r="E529" s="16"/>
      <c r="F529" s="20"/>
      <c r="G529" s="20"/>
      <c r="H529" s="20"/>
      <c r="I529" s="20"/>
      <c r="J529" s="24"/>
      <c r="K529" s="24"/>
      <c r="L529" s="24"/>
      <c r="M529" s="24"/>
      <c r="N529" s="24"/>
      <c r="O529" s="24"/>
    </row>
    <row r="530">
      <c r="A530" s="16"/>
      <c r="B530" s="16"/>
      <c r="C530" s="16"/>
      <c r="D530" s="16"/>
      <c r="E530" s="16"/>
      <c r="F530" s="20"/>
      <c r="G530" s="20"/>
      <c r="H530" s="20"/>
      <c r="I530" s="20"/>
      <c r="J530" s="24"/>
      <c r="K530" s="24"/>
      <c r="L530" s="24"/>
      <c r="M530" s="24"/>
      <c r="N530" s="24"/>
      <c r="O530" s="24"/>
    </row>
    <row r="531">
      <c r="A531" s="16"/>
      <c r="B531" s="16"/>
      <c r="C531" s="16"/>
      <c r="D531" s="16"/>
      <c r="E531" s="16"/>
      <c r="F531" s="20"/>
      <c r="G531" s="20"/>
      <c r="H531" s="20"/>
      <c r="I531" s="20"/>
      <c r="J531" s="24"/>
      <c r="K531" s="24"/>
      <c r="L531" s="24"/>
      <c r="M531" s="24"/>
      <c r="N531" s="24"/>
      <c r="O531" s="24"/>
    </row>
    <row r="532">
      <c r="A532" s="16"/>
      <c r="B532" s="16"/>
      <c r="C532" s="16"/>
      <c r="D532" s="16"/>
      <c r="E532" s="16"/>
      <c r="F532" s="20"/>
      <c r="G532" s="20"/>
      <c r="H532" s="20"/>
      <c r="I532" s="20"/>
      <c r="J532" s="24"/>
      <c r="K532" s="24"/>
      <c r="L532" s="24"/>
      <c r="M532" s="24"/>
      <c r="N532" s="24"/>
      <c r="O532" s="24"/>
    </row>
    <row r="533">
      <c r="A533" s="16"/>
      <c r="B533" s="16"/>
      <c r="C533" s="16"/>
      <c r="D533" s="16"/>
      <c r="E533" s="16"/>
      <c r="F533" s="20"/>
      <c r="G533" s="20"/>
      <c r="H533" s="20"/>
      <c r="I533" s="20"/>
      <c r="J533" s="24"/>
      <c r="K533" s="24"/>
      <c r="L533" s="24"/>
      <c r="M533" s="24"/>
      <c r="N533" s="24"/>
      <c r="O533" s="24"/>
    </row>
    <row r="534">
      <c r="A534" s="16"/>
      <c r="B534" s="16"/>
      <c r="C534" s="16"/>
      <c r="D534" s="16"/>
      <c r="E534" s="16"/>
      <c r="F534" s="20"/>
      <c r="G534" s="20"/>
      <c r="H534" s="20"/>
      <c r="I534" s="20"/>
      <c r="J534" s="24"/>
      <c r="K534" s="24"/>
      <c r="L534" s="24"/>
      <c r="M534" s="24"/>
      <c r="N534" s="24"/>
      <c r="O534" s="24"/>
    </row>
    <row r="535">
      <c r="A535" s="16"/>
      <c r="B535" s="16"/>
      <c r="C535" s="16"/>
      <c r="D535" s="16"/>
      <c r="E535" s="16"/>
      <c r="F535" s="20"/>
      <c r="G535" s="20"/>
      <c r="H535" s="20"/>
      <c r="I535" s="20"/>
      <c r="J535" s="24"/>
      <c r="K535" s="24"/>
      <c r="L535" s="24"/>
      <c r="M535" s="24"/>
      <c r="N535" s="24"/>
      <c r="O535" s="24"/>
    </row>
    <row r="536">
      <c r="A536" s="16"/>
      <c r="B536" s="16"/>
      <c r="C536" s="16"/>
      <c r="D536" s="16"/>
      <c r="E536" s="16"/>
      <c r="F536" s="20"/>
      <c r="G536" s="20"/>
      <c r="H536" s="20"/>
      <c r="I536" s="20"/>
      <c r="J536" s="24"/>
      <c r="K536" s="24"/>
      <c r="L536" s="24"/>
      <c r="M536" s="24"/>
      <c r="N536" s="24"/>
      <c r="O536" s="24"/>
    </row>
    <row r="537">
      <c r="A537" s="16"/>
      <c r="B537" s="16"/>
      <c r="C537" s="16"/>
      <c r="D537" s="16"/>
      <c r="E537" s="16"/>
      <c r="F537" s="20"/>
      <c r="G537" s="20"/>
      <c r="H537" s="20"/>
      <c r="I537" s="20"/>
      <c r="J537" s="24"/>
      <c r="K537" s="24"/>
      <c r="L537" s="24"/>
      <c r="M537" s="24"/>
      <c r="N537" s="24"/>
      <c r="O537" s="24"/>
    </row>
    <row r="538">
      <c r="A538" s="16"/>
      <c r="B538" s="16"/>
      <c r="C538" s="16"/>
      <c r="D538" s="16"/>
      <c r="E538" s="16"/>
      <c r="F538" s="20"/>
      <c r="G538" s="20"/>
      <c r="H538" s="20"/>
      <c r="I538" s="20"/>
      <c r="J538" s="24"/>
      <c r="K538" s="24"/>
      <c r="L538" s="24"/>
      <c r="M538" s="24"/>
      <c r="N538" s="24"/>
      <c r="O538" s="24"/>
    </row>
    <row r="539">
      <c r="A539" s="16"/>
      <c r="B539" s="16"/>
      <c r="C539" s="16"/>
      <c r="D539" s="16"/>
      <c r="E539" s="16"/>
      <c r="F539" s="20"/>
      <c r="G539" s="20"/>
      <c r="H539" s="20"/>
      <c r="I539" s="20"/>
      <c r="J539" s="24"/>
      <c r="K539" s="24"/>
      <c r="L539" s="24"/>
      <c r="M539" s="24"/>
      <c r="N539" s="24"/>
      <c r="O539" s="24"/>
    </row>
    <row r="540">
      <c r="A540" s="16"/>
      <c r="B540" s="16"/>
      <c r="C540" s="16"/>
      <c r="D540" s="16"/>
      <c r="E540" s="16"/>
      <c r="F540" s="20"/>
      <c r="G540" s="20"/>
      <c r="H540" s="20"/>
      <c r="I540" s="20"/>
      <c r="J540" s="24"/>
      <c r="K540" s="24"/>
      <c r="L540" s="24"/>
      <c r="M540" s="24"/>
      <c r="N540" s="24"/>
      <c r="O540" s="24"/>
    </row>
    <row r="541">
      <c r="A541" s="16"/>
      <c r="B541" s="16"/>
      <c r="C541" s="16"/>
      <c r="D541" s="16"/>
      <c r="E541" s="16"/>
      <c r="F541" s="20"/>
      <c r="G541" s="20"/>
      <c r="H541" s="20"/>
      <c r="I541" s="20"/>
      <c r="J541" s="24"/>
      <c r="K541" s="24"/>
      <c r="L541" s="24"/>
      <c r="M541" s="24"/>
      <c r="N541" s="24"/>
      <c r="O541" s="24"/>
    </row>
    <row r="542">
      <c r="A542" s="16"/>
      <c r="B542" s="16"/>
      <c r="C542" s="16"/>
      <c r="D542" s="16"/>
      <c r="E542" s="16"/>
      <c r="F542" s="20"/>
      <c r="G542" s="20"/>
      <c r="H542" s="20"/>
      <c r="I542" s="20"/>
      <c r="J542" s="24"/>
      <c r="K542" s="24"/>
      <c r="L542" s="24"/>
      <c r="M542" s="24"/>
      <c r="N542" s="24"/>
      <c r="O542" s="24"/>
    </row>
    <row r="543">
      <c r="A543" s="16"/>
      <c r="B543" s="16"/>
      <c r="C543" s="16"/>
      <c r="D543" s="16"/>
      <c r="E543" s="16"/>
      <c r="F543" s="20"/>
      <c r="G543" s="20"/>
      <c r="H543" s="20"/>
      <c r="I543" s="20"/>
      <c r="J543" s="24"/>
      <c r="K543" s="24"/>
      <c r="L543" s="24"/>
      <c r="M543" s="24"/>
      <c r="N543" s="24"/>
      <c r="O543" s="24"/>
    </row>
    <row r="544">
      <c r="A544" s="16"/>
      <c r="B544" s="16"/>
      <c r="C544" s="16"/>
      <c r="D544" s="16"/>
      <c r="E544" s="16"/>
      <c r="F544" s="20"/>
      <c r="G544" s="20"/>
      <c r="H544" s="20"/>
      <c r="I544" s="20"/>
      <c r="J544" s="24"/>
      <c r="K544" s="24"/>
      <c r="L544" s="24"/>
      <c r="M544" s="24"/>
      <c r="N544" s="24"/>
      <c r="O544" s="24"/>
    </row>
    <row r="545">
      <c r="A545" s="16"/>
      <c r="B545" s="16"/>
      <c r="C545" s="16"/>
      <c r="D545" s="16"/>
      <c r="E545" s="16"/>
      <c r="F545" s="20"/>
      <c r="G545" s="20"/>
      <c r="H545" s="20"/>
      <c r="I545" s="20"/>
      <c r="J545" s="24"/>
      <c r="K545" s="24"/>
      <c r="L545" s="24"/>
      <c r="M545" s="24"/>
      <c r="N545" s="24"/>
      <c r="O545" s="24"/>
    </row>
    <row r="546">
      <c r="A546" s="16"/>
      <c r="B546" s="16"/>
      <c r="C546" s="16"/>
      <c r="D546" s="16"/>
      <c r="E546" s="16"/>
      <c r="F546" s="20"/>
      <c r="G546" s="20"/>
      <c r="H546" s="20"/>
      <c r="I546" s="20"/>
      <c r="J546" s="24"/>
      <c r="K546" s="24"/>
      <c r="L546" s="24"/>
      <c r="M546" s="24"/>
      <c r="N546" s="24"/>
      <c r="O546" s="24"/>
    </row>
    <row r="547">
      <c r="A547" s="16"/>
      <c r="B547" s="16"/>
      <c r="C547" s="16"/>
      <c r="D547" s="16"/>
      <c r="E547" s="16"/>
      <c r="F547" s="20"/>
      <c r="G547" s="20"/>
      <c r="H547" s="20"/>
      <c r="I547" s="20"/>
      <c r="J547" s="24"/>
      <c r="K547" s="24"/>
      <c r="L547" s="24"/>
      <c r="M547" s="24"/>
      <c r="N547" s="24"/>
      <c r="O547" s="24"/>
    </row>
    <row r="548">
      <c r="A548" s="16"/>
      <c r="B548" s="16"/>
      <c r="C548" s="16"/>
      <c r="D548" s="16"/>
      <c r="E548" s="16"/>
      <c r="F548" s="20"/>
      <c r="G548" s="20"/>
      <c r="H548" s="20"/>
      <c r="I548" s="20"/>
      <c r="J548" s="24"/>
      <c r="K548" s="24"/>
      <c r="L548" s="24"/>
      <c r="M548" s="24"/>
      <c r="N548" s="24"/>
      <c r="O548" s="24"/>
    </row>
    <row r="549">
      <c r="A549" s="16"/>
      <c r="B549" s="16"/>
      <c r="C549" s="16"/>
      <c r="D549" s="16"/>
      <c r="E549" s="16"/>
      <c r="F549" s="20"/>
      <c r="G549" s="20"/>
      <c r="H549" s="20"/>
      <c r="I549" s="20"/>
      <c r="J549" s="24"/>
      <c r="K549" s="24"/>
      <c r="L549" s="24"/>
      <c r="M549" s="24"/>
      <c r="N549" s="24"/>
      <c r="O549" s="24"/>
    </row>
    <row r="550">
      <c r="A550" s="16"/>
      <c r="B550" s="16"/>
      <c r="C550" s="16"/>
      <c r="D550" s="16"/>
      <c r="E550" s="16"/>
      <c r="F550" s="20"/>
      <c r="G550" s="20"/>
      <c r="H550" s="20"/>
      <c r="I550" s="20"/>
      <c r="J550" s="24"/>
      <c r="K550" s="24"/>
      <c r="L550" s="24"/>
      <c r="M550" s="24"/>
      <c r="N550" s="24"/>
      <c r="O550" s="24"/>
    </row>
    <row r="551">
      <c r="A551" s="16"/>
      <c r="B551" s="16"/>
      <c r="C551" s="16"/>
      <c r="D551" s="16"/>
      <c r="E551" s="16"/>
      <c r="F551" s="20"/>
      <c r="G551" s="20"/>
      <c r="H551" s="20"/>
      <c r="I551" s="20"/>
      <c r="J551" s="24"/>
      <c r="K551" s="24"/>
      <c r="L551" s="24"/>
      <c r="M551" s="24"/>
      <c r="N551" s="24"/>
      <c r="O551" s="24"/>
    </row>
    <row r="552">
      <c r="A552" s="16"/>
      <c r="B552" s="16"/>
      <c r="C552" s="16"/>
      <c r="D552" s="16"/>
      <c r="E552" s="16"/>
      <c r="F552" s="20"/>
      <c r="G552" s="20"/>
      <c r="H552" s="20"/>
      <c r="I552" s="20"/>
      <c r="J552" s="24"/>
      <c r="K552" s="24"/>
      <c r="L552" s="24"/>
      <c r="M552" s="24"/>
      <c r="N552" s="24"/>
      <c r="O552" s="24"/>
    </row>
    <row r="553">
      <c r="A553" s="16"/>
      <c r="B553" s="16"/>
      <c r="C553" s="16"/>
      <c r="D553" s="16"/>
      <c r="E553" s="16"/>
      <c r="F553" s="20"/>
      <c r="G553" s="20"/>
      <c r="H553" s="20"/>
      <c r="I553" s="20"/>
      <c r="J553" s="24"/>
      <c r="K553" s="24"/>
      <c r="L553" s="24"/>
      <c r="M553" s="24"/>
      <c r="N553" s="24"/>
      <c r="O553" s="24"/>
    </row>
    <row r="554">
      <c r="A554" s="16"/>
      <c r="B554" s="16"/>
      <c r="C554" s="16"/>
      <c r="D554" s="16"/>
      <c r="E554" s="16"/>
      <c r="F554" s="20"/>
      <c r="G554" s="20"/>
      <c r="H554" s="20"/>
      <c r="I554" s="20"/>
      <c r="J554" s="24"/>
      <c r="K554" s="24"/>
      <c r="L554" s="24"/>
      <c r="M554" s="24"/>
      <c r="N554" s="24"/>
      <c r="O554" s="24"/>
    </row>
    <row r="555">
      <c r="A555" s="16"/>
      <c r="B555" s="16"/>
      <c r="C555" s="16"/>
      <c r="D555" s="16"/>
      <c r="E555" s="16"/>
      <c r="F555" s="20"/>
      <c r="G555" s="20"/>
      <c r="H555" s="20"/>
      <c r="I555" s="20"/>
      <c r="J555" s="24"/>
      <c r="K555" s="24"/>
      <c r="L555" s="24"/>
      <c r="M555" s="24"/>
      <c r="N555" s="24"/>
      <c r="O555" s="24"/>
    </row>
    <row r="556">
      <c r="A556" s="16"/>
      <c r="B556" s="16"/>
      <c r="C556" s="16"/>
      <c r="D556" s="16"/>
      <c r="E556" s="16"/>
      <c r="F556" s="20"/>
      <c r="G556" s="20"/>
      <c r="H556" s="20"/>
      <c r="I556" s="20"/>
      <c r="J556" s="24"/>
      <c r="K556" s="24"/>
      <c r="L556" s="24"/>
      <c r="M556" s="24"/>
      <c r="N556" s="24"/>
      <c r="O556" s="24"/>
    </row>
    <row r="557">
      <c r="A557" s="16"/>
      <c r="B557" s="16"/>
      <c r="C557" s="16"/>
      <c r="D557" s="16"/>
      <c r="E557" s="16"/>
      <c r="F557" s="20"/>
      <c r="G557" s="20"/>
      <c r="H557" s="20"/>
      <c r="I557" s="20"/>
      <c r="J557" s="24"/>
      <c r="K557" s="24"/>
      <c r="L557" s="24"/>
      <c r="M557" s="24"/>
      <c r="N557" s="24"/>
      <c r="O557" s="24"/>
    </row>
    <row r="558">
      <c r="A558" s="16"/>
      <c r="B558" s="16"/>
      <c r="C558" s="16"/>
      <c r="D558" s="16"/>
      <c r="E558" s="16"/>
      <c r="F558" s="20"/>
      <c r="G558" s="20"/>
      <c r="H558" s="20"/>
      <c r="I558" s="20"/>
      <c r="J558" s="24"/>
      <c r="K558" s="24"/>
      <c r="L558" s="24"/>
      <c r="M558" s="24"/>
      <c r="N558" s="24"/>
      <c r="O558" s="24"/>
    </row>
    <row r="559">
      <c r="A559" s="16"/>
      <c r="B559" s="16"/>
      <c r="C559" s="16"/>
      <c r="D559" s="16"/>
      <c r="E559" s="16"/>
      <c r="F559" s="20"/>
      <c r="G559" s="20"/>
      <c r="H559" s="20"/>
      <c r="I559" s="20"/>
      <c r="J559" s="24"/>
      <c r="K559" s="24"/>
      <c r="L559" s="24"/>
      <c r="M559" s="24"/>
      <c r="N559" s="24"/>
      <c r="O559" s="24"/>
    </row>
    <row r="560">
      <c r="A560" s="16"/>
      <c r="B560" s="16"/>
      <c r="C560" s="16"/>
      <c r="D560" s="16"/>
      <c r="E560" s="16"/>
      <c r="F560" s="20"/>
      <c r="G560" s="20"/>
      <c r="H560" s="20"/>
      <c r="I560" s="20"/>
      <c r="J560" s="24"/>
      <c r="K560" s="24"/>
      <c r="L560" s="24"/>
      <c r="M560" s="24"/>
      <c r="N560" s="24"/>
      <c r="O560" s="24"/>
    </row>
    <row r="561">
      <c r="A561" s="16"/>
      <c r="B561" s="16"/>
      <c r="C561" s="16"/>
      <c r="D561" s="16"/>
      <c r="E561" s="16"/>
      <c r="F561" s="20"/>
      <c r="G561" s="20"/>
      <c r="H561" s="20"/>
      <c r="I561" s="20"/>
      <c r="J561" s="24"/>
      <c r="K561" s="24"/>
      <c r="L561" s="24"/>
      <c r="M561" s="24"/>
      <c r="N561" s="24"/>
      <c r="O561" s="24"/>
    </row>
    <row r="562">
      <c r="A562" s="16"/>
      <c r="B562" s="16"/>
      <c r="C562" s="16"/>
      <c r="D562" s="16"/>
      <c r="E562" s="16"/>
      <c r="F562" s="20"/>
      <c r="G562" s="20"/>
      <c r="H562" s="20"/>
      <c r="I562" s="20"/>
      <c r="J562" s="24"/>
      <c r="K562" s="24"/>
      <c r="L562" s="24"/>
      <c r="M562" s="24"/>
      <c r="N562" s="24"/>
      <c r="O562" s="24"/>
    </row>
    <row r="563">
      <c r="A563" s="16"/>
      <c r="B563" s="16"/>
      <c r="C563" s="16"/>
      <c r="D563" s="16"/>
      <c r="E563" s="16"/>
      <c r="F563" s="20"/>
      <c r="G563" s="20"/>
      <c r="H563" s="20"/>
      <c r="I563" s="20"/>
      <c r="J563" s="24"/>
      <c r="K563" s="24"/>
      <c r="L563" s="24"/>
      <c r="M563" s="24"/>
      <c r="N563" s="24"/>
      <c r="O563" s="24"/>
    </row>
    <row r="564">
      <c r="A564" s="16"/>
      <c r="B564" s="16"/>
      <c r="C564" s="16"/>
      <c r="D564" s="16"/>
      <c r="E564" s="16"/>
      <c r="F564" s="20"/>
      <c r="G564" s="20"/>
      <c r="H564" s="20"/>
      <c r="I564" s="20"/>
      <c r="J564" s="24"/>
      <c r="K564" s="24"/>
      <c r="L564" s="24"/>
      <c r="M564" s="24"/>
      <c r="N564" s="24"/>
      <c r="O564" s="24"/>
    </row>
    <row r="565">
      <c r="A565" s="16"/>
      <c r="B565" s="16"/>
      <c r="C565" s="16"/>
      <c r="D565" s="16"/>
      <c r="E565" s="16"/>
      <c r="F565" s="20"/>
      <c r="G565" s="20"/>
      <c r="H565" s="20"/>
      <c r="I565" s="20"/>
      <c r="J565" s="24"/>
      <c r="K565" s="24"/>
      <c r="L565" s="24"/>
      <c r="M565" s="24"/>
      <c r="N565" s="24"/>
      <c r="O565" s="24"/>
    </row>
    <row r="566">
      <c r="A566" s="16"/>
      <c r="B566" s="16"/>
      <c r="C566" s="16"/>
      <c r="D566" s="16"/>
      <c r="E566" s="16"/>
      <c r="F566" s="20"/>
      <c r="G566" s="20"/>
      <c r="H566" s="20"/>
      <c r="I566" s="20"/>
      <c r="J566" s="24"/>
      <c r="K566" s="24"/>
      <c r="L566" s="24"/>
      <c r="M566" s="24"/>
      <c r="N566" s="24"/>
      <c r="O566" s="24"/>
    </row>
    <row r="567">
      <c r="A567" s="16"/>
      <c r="B567" s="16"/>
      <c r="C567" s="16"/>
      <c r="D567" s="16"/>
      <c r="E567" s="16"/>
      <c r="F567" s="20"/>
      <c r="G567" s="20"/>
      <c r="H567" s="20"/>
      <c r="I567" s="20"/>
      <c r="J567" s="24"/>
      <c r="K567" s="24"/>
      <c r="L567" s="24"/>
      <c r="M567" s="24"/>
      <c r="N567" s="24"/>
      <c r="O567" s="24"/>
    </row>
    <row r="568">
      <c r="A568" s="16"/>
      <c r="B568" s="16"/>
      <c r="C568" s="16"/>
      <c r="D568" s="16"/>
      <c r="E568" s="16"/>
      <c r="F568" s="20"/>
      <c r="G568" s="20"/>
      <c r="H568" s="20"/>
      <c r="I568" s="20"/>
      <c r="J568" s="24"/>
      <c r="K568" s="24"/>
      <c r="L568" s="24"/>
      <c r="M568" s="24"/>
      <c r="N568" s="24"/>
      <c r="O568" s="24"/>
    </row>
    <row r="569">
      <c r="A569" s="16"/>
      <c r="B569" s="16"/>
      <c r="C569" s="16"/>
      <c r="D569" s="16"/>
      <c r="E569" s="16"/>
      <c r="F569" s="20"/>
      <c r="G569" s="20"/>
      <c r="H569" s="20"/>
      <c r="I569" s="20"/>
      <c r="J569" s="24"/>
      <c r="K569" s="24"/>
      <c r="L569" s="24"/>
      <c r="M569" s="24"/>
      <c r="N569" s="24"/>
      <c r="O569" s="24"/>
    </row>
    <row r="570">
      <c r="A570" s="16"/>
      <c r="B570" s="16"/>
      <c r="C570" s="16"/>
      <c r="D570" s="16"/>
      <c r="E570" s="16"/>
      <c r="F570" s="20"/>
      <c r="G570" s="20"/>
      <c r="H570" s="20"/>
      <c r="I570" s="20"/>
      <c r="J570" s="24"/>
      <c r="K570" s="24"/>
      <c r="L570" s="24"/>
      <c r="M570" s="24"/>
      <c r="N570" s="24"/>
      <c r="O570" s="24"/>
    </row>
    <row r="571">
      <c r="A571" s="16"/>
      <c r="B571" s="16"/>
      <c r="C571" s="16"/>
      <c r="D571" s="16"/>
      <c r="E571" s="16"/>
      <c r="F571" s="20"/>
      <c r="G571" s="20"/>
      <c r="H571" s="20"/>
      <c r="I571" s="20"/>
      <c r="J571" s="24"/>
      <c r="K571" s="24"/>
      <c r="L571" s="24"/>
      <c r="M571" s="24"/>
      <c r="N571" s="24"/>
      <c r="O571" s="24"/>
    </row>
    <row r="572">
      <c r="A572" s="16"/>
      <c r="B572" s="16"/>
      <c r="C572" s="16"/>
      <c r="D572" s="16"/>
      <c r="E572" s="16"/>
      <c r="F572" s="20"/>
      <c r="G572" s="20"/>
      <c r="H572" s="20"/>
      <c r="I572" s="20"/>
      <c r="J572" s="24"/>
      <c r="K572" s="24"/>
      <c r="L572" s="24"/>
      <c r="M572" s="24"/>
      <c r="N572" s="24"/>
      <c r="O572" s="24"/>
    </row>
    <row r="573">
      <c r="A573" s="16"/>
      <c r="B573" s="16"/>
      <c r="C573" s="16"/>
      <c r="D573" s="16"/>
      <c r="E573" s="16"/>
      <c r="F573" s="20"/>
      <c r="G573" s="20"/>
      <c r="H573" s="20"/>
      <c r="I573" s="20"/>
      <c r="J573" s="24"/>
      <c r="K573" s="24"/>
      <c r="L573" s="24"/>
      <c r="M573" s="24"/>
      <c r="N573" s="24"/>
      <c r="O573" s="24"/>
    </row>
    <row r="574">
      <c r="A574" s="16"/>
      <c r="B574" s="16"/>
      <c r="C574" s="16"/>
      <c r="D574" s="16"/>
      <c r="E574" s="16"/>
      <c r="F574" s="20"/>
      <c r="G574" s="20"/>
      <c r="H574" s="20"/>
      <c r="I574" s="20"/>
      <c r="J574" s="24"/>
      <c r="K574" s="24"/>
      <c r="L574" s="24"/>
      <c r="M574" s="24"/>
      <c r="N574" s="24"/>
      <c r="O574" s="24"/>
    </row>
    <row r="575">
      <c r="A575" s="16"/>
      <c r="B575" s="16"/>
      <c r="C575" s="16"/>
      <c r="D575" s="16"/>
      <c r="E575" s="16"/>
      <c r="F575" s="20"/>
      <c r="G575" s="20"/>
      <c r="H575" s="20"/>
      <c r="I575" s="20"/>
      <c r="J575" s="24"/>
      <c r="K575" s="24"/>
      <c r="L575" s="24"/>
      <c r="M575" s="24"/>
      <c r="N575" s="24"/>
      <c r="O575" s="24"/>
    </row>
    <row r="576">
      <c r="A576" s="16"/>
      <c r="B576" s="16"/>
      <c r="C576" s="16"/>
      <c r="D576" s="16"/>
      <c r="E576" s="16"/>
      <c r="F576" s="20"/>
      <c r="G576" s="20"/>
      <c r="H576" s="20"/>
      <c r="I576" s="20"/>
      <c r="J576" s="24"/>
      <c r="K576" s="24"/>
      <c r="L576" s="24"/>
      <c r="M576" s="24"/>
      <c r="N576" s="24"/>
      <c r="O576" s="24"/>
    </row>
    <row r="577">
      <c r="A577" s="16"/>
      <c r="B577" s="16"/>
      <c r="C577" s="16"/>
      <c r="D577" s="16"/>
      <c r="E577" s="16"/>
      <c r="F577" s="20"/>
      <c r="G577" s="20"/>
      <c r="H577" s="20"/>
      <c r="I577" s="20"/>
      <c r="J577" s="24"/>
      <c r="K577" s="24"/>
      <c r="L577" s="24"/>
      <c r="M577" s="24"/>
      <c r="N577" s="24"/>
      <c r="O577" s="24"/>
    </row>
    <row r="578">
      <c r="A578" s="16"/>
      <c r="B578" s="16"/>
      <c r="C578" s="16"/>
      <c r="D578" s="16"/>
      <c r="E578" s="16"/>
      <c r="F578" s="20"/>
      <c r="G578" s="20"/>
      <c r="H578" s="20"/>
      <c r="I578" s="20"/>
      <c r="J578" s="24"/>
      <c r="K578" s="24"/>
      <c r="L578" s="24"/>
      <c r="M578" s="24"/>
      <c r="N578" s="24"/>
      <c r="O578" s="24"/>
    </row>
    <row r="579">
      <c r="A579" s="16"/>
      <c r="B579" s="16"/>
      <c r="C579" s="16"/>
      <c r="D579" s="16"/>
      <c r="E579" s="16"/>
      <c r="F579" s="20"/>
      <c r="G579" s="20"/>
      <c r="H579" s="20"/>
      <c r="I579" s="20"/>
      <c r="J579" s="24"/>
      <c r="K579" s="24"/>
      <c r="L579" s="24"/>
      <c r="M579" s="24"/>
      <c r="N579" s="24"/>
      <c r="O579" s="24"/>
    </row>
    <row r="580">
      <c r="A580" s="16"/>
      <c r="B580" s="16"/>
      <c r="C580" s="16"/>
      <c r="D580" s="16"/>
      <c r="E580" s="16"/>
      <c r="F580" s="20"/>
      <c r="G580" s="20"/>
      <c r="H580" s="20"/>
      <c r="I580" s="20"/>
      <c r="J580" s="24"/>
      <c r="K580" s="24"/>
      <c r="L580" s="24"/>
      <c r="M580" s="24"/>
      <c r="N580" s="24"/>
      <c r="O580" s="24"/>
    </row>
    <row r="581">
      <c r="A581" s="16"/>
      <c r="B581" s="16"/>
      <c r="C581" s="16"/>
      <c r="D581" s="16"/>
      <c r="E581" s="16"/>
      <c r="F581" s="20"/>
      <c r="G581" s="20"/>
      <c r="H581" s="20"/>
      <c r="I581" s="20"/>
      <c r="J581" s="24"/>
      <c r="K581" s="24"/>
      <c r="L581" s="24"/>
      <c r="M581" s="24"/>
      <c r="N581" s="24"/>
      <c r="O581" s="24"/>
    </row>
    <row r="582">
      <c r="A582" s="16"/>
      <c r="B582" s="16"/>
      <c r="C582" s="16"/>
      <c r="D582" s="16"/>
      <c r="E582" s="16"/>
      <c r="F582" s="20"/>
      <c r="G582" s="20"/>
      <c r="H582" s="20"/>
      <c r="I582" s="20"/>
      <c r="J582" s="24"/>
      <c r="K582" s="24"/>
      <c r="L582" s="24"/>
      <c r="M582" s="24"/>
      <c r="N582" s="24"/>
      <c r="O582" s="24"/>
    </row>
    <row r="583">
      <c r="A583" s="16"/>
      <c r="B583" s="16"/>
      <c r="C583" s="16"/>
      <c r="D583" s="16"/>
      <c r="E583" s="16"/>
      <c r="F583" s="20"/>
      <c r="G583" s="20"/>
      <c r="H583" s="20"/>
      <c r="I583" s="20"/>
      <c r="J583" s="24"/>
      <c r="K583" s="24"/>
      <c r="L583" s="24"/>
      <c r="M583" s="24"/>
      <c r="N583" s="24"/>
      <c r="O583" s="24"/>
    </row>
    <row r="584">
      <c r="A584" s="16"/>
      <c r="B584" s="16"/>
      <c r="C584" s="16"/>
      <c r="D584" s="16"/>
      <c r="E584" s="16"/>
      <c r="F584" s="20"/>
      <c r="G584" s="20"/>
      <c r="H584" s="20"/>
      <c r="I584" s="20"/>
      <c r="J584" s="24"/>
      <c r="K584" s="24"/>
      <c r="L584" s="24"/>
      <c r="M584" s="24"/>
      <c r="N584" s="24"/>
      <c r="O584" s="24"/>
    </row>
    <row r="585">
      <c r="A585" s="16"/>
      <c r="B585" s="16"/>
      <c r="C585" s="16"/>
      <c r="D585" s="16"/>
      <c r="E585" s="16"/>
      <c r="F585" s="20"/>
      <c r="G585" s="20"/>
      <c r="H585" s="20"/>
      <c r="I585" s="20"/>
      <c r="J585" s="24"/>
      <c r="K585" s="24"/>
      <c r="L585" s="24"/>
      <c r="M585" s="24"/>
      <c r="N585" s="24"/>
      <c r="O585" s="24"/>
    </row>
    <row r="586">
      <c r="A586" s="16"/>
      <c r="B586" s="16"/>
      <c r="C586" s="16"/>
      <c r="D586" s="16"/>
      <c r="E586" s="16"/>
      <c r="F586" s="20"/>
      <c r="G586" s="20"/>
      <c r="H586" s="20"/>
      <c r="I586" s="20"/>
      <c r="J586" s="24"/>
      <c r="K586" s="24"/>
      <c r="L586" s="24"/>
      <c r="M586" s="24"/>
      <c r="N586" s="24"/>
      <c r="O586" s="24"/>
    </row>
    <row r="587">
      <c r="A587" s="16"/>
      <c r="B587" s="16"/>
      <c r="C587" s="16"/>
      <c r="D587" s="16"/>
      <c r="E587" s="16"/>
      <c r="F587" s="20"/>
      <c r="G587" s="20"/>
      <c r="H587" s="20"/>
      <c r="I587" s="20"/>
      <c r="J587" s="24"/>
      <c r="K587" s="24"/>
      <c r="L587" s="24"/>
      <c r="M587" s="24"/>
      <c r="N587" s="24"/>
      <c r="O587" s="24"/>
    </row>
    <row r="588">
      <c r="A588" s="16"/>
      <c r="B588" s="16"/>
      <c r="C588" s="16"/>
      <c r="D588" s="16"/>
      <c r="E588" s="16"/>
      <c r="F588" s="20"/>
      <c r="G588" s="20"/>
      <c r="H588" s="20"/>
      <c r="I588" s="20"/>
      <c r="J588" s="24"/>
      <c r="K588" s="24"/>
      <c r="L588" s="24"/>
      <c r="M588" s="24"/>
      <c r="N588" s="24"/>
      <c r="O588" s="24"/>
    </row>
    <row r="589">
      <c r="A589" s="16"/>
      <c r="B589" s="16"/>
      <c r="C589" s="16"/>
      <c r="D589" s="16"/>
      <c r="E589" s="16"/>
      <c r="F589" s="20"/>
      <c r="G589" s="20"/>
      <c r="H589" s="20"/>
      <c r="I589" s="20"/>
      <c r="J589" s="24"/>
      <c r="K589" s="24"/>
      <c r="L589" s="24"/>
      <c r="M589" s="24"/>
      <c r="N589" s="24"/>
      <c r="O589" s="24"/>
    </row>
    <row r="590">
      <c r="A590" s="16"/>
      <c r="B590" s="16"/>
      <c r="C590" s="16"/>
      <c r="D590" s="16"/>
      <c r="E590" s="16"/>
      <c r="F590" s="20"/>
      <c r="G590" s="20"/>
      <c r="H590" s="20"/>
      <c r="I590" s="20"/>
      <c r="J590" s="24"/>
      <c r="K590" s="24"/>
      <c r="L590" s="24"/>
      <c r="M590" s="24"/>
      <c r="N590" s="24"/>
      <c r="O590" s="24"/>
    </row>
    <row r="591">
      <c r="A591" s="16"/>
      <c r="B591" s="16"/>
      <c r="C591" s="16"/>
      <c r="D591" s="16"/>
      <c r="E591" s="16"/>
      <c r="F591" s="20"/>
      <c r="G591" s="20"/>
      <c r="H591" s="20"/>
      <c r="I591" s="20"/>
      <c r="J591" s="24"/>
      <c r="K591" s="24"/>
      <c r="L591" s="24"/>
      <c r="M591" s="24"/>
      <c r="N591" s="24"/>
      <c r="O591" s="24"/>
    </row>
    <row r="592">
      <c r="A592" s="16"/>
      <c r="B592" s="16"/>
      <c r="C592" s="16"/>
      <c r="D592" s="16"/>
      <c r="E592" s="16"/>
      <c r="F592" s="20"/>
      <c r="G592" s="20"/>
      <c r="H592" s="20"/>
      <c r="I592" s="20"/>
      <c r="J592" s="24"/>
      <c r="K592" s="24"/>
      <c r="L592" s="24"/>
      <c r="M592" s="24"/>
      <c r="N592" s="24"/>
      <c r="O592" s="24"/>
    </row>
    <row r="593">
      <c r="A593" s="16"/>
      <c r="B593" s="16"/>
      <c r="C593" s="16"/>
      <c r="D593" s="16"/>
      <c r="E593" s="16"/>
      <c r="F593" s="20"/>
      <c r="G593" s="20"/>
      <c r="H593" s="20"/>
      <c r="I593" s="20"/>
      <c r="J593" s="24"/>
      <c r="K593" s="24"/>
      <c r="L593" s="24"/>
      <c r="M593" s="24"/>
      <c r="N593" s="24"/>
      <c r="O593" s="24"/>
    </row>
    <row r="594">
      <c r="A594" s="16"/>
      <c r="B594" s="16"/>
      <c r="C594" s="16"/>
      <c r="D594" s="16"/>
      <c r="E594" s="16"/>
      <c r="F594" s="20"/>
      <c r="G594" s="20"/>
      <c r="H594" s="20"/>
      <c r="I594" s="20"/>
      <c r="J594" s="24"/>
      <c r="K594" s="24"/>
      <c r="L594" s="24"/>
      <c r="M594" s="24"/>
      <c r="N594" s="24"/>
      <c r="O594" s="24"/>
    </row>
    <row r="595">
      <c r="A595" s="16"/>
      <c r="B595" s="16"/>
      <c r="C595" s="16"/>
      <c r="D595" s="16"/>
      <c r="E595" s="16"/>
      <c r="F595" s="20"/>
      <c r="G595" s="20"/>
      <c r="H595" s="20"/>
      <c r="I595" s="20"/>
      <c r="J595" s="24"/>
      <c r="K595" s="24"/>
      <c r="L595" s="24"/>
      <c r="M595" s="24"/>
      <c r="N595" s="24"/>
      <c r="O595" s="24"/>
    </row>
    <row r="596">
      <c r="A596" s="16"/>
      <c r="B596" s="16"/>
      <c r="C596" s="16"/>
      <c r="D596" s="16"/>
      <c r="E596" s="16"/>
      <c r="F596" s="20"/>
      <c r="G596" s="20"/>
      <c r="H596" s="20"/>
      <c r="I596" s="20"/>
      <c r="J596" s="24"/>
      <c r="K596" s="24"/>
      <c r="L596" s="24"/>
      <c r="M596" s="24"/>
      <c r="N596" s="24"/>
      <c r="O596" s="24"/>
    </row>
    <row r="597">
      <c r="A597" s="16"/>
      <c r="B597" s="16"/>
      <c r="C597" s="16"/>
      <c r="D597" s="16"/>
      <c r="E597" s="16"/>
      <c r="F597" s="20"/>
      <c r="G597" s="20"/>
      <c r="H597" s="20"/>
      <c r="I597" s="20"/>
      <c r="J597" s="24"/>
      <c r="K597" s="24"/>
      <c r="L597" s="24"/>
      <c r="M597" s="24"/>
      <c r="N597" s="24"/>
      <c r="O597" s="24"/>
    </row>
    <row r="598">
      <c r="A598" s="16"/>
      <c r="B598" s="16"/>
      <c r="C598" s="16"/>
      <c r="D598" s="16"/>
      <c r="E598" s="16"/>
      <c r="F598" s="20"/>
      <c r="G598" s="20"/>
      <c r="H598" s="20"/>
      <c r="I598" s="20"/>
      <c r="J598" s="24"/>
      <c r="K598" s="24"/>
      <c r="L598" s="24"/>
      <c r="M598" s="24"/>
      <c r="N598" s="24"/>
      <c r="O598" s="24"/>
    </row>
    <row r="599">
      <c r="A599" s="16"/>
      <c r="B599" s="16"/>
      <c r="C599" s="16"/>
      <c r="D599" s="16"/>
      <c r="E599" s="16"/>
      <c r="F599" s="20"/>
      <c r="G599" s="20"/>
      <c r="H599" s="20"/>
      <c r="I599" s="20"/>
      <c r="J599" s="24"/>
      <c r="K599" s="24"/>
      <c r="L599" s="24"/>
      <c r="M599" s="24"/>
      <c r="N599" s="24"/>
      <c r="O599" s="24"/>
    </row>
    <row r="600">
      <c r="A600" s="16"/>
      <c r="B600" s="16"/>
      <c r="C600" s="16"/>
      <c r="D600" s="16"/>
      <c r="E600" s="16"/>
      <c r="F600" s="20"/>
      <c r="G600" s="20"/>
      <c r="H600" s="20"/>
      <c r="I600" s="20"/>
      <c r="J600" s="24"/>
      <c r="K600" s="24"/>
      <c r="L600" s="24"/>
      <c r="M600" s="24"/>
      <c r="N600" s="24"/>
      <c r="O600" s="24"/>
    </row>
    <row r="601">
      <c r="A601" s="16"/>
      <c r="B601" s="16"/>
      <c r="C601" s="16"/>
      <c r="D601" s="16"/>
      <c r="E601" s="16"/>
      <c r="F601" s="20"/>
      <c r="G601" s="20"/>
      <c r="H601" s="20"/>
      <c r="I601" s="20"/>
      <c r="J601" s="24"/>
      <c r="K601" s="24"/>
      <c r="L601" s="24"/>
      <c r="M601" s="24"/>
      <c r="N601" s="24"/>
      <c r="O601" s="24"/>
    </row>
    <row r="602">
      <c r="A602" s="16"/>
      <c r="B602" s="16"/>
      <c r="C602" s="16"/>
      <c r="D602" s="16"/>
      <c r="E602" s="16"/>
      <c r="F602" s="20"/>
      <c r="G602" s="20"/>
      <c r="H602" s="20"/>
      <c r="I602" s="20"/>
      <c r="J602" s="24"/>
      <c r="K602" s="24"/>
      <c r="L602" s="24"/>
      <c r="M602" s="24"/>
      <c r="N602" s="24"/>
      <c r="O602" s="24"/>
    </row>
    <row r="603">
      <c r="A603" s="16"/>
      <c r="B603" s="16"/>
      <c r="C603" s="16"/>
      <c r="D603" s="16"/>
      <c r="E603" s="16"/>
      <c r="F603" s="20"/>
      <c r="G603" s="20"/>
      <c r="H603" s="20"/>
      <c r="I603" s="20"/>
      <c r="J603" s="24"/>
      <c r="K603" s="24"/>
      <c r="L603" s="24"/>
      <c r="M603" s="24"/>
      <c r="N603" s="24"/>
      <c r="O603" s="24"/>
    </row>
    <row r="604">
      <c r="A604" s="16"/>
      <c r="B604" s="16"/>
      <c r="C604" s="16"/>
      <c r="D604" s="16"/>
      <c r="E604" s="16"/>
      <c r="F604" s="20"/>
      <c r="G604" s="20"/>
      <c r="H604" s="20"/>
      <c r="I604" s="20"/>
      <c r="J604" s="24"/>
      <c r="K604" s="24"/>
      <c r="L604" s="24"/>
      <c r="M604" s="24"/>
      <c r="N604" s="24"/>
      <c r="O604" s="24"/>
    </row>
    <row r="605">
      <c r="A605" s="16"/>
      <c r="B605" s="16"/>
      <c r="C605" s="16"/>
      <c r="D605" s="16"/>
      <c r="E605" s="16"/>
      <c r="F605" s="20"/>
      <c r="G605" s="20"/>
      <c r="H605" s="20"/>
      <c r="I605" s="20"/>
      <c r="J605" s="24"/>
      <c r="K605" s="24"/>
      <c r="L605" s="24"/>
      <c r="M605" s="24"/>
      <c r="N605" s="24"/>
      <c r="O605" s="24"/>
    </row>
    <row r="606">
      <c r="A606" s="16"/>
      <c r="B606" s="16"/>
      <c r="C606" s="16"/>
      <c r="D606" s="16"/>
      <c r="E606" s="16"/>
      <c r="F606" s="20"/>
      <c r="G606" s="20"/>
      <c r="H606" s="20"/>
      <c r="I606" s="20"/>
      <c r="J606" s="24"/>
      <c r="K606" s="24"/>
      <c r="L606" s="24"/>
      <c r="M606" s="24"/>
      <c r="N606" s="24"/>
      <c r="O606" s="24"/>
    </row>
    <row r="607">
      <c r="A607" s="16"/>
      <c r="B607" s="16"/>
      <c r="C607" s="16"/>
      <c r="D607" s="16"/>
      <c r="E607" s="16"/>
      <c r="F607" s="20"/>
      <c r="G607" s="20"/>
      <c r="H607" s="20"/>
      <c r="I607" s="20"/>
      <c r="J607" s="24"/>
      <c r="K607" s="24"/>
      <c r="L607" s="24"/>
      <c r="M607" s="24"/>
      <c r="N607" s="24"/>
      <c r="O607" s="24"/>
    </row>
    <row r="608">
      <c r="A608" s="16"/>
      <c r="B608" s="16"/>
      <c r="C608" s="16"/>
      <c r="D608" s="16"/>
      <c r="E608" s="16"/>
      <c r="F608" s="20"/>
      <c r="G608" s="20"/>
      <c r="H608" s="20"/>
      <c r="I608" s="20"/>
      <c r="J608" s="24"/>
      <c r="K608" s="24"/>
      <c r="L608" s="24"/>
      <c r="M608" s="24"/>
      <c r="N608" s="24"/>
      <c r="O608" s="24"/>
    </row>
    <row r="609">
      <c r="A609" s="16"/>
      <c r="B609" s="16"/>
      <c r="C609" s="16"/>
      <c r="D609" s="16"/>
      <c r="E609" s="16"/>
      <c r="F609" s="20"/>
      <c r="G609" s="20"/>
      <c r="H609" s="20"/>
      <c r="I609" s="20"/>
      <c r="J609" s="24"/>
      <c r="K609" s="24"/>
      <c r="L609" s="24"/>
      <c r="M609" s="24"/>
      <c r="N609" s="24"/>
      <c r="O609" s="24"/>
    </row>
    <row r="610">
      <c r="A610" s="16"/>
      <c r="B610" s="16"/>
      <c r="C610" s="16"/>
      <c r="D610" s="16"/>
      <c r="E610" s="16"/>
      <c r="F610" s="20"/>
      <c r="G610" s="20"/>
      <c r="H610" s="20"/>
      <c r="I610" s="20"/>
      <c r="J610" s="24"/>
      <c r="K610" s="24"/>
      <c r="L610" s="24"/>
      <c r="M610" s="24"/>
      <c r="N610" s="24"/>
      <c r="O610" s="24"/>
    </row>
    <row r="611">
      <c r="A611" s="16"/>
      <c r="B611" s="16"/>
      <c r="C611" s="16"/>
      <c r="D611" s="16"/>
      <c r="E611" s="16"/>
      <c r="F611" s="20"/>
      <c r="G611" s="20"/>
      <c r="H611" s="20"/>
      <c r="I611" s="20"/>
      <c r="J611" s="24"/>
      <c r="K611" s="24"/>
      <c r="L611" s="24"/>
      <c r="M611" s="24"/>
      <c r="N611" s="24"/>
      <c r="O611" s="24"/>
    </row>
    <row r="612">
      <c r="A612" s="16"/>
      <c r="B612" s="16"/>
      <c r="C612" s="16"/>
      <c r="D612" s="16"/>
      <c r="E612" s="16"/>
      <c r="F612" s="20"/>
      <c r="G612" s="20"/>
      <c r="H612" s="20"/>
      <c r="I612" s="20"/>
      <c r="J612" s="24"/>
      <c r="K612" s="24"/>
      <c r="L612" s="24"/>
      <c r="M612" s="24"/>
      <c r="N612" s="24"/>
      <c r="O612" s="24"/>
    </row>
    <row r="613">
      <c r="A613" s="16"/>
      <c r="B613" s="16"/>
      <c r="C613" s="16"/>
      <c r="D613" s="16"/>
      <c r="E613" s="16"/>
      <c r="F613" s="20"/>
      <c r="G613" s="20"/>
      <c r="H613" s="20"/>
      <c r="I613" s="20"/>
      <c r="J613" s="24"/>
      <c r="K613" s="24"/>
      <c r="L613" s="24"/>
      <c r="M613" s="24"/>
      <c r="N613" s="24"/>
      <c r="O613" s="24"/>
    </row>
    <row r="614">
      <c r="A614" s="16"/>
      <c r="B614" s="16"/>
      <c r="C614" s="16"/>
      <c r="D614" s="16"/>
      <c r="E614" s="16"/>
      <c r="F614" s="20"/>
      <c r="G614" s="20"/>
      <c r="H614" s="20"/>
      <c r="I614" s="20"/>
      <c r="J614" s="24"/>
      <c r="K614" s="24"/>
      <c r="L614" s="24"/>
      <c r="M614" s="24"/>
      <c r="N614" s="24"/>
      <c r="O614" s="24"/>
    </row>
    <row r="615">
      <c r="A615" s="16"/>
      <c r="B615" s="16"/>
      <c r="C615" s="16"/>
      <c r="D615" s="16"/>
      <c r="E615" s="16"/>
      <c r="F615" s="20"/>
      <c r="G615" s="20"/>
      <c r="H615" s="20"/>
      <c r="I615" s="20"/>
      <c r="J615" s="24"/>
      <c r="K615" s="24"/>
      <c r="L615" s="24"/>
      <c r="M615" s="24"/>
      <c r="N615" s="24"/>
      <c r="O615" s="24"/>
    </row>
    <row r="616">
      <c r="A616" s="16"/>
      <c r="B616" s="16"/>
      <c r="C616" s="16"/>
      <c r="D616" s="16"/>
      <c r="E616" s="16"/>
      <c r="F616" s="20"/>
      <c r="G616" s="20"/>
      <c r="H616" s="20"/>
      <c r="I616" s="20"/>
      <c r="J616" s="24"/>
      <c r="K616" s="24"/>
      <c r="L616" s="24"/>
      <c r="M616" s="24"/>
      <c r="N616" s="24"/>
      <c r="O616" s="24"/>
    </row>
    <row r="617">
      <c r="A617" s="16"/>
      <c r="B617" s="16"/>
      <c r="C617" s="16"/>
      <c r="D617" s="16"/>
      <c r="E617" s="16"/>
      <c r="F617" s="20"/>
      <c r="G617" s="20"/>
      <c r="H617" s="20"/>
      <c r="I617" s="20"/>
      <c r="J617" s="24"/>
      <c r="K617" s="24"/>
      <c r="L617" s="24"/>
      <c r="M617" s="24"/>
      <c r="N617" s="24"/>
      <c r="O617" s="24"/>
    </row>
    <row r="618">
      <c r="A618" s="16"/>
      <c r="B618" s="16"/>
      <c r="C618" s="16"/>
      <c r="D618" s="16"/>
      <c r="E618" s="16"/>
      <c r="F618" s="20"/>
      <c r="G618" s="20"/>
      <c r="H618" s="20"/>
      <c r="I618" s="20"/>
      <c r="J618" s="24"/>
      <c r="K618" s="24"/>
      <c r="L618" s="24"/>
      <c r="M618" s="24"/>
      <c r="N618" s="24"/>
      <c r="O618" s="24"/>
    </row>
    <row r="619">
      <c r="A619" s="16"/>
      <c r="B619" s="16"/>
      <c r="C619" s="16"/>
      <c r="D619" s="16"/>
      <c r="E619" s="16"/>
      <c r="F619" s="20"/>
      <c r="G619" s="20"/>
      <c r="H619" s="20"/>
      <c r="I619" s="20"/>
      <c r="J619" s="24"/>
      <c r="K619" s="24"/>
      <c r="L619" s="24"/>
      <c r="M619" s="24"/>
      <c r="N619" s="24"/>
      <c r="O619" s="24"/>
    </row>
    <row r="620">
      <c r="A620" s="16"/>
      <c r="B620" s="16"/>
      <c r="C620" s="16"/>
      <c r="D620" s="16"/>
      <c r="E620" s="16"/>
      <c r="F620" s="20"/>
      <c r="G620" s="20"/>
      <c r="H620" s="20"/>
      <c r="I620" s="20"/>
      <c r="J620" s="24"/>
      <c r="K620" s="24"/>
      <c r="L620" s="24"/>
      <c r="M620" s="24"/>
      <c r="N620" s="24"/>
      <c r="O620" s="24"/>
    </row>
    <row r="621">
      <c r="A621" s="16"/>
      <c r="B621" s="16"/>
      <c r="C621" s="16"/>
      <c r="D621" s="16"/>
      <c r="E621" s="16"/>
      <c r="F621" s="20"/>
      <c r="G621" s="20"/>
      <c r="H621" s="20"/>
      <c r="I621" s="20"/>
      <c r="J621" s="24"/>
      <c r="K621" s="24"/>
      <c r="L621" s="24"/>
      <c r="M621" s="24"/>
      <c r="N621" s="24"/>
      <c r="O621" s="24"/>
    </row>
    <row r="622">
      <c r="A622" s="16"/>
      <c r="B622" s="16"/>
      <c r="C622" s="16"/>
      <c r="D622" s="16"/>
      <c r="E622" s="16"/>
      <c r="F622" s="20"/>
      <c r="G622" s="20"/>
      <c r="H622" s="20"/>
      <c r="I622" s="20"/>
      <c r="J622" s="24"/>
      <c r="K622" s="24"/>
      <c r="L622" s="24"/>
      <c r="M622" s="24"/>
      <c r="N622" s="24"/>
      <c r="O622" s="24"/>
    </row>
    <row r="623">
      <c r="A623" s="16"/>
      <c r="B623" s="16"/>
      <c r="C623" s="16"/>
      <c r="D623" s="16"/>
      <c r="E623" s="16"/>
      <c r="F623" s="20"/>
      <c r="G623" s="20"/>
      <c r="H623" s="20"/>
      <c r="I623" s="20"/>
      <c r="J623" s="24"/>
      <c r="K623" s="24"/>
      <c r="L623" s="24"/>
      <c r="M623" s="24"/>
      <c r="N623" s="24"/>
      <c r="O623" s="24"/>
    </row>
    <row r="624">
      <c r="A624" s="16"/>
      <c r="B624" s="16"/>
      <c r="C624" s="16"/>
      <c r="D624" s="16"/>
      <c r="E624" s="16"/>
      <c r="F624" s="20"/>
      <c r="G624" s="20"/>
      <c r="H624" s="20"/>
      <c r="I624" s="20"/>
      <c r="J624" s="24"/>
      <c r="K624" s="24"/>
      <c r="L624" s="24"/>
      <c r="M624" s="24"/>
      <c r="N624" s="24"/>
      <c r="O624" s="24"/>
    </row>
    <row r="625">
      <c r="A625" s="16"/>
      <c r="B625" s="16"/>
      <c r="C625" s="16"/>
      <c r="D625" s="16"/>
      <c r="E625" s="16"/>
      <c r="F625" s="20"/>
      <c r="G625" s="20"/>
      <c r="H625" s="20"/>
      <c r="I625" s="20"/>
      <c r="J625" s="24"/>
      <c r="K625" s="24"/>
      <c r="L625" s="24"/>
      <c r="M625" s="24"/>
      <c r="N625" s="24"/>
      <c r="O625" s="24"/>
    </row>
    <row r="626">
      <c r="A626" s="16"/>
      <c r="B626" s="16"/>
      <c r="C626" s="16"/>
      <c r="D626" s="16"/>
      <c r="E626" s="16"/>
      <c r="F626" s="20"/>
      <c r="G626" s="20"/>
      <c r="H626" s="20"/>
      <c r="I626" s="20"/>
      <c r="J626" s="24"/>
      <c r="K626" s="24"/>
      <c r="L626" s="24"/>
      <c r="M626" s="24"/>
      <c r="N626" s="24"/>
      <c r="O626" s="24"/>
    </row>
    <row r="627">
      <c r="A627" s="16"/>
      <c r="B627" s="16"/>
      <c r="C627" s="16"/>
      <c r="D627" s="16"/>
      <c r="E627" s="16"/>
      <c r="F627" s="20"/>
      <c r="G627" s="20"/>
      <c r="H627" s="20"/>
      <c r="I627" s="20"/>
      <c r="J627" s="24"/>
      <c r="K627" s="24"/>
      <c r="L627" s="24"/>
      <c r="M627" s="24"/>
      <c r="N627" s="24"/>
      <c r="O627" s="24"/>
    </row>
    <row r="628">
      <c r="A628" s="16"/>
      <c r="B628" s="16"/>
      <c r="C628" s="16"/>
      <c r="D628" s="16"/>
      <c r="E628" s="16"/>
      <c r="F628" s="20"/>
      <c r="G628" s="20"/>
      <c r="H628" s="20"/>
      <c r="I628" s="20"/>
      <c r="J628" s="24"/>
      <c r="K628" s="24"/>
      <c r="L628" s="24"/>
      <c r="M628" s="24"/>
      <c r="N628" s="24"/>
      <c r="O628" s="24"/>
    </row>
    <row r="629">
      <c r="A629" s="16"/>
      <c r="B629" s="16"/>
      <c r="C629" s="16"/>
      <c r="D629" s="16"/>
      <c r="E629" s="16"/>
      <c r="F629" s="20"/>
      <c r="G629" s="20"/>
      <c r="H629" s="20"/>
      <c r="I629" s="20"/>
      <c r="J629" s="24"/>
      <c r="K629" s="24"/>
      <c r="L629" s="24"/>
      <c r="M629" s="24"/>
      <c r="N629" s="24"/>
      <c r="O629" s="24"/>
    </row>
    <row r="630">
      <c r="A630" s="16"/>
      <c r="B630" s="16"/>
      <c r="C630" s="16"/>
      <c r="D630" s="16"/>
      <c r="E630" s="16"/>
      <c r="F630" s="20"/>
      <c r="G630" s="20"/>
      <c r="H630" s="20"/>
      <c r="I630" s="20"/>
      <c r="J630" s="24"/>
      <c r="K630" s="24"/>
      <c r="L630" s="24"/>
      <c r="M630" s="24"/>
      <c r="N630" s="24"/>
      <c r="O630" s="24"/>
    </row>
    <row r="631">
      <c r="A631" s="16"/>
      <c r="B631" s="16"/>
      <c r="C631" s="16"/>
      <c r="D631" s="16"/>
      <c r="E631" s="16"/>
      <c r="F631" s="20"/>
      <c r="G631" s="20"/>
      <c r="H631" s="20"/>
      <c r="I631" s="20"/>
      <c r="J631" s="24"/>
      <c r="K631" s="24"/>
      <c r="L631" s="24"/>
      <c r="M631" s="24"/>
      <c r="N631" s="24"/>
      <c r="O631" s="24"/>
    </row>
    <row r="632">
      <c r="A632" s="16"/>
      <c r="B632" s="16"/>
      <c r="C632" s="16"/>
      <c r="D632" s="16"/>
      <c r="E632" s="16"/>
      <c r="F632" s="20"/>
      <c r="G632" s="20"/>
      <c r="H632" s="20"/>
      <c r="I632" s="20"/>
      <c r="J632" s="24"/>
      <c r="K632" s="24"/>
      <c r="L632" s="24"/>
      <c r="M632" s="24"/>
      <c r="N632" s="24"/>
      <c r="O632" s="24"/>
    </row>
    <row r="633">
      <c r="A633" s="16"/>
      <c r="B633" s="16"/>
      <c r="C633" s="16"/>
      <c r="D633" s="16"/>
      <c r="E633" s="16"/>
      <c r="F633" s="20"/>
      <c r="G633" s="20"/>
      <c r="H633" s="20"/>
      <c r="I633" s="20"/>
      <c r="J633" s="24"/>
      <c r="K633" s="24"/>
      <c r="L633" s="24"/>
      <c r="M633" s="24"/>
      <c r="N633" s="24"/>
      <c r="O633" s="24"/>
    </row>
    <row r="634">
      <c r="A634" s="16"/>
      <c r="B634" s="16"/>
      <c r="C634" s="16"/>
      <c r="D634" s="16"/>
      <c r="E634" s="16"/>
      <c r="F634" s="20"/>
      <c r="G634" s="20"/>
      <c r="H634" s="20"/>
      <c r="I634" s="20"/>
      <c r="J634" s="24"/>
      <c r="K634" s="24"/>
      <c r="L634" s="24"/>
      <c r="M634" s="24"/>
      <c r="N634" s="24"/>
      <c r="O634" s="24"/>
    </row>
    <row r="635">
      <c r="A635" s="16"/>
      <c r="B635" s="16"/>
      <c r="C635" s="16"/>
      <c r="D635" s="16"/>
      <c r="E635" s="16"/>
      <c r="F635" s="20"/>
      <c r="G635" s="20"/>
      <c r="H635" s="20"/>
      <c r="I635" s="20"/>
      <c r="J635" s="24"/>
      <c r="K635" s="24"/>
      <c r="L635" s="24"/>
      <c r="M635" s="24"/>
      <c r="N635" s="24"/>
      <c r="O635" s="24"/>
    </row>
    <row r="636">
      <c r="A636" s="16"/>
      <c r="B636" s="16"/>
      <c r="C636" s="16"/>
      <c r="D636" s="16"/>
      <c r="E636" s="16"/>
      <c r="F636" s="20"/>
      <c r="G636" s="20"/>
      <c r="H636" s="20"/>
      <c r="I636" s="20"/>
      <c r="J636" s="24"/>
      <c r="K636" s="24"/>
      <c r="L636" s="24"/>
      <c r="M636" s="24"/>
      <c r="N636" s="24"/>
      <c r="O636" s="24"/>
    </row>
    <row r="637">
      <c r="A637" s="16"/>
      <c r="B637" s="16"/>
      <c r="C637" s="16"/>
      <c r="D637" s="16"/>
      <c r="E637" s="16"/>
      <c r="F637" s="20"/>
      <c r="G637" s="20"/>
      <c r="H637" s="20"/>
      <c r="I637" s="20"/>
      <c r="J637" s="24"/>
      <c r="K637" s="24"/>
      <c r="L637" s="24"/>
      <c r="M637" s="24"/>
      <c r="N637" s="24"/>
      <c r="O637" s="24"/>
    </row>
    <row r="638">
      <c r="A638" s="16"/>
      <c r="B638" s="16"/>
      <c r="C638" s="16"/>
      <c r="D638" s="16"/>
      <c r="E638" s="16"/>
      <c r="F638" s="20"/>
      <c r="G638" s="20"/>
      <c r="H638" s="20"/>
      <c r="I638" s="20"/>
      <c r="J638" s="24"/>
      <c r="K638" s="24"/>
      <c r="L638" s="24"/>
      <c r="M638" s="24"/>
      <c r="N638" s="24"/>
      <c r="O638" s="24"/>
    </row>
    <row r="639">
      <c r="A639" s="16"/>
      <c r="B639" s="16"/>
      <c r="C639" s="16"/>
      <c r="D639" s="16"/>
      <c r="E639" s="16"/>
      <c r="F639" s="20"/>
      <c r="G639" s="20"/>
      <c r="H639" s="20"/>
      <c r="I639" s="20"/>
      <c r="J639" s="24"/>
      <c r="K639" s="24"/>
      <c r="L639" s="24"/>
      <c r="M639" s="24"/>
      <c r="N639" s="24"/>
      <c r="O639" s="24"/>
    </row>
    <row r="640">
      <c r="A640" s="16"/>
      <c r="B640" s="16"/>
      <c r="C640" s="16"/>
      <c r="D640" s="16"/>
      <c r="E640" s="16"/>
      <c r="F640" s="20"/>
      <c r="G640" s="20"/>
      <c r="H640" s="20"/>
      <c r="I640" s="20"/>
      <c r="J640" s="24"/>
      <c r="K640" s="24"/>
      <c r="L640" s="24"/>
      <c r="M640" s="24"/>
      <c r="N640" s="24"/>
      <c r="O640" s="24"/>
    </row>
    <row r="641">
      <c r="A641" s="16"/>
      <c r="B641" s="16"/>
      <c r="C641" s="16"/>
      <c r="D641" s="16"/>
      <c r="E641" s="16"/>
      <c r="F641" s="20"/>
      <c r="G641" s="20"/>
      <c r="H641" s="20"/>
      <c r="I641" s="20"/>
      <c r="J641" s="24"/>
      <c r="K641" s="24"/>
      <c r="L641" s="24"/>
      <c r="M641" s="24"/>
      <c r="N641" s="24"/>
      <c r="O641" s="24"/>
    </row>
    <row r="642">
      <c r="A642" s="16"/>
      <c r="B642" s="16"/>
      <c r="C642" s="16"/>
      <c r="D642" s="16"/>
      <c r="E642" s="16"/>
      <c r="F642" s="20"/>
      <c r="G642" s="20"/>
      <c r="H642" s="20"/>
      <c r="I642" s="20"/>
      <c r="J642" s="24"/>
      <c r="K642" s="24"/>
      <c r="L642" s="24"/>
      <c r="M642" s="24"/>
      <c r="N642" s="24"/>
      <c r="O642" s="24"/>
    </row>
    <row r="643">
      <c r="A643" s="16"/>
      <c r="B643" s="16"/>
      <c r="C643" s="16"/>
      <c r="D643" s="16"/>
      <c r="E643" s="16"/>
      <c r="F643" s="20"/>
      <c r="G643" s="20"/>
      <c r="H643" s="20"/>
      <c r="I643" s="20"/>
      <c r="J643" s="24"/>
      <c r="K643" s="24"/>
      <c r="L643" s="24"/>
      <c r="M643" s="24"/>
      <c r="N643" s="24"/>
      <c r="O643" s="24"/>
    </row>
    <row r="644">
      <c r="A644" s="16"/>
      <c r="B644" s="16"/>
      <c r="C644" s="16"/>
      <c r="D644" s="16"/>
      <c r="E644" s="16"/>
      <c r="F644" s="20"/>
      <c r="G644" s="20"/>
      <c r="H644" s="20"/>
      <c r="I644" s="20"/>
      <c r="J644" s="24"/>
      <c r="K644" s="24"/>
      <c r="L644" s="24"/>
      <c r="M644" s="24"/>
      <c r="N644" s="24"/>
      <c r="O644" s="24"/>
    </row>
    <row r="645">
      <c r="A645" s="16"/>
      <c r="B645" s="16"/>
      <c r="C645" s="16"/>
      <c r="D645" s="16"/>
      <c r="E645" s="16"/>
      <c r="F645" s="20"/>
      <c r="G645" s="20"/>
      <c r="H645" s="20"/>
      <c r="I645" s="20"/>
      <c r="J645" s="24"/>
      <c r="K645" s="24"/>
      <c r="L645" s="24"/>
      <c r="M645" s="24"/>
      <c r="N645" s="24"/>
      <c r="O645" s="24"/>
    </row>
    <row r="646">
      <c r="A646" s="16"/>
      <c r="B646" s="16"/>
      <c r="C646" s="16"/>
      <c r="D646" s="16"/>
      <c r="E646" s="16"/>
      <c r="F646" s="20"/>
      <c r="G646" s="20"/>
      <c r="H646" s="20"/>
      <c r="I646" s="20"/>
      <c r="J646" s="24"/>
      <c r="K646" s="24"/>
      <c r="L646" s="24"/>
      <c r="M646" s="24"/>
      <c r="N646" s="24"/>
      <c r="O646" s="24"/>
    </row>
    <row r="647">
      <c r="A647" s="16"/>
      <c r="B647" s="16"/>
      <c r="C647" s="16"/>
      <c r="D647" s="16"/>
      <c r="E647" s="16"/>
      <c r="F647" s="20"/>
      <c r="G647" s="20"/>
      <c r="H647" s="20"/>
      <c r="I647" s="20"/>
      <c r="J647" s="24"/>
      <c r="K647" s="24"/>
      <c r="L647" s="24"/>
      <c r="M647" s="24"/>
      <c r="N647" s="24"/>
      <c r="O647" s="24"/>
    </row>
    <row r="648">
      <c r="A648" s="16"/>
      <c r="B648" s="16"/>
      <c r="C648" s="16"/>
      <c r="D648" s="16"/>
      <c r="E648" s="16"/>
      <c r="F648" s="20"/>
      <c r="G648" s="20"/>
      <c r="H648" s="20"/>
      <c r="I648" s="20"/>
      <c r="J648" s="24"/>
      <c r="K648" s="24"/>
      <c r="L648" s="24"/>
      <c r="M648" s="24"/>
      <c r="N648" s="24"/>
      <c r="O648" s="24"/>
    </row>
    <row r="649">
      <c r="A649" s="16"/>
      <c r="B649" s="16"/>
      <c r="C649" s="16"/>
      <c r="D649" s="16"/>
      <c r="E649" s="16"/>
      <c r="F649" s="20"/>
      <c r="G649" s="20"/>
      <c r="H649" s="20"/>
      <c r="I649" s="20"/>
      <c r="J649" s="24"/>
      <c r="K649" s="24"/>
      <c r="L649" s="24"/>
      <c r="M649" s="24"/>
      <c r="N649" s="24"/>
      <c r="O649" s="24"/>
    </row>
    <row r="650">
      <c r="A650" s="16"/>
      <c r="B650" s="16"/>
      <c r="C650" s="16"/>
      <c r="D650" s="16"/>
      <c r="E650" s="16"/>
      <c r="F650" s="20"/>
      <c r="G650" s="20"/>
      <c r="H650" s="20"/>
      <c r="I650" s="20"/>
      <c r="J650" s="24"/>
      <c r="K650" s="24"/>
      <c r="L650" s="24"/>
      <c r="M650" s="24"/>
      <c r="N650" s="24"/>
      <c r="O650" s="24"/>
    </row>
    <row r="651">
      <c r="A651" s="16"/>
      <c r="B651" s="16"/>
      <c r="C651" s="16"/>
      <c r="D651" s="16"/>
      <c r="E651" s="16"/>
      <c r="F651" s="20"/>
      <c r="G651" s="20"/>
      <c r="H651" s="20"/>
      <c r="I651" s="20"/>
      <c r="J651" s="24"/>
      <c r="K651" s="24"/>
      <c r="L651" s="24"/>
      <c r="M651" s="24"/>
      <c r="N651" s="24"/>
      <c r="O651" s="24"/>
    </row>
    <row r="652">
      <c r="A652" s="16"/>
      <c r="B652" s="16"/>
      <c r="C652" s="16"/>
      <c r="D652" s="16"/>
      <c r="E652" s="16"/>
      <c r="F652" s="20"/>
      <c r="G652" s="20"/>
      <c r="H652" s="20"/>
      <c r="I652" s="20"/>
      <c r="J652" s="24"/>
      <c r="K652" s="24"/>
      <c r="L652" s="24"/>
      <c r="M652" s="24"/>
      <c r="N652" s="24"/>
      <c r="O652" s="24"/>
    </row>
    <row r="653">
      <c r="A653" s="16"/>
      <c r="B653" s="16"/>
      <c r="C653" s="16"/>
      <c r="D653" s="16"/>
      <c r="E653" s="16"/>
      <c r="F653" s="20"/>
      <c r="G653" s="20"/>
      <c r="H653" s="20"/>
      <c r="I653" s="20"/>
      <c r="J653" s="24"/>
      <c r="K653" s="24"/>
      <c r="L653" s="24"/>
      <c r="M653" s="24"/>
      <c r="N653" s="24"/>
      <c r="O653" s="24"/>
    </row>
    <row r="654">
      <c r="A654" s="16"/>
      <c r="B654" s="16"/>
      <c r="C654" s="16"/>
      <c r="D654" s="16"/>
      <c r="E654" s="16"/>
      <c r="F654" s="20"/>
      <c r="G654" s="20"/>
      <c r="H654" s="20"/>
      <c r="I654" s="20"/>
      <c r="J654" s="24"/>
      <c r="K654" s="24"/>
      <c r="L654" s="24"/>
      <c r="M654" s="24"/>
      <c r="N654" s="24"/>
      <c r="O654" s="24"/>
    </row>
    <row r="655">
      <c r="A655" s="16"/>
      <c r="B655" s="16"/>
      <c r="C655" s="16"/>
      <c r="D655" s="16"/>
      <c r="E655" s="16"/>
      <c r="F655" s="20"/>
      <c r="G655" s="20"/>
      <c r="H655" s="20"/>
      <c r="I655" s="20"/>
      <c r="J655" s="24"/>
      <c r="K655" s="24"/>
      <c r="L655" s="24"/>
      <c r="M655" s="24"/>
      <c r="N655" s="24"/>
      <c r="O655" s="24"/>
    </row>
    <row r="656">
      <c r="A656" s="16"/>
      <c r="B656" s="16"/>
      <c r="C656" s="16"/>
      <c r="D656" s="16"/>
      <c r="E656" s="16"/>
      <c r="F656" s="20"/>
      <c r="G656" s="20"/>
      <c r="H656" s="20"/>
      <c r="I656" s="20"/>
      <c r="J656" s="24"/>
      <c r="K656" s="24"/>
      <c r="L656" s="24"/>
      <c r="M656" s="24"/>
      <c r="N656" s="24"/>
      <c r="O656" s="24"/>
    </row>
    <row r="657">
      <c r="A657" s="16"/>
      <c r="B657" s="16"/>
      <c r="C657" s="16"/>
      <c r="D657" s="16"/>
      <c r="E657" s="16"/>
      <c r="F657" s="20"/>
      <c r="G657" s="20"/>
      <c r="H657" s="20"/>
      <c r="I657" s="20"/>
      <c r="J657" s="24"/>
      <c r="K657" s="24"/>
      <c r="L657" s="24"/>
      <c r="M657" s="24"/>
      <c r="N657" s="24"/>
      <c r="O657" s="24"/>
    </row>
    <row r="658">
      <c r="A658" s="16"/>
      <c r="B658" s="16"/>
      <c r="C658" s="16"/>
      <c r="D658" s="16"/>
      <c r="E658" s="16"/>
      <c r="F658" s="20"/>
      <c r="G658" s="20"/>
      <c r="H658" s="20"/>
      <c r="I658" s="20"/>
      <c r="J658" s="24"/>
      <c r="K658" s="24"/>
      <c r="L658" s="24"/>
      <c r="M658" s="24"/>
      <c r="N658" s="24"/>
      <c r="O658" s="24"/>
    </row>
    <row r="659">
      <c r="A659" s="16"/>
      <c r="B659" s="16"/>
      <c r="C659" s="16"/>
      <c r="D659" s="16"/>
      <c r="E659" s="16"/>
      <c r="F659" s="20"/>
      <c r="G659" s="20"/>
      <c r="H659" s="20"/>
      <c r="I659" s="20"/>
      <c r="J659" s="24"/>
      <c r="K659" s="24"/>
      <c r="L659" s="24"/>
      <c r="M659" s="24"/>
      <c r="N659" s="24"/>
      <c r="O659" s="24"/>
    </row>
    <row r="660">
      <c r="A660" s="16"/>
      <c r="B660" s="16"/>
      <c r="C660" s="16"/>
      <c r="D660" s="16"/>
      <c r="E660" s="16"/>
      <c r="F660" s="20"/>
      <c r="G660" s="20"/>
      <c r="H660" s="20"/>
      <c r="I660" s="20"/>
      <c r="J660" s="24"/>
      <c r="K660" s="24"/>
      <c r="L660" s="24"/>
      <c r="M660" s="24"/>
      <c r="N660" s="24"/>
      <c r="O660" s="24"/>
    </row>
    <row r="661">
      <c r="A661" s="16"/>
      <c r="B661" s="16"/>
      <c r="C661" s="16"/>
      <c r="D661" s="16"/>
      <c r="E661" s="16"/>
      <c r="F661" s="20"/>
      <c r="G661" s="20"/>
      <c r="H661" s="20"/>
      <c r="I661" s="20"/>
      <c r="J661" s="24"/>
      <c r="K661" s="24"/>
      <c r="L661" s="24"/>
      <c r="M661" s="24"/>
      <c r="N661" s="24"/>
      <c r="O661" s="24"/>
    </row>
    <row r="662">
      <c r="A662" s="16"/>
      <c r="B662" s="16"/>
      <c r="C662" s="16"/>
      <c r="D662" s="16"/>
      <c r="E662" s="16"/>
      <c r="F662" s="20"/>
      <c r="G662" s="20"/>
      <c r="H662" s="20"/>
      <c r="I662" s="20"/>
      <c r="J662" s="24"/>
      <c r="K662" s="24"/>
      <c r="L662" s="24"/>
      <c r="M662" s="24"/>
      <c r="N662" s="24"/>
      <c r="O662" s="24"/>
    </row>
    <row r="663">
      <c r="A663" s="16"/>
      <c r="B663" s="16"/>
      <c r="C663" s="16"/>
      <c r="D663" s="16"/>
      <c r="E663" s="16"/>
      <c r="F663" s="20"/>
      <c r="G663" s="20"/>
      <c r="H663" s="20"/>
      <c r="I663" s="20"/>
      <c r="J663" s="24"/>
      <c r="K663" s="24"/>
      <c r="L663" s="24"/>
      <c r="M663" s="24"/>
      <c r="N663" s="24"/>
      <c r="O663" s="24"/>
    </row>
    <row r="664">
      <c r="A664" s="16"/>
      <c r="B664" s="16"/>
      <c r="C664" s="16"/>
      <c r="D664" s="16"/>
      <c r="E664" s="16"/>
      <c r="F664" s="20"/>
      <c r="G664" s="20"/>
      <c r="H664" s="20"/>
      <c r="I664" s="20"/>
      <c r="J664" s="24"/>
      <c r="K664" s="24"/>
      <c r="L664" s="24"/>
      <c r="M664" s="24"/>
      <c r="N664" s="24"/>
      <c r="O664" s="24"/>
    </row>
    <row r="665">
      <c r="A665" s="16"/>
      <c r="B665" s="16"/>
      <c r="C665" s="16"/>
      <c r="D665" s="16"/>
      <c r="E665" s="16"/>
      <c r="F665" s="20"/>
      <c r="G665" s="20"/>
      <c r="H665" s="20"/>
      <c r="I665" s="20"/>
      <c r="J665" s="24"/>
      <c r="K665" s="24"/>
      <c r="L665" s="24"/>
      <c r="M665" s="24"/>
      <c r="N665" s="24"/>
      <c r="O665" s="24"/>
    </row>
    <row r="666">
      <c r="A666" s="16"/>
      <c r="B666" s="16"/>
      <c r="C666" s="16"/>
      <c r="D666" s="16"/>
      <c r="E666" s="16"/>
      <c r="F666" s="20"/>
      <c r="G666" s="20"/>
      <c r="H666" s="20"/>
      <c r="I666" s="20"/>
      <c r="J666" s="24"/>
      <c r="K666" s="24"/>
      <c r="L666" s="24"/>
      <c r="M666" s="24"/>
      <c r="N666" s="24"/>
      <c r="O666" s="24"/>
    </row>
    <row r="667">
      <c r="A667" s="16"/>
      <c r="B667" s="16"/>
      <c r="C667" s="16"/>
      <c r="D667" s="16"/>
      <c r="E667" s="16"/>
      <c r="F667" s="20"/>
      <c r="G667" s="20"/>
      <c r="H667" s="20"/>
      <c r="I667" s="20"/>
      <c r="J667" s="24"/>
      <c r="K667" s="24"/>
      <c r="L667" s="24"/>
      <c r="M667" s="24"/>
      <c r="N667" s="24"/>
      <c r="O667" s="24"/>
    </row>
    <row r="668">
      <c r="A668" s="16"/>
      <c r="B668" s="16"/>
      <c r="C668" s="16"/>
      <c r="D668" s="16"/>
      <c r="E668" s="16"/>
      <c r="F668" s="20"/>
      <c r="G668" s="20"/>
      <c r="H668" s="20"/>
      <c r="I668" s="20"/>
      <c r="J668" s="24"/>
      <c r="K668" s="24"/>
      <c r="L668" s="24"/>
      <c r="M668" s="24"/>
      <c r="N668" s="24"/>
      <c r="O668" s="24"/>
    </row>
    <row r="669">
      <c r="A669" s="16"/>
      <c r="B669" s="16"/>
      <c r="C669" s="16"/>
      <c r="D669" s="16"/>
      <c r="E669" s="16"/>
      <c r="F669" s="20"/>
      <c r="G669" s="20"/>
      <c r="H669" s="20"/>
      <c r="I669" s="20"/>
      <c r="J669" s="24"/>
      <c r="K669" s="24"/>
      <c r="L669" s="24"/>
      <c r="M669" s="24"/>
      <c r="N669" s="24"/>
      <c r="O669" s="24"/>
    </row>
    <row r="670">
      <c r="A670" s="16"/>
      <c r="B670" s="16"/>
      <c r="C670" s="16"/>
      <c r="D670" s="16"/>
      <c r="E670" s="16"/>
      <c r="F670" s="20"/>
      <c r="G670" s="20"/>
      <c r="H670" s="20"/>
      <c r="I670" s="20"/>
      <c r="J670" s="24"/>
      <c r="K670" s="24"/>
      <c r="L670" s="24"/>
      <c r="M670" s="24"/>
      <c r="N670" s="24"/>
      <c r="O670" s="24"/>
    </row>
    <row r="671">
      <c r="A671" s="16"/>
      <c r="B671" s="16"/>
      <c r="C671" s="16"/>
      <c r="D671" s="16"/>
      <c r="E671" s="16"/>
      <c r="F671" s="20"/>
      <c r="G671" s="20"/>
      <c r="H671" s="20"/>
      <c r="I671" s="20"/>
      <c r="J671" s="24"/>
      <c r="K671" s="24"/>
      <c r="L671" s="24"/>
      <c r="M671" s="24"/>
      <c r="N671" s="24"/>
      <c r="O671" s="24"/>
    </row>
    <row r="672">
      <c r="A672" s="16"/>
      <c r="B672" s="16"/>
      <c r="C672" s="16"/>
      <c r="D672" s="16"/>
      <c r="E672" s="16"/>
      <c r="F672" s="20"/>
      <c r="G672" s="20"/>
      <c r="H672" s="20"/>
      <c r="I672" s="20"/>
      <c r="J672" s="24"/>
      <c r="K672" s="24"/>
      <c r="L672" s="24"/>
      <c r="M672" s="24"/>
      <c r="N672" s="24"/>
      <c r="O672" s="24"/>
    </row>
    <row r="673">
      <c r="A673" s="16"/>
      <c r="B673" s="16"/>
      <c r="C673" s="16"/>
      <c r="D673" s="16"/>
      <c r="E673" s="16"/>
      <c r="F673" s="20"/>
      <c r="G673" s="20"/>
      <c r="H673" s="20"/>
      <c r="I673" s="20"/>
      <c r="J673" s="24"/>
      <c r="K673" s="24"/>
      <c r="L673" s="24"/>
      <c r="M673" s="24"/>
      <c r="N673" s="24"/>
      <c r="O673" s="24"/>
    </row>
    <row r="674">
      <c r="A674" s="16"/>
      <c r="B674" s="16"/>
      <c r="C674" s="16"/>
      <c r="D674" s="16"/>
      <c r="E674" s="16"/>
      <c r="F674" s="20"/>
      <c r="G674" s="20"/>
      <c r="H674" s="20"/>
      <c r="I674" s="20"/>
      <c r="J674" s="24"/>
      <c r="K674" s="24"/>
      <c r="L674" s="24"/>
      <c r="M674" s="24"/>
      <c r="N674" s="24"/>
      <c r="O674" s="24"/>
    </row>
    <row r="675">
      <c r="A675" s="16"/>
      <c r="B675" s="16"/>
      <c r="C675" s="16"/>
      <c r="D675" s="16"/>
      <c r="E675" s="16"/>
      <c r="F675" s="20"/>
      <c r="G675" s="20"/>
      <c r="H675" s="20"/>
      <c r="I675" s="20"/>
      <c r="J675" s="24"/>
      <c r="K675" s="24"/>
      <c r="L675" s="24"/>
      <c r="M675" s="24"/>
      <c r="N675" s="24"/>
      <c r="O675" s="24"/>
    </row>
    <row r="676">
      <c r="A676" s="16"/>
      <c r="B676" s="16"/>
      <c r="C676" s="16"/>
      <c r="D676" s="16"/>
      <c r="E676" s="16"/>
      <c r="F676" s="20"/>
      <c r="G676" s="20"/>
      <c r="H676" s="20"/>
      <c r="I676" s="20"/>
      <c r="J676" s="24"/>
      <c r="K676" s="24"/>
      <c r="L676" s="24"/>
      <c r="M676" s="24"/>
      <c r="N676" s="24"/>
      <c r="O676" s="24"/>
    </row>
    <row r="677">
      <c r="A677" s="16"/>
      <c r="B677" s="16"/>
      <c r="C677" s="16"/>
      <c r="D677" s="16"/>
      <c r="E677" s="16"/>
      <c r="F677" s="20"/>
      <c r="G677" s="20"/>
      <c r="H677" s="20"/>
      <c r="I677" s="20"/>
      <c r="J677" s="24"/>
      <c r="K677" s="24"/>
      <c r="L677" s="24"/>
      <c r="M677" s="24"/>
      <c r="N677" s="24"/>
      <c r="O677" s="24"/>
    </row>
    <row r="678">
      <c r="A678" s="16"/>
      <c r="B678" s="16"/>
      <c r="C678" s="16"/>
      <c r="D678" s="16"/>
      <c r="E678" s="16"/>
      <c r="F678" s="20"/>
      <c r="G678" s="20"/>
      <c r="H678" s="20"/>
      <c r="I678" s="20"/>
      <c r="J678" s="24"/>
      <c r="K678" s="24"/>
      <c r="L678" s="24"/>
      <c r="M678" s="24"/>
      <c r="N678" s="24"/>
      <c r="O678" s="24"/>
    </row>
    <row r="679">
      <c r="A679" s="16"/>
      <c r="B679" s="16"/>
      <c r="C679" s="16"/>
      <c r="D679" s="16"/>
      <c r="E679" s="16"/>
      <c r="F679" s="20"/>
      <c r="G679" s="20"/>
      <c r="H679" s="20"/>
      <c r="I679" s="20"/>
      <c r="J679" s="24"/>
      <c r="K679" s="24"/>
      <c r="L679" s="24"/>
      <c r="M679" s="24"/>
      <c r="N679" s="24"/>
      <c r="O679" s="24"/>
    </row>
    <row r="680">
      <c r="A680" s="16"/>
      <c r="B680" s="16"/>
      <c r="C680" s="16"/>
      <c r="D680" s="16"/>
      <c r="E680" s="16"/>
      <c r="F680" s="20"/>
      <c r="G680" s="20"/>
      <c r="H680" s="20"/>
      <c r="I680" s="20"/>
      <c r="J680" s="24"/>
      <c r="K680" s="24"/>
      <c r="L680" s="24"/>
      <c r="M680" s="24"/>
      <c r="N680" s="24"/>
      <c r="O680" s="24"/>
    </row>
    <row r="681">
      <c r="A681" s="16"/>
      <c r="B681" s="16"/>
      <c r="C681" s="16"/>
      <c r="D681" s="16"/>
      <c r="E681" s="16"/>
      <c r="F681" s="20"/>
      <c r="G681" s="20"/>
      <c r="H681" s="20"/>
      <c r="I681" s="20"/>
      <c r="J681" s="24"/>
      <c r="K681" s="24"/>
      <c r="L681" s="24"/>
      <c r="M681" s="24"/>
      <c r="N681" s="24"/>
      <c r="O681" s="24"/>
    </row>
    <row r="682">
      <c r="A682" s="16"/>
      <c r="B682" s="16"/>
      <c r="C682" s="16"/>
      <c r="D682" s="16"/>
      <c r="E682" s="16"/>
      <c r="F682" s="20"/>
      <c r="G682" s="20"/>
      <c r="H682" s="20"/>
      <c r="I682" s="20"/>
      <c r="J682" s="24"/>
      <c r="K682" s="24"/>
      <c r="L682" s="24"/>
      <c r="M682" s="24"/>
      <c r="N682" s="24"/>
      <c r="O682" s="24"/>
    </row>
    <row r="683">
      <c r="A683" s="16"/>
      <c r="B683" s="16"/>
      <c r="C683" s="16"/>
      <c r="D683" s="16"/>
      <c r="E683" s="16"/>
      <c r="F683" s="20"/>
      <c r="G683" s="20"/>
      <c r="H683" s="20"/>
      <c r="I683" s="20"/>
      <c r="J683" s="24"/>
      <c r="K683" s="24"/>
      <c r="L683" s="24"/>
      <c r="M683" s="24"/>
      <c r="N683" s="24"/>
      <c r="O683" s="24"/>
    </row>
    <row r="684">
      <c r="A684" s="16"/>
      <c r="B684" s="16"/>
      <c r="C684" s="16"/>
      <c r="D684" s="16"/>
      <c r="E684" s="16"/>
      <c r="F684" s="20"/>
      <c r="G684" s="20"/>
      <c r="H684" s="20"/>
      <c r="I684" s="20"/>
      <c r="J684" s="24"/>
      <c r="K684" s="24"/>
      <c r="L684" s="24"/>
      <c r="M684" s="24"/>
      <c r="N684" s="24"/>
      <c r="O684" s="24"/>
    </row>
    <row r="685">
      <c r="A685" s="16"/>
      <c r="B685" s="16"/>
      <c r="C685" s="16"/>
      <c r="D685" s="16"/>
      <c r="E685" s="16"/>
      <c r="F685" s="20"/>
      <c r="G685" s="20"/>
      <c r="H685" s="20"/>
      <c r="I685" s="20"/>
      <c r="J685" s="24"/>
      <c r="K685" s="24"/>
      <c r="L685" s="24"/>
      <c r="M685" s="24"/>
      <c r="N685" s="24"/>
      <c r="O685" s="24"/>
    </row>
    <row r="686">
      <c r="A686" s="16"/>
      <c r="B686" s="16"/>
      <c r="C686" s="16"/>
      <c r="D686" s="16"/>
      <c r="E686" s="16"/>
      <c r="F686" s="20"/>
      <c r="G686" s="20"/>
      <c r="H686" s="20"/>
      <c r="I686" s="20"/>
      <c r="J686" s="24"/>
      <c r="K686" s="24"/>
      <c r="L686" s="24"/>
      <c r="M686" s="24"/>
      <c r="N686" s="24"/>
      <c r="O686" s="24"/>
    </row>
    <row r="687">
      <c r="A687" s="16"/>
      <c r="B687" s="16"/>
      <c r="C687" s="16"/>
      <c r="D687" s="16"/>
      <c r="E687" s="16"/>
      <c r="F687" s="20"/>
      <c r="G687" s="20"/>
      <c r="H687" s="20"/>
      <c r="I687" s="20"/>
      <c r="J687" s="24"/>
      <c r="K687" s="24"/>
      <c r="L687" s="24"/>
      <c r="M687" s="24"/>
      <c r="N687" s="24"/>
      <c r="O687" s="24"/>
    </row>
    <row r="688">
      <c r="A688" s="16"/>
      <c r="B688" s="16"/>
      <c r="C688" s="16"/>
      <c r="D688" s="16"/>
      <c r="E688" s="16"/>
      <c r="F688" s="20"/>
      <c r="G688" s="20"/>
      <c r="H688" s="20"/>
      <c r="I688" s="20"/>
      <c r="J688" s="24"/>
      <c r="K688" s="24"/>
      <c r="L688" s="24"/>
      <c r="M688" s="24"/>
      <c r="N688" s="24"/>
      <c r="O688" s="24"/>
    </row>
    <row r="689">
      <c r="A689" s="16"/>
      <c r="B689" s="16"/>
      <c r="C689" s="16"/>
      <c r="D689" s="16"/>
      <c r="E689" s="16"/>
      <c r="F689" s="20"/>
      <c r="G689" s="20"/>
      <c r="H689" s="20"/>
      <c r="I689" s="20"/>
      <c r="J689" s="24"/>
      <c r="K689" s="24"/>
      <c r="L689" s="24"/>
      <c r="M689" s="24"/>
      <c r="N689" s="24"/>
      <c r="O689" s="24"/>
    </row>
    <row r="690">
      <c r="A690" s="16"/>
      <c r="B690" s="16"/>
      <c r="C690" s="16"/>
      <c r="D690" s="16"/>
      <c r="E690" s="16"/>
      <c r="F690" s="20"/>
      <c r="G690" s="20"/>
      <c r="H690" s="20"/>
      <c r="I690" s="20"/>
      <c r="J690" s="24"/>
      <c r="K690" s="24"/>
      <c r="L690" s="24"/>
      <c r="M690" s="24"/>
      <c r="N690" s="24"/>
      <c r="O690" s="24"/>
    </row>
    <row r="691">
      <c r="A691" s="16"/>
      <c r="B691" s="16"/>
      <c r="C691" s="16"/>
      <c r="D691" s="16"/>
      <c r="E691" s="16"/>
      <c r="F691" s="20"/>
      <c r="G691" s="20"/>
      <c r="H691" s="20"/>
      <c r="I691" s="20"/>
      <c r="J691" s="24"/>
      <c r="K691" s="24"/>
      <c r="L691" s="24"/>
      <c r="M691" s="24"/>
      <c r="N691" s="24"/>
      <c r="O691" s="24"/>
    </row>
    <row r="692">
      <c r="A692" s="16"/>
      <c r="B692" s="16"/>
      <c r="C692" s="16"/>
      <c r="D692" s="16"/>
      <c r="E692" s="16"/>
      <c r="F692" s="20"/>
      <c r="G692" s="20"/>
      <c r="H692" s="20"/>
      <c r="I692" s="20"/>
      <c r="J692" s="24"/>
      <c r="K692" s="24"/>
      <c r="L692" s="24"/>
      <c r="M692" s="24"/>
      <c r="N692" s="24"/>
      <c r="O692" s="24"/>
    </row>
    <row r="693">
      <c r="A693" s="16"/>
      <c r="B693" s="16"/>
      <c r="C693" s="16"/>
      <c r="D693" s="16"/>
      <c r="E693" s="16"/>
      <c r="F693" s="20"/>
      <c r="G693" s="20"/>
      <c r="H693" s="20"/>
      <c r="I693" s="20"/>
      <c r="J693" s="24"/>
      <c r="K693" s="24"/>
      <c r="L693" s="24"/>
      <c r="M693" s="24"/>
      <c r="N693" s="24"/>
      <c r="O693" s="24"/>
    </row>
    <row r="694">
      <c r="A694" s="16"/>
      <c r="B694" s="16"/>
      <c r="C694" s="16"/>
      <c r="D694" s="16"/>
      <c r="E694" s="16"/>
      <c r="F694" s="20"/>
      <c r="G694" s="20"/>
      <c r="H694" s="20"/>
      <c r="I694" s="20"/>
      <c r="J694" s="24"/>
      <c r="K694" s="24"/>
      <c r="L694" s="24"/>
      <c r="M694" s="24"/>
      <c r="N694" s="24"/>
      <c r="O694" s="24"/>
    </row>
    <row r="695">
      <c r="A695" s="16"/>
      <c r="B695" s="16"/>
      <c r="C695" s="16"/>
      <c r="D695" s="16"/>
      <c r="E695" s="16"/>
      <c r="F695" s="20"/>
      <c r="G695" s="20"/>
      <c r="H695" s="20"/>
      <c r="I695" s="20"/>
      <c r="J695" s="24"/>
      <c r="K695" s="24"/>
      <c r="L695" s="24"/>
      <c r="M695" s="24"/>
      <c r="N695" s="24"/>
      <c r="O695" s="24"/>
    </row>
    <row r="696">
      <c r="A696" s="16"/>
      <c r="B696" s="16"/>
      <c r="C696" s="16"/>
      <c r="D696" s="16"/>
      <c r="E696" s="16"/>
      <c r="F696" s="20"/>
      <c r="G696" s="20"/>
      <c r="H696" s="20"/>
      <c r="I696" s="20"/>
      <c r="J696" s="24"/>
      <c r="K696" s="24"/>
      <c r="L696" s="24"/>
      <c r="M696" s="24"/>
      <c r="N696" s="24"/>
      <c r="O696" s="24"/>
    </row>
    <row r="697">
      <c r="A697" s="16"/>
      <c r="B697" s="16"/>
      <c r="C697" s="16"/>
      <c r="D697" s="16"/>
      <c r="E697" s="16"/>
      <c r="F697" s="20"/>
      <c r="G697" s="20"/>
      <c r="H697" s="20"/>
      <c r="I697" s="20"/>
      <c r="J697" s="24"/>
      <c r="K697" s="24"/>
      <c r="L697" s="24"/>
      <c r="M697" s="24"/>
      <c r="N697" s="24"/>
      <c r="O697" s="24"/>
    </row>
    <row r="698">
      <c r="A698" s="16"/>
      <c r="B698" s="16"/>
      <c r="C698" s="16"/>
      <c r="D698" s="16"/>
      <c r="E698" s="16"/>
      <c r="F698" s="20"/>
      <c r="G698" s="20"/>
      <c r="H698" s="20"/>
      <c r="I698" s="20"/>
      <c r="J698" s="24"/>
      <c r="K698" s="24"/>
      <c r="L698" s="24"/>
      <c r="M698" s="24"/>
      <c r="N698" s="24"/>
      <c r="O698" s="24"/>
    </row>
    <row r="699">
      <c r="A699" s="16"/>
      <c r="B699" s="16"/>
      <c r="C699" s="16"/>
      <c r="D699" s="16"/>
      <c r="E699" s="16"/>
      <c r="F699" s="20"/>
      <c r="G699" s="20"/>
      <c r="H699" s="20"/>
      <c r="I699" s="20"/>
      <c r="J699" s="24"/>
      <c r="K699" s="24"/>
      <c r="L699" s="24"/>
      <c r="M699" s="24"/>
      <c r="N699" s="24"/>
      <c r="O699" s="24"/>
    </row>
    <row r="700">
      <c r="A700" s="16"/>
      <c r="B700" s="16"/>
      <c r="C700" s="16"/>
      <c r="D700" s="16"/>
      <c r="E700" s="16"/>
      <c r="F700" s="20"/>
      <c r="G700" s="20"/>
      <c r="H700" s="20"/>
      <c r="I700" s="20"/>
      <c r="J700" s="24"/>
      <c r="K700" s="24"/>
      <c r="L700" s="24"/>
      <c r="M700" s="24"/>
      <c r="N700" s="24"/>
      <c r="O700" s="24"/>
    </row>
    <row r="701">
      <c r="A701" s="16"/>
      <c r="B701" s="16"/>
      <c r="C701" s="16"/>
      <c r="D701" s="16"/>
      <c r="E701" s="16"/>
      <c r="F701" s="20"/>
      <c r="G701" s="20"/>
      <c r="H701" s="20"/>
      <c r="I701" s="20"/>
      <c r="J701" s="24"/>
      <c r="K701" s="24"/>
      <c r="L701" s="24"/>
      <c r="M701" s="24"/>
      <c r="N701" s="24"/>
      <c r="O701" s="24"/>
    </row>
    <row r="702">
      <c r="A702" s="16"/>
      <c r="B702" s="16"/>
      <c r="C702" s="16"/>
      <c r="D702" s="16"/>
      <c r="E702" s="16"/>
      <c r="F702" s="20"/>
      <c r="G702" s="20"/>
      <c r="H702" s="20"/>
      <c r="I702" s="20"/>
      <c r="J702" s="24"/>
      <c r="K702" s="24"/>
      <c r="L702" s="24"/>
      <c r="M702" s="24"/>
      <c r="N702" s="24"/>
      <c r="O702" s="24"/>
    </row>
    <row r="703">
      <c r="A703" s="16"/>
      <c r="B703" s="16"/>
      <c r="C703" s="16"/>
      <c r="D703" s="16"/>
      <c r="E703" s="16"/>
      <c r="F703" s="20"/>
      <c r="G703" s="20"/>
      <c r="H703" s="20"/>
      <c r="I703" s="20"/>
      <c r="J703" s="24"/>
      <c r="K703" s="24"/>
      <c r="L703" s="24"/>
      <c r="M703" s="24"/>
      <c r="N703" s="24"/>
      <c r="O703" s="24"/>
    </row>
    <row r="704">
      <c r="A704" s="16"/>
      <c r="B704" s="16"/>
      <c r="C704" s="16"/>
      <c r="D704" s="16"/>
      <c r="E704" s="16"/>
      <c r="F704" s="20"/>
      <c r="G704" s="20"/>
      <c r="H704" s="20"/>
      <c r="I704" s="20"/>
      <c r="J704" s="24"/>
      <c r="K704" s="24"/>
      <c r="L704" s="24"/>
      <c r="M704" s="24"/>
      <c r="N704" s="24"/>
      <c r="O704" s="24"/>
    </row>
    <row r="705">
      <c r="A705" s="16"/>
      <c r="B705" s="16"/>
      <c r="C705" s="16"/>
      <c r="D705" s="16"/>
      <c r="E705" s="16"/>
      <c r="F705" s="20"/>
      <c r="G705" s="20"/>
      <c r="H705" s="20"/>
      <c r="I705" s="20"/>
      <c r="J705" s="24"/>
      <c r="K705" s="24"/>
      <c r="L705" s="24"/>
      <c r="M705" s="24"/>
      <c r="N705" s="24"/>
      <c r="O705" s="24"/>
    </row>
    <row r="706">
      <c r="A706" s="16"/>
      <c r="B706" s="16"/>
      <c r="C706" s="16"/>
      <c r="D706" s="16"/>
      <c r="E706" s="16"/>
      <c r="F706" s="20"/>
      <c r="G706" s="20"/>
      <c r="H706" s="20"/>
      <c r="I706" s="20"/>
      <c r="J706" s="24"/>
      <c r="K706" s="24"/>
      <c r="L706" s="24"/>
      <c r="M706" s="24"/>
      <c r="N706" s="24"/>
      <c r="O706" s="24"/>
    </row>
    <row r="707">
      <c r="A707" s="16"/>
      <c r="B707" s="16"/>
      <c r="C707" s="16"/>
      <c r="D707" s="16"/>
      <c r="E707" s="16"/>
      <c r="F707" s="20"/>
      <c r="G707" s="20"/>
      <c r="H707" s="20"/>
      <c r="I707" s="20"/>
      <c r="J707" s="24"/>
      <c r="K707" s="24"/>
      <c r="L707" s="24"/>
      <c r="M707" s="24"/>
      <c r="N707" s="24"/>
      <c r="O707" s="24"/>
    </row>
    <row r="708">
      <c r="A708" s="16"/>
      <c r="B708" s="16"/>
      <c r="C708" s="16"/>
      <c r="D708" s="16"/>
      <c r="E708" s="16"/>
      <c r="F708" s="20"/>
      <c r="G708" s="20"/>
      <c r="H708" s="20"/>
      <c r="I708" s="20"/>
      <c r="J708" s="24"/>
      <c r="K708" s="24"/>
      <c r="L708" s="24"/>
      <c r="M708" s="24"/>
      <c r="N708" s="24"/>
      <c r="O708" s="24"/>
    </row>
    <row r="709">
      <c r="A709" s="16"/>
      <c r="B709" s="16"/>
      <c r="C709" s="16"/>
      <c r="D709" s="16"/>
      <c r="E709" s="16"/>
      <c r="F709" s="20"/>
      <c r="G709" s="20"/>
      <c r="H709" s="20"/>
      <c r="I709" s="20"/>
      <c r="J709" s="24"/>
      <c r="K709" s="24"/>
      <c r="L709" s="24"/>
      <c r="M709" s="24"/>
      <c r="N709" s="24"/>
      <c r="O709" s="24"/>
    </row>
    <row r="710">
      <c r="A710" s="16"/>
      <c r="B710" s="16"/>
      <c r="C710" s="16"/>
      <c r="D710" s="16"/>
      <c r="E710" s="16"/>
      <c r="F710" s="20"/>
      <c r="G710" s="20"/>
      <c r="H710" s="20"/>
      <c r="I710" s="20"/>
      <c r="J710" s="24"/>
      <c r="K710" s="24"/>
      <c r="L710" s="24"/>
      <c r="M710" s="24"/>
      <c r="N710" s="24"/>
      <c r="O710" s="24"/>
    </row>
    <row r="711">
      <c r="A711" s="16"/>
      <c r="B711" s="16"/>
      <c r="C711" s="16"/>
      <c r="D711" s="16"/>
      <c r="E711" s="16"/>
      <c r="F711" s="20"/>
      <c r="G711" s="20"/>
      <c r="H711" s="20"/>
      <c r="I711" s="20"/>
      <c r="J711" s="24"/>
      <c r="K711" s="24"/>
      <c r="L711" s="24"/>
      <c r="M711" s="24"/>
      <c r="N711" s="24"/>
      <c r="O711" s="24"/>
    </row>
    <row r="712">
      <c r="A712" s="16"/>
      <c r="B712" s="16"/>
      <c r="C712" s="16"/>
      <c r="D712" s="16"/>
      <c r="E712" s="16"/>
      <c r="F712" s="20"/>
      <c r="G712" s="20"/>
      <c r="H712" s="20"/>
      <c r="I712" s="20"/>
      <c r="J712" s="24"/>
      <c r="K712" s="24"/>
      <c r="L712" s="24"/>
      <c r="M712" s="24"/>
      <c r="N712" s="24"/>
      <c r="O712" s="24"/>
    </row>
    <row r="713">
      <c r="A713" s="16"/>
      <c r="B713" s="16"/>
      <c r="C713" s="16"/>
      <c r="D713" s="16"/>
      <c r="E713" s="16"/>
      <c r="F713" s="20"/>
      <c r="G713" s="20"/>
      <c r="H713" s="20"/>
      <c r="I713" s="20"/>
      <c r="J713" s="24"/>
      <c r="K713" s="24"/>
      <c r="L713" s="24"/>
      <c r="M713" s="24"/>
      <c r="N713" s="24"/>
      <c r="O713" s="24"/>
    </row>
    <row r="714">
      <c r="A714" s="16"/>
      <c r="B714" s="16"/>
      <c r="C714" s="16"/>
      <c r="D714" s="16"/>
      <c r="E714" s="16"/>
      <c r="F714" s="20"/>
      <c r="G714" s="20"/>
      <c r="H714" s="20"/>
      <c r="I714" s="20"/>
      <c r="J714" s="24"/>
      <c r="K714" s="24"/>
      <c r="L714" s="24"/>
      <c r="M714" s="24"/>
      <c r="N714" s="24"/>
      <c r="O714" s="24"/>
    </row>
    <row r="715">
      <c r="A715" s="16"/>
      <c r="B715" s="16"/>
      <c r="C715" s="16"/>
      <c r="D715" s="16"/>
      <c r="E715" s="16"/>
      <c r="F715" s="20"/>
      <c r="G715" s="20"/>
      <c r="H715" s="20"/>
      <c r="I715" s="20"/>
      <c r="J715" s="24"/>
      <c r="K715" s="24"/>
      <c r="L715" s="24"/>
      <c r="M715" s="24"/>
      <c r="N715" s="24"/>
      <c r="O715" s="24"/>
    </row>
    <row r="716">
      <c r="A716" s="16"/>
      <c r="B716" s="16"/>
      <c r="C716" s="16"/>
      <c r="D716" s="16"/>
      <c r="E716" s="16"/>
      <c r="F716" s="20"/>
      <c r="G716" s="20"/>
      <c r="H716" s="20"/>
      <c r="I716" s="20"/>
      <c r="J716" s="24"/>
      <c r="K716" s="24"/>
      <c r="L716" s="24"/>
      <c r="M716" s="24"/>
      <c r="N716" s="24"/>
      <c r="O716" s="24"/>
    </row>
    <row r="717">
      <c r="A717" s="16"/>
      <c r="B717" s="16"/>
      <c r="C717" s="16"/>
      <c r="D717" s="16"/>
      <c r="E717" s="16"/>
      <c r="F717" s="20"/>
      <c r="G717" s="20"/>
      <c r="H717" s="20"/>
      <c r="I717" s="20"/>
      <c r="J717" s="24"/>
      <c r="K717" s="24"/>
      <c r="L717" s="24"/>
      <c r="M717" s="24"/>
      <c r="N717" s="24"/>
      <c r="O717" s="24"/>
    </row>
    <row r="718">
      <c r="A718" s="16"/>
      <c r="B718" s="16"/>
      <c r="C718" s="16"/>
      <c r="D718" s="16"/>
      <c r="E718" s="16"/>
      <c r="F718" s="20"/>
      <c r="G718" s="20"/>
      <c r="H718" s="20"/>
      <c r="I718" s="20"/>
      <c r="J718" s="24"/>
      <c r="K718" s="24"/>
      <c r="L718" s="24"/>
      <c r="M718" s="24"/>
      <c r="N718" s="24"/>
      <c r="O718" s="24"/>
    </row>
    <row r="719">
      <c r="A719" s="16"/>
      <c r="B719" s="16"/>
      <c r="C719" s="16"/>
      <c r="D719" s="16"/>
      <c r="E719" s="16"/>
      <c r="F719" s="20"/>
      <c r="G719" s="20"/>
      <c r="H719" s="20"/>
      <c r="I719" s="20"/>
      <c r="J719" s="24"/>
      <c r="K719" s="24"/>
      <c r="L719" s="24"/>
      <c r="M719" s="24"/>
      <c r="N719" s="24"/>
      <c r="O719" s="24"/>
    </row>
    <row r="720">
      <c r="A720" s="16"/>
      <c r="B720" s="16"/>
      <c r="C720" s="16"/>
      <c r="D720" s="16"/>
      <c r="E720" s="16"/>
      <c r="F720" s="20"/>
      <c r="G720" s="20"/>
      <c r="H720" s="20"/>
      <c r="I720" s="20"/>
      <c r="J720" s="24"/>
      <c r="K720" s="24"/>
      <c r="L720" s="24"/>
      <c r="M720" s="24"/>
      <c r="N720" s="24"/>
      <c r="O720" s="24"/>
    </row>
    <row r="721">
      <c r="A721" s="16"/>
      <c r="B721" s="16"/>
      <c r="C721" s="16"/>
      <c r="D721" s="16"/>
      <c r="E721" s="16"/>
      <c r="F721" s="20"/>
      <c r="G721" s="20"/>
      <c r="H721" s="20"/>
      <c r="I721" s="20"/>
      <c r="J721" s="24"/>
      <c r="K721" s="24"/>
      <c r="L721" s="24"/>
      <c r="M721" s="24"/>
      <c r="N721" s="24"/>
      <c r="O721" s="24"/>
    </row>
    <row r="722">
      <c r="A722" s="16"/>
      <c r="B722" s="16"/>
      <c r="C722" s="16"/>
      <c r="D722" s="16"/>
      <c r="E722" s="16"/>
      <c r="F722" s="20"/>
      <c r="G722" s="20"/>
      <c r="H722" s="20"/>
      <c r="I722" s="20"/>
      <c r="J722" s="24"/>
      <c r="K722" s="24"/>
      <c r="L722" s="24"/>
      <c r="M722" s="24"/>
      <c r="N722" s="24"/>
      <c r="O722" s="24"/>
    </row>
    <row r="723">
      <c r="A723" s="16"/>
      <c r="B723" s="16"/>
      <c r="C723" s="16"/>
      <c r="D723" s="16"/>
      <c r="E723" s="16"/>
      <c r="F723" s="20"/>
      <c r="G723" s="20"/>
      <c r="H723" s="20"/>
      <c r="I723" s="20"/>
      <c r="J723" s="24"/>
      <c r="K723" s="24"/>
      <c r="L723" s="24"/>
      <c r="M723" s="24"/>
      <c r="N723" s="24"/>
      <c r="O723" s="24"/>
    </row>
    <row r="724">
      <c r="A724" s="16"/>
      <c r="B724" s="16"/>
      <c r="C724" s="16"/>
      <c r="D724" s="16"/>
      <c r="E724" s="16"/>
      <c r="F724" s="20"/>
      <c r="G724" s="20"/>
      <c r="H724" s="20"/>
      <c r="I724" s="20"/>
      <c r="J724" s="24"/>
      <c r="K724" s="24"/>
      <c r="L724" s="24"/>
      <c r="M724" s="24"/>
      <c r="N724" s="24"/>
      <c r="O724" s="24"/>
    </row>
    <row r="725">
      <c r="A725" s="16"/>
      <c r="B725" s="16"/>
      <c r="C725" s="16"/>
      <c r="D725" s="16"/>
      <c r="E725" s="16"/>
      <c r="F725" s="20"/>
      <c r="G725" s="20"/>
      <c r="H725" s="20"/>
      <c r="I725" s="20"/>
      <c r="J725" s="24"/>
      <c r="K725" s="24"/>
      <c r="L725" s="24"/>
      <c r="M725" s="24"/>
      <c r="N725" s="24"/>
      <c r="O725" s="24"/>
    </row>
    <row r="726">
      <c r="A726" s="16"/>
      <c r="B726" s="16"/>
      <c r="C726" s="16"/>
      <c r="D726" s="16"/>
      <c r="E726" s="16"/>
      <c r="F726" s="20"/>
      <c r="G726" s="20"/>
      <c r="H726" s="20"/>
      <c r="I726" s="20"/>
      <c r="J726" s="24"/>
      <c r="K726" s="24"/>
      <c r="L726" s="24"/>
      <c r="M726" s="24"/>
      <c r="N726" s="24"/>
      <c r="O726" s="24"/>
    </row>
    <row r="727">
      <c r="A727" s="16"/>
      <c r="B727" s="16"/>
      <c r="C727" s="16"/>
      <c r="D727" s="16"/>
      <c r="E727" s="16"/>
      <c r="F727" s="20"/>
      <c r="G727" s="20"/>
      <c r="H727" s="20"/>
      <c r="I727" s="20"/>
      <c r="J727" s="24"/>
      <c r="K727" s="24"/>
      <c r="L727" s="24"/>
      <c r="M727" s="24"/>
      <c r="N727" s="24"/>
      <c r="O727" s="24"/>
    </row>
    <row r="728">
      <c r="A728" s="16"/>
      <c r="B728" s="16"/>
      <c r="C728" s="16"/>
      <c r="D728" s="16"/>
      <c r="E728" s="16"/>
      <c r="F728" s="20"/>
      <c r="G728" s="20"/>
      <c r="H728" s="20"/>
      <c r="I728" s="20"/>
      <c r="J728" s="24"/>
      <c r="K728" s="24"/>
      <c r="L728" s="24"/>
      <c r="M728" s="24"/>
      <c r="N728" s="24"/>
      <c r="O728" s="24"/>
    </row>
    <row r="729">
      <c r="A729" s="16"/>
      <c r="B729" s="16"/>
      <c r="C729" s="16"/>
      <c r="D729" s="16"/>
      <c r="E729" s="16"/>
      <c r="F729" s="20"/>
      <c r="G729" s="20"/>
      <c r="H729" s="20"/>
      <c r="I729" s="20"/>
      <c r="J729" s="24"/>
      <c r="K729" s="24"/>
      <c r="L729" s="24"/>
      <c r="M729" s="24"/>
      <c r="N729" s="24"/>
      <c r="O729" s="24"/>
    </row>
    <row r="730">
      <c r="A730" s="16"/>
      <c r="B730" s="16"/>
      <c r="C730" s="16"/>
      <c r="D730" s="16"/>
      <c r="E730" s="16"/>
      <c r="F730" s="20"/>
      <c r="G730" s="20"/>
      <c r="H730" s="20"/>
      <c r="I730" s="20"/>
      <c r="J730" s="24"/>
      <c r="K730" s="24"/>
      <c r="L730" s="24"/>
      <c r="M730" s="24"/>
      <c r="N730" s="24"/>
      <c r="O730" s="24"/>
    </row>
    <row r="731">
      <c r="A731" s="16"/>
      <c r="B731" s="16"/>
      <c r="C731" s="16"/>
      <c r="D731" s="16"/>
      <c r="E731" s="16"/>
      <c r="F731" s="20"/>
      <c r="G731" s="20"/>
      <c r="H731" s="20"/>
      <c r="I731" s="20"/>
      <c r="J731" s="24"/>
      <c r="K731" s="24"/>
      <c r="L731" s="24"/>
      <c r="M731" s="24"/>
      <c r="N731" s="24"/>
      <c r="O731" s="24"/>
    </row>
    <row r="732">
      <c r="A732" s="16"/>
      <c r="B732" s="16"/>
      <c r="C732" s="16"/>
      <c r="D732" s="16"/>
      <c r="E732" s="16"/>
      <c r="F732" s="20"/>
      <c r="G732" s="20"/>
      <c r="H732" s="20"/>
      <c r="I732" s="20"/>
      <c r="J732" s="24"/>
      <c r="K732" s="24"/>
      <c r="L732" s="24"/>
      <c r="M732" s="24"/>
      <c r="N732" s="24"/>
      <c r="O732" s="24"/>
    </row>
    <row r="733">
      <c r="A733" s="16"/>
      <c r="B733" s="16"/>
      <c r="C733" s="16"/>
      <c r="D733" s="16"/>
      <c r="E733" s="16"/>
      <c r="F733" s="20"/>
      <c r="G733" s="20"/>
      <c r="H733" s="20"/>
      <c r="I733" s="20"/>
      <c r="J733" s="24"/>
      <c r="K733" s="24"/>
      <c r="L733" s="24"/>
      <c r="M733" s="24"/>
      <c r="N733" s="24"/>
      <c r="O733" s="24"/>
    </row>
    <row r="734">
      <c r="A734" s="16"/>
      <c r="B734" s="16"/>
      <c r="C734" s="16"/>
      <c r="D734" s="16"/>
      <c r="E734" s="16"/>
      <c r="F734" s="20"/>
      <c r="G734" s="20"/>
      <c r="H734" s="20"/>
      <c r="I734" s="20"/>
      <c r="J734" s="24"/>
      <c r="K734" s="24"/>
      <c r="L734" s="24"/>
      <c r="M734" s="24"/>
      <c r="N734" s="24"/>
      <c r="O734" s="24"/>
    </row>
    <row r="735">
      <c r="A735" s="16"/>
      <c r="B735" s="16"/>
      <c r="C735" s="16"/>
      <c r="D735" s="16"/>
      <c r="E735" s="16"/>
      <c r="F735" s="20"/>
      <c r="G735" s="20"/>
      <c r="H735" s="20"/>
      <c r="I735" s="20"/>
      <c r="J735" s="24"/>
      <c r="K735" s="24"/>
      <c r="L735" s="24"/>
      <c r="M735" s="24"/>
      <c r="N735" s="24"/>
      <c r="O735" s="24"/>
    </row>
    <row r="736">
      <c r="A736" s="16"/>
      <c r="B736" s="16"/>
      <c r="C736" s="16"/>
      <c r="D736" s="16"/>
      <c r="E736" s="16"/>
      <c r="F736" s="20"/>
      <c r="G736" s="20"/>
      <c r="H736" s="20"/>
      <c r="I736" s="20"/>
      <c r="J736" s="24"/>
      <c r="K736" s="24"/>
      <c r="L736" s="24"/>
      <c r="M736" s="24"/>
      <c r="N736" s="24"/>
      <c r="O736" s="24"/>
    </row>
    <row r="737">
      <c r="A737" s="16"/>
      <c r="B737" s="16"/>
      <c r="C737" s="16"/>
      <c r="D737" s="16"/>
      <c r="E737" s="16"/>
      <c r="F737" s="20"/>
      <c r="G737" s="20"/>
      <c r="H737" s="20"/>
      <c r="I737" s="20"/>
      <c r="J737" s="24"/>
      <c r="K737" s="24"/>
      <c r="L737" s="24"/>
      <c r="M737" s="24"/>
      <c r="N737" s="24"/>
      <c r="O737" s="24"/>
    </row>
    <row r="738">
      <c r="A738" s="16"/>
      <c r="B738" s="16"/>
      <c r="C738" s="16"/>
      <c r="D738" s="16"/>
      <c r="E738" s="16"/>
      <c r="F738" s="20"/>
      <c r="G738" s="20"/>
      <c r="H738" s="20"/>
      <c r="I738" s="20"/>
      <c r="J738" s="24"/>
      <c r="K738" s="24"/>
      <c r="L738" s="24"/>
      <c r="M738" s="24"/>
      <c r="N738" s="24"/>
      <c r="O738" s="24"/>
    </row>
    <row r="739">
      <c r="A739" s="16"/>
      <c r="B739" s="16"/>
      <c r="C739" s="16"/>
      <c r="D739" s="16"/>
      <c r="E739" s="16"/>
      <c r="F739" s="20"/>
      <c r="G739" s="20"/>
      <c r="H739" s="20"/>
      <c r="I739" s="20"/>
      <c r="J739" s="24"/>
      <c r="K739" s="24"/>
      <c r="L739" s="24"/>
      <c r="M739" s="24"/>
      <c r="N739" s="24"/>
      <c r="O739" s="24"/>
    </row>
    <row r="740">
      <c r="A740" s="16"/>
      <c r="B740" s="16"/>
      <c r="C740" s="16"/>
      <c r="D740" s="16"/>
      <c r="E740" s="16"/>
      <c r="F740" s="20"/>
      <c r="G740" s="20"/>
      <c r="H740" s="20"/>
      <c r="I740" s="20"/>
      <c r="J740" s="24"/>
      <c r="K740" s="24"/>
      <c r="L740" s="24"/>
      <c r="M740" s="24"/>
      <c r="N740" s="24"/>
      <c r="O740" s="24"/>
    </row>
    <row r="741">
      <c r="A741" s="16"/>
      <c r="B741" s="16"/>
      <c r="C741" s="16"/>
      <c r="D741" s="16"/>
      <c r="E741" s="16"/>
      <c r="F741" s="20"/>
      <c r="G741" s="20"/>
      <c r="H741" s="20"/>
      <c r="I741" s="20"/>
      <c r="J741" s="24"/>
      <c r="K741" s="24"/>
      <c r="L741" s="24"/>
      <c r="M741" s="24"/>
      <c r="N741" s="24"/>
      <c r="O741" s="24"/>
    </row>
    <row r="742">
      <c r="A742" s="16"/>
      <c r="B742" s="16"/>
      <c r="C742" s="16"/>
      <c r="D742" s="16"/>
      <c r="E742" s="16"/>
      <c r="F742" s="20"/>
      <c r="G742" s="20"/>
      <c r="H742" s="20"/>
      <c r="I742" s="20"/>
      <c r="J742" s="24"/>
      <c r="K742" s="24"/>
      <c r="L742" s="24"/>
      <c r="M742" s="24"/>
      <c r="N742" s="24"/>
      <c r="O742" s="24"/>
    </row>
    <row r="743">
      <c r="A743" s="16"/>
      <c r="B743" s="16"/>
      <c r="C743" s="16"/>
      <c r="D743" s="16"/>
      <c r="E743" s="16"/>
      <c r="F743" s="20"/>
      <c r="G743" s="20"/>
      <c r="H743" s="20"/>
      <c r="I743" s="20"/>
      <c r="J743" s="24"/>
      <c r="K743" s="24"/>
      <c r="L743" s="24"/>
      <c r="M743" s="24"/>
      <c r="N743" s="24"/>
      <c r="O743" s="24"/>
    </row>
    <row r="744">
      <c r="A744" s="16"/>
      <c r="B744" s="16"/>
      <c r="C744" s="16"/>
      <c r="D744" s="16"/>
      <c r="E744" s="16"/>
      <c r="F744" s="20"/>
      <c r="G744" s="20"/>
      <c r="H744" s="20"/>
      <c r="I744" s="20"/>
      <c r="J744" s="24"/>
      <c r="K744" s="24"/>
      <c r="L744" s="24"/>
      <c r="M744" s="24"/>
      <c r="N744" s="24"/>
      <c r="O744" s="24"/>
    </row>
    <row r="745">
      <c r="A745" s="16"/>
      <c r="B745" s="16"/>
      <c r="C745" s="16"/>
      <c r="D745" s="16"/>
      <c r="E745" s="16"/>
      <c r="F745" s="20"/>
      <c r="G745" s="20"/>
      <c r="H745" s="20"/>
      <c r="I745" s="20"/>
      <c r="J745" s="24"/>
      <c r="K745" s="24"/>
      <c r="L745" s="24"/>
      <c r="M745" s="24"/>
      <c r="N745" s="24"/>
      <c r="O745" s="24"/>
    </row>
    <row r="746">
      <c r="A746" s="16"/>
      <c r="B746" s="16"/>
      <c r="C746" s="16"/>
      <c r="D746" s="16"/>
      <c r="E746" s="16"/>
      <c r="F746" s="20"/>
      <c r="G746" s="20"/>
      <c r="H746" s="20"/>
      <c r="I746" s="20"/>
      <c r="J746" s="24"/>
      <c r="K746" s="24"/>
      <c r="L746" s="24"/>
      <c r="M746" s="24"/>
      <c r="N746" s="24"/>
      <c r="O746" s="24"/>
    </row>
    <row r="747">
      <c r="A747" s="16"/>
      <c r="B747" s="16"/>
      <c r="C747" s="16"/>
      <c r="D747" s="16"/>
      <c r="E747" s="16"/>
      <c r="F747" s="20"/>
      <c r="G747" s="20"/>
      <c r="H747" s="20"/>
      <c r="I747" s="20"/>
      <c r="J747" s="24"/>
      <c r="K747" s="24"/>
      <c r="L747" s="24"/>
      <c r="M747" s="24"/>
      <c r="N747" s="24"/>
      <c r="O747" s="24"/>
    </row>
    <row r="748">
      <c r="A748" s="16"/>
      <c r="B748" s="16"/>
      <c r="C748" s="16"/>
      <c r="D748" s="16"/>
      <c r="E748" s="16"/>
      <c r="F748" s="20"/>
      <c r="G748" s="20"/>
      <c r="H748" s="20"/>
      <c r="I748" s="20"/>
      <c r="J748" s="24"/>
      <c r="K748" s="24"/>
      <c r="L748" s="24"/>
      <c r="M748" s="24"/>
      <c r="N748" s="24"/>
      <c r="O748" s="24"/>
    </row>
    <row r="749">
      <c r="A749" s="16"/>
      <c r="B749" s="16"/>
      <c r="C749" s="16"/>
      <c r="D749" s="16"/>
      <c r="E749" s="16"/>
      <c r="F749" s="20"/>
      <c r="G749" s="20"/>
      <c r="H749" s="20"/>
      <c r="I749" s="20"/>
      <c r="J749" s="24"/>
      <c r="K749" s="24"/>
      <c r="L749" s="24"/>
      <c r="M749" s="24"/>
      <c r="N749" s="24"/>
      <c r="O749" s="24"/>
    </row>
    <row r="750">
      <c r="A750" s="16"/>
      <c r="B750" s="16"/>
      <c r="C750" s="16"/>
      <c r="D750" s="16"/>
      <c r="E750" s="16"/>
      <c r="F750" s="20"/>
      <c r="G750" s="20"/>
      <c r="H750" s="20"/>
      <c r="I750" s="20"/>
      <c r="J750" s="24"/>
      <c r="K750" s="24"/>
      <c r="L750" s="24"/>
      <c r="M750" s="24"/>
      <c r="N750" s="24"/>
      <c r="O750" s="24"/>
    </row>
    <row r="751">
      <c r="A751" s="16"/>
      <c r="B751" s="16"/>
      <c r="C751" s="16"/>
      <c r="D751" s="16"/>
      <c r="E751" s="16"/>
      <c r="F751" s="20"/>
      <c r="G751" s="20"/>
      <c r="H751" s="20"/>
      <c r="I751" s="20"/>
      <c r="J751" s="24"/>
      <c r="K751" s="24"/>
      <c r="L751" s="24"/>
      <c r="M751" s="24"/>
      <c r="N751" s="24"/>
      <c r="O751" s="24"/>
    </row>
    <row r="752">
      <c r="A752" s="16"/>
      <c r="B752" s="16"/>
      <c r="C752" s="16"/>
      <c r="D752" s="16"/>
      <c r="E752" s="16"/>
      <c r="F752" s="20"/>
      <c r="G752" s="20"/>
      <c r="H752" s="20"/>
      <c r="I752" s="20"/>
      <c r="J752" s="24"/>
      <c r="K752" s="24"/>
      <c r="L752" s="24"/>
      <c r="M752" s="24"/>
      <c r="N752" s="24"/>
      <c r="O752" s="24"/>
    </row>
    <row r="753">
      <c r="A753" s="16"/>
      <c r="B753" s="16"/>
      <c r="C753" s="16"/>
      <c r="D753" s="16"/>
      <c r="E753" s="16"/>
      <c r="F753" s="20"/>
      <c r="G753" s="20"/>
      <c r="H753" s="20"/>
      <c r="I753" s="20"/>
      <c r="J753" s="24"/>
      <c r="K753" s="24"/>
      <c r="L753" s="24"/>
      <c r="M753" s="24"/>
      <c r="N753" s="24"/>
      <c r="O753" s="24"/>
    </row>
    <row r="754">
      <c r="A754" s="16"/>
      <c r="B754" s="16"/>
      <c r="C754" s="16"/>
      <c r="D754" s="16"/>
      <c r="E754" s="16"/>
      <c r="F754" s="20"/>
      <c r="G754" s="20"/>
      <c r="H754" s="20"/>
      <c r="I754" s="20"/>
      <c r="J754" s="24"/>
      <c r="K754" s="24"/>
      <c r="L754" s="24"/>
      <c r="M754" s="24"/>
      <c r="N754" s="24"/>
      <c r="O754" s="24"/>
    </row>
    <row r="755">
      <c r="A755" s="16"/>
      <c r="B755" s="16"/>
      <c r="C755" s="16"/>
      <c r="D755" s="16"/>
      <c r="E755" s="16"/>
      <c r="F755" s="20"/>
      <c r="G755" s="20"/>
      <c r="H755" s="20"/>
      <c r="I755" s="20"/>
      <c r="J755" s="24"/>
      <c r="K755" s="24"/>
      <c r="L755" s="24"/>
      <c r="M755" s="24"/>
      <c r="N755" s="24"/>
      <c r="O755" s="24"/>
    </row>
    <row r="756">
      <c r="A756" s="16"/>
      <c r="B756" s="16"/>
      <c r="C756" s="16"/>
      <c r="D756" s="16"/>
      <c r="E756" s="16"/>
      <c r="F756" s="20"/>
      <c r="G756" s="20"/>
      <c r="H756" s="20"/>
      <c r="I756" s="20"/>
      <c r="J756" s="24"/>
      <c r="K756" s="24"/>
      <c r="L756" s="24"/>
      <c r="M756" s="24"/>
      <c r="N756" s="24"/>
      <c r="O756" s="24"/>
    </row>
    <row r="757">
      <c r="A757" s="16"/>
      <c r="B757" s="16"/>
      <c r="C757" s="16"/>
      <c r="D757" s="16"/>
      <c r="E757" s="16"/>
      <c r="F757" s="20"/>
      <c r="G757" s="20"/>
      <c r="H757" s="20"/>
      <c r="I757" s="20"/>
      <c r="J757" s="24"/>
      <c r="K757" s="24"/>
      <c r="L757" s="24"/>
      <c r="M757" s="24"/>
      <c r="N757" s="24"/>
      <c r="O757" s="24"/>
    </row>
    <row r="758">
      <c r="A758" s="16"/>
      <c r="B758" s="16"/>
      <c r="C758" s="16"/>
      <c r="D758" s="16"/>
      <c r="E758" s="16"/>
      <c r="F758" s="20"/>
      <c r="G758" s="20"/>
      <c r="H758" s="20"/>
      <c r="I758" s="20"/>
      <c r="J758" s="24"/>
      <c r="K758" s="24"/>
      <c r="L758" s="24"/>
      <c r="M758" s="24"/>
      <c r="N758" s="24"/>
      <c r="O758" s="24"/>
    </row>
    <row r="759">
      <c r="A759" s="16"/>
      <c r="B759" s="16"/>
      <c r="C759" s="16"/>
      <c r="D759" s="16"/>
      <c r="E759" s="16"/>
      <c r="F759" s="20"/>
      <c r="G759" s="20"/>
      <c r="H759" s="20"/>
      <c r="I759" s="20"/>
      <c r="J759" s="24"/>
      <c r="K759" s="24"/>
      <c r="L759" s="24"/>
      <c r="M759" s="24"/>
      <c r="N759" s="24"/>
      <c r="O759" s="24"/>
    </row>
    <row r="760">
      <c r="A760" s="16"/>
      <c r="B760" s="16"/>
      <c r="C760" s="16"/>
      <c r="D760" s="16"/>
      <c r="E760" s="16"/>
      <c r="F760" s="20"/>
      <c r="G760" s="20"/>
      <c r="H760" s="20"/>
      <c r="I760" s="20"/>
      <c r="J760" s="24"/>
      <c r="K760" s="24"/>
      <c r="L760" s="24"/>
      <c r="M760" s="24"/>
      <c r="N760" s="24"/>
      <c r="O760" s="24"/>
    </row>
    <row r="761">
      <c r="A761" s="16"/>
      <c r="B761" s="16"/>
      <c r="C761" s="16"/>
      <c r="D761" s="16"/>
      <c r="E761" s="16"/>
      <c r="F761" s="20"/>
      <c r="G761" s="20"/>
      <c r="H761" s="20"/>
      <c r="I761" s="20"/>
      <c r="J761" s="24"/>
      <c r="K761" s="24"/>
      <c r="L761" s="24"/>
      <c r="M761" s="24"/>
      <c r="N761" s="24"/>
      <c r="O761" s="24"/>
    </row>
    <row r="762">
      <c r="A762" s="16"/>
      <c r="B762" s="16"/>
      <c r="C762" s="16"/>
      <c r="D762" s="16"/>
      <c r="E762" s="16"/>
      <c r="F762" s="20"/>
      <c r="G762" s="20"/>
      <c r="H762" s="20"/>
      <c r="I762" s="20"/>
      <c r="J762" s="24"/>
      <c r="K762" s="24"/>
      <c r="L762" s="24"/>
      <c r="M762" s="24"/>
      <c r="N762" s="24"/>
      <c r="O762" s="24"/>
    </row>
    <row r="763">
      <c r="A763" s="16"/>
      <c r="B763" s="16"/>
      <c r="C763" s="16"/>
      <c r="D763" s="16"/>
      <c r="E763" s="16"/>
      <c r="F763" s="20"/>
      <c r="G763" s="20"/>
      <c r="H763" s="20"/>
      <c r="I763" s="20"/>
      <c r="J763" s="24"/>
      <c r="K763" s="24"/>
      <c r="L763" s="24"/>
      <c r="M763" s="24"/>
      <c r="N763" s="24"/>
      <c r="O763" s="24"/>
    </row>
    <row r="764">
      <c r="A764" s="16"/>
      <c r="B764" s="16"/>
      <c r="C764" s="16"/>
      <c r="D764" s="16"/>
      <c r="E764" s="16"/>
      <c r="F764" s="20"/>
      <c r="G764" s="20"/>
      <c r="H764" s="20"/>
      <c r="I764" s="20"/>
      <c r="J764" s="24"/>
      <c r="K764" s="24"/>
      <c r="L764" s="24"/>
      <c r="M764" s="24"/>
      <c r="N764" s="24"/>
      <c r="O764" s="24"/>
    </row>
    <row r="765">
      <c r="A765" s="16"/>
      <c r="B765" s="16"/>
      <c r="C765" s="16"/>
      <c r="D765" s="16"/>
      <c r="E765" s="16"/>
      <c r="F765" s="20"/>
      <c r="G765" s="20"/>
      <c r="H765" s="20"/>
      <c r="I765" s="20"/>
      <c r="J765" s="24"/>
      <c r="K765" s="24"/>
      <c r="L765" s="24"/>
      <c r="M765" s="24"/>
      <c r="N765" s="24"/>
      <c r="O765" s="24"/>
    </row>
    <row r="766">
      <c r="A766" s="16"/>
      <c r="B766" s="16"/>
      <c r="C766" s="16"/>
      <c r="D766" s="16"/>
      <c r="E766" s="16"/>
      <c r="F766" s="20"/>
      <c r="G766" s="20"/>
      <c r="H766" s="20"/>
      <c r="I766" s="20"/>
      <c r="J766" s="24"/>
      <c r="K766" s="24"/>
      <c r="L766" s="24"/>
      <c r="M766" s="24"/>
      <c r="N766" s="24"/>
      <c r="O766" s="24"/>
    </row>
    <row r="767">
      <c r="A767" s="16"/>
      <c r="B767" s="16"/>
      <c r="C767" s="16"/>
      <c r="D767" s="16"/>
      <c r="E767" s="16"/>
      <c r="F767" s="20"/>
      <c r="G767" s="20"/>
      <c r="H767" s="20"/>
      <c r="I767" s="20"/>
      <c r="J767" s="24"/>
      <c r="K767" s="24"/>
      <c r="L767" s="24"/>
      <c r="M767" s="24"/>
      <c r="N767" s="24"/>
      <c r="O767" s="24"/>
    </row>
    <row r="768">
      <c r="A768" s="16"/>
      <c r="B768" s="16"/>
      <c r="C768" s="16"/>
      <c r="D768" s="16"/>
      <c r="E768" s="16"/>
      <c r="F768" s="20"/>
      <c r="G768" s="20"/>
      <c r="H768" s="20"/>
      <c r="I768" s="20"/>
      <c r="J768" s="24"/>
      <c r="K768" s="24"/>
      <c r="L768" s="24"/>
      <c r="M768" s="24"/>
      <c r="N768" s="24"/>
      <c r="O768" s="24"/>
    </row>
    <row r="769">
      <c r="A769" s="16"/>
      <c r="B769" s="16"/>
      <c r="C769" s="16"/>
      <c r="D769" s="16"/>
      <c r="E769" s="16"/>
      <c r="F769" s="20"/>
      <c r="G769" s="20"/>
      <c r="H769" s="20"/>
      <c r="I769" s="20"/>
      <c r="J769" s="24"/>
      <c r="K769" s="24"/>
      <c r="L769" s="24"/>
      <c r="M769" s="24"/>
      <c r="N769" s="24"/>
      <c r="O769" s="24"/>
    </row>
    <row r="770">
      <c r="A770" s="16"/>
      <c r="B770" s="16"/>
      <c r="C770" s="16"/>
      <c r="D770" s="16"/>
      <c r="E770" s="16"/>
      <c r="F770" s="20"/>
      <c r="G770" s="20"/>
      <c r="H770" s="20"/>
      <c r="I770" s="20"/>
      <c r="J770" s="24"/>
      <c r="K770" s="24"/>
      <c r="L770" s="24"/>
      <c r="M770" s="24"/>
      <c r="N770" s="24"/>
      <c r="O770" s="24"/>
    </row>
    <row r="771">
      <c r="A771" s="16"/>
      <c r="B771" s="16"/>
      <c r="C771" s="16"/>
      <c r="D771" s="16"/>
      <c r="E771" s="16"/>
      <c r="F771" s="20"/>
      <c r="G771" s="20"/>
      <c r="H771" s="20"/>
      <c r="I771" s="20"/>
      <c r="J771" s="24"/>
      <c r="K771" s="24"/>
      <c r="L771" s="24"/>
      <c r="M771" s="24"/>
      <c r="N771" s="24"/>
      <c r="O771" s="24"/>
    </row>
    <row r="772">
      <c r="A772" s="16"/>
      <c r="B772" s="16"/>
      <c r="C772" s="16"/>
      <c r="D772" s="16"/>
      <c r="E772" s="16"/>
      <c r="F772" s="20"/>
      <c r="G772" s="20"/>
      <c r="H772" s="20"/>
      <c r="I772" s="20"/>
      <c r="J772" s="24"/>
      <c r="K772" s="24"/>
      <c r="L772" s="24"/>
      <c r="M772" s="24"/>
      <c r="N772" s="24"/>
      <c r="O772" s="24"/>
    </row>
    <row r="773">
      <c r="A773" s="16"/>
      <c r="B773" s="16"/>
      <c r="C773" s="16"/>
      <c r="D773" s="16"/>
      <c r="E773" s="16"/>
      <c r="F773" s="20"/>
      <c r="G773" s="20"/>
      <c r="H773" s="20"/>
      <c r="I773" s="20"/>
      <c r="J773" s="24"/>
      <c r="K773" s="24"/>
      <c r="L773" s="24"/>
      <c r="M773" s="24"/>
      <c r="N773" s="24"/>
      <c r="O773" s="24"/>
    </row>
    <row r="774">
      <c r="A774" s="16"/>
      <c r="B774" s="16"/>
      <c r="C774" s="16"/>
      <c r="D774" s="16"/>
      <c r="E774" s="16"/>
      <c r="F774" s="20"/>
      <c r="G774" s="20"/>
      <c r="H774" s="20"/>
      <c r="I774" s="20"/>
      <c r="J774" s="24"/>
      <c r="K774" s="24"/>
      <c r="L774" s="24"/>
      <c r="M774" s="24"/>
      <c r="N774" s="24"/>
      <c r="O774" s="24"/>
    </row>
    <row r="775">
      <c r="A775" s="16"/>
      <c r="B775" s="16"/>
      <c r="C775" s="16"/>
      <c r="D775" s="16"/>
      <c r="E775" s="16"/>
      <c r="F775" s="20"/>
      <c r="G775" s="20"/>
      <c r="H775" s="20"/>
      <c r="I775" s="20"/>
      <c r="J775" s="24"/>
      <c r="K775" s="24"/>
      <c r="L775" s="24"/>
      <c r="M775" s="24"/>
      <c r="N775" s="24"/>
      <c r="O775" s="24"/>
    </row>
    <row r="776">
      <c r="A776" s="16"/>
      <c r="B776" s="16"/>
      <c r="C776" s="16"/>
      <c r="D776" s="16"/>
      <c r="E776" s="16"/>
      <c r="F776" s="20"/>
      <c r="G776" s="20"/>
      <c r="H776" s="20"/>
      <c r="I776" s="20"/>
      <c r="J776" s="24"/>
      <c r="K776" s="24"/>
      <c r="L776" s="24"/>
      <c r="M776" s="24"/>
      <c r="N776" s="24"/>
      <c r="O776" s="24"/>
    </row>
    <row r="777">
      <c r="A777" s="16"/>
      <c r="B777" s="16"/>
      <c r="C777" s="16"/>
      <c r="D777" s="16"/>
      <c r="E777" s="16"/>
      <c r="F777" s="20"/>
      <c r="G777" s="20"/>
      <c r="H777" s="20"/>
      <c r="I777" s="20"/>
      <c r="J777" s="24"/>
      <c r="K777" s="24"/>
      <c r="L777" s="24"/>
      <c r="M777" s="24"/>
      <c r="N777" s="24"/>
      <c r="O777" s="24"/>
    </row>
    <row r="778">
      <c r="A778" s="16"/>
      <c r="B778" s="16"/>
      <c r="C778" s="16"/>
      <c r="D778" s="16"/>
      <c r="E778" s="16"/>
      <c r="F778" s="20"/>
      <c r="G778" s="20"/>
      <c r="H778" s="20"/>
      <c r="I778" s="20"/>
      <c r="J778" s="24"/>
      <c r="K778" s="24"/>
      <c r="L778" s="24"/>
      <c r="M778" s="24"/>
      <c r="N778" s="24"/>
      <c r="O778" s="24"/>
    </row>
    <row r="779">
      <c r="A779" s="16"/>
      <c r="B779" s="16"/>
      <c r="C779" s="16"/>
      <c r="D779" s="16"/>
      <c r="E779" s="16"/>
      <c r="F779" s="20"/>
      <c r="G779" s="20"/>
      <c r="H779" s="20"/>
      <c r="I779" s="20"/>
      <c r="J779" s="24"/>
      <c r="K779" s="24"/>
      <c r="L779" s="24"/>
      <c r="M779" s="24"/>
      <c r="N779" s="24"/>
      <c r="O779" s="24"/>
    </row>
    <row r="780">
      <c r="A780" s="16"/>
      <c r="B780" s="16"/>
      <c r="C780" s="16"/>
      <c r="D780" s="16"/>
      <c r="E780" s="16"/>
      <c r="F780" s="20"/>
      <c r="G780" s="20"/>
      <c r="H780" s="20"/>
      <c r="I780" s="20"/>
      <c r="J780" s="24"/>
      <c r="K780" s="24"/>
      <c r="L780" s="24"/>
      <c r="M780" s="24"/>
      <c r="N780" s="24"/>
      <c r="O780" s="24"/>
    </row>
    <row r="781">
      <c r="A781" s="16"/>
      <c r="B781" s="16"/>
      <c r="C781" s="16"/>
      <c r="D781" s="16"/>
      <c r="E781" s="16"/>
      <c r="F781" s="20"/>
      <c r="G781" s="20"/>
      <c r="H781" s="20"/>
      <c r="I781" s="20"/>
      <c r="J781" s="24"/>
      <c r="K781" s="24"/>
      <c r="L781" s="24"/>
      <c r="M781" s="24"/>
      <c r="N781" s="24"/>
      <c r="O781" s="24"/>
    </row>
    <row r="782">
      <c r="A782" s="16"/>
      <c r="B782" s="16"/>
      <c r="C782" s="16"/>
      <c r="D782" s="16"/>
      <c r="E782" s="16"/>
      <c r="F782" s="20"/>
      <c r="G782" s="20"/>
      <c r="H782" s="20"/>
      <c r="I782" s="20"/>
      <c r="J782" s="24"/>
      <c r="K782" s="24"/>
      <c r="L782" s="24"/>
      <c r="M782" s="24"/>
      <c r="N782" s="24"/>
      <c r="O782" s="24"/>
    </row>
    <row r="783">
      <c r="A783" s="16"/>
      <c r="B783" s="16"/>
      <c r="C783" s="16"/>
      <c r="D783" s="16"/>
      <c r="E783" s="16"/>
      <c r="F783" s="20"/>
      <c r="G783" s="20"/>
      <c r="H783" s="20"/>
      <c r="I783" s="20"/>
      <c r="J783" s="24"/>
      <c r="K783" s="24"/>
      <c r="L783" s="24"/>
      <c r="M783" s="24"/>
      <c r="N783" s="24"/>
      <c r="O783" s="24"/>
    </row>
    <row r="784">
      <c r="A784" s="16"/>
      <c r="B784" s="16"/>
      <c r="C784" s="16"/>
      <c r="D784" s="16"/>
      <c r="E784" s="16"/>
      <c r="F784" s="20"/>
      <c r="G784" s="20"/>
      <c r="H784" s="20"/>
      <c r="I784" s="20"/>
      <c r="J784" s="24"/>
      <c r="K784" s="24"/>
      <c r="L784" s="24"/>
      <c r="M784" s="24"/>
      <c r="N784" s="24"/>
      <c r="O784" s="24"/>
    </row>
    <row r="785">
      <c r="A785" s="16"/>
      <c r="B785" s="16"/>
      <c r="C785" s="16"/>
      <c r="D785" s="16"/>
      <c r="E785" s="16"/>
      <c r="F785" s="20"/>
      <c r="G785" s="20"/>
      <c r="H785" s="20"/>
      <c r="I785" s="20"/>
      <c r="J785" s="24"/>
      <c r="K785" s="24"/>
      <c r="L785" s="24"/>
      <c r="M785" s="24"/>
      <c r="N785" s="24"/>
      <c r="O785" s="24"/>
    </row>
    <row r="786">
      <c r="A786" s="16"/>
      <c r="B786" s="16"/>
      <c r="C786" s="16"/>
      <c r="D786" s="16"/>
      <c r="E786" s="16"/>
      <c r="F786" s="20"/>
      <c r="G786" s="20"/>
      <c r="H786" s="20"/>
      <c r="I786" s="20"/>
      <c r="J786" s="24"/>
      <c r="K786" s="24"/>
      <c r="L786" s="24"/>
      <c r="M786" s="24"/>
      <c r="N786" s="24"/>
      <c r="O786" s="24"/>
    </row>
    <row r="787">
      <c r="A787" s="16"/>
      <c r="B787" s="16"/>
      <c r="C787" s="16"/>
      <c r="D787" s="16"/>
      <c r="E787" s="16"/>
      <c r="F787" s="20"/>
      <c r="G787" s="20"/>
      <c r="H787" s="20"/>
      <c r="I787" s="20"/>
      <c r="J787" s="24"/>
      <c r="K787" s="24"/>
      <c r="L787" s="24"/>
      <c r="M787" s="24"/>
      <c r="N787" s="24"/>
      <c r="O787" s="24"/>
    </row>
    <row r="788">
      <c r="A788" s="16"/>
      <c r="B788" s="16"/>
      <c r="C788" s="16"/>
      <c r="D788" s="16"/>
      <c r="E788" s="16"/>
      <c r="F788" s="20"/>
      <c r="G788" s="20"/>
      <c r="H788" s="20"/>
      <c r="I788" s="20"/>
      <c r="J788" s="24"/>
      <c r="K788" s="24"/>
      <c r="L788" s="24"/>
      <c r="M788" s="24"/>
      <c r="N788" s="24"/>
      <c r="O788" s="24"/>
    </row>
    <row r="789">
      <c r="A789" s="16"/>
      <c r="B789" s="16"/>
      <c r="C789" s="16"/>
      <c r="D789" s="16"/>
      <c r="E789" s="16"/>
      <c r="F789" s="20"/>
      <c r="G789" s="20"/>
      <c r="H789" s="20"/>
      <c r="I789" s="20"/>
      <c r="J789" s="24"/>
      <c r="K789" s="24"/>
      <c r="L789" s="24"/>
      <c r="M789" s="24"/>
      <c r="N789" s="24"/>
      <c r="O789" s="24"/>
    </row>
    <row r="790">
      <c r="A790" s="16"/>
      <c r="B790" s="16"/>
      <c r="C790" s="16"/>
      <c r="D790" s="16"/>
      <c r="E790" s="16"/>
      <c r="F790" s="20"/>
      <c r="G790" s="20"/>
      <c r="H790" s="20"/>
      <c r="I790" s="20"/>
      <c r="J790" s="24"/>
      <c r="K790" s="24"/>
      <c r="L790" s="24"/>
      <c r="M790" s="24"/>
      <c r="N790" s="24"/>
      <c r="O790" s="24"/>
    </row>
    <row r="791">
      <c r="A791" s="16"/>
      <c r="B791" s="16"/>
      <c r="C791" s="16"/>
      <c r="D791" s="16"/>
      <c r="E791" s="16"/>
      <c r="F791" s="20"/>
      <c r="G791" s="20"/>
      <c r="H791" s="20"/>
      <c r="I791" s="20"/>
      <c r="J791" s="24"/>
      <c r="K791" s="24"/>
      <c r="L791" s="24"/>
      <c r="M791" s="24"/>
      <c r="N791" s="24"/>
      <c r="O791" s="24"/>
    </row>
    <row r="792">
      <c r="A792" s="16"/>
      <c r="B792" s="16"/>
      <c r="C792" s="16"/>
      <c r="D792" s="16"/>
      <c r="E792" s="16"/>
      <c r="F792" s="20"/>
      <c r="G792" s="20"/>
      <c r="H792" s="20"/>
      <c r="I792" s="20"/>
      <c r="J792" s="24"/>
      <c r="K792" s="24"/>
      <c r="L792" s="24"/>
      <c r="M792" s="24"/>
      <c r="N792" s="24"/>
      <c r="O792" s="24"/>
    </row>
    <row r="793">
      <c r="A793" s="16"/>
      <c r="B793" s="16"/>
      <c r="C793" s="16"/>
      <c r="D793" s="16"/>
      <c r="E793" s="16"/>
      <c r="F793" s="20"/>
      <c r="G793" s="20"/>
      <c r="H793" s="20"/>
      <c r="I793" s="20"/>
      <c r="J793" s="24"/>
      <c r="K793" s="24"/>
      <c r="L793" s="24"/>
      <c r="M793" s="24"/>
      <c r="N793" s="24"/>
      <c r="O793" s="24"/>
    </row>
    <row r="794">
      <c r="A794" s="16"/>
      <c r="B794" s="16"/>
      <c r="C794" s="16"/>
      <c r="D794" s="16"/>
      <c r="E794" s="16"/>
      <c r="F794" s="20"/>
      <c r="G794" s="20"/>
      <c r="H794" s="20"/>
      <c r="I794" s="20"/>
      <c r="J794" s="24"/>
      <c r="K794" s="24"/>
      <c r="L794" s="24"/>
      <c r="M794" s="24"/>
      <c r="N794" s="24"/>
      <c r="O794" s="24"/>
    </row>
    <row r="795">
      <c r="A795" s="16"/>
      <c r="B795" s="16"/>
      <c r="C795" s="16"/>
      <c r="D795" s="16"/>
      <c r="E795" s="16"/>
      <c r="F795" s="20"/>
      <c r="G795" s="20"/>
      <c r="H795" s="20"/>
      <c r="I795" s="20"/>
      <c r="J795" s="24"/>
      <c r="K795" s="24"/>
      <c r="L795" s="24"/>
      <c r="M795" s="24"/>
      <c r="N795" s="24"/>
      <c r="O795" s="24"/>
    </row>
    <row r="796">
      <c r="A796" s="16"/>
      <c r="B796" s="16"/>
      <c r="C796" s="16"/>
      <c r="D796" s="16"/>
      <c r="E796" s="16"/>
      <c r="F796" s="20"/>
      <c r="G796" s="20"/>
      <c r="H796" s="20"/>
      <c r="I796" s="20"/>
      <c r="J796" s="24"/>
      <c r="K796" s="24"/>
      <c r="L796" s="24"/>
      <c r="M796" s="24"/>
      <c r="N796" s="24"/>
      <c r="O796" s="24"/>
    </row>
    <row r="797">
      <c r="A797" s="16"/>
      <c r="B797" s="16"/>
      <c r="C797" s="16"/>
      <c r="D797" s="16"/>
      <c r="E797" s="16"/>
      <c r="F797" s="20"/>
      <c r="G797" s="20"/>
      <c r="H797" s="20"/>
      <c r="I797" s="20"/>
      <c r="J797" s="24"/>
      <c r="K797" s="24"/>
      <c r="L797" s="24"/>
      <c r="M797" s="24"/>
      <c r="N797" s="24"/>
      <c r="O797" s="24"/>
    </row>
    <row r="798">
      <c r="A798" s="16"/>
      <c r="B798" s="16"/>
      <c r="C798" s="16"/>
      <c r="D798" s="16"/>
      <c r="E798" s="16"/>
      <c r="F798" s="20"/>
      <c r="G798" s="20"/>
      <c r="H798" s="20"/>
      <c r="I798" s="20"/>
      <c r="J798" s="24"/>
      <c r="K798" s="24"/>
      <c r="L798" s="24"/>
      <c r="M798" s="24"/>
      <c r="N798" s="24"/>
      <c r="O798" s="24"/>
    </row>
    <row r="799">
      <c r="A799" s="16"/>
      <c r="B799" s="16"/>
      <c r="C799" s="16"/>
      <c r="D799" s="16"/>
      <c r="E799" s="16"/>
      <c r="F799" s="20"/>
      <c r="G799" s="20"/>
      <c r="H799" s="20"/>
      <c r="I799" s="20"/>
      <c r="J799" s="24"/>
      <c r="K799" s="24"/>
      <c r="L799" s="24"/>
      <c r="M799" s="24"/>
      <c r="N799" s="24"/>
      <c r="O799" s="24"/>
    </row>
    <row r="800">
      <c r="A800" s="16"/>
      <c r="B800" s="16"/>
      <c r="C800" s="16"/>
      <c r="D800" s="16"/>
      <c r="E800" s="16"/>
      <c r="F800" s="20"/>
      <c r="G800" s="20"/>
      <c r="H800" s="20"/>
      <c r="I800" s="20"/>
      <c r="J800" s="24"/>
      <c r="K800" s="24"/>
      <c r="L800" s="24"/>
      <c r="M800" s="24"/>
      <c r="N800" s="24"/>
      <c r="O800" s="24"/>
    </row>
    <row r="801">
      <c r="A801" s="16"/>
      <c r="B801" s="16"/>
      <c r="C801" s="16"/>
      <c r="D801" s="16"/>
      <c r="E801" s="16"/>
      <c r="F801" s="20"/>
      <c r="G801" s="20"/>
      <c r="H801" s="20"/>
      <c r="I801" s="20"/>
      <c r="J801" s="24"/>
      <c r="K801" s="24"/>
      <c r="L801" s="24"/>
      <c r="M801" s="24"/>
      <c r="N801" s="24"/>
      <c r="O801" s="24"/>
    </row>
    <row r="802">
      <c r="A802" s="16"/>
      <c r="B802" s="16"/>
      <c r="C802" s="16"/>
      <c r="D802" s="16"/>
      <c r="E802" s="16"/>
      <c r="F802" s="20"/>
      <c r="G802" s="20"/>
      <c r="H802" s="20"/>
      <c r="I802" s="20"/>
      <c r="J802" s="24"/>
      <c r="K802" s="24"/>
      <c r="L802" s="24"/>
      <c r="M802" s="24"/>
      <c r="N802" s="24"/>
      <c r="O802" s="24"/>
    </row>
    <row r="803">
      <c r="A803" s="16"/>
      <c r="B803" s="16"/>
      <c r="C803" s="16"/>
      <c r="D803" s="16"/>
      <c r="E803" s="16"/>
      <c r="F803" s="20"/>
      <c r="G803" s="20"/>
      <c r="H803" s="20"/>
      <c r="I803" s="20"/>
      <c r="J803" s="24"/>
      <c r="K803" s="24"/>
      <c r="L803" s="24"/>
      <c r="M803" s="24"/>
      <c r="N803" s="24"/>
      <c r="O803" s="24"/>
    </row>
    <row r="804">
      <c r="A804" s="16"/>
      <c r="B804" s="16"/>
      <c r="C804" s="16"/>
      <c r="D804" s="16"/>
      <c r="E804" s="16"/>
      <c r="F804" s="20"/>
      <c r="G804" s="20"/>
      <c r="H804" s="20"/>
      <c r="I804" s="20"/>
      <c r="J804" s="24"/>
      <c r="K804" s="24"/>
      <c r="L804" s="24"/>
      <c r="M804" s="24"/>
      <c r="N804" s="24"/>
      <c r="O804" s="24"/>
    </row>
    <row r="805">
      <c r="A805" s="16"/>
      <c r="B805" s="16"/>
      <c r="C805" s="16"/>
      <c r="D805" s="16"/>
      <c r="E805" s="16"/>
      <c r="F805" s="20"/>
      <c r="G805" s="20"/>
      <c r="H805" s="20"/>
      <c r="I805" s="20"/>
      <c r="J805" s="24"/>
      <c r="K805" s="24"/>
      <c r="L805" s="24"/>
      <c r="M805" s="24"/>
      <c r="N805" s="24"/>
      <c r="O805" s="24"/>
    </row>
    <row r="806">
      <c r="A806" s="16"/>
      <c r="B806" s="16"/>
      <c r="C806" s="16"/>
      <c r="D806" s="16"/>
      <c r="E806" s="16"/>
      <c r="F806" s="20"/>
      <c r="G806" s="20"/>
      <c r="H806" s="20"/>
      <c r="I806" s="20"/>
      <c r="J806" s="24"/>
      <c r="K806" s="24"/>
      <c r="L806" s="24"/>
      <c r="M806" s="24"/>
      <c r="N806" s="24"/>
      <c r="O806" s="24"/>
    </row>
    <row r="807">
      <c r="A807" s="16"/>
      <c r="B807" s="16"/>
      <c r="C807" s="16"/>
      <c r="D807" s="16"/>
      <c r="E807" s="16"/>
      <c r="F807" s="20"/>
      <c r="G807" s="20"/>
      <c r="H807" s="20"/>
      <c r="I807" s="20"/>
      <c r="J807" s="24"/>
      <c r="K807" s="24"/>
      <c r="L807" s="24"/>
      <c r="M807" s="24"/>
      <c r="N807" s="24"/>
      <c r="O807" s="24"/>
    </row>
    <row r="808">
      <c r="A808" s="16"/>
      <c r="B808" s="16"/>
      <c r="C808" s="16"/>
      <c r="D808" s="16"/>
      <c r="E808" s="16"/>
      <c r="F808" s="20"/>
      <c r="G808" s="20"/>
      <c r="H808" s="20"/>
      <c r="I808" s="20"/>
      <c r="J808" s="24"/>
      <c r="K808" s="24"/>
      <c r="L808" s="24"/>
      <c r="M808" s="24"/>
      <c r="N808" s="24"/>
      <c r="O808" s="24"/>
    </row>
    <row r="809">
      <c r="A809" s="16"/>
      <c r="B809" s="16"/>
      <c r="C809" s="16"/>
      <c r="D809" s="16"/>
      <c r="E809" s="16"/>
      <c r="F809" s="20"/>
      <c r="G809" s="20"/>
      <c r="H809" s="20"/>
      <c r="I809" s="20"/>
      <c r="J809" s="24"/>
      <c r="K809" s="24"/>
      <c r="L809" s="24"/>
      <c r="M809" s="24"/>
      <c r="N809" s="24"/>
      <c r="O809" s="24"/>
    </row>
    <row r="810">
      <c r="A810" s="16"/>
      <c r="B810" s="16"/>
      <c r="C810" s="16"/>
      <c r="D810" s="16"/>
      <c r="E810" s="16"/>
      <c r="F810" s="20"/>
      <c r="G810" s="20"/>
      <c r="H810" s="20"/>
      <c r="I810" s="20"/>
      <c r="J810" s="24"/>
      <c r="K810" s="24"/>
      <c r="L810" s="24"/>
      <c r="M810" s="24"/>
      <c r="N810" s="24"/>
      <c r="O810" s="24"/>
    </row>
    <row r="811">
      <c r="A811" s="16"/>
      <c r="B811" s="16"/>
      <c r="C811" s="16"/>
      <c r="D811" s="16"/>
      <c r="E811" s="16"/>
      <c r="F811" s="20"/>
      <c r="G811" s="20"/>
      <c r="H811" s="20"/>
      <c r="I811" s="20"/>
      <c r="J811" s="24"/>
      <c r="K811" s="24"/>
      <c r="L811" s="24"/>
      <c r="M811" s="24"/>
      <c r="N811" s="24"/>
      <c r="O811" s="24"/>
    </row>
    <row r="812">
      <c r="A812" s="16"/>
      <c r="B812" s="16"/>
      <c r="C812" s="16"/>
      <c r="D812" s="16"/>
      <c r="E812" s="16"/>
      <c r="F812" s="20"/>
      <c r="G812" s="20"/>
      <c r="H812" s="20"/>
      <c r="I812" s="20"/>
      <c r="J812" s="24"/>
      <c r="K812" s="24"/>
      <c r="L812" s="24"/>
      <c r="M812" s="24"/>
      <c r="N812" s="24"/>
      <c r="O812" s="24"/>
    </row>
    <row r="813">
      <c r="A813" s="16"/>
      <c r="B813" s="16"/>
      <c r="C813" s="16"/>
      <c r="D813" s="16"/>
      <c r="E813" s="16"/>
      <c r="F813" s="20"/>
      <c r="G813" s="20"/>
      <c r="H813" s="20"/>
      <c r="I813" s="20"/>
      <c r="J813" s="24"/>
      <c r="K813" s="24"/>
      <c r="L813" s="24"/>
      <c r="M813" s="24"/>
      <c r="N813" s="24"/>
      <c r="O813" s="24"/>
    </row>
    <row r="814">
      <c r="A814" s="16"/>
      <c r="B814" s="16"/>
      <c r="C814" s="16"/>
      <c r="D814" s="16"/>
      <c r="E814" s="16"/>
      <c r="F814" s="20"/>
      <c r="G814" s="20"/>
      <c r="H814" s="20"/>
      <c r="I814" s="20"/>
      <c r="J814" s="24"/>
      <c r="K814" s="24"/>
      <c r="L814" s="24"/>
      <c r="M814" s="24"/>
      <c r="N814" s="24"/>
      <c r="O814" s="24"/>
    </row>
    <row r="815">
      <c r="A815" s="16"/>
      <c r="B815" s="16"/>
      <c r="C815" s="16"/>
      <c r="D815" s="16"/>
      <c r="E815" s="16"/>
      <c r="F815" s="20"/>
      <c r="G815" s="20"/>
      <c r="H815" s="20"/>
      <c r="I815" s="20"/>
      <c r="J815" s="24"/>
      <c r="K815" s="24"/>
      <c r="L815" s="24"/>
      <c r="M815" s="24"/>
      <c r="N815" s="24"/>
      <c r="O815" s="24"/>
    </row>
    <row r="816">
      <c r="A816" s="16"/>
      <c r="B816" s="16"/>
      <c r="C816" s="16"/>
      <c r="D816" s="16"/>
      <c r="E816" s="16"/>
      <c r="F816" s="20"/>
      <c r="G816" s="20"/>
      <c r="H816" s="20"/>
      <c r="I816" s="20"/>
      <c r="J816" s="24"/>
      <c r="K816" s="24"/>
      <c r="L816" s="24"/>
      <c r="M816" s="24"/>
      <c r="N816" s="24"/>
      <c r="O816" s="24"/>
    </row>
    <row r="817">
      <c r="A817" s="16"/>
      <c r="B817" s="16"/>
      <c r="C817" s="16"/>
      <c r="D817" s="16"/>
      <c r="E817" s="16"/>
      <c r="F817" s="20"/>
      <c r="G817" s="20"/>
      <c r="H817" s="20"/>
      <c r="I817" s="20"/>
      <c r="J817" s="24"/>
      <c r="K817" s="24"/>
      <c r="L817" s="24"/>
      <c r="M817" s="24"/>
      <c r="N817" s="24"/>
      <c r="O817" s="24"/>
    </row>
    <row r="818">
      <c r="A818" s="16"/>
      <c r="B818" s="16"/>
      <c r="C818" s="16"/>
      <c r="D818" s="16"/>
      <c r="E818" s="16"/>
      <c r="F818" s="20"/>
      <c r="G818" s="20"/>
      <c r="H818" s="20"/>
      <c r="I818" s="20"/>
      <c r="J818" s="24"/>
      <c r="K818" s="24"/>
      <c r="L818" s="24"/>
      <c r="M818" s="24"/>
      <c r="N818" s="24"/>
      <c r="O818" s="24"/>
    </row>
    <row r="819">
      <c r="A819" s="16"/>
      <c r="B819" s="16"/>
      <c r="C819" s="16"/>
      <c r="D819" s="16"/>
      <c r="E819" s="16"/>
      <c r="F819" s="20"/>
      <c r="G819" s="20"/>
      <c r="H819" s="20"/>
      <c r="I819" s="20"/>
      <c r="J819" s="24"/>
      <c r="K819" s="24"/>
      <c r="L819" s="24"/>
      <c r="M819" s="24"/>
      <c r="N819" s="24"/>
      <c r="O819" s="24"/>
    </row>
    <row r="820">
      <c r="A820" s="16"/>
      <c r="B820" s="16"/>
      <c r="C820" s="16"/>
      <c r="D820" s="16"/>
      <c r="E820" s="16"/>
      <c r="F820" s="20"/>
      <c r="G820" s="20"/>
      <c r="H820" s="20"/>
      <c r="I820" s="20"/>
      <c r="J820" s="24"/>
      <c r="K820" s="24"/>
      <c r="L820" s="24"/>
      <c r="M820" s="24"/>
      <c r="N820" s="24"/>
      <c r="O820" s="24"/>
    </row>
    <row r="821">
      <c r="A821" s="16"/>
      <c r="B821" s="16"/>
      <c r="C821" s="16"/>
      <c r="D821" s="16"/>
      <c r="E821" s="16"/>
      <c r="F821" s="20"/>
      <c r="G821" s="20"/>
      <c r="H821" s="20"/>
      <c r="I821" s="20"/>
      <c r="J821" s="24"/>
      <c r="K821" s="24"/>
      <c r="L821" s="24"/>
      <c r="M821" s="24"/>
      <c r="N821" s="24"/>
      <c r="O821" s="24"/>
    </row>
    <row r="822">
      <c r="A822" s="16"/>
      <c r="B822" s="16"/>
      <c r="C822" s="16"/>
      <c r="D822" s="16"/>
      <c r="E822" s="16"/>
      <c r="F822" s="20"/>
      <c r="G822" s="20"/>
      <c r="H822" s="20"/>
      <c r="I822" s="20"/>
      <c r="J822" s="24"/>
      <c r="K822" s="24"/>
      <c r="L822" s="24"/>
      <c r="M822" s="24"/>
      <c r="N822" s="24"/>
      <c r="O822" s="24"/>
    </row>
    <row r="823">
      <c r="A823" s="16"/>
      <c r="B823" s="16"/>
      <c r="C823" s="16"/>
      <c r="D823" s="16"/>
      <c r="E823" s="16"/>
      <c r="F823" s="20"/>
      <c r="G823" s="20"/>
      <c r="H823" s="20"/>
      <c r="I823" s="20"/>
      <c r="J823" s="24"/>
      <c r="K823" s="24"/>
      <c r="L823" s="24"/>
      <c r="M823" s="24"/>
      <c r="N823" s="24"/>
      <c r="O823" s="24"/>
    </row>
    <row r="824">
      <c r="A824" s="16"/>
      <c r="B824" s="16"/>
      <c r="C824" s="16"/>
      <c r="D824" s="16"/>
      <c r="E824" s="16"/>
      <c r="F824" s="20"/>
      <c r="G824" s="20"/>
      <c r="H824" s="20"/>
      <c r="I824" s="20"/>
      <c r="J824" s="24"/>
      <c r="K824" s="24"/>
      <c r="L824" s="24"/>
      <c r="M824" s="24"/>
      <c r="N824" s="24"/>
      <c r="O824" s="24"/>
    </row>
    <row r="825">
      <c r="A825" s="16"/>
      <c r="B825" s="16"/>
      <c r="C825" s="16"/>
      <c r="D825" s="16"/>
      <c r="E825" s="16"/>
      <c r="F825" s="20"/>
      <c r="G825" s="20"/>
      <c r="H825" s="20"/>
      <c r="I825" s="20"/>
      <c r="J825" s="24"/>
      <c r="K825" s="24"/>
      <c r="L825" s="24"/>
      <c r="M825" s="24"/>
      <c r="N825" s="24"/>
      <c r="O825" s="24"/>
    </row>
    <row r="826">
      <c r="A826" s="16"/>
      <c r="B826" s="16"/>
      <c r="C826" s="16"/>
      <c r="D826" s="16"/>
      <c r="E826" s="16"/>
      <c r="F826" s="20"/>
      <c r="G826" s="20"/>
      <c r="H826" s="20"/>
      <c r="I826" s="20"/>
      <c r="J826" s="24"/>
      <c r="K826" s="24"/>
      <c r="L826" s="24"/>
      <c r="M826" s="24"/>
      <c r="N826" s="24"/>
      <c r="O826" s="24"/>
    </row>
    <row r="827">
      <c r="A827" s="16"/>
      <c r="B827" s="16"/>
      <c r="C827" s="16"/>
      <c r="D827" s="16"/>
      <c r="E827" s="16"/>
      <c r="F827" s="20"/>
      <c r="G827" s="20"/>
      <c r="H827" s="20"/>
      <c r="I827" s="20"/>
      <c r="J827" s="24"/>
      <c r="K827" s="24"/>
      <c r="L827" s="24"/>
      <c r="M827" s="24"/>
      <c r="N827" s="24"/>
      <c r="O827" s="24"/>
    </row>
    <row r="828">
      <c r="A828" s="16"/>
      <c r="B828" s="16"/>
      <c r="C828" s="16"/>
      <c r="D828" s="16"/>
      <c r="E828" s="16"/>
      <c r="F828" s="20"/>
      <c r="G828" s="20"/>
      <c r="H828" s="20"/>
      <c r="I828" s="20"/>
      <c r="J828" s="24"/>
      <c r="K828" s="24"/>
      <c r="L828" s="24"/>
      <c r="M828" s="24"/>
      <c r="N828" s="24"/>
      <c r="O828" s="24"/>
    </row>
    <row r="829">
      <c r="A829" s="16"/>
      <c r="B829" s="16"/>
      <c r="C829" s="16"/>
      <c r="D829" s="16"/>
      <c r="E829" s="16"/>
      <c r="F829" s="20"/>
      <c r="G829" s="20"/>
      <c r="H829" s="20"/>
      <c r="I829" s="20"/>
      <c r="J829" s="24"/>
      <c r="K829" s="24"/>
      <c r="L829" s="24"/>
      <c r="M829" s="24"/>
      <c r="N829" s="24"/>
      <c r="O829" s="24"/>
    </row>
    <row r="830">
      <c r="A830" s="16"/>
      <c r="B830" s="16"/>
      <c r="C830" s="16"/>
      <c r="D830" s="16"/>
      <c r="E830" s="16"/>
      <c r="F830" s="20"/>
      <c r="G830" s="20"/>
      <c r="H830" s="20"/>
      <c r="I830" s="20"/>
      <c r="J830" s="24"/>
      <c r="K830" s="24"/>
      <c r="L830" s="24"/>
      <c r="M830" s="24"/>
      <c r="N830" s="24"/>
      <c r="O830" s="24"/>
    </row>
    <row r="831">
      <c r="A831" s="16"/>
      <c r="B831" s="16"/>
      <c r="C831" s="16"/>
      <c r="D831" s="16"/>
      <c r="E831" s="16"/>
      <c r="F831" s="20"/>
      <c r="G831" s="20"/>
      <c r="H831" s="20"/>
      <c r="I831" s="20"/>
      <c r="J831" s="24"/>
      <c r="K831" s="24"/>
      <c r="L831" s="24"/>
      <c r="M831" s="24"/>
      <c r="N831" s="24"/>
      <c r="O831" s="24"/>
    </row>
    <row r="832">
      <c r="A832" s="16"/>
      <c r="B832" s="16"/>
      <c r="C832" s="16"/>
      <c r="D832" s="16"/>
      <c r="E832" s="16"/>
      <c r="F832" s="20"/>
      <c r="G832" s="20"/>
      <c r="H832" s="20"/>
      <c r="I832" s="20"/>
      <c r="J832" s="24"/>
      <c r="K832" s="24"/>
      <c r="L832" s="24"/>
      <c r="M832" s="24"/>
      <c r="N832" s="24"/>
      <c r="O832" s="24"/>
    </row>
    <row r="833">
      <c r="A833" s="16"/>
      <c r="B833" s="16"/>
      <c r="C833" s="16"/>
      <c r="D833" s="16"/>
      <c r="E833" s="16"/>
      <c r="F833" s="20"/>
      <c r="G833" s="20"/>
      <c r="H833" s="20"/>
      <c r="I833" s="20"/>
      <c r="J833" s="24"/>
      <c r="K833" s="24"/>
      <c r="L833" s="24"/>
      <c r="M833" s="24"/>
      <c r="N833" s="24"/>
      <c r="O833" s="24"/>
    </row>
    <row r="834">
      <c r="A834" s="16"/>
      <c r="B834" s="16"/>
      <c r="C834" s="16"/>
      <c r="D834" s="16"/>
      <c r="E834" s="16"/>
      <c r="F834" s="20"/>
      <c r="G834" s="20"/>
      <c r="H834" s="20"/>
      <c r="I834" s="20"/>
      <c r="J834" s="24"/>
      <c r="K834" s="24"/>
      <c r="L834" s="24"/>
      <c r="M834" s="24"/>
      <c r="N834" s="24"/>
      <c r="O834" s="24"/>
    </row>
    <row r="835">
      <c r="A835" s="16"/>
      <c r="B835" s="16"/>
      <c r="C835" s="16"/>
      <c r="D835" s="16"/>
      <c r="E835" s="16"/>
      <c r="F835" s="20"/>
      <c r="G835" s="20"/>
      <c r="H835" s="20"/>
      <c r="I835" s="20"/>
      <c r="J835" s="24"/>
      <c r="K835" s="24"/>
      <c r="L835" s="24"/>
      <c r="M835" s="24"/>
      <c r="N835" s="24"/>
      <c r="O835" s="24"/>
    </row>
    <row r="836">
      <c r="A836" s="16"/>
      <c r="B836" s="16"/>
      <c r="C836" s="16"/>
      <c r="D836" s="16"/>
      <c r="E836" s="16"/>
      <c r="F836" s="20"/>
      <c r="G836" s="20"/>
      <c r="H836" s="20"/>
      <c r="I836" s="20"/>
      <c r="J836" s="24"/>
      <c r="K836" s="24"/>
      <c r="L836" s="24"/>
      <c r="M836" s="24"/>
      <c r="N836" s="24"/>
      <c r="O836" s="24"/>
    </row>
    <row r="837">
      <c r="A837" s="16"/>
      <c r="B837" s="16"/>
      <c r="C837" s="16"/>
      <c r="D837" s="16"/>
      <c r="E837" s="16"/>
      <c r="F837" s="20"/>
      <c r="G837" s="20"/>
      <c r="H837" s="20"/>
      <c r="I837" s="20"/>
      <c r="J837" s="24"/>
      <c r="K837" s="24"/>
      <c r="L837" s="24"/>
      <c r="M837" s="24"/>
      <c r="N837" s="24"/>
      <c r="O837" s="24"/>
    </row>
    <row r="838">
      <c r="A838" s="16"/>
      <c r="B838" s="16"/>
      <c r="C838" s="16"/>
      <c r="D838" s="16"/>
      <c r="E838" s="16"/>
      <c r="F838" s="20"/>
      <c r="G838" s="20"/>
      <c r="H838" s="20"/>
      <c r="I838" s="20"/>
      <c r="J838" s="24"/>
      <c r="K838" s="24"/>
      <c r="L838" s="24"/>
      <c r="M838" s="24"/>
      <c r="N838" s="24"/>
      <c r="O838" s="24"/>
    </row>
    <row r="839">
      <c r="A839" s="16"/>
      <c r="B839" s="16"/>
      <c r="C839" s="16"/>
      <c r="D839" s="16"/>
      <c r="E839" s="16"/>
      <c r="F839" s="20"/>
      <c r="G839" s="20"/>
      <c r="H839" s="20"/>
      <c r="I839" s="20"/>
      <c r="J839" s="24"/>
      <c r="K839" s="24"/>
      <c r="L839" s="24"/>
      <c r="M839" s="24"/>
      <c r="N839" s="24"/>
      <c r="O839" s="24"/>
    </row>
    <row r="840">
      <c r="A840" s="16"/>
      <c r="B840" s="16"/>
      <c r="C840" s="16"/>
      <c r="D840" s="16"/>
      <c r="E840" s="16"/>
      <c r="F840" s="20"/>
      <c r="G840" s="20"/>
      <c r="H840" s="20"/>
      <c r="I840" s="20"/>
      <c r="J840" s="24"/>
      <c r="K840" s="24"/>
      <c r="L840" s="24"/>
      <c r="M840" s="24"/>
      <c r="N840" s="24"/>
      <c r="O840" s="24"/>
    </row>
    <row r="841">
      <c r="A841" s="16"/>
      <c r="B841" s="16"/>
      <c r="C841" s="16"/>
      <c r="D841" s="16"/>
      <c r="E841" s="16"/>
      <c r="F841" s="20"/>
      <c r="G841" s="20"/>
      <c r="H841" s="20"/>
      <c r="I841" s="20"/>
      <c r="J841" s="24"/>
      <c r="K841" s="24"/>
      <c r="L841" s="24"/>
      <c r="M841" s="24"/>
      <c r="N841" s="24"/>
      <c r="O841" s="24"/>
    </row>
    <row r="842">
      <c r="A842" s="16"/>
      <c r="B842" s="16"/>
      <c r="C842" s="16"/>
      <c r="D842" s="16"/>
      <c r="E842" s="16"/>
      <c r="F842" s="20"/>
      <c r="G842" s="20"/>
      <c r="H842" s="20"/>
      <c r="I842" s="20"/>
      <c r="J842" s="24"/>
      <c r="K842" s="24"/>
      <c r="L842" s="24"/>
      <c r="M842" s="24"/>
      <c r="N842" s="24"/>
      <c r="O842" s="24"/>
    </row>
    <row r="843">
      <c r="A843" s="16"/>
      <c r="B843" s="16"/>
      <c r="C843" s="16"/>
      <c r="D843" s="16"/>
      <c r="E843" s="16"/>
      <c r="F843" s="20"/>
      <c r="G843" s="20"/>
      <c r="H843" s="20"/>
      <c r="I843" s="20"/>
      <c r="J843" s="24"/>
      <c r="K843" s="24"/>
      <c r="L843" s="24"/>
      <c r="M843" s="24"/>
      <c r="N843" s="24"/>
      <c r="O843" s="24"/>
    </row>
    <row r="844">
      <c r="A844" s="16"/>
      <c r="B844" s="16"/>
      <c r="C844" s="16"/>
      <c r="D844" s="16"/>
      <c r="E844" s="16"/>
      <c r="F844" s="20"/>
      <c r="G844" s="20"/>
      <c r="H844" s="20"/>
      <c r="I844" s="20"/>
      <c r="J844" s="24"/>
      <c r="K844" s="24"/>
      <c r="L844" s="24"/>
      <c r="M844" s="24"/>
      <c r="N844" s="24"/>
      <c r="O844" s="24"/>
    </row>
    <row r="845">
      <c r="A845" s="16"/>
      <c r="B845" s="16"/>
      <c r="C845" s="16"/>
      <c r="D845" s="16"/>
      <c r="E845" s="16"/>
      <c r="F845" s="20"/>
      <c r="G845" s="20"/>
      <c r="H845" s="20"/>
      <c r="I845" s="20"/>
      <c r="J845" s="24"/>
      <c r="K845" s="24"/>
      <c r="L845" s="24"/>
      <c r="M845" s="24"/>
      <c r="N845" s="24"/>
      <c r="O845" s="24"/>
    </row>
    <row r="846">
      <c r="A846" s="16"/>
      <c r="B846" s="16"/>
      <c r="C846" s="16"/>
      <c r="D846" s="16"/>
      <c r="E846" s="16"/>
      <c r="F846" s="20"/>
      <c r="G846" s="20"/>
      <c r="H846" s="20"/>
      <c r="I846" s="20"/>
      <c r="J846" s="24"/>
      <c r="K846" s="24"/>
      <c r="L846" s="24"/>
      <c r="M846" s="24"/>
      <c r="N846" s="24"/>
      <c r="O846" s="24"/>
    </row>
    <row r="847">
      <c r="A847" s="16"/>
      <c r="B847" s="16"/>
      <c r="C847" s="16"/>
      <c r="D847" s="16"/>
      <c r="E847" s="16"/>
      <c r="F847" s="20"/>
      <c r="G847" s="20"/>
      <c r="H847" s="20"/>
      <c r="I847" s="20"/>
      <c r="J847" s="24"/>
      <c r="K847" s="24"/>
      <c r="L847" s="24"/>
      <c r="M847" s="24"/>
      <c r="N847" s="24"/>
      <c r="O847" s="24"/>
    </row>
    <row r="848">
      <c r="A848" s="16"/>
      <c r="B848" s="16"/>
      <c r="C848" s="16"/>
      <c r="D848" s="16"/>
      <c r="E848" s="16"/>
      <c r="F848" s="20"/>
      <c r="G848" s="20"/>
      <c r="H848" s="20"/>
      <c r="I848" s="20"/>
      <c r="J848" s="24"/>
      <c r="K848" s="24"/>
      <c r="L848" s="24"/>
      <c r="M848" s="24"/>
      <c r="N848" s="24"/>
      <c r="O848" s="24"/>
    </row>
    <row r="849">
      <c r="A849" s="16"/>
      <c r="B849" s="16"/>
      <c r="C849" s="16"/>
      <c r="D849" s="16"/>
      <c r="E849" s="16"/>
      <c r="F849" s="20"/>
      <c r="G849" s="20"/>
      <c r="H849" s="20"/>
      <c r="I849" s="20"/>
      <c r="J849" s="24"/>
      <c r="K849" s="24"/>
      <c r="L849" s="24"/>
      <c r="M849" s="24"/>
      <c r="N849" s="24"/>
      <c r="O849" s="24"/>
    </row>
    <row r="850">
      <c r="A850" s="16"/>
      <c r="B850" s="16"/>
      <c r="C850" s="16"/>
      <c r="D850" s="16"/>
      <c r="E850" s="16"/>
      <c r="F850" s="20"/>
      <c r="G850" s="20"/>
      <c r="H850" s="20"/>
      <c r="I850" s="20"/>
      <c r="J850" s="24"/>
      <c r="K850" s="24"/>
      <c r="L850" s="24"/>
      <c r="M850" s="24"/>
      <c r="N850" s="24"/>
      <c r="O850" s="24"/>
    </row>
    <row r="851">
      <c r="A851" s="16"/>
      <c r="B851" s="16"/>
      <c r="C851" s="16"/>
      <c r="D851" s="16"/>
      <c r="E851" s="16"/>
      <c r="F851" s="20"/>
      <c r="G851" s="20"/>
      <c r="H851" s="20"/>
      <c r="I851" s="20"/>
      <c r="J851" s="24"/>
      <c r="K851" s="24"/>
      <c r="L851" s="24"/>
      <c r="M851" s="24"/>
      <c r="N851" s="24"/>
      <c r="O851" s="24"/>
    </row>
    <row r="852">
      <c r="A852" s="16"/>
      <c r="B852" s="16"/>
      <c r="C852" s="16"/>
      <c r="D852" s="16"/>
      <c r="E852" s="16"/>
      <c r="F852" s="20"/>
      <c r="G852" s="20"/>
      <c r="H852" s="20"/>
      <c r="I852" s="20"/>
      <c r="J852" s="24"/>
      <c r="K852" s="24"/>
      <c r="L852" s="24"/>
      <c r="M852" s="24"/>
      <c r="N852" s="24"/>
      <c r="O852" s="24"/>
    </row>
    <row r="853">
      <c r="A853" s="16"/>
      <c r="B853" s="16"/>
      <c r="C853" s="16"/>
      <c r="D853" s="16"/>
      <c r="E853" s="16"/>
      <c r="F853" s="20"/>
      <c r="G853" s="20"/>
      <c r="H853" s="20"/>
      <c r="I853" s="20"/>
      <c r="J853" s="24"/>
      <c r="K853" s="24"/>
      <c r="L853" s="24"/>
      <c r="M853" s="24"/>
      <c r="N853" s="24"/>
      <c r="O853" s="24"/>
    </row>
    <row r="854">
      <c r="A854" s="16"/>
      <c r="B854" s="16"/>
      <c r="C854" s="16"/>
      <c r="D854" s="16"/>
      <c r="E854" s="16"/>
      <c r="F854" s="20"/>
      <c r="G854" s="20"/>
      <c r="H854" s="20"/>
      <c r="I854" s="20"/>
      <c r="J854" s="24"/>
      <c r="K854" s="24"/>
      <c r="L854" s="24"/>
      <c r="M854" s="24"/>
      <c r="N854" s="24"/>
      <c r="O854" s="24"/>
    </row>
    <row r="855">
      <c r="A855" s="16"/>
      <c r="B855" s="16"/>
      <c r="C855" s="16"/>
      <c r="D855" s="16"/>
      <c r="E855" s="16"/>
      <c r="F855" s="20"/>
      <c r="G855" s="20"/>
      <c r="H855" s="20"/>
      <c r="I855" s="20"/>
      <c r="J855" s="24"/>
      <c r="K855" s="24"/>
      <c r="L855" s="24"/>
      <c r="M855" s="24"/>
      <c r="N855" s="24"/>
      <c r="O855" s="24"/>
    </row>
    <row r="856">
      <c r="A856" s="16"/>
      <c r="B856" s="16"/>
      <c r="C856" s="16"/>
      <c r="D856" s="16"/>
      <c r="E856" s="16"/>
      <c r="F856" s="20"/>
      <c r="G856" s="20"/>
      <c r="H856" s="20"/>
      <c r="I856" s="20"/>
      <c r="J856" s="24"/>
      <c r="K856" s="24"/>
      <c r="L856" s="24"/>
      <c r="M856" s="24"/>
      <c r="N856" s="24"/>
      <c r="O856" s="24"/>
    </row>
    <row r="857">
      <c r="A857" s="16"/>
      <c r="B857" s="16"/>
      <c r="C857" s="16"/>
      <c r="D857" s="16"/>
      <c r="E857" s="16"/>
      <c r="F857" s="20"/>
      <c r="G857" s="20"/>
      <c r="H857" s="20"/>
      <c r="I857" s="20"/>
      <c r="J857" s="24"/>
      <c r="K857" s="24"/>
      <c r="L857" s="24"/>
      <c r="M857" s="24"/>
      <c r="N857" s="24"/>
      <c r="O857" s="24"/>
    </row>
    <row r="858">
      <c r="A858" s="16"/>
      <c r="B858" s="16"/>
      <c r="C858" s="16"/>
      <c r="D858" s="16"/>
      <c r="E858" s="16"/>
      <c r="F858" s="20"/>
      <c r="G858" s="20"/>
      <c r="H858" s="20"/>
      <c r="I858" s="20"/>
      <c r="J858" s="24"/>
      <c r="K858" s="24"/>
      <c r="L858" s="24"/>
      <c r="M858" s="24"/>
      <c r="N858" s="24"/>
      <c r="O858" s="24"/>
    </row>
    <row r="859">
      <c r="A859" s="16"/>
      <c r="B859" s="16"/>
      <c r="C859" s="16"/>
      <c r="D859" s="16"/>
      <c r="E859" s="16"/>
      <c r="F859" s="20"/>
      <c r="G859" s="20"/>
      <c r="H859" s="20"/>
      <c r="I859" s="20"/>
      <c r="J859" s="24"/>
      <c r="K859" s="24"/>
      <c r="L859" s="24"/>
      <c r="M859" s="24"/>
      <c r="N859" s="24"/>
      <c r="O859" s="24"/>
    </row>
    <row r="860">
      <c r="A860" s="16"/>
      <c r="B860" s="16"/>
      <c r="C860" s="16"/>
      <c r="D860" s="16"/>
      <c r="E860" s="16"/>
      <c r="F860" s="20"/>
      <c r="G860" s="20"/>
      <c r="H860" s="20"/>
      <c r="I860" s="20"/>
      <c r="J860" s="24"/>
      <c r="K860" s="24"/>
      <c r="L860" s="24"/>
      <c r="M860" s="24"/>
      <c r="N860" s="24"/>
      <c r="O860" s="24"/>
    </row>
    <row r="861">
      <c r="A861" s="16"/>
      <c r="B861" s="16"/>
      <c r="C861" s="16"/>
      <c r="D861" s="16"/>
      <c r="E861" s="16"/>
      <c r="F861" s="20"/>
      <c r="G861" s="20"/>
      <c r="H861" s="20"/>
      <c r="I861" s="20"/>
      <c r="J861" s="24"/>
      <c r="K861" s="24"/>
      <c r="L861" s="24"/>
      <c r="M861" s="24"/>
      <c r="N861" s="24"/>
      <c r="O861" s="24"/>
    </row>
    <row r="862">
      <c r="A862" s="16"/>
      <c r="B862" s="16"/>
      <c r="C862" s="16"/>
      <c r="D862" s="16"/>
      <c r="E862" s="16"/>
      <c r="F862" s="20"/>
      <c r="G862" s="20"/>
      <c r="H862" s="20"/>
      <c r="I862" s="20"/>
      <c r="J862" s="24"/>
      <c r="K862" s="24"/>
      <c r="L862" s="24"/>
      <c r="M862" s="24"/>
      <c r="N862" s="24"/>
      <c r="O862" s="24"/>
    </row>
    <row r="863">
      <c r="A863" s="16"/>
      <c r="B863" s="16"/>
      <c r="C863" s="16"/>
      <c r="D863" s="16"/>
      <c r="E863" s="16"/>
      <c r="F863" s="20"/>
      <c r="G863" s="20"/>
      <c r="H863" s="20"/>
      <c r="I863" s="20"/>
      <c r="J863" s="24"/>
      <c r="K863" s="24"/>
      <c r="L863" s="24"/>
      <c r="M863" s="24"/>
      <c r="N863" s="24"/>
      <c r="O863" s="24"/>
    </row>
    <row r="864">
      <c r="A864" s="16"/>
      <c r="B864" s="16"/>
      <c r="C864" s="16"/>
      <c r="D864" s="16"/>
      <c r="E864" s="16"/>
      <c r="F864" s="20"/>
      <c r="G864" s="20"/>
      <c r="H864" s="20"/>
      <c r="I864" s="20"/>
      <c r="J864" s="24"/>
      <c r="K864" s="24"/>
      <c r="L864" s="24"/>
      <c r="M864" s="24"/>
      <c r="N864" s="24"/>
      <c r="O864" s="24"/>
    </row>
    <row r="865">
      <c r="A865" s="16"/>
      <c r="B865" s="16"/>
      <c r="C865" s="16"/>
      <c r="D865" s="16"/>
      <c r="E865" s="16"/>
      <c r="F865" s="20"/>
      <c r="G865" s="20"/>
      <c r="H865" s="20"/>
      <c r="I865" s="20"/>
      <c r="J865" s="24"/>
      <c r="K865" s="24"/>
      <c r="L865" s="24"/>
      <c r="M865" s="24"/>
      <c r="N865" s="24"/>
      <c r="O865" s="24"/>
    </row>
    <row r="866">
      <c r="A866" s="16"/>
      <c r="B866" s="16"/>
      <c r="C866" s="16"/>
      <c r="D866" s="16"/>
      <c r="E866" s="16"/>
      <c r="F866" s="20"/>
      <c r="G866" s="20"/>
      <c r="H866" s="20"/>
      <c r="I866" s="20"/>
      <c r="J866" s="24"/>
      <c r="K866" s="24"/>
      <c r="L866" s="24"/>
      <c r="M866" s="24"/>
      <c r="N866" s="24"/>
      <c r="O866" s="24"/>
    </row>
    <row r="867">
      <c r="A867" s="16"/>
      <c r="B867" s="16"/>
      <c r="C867" s="16"/>
      <c r="D867" s="16"/>
      <c r="E867" s="16"/>
      <c r="F867" s="20"/>
      <c r="G867" s="20"/>
      <c r="H867" s="20"/>
      <c r="I867" s="20"/>
      <c r="J867" s="24"/>
      <c r="K867" s="24"/>
      <c r="L867" s="24"/>
      <c r="M867" s="24"/>
      <c r="N867" s="24"/>
      <c r="O867" s="24"/>
    </row>
    <row r="868">
      <c r="A868" s="16"/>
      <c r="B868" s="16"/>
      <c r="C868" s="16"/>
      <c r="D868" s="16"/>
      <c r="E868" s="16"/>
      <c r="F868" s="20"/>
      <c r="G868" s="20"/>
      <c r="H868" s="20"/>
      <c r="I868" s="20"/>
      <c r="J868" s="24"/>
      <c r="K868" s="24"/>
      <c r="L868" s="24"/>
      <c r="M868" s="24"/>
      <c r="N868" s="24"/>
      <c r="O868" s="24"/>
    </row>
    <row r="869">
      <c r="A869" s="16"/>
      <c r="B869" s="16"/>
      <c r="C869" s="16"/>
      <c r="D869" s="16"/>
      <c r="E869" s="16"/>
      <c r="F869" s="20"/>
      <c r="G869" s="20"/>
      <c r="H869" s="20"/>
      <c r="I869" s="20"/>
      <c r="J869" s="24"/>
      <c r="K869" s="24"/>
      <c r="L869" s="24"/>
      <c r="M869" s="24"/>
      <c r="N869" s="24"/>
      <c r="O869" s="24"/>
    </row>
    <row r="870">
      <c r="A870" s="16"/>
      <c r="B870" s="16"/>
      <c r="C870" s="16"/>
      <c r="D870" s="16"/>
      <c r="E870" s="16"/>
      <c r="F870" s="20"/>
      <c r="G870" s="20"/>
      <c r="H870" s="20"/>
      <c r="I870" s="20"/>
      <c r="J870" s="24"/>
      <c r="K870" s="24"/>
      <c r="L870" s="24"/>
      <c r="M870" s="24"/>
      <c r="N870" s="24"/>
      <c r="O870" s="24"/>
    </row>
    <row r="871">
      <c r="A871" s="16"/>
      <c r="B871" s="16"/>
      <c r="C871" s="16"/>
      <c r="D871" s="16"/>
      <c r="E871" s="16"/>
      <c r="F871" s="20"/>
      <c r="G871" s="20"/>
      <c r="H871" s="20"/>
      <c r="I871" s="20"/>
      <c r="J871" s="24"/>
      <c r="K871" s="24"/>
      <c r="L871" s="24"/>
      <c r="M871" s="24"/>
      <c r="N871" s="24"/>
      <c r="O871" s="24"/>
    </row>
    <row r="872">
      <c r="A872" s="16"/>
      <c r="B872" s="16"/>
      <c r="C872" s="16"/>
      <c r="D872" s="16"/>
      <c r="E872" s="16"/>
      <c r="F872" s="20"/>
      <c r="G872" s="20"/>
      <c r="H872" s="20"/>
      <c r="I872" s="20"/>
      <c r="J872" s="24"/>
      <c r="K872" s="24"/>
      <c r="L872" s="24"/>
      <c r="M872" s="24"/>
      <c r="N872" s="24"/>
      <c r="O872" s="24"/>
    </row>
    <row r="873">
      <c r="A873" s="16"/>
      <c r="B873" s="16"/>
      <c r="C873" s="16"/>
      <c r="D873" s="16"/>
      <c r="E873" s="16"/>
      <c r="F873" s="20"/>
      <c r="G873" s="20"/>
      <c r="H873" s="20"/>
      <c r="I873" s="20"/>
      <c r="J873" s="24"/>
      <c r="K873" s="24"/>
      <c r="L873" s="24"/>
      <c r="M873" s="24"/>
      <c r="N873" s="24"/>
      <c r="O873" s="24"/>
    </row>
    <row r="874">
      <c r="A874" s="16"/>
      <c r="B874" s="16"/>
      <c r="C874" s="16"/>
      <c r="D874" s="16"/>
      <c r="E874" s="16"/>
      <c r="F874" s="20"/>
      <c r="G874" s="20"/>
      <c r="H874" s="20"/>
      <c r="I874" s="20"/>
      <c r="J874" s="24"/>
      <c r="K874" s="24"/>
      <c r="L874" s="24"/>
      <c r="M874" s="24"/>
      <c r="N874" s="24"/>
      <c r="O874" s="24"/>
    </row>
    <row r="875">
      <c r="A875" s="16"/>
      <c r="B875" s="16"/>
      <c r="C875" s="16"/>
      <c r="D875" s="16"/>
      <c r="E875" s="16"/>
      <c r="F875" s="20"/>
      <c r="G875" s="20"/>
      <c r="H875" s="20"/>
      <c r="I875" s="20"/>
      <c r="J875" s="24"/>
      <c r="K875" s="24"/>
      <c r="L875" s="24"/>
      <c r="M875" s="24"/>
      <c r="N875" s="24"/>
      <c r="O875" s="24"/>
    </row>
    <row r="876">
      <c r="A876" s="16"/>
      <c r="B876" s="16"/>
      <c r="C876" s="16"/>
      <c r="D876" s="16"/>
      <c r="E876" s="16"/>
      <c r="F876" s="20"/>
      <c r="G876" s="20"/>
      <c r="H876" s="20"/>
      <c r="I876" s="20"/>
      <c r="J876" s="24"/>
      <c r="K876" s="24"/>
      <c r="L876" s="24"/>
      <c r="M876" s="24"/>
      <c r="N876" s="24"/>
      <c r="O876" s="24"/>
    </row>
    <row r="877">
      <c r="A877" s="16"/>
      <c r="B877" s="16"/>
      <c r="C877" s="16"/>
      <c r="D877" s="16"/>
      <c r="E877" s="16"/>
      <c r="F877" s="20"/>
      <c r="G877" s="20"/>
      <c r="H877" s="20"/>
      <c r="I877" s="20"/>
      <c r="J877" s="24"/>
      <c r="K877" s="24"/>
      <c r="L877" s="24"/>
      <c r="M877" s="24"/>
      <c r="N877" s="24"/>
      <c r="O877" s="24"/>
    </row>
    <row r="878">
      <c r="A878" s="16"/>
      <c r="B878" s="16"/>
      <c r="C878" s="16"/>
      <c r="D878" s="16"/>
      <c r="E878" s="16"/>
      <c r="F878" s="20"/>
      <c r="G878" s="20"/>
      <c r="H878" s="20"/>
      <c r="I878" s="20"/>
      <c r="J878" s="24"/>
      <c r="K878" s="24"/>
      <c r="L878" s="24"/>
      <c r="M878" s="24"/>
      <c r="N878" s="24"/>
      <c r="O878" s="24"/>
    </row>
    <row r="879">
      <c r="A879" s="16"/>
      <c r="B879" s="16"/>
      <c r="C879" s="16"/>
      <c r="D879" s="16"/>
      <c r="E879" s="16"/>
      <c r="F879" s="20"/>
      <c r="G879" s="20"/>
      <c r="H879" s="20"/>
      <c r="I879" s="20"/>
      <c r="J879" s="24"/>
      <c r="K879" s="24"/>
      <c r="L879" s="24"/>
      <c r="M879" s="24"/>
      <c r="N879" s="24"/>
      <c r="O879" s="24"/>
    </row>
    <row r="880">
      <c r="A880" s="16"/>
      <c r="B880" s="16"/>
      <c r="C880" s="16"/>
      <c r="D880" s="16"/>
      <c r="E880" s="16"/>
      <c r="F880" s="20"/>
      <c r="G880" s="20"/>
      <c r="H880" s="20"/>
      <c r="I880" s="20"/>
      <c r="J880" s="24"/>
      <c r="K880" s="24"/>
      <c r="L880" s="24"/>
      <c r="M880" s="24"/>
      <c r="N880" s="24"/>
      <c r="O880" s="24"/>
    </row>
    <row r="881">
      <c r="A881" s="16"/>
      <c r="B881" s="16"/>
      <c r="C881" s="16"/>
      <c r="D881" s="16"/>
      <c r="E881" s="16"/>
      <c r="F881" s="20"/>
      <c r="G881" s="20"/>
      <c r="H881" s="20"/>
      <c r="I881" s="20"/>
      <c r="J881" s="24"/>
      <c r="K881" s="24"/>
      <c r="L881" s="24"/>
      <c r="M881" s="24"/>
      <c r="N881" s="24"/>
      <c r="O881" s="24"/>
    </row>
    <row r="882">
      <c r="A882" s="16"/>
      <c r="B882" s="16"/>
      <c r="C882" s="16"/>
      <c r="D882" s="16"/>
      <c r="E882" s="16"/>
      <c r="F882" s="20"/>
      <c r="G882" s="20"/>
      <c r="H882" s="20"/>
      <c r="I882" s="20"/>
      <c r="J882" s="24"/>
      <c r="K882" s="24"/>
      <c r="L882" s="24"/>
      <c r="M882" s="24"/>
      <c r="N882" s="24"/>
      <c r="O882" s="24"/>
    </row>
    <row r="883">
      <c r="A883" s="16"/>
      <c r="B883" s="16"/>
      <c r="C883" s="16"/>
      <c r="D883" s="16"/>
      <c r="E883" s="16"/>
      <c r="F883" s="20"/>
      <c r="G883" s="20"/>
      <c r="H883" s="20"/>
      <c r="I883" s="20"/>
      <c r="J883" s="24"/>
      <c r="K883" s="24"/>
      <c r="L883" s="24"/>
      <c r="M883" s="24"/>
      <c r="N883" s="24"/>
      <c r="O883" s="24"/>
    </row>
    <row r="884">
      <c r="A884" s="16"/>
      <c r="B884" s="16"/>
      <c r="C884" s="16"/>
      <c r="D884" s="16"/>
      <c r="E884" s="16"/>
      <c r="F884" s="20"/>
      <c r="G884" s="20"/>
      <c r="H884" s="20"/>
      <c r="I884" s="20"/>
      <c r="J884" s="24"/>
      <c r="K884" s="24"/>
      <c r="L884" s="24"/>
      <c r="M884" s="24"/>
      <c r="N884" s="24"/>
      <c r="O884" s="24"/>
    </row>
    <row r="885">
      <c r="A885" s="16"/>
      <c r="B885" s="16"/>
      <c r="C885" s="16"/>
      <c r="D885" s="16"/>
      <c r="E885" s="16"/>
      <c r="F885" s="20"/>
      <c r="G885" s="20"/>
      <c r="H885" s="20"/>
      <c r="I885" s="20"/>
      <c r="J885" s="24"/>
      <c r="K885" s="24"/>
      <c r="L885" s="24"/>
      <c r="M885" s="24"/>
      <c r="N885" s="24"/>
      <c r="O885" s="24"/>
    </row>
    <row r="886">
      <c r="A886" s="16"/>
      <c r="B886" s="16"/>
      <c r="C886" s="16"/>
      <c r="D886" s="16"/>
      <c r="E886" s="16"/>
      <c r="F886" s="20"/>
      <c r="G886" s="20"/>
      <c r="H886" s="20"/>
      <c r="I886" s="20"/>
      <c r="J886" s="24"/>
      <c r="K886" s="24"/>
      <c r="L886" s="24"/>
      <c r="M886" s="24"/>
      <c r="N886" s="24"/>
      <c r="O886" s="24"/>
    </row>
    <row r="887">
      <c r="A887" s="16"/>
      <c r="B887" s="16"/>
      <c r="C887" s="16"/>
      <c r="D887" s="16"/>
      <c r="E887" s="16"/>
      <c r="F887" s="20"/>
      <c r="G887" s="20"/>
      <c r="H887" s="20"/>
      <c r="I887" s="20"/>
      <c r="J887" s="24"/>
      <c r="K887" s="24"/>
      <c r="L887" s="24"/>
      <c r="M887" s="24"/>
      <c r="N887" s="24"/>
      <c r="O887" s="24"/>
    </row>
    <row r="888">
      <c r="A888" s="16"/>
      <c r="B888" s="16"/>
      <c r="C888" s="16"/>
      <c r="D888" s="16"/>
      <c r="E888" s="16"/>
      <c r="F888" s="20"/>
      <c r="G888" s="20"/>
      <c r="H888" s="20"/>
      <c r="I888" s="20"/>
      <c r="J888" s="24"/>
      <c r="K888" s="24"/>
      <c r="L888" s="24"/>
      <c r="M888" s="24"/>
      <c r="N888" s="24"/>
      <c r="O888" s="24"/>
    </row>
    <row r="889">
      <c r="A889" s="16"/>
      <c r="B889" s="16"/>
      <c r="C889" s="16"/>
      <c r="D889" s="16"/>
      <c r="E889" s="16"/>
      <c r="F889" s="20"/>
      <c r="G889" s="20"/>
      <c r="H889" s="20"/>
      <c r="I889" s="20"/>
      <c r="J889" s="24"/>
      <c r="K889" s="24"/>
      <c r="L889" s="24"/>
      <c r="M889" s="24"/>
      <c r="N889" s="24"/>
      <c r="O889" s="24"/>
    </row>
    <row r="890">
      <c r="A890" s="16"/>
      <c r="B890" s="16"/>
      <c r="C890" s="16"/>
      <c r="D890" s="16"/>
      <c r="E890" s="16"/>
      <c r="F890" s="20"/>
      <c r="G890" s="20"/>
      <c r="H890" s="20"/>
      <c r="I890" s="20"/>
      <c r="J890" s="24"/>
      <c r="K890" s="24"/>
      <c r="L890" s="24"/>
      <c r="M890" s="24"/>
      <c r="N890" s="24"/>
      <c r="O890" s="24"/>
    </row>
    <row r="891">
      <c r="A891" s="16"/>
      <c r="B891" s="16"/>
      <c r="C891" s="16"/>
      <c r="D891" s="16"/>
      <c r="E891" s="16"/>
      <c r="F891" s="20"/>
      <c r="G891" s="20"/>
      <c r="H891" s="20"/>
      <c r="I891" s="20"/>
      <c r="J891" s="24"/>
      <c r="K891" s="24"/>
      <c r="L891" s="24"/>
      <c r="M891" s="24"/>
      <c r="N891" s="24"/>
      <c r="O891" s="24"/>
    </row>
    <row r="892">
      <c r="A892" s="16"/>
      <c r="B892" s="16"/>
      <c r="C892" s="16"/>
      <c r="D892" s="16"/>
      <c r="E892" s="16"/>
      <c r="F892" s="20"/>
      <c r="G892" s="20"/>
      <c r="H892" s="20"/>
      <c r="I892" s="20"/>
      <c r="J892" s="24"/>
      <c r="K892" s="24"/>
      <c r="L892" s="24"/>
      <c r="M892" s="24"/>
      <c r="N892" s="24"/>
      <c r="O892" s="24"/>
    </row>
    <row r="893">
      <c r="A893" s="16"/>
      <c r="B893" s="16"/>
      <c r="C893" s="16"/>
      <c r="D893" s="16"/>
      <c r="E893" s="16"/>
      <c r="F893" s="20"/>
      <c r="G893" s="20"/>
      <c r="H893" s="20"/>
      <c r="I893" s="20"/>
      <c r="J893" s="24"/>
      <c r="K893" s="24"/>
      <c r="L893" s="24"/>
      <c r="M893" s="24"/>
      <c r="N893" s="24"/>
      <c r="O893" s="24"/>
    </row>
    <row r="894">
      <c r="A894" s="16"/>
      <c r="B894" s="16"/>
      <c r="C894" s="16"/>
      <c r="D894" s="16"/>
      <c r="E894" s="16"/>
      <c r="F894" s="20"/>
      <c r="G894" s="20"/>
      <c r="H894" s="20"/>
      <c r="I894" s="20"/>
      <c r="J894" s="24"/>
      <c r="K894" s="24"/>
      <c r="L894" s="24"/>
      <c r="M894" s="24"/>
      <c r="N894" s="24"/>
      <c r="O894" s="24"/>
    </row>
    <row r="895">
      <c r="A895" s="16"/>
      <c r="B895" s="16"/>
      <c r="C895" s="16"/>
      <c r="D895" s="16"/>
      <c r="E895" s="16"/>
      <c r="F895" s="20"/>
      <c r="G895" s="20"/>
      <c r="H895" s="20"/>
      <c r="I895" s="20"/>
      <c r="J895" s="24"/>
      <c r="K895" s="24"/>
      <c r="L895" s="24"/>
      <c r="M895" s="24"/>
      <c r="N895" s="24"/>
      <c r="O895" s="24"/>
    </row>
    <row r="896">
      <c r="A896" s="16"/>
      <c r="B896" s="16"/>
      <c r="C896" s="16"/>
      <c r="D896" s="16"/>
      <c r="E896" s="16"/>
      <c r="F896" s="20"/>
      <c r="G896" s="20"/>
      <c r="H896" s="20"/>
      <c r="I896" s="20"/>
      <c r="J896" s="24"/>
      <c r="K896" s="24"/>
      <c r="L896" s="24"/>
      <c r="M896" s="24"/>
      <c r="N896" s="24"/>
      <c r="O896" s="24"/>
    </row>
    <row r="897">
      <c r="A897" s="16"/>
      <c r="B897" s="16"/>
      <c r="C897" s="16"/>
      <c r="D897" s="16"/>
      <c r="E897" s="16"/>
      <c r="F897" s="20"/>
      <c r="G897" s="20"/>
      <c r="H897" s="20"/>
      <c r="I897" s="20"/>
      <c r="J897" s="24"/>
      <c r="K897" s="24"/>
      <c r="L897" s="24"/>
      <c r="M897" s="24"/>
      <c r="N897" s="24"/>
      <c r="O897" s="24"/>
    </row>
    <row r="898">
      <c r="A898" s="16"/>
      <c r="B898" s="16"/>
      <c r="C898" s="16"/>
      <c r="D898" s="16"/>
      <c r="E898" s="16"/>
      <c r="F898" s="20"/>
      <c r="G898" s="20"/>
      <c r="H898" s="20"/>
      <c r="I898" s="20"/>
      <c r="J898" s="24"/>
      <c r="K898" s="24"/>
      <c r="L898" s="24"/>
      <c r="M898" s="24"/>
      <c r="N898" s="24"/>
      <c r="O898" s="24"/>
    </row>
    <row r="899">
      <c r="A899" s="16"/>
      <c r="B899" s="16"/>
      <c r="C899" s="16"/>
      <c r="D899" s="16"/>
      <c r="E899" s="16"/>
      <c r="F899" s="20"/>
      <c r="G899" s="20"/>
      <c r="H899" s="20"/>
      <c r="I899" s="20"/>
      <c r="J899" s="24"/>
      <c r="K899" s="24"/>
      <c r="L899" s="24"/>
      <c r="M899" s="24"/>
      <c r="N899" s="24"/>
      <c r="O899" s="24"/>
    </row>
    <row r="900">
      <c r="A900" s="16"/>
      <c r="B900" s="16"/>
      <c r="C900" s="16"/>
      <c r="D900" s="16"/>
      <c r="E900" s="16"/>
      <c r="F900" s="20"/>
      <c r="G900" s="20"/>
      <c r="H900" s="20"/>
      <c r="I900" s="20"/>
      <c r="J900" s="24"/>
      <c r="K900" s="24"/>
      <c r="L900" s="24"/>
      <c r="M900" s="24"/>
      <c r="N900" s="24"/>
      <c r="O900" s="24"/>
    </row>
    <row r="901">
      <c r="A901" s="16"/>
      <c r="B901" s="16"/>
      <c r="C901" s="16"/>
      <c r="D901" s="16"/>
      <c r="E901" s="16"/>
      <c r="F901" s="20"/>
      <c r="G901" s="20"/>
      <c r="H901" s="20"/>
      <c r="I901" s="20"/>
      <c r="J901" s="24"/>
      <c r="K901" s="24"/>
      <c r="L901" s="24"/>
      <c r="M901" s="24"/>
      <c r="N901" s="24"/>
      <c r="O901" s="24"/>
    </row>
    <row r="902">
      <c r="A902" s="16"/>
      <c r="B902" s="16"/>
      <c r="C902" s="16"/>
      <c r="D902" s="16"/>
      <c r="E902" s="16"/>
      <c r="F902" s="20"/>
      <c r="G902" s="20"/>
      <c r="H902" s="20"/>
      <c r="I902" s="20"/>
      <c r="J902" s="24"/>
      <c r="K902" s="24"/>
      <c r="L902" s="24"/>
      <c r="M902" s="24"/>
      <c r="N902" s="24"/>
      <c r="O902" s="24"/>
    </row>
    <row r="903">
      <c r="A903" s="16"/>
      <c r="B903" s="16"/>
      <c r="C903" s="16"/>
      <c r="D903" s="16"/>
      <c r="E903" s="16"/>
      <c r="F903" s="20"/>
      <c r="G903" s="20"/>
      <c r="H903" s="20"/>
      <c r="I903" s="20"/>
      <c r="J903" s="24"/>
      <c r="K903" s="24"/>
      <c r="L903" s="24"/>
      <c r="M903" s="24"/>
      <c r="N903" s="24"/>
      <c r="O903" s="24"/>
    </row>
    <row r="904">
      <c r="A904" s="16"/>
      <c r="B904" s="16"/>
      <c r="C904" s="16"/>
      <c r="D904" s="16"/>
      <c r="E904" s="16"/>
      <c r="F904" s="20"/>
      <c r="G904" s="20"/>
      <c r="H904" s="20"/>
      <c r="I904" s="20"/>
      <c r="J904" s="24"/>
      <c r="K904" s="24"/>
      <c r="L904" s="24"/>
      <c r="M904" s="24"/>
      <c r="N904" s="24"/>
      <c r="O904" s="24"/>
    </row>
    <row r="905">
      <c r="A905" s="16"/>
      <c r="B905" s="16"/>
      <c r="C905" s="16"/>
      <c r="D905" s="16"/>
      <c r="E905" s="16"/>
      <c r="F905" s="20"/>
      <c r="G905" s="20"/>
      <c r="H905" s="20"/>
      <c r="I905" s="20"/>
      <c r="J905" s="24"/>
      <c r="K905" s="24"/>
      <c r="L905" s="24"/>
      <c r="M905" s="24"/>
      <c r="N905" s="24"/>
      <c r="O905" s="24"/>
    </row>
    <row r="906">
      <c r="A906" s="16"/>
      <c r="B906" s="16"/>
      <c r="C906" s="16"/>
      <c r="D906" s="16"/>
      <c r="E906" s="16"/>
      <c r="F906" s="20"/>
      <c r="G906" s="20"/>
      <c r="H906" s="20"/>
      <c r="I906" s="20"/>
      <c r="J906" s="24"/>
      <c r="K906" s="24"/>
      <c r="L906" s="24"/>
      <c r="M906" s="24"/>
      <c r="N906" s="24"/>
      <c r="O906" s="24"/>
    </row>
    <row r="907">
      <c r="A907" s="16"/>
      <c r="B907" s="16"/>
      <c r="C907" s="16"/>
      <c r="D907" s="16"/>
      <c r="E907" s="16"/>
      <c r="F907" s="20"/>
      <c r="G907" s="20"/>
      <c r="H907" s="20"/>
      <c r="I907" s="20"/>
      <c r="J907" s="24"/>
      <c r="K907" s="24"/>
      <c r="L907" s="24"/>
      <c r="M907" s="24"/>
      <c r="N907" s="24"/>
      <c r="O907" s="24"/>
    </row>
    <row r="908">
      <c r="A908" s="16"/>
      <c r="B908" s="16"/>
      <c r="C908" s="16"/>
      <c r="D908" s="16"/>
      <c r="E908" s="16"/>
      <c r="F908" s="20"/>
      <c r="G908" s="20"/>
      <c r="H908" s="20"/>
      <c r="I908" s="20"/>
      <c r="J908" s="24"/>
      <c r="K908" s="24"/>
      <c r="L908" s="24"/>
      <c r="M908" s="24"/>
      <c r="N908" s="24"/>
      <c r="O908" s="24"/>
    </row>
    <row r="909">
      <c r="A909" s="16"/>
      <c r="B909" s="16"/>
      <c r="C909" s="16"/>
      <c r="D909" s="16"/>
      <c r="E909" s="16"/>
      <c r="F909" s="20"/>
      <c r="G909" s="20"/>
      <c r="H909" s="20"/>
      <c r="I909" s="20"/>
      <c r="J909" s="24"/>
      <c r="K909" s="24"/>
      <c r="L909" s="24"/>
      <c r="M909" s="24"/>
      <c r="N909" s="24"/>
      <c r="O909" s="24"/>
    </row>
    <row r="910">
      <c r="A910" s="16"/>
      <c r="B910" s="16"/>
      <c r="C910" s="16"/>
      <c r="D910" s="16"/>
      <c r="E910" s="16"/>
      <c r="F910" s="20"/>
      <c r="G910" s="20"/>
      <c r="H910" s="20"/>
      <c r="I910" s="20"/>
      <c r="J910" s="24"/>
      <c r="K910" s="24"/>
      <c r="L910" s="24"/>
      <c r="M910" s="24"/>
      <c r="N910" s="24"/>
      <c r="O910" s="24"/>
    </row>
    <row r="911">
      <c r="A911" s="16"/>
      <c r="B911" s="16"/>
      <c r="C911" s="16"/>
      <c r="D911" s="16"/>
      <c r="E911" s="16"/>
      <c r="F911" s="20"/>
      <c r="G911" s="20"/>
      <c r="H911" s="20"/>
      <c r="I911" s="20"/>
      <c r="J911" s="24"/>
      <c r="K911" s="24"/>
      <c r="L911" s="24"/>
      <c r="M911" s="24"/>
      <c r="N911" s="24"/>
      <c r="O911" s="24"/>
    </row>
    <row r="912">
      <c r="A912" s="16"/>
      <c r="B912" s="16"/>
      <c r="C912" s="16"/>
      <c r="D912" s="16"/>
      <c r="E912" s="16"/>
      <c r="F912" s="20"/>
      <c r="G912" s="20"/>
      <c r="H912" s="20"/>
      <c r="I912" s="20"/>
      <c r="J912" s="24"/>
      <c r="K912" s="24"/>
      <c r="L912" s="24"/>
      <c r="M912" s="24"/>
      <c r="N912" s="24"/>
      <c r="O912" s="24"/>
    </row>
    <row r="913">
      <c r="A913" s="16"/>
      <c r="B913" s="16"/>
      <c r="C913" s="16"/>
      <c r="D913" s="16"/>
      <c r="E913" s="16"/>
      <c r="F913" s="20"/>
      <c r="G913" s="20"/>
      <c r="H913" s="20"/>
      <c r="I913" s="20"/>
      <c r="J913" s="24"/>
      <c r="K913" s="24"/>
      <c r="L913" s="24"/>
      <c r="M913" s="24"/>
      <c r="N913" s="24"/>
      <c r="O913" s="24"/>
    </row>
    <row r="914">
      <c r="A914" s="16"/>
      <c r="B914" s="16"/>
      <c r="C914" s="16"/>
      <c r="D914" s="16"/>
      <c r="E914" s="16"/>
      <c r="F914" s="20"/>
      <c r="G914" s="20"/>
      <c r="H914" s="20"/>
      <c r="I914" s="20"/>
      <c r="J914" s="24"/>
      <c r="K914" s="24"/>
      <c r="L914" s="24"/>
      <c r="M914" s="24"/>
      <c r="N914" s="24"/>
      <c r="O914" s="24"/>
    </row>
    <row r="915">
      <c r="A915" s="16"/>
      <c r="B915" s="16"/>
      <c r="C915" s="16"/>
      <c r="D915" s="16"/>
      <c r="E915" s="16"/>
      <c r="F915" s="20"/>
      <c r="G915" s="20"/>
      <c r="H915" s="20"/>
      <c r="I915" s="20"/>
      <c r="J915" s="24"/>
      <c r="K915" s="24"/>
      <c r="L915" s="24"/>
      <c r="M915" s="24"/>
      <c r="N915" s="24"/>
      <c r="O915" s="24"/>
    </row>
    <row r="916">
      <c r="A916" s="16"/>
      <c r="B916" s="16"/>
      <c r="C916" s="16"/>
      <c r="D916" s="16"/>
      <c r="E916" s="16"/>
      <c r="F916" s="20"/>
      <c r="G916" s="20"/>
      <c r="H916" s="20"/>
      <c r="I916" s="20"/>
      <c r="J916" s="24"/>
      <c r="K916" s="24"/>
      <c r="L916" s="24"/>
      <c r="M916" s="24"/>
      <c r="N916" s="24"/>
      <c r="O916" s="24"/>
    </row>
    <row r="917">
      <c r="A917" s="16"/>
      <c r="B917" s="16"/>
      <c r="C917" s="16"/>
      <c r="D917" s="16"/>
      <c r="E917" s="16"/>
      <c r="F917" s="20"/>
      <c r="G917" s="20"/>
      <c r="H917" s="20"/>
      <c r="I917" s="20"/>
      <c r="J917" s="24"/>
      <c r="K917" s="24"/>
      <c r="L917" s="24"/>
      <c r="M917" s="24"/>
      <c r="N917" s="24"/>
      <c r="O917" s="24"/>
    </row>
    <row r="918">
      <c r="A918" s="16"/>
      <c r="B918" s="16"/>
      <c r="C918" s="16"/>
      <c r="D918" s="16"/>
      <c r="E918" s="16"/>
      <c r="F918" s="20"/>
      <c r="G918" s="20"/>
      <c r="H918" s="20"/>
      <c r="I918" s="20"/>
      <c r="J918" s="24"/>
      <c r="K918" s="24"/>
      <c r="L918" s="24"/>
      <c r="M918" s="24"/>
      <c r="N918" s="24"/>
      <c r="O918" s="24"/>
    </row>
    <row r="919">
      <c r="A919" s="16"/>
      <c r="B919" s="16"/>
      <c r="C919" s="16"/>
      <c r="D919" s="16"/>
      <c r="E919" s="16"/>
      <c r="F919" s="20"/>
      <c r="G919" s="20"/>
      <c r="H919" s="20"/>
      <c r="I919" s="20"/>
      <c r="J919" s="24"/>
      <c r="K919" s="24"/>
      <c r="L919" s="24"/>
      <c r="M919" s="24"/>
      <c r="N919" s="24"/>
      <c r="O919" s="24"/>
    </row>
    <row r="920">
      <c r="A920" s="16"/>
      <c r="B920" s="16"/>
      <c r="C920" s="16"/>
      <c r="D920" s="16"/>
      <c r="E920" s="16"/>
      <c r="F920" s="20"/>
      <c r="G920" s="20"/>
      <c r="H920" s="20"/>
      <c r="I920" s="20"/>
      <c r="J920" s="24"/>
      <c r="K920" s="24"/>
      <c r="L920" s="24"/>
      <c r="M920" s="24"/>
      <c r="N920" s="24"/>
      <c r="O920" s="24"/>
    </row>
    <row r="921">
      <c r="A921" s="16"/>
      <c r="B921" s="16"/>
      <c r="C921" s="16"/>
      <c r="D921" s="16"/>
      <c r="E921" s="16"/>
      <c r="F921" s="20"/>
      <c r="G921" s="20"/>
      <c r="H921" s="20"/>
      <c r="I921" s="20"/>
      <c r="J921" s="24"/>
      <c r="K921" s="24"/>
      <c r="L921" s="24"/>
      <c r="M921" s="24"/>
      <c r="N921" s="24"/>
      <c r="O921" s="24"/>
    </row>
    <row r="922">
      <c r="A922" s="16"/>
      <c r="B922" s="16"/>
      <c r="C922" s="16"/>
      <c r="D922" s="16"/>
      <c r="E922" s="16"/>
      <c r="F922" s="20"/>
      <c r="G922" s="20"/>
      <c r="H922" s="20"/>
      <c r="I922" s="20"/>
      <c r="J922" s="24"/>
      <c r="K922" s="24"/>
      <c r="L922" s="24"/>
      <c r="M922" s="24"/>
      <c r="N922" s="24"/>
      <c r="O922" s="24"/>
    </row>
    <row r="923">
      <c r="A923" s="16"/>
      <c r="B923" s="16"/>
      <c r="C923" s="16"/>
      <c r="D923" s="16"/>
      <c r="E923" s="16"/>
      <c r="F923" s="20"/>
      <c r="G923" s="20"/>
      <c r="H923" s="20"/>
      <c r="I923" s="20"/>
      <c r="J923" s="24"/>
      <c r="K923" s="24"/>
      <c r="L923" s="24"/>
      <c r="M923" s="24"/>
      <c r="N923" s="24"/>
      <c r="O923" s="24"/>
    </row>
    <row r="924">
      <c r="A924" s="16"/>
      <c r="B924" s="16"/>
      <c r="C924" s="16"/>
      <c r="D924" s="16"/>
      <c r="E924" s="16"/>
      <c r="F924" s="20"/>
      <c r="G924" s="20"/>
      <c r="H924" s="20"/>
      <c r="I924" s="20"/>
      <c r="J924" s="24"/>
      <c r="K924" s="24"/>
      <c r="L924" s="24"/>
      <c r="M924" s="24"/>
      <c r="N924" s="24"/>
      <c r="O924" s="24"/>
    </row>
    <row r="925">
      <c r="A925" s="16"/>
      <c r="B925" s="16"/>
      <c r="C925" s="16"/>
      <c r="D925" s="16"/>
      <c r="E925" s="16"/>
      <c r="F925" s="20"/>
      <c r="G925" s="20"/>
      <c r="H925" s="20"/>
      <c r="I925" s="20"/>
      <c r="J925" s="24"/>
      <c r="K925" s="24"/>
      <c r="L925" s="24"/>
      <c r="M925" s="24"/>
      <c r="N925" s="24"/>
      <c r="O925" s="24"/>
    </row>
    <row r="926">
      <c r="A926" s="16"/>
      <c r="B926" s="16"/>
      <c r="C926" s="16"/>
      <c r="D926" s="16"/>
      <c r="E926" s="16"/>
      <c r="F926" s="20"/>
      <c r="G926" s="20"/>
      <c r="H926" s="20"/>
      <c r="I926" s="20"/>
      <c r="J926" s="24"/>
      <c r="K926" s="24"/>
      <c r="L926" s="24"/>
      <c r="M926" s="24"/>
      <c r="N926" s="24"/>
      <c r="O926" s="24"/>
    </row>
    <row r="927">
      <c r="A927" s="16"/>
      <c r="B927" s="16"/>
      <c r="C927" s="16"/>
      <c r="D927" s="16"/>
      <c r="E927" s="16"/>
      <c r="F927" s="20"/>
      <c r="G927" s="20"/>
      <c r="H927" s="20"/>
      <c r="I927" s="20"/>
      <c r="J927" s="24"/>
      <c r="K927" s="24"/>
      <c r="L927" s="24"/>
      <c r="M927" s="24"/>
      <c r="N927" s="24"/>
      <c r="O927" s="24"/>
    </row>
    <row r="928">
      <c r="A928" s="16"/>
      <c r="B928" s="16"/>
      <c r="C928" s="16"/>
      <c r="D928" s="16"/>
      <c r="E928" s="16"/>
      <c r="F928" s="20"/>
      <c r="G928" s="20"/>
      <c r="H928" s="20"/>
      <c r="I928" s="20"/>
      <c r="J928" s="24"/>
      <c r="K928" s="24"/>
      <c r="L928" s="24"/>
      <c r="M928" s="24"/>
      <c r="N928" s="24"/>
      <c r="O928" s="24"/>
    </row>
    <row r="929">
      <c r="A929" s="16"/>
      <c r="B929" s="16"/>
      <c r="C929" s="16"/>
      <c r="D929" s="16"/>
      <c r="E929" s="16"/>
      <c r="F929" s="20"/>
      <c r="G929" s="20"/>
      <c r="H929" s="20"/>
      <c r="I929" s="20"/>
      <c r="J929" s="24"/>
      <c r="K929" s="24"/>
      <c r="L929" s="24"/>
      <c r="M929" s="24"/>
      <c r="N929" s="24"/>
      <c r="O929" s="24"/>
    </row>
    <row r="930">
      <c r="A930" s="16"/>
      <c r="B930" s="16"/>
      <c r="C930" s="16"/>
      <c r="D930" s="16"/>
      <c r="E930" s="16"/>
      <c r="F930" s="20"/>
      <c r="G930" s="20"/>
      <c r="H930" s="20"/>
      <c r="I930" s="20"/>
      <c r="J930" s="24"/>
      <c r="K930" s="24"/>
      <c r="L930" s="24"/>
      <c r="M930" s="24"/>
      <c r="N930" s="24"/>
      <c r="O930" s="24"/>
    </row>
    <row r="931">
      <c r="A931" s="16"/>
      <c r="B931" s="16"/>
      <c r="C931" s="16"/>
      <c r="D931" s="16"/>
      <c r="E931" s="16"/>
      <c r="F931" s="20"/>
      <c r="G931" s="20"/>
      <c r="H931" s="20"/>
      <c r="I931" s="20"/>
      <c r="J931" s="24"/>
      <c r="K931" s="24"/>
      <c r="L931" s="24"/>
      <c r="M931" s="24"/>
      <c r="N931" s="24"/>
      <c r="O931" s="24"/>
    </row>
    <row r="932">
      <c r="A932" s="16"/>
      <c r="B932" s="16"/>
      <c r="C932" s="16"/>
      <c r="D932" s="16"/>
      <c r="E932" s="16"/>
      <c r="F932" s="20"/>
      <c r="G932" s="20"/>
      <c r="H932" s="20"/>
      <c r="I932" s="20"/>
      <c r="J932" s="24"/>
      <c r="K932" s="24"/>
      <c r="L932" s="24"/>
      <c r="M932" s="24"/>
      <c r="N932" s="24"/>
      <c r="O932" s="24"/>
    </row>
    <row r="933">
      <c r="A933" s="16"/>
      <c r="B933" s="16"/>
      <c r="C933" s="16"/>
      <c r="D933" s="16"/>
      <c r="E933" s="16"/>
      <c r="F933" s="20"/>
      <c r="G933" s="20"/>
      <c r="H933" s="20"/>
      <c r="I933" s="20"/>
      <c r="J933" s="24"/>
      <c r="K933" s="24"/>
      <c r="L933" s="24"/>
      <c r="M933" s="24"/>
      <c r="N933" s="24"/>
      <c r="O933" s="24"/>
    </row>
    <row r="934">
      <c r="A934" s="16"/>
      <c r="B934" s="16"/>
      <c r="C934" s="16"/>
      <c r="D934" s="16"/>
      <c r="E934" s="16"/>
      <c r="F934" s="20"/>
      <c r="G934" s="20"/>
      <c r="H934" s="20"/>
      <c r="I934" s="20"/>
      <c r="J934" s="24"/>
      <c r="K934" s="24"/>
      <c r="L934" s="24"/>
      <c r="M934" s="24"/>
      <c r="N934" s="24"/>
      <c r="O934" s="24"/>
    </row>
    <row r="935">
      <c r="A935" s="16"/>
      <c r="B935" s="16"/>
      <c r="C935" s="16"/>
      <c r="D935" s="16"/>
      <c r="E935" s="16"/>
      <c r="F935" s="20"/>
      <c r="G935" s="20"/>
      <c r="H935" s="20"/>
      <c r="I935" s="20"/>
      <c r="J935" s="24"/>
      <c r="K935" s="24"/>
      <c r="L935" s="24"/>
      <c r="M935" s="24"/>
      <c r="N935" s="24"/>
      <c r="O935" s="24"/>
    </row>
    <row r="936">
      <c r="A936" s="16"/>
      <c r="B936" s="16"/>
      <c r="C936" s="16"/>
      <c r="D936" s="16"/>
      <c r="E936" s="16"/>
      <c r="F936" s="20"/>
      <c r="G936" s="20"/>
      <c r="H936" s="20"/>
      <c r="I936" s="20"/>
      <c r="J936" s="24"/>
      <c r="K936" s="24"/>
      <c r="L936" s="24"/>
      <c r="M936" s="24"/>
      <c r="N936" s="24"/>
      <c r="O936" s="24"/>
    </row>
    <row r="937">
      <c r="A937" s="16"/>
      <c r="B937" s="16"/>
      <c r="C937" s="16"/>
      <c r="D937" s="16"/>
      <c r="E937" s="16"/>
      <c r="F937" s="20"/>
      <c r="G937" s="20"/>
      <c r="H937" s="20"/>
      <c r="I937" s="20"/>
      <c r="J937" s="24"/>
      <c r="K937" s="24"/>
      <c r="L937" s="24"/>
      <c r="M937" s="24"/>
      <c r="N937" s="24"/>
      <c r="O937" s="24"/>
    </row>
    <row r="938">
      <c r="A938" s="16"/>
      <c r="B938" s="16"/>
      <c r="C938" s="16"/>
      <c r="D938" s="16"/>
      <c r="E938" s="16"/>
      <c r="F938" s="20"/>
      <c r="G938" s="20"/>
      <c r="H938" s="20"/>
      <c r="I938" s="20"/>
      <c r="J938" s="24"/>
      <c r="K938" s="24"/>
      <c r="L938" s="24"/>
      <c r="M938" s="24"/>
      <c r="N938" s="24"/>
      <c r="O938" s="24"/>
    </row>
    <row r="939">
      <c r="A939" s="16"/>
      <c r="B939" s="16"/>
      <c r="C939" s="16"/>
      <c r="D939" s="16"/>
      <c r="E939" s="16"/>
      <c r="F939" s="20"/>
      <c r="G939" s="20"/>
      <c r="H939" s="20"/>
      <c r="I939" s="20"/>
      <c r="J939" s="24"/>
      <c r="K939" s="24"/>
      <c r="L939" s="24"/>
      <c r="M939" s="24"/>
      <c r="N939" s="24"/>
      <c r="O939" s="24"/>
    </row>
    <row r="940">
      <c r="A940" s="16"/>
      <c r="B940" s="16"/>
      <c r="C940" s="16"/>
      <c r="D940" s="16"/>
      <c r="E940" s="16"/>
      <c r="F940" s="20"/>
      <c r="G940" s="20"/>
      <c r="H940" s="20"/>
      <c r="I940" s="20"/>
      <c r="J940" s="24"/>
      <c r="K940" s="24"/>
      <c r="L940" s="24"/>
      <c r="M940" s="24"/>
      <c r="N940" s="24"/>
      <c r="O940" s="24"/>
    </row>
    <row r="941">
      <c r="A941" s="16"/>
      <c r="B941" s="16"/>
      <c r="C941" s="16"/>
      <c r="D941" s="16"/>
      <c r="E941" s="16"/>
      <c r="F941" s="20"/>
      <c r="G941" s="20"/>
      <c r="H941" s="20"/>
      <c r="I941" s="20"/>
      <c r="J941" s="24"/>
      <c r="K941" s="24"/>
      <c r="L941" s="24"/>
      <c r="M941" s="24"/>
      <c r="N941" s="24"/>
      <c r="O941" s="24"/>
    </row>
    <row r="942">
      <c r="A942" s="16"/>
      <c r="B942" s="16"/>
      <c r="C942" s="16"/>
      <c r="D942" s="16"/>
      <c r="E942" s="16"/>
      <c r="F942" s="20"/>
      <c r="G942" s="20"/>
      <c r="H942" s="20"/>
      <c r="I942" s="20"/>
      <c r="J942" s="24"/>
      <c r="K942" s="24"/>
      <c r="L942" s="24"/>
      <c r="M942" s="24"/>
      <c r="N942" s="24"/>
      <c r="O942" s="24"/>
    </row>
    <row r="943">
      <c r="A943" s="16"/>
      <c r="B943" s="16"/>
      <c r="C943" s="16"/>
      <c r="D943" s="16"/>
      <c r="E943" s="16"/>
      <c r="F943" s="20"/>
      <c r="G943" s="20"/>
      <c r="H943" s="20"/>
      <c r="I943" s="20"/>
      <c r="J943" s="24"/>
      <c r="K943" s="24"/>
      <c r="L943" s="24"/>
      <c r="M943" s="24"/>
      <c r="N943" s="24"/>
      <c r="O943" s="24"/>
    </row>
    <row r="944">
      <c r="A944" s="16"/>
      <c r="B944" s="16"/>
      <c r="C944" s="16"/>
      <c r="D944" s="16"/>
      <c r="E944" s="16"/>
      <c r="F944" s="20"/>
      <c r="G944" s="20"/>
      <c r="H944" s="20"/>
      <c r="I944" s="20"/>
      <c r="J944" s="24"/>
      <c r="K944" s="24"/>
      <c r="L944" s="24"/>
      <c r="M944" s="24"/>
      <c r="N944" s="24"/>
      <c r="O944" s="24"/>
    </row>
    <row r="945">
      <c r="A945" s="16"/>
      <c r="B945" s="16"/>
      <c r="C945" s="16"/>
      <c r="D945" s="16"/>
      <c r="E945" s="16"/>
      <c r="F945" s="20"/>
      <c r="G945" s="20"/>
      <c r="H945" s="20"/>
      <c r="I945" s="20"/>
      <c r="J945" s="24"/>
      <c r="K945" s="24"/>
      <c r="L945" s="24"/>
      <c r="M945" s="24"/>
      <c r="N945" s="24"/>
      <c r="O945" s="24"/>
    </row>
    <row r="946">
      <c r="A946" s="16"/>
      <c r="B946" s="16"/>
      <c r="C946" s="16"/>
      <c r="D946" s="16"/>
      <c r="E946" s="16"/>
      <c r="F946" s="20"/>
      <c r="G946" s="20"/>
      <c r="H946" s="20"/>
      <c r="I946" s="20"/>
      <c r="J946" s="24"/>
      <c r="K946" s="24"/>
      <c r="L946" s="24"/>
      <c r="M946" s="24"/>
      <c r="N946" s="24"/>
      <c r="O946" s="24"/>
    </row>
    <row r="947">
      <c r="A947" s="16"/>
      <c r="B947" s="16"/>
      <c r="C947" s="16"/>
      <c r="D947" s="16"/>
      <c r="E947" s="16"/>
      <c r="F947" s="20"/>
      <c r="G947" s="20"/>
      <c r="H947" s="20"/>
      <c r="I947" s="20"/>
      <c r="J947" s="24"/>
      <c r="K947" s="24"/>
      <c r="L947" s="24"/>
      <c r="M947" s="24"/>
      <c r="N947" s="24"/>
      <c r="O947" s="24"/>
    </row>
    <row r="948">
      <c r="A948" s="16"/>
      <c r="B948" s="16"/>
      <c r="C948" s="16"/>
      <c r="D948" s="16"/>
      <c r="E948" s="16"/>
      <c r="F948" s="20"/>
      <c r="G948" s="20"/>
      <c r="H948" s="20"/>
      <c r="I948" s="20"/>
      <c r="J948" s="24"/>
      <c r="K948" s="24"/>
      <c r="L948" s="24"/>
      <c r="M948" s="24"/>
      <c r="N948" s="24"/>
      <c r="O948" s="24"/>
    </row>
    <row r="949">
      <c r="A949" s="16"/>
      <c r="B949" s="16"/>
      <c r="C949" s="16"/>
      <c r="D949" s="16"/>
      <c r="E949" s="16"/>
      <c r="F949" s="20"/>
      <c r="G949" s="20"/>
      <c r="H949" s="20"/>
      <c r="I949" s="20"/>
      <c r="J949" s="24"/>
      <c r="K949" s="24"/>
      <c r="L949" s="24"/>
      <c r="M949" s="24"/>
      <c r="N949" s="24"/>
      <c r="O949" s="24"/>
    </row>
    <row r="950">
      <c r="A950" s="16"/>
      <c r="B950" s="16"/>
      <c r="C950" s="16"/>
      <c r="D950" s="16"/>
      <c r="E950" s="16"/>
      <c r="F950" s="20"/>
      <c r="G950" s="20"/>
      <c r="H950" s="20"/>
      <c r="I950" s="20"/>
      <c r="J950" s="24"/>
      <c r="K950" s="24"/>
      <c r="L950" s="24"/>
      <c r="M950" s="24"/>
      <c r="N950" s="24"/>
      <c r="O950" s="24"/>
    </row>
    <row r="951">
      <c r="A951" s="16"/>
      <c r="B951" s="16"/>
      <c r="C951" s="16"/>
      <c r="D951" s="16"/>
      <c r="E951" s="16"/>
      <c r="F951" s="20"/>
      <c r="G951" s="20"/>
      <c r="H951" s="20"/>
      <c r="I951" s="20"/>
      <c r="J951" s="24"/>
      <c r="K951" s="24"/>
      <c r="L951" s="24"/>
      <c r="M951" s="24"/>
      <c r="N951" s="24"/>
      <c r="O951" s="24"/>
    </row>
    <row r="952">
      <c r="A952" s="16"/>
      <c r="B952" s="16"/>
      <c r="C952" s="16"/>
      <c r="D952" s="16"/>
      <c r="E952" s="16"/>
      <c r="F952" s="20"/>
      <c r="G952" s="20"/>
      <c r="H952" s="20"/>
      <c r="I952" s="20"/>
      <c r="J952" s="24"/>
      <c r="K952" s="24"/>
      <c r="L952" s="24"/>
      <c r="M952" s="24"/>
      <c r="N952" s="24"/>
      <c r="O952" s="24"/>
    </row>
    <row r="953">
      <c r="A953" s="16"/>
      <c r="B953" s="16"/>
      <c r="C953" s="16"/>
      <c r="D953" s="16"/>
      <c r="E953" s="16"/>
      <c r="F953" s="20"/>
      <c r="G953" s="20"/>
      <c r="H953" s="20"/>
      <c r="I953" s="20"/>
      <c r="J953" s="24"/>
      <c r="K953" s="24"/>
      <c r="L953" s="24"/>
      <c r="M953" s="24"/>
      <c r="N953" s="24"/>
      <c r="O953" s="24"/>
    </row>
    <row r="954">
      <c r="A954" s="16"/>
      <c r="B954" s="16"/>
      <c r="C954" s="16"/>
      <c r="D954" s="16"/>
      <c r="E954" s="16"/>
      <c r="F954" s="20"/>
      <c r="G954" s="20"/>
      <c r="H954" s="20"/>
      <c r="I954" s="20"/>
      <c r="J954" s="24"/>
      <c r="K954" s="24"/>
      <c r="L954" s="24"/>
      <c r="M954" s="24"/>
      <c r="N954" s="24"/>
      <c r="O954" s="24"/>
    </row>
    <row r="955">
      <c r="A955" s="16"/>
      <c r="B955" s="16"/>
      <c r="C955" s="16"/>
      <c r="D955" s="16"/>
      <c r="E955" s="16"/>
      <c r="F955" s="20"/>
      <c r="G955" s="20"/>
      <c r="H955" s="20"/>
      <c r="I955" s="20"/>
      <c r="J955" s="24"/>
      <c r="K955" s="24"/>
      <c r="L955" s="24"/>
      <c r="M955" s="24"/>
      <c r="N955" s="24"/>
      <c r="O955" s="24"/>
    </row>
    <row r="956">
      <c r="A956" s="16"/>
      <c r="B956" s="16"/>
      <c r="C956" s="16"/>
      <c r="D956" s="16"/>
      <c r="E956" s="16"/>
      <c r="F956" s="20"/>
      <c r="G956" s="20"/>
      <c r="H956" s="20"/>
      <c r="I956" s="20"/>
      <c r="J956" s="24"/>
      <c r="K956" s="24"/>
      <c r="L956" s="24"/>
      <c r="M956" s="24"/>
      <c r="N956" s="24"/>
      <c r="O956" s="24"/>
    </row>
    <row r="957">
      <c r="A957" s="16"/>
      <c r="B957" s="16"/>
      <c r="C957" s="16"/>
      <c r="D957" s="16"/>
      <c r="E957" s="16"/>
      <c r="F957" s="20"/>
      <c r="G957" s="20"/>
      <c r="H957" s="20"/>
      <c r="I957" s="20"/>
      <c r="J957" s="24"/>
      <c r="K957" s="24"/>
      <c r="L957" s="24"/>
      <c r="M957" s="24"/>
      <c r="N957" s="24"/>
      <c r="O957" s="24"/>
    </row>
    <row r="958">
      <c r="A958" s="16"/>
      <c r="B958" s="16"/>
      <c r="C958" s="16"/>
      <c r="D958" s="16"/>
      <c r="E958" s="16"/>
      <c r="F958" s="20"/>
      <c r="G958" s="20"/>
      <c r="H958" s="20"/>
      <c r="I958" s="20"/>
      <c r="J958" s="24"/>
      <c r="K958" s="24"/>
      <c r="L958" s="24"/>
      <c r="M958" s="24"/>
      <c r="N958" s="24"/>
      <c r="O958" s="24"/>
    </row>
    <row r="959">
      <c r="A959" s="16"/>
      <c r="B959" s="16"/>
      <c r="C959" s="16"/>
      <c r="D959" s="16"/>
      <c r="E959" s="16"/>
      <c r="F959" s="20"/>
      <c r="G959" s="20"/>
      <c r="H959" s="20"/>
      <c r="I959" s="20"/>
      <c r="J959" s="24"/>
      <c r="K959" s="24"/>
      <c r="L959" s="24"/>
      <c r="M959" s="24"/>
      <c r="N959" s="24"/>
      <c r="O959" s="24"/>
    </row>
    <row r="960">
      <c r="A960" s="16"/>
      <c r="B960" s="16"/>
      <c r="C960" s="16"/>
      <c r="D960" s="16"/>
      <c r="E960" s="16"/>
      <c r="F960" s="20"/>
      <c r="G960" s="20"/>
      <c r="H960" s="20"/>
      <c r="I960" s="20"/>
      <c r="J960" s="24"/>
      <c r="K960" s="24"/>
      <c r="L960" s="24"/>
      <c r="M960" s="24"/>
      <c r="N960" s="24"/>
      <c r="O960" s="24"/>
    </row>
    <row r="961">
      <c r="A961" s="16"/>
      <c r="B961" s="16"/>
      <c r="C961" s="16"/>
      <c r="D961" s="16"/>
      <c r="E961" s="16"/>
      <c r="F961" s="20"/>
      <c r="G961" s="20"/>
      <c r="H961" s="20"/>
      <c r="I961" s="20"/>
      <c r="J961" s="24"/>
      <c r="K961" s="24"/>
      <c r="L961" s="24"/>
      <c r="M961" s="24"/>
      <c r="N961" s="24"/>
      <c r="O961" s="24"/>
    </row>
    <row r="962">
      <c r="A962" s="16"/>
      <c r="B962" s="16"/>
      <c r="C962" s="16"/>
      <c r="D962" s="16"/>
      <c r="E962" s="16"/>
      <c r="F962" s="20"/>
      <c r="G962" s="20"/>
      <c r="H962" s="20"/>
      <c r="I962" s="20"/>
      <c r="J962" s="24"/>
      <c r="K962" s="24"/>
      <c r="L962" s="24"/>
      <c r="M962" s="24"/>
      <c r="N962" s="24"/>
      <c r="O962" s="24"/>
    </row>
    <row r="963">
      <c r="A963" s="16"/>
      <c r="B963" s="16"/>
      <c r="C963" s="16"/>
      <c r="D963" s="16"/>
      <c r="E963" s="16"/>
      <c r="F963" s="20"/>
      <c r="G963" s="20"/>
      <c r="H963" s="20"/>
      <c r="I963" s="20"/>
      <c r="J963" s="24"/>
      <c r="K963" s="24"/>
      <c r="L963" s="24"/>
      <c r="M963" s="24"/>
      <c r="N963" s="24"/>
      <c r="O963" s="24"/>
    </row>
    <row r="964">
      <c r="A964" s="16"/>
      <c r="B964" s="16"/>
      <c r="C964" s="16"/>
      <c r="D964" s="16"/>
      <c r="E964" s="16"/>
      <c r="F964" s="20"/>
      <c r="G964" s="20"/>
      <c r="H964" s="20"/>
      <c r="I964" s="20"/>
      <c r="J964" s="24"/>
      <c r="K964" s="24"/>
      <c r="L964" s="24"/>
      <c r="M964" s="24"/>
      <c r="N964" s="24"/>
      <c r="O964" s="24"/>
    </row>
    <row r="965">
      <c r="A965" s="16"/>
      <c r="B965" s="16"/>
      <c r="C965" s="16"/>
      <c r="D965" s="16"/>
      <c r="E965" s="16"/>
      <c r="F965" s="20"/>
      <c r="G965" s="20"/>
      <c r="H965" s="20"/>
      <c r="I965" s="20"/>
      <c r="J965" s="24"/>
      <c r="K965" s="24"/>
      <c r="L965" s="24"/>
      <c r="M965" s="24"/>
      <c r="N965" s="24"/>
      <c r="O965" s="24"/>
    </row>
    <row r="966">
      <c r="A966" s="16"/>
      <c r="B966" s="16"/>
      <c r="C966" s="16"/>
      <c r="D966" s="16"/>
      <c r="E966" s="16"/>
      <c r="F966" s="20"/>
      <c r="G966" s="20"/>
      <c r="H966" s="20"/>
      <c r="I966" s="20"/>
      <c r="J966" s="24"/>
      <c r="K966" s="24"/>
      <c r="L966" s="24"/>
      <c r="M966" s="24"/>
      <c r="N966" s="24"/>
      <c r="O966" s="24"/>
    </row>
    <row r="967">
      <c r="A967" s="16"/>
      <c r="B967" s="16"/>
      <c r="C967" s="16"/>
      <c r="D967" s="16"/>
      <c r="E967" s="16"/>
      <c r="F967" s="20"/>
      <c r="G967" s="20"/>
      <c r="H967" s="20"/>
      <c r="I967" s="20"/>
      <c r="J967" s="24"/>
      <c r="K967" s="24"/>
      <c r="L967" s="24"/>
      <c r="M967" s="24"/>
      <c r="N967" s="24"/>
      <c r="O967" s="24"/>
    </row>
    <row r="968">
      <c r="A968" s="16"/>
      <c r="B968" s="16"/>
      <c r="C968" s="16"/>
      <c r="D968" s="16"/>
      <c r="E968" s="16"/>
      <c r="F968" s="20"/>
      <c r="G968" s="20"/>
      <c r="H968" s="20"/>
      <c r="I968" s="20"/>
      <c r="J968" s="24"/>
      <c r="K968" s="24"/>
      <c r="L968" s="24"/>
      <c r="M968" s="24"/>
      <c r="N968" s="24"/>
      <c r="O968" s="24"/>
    </row>
    <row r="969">
      <c r="A969" s="16"/>
      <c r="B969" s="16"/>
      <c r="C969" s="16"/>
      <c r="D969" s="16"/>
      <c r="E969" s="16"/>
      <c r="F969" s="20"/>
      <c r="G969" s="20"/>
      <c r="H969" s="20"/>
      <c r="I969" s="20"/>
      <c r="J969" s="24"/>
      <c r="K969" s="24"/>
      <c r="L969" s="24"/>
      <c r="M969" s="24"/>
      <c r="N969" s="24"/>
      <c r="O969" s="24"/>
    </row>
    <row r="970">
      <c r="A970" s="16"/>
      <c r="B970" s="16"/>
      <c r="C970" s="16"/>
      <c r="D970" s="16"/>
      <c r="E970" s="16"/>
      <c r="F970" s="20"/>
      <c r="G970" s="20"/>
      <c r="H970" s="20"/>
      <c r="I970" s="20"/>
      <c r="J970" s="24"/>
      <c r="K970" s="24"/>
      <c r="L970" s="24"/>
      <c r="M970" s="24"/>
      <c r="N970" s="24"/>
      <c r="O970" s="24"/>
    </row>
    <row r="971">
      <c r="A971" s="16"/>
      <c r="B971" s="16"/>
      <c r="C971" s="16"/>
      <c r="D971" s="16"/>
      <c r="E971" s="16"/>
      <c r="F971" s="20"/>
      <c r="G971" s="20"/>
      <c r="H971" s="20"/>
      <c r="I971" s="20"/>
      <c r="J971" s="24"/>
      <c r="K971" s="24"/>
      <c r="L971" s="24"/>
      <c r="M971" s="24"/>
      <c r="N971" s="24"/>
      <c r="O971" s="24"/>
    </row>
    <row r="972">
      <c r="A972" s="16"/>
      <c r="B972" s="16"/>
      <c r="C972" s="16"/>
      <c r="D972" s="16"/>
      <c r="E972" s="16"/>
      <c r="F972" s="20"/>
      <c r="G972" s="20"/>
      <c r="H972" s="20"/>
      <c r="I972" s="20"/>
      <c r="J972" s="24"/>
      <c r="K972" s="24"/>
      <c r="L972" s="24"/>
      <c r="M972" s="24"/>
      <c r="N972" s="24"/>
      <c r="O972" s="24"/>
    </row>
    <row r="973">
      <c r="A973" s="16"/>
      <c r="B973" s="16"/>
      <c r="C973" s="16"/>
      <c r="D973" s="16"/>
      <c r="E973" s="16"/>
      <c r="F973" s="20"/>
      <c r="G973" s="20"/>
      <c r="H973" s="20"/>
      <c r="I973" s="20"/>
      <c r="J973" s="24"/>
      <c r="K973" s="24"/>
      <c r="L973" s="24"/>
      <c r="M973" s="24"/>
      <c r="N973" s="24"/>
      <c r="O973" s="24"/>
    </row>
    <row r="974">
      <c r="A974" s="16"/>
      <c r="B974" s="16"/>
      <c r="C974" s="16"/>
      <c r="D974" s="16"/>
      <c r="E974" s="16"/>
      <c r="F974" s="20"/>
      <c r="G974" s="20"/>
      <c r="H974" s="20"/>
      <c r="I974" s="20"/>
      <c r="J974" s="24"/>
      <c r="K974" s="24"/>
      <c r="L974" s="24"/>
      <c r="M974" s="24"/>
      <c r="N974" s="24"/>
      <c r="O974" s="24"/>
    </row>
    <row r="975">
      <c r="A975" s="16"/>
      <c r="B975" s="16"/>
      <c r="C975" s="16"/>
      <c r="D975" s="16"/>
      <c r="E975" s="16"/>
      <c r="F975" s="20"/>
      <c r="G975" s="20"/>
      <c r="H975" s="20"/>
      <c r="I975" s="20"/>
      <c r="J975" s="24"/>
      <c r="K975" s="24"/>
      <c r="L975" s="24"/>
      <c r="M975" s="24"/>
      <c r="N975" s="24"/>
      <c r="O975" s="24"/>
    </row>
    <row r="976">
      <c r="A976" s="16"/>
      <c r="B976" s="16"/>
      <c r="C976" s="16"/>
      <c r="D976" s="16"/>
      <c r="E976" s="16"/>
      <c r="F976" s="20"/>
      <c r="G976" s="20"/>
      <c r="H976" s="20"/>
      <c r="I976" s="20"/>
      <c r="J976" s="24"/>
      <c r="K976" s="24"/>
      <c r="L976" s="24"/>
      <c r="M976" s="24"/>
      <c r="N976" s="24"/>
      <c r="O976" s="24"/>
    </row>
    <row r="977">
      <c r="A977" s="16"/>
      <c r="B977" s="16"/>
      <c r="C977" s="16"/>
      <c r="D977" s="16"/>
      <c r="E977" s="16"/>
      <c r="F977" s="20"/>
      <c r="G977" s="20"/>
      <c r="H977" s="20"/>
      <c r="I977" s="20"/>
      <c r="J977" s="24"/>
      <c r="K977" s="24"/>
      <c r="L977" s="24"/>
      <c r="M977" s="24"/>
      <c r="N977" s="24"/>
      <c r="O977" s="24"/>
    </row>
    <row r="978">
      <c r="A978" s="16"/>
      <c r="B978" s="16"/>
      <c r="C978" s="16"/>
      <c r="D978" s="16"/>
      <c r="E978" s="16"/>
      <c r="F978" s="20"/>
      <c r="G978" s="20"/>
      <c r="H978" s="20"/>
      <c r="I978" s="20"/>
      <c r="J978" s="24"/>
      <c r="K978" s="24"/>
      <c r="L978" s="24"/>
      <c r="M978" s="24"/>
      <c r="N978" s="24"/>
      <c r="O978" s="24"/>
    </row>
    <row r="979">
      <c r="A979" s="16"/>
      <c r="B979" s="16"/>
      <c r="C979" s="16"/>
      <c r="D979" s="16"/>
      <c r="E979" s="16"/>
      <c r="F979" s="20"/>
      <c r="G979" s="20"/>
      <c r="H979" s="20"/>
      <c r="I979" s="20"/>
      <c r="J979" s="24"/>
      <c r="K979" s="24"/>
      <c r="L979" s="24"/>
      <c r="M979" s="24"/>
      <c r="N979" s="24"/>
      <c r="O979" s="24"/>
    </row>
    <row r="980">
      <c r="A980" s="16"/>
      <c r="B980" s="16"/>
      <c r="C980" s="16"/>
      <c r="D980" s="16"/>
      <c r="E980" s="16"/>
      <c r="F980" s="20"/>
      <c r="G980" s="20"/>
      <c r="H980" s="20"/>
      <c r="I980" s="20"/>
      <c r="J980" s="24"/>
      <c r="K980" s="24"/>
      <c r="L980" s="24"/>
      <c r="M980" s="24"/>
      <c r="N980" s="24"/>
      <c r="O980" s="24"/>
    </row>
    <row r="981">
      <c r="A981" s="16"/>
      <c r="B981" s="16"/>
      <c r="C981" s="16"/>
      <c r="D981" s="16"/>
      <c r="E981" s="16"/>
      <c r="F981" s="20"/>
      <c r="G981" s="20"/>
      <c r="H981" s="20"/>
      <c r="I981" s="20"/>
      <c r="J981" s="24"/>
      <c r="K981" s="24"/>
      <c r="L981" s="24"/>
      <c r="M981" s="24"/>
      <c r="N981" s="24"/>
      <c r="O981" s="24"/>
    </row>
    <row r="982">
      <c r="A982" s="16"/>
      <c r="B982" s="16"/>
      <c r="C982" s="16"/>
      <c r="D982" s="16"/>
      <c r="E982" s="16"/>
      <c r="F982" s="20"/>
      <c r="G982" s="20"/>
      <c r="H982" s="20"/>
      <c r="I982" s="20"/>
      <c r="J982" s="24"/>
      <c r="K982" s="24"/>
      <c r="L982" s="24"/>
      <c r="M982" s="24"/>
      <c r="N982" s="24"/>
      <c r="O982" s="24"/>
    </row>
    <row r="983">
      <c r="A983" s="16"/>
      <c r="B983" s="16"/>
      <c r="C983" s="16"/>
      <c r="D983" s="16"/>
      <c r="E983" s="16"/>
      <c r="F983" s="20"/>
      <c r="G983" s="20"/>
      <c r="H983" s="20"/>
      <c r="I983" s="20"/>
      <c r="J983" s="24"/>
      <c r="K983" s="24"/>
      <c r="L983" s="24"/>
      <c r="M983" s="24"/>
      <c r="N983" s="24"/>
      <c r="O983" s="24"/>
    </row>
    <row r="984">
      <c r="A984" s="16"/>
      <c r="B984" s="16"/>
      <c r="C984" s="16"/>
      <c r="D984" s="16"/>
      <c r="E984" s="16"/>
      <c r="F984" s="20"/>
      <c r="G984" s="20"/>
      <c r="H984" s="20"/>
      <c r="I984" s="20"/>
      <c r="J984" s="24"/>
      <c r="K984" s="24"/>
      <c r="L984" s="24"/>
      <c r="M984" s="24"/>
      <c r="N984" s="24"/>
      <c r="O984" s="24"/>
    </row>
    <row r="985">
      <c r="A985" s="16"/>
      <c r="B985" s="16"/>
      <c r="C985" s="16"/>
      <c r="D985" s="16"/>
      <c r="E985" s="16"/>
      <c r="F985" s="20"/>
      <c r="G985" s="20"/>
      <c r="H985" s="20"/>
      <c r="I985" s="20"/>
      <c r="J985" s="24"/>
      <c r="K985" s="24"/>
      <c r="L985" s="24"/>
      <c r="M985" s="24"/>
      <c r="N985" s="24"/>
      <c r="O985" s="24"/>
    </row>
    <row r="986">
      <c r="A986" s="16"/>
      <c r="B986" s="16"/>
      <c r="C986" s="16"/>
      <c r="D986" s="16"/>
      <c r="E986" s="16"/>
      <c r="F986" s="20"/>
      <c r="G986" s="20"/>
      <c r="H986" s="20"/>
      <c r="I986" s="20"/>
      <c r="J986" s="24"/>
      <c r="K986" s="24"/>
      <c r="L986" s="24"/>
      <c r="M986" s="24"/>
      <c r="N986" s="24"/>
      <c r="O986" s="24"/>
    </row>
    <row r="987">
      <c r="A987" s="16"/>
      <c r="B987" s="16"/>
      <c r="C987" s="16"/>
      <c r="D987" s="16"/>
      <c r="E987" s="16"/>
      <c r="F987" s="20"/>
      <c r="G987" s="20"/>
      <c r="H987" s="20"/>
      <c r="I987" s="20"/>
      <c r="J987" s="24"/>
      <c r="K987" s="24"/>
      <c r="L987" s="24"/>
      <c r="M987" s="24"/>
      <c r="N987" s="24"/>
      <c r="O987" s="24"/>
    </row>
    <row r="988">
      <c r="A988" s="16"/>
      <c r="B988" s="16"/>
      <c r="C988" s="16"/>
      <c r="D988" s="16"/>
      <c r="E988" s="16"/>
      <c r="F988" s="20"/>
      <c r="G988" s="20"/>
      <c r="H988" s="20"/>
      <c r="I988" s="20"/>
      <c r="J988" s="24"/>
      <c r="K988" s="24"/>
      <c r="L988" s="24"/>
      <c r="M988" s="24"/>
      <c r="N988" s="24"/>
      <c r="O988" s="24"/>
    </row>
    <row r="989">
      <c r="A989" s="16"/>
      <c r="B989" s="16"/>
      <c r="C989" s="16"/>
      <c r="D989" s="16"/>
      <c r="E989" s="16"/>
      <c r="F989" s="20"/>
      <c r="G989" s="20"/>
      <c r="H989" s="20"/>
      <c r="I989" s="20"/>
      <c r="J989" s="24"/>
      <c r="K989" s="24"/>
      <c r="L989" s="24"/>
      <c r="M989" s="24"/>
      <c r="N989" s="24"/>
      <c r="O989" s="24"/>
    </row>
    <row r="990">
      <c r="A990" s="16"/>
      <c r="B990" s="16"/>
      <c r="C990" s="16"/>
      <c r="D990" s="16"/>
      <c r="E990" s="16"/>
      <c r="F990" s="20"/>
      <c r="G990" s="20"/>
      <c r="H990" s="20"/>
      <c r="I990" s="20"/>
      <c r="J990" s="24"/>
      <c r="K990" s="24"/>
      <c r="L990" s="24"/>
      <c r="M990" s="24"/>
      <c r="N990" s="24"/>
      <c r="O990" s="24"/>
    </row>
    <row r="991">
      <c r="A991" s="16"/>
      <c r="B991" s="16"/>
      <c r="C991" s="16"/>
      <c r="D991" s="16"/>
      <c r="E991" s="16"/>
      <c r="F991" s="20"/>
      <c r="G991" s="20"/>
      <c r="H991" s="20"/>
      <c r="I991" s="20"/>
      <c r="J991" s="24"/>
      <c r="K991" s="24"/>
      <c r="L991" s="24"/>
      <c r="M991" s="24"/>
      <c r="N991" s="24"/>
      <c r="O991" s="24"/>
    </row>
    <row r="992">
      <c r="A992" s="16"/>
      <c r="B992" s="16"/>
      <c r="C992" s="16"/>
      <c r="D992" s="16"/>
      <c r="E992" s="16"/>
      <c r="F992" s="20"/>
      <c r="G992" s="20"/>
      <c r="H992" s="20"/>
      <c r="I992" s="20"/>
      <c r="J992" s="24"/>
      <c r="K992" s="24"/>
      <c r="L992" s="24"/>
      <c r="M992" s="24"/>
      <c r="N992" s="24"/>
      <c r="O992" s="24"/>
    </row>
    <row r="993">
      <c r="A993" s="16"/>
      <c r="B993" s="16"/>
      <c r="C993" s="16"/>
      <c r="D993" s="16"/>
      <c r="E993" s="16"/>
      <c r="F993" s="20"/>
      <c r="G993" s="20"/>
      <c r="H993" s="20"/>
      <c r="I993" s="20"/>
      <c r="J993" s="24"/>
      <c r="K993" s="24"/>
      <c r="L993" s="24"/>
      <c r="M993" s="24"/>
      <c r="N993" s="24"/>
      <c r="O993" s="24"/>
    </row>
    <row r="994">
      <c r="A994" s="16"/>
      <c r="B994" s="16"/>
      <c r="C994" s="16"/>
      <c r="D994" s="16"/>
      <c r="E994" s="16"/>
      <c r="F994" s="20"/>
      <c r="G994" s="20"/>
      <c r="H994" s="20"/>
      <c r="I994" s="20"/>
      <c r="J994" s="24"/>
      <c r="K994" s="24"/>
      <c r="L994" s="24"/>
      <c r="M994" s="24"/>
      <c r="N994" s="24"/>
      <c r="O994" s="24"/>
    </row>
    <row r="995">
      <c r="A995" s="16"/>
      <c r="B995" s="16"/>
      <c r="C995" s="16"/>
      <c r="D995" s="16"/>
      <c r="E995" s="16"/>
      <c r="F995" s="20"/>
      <c r="G995" s="20"/>
      <c r="H995" s="20"/>
      <c r="I995" s="20"/>
      <c r="J995" s="24"/>
      <c r="K995" s="24"/>
      <c r="L995" s="24"/>
      <c r="M995" s="24"/>
      <c r="N995" s="24"/>
      <c r="O995" s="24"/>
    </row>
    <row r="996">
      <c r="A996" s="16"/>
      <c r="B996" s="16"/>
      <c r="C996" s="16"/>
      <c r="D996" s="16"/>
      <c r="E996" s="16"/>
      <c r="F996" s="20"/>
      <c r="G996" s="20"/>
      <c r="H996" s="20"/>
      <c r="I996" s="20"/>
      <c r="J996" s="24"/>
      <c r="K996" s="24"/>
      <c r="L996" s="24"/>
      <c r="M996" s="24"/>
      <c r="N996" s="24"/>
      <c r="O996" s="24"/>
    </row>
    <row r="997">
      <c r="A997" s="16"/>
      <c r="B997" s="16"/>
      <c r="C997" s="16"/>
      <c r="D997" s="16"/>
      <c r="E997" s="16"/>
      <c r="F997" s="20"/>
      <c r="G997" s="20"/>
      <c r="H997" s="20"/>
      <c r="I997" s="20"/>
      <c r="J997" s="24"/>
      <c r="K997" s="24"/>
      <c r="L997" s="24"/>
      <c r="M997" s="24"/>
      <c r="N997" s="24"/>
      <c r="O997" s="24"/>
    </row>
    <row r="998">
      <c r="A998" s="16"/>
      <c r="B998" s="16"/>
      <c r="C998" s="16"/>
      <c r="D998" s="16"/>
      <c r="E998" s="16"/>
      <c r="F998" s="20"/>
      <c r="G998" s="20"/>
      <c r="H998" s="20"/>
      <c r="I998" s="20"/>
      <c r="J998" s="24"/>
      <c r="K998" s="24"/>
      <c r="L998" s="24"/>
      <c r="M998" s="24"/>
      <c r="N998" s="24"/>
      <c r="O998" s="24"/>
    </row>
  </sheetData>
  <mergeCells count="24">
    <mergeCell ref="B2:B3"/>
    <mergeCell ref="C2:C3"/>
    <mergeCell ref="D2:D3"/>
    <mergeCell ref="E2:E3"/>
    <mergeCell ref="G2:G3"/>
    <mergeCell ref="H2:H3"/>
    <mergeCell ref="I2:I3"/>
    <mergeCell ref="F2:F3"/>
    <mergeCell ref="B4:F4"/>
    <mergeCell ref="B11:D11"/>
    <mergeCell ref="B13:F13"/>
    <mergeCell ref="B18:D18"/>
    <mergeCell ref="B20:F20"/>
    <mergeCell ref="B27:E27"/>
    <mergeCell ref="B59:E59"/>
    <mergeCell ref="B61:F61"/>
    <mergeCell ref="B66:E66"/>
    <mergeCell ref="B29:F29"/>
    <mergeCell ref="B34:E34"/>
    <mergeCell ref="B36:F36"/>
    <mergeCell ref="B43:E43"/>
    <mergeCell ref="B45:F45"/>
    <mergeCell ref="B50:E50"/>
    <mergeCell ref="B52:F52"/>
  </mergeCells>
  <hyperlinks>
    <hyperlink r:id="rId1" location="gid=1686480931" ref="A1"/>
  </hyperlinks>
  <printOptions horizontalCentered="1"/>
  <pageMargins bottom="0.75" footer="0.0" header="0.0" left="0.25" right="0.25" top="0.75"/>
  <pageSetup fitToHeight="0" paperSize="9" cellComments="atEnd"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5"/>
    <col customWidth="1" min="2" max="2" width="3.5"/>
    <col customWidth="1" min="3" max="3" width="13.75"/>
    <col customWidth="1" min="4" max="4" width="15.5"/>
    <col customWidth="1" min="5" max="5" width="8.0"/>
    <col customWidth="1" min="6" max="6" width="8.25"/>
    <col customWidth="1" hidden="1" min="7" max="7" width="7.75"/>
    <col customWidth="1" hidden="1" min="8" max="8" width="6.13"/>
    <col customWidth="1" hidden="1" min="9" max="9" width="7.75"/>
    <col customWidth="1" hidden="1" min="10" max="10" width="8.63"/>
    <col customWidth="1" hidden="1" min="11" max="13" width="6.63"/>
    <col customWidth="1" hidden="1" min="14" max="14" width="6.75"/>
    <col customWidth="1" min="15" max="15" width="8.5"/>
    <col customWidth="1" hidden="1" min="16" max="16" width="12.13"/>
    <col customWidth="1" min="17" max="25" width="7.88"/>
    <col customWidth="1" hidden="1" min="26" max="26" width="7.88"/>
  </cols>
  <sheetData>
    <row r="1" ht="9.75" customHeight="1">
      <c r="A1" s="14" t="s">
        <v>10</v>
      </c>
      <c r="B1" s="15"/>
      <c r="C1" s="15"/>
      <c r="D1" s="15"/>
      <c r="E1" s="17"/>
      <c r="F1" s="15"/>
      <c r="G1" s="21"/>
      <c r="H1" s="21"/>
      <c r="I1" s="23"/>
      <c r="J1" s="23"/>
      <c r="K1" s="29"/>
      <c r="L1" s="29"/>
      <c r="M1" s="29"/>
      <c r="N1" s="29"/>
      <c r="O1" s="31"/>
      <c r="P1" s="31"/>
      <c r="Q1" s="31"/>
      <c r="R1" s="31"/>
      <c r="S1" s="31"/>
      <c r="T1" s="31"/>
      <c r="U1" s="31"/>
      <c r="V1" s="31"/>
      <c r="W1" s="31"/>
      <c r="X1" s="31"/>
      <c r="Y1" s="31"/>
      <c r="Z1" s="31"/>
    </row>
    <row r="2" ht="30.0" customHeight="1">
      <c r="A2" s="34"/>
      <c r="B2" s="35" t="s">
        <v>0</v>
      </c>
      <c r="C2" s="37" t="s">
        <v>21</v>
      </c>
      <c r="D2" s="37" t="s">
        <v>24</v>
      </c>
      <c r="E2" s="40" t="s">
        <v>18</v>
      </c>
      <c r="F2" s="36" t="str">
        <f>' CPVC PIPE'!F2</f>
        <v>MRP as on 1st May, 2024</v>
      </c>
      <c r="G2" s="42" t="s">
        <v>6</v>
      </c>
      <c r="H2" s="47" t="s">
        <v>32</v>
      </c>
      <c r="I2" s="47" t="s">
        <v>35</v>
      </c>
      <c r="J2" s="50" t="s">
        <v>26</v>
      </c>
      <c r="K2" s="52" t="s">
        <v>36</v>
      </c>
      <c r="L2" s="52" t="s">
        <v>41</v>
      </c>
      <c r="M2" s="52" t="s">
        <v>42</v>
      </c>
      <c r="N2" s="52" t="s">
        <v>44</v>
      </c>
      <c r="O2" s="55" t="s">
        <v>45</v>
      </c>
      <c r="P2" s="50" t="s">
        <v>46</v>
      </c>
      <c r="Q2" s="57"/>
      <c r="R2" s="57"/>
      <c r="S2" s="57"/>
      <c r="T2" s="57"/>
      <c r="U2" s="57"/>
      <c r="V2" s="57"/>
      <c r="W2" s="57"/>
      <c r="X2" s="57"/>
      <c r="Y2" s="57"/>
      <c r="Z2" s="57"/>
    </row>
    <row r="3" ht="31.5" customHeight="1">
      <c r="A3" s="34"/>
      <c r="B3" s="41"/>
      <c r="C3" s="41"/>
      <c r="D3" s="41"/>
      <c r="E3" s="41"/>
      <c r="F3" s="41"/>
      <c r="G3" s="41"/>
      <c r="H3" s="41"/>
      <c r="I3" s="41"/>
      <c r="J3" s="41"/>
      <c r="K3" s="29"/>
      <c r="L3" s="29"/>
      <c r="M3" s="29"/>
      <c r="N3" s="29"/>
      <c r="O3" s="41"/>
      <c r="P3" s="41"/>
      <c r="Q3" s="57"/>
      <c r="R3" s="57"/>
      <c r="S3" s="57"/>
      <c r="T3" s="57"/>
      <c r="U3" s="57"/>
      <c r="V3" s="57"/>
      <c r="W3" s="57"/>
      <c r="X3" s="57"/>
      <c r="Y3" s="57"/>
      <c r="Z3" s="57"/>
    </row>
    <row r="4" ht="22.5" customHeight="1">
      <c r="A4" s="34"/>
      <c r="B4" s="62" t="s">
        <v>52</v>
      </c>
      <c r="C4" s="45"/>
      <c r="D4" s="45"/>
      <c r="E4" s="45"/>
      <c r="F4" s="46"/>
      <c r="G4" s="64"/>
      <c r="H4" s="64"/>
      <c r="I4" s="65"/>
      <c r="J4" s="65"/>
      <c r="K4" s="29"/>
      <c r="L4" s="29"/>
      <c r="M4" s="29"/>
      <c r="N4" s="29"/>
      <c r="O4" s="31"/>
      <c r="P4" s="31"/>
      <c r="Q4" s="31"/>
      <c r="R4" s="31"/>
      <c r="S4" s="31"/>
      <c r="T4" s="31"/>
      <c r="U4" s="31"/>
      <c r="V4" s="31"/>
      <c r="W4" s="31"/>
      <c r="X4" s="31"/>
      <c r="Y4" s="31"/>
      <c r="Z4" s="31"/>
    </row>
    <row r="5" ht="15.75" customHeight="1">
      <c r="A5" s="67" t="str">
        <f t="shared" ref="A5:A10" si="1">$B$4&amp;C5</f>
        <v>Elbow 90⁰1⁄2</v>
      </c>
      <c r="B5" s="68">
        <v>1.0</v>
      </c>
      <c r="C5" s="70" t="s">
        <v>43</v>
      </c>
      <c r="D5" s="70">
        <v>15.0</v>
      </c>
      <c r="E5" s="72" t="s">
        <v>59</v>
      </c>
      <c r="F5" s="56">
        <v>16.8</v>
      </c>
      <c r="G5" s="76">
        <f>IFERROR(__xludf.DUMMYFUNCTION("ArrayFormula(IFERROR(VLOOKUP(E5,IMPORTRANGE(""https://docs.google.com/spreadsheets/d/1xZyKy-UzMmtPDLpV5jQdYum1LtbR8XKDuasLSjmBRMI/edit#gid=1241094406"",""COMBINED DATA!E3:L""),{7,8},0)))"),0.011)</f>
        <v>0.011</v>
      </c>
      <c r="H5" s="76">
        <f>IFERROR(__xludf.DUMMYFUNCTION("""COMPUTED_VALUE"""),0.0)</f>
        <v>0</v>
      </c>
      <c r="I5" s="76">
        <f t="shared" ref="I5:I10" si="2">G5+H5</f>
        <v>0.011</v>
      </c>
      <c r="J5" s="84">
        <f t="shared" ref="J5:J10" si="3">IFERROR(F5/$I5,"")</f>
        <v>1527.272727</v>
      </c>
      <c r="K5" s="85">
        <f t="shared" ref="K5:K10" si="4">IFERROR(G5*250,)</f>
        <v>2.75</v>
      </c>
      <c r="L5" s="85">
        <f t="shared" ref="L5:L10" si="5">IFERROR(H5*750,"")</f>
        <v>0</v>
      </c>
      <c r="M5" s="85">
        <f t="shared" ref="M5:M10" si="6">K5+L5</f>
        <v>2.75</v>
      </c>
      <c r="N5" s="85">
        <f t="shared" ref="N5:N194" si="7">IFERROR(F5/M5,"")</f>
        <v>6.109090909</v>
      </c>
      <c r="O5" s="87">
        <v>16.8</v>
      </c>
      <c r="P5" s="88"/>
      <c r="Q5" s="89"/>
      <c r="R5" s="89"/>
      <c r="S5" s="89"/>
      <c r="T5" s="89"/>
      <c r="U5" s="89"/>
      <c r="V5" s="89"/>
      <c r="W5" s="89"/>
      <c r="X5" s="89"/>
      <c r="Y5" s="89"/>
      <c r="Z5" s="89"/>
    </row>
    <row r="6">
      <c r="A6" s="67" t="str">
        <f t="shared" si="1"/>
        <v>Elbow 90⁰3⁄4</v>
      </c>
      <c r="B6" s="90">
        <v>2.0</v>
      </c>
      <c r="C6" s="92" t="s">
        <v>51</v>
      </c>
      <c r="D6" s="92">
        <v>20.0</v>
      </c>
      <c r="E6" s="94" t="s">
        <v>76</v>
      </c>
      <c r="F6" s="56">
        <v>19.9</v>
      </c>
      <c r="G6" s="76">
        <f>IFERROR(__xludf.DUMMYFUNCTION("ArrayFormula(IFERROR(VLOOKUP(E6,IMPORTRANGE(""https://docs.google.com/spreadsheets/d/1xZyKy-UzMmtPDLpV5jQdYum1LtbR8XKDuasLSjmBRMI/edit#gid=1241094406"",""COMBINED DATA!E3:L""),{7,8},0)))"),0.0229)</f>
        <v>0.0229</v>
      </c>
      <c r="H6" s="76">
        <f>IFERROR(__xludf.DUMMYFUNCTION("""COMPUTED_VALUE"""),0.0)</f>
        <v>0</v>
      </c>
      <c r="I6" s="76">
        <f t="shared" si="2"/>
        <v>0.0229</v>
      </c>
      <c r="J6" s="84">
        <f t="shared" si="3"/>
        <v>868.9956332</v>
      </c>
      <c r="K6" s="85">
        <f t="shared" si="4"/>
        <v>5.725</v>
      </c>
      <c r="L6" s="85">
        <f t="shared" si="5"/>
        <v>0</v>
      </c>
      <c r="M6" s="85">
        <f t="shared" si="6"/>
        <v>5.725</v>
      </c>
      <c r="N6" s="85">
        <f t="shared" si="7"/>
        <v>3.475982533</v>
      </c>
      <c r="O6" s="87">
        <v>19.9</v>
      </c>
      <c r="P6" s="89"/>
      <c r="Q6" s="89"/>
      <c r="R6" s="89"/>
      <c r="S6" s="89"/>
      <c r="T6" s="89"/>
      <c r="U6" s="89"/>
      <c r="V6" s="89"/>
      <c r="W6" s="89"/>
      <c r="X6" s="89"/>
      <c r="Y6" s="89"/>
      <c r="Z6" s="89"/>
    </row>
    <row r="7" ht="15.75" customHeight="1">
      <c r="A7" s="67" t="str">
        <f t="shared" si="1"/>
        <v>Elbow 90⁰1</v>
      </c>
      <c r="B7" s="90">
        <v>3.0</v>
      </c>
      <c r="C7" s="92" t="s">
        <v>84</v>
      </c>
      <c r="D7" s="92">
        <v>25.0</v>
      </c>
      <c r="E7" s="94" t="s">
        <v>85</v>
      </c>
      <c r="F7" s="56">
        <v>39.8</v>
      </c>
      <c r="G7" s="76">
        <f>IFERROR(__xludf.DUMMYFUNCTION("ArrayFormula(IFERROR(VLOOKUP(E7,IMPORTRANGE(""https://docs.google.com/spreadsheets/d/1xZyKy-UzMmtPDLpV5jQdYum1LtbR8XKDuasLSjmBRMI/edit#gid=1241094406"",""COMBINED DATA!E3:L""),{7,8},0)))"),0.0363)</f>
        <v>0.0363</v>
      </c>
      <c r="H7" s="76">
        <f>IFERROR(__xludf.DUMMYFUNCTION("""COMPUTED_VALUE"""),0.0)</f>
        <v>0</v>
      </c>
      <c r="I7" s="76">
        <f t="shared" si="2"/>
        <v>0.0363</v>
      </c>
      <c r="J7" s="84">
        <f t="shared" si="3"/>
        <v>1096.418733</v>
      </c>
      <c r="K7" s="85">
        <f t="shared" si="4"/>
        <v>9.075</v>
      </c>
      <c r="L7" s="85">
        <f t="shared" si="5"/>
        <v>0</v>
      </c>
      <c r="M7" s="85">
        <f t="shared" si="6"/>
        <v>9.075</v>
      </c>
      <c r="N7" s="85">
        <f t="shared" si="7"/>
        <v>4.385674931</v>
      </c>
      <c r="O7" s="87">
        <v>39.8</v>
      </c>
      <c r="P7" s="89"/>
      <c r="Q7" s="89"/>
      <c r="R7" s="89"/>
      <c r="S7" s="89"/>
      <c r="T7" s="89"/>
      <c r="U7" s="89"/>
      <c r="V7" s="89"/>
      <c r="W7" s="89"/>
      <c r="X7" s="89"/>
      <c r="Y7" s="89"/>
      <c r="Z7" s="89"/>
    </row>
    <row r="8" ht="15.75" customHeight="1">
      <c r="A8" s="67" t="str">
        <f t="shared" si="1"/>
        <v>Elbow 90⁰1 1⁄4</v>
      </c>
      <c r="B8" s="90">
        <v>4.0</v>
      </c>
      <c r="C8" s="92" t="s">
        <v>55</v>
      </c>
      <c r="D8" s="92">
        <v>32.0</v>
      </c>
      <c r="E8" s="94" t="s">
        <v>92</v>
      </c>
      <c r="F8" s="56">
        <v>89.9</v>
      </c>
      <c r="G8" s="76">
        <f>IFERROR(__xludf.DUMMYFUNCTION("ArrayFormula(IFERROR(VLOOKUP(E8,IMPORTRANGE(""https://docs.google.com/spreadsheets/d/1xZyKy-UzMmtPDLpV5jQdYum1LtbR8XKDuasLSjmBRMI/edit#gid=1241094406"",""COMBINED DATA!E3:L""),{7,8},0)))"),0.07095)</f>
        <v>0.07095</v>
      </c>
      <c r="H8" s="76">
        <f>IFERROR(__xludf.DUMMYFUNCTION("""COMPUTED_VALUE"""),0.0)</f>
        <v>0</v>
      </c>
      <c r="I8" s="76">
        <f t="shared" si="2"/>
        <v>0.07095</v>
      </c>
      <c r="J8" s="84">
        <f t="shared" si="3"/>
        <v>1267.0895</v>
      </c>
      <c r="K8" s="85">
        <f t="shared" si="4"/>
        <v>17.7375</v>
      </c>
      <c r="L8" s="85">
        <f t="shared" si="5"/>
        <v>0</v>
      </c>
      <c r="M8" s="85">
        <f t="shared" si="6"/>
        <v>17.7375</v>
      </c>
      <c r="N8" s="85">
        <f t="shared" si="7"/>
        <v>5.068357999</v>
      </c>
      <c r="O8" s="87">
        <v>89.9</v>
      </c>
      <c r="P8" s="89"/>
      <c r="Q8" s="89"/>
      <c r="R8" s="89"/>
      <c r="S8" s="89"/>
      <c r="T8" s="89"/>
      <c r="U8" s="89"/>
      <c r="V8" s="89"/>
      <c r="W8" s="89"/>
      <c r="X8" s="89"/>
      <c r="Y8" s="89"/>
      <c r="Z8" s="89"/>
    </row>
    <row r="9" ht="15.75" customHeight="1">
      <c r="A9" s="67" t="str">
        <f t="shared" si="1"/>
        <v>Elbow 90⁰1 1⁄2</v>
      </c>
      <c r="B9" s="90">
        <v>5.0</v>
      </c>
      <c r="C9" s="92" t="s">
        <v>56</v>
      </c>
      <c r="D9" s="92">
        <v>40.0</v>
      </c>
      <c r="E9" s="94" t="s">
        <v>95</v>
      </c>
      <c r="F9" s="56">
        <v>164.4</v>
      </c>
      <c r="G9" s="76">
        <f>IFERROR(__xludf.DUMMYFUNCTION("ArrayFormula(IFERROR(VLOOKUP(E9,IMPORTRANGE(""https://docs.google.com/spreadsheets/d/1xZyKy-UzMmtPDLpV5jQdYum1LtbR8XKDuasLSjmBRMI/edit#gid=1241094406"",""COMBINED DATA!E3:L""),{7,8},0)))"),0.11225)</f>
        <v>0.11225</v>
      </c>
      <c r="H9" s="76">
        <f>IFERROR(__xludf.DUMMYFUNCTION("""COMPUTED_VALUE"""),0.0)</f>
        <v>0</v>
      </c>
      <c r="I9" s="76">
        <f t="shared" si="2"/>
        <v>0.11225</v>
      </c>
      <c r="J9" s="84">
        <f t="shared" si="3"/>
        <v>1464.587973</v>
      </c>
      <c r="K9" s="85">
        <f t="shared" si="4"/>
        <v>28.0625</v>
      </c>
      <c r="L9" s="85">
        <f t="shared" si="5"/>
        <v>0</v>
      </c>
      <c r="M9" s="85">
        <f t="shared" si="6"/>
        <v>28.0625</v>
      </c>
      <c r="N9" s="85">
        <f t="shared" si="7"/>
        <v>5.858351893</v>
      </c>
      <c r="O9" s="87">
        <v>164.4</v>
      </c>
      <c r="P9" s="89"/>
      <c r="Q9" s="89"/>
      <c r="R9" s="89"/>
      <c r="S9" s="89"/>
      <c r="T9" s="89"/>
      <c r="U9" s="89"/>
      <c r="V9" s="89"/>
      <c r="W9" s="89"/>
      <c r="X9" s="89"/>
      <c r="Y9" s="89"/>
      <c r="Z9" s="89"/>
    </row>
    <row r="10" ht="15.75" customHeight="1">
      <c r="A10" s="67" t="str">
        <f t="shared" si="1"/>
        <v>Elbow 90⁰2</v>
      </c>
      <c r="B10" s="90">
        <v>6.0</v>
      </c>
      <c r="C10" s="92" t="s">
        <v>107</v>
      </c>
      <c r="D10" s="92">
        <v>50.0</v>
      </c>
      <c r="E10" s="94" t="s">
        <v>109</v>
      </c>
      <c r="F10" s="56">
        <v>338.0</v>
      </c>
      <c r="G10" s="76">
        <f>IFERROR(__xludf.DUMMYFUNCTION("ArrayFormula(IFERROR(VLOOKUP(E10,IMPORTRANGE(""https://docs.google.com/spreadsheets/d/1xZyKy-UzMmtPDLpV5jQdYum1LtbR8XKDuasLSjmBRMI/edit#gid=1241094406"",""COMBINED DATA!E3:L""),{7,8},0)))"),0.2132)</f>
        <v>0.2132</v>
      </c>
      <c r="H10" s="76">
        <f>IFERROR(__xludf.DUMMYFUNCTION("""COMPUTED_VALUE"""),0.0)</f>
        <v>0</v>
      </c>
      <c r="I10" s="76">
        <f t="shared" si="2"/>
        <v>0.2132</v>
      </c>
      <c r="J10" s="84">
        <f t="shared" si="3"/>
        <v>1585.365854</v>
      </c>
      <c r="K10" s="85">
        <f t="shared" si="4"/>
        <v>53.3</v>
      </c>
      <c r="L10" s="85">
        <f t="shared" si="5"/>
        <v>0</v>
      </c>
      <c r="M10" s="85">
        <f t="shared" si="6"/>
        <v>53.3</v>
      </c>
      <c r="N10" s="85">
        <f t="shared" si="7"/>
        <v>6.341463415</v>
      </c>
      <c r="O10" s="87">
        <v>338.0</v>
      </c>
      <c r="P10" s="89"/>
      <c r="Q10" s="89"/>
      <c r="R10" s="89"/>
      <c r="S10" s="89"/>
      <c r="T10" s="89"/>
      <c r="U10" s="89"/>
      <c r="V10" s="89"/>
      <c r="W10" s="89"/>
      <c r="X10" s="89"/>
      <c r="Y10" s="89"/>
      <c r="Z10" s="89"/>
    </row>
    <row r="11">
      <c r="A11" s="100"/>
      <c r="B11" s="102" t="s">
        <v>11</v>
      </c>
      <c r="C11" s="45"/>
      <c r="D11" s="45"/>
      <c r="E11" s="45"/>
      <c r="F11" s="103">
        <f>SUM(F5:F10)</f>
        <v>668.8</v>
      </c>
      <c r="G11" s="104"/>
      <c r="H11" s="76" t="str">
        <f>IFERROR(__xludf.DUMMYFUNCTION("IFERROR(VLOOKUP(E11,IMPORTRANGE(""https://docs.google.com/spreadsheets/d/1xZyKy-UzMmtPDLpV5jQdYum1LtbR8XKDuasLSjmBRMI/edit#gid=1241094406"",""COMBINED DATA!E3:L""),8,0))"),"")</f>
        <v/>
      </c>
      <c r="I11" s="76"/>
      <c r="J11" s="84"/>
      <c r="K11" s="85"/>
      <c r="L11" s="85"/>
      <c r="M11" s="85"/>
      <c r="N11" s="85" t="str">
        <f t="shared" si="7"/>
        <v/>
      </c>
      <c r="O11" s="103">
        <f>SUM(O5:O10)</f>
        <v>668.8</v>
      </c>
      <c r="P11" s="89"/>
      <c r="Q11" s="89"/>
      <c r="R11" s="89"/>
      <c r="S11" s="89"/>
      <c r="T11" s="89"/>
      <c r="U11" s="89"/>
      <c r="V11" s="89"/>
      <c r="W11" s="89"/>
      <c r="X11" s="89"/>
      <c r="Y11" s="89"/>
      <c r="Z11" s="89"/>
    </row>
    <row r="12" ht="5.25" customHeight="1">
      <c r="A12" s="34"/>
      <c r="B12" s="105"/>
      <c r="C12" s="105"/>
      <c r="D12" s="105"/>
      <c r="E12" s="106"/>
      <c r="F12" s="107"/>
      <c r="G12" s="64"/>
      <c r="H12" s="76" t="str">
        <f>IFERROR(__xludf.DUMMYFUNCTION("IFERROR(VLOOKUP(E12,IMPORTRANGE(""https://docs.google.com/spreadsheets/d/1xZyKy-UzMmtPDLpV5jQdYum1LtbR8XKDuasLSjmBRMI/edit#gid=1241094406"",""COMBINED DATA!E3:L""),8,0))"),"")</f>
        <v/>
      </c>
      <c r="I12" s="76"/>
      <c r="J12" s="65"/>
      <c r="K12" s="85"/>
      <c r="L12" s="85"/>
      <c r="M12" s="85"/>
      <c r="N12" s="85" t="str">
        <f t="shared" si="7"/>
        <v/>
      </c>
      <c r="O12" s="89"/>
      <c r="P12" s="89"/>
      <c r="Q12" s="89"/>
      <c r="R12" s="89"/>
      <c r="S12" s="89"/>
      <c r="T12" s="89"/>
      <c r="U12" s="89"/>
      <c r="V12" s="89"/>
      <c r="W12" s="89"/>
      <c r="X12" s="89"/>
      <c r="Y12" s="89"/>
      <c r="Z12" s="89"/>
    </row>
    <row r="13" ht="22.5" customHeight="1">
      <c r="A13" s="34"/>
      <c r="B13" s="62" t="s">
        <v>121</v>
      </c>
      <c r="C13" s="45"/>
      <c r="D13" s="45"/>
      <c r="E13" s="45"/>
      <c r="F13" s="46"/>
      <c r="G13" s="64"/>
      <c r="H13" s="76" t="str">
        <f>IFERROR(__xludf.DUMMYFUNCTION("IFERROR(VLOOKUP(E13,IMPORTRANGE(""https://docs.google.com/spreadsheets/d/1xZyKy-UzMmtPDLpV5jQdYum1LtbR8XKDuasLSjmBRMI/edit#gid=1241094406"",""COMBINED DATA!E3:L""),8,0))"),"")</f>
        <v/>
      </c>
      <c r="I13" s="76"/>
      <c r="J13" s="65"/>
      <c r="K13" s="85"/>
      <c r="L13" s="85"/>
      <c r="M13" s="85"/>
      <c r="N13" s="85" t="str">
        <f t="shared" si="7"/>
        <v/>
      </c>
      <c r="O13" s="89"/>
      <c r="P13" s="89"/>
      <c r="Q13" s="89"/>
      <c r="R13" s="89"/>
      <c r="S13" s="89"/>
      <c r="T13" s="89"/>
      <c r="U13" s="89"/>
      <c r="V13" s="89"/>
      <c r="W13" s="89"/>
      <c r="X13" s="89"/>
      <c r="Y13" s="89"/>
      <c r="Z13" s="89"/>
    </row>
    <row r="14" ht="15.75" customHeight="1">
      <c r="A14" s="67" t="str">
        <f t="shared" ref="A14:A16" si="8">$B$13&amp;C14</f>
        <v>Elbow 90⁰ (SCH-80)2 1⁄2</v>
      </c>
      <c r="B14" s="68">
        <v>1.0</v>
      </c>
      <c r="C14" s="110" t="s">
        <v>69</v>
      </c>
      <c r="D14" s="70">
        <v>65.0</v>
      </c>
      <c r="E14" s="111" t="s">
        <v>124</v>
      </c>
      <c r="F14" s="56">
        <v>898.0</v>
      </c>
      <c r="G14" s="76">
        <f>IFERROR(__xludf.DUMMYFUNCTION("ArrayFormula(IFERROR(VLOOKUP(E14,IMPORTRANGE(""https://docs.google.com/spreadsheets/d/1xZyKy-UzMmtPDLpV5jQdYum1LtbR8XKDuasLSjmBRMI/edit#gid=1241094406"",""COMBINED DATA!E3:L""),{7,8},0)))"),0.522)</f>
        <v>0.522</v>
      </c>
      <c r="H14" s="76">
        <f>IFERROR(__xludf.DUMMYFUNCTION("""COMPUTED_VALUE"""),0.0)</f>
        <v>0</v>
      </c>
      <c r="I14" s="76">
        <f t="shared" ref="I14:I16" si="9">G14+H14</f>
        <v>0.522</v>
      </c>
      <c r="J14" s="84">
        <f t="shared" ref="J14:J16" si="10">IFERROR(F14/$I14,"")</f>
        <v>1720.306513</v>
      </c>
      <c r="K14" s="85">
        <f t="shared" ref="K14:K16" si="11">IFERROR(G14*250,)</f>
        <v>130.5</v>
      </c>
      <c r="L14" s="85">
        <f t="shared" ref="L14:L16" si="12">IFERROR(H14*750,"")</f>
        <v>0</v>
      </c>
      <c r="M14" s="85">
        <f t="shared" ref="M14:M16" si="13">K14+L14</f>
        <v>130.5</v>
      </c>
      <c r="N14" s="85">
        <f t="shared" si="7"/>
        <v>6.881226054</v>
      </c>
      <c r="O14" s="60">
        <v>898.0</v>
      </c>
      <c r="P14" s="89"/>
      <c r="Q14" s="89"/>
      <c r="R14" s="89"/>
      <c r="S14" s="89"/>
      <c r="T14" s="89"/>
      <c r="U14" s="89"/>
      <c r="V14" s="89"/>
      <c r="W14" s="89"/>
      <c r="X14" s="89"/>
      <c r="Y14" s="89"/>
      <c r="Z14" s="89"/>
    </row>
    <row r="15" ht="15.75" customHeight="1">
      <c r="A15" s="67" t="str">
        <f t="shared" si="8"/>
        <v>Elbow 90⁰ (SCH-80)3</v>
      </c>
      <c r="B15" s="90">
        <v>2.0</v>
      </c>
      <c r="C15" s="92">
        <v>3.0</v>
      </c>
      <c r="D15" s="92">
        <v>80.0</v>
      </c>
      <c r="E15" s="112" t="s">
        <v>126</v>
      </c>
      <c r="F15" s="56">
        <v>1368.0</v>
      </c>
      <c r="G15" s="76">
        <f>IFERROR(__xludf.DUMMYFUNCTION("ArrayFormula(IFERROR(VLOOKUP(E15,IMPORTRANGE(""https://docs.google.com/spreadsheets/d/1xZyKy-UzMmtPDLpV5jQdYum1LtbR8XKDuasLSjmBRMI/edit#gid=1241094406"",""COMBINED DATA!E3:L""),{7,8},0)))"),0.8142)</f>
        <v>0.8142</v>
      </c>
      <c r="H15" s="76">
        <f>IFERROR(__xludf.DUMMYFUNCTION("""COMPUTED_VALUE"""),0.0)</f>
        <v>0</v>
      </c>
      <c r="I15" s="76">
        <f t="shared" si="9"/>
        <v>0.8142</v>
      </c>
      <c r="J15" s="84">
        <f t="shared" si="10"/>
        <v>1680.176861</v>
      </c>
      <c r="K15" s="85">
        <f t="shared" si="11"/>
        <v>203.55</v>
      </c>
      <c r="L15" s="85">
        <f t="shared" si="12"/>
        <v>0</v>
      </c>
      <c r="M15" s="85">
        <f t="shared" si="13"/>
        <v>203.55</v>
      </c>
      <c r="N15" s="85">
        <f t="shared" si="7"/>
        <v>6.720707443</v>
      </c>
      <c r="O15" s="60">
        <v>1368.0</v>
      </c>
      <c r="P15" s="89"/>
      <c r="Q15" s="89"/>
      <c r="R15" s="89"/>
      <c r="S15" s="89"/>
      <c r="T15" s="89"/>
      <c r="U15" s="89"/>
      <c r="V15" s="89"/>
      <c r="W15" s="89"/>
      <c r="X15" s="89"/>
      <c r="Y15" s="89"/>
      <c r="Z15" s="89"/>
    </row>
    <row r="16" ht="15.75" customHeight="1">
      <c r="A16" s="67" t="str">
        <f t="shared" si="8"/>
        <v>Elbow 90⁰ (SCH-80)4</v>
      </c>
      <c r="B16" s="90">
        <v>3.0</v>
      </c>
      <c r="C16" s="92">
        <v>4.0</v>
      </c>
      <c r="D16" s="92">
        <v>100.0</v>
      </c>
      <c r="E16" s="112" t="s">
        <v>128</v>
      </c>
      <c r="F16" s="56">
        <v>2288.0</v>
      </c>
      <c r="G16" s="76">
        <f>IFERROR(__xludf.DUMMYFUNCTION("ArrayFormula(IFERROR(VLOOKUP(E16,IMPORTRANGE(""https://docs.google.com/spreadsheets/d/1xZyKy-UzMmtPDLpV5jQdYum1LtbR8XKDuasLSjmBRMI/edit#gid=1241094406"",""COMBINED DATA!E3:L""),{7,8},0)))"),1.362)</f>
        <v>1.362</v>
      </c>
      <c r="H16" s="76">
        <f>IFERROR(__xludf.DUMMYFUNCTION("""COMPUTED_VALUE"""),0.0)</f>
        <v>0</v>
      </c>
      <c r="I16" s="76">
        <f t="shared" si="9"/>
        <v>1.362</v>
      </c>
      <c r="J16" s="84">
        <f t="shared" si="10"/>
        <v>1679.882526</v>
      </c>
      <c r="K16" s="85">
        <f t="shared" si="11"/>
        <v>340.5</v>
      </c>
      <c r="L16" s="85">
        <f t="shared" si="12"/>
        <v>0</v>
      </c>
      <c r="M16" s="85">
        <f t="shared" si="13"/>
        <v>340.5</v>
      </c>
      <c r="N16" s="85">
        <f t="shared" si="7"/>
        <v>6.719530103</v>
      </c>
      <c r="O16" s="60">
        <v>2288.0</v>
      </c>
      <c r="P16" s="89"/>
      <c r="Q16" s="89"/>
      <c r="R16" s="89"/>
      <c r="S16" s="89"/>
      <c r="T16" s="89"/>
      <c r="U16" s="89"/>
      <c r="V16" s="89"/>
      <c r="W16" s="89"/>
      <c r="X16" s="89"/>
      <c r="Y16" s="89"/>
      <c r="Z16" s="89"/>
    </row>
    <row r="17">
      <c r="A17" s="100"/>
      <c r="B17" s="102" t="s">
        <v>11</v>
      </c>
      <c r="C17" s="45"/>
      <c r="D17" s="45"/>
      <c r="E17" s="45"/>
      <c r="F17" s="103">
        <f>SUM(F14:F16)</f>
        <v>4554</v>
      </c>
      <c r="G17" s="104"/>
      <c r="H17" s="76" t="str">
        <f>IFERROR(__xludf.DUMMYFUNCTION("IFERROR(VLOOKUP(E17,IMPORTRANGE(""https://docs.google.com/spreadsheets/d/1xZyKy-UzMmtPDLpV5jQdYum1LtbR8XKDuasLSjmBRMI/edit#gid=1241094406"",""COMBINED DATA!E3:L""),8,0))"),"")</f>
        <v/>
      </c>
      <c r="I17" s="76"/>
      <c r="J17" s="116"/>
      <c r="K17" s="85"/>
      <c r="L17" s="85"/>
      <c r="M17" s="85"/>
      <c r="N17" s="85" t="str">
        <f t="shared" si="7"/>
        <v/>
      </c>
      <c r="O17" s="103">
        <f>SUM(O14:O16)</f>
        <v>4554</v>
      </c>
      <c r="P17" s="89"/>
      <c r="Q17" s="89"/>
      <c r="R17" s="89"/>
      <c r="S17" s="89"/>
      <c r="T17" s="89"/>
      <c r="U17" s="89"/>
      <c r="V17" s="89"/>
      <c r="W17" s="89"/>
      <c r="X17" s="89"/>
      <c r="Y17" s="89"/>
      <c r="Z17" s="89"/>
    </row>
    <row r="18" ht="6.0" customHeight="1">
      <c r="A18" s="34"/>
      <c r="B18" s="105"/>
      <c r="C18" s="105"/>
      <c r="D18" s="105"/>
      <c r="E18" s="106"/>
      <c r="F18" s="107"/>
      <c r="G18" s="64"/>
      <c r="H18" s="76" t="str">
        <f>IFERROR(__xludf.DUMMYFUNCTION("IFERROR(VLOOKUP(E18,IMPORTRANGE(""https://docs.google.com/spreadsheets/d/1xZyKy-UzMmtPDLpV5jQdYum1LtbR8XKDuasLSjmBRMI/edit#gid=1241094406"",""COMBINED DATA!E3:L""),8,0))"),"")</f>
        <v/>
      </c>
      <c r="I18" s="76"/>
      <c r="J18" s="65"/>
      <c r="K18" s="85"/>
      <c r="L18" s="85"/>
      <c r="M18" s="85"/>
      <c r="N18" s="85" t="str">
        <f t="shared" si="7"/>
        <v/>
      </c>
      <c r="O18" s="89"/>
      <c r="P18" s="89"/>
      <c r="Q18" s="89"/>
      <c r="R18" s="89"/>
      <c r="S18" s="89"/>
      <c r="T18" s="89"/>
      <c r="U18" s="89"/>
      <c r="V18" s="89"/>
      <c r="W18" s="89"/>
      <c r="X18" s="89"/>
      <c r="Y18" s="89"/>
      <c r="Z18" s="89"/>
    </row>
    <row r="19" ht="22.5" customHeight="1">
      <c r="A19" s="34"/>
      <c r="B19" s="62" t="s">
        <v>132</v>
      </c>
      <c r="C19" s="45"/>
      <c r="D19" s="45"/>
      <c r="E19" s="45"/>
      <c r="F19" s="46"/>
      <c r="G19" s="64"/>
      <c r="H19" s="76" t="str">
        <f>IFERROR(__xludf.DUMMYFUNCTION("IFERROR(VLOOKUP(E19,IMPORTRANGE(""https://docs.google.com/spreadsheets/d/1xZyKy-UzMmtPDLpV5jQdYum1LtbR8XKDuasLSjmBRMI/edit#gid=1241094406"",""COMBINED DATA!E3:L""),8,0))"),"")</f>
        <v/>
      </c>
      <c r="I19" s="76"/>
      <c r="J19" s="65"/>
      <c r="K19" s="85"/>
      <c r="L19" s="85"/>
      <c r="M19" s="85"/>
      <c r="N19" s="85" t="str">
        <f t="shared" si="7"/>
        <v/>
      </c>
      <c r="O19" s="89"/>
      <c r="P19" s="89"/>
      <c r="Q19" s="89"/>
      <c r="R19" s="89"/>
      <c r="S19" s="89"/>
      <c r="T19" s="89"/>
      <c r="U19" s="89"/>
      <c r="V19" s="89"/>
      <c r="W19" s="89"/>
      <c r="X19" s="89"/>
      <c r="Y19" s="89"/>
      <c r="Z19" s="89"/>
    </row>
    <row r="20" ht="15.75" customHeight="1">
      <c r="A20" s="67" t="str">
        <f>$B$19&amp;C20</f>
        <v>Elbow 90⁰ (SCH-40)6</v>
      </c>
      <c r="B20" s="68">
        <v>1.0</v>
      </c>
      <c r="C20" s="110">
        <v>6.0</v>
      </c>
      <c r="D20" s="110">
        <v>150.0</v>
      </c>
      <c r="E20" s="111" t="s">
        <v>134</v>
      </c>
      <c r="F20" s="56">
        <v>3580.0</v>
      </c>
      <c r="G20" s="76">
        <f>IFERROR(__xludf.DUMMYFUNCTION("ArrayFormula(IFERROR(VLOOKUP(E20,IMPORTRANGE(""https://docs.google.com/spreadsheets/d/1xZyKy-UzMmtPDLpV5jQdYum1LtbR8XKDuasLSjmBRMI/edit#gid=1241094406"",""COMBINED DATA!E3:L""),{7,8},0)))"),1.975)</f>
        <v>1.975</v>
      </c>
      <c r="H20" s="76">
        <f>IFERROR(__xludf.DUMMYFUNCTION("""COMPUTED_VALUE"""),0.0)</f>
        <v>0</v>
      </c>
      <c r="I20" s="76">
        <f>G20+H20</f>
        <v>1.975</v>
      </c>
      <c r="J20" s="84">
        <f>IFERROR(F20/$I20,"")</f>
        <v>1812.658228</v>
      </c>
      <c r="K20" s="85">
        <f>IFERROR(G20*250,)</f>
        <v>493.75</v>
      </c>
      <c r="L20" s="85">
        <f>IFERROR(H20*750,"")</f>
        <v>0</v>
      </c>
      <c r="M20" s="85">
        <f>K20+L20</f>
        <v>493.75</v>
      </c>
      <c r="N20" s="85">
        <f t="shared" si="7"/>
        <v>7.250632911</v>
      </c>
      <c r="O20" s="60">
        <v>3580.0</v>
      </c>
      <c r="P20" s="89"/>
      <c r="Q20" s="89"/>
      <c r="R20" s="89"/>
      <c r="S20" s="89"/>
      <c r="T20" s="89"/>
      <c r="U20" s="89"/>
      <c r="V20" s="89"/>
      <c r="W20" s="89"/>
      <c r="X20" s="89"/>
      <c r="Y20" s="89"/>
      <c r="Z20" s="89"/>
    </row>
    <row r="21" ht="6.75" customHeight="1">
      <c r="A21" s="34"/>
      <c r="B21" s="119"/>
      <c r="C21" s="120"/>
      <c r="D21" s="120"/>
      <c r="E21" s="121"/>
      <c r="F21" s="107"/>
      <c r="G21" s="64"/>
      <c r="H21" s="76" t="str">
        <f>IFERROR(__xludf.DUMMYFUNCTION("IFERROR(VLOOKUP(E21,IMPORTRANGE(""https://docs.google.com/spreadsheets/d/1xZyKy-UzMmtPDLpV5jQdYum1LtbR8XKDuasLSjmBRMI/edit#gid=1241094406"",""COMBINED DATA!E3:L""),8,0))"),"")</f>
        <v/>
      </c>
      <c r="I21" s="76"/>
      <c r="J21" s="65"/>
      <c r="K21" s="85"/>
      <c r="L21" s="85"/>
      <c r="M21" s="85"/>
      <c r="N21" s="85" t="str">
        <f t="shared" si="7"/>
        <v/>
      </c>
      <c r="O21" s="89"/>
      <c r="P21" s="89"/>
      <c r="Q21" s="89"/>
      <c r="R21" s="89"/>
      <c r="S21" s="89"/>
      <c r="T21" s="89"/>
      <c r="U21" s="89"/>
      <c r="V21" s="89"/>
      <c r="W21" s="89"/>
      <c r="X21" s="89"/>
      <c r="Y21" s="89"/>
      <c r="Z21" s="89"/>
    </row>
    <row r="22" ht="22.5" customHeight="1">
      <c r="A22" s="34"/>
      <c r="B22" s="62" t="s">
        <v>143</v>
      </c>
      <c r="C22" s="45"/>
      <c r="D22" s="45"/>
      <c r="E22" s="45"/>
      <c r="F22" s="46"/>
      <c r="G22" s="64"/>
      <c r="H22" s="76" t="str">
        <f>IFERROR(__xludf.DUMMYFUNCTION("IFERROR(VLOOKUP(E22,IMPORTRANGE(""https://docs.google.com/spreadsheets/d/1xZyKy-UzMmtPDLpV5jQdYum1LtbR8XKDuasLSjmBRMI/edit#gid=1241094406"",""COMBINED DATA!E3:L""),8,0))"),"")</f>
        <v/>
      </c>
      <c r="I22" s="76"/>
      <c r="J22" s="65"/>
      <c r="K22" s="85"/>
      <c r="L22" s="85"/>
      <c r="M22" s="85"/>
      <c r="N22" s="85" t="str">
        <f t="shared" si="7"/>
        <v/>
      </c>
      <c r="O22" s="89"/>
      <c r="P22" s="89"/>
      <c r="Q22" s="89"/>
      <c r="R22" s="89"/>
      <c r="S22" s="89"/>
      <c r="T22" s="89"/>
      <c r="U22" s="89"/>
      <c r="V22" s="89"/>
      <c r="W22" s="89"/>
      <c r="X22" s="89"/>
      <c r="Y22" s="89"/>
      <c r="Z22" s="89"/>
    </row>
    <row r="23" ht="15.75" customHeight="1">
      <c r="A23" s="67" t="str">
        <f t="shared" ref="A23:A24" si="14">$B$22&amp;C23</f>
        <v>Reducer Elbow3⁄4 x 1⁄2</v>
      </c>
      <c r="B23" s="68">
        <v>1.0</v>
      </c>
      <c r="C23" s="110" t="s">
        <v>144</v>
      </c>
      <c r="D23" s="123" t="s">
        <v>145</v>
      </c>
      <c r="E23" s="111" t="s">
        <v>147</v>
      </c>
      <c r="F23" s="56">
        <v>29.8</v>
      </c>
      <c r="G23" s="76">
        <f>IFERROR(__xludf.DUMMYFUNCTION("ArrayFormula(IFERROR(VLOOKUP(E23,IMPORTRANGE(""https://docs.google.com/spreadsheets/d/1xZyKy-UzMmtPDLpV5jQdYum1LtbR8XKDuasLSjmBRMI/edit#gid=1241094406"",""COMBINED DATA!E3:L""),{7,8},0)))"),0.017)</f>
        <v>0.017</v>
      </c>
      <c r="H23" s="76">
        <f>IFERROR(__xludf.DUMMYFUNCTION("""COMPUTED_VALUE"""),0.0)</f>
        <v>0</v>
      </c>
      <c r="I23" s="76">
        <f t="shared" ref="I23:I24" si="15">G23+H23</f>
        <v>0.017</v>
      </c>
      <c r="J23" s="84">
        <f t="shared" ref="J23:J24" si="16">IFERROR(F23/$I23,"")</f>
        <v>1752.941176</v>
      </c>
      <c r="K23" s="85">
        <f t="shared" ref="K23:K24" si="17">IFERROR(G23*250,)</f>
        <v>4.25</v>
      </c>
      <c r="L23" s="85">
        <f t="shared" ref="L23:L24" si="18">IFERROR(H23*750,"")</f>
        <v>0</v>
      </c>
      <c r="M23" s="85">
        <f t="shared" ref="M23:M24" si="19">K23+L23</f>
        <v>4.25</v>
      </c>
      <c r="N23" s="85">
        <f t="shared" si="7"/>
        <v>7.011764706</v>
      </c>
      <c r="O23" s="87">
        <v>29.8</v>
      </c>
      <c r="P23" s="89"/>
      <c r="Q23" s="89"/>
      <c r="R23" s="89"/>
      <c r="S23" s="89"/>
      <c r="T23" s="89"/>
      <c r="U23" s="89"/>
      <c r="V23" s="89"/>
      <c r="W23" s="89"/>
      <c r="X23" s="89"/>
      <c r="Y23" s="89"/>
      <c r="Z23" s="89"/>
    </row>
    <row r="24" ht="15.75" customHeight="1">
      <c r="A24" s="67" t="str">
        <f t="shared" si="14"/>
        <v>Reducer Elbow1 x 3⁄4</v>
      </c>
      <c r="B24" s="90">
        <v>2.0</v>
      </c>
      <c r="C24" s="127" t="s">
        <v>153</v>
      </c>
      <c r="D24" s="128" t="s">
        <v>155</v>
      </c>
      <c r="E24" s="112" t="s">
        <v>157</v>
      </c>
      <c r="F24" s="56">
        <v>78.0</v>
      </c>
      <c r="G24" s="76">
        <f>IFERROR(__xludf.DUMMYFUNCTION("ArrayFormula(IFERROR(VLOOKUP(E24,IMPORTRANGE(""https://docs.google.com/spreadsheets/d/1xZyKy-UzMmtPDLpV5jQdYum1LtbR8XKDuasLSjmBRMI/edit#gid=1241094406"",""COMBINED DATA!E3:L""),{7,8},0)))"),0.03025)</f>
        <v>0.03025</v>
      </c>
      <c r="H24" s="76">
        <f>IFERROR(__xludf.DUMMYFUNCTION("""COMPUTED_VALUE"""),0.0)</f>
        <v>0</v>
      </c>
      <c r="I24" s="76">
        <f t="shared" si="15"/>
        <v>0.03025</v>
      </c>
      <c r="J24" s="84">
        <f t="shared" si="16"/>
        <v>2578.512397</v>
      </c>
      <c r="K24" s="85">
        <f t="shared" si="17"/>
        <v>7.5625</v>
      </c>
      <c r="L24" s="85">
        <f t="shared" si="18"/>
        <v>0</v>
      </c>
      <c r="M24" s="85">
        <f t="shared" si="19"/>
        <v>7.5625</v>
      </c>
      <c r="N24" s="85">
        <f t="shared" si="7"/>
        <v>10.31404959</v>
      </c>
      <c r="O24" s="87">
        <v>78.0</v>
      </c>
      <c r="P24" s="89"/>
      <c r="Q24" s="89"/>
      <c r="R24" s="89"/>
      <c r="S24" s="89"/>
      <c r="T24" s="89"/>
      <c r="U24" s="89"/>
      <c r="V24" s="89"/>
      <c r="W24" s="89"/>
      <c r="X24" s="89"/>
      <c r="Y24" s="89"/>
      <c r="Z24" s="89"/>
    </row>
    <row r="25">
      <c r="A25" s="100"/>
      <c r="B25" s="102" t="s">
        <v>11</v>
      </c>
      <c r="C25" s="45"/>
      <c r="D25" s="45"/>
      <c r="E25" s="45"/>
      <c r="F25" s="103">
        <f>SUM(F23:F24)</f>
        <v>107.8</v>
      </c>
      <c r="G25" s="104"/>
      <c r="H25" s="76" t="str">
        <f>IFERROR(__xludf.DUMMYFUNCTION("IFERROR(VLOOKUP(E25,IMPORTRANGE(""https://docs.google.com/spreadsheets/d/1xZyKy-UzMmtPDLpV5jQdYum1LtbR8XKDuasLSjmBRMI/edit#gid=1241094406"",""COMBINED DATA!E3:L""),8,0))"),"")</f>
        <v/>
      </c>
      <c r="I25" s="76"/>
      <c r="J25" s="116"/>
      <c r="K25" s="85"/>
      <c r="L25" s="85"/>
      <c r="M25" s="85"/>
      <c r="N25" s="85" t="str">
        <f t="shared" si="7"/>
        <v/>
      </c>
      <c r="O25" s="103">
        <f>SUM(O23:O24)</f>
        <v>107.8</v>
      </c>
      <c r="P25" s="89"/>
      <c r="Q25" s="89"/>
      <c r="R25" s="89"/>
      <c r="S25" s="89"/>
      <c r="T25" s="89"/>
      <c r="U25" s="89"/>
      <c r="V25" s="89"/>
      <c r="W25" s="89"/>
      <c r="X25" s="89"/>
      <c r="Y25" s="89"/>
      <c r="Z25" s="89"/>
    </row>
    <row r="26" ht="5.25" customHeight="1">
      <c r="A26" s="34"/>
      <c r="B26" s="105"/>
      <c r="C26" s="105"/>
      <c r="D26" s="105"/>
      <c r="E26" s="106"/>
      <c r="F26" s="107"/>
      <c r="G26" s="64"/>
      <c r="H26" s="76" t="str">
        <f>IFERROR(__xludf.DUMMYFUNCTION("IFERROR(VLOOKUP(E26,IMPORTRANGE(""https://docs.google.com/spreadsheets/d/1xZyKy-UzMmtPDLpV5jQdYum1LtbR8XKDuasLSjmBRMI/edit#gid=1241094406"",""COMBINED DATA!E3:L""),8,0))"),"")</f>
        <v/>
      </c>
      <c r="I26" s="76"/>
      <c r="J26" s="65"/>
      <c r="K26" s="85"/>
      <c r="L26" s="85"/>
      <c r="M26" s="85"/>
      <c r="N26" s="85" t="str">
        <f t="shared" si="7"/>
        <v/>
      </c>
      <c r="O26" s="89"/>
      <c r="P26" s="89"/>
      <c r="Q26" s="89"/>
      <c r="R26" s="89"/>
      <c r="S26" s="89"/>
      <c r="T26" s="89"/>
      <c r="U26" s="89"/>
      <c r="V26" s="89"/>
      <c r="W26" s="89"/>
      <c r="X26" s="89"/>
      <c r="Y26" s="89"/>
      <c r="Z26" s="89"/>
    </row>
    <row r="27" ht="22.5" customHeight="1">
      <c r="A27" s="34"/>
      <c r="B27" s="62" t="s">
        <v>160</v>
      </c>
      <c r="C27" s="45"/>
      <c r="D27" s="45"/>
      <c r="E27" s="45"/>
      <c r="F27" s="46"/>
      <c r="G27" s="64"/>
      <c r="H27" s="76" t="str">
        <f>IFERROR(__xludf.DUMMYFUNCTION("IFERROR(VLOOKUP(E27,IMPORTRANGE(""https://docs.google.com/spreadsheets/d/1xZyKy-UzMmtPDLpV5jQdYum1LtbR8XKDuasLSjmBRMI/edit#gid=1241094406"",""COMBINED DATA!E3:L""),8,0))"),"")</f>
        <v/>
      </c>
      <c r="I27" s="76"/>
      <c r="J27" s="65"/>
      <c r="K27" s="85"/>
      <c r="L27" s="85"/>
      <c r="M27" s="85"/>
      <c r="N27" s="85" t="str">
        <f t="shared" si="7"/>
        <v/>
      </c>
      <c r="O27" s="89"/>
      <c r="P27" s="89"/>
      <c r="Q27" s="89"/>
      <c r="R27" s="89"/>
      <c r="S27" s="89"/>
      <c r="T27" s="89"/>
      <c r="U27" s="89"/>
      <c r="V27" s="89"/>
      <c r="W27" s="89"/>
      <c r="X27" s="89"/>
      <c r="Y27" s="89"/>
      <c r="Z27" s="89"/>
    </row>
    <row r="28" ht="15.75" customHeight="1">
      <c r="A28" s="67" t="str">
        <f t="shared" ref="A28:A32" si="20">$B$27&amp;C28</f>
        <v>Elbow 45⁰3⁄4</v>
      </c>
      <c r="B28" s="68">
        <v>1.0</v>
      </c>
      <c r="C28" s="70" t="s">
        <v>51</v>
      </c>
      <c r="D28" s="70">
        <v>20.0</v>
      </c>
      <c r="E28" s="129" t="s">
        <v>162</v>
      </c>
      <c r="F28" s="56">
        <v>27.8</v>
      </c>
      <c r="G28" s="76">
        <f>IFERROR(__xludf.DUMMYFUNCTION("ArrayFormula(IFERROR(VLOOKUP(E28,IMPORTRANGE(""https://docs.google.com/spreadsheets/d/1xZyKy-UzMmtPDLpV5jQdYum1LtbR8XKDuasLSjmBRMI/edit#gid=1241094406"",""COMBINED DATA!E3:L""),{7,8},0)))"),0.017)</f>
        <v>0.017</v>
      </c>
      <c r="H28" s="76">
        <f>IFERROR(__xludf.DUMMYFUNCTION("""COMPUTED_VALUE"""),0.0)</f>
        <v>0</v>
      </c>
      <c r="I28" s="76">
        <f t="shared" ref="I28:I32" si="21">G28+H28</f>
        <v>0.017</v>
      </c>
      <c r="J28" s="84">
        <f t="shared" ref="J28:J32" si="22">IFERROR(F28/$I28,"")</f>
        <v>1635.294118</v>
      </c>
      <c r="K28" s="85">
        <f t="shared" ref="K28:K32" si="23">IFERROR(G28*250,)</f>
        <v>4.25</v>
      </c>
      <c r="L28" s="85">
        <f t="shared" ref="L28:L32" si="24">IFERROR(H28*750,"")</f>
        <v>0</v>
      </c>
      <c r="M28" s="85">
        <f t="shared" ref="M28:M32" si="25">K28+L28</f>
        <v>4.25</v>
      </c>
      <c r="N28" s="85">
        <f t="shared" si="7"/>
        <v>6.541176471</v>
      </c>
      <c r="O28" s="87">
        <v>27.8</v>
      </c>
      <c r="P28" s="89"/>
      <c r="Q28" s="89"/>
      <c r="R28" s="89"/>
      <c r="S28" s="89"/>
      <c r="T28" s="89"/>
      <c r="U28" s="89"/>
      <c r="V28" s="89"/>
      <c r="W28" s="89"/>
      <c r="X28" s="89"/>
      <c r="Y28" s="89"/>
      <c r="Z28" s="89"/>
    </row>
    <row r="29" ht="15.75" customHeight="1">
      <c r="A29" s="67" t="str">
        <f t="shared" si="20"/>
        <v>Elbow 45⁰1</v>
      </c>
      <c r="B29" s="90">
        <v>2.0</v>
      </c>
      <c r="C29" s="92" t="s">
        <v>84</v>
      </c>
      <c r="D29" s="92">
        <v>25.0</v>
      </c>
      <c r="E29" s="94" t="s">
        <v>164</v>
      </c>
      <c r="F29" s="56">
        <v>48.8</v>
      </c>
      <c r="G29" s="76">
        <f>IFERROR(__xludf.DUMMYFUNCTION("ArrayFormula(IFERROR(VLOOKUP(E29,IMPORTRANGE(""https://docs.google.com/spreadsheets/d/1xZyKy-UzMmtPDLpV5jQdYum1LtbR8XKDuasLSjmBRMI/edit#gid=1241094406"",""COMBINED DATA!E3:L""),{7,8},0)))"),0.029)</f>
        <v>0.029</v>
      </c>
      <c r="H29" s="76">
        <f>IFERROR(__xludf.DUMMYFUNCTION("""COMPUTED_VALUE"""),0.0)</f>
        <v>0</v>
      </c>
      <c r="I29" s="76">
        <f t="shared" si="21"/>
        <v>0.029</v>
      </c>
      <c r="J29" s="84">
        <f t="shared" si="22"/>
        <v>1682.758621</v>
      </c>
      <c r="K29" s="85">
        <f t="shared" si="23"/>
        <v>7.25</v>
      </c>
      <c r="L29" s="85">
        <f t="shared" si="24"/>
        <v>0</v>
      </c>
      <c r="M29" s="85">
        <f t="shared" si="25"/>
        <v>7.25</v>
      </c>
      <c r="N29" s="85">
        <f t="shared" si="7"/>
        <v>6.731034483</v>
      </c>
      <c r="O29" s="87">
        <v>48.8</v>
      </c>
      <c r="P29" s="89"/>
      <c r="Q29" s="89"/>
      <c r="R29" s="89"/>
      <c r="S29" s="89"/>
      <c r="T29" s="89"/>
      <c r="U29" s="89"/>
      <c r="V29" s="89"/>
      <c r="W29" s="89"/>
      <c r="X29" s="89"/>
      <c r="Y29" s="89"/>
      <c r="Z29" s="89"/>
    </row>
    <row r="30" ht="15.75" customHeight="1">
      <c r="A30" s="67" t="str">
        <f t="shared" si="20"/>
        <v>Elbow 45⁰1 1⁄4</v>
      </c>
      <c r="B30" s="90">
        <v>3.0</v>
      </c>
      <c r="C30" s="92" t="s">
        <v>55</v>
      </c>
      <c r="D30" s="92">
        <v>32.0</v>
      </c>
      <c r="E30" s="94" t="s">
        <v>166</v>
      </c>
      <c r="F30" s="56">
        <v>106.0</v>
      </c>
      <c r="G30" s="76">
        <f>IFERROR(__xludf.DUMMYFUNCTION("ArrayFormula(IFERROR(VLOOKUP(E30,IMPORTRANGE(""https://docs.google.com/spreadsheets/d/1xZyKy-UzMmtPDLpV5jQdYum1LtbR8XKDuasLSjmBRMI/edit#gid=1241094406"",""COMBINED DATA!E3:L""),{7,8},0)))"),0.046)</f>
        <v>0.046</v>
      </c>
      <c r="H30" s="76">
        <f>IFERROR(__xludf.DUMMYFUNCTION("""COMPUTED_VALUE"""),0.0)</f>
        <v>0</v>
      </c>
      <c r="I30" s="76">
        <f t="shared" si="21"/>
        <v>0.046</v>
      </c>
      <c r="J30" s="84">
        <f t="shared" si="22"/>
        <v>2304.347826</v>
      </c>
      <c r="K30" s="85">
        <f t="shared" si="23"/>
        <v>11.5</v>
      </c>
      <c r="L30" s="85">
        <f t="shared" si="24"/>
        <v>0</v>
      </c>
      <c r="M30" s="85">
        <f t="shared" si="25"/>
        <v>11.5</v>
      </c>
      <c r="N30" s="85">
        <f t="shared" si="7"/>
        <v>9.217391304</v>
      </c>
      <c r="O30" s="87">
        <v>106.0</v>
      </c>
      <c r="P30" s="89"/>
      <c r="Q30" s="89"/>
      <c r="R30" s="89"/>
      <c r="S30" s="89"/>
      <c r="T30" s="89"/>
      <c r="U30" s="89"/>
      <c r="V30" s="89"/>
      <c r="W30" s="89"/>
      <c r="X30" s="89"/>
      <c r="Y30" s="89"/>
      <c r="Z30" s="89"/>
    </row>
    <row r="31" ht="15.75" customHeight="1">
      <c r="A31" s="67" t="str">
        <f t="shared" si="20"/>
        <v>Elbow 45⁰1 1⁄2</v>
      </c>
      <c r="B31" s="90">
        <v>4.0</v>
      </c>
      <c r="C31" s="92" t="s">
        <v>56</v>
      </c>
      <c r="D31" s="92">
        <v>40.0</v>
      </c>
      <c r="E31" s="94" t="s">
        <v>168</v>
      </c>
      <c r="F31" s="56">
        <v>158.0</v>
      </c>
      <c r="G31" s="76">
        <f>IFERROR(__xludf.DUMMYFUNCTION("ArrayFormula(IFERROR(VLOOKUP(E31,IMPORTRANGE(""https://docs.google.com/spreadsheets/d/1xZyKy-UzMmtPDLpV5jQdYum1LtbR8XKDuasLSjmBRMI/edit#gid=1241094406"",""COMBINED DATA!E3:L""),{7,8},0)))"),0.078)</f>
        <v>0.078</v>
      </c>
      <c r="H31" s="76">
        <f>IFERROR(__xludf.DUMMYFUNCTION("""COMPUTED_VALUE"""),0.0)</f>
        <v>0</v>
      </c>
      <c r="I31" s="76">
        <f t="shared" si="21"/>
        <v>0.078</v>
      </c>
      <c r="J31" s="84">
        <f t="shared" si="22"/>
        <v>2025.641026</v>
      </c>
      <c r="K31" s="85">
        <f t="shared" si="23"/>
        <v>19.5</v>
      </c>
      <c r="L31" s="85">
        <f t="shared" si="24"/>
        <v>0</v>
      </c>
      <c r="M31" s="85">
        <f t="shared" si="25"/>
        <v>19.5</v>
      </c>
      <c r="N31" s="85">
        <f t="shared" si="7"/>
        <v>8.102564103</v>
      </c>
      <c r="O31" s="87">
        <v>158.0</v>
      </c>
      <c r="P31" s="89"/>
      <c r="Q31" s="89"/>
      <c r="R31" s="89"/>
      <c r="S31" s="89"/>
      <c r="T31" s="89"/>
      <c r="U31" s="89"/>
      <c r="V31" s="89"/>
      <c r="W31" s="89"/>
      <c r="X31" s="89"/>
      <c r="Y31" s="89"/>
      <c r="Z31" s="89"/>
    </row>
    <row r="32" ht="15.75" customHeight="1">
      <c r="A32" s="67" t="str">
        <f t="shared" si="20"/>
        <v>Elbow 45⁰2</v>
      </c>
      <c r="B32" s="90">
        <v>5.0</v>
      </c>
      <c r="C32" s="92" t="s">
        <v>107</v>
      </c>
      <c r="D32" s="92">
        <v>50.0</v>
      </c>
      <c r="E32" s="94" t="s">
        <v>169</v>
      </c>
      <c r="F32" s="56">
        <v>334.0</v>
      </c>
      <c r="G32" s="76">
        <f>IFERROR(__xludf.DUMMYFUNCTION("ArrayFormula(IFERROR(VLOOKUP(E32,IMPORTRANGE(""https://docs.google.com/spreadsheets/d/1xZyKy-UzMmtPDLpV5jQdYum1LtbR8XKDuasLSjmBRMI/edit#gid=1241094406"",""COMBINED DATA!E3:L""),{7,8},0)))"),0.161)</f>
        <v>0.161</v>
      </c>
      <c r="H32" s="76">
        <f>IFERROR(__xludf.DUMMYFUNCTION("""COMPUTED_VALUE"""),0.0)</f>
        <v>0</v>
      </c>
      <c r="I32" s="76">
        <f t="shared" si="21"/>
        <v>0.161</v>
      </c>
      <c r="J32" s="84">
        <f t="shared" si="22"/>
        <v>2074.534161</v>
      </c>
      <c r="K32" s="85">
        <f t="shared" si="23"/>
        <v>40.25</v>
      </c>
      <c r="L32" s="85">
        <f t="shared" si="24"/>
        <v>0</v>
      </c>
      <c r="M32" s="85">
        <f t="shared" si="25"/>
        <v>40.25</v>
      </c>
      <c r="N32" s="85">
        <f t="shared" si="7"/>
        <v>8.298136646</v>
      </c>
      <c r="O32" s="87">
        <v>334.0</v>
      </c>
      <c r="P32" s="89"/>
      <c r="Q32" s="89"/>
      <c r="R32" s="89"/>
      <c r="S32" s="89"/>
      <c r="T32" s="89"/>
      <c r="U32" s="89"/>
      <c r="V32" s="89"/>
      <c r="W32" s="89"/>
      <c r="X32" s="89"/>
      <c r="Y32" s="89"/>
      <c r="Z32" s="89"/>
    </row>
    <row r="33">
      <c r="A33" s="100"/>
      <c r="B33" s="102" t="s">
        <v>11</v>
      </c>
      <c r="C33" s="45"/>
      <c r="D33" s="45"/>
      <c r="E33" s="45"/>
      <c r="F33" s="103">
        <f>SUM(F28:F32)</f>
        <v>674.6</v>
      </c>
      <c r="G33" s="104"/>
      <c r="H33" s="76" t="str">
        <f>IFERROR(__xludf.DUMMYFUNCTION("IFERROR(VLOOKUP(E33,IMPORTRANGE(""https://docs.google.com/spreadsheets/d/1xZyKy-UzMmtPDLpV5jQdYum1LtbR8XKDuasLSjmBRMI/edit#gid=1241094406"",""COMBINED DATA!E3:L""),8,0))"),"")</f>
        <v/>
      </c>
      <c r="I33" s="76"/>
      <c r="J33" s="116"/>
      <c r="K33" s="85"/>
      <c r="L33" s="85"/>
      <c r="M33" s="85"/>
      <c r="N33" s="85" t="str">
        <f t="shared" si="7"/>
        <v/>
      </c>
      <c r="O33" s="103">
        <f>SUM(O28:O32)</f>
        <v>674.6</v>
      </c>
      <c r="P33" s="89"/>
      <c r="Q33" s="89"/>
      <c r="R33" s="89"/>
      <c r="S33" s="89"/>
      <c r="T33" s="89"/>
      <c r="U33" s="89"/>
      <c r="V33" s="89"/>
      <c r="W33" s="89"/>
      <c r="X33" s="89"/>
      <c r="Y33" s="89"/>
      <c r="Z33" s="89"/>
    </row>
    <row r="34" ht="6.0" customHeight="1">
      <c r="A34" s="34"/>
      <c r="B34" s="15"/>
      <c r="C34" s="15"/>
      <c r="D34" s="15"/>
      <c r="E34" s="17"/>
      <c r="F34" s="15"/>
      <c r="G34" s="64"/>
      <c r="H34" s="76" t="str">
        <f>IFERROR(__xludf.DUMMYFUNCTION("IFERROR(VLOOKUP(E34,IMPORTRANGE(""https://docs.google.com/spreadsheets/d/1xZyKy-UzMmtPDLpV5jQdYum1LtbR8XKDuasLSjmBRMI/edit#gid=1241094406"",""COMBINED DATA!E3:L""),8,0))"),"")</f>
        <v/>
      </c>
      <c r="I34" s="76"/>
      <c r="J34" s="65"/>
      <c r="K34" s="85"/>
      <c r="L34" s="85"/>
      <c r="M34" s="85"/>
      <c r="N34" s="85" t="str">
        <f t="shared" si="7"/>
        <v/>
      </c>
      <c r="O34" s="89"/>
      <c r="P34" s="89"/>
      <c r="Q34" s="89"/>
      <c r="R34" s="89"/>
      <c r="S34" s="89"/>
      <c r="T34" s="89"/>
      <c r="U34" s="89"/>
      <c r="V34" s="89"/>
      <c r="W34" s="89"/>
      <c r="X34" s="89"/>
      <c r="Y34" s="89"/>
      <c r="Z34" s="89"/>
    </row>
    <row r="35" ht="22.5" customHeight="1">
      <c r="A35" s="34"/>
      <c r="B35" s="62" t="s">
        <v>172</v>
      </c>
      <c r="C35" s="45"/>
      <c r="D35" s="45"/>
      <c r="E35" s="45"/>
      <c r="F35" s="46"/>
      <c r="G35" s="64"/>
      <c r="H35" s="76" t="str">
        <f>IFERROR(__xludf.DUMMYFUNCTION("IFERROR(VLOOKUP(E35,IMPORTRANGE(""https://docs.google.com/spreadsheets/d/1xZyKy-UzMmtPDLpV5jQdYum1LtbR8XKDuasLSjmBRMI/edit#gid=1241094406"",""COMBINED DATA!E3:L""),8,0))"),"")</f>
        <v/>
      </c>
      <c r="I35" s="76"/>
      <c r="J35" s="65"/>
      <c r="K35" s="85"/>
      <c r="L35" s="85"/>
      <c r="M35" s="85"/>
      <c r="N35" s="85" t="str">
        <f t="shared" si="7"/>
        <v/>
      </c>
      <c r="O35" s="89"/>
      <c r="P35" s="89"/>
      <c r="Q35" s="89"/>
      <c r="R35" s="89"/>
      <c r="S35" s="89"/>
      <c r="T35" s="89"/>
      <c r="U35" s="89"/>
      <c r="V35" s="89"/>
      <c r="W35" s="89"/>
      <c r="X35" s="89"/>
      <c r="Y35" s="89"/>
      <c r="Z35" s="89"/>
    </row>
    <row r="36" ht="15.75" customHeight="1">
      <c r="A36" s="67" t="str">
        <f t="shared" ref="A36:A41" si="26">$B$35&amp;C36</f>
        <v>Tee1⁄2</v>
      </c>
      <c r="B36" s="68">
        <v>1.0</v>
      </c>
      <c r="C36" s="110" t="s">
        <v>43</v>
      </c>
      <c r="D36" s="110">
        <v>15.0</v>
      </c>
      <c r="E36" s="111" t="s">
        <v>174</v>
      </c>
      <c r="F36" s="56">
        <v>23.8</v>
      </c>
      <c r="G36" s="76">
        <f>IFERROR(__xludf.DUMMYFUNCTION("ArrayFormula(IFERROR(VLOOKUP(E36,IMPORTRANGE(""https://docs.google.com/spreadsheets/d/1xZyKy-UzMmtPDLpV5jQdYum1LtbR8XKDuasLSjmBRMI/edit#gid=1241094406"",""COMBINED DATA!E3:L""),{7,8},0)))"),0.015)</f>
        <v>0.015</v>
      </c>
      <c r="H36" s="76">
        <f>IFERROR(__xludf.DUMMYFUNCTION("""COMPUTED_VALUE"""),0.0)</f>
        <v>0</v>
      </c>
      <c r="I36" s="76">
        <f t="shared" ref="I36:I41" si="27">G36+H36</f>
        <v>0.015</v>
      </c>
      <c r="J36" s="84">
        <f t="shared" ref="J36:J41" si="28">IFERROR(F36/$I36,"")</f>
        <v>1586.666667</v>
      </c>
      <c r="K36" s="85">
        <f t="shared" ref="K36:K41" si="29">IFERROR(G36*250,)</f>
        <v>3.75</v>
      </c>
      <c r="L36" s="85">
        <f t="shared" ref="L36:L41" si="30">IFERROR(H36*750,"")</f>
        <v>0</v>
      </c>
      <c r="M36" s="85">
        <f t="shared" ref="M36:M41" si="31">K36+L36</f>
        <v>3.75</v>
      </c>
      <c r="N36" s="85">
        <f t="shared" si="7"/>
        <v>6.346666667</v>
      </c>
      <c r="O36" s="87">
        <v>23.8</v>
      </c>
      <c r="P36" s="89"/>
      <c r="Q36" s="89"/>
      <c r="R36" s="89"/>
      <c r="S36" s="89"/>
      <c r="T36" s="89"/>
      <c r="U36" s="89"/>
      <c r="V36" s="89"/>
      <c r="W36" s="89"/>
      <c r="X36" s="89"/>
      <c r="Y36" s="89"/>
      <c r="Z36" s="89"/>
    </row>
    <row r="37" ht="15.75" customHeight="1">
      <c r="A37" s="67" t="str">
        <f t="shared" si="26"/>
        <v>Tee3⁄4</v>
      </c>
      <c r="B37" s="90">
        <v>2.0</v>
      </c>
      <c r="C37" s="127" t="s">
        <v>51</v>
      </c>
      <c r="D37" s="127">
        <v>20.0</v>
      </c>
      <c r="E37" s="112" t="s">
        <v>176</v>
      </c>
      <c r="F37" s="56">
        <v>32.4</v>
      </c>
      <c r="G37" s="76">
        <f>IFERROR(__xludf.DUMMYFUNCTION("ArrayFormula(IFERROR(VLOOKUP(E37,IMPORTRANGE(""https://docs.google.com/spreadsheets/d/1xZyKy-UzMmtPDLpV5jQdYum1LtbR8XKDuasLSjmBRMI/edit#gid=1241094406"",""COMBINED DATA!E3:L""),{7,8},0)))"),0.029)</f>
        <v>0.029</v>
      </c>
      <c r="H37" s="76">
        <f>IFERROR(__xludf.DUMMYFUNCTION("""COMPUTED_VALUE"""),0.0)</f>
        <v>0</v>
      </c>
      <c r="I37" s="76">
        <f t="shared" si="27"/>
        <v>0.029</v>
      </c>
      <c r="J37" s="84">
        <f t="shared" si="28"/>
        <v>1117.241379</v>
      </c>
      <c r="K37" s="85">
        <f t="shared" si="29"/>
        <v>7.25</v>
      </c>
      <c r="L37" s="85">
        <f t="shared" si="30"/>
        <v>0</v>
      </c>
      <c r="M37" s="85">
        <f t="shared" si="31"/>
        <v>7.25</v>
      </c>
      <c r="N37" s="85">
        <f t="shared" si="7"/>
        <v>4.468965517</v>
      </c>
      <c r="O37" s="87">
        <v>32.4</v>
      </c>
      <c r="P37" s="89"/>
      <c r="Q37" s="89"/>
      <c r="R37" s="89"/>
      <c r="S37" s="89"/>
      <c r="T37" s="89"/>
      <c r="U37" s="89"/>
      <c r="V37" s="89"/>
      <c r="W37" s="89"/>
      <c r="X37" s="89"/>
      <c r="Y37" s="89"/>
      <c r="Z37" s="89"/>
    </row>
    <row r="38" ht="15.75" customHeight="1">
      <c r="A38" s="67" t="str">
        <f t="shared" si="26"/>
        <v>Tee1</v>
      </c>
      <c r="B38" s="90">
        <v>3.0</v>
      </c>
      <c r="C38" s="127" t="s">
        <v>84</v>
      </c>
      <c r="D38" s="127">
        <v>25.0</v>
      </c>
      <c r="E38" s="112" t="s">
        <v>178</v>
      </c>
      <c r="F38" s="56">
        <v>51.9</v>
      </c>
      <c r="G38" s="76">
        <f>IFERROR(__xludf.DUMMYFUNCTION("ArrayFormula(IFERROR(VLOOKUP(E38,IMPORTRANGE(""https://docs.google.com/spreadsheets/d/1xZyKy-UzMmtPDLpV5jQdYum1LtbR8XKDuasLSjmBRMI/edit#gid=1241094406"",""COMBINED DATA!E3:L""),{7,8},0)))"),0.0492)</f>
        <v>0.0492</v>
      </c>
      <c r="H38" s="76">
        <f>IFERROR(__xludf.DUMMYFUNCTION("""COMPUTED_VALUE"""),0.0)</f>
        <v>0</v>
      </c>
      <c r="I38" s="76">
        <f t="shared" si="27"/>
        <v>0.0492</v>
      </c>
      <c r="J38" s="84">
        <f t="shared" si="28"/>
        <v>1054.878049</v>
      </c>
      <c r="K38" s="85">
        <f t="shared" si="29"/>
        <v>12.3</v>
      </c>
      <c r="L38" s="85">
        <f t="shared" si="30"/>
        <v>0</v>
      </c>
      <c r="M38" s="85">
        <f t="shared" si="31"/>
        <v>12.3</v>
      </c>
      <c r="N38" s="85">
        <f t="shared" si="7"/>
        <v>4.219512195</v>
      </c>
      <c r="O38" s="87">
        <v>51.9</v>
      </c>
      <c r="P38" s="89"/>
      <c r="Q38" s="89"/>
      <c r="R38" s="89"/>
      <c r="S38" s="89"/>
      <c r="T38" s="89"/>
      <c r="U38" s="89"/>
      <c r="V38" s="89"/>
      <c r="W38" s="89"/>
      <c r="X38" s="89"/>
      <c r="Y38" s="89"/>
      <c r="Z38" s="89"/>
    </row>
    <row r="39" ht="15.75" customHeight="1">
      <c r="A39" s="67" t="str">
        <f t="shared" si="26"/>
        <v>Tee1 1⁄4</v>
      </c>
      <c r="B39" s="90">
        <v>4.0</v>
      </c>
      <c r="C39" s="127" t="s">
        <v>55</v>
      </c>
      <c r="D39" s="127">
        <v>32.0</v>
      </c>
      <c r="E39" s="112" t="s">
        <v>181</v>
      </c>
      <c r="F39" s="56">
        <v>112.0</v>
      </c>
      <c r="G39" s="76">
        <f>IFERROR(__xludf.DUMMYFUNCTION("ArrayFormula(IFERROR(VLOOKUP(E39,IMPORTRANGE(""https://docs.google.com/spreadsheets/d/1xZyKy-UzMmtPDLpV5jQdYum1LtbR8XKDuasLSjmBRMI/edit#gid=1241094406"",""COMBINED DATA!E3:L""),{7,8},0)))"),0.0873)</f>
        <v>0.0873</v>
      </c>
      <c r="H39" s="76">
        <f>IFERROR(__xludf.DUMMYFUNCTION("""COMPUTED_VALUE"""),0.0)</f>
        <v>0</v>
      </c>
      <c r="I39" s="76">
        <f t="shared" si="27"/>
        <v>0.0873</v>
      </c>
      <c r="J39" s="84">
        <f t="shared" si="28"/>
        <v>1282.932417</v>
      </c>
      <c r="K39" s="85">
        <f t="shared" si="29"/>
        <v>21.825</v>
      </c>
      <c r="L39" s="85">
        <f t="shared" si="30"/>
        <v>0</v>
      </c>
      <c r="M39" s="85">
        <f t="shared" si="31"/>
        <v>21.825</v>
      </c>
      <c r="N39" s="85">
        <f t="shared" si="7"/>
        <v>5.131729668</v>
      </c>
      <c r="O39" s="87">
        <v>112.0</v>
      </c>
      <c r="P39" s="89"/>
      <c r="Q39" s="89"/>
      <c r="R39" s="89"/>
      <c r="S39" s="89"/>
      <c r="T39" s="89"/>
      <c r="U39" s="89"/>
      <c r="V39" s="89"/>
      <c r="W39" s="89"/>
      <c r="X39" s="89"/>
      <c r="Y39" s="89"/>
      <c r="Z39" s="89"/>
    </row>
    <row r="40" ht="15.75" customHeight="1">
      <c r="A40" s="67" t="str">
        <f t="shared" si="26"/>
        <v>Tee1 1⁄2</v>
      </c>
      <c r="B40" s="90">
        <v>5.0</v>
      </c>
      <c r="C40" s="127" t="s">
        <v>56</v>
      </c>
      <c r="D40" s="127">
        <v>40.0</v>
      </c>
      <c r="E40" s="112" t="s">
        <v>182</v>
      </c>
      <c r="F40" s="56">
        <v>204.0</v>
      </c>
      <c r="G40" s="76">
        <f>IFERROR(__xludf.DUMMYFUNCTION("ArrayFormula(IFERROR(VLOOKUP(E40,IMPORTRANGE(""https://docs.google.com/spreadsheets/d/1xZyKy-UzMmtPDLpV5jQdYum1LtbR8XKDuasLSjmBRMI/edit#gid=1241094406"",""COMBINED DATA!E3:L""),{7,8},0)))"),0.14545)</f>
        <v>0.14545</v>
      </c>
      <c r="H40" s="76">
        <f>IFERROR(__xludf.DUMMYFUNCTION("""COMPUTED_VALUE"""),0.0)</f>
        <v>0</v>
      </c>
      <c r="I40" s="76">
        <f t="shared" si="27"/>
        <v>0.14545</v>
      </c>
      <c r="J40" s="84">
        <f t="shared" si="28"/>
        <v>1402.543829</v>
      </c>
      <c r="K40" s="85">
        <f t="shared" si="29"/>
        <v>36.3625</v>
      </c>
      <c r="L40" s="85">
        <f t="shared" si="30"/>
        <v>0</v>
      </c>
      <c r="M40" s="85">
        <f t="shared" si="31"/>
        <v>36.3625</v>
      </c>
      <c r="N40" s="85">
        <f t="shared" si="7"/>
        <v>5.610175318</v>
      </c>
      <c r="O40" s="87">
        <v>204.0</v>
      </c>
      <c r="P40" s="89"/>
      <c r="Q40" s="89"/>
      <c r="R40" s="89"/>
      <c r="S40" s="89"/>
      <c r="T40" s="89"/>
      <c r="U40" s="89"/>
      <c r="V40" s="89"/>
      <c r="W40" s="89"/>
      <c r="X40" s="89"/>
      <c r="Y40" s="89"/>
      <c r="Z40" s="89"/>
    </row>
    <row r="41" ht="15.75" customHeight="1">
      <c r="A41" s="67" t="str">
        <f t="shared" si="26"/>
        <v>Tee2</v>
      </c>
      <c r="B41" s="90">
        <v>6.0</v>
      </c>
      <c r="C41" s="127" t="s">
        <v>107</v>
      </c>
      <c r="D41" s="127">
        <v>50.0</v>
      </c>
      <c r="E41" s="112" t="s">
        <v>184</v>
      </c>
      <c r="F41" s="56">
        <v>418.0</v>
      </c>
      <c r="G41" s="76">
        <f>IFERROR(__xludf.DUMMYFUNCTION("ArrayFormula(IFERROR(VLOOKUP(E41,IMPORTRANGE(""https://docs.google.com/spreadsheets/d/1xZyKy-UzMmtPDLpV5jQdYum1LtbR8XKDuasLSjmBRMI/edit#gid=1241094406"",""COMBINED DATA!E3:L""),{7,8},0)))"),0.262)</f>
        <v>0.262</v>
      </c>
      <c r="H41" s="76">
        <f>IFERROR(__xludf.DUMMYFUNCTION("""COMPUTED_VALUE"""),0.0)</f>
        <v>0</v>
      </c>
      <c r="I41" s="76">
        <f t="shared" si="27"/>
        <v>0.262</v>
      </c>
      <c r="J41" s="84">
        <f t="shared" si="28"/>
        <v>1595.419847</v>
      </c>
      <c r="K41" s="85">
        <f t="shared" si="29"/>
        <v>65.5</v>
      </c>
      <c r="L41" s="85">
        <f t="shared" si="30"/>
        <v>0</v>
      </c>
      <c r="M41" s="85">
        <f t="shared" si="31"/>
        <v>65.5</v>
      </c>
      <c r="N41" s="85">
        <f t="shared" si="7"/>
        <v>6.381679389</v>
      </c>
      <c r="O41" s="87">
        <v>418.0</v>
      </c>
      <c r="P41" s="89"/>
      <c r="Q41" s="89"/>
      <c r="R41" s="89"/>
      <c r="S41" s="89"/>
      <c r="T41" s="89"/>
      <c r="U41" s="89"/>
      <c r="V41" s="89"/>
      <c r="W41" s="89"/>
      <c r="X41" s="89"/>
      <c r="Y41" s="89"/>
      <c r="Z41" s="89"/>
    </row>
    <row r="42">
      <c r="A42" s="100"/>
      <c r="B42" s="102" t="s">
        <v>11</v>
      </c>
      <c r="C42" s="45"/>
      <c r="D42" s="45"/>
      <c r="E42" s="46"/>
      <c r="F42" s="103">
        <f>SUM(F36:F41)</f>
        <v>842.1</v>
      </c>
      <c r="G42" s="104">
        <f>IFERROR(VLOOKUP($C42,E5:O418,7,0),0)</f>
        <v>0</v>
      </c>
      <c r="H42" s="76" t="str">
        <f>IFERROR(__xludf.DUMMYFUNCTION("IFERROR(VLOOKUP(E42,IMPORTRANGE(""https://docs.google.com/spreadsheets/d/1xZyKy-UzMmtPDLpV5jQdYum1LtbR8XKDuasLSjmBRMI/edit#gid=1241094406"",""COMBINED DATA!E3:L""),8,0))"),"")</f>
        <v/>
      </c>
      <c r="I42" s="76"/>
      <c r="J42" s="116"/>
      <c r="K42" s="85"/>
      <c r="L42" s="85"/>
      <c r="M42" s="85"/>
      <c r="N42" s="85" t="str">
        <f t="shared" si="7"/>
        <v/>
      </c>
      <c r="O42" s="103">
        <f>SUM(O36:O41)</f>
        <v>842.1</v>
      </c>
      <c r="P42" s="89"/>
      <c r="Q42" s="89"/>
      <c r="R42" s="89"/>
      <c r="S42" s="89"/>
      <c r="T42" s="89"/>
      <c r="U42" s="89"/>
      <c r="V42" s="89"/>
      <c r="W42" s="89"/>
      <c r="X42" s="89"/>
      <c r="Y42" s="89"/>
      <c r="Z42" s="89"/>
    </row>
    <row r="43" ht="5.25" customHeight="1">
      <c r="A43" s="34"/>
      <c r="B43" s="105"/>
      <c r="C43" s="105"/>
      <c r="D43" s="105"/>
      <c r="E43" s="106"/>
      <c r="F43" s="107"/>
      <c r="G43" s="64"/>
      <c r="H43" s="76" t="str">
        <f>IFERROR(__xludf.DUMMYFUNCTION("IFERROR(VLOOKUP(E43,IMPORTRANGE(""https://docs.google.com/spreadsheets/d/1xZyKy-UzMmtPDLpV5jQdYum1LtbR8XKDuasLSjmBRMI/edit#gid=1241094406"",""COMBINED DATA!E3:L""),8,0))"),"")</f>
        <v/>
      </c>
      <c r="I43" s="76"/>
      <c r="J43" s="65"/>
      <c r="K43" s="85"/>
      <c r="L43" s="85"/>
      <c r="M43" s="85"/>
      <c r="N43" s="85" t="str">
        <f t="shared" si="7"/>
        <v/>
      </c>
      <c r="O43" s="89"/>
      <c r="P43" s="89"/>
      <c r="Q43" s="89"/>
      <c r="R43" s="89"/>
      <c r="S43" s="89"/>
      <c r="T43" s="89"/>
      <c r="U43" s="89"/>
      <c r="V43" s="89"/>
      <c r="W43" s="89"/>
      <c r="X43" s="89"/>
      <c r="Y43" s="89"/>
      <c r="Z43" s="89"/>
    </row>
    <row r="44" ht="22.5" customHeight="1">
      <c r="A44" s="34"/>
      <c r="B44" s="62" t="s">
        <v>187</v>
      </c>
      <c r="C44" s="45"/>
      <c r="D44" s="45"/>
      <c r="E44" s="45"/>
      <c r="F44" s="46"/>
      <c r="G44" s="64"/>
      <c r="H44" s="76" t="str">
        <f>IFERROR(__xludf.DUMMYFUNCTION("IFERROR(VLOOKUP(E44,IMPORTRANGE(""https://docs.google.com/spreadsheets/d/1xZyKy-UzMmtPDLpV5jQdYum1LtbR8XKDuasLSjmBRMI/edit#gid=1241094406"",""COMBINED DATA!E3:L""),8,0))"),"")</f>
        <v/>
      </c>
      <c r="I44" s="76"/>
      <c r="J44" s="65"/>
      <c r="K44" s="85"/>
      <c r="L44" s="85"/>
      <c r="M44" s="85"/>
      <c r="N44" s="85" t="str">
        <f t="shared" si="7"/>
        <v/>
      </c>
      <c r="O44" s="89"/>
      <c r="P44" s="89"/>
      <c r="Q44" s="89"/>
      <c r="R44" s="89"/>
      <c r="S44" s="89"/>
      <c r="T44" s="89"/>
      <c r="U44" s="89"/>
      <c r="V44" s="89"/>
      <c r="W44" s="89"/>
      <c r="X44" s="89"/>
      <c r="Y44" s="89"/>
      <c r="Z44" s="89"/>
    </row>
    <row r="45" ht="15.75" customHeight="1">
      <c r="A45" s="67" t="str">
        <f t="shared" ref="A45:A47" si="32">$B$44&amp;C45</f>
        <v>Tee (SCH-80)2 1⁄2</v>
      </c>
      <c r="B45" s="68">
        <v>1.0</v>
      </c>
      <c r="C45" s="110" t="s">
        <v>69</v>
      </c>
      <c r="D45" s="110">
        <v>65.0</v>
      </c>
      <c r="E45" s="130" t="s">
        <v>189</v>
      </c>
      <c r="F45" s="56">
        <v>1360.0</v>
      </c>
      <c r="G45" s="76">
        <f>IFERROR(__xludf.DUMMYFUNCTION("ArrayFormula(IFERROR(VLOOKUP(E45,IMPORTRANGE(""https://docs.google.com/spreadsheets/d/1xZyKy-UzMmtPDLpV5jQdYum1LtbR8XKDuasLSjmBRMI/edit#gid=1241094406"",""COMBINED DATA!E3:L""),{7,8},0)))"),0.687)</f>
        <v>0.687</v>
      </c>
      <c r="H45" s="76">
        <f>IFERROR(__xludf.DUMMYFUNCTION("""COMPUTED_VALUE"""),0.0)</f>
        <v>0</v>
      </c>
      <c r="I45" s="76">
        <f t="shared" ref="I45:I47" si="33">G45+H45</f>
        <v>0.687</v>
      </c>
      <c r="J45" s="84">
        <f t="shared" ref="J45:J47" si="34">IFERROR(F45/$I45,"")</f>
        <v>1979.621543</v>
      </c>
      <c r="K45" s="85">
        <f t="shared" ref="K45:K47" si="35">IFERROR(G45*250,)</f>
        <v>171.75</v>
      </c>
      <c r="L45" s="85">
        <f t="shared" ref="L45:L47" si="36">IFERROR(H45*750,"")</f>
        <v>0</v>
      </c>
      <c r="M45" s="85">
        <f t="shared" ref="M45:M47" si="37">K45+L45</f>
        <v>171.75</v>
      </c>
      <c r="N45" s="85">
        <f t="shared" si="7"/>
        <v>7.918486172</v>
      </c>
      <c r="O45" s="60">
        <v>1360.0</v>
      </c>
      <c r="P45" s="89"/>
      <c r="Q45" s="89"/>
      <c r="R45" s="89"/>
      <c r="S45" s="89"/>
      <c r="T45" s="89"/>
      <c r="U45" s="89"/>
      <c r="V45" s="89"/>
      <c r="W45" s="89"/>
      <c r="X45" s="89"/>
      <c r="Y45" s="89"/>
      <c r="Z45" s="89"/>
    </row>
    <row r="46" ht="15.75" customHeight="1">
      <c r="A46" s="67" t="str">
        <f t="shared" si="32"/>
        <v>Tee (SCH-80)3</v>
      </c>
      <c r="B46" s="90">
        <v>2.0</v>
      </c>
      <c r="C46" s="127">
        <v>3.0</v>
      </c>
      <c r="D46" s="127">
        <v>80.0</v>
      </c>
      <c r="E46" s="130" t="s">
        <v>192</v>
      </c>
      <c r="F46" s="56">
        <v>1980.0</v>
      </c>
      <c r="G46" s="76">
        <f>IFERROR(__xludf.DUMMYFUNCTION("ArrayFormula(IFERROR(VLOOKUP(E46,IMPORTRANGE(""https://docs.google.com/spreadsheets/d/1xZyKy-UzMmtPDLpV5jQdYum1LtbR8XKDuasLSjmBRMI/edit#gid=1241094406"",""COMBINED DATA!E3:L""),{7,8},0)))"),1.0735999999999999)</f>
        <v>1.0736</v>
      </c>
      <c r="H46" s="76">
        <f>IFERROR(__xludf.DUMMYFUNCTION("""COMPUTED_VALUE"""),0.0)</f>
        <v>0</v>
      </c>
      <c r="I46" s="76">
        <f t="shared" si="33"/>
        <v>1.0736</v>
      </c>
      <c r="J46" s="84">
        <f t="shared" si="34"/>
        <v>1844.262295</v>
      </c>
      <c r="K46" s="85">
        <f t="shared" si="35"/>
        <v>268.4</v>
      </c>
      <c r="L46" s="85">
        <f t="shared" si="36"/>
        <v>0</v>
      </c>
      <c r="M46" s="85">
        <f t="shared" si="37"/>
        <v>268.4</v>
      </c>
      <c r="N46" s="85">
        <f t="shared" si="7"/>
        <v>7.37704918</v>
      </c>
      <c r="O46" s="60">
        <v>1980.0</v>
      </c>
      <c r="P46" s="89"/>
      <c r="Q46" s="89"/>
      <c r="R46" s="89"/>
      <c r="S46" s="89"/>
      <c r="T46" s="89"/>
      <c r="U46" s="89"/>
      <c r="V46" s="89"/>
      <c r="W46" s="89"/>
      <c r="X46" s="89"/>
      <c r="Y46" s="89"/>
      <c r="Z46" s="89"/>
    </row>
    <row r="47" ht="15.75" customHeight="1">
      <c r="A47" s="67" t="str">
        <f t="shared" si="32"/>
        <v>Tee (SCH-80)4</v>
      </c>
      <c r="B47" s="90">
        <v>3.0</v>
      </c>
      <c r="C47" s="127">
        <v>4.0</v>
      </c>
      <c r="D47" s="127">
        <v>100.0</v>
      </c>
      <c r="E47" s="130" t="s">
        <v>194</v>
      </c>
      <c r="F47" s="56">
        <v>3240.0</v>
      </c>
      <c r="G47" s="76">
        <f>IFERROR(__xludf.DUMMYFUNCTION("ArrayFormula(IFERROR(VLOOKUP(E47,IMPORTRANGE(""https://docs.google.com/spreadsheets/d/1xZyKy-UzMmtPDLpV5jQdYum1LtbR8XKDuasLSjmBRMI/edit#gid=1241094406"",""COMBINED DATA!E3:L""),{7,8},0)))"),1.723)</f>
        <v>1.723</v>
      </c>
      <c r="H47" s="76">
        <f>IFERROR(__xludf.DUMMYFUNCTION("""COMPUTED_VALUE"""),0.0)</f>
        <v>0</v>
      </c>
      <c r="I47" s="76">
        <f t="shared" si="33"/>
        <v>1.723</v>
      </c>
      <c r="J47" s="84">
        <f t="shared" si="34"/>
        <v>1880.441091</v>
      </c>
      <c r="K47" s="85">
        <f t="shared" si="35"/>
        <v>430.75</v>
      </c>
      <c r="L47" s="85">
        <f t="shared" si="36"/>
        <v>0</v>
      </c>
      <c r="M47" s="85">
        <f t="shared" si="37"/>
        <v>430.75</v>
      </c>
      <c r="N47" s="85">
        <f t="shared" si="7"/>
        <v>7.521764364</v>
      </c>
      <c r="O47" s="60">
        <v>3240.0</v>
      </c>
      <c r="P47" s="89"/>
      <c r="Q47" s="89"/>
      <c r="R47" s="89"/>
      <c r="S47" s="89"/>
      <c r="T47" s="89"/>
      <c r="U47" s="89"/>
      <c r="V47" s="89"/>
      <c r="W47" s="89"/>
      <c r="X47" s="89"/>
      <c r="Y47" s="89"/>
      <c r="Z47" s="89"/>
    </row>
    <row r="48">
      <c r="A48" s="100"/>
      <c r="B48" s="102" t="s">
        <v>11</v>
      </c>
      <c r="C48" s="45"/>
      <c r="D48" s="45"/>
      <c r="E48" s="46"/>
      <c r="F48" s="131">
        <f>SUM(F45:F47)</f>
        <v>6580</v>
      </c>
      <c r="G48" s="104"/>
      <c r="H48" s="76" t="str">
        <f>IFERROR(__xludf.DUMMYFUNCTION("IFERROR(VLOOKUP(E48,IMPORTRANGE(""https://docs.google.com/spreadsheets/d/1xZyKy-UzMmtPDLpV5jQdYum1LtbR8XKDuasLSjmBRMI/edit#gid=1241094406"",""COMBINED DATA!E3:L""),8,0))"),"")</f>
        <v/>
      </c>
      <c r="I48" s="76"/>
      <c r="J48" s="116"/>
      <c r="K48" s="85"/>
      <c r="L48" s="85"/>
      <c r="M48" s="85"/>
      <c r="N48" s="85" t="str">
        <f t="shared" si="7"/>
        <v/>
      </c>
      <c r="O48" s="131">
        <f>SUM(O45:O47)</f>
        <v>6580</v>
      </c>
      <c r="P48" s="89"/>
      <c r="Q48" s="89"/>
      <c r="R48" s="89"/>
      <c r="S48" s="89"/>
      <c r="T48" s="89"/>
      <c r="U48" s="89"/>
      <c r="V48" s="89"/>
      <c r="W48" s="89"/>
      <c r="X48" s="89"/>
      <c r="Y48" s="89"/>
      <c r="Z48" s="89"/>
    </row>
    <row r="49" ht="6.0" customHeight="1">
      <c r="A49" s="34"/>
      <c r="B49" s="105"/>
      <c r="C49" s="105"/>
      <c r="D49" s="105"/>
      <c r="E49" s="106"/>
      <c r="F49" s="107"/>
      <c r="G49" s="64"/>
      <c r="H49" s="76" t="str">
        <f>IFERROR(__xludf.DUMMYFUNCTION("IFERROR(VLOOKUP(E49,IMPORTRANGE(""https://docs.google.com/spreadsheets/d/1xZyKy-UzMmtPDLpV5jQdYum1LtbR8XKDuasLSjmBRMI/edit#gid=1241094406"",""COMBINED DATA!E3:L""),8,0))"),"")</f>
        <v/>
      </c>
      <c r="I49" s="76"/>
      <c r="J49" s="65"/>
      <c r="K49" s="85"/>
      <c r="L49" s="85"/>
      <c r="M49" s="85"/>
      <c r="N49" s="85" t="str">
        <f t="shared" si="7"/>
        <v/>
      </c>
      <c r="O49" s="89"/>
      <c r="P49" s="89"/>
      <c r="Q49" s="89"/>
      <c r="R49" s="89"/>
      <c r="S49" s="89"/>
      <c r="T49" s="89"/>
      <c r="U49" s="89"/>
      <c r="V49" s="89"/>
      <c r="W49" s="89"/>
      <c r="X49" s="89"/>
      <c r="Y49" s="89"/>
      <c r="Z49" s="89"/>
    </row>
    <row r="50" ht="22.5" customHeight="1">
      <c r="A50" s="34"/>
      <c r="B50" s="62" t="s">
        <v>198</v>
      </c>
      <c r="C50" s="45"/>
      <c r="D50" s="45"/>
      <c r="E50" s="45"/>
      <c r="F50" s="46"/>
      <c r="G50" s="64"/>
      <c r="H50" s="76" t="str">
        <f>IFERROR(__xludf.DUMMYFUNCTION("IFERROR(VLOOKUP(E50,IMPORTRANGE(""https://docs.google.com/spreadsheets/d/1xZyKy-UzMmtPDLpV5jQdYum1LtbR8XKDuasLSjmBRMI/edit#gid=1241094406"",""COMBINED DATA!E3:L""),8,0))"),"")</f>
        <v/>
      </c>
      <c r="I50" s="76"/>
      <c r="J50" s="65"/>
      <c r="K50" s="85"/>
      <c r="L50" s="85"/>
      <c r="M50" s="85"/>
      <c r="N50" s="85" t="str">
        <f t="shared" si="7"/>
        <v/>
      </c>
      <c r="O50" s="89"/>
      <c r="P50" s="89"/>
      <c r="Q50" s="89"/>
      <c r="R50" s="89"/>
      <c r="S50" s="89"/>
      <c r="T50" s="89"/>
      <c r="U50" s="89"/>
      <c r="V50" s="89"/>
      <c r="W50" s="89"/>
      <c r="X50" s="89"/>
      <c r="Y50" s="89"/>
      <c r="Z50" s="89"/>
    </row>
    <row r="51" ht="15.75" customHeight="1">
      <c r="A51" s="67" t="str">
        <f>$B$50&amp;C51</f>
        <v>Tee (SCH-40)6</v>
      </c>
      <c r="B51" s="68">
        <v>1.0</v>
      </c>
      <c r="C51" s="110">
        <v>6.0</v>
      </c>
      <c r="D51" s="110">
        <v>150.0</v>
      </c>
      <c r="E51" s="111" t="s">
        <v>199</v>
      </c>
      <c r="F51" s="56">
        <v>5240.0</v>
      </c>
      <c r="G51" s="76">
        <f>IFERROR(__xludf.DUMMYFUNCTION("ArrayFormula(IFERROR(VLOOKUP(E51,IMPORTRANGE(""https://docs.google.com/spreadsheets/d/1xZyKy-UzMmtPDLpV5jQdYum1LtbR8XKDuasLSjmBRMI/edit#gid=1241094406"",""COMBINED DATA!E3:L""),{7,8},0)))"),2.445)</f>
        <v>2.445</v>
      </c>
      <c r="H51" s="76">
        <f>IFERROR(__xludf.DUMMYFUNCTION("""COMPUTED_VALUE"""),0.0)</f>
        <v>0</v>
      </c>
      <c r="I51" s="76">
        <f>G51+H51</f>
        <v>2.445</v>
      </c>
      <c r="J51" s="84">
        <f>IFERROR(F51/$I51,"")</f>
        <v>2143.149284</v>
      </c>
      <c r="K51" s="85">
        <f>IFERROR(G51*250,)</f>
        <v>611.25</v>
      </c>
      <c r="L51" s="85">
        <f>IFERROR(H51*750,"")</f>
        <v>0</v>
      </c>
      <c r="M51" s="85">
        <f>K51+L51</f>
        <v>611.25</v>
      </c>
      <c r="N51" s="85">
        <f t="shared" si="7"/>
        <v>8.572597137</v>
      </c>
      <c r="O51" s="60">
        <v>5240.0</v>
      </c>
      <c r="P51" s="89"/>
      <c r="Q51" s="89"/>
      <c r="R51" s="89"/>
      <c r="S51" s="89"/>
      <c r="T51" s="89"/>
      <c r="U51" s="89"/>
      <c r="V51" s="89"/>
      <c r="W51" s="89"/>
      <c r="X51" s="89"/>
      <c r="Y51" s="89"/>
      <c r="Z51" s="89"/>
    </row>
    <row r="52" ht="6.0" customHeight="1">
      <c r="A52" s="34"/>
      <c r="B52" s="119"/>
      <c r="C52" s="120"/>
      <c r="D52" s="120"/>
      <c r="E52" s="121"/>
      <c r="F52" s="107"/>
      <c r="G52" s="64"/>
      <c r="H52" s="76" t="str">
        <f>IFERROR(__xludf.DUMMYFUNCTION("IFERROR(VLOOKUP(E52,IMPORTRANGE(""https://docs.google.com/spreadsheets/d/1xZyKy-UzMmtPDLpV5jQdYum1LtbR8XKDuasLSjmBRMI/edit#gid=1241094406"",""COMBINED DATA!E3:L""),8,0))"),"")</f>
        <v/>
      </c>
      <c r="I52" s="76"/>
      <c r="J52" s="65"/>
      <c r="K52" s="85"/>
      <c r="L52" s="85"/>
      <c r="M52" s="85"/>
      <c r="N52" s="85" t="str">
        <f t="shared" si="7"/>
        <v/>
      </c>
      <c r="O52" s="89"/>
      <c r="P52" s="89"/>
      <c r="Q52" s="89"/>
      <c r="R52" s="89"/>
      <c r="S52" s="89"/>
      <c r="T52" s="89"/>
      <c r="U52" s="89"/>
      <c r="V52" s="89"/>
      <c r="W52" s="89"/>
      <c r="X52" s="89"/>
      <c r="Y52" s="89"/>
      <c r="Z52" s="89"/>
    </row>
    <row r="53" ht="22.5" customHeight="1">
      <c r="A53" s="34"/>
      <c r="B53" s="62" t="s">
        <v>202</v>
      </c>
      <c r="C53" s="45"/>
      <c r="D53" s="45"/>
      <c r="E53" s="45"/>
      <c r="F53" s="46"/>
      <c r="G53" s="64"/>
      <c r="H53" s="76" t="str">
        <f>IFERROR(__xludf.DUMMYFUNCTION("IFERROR(VLOOKUP(E53,IMPORTRANGE(""https://docs.google.com/spreadsheets/d/1xZyKy-UzMmtPDLpV5jQdYum1LtbR8XKDuasLSjmBRMI/edit#gid=1241094406"",""COMBINED DATA!E3:L""),8,0))"),"")</f>
        <v/>
      </c>
      <c r="I53" s="76"/>
      <c r="J53" s="65"/>
      <c r="K53" s="85"/>
      <c r="L53" s="85"/>
      <c r="M53" s="85"/>
      <c r="N53" s="85" t="str">
        <f t="shared" si="7"/>
        <v/>
      </c>
      <c r="O53" s="89"/>
      <c r="P53" s="89"/>
      <c r="Q53" s="89"/>
      <c r="R53" s="89"/>
      <c r="S53" s="89"/>
      <c r="T53" s="89"/>
      <c r="U53" s="89"/>
      <c r="V53" s="89"/>
      <c r="W53" s="89"/>
      <c r="X53" s="89"/>
      <c r="Y53" s="89"/>
      <c r="Z53" s="89"/>
    </row>
    <row r="54" ht="15.75" customHeight="1">
      <c r="A54" s="67" t="str">
        <f t="shared" ref="A54:A64" si="38">$B$53&amp;C54</f>
        <v>Reducer Tee3⁄4 x 3⁄4 x 1⁄2</v>
      </c>
      <c r="B54" s="68">
        <v>1.0</v>
      </c>
      <c r="C54" s="132" t="s">
        <v>204</v>
      </c>
      <c r="D54" s="132" t="s">
        <v>205</v>
      </c>
      <c r="E54" s="111" t="s">
        <v>206</v>
      </c>
      <c r="F54" s="56">
        <v>46.0</v>
      </c>
      <c r="G54" s="76">
        <f>IFERROR(__xludf.DUMMYFUNCTION("ArrayFormula(IFERROR(VLOOKUP(E54,IMPORTRANGE(""https://docs.google.com/spreadsheets/d/1xZyKy-UzMmtPDLpV5jQdYum1LtbR8XKDuasLSjmBRMI/edit#gid=1241094406"",""COMBINED DATA!E3:L""),{7,8},0)))"),0.02)</f>
        <v>0.02</v>
      </c>
      <c r="H54" s="76">
        <f>IFERROR(__xludf.DUMMYFUNCTION("""COMPUTED_VALUE"""),0.0)</f>
        <v>0</v>
      </c>
      <c r="I54" s="76">
        <f t="shared" ref="I54:I64" si="39">G54+H54</f>
        <v>0.02</v>
      </c>
      <c r="J54" s="84">
        <f t="shared" ref="J54:J64" si="40">IFERROR(F54/$I54,"")</f>
        <v>2300</v>
      </c>
      <c r="K54" s="85">
        <f t="shared" ref="K54:K64" si="41">IFERROR(G54*250,)</f>
        <v>5</v>
      </c>
      <c r="L54" s="85">
        <f t="shared" ref="L54:L64" si="42">IFERROR(H54*750,"")</f>
        <v>0</v>
      </c>
      <c r="M54" s="85">
        <f t="shared" ref="M54:M64" si="43">K54+L54</f>
        <v>5</v>
      </c>
      <c r="N54" s="85">
        <f t="shared" si="7"/>
        <v>9.2</v>
      </c>
      <c r="O54" s="87">
        <v>46.0</v>
      </c>
      <c r="P54" s="89"/>
      <c r="Q54" s="89"/>
      <c r="R54" s="89"/>
      <c r="S54" s="89"/>
      <c r="T54" s="89"/>
      <c r="U54" s="89"/>
      <c r="V54" s="89"/>
      <c r="W54" s="89"/>
      <c r="X54" s="89"/>
      <c r="Y54" s="89"/>
      <c r="Z54" s="89"/>
    </row>
    <row r="55" ht="15.75" customHeight="1">
      <c r="A55" s="67" t="str">
        <f t="shared" si="38"/>
        <v>Reducer Tee1 x 1 x 3⁄4</v>
      </c>
      <c r="B55" s="90">
        <v>2.0</v>
      </c>
      <c r="C55" s="133" t="s">
        <v>209</v>
      </c>
      <c r="D55" s="133" t="s">
        <v>210</v>
      </c>
      <c r="E55" s="112" t="s">
        <v>211</v>
      </c>
      <c r="F55" s="56">
        <v>88.0</v>
      </c>
      <c r="G55" s="76">
        <f>IFERROR(__xludf.DUMMYFUNCTION("ArrayFormula(IFERROR(VLOOKUP(E55,IMPORTRANGE(""https://docs.google.com/spreadsheets/d/1xZyKy-UzMmtPDLpV5jQdYum1LtbR8XKDuasLSjmBRMI/edit#gid=1241094406"",""COMBINED DATA!E3:L""),{7,8},0)))"),0.039)</f>
        <v>0.039</v>
      </c>
      <c r="H55" s="76">
        <f>IFERROR(__xludf.DUMMYFUNCTION("""COMPUTED_VALUE"""),0.0)</f>
        <v>0</v>
      </c>
      <c r="I55" s="76">
        <f t="shared" si="39"/>
        <v>0.039</v>
      </c>
      <c r="J55" s="84">
        <f t="shared" si="40"/>
        <v>2256.410256</v>
      </c>
      <c r="K55" s="85">
        <f t="shared" si="41"/>
        <v>9.75</v>
      </c>
      <c r="L55" s="85">
        <f t="shared" si="42"/>
        <v>0</v>
      </c>
      <c r="M55" s="85">
        <f t="shared" si="43"/>
        <v>9.75</v>
      </c>
      <c r="N55" s="85">
        <f t="shared" si="7"/>
        <v>9.025641026</v>
      </c>
      <c r="O55" s="87">
        <v>88.0</v>
      </c>
      <c r="P55" s="89"/>
      <c r="Q55" s="89"/>
      <c r="R55" s="89"/>
      <c r="S55" s="89"/>
      <c r="T55" s="89"/>
      <c r="U55" s="89"/>
      <c r="V55" s="89"/>
      <c r="W55" s="89"/>
      <c r="X55" s="89"/>
      <c r="Y55" s="89"/>
      <c r="Z55" s="89"/>
    </row>
    <row r="56" ht="15.75" customHeight="1">
      <c r="A56" s="67" t="str">
        <f t="shared" si="38"/>
        <v>Reducer Tee1 1⁄4 x 1 1⁄4 x 3⁄4</v>
      </c>
      <c r="B56" s="90">
        <v>3.0</v>
      </c>
      <c r="C56" s="133" t="s">
        <v>213</v>
      </c>
      <c r="D56" s="133" t="s">
        <v>214</v>
      </c>
      <c r="E56" s="112" t="s">
        <v>215</v>
      </c>
      <c r="F56" s="56">
        <v>168.0</v>
      </c>
      <c r="G56" s="76">
        <f>IFERROR(__xludf.DUMMYFUNCTION("ArrayFormula(IFERROR(VLOOKUP(E56,IMPORTRANGE(""https://docs.google.com/spreadsheets/d/1xZyKy-UzMmtPDLpV5jQdYum1LtbR8XKDuasLSjmBRMI/edit#gid=1241094406"",""COMBINED DATA!E3:L""),{7,8},0)))"),0.05995)</f>
        <v>0.05995</v>
      </c>
      <c r="H56" s="76">
        <f>IFERROR(__xludf.DUMMYFUNCTION("""COMPUTED_VALUE"""),0.0)</f>
        <v>0</v>
      </c>
      <c r="I56" s="76">
        <f t="shared" si="39"/>
        <v>0.05995</v>
      </c>
      <c r="J56" s="84">
        <f t="shared" si="40"/>
        <v>2802.335279</v>
      </c>
      <c r="K56" s="85">
        <f t="shared" si="41"/>
        <v>14.9875</v>
      </c>
      <c r="L56" s="85">
        <f t="shared" si="42"/>
        <v>0</v>
      </c>
      <c r="M56" s="85">
        <f t="shared" si="43"/>
        <v>14.9875</v>
      </c>
      <c r="N56" s="85">
        <f t="shared" si="7"/>
        <v>11.20934112</v>
      </c>
      <c r="O56" s="87">
        <v>168.0</v>
      </c>
      <c r="P56" s="89"/>
      <c r="Q56" s="89"/>
      <c r="R56" s="89"/>
      <c r="S56" s="89"/>
      <c r="T56" s="89"/>
      <c r="U56" s="89"/>
      <c r="V56" s="89"/>
      <c r="W56" s="89"/>
      <c r="X56" s="89"/>
      <c r="Y56" s="89"/>
      <c r="Z56" s="89"/>
    </row>
    <row r="57" ht="15.75" customHeight="1">
      <c r="A57" s="67" t="str">
        <f t="shared" si="38"/>
        <v>Reducer Tee1 1⁄4 x 1 1⁄4 x 1</v>
      </c>
      <c r="B57" s="90">
        <v>4.0</v>
      </c>
      <c r="C57" s="133" t="s">
        <v>216</v>
      </c>
      <c r="D57" s="133" t="s">
        <v>217</v>
      </c>
      <c r="E57" s="112" t="s">
        <v>218</v>
      </c>
      <c r="F57" s="56">
        <v>136.0</v>
      </c>
      <c r="G57" s="76">
        <f>IFERROR(__xludf.DUMMYFUNCTION("ArrayFormula(IFERROR(VLOOKUP(E57,IMPORTRANGE(""https://docs.google.com/spreadsheets/d/1xZyKy-UzMmtPDLpV5jQdYum1LtbR8XKDuasLSjmBRMI/edit#gid=1241094406"",""COMBINED DATA!E3:L""),{7,8},0)))"),0.0658)</f>
        <v>0.0658</v>
      </c>
      <c r="H57" s="76">
        <f>IFERROR(__xludf.DUMMYFUNCTION("""COMPUTED_VALUE"""),0.0)</f>
        <v>0</v>
      </c>
      <c r="I57" s="76">
        <f t="shared" si="39"/>
        <v>0.0658</v>
      </c>
      <c r="J57" s="84">
        <f t="shared" si="40"/>
        <v>2066.869301</v>
      </c>
      <c r="K57" s="85">
        <f t="shared" si="41"/>
        <v>16.45</v>
      </c>
      <c r="L57" s="85">
        <f t="shared" si="42"/>
        <v>0</v>
      </c>
      <c r="M57" s="85">
        <f t="shared" si="43"/>
        <v>16.45</v>
      </c>
      <c r="N57" s="85">
        <f t="shared" si="7"/>
        <v>8.267477204</v>
      </c>
      <c r="O57" s="87">
        <v>136.0</v>
      </c>
      <c r="P57" s="89"/>
      <c r="Q57" s="89"/>
      <c r="R57" s="89"/>
      <c r="S57" s="89"/>
      <c r="T57" s="89"/>
      <c r="U57" s="89"/>
      <c r="V57" s="89"/>
      <c r="W57" s="89"/>
      <c r="X57" s="89"/>
      <c r="Y57" s="89"/>
      <c r="Z57" s="89"/>
    </row>
    <row r="58" ht="15.75" customHeight="1">
      <c r="A58" s="67" t="str">
        <f t="shared" si="38"/>
        <v>Reducer Tee1 1⁄2 x 1 1⁄2 x 3⁄4</v>
      </c>
      <c r="B58" s="90">
        <v>5.0</v>
      </c>
      <c r="C58" s="133" t="s">
        <v>220</v>
      </c>
      <c r="D58" s="133" t="s">
        <v>221</v>
      </c>
      <c r="E58" s="112" t="s">
        <v>222</v>
      </c>
      <c r="F58" s="56">
        <v>228.0</v>
      </c>
      <c r="G58" s="76">
        <f>IFERROR(__xludf.DUMMYFUNCTION("ArrayFormula(IFERROR(VLOOKUP(E58,IMPORTRANGE(""https://docs.google.com/spreadsheets/d/1xZyKy-UzMmtPDLpV5jQdYum1LtbR8XKDuasLSjmBRMI/edit#gid=1241094406"",""COMBINED DATA!E3:L""),{7,8},0)))"),0.18225)</f>
        <v>0.18225</v>
      </c>
      <c r="H58" s="76">
        <f>IFERROR(__xludf.DUMMYFUNCTION("""COMPUTED_VALUE"""),0.0)</f>
        <v>0</v>
      </c>
      <c r="I58" s="76">
        <f t="shared" si="39"/>
        <v>0.18225</v>
      </c>
      <c r="J58" s="84">
        <f t="shared" si="40"/>
        <v>1251.028807</v>
      </c>
      <c r="K58" s="85">
        <f t="shared" si="41"/>
        <v>45.5625</v>
      </c>
      <c r="L58" s="85">
        <f t="shared" si="42"/>
        <v>0</v>
      </c>
      <c r="M58" s="85">
        <f t="shared" si="43"/>
        <v>45.5625</v>
      </c>
      <c r="N58" s="85">
        <f t="shared" si="7"/>
        <v>5.004115226</v>
      </c>
      <c r="O58" s="87">
        <v>228.0</v>
      </c>
      <c r="P58" s="89"/>
      <c r="Q58" s="89"/>
      <c r="R58" s="89"/>
      <c r="S58" s="89"/>
      <c r="T58" s="89"/>
      <c r="U58" s="89"/>
      <c r="V58" s="89"/>
      <c r="W58" s="89"/>
      <c r="X58" s="89"/>
      <c r="Y58" s="89"/>
      <c r="Z58" s="89"/>
    </row>
    <row r="59" ht="15.75" customHeight="1">
      <c r="A59" s="67" t="str">
        <f t="shared" si="38"/>
        <v>Reducer Tee1 1⁄2 x 1 1⁄2 x 1</v>
      </c>
      <c r="B59" s="90">
        <v>6.0</v>
      </c>
      <c r="C59" s="133" t="s">
        <v>224</v>
      </c>
      <c r="D59" s="133" t="s">
        <v>225</v>
      </c>
      <c r="E59" s="112" t="s">
        <v>226</v>
      </c>
      <c r="F59" s="56">
        <v>218.0</v>
      </c>
      <c r="G59" s="76">
        <f>IFERROR(__xludf.DUMMYFUNCTION("ArrayFormula(IFERROR(VLOOKUP(E59,IMPORTRANGE(""https://docs.google.com/spreadsheets/d/1xZyKy-UzMmtPDLpV5jQdYum1LtbR8XKDuasLSjmBRMI/edit#gid=1241094406"",""COMBINED DATA!E3:L""),{7,8},0)))"),0.095)</f>
        <v>0.095</v>
      </c>
      <c r="H59" s="76">
        <f>IFERROR(__xludf.DUMMYFUNCTION("""COMPUTED_VALUE"""),0.0)</f>
        <v>0</v>
      </c>
      <c r="I59" s="76">
        <f t="shared" si="39"/>
        <v>0.095</v>
      </c>
      <c r="J59" s="84">
        <f t="shared" si="40"/>
        <v>2294.736842</v>
      </c>
      <c r="K59" s="85">
        <f t="shared" si="41"/>
        <v>23.75</v>
      </c>
      <c r="L59" s="85">
        <f t="shared" si="42"/>
        <v>0</v>
      </c>
      <c r="M59" s="85">
        <f t="shared" si="43"/>
        <v>23.75</v>
      </c>
      <c r="N59" s="85">
        <f t="shared" si="7"/>
        <v>9.178947368</v>
      </c>
      <c r="O59" s="87">
        <v>218.0</v>
      </c>
      <c r="P59" s="89"/>
      <c r="Q59" s="89"/>
      <c r="R59" s="89"/>
      <c r="S59" s="89"/>
      <c r="T59" s="89"/>
      <c r="U59" s="89"/>
      <c r="V59" s="89"/>
      <c r="W59" s="89"/>
      <c r="X59" s="89"/>
      <c r="Y59" s="89"/>
      <c r="Z59" s="89"/>
    </row>
    <row r="60" ht="15.75" customHeight="1">
      <c r="A60" s="67" t="str">
        <f t="shared" si="38"/>
        <v>Reducer Tee1 1⁄2 x 1 1⁄2 x 1 1⁄4</v>
      </c>
      <c r="B60" s="90">
        <v>7.0</v>
      </c>
      <c r="C60" s="133" t="s">
        <v>227</v>
      </c>
      <c r="D60" s="133" t="s">
        <v>228</v>
      </c>
      <c r="E60" s="112" t="s">
        <v>229</v>
      </c>
      <c r="F60" s="56">
        <v>228.0</v>
      </c>
      <c r="G60" s="76">
        <f>IFERROR(__xludf.DUMMYFUNCTION("ArrayFormula(IFERROR(VLOOKUP(E60,IMPORTRANGE(""https://docs.google.com/spreadsheets/d/1xZyKy-UzMmtPDLpV5jQdYum1LtbR8XKDuasLSjmBRMI/edit#gid=1241094406"",""COMBINED DATA!E3:L""),{7,8},0)))"),0.1705)</f>
        <v>0.1705</v>
      </c>
      <c r="H60" s="76">
        <f>IFERROR(__xludf.DUMMYFUNCTION("""COMPUTED_VALUE"""),0.0)</f>
        <v>0</v>
      </c>
      <c r="I60" s="76">
        <f t="shared" si="39"/>
        <v>0.1705</v>
      </c>
      <c r="J60" s="84">
        <f t="shared" si="40"/>
        <v>1337.243402</v>
      </c>
      <c r="K60" s="85">
        <f t="shared" si="41"/>
        <v>42.625</v>
      </c>
      <c r="L60" s="85">
        <f t="shared" si="42"/>
        <v>0</v>
      </c>
      <c r="M60" s="85">
        <f t="shared" si="43"/>
        <v>42.625</v>
      </c>
      <c r="N60" s="85">
        <f t="shared" si="7"/>
        <v>5.348973607</v>
      </c>
      <c r="O60" s="87">
        <v>228.0</v>
      </c>
      <c r="P60" s="89"/>
      <c r="Q60" s="89"/>
      <c r="R60" s="89"/>
      <c r="S60" s="89"/>
      <c r="T60" s="89"/>
      <c r="U60" s="89"/>
      <c r="V60" s="89"/>
      <c r="W60" s="89"/>
      <c r="X60" s="89"/>
      <c r="Y60" s="89"/>
      <c r="Z60" s="89"/>
    </row>
    <row r="61" ht="15.75" customHeight="1">
      <c r="A61" s="67" t="str">
        <f t="shared" si="38"/>
        <v>Reducer Tee2 x 2 x 3⁄4</v>
      </c>
      <c r="B61" s="90">
        <v>8.0</v>
      </c>
      <c r="C61" s="133" t="s">
        <v>231</v>
      </c>
      <c r="D61" s="133" t="s">
        <v>232</v>
      </c>
      <c r="E61" s="112" t="s">
        <v>233</v>
      </c>
      <c r="F61" s="56">
        <v>396.0</v>
      </c>
      <c r="G61" s="76">
        <f>IFERROR(__xludf.DUMMYFUNCTION("ArrayFormula(IFERROR(VLOOKUP(E61,IMPORTRANGE(""https://docs.google.com/spreadsheets/d/1xZyKy-UzMmtPDLpV5jQdYum1LtbR8XKDuasLSjmBRMI/edit#gid=1241094406"",""COMBINED DATA!E3:L""),{7,8},0)))"),0.375)</f>
        <v>0.375</v>
      </c>
      <c r="H61" s="76">
        <f>IFERROR(__xludf.DUMMYFUNCTION("""COMPUTED_VALUE"""),0.0)</f>
        <v>0</v>
      </c>
      <c r="I61" s="76">
        <f t="shared" si="39"/>
        <v>0.375</v>
      </c>
      <c r="J61" s="84">
        <f t="shared" si="40"/>
        <v>1056</v>
      </c>
      <c r="K61" s="85">
        <f t="shared" si="41"/>
        <v>93.75</v>
      </c>
      <c r="L61" s="85">
        <f t="shared" si="42"/>
        <v>0</v>
      </c>
      <c r="M61" s="85">
        <f t="shared" si="43"/>
        <v>93.75</v>
      </c>
      <c r="N61" s="85">
        <f t="shared" si="7"/>
        <v>4.224</v>
      </c>
      <c r="O61" s="87">
        <v>396.0</v>
      </c>
      <c r="P61" s="89"/>
      <c r="Q61" s="89"/>
      <c r="R61" s="89"/>
      <c r="S61" s="89"/>
      <c r="T61" s="89"/>
      <c r="U61" s="89"/>
      <c r="V61" s="89"/>
      <c r="W61" s="89"/>
      <c r="X61" s="89"/>
      <c r="Y61" s="89"/>
      <c r="Z61" s="89"/>
    </row>
    <row r="62" ht="15.75" customHeight="1">
      <c r="A62" s="67" t="str">
        <f t="shared" si="38"/>
        <v>Reducer Tee2 x 2 x 1</v>
      </c>
      <c r="B62" s="90">
        <v>9.0</v>
      </c>
      <c r="C62" s="133" t="s">
        <v>235</v>
      </c>
      <c r="D62" s="133" t="s">
        <v>236</v>
      </c>
      <c r="E62" s="112" t="s">
        <v>237</v>
      </c>
      <c r="F62" s="56">
        <v>396.0</v>
      </c>
      <c r="G62" s="76">
        <f>IFERROR(__xludf.DUMMYFUNCTION("ArrayFormula(IFERROR(VLOOKUP(E62,IMPORTRANGE(""https://docs.google.com/spreadsheets/d/1xZyKy-UzMmtPDLpV5jQdYum1LtbR8XKDuasLSjmBRMI/edit#gid=1241094406"",""COMBINED DATA!E3:L""),{7,8},0)))"),0.377)</f>
        <v>0.377</v>
      </c>
      <c r="H62" s="76">
        <f>IFERROR(__xludf.DUMMYFUNCTION("""COMPUTED_VALUE"""),0.0)</f>
        <v>0</v>
      </c>
      <c r="I62" s="76">
        <f t="shared" si="39"/>
        <v>0.377</v>
      </c>
      <c r="J62" s="84">
        <f t="shared" si="40"/>
        <v>1050.397878</v>
      </c>
      <c r="K62" s="85">
        <f t="shared" si="41"/>
        <v>94.25</v>
      </c>
      <c r="L62" s="85">
        <f t="shared" si="42"/>
        <v>0</v>
      </c>
      <c r="M62" s="85">
        <f t="shared" si="43"/>
        <v>94.25</v>
      </c>
      <c r="N62" s="85">
        <f t="shared" si="7"/>
        <v>4.201591512</v>
      </c>
      <c r="O62" s="87">
        <v>396.0</v>
      </c>
      <c r="P62" s="89"/>
      <c r="Q62" s="89"/>
      <c r="R62" s="89"/>
      <c r="S62" s="89"/>
      <c r="T62" s="89"/>
      <c r="U62" s="89"/>
      <c r="V62" s="89"/>
      <c r="W62" s="89"/>
      <c r="X62" s="89"/>
      <c r="Y62" s="89"/>
      <c r="Z62" s="89"/>
    </row>
    <row r="63" ht="15.75" customHeight="1">
      <c r="A63" s="67" t="str">
        <f t="shared" si="38"/>
        <v>Reducer Tee2 x 2 x 1 1⁄4</v>
      </c>
      <c r="B63" s="90">
        <v>10.0</v>
      </c>
      <c r="C63" s="133" t="s">
        <v>238</v>
      </c>
      <c r="D63" s="133" t="s">
        <v>239</v>
      </c>
      <c r="E63" s="112" t="s">
        <v>240</v>
      </c>
      <c r="F63" s="56">
        <v>396.0</v>
      </c>
      <c r="G63" s="76">
        <f>IFERROR(__xludf.DUMMYFUNCTION("ArrayFormula(IFERROR(VLOOKUP(E63,IMPORTRANGE(""https://docs.google.com/spreadsheets/d/1xZyKy-UzMmtPDLpV5jQdYum1LtbR8XKDuasLSjmBRMI/edit#gid=1241094406"",""COMBINED DATA!E3:L""),{7,8},0)))"),0.476)</f>
        <v>0.476</v>
      </c>
      <c r="H63" s="76">
        <f>IFERROR(__xludf.DUMMYFUNCTION("""COMPUTED_VALUE"""),0.0)</f>
        <v>0</v>
      </c>
      <c r="I63" s="76">
        <f t="shared" si="39"/>
        <v>0.476</v>
      </c>
      <c r="J63" s="84">
        <f t="shared" si="40"/>
        <v>831.9327731</v>
      </c>
      <c r="K63" s="85">
        <f t="shared" si="41"/>
        <v>119</v>
      </c>
      <c r="L63" s="85">
        <f t="shared" si="42"/>
        <v>0</v>
      </c>
      <c r="M63" s="85">
        <f t="shared" si="43"/>
        <v>119</v>
      </c>
      <c r="N63" s="85">
        <f t="shared" si="7"/>
        <v>3.327731092</v>
      </c>
      <c r="O63" s="87">
        <v>396.0</v>
      </c>
      <c r="P63" s="89"/>
      <c r="Q63" s="89"/>
      <c r="R63" s="89"/>
      <c r="S63" s="89"/>
      <c r="T63" s="89"/>
      <c r="U63" s="89"/>
      <c r="V63" s="89"/>
      <c r="W63" s="89"/>
      <c r="X63" s="89"/>
      <c r="Y63" s="89"/>
      <c r="Z63" s="89"/>
    </row>
    <row r="64" ht="15.75" customHeight="1">
      <c r="A64" s="67" t="str">
        <f t="shared" si="38"/>
        <v>Reducer Tee2 x 2 x 1 1⁄2</v>
      </c>
      <c r="B64" s="90">
        <v>11.0</v>
      </c>
      <c r="C64" s="133" t="s">
        <v>242</v>
      </c>
      <c r="D64" s="133" t="s">
        <v>243</v>
      </c>
      <c r="E64" s="112" t="s">
        <v>244</v>
      </c>
      <c r="F64" s="56">
        <v>396.0</v>
      </c>
      <c r="G64" s="76">
        <f>IFERROR(__xludf.DUMMYFUNCTION("ArrayFormula(IFERROR(VLOOKUP(E64,IMPORTRANGE(""https://docs.google.com/spreadsheets/d/1xZyKy-UzMmtPDLpV5jQdYum1LtbR8XKDuasLSjmBRMI/edit#gid=1241094406"",""COMBINED DATA!E3:L""),{7,8},0)))"),0.3655)</f>
        <v>0.3655</v>
      </c>
      <c r="H64" s="76">
        <f>IFERROR(__xludf.DUMMYFUNCTION("""COMPUTED_VALUE"""),0.0)</f>
        <v>0</v>
      </c>
      <c r="I64" s="76">
        <f t="shared" si="39"/>
        <v>0.3655</v>
      </c>
      <c r="J64" s="84">
        <f t="shared" si="40"/>
        <v>1083.447332</v>
      </c>
      <c r="K64" s="85">
        <f t="shared" si="41"/>
        <v>91.375</v>
      </c>
      <c r="L64" s="85">
        <f t="shared" si="42"/>
        <v>0</v>
      </c>
      <c r="M64" s="85">
        <f t="shared" si="43"/>
        <v>91.375</v>
      </c>
      <c r="N64" s="85">
        <f t="shared" si="7"/>
        <v>4.33378933</v>
      </c>
      <c r="O64" s="87">
        <v>396.0</v>
      </c>
      <c r="P64" s="89"/>
      <c r="Q64" s="89"/>
      <c r="R64" s="89"/>
      <c r="S64" s="89"/>
      <c r="T64" s="89"/>
      <c r="U64" s="89"/>
      <c r="V64" s="89"/>
      <c r="W64" s="89"/>
      <c r="X64" s="89"/>
      <c r="Y64" s="89"/>
      <c r="Z64" s="89"/>
    </row>
    <row r="65">
      <c r="A65" s="100"/>
      <c r="B65" s="102" t="s">
        <v>11</v>
      </c>
      <c r="C65" s="45"/>
      <c r="D65" s="45"/>
      <c r="E65" s="46"/>
      <c r="F65" s="131">
        <f>sum(F54:F64)</f>
        <v>2696</v>
      </c>
      <c r="G65" s="104"/>
      <c r="H65" s="76" t="str">
        <f>IFERROR(__xludf.DUMMYFUNCTION("IFERROR(VLOOKUP(E65,IMPORTRANGE(""https://docs.google.com/spreadsheets/d/1xZyKy-UzMmtPDLpV5jQdYum1LtbR8XKDuasLSjmBRMI/edit#gid=1241094406"",""COMBINED DATA!E3:L""),8,0))"),"")</f>
        <v/>
      </c>
      <c r="I65" s="76"/>
      <c r="J65" s="84"/>
      <c r="K65" s="85"/>
      <c r="L65" s="85"/>
      <c r="M65" s="85"/>
      <c r="N65" s="85" t="str">
        <f t="shared" si="7"/>
        <v/>
      </c>
      <c r="O65" s="131">
        <f>sum(O54:O64)</f>
        <v>2696</v>
      </c>
      <c r="P65" s="89"/>
      <c r="Q65" s="89"/>
      <c r="R65" s="89"/>
      <c r="S65" s="89"/>
      <c r="T65" s="89"/>
      <c r="U65" s="89"/>
      <c r="V65" s="89"/>
      <c r="W65" s="89"/>
      <c r="X65" s="89"/>
      <c r="Y65" s="89"/>
      <c r="Z65" s="89"/>
    </row>
    <row r="66" ht="5.25" customHeight="1">
      <c r="A66" s="34"/>
      <c r="B66" s="119"/>
      <c r="C66" s="120"/>
      <c r="D66" s="120"/>
      <c r="E66" s="121"/>
      <c r="F66" s="107"/>
      <c r="G66" s="64"/>
      <c r="H66" s="76" t="str">
        <f>IFERROR(__xludf.DUMMYFUNCTION("IFERROR(VLOOKUP(E66,IMPORTRANGE(""https://docs.google.com/spreadsheets/d/1xZyKy-UzMmtPDLpV5jQdYum1LtbR8XKDuasLSjmBRMI/edit#gid=1241094406"",""COMBINED DATA!E3:L""),8,0))"),"")</f>
        <v/>
      </c>
      <c r="I66" s="76"/>
      <c r="J66" s="65"/>
      <c r="K66" s="85"/>
      <c r="L66" s="85"/>
      <c r="M66" s="85"/>
      <c r="N66" s="85" t="str">
        <f t="shared" si="7"/>
        <v/>
      </c>
      <c r="O66" s="89"/>
      <c r="P66" s="89"/>
      <c r="Q66" s="89"/>
      <c r="R66" s="89"/>
      <c r="S66" s="89"/>
      <c r="T66" s="89"/>
      <c r="U66" s="89"/>
      <c r="V66" s="89"/>
      <c r="W66" s="89"/>
      <c r="X66" s="89"/>
      <c r="Y66" s="89"/>
      <c r="Z66" s="89"/>
    </row>
    <row r="67" ht="22.5" customHeight="1">
      <c r="A67" s="34"/>
      <c r="B67" s="62" t="s">
        <v>247</v>
      </c>
      <c r="C67" s="45"/>
      <c r="D67" s="45"/>
      <c r="E67" s="45"/>
      <c r="F67" s="46"/>
      <c r="G67" s="64"/>
      <c r="H67" s="76" t="str">
        <f>IFERROR(__xludf.DUMMYFUNCTION("IFERROR(VLOOKUP(E67,IMPORTRANGE(""https://docs.google.com/spreadsheets/d/1xZyKy-UzMmtPDLpV5jQdYum1LtbR8XKDuasLSjmBRMI/edit#gid=1241094406"",""COMBINED DATA!E3:L""),8,0))"),"")</f>
        <v/>
      </c>
      <c r="I67" s="76"/>
      <c r="J67" s="65"/>
      <c r="K67" s="85"/>
      <c r="L67" s="85"/>
      <c r="M67" s="85"/>
      <c r="N67" s="85" t="str">
        <f t="shared" si="7"/>
        <v/>
      </c>
      <c r="O67" s="89"/>
      <c r="P67" s="89"/>
      <c r="Q67" s="89"/>
      <c r="R67" s="89"/>
      <c r="S67" s="89"/>
      <c r="T67" s="89"/>
      <c r="U67" s="89"/>
      <c r="V67" s="89"/>
      <c r="W67" s="89"/>
      <c r="X67" s="89"/>
      <c r="Y67" s="89"/>
      <c r="Z67" s="89"/>
    </row>
    <row r="68" ht="15.75" customHeight="1">
      <c r="A68" s="67" t="str">
        <f t="shared" ref="A68:A75" si="44">$B$67&amp;C68</f>
        <v>Union3⁄4</v>
      </c>
      <c r="B68" s="68">
        <v>1.0</v>
      </c>
      <c r="C68" s="70" t="s">
        <v>51</v>
      </c>
      <c r="D68" s="70">
        <v>20.0</v>
      </c>
      <c r="E68" s="129" t="s">
        <v>248</v>
      </c>
      <c r="F68" s="56">
        <v>94.0</v>
      </c>
      <c r="G68" s="76">
        <f>IFERROR(__xludf.DUMMYFUNCTION("ArrayFormula(IFERROR(VLOOKUP(E68,IMPORTRANGE(""https://docs.google.com/spreadsheets/d/1xZyKy-UzMmtPDLpV5jQdYum1LtbR8XKDuasLSjmBRMI/edit#gid=1241094406"",""COMBINED DATA!E3:L""),{7,8},0)))"),0.06494)</f>
        <v>0.06494</v>
      </c>
      <c r="H68" s="76">
        <f>IFERROR(__xludf.DUMMYFUNCTION("""COMPUTED_VALUE"""),0.001)</f>
        <v>0.001</v>
      </c>
      <c r="I68" s="76">
        <f t="shared" ref="I68:I75" si="45">G68+H68</f>
        <v>0.06594</v>
      </c>
      <c r="J68" s="84">
        <f t="shared" ref="J68:J75" si="46">IFERROR(F68/$I68,"")</f>
        <v>1425.538368</v>
      </c>
      <c r="K68" s="85">
        <f t="shared" ref="K68:K75" si="47">IFERROR(G68*250,)</f>
        <v>16.235</v>
      </c>
      <c r="L68" s="85">
        <f t="shared" ref="L68:L75" si="48">IFERROR(H68*750,"")</f>
        <v>0.75</v>
      </c>
      <c r="M68" s="85">
        <f t="shared" ref="M68:M75" si="49">K68+L68</f>
        <v>16.985</v>
      </c>
      <c r="N68" s="85">
        <f t="shared" si="7"/>
        <v>5.534294966</v>
      </c>
      <c r="O68" s="87">
        <v>94.0</v>
      </c>
      <c r="P68" s="89"/>
      <c r="Q68" s="89"/>
      <c r="R68" s="89"/>
      <c r="S68" s="89"/>
      <c r="T68" s="89"/>
      <c r="U68" s="89"/>
      <c r="V68" s="89"/>
      <c r="W68" s="89"/>
      <c r="X68" s="89"/>
      <c r="Y68" s="89"/>
      <c r="Z68" s="89"/>
    </row>
    <row r="69" ht="15.75" customHeight="1">
      <c r="A69" s="67" t="str">
        <f t="shared" si="44"/>
        <v>Union1</v>
      </c>
      <c r="B69" s="90">
        <v>2.0</v>
      </c>
      <c r="C69" s="92">
        <v>1.0</v>
      </c>
      <c r="D69" s="92">
        <v>25.0</v>
      </c>
      <c r="E69" s="94" t="s">
        <v>251</v>
      </c>
      <c r="F69" s="56">
        <v>116.0</v>
      </c>
      <c r="G69" s="76">
        <f>IFERROR(__xludf.DUMMYFUNCTION("ArrayFormula(IFERROR(VLOOKUP(E69,IMPORTRANGE(""https://docs.google.com/spreadsheets/d/1xZyKy-UzMmtPDLpV5jQdYum1LtbR8XKDuasLSjmBRMI/edit#gid=1241094406"",""COMBINED DATA!E3:L""),{7,8},0)))"),0.095)</f>
        <v>0.095</v>
      </c>
      <c r="H69" s="76">
        <f>IFERROR(__xludf.DUMMYFUNCTION("""COMPUTED_VALUE"""),0.00145)</f>
        <v>0.00145</v>
      </c>
      <c r="I69" s="76">
        <f t="shared" si="45"/>
        <v>0.09645</v>
      </c>
      <c r="J69" s="84">
        <f t="shared" si="46"/>
        <v>1202.695697</v>
      </c>
      <c r="K69" s="85">
        <f t="shared" si="47"/>
        <v>23.75</v>
      </c>
      <c r="L69" s="85">
        <f t="shared" si="48"/>
        <v>1.0875</v>
      </c>
      <c r="M69" s="85">
        <f t="shared" si="49"/>
        <v>24.8375</v>
      </c>
      <c r="N69" s="85">
        <f t="shared" si="7"/>
        <v>4.670357323</v>
      </c>
      <c r="O69" s="87">
        <v>116.0</v>
      </c>
      <c r="P69" s="89"/>
      <c r="Q69" s="89"/>
      <c r="R69" s="89"/>
      <c r="S69" s="89"/>
      <c r="T69" s="89"/>
      <c r="U69" s="89"/>
      <c r="V69" s="89"/>
      <c r="W69" s="89"/>
      <c r="X69" s="89"/>
      <c r="Y69" s="89"/>
      <c r="Z69" s="89"/>
    </row>
    <row r="70" ht="15.75" customHeight="1">
      <c r="A70" s="67" t="str">
        <f t="shared" si="44"/>
        <v>Union1 1⁄4</v>
      </c>
      <c r="B70" s="90">
        <v>3.0</v>
      </c>
      <c r="C70" s="92" t="s">
        <v>55</v>
      </c>
      <c r="D70" s="92">
        <v>32.0</v>
      </c>
      <c r="E70" s="94" t="s">
        <v>252</v>
      </c>
      <c r="F70" s="56">
        <v>188.0</v>
      </c>
      <c r="G70" s="76">
        <f>IFERROR(__xludf.DUMMYFUNCTION("ArrayFormula(IFERROR(VLOOKUP(E70,IMPORTRANGE(""https://docs.google.com/spreadsheets/d/1xZyKy-UzMmtPDLpV5jQdYum1LtbR8XKDuasLSjmBRMI/edit#gid=1241094406"",""COMBINED DATA!E3:L""),{7,8},0)))"),0.14395)</f>
        <v>0.14395</v>
      </c>
      <c r="H70" s="76">
        <f>IFERROR(__xludf.DUMMYFUNCTION("""COMPUTED_VALUE"""),9.5E-4)</f>
        <v>0.00095</v>
      </c>
      <c r="I70" s="76">
        <f t="shared" si="45"/>
        <v>0.1449</v>
      </c>
      <c r="J70" s="84">
        <f t="shared" si="46"/>
        <v>1297.446515</v>
      </c>
      <c r="K70" s="85">
        <f t="shared" si="47"/>
        <v>35.9875</v>
      </c>
      <c r="L70" s="85">
        <f t="shared" si="48"/>
        <v>0.7125</v>
      </c>
      <c r="M70" s="85">
        <f t="shared" si="49"/>
        <v>36.7</v>
      </c>
      <c r="N70" s="85">
        <f t="shared" si="7"/>
        <v>5.122615804</v>
      </c>
      <c r="O70" s="87">
        <v>188.0</v>
      </c>
      <c r="P70" s="89"/>
      <c r="Q70" s="89"/>
      <c r="R70" s="89"/>
      <c r="S70" s="89"/>
      <c r="T70" s="89"/>
      <c r="U70" s="89"/>
      <c r="V70" s="89"/>
      <c r="W70" s="89"/>
      <c r="X70" s="89"/>
      <c r="Y70" s="89"/>
      <c r="Z70" s="89"/>
    </row>
    <row r="71" ht="15.75" customHeight="1">
      <c r="A71" s="67" t="str">
        <f t="shared" si="44"/>
        <v>Union1 1⁄2</v>
      </c>
      <c r="B71" s="90">
        <v>4.0</v>
      </c>
      <c r="C71" s="92" t="s">
        <v>56</v>
      </c>
      <c r="D71" s="92">
        <v>40.0</v>
      </c>
      <c r="E71" s="94" t="s">
        <v>254</v>
      </c>
      <c r="F71" s="56">
        <v>308.0</v>
      </c>
      <c r="G71" s="76">
        <f>IFERROR(__xludf.DUMMYFUNCTION("ArrayFormula(IFERROR(VLOOKUP(E71,IMPORTRANGE(""https://docs.google.com/spreadsheets/d/1xZyKy-UzMmtPDLpV5jQdYum1LtbR8XKDuasLSjmBRMI/edit#gid=1241094406"",""COMBINED DATA!E3:L""),{7,8},0)))"),0.16025)</f>
        <v>0.16025</v>
      </c>
      <c r="H71" s="76">
        <f>IFERROR(__xludf.DUMMYFUNCTION("""COMPUTED_VALUE"""),0.0011)</f>
        <v>0.0011</v>
      </c>
      <c r="I71" s="76">
        <f t="shared" si="45"/>
        <v>0.16135</v>
      </c>
      <c r="J71" s="84">
        <f t="shared" si="46"/>
        <v>1908.893709</v>
      </c>
      <c r="K71" s="85">
        <f t="shared" si="47"/>
        <v>40.0625</v>
      </c>
      <c r="L71" s="85">
        <f t="shared" si="48"/>
        <v>0.825</v>
      </c>
      <c r="M71" s="85">
        <f t="shared" si="49"/>
        <v>40.8875</v>
      </c>
      <c r="N71" s="85">
        <f t="shared" si="7"/>
        <v>7.532864567</v>
      </c>
      <c r="O71" s="87">
        <v>308.0</v>
      </c>
      <c r="P71" s="89"/>
      <c r="Q71" s="89"/>
      <c r="R71" s="89"/>
      <c r="S71" s="89"/>
      <c r="T71" s="89"/>
      <c r="U71" s="89"/>
      <c r="V71" s="89"/>
      <c r="W71" s="89"/>
      <c r="X71" s="89"/>
      <c r="Y71" s="89"/>
      <c r="Z71" s="89"/>
    </row>
    <row r="72" ht="15.75" customHeight="1">
      <c r="A72" s="67" t="str">
        <f t="shared" si="44"/>
        <v>Union2</v>
      </c>
      <c r="B72" s="90">
        <v>5.0</v>
      </c>
      <c r="C72" s="92">
        <v>2.0</v>
      </c>
      <c r="D72" s="92">
        <v>50.0</v>
      </c>
      <c r="E72" s="94" t="s">
        <v>255</v>
      </c>
      <c r="F72" s="56">
        <v>548.0</v>
      </c>
      <c r="G72" s="76">
        <f>IFERROR(__xludf.DUMMYFUNCTION("ArrayFormula(IFERROR(VLOOKUP(E72,IMPORTRANGE(""https://docs.google.com/spreadsheets/d/1xZyKy-UzMmtPDLpV5jQdYum1LtbR8XKDuasLSjmBRMI/edit#gid=1241094406"",""COMBINED DATA!E3:L""),{7,8},0)))"),0.28455)</f>
        <v>0.28455</v>
      </c>
      <c r="H72" s="76">
        <f>IFERROR(__xludf.DUMMYFUNCTION("""COMPUTED_VALUE"""),0.0025)</f>
        <v>0.0025</v>
      </c>
      <c r="I72" s="76">
        <f t="shared" si="45"/>
        <v>0.28705</v>
      </c>
      <c r="J72" s="84">
        <f t="shared" si="46"/>
        <v>1909.075074</v>
      </c>
      <c r="K72" s="85">
        <f t="shared" si="47"/>
        <v>71.1375</v>
      </c>
      <c r="L72" s="85">
        <f t="shared" si="48"/>
        <v>1.875</v>
      </c>
      <c r="M72" s="85">
        <f t="shared" si="49"/>
        <v>73.0125</v>
      </c>
      <c r="N72" s="85">
        <f t="shared" si="7"/>
        <v>7.505564116</v>
      </c>
      <c r="O72" s="87">
        <v>548.0</v>
      </c>
      <c r="P72" s="89"/>
      <c r="Q72" s="89"/>
      <c r="R72" s="89"/>
      <c r="S72" s="89"/>
      <c r="T72" s="89"/>
      <c r="U72" s="89"/>
      <c r="V72" s="89"/>
      <c r="W72" s="89"/>
      <c r="X72" s="89"/>
      <c r="Y72" s="89"/>
      <c r="Z72" s="89"/>
    </row>
    <row r="73" ht="15.75" customHeight="1">
      <c r="A73" s="67" t="str">
        <f t="shared" si="44"/>
        <v>Union2 1⁄2</v>
      </c>
      <c r="B73" s="90">
        <v>6.0</v>
      </c>
      <c r="C73" s="127" t="s">
        <v>69</v>
      </c>
      <c r="D73" s="127">
        <v>65.0</v>
      </c>
      <c r="E73" s="112" t="s">
        <v>257</v>
      </c>
      <c r="F73" s="56">
        <v>1184.0</v>
      </c>
      <c r="G73" s="76">
        <f>IFERROR(__xludf.DUMMYFUNCTION("ArrayFormula(IFERROR(VLOOKUP(E73,IMPORTRANGE(""https://docs.google.com/spreadsheets/d/1xZyKy-UzMmtPDLpV5jQdYum1LtbR8XKDuasLSjmBRMI/edit#gid=1241094406"",""COMBINED DATA!E3:L""),{7,8},0)))"),0.919)</f>
        <v>0.919</v>
      </c>
      <c r="H73" s="76">
        <f>IFERROR(__xludf.DUMMYFUNCTION("""COMPUTED_VALUE"""),0.0)</f>
        <v>0</v>
      </c>
      <c r="I73" s="76">
        <f t="shared" si="45"/>
        <v>0.919</v>
      </c>
      <c r="J73" s="84">
        <f t="shared" si="46"/>
        <v>1288.35691</v>
      </c>
      <c r="K73" s="85">
        <f t="shared" si="47"/>
        <v>229.75</v>
      </c>
      <c r="L73" s="85">
        <f t="shared" si="48"/>
        <v>0</v>
      </c>
      <c r="M73" s="85">
        <f t="shared" si="49"/>
        <v>229.75</v>
      </c>
      <c r="N73" s="85">
        <f t="shared" si="7"/>
        <v>5.153427639</v>
      </c>
      <c r="O73" s="60">
        <v>1184.0</v>
      </c>
      <c r="P73" s="89"/>
      <c r="Q73" s="89"/>
      <c r="R73" s="89"/>
      <c r="S73" s="89"/>
      <c r="T73" s="89"/>
      <c r="U73" s="89"/>
      <c r="V73" s="89"/>
      <c r="W73" s="89"/>
      <c r="X73" s="89"/>
      <c r="Y73" s="89"/>
      <c r="Z73" s="89"/>
    </row>
    <row r="74" ht="15.75" customHeight="1">
      <c r="A74" s="67" t="str">
        <f t="shared" si="44"/>
        <v>Union3</v>
      </c>
      <c r="B74" s="90">
        <v>7.0</v>
      </c>
      <c r="C74" s="127">
        <v>3.0</v>
      </c>
      <c r="D74" s="127">
        <v>80.0</v>
      </c>
      <c r="E74" s="112" t="s">
        <v>259</v>
      </c>
      <c r="F74" s="56">
        <v>1780.0</v>
      </c>
      <c r="G74" s="76">
        <f>IFERROR(__xludf.DUMMYFUNCTION("ArrayFormula(IFERROR(VLOOKUP(E74,IMPORTRANGE(""https://docs.google.com/spreadsheets/d/1xZyKy-UzMmtPDLpV5jQdYum1LtbR8XKDuasLSjmBRMI/edit#gid=1241094406"",""COMBINED DATA!E3:L""),{7,8},0)))"),0.0)</f>
        <v>0</v>
      </c>
      <c r="H74" s="76">
        <f>IFERROR(__xludf.DUMMYFUNCTION("""COMPUTED_VALUE"""),0.0)</f>
        <v>0</v>
      </c>
      <c r="I74" s="76">
        <f t="shared" si="45"/>
        <v>0</v>
      </c>
      <c r="J74" s="84" t="str">
        <f t="shared" si="46"/>
        <v/>
      </c>
      <c r="K74" s="85">
        <f t="shared" si="47"/>
        <v>0</v>
      </c>
      <c r="L74" s="85">
        <f t="shared" si="48"/>
        <v>0</v>
      </c>
      <c r="M74" s="85">
        <f t="shared" si="49"/>
        <v>0</v>
      </c>
      <c r="N74" s="85" t="str">
        <f t="shared" si="7"/>
        <v/>
      </c>
      <c r="O74" s="60">
        <v>1780.0</v>
      </c>
      <c r="P74" s="89"/>
      <c r="Q74" s="89"/>
      <c r="R74" s="89"/>
      <c r="S74" s="89"/>
      <c r="T74" s="89"/>
      <c r="U74" s="89"/>
      <c r="V74" s="89"/>
      <c r="W74" s="89"/>
      <c r="X74" s="89"/>
      <c r="Y74" s="89"/>
      <c r="Z74" s="89"/>
    </row>
    <row r="75" ht="15.75" customHeight="1">
      <c r="A75" s="67" t="str">
        <f t="shared" si="44"/>
        <v>Union4</v>
      </c>
      <c r="B75" s="90">
        <v>8.0</v>
      </c>
      <c r="C75" s="127">
        <v>4.0</v>
      </c>
      <c r="D75" s="127">
        <v>100.0</v>
      </c>
      <c r="E75" s="112" t="s">
        <v>261</v>
      </c>
      <c r="F75" s="56">
        <v>2990.0</v>
      </c>
      <c r="G75" s="76">
        <f>IFERROR(__xludf.DUMMYFUNCTION("ArrayFormula(IFERROR(VLOOKUP(E75,IMPORTRANGE(""https://docs.google.com/spreadsheets/d/1xZyKy-UzMmtPDLpV5jQdYum1LtbR8XKDuasLSjmBRMI/edit#gid=1241094406"",""COMBINED DATA!E3:L""),{7,8},0)))"),2.389)</f>
        <v>2.389</v>
      </c>
      <c r="H75" s="76">
        <f>IFERROR(__xludf.DUMMYFUNCTION("""COMPUTED_VALUE"""),0.009)</f>
        <v>0.009</v>
      </c>
      <c r="I75" s="76">
        <f t="shared" si="45"/>
        <v>2.398</v>
      </c>
      <c r="J75" s="84">
        <f t="shared" si="46"/>
        <v>1246.872394</v>
      </c>
      <c r="K75" s="85">
        <f t="shared" si="47"/>
        <v>597.25</v>
      </c>
      <c r="L75" s="85">
        <f t="shared" si="48"/>
        <v>6.75</v>
      </c>
      <c r="M75" s="85">
        <f t="shared" si="49"/>
        <v>604</v>
      </c>
      <c r="N75" s="85">
        <f t="shared" si="7"/>
        <v>4.950331126</v>
      </c>
      <c r="O75" s="60">
        <v>2990.0</v>
      </c>
      <c r="P75" s="89"/>
      <c r="Q75" s="89"/>
      <c r="R75" s="89"/>
      <c r="S75" s="89"/>
      <c r="T75" s="89"/>
      <c r="U75" s="89"/>
      <c r="V75" s="89"/>
      <c r="W75" s="89"/>
      <c r="X75" s="89"/>
      <c r="Y75" s="89"/>
      <c r="Z75" s="89"/>
    </row>
    <row r="76">
      <c r="A76" s="100"/>
      <c r="B76" s="102" t="s">
        <v>11</v>
      </c>
      <c r="C76" s="45"/>
      <c r="D76" s="45"/>
      <c r="E76" s="46"/>
      <c r="F76" s="103">
        <f>sum(F68:F75)</f>
        <v>7208</v>
      </c>
      <c r="G76" s="104"/>
      <c r="H76" s="76" t="str">
        <f>IFERROR(__xludf.DUMMYFUNCTION("IFERROR(VLOOKUP(E76,IMPORTRANGE(""https://docs.google.com/spreadsheets/d/1xZyKy-UzMmtPDLpV5jQdYum1LtbR8XKDuasLSjmBRMI/edit#gid=1241094406"",""COMBINED DATA!E3:L""),8,0))"),"")</f>
        <v/>
      </c>
      <c r="I76" s="76"/>
      <c r="J76" s="116"/>
      <c r="K76" s="85"/>
      <c r="L76" s="85"/>
      <c r="M76" s="85"/>
      <c r="N76" s="85" t="str">
        <f t="shared" si="7"/>
        <v/>
      </c>
      <c r="O76" s="103">
        <f>sum(O68:O75)</f>
        <v>7208</v>
      </c>
      <c r="P76" s="89"/>
      <c r="Q76" s="89"/>
      <c r="R76" s="89"/>
      <c r="S76" s="89"/>
      <c r="T76" s="89"/>
      <c r="U76" s="89"/>
      <c r="V76" s="89"/>
      <c r="W76" s="89"/>
      <c r="X76" s="89"/>
      <c r="Y76" s="89"/>
      <c r="Z76" s="89"/>
    </row>
    <row r="77" ht="5.25" customHeight="1">
      <c r="A77" s="34"/>
      <c r="B77" s="119"/>
      <c r="C77" s="120"/>
      <c r="D77" s="120"/>
      <c r="E77" s="121"/>
      <c r="F77" s="107"/>
      <c r="G77" s="64"/>
      <c r="H77" s="76" t="str">
        <f>IFERROR(__xludf.DUMMYFUNCTION("IFERROR(VLOOKUP(E77,IMPORTRANGE(""https://docs.google.com/spreadsheets/d/1xZyKy-UzMmtPDLpV5jQdYum1LtbR8XKDuasLSjmBRMI/edit#gid=1241094406"",""COMBINED DATA!E3:L""),8,0))"),"")</f>
        <v/>
      </c>
      <c r="I77" s="76"/>
      <c r="J77" s="65"/>
      <c r="K77" s="85"/>
      <c r="L77" s="85"/>
      <c r="M77" s="85"/>
      <c r="N77" s="85" t="str">
        <f t="shared" si="7"/>
        <v/>
      </c>
      <c r="O77" s="89"/>
      <c r="P77" s="89"/>
      <c r="Q77" s="89"/>
      <c r="R77" s="89"/>
      <c r="S77" s="89"/>
      <c r="T77" s="89"/>
      <c r="U77" s="89"/>
      <c r="V77" s="89"/>
      <c r="W77" s="89"/>
      <c r="X77" s="89"/>
      <c r="Y77" s="89"/>
      <c r="Z77" s="89"/>
    </row>
    <row r="78" ht="22.5" customHeight="1">
      <c r="A78" s="34"/>
      <c r="B78" s="62" t="s">
        <v>263</v>
      </c>
      <c r="C78" s="45"/>
      <c r="D78" s="45"/>
      <c r="E78" s="45"/>
      <c r="F78" s="46"/>
      <c r="G78" s="64"/>
      <c r="H78" s="76" t="str">
        <f>IFERROR(__xludf.DUMMYFUNCTION("IFERROR(VLOOKUP(E78,IMPORTRANGE(""https://docs.google.com/spreadsheets/d/1xZyKy-UzMmtPDLpV5jQdYum1LtbR8XKDuasLSjmBRMI/edit#gid=1241094406"",""COMBINED DATA!E3:L""),8,0))"),"")</f>
        <v/>
      </c>
      <c r="I78" s="76"/>
      <c r="J78" s="65"/>
      <c r="K78" s="85"/>
      <c r="L78" s="85"/>
      <c r="M78" s="85"/>
      <c r="N78" s="85" t="str">
        <f t="shared" si="7"/>
        <v/>
      </c>
      <c r="O78" s="89"/>
      <c r="P78" s="89"/>
      <c r="Q78" s="89"/>
      <c r="R78" s="89"/>
      <c r="S78" s="89"/>
      <c r="T78" s="89"/>
      <c r="U78" s="89"/>
      <c r="V78" s="89"/>
      <c r="W78" s="89"/>
      <c r="X78" s="89"/>
      <c r="Y78" s="89"/>
      <c r="Z78" s="89"/>
    </row>
    <row r="79" ht="15.75" customHeight="1">
      <c r="A79" s="67" t="str">
        <f t="shared" ref="A79:A84" si="50">$B$78&amp;C79</f>
        <v>Coupling1⁄2</v>
      </c>
      <c r="B79" s="68">
        <v>1.0</v>
      </c>
      <c r="C79" s="110" t="s">
        <v>43</v>
      </c>
      <c r="D79" s="110">
        <v>15.0</v>
      </c>
      <c r="E79" s="111" t="s">
        <v>265</v>
      </c>
      <c r="F79" s="56">
        <v>14.8</v>
      </c>
      <c r="G79" s="76">
        <f>IFERROR(__xludf.DUMMYFUNCTION("ArrayFormula(IFERROR(VLOOKUP(E79,IMPORTRANGE(""https://docs.google.com/spreadsheets/d/1xZyKy-UzMmtPDLpV5jQdYum1LtbR8XKDuasLSjmBRMI/edit#gid=1241094406"",""COMBINED DATA!E3:L""),{7,8},0)))"),0.00725)</f>
        <v>0.00725</v>
      </c>
      <c r="H79" s="76">
        <f>IFERROR(__xludf.DUMMYFUNCTION("""COMPUTED_VALUE"""),0.0)</f>
        <v>0</v>
      </c>
      <c r="I79" s="76">
        <f t="shared" ref="I79:I84" si="51">G79+H79</f>
        <v>0.00725</v>
      </c>
      <c r="J79" s="84">
        <f t="shared" ref="J79:J84" si="52">IFERROR(F79/$I79,"")</f>
        <v>2041.37931</v>
      </c>
      <c r="K79" s="85">
        <f t="shared" ref="K79:K84" si="53">IFERROR(G79*250,)</f>
        <v>1.8125</v>
      </c>
      <c r="L79" s="85">
        <f t="shared" ref="L79:L84" si="54">IFERROR(H79*750,"")</f>
        <v>0</v>
      </c>
      <c r="M79" s="85">
        <f t="shared" ref="M79:M84" si="55">K79+L79</f>
        <v>1.8125</v>
      </c>
      <c r="N79" s="85">
        <f t="shared" si="7"/>
        <v>8.165517241</v>
      </c>
      <c r="O79" s="87">
        <v>14.8</v>
      </c>
      <c r="P79" s="89"/>
      <c r="Q79" s="89"/>
      <c r="R79" s="89"/>
      <c r="S79" s="89"/>
      <c r="T79" s="89"/>
      <c r="U79" s="89"/>
      <c r="V79" s="89"/>
      <c r="W79" s="89"/>
      <c r="X79" s="89"/>
      <c r="Y79" s="89"/>
      <c r="Z79" s="89"/>
    </row>
    <row r="80" ht="15.75" customHeight="1">
      <c r="A80" s="67" t="str">
        <f t="shared" si="50"/>
        <v>Coupling3⁄4</v>
      </c>
      <c r="B80" s="90">
        <v>2.0</v>
      </c>
      <c r="C80" s="127" t="s">
        <v>51</v>
      </c>
      <c r="D80" s="127">
        <v>20.0</v>
      </c>
      <c r="E80" s="112" t="s">
        <v>268</v>
      </c>
      <c r="F80" s="56">
        <v>17.4</v>
      </c>
      <c r="G80" s="76">
        <f>IFERROR(__xludf.DUMMYFUNCTION("ArrayFormula(IFERROR(VLOOKUP(E80,IMPORTRANGE(""https://docs.google.com/spreadsheets/d/1xZyKy-UzMmtPDLpV5jQdYum1LtbR8XKDuasLSjmBRMI/edit#gid=1241094406"",""COMBINED DATA!E3:L""),{7,8},0)))"),0.0135)</f>
        <v>0.0135</v>
      </c>
      <c r="H80" s="76">
        <f>IFERROR(__xludf.DUMMYFUNCTION("""COMPUTED_VALUE"""),0.0)</f>
        <v>0</v>
      </c>
      <c r="I80" s="76">
        <f t="shared" si="51"/>
        <v>0.0135</v>
      </c>
      <c r="J80" s="84">
        <f t="shared" si="52"/>
        <v>1288.888889</v>
      </c>
      <c r="K80" s="85">
        <f t="shared" si="53"/>
        <v>3.375</v>
      </c>
      <c r="L80" s="85">
        <f t="shared" si="54"/>
        <v>0</v>
      </c>
      <c r="M80" s="85">
        <f t="shared" si="55"/>
        <v>3.375</v>
      </c>
      <c r="N80" s="85">
        <f t="shared" si="7"/>
        <v>5.155555556</v>
      </c>
      <c r="O80" s="87">
        <v>17.4</v>
      </c>
      <c r="P80" s="89"/>
      <c r="Q80" s="89"/>
      <c r="R80" s="89"/>
      <c r="S80" s="89"/>
      <c r="T80" s="89"/>
      <c r="U80" s="89"/>
      <c r="V80" s="89"/>
      <c r="W80" s="89"/>
      <c r="X80" s="89"/>
      <c r="Y80" s="89"/>
      <c r="Z80" s="89"/>
    </row>
    <row r="81" ht="15.75" customHeight="1">
      <c r="A81" s="67" t="str">
        <f t="shared" si="50"/>
        <v>Coupling1</v>
      </c>
      <c r="B81" s="90">
        <v>3.0</v>
      </c>
      <c r="C81" s="127" t="s">
        <v>84</v>
      </c>
      <c r="D81" s="127">
        <v>25.0</v>
      </c>
      <c r="E81" s="112" t="s">
        <v>269</v>
      </c>
      <c r="F81" s="56">
        <v>28.4</v>
      </c>
      <c r="G81" s="76">
        <f>IFERROR(__xludf.DUMMYFUNCTION("ArrayFormula(IFERROR(VLOOKUP(E81,IMPORTRANGE(""https://docs.google.com/spreadsheets/d/1xZyKy-UzMmtPDLpV5jQdYum1LtbR8XKDuasLSjmBRMI/edit#gid=1241094406"",""COMBINED DATA!E3:L""),{7,8},0)))"),0.020399999999999998)</f>
        <v>0.0204</v>
      </c>
      <c r="H81" s="76">
        <f>IFERROR(__xludf.DUMMYFUNCTION("""COMPUTED_VALUE"""),0.0)</f>
        <v>0</v>
      </c>
      <c r="I81" s="76">
        <f t="shared" si="51"/>
        <v>0.0204</v>
      </c>
      <c r="J81" s="84">
        <f t="shared" si="52"/>
        <v>1392.156863</v>
      </c>
      <c r="K81" s="85">
        <f t="shared" si="53"/>
        <v>5.1</v>
      </c>
      <c r="L81" s="85">
        <f t="shared" si="54"/>
        <v>0</v>
      </c>
      <c r="M81" s="85">
        <f t="shared" si="55"/>
        <v>5.1</v>
      </c>
      <c r="N81" s="85">
        <f t="shared" si="7"/>
        <v>5.568627451</v>
      </c>
      <c r="O81" s="87">
        <v>28.4</v>
      </c>
      <c r="P81" s="89"/>
      <c r="Q81" s="89"/>
      <c r="R81" s="89"/>
      <c r="S81" s="89"/>
      <c r="T81" s="89"/>
      <c r="U81" s="89"/>
      <c r="V81" s="89"/>
      <c r="W81" s="89"/>
      <c r="X81" s="89"/>
      <c r="Y81" s="89"/>
      <c r="Z81" s="89"/>
    </row>
    <row r="82" ht="15.75" customHeight="1">
      <c r="A82" s="67" t="str">
        <f t="shared" si="50"/>
        <v>Coupling1 1⁄4</v>
      </c>
      <c r="B82" s="90">
        <v>4.0</v>
      </c>
      <c r="C82" s="127" t="s">
        <v>55</v>
      </c>
      <c r="D82" s="127">
        <v>32.0</v>
      </c>
      <c r="E82" s="112" t="s">
        <v>271</v>
      </c>
      <c r="F82" s="56">
        <v>56.6</v>
      </c>
      <c r="G82" s="76">
        <f>IFERROR(__xludf.DUMMYFUNCTION("ArrayFormula(IFERROR(VLOOKUP(E82,IMPORTRANGE(""https://docs.google.com/spreadsheets/d/1xZyKy-UzMmtPDLpV5jQdYum1LtbR8XKDuasLSjmBRMI/edit#gid=1241094406"",""COMBINED DATA!E3:L""),{7,8},0)))"),0.0364)</f>
        <v>0.0364</v>
      </c>
      <c r="H82" s="76">
        <f>IFERROR(__xludf.DUMMYFUNCTION("""COMPUTED_VALUE"""),0.0)</f>
        <v>0</v>
      </c>
      <c r="I82" s="76">
        <f t="shared" si="51"/>
        <v>0.0364</v>
      </c>
      <c r="J82" s="84">
        <f t="shared" si="52"/>
        <v>1554.945055</v>
      </c>
      <c r="K82" s="85">
        <f t="shared" si="53"/>
        <v>9.1</v>
      </c>
      <c r="L82" s="85">
        <f t="shared" si="54"/>
        <v>0</v>
      </c>
      <c r="M82" s="85">
        <f t="shared" si="55"/>
        <v>9.1</v>
      </c>
      <c r="N82" s="85">
        <f t="shared" si="7"/>
        <v>6.21978022</v>
      </c>
      <c r="O82" s="87">
        <v>56.6</v>
      </c>
      <c r="P82" s="89"/>
      <c r="Q82" s="89"/>
      <c r="R82" s="89"/>
      <c r="S82" s="89"/>
      <c r="T82" s="89"/>
      <c r="U82" s="89"/>
      <c r="V82" s="89"/>
      <c r="W82" s="89"/>
      <c r="X82" s="89"/>
      <c r="Y82" s="89"/>
      <c r="Z82" s="89"/>
    </row>
    <row r="83" ht="15.75" customHeight="1">
      <c r="A83" s="67" t="str">
        <f t="shared" si="50"/>
        <v>Coupling1 1⁄2</v>
      </c>
      <c r="B83" s="90">
        <v>5.0</v>
      </c>
      <c r="C83" s="127" t="s">
        <v>56</v>
      </c>
      <c r="D83" s="127">
        <v>40.0</v>
      </c>
      <c r="E83" s="112" t="s">
        <v>272</v>
      </c>
      <c r="F83" s="56">
        <v>99.8</v>
      </c>
      <c r="G83" s="76">
        <f>IFERROR(__xludf.DUMMYFUNCTION("ArrayFormula(IFERROR(VLOOKUP(E83,IMPORTRANGE(""https://docs.google.com/spreadsheets/d/1xZyKy-UzMmtPDLpV5jQdYum1LtbR8XKDuasLSjmBRMI/edit#gid=1241094406"",""COMBINED DATA!E3:L""),{7,8},0)))"),0.060899999999999996)</f>
        <v>0.0609</v>
      </c>
      <c r="H83" s="76">
        <f>IFERROR(__xludf.DUMMYFUNCTION("""COMPUTED_VALUE"""),0.0)</f>
        <v>0</v>
      </c>
      <c r="I83" s="76">
        <f t="shared" si="51"/>
        <v>0.0609</v>
      </c>
      <c r="J83" s="84">
        <f t="shared" si="52"/>
        <v>1638.752053</v>
      </c>
      <c r="K83" s="85">
        <f t="shared" si="53"/>
        <v>15.225</v>
      </c>
      <c r="L83" s="85">
        <f t="shared" si="54"/>
        <v>0</v>
      </c>
      <c r="M83" s="85">
        <f t="shared" si="55"/>
        <v>15.225</v>
      </c>
      <c r="N83" s="85">
        <f t="shared" si="7"/>
        <v>6.55500821</v>
      </c>
      <c r="O83" s="87">
        <v>99.8</v>
      </c>
      <c r="P83" s="89"/>
      <c r="Q83" s="89"/>
      <c r="R83" s="89"/>
      <c r="S83" s="89"/>
      <c r="T83" s="89"/>
      <c r="U83" s="89"/>
      <c r="V83" s="89"/>
      <c r="W83" s="89"/>
      <c r="X83" s="89"/>
      <c r="Y83" s="89"/>
      <c r="Z83" s="89"/>
    </row>
    <row r="84" ht="15.75" customHeight="1">
      <c r="A84" s="67" t="str">
        <f t="shared" si="50"/>
        <v>Coupling2</v>
      </c>
      <c r="B84" s="90">
        <v>6.0</v>
      </c>
      <c r="C84" s="127" t="s">
        <v>107</v>
      </c>
      <c r="D84" s="127">
        <v>50.0</v>
      </c>
      <c r="E84" s="112" t="s">
        <v>274</v>
      </c>
      <c r="F84" s="56">
        <v>218.0</v>
      </c>
      <c r="G84" s="76">
        <f>IFERROR(__xludf.DUMMYFUNCTION("ArrayFormula(IFERROR(VLOOKUP(E84,IMPORTRANGE(""https://docs.google.com/spreadsheets/d/1xZyKy-UzMmtPDLpV5jQdYum1LtbR8XKDuasLSjmBRMI/edit#gid=1241094406"",""COMBINED DATA!E3:L""),{7,8},0)))"),0.133)</f>
        <v>0.133</v>
      </c>
      <c r="H84" s="76">
        <f>IFERROR(__xludf.DUMMYFUNCTION("""COMPUTED_VALUE"""),0.0)</f>
        <v>0</v>
      </c>
      <c r="I84" s="76">
        <f t="shared" si="51"/>
        <v>0.133</v>
      </c>
      <c r="J84" s="84">
        <f t="shared" si="52"/>
        <v>1639.097744</v>
      </c>
      <c r="K84" s="85">
        <f t="shared" si="53"/>
        <v>33.25</v>
      </c>
      <c r="L84" s="85">
        <f t="shared" si="54"/>
        <v>0</v>
      </c>
      <c r="M84" s="85">
        <f t="shared" si="55"/>
        <v>33.25</v>
      </c>
      <c r="N84" s="85">
        <f t="shared" si="7"/>
        <v>6.556390977</v>
      </c>
      <c r="O84" s="87">
        <v>218.0</v>
      </c>
      <c r="P84" s="89"/>
      <c r="Q84" s="89"/>
      <c r="R84" s="89"/>
      <c r="S84" s="89"/>
      <c r="T84" s="89"/>
      <c r="U84" s="89"/>
      <c r="V84" s="89"/>
      <c r="W84" s="89"/>
      <c r="X84" s="89"/>
      <c r="Y84" s="89"/>
      <c r="Z84" s="89"/>
    </row>
    <row r="85">
      <c r="A85" s="100"/>
      <c r="B85" s="102" t="s">
        <v>11</v>
      </c>
      <c r="C85" s="45"/>
      <c r="D85" s="45"/>
      <c r="E85" s="46"/>
      <c r="F85" s="103">
        <f>SUM(F79:F84)</f>
        <v>435</v>
      </c>
      <c r="G85" s="104"/>
      <c r="H85" s="76" t="str">
        <f>IFERROR(__xludf.DUMMYFUNCTION("IFERROR(VLOOKUP(E85,IMPORTRANGE(""https://docs.google.com/spreadsheets/d/1xZyKy-UzMmtPDLpV5jQdYum1LtbR8XKDuasLSjmBRMI/edit#gid=1241094406"",""COMBINED DATA!E3:L""),8,0))"),"")</f>
        <v/>
      </c>
      <c r="I85" s="76"/>
      <c r="J85" s="116"/>
      <c r="K85" s="85"/>
      <c r="L85" s="85"/>
      <c r="M85" s="85"/>
      <c r="N85" s="85" t="str">
        <f t="shared" si="7"/>
        <v/>
      </c>
      <c r="O85" s="103">
        <f>SUM(O79:O84)</f>
        <v>435</v>
      </c>
      <c r="P85" s="89"/>
      <c r="Q85" s="89"/>
      <c r="R85" s="89"/>
      <c r="S85" s="89"/>
      <c r="T85" s="89"/>
      <c r="U85" s="89"/>
      <c r="V85" s="89"/>
      <c r="W85" s="89"/>
      <c r="X85" s="89"/>
      <c r="Y85" s="89"/>
      <c r="Z85" s="89"/>
    </row>
    <row r="86" ht="4.5" customHeight="1">
      <c r="A86" s="34"/>
      <c r="B86" s="119"/>
      <c r="C86" s="120"/>
      <c r="D86" s="120"/>
      <c r="E86" s="121"/>
      <c r="F86" s="107"/>
      <c r="G86" s="64"/>
      <c r="H86" s="76" t="str">
        <f>IFERROR(__xludf.DUMMYFUNCTION("IFERROR(VLOOKUP(E86,IMPORTRANGE(""https://docs.google.com/spreadsheets/d/1xZyKy-UzMmtPDLpV5jQdYum1LtbR8XKDuasLSjmBRMI/edit#gid=1241094406"",""COMBINED DATA!E3:L""),8,0))"),"")</f>
        <v/>
      </c>
      <c r="I86" s="76"/>
      <c r="J86" s="65"/>
      <c r="K86" s="85"/>
      <c r="L86" s="85"/>
      <c r="M86" s="85"/>
      <c r="N86" s="85" t="str">
        <f t="shared" si="7"/>
        <v/>
      </c>
      <c r="O86" s="89"/>
      <c r="P86" s="89"/>
      <c r="Q86" s="89"/>
      <c r="R86" s="89"/>
      <c r="S86" s="89"/>
      <c r="T86" s="89"/>
      <c r="U86" s="89"/>
      <c r="V86" s="89"/>
      <c r="W86" s="89"/>
      <c r="X86" s="89"/>
      <c r="Y86" s="89"/>
      <c r="Z86" s="89"/>
    </row>
    <row r="87" ht="22.5" customHeight="1">
      <c r="A87" s="34"/>
      <c r="B87" s="62" t="s">
        <v>276</v>
      </c>
      <c r="C87" s="45"/>
      <c r="D87" s="45"/>
      <c r="E87" s="45"/>
      <c r="F87" s="46"/>
      <c r="G87" s="64"/>
      <c r="H87" s="76" t="str">
        <f>IFERROR(__xludf.DUMMYFUNCTION("IFERROR(VLOOKUP(E87,IMPORTRANGE(""https://docs.google.com/spreadsheets/d/1xZyKy-UzMmtPDLpV5jQdYum1LtbR8XKDuasLSjmBRMI/edit#gid=1241094406"",""COMBINED DATA!E3:L""),8,0))"),"")</f>
        <v/>
      </c>
      <c r="I87" s="76"/>
      <c r="J87" s="65"/>
      <c r="K87" s="85"/>
      <c r="L87" s="85"/>
      <c r="M87" s="85"/>
      <c r="N87" s="85" t="str">
        <f t="shared" si="7"/>
        <v/>
      </c>
      <c r="O87" s="89"/>
      <c r="P87" s="89"/>
      <c r="Q87" s="89"/>
      <c r="R87" s="89"/>
      <c r="S87" s="89"/>
      <c r="T87" s="89"/>
      <c r="U87" s="89"/>
      <c r="V87" s="89"/>
      <c r="W87" s="89"/>
      <c r="X87" s="89"/>
      <c r="Y87" s="89"/>
      <c r="Z87" s="89"/>
    </row>
    <row r="88" ht="15.75" customHeight="1">
      <c r="A88" s="67" t="str">
        <f t="shared" ref="A88:A90" si="56">$B$87&amp;C88</f>
        <v>Coupling (Sch-80)2 1⁄2</v>
      </c>
      <c r="B88" s="68">
        <v>1.0</v>
      </c>
      <c r="C88" s="110" t="s">
        <v>69</v>
      </c>
      <c r="D88" s="110">
        <v>65.0</v>
      </c>
      <c r="E88" s="111" t="s">
        <v>278</v>
      </c>
      <c r="F88" s="56">
        <v>618.0</v>
      </c>
      <c r="G88" s="76">
        <f>IFERROR(__xludf.DUMMYFUNCTION("ArrayFormula(IFERROR(VLOOKUP(E88,IMPORTRANGE(""https://docs.google.com/spreadsheets/d/1xZyKy-UzMmtPDLpV5jQdYum1LtbR8XKDuasLSjmBRMI/edit#gid=1241094406"",""COMBINED DATA!E3:L""),{7,8},0)))"),0.30789999999999995)</f>
        <v>0.3079</v>
      </c>
      <c r="H88" s="76">
        <f>IFERROR(__xludf.DUMMYFUNCTION("""COMPUTED_VALUE"""),0.0)</f>
        <v>0</v>
      </c>
      <c r="I88" s="76">
        <f t="shared" ref="I88:I90" si="57">G88+H88</f>
        <v>0.3079</v>
      </c>
      <c r="J88" s="84">
        <f t="shared" ref="J88:J90" si="58">IFERROR(F88/$I88,"")</f>
        <v>2007.145177</v>
      </c>
      <c r="K88" s="85">
        <f t="shared" ref="K88:K90" si="59">IFERROR(G88*250,)</f>
        <v>76.975</v>
      </c>
      <c r="L88" s="85">
        <f t="shared" ref="L88:L90" si="60">IFERROR(H88*750,"")</f>
        <v>0</v>
      </c>
      <c r="M88" s="85">
        <f t="shared" ref="M88:M90" si="61">K88+L88</f>
        <v>76.975</v>
      </c>
      <c r="N88" s="85">
        <f t="shared" si="7"/>
        <v>8.028580708</v>
      </c>
      <c r="O88" s="60">
        <v>618.0</v>
      </c>
      <c r="P88" s="89"/>
      <c r="Q88" s="89"/>
      <c r="R88" s="89"/>
      <c r="S88" s="89"/>
      <c r="T88" s="89"/>
      <c r="U88" s="89"/>
      <c r="V88" s="89"/>
      <c r="W88" s="89"/>
      <c r="X88" s="89"/>
      <c r="Y88" s="89"/>
      <c r="Z88" s="89"/>
    </row>
    <row r="89" ht="15.75" customHeight="1">
      <c r="A89" s="67" t="str">
        <f t="shared" si="56"/>
        <v>Coupling (Sch-80)3</v>
      </c>
      <c r="B89" s="90">
        <v>2.0</v>
      </c>
      <c r="C89" s="127">
        <v>3.0</v>
      </c>
      <c r="D89" s="127">
        <v>80.0</v>
      </c>
      <c r="E89" s="112" t="s">
        <v>282</v>
      </c>
      <c r="F89" s="56">
        <v>892.0</v>
      </c>
      <c r="G89" s="76">
        <f>IFERROR(__xludf.DUMMYFUNCTION("ArrayFormula(IFERROR(VLOOKUP(E89,IMPORTRANGE(""https://docs.google.com/spreadsheets/d/1xZyKy-UzMmtPDLpV5jQdYum1LtbR8XKDuasLSjmBRMI/edit#gid=1241094406"",""COMBINED DATA!E3:L""),{7,8},0)))"),0.4385)</f>
        <v>0.4385</v>
      </c>
      <c r="H89" s="76">
        <f>IFERROR(__xludf.DUMMYFUNCTION("""COMPUTED_VALUE"""),0.0)</f>
        <v>0</v>
      </c>
      <c r="I89" s="76">
        <f t="shared" si="57"/>
        <v>0.4385</v>
      </c>
      <c r="J89" s="84">
        <f t="shared" si="58"/>
        <v>2034.207526</v>
      </c>
      <c r="K89" s="85">
        <f t="shared" si="59"/>
        <v>109.625</v>
      </c>
      <c r="L89" s="85">
        <f t="shared" si="60"/>
        <v>0</v>
      </c>
      <c r="M89" s="85">
        <f t="shared" si="61"/>
        <v>109.625</v>
      </c>
      <c r="N89" s="85">
        <f t="shared" si="7"/>
        <v>8.136830103</v>
      </c>
      <c r="O89" s="60">
        <v>892.0</v>
      </c>
      <c r="P89" s="89"/>
      <c r="Q89" s="89"/>
      <c r="R89" s="89"/>
      <c r="S89" s="89"/>
      <c r="T89" s="89"/>
      <c r="U89" s="89"/>
      <c r="V89" s="89"/>
      <c r="W89" s="89"/>
      <c r="X89" s="89"/>
      <c r="Y89" s="89"/>
      <c r="Z89" s="89"/>
    </row>
    <row r="90" ht="15.75" customHeight="1">
      <c r="A90" s="67" t="str">
        <f t="shared" si="56"/>
        <v>Coupling (Sch-80)4</v>
      </c>
      <c r="B90" s="90">
        <v>3.0</v>
      </c>
      <c r="C90" s="127">
        <v>4.0</v>
      </c>
      <c r="D90" s="127">
        <v>100.0</v>
      </c>
      <c r="E90" s="112" t="s">
        <v>283</v>
      </c>
      <c r="F90" s="56">
        <v>1348.0</v>
      </c>
      <c r="G90" s="76">
        <f>IFERROR(__xludf.DUMMYFUNCTION("ArrayFormula(IFERROR(VLOOKUP(E90,IMPORTRANGE(""https://docs.google.com/spreadsheets/d/1xZyKy-UzMmtPDLpV5jQdYum1LtbR8XKDuasLSjmBRMI/edit#gid=1241094406"",""COMBINED DATA!E3:L""),{7,8},0)))"),0.6595)</f>
        <v>0.6595</v>
      </c>
      <c r="H90" s="76">
        <f>IFERROR(__xludf.DUMMYFUNCTION("""COMPUTED_VALUE"""),0.0)</f>
        <v>0</v>
      </c>
      <c r="I90" s="76">
        <f t="shared" si="57"/>
        <v>0.6595</v>
      </c>
      <c r="J90" s="84">
        <f t="shared" si="58"/>
        <v>2043.972707</v>
      </c>
      <c r="K90" s="85">
        <f t="shared" si="59"/>
        <v>164.875</v>
      </c>
      <c r="L90" s="85">
        <f t="shared" si="60"/>
        <v>0</v>
      </c>
      <c r="M90" s="85">
        <f t="shared" si="61"/>
        <v>164.875</v>
      </c>
      <c r="N90" s="85">
        <f t="shared" si="7"/>
        <v>8.175890826</v>
      </c>
      <c r="O90" s="60">
        <v>1348.0</v>
      </c>
      <c r="P90" s="89"/>
      <c r="Q90" s="89"/>
      <c r="R90" s="89"/>
      <c r="S90" s="89"/>
      <c r="T90" s="89"/>
      <c r="U90" s="89"/>
      <c r="V90" s="89"/>
      <c r="W90" s="89"/>
      <c r="X90" s="89"/>
      <c r="Y90" s="89"/>
      <c r="Z90" s="89"/>
    </row>
    <row r="91">
      <c r="A91" s="100"/>
      <c r="B91" s="102" t="s">
        <v>11</v>
      </c>
      <c r="C91" s="45"/>
      <c r="D91" s="45"/>
      <c r="E91" s="46"/>
      <c r="F91" s="131">
        <f>SUM(F88:F90)</f>
        <v>2858</v>
      </c>
      <c r="G91" s="104"/>
      <c r="H91" s="76" t="str">
        <f>IFERROR(__xludf.DUMMYFUNCTION("IFERROR(VLOOKUP(E91,IMPORTRANGE(""https://docs.google.com/spreadsheets/d/1xZyKy-UzMmtPDLpV5jQdYum1LtbR8XKDuasLSjmBRMI/edit#gid=1241094406"",""COMBINED DATA!E3:L""),8,0))"),"")</f>
        <v/>
      </c>
      <c r="I91" s="76"/>
      <c r="J91" s="116"/>
      <c r="K91" s="85"/>
      <c r="L91" s="85"/>
      <c r="M91" s="85"/>
      <c r="N91" s="85" t="str">
        <f t="shared" si="7"/>
        <v/>
      </c>
      <c r="O91" s="131">
        <f>SUM(O88:O90)</f>
        <v>2858</v>
      </c>
      <c r="P91" s="89"/>
      <c r="Q91" s="89"/>
      <c r="R91" s="89"/>
      <c r="S91" s="89"/>
      <c r="T91" s="89"/>
      <c r="U91" s="89"/>
      <c r="V91" s="89"/>
      <c r="W91" s="89"/>
      <c r="X91" s="89"/>
      <c r="Y91" s="89"/>
      <c r="Z91" s="89"/>
    </row>
    <row r="92" ht="5.25" customHeight="1">
      <c r="A92" s="34"/>
      <c r="B92" s="105"/>
      <c r="C92" s="105"/>
      <c r="D92" s="105"/>
      <c r="E92" s="106"/>
      <c r="F92" s="107"/>
      <c r="G92" s="64"/>
      <c r="H92" s="76" t="str">
        <f>IFERROR(__xludf.DUMMYFUNCTION("IFERROR(VLOOKUP(E92,IMPORTRANGE(""https://docs.google.com/spreadsheets/d/1xZyKy-UzMmtPDLpV5jQdYum1LtbR8XKDuasLSjmBRMI/edit#gid=1241094406"",""COMBINED DATA!E3:L""),8,0))"),"")</f>
        <v/>
      </c>
      <c r="I92" s="76"/>
      <c r="J92" s="65"/>
      <c r="K92" s="85"/>
      <c r="L92" s="85"/>
      <c r="M92" s="85"/>
      <c r="N92" s="85" t="str">
        <f t="shared" si="7"/>
        <v/>
      </c>
      <c r="O92" s="89"/>
      <c r="P92" s="89"/>
      <c r="Q92" s="89"/>
      <c r="R92" s="89"/>
      <c r="S92" s="89"/>
      <c r="T92" s="89"/>
      <c r="U92" s="89"/>
      <c r="V92" s="89"/>
      <c r="W92" s="89"/>
      <c r="X92" s="89"/>
      <c r="Y92" s="89"/>
      <c r="Z92" s="89"/>
    </row>
    <row r="93" ht="22.5" customHeight="1">
      <c r="A93" s="34"/>
      <c r="B93" s="62" t="s">
        <v>289</v>
      </c>
      <c r="C93" s="45"/>
      <c r="D93" s="45"/>
      <c r="E93" s="45"/>
      <c r="F93" s="46"/>
      <c r="G93" s="64"/>
      <c r="H93" s="76" t="str">
        <f>IFERROR(__xludf.DUMMYFUNCTION("IFERROR(VLOOKUP(E93,IMPORTRANGE(""https://docs.google.com/spreadsheets/d/1xZyKy-UzMmtPDLpV5jQdYum1LtbR8XKDuasLSjmBRMI/edit#gid=1241094406"",""COMBINED DATA!E3:L""),8,0))"),"")</f>
        <v/>
      </c>
      <c r="I93" s="76"/>
      <c r="J93" s="65"/>
      <c r="K93" s="85"/>
      <c r="L93" s="85"/>
      <c r="M93" s="85"/>
      <c r="N93" s="85" t="str">
        <f t="shared" si="7"/>
        <v/>
      </c>
      <c r="O93" s="89"/>
      <c r="P93" s="89"/>
      <c r="Q93" s="89"/>
      <c r="R93" s="89"/>
      <c r="S93" s="89"/>
      <c r="T93" s="89"/>
      <c r="U93" s="89"/>
      <c r="V93" s="89"/>
      <c r="W93" s="89"/>
      <c r="X93" s="89"/>
      <c r="Y93" s="89"/>
      <c r="Z93" s="89"/>
    </row>
    <row r="94" ht="15.75" customHeight="1">
      <c r="A94" s="67" t="str">
        <f>$B$93&amp;C94</f>
        <v>Coupling (Sch-40)6</v>
      </c>
      <c r="B94" s="68">
        <v>1.0</v>
      </c>
      <c r="C94" s="110">
        <v>6.0</v>
      </c>
      <c r="D94" s="110">
        <v>150.0</v>
      </c>
      <c r="E94" s="111" t="s">
        <v>293</v>
      </c>
      <c r="F94" s="56">
        <v>2170.0</v>
      </c>
      <c r="G94" s="76">
        <f>IFERROR(__xludf.DUMMYFUNCTION("ArrayFormula(IFERROR(VLOOKUP(E94,IMPORTRANGE(""https://docs.google.com/spreadsheets/d/1xZyKy-UzMmtPDLpV5jQdYum1LtbR8XKDuasLSjmBRMI/edit#gid=1241094406"",""COMBINED DATA!E3:L""),{7,8},0)))"),0.964)</f>
        <v>0.964</v>
      </c>
      <c r="H94" s="76">
        <f>IFERROR(__xludf.DUMMYFUNCTION("""COMPUTED_VALUE"""),0.0)</f>
        <v>0</v>
      </c>
      <c r="I94" s="76">
        <f>G94+H94</f>
        <v>0.964</v>
      </c>
      <c r="J94" s="84">
        <f>IFERROR(F94/$I94,"")</f>
        <v>2251.037344</v>
      </c>
      <c r="K94" s="85">
        <f>IFERROR(G94*250,)</f>
        <v>241</v>
      </c>
      <c r="L94" s="85">
        <f>IFERROR(H94*750,"")</f>
        <v>0</v>
      </c>
      <c r="M94" s="85">
        <f>K94+L94</f>
        <v>241</v>
      </c>
      <c r="N94" s="85">
        <f t="shared" si="7"/>
        <v>9.004149378</v>
      </c>
      <c r="O94" s="60">
        <v>2170.0</v>
      </c>
      <c r="P94" s="89"/>
      <c r="Q94" s="89"/>
      <c r="R94" s="89"/>
      <c r="S94" s="89"/>
      <c r="T94" s="89"/>
      <c r="U94" s="89"/>
      <c r="V94" s="89"/>
      <c r="W94" s="89"/>
      <c r="X94" s="89"/>
      <c r="Y94" s="89"/>
      <c r="Z94" s="89"/>
    </row>
    <row r="95" ht="6.0" customHeight="1">
      <c r="A95" s="34"/>
      <c r="B95" s="119"/>
      <c r="C95" s="120"/>
      <c r="D95" s="120"/>
      <c r="E95" s="121"/>
      <c r="F95" s="107"/>
      <c r="G95" s="64"/>
      <c r="H95" s="76" t="str">
        <f>IFERROR(__xludf.DUMMYFUNCTION("IFERROR(VLOOKUP(E95,IMPORTRANGE(""https://docs.google.com/spreadsheets/d/1xZyKy-UzMmtPDLpV5jQdYum1LtbR8XKDuasLSjmBRMI/edit#gid=1241094406"",""COMBINED DATA!E3:L""),8,0))"),"")</f>
        <v/>
      </c>
      <c r="I95" s="76"/>
      <c r="J95" s="65"/>
      <c r="K95" s="85"/>
      <c r="L95" s="85"/>
      <c r="M95" s="85"/>
      <c r="N95" s="85" t="str">
        <f t="shared" si="7"/>
        <v/>
      </c>
      <c r="O95" s="89"/>
      <c r="P95" s="89"/>
      <c r="Q95" s="89"/>
      <c r="R95" s="89"/>
      <c r="S95" s="89"/>
      <c r="T95" s="89"/>
      <c r="U95" s="89"/>
      <c r="V95" s="89"/>
      <c r="W95" s="89"/>
      <c r="X95" s="89"/>
      <c r="Y95" s="89"/>
      <c r="Z95" s="89"/>
    </row>
    <row r="96" ht="22.5" customHeight="1">
      <c r="A96" s="34"/>
      <c r="B96" s="62" t="s">
        <v>297</v>
      </c>
      <c r="C96" s="45"/>
      <c r="D96" s="45"/>
      <c r="E96" s="45"/>
      <c r="F96" s="46"/>
      <c r="G96" s="64"/>
      <c r="H96" s="76" t="str">
        <f>IFERROR(__xludf.DUMMYFUNCTION("IFERROR(VLOOKUP(E96,IMPORTRANGE(""https://docs.google.com/spreadsheets/d/1xZyKy-UzMmtPDLpV5jQdYum1LtbR8XKDuasLSjmBRMI/edit#gid=1241094406"",""COMBINED DATA!E3:L""),8,0))"),"")</f>
        <v/>
      </c>
      <c r="I96" s="76"/>
      <c r="J96" s="65"/>
      <c r="K96" s="85"/>
      <c r="L96" s="85"/>
      <c r="M96" s="85"/>
      <c r="N96" s="85" t="str">
        <f t="shared" si="7"/>
        <v/>
      </c>
      <c r="O96" s="89"/>
      <c r="P96" s="89"/>
      <c r="Q96" s="89"/>
      <c r="R96" s="89"/>
      <c r="S96" s="89"/>
      <c r="T96" s="89"/>
      <c r="U96" s="89"/>
      <c r="V96" s="89"/>
      <c r="W96" s="89"/>
      <c r="X96" s="89"/>
      <c r="Y96" s="89"/>
      <c r="Z96" s="89"/>
    </row>
    <row r="97" ht="15.75" customHeight="1">
      <c r="A97" s="67" t="str">
        <f t="shared" ref="A97:A107" si="62">$B$96&amp;C97</f>
        <v>Reducer Coupling3⁄4 x 1⁄2</v>
      </c>
      <c r="B97" s="68">
        <v>1.0</v>
      </c>
      <c r="C97" s="110" t="s">
        <v>144</v>
      </c>
      <c r="D97" s="110" t="s">
        <v>145</v>
      </c>
      <c r="E97" s="111" t="s">
        <v>298</v>
      </c>
      <c r="F97" s="56">
        <v>22.0</v>
      </c>
      <c r="G97" s="76">
        <f>IFERROR(__xludf.DUMMYFUNCTION("ArrayFormula(IFERROR(VLOOKUP(E97,IMPORTRANGE(""https://docs.google.com/spreadsheets/d/1xZyKy-UzMmtPDLpV5jQdYum1LtbR8XKDuasLSjmBRMI/edit#gid=1241094406"",""COMBINED DATA!E3:L""),{7,8},0)))"),0.01)</f>
        <v>0.01</v>
      </c>
      <c r="H97" s="76">
        <f>IFERROR(__xludf.DUMMYFUNCTION("""COMPUTED_VALUE"""),0.0)</f>
        <v>0</v>
      </c>
      <c r="I97" s="76">
        <f t="shared" ref="I97:I107" si="63">G97+H97</f>
        <v>0.01</v>
      </c>
      <c r="J97" s="84">
        <f t="shared" ref="J97:J107" si="64">IFERROR(F97/$I97,"")</f>
        <v>2200</v>
      </c>
      <c r="K97" s="85">
        <f t="shared" ref="K97:K107" si="65">IFERROR(G97*250,)</f>
        <v>2.5</v>
      </c>
      <c r="L97" s="85">
        <f t="shared" ref="L97:L107" si="66">IFERROR(H97*750,"")</f>
        <v>0</v>
      </c>
      <c r="M97" s="85">
        <f t="shared" ref="M97:M107" si="67">K97+L97</f>
        <v>2.5</v>
      </c>
      <c r="N97" s="85">
        <f t="shared" si="7"/>
        <v>8.8</v>
      </c>
      <c r="O97" s="87">
        <v>22.0</v>
      </c>
      <c r="P97" s="89"/>
      <c r="Q97" s="89"/>
      <c r="R97" s="89"/>
      <c r="S97" s="89"/>
      <c r="T97" s="89"/>
      <c r="U97" s="89"/>
      <c r="V97" s="89"/>
      <c r="W97" s="89"/>
      <c r="X97" s="89"/>
      <c r="Y97" s="89"/>
      <c r="Z97" s="89"/>
    </row>
    <row r="98" ht="15.75" customHeight="1">
      <c r="A98" s="67" t="str">
        <f t="shared" si="62"/>
        <v>Reducer Coupling1 x 3⁄4</v>
      </c>
      <c r="B98" s="90">
        <v>2.0</v>
      </c>
      <c r="C98" s="127" t="s">
        <v>153</v>
      </c>
      <c r="D98" s="127" t="s">
        <v>155</v>
      </c>
      <c r="E98" s="112" t="s">
        <v>300</v>
      </c>
      <c r="F98" s="56">
        <v>39.0</v>
      </c>
      <c r="G98" s="76">
        <f>IFERROR(__xludf.DUMMYFUNCTION("ArrayFormula(IFERROR(VLOOKUP(E98,IMPORTRANGE(""https://docs.google.com/spreadsheets/d/1xZyKy-UzMmtPDLpV5jQdYum1LtbR8XKDuasLSjmBRMI/edit#gid=1241094406"",""COMBINED DATA!E3:L""),{7,8},0)))"),0.0195)</f>
        <v>0.0195</v>
      </c>
      <c r="H98" s="76">
        <f>IFERROR(__xludf.DUMMYFUNCTION("""COMPUTED_VALUE"""),0.0)</f>
        <v>0</v>
      </c>
      <c r="I98" s="76">
        <f t="shared" si="63"/>
        <v>0.0195</v>
      </c>
      <c r="J98" s="84">
        <f t="shared" si="64"/>
        <v>2000</v>
      </c>
      <c r="K98" s="85">
        <f t="shared" si="65"/>
        <v>4.875</v>
      </c>
      <c r="L98" s="85">
        <f t="shared" si="66"/>
        <v>0</v>
      </c>
      <c r="M98" s="85">
        <f t="shared" si="67"/>
        <v>4.875</v>
      </c>
      <c r="N98" s="85">
        <f t="shared" si="7"/>
        <v>8</v>
      </c>
      <c r="O98" s="87">
        <v>39.0</v>
      </c>
      <c r="P98" s="89"/>
      <c r="Q98" s="89"/>
      <c r="R98" s="89"/>
      <c r="S98" s="89"/>
      <c r="T98" s="89"/>
      <c r="U98" s="89"/>
      <c r="V98" s="89"/>
      <c r="W98" s="89"/>
      <c r="X98" s="89"/>
      <c r="Y98" s="89"/>
      <c r="Z98" s="89"/>
    </row>
    <row r="99" ht="15.75" customHeight="1">
      <c r="A99" s="67" t="str">
        <f t="shared" si="62"/>
        <v>Reducer Coupling1 1⁄4 x 3⁄4</v>
      </c>
      <c r="B99" s="90">
        <v>3.0</v>
      </c>
      <c r="C99" s="127" t="s">
        <v>303</v>
      </c>
      <c r="D99" s="127" t="s">
        <v>304</v>
      </c>
      <c r="E99" s="112" t="s">
        <v>305</v>
      </c>
      <c r="F99" s="56">
        <v>79.0</v>
      </c>
      <c r="G99" s="76">
        <f>IFERROR(__xludf.DUMMYFUNCTION("ArrayFormula(IFERROR(VLOOKUP(E99,IMPORTRANGE(""https://docs.google.com/spreadsheets/d/1xZyKy-UzMmtPDLpV5jQdYum1LtbR8XKDuasLSjmBRMI/edit#gid=1241094406"",""COMBINED DATA!E3:L""),{7,8},0)))"),0.032299999999999995)</f>
        <v>0.0323</v>
      </c>
      <c r="H99" s="76">
        <f>IFERROR(__xludf.DUMMYFUNCTION("""COMPUTED_VALUE"""),0.0)</f>
        <v>0</v>
      </c>
      <c r="I99" s="76">
        <f t="shared" si="63"/>
        <v>0.0323</v>
      </c>
      <c r="J99" s="84">
        <f t="shared" si="64"/>
        <v>2445.820433</v>
      </c>
      <c r="K99" s="85">
        <f t="shared" si="65"/>
        <v>8.075</v>
      </c>
      <c r="L99" s="85">
        <f t="shared" si="66"/>
        <v>0</v>
      </c>
      <c r="M99" s="85">
        <f t="shared" si="67"/>
        <v>8.075</v>
      </c>
      <c r="N99" s="85">
        <f t="shared" si="7"/>
        <v>9.783281734</v>
      </c>
      <c r="O99" s="87">
        <v>79.0</v>
      </c>
      <c r="P99" s="89"/>
      <c r="Q99" s="89"/>
      <c r="R99" s="89"/>
      <c r="S99" s="89"/>
      <c r="T99" s="89"/>
      <c r="U99" s="89"/>
      <c r="V99" s="89"/>
      <c r="W99" s="89"/>
      <c r="X99" s="89"/>
      <c r="Y99" s="89"/>
      <c r="Z99" s="89"/>
    </row>
    <row r="100" ht="15.75" customHeight="1">
      <c r="A100" s="67" t="str">
        <f t="shared" si="62"/>
        <v>Reducer Coupling1 1⁄4 x 1</v>
      </c>
      <c r="B100" s="90">
        <v>4.0</v>
      </c>
      <c r="C100" s="127" t="s">
        <v>306</v>
      </c>
      <c r="D100" s="127" t="s">
        <v>307</v>
      </c>
      <c r="E100" s="112" t="s">
        <v>308</v>
      </c>
      <c r="F100" s="56">
        <v>81.8</v>
      </c>
      <c r="G100" s="76">
        <f>IFERROR(__xludf.DUMMYFUNCTION("ArrayFormula(IFERROR(VLOOKUP(E100,IMPORTRANGE(""https://docs.google.com/spreadsheets/d/1xZyKy-UzMmtPDLpV5jQdYum1LtbR8XKDuasLSjmBRMI/edit#gid=1241094406"",""COMBINED DATA!E3:L""),{7,8},0)))"),0.032)</f>
        <v>0.032</v>
      </c>
      <c r="H100" s="76">
        <f>IFERROR(__xludf.DUMMYFUNCTION("""COMPUTED_VALUE"""),0.0)</f>
        <v>0</v>
      </c>
      <c r="I100" s="76">
        <f t="shared" si="63"/>
        <v>0.032</v>
      </c>
      <c r="J100" s="84">
        <f t="shared" si="64"/>
        <v>2556.25</v>
      </c>
      <c r="K100" s="85">
        <f t="shared" si="65"/>
        <v>8</v>
      </c>
      <c r="L100" s="85">
        <f t="shared" si="66"/>
        <v>0</v>
      </c>
      <c r="M100" s="85">
        <f t="shared" si="67"/>
        <v>8</v>
      </c>
      <c r="N100" s="85">
        <f t="shared" si="7"/>
        <v>10.225</v>
      </c>
      <c r="O100" s="87">
        <v>81.8</v>
      </c>
      <c r="P100" s="89"/>
      <c r="Q100" s="89"/>
      <c r="R100" s="89"/>
      <c r="S100" s="89"/>
      <c r="T100" s="89"/>
      <c r="U100" s="89"/>
      <c r="V100" s="89"/>
      <c r="W100" s="89"/>
      <c r="X100" s="89"/>
      <c r="Y100" s="89"/>
      <c r="Z100" s="89"/>
    </row>
    <row r="101" ht="15.75" customHeight="1">
      <c r="A101" s="67" t="str">
        <f t="shared" si="62"/>
        <v>Reducer Coupling1 1⁄2 x 3⁄4</v>
      </c>
      <c r="B101" s="90">
        <v>5.0</v>
      </c>
      <c r="C101" s="127" t="s">
        <v>310</v>
      </c>
      <c r="D101" s="127" t="s">
        <v>311</v>
      </c>
      <c r="E101" s="112" t="s">
        <v>312</v>
      </c>
      <c r="F101" s="56">
        <v>116.0</v>
      </c>
      <c r="G101" s="76">
        <f>IFERROR(__xludf.DUMMYFUNCTION("ArrayFormula(IFERROR(VLOOKUP(E101,IMPORTRANGE(""https://docs.google.com/spreadsheets/d/1xZyKy-UzMmtPDLpV5jQdYum1LtbR8XKDuasLSjmBRMI/edit#gid=1241094406"",""COMBINED DATA!E3:L""),{7,8},0)))"),0.0)</f>
        <v>0</v>
      </c>
      <c r="H101" s="76">
        <f>IFERROR(__xludf.DUMMYFUNCTION("""COMPUTED_VALUE"""),0.0)</f>
        <v>0</v>
      </c>
      <c r="I101" s="76">
        <f t="shared" si="63"/>
        <v>0</v>
      </c>
      <c r="J101" s="84" t="str">
        <f t="shared" si="64"/>
        <v/>
      </c>
      <c r="K101" s="85">
        <f t="shared" si="65"/>
        <v>0</v>
      </c>
      <c r="L101" s="85">
        <f t="shared" si="66"/>
        <v>0</v>
      </c>
      <c r="M101" s="85">
        <f t="shared" si="67"/>
        <v>0</v>
      </c>
      <c r="N101" s="85" t="str">
        <f t="shared" si="7"/>
        <v/>
      </c>
      <c r="O101" s="87">
        <v>116.0</v>
      </c>
      <c r="P101" s="89"/>
      <c r="Q101" s="89"/>
      <c r="R101" s="89"/>
      <c r="S101" s="89"/>
      <c r="T101" s="89"/>
      <c r="U101" s="89"/>
      <c r="V101" s="89"/>
      <c r="W101" s="89"/>
      <c r="X101" s="89"/>
      <c r="Y101" s="89"/>
      <c r="Z101" s="89"/>
    </row>
    <row r="102" ht="15.75" customHeight="1">
      <c r="A102" s="67" t="str">
        <f t="shared" si="62"/>
        <v>Reducer Coupling1 1⁄2 x 1</v>
      </c>
      <c r="B102" s="90">
        <v>6.0</v>
      </c>
      <c r="C102" s="127" t="s">
        <v>313</v>
      </c>
      <c r="D102" s="127" t="s">
        <v>314</v>
      </c>
      <c r="E102" s="112" t="s">
        <v>315</v>
      </c>
      <c r="F102" s="56">
        <v>119.0</v>
      </c>
      <c r="G102" s="76">
        <f>IFERROR(__xludf.DUMMYFUNCTION("ArrayFormula(IFERROR(VLOOKUP(E102,IMPORTRANGE(""https://docs.google.com/spreadsheets/d/1xZyKy-UzMmtPDLpV5jQdYum1LtbR8XKDuasLSjmBRMI/edit#gid=1241094406"",""COMBINED DATA!E3:L""),{7,8},0)))"),0.0515)</f>
        <v>0.0515</v>
      </c>
      <c r="H102" s="76">
        <f>IFERROR(__xludf.DUMMYFUNCTION("""COMPUTED_VALUE"""),0.0)</f>
        <v>0</v>
      </c>
      <c r="I102" s="76">
        <f t="shared" si="63"/>
        <v>0.0515</v>
      </c>
      <c r="J102" s="84">
        <f t="shared" si="64"/>
        <v>2310.679612</v>
      </c>
      <c r="K102" s="85">
        <f t="shared" si="65"/>
        <v>12.875</v>
      </c>
      <c r="L102" s="85">
        <f t="shared" si="66"/>
        <v>0</v>
      </c>
      <c r="M102" s="85">
        <f t="shared" si="67"/>
        <v>12.875</v>
      </c>
      <c r="N102" s="85">
        <f t="shared" si="7"/>
        <v>9.242718447</v>
      </c>
      <c r="O102" s="87">
        <v>119.0</v>
      </c>
      <c r="P102" s="89"/>
      <c r="Q102" s="89"/>
      <c r="R102" s="89"/>
      <c r="S102" s="89"/>
      <c r="T102" s="89"/>
      <c r="U102" s="89"/>
      <c r="V102" s="89"/>
      <c r="W102" s="89"/>
      <c r="X102" s="89"/>
      <c r="Y102" s="89"/>
      <c r="Z102" s="89"/>
    </row>
    <row r="103" ht="15.75" customHeight="1">
      <c r="A103" s="67" t="str">
        <f t="shared" si="62"/>
        <v>Reducer Coupling1 1⁄2 x 1 1⁄4</v>
      </c>
      <c r="B103" s="90">
        <v>7.0</v>
      </c>
      <c r="C103" s="127" t="s">
        <v>317</v>
      </c>
      <c r="D103" s="127" t="s">
        <v>318</v>
      </c>
      <c r="E103" s="112" t="s">
        <v>319</v>
      </c>
      <c r="F103" s="56">
        <v>114.0</v>
      </c>
      <c r="G103" s="76">
        <f>IFERROR(__xludf.DUMMYFUNCTION("ArrayFormula(IFERROR(VLOOKUP(E103,IMPORTRANGE(""https://docs.google.com/spreadsheets/d/1xZyKy-UzMmtPDLpV5jQdYum1LtbR8XKDuasLSjmBRMI/edit#gid=1241094406"",""COMBINED DATA!E3:L""),{7,8},0)))"),0.058)</f>
        <v>0.058</v>
      </c>
      <c r="H103" s="76">
        <f>IFERROR(__xludf.DUMMYFUNCTION("""COMPUTED_VALUE"""),0.0)</f>
        <v>0</v>
      </c>
      <c r="I103" s="76">
        <f t="shared" si="63"/>
        <v>0.058</v>
      </c>
      <c r="J103" s="84">
        <f t="shared" si="64"/>
        <v>1965.517241</v>
      </c>
      <c r="K103" s="85">
        <f t="shared" si="65"/>
        <v>14.5</v>
      </c>
      <c r="L103" s="85">
        <f t="shared" si="66"/>
        <v>0</v>
      </c>
      <c r="M103" s="85">
        <f t="shared" si="67"/>
        <v>14.5</v>
      </c>
      <c r="N103" s="85">
        <f t="shared" si="7"/>
        <v>7.862068966</v>
      </c>
      <c r="O103" s="87">
        <v>114.0</v>
      </c>
      <c r="P103" s="89"/>
      <c r="Q103" s="89"/>
      <c r="R103" s="89"/>
      <c r="S103" s="89"/>
      <c r="T103" s="89"/>
      <c r="U103" s="89"/>
      <c r="V103" s="89"/>
      <c r="W103" s="89"/>
      <c r="X103" s="89"/>
      <c r="Y103" s="89"/>
      <c r="Z103" s="89"/>
    </row>
    <row r="104" ht="15.75" customHeight="1">
      <c r="A104" s="67" t="str">
        <f t="shared" si="62"/>
        <v>Reducer Coupling2 x 3⁄4</v>
      </c>
      <c r="B104" s="90">
        <v>8.0</v>
      </c>
      <c r="C104" s="127" t="s">
        <v>320</v>
      </c>
      <c r="D104" s="127" t="s">
        <v>321</v>
      </c>
      <c r="E104" s="112" t="s">
        <v>322</v>
      </c>
      <c r="F104" s="56">
        <v>244.0</v>
      </c>
      <c r="G104" s="76">
        <f>IFERROR(__xludf.DUMMYFUNCTION("ArrayFormula(IFERROR(VLOOKUP(E104,IMPORTRANGE(""https://docs.google.com/spreadsheets/d/1xZyKy-UzMmtPDLpV5jQdYum1LtbR8XKDuasLSjmBRMI/edit#gid=1241094406"",""COMBINED DATA!E3:L""),{7,8},0)))"),0.0)</f>
        <v>0</v>
      </c>
      <c r="H104" s="76">
        <f>IFERROR(__xludf.DUMMYFUNCTION("""COMPUTED_VALUE"""),0.0)</f>
        <v>0</v>
      </c>
      <c r="I104" s="76">
        <f t="shared" si="63"/>
        <v>0</v>
      </c>
      <c r="J104" s="84" t="str">
        <f t="shared" si="64"/>
        <v/>
      </c>
      <c r="K104" s="85">
        <f t="shared" si="65"/>
        <v>0</v>
      </c>
      <c r="L104" s="85">
        <f t="shared" si="66"/>
        <v>0</v>
      </c>
      <c r="M104" s="85">
        <f t="shared" si="67"/>
        <v>0</v>
      </c>
      <c r="N104" s="85" t="str">
        <f t="shared" si="7"/>
        <v/>
      </c>
      <c r="O104" s="87">
        <v>244.0</v>
      </c>
      <c r="P104" s="89"/>
      <c r="Q104" s="89"/>
      <c r="R104" s="89"/>
      <c r="S104" s="89"/>
      <c r="T104" s="89"/>
      <c r="U104" s="89"/>
      <c r="V104" s="89"/>
      <c r="W104" s="89"/>
      <c r="X104" s="89"/>
      <c r="Y104" s="89"/>
      <c r="Z104" s="89"/>
    </row>
    <row r="105" ht="15.75" customHeight="1">
      <c r="A105" s="67" t="str">
        <f t="shared" si="62"/>
        <v>Reducer Coupling2 x 1</v>
      </c>
      <c r="B105" s="90">
        <v>9.0</v>
      </c>
      <c r="C105" s="127" t="s">
        <v>324</v>
      </c>
      <c r="D105" s="127" t="s">
        <v>325</v>
      </c>
      <c r="E105" s="112" t="s">
        <v>326</v>
      </c>
      <c r="F105" s="56">
        <v>244.0</v>
      </c>
      <c r="G105" s="76">
        <f>IFERROR(__xludf.DUMMYFUNCTION("ArrayFormula(IFERROR(VLOOKUP(E105,IMPORTRANGE(""https://docs.google.com/spreadsheets/d/1xZyKy-UzMmtPDLpV5jQdYum1LtbR8XKDuasLSjmBRMI/edit#gid=1241094406"",""COMBINED DATA!E3:L""),{7,8},0)))"),0.0)</f>
        <v>0</v>
      </c>
      <c r="H105" s="76">
        <f>IFERROR(__xludf.DUMMYFUNCTION("""COMPUTED_VALUE"""),0.0)</f>
        <v>0</v>
      </c>
      <c r="I105" s="76">
        <f t="shared" si="63"/>
        <v>0</v>
      </c>
      <c r="J105" s="84" t="str">
        <f t="shared" si="64"/>
        <v/>
      </c>
      <c r="K105" s="85">
        <f t="shared" si="65"/>
        <v>0</v>
      </c>
      <c r="L105" s="85">
        <f t="shared" si="66"/>
        <v>0</v>
      </c>
      <c r="M105" s="85">
        <f t="shared" si="67"/>
        <v>0</v>
      </c>
      <c r="N105" s="85" t="str">
        <f t="shared" si="7"/>
        <v/>
      </c>
      <c r="O105" s="87">
        <v>244.0</v>
      </c>
      <c r="P105" s="89"/>
      <c r="Q105" s="89"/>
      <c r="R105" s="89"/>
      <c r="S105" s="89"/>
      <c r="T105" s="89"/>
      <c r="U105" s="89"/>
      <c r="V105" s="89"/>
      <c r="W105" s="89"/>
      <c r="X105" s="89"/>
      <c r="Y105" s="89"/>
      <c r="Z105" s="89"/>
    </row>
    <row r="106" ht="15.75" customHeight="1">
      <c r="A106" s="67" t="str">
        <f t="shared" si="62"/>
        <v>Reducer Coupling2 x 1 1⁄4</v>
      </c>
      <c r="B106" s="90">
        <v>10.0</v>
      </c>
      <c r="C106" s="127" t="s">
        <v>327</v>
      </c>
      <c r="D106" s="127" t="s">
        <v>328</v>
      </c>
      <c r="E106" s="112" t="s">
        <v>329</v>
      </c>
      <c r="F106" s="56">
        <v>244.0</v>
      </c>
      <c r="G106" s="76">
        <f>IFERROR(__xludf.DUMMYFUNCTION("ArrayFormula(IFERROR(VLOOKUP(E106,IMPORTRANGE(""https://docs.google.com/spreadsheets/d/1xZyKy-UzMmtPDLpV5jQdYum1LtbR8XKDuasLSjmBRMI/edit#gid=1241094406"",""COMBINED DATA!E3:L""),{7,8},0)))"),0.0)</f>
        <v>0</v>
      </c>
      <c r="H106" s="76">
        <f>IFERROR(__xludf.DUMMYFUNCTION("""COMPUTED_VALUE"""),0.0)</f>
        <v>0</v>
      </c>
      <c r="I106" s="76">
        <f t="shared" si="63"/>
        <v>0</v>
      </c>
      <c r="J106" s="84" t="str">
        <f t="shared" si="64"/>
        <v/>
      </c>
      <c r="K106" s="85">
        <f t="shared" si="65"/>
        <v>0</v>
      </c>
      <c r="L106" s="85">
        <f t="shared" si="66"/>
        <v>0</v>
      </c>
      <c r="M106" s="85">
        <f t="shared" si="67"/>
        <v>0</v>
      </c>
      <c r="N106" s="85" t="str">
        <f t="shared" si="7"/>
        <v/>
      </c>
      <c r="O106" s="87">
        <v>244.0</v>
      </c>
      <c r="P106" s="89"/>
      <c r="Q106" s="89"/>
      <c r="R106" s="89"/>
      <c r="S106" s="89"/>
      <c r="T106" s="89"/>
      <c r="U106" s="89"/>
      <c r="V106" s="89"/>
      <c r="W106" s="89"/>
      <c r="X106" s="89"/>
      <c r="Y106" s="89"/>
      <c r="Z106" s="89"/>
    </row>
    <row r="107" ht="15.75" customHeight="1">
      <c r="A107" s="67" t="str">
        <f t="shared" si="62"/>
        <v>Reducer Coupling2 x 1 1⁄2</v>
      </c>
      <c r="B107" s="90">
        <v>11.0</v>
      </c>
      <c r="C107" s="127" t="s">
        <v>331</v>
      </c>
      <c r="D107" s="127" t="s">
        <v>332</v>
      </c>
      <c r="E107" s="112" t="s">
        <v>333</v>
      </c>
      <c r="F107" s="56">
        <v>248.0</v>
      </c>
      <c r="G107" s="76">
        <f>IFERROR(__xludf.DUMMYFUNCTION("ArrayFormula(IFERROR(VLOOKUP(E107,IMPORTRANGE(""https://docs.google.com/spreadsheets/d/1xZyKy-UzMmtPDLpV5jQdYum1LtbR8XKDuasLSjmBRMI/edit#gid=1241094406"",""COMBINED DATA!E3:L""),{7,8},0)))"),0.0)</f>
        <v>0</v>
      </c>
      <c r="H107" s="76">
        <f>IFERROR(__xludf.DUMMYFUNCTION("""COMPUTED_VALUE"""),0.0)</f>
        <v>0</v>
      </c>
      <c r="I107" s="76">
        <f t="shared" si="63"/>
        <v>0</v>
      </c>
      <c r="J107" s="84" t="str">
        <f t="shared" si="64"/>
        <v/>
      </c>
      <c r="K107" s="85">
        <f t="shared" si="65"/>
        <v>0</v>
      </c>
      <c r="L107" s="85">
        <f t="shared" si="66"/>
        <v>0</v>
      </c>
      <c r="M107" s="85">
        <f t="shared" si="67"/>
        <v>0</v>
      </c>
      <c r="N107" s="85" t="str">
        <f t="shared" si="7"/>
        <v/>
      </c>
      <c r="O107" s="87">
        <v>248.0</v>
      </c>
      <c r="P107" s="89"/>
      <c r="Q107" s="89"/>
      <c r="R107" s="89"/>
      <c r="S107" s="89"/>
      <c r="T107" s="89"/>
      <c r="U107" s="89"/>
      <c r="V107" s="89"/>
      <c r="W107" s="89"/>
      <c r="X107" s="89"/>
      <c r="Y107" s="89"/>
      <c r="Z107" s="89"/>
    </row>
    <row r="108">
      <c r="A108" s="100"/>
      <c r="B108" s="102" t="s">
        <v>11</v>
      </c>
      <c r="C108" s="45"/>
      <c r="D108" s="45"/>
      <c r="E108" s="46"/>
      <c r="F108" s="131">
        <f>sum(F97:F107)</f>
        <v>1550.8</v>
      </c>
      <c r="G108" s="104"/>
      <c r="H108" s="76" t="str">
        <f>IFERROR(__xludf.DUMMYFUNCTION("IFERROR(VLOOKUP(E108,IMPORTRANGE(""https://docs.google.com/spreadsheets/d/1xZyKy-UzMmtPDLpV5jQdYum1LtbR8XKDuasLSjmBRMI/edit#gid=1241094406"",""COMBINED DATA!E3:L""),8,0))"),"")</f>
        <v/>
      </c>
      <c r="I108" s="76"/>
      <c r="J108" s="116"/>
      <c r="K108" s="85"/>
      <c r="L108" s="85"/>
      <c r="M108" s="85"/>
      <c r="N108" s="85" t="str">
        <f t="shared" si="7"/>
        <v/>
      </c>
      <c r="O108" s="131">
        <f>sum(O97:O107)</f>
        <v>1550.8</v>
      </c>
      <c r="P108" s="89"/>
      <c r="Q108" s="89"/>
      <c r="R108" s="89"/>
      <c r="S108" s="89"/>
      <c r="T108" s="89"/>
      <c r="U108" s="89"/>
      <c r="V108" s="89"/>
      <c r="W108" s="89"/>
      <c r="X108" s="89"/>
      <c r="Y108" s="89"/>
      <c r="Z108" s="89"/>
    </row>
    <row r="109" ht="5.25" customHeight="1">
      <c r="A109" s="34"/>
      <c r="B109" s="119"/>
      <c r="C109" s="120"/>
      <c r="D109" s="120"/>
      <c r="E109" s="121"/>
      <c r="F109" s="107"/>
      <c r="G109" s="64"/>
      <c r="H109" s="76" t="str">
        <f>IFERROR(__xludf.DUMMYFUNCTION("IFERROR(VLOOKUP(E109,IMPORTRANGE(""https://docs.google.com/spreadsheets/d/1xZyKy-UzMmtPDLpV5jQdYum1LtbR8XKDuasLSjmBRMI/edit#gid=1241094406"",""COMBINED DATA!E3:L""),8,0))"),"")</f>
        <v/>
      </c>
      <c r="I109" s="76"/>
      <c r="J109" s="65"/>
      <c r="K109" s="85"/>
      <c r="L109" s="85"/>
      <c r="M109" s="85"/>
      <c r="N109" s="85" t="str">
        <f t="shared" si="7"/>
        <v/>
      </c>
      <c r="O109" s="89"/>
      <c r="P109" s="89"/>
      <c r="Q109" s="89"/>
      <c r="R109" s="89"/>
      <c r="S109" s="89"/>
      <c r="T109" s="89"/>
      <c r="U109" s="89"/>
      <c r="V109" s="89"/>
      <c r="W109" s="89"/>
      <c r="X109" s="89"/>
      <c r="Y109" s="89"/>
      <c r="Z109" s="89"/>
    </row>
    <row r="110" ht="22.5" customHeight="1">
      <c r="A110" s="34"/>
      <c r="B110" s="62" t="s">
        <v>337</v>
      </c>
      <c r="C110" s="45"/>
      <c r="D110" s="45"/>
      <c r="E110" s="45"/>
      <c r="F110" s="46"/>
      <c r="G110" s="64"/>
      <c r="H110" s="76" t="str">
        <f>IFERROR(__xludf.DUMMYFUNCTION("IFERROR(VLOOKUP(E110,IMPORTRANGE(""https://docs.google.com/spreadsheets/d/1xZyKy-UzMmtPDLpV5jQdYum1LtbR8XKDuasLSjmBRMI/edit#gid=1241094406"",""COMBINED DATA!E3:L""),8,0))"),"")</f>
        <v/>
      </c>
      <c r="I110" s="76"/>
      <c r="J110" s="65"/>
      <c r="K110" s="85"/>
      <c r="L110" s="85"/>
      <c r="M110" s="85"/>
      <c r="N110" s="85" t="str">
        <f t="shared" si="7"/>
        <v/>
      </c>
      <c r="O110" s="89"/>
      <c r="P110" s="89"/>
      <c r="Q110" s="89"/>
      <c r="R110" s="89"/>
      <c r="S110" s="89"/>
      <c r="T110" s="89"/>
      <c r="U110" s="89"/>
      <c r="V110" s="89"/>
      <c r="W110" s="89"/>
      <c r="X110" s="89"/>
      <c r="Y110" s="89"/>
      <c r="Z110" s="89"/>
    </row>
    <row r="111" ht="15.75" customHeight="1">
      <c r="A111" s="67" t="str">
        <f t="shared" ref="A111:A114" si="68">$B$110&amp;C111</f>
        <v>Transition Bushing3⁄4</v>
      </c>
      <c r="B111" s="81">
        <v>1.0</v>
      </c>
      <c r="C111" s="144" t="s">
        <v>51</v>
      </c>
      <c r="D111" s="145" t="s">
        <v>341</v>
      </c>
      <c r="E111" s="111" t="s">
        <v>342</v>
      </c>
      <c r="F111" s="56">
        <v>28.4</v>
      </c>
      <c r="G111" s="76">
        <f>IFERROR(__xludf.DUMMYFUNCTION("ArrayFormula(IFERROR(VLOOKUP(E111,IMPORTRANGE(""https://docs.google.com/spreadsheets/d/1xZyKy-UzMmtPDLpV5jQdYum1LtbR8XKDuasLSjmBRMI/edit#gid=1241094406"",""COMBINED DATA!E3:L""),{7,8},0)))"),0.0293)</f>
        <v>0.0293</v>
      </c>
      <c r="H111" s="76">
        <f>IFERROR(__xludf.DUMMYFUNCTION("""COMPUTED_VALUE"""),0.0)</f>
        <v>0</v>
      </c>
      <c r="I111" s="76">
        <f t="shared" ref="I111:I114" si="69">G111+H111</f>
        <v>0.0293</v>
      </c>
      <c r="J111" s="84">
        <f t="shared" ref="J111:J114" si="70">IFERROR(F111/$I111,"")</f>
        <v>969.2832765</v>
      </c>
      <c r="K111" s="85">
        <f t="shared" ref="K111:K114" si="71">IFERROR(G111*250,)</f>
        <v>7.325</v>
      </c>
      <c r="L111" s="85">
        <f t="shared" ref="L111:L114" si="72">IFERROR(H111*750,"")</f>
        <v>0</v>
      </c>
      <c r="M111" s="85">
        <f t="shared" ref="M111:M114" si="73">K111+L111</f>
        <v>7.325</v>
      </c>
      <c r="N111" s="85">
        <f t="shared" si="7"/>
        <v>3.877133106</v>
      </c>
      <c r="O111" s="87">
        <v>28.4</v>
      </c>
      <c r="P111" s="89"/>
      <c r="Q111" s="89"/>
      <c r="R111" s="89"/>
      <c r="S111" s="89"/>
      <c r="T111" s="89"/>
      <c r="U111" s="89"/>
      <c r="V111" s="89"/>
      <c r="W111" s="89"/>
      <c r="X111" s="89"/>
      <c r="Y111" s="89"/>
      <c r="Z111" s="89"/>
    </row>
    <row r="112" ht="15.75" customHeight="1">
      <c r="A112" s="67" t="str">
        <f t="shared" si="68"/>
        <v>Transition Bushing1</v>
      </c>
      <c r="B112" s="81">
        <v>2.0</v>
      </c>
      <c r="C112" s="147" t="s">
        <v>84</v>
      </c>
      <c r="D112" s="148" t="s">
        <v>346</v>
      </c>
      <c r="E112" s="112" t="s">
        <v>348</v>
      </c>
      <c r="F112" s="56">
        <v>38.8</v>
      </c>
      <c r="G112" s="76">
        <f>IFERROR(__xludf.DUMMYFUNCTION("ArrayFormula(IFERROR(VLOOKUP(E112,IMPORTRANGE(""https://docs.google.com/spreadsheets/d/1xZyKy-UzMmtPDLpV5jQdYum1LtbR8XKDuasLSjmBRMI/edit#gid=1241094406"",""COMBINED DATA!E3:L""),{7,8},0)))"),0.026)</f>
        <v>0.026</v>
      </c>
      <c r="H112" s="76">
        <f>IFERROR(__xludf.DUMMYFUNCTION("""COMPUTED_VALUE"""),0.0)</f>
        <v>0</v>
      </c>
      <c r="I112" s="76">
        <f t="shared" si="69"/>
        <v>0.026</v>
      </c>
      <c r="J112" s="84">
        <f t="shared" si="70"/>
        <v>1492.307692</v>
      </c>
      <c r="K112" s="85">
        <f t="shared" si="71"/>
        <v>6.5</v>
      </c>
      <c r="L112" s="85">
        <f t="shared" si="72"/>
        <v>0</v>
      </c>
      <c r="M112" s="85">
        <f t="shared" si="73"/>
        <v>6.5</v>
      </c>
      <c r="N112" s="85">
        <f t="shared" si="7"/>
        <v>5.969230769</v>
      </c>
      <c r="O112" s="87">
        <v>38.8</v>
      </c>
      <c r="P112" s="89"/>
      <c r="Q112" s="89"/>
      <c r="R112" s="89"/>
      <c r="S112" s="89"/>
      <c r="T112" s="89"/>
      <c r="U112" s="89"/>
      <c r="V112" s="89"/>
      <c r="W112" s="89"/>
      <c r="X112" s="89"/>
      <c r="Y112" s="89"/>
      <c r="Z112" s="89"/>
    </row>
    <row r="113" ht="15.75" customHeight="1">
      <c r="A113" s="67" t="str">
        <f t="shared" si="68"/>
        <v>Transition Bushing1</v>
      </c>
      <c r="B113" s="81">
        <v>3.0</v>
      </c>
      <c r="C113" s="147" t="s">
        <v>84</v>
      </c>
      <c r="D113" s="148" t="s">
        <v>346</v>
      </c>
      <c r="E113" s="112" t="s">
        <v>350</v>
      </c>
      <c r="F113" s="56">
        <v>28.4</v>
      </c>
      <c r="G113" s="76">
        <f>IFERROR(__xludf.DUMMYFUNCTION("ArrayFormula(IFERROR(VLOOKUP(E113,IMPORTRANGE(""https://docs.google.com/spreadsheets/d/1xZyKy-UzMmtPDLpV5jQdYum1LtbR8XKDuasLSjmBRMI/edit#gid=1241094406"",""COMBINED DATA!E3:L""),{7,8},0)))"),0.0129)</f>
        <v>0.0129</v>
      </c>
      <c r="H113" s="76">
        <f>IFERROR(__xludf.DUMMYFUNCTION("""COMPUTED_VALUE"""),0.0)</f>
        <v>0</v>
      </c>
      <c r="I113" s="76">
        <f t="shared" si="69"/>
        <v>0.0129</v>
      </c>
      <c r="J113" s="84">
        <f t="shared" si="70"/>
        <v>2201.550388</v>
      </c>
      <c r="K113" s="85">
        <f t="shared" si="71"/>
        <v>3.225</v>
      </c>
      <c r="L113" s="85">
        <f t="shared" si="72"/>
        <v>0</v>
      </c>
      <c r="M113" s="85">
        <f t="shared" si="73"/>
        <v>3.225</v>
      </c>
      <c r="N113" s="85">
        <f t="shared" si="7"/>
        <v>8.80620155</v>
      </c>
      <c r="O113" s="87">
        <v>28.4</v>
      </c>
      <c r="P113" s="89"/>
      <c r="Q113" s="89"/>
      <c r="R113" s="89"/>
      <c r="S113" s="89"/>
      <c r="T113" s="89"/>
      <c r="U113" s="89"/>
      <c r="V113" s="89"/>
      <c r="W113" s="89"/>
      <c r="X113" s="89"/>
      <c r="Y113" s="89"/>
      <c r="Z113" s="89"/>
    </row>
    <row r="114" ht="15.75" customHeight="1">
      <c r="A114" s="67" t="str">
        <f t="shared" si="68"/>
        <v>Transition Bushing1 1⁄4</v>
      </c>
      <c r="B114" s="149">
        <v>4.0</v>
      </c>
      <c r="C114" s="147" t="s">
        <v>55</v>
      </c>
      <c r="D114" s="148" t="s">
        <v>356</v>
      </c>
      <c r="E114" s="112" t="s">
        <v>357</v>
      </c>
      <c r="F114" s="56">
        <v>46.4</v>
      </c>
      <c r="G114" s="76">
        <f>IFERROR(__xludf.DUMMYFUNCTION("ArrayFormula(IFERROR(VLOOKUP(E114,IMPORTRANGE(""https://docs.google.com/spreadsheets/d/1xZyKy-UzMmtPDLpV5jQdYum1LtbR8XKDuasLSjmBRMI/edit#gid=1241094406"",""COMBINED DATA!E3:L""),{7,8},0)))"),0.0365)</f>
        <v>0.0365</v>
      </c>
      <c r="H114" s="76">
        <f>IFERROR(__xludf.DUMMYFUNCTION("""COMPUTED_VALUE"""),0.0)</f>
        <v>0</v>
      </c>
      <c r="I114" s="76">
        <f t="shared" si="69"/>
        <v>0.0365</v>
      </c>
      <c r="J114" s="84">
        <f t="shared" si="70"/>
        <v>1271.232877</v>
      </c>
      <c r="K114" s="85">
        <f t="shared" si="71"/>
        <v>9.125</v>
      </c>
      <c r="L114" s="85">
        <f t="shared" si="72"/>
        <v>0</v>
      </c>
      <c r="M114" s="85">
        <f t="shared" si="73"/>
        <v>9.125</v>
      </c>
      <c r="N114" s="85">
        <f t="shared" si="7"/>
        <v>5.084931507</v>
      </c>
      <c r="O114" s="87">
        <v>46.4</v>
      </c>
      <c r="P114" s="89"/>
      <c r="Q114" s="89"/>
      <c r="R114" s="89"/>
      <c r="S114" s="89"/>
      <c r="T114" s="89"/>
      <c r="U114" s="89"/>
      <c r="V114" s="89"/>
      <c r="W114" s="89"/>
      <c r="X114" s="89"/>
      <c r="Y114" s="89"/>
      <c r="Z114" s="89"/>
    </row>
    <row r="115">
      <c r="A115" s="100"/>
      <c r="B115" s="102" t="s">
        <v>11</v>
      </c>
      <c r="C115" s="45"/>
      <c r="D115" s="45"/>
      <c r="E115" s="45"/>
      <c r="F115" s="103">
        <f>SUM(F111:F113)</f>
        <v>95.6</v>
      </c>
      <c r="G115" s="104"/>
      <c r="H115" s="76" t="str">
        <f>IFERROR(__xludf.DUMMYFUNCTION("IFERROR(VLOOKUP(E115,IMPORTRANGE(""https://docs.google.com/spreadsheets/d/1xZyKy-UzMmtPDLpV5jQdYum1LtbR8XKDuasLSjmBRMI/edit#gid=1241094406"",""COMBINED DATA!E3:L""),8,0))"),"")</f>
        <v/>
      </c>
      <c r="I115" s="76"/>
      <c r="J115" s="116"/>
      <c r="K115" s="85"/>
      <c r="L115" s="85"/>
      <c r="M115" s="85"/>
      <c r="N115" s="85" t="str">
        <f t="shared" si="7"/>
        <v/>
      </c>
      <c r="O115" s="103">
        <f>SUM(O111:O113)</f>
        <v>95.6</v>
      </c>
      <c r="P115" s="89"/>
      <c r="Q115" s="89"/>
      <c r="R115" s="89"/>
      <c r="S115" s="89"/>
      <c r="T115" s="89"/>
      <c r="U115" s="89"/>
      <c r="V115" s="89"/>
      <c r="W115" s="89"/>
      <c r="X115" s="89"/>
      <c r="Y115" s="89"/>
      <c r="Z115" s="89"/>
    </row>
    <row r="116" ht="5.25" customHeight="1">
      <c r="A116" s="34"/>
      <c r="B116" s="119"/>
      <c r="C116" s="120"/>
      <c r="D116" s="120"/>
      <c r="E116" s="121"/>
      <c r="F116" s="107"/>
      <c r="G116" s="64"/>
      <c r="H116" s="76" t="str">
        <f>IFERROR(__xludf.DUMMYFUNCTION("IFERROR(VLOOKUP(E116,IMPORTRANGE(""https://docs.google.com/spreadsheets/d/1xZyKy-UzMmtPDLpV5jQdYum1LtbR8XKDuasLSjmBRMI/edit#gid=1241094406"",""COMBINED DATA!E3:L""),8,0))"),"")</f>
        <v/>
      </c>
      <c r="I116" s="76"/>
      <c r="J116" s="65"/>
      <c r="K116" s="85"/>
      <c r="L116" s="85"/>
      <c r="M116" s="85"/>
      <c r="N116" s="85" t="str">
        <f t="shared" si="7"/>
        <v/>
      </c>
      <c r="O116" s="89"/>
      <c r="P116" s="89"/>
      <c r="Q116" s="89"/>
      <c r="R116" s="89"/>
      <c r="S116" s="89"/>
      <c r="T116" s="89"/>
      <c r="U116" s="89"/>
      <c r="V116" s="89"/>
      <c r="W116" s="89"/>
      <c r="X116" s="89"/>
      <c r="Y116" s="89"/>
      <c r="Z116" s="89"/>
    </row>
    <row r="117" ht="22.5" customHeight="1">
      <c r="A117" s="34"/>
      <c r="B117" s="62" t="s">
        <v>361</v>
      </c>
      <c r="C117" s="45"/>
      <c r="D117" s="45"/>
      <c r="E117" s="45"/>
      <c r="F117" s="46"/>
      <c r="G117" s="64"/>
      <c r="H117" s="76" t="str">
        <f>IFERROR(__xludf.DUMMYFUNCTION("IFERROR(VLOOKUP(E117,IMPORTRANGE(""https://docs.google.com/spreadsheets/d/1xZyKy-UzMmtPDLpV5jQdYum1LtbR8XKDuasLSjmBRMI/edit#gid=1241094406"",""COMBINED DATA!E3:L""),8,0))"),"")</f>
        <v/>
      </c>
      <c r="I117" s="76"/>
      <c r="J117" s="65"/>
      <c r="K117" s="85"/>
      <c r="L117" s="85"/>
      <c r="M117" s="85"/>
      <c r="N117" s="85" t="str">
        <f t="shared" si="7"/>
        <v/>
      </c>
      <c r="O117" s="89"/>
      <c r="P117" s="89"/>
      <c r="Q117" s="89"/>
      <c r="R117" s="89"/>
      <c r="S117" s="89"/>
      <c r="T117" s="89"/>
      <c r="U117" s="89"/>
      <c r="V117" s="89"/>
      <c r="W117" s="89"/>
      <c r="X117" s="89"/>
      <c r="Y117" s="89"/>
      <c r="Z117" s="89"/>
    </row>
    <row r="118" ht="15.75" customHeight="1">
      <c r="A118" s="67" t="str">
        <f t="shared" ref="A118:A123" si="74">$B$117&amp;C118</f>
        <v>End Cap1⁄2</v>
      </c>
      <c r="B118" s="81">
        <v>1.0</v>
      </c>
      <c r="C118" s="51" t="s">
        <v>43</v>
      </c>
      <c r="D118" s="70">
        <v>15.0</v>
      </c>
      <c r="E118" s="129" t="s">
        <v>363</v>
      </c>
      <c r="F118" s="56">
        <v>10.8</v>
      </c>
      <c r="G118" s="76">
        <f>IFERROR(__xludf.DUMMYFUNCTION("ArrayFormula(IFERROR(VLOOKUP(E118,IMPORTRANGE(""https://docs.google.com/spreadsheets/d/1xZyKy-UzMmtPDLpV5jQdYum1LtbR8XKDuasLSjmBRMI/edit#gid=1241094406"",""COMBINED DATA!E3:L""),{7,8},0)))"),0.0054)</f>
        <v>0.0054</v>
      </c>
      <c r="H118" s="76">
        <f>IFERROR(__xludf.DUMMYFUNCTION("""COMPUTED_VALUE"""),0.0)</f>
        <v>0</v>
      </c>
      <c r="I118" s="76">
        <f t="shared" ref="I118:I123" si="75">G118+H118</f>
        <v>0.0054</v>
      </c>
      <c r="J118" s="84">
        <f t="shared" ref="J118:J123" si="76">IFERROR(F118/$I118,"")</f>
        <v>2000</v>
      </c>
      <c r="K118" s="85">
        <f t="shared" ref="K118:K123" si="77">IFERROR(G118*250,)</f>
        <v>1.35</v>
      </c>
      <c r="L118" s="85">
        <f t="shared" ref="L118:L123" si="78">IFERROR(H118*750,"")</f>
        <v>0</v>
      </c>
      <c r="M118" s="85">
        <f t="shared" ref="M118:M123" si="79">K118+L118</f>
        <v>1.35</v>
      </c>
      <c r="N118" s="85">
        <f t="shared" si="7"/>
        <v>8</v>
      </c>
      <c r="O118" s="87">
        <v>10.8</v>
      </c>
      <c r="P118" s="89"/>
      <c r="Q118" s="89"/>
      <c r="R118" s="89"/>
      <c r="S118" s="89"/>
      <c r="T118" s="89"/>
      <c r="U118" s="89"/>
      <c r="V118" s="89"/>
      <c r="W118" s="89"/>
      <c r="X118" s="89"/>
      <c r="Y118" s="89"/>
      <c r="Z118" s="89"/>
    </row>
    <row r="119" ht="15.75" customHeight="1">
      <c r="A119" s="67" t="str">
        <f t="shared" si="74"/>
        <v>End Cap3⁄4</v>
      </c>
      <c r="B119" s="81">
        <v>2.0</v>
      </c>
      <c r="C119" s="150" t="s">
        <v>51</v>
      </c>
      <c r="D119" s="92">
        <v>20.0</v>
      </c>
      <c r="E119" s="94" t="s">
        <v>366</v>
      </c>
      <c r="F119" s="56">
        <v>13.8</v>
      </c>
      <c r="G119" s="76">
        <f>IFERROR(__xludf.DUMMYFUNCTION("ArrayFormula(IFERROR(VLOOKUP(E119,IMPORTRANGE(""https://docs.google.com/spreadsheets/d/1xZyKy-UzMmtPDLpV5jQdYum1LtbR8XKDuasLSjmBRMI/edit#gid=1241094406"",""COMBINED DATA!E3:L""),{7,8},0)))"),0.0076500000000000005)</f>
        <v>0.00765</v>
      </c>
      <c r="H119" s="76">
        <f>IFERROR(__xludf.DUMMYFUNCTION("""COMPUTED_VALUE"""),0.0)</f>
        <v>0</v>
      </c>
      <c r="I119" s="76">
        <f t="shared" si="75"/>
        <v>0.00765</v>
      </c>
      <c r="J119" s="84">
        <f t="shared" si="76"/>
        <v>1803.921569</v>
      </c>
      <c r="K119" s="85">
        <f t="shared" si="77"/>
        <v>1.9125</v>
      </c>
      <c r="L119" s="85">
        <f t="shared" si="78"/>
        <v>0</v>
      </c>
      <c r="M119" s="85">
        <f t="shared" si="79"/>
        <v>1.9125</v>
      </c>
      <c r="N119" s="85">
        <f t="shared" si="7"/>
        <v>7.215686275</v>
      </c>
      <c r="O119" s="87">
        <v>13.8</v>
      </c>
      <c r="P119" s="89"/>
      <c r="Q119" s="89"/>
      <c r="R119" s="89"/>
      <c r="S119" s="89"/>
      <c r="T119" s="89"/>
      <c r="U119" s="89"/>
      <c r="V119" s="89"/>
      <c r="W119" s="89"/>
      <c r="X119" s="89"/>
      <c r="Y119" s="89"/>
      <c r="Z119" s="89"/>
    </row>
    <row r="120" ht="15.75" customHeight="1">
      <c r="A120" s="67" t="str">
        <f t="shared" si="74"/>
        <v>End Cap1</v>
      </c>
      <c r="B120" s="81">
        <v>3.0</v>
      </c>
      <c r="C120" s="150" t="s">
        <v>84</v>
      </c>
      <c r="D120" s="92">
        <v>25.0</v>
      </c>
      <c r="E120" s="94" t="s">
        <v>369</v>
      </c>
      <c r="F120" s="56">
        <v>24.6</v>
      </c>
      <c r="G120" s="76">
        <f>IFERROR(__xludf.DUMMYFUNCTION("ArrayFormula(IFERROR(VLOOKUP(E120,IMPORTRANGE(""https://docs.google.com/spreadsheets/d/1xZyKy-UzMmtPDLpV5jQdYum1LtbR8XKDuasLSjmBRMI/edit#gid=1241094406"",""COMBINED DATA!E3:L""),{7,8},0)))"),0.015675)</f>
        <v>0.015675</v>
      </c>
      <c r="H120" s="76">
        <f>IFERROR(__xludf.DUMMYFUNCTION("""COMPUTED_VALUE"""),0.0)</f>
        <v>0</v>
      </c>
      <c r="I120" s="76">
        <f t="shared" si="75"/>
        <v>0.015675</v>
      </c>
      <c r="J120" s="84">
        <f t="shared" si="76"/>
        <v>1569.37799</v>
      </c>
      <c r="K120" s="85">
        <f t="shared" si="77"/>
        <v>3.91875</v>
      </c>
      <c r="L120" s="85">
        <f t="shared" si="78"/>
        <v>0</v>
      </c>
      <c r="M120" s="85">
        <f t="shared" si="79"/>
        <v>3.91875</v>
      </c>
      <c r="N120" s="85">
        <f t="shared" si="7"/>
        <v>6.277511962</v>
      </c>
      <c r="O120" s="87">
        <v>24.6</v>
      </c>
      <c r="P120" s="89"/>
      <c r="Q120" s="89"/>
      <c r="R120" s="89"/>
      <c r="S120" s="89"/>
      <c r="T120" s="89"/>
      <c r="U120" s="89"/>
      <c r="V120" s="89"/>
      <c r="W120" s="89"/>
      <c r="X120" s="89"/>
      <c r="Y120" s="89"/>
      <c r="Z120" s="89"/>
    </row>
    <row r="121" ht="15.75" customHeight="1">
      <c r="A121" s="67" t="str">
        <f t="shared" si="74"/>
        <v>End Cap1 1⁄4</v>
      </c>
      <c r="B121" s="81">
        <v>4.0</v>
      </c>
      <c r="C121" s="150" t="s">
        <v>55</v>
      </c>
      <c r="D121" s="92">
        <v>32.0</v>
      </c>
      <c r="E121" s="94" t="s">
        <v>370</v>
      </c>
      <c r="F121" s="56">
        <v>48.4</v>
      </c>
      <c r="G121" s="76">
        <f>IFERROR(__xludf.DUMMYFUNCTION("ArrayFormula(IFERROR(VLOOKUP(E121,IMPORTRANGE(""https://docs.google.com/spreadsheets/d/1xZyKy-UzMmtPDLpV5jQdYum1LtbR8XKDuasLSjmBRMI/edit#gid=1241094406"",""COMBINED DATA!E3:L""),{7,8},0)))"),0.0275)</f>
        <v>0.0275</v>
      </c>
      <c r="H121" s="76">
        <f>IFERROR(__xludf.DUMMYFUNCTION("""COMPUTED_VALUE"""),0.0)</f>
        <v>0</v>
      </c>
      <c r="I121" s="76">
        <f t="shared" si="75"/>
        <v>0.0275</v>
      </c>
      <c r="J121" s="84">
        <f t="shared" si="76"/>
        <v>1760</v>
      </c>
      <c r="K121" s="85">
        <f t="shared" si="77"/>
        <v>6.875</v>
      </c>
      <c r="L121" s="85">
        <f t="shared" si="78"/>
        <v>0</v>
      </c>
      <c r="M121" s="85">
        <f t="shared" si="79"/>
        <v>6.875</v>
      </c>
      <c r="N121" s="85">
        <f t="shared" si="7"/>
        <v>7.04</v>
      </c>
      <c r="O121" s="87">
        <v>48.4</v>
      </c>
      <c r="P121" s="89"/>
      <c r="Q121" s="89"/>
      <c r="R121" s="89"/>
      <c r="S121" s="89"/>
      <c r="T121" s="89"/>
      <c r="U121" s="89"/>
      <c r="V121" s="89"/>
      <c r="W121" s="89"/>
      <c r="X121" s="89"/>
      <c r="Y121" s="89"/>
      <c r="Z121" s="89"/>
    </row>
    <row r="122" ht="15.75" customHeight="1">
      <c r="A122" s="67" t="str">
        <f t="shared" si="74"/>
        <v>End Cap1 1⁄2</v>
      </c>
      <c r="B122" s="81">
        <v>5.0</v>
      </c>
      <c r="C122" s="150" t="s">
        <v>56</v>
      </c>
      <c r="D122" s="92">
        <v>40.0</v>
      </c>
      <c r="E122" s="94" t="s">
        <v>372</v>
      </c>
      <c r="F122" s="56">
        <v>69.9</v>
      </c>
      <c r="G122" s="76">
        <f>IFERROR(__xludf.DUMMYFUNCTION("ArrayFormula(IFERROR(VLOOKUP(E122,IMPORTRANGE(""https://docs.google.com/spreadsheets/d/1xZyKy-UzMmtPDLpV5jQdYum1LtbR8XKDuasLSjmBRMI/edit#gid=1241094406"",""COMBINED DATA!E3:L""),{7,8},0)))"),0.041)</f>
        <v>0.041</v>
      </c>
      <c r="H122" s="76">
        <f>IFERROR(__xludf.DUMMYFUNCTION("""COMPUTED_VALUE"""),0.0)</f>
        <v>0</v>
      </c>
      <c r="I122" s="76">
        <f t="shared" si="75"/>
        <v>0.041</v>
      </c>
      <c r="J122" s="84">
        <f t="shared" si="76"/>
        <v>1704.878049</v>
      </c>
      <c r="K122" s="85">
        <f t="shared" si="77"/>
        <v>10.25</v>
      </c>
      <c r="L122" s="85">
        <f t="shared" si="78"/>
        <v>0</v>
      </c>
      <c r="M122" s="85">
        <f t="shared" si="79"/>
        <v>10.25</v>
      </c>
      <c r="N122" s="85">
        <f t="shared" si="7"/>
        <v>6.819512195</v>
      </c>
      <c r="O122" s="87">
        <v>69.9</v>
      </c>
      <c r="P122" s="89"/>
      <c r="Q122" s="89"/>
      <c r="R122" s="89"/>
      <c r="S122" s="89"/>
      <c r="T122" s="89"/>
      <c r="U122" s="89"/>
      <c r="V122" s="89"/>
      <c r="W122" s="89"/>
      <c r="X122" s="89"/>
      <c r="Y122" s="89"/>
      <c r="Z122" s="89"/>
    </row>
    <row r="123" ht="15.75" customHeight="1">
      <c r="A123" s="67" t="str">
        <f t="shared" si="74"/>
        <v>End Cap2</v>
      </c>
      <c r="B123" s="81">
        <v>6.0</v>
      </c>
      <c r="C123" s="150" t="s">
        <v>107</v>
      </c>
      <c r="D123" s="92">
        <v>50.0</v>
      </c>
      <c r="E123" s="94" t="s">
        <v>374</v>
      </c>
      <c r="F123" s="56">
        <v>148.0</v>
      </c>
      <c r="G123" s="76">
        <f>IFERROR(__xludf.DUMMYFUNCTION("ArrayFormula(IFERROR(VLOOKUP(E123,IMPORTRANGE(""https://docs.google.com/spreadsheets/d/1xZyKy-UzMmtPDLpV5jQdYum1LtbR8XKDuasLSjmBRMI/edit#gid=1241094406"",""COMBINED DATA!E3:L""),{7,8},0)))"),0.086)</f>
        <v>0.086</v>
      </c>
      <c r="H123" s="76">
        <f>IFERROR(__xludf.DUMMYFUNCTION("""COMPUTED_VALUE"""),0.0)</f>
        <v>0</v>
      </c>
      <c r="I123" s="76">
        <f t="shared" si="75"/>
        <v>0.086</v>
      </c>
      <c r="J123" s="84">
        <f t="shared" si="76"/>
        <v>1720.930233</v>
      </c>
      <c r="K123" s="85">
        <f t="shared" si="77"/>
        <v>21.5</v>
      </c>
      <c r="L123" s="85">
        <f t="shared" si="78"/>
        <v>0</v>
      </c>
      <c r="M123" s="85">
        <f t="shared" si="79"/>
        <v>21.5</v>
      </c>
      <c r="N123" s="85">
        <f t="shared" si="7"/>
        <v>6.88372093</v>
      </c>
      <c r="O123" s="87">
        <v>148.0</v>
      </c>
      <c r="P123" s="89"/>
      <c r="Q123" s="89"/>
      <c r="R123" s="89"/>
      <c r="S123" s="89"/>
      <c r="T123" s="89"/>
      <c r="U123" s="89"/>
      <c r="V123" s="89"/>
      <c r="W123" s="89"/>
      <c r="X123" s="89"/>
      <c r="Y123" s="89"/>
      <c r="Z123" s="89"/>
    </row>
    <row r="124">
      <c r="A124" s="100"/>
      <c r="B124" s="102" t="s">
        <v>11</v>
      </c>
      <c r="C124" s="45"/>
      <c r="D124" s="45"/>
      <c r="E124" s="46"/>
      <c r="F124" s="103">
        <f>SUM(F118:F123)</f>
        <v>315.5</v>
      </c>
      <c r="G124" s="104"/>
      <c r="H124" s="76" t="str">
        <f>IFERROR(__xludf.DUMMYFUNCTION("IFERROR(VLOOKUP(E124,IMPORTRANGE(""https://docs.google.com/spreadsheets/d/1xZyKy-UzMmtPDLpV5jQdYum1LtbR8XKDuasLSjmBRMI/edit#gid=1241094406"",""COMBINED DATA!E3:L""),8,0))"),"")</f>
        <v/>
      </c>
      <c r="I124" s="76"/>
      <c r="J124" s="116"/>
      <c r="K124" s="85"/>
      <c r="L124" s="85"/>
      <c r="M124" s="85"/>
      <c r="N124" s="85" t="str">
        <f t="shared" si="7"/>
        <v/>
      </c>
      <c r="O124" s="103">
        <f>SUM(O118:O123)</f>
        <v>315.5</v>
      </c>
      <c r="P124" s="89"/>
      <c r="Q124" s="89"/>
      <c r="R124" s="89"/>
      <c r="S124" s="89"/>
      <c r="T124" s="89"/>
      <c r="U124" s="89"/>
      <c r="V124" s="89"/>
      <c r="W124" s="89"/>
      <c r="X124" s="89"/>
      <c r="Y124" s="89"/>
      <c r="Z124" s="89"/>
    </row>
    <row r="125" ht="5.25" customHeight="1">
      <c r="A125" s="34"/>
      <c r="B125" s="119"/>
      <c r="C125" s="120"/>
      <c r="D125" s="120"/>
      <c r="E125" s="121"/>
      <c r="F125" s="107"/>
      <c r="G125" s="64"/>
      <c r="H125" s="76" t="str">
        <f>IFERROR(__xludf.DUMMYFUNCTION("IFERROR(VLOOKUP(E125,IMPORTRANGE(""https://docs.google.com/spreadsheets/d/1xZyKy-UzMmtPDLpV5jQdYum1LtbR8XKDuasLSjmBRMI/edit#gid=1241094406"",""COMBINED DATA!E3:L""),8,0))"),"")</f>
        <v/>
      </c>
      <c r="I125" s="76"/>
      <c r="J125" s="65"/>
      <c r="K125" s="85"/>
      <c r="L125" s="85"/>
      <c r="M125" s="85"/>
      <c r="N125" s="85" t="str">
        <f t="shared" si="7"/>
        <v/>
      </c>
      <c r="O125" s="89"/>
      <c r="P125" s="89"/>
      <c r="Q125" s="89"/>
      <c r="R125" s="89"/>
      <c r="S125" s="89"/>
      <c r="T125" s="89"/>
      <c r="U125" s="89"/>
      <c r="V125" s="89"/>
      <c r="W125" s="89"/>
      <c r="X125" s="89"/>
      <c r="Y125" s="89"/>
      <c r="Z125" s="89"/>
    </row>
    <row r="126" ht="22.5" customHeight="1">
      <c r="A126" s="34"/>
      <c r="B126" s="62" t="s">
        <v>380</v>
      </c>
      <c r="C126" s="45"/>
      <c r="D126" s="45"/>
      <c r="E126" s="45"/>
      <c r="F126" s="46"/>
      <c r="G126" s="64"/>
      <c r="H126" s="76" t="str">
        <f>IFERROR(__xludf.DUMMYFUNCTION("IFERROR(VLOOKUP(E126,IMPORTRANGE(""https://docs.google.com/spreadsheets/d/1xZyKy-UzMmtPDLpV5jQdYum1LtbR8XKDuasLSjmBRMI/edit#gid=1241094406"",""COMBINED DATA!E3:L""),8,0))"),"")</f>
        <v/>
      </c>
      <c r="I126" s="76"/>
      <c r="J126" s="65"/>
      <c r="K126" s="85"/>
      <c r="L126" s="85"/>
      <c r="M126" s="85"/>
      <c r="N126" s="85" t="str">
        <f t="shared" si="7"/>
        <v/>
      </c>
      <c r="O126" s="89"/>
      <c r="P126" s="89"/>
      <c r="Q126" s="89"/>
      <c r="R126" s="89"/>
      <c r="S126" s="89"/>
      <c r="T126" s="89"/>
      <c r="U126" s="89"/>
      <c r="V126" s="89"/>
      <c r="W126" s="89"/>
      <c r="X126" s="89"/>
      <c r="Y126" s="89"/>
      <c r="Z126" s="89"/>
    </row>
    <row r="127" ht="15.75" customHeight="1">
      <c r="A127" s="67" t="str">
        <f t="shared" ref="A127:A129" si="80">$B$126&amp;C127</f>
        <v>End Cap (Sch-80)2 1⁄2</v>
      </c>
      <c r="B127" s="81">
        <v>1.0</v>
      </c>
      <c r="C127" s="68" t="s">
        <v>69</v>
      </c>
      <c r="D127" s="110">
        <v>65.0</v>
      </c>
      <c r="E127" s="111" t="s">
        <v>383</v>
      </c>
      <c r="F127" s="56">
        <v>398.0</v>
      </c>
      <c r="G127" s="76">
        <f>IFERROR(__xludf.DUMMYFUNCTION("ArrayFormula(IFERROR(VLOOKUP(E127,IMPORTRANGE(""https://docs.google.com/spreadsheets/d/1xZyKy-UzMmtPDLpV5jQdYum1LtbR8XKDuasLSjmBRMI/edit#gid=1241094406"",""COMBINED DATA!E3:L""),{7,8},0)))"),0.203)</f>
        <v>0.203</v>
      </c>
      <c r="H127" s="76">
        <f>IFERROR(__xludf.DUMMYFUNCTION("""COMPUTED_VALUE"""),0.0)</f>
        <v>0</v>
      </c>
      <c r="I127" s="76">
        <f t="shared" ref="I127:I129" si="81">G127+H127</f>
        <v>0.203</v>
      </c>
      <c r="J127" s="84">
        <f t="shared" ref="J127:J129" si="82">IFERROR(F127/$I127,"")</f>
        <v>1960.591133</v>
      </c>
      <c r="K127" s="85">
        <f t="shared" ref="K127:K129" si="83">IFERROR(G127*250,)</f>
        <v>50.75</v>
      </c>
      <c r="L127" s="85">
        <f t="shared" ref="L127:L129" si="84">IFERROR(H127*750,"")</f>
        <v>0</v>
      </c>
      <c r="M127" s="85">
        <f t="shared" ref="M127:M129" si="85">K127+L127</f>
        <v>50.75</v>
      </c>
      <c r="N127" s="85">
        <f t="shared" si="7"/>
        <v>7.842364532</v>
      </c>
      <c r="O127" s="87">
        <v>398.0</v>
      </c>
      <c r="P127" s="89"/>
      <c r="Q127" s="89"/>
      <c r="R127" s="89"/>
      <c r="S127" s="89"/>
      <c r="T127" s="89"/>
      <c r="U127" s="89"/>
      <c r="V127" s="89"/>
      <c r="W127" s="89"/>
      <c r="X127" s="89"/>
      <c r="Y127" s="89"/>
      <c r="Z127" s="89"/>
    </row>
    <row r="128" ht="15.75" customHeight="1">
      <c r="A128" s="67" t="str">
        <f t="shared" si="80"/>
        <v>End Cap (Sch-80)3</v>
      </c>
      <c r="B128" s="81">
        <v>2.0</v>
      </c>
      <c r="C128" s="90">
        <v>3.0</v>
      </c>
      <c r="D128" s="127">
        <v>80.0</v>
      </c>
      <c r="E128" s="112" t="s">
        <v>385</v>
      </c>
      <c r="F128" s="56">
        <v>588.0</v>
      </c>
      <c r="G128" s="76">
        <f>IFERROR(__xludf.DUMMYFUNCTION("ArrayFormula(IFERROR(VLOOKUP(E128,IMPORTRANGE(""https://docs.google.com/spreadsheets/d/1xZyKy-UzMmtPDLpV5jQdYum1LtbR8XKDuasLSjmBRMI/edit#gid=1241094406"",""COMBINED DATA!E3:L""),{7,8},0)))"),0.288)</f>
        <v>0.288</v>
      </c>
      <c r="H128" s="76">
        <f>IFERROR(__xludf.DUMMYFUNCTION("""COMPUTED_VALUE"""),0.0)</f>
        <v>0</v>
      </c>
      <c r="I128" s="76">
        <f t="shared" si="81"/>
        <v>0.288</v>
      </c>
      <c r="J128" s="84">
        <f t="shared" si="82"/>
        <v>2041.666667</v>
      </c>
      <c r="K128" s="85">
        <f t="shared" si="83"/>
        <v>72</v>
      </c>
      <c r="L128" s="85">
        <f t="shared" si="84"/>
        <v>0</v>
      </c>
      <c r="M128" s="85">
        <f t="shared" si="85"/>
        <v>72</v>
      </c>
      <c r="N128" s="85">
        <f t="shared" si="7"/>
        <v>8.166666667</v>
      </c>
      <c r="O128" s="87">
        <v>588.0</v>
      </c>
      <c r="P128" s="89"/>
      <c r="Q128" s="89"/>
      <c r="R128" s="89"/>
      <c r="S128" s="89"/>
      <c r="T128" s="89"/>
      <c r="U128" s="89"/>
      <c r="V128" s="89"/>
      <c r="W128" s="89"/>
      <c r="X128" s="89"/>
      <c r="Y128" s="89"/>
      <c r="Z128" s="89"/>
    </row>
    <row r="129" ht="15.75" customHeight="1">
      <c r="A129" s="67" t="str">
        <f t="shared" si="80"/>
        <v>End Cap (Sch-80)4</v>
      </c>
      <c r="B129" s="81">
        <v>3.0</v>
      </c>
      <c r="C129" s="90">
        <v>4.0</v>
      </c>
      <c r="D129" s="127">
        <v>100.0</v>
      </c>
      <c r="E129" s="112" t="s">
        <v>388</v>
      </c>
      <c r="F129" s="56">
        <v>968.0</v>
      </c>
      <c r="G129" s="76">
        <f>IFERROR(__xludf.DUMMYFUNCTION("ArrayFormula(IFERROR(VLOOKUP(E129,IMPORTRANGE(""https://docs.google.com/spreadsheets/d/1xZyKy-UzMmtPDLpV5jQdYum1LtbR8XKDuasLSjmBRMI/edit#gid=1241094406"",""COMBINED DATA!E3:L""),{7,8},0)))"),0.505)</f>
        <v>0.505</v>
      </c>
      <c r="H129" s="76">
        <f>IFERROR(__xludf.DUMMYFUNCTION("""COMPUTED_VALUE"""),0.0)</f>
        <v>0</v>
      </c>
      <c r="I129" s="76">
        <f t="shared" si="81"/>
        <v>0.505</v>
      </c>
      <c r="J129" s="84">
        <f t="shared" si="82"/>
        <v>1916.831683</v>
      </c>
      <c r="K129" s="85">
        <f t="shared" si="83"/>
        <v>126.25</v>
      </c>
      <c r="L129" s="85">
        <f t="shared" si="84"/>
        <v>0</v>
      </c>
      <c r="M129" s="85">
        <f t="shared" si="85"/>
        <v>126.25</v>
      </c>
      <c r="N129" s="85">
        <f t="shared" si="7"/>
        <v>7.667326733</v>
      </c>
      <c r="O129" s="87">
        <v>968.0</v>
      </c>
      <c r="P129" s="89"/>
      <c r="Q129" s="89"/>
      <c r="R129" s="89"/>
      <c r="S129" s="89"/>
      <c r="T129" s="89"/>
      <c r="U129" s="89"/>
      <c r="V129" s="89"/>
      <c r="W129" s="89"/>
      <c r="X129" s="89"/>
      <c r="Y129" s="89"/>
      <c r="Z129" s="89"/>
    </row>
    <row r="130">
      <c r="A130" s="100"/>
      <c r="B130" s="102" t="s">
        <v>11</v>
      </c>
      <c r="C130" s="45"/>
      <c r="D130" s="45"/>
      <c r="E130" s="46"/>
      <c r="F130" s="131">
        <f>SUM(F127:F129)</f>
        <v>1954</v>
      </c>
      <c r="G130" s="104"/>
      <c r="H130" s="76" t="str">
        <f>IFERROR(__xludf.DUMMYFUNCTION("IFERROR(VLOOKUP(E130,IMPORTRANGE(""https://docs.google.com/spreadsheets/d/1xZyKy-UzMmtPDLpV5jQdYum1LtbR8XKDuasLSjmBRMI/edit#gid=1241094406"",""COMBINED DATA!E3:L""),8,0))"),"")</f>
        <v/>
      </c>
      <c r="I130" s="76"/>
      <c r="J130" s="116"/>
      <c r="K130" s="85"/>
      <c r="L130" s="85"/>
      <c r="M130" s="85"/>
      <c r="N130" s="85" t="str">
        <f t="shared" si="7"/>
        <v/>
      </c>
      <c r="O130" s="131">
        <f>SUM(O127:O129)</f>
        <v>1954</v>
      </c>
      <c r="P130" s="89"/>
      <c r="Q130" s="89"/>
      <c r="R130" s="89"/>
      <c r="S130" s="89"/>
      <c r="T130" s="89"/>
      <c r="U130" s="89"/>
      <c r="V130" s="89"/>
      <c r="W130" s="89"/>
      <c r="X130" s="89"/>
      <c r="Y130" s="89"/>
      <c r="Z130" s="89"/>
    </row>
    <row r="131" ht="5.25" customHeight="1">
      <c r="A131" s="34"/>
      <c r="B131" s="119"/>
      <c r="C131" s="120"/>
      <c r="D131" s="120"/>
      <c r="E131" s="121"/>
      <c r="F131" s="107"/>
      <c r="G131" s="64"/>
      <c r="H131" s="76" t="str">
        <f>IFERROR(__xludf.DUMMYFUNCTION("IFERROR(VLOOKUP(E131,IMPORTRANGE(""https://docs.google.com/spreadsheets/d/1xZyKy-UzMmtPDLpV5jQdYum1LtbR8XKDuasLSjmBRMI/edit#gid=1241094406"",""COMBINED DATA!E3:L""),8,0))"),"")</f>
        <v/>
      </c>
      <c r="I131" s="76"/>
      <c r="J131" s="65"/>
      <c r="K131" s="85"/>
      <c r="L131" s="85"/>
      <c r="M131" s="85"/>
      <c r="N131" s="85" t="str">
        <f t="shared" si="7"/>
        <v/>
      </c>
      <c r="O131" s="89"/>
      <c r="P131" s="89"/>
      <c r="Q131" s="89"/>
      <c r="R131" s="89"/>
      <c r="S131" s="89"/>
      <c r="T131" s="89"/>
      <c r="U131" s="89"/>
      <c r="V131" s="89"/>
      <c r="W131" s="89"/>
      <c r="X131" s="89"/>
      <c r="Y131" s="89"/>
      <c r="Z131" s="89"/>
    </row>
    <row r="132" ht="22.5" customHeight="1">
      <c r="A132" s="34"/>
      <c r="B132" s="62" t="s">
        <v>391</v>
      </c>
      <c r="C132" s="45"/>
      <c r="D132" s="45"/>
      <c r="E132" s="45"/>
      <c r="F132" s="46"/>
      <c r="G132" s="64"/>
      <c r="H132" s="76" t="str">
        <f>IFERROR(__xludf.DUMMYFUNCTION("IFERROR(VLOOKUP(E132,IMPORTRANGE(""https://docs.google.com/spreadsheets/d/1xZyKy-UzMmtPDLpV5jQdYum1LtbR8XKDuasLSjmBRMI/edit#gid=1241094406"",""COMBINED DATA!E3:L""),8,0))"),"")</f>
        <v/>
      </c>
      <c r="I132" s="76"/>
      <c r="J132" s="65"/>
      <c r="K132" s="85"/>
      <c r="L132" s="85"/>
      <c r="M132" s="85"/>
      <c r="N132" s="85" t="str">
        <f t="shared" si="7"/>
        <v/>
      </c>
      <c r="O132" s="89"/>
      <c r="P132" s="89"/>
      <c r="Q132" s="89"/>
      <c r="R132" s="89"/>
      <c r="S132" s="89"/>
      <c r="T132" s="89"/>
      <c r="U132" s="89"/>
      <c r="V132" s="89"/>
      <c r="W132" s="89"/>
      <c r="X132" s="89"/>
      <c r="Y132" s="89"/>
      <c r="Z132" s="89"/>
    </row>
    <row r="133" ht="15.75" customHeight="1">
      <c r="A133" s="67" t="str">
        <f t="shared" ref="A133:A144" si="86">$B$132&amp;C133</f>
        <v>Reducer Bushing1 x 3⁄4</v>
      </c>
      <c r="B133" s="81">
        <v>1.0</v>
      </c>
      <c r="C133" s="68" t="s">
        <v>153</v>
      </c>
      <c r="D133" s="110" t="s">
        <v>155</v>
      </c>
      <c r="E133" s="111" t="s">
        <v>394</v>
      </c>
      <c r="F133" s="56">
        <v>19.4</v>
      </c>
      <c r="G133" s="76">
        <f>IFERROR(__xludf.DUMMYFUNCTION("ArrayFormula(IFERROR(VLOOKUP(E133,IMPORTRANGE(""https://docs.google.com/spreadsheets/d/1xZyKy-UzMmtPDLpV5jQdYum1LtbR8XKDuasLSjmBRMI/edit#gid=1241094406"",""COMBINED DATA!E3:L""),{7,8},0)))"),0.012)</f>
        <v>0.012</v>
      </c>
      <c r="H133" s="76">
        <f>IFERROR(__xludf.DUMMYFUNCTION("""COMPUTED_VALUE"""),0.0)</f>
        <v>0</v>
      </c>
      <c r="I133" s="76">
        <f t="shared" ref="I133:I144" si="87">G133+H133</f>
        <v>0.012</v>
      </c>
      <c r="J133" s="84">
        <f t="shared" ref="J133:J144" si="88">IFERROR(F133/$I133,"")</f>
        <v>1616.666667</v>
      </c>
      <c r="K133" s="85">
        <f t="shared" ref="K133:K144" si="89">IFERROR(G133*250,)</f>
        <v>3</v>
      </c>
      <c r="L133" s="85">
        <f t="shared" ref="L133:L144" si="90">IFERROR(H133*750,"")</f>
        <v>0</v>
      </c>
      <c r="M133" s="85">
        <f t="shared" ref="M133:M144" si="91">K133+L133</f>
        <v>3</v>
      </c>
      <c r="N133" s="85">
        <f t="shared" si="7"/>
        <v>6.466666667</v>
      </c>
      <c r="O133" s="87">
        <v>19.4</v>
      </c>
      <c r="P133" s="89"/>
      <c r="Q133" s="89"/>
      <c r="R133" s="89"/>
      <c r="S133" s="89"/>
      <c r="T133" s="89"/>
      <c r="U133" s="89"/>
      <c r="V133" s="89"/>
      <c r="W133" s="89"/>
      <c r="X133" s="89"/>
      <c r="Y133" s="89"/>
      <c r="Z133" s="89"/>
    </row>
    <row r="134" ht="15.75" customHeight="1">
      <c r="A134" s="67" t="str">
        <f t="shared" si="86"/>
        <v>Reducer Bushing1 1⁄4 x 1⁄2</v>
      </c>
      <c r="B134" s="81">
        <v>2.0</v>
      </c>
      <c r="C134" s="90" t="s">
        <v>401</v>
      </c>
      <c r="D134" s="127" t="s">
        <v>402</v>
      </c>
      <c r="E134" s="112" t="s">
        <v>403</v>
      </c>
      <c r="F134" s="56">
        <v>48.4</v>
      </c>
      <c r="G134" s="76">
        <f>IFERROR(__xludf.DUMMYFUNCTION("ArrayFormula(IFERROR(VLOOKUP(E134,IMPORTRANGE(""https://docs.google.com/spreadsheets/d/1xZyKy-UzMmtPDLpV5jQdYum1LtbR8XKDuasLSjmBRMI/edit#gid=1241094406"",""COMBINED DATA!E3:L""),{7,8},0)))"),0.023649999999999997)</f>
        <v>0.02365</v>
      </c>
      <c r="H134" s="76">
        <f>IFERROR(__xludf.DUMMYFUNCTION("""COMPUTED_VALUE"""),0.0)</f>
        <v>0</v>
      </c>
      <c r="I134" s="76">
        <f t="shared" si="87"/>
        <v>0.02365</v>
      </c>
      <c r="J134" s="84">
        <f t="shared" si="88"/>
        <v>2046.511628</v>
      </c>
      <c r="K134" s="85">
        <f t="shared" si="89"/>
        <v>5.9125</v>
      </c>
      <c r="L134" s="85">
        <f t="shared" si="90"/>
        <v>0</v>
      </c>
      <c r="M134" s="85">
        <f t="shared" si="91"/>
        <v>5.9125</v>
      </c>
      <c r="N134" s="85">
        <f t="shared" si="7"/>
        <v>8.186046512</v>
      </c>
      <c r="O134" s="87">
        <v>48.4</v>
      </c>
      <c r="P134" s="89"/>
      <c r="Q134" s="89"/>
      <c r="R134" s="89"/>
      <c r="S134" s="89"/>
      <c r="T134" s="89"/>
      <c r="U134" s="89"/>
      <c r="V134" s="89"/>
      <c r="W134" s="89"/>
      <c r="X134" s="89"/>
      <c r="Y134" s="89"/>
      <c r="Z134" s="89"/>
    </row>
    <row r="135" ht="15.75" customHeight="1">
      <c r="A135" s="67" t="str">
        <f t="shared" si="86"/>
        <v>Reducer Bushing1 1⁄4 x 3⁄4</v>
      </c>
      <c r="B135" s="81">
        <v>3.0</v>
      </c>
      <c r="C135" s="90" t="s">
        <v>303</v>
      </c>
      <c r="D135" s="127" t="s">
        <v>304</v>
      </c>
      <c r="E135" s="112" t="s">
        <v>407</v>
      </c>
      <c r="F135" s="56">
        <v>38.4</v>
      </c>
      <c r="G135" s="76">
        <f>IFERROR(__xludf.DUMMYFUNCTION("ArrayFormula(IFERROR(VLOOKUP(E135,IMPORTRANGE(""https://docs.google.com/spreadsheets/d/1xZyKy-UzMmtPDLpV5jQdYum1LtbR8XKDuasLSjmBRMI/edit#gid=1241094406"",""COMBINED DATA!E3:L""),{7,8},0)))"),0.02475)</f>
        <v>0.02475</v>
      </c>
      <c r="H135" s="76">
        <f>IFERROR(__xludf.DUMMYFUNCTION("""COMPUTED_VALUE"""),0.0)</f>
        <v>0</v>
      </c>
      <c r="I135" s="76">
        <f t="shared" si="87"/>
        <v>0.02475</v>
      </c>
      <c r="J135" s="84">
        <f t="shared" si="88"/>
        <v>1551.515152</v>
      </c>
      <c r="K135" s="85">
        <f t="shared" si="89"/>
        <v>6.1875</v>
      </c>
      <c r="L135" s="85">
        <f t="shared" si="90"/>
        <v>0</v>
      </c>
      <c r="M135" s="85">
        <f t="shared" si="91"/>
        <v>6.1875</v>
      </c>
      <c r="N135" s="85">
        <f t="shared" si="7"/>
        <v>6.206060606</v>
      </c>
      <c r="O135" s="87">
        <v>38.4</v>
      </c>
      <c r="P135" s="89"/>
      <c r="Q135" s="89"/>
      <c r="R135" s="89"/>
      <c r="S135" s="89"/>
      <c r="T135" s="89"/>
      <c r="U135" s="89"/>
      <c r="V135" s="89"/>
      <c r="W135" s="89"/>
      <c r="X135" s="89"/>
      <c r="Y135" s="89"/>
      <c r="Z135" s="89"/>
    </row>
    <row r="136" ht="15.75" customHeight="1">
      <c r="A136" s="67" t="str">
        <f t="shared" si="86"/>
        <v>Reducer Bushing1 1⁄4 x 1</v>
      </c>
      <c r="B136" s="81">
        <v>4.0</v>
      </c>
      <c r="C136" s="90" t="s">
        <v>306</v>
      </c>
      <c r="D136" s="127" t="s">
        <v>307</v>
      </c>
      <c r="E136" s="112" t="s">
        <v>412</v>
      </c>
      <c r="F136" s="56">
        <v>34.4</v>
      </c>
      <c r="G136" s="76">
        <f>IFERROR(__xludf.DUMMYFUNCTION("ArrayFormula(IFERROR(VLOOKUP(E136,IMPORTRANGE(""https://docs.google.com/spreadsheets/d/1xZyKy-UzMmtPDLpV5jQdYum1LtbR8XKDuasLSjmBRMI/edit#gid=1241094406"",""COMBINED DATA!E3:L""),{7,8},0)))"),0.0177)</f>
        <v>0.0177</v>
      </c>
      <c r="H136" s="76">
        <f>IFERROR(__xludf.DUMMYFUNCTION("""COMPUTED_VALUE"""),0.0)</f>
        <v>0</v>
      </c>
      <c r="I136" s="76">
        <f t="shared" si="87"/>
        <v>0.0177</v>
      </c>
      <c r="J136" s="84">
        <f t="shared" si="88"/>
        <v>1943.502825</v>
      </c>
      <c r="K136" s="85">
        <f t="shared" si="89"/>
        <v>4.425</v>
      </c>
      <c r="L136" s="85">
        <f t="shared" si="90"/>
        <v>0</v>
      </c>
      <c r="M136" s="85">
        <f t="shared" si="91"/>
        <v>4.425</v>
      </c>
      <c r="N136" s="85">
        <f t="shared" si="7"/>
        <v>7.774011299</v>
      </c>
      <c r="O136" s="87">
        <v>34.4</v>
      </c>
      <c r="P136" s="89"/>
      <c r="Q136" s="89"/>
      <c r="R136" s="89"/>
      <c r="S136" s="89"/>
      <c r="T136" s="89"/>
      <c r="U136" s="89"/>
      <c r="V136" s="89"/>
      <c r="W136" s="89"/>
      <c r="X136" s="89"/>
      <c r="Y136" s="89"/>
      <c r="Z136" s="89"/>
    </row>
    <row r="137" ht="15.75" customHeight="1">
      <c r="A137" s="67" t="str">
        <f t="shared" si="86"/>
        <v>Reducer Bushing1 1⁄2 x 1⁄2</v>
      </c>
      <c r="B137" s="81">
        <v>5.0</v>
      </c>
      <c r="C137" s="90" t="s">
        <v>414</v>
      </c>
      <c r="D137" s="127" t="s">
        <v>415</v>
      </c>
      <c r="E137" s="112" t="s">
        <v>416</v>
      </c>
      <c r="F137" s="56">
        <v>79.4</v>
      </c>
      <c r="G137" s="76">
        <f>IFERROR(__xludf.DUMMYFUNCTION("ArrayFormula(IFERROR(VLOOKUP(E137,IMPORTRANGE(""https://docs.google.com/spreadsheets/d/1xZyKy-UzMmtPDLpV5jQdYum1LtbR8XKDuasLSjmBRMI/edit#gid=1241094406"",""COMBINED DATA!E3:L""),{7,8},0)))"),0.0345)</f>
        <v>0.0345</v>
      </c>
      <c r="H137" s="76">
        <f>IFERROR(__xludf.DUMMYFUNCTION("""COMPUTED_VALUE"""),0.0)</f>
        <v>0</v>
      </c>
      <c r="I137" s="76">
        <f t="shared" si="87"/>
        <v>0.0345</v>
      </c>
      <c r="J137" s="84">
        <f t="shared" si="88"/>
        <v>2301.449275</v>
      </c>
      <c r="K137" s="85">
        <f t="shared" si="89"/>
        <v>8.625</v>
      </c>
      <c r="L137" s="85">
        <f t="shared" si="90"/>
        <v>0</v>
      </c>
      <c r="M137" s="85">
        <f t="shared" si="91"/>
        <v>8.625</v>
      </c>
      <c r="N137" s="85">
        <f t="shared" si="7"/>
        <v>9.205797101</v>
      </c>
      <c r="O137" s="87">
        <v>79.4</v>
      </c>
      <c r="P137" s="89"/>
      <c r="Q137" s="89"/>
      <c r="R137" s="89"/>
      <c r="S137" s="89"/>
      <c r="T137" s="89"/>
      <c r="U137" s="89"/>
      <c r="V137" s="89"/>
      <c r="W137" s="89"/>
      <c r="X137" s="89"/>
      <c r="Y137" s="89"/>
      <c r="Z137" s="89"/>
    </row>
    <row r="138" ht="15.75" customHeight="1">
      <c r="A138" s="67" t="str">
        <f t="shared" si="86"/>
        <v>Reducer Bushing1 1⁄2 x 3⁄4</v>
      </c>
      <c r="B138" s="81">
        <v>6.0</v>
      </c>
      <c r="C138" s="90" t="s">
        <v>310</v>
      </c>
      <c r="D138" s="127" t="s">
        <v>311</v>
      </c>
      <c r="E138" s="112" t="s">
        <v>421</v>
      </c>
      <c r="F138" s="56">
        <v>59.2</v>
      </c>
      <c r="G138" s="76">
        <f>IFERROR(__xludf.DUMMYFUNCTION("ArrayFormula(IFERROR(VLOOKUP(E138,IMPORTRANGE(""https://docs.google.com/spreadsheets/d/1xZyKy-UzMmtPDLpV5jQdYum1LtbR8XKDuasLSjmBRMI/edit#gid=1241094406"",""COMBINED DATA!E3:L""),{7,8},0)))"),0.03675)</f>
        <v>0.03675</v>
      </c>
      <c r="H138" s="76">
        <f>IFERROR(__xludf.DUMMYFUNCTION("""COMPUTED_VALUE"""),0.0)</f>
        <v>0</v>
      </c>
      <c r="I138" s="76">
        <f t="shared" si="87"/>
        <v>0.03675</v>
      </c>
      <c r="J138" s="84">
        <f t="shared" si="88"/>
        <v>1610.884354</v>
      </c>
      <c r="K138" s="85">
        <f t="shared" si="89"/>
        <v>9.1875</v>
      </c>
      <c r="L138" s="85">
        <f t="shared" si="90"/>
        <v>0</v>
      </c>
      <c r="M138" s="85">
        <f t="shared" si="91"/>
        <v>9.1875</v>
      </c>
      <c r="N138" s="85">
        <f t="shared" si="7"/>
        <v>6.443537415</v>
      </c>
      <c r="O138" s="87">
        <v>59.2</v>
      </c>
      <c r="P138" s="89"/>
      <c r="Q138" s="89"/>
      <c r="R138" s="89"/>
      <c r="S138" s="89"/>
      <c r="T138" s="89"/>
      <c r="U138" s="89"/>
      <c r="V138" s="89"/>
      <c r="W138" s="89"/>
      <c r="X138" s="89"/>
      <c r="Y138" s="89"/>
      <c r="Z138" s="89"/>
    </row>
    <row r="139" ht="15.75" customHeight="1">
      <c r="A139" s="67" t="str">
        <f t="shared" si="86"/>
        <v>Reducer Bushing1 1⁄2 x 1</v>
      </c>
      <c r="B139" s="81">
        <v>7.0</v>
      </c>
      <c r="C139" s="90" t="s">
        <v>313</v>
      </c>
      <c r="D139" s="127" t="s">
        <v>314</v>
      </c>
      <c r="E139" s="112" t="s">
        <v>423</v>
      </c>
      <c r="F139" s="56">
        <v>59.4</v>
      </c>
      <c r="G139" s="76">
        <f>IFERROR(__xludf.DUMMYFUNCTION("ArrayFormula(IFERROR(VLOOKUP(E139,IMPORTRANGE(""https://docs.google.com/spreadsheets/d/1xZyKy-UzMmtPDLpV5jQdYum1LtbR8XKDuasLSjmBRMI/edit#gid=1241094406"",""COMBINED DATA!E3:L""),{7,8},0)))"),0.036)</f>
        <v>0.036</v>
      </c>
      <c r="H139" s="76">
        <f>IFERROR(__xludf.DUMMYFUNCTION("""COMPUTED_VALUE"""),0.0)</f>
        <v>0</v>
      </c>
      <c r="I139" s="76">
        <f t="shared" si="87"/>
        <v>0.036</v>
      </c>
      <c r="J139" s="84">
        <f t="shared" si="88"/>
        <v>1650</v>
      </c>
      <c r="K139" s="85">
        <f t="shared" si="89"/>
        <v>9</v>
      </c>
      <c r="L139" s="85">
        <f t="shared" si="90"/>
        <v>0</v>
      </c>
      <c r="M139" s="85">
        <f t="shared" si="91"/>
        <v>9</v>
      </c>
      <c r="N139" s="85">
        <f t="shared" si="7"/>
        <v>6.6</v>
      </c>
      <c r="O139" s="87">
        <v>59.4</v>
      </c>
      <c r="P139" s="89"/>
      <c r="Q139" s="89"/>
      <c r="R139" s="89"/>
      <c r="S139" s="89"/>
      <c r="T139" s="89"/>
      <c r="U139" s="89"/>
      <c r="V139" s="89"/>
      <c r="W139" s="89"/>
      <c r="X139" s="89"/>
      <c r="Y139" s="89"/>
      <c r="Z139" s="89"/>
    </row>
    <row r="140" ht="15.75" customHeight="1">
      <c r="A140" s="67" t="str">
        <f t="shared" si="86"/>
        <v>Reducer Bushing1 1⁄2 x 1 1⁄4</v>
      </c>
      <c r="B140" s="81">
        <v>8.0</v>
      </c>
      <c r="C140" s="90" t="s">
        <v>317</v>
      </c>
      <c r="D140" s="127" t="s">
        <v>318</v>
      </c>
      <c r="E140" s="112" t="s">
        <v>424</v>
      </c>
      <c r="F140" s="56">
        <v>44.4</v>
      </c>
      <c r="G140" s="76">
        <f>IFERROR(__xludf.DUMMYFUNCTION("ArrayFormula(IFERROR(VLOOKUP(E140,IMPORTRANGE(""https://docs.google.com/spreadsheets/d/1xZyKy-UzMmtPDLpV5jQdYum1LtbR8XKDuasLSjmBRMI/edit#gid=1241094406"",""COMBINED DATA!E3:L""),{7,8},0)))"),0.02425)</f>
        <v>0.02425</v>
      </c>
      <c r="H140" s="76">
        <f>IFERROR(__xludf.DUMMYFUNCTION("""COMPUTED_VALUE"""),0.0)</f>
        <v>0</v>
      </c>
      <c r="I140" s="76">
        <f t="shared" si="87"/>
        <v>0.02425</v>
      </c>
      <c r="J140" s="84">
        <f t="shared" si="88"/>
        <v>1830.927835</v>
      </c>
      <c r="K140" s="85">
        <f t="shared" si="89"/>
        <v>6.0625</v>
      </c>
      <c r="L140" s="85">
        <f t="shared" si="90"/>
        <v>0</v>
      </c>
      <c r="M140" s="85">
        <f t="shared" si="91"/>
        <v>6.0625</v>
      </c>
      <c r="N140" s="85">
        <f t="shared" si="7"/>
        <v>7.32371134</v>
      </c>
      <c r="O140" s="87">
        <v>44.4</v>
      </c>
      <c r="P140" s="89"/>
      <c r="Q140" s="89"/>
      <c r="R140" s="89"/>
      <c r="S140" s="89"/>
      <c r="T140" s="89"/>
      <c r="U140" s="89"/>
      <c r="V140" s="89"/>
      <c r="W140" s="89"/>
      <c r="X140" s="89"/>
      <c r="Y140" s="89"/>
      <c r="Z140" s="89"/>
    </row>
    <row r="141" ht="15.75" customHeight="1">
      <c r="A141" s="67" t="str">
        <f t="shared" si="86"/>
        <v>Reducer Bushing2 x 3⁄4</v>
      </c>
      <c r="B141" s="81">
        <v>9.0</v>
      </c>
      <c r="C141" s="90" t="s">
        <v>320</v>
      </c>
      <c r="D141" s="127" t="s">
        <v>321</v>
      </c>
      <c r="E141" s="112" t="s">
        <v>427</v>
      </c>
      <c r="F141" s="56">
        <v>118.0</v>
      </c>
      <c r="G141" s="76">
        <f>IFERROR(__xludf.DUMMYFUNCTION("ArrayFormula(IFERROR(VLOOKUP(E141,IMPORTRANGE(""https://docs.google.com/spreadsheets/d/1xZyKy-UzMmtPDLpV5jQdYum1LtbR8XKDuasLSjmBRMI/edit#gid=1241094406"",""COMBINED DATA!E3:L""),{7,8},0)))"),0.0765)</f>
        <v>0.0765</v>
      </c>
      <c r="H141" s="76">
        <f>IFERROR(__xludf.DUMMYFUNCTION("""COMPUTED_VALUE"""),0.0)</f>
        <v>0</v>
      </c>
      <c r="I141" s="76">
        <f t="shared" si="87"/>
        <v>0.0765</v>
      </c>
      <c r="J141" s="84">
        <f t="shared" si="88"/>
        <v>1542.48366</v>
      </c>
      <c r="K141" s="85">
        <f t="shared" si="89"/>
        <v>19.125</v>
      </c>
      <c r="L141" s="85">
        <f t="shared" si="90"/>
        <v>0</v>
      </c>
      <c r="M141" s="85">
        <f t="shared" si="91"/>
        <v>19.125</v>
      </c>
      <c r="N141" s="85">
        <f t="shared" si="7"/>
        <v>6.169934641</v>
      </c>
      <c r="O141" s="87">
        <v>118.0</v>
      </c>
      <c r="P141" s="89"/>
      <c r="Q141" s="89"/>
      <c r="R141" s="89"/>
      <c r="S141" s="89"/>
      <c r="T141" s="89"/>
      <c r="U141" s="89"/>
      <c r="V141" s="89"/>
      <c r="W141" s="89"/>
      <c r="X141" s="89"/>
      <c r="Y141" s="89"/>
      <c r="Z141" s="89"/>
    </row>
    <row r="142" ht="15.75" customHeight="1">
      <c r="A142" s="67" t="str">
        <f t="shared" si="86"/>
        <v>Reducer Bushing2 x 1</v>
      </c>
      <c r="B142" s="81">
        <v>10.0</v>
      </c>
      <c r="C142" s="90" t="s">
        <v>324</v>
      </c>
      <c r="D142" s="127" t="s">
        <v>325</v>
      </c>
      <c r="E142" s="112" t="s">
        <v>432</v>
      </c>
      <c r="F142" s="56">
        <v>118.0</v>
      </c>
      <c r="G142" s="76">
        <f>IFERROR(__xludf.DUMMYFUNCTION("ArrayFormula(IFERROR(VLOOKUP(E142,IMPORTRANGE(""https://docs.google.com/spreadsheets/d/1xZyKy-UzMmtPDLpV5jQdYum1LtbR8XKDuasLSjmBRMI/edit#gid=1241094406"",""COMBINED DATA!E3:L""),{7,8},0)))"),0.0795)</f>
        <v>0.0795</v>
      </c>
      <c r="H142" s="76">
        <f>IFERROR(__xludf.DUMMYFUNCTION("""COMPUTED_VALUE"""),0.0)</f>
        <v>0</v>
      </c>
      <c r="I142" s="76">
        <f t="shared" si="87"/>
        <v>0.0795</v>
      </c>
      <c r="J142" s="84">
        <f t="shared" si="88"/>
        <v>1484.27673</v>
      </c>
      <c r="K142" s="85">
        <f t="shared" si="89"/>
        <v>19.875</v>
      </c>
      <c r="L142" s="85">
        <f t="shared" si="90"/>
        <v>0</v>
      </c>
      <c r="M142" s="85">
        <f t="shared" si="91"/>
        <v>19.875</v>
      </c>
      <c r="N142" s="85">
        <f t="shared" si="7"/>
        <v>5.937106918</v>
      </c>
      <c r="O142" s="87">
        <v>118.0</v>
      </c>
      <c r="P142" s="89"/>
      <c r="Q142" s="89"/>
      <c r="R142" s="89"/>
      <c r="S142" s="89"/>
      <c r="T142" s="89"/>
      <c r="U142" s="89"/>
      <c r="V142" s="89"/>
      <c r="W142" s="89"/>
      <c r="X142" s="89"/>
      <c r="Y142" s="89"/>
      <c r="Z142" s="89"/>
    </row>
    <row r="143" ht="15.75" customHeight="1">
      <c r="A143" s="67" t="str">
        <f t="shared" si="86"/>
        <v>Reducer Bushing2 x 1 1⁄4</v>
      </c>
      <c r="B143" s="81">
        <v>11.0</v>
      </c>
      <c r="C143" s="90" t="s">
        <v>327</v>
      </c>
      <c r="D143" s="127" t="s">
        <v>328</v>
      </c>
      <c r="E143" s="112" t="s">
        <v>434</v>
      </c>
      <c r="F143" s="56">
        <v>128.0</v>
      </c>
      <c r="G143" s="76">
        <f>IFERROR(__xludf.DUMMYFUNCTION("ArrayFormula(IFERROR(VLOOKUP(E143,IMPORTRANGE(""https://docs.google.com/spreadsheets/d/1xZyKy-UzMmtPDLpV5jQdYum1LtbR8XKDuasLSjmBRMI/edit#gid=1241094406"",""COMBINED DATA!E3:L""),{7,8},0)))"),0.0775)</f>
        <v>0.0775</v>
      </c>
      <c r="H143" s="76">
        <f>IFERROR(__xludf.DUMMYFUNCTION("""COMPUTED_VALUE"""),0.0)</f>
        <v>0</v>
      </c>
      <c r="I143" s="76">
        <f t="shared" si="87"/>
        <v>0.0775</v>
      </c>
      <c r="J143" s="84">
        <f t="shared" si="88"/>
        <v>1651.612903</v>
      </c>
      <c r="K143" s="85">
        <f t="shared" si="89"/>
        <v>19.375</v>
      </c>
      <c r="L143" s="85">
        <f t="shared" si="90"/>
        <v>0</v>
      </c>
      <c r="M143" s="85">
        <f t="shared" si="91"/>
        <v>19.375</v>
      </c>
      <c r="N143" s="85">
        <f t="shared" si="7"/>
        <v>6.606451613</v>
      </c>
      <c r="O143" s="87">
        <v>128.0</v>
      </c>
      <c r="P143" s="89"/>
      <c r="Q143" s="89"/>
      <c r="R143" s="89"/>
      <c r="S143" s="89"/>
      <c r="T143" s="89"/>
      <c r="U143" s="89"/>
      <c r="V143" s="89"/>
      <c r="W143" s="89"/>
      <c r="X143" s="89"/>
      <c r="Y143" s="89"/>
      <c r="Z143" s="89"/>
    </row>
    <row r="144" ht="15.75" customHeight="1">
      <c r="A144" s="67" t="str">
        <f t="shared" si="86"/>
        <v>Reducer Bushing2 x 1 1⁄2</v>
      </c>
      <c r="B144" s="81">
        <v>12.0</v>
      </c>
      <c r="C144" s="90" t="s">
        <v>331</v>
      </c>
      <c r="D144" s="127" t="s">
        <v>332</v>
      </c>
      <c r="E144" s="112" t="s">
        <v>435</v>
      </c>
      <c r="F144" s="56">
        <v>106.0</v>
      </c>
      <c r="G144" s="76">
        <f>IFERROR(__xludf.DUMMYFUNCTION("ArrayFormula(IFERROR(VLOOKUP(E144,IMPORTRANGE(""https://docs.google.com/spreadsheets/d/1xZyKy-UzMmtPDLpV5jQdYum1LtbR8XKDuasLSjmBRMI/edit#gid=1241094406"",""COMBINED DATA!E3:L""),{7,8},0)))"),0.067)</f>
        <v>0.067</v>
      </c>
      <c r="H144" s="76">
        <f>IFERROR(__xludf.DUMMYFUNCTION("""COMPUTED_VALUE"""),0.0)</f>
        <v>0</v>
      </c>
      <c r="I144" s="76">
        <f t="shared" si="87"/>
        <v>0.067</v>
      </c>
      <c r="J144" s="84">
        <f t="shared" si="88"/>
        <v>1582.089552</v>
      </c>
      <c r="K144" s="85">
        <f t="shared" si="89"/>
        <v>16.75</v>
      </c>
      <c r="L144" s="85">
        <f t="shared" si="90"/>
        <v>0</v>
      </c>
      <c r="M144" s="85">
        <f t="shared" si="91"/>
        <v>16.75</v>
      </c>
      <c r="N144" s="85">
        <f t="shared" si="7"/>
        <v>6.328358209</v>
      </c>
      <c r="O144" s="87">
        <v>106.0</v>
      </c>
      <c r="P144" s="89"/>
      <c r="Q144" s="89"/>
      <c r="R144" s="89"/>
      <c r="S144" s="89"/>
      <c r="T144" s="89"/>
      <c r="U144" s="89"/>
      <c r="V144" s="89"/>
      <c r="W144" s="89"/>
      <c r="X144" s="89"/>
      <c r="Y144" s="89"/>
      <c r="Z144" s="89"/>
    </row>
    <row r="145">
      <c r="A145" s="100"/>
      <c r="B145" s="102" t="s">
        <v>11</v>
      </c>
      <c r="C145" s="45"/>
      <c r="D145" s="45"/>
      <c r="E145" s="46"/>
      <c r="F145" s="131">
        <f>sum(F133:F144)</f>
        <v>853</v>
      </c>
      <c r="G145" s="104"/>
      <c r="H145" s="76" t="str">
        <f>IFERROR(__xludf.DUMMYFUNCTION("IFERROR(VLOOKUP(E145,IMPORTRANGE(""https://docs.google.com/spreadsheets/d/1xZyKy-UzMmtPDLpV5jQdYum1LtbR8XKDuasLSjmBRMI/edit#gid=1241094406"",""COMBINED DATA!E3:L""),8,0))"),"")</f>
        <v/>
      </c>
      <c r="I145" s="76"/>
      <c r="J145" s="116"/>
      <c r="K145" s="85"/>
      <c r="L145" s="85"/>
      <c r="M145" s="85"/>
      <c r="N145" s="85" t="str">
        <f t="shared" si="7"/>
        <v/>
      </c>
      <c r="O145" s="131">
        <f>sum(O133:O144)</f>
        <v>853</v>
      </c>
      <c r="P145" s="89"/>
      <c r="Q145" s="89"/>
      <c r="R145" s="89"/>
      <c r="S145" s="89"/>
      <c r="T145" s="89"/>
      <c r="U145" s="89"/>
      <c r="V145" s="89"/>
      <c r="W145" s="89"/>
      <c r="X145" s="89"/>
      <c r="Y145" s="89"/>
      <c r="Z145" s="89"/>
    </row>
    <row r="146" ht="4.5" customHeight="1">
      <c r="A146" s="34"/>
      <c r="B146" s="119"/>
      <c r="C146" s="120"/>
      <c r="D146" s="120"/>
      <c r="E146" s="121"/>
      <c r="F146" s="107"/>
      <c r="G146" s="64"/>
      <c r="H146" s="76" t="str">
        <f>IFERROR(__xludf.DUMMYFUNCTION("IFERROR(VLOOKUP(E146,IMPORTRANGE(""https://docs.google.com/spreadsheets/d/1xZyKy-UzMmtPDLpV5jQdYum1LtbR8XKDuasLSjmBRMI/edit#gid=1241094406"",""COMBINED DATA!E3:L""),8,0))"),"")</f>
        <v/>
      </c>
      <c r="I146" s="76"/>
      <c r="J146" s="65"/>
      <c r="K146" s="85"/>
      <c r="L146" s="85"/>
      <c r="M146" s="85"/>
      <c r="N146" s="85" t="str">
        <f t="shared" si="7"/>
        <v/>
      </c>
      <c r="O146" s="89"/>
      <c r="P146" s="89"/>
      <c r="Q146" s="89"/>
      <c r="R146" s="89"/>
      <c r="S146" s="89"/>
      <c r="T146" s="89"/>
      <c r="U146" s="89"/>
      <c r="V146" s="89"/>
      <c r="W146" s="89"/>
      <c r="X146" s="89"/>
      <c r="Y146" s="89"/>
      <c r="Z146" s="89"/>
    </row>
    <row r="147" ht="22.5" customHeight="1">
      <c r="A147" s="34"/>
      <c r="B147" s="62" t="s">
        <v>443</v>
      </c>
      <c r="C147" s="45"/>
      <c r="D147" s="45"/>
      <c r="E147" s="45"/>
      <c r="F147" s="46"/>
      <c r="G147" s="64"/>
      <c r="H147" s="76" t="str">
        <f>IFERROR(__xludf.DUMMYFUNCTION("IFERROR(VLOOKUP(E147,IMPORTRANGE(""https://docs.google.com/spreadsheets/d/1xZyKy-UzMmtPDLpV5jQdYum1LtbR8XKDuasLSjmBRMI/edit#gid=1241094406"",""COMBINED DATA!E3:L""),8,0))"),"")</f>
        <v/>
      </c>
      <c r="I147" s="76"/>
      <c r="J147" s="65"/>
      <c r="K147" s="85"/>
      <c r="L147" s="85"/>
      <c r="M147" s="85"/>
      <c r="N147" s="85" t="str">
        <f t="shared" si="7"/>
        <v/>
      </c>
      <c r="O147" s="89"/>
      <c r="P147" s="89"/>
      <c r="Q147" s="89"/>
      <c r="R147" s="89"/>
      <c r="S147" s="89"/>
      <c r="T147" s="89"/>
      <c r="U147" s="89"/>
      <c r="V147" s="89"/>
      <c r="W147" s="89"/>
      <c r="X147" s="89"/>
      <c r="Y147" s="89"/>
      <c r="Z147" s="89"/>
    </row>
    <row r="148" ht="15.75" customHeight="1">
      <c r="A148" s="67" t="str">
        <f t="shared" ref="A148:A154" si="92">$B$147&amp;C148</f>
        <v>Reducer Bushing (SCH-80)2 1⁄2 x 1 1⁄2</v>
      </c>
      <c r="B148" s="81">
        <v>1.0</v>
      </c>
      <c r="C148" s="68" t="s">
        <v>447</v>
      </c>
      <c r="D148" s="110" t="s">
        <v>448</v>
      </c>
      <c r="E148" s="111" t="s">
        <v>449</v>
      </c>
      <c r="F148" s="56">
        <v>348.0</v>
      </c>
      <c r="G148" s="76">
        <f>IFERROR(__xludf.DUMMYFUNCTION("ArrayFormula(IFERROR(VLOOKUP(E148,IMPORTRANGE(""https://docs.google.com/spreadsheets/d/1xZyKy-UzMmtPDLpV5jQdYum1LtbR8XKDuasLSjmBRMI/edit#gid=1241094406"",""COMBINED DATA!E3:L""),{7,8},0)))"),0.1785)</f>
        <v>0.1785</v>
      </c>
      <c r="H148" s="76">
        <f>IFERROR(__xludf.DUMMYFUNCTION("""COMPUTED_VALUE"""),0.0)</f>
        <v>0</v>
      </c>
      <c r="I148" s="76">
        <f t="shared" ref="I148:I154" si="93">G148+H148</f>
        <v>0.1785</v>
      </c>
      <c r="J148" s="84">
        <f t="shared" ref="J148:J154" si="94">IFERROR(F148/$I148,"")</f>
        <v>1949.579832</v>
      </c>
      <c r="K148" s="85">
        <f t="shared" ref="K148:K154" si="95">IFERROR(G148*250,)</f>
        <v>44.625</v>
      </c>
      <c r="L148" s="85">
        <f t="shared" ref="L148:L154" si="96">IFERROR(H148*750,"")</f>
        <v>0</v>
      </c>
      <c r="M148" s="85">
        <f t="shared" ref="M148:M154" si="97">K148+L148</f>
        <v>44.625</v>
      </c>
      <c r="N148" s="85">
        <f t="shared" si="7"/>
        <v>7.798319328</v>
      </c>
      <c r="O148" s="60">
        <v>348.0</v>
      </c>
      <c r="P148" s="89"/>
      <c r="Q148" s="89"/>
      <c r="R148" s="89"/>
      <c r="S148" s="89"/>
      <c r="T148" s="89"/>
      <c r="U148" s="89"/>
      <c r="V148" s="89"/>
      <c r="W148" s="89"/>
      <c r="X148" s="89"/>
      <c r="Y148" s="89"/>
      <c r="Z148" s="89"/>
    </row>
    <row r="149" ht="15.75" customHeight="1">
      <c r="A149" s="67" t="str">
        <f t="shared" si="92"/>
        <v>Reducer Bushing (SCH-80)2 1⁄2 x 2</v>
      </c>
      <c r="B149" s="81">
        <v>2.0</v>
      </c>
      <c r="C149" s="90" t="s">
        <v>455</v>
      </c>
      <c r="D149" s="127" t="s">
        <v>456</v>
      </c>
      <c r="E149" s="112" t="s">
        <v>457</v>
      </c>
      <c r="F149" s="56">
        <v>348.0</v>
      </c>
      <c r="G149" s="76">
        <f>IFERROR(__xludf.DUMMYFUNCTION("ArrayFormula(IFERROR(VLOOKUP(E149,IMPORTRANGE(""https://docs.google.com/spreadsheets/d/1xZyKy-UzMmtPDLpV5jQdYum1LtbR8XKDuasLSjmBRMI/edit#gid=1241094406"",""COMBINED DATA!E3:L""),{7,8},0)))"),0.161)</f>
        <v>0.161</v>
      </c>
      <c r="H149" s="76">
        <f>IFERROR(__xludf.DUMMYFUNCTION("""COMPUTED_VALUE"""),0.0)</f>
        <v>0</v>
      </c>
      <c r="I149" s="76">
        <f t="shared" si="93"/>
        <v>0.161</v>
      </c>
      <c r="J149" s="84">
        <f t="shared" si="94"/>
        <v>2161.490683</v>
      </c>
      <c r="K149" s="85">
        <f t="shared" si="95"/>
        <v>40.25</v>
      </c>
      <c r="L149" s="85">
        <f t="shared" si="96"/>
        <v>0</v>
      </c>
      <c r="M149" s="85">
        <f t="shared" si="97"/>
        <v>40.25</v>
      </c>
      <c r="N149" s="85">
        <f t="shared" si="7"/>
        <v>8.645962733</v>
      </c>
      <c r="O149" s="60">
        <v>348.0</v>
      </c>
      <c r="P149" s="89"/>
      <c r="Q149" s="89"/>
      <c r="R149" s="89"/>
      <c r="S149" s="89"/>
      <c r="T149" s="89"/>
      <c r="U149" s="89"/>
      <c r="V149" s="89"/>
      <c r="W149" s="89"/>
      <c r="X149" s="89"/>
      <c r="Y149" s="89"/>
      <c r="Z149" s="89"/>
    </row>
    <row r="150" ht="15.75" customHeight="1">
      <c r="A150" s="67" t="str">
        <f t="shared" si="92"/>
        <v>Reducer Bushing (SCH-80)3 x 2</v>
      </c>
      <c r="B150" s="81">
        <v>3.0</v>
      </c>
      <c r="C150" s="90" t="s">
        <v>461</v>
      </c>
      <c r="D150" s="127" t="s">
        <v>462</v>
      </c>
      <c r="E150" s="112" t="s">
        <v>463</v>
      </c>
      <c r="F150" s="56">
        <v>698.0</v>
      </c>
      <c r="G150" s="76">
        <f>IFERROR(__xludf.DUMMYFUNCTION("ArrayFormula(IFERROR(VLOOKUP(E150,IMPORTRANGE(""https://docs.google.com/spreadsheets/d/1xZyKy-UzMmtPDLpV5jQdYum1LtbR8XKDuasLSjmBRMI/edit#gid=1241094406"",""COMBINED DATA!E3:L""),{7,8},0)))"),0.335)</f>
        <v>0.335</v>
      </c>
      <c r="H150" s="76">
        <f>IFERROR(__xludf.DUMMYFUNCTION("""COMPUTED_VALUE"""),0.0)</f>
        <v>0</v>
      </c>
      <c r="I150" s="76">
        <f t="shared" si="93"/>
        <v>0.335</v>
      </c>
      <c r="J150" s="84">
        <f t="shared" si="94"/>
        <v>2083.58209</v>
      </c>
      <c r="K150" s="85">
        <f t="shared" si="95"/>
        <v>83.75</v>
      </c>
      <c r="L150" s="85">
        <f t="shared" si="96"/>
        <v>0</v>
      </c>
      <c r="M150" s="85">
        <f t="shared" si="97"/>
        <v>83.75</v>
      </c>
      <c r="N150" s="85">
        <f t="shared" si="7"/>
        <v>8.334328358</v>
      </c>
      <c r="O150" s="60">
        <v>698.0</v>
      </c>
      <c r="P150" s="89"/>
      <c r="Q150" s="89"/>
      <c r="R150" s="89"/>
      <c r="S150" s="89"/>
      <c r="T150" s="89"/>
      <c r="U150" s="89"/>
      <c r="V150" s="89"/>
      <c r="W150" s="89"/>
      <c r="X150" s="89"/>
      <c r="Y150" s="89"/>
      <c r="Z150" s="89"/>
    </row>
    <row r="151" ht="15.75" customHeight="1">
      <c r="A151" s="67" t="str">
        <f t="shared" si="92"/>
        <v>Reducer Bushing (SCH-80)3 x 2 1⁄2</v>
      </c>
      <c r="B151" s="81">
        <v>4.0</v>
      </c>
      <c r="C151" s="90" t="s">
        <v>469</v>
      </c>
      <c r="D151" s="152" t="s">
        <v>470</v>
      </c>
      <c r="E151" s="112" t="s">
        <v>471</v>
      </c>
      <c r="F151" s="56">
        <v>528.0</v>
      </c>
      <c r="G151" s="76">
        <f>IFERROR(__xludf.DUMMYFUNCTION("ArrayFormula(IFERROR(VLOOKUP(E151,IMPORTRANGE(""https://docs.google.com/spreadsheets/d/1xZyKy-UzMmtPDLpV5jQdYum1LtbR8XKDuasLSjmBRMI/edit#gid=1241094406"",""COMBINED DATA!E3:L""),{7,8},0)))"),0.239)</f>
        <v>0.239</v>
      </c>
      <c r="H151" s="76">
        <f>IFERROR(__xludf.DUMMYFUNCTION("""COMPUTED_VALUE"""),0.0)</f>
        <v>0</v>
      </c>
      <c r="I151" s="76">
        <f t="shared" si="93"/>
        <v>0.239</v>
      </c>
      <c r="J151" s="84">
        <f t="shared" si="94"/>
        <v>2209.205021</v>
      </c>
      <c r="K151" s="85">
        <f t="shared" si="95"/>
        <v>59.75</v>
      </c>
      <c r="L151" s="85">
        <f t="shared" si="96"/>
        <v>0</v>
      </c>
      <c r="M151" s="85">
        <f t="shared" si="97"/>
        <v>59.75</v>
      </c>
      <c r="N151" s="85">
        <f t="shared" si="7"/>
        <v>8.836820084</v>
      </c>
      <c r="O151" s="60">
        <v>528.0</v>
      </c>
      <c r="P151" s="89"/>
      <c r="Q151" s="89"/>
      <c r="R151" s="89"/>
      <c r="S151" s="89"/>
      <c r="T151" s="89"/>
      <c r="U151" s="89"/>
      <c r="V151" s="89"/>
      <c r="W151" s="89"/>
      <c r="X151" s="89"/>
      <c r="Y151" s="89"/>
      <c r="Z151" s="89"/>
    </row>
    <row r="152" ht="15.75" customHeight="1">
      <c r="A152" s="67" t="str">
        <f t="shared" si="92"/>
        <v>Reducer Bushing (SCH-80)4 x 2</v>
      </c>
      <c r="B152" s="81">
        <v>5.0</v>
      </c>
      <c r="C152" s="90" t="s">
        <v>475</v>
      </c>
      <c r="D152" s="127" t="s">
        <v>477</v>
      </c>
      <c r="E152" s="112" t="s">
        <v>478</v>
      </c>
      <c r="F152" s="56">
        <v>1180.0</v>
      </c>
      <c r="G152" s="76">
        <f>IFERROR(__xludf.DUMMYFUNCTION("ArrayFormula(IFERROR(VLOOKUP(E152,IMPORTRANGE(""https://docs.google.com/spreadsheets/d/1xZyKy-UzMmtPDLpV5jQdYum1LtbR8XKDuasLSjmBRMI/edit#gid=1241094406"",""COMBINED DATA!E3:L""),{7,8},0)))"),0.4995)</f>
        <v>0.4995</v>
      </c>
      <c r="H152" s="76">
        <f>IFERROR(__xludf.DUMMYFUNCTION("""COMPUTED_VALUE"""),0.0)</f>
        <v>0</v>
      </c>
      <c r="I152" s="76">
        <f t="shared" si="93"/>
        <v>0.4995</v>
      </c>
      <c r="J152" s="84">
        <f t="shared" si="94"/>
        <v>2362.362362</v>
      </c>
      <c r="K152" s="85">
        <f t="shared" si="95"/>
        <v>124.875</v>
      </c>
      <c r="L152" s="85">
        <f t="shared" si="96"/>
        <v>0</v>
      </c>
      <c r="M152" s="85">
        <f t="shared" si="97"/>
        <v>124.875</v>
      </c>
      <c r="N152" s="85">
        <f t="shared" si="7"/>
        <v>9.449449449</v>
      </c>
      <c r="O152" s="60">
        <v>1180.0</v>
      </c>
      <c r="P152" s="89"/>
      <c r="Q152" s="89"/>
      <c r="R152" s="89"/>
      <c r="S152" s="89"/>
      <c r="T152" s="89"/>
      <c r="U152" s="89"/>
      <c r="V152" s="89"/>
      <c r="W152" s="89"/>
      <c r="X152" s="89"/>
      <c r="Y152" s="89"/>
      <c r="Z152" s="89"/>
    </row>
    <row r="153" ht="15.75" customHeight="1">
      <c r="A153" s="67" t="str">
        <f t="shared" si="92"/>
        <v>Reducer Bushing (SCH-80)4 x 3</v>
      </c>
      <c r="B153" s="81">
        <v>6.0</v>
      </c>
      <c r="C153" s="90" t="s">
        <v>481</v>
      </c>
      <c r="D153" s="127" t="s">
        <v>482</v>
      </c>
      <c r="E153" s="112" t="s">
        <v>484</v>
      </c>
      <c r="F153" s="56">
        <v>936.0</v>
      </c>
      <c r="G153" s="76">
        <f>IFERROR(__xludf.DUMMYFUNCTION("ArrayFormula(IFERROR(VLOOKUP(E153,IMPORTRANGE(""https://docs.google.com/spreadsheets/d/1xZyKy-UzMmtPDLpV5jQdYum1LtbR8XKDuasLSjmBRMI/edit#gid=1241094406"",""COMBINED DATA!E3:L""),{7,8},0)))"),0.423)</f>
        <v>0.423</v>
      </c>
      <c r="H153" s="76">
        <f>IFERROR(__xludf.DUMMYFUNCTION("""COMPUTED_VALUE"""),0.0)</f>
        <v>0</v>
      </c>
      <c r="I153" s="76">
        <f t="shared" si="93"/>
        <v>0.423</v>
      </c>
      <c r="J153" s="84">
        <f t="shared" si="94"/>
        <v>2212.765957</v>
      </c>
      <c r="K153" s="85">
        <f t="shared" si="95"/>
        <v>105.75</v>
      </c>
      <c r="L153" s="85">
        <f t="shared" si="96"/>
        <v>0</v>
      </c>
      <c r="M153" s="85">
        <f t="shared" si="97"/>
        <v>105.75</v>
      </c>
      <c r="N153" s="85">
        <f t="shared" si="7"/>
        <v>8.85106383</v>
      </c>
      <c r="O153" s="60">
        <v>936.0</v>
      </c>
      <c r="P153" s="89"/>
      <c r="Q153" s="89"/>
      <c r="R153" s="89"/>
      <c r="S153" s="89"/>
      <c r="T153" s="89"/>
      <c r="U153" s="89"/>
      <c r="V153" s="89"/>
      <c r="W153" s="89"/>
      <c r="X153" s="89"/>
      <c r="Y153" s="89"/>
      <c r="Z153" s="89"/>
    </row>
    <row r="154" ht="15.75" customHeight="1">
      <c r="A154" s="67" t="str">
        <f t="shared" si="92"/>
        <v>Reducer Bushing (SCH-80)4 x 2 1⁄2</v>
      </c>
      <c r="B154" s="81">
        <v>7.0</v>
      </c>
      <c r="C154" s="90" t="s">
        <v>490</v>
      </c>
      <c r="D154" s="127" t="s">
        <v>491</v>
      </c>
      <c r="E154" s="112" t="s">
        <v>492</v>
      </c>
      <c r="F154" s="56">
        <v>980.0</v>
      </c>
      <c r="G154" s="76">
        <f>IFERROR(__xludf.DUMMYFUNCTION("ArrayFormula(IFERROR(VLOOKUP(E154,IMPORTRANGE(""https://docs.google.com/spreadsheets/d/1xZyKy-UzMmtPDLpV5jQdYum1LtbR8XKDuasLSjmBRMI/edit#gid=1241094406"",""COMBINED DATA!E3:L""),{7,8},0)))"),0.574)</f>
        <v>0.574</v>
      </c>
      <c r="H154" s="76">
        <f>IFERROR(__xludf.DUMMYFUNCTION("""COMPUTED_VALUE"""),0.0)</f>
        <v>0</v>
      </c>
      <c r="I154" s="76">
        <f t="shared" si="93"/>
        <v>0.574</v>
      </c>
      <c r="J154" s="84">
        <f t="shared" si="94"/>
        <v>1707.317073</v>
      </c>
      <c r="K154" s="85">
        <f t="shared" si="95"/>
        <v>143.5</v>
      </c>
      <c r="L154" s="85">
        <f t="shared" si="96"/>
        <v>0</v>
      </c>
      <c r="M154" s="85">
        <f t="shared" si="97"/>
        <v>143.5</v>
      </c>
      <c r="N154" s="85">
        <f t="shared" si="7"/>
        <v>6.829268293</v>
      </c>
      <c r="O154" s="60">
        <v>980.0</v>
      </c>
      <c r="P154" s="89"/>
      <c r="Q154" s="89"/>
      <c r="R154" s="89"/>
      <c r="S154" s="89"/>
      <c r="T154" s="89"/>
      <c r="U154" s="89"/>
      <c r="V154" s="89"/>
      <c r="W154" s="89"/>
      <c r="X154" s="89"/>
      <c r="Y154" s="89"/>
      <c r="Z154" s="89"/>
    </row>
    <row r="155">
      <c r="A155" s="100"/>
      <c r="B155" s="102" t="s">
        <v>11</v>
      </c>
      <c r="C155" s="45"/>
      <c r="D155" s="45"/>
      <c r="E155" s="46"/>
      <c r="F155" s="131">
        <f>sum(F148:F154)</f>
        <v>5018</v>
      </c>
      <c r="G155" s="104"/>
      <c r="H155" s="76" t="str">
        <f>IFERROR(__xludf.DUMMYFUNCTION("IFERROR(VLOOKUP(E155,IMPORTRANGE(""https://docs.google.com/spreadsheets/d/1xZyKy-UzMmtPDLpV5jQdYum1LtbR8XKDuasLSjmBRMI/edit#gid=1241094406"",""COMBINED DATA!E3:L""),8,0))"),"")</f>
        <v/>
      </c>
      <c r="I155" s="76"/>
      <c r="J155" s="116"/>
      <c r="K155" s="85"/>
      <c r="L155" s="85"/>
      <c r="M155" s="85"/>
      <c r="N155" s="85" t="str">
        <f t="shared" si="7"/>
        <v/>
      </c>
      <c r="O155" s="131">
        <f>sum(O148:O154)</f>
        <v>5018</v>
      </c>
      <c r="P155" s="89"/>
      <c r="Q155" s="89"/>
      <c r="R155" s="89"/>
      <c r="S155" s="89"/>
      <c r="T155" s="89"/>
      <c r="U155" s="89"/>
      <c r="V155" s="89"/>
      <c r="W155" s="89"/>
      <c r="X155" s="89"/>
      <c r="Y155" s="89"/>
      <c r="Z155" s="89"/>
    </row>
    <row r="156" ht="4.5" customHeight="1">
      <c r="A156" s="34"/>
      <c r="B156" s="119"/>
      <c r="C156" s="120"/>
      <c r="D156" s="120"/>
      <c r="E156" s="121"/>
      <c r="F156" s="107"/>
      <c r="G156" s="64"/>
      <c r="H156" s="76" t="str">
        <f>IFERROR(__xludf.DUMMYFUNCTION("IFERROR(VLOOKUP(E156,IMPORTRANGE(""https://docs.google.com/spreadsheets/d/1xZyKy-UzMmtPDLpV5jQdYum1LtbR8XKDuasLSjmBRMI/edit#gid=1241094406"",""COMBINED DATA!E3:L""),8,0))"),"")</f>
        <v/>
      </c>
      <c r="I156" s="76"/>
      <c r="J156" s="65"/>
      <c r="K156" s="85"/>
      <c r="L156" s="85"/>
      <c r="M156" s="85"/>
      <c r="N156" s="85" t="str">
        <f t="shared" si="7"/>
        <v/>
      </c>
      <c r="O156" s="89"/>
      <c r="P156" s="89"/>
      <c r="Q156" s="89"/>
      <c r="R156" s="89"/>
      <c r="S156" s="89"/>
      <c r="T156" s="89"/>
      <c r="U156" s="89"/>
      <c r="V156" s="89"/>
      <c r="W156" s="89"/>
      <c r="X156" s="89"/>
      <c r="Y156" s="89"/>
      <c r="Z156" s="89"/>
    </row>
    <row r="157" ht="22.5" customHeight="1">
      <c r="A157" s="34"/>
      <c r="B157" s="62" t="s">
        <v>515</v>
      </c>
      <c r="C157" s="45"/>
      <c r="D157" s="45"/>
      <c r="E157" s="45"/>
      <c r="F157" s="46"/>
      <c r="G157" s="64"/>
      <c r="H157" s="76" t="str">
        <f>IFERROR(__xludf.DUMMYFUNCTION("IFERROR(VLOOKUP(E157,IMPORTRANGE(""https://docs.google.com/spreadsheets/d/1xZyKy-UzMmtPDLpV5jQdYum1LtbR8XKDuasLSjmBRMI/edit#gid=1241094406"",""COMBINED DATA!E3:L""),8,0))"),"")</f>
        <v/>
      </c>
      <c r="I157" s="76"/>
      <c r="J157" s="65"/>
      <c r="K157" s="85"/>
      <c r="L157" s="85"/>
      <c r="M157" s="85"/>
      <c r="N157" s="85" t="str">
        <f t="shared" si="7"/>
        <v/>
      </c>
      <c r="O157" s="89"/>
      <c r="P157" s="89"/>
      <c r="Q157" s="89"/>
      <c r="R157" s="89"/>
      <c r="S157" s="89"/>
      <c r="T157" s="89"/>
      <c r="U157" s="89"/>
      <c r="V157" s="89"/>
      <c r="W157" s="89"/>
      <c r="X157" s="89"/>
      <c r="Y157" s="89"/>
      <c r="Z157" s="89"/>
    </row>
    <row r="158" ht="15.75" customHeight="1">
      <c r="A158" s="67" t="str">
        <f t="shared" ref="A158:A165" si="98">$B$157&amp;C158</f>
        <v>Male Adapter Plastic Threads3⁄4 x 1⁄2</v>
      </c>
      <c r="B158" s="81">
        <v>1.0</v>
      </c>
      <c r="C158" s="51" t="s">
        <v>144</v>
      </c>
      <c r="D158" s="70" t="s">
        <v>145</v>
      </c>
      <c r="E158" s="129" t="s">
        <v>524</v>
      </c>
      <c r="F158" s="181">
        <v>32.3</v>
      </c>
      <c r="G158" s="76">
        <f>IFERROR(__xludf.DUMMYFUNCTION("ArrayFormula(IFERROR(VLOOKUP(E158,IMPORTRANGE(""https://docs.google.com/spreadsheets/d/1xZyKy-UzMmtPDLpV5jQdYum1LtbR8XKDuasLSjmBRMI/edit#gid=1241094406"",""COMBINED DATA!E3:L""),{7,8},0)))"),0.0157)</f>
        <v>0.0157</v>
      </c>
      <c r="H158" s="76">
        <f>IFERROR(__xludf.DUMMYFUNCTION("""COMPUTED_VALUE"""),0.0)</f>
        <v>0</v>
      </c>
      <c r="I158" s="76">
        <f t="shared" ref="I158:I165" si="99">G158+H158</f>
        <v>0.0157</v>
      </c>
      <c r="J158" s="84">
        <f t="shared" ref="J158:J165" si="100">IFERROR(F158/$I158,"")</f>
        <v>2057.324841</v>
      </c>
      <c r="K158" s="85">
        <f t="shared" ref="K158:K165" si="101">IFERROR(G158*250,)</f>
        <v>3.925</v>
      </c>
      <c r="L158" s="85">
        <f t="shared" ref="L158:L165" si="102">IFERROR(H158*750,"")</f>
        <v>0</v>
      </c>
      <c r="M158" s="85">
        <f t="shared" ref="M158:M165" si="103">K158+L158</f>
        <v>3.925</v>
      </c>
      <c r="N158" s="85">
        <f t="shared" si="7"/>
        <v>8.229299363</v>
      </c>
      <c r="O158" s="184">
        <v>32.3</v>
      </c>
      <c r="P158" s="89"/>
      <c r="Q158" s="89"/>
      <c r="R158" s="89"/>
      <c r="S158" s="89"/>
      <c r="T158" s="89"/>
      <c r="U158" s="89"/>
      <c r="V158" s="89"/>
      <c r="W158" s="89"/>
      <c r="X158" s="89"/>
      <c r="Y158" s="89"/>
      <c r="Z158" s="89"/>
    </row>
    <row r="159" ht="15.75" customHeight="1">
      <c r="A159" s="67" t="str">
        <f t="shared" si="98"/>
        <v>Male Adapter Plastic Threads3⁄4</v>
      </c>
      <c r="B159" s="81">
        <v>2.0</v>
      </c>
      <c r="C159" s="150" t="s">
        <v>51</v>
      </c>
      <c r="D159" s="92">
        <v>20.0</v>
      </c>
      <c r="E159" s="94" t="s">
        <v>578</v>
      </c>
      <c r="F159" s="56">
        <v>23.6</v>
      </c>
      <c r="G159" s="76">
        <f>IFERROR(__xludf.DUMMYFUNCTION("ArrayFormula(IFERROR(VLOOKUP(E159,IMPORTRANGE(""https://docs.google.com/spreadsheets/d/1xZyKy-UzMmtPDLpV5jQdYum1LtbR8XKDuasLSjmBRMI/edit#gid=1241094406"",""COMBINED DATA!E3:L""),{7,8},0)))"),0.01572)</f>
        <v>0.01572</v>
      </c>
      <c r="H159" s="76">
        <f>IFERROR(__xludf.DUMMYFUNCTION("""COMPUTED_VALUE"""),0.0)</f>
        <v>0</v>
      </c>
      <c r="I159" s="76">
        <f t="shared" si="99"/>
        <v>0.01572</v>
      </c>
      <c r="J159" s="84">
        <f t="shared" si="100"/>
        <v>1501.272265</v>
      </c>
      <c r="K159" s="85">
        <f t="shared" si="101"/>
        <v>3.93</v>
      </c>
      <c r="L159" s="85">
        <f t="shared" si="102"/>
        <v>0</v>
      </c>
      <c r="M159" s="85">
        <f t="shared" si="103"/>
        <v>3.93</v>
      </c>
      <c r="N159" s="85">
        <f t="shared" si="7"/>
        <v>6.005089059</v>
      </c>
      <c r="O159" s="87">
        <v>23.6</v>
      </c>
      <c r="P159" s="89"/>
      <c r="Q159" s="89"/>
      <c r="R159" s="89"/>
      <c r="S159" s="89"/>
      <c r="T159" s="89"/>
      <c r="U159" s="89"/>
      <c r="V159" s="89"/>
      <c r="W159" s="89"/>
      <c r="X159" s="89"/>
      <c r="Y159" s="89"/>
      <c r="Z159" s="89"/>
    </row>
    <row r="160" ht="15.75" customHeight="1">
      <c r="A160" s="67" t="str">
        <f t="shared" si="98"/>
        <v>Male Adapter Plastic Threads1</v>
      </c>
      <c r="B160" s="81">
        <v>3.0</v>
      </c>
      <c r="C160" s="150" t="s">
        <v>84</v>
      </c>
      <c r="D160" s="92">
        <v>25.0</v>
      </c>
      <c r="E160" s="94" t="s">
        <v>579</v>
      </c>
      <c r="F160" s="56">
        <v>36.5</v>
      </c>
      <c r="G160" s="76">
        <f>IFERROR(__xludf.DUMMYFUNCTION("ArrayFormula(IFERROR(VLOOKUP(E160,IMPORTRANGE(""https://docs.google.com/spreadsheets/d/1xZyKy-UzMmtPDLpV5jQdYum1LtbR8XKDuasLSjmBRMI/edit#gid=1241094406"",""COMBINED DATA!E3:L""),{7,8},0)))"),0.022625)</f>
        <v>0.022625</v>
      </c>
      <c r="H160" s="76">
        <f>IFERROR(__xludf.DUMMYFUNCTION("""COMPUTED_VALUE"""),0.0)</f>
        <v>0</v>
      </c>
      <c r="I160" s="76">
        <f t="shared" si="99"/>
        <v>0.022625</v>
      </c>
      <c r="J160" s="84">
        <f t="shared" si="100"/>
        <v>1613.259669</v>
      </c>
      <c r="K160" s="85">
        <f t="shared" si="101"/>
        <v>5.65625</v>
      </c>
      <c r="L160" s="85">
        <f t="shared" si="102"/>
        <v>0</v>
      </c>
      <c r="M160" s="85">
        <f t="shared" si="103"/>
        <v>5.65625</v>
      </c>
      <c r="N160" s="85">
        <f t="shared" si="7"/>
        <v>6.453038674</v>
      </c>
      <c r="O160" s="87">
        <v>36.5</v>
      </c>
      <c r="P160" s="89"/>
      <c r="Q160" s="89"/>
      <c r="R160" s="89"/>
      <c r="S160" s="89"/>
      <c r="T160" s="89"/>
      <c r="U160" s="89"/>
      <c r="V160" s="89"/>
      <c r="W160" s="89"/>
      <c r="X160" s="89"/>
      <c r="Y160" s="89"/>
      <c r="Z160" s="89"/>
    </row>
    <row r="161" ht="15.75" customHeight="1">
      <c r="A161" s="67" t="str">
        <f t="shared" si="98"/>
        <v>Male Adapter Plastic Threads1 1⁄4</v>
      </c>
      <c r="B161" s="81">
        <v>4.0</v>
      </c>
      <c r="C161" s="150" t="s">
        <v>55</v>
      </c>
      <c r="D161" s="92">
        <v>32.0</v>
      </c>
      <c r="E161" s="94" t="s">
        <v>581</v>
      </c>
      <c r="F161" s="56">
        <v>54.2</v>
      </c>
      <c r="G161" s="76">
        <f>IFERROR(__xludf.DUMMYFUNCTION("ArrayFormula(IFERROR(VLOOKUP(E161,IMPORTRANGE(""https://docs.google.com/spreadsheets/d/1xZyKy-UzMmtPDLpV5jQdYum1LtbR8XKDuasLSjmBRMI/edit#gid=1241094406"",""COMBINED DATA!E3:L""),{7,8},0)))"),0.0371)</f>
        <v>0.0371</v>
      </c>
      <c r="H161" s="76">
        <f>IFERROR(__xludf.DUMMYFUNCTION("""COMPUTED_VALUE"""),0.0)</f>
        <v>0</v>
      </c>
      <c r="I161" s="76">
        <f t="shared" si="99"/>
        <v>0.0371</v>
      </c>
      <c r="J161" s="84">
        <f t="shared" si="100"/>
        <v>1460.916442</v>
      </c>
      <c r="K161" s="85">
        <f t="shared" si="101"/>
        <v>9.275</v>
      </c>
      <c r="L161" s="85">
        <f t="shared" si="102"/>
        <v>0</v>
      </c>
      <c r="M161" s="85">
        <f t="shared" si="103"/>
        <v>9.275</v>
      </c>
      <c r="N161" s="85">
        <f t="shared" si="7"/>
        <v>5.843665768</v>
      </c>
      <c r="O161" s="87">
        <v>54.2</v>
      </c>
      <c r="P161" s="89"/>
      <c r="Q161" s="89"/>
      <c r="R161" s="89"/>
      <c r="S161" s="89"/>
      <c r="T161" s="89"/>
      <c r="U161" s="89"/>
      <c r="V161" s="89"/>
      <c r="W161" s="89"/>
      <c r="X161" s="89"/>
      <c r="Y161" s="89"/>
      <c r="Z161" s="89"/>
    </row>
    <row r="162" ht="15.75" customHeight="1">
      <c r="A162" s="67" t="str">
        <f t="shared" si="98"/>
        <v>Male Adapter Plastic Threads1 1⁄2</v>
      </c>
      <c r="B162" s="81">
        <v>5.0</v>
      </c>
      <c r="C162" s="150" t="s">
        <v>56</v>
      </c>
      <c r="D162" s="92">
        <v>40.0</v>
      </c>
      <c r="E162" s="94" t="s">
        <v>583</v>
      </c>
      <c r="F162" s="56">
        <v>91.6</v>
      </c>
      <c r="G162" s="76">
        <f>IFERROR(__xludf.DUMMYFUNCTION("ArrayFormula(IFERROR(VLOOKUP(E162,IMPORTRANGE(""https://docs.google.com/spreadsheets/d/1xZyKy-UzMmtPDLpV5jQdYum1LtbR8XKDuasLSjmBRMI/edit#gid=1241094406"",""COMBINED DATA!E3:L""),{7,8},0)))"),0.05675)</f>
        <v>0.05675</v>
      </c>
      <c r="H162" s="76">
        <f>IFERROR(__xludf.DUMMYFUNCTION("""COMPUTED_VALUE"""),0.0)</f>
        <v>0</v>
      </c>
      <c r="I162" s="76">
        <f t="shared" si="99"/>
        <v>0.05675</v>
      </c>
      <c r="J162" s="84">
        <f t="shared" si="100"/>
        <v>1614.096916</v>
      </c>
      <c r="K162" s="85">
        <f t="shared" si="101"/>
        <v>14.1875</v>
      </c>
      <c r="L162" s="85">
        <f t="shared" si="102"/>
        <v>0</v>
      </c>
      <c r="M162" s="85">
        <f t="shared" si="103"/>
        <v>14.1875</v>
      </c>
      <c r="N162" s="85">
        <f t="shared" si="7"/>
        <v>6.456387665</v>
      </c>
      <c r="O162" s="87">
        <v>91.6</v>
      </c>
      <c r="P162" s="89"/>
      <c r="Q162" s="89"/>
      <c r="R162" s="89"/>
      <c r="S162" s="89"/>
      <c r="T162" s="89"/>
      <c r="U162" s="89"/>
      <c r="V162" s="89"/>
      <c r="W162" s="89"/>
      <c r="X162" s="89"/>
      <c r="Y162" s="89"/>
      <c r="Z162" s="89"/>
    </row>
    <row r="163" ht="15.75" customHeight="1">
      <c r="A163" s="67" t="str">
        <f t="shared" si="98"/>
        <v>Male Adapter Plastic Threads2</v>
      </c>
      <c r="B163" s="81">
        <v>6.0</v>
      </c>
      <c r="C163" s="150" t="s">
        <v>107</v>
      </c>
      <c r="D163" s="92">
        <v>50.0</v>
      </c>
      <c r="E163" s="94" t="s">
        <v>584</v>
      </c>
      <c r="F163" s="56">
        <v>169.0</v>
      </c>
      <c r="G163" s="76">
        <f>IFERROR(__xludf.DUMMYFUNCTION("ArrayFormula(IFERROR(VLOOKUP(E163,IMPORTRANGE(""https://docs.google.com/spreadsheets/d/1xZyKy-UzMmtPDLpV5jQdYum1LtbR8XKDuasLSjmBRMI/edit#gid=1241094406"",""COMBINED DATA!E3:L""),{7,8},0)))"),0.1092)</f>
        <v>0.1092</v>
      </c>
      <c r="H163" s="76">
        <f>IFERROR(__xludf.DUMMYFUNCTION("""COMPUTED_VALUE"""),0.0)</f>
        <v>0</v>
      </c>
      <c r="I163" s="76">
        <f t="shared" si="99"/>
        <v>0.1092</v>
      </c>
      <c r="J163" s="84">
        <f t="shared" si="100"/>
        <v>1547.619048</v>
      </c>
      <c r="K163" s="85">
        <f t="shared" si="101"/>
        <v>27.3</v>
      </c>
      <c r="L163" s="85">
        <f t="shared" si="102"/>
        <v>0</v>
      </c>
      <c r="M163" s="85">
        <f t="shared" si="103"/>
        <v>27.3</v>
      </c>
      <c r="N163" s="85">
        <f t="shared" si="7"/>
        <v>6.19047619</v>
      </c>
      <c r="O163" s="87">
        <v>169.0</v>
      </c>
      <c r="P163" s="89"/>
      <c r="Q163" s="89"/>
      <c r="R163" s="89"/>
      <c r="S163" s="89"/>
      <c r="T163" s="89"/>
      <c r="U163" s="89"/>
      <c r="V163" s="89"/>
      <c r="W163" s="89"/>
      <c r="X163" s="89"/>
      <c r="Y163" s="89"/>
      <c r="Z163" s="89"/>
    </row>
    <row r="164" ht="15.75" customHeight="1">
      <c r="A164" s="67" t="str">
        <f t="shared" si="98"/>
        <v>Male Adapter Plastic Threads1 x 1⁄2</v>
      </c>
      <c r="B164" s="81">
        <v>7.0</v>
      </c>
      <c r="C164" s="90" t="s">
        <v>352</v>
      </c>
      <c r="D164" s="127" t="s">
        <v>353</v>
      </c>
      <c r="E164" s="112" t="s">
        <v>586</v>
      </c>
      <c r="F164" s="56">
        <v>56.8</v>
      </c>
      <c r="G164" s="76">
        <f>IFERROR(__xludf.DUMMYFUNCTION("ArrayFormula(IFERROR(VLOOKUP(E164,IMPORTRANGE(""https://docs.google.com/spreadsheets/d/1xZyKy-UzMmtPDLpV5jQdYum1LtbR8XKDuasLSjmBRMI/edit#gid=1241094406"",""COMBINED DATA!E3:L""),{7,8},0)))"),0.024)</f>
        <v>0.024</v>
      </c>
      <c r="H164" s="76">
        <f>IFERROR(__xludf.DUMMYFUNCTION("""COMPUTED_VALUE"""),0.0)</f>
        <v>0</v>
      </c>
      <c r="I164" s="76">
        <f t="shared" si="99"/>
        <v>0.024</v>
      </c>
      <c r="J164" s="84">
        <f t="shared" si="100"/>
        <v>2366.666667</v>
      </c>
      <c r="K164" s="85">
        <f t="shared" si="101"/>
        <v>6</v>
      </c>
      <c r="L164" s="85">
        <f t="shared" si="102"/>
        <v>0</v>
      </c>
      <c r="M164" s="85">
        <f t="shared" si="103"/>
        <v>6</v>
      </c>
      <c r="N164" s="85">
        <f t="shared" si="7"/>
        <v>9.466666667</v>
      </c>
      <c r="O164" s="87">
        <v>56.8</v>
      </c>
      <c r="P164" s="89"/>
      <c r="Q164" s="89"/>
      <c r="R164" s="89"/>
      <c r="S164" s="89"/>
      <c r="T164" s="89"/>
      <c r="U164" s="89"/>
      <c r="V164" s="89"/>
      <c r="W164" s="89"/>
      <c r="X164" s="89"/>
      <c r="Y164" s="89"/>
      <c r="Z164" s="89"/>
    </row>
    <row r="165" ht="15.75" customHeight="1">
      <c r="A165" s="67" t="str">
        <f t="shared" si="98"/>
        <v>Male Adapter Plastic Threads1 x 3⁄4</v>
      </c>
      <c r="B165" s="81">
        <v>8.0</v>
      </c>
      <c r="C165" s="90" t="s">
        <v>153</v>
      </c>
      <c r="D165" s="127" t="s">
        <v>155</v>
      </c>
      <c r="E165" s="112" t="s">
        <v>588</v>
      </c>
      <c r="F165" s="181">
        <v>41.8</v>
      </c>
      <c r="G165" s="76">
        <f>IFERROR(__xludf.DUMMYFUNCTION("ArrayFormula(IFERROR(VLOOKUP(E165,IMPORTRANGE(""https://docs.google.com/spreadsheets/d/1xZyKy-UzMmtPDLpV5jQdYum1LtbR8XKDuasLSjmBRMI/edit#gid=1241094406"",""COMBINED DATA!E3:L""),{7,8},0)))"),0.024)</f>
        <v>0.024</v>
      </c>
      <c r="H165" s="76">
        <f>IFERROR(__xludf.DUMMYFUNCTION("""COMPUTED_VALUE"""),0.0)</f>
        <v>0</v>
      </c>
      <c r="I165" s="76">
        <f t="shared" si="99"/>
        <v>0.024</v>
      </c>
      <c r="J165" s="84">
        <f t="shared" si="100"/>
        <v>1741.666667</v>
      </c>
      <c r="K165" s="85">
        <f t="shared" si="101"/>
        <v>6</v>
      </c>
      <c r="L165" s="85">
        <f t="shared" si="102"/>
        <v>0</v>
      </c>
      <c r="M165" s="85">
        <f t="shared" si="103"/>
        <v>6</v>
      </c>
      <c r="N165" s="85">
        <f t="shared" si="7"/>
        <v>6.966666667</v>
      </c>
      <c r="O165" s="184">
        <v>41.8</v>
      </c>
      <c r="P165" s="89"/>
      <c r="Q165" s="89"/>
      <c r="R165" s="89"/>
      <c r="S165" s="89"/>
      <c r="T165" s="89"/>
      <c r="U165" s="89"/>
      <c r="V165" s="89"/>
      <c r="W165" s="89"/>
      <c r="X165" s="89"/>
      <c r="Y165" s="89"/>
      <c r="Z165" s="89"/>
    </row>
    <row r="166">
      <c r="A166" s="100"/>
      <c r="B166" s="102" t="s">
        <v>11</v>
      </c>
      <c r="C166" s="45"/>
      <c r="D166" s="45"/>
      <c r="E166" s="46"/>
      <c r="F166" s="103">
        <f>SUM(F158:F165)</f>
        <v>505.8</v>
      </c>
      <c r="G166" s="104"/>
      <c r="H166" s="76" t="str">
        <f>IFERROR(__xludf.DUMMYFUNCTION("IFERROR(VLOOKUP(E166,IMPORTRANGE(""https://docs.google.com/spreadsheets/d/1xZyKy-UzMmtPDLpV5jQdYum1LtbR8XKDuasLSjmBRMI/edit#gid=1241094406"",""COMBINED DATA!E3:L""),8,0))"),"")</f>
        <v/>
      </c>
      <c r="I166" s="76"/>
      <c r="J166" s="116"/>
      <c r="K166" s="85"/>
      <c r="L166" s="85"/>
      <c r="M166" s="85"/>
      <c r="N166" s="85" t="str">
        <f t="shared" si="7"/>
        <v/>
      </c>
      <c r="O166" s="103">
        <f>SUM(O158:O165)</f>
        <v>505.8</v>
      </c>
      <c r="P166" s="89"/>
      <c r="Q166" s="89"/>
      <c r="R166" s="89"/>
      <c r="S166" s="89"/>
      <c r="T166" s="89"/>
      <c r="U166" s="89"/>
      <c r="V166" s="89"/>
      <c r="W166" s="89"/>
      <c r="X166" s="89"/>
      <c r="Y166" s="89"/>
      <c r="Z166" s="89"/>
    </row>
    <row r="167" ht="6.0" customHeight="1">
      <c r="A167" s="34"/>
      <c r="B167" s="119"/>
      <c r="C167" s="120"/>
      <c r="D167" s="120"/>
      <c r="E167" s="121"/>
      <c r="F167" s="107"/>
      <c r="G167" s="64"/>
      <c r="H167" s="76" t="str">
        <f>IFERROR(__xludf.DUMMYFUNCTION("IFERROR(VLOOKUP(E167,IMPORTRANGE(""https://docs.google.com/spreadsheets/d/1xZyKy-UzMmtPDLpV5jQdYum1LtbR8XKDuasLSjmBRMI/edit#gid=1241094406"",""COMBINED DATA!E3:L""),8,0))"),"")</f>
        <v/>
      </c>
      <c r="I167" s="76"/>
      <c r="J167" s="65"/>
      <c r="K167" s="85"/>
      <c r="L167" s="85"/>
      <c r="M167" s="85"/>
      <c r="N167" s="85" t="str">
        <f t="shared" si="7"/>
        <v/>
      </c>
      <c r="O167" s="89"/>
      <c r="P167" s="89"/>
      <c r="Q167" s="89"/>
      <c r="R167" s="89"/>
      <c r="S167" s="89"/>
      <c r="T167" s="89"/>
      <c r="U167" s="89"/>
      <c r="V167" s="89"/>
      <c r="W167" s="89"/>
      <c r="X167" s="89"/>
      <c r="Y167" s="89"/>
      <c r="Z167" s="89"/>
    </row>
    <row r="168" ht="22.5" customHeight="1">
      <c r="A168" s="34"/>
      <c r="B168" s="62" t="s">
        <v>593</v>
      </c>
      <c r="C168" s="45"/>
      <c r="D168" s="45"/>
      <c r="E168" s="45"/>
      <c r="F168" s="46"/>
      <c r="G168" s="64"/>
      <c r="H168" s="76" t="str">
        <f>IFERROR(__xludf.DUMMYFUNCTION("IFERROR(VLOOKUP(E168,IMPORTRANGE(""https://docs.google.com/spreadsheets/d/1xZyKy-UzMmtPDLpV5jQdYum1LtbR8XKDuasLSjmBRMI/edit#gid=1241094406"",""COMBINED DATA!E3:L""),8,0))"),"")</f>
        <v/>
      </c>
      <c r="I168" s="76"/>
      <c r="J168" s="65"/>
      <c r="K168" s="85"/>
      <c r="L168" s="85"/>
      <c r="M168" s="85"/>
      <c r="N168" s="85" t="str">
        <f t="shared" si="7"/>
        <v/>
      </c>
      <c r="O168" s="89"/>
      <c r="P168" s="89"/>
      <c r="Q168" s="89"/>
      <c r="R168" s="89"/>
      <c r="S168" s="89"/>
      <c r="T168" s="89"/>
      <c r="U168" s="89"/>
      <c r="V168" s="89"/>
      <c r="W168" s="89"/>
      <c r="X168" s="89"/>
      <c r="Y168" s="89"/>
      <c r="Z168" s="89"/>
    </row>
    <row r="169" ht="15.75" customHeight="1">
      <c r="A169" s="67" t="str">
        <f t="shared" ref="A169:A171" si="104">$B$168&amp;C169</f>
        <v>Male Adapter Plastic Threads (SCH-80)2 1⁄2</v>
      </c>
      <c r="B169" s="81">
        <v>1.0</v>
      </c>
      <c r="C169" s="68" t="s">
        <v>69</v>
      </c>
      <c r="D169" s="110">
        <v>65.0</v>
      </c>
      <c r="E169" s="111" t="s">
        <v>604</v>
      </c>
      <c r="F169" s="181">
        <v>414.2</v>
      </c>
      <c r="G169" s="76">
        <f>IFERROR(__xludf.DUMMYFUNCTION("ArrayFormula(IFERROR(VLOOKUP(E169,IMPORTRANGE(""https://docs.google.com/spreadsheets/d/1xZyKy-UzMmtPDLpV5jQdYum1LtbR8XKDuasLSjmBRMI/edit#gid=1241094406"",""COMBINED DATA!E3:L""),{7,8},0)))"),0.2145)</f>
        <v>0.2145</v>
      </c>
      <c r="H169" s="76">
        <f>IFERROR(__xludf.DUMMYFUNCTION("""COMPUTED_VALUE"""),0.0)</f>
        <v>0</v>
      </c>
      <c r="I169" s="76">
        <f t="shared" ref="I169:I171" si="105">G169+H169</f>
        <v>0.2145</v>
      </c>
      <c r="J169" s="84">
        <f t="shared" ref="J169:J171" si="106">IFERROR(F169/$I169,"")</f>
        <v>1931.002331</v>
      </c>
      <c r="K169" s="85">
        <f t="shared" ref="K169:K171" si="107">IFERROR(G169*250,)</f>
        <v>53.625</v>
      </c>
      <c r="L169" s="85">
        <f t="shared" ref="L169:L171" si="108">IFERROR(H169*750,"")</f>
        <v>0</v>
      </c>
      <c r="M169" s="85">
        <f t="shared" ref="M169:M171" si="109">K169+L169</f>
        <v>53.625</v>
      </c>
      <c r="N169" s="85">
        <f t="shared" si="7"/>
        <v>7.724009324</v>
      </c>
      <c r="O169" s="60">
        <v>414.2</v>
      </c>
      <c r="P169" s="89"/>
      <c r="Q169" s="89"/>
      <c r="R169" s="89"/>
      <c r="S169" s="89"/>
      <c r="T169" s="89"/>
      <c r="U169" s="89"/>
      <c r="V169" s="89"/>
      <c r="W169" s="89"/>
      <c r="X169" s="89"/>
      <c r="Y169" s="89"/>
      <c r="Z169" s="89"/>
    </row>
    <row r="170" ht="15.75" customHeight="1">
      <c r="A170" s="67" t="str">
        <f t="shared" si="104"/>
        <v>Male Adapter Plastic Threads (SCH-80)3</v>
      </c>
      <c r="B170" s="81">
        <v>2.0</v>
      </c>
      <c r="C170" s="90">
        <v>3.0</v>
      </c>
      <c r="D170" s="127">
        <v>80.0</v>
      </c>
      <c r="E170" s="112" t="s">
        <v>611</v>
      </c>
      <c r="F170" s="181">
        <v>568.1</v>
      </c>
      <c r="G170" s="76">
        <f>IFERROR(__xludf.DUMMYFUNCTION("ArrayFormula(IFERROR(VLOOKUP(E170,IMPORTRANGE(""https://docs.google.com/spreadsheets/d/1xZyKy-UzMmtPDLpV5jQdYum1LtbR8XKDuasLSjmBRMI/edit#gid=1241094406"",""COMBINED DATA!E3:L""),{7,8},0)))"),0.302)</f>
        <v>0.302</v>
      </c>
      <c r="H170" s="76">
        <f>IFERROR(__xludf.DUMMYFUNCTION("""COMPUTED_VALUE"""),0.0)</f>
        <v>0</v>
      </c>
      <c r="I170" s="76">
        <f t="shared" si="105"/>
        <v>0.302</v>
      </c>
      <c r="J170" s="84">
        <f t="shared" si="106"/>
        <v>1881.125828</v>
      </c>
      <c r="K170" s="85">
        <f t="shared" si="107"/>
        <v>75.5</v>
      </c>
      <c r="L170" s="85">
        <f t="shared" si="108"/>
        <v>0</v>
      </c>
      <c r="M170" s="85">
        <f t="shared" si="109"/>
        <v>75.5</v>
      </c>
      <c r="N170" s="85">
        <f t="shared" si="7"/>
        <v>7.524503311</v>
      </c>
      <c r="O170" s="60">
        <v>568.1</v>
      </c>
      <c r="P170" s="89"/>
      <c r="Q170" s="89"/>
      <c r="R170" s="89"/>
      <c r="S170" s="89"/>
      <c r="T170" s="89"/>
      <c r="U170" s="89"/>
      <c r="V170" s="89"/>
      <c r="W170" s="89"/>
      <c r="X170" s="89"/>
      <c r="Y170" s="89"/>
      <c r="Z170" s="89"/>
    </row>
    <row r="171" ht="15.75" customHeight="1">
      <c r="A171" s="67" t="str">
        <f t="shared" si="104"/>
        <v>Male Adapter Plastic Threads (SCH-80)4</v>
      </c>
      <c r="B171" s="81">
        <v>3.0</v>
      </c>
      <c r="C171" s="90">
        <v>4.0</v>
      </c>
      <c r="D171" s="127">
        <v>100.0</v>
      </c>
      <c r="E171" s="112" t="s">
        <v>617</v>
      </c>
      <c r="F171" s="181">
        <v>1079.2</v>
      </c>
      <c r="G171" s="76">
        <f>IFERROR(__xludf.DUMMYFUNCTION("ArrayFormula(IFERROR(VLOOKUP(E171,IMPORTRANGE(""https://docs.google.com/spreadsheets/d/1xZyKy-UzMmtPDLpV5jQdYum1LtbR8XKDuasLSjmBRMI/edit#gid=1241094406"",""COMBINED DATA!E3:L""),{7,8},0)))"),0.596)</f>
        <v>0.596</v>
      </c>
      <c r="H171" s="76">
        <f>IFERROR(__xludf.DUMMYFUNCTION("""COMPUTED_VALUE"""),0.0)</f>
        <v>0</v>
      </c>
      <c r="I171" s="76">
        <f t="shared" si="105"/>
        <v>0.596</v>
      </c>
      <c r="J171" s="84">
        <f t="shared" si="106"/>
        <v>1810.738255</v>
      </c>
      <c r="K171" s="85">
        <f t="shared" si="107"/>
        <v>149</v>
      </c>
      <c r="L171" s="85">
        <f t="shared" si="108"/>
        <v>0</v>
      </c>
      <c r="M171" s="85">
        <f t="shared" si="109"/>
        <v>149</v>
      </c>
      <c r="N171" s="85">
        <f t="shared" si="7"/>
        <v>7.24295302</v>
      </c>
      <c r="O171" s="60">
        <v>1079.2</v>
      </c>
      <c r="P171" s="89"/>
      <c r="Q171" s="89"/>
      <c r="R171" s="89"/>
      <c r="S171" s="89"/>
      <c r="T171" s="89"/>
      <c r="U171" s="89"/>
      <c r="V171" s="89"/>
      <c r="W171" s="89"/>
      <c r="X171" s="89"/>
      <c r="Y171" s="89"/>
      <c r="Z171" s="89"/>
    </row>
    <row r="172">
      <c r="A172" s="100"/>
      <c r="B172" s="102" t="s">
        <v>11</v>
      </c>
      <c r="C172" s="45"/>
      <c r="D172" s="45"/>
      <c r="E172" s="46"/>
      <c r="F172" s="131">
        <f>SUM(F169:F171)</f>
        <v>2061.5</v>
      </c>
      <c r="G172" s="104"/>
      <c r="H172" s="76" t="str">
        <f>IFERROR(__xludf.DUMMYFUNCTION("IFERROR(VLOOKUP(E172,IMPORTRANGE(""https://docs.google.com/spreadsheets/d/1xZyKy-UzMmtPDLpV5jQdYum1LtbR8XKDuasLSjmBRMI/edit#gid=1241094406"",""COMBINED DATA!E3:L""),8,0))"),"")</f>
        <v/>
      </c>
      <c r="I172" s="76"/>
      <c r="J172" s="116"/>
      <c r="K172" s="85"/>
      <c r="L172" s="85"/>
      <c r="M172" s="85"/>
      <c r="N172" s="85" t="str">
        <f t="shared" si="7"/>
        <v/>
      </c>
      <c r="O172" s="131">
        <f>SUM(O169:O171)</f>
        <v>2061.5</v>
      </c>
      <c r="P172" s="89"/>
      <c r="Q172" s="89"/>
      <c r="R172" s="89"/>
      <c r="S172" s="89"/>
      <c r="T172" s="89"/>
      <c r="U172" s="89"/>
      <c r="V172" s="89"/>
      <c r="W172" s="89"/>
      <c r="X172" s="89"/>
      <c r="Y172" s="89"/>
      <c r="Z172" s="89"/>
    </row>
    <row r="173" ht="6.0" customHeight="1">
      <c r="A173" s="34"/>
      <c r="B173" s="119"/>
      <c r="C173" s="120"/>
      <c r="D173" s="120"/>
      <c r="E173" s="121"/>
      <c r="F173" s="107"/>
      <c r="G173" s="64"/>
      <c r="H173" s="76" t="str">
        <f>IFERROR(__xludf.DUMMYFUNCTION("IFERROR(VLOOKUP(E173,IMPORTRANGE(""https://docs.google.com/spreadsheets/d/1xZyKy-UzMmtPDLpV5jQdYum1LtbR8XKDuasLSjmBRMI/edit#gid=1241094406"",""COMBINED DATA!E3:L""),8,0))"),"")</f>
        <v/>
      </c>
      <c r="I173" s="76"/>
      <c r="J173" s="65"/>
      <c r="K173" s="85"/>
      <c r="L173" s="85"/>
      <c r="M173" s="85"/>
      <c r="N173" s="85" t="str">
        <f t="shared" si="7"/>
        <v/>
      </c>
      <c r="O173" s="89"/>
      <c r="P173" s="89"/>
      <c r="Q173" s="89"/>
      <c r="R173" s="89"/>
      <c r="S173" s="89"/>
      <c r="T173" s="89"/>
      <c r="U173" s="89"/>
      <c r="V173" s="89"/>
      <c r="W173" s="89"/>
      <c r="X173" s="89"/>
      <c r="Y173" s="89"/>
      <c r="Z173" s="89"/>
    </row>
    <row r="174" ht="22.5" customHeight="1">
      <c r="A174" s="34"/>
      <c r="B174" s="62" t="s">
        <v>641</v>
      </c>
      <c r="C174" s="45"/>
      <c r="D174" s="45"/>
      <c r="E174" s="45"/>
      <c r="F174" s="46"/>
      <c r="G174" s="64"/>
      <c r="H174" s="76" t="str">
        <f>IFERROR(__xludf.DUMMYFUNCTION("IFERROR(VLOOKUP(E174,IMPORTRANGE(""https://docs.google.com/spreadsheets/d/1xZyKy-UzMmtPDLpV5jQdYum1LtbR8XKDuasLSjmBRMI/edit#gid=1241094406"",""COMBINED DATA!E3:L""),8,0))"),"")</f>
        <v/>
      </c>
      <c r="I174" s="76"/>
      <c r="J174" s="65"/>
      <c r="K174" s="85"/>
      <c r="L174" s="85"/>
      <c r="M174" s="85"/>
      <c r="N174" s="85" t="str">
        <f t="shared" si="7"/>
        <v/>
      </c>
      <c r="O174" s="89"/>
      <c r="P174" s="89"/>
      <c r="Q174" s="89"/>
      <c r="R174" s="89"/>
      <c r="S174" s="89"/>
      <c r="T174" s="89"/>
      <c r="U174" s="89"/>
      <c r="V174" s="89"/>
      <c r="W174" s="89"/>
      <c r="X174" s="89"/>
      <c r="Y174" s="89"/>
      <c r="Z174" s="89"/>
    </row>
    <row r="175" ht="15.75" customHeight="1">
      <c r="A175" s="67" t="str">
        <f t="shared" ref="A175:A181" si="110">$B$174&amp;C175</f>
        <v>Female Adapter Plastic Threads3⁄4 x 1⁄2</v>
      </c>
      <c r="B175" s="81">
        <v>1.0</v>
      </c>
      <c r="C175" s="51" t="s">
        <v>144</v>
      </c>
      <c r="D175" s="110" t="s">
        <v>145</v>
      </c>
      <c r="E175" s="111" t="s">
        <v>651</v>
      </c>
      <c r="F175" s="56">
        <v>37.8</v>
      </c>
      <c r="G175" s="76">
        <f>IFERROR(__xludf.DUMMYFUNCTION("ArrayFormula(IFERROR(VLOOKUP(E175,IMPORTRANGE(""https://docs.google.com/spreadsheets/d/1xZyKy-UzMmtPDLpV5jQdYum1LtbR8XKDuasLSjmBRMI/edit#gid=1241094406"",""COMBINED DATA!E3:L""),{7,8},0)))"),0.02095)</f>
        <v>0.02095</v>
      </c>
      <c r="H175" s="76">
        <f>IFERROR(__xludf.DUMMYFUNCTION("""COMPUTED_VALUE"""),0.0)</f>
        <v>0</v>
      </c>
      <c r="I175" s="76">
        <f t="shared" ref="I175:I181" si="111">G175+H175</f>
        <v>0.02095</v>
      </c>
      <c r="J175" s="84">
        <f t="shared" ref="J175:J181" si="112">IFERROR(F175/$I175,"")</f>
        <v>1804.295943</v>
      </c>
      <c r="K175" s="85">
        <f t="shared" ref="K175:K181" si="113">IFERROR(G175*250,)</f>
        <v>5.2375</v>
      </c>
      <c r="L175" s="85">
        <f t="shared" ref="L175:L181" si="114">IFERROR(H175*750,"")</f>
        <v>0</v>
      </c>
      <c r="M175" s="85">
        <f t="shared" ref="M175:M181" si="115">K175+L175</f>
        <v>5.2375</v>
      </c>
      <c r="N175" s="85">
        <f t="shared" si="7"/>
        <v>7.217183771</v>
      </c>
      <c r="O175" s="87">
        <v>37.8</v>
      </c>
      <c r="P175" s="89"/>
      <c r="Q175" s="89"/>
      <c r="R175" s="89"/>
      <c r="S175" s="89"/>
      <c r="T175" s="89"/>
      <c r="U175" s="89"/>
      <c r="V175" s="89"/>
      <c r="W175" s="89"/>
      <c r="X175" s="89"/>
      <c r="Y175" s="89"/>
      <c r="Z175" s="89"/>
    </row>
    <row r="176" ht="15.75" customHeight="1">
      <c r="A176" s="67" t="str">
        <f t="shared" si="110"/>
        <v>Female Adapter Plastic Threads1 x 3⁄4</v>
      </c>
      <c r="B176" s="81">
        <v>2.0</v>
      </c>
      <c r="C176" s="90" t="s">
        <v>153</v>
      </c>
      <c r="D176" s="127" t="s">
        <v>155</v>
      </c>
      <c r="E176" s="112" t="s">
        <v>653</v>
      </c>
      <c r="F176" s="56">
        <v>51.8</v>
      </c>
      <c r="G176" s="76">
        <f>IFERROR(__xludf.DUMMYFUNCTION("ArrayFormula(IFERROR(VLOOKUP(E176,IMPORTRANGE(""https://docs.google.com/spreadsheets/d/1xZyKy-UzMmtPDLpV5jQdYum1LtbR8XKDuasLSjmBRMI/edit#gid=1241094406"",""COMBINED DATA!E3:L""),{7,8},0)))"),0.035075)</f>
        <v>0.035075</v>
      </c>
      <c r="H176" s="76">
        <f>IFERROR(__xludf.DUMMYFUNCTION("""COMPUTED_VALUE"""),0.0)</f>
        <v>0</v>
      </c>
      <c r="I176" s="76">
        <f t="shared" si="111"/>
        <v>0.035075</v>
      </c>
      <c r="J176" s="84">
        <f t="shared" si="112"/>
        <v>1476.835353</v>
      </c>
      <c r="K176" s="85">
        <f t="shared" si="113"/>
        <v>8.76875</v>
      </c>
      <c r="L176" s="85">
        <f t="shared" si="114"/>
        <v>0</v>
      </c>
      <c r="M176" s="85">
        <f t="shared" si="115"/>
        <v>8.76875</v>
      </c>
      <c r="N176" s="85">
        <f t="shared" si="7"/>
        <v>5.907341411</v>
      </c>
      <c r="O176" s="87">
        <v>51.8</v>
      </c>
      <c r="P176" s="89"/>
      <c r="Q176" s="89"/>
      <c r="R176" s="89"/>
      <c r="S176" s="89"/>
      <c r="T176" s="89"/>
      <c r="U176" s="89"/>
      <c r="V176" s="89"/>
      <c r="W176" s="89"/>
      <c r="X176" s="89"/>
      <c r="Y176" s="89"/>
      <c r="Z176" s="89"/>
    </row>
    <row r="177" ht="15.75" customHeight="1">
      <c r="A177" s="67" t="str">
        <f t="shared" si="110"/>
        <v>Female Adapter Plastic Threads3⁄4</v>
      </c>
      <c r="B177" s="81">
        <v>3.0</v>
      </c>
      <c r="C177" s="150" t="s">
        <v>51</v>
      </c>
      <c r="D177" s="92">
        <v>20.0</v>
      </c>
      <c r="E177" s="94" t="s">
        <v>656</v>
      </c>
      <c r="F177" s="56">
        <v>32.9</v>
      </c>
      <c r="G177" s="76">
        <f>IFERROR(__xludf.DUMMYFUNCTION("ArrayFormula(IFERROR(VLOOKUP(E177,IMPORTRANGE(""https://docs.google.com/spreadsheets/d/1xZyKy-UzMmtPDLpV5jQdYum1LtbR8XKDuasLSjmBRMI/edit#gid=1241094406"",""COMBINED DATA!E3:L""),{7,8},0)))"),0.0185)</f>
        <v>0.0185</v>
      </c>
      <c r="H177" s="76">
        <f>IFERROR(__xludf.DUMMYFUNCTION("""COMPUTED_VALUE"""),0.0)</f>
        <v>0</v>
      </c>
      <c r="I177" s="76">
        <f t="shared" si="111"/>
        <v>0.0185</v>
      </c>
      <c r="J177" s="84">
        <f t="shared" si="112"/>
        <v>1778.378378</v>
      </c>
      <c r="K177" s="85">
        <f t="shared" si="113"/>
        <v>4.625</v>
      </c>
      <c r="L177" s="85">
        <f t="shared" si="114"/>
        <v>0</v>
      </c>
      <c r="M177" s="85">
        <f t="shared" si="115"/>
        <v>4.625</v>
      </c>
      <c r="N177" s="85">
        <f t="shared" si="7"/>
        <v>7.113513514</v>
      </c>
      <c r="O177" s="87">
        <v>32.9</v>
      </c>
      <c r="P177" s="89"/>
      <c r="Q177" s="89"/>
      <c r="R177" s="89"/>
      <c r="S177" s="89"/>
      <c r="T177" s="89"/>
      <c r="U177" s="89"/>
      <c r="V177" s="89"/>
      <c r="W177" s="89"/>
      <c r="X177" s="89"/>
      <c r="Y177" s="89"/>
      <c r="Z177" s="89"/>
    </row>
    <row r="178" ht="15.75" customHeight="1">
      <c r="A178" s="67" t="str">
        <f t="shared" si="110"/>
        <v>Female Adapter Plastic Threads1</v>
      </c>
      <c r="B178" s="81">
        <v>4.0</v>
      </c>
      <c r="C178" s="150">
        <v>1.0</v>
      </c>
      <c r="D178" s="92">
        <v>25.0</v>
      </c>
      <c r="E178" s="94" t="s">
        <v>657</v>
      </c>
      <c r="F178" s="56">
        <v>46.4</v>
      </c>
      <c r="G178" s="76">
        <f>IFERROR(__xludf.DUMMYFUNCTION("ArrayFormula(IFERROR(VLOOKUP(E178,IMPORTRANGE(""https://docs.google.com/spreadsheets/d/1xZyKy-UzMmtPDLpV5jQdYum1LtbR8XKDuasLSjmBRMI/edit#gid=1241094406"",""COMBINED DATA!E3:L""),{7,8},0)))"),0.032)</f>
        <v>0.032</v>
      </c>
      <c r="H178" s="76">
        <f>IFERROR(__xludf.DUMMYFUNCTION("""COMPUTED_VALUE"""),0.0)</f>
        <v>0</v>
      </c>
      <c r="I178" s="76">
        <f t="shared" si="111"/>
        <v>0.032</v>
      </c>
      <c r="J178" s="84">
        <f t="shared" si="112"/>
        <v>1450</v>
      </c>
      <c r="K178" s="85">
        <f t="shared" si="113"/>
        <v>8</v>
      </c>
      <c r="L178" s="85">
        <f t="shared" si="114"/>
        <v>0</v>
      </c>
      <c r="M178" s="85">
        <f t="shared" si="115"/>
        <v>8</v>
      </c>
      <c r="N178" s="85">
        <f t="shared" si="7"/>
        <v>5.8</v>
      </c>
      <c r="O178" s="87">
        <v>46.4</v>
      </c>
      <c r="P178" s="89"/>
      <c r="Q178" s="89"/>
      <c r="R178" s="89"/>
      <c r="S178" s="89"/>
      <c r="T178" s="89"/>
      <c r="U178" s="89"/>
      <c r="V178" s="89"/>
      <c r="W178" s="89"/>
      <c r="X178" s="89"/>
      <c r="Y178" s="89"/>
      <c r="Z178" s="89"/>
    </row>
    <row r="179" ht="15.75" customHeight="1">
      <c r="A179" s="67" t="str">
        <f t="shared" si="110"/>
        <v>Female Adapter Plastic Threads1 1⁄4</v>
      </c>
      <c r="B179" s="81">
        <v>5.0</v>
      </c>
      <c r="C179" s="150" t="s">
        <v>55</v>
      </c>
      <c r="D179" s="92">
        <v>32.0</v>
      </c>
      <c r="E179" s="94" t="s">
        <v>659</v>
      </c>
      <c r="F179" s="56">
        <v>109.8</v>
      </c>
      <c r="G179" s="76">
        <f>IFERROR(__xludf.DUMMYFUNCTION("ArrayFormula(IFERROR(VLOOKUP(E179,IMPORTRANGE(""https://docs.google.com/spreadsheets/d/1xZyKy-UzMmtPDLpV5jQdYum1LtbR8XKDuasLSjmBRMI/edit#gid=1241094406"",""COMBINED DATA!E3:L""),{7,8},0)))"),0.0586)</f>
        <v>0.0586</v>
      </c>
      <c r="H179" s="76">
        <f>IFERROR(__xludf.DUMMYFUNCTION("""COMPUTED_VALUE"""),0.0)</f>
        <v>0</v>
      </c>
      <c r="I179" s="76">
        <f t="shared" si="111"/>
        <v>0.0586</v>
      </c>
      <c r="J179" s="84">
        <f t="shared" si="112"/>
        <v>1873.720137</v>
      </c>
      <c r="K179" s="85">
        <f t="shared" si="113"/>
        <v>14.65</v>
      </c>
      <c r="L179" s="85">
        <f t="shared" si="114"/>
        <v>0</v>
      </c>
      <c r="M179" s="85">
        <f t="shared" si="115"/>
        <v>14.65</v>
      </c>
      <c r="N179" s="85">
        <f t="shared" si="7"/>
        <v>7.494880546</v>
      </c>
      <c r="O179" s="87">
        <v>109.8</v>
      </c>
      <c r="P179" s="89"/>
      <c r="Q179" s="89"/>
      <c r="R179" s="89"/>
      <c r="S179" s="89"/>
      <c r="T179" s="89"/>
      <c r="U179" s="89"/>
      <c r="V179" s="89"/>
      <c r="W179" s="89"/>
      <c r="X179" s="89"/>
      <c r="Y179" s="89"/>
      <c r="Z179" s="89"/>
    </row>
    <row r="180" ht="15.75" customHeight="1">
      <c r="A180" s="67" t="str">
        <f t="shared" si="110"/>
        <v>Female Adapter Plastic Threads1 1⁄2</v>
      </c>
      <c r="B180" s="81">
        <v>6.0</v>
      </c>
      <c r="C180" s="150" t="s">
        <v>56</v>
      </c>
      <c r="D180" s="92">
        <v>40.0</v>
      </c>
      <c r="E180" s="94" t="s">
        <v>661</v>
      </c>
      <c r="F180" s="56">
        <v>158.0</v>
      </c>
      <c r="G180" s="76">
        <f>IFERROR(__xludf.DUMMYFUNCTION("ArrayFormula(IFERROR(VLOOKUP(E180,IMPORTRANGE(""https://docs.google.com/spreadsheets/d/1xZyKy-UzMmtPDLpV5jQdYum1LtbR8XKDuasLSjmBRMI/edit#gid=1241094406"",""COMBINED DATA!E3:L""),{7,8},0)))"),0.08425)</f>
        <v>0.08425</v>
      </c>
      <c r="H180" s="76">
        <f>IFERROR(__xludf.DUMMYFUNCTION("""COMPUTED_VALUE"""),0.0)</f>
        <v>0</v>
      </c>
      <c r="I180" s="76">
        <f t="shared" si="111"/>
        <v>0.08425</v>
      </c>
      <c r="J180" s="84">
        <f t="shared" si="112"/>
        <v>1875.37092</v>
      </c>
      <c r="K180" s="85">
        <f t="shared" si="113"/>
        <v>21.0625</v>
      </c>
      <c r="L180" s="85">
        <f t="shared" si="114"/>
        <v>0</v>
      </c>
      <c r="M180" s="85">
        <f t="shared" si="115"/>
        <v>21.0625</v>
      </c>
      <c r="N180" s="85">
        <f t="shared" si="7"/>
        <v>7.50148368</v>
      </c>
      <c r="O180" s="87">
        <v>158.0</v>
      </c>
      <c r="P180" s="89"/>
      <c r="Q180" s="89"/>
      <c r="R180" s="89"/>
      <c r="S180" s="89"/>
      <c r="T180" s="89"/>
      <c r="U180" s="89"/>
      <c r="V180" s="89"/>
      <c r="W180" s="89"/>
      <c r="X180" s="89"/>
      <c r="Y180" s="89"/>
      <c r="Z180" s="89"/>
    </row>
    <row r="181" ht="15.75" customHeight="1">
      <c r="A181" s="67" t="str">
        <f t="shared" si="110"/>
        <v>Female Adapter Plastic Threads2</v>
      </c>
      <c r="B181" s="81">
        <v>7.0</v>
      </c>
      <c r="C181" s="150">
        <v>2.0</v>
      </c>
      <c r="D181" s="92">
        <v>50.0</v>
      </c>
      <c r="E181" s="94" t="s">
        <v>664</v>
      </c>
      <c r="F181" s="56">
        <v>249.0</v>
      </c>
      <c r="G181" s="76">
        <f>IFERROR(__xludf.DUMMYFUNCTION("ArrayFormula(IFERROR(VLOOKUP(E181,IMPORTRANGE(""https://docs.google.com/spreadsheets/d/1xZyKy-UzMmtPDLpV5jQdYum1LtbR8XKDuasLSjmBRMI/edit#gid=1241094406"",""COMBINED DATA!E3:L""),{7,8},0)))"),0.148)</f>
        <v>0.148</v>
      </c>
      <c r="H181" s="76">
        <f>IFERROR(__xludf.DUMMYFUNCTION("""COMPUTED_VALUE"""),0.0)</f>
        <v>0</v>
      </c>
      <c r="I181" s="76">
        <f t="shared" si="111"/>
        <v>0.148</v>
      </c>
      <c r="J181" s="84">
        <f t="shared" si="112"/>
        <v>1682.432432</v>
      </c>
      <c r="K181" s="85">
        <f t="shared" si="113"/>
        <v>37</v>
      </c>
      <c r="L181" s="85">
        <f t="shared" si="114"/>
        <v>0</v>
      </c>
      <c r="M181" s="85">
        <f t="shared" si="115"/>
        <v>37</v>
      </c>
      <c r="N181" s="85">
        <f t="shared" si="7"/>
        <v>6.72972973</v>
      </c>
      <c r="O181" s="87">
        <v>249.0</v>
      </c>
      <c r="P181" s="89"/>
      <c r="Q181" s="89"/>
      <c r="R181" s="89"/>
      <c r="S181" s="89"/>
      <c r="T181" s="89"/>
      <c r="U181" s="89"/>
      <c r="V181" s="89"/>
      <c r="W181" s="89"/>
      <c r="X181" s="89"/>
      <c r="Y181" s="89"/>
      <c r="Z181" s="89"/>
    </row>
    <row r="182">
      <c r="A182" s="100"/>
      <c r="B182" s="102" t="s">
        <v>11</v>
      </c>
      <c r="C182" s="45"/>
      <c r="D182" s="45"/>
      <c r="E182" s="46"/>
      <c r="F182" s="103">
        <f>SUM(F175:F181)</f>
        <v>685.7</v>
      </c>
      <c r="G182" s="104"/>
      <c r="H182" s="76" t="str">
        <f>IFERROR(__xludf.DUMMYFUNCTION("IFERROR(VLOOKUP(E182,IMPORTRANGE(""https://docs.google.com/spreadsheets/d/1xZyKy-UzMmtPDLpV5jQdYum1LtbR8XKDuasLSjmBRMI/edit#gid=1241094406"",""COMBINED DATA!E3:L""),8,0))"),"")</f>
        <v/>
      </c>
      <c r="I182" s="76"/>
      <c r="J182" s="116"/>
      <c r="K182" s="85"/>
      <c r="L182" s="85"/>
      <c r="M182" s="85"/>
      <c r="N182" s="85" t="str">
        <f t="shared" si="7"/>
        <v/>
      </c>
      <c r="O182" s="103">
        <f>SUM(O175:O181)</f>
        <v>685.7</v>
      </c>
      <c r="P182" s="89"/>
      <c r="Q182" s="89"/>
      <c r="R182" s="89"/>
      <c r="S182" s="89"/>
      <c r="T182" s="89"/>
      <c r="U182" s="89"/>
      <c r="V182" s="89"/>
      <c r="W182" s="89"/>
      <c r="X182" s="89"/>
      <c r="Y182" s="89"/>
      <c r="Z182" s="89"/>
    </row>
    <row r="183" ht="6.0" customHeight="1">
      <c r="A183" s="34"/>
      <c r="B183" s="119"/>
      <c r="C183" s="120"/>
      <c r="D183" s="120"/>
      <c r="E183" s="121"/>
      <c r="F183" s="107"/>
      <c r="G183" s="64"/>
      <c r="H183" s="76" t="str">
        <f>IFERROR(__xludf.DUMMYFUNCTION("IFERROR(VLOOKUP(E183,IMPORTRANGE(""https://docs.google.com/spreadsheets/d/1xZyKy-UzMmtPDLpV5jQdYum1LtbR8XKDuasLSjmBRMI/edit#gid=1241094406"",""COMBINED DATA!E3:L""),8,0))"),"")</f>
        <v/>
      </c>
      <c r="I183" s="76"/>
      <c r="J183" s="65"/>
      <c r="K183" s="85"/>
      <c r="L183" s="85"/>
      <c r="M183" s="85"/>
      <c r="N183" s="85" t="str">
        <f t="shared" si="7"/>
        <v/>
      </c>
      <c r="O183" s="89"/>
      <c r="P183" s="89"/>
      <c r="Q183" s="89"/>
      <c r="R183" s="89"/>
      <c r="S183" s="89"/>
      <c r="T183" s="89"/>
      <c r="U183" s="89"/>
      <c r="V183" s="89"/>
      <c r="W183" s="89"/>
      <c r="X183" s="89"/>
      <c r="Y183" s="89"/>
      <c r="Z183" s="89"/>
    </row>
    <row r="184" ht="22.5" customHeight="1">
      <c r="A184" s="34"/>
      <c r="B184" s="62" t="s">
        <v>668</v>
      </c>
      <c r="C184" s="45"/>
      <c r="D184" s="45"/>
      <c r="E184" s="45"/>
      <c r="F184" s="46"/>
      <c r="G184" s="64"/>
      <c r="H184" s="76" t="str">
        <f>IFERROR(__xludf.DUMMYFUNCTION("IFERROR(VLOOKUP(E184,IMPORTRANGE(""https://docs.google.com/spreadsheets/d/1xZyKy-UzMmtPDLpV5jQdYum1LtbR8XKDuasLSjmBRMI/edit#gid=1241094406"",""COMBINED DATA!E3:L""),8,0))"),"")</f>
        <v/>
      </c>
      <c r="I184" s="76"/>
      <c r="J184" s="65"/>
      <c r="K184" s="85"/>
      <c r="L184" s="85"/>
      <c r="M184" s="85"/>
      <c r="N184" s="85" t="str">
        <f t="shared" si="7"/>
        <v/>
      </c>
      <c r="O184" s="89"/>
      <c r="P184" s="89"/>
      <c r="Q184" s="89"/>
      <c r="R184" s="89"/>
      <c r="S184" s="89"/>
      <c r="T184" s="89"/>
      <c r="U184" s="89"/>
      <c r="V184" s="89"/>
      <c r="W184" s="89"/>
      <c r="X184" s="89"/>
      <c r="Y184" s="89"/>
      <c r="Z184" s="89"/>
    </row>
    <row r="185" ht="15.75" customHeight="1">
      <c r="A185" s="67" t="str">
        <f t="shared" ref="A185:A187" si="116">$B$184&amp;C185</f>
        <v>Female Adapter Plastic Threads (SCH-80)2 1⁄2</v>
      </c>
      <c r="B185" s="81">
        <v>1.0</v>
      </c>
      <c r="C185" s="68" t="s">
        <v>69</v>
      </c>
      <c r="D185" s="110">
        <v>65.0</v>
      </c>
      <c r="E185" s="111" t="s">
        <v>671</v>
      </c>
      <c r="F185" s="56">
        <v>398.0</v>
      </c>
      <c r="G185" s="76">
        <f>IFERROR(__xludf.DUMMYFUNCTION("ArrayFormula(IFERROR(VLOOKUP(E185,IMPORTRANGE(""https://docs.google.com/spreadsheets/d/1xZyKy-UzMmtPDLpV5jQdYum1LtbR8XKDuasLSjmBRMI/edit#gid=1241094406"",""COMBINED DATA!E3:L""),{7,8},0)))"),0.207)</f>
        <v>0.207</v>
      </c>
      <c r="H185" s="76">
        <f>IFERROR(__xludf.DUMMYFUNCTION("""COMPUTED_VALUE"""),0.0)</f>
        <v>0</v>
      </c>
      <c r="I185" s="76">
        <f t="shared" ref="I185:I187" si="117">G185+H185</f>
        <v>0.207</v>
      </c>
      <c r="J185" s="84">
        <f t="shared" ref="J185:J187" si="118">IFERROR(F185/$I185,"")</f>
        <v>1922.705314</v>
      </c>
      <c r="K185" s="85">
        <f t="shared" ref="K185:K187" si="119">IFERROR(G185*250,)</f>
        <v>51.75</v>
      </c>
      <c r="L185" s="85">
        <f t="shared" ref="L185:L187" si="120">IFERROR(H185*750,"")</f>
        <v>0</v>
      </c>
      <c r="M185" s="85">
        <f t="shared" ref="M185:M187" si="121">K185+L185</f>
        <v>51.75</v>
      </c>
      <c r="N185" s="85">
        <f t="shared" si="7"/>
        <v>7.690821256</v>
      </c>
      <c r="O185" s="60">
        <v>398.0</v>
      </c>
      <c r="P185" s="89"/>
      <c r="Q185" s="89"/>
      <c r="R185" s="89"/>
      <c r="S185" s="89"/>
      <c r="T185" s="89"/>
      <c r="U185" s="89"/>
      <c r="V185" s="89"/>
      <c r="W185" s="89"/>
      <c r="X185" s="89"/>
      <c r="Y185" s="89"/>
      <c r="Z185" s="89"/>
    </row>
    <row r="186" ht="15.75" customHeight="1">
      <c r="A186" s="67" t="str">
        <f t="shared" si="116"/>
        <v>Female Adapter Plastic Threads (SCH-80)3</v>
      </c>
      <c r="B186" s="81">
        <v>2.0</v>
      </c>
      <c r="C186" s="90">
        <v>3.0</v>
      </c>
      <c r="D186" s="127">
        <v>80.0</v>
      </c>
      <c r="E186" s="112" t="s">
        <v>679</v>
      </c>
      <c r="F186" s="56">
        <v>648.0</v>
      </c>
      <c r="G186" s="76">
        <f>IFERROR(__xludf.DUMMYFUNCTION("ArrayFormula(IFERROR(VLOOKUP(E186,IMPORTRANGE(""https://docs.google.com/spreadsheets/d/1xZyKy-UzMmtPDLpV5jQdYum1LtbR8XKDuasLSjmBRMI/edit#gid=1241094406"",""COMBINED DATA!E3:L""),{7,8},0)))"),0.35)</f>
        <v>0.35</v>
      </c>
      <c r="H186" s="76">
        <f>IFERROR(__xludf.DUMMYFUNCTION("""COMPUTED_VALUE"""),0.0)</f>
        <v>0</v>
      </c>
      <c r="I186" s="76">
        <f t="shared" si="117"/>
        <v>0.35</v>
      </c>
      <c r="J186" s="84">
        <f t="shared" si="118"/>
        <v>1851.428571</v>
      </c>
      <c r="K186" s="85">
        <f t="shared" si="119"/>
        <v>87.5</v>
      </c>
      <c r="L186" s="85">
        <f t="shared" si="120"/>
        <v>0</v>
      </c>
      <c r="M186" s="85">
        <f t="shared" si="121"/>
        <v>87.5</v>
      </c>
      <c r="N186" s="85">
        <f t="shared" si="7"/>
        <v>7.405714286</v>
      </c>
      <c r="O186" s="60">
        <v>648.0</v>
      </c>
      <c r="P186" s="89"/>
      <c r="Q186" s="89"/>
      <c r="R186" s="89"/>
      <c r="S186" s="89"/>
      <c r="T186" s="89"/>
      <c r="U186" s="89"/>
      <c r="V186" s="89"/>
      <c r="W186" s="89"/>
      <c r="X186" s="89"/>
      <c r="Y186" s="89"/>
      <c r="Z186" s="89"/>
    </row>
    <row r="187" ht="15.75" customHeight="1">
      <c r="A187" s="67" t="str">
        <f t="shared" si="116"/>
        <v>Female Adapter Plastic Threads (SCH-80)4</v>
      </c>
      <c r="B187" s="81">
        <v>3.0</v>
      </c>
      <c r="C187" s="90">
        <v>4.0</v>
      </c>
      <c r="D187" s="127">
        <v>100.0</v>
      </c>
      <c r="E187" s="112" t="s">
        <v>681</v>
      </c>
      <c r="F187" s="56">
        <v>1090.0</v>
      </c>
      <c r="G187" s="76">
        <f>IFERROR(__xludf.DUMMYFUNCTION("ArrayFormula(IFERROR(VLOOKUP(E187,IMPORTRANGE(""https://docs.google.com/spreadsheets/d/1xZyKy-UzMmtPDLpV5jQdYum1LtbR8XKDuasLSjmBRMI/edit#gid=1241094406"",""COMBINED DATA!E3:L""),{7,8},0)))"),0.598)</f>
        <v>0.598</v>
      </c>
      <c r="H187" s="76">
        <f>IFERROR(__xludf.DUMMYFUNCTION("""COMPUTED_VALUE"""),0.0)</f>
        <v>0</v>
      </c>
      <c r="I187" s="76">
        <f t="shared" si="117"/>
        <v>0.598</v>
      </c>
      <c r="J187" s="84">
        <f t="shared" si="118"/>
        <v>1822.742475</v>
      </c>
      <c r="K187" s="85">
        <f t="shared" si="119"/>
        <v>149.5</v>
      </c>
      <c r="L187" s="85">
        <f t="shared" si="120"/>
        <v>0</v>
      </c>
      <c r="M187" s="85">
        <f t="shared" si="121"/>
        <v>149.5</v>
      </c>
      <c r="N187" s="85">
        <f t="shared" si="7"/>
        <v>7.2909699</v>
      </c>
      <c r="O187" s="60">
        <v>1090.0</v>
      </c>
      <c r="P187" s="89"/>
      <c r="Q187" s="89"/>
      <c r="R187" s="89"/>
      <c r="S187" s="89"/>
      <c r="T187" s="89"/>
      <c r="U187" s="89"/>
      <c r="V187" s="89"/>
      <c r="W187" s="89"/>
      <c r="X187" s="89"/>
      <c r="Y187" s="89"/>
      <c r="Z187" s="89"/>
    </row>
    <row r="188">
      <c r="A188" s="100"/>
      <c r="B188" s="102" t="s">
        <v>11</v>
      </c>
      <c r="C188" s="45"/>
      <c r="D188" s="45"/>
      <c r="E188" s="46"/>
      <c r="F188" s="131">
        <f>SUM(F185:F187)</f>
        <v>2136</v>
      </c>
      <c r="G188" s="104"/>
      <c r="H188" s="76" t="str">
        <f>IFERROR(__xludf.DUMMYFUNCTION("IFERROR(VLOOKUP(E188,IMPORTRANGE(""https://docs.google.com/spreadsheets/d/1xZyKy-UzMmtPDLpV5jQdYum1LtbR8XKDuasLSjmBRMI/edit#gid=1241094406"",""COMBINED DATA!E3:L""),8,0))"),"")</f>
        <v/>
      </c>
      <c r="I188" s="76"/>
      <c r="J188" s="116"/>
      <c r="K188" s="85"/>
      <c r="L188" s="85"/>
      <c r="M188" s="85"/>
      <c r="N188" s="85" t="str">
        <f t="shared" si="7"/>
        <v/>
      </c>
      <c r="O188" s="131">
        <f>SUM(O185:O187)</f>
        <v>2136</v>
      </c>
      <c r="P188" s="89"/>
      <c r="Q188" s="89"/>
      <c r="R188" s="89"/>
      <c r="S188" s="89"/>
      <c r="T188" s="89"/>
      <c r="U188" s="89"/>
      <c r="V188" s="89"/>
      <c r="W188" s="89"/>
      <c r="X188" s="89"/>
      <c r="Y188" s="89"/>
      <c r="Z188" s="89"/>
    </row>
    <row r="189" ht="6.75" customHeight="1">
      <c r="A189" s="34"/>
      <c r="B189" s="119"/>
      <c r="C189" s="120"/>
      <c r="D189" s="120"/>
      <c r="E189" s="121"/>
      <c r="F189" s="107"/>
      <c r="G189" s="64"/>
      <c r="H189" s="76" t="str">
        <f>IFERROR(__xludf.DUMMYFUNCTION("IFERROR(VLOOKUP(E189,IMPORTRANGE(""https://docs.google.com/spreadsheets/d/1xZyKy-UzMmtPDLpV5jQdYum1LtbR8XKDuasLSjmBRMI/edit#gid=1241094406"",""COMBINED DATA!E3:L""),8,0))"),"")</f>
        <v/>
      </c>
      <c r="I189" s="76"/>
      <c r="J189" s="65"/>
      <c r="K189" s="85"/>
      <c r="L189" s="85"/>
      <c r="M189" s="85"/>
      <c r="N189" s="85" t="str">
        <f t="shared" si="7"/>
        <v/>
      </c>
      <c r="O189" s="89"/>
      <c r="P189" s="89"/>
      <c r="Q189" s="89"/>
      <c r="R189" s="89"/>
      <c r="S189" s="89"/>
      <c r="T189" s="89"/>
      <c r="U189" s="89"/>
      <c r="V189" s="89"/>
      <c r="W189" s="89"/>
      <c r="X189" s="89"/>
      <c r="Y189" s="89"/>
      <c r="Z189" s="89"/>
    </row>
    <row r="190" ht="22.5" customHeight="1">
      <c r="A190" s="34"/>
      <c r="B190" s="62" t="s">
        <v>695</v>
      </c>
      <c r="C190" s="45"/>
      <c r="D190" s="45"/>
      <c r="E190" s="45"/>
      <c r="F190" s="46"/>
      <c r="G190" s="64"/>
      <c r="H190" s="76" t="str">
        <f>IFERROR(__xludf.DUMMYFUNCTION("IFERROR(VLOOKUP(E190,IMPORTRANGE(""https://docs.google.com/spreadsheets/d/1xZyKy-UzMmtPDLpV5jQdYum1LtbR8XKDuasLSjmBRMI/edit#gid=1241094406"",""COMBINED DATA!E3:L""),8,0))"),"")</f>
        <v/>
      </c>
      <c r="I190" s="76"/>
      <c r="J190" s="65"/>
      <c r="K190" s="85"/>
      <c r="L190" s="85"/>
      <c r="M190" s="85"/>
      <c r="N190" s="85" t="str">
        <f t="shared" si="7"/>
        <v/>
      </c>
      <c r="O190" s="89"/>
      <c r="P190" s="89"/>
      <c r="Q190" s="89"/>
      <c r="R190" s="89"/>
      <c r="S190" s="89"/>
      <c r="T190" s="89"/>
      <c r="U190" s="89"/>
      <c r="V190" s="89"/>
      <c r="W190" s="89"/>
      <c r="X190" s="89"/>
      <c r="Y190" s="89"/>
      <c r="Z190" s="89"/>
    </row>
    <row r="191" ht="15.75" customHeight="1">
      <c r="A191" s="67" t="str">
        <f t="shared" ref="A191:A192" si="122">$B$190&amp;C191</f>
        <v>Cross Tee3⁄4</v>
      </c>
      <c r="B191" s="81">
        <v>1.0</v>
      </c>
      <c r="C191" s="68" t="s">
        <v>51</v>
      </c>
      <c r="D191" s="110">
        <v>20.0</v>
      </c>
      <c r="E191" s="111" t="s">
        <v>703</v>
      </c>
      <c r="F191" s="56">
        <v>66.0</v>
      </c>
      <c r="G191" s="76">
        <f>IFERROR(__xludf.DUMMYFUNCTION("ArrayFormula(IFERROR(VLOOKUP(E191,IMPORTRANGE(""https://docs.google.com/spreadsheets/d/1xZyKy-UzMmtPDLpV5jQdYum1LtbR8XKDuasLSjmBRMI/edit#gid=1241094406"",""COMBINED DATA!E3:L""),{7,8},0)))"),0.042)</f>
        <v>0.042</v>
      </c>
      <c r="H191" s="76">
        <f>IFERROR(__xludf.DUMMYFUNCTION("""COMPUTED_VALUE"""),0.0)</f>
        <v>0</v>
      </c>
      <c r="I191" s="76">
        <f t="shared" ref="I191:I192" si="123">G191+H191</f>
        <v>0.042</v>
      </c>
      <c r="J191" s="84">
        <f t="shared" ref="J191:J192" si="124">IFERROR(F191/$I191,"")</f>
        <v>1571.428571</v>
      </c>
      <c r="K191" s="85">
        <f t="shared" ref="K191:K192" si="125">IFERROR(G191*250,)</f>
        <v>10.5</v>
      </c>
      <c r="L191" s="85">
        <f t="shared" ref="L191:L192" si="126">IFERROR(H191*750,"")</f>
        <v>0</v>
      </c>
      <c r="M191" s="85">
        <f t="shared" ref="M191:M192" si="127">K191+L191</f>
        <v>10.5</v>
      </c>
      <c r="N191" s="85">
        <f t="shared" si="7"/>
        <v>6.285714286</v>
      </c>
      <c r="O191" s="87">
        <v>66.0</v>
      </c>
      <c r="P191" s="89"/>
      <c r="Q191" s="89"/>
      <c r="R191" s="89"/>
      <c r="S191" s="89"/>
      <c r="T191" s="89"/>
      <c r="U191" s="89"/>
      <c r="V191" s="89"/>
      <c r="W191" s="89"/>
      <c r="X191" s="89"/>
      <c r="Y191" s="89"/>
      <c r="Z191" s="89"/>
    </row>
    <row r="192" ht="15.75" customHeight="1">
      <c r="A192" s="67" t="str">
        <f t="shared" si="122"/>
        <v>Cross Tee1</v>
      </c>
      <c r="B192" s="81">
        <v>2.0</v>
      </c>
      <c r="C192" s="90">
        <v>1.0</v>
      </c>
      <c r="D192" s="127">
        <v>25.0</v>
      </c>
      <c r="E192" s="112" t="s">
        <v>705</v>
      </c>
      <c r="F192" s="56">
        <v>109.0</v>
      </c>
      <c r="G192" s="76">
        <f>IFERROR(__xludf.DUMMYFUNCTION("ArrayFormula(IFERROR(VLOOKUP(E192,IMPORTRANGE(""https://docs.google.com/spreadsheets/d/1xZyKy-UzMmtPDLpV5jQdYum1LtbR8XKDuasLSjmBRMI/edit#gid=1241094406"",""COMBINED DATA!E3:L""),{7,8},0)))"),0.055)</f>
        <v>0.055</v>
      </c>
      <c r="H192" s="76">
        <f>IFERROR(__xludf.DUMMYFUNCTION("""COMPUTED_VALUE"""),0.0)</f>
        <v>0</v>
      </c>
      <c r="I192" s="76">
        <f t="shared" si="123"/>
        <v>0.055</v>
      </c>
      <c r="J192" s="84">
        <f t="shared" si="124"/>
        <v>1981.818182</v>
      </c>
      <c r="K192" s="85">
        <f t="shared" si="125"/>
        <v>13.75</v>
      </c>
      <c r="L192" s="85">
        <f t="shared" si="126"/>
        <v>0</v>
      </c>
      <c r="M192" s="85">
        <f t="shared" si="127"/>
        <v>13.75</v>
      </c>
      <c r="N192" s="85">
        <f t="shared" si="7"/>
        <v>7.927272727</v>
      </c>
      <c r="O192" s="87">
        <v>109.0</v>
      </c>
      <c r="P192" s="89"/>
      <c r="Q192" s="89"/>
      <c r="R192" s="89"/>
      <c r="S192" s="89"/>
      <c r="T192" s="89"/>
      <c r="U192" s="89"/>
      <c r="V192" s="89"/>
      <c r="W192" s="89"/>
      <c r="X192" s="89"/>
      <c r="Y192" s="89"/>
      <c r="Z192" s="89"/>
    </row>
    <row r="193">
      <c r="A193" s="100"/>
      <c r="B193" s="102" t="s">
        <v>11</v>
      </c>
      <c r="C193" s="45"/>
      <c r="D193" s="45"/>
      <c r="E193" s="46"/>
      <c r="F193" s="131">
        <f>SUM(F191:F192)</f>
        <v>175</v>
      </c>
      <c r="G193" s="104"/>
      <c r="H193" s="76" t="str">
        <f>IFERROR(__xludf.DUMMYFUNCTION("IFERROR(VLOOKUP(E193,IMPORTRANGE(""https://docs.google.com/spreadsheets/d/1xZyKy-UzMmtPDLpV5jQdYum1LtbR8XKDuasLSjmBRMI/edit#gid=1241094406"",""COMBINED DATA!E3:L""),8,0))"),"")</f>
        <v/>
      </c>
      <c r="I193" s="76"/>
      <c r="J193" s="116"/>
      <c r="K193" s="85"/>
      <c r="L193" s="85"/>
      <c r="M193" s="85"/>
      <c r="N193" s="85" t="str">
        <f t="shared" si="7"/>
        <v/>
      </c>
      <c r="O193" s="131">
        <f>SUM(O191:O192)</f>
        <v>175</v>
      </c>
      <c r="P193" s="89"/>
      <c r="Q193" s="89"/>
      <c r="R193" s="89"/>
      <c r="S193" s="89"/>
      <c r="T193" s="89"/>
      <c r="U193" s="89"/>
      <c r="V193" s="89"/>
      <c r="W193" s="89"/>
      <c r="X193" s="89"/>
      <c r="Y193" s="89"/>
      <c r="Z193" s="89"/>
    </row>
    <row r="194" ht="6.0" customHeight="1">
      <c r="A194" s="34"/>
      <c r="B194" s="119"/>
      <c r="C194" s="120"/>
      <c r="D194" s="120"/>
      <c r="E194" s="121"/>
      <c r="F194" s="107"/>
      <c r="G194" s="64"/>
      <c r="H194" s="76" t="str">
        <f>IFERROR(__xludf.DUMMYFUNCTION("IFERROR(VLOOKUP(E194,IMPORTRANGE(""https://docs.google.com/spreadsheets/d/1xZyKy-UzMmtPDLpV5jQdYum1LtbR8XKDuasLSjmBRMI/edit#gid=1241094406"",""COMBINED DATA!E3:L""),8,0))"),"")</f>
        <v/>
      </c>
      <c r="I194" s="76"/>
      <c r="J194" s="65"/>
      <c r="K194" s="85"/>
      <c r="L194" s="85"/>
      <c r="M194" s="85"/>
      <c r="N194" s="85" t="str">
        <f t="shared" si="7"/>
        <v/>
      </c>
      <c r="O194" s="89"/>
      <c r="P194" s="89"/>
      <c r="Q194" s="89"/>
      <c r="R194" s="89"/>
      <c r="S194" s="89"/>
      <c r="T194" s="89"/>
      <c r="U194" s="89"/>
      <c r="V194" s="89"/>
      <c r="W194" s="89"/>
      <c r="X194" s="89"/>
      <c r="Y194" s="89"/>
      <c r="Z194" s="89"/>
    </row>
    <row r="195" ht="18.75" customHeight="1">
      <c r="A195" s="34"/>
      <c r="B195" s="62" t="s">
        <v>715</v>
      </c>
      <c r="C195" s="45"/>
      <c r="D195" s="45"/>
      <c r="E195" s="45"/>
      <c r="F195" s="46"/>
      <c r="G195" s="64"/>
      <c r="H195" s="76"/>
      <c r="I195" s="76"/>
      <c r="J195" s="65"/>
      <c r="K195" s="85"/>
      <c r="L195" s="85"/>
      <c r="M195" s="85"/>
      <c r="N195" s="85"/>
      <c r="O195" s="89"/>
      <c r="P195" s="89"/>
      <c r="Q195" s="89"/>
      <c r="R195" s="89"/>
      <c r="S195" s="89"/>
      <c r="T195" s="89"/>
      <c r="U195" s="89"/>
      <c r="V195" s="89"/>
      <c r="W195" s="89"/>
      <c r="X195" s="89"/>
      <c r="Y195" s="89"/>
      <c r="Z195" s="89"/>
    </row>
    <row r="196" ht="15.75" customHeight="1">
      <c r="A196" s="34"/>
      <c r="B196" s="81">
        <v>1.0</v>
      </c>
      <c r="C196" s="81">
        <v>1.0</v>
      </c>
      <c r="D196" s="216">
        <v>25.0</v>
      </c>
      <c r="E196" s="217" t="s">
        <v>717</v>
      </c>
      <c r="F196" s="219" t="s">
        <v>722</v>
      </c>
      <c r="G196" s="58">
        <v>0.252</v>
      </c>
      <c r="H196" s="76">
        <v>0.0</v>
      </c>
      <c r="I196" s="76">
        <f t="shared" ref="I196:I198" si="128">G196+H196</f>
        <v>0.252</v>
      </c>
      <c r="J196" s="84">
        <f t="shared" ref="J196:J198" si="129">IFERROR(O196/$I196,"")</f>
        <v>0</v>
      </c>
      <c r="K196" s="85"/>
      <c r="L196" s="85"/>
      <c r="M196" s="85"/>
      <c r="N196" s="85"/>
      <c r="O196" s="60"/>
      <c r="P196" s="89"/>
      <c r="Q196" s="89"/>
      <c r="R196" s="89"/>
      <c r="S196" s="89"/>
      <c r="T196" s="89"/>
      <c r="U196" s="89"/>
      <c r="V196" s="89"/>
      <c r="W196" s="89"/>
      <c r="X196" s="89"/>
      <c r="Y196" s="89"/>
      <c r="Z196" s="89"/>
    </row>
    <row r="197" ht="15.75" customHeight="1">
      <c r="A197" s="34"/>
      <c r="B197" s="81">
        <v>2.0</v>
      </c>
      <c r="C197" s="51" t="s">
        <v>55</v>
      </c>
      <c r="D197" s="216">
        <v>32.0</v>
      </c>
      <c r="E197" s="217" t="s">
        <v>724</v>
      </c>
      <c r="F197" s="224" t="s">
        <v>722</v>
      </c>
      <c r="G197" s="58">
        <v>0.428</v>
      </c>
      <c r="H197" s="76">
        <v>0.0</v>
      </c>
      <c r="I197" s="76">
        <f t="shared" si="128"/>
        <v>0.428</v>
      </c>
      <c r="J197" s="84">
        <f t="shared" si="129"/>
        <v>2289.719626</v>
      </c>
      <c r="K197" s="85"/>
      <c r="L197" s="85"/>
      <c r="M197" s="85"/>
      <c r="N197" s="85"/>
      <c r="O197" s="60">
        <v>980.0</v>
      </c>
      <c r="P197" s="89"/>
      <c r="Q197" s="89"/>
      <c r="R197" s="89"/>
      <c r="S197" s="89"/>
      <c r="T197" s="89"/>
      <c r="U197" s="89"/>
      <c r="V197" s="89"/>
      <c r="W197" s="89"/>
      <c r="X197" s="89"/>
      <c r="Y197" s="89"/>
      <c r="Z197" s="89"/>
    </row>
    <row r="198" ht="15.75" customHeight="1">
      <c r="A198" s="34"/>
      <c r="B198" s="81">
        <v>3.0</v>
      </c>
      <c r="C198" s="51" t="s">
        <v>56</v>
      </c>
      <c r="D198" s="216">
        <v>40.0</v>
      </c>
      <c r="E198" s="217" t="s">
        <v>725</v>
      </c>
      <c r="F198" s="224" t="s">
        <v>722</v>
      </c>
      <c r="G198" s="58">
        <v>0.658</v>
      </c>
      <c r="H198" s="76">
        <v>0.0</v>
      </c>
      <c r="I198" s="76">
        <f t="shared" si="128"/>
        <v>0.658</v>
      </c>
      <c r="J198" s="84">
        <f t="shared" si="129"/>
        <v>1793.31307</v>
      </c>
      <c r="K198" s="85"/>
      <c r="L198" s="85"/>
      <c r="M198" s="85"/>
      <c r="N198" s="85"/>
      <c r="O198" s="60">
        <v>1180.0</v>
      </c>
      <c r="P198" s="89"/>
      <c r="Q198" s="89"/>
      <c r="R198" s="89"/>
      <c r="S198" s="89"/>
      <c r="T198" s="89"/>
      <c r="U198" s="89"/>
      <c r="V198" s="89"/>
      <c r="W198" s="89"/>
      <c r="X198" s="89"/>
      <c r="Y198" s="89"/>
      <c r="Z198" s="89"/>
    </row>
    <row r="199" ht="15.75" customHeight="1">
      <c r="A199" s="34"/>
      <c r="B199" s="102" t="s">
        <v>11</v>
      </c>
      <c r="C199" s="45"/>
      <c r="D199" s="45"/>
      <c r="E199" s="46"/>
      <c r="F199" s="131"/>
      <c r="G199" s="58"/>
      <c r="H199" s="76"/>
      <c r="I199" s="76"/>
      <c r="J199" s="84"/>
      <c r="K199" s="85"/>
      <c r="L199" s="85"/>
      <c r="M199" s="85"/>
      <c r="N199" s="85"/>
      <c r="O199" s="131">
        <f>sum(O196:O198)</f>
        <v>2160</v>
      </c>
      <c r="P199" s="89"/>
      <c r="Q199" s="89"/>
      <c r="R199" s="89"/>
      <c r="S199" s="89"/>
      <c r="T199" s="89"/>
      <c r="U199" s="89"/>
      <c r="V199" s="89"/>
      <c r="W199" s="89"/>
      <c r="X199" s="89"/>
      <c r="Y199" s="89"/>
      <c r="Z199" s="89"/>
    </row>
    <row r="200" ht="7.5" customHeight="1">
      <c r="A200" s="34"/>
      <c r="B200" s="119"/>
      <c r="C200" s="120"/>
      <c r="D200" s="120"/>
      <c r="E200" s="121"/>
      <c r="F200" s="107"/>
      <c r="G200" s="64"/>
      <c r="H200" s="76"/>
      <c r="I200" s="76"/>
      <c r="J200" s="65"/>
      <c r="K200" s="85"/>
      <c r="L200" s="85"/>
      <c r="M200" s="85"/>
      <c r="N200" s="85"/>
      <c r="O200" s="89"/>
      <c r="P200" s="89"/>
      <c r="Q200" s="89"/>
      <c r="R200" s="89"/>
      <c r="S200" s="89"/>
      <c r="T200" s="89"/>
      <c r="U200" s="89"/>
      <c r="V200" s="89"/>
      <c r="W200" s="89"/>
      <c r="X200" s="89"/>
      <c r="Y200" s="89"/>
      <c r="Z200" s="89"/>
    </row>
    <row r="201" ht="22.5" customHeight="1">
      <c r="A201" s="34"/>
      <c r="B201" s="62" t="s">
        <v>745</v>
      </c>
      <c r="C201" s="45"/>
      <c r="D201" s="45"/>
      <c r="E201" s="45"/>
      <c r="F201" s="46"/>
      <c r="G201" s="64"/>
      <c r="H201" s="76" t="str">
        <f>IFERROR(__xludf.DUMMYFUNCTION("IFERROR(VLOOKUP(E201,IMPORTRANGE(""https://docs.google.com/spreadsheets/d/1xZyKy-UzMmtPDLpV5jQdYum1LtbR8XKDuasLSjmBRMI/edit#gid=1241094406"",""COMBINED DATA!E3:L""),8,0))"),"")</f>
        <v/>
      </c>
      <c r="I201" s="76"/>
      <c r="J201" s="65"/>
      <c r="K201" s="85"/>
      <c r="L201" s="85"/>
      <c r="M201" s="85"/>
      <c r="N201" s="85" t="str">
        <f t="shared" ref="N201:N388" si="130">IFERROR(F201/M201,"")</f>
        <v/>
      </c>
      <c r="O201" s="89"/>
      <c r="P201" s="89"/>
      <c r="Q201" s="89"/>
      <c r="R201" s="89"/>
      <c r="S201" s="89"/>
      <c r="T201" s="89"/>
      <c r="U201" s="89"/>
      <c r="V201" s="89"/>
      <c r="W201" s="89"/>
      <c r="X201" s="89"/>
      <c r="Y201" s="89"/>
      <c r="Z201" s="89"/>
    </row>
    <row r="202" ht="15.75" customHeight="1">
      <c r="A202" s="67" t="str">
        <f t="shared" ref="A202:A206" si="131">$B$201&amp;C202</f>
        <v>Ball Valve Butterfly Handle3⁄4</v>
      </c>
      <c r="B202" s="81">
        <v>1.0</v>
      </c>
      <c r="C202" s="51" t="s">
        <v>51</v>
      </c>
      <c r="D202" s="70">
        <v>20.0</v>
      </c>
      <c r="E202" s="129" t="s">
        <v>731</v>
      </c>
      <c r="F202" s="56">
        <v>176.0</v>
      </c>
      <c r="G202" s="76">
        <f>IFERROR(__xludf.DUMMYFUNCTION("ArrayFormula(IFERROR(VLOOKUP(E202,IMPORTRANGE(""https://docs.google.com/spreadsheets/d/1xZyKy-UzMmtPDLpV5jQdYum1LtbR8XKDuasLSjmBRMI/edit#gid=1241094406"",""COMBINED DATA!E3:L""),{7,8},0)))"),0.11103)</f>
        <v>0.11103</v>
      </c>
      <c r="H202" s="76">
        <f>IFERROR(__xludf.DUMMYFUNCTION("""COMPUTED_VALUE"""),0.0)</f>
        <v>0</v>
      </c>
      <c r="I202" s="76">
        <f t="shared" ref="I202:I206" si="132">G202+H202</f>
        <v>0.11103</v>
      </c>
      <c r="J202" s="84">
        <f t="shared" ref="J202:J206" si="133">IFERROR(F202/$I202,"")</f>
        <v>1585.157165</v>
      </c>
      <c r="K202" s="85">
        <f t="shared" ref="K202:K206" si="134">IFERROR(G202*250,)</f>
        <v>27.7575</v>
      </c>
      <c r="L202" s="85">
        <f t="shared" ref="L202:L206" si="135">IFERROR(H202*750,"")</f>
        <v>0</v>
      </c>
      <c r="M202" s="85">
        <f t="shared" ref="M202:M206" si="136">K202+L202</f>
        <v>27.7575</v>
      </c>
      <c r="N202" s="85">
        <f t="shared" si="130"/>
        <v>6.340628659</v>
      </c>
      <c r="O202" s="60">
        <v>176.0</v>
      </c>
      <c r="P202" s="89"/>
      <c r="Q202" s="89"/>
      <c r="R202" s="89"/>
      <c r="S202" s="89"/>
      <c r="T202" s="89"/>
      <c r="U202" s="89"/>
      <c r="V202" s="89"/>
      <c r="W202" s="89"/>
      <c r="X202" s="89"/>
      <c r="Y202" s="89"/>
      <c r="Z202" s="89"/>
    </row>
    <row r="203" ht="15.75" customHeight="1">
      <c r="A203" s="67" t="str">
        <f t="shared" si="131"/>
        <v>Ball Valve Butterfly Handle1</v>
      </c>
      <c r="B203" s="81">
        <v>2.0</v>
      </c>
      <c r="C203" s="150">
        <v>1.0</v>
      </c>
      <c r="D203" s="92">
        <v>25.0</v>
      </c>
      <c r="E203" s="94" t="s">
        <v>736</v>
      </c>
      <c r="F203" s="56">
        <v>328.0</v>
      </c>
      <c r="G203" s="76">
        <f>IFERROR(__xludf.DUMMYFUNCTION("ArrayFormula(IFERROR(VLOOKUP(E203,IMPORTRANGE(""https://docs.google.com/spreadsheets/d/1xZyKy-UzMmtPDLpV5jQdYum1LtbR8XKDuasLSjmBRMI/edit#gid=1241094406"",""COMBINED DATA!E3:L""),{7,8},0)))"),0.17876)</f>
        <v>0.17876</v>
      </c>
      <c r="H203" s="76">
        <f>IFERROR(__xludf.DUMMYFUNCTION("""COMPUTED_VALUE"""),0.0)</f>
        <v>0</v>
      </c>
      <c r="I203" s="76">
        <f t="shared" si="132"/>
        <v>0.17876</v>
      </c>
      <c r="J203" s="84">
        <f t="shared" si="133"/>
        <v>1834.862385</v>
      </c>
      <c r="K203" s="85">
        <f t="shared" si="134"/>
        <v>44.69</v>
      </c>
      <c r="L203" s="85">
        <f t="shared" si="135"/>
        <v>0</v>
      </c>
      <c r="M203" s="85">
        <f t="shared" si="136"/>
        <v>44.69</v>
      </c>
      <c r="N203" s="85">
        <f t="shared" si="130"/>
        <v>7.339449541</v>
      </c>
      <c r="O203" s="60">
        <v>328.0</v>
      </c>
      <c r="P203" s="89"/>
      <c r="Q203" s="89"/>
      <c r="R203" s="89"/>
      <c r="S203" s="89"/>
      <c r="T203" s="89"/>
      <c r="U203" s="89"/>
      <c r="V203" s="89"/>
      <c r="W203" s="89"/>
      <c r="X203" s="89"/>
      <c r="Y203" s="89"/>
      <c r="Z203" s="89"/>
    </row>
    <row r="204" ht="15.75" customHeight="1">
      <c r="A204" s="67" t="str">
        <f t="shared" si="131"/>
        <v>Ball Valve Butterfly Handle1 1⁄4</v>
      </c>
      <c r="B204" s="81">
        <v>3.0</v>
      </c>
      <c r="C204" s="150" t="s">
        <v>55</v>
      </c>
      <c r="D204" s="92">
        <v>32.0</v>
      </c>
      <c r="E204" s="94" t="s">
        <v>746</v>
      </c>
      <c r="F204" s="56">
        <v>568.0</v>
      </c>
      <c r="G204" s="76">
        <f>IFERROR(__xludf.DUMMYFUNCTION("ArrayFormula(IFERROR(VLOOKUP(E204,IMPORTRANGE(""https://docs.google.com/spreadsheets/d/1xZyKy-UzMmtPDLpV5jQdYum1LtbR8XKDuasLSjmBRMI/edit#gid=1241094406"",""COMBINED DATA!E3:L""),{7,8},0)))"),0.29445)</f>
        <v>0.29445</v>
      </c>
      <c r="H204" s="76">
        <f>IFERROR(__xludf.DUMMYFUNCTION("""COMPUTED_VALUE"""),0.0)</f>
        <v>0</v>
      </c>
      <c r="I204" s="76">
        <f t="shared" si="132"/>
        <v>0.29445</v>
      </c>
      <c r="J204" s="84">
        <f t="shared" si="133"/>
        <v>1929.020207</v>
      </c>
      <c r="K204" s="85">
        <f t="shared" si="134"/>
        <v>73.6125</v>
      </c>
      <c r="L204" s="85">
        <f t="shared" si="135"/>
        <v>0</v>
      </c>
      <c r="M204" s="85">
        <f t="shared" si="136"/>
        <v>73.6125</v>
      </c>
      <c r="N204" s="85">
        <f t="shared" si="130"/>
        <v>7.716080829</v>
      </c>
      <c r="O204" s="60">
        <v>568.0</v>
      </c>
      <c r="P204" s="89"/>
      <c r="Q204" s="89"/>
      <c r="R204" s="89"/>
      <c r="S204" s="89"/>
      <c r="T204" s="89"/>
      <c r="U204" s="89"/>
      <c r="V204" s="89"/>
      <c r="W204" s="89"/>
      <c r="X204" s="89"/>
      <c r="Y204" s="89"/>
      <c r="Z204" s="89"/>
    </row>
    <row r="205" ht="15.75" customHeight="1">
      <c r="A205" s="67" t="str">
        <f t="shared" si="131"/>
        <v>Ball Valve Butterfly Handle1 1⁄2</v>
      </c>
      <c r="B205" s="81">
        <v>4.0</v>
      </c>
      <c r="C205" s="150" t="s">
        <v>56</v>
      </c>
      <c r="D205" s="92">
        <v>40.0</v>
      </c>
      <c r="E205" s="94" t="s">
        <v>752</v>
      </c>
      <c r="F205" s="56">
        <v>848.0</v>
      </c>
      <c r="G205" s="76">
        <f>IFERROR(__xludf.DUMMYFUNCTION("ArrayFormula(IFERROR(VLOOKUP(E205,IMPORTRANGE(""https://docs.google.com/spreadsheets/d/1xZyKy-UzMmtPDLpV5jQdYum1LtbR8XKDuasLSjmBRMI/edit#gid=1241094406"",""COMBINED DATA!E3:L""),{7,8},0)))"),0.425125)</f>
        <v>0.425125</v>
      </c>
      <c r="H205" s="76">
        <f>IFERROR(__xludf.DUMMYFUNCTION("""COMPUTED_VALUE"""),0.0)</f>
        <v>0</v>
      </c>
      <c r="I205" s="76">
        <f t="shared" si="132"/>
        <v>0.425125</v>
      </c>
      <c r="J205" s="84">
        <f t="shared" si="133"/>
        <v>1994.707439</v>
      </c>
      <c r="K205" s="85">
        <f t="shared" si="134"/>
        <v>106.28125</v>
      </c>
      <c r="L205" s="85">
        <f t="shared" si="135"/>
        <v>0</v>
      </c>
      <c r="M205" s="85">
        <f t="shared" si="136"/>
        <v>106.28125</v>
      </c>
      <c r="N205" s="85">
        <f t="shared" si="130"/>
        <v>7.978829756</v>
      </c>
      <c r="O205" s="60">
        <v>848.0</v>
      </c>
      <c r="P205" s="89"/>
      <c r="Q205" s="89"/>
      <c r="R205" s="89"/>
      <c r="S205" s="89"/>
      <c r="T205" s="89"/>
      <c r="U205" s="89"/>
      <c r="V205" s="89"/>
      <c r="W205" s="89"/>
      <c r="X205" s="89"/>
      <c r="Y205" s="89"/>
      <c r="Z205" s="89"/>
    </row>
    <row r="206" ht="15.75" customHeight="1">
      <c r="A206" s="67" t="str">
        <f t="shared" si="131"/>
        <v>Ball Valve Butterfly Handle2</v>
      </c>
      <c r="B206" s="81">
        <v>5.0</v>
      </c>
      <c r="C206" s="150">
        <v>2.0</v>
      </c>
      <c r="D206" s="92">
        <v>50.0</v>
      </c>
      <c r="E206" s="94" t="s">
        <v>758</v>
      </c>
      <c r="F206" s="56">
        <v>1398.0</v>
      </c>
      <c r="G206" s="76">
        <f>IFERROR(__xludf.DUMMYFUNCTION("ArrayFormula(IFERROR(VLOOKUP(E206,IMPORTRANGE(""https://docs.google.com/spreadsheets/d/1xZyKy-UzMmtPDLpV5jQdYum1LtbR8XKDuasLSjmBRMI/edit#gid=1241094406"",""COMBINED DATA!E3:L""),{7,8},0)))"),0.6576000000000001)</f>
        <v>0.6576</v>
      </c>
      <c r="H206" s="76">
        <f>IFERROR(__xludf.DUMMYFUNCTION("""COMPUTED_VALUE"""),0.0)</f>
        <v>0</v>
      </c>
      <c r="I206" s="76">
        <f t="shared" si="132"/>
        <v>0.6576</v>
      </c>
      <c r="J206" s="84">
        <f t="shared" si="133"/>
        <v>2125.912409</v>
      </c>
      <c r="K206" s="85">
        <f t="shared" si="134"/>
        <v>164.4</v>
      </c>
      <c r="L206" s="85">
        <f t="shared" si="135"/>
        <v>0</v>
      </c>
      <c r="M206" s="85">
        <f t="shared" si="136"/>
        <v>164.4</v>
      </c>
      <c r="N206" s="85">
        <f t="shared" si="130"/>
        <v>8.503649635</v>
      </c>
      <c r="O206" s="60">
        <v>1398.0</v>
      </c>
      <c r="P206" s="89"/>
      <c r="Q206" s="89"/>
      <c r="R206" s="89"/>
      <c r="S206" s="89"/>
      <c r="T206" s="89"/>
      <c r="U206" s="89"/>
      <c r="V206" s="89"/>
      <c r="W206" s="89"/>
      <c r="X206" s="89"/>
      <c r="Y206" s="89"/>
      <c r="Z206" s="89"/>
    </row>
    <row r="207">
      <c r="A207" s="100"/>
      <c r="B207" s="102" t="s">
        <v>11</v>
      </c>
      <c r="C207" s="45"/>
      <c r="D207" s="45"/>
      <c r="E207" s="46"/>
      <c r="F207" s="103">
        <f>sum(F202:F206)</f>
        <v>3318</v>
      </c>
      <c r="G207" s="104"/>
      <c r="H207" s="76" t="str">
        <f>IFERROR(__xludf.DUMMYFUNCTION("IFERROR(VLOOKUP(E207,IMPORTRANGE(""https://docs.google.com/spreadsheets/d/1xZyKy-UzMmtPDLpV5jQdYum1LtbR8XKDuasLSjmBRMI/edit#gid=1241094406"",""COMBINED DATA!E3:L""),8,0))"),"")</f>
        <v/>
      </c>
      <c r="I207" s="76"/>
      <c r="J207" s="116"/>
      <c r="K207" s="85"/>
      <c r="L207" s="85"/>
      <c r="M207" s="85"/>
      <c r="N207" s="85" t="str">
        <f t="shared" si="130"/>
        <v/>
      </c>
      <c r="O207" s="103">
        <f>sum(O202:O206)</f>
        <v>3318</v>
      </c>
      <c r="P207" s="89"/>
      <c r="Q207" s="89"/>
      <c r="R207" s="89"/>
      <c r="S207" s="89"/>
      <c r="T207" s="89"/>
      <c r="U207" s="89"/>
      <c r="V207" s="89"/>
      <c r="W207" s="89"/>
      <c r="X207" s="89"/>
      <c r="Y207" s="89"/>
      <c r="Z207" s="89"/>
    </row>
    <row r="208" ht="5.25" customHeight="1">
      <c r="A208" s="34"/>
      <c r="B208" s="119"/>
      <c r="C208" s="120"/>
      <c r="D208" s="120"/>
      <c r="E208" s="121"/>
      <c r="F208" s="107"/>
      <c r="G208" s="64"/>
      <c r="H208" s="76" t="str">
        <f>IFERROR(__xludf.DUMMYFUNCTION("IFERROR(VLOOKUP(E208,IMPORTRANGE(""https://docs.google.com/spreadsheets/d/1xZyKy-UzMmtPDLpV5jQdYum1LtbR8XKDuasLSjmBRMI/edit#gid=1241094406"",""COMBINED DATA!E3:L""),8,0))"),"")</f>
        <v/>
      </c>
      <c r="I208" s="76"/>
      <c r="J208" s="65"/>
      <c r="K208" s="85"/>
      <c r="L208" s="85"/>
      <c r="M208" s="85"/>
      <c r="N208" s="85" t="str">
        <f t="shared" si="130"/>
        <v/>
      </c>
      <c r="O208" s="89"/>
      <c r="P208" s="89"/>
      <c r="Q208" s="89"/>
      <c r="R208" s="89"/>
      <c r="S208" s="89"/>
      <c r="T208" s="89"/>
      <c r="U208" s="89"/>
      <c r="V208" s="89"/>
      <c r="W208" s="89"/>
      <c r="X208" s="89"/>
      <c r="Y208" s="89"/>
      <c r="Z208" s="89"/>
    </row>
    <row r="209" ht="22.5" customHeight="1">
      <c r="A209" s="34"/>
      <c r="B209" s="62" t="s">
        <v>295</v>
      </c>
      <c r="C209" s="45"/>
      <c r="D209" s="45"/>
      <c r="E209" s="45"/>
      <c r="F209" s="46"/>
      <c r="G209" s="64"/>
      <c r="H209" s="76" t="str">
        <f>IFERROR(__xludf.DUMMYFUNCTION("IFERROR(VLOOKUP(E209,IMPORTRANGE(""https://docs.google.com/spreadsheets/d/1xZyKy-UzMmtPDLpV5jQdYum1LtbR8XKDuasLSjmBRMI/edit#gid=1241094406"",""COMBINED DATA!E3:L""),8,0))"),"")</f>
        <v/>
      </c>
      <c r="I209" s="76"/>
      <c r="J209" s="65"/>
      <c r="K209" s="85"/>
      <c r="L209" s="85"/>
      <c r="M209" s="85"/>
      <c r="N209" s="85" t="str">
        <f t="shared" si="130"/>
        <v/>
      </c>
      <c r="O209" s="89"/>
      <c r="P209" s="89"/>
      <c r="Q209" s="89"/>
      <c r="R209" s="89"/>
      <c r="S209" s="89"/>
      <c r="T209" s="89"/>
      <c r="U209" s="89"/>
      <c r="V209" s="89"/>
      <c r="W209" s="89"/>
      <c r="X209" s="89"/>
      <c r="Y209" s="89"/>
      <c r="Z209" s="89"/>
    </row>
    <row r="210" ht="15.75" customHeight="1">
      <c r="A210" s="67" t="str">
        <f t="shared" ref="A210:A217" si="137">$B$209&amp;C210</f>
        <v>Male Adapter Brass Threads3⁄4 x 1⁄2</v>
      </c>
      <c r="B210" s="81">
        <v>1.0</v>
      </c>
      <c r="C210" s="68" t="s">
        <v>144</v>
      </c>
      <c r="D210" s="110" t="s">
        <v>145</v>
      </c>
      <c r="E210" s="111" t="s">
        <v>301</v>
      </c>
      <c r="F210" s="56">
        <v>168.8</v>
      </c>
      <c r="G210" s="76">
        <v>0.011</v>
      </c>
      <c r="H210" s="76">
        <v>0.059</v>
      </c>
      <c r="I210" s="76">
        <f t="shared" ref="I210:I217" si="138">G210+H210</f>
        <v>0.07</v>
      </c>
      <c r="J210" s="84">
        <f t="shared" ref="J210:J217" si="139">IFERROR(F210/$I210,"")</f>
        <v>2411.428571</v>
      </c>
      <c r="K210" s="85">
        <f t="shared" ref="K210:K217" si="140">IFERROR(G210*250,)</f>
        <v>2.75</v>
      </c>
      <c r="L210" s="85">
        <f t="shared" ref="L210:L212" si="141">IFERROR(H210*750,"")</f>
        <v>44.25</v>
      </c>
      <c r="M210" s="85">
        <f t="shared" ref="M210:M217" si="142">K210+L210</f>
        <v>47</v>
      </c>
      <c r="N210" s="85">
        <f t="shared" si="130"/>
        <v>3.591489362</v>
      </c>
      <c r="O210" s="60">
        <f>VLOOKUP(E210,'C Fittings (Brass)'!$E$5:$Q418,13,0)</f>
        <v>189</v>
      </c>
      <c r="P210" s="88"/>
      <c r="Q210" s="88"/>
      <c r="R210" s="89"/>
      <c r="S210" s="88"/>
      <c r="T210" s="88"/>
      <c r="U210" s="88"/>
      <c r="V210" s="88"/>
      <c r="W210" s="88"/>
      <c r="X210" s="88"/>
      <c r="Y210" s="88"/>
      <c r="Z210" s="88"/>
    </row>
    <row r="211" ht="15.75" customHeight="1">
      <c r="A211" s="67" t="str">
        <f t="shared" si="137"/>
        <v>Male Adapter Brass Threads3⁄4</v>
      </c>
      <c r="B211" s="81">
        <v>2.0</v>
      </c>
      <c r="C211" s="90" t="s">
        <v>51</v>
      </c>
      <c r="D211" s="127">
        <v>20.0</v>
      </c>
      <c r="E211" s="112" t="s">
        <v>334</v>
      </c>
      <c r="F211" s="56">
        <v>248.6</v>
      </c>
      <c r="G211" s="76">
        <v>0.013125</v>
      </c>
      <c r="H211" s="58">
        <v>0.065</v>
      </c>
      <c r="I211" s="76">
        <f t="shared" si="138"/>
        <v>0.078125</v>
      </c>
      <c r="J211" s="84">
        <f t="shared" si="139"/>
        <v>3182.08</v>
      </c>
      <c r="K211" s="85">
        <f t="shared" si="140"/>
        <v>3.28125</v>
      </c>
      <c r="L211" s="85">
        <f t="shared" si="141"/>
        <v>48.75</v>
      </c>
      <c r="M211" s="85">
        <f t="shared" si="142"/>
        <v>52.03125</v>
      </c>
      <c r="N211" s="85">
        <f t="shared" si="130"/>
        <v>4.777897898</v>
      </c>
      <c r="O211" s="60">
        <f>VLOOKUP(E211,'C Fittings (Brass)'!$E$5:$Q418,13,0)</f>
        <v>278</v>
      </c>
      <c r="P211" s="88"/>
      <c r="Q211" s="88"/>
      <c r="R211" s="89"/>
      <c r="S211" s="88"/>
      <c r="T211" s="88"/>
      <c r="U211" s="88"/>
      <c r="V211" s="88"/>
      <c r="W211" s="88"/>
      <c r="X211" s="88"/>
      <c r="Y211" s="88"/>
      <c r="Z211" s="88"/>
    </row>
    <row r="212" ht="15.75" customHeight="1">
      <c r="A212" s="67" t="str">
        <f t="shared" si="137"/>
        <v>Male Adapter Brass Threads1</v>
      </c>
      <c r="B212" s="81">
        <v>3.0</v>
      </c>
      <c r="C212" s="90" t="s">
        <v>84</v>
      </c>
      <c r="D212" s="127">
        <v>25.0</v>
      </c>
      <c r="E212" s="112" t="s">
        <v>338</v>
      </c>
      <c r="F212" s="56">
        <v>368.0</v>
      </c>
      <c r="G212" s="76">
        <v>0.0195</v>
      </c>
      <c r="H212" s="58">
        <v>0.145</v>
      </c>
      <c r="I212" s="76">
        <f t="shared" si="138"/>
        <v>0.1645</v>
      </c>
      <c r="J212" s="84">
        <f t="shared" si="139"/>
        <v>2237.082067</v>
      </c>
      <c r="K212" s="85">
        <f t="shared" si="140"/>
        <v>4.875</v>
      </c>
      <c r="L212" s="85">
        <f t="shared" si="141"/>
        <v>108.75</v>
      </c>
      <c r="M212" s="85">
        <f t="shared" si="142"/>
        <v>113.625</v>
      </c>
      <c r="N212" s="85">
        <f t="shared" si="130"/>
        <v>3.238723872</v>
      </c>
      <c r="O212" s="60">
        <f>VLOOKUP(E212,'C Fittings (Brass)'!$E$5:$Q418,13,0)</f>
        <v>412</v>
      </c>
      <c r="P212" s="88"/>
      <c r="Q212" s="88"/>
      <c r="R212" s="89"/>
      <c r="S212" s="88"/>
      <c r="T212" s="88"/>
      <c r="U212" s="88"/>
      <c r="V212" s="88"/>
      <c r="W212" s="88"/>
      <c r="X212" s="88"/>
      <c r="Y212" s="88"/>
      <c r="Z212" s="88"/>
    </row>
    <row r="213" ht="15.75" customHeight="1">
      <c r="A213" s="67" t="str">
        <f t="shared" si="137"/>
        <v>Male Adapter Brass Threads1 1⁄4</v>
      </c>
      <c r="B213" s="81">
        <v>4.0</v>
      </c>
      <c r="C213" s="90" t="s">
        <v>55</v>
      </c>
      <c r="D213" s="127">
        <v>32.0</v>
      </c>
      <c r="E213" s="112" t="s">
        <v>340</v>
      </c>
      <c r="F213" s="56">
        <v>798.0</v>
      </c>
      <c r="G213" s="76">
        <v>0.04725</v>
      </c>
      <c r="H213" s="58">
        <v>0.324</v>
      </c>
      <c r="I213" s="76">
        <f t="shared" si="138"/>
        <v>0.37125</v>
      </c>
      <c r="J213" s="84">
        <f t="shared" si="139"/>
        <v>2149.494949</v>
      </c>
      <c r="K213" s="85">
        <f t="shared" si="140"/>
        <v>11.8125</v>
      </c>
      <c r="L213" s="85">
        <f t="shared" ref="L213:L215" si="143">IFERROR(H213*700,"")</f>
        <v>226.8</v>
      </c>
      <c r="M213" s="85">
        <f t="shared" si="142"/>
        <v>238.6125</v>
      </c>
      <c r="N213" s="85">
        <f t="shared" si="130"/>
        <v>3.344334433</v>
      </c>
      <c r="O213" s="60">
        <f>VLOOKUP(E213,'C Fittings (Brass)'!$E$5:$Q418,13,0)</f>
        <v>898</v>
      </c>
      <c r="P213" s="88"/>
      <c r="Q213" s="88"/>
      <c r="R213" s="89"/>
      <c r="S213" s="88"/>
      <c r="T213" s="88"/>
      <c r="U213" s="88"/>
      <c r="V213" s="88"/>
      <c r="W213" s="88"/>
      <c r="X213" s="88"/>
      <c r="Y213" s="88"/>
      <c r="Z213" s="88"/>
    </row>
    <row r="214" ht="15.75" customHeight="1">
      <c r="A214" s="67" t="str">
        <f t="shared" si="137"/>
        <v>Male Adapter Brass Threads1 1⁄2</v>
      </c>
      <c r="B214" s="81">
        <v>5.0</v>
      </c>
      <c r="C214" s="90" t="s">
        <v>56</v>
      </c>
      <c r="D214" s="127">
        <v>40.0</v>
      </c>
      <c r="E214" s="112" t="s">
        <v>345</v>
      </c>
      <c r="F214" s="56">
        <v>1058.6</v>
      </c>
      <c r="G214" s="76">
        <v>0.063</v>
      </c>
      <c r="H214" s="58">
        <v>0.425</v>
      </c>
      <c r="I214" s="76">
        <f t="shared" si="138"/>
        <v>0.488</v>
      </c>
      <c r="J214" s="84">
        <f t="shared" si="139"/>
        <v>2169.262295</v>
      </c>
      <c r="K214" s="85">
        <f t="shared" si="140"/>
        <v>15.75</v>
      </c>
      <c r="L214" s="85">
        <f t="shared" si="143"/>
        <v>297.5</v>
      </c>
      <c r="M214" s="85">
        <f t="shared" si="142"/>
        <v>313.25</v>
      </c>
      <c r="N214" s="85">
        <f t="shared" si="130"/>
        <v>3.379409417</v>
      </c>
      <c r="O214" s="60">
        <f>VLOOKUP(E214,'C Fittings (Brass)'!$E$5:$Q418,13,0)</f>
        <v>1188</v>
      </c>
      <c r="P214" s="88"/>
      <c r="Q214" s="88"/>
      <c r="R214" s="89"/>
      <c r="S214" s="88"/>
      <c r="T214" s="88"/>
      <c r="U214" s="88"/>
      <c r="V214" s="88"/>
      <c r="W214" s="88"/>
      <c r="X214" s="88"/>
      <c r="Y214" s="88"/>
      <c r="Z214" s="88"/>
    </row>
    <row r="215" ht="15.75" customHeight="1">
      <c r="A215" s="67" t="str">
        <f t="shared" si="137"/>
        <v>Male Adapter Brass Threads2</v>
      </c>
      <c r="B215" s="81">
        <v>6.0</v>
      </c>
      <c r="C215" s="90">
        <v>2.0</v>
      </c>
      <c r="D215" s="127">
        <v>50.0</v>
      </c>
      <c r="E215" s="112" t="s">
        <v>349</v>
      </c>
      <c r="F215" s="56">
        <v>1840.0</v>
      </c>
      <c r="G215" s="76">
        <v>0.111</v>
      </c>
      <c r="H215" s="58">
        <v>0.695</v>
      </c>
      <c r="I215" s="76">
        <f t="shared" si="138"/>
        <v>0.806</v>
      </c>
      <c r="J215" s="84">
        <f t="shared" si="139"/>
        <v>2282.878412</v>
      </c>
      <c r="K215" s="85">
        <f t="shared" si="140"/>
        <v>27.75</v>
      </c>
      <c r="L215" s="85">
        <f t="shared" si="143"/>
        <v>486.5</v>
      </c>
      <c r="M215" s="85">
        <f t="shared" si="142"/>
        <v>514.25</v>
      </c>
      <c r="N215" s="85">
        <f t="shared" si="130"/>
        <v>3.578026252</v>
      </c>
      <c r="O215" s="60">
        <f>VLOOKUP(E215,'C Fittings (Brass)'!$E$5:$Q418,13,0)</f>
        <v>2080</v>
      </c>
      <c r="P215" s="88"/>
      <c r="Q215" s="88"/>
      <c r="R215" s="89"/>
      <c r="S215" s="88"/>
      <c r="T215" s="88"/>
      <c r="U215" s="88"/>
      <c r="V215" s="88"/>
      <c r="W215" s="88"/>
      <c r="X215" s="88"/>
      <c r="Y215" s="88"/>
      <c r="Z215" s="88"/>
    </row>
    <row r="216" ht="15.75" customHeight="1">
      <c r="A216" s="67" t="str">
        <f t="shared" si="137"/>
        <v>Male Adapter Brass Threads1 x 1⁄2</v>
      </c>
      <c r="B216" s="81">
        <v>7.0</v>
      </c>
      <c r="C216" s="90" t="s">
        <v>352</v>
      </c>
      <c r="D216" s="127" t="s">
        <v>353</v>
      </c>
      <c r="E216" s="112" t="s">
        <v>354</v>
      </c>
      <c r="F216" s="56">
        <v>254.4</v>
      </c>
      <c r="G216" s="76">
        <v>0.02</v>
      </c>
      <c r="H216" s="76">
        <v>0.059</v>
      </c>
      <c r="I216" s="76">
        <f t="shared" si="138"/>
        <v>0.079</v>
      </c>
      <c r="J216" s="84">
        <f t="shared" si="139"/>
        <v>3220.253165</v>
      </c>
      <c r="K216" s="85">
        <f t="shared" si="140"/>
        <v>5</v>
      </c>
      <c r="L216" s="85">
        <f t="shared" ref="L216:L217" si="144">IFERROR(H216*750,"")</f>
        <v>44.25</v>
      </c>
      <c r="M216" s="85">
        <f t="shared" si="142"/>
        <v>49.25</v>
      </c>
      <c r="N216" s="85">
        <f t="shared" si="130"/>
        <v>5.165482234</v>
      </c>
      <c r="O216" s="60">
        <f>VLOOKUP(E216,'C Fittings (Brass)'!$E$5:$Q418,13,0)</f>
        <v>278</v>
      </c>
      <c r="P216" s="88"/>
      <c r="Q216" s="88"/>
      <c r="R216" s="89"/>
      <c r="S216" s="88"/>
      <c r="T216" s="88"/>
      <c r="U216" s="88"/>
      <c r="V216" s="88"/>
      <c r="W216" s="88"/>
      <c r="X216" s="88"/>
      <c r="Y216" s="88"/>
      <c r="Z216" s="88"/>
    </row>
    <row r="217" ht="15.75" customHeight="1">
      <c r="A217" s="67" t="str">
        <f t="shared" si="137"/>
        <v>Male Adapter Brass Threads1 x 3⁄4</v>
      </c>
      <c r="B217" s="81">
        <v>8.0</v>
      </c>
      <c r="C217" s="90" t="s">
        <v>153</v>
      </c>
      <c r="D217" s="127" t="s">
        <v>155</v>
      </c>
      <c r="E217" s="112" t="s">
        <v>358</v>
      </c>
      <c r="F217" s="56">
        <v>262.2</v>
      </c>
      <c r="G217" s="76">
        <v>0.031</v>
      </c>
      <c r="H217" s="58">
        <v>0.065</v>
      </c>
      <c r="I217" s="76">
        <f t="shared" si="138"/>
        <v>0.096</v>
      </c>
      <c r="J217" s="84">
        <f t="shared" si="139"/>
        <v>2731.25</v>
      </c>
      <c r="K217" s="85">
        <f t="shared" si="140"/>
        <v>7.75</v>
      </c>
      <c r="L217" s="85">
        <f t="shared" si="144"/>
        <v>48.75</v>
      </c>
      <c r="M217" s="85">
        <f t="shared" si="142"/>
        <v>56.5</v>
      </c>
      <c r="N217" s="85">
        <f t="shared" si="130"/>
        <v>4.640707965</v>
      </c>
      <c r="O217" s="60">
        <f>VLOOKUP(E217,'C Fittings (Brass)'!$E$5:$Q418,13,0)</f>
        <v>288</v>
      </c>
      <c r="P217" s="88"/>
      <c r="Q217" s="88"/>
      <c r="R217" s="89"/>
      <c r="S217" s="88"/>
      <c r="T217" s="88"/>
      <c r="U217" s="88"/>
      <c r="V217" s="88"/>
      <c r="W217" s="88"/>
      <c r="X217" s="88"/>
      <c r="Y217" s="88"/>
      <c r="Z217" s="88"/>
    </row>
    <row r="218">
      <c r="A218" s="100"/>
      <c r="B218" s="102" t="s">
        <v>11</v>
      </c>
      <c r="C218" s="45"/>
      <c r="D218" s="45"/>
      <c r="E218" s="46"/>
      <c r="F218" s="103">
        <f>SUM(F210:F217)</f>
        <v>4998.6</v>
      </c>
      <c r="G218" s="104"/>
      <c r="H218" s="76" t="str">
        <f>IFERROR(__xludf.DUMMYFUNCTION("IFERROR(VLOOKUP(E218,IMPORTRANGE(""https://docs.google.com/spreadsheets/d/1xZyKy-UzMmtPDLpV5jQdYum1LtbR8XKDuasLSjmBRMI/edit#gid=1241094406"",""COMBINED DATA!E3:L""),8,0))"),"")</f>
        <v/>
      </c>
      <c r="I218" s="76"/>
      <c r="J218" s="116"/>
      <c r="K218" s="85"/>
      <c r="L218" s="85"/>
      <c r="M218" s="85"/>
      <c r="N218" s="85" t="str">
        <f t="shared" si="130"/>
        <v/>
      </c>
      <c r="O218" s="103">
        <f>SUM(O210:O217)</f>
        <v>5611</v>
      </c>
      <c r="P218" s="88"/>
      <c r="Q218" s="88"/>
      <c r="R218" s="89"/>
      <c r="S218" s="88"/>
      <c r="T218" s="88"/>
      <c r="U218" s="88"/>
      <c r="V218" s="88"/>
      <c r="W218" s="88"/>
      <c r="X218" s="88"/>
      <c r="Y218" s="88"/>
      <c r="Z218" s="88"/>
    </row>
    <row r="219" ht="6.75" customHeight="1">
      <c r="A219" s="34"/>
      <c r="B219" s="15"/>
      <c r="C219" s="15"/>
      <c r="D219" s="15"/>
      <c r="E219" s="17"/>
      <c r="F219" s="15"/>
      <c r="G219" s="64"/>
      <c r="H219" s="76" t="str">
        <f>IFERROR(__xludf.DUMMYFUNCTION("IFERROR(VLOOKUP(E219,IMPORTRANGE(""https://docs.google.com/spreadsheets/d/1xZyKy-UzMmtPDLpV5jQdYum1LtbR8XKDuasLSjmBRMI/edit#gid=1241094406"",""COMBINED DATA!E3:L""),8,0))"),"")</f>
        <v/>
      </c>
      <c r="I219" s="76"/>
      <c r="J219" s="65"/>
      <c r="K219" s="85"/>
      <c r="L219" s="85"/>
      <c r="M219" s="85"/>
      <c r="N219" s="85" t="str">
        <f t="shared" si="130"/>
        <v/>
      </c>
      <c r="O219" s="89"/>
      <c r="P219" s="89"/>
      <c r="Q219" s="89"/>
      <c r="R219" s="89"/>
      <c r="S219" s="89"/>
      <c r="T219" s="89"/>
      <c r="U219" s="89"/>
      <c r="V219" s="89"/>
      <c r="W219" s="89"/>
      <c r="X219" s="89"/>
      <c r="Y219" s="89"/>
      <c r="Z219" s="89"/>
    </row>
    <row r="220" ht="22.5" customHeight="1">
      <c r="A220" s="34"/>
      <c r="B220" s="62" t="s">
        <v>365</v>
      </c>
      <c r="C220" s="45"/>
      <c r="D220" s="45"/>
      <c r="E220" s="45"/>
      <c r="F220" s="46"/>
      <c r="G220" s="64"/>
      <c r="H220" s="76" t="str">
        <f>IFERROR(__xludf.DUMMYFUNCTION("IFERROR(VLOOKUP(E220,IMPORTRANGE(""https://docs.google.com/spreadsheets/d/1xZyKy-UzMmtPDLpV5jQdYum1LtbR8XKDuasLSjmBRMI/edit#gid=1241094406"",""COMBINED DATA!E3:L""),8,0))"),"")</f>
        <v/>
      </c>
      <c r="I220" s="76"/>
      <c r="J220" s="65"/>
      <c r="K220" s="85"/>
      <c r="L220" s="85"/>
      <c r="M220" s="85"/>
      <c r="N220" s="85" t="str">
        <f t="shared" si="130"/>
        <v/>
      </c>
      <c r="O220" s="89"/>
      <c r="P220" s="89"/>
      <c r="Q220" s="89"/>
      <c r="R220" s="89"/>
      <c r="S220" s="89"/>
      <c r="T220" s="89"/>
      <c r="U220" s="89"/>
      <c r="V220" s="89"/>
      <c r="W220" s="89"/>
      <c r="X220" s="89"/>
      <c r="Y220" s="89"/>
      <c r="Z220" s="89"/>
    </row>
    <row r="221" ht="15.75" customHeight="1">
      <c r="A221" s="67" t="str">
        <f t="shared" ref="A221:A225" si="145">$B$220&amp;C221</f>
        <v>Female Adapter Brass Threads3⁄4</v>
      </c>
      <c r="B221" s="81">
        <v>1.0</v>
      </c>
      <c r="C221" s="51" t="s">
        <v>51</v>
      </c>
      <c r="D221" s="70">
        <v>20.0</v>
      </c>
      <c r="E221" s="129" t="s">
        <v>368</v>
      </c>
      <c r="F221" s="56">
        <v>246.2</v>
      </c>
      <c r="G221" s="76">
        <v>0.012700000000000003</v>
      </c>
      <c r="H221" s="58">
        <v>0.079</v>
      </c>
      <c r="I221" s="76">
        <f t="shared" ref="I221:I225" si="146">G221+H221</f>
        <v>0.0917</v>
      </c>
      <c r="J221" s="84">
        <f t="shared" ref="J221:J225" si="147">IFERROR(F221/$I221,"")</f>
        <v>2684.841876</v>
      </c>
      <c r="K221" s="85">
        <f t="shared" ref="K221:K225" si="148">IFERROR(G221*250,)</f>
        <v>3.175</v>
      </c>
      <c r="L221" s="85">
        <f t="shared" ref="L221:L222" si="149">IFERROR(H221*750,"")</f>
        <v>59.25</v>
      </c>
      <c r="M221" s="85">
        <f t="shared" ref="M221:M225" si="150">K221+L221</f>
        <v>62.425</v>
      </c>
      <c r="N221" s="85">
        <f t="shared" si="130"/>
        <v>3.943932719</v>
      </c>
      <c r="O221" s="60">
        <f>VLOOKUP(E221,'C Fittings (Brass)'!$E$5:$Q418,13,0)</f>
        <v>276</v>
      </c>
      <c r="P221" s="88"/>
      <c r="Q221" s="88"/>
      <c r="R221" s="89"/>
      <c r="S221" s="88"/>
      <c r="T221" s="88"/>
      <c r="U221" s="88"/>
      <c r="V221" s="88"/>
      <c r="W221" s="88"/>
      <c r="X221" s="88"/>
      <c r="Y221" s="88"/>
      <c r="Z221" s="88"/>
    </row>
    <row r="222" ht="15.75" customHeight="1">
      <c r="A222" s="67" t="str">
        <f t="shared" si="145"/>
        <v>Female Adapter Brass Threads1</v>
      </c>
      <c r="B222" s="81">
        <v>2.0</v>
      </c>
      <c r="C222" s="150">
        <v>1.0</v>
      </c>
      <c r="D222" s="92">
        <v>25.0</v>
      </c>
      <c r="E222" s="94" t="s">
        <v>375</v>
      </c>
      <c r="F222" s="56">
        <v>468.8</v>
      </c>
      <c r="G222" s="76">
        <v>0.020095</v>
      </c>
      <c r="H222" s="58">
        <v>0.187</v>
      </c>
      <c r="I222" s="76">
        <f t="shared" si="146"/>
        <v>0.207095</v>
      </c>
      <c r="J222" s="84">
        <f t="shared" si="147"/>
        <v>2263.695405</v>
      </c>
      <c r="K222" s="85">
        <f t="shared" si="148"/>
        <v>5.02375</v>
      </c>
      <c r="L222" s="85">
        <f t="shared" si="149"/>
        <v>140.25</v>
      </c>
      <c r="M222" s="85">
        <f t="shared" si="150"/>
        <v>145.27375</v>
      </c>
      <c r="N222" s="85">
        <f t="shared" si="130"/>
        <v>3.227011074</v>
      </c>
      <c r="O222" s="60">
        <f>VLOOKUP(E222,'C Fittings (Brass)'!$E$5:$Q418,13,0)</f>
        <v>528</v>
      </c>
      <c r="P222" s="88"/>
      <c r="Q222" s="88"/>
      <c r="R222" s="89"/>
      <c r="S222" s="88"/>
      <c r="T222" s="88"/>
      <c r="U222" s="88"/>
      <c r="V222" s="88"/>
      <c r="W222" s="88"/>
      <c r="X222" s="88"/>
      <c r="Y222" s="88"/>
      <c r="Z222" s="88"/>
    </row>
    <row r="223" ht="15.75" customHeight="1">
      <c r="A223" s="67" t="str">
        <f t="shared" si="145"/>
        <v>Female Adapter Brass Threads1 1⁄4</v>
      </c>
      <c r="B223" s="81">
        <v>3.0</v>
      </c>
      <c r="C223" s="150" t="s">
        <v>55</v>
      </c>
      <c r="D223" s="92">
        <v>32.0</v>
      </c>
      <c r="E223" s="94" t="s">
        <v>377</v>
      </c>
      <c r="F223" s="56">
        <v>848.8</v>
      </c>
      <c r="G223" s="76">
        <v>0.04714999999999998</v>
      </c>
      <c r="H223" s="58">
        <v>0.332</v>
      </c>
      <c r="I223" s="76">
        <f t="shared" si="146"/>
        <v>0.37915</v>
      </c>
      <c r="J223" s="84">
        <f t="shared" si="147"/>
        <v>2238.691811</v>
      </c>
      <c r="K223" s="85">
        <f t="shared" si="148"/>
        <v>11.7875</v>
      </c>
      <c r="L223" s="85">
        <f t="shared" ref="L223:L225" si="151">IFERROR(H223*700,"")</f>
        <v>232.4</v>
      </c>
      <c r="M223" s="85">
        <f t="shared" si="150"/>
        <v>244.1875</v>
      </c>
      <c r="N223" s="85">
        <f t="shared" si="130"/>
        <v>3.476017405</v>
      </c>
      <c r="O223" s="60">
        <f>VLOOKUP(E223,'C Fittings (Brass)'!$E$5:$Q418,13,0)</f>
        <v>954</v>
      </c>
      <c r="P223" s="88"/>
      <c r="Q223" s="88"/>
      <c r="R223" s="89"/>
      <c r="S223" s="88"/>
      <c r="T223" s="88"/>
      <c r="U223" s="88"/>
      <c r="V223" s="88"/>
      <c r="W223" s="88"/>
      <c r="X223" s="88"/>
      <c r="Y223" s="88"/>
      <c r="Z223" s="88"/>
    </row>
    <row r="224" ht="15.75" customHeight="1">
      <c r="A224" s="67" t="str">
        <f t="shared" si="145"/>
        <v>Female Adapter Brass Threads1 1⁄2</v>
      </c>
      <c r="B224" s="81">
        <v>4.0</v>
      </c>
      <c r="C224" s="150" t="s">
        <v>56</v>
      </c>
      <c r="D224" s="92">
        <v>40.0</v>
      </c>
      <c r="E224" s="94" t="s">
        <v>379</v>
      </c>
      <c r="F224" s="56">
        <v>958.4</v>
      </c>
      <c r="G224" s="76">
        <v>0.06275</v>
      </c>
      <c r="H224" s="58">
        <v>0.392</v>
      </c>
      <c r="I224" s="76">
        <f t="shared" si="146"/>
        <v>0.45475</v>
      </c>
      <c r="J224" s="84">
        <f t="shared" si="147"/>
        <v>2107.531611</v>
      </c>
      <c r="K224" s="85">
        <f t="shared" si="148"/>
        <v>15.6875</v>
      </c>
      <c r="L224" s="85">
        <f t="shared" si="151"/>
        <v>274.4</v>
      </c>
      <c r="M224" s="85">
        <f t="shared" si="150"/>
        <v>290.0875</v>
      </c>
      <c r="N224" s="85">
        <f t="shared" si="130"/>
        <v>3.303830741</v>
      </c>
      <c r="O224" s="60">
        <f>VLOOKUP(E224,'C Fittings (Brass)'!$E$5:$Q418,13,0)</f>
        <v>1074</v>
      </c>
      <c r="P224" s="88"/>
      <c r="Q224" s="88"/>
      <c r="R224" s="89"/>
      <c r="S224" s="88"/>
      <c r="T224" s="88"/>
      <c r="U224" s="88"/>
      <c r="V224" s="88"/>
      <c r="W224" s="88"/>
      <c r="X224" s="88"/>
      <c r="Y224" s="88"/>
      <c r="Z224" s="88"/>
    </row>
    <row r="225" ht="15.75" customHeight="1">
      <c r="A225" s="67" t="str">
        <f t="shared" si="145"/>
        <v>Female Adapter Brass Threads2</v>
      </c>
      <c r="B225" s="81">
        <v>5.0</v>
      </c>
      <c r="C225" s="90">
        <v>2.0</v>
      </c>
      <c r="D225" s="127">
        <v>50.0</v>
      </c>
      <c r="E225" s="112" t="s">
        <v>382</v>
      </c>
      <c r="F225" s="56">
        <v>1822.4</v>
      </c>
      <c r="G225" s="76">
        <v>0.108</v>
      </c>
      <c r="H225" s="58">
        <v>0.55</v>
      </c>
      <c r="I225" s="76">
        <f t="shared" si="146"/>
        <v>0.658</v>
      </c>
      <c r="J225" s="84">
        <f t="shared" si="147"/>
        <v>2769.604863</v>
      </c>
      <c r="K225" s="85">
        <f t="shared" si="148"/>
        <v>27</v>
      </c>
      <c r="L225" s="85">
        <f t="shared" si="151"/>
        <v>385</v>
      </c>
      <c r="M225" s="85">
        <f t="shared" si="150"/>
        <v>412</v>
      </c>
      <c r="N225" s="85">
        <f t="shared" si="130"/>
        <v>4.423300971</v>
      </c>
      <c r="O225" s="60">
        <f>VLOOKUP(E225,'C Fittings (Brass)'!$E$5:$Q418,13,0)</f>
        <v>2046</v>
      </c>
      <c r="P225" s="88"/>
      <c r="Q225" s="88"/>
      <c r="R225" s="89"/>
      <c r="S225" s="88"/>
      <c r="T225" s="88"/>
      <c r="U225" s="88"/>
      <c r="V225" s="88"/>
      <c r="W225" s="88"/>
      <c r="X225" s="88"/>
      <c r="Y225" s="88"/>
      <c r="Z225" s="88"/>
    </row>
    <row r="226">
      <c r="A226" s="100"/>
      <c r="B226" s="102" t="s">
        <v>11</v>
      </c>
      <c r="C226" s="45"/>
      <c r="D226" s="45"/>
      <c r="E226" s="46"/>
      <c r="F226" s="103">
        <f>SUM(F221:F225)</f>
        <v>4344.6</v>
      </c>
      <c r="G226" s="104"/>
      <c r="H226" s="76" t="str">
        <f>IFERROR(__xludf.DUMMYFUNCTION("IFERROR(VLOOKUP(E226,IMPORTRANGE(""https://docs.google.com/spreadsheets/d/1xZyKy-UzMmtPDLpV5jQdYum1LtbR8XKDuasLSjmBRMI/edit#gid=1241094406"",""COMBINED DATA!E3:L""),8,0))"),"")</f>
        <v/>
      </c>
      <c r="I226" s="76"/>
      <c r="J226" s="116"/>
      <c r="K226" s="85"/>
      <c r="L226" s="85"/>
      <c r="M226" s="85"/>
      <c r="N226" s="85" t="str">
        <f t="shared" si="130"/>
        <v/>
      </c>
      <c r="O226" s="103">
        <f>SUM(O221:O225)</f>
        <v>4878</v>
      </c>
      <c r="P226" s="89"/>
      <c r="Q226" s="89"/>
      <c r="R226" s="89"/>
      <c r="S226" s="89"/>
      <c r="T226" s="89"/>
      <c r="U226" s="89"/>
      <c r="V226" s="89"/>
      <c r="W226" s="89"/>
      <c r="X226" s="89"/>
      <c r="Y226" s="89"/>
      <c r="Z226" s="89"/>
    </row>
    <row r="227" ht="6.0" customHeight="1">
      <c r="A227" s="34"/>
      <c r="B227" s="15"/>
      <c r="C227" s="15"/>
      <c r="D227" s="15"/>
      <c r="E227" s="17"/>
      <c r="F227" s="15"/>
      <c r="G227" s="64"/>
      <c r="H227" s="76" t="str">
        <f>IFERROR(__xludf.DUMMYFUNCTION("IFERROR(VLOOKUP(E227,IMPORTRANGE(""https://docs.google.com/spreadsheets/d/1xZyKy-UzMmtPDLpV5jQdYum1LtbR8XKDuasLSjmBRMI/edit#gid=1241094406"",""COMBINED DATA!E3:L""),8,0))"),"")</f>
        <v/>
      </c>
      <c r="I227" s="76"/>
      <c r="J227" s="65"/>
      <c r="K227" s="85"/>
      <c r="L227" s="85"/>
      <c r="M227" s="85"/>
      <c r="N227" s="85" t="str">
        <f t="shared" si="130"/>
        <v/>
      </c>
      <c r="O227" s="89"/>
      <c r="P227" s="89"/>
      <c r="Q227" s="89"/>
      <c r="R227" s="89"/>
      <c r="S227" s="89"/>
      <c r="T227" s="89"/>
      <c r="U227" s="89"/>
      <c r="V227" s="89"/>
      <c r="W227" s="89"/>
      <c r="X227" s="89"/>
      <c r="Y227" s="89"/>
      <c r="Z227" s="89"/>
    </row>
    <row r="228" ht="22.5" customHeight="1">
      <c r="A228" s="34"/>
      <c r="B228" s="62" t="s">
        <v>837</v>
      </c>
      <c r="C228" s="45"/>
      <c r="D228" s="45"/>
      <c r="E228" s="45"/>
      <c r="F228" s="46"/>
      <c r="G228" s="64"/>
      <c r="H228" s="76" t="str">
        <f>IFERROR(__xludf.DUMMYFUNCTION("IFERROR(VLOOKUP(E228,IMPORTRANGE(""https://docs.google.com/spreadsheets/d/1xZyKy-UzMmtPDLpV5jQdYum1LtbR8XKDuasLSjmBRMI/edit#gid=1241094406"",""COMBINED DATA!E3:L""),8,0))"),"")</f>
        <v/>
      </c>
      <c r="I228" s="76"/>
      <c r="J228" s="65"/>
      <c r="K228" s="85"/>
      <c r="L228" s="85"/>
      <c r="M228" s="85"/>
      <c r="N228" s="85" t="str">
        <f t="shared" si="130"/>
        <v/>
      </c>
      <c r="O228" s="89"/>
      <c r="P228" s="89"/>
      <c r="Q228" s="89"/>
      <c r="R228" s="89"/>
      <c r="S228" s="89"/>
      <c r="T228" s="89"/>
      <c r="U228" s="89"/>
      <c r="V228" s="89"/>
      <c r="W228" s="89"/>
      <c r="X228" s="89"/>
      <c r="Y228" s="89"/>
      <c r="Z228" s="89"/>
    </row>
    <row r="229" ht="15.75" customHeight="1">
      <c r="A229" s="67" t="str">
        <f t="shared" ref="A229:A233" si="152">$B$228&amp;C229</f>
        <v>Ball Valve Long Lever Handle3⁄4</v>
      </c>
      <c r="B229" s="81">
        <v>1.0</v>
      </c>
      <c r="C229" s="51" t="s">
        <v>51</v>
      </c>
      <c r="D229" s="70">
        <v>20.0</v>
      </c>
      <c r="E229" s="111" t="s">
        <v>812</v>
      </c>
      <c r="F229" s="181">
        <v>169.1</v>
      </c>
      <c r="G229" s="76">
        <f>IFERROR(__xludf.DUMMYFUNCTION("ArrayFormula(IFERROR(VLOOKUP(E229,IMPORTRANGE(""https://docs.google.com/spreadsheets/d/1xZyKy-UzMmtPDLpV5jQdYum1LtbR8XKDuasLSjmBRMI/edit#gid=1241094406"",""COMBINED DATA!E3:L""),{7,8},0)))"),0.11083)</f>
        <v>0.11083</v>
      </c>
      <c r="H229" s="76">
        <f>IFERROR(__xludf.DUMMYFUNCTION("""COMPUTED_VALUE"""),0.0)</f>
        <v>0</v>
      </c>
      <c r="I229" s="76">
        <f t="shared" ref="I229:I233" si="153">G229+H229</f>
        <v>0.11083</v>
      </c>
      <c r="J229" s="84">
        <f t="shared" ref="J229:J233" si="154">IFERROR(F229/$I229,"")</f>
        <v>1525.760173</v>
      </c>
      <c r="K229" s="85">
        <f t="shared" ref="K229:K233" si="155">IFERROR(G229*250,)</f>
        <v>27.7075</v>
      </c>
      <c r="L229" s="85">
        <f t="shared" ref="L229:L233" si="156">IFERROR(H229*750,"")</f>
        <v>0</v>
      </c>
      <c r="M229" s="85">
        <f t="shared" ref="M229:M233" si="157">K229+L229</f>
        <v>27.7075</v>
      </c>
      <c r="N229" s="85">
        <f t="shared" si="130"/>
        <v>6.103040693</v>
      </c>
      <c r="O229" s="60">
        <v>169.1</v>
      </c>
      <c r="P229" s="89"/>
      <c r="Q229" s="88"/>
      <c r="R229" s="89"/>
      <c r="S229" s="89"/>
      <c r="T229" s="89"/>
      <c r="U229" s="89"/>
      <c r="V229" s="89"/>
      <c r="W229" s="89"/>
      <c r="X229" s="89"/>
      <c r="Y229" s="89"/>
      <c r="Z229" s="89"/>
    </row>
    <row r="230" ht="15.75" customHeight="1">
      <c r="A230" s="67" t="str">
        <f t="shared" si="152"/>
        <v>Ball Valve Long Lever Handle1</v>
      </c>
      <c r="B230" s="81">
        <v>2.0</v>
      </c>
      <c r="C230" s="150">
        <v>1.0</v>
      </c>
      <c r="D230" s="92">
        <v>25.0</v>
      </c>
      <c r="E230" s="112" t="s">
        <v>817</v>
      </c>
      <c r="F230" s="181">
        <v>326.8</v>
      </c>
      <c r="G230" s="76">
        <f>IFERROR(__xludf.DUMMYFUNCTION("ArrayFormula(IFERROR(VLOOKUP(E230,IMPORTRANGE(""https://docs.google.com/spreadsheets/d/1xZyKy-UzMmtPDLpV5jQdYum1LtbR8XKDuasLSjmBRMI/edit#gid=1241094406"",""COMBINED DATA!E3:L""),{7,8},0)))"),0.17856)</f>
        <v>0.17856</v>
      </c>
      <c r="H230" s="76">
        <f>IFERROR(__xludf.DUMMYFUNCTION("""COMPUTED_VALUE"""),0.0)</f>
        <v>0</v>
      </c>
      <c r="I230" s="76">
        <f t="shared" si="153"/>
        <v>0.17856</v>
      </c>
      <c r="J230" s="84">
        <f t="shared" si="154"/>
        <v>1830.197133</v>
      </c>
      <c r="K230" s="85">
        <f t="shared" si="155"/>
        <v>44.64</v>
      </c>
      <c r="L230" s="85">
        <f t="shared" si="156"/>
        <v>0</v>
      </c>
      <c r="M230" s="85">
        <f t="shared" si="157"/>
        <v>44.64</v>
      </c>
      <c r="N230" s="85">
        <f t="shared" si="130"/>
        <v>7.32078853</v>
      </c>
      <c r="O230" s="60">
        <v>326.8</v>
      </c>
      <c r="P230" s="89"/>
      <c r="Q230" s="88"/>
      <c r="R230" s="89"/>
      <c r="S230" s="89"/>
      <c r="T230" s="89"/>
      <c r="U230" s="89"/>
      <c r="V230" s="89"/>
      <c r="W230" s="89"/>
      <c r="X230" s="89"/>
      <c r="Y230" s="89"/>
      <c r="Z230" s="89"/>
    </row>
    <row r="231" ht="15.75" customHeight="1">
      <c r="A231" s="67" t="str">
        <f t="shared" si="152"/>
        <v>Ball Valve Long Lever Handle1 1⁄4</v>
      </c>
      <c r="B231" s="81">
        <v>3.0</v>
      </c>
      <c r="C231" s="150" t="s">
        <v>55</v>
      </c>
      <c r="D231" s="92">
        <v>32.0</v>
      </c>
      <c r="E231" s="112" t="s">
        <v>820</v>
      </c>
      <c r="F231" s="181">
        <v>505.4</v>
      </c>
      <c r="G231" s="76">
        <f>IFERROR(__xludf.DUMMYFUNCTION("ArrayFormula(IFERROR(VLOOKUP(E231,IMPORTRANGE(""https://docs.google.com/spreadsheets/d/1xZyKy-UzMmtPDLpV5jQdYum1LtbR8XKDuasLSjmBRMI/edit#gid=1241094406"",""COMBINED DATA!E3:L""),{7,8},0)))"),0.2931)</f>
        <v>0.2931</v>
      </c>
      <c r="H231" s="76">
        <f>IFERROR(__xludf.DUMMYFUNCTION("""COMPUTED_VALUE"""),0.0)</f>
        <v>0</v>
      </c>
      <c r="I231" s="76">
        <f t="shared" si="153"/>
        <v>0.2931</v>
      </c>
      <c r="J231" s="84">
        <f t="shared" si="154"/>
        <v>1724.326169</v>
      </c>
      <c r="K231" s="85">
        <f t="shared" si="155"/>
        <v>73.275</v>
      </c>
      <c r="L231" s="85">
        <f t="shared" si="156"/>
        <v>0</v>
      </c>
      <c r="M231" s="85">
        <f t="shared" si="157"/>
        <v>73.275</v>
      </c>
      <c r="N231" s="85">
        <f t="shared" si="130"/>
        <v>6.897304674</v>
      </c>
      <c r="O231" s="60">
        <v>505.4</v>
      </c>
      <c r="P231" s="89"/>
      <c r="Q231" s="88"/>
      <c r="R231" s="89"/>
      <c r="S231" s="89"/>
      <c r="T231" s="89"/>
      <c r="U231" s="89"/>
      <c r="V231" s="89"/>
      <c r="W231" s="89"/>
      <c r="X231" s="89"/>
      <c r="Y231" s="89"/>
      <c r="Z231" s="89"/>
    </row>
    <row r="232" ht="15.75" customHeight="1">
      <c r="A232" s="67" t="str">
        <f t="shared" si="152"/>
        <v>Ball Valve Long Lever Handle1 1⁄2</v>
      </c>
      <c r="B232" s="81">
        <v>4.0</v>
      </c>
      <c r="C232" s="150" t="s">
        <v>56</v>
      </c>
      <c r="D232" s="92">
        <v>40.0</v>
      </c>
      <c r="E232" s="112" t="s">
        <v>823</v>
      </c>
      <c r="F232" s="181">
        <v>900.6</v>
      </c>
      <c r="G232" s="76">
        <f>IFERROR(__xludf.DUMMYFUNCTION("ArrayFormula(IFERROR(VLOOKUP(E232,IMPORTRANGE(""https://docs.google.com/spreadsheets/d/1xZyKy-UzMmtPDLpV5jQdYum1LtbR8XKDuasLSjmBRMI/edit#gid=1241094406"",""COMBINED DATA!E3:L""),{7,8},0)))"),0.425125)</f>
        <v>0.425125</v>
      </c>
      <c r="H232" s="76">
        <f>IFERROR(__xludf.DUMMYFUNCTION("""COMPUTED_VALUE"""),0.0)</f>
        <v>0</v>
      </c>
      <c r="I232" s="76">
        <f t="shared" si="153"/>
        <v>0.425125</v>
      </c>
      <c r="J232" s="84">
        <f t="shared" si="154"/>
        <v>2118.435754</v>
      </c>
      <c r="K232" s="85">
        <f t="shared" si="155"/>
        <v>106.28125</v>
      </c>
      <c r="L232" s="85">
        <f t="shared" si="156"/>
        <v>0</v>
      </c>
      <c r="M232" s="85">
        <f t="shared" si="157"/>
        <v>106.28125</v>
      </c>
      <c r="N232" s="85">
        <f t="shared" si="130"/>
        <v>8.473743017</v>
      </c>
      <c r="O232" s="60">
        <v>900.6</v>
      </c>
      <c r="P232" s="89"/>
      <c r="Q232" s="88"/>
      <c r="R232" s="89"/>
      <c r="S232" s="89"/>
      <c r="T232" s="89"/>
      <c r="U232" s="89"/>
      <c r="V232" s="89"/>
      <c r="W232" s="89"/>
      <c r="X232" s="89"/>
      <c r="Y232" s="89"/>
      <c r="Z232" s="89"/>
    </row>
    <row r="233" ht="15.75" customHeight="1">
      <c r="A233" s="67" t="str">
        <f t="shared" si="152"/>
        <v>Ball Valve Long Lever Handle2</v>
      </c>
      <c r="B233" s="81">
        <v>5.0</v>
      </c>
      <c r="C233" s="150">
        <v>2.0</v>
      </c>
      <c r="D233" s="92">
        <v>50.0</v>
      </c>
      <c r="E233" s="112" t="s">
        <v>826</v>
      </c>
      <c r="F233" s="56">
        <v>1606.2</v>
      </c>
      <c r="G233" s="76">
        <f>IFERROR(__xludf.DUMMYFUNCTION("ArrayFormula(IFERROR(VLOOKUP(E233,IMPORTRANGE(""https://docs.google.com/spreadsheets/d/1xZyKy-UzMmtPDLpV5jQdYum1LtbR8XKDuasLSjmBRMI/edit#gid=1241094406"",""COMBINED DATA!E3:L""),{7,8},0)))"),0.69625)</f>
        <v>0.69625</v>
      </c>
      <c r="H233" s="76">
        <f>IFERROR(__xludf.DUMMYFUNCTION("""COMPUTED_VALUE"""),0.0)</f>
        <v>0</v>
      </c>
      <c r="I233" s="76">
        <f t="shared" si="153"/>
        <v>0.69625</v>
      </c>
      <c r="J233" s="84">
        <f t="shared" si="154"/>
        <v>2306.929982</v>
      </c>
      <c r="K233" s="85">
        <f t="shared" si="155"/>
        <v>174.0625</v>
      </c>
      <c r="L233" s="85">
        <f t="shared" si="156"/>
        <v>0</v>
      </c>
      <c r="M233" s="85">
        <f t="shared" si="157"/>
        <v>174.0625</v>
      </c>
      <c r="N233" s="85">
        <f t="shared" si="130"/>
        <v>9.227719928</v>
      </c>
      <c r="O233" s="60">
        <v>1606.2</v>
      </c>
      <c r="P233" s="89"/>
      <c r="Q233" s="88"/>
      <c r="R233" s="89"/>
      <c r="S233" s="89"/>
      <c r="T233" s="89"/>
      <c r="U233" s="89"/>
      <c r="V233" s="89"/>
      <c r="W233" s="89"/>
      <c r="X233" s="89"/>
      <c r="Y233" s="89"/>
      <c r="Z233" s="89"/>
    </row>
    <row r="234">
      <c r="A234" s="100"/>
      <c r="B234" s="102" t="s">
        <v>11</v>
      </c>
      <c r="C234" s="45"/>
      <c r="D234" s="45"/>
      <c r="E234" s="46"/>
      <c r="F234" s="103">
        <f>sum(F229:F233)</f>
        <v>3508.1</v>
      </c>
      <c r="G234" s="104"/>
      <c r="H234" s="76" t="str">
        <f>IFERROR(__xludf.DUMMYFUNCTION("IFERROR(VLOOKUP(E234,IMPORTRANGE(""https://docs.google.com/spreadsheets/d/1xZyKy-UzMmtPDLpV5jQdYum1LtbR8XKDuasLSjmBRMI/edit#gid=1241094406"",""COMBINED DATA!E3:L""),8,0))"),"")</f>
        <v/>
      </c>
      <c r="I234" s="76"/>
      <c r="J234" s="116"/>
      <c r="K234" s="85"/>
      <c r="L234" s="85"/>
      <c r="M234" s="85"/>
      <c r="N234" s="85" t="str">
        <f t="shared" si="130"/>
        <v/>
      </c>
      <c r="O234" s="103">
        <f>sum(O229:O233)</f>
        <v>3508.1</v>
      </c>
      <c r="P234" s="89"/>
      <c r="Q234" s="89"/>
      <c r="R234" s="89"/>
      <c r="S234" s="89"/>
      <c r="T234" s="89"/>
      <c r="U234" s="89"/>
      <c r="V234" s="89"/>
      <c r="W234" s="89"/>
      <c r="X234" s="89"/>
      <c r="Y234" s="89"/>
      <c r="Z234" s="89"/>
    </row>
    <row r="235" ht="6.0" customHeight="1">
      <c r="A235" s="34"/>
      <c r="B235" s="15"/>
      <c r="C235" s="15"/>
      <c r="D235" s="15"/>
      <c r="E235" s="17"/>
      <c r="F235" s="15"/>
      <c r="G235" s="64"/>
      <c r="H235" s="76" t="str">
        <f>IFERROR(__xludf.DUMMYFUNCTION("IFERROR(VLOOKUP(E235,IMPORTRANGE(""https://docs.google.com/spreadsheets/d/1xZyKy-UzMmtPDLpV5jQdYum1LtbR8XKDuasLSjmBRMI/edit#gid=1241094406"",""COMBINED DATA!E3:L""),8,0))"),"")</f>
        <v/>
      </c>
      <c r="I235" s="76"/>
      <c r="J235" s="65"/>
      <c r="K235" s="85"/>
      <c r="L235" s="85"/>
      <c r="M235" s="85"/>
      <c r="N235" s="85" t="str">
        <f t="shared" si="130"/>
        <v/>
      </c>
      <c r="O235" s="89"/>
      <c r="P235" s="89"/>
      <c r="Q235" s="89"/>
      <c r="R235" s="89"/>
      <c r="S235" s="89"/>
      <c r="T235" s="89"/>
      <c r="U235" s="89"/>
      <c r="V235" s="89"/>
      <c r="W235" s="89"/>
      <c r="X235" s="89"/>
      <c r="Y235" s="89"/>
      <c r="Z235" s="89"/>
    </row>
    <row r="236" ht="22.5" customHeight="1">
      <c r="A236" s="34"/>
      <c r="B236" s="62" t="s">
        <v>854</v>
      </c>
      <c r="C236" s="45"/>
      <c r="D236" s="45"/>
      <c r="E236" s="45"/>
      <c r="F236" s="46"/>
      <c r="G236" s="64"/>
      <c r="H236" s="76" t="str">
        <f>IFERROR(__xludf.DUMMYFUNCTION("IFERROR(VLOOKUP(E236,IMPORTRANGE(""https://docs.google.com/spreadsheets/d/1xZyKy-UzMmtPDLpV5jQdYum1LtbR8XKDuasLSjmBRMI/edit#gid=1241094406"",""COMBINED DATA!E3:L""),8,0))"),"")</f>
        <v/>
      </c>
      <c r="I236" s="76"/>
      <c r="J236" s="65"/>
      <c r="K236" s="85"/>
      <c r="L236" s="85"/>
      <c r="M236" s="85"/>
      <c r="N236" s="85" t="str">
        <f t="shared" si="130"/>
        <v/>
      </c>
      <c r="O236" s="89"/>
      <c r="P236" s="89"/>
      <c r="Q236" s="89"/>
      <c r="R236" s="89"/>
      <c r="S236" s="89"/>
      <c r="T236" s="89"/>
      <c r="U236" s="89"/>
      <c r="V236" s="89"/>
      <c r="W236" s="89"/>
      <c r="X236" s="89"/>
      <c r="Y236" s="89"/>
      <c r="Z236" s="89"/>
    </row>
    <row r="237" ht="15.75" customHeight="1">
      <c r="A237" s="67" t="str">
        <f t="shared" ref="A237:A241" si="158">$B$236&amp;C237</f>
        <v>Tank Nipple3⁄4</v>
      </c>
      <c r="B237" s="81">
        <v>1.0</v>
      </c>
      <c r="C237" s="51" t="s">
        <v>51</v>
      </c>
      <c r="D237" s="70">
        <v>20.0</v>
      </c>
      <c r="E237" s="111" t="s">
        <v>830</v>
      </c>
      <c r="F237" s="56">
        <v>74.0</v>
      </c>
      <c r="G237" s="76">
        <f>IFERROR(__xludf.DUMMYFUNCTION("ArrayFormula(IFERROR(VLOOKUP(E237,IMPORTRANGE(""https://docs.google.com/spreadsheets/d/1xZyKy-UzMmtPDLpV5jQdYum1LtbR8XKDuasLSjmBRMI/edit#gid=1241094406"",""COMBINED DATA!E3:L""),{7,8},0)))"),0.07604999999999999)</f>
        <v>0.07605</v>
      </c>
      <c r="H237" s="76">
        <f>IFERROR(__xludf.DUMMYFUNCTION("""COMPUTED_VALUE"""),0.0)</f>
        <v>0</v>
      </c>
      <c r="I237" s="76">
        <f t="shared" ref="I237:I241" si="159">G237+H237</f>
        <v>0.07605</v>
      </c>
      <c r="J237" s="84">
        <f t="shared" ref="J237:J241" si="160">IFERROR(F237/$I237,"")</f>
        <v>973.04405</v>
      </c>
      <c r="K237" s="85">
        <f t="shared" ref="K237:K241" si="161">IFERROR(G237*250,)</f>
        <v>19.0125</v>
      </c>
      <c r="L237" s="85">
        <f t="shared" ref="L237:L241" si="162">IFERROR(H237*750,"")</f>
        <v>0</v>
      </c>
      <c r="M237" s="85">
        <f t="shared" ref="M237:M241" si="163">K237+L237</f>
        <v>19.0125</v>
      </c>
      <c r="N237" s="85">
        <f t="shared" si="130"/>
        <v>3.8921762</v>
      </c>
      <c r="O237" s="87">
        <v>74.0</v>
      </c>
      <c r="P237" s="89"/>
      <c r="Q237" s="89"/>
      <c r="R237" s="89"/>
      <c r="S237" s="89"/>
      <c r="T237" s="89"/>
      <c r="U237" s="89"/>
      <c r="V237" s="89"/>
      <c r="W237" s="89"/>
      <c r="X237" s="89"/>
      <c r="Y237" s="89"/>
      <c r="Z237" s="89"/>
    </row>
    <row r="238" ht="15.75" customHeight="1">
      <c r="A238" s="67" t="str">
        <f t="shared" si="158"/>
        <v>Tank Nipple1</v>
      </c>
      <c r="B238" s="81">
        <v>2.0</v>
      </c>
      <c r="C238" s="150">
        <v>1.0</v>
      </c>
      <c r="D238" s="92">
        <v>25.0</v>
      </c>
      <c r="E238" s="112" t="s">
        <v>834</v>
      </c>
      <c r="F238" s="56">
        <v>98.0</v>
      </c>
      <c r="G238" s="76">
        <f>IFERROR(__xludf.DUMMYFUNCTION("ArrayFormula(IFERROR(VLOOKUP(E238,IMPORTRANGE(""https://docs.google.com/spreadsheets/d/1xZyKy-UzMmtPDLpV5jQdYum1LtbR8XKDuasLSjmBRMI/edit#gid=1241094406"",""COMBINED DATA!E3:L""),{7,8},0)))"),0.0825)</f>
        <v>0.0825</v>
      </c>
      <c r="H238" s="76">
        <f>IFERROR(__xludf.DUMMYFUNCTION("""COMPUTED_VALUE"""),0.0)</f>
        <v>0</v>
      </c>
      <c r="I238" s="76">
        <f t="shared" si="159"/>
        <v>0.0825</v>
      </c>
      <c r="J238" s="84">
        <f t="shared" si="160"/>
        <v>1187.878788</v>
      </c>
      <c r="K238" s="85">
        <f t="shared" si="161"/>
        <v>20.625</v>
      </c>
      <c r="L238" s="85">
        <f t="shared" si="162"/>
        <v>0</v>
      </c>
      <c r="M238" s="85">
        <f t="shared" si="163"/>
        <v>20.625</v>
      </c>
      <c r="N238" s="85">
        <f t="shared" si="130"/>
        <v>4.751515152</v>
      </c>
      <c r="O238" s="87">
        <v>98.0</v>
      </c>
      <c r="P238" s="89"/>
      <c r="Q238" s="89"/>
      <c r="R238" s="89"/>
      <c r="S238" s="89"/>
      <c r="T238" s="89"/>
      <c r="U238" s="89"/>
      <c r="V238" s="89"/>
      <c r="W238" s="89"/>
      <c r="X238" s="89"/>
      <c r="Y238" s="89"/>
      <c r="Z238" s="89"/>
    </row>
    <row r="239" ht="15.75" customHeight="1">
      <c r="A239" s="67" t="str">
        <f t="shared" si="158"/>
        <v>Tank Nipple1 1⁄4</v>
      </c>
      <c r="B239" s="81">
        <v>3.0</v>
      </c>
      <c r="C239" s="150" t="s">
        <v>55</v>
      </c>
      <c r="D239" s="92">
        <v>32.0</v>
      </c>
      <c r="E239" s="112" t="s">
        <v>839</v>
      </c>
      <c r="F239" s="56">
        <v>158.0</v>
      </c>
      <c r="G239" s="76">
        <f>IFERROR(__xludf.DUMMYFUNCTION("ArrayFormula(IFERROR(VLOOKUP(E239,IMPORTRANGE(""https://docs.google.com/spreadsheets/d/1xZyKy-UzMmtPDLpV5jQdYum1LtbR8XKDuasLSjmBRMI/edit#gid=1241094406"",""COMBINED DATA!E3:L""),{7,8},0)))"),0.11705)</f>
        <v>0.11705</v>
      </c>
      <c r="H239" s="76">
        <f>IFERROR(__xludf.DUMMYFUNCTION("""COMPUTED_VALUE"""),0.0)</f>
        <v>0</v>
      </c>
      <c r="I239" s="76">
        <f t="shared" si="159"/>
        <v>0.11705</v>
      </c>
      <c r="J239" s="84">
        <f t="shared" si="160"/>
        <v>1349.850491</v>
      </c>
      <c r="K239" s="85">
        <f t="shared" si="161"/>
        <v>29.2625</v>
      </c>
      <c r="L239" s="85">
        <f t="shared" si="162"/>
        <v>0</v>
      </c>
      <c r="M239" s="85">
        <f t="shared" si="163"/>
        <v>29.2625</v>
      </c>
      <c r="N239" s="85">
        <f t="shared" si="130"/>
        <v>5.399401965</v>
      </c>
      <c r="O239" s="87">
        <v>158.0</v>
      </c>
      <c r="P239" s="89"/>
      <c r="Q239" s="89"/>
      <c r="R239" s="89"/>
      <c r="S239" s="89"/>
      <c r="T239" s="89"/>
      <c r="U239" s="89"/>
      <c r="V239" s="89"/>
      <c r="W239" s="89"/>
      <c r="X239" s="89"/>
      <c r="Y239" s="89"/>
      <c r="Z239" s="89"/>
    </row>
    <row r="240" ht="15.75" customHeight="1">
      <c r="A240" s="67" t="str">
        <f t="shared" si="158"/>
        <v>Tank Nipple1 1⁄2</v>
      </c>
      <c r="B240" s="81">
        <v>4.0</v>
      </c>
      <c r="C240" s="150" t="s">
        <v>56</v>
      </c>
      <c r="D240" s="92">
        <v>40.0</v>
      </c>
      <c r="E240" s="112" t="s">
        <v>843</v>
      </c>
      <c r="F240" s="56">
        <v>244.0</v>
      </c>
      <c r="G240" s="76">
        <f>IFERROR(__xludf.DUMMYFUNCTION("ArrayFormula(IFERROR(VLOOKUP(E240,IMPORTRANGE(""https://docs.google.com/spreadsheets/d/1xZyKy-UzMmtPDLpV5jQdYum1LtbR8XKDuasLSjmBRMI/edit#gid=1241094406"",""COMBINED DATA!E3:L""),{7,8},0)))"),0.13535)</f>
        <v>0.13535</v>
      </c>
      <c r="H240" s="76">
        <f>IFERROR(__xludf.DUMMYFUNCTION("""COMPUTED_VALUE"""),0.0)</f>
        <v>0</v>
      </c>
      <c r="I240" s="76">
        <f t="shared" si="159"/>
        <v>0.13535</v>
      </c>
      <c r="J240" s="84">
        <f t="shared" si="160"/>
        <v>1802.733653</v>
      </c>
      <c r="K240" s="85">
        <f t="shared" si="161"/>
        <v>33.8375</v>
      </c>
      <c r="L240" s="85">
        <f t="shared" si="162"/>
        <v>0</v>
      </c>
      <c r="M240" s="85">
        <f t="shared" si="163"/>
        <v>33.8375</v>
      </c>
      <c r="N240" s="85">
        <f t="shared" si="130"/>
        <v>7.210934614</v>
      </c>
      <c r="O240" s="87">
        <v>244.0</v>
      </c>
      <c r="P240" s="89"/>
      <c r="Q240" s="89"/>
      <c r="R240" s="89"/>
      <c r="S240" s="89"/>
      <c r="T240" s="89"/>
      <c r="U240" s="89"/>
      <c r="V240" s="89"/>
      <c r="W240" s="89"/>
      <c r="X240" s="89"/>
      <c r="Y240" s="89"/>
      <c r="Z240" s="89"/>
    </row>
    <row r="241" ht="15.75" customHeight="1">
      <c r="A241" s="67" t="str">
        <f t="shared" si="158"/>
        <v>Tank Nipple2</v>
      </c>
      <c r="B241" s="81">
        <v>5.0</v>
      </c>
      <c r="C241" s="150">
        <v>2.0</v>
      </c>
      <c r="D241" s="92">
        <v>50.0</v>
      </c>
      <c r="E241" s="112" t="s">
        <v>846</v>
      </c>
      <c r="F241" s="56">
        <v>368.0</v>
      </c>
      <c r="G241" s="76">
        <f>IFERROR(__xludf.DUMMYFUNCTION("ArrayFormula(IFERROR(VLOOKUP(E241,IMPORTRANGE(""https://docs.google.com/spreadsheets/d/1xZyKy-UzMmtPDLpV5jQdYum1LtbR8XKDuasLSjmBRMI/edit#gid=1241094406"",""COMBINED DATA!E3:L""),{7,8},0)))"),0.21245)</f>
        <v>0.21245</v>
      </c>
      <c r="H241" s="76">
        <f>IFERROR(__xludf.DUMMYFUNCTION("""COMPUTED_VALUE"""),0.0)</f>
        <v>0</v>
      </c>
      <c r="I241" s="76">
        <f t="shared" si="159"/>
        <v>0.21245</v>
      </c>
      <c r="J241" s="84">
        <f t="shared" si="160"/>
        <v>1732.172276</v>
      </c>
      <c r="K241" s="85">
        <f t="shared" si="161"/>
        <v>53.1125</v>
      </c>
      <c r="L241" s="85">
        <f t="shared" si="162"/>
        <v>0</v>
      </c>
      <c r="M241" s="85">
        <f t="shared" si="163"/>
        <v>53.1125</v>
      </c>
      <c r="N241" s="85">
        <f t="shared" si="130"/>
        <v>6.928689103</v>
      </c>
      <c r="O241" s="87">
        <v>368.0</v>
      </c>
      <c r="P241" s="89"/>
      <c r="Q241" s="89"/>
      <c r="R241" s="89"/>
      <c r="S241" s="89"/>
      <c r="T241" s="89"/>
      <c r="U241" s="89"/>
      <c r="V241" s="89"/>
      <c r="W241" s="89"/>
      <c r="X241" s="89"/>
      <c r="Y241" s="89"/>
      <c r="Z241" s="89"/>
    </row>
    <row r="242">
      <c r="A242" s="100"/>
      <c r="B242" s="102" t="s">
        <v>11</v>
      </c>
      <c r="C242" s="45"/>
      <c r="D242" s="45"/>
      <c r="E242" s="46"/>
      <c r="F242" s="103">
        <f>sum(F237:F241)</f>
        <v>942</v>
      </c>
      <c r="G242" s="104"/>
      <c r="H242" s="76" t="str">
        <f>IFERROR(__xludf.DUMMYFUNCTION("IFERROR(VLOOKUP(E242,IMPORTRANGE(""https://docs.google.com/spreadsheets/d/1xZyKy-UzMmtPDLpV5jQdYum1LtbR8XKDuasLSjmBRMI/edit#gid=1241094406"",""COMBINED DATA!E3:L""),8,0))"),"")</f>
        <v/>
      </c>
      <c r="I242" s="76"/>
      <c r="J242" s="116"/>
      <c r="K242" s="85"/>
      <c r="L242" s="85"/>
      <c r="M242" s="85"/>
      <c r="N242" s="85" t="str">
        <f t="shared" si="130"/>
        <v/>
      </c>
      <c r="O242" s="103">
        <f>sum(O237:O241)</f>
        <v>942</v>
      </c>
      <c r="P242" s="89"/>
      <c r="Q242" s="89"/>
      <c r="R242" s="89"/>
      <c r="S242" s="89"/>
      <c r="T242" s="89"/>
      <c r="U242" s="89"/>
      <c r="V242" s="89"/>
      <c r="W242" s="89"/>
      <c r="X242" s="89"/>
      <c r="Y242" s="89"/>
      <c r="Z242" s="89"/>
    </row>
    <row r="243" ht="6.0" customHeight="1">
      <c r="A243" s="34"/>
      <c r="B243" s="15"/>
      <c r="C243" s="15"/>
      <c r="D243" s="15"/>
      <c r="E243" s="17"/>
      <c r="F243" s="15"/>
      <c r="G243" s="64"/>
      <c r="H243" s="76" t="str">
        <f>IFERROR(__xludf.DUMMYFUNCTION("IFERROR(VLOOKUP(E243,IMPORTRANGE(""https://docs.google.com/spreadsheets/d/1xZyKy-UzMmtPDLpV5jQdYum1LtbR8XKDuasLSjmBRMI/edit#gid=1241094406"",""COMBINED DATA!E3:L""),8,0))"),"")</f>
        <v/>
      </c>
      <c r="I243" s="76"/>
      <c r="J243" s="65"/>
      <c r="K243" s="85"/>
      <c r="L243" s="85"/>
      <c r="M243" s="85"/>
      <c r="N243" s="85" t="str">
        <f t="shared" si="130"/>
        <v/>
      </c>
      <c r="O243" s="89"/>
      <c r="P243" s="89"/>
      <c r="Q243" s="89"/>
      <c r="R243" s="89"/>
      <c r="S243" s="89"/>
      <c r="T243" s="89"/>
      <c r="U243" s="89"/>
      <c r="V243" s="89"/>
      <c r="W243" s="89"/>
      <c r="X243" s="89"/>
      <c r="Y243" s="89"/>
      <c r="Z243" s="89"/>
    </row>
    <row r="244" ht="22.5" customHeight="1">
      <c r="A244" s="34"/>
      <c r="B244" s="62" t="s">
        <v>881</v>
      </c>
      <c r="C244" s="45"/>
      <c r="D244" s="45"/>
      <c r="E244" s="45"/>
      <c r="F244" s="46"/>
      <c r="G244" s="64"/>
      <c r="H244" s="76" t="str">
        <f>IFERROR(__xludf.DUMMYFUNCTION("IFERROR(VLOOKUP(E244,IMPORTRANGE(""https://docs.google.com/spreadsheets/d/1xZyKy-UzMmtPDLpV5jQdYum1LtbR8XKDuasLSjmBRMI/edit#gid=1241094406"",""COMBINED DATA!E3:L""),8,0))"),"")</f>
        <v/>
      </c>
      <c r="I244" s="76"/>
      <c r="J244" s="65"/>
      <c r="K244" s="85"/>
      <c r="L244" s="85"/>
      <c r="M244" s="85"/>
      <c r="N244" s="85" t="str">
        <f t="shared" si="130"/>
        <v/>
      </c>
      <c r="O244" s="89"/>
      <c r="P244" s="89"/>
      <c r="Q244" s="89"/>
      <c r="R244" s="89"/>
      <c r="S244" s="89"/>
      <c r="T244" s="89"/>
      <c r="U244" s="89"/>
      <c r="V244" s="89"/>
      <c r="W244" s="89"/>
      <c r="X244" s="89"/>
      <c r="Y244" s="89"/>
      <c r="Z244" s="89"/>
    </row>
    <row r="245" ht="15.75" customHeight="1">
      <c r="A245" s="67" t="str">
        <f t="shared" ref="A245:A252" si="164">$B$244&amp;C245</f>
        <v>Tank Connector3⁄4</v>
      </c>
      <c r="B245" s="81">
        <v>1.0</v>
      </c>
      <c r="C245" s="68" t="s">
        <v>51</v>
      </c>
      <c r="D245" s="110">
        <v>20.0</v>
      </c>
      <c r="E245" s="111" t="s">
        <v>852</v>
      </c>
      <c r="F245" s="56">
        <v>62.0</v>
      </c>
      <c r="G245" s="76">
        <f>IFERROR(__xludf.DUMMYFUNCTION("ArrayFormula(IFERROR(VLOOKUP(E245,IMPORTRANGE(""https://docs.google.com/spreadsheets/d/1xZyKy-UzMmtPDLpV5jQdYum1LtbR8XKDuasLSjmBRMI/edit#gid=1241094406"",""COMBINED DATA!E3:L""),{7,8},0)))"),0.06525)</f>
        <v>0.06525</v>
      </c>
      <c r="H245" s="76">
        <f>IFERROR(__xludf.DUMMYFUNCTION("""COMPUTED_VALUE"""),0.0)</f>
        <v>0</v>
      </c>
      <c r="I245" s="76">
        <f t="shared" ref="I245:I252" si="165">G245+H245</f>
        <v>0.06525</v>
      </c>
      <c r="J245" s="84">
        <f t="shared" ref="J245:J252" si="166">IFERROR(F245/$I245,"")</f>
        <v>950.1915709</v>
      </c>
      <c r="K245" s="85">
        <f t="shared" ref="K245:K252" si="167">IFERROR(G245*250,)</f>
        <v>16.3125</v>
      </c>
      <c r="L245" s="85">
        <f t="shared" ref="L245:L252" si="168">IFERROR(H245*750,"")</f>
        <v>0</v>
      </c>
      <c r="M245" s="85">
        <f t="shared" ref="M245:M252" si="169">K245+L245</f>
        <v>16.3125</v>
      </c>
      <c r="N245" s="85">
        <f t="shared" si="130"/>
        <v>3.800766284</v>
      </c>
      <c r="O245" s="60">
        <v>62.0</v>
      </c>
      <c r="P245" s="89"/>
      <c r="Q245" s="89"/>
      <c r="R245" s="89"/>
      <c r="S245" s="89"/>
      <c r="T245" s="89"/>
      <c r="U245" s="89"/>
      <c r="V245" s="89"/>
      <c r="W245" s="89"/>
      <c r="X245" s="89"/>
      <c r="Y245" s="89"/>
      <c r="Z245" s="89"/>
    </row>
    <row r="246" ht="15.75" customHeight="1">
      <c r="A246" s="67" t="str">
        <f t="shared" si="164"/>
        <v>Tank Connector1</v>
      </c>
      <c r="B246" s="81">
        <v>2.0</v>
      </c>
      <c r="C246" s="90" t="s">
        <v>84</v>
      </c>
      <c r="D246" s="127">
        <v>25.0</v>
      </c>
      <c r="E246" s="112" t="s">
        <v>857</v>
      </c>
      <c r="F246" s="56">
        <v>89.0</v>
      </c>
      <c r="G246" s="76">
        <f>IFERROR(__xludf.DUMMYFUNCTION("ArrayFormula(IFERROR(VLOOKUP(E246,IMPORTRANGE(""https://docs.google.com/spreadsheets/d/1xZyKy-UzMmtPDLpV5jQdYum1LtbR8XKDuasLSjmBRMI/edit#gid=1241094406"",""COMBINED DATA!E3:L""),{7,8},0)))"),0.071)</f>
        <v>0.071</v>
      </c>
      <c r="H246" s="76">
        <f>IFERROR(__xludf.DUMMYFUNCTION("""COMPUTED_VALUE"""),0.0)</f>
        <v>0</v>
      </c>
      <c r="I246" s="76">
        <f t="shared" si="165"/>
        <v>0.071</v>
      </c>
      <c r="J246" s="84">
        <f t="shared" si="166"/>
        <v>1253.521127</v>
      </c>
      <c r="K246" s="85">
        <f t="shared" si="167"/>
        <v>17.75</v>
      </c>
      <c r="L246" s="85">
        <f t="shared" si="168"/>
        <v>0</v>
      </c>
      <c r="M246" s="85">
        <f t="shared" si="169"/>
        <v>17.75</v>
      </c>
      <c r="N246" s="85">
        <f t="shared" si="130"/>
        <v>5.014084507</v>
      </c>
      <c r="O246" s="60">
        <v>89.0</v>
      </c>
      <c r="P246" s="89"/>
      <c r="Q246" s="89"/>
      <c r="R246" s="89"/>
      <c r="S246" s="89"/>
      <c r="T246" s="89"/>
      <c r="U246" s="89"/>
      <c r="V246" s="89"/>
      <c r="W246" s="89"/>
      <c r="X246" s="89"/>
      <c r="Y246" s="89"/>
      <c r="Z246" s="89"/>
    </row>
    <row r="247" ht="15.75" customHeight="1">
      <c r="A247" s="67" t="str">
        <f t="shared" si="164"/>
        <v>Tank Connector1 1⁄4</v>
      </c>
      <c r="B247" s="81">
        <v>3.0</v>
      </c>
      <c r="C247" s="90" t="s">
        <v>55</v>
      </c>
      <c r="D247" s="127">
        <v>32.0</v>
      </c>
      <c r="E247" s="112" t="s">
        <v>862</v>
      </c>
      <c r="F247" s="56">
        <v>148.0</v>
      </c>
      <c r="G247" s="76">
        <f>IFERROR(__xludf.DUMMYFUNCTION("ArrayFormula(IFERROR(VLOOKUP(E247,IMPORTRANGE(""https://docs.google.com/spreadsheets/d/1xZyKy-UzMmtPDLpV5jQdYum1LtbR8XKDuasLSjmBRMI/edit#gid=1241094406"",""COMBINED DATA!E3:L""),{7,8},0)))"),0.105)</f>
        <v>0.105</v>
      </c>
      <c r="H247" s="76">
        <f>IFERROR(__xludf.DUMMYFUNCTION("""COMPUTED_VALUE"""),0.0)</f>
        <v>0</v>
      </c>
      <c r="I247" s="76">
        <f t="shared" si="165"/>
        <v>0.105</v>
      </c>
      <c r="J247" s="84">
        <f t="shared" si="166"/>
        <v>1409.52381</v>
      </c>
      <c r="K247" s="85">
        <f t="shared" si="167"/>
        <v>26.25</v>
      </c>
      <c r="L247" s="85">
        <f t="shared" si="168"/>
        <v>0</v>
      </c>
      <c r="M247" s="85">
        <f t="shared" si="169"/>
        <v>26.25</v>
      </c>
      <c r="N247" s="85">
        <f t="shared" si="130"/>
        <v>5.638095238</v>
      </c>
      <c r="O247" s="60">
        <v>148.0</v>
      </c>
      <c r="P247" s="89"/>
      <c r="Q247" s="89"/>
      <c r="R247" s="89"/>
      <c r="S247" s="89"/>
      <c r="T247" s="89"/>
      <c r="U247" s="89"/>
      <c r="V247" s="89"/>
      <c r="W247" s="89"/>
      <c r="X247" s="89"/>
      <c r="Y247" s="89"/>
      <c r="Z247" s="89"/>
    </row>
    <row r="248" ht="15.75" customHeight="1">
      <c r="A248" s="67" t="str">
        <f t="shared" si="164"/>
        <v>Tank Connector1 1⁄2</v>
      </c>
      <c r="B248" s="81">
        <v>4.0</v>
      </c>
      <c r="C248" s="90" t="s">
        <v>56</v>
      </c>
      <c r="D248" s="127">
        <v>40.0</v>
      </c>
      <c r="E248" s="112" t="s">
        <v>867</v>
      </c>
      <c r="F248" s="56">
        <v>198.0</v>
      </c>
      <c r="G248" s="76">
        <f>IFERROR(__xludf.DUMMYFUNCTION("ArrayFormula(IFERROR(VLOOKUP(E248,IMPORTRANGE(""https://docs.google.com/spreadsheets/d/1xZyKy-UzMmtPDLpV5jQdYum1LtbR8XKDuasLSjmBRMI/edit#gid=1241094406"",""COMBINED DATA!E3:L""),{7,8},0)))"),0.14565)</f>
        <v>0.14565</v>
      </c>
      <c r="H248" s="76">
        <f>IFERROR(__xludf.DUMMYFUNCTION("""COMPUTED_VALUE"""),0.0)</f>
        <v>0</v>
      </c>
      <c r="I248" s="76">
        <f t="shared" si="165"/>
        <v>0.14565</v>
      </c>
      <c r="J248" s="84">
        <f t="shared" si="166"/>
        <v>1359.423275</v>
      </c>
      <c r="K248" s="85">
        <f t="shared" si="167"/>
        <v>36.4125</v>
      </c>
      <c r="L248" s="85">
        <f t="shared" si="168"/>
        <v>0</v>
      </c>
      <c r="M248" s="85">
        <f t="shared" si="169"/>
        <v>36.4125</v>
      </c>
      <c r="N248" s="85">
        <f t="shared" si="130"/>
        <v>5.4376931</v>
      </c>
      <c r="O248" s="60">
        <v>198.0</v>
      </c>
      <c r="P248" s="89"/>
      <c r="Q248" s="89"/>
      <c r="R248" s="89"/>
      <c r="S248" s="89"/>
      <c r="T248" s="89"/>
      <c r="U248" s="89"/>
      <c r="V248" s="89"/>
      <c r="W248" s="89"/>
      <c r="X248" s="89"/>
      <c r="Y248" s="89"/>
      <c r="Z248" s="89"/>
    </row>
    <row r="249" ht="15.75" customHeight="1">
      <c r="A249" s="67" t="str">
        <f t="shared" si="164"/>
        <v>Tank Connector2</v>
      </c>
      <c r="B249" s="81">
        <v>5.0</v>
      </c>
      <c r="C249" s="90">
        <v>2.0</v>
      </c>
      <c r="D249" s="127">
        <v>50.0</v>
      </c>
      <c r="E249" s="112" t="s">
        <v>873</v>
      </c>
      <c r="F249" s="56">
        <v>344.0</v>
      </c>
      <c r="G249" s="76">
        <f>IFERROR(__xludf.DUMMYFUNCTION("ArrayFormula(IFERROR(VLOOKUP(E249,IMPORTRANGE(""https://docs.google.com/spreadsheets/d/1xZyKy-UzMmtPDLpV5jQdYum1LtbR8XKDuasLSjmBRMI/edit#gid=1241094406"",""COMBINED DATA!E3:L""),{7,8},0)))"),0.20595)</f>
        <v>0.20595</v>
      </c>
      <c r="H249" s="76">
        <f>IFERROR(__xludf.DUMMYFUNCTION("""COMPUTED_VALUE"""),0.0)</f>
        <v>0</v>
      </c>
      <c r="I249" s="76">
        <f t="shared" si="165"/>
        <v>0.20595</v>
      </c>
      <c r="J249" s="84">
        <f t="shared" si="166"/>
        <v>1670.308327</v>
      </c>
      <c r="K249" s="85">
        <f t="shared" si="167"/>
        <v>51.4875</v>
      </c>
      <c r="L249" s="85">
        <f t="shared" si="168"/>
        <v>0</v>
      </c>
      <c r="M249" s="85">
        <f t="shared" si="169"/>
        <v>51.4875</v>
      </c>
      <c r="N249" s="85">
        <f t="shared" si="130"/>
        <v>6.681233309</v>
      </c>
      <c r="O249" s="60">
        <v>344.0</v>
      </c>
      <c r="P249" s="89"/>
      <c r="Q249" s="89"/>
      <c r="R249" s="89"/>
      <c r="S249" s="89"/>
      <c r="T249" s="89"/>
      <c r="U249" s="89"/>
      <c r="V249" s="89"/>
      <c r="W249" s="89"/>
      <c r="X249" s="89"/>
      <c r="Y249" s="89"/>
      <c r="Z249" s="89"/>
    </row>
    <row r="250" ht="15.75" customHeight="1">
      <c r="A250" s="67" t="str">
        <f t="shared" si="164"/>
        <v>Tank Connector2 1⁄2</v>
      </c>
      <c r="B250" s="81">
        <v>6.0</v>
      </c>
      <c r="C250" s="90" t="s">
        <v>69</v>
      </c>
      <c r="D250" s="127">
        <v>65.0</v>
      </c>
      <c r="E250" s="112" t="s">
        <v>879</v>
      </c>
      <c r="F250" s="56">
        <v>1280.0</v>
      </c>
      <c r="G250" s="76">
        <f>IFERROR(__xludf.DUMMYFUNCTION("ArrayFormula(IFERROR(VLOOKUP(E250,IMPORTRANGE(""https://docs.google.com/spreadsheets/d/1xZyKy-UzMmtPDLpV5jQdYum1LtbR8XKDuasLSjmBRMI/edit#gid=1241094406"",""COMBINED DATA!E3:L""),{7,8},0)))"),0.732)</f>
        <v>0.732</v>
      </c>
      <c r="H250" s="76">
        <f>IFERROR(__xludf.DUMMYFUNCTION("""COMPUTED_VALUE"""),0.0)</f>
        <v>0</v>
      </c>
      <c r="I250" s="76">
        <f t="shared" si="165"/>
        <v>0.732</v>
      </c>
      <c r="J250" s="84">
        <f t="shared" si="166"/>
        <v>1748.63388</v>
      </c>
      <c r="K250" s="85">
        <f t="shared" si="167"/>
        <v>183</v>
      </c>
      <c r="L250" s="85">
        <f t="shared" si="168"/>
        <v>0</v>
      </c>
      <c r="M250" s="85">
        <f t="shared" si="169"/>
        <v>183</v>
      </c>
      <c r="N250" s="85">
        <f t="shared" si="130"/>
        <v>6.994535519</v>
      </c>
      <c r="O250" s="60">
        <v>1280.0</v>
      </c>
      <c r="P250" s="89"/>
      <c r="Q250" s="89"/>
      <c r="R250" s="89"/>
      <c r="S250" s="89"/>
      <c r="T250" s="89"/>
      <c r="U250" s="89"/>
      <c r="V250" s="89"/>
      <c r="W250" s="89"/>
      <c r="X250" s="89"/>
      <c r="Y250" s="89"/>
      <c r="Z250" s="89"/>
    </row>
    <row r="251" ht="15.75" customHeight="1">
      <c r="A251" s="67" t="str">
        <f t="shared" si="164"/>
        <v>Tank Connector3</v>
      </c>
      <c r="B251" s="81">
        <v>7.0</v>
      </c>
      <c r="C251" s="90">
        <v>3.0</v>
      </c>
      <c r="D251" s="127">
        <v>80.0</v>
      </c>
      <c r="E251" s="112" t="s">
        <v>885</v>
      </c>
      <c r="F251" s="56">
        <v>1898.0</v>
      </c>
      <c r="G251" s="76">
        <f>IFERROR(__xludf.DUMMYFUNCTION("ArrayFormula(IFERROR(VLOOKUP(E251,IMPORTRANGE(""https://docs.google.com/spreadsheets/d/1xZyKy-UzMmtPDLpV5jQdYum1LtbR8XKDuasLSjmBRMI/edit#gid=1241094406"",""COMBINED DATA!E3:L""),{7,8},0)))"),0.0)</f>
        <v>0</v>
      </c>
      <c r="H251" s="76">
        <f>IFERROR(__xludf.DUMMYFUNCTION("""COMPUTED_VALUE"""),0.0)</f>
        <v>0</v>
      </c>
      <c r="I251" s="76">
        <f t="shared" si="165"/>
        <v>0</v>
      </c>
      <c r="J251" s="84" t="str">
        <f t="shared" si="166"/>
        <v/>
      </c>
      <c r="K251" s="85">
        <f t="shared" si="167"/>
        <v>0</v>
      </c>
      <c r="L251" s="85">
        <f t="shared" si="168"/>
        <v>0</v>
      </c>
      <c r="M251" s="85">
        <f t="shared" si="169"/>
        <v>0</v>
      </c>
      <c r="N251" s="85" t="str">
        <f t="shared" si="130"/>
        <v/>
      </c>
      <c r="O251" s="60">
        <v>1898.0</v>
      </c>
      <c r="P251" s="89"/>
      <c r="Q251" s="89"/>
      <c r="R251" s="89"/>
      <c r="S251" s="89"/>
      <c r="T251" s="89"/>
      <c r="U251" s="89"/>
      <c r="V251" s="89"/>
      <c r="W251" s="89"/>
      <c r="X251" s="89"/>
      <c r="Y251" s="89"/>
      <c r="Z251" s="89"/>
    </row>
    <row r="252" ht="15.75" customHeight="1">
      <c r="A252" s="67" t="str">
        <f t="shared" si="164"/>
        <v>Tank Connector4</v>
      </c>
      <c r="B252" s="81">
        <v>8.0</v>
      </c>
      <c r="C252" s="90">
        <v>4.0</v>
      </c>
      <c r="D252" s="127">
        <v>100.0</v>
      </c>
      <c r="E252" s="112" t="s">
        <v>890</v>
      </c>
      <c r="F252" s="56">
        <v>3780.0</v>
      </c>
      <c r="G252" s="76">
        <f>IFERROR(__xludf.DUMMYFUNCTION("ArrayFormula(IFERROR(VLOOKUP(E252,IMPORTRANGE(""https://docs.google.com/spreadsheets/d/1xZyKy-UzMmtPDLpV5jQdYum1LtbR8XKDuasLSjmBRMI/edit#gid=1241094406"",""COMBINED DATA!E3:L""),{7,8},0)))"),2.235)</f>
        <v>2.235</v>
      </c>
      <c r="H252" s="76">
        <f>IFERROR(__xludf.DUMMYFUNCTION("""COMPUTED_VALUE"""),0.0)</f>
        <v>0</v>
      </c>
      <c r="I252" s="76">
        <f t="shared" si="165"/>
        <v>2.235</v>
      </c>
      <c r="J252" s="84">
        <f t="shared" si="166"/>
        <v>1691.275168</v>
      </c>
      <c r="K252" s="85">
        <f t="shared" si="167"/>
        <v>558.75</v>
      </c>
      <c r="L252" s="85">
        <f t="shared" si="168"/>
        <v>0</v>
      </c>
      <c r="M252" s="85">
        <f t="shared" si="169"/>
        <v>558.75</v>
      </c>
      <c r="N252" s="85">
        <f t="shared" si="130"/>
        <v>6.765100671</v>
      </c>
      <c r="O252" s="60">
        <v>3780.0</v>
      </c>
      <c r="P252" s="89"/>
      <c r="Q252" s="89"/>
      <c r="R252" s="89"/>
      <c r="S252" s="89"/>
      <c r="T252" s="89"/>
      <c r="U252" s="89"/>
      <c r="V252" s="89"/>
      <c r="W252" s="89"/>
      <c r="X252" s="89"/>
      <c r="Y252" s="89"/>
      <c r="Z252" s="89"/>
    </row>
    <row r="253">
      <c r="A253" s="100"/>
      <c r="B253" s="102" t="s">
        <v>11</v>
      </c>
      <c r="C253" s="45"/>
      <c r="D253" s="45"/>
      <c r="E253" s="46"/>
      <c r="F253" s="103">
        <f>SUM(F245:F252)</f>
        <v>7799</v>
      </c>
      <c r="G253" s="104"/>
      <c r="H253" s="76" t="str">
        <f>IFERROR(__xludf.DUMMYFUNCTION("IFERROR(VLOOKUP(E253,IMPORTRANGE(""https://docs.google.com/spreadsheets/d/1xZyKy-UzMmtPDLpV5jQdYum1LtbR8XKDuasLSjmBRMI/edit#gid=1241094406"",""COMBINED DATA!E3:L""),8,0))"),"")</f>
        <v/>
      </c>
      <c r="I253" s="76"/>
      <c r="J253" s="116"/>
      <c r="K253" s="85"/>
      <c r="L253" s="85"/>
      <c r="M253" s="85"/>
      <c r="N253" s="85" t="str">
        <f t="shared" si="130"/>
        <v/>
      </c>
      <c r="O253" s="103">
        <f>SUM(O245:O252)</f>
        <v>7799</v>
      </c>
      <c r="P253" s="89"/>
      <c r="Q253" s="89"/>
      <c r="R253" s="89"/>
      <c r="S253" s="89"/>
      <c r="T253" s="89"/>
      <c r="U253" s="89"/>
      <c r="V253" s="89"/>
      <c r="W253" s="89"/>
      <c r="X253" s="89"/>
      <c r="Y253" s="89"/>
      <c r="Z253" s="89"/>
    </row>
    <row r="254" ht="6.0" customHeight="1">
      <c r="A254" s="34"/>
      <c r="B254" s="15"/>
      <c r="C254" s="15"/>
      <c r="D254" s="15"/>
      <c r="E254" s="17"/>
      <c r="F254" s="15"/>
      <c r="G254" s="64"/>
      <c r="H254" s="76" t="str">
        <f>IFERROR(__xludf.DUMMYFUNCTION("IFERROR(VLOOKUP(E254,IMPORTRANGE(""https://docs.google.com/spreadsheets/d/1xZyKy-UzMmtPDLpV5jQdYum1LtbR8XKDuasLSjmBRMI/edit#gid=1241094406"",""COMBINED DATA!E3:L""),8,0))"),"")</f>
        <v/>
      </c>
      <c r="I254" s="76"/>
      <c r="J254" s="65"/>
      <c r="K254" s="85"/>
      <c r="L254" s="85"/>
      <c r="M254" s="85"/>
      <c r="N254" s="85" t="str">
        <f t="shared" si="130"/>
        <v/>
      </c>
      <c r="O254" s="89"/>
      <c r="P254" s="89"/>
      <c r="Q254" s="89"/>
      <c r="R254" s="89"/>
      <c r="S254" s="89"/>
      <c r="T254" s="89"/>
      <c r="U254" s="89"/>
      <c r="V254" s="89"/>
      <c r="W254" s="89"/>
      <c r="X254" s="89"/>
      <c r="Y254" s="89"/>
      <c r="Z254" s="89"/>
    </row>
    <row r="255" ht="22.5" customHeight="1">
      <c r="A255" s="34"/>
      <c r="B255" s="62" t="s">
        <v>386</v>
      </c>
      <c r="C255" s="45"/>
      <c r="D255" s="45"/>
      <c r="E255" s="45"/>
      <c r="F255" s="46"/>
      <c r="G255" s="64"/>
      <c r="H255" s="76" t="str">
        <f>IFERROR(__xludf.DUMMYFUNCTION("IFERROR(VLOOKUP(E255,IMPORTRANGE(""https://docs.google.com/spreadsheets/d/1xZyKy-UzMmtPDLpV5jQdYum1LtbR8XKDuasLSjmBRMI/edit#gid=1241094406"",""COMBINED DATA!E3:L""),8,0))"),"")</f>
        <v/>
      </c>
      <c r="I255" s="76"/>
      <c r="J255" s="65"/>
      <c r="K255" s="85"/>
      <c r="L255" s="85"/>
      <c r="M255" s="85"/>
      <c r="N255" s="85" t="str">
        <f t="shared" si="130"/>
        <v/>
      </c>
      <c r="O255" s="89"/>
      <c r="P255" s="89"/>
      <c r="Q255" s="89"/>
      <c r="R255" s="89"/>
      <c r="S255" s="89"/>
      <c r="T255" s="89"/>
      <c r="U255" s="89"/>
      <c r="V255" s="89"/>
      <c r="W255" s="89"/>
      <c r="X255" s="89"/>
      <c r="Y255" s="89"/>
      <c r="Z255" s="89"/>
    </row>
    <row r="256" ht="15.75" customHeight="1">
      <c r="A256" s="67" t="str">
        <f t="shared" ref="A256:A262" si="170">$B$255&amp;C256</f>
        <v>Brass Elbow 90⁰3⁄4 x 1⁄2</v>
      </c>
      <c r="B256" s="81">
        <v>1.0</v>
      </c>
      <c r="C256" s="68" t="s">
        <v>144</v>
      </c>
      <c r="D256" s="110" t="s">
        <v>145</v>
      </c>
      <c r="E256" s="111" t="s">
        <v>387</v>
      </c>
      <c r="F256" s="56">
        <v>86.2</v>
      </c>
      <c r="G256" s="76">
        <v>0.03</v>
      </c>
      <c r="H256" s="58">
        <v>0.019</v>
      </c>
      <c r="I256" s="76">
        <f t="shared" ref="I256:I262" si="171">G256+H256</f>
        <v>0.049</v>
      </c>
      <c r="J256" s="84">
        <f t="shared" ref="J256:J262" si="172">IFERROR(F256/$I256,"")</f>
        <v>1759.183673</v>
      </c>
      <c r="K256" s="85">
        <f t="shared" ref="K256:K262" si="173">IFERROR(G256*250,)</f>
        <v>7.5</v>
      </c>
      <c r="L256" s="85">
        <f t="shared" ref="L256:L262" si="174">IFERROR(H256*750,"")</f>
        <v>14.25</v>
      </c>
      <c r="M256" s="85">
        <f t="shared" ref="M256:M262" si="175">K256+L256</f>
        <v>21.75</v>
      </c>
      <c r="N256" s="85">
        <f t="shared" si="130"/>
        <v>3.963218391</v>
      </c>
      <c r="O256" s="60">
        <f>VLOOKUP(E256,'C Fittings (Brass)'!$E$5:$Q418,13,0)</f>
        <v>98</v>
      </c>
      <c r="P256" s="88"/>
      <c r="Q256" s="89"/>
      <c r="R256" s="89"/>
      <c r="S256" s="89"/>
      <c r="T256" s="89"/>
      <c r="U256" s="89"/>
      <c r="V256" s="89"/>
      <c r="W256" s="89"/>
      <c r="X256" s="89"/>
      <c r="Y256" s="89"/>
      <c r="Z256" s="89"/>
    </row>
    <row r="257" ht="15.75" customHeight="1">
      <c r="A257" s="67" t="str">
        <f t="shared" si="170"/>
        <v>Brass Elbow 90⁰1 x 1⁄2</v>
      </c>
      <c r="B257" s="81">
        <v>2.0</v>
      </c>
      <c r="C257" s="90" t="s">
        <v>352</v>
      </c>
      <c r="D257" s="127" t="s">
        <v>353</v>
      </c>
      <c r="E257" s="112" t="s">
        <v>392</v>
      </c>
      <c r="F257" s="56">
        <v>158.6</v>
      </c>
      <c r="G257" s="76">
        <v>0.038</v>
      </c>
      <c r="H257" s="76">
        <v>0.019</v>
      </c>
      <c r="I257" s="76">
        <f t="shared" si="171"/>
        <v>0.057</v>
      </c>
      <c r="J257" s="84">
        <f t="shared" si="172"/>
        <v>2782.45614</v>
      </c>
      <c r="K257" s="85">
        <f t="shared" si="173"/>
        <v>9.5</v>
      </c>
      <c r="L257" s="85">
        <f t="shared" si="174"/>
        <v>14.25</v>
      </c>
      <c r="M257" s="85">
        <f t="shared" si="175"/>
        <v>23.75</v>
      </c>
      <c r="N257" s="85">
        <f t="shared" si="130"/>
        <v>6.677894737</v>
      </c>
      <c r="O257" s="60">
        <f>VLOOKUP(E257,'C Fittings (Brass)'!$E$5:$Q418,13,0)</f>
        <v>168</v>
      </c>
      <c r="P257" s="88"/>
      <c r="Q257" s="89"/>
      <c r="R257" s="89"/>
      <c r="S257" s="89"/>
      <c r="T257" s="89"/>
      <c r="U257" s="89"/>
      <c r="V257" s="89"/>
      <c r="W257" s="89"/>
      <c r="X257" s="89"/>
      <c r="Y257" s="89"/>
      <c r="Z257" s="89"/>
    </row>
    <row r="258" ht="15.75" customHeight="1">
      <c r="A258" s="67" t="str">
        <f t="shared" si="170"/>
        <v>Brass Elbow 90⁰1 x 3⁄4</v>
      </c>
      <c r="B258" s="81">
        <v>3.0</v>
      </c>
      <c r="C258" s="90" t="s">
        <v>153</v>
      </c>
      <c r="D258" s="127" t="s">
        <v>155</v>
      </c>
      <c r="E258" s="112" t="s">
        <v>395</v>
      </c>
      <c r="F258" s="56">
        <v>248.4</v>
      </c>
      <c r="G258" s="76">
        <v>0.040875</v>
      </c>
      <c r="H258" s="76">
        <v>0.043125</v>
      </c>
      <c r="I258" s="76">
        <f t="shared" si="171"/>
        <v>0.084</v>
      </c>
      <c r="J258" s="84">
        <f t="shared" si="172"/>
        <v>2957.142857</v>
      </c>
      <c r="K258" s="85">
        <f t="shared" si="173"/>
        <v>10.21875</v>
      </c>
      <c r="L258" s="85">
        <f t="shared" si="174"/>
        <v>32.34375</v>
      </c>
      <c r="M258" s="85">
        <f t="shared" si="175"/>
        <v>42.5625</v>
      </c>
      <c r="N258" s="85">
        <f t="shared" si="130"/>
        <v>5.836123348</v>
      </c>
      <c r="O258" s="60">
        <f>VLOOKUP(E258,'C Fittings (Brass)'!$E$5:$Q418,13,0)</f>
        <v>268</v>
      </c>
      <c r="P258" s="88"/>
      <c r="Q258" s="89"/>
      <c r="R258" s="89"/>
      <c r="S258" s="89"/>
      <c r="T258" s="89"/>
      <c r="U258" s="89"/>
      <c r="V258" s="89"/>
      <c r="W258" s="89"/>
      <c r="X258" s="89"/>
      <c r="Y258" s="89"/>
      <c r="Z258" s="89"/>
    </row>
    <row r="259" ht="15.75" customHeight="1">
      <c r="A259" s="67" t="str">
        <f t="shared" si="170"/>
        <v>Brass Elbow 90⁰1⁄2 x 1⁄2</v>
      </c>
      <c r="B259" s="81">
        <v>4.0</v>
      </c>
      <c r="C259" s="90" t="s">
        <v>397</v>
      </c>
      <c r="D259" s="127" t="s">
        <v>398</v>
      </c>
      <c r="E259" s="112" t="s">
        <v>399</v>
      </c>
      <c r="F259" s="56">
        <v>82.6</v>
      </c>
      <c r="G259" s="76">
        <v>0.021</v>
      </c>
      <c r="H259" s="76">
        <v>0.019</v>
      </c>
      <c r="I259" s="76">
        <f t="shared" si="171"/>
        <v>0.04</v>
      </c>
      <c r="J259" s="84">
        <f t="shared" si="172"/>
        <v>2065</v>
      </c>
      <c r="K259" s="85">
        <f t="shared" si="173"/>
        <v>5.25</v>
      </c>
      <c r="L259" s="85">
        <f t="shared" si="174"/>
        <v>14.25</v>
      </c>
      <c r="M259" s="85">
        <f t="shared" si="175"/>
        <v>19.5</v>
      </c>
      <c r="N259" s="85">
        <f t="shared" si="130"/>
        <v>4.235897436</v>
      </c>
      <c r="O259" s="60">
        <f>VLOOKUP(E259,'C Fittings (Brass)'!$E$5:$Q418,13,0)</f>
        <v>94</v>
      </c>
      <c r="P259" s="88"/>
      <c r="Q259" s="89"/>
      <c r="R259" s="89"/>
      <c r="S259" s="89"/>
      <c r="T259" s="89"/>
      <c r="U259" s="89"/>
      <c r="V259" s="89"/>
      <c r="W259" s="89"/>
      <c r="X259" s="89"/>
      <c r="Y259" s="89"/>
      <c r="Z259" s="89"/>
    </row>
    <row r="260" ht="15.75" customHeight="1">
      <c r="A260" s="67" t="str">
        <f t="shared" si="170"/>
        <v>Brass Elbow 90⁰3⁄4 x 3⁄4</v>
      </c>
      <c r="B260" s="81">
        <v>5.0</v>
      </c>
      <c r="C260" s="90" t="s">
        <v>404</v>
      </c>
      <c r="D260" s="127" t="s">
        <v>405</v>
      </c>
      <c r="E260" s="112" t="s">
        <v>406</v>
      </c>
      <c r="F260" s="56">
        <v>158.8</v>
      </c>
      <c r="G260" s="76">
        <v>0.047125</v>
      </c>
      <c r="H260" s="76">
        <v>0.043125</v>
      </c>
      <c r="I260" s="76">
        <f t="shared" si="171"/>
        <v>0.09025</v>
      </c>
      <c r="J260" s="84">
        <f t="shared" si="172"/>
        <v>1759.556787</v>
      </c>
      <c r="K260" s="85">
        <f t="shared" si="173"/>
        <v>11.78125</v>
      </c>
      <c r="L260" s="85">
        <f t="shared" si="174"/>
        <v>32.34375</v>
      </c>
      <c r="M260" s="85">
        <f t="shared" si="175"/>
        <v>44.125</v>
      </c>
      <c r="N260" s="85">
        <f t="shared" si="130"/>
        <v>3.598866856</v>
      </c>
      <c r="O260" s="60">
        <f>VLOOKUP(E260,'C Fittings (Brass)'!$E$5:$Q418,13,0)</f>
        <v>184</v>
      </c>
      <c r="P260" s="88"/>
      <c r="Q260" s="89"/>
      <c r="R260" s="89"/>
      <c r="S260" s="89"/>
      <c r="T260" s="89"/>
      <c r="U260" s="89"/>
      <c r="V260" s="89"/>
      <c r="W260" s="89"/>
      <c r="X260" s="89"/>
      <c r="Y260" s="89"/>
      <c r="Z260" s="89"/>
    </row>
    <row r="261" ht="15.75" customHeight="1">
      <c r="A261" s="67" t="str">
        <f t="shared" si="170"/>
        <v>Brass Elbow 90⁰1 x 1</v>
      </c>
      <c r="B261" s="81">
        <v>6.0</v>
      </c>
      <c r="C261" s="90" t="s">
        <v>409</v>
      </c>
      <c r="D261" s="127" t="s">
        <v>410</v>
      </c>
      <c r="E261" s="112" t="s">
        <v>411</v>
      </c>
      <c r="F261" s="56">
        <v>348.0</v>
      </c>
      <c r="G261" s="76">
        <v>0.047</v>
      </c>
      <c r="H261" s="58">
        <v>0.065</v>
      </c>
      <c r="I261" s="76">
        <f t="shared" si="171"/>
        <v>0.112</v>
      </c>
      <c r="J261" s="84">
        <f t="shared" si="172"/>
        <v>3107.142857</v>
      </c>
      <c r="K261" s="85">
        <f t="shared" si="173"/>
        <v>11.75</v>
      </c>
      <c r="L261" s="85">
        <f t="shared" si="174"/>
        <v>48.75</v>
      </c>
      <c r="M261" s="85">
        <f t="shared" si="175"/>
        <v>60.5</v>
      </c>
      <c r="N261" s="85">
        <f t="shared" si="130"/>
        <v>5.752066116</v>
      </c>
      <c r="O261" s="60">
        <f>VLOOKUP(E261,'C Fittings (Brass)'!$E$5:$Q418,13,0)</f>
        <v>358</v>
      </c>
      <c r="P261" s="88"/>
      <c r="Q261" s="89"/>
      <c r="R261" s="89"/>
      <c r="S261" s="89"/>
      <c r="T261" s="89"/>
      <c r="U261" s="89"/>
      <c r="V261" s="89"/>
      <c r="W261" s="89"/>
      <c r="X261" s="89"/>
      <c r="Y261" s="89"/>
      <c r="Z261" s="89"/>
    </row>
    <row r="262" ht="15.75" customHeight="1">
      <c r="A262" s="67" t="str">
        <f t="shared" si="170"/>
        <v>Brass Elbow 90⁰1 x 1 1⁄4</v>
      </c>
      <c r="B262" s="81">
        <v>7.0</v>
      </c>
      <c r="C262" s="151" t="s">
        <v>417</v>
      </c>
      <c r="D262" s="152" t="s">
        <v>418</v>
      </c>
      <c r="E262" s="112" t="s">
        <v>419</v>
      </c>
      <c r="F262" s="56">
        <v>594.0</v>
      </c>
      <c r="G262" s="76">
        <v>0.09</v>
      </c>
      <c r="H262" s="76">
        <v>0.1035</v>
      </c>
      <c r="I262" s="76">
        <f t="shared" si="171"/>
        <v>0.1935</v>
      </c>
      <c r="J262" s="84">
        <f t="shared" si="172"/>
        <v>3069.767442</v>
      </c>
      <c r="K262" s="85">
        <f t="shared" si="173"/>
        <v>22.5</v>
      </c>
      <c r="L262" s="85">
        <f t="shared" si="174"/>
        <v>77.625</v>
      </c>
      <c r="M262" s="85">
        <f t="shared" si="175"/>
        <v>100.125</v>
      </c>
      <c r="N262" s="85">
        <f t="shared" si="130"/>
        <v>5.93258427</v>
      </c>
      <c r="O262" s="60">
        <f>VLOOKUP(E262,'C Fittings (Brass)'!$E$5:$Q418,13,0)</f>
        <v>648</v>
      </c>
      <c r="P262" s="88"/>
      <c r="Q262" s="89"/>
      <c r="R262" s="89"/>
      <c r="S262" s="89"/>
      <c r="T262" s="89"/>
      <c r="U262" s="89"/>
      <c r="V262" s="89"/>
      <c r="W262" s="89"/>
      <c r="X262" s="89"/>
      <c r="Y262" s="89"/>
      <c r="Z262" s="89"/>
    </row>
    <row r="263">
      <c r="A263" s="100"/>
      <c r="B263" s="102" t="s">
        <v>11</v>
      </c>
      <c r="C263" s="45"/>
      <c r="D263" s="45"/>
      <c r="E263" s="46"/>
      <c r="F263" s="103">
        <f>SUM(F256:F262)</f>
        <v>1676.6</v>
      </c>
      <c r="G263" s="104"/>
      <c r="H263" s="76" t="str">
        <f>IFERROR(__xludf.DUMMYFUNCTION("IFERROR(VLOOKUP(E263,IMPORTRANGE(""https://docs.google.com/spreadsheets/d/1xZyKy-UzMmtPDLpV5jQdYum1LtbR8XKDuasLSjmBRMI/edit#gid=1241094406"",""COMBINED DATA!E3:L""),8,0))"),"")</f>
        <v/>
      </c>
      <c r="I263" s="76"/>
      <c r="J263" s="84"/>
      <c r="K263" s="85"/>
      <c r="L263" s="85"/>
      <c r="M263" s="85"/>
      <c r="N263" s="85" t="str">
        <f t="shared" si="130"/>
        <v/>
      </c>
      <c r="O263" s="103">
        <f>SUM(O256:O262)</f>
        <v>1818</v>
      </c>
      <c r="P263" s="89"/>
      <c r="Q263" s="89"/>
      <c r="R263" s="89"/>
      <c r="S263" s="89"/>
      <c r="T263" s="89"/>
      <c r="U263" s="89"/>
      <c r="V263" s="89"/>
      <c r="W263" s="89"/>
      <c r="X263" s="89"/>
      <c r="Y263" s="89"/>
      <c r="Z263" s="89"/>
    </row>
    <row r="264" ht="6.0" customHeight="1">
      <c r="A264" s="34"/>
      <c r="B264" s="15"/>
      <c r="C264" s="15"/>
      <c r="D264" s="15"/>
      <c r="E264" s="17"/>
      <c r="F264" s="15"/>
      <c r="G264" s="64"/>
      <c r="H264" s="76" t="str">
        <f>IFERROR(__xludf.DUMMYFUNCTION("IFERROR(VLOOKUP(E264,IMPORTRANGE(""https://docs.google.com/spreadsheets/d/1xZyKy-UzMmtPDLpV5jQdYum1LtbR8XKDuasLSjmBRMI/edit#gid=1241094406"",""COMBINED DATA!E3:L""),8,0))"),"")</f>
        <v/>
      </c>
      <c r="I264" s="76"/>
      <c r="J264" s="65"/>
      <c r="K264" s="85"/>
      <c r="L264" s="85"/>
      <c r="M264" s="85"/>
      <c r="N264" s="85" t="str">
        <f t="shared" si="130"/>
        <v/>
      </c>
      <c r="O264" s="89"/>
      <c r="P264" s="89"/>
      <c r="Q264" s="89"/>
      <c r="R264" s="89"/>
      <c r="S264" s="89"/>
      <c r="T264" s="89"/>
      <c r="U264" s="89"/>
      <c r="V264" s="89"/>
      <c r="W264" s="89"/>
      <c r="X264" s="89"/>
      <c r="Y264" s="89"/>
      <c r="Z264" s="89"/>
    </row>
    <row r="265" ht="22.5" customHeight="1">
      <c r="A265" s="34"/>
      <c r="B265" s="62" t="s">
        <v>425</v>
      </c>
      <c r="C265" s="45"/>
      <c r="D265" s="45"/>
      <c r="E265" s="45"/>
      <c r="F265" s="46"/>
      <c r="G265" s="64"/>
      <c r="H265" s="76" t="str">
        <f>IFERROR(__xludf.DUMMYFUNCTION("IFERROR(VLOOKUP(E265,IMPORTRANGE(""https://docs.google.com/spreadsheets/d/1xZyKy-UzMmtPDLpV5jQdYum1LtbR8XKDuasLSjmBRMI/edit#gid=1241094406"",""COMBINED DATA!E3:L""),8,0))"),"")</f>
        <v/>
      </c>
      <c r="I265" s="76"/>
      <c r="J265" s="65"/>
      <c r="K265" s="85"/>
      <c r="L265" s="85"/>
      <c r="M265" s="85"/>
      <c r="N265" s="85" t="str">
        <f t="shared" si="130"/>
        <v/>
      </c>
      <c r="O265" s="89"/>
      <c r="P265" s="89"/>
      <c r="Q265" s="89"/>
      <c r="R265" s="89"/>
      <c r="S265" s="89"/>
      <c r="T265" s="89"/>
      <c r="U265" s="89"/>
      <c r="V265" s="89"/>
      <c r="W265" s="89"/>
      <c r="X265" s="89"/>
      <c r="Y265" s="89"/>
      <c r="Z265" s="89"/>
    </row>
    <row r="266" ht="15.75" customHeight="1">
      <c r="A266" s="67" t="str">
        <f t="shared" ref="A266:A268" si="176">$B$265&amp;C266</f>
        <v>Reducer Brass Tee1⁄2 x 1⁄2 x 1⁄2</v>
      </c>
      <c r="B266" s="81">
        <v>1.0</v>
      </c>
      <c r="C266" s="68" t="s">
        <v>428</v>
      </c>
      <c r="D266" s="110" t="s">
        <v>429</v>
      </c>
      <c r="E266" s="111" t="s">
        <v>430</v>
      </c>
      <c r="F266" s="56">
        <v>104.8</v>
      </c>
      <c r="G266" s="76">
        <v>0.031</v>
      </c>
      <c r="H266" s="76">
        <v>0.019</v>
      </c>
      <c r="I266" s="76">
        <f t="shared" ref="I266:I272" si="177">G266+H266</f>
        <v>0.05</v>
      </c>
      <c r="J266" s="84">
        <f t="shared" ref="J266:J272" si="178">IFERROR(F266/$I266,"")</f>
        <v>2096</v>
      </c>
      <c r="K266" s="85">
        <f t="shared" ref="K266:K272" si="179">IFERROR(G266*250,)</f>
        <v>7.75</v>
      </c>
      <c r="L266" s="85">
        <f t="shared" ref="L266:L272" si="180">IFERROR(H266*750,"")</f>
        <v>14.25</v>
      </c>
      <c r="M266" s="85">
        <f t="shared" ref="M266:M272" si="181">K266+L266</f>
        <v>22</v>
      </c>
      <c r="N266" s="85">
        <f t="shared" si="130"/>
        <v>4.763636364</v>
      </c>
      <c r="O266" s="60">
        <f>VLOOKUP(E266,'C Fittings (Brass)'!$E$5:$Q418,13,0)</f>
        <v>116</v>
      </c>
      <c r="P266" s="88"/>
      <c r="Q266" s="89"/>
      <c r="R266" s="89"/>
      <c r="S266" s="89"/>
      <c r="T266" s="89"/>
      <c r="U266" s="89"/>
      <c r="V266" s="89"/>
      <c r="W266" s="89"/>
      <c r="X266" s="89"/>
      <c r="Y266" s="89"/>
      <c r="Z266" s="89"/>
    </row>
    <row r="267" ht="15.75" customHeight="1">
      <c r="A267" s="67" t="str">
        <f t="shared" si="176"/>
        <v>Reducer Brass Tee3⁄4 x 3⁄4 x 1⁄2</v>
      </c>
      <c r="B267" s="81">
        <v>2.0</v>
      </c>
      <c r="C267" s="151" t="s">
        <v>204</v>
      </c>
      <c r="D267" s="152" t="s">
        <v>205</v>
      </c>
      <c r="E267" s="112" t="s">
        <v>437</v>
      </c>
      <c r="F267" s="56">
        <v>102.8</v>
      </c>
      <c r="G267" s="76">
        <v>0.037</v>
      </c>
      <c r="H267" s="76">
        <v>0.019</v>
      </c>
      <c r="I267" s="76">
        <f t="shared" si="177"/>
        <v>0.056</v>
      </c>
      <c r="J267" s="84">
        <f t="shared" si="178"/>
        <v>1835.714286</v>
      </c>
      <c r="K267" s="85">
        <f t="shared" si="179"/>
        <v>9.25</v>
      </c>
      <c r="L267" s="85">
        <f t="shared" si="180"/>
        <v>14.25</v>
      </c>
      <c r="M267" s="85">
        <f t="shared" si="181"/>
        <v>23.5</v>
      </c>
      <c r="N267" s="85">
        <f t="shared" si="130"/>
        <v>4.374468085</v>
      </c>
      <c r="O267" s="60">
        <f>VLOOKUP(E267,'C Fittings (Brass)'!$E$5:$Q418,13,0)</f>
        <v>114</v>
      </c>
      <c r="P267" s="88"/>
      <c r="Q267" s="89"/>
      <c r="R267" s="89"/>
      <c r="S267" s="89"/>
      <c r="T267" s="89"/>
      <c r="U267" s="89"/>
      <c r="V267" s="89"/>
      <c r="W267" s="89"/>
      <c r="X267" s="89"/>
      <c r="Y267" s="89"/>
      <c r="Z267" s="89"/>
    </row>
    <row r="268" ht="15.75" customHeight="1">
      <c r="A268" s="67" t="str">
        <f t="shared" si="176"/>
        <v>Reducer Brass Tee1 x 1 x 1⁄2</v>
      </c>
      <c r="B268" s="81">
        <v>3.0</v>
      </c>
      <c r="C268" s="151" t="s">
        <v>439</v>
      </c>
      <c r="D268" s="152" t="s">
        <v>440</v>
      </c>
      <c r="E268" s="112" t="s">
        <v>441</v>
      </c>
      <c r="F268" s="56">
        <v>168.8</v>
      </c>
      <c r="G268" s="76">
        <v>0.048125</v>
      </c>
      <c r="H268" s="76">
        <v>0.019</v>
      </c>
      <c r="I268" s="76">
        <f t="shared" si="177"/>
        <v>0.067125</v>
      </c>
      <c r="J268" s="84">
        <f t="shared" si="178"/>
        <v>2514.711359</v>
      </c>
      <c r="K268" s="85">
        <f t="shared" si="179"/>
        <v>12.03125</v>
      </c>
      <c r="L268" s="85">
        <f t="shared" si="180"/>
        <v>14.25</v>
      </c>
      <c r="M268" s="85">
        <f t="shared" si="181"/>
        <v>26.28125</v>
      </c>
      <c r="N268" s="85">
        <f t="shared" si="130"/>
        <v>6.422829964</v>
      </c>
      <c r="O268" s="60">
        <f>VLOOKUP(E268,'C Fittings (Brass)'!$E$5:$Q418,13,0)</f>
        <v>178</v>
      </c>
      <c r="P268" s="88"/>
      <c r="Q268" s="89"/>
      <c r="R268" s="89"/>
      <c r="S268" s="89"/>
      <c r="T268" s="89"/>
      <c r="U268" s="89"/>
      <c r="V268" s="89"/>
      <c r="W268" s="89"/>
      <c r="X268" s="89"/>
      <c r="Y268" s="89"/>
      <c r="Z268" s="89"/>
    </row>
    <row r="269" ht="15.75" customHeight="1">
      <c r="A269" s="67"/>
      <c r="B269" s="81">
        <v>4.0</v>
      </c>
      <c r="C269" s="151" t="s">
        <v>444</v>
      </c>
      <c r="D269" s="152" t="s">
        <v>445</v>
      </c>
      <c r="E269" s="153" t="s">
        <v>446</v>
      </c>
      <c r="F269" s="56">
        <v>368.0</v>
      </c>
      <c r="G269" s="58">
        <v>0.124</v>
      </c>
      <c r="H269" s="58">
        <v>0.065</v>
      </c>
      <c r="I269" s="76">
        <f t="shared" si="177"/>
        <v>0.189</v>
      </c>
      <c r="J269" s="84">
        <f t="shared" si="178"/>
        <v>1947.089947</v>
      </c>
      <c r="K269" s="85">
        <f t="shared" si="179"/>
        <v>31</v>
      </c>
      <c r="L269" s="85">
        <f t="shared" si="180"/>
        <v>48.75</v>
      </c>
      <c r="M269" s="85">
        <f t="shared" si="181"/>
        <v>79.75</v>
      </c>
      <c r="N269" s="85">
        <f t="shared" si="130"/>
        <v>4.614420063</v>
      </c>
      <c r="O269" s="60">
        <f>VLOOKUP(E269,'C Fittings (Brass)'!$E$5:$Q418,13,0)</f>
        <v>398</v>
      </c>
      <c r="P269" s="88"/>
      <c r="Q269" s="89"/>
      <c r="R269" s="89"/>
      <c r="S269" s="89"/>
      <c r="T269" s="89"/>
      <c r="U269" s="89"/>
      <c r="V269" s="89"/>
      <c r="W269" s="89"/>
      <c r="X269" s="89"/>
      <c r="Y269" s="89"/>
      <c r="Z269" s="89"/>
    </row>
    <row r="270" ht="15.75" customHeight="1">
      <c r="A270" s="67" t="str">
        <f t="shared" ref="A270:A272" si="182">$B$265&amp;C270</f>
        <v>Reducer Brass Tee3⁄4 x 3⁄4 x 3⁄4</v>
      </c>
      <c r="B270" s="81">
        <v>5.0</v>
      </c>
      <c r="C270" s="90" t="s">
        <v>451</v>
      </c>
      <c r="D270" s="127" t="s">
        <v>452</v>
      </c>
      <c r="E270" s="112" t="s">
        <v>453</v>
      </c>
      <c r="F270" s="56">
        <v>158.6</v>
      </c>
      <c r="G270" s="76">
        <v>0.041</v>
      </c>
      <c r="H270" s="58">
        <v>0.043</v>
      </c>
      <c r="I270" s="76">
        <f t="shared" si="177"/>
        <v>0.084</v>
      </c>
      <c r="J270" s="84">
        <f t="shared" si="178"/>
        <v>1888.095238</v>
      </c>
      <c r="K270" s="85">
        <f t="shared" si="179"/>
        <v>10.25</v>
      </c>
      <c r="L270" s="85">
        <f t="shared" si="180"/>
        <v>32.25</v>
      </c>
      <c r="M270" s="85">
        <f t="shared" si="181"/>
        <v>42.5</v>
      </c>
      <c r="N270" s="85">
        <f t="shared" si="130"/>
        <v>3.731764706</v>
      </c>
      <c r="O270" s="60">
        <f>VLOOKUP(E270,'C Fittings (Brass)'!$E$5:$Q418,13,0)</f>
        <v>178</v>
      </c>
      <c r="P270" s="88"/>
      <c r="Q270" s="89"/>
      <c r="R270" s="89"/>
      <c r="S270" s="89"/>
      <c r="T270" s="89"/>
      <c r="U270" s="89"/>
      <c r="V270" s="89"/>
      <c r="W270" s="89"/>
      <c r="X270" s="89"/>
      <c r="Y270" s="89"/>
      <c r="Z270" s="89"/>
    </row>
    <row r="271" ht="15.75" customHeight="1">
      <c r="A271" s="67" t="str">
        <f t="shared" si="182"/>
        <v>Reducer Brass Tee1 1⁄4 x 1 1⁄4 x 1⁄2</v>
      </c>
      <c r="B271" s="81">
        <v>6.0</v>
      </c>
      <c r="C271" s="151" t="s">
        <v>458</v>
      </c>
      <c r="D271" s="152" t="s">
        <v>459</v>
      </c>
      <c r="E271" s="112" t="s">
        <v>460</v>
      </c>
      <c r="F271" s="56">
        <v>212.8</v>
      </c>
      <c r="G271" s="76">
        <v>0.076</v>
      </c>
      <c r="H271" s="76">
        <v>0.019</v>
      </c>
      <c r="I271" s="76">
        <f t="shared" si="177"/>
        <v>0.095</v>
      </c>
      <c r="J271" s="84">
        <f t="shared" si="178"/>
        <v>2240</v>
      </c>
      <c r="K271" s="85">
        <f t="shared" si="179"/>
        <v>19</v>
      </c>
      <c r="L271" s="85">
        <f t="shared" si="180"/>
        <v>14.25</v>
      </c>
      <c r="M271" s="85">
        <f t="shared" si="181"/>
        <v>33.25</v>
      </c>
      <c r="N271" s="85">
        <f t="shared" si="130"/>
        <v>6.4</v>
      </c>
      <c r="O271" s="60">
        <f>VLOOKUP(E271,'C Fittings (Brass)'!$E$5:$Q418,13,0)</f>
        <v>218</v>
      </c>
      <c r="P271" s="88"/>
      <c r="Q271" s="89"/>
      <c r="R271" s="89"/>
      <c r="S271" s="89"/>
      <c r="T271" s="89"/>
      <c r="U271" s="89"/>
      <c r="V271" s="89"/>
      <c r="W271" s="89"/>
      <c r="X271" s="89"/>
      <c r="Y271" s="89"/>
      <c r="Z271" s="89"/>
    </row>
    <row r="272" ht="15.75" customHeight="1">
      <c r="A272" s="67" t="str">
        <f t="shared" si="182"/>
        <v>Reducer Brass Tee1 1⁄4 x 1 1⁄4 x 1 1⁄4</v>
      </c>
      <c r="B272" s="81">
        <v>7.0</v>
      </c>
      <c r="C272" s="90" t="s">
        <v>466</v>
      </c>
      <c r="D272" s="127" t="s">
        <v>467</v>
      </c>
      <c r="E272" s="112" t="s">
        <v>468</v>
      </c>
      <c r="F272" s="56">
        <v>358.8</v>
      </c>
      <c r="G272" s="76">
        <v>0.1065</v>
      </c>
      <c r="H272" s="76">
        <v>0.1035</v>
      </c>
      <c r="I272" s="76">
        <f t="shared" si="177"/>
        <v>0.21</v>
      </c>
      <c r="J272" s="84">
        <f t="shared" si="178"/>
        <v>1708.571429</v>
      </c>
      <c r="K272" s="85">
        <f t="shared" si="179"/>
        <v>26.625</v>
      </c>
      <c r="L272" s="85">
        <f t="shared" si="180"/>
        <v>77.625</v>
      </c>
      <c r="M272" s="85">
        <f t="shared" si="181"/>
        <v>104.25</v>
      </c>
      <c r="N272" s="85">
        <f t="shared" si="130"/>
        <v>3.441726619</v>
      </c>
      <c r="O272" s="60">
        <f>VLOOKUP(E272,'C Fittings (Brass)'!$E$5:$Q418,13,0)</f>
        <v>398</v>
      </c>
      <c r="P272" s="88"/>
      <c r="Q272" s="89"/>
      <c r="R272" s="89"/>
      <c r="S272" s="89"/>
      <c r="T272" s="89"/>
      <c r="U272" s="89"/>
      <c r="V272" s="89"/>
      <c r="W272" s="89"/>
      <c r="X272" s="89"/>
      <c r="Y272" s="89"/>
      <c r="Z272" s="89"/>
    </row>
    <row r="273">
      <c r="A273" s="100"/>
      <c r="B273" s="102" t="s">
        <v>11</v>
      </c>
      <c r="C273" s="45"/>
      <c r="D273" s="45"/>
      <c r="E273" s="46"/>
      <c r="F273" s="103">
        <f>SUM(F266:F272)</f>
        <v>1474.6</v>
      </c>
      <c r="G273" s="104"/>
      <c r="H273" s="76" t="str">
        <f>IFERROR(__xludf.DUMMYFUNCTION("IFERROR(VLOOKUP(E273,IMPORTRANGE(""https://docs.google.com/spreadsheets/d/1xZyKy-UzMmtPDLpV5jQdYum1LtbR8XKDuasLSjmBRMI/edit#gid=1241094406"",""COMBINED DATA!E3:L""),8,0))"),"")</f>
        <v/>
      </c>
      <c r="I273" s="76"/>
      <c r="J273" s="116"/>
      <c r="K273" s="85"/>
      <c r="L273" s="85"/>
      <c r="M273" s="85"/>
      <c r="N273" s="85" t="str">
        <f t="shared" si="130"/>
        <v/>
      </c>
      <c r="O273" s="103">
        <f>SUM(O266:O272)</f>
        <v>1600</v>
      </c>
      <c r="P273" s="89"/>
      <c r="Q273" s="89"/>
      <c r="R273" s="89"/>
      <c r="S273" s="89"/>
      <c r="T273" s="89"/>
      <c r="U273" s="89"/>
      <c r="V273" s="89"/>
      <c r="W273" s="89"/>
      <c r="X273" s="89"/>
      <c r="Y273" s="89"/>
      <c r="Z273" s="89"/>
    </row>
    <row r="274" ht="6.0" customHeight="1">
      <c r="A274" s="34"/>
      <c r="B274" s="15"/>
      <c r="C274" s="15"/>
      <c r="D274" s="15"/>
      <c r="E274" s="17"/>
      <c r="F274" s="15"/>
      <c r="G274" s="64"/>
      <c r="H274" s="76" t="str">
        <f>IFERROR(__xludf.DUMMYFUNCTION("IFERROR(VLOOKUP(E274,IMPORTRANGE(""https://docs.google.com/spreadsheets/d/1xZyKy-UzMmtPDLpV5jQdYum1LtbR8XKDuasLSjmBRMI/edit#gid=1241094406"",""COMBINED DATA!E3:L""),8,0))"),"")</f>
        <v/>
      </c>
      <c r="I274" s="76"/>
      <c r="J274" s="65"/>
      <c r="K274" s="85"/>
      <c r="L274" s="85"/>
      <c r="M274" s="85"/>
      <c r="N274" s="85" t="str">
        <f t="shared" si="130"/>
        <v/>
      </c>
      <c r="O274" s="89"/>
      <c r="P274" s="89"/>
      <c r="Q274" s="89"/>
      <c r="R274" s="89"/>
      <c r="S274" s="89"/>
      <c r="T274" s="89"/>
      <c r="U274" s="89"/>
      <c r="V274" s="89"/>
      <c r="W274" s="89"/>
      <c r="X274" s="89"/>
      <c r="Y274" s="89"/>
      <c r="Z274" s="89"/>
    </row>
    <row r="275" ht="22.5" customHeight="1">
      <c r="A275" s="34"/>
      <c r="B275" s="62" t="s">
        <v>495</v>
      </c>
      <c r="C275" s="45"/>
      <c r="D275" s="45"/>
      <c r="E275" s="45"/>
      <c r="F275" s="46"/>
      <c r="G275" s="64"/>
      <c r="H275" s="76" t="str">
        <f>IFERROR(__xludf.DUMMYFUNCTION("IFERROR(VLOOKUP(E275,IMPORTRANGE(""https://docs.google.com/spreadsheets/d/1xZyKy-UzMmtPDLpV5jQdYum1LtbR8XKDuasLSjmBRMI/edit#gid=1241094406"",""COMBINED DATA!E3:L""),8,0))"),"")</f>
        <v/>
      </c>
      <c r="I275" s="76"/>
      <c r="J275" s="65"/>
      <c r="K275" s="85"/>
      <c r="L275" s="85"/>
      <c r="M275" s="85"/>
      <c r="N275" s="85" t="str">
        <f t="shared" si="130"/>
        <v/>
      </c>
      <c r="O275" s="89"/>
      <c r="P275" s="89"/>
      <c r="Q275" s="89"/>
      <c r="R275" s="89"/>
      <c r="S275" s="89"/>
      <c r="T275" s="89"/>
      <c r="U275" s="89"/>
      <c r="V275" s="89"/>
      <c r="W275" s="89"/>
      <c r="X275" s="89"/>
      <c r="Y275" s="89"/>
      <c r="Z275" s="89"/>
    </row>
    <row r="276" ht="15.75" customHeight="1">
      <c r="A276" s="67" t="str">
        <f t="shared" ref="A276:A278" si="183">$B$275&amp;C276</f>
        <v>Reducer Brass Coupling3⁄4 x 1⁄2</v>
      </c>
      <c r="B276" s="81">
        <v>1.0</v>
      </c>
      <c r="C276" s="68" t="s">
        <v>144</v>
      </c>
      <c r="D276" s="110" t="s">
        <v>145</v>
      </c>
      <c r="E276" s="111" t="s">
        <v>496</v>
      </c>
      <c r="F276" s="56">
        <v>105.8</v>
      </c>
      <c r="G276" s="76">
        <f>IFERROR(__xludf.DUMMYFUNCTION("ArrayFormula(IFERROR(VLOOKUP(E276,IMPORTRANGE(""https://docs.google.com/spreadsheets/d/1xZyKy-UzMmtPDLpV5jQdYum1LtbR8XKDuasLSjmBRMI/edit#gid=1241094406"",""COMBINED DATA!E3:L""),{7,8},0)))"),0.019)</f>
        <v>0.019</v>
      </c>
      <c r="H276" s="76">
        <f>IFERROR(__xludf.DUMMYFUNCTION("""COMPUTED_VALUE"""),0.019)</f>
        <v>0.019</v>
      </c>
      <c r="I276" s="76">
        <f t="shared" ref="I276:I278" si="184">G276+H276</f>
        <v>0.038</v>
      </c>
      <c r="J276" s="84">
        <f t="shared" ref="J276:J278" si="185">IFERROR(F276/$I276,"")</f>
        <v>2784.210526</v>
      </c>
      <c r="K276" s="85">
        <f t="shared" ref="K276:K278" si="186">IFERROR(G276*250,)</f>
        <v>4.75</v>
      </c>
      <c r="L276" s="85">
        <f t="shared" ref="L276:L278" si="187">IFERROR(H276*750,"")</f>
        <v>14.25</v>
      </c>
      <c r="M276" s="85">
        <f t="shared" ref="M276:M278" si="188">K276+L276</f>
        <v>19</v>
      </c>
      <c r="N276" s="85">
        <f t="shared" si="130"/>
        <v>5.568421053</v>
      </c>
      <c r="O276" s="60">
        <f>VLOOKUP(E276,'C Fittings (Brass)'!$E$5:$Q418,13,0)</f>
        <v>116</v>
      </c>
      <c r="P276" s="88"/>
      <c r="Q276" s="89"/>
      <c r="R276" s="89"/>
      <c r="S276" s="89"/>
      <c r="T276" s="89"/>
      <c r="U276" s="89"/>
      <c r="V276" s="89"/>
      <c r="W276" s="89"/>
      <c r="X276" s="89"/>
      <c r="Y276" s="89"/>
      <c r="Z276" s="89"/>
    </row>
    <row r="277" ht="15.75" customHeight="1">
      <c r="A277" s="67" t="str">
        <f t="shared" si="183"/>
        <v>Reducer Brass Coupling1 x 1⁄2</v>
      </c>
      <c r="B277" s="81">
        <v>2.0</v>
      </c>
      <c r="C277" s="90" t="s">
        <v>352</v>
      </c>
      <c r="D277" s="127" t="s">
        <v>353</v>
      </c>
      <c r="E277" s="112" t="s">
        <v>497</v>
      </c>
      <c r="F277" s="56">
        <v>138.2</v>
      </c>
      <c r="G277" s="76">
        <f>IFERROR(__xludf.DUMMYFUNCTION("ArrayFormula(IFERROR(VLOOKUP(E277,IMPORTRANGE(""https://docs.google.com/spreadsheets/d/1xZyKy-UzMmtPDLpV5jQdYum1LtbR8XKDuasLSjmBRMI/edit#gid=1241094406"",""COMBINED DATA!E3:L""),{7,8},0)))"),0.03)</f>
        <v>0.03</v>
      </c>
      <c r="H277" s="76">
        <f>IFERROR(__xludf.DUMMYFUNCTION("""COMPUTED_VALUE"""),0.019)</f>
        <v>0.019</v>
      </c>
      <c r="I277" s="76">
        <f t="shared" si="184"/>
        <v>0.049</v>
      </c>
      <c r="J277" s="84">
        <f t="shared" si="185"/>
        <v>2820.408163</v>
      </c>
      <c r="K277" s="85">
        <f t="shared" si="186"/>
        <v>7.5</v>
      </c>
      <c r="L277" s="85">
        <f t="shared" si="187"/>
        <v>14.25</v>
      </c>
      <c r="M277" s="85">
        <f t="shared" si="188"/>
        <v>21.75</v>
      </c>
      <c r="N277" s="85">
        <f t="shared" si="130"/>
        <v>6.354022989</v>
      </c>
      <c r="O277" s="60">
        <f>VLOOKUP(E277,'C Fittings (Brass)'!$E$5:$Q418,13,0)</f>
        <v>148</v>
      </c>
      <c r="P277" s="88"/>
      <c r="Q277" s="89"/>
      <c r="R277" s="89"/>
      <c r="S277" s="89"/>
      <c r="T277" s="89"/>
      <c r="U277" s="89"/>
      <c r="V277" s="89"/>
      <c r="W277" s="89"/>
      <c r="X277" s="89"/>
      <c r="Y277" s="89"/>
      <c r="Z277" s="89"/>
    </row>
    <row r="278" ht="15.75" customHeight="1">
      <c r="A278" s="67" t="str">
        <f t="shared" si="183"/>
        <v>Reducer Brass Coupling1 x 3⁄4</v>
      </c>
      <c r="B278" s="81">
        <v>3.0</v>
      </c>
      <c r="C278" s="90" t="s">
        <v>153</v>
      </c>
      <c r="D278" s="127" t="s">
        <v>155</v>
      </c>
      <c r="E278" s="112" t="s">
        <v>510</v>
      </c>
      <c r="F278" s="56">
        <v>148.8</v>
      </c>
      <c r="G278" s="76">
        <v>0.028</v>
      </c>
      <c r="H278" s="58">
        <v>0.043</v>
      </c>
      <c r="I278" s="76">
        <f t="shared" si="184"/>
        <v>0.071</v>
      </c>
      <c r="J278" s="84">
        <f t="shared" si="185"/>
        <v>2095.774648</v>
      </c>
      <c r="K278" s="85">
        <f t="shared" si="186"/>
        <v>7</v>
      </c>
      <c r="L278" s="85">
        <f t="shared" si="187"/>
        <v>32.25</v>
      </c>
      <c r="M278" s="85">
        <f t="shared" si="188"/>
        <v>39.25</v>
      </c>
      <c r="N278" s="85">
        <f t="shared" si="130"/>
        <v>3.791082803</v>
      </c>
      <c r="O278" s="60">
        <f>VLOOKUP(E278,'C Fittings (Brass)'!$E$5:$Q418,13,0)</f>
        <v>168</v>
      </c>
      <c r="P278" s="88"/>
      <c r="Q278" s="89"/>
      <c r="R278" s="89"/>
      <c r="S278" s="89"/>
      <c r="T278" s="89"/>
      <c r="U278" s="89"/>
      <c r="V278" s="89"/>
      <c r="W278" s="89"/>
      <c r="X278" s="89"/>
      <c r="Y278" s="89"/>
      <c r="Z278" s="89"/>
    </row>
    <row r="279">
      <c r="A279" s="100"/>
      <c r="B279" s="102" t="s">
        <v>11</v>
      </c>
      <c r="C279" s="45"/>
      <c r="D279" s="45"/>
      <c r="E279" s="46"/>
      <c r="F279" s="103">
        <f>SUM(F276:F278)</f>
        <v>392.8</v>
      </c>
      <c r="G279" s="104"/>
      <c r="H279" s="76" t="str">
        <f>IFERROR(__xludf.DUMMYFUNCTION("IFERROR(VLOOKUP(E279,IMPORTRANGE(""https://docs.google.com/spreadsheets/d/1xZyKy-UzMmtPDLpV5jQdYum1LtbR8XKDuasLSjmBRMI/edit#gid=1241094406"",""COMBINED DATA!E3:L""),8,0))"),"")</f>
        <v/>
      </c>
      <c r="I279" s="76"/>
      <c r="J279" s="116"/>
      <c r="K279" s="85"/>
      <c r="L279" s="85"/>
      <c r="M279" s="85"/>
      <c r="N279" s="85" t="str">
        <f t="shared" si="130"/>
        <v/>
      </c>
      <c r="O279" s="103">
        <f>SUM(O276:O278)</f>
        <v>432</v>
      </c>
      <c r="P279" s="89"/>
      <c r="Q279" s="89"/>
      <c r="R279" s="89"/>
      <c r="S279" s="89"/>
      <c r="T279" s="89"/>
      <c r="U279" s="89"/>
      <c r="V279" s="89"/>
      <c r="W279" s="89"/>
      <c r="X279" s="89"/>
      <c r="Y279" s="89"/>
      <c r="Z279" s="89"/>
    </row>
    <row r="280" ht="5.25" customHeight="1">
      <c r="A280" s="34"/>
      <c r="B280" s="15"/>
      <c r="C280" s="15"/>
      <c r="D280" s="15"/>
      <c r="E280" s="17"/>
      <c r="F280" s="15"/>
      <c r="G280" s="64"/>
      <c r="H280" s="76" t="str">
        <f>IFERROR(__xludf.DUMMYFUNCTION("IFERROR(VLOOKUP(E280,IMPORTRANGE(""https://docs.google.com/spreadsheets/d/1xZyKy-UzMmtPDLpV5jQdYum1LtbR8XKDuasLSjmBRMI/edit#gid=1241094406"",""COMBINED DATA!E3:L""),8,0))"),"")</f>
        <v/>
      </c>
      <c r="I280" s="76"/>
      <c r="J280" s="65"/>
      <c r="K280" s="85"/>
      <c r="L280" s="85"/>
      <c r="M280" s="85"/>
      <c r="N280" s="85" t="str">
        <f t="shared" si="130"/>
        <v/>
      </c>
      <c r="O280" s="89"/>
      <c r="P280" s="89"/>
      <c r="Q280" s="89"/>
      <c r="R280" s="89"/>
      <c r="S280" s="89"/>
      <c r="T280" s="89"/>
      <c r="U280" s="89"/>
      <c r="V280" s="89"/>
      <c r="W280" s="89"/>
      <c r="X280" s="89"/>
      <c r="Y280" s="89"/>
      <c r="Z280" s="89"/>
    </row>
    <row r="281" ht="22.5" customHeight="1">
      <c r="A281" s="34"/>
      <c r="B281" s="62" t="s">
        <v>589</v>
      </c>
      <c r="C281" s="45"/>
      <c r="D281" s="45"/>
      <c r="E281" s="45"/>
      <c r="F281" s="46"/>
      <c r="G281" s="64"/>
      <c r="H281" s="76" t="str">
        <f>IFERROR(__xludf.DUMMYFUNCTION("IFERROR(VLOOKUP(E281,IMPORTRANGE(""https://docs.google.com/spreadsheets/d/1xZyKy-UzMmtPDLpV5jQdYum1LtbR8XKDuasLSjmBRMI/edit#gid=1241094406"",""COMBINED DATA!E3:L""),8,0))"),"")</f>
        <v/>
      </c>
      <c r="I281" s="76"/>
      <c r="J281" s="65"/>
      <c r="K281" s="85"/>
      <c r="L281" s="85"/>
      <c r="M281" s="85"/>
      <c r="N281" s="85" t="str">
        <f t="shared" si="130"/>
        <v/>
      </c>
      <c r="O281" s="89"/>
      <c r="P281" s="89"/>
      <c r="Q281" s="89"/>
      <c r="R281" s="89"/>
      <c r="S281" s="89"/>
      <c r="T281" s="89"/>
      <c r="U281" s="89"/>
      <c r="V281" s="89"/>
      <c r="W281" s="89"/>
      <c r="X281" s="89"/>
      <c r="Y281" s="89"/>
      <c r="Z281" s="89"/>
    </row>
    <row r="282" ht="15.75" customHeight="1">
      <c r="A282" s="67" t="str">
        <f t="shared" ref="A282:A286" si="189">$B$281&amp;C282</f>
        <v>Brass Elbow 3 in 1 Mixer3⁄4 x 1⁄2</v>
      </c>
      <c r="B282" s="81">
        <v>1.0</v>
      </c>
      <c r="C282" s="68" t="s">
        <v>144</v>
      </c>
      <c r="D282" s="110" t="s">
        <v>145</v>
      </c>
      <c r="E282" s="111" t="s">
        <v>591</v>
      </c>
      <c r="F282" s="56">
        <v>482.0</v>
      </c>
      <c r="G282" s="58">
        <v>0.15</v>
      </c>
      <c r="H282" s="58">
        <v>0.06</v>
      </c>
      <c r="I282" s="76">
        <f t="shared" ref="I282:I286" si="190">G282+H282</f>
        <v>0.21</v>
      </c>
      <c r="J282" s="84">
        <f t="shared" ref="J282:J286" si="191">IFERROR(F282/$I282,"")</f>
        <v>2295.238095</v>
      </c>
      <c r="K282" s="85">
        <f t="shared" ref="K282:K286" si="192">IFERROR(G282*250,)</f>
        <v>37.5</v>
      </c>
      <c r="L282" s="85">
        <f t="shared" ref="L282:L286" si="193">IFERROR(H282*750,"")</f>
        <v>45</v>
      </c>
      <c r="M282" s="85">
        <f t="shared" ref="M282:M286" si="194">K282+L282</f>
        <v>82.5</v>
      </c>
      <c r="N282" s="85">
        <f t="shared" si="130"/>
        <v>5.842424242</v>
      </c>
      <c r="O282" s="60">
        <f>VLOOKUP(E282,'C Fittings (Brass)'!$E$5:$Q418,13,0)</f>
        <v>548</v>
      </c>
      <c r="P282" s="88"/>
      <c r="Q282" s="89"/>
      <c r="R282" s="89"/>
      <c r="S282" s="89"/>
      <c r="T282" s="89"/>
      <c r="U282" s="89"/>
      <c r="V282" s="89"/>
      <c r="W282" s="89"/>
      <c r="X282" s="89"/>
      <c r="Y282" s="89"/>
      <c r="Z282" s="89"/>
    </row>
    <row r="283" ht="15.75" customHeight="1">
      <c r="A283" s="67" t="str">
        <f t="shared" si="189"/>
        <v>Brass Elbow 3 in 1 Mixer3⁄4 x 1⁄2</v>
      </c>
      <c r="B283" s="81">
        <v>2.0</v>
      </c>
      <c r="C283" s="90" t="s">
        <v>144</v>
      </c>
      <c r="D283" s="127" t="s">
        <v>145</v>
      </c>
      <c r="E283" s="112" t="s">
        <v>610</v>
      </c>
      <c r="F283" s="56">
        <v>482.0</v>
      </c>
      <c r="G283" s="58">
        <v>0.15</v>
      </c>
      <c r="H283" s="58">
        <v>0.06</v>
      </c>
      <c r="I283" s="76">
        <f t="shared" si="190"/>
        <v>0.21</v>
      </c>
      <c r="J283" s="84">
        <f t="shared" si="191"/>
        <v>2295.238095</v>
      </c>
      <c r="K283" s="85">
        <f t="shared" si="192"/>
        <v>37.5</v>
      </c>
      <c r="L283" s="85">
        <f t="shared" si="193"/>
        <v>45</v>
      </c>
      <c r="M283" s="85">
        <f t="shared" si="194"/>
        <v>82.5</v>
      </c>
      <c r="N283" s="85">
        <f t="shared" si="130"/>
        <v>5.842424242</v>
      </c>
      <c r="O283" s="60">
        <f>VLOOKUP(E283,'C Fittings (Brass)'!$E$5:$Q418,13,0)</f>
        <v>548</v>
      </c>
      <c r="P283" s="88"/>
      <c r="Q283" s="89"/>
      <c r="R283" s="89"/>
      <c r="S283" s="89"/>
      <c r="T283" s="89"/>
      <c r="U283" s="89"/>
      <c r="V283" s="89"/>
      <c r="W283" s="89"/>
      <c r="X283" s="89"/>
      <c r="Y283" s="89"/>
      <c r="Z283" s="89"/>
    </row>
    <row r="284" ht="15.75" customHeight="1">
      <c r="A284" s="67" t="str">
        <f t="shared" si="189"/>
        <v>Brass Elbow 3 in 1 Mixer3⁄4 x 1⁄2</v>
      </c>
      <c r="B284" s="81">
        <v>3.0</v>
      </c>
      <c r="C284" s="90" t="s">
        <v>144</v>
      </c>
      <c r="D284" s="127" t="s">
        <v>145</v>
      </c>
      <c r="E284" s="112" t="s">
        <v>618</v>
      </c>
      <c r="F284" s="56">
        <v>482.0</v>
      </c>
      <c r="G284" s="58">
        <v>0.15</v>
      </c>
      <c r="H284" s="58">
        <v>0.06</v>
      </c>
      <c r="I284" s="76">
        <f t="shared" si="190"/>
        <v>0.21</v>
      </c>
      <c r="J284" s="84">
        <f t="shared" si="191"/>
        <v>2295.238095</v>
      </c>
      <c r="K284" s="85">
        <f t="shared" si="192"/>
        <v>37.5</v>
      </c>
      <c r="L284" s="85">
        <f t="shared" si="193"/>
        <v>45</v>
      </c>
      <c r="M284" s="85">
        <f t="shared" si="194"/>
        <v>82.5</v>
      </c>
      <c r="N284" s="85">
        <f t="shared" si="130"/>
        <v>5.842424242</v>
      </c>
      <c r="O284" s="60">
        <f>VLOOKUP(E284,'C Fittings (Brass)'!$E$5:$Q418,13,0)</f>
        <v>548</v>
      </c>
      <c r="P284" s="88"/>
      <c r="Q284" s="89"/>
      <c r="R284" s="89"/>
      <c r="S284" s="89"/>
      <c r="T284" s="89"/>
      <c r="U284" s="89"/>
      <c r="V284" s="89"/>
      <c r="W284" s="89"/>
      <c r="X284" s="89"/>
      <c r="Y284" s="89"/>
      <c r="Z284" s="89"/>
    </row>
    <row r="285" ht="15.75" customHeight="1">
      <c r="A285" s="67" t="str">
        <f t="shared" si="189"/>
        <v>Brass Elbow 3 in 1 Mixer3⁄4 x 1⁄2</v>
      </c>
      <c r="B285" s="81">
        <v>4.0</v>
      </c>
      <c r="C285" s="90" t="s">
        <v>144</v>
      </c>
      <c r="D285" s="127" t="s">
        <v>145</v>
      </c>
      <c r="E285" s="112" t="s">
        <v>630</v>
      </c>
      <c r="F285" s="56">
        <v>482.0</v>
      </c>
      <c r="G285" s="58">
        <v>0.15</v>
      </c>
      <c r="H285" s="58">
        <v>0.06</v>
      </c>
      <c r="I285" s="76">
        <f t="shared" si="190"/>
        <v>0.21</v>
      </c>
      <c r="J285" s="84">
        <f t="shared" si="191"/>
        <v>2295.238095</v>
      </c>
      <c r="K285" s="85">
        <f t="shared" si="192"/>
        <v>37.5</v>
      </c>
      <c r="L285" s="85">
        <f t="shared" si="193"/>
        <v>45</v>
      </c>
      <c r="M285" s="85">
        <f t="shared" si="194"/>
        <v>82.5</v>
      </c>
      <c r="N285" s="85">
        <f t="shared" si="130"/>
        <v>5.842424242</v>
      </c>
      <c r="O285" s="60">
        <f>VLOOKUP(E285,'C Fittings (Brass)'!$E$5:$Q418,13,0)</f>
        <v>548</v>
      </c>
      <c r="P285" s="88"/>
      <c r="Q285" s="89"/>
      <c r="R285" s="89"/>
      <c r="S285" s="89"/>
      <c r="T285" s="89"/>
      <c r="U285" s="89"/>
      <c r="V285" s="89"/>
      <c r="W285" s="89"/>
      <c r="X285" s="89"/>
      <c r="Y285" s="89"/>
      <c r="Z285" s="89"/>
    </row>
    <row r="286" ht="15.75" customHeight="1">
      <c r="A286" s="67" t="str">
        <f t="shared" si="189"/>
        <v>Brass Elbow 3 in 1 Mixer3⁄4 x 1⁄2</v>
      </c>
      <c r="B286" s="81">
        <v>5.0</v>
      </c>
      <c r="C286" s="90" t="s">
        <v>144</v>
      </c>
      <c r="D286" s="127" t="s">
        <v>145</v>
      </c>
      <c r="E286" s="112" t="s">
        <v>639</v>
      </c>
      <c r="F286" s="56">
        <v>482.0</v>
      </c>
      <c r="G286" s="58">
        <v>0.15</v>
      </c>
      <c r="H286" s="58">
        <v>0.06</v>
      </c>
      <c r="I286" s="76">
        <f t="shared" si="190"/>
        <v>0.21</v>
      </c>
      <c r="J286" s="84">
        <f t="shared" si="191"/>
        <v>2295.238095</v>
      </c>
      <c r="K286" s="85">
        <f t="shared" si="192"/>
        <v>37.5</v>
      </c>
      <c r="L286" s="85">
        <f t="shared" si="193"/>
        <v>45</v>
      </c>
      <c r="M286" s="85">
        <f t="shared" si="194"/>
        <v>82.5</v>
      </c>
      <c r="N286" s="85">
        <f t="shared" si="130"/>
        <v>5.842424242</v>
      </c>
      <c r="O286" s="60">
        <f>VLOOKUP(E286,'C Fittings (Brass)'!$E$5:$Q418,13,0)</f>
        <v>548</v>
      </c>
      <c r="P286" s="88"/>
      <c r="Q286" s="89"/>
      <c r="R286" s="89"/>
      <c r="S286" s="89"/>
      <c r="T286" s="89"/>
      <c r="U286" s="89"/>
      <c r="V286" s="89"/>
      <c r="W286" s="89"/>
      <c r="X286" s="89"/>
      <c r="Y286" s="89"/>
      <c r="Z286" s="89"/>
    </row>
    <row r="287">
      <c r="A287" s="100"/>
      <c r="B287" s="102" t="s">
        <v>11</v>
      </c>
      <c r="C287" s="45"/>
      <c r="D287" s="45"/>
      <c r="E287" s="46"/>
      <c r="F287" s="103">
        <f>SUM(F282:F286)</f>
        <v>2410</v>
      </c>
      <c r="G287" s="104"/>
      <c r="H287" s="76" t="str">
        <f>IFERROR(__xludf.DUMMYFUNCTION("IFERROR(VLOOKUP(E287,IMPORTRANGE(""https://docs.google.com/spreadsheets/d/1xZyKy-UzMmtPDLpV5jQdYum1LtbR8XKDuasLSjmBRMI/edit#gid=1241094406"",""COMBINED DATA!E3:L""),8,0))"),"")</f>
        <v/>
      </c>
      <c r="I287" s="76"/>
      <c r="J287" s="116"/>
      <c r="K287" s="85"/>
      <c r="L287" s="85"/>
      <c r="M287" s="85"/>
      <c r="N287" s="85" t="str">
        <f t="shared" si="130"/>
        <v/>
      </c>
      <c r="O287" s="103">
        <f>SUM(O282:O286)</f>
        <v>2740</v>
      </c>
      <c r="P287" s="89"/>
      <c r="Q287" s="89"/>
      <c r="R287" s="89"/>
      <c r="S287" s="89"/>
      <c r="T287" s="89"/>
      <c r="U287" s="89"/>
      <c r="V287" s="89"/>
      <c r="W287" s="89"/>
      <c r="X287" s="89"/>
      <c r="Y287" s="89"/>
      <c r="Z287" s="89"/>
    </row>
    <row r="288" ht="4.5" customHeight="1">
      <c r="A288" s="34"/>
      <c r="B288" s="15"/>
      <c r="C288" s="15"/>
      <c r="D288" s="15"/>
      <c r="E288" s="17"/>
      <c r="F288" s="15"/>
      <c r="G288" s="64"/>
      <c r="H288" s="76" t="str">
        <f>IFERROR(__xludf.DUMMYFUNCTION("IFERROR(VLOOKUP(E288,IMPORTRANGE(""https://docs.google.com/spreadsheets/d/1xZyKy-UzMmtPDLpV5jQdYum1LtbR8XKDuasLSjmBRMI/edit#gid=1241094406"",""COMBINED DATA!E3:L""),8,0))"),"")</f>
        <v/>
      </c>
      <c r="I288" s="76"/>
      <c r="J288" s="65"/>
      <c r="K288" s="85"/>
      <c r="L288" s="85"/>
      <c r="M288" s="85"/>
      <c r="N288" s="85" t="str">
        <f t="shared" si="130"/>
        <v/>
      </c>
      <c r="O288" s="89"/>
      <c r="P288" s="89"/>
      <c r="Q288" s="89"/>
      <c r="R288" s="89"/>
      <c r="S288" s="89"/>
      <c r="T288" s="89"/>
      <c r="U288" s="89"/>
      <c r="V288" s="89"/>
      <c r="W288" s="89"/>
      <c r="X288" s="89"/>
      <c r="Y288" s="89"/>
      <c r="Z288" s="89"/>
    </row>
    <row r="289" ht="22.5" customHeight="1">
      <c r="A289" s="34"/>
      <c r="B289" s="62" t="s">
        <v>589</v>
      </c>
      <c r="C289" s="45"/>
      <c r="D289" s="45"/>
      <c r="E289" s="45"/>
      <c r="F289" s="46"/>
      <c r="G289" s="64"/>
      <c r="H289" s="76" t="str">
        <f>IFERROR(__xludf.DUMMYFUNCTION("IFERROR(VLOOKUP(E289,IMPORTRANGE(""https://docs.google.com/spreadsheets/d/1xZyKy-UzMmtPDLpV5jQdYum1LtbR8XKDuasLSjmBRMI/edit#gid=1241094406"",""COMBINED DATA!E3:L""),8,0))"),"")</f>
        <v/>
      </c>
      <c r="I289" s="76"/>
      <c r="J289" s="65"/>
      <c r="K289" s="85"/>
      <c r="L289" s="85"/>
      <c r="M289" s="85"/>
      <c r="N289" s="85" t="str">
        <f t="shared" si="130"/>
        <v/>
      </c>
      <c r="O289" s="89"/>
      <c r="P289" s="89"/>
      <c r="Q289" s="89"/>
      <c r="R289" s="89"/>
      <c r="S289" s="89"/>
      <c r="T289" s="89"/>
      <c r="U289" s="89"/>
      <c r="V289" s="89"/>
      <c r="W289" s="89"/>
      <c r="X289" s="89"/>
      <c r="Y289" s="89"/>
      <c r="Z289" s="89"/>
    </row>
    <row r="290" ht="15.75" customHeight="1">
      <c r="A290" s="67" t="str">
        <f t="shared" ref="A290:A294" si="195">$B$289&amp;C290</f>
        <v>Brass Elbow 3 in 1 Mixer1 x 1⁄2</v>
      </c>
      <c r="B290" s="81">
        <v>1.0</v>
      </c>
      <c r="C290" s="68" t="s">
        <v>352</v>
      </c>
      <c r="D290" s="110" t="s">
        <v>353</v>
      </c>
      <c r="E290" s="111" t="s">
        <v>654</v>
      </c>
      <c r="F290" s="56">
        <v>558.0</v>
      </c>
      <c r="G290" s="58">
        <v>0.15</v>
      </c>
      <c r="H290" s="58">
        <v>0.06</v>
      </c>
      <c r="I290" s="76">
        <f t="shared" ref="I290:I294" si="196">G290+H290</f>
        <v>0.21</v>
      </c>
      <c r="J290" s="84">
        <f t="shared" ref="J290:J294" si="197">IFERROR(F290/$I290,"")</f>
        <v>2657.142857</v>
      </c>
      <c r="K290" s="85">
        <f t="shared" ref="K290:K294" si="198">IFERROR(G290*250,)</f>
        <v>37.5</v>
      </c>
      <c r="L290" s="85">
        <f t="shared" ref="L290:L294" si="199">IFERROR(H290*750,"")</f>
        <v>45</v>
      </c>
      <c r="M290" s="85">
        <f t="shared" ref="M290:M294" si="200">K290+L290</f>
        <v>82.5</v>
      </c>
      <c r="N290" s="85">
        <f t="shared" si="130"/>
        <v>6.763636364</v>
      </c>
      <c r="O290" s="60">
        <f>VLOOKUP(E290,'C Fittings (Brass)'!$E$5:$Q418,13,0)</f>
        <v>618</v>
      </c>
      <c r="P290" s="88"/>
      <c r="Q290" s="89"/>
      <c r="R290" s="89"/>
      <c r="S290" s="89"/>
      <c r="T290" s="89"/>
      <c r="U290" s="89"/>
      <c r="V290" s="89"/>
      <c r="W290" s="89"/>
      <c r="X290" s="89"/>
      <c r="Y290" s="89"/>
      <c r="Z290" s="89"/>
    </row>
    <row r="291" ht="15.75" customHeight="1">
      <c r="A291" s="67" t="str">
        <f t="shared" si="195"/>
        <v>Brass Elbow 3 in 1 Mixer1 x 1⁄2</v>
      </c>
      <c r="B291" s="81">
        <v>2.0</v>
      </c>
      <c r="C291" s="90" t="s">
        <v>352</v>
      </c>
      <c r="D291" s="127" t="s">
        <v>353</v>
      </c>
      <c r="E291" s="112" t="s">
        <v>662</v>
      </c>
      <c r="F291" s="56">
        <v>558.0</v>
      </c>
      <c r="G291" s="58">
        <v>0.15</v>
      </c>
      <c r="H291" s="58">
        <v>0.06</v>
      </c>
      <c r="I291" s="76">
        <f t="shared" si="196"/>
        <v>0.21</v>
      </c>
      <c r="J291" s="84">
        <f t="shared" si="197"/>
        <v>2657.142857</v>
      </c>
      <c r="K291" s="85">
        <f t="shared" si="198"/>
        <v>37.5</v>
      </c>
      <c r="L291" s="85">
        <f t="shared" si="199"/>
        <v>45</v>
      </c>
      <c r="M291" s="85">
        <f t="shared" si="200"/>
        <v>82.5</v>
      </c>
      <c r="N291" s="85">
        <f t="shared" si="130"/>
        <v>6.763636364</v>
      </c>
      <c r="O291" s="60">
        <f>VLOOKUP(E291,'C Fittings (Brass)'!$E$5:$Q418,13,0)</f>
        <v>618</v>
      </c>
      <c r="P291" s="88"/>
      <c r="Q291" s="89"/>
      <c r="R291" s="89"/>
      <c r="S291" s="89"/>
      <c r="T291" s="89"/>
      <c r="U291" s="89"/>
      <c r="V291" s="89"/>
      <c r="W291" s="89"/>
      <c r="X291" s="89"/>
      <c r="Y291" s="89"/>
      <c r="Z291" s="89"/>
    </row>
    <row r="292" ht="15.75" customHeight="1">
      <c r="A292" s="67" t="str">
        <f t="shared" si="195"/>
        <v>Brass Elbow 3 in 1 Mixer1 x 1⁄2</v>
      </c>
      <c r="B292" s="81">
        <v>3.0</v>
      </c>
      <c r="C292" s="90" t="s">
        <v>352</v>
      </c>
      <c r="D292" s="127" t="s">
        <v>353</v>
      </c>
      <c r="E292" s="112" t="s">
        <v>665</v>
      </c>
      <c r="F292" s="56">
        <v>558.0</v>
      </c>
      <c r="G292" s="58">
        <v>0.15</v>
      </c>
      <c r="H292" s="58">
        <v>0.06</v>
      </c>
      <c r="I292" s="76">
        <f t="shared" si="196"/>
        <v>0.21</v>
      </c>
      <c r="J292" s="84">
        <f t="shared" si="197"/>
        <v>2657.142857</v>
      </c>
      <c r="K292" s="85">
        <f t="shared" si="198"/>
        <v>37.5</v>
      </c>
      <c r="L292" s="85">
        <f t="shared" si="199"/>
        <v>45</v>
      </c>
      <c r="M292" s="85">
        <f t="shared" si="200"/>
        <v>82.5</v>
      </c>
      <c r="N292" s="85">
        <f t="shared" si="130"/>
        <v>6.763636364</v>
      </c>
      <c r="O292" s="60">
        <f>VLOOKUP(E292,'C Fittings (Brass)'!$E$5:$Q418,13,0)</f>
        <v>618</v>
      </c>
      <c r="P292" s="88"/>
      <c r="Q292" s="89"/>
      <c r="R292" s="89"/>
      <c r="S292" s="89"/>
      <c r="T292" s="89"/>
      <c r="U292" s="89"/>
      <c r="V292" s="89"/>
      <c r="W292" s="89"/>
      <c r="X292" s="89"/>
      <c r="Y292" s="89"/>
      <c r="Z292" s="89"/>
    </row>
    <row r="293" ht="15.75" customHeight="1">
      <c r="A293" s="67" t="str">
        <f t="shared" si="195"/>
        <v>Brass Elbow 3 in 1 Mixer1 x 1⁄2</v>
      </c>
      <c r="B293" s="81">
        <v>4.0</v>
      </c>
      <c r="C293" s="90" t="s">
        <v>352</v>
      </c>
      <c r="D293" s="127" t="s">
        <v>353</v>
      </c>
      <c r="E293" s="112" t="s">
        <v>667</v>
      </c>
      <c r="F293" s="56">
        <v>558.0</v>
      </c>
      <c r="G293" s="58">
        <v>0.15</v>
      </c>
      <c r="H293" s="58">
        <v>0.06</v>
      </c>
      <c r="I293" s="76">
        <f t="shared" si="196"/>
        <v>0.21</v>
      </c>
      <c r="J293" s="84">
        <f t="shared" si="197"/>
        <v>2657.142857</v>
      </c>
      <c r="K293" s="85">
        <f t="shared" si="198"/>
        <v>37.5</v>
      </c>
      <c r="L293" s="85">
        <f t="shared" si="199"/>
        <v>45</v>
      </c>
      <c r="M293" s="85">
        <f t="shared" si="200"/>
        <v>82.5</v>
      </c>
      <c r="N293" s="85">
        <f t="shared" si="130"/>
        <v>6.763636364</v>
      </c>
      <c r="O293" s="60">
        <f>VLOOKUP(E293,'C Fittings (Brass)'!$E$5:$Q418,13,0)</f>
        <v>618</v>
      </c>
      <c r="P293" s="88"/>
      <c r="Q293" s="89"/>
      <c r="R293" s="89"/>
      <c r="S293" s="89"/>
      <c r="T293" s="89"/>
      <c r="U293" s="89"/>
      <c r="V293" s="89"/>
      <c r="W293" s="89"/>
      <c r="X293" s="89"/>
      <c r="Y293" s="89"/>
      <c r="Z293" s="89"/>
    </row>
    <row r="294" ht="15.75" customHeight="1">
      <c r="A294" s="67" t="str">
        <f t="shared" si="195"/>
        <v>Brass Elbow 3 in 1 Mixer1 x 1⁄2</v>
      </c>
      <c r="B294" s="81">
        <v>5.0</v>
      </c>
      <c r="C294" s="90" t="s">
        <v>352</v>
      </c>
      <c r="D294" s="127" t="s">
        <v>353</v>
      </c>
      <c r="E294" s="112" t="s">
        <v>670</v>
      </c>
      <c r="F294" s="56">
        <v>558.0</v>
      </c>
      <c r="G294" s="58">
        <v>0.15</v>
      </c>
      <c r="H294" s="58">
        <v>0.06</v>
      </c>
      <c r="I294" s="76">
        <f t="shared" si="196"/>
        <v>0.21</v>
      </c>
      <c r="J294" s="84">
        <f t="shared" si="197"/>
        <v>2657.142857</v>
      </c>
      <c r="K294" s="85">
        <f t="shared" si="198"/>
        <v>37.5</v>
      </c>
      <c r="L294" s="85">
        <f t="shared" si="199"/>
        <v>45</v>
      </c>
      <c r="M294" s="85">
        <f t="shared" si="200"/>
        <v>82.5</v>
      </c>
      <c r="N294" s="85">
        <f t="shared" si="130"/>
        <v>6.763636364</v>
      </c>
      <c r="O294" s="60">
        <f>VLOOKUP(E294,'C Fittings (Brass)'!$E$5:$Q418,13,0)</f>
        <v>618</v>
      </c>
      <c r="P294" s="88"/>
      <c r="Q294" s="89"/>
      <c r="R294" s="89"/>
      <c r="S294" s="89"/>
      <c r="T294" s="89"/>
      <c r="U294" s="89"/>
      <c r="V294" s="89"/>
      <c r="W294" s="89"/>
      <c r="X294" s="89"/>
      <c r="Y294" s="89"/>
      <c r="Z294" s="89"/>
    </row>
    <row r="295">
      <c r="A295" s="100"/>
      <c r="B295" s="102" t="s">
        <v>11</v>
      </c>
      <c r="C295" s="45"/>
      <c r="D295" s="45"/>
      <c r="E295" s="46"/>
      <c r="F295" s="103">
        <f>SUM(F290:F294)</f>
        <v>2790</v>
      </c>
      <c r="G295" s="104"/>
      <c r="H295" s="76" t="str">
        <f>IFERROR(__xludf.DUMMYFUNCTION("IFERROR(VLOOKUP(E295,IMPORTRANGE(""https://docs.google.com/spreadsheets/d/1xZyKy-UzMmtPDLpV5jQdYum1LtbR8XKDuasLSjmBRMI/edit#gid=1241094406"",""COMBINED DATA!E3:L""),8,0))"),"")</f>
        <v/>
      </c>
      <c r="I295" s="76"/>
      <c r="J295" s="116"/>
      <c r="K295" s="85"/>
      <c r="L295" s="85"/>
      <c r="M295" s="85"/>
      <c r="N295" s="85" t="str">
        <f t="shared" si="130"/>
        <v/>
      </c>
      <c r="O295" s="103">
        <f>SUM(O290:O294)</f>
        <v>3090</v>
      </c>
      <c r="P295" s="89"/>
      <c r="Q295" s="89"/>
      <c r="R295" s="89"/>
      <c r="S295" s="89"/>
      <c r="T295" s="89"/>
      <c r="U295" s="89"/>
      <c r="V295" s="89"/>
      <c r="W295" s="89"/>
      <c r="X295" s="89"/>
      <c r="Y295" s="89"/>
      <c r="Z295" s="89"/>
    </row>
    <row r="296" ht="3.75" customHeight="1">
      <c r="A296" s="34"/>
      <c r="B296" s="15"/>
      <c r="C296" s="15"/>
      <c r="D296" s="15"/>
      <c r="E296" s="17"/>
      <c r="F296" s="15"/>
      <c r="G296" s="64"/>
      <c r="H296" s="76" t="str">
        <f>IFERROR(__xludf.DUMMYFUNCTION("IFERROR(VLOOKUP(E296,IMPORTRANGE(""https://docs.google.com/spreadsheets/d/1xZyKy-UzMmtPDLpV5jQdYum1LtbR8XKDuasLSjmBRMI/edit#gid=1241094406"",""COMBINED DATA!E3:L""),8,0))"),"")</f>
        <v/>
      </c>
      <c r="I296" s="76"/>
      <c r="J296" s="65"/>
      <c r="K296" s="85"/>
      <c r="L296" s="85"/>
      <c r="M296" s="85"/>
      <c r="N296" s="85" t="str">
        <f t="shared" si="130"/>
        <v/>
      </c>
      <c r="O296" s="89"/>
      <c r="P296" s="89"/>
      <c r="Q296" s="89"/>
      <c r="R296" s="89"/>
      <c r="S296" s="89"/>
      <c r="T296" s="89"/>
      <c r="U296" s="89"/>
      <c r="V296" s="89"/>
      <c r="W296" s="89"/>
      <c r="X296" s="89"/>
      <c r="Y296" s="89"/>
      <c r="Z296" s="89"/>
    </row>
    <row r="297" ht="22.5" customHeight="1">
      <c r="A297" s="34"/>
      <c r="B297" s="62" t="s">
        <v>686</v>
      </c>
      <c r="C297" s="45"/>
      <c r="D297" s="45"/>
      <c r="E297" s="45"/>
      <c r="F297" s="46"/>
      <c r="G297" s="64"/>
      <c r="H297" s="76" t="str">
        <f>IFERROR(__xludf.DUMMYFUNCTION("IFERROR(VLOOKUP(E297,IMPORTRANGE(""https://docs.google.com/spreadsheets/d/1xZyKy-UzMmtPDLpV5jQdYum1LtbR8XKDuasLSjmBRMI/edit#gid=1241094406"",""COMBINED DATA!E3:L""),8,0))"),"")</f>
        <v/>
      </c>
      <c r="I297" s="76"/>
      <c r="J297" s="65"/>
      <c r="K297" s="85"/>
      <c r="L297" s="85"/>
      <c r="M297" s="85"/>
      <c r="N297" s="85" t="str">
        <f t="shared" si="130"/>
        <v/>
      </c>
      <c r="O297" s="89"/>
      <c r="P297" s="89"/>
      <c r="Q297" s="89"/>
      <c r="R297" s="89"/>
      <c r="S297" s="89"/>
      <c r="T297" s="89"/>
      <c r="U297" s="89"/>
      <c r="V297" s="89"/>
      <c r="W297" s="89"/>
      <c r="X297" s="89"/>
      <c r="Y297" s="89"/>
      <c r="Z297" s="89"/>
    </row>
    <row r="298" ht="15.75" customHeight="1">
      <c r="A298" s="67" t="str">
        <f>$B$297&amp;C298</f>
        <v>Brass Elbow Kitchen Mixer3⁄4 x 1⁄2</v>
      </c>
      <c r="B298" s="81">
        <v>1.0</v>
      </c>
      <c r="C298" s="68" t="s">
        <v>144</v>
      </c>
      <c r="D298" s="110" t="s">
        <v>145</v>
      </c>
      <c r="E298" s="111" t="s">
        <v>690</v>
      </c>
      <c r="F298" s="56">
        <v>398.0</v>
      </c>
      <c r="G298" s="58">
        <v>0.12</v>
      </c>
      <c r="H298" s="58">
        <v>0.04</v>
      </c>
      <c r="I298" s="76">
        <f>G298+H298</f>
        <v>0.16</v>
      </c>
      <c r="J298" s="84">
        <f>IFERROR(F298/$I298,"")</f>
        <v>2487.5</v>
      </c>
      <c r="K298" s="85">
        <f>IFERROR(G298*250,)</f>
        <v>30</v>
      </c>
      <c r="L298" s="85">
        <f>IFERROR(H298*750,"")</f>
        <v>30</v>
      </c>
      <c r="M298" s="85">
        <f>K298+L298</f>
        <v>60</v>
      </c>
      <c r="N298" s="85">
        <f t="shared" si="130"/>
        <v>6.633333333</v>
      </c>
      <c r="O298" s="60">
        <f>VLOOKUP(E298,'C Fittings (Brass)'!$E$5:$Q418,13,0)</f>
        <v>444</v>
      </c>
      <c r="P298" s="88"/>
      <c r="Q298" s="89"/>
      <c r="R298" s="89"/>
      <c r="S298" s="89"/>
      <c r="T298" s="89"/>
      <c r="U298" s="89"/>
      <c r="V298" s="89"/>
      <c r="W298" s="89"/>
      <c r="X298" s="89"/>
      <c r="Y298" s="89"/>
      <c r="Z298" s="89"/>
    </row>
    <row r="299" ht="6.0" customHeight="1">
      <c r="A299" s="34"/>
      <c r="B299" s="15"/>
      <c r="C299" s="15"/>
      <c r="D299" s="15"/>
      <c r="E299" s="17"/>
      <c r="F299" s="15"/>
      <c r="G299" s="64"/>
      <c r="H299" s="76" t="str">
        <f>IFERROR(__xludf.DUMMYFUNCTION("IFERROR(VLOOKUP(E299,IMPORTRANGE(""https://docs.google.com/spreadsheets/d/1xZyKy-UzMmtPDLpV5jQdYum1LtbR8XKDuasLSjmBRMI/edit#gid=1241094406"",""COMBINED DATA!E3:L""),8,0))"),"")</f>
        <v/>
      </c>
      <c r="I299" s="76"/>
      <c r="J299" s="65"/>
      <c r="K299" s="85"/>
      <c r="L299" s="85"/>
      <c r="M299" s="85"/>
      <c r="N299" s="85" t="str">
        <f t="shared" si="130"/>
        <v/>
      </c>
      <c r="O299" s="89"/>
      <c r="P299" s="89"/>
      <c r="Q299" s="89"/>
      <c r="R299" s="89"/>
      <c r="S299" s="89"/>
      <c r="T299" s="89"/>
      <c r="U299" s="89"/>
      <c r="V299" s="89"/>
      <c r="W299" s="89"/>
      <c r="X299" s="89"/>
      <c r="Y299" s="89"/>
      <c r="Z299" s="89"/>
    </row>
    <row r="300" ht="22.5" customHeight="1">
      <c r="A300" s="34"/>
      <c r="B300" s="62" t="s">
        <v>982</v>
      </c>
      <c r="C300" s="45"/>
      <c r="D300" s="45"/>
      <c r="E300" s="45"/>
      <c r="F300" s="46"/>
      <c r="G300" s="64"/>
      <c r="H300" s="76" t="str">
        <f>IFERROR(__xludf.DUMMYFUNCTION("IFERROR(VLOOKUP(E300,IMPORTRANGE(""https://docs.google.com/spreadsheets/d/1xZyKy-UzMmtPDLpV5jQdYum1LtbR8XKDuasLSjmBRMI/edit#gid=1241094406"",""COMBINED DATA!E3:L""),8,0))"),"")</f>
        <v/>
      </c>
      <c r="I300" s="76"/>
      <c r="J300" s="65"/>
      <c r="K300" s="85"/>
      <c r="L300" s="85"/>
      <c r="M300" s="85"/>
      <c r="N300" s="85" t="str">
        <f t="shared" si="130"/>
        <v/>
      </c>
      <c r="O300" s="89"/>
      <c r="P300" s="89"/>
      <c r="Q300" s="89"/>
      <c r="R300" s="89"/>
      <c r="S300" s="89"/>
      <c r="T300" s="89"/>
      <c r="U300" s="89"/>
      <c r="V300" s="89"/>
      <c r="W300" s="89"/>
      <c r="X300" s="89"/>
      <c r="Y300" s="89"/>
      <c r="Z300" s="89"/>
    </row>
    <row r="301" ht="15.75" customHeight="1">
      <c r="A301" s="67" t="str">
        <f t="shared" ref="A301:A302" si="201">$B$300&amp;C301</f>
        <v>End Plug1⁄2</v>
      </c>
      <c r="B301" s="81">
        <v>1.0</v>
      </c>
      <c r="C301" s="68" t="s">
        <v>43</v>
      </c>
      <c r="D301" s="110">
        <v>15.0</v>
      </c>
      <c r="E301" s="111" t="s">
        <v>955</v>
      </c>
      <c r="F301" s="56">
        <v>8.2</v>
      </c>
      <c r="G301" s="76">
        <f>IFERROR(__xludf.DUMMYFUNCTION("ArrayFormula(IFERROR(VLOOKUP(E301,IMPORTRANGE(""https://docs.google.com/spreadsheets/d/1xZyKy-UzMmtPDLpV5jQdYum1LtbR8XKDuasLSjmBRMI/edit#gid=1241094406"",""COMBINED DATA!E3:L""),{7,8},0)))"),0.015349999999999999)</f>
        <v>0.01535</v>
      </c>
      <c r="H301" s="76">
        <f>IFERROR(__xludf.DUMMYFUNCTION("""COMPUTED_VALUE"""),0.0)</f>
        <v>0</v>
      </c>
      <c r="I301" s="76">
        <f t="shared" ref="I301:I302" si="202">G301+H301</f>
        <v>0.01535</v>
      </c>
      <c r="J301" s="84">
        <f t="shared" ref="J301:J302" si="203">IFERROR(F301/$I301,"")</f>
        <v>534.2019544</v>
      </c>
      <c r="K301" s="85">
        <f t="shared" ref="K301:K302" si="204">IFERROR(G301*250,)</f>
        <v>3.8375</v>
      </c>
      <c r="L301" s="85">
        <f t="shared" ref="L301:L302" si="205">IFERROR(H301*750,"")</f>
        <v>0</v>
      </c>
      <c r="M301" s="85">
        <f t="shared" ref="M301:M302" si="206">K301+L301</f>
        <v>3.8375</v>
      </c>
      <c r="N301" s="85">
        <f t="shared" si="130"/>
        <v>2.136807818</v>
      </c>
      <c r="O301" s="87">
        <v>8.2</v>
      </c>
      <c r="P301" s="89"/>
      <c r="Q301" s="89"/>
      <c r="R301" s="89"/>
      <c r="S301" s="89"/>
      <c r="T301" s="89"/>
      <c r="U301" s="89"/>
      <c r="V301" s="89"/>
      <c r="W301" s="89"/>
      <c r="X301" s="89"/>
      <c r="Y301" s="89"/>
      <c r="Z301" s="89"/>
    </row>
    <row r="302" ht="15.75" customHeight="1">
      <c r="A302" s="67" t="str">
        <f t="shared" si="201"/>
        <v>End Plug3⁄4</v>
      </c>
      <c r="B302" s="81">
        <v>2.0</v>
      </c>
      <c r="C302" s="90" t="s">
        <v>51</v>
      </c>
      <c r="D302" s="127">
        <v>20.0</v>
      </c>
      <c r="E302" s="112" t="s">
        <v>961</v>
      </c>
      <c r="F302" s="56">
        <v>9.8</v>
      </c>
      <c r="G302" s="76">
        <f>IFERROR(__xludf.DUMMYFUNCTION("ArrayFormula(IFERROR(VLOOKUP(E302,IMPORTRANGE(""https://docs.google.com/spreadsheets/d/1xZyKy-UzMmtPDLpV5jQdYum1LtbR8XKDuasLSjmBRMI/edit#gid=1241094406"",""COMBINED DATA!E3:L""),{7,8},0)))"),0.019)</f>
        <v>0.019</v>
      </c>
      <c r="H302" s="76">
        <f>IFERROR(__xludf.DUMMYFUNCTION("""COMPUTED_VALUE"""),0.0)</f>
        <v>0</v>
      </c>
      <c r="I302" s="76">
        <f t="shared" si="202"/>
        <v>0.019</v>
      </c>
      <c r="J302" s="84">
        <f t="shared" si="203"/>
        <v>515.7894737</v>
      </c>
      <c r="K302" s="85">
        <f t="shared" si="204"/>
        <v>4.75</v>
      </c>
      <c r="L302" s="85">
        <f t="shared" si="205"/>
        <v>0</v>
      </c>
      <c r="M302" s="85">
        <f t="shared" si="206"/>
        <v>4.75</v>
      </c>
      <c r="N302" s="85">
        <f t="shared" si="130"/>
        <v>2.063157895</v>
      </c>
      <c r="O302" s="87">
        <v>9.8</v>
      </c>
      <c r="P302" s="89"/>
      <c r="Q302" s="89"/>
      <c r="R302" s="89"/>
      <c r="S302" s="89"/>
      <c r="T302" s="89"/>
      <c r="U302" s="89"/>
      <c r="V302" s="89"/>
      <c r="W302" s="89"/>
      <c r="X302" s="89"/>
      <c r="Y302" s="89"/>
      <c r="Z302" s="89"/>
    </row>
    <row r="303">
      <c r="A303" s="100"/>
      <c r="B303" s="102" t="s">
        <v>11</v>
      </c>
      <c r="C303" s="45"/>
      <c r="D303" s="45"/>
      <c r="E303" s="46"/>
      <c r="F303" s="131">
        <f>sum(F301:F302)</f>
        <v>18</v>
      </c>
      <c r="G303" s="104"/>
      <c r="H303" s="76" t="str">
        <f>IFERROR(__xludf.DUMMYFUNCTION("IFERROR(VLOOKUP(E303,IMPORTRANGE(""https://docs.google.com/spreadsheets/d/1xZyKy-UzMmtPDLpV5jQdYum1LtbR8XKDuasLSjmBRMI/edit#gid=1241094406"",""COMBINED DATA!E3:L""),8,0))"),"")</f>
        <v/>
      </c>
      <c r="I303" s="76"/>
      <c r="J303" s="84"/>
      <c r="K303" s="85"/>
      <c r="L303" s="85"/>
      <c r="M303" s="85"/>
      <c r="N303" s="85" t="str">
        <f t="shared" si="130"/>
        <v/>
      </c>
      <c r="O303" s="131">
        <f>sum(O301:O302)</f>
        <v>18</v>
      </c>
      <c r="P303" s="89"/>
      <c r="Q303" s="89"/>
      <c r="R303" s="89"/>
      <c r="S303" s="89"/>
      <c r="T303" s="89"/>
      <c r="U303" s="89"/>
      <c r="V303" s="89"/>
      <c r="W303" s="89"/>
      <c r="X303" s="89"/>
      <c r="Y303" s="89"/>
      <c r="Z303" s="89"/>
    </row>
    <row r="304" ht="6.0" customHeight="1">
      <c r="A304" s="34"/>
      <c r="B304" s="15"/>
      <c r="C304" s="15"/>
      <c r="D304" s="15"/>
      <c r="E304" s="17"/>
      <c r="F304" s="15"/>
      <c r="G304" s="64"/>
      <c r="H304" s="76" t="str">
        <f>IFERROR(__xludf.DUMMYFUNCTION("IFERROR(VLOOKUP(E304,IMPORTRANGE(""https://docs.google.com/spreadsheets/d/1xZyKy-UzMmtPDLpV5jQdYum1LtbR8XKDuasLSjmBRMI/edit#gid=1241094406"",""COMBINED DATA!E3:L""),8,0))"),"")</f>
        <v/>
      </c>
      <c r="I304" s="76"/>
      <c r="J304" s="65"/>
      <c r="K304" s="85"/>
      <c r="L304" s="85"/>
      <c r="M304" s="85"/>
      <c r="N304" s="85" t="str">
        <f t="shared" si="130"/>
        <v/>
      </c>
      <c r="O304" s="89"/>
      <c r="P304" s="89"/>
      <c r="Q304" s="89"/>
      <c r="R304" s="89"/>
      <c r="S304" s="89"/>
      <c r="T304" s="89"/>
      <c r="U304" s="89"/>
      <c r="V304" s="89"/>
      <c r="W304" s="89"/>
      <c r="X304" s="89"/>
      <c r="Y304" s="89"/>
      <c r="Z304" s="89"/>
    </row>
    <row r="305" ht="22.5" customHeight="1">
      <c r="A305" s="34"/>
      <c r="B305" s="62" t="s">
        <v>1001</v>
      </c>
      <c r="C305" s="45"/>
      <c r="D305" s="45"/>
      <c r="E305" s="45"/>
      <c r="F305" s="46"/>
      <c r="G305" s="64"/>
      <c r="H305" s="76" t="str">
        <f>IFERROR(__xludf.DUMMYFUNCTION("IFERROR(VLOOKUP(E305,IMPORTRANGE(""https://docs.google.com/spreadsheets/d/1xZyKy-UzMmtPDLpV5jQdYum1LtbR8XKDuasLSjmBRMI/edit#gid=1241094406"",""COMBINED DATA!E3:L""),8,0))"),"")</f>
        <v/>
      </c>
      <c r="I305" s="76"/>
      <c r="J305" s="65"/>
      <c r="K305" s="85"/>
      <c r="L305" s="85"/>
      <c r="M305" s="85"/>
      <c r="N305" s="85" t="str">
        <f t="shared" si="130"/>
        <v/>
      </c>
      <c r="O305" s="89"/>
      <c r="P305" s="89"/>
      <c r="Q305" s="89"/>
      <c r="R305" s="89"/>
      <c r="S305" s="89"/>
      <c r="T305" s="89"/>
      <c r="U305" s="89"/>
      <c r="V305" s="89"/>
      <c r="W305" s="89"/>
      <c r="X305" s="89"/>
      <c r="Y305" s="89"/>
      <c r="Z305" s="89"/>
    </row>
    <row r="306" ht="15.75" customHeight="1">
      <c r="A306" s="67" t="str">
        <f t="shared" ref="A306:A309" si="207">$B$305&amp;C306</f>
        <v>Step Over Bend3⁄4</v>
      </c>
      <c r="B306" s="81">
        <v>1.0</v>
      </c>
      <c r="C306" s="68" t="s">
        <v>51</v>
      </c>
      <c r="D306" s="110">
        <v>20.0</v>
      </c>
      <c r="E306" s="111" t="s">
        <v>967</v>
      </c>
      <c r="F306" s="56">
        <v>92.8</v>
      </c>
      <c r="G306" s="76">
        <f>IFERROR(__xludf.DUMMYFUNCTION("ArrayFormula(IFERROR(VLOOKUP(E306,IMPORTRANGE(""https://docs.google.com/spreadsheets/d/1xZyKy-UzMmtPDLpV5jQdYum1LtbR8XKDuasLSjmBRMI/edit#gid=1241094406"",""COMBINED DATA!E3:L""),{7,8},0)))"),0.086)</f>
        <v>0.086</v>
      </c>
      <c r="H306" s="76">
        <f>IFERROR(__xludf.DUMMYFUNCTION("""COMPUTED_VALUE"""),0.0)</f>
        <v>0</v>
      </c>
      <c r="I306" s="76">
        <f t="shared" ref="I306:I309" si="208">G306+H306</f>
        <v>0.086</v>
      </c>
      <c r="J306" s="84">
        <f t="shared" ref="J306:J309" si="209">IFERROR(F306/$I306,"")</f>
        <v>1079.069767</v>
      </c>
      <c r="K306" s="85">
        <f t="shared" ref="K306:K309" si="210">IFERROR(G306*250,)</f>
        <v>21.5</v>
      </c>
      <c r="L306" s="85">
        <f t="shared" ref="L306:L309" si="211">IFERROR(H306*750,"")</f>
        <v>0</v>
      </c>
      <c r="M306" s="85">
        <f t="shared" ref="M306:M309" si="212">K306+L306</f>
        <v>21.5</v>
      </c>
      <c r="N306" s="85">
        <f t="shared" si="130"/>
        <v>4.31627907</v>
      </c>
      <c r="O306" s="87">
        <v>92.8</v>
      </c>
      <c r="P306" s="89"/>
      <c r="Q306" s="89"/>
      <c r="R306" s="89"/>
      <c r="S306" s="89"/>
      <c r="T306" s="89"/>
      <c r="U306" s="89"/>
      <c r="V306" s="89"/>
      <c r="W306" s="89"/>
      <c r="X306" s="89"/>
      <c r="Y306" s="89"/>
      <c r="Z306" s="89"/>
    </row>
    <row r="307" ht="15.75" customHeight="1">
      <c r="A307" s="67" t="str">
        <f t="shared" si="207"/>
        <v>Step Over Bend1</v>
      </c>
      <c r="B307" s="81">
        <v>2.0</v>
      </c>
      <c r="C307" s="90" t="s">
        <v>84</v>
      </c>
      <c r="D307" s="127">
        <v>25.0</v>
      </c>
      <c r="E307" s="112" t="s">
        <v>970</v>
      </c>
      <c r="F307" s="56">
        <v>136.0</v>
      </c>
      <c r="G307" s="76">
        <f>IFERROR(__xludf.DUMMYFUNCTION("ArrayFormula(IFERROR(VLOOKUP(E307,IMPORTRANGE(""https://docs.google.com/spreadsheets/d/1xZyKy-UzMmtPDLpV5jQdYum1LtbR8XKDuasLSjmBRMI/edit#gid=1241094406"",""COMBINED DATA!E3:L""),{7,8},0)))"),0.08325)</f>
        <v>0.08325</v>
      </c>
      <c r="H307" s="76">
        <f>IFERROR(__xludf.DUMMYFUNCTION("""COMPUTED_VALUE"""),0.0)</f>
        <v>0</v>
      </c>
      <c r="I307" s="76">
        <f t="shared" si="208"/>
        <v>0.08325</v>
      </c>
      <c r="J307" s="84">
        <f t="shared" si="209"/>
        <v>1633.633634</v>
      </c>
      <c r="K307" s="85">
        <f t="shared" si="210"/>
        <v>20.8125</v>
      </c>
      <c r="L307" s="85">
        <f t="shared" si="211"/>
        <v>0</v>
      </c>
      <c r="M307" s="85">
        <f t="shared" si="212"/>
        <v>20.8125</v>
      </c>
      <c r="N307" s="85">
        <f t="shared" si="130"/>
        <v>6.534534535</v>
      </c>
      <c r="O307" s="87">
        <v>136.0</v>
      </c>
      <c r="P307" s="89"/>
      <c r="Q307" s="89"/>
      <c r="R307" s="89"/>
      <c r="S307" s="89"/>
      <c r="T307" s="89"/>
      <c r="U307" s="89"/>
      <c r="V307" s="89"/>
      <c r="W307" s="89"/>
      <c r="X307" s="89"/>
      <c r="Y307" s="89"/>
      <c r="Z307" s="89"/>
    </row>
    <row r="308" ht="15.75" customHeight="1">
      <c r="A308" s="67" t="str">
        <f t="shared" si="207"/>
        <v>Step Over Bend1 1⁄4</v>
      </c>
      <c r="B308" s="81">
        <v>3.0</v>
      </c>
      <c r="C308" s="90" t="s">
        <v>55</v>
      </c>
      <c r="D308" s="127">
        <v>32.0</v>
      </c>
      <c r="E308" s="112" t="s">
        <v>974</v>
      </c>
      <c r="F308" s="56">
        <v>278.0</v>
      </c>
      <c r="G308" s="76">
        <f>IFERROR(__xludf.DUMMYFUNCTION("ArrayFormula(IFERROR(VLOOKUP(E308,IMPORTRANGE(""https://docs.google.com/spreadsheets/d/1xZyKy-UzMmtPDLpV5jQdYum1LtbR8XKDuasLSjmBRMI/edit#gid=1241094406"",""COMBINED DATA!E3:L""),{7,8},0)))"),0.188)</f>
        <v>0.188</v>
      </c>
      <c r="H308" s="76">
        <f>IFERROR(__xludf.DUMMYFUNCTION("""COMPUTED_VALUE"""),0.0)</f>
        <v>0</v>
      </c>
      <c r="I308" s="76">
        <f t="shared" si="208"/>
        <v>0.188</v>
      </c>
      <c r="J308" s="84">
        <f t="shared" si="209"/>
        <v>1478.723404</v>
      </c>
      <c r="K308" s="85">
        <f t="shared" si="210"/>
        <v>47</v>
      </c>
      <c r="L308" s="85">
        <f t="shared" si="211"/>
        <v>0</v>
      </c>
      <c r="M308" s="85">
        <f t="shared" si="212"/>
        <v>47</v>
      </c>
      <c r="N308" s="85">
        <f t="shared" si="130"/>
        <v>5.914893617</v>
      </c>
      <c r="O308" s="87">
        <v>278.0</v>
      </c>
      <c r="P308" s="89"/>
      <c r="Q308" s="89"/>
      <c r="R308" s="89"/>
      <c r="S308" s="89"/>
      <c r="T308" s="89"/>
      <c r="U308" s="89"/>
      <c r="V308" s="89"/>
      <c r="W308" s="89"/>
      <c r="X308" s="89"/>
      <c r="Y308" s="89"/>
      <c r="Z308" s="89"/>
    </row>
    <row r="309" ht="15.75" customHeight="1">
      <c r="A309" s="67" t="str">
        <f t="shared" si="207"/>
        <v>Step Over Bend1 1⁄2</v>
      </c>
      <c r="B309" s="81">
        <v>4.0</v>
      </c>
      <c r="C309" s="90" t="s">
        <v>56</v>
      </c>
      <c r="D309" s="127">
        <v>40.0</v>
      </c>
      <c r="E309" s="112" t="s">
        <v>979</v>
      </c>
      <c r="F309" s="56">
        <v>544.0</v>
      </c>
      <c r="G309" s="76">
        <f>IFERROR(__xludf.DUMMYFUNCTION("ArrayFormula(IFERROR(VLOOKUP(E309,IMPORTRANGE(""https://docs.google.com/spreadsheets/d/1xZyKy-UzMmtPDLpV5jQdYum1LtbR8XKDuasLSjmBRMI/edit#gid=1241094406"",""COMBINED DATA!E3:L""),{7,8},0)))"),0.421)</f>
        <v>0.421</v>
      </c>
      <c r="H309" s="76">
        <f>IFERROR(__xludf.DUMMYFUNCTION("""COMPUTED_VALUE"""),0.0)</f>
        <v>0</v>
      </c>
      <c r="I309" s="76">
        <f t="shared" si="208"/>
        <v>0.421</v>
      </c>
      <c r="J309" s="84">
        <f t="shared" si="209"/>
        <v>1292.16152</v>
      </c>
      <c r="K309" s="85">
        <f t="shared" si="210"/>
        <v>105.25</v>
      </c>
      <c r="L309" s="85">
        <f t="shared" si="211"/>
        <v>0</v>
      </c>
      <c r="M309" s="85">
        <f t="shared" si="212"/>
        <v>105.25</v>
      </c>
      <c r="N309" s="85">
        <f t="shared" si="130"/>
        <v>5.168646081</v>
      </c>
      <c r="O309" s="87">
        <v>544.0</v>
      </c>
      <c r="P309" s="89"/>
      <c r="Q309" s="89"/>
      <c r="R309" s="89"/>
      <c r="S309" s="89"/>
      <c r="T309" s="89"/>
      <c r="U309" s="89"/>
      <c r="V309" s="89"/>
      <c r="W309" s="89"/>
      <c r="X309" s="89"/>
      <c r="Y309" s="89"/>
      <c r="Z309" s="89"/>
    </row>
    <row r="310">
      <c r="A310" s="100"/>
      <c r="B310" s="102" t="s">
        <v>11</v>
      </c>
      <c r="C310" s="45"/>
      <c r="D310" s="45"/>
      <c r="E310" s="46"/>
      <c r="F310" s="103">
        <f>SUM(F306:F309)</f>
        <v>1050.8</v>
      </c>
      <c r="G310" s="104"/>
      <c r="H310" s="76" t="str">
        <f>IFERROR(__xludf.DUMMYFUNCTION("IFERROR(VLOOKUP(E310,IMPORTRANGE(""https://docs.google.com/spreadsheets/d/1xZyKy-UzMmtPDLpV5jQdYum1LtbR8XKDuasLSjmBRMI/edit#gid=1241094406"",""COMBINED DATA!E3:L""),8,0))"),"")</f>
        <v/>
      </c>
      <c r="I310" s="76"/>
      <c r="J310" s="116"/>
      <c r="K310" s="85"/>
      <c r="L310" s="85"/>
      <c r="M310" s="85"/>
      <c r="N310" s="85" t="str">
        <f t="shared" si="130"/>
        <v/>
      </c>
      <c r="O310" s="103">
        <f>SUM(O306:O309)</f>
        <v>1050.8</v>
      </c>
      <c r="P310" s="89"/>
      <c r="Q310" s="89"/>
      <c r="R310" s="89"/>
      <c r="S310" s="89"/>
      <c r="T310" s="89"/>
      <c r="U310" s="89"/>
      <c r="V310" s="89"/>
      <c r="W310" s="89"/>
      <c r="X310" s="89"/>
      <c r="Y310" s="89"/>
      <c r="Z310" s="89"/>
    </row>
    <row r="311" ht="4.5" customHeight="1">
      <c r="A311" s="34"/>
      <c r="B311" s="15"/>
      <c r="C311" s="15"/>
      <c r="D311" s="15"/>
      <c r="E311" s="17"/>
      <c r="F311" s="15"/>
      <c r="G311" s="64"/>
      <c r="H311" s="76" t="str">
        <f>IFERROR(__xludf.DUMMYFUNCTION("IFERROR(VLOOKUP(E311,IMPORTRANGE(""https://docs.google.com/spreadsheets/d/1xZyKy-UzMmtPDLpV5jQdYum1LtbR8XKDuasLSjmBRMI/edit#gid=1241094406"",""COMBINED DATA!E3:L""),8,0))"),"")</f>
        <v/>
      </c>
      <c r="I311" s="76"/>
      <c r="J311" s="65"/>
      <c r="K311" s="85"/>
      <c r="L311" s="85"/>
      <c r="M311" s="85"/>
      <c r="N311" s="85" t="str">
        <f t="shared" si="130"/>
        <v/>
      </c>
      <c r="O311" s="89"/>
      <c r="P311" s="89"/>
      <c r="Q311" s="89"/>
      <c r="R311" s="89"/>
      <c r="S311" s="89"/>
      <c r="T311" s="89"/>
      <c r="U311" s="89"/>
      <c r="V311" s="89"/>
      <c r="W311" s="89"/>
      <c r="X311" s="89"/>
      <c r="Y311" s="89"/>
      <c r="Z311" s="89"/>
    </row>
    <row r="312" ht="22.5" customHeight="1">
      <c r="A312" s="34"/>
      <c r="B312" s="62" t="s">
        <v>1014</v>
      </c>
      <c r="C312" s="45"/>
      <c r="D312" s="45"/>
      <c r="E312" s="45"/>
      <c r="F312" s="46"/>
      <c r="G312" s="64"/>
      <c r="H312" s="76" t="str">
        <f>IFERROR(__xludf.DUMMYFUNCTION("IFERROR(VLOOKUP(E312,IMPORTRANGE(""https://docs.google.com/spreadsheets/d/1xZyKy-UzMmtPDLpV5jQdYum1LtbR8XKDuasLSjmBRMI/edit#gid=1241094406"",""COMBINED DATA!E3:L""),8,0))"),"")</f>
        <v/>
      </c>
      <c r="I312" s="76"/>
      <c r="J312" s="65"/>
      <c r="K312" s="85"/>
      <c r="L312" s="85"/>
      <c r="M312" s="85"/>
      <c r="N312" s="85" t="str">
        <f t="shared" si="130"/>
        <v/>
      </c>
      <c r="O312" s="89"/>
      <c r="P312" s="89"/>
      <c r="Q312" s="89"/>
      <c r="R312" s="89"/>
      <c r="S312" s="89"/>
      <c r="T312" s="89"/>
      <c r="U312" s="89"/>
      <c r="V312" s="89"/>
      <c r="W312" s="89"/>
      <c r="X312" s="89"/>
      <c r="Y312" s="89"/>
      <c r="Z312" s="89"/>
    </row>
    <row r="313" ht="15.75" customHeight="1">
      <c r="A313" s="67" t="str">
        <f t="shared" ref="A313:A317" si="213">$B$312&amp;C313</f>
        <v>Ball Valve Handle3⁄4</v>
      </c>
      <c r="B313" s="81">
        <v>1.0</v>
      </c>
      <c r="C313" s="68" t="s">
        <v>51</v>
      </c>
      <c r="D313" s="70">
        <v>20.0</v>
      </c>
      <c r="E313" s="111" t="s">
        <v>986</v>
      </c>
      <c r="F313" s="56">
        <v>24.0</v>
      </c>
      <c r="G313" s="76">
        <f>IFERROR(__xludf.DUMMYFUNCTION("ArrayFormula(IFERROR(VLOOKUP(E313,IMPORTRANGE(""https://docs.google.com/spreadsheets/d/1xZyKy-UzMmtPDLpV5jQdYum1LtbR8XKDuasLSjmBRMI/edit#gid=1241094406"",""COMBINED DATA!E3:L""),{7,8},0)))"),0.0)</f>
        <v>0</v>
      </c>
      <c r="H313" s="76">
        <f>IFERROR(__xludf.DUMMYFUNCTION("""COMPUTED_VALUE"""),0.0)</f>
        <v>0</v>
      </c>
      <c r="I313" s="76">
        <f t="shared" ref="I313:I317" si="214">G313+H313</f>
        <v>0</v>
      </c>
      <c r="J313" s="84" t="str">
        <f t="shared" ref="J313:J317" si="215">IFERROR(F313/$I313,"")</f>
        <v/>
      </c>
      <c r="K313" s="85">
        <f t="shared" ref="K313:K317" si="216">IFERROR(G313*250,)</f>
        <v>0</v>
      </c>
      <c r="L313" s="85">
        <f t="shared" ref="L313:L317" si="217">IFERROR(H313*750,"")</f>
        <v>0</v>
      </c>
      <c r="M313" s="85">
        <f t="shared" ref="M313:M317" si="218">K313+L313</f>
        <v>0</v>
      </c>
      <c r="N313" s="85" t="str">
        <f t="shared" si="130"/>
        <v/>
      </c>
      <c r="O313" s="87">
        <v>24.0</v>
      </c>
      <c r="P313" s="89"/>
      <c r="Q313" s="89"/>
      <c r="R313" s="89"/>
      <c r="S313" s="89"/>
      <c r="T313" s="89"/>
      <c r="U313" s="89"/>
      <c r="V313" s="89"/>
      <c r="W313" s="89"/>
      <c r="X313" s="89"/>
      <c r="Y313" s="89"/>
      <c r="Z313" s="89"/>
    </row>
    <row r="314" ht="15.75" customHeight="1">
      <c r="A314" s="67" t="str">
        <f t="shared" si="213"/>
        <v>Ball Valve Handle1</v>
      </c>
      <c r="B314" s="81">
        <v>2.0</v>
      </c>
      <c r="C314" s="90" t="s">
        <v>84</v>
      </c>
      <c r="D314" s="92">
        <v>25.0</v>
      </c>
      <c r="E314" s="112" t="s">
        <v>990</v>
      </c>
      <c r="F314" s="56">
        <v>34.0</v>
      </c>
      <c r="G314" s="76">
        <f>IFERROR(__xludf.DUMMYFUNCTION("ArrayFormula(IFERROR(VLOOKUP(E314,IMPORTRANGE(""https://docs.google.com/spreadsheets/d/1xZyKy-UzMmtPDLpV5jQdYum1LtbR8XKDuasLSjmBRMI/edit#gid=1241094406"",""COMBINED DATA!E3:L""),{7,8},0)))"),0.0)</f>
        <v>0</v>
      </c>
      <c r="H314" s="76">
        <f>IFERROR(__xludf.DUMMYFUNCTION("""COMPUTED_VALUE"""),0.0)</f>
        <v>0</v>
      </c>
      <c r="I314" s="76">
        <f t="shared" si="214"/>
        <v>0</v>
      </c>
      <c r="J314" s="84" t="str">
        <f t="shared" si="215"/>
        <v/>
      </c>
      <c r="K314" s="85">
        <f t="shared" si="216"/>
        <v>0</v>
      </c>
      <c r="L314" s="85">
        <f t="shared" si="217"/>
        <v>0</v>
      </c>
      <c r="M314" s="85">
        <f t="shared" si="218"/>
        <v>0</v>
      </c>
      <c r="N314" s="85" t="str">
        <f t="shared" si="130"/>
        <v/>
      </c>
      <c r="O314" s="87">
        <v>34.0</v>
      </c>
      <c r="P314" s="89"/>
      <c r="Q314" s="89"/>
      <c r="R314" s="89"/>
      <c r="S314" s="89"/>
      <c r="T314" s="89"/>
      <c r="U314" s="89"/>
      <c r="V314" s="89"/>
      <c r="W314" s="89"/>
      <c r="X314" s="89"/>
      <c r="Y314" s="89"/>
      <c r="Z314" s="89"/>
    </row>
    <row r="315" ht="15.75" customHeight="1">
      <c r="A315" s="67" t="str">
        <f t="shared" si="213"/>
        <v>Ball Valve Handle1 1⁄4</v>
      </c>
      <c r="B315" s="81">
        <v>3.0</v>
      </c>
      <c r="C315" s="90" t="s">
        <v>55</v>
      </c>
      <c r="D315" s="92">
        <v>32.0</v>
      </c>
      <c r="E315" s="112" t="s">
        <v>993</v>
      </c>
      <c r="F315" s="56">
        <v>58.0</v>
      </c>
      <c r="G315" s="76">
        <f>IFERROR(__xludf.DUMMYFUNCTION("ArrayFormula(IFERROR(VLOOKUP(E315,IMPORTRANGE(""https://docs.google.com/spreadsheets/d/1xZyKy-UzMmtPDLpV5jQdYum1LtbR8XKDuasLSjmBRMI/edit#gid=1241094406"",""COMBINED DATA!E3:L""),{7,8},0)))"),0.0)</f>
        <v>0</v>
      </c>
      <c r="H315" s="76">
        <f>IFERROR(__xludf.DUMMYFUNCTION("""COMPUTED_VALUE"""),0.0)</f>
        <v>0</v>
      </c>
      <c r="I315" s="76">
        <f t="shared" si="214"/>
        <v>0</v>
      </c>
      <c r="J315" s="84" t="str">
        <f t="shared" si="215"/>
        <v/>
      </c>
      <c r="K315" s="85">
        <f t="shared" si="216"/>
        <v>0</v>
      </c>
      <c r="L315" s="85">
        <f t="shared" si="217"/>
        <v>0</v>
      </c>
      <c r="M315" s="85">
        <f t="shared" si="218"/>
        <v>0</v>
      </c>
      <c r="N315" s="85" t="str">
        <f t="shared" si="130"/>
        <v/>
      </c>
      <c r="O315" s="87">
        <v>58.0</v>
      </c>
      <c r="P315" s="89"/>
      <c r="Q315" s="89"/>
      <c r="R315" s="89"/>
      <c r="S315" s="89"/>
      <c r="T315" s="89"/>
      <c r="U315" s="89"/>
      <c r="V315" s="89"/>
      <c r="W315" s="89"/>
      <c r="X315" s="89"/>
      <c r="Y315" s="89"/>
      <c r="Z315" s="89"/>
    </row>
    <row r="316" ht="15.75" customHeight="1">
      <c r="A316" s="67" t="str">
        <f t="shared" si="213"/>
        <v>Ball Valve Handle1 1⁄2</v>
      </c>
      <c r="B316" s="81">
        <v>4.0</v>
      </c>
      <c r="C316" s="90" t="s">
        <v>56</v>
      </c>
      <c r="D316" s="92">
        <v>40.0</v>
      </c>
      <c r="E316" s="112" t="s">
        <v>999</v>
      </c>
      <c r="F316" s="56">
        <v>72.0</v>
      </c>
      <c r="G316" s="76">
        <f>IFERROR(__xludf.DUMMYFUNCTION("ArrayFormula(IFERROR(VLOOKUP(E316,IMPORTRANGE(""https://docs.google.com/spreadsheets/d/1xZyKy-UzMmtPDLpV5jQdYum1LtbR8XKDuasLSjmBRMI/edit#gid=1241094406"",""COMBINED DATA!E3:L""),{7,8},0)))"),0.0)</f>
        <v>0</v>
      </c>
      <c r="H316" s="76">
        <f>IFERROR(__xludf.DUMMYFUNCTION("""COMPUTED_VALUE"""),0.0)</f>
        <v>0</v>
      </c>
      <c r="I316" s="76">
        <f t="shared" si="214"/>
        <v>0</v>
      </c>
      <c r="J316" s="84" t="str">
        <f t="shared" si="215"/>
        <v/>
      </c>
      <c r="K316" s="85">
        <f t="shared" si="216"/>
        <v>0</v>
      </c>
      <c r="L316" s="85">
        <f t="shared" si="217"/>
        <v>0</v>
      </c>
      <c r="M316" s="85">
        <f t="shared" si="218"/>
        <v>0</v>
      </c>
      <c r="N316" s="85" t="str">
        <f t="shared" si="130"/>
        <v/>
      </c>
      <c r="O316" s="87">
        <v>72.0</v>
      </c>
      <c r="P316" s="89"/>
      <c r="Q316" s="89"/>
      <c r="R316" s="89"/>
      <c r="S316" s="89"/>
      <c r="T316" s="89"/>
      <c r="U316" s="89"/>
      <c r="V316" s="89"/>
      <c r="W316" s="89"/>
      <c r="X316" s="89"/>
      <c r="Y316" s="89"/>
      <c r="Z316" s="89"/>
    </row>
    <row r="317" ht="15.75" customHeight="1">
      <c r="A317" s="67" t="str">
        <f t="shared" si="213"/>
        <v>Ball Valve Handle2</v>
      </c>
      <c r="B317" s="81">
        <v>5.0</v>
      </c>
      <c r="C317" s="90" t="s">
        <v>107</v>
      </c>
      <c r="D317" s="92">
        <v>50.0</v>
      </c>
      <c r="E317" s="112" t="s">
        <v>1004</v>
      </c>
      <c r="F317" s="56">
        <v>108.0</v>
      </c>
      <c r="G317" s="76">
        <f>IFERROR(__xludf.DUMMYFUNCTION("ArrayFormula(IFERROR(VLOOKUP(E317,IMPORTRANGE(""https://docs.google.com/spreadsheets/d/1xZyKy-UzMmtPDLpV5jQdYum1LtbR8XKDuasLSjmBRMI/edit#gid=1241094406"",""COMBINED DATA!E3:L""),{7,8},0)))"),0.0)</f>
        <v>0</v>
      </c>
      <c r="H317" s="76">
        <f>IFERROR(__xludf.DUMMYFUNCTION("""COMPUTED_VALUE"""),0.0)</f>
        <v>0</v>
      </c>
      <c r="I317" s="76">
        <f t="shared" si="214"/>
        <v>0</v>
      </c>
      <c r="J317" s="84" t="str">
        <f t="shared" si="215"/>
        <v/>
      </c>
      <c r="K317" s="85">
        <f t="shared" si="216"/>
        <v>0</v>
      </c>
      <c r="L317" s="85">
        <f t="shared" si="217"/>
        <v>0</v>
      </c>
      <c r="M317" s="85">
        <f t="shared" si="218"/>
        <v>0</v>
      </c>
      <c r="N317" s="85" t="str">
        <f t="shared" si="130"/>
        <v/>
      </c>
      <c r="O317" s="87">
        <v>108.0</v>
      </c>
      <c r="P317" s="89"/>
      <c r="Q317" s="89"/>
      <c r="R317" s="89"/>
      <c r="S317" s="89"/>
      <c r="T317" s="89"/>
      <c r="U317" s="89"/>
      <c r="V317" s="89"/>
      <c r="W317" s="89"/>
      <c r="X317" s="89"/>
      <c r="Y317" s="89"/>
      <c r="Z317" s="89"/>
    </row>
    <row r="318">
      <c r="A318" s="100"/>
      <c r="B318" s="102" t="s">
        <v>11</v>
      </c>
      <c r="C318" s="45"/>
      <c r="D318" s="45"/>
      <c r="E318" s="46"/>
      <c r="F318" s="103">
        <f>SUM(F313:F317)</f>
        <v>296</v>
      </c>
      <c r="G318" s="104"/>
      <c r="H318" s="76" t="str">
        <f>IFERROR(__xludf.DUMMYFUNCTION("IFERROR(VLOOKUP(E318,IMPORTRANGE(""https://docs.google.com/spreadsheets/d/1xZyKy-UzMmtPDLpV5jQdYum1LtbR8XKDuasLSjmBRMI/edit#gid=1241094406"",""COMBINED DATA!E3:L""),8,0))"),"")</f>
        <v/>
      </c>
      <c r="I318" s="76"/>
      <c r="J318" s="84"/>
      <c r="K318" s="85"/>
      <c r="L318" s="85"/>
      <c r="M318" s="85"/>
      <c r="N318" s="85" t="str">
        <f t="shared" si="130"/>
        <v/>
      </c>
      <c r="O318" s="103">
        <f>SUM(O313:O317)</f>
        <v>296</v>
      </c>
      <c r="P318" s="89"/>
      <c r="Q318" s="89"/>
      <c r="R318" s="89"/>
      <c r="S318" s="89"/>
      <c r="T318" s="89"/>
      <c r="U318" s="89"/>
      <c r="V318" s="89"/>
      <c r="W318" s="89"/>
      <c r="X318" s="89"/>
      <c r="Y318" s="89"/>
      <c r="Z318" s="89"/>
    </row>
    <row r="319" ht="5.25" customHeight="1">
      <c r="A319" s="34"/>
      <c r="B319" s="15"/>
      <c r="C319" s="15"/>
      <c r="D319" s="15"/>
      <c r="E319" s="17"/>
      <c r="F319" s="15"/>
      <c r="G319" s="64"/>
      <c r="H319" s="76" t="str">
        <f>IFERROR(__xludf.DUMMYFUNCTION("IFERROR(VLOOKUP(E319,IMPORTRANGE(""https://docs.google.com/spreadsheets/d/1xZyKy-UzMmtPDLpV5jQdYum1LtbR8XKDuasLSjmBRMI/edit#gid=1241094406"",""COMBINED DATA!E3:L""),8,0))"),"")</f>
        <v/>
      </c>
      <c r="I319" s="76"/>
      <c r="J319" s="65"/>
      <c r="K319" s="85"/>
      <c r="L319" s="85"/>
      <c r="M319" s="85"/>
      <c r="N319" s="85" t="str">
        <f t="shared" si="130"/>
        <v/>
      </c>
      <c r="O319" s="89"/>
      <c r="P319" s="89"/>
      <c r="Q319" s="89"/>
      <c r="R319" s="89"/>
      <c r="S319" s="89"/>
      <c r="T319" s="89"/>
      <c r="U319" s="89"/>
      <c r="V319" s="89"/>
      <c r="W319" s="89"/>
      <c r="X319" s="89"/>
      <c r="Y319" s="89"/>
      <c r="Z319" s="89"/>
    </row>
    <row r="320" ht="22.5" customHeight="1">
      <c r="A320" s="34"/>
      <c r="B320" s="62" t="s">
        <v>1023</v>
      </c>
      <c r="C320" s="45"/>
      <c r="D320" s="45"/>
      <c r="E320" s="45"/>
      <c r="F320" s="46"/>
      <c r="G320" s="64"/>
      <c r="H320" s="76" t="str">
        <f>IFERROR(__xludf.DUMMYFUNCTION("IFERROR(VLOOKUP(E320,IMPORTRANGE(""https://docs.google.com/spreadsheets/d/1xZyKy-UzMmtPDLpV5jQdYum1LtbR8XKDuasLSjmBRMI/edit#gid=1241094406"",""COMBINED DATA!E3:L""),8,0))"),"")</f>
        <v/>
      </c>
      <c r="I320" s="76"/>
      <c r="J320" s="65"/>
      <c r="K320" s="85"/>
      <c r="L320" s="85"/>
      <c r="M320" s="85"/>
      <c r="N320" s="85" t="str">
        <f t="shared" si="130"/>
        <v/>
      </c>
      <c r="O320" s="89"/>
      <c r="P320" s="89"/>
      <c r="Q320" s="89"/>
      <c r="R320" s="89"/>
      <c r="S320" s="89"/>
      <c r="T320" s="89"/>
      <c r="U320" s="89"/>
      <c r="V320" s="89"/>
      <c r="W320" s="89"/>
      <c r="X320" s="89"/>
      <c r="Y320" s="89"/>
      <c r="Z320" s="89"/>
    </row>
    <row r="321" ht="15.75" customHeight="1">
      <c r="A321" s="67" t="str">
        <f t="shared" ref="A321:A323" si="219">$B$320&amp;C321</f>
        <v>Flange2 1⁄2</v>
      </c>
      <c r="B321" s="81">
        <v>1.0</v>
      </c>
      <c r="C321" s="68" t="s">
        <v>69</v>
      </c>
      <c r="D321" s="110">
        <v>65.0</v>
      </c>
      <c r="E321" s="111" t="s">
        <v>1006</v>
      </c>
      <c r="F321" s="56">
        <v>1280.0</v>
      </c>
      <c r="G321" s="76">
        <f>IFERROR(__xludf.DUMMYFUNCTION("ArrayFormula(IFERROR(VLOOKUP(E321,IMPORTRANGE(""https://docs.google.com/spreadsheets/d/1xZyKy-UzMmtPDLpV5jQdYum1LtbR8XKDuasLSjmBRMI/edit#gid=1241094406"",""COMBINED DATA!E3:L""),{7,8},0)))"),0.0)</f>
        <v>0</v>
      </c>
      <c r="H321" s="76">
        <f>IFERROR(__xludf.DUMMYFUNCTION("""COMPUTED_VALUE"""),0.0)</f>
        <v>0</v>
      </c>
      <c r="I321" s="76">
        <f t="shared" ref="I321:I323" si="220">G321+H321</f>
        <v>0</v>
      </c>
      <c r="J321" s="84" t="str">
        <f t="shared" ref="J321:J323" si="221">IFERROR(F321/$I321,"")</f>
        <v/>
      </c>
      <c r="K321" s="85">
        <f t="shared" ref="K321:K323" si="222">IFERROR(G321*250,)</f>
        <v>0</v>
      </c>
      <c r="L321" s="85">
        <f t="shared" ref="L321:L323" si="223">IFERROR(H321*750,"")</f>
        <v>0</v>
      </c>
      <c r="M321" s="85">
        <f t="shared" ref="M321:M323" si="224">K321+L321</f>
        <v>0</v>
      </c>
      <c r="N321" s="85" t="str">
        <f t="shared" si="130"/>
        <v/>
      </c>
      <c r="O321" s="60">
        <v>1280.0</v>
      </c>
      <c r="P321" s="89"/>
      <c r="Q321" s="89"/>
      <c r="R321" s="89"/>
      <c r="S321" s="89"/>
      <c r="T321" s="89"/>
      <c r="U321" s="89"/>
      <c r="V321" s="89"/>
      <c r="W321" s="89"/>
      <c r="X321" s="89"/>
      <c r="Y321" s="89"/>
      <c r="Z321" s="89"/>
    </row>
    <row r="322" ht="15.75" customHeight="1">
      <c r="A322" s="67" t="str">
        <f t="shared" si="219"/>
        <v>Flange3</v>
      </c>
      <c r="B322" s="81">
        <v>2.0</v>
      </c>
      <c r="C322" s="90">
        <v>3.0</v>
      </c>
      <c r="D322" s="127">
        <v>80.0</v>
      </c>
      <c r="E322" s="112" t="s">
        <v>1008</v>
      </c>
      <c r="F322" s="56">
        <v>1660.0</v>
      </c>
      <c r="G322" s="76">
        <f>IFERROR(__xludf.DUMMYFUNCTION("ArrayFormula(IFERROR(VLOOKUP(E322,IMPORTRANGE(""https://docs.google.com/spreadsheets/d/1xZyKy-UzMmtPDLpV5jQdYum1LtbR8XKDuasLSjmBRMI/edit#gid=1241094406"",""COMBINED DATA!E3:L""),{7,8},0)))"),0.692)</f>
        <v>0.692</v>
      </c>
      <c r="H322" s="76">
        <f>IFERROR(__xludf.DUMMYFUNCTION("""COMPUTED_VALUE"""),0.0)</f>
        <v>0</v>
      </c>
      <c r="I322" s="76">
        <f t="shared" si="220"/>
        <v>0.692</v>
      </c>
      <c r="J322" s="84">
        <f t="shared" si="221"/>
        <v>2398.843931</v>
      </c>
      <c r="K322" s="85">
        <f t="shared" si="222"/>
        <v>173</v>
      </c>
      <c r="L322" s="85">
        <f t="shared" si="223"/>
        <v>0</v>
      </c>
      <c r="M322" s="85">
        <f t="shared" si="224"/>
        <v>173</v>
      </c>
      <c r="N322" s="85">
        <f t="shared" si="130"/>
        <v>9.595375723</v>
      </c>
      <c r="O322" s="60">
        <v>1660.0</v>
      </c>
      <c r="P322" s="89"/>
      <c r="Q322" s="89"/>
      <c r="R322" s="89"/>
      <c r="S322" s="89"/>
      <c r="T322" s="89"/>
      <c r="U322" s="89"/>
      <c r="V322" s="89"/>
      <c r="W322" s="89"/>
      <c r="X322" s="89"/>
      <c r="Y322" s="89"/>
      <c r="Z322" s="89"/>
    </row>
    <row r="323" ht="15.75" customHeight="1">
      <c r="A323" s="67" t="str">
        <f t="shared" si="219"/>
        <v>Flange4</v>
      </c>
      <c r="B323" s="81">
        <v>3.0</v>
      </c>
      <c r="C323" s="90">
        <v>4.0</v>
      </c>
      <c r="D323" s="127">
        <v>100.0</v>
      </c>
      <c r="E323" s="112" t="s">
        <v>1010</v>
      </c>
      <c r="F323" s="56">
        <v>2480.0</v>
      </c>
      <c r="G323" s="76">
        <f>IFERROR(__xludf.DUMMYFUNCTION("ArrayFormula(IFERROR(VLOOKUP(E323,IMPORTRANGE(""https://docs.google.com/spreadsheets/d/1xZyKy-UzMmtPDLpV5jQdYum1LtbR8XKDuasLSjmBRMI/edit#gid=1241094406"",""COMBINED DATA!E3:L""),{7,8},0)))"),1.277)</f>
        <v>1.277</v>
      </c>
      <c r="H323" s="76">
        <f>IFERROR(__xludf.DUMMYFUNCTION("""COMPUTED_VALUE"""),0.0)</f>
        <v>0</v>
      </c>
      <c r="I323" s="76">
        <f t="shared" si="220"/>
        <v>1.277</v>
      </c>
      <c r="J323" s="84">
        <f t="shared" si="221"/>
        <v>1942.051684</v>
      </c>
      <c r="K323" s="85">
        <f t="shared" si="222"/>
        <v>319.25</v>
      </c>
      <c r="L323" s="85">
        <f t="shared" si="223"/>
        <v>0</v>
      </c>
      <c r="M323" s="85">
        <f t="shared" si="224"/>
        <v>319.25</v>
      </c>
      <c r="N323" s="85">
        <f t="shared" si="130"/>
        <v>7.768206735</v>
      </c>
      <c r="O323" s="60">
        <v>2480.0</v>
      </c>
      <c r="P323" s="89"/>
      <c r="Q323" s="89"/>
      <c r="R323" s="89"/>
      <c r="S323" s="89"/>
      <c r="T323" s="89"/>
      <c r="U323" s="89"/>
      <c r="V323" s="89"/>
      <c r="W323" s="89"/>
      <c r="X323" s="89"/>
      <c r="Y323" s="89"/>
      <c r="Z323" s="89"/>
    </row>
    <row r="324">
      <c r="A324" s="100"/>
      <c r="B324" s="102" t="s">
        <v>11</v>
      </c>
      <c r="C324" s="45"/>
      <c r="D324" s="45"/>
      <c r="E324" s="46"/>
      <c r="F324" s="103">
        <f>SUM(F321:F323)</f>
        <v>5420</v>
      </c>
      <c r="G324" s="104"/>
      <c r="H324" s="76" t="str">
        <f>IFERROR(__xludf.DUMMYFUNCTION("IFERROR(VLOOKUP(E324,IMPORTRANGE(""https://docs.google.com/spreadsheets/d/1xZyKy-UzMmtPDLpV5jQdYum1LtbR8XKDuasLSjmBRMI/edit#gid=1241094406"",""COMBINED DATA!E3:L""),8,0))"),"")</f>
        <v/>
      </c>
      <c r="I324" s="76"/>
      <c r="J324" s="84"/>
      <c r="K324" s="85"/>
      <c r="L324" s="85"/>
      <c r="M324" s="85"/>
      <c r="N324" s="85" t="str">
        <f t="shared" si="130"/>
        <v/>
      </c>
      <c r="O324" s="103">
        <f>SUM(O321:O323)</f>
        <v>5420</v>
      </c>
      <c r="P324" s="89"/>
      <c r="Q324" s="89"/>
      <c r="R324" s="89"/>
      <c r="S324" s="89"/>
      <c r="T324" s="89"/>
      <c r="U324" s="89"/>
      <c r="V324" s="89"/>
      <c r="W324" s="89"/>
      <c r="X324" s="89"/>
      <c r="Y324" s="89"/>
      <c r="Z324" s="89"/>
    </row>
    <row r="325" ht="6.0" customHeight="1">
      <c r="A325" s="34"/>
      <c r="B325" s="15"/>
      <c r="C325" s="15"/>
      <c r="D325" s="15"/>
      <c r="E325" s="17"/>
      <c r="F325" s="15"/>
      <c r="G325" s="64"/>
      <c r="H325" s="76" t="str">
        <f>IFERROR(__xludf.DUMMYFUNCTION("IFERROR(VLOOKUP(E325,IMPORTRANGE(""https://docs.google.com/spreadsheets/d/1xZyKy-UzMmtPDLpV5jQdYum1LtbR8XKDuasLSjmBRMI/edit#gid=1241094406"",""COMBINED DATA!E3:L""),8,0))"),"")</f>
        <v/>
      </c>
      <c r="I325" s="76"/>
      <c r="J325" s="84"/>
      <c r="K325" s="85"/>
      <c r="L325" s="85"/>
      <c r="M325" s="85"/>
      <c r="N325" s="85" t="str">
        <f t="shared" si="130"/>
        <v/>
      </c>
      <c r="O325" s="89"/>
      <c r="P325" s="89"/>
      <c r="Q325" s="89"/>
      <c r="R325" s="89"/>
      <c r="S325" s="89"/>
      <c r="T325" s="89"/>
      <c r="U325" s="89"/>
      <c r="V325" s="89"/>
      <c r="W325" s="89"/>
      <c r="X325" s="89"/>
      <c r="Y325" s="89"/>
      <c r="Z325" s="89"/>
    </row>
    <row r="326" ht="22.5" customHeight="1">
      <c r="A326" s="34"/>
      <c r="B326" s="62" t="s">
        <v>1032</v>
      </c>
      <c r="C326" s="45"/>
      <c r="D326" s="45"/>
      <c r="E326" s="45"/>
      <c r="F326" s="46"/>
      <c r="G326" s="64"/>
      <c r="H326" s="76" t="str">
        <f>IFERROR(__xludf.DUMMYFUNCTION("IFERROR(VLOOKUP(E326,IMPORTRANGE(""https://docs.google.com/spreadsheets/d/1xZyKy-UzMmtPDLpV5jQdYum1LtbR8XKDuasLSjmBRMI/edit#gid=1241094406"",""COMBINED DATA!E3:L""),8,0))"),"")</f>
        <v/>
      </c>
      <c r="I326" s="76"/>
      <c r="J326" s="84"/>
      <c r="K326" s="85"/>
      <c r="L326" s="85"/>
      <c r="M326" s="85"/>
      <c r="N326" s="85" t="str">
        <f t="shared" si="130"/>
        <v/>
      </c>
      <c r="O326" s="89"/>
      <c r="P326" s="89"/>
      <c r="Q326" s="89"/>
      <c r="R326" s="89"/>
      <c r="S326" s="89"/>
      <c r="T326" s="89"/>
      <c r="U326" s="89"/>
      <c r="V326" s="89"/>
      <c r="W326" s="89"/>
      <c r="X326" s="89"/>
      <c r="Y326" s="89"/>
      <c r="Z326" s="89"/>
    </row>
    <row r="327" ht="15.75" customHeight="1">
      <c r="A327" s="67" t="str">
        <f t="shared" ref="A327:A329" si="225">$B$326&amp;C327</f>
        <v>Pipe Clamp1⁄2</v>
      </c>
      <c r="B327" s="81">
        <v>1.0</v>
      </c>
      <c r="C327" s="68" t="s">
        <v>43</v>
      </c>
      <c r="D327" s="110">
        <v>15.0</v>
      </c>
      <c r="E327" s="111" t="s">
        <v>1012</v>
      </c>
      <c r="F327" s="56">
        <v>4.2</v>
      </c>
      <c r="G327" s="76">
        <f>IFERROR(__xludf.DUMMYFUNCTION("ArrayFormula(IFERROR(VLOOKUP(E327,IMPORTRANGE(""https://docs.google.com/spreadsheets/d/1xZyKy-UzMmtPDLpV5jQdYum1LtbR8XKDuasLSjmBRMI/edit#gid=1241094406"",""COMBINED DATA!E3:L""),{7,8},0)))"),0.002)</f>
        <v>0.002</v>
      </c>
      <c r="H327" s="58">
        <f>IFERROR(__xludf.DUMMYFUNCTION("""COMPUTED_VALUE"""),0.0)</f>
        <v>0</v>
      </c>
      <c r="I327" s="76">
        <f t="shared" ref="I327:I329" si="226">G327+H327</f>
        <v>0.002</v>
      </c>
      <c r="J327" s="84">
        <f t="shared" ref="J327:J329" si="227">IFERROR(F327/$I327,"")</f>
        <v>2100</v>
      </c>
      <c r="K327" s="85">
        <f t="shared" ref="K327:K329" si="228">IFERROR(G327*250,)</f>
        <v>0.5</v>
      </c>
      <c r="L327" s="85">
        <f t="shared" ref="L327:L329" si="229">IFERROR(H327*750,"")</f>
        <v>0</v>
      </c>
      <c r="M327" s="85">
        <f t="shared" ref="M327:M329" si="230">K327+L327</f>
        <v>0.5</v>
      </c>
      <c r="N327" s="85">
        <f t="shared" si="130"/>
        <v>8.4</v>
      </c>
      <c r="O327" s="87">
        <v>4.2</v>
      </c>
      <c r="P327" s="89"/>
      <c r="Q327" s="89"/>
      <c r="R327" s="89"/>
      <c r="S327" s="89"/>
      <c r="T327" s="89"/>
      <c r="U327" s="89"/>
      <c r="V327" s="89"/>
      <c r="W327" s="89"/>
      <c r="X327" s="89"/>
      <c r="Y327" s="89"/>
      <c r="Z327" s="89"/>
    </row>
    <row r="328" ht="15.75" customHeight="1">
      <c r="A328" s="67" t="str">
        <f t="shared" si="225"/>
        <v>Pipe Clamp3⁄4</v>
      </c>
      <c r="B328" s="81">
        <v>2.0</v>
      </c>
      <c r="C328" s="90" t="s">
        <v>51</v>
      </c>
      <c r="D328" s="127">
        <v>20.0</v>
      </c>
      <c r="E328" s="112" t="s">
        <v>1015</v>
      </c>
      <c r="F328" s="56">
        <v>4.6</v>
      </c>
      <c r="G328" s="76">
        <f>IFERROR(__xludf.DUMMYFUNCTION("ArrayFormula(IFERROR(VLOOKUP(E328,IMPORTRANGE(""https://docs.google.com/spreadsheets/d/1xZyKy-UzMmtPDLpV5jQdYum1LtbR8XKDuasLSjmBRMI/edit#gid=1241094406"",""COMBINED DATA!E3:L""),{7,8},0)))"),0.00151)</f>
        <v>0.00151</v>
      </c>
      <c r="H328" s="58">
        <f>IFERROR(__xludf.DUMMYFUNCTION("""COMPUTED_VALUE"""),0.0)</f>
        <v>0</v>
      </c>
      <c r="I328" s="76">
        <f t="shared" si="226"/>
        <v>0.00151</v>
      </c>
      <c r="J328" s="84">
        <f t="shared" si="227"/>
        <v>3046.357616</v>
      </c>
      <c r="K328" s="85">
        <f t="shared" si="228"/>
        <v>0.3775</v>
      </c>
      <c r="L328" s="85">
        <f t="shared" si="229"/>
        <v>0</v>
      </c>
      <c r="M328" s="85">
        <f t="shared" si="230"/>
        <v>0.3775</v>
      </c>
      <c r="N328" s="85">
        <f t="shared" si="130"/>
        <v>12.18543046</v>
      </c>
      <c r="O328" s="87">
        <v>4.6</v>
      </c>
      <c r="P328" s="89"/>
      <c r="Q328" s="89"/>
      <c r="R328" s="89"/>
      <c r="S328" s="89"/>
      <c r="T328" s="89"/>
      <c r="U328" s="89"/>
      <c r="V328" s="89"/>
      <c r="W328" s="89"/>
      <c r="X328" s="89"/>
      <c r="Y328" s="89"/>
      <c r="Z328" s="89"/>
    </row>
    <row r="329" ht="15.75" customHeight="1">
      <c r="A329" s="67" t="str">
        <f t="shared" si="225"/>
        <v>Pipe Clamp1</v>
      </c>
      <c r="B329" s="81">
        <v>3.0</v>
      </c>
      <c r="C329" s="90">
        <v>1.0</v>
      </c>
      <c r="D329" s="127">
        <v>25.0</v>
      </c>
      <c r="E329" s="112" t="s">
        <v>1017</v>
      </c>
      <c r="F329" s="56">
        <v>5.6</v>
      </c>
      <c r="G329" s="76">
        <f>IFERROR(__xludf.DUMMYFUNCTION("ArrayFormula(IFERROR(VLOOKUP(E329,IMPORTRANGE(""https://docs.google.com/spreadsheets/d/1xZyKy-UzMmtPDLpV5jQdYum1LtbR8XKDuasLSjmBRMI/edit#gid=1241094406"",""COMBINED DATA!E3:L""),{7,8},0)))"),0.00212)</f>
        <v>0.00212</v>
      </c>
      <c r="H329" s="58">
        <f>IFERROR(__xludf.DUMMYFUNCTION("""COMPUTED_VALUE"""),0.0)</f>
        <v>0</v>
      </c>
      <c r="I329" s="76">
        <f t="shared" si="226"/>
        <v>0.00212</v>
      </c>
      <c r="J329" s="84">
        <f t="shared" si="227"/>
        <v>2641.509434</v>
      </c>
      <c r="K329" s="85">
        <f t="shared" si="228"/>
        <v>0.53</v>
      </c>
      <c r="L329" s="85">
        <f t="shared" si="229"/>
        <v>0</v>
      </c>
      <c r="M329" s="85">
        <f t="shared" si="230"/>
        <v>0.53</v>
      </c>
      <c r="N329" s="85">
        <f t="shared" si="130"/>
        <v>10.56603774</v>
      </c>
      <c r="O329" s="87">
        <v>5.6</v>
      </c>
      <c r="P329" s="89"/>
      <c r="Q329" s="89"/>
      <c r="R329" s="89"/>
      <c r="S329" s="89"/>
      <c r="T329" s="89"/>
      <c r="U329" s="89"/>
      <c r="V329" s="89"/>
      <c r="W329" s="89"/>
      <c r="X329" s="89"/>
      <c r="Y329" s="89"/>
      <c r="Z329" s="89"/>
    </row>
    <row r="330">
      <c r="A330" s="100"/>
      <c r="B330" s="102" t="s">
        <v>11</v>
      </c>
      <c r="C330" s="45"/>
      <c r="D330" s="45"/>
      <c r="E330" s="46"/>
      <c r="F330" s="103">
        <f>SUM(F327:F329)</f>
        <v>14.4</v>
      </c>
      <c r="G330" s="104"/>
      <c r="H330" s="76" t="str">
        <f>IFERROR(__xludf.DUMMYFUNCTION("IFERROR(VLOOKUP(E330,IMPORTRANGE(""https://docs.google.com/spreadsheets/d/1xZyKy-UzMmtPDLpV5jQdYum1LtbR8XKDuasLSjmBRMI/edit#gid=1241094406"",""COMBINED DATA!E3:L""),8,0))"),"")</f>
        <v/>
      </c>
      <c r="I330" s="76"/>
      <c r="J330" s="84"/>
      <c r="K330" s="85"/>
      <c r="L330" s="85"/>
      <c r="M330" s="85"/>
      <c r="N330" s="85" t="str">
        <f t="shared" si="130"/>
        <v/>
      </c>
      <c r="O330" s="103">
        <f>SUM(O327:O329)</f>
        <v>14.4</v>
      </c>
      <c r="P330" s="89"/>
      <c r="Q330" s="89"/>
      <c r="R330" s="89"/>
      <c r="S330" s="89"/>
      <c r="T330" s="89"/>
      <c r="U330" s="89"/>
      <c r="V330" s="89"/>
      <c r="W330" s="89"/>
      <c r="X330" s="89"/>
      <c r="Y330" s="89"/>
      <c r="Z330" s="89"/>
    </row>
    <row r="331" ht="5.25" customHeight="1">
      <c r="A331" s="34"/>
      <c r="B331" s="15"/>
      <c r="C331" s="15"/>
      <c r="D331" s="15"/>
      <c r="E331" s="17"/>
      <c r="F331" s="15"/>
      <c r="G331" s="64"/>
      <c r="H331" s="76" t="str">
        <f>IFERROR(__xludf.DUMMYFUNCTION("IFERROR(VLOOKUP(E331,IMPORTRANGE(""https://docs.google.com/spreadsheets/d/1xZyKy-UzMmtPDLpV5jQdYum1LtbR8XKDuasLSjmBRMI/edit#gid=1241094406"",""COMBINED DATA!E3:L""),8,0))"),"")</f>
        <v/>
      </c>
      <c r="I331" s="76"/>
      <c r="J331" s="65"/>
      <c r="K331" s="85"/>
      <c r="L331" s="85"/>
      <c r="M331" s="85"/>
      <c r="N331" s="85" t="str">
        <f t="shared" si="130"/>
        <v/>
      </c>
      <c r="O331" s="89"/>
      <c r="P331" s="89"/>
      <c r="Q331" s="89"/>
      <c r="R331" s="89"/>
      <c r="S331" s="89"/>
      <c r="T331" s="89"/>
      <c r="U331" s="89"/>
      <c r="V331" s="89"/>
      <c r="W331" s="89"/>
      <c r="X331" s="89"/>
      <c r="Y331" s="89"/>
      <c r="Z331" s="89"/>
    </row>
    <row r="332" ht="22.5" customHeight="1">
      <c r="A332" s="34"/>
      <c r="B332" s="62" t="s">
        <v>1040</v>
      </c>
      <c r="C332" s="45"/>
      <c r="D332" s="45"/>
      <c r="E332" s="45"/>
      <c r="F332" s="46"/>
      <c r="G332" s="64"/>
      <c r="H332" s="76" t="str">
        <f>IFERROR(__xludf.DUMMYFUNCTION("IFERROR(VLOOKUP(E332,IMPORTRANGE(""https://docs.google.com/spreadsheets/d/1xZyKy-UzMmtPDLpV5jQdYum1LtbR8XKDuasLSjmBRMI/edit#gid=1241094406"",""COMBINED DATA!E3:L""),8,0))"),"")</f>
        <v/>
      </c>
      <c r="I332" s="76"/>
      <c r="J332" s="65"/>
      <c r="K332" s="85"/>
      <c r="L332" s="85"/>
      <c r="M332" s="85"/>
      <c r="N332" s="85" t="str">
        <f t="shared" si="130"/>
        <v/>
      </c>
      <c r="O332" s="89"/>
      <c r="P332" s="89"/>
      <c r="Q332" s="89"/>
      <c r="R332" s="89"/>
      <c r="S332" s="89"/>
      <c r="T332" s="89"/>
      <c r="U332" s="89"/>
      <c r="V332" s="89"/>
      <c r="W332" s="89"/>
      <c r="X332" s="89"/>
      <c r="Y332" s="89"/>
      <c r="Z332" s="89"/>
    </row>
    <row r="333" ht="15.75" customHeight="1">
      <c r="A333" s="67" t="str">
        <f t="shared" ref="A333:A338" si="231">$B$332&amp;C333</f>
        <v>Pipe Clamp (Heavy Saddle with Powder Coating)1⁄2</v>
      </c>
      <c r="B333" s="81">
        <v>1.0</v>
      </c>
      <c r="C333" s="68" t="s">
        <v>43</v>
      </c>
      <c r="D333" s="70">
        <v>15.0</v>
      </c>
      <c r="E333" s="111" t="s">
        <v>1019</v>
      </c>
      <c r="F333" s="56">
        <v>10.4</v>
      </c>
      <c r="G333" s="76">
        <v>0.0</v>
      </c>
      <c r="H333" s="76">
        <v>0.0</v>
      </c>
      <c r="I333" s="76">
        <f t="shared" ref="I333:I338" si="232">G333+H333</f>
        <v>0</v>
      </c>
      <c r="J333" s="84" t="str">
        <f t="shared" ref="J333:J338" si="233">IFERROR(F333/$I333,"")</f>
        <v/>
      </c>
      <c r="K333" s="85">
        <f t="shared" ref="K333:K338" si="234">IFERROR(G333*250,)</f>
        <v>0</v>
      </c>
      <c r="L333" s="85">
        <f t="shared" ref="L333:L338" si="235">IFERROR(H333*750,"")</f>
        <v>0</v>
      </c>
      <c r="M333" s="286">
        <v>3.34</v>
      </c>
      <c r="N333" s="85">
        <f t="shared" si="130"/>
        <v>3.113772455</v>
      </c>
      <c r="O333" s="60">
        <v>10.4</v>
      </c>
      <c r="P333" s="89"/>
      <c r="Q333" s="89"/>
      <c r="R333" s="89"/>
      <c r="S333" s="89"/>
      <c r="T333" s="89"/>
      <c r="U333" s="89"/>
      <c r="V333" s="89"/>
      <c r="W333" s="89"/>
      <c r="X333" s="89"/>
      <c r="Y333" s="89"/>
      <c r="Z333" s="89"/>
    </row>
    <row r="334" ht="15.75" customHeight="1">
      <c r="A334" s="67" t="str">
        <f t="shared" si="231"/>
        <v>Pipe Clamp (Heavy Saddle with Powder Coating)3⁄4</v>
      </c>
      <c r="B334" s="81">
        <v>2.0</v>
      </c>
      <c r="C334" s="90" t="s">
        <v>51</v>
      </c>
      <c r="D334" s="92">
        <v>20.0</v>
      </c>
      <c r="E334" s="112" t="s">
        <v>1021</v>
      </c>
      <c r="F334" s="56">
        <v>11.9</v>
      </c>
      <c r="G334" s="76">
        <v>0.0</v>
      </c>
      <c r="H334" s="76">
        <v>0.0</v>
      </c>
      <c r="I334" s="76">
        <f t="shared" si="232"/>
        <v>0</v>
      </c>
      <c r="J334" s="84" t="str">
        <f t="shared" si="233"/>
        <v/>
      </c>
      <c r="K334" s="85">
        <f t="shared" si="234"/>
        <v>0</v>
      </c>
      <c r="L334" s="85">
        <f t="shared" si="235"/>
        <v>0</v>
      </c>
      <c r="M334" s="286">
        <v>3.63</v>
      </c>
      <c r="N334" s="85">
        <f t="shared" si="130"/>
        <v>3.278236915</v>
      </c>
      <c r="O334" s="60">
        <v>11.9</v>
      </c>
      <c r="P334" s="88"/>
      <c r="Q334" s="88"/>
      <c r="R334" s="89"/>
      <c r="S334" s="88"/>
      <c r="T334" s="88"/>
      <c r="U334" s="88"/>
      <c r="V334" s="88"/>
      <c r="W334" s="88"/>
      <c r="X334" s="88"/>
      <c r="Y334" s="88"/>
      <c r="Z334" s="88"/>
    </row>
    <row r="335" ht="15.75" customHeight="1">
      <c r="A335" s="67" t="str">
        <f t="shared" si="231"/>
        <v>Pipe Clamp (Heavy Saddle with Powder Coating)1</v>
      </c>
      <c r="B335" s="81">
        <v>3.0</v>
      </c>
      <c r="C335" s="90" t="s">
        <v>84</v>
      </c>
      <c r="D335" s="92">
        <v>25.0</v>
      </c>
      <c r="E335" s="112" t="s">
        <v>1024</v>
      </c>
      <c r="F335" s="56">
        <v>13.9</v>
      </c>
      <c r="G335" s="76">
        <v>0.0</v>
      </c>
      <c r="H335" s="76">
        <v>0.0</v>
      </c>
      <c r="I335" s="76">
        <f t="shared" si="232"/>
        <v>0</v>
      </c>
      <c r="J335" s="84" t="str">
        <f t="shared" si="233"/>
        <v/>
      </c>
      <c r="K335" s="85">
        <f t="shared" si="234"/>
        <v>0</v>
      </c>
      <c r="L335" s="85">
        <f t="shared" si="235"/>
        <v>0</v>
      </c>
      <c r="M335" s="286">
        <v>3.99</v>
      </c>
      <c r="N335" s="85">
        <f t="shared" si="130"/>
        <v>3.483709273</v>
      </c>
      <c r="O335" s="60">
        <v>13.9</v>
      </c>
      <c r="P335" s="88"/>
      <c r="Q335" s="88"/>
      <c r="R335" s="89"/>
      <c r="S335" s="88"/>
      <c r="T335" s="88"/>
      <c r="U335" s="88"/>
      <c r="V335" s="88"/>
      <c r="W335" s="88"/>
      <c r="X335" s="88"/>
      <c r="Y335" s="88"/>
      <c r="Z335" s="88"/>
    </row>
    <row r="336" ht="15.75" customHeight="1">
      <c r="A336" s="67" t="str">
        <f t="shared" si="231"/>
        <v>Pipe Clamp (Heavy Saddle with Powder Coating)1 1⁄4</v>
      </c>
      <c r="B336" s="81">
        <v>4.0</v>
      </c>
      <c r="C336" s="90" t="s">
        <v>55</v>
      </c>
      <c r="D336" s="92">
        <v>32.0</v>
      </c>
      <c r="E336" s="112" t="s">
        <v>1026</v>
      </c>
      <c r="F336" s="56">
        <v>14.9</v>
      </c>
      <c r="G336" s="76">
        <v>0.0</v>
      </c>
      <c r="H336" s="76">
        <v>0.0</v>
      </c>
      <c r="I336" s="76">
        <f t="shared" si="232"/>
        <v>0</v>
      </c>
      <c r="J336" s="84" t="str">
        <f t="shared" si="233"/>
        <v/>
      </c>
      <c r="K336" s="85">
        <f t="shared" si="234"/>
        <v>0</v>
      </c>
      <c r="L336" s="85">
        <f t="shared" si="235"/>
        <v>0</v>
      </c>
      <c r="M336" s="286">
        <v>4.28</v>
      </c>
      <c r="N336" s="85">
        <f t="shared" si="130"/>
        <v>3.481308411</v>
      </c>
      <c r="O336" s="60">
        <v>14.9</v>
      </c>
      <c r="P336" s="88"/>
      <c r="Q336" s="88"/>
      <c r="R336" s="89"/>
      <c r="S336" s="88"/>
      <c r="T336" s="88"/>
      <c r="U336" s="88"/>
      <c r="V336" s="88"/>
      <c r="W336" s="88"/>
      <c r="X336" s="88"/>
      <c r="Y336" s="88"/>
      <c r="Z336" s="88"/>
    </row>
    <row r="337" ht="15.75" customHeight="1">
      <c r="A337" s="67" t="str">
        <f t="shared" si="231"/>
        <v>Pipe Clamp (Heavy Saddle with Powder Coating)1 1⁄2</v>
      </c>
      <c r="B337" s="81">
        <v>5.0</v>
      </c>
      <c r="C337" s="90" t="s">
        <v>56</v>
      </c>
      <c r="D337" s="92">
        <v>40.0</v>
      </c>
      <c r="E337" s="112" t="s">
        <v>1028</v>
      </c>
      <c r="F337" s="56">
        <v>15.9</v>
      </c>
      <c r="G337" s="76">
        <v>0.0</v>
      </c>
      <c r="H337" s="76">
        <v>0.0</v>
      </c>
      <c r="I337" s="76">
        <f t="shared" si="232"/>
        <v>0</v>
      </c>
      <c r="J337" s="84" t="str">
        <f t="shared" si="233"/>
        <v/>
      </c>
      <c r="K337" s="85">
        <f t="shared" si="234"/>
        <v>0</v>
      </c>
      <c r="L337" s="85">
        <f t="shared" si="235"/>
        <v>0</v>
      </c>
      <c r="M337" s="286">
        <v>4.6</v>
      </c>
      <c r="N337" s="85">
        <f t="shared" si="130"/>
        <v>3.456521739</v>
      </c>
      <c r="O337" s="60">
        <v>15.9</v>
      </c>
      <c r="P337" s="88"/>
      <c r="Q337" s="88"/>
      <c r="R337" s="89"/>
      <c r="S337" s="88"/>
      <c r="T337" s="88"/>
      <c r="U337" s="88"/>
      <c r="V337" s="88"/>
      <c r="W337" s="88"/>
      <c r="X337" s="88"/>
      <c r="Y337" s="88"/>
      <c r="Z337" s="88"/>
    </row>
    <row r="338" ht="15.75" customHeight="1">
      <c r="A338" s="67" t="str">
        <f t="shared" si="231"/>
        <v>Pipe Clamp (Heavy Saddle with Powder Coating)2</v>
      </c>
      <c r="B338" s="81">
        <v>6.0</v>
      </c>
      <c r="C338" s="90" t="s">
        <v>107</v>
      </c>
      <c r="D338" s="92">
        <v>50.0</v>
      </c>
      <c r="E338" s="112" t="s">
        <v>1030</v>
      </c>
      <c r="F338" s="56">
        <v>23.8</v>
      </c>
      <c r="G338" s="76">
        <v>0.0</v>
      </c>
      <c r="H338" s="76">
        <v>0.0</v>
      </c>
      <c r="I338" s="76">
        <f t="shared" si="232"/>
        <v>0</v>
      </c>
      <c r="J338" s="84" t="str">
        <f t="shared" si="233"/>
        <v/>
      </c>
      <c r="K338" s="85">
        <f t="shared" si="234"/>
        <v>0</v>
      </c>
      <c r="L338" s="85">
        <f t="shared" si="235"/>
        <v>0</v>
      </c>
      <c r="M338" s="286">
        <v>5.27</v>
      </c>
      <c r="N338" s="85">
        <f t="shared" si="130"/>
        <v>4.516129032</v>
      </c>
      <c r="O338" s="60">
        <v>23.8</v>
      </c>
      <c r="P338" s="89"/>
      <c r="Q338" s="89"/>
      <c r="R338" s="89"/>
      <c r="S338" s="89"/>
      <c r="T338" s="89"/>
      <c r="U338" s="89"/>
      <c r="V338" s="89"/>
      <c r="W338" s="89"/>
      <c r="X338" s="89"/>
      <c r="Y338" s="89"/>
      <c r="Z338" s="89"/>
    </row>
    <row r="339">
      <c r="A339" s="100"/>
      <c r="B339" s="102" t="s">
        <v>11</v>
      </c>
      <c r="C339" s="45"/>
      <c r="D339" s="45"/>
      <c r="E339" s="46"/>
      <c r="F339" s="103">
        <f>SUM(F333:F338)</f>
        <v>90.8</v>
      </c>
      <c r="G339" s="104"/>
      <c r="H339" s="76" t="str">
        <f>IFERROR(__xludf.DUMMYFUNCTION("IFERROR(VLOOKUP(E339,IMPORTRANGE(""https://docs.google.com/spreadsheets/d/1xZyKy-UzMmtPDLpV5jQdYum1LtbR8XKDuasLSjmBRMI/edit#gid=1241094406"",""COMBINED DATA!E3:L""),8,0))"),"")</f>
        <v/>
      </c>
      <c r="I339" s="76"/>
      <c r="J339" s="116"/>
      <c r="K339" s="85"/>
      <c r="L339" s="85"/>
      <c r="M339" s="85"/>
      <c r="N339" s="85" t="str">
        <f t="shared" si="130"/>
        <v/>
      </c>
      <c r="O339" s="103">
        <f>SUM(O333:O338)</f>
        <v>90.8</v>
      </c>
      <c r="P339" s="89"/>
      <c r="Q339" s="89"/>
      <c r="R339" s="89"/>
      <c r="S339" s="89"/>
      <c r="T339" s="89"/>
      <c r="U339" s="89"/>
      <c r="V339" s="89"/>
      <c r="W339" s="89"/>
      <c r="X339" s="89"/>
      <c r="Y339" s="89"/>
      <c r="Z339" s="89"/>
    </row>
    <row r="340" ht="5.25" customHeight="1">
      <c r="A340" s="34"/>
      <c r="B340" s="15"/>
      <c r="C340" s="15"/>
      <c r="D340" s="15"/>
      <c r="E340" s="17"/>
      <c r="F340" s="15"/>
      <c r="G340" s="64"/>
      <c r="H340" s="76" t="str">
        <f>IFERROR(__xludf.DUMMYFUNCTION("IFERROR(VLOOKUP(E340,IMPORTRANGE(""https://docs.google.com/spreadsheets/d/1xZyKy-UzMmtPDLpV5jQdYum1LtbR8XKDuasLSjmBRMI/edit#gid=1241094406"",""COMBINED DATA!E3:L""),8,0))"),"")</f>
        <v/>
      </c>
      <c r="I340" s="76"/>
      <c r="J340" s="65"/>
      <c r="K340" s="85"/>
      <c r="L340" s="85"/>
      <c r="M340" s="85"/>
      <c r="N340" s="85" t="str">
        <f t="shared" si="130"/>
        <v/>
      </c>
      <c r="O340" s="89"/>
      <c r="P340" s="89"/>
      <c r="Q340" s="89"/>
      <c r="R340" s="89"/>
      <c r="S340" s="89"/>
      <c r="T340" s="89"/>
      <c r="U340" s="89"/>
      <c r="V340" s="89"/>
      <c r="W340" s="89"/>
      <c r="X340" s="89"/>
      <c r="Y340" s="89"/>
      <c r="Z340" s="89"/>
    </row>
    <row r="341" ht="22.5" customHeight="1">
      <c r="A341" s="34"/>
      <c r="B341" s="62" t="s">
        <v>1048</v>
      </c>
      <c r="C341" s="45"/>
      <c r="D341" s="45"/>
      <c r="E341" s="45"/>
      <c r="F341" s="46"/>
      <c r="G341" s="64"/>
      <c r="H341" s="76" t="str">
        <f>IFERROR(__xludf.DUMMYFUNCTION("IFERROR(VLOOKUP(E341,IMPORTRANGE(""https://docs.google.com/spreadsheets/d/1xZyKy-UzMmtPDLpV5jQdYum1LtbR8XKDuasLSjmBRMI/edit#gid=1241094406"",""COMBINED DATA!E3:L""),8,0))"),"")</f>
        <v/>
      </c>
      <c r="I341" s="76"/>
      <c r="J341" s="65"/>
      <c r="K341" s="85"/>
      <c r="L341" s="85"/>
      <c r="M341" s="85"/>
      <c r="N341" s="85" t="str">
        <f t="shared" si="130"/>
        <v/>
      </c>
      <c r="O341" s="89"/>
      <c r="P341" s="89"/>
      <c r="Q341" s="89"/>
      <c r="R341" s="89"/>
      <c r="S341" s="89"/>
      <c r="T341" s="89"/>
      <c r="U341" s="89"/>
      <c r="V341" s="89"/>
      <c r="W341" s="89"/>
      <c r="X341" s="89"/>
      <c r="Y341" s="89"/>
      <c r="Z341" s="89"/>
    </row>
    <row r="342" ht="15.75" customHeight="1">
      <c r="A342" s="67" t="str">
        <f t="shared" ref="A342:A347" si="236">$B$341&amp;C342</f>
        <v>Pipe Clamp (Zinc Plated)1⁄2</v>
      </c>
      <c r="B342" s="81">
        <v>1.0</v>
      </c>
      <c r="C342" s="68" t="s">
        <v>43</v>
      </c>
      <c r="D342" s="70">
        <v>15.0</v>
      </c>
      <c r="E342" s="111" t="s">
        <v>1033</v>
      </c>
      <c r="F342" s="56">
        <v>12.9</v>
      </c>
      <c r="G342" s="76">
        <f>IFERROR(__xludf.DUMMYFUNCTION("ArrayFormula(IFERROR(VLOOKUP(E342,IMPORTRANGE(""https://docs.google.com/spreadsheets/d/1xZyKy-UzMmtPDLpV5jQdYum1LtbR8XKDuasLSjmBRMI/edit#gid=1241094406"",""COMBINED DATA!E3:L""),{7,8},0)))"),0.0)</f>
        <v>0</v>
      </c>
      <c r="H342" s="76">
        <f>IFERROR(__xludf.DUMMYFUNCTION("""COMPUTED_VALUE"""),0.0)</f>
        <v>0</v>
      </c>
      <c r="I342" s="76">
        <f t="shared" ref="I342:I347" si="237">G342+H342</f>
        <v>0</v>
      </c>
      <c r="J342" s="84" t="str">
        <f t="shared" ref="J342:J347" si="238">IFERROR(F342/$I342,"")</f>
        <v/>
      </c>
      <c r="K342" s="85">
        <f t="shared" ref="K342:K347" si="239">IFERROR(G342*250,)</f>
        <v>0</v>
      </c>
      <c r="L342" s="85">
        <f t="shared" ref="L342:L347" si="240">IFERROR(H342*750,"")</f>
        <v>0</v>
      </c>
      <c r="M342" s="286">
        <v>3.44</v>
      </c>
      <c r="N342" s="85">
        <f t="shared" si="130"/>
        <v>3.75</v>
      </c>
      <c r="O342" s="60">
        <v>12.9</v>
      </c>
      <c r="P342" s="89"/>
      <c r="Q342" s="89"/>
      <c r="R342" s="89"/>
      <c r="S342" s="89"/>
      <c r="T342" s="89"/>
      <c r="U342" s="89"/>
      <c r="V342" s="89"/>
      <c r="W342" s="89"/>
      <c r="X342" s="89"/>
      <c r="Y342" s="89"/>
      <c r="Z342" s="89"/>
    </row>
    <row r="343" ht="15.75" customHeight="1">
      <c r="A343" s="67" t="str">
        <f t="shared" si="236"/>
        <v>Pipe Clamp (Zinc Plated)3⁄4</v>
      </c>
      <c r="B343" s="81">
        <v>2.0</v>
      </c>
      <c r="C343" s="90" t="s">
        <v>51</v>
      </c>
      <c r="D343" s="92">
        <v>20.0</v>
      </c>
      <c r="E343" s="112" t="s">
        <v>1035</v>
      </c>
      <c r="F343" s="56">
        <v>13.9</v>
      </c>
      <c r="G343" s="76">
        <f>IFERROR(__xludf.DUMMYFUNCTION("ArrayFormula(IFERROR(VLOOKUP(E343,IMPORTRANGE(""https://docs.google.com/spreadsheets/d/1xZyKy-UzMmtPDLpV5jQdYum1LtbR8XKDuasLSjmBRMI/edit#gid=1241094406"",""COMBINED DATA!E3:L""),{7,8},0)))"),0.0)</f>
        <v>0</v>
      </c>
      <c r="H343" s="76">
        <f>IFERROR(__xludf.DUMMYFUNCTION("""COMPUTED_VALUE"""),0.0)</f>
        <v>0</v>
      </c>
      <c r="I343" s="76">
        <f t="shared" si="237"/>
        <v>0</v>
      </c>
      <c r="J343" s="84" t="str">
        <f t="shared" si="238"/>
        <v/>
      </c>
      <c r="K343" s="85">
        <f t="shared" si="239"/>
        <v>0</v>
      </c>
      <c r="L343" s="85">
        <f t="shared" si="240"/>
        <v>0</v>
      </c>
      <c r="M343" s="286">
        <v>3.47</v>
      </c>
      <c r="N343" s="85">
        <f t="shared" si="130"/>
        <v>4.005763689</v>
      </c>
      <c r="O343" s="60">
        <v>13.9</v>
      </c>
      <c r="P343" s="89"/>
      <c r="Q343" s="89"/>
      <c r="R343" s="89"/>
      <c r="S343" s="89"/>
      <c r="T343" s="89"/>
      <c r="U343" s="89"/>
      <c r="V343" s="89"/>
      <c r="W343" s="89"/>
      <c r="X343" s="89"/>
      <c r="Y343" s="89"/>
      <c r="Z343" s="89"/>
    </row>
    <row r="344" ht="15.75" customHeight="1">
      <c r="A344" s="67" t="str">
        <f t="shared" si="236"/>
        <v>Pipe Clamp (Zinc Plated)1</v>
      </c>
      <c r="B344" s="81">
        <v>3.0</v>
      </c>
      <c r="C344" s="90" t="s">
        <v>84</v>
      </c>
      <c r="D344" s="92">
        <v>25.0</v>
      </c>
      <c r="E344" s="112" t="s">
        <v>1037</v>
      </c>
      <c r="F344" s="56">
        <v>16.9</v>
      </c>
      <c r="G344" s="76">
        <f>IFERROR(__xludf.DUMMYFUNCTION("ArrayFormula(IFERROR(VLOOKUP(E344,IMPORTRANGE(""https://docs.google.com/spreadsheets/d/1xZyKy-UzMmtPDLpV5jQdYum1LtbR8XKDuasLSjmBRMI/edit#gid=1241094406"",""COMBINED DATA!E3:L""),{7,8},0)))"),0.0)</f>
        <v>0</v>
      </c>
      <c r="H344" s="76">
        <f>IFERROR(__xludf.DUMMYFUNCTION("""COMPUTED_VALUE"""),0.0)</f>
        <v>0</v>
      </c>
      <c r="I344" s="76">
        <f t="shared" si="237"/>
        <v>0</v>
      </c>
      <c r="J344" s="84" t="str">
        <f t="shared" si="238"/>
        <v/>
      </c>
      <c r="K344" s="85">
        <f t="shared" si="239"/>
        <v>0</v>
      </c>
      <c r="L344" s="85">
        <f t="shared" si="240"/>
        <v>0</v>
      </c>
      <c r="M344" s="286">
        <v>3.98</v>
      </c>
      <c r="N344" s="85">
        <f t="shared" si="130"/>
        <v>4.246231156</v>
      </c>
      <c r="O344" s="60">
        <v>16.9</v>
      </c>
      <c r="P344" s="89"/>
      <c r="Q344" s="89"/>
      <c r="R344" s="89"/>
      <c r="S344" s="89"/>
      <c r="T344" s="89"/>
      <c r="U344" s="89"/>
      <c r="V344" s="89"/>
      <c r="W344" s="89"/>
      <c r="X344" s="89"/>
      <c r="Y344" s="89"/>
      <c r="Z344" s="89"/>
    </row>
    <row r="345" ht="15.75" customHeight="1">
      <c r="A345" s="67" t="str">
        <f t="shared" si="236"/>
        <v>Pipe Clamp (Zinc Plated)1 1⁄4</v>
      </c>
      <c r="B345" s="81">
        <v>4.0</v>
      </c>
      <c r="C345" s="90" t="s">
        <v>55</v>
      </c>
      <c r="D345" s="92">
        <v>32.0</v>
      </c>
      <c r="E345" s="112" t="s">
        <v>1039</v>
      </c>
      <c r="F345" s="56">
        <v>18.9</v>
      </c>
      <c r="G345" s="76">
        <f>IFERROR(__xludf.DUMMYFUNCTION("ArrayFormula(IFERROR(VLOOKUP(E345,IMPORTRANGE(""https://docs.google.com/spreadsheets/d/1xZyKy-UzMmtPDLpV5jQdYum1LtbR8XKDuasLSjmBRMI/edit#gid=1241094406"",""COMBINED DATA!E3:L""),{7,8},0)))"),0.0)</f>
        <v>0</v>
      </c>
      <c r="H345" s="76">
        <f>IFERROR(__xludf.DUMMYFUNCTION("""COMPUTED_VALUE"""),0.0)</f>
        <v>0</v>
      </c>
      <c r="I345" s="76">
        <f t="shared" si="237"/>
        <v>0</v>
      </c>
      <c r="J345" s="84" t="str">
        <f t="shared" si="238"/>
        <v/>
      </c>
      <c r="K345" s="85">
        <f t="shared" si="239"/>
        <v>0</v>
      </c>
      <c r="L345" s="85">
        <f t="shared" si="240"/>
        <v>0</v>
      </c>
      <c r="M345" s="286">
        <v>4.62</v>
      </c>
      <c r="N345" s="85">
        <f t="shared" si="130"/>
        <v>4.090909091</v>
      </c>
      <c r="O345" s="60">
        <v>18.9</v>
      </c>
      <c r="P345" s="89"/>
      <c r="Q345" s="89"/>
      <c r="R345" s="89"/>
      <c r="S345" s="89"/>
      <c r="T345" s="89"/>
      <c r="U345" s="89"/>
      <c r="V345" s="89"/>
      <c r="W345" s="89"/>
      <c r="X345" s="89"/>
      <c r="Y345" s="89"/>
      <c r="Z345" s="89"/>
    </row>
    <row r="346" ht="15.75" customHeight="1">
      <c r="A346" s="67" t="str">
        <f t="shared" si="236"/>
        <v>Pipe Clamp (Zinc Plated)1 1⁄2</v>
      </c>
      <c r="B346" s="81">
        <v>5.0</v>
      </c>
      <c r="C346" s="90" t="s">
        <v>56</v>
      </c>
      <c r="D346" s="92">
        <v>40.0</v>
      </c>
      <c r="E346" s="112" t="s">
        <v>1042</v>
      </c>
      <c r="F346" s="56">
        <v>23.8</v>
      </c>
      <c r="G346" s="76">
        <f>IFERROR(__xludf.DUMMYFUNCTION("ArrayFormula(IFERROR(VLOOKUP(E346,IMPORTRANGE(""https://docs.google.com/spreadsheets/d/1xZyKy-UzMmtPDLpV5jQdYum1LtbR8XKDuasLSjmBRMI/edit#gid=1241094406"",""COMBINED DATA!E3:L""),{7,8},0)))"),0.0)</f>
        <v>0</v>
      </c>
      <c r="H346" s="76">
        <f>IFERROR(__xludf.DUMMYFUNCTION("""COMPUTED_VALUE"""),0.0)</f>
        <v>0</v>
      </c>
      <c r="I346" s="76">
        <f t="shared" si="237"/>
        <v>0</v>
      </c>
      <c r="J346" s="84" t="str">
        <f t="shared" si="238"/>
        <v/>
      </c>
      <c r="K346" s="85">
        <f t="shared" si="239"/>
        <v>0</v>
      </c>
      <c r="L346" s="85">
        <f t="shared" si="240"/>
        <v>0</v>
      </c>
      <c r="M346" s="286">
        <v>4.83</v>
      </c>
      <c r="N346" s="85">
        <f t="shared" si="130"/>
        <v>4.927536232</v>
      </c>
      <c r="O346" s="60">
        <v>23.8</v>
      </c>
      <c r="P346" s="89"/>
      <c r="Q346" s="89"/>
      <c r="R346" s="89"/>
      <c r="S346" s="89"/>
      <c r="T346" s="89"/>
      <c r="U346" s="89"/>
      <c r="V346" s="89"/>
      <c r="W346" s="89"/>
      <c r="X346" s="89"/>
      <c r="Y346" s="89"/>
      <c r="Z346" s="89"/>
    </row>
    <row r="347" ht="15.75" customHeight="1">
      <c r="A347" s="67" t="str">
        <f t="shared" si="236"/>
        <v>Pipe Clamp (Zinc Plated)2</v>
      </c>
      <c r="B347" s="81">
        <v>6.0</v>
      </c>
      <c r="C347" s="90" t="s">
        <v>107</v>
      </c>
      <c r="D347" s="92">
        <v>50.0</v>
      </c>
      <c r="E347" s="112" t="s">
        <v>1044</v>
      </c>
      <c r="F347" s="56">
        <v>26.8</v>
      </c>
      <c r="G347" s="76">
        <f>IFERROR(__xludf.DUMMYFUNCTION("ArrayFormula(IFERROR(VLOOKUP(E347,IMPORTRANGE(""https://docs.google.com/spreadsheets/d/1xZyKy-UzMmtPDLpV5jQdYum1LtbR8XKDuasLSjmBRMI/edit#gid=1241094406"",""COMBINED DATA!E3:L""),{7,8},0)))"),0.0)</f>
        <v>0</v>
      </c>
      <c r="H347" s="76">
        <f>IFERROR(__xludf.DUMMYFUNCTION("""COMPUTED_VALUE"""),0.0)</f>
        <v>0</v>
      </c>
      <c r="I347" s="76">
        <f t="shared" si="237"/>
        <v>0</v>
      </c>
      <c r="J347" s="84" t="str">
        <f t="shared" si="238"/>
        <v/>
      </c>
      <c r="K347" s="85">
        <f t="shared" si="239"/>
        <v>0</v>
      </c>
      <c r="L347" s="85">
        <f t="shared" si="240"/>
        <v>0</v>
      </c>
      <c r="M347" s="286">
        <v>5.63</v>
      </c>
      <c r="N347" s="85">
        <f t="shared" si="130"/>
        <v>4.760213144</v>
      </c>
      <c r="O347" s="60">
        <v>26.8</v>
      </c>
      <c r="P347" s="89"/>
      <c r="Q347" s="89"/>
      <c r="R347" s="89"/>
      <c r="S347" s="89"/>
      <c r="T347" s="89"/>
      <c r="U347" s="89"/>
      <c r="V347" s="89"/>
      <c r="W347" s="89"/>
      <c r="X347" s="89"/>
      <c r="Y347" s="89"/>
      <c r="Z347" s="89"/>
    </row>
    <row r="348">
      <c r="A348" s="100"/>
      <c r="B348" s="102" t="s">
        <v>11</v>
      </c>
      <c r="C348" s="45"/>
      <c r="D348" s="45"/>
      <c r="E348" s="46"/>
      <c r="F348" s="103">
        <f>SUM(F342:F347)</f>
        <v>113.2</v>
      </c>
      <c r="G348" s="104"/>
      <c r="H348" s="76" t="str">
        <f>IFERROR(__xludf.DUMMYFUNCTION("IFERROR(VLOOKUP(E348,IMPORTRANGE(""https://docs.google.com/spreadsheets/d/1xZyKy-UzMmtPDLpV5jQdYum1LtbR8XKDuasLSjmBRMI/edit#gid=1241094406"",""COMBINED DATA!E3:L""),8,0))"),"")</f>
        <v/>
      </c>
      <c r="I348" s="76"/>
      <c r="J348" s="116"/>
      <c r="K348" s="85"/>
      <c r="L348" s="85"/>
      <c r="M348" s="85"/>
      <c r="N348" s="85" t="str">
        <f t="shared" si="130"/>
        <v/>
      </c>
      <c r="O348" s="103">
        <f>SUM(O342:O347)</f>
        <v>113.2</v>
      </c>
      <c r="P348" s="89"/>
      <c r="Q348" s="89"/>
      <c r="R348" s="89"/>
      <c r="S348" s="89"/>
      <c r="T348" s="89"/>
      <c r="U348" s="89"/>
      <c r="V348" s="89"/>
      <c r="W348" s="89"/>
      <c r="X348" s="89"/>
      <c r="Y348" s="89"/>
      <c r="Z348" s="89"/>
    </row>
    <row r="349" ht="5.25" customHeight="1">
      <c r="A349" s="34"/>
      <c r="B349" s="15"/>
      <c r="C349" s="15"/>
      <c r="D349" s="15"/>
      <c r="E349" s="17"/>
      <c r="F349" s="15"/>
      <c r="G349" s="64"/>
      <c r="H349" s="76" t="str">
        <f>IFERROR(__xludf.DUMMYFUNCTION("IFERROR(VLOOKUP(E349,IMPORTRANGE(""https://docs.google.com/spreadsheets/d/1xZyKy-UzMmtPDLpV5jQdYum1LtbR8XKDuasLSjmBRMI/edit#gid=1241094406"",""COMBINED DATA!E3:L""),8,0))"),"")</f>
        <v/>
      </c>
      <c r="I349" s="76"/>
      <c r="J349" s="65"/>
      <c r="K349" s="85"/>
      <c r="L349" s="85"/>
      <c r="M349" s="85"/>
      <c r="N349" s="85" t="str">
        <f t="shared" si="130"/>
        <v/>
      </c>
      <c r="O349" s="89"/>
      <c r="P349" s="89"/>
      <c r="Q349" s="89"/>
      <c r="R349" s="89"/>
      <c r="S349" s="89"/>
      <c r="T349" s="89"/>
      <c r="U349" s="89"/>
      <c r="V349" s="89"/>
      <c r="W349" s="89"/>
      <c r="X349" s="89"/>
      <c r="Y349" s="89"/>
      <c r="Z349" s="89"/>
    </row>
    <row r="350" ht="22.5" customHeight="1">
      <c r="A350" s="34"/>
      <c r="B350" s="62" t="s">
        <v>1057</v>
      </c>
      <c r="C350" s="45"/>
      <c r="D350" s="45"/>
      <c r="E350" s="45"/>
      <c r="F350" s="46"/>
      <c r="G350" s="64"/>
      <c r="H350" s="76" t="str">
        <f>IFERROR(__xludf.DUMMYFUNCTION("IFERROR(VLOOKUP(E350,IMPORTRANGE(""https://docs.google.com/spreadsheets/d/1xZyKy-UzMmtPDLpV5jQdYum1LtbR8XKDuasLSjmBRMI/edit#gid=1241094406"",""COMBINED DATA!E3:L""),8,0))"),"")</f>
        <v/>
      </c>
      <c r="I350" s="76"/>
      <c r="J350" s="65"/>
      <c r="K350" s="85"/>
      <c r="L350" s="85"/>
      <c r="M350" s="85"/>
      <c r="N350" s="85" t="str">
        <f t="shared" si="130"/>
        <v/>
      </c>
      <c r="O350" s="89"/>
      <c r="P350" s="89"/>
      <c r="Q350" s="89"/>
      <c r="R350" s="89"/>
      <c r="S350" s="89"/>
      <c r="T350" s="89"/>
      <c r="U350" s="89"/>
      <c r="V350" s="89"/>
      <c r="W350" s="89"/>
      <c r="X350" s="89"/>
      <c r="Y350" s="89"/>
      <c r="Z350" s="89"/>
    </row>
    <row r="351" ht="15.75" customHeight="1">
      <c r="A351" s="67" t="str">
        <f t="shared" ref="A351:A352" si="241">$B$350&amp;C351</f>
        <v>Single Lever Concealed DiverterBODY</v>
      </c>
      <c r="B351" s="81">
        <v>1.0</v>
      </c>
      <c r="C351" s="149" t="s">
        <v>1060</v>
      </c>
      <c r="D351" s="46"/>
      <c r="E351" s="287" t="s">
        <v>1046</v>
      </c>
      <c r="F351" s="56">
        <v>2200.0</v>
      </c>
      <c r="G351" s="76">
        <f>IFERROR(__xludf.DUMMYFUNCTION("ArrayFormula(IFERROR(VLOOKUP(E351,IMPORTRANGE(""https://docs.google.com/spreadsheets/d/1xZyKy-UzMmtPDLpV5jQdYum1LtbR8XKDuasLSjmBRMI/edit#gid=1241094406"",""COMBINED DATA!E3:L""),{7,8},0)))"),0.0)</f>
        <v>0</v>
      </c>
      <c r="H351" s="76">
        <f>IFERROR(__xludf.DUMMYFUNCTION("""COMPUTED_VALUE"""),0.0)</f>
        <v>0</v>
      </c>
      <c r="I351" s="76">
        <f t="shared" ref="I351:I352" si="242">G351+H351</f>
        <v>0</v>
      </c>
      <c r="J351" s="84" t="str">
        <f t="shared" ref="J351:J352" si="243">IFERROR(F351/$I351,"")</f>
        <v/>
      </c>
      <c r="K351" s="85">
        <f t="shared" ref="K351:K352" si="244">IFERROR(G351*250,)</f>
        <v>0</v>
      </c>
      <c r="L351" s="85">
        <f t="shared" ref="L351:L352" si="245">IFERROR(H351*750,"")</f>
        <v>0</v>
      </c>
      <c r="M351" s="85">
        <f t="shared" ref="M351:M352" si="246">K351+L351</f>
        <v>0</v>
      </c>
      <c r="N351" s="85" t="str">
        <f t="shared" si="130"/>
        <v/>
      </c>
      <c r="O351" s="60">
        <v>2200.0</v>
      </c>
      <c r="P351" s="89"/>
      <c r="Q351" s="89"/>
      <c r="R351" s="89"/>
      <c r="S351" s="89"/>
      <c r="T351" s="89"/>
      <c r="U351" s="89"/>
      <c r="V351" s="89"/>
      <c r="W351" s="89"/>
      <c r="X351" s="89"/>
      <c r="Y351" s="89"/>
      <c r="Z351" s="89"/>
    </row>
    <row r="352" ht="15.75" customHeight="1">
      <c r="A352" s="67" t="str">
        <f t="shared" si="241"/>
        <v>Single Lever Concealed DiverterUPPER PART</v>
      </c>
      <c r="B352" s="81">
        <v>2.0</v>
      </c>
      <c r="C352" s="149" t="s">
        <v>1063</v>
      </c>
      <c r="D352" s="46"/>
      <c r="E352" s="288" t="s">
        <v>1049</v>
      </c>
      <c r="F352" s="56">
        <v>1460.0</v>
      </c>
      <c r="G352" s="76">
        <f>IFERROR(__xludf.DUMMYFUNCTION("ArrayFormula(IFERROR(VLOOKUP(E352,IMPORTRANGE(""https://docs.google.com/spreadsheets/d/1xZyKy-UzMmtPDLpV5jQdYum1LtbR8XKDuasLSjmBRMI/edit#gid=1241094406"",""COMBINED DATA!E3:L""),{7,8},0)))"),0.0)</f>
        <v>0</v>
      </c>
      <c r="H352" s="76">
        <f>IFERROR(__xludf.DUMMYFUNCTION("""COMPUTED_VALUE"""),0.0)</f>
        <v>0</v>
      </c>
      <c r="I352" s="76">
        <f t="shared" si="242"/>
        <v>0</v>
      </c>
      <c r="J352" s="84" t="str">
        <f t="shared" si="243"/>
        <v/>
      </c>
      <c r="K352" s="85">
        <f t="shared" si="244"/>
        <v>0</v>
      </c>
      <c r="L352" s="85">
        <f t="shared" si="245"/>
        <v>0</v>
      </c>
      <c r="M352" s="85">
        <f t="shared" si="246"/>
        <v>0</v>
      </c>
      <c r="N352" s="85" t="str">
        <f t="shared" si="130"/>
        <v/>
      </c>
      <c r="O352" s="60">
        <v>1460.0</v>
      </c>
      <c r="P352" s="89"/>
      <c r="Q352" s="89"/>
      <c r="R352" s="89"/>
      <c r="S352" s="89"/>
      <c r="T352" s="89"/>
      <c r="U352" s="89"/>
      <c r="V352" s="89"/>
      <c r="W352" s="89"/>
      <c r="X352" s="89"/>
      <c r="Y352" s="89"/>
      <c r="Z352" s="89"/>
    </row>
    <row r="353">
      <c r="A353" s="100"/>
      <c r="B353" s="102" t="s">
        <v>11</v>
      </c>
      <c r="C353" s="45"/>
      <c r="D353" s="45"/>
      <c r="E353" s="46"/>
      <c r="F353" s="103">
        <f>SUM(F351:F352)</f>
        <v>3660</v>
      </c>
      <c r="G353" s="76" t="str">
        <f>IFERROR(__xludf.DUMMYFUNCTION("IFERROR(VLOOKUP(E353,IMPORTRANGE(""https://docs.google.com/spreadsheets/d/16zJorHwLPgwY8YVZEbD_cbTMf-XiJq_EjdFyr8LAUDg/edit#gid=0"",""All!A2:C""),3,0))"),"")</f>
        <v/>
      </c>
      <c r="H353" s="76" t="str">
        <f>IFERROR(__xludf.DUMMYFUNCTION("IFERROR(VLOOKUP(E353,IMPORTRANGE(""https://docs.google.com/spreadsheets/d/1xZyKy-UzMmtPDLpV5jQdYum1LtbR8XKDuasLSjmBRMI/edit#gid=1241094406"",""COMBINED DATA!E3:L""),8,0))"),"")</f>
        <v/>
      </c>
      <c r="I353" s="76"/>
      <c r="J353" s="116"/>
      <c r="K353" s="85"/>
      <c r="L353" s="85"/>
      <c r="M353" s="85"/>
      <c r="N353" s="85" t="str">
        <f t="shared" si="130"/>
        <v/>
      </c>
      <c r="O353" s="103">
        <f>SUM(O351:O352)</f>
        <v>3660</v>
      </c>
      <c r="P353" s="89"/>
      <c r="Q353" s="89"/>
      <c r="R353" s="89"/>
      <c r="S353" s="89"/>
      <c r="T353" s="89"/>
      <c r="U353" s="89"/>
      <c r="V353" s="89"/>
      <c r="W353" s="89"/>
      <c r="X353" s="89"/>
      <c r="Y353" s="89"/>
      <c r="Z353" s="89"/>
    </row>
    <row r="354" ht="6.0" customHeight="1">
      <c r="A354" s="34"/>
      <c r="B354" s="15"/>
      <c r="C354" s="15"/>
      <c r="D354" s="15"/>
      <c r="E354" s="17"/>
      <c r="F354" s="15"/>
      <c r="G354" s="64"/>
      <c r="H354" s="76" t="str">
        <f>IFERROR(__xludf.DUMMYFUNCTION("IFERROR(VLOOKUP(E354,IMPORTRANGE(""https://docs.google.com/spreadsheets/d/1xZyKy-UzMmtPDLpV5jQdYum1LtbR8XKDuasLSjmBRMI/edit#gid=1241094406"",""COMBINED DATA!E3:L""),8,0))"),"")</f>
        <v/>
      </c>
      <c r="I354" s="76"/>
      <c r="J354" s="65"/>
      <c r="K354" s="85"/>
      <c r="L354" s="85"/>
      <c r="M354" s="85"/>
      <c r="N354" s="85" t="str">
        <f t="shared" si="130"/>
        <v/>
      </c>
      <c r="O354" s="89"/>
      <c r="P354" s="89"/>
      <c r="Q354" s="89"/>
      <c r="R354" s="89"/>
      <c r="S354" s="89"/>
      <c r="T354" s="89"/>
      <c r="U354" s="89"/>
      <c r="V354" s="89"/>
      <c r="W354" s="89"/>
      <c r="X354" s="89"/>
      <c r="Y354" s="89"/>
      <c r="Z354" s="89"/>
    </row>
    <row r="355" ht="22.5" customHeight="1">
      <c r="A355" s="34"/>
      <c r="B355" s="62" t="s">
        <v>1066</v>
      </c>
      <c r="C355" s="45"/>
      <c r="D355" s="45"/>
      <c r="E355" s="45"/>
      <c r="F355" s="46"/>
      <c r="G355" s="64"/>
      <c r="H355" s="76" t="str">
        <f>IFERROR(__xludf.DUMMYFUNCTION("IFERROR(VLOOKUP(E355,IMPORTRANGE(""https://docs.google.com/spreadsheets/d/1xZyKy-UzMmtPDLpV5jQdYum1LtbR8XKDuasLSjmBRMI/edit#gid=1241094406"",""COMBINED DATA!E3:L""),8,0))"),"")</f>
        <v/>
      </c>
      <c r="I355" s="76"/>
      <c r="J355" s="65"/>
      <c r="K355" s="85"/>
      <c r="L355" s="85"/>
      <c r="M355" s="85"/>
      <c r="N355" s="85" t="str">
        <f t="shared" si="130"/>
        <v/>
      </c>
      <c r="O355" s="89"/>
      <c r="P355" s="89"/>
      <c r="Q355" s="89"/>
      <c r="R355" s="89"/>
      <c r="S355" s="89"/>
      <c r="T355" s="89"/>
      <c r="U355" s="89"/>
      <c r="V355" s="89"/>
      <c r="W355" s="89"/>
      <c r="X355" s="89"/>
      <c r="Y355" s="89"/>
      <c r="Z355" s="89"/>
    </row>
    <row r="356" ht="15.75" customHeight="1">
      <c r="A356" s="67" t="str">
        <f t="shared" ref="A356:A360" si="247">$B$355&amp;C356</f>
        <v>Solvent59 ML</v>
      </c>
      <c r="B356" s="81">
        <v>1.0</v>
      </c>
      <c r="C356" s="289" t="s">
        <v>1067</v>
      </c>
      <c r="D356" s="180"/>
      <c r="E356" s="112" t="s">
        <v>1051</v>
      </c>
      <c r="F356" s="56">
        <v>108.0</v>
      </c>
      <c r="G356" s="76" t="str">
        <f>IFERROR(__xludf.DUMMYFUNCTION("ArrayFormula(IFERROR(VLOOKUP(E356,IMPORTRANGE(""https://docs.google.com/spreadsheets/d/1xZyKy-UzMmtPDLpV5jQdYum1LtbR8XKDuasLSjmBRMI/edit#gid=1241094406"",""COMBINED DATA!E3:L""),{7,8},0)))"),"")</f>
        <v/>
      </c>
      <c r="H356" s="76"/>
      <c r="I356" s="76">
        <f t="shared" ref="I356:I360" si="248">G356+H356</f>
        <v>0</v>
      </c>
      <c r="J356" s="84" t="str">
        <f t="shared" ref="J356:J360" si="249">IFERROR(F356/$I356,"")</f>
        <v/>
      </c>
      <c r="K356" s="85">
        <f t="shared" ref="K356:K360" si="250">IFERROR(G356*250,)</f>
        <v>0</v>
      </c>
      <c r="L356" s="85">
        <f t="shared" ref="L356:L360" si="251">IFERROR(H356*750,"")</f>
        <v>0</v>
      </c>
      <c r="M356" s="286">
        <v>27.0</v>
      </c>
      <c r="N356" s="85">
        <f t="shared" si="130"/>
        <v>4</v>
      </c>
      <c r="O356" s="60">
        <v>108.0</v>
      </c>
      <c r="P356" s="89"/>
      <c r="Q356" s="89"/>
      <c r="R356" s="89"/>
      <c r="S356" s="89"/>
      <c r="T356" s="89"/>
      <c r="U356" s="89"/>
      <c r="V356" s="89"/>
      <c r="W356" s="89"/>
      <c r="X356" s="89"/>
      <c r="Y356" s="89"/>
      <c r="Z356" s="89"/>
    </row>
    <row r="357" ht="15.75" customHeight="1">
      <c r="A357" s="67" t="str">
        <f t="shared" si="247"/>
        <v>Solvent04 OZ/ 118 Tins</v>
      </c>
      <c r="B357" s="81">
        <v>2.0</v>
      </c>
      <c r="C357" s="290" t="s">
        <v>1069</v>
      </c>
      <c r="D357" s="180"/>
      <c r="E357" s="112" t="s">
        <v>1053</v>
      </c>
      <c r="F357" s="56">
        <v>178.0</v>
      </c>
      <c r="G357" s="76" t="str">
        <f>IFERROR(__xludf.DUMMYFUNCTION("ArrayFormula(IFERROR(VLOOKUP(E357,IMPORTRANGE(""https://docs.google.com/spreadsheets/d/1xZyKy-UzMmtPDLpV5jQdYum1LtbR8XKDuasLSjmBRMI/edit#gid=1241094406"",""COMBINED DATA!E3:L""),{7,8},0)))"),"")</f>
        <v/>
      </c>
      <c r="H357" s="76"/>
      <c r="I357" s="76">
        <f t="shared" si="248"/>
        <v>0</v>
      </c>
      <c r="J357" s="84" t="str">
        <f t="shared" si="249"/>
        <v/>
      </c>
      <c r="K357" s="85">
        <f t="shared" si="250"/>
        <v>0</v>
      </c>
      <c r="L357" s="85">
        <f t="shared" si="251"/>
        <v>0</v>
      </c>
      <c r="M357" s="286">
        <v>46.0</v>
      </c>
      <c r="N357" s="85">
        <f t="shared" si="130"/>
        <v>3.869565217</v>
      </c>
      <c r="O357" s="60">
        <v>178.0</v>
      </c>
      <c r="P357" s="89"/>
      <c r="Q357" s="89"/>
      <c r="R357" s="89"/>
      <c r="S357" s="89"/>
      <c r="T357" s="89"/>
      <c r="U357" s="89"/>
      <c r="V357" s="89"/>
      <c r="W357" s="89"/>
      <c r="X357" s="89"/>
      <c r="Y357" s="89"/>
      <c r="Z357" s="89"/>
    </row>
    <row r="358" ht="15.75" customHeight="1">
      <c r="A358" s="67" t="str">
        <f t="shared" si="247"/>
        <v>Solvent08 OZ/237 Tins</v>
      </c>
      <c r="B358" s="81">
        <v>3.0</v>
      </c>
      <c r="C358" s="290" t="s">
        <v>1071</v>
      </c>
      <c r="D358" s="180"/>
      <c r="E358" s="112" t="s">
        <v>1055</v>
      </c>
      <c r="F358" s="56">
        <v>296.0</v>
      </c>
      <c r="G358" s="76" t="str">
        <f>IFERROR(__xludf.DUMMYFUNCTION("ArrayFormula(IFERROR(VLOOKUP(E358,IMPORTRANGE(""https://docs.google.com/spreadsheets/d/1xZyKy-UzMmtPDLpV5jQdYum1LtbR8XKDuasLSjmBRMI/edit#gid=1241094406"",""COMBINED DATA!E3:L""),{7,8},0)))"),"")</f>
        <v/>
      </c>
      <c r="H358" s="76"/>
      <c r="I358" s="76">
        <f t="shared" si="248"/>
        <v>0</v>
      </c>
      <c r="J358" s="84" t="str">
        <f t="shared" si="249"/>
        <v/>
      </c>
      <c r="K358" s="85">
        <f t="shared" si="250"/>
        <v>0</v>
      </c>
      <c r="L358" s="85">
        <f t="shared" si="251"/>
        <v>0</v>
      </c>
      <c r="M358" s="286">
        <v>78.0</v>
      </c>
      <c r="N358" s="85">
        <f t="shared" si="130"/>
        <v>3.794871795</v>
      </c>
      <c r="O358" s="60">
        <v>296.0</v>
      </c>
      <c r="P358" s="89"/>
      <c r="Q358" s="89"/>
      <c r="R358" s="89"/>
      <c r="S358" s="89"/>
      <c r="T358" s="89"/>
      <c r="U358" s="89"/>
      <c r="V358" s="89"/>
      <c r="W358" s="89"/>
      <c r="X358" s="89"/>
      <c r="Y358" s="89"/>
      <c r="Z358" s="89"/>
    </row>
    <row r="359" ht="15.75" customHeight="1">
      <c r="A359" s="67" t="str">
        <f t="shared" si="247"/>
        <v>Solvent16 OZ/473 Tins</v>
      </c>
      <c r="B359" s="81">
        <v>4.0</v>
      </c>
      <c r="C359" s="290" t="s">
        <v>1072</v>
      </c>
      <c r="D359" s="180"/>
      <c r="E359" s="112" t="s">
        <v>1058</v>
      </c>
      <c r="F359" s="56">
        <v>546.0</v>
      </c>
      <c r="G359" s="76" t="str">
        <f>IFERROR(__xludf.DUMMYFUNCTION("ArrayFormula(IFERROR(VLOOKUP(E359,IMPORTRANGE(""https://docs.google.com/spreadsheets/d/1xZyKy-UzMmtPDLpV5jQdYum1LtbR8XKDuasLSjmBRMI/edit#gid=1241094406"",""COMBINED DATA!E3:L""),{7,8},0)))"),"")</f>
        <v/>
      </c>
      <c r="H359" s="76"/>
      <c r="I359" s="76">
        <f t="shared" si="248"/>
        <v>0</v>
      </c>
      <c r="J359" s="84" t="str">
        <f t="shared" si="249"/>
        <v/>
      </c>
      <c r="K359" s="85">
        <f t="shared" si="250"/>
        <v>0</v>
      </c>
      <c r="L359" s="85">
        <f t="shared" si="251"/>
        <v>0</v>
      </c>
      <c r="M359" s="286">
        <v>138.0</v>
      </c>
      <c r="N359" s="85">
        <f t="shared" si="130"/>
        <v>3.956521739</v>
      </c>
      <c r="O359" s="60">
        <v>546.0</v>
      </c>
      <c r="P359" s="89"/>
      <c r="Q359" s="89"/>
      <c r="R359" s="89"/>
      <c r="S359" s="89"/>
      <c r="T359" s="89"/>
      <c r="U359" s="89"/>
      <c r="V359" s="89"/>
      <c r="W359" s="89"/>
      <c r="X359" s="89"/>
      <c r="Y359" s="89"/>
      <c r="Z359" s="89"/>
    </row>
    <row r="360" ht="15.75" customHeight="1">
      <c r="A360" s="67" t="str">
        <f t="shared" si="247"/>
        <v>Solvent32 OZ/ 946 Tins</v>
      </c>
      <c r="B360" s="81">
        <v>5.0</v>
      </c>
      <c r="C360" s="290" t="s">
        <v>1074</v>
      </c>
      <c r="D360" s="180"/>
      <c r="E360" s="112" t="s">
        <v>1061</v>
      </c>
      <c r="F360" s="56">
        <v>888.0</v>
      </c>
      <c r="G360" s="76" t="str">
        <f>IFERROR(__xludf.DUMMYFUNCTION("ArrayFormula(IFERROR(VLOOKUP(E360,IMPORTRANGE(""https://docs.google.com/spreadsheets/d/1xZyKy-UzMmtPDLpV5jQdYum1LtbR8XKDuasLSjmBRMI/edit#gid=1241094406"",""COMBINED DATA!E3:L""),{7,8},0)))"),"")</f>
        <v/>
      </c>
      <c r="H360" s="76"/>
      <c r="I360" s="76">
        <f t="shared" si="248"/>
        <v>0</v>
      </c>
      <c r="J360" s="84" t="str">
        <f t="shared" si="249"/>
        <v/>
      </c>
      <c r="K360" s="85">
        <f t="shared" si="250"/>
        <v>0</v>
      </c>
      <c r="L360" s="85">
        <f t="shared" si="251"/>
        <v>0</v>
      </c>
      <c r="M360" s="286">
        <v>230.0</v>
      </c>
      <c r="N360" s="85">
        <f t="shared" si="130"/>
        <v>3.860869565</v>
      </c>
      <c r="O360" s="60">
        <v>888.0</v>
      </c>
      <c r="P360" s="89"/>
      <c r="Q360" s="89"/>
      <c r="R360" s="89"/>
      <c r="S360" s="89"/>
      <c r="T360" s="89"/>
      <c r="U360" s="89"/>
      <c r="V360" s="89"/>
      <c r="W360" s="89"/>
      <c r="X360" s="89"/>
      <c r="Y360" s="89"/>
      <c r="Z360" s="89"/>
    </row>
    <row r="361">
      <c r="A361" s="100"/>
      <c r="B361" s="102" t="s">
        <v>11</v>
      </c>
      <c r="C361" s="45"/>
      <c r="D361" s="45"/>
      <c r="E361" s="46"/>
      <c r="F361" s="103">
        <f>SUM(F356:F360)</f>
        <v>2016</v>
      </c>
      <c r="G361" s="104"/>
      <c r="H361" s="76" t="str">
        <f>IFERROR(__xludf.DUMMYFUNCTION("IFERROR(VLOOKUP(E361,IMPORTRANGE(""https://docs.google.com/spreadsheets/d/1xZyKy-UzMmtPDLpV5jQdYum1LtbR8XKDuasLSjmBRMI/edit#gid=1241094406"",""COMBINED DATA!E3:L""),8,0))"),"")</f>
        <v/>
      </c>
      <c r="I361" s="76"/>
      <c r="J361" s="84"/>
      <c r="K361" s="85"/>
      <c r="L361" s="85"/>
      <c r="M361" s="85"/>
      <c r="N361" s="85" t="str">
        <f t="shared" si="130"/>
        <v/>
      </c>
      <c r="O361" s="291">
        <f>SUM(O356:O360)</f>
        <v>2016</v>
      </c>
      <c r="P361" s="89"/>
      <c r="Q361" s="89"/>
      <c r="R361" s="89"/>
      <c r="S361" s="89"/>
      <c r="T361" s="89"/>
      <c r="U361" s="89"/>
      <c r="V361" s="89"/>
      <c r="W361" s="89"/>
      <c r="X361" s="89"/>
      <c r="Y361" s="89"/>
      <c r="Z361" s="89"/>
    </row>
    <row r="362" ht="6.0" customHeight="1">
      <c r="A362" s="34"/>
      <c r="B362" s="15"/>
      <c r="C362" s="15"/>
      <c r="D362" s="15"/>
      <c r="E362" s="17"/>
      <c r="F362" s="15"/>
      <c r="G362" s="64"/>
      <c r="H362" s="76" t="str">
        <f>IFERROR(__xludf.DUMMYFUNCTION("IFERROR(VLOOKUP(E362,IMPORTRANGE(""https://docs.google.com/spreadsheets/d/1xZyKy-UzMmtPDLpV5jQdYum1LtbR8XKDuasLSjmBRMI/edit#gid=1241094406"",""COMBINED DATA!E3:L""),8,0))"),"")</f>
        <v/>
      </c>
      <c r="I362" s="76"/>
      <c r="J362" s="65"/>
      <c r="K362" s="85"/>
      <c r="L362" s="85"/>
      <c r="M362" s="85"/>
      <c r="N362" s="85" t="str">
        <f t="shared" si="130"/>
        <v/>
      </c>
      <c r="O362" s="292"/>
      <c r="P362" s="89"/>
      <c r="Q362" s="89"/>
      <c r="R362" s="89"/>
      <c r="S362" s="89"/>
      <c r="T362" s="89"/>
      <c r="U362" s="89"/>
      <c r="V362" s="89"/>
      <c r="W362" s="89"/>
      <c r="X362" s="89"/>
      <c r="Y362" s="89"/>
      <c r="Z362" s="89"/>
    </row>
    <row r="363" ht="22.5" customHeight="1">
      <c r="A363" s="34"/>
      <c r="B363" s="62" t="s">
        <v>709</v>
      </c>
      <c r="C363" s="45"/>
      <c r="D363" s="45"/>
      <c r="E363" s="45"/>
      <c r="F363" s="46"/>
      <c r="G363" s="64"/>
      <c r="H363" s="76" t="str">
        <f>IFERROR(__xludf.DUMMYFUNCTION("IFERROR(VLOOKUP(E363,IMPORTRANGE(""https://docs.google.com/spreadsheets/d/1xZyKy-UzMmtPDLpV5jQdYum1LtbR8XKDuasLSjmBRMI/edit#gid=1241094406"",""COMBINED DATA!E3:L""),8,0))"),"")</f>
        <v/>
      </c>
      <c r="I363" s="76"/>
      <c r="J363" s="65"/>
      <c r="K363" s="85"/>
      <c r="L363" s="85"/>
      <c r="M363" s="85"/>
      <c r="N363" s="85" t="str">
        <f t="shared" si="130"/>
        <v/>
      </c>
      <c r="O363" s="89"/>
      <c r="P363" s="89"/>
      <c r="Q363" s="89"/>
      <c r="R363" s="89"/>
      <c r="S363" s="89"/>
      <c r="T363" s="89"/>
      <c r="U363" s="89"/>
      <c r="V363" s="89"/>
      <c r="W363" s="89"/>
      <c r="X363" s="89"/>
      <c r="Y363" s="89"/>
      <c r="Z363" s="89"/>
    </row>
    <row r="364" ht="15.75" customHeight="1">
      <c r="A364" s="67" t="str">
        <f t="shared" ref="A364:A369" si="252">$B$363&amp;C364&amp;D364</f>
        <v>Long Concealed Valve (Quarter Turn)3⁄4VIVA</v>
      </c>
      <c r="B364" s="81">
        <v>1.0</v>
      </c>
      <c r="C364" s="213" t="s">
        <v>51</v>
      </c>
      <c r="D364" s="110" t="s">
        <v>716</v>
      </c>
      <c r="E364" s="112" t="s">
        <v>718</v>
      </c>
      <c r="F364" s="56">
        <v>980.0</v>
      </c>
      <c r="G364" s="76">
        <v>0.0531</v>
      </c>
      <c r="H364" s="58">
        <v>0.042</v>
      </c>
      <c r="I364" s="76">
        <f t="shared" ref="I364:I369" si="253">G364+H364</f>
        <v>0.0951</v>
      </c>
      <c r="J364" s="84">
        <f t="shared" ref="J364:J369" si="254">IFERROR(F364/$I364,"")</f>
        <v>10304.94217</v>
      </c>
      <c r="K364" s="85">
        <f t="shared" ref="K364:K369" si="255">IFERROR(G364*250,)</f>
        <v>13.275</v>
      </c>
      <c r="L364" s="85">
        <f t="shared" ref="L364:L369" si="256">IFERROR(H364*750,"")</f>
        <v>31.5</v>
      </c>
      <c r="M364" s="85">
        <f t="shared" ref="M364:M369" si="257">K364+L364</f>
        <v>44.775</v>
      </c>
      <c r="N364" s="85">
        <f t="shared" si="130"/>
        <v>21.88721385</v>
      </c>
      <c r="O364" s="60">
        <f>VLOOKUP(E364,'C Fittings (Brass)'!$E$5:$Q418,13,0)</f>
        <v>1080</v>
      </c>
      <c r="P364" s="88">
        <f>VLOOKUP(E364,CV!$A$2:$H418,8,0)</f>
        <v>236.43</v>
      </c>
      <c r="Q364" s="89">
        <f t="shared" ref="Q364:Q369" si="258">O364/P364</f>
        <v>4.56794823</v>
      </c>
      <c r="R364" s="89"/>
      <c r="S364" s="89"/>
      <c r="T364" s="89"/>
      <c r="U364" s="89"/>
      <c r="V364" s="89"/>
      <c r="W364" s="89"/>
      <c r="X364" s="89"/>
      <c r="Y364" s="89"/>
      <c r="Z364" s="89"/>
    </row>
    <row r="365" ht="15.75" customHeight="1">
      <c r="A365" s="67" t="str">
        <f t="shared" si="252"/>
        <v>Long Concealed Valve (Quarter Turn)3⁄4SAGA</v>
      </c>
      <c r="B365" s="81">
        <v>2.0</v>
      </c>
      <c r="C365" s="225" t="s">
        <v>51</v>
      </c>
      <c r="D365" s="127" t="s">
        <v>729</v>
      </c>
      <c r="E365" s="112" t="s">
        <v>730</v>
      </c>
      <c r="F365" s="56">
        <v>980.0</v>
      </c>
      <c r="G365" s="76">
        <v>0.0531</v>
      </c>
      <c r="H365" s="58">
        <v>0.042</v>
      </c>
      <c r="I365" s="76">
        <f t="shared" si="253"/>
        <v>0.0951</v>
      </c>
      <c r="J365" s="84">
        <f t="shared" si="254"/>
        <v>10304.94217</v>
      </c>
      <c r="K365" s="85">
        <f t="shared" si="255"/>
        <v>13.275</v>
      </c>
      <c r="L365" s="85">
        <f t="shared" si="256"/>
        <v>31.5</v>
      </c>
      <c r="M365" s="85">
        <f t="shared" si="257"/>
        <v>44.775</v>
      </c>
      <c r="N365" s="85">
        <f t="shared" si="130"/>
        <v>21.88721385</v>
      </c>
      <c r="O365" s="60">
        <f>VLOOKUP(E365,'C Fittings (Brass)'!$E$5:$Q418,13,0)</f>
        <v>1080</v>
      </c>
      <c r="P365" s="88">
        <f>VLOOKUP(E365,CV!$A$2:$H418,8,0)</f>
        <v>202.42</v>
      </c>
      <c r="Q365" s="89">
        <f t="shared" si="258"/>
        <v>5.335441162</v>
      </c>
      <c r="R365" s="89"/>
      <c r="S365" s="89"/>
      <c r="T365" s="89"/>
      <c r="U365" s="89"/>
      <c r="V365" s="89"/>
      <c r="W365" s="89"/>
      <c r="X365" s="89"/>
      <c r="Y365" s="89"/>
      <c r="Z365" s="89"/>
    </row>
    <row r="366" ht="15.75" customHeight="1">
      <c r="A366" s="67" t="str">
        <f t="shared" si="252"/>
        <v>Long Concealed Valve (Quarter Turn)3⁄4URBONA</v>
      </c>
      <c r="B366" s="81">
        <v>3.0</v>
      </c>
      <c r="C366" s="225" t="s">
        <v>51</v>
      </c>
      <c r="D366" s="127" t="s">
        <v>741</v>
      </c>
      <c r="E366" s="112" t="s">
        <v>743</v>
      </c>
      <c r="F366" s="56">
        <v>1058.0</v>
      </c>
      <c r="G366" s="76">
        <v>0.0531</v>
      </c>
      <c r="H366" s="58">
        <v>0.042</v>
      </c>
      <c r="I366" s="76">
        <f t="shared" si="253"/>
        <v>0.0951</v>
      </c>
      <c r="J366" s="84">
        <f t="shared" si="254"/>
        <v>11125.13144</v>
      </c>
      <c r="K366" s="85">
        <f t="shared" si="255"/>
        <v>13.275</v>
      </c>
      <c r="L366" s="85">
        <f t="shared" si="256"/>
        <v>31.5</v>
      </c>
      <c r="M366" s="85">
        <f t="shared" si="257"/>
        <v>44.775</v>
      </c>
      <c r="N366" s="85">
        <f t="shared" si="130"/>
        <v>23.6292574</v>
      </c>
      <c r="O366" s="60">
        <f>VLOOKUP(E366,'C Fittings (Brass)'!$E$5:$Q418,13,0)</f>
        <v>1140</v>
      </c>
      <c r="P366" s="88">
        <f>VLOOKUP(E366,CV!$A$2:$H418,8,0)</f>
        <v>197.54</v>
      </c>
      <c r="Q366" s="89">
        <f t="shared" si="258"/>
        <v>5.770983092</v>
      </c>
      <c r="R366" s="89"/>
      <c r="S366" s="89"/>
      <c r="T366" s="89"/>
      <c r="U366" s="89"/>
      <c r="V366" s="89"/>
      <c r="W366" s="89"/>
      <c r="X366" s="89"/>
      <c r="Y366" s="89"/>
      <c r="Z366" s="89"/>
    </row>
    <row r="367" ht="15.75" customHeight="1">
      <c r="A367" s="67" t="str">
        <f t="shared" si="252"/>
        <v>Long Concealed Valve (Quarter Turn)3⁄4MACASA</v>
      </c>
      <c r="B367" s="81">
        <v>4.0</v>
      </c>
      <c r="C367" s="225" t="s">
        <v>51</v>
      </c>
      <c r="D367" s="127" t="s">
        <v>748</v>
      </c>
      <c r="E367" s="112" t="s">
        <v>749</v>
      </c>
      <c r="F367" s="56">
        <v>1058.0</v>
      </c>
      <c r="G367" s="76">
        <v>0.0531</v>
      </c>
      <c r="H367" s="58">
        <v>0.042</v>
      </c>
      <c r="I367" s="76">
        <f t="shared" si="253"/>
        <v>0.0951</v>
      </c>
      <c r="J367" s="84">
        <f t="shared" si="254"/>
        <v>11125.13144</v>
      </c>
      <c r="K367" s="85">
        <f t="shared" si="255"/>
        <v>13.275</v>
      </c>
      <c r="L367" s="85">
        <f t="shared" si="256"/>
        <v>31.5</v>
      </c>
      <c r="M367" s="85">
        <f t="shared" si="257"/>
        <v>44.775</v>
      </c>
      <c r="N367" s="85">
        <f t="shared" si="130"/>
        <v>23.6292574</v>
      </c>
      <c r="O367" s="60">
        <f>VLOOKUP(E367,'C Fittings (Brass)'!$E$5:$Q418,13,0)</f>
        <v>1140</v>
      </c>
      <c r="P367" s="88">
        <f>VLOOKUP(E367,CV!$A$2:$H418,8,0)</f>
        <v>185.38</v>
      </c>
      <c r="Q367" s="89">
        <f t="shared" si="258"/>
        <v>6.149530694</v>
      </c>
      <c r="R367" s="89"/>
      <c r="S367" s="89"/>
      <c r="T367" s="89"/>
      <c r="U367" s="89"/>
      <c r="V367" s="89"/>
      <c r="W367" s="89"/>
      <c r="X367" s="89"/>
      <c r="Y367" s="89"/>
      <c r="Z367" s="89"/>
    </row>
    <row r="368" ht="15.75" customHeight="1">
      <c r="A368" s="67" t="str">
        <f t="shared" si="252"/>
        <v>Long Concealed Valve (Quarter Turn)3⁄4GRACIA</v>
      </c>
      <c r="B368" s="81">
        <v>5.0</v>
      </c>
      <c r="C368" s="225" t="s">
        <v>51</v>
      </c>
      <c r="D368" s="127" t="s">
        <v>754</v>
      </c>
      <c r="E368" s="112" t="s">
        <v>755</v>
      </c>
      <c r="F368" s="56">
        <v>1088.0</v>
      </c>
      <c r="G368" s="76">
        <v>0.0531</v>
      </c>
      <c r="H368" s="58">
        <v>0.042</v>
      </c>
      <c r="I368" s="76">
        <f t="shared" si="253"/>
        <v>0.0951</v>
      </c>
      <c r="J368" s="84">
        <f t="shared" si="254"/>
        <v>11440.58885</v>
      </c>
      <c r="K368" s="85">
        <f t="shared" si="255"/>
        <v>13.275</v>
      </c>
      <c r="L368" s="85">
        <f t="shared" si="256"/>
        <v>31.5</v>
      </c>
      <c r="M368" s="85">
        <f t="shared" si="257"/>
        <v>44.775</v>
      </c>
      <c r="N368" s="85">
        <f t="shared" si="130"/>
        <v>24.29927415</v>
      </c>
      <c r="O368" s="60">
        <f>VLOOKUP(E368,'C Fittings (Brass)'!$E$5:$Q418,13,0)</f>
        <v>1160</v>
      </c>
      <c r="P368" s="88">
        <f>VLOOKUP(E368,CV!$A$2:$H418,8,0)</f>
        <v>209.45</v>
      </c>
      <c r="Q368" s="89">
        <f t="shared" si="258"/>
        <v>5.538314634</v>
      </c>
      <c r="R368" s="89"/>
      <c r="S368" s="89"/>
      <c r="T368" s="89"/>
      <c r="U368" s="89"/>
      <c r="V368" s="89"/>
      <c r="W368" s="89"/>
      <c r="X368" s="89"/>
      <c r="Y368" s="89"/>
      <c r="Z368" s="89"/>
    </row>
    <row r="369" ht="15.75" customHeight="1">
      <c r="A369" s="67" t="str">
        <f t="shared" si="252"/>
        <v>Long Concealed Valve (Quarter Turn)3⁄4TRIANGULER</v>
      </c>
      <c r="B369" s="81">
        <v>6.0</v>
      </c>
      <c r="C369" s="225" t="s">
        <v>51</v>
      </c>
      <c r="D369" s="127" t="s">
        <v>760</v>
      </c>
      <c r="E369" s="112" t="s">
        <v>761</v>
      </c>
      <c r="F369" s="56">
        <v>980.0</v>
      </c>
      <c r="G369" s="76">
        <v>0.0531</v>
      </c>
      <c r="H369" s="58">
        <v>0.042</v>
      </c>
      <c r="I369" s="76">
        <f t="shared" si="253"/>
        <v>0.0951</v>
      </c>
      <c r="J369" s="84">
        <f t="shared" si="254"/>
        <v>10304.94217</v>
      </c>
      <c r="K369" s="85">
        <f t="shared" si="255"/>
        <v>13.275</v>
      </c>
      <c r="L369" s="85">
        <f t="shared" si="256"/>
        <v>31.5</v>
      </c>
      <c r="M369" s="85">
        <f t="shared" si="257"/>
        <v>44.775</v>
      </c>
      <c r="N369" s="85">
        <f t="shared" si="130"/>
        <v>21.88721385</v>
      </c>
      <c r="O369" s="60">
        <f>VLOOKUP(E369,'C Fittings (Brass)'!$E$5:$Q418,13,0)</f>
        <v>1080</v>
      </c>
      <c r="P369" s="88">
        <f>VLOOKUP(E369,CV!$A$2:$H418,8,0)</f>
        <v>107.58</v>
      </c>
      <c r="Q369" s="89">
        <f t="shared" si="258"/>
        <v>10.03904071</v>
      </c>
      <c r="R369" s="89"/>
      <c r="S369" s="89"/>
      <c r="T369" s="89"/>
      <c r="U369" s="89"/>
      <c r="V369" s="89"/>
      <c r="W369" s="89"/>
      <c r="X369" s="89"/>
      <c r="Y369" s="89"/>
      <c r="Z369" s="89"/>
    </row>
    <row r="370">
      <c r="A370" s="100"/>
      <c r="B370" s="102" t="s">
        <v>11</v>
      </c>
      <c r="C370" s="45"/>
      <c r="D370" s="45"/>
      <c r="E370" s="46"/>
      <c r="F370" s="103">
        <f>SUM(F364:F369)</f>
        <v>6144</v>
      </c>
      <c r="G370" s="104"/>
      <c r="H370" s="76" t="str">
        <f>IFERROR(__xludf.DUMMYFUNCTION("IFERROR(VLOOKUP(E370,IMPORTRANGE(""https://docs.google.com/spreadsheets/d/1xZyKy-UzMmtPDLpV5jQdYum1LtbR8XKDuasLSjmBRMI/edit#gid=1241094406"",""COMBINED DATA!E3:L""),8,0))"),"")</f>
        <v/>
      </c>
      <c r="I370" s="76"/>
      <c r="J370" s="116"/>
      <c r="K370" s="85"/>
      <c r="L370" s="85"/>
      <c r="M370" s="85"/>
      <c r="N370" s="85" t="str">
        <f t="shared" si="130"/>
        <v/>
      </c>
      <c r="O370" s="293">
        <f>SUM(O364:O369)</f>
        <v>6680</v>
      </c>
      <c r="P370" s="89"/>
      <c r="Q370" s="89"/>
      <c r="R370" s="89"/>
      <c r="S370" s="89"/>
      <c r="T370" s="89"/>
      <c r="U370" s="89"/>
      <c r="V370" s="89"/>
      <c r="W370" s="89"/>
      <c r="X370" s="89"/>
      <c r="Y370" s="89"/>
      <c r="Z370" s="89"/>
    </row>
    <row r="371" ht="6.0" customHeight="1">
      <c r="A371" s="34"/>
      <c r="B371" s="15"/>
      <c r="C371" s="15"/>
      <c r="D371" s="15"/>
      <c r="E371" s="17"/>
      <c r="F371" s="15"/>
      <c r="G371" s="64"/>
      <c r="H371" s="76" t="str">
        <f>IFERROR(__xludf.DUMMYFUNCTION("IFERROR(VLOOKUP(E371,IMPORTRANGE(""https://docs.google.com/spreadsheets/d/1xZyKy-UzMmtPDLpV5jQdYum1LtbR8XKDuasLSjmBRMI/edit#gid=1241094406"",""COMBINED DATA!E3:L""),8,0))"),"")</f>
        <v/>
      </c>
      <c r="I371" s="76"/>
      <c r="J371" s="65"/>
      <c r="K371" s="85"/>
      <c r="L371" s="85"/>
      <c r="M371" s="85"/>
      <c r="N371" s="85" t="str">
        <f t="shared" si="130"/>
        <v/>
      </c>
      <c r="O371" s="89"/>
      <c r="P371" s="89"/>
      <c r="Q371" s="89"/>
      <c r="R371" s="89"/>
      <c r="S371" s="89"/>
      <c r="T371" s="89"/>
      <c r="U371" s="89"/>
      <c r="V371" s="89"/>
      <c r="W371" s="89"/>
      <c r="X371" s="89"/>
      <c r="Y371" s="89"/>
      <c r="Z371" s="89"/>
    </row>
    <row r="372" ht="22.5" customHeight="1">
      <c r="A372" s="34"/>
      <c r="B372" s="62" t="s">
        <v>777</v>
      </c>
      <c r="C372" s="45"/>
      <c r="D372" s="45"/>
      <c r="E372" s="45"/>
      <c r="F372" s="46"/>
      <c r="G372" s="64"/>
      <c r="H372" s="76" t="str">
        <f>IFERROR(__xludf.DUMMYFUNCTION("IFERROR(VLOOKUP(E372,IMPORTRANGE(""https://docs.google.com/spreadsheets/d/1xZyKy-UzMmtPDLpV5jQdYum1LtbR8XKDuasLSjmBRMI/edit#gid=1241094406"",""COMBINED DATA!E3:L""),8,0))"),"")</f>
        <v/>
      </c>
      <c r="I372" s="76"/>
      <c r="J372" s="65"/>
      <c r="K372" s="85"/>
      <c r="L372" s="85"/>
      <c r="M372" s="85"/>
      <c r="N372" s="85" t="str">
        <f t="shared" si="130"/>
        <v/>
      </c>
      <c r="O372" s="89"/>
      <c r="P372" s="89"/>
      <c r="Q372" s="89"/>
      <c r="R372" s="89"/>
      <c r="S372" s="89"/>
      <c r="T372" s="89"/>
      <c r="U372" s="89"/>
      <c r="V372" s="89"/>
      <c r="W372" s="89"/>
      <c r="X372" s="89"/>
      <c r="Y372" s="89"/>
      <c r="Z372" s="89"/>
    </row>
    <row r="373" ht="15.75" customHeight="1">
      <c r="A373" s="67" t="str">
        <f t="shared" ref="A373:A378" si="259">$B$372&amp;C373&amp;D373</f>
        <v>Full Turn Concealed Valve3⁄4VIVA</v>
      </c>
      <c r="B373" s="81">
        <v>1.0</v>
      </c>
      <c r="C373" s="213" t="s">
        <v>51</v>
      </c>
      <c r="D373" s="110" t="s">
        <v>716</v>
      </c>
      <c r="E373" s="112" t="s">
        <v>783</v>
      </c>
      <c r="F373" s="56">
        <v>980.0</v>
      </c>
      <c r="G373" s="58">
        <v>0.059</v>
      </c>
      <c r="H373" s="58">
        <v>0.042</v>
      </c>
      <c r="I373" s="76">
        <f t="shared" ref="I373:I378" si="260">G373+H373</f>
        <v>0.101</v>
      </c>
      <c r="J373" s="84">
        <f t="shared" ref="J373:J378" si="261">IFERROR(F373/$I373,"")</f>
        <v>9702.970297</v>
      </c>
      <c r="K373" s="85">
        <f t="shared" ref="K373:K378" si="262">IFERROR(G373*250,)</f>
        <v>14.75</v>
      </c>
      <c r="L373" s="85">
        <f t="shared" ref="L373:L378" si="263">IFERROR(H373*750,"")</f>
        <v>31.5</v>
      </c>
      <c r="M373" s="85">
        <f t="shared" ref="M373:M378" si="264">K373+L373</f>
        <v>46.25</v>
      </c>
      <c r="N373" s="85">
        <f t="shared" si="130"/>
        <v>21.18918919</v>
      </c>
      <c r="O373" s="60">
        <f>VLOOKUP(E373,'C Fittings (Brass)'!$E$5:$Q418,13,0)</f>
        <v>1080</v>
      </c>
      <c r="P373" s="88">
        <f>VLOOKUP(Z373,CV!$A$2:$H418,8,0)</f>
        <v>312.51</v>
      </c>
      <c r="Q373" s="89">
        <f t="shared" ref="Q373:Q378" si="265">O373/P373</f>
        <v>3.455889412</v>
      </c>
      <c r="R373" s="89"/>
      <c r="S373" s="89"/>
      <c r="T373" s="89"/>
      <c r="U373" s="89"/>
      <c r="V373" s="89"/>
      <c r="W373" s="89"/>
      <c r="X373" s="89"/>
      <c r="Y373" s="89"/>
      <c r="Z373" s="88" t="s">
        <v>721</v>
      </c>
    </row>
    <row r="374" ht="15.75" customHeight="1">
      <c r="A374" s="67" t="str">
        <f t="shared" si="259"/>
        <v>Full Turn Concealed Valve3⁄4SAGA</v>
      </c>
      <c r="B374" s="81">
        <v>2.0</v>
      </c>
      <c r="C374" s="225" t="s">
        <v>51</v>
      </c>
      <c r="D374" s="127" t="s">
        <v>729</v>
      </c>
      <c r="E374" s="112" t="s">
        <v>791</v>
      </c>
      <c r="F374" s="56">
        <v>980.0</v>
      </c>
      <c r="G374" s="58">
        <v>0.059</v>
      </c>
      <c r="H374" s="58">
        <v>0.042</v>
      </c>
      <c r="I374" s="76">
        <f t="shared" si="260"/>
        <v>0.101</v>
      </c>
      <c r="J374" s="84">
        <f t="shared" si="261"/>
        <v>9702.970297</v>
      </c>
      <c r="K374" s="85">
        <f t="shared" si="262"/>
        <v>14.75</v>
      </c>
      <c r="L374" s="85">
        <f t="shared" si="263"/>
        <v>31.5</v>
      </c>
      <c r="M374" s="85">
        <f t="shared" si="264"/>
        <v>46.25</v>
      </c>
      <c r="N374" s="85">
        <f t="shared" si="130"/>
        <v>21.18918919</v>
      </c>
      <c r="O374" s="60">
        <f>VLOOKUP(E374,'C Fittings (Brass)'!$E$5:$Q418,13,0)</f>
        <v>1080</v>
      </c>
      <c r="P374" s="88">
        <f>VLOOKUP(Z374,CV!$A$2:$H418,8,0)</f>
        <v>278.5</v>
      </c>
      <c r="Q374" s="89">
        <f t="shared" si="265"/>
        <v>3.877917415</v>
      </c>
      <c r="R374" s="89"/>
      <c r="S374" s="89"/>
      <c r="T374" s="89"/>
      <c r="U374" s="89"/>
      <c r="V374" s="89"/>
      <c r="W374" s="89"/>
      <c r="X374" s="89"/>
      <c r="Y374" s="89"/>
      <c r="Z374" s="88" t="s">
        <v>719</v>
      </c>
    </row>
    <row r="375" ht="15.75" customHeight="1">
      <c r="A375" s="67" t="str">
        <f t="shared" si="259"/>
        <v>Full Turn Concealed Valve3⁄4URBONA</v>
      </c>
      <c r="B375" s="81">
        <v>3.0</v>
      </c>
      <c r="C375" s="225" t="s">
        <v>51</v>
      </c>
      <c r="D375" s="127" t="s">
        <v>741</v>
      </c>
      <c r="E375" s="112" t="s">
        <v>797</v>
      </c>
      <c r="F375" s="56">
        <v>980.0</v>
      </c>
      <c r="G375" s="58">
        <v>0.059</v>
      </c>
      <c r="H375" s="58">
        <v>0.042</v>
      </c>
      <c r="I375" s="76">
        <f t="shared" si="260"/>
        <v>0.101</v>
      </c>
      <c r="J375" s="84">
        <f t="shared" si="261"/>
        <v>9702.970297</v>
      </c>
      <c r="K375" s="85">
        <f t="shared" si="262"/>
        <v>14.75</v>
      </c>
      <c r="L375" s="85">
        <f t="shared" si="263"/>
        <v>31.5</v>
      </c>
      <c r="M375" s="85">
        <f t="shared" si="264"/>
        <v>46.25</v>
      </c>
      <c r="N375" s="85">
        <f t="shared" si="130"/>
        <v>21.18918919</v>
      </c>
      <c r="O375" s="60">
        <f>VLOOKUP(E375,'C Fittings (Brass)'!$E$5:$Q418,13,0)</f>
        <v>1080</v>
      </c>
      <c r="P375" s="88">
        <f>VLOOKUP(Z375,CV!$A$2:$H418,8,0)</f>
        <v>273.52</v>
      </c>
      <c r="Q375" s="89">
        <f t="shared" si="265"/>
        <v>3.94852296</v>
      </c>
      <c r="R375" s="89"/>
      <c r="S375" s="89"/>
      <c r="T375" s="89"/>
      <c r="U375" s="89"/>
      <c r="V375" s="89"/>
      <c r="W375" s="89"/>
      <c r="X375" s="89"/>
      <c r="Y375" s="89"/>
      <c r="Z375" s="88" t="s">
        <v>713</v>
      </c>
    </row>
    <row r="376" ht="15.75" customHeight="1">
      <c r="A376" s="67" t="str">
        <f t="shared" si="259"/>
        <v>Full Turn Concealed Valve3⁄4MACASA</v>
      </c>
      <c r="B376" s="81">
        <v>4.0</v>
      </c>
      <c r="C376" s="225" t="s">
        <v>51</v>
      </c>
      <c r="D376" s="127" t="s">
        <v>748</v>
      </c>
      <c r="E376" s="112" t="s">
        <v>799</v>
      </c>
      <c r="F376" s="56">
        <v>980.0</v>
      </c>
      <c r="G376" s="58">
        <v>0.059</v>
      </c>
      <c r="H376" s="58">
        <v>0.042</v>
      </c>
      <c r="I376" s="76">
        <f t="shared" si="260"/>
        <v>0.101</v>
      </c>
      <c r="J376" s="84">
        <f t="shared" si="261"/>
        <v>9702.970297</v>
      </c>
      <c r="K376" s="85">
        <f t="shared" si="262"/>
        <v>14.75</v>
      </c>
      <c r="L376" s="85">
        <f t="shared" si="263"/>
        <v>31.5</v>
      </c>
      <c r="M376" s="85">
        <f t="shared" si="264"/>
        <v>46.25</v>
      </c>
      <c r="N376" s="85">
        <f t="shared" si="130"/>
        <v>21.18918919</v>
      </c>
      <c r="O376" s="60">
        <f>VLOOKUP(E376,'C Fittings (Brass)'!$E$5:$Q418,13,0)</f>
        <v>1080</v>
      </c>
      <c r="P376" s="88">
        <f>VLOOKUP(Z376,CV!$A$2:$H418,8,0)</f>
        <v>264.89</v>
      </c>
      <c r="Q376" s="89">
        <f t="shared" si="265"/>
        <v>4.077164106</v>
      </c>
      <c r="R376" s="89"/>
      <c r="S376" s="89"/>
      <c r="T376" s="89"/>
      <c r="U376" s="89"/>
      <c r="V376" s="89"/>
      <c r="W376" s="89"/>
      <c r="X376" s="89"/>
      <c r="Y376" s="89"/>
      <c r="Z376" s="88" t="s">
        <v>707</v>
      </c>
    </row>
    <row r="377" ht="15.75" customHeight="1">
      <c r="A377" s="67" t="str">
        <f t="shared" si="259"/>
        <v>Full Turn Concealed Valve3⁄4GRACIA</v>
      </c>
      <c r="B377" s="81">
        <v>5.0</v>
      </c>
      <c r="C377" s="225" t="s">
        <v>51</v>
      </c>
      <c r="D377" s="127" t="s">
        <v>754</v>
      </c>
      <c r="E377" s="112" t="s">
        <v>803</v>
      </c>
      <c r="F377" s="56">
        <v>980.0</v>
      </c>
      <c r="G377" s="58">
        <v>0.059</v>
      </c>
      <c r="H377" s="58">
        <v>0.042</v>
      </c>
      <c r="I377" s="76">
        <f t="shared" si="260"/>
        <v>0.101</v>
      </c>
      <c r="J377" s="84">
        <f t="shared" si="261"/>
        <v>9702.970297</v>
      </c>
      <c r="K377" s="85">
        <f t="shared" si="262"/>
        <v>14.75</v>
      </c>
      <c r="L377" s="85">
        <f t="shared" si="263"/>
        <v>31.5</v>
      </c>
      <c r="M377" s="85">
        <f t="shared" si="264"/>
        <v>46.25</v>
      </c>
      <c r="N377" s="85">
        <f t="shared" si="130"/>
        <v>21.18918919</v>
      </c>
      <c r="O377" s="60">
        <f>VLOOKUP(E377,'C Fittings (Brass)'!$E$5:$Q418,13,0)</f>
        <v>1080</v>
      </c>
      <c r="P377" s="88">
        <f>VLOOKUP(Z377,CV!$A$2:$H418,8,0)</f>
        <v>275.39</v>
      </c>
      <c r="Q377" s="89">
        <f t="shared" si="265"/>
        <v>3.921711028</v>
      </c>
      <c r="R377" s="89"/>
      <c r="S377" s="89"/>
      <c r="T377" s="89"/>
      <c r="U377" s="89"/>
      <c r="V377" s="89"/>
      <c r="W377" s="89"/>
      <c r="X377" s="89"/>
      <c r="Y377" s="89"/>
      <c r="Z377" s="88" t="s">
        <v>701</v>
      </c>
    </row>
    <row r="378" ht="15.75" customHeight="1">
      <c r="A378" s="67" t="str">
        <f t="shared" si="259"/>
        <v>Full Turn Concealed Valve3⁄4TRIANGULER</v>
      </c>
      <c r="B378" s="81">
        <v>6.0</v>
      </c>
      <c r="C378" s="225" t="s">
        <v>51</v>
      </c>
      <c r="D378" s="127" t="s">
        <v>760</v>
      </c>
      <c r="E378" s="112" t="s">
        <v>805</v>
      </c>
      <c r="F378" s="56">
        <v>980.0</v>
      </c>
      <c r="G378" s="58">
        <v>0.059</v>
      </c>
      <c r="H378" s="58">
        <v>0.042</v>
      </c>
      <c r="I378" s="76">
        <f t="shared" si="260"/>
        <v>0.101</v>
      </c>
      <c r="J378" s="84">
        <f t="shared" si="261"/>
        <v>9702.970297</v>
      </c>
      <c r="K378" s="85">
        <f t="shared" si="262"/>
        <v>14.75</v>
      </c>
      <c r="L378" s="85">
        <f t="shared" si="263"/>
        <v>31.5</v>
      </c>
      <c r="M378" s="85">
        <f t="shared" si="264"/>
        <v>46.25</v>
      </c>
      <c r="N378" s="85">
        <f t="shared" si="130"/>
        <v>21.18918919</v>
      </c>
      <c r="O378" s="60">
        <f>VLOOKUP(E378,'C Fittings (Brass)'!$E$5:$Q418,13,0)</f>
        <v>1080</v>
      </c>
      <c r="P378" s="88">
        <f>VLOOKUP(Z378,CV!$A$2:$H418,8,0)</f>
        <v>290.64</v>
      </c>
      <c r="Q378" s="89">
        <f t="shared" si="265"/>
        <v>3.715937242</v>
      </c>
      <c r="R378" s="89"/>
      <c r="S378" s="89"/>
      <c r="T378" s="89"/>
      <c r="U378" s="89"/>
      <c r="V378" s="89"/>
      <c r="W378" s="89"/>
      <c r="X378" s="89"/>
      <c r="Y378" s="89"/>
      <c r="Z378" s="88" t="s">
        <v>693</v>
      </c>
    </row>
    <row r="379">
      <c r="A379" s="100"/>
      <c r="B379" s="102" t="s">
        <v>11</v>
      </c>
      <c r="C379" s="45"/>
      <c r="D379" s="45"/>
      <c r="E379" s="46"/>
      <c r="F379" s="103">
        <f>SUM(F373:F378)</f>
        <v>5880</v>
      </c>
      <c r="G379" s="104"/>
      <c r="H379" s="76" t="str">
        <f>IFERROR(__xludf.DUMMYFUNCTION("IFERROR(VLOOKUP(E379,IMPORTRANGE(""https://docs.google.com/spreadsheets/d/1xZyKy-UzMmtPDLpV5jQdYum1LtbR8XKDuasLSjmBRMI/edit#gid=1241094406"",""COMBINED DATA!E3:L""),8,0))"),"")</f>
        <v/>
      </c>
      <c r="I379" s="76"/>
      <c r="J379" s="84"/>
      <c r="K379" s="85"/>
      <c r="L379" s="85"/>
      <c r="M379" s="85"/>
      <c r="N379" s="85" t="str">
        <f t="shared" si="130"/>
        <v/>
      </c>
      <c r="O379" s="293">
        <f>SUM(O373:O378)</f>
        <v>6480</v>
      </c>
      <c r="P379" s="89"/>
      <c r="Q379" s="89"/>
      <c r="R379" s="89"/>
      <c r="S379" s="89"/>
      <c r="T379" s="89"/>
      <c r="U379" s="89"/>
      <c r="V379" s="89"/>
      <c r="W379" s="89"/>
      <c r="X379" s="89"/>
      <c r="Y379" s="89"/>
      <c r="Z379" s="89"/>
    </row>
    <row r="380" ht="6.0" customHeight="1">
      <c r="A380" s="34"/>
      <c r="B380" s="15"/>
      <c r="C380" s="15"/>
      <c r="D380" s="15"/>
      <c r="E380" s="17"/>
      <c r="F380" s="15"/>
      <c r="G380" s="64"/>
      <c r="H380" s="76" t="str">
        <f>IFERROR(__xludf.DUMMYFUNCTION("IFERROR(VLOOKUP(E380,IMPORTRANGE(""https://docs.google.com/spreadsheets/d/1xZyKy-UzMmtPDLpV5jQdYum1LtbR8XKDuasLSjmBRMI/edit#gid=1241094406"",""COMBINED DATA!E3:L""),8,0))"),"")</f>
        <v/>
      </c>
      <c r="I380" s="76"/>
      <c r="J380" s="65"/>
      <c r="K380" s="85"/>
      <c r="L380" s="85"/>
      <c r="M380" s="85"/>
      <c r="N380" s="85" t="str">
        <f t="shared" si="130"/>
        <v/>
      </c>
      <c r="O380" s="89"/>
      <c r="P380" s="89"/>
      <c r="Q380" s="89"/>
      <c r="R380" s="89"/>
      <c r="S380" s="89"/>
      <c r="T380" s="89"/>
      <c r="U380" s="89"/>
      <c r="V380" s="89"/>
      <c r="W380" s="89"/>
      <c r="X380" s="89"/>
      <c r="Y380" s="89"/>
      <c r="Z380" s="89"/>
    </row>
    <row r="381" ht="22.5" customHeight="1">
      <c r="A381" s="34"/>
      <c r="B381" s="62" t="s">
        <v>814</v>
      </c>
      <c r="C381" s="45"/>
      <c r="D381" s="45"/>
      <c r="E381" s="45"/>
      <c r="F381" s="46"/>
      <c r="G381" s="64"/>
      <c r="H381" s="76" t="str">
        <f>IFERROR(__xludf.DUMMYFUNCTION("IFERROR(VLOOKUP(E381,IMPORTRANGE(""https://docs.google.com/spreadsheets/d/1xZyKy-UzMmtPDLpV5jQdYum1LtbR8XKDuasLSjmBRMI/edit#gid=1241094406"",""COMBINED DATA!E3:L""),8,0))"),"")</f>
        <v/>
      </c>
      <c r="I381" s="76"/>
      <c r="J381" s="65"/>
      <c r="K381" s="85"/>
      <c r="L381" s="85"/>
      <c r="M381" s="85"/>
      <c r="N381" s="85" t="str">
        <f t="shared" si="130"/>
        <v/>
      </c>
      <c r="O381" s="89"/>
      <c r="P381" s="89"/>
      <c r="Q381" s="89"/>
      <c r="R381" s="89"/>
      <c r="S381" s="89"/>
      <c r="T381" s="89"/>
      <c r="U381" s="89"/>
      <c r="V381" s="89"/>
      <c r="W381" s="89"/>
      <c r="X381" s="89"/>
      <c r="Y381" s="89"/>
      <c r="Z381" s="89"/>
    </row>
    <row r="382" ht="15.75" customHeight="1">
      <c r="A382" s="67" t="str">
        <f t="shared" ref="A382:A387" si="266">$B$381&amp;C382&amp;D382</f>
        <v>Short Concealed Valve (Quarter Turn)3⁄4VIVA</v>
      </c>
      <c r="B382" s="81">
        <v>1.0</v>
      </c>
      <c r="C382" s="213" t="s">
        <v>51</v>
      </c>
      <c r="D382" s="110" t="s">
        <v>716</v>
      </c>
      <c r="E382" s="112" t="s">
        <v>819</v>
      </c>
      <c r="F382" s="56">
        <v>980.0</v>
      </c>
      <c r="G382" s="76">
        <v>0.0658</v>
      </c>
      <c r="H382" s="58">
        <v>0.042</v>
      </c>
      <c r="I382" s="76">
        <f t="shared" ref="I382:I387" si="267">G382+H382</f>
        <v>0.1078</v>
      </c>
      <c r="J382" s="84">
        <f t="shared" ref="J382:J387" si="268">IFERROR(F382/$I382,"")</f>
        <v>9090.909091</v>
      </c>
      <c r="K382" s="85">
        <f t="shared" ref="K382:K387" si="269">IFERROR(G382*250,)</f>
        <v>16.45</v>
      </c>
      <c r="L382" s="85">
        <f t="shared" ref="L382:L387" si="270">IFERROR(H382*750,"")</f>
        <v>31.5</v>
      </c>
      <c r="M382" s="85">
        <f t="shared" ref="M382:M387" si="271">K382+L382</f>
        <v>47.95</v>
      </c>
      <c r="N382" s="85">
        <f t="shared" si="130"/>
        <v>20.4379562</v>
      </c>
      <c r="O382" s="60">
        <f>VLOOKUP(E382,'C Fittings (Brass)'!$E$5:$Q418,13,0)</f>
        <v>1080</v>
      </c>
      <c r="P382" s="88">
        <f>VLOOKUP(Z382,CV!$A$2:$H418,8,0)</f>
        <v>222.27</v>
      </c>
      <c r="Q382" s="89">
        <f t="shared" ref="Q382:Q387" si="272">O382/P382</f>
        <v>4.858955325</v>
      </c>
      <c r="R382" s="89"/>
      <c r="S382" s="89"/>
      <c r="T382" s="89"/>
      <c r="U382" s="89"/>
      <c r="V382" s="89"/>
      <c r="W382" s="89"/>
      <c r="X382" s="89"/>
      <c r="Y382" s="89"/>
      <c r="Z382" s="88" t="s">
        <v>685</v>
      </c>
    </row>
    <row r="383" ht="15.75" customHeight="1">
      <c r="A383" s="67" t="str">
        <f t="shared" si="266"/>
        <v>Short Concealed Valve (Quarter Turn)3⁄4SAGA</v>
      </c>
      <c r="B383" s="81">
        <v>2.0</v>
      </c>
      <c r="C383" s="225" t="s">
        <v>51</v>
      </c>
      <c r="D383" s="127" t="s">
        <v>729</v>
      </c>
      <c r="E383" s="112" t="s">
        <v>828</v>
      </c>
      <c r="F383" s="56">
        <v>980.0</v>
      </c>
      <c r="G383" s="76">
        <v>0.0658</v>
      </c>
      <c r="H383" s="58">
        <v>0.042</v>
      </c>
      <c r="I383" s="76">
        <f t="shared" si="267"/>
        <v>0.1078</v>
      </c>
      <c r="J383" s="84">
        <f t="shared" si="268"/>
        <v>9090.909091</v>
      </c>
      <c r="K383" s="85">
        <f t="shared" si="269"/>
        <v>16.45</v>
      </c>
      <c r="L383" s="85">
        <f t="shared" si="270"/>
        <v>31.5</v>
      </c>
      <c r="M383" s="85">
        <f t="shared" si="271"/>
        <v>47.95</v>
      </c>
      <c r="N383" s="85">
        <f t="shared" si="130"/>
        <v>20.4379562</v>
      </c>
      <c r="O383" s="60">
        <f>VLOOKUP(E383,'C Fittings (Brass)'!$E$5:$Q418,13,0)</f>
        <v>1080</v>
      </c>
      <c r="P383" s="88">
        <f>VLOOKUP(Z383,CV!$A$2:$H418,8,0)</f>
        <v>198.55</v>
      </c>
      <c r="Q383" s="89">
        <f t="shared" si="272"/>
        <v>5.43943591</v>
      </c>
      <c r="R383" s="89"/>
      <c r="S383" s="89"/>
      <c r="T383" s="89"/>
      <c r="U383" s="89"/>
      <c r="V383" s="89"/>
      <c r="W383" s="89"/>
      <c r="X383" s="89"/>
      <c r="Y383" s="89"/>
      <c r="Z383" s="88" t="s">
        <v>678</v>
      </c>
    </row>
    <row r="384" ht="15.75" customHeight="1">
      <c r="A384" s="67" t="str">
        <f t="shared" si="266"/>
        <v>Short Concealed Valve (Quarter Turn)3⁄4URBONA</v>
      </c>
      <c r="B384" s="81">
        <v>3.0</v>
      </c>
      <c r="C384" s="225" t="s">
        <v>51</v>
      </c>
      <c r="D384" s="127" t="s">
        <v>741</v>
      </c>
      <c r="E384" s="112" t="s">
        <v>832</v>
      </c>
      <c r="F384" s="56">
        <v>980.0</v>
      </c>
      <c r="G384" s="76">
        <v>0.0658</v>
      </c>
      <c r="H384" s="58">
        <v>0.042</v>
      </c>
      <c r="I384" s="76">
        <f t="shared" si="267"/>
        <v>0.1078</v>
      </c>
      <c r="J384" s="84">
        <f t="shared" si="268"/>
        <v>9090.909091</v>
      </c>
      <c r="K384" s="85">
        <f t="shared" si="269"/>
        <v>16.45</v>
      </c>
      <c r="L384" s="85">
        <f t="shared" si="270"/>
        <v>31.5</v>
      </c>
      <c r="M384" s="85">
        <f t="shared" si="271"/>
        <v>47.95</v>
      </c>
      <c r="N384" s="85">
        <f t="shared" si="130"/>
        <v>20.4379562</v>
      </c>
      <c r="O384" s="60">
        <f>VLOOKUP(E384,'C Fittings (Brass)'!$E$5:$Q418,13,0)</f>
        <v>1080</v>
      </c>
      <c r="P384" s="88">
        <f>VLOOKUP(Z384,CV!$A$2:$H418,8,0)</f>
        <v>193.67</v>
      </c>
      <c r="Q384" s="89">
        <f t="shared" si="272"/>
        <v>5.576496102</v>
      </c>
      <c r="R384" s="89"/>
      <c r="S384" s="89"/>
      <c r="T384" s="89"/>
      <c r="U384" s="89"/>
      <c r="V384" s="89"/>
      <c r="W384" s="89"/>
      <c r="X384" s="89"/>
      <c r="Y384" s="89"/>
      <c r="Z384" s="88" t="s">
        <v>673</v>
      </c>
    </row>
    <row r="385" ht="15.75" customHeight="1">
      <c r="A385" s="67" t="str">
        <f t="shared" si="266"/>
        <v>Short Concealed Valve (Quarter Turn)3⁄4MACASA</v>
      </c>
      <c r="B385" s="81">
        <v>4.0</v>
      </c>
      <c r="C385" s="225" t="s">
        <v>51</v>
      </c>
      <c r="D385" s="127" t="s">
        <v>748</v>
      </c>
      <c r="E385" s="112" t="s">
        <v>833</v>
      </c>
      <c r="F385" s="56">
        <v>980.0</v>
      </c>
      <c r="G385" s="76">
        <v>0.0658</v>
      </c>
      <c r="H385" s="58">
        <v>0.042</v>
      </c>
      <c r="I385" s="76">
        <f t="shared" si="267"/>
        <v>0.1078</v>
      </c>
      <c r="J385" s="84">
        <f t="shared" si="268"/>
        <v>9090.909091</v>
      </c>
      <c r="K385" s="85">
        <f t="shared" si="269"/>
        <v>16.45</v>
      </c>
      <c r="L385" s="85">
        <f t="shared" si="270"/>
        <v>31.5</v>
      </c>
      <c r="M385" s="85">
        <f t="shared" si="271"/>
        <v>47.95</v>
      </c>
      <c r="N385" s="85">
        <f t="shared" si="130"/>
        <v>20.4379562</v>
      </c>
      <c r="O385" s="60">
        <f>VLOOKUP(E385,'C Fittings (Brass)'!$E$5:$Q418,13,0)</f>
        <v>1080</v>
      </c>
      <c r="P385" s="88">
        <f>VLOOKUP(Z385,CV!$A$2:$H418,8,0)</f>
        <v>198.19</v>
      </c>
      <c r="Q385" s="89">
        <f t="shared" si="272"/>
        <v>5.449316313</v>
      </c>
      <c r="R385" s="89"/>
      <c r="S385" s="89"/>
      <c r="T385" s="89"/>
      <c r="U385" s="89"/>
      <c r="V385" s="89"/>
      <c r="W385" s="89"/>
      <c r="X385" s="89"/>
      <c r="Y385" s="89"/>
      <c r="Z385" s="88" t="s">
        <v>650</v>
      </c>
    </row>
    <row r="386" ht="15.75" customHeight="1">
      <c r="A386" s="67" t="str">
        <f t="shared" si="266"/>
        <v>Short Concealed Valve (Quarter Turn)3⁄4GRACIA</v>
      </c>
      <c r="B386" s="81">
        <v>5.0</v>
      </c>
      <c r="C386" s="225" t="s">
        <v>51</v>
      </c>
      <c r="D386" s="127" t="s">
        <v>754</v>
      </c>
      <c r="E386" s="112" t="s">
        <v>838</v>
      </c>
      <c r="F386" s="56">
        <v>980.0</v>
      </c>
      <c r="G386" s="76">
        <v>0.0658</v>
      </c>
      <c r="H386" s="58">
        <v>0.042</v>
      </c>
      <c r="I386" s="76">
        <f t="shared" si="267"/>
        <v>0.1078</v>
      </c>
      <c r="J386" s="84">
        <f t="shared" si="268"/>
        <v>9090.909091</v>
      </c>
      <c r="K386" s="85">
        <f t="shared" si="269"/>
        <v>16.45</v>
      </c>
      <c r="L386" s="85">
        <f t="shared" si="270"/>
        <v>31.5</v>
      </c>
      <c r="M386" s="85">
        <f t="shared" si="271"/>
        <v>47.95</v>
      </c>
      <c r="N386" s="85">
        <f t="shared" si="130"/>
        <v>20.4379562</v>
      </c>
      <c r="O386" s="60">
        <f>VLOOKUP(E386,'C Fittings (Brass)'!$E$5:$Q418,13,0)</f>
        <v>1080</v>
      </c>
      <c r="P386" s="88">
        <f>VLOOKUP(Z386,CV!$A$2:$H418,8,0)</f>
        <v>195.58</v>
      </c>
      <c r="Q386" s="89">
        <f t="shared" si="272"/>
        <v>5.522037018</v>
      </c>
      <c r="R386" s="89"/>
      <c r="S386" s="89"/>
      <c r="T386" s="89"/>
      <c r="U386" s="89"/>
      <c r="V386" s="89"/>
      <c r="W386" s="89"/>
      <c r="X386" s="89"/>
      <c r="Y386" s="89"/>
      <c r="Z386" s="88" t="s">
        <v>637</v>
      </c>
    </row>
    <row r="387" ht="15.75" customHeight="1">
      <c r="A387" s="67" t="str">
        <f t="shared" si="266"/>
        <v>Short Concealed Valve (Quarter Turn)3⁄4TRIANGULER</v>
      </c>
      <c r="B387" s="81">
        <v>6.0</v>
      </c>
      <c r="C387" s="225" t="s">
        <v>51</v>
      </c>
      <c r="D387" s="127" t="s">
        <v>760</v>
      </c>
      <c r="E387" s="112" t="s">
        <v>842</v>
      </c>
      <c r="F387" s="56">
        <v>980.0</v>
      </c>
      <c r="G387" s="76">
        <v>0.0658</v>
      </c>
      <c r="H387" s="58">
        <v>0.042</v>
      </c>
      <c r="I387" s="76">
        <f t="shared" si="267"/>
        <v>0.1078</v>
      </c>
      <c r="J387" s="84">
        <f t="shared" si="268"/>
        <v>9090.909091</v>
      </c>
      <c r="K387" s="85">
        <f t="shared" si="269"/>
        <v>16.45</v>
      </c>
      <c r="L387" s="85">
        <f t="shared" si="270"/>
        <v>31.5</v>
      </c>
      <c r="M387" s="85">
        <f t="shared" si="271"/>
        <v>47.95</v>
      </c>
      <c r="N387" s="85">
        <f t="shared" si="130"/>
        <v>20.4379562</v>
      </c>
      <c r="O387" s="60">
        <f>VLOOKUP(E387,'C Fittings (Brass)'!$E$5:$Q418,13,0)</f>
        <v>1080</v>
      </c>
      <c r="P387" s="88">
        <f>VLOOKUP(Z387,CV!$A$2:$H418,8,0)</f>
        <v>193.71</v>
      </c>
      <c r="Q387" s="89">
        <f t="shared" si="272"/>
        <v>5.575344587</v>
      </c>
      <c r="R387" s="89"/>
      <c r="S387" s="89"/>
      <c r="T387" s="89"/>
      <c r="U387" s="89"/>
      <c r="V387" s="89"/>
      <c r="W387" s="89"/>
      <c r="X387" s="89"/>
      <c r="Y387" s="89"/>
      <c r="Z387" s="88" t="s">
        <v>621</v>
      </c>
    </row>
    <row r="388">
      <c r="A388" s="100"/>
      <c r="B388" s="102" t="s">
        <v>11</v>
      </c>
      <c r="C388" s="45"/>
      <c r="D388" s="45"/>
      <c r="E388" s="46"/>
      <c r="F388" s="103">
        <f>SUM(F382:F387)</f>
        <v>5880</v>
      </c>
      <c r="G388" s="104"/>
      <c r="H388" s="76" t="str">
        <f>IFERROR(__xludf.DUMMYFUNCTION("IFERROR(VLOOKUP(E388,IMPORTRANGE(""https://docs.google.com/spreadsheets/d/1xZyKy-UzMmtPDLpV5jQdYum1LtbR8XKDuasLSjmBRMI/edit#gid=1241094406"",""COMBINED DATA!E3:L""),8,0))"),"")</f>
        <v/>
      </c>
      <c r="I388" s="76"/>
      <c r="J388" s="116"/>
      <c r="K388" s="85"/>
      <c r="L388" s="85"/>
      <c r="M388" s="85"/>
      <c r="N388" s="85" t="str">
        <f t="shared" si="130"/>
        <v/>
      </c>
      <c r="O388" s="293">
        <f>SUM(O382:O387)</f>
        <v>6480</v>
      </c>
      <c r="P388" s="89"/>
      <c r="Q388" s="89"/>
      <c r="R388" s="89"/>
      <c r="S388" s="89"/>
      <c r="T388" s="89"/>
      <c r="U388" s="89"/>
      <c r="V388" s="89"/>
      <c r="W388" s="89"/>
      <c r="X388" s="89"/>
      <c r="Y388" s="89"/>
      <c r="Z388" s="89"/>
    </row>
    <row r="389" ht="6.75" customHeight="1">
      <c r="A389" s="34"/>
      <c r="B389" s="15"/>
      <c r="C389" s="15"/>
      <c r="D389" s="15"/>
      <c r="E389" s="17"/>
      <c r="F389" s="15"/>
      <c r="G389" s="64"/>
      <c r="H389" s="76" t="str">
        <f>IFERROR(__xludf.DUMMYFUNCTION("IFERROR(VLOOKUP(E389,IMPORTRANGE(""https://docs.google.com/spreadsheets/d/1xZyKy-UzMmtPDLpV5jQdYum1LtbR8XKDuasLSjmBRMI/edit#gid=1241094406"",""COMBINED DATA!E3:L""),8,0))"),"")</f>
        <v/>
      </c>
      <c r="I389" s="76"/>
      <c r="J389" s="65"/>
      <c r="K389" s="85"/>
      <c r="L389" s="85"/>
      <c r="M389" s="85"/>
      <c r="N389" s="85" t="str">
        <f t="shared" ref="N389:N403" si="273">IFERROR(#REF!/M389,"")</f>
        <v/>
      </c>
      <c r="O389" s="89"/>
      <c r="P389" s="89"/>
      <c r="Q389" s="89"/>
      <c r="R389" s="89"/>
      <c r="S389" s="89"/>
      <c r="T389" s="89"/>
      <c r="U389" s="89"/>
      <c r="V389" s="89"/>
      <c r="W389" s="89"/>
      <c r="X389" s="89"/>
      <c r="Y389" s="89"/>
      <c r="Z389" s="89"/>
    </row>
    <row r="390">
      <c r="A390" s="34"/>
      <c r="B390" s="237" t="s">
        <v>777</v>
      </c>
      <c r="C390" s="45"/>
      <c r="D390" s="45"/>
      <c r="E390" s="45"/>
      <c r="F390" s="46"/>
      <c r="G390" s="296"/>
      <c r="H390" s="296"/>
      <c r="I390" s="76"/>
      <c r="J390" s="65"/>
      <c r="K390" s="85"/>
      <c r="L390" s="85"/>
      <c r="M390" s="85"/>
      <c r="N390" s="85" t="str">
        <f t="shared" si="273"/>
        <v/>
      </c>
      <c r="O390" s="89"/>
      <c r="P390" s="89"/>
      <c r="Q390" s="89"/>
      <c r="R390" s="89"/>
      <c r="S390" s="89"/>
      <c r="T390" s="89"/>
      <c r="U390" s="89"/>
      <c r="V390" s="89"/>
      <c r="W390" s="89"/>
      <c r="X390" s="89"/>
      <c r="Y390" s="89"/>
      <c r="Z390" s="89"/>
    </row>
    <row r="391" ht="15.75" customHeight="1">
      <c r="A391" s="34"/>
      <c r="B391" s="51">
        <v>1.0</v>
      </c>
      <c r="C391" s="213" t="s">
        <v>84</v>
      </c>
      <c r="D391" s="70" t="s">
        <v>716</v>
      </c>
      <c r="E391" s="94" t="s">
        <v>859</v>
      </c>
      <c r="F391" s="56">
        <v>1299.0</v>
      </c>
      <c r="G391" s="297"/>
      <c r="H391" s="297"/>
      <c r="I391" s="238" t="s">
        <v>722</v>
      </c>
      <c r="J391" s="65"/>
      <c r="K391" s="85"/>
      <c r="L391" s="85"/>
      <c r="M391" s="85"/>
      <c r="N391" s="85" t="str">
        <f t="shared" si="273"/>
        <v/>
      </c>
      <c r="O391" s="60">
        <f>VLOOKUP(E391,'C Fittings (Brass)'!$E$5:$Q418,13,0)</f>
        <v>1299</v>
      </c>
      <c r="P391" s="88">
        <f>IFERROR(VLOOKUP(Z391,CV!$A$2:$H418,8,0),"")</f>
        <v>300.45</v>
      </c>
      <c r="Q391" s="89">
        <f>O391/P391</f>
        <v>4.323514728</v>
      </c>
      <c r="R391" s="89"/>
      <c r="S391" s="89"/>
      <c r="T391" s="89"/>
      <c r="U391" s="89"/>
      <c r="V391" s="89"/>
      <c r="W391" s="89"/>
      <c r="X391" s="89"/>
      <c r="Y391" s="89"/>
      <c r="Z391" s="88" t="s">
        <v>756</v>
      </c>
    </row>
    <row r="392" ht="15.75" customHeight="1">
      <c r="A392" s="34"/>
      <c r="B392" s="51">
        <v>2.0</v>
      </c>
      <c r="C392" s="213" t="s">
        <v>84</v>
      </c>
      <c r="D392" s="92" t="s">
        <v>729</v>
      </c>
      <c r="E392" s="94" t="s">
        <v>866</v>
      </c>
      <c r="F392" s="56">
        <v>1299.0</v>
      </c>
      <c r="G392" s="297"/>
      <c r="H392" s="297"/>
      <c r="I392" s="238" t="s">
        <v>722</v>
      </c>
      <c r="J392" s="65"/>
      <c r="K392" s="85"/>
      <c r="L392" s="85"/>
      <c r="M392" s="85"/>
      <c r="N392" s="85" t="str">
        <f t="shared" si="273"/>
        <v/>
      </c>
      <c r="O392" s="60">
        <f>VLOOKUP(E392,'C Fittings (Brass)'!$E$5:$Q418,13,0)</f>
        <v>1299</v>
      </c>
      <c r="P392" s="88" t="str">
        <f>IFERROR(VLOOKUP(Z392,CV!$A$2:$H418,8,0),"")</f>
        <v/>
      </c>
      <c r="Q392" s="89"/>
      <c r="R392" s="89"/>
      <c r="S392" s="89"/>
      <c r="T392" s="89"/>
      <c r="U392" s="89"/>
      <c r="V392" s="89"/>
      <c r="W392" s="89"/>
      <c r="X392" s="89"/>
      <c r="Y392" s="89"/>
      <c r="Z392" s="88" t="s">
        <v>1095</v>
      </c>
    </row>
    <row r="393" ht="15.75" customHeight="1">
      <c r="A393" s="34"/>
      <c r="B393" s="51">
        <v>3.0</v>
      </c>
      <c r="C393" s="213" t="s">
        <v>84</v>
      </c>
      <c r="D393" s="92" t="s">
        <v>741</v>
      </c>
      <c r="E393" s="94" t="s">
        <v>872</v>
      </c>
      <c r="F393" s="56">
        <v>1377.0</v>
      </c>
      <c r="G393" s="297"/>
      <c r="H393" s="297"/>
      <c r="I393" s="238" t="s">
        <v>722</v>
      </c>
      <c r="J393" s="65"/>
      <c r="K393" s="85"/>
      <c r="L393" s="85"/>
      <c r="M393" s="85"/>
      <c r="N393" s="85" t="str">
        <f t="shared" si="273"/>
        <v/>
      </c>
      <c r="O393" s="60">
        <f>VLOOKUP(E393,'C Fittings (Brass)'!$E$5:$Q418,13,0)</f>
        <v>1377</v>
      </c>
      <c r="P393" s="88">
        <f>IFERROR(VLOOKUP(Z393,CV!$A$2:$H418,8,0),"")</f>
        <v>253.02</v>
      </c>
      <c r="Q393" s="89">
        <f t="shared" ref="Q393:Q394" si="274">O393/P393</f>
        <v>5.442257529</v>
      </c>
      <c r="R393" s="89"/>
      <c r="S393" s="89"/>
      <c r="T393" s="89"/>
      <c r="U393" s="89"/>
      <c r="V393" s="89"/>
      <c r="W393" s="89"/>
      <c r="X393" s="89"/>
      <c r="Y393" s="89"/>
      <c r="Z393" s="88" t="s">
        <v>750</v>
      </c>
    </row>
    <row r="394" ht="15.75" customHeight="1">
      <c r="A394" s="34"/>
      <c r="B394" s="51">
        <v>4.0</v>
      </c>
      <c r="C394" s="213" t="s">
        <v>84</v>
      </c>
      <c r="D394" s="92" t="s">
        <v>748</v>
      </c>
      <c r="E394" s="94" t="s">
        <v>876</v>
      </c>
      <c r="F394" s="56">
        <v>1377.0</v>
      </c>
      <c r="G394" s="297"/>
      <c r="H394" s="297"/>
      <c r="I394" s="238" t="s">
        <v>722</v>
      </c>
      <c r="J394" s="65"/>
      <c r="K394" s="85"/>
      <c r="L394" s="85"/>
      <c r="M394" s="85"/>
      <c r="N394" s="85" t="str">
        <f t="shared" si="273"/>
        <v/>
      </c>
      <c r="O394" s="60">
        <f>VLOOKUP(E394,'C Fittings (Brass)'!$E$5:$Q418,13,0)</f>
        <v>1377</v>
      </c>
      <c r="P394" s="88">
        <f>IFERROR(VLOOKUP(Z394,CV!$A$2:$H418,8,0),"")</f>
        <v>241.85</v>
      </c>
      <c r="Q394" s="89">
        <f t="shared" si="274"/>
        <v>5.693611743</v>
      </c>
      <c r="R394" s="89"/>
      <c r="S394" s="89"/>
      <c r="T394" s="89"/>
      <c r="U394" s="89"/>
      <c r="V394" s="89"/>
      <c r="W394" s="89"/>
      <c r="X394" s="89"/>
      <c r="Y394" s="89"/>
      <c r="Z394" s="88" t="s">
        <v>742</v>
      </c>
    </row>
    <row r="395" ht="15.75" customHeight="1">
      <c r="A395" s="34"/>
      <c r="B395" s="51">
        <v>5.0</v>
      </c>
      <c r="C395" s="213" t="s">
        <v>84</v>
      </c>
      <c r="D395" s="92" t="s">
        <v>754</v>
      </c>
      <c r="E395" s="94" t="s">
        <v>877</v>
      </c>
      <c r="F395" s="56">
        <v>1407.0</v>
      </c>
      <c r="G395" s="297"/>
      <c r="H395" s="297"/>
      <c r="I395" s="238" t="s">
        <v>722</v>
      </c>
      <c r="J395" s="65"/>
      <c r="K395" s="85"/>
      <c r="L395" s="85"/>
      <c r="M395" s="85"/>
      <c r="N395" s="85" t="str">
        <f t="shared" si="273"/>
        <v/>
      </c>
      <c r="O395" s="60">
        <f>VLOOKUP(E395,'C Fittings (Brass)'!$E$5:$Q418,13,0)</f>
        <v>1407</v>
      </c>
      <c r="P395" s="88" t="str">
        <f>IFERROR(VLOOKUP(Z395,CV!$A$2:$H418,8,0),"")</f>
        <v/>
      </c>
      <c r="Q395" s="89"/>
      <c r="R395" s="89"/>
      <c r="S395" s="89"/>
      <c r="T395" s="89"/>
      <c r="U395" s="89"/>
      <c r="V395" s="89"/>
      <c r="W395" s="89"/>
      <c r="X395" s="89"/>
      <c r="Y395" s="89"/>
      <c r="Z395" s="88" t="s">
        <v>1097</v>
      </c>
    </row>
    <row r="396" ht="15.75" customHeight="1">
      <c r="A396" s="34"/>
      <c r="B396" s="51">
        <v>6.0</v>
      </c>
      <c r="C396" s="213" t="s">
        <v>84</v>
      </c>
      <c r="D396" s="92" t="s">
        <v>760</v>
      </c>
      <c r="E396" s="94" t="s">
        <v>882</v>
      </c>
      <c r="F396" s="56">
        <v>1299.0</v>
      </c>
      <c r="G396" s="297"/>
      <c r="H396" s="297"/>
      <c r="I396" s="238" t="s">
        <v>722</v>
      </c>
      <c r="J396" s="65"/>
      <c r="K396" s="85"/>
      <c r="L396" s="85"/>
      <c r="M396" s="85"/>
      <c r="N396" s="85" t="str">
        <f t="shared" si="273"/>
        <v/>
      </c>
      <c r="O396" s="60">
        <f>VLOOKUP(E396,'C Fittings (Brass)'!$E$5:$Q418,13,0)</f>
        <v>1299</v>
      </c>
      <c r="P396" s="88">
        <f>IFERROR(VLOOKUP(Z396,CV!$A$2:$H418,8,0),"")</f>
        <v>270.78</v>
      </c>
      <c r="Q396" s="89">
        <f>O396/P396</f>
        <v>4.797252382</v>
      </c>
      <c r="R396" s="89"/>
      <c r="S396" s="89"/>
      <c r="T396" s="89"/>
      <c r="U396" s="89"/>
      <c r="V396" s="89"/>
      <c r="W396" s="89"/>
      <c r="X396" s="89"/>
      <c r="Y396" s="89"/>
      <c r="Z396" s="88" t="s">
        <v>728</v>
      </c>
    </row>
    <row r="397">
      <c r="A397" s="34"/>
      <c r="B397" s="237" t="s">
        <v>11</v>
      </c>
      <c r="C397" s="45"/>
      <c r="D397" s="45"/>
      <c r="E397" s="46"/>
      <c r="F397" s="239">
        <f>SUM(F391:F396)</f>
        <v>8058</v>
      </c>
      <c r="G397" s="298"/>
      <c r="H397" s="296"/>
      <c r="I397" s="65"/>
      <c r="J397" s="65"/>
      <c r="K397" s="85"/>
      <c r="L397" s="85"/>
      <c r="M397" s="85"/>
      <c r="N397" s="85" t="str">
        <f t="shared" si="273"/>
        <v/>
      </c>
      <c r="O397" s="293">
        <f>SUM(O391:O396)</f>
        <v>8058</v>
      </c>
      <c r="P397" s="89"/>
      <c r="Q397" s="89"/>
      <c r="R397" s="89"/>
      <c r="S397" s="89"/>
      <c r="T397" s="89"/>
      <c r="U397" s="89"/>
      <c r="V397" s="89"/>
      <c r="W397" s="89"/>
      <c r="X397" s="89"/>
      <c r="Y397" s="89"/>
      <c r="Z397" s="89"/>
    </row>
    <row r="398" ht="6.75" customHeight="1">
      <c r="A398" s="34"/>
      <c r="B398" s="299"/>
      <c r="C398" s="299"/>
      <c r="D398" s="299"/>
      <c r="E398" s="299"/>
      <c r="F398" s="299"/>
      <c r="G398" s="300"/>
      <c r="H398" s="296"/>
      <c r="I398" s="242"/>
      <c r="J398" s="65"/>
      <c r="K398" s="85"/>
      <c r="L398" s="85"/>
      <c r="M398" s="85"/>
      <c r="N398" s="85" t="str">
        <f t="shared" si="273"/>
        <v/>
      </c>
      <c r="O398" s="89"/>
      <c r="P398" s="89"/>
      <c r="Q398" s="89"/>
      <c r="R398" s="89"/>
      <c r="S398" s="89"/>
      <c r="T398" s="89"/>
      <c r="U398" s="89"/>
      <c r="V398" s="89"/>
      <c r="W398" s="89"/>
      <c r="X398" s="89"/>
      <c r="Y398" s="89"/>
      <c r="Z398" s="89"/>
    </row>
    <row r="399">
      <c r="A399" s="34"/>
      <c r="B399" s="237" t="s">
        <v>894</v>
      </c>
      <c r="C399" s="45"/>
      <c r="D399" s="45"/>
      <c r="E399" s="45"/>
      <c r="F399" s="46"/>
      <c r="G399" s="300"/>
      <c r="H399" s="296"/>
      <c r="I399" s="242"/>
      <c r="J399" s="65"/>
      <c r="K399" s="85"/>
      <c r="L399" s="85"/>
      <c r="M399" s="85"/>
      <c r="N399" s="85" t="str">
        <f t="shared" si="273"/>
        <v/>
      </c>
      <c r="O399" s="89"/>
      <c r="P399" s="89"/>
      <c r="Q399" s="89"/>
      <c r="R399" s="89"/>
      <c r="S399" s="89"/>
      <c r="T399" s="89"/>
      <c r="U399" s="89"/>
      <c r="V399" s="89"/>
      <c r="W399" s="89"/>
      <c r="X399" s="89"/>
      <c r="Y399" s="89"/>
      <c r="Z399" s="89"/>
    </row>
    <row r="400" ht="15.75" customHeight="1">
      <c r="A400" s="34"/>
      <c r="B400" s="51">
        <v>1.0</v>
      </c>
      <c r="C400" s="213" t="s">
        <v>84</v>
      </c>
      <c r="D400" s="70" t="s">
        <v>716</v>
      </c>
      <c r="E400" s="94" t="s">
        <v>869</v>
      </c>
      <c r="F400" s="56">
        <v>1280.0</v>
      </c>
      <c r="G400" s="297"/>
      <c r="H400" s="297"/>
      <c r="I400" s="238" t="s">
        <v>722</v>
      </c>
      <c r="J400" s="65"/>
      <c r="K400" s="85"/>
      <c r="L400" s="85"/>
      <c r="M400" s="85"/>
      <c r="N400" s="85" t="str">
        <f t="shared" si="273"/>
        <v/>
      </c>
      <c r="O400" s="60">
        <f>VLOOKUP(E400,'C Fittings (Brass)'!$E$5:$Q418,13,0)</f>
        <v>1280</v>
      </c>
      <c r="P400" s="88">
        <f>IFERROR(VLOOKUP(Z400,CV!$A$2:$H418,8,0),"")</f>
        <v>286.36</v>
      </c>
      <c r="Q400" s="89">
        <f t="shared" ref="Q400:Q404" si="275">O400/P400</f>
        <v>4.46989803</v>
      </c>
      <c r="R400" s="89"/>
      <c r="S400" s="89"/>
      <c r="T400" s="89"/>
      <c r="U400" s="89"/>
      <c r="V400" s="89"/>
      <c r="W400" s="89"/>
      <c r="X400" s="89"/>
      <c r="Y400" s="89"/>
      <c r="Z400" s="301" t="s">
        <v>869</v>
      </c>
    </row>
    <row r="401" ht="15.75" customHeight="1">
      <c r="A401" s="34"/>
      <c r="B401" s="51">
        <v>2.0</v>
      </c>
      <c r="C401" s="213" t="s">
        <v>84</v>
      </c>
      <c r="D401" s="92" t="s">
        <v>729</v>
      </c>
      <c r="E401" s="94" t="s">
        <v>864</v>
      </c>
      <c r="F401" s="56">
        <v>1280.0</v>
      </c>
      <c r="G401" s="297"/>
      <c r="H401" s="297"/>
      <c r="I401" s="238" t="s">
        <v>722</v>
      </c>
      <c r="J401" s="65"/>
      <c r="K401" s="85"/>
      <c r="L401" s="85"/>
      <c r="M401" s="85"/>
      <c r="N401" s="85" t="str">
        <f t="shared" si="273"/>
        <v/>
      </c>
      <c r="O401" s="60">
        <f>VLOOKUP(E401,'C Fittings (Brass)'!$E$5:$Q418,13,0)</f>
        <v>1280</v>
      </c>
      <c r="P401" s="88">
        <f>IFERROR(VLOOKUP(Z401,CV!$A$2:$H418,8,0),"")</f>
        <v>262.19</v>
      </c>
      <c r="Q401" s="89">
        <f t="shared" si="275"/>
        <v>4.881955834</v>
      </c>
      <c r="R401" s="89"/>
      <c r="S401" s="89"/>
      <c r="T401" s="89"/>
      <c r="U401" s="89"/>
      <c r="V401" s="89"/>
      <c r="W401" s="89"/>
      <c r="X401" s="89"/>
      <c r="Y401" s="89"/>
      <c r="Z401" s="301" t="s">
        <v>864</v>
      </c>
    </row>
    <row r="402" ht="15.75" customHeight="1">
      <c r="A402" s="34"/>
      <c r="B402" s="51">
        <v>3.0</v>
      </c>
      <c r="C402" s="213" t="s">
        <v>84</v>
      </c>
      <c r="D402" s="92" t="s">
        <v>741</v>
      </c>
      <c r="E402" s="94" t="s">
        <v>860</v>
      </c>
      <c r="F402" s="56">
        <v>1358.0</v>
      </c>
      <c r="G402" s="297"/>
      <c r="H402" s="297"/>
      <c r="I402" s="238" t="s">
        <v>722</v>
      </c>
      <c r="J402" s="65"/>
      <c r="K402" s="85"/>
      <c r="L402" s="85"/>
      <c r="M402" s="85"/>
      <c r="N402" s="85" t="str">
        <f t="shared" si="273"/>
        <v/>
      </c>
      <c r="O402" s="60">
        <f>VLOOKUP(E402,'C Fittings (Brass)'!$E$5:$Q418,13,0)</f>
        <v>1358</v>
      </c>
      <c r="P402" s="88">
        <f>IFERROR(VLOOKUP(Z402,CV!$A$2:$H418,8,0),"")</f>
        <v>255.51</v>
      </c>
      <c r="Q402" s="89">
        <f t="shared" si="275"/>
        <v>5.314860475</v>
      </c>
      <c r="R402" s="89"/>
      <c r="S402" s="89"/>
      <c r="T402" s="89"/>
      <c r="U402" s="89"/>
      <c r="V402" s="89"/>
      <c r="W402" s="89"/>
      <c r="X402" s="89"/>
      <c r="Y402" s="89"/>
      <c r="Z402" s="301" t="s">
        <v>860</v>
      </c>
    </row>
    <row r="403" ht="15.75" customHeight="1">
      <c r="A403" s="34"/>
      <c r="B403" s="51">
        <v>4.0</v>
      </c>
      <c r="C403" s="213" t="s">
        <v>84</v>
      </c>
      <c r="D403" s="92" t="s">
        <v>748</v>
      </c>
      <c r="E403" s="94" t="s">
        <v>855</v>
      </c>
      <c r="F403" s="56">
        <v>1358.0</v>
      </c>
      <c r="G403" s="297"/>
      <c r="H403" s="297"/>
      <c r="I403" s="238" t="s">
        <v>722</v>
      </c>
      <c r="J403" s="65"/>
      <c r="K403" s="85"/>
      <c r="L403" s="85"/>
      <c r="M403" s="85"/>
      <c r="N403" s="85" t="str">
        <f t="shared" si="273"/>
        <v/>
      </c>
      <c r="O403" s="60">
        <f>VLOOKUP(E403,'C Fittings (Brass)'!$E$5:$Q418,13,0)</f>
        <v>1358</v>
      </c>
      <c r="P403" s="88">
        <f>IFERROR(VLOOKUP(Z403,CV!$A$2:$H418,8,0),"")</f>
        <v>244.93</v>
      </c>
      <c r="Q403" s="89">
        <f t="shared" si="275"/>
        <v>5.544441269</v>
      </c>
      <c r="R403" s="89"/>
      <c r="S403" s="89"/>
      <c r="T403" s="89"/>
      <c r="U403" s="89"/>
      <c r="V403" s="89"/>
      <c r="W403" s="89"/>
      <c r="X403" s="89"/>
      <c r="Y403" s="89"/>
      <c r="Z403" s="301" t="s">
        <v>855</v>
      </c>
    </row>
    <row r="404" ht="15.75" customHeight="1">
      <c r="A404" s="34"/>
      <c r="B404" s="51">
        <v>5.0</v>
      </c>
      <c r="C404" s="213" t="s">
        <v>84</v>
      </c>
      <c r="D404" s="92" t="s">
        <v>754</v>
      </c>
      <c r="E404" s="94" t="s">
        <v>848</v>
      </c>
      <c r="F404" s="56">
        <v>1388.0</v>
      </c>
      <c r="G404" s="297"/>
      <c r="H404" s="297"/>
      <c r="I404" s="238" t="s">
        <v>722</v>
      </c>
      <c r="J404" s="65"/>
      <c r="K404" s="85"/>
      <c r="L404" s="85"/>
      <c r="M404" s="85"/>
      <c r="N404" s="85"/>
      <c r="O404" s="60">
        <f>VLOOKUP(E404,'C Fittings (Brass)'!$E$5:$Q418,13,0)</f>
        <v>1388</v>
      </c>
      <c r="P404" s="88">
        <f>IFERROR(VLOOKUP(Z404,CV!$A$2:$H418,8,0),"")</f>
        <v>268.11</v>
      </c>
      <c r="Q404" s="89">
        <f t="shared" si="275"/>
        <v>5.176979598</v>
      </c>
      <c r="R404" s="89"/>
      <c r="S404" s="89"/>
      <c r="T404" s="89"/>
      <c r="U404" s="89"/>
      <c r="V404" s="89"/>
      <c r="W404" s="89"/>
      <c r="X404" s="89"/>
      <c r="Y404" s="89"/>
      <c r="Z404" s="301" t="s">
        <v>848</v>
      </c>
    </row>
    <row r="405" ht="15.75" customHeight="1">
      <c r="A405" s="34"/>
      <c r="B405" s="51">
        <v>6.0</v>
      </c>
      <c r="C405" s="213" t="s">
        <v>84</v>
      </c>
      <c r="D405" s="92" t="s">
        <v>760</v>
      </c>
      <c r="E405" s="94" t="s">
        <v>909</v>
      </c>
      <c r="F405" s="56">
        <v>1280.0</v>
      </c>
      <c r="G405" s="297"/>
      <c r="H405" s="297"/>
      <c r="I405" s="238" t="s">
        <v>722</v>
      </c>
      <c r="J405" s="65"/>
      <c r="K405" s="85"/>
      <c r="L405" s="85"/>
      <c r="M405" s="85"/>
      <c r="N405" s="85"/>
      <c r="O405" s="60">
        <f>VLOOKUP(E405,'C Fittings (Brass)'!$E$5:$Q418,13,0)</f>
        <v>1280</v>
      </c>
      <c r="P405" s="88" t="str">
        <f>IFERROR(VLOOKUP(Z405,CV!$A$2:$H418,8,0),"")</f>
        <v/>
      </c>
      <c r="Q405" s="89"/>
      <c r="R405" s="89"/>
      <c r="S405" s="89"/>
      <c r="T405" s="89"/>
      <c r="U405" s="89"/>
      <c r="V405" s="89"/>
      <c r="W405" s="89"/>
      <c r="X405" s="89"/>
      <c r="Y405" s="89"/>
      <c r="Z405" s="301" t="s">
        <v>909</v>
      </c>
    </row>
    <row r="406">
      <c r="A406" s="34"/>
      <c r="B406" s="237" t="s">
        <v>11</v>
      </c>
      <c r="C406" s="45"/>
      <c r="D406" s="45"/>
      <c r="E406" s="46"/>
      <c r="F406" s="240">
        <f>SUM(F400:F405)</f>
        <v>7944</v>
      </c>
      <c r="G406" s="298"/>
      <c r="H406" s="300"/>
      <c r="I406" s="76"/>
      <c r="J406" s="65"/>
      <c r="K406" s="85"/>
      <c r="L406" s="85"/>
      <c r="M406" s="85"/>
      <c r="N406" s="85"/>
      <c r="O406" s="293">
        <f>SUM(O400:O405)</f>
        <v>7944</v>
      </c>
      <c r="P406" s="89"/>
      <c r="Q406" s="89"/>
      <c r="R406" s="89"/>
      <c r="S406" s="89"/>
      <c r="T406" s="89"/>
      <c r="U406" s="89"/>
      <c r="V406" s="89"/>
      <c r="W406" s="89"/>
      <c r="X406" s="89"/>
      <c r="Y406" s="89"/>
      <c r="Z406" s="89"/>
    </row>
    <row r="407" ht="7.5" customHeight="1">
      <c r="A407" s="34"/>
      <c r="B407" s="105"/>
      <c r="C407" s="105"/>
      <c r="D407" s="105"/>
      <c r="E407" s="105"/>
      <c r="F407" s="241"/>
      <c r="G407" s="241"/>
      <c r="H407" s="296"/>
      <c r="I407" s="76"/>
      <c r="J407" s="65"/>
      <c r="K407" s="85"/>
      <c r="L407" s="85"/>
      <c r="M407" s="85"/>
      <c r="N407" s="85"/>
      <c r="O407" s="89"/>
      <c r="P407" s="89"/>
      <c r="Q407" s="89"/>
      <c r="R407" s="89"/>
      <c r="S407" s="89"/>
      <c r="T407" s="89"/>
      <c r="U407" s="89"/>
      <c r="V407" s="89"/>
      <c r="W407" s="89"/>
      <c r="X407" s="89"/>
      <c r="Y407" s="89"/>
      <c r="Z407" s="89"/>
    </row>
    <row r="408">
      <c r="A408" s="34"/>
      <c r="B408" s="242"/>
      <c r="C408" s="302"/>
      <c r="D408" s="303"/>
      <c r="E408" s="62" t="s">
        <v>1089</v>
      </c>
      <c r="F408" s="46"/>
      <c r="G408" s="64"/>
      <c r="H408" s="76"/>
      <c r="I408" s="76"/>
      <c r="J408" s="65"/>
      <c r="K408" s="85"/>
      <c r="L408" s="85"/>
      <c r="M408" s="85"/>
      <c r="N408" s="85" t="str">
        <f t="shared" ref="N408:N411" si="276">IFERROR(#REF!/M408,"")</f>
        <v/>
      </c>
      <c r="O408" s="89"/>
      <c r="P408" s="89"/>
      <c r="Q408" s="89"/>
      <c r="R408" s="89"/>
      <c r="S408" s="89"/>
      <c r="T408" s="89"/>
      <c r="U408" s="89"/>
      <c r="V408" s="89"/>
      <c r="W408" s="89"/>
      <c r="X408" s="89"/>
      <c r="Y408" s="89"/>
      <c r="Z408" s="89"/>
    </row>
    <row r="409" ht="15.75" customHeight="1">
      <c r="A409" s="34"/>
      <c r="B409" s="15"/>
      <c r="C409" s="304"/>
      <c r="D409" s="15"/>
      <c r="E409" s="305" t="s">
        <v>104</v>
      </c>
      <c r="F409" s="56">
        <v>34.0</v>
      </c>
      <c r="G409" s="64"/>
      <c r="H409" s="76" t="str">
        <f>IFERROR(__xludf.DUMMYFUNCTION("IFERROR(VLOOKUP(E409,IMPORTRANGE(""https://docs.google.com/spreadsheets/d/1xZyKy-UzMmtPDLpV5jQdYum1LtbR8XKDuasLSjmBRMI/edit#gid=1241094406"",""COMBINED DATA!E3:L""),8,0))"),"")</f>
        <v/>
      </c>
      <c r="I409" s="76"/>
      <c r="J409" s="65"/>
      <c r="K409" s="85"/>
      <c r="L409" s="85"/>
      <c r="M409" s="85"/>
      <c r="N409" s="85" t="str">
        <f t="shared" si="276"/>
        <v/>
      </c>
      <c r="O409" s="87">
        <v>34.0</v>
      </c>
      <c r="P409" s="89"/>
      <c r="Q409" s="89"/>
      <c r="R409" s="89"/>
      <c r="S409" s="88"/>
      <c r="T409" s="89"/>
      <c r="U409" s="89"/>
      <c r="V409" s="89"/>
      <c r="W409" s="89"/>
      <c r="X409" s="89"/>
      <c r="Y409" s="89"/>
      <c r="Z409" s="89"/>
    </row>
    <row r="410" ht="15.75" customHeight="1">
      <c r="A410" s="34"/>
      <c r="B410" s="15"/>
      <c r="C410" s="15"/>
      <c r="D410" s="15"/>
      <c r="E410" s="305" t="s">
        <v>106</v>
      </c>
      <c r="F410" s="56">
        <v>38.0</v>
      </c>
      <c r="G410" s="64"/>
      <c r="H410" s="76" t="str">
        <f>IFERROR(__xludf.DUMMYFUNCTION("IFERROR(VLOOKUP(E410,IMPORTRANGE(""https://docs.google.com/spreadsheets/d/1xZyKy-UzMmtPDLpV5jQdYum1LtbR8XKDuasLSjmBRMI/edit#gid=1241094406"",""COMBINED DATA!E3:L""),8,0))"),"")</f>
        <v/>
      </c>
      <c r="I410" s="76"/>
      <c r="J410" s="65"/>
      <c r="K410" s="85"/>
      <c r="L410" s="85"/>
      <c r="M410" s="85"/>
      <c r="N410" s="85" t="str">
        <f t="shared" si="276"/>
        <v/>
      </c>
      <c r="O410" s="87">
        <v>38.0</v>
      </c>
      <c r="P410" s="89"/>
      <c r="Q410" s="89"/>
      <c r="R410" s="89"/>
      <c r="S410" s="88"/>
      <c r="T410" s="89"/>
      <c r="U410" s="89"/>
      <c r="V410" s="89"/>
      <c r="W410" s="89"/>
      <c r="X410" s="89"/>
      <c r="Y410" s="89"/>
      <c r="Z410" s="89"/>
    </row>
    <row r="411" ht="15.75" customHeight="1">
      <c r="A411" s="34"/>
      <c r="B411" s="15"/>
      <c r="C411" s="15"/>
      <c r="D411" s="15"/>
      <c r="E411" s="305" t="s">
        <v>110</v>
      </c>
      <c r="F411" s="56">
        <v>26.0</v>
      </c>
      <c r="G411" s="64"/>
      <c r="H411" s="76" t="str">
        <f>IFERROR(__xludf.DUMMYFUNCTION("IFERROR(VLOOKUP(E411,IMPORTRANGE(""https://docs.google.com/spreadsheets/d/1xZyKy-UzMmtPDLpV5jQdYum1LtbR8XKDuasLSjmBRMI/edit#gid=1241094406"",""COMBINED DATA!E3:L""),8,0))"),"")</f>
        <v/>
      </c>
      <c r="I411" s="76"/>
      <c r="J411" s="65"/>
      <c r="K411" s="85"/>
      <c r="L411" s="85"/>
      <c r="M411" s="85"/>
      <c r="N411" s="85" t="str">
        <f t="shared" si="276"/>
        <v/>
      </c>
      <c r="O411" s="87">
        <v>26.0</v>
      </c>
      <c r="P411" s="89"/>
      <c r="Q411" s="89"/>
      <c r="R411" s="89"/>
      <c r="S411" s="88"/>
      <c r="T411" s="89"/>
      <c r="U411" s="89"/>
      <c r="V411" s="89"/>
      <c r="W411" s="89"/>
      <c r="X411" s="89"/>
      <c r="Y411" s="89"/>
      <c r="Z411" s="89"/>
    </row>
    <row r="412">
      <c r="A412" s="34"/>
      <c r="B412" s="105"/>
      <c r="C412" s="105"/>
      <c r="D412" s="105"/>
      <c r="E412" s="306" t="s">
        <v>11</v>
      </c>
      <c r="F412" s="240">
        <f>SUM(F409:F411)</f>
        <v>98</v>
      </c>
      <c r="G412" s="241"/>
      <c r="H412" s="296"/>
      <c r="I412" s="76"/>
      <c r="J412" s="65"/>
      <c r="K412" s="85"/>
      <c r="L412" s="85"/>
      <c r="M412" s="85"/>
      <c r="N412" s="85"/>
      <c r="O412" s="240">
        <f>SUM(O409:O411)</f>
        <v>98</v>
      </c>
      <c r="P412" s="89"/>
      <c r="Q412" s="89"/>
      <c r="R412" s="89"/>
      <c r="S412" s="89"/>
      <c r="T412" s="89"/>
      <c r="U412" s="89"/>
      <c r="V412" s="89"/>
      <c r="W412" s="89"/>
      <c r="X412" s="89"/>
      <c r="Y412" s="89"/>
      <c r="Z412" s="89"/>
    </row>
    <row r="413">
      <c r="A413" s="34"/>
      <c r="B413" s="105"/>
      <c r="C413" s="105"/>
      <c r="D413" s="105"/>
      <c r="E413" s="105"/>
      <c r="F413" s="241"/>
      <c r="G413" s="241"/>
      <c r="H413" s="296"/>
      <c r="I413" s="76"/>
      <c r="J413" s="65"/>
      <c r="K413" s="85"/>
      <c r="L413" s="85"/>
      <c r="M413" s="85"/>
      <c r="N413" s="85"/>
      <c r="O413" s="89"/>
      <c r="P413" s="89"/>
      <c r="Q413" s="89"/>
      <c r="R413" s="89"/>
      <c r="S413" s="89"/>
      <c r="T413" s="89"/>
      <c r="U413" s="89"/>
      <c r="V413" s="89"/>
      <c r="W413" s="89"/>
      <c r="X413" s="89"/>
      <c r="Y413" s="89"/>
      <c r="Z413" s="89"/>
    </row>
    <row r="414">
      <c r="A414" s="34"/>
      <c r="B414" s="105"/>
      <c r="C414" s="105"/>
      <c r="D414" s="105"/>
      <c r="E414" s="105"/>
      <c r="F414" s="241"/>
      <c r="G414" s="241"/>
      <c r="H414" s="296"/>
      <c r="I414" s="76"/>
      <c r="J414" s="65"/>
      <c r="K414" s="85"/>
      <c r="L414" s="85"/>
      <c r="M414" s="85"/>
      <c r="N414" s="85"/>
      <c r="O414" s="89"/>
      <c r="P414" s="89"/>
      <c r="Q414" s="89"/>
      <c r="R414" s="89"/>
      <c r="S414" s="89"/>
      <c r="T414" s="89"/>
      <c r="U414" s="89"/>
      <c r="V414" s="89"/>
      <c r="W414" s="89"/>
      <c r="X414" s="89"/>
      <c r="Y414" s="89"/>
      <c r="Z414" s="89"/>
    </row>
    <row r="415">
      <c r="A415" s="34"/>
      <c r="B415" s="105"/>
      <c r="C415" s="105"/>
      <c r="D415" s="105"/>
      <c r="E415" s="105"/>
      <c r="F415" s="241"/>
      <c r="G415" s="241"/>
      <c r="H415" s="296"/>
      <c r="I415" s="76"/>
      <c r="J415" s="65"/>
      <c r="K415" s="85"/>
      <c r="L415" s="85"/>
      <c r="M415" s="85"/>
      <c r="N415" s="85"/>
      <c r="O415" s="89"/>
      <c r="P415" s="89"/>
      <c r="Q415" s="89"/>
      <c r="R415" s="89"/>
      <c r="S415" s="89"/>
      <c r="T415" s="89"/>
      <c r="U415" s="89"/>
      <c r="V415" s="89"/>
      <c r="W415" s="89"/>
      <c r="X415" s="89"/>
      <c r="Y415" s="89"/>
      <c r="Z415" s="89"/>
    </row>
    <row r="416">
      <c r="A416" s="34"/>
      <c r="B416" s="105"/>
      <c r="C416" s="105"/>
      <c r="D416" s="105"/>
      <c r="E416" s="105"/>
      <c r="F416" s="241"/>
      <c r="G416" s="241"/>
      <c r="H416" s="296"/>
      <c r="I416" s="76"/>
      <c r="J416" s="65"/>
      <c r="K416" s="85"/>
      <c r="L416" s="85"/>
      <c r="M416" s="85"/>
      <c r="N416" s="85"/>
      <c r="O416" s="89"/>
      <c r="P416" s="89"/>
      <c r="Q416" s="89"/>
      <c r="R416" s="89"/>
      <c r="S416" s="89"/>
      <c r="T416" s="89"/>
      <c r="U416" s="89"/>
      <c r="V416" s="89"/>
      <c r="W416" s="89"/>
      <c r="X416" s="89"/>
      <c r="Y416" s="89"/>
      <c r="Z416" s="89"/>
    </row>
    <row r="417">
      <c r="A417" s="34"/>
      <c r="B417" s="105"/>
      <c r="C417" s="105"/>
      <c r="D417" s="105"/>
      <c r="E417" s="105"/>
      <c r="F417" s="241"/>
      <c r="G417" s="241"/>
      <c r="H417" s="296"/>
      <c r="I417" s="76"/>
      <c r="J417" s="65"/>
      <c r="K417" s="85"/>
      <c r="L417" s="85"/>
      <c r="M417" s="85"/>
      <c r="N417" s="85"/>
      <c r="O417" s="89"/>
      <c r="P417" s="89"/>
      <c r="Q417" s="89"/>
      <c r="R417" s="89"/>
      <c r="S417" s="89"/>
      <c r="T417" s="89"/>
      <c r="U417" s="89"/>
      <c r="V417" s="89"/>
      <c r="W417" s="89"/>
      <c r="X417" s="89"/>
      <c r="Y417" s="89"/>
      <c r="Z417" s="89"/>
    </row>
    <row r="418">
      <c r="A418" s="34"/>
      <c r="B418" s="105"/>
      <c r="C418" s="105"/>
      <c r="D418" s="105"/>
      <c r="E418" s="105"/>
      <c r="F418" s="241"/>
      <c r="G418" s="241"/>
      <c r="H418" s="296"/>
      <c r="I418" s="76"/>
      <c r="J418" s="65"/>
      <c r="K418" s="85"/>
      <c r="L418" s="85"/>
      <c r="M418" s="85"/>
      <c r="N418" s="85"/>
      <c r="O418" s="89"/>
      <c r="P418" s="89"/>
      <c r="Q418" s="89"/>
      <c r="R418" s="89"/>
      <c r="S418" s="89"/>
      <c r="T418" s="89"/>
      <c r="U418" s="89"/>
      <c r="V418" s="89"/>
      <c r="W418" s="89"/>
      <c r="X418" s="89"/>
      <c r="Y418" s="89"/>
      <c r="Z418" s="89"/>
    </row>
  </sheetData>
  <mergeCells count="117">
    <mergeCell ref="B124:E124"/>
    <mergeCell ref="B126:F126"/>
    <mergeCell ref="B130:E130"/>
    <mergeCell ref="B132:F132"/>
    <mergeCell ref="B145:E145"/>
    <mergeCell ref="B147:F147"/>
    <mergeCell ref="B157:F157"/>
    <mergeCell ref="B155:E155"/>
    <mergeCell ref="B166:E166"/>
    <mergeCell ref="B168:F168"/>
    <mergeCell ref="B172:E172"/>
    <mergeCell ref="B174:F174"/>
    <mergeCell ref="B182:E182"/>
    <mergeCell ref="B184:F184"/>
    <mergeCell ref="I2:I3"/>
    <mergeCell ref="J2:J3"/>
    <mergeCell ref="O2:O3"/>
    <mergeCell ref="P2:P3"/>
    <mergeCell ref="B2:B3"/>
    <mergeCell ref="C2:C3"/>
    <mergeCell ref="D2:D3"/>
    <mergeCell ref="E2:E3"/>
    <mergeCell ref="F2:F3"/>
    <mergeCell ref="G2:G3"/>
    <mergeCell ref="H2:H3"/>
    <mergeCell ref="B4:F4"/>
    <mergeCell ref="B11:E11"/>
    <mergeCell ref="B13:F13"/>
    <mergeCell ref="B17:E17"/>
    <mergeCell ref="B19:F19"/>
    <mergeCell ref="B22:F22"/>
    <mergeCell ref="B25:E25"/>
    <mergeCell ref="B27:F27"/>
    <mergeCell ref="B33:E33"/>
    <mergeCell ref="B35:F35"/>
    <mergeCell ref="B42:E42"/>
    <mergeCell ref="B44:F44"/>
    <mergeCell ref="B48:E48"/>
    <mergeCell ref="B50:F50"/>
    <mergeCell ref="B53:F53"/>
    <mergeCell ref="B65:E65"/>
    <mergeCell ref="B67:F67"/>
    <mergeCell ref="B76:E76"/>
    <mergeCell ref="B78:F78"/>
    <mergeCell ref="B85:E85"/>
    <mergeCell ref="B87:F87"/>
    <mergeCell ref="B91:E91"/>
    <mergeCell ref="B93:F93"/>
    <mergeCell ref="B96:F96"/>
    <mergeCell ref="B108:E108"/>
    <mergeCell ref="B110:F110"/>
    <mergeCell ref="B115:E115"/>
    <mergeCell ref="B117:F117"/>
    <mergeCell ref="B242:E242"/>
    <mergeCell ref="B244:F244"/>
    <mergeCell ref="C352:D352"/>
    <mergeCell ref="B353:E353"/>
    <mergeCell ref="B355:F355"/>
    <mergeCell ref="C356:D356"/>
    <mergeCell ref="C357:D357"/>
    <mergeCell ref="C358:D358"/>
    <mergeCell ref="C359:D359"/>
    <mergeCell ref="C360:D360"/>
    <mergeCell ref="B361:E361"/>
    <mergeCell ref="B363:F363"/>
    <mergeCell ref="B370:E370"/>
    <mergeCell ref="B372:F372"/>
    <mergeCell ref="B379:E379"/>
    <mergeCell ref="B381:F381"/>
    <mergeCell ref="B188:E188"/>
    <mergeCell ref="B190:F190"/>
    <mergeCell ref="B193:E193"/>
    <mergeCell ref="B195:F195"/>
    <mergeCell ref="B199:E199"/>
    <mergeCell ref="B201:F201"/>
    <mergeCell ref="B209:F209"/>
    <mergeCell ref="B207:E207"/>
    <mergeCell ref="B218:E218"/>
    <mergeCell ref="B220:F220"/>
    <mergeCell ref="B226:E226"/>
    <mergeCell ref="B228:F228"/>
    <mergeCell ref="B234:E234"/>
    <mergeCell ref="B236:F236"/>
    <mergeCell ref="B253:E253"/>
    <mergeCell ref="B255:F255"/>
    <mergeCell ref="B263:E263"/>
    <mergeCell ref="B265:F265"/>
    <mergeCell ref="B273:E273"/>
    <mergeCell ref="B275:F275"/>
    <mergeCell ref="B279:E279"/>
    <mergeCell ref="B281:F281"/>
    <mergeCell ref="B287:E287"/>
    <mergeCell ref="B289:F289"/>
    <mergeCell ref="B295:E295"/>
    <mergeCell ref="B297:F297"/>
    <mergeCell ref="B300:F300"/>
    <mergeCell ref="B303:E303"/>
    <mergeCell ref="B305:F305"/>
    <mergeCell ref="B310:E310"/>
    <mergeCell ref="B312:F312"/>
    <mergeCell ref="B318:E318"/>
    <mergeCell ref="B320:F320"/>
    <mergeCell ref="B324:E324"/>
    <mergeCell ref="B326:F326"/>
    <mergeCell ref="B330:E330"/>
    <mergeCell ref="B332:F332"/>
    <mergeCell ref="B339:E339"/>
    <mergeCell ref="B341:F341"/>
    <mergeCell ref="B348:E348"/>
    <mergeCell ref="B350:F350"/>
    <mergeCell ref="C351:D351"/>
    <mergeCell ref="B388:E388"/>
    <mergeCell ref="B390:F390"/>
    <mergeCell ref="B397:E397"/>
    <mergeCell ref="B399:F399"/>
    <mergeCell ref="B406:E406"/>
    <mergeCell ref="E408:F408"/>
  </mergeCells>
  <printOptions horizontalCentered="1"/>
  <pageMargins bottom="0.75" footer="0.0" header="0.0" left="0.25" right="0.25" top="0.75"/>
  <pageSetup fitToHeight="0" paperSize="9" cellComments="atEnd"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5"/>
    <col customWidth="1" min="2" max="2" width="3.5"/>
    <col customWidth="1" min="3" max="3" width="13.75"/>
    <col customWidth="1" min="4" max="4" width="15.5"/>
    <col customWidth="1" min="5" max="5" width="8.0"/>
    <col customWidth="1" min="6" max="6" width="8.25"/>
    <col customWidth="1" min="7" max="7" width="7.75"/>
    <col customWidth="1" min="8" max="8" width="6.13"/>
    <col customWidth="1" hidden="1" min="9" max="9" width="7.75"/>
    <col customWidth="1" hidden="1" min="10" max="10" width="8.63"/>
    <col customWidth="1" hidden="1" min="11" max="12" width="6.63"/>
    <col customWidth="1" hidden="1" min="13" max="13" width="6.75"/>
    <col customWidth="1" hidden="1" min="14" max="14" width="7.88"/>
    <col customWidth="1" hidden="1" min="15" max="15" width="9.75"/>
    <col customWidth="1" hidden="1" min="16" max="16" width="7.88"/>
    <col customWidth="1" min="17" max="17" width="9.75"/>
    <col customWidth="1" min="18" max="18" width="8.88"/>
    <col customWidth="1" hidden="1" min="19" max="19" width="9.25"/>
    <col customWidth="1" min="20" max="20" width="7.88"/>
    <col customWidth="1" min="21" max="21" width="8.25"/>
    <col customWidth="1" min="22" max="22" width="7.88"/>
    <col customWidth="1" hidden="1" min="23" max="23" width="9.38"/>
    <col customWidth="1" min="24" max="26" width="7.88"/>
  </cols>
  <sheetData>
    <row r="1" ht="9.75" customHeight="1">
      <c r="A1" s="14" t="s">
        <v>279</v>
      </c>
      <c r="B1" s="15"/>
      <c r="C1" s="15"/>
      <c r="D1" s="15"/>
      <c r="E1" s="17"/>
      <c r="F1" s="15"/>
      <c r="G1" s="21"/>
      <c r="H1" s="21"/>
      <c r="I1" s="23"/>
      <c r="J1" s="23"/>
      <c r="K1" s="29"/>
      <c r="L1" s="29"/>
      <c r="M1" s="29"/>
      <c r="N1" s="31"/>
      <c r="O1" s="134"/>
      <c r="P1" s="31"/>
      <c r="Q1" s="31"/>
      <c r="R1" s="31"/>
      <c r="S1" s="31"/>
      <c r="T1" s="31"/>
      <c r="U1" s="134"/>
      <c r="V1" s="31"/>
      <c r="W1" s="31"/>
      <c r="X1" s="31"/>
      <c r="Y1" s="31"/>
      <c r="Z1" s="31"/>
    </row>
    <row r="2" ht="30.0" customHeight="1">
      <c r="A2" s="34"/>
      <c r="B2" s="35" t="s">
        <v>0</v>
      </c>
      <c r="C2" s="37" t="s">
        <v>21</v>
      </c>
      <c r="D2" s="37" t="s">
        <v>24</v>
      </c>
      <c r="E2" s="40" t="s">
        <v>18</v>
      </c>
      <c r="F2" s="36" t="str">
        <f>' CPVC PIPE'!F2</f>
        <v>MRP as on 1st May, 2024</v>
      </c>
      <c r="G2" s="42" t="s">
        <v>6</v>
      </c>
      <c r="H2" s="47" t="s">
        <v>32</v>
      </c>
      <c r="I2" s="47" t="s">
        <v>35</v>
      </c>
      <c r="J2" s="50" t="s">
        <v>26</v>
      </c>
      <c r="K2" s="52" t="s">
        <v>36</v>
      </c>
      <c r="L2" s="52" t="s">
        <v>285</v>
      </c>
      <c r="M2" s="52" t="s">
        <v>286</v>
      </c>
      <c r="N2" s="135"/>
      <c r="O2" s="136" t="s">
        <v>288</v>
      </c>
      <c r="P2" s="57"/>
      <c r="Q2" s="38" t="s">
        <v>45</v>
      </c>
      <c r="R2" s="50" t="s">
        <v>290</v>
      </c>
      <c r="S2" s="136" t="s">
        <v>291</v>
      </c>
      <c r="T2" s="57"/>
      <c r="U2" s="36" t="s">
        <v>8</v>
      </c>
      <c r="V2" s="50" t="s">
        <v>290</v>
      </c>
      <c r="W2" s="136" t="s">
        <v>292</v>
      </c>
      <c r="X2" s="57"/>
      <c r="Y2" s="57"/>
      <c r="Z2" s="57"/>
    </row>
    <row r="3" ht="31.5" customHeight="1">
      <c r="A3" s="34"/>
      <c r="B3" s="41"/>
      <c r="C3" s="41"/>
      <c r="D3" s="41"/>
      <c r="E3" s="41"/>
      <c r="F3" s="41"/>
      <c r="G3" s="41"/>
      <c r="H3" s="41"/>
      <c r="I3" s="41"/>
      <c r="J3" s="41"/>
      <c r="K3" s="137">
        <v>250.0</v>
      </c>
      <c r="L3" s="137">
        <v>1100.0</v>
      </c>
      <c r="M3" s="29"/>
      <c r="N3" s="57"/>
      <c r="P3" s="57"/>
      <c r="Q3" s="41"/>
      <c r="R3" s="41"/>
      <c r="T3" s="57"/>
      <c r="U3" s="41"/>
      <c r="V3" s="41"/>
      <c r="X3" s="57"/>
      <c r="Y3" s="57"/>
      <c r="Z3" s="57"/>
    </row>
    <row r="4" ht="22.5" customHeight="1">
      <c r="A4" s="34"/>
      <c r="B4" s="62" t="s">
        <v>295</v>
      </c>
      <c r="C4" s="45"/>
      <c r="D4" s="45"/>
      <c r="E4" s="45"/>
      <c r="F4" s="46"/>
      <c r="G4" s="64"/>
      <c r="H4" s="76" t="str">
        <f>IFERROR(__xludf.DUMMYFUNCTION("IFERROR(VLOOKUP(E4,IMPORTRANGE(""https://docs.google.com/spreadsheets/d/1xZyKy-UzMmtPDLpV5jQdYum1LtbR8XKDuasLSjmBRMI/edit#gid=1241094406"",""COMBINED DATA!E3:L""),8,0))"),"")</f>
        <v/>
      </c>
      <c r="I4" s="76"/>
      <c r="J4" s="65"/>
      <c r="K4" s="85"/>
      <c r="L4" s="85"/>
      <c r="M4" s="85" t="str">
        <f>IFERROR(F4/#REF!,"")</f>
        <v/>
      </c>
      <c r="N4" s="89"/>
      <c r="O4" s="138"/>
      <c r="P4" s="89"/>
      <c r="Q4" s="89"/>
      <c r="R4" s="89"/>
      <c r="S4" s="89"/>
      <c r="T4" s="89"/>
      <c r="U4" s="138"/>
      <c r="V4" s="89"/>
      <c r="W4" s="89"/>
      <c r="X4" s="89"/>
      <c r="Y4" s="89"/>
      <c r="Z4" s="89"/>
    </row>
    <row r="5" ht="15.75" customHeight="1">
      <c r="A5" s="67" t="str">
        <f t="shared" ref="A5:A12" si="1">$B$4&amp;C5</f>
        <v>Male Adapter Brass Threads3⁄4 x 1⁄2</v>
      </c>
      <c r="B5" s="81">
        <v>1.0</v>
      </c>
      <c r="C5" s="68" t="s">
        <v>144</v>
      </c>
      <c r="D5" s="110" t="s">
        <v>145</v>
      </c>
      <c r="E5" s="111" t="s">
        <v>301</v>
      </c>
      <c r="F5" s="56">
        <v>168.8</v>
      </c>
      <c r="G5" s="76">
        <v>0.011</v>
      </c>
      <c r="H5" s="76">
        <v>0.059</v>
      </c>
      <c r="I5" s="76">
        <f t="shared" ref="I5:I12" si="2">G5+H5</f>
        <v>0.07</v>
      </c>
      <c r="J5" s="84">
        <f t="shared" ref="J5:J12" si="3">IFERROR(F5/I5,"")</f>
        <v>2411.428571</v>
      </c>
      <c r="K5" s="85">
        <f t="shared" ref="K5:K12" si="4">IFERROR(G5*$K$3,)</f>
        <v>2.75</v>
      </c>
      <c r="L5" s="85">
        <f t="shared" ref="L5:L12" si="5">IFERROR(W5*$L$3,"")</f>
        <v>63.97809524</v>
      </c>
      <c r="M5" s="85">
        <f t="shared" ref="M5:M12" si="6">IFERROR(F5/SUM(K5:L5),"")</f>
        <v>2.529669091</v>
      </c>
      <c r="N5" s="139">
        <f t="shared" ref="N5:N12" si="7">IFERROR(SUM(K5:L5)," ")</f>
        <v>66.72809524</v>
      </c>
      <c r="O5" s="88">
        <v>45.29</v>
      </c>
      <c r="P5" s="88">
        <f t="shared" ref="P5:P12" si="8">IFERROR(Q5/N5,"")</f>
        <v>2.832390155</v>
      </c>
      <c r="Q5" s="140">
        <v>189.0</v>
      </c>
      <c r="R5" s="141">
        <f t="shared" ref="R5:R12" si="9">IFERROR(Q5-F5,"")/F5</f>
        <v>0.1196682464</v>
      </c>
      <c r="S5" s="88">
        <f>VLOOKUP(E5,'Brass Cost'!$A$11:$D112,4,0)</f>
        <v>61.07</v>
      </c>
      <c r="T5" s="88">
        <f t="shared" ref="T5:T12" si="10">IFERROR(U5/N5,"")</f>
        <v>3.656630676</v>
      </c>
      <c r="U5" s="142">
        <v>244.0</v>
      </c>
      <c r="V5" s="141">
        <f t="shared" ref="V5:V12" si="11">IFERROR(U5-Q5,"")/Q5</f>
        <v>0.291005291</v>
      </c>
      <c r="W5" s="143">
        <f t="shared" ref="W5:W12" si="12">IFERROR(S5/1050,"")</f>
        <v>0.05816190476</v>
      </c>
      <c r="X5" s="88"/>
      <c r="Y5" s="88"/>
      <c r="Z5" s="88"/>
    </row>
    <row r="6" ht="15.75" customHeight="1">
      <c r="A6" s="67" t="str">
        <f t="shared" si="1"/>
        <v>Male Adapter Brass Threads3⁄4</v>
      </c>
      <c r="B6" s="81">
        <v>2.0</v>
      </c>
      <c r="C6" s="90" t="s">
        <v>51</v>
      </c>
      <c r="D6" s="127">
        <v>20.0</v>
      </c>
      <c r="E6" s="112" t="s">
        <v>334</v>
      </c>
      <c r="F6" s="56">
        <v>248.6</v>
      </c>
      <c r="G6" s="76">
        <v>0.013125</v>
      </c>
      <c r="H6" s="58">
        <v>0.065</v>
      </c>
      <c r="I6" s="76">
        <f t="shared" si="2"/>
        <v>0.078125</v>
      </c>
      <c r="J6" s="84">
        <f t="shared" si="3"/>
        <v>3182.08</v>
      </c>
      <c r="K6" s="85">
        <f t="shared" si="4"/>
        <v>3.28125</v>
      </c>
      <c r="L6" s="85">
        <f t="shared" si="5"/>
        <v>70.48380952</v>
      </c>
      <c r="M6" s="85">
        <f t="shared" si="6"/>
        <v>3.370159281</v>
      </c>
      <c r="N6" s="139">
        <f t="shared" si="7"/>
        <v>73.76505952</v>
      </c>
      <c r="O6" s="88">
        <v>50.12</v>
      </c>
      <c r="P6" s="88">
        <f t="shared" si="8"/>
        <v>3.768721964</v>
      </c>
      <c r="Q6" s="140">
        <v>278.0</v>
      </c>
      <c r="R6" s="141">
        <f t="shared" si="9"/>
        <v>0.1182622687</v>
      </c>
      <c r="S6" s="88">
        <f>VLOOKUP(E6,'Brass Cost'!$A$11:$D112,4,0)</f>
        <v>67.28</v>
      </c>
      <c r="T6" s="88">
        <f t="shared" si="10"/>
        <v>3.633156426</v>
      </c>
      <c r="U6" s="142">
        <v>268.0</v>
      </c>
      <c r="V6" s="141">
        <f t="shared" si="11"/>
        <v>-0.03597122302</v>
      </c>
      <c r="W6" s="143">
        <f t="shared" si="12"/>
        <v>0.06407619048</v>
      </c>
      <c r="X6" s="88"/>
      <c r="Y6" s="88"/>
      <c r="Z6" s="88"/>
    </row>
    <row r="7" ht="15.75" customHeight="1">
      <c r="A7" s="67" t="str">
        <f t="shared" si="1"/>
        <v>Male Adapter Brass Threads1</v>
      </c>
      <c r="B7" s="81">
        <v>3.0</v>
      </c>
      <c r="C7" s="90" t="s">
        <v>84</v>
      </c>
      <c r="D7" s="127">
        <v>25.0</v>
      </c>
      <c r="E7" s="112" t="s">
        <v>338</v>
      </c>
      <c r="F7" s="56">
        <v>368.0</v>
      </c>
      <c r="G7" s="76">
        <v>0.0195</v>
      </c>
      <c r="H7" s="58">
        <v>0.145</v>
      </c>
      <c r="I7" s="76">
        <f t="shared" si="2"/>
        <v>0.1645</v>
      </c>
      <c r="J7" s="84">
        <f t="shared" si="3"/>
        <v>2237.082067</v>
      </c>
      <c r="K7" s="85">
        <f t="shared" si="4"/>
        <v>4.875</v>
      </c>
      <c r="L7" s="85">
        <f t="shared" si="5"/>
        <v>157.2266667</v>
      </c>
      <c r="M7" s="85">
        <f t="shared" si="6"/>
        <v>2.270180237</v>
      </c>
      <c r="N7" s="139">
        <f t="shared" si="7"/>
        <v>162.1016667</v>
      </c>
      <c r="O7" s="88">
        <v>111.8</v>
      </c>
      <c r="P7" s="88">
        <f t="shared" si="8"/>
        <v>2.54161483</v>
      </c>
      <c r="Q7" s="140">
        <v>412.0</v>
      </c>
      <c r="R7" s="141">
        <f t="shared" si="9"/>
        <v>0.1195652174</v>
      </c>
      <c r="S7" s="88">
        <f>VLOOKUP(E7,'Brass Cost'!$A$11:$D112,4,0)</f>
        <v>150.08</v>
      </c>
      <c r="T7" s="88">
        <f t="shared" si="10"/>
        <v>3.565663524</v>
      </c>
      <c r="U7" s="142">
        <v>578.0</v>
      </c>
      <c r="V7" s="141">
        <f t="shared" si="11"/>
        <v>0.4029126214</v>
      </c>
      <c r="W7" s="143">
        <f t="shared" si="12"/>
        <v>0.1429333333</v>
      </c>
      <c r="X7" s="88"/>
      <c r="Y7" s="88"/>
      <c r="Z7" s="88"/>
    </row>
    <row r="8" ht="15.75" customHeight="1">
      <c r="A8" s="67" t="str">
        <f t="shared" si="1"/>
        <v>Male Adapter Brass Threads1 1⁄4</v>
      </c>
      <c r="B8" s="81">
        <v>4.0</v>
      </c>
      <c r="C8" s="90" t="s">
        <v>55</v>
      </c>
      <c r="D8" s="127">
        <v>32.0</v>
      </c>
      <c r="E8" s="112" t="s">
        <v>340</v>
      </c>
      <c r="F8" s="56">
        <v>798.0</v>
      </c>
      <c r="G8" s="76">
        <v>0.04725</v>
      </c>
      <c r="H8" s="146">
        <v>0.242</v>
      </c>
      <c r="I8" s="76">
        <f t="shared" si="2"/>
        <v>0.28925</v>
      </c>
      <c r="J8" s="84">
        <f t="shared" si="3"/>
        <v>2758.859118</v>
      </c>
      <c r="K8" s="85">
        <f t="shared" si="4"/>
        <v>11.8125</v>
      </c>
      <c r="L8" s="85">
        <f t="shared" si="5"/>
        <v>261.3180952</v>
      </c>
      <c r="M8" s="85">
        <f t="shared" si="6"/>
        <v>2.921679277</v>
      </c>
      <c r="N8" s="139">
        <f t="shared" si="7"/>
        <v>273.1305952</v>
      </c>
      <c r="O8" s="88">
        <v>250.92</v>
      </c>
      <c r="P8" s="88">
        <f t="shared" si="8"/>
        <v>3.2878045</v>
      </c>
      <c r="Q8" s="140">
        <v>898.0</v>
      </c>
      <c r="R8" s="141">
        <f t="shared" si="9"/>
        <v>0.1253132832</v>
      </c>
      <c r="S8" s="88">
        <f>VLOOKUP(E8,'Brass Cost'!$A$11:$D112,4,0)</f>
        <v>249.44</v>
      </c>
      <c r="T8" s="88">
        <f t="shared" si="10"/>
        <v>3.602672191</v>
      </c>
      <c r="U8" s="142">
        <v>984.0</v>
      </c>
      <c r="V8" s="141">
        <f t="shared" si="11"/>
        <v>0.09576837416</v>
      </c>
      <c r="W8" s="143">
        <f t="shared" si="12"/>
        <v>0.2375619048</v>
      </c>
      <c r="X8" s="88"/>
      <c r="Y8" s="88"/>
      <c r="Z8" s="88"/>
    </row>
    <row r="9" ht="15.75" customHeight="1">
      <c r="A9" s="67" t="str">
        <f t="shared" si="1"/>
        <v>Male Adapter Brass Threads1 1⁄2</v>
      </c>
      <c r="B9" s="81">
        <v>5.0</v>
      </c>
      <c r="C9" s="90" t="s">
        <v>56</v>
      </c>
      <c r="D9" s="127">
        <v>40.0</v>
      </c>
      <c r="E9" s="112" t="s">
        <v>345</v>
      </c>
      <c r="F9" s="56">
        <v>1058.6</v>
      </c>
      <c r="G9" s="58">
        <v>0.061</v>
      </c>
      <c r="H9" s="146">
        <v>0.367</v>
      </c>
      <c r="I9" s="76">
        <f t="shared" si="2"/>
        <v>0.428</v>
      </c>
      <c r="J9" s="84">
        <f t="shared" si="3"/>
        <v>2473.364486</v>
      </c>
      <c r="K9" s="85">
        <f t="shared" si="4"/>
        <v>15.25</v>
      </c>
      <c r="L9" s="85">
        <f t="shared" si="5"/>
        <v>403.3542857</v>
      </c>
      <c r="M9" s="85">
        <f t="shared" si="6"/>
        <v>2.528879986</v>
      </c>
      <c r="N9" s="139">
        <f t="shared" si="7"/>
        <v>418.6042857</v>
      </c>
      <c r="O9" s="88">
        <v>329.08</v>
      </c>
      <c r="P9" s="88">
        <f t="shared" si="8"/>
        <v>2.838002478</v>
      </c>
      <c r="Q9" s="140">
        <v>1188.0</v>
      </c>
      <c r="R9" s="141">
        <f t="shared" si="9"/>
        <v>0.1222369167</v>
      </c>
      <c r="S9" s="88">
        <f>VLOOKUP(E9,'Brass Cost'!$A$11:$D112,4,0)</f>
        <v>385.02</v>
      </c>
      <c r="T9" s="88">
        <f t="shared" si="10"/>
        <v>3.57855868</v>
      </c>
      <c r="U9" s="142">
        <v>1498.0</v>
      </c>
      <c r="V9" s="141">
        <f t="shared" si="11"/>
        <v>0.2609427609</v>
      </c>
      <c r="W9" s="143">
        <f t="shared" si="12"/>
        <v>0.3666857143</v>
      </c>
      <c r="X9" s="88"/>
      <c r="Y9" s="88"/>
      <c r="Z9" s="88"/>
    </row>
    <row r="10" ht="15.75" customHeight="1">
      <c r="A10" s="67" t="str">
        <f t="shared" si="1"/>
        <v>Male Adapter Brass Threads2</v>
      </c>
      <c r="B10" s="81">
        <v>6.0</v>
      </c>
      <c r="C10" s="90">
        <v>2.0</v>
      </c>
      <c r="D10" s="127">
        <v>50.0</v>
      </c>
      <c r="E10" s="112" t="s">
        <v>349</v>
      </c>
      <c r="F10" s="56">
        <v>1840.0</v>
      </c>
      <c r="G10" s="76">
        <v>0.111</v>
      </c>
      <c r="H10" s="146">
        <v>0.544</v>
      </c>
      <c r="I10" s="76">
        <f t="shared" si="2"/>
        <v>0.655</v>
      </c>
      <c r="J10" s="84">
        <f t="shared" si="3"/>
        <v>2809.160305</v>
      </c>
      <c r="K10" s="85">
        <f t="shared" si="4"/>
        <v>27.75</v>
      </c>
      <c r="L10" s="85">
        <f t="shared" si="5"/>
        <v>596.3571429</v>
      </c>
      <c r="M10" s="85">
        <f t="shared" si="6"/>
        <v>2.948211731</v>
      </c>
      <c r="N10" s="139">
        <f t="shared" si="7"/>
        <v>624.1071429</v>
      </c>
      <c r="O10" s="88">
        <v>537.64</v>
      </c>
      <c r="P10" s="88">
        <f t="shared" si="8"/>
        <v>3.332761087</v>
      </c>
      <c r="Q10" s="140">
        <v>2080.0</v>
      </c>
      <c r="R10" s="141">
        <f t="shared" si="9"/>
        <v>0.1304347826</v>
      </c>
      <c r="S10" s="88">
        <f>VLOOKUP(E10,'Brass Cost'!$A$11:$D112,4,0)</f>
        <v>569.25</v>
      </c>
      <c r="T10" s="88">
        <f t="shared" si="10"/>
        <v>3.653218884</v>
      </c>
      <c r="U10" s="142">
        <v>2280.0</v>
      </c>
      <c r="V10" s="141">
        <f t="shared" si="11"/>
        <v>0.09615384615</v>
      </c>
      <c r="W10" s="143">
        <f t="shared" si="12"/>
        <v>0.5421428571</v>
      </c>
      <c r="X10" s="88"/>
      <c r="Y10" s="88"/>
      <c r="Z10" s="88"/>
    </row>
    <row r="11" ht="15.75" customHeight="1">
      <c r="A11" s="67" t="str">
        <f t="shared" si="1"/>
        <v>Male Adapter Brass Threads1 x 1⁄2</v>
      </c>
      <c r="B11" s="81">
        <v>7.0</v>
      </c>
      <c r="C11" s="90" t="s">
        <v>352</v>
      </c>
      <c r="D11" s="127" t="s">
        <v>353</v>
      </c>
      <c r="E11" s="112" t="s">
        <v>354</v>
      </c>
      <c r="F11" s="56">
        <v>254.4</v>
      </c>
      <c r="G11" s="76">
        <v>0.02</v>
      </c>
      <c r="H11" s="76">
        <v>0.059</v>
      </c>
      <c r="I11" s="76">
        <f t="shared" si="2"/>
        <v>0.079</v>
      </c>
      <c r="J11" s="84">
        <f t="shared" si="3"/>
        <v>3220.253165</v>
      </c>
      <c r="K11" s="85">
        <f t="shared" si="4"/>
        <v>5</v>
      </c>
      <c r="L11" s="85">
        <f t="shared" si="5"/>
        <v>63.97809524</v>
      </c>
      <c r="M11" s="85">
        <f t="shared" si="6"/>
        <v>3.688127356</v>
      </c>
      <c r="N11" s="139">
        <f t="shared" si="7"/>
        <v>68.97809524</v>
      </c>
      <c r="O11" s="88">
        <v>45.29</v>
      </c>
      <c r="P11" s="88">
        <f t="shared" si="8"/>
        <v>4.030264956</v>
      </c>
      <c r="Q11" s="140">
        <v>278.0</v>
      </c>
      <c r="R11" s="141">
        <f t="shared" si="9"/>
        <v>0.0927672956</v>
      </c>
      <c r="S11" s="88">
        <f>VLOOKUP(E11,'Brass Cost'!$A$11:$D112,4,0)</f>
        <v>61.07</v>
      </c>
      <c r="T11" s="88">
        <f t="shared" si="10"/>
        <v>3.740317837</v>
      </c>
      <c r="U11" s="142">
        <v>258.0</v>
      </c>
      <c r="V11" s="141">
        <f t="shared" si="11"/>
        <v>-0.07194244604</v>
      </c>
      <c r="W11" s="143">
        <f t="shared" si="12"/>
        <v>0.05816190476</v>
      </c>
      <c r="X11" s="88"/>
      <c r="Y11" s="88"/>
      <c r="Z11" s="88"/>
    </row>
    <row r="12" ht="15.75" customHeight="1">
      <c r="A12" s="67" t="str">
        <f t="shared" si="1"/>
        <v>Male Adapter Brass Threads1 x 3⁄4</v>
      </c>
      <c r="B12" s="81">
        <v>8.0</v>
      </c>
      <c r="C12" s="90" t="s">
        <v>153</v>
      </c>
      <c r="D12" s="127" t="s">
        <v>155</v>
      </c>
      <c r="E12" s="112" t="s">
        <v>358</v>
      </c>
      <c r="F12" s="56">
        <v>262.2</v>
      </c>
      <c r="G12" s="76">
        <v>0.031</v>
      </c>
      <c r="H12" s="58">
        <v>0.065</v>
      </c>
      <c r="I12" s="76">
        <f t="shared" si="2"/>
        <v>0.096</v>
      </c>
      <c r="J12" s="84">
        <f t="shared" si="3"/>
        <v>2731.25</v>
      </c>
      <c r="K12" s="85">
        <f t="shared" si="4"/>
        <v>7.75</v>
      </c>
      <c r="L12" s="85">
        <f t="shared" si="5"/>
        <v>70.48380952</v>
      </c>
      <c r="M12" s="85">
        <f t="shared" si="6"/>
        <v>3.351492169</v>
      </c>
      <c r="N12" s="139">
        <f t="shared" si="7"/>
        <v>78.23380952</v>
      </c>
      <c r="O12" s="88">
        <v>50.12</v>
      </c>
      <c r="P12" s="88">
        <f t="shared" si="8"/>
        <v>3.681272863</v>
      </c>
      <c r="Q12" s="140">
        <v>288.0</v>
      </c>
      <c r="R12" s="141">
        <f t="shared" si="9"/>
        <v>0.09839816934</v>
      </c>
      <c r="S12" s="88">
        <f>VLOOKUP(E12,'Brass Cost'!$A$11:$D112,4,0)</f>
        <v>67.28</v>
      </c>
      <c r="T12" s="88">
        <f t="shared" si="10"/>
        <v>3.681272863</v>
      </c>
      <c r="U12" s="142">
        <v>288.0</v>
      </c>
      <c r="V12" s="141">
        <f t="shared" si="11"/>
        <v>0</v>
      </c>
      <c r="W12" s="143">
        <f t="shared" si="12"/>
        <v>0.06407619048</v>
      </c>
      <c r="X12" s="88"/>
      <c r="Y12" s="88"/>
      <c r="Z12" s="88"/>
    </row>
    <row r="13">
      <c r="A13" s="100"/>
      <c r="B13" s="102" t="s">
        <v>11</v>
      </c>
      <c r="C13" s="45"/>
      <c r="D13" s="45"/>
      <c r="E13" s="46"/>
      <c r="F13" s="103">
        <f>SUM(F5:F12)</f>
        <v>4998.6</v>
      </c>
      <c r="G13" s="104"/>
      <c r="H13" s="76" t="str">
        <f>IFERROR(__xludf.DUMMYFUNCTION("IFERROR(VLOOKUP(E13,IMPORTRANGE(""https://docs.google.com/spreadsheets/d/1xZyKy-UzMmtPDLpV5jQdYum1LtbR8XKDuasLSjmBRMI/edit#gid=1241094406"",""COMBINED DATA!E3:L""),8,0))"),"")</f>
        <v/>
      </c>
      <c r="I13" s="76"/>
      <c r="J13" s="116"/>
      <c r="K13" s="85"/>
      <c r="L13" s="85"/>
      <c r="M13" s="85" t="str">
        <f t="shared" ref="M13:M15" si="13">IFERROR(F13/#REF!,"")</f>
        <v/>
      </c>
      <c r="N13" s="139"/>
      <c r="O13" s="142"/>
      <c r="P13" s="88"/>
      <c r="Q13" s="103">
        <f>SUM(Q5:Q12)</f>
        <v>5611</v>
      </c>
      <c r="R13" s="88"/>
      <c r="S13" s="88"/>
      <c r="T13" s="88"/>
      <c r="U13" s="103">
        <f>SUM(U5:U12)</f>
        <v>6398</v>
      </c>
      <c r="V13" s="88"/>
      <c r="W13" s="88"/>
      <c r="X13" s="88"/>
      <c r="Y13" s="88"/>
      <c r="Z13" s="88"/>
    </row>
    <row r="14" ht="6.75" customHeight="1">
      <c r="A14" s="34"/>
      <c r="B14" s="15"/>
      <c r="C14" s="15"/>
      <c r="D14" s="15"/>
      <c r="E14" s="17"/>
      <c r="F14" s="15"/>
      <c r="G14" s="64"/>
      <c r="H14" s="76" t="str">
        <f>IFERROR(__xludf.DUMMYFUNCTION("IFERROR(VLOOKUP(E14,IMPORTRANGE(""https://docs.google.com/spreadsheets/d/1xZyKy-UzMmtPDLpV5jQdYum1LtbR8XKDuasLSjmBRMI/edit#gid=1241094406"",""COMBINED DATA!E3:L""),8,0))"),"")</f>
        <v/>
      </c>
      <c r="I14" s="76"/>
      <c r="J14" s="65"/>
      <c r="K14" s="85"/>
      <c r="L14" s="85"/>
      <c r="M14" s="85" t="str">
        <f t="shared" si="13"/>
        <v/>
      </c>
      <c r="N14" s="139"/>
      <c r="O14" s="138"/>
      <c r="P14" s="89"/>
      <c r="Q14" s="138"/>
      <c r="R14" s="89"/>
      <c r="S14" s="88"/>
      <c r="T14" s="89"/>
      <c r="U14" s="138"/>
      <c r="V14" s="89"/>
      <c r="W14" s="89"/>
      <c r="X14" s="89"/>
      <c r="Y14" s="89"/>
      <c r="Z14" s="89"/>
    </row>
    <row r="15" ht="22.5" customHeight="1">
      <c r="A15" s="34"/>
      <c r="B15" s="62" t="s">
        <v>365</v>
      </c>
      <c r="C15" s="45"/>
      <c r="D15" s="45"/>
      <c r="E15" s="45"/>
      <c r="F15" s="46"/>
      <c r="G15" s="64"/>
      <c r="H15" s="76" t="str">
        <f>IFERROR(__xludf.DUMMYFUNCTION("IFERROR(VLOOKUP(E15,IMPORTRANGE(""https://docs.google.com/spreadsheets/d/1xZyKy-UzMmtPDLpV5jQdYum1LtbR8XKDuasLSjmBRMI/edit#gid=1241094406"",""COMBINED DATA!E3:L""),8,0))"),"")</f>
        <v/>
      </c>
      <c r="I15" s="76"/>
      <c r="J15" s="65"/>
      <c r="K15" s="85"/>
      <c r="L15" s="85"/>
      <c r="M15" s="85" t="str">
        <f t="shared" si="13"/>
        <v/>
      </c>
      <c r="N15" s="139"/>
      <c r="O15" s="138"/>
      <c r="P15" s="89"/>
      <c r="Q15" s="138"/>
      <c r="R15" s="89"/>
      <c r="S15" s="88"/>
      <c r="T15" s="89"/>
      <c r="U15" s="138"/>
      <c r="V15" s="89"/>
      <c r="W15" s="89"/>
      <c r="X15" s="89"/>
      <c r="Y15" s="89"/>
      <c r="Z15" s="89"/>
    </row>
    <row r="16" ht="15.75" customHeight="1">
      <c r="A16" s="67" t="str">
        <f t="shared" ref="A16:A20" si="14">$B$15&amp;C16</f>
        <v>Female Adapter Brass Threads3⁄4</v>
      </c>
      <c r="B16" s="81">
        <v>1.0</v>
      </c>
      <c r="C16" s="51" t="s">
        <v>51</v>
      </c>
      <c r="D16" s="70">
        <v>20.0</v>
      </c>
      <c r="E16" s="129" t="s">
        <v>368</v>
      </c>
      <c r="F16" s="56">
        <v>246.2</v>
      </c>
      <c r="G16" s="76">
        <v>0.012700000000000003</v>
      </c>
      <c r="H16" s="58">
        <v>0.079</v>
      </c>
      <c r="I16" s="76">
        <f t="shared" ref="I16:I20" si="15">G16+H16</f>
        <v>0.0917</v>
      </c>
      <c r="J16" s="84">
        <f t="shared" ref="J16:J20" si="16">IFERROR(F16/I16,"")</f>
        <v>2684.841876</v>
      </c>
      <c r="K16" s="85">
        <f t="shared" ref="K16:K20" si="17">IFERROR(G16*$K$3,)</f>
        <v>3.175</v>
      </c>
      <c r="L16" s="85">
        <f t="shared" ref="L16:L20" si="18">IFERROR(W16*$L$3,"")</f>
        <v>86.63809524</v>
      </c>
      <c r="M16" s="85">
        <f t="shared" ref="M16:M20" si="19">IFERROR(F16/SUM(K16:L16),"")</f>
        <v>2.74124836</v>
      </c>
      <c r="N16" s="139">
        <f t="shared" ref="N16:N20" si="20">IFERROR(SUM(K16:L16)," ")</f>
        <v>89.81309524</v>
      </c>
      <c r="O16" s="88">
        <v>61.76</v>
      </c>
      <c r="P16" s="88">
        <f t="shared" ref="P16:P20" si="21">IFERROR(Q16/N16,"")</f>
        <v>3.073048527</v>
      </c>
      <c r="Q16" s="140">
        <v>276.0</v>
      </c>
      <c r="R16" s="141">
        <f t="shared" ref="R16:R20" si="22">IFERROR(Q16-F16,"")/F16</f>
        <v>0.121039805</v>
      </c>
      <c r="S16" s="88">
        <f>VLOOKUP(E16,'Brass Cost'!$A$11:$D112,4,0)</f>
        <v>82.7</v>
      </c>
      <c r="T16" s="88">
        <f t="shared" ref="T16:T20" si="23">IFERROR(U16/N16,"")</f>
        <v>3.607491749</v>
      </c>
      <c r="U16" s="142">
        <v>324.0</v>
      </c>
      <c r="V16" s="141">
        <f t="shared" ref="V16:V20" si="24">IFERROR(U16-Q16,"")/Q16</f>
        <v>0.1739130435</v>
      </c>
      <c r="W16" s="143">
        <f t="shared" ref="W16:W20" si="25">IFERROR(S16/1050,"")</f>
        <v>0.07876190476</v>
      </c>
      <c r="X16" s="88"/>
      <c r="Y16" s="88"/>
      <c r="Z16" s="88"/>
    </row>
    <row r="17" ht="15.75" customHeight="1">
      <c r="A17" s="67" t="str">
        <f t="shared" si="14"/>
        <v>Female Adapter Brass Threads1</v>
      </c>
      <c r="B17" s="81">
        <v>2.0</v>
      </c>
      <c r="C17" s="150">
        <v>1.0</v>
      </c>
      <c r="D17" s="92">
        <v>25.0</v>
      </c>
      <c r="E17" s="94" t="s">
        <v>375</v>
      </c>
      <c r="F17" s="56">
        <v>468.8</v>
      </c>
      <c r="G17" s="76">
        <v>0.020095</v>
      </c>
      <c r="H17" s="58">
        <v>0.187</v>
      </c>
      <c r="I17" s="76">
        <f t="shared" si="15"/>
        <v>0.207095</v>
      </c>
      <c r="J17" s="84">
        <f t="shared" si="16"/>
        <v>2263.695405</v>
      </c>
      <c r="K17" s="85">
        <f t="shared" si="17"/>
        <v>5.02375</v>
      </c>
      <c r="L17" s="85">
        <f t="shared" si="18"/>
        <v>205.2495238</v>
      </c>
      <c r="M17" s="85">
        <f t="shared" si="19"/>
        <v>2.229479722</v>
      </c>
      <c r="N17" s="139">
        <f t="shared" si="20"/>
        <v>210.2732738</v>
      </c>
      <c r="O17" s="88">
        <v>146.33</v>
      </c>
      <c r="P17" s="88">
        <f t="shared" si="21"/>
        <v>2.511018117</v>
      </c>
      <c r="Q17" s="140">
        <v>528.0</v>
      </c>
      <c r="R17" s="141">
        <f t="shared" si="22"/>
        <v>0.1262798635</v>
      </c>
      <c r="S17" s="88">
        <f>VLOOKUP(E17,'Brass Cost'!$A$11:$D112,4,0)</f>
        <v>195.92</v>
      </c>
      <c r="T17" s="88">
        <f t="shared" si="23"/>
        <v>3.557275665</v>
      </c>
      <c r="U17" s="142">
        <v>748.0</v>
      </c>
      <c r="V17" s="141">
        <f t="shared" si="24"/>
        <v>0.4166666667</v>
      </c>
      <c r="W17" s="143">
        <f t="shared" si="25"/>
        <v>0.1865904762</v>
      </c>
      <c r="X17" s="88"/>
      <c r="Y17" s="88"/>
      <c r="Z17" s="88"/>
    </row>
    <row r="18" ht="15.75" customHeight="1">
      <c r="A18" s="67" t="str">
        <f t="shared" si="14"/>
        <v>Female Adapter Brass Threads1 1⁄4</v>
      </c>
      <c r="B18" s="81">
        <v>3.0</v>
      </c>
      <c r="C18" s="150" t="s">
        <v>55</v>
      </c>
      <c r="D18" s="92">
        <v>32.0</v>
      </c>
      <c r="E18" s="94" t="s">
        <v>377</v>
      </c>
      <c r="F18" s="56">
        <v>848.8</v>
      </c>
      <c r="G18" s="58">
        <v>0.047</v>
      </c>
      <c r="H18" s="146">
        <v>0.244</v>
      </c>
      <c r="I18" s="76">
        <f t="shared" si="15"/>
        <v>0.291</v>
      </c>
      <c r="J18" s="84">
        <f t="shared" si="16"/>
        <v>2916.838488</v>
      </c>
      <c r="K18" s="85">
        <f t="shared" si="17"/>
        <v>11.75</v>
      </c>
      <c r="L18" s="85">
        <f t="shared" si="18"/>
        <v>265.6552381</v>
      </c>
      <c r="M18" s="85">
        <f t="shared" si="19"/>
        <v>3.059783607</v>
      </c>
      <c r="N18" s="139">
        <f t="shared" si="20"/>
        <v>277.4052381</v>
      </c>
      <c r="O18" s="88">
        <v>258.75</v>
      </c>
      <c r="P18" s="88">
        <f t="shared" si="21"/>
        <v>3.439012207</v>
      </c>
      <c r="Q18" s="140">
        <v>954.0</v>
      </c>
      <c r="R18" s="141">
        <f t="shared" si="22"/>
        <v>0.1239396795</v>
      </c>
      <c r="S18" s="88">
        <f>VLOOKUP(E18,'Brass Cost'!$A$11:$D112,4,0)</f>
        <v>253.58</v>
      </c>
      <c r="T18" s="88">
        <f t="shared" si="23"/>
        <v>3.561576583</v>
      </c>
      <c r="U18" s="142">
        <v>988.0</v>
      </c>
      <c r="V18" s="141">
        <f t="shared" si="24"/>
        <v>0.035639413</v>
      </c>
      <c r="W18" s="143">
        <f t="shared" si="25"/>
        <v>0.2415047619</v>
      </c>
      <c r="X18" s="88"/>
      <c r="Y18" s="88"/>
      <c r="Z18" s="88"/>
    </row>
    <row r="19" ht="15.75" customHeight="1">
      <c r="A19" s="67" t="str">
        <f t="shared" si="14"/>
        <v>Female Adapter Brass Threads1 1⁄2</v>
      </c>
      <c r="B19" s="81">
        <v>4.0</v>
      </c>
      <c r="C19" s="150" t="s">
        <v>56</v>
      </c>
      <c r="D19" s="92">
        <v>40.0</v>
      </c>
      <c r="E19" s="94" t="s">
        <v>379</v>
      </c>
      <c r="F19" s="56">
        <v>958.4</v>
      </c>
      <c r="G19" s="76">
        <v>0.06275</v>
      </c>
      <c r="H19" s="146">
        <v>0.28</v>
      </c>
      <c r="I19" s="76">
        <f t="shared" si="15"/>
        <v>0.34275</v>
      </c>
      <c r="J19" s="84">
        <f t="shared" si="16"/>
        <v>2796.207148</v>
      </c>
      <c r="K19" s="85">
        <f t="shared" si="17"/>
        <v>15.6875</v>
      </c>
      <c r="L19" s="85">
        <f t="shared" si="18"/>
        <v>306.8580952</v>
      </c>
      <c r="M19" s="85">
        <f t="shared" si="19"/>
        <v>2.971362853</v>
      </c>
      <c r="N19" s="139">
        <f t="shared" si="20"/>
        <v>322.5455952</v>
      </c>
      <c r="O19" s="88">
        <v>305.59</v>
      </c>
      <c r="P19" s="88">
        <f t="shared" si="21"/>
        <v>3.329761794</v>
      </c>
      <c r="Q19" s="140">
        <v>1074.0</v>
      </c>
      <c r="R19" s="141">
        <f t="shared" si="22"/>
        <v>0.1206176962</v>
      </c>
      <c r="S19" s="88">
        <f>VLOOKUP(E19,'Brass Cost'!$A$11:$D112,4,0)</f>
        <v>292.91</v>
      </c>
      <c r="T19" s="88">
        <f t="shared" si="23"/>
        <v>3.62119346</v>
      </c>
      <c r="U19" s="142">
        <v>1168.0</v>
      </c>
      <c r="V19" s="141">
        <f t="shared" si="24"/>
        <v>0.08752327747</v>
      </c>
      <c r="W19" s="143">
        <f t="shared" si="25"/>
        <v>0.2789619048</v>
      </c>
      <c r="X19" s="88"/>
      <c r="Y19" s="88"/>
      <c r="Z19" s="88"/>
    </row>
    <row r="20" ht="15.75" customHeight="1">
      <c r="A20" s="67" t="str">
        <f t="shared" si="14"/>
        <v>Female Adapter Brass Threads2</v>
      </c>
      <c r="B20" s="81">
        <v>5.0</v>
      </c>
      <c r="C20" s="90">
        <v>2.0</v>
      </c>
      <c r="D20" s="127">
        <v>50.0</v>
      </c>
      <c r="E20" s="112" t="s">
        <v>382</v>
      </c>
      <c r="F20" s="56">
        <v>1822.4</v>
      </c>
      <c r="G20" s="76">
        <v>0.108</v>
      </c>
      <c r="H20" s="146">
        <v>0.451</v>
      </c>
      <c r="I20" s="76">
        <f t="shared" si="15"/>
        <v>0.559</v>
      </c>
      <c r="J20" s="84">
        <f t="shared" si="16"/>
        <v>3260.107335</v>
      </c>
      <c r="K20" s="85">
        <f t="shared" si="17"/>
        <v>27</v>
      </c>
      <c r="L20" s="85">
        <f t="shared" si="18"/>
        <v>493.3552381</v>
      </c>
      <c r="M20" s="85">
        <f t="shared" si="19"/>
        <v>3.50222284</v>
      </c>
      <c r="N20" s="139">
        <f t="shared" si="20"/>
        <v>520.3552381</v>
      </c>
      <c r="O20" s="88">
        <v>428.59</v>
      </c>
      <c r="P20" s="88">
        <f t="shared" si="21"/>
        <v>3.931929286</v>
      </c>
      <c r="Q20" s="140">
        <v>2046.0</v>
      </c>
      <c r="R20" s="141">
        <f t="shared" si="22"/>
        <v>0.1226953468</v>
      </c>
      <c r="S20" s="88">
        <f>VLOOKUP(E20,'Brass Cost'!$A$11:$D112,4,0)</f>
        <v>470.93</v>
      </c>
      <c r="T20" s="88">
        <f t="shared" si="23"/>
        <v>3.612916451</v>
      </c>
      <c r="U20" s="142">
        <v>1880.0</v>
      </c>
      <c r="V20" s="141">
        <f t="shared" si="24"/>
        <v>-0.08113391984</v>
      </c>
      <c r="W20" s="143">
        <f t="shared" si="25"/>
        <v>0.4485047619</v>
      </c>
      <c r="X20" s="88"/>
      <c r="Y20" s="88"/>
      <c r="Z20" s="88"/>
    </row>
    <row r="21">
      <c r="A21" s="100"/>
      <c r="B21" s="102" t="s">
        <v>11</v>
      </c>
      <c r="C21" s="45"/>
      <c r="D21" s="45"/>
      <c r="E21" s="46"/>
      <c r="F21" s="103">
        <f>SUM(F16:F20)</f>
        <v>4344.6</v>
      </c>
      <c r="G21" s="104"/>
      <c r="H21" s="76" t="str">
        <f>IFERROR(__xludf.DUMMYFUNCTION("IFERROR(VLOOKUP(E21,IMPORTRANGE(""https://docs.google.com/spreadsheets/d/1xZyKy-UzMmtPDLpV5jQdYum1LtbR8XKDuasLSjmBRMI/edit#gid=1241094406"",""COMBINED DATA!E3:L""),8,0))"),"")</f>
        <v/>
      </c>
      <c r="I21" s="76"/>
      <c r="J21" s="116"/>
      <c r="K21" s="85"/>
      <c r="L21" s="85"/>
      <c r="M21" s="85" t="str">
        <f t="shared" ref="M21:M23" si="26">IFERROR(F21/#REF!,"")</f>
        <v/>
      </c>
      <c r="N21" s="139"/>
      <c r="O21" s="138"/>
      <c r="P21" s="89"/>
      <c r="Q21" s="103">
        <f>SUM(Q16:Q20)</f>
        <v>4878</v>
      </c>
      <c r="R21" s="89"/>
      <c r="S21" s="88"/>
      <c r="T21" s="88"/>
      <c r="U21" s="103">
        <f>SUM(U16:U20)</f>
        <v>5108</v>
      </c>
      <c r="V21" s="89"/>
      <c r="W21" s="89"/>
      <c r="X21" s="89"/>
      <c r="Y21" s="89"/>
      <c r="Z21" s="89"/>
    </row>
    <row r="22" ht="6.0" customHeight="1">
      <c r="A22" s="34"/>
      <c r="B22" s="15"/>
      <c r="C22" s="15"/>
      <c r="D22" s="15"/>
      <c r="E22" s="17"/>
      <c r="F22" s="15"/>
      <c r="G22" s="64"/>
      <c r="H22" s="76" t="str">
        <f>IFERROR(__xludf.DUMMYFUNCTION("IFERROR(VLOOKUP(E22,IMPORTRANGE(""https://docs.google.com/spreadsheets/d/1xZyKy-UzMmtPDLpV5jQdYum1LtbR8XKDuasLSjmBRMI/edit#gid=1241094406"",""COMBINED DATA!E3:L""),8,0))"),"")</f>
        <v/>
      </c>
      <c r="I22" s="76"/>
      <c r="J22" s="65"/>
      <c r="K22" s="85"/>
      <c r="L22" s="85"/>
      <c r="M22" s="85" t="str">
        <f t="shared" si="26"/>
        <v/>
      </c>
      <c r="N22" s="139"/>
      <c r="O22" s="138"/>
      <c r="P22" s="89"/>
      <c r="Q22" s="138"/>
      <c r="R22" s="89"/>
      <c r="S22" s="88"/>
      <c r="T22" s="88"/>
      <c r="U22" s="138"/>
      <c r="V22" s="89"/>
      <c r="W22" s="89"/>
      <c r="X22" s="89"/>
      <c r="Y22" s="89"/>
      <c r="Z22" s="89"/>
    </row>
    <row r="23" ht="22.5" customHeight="1">
      <c r="A23" s="34"/>
      <c r="B23" s="62" t="s">
        <v>386</v>
      </c>
      <c r="C23" s="45"/>
      <c r="D23" s="45"/>
      <c r="E23" s="45"/>
      <c r="F23" s="46"/>
      <c r="G23" s="64"/>
      <c r="H23" s="76" t="str">
        <f>IFERROR(__xludf.DUMMYFUNCTION("IFERROR(VLOOKUP(E23,IMPORTRANGE(""https://docs.google.com/spreadsheets/d/1xZyKy-UzMmtPDLpV5jQdYum1LtbR8XKDuasLSjmBRMI/edit#gid=1241094406"",""COMBINED DATA!E3:L""),8,0))"),"")</f>
        <v/>
      </c>
      <c r="I23" s="76"/>
      <c r="J23" s="65"/>
      <c r="K23" s="85"/>
      <c r="L23" s="85"/>
      <c r="M23" s="85" t="str">
        <f t="shared" si="26"/>
        <v/>
      </c>
      <c r="N23" s="139"/>
      <c r="O23" s="138"/>
      <c r="P23" s="89"/>
      <c r="Q23" s="138"/>
      <c r="R23" s="89"/>
      <c r="S23" s="88"/>
      <c r="T23" s="88"/>
      <c r="U23" s="138"/>
      <c r="V23" s="89"/>
      <c r="W23" s="89"/>
      <c r="X23" s="89"/>
      <c r="Y23" s="89"/>
      <c r="Z23" s="89"/>
    </row>
    <row r="24" ht="15.75" customHeight="1">
      <c r="A24" s="67" t="str">
        <f t="shared" ref="A24:A30" si="27">$B$23&amp;C24</f>
        <v>Brass Elbow 90⁰3⁄4 x 1⁄2</v>
      </c>
      <c r="B24" s="81">
        <v>1.0</v>
      </c>
      <c r="C24" s="68" t="s">
        <v>144</v>
      </c>
      <c r="D24" s="110" t="s">
        <v>145</v>
      </c>
      <c r="E24" s="111" t="s">
        <v>387</v>
      </c>
      <c r="F24" s="56">
        <v>86.2</v>
      </c>
      <c r="G24" s="76">
        <v>0.03</v>
      </c>
      <c r="H24" s="58">
        <v>0.019</v>
      </c>
      <c r="I24" s="76">
        <f t="shared" ref="I24:I30" si="28">G24+H24</f>
        <v>0.049</v>
      </c>
      <c r="J24" s="84">
        <f t="shared" ref="J24:J30" si="29">IFERROR(F24/I24,"")</f>
        <v>1759.183673</v>
      </c>
      <c r="K24" s="85">
        <f t="shared" ref="K24:K30" si="30">IFERROR(G24*$K$3,)</f>
        <v>7.5</v>
      </c>
      <c r="L24" s="85">
        <f t="shared" ref="L24:L30" si="31">IFERROR(W24*$L$3,"")</f>
        <v>20.70095238</v>
      </c>
      <c r="M24" s="85">
        <f t="shared" ref="M24:M30" si="32">IFERROR(F24/SUM(K24:L24),"")</f>
        <v>3.056634359</v>
      </c>
      <c r="N24" s="139">
        <f t="shared" ref="N24:N30" si="33">IFERROR(SUM(K24:L24)," ")</f>
        <v>28.20095238</v>
      </c>
      <c r="O24" s="88">
        <v>14.18</v>
      </c>
      <c r="P24" s="88">
        <f t="shared" ref="P24:P30" si="34">IFERROR(Q24/N24,"")</f>
        <v>3.475059944</v>
      </c>
      <c r="Q24" s="140">
        <v>98.0</v>
      </c>
      <c r="R24" s="141">
        <f t="shared" ref="R24:R30" si="35">IFERROR(Q24-F24,"")/F24</f>
        <v>0.1368909513</v>
      </c>
      <c r="S24" s="88">
        <f>VLOOKUP(E24,'Brass Cost'!$A$11:$D112,4,0)</f>
        <v>19.76</v>
      </c>
      <c r="T24" s="88">
        <f t="shared" ref="T24:T30" si="36">IFERROR(U24/N24,"")</f>
        <v>3.687818716</v>
      </c>
      <c r="U24" s="142">
        <v>104.0</v>
      </c>
      <c r="V24" s="141">
        <f t="shared" ref="V24:V30" si="37">IFERROR(U24-Q24,"")/Q24</f>
        <v>0.0612244898</v>
      </c>
      <c r="W24" s="143">
        <f t="shared" ref="W24:W30" si="38">IFERROR(S24/1050,"")</f>
        <v>0.01881904762</v>
      </c>
      <c r="X24" s="89"/>
      <c r="Y24" s="89"/>
      <c r="Z24" s="89"/>
    </row>
    <row r="25" ht="15.75" customHeight="1">
      <c r="A25" s="67" t="str">
        <f t="shared" si="27"/>
        <v>Brass Elbow 90⁰1 x 1⁄2</v>
      </c>
      <c r="B25" s="81">
        <v>2.0</v>
      </c>
      <c r="C25" s="90" t="s">
        <v>352</v>
      </c>
      <c r="D25" s="127" t="s">
        <v>353</v>
      </c>
      <c r="E25" s="112" t="s">
        <v>392</v>
      </c>
      <c r="F25" s="56">
        <v>158.6</v>
      </c>
      <c r="G25" s="76">
        <v>0.038</v>
      </c>
      <c r="H25" s="76">
        <v>0.019</v>
      </c>
      <c r="I25" s="76">
        <f t="shared" si="28"/>
        <v>0.057</v>
      </c>
      <c r="J25" s="84">
        <f t="shared" si="29"/>
        <v>2782.45614</v>
      </c>
      <c r="K25" s="85">
        <f t="shared" si="30"/>
        <v>9.5</v>
      </c>
      <c r="L25" s="85">
        <f t="shared" si="31"/>
        <v>20.70095238</v>
      </c>
      <c r="M25" s="85">
        <f t="shared" si="32"/>
        <v>5.251490019</v>
      </c>
      <c r="N25" s="139">
        <f t="shared" si="33"/>
        <v>30.20095238</v>
      </c>
      <c r="O25" s="88">
        <v>14.18</v>
      </c>
      <c r="P25" s="88">
        <f t="shared" si="34"/>
        <v>5.562738482</v>
      </c>
      <c r="Q25" s="140">
        <v>168.0</v>
      </c>
      <c r="R25" s="141">
        <f t="shared" si="35"/>
        <v>0.05926860025</v>
      </c>
      <c r="S25" s="88">
        <f>VLOOKUP(E25,'Brass Cost'!$A$11:$D112,4,0)</f>
        <v>19.76</v>
      </c>
      <c r="T25" s="88">
        <f t="shared" si="36"/>
        <v>3.907161553</v>
      </c>
      <c r="U25" s="142">
        <v>118.0</v>
      </c>
      <c r="V25" s="141">
        <f t="shared" si="37"/>
        <v>-0.2976190476</v>
      </c>
      <c r="W25" s="143">
        <f t="shared" si="38"/>
        <v>0.01881904762</v>
      </c>
      <c r="X25" s="89"/>
      <c r="Y25" s="89"/>
      <c r="Z25" s="89"/>
    </row>
    <row r="26" ht="15.75" customHeight="1">
      <c r="A26" s="67" t="str">
        <f t="shared" si="27"/>
        <v>Brass Elbow 90⁰1 x 3⁄4</v>
      </c>
      <c r="B26" s="81">
        <v>3.0</v>
      </c>
      <c r="C26" s="90" t="s">
        <v>153</v>
      </c>
      <c r="D26" s="127" t="s">
        <v>155</v>
      </c>
      <c r="E26" s="112" t="s">
        <v>395</v>
      </c>
      <c r="F26" s="56">
        <v>248.4</v>
      </c>
      <c r="G26" s="76">
        <v>0.040875</v>
      </c>
      <c r="H26" s="76">
        <v>0.043125</v>
      </c>
      <c r="I26" s="76">
        <f t="shared" si="28"/>
        <v>0.084</v>
      </c>
      <c r="J26" s="84">
        <f t="shared" si="29"/>
        <v>2957.142857</v>
      </c>
      <c r="K26" s="85">
        <f t="shared" si="30"/>
        <v>10.21875</v>
      </c>
      <c r="L26" s="85">
        <f t="shared" si="31"/>
        <v>46.12666667</v>
      </c>
      <c r="M26" s="85">
        <f t="shared" si="32"/>
        <v>4.408521841</v>
      </c>
      <c r="N26" s="139">
        <f t="shared" si="33"/>
        <v>56.34541667</v>
      </c>
      <c r="O26" s="88">
        <v>32.89</v>
      </c>
      <c r="P26" s="88">
        <f t="shared" si="34"/>
        <v>4.756376221</v>
      </c>
      <c r="Q26" s="140">
        <v>268.0</v>
      </c>
      <c r="R26" s="141">
        <f t="shared" si="35"/>
        <v>0.07890499195</v>
      </c>
      <c r="S26" s="88">
        <f>VLOOKUP(E26,'Brass Cost'!$A$11:$D112,4,0)</f>
        <v>44.03</v>
      </c>
      <c r="T26" s="88">
        <f t="shared" si="36"/>
        <v>3.762506563</v>
      </c>
      <c r="U26" s="142">
        <v>212.0</v>
      </c>
      <c r="V26" s="141">
        <f t="shared" si="37"/>
        <v>-0.2089552239</v>
      </c>
      <c r="W26" s="143">
        <f t="shared" si="38"/>
        <v>0.04193333333</v>
      </c>
      <c r="X26" s="89"/>
      <c r="Y26" s="89"/>
      <c r="Z26" s="89"/>
    </row>
    <row r="27" ht="15.75" customHeight="1">
      <c r="A27" s="67" t="str">
        <f t="shared" si="27"/>
        <v>Brass Elbow 90⁰1⁄2 x 1⁄2</v>
      </c>
      <c r="B27" s="81">
        <v>4.0</v>
      </c>
      <c r="C27" s="90" t="s">
        <v>397</v>
      </c>
      <c r="D27" s="127" t="s">
        <v>398</v>
      </c>
      <c r="E27" s="112" t="s">
        <v>399</v>
      </c>
      <c r="F27" s="56">
        <v>82.6</v>
      </c>
      <c r="G27" s="76">
        <v>0.021</v>
      </c>
      <c r="H27" s="76">
        <v>0.019</v>
      </c>
      <c r="I27" s="76">
        <f t="shared" si="28"/>
        <v>0.04</v>
      </c>
      <c r="J27" s="84">
        <f t="shared" si="29"/>
        <v>2065</v>
      </c>
      <c r="K27" s="85">
        <f t="shared" si="30"/>
        <v>5.25</v>
      </c>
      <c r="L27" s="85">
        <f t="shared" si="31"/>
        <v>20.70095238</v>
      </c>
      <c r="M27" s="85">
        <f t="shared" si="32"/>
        <v>3.182927501</v>
      </c>
      <c r="N27" s="139">
        <f t="shared" si="33"/>
        <v>25.95095238</v>
      </c>
      <c r="O27" s="88">
        <v>14.18</v>
      </c>
      <c r="P27" s="88">
        <f t="shared" si="34"/>
        <v>3.622217737</v>
      </c>
      <c r="Q27" s="140">
        <v>94.0</v>
      </c>
      <c r="R27" s="141">
        <f t="shared" si="35"/>
        <v>0.1380145278</v>
      </c>
      <c r="S27" s="88">
        <f>VLOOKUP(E27,'Brass Cost'!$A$11:$D112,4,0)</f>
        <v>19.76</v>
      </c>
      <c r="T27" s="88">
        <f t="shared" si="36"/>
        <v>3.622217737</v>
      </c>
      <c r="U27" s="142">
        <v>94.0</v>
      </c>
      <c r="V27" s="141">
        <f t="shared" si="37"/>
        <v>0</v>
      </c>
      <c r="W27" s="143">
        <f t="shared" si="38"/>
        <v>0.01881904762</v>
      </c>
      <c r="X27" s="89"/>
      <c r="Y27" s="89"/>
      <c r="Z27" s="89"/>
    </row>
    <row r="28" ht="15.75" customHeight="1">
      <c r="A28" s="67" t="str">
        <f t="shared" si="27"/>
        <v>Brass Elbow 90⁰3⁄4 x 3⁄4</v>
      </c>
      <c r="B28" s="81">
        <v>5.0</v>
      </c>
      <c r="C28" s="90" t="s">
        <v>404</v>
      </c>
      <c r="D28" s="127" t="s">
        <v>405</v>
      </c>
      <c r="E28" s="112" t="s">
        <v>406</v>
      </c>
      <c r="F28" s="56">
        <v>158.8</v>
      </c>
      <c r="G28" s="76">
        <v>0.047125</v>
      </c>
      <c r="H28" s="76">
        <v>0.043125</v>
      </c>
      <c r="I28" s="76">
        <f t="shared" si="28"/>
        <v>0.09025</v>
      </c>
      <c r="J28" s="84">
        <f t="shared" si="29"/>
        <v>1759.556787</v>
      </c>
      <c r="K28" s="85">
        <f t="shared" si="30"/>
        <v>11.78125</v>
      </c>
      <c r="L28" s="85">
        <f t="shared" si="31"/>
        <v>46.12666667</v>
      </c>
      <c r="M28" s="85">
        <f t="shared" si="32"/>
        <v>2.742284806</v>
      </c>
      <c r="N28" s="139">
        <f t="shared" si="33"/>
        <v>57.90791667</v>
      </c>
      <c r="O28" s="88">
        <v>32.89</v>
      </c>
      <c r="P28" s="88">
        <f t="shared" si="34"/>
        <v>3.177458465</v>
      </c>
      <c r="Q28" s="140">
        <v>184.0</v>
      </c>
      <c r="R28" s="141">
        <f t="shared" si="35"/>
        <v>0.1586901763</v>
      </c>
      <c r="S28" s="88">
        <f>VLOOKUP(E28,'Brass Cost'!$A$11:$D112,4,0)</f>
        <v>44.03</v>
      </c>
      <c r="T28" s="88">
        <f t="shared" si="36"/>
        <v>3.660984753</v>
      </c>
      <c r="U28" s="142">
        <v>212.0</v>
      </c>
      <c r="V28" s="141">
        <f t="shared" si="37"/>
        <v>0.152173913</v>
      </c>
      <c r="W28" s="143">
        <f t="shared" si="38"/>
        <v>0.04193333333</v>
      </c>
      <c r="X28" s="89"/>
      <c r="Y28" s="89"/>
      <c r="Z28" s="89"/>
    </row>
    <row r="29" ht="15.75" customHeight="1">
      <c r="A29" s="67" t="str">
        <f t="shared" si="27"/>
        <v>Brass Elbow 90⁰1 x 1</v>
      </c>
      <c r="B29" s="81">
        <v>6.0</v>
      </c>
      <c r="C29" s="90" t="s">
        <v>409</v>
      </c>
      <c r="D29" s="127" t="s">
        <v>410</v>
      </c>
      <c r="E29" s="112" t="s">
        <v>411</v>
      </c>
      <c r="F29" s="56">
        <v>348.0</v>
      </c>
      <c r="G29" s="76">
        <v>0.047</v>
      </c>
      <c r="H29" s="58">
        <v>0.065</v>
      </c>
      <c r="I29" s="76">
        <f t="shared" si="28"/>
        <v>0.112</v>
      </c>
      <c r="J29" s="84">
        <f t="shared" si="29"/>
        <v>3107.142857</v>
      </c>
      <c r="K29" s="85">
        <f t="shared" si="30"/>
        <v>11.75</v>
      </c>
      <c r="L29" s="85">
        <f t="shared" si="31"/>
        <v>70.21142857</v>
      </c>
      <c r="M29" s="85">
        <f t="shared" si="32"/>
        <v>4.245899639</v>
      </c>
      <c r="N29" s="139">
        <f t="shared" si="33"/>
        <v>81.96142857</v>
      </c>
      <c r="O29" s="88">
        <v>50.05</v>
      </c>
      <c r="P29" s="88">
        <f t="shared" si="34"/>
        <v>4.36790825</v>
      </c>
      <c r="Q29" s="140">
        <v>358.0</v>
      </c>
      <c r="R29" s="141">
        <f t="shared" si="35"/>
        <v>0.02873563218</v>
      </c>
      <c r="S29" s="88">
        <f>VLOOKUP(E29,'Brass Cost'!$A$11:$D112,4,0)</f>
        <v>67.02</v>
      </c>
      <c r="T29" s="88">
        <f t="shared" si="36"/>
        <v>3.635856588</v>
      </c>
      <c r="U29" s="142">
        <v>298.0</v>
      </c>
      <c r="V29" s="141">
        <f t="shared" si="37"/>
        <v>-0.1675977654</v>
      </c>
      <c r="W29" s="143">
        <f t="shared" si="38"/>
        <v>0.06382857143</v>
      </c>
      <c r="X29" s="89"/>
      <c r="Y29" s="89"/>
      <c r="Z29" s="89"/>
    </row>
    <row r="30" ht="15.75" customHeight="1">
      <c r="A30" s="67" t="str">
        <f t="shared" si="27"/>
        <v>Brass Elbow 90⁰1 x 1 1⁄4</v>
      </c>
      <c r="B30" s="81">
        <v>7.0</v>
      </c>
      <c r="C30" s="151" t="s">
        <v>417</v>
      </c>
      <c r="D30" s="152" t="s">
        <v>418</v>
      </c>
      <c r="E30" s="112" t="s">
        <v>419</v>
      </c>
      <c r="F30" s="56">
        <v>594.0</v>
      </c>
      <c r="G30" s="76">
        <v>0.09</v>
      </c>
      <c r="H30" s="76">
        <v>0.1035</v>
      </c>
      <c r="I30" s="76">
        <f t="shared" si="28"/>
        <v>0.1935</v>
      </c>
      <c r="J30" s="84">
        <f t="shared" si="29"/>
        <v>3069.767442</v>
      </c>
      <c r="K30" s="85">
        <f t="shared" si="30"/>
        <v>22.5</v>
      </c>
      <c r="L30" s="85">
        <f t="shared" si="31"/>
        <v>113.8761905</v>
      </c>
      <c r="M30" s="85">
        <f t="shared" si="32"/>
        <v>4.355599008</v>
      </c>
      <c r="N30" s="139">
        <f t="shared" si="33"/>
        <v>136.3761905</v>
      </c>
      <c r="O30" s="88">
        <v>81.16</v>
      </c>
      <c r="P30" s="88">
        <f t="shared" si="34"/>
        <v>4.751562555</v>
      </c>
      <c r="Q30" s="140">
        <v>648.0</v>
      </c>
      <c r="R30" s="141">
        <f t="shared" si="35"/>
        <v>0.09090909091</v>
      </c>
      <c r="S30" s="88">
        <f>VLOOKUP(E30,'Brass Cost'!$A$11:$D112,4,0)</f>
        <v>108.7</v>
      </c>
      <c r="T30" s="88">
        <f t="shared" si="36"/>
        <v>3.651663815</v>
      </c>
      <c r="U30" s="142">
        <v>498.0</v>
      </c>
      <c r="V30" s="141">
        <f t="shared" si="37"/>
        <v>-0.2314814815</v>
      </c>
      <c r="W30" s="143">
        <f t="shared" si="38"/>
        <v>0.1035238095</v>
      </c>
      <c r="X30" s="89"/>
      <c r="Y30" s="89"/>
      <c r="Z30" s="89"/>
    </row>
    <row r="31">
      <c r="A31" s="100"/>
      <c r="B31" s="102" t="s">
        <v>11</v>
      </c>
      <c r="C31" s="45"/>
      <c r="D31" s="45"/>
      <c r="E31" s="46"/>
      <c r="F31" s="131">
        <v>3780.0</v>
      </c>
      <c r="G31" s="104"/>
      <c r="H31" s="76" t="str">
        <f>IFERROR(__xludf.DUMMYFUNCTION("IFERROR(VLOOKUP(E31,IMPORTRANGE(""https://docs.google.com/spreadsheets/d/1xZyKy-UzMmtPDLpV5jQdYum1LtbR8XKDuasLSjmBRMI/edit#gid=1241094406"",""COMBINED DATA!E3:L""),8,0))"),"")</f>
        <v/>
      </c>
      <c r="I31" s="76"/>
      <c r="J31" s="84"/>
      <c r="K31" s="85"/>
      <c r="L31" s="85"/>
      <c r="M31" s="85" t="str">
        <f t="shared" ref="M31:M33" si="39">IFERROR(F31/#REF!,"")</f>
        <v/>
      </c>
      <c r="N31" s="139"/>
      <c r="O31" s="138"/>
      <c r="P31" s="89"/>
      <c r="Q31" s="131">
        <v>3780.0</v>
      </c>
      <c r="R31" s="89"/>
      <c r="S31" s="88"/>
      <c r="T31" s="89"/>
      <c r="U31" s="131">
        <v>3780.0</v>
      </c>
      <c r="V31" s="89"/>
      <c r="W31" s="89"/>
      <c r="X31" s="89"/>
      <c r="Y31" s="89"/>
      <c r="Z31" s="89"/>
    </row>
    <row r="32" ht="6.0" customHeight="1">
      <c r="A32" s="34"/>
      <c r="B32" s="15"/>
      <c r="C32" s="15"/>
      <c r="D32" s="15"/>
      <c r="E32" s="17"/>
      <c r="F32" s="15"/>
      <c r="G32" s="64"/>
      <c r="H32" s="76" t="str">
        <f>IFERROR(__xludf.DUMMYFUNCTION("IFERROR(VLOOKUP(E32,IMPORTRANGE(""https://docs.google.com/spreadsheets/d/1xZyKy-UzMmtPDLpV5jQdYum1LtbR8XKDuasLSjmBRMI/edit#gid=1241094406"",""COMBINED DATA!E3:L""),8,0))"),"")</f>
        <v/>
      </c>
      <c r="I32" s="76"/>
      <c r="J32" s="65"/>
      <c r="K32" s="85"/>
      <c r="L32" s="85"/>
      <c r="M32" s="85" t="str">
        <f t="shared" si="39"/>
        <v/>
      </c>
      <c r="N32" s="139"/>
      <c r="O32" s="138"/>
      <c r="P32" s="89"/>
      <c r="Q32" s="138"/>
      <c r="R32" s="89"/>
      <c r="S32" s="88"/>
      <c r="T32" s="89"/>
      <c r="U32" s="138"/>
      <c r="V32" s="89"/>
      <c r="W32" s="89"/>
      <c r="X32" s="89"/>
      <c r="Y32" s="89"/>
      <c r="Z32" s="89"/>
    </row>
    <row r="33" ht="22.5" customHeight="1">
      <c r="A33" s="34"/>
      <c r="B33" s="62" t="s">
        <v>425</v>
      </c>
      <c r="C33" s="45"/>
      <c r="D33" s="45"/>
      <c r="E33" s="45"/>
      <c r="F33" s="46"/>
      <c r="G33" s="64"/>
      <c r="H33" s="76" t="str">
        <f>IFERROR(__xludf.DUMMYFUNCTION("IFERROR(VLOOKUP(E33,IMPORTRANGE(""https://docs.google.com/spreadsheets/d/1xZyKy-UzMmtPDLpV5jQdYum1LtbR8XKDuasLSjmBRMI/edit#gid=1241094406"",""COMBINED DATA!E3:L""),8,0))"),"")</f>
        <v/>
      </c>
      <c r="I33" s="76"/>
      <c r="J33" s="65"/>
      <c r="K33" s="85"/>
      <c r="L33" s="85"/>
      <c r="M33" s="85" t="str">
        <f t="shared" si="39"/>
        <v/>
      </c>
      <c r="N33" s="139"/>
      <c r="O33" s="138"/>
      <c r="P33" s="89"/>
      <c r="Q33" s="138"/>
      <c r="R33" s="89"/>
      <c r="S33" s="88"/>
      <c r="T33" s="89"/>
      <c r="U33" s="138"/>
      <c r="V33" s="89"/>
      <c r="W33" s="89"/>
      <c r="X33" s="89"/>
      <c r="Y33" s="89"/>
      <c r="Z33" s="89"/>
    </row>
    <row r="34" ht="15.75" customHeight="1">
      <c r="A34" s="67" t="str">
        <f t="shared" ref="A34:A36" si="40">$B$33&amp;C34</f>
        <v>Reducer Brass Tee1⁄2 x 1⁄2 x 1⁄2</v>
      </c>
      <c r="B34" s="81">
        <v>1.0</v>
      </c>
      <c r="C34" s="68" t="s">
        <v>428</v>
      </c>
      <c r="D34" s="110" t="s">
        <v>429</v>
      </c>
      <c r="E34" s="111" t="s">
        <v>430</v>
      </c>
      <c r="F34" s="56">
        <v>104.8</v>
      </c>
      <c r="G34" s="76">
        <v>0.031</v>
      </c>
      <c r="H34" s="76">
        <v>0.019</v>
      </c>
      <c r="I34" s="76">
        <f t="shared" ref="I34:I40" si="41">G34+H34</f>
        <v>0.05</v>
      </c>
      <c r="J34" s="84">
        <f t="shared" ref="J34:J40" si="42">IFERROR(F34/I34,"")</f>
        <v>2096</v>
      </c>
      <c r="K34" s="85">
        <f t="shared" ref="K34:K40" si="43">IFERROR(G34*$K$3,)</f>
        <v>7.75</v>
      </c>
      <c r="L34" s="85">
        <f t="shared" ref="L34:L40" si="44">IFERROR(W34*$L$3,"")</f>
        <v>20.70095238</v>
      </c>
      <c r="M34" s="85">
        <f t="shared" ref="M34:M40" si="45">IFERROR(F34/SUM(K34:L34),"")</f>
        <v>3.683532228</v>
      </c>
      <c r="N34" s="139">
        <f t="shared" ref="N34:N40" si="46">IFERROR(SUM(K34:L34)," ")</f>
        <v>28.45095238</v>
      </c>
      <c r="O34" s="88">
        <v>14.18</v>
      </c>
      <c r="P34" s="88">
        <f t="shared" ref="P34:P40" si="47">IFERROR(Q34/N34,"")</f>
        <v>4.07719216</v>
      </c>
      <c r="Q34" s="140">
        <v>116.0</v>
      </c>
      <c r="R34" s="141">
        <f t="shared" ref="R34:R40" si="48">IFERROR(Q34-F34,"")/F34</f>
        <v>0.106870229</v>
      </c>
      <c r="S34" s="88">
        <f>VLOOKUP(E34,'Brass Cost'!$A$11:$D112,4,0)</f>
        <v>19.76</v>
      </c>
      <c r="T34" s="88">
        <f t="shared" ref="T34:T40" si="49">IFERROR(U34/N34,"")</f>
        <v>3.655413661</v>
      </c>
      <c r="U34" s="142">
        <v>104.0</v>
      </c>
      <c r="V34" s="141">
        <f t="shared" ref="V34:V40" si="50">IFERROR(U34-Q34,"")/Q34</f>
        <v>-0.1034482759</v>
      </c>
      <c r="W34" s="143">
        <f t="shared" ref="W34:W40" si="51">IFERROR(S34/1050,"")</f>
        <v>0.01881904762</v>
      </c>
      <c r="X34" s="89"/>
      <c r="Y34" s="89"/>
      <c r="Z34" s="89"/>
    </row>
    <row r="35" ht="15.75" customHeight="1">
      <c r="A35" s="67" t="str">
        <f t="shared" si="40"/>
        <v>Reducer Brass Tee3⁄4 x 3⁄4 x 1⁄2</v>
      </c>
      <c r="B35" s="81">
        <v>2.0</v>
      </c>
      <c r="C35" s="151" t="s">
        <v>204</v>
      </c>
      <c r="D35" s="152" t="s">
        <v>205</v>
      </c>
      <c r="E35" s="112" t="s">
        <v>437</v>
      </c>
      <c r="F35" s="56">
        <v>102.8</v>
      </c>
      <c r="G35" s="76">
        <v>0.037</v>
      </c>
      <c r="H35" s="76">
        <v>0.019</v>
      </c>
      <c r="I35" s="76">
        <f t="shared" si="41"/>
        <v>0.056</v>
      </c>
      <c r="J35" s="84">
        <f t="shared" si="42"/>
        <v>1835.714286</v>
      </c>
      <c r="K35" s="85">
        <f t="shared" si="43"/>
        <v>9.25</v>
      </c>
      <c r="L35" s="85">
        <f t="shared" si="44"/>
        <v>20.70095238</v>
      </c>
      <c r="M35" s="85">
        <f t="shared" si="45"/>
        <v>3.432278169</v>
      </c>
      <c r="N35" s="139">
        <f t="shared" si="46"/>
        <v>29.95095238</v>
      </c>
      <c r="O35" s="88">
        <v>14.18</v>
      </c>
      <c r="P35" s="88">
        <f t="shared" si="47"/>
        <v>3.806222872</v>
      </c>
      <c r="Q35" s="140">
        <v>114.0</v>
      </c>
      <c r="R35" s="141">
        <f t="shared" si="48"/>
        <v>0.1089494163</v>
      </c>
      <c r="S35" s="88">
        <f>VLOOKUP(E35,'Brass Cost'!$A$11:$D112,4,0)</f>
        <v>19.76</v>
      </c>
      <c r="T35" s="88">
        <f t="shared" si="49"/>
        <v>3.872998712</v>
      </c>
      <c r="U35" s="142">
        <v>116.0</v>
      </c>
      <c r="V35" s="141">
        <f t="shared" si="50"/>
        <v>0.01754385965</v>
      </c>
      <c r="W35" s="143">
        <f t="shared" si="51"/>
        <v>0.01881904762</v>
      </c>
      <c r="X35" s="89"/>
      <c r="Y35" s="89"/>
      <c r="Z35" s="89"/>
    </row>
    <row r="36" ht="15.75" customHeight="1">
      <c r="A36" s="67" t="str">
        <f t="shared" si="40"/>
        <v>Reducer Brass Tee1 x 1 x 1⁄2</v>
      </c>
      <c r="B36" s="81">
        <v>3.0</v>
      </c>
      <c r="C36" s="151" t="s">
        <v>439</v>
      </c>
      <c r="D36" s="152" t="s">
        <v>440</v>
      </c>
      <c r="E36" s="112" t="s">
        <v>441</v>
      </c>
      <c r="F36" s="56">
        <v>168.8</v>
      </c>
      <c r="G36" s="76">
        <v>0.048125</v>
      </c>
      <c r="H36" s="76">
        <v>0.019</v>
      </c>
      <c r="I36" s="76">
        <f t="shared" si="41"/>
        <v>0.067125</v>
      </c>
      <c r="J36" s="84">
        <f t="shared" si="42"/>
        <v>2514.711359</v>
      </c>
      <c r="K36" s="85">
        <f t="shared" si="43"/>
        <v>12.03125</v>
      </c>
      <c r="L36" s="85">
        <f t="shared" si="44"/>
        <v>20.70095238</v>
      </c>
      <c r="M36" s="85">
        <f t="shared" si="45"/>
        <v>5.157000987</v>
      </c>
      <c r="N36" s="139">
        <f t="shared" si="46"/>
        <v>32.73220238</v>
      </c>
      <c r="O36" s="88">
        <v>14.18</v>
      </c>
      <c r="P36" s="88">
        <f t="shared" si="47"/>
        <v>5.438069762</v>
      </c>
      <c r="Q36" s="140">
        <v>178.0</v>
      </c>
      <c r="R36" s="141">
        <f t="shared" si="48"/>
        <v>0.05450236967</v>
      </c>
      <c r="S36" s="88">
        <f>VLOOKUP(E36,'Brass Cost'!$A$11:$D112,4,0)</f>
        <v>19.76</v>
      </c>
      <c r="T36" s="88">
        <f t="shared" si="49"/>
        <v>4.154929706</v>
      </c>
      <c r="U36" s="142">
        <v>136.0</v>
      </c>
      <c r="V36" s="141">
        <f t="shared" si="50"/>
        <v>-0.2359550562</v>
      </c>
      <c r="W36" s="143">
        <f t="shared" si="51"/>
        <v>0.01881904762</v>
      </c>
      <c r="X36" s="89"/>
      <c r="Y36" s="89"/>
      <c r="Z36" s="89"/>
    </row>
    <row r="37" ht="15.75" customHeight="1">
      <c r="A37" s="67"/>
      <c r="B37" s="81">
        <v>4.0</v>
      </c>
      <c r="C37" s="151" t="s">
        <v>444</v>
      </c>
      <c r="D37" s="152" t="s">
        <v>445</v>
      </c>
      <c r="E37" s="153" t="s">
        <v>446</v>
      </c>
      <c r="F37" s="56">
        <v>368.0</v>
      </c>
      <c r="G37" s="58">
        <v>0.124</v>
      </c>
      <c r="H37" s="58">
        <v>0.065</v>
      </c>
      <c r="I37" s="76">
        <f t="shared" si="41"/>
        <v>0.189</v>
      </c>
      <c r="J37" s="84">
        <f t="shared" si="42"/>
        <v>1947.089947</v>
      </c>
      <c r="K37" s="85">
        <f t="shared" si="43"/>
        <v>31</v>
      </c>
      <c r="L37" s="85">
        <f t="shared" si="44"/>
        <v>70.21142857</v>
      </c>
      <c r="M37" s="85">
        <f t="shared" si="45"/>
        <v>3.635953026</v>
      </c>
      <c r="N37" s="139">
        <f t="shared" si="46"/>
        <v>101.2114286</v>
      </c>
      <c r="O37" s="88">
        <v>50.05</v>
      </c>
      <c r="P37" s="88">
        <f t="shared" si="47"/>
        <v>3.93236224</v>
      </c>
      <c r="Q37" s="140">
        <v>398.0</v>
      </c>
      <c r="R37" s="141">
        <f t="shared" si="48"/>
        <v>0.08152173913</v>
      </c>
      <c r="S37" s="88">
        <f>VLOOKUP(E37,'Brass Cost'!$A$11:$D112,4,0)</f>
        <v>67.02</v>
      </c>
      <c r="T37" s="88">
        <f t="shared" si="49"/>
        <v>3.734756098</v>
      </c>
      <c r="U37" s="142">
        <v>378.0</v>
      </c>
      <c r="V37" s="141">
        <f t="shared" si="50"/>
        <v>-0.05025125628</v>
      </c>
      <c r="W37" s="143">
        <f t="shared" si="51"/>
        <v>0.06382857143</v>
      </c>
      <c r="X37" s="89"/>
      <c r="Y37" s="89"/>
      <c r="Z37" s="89"/>
    </row>
    <row r="38" ht="15.75" customHeight="1">
      <c r="A38" s="67" t="str">
        <f t="shared" ref="A38:A40" si="52">$B$33&amp;C38</f>
        <v>Reducer Brass Tee3⁄4 x 3⁄4 x 3⁄4</v>
      </c>
      <c r="B38" s="81">
        <v>5.0</v>
      </c>
      <c r="C38" s="90" t="s">
        <v>451</v>
      </c>
      <c r="D38" s="127" t="s">
        <v>452</v>
      </c>
      <c r="E38" s="112" t="s">
        <v>453</v>
      </c>
      <c r="F38" s="56">
        <v>158.6</v>
      </c>
      <c r="G38" s="76">
        <v>0.041</v>
      </c>
      <c r="H38" s="58">
        <v>0.043</v>
      </c>
      <c r="I38" s="76">
        <f t="shared" si="41"/>
        <v>0.084</v>
      </c>
      <c r="J38" s="84">
        <f t="shared" si="42"/>
        <v>1888.095238</v>
      </c>
      <c r="K38" s="85">
        <f t="shared" si="43"/>
        <v>10.25</v>
      </c>
      <c r="L38" s="85">
        <f t="shared" si="44"/>
        <v>46.12666667</v>
      </c>
      <c r="M38" s="85">
        <f t="shared" si="45"/>
        <v>2.8132206</v>
      </c>
      <c r="N38" s="139">
        <f t="shared" si="46"/>
        <v>56.37666667</v>
      </c>
      <c r="O38" s="88">
        <v>32.89</v>
      </c>
      <c r="P38" s="88">
        <f t="shared" si="47"/>
        <v>3.157334595</v>
      </c>
      <c r="Q38" s="140">
        <v>178.0</v>
      </c>
      <c r="R38" s="141">
        <f t="shared" si="48"/>
        <v>0.1223203026</v>
      </c>
      <c r="S38" s="88">
        <f>VLOOKUP(E38,'Brass Cost'!$A$11:$D112,4,0)</f>
        <v>44.03</v>
      </c>
      <c r="T38" s="88">
        <f t="shared" si="49"/>
        <v>3.441139952</v>
      </c>
      <c r="U38" s="142">
        <v>194.0</v>
      </c>
      <c r="V38" s="141">
        <f t="shared" si="50"/>
        <v>0.08988764045</v>
      </c>
      <c r="W38" s="143">
        <f t="shared" si="51"/>
        <v>0.04193333333</v>
      </c>
      <c r="X38" s="89"/>
      <c r="Y38" s="89"/>
      <c r="Z38" s="89"/>
    </row>
    <row r="39" ht="15.75" customHeight="1">
      <c r="A39" s="67" t="str">
        <f t="shared" si="52"/>
        <v>Reducer Brass Tee1 1⁄4 x 1 1⁄4 x 1⁄2</v>
      </c>
      <c r="B39" s="81">
        <v>6.0</v>
      </c>
      <c r="C39" s="151" t="s">
        <v>458</v>
      </c>
      <c r="D39" s="152" t="s">
        <v>459</v>
      </c>
      <c r="E39" s="112" t="s">
        <v>460</v>
      </c>
      <c r="F39" s="56">
        <v>212.8</v>
      </c>
      <c r="G39" s="76">
        <v>0.076</v>
      </c>
      <c r="H39" s="76">
        <v>0.019</v>
      </c>
      <c r="I39" s="76">
        <f t="shared" si="41"/>
        <v>0.095</v>
      </c>
      <c r="J39" s="84">
        <f t="shared" si="42"/>
        <v>2240</v>
      </c>
      <c r="K39" s="85">
        <f t="shared" si="43"/>
        <v>19</v>
      </c>
      <c r="L39" s="85">
        <f t="shared" si="44"/>
        <v>20.70095238</v>
      </c>
      <c r="M39" s="85">
        <f t="shared" si="45"/>
        <v>5.360072926</v>
      </c>
      <c r="N39" s="139">
        <f t="shared" si="46"/>
        <v>39.70095238</v>
      </c>
      <c r="O39" s="88">
        <v>14.18</v>
      </c>
      <c r="P39" s="88">
        <f t="shared" si="47"/>
        <v>5.491052152</v>
      </c>
      <c r="Q39" s="140">
        <v>218.0</v>
      </c>
      <c r="R39" s="141">
        <f t="shared" si="48"/>
        <v>0.02443609023</v>
      </c>
      <c r="S39" s="88">
        <f>VLOOKUP(E39,'Brass Cost'!$A$11:$D112,4,0)</f>
        <v>19.76</v>
      </c>
      <c r="T39" s="88">
        <f t="shared" si="49"/>
        <v>4.382766396</v>
      </c>
      <c r="U39" s="142">
        <v>174.0</v>
      </c>
      <c r="V39" s="141">
        <f t="shared" si="50"/>
        <v>-0.2018348624</v>
      </c>
      <c r="W39" s="143">
        <f t="shared" si="51"/>
        <v>0.01881904762</v>
      </c>
      <c r="X39" s="89"/>
      <c r="Y39" s="89"/>
      <c r="Z39" s="89"/>
    </row>
    <row r="40" ht="15.75" customHeight="1">
      <c r="A40" s="67" t="str">
        <f t="shared" si="52"/>
        <v>Reducer Brass Tee1 1⁄4 x 1 1⁄4 x 1 1⁄4</v>
      </c>
      <c r="B40" s="81">
        <v>7.0</v>
      </c>
      <c r="C40" s="90" t="s">
        <v>466</v>
      </c>
      <c r="D40" s="127" t="s">
        <v>467</v>
      </c>
      <c r="E40" s="112" t="s">
        <v>468</v>
      </c>
      <c r="F40" s="56">
        <v>358.8</v>
      </c>
      <c r="G40" s="76">
        <v>0.1065</v>
      </c>
      <c r="H40" s="76">
        <v>0.1035</v>
      </c>
      <c r="I40" s="76">
        <f t="shared" si="41"/>
        <v>0.21</v>
      </c>
      <c r="J40" s="84">
        <f t="shared" si="42"/>
        <v>1708.571429</v>
      </c>
      <c r="K40" s="85">
        <f t="shared" si="43"/>
        <v>26.625</v>
      </c>
      <c r="L40" s="85">
        <f t="shared" si="44"/>
        <v>113.8761905</v>
      </c>
      <c r="M40" s="85">
        <f t="shared" si="45"/>
        <v>2.553715017</v>
      </c>
      <c r="N40" s="139">
        <f t="shared" si="46"/>
        <v>140.5011905</v>
      </c>
      <c r="O40" s="88">
        <v>81.16</v>
      </c>
      <c r="P40" s="88">
        <f t="shared" si="47"/>
        <v>2.832716212</v>
      </c>
      <c r="Q40" s="140">
        <v>398.0</v>
      </c>
      <c r="R40" s="141">
        <f t="shared" si="48"/>
        <v>0.1092530658</v>
      </c>
      <c r="S40" s="88">
        <f>VLOOKUP(E40,'Brass Cost'!$A$11:$D112,4,0)</f>
        <v>108.7</v>
      </c>
      <c r="T40" s="88">
        <f t="shared" si="49"/>
        <v>3.544453953</v>
      </c>
      <c r="U40" s="142">
        <v>498.0</v>
      </c>
      <c r="V40" s="141">
        <f t="shared" si="50"/>
        <v>0.2512562814</v>
      </c>
      <c r="W40" s="143">
        <f t="shared" si="51"/>
        <v>0.1035238095</v>
      </c>
      <c r="X40" s="89"/>
      <c r="Y40" s="89"/>
      <c r="Z40" s="89"/>
    </row>
    <row r="41">
      <c r="A41" s="100"/>
      <c r="B41" s="102" t="s">
        <v>11</v>
      </c>
      <c r="C41" s="45"/>
      <c r="D41" s="45"/>
      <c r="E41" s="46"/>
      <c r="F41" s="103">
        <f>SUM(F34:F40)</f>
        <v>1474.6</v>
      </c>
      <c r="G41" s="104"/>
      <c r="H41" s="76" t="str">
        <f>IFERROR(__xludf.DUMMYFUNCTION("IFERROR(VLOOKUP(E41,IMPORTRANGE(""https://docs.google.com/spreadsheets/d/1xZyKy-UzMmtPDLpV5jQdYum1LtbR8XKDuasLSjmBRMI/edit#gid=1241094406"",""COMBINED DATA!E3:L""),8,0))"),"")</f>
        <v/>
      </c>
      <c r="I41" s="76"/>
      <c r="J41" s="116"/>
      <c r="K41" s="85"/>
      <c r="L41" s="85"/>
      <c r="M41" s="85" t="str">
        <f t="shared" ref="M41:M43" si="53">IFERROR(F41/#REF!,"")</f>
        <v/>
      </c>
      <c r="N41" s="139"/>
      <c r="O41" s="138"/>
      <c r="P41" s="89"/>
      <c r="Q41" s="103">
        <f>SUM(Q34:Q40)</f>
        <v>1600</v>
      </c>
      <c r="R41" s="89"/>
      <c r="S41" s="88"/>
      <c r="T41" s="89"/>
      <c r="U41" s="103">
        <f>SUM(U34:U40)</f>
        <v>1600</v>
      </c>
      <c r="V41" s="89"/>
      <c r="W41" s="89"/>
      <c r="X41" s="89"/>
      <c r="Y41" s="89"/>
      <c r="Z41" s="89"/>
    </row>
    <row r="42" ht="6.0" customHeight="1">
      <c r="A42" s="34"/>
      <c r="B42" s="15"/>
      <c r="C42" s="15"/>
      <c r="D42" s="15"/>
      <c r="E42" s="17"/>
      <c r="F42" s="15"/>
      <c r="G42" s="64"/>
      <c r="H42" s="76" t="str">
        <f>IFERROR(__xludf.DUMMYFUNCTION("IFERROR(VLOOKUP(E42,IMPORTRANGE(""https://docs.google.com/spreadsheets/d/1xZyKy-UzMmtPDLpV5jQdYum1LtbR8XKDuasLSjmBRMI/edit#gid=1241094406"",""COMBINED DATA!E3:L""),8,0))"),"")</f>
        <v/>
      </c>
      <c r="I42" s="76"/>
      <c r="J42" s="65"/>
      <c r="K42" s="85"/>
      <c r="L42" s="85"/>
      <c r="M42" s="85" t="str">
        <f t="shared" si="53"/>
        <v/>
      </c>
      <c r="N42" s="139"/>
      <c r="O42" s="138"/>
      <c r="P42" s="89"/>
      <c r="Q42" s="138"/>
      <c r="R42" s="89"/>
      <c r="S42" s="88"/>
      <c r="T42" s="89"/>
      <c r="U42" s="138"/>
      <c r="V42" s="89"/>
      <c r="W42" s="89"/>
      <c r="X42" s="89"/>
      <c r="Y42" s="89"/>
      <c r="Z42" s="89"/>
    </row>
    <row r="43" ht="22.5" customHeight="1">
      <c r="A43" s="34"/>
      <c r="B43" s="62" t="s">
        <v>495</v>
      </c>
      <c r="C43" s="45"/>
      <c r="D43" s="45"/>
      <c r="E43" s="45"/>
      <c r="F43" s="46"/>
      <c r="G43" s="64"/>
      <c r="H43" s="76" t="str">
        <f>IFERROR(__xludf.DUMMYFUNCTION("IFERROR(VLOOKUP(E43,IMPORTRANGE(""https://docs.google.com/spreadsheets/d/1xZyKy-UzMmtPDLpV5jQdYum1LtbR8XKDuasLSjmBRMI/edit#gid=1241094406"",""COMBINED DATA!E3:L""),8,0))"),"")</f>
        <v/>
      </c>
      <c r="I43" s="76"/>
      <c r="J43" s="65"/>
      <c r="K43" s="85"/>
      <c r="L43" s="85"/>
      <c r="M43" s="85" t="str">
        <f t="shared" si="53"/>
        <v/>
      </c>
      <c r="N43" s="139"/>
      <c r="O43" s="138"/>
      <c r="P43" s="89"/>
      <c r="Q43" s="138"/>
      <c r="R43" s="89"/>
      <c r="S43" s="88"/>
      <c r="T43" s="89"/>
      <c r="U43" s="138"/>
      <c r="V43" s="89"/>
      <c r="W43" s="89"/>
      <c r="X43" s="89"/>
      <c r="Y43" s="89"/>
      <c r="Z43" s="89"/>
    </row>
    <row r="44" ht="15.75" customHeight="1">
      <c r="A44" s="67" t="str">
        <f t="shared" ref="A44:A46" si="54">$B$43&amp;C44</f>
        <v>Reducer Brass Coupling3⁄4 x 1⁄2</v>
      </c>
      <c r="B44" s="81">
        <v>1.0</v>
      </c>
      <c r="C44" s="68" t="s">
        <v>144</v>
      </c>
      <c r="D44" s="110" t="s">
        <v>145</v>
      </c>
      <c r="E44" s="111" t="s">
        <v>496</v>
      </c>
      <c r="F44" s="56">
        <v>105.8</v>
      </c>
      <c r="G44" s="76">
        <f>IFERROR(__xludf.DUMMYFUNCTION("ArrayFormula(IFERROR(VLOOKUP(E44,IMPORTRANGE(""https://docs.google.com/spreadsheets/d/1xZyKy-UzMmtPDLpV5jQdYum1LtbR8XKDuasLSjmBRMI/edit#gid=1241094406"",""COMBINED DATA!E3:L""),{7,8},0)))"),0.019)</f>
        <v>0.019</v>
      </c>
      <c r="H44" s="76">
        <f>IFERROR(__xludf.DUMMYFUNCTION("""COMPUTED_VALUE"""),0.019)</f>
        <v>0.019</v>
      </c>
      <c r="I44" s="76">
        <f t="shared" ref="I44:I46" si="55">G44+H44</f>
        <v>0.038</v>
      </c>
      <c r="J44" s="84">
        <f t="shared" ref="J44:J46" si="56">IFERROR(F44/I44,"")</f>
        <v>2784.210526</v>
      </c>
      <c r="K44" s="85">
        <f t="shared" ref="K44:K46" si="57">IFERROR(G44*$K$3,)</f>
        <v>4.75</v>
      </c>
      <c r="L44" s="85">
        <f t="shared" ref="L44:L46" si="58">IFERROR(W44*$L$3,"")</f>
        <v>20.70095238</v>
      </c>
      <c r="M44" s="85">
        <f t="shared" ref="M44:M46" si="59">IFERROR(F44/SUM(K44:L44),"")</f>
        <v>4.157015361</v>
      </c>
      <c r="N44" s="139">
        <f t="shared" ref="N44:N46" si="60">IFERROR(SUM(K44:L44)," ")</f>
        <v>25.45095238</v>
      </c>
      <c r="O44" s="88">
        <v>14.18</v>
      </c>
      <c r="P44" s="88">
        <f t="shared" ref="P44:P46" si="61">IFERROR(Q44/N44,"")</f>
        <v>4.557786218</v>
      </c>
      <c r="Q44" s="140">
        <v>116.0</v>
      </c>
      <c r="R44" s="141">
        <f t="shared" ref="R44:R46" si="62">IFERROR(Q44-F44,"")/F44</f>
        <v>0.09640831758</v>
      </c>
      <c r="S44" s="88">
        <f>VLOOKUP(E44,'Brass Cost'!$A$11:$D112,4,0)</f>
        <v>19.76</v>
      </c>
      <c r="T44" s="88">
        <f t="shared" ref="T44:T46" si="63">IFERROR(U44/N44,"")</f>
        <v>3.850543529</v>
      </c>
      <c r="U44" s="142">
        <v>98.0</v>
      </c>
      <c r="V44" s="141">
        <f t="shared" ref="V44:V46" si="64">IFERROR(U44-Q44,"")/Q44</f>
        <v>-0.1551724138</v>
      </c>
      <c r="W44" s="143">
        <f t="shared" ref="W44:W46" si="65">IFERROR(S44/1050,"")</f>
        <v>0.01881904762</v>
      </c>
      <c r="X44" s="89"/>
      <c r="Y44" s="89"/>
      <c r="Z44" s="89"/>
    </row>
    <row r="45" ht="15.75" customHeight="1">
      <c r="A45" s="67" t="str">
        <f t="shared" si="54"/>
        <v>Reducer Brass Coupling1 x 1⁄2</v>
      </c>
      <c r="B45" s="81">
        <v>2.0</v>
      </c>
      <c r="C45" s="90" t="s">
        <v>352</v>
      </c>
      <c r="D45" s="127" t="s">
        <v>353</v>
      </c>
      <c r="E45" s="112" t="s">
        <v>497</v>
      </c>
      <c r="F45" s="56">
        <v>138.2</v>
      </c>
      <c r="G45" s="76">
        <f>IFERROR(__xludf.DUMMYFUNCTION("ArrayFormula(IFERROR(VLOOKUP(E45,IMPORTRANGE(""https://docs.google.com/spreadsheets/d/1xZyKy-UzMmtPDLpV5jQdYum1LtbR8XKDuasLSjmBRMI/edit#gid=1241094406"",""COMBINED DATA!E3:L""),{7,8},0)))"),0.03)</f>
        <v>0.03</v>
      </c>
      <c r="H45" s="76">
        <f>IFERROR(__xludf.DUMMYFUNCTION("""COMPUTED_VALUE"""),0.019)</f>
        <v>0.019</v>
      </c>
      <c r="I45" s="76">
        <f t="shared" si="55"/>
        <v>0.049</v>
      </c>
      <c r="J45" s="84">
        <f t="shared" si="56"/>
        <v>2820.408163</v>
      </c>
      <c r="K45" s="85">
        <f t="shared" si="57"/>
        <v>7.5</v>
      </c>
      <c r="L45" s="85">
        <f t="shared" si="58"/>
        <v>20.70095238</v>
      </c>
      <c r="M45" s="85">
        <f t="shared" si="59"/>
        <v>4.900543717</v>
      </c>
      <c r="N45" s="139">
        <f t="shared" si="60"/>
        <v>28.20095238</v>
      </c>
      <c r="O45" s="88">
        <v>14.18</v>
      </c>
      <c r="P45" s="88">
        <f t="shared" si="61"/>
        <v>5.248049711</v>
      </c>
      <c r="Q45" s="140">
        <v>148.0</v>
      </c>
      <c r="R45" s="141">
        <f t="shared" si="62"/>
        <v>0.07091172214</v>
      </c>
      <c r="S45" s="88">
        <f>VLOOKUP(E45,'Brass Cost'!$A$11:$D112,4,0)</f>
        <v>19.76</v>
      </c>
      <c r="T45" s="88">
        <f t="shared" si="63"/>
        <v>4.184255851</v>
      </c>
      <c r="U45" s="142">
        <v>118.0</v>
      </c>
      <c r="V45" s="141">
        <f t="shared" si="64"/>
        <v>-0.2027027027</v>
      </c>
      <c r="W45" s="143">
        <f t="shared" si="65"/>
        <v>0.01881904762</v>
      </c>
      <c r="X45" s="89"/>
      <c r="Y45" s="89"/>
      <c r="Z45" s="89"/>
    </row>
    <row r="46" ht="15.75" customHeight="1">
      <c r="A46" s="67" t="str">
        <f t="shared" si="54"/>
        <v>Reducer Brass Coupling1 x 3⁄4</v>
      </c>
      <c r="B46" s="81">
        <v>3.0</v>
      </c>
      <c r="C46" s="90" t="s">
        <v>153</v>
      </c>
      <c r="D46" s="127" t="s">
        <v>155</v>
      </c>
      <c r="E46" s="112" t="s">
        <v>510</v>
      </c>
      <c r="F46" s="56">
        <v>148.8</v>
      </c>
      <c r="G46" s="76">
        <v>0.028</v>
      </c>
      <c r="H46" s="58">
        <v>0.043</v>
      </c>
      <c r="I46" s="76">
        <f t="shared" si="55"/>
        <v>0.071</v>
      </c>
      <c r="J46" s="84">
        <f t="shared" si="56"/>
        <v>2095.774648</v>
      </c>
      <c r="K46" s="85">
        <f t="shared" si="57"/>
        <v>7</v>
      </c>
      <c r="L46" s="85">
        <f t="shared" si="58"/>
        <v>46.12666667</v>
      </c>
      <c r="M46" s="85">
        <f t="shared" si="59"/>
        <v>2.800853307</v>
      </c>
      <c r="N46" s="139">
        <f t="shared" si="60"/>
        <v>53.12666667</v>
      </c>
      <c r="O46" s="88">
        <v>32.89</v>
      </c>
      <c r="P46" s="88">
        <f t="shared" si="61"/>
        <v>3.162253733</v>
      </c>
      <c r="Q46" s="140">
        <v>168.0</v>
      </c>
      <c r="R46" s="141">
        <f t="shared" si="62"/>
        <v>0.1290322581</v>
      </c>
      <c r="S46" s="88">
        <f>VLOOKUP(E46,'Brass Cost'!$A$11:$D112,4,0)</f>
        <v>44.03</v>
      </c>
      <c r="T46" s="88">
        <f t="shared" si="63"/>
        <v>3.7269419</v>
      </c>
      <c r="U46" s="142">
        <v>198.0</v>
      </c>
      <c r="V46" s="141">
        <f t="shared" si="64"/>
        <v>0.1785714286</v>
      </c>
      <c r="W46" s="143">
        <f t="shared" si="65"/>
        <v>0.04193333333</v>
      </c>
      <c r="X46" s="89"/>
      <c r="Y46" s="89"/>
      <c r="Z46" s="89"/>
    </row>
    <row r="47">
      <c r="A47" s="100"/>
      <c r="B47" s="102" t="s">
        <v>11</v>
      </c>
      <c r="C47" s="45"/>
      <c r="D47" s="45"/>
      <c r="E47" s="46"/>
      <c r="F47" s="103">
        <f>SUM(F44:F46)</f>
        <v>392.8</v>
      </c>
      <c r="G47" s="104"/>
      <c r="H47" s="76" t="str">
        <f>IFERROR(__xludf.DUMMYFUNCTION("IFERROR(VLOOKUP(E47,IMPORTRANGE(""https://docs.google.com/spreadsheets/d/1xZyKy-UzMmtPDLpV5jQdYum1LtbR8XKDuasLSjmBRMI/edit#gid=1241094406"",""COMBINED DATA!E3:L""),8,0))"),"")</f>
        <v/>
      </c>
      <c r="I47" s="76"/>
      <c r="J47" s="116"/>
      <c r="K47" s="85"/>
      <c r="L47" s="85"/>
      <c r="M47" s="85" t="str">
        <f t="shared" ref="M47:M49" si="66">IFERROR(F47/#REF!,"")</f>
        <v/>
      </c>
      <c r="N47" s="89"/>
      <c r="O47" s="138"/>
      <c r="P47" s="89"/>
      <c r="Q47" s="103">
        <f>SUM(Q44:Q46)</f>
        <v>432</v>
      </c>
      <c r="R47" s="89"/>
      <c r="S47" s="88"/>
      <c r="T47" s="89"/>
      <c r="U47" s="103">
        <f>SUM(U44:U46)</f>
        <v>414</v>
      </c>
      <c r="V47" s="89"/>
      <c r="W47" s="89"/>
      <c r="X47" s="89"/>
      <c r="Y47" s="89"/>
      <c r="Z47" s="89"/>
    </row>
    <row r="48" ht="4.5" customHeight="1">
      <c r="A48" s="34"/>
      <c r="B48" s="15"/>
      <c r="C48" s="15"/>
      <c r="D48" s="15"/>
      <c r="E48" s="17"/>
      <c r="F48" s="15"/>
      <c r="G48" s="64"/>
      <c r="H48" s="76" t="str">
        <f>IFERROR(__xludf.DUMMYFUNCTION("IFERROR(VLOOKUP(E48,IMPORTRANGE(""https://docs.google.com/spreadsheets/d/1xZyKy-UzMmtPDLpV5jQdYum1LtbR8XKDuasLSjmBRMI/edit#gid=1241094406"",""COMBINED DATA!E3:L""),8,0))"),"")</f>
        <v/>
      </c>
      <c r="I48" s="76"/>
      <c r="J48" s="65"/>
      <c r="K48" s="85"/>
      <c r="L48" s="85"/>
      <c r="M48" s="85" t="str">
        <f t="shared" si="66"/>
        <v/>
      </c>
      <c r="N48" s="89"/>
      <c r="O48" s="138"/>
      <c r="P48" s="89"/>
      <c r="Q48" s="138"/>
      <c r="R48" s="89"/>
      <c r="S48" s="88"/>
      <c r="T48" s="89"/>
      <c r="U48" s="138"/>
      <c r="V48" s="89"/>
      <c r="W48" s="89"/>
      <c r="X48" s="89"/>
      <c r="Y48" s="89"/>
      <c r="Z48" s="89"/>
    </row>
    <row r="49" ht="22.5" customHeight="1">
      <c r="A49" s="34"/>
      <c r="B49" s="62" t="s">
        <v>589</v>
      </c>
      <c r="C49" s="45"/>
      <c r="D49" s="45"/>
      <c r="E49" s="45"/>
      <c r="F49" s="46"/>
      <c r="G49" s="64"/>
      <c r="H49" s="76" t="str">
        <f>IFERROR(__xludf.DUMMYFUNCTION("IFERROR(VLOOKUP(E49,IMPORTRANGE(""https://docs.google.com/spreadsheets/d/1xZyKy-UzMmtPDLpV5jQdYum1LtbR8XKDuasLSjmBRMI/edit#gid=1241094406"",""COMBINED DATA!E3:L""),8,0))"),"")</f>
        <v/>
      </c>
      <c r="I49" s="76"/>
      <c r="J49" s="65"/>
      <c r="K49" s="85"/>
      <c r="L49" s="85"/>
      <c r="M49" s="85" t="str">
        <f t="shared" si="66"/>
        <v/>
      </c>
      <c r="N49" s="89"/>
      <c r="O49" s="138"/>
      <c r="P49" s="89"/>
      <c r="Q49" s="138"/>
      <c r="R49" s="89"/>
      <c r="S49" s="88"/>
      <c r="T49" s="89"/>
      <c r="U49" s="138"/>
      <c r="V49" s="89"/>
      <c r="W49" s="89"/>
      <c r="X49" s="89"/>
      <c r="Y49" s="89"/>
      <c r="Z49" s="89"/>
    </row>
    <row r="50" ht="15.75" customHeight="1">
      <c r="A50" s="67" t="str">
        <f t="shared" ref="A50:A54" si="67">$B$49&amp;C50</f>
        <v>Brass Elbow 3 in 1 Mixer3⁄4 x 1⁄2</v>
      </c>
      <c r="B50" s="81">
        <v>1.0</v>
      </c>
      <c r="C50" s="68" t="s">
        <v>144</v>
      </c>
      <c r="D50" s="110" t="s">
        <v>145</v>
      </c>
      <c r="E50" s="111" t="s">
        <v>591</v>
      </c>
      <c r="F50" s="56">
        <v>482.0</v>
      </c>
      <c r="G50" s="58">
        <v>0.15</v>
      </c>
      <c r="H50" s="58">
        <v>0.06</v>
      </c>
      <c r="I50" s="76">
        <f t="shared" ref="I50:I54" si="68">(G50+H50)*3</f>
        <v>0.63</v>
      </c>
      <c r="J50" s="84">
        <f t="shared" ref="J50:J54" si="69">IFERROR(F50/I50,"")</f>
        <v>765.0793651</v>
      </c>
      <c r="K50" s="85">
        <f t="shared" ref="K50:K54" si="70">IFERROR(G50*$K$3,)</f>
        <v>37.5</v>
      </c>
      <c r="L50" s="85">
        <f t="shared" ref="L50:L54" si="71">IFERROR(H50*$L$3,"")</f>
        <v>66</v>
      </c>
      <c r="M50" s="85">
        <f t="shared" ref="M50:M54" si="72">IFERROR(F50/SUM(K50:L50),"")</f>
        <v>4.657004831</v>
      </c>
      <c r="N50" s="139">
        <f t="shared" ref="N50:N54" si="73">IFERROR(SUM(K50:L50)," ")</f>
        <v>103.5</v>
      </c>
      <c r="O50" s="88">
        <v>44.0</v>
      </c>
      <c r="P50" s="88">
        <f t="shared" ref="P50:P54" si="74">IFERROR(Q50/N50,"")</f>
        <v>5.29468599</v>
      </c>
      <c r="Q50" s="140">
        <v>548.0</v>
      </c>
      <c r="R50" s="141">
        <f t="shared" ref="R50:R54" si="75">IFERROR(Q50-F50,"")/F50</f>
        <v>0.1369294606</v>
      </c>
      <c r="S50" s="188">
        <v>44.03</v>
      </c>
      <c r="T50" s="88">
        <f t="shared" ref="T50:T54" si="76">IFERROR(U50/N50,"")</f>
        <v>4.657004831</v>
      </c>
      <c r="U50" s="88">
        <v>482.0</v>
      </c>
      <c r="V50" s="141">
        <f t="shared" ref="V50:V54" si="77">IFERROR(U50-Q50,"")/Q50</f>
        <v>-0.1204379562</v>
      </c>
      <c r="W50" s="143">
        <f t="shared" ref="W50:W54" si="78">IFERROR(S50/1050,"")</f>
        <v>0.04193333333</v>
      </c>
      <c r="X50" s="89"/>
      <c r="Y50" s="89"/>
      <c r="Z50" s="89"/>
    </row>
    <row r="51" ht="15.75" customHeight="1">
      <c r="A51" s="67" t="str">
        <f t="shared" si="67"/>
        <v>Brass Elbow 3 in 1 Mixer3⁄4 x 1⁄2</v>
      </c>
      <c r="B51" s="81">
        <v>2.0</v>
      </c>
      <c r="C51" s="90" t="s">
        <v>144</v>
      </c>
      <c r="D51" s="127" t="s">
        <v>145</v>
      </c>
      <c r="E51" s="112" t="s">
        <v>610</v>
      </c>
      <c r="F51" s="56">
        <v>482.0</v>
      </c>
      <c r="G51" s="58">
        <v>0.15</v>
      </c>
      <c r="H51" s="58">
        <v>0.06</v>
      </c>
      <c r="I51" s="76">
        <f t="shared" si="68"/>
        <v>0.63</v>
      </c>
      <c r="J51" s="84">
        <f t="shared" si="69"/>
        <v>765.0793651</v>
      </c>
      <c r="K51" s="85">
        <f t="shared" si="70"/>
        <v>37.5</v>
      </c>
      <c r="L51" s="85">
        <f t="shared" si="71"/>
        <v>66</v>
      </c>
      <c r="M51" s="85">
        <f t="shared" si="72"/>
        <v>4.657004831</v>
      </c>
      <c r="N51" s="139">
        <f t="shared" si="73"/>
        <v>103.5</v>
      </c>
      <c r="O51" s="88">
        <v>44.0</v>
      </c>
      <c r="P51" s="88">
        <f t="shared" si="74"/>
        <v>5.29468599</v>
      </c>
      <c r="Q51" s="140">
        <v>548.0</v>
      </c>
      <c r="R51" s="141">
        <f t="shared" si="75"/>
        <v>0.1369294606</v>
      </c>
      <c r="S51" s="188">
        <v>44.03</v>
      </c>
      <c r="T51" s="88">
        <f t="shared" si="76"/>
        <v>4.657004831</v>
      </c>
      <c r="U51" s="88">
        <v>482.0</v>
      </c>
      <c r="V51" s="141">
        <f t="shared" si="77"/>
        <v>-0.1204379562</v>
      </c>
      <c r="W51" s="143">
        <f t="shared" si="78"/>
        <v>0.04193333333</v>
      </c>
      <c r="X51" s="89"/>
      <c r="Y51" s="89"/>
      <c r="Z51" s="89"/>
    </row>
    <row r="52" ht="15.75" customHeight="1">
      <c r="A52" s="67" t="str">
        <f t="shared" si="67"/>
        <v>Brass Elbow 3 in 1 Mixer3⁄4 x 1⁄2</v>
      </c>
      <c r="B52" s="81">
        <v>3.0</v>
      </c>
      <c r="C52" s="90" t="s">
        <v>144</v>
      </c>
      <c r="D52" s="127" t="s">
        <v>145</v>
      </c>
      <c r="E52" s="112" t="s">
        <v>618</v>
      </c>
      <c r="F52" s="56">
        <v>482.0</v>
      </c>
      <c r="G52" s="58">
        <v>0.15</v>
      </c>
      <c r="H52" s="58">
        <v>0.06</v>
      </c>
      <c r="I52" s="76">
        <f t="shared" si="68"/>
        <v>0.63</v>
      </c>
      <c r="J52" s="84">
        <f t="shared" si="69"/>
        <v>765.0793651</v>
      </c>
      <c r="K52" s="85">
        <f t="shared" si="70"/>
        <v>37.5</v>
      </c>
      <c r="L52" s="85">
        <f t="shared" si="71"/>
        <v>66</v>
      </c>
      <c r="M52" s="85">
        <f t="shared" si="72"/>
        <v>4.657004831</v>
      </c>
      <c r="N52" s="139">
        <f t="shared" si="73"/>
        <v>103.5</v>
      </c>
      <c r="O52" s="88">
        <v>44.0</v>
      </c>
      <c r="P52" s="88">
        <f t="shared" si="74"/>
        <v>5.29468599</v>
      </c>
      <c r="Q52" s="140">
        <v>548.0</v>
      </c>
      <c r="R52" s="141">
        <f t="shared" si="75"/>
        <v>0.1369294606</v>
      </c>
      <c r="S52" s="188">
        <v>44.03</v>
      </c>
      <c r="T52" s="88">
        <f t="shared" si="76"/>
        <v>4.657004831</v>
      </c>
      <c r="U52" s="88">
        <v>482.0</v>
      </c>
      <c r="V52" s="141">
        <f t="shared" si="77"/>
        <v>-0.1204379562</v>
      </c>
      <c r="W52" s="143">
        <f t="shared" si="78"/>
        <v>0.04193333333</v>
      </c>
      <c r="X52" s="89"/>
      <c r="Y52" s="89"/>
      <c r="Z52" s="89"/>
    </row>
    <row r="53" ht="15.75" customHeight="1">
      <c r="A53" s="67" t="str">
        <f t="shared" si="67"/>
        <v>Brass Elbow 3 in 1 Mixer3⁄4 x 1⁄2</v>
      </c>
      <c r="B53" s="81">
        <v>4.0</v>
      </c>
      <c r="C53" s="90" t="s">
        <v>144</v>
      </c>
      <c r="D53" s="127" t="s">
        <v>145</v>
      </c>
      <c r="E53" s="112" t="s">
        <v>630</v>
      </c>
      <c r="F53" s="56">
        <v>482.0</v>
      </c>
      <c r="G53" s="58">
        <v>0.15</v>
      </c>
      <c r="H53" s="58">
        <v>0.06</v>
      </c>
      <c r="I53" s="76">
        <f t="shared" si="68"/>
        <v>0.63</v>
      </c>
      <c r="J53" s="84">
        <f t="shared" si="69"/>
        <v>765.0793651</v>
      </c>
      <c r="K53" s="85">
        <f t="shared" si="70"/>
        <v>37.5</v>
      </c>
      <c r="L53" s="85">
        <f t="shared" si="71"/>
        <v>66</v>
      </c>
      <c r="M53" s="85">
        <f t="shared" si="72"/>
        <v>4.657004831</v>
      </c>
      <c r="N53" s="139">
        <f t="shared" si="73"/>
        <v>103.5</v>
      </c>
      <c r="O53" s="88">
        <v>44.0</v>
      </c>
      <c r="P53" s="88">
        <f t="shared" si="74"/>
        <v>5.29468599</v>
      </c>
      <c r="Q53" s="140">
        <v>548.0</v>
      </c>
      <c r="R53" s="141">
        <f t="shared" si="75"/>
        <v>0.1369294606</v>
      </c>
      <c r="S53" s="188">
        <v>44.03</v>
      </c>
      <c r="T53" s="88">
        <f t="shared" si="76"/>
        <v>4.657004831</v>
      </c>
      <c r="U53" s="88">
        <v>482.0</v>
      </c>
      <c r="V53" s="141">
        <f t="shared" si="77"/>
        <v>-0.1204379562</v>
      </c>
      <c r="W53" s="143">
        <f t="shared" si="78"/>
        <v>0.04193333333</v>
      </c>
      <c r="X53" s="89"/>
      <c r="Y53" s="89"/>
      <c r="Z53" s="89"/>
    </row>
    <row r="54" ht="15.75" customHeight="1">
      <c r="A54" s="67" t="str">
        <f t="shared" si="67"/>
        <v>Brass Elbow 3 in 1 Mixer3⁄4 x 1⁄2</v>
      </c>
      <c r="B54" s="81">
        <v>5.0</v>
      </c>
      <c r="C54" s="90" t="s">
        <v>144</v>
      </c>
      <c r="D54" s="127" t="s">
        <v>145</v>
      </c>
      <c r="E54" s="112" t="s">
        <v>639</v>
      </c>
      <c r="F54" s="56">
        <v>482.0</v>
      </c>
      <c r="G54" s="58">
        <v>0.15</v>
      </c>
      <c r="H54" s="58">
        <v>0.06</v>
      </c>
      <c r="I54" s="76">
        <f t="shared" si="68"/>
        <v>0.63</v>
      </c>
      <c r="J54" s="84">
        <f t="shared" si="69"/>
        <v>765.0793651</v>
      </c>
      <c r="K54" s="85">
        <f t="shared" si="70"/>
        <v>37.5</v>
      </c>
      <c r="L54" s="85">
        <f t="shared" si="71"/>
        <v>66</v>
      </c>
      <c r="M54" s="85">
        <f t="shared" si="72"/>
        <v>4.657004831</v>
      </c>
      <c r="N54" s="139">
        <f t="shared" si="73"/>
        <v>103.5</v>
      </c>
      <c r="O54" s="88">
        <v>44.0</v>
      </c>
      <c r="P54" s="88">
        <f t="shared" si="74"/>
        <v>5.29468599</v>
      </c>
      <c r="Q54" s="140">
        <v>548.0</v>
      </c>
      <c r="R54" s="141">
        <f t="shared" si="75"/>
        <v>0.1369294606</v>
      </c>
      <c r="S54" s="188">
        <v>44.03</v>
      </c>
      <c r="T54" s="88">
        <f t="shared" si="76"/>
        <v>4.657004831</v>
      </c>
      <c r="U54" s="88">
        <v>482.0</v>
      </c>
      <c r="V54" s="141">
        <f t="shared" si="77"/>
        <v>-0.1204379562</v>
      </c>
      <c r="W54" s="143">
        <f t="shared" si="78"/>
        <v>0.04193333333</v>
      </c>
      <c r="X54" s="89"/>
      <c r="Y54" s="89"/>
      <c r="Z54" s="89"/>
    </row>
    <row r="55">
      <c r="A55" s="100"/>
      <c r="B55" s="102" t="s">
        <v>11</v>
      </c>
      <c r="C55" s="45"/>
      <c r="D55" s="45"/>
      <c r="E55" s="46"/>
      <c r="F55" s="103">
        <f>SUM(F50:F54)</f>
        <v>2410</v>
      </c>
      <c r="G55" s="104"/>
      <c r="H55" s="76" t="str">
        <f>IFERROR(__xludf.DUMMYFUNCTION("IFERROR(VLOOKUP(E55,IMPORTRANGE(""https://docs.google.com/spreadsheets/d/1xZyKy-UzMmtPDLpV5jQdYum1LtbR8XKDuasLSjmBRMI/edit#gid=1241094406"",""COMBINED DATA!E3:L""),8,0))"),"")</f>
        <v/>
      </c>
      <c r="I55" s="76"/>
      <c r="J55" s="116"/>
      <c r="K55" s="85"/>
      <c r="L55" s="85"/>
      <c r="M55" s="85" t="str">
        <f t="shared" ref="M55:M57" si="79">IFERROR(F55/#REF!,"")</f>
        <v/>
      </c>
      <c r="N55" s="89"/>
      <c r="O55" s="138"/>
      <c r="P55" s="89"/>
      <c r="Q55" s="103">
        <f>SUM(Q50:Q54)</f>
        <v>2740</v>
      </c>
      <c r="R55" s="89"/>
      <c r="S55" s="88"/>
      <c r="T55" s="89"/>
      <c r="U55" s="103">
        <f>SUM(U50:U54)</f>
        <v>2410</v>
      </c>
      <c r="V55" s="89"/>
      <c r="W55" s="89"/>
      <c r="X55" s="89"/>
      <c r="Y55" s="89"/>
      <c r="Z55" s="89"/>
    </row>
    <row r="56" ht="4.5" customHeight="1">
      <c r="A56" s="34"/>
      <c r="B56" s="15"/>
      <c r="C56" s="15"/>
      <c r="D56" s="15"/>
      <c r="E56" s="17"/>
      <c r="F56" s="15"/>
      <c r="G56" s="64"/>
      <c r="H56" s="76" t="str">
        <f>IFERROR(__xludf.DUMMYFUNCTION("IFERROR(VLOOKUP(E56,IMPORTRANGE(""https://docs.google.com/spreadsheets/d/1xZyKy-UzMmtPDLpV5jQdYum1LtbR8XKDuasLSjmBRMI/edit#gid=1241094406"",""COMBINED DATA!E3:L""),8,0))"),"")</f>
        <v/>
      </c>
      <c r="I56" s="76"/>
      <c r="J56" s="65"/>
      <c r="K56" s="85"/>
      <c r="L56" s="85"/>
      <c r="M56" s="85" t="str">
        <f t="shared" si="79"/>
        <v/>
      </c>
      <c r="N56" s="89"/>
      <c r="O56" s="138"/>
      <c r="P56" s="89"/>
      <c r="Q56" s="138"/>
      <c r="R56" s="89"/>
      <c r="S56" s="88"/>
      <c r="T56" s="89"/>
      <c r="U56" s="138"/>
      <c r="V56" s="89"/>
      <c r="W56" s="89"/>
      <c r="X56" s="89"/>
      <c r="Y56" s="89"/>
      <c r="Z56" s="89"/>
    </row>
    <row r="57" ht="22.5" customHeight="1">
      <c r="A57" s="34"/>
      <c r="B57" s="62" t="s">
        <v>589</v>
      </c>
      <c r="C57" s="45"/>
      <c r="D57" s="45"/>
      <c r="E57" s="45"/>
      <c r="F57" s="46"/>
      <c r="G57" s="64"/>
      <c r="H57" s="76" t="str">
        <f>IFERROR(__xludf.DUMMYFUNCTION("IFERROR(VLOOKUP(E57,IMPORTRANGE(""https://docs.google.com/spreadsheets/d/1xZyKy-UzMmtPDLpV5jQdYum1LtbR8XKDuasLSjmBRMI/edit#gid=1241094406"",""COMBINED DATA!E3:L""),8,0))"),"")</f>
        <v/>
      </c>
      <c r="I57" s="76"/>
      <c r="J57" s="65"/>
      <c r="K57" s="85"/>
      <c r="L57" s="85"/>
      <c r="M57" s="85" t="str">
        <f t="shared" si="79"/>
        <v/>
      </c>
      <c r="N57" s="89"/>
      <c r="O57" s="138"/>
      <c r="P57" s="89"/>
      <c r="Q57" s="138"/>
      <c r="R57" s="89"/>
      <c r="S57" s="88"/>
      <c r="T57" s="89"/>
      <c r="U57" s="138"/>
      <c r="V57" s="89"/>
      <c r="W57" s="89"/>
      <c r="X57" s="89"/>
      <c r="Y57" s="89"/>
      <c r="Z57" s="89"/>
    </row>
    <row r="58" ht="15.75" customHeight="1">
      <c r="A58" s="67" t="str">
        <f t="shared" ref="A58:A62" si="80">$B$57&amp;C58</f>
        <v>Brass Elbow 3 in 1 Mixer1 x 1⁄2</v>
      </c>
      <c r="B58" s="81">
        <v>1.0</v>
      </c>
      <c r="C58" s="68" t="s">
        <v>352</v>
      </c>
      <c r="D58" s="110" t="s">
        <v>353</v>
      </c>
      <c r="E58" s="111" t="s">
        <v>654</v>
      </c>
      <c r="F58" s="56">
        <v>558.0</v>
      </c>
      <c r="G58" s="58">
        <v>0.15</v>
      </c>
      <c r="H58" s="58">
        <v>0.06</v>
      </c>
      <c r="I58" s="76">
        <f t="shared" ref="I58:I62" si="81">(G58+H58)*3</f>
        <v>0.63</v>
      </c>
      <c r="J58" s="84">
        <f t="shared" ref="J58:J62" si="82">IFERROR(F58/I58,"")</f>
        <v>885.7142857</v>
      </c>
      <c r="K58" s="85">
        <f t="shared" ref="K58:K62" si="83">IFERROR(G58*$K$3,)</f>
        <v>37.5</v>
      </c>
      <c r="L58" s="85">
        <f t="shared" ref="L58:L62" si="84">IFERROR(W58*$L$3,"")</f>
        <v>70.21142857</v>
      </c>
      <c r="M58" s="85">
        <f t="shared" ref="M58:M62" si="85">IFERROR(F58/SUM(K58:L58),"")</f>
        <v>5.180508767</v>
      </c>
      <c r="N58" s="139">
        <f t="shared" ref="N58:N62" si="86">IFERROR(SUM(K58:L58)," ")</f>
        <v>107.7114286</v>
      </c>
      <c r="O58" s="88">
        <v>44.0</v>
      </c>
      <c r="P58" s="88">
        <f t="shared" ref="P58:P62" si="87">IFERROR(Q58/N58,"")</f>
        <v>5.73755272</v>
      </c>
      <c r="Q58" s="140">
        <v>618.0</v>
      </c>
      <c r="R58" s="141">
        <f t="shared" ref="R58:R62" si="88">IFERROR(Q58-F58,"")/F58</f>
        <v>0.1075268817</v>
      </c>
      <c r="S58" s="188">
        <v>67.02</v>
      </c>
      <c r="T58" s="88">
        <f t="shared" ref="T58:T62" si="89">IFERROR(U58/N58,"")</f>
        <v>5.180508767</v>
      </c>
      <c r="U58" s="205">
        <v>558.0</v>
      </c>
      <c r="V58" s="141">
        <f t="shared" ref="V58:V62" si="90">IFERROR(U58-Q58,"")/Q58</f>
        <v>-0.09708737864</v>
      </c>
      <c r="W58" s="143">
        <f t="shared" ref="W58:W62" si="91">IFERROR(S58/1050,"")</f>
        <v>0.06382857143</v>
      </c>
      <c r="X58" s="89"/>
      <c r="Y58" s="89"/>
      <c r="Z58" s="89"/>
    </row>
    <row r="59" ht="15.75" customHeight="1">
      <c r="A59" s="67" t="str">
        <f t="shared" si="80"/>
        <v>Brass Elbow 3 in 1 Mixer1 x 1⁄2</v>
      </c>
      <c r="B59" s="81">
        <v>2.0</v>
      </c>
      <c r="C59" s="90" t="s">
        <v>352</v>
      </c>
      <c r="D59" s="127" t="s">
        <v>353</v>
      </c>
      <c r="E59" s="112" t="s">
        <v>662</v>
      </c>
      <c r="F59" s="56">
        <v>558.0</v>
      </c>
      <c r="G59" s="58">
        <v>0.15</v>
      </c>
      <c r="H59" s="58">
        <v>0.06</v>
      </c>
      <c r="I59" s="76">
        <f t="shared" si="81"/>
        <v>0.63</v>
      </c>
      <c r="J59" s="84">
        <f t="shared" si="82"/>
        <v>885.7142857</v>
      </c>
      <c r="K59" s="85">
        <f t="shared" si="83"/>
        <v>37.5</v>
      </c>
      <c r="L59" s="85">
        <f t="shared" si="84"/>
        <v>70.21142857</v>
      </c>
      <c r="M59" s="85">
        <f t="shared" si="85"/>
        <v>5.180508767</v>
      </c>
      <c r="N59" s="139">
        <f t="shared" si="86"/>
        <v>107.7114286</v>
      </c>
      <c r="O59" s="88">
        <v>44.0</v>
      </c>
      <c r="P59" s="88">
        <f t="shared" si="87"/>
        <v>5.73755272</v>
      </c>
      <c r="Q59" s="140">
        <v>618.0</v>
      </c>
      <c r="R59" s="141">
        <f t="shared" si="88"/>
        <v>0.1075268817</v>
      </c>
      <c r="S59" s="188">
        <v>67.02</v>
      </c>
      <c r="T59" s="88">
        <f t="shared" si="89"/>
        <v>5.180508767</v>
      </c>
      <c r="U59" s="205">
        <v>558.0</v>
      </c>
      <c r="V59" s="141">
        <f t="shared" si="90"/>
        <v>-0.09708737864</v>
      </c>
      <c r="W59" s="143">
        <f t="shared" si="91"/>
        <v>0.06382857143</v>
      </c>
      <c r="X59" s="89"/>
      <c r="Y59" s="89"/>
      <c r="Z59" s="89"/>
    </row>
    <row r="60" ht="15.75" customHeight="1">
      <c r="A60" s="67" t="str">
        <f t="shared" si="80"/>
        <v>Brass Elbow 3 in 1 Mixer1 x 1⁄2</v>
      </c>
      <c r="B60" s="81">
        <v>3.0</v>
      </c>
      <c r="C60" s="90" t="s">
        <v>352</v>
      </c>
      <c r="D60" s="127" t="s">
        <v>353</v>
      </c>
      <c r="E60" s="112" t="s">
        <v>665</v>
      </c>
      <c r="F60" s="56">
        <v>558.0</v>
      </c>
      <c r="G60" s="58">
        <v>0.15</v>
      </c>
      <c r="H60" s="58">
        <v>0.06</v>
      </c>
      <c r="I60" s="76">
        <f t="shared" si="81"/>
        <v>0.63</v>
      </c>
      <c r="J60" s="84">
        <f t="shared" si="82"/>
        <v>885.7142857</v>
      </c>
      <c r="K60" s="85">
        <f t="shared" si="83"/>
        <v>37.5</v>
      </c>
      <c r="L60" s="85">
        <f t="shared" si="84"/>
        <v>70.21142857</v>
      </c>
      <c r="M60" s="85">
        <f t="shared" si="85"/>
        <v>5.180508767</v>
      </c>
      <c r="N60" s="139">
        <f t="shared" si="86"/>
        <v>107.7114286</v>
      </c>
      <c r="O60" s="88">
        <v>44.0</v>
      </c>
      <c r="P60" s="88">
        <f t="shared" si="87"/>
        <v>5.73755272</v>
      </c>
      <c r="Q60" s="140">
        <v>618.0</v>
      </c>
      <c r="R60" s="141">
        <f t="shared" si="88"/>
        <v>0.1075268817</v>
      </c>
      <c r="S60" s="188">
        <v>67.02</v>
      </c>
      <c r="T60" s="88">
        <f t="shared" si="89"/>
        <v>5.180508767</v>
      </c>
      <c r="U60" s="205">
        <v>558.0</v>
      </c>
      <c r="V60" s="141">
        <f t="shared" si="90"/>
        <v>-0.09708737864</v>
      </c>
      <c r="W60" s="143">
        <f t="shared" si="91"/>
        <v>0.06382857143</v>
      </c>
      <c r="X60" s="89"/>
      <c r="Y60" s="89"/>
      <c r="Z60" s="89"/>
    </row>
    <row r="61" ht="15.75" customHeight="1">
      <c r="A61" s="67" t="str">
        <f t="shared" si="80"/>
        <v>Brass Elbow 3 in 1 Mixer1 x 1⁄2</v>
      </c>
      <c r="B61" s="81">
        <v>4.0</v>
      </c>
      <c r="C61" s="90" t="s">
        <v>352</v>
      </c>
      <c r="D61" s="127" t="s">
        <v>353</v>
      </c>
      <c r="E61" s="112" t="s">
        <v>667</v>
      </c>
      <c r="F61" s="56">
        <v>558.0</v>
      </c>
      <c r="G61" s="58">
        <v>0.15</v>
      </c>
      <c r="H61" s="58">
        <v>0.06</v>
      </c>
      <c r="I61" s="76">
        <f t="shared" si="81"/>
        <v>0.63</v>
      </c>
      <c r="J61" s="84">
        <f t="shared" si="82"/>
        <v>885.7142857</v>
      </c>
      <c r="K61" s="85">
        <f t="shared" si="83"/>
        <v>37.5</v>
      </c>
      <c r="L61" s="85">
        <f t="shared" si="84"/>
        <v>70.21142857</v>
      </c>
      <c r="M61" s="85">
        <f t="shared" si="85"/>
        <v>5.180508767</v>
      </c>
      <c r="N61" s="139">
        <f t="shared" si="86"/>
        <v>107.7114286</v>
      </c>
      <c r="O61" s="88">
        <v>44.0</v>
      </c>
      <c r="P61" s="88">
        <f t="shared" si="87"/>
        <v>5.73755272</v>
      </c>
      <c r="Q61" s="140">
        <v>618.0</v>
      </c>
      <c r="R61" s="141">
        <f t="shared" si="88"/>
        <v>0.1075268817</v>
      </c>
      <c r="S61" s="188">
        <v>67.02</v>
      </c>
      <c r="T61" s="88">
        <f t="shared" si="89"/>
        <v>5.180508767</v>
      </c>
      <c r="U61" s="205">
        <v>558.0</v>
      </c>
      <c r="V61" s="141">
        <f t="shared" si="90"/>
        <v>-0.09708737864</v>
      </c>
      <c r="W61" s="143">
        <f t="shared" si="91"/>
        <v>0.06382857143</v>
      </c>
      <c r="X61" s="89"/>
      <c r="Y61" s="89"/>
      <c r="Z61" s="89"/>
    </row>
    <row r="62" ht="15.75" customHeight="1">
      <c r="A62" s="67" t="str">
        <f t="shared" si="80"/>
        <v>Brass Elbow 3 in 1 Mixer1 x 1⁄2</v>
      </c>
      <c r="B62" s="81">
        <v>5.0</v>
      </c>
      <c r="C62" s="90" t="s">
        <v>352</v>
      </c>
      <c r="D62" s="127" t="s">
        <v>353</v>
      </c>
      <c r="E62" s="112" t="s">
        <v>670</v>
      </c>
      <c r="F62" s="56">
        <v>558.0</v>
      </c>
      <c r="G62" s="58">
        <v>0.15</v>
      </c>
      <c r="H62" s="58">
        <v>0.06</v>
      </c>
      <c r="I62" s="76">
        <f t="shared" si="81"/>
        <v>0.63</v>
      </c>
      <c r="J62" s="84">
        <f t="shared" si="82"/>
        <v>885.7142857</v>
      </c>
      <c r="K62" s="85">
        <f t="shared" si="83"/>
        <v>37.5</v>
      </c>
      <c r="L62" s="85">
        <f t="shared" si="84"/>
        <v>70.21142857</v>
      </c>
      <c r="M62" s="85">
        <f t="shared" si="85"/>
        <v>5.180508767</v>
      </c>
      <c r="N62" s="139">
        <f t="shared" si="86"/>
        <v>107.7114286</v>
      </c>
      <c r="O62" s="88">
        <v>44.0</v>
      </c>
      <c r="P62" s="88">
        <f t="shared" si="87"/>
        <v>5.73755272</v>
      </c>
      <c r="Q62" s="140">
        <v>618.0</v>
      </c>
      <c r="R62" s="141">
        <f t="shared" si="88"/>
        <v>0.1075268817</v>
      </c>
      <c r="S62" s="188">
        <v>67.02</v>
      </c>
      <c r="T62" s="88">
        <f t="shared" si="89"/>
        <v>5.180508767</v>
      </c>
      <c r="U62" s="205">
        <v>558.0</v>
      </c>
      <c r="V62" s="141">
        <f t="shared" si="90"/>
        <v>-0.09708737864</v>
      </c>
      <c r="W62" s="143">
        <f t="shared" si="91"/>
        <v>0.06382857143</v>
      </c>
      <c r="X62" s="89"/>
      <c r="Y62" s="89"/>
      <c r="Z62" s="89"/>
    </row>
    <row r="63">
      <c r="A63" s="100"/>
      <c r="B63" s="102" t="s">
        <v>11</v>
      </c>
      <c r="C63" s="45"/>
      <c r="D63" s="45"/>
      <c r="E63" s="46"/>
      <c r="F63" s="103">
        <f>SUM(F58:F62)</f>
        <v>2790</v>
      </c>
      <c r="G63" s="104"/>
      <c r="H63" s="76" t="str">
        <f>IFERROR(__xludf.DUMMYFUNCTION("IFERROR(VLOOKUP(E63,IMPORTRANGE(""https://docs.google.com/spreadsheets/d/1xZyKy-UzMmtPDLpV5jQdYum1LtbR8XKDuasLSjmBRMI/edit#gid=1241094406"",""COMBINED DATA!E3:L""),8,0))"),"")</f>
        <v/>
      </c>
      <c r="I63" s="76"/>
      <c r="J63" s="116"/>
      <c r="K63" s="85"/>
      <c r="L63" s="85"/>
      <c r="M63" s="85" t="str">
        <f t="shared" ref="M63:M65" si="92">IFERROR(F63/#REF!,"")</f>
        <v/>
      </c>
      <c r="N63" s="89"/>
      <c r="O63" s="138"/>
      <c r="P63" s="89"/>
      <c r="Q63" s="103">
        <f>SUM(Q58:Q62)</f>
        <v>3090</v>
      </c>
      <c r="R63" s="89"/>
      <c r="S63" s="88"/>
      <c r="T63" s="89"/>
      <c r="U63" s="103">
        <f>SUM(U58:U62)</f>
        <v>2790</v>
      </c>
      <c r="V63" s="89"/>
      <c r="W63" s="89"/>
      <c r="X63" s="89"/>
      <c r="Y63" s="89"/>
      <c r="Z63" s="89"/>
    </row>
    <row r="64" ht="3.75" customHeight="1">
      <c r="A64" s="34"/>
      <c r="B64" s="15"/>
      <c r="C64" s="15"/>
      <c r="D64" s="15"/>
      <c r="E64" s="17"/>
      <c r="F64" s="15"/>
      <c r="G64" s="64"/>
      <c r="H64" s="76" t="str">
        <f>IFERROR(__xludf.DUMMYFUNCTION("IFERROR(VLOOKUP(E64,IMPORTRANGE(""https://docs.google.com/spreadsheets/d/1xZyKy-UzMmtPDLpV5jQdYum1LtbR8XKDuasLSjmBRMI/edit#gid=1241094406"",""COMBINED DATA!E3:L""),8,0))"),"")</f>
        <v/>
      </c>
      <c r="I64" s="76"/>
      <c r="J64" s="65"/>
      <c r="K64" s="85"/>
      <c r="L64" s="85"/>
      <c r="M64" s="85" t="str">
        <f t="shared" si="92"/>
        <v/>
      </c>
      <c r="N64" s="89"/>
      <c r="O64" s="138"/>
      <c r="P64" s="89"/>
      <c r="Q64" s="138"/>
      <c r="R64" s="89"/>
      <c r="S64" s="88"/>
      <c r="T64" s="89"/>
      <c r="U64" s="138"/>
      <c r="V64" s="89"/>
      <c r="W64" s="89"/>
      <c r="X64" s="89"/>
      <c r="Y64" s="89"/>
      <c r="Z64" s="89"/>
    </row>
    <row r="65" ht="22.5" customHeight="1">
      <c r="A65" s="34"/>
      <c r="B65" s="62" t="s">
        <v>686</v>
      </c>
      <c r="C65" s="45"/>
      <c r="D65" s="45"/>
      <c r="E65" s="45"/>
      <c r="F65" s="46"/>
      <c r="G65" s="64"/>
      <c r="H65" s="76" t="str">
        <f>IFERROR(__xludf.DUMMYFUNCTION("IFERROR(VLOOKUP(E65,IMPORTRANGE(""https://docs.google.com/spreadsheets/d/1xZyKy-UzMmtPDLpV5jQdYum1LtbR8XKDuasLSjmBRMI/edit#gid=1241094406"",""COMBINED DATA!E3:L""),8,0))"),"")</f>
        <v/>
      </c>
      <c r="I65" s="76"/>
      <c r="J65" s="65"/>
      <c r="K65" s="85"/>
      <c r="L65" s="85"/>
      <c r="M65" s="85" t="str">
        <f t="shared" si="92"/>
        <v/>
      </c>
      <c r="N65" s="89"/>
      <c r="O65" s="138"/>
      <c r="P65" s="89"/>
      <c r="Q65" s="138"/>
      <c r="R65" s="89"/>
      <c r="S65" s="88"/>
      <c r="T65" s="89"/>
      <c r="U65" s="138"/>
      <c r="V65" s="89"/>
      <c r="W65" s="89"/>
      <c r="X65" s="89"/>
      <c r="Y65" s="89"/>
      <c r="Z65" s="89"/>
    </row>
    <row r="66" ht="15.75" customHeight="1">
      <c r="A66" s="67" t="str">
        <f>$B$65&amp;C66</f>
        <v>Brass Elbow Kitchen Mixer3⁄4 x 1⁄2</v>
      </c>
      <c r="B66" s="81">
        <v>1.0</v>
      </c>
      <c r="C66" s="68" t="s">
        <v>144</v>
      </c>
      <c r="D66" s="110" t="s">
        <v>145</v>
      </c>
      <c r="E66" s="111" t="s">
        <v>690</v>
      </c>
      <c r="F66" s="56">
        <v>398.0</v>
      </c>
      <c r="G66" s="58">
        <v>0.12</v>
      </c>
      <c r="H66" s="58">
        <v>0.04</v>
      </c>
      <c r="I66" s="76">
        <f>(G66+H66)*2</f>
        <v>0.32</v>
      </c>
      <c r="J66" s="84">
        <f>IFERROR(F66/I66,"")</f>
        <v>1243.75</v>
      </c>
      <c r="K66" s="85">
        <f>IFERROR(G66*$K$3,)</f>
        <v>30</v>
      </c>
      <c r="L66" s="85">
        <f>IFERROR(W66*$L$3,"")</f>
        <v>46.12666667</v>
      </c>
      <c r="M66" s="85">
        <f>IFERROR(F66/SUM(K66:L66),"")</f>
        <v>5.228128558</v>
      </c>
      <c r="N66" s="139">
        <f>IFERROR(SUM(K66:L66)," ")</f>
        <v>76.12666667</v>
      </c>
      <c r="O66" s="88">
        <v>44.0</v>
      </c>
      <c r="P66" s="88">
        <f>IFERROR(Q66/N66,"")</f>
        <v>5.832384622</v>
      </c>
      <c r="Q66" s="140">
        <v>444.0</v>
      </c>
      <c r="R66" s="141">
        <f>IFERROR(Q66-F66,"")/F66</f>
        <v>0.1155778894</v>
      </c>
      <c r="S66" s="188">
        <v>44.03</v>
      </c>
      <c r="T66" s="88">
        <f>IFERROR(U66/N66,"")</f>
        <v>6.042560645</v>
      </c>
      <c r="U66" s="142">
        <v>460.0</v>
      </c>
      <c r="V66" s="141">
        <f>IFERROR(U66-Q66,"")/Q66</f>
        <v>0.03603603604</v>
      </c>
      <c r="W66" s="143">
        <f>IFERROR(S66/1050,"")</f>
        <v>0.04193333333</v>
      </c>
      <c r="X66" s="89"/>
      <c r="Y66" s="89"/>
      <c r="Z66" s="89"/>
    </row>
    <row r="67" ht="6.0" customHeight="1">
      <c r="A67" s="34"/>
      <c r="B67" s="15"/>
      <c r="C67" s="15"/>
      <c r="D67" s="15"/>
      <c r="E67" s="17"/>
      <c r="F67" s="15"/>
      <c r="G67" s="64"/>
      <c r="H67" s="76" t="str">
        <f>IFERROR(__xludf.DUMMYFUNCTION("IFERROR(VLOOKUP(E67,IMPORTRANGE(""https://docs.google.com/spreadsheets/d/1xZyKy-UzMmtPDLpV5jQdYum1LtbR8XKDuasLSjmBRMI/edit#gid=1241094406"",""COMBINED DATA!E3:L""),8,0))"),"")</f>
        <v/>
      </c>
      <c r="I67" s="76"/>
      <c r="J67" s="65"/>
      <c r="K67" s="85"/>
      <c r="L67" s="85"/>
      <c r="M67" s="85" t="str">
        <f t="shared" ref="M67:M68" si="93">IFERROR(F67/#REF!,"")</f>
        <v/>
      </c>
      <c r="N67" s="89"/>
      <c r="O67" s="138"/>
      <c r="P67" s="89"/>
      <c r="Q67" s="138"/>
      <c r="R67" s="89"/>
      <c r="S67" s="88"/>
      <c r="T67" s="89"/>
      <c r="U67" s="138"/>
      <c r="V67" s="89"/>
      <c r="W67" s="89"/>
      <c r="X67" s="89"/>
      <c r="Y67" s="89"/>
      <c r="Z67" s="89"/>
    </row>
    <row r="68" ht="22.5" customHeight="1">
      <c r="A68" s="34"/>
      <c r="B68" s="62" t="s">
        <v>709</v>
      </c>
      <c r="C68" s="45"/>
      <c r="D68" s="45"/>
      <c r="E68" s="45"/>
      <c r="F68" s="46"/>
      <c r="G68" s="64"/>
      <c r="H68" s="76" t="str">
        <f>IFERROR(__xludf.DUMMYFUNCTION("IFERROR(VLOOKUP(E68,IMPORTRANGE(""https://docs.google.com/spreadsheets/d/1xZyKy-UzMmtPDLpV5jQdYum1LtbR8XKDuasLSjmBRMI/edit#gid=1241094406"",""COMBINED DATA!E3:L""),8,0))"),"")</f>
        <v/>
      </c>
      <c r="I68" s="76"/>
      <c r="J68" s="65"/>
      <c r="K68" s="85"/>
      <c r="L68" s="85"/>
      <c r="M68" s="85" t="str">
        <f t="shared" si="93"/>
        <v/>
      </c>
      <c r="N68" s="89"/>
      <c r="O68" s="138"/>
      <c r="P68" s="89"/>
      <c r="Q68" s="138"/>
      <c r="R68" s="89"/>
      <c r="S68" s="88"/>
      <c r="T68" s="89"/>
      <c r="U68" s="138"/>
      <c r="V68" s="89"/>
      <c r="W68" s="89"/>
      <c r="X68" s="89"/>
      <c r="Y68" s="89"/>
      <c r="Z68" s="89"/>
    </row>
    <row r="69" ht="15.75" customHeight="1">
      <c r="A69" s="67" t="str">
        <f t="shared" ref="A69:A74" si="94">$B$68&amp;C69&amp;D69</f>
        <v>Long Concealed Valve (Quarter Turn)3⁄4VIVA</v>
      </c>
      <c r="B69" s="81">
        <v>1.0</v>
      </c>
      <c r="C69" s="213" t="s">
        <v>51</v>
      </c>
      <c r="D69" s="110" t="s">
        <v>716</v>
      </c>
      <c r="E69" s="112" t="s">
        <v>718</v>
      </c>
      <c r="F69" s="56">
        <v>980.0</v>
      </c>
      <c r="G69" s="76">
        <v>0.0531</v>
      </c>
      <c r="H69" s="58">
        <v>0.042</v>
      </c>
      <c r="I69" s="76">
        <f t="shared" ref="I69:I74" si="95">G69+H69</f>
        <v>0.0951</v>
      </c>
      <c r="J69" s="84">
        <f t="shared" ref="J69:J74" si="96">IFERROR(F69/I69,"")</f>
        <v>10304.94217</v>
      </c>
      <c r="K69" s="85">
        <f t="shared" ref="K69:K74" si="97">IFERROR(G69*$K$3,)</f>
        <v>13.275</v>
      </c>
      <c r="L69" s="85">
        <f t="shared" ref="L69:L74" si="98">IFERROR(W69*1500,"")</f>
        <v>44.03</v>
      </c>
      <c r="M69" s="85">
        <f t="shared" ref="M69:M74" si="99">IFERROR(F69/SUM(K69:L69),"")</f>
        <v>17.10147457</v>
      </c>
      <c r="N69" s="139">
        <f t="shared" ref="N69:N74" si="100">IFERROR(SUM(K69:L69)," ")</f>
        <v>57.305</v>
      </c>
      <c r="O69" s="88">
        <v>44.0</v>
      </c>
      <c r="P69" s="88">
        <f t="shared" ref="P69:P74" si="101">IFERROR(Q69/N69,"")</f>
        <v>18.84652299</v>
      </c>
      <c r="Q69" s="140">
        <v>1080.0</v>
      </c>
      <c r="R69" s="141">
        <f t="shared" ref="R69:R74" si="102">IFERROR(Q69-F69,"")/F69</f>
        <v>0.1020408163</v>
      </c>
      <c r="S69" s="188">
        <v>44.03</v>
      </c>
      <c r="T69" s="88">
        <f t="shared" ref="T69:T74" si="103">IFERROR(U69/N69,"")</f>
        <v>20.24256173</v>
      </c>
      <c r="U69" s="223">
        <v>1160.0</v>
      </c>
      <c r="V69" s="141">
        <f t="shared" ref="V69:V74" si="104">IFERROR(U69-Q69,"")/Q69</f>
        <v>0.07407407407</v>
      </c>
      <c r="W69" s="143">
        <f>IFERROR(S69/1500,"")</f>
        <v>0.02935333333</v>
      </c>
      <c r="X69" s="89"/>
      <c r="Y69" s="89"/>
      <c r="Z69" s="89"/>
    </row>
    <row r="70" ht="15.75" customHeight="1">
      <c r="A70" s="67" t="str">
        <f t="shared" si="94"/>
        <v>Long Concealed Valve (Quarter Turn)3⁄4SAGA</v>
      </c>
      <c r="B70" s="81">
        <v>2.0</v>
      </c>
      <c r="C70" s="225" t="s">
        <v>51</v>
      </c>
      <c r="D70" s="127" t="s">
        <v>729</v>
      </c>
      <c r="E70" s="112" t="s">
        <v>730</v>
      </c>
      <c r="F70" s="56">
        <v>980.0</v>
      </c>
      <c r="G70" s="76">
        <v>0.0531</v>
      </c>
      <c r="H70" s="58">
        <v>0.042</v>
      </c>
      <c r="I70" s="76">
        <f t="shared" si="95"/>
        <v>0.0951</v>
      </c>
      <c r="J70" s="84">
        <f t="shared" si="96"/>
        <v>10304.94217</v>
      </c>
      <c r="K70" s="85">
        <f t="shared" si="97"/>
        <v>13.275</v>
      </c>
      <c r="L70" s="85">
        <f t="shared" si="98"/>
        <v>62.9</v>
      </c>
      <c r="M70" s="85">
        <f t="shared" si="99"/>
        <v>12.86511323</v>
      </c>
      <c r="N70" s="139">
        <f t="shared" si="100"/>
        <v>76.175</v>
      </c>
      <c r="O70" s="88">
        <v>44.0</v>
      </c>
      <c r="P70" s="88">
        <f t="shared" si="101"/>
        <v>14.17787988</v>
      </c>
      <c r="Q70" s="140">
        <v>1080.0</v>
      </c>
      <c r="R70" s="141">
        <f t="shared" si="102"/>
        <v>0.1020408163</v>
      </c>
      <c r="S70" s="188">
        <v>44.03</v>
      </c>
      <c r="T70" s="88">
        <f t="shared" si="103"/>
        <v>15.22809321</v>
      </c>
      <c r="U70" s="223">
        <v>1160.0</v>
      </c>
      <c r="V70" s="141">
        <f t="shared" si="104"/>
        <v>0.07407407407</v>
      </c>
      <c r="W70" s="143">
        <f t="shared" ref="W70:W74" si="105">IFERROR(S70/1050,"")</f>
        <v>0.04193333333</v>
      </c>
      <c r="X70" s="89"/>
      <c r="Y70" s="89"/>
      <c r="Z70" s="89"/>
    </row>
    <row r="71" ht="15.75" customHeight="1">
      <c r="A71" s="67" t="str">
        <f t="shared" si="94"/>
        <v>Long Concealed Valve (Quarter Turn)3⁄4URBONA</v>
      </c>
      <c r="B71" s="81">
        <v>3.0</v>
      </c>
      <c r="C71" s="225" t="s">
        <v>51</v>
      </c>
      <c r="D71" s="127" t="s">
        <v>741</v>
      </c>
      <c r="E71" s="112" t="s">
        <v>743</v>
      </c>
      <c r="F71" s="56">
        <v>1058.0</v>
      </c>
      <c r="G71" s="76">
        <v>0.0531</v>
      </c>
      <c r="H71" s="58">
        <v>0.042</v>
      </c>
      <c r="I71" s="76">
        <f t="shared" si="95"/>
        <v>0.0951</v>
      </c>
      <c r="J71" s="84">
        <f t="shared" si="96"/>
        <v>11125.13144</v>
      </c>
      <c r="K71" s="85">
        <f t="shared" si="97"/>
        <v>13.275</v>
      </c>
      <c r="L71" s="85">
        <f t="shared" si="98"/>
        <v>62.9</v>
      </c>
      <c r="M71" s="85">
        <f t="shared" si="99"/>
        <v>13.88907122</v>
      </c>
      <c r="N71" s="139">
        <f t="shared" si="100"/>
        <v>76.175</v>
      </c>
      <c r="O71" s="88">
        <v>44.0</v>
      </c>
      <c r="P71" s="88">
        <f t="shared" si="101"/>
        <v>14.96553988</v>
      </c>
      <c r="Q71" s="140">
        <v>1140.0</v>
      </c>
      <c r="R71" s="141">
        <f t="shared" si="102"/>
        <v>0.0775047259</v>
      </c>
      <c r="S71" s="188">
        <v>44.03</v>
      </c>
      <c r="T71" s="88">
        <f t="shared" si="103"/>
        <v>16.14702987</v>
      </c>
      <c r="U71" s="223">
        <v>1230.0</v>
      </c>
      <c r="V71" s="141">
        <f t="shared" si="104"/>
        <v>0.07894736842</v>
      </c>
      <c r="W71" s="143">
        <f t="shared" si="105"/>
        <v>0.04193333333</v>
      </c>
      <c r="X71" s="89"/>
      <c r="Y71" s="89"/>
      <c r="Z71" s="89"/>
    </row>
    <row r="72" ht="15.75" customHeight="1">
      <c r="A72" s="67" t="str">
        <f t="shared" si="94"/>
        <v>Long Concealed Valve (Quarter Turn)3⁄4MACASA</v>
      </c>
      <c r="B72" s="81">
        <v>4.0</v>
      </c>
      <c r="C72" s="225" t="s">
        <v>51</v>
      </c>
      <c r="D72" s="127" t="s">
        <v>748</v>
      </c>
      <c r="E72" s="112" t="s">
        <v>749</v>
      </c>
      <c r="F72" s="56">
        <v>1058.0</v>
      </c>
      <c r="G72" s="76">
        <v>0.0531</v>
      </c>
      <c r="H72" s="58">
        <v>0.042</v>
      </c>
      <c r="I72" s="76">
        <f t="shared" si="95"/>
        <v>0.0951</v>
      </c>
      <c r="J72" s="84">
        <f t="shared" si="96"/>
        <v>11125.13144</v>
      </c>
      <c r="K72" s="85">
        <f t="shared" si="97"/>
        <v>13.275</v>
      </c>
      <c r="L72" s="85">
        <f t="shared" si="98"/>
        <v>62.9</v>
      </c>
      <c r="M72" s="85">
        <f t="shared" si="99"/>
        <v>13.88907122</v>
      </c>
      <c r="N72" s="139">
        <f t="shared" si="100"/>
        <v>76.175</v>
      </c>
      <c r="O72" s="88">
        <v>44.0</v>
      </c>
      <c r="P72" s="88">
        <f t="shared" si="101"/>
        <v>14.96553988</v>
      </c>
      <c r="Q72" s="140">
        <v>1140.0</v>
      </c>
      <c r="R72" s="141">
        <f t="shared" si="102"/>
        <v>0.0775047259</v>
      </c>
      <c r="S72" s="188">
        <v>44.03</v>
      </c>
      <c r="T72" s="88">
        <f t="shared" si="103"/>
        <v>16.14702987</v>
      </c>
      <c r="U72" s="223">
        <v>1230.0</v>
      </c>
      <c r="V72" s="141">
        <f t="shared" si="104"/>
        <v>0.07894736842</v>
      </c>
      <c r="W72" s="143">
        <f t="shared" si="105"/>
        <v>0.04193333333</v>
      </c>
      <c r="X72" s="89"/>
      <c r="Y72" s="89"/>
      <c r="Z72" s="89"/>
    </row>
    <row r="73" ht="15.75" customHeight="1">
      <c r="A73" s="67" t="str">
        <f t="shared" si="94"/>
        <v>Long Concealed Valve (Quarter Turn)3⁄4GRACIA</v>
      </c>
      <c r="B73" s="81">
        <v>5.0</v>
      </c>
      <c r="C73" s="225" t="s">
        <v>51</v>
      </c>
      <c r="D73" s="127" t="s">
        <v>754</v>
      </c>
      <c r="E73" s="112" t="s">
        <v>755</v>
      </c>
      <c r="F73" s="56">
        <v>1088.0</v>
      </c>
      <c r="G73" s="76">
        <v>0.0531</v>
      </c>
      <c r="H73" s="58">
        <v>0.042</v>
      </c>
      <c r="I73" s="76">
        <f t="shared" si="95"/>
        <v>0.0951</v>
      </c>
      <c r="J73" s="84">
        <f t="shared" si="96"/>
        <v>11440.58885</v>
      </c>
      <c r="K73" s="85">
        <f t="shared" si="97"/>
        <v>13.275</v>
      </c>
      <c r="L73" s="85">
        <f t="shared" si="98"/>
        <v>62.9</v>
      </c>
      <c r="M73" s="85">
        <f t="shared" si="99"/>
        <v>14.28290121</v>
      </c>
      <c r="N73" s="139">
        <f t="shared" si="100"/>
        <v>76.175</v>
      </c>
      <c r="O73" s="88">
        <v>44.0</v>
      </c>
      <c r="P73" s="88">
        <f t="shared" si="101"/>
        <v>15.22809321</v>
      </c>
      <c r="Q73" s="140">
        <v>1160.0</v>
      </c>
      <c r="R73" s="141">
        <f t="shared" si="102"/>
        <v>0.06617647059</v>
      </c>
      <c r="S73" s="188">
        <v>44.03</v>
      </c>
      <c r="T73" s="88">
        <f t="shared" si="103"/>
        <v>16.4095832</v>
      </c>
      <c r="U73" s="223">
        <v>1250.0</v>
      </c>
      <c r="V73" s="141">
        <f t="shared" si="104"/>
        <v>0.0775862069</v>
      </c>
      <c r="W73" s="143">
        <f t="shared" si="105"/>
        <v>0.04193333333</v>
      </c>
      <c r="X73" s="89"/>
      <c r="Y73" s="89"/>
      <c r="Z73" s="89"/>
    </row>
    <row r="74" ht="15.75" customHeight="1">
      <c r="A74" s="67" t="str">
        <f t="shared" si="94"/>
        <v>Long Concealed Valve (Quarter Turn)3⁄4TRIANGULER</v>
      </c>
      <c r="B74" s="81">
        <v>6.0</v>
      </c>
      <c r="C74" s="225" t="s">
        <v>51</v>
      </c>
      <c r="D74" s="127" t="s">
        <v>760</v>
      </c>
      <c r="E74" s="112" t="s">
        <v>761</v>
      </c>
      <c r="F74" s="56">
        <v>980.0</v>
      </c>
      <c r="G74" s="76">
        <v>0.0531</v>
      </c>
      <c r="H74" s="58">
        <v>0.042</v>
      </c>
      <c r="I74" s="76">
        <f t="shared" si="95"/>
        <v>0.0951</v>
      </c>
      <c r="J74" s="84">
        <f t="shared" si="96"/>
        <v>10304.94217</v>
      </c>
      <c r="K74" s="85">
        <f t="shared" si="97"/>
        <v>13.275</v>
      </c>
      <c r="L74" s="85">
        <f t="shared" si="98"/>
        <v>62.9</v>
      </c>
      <c r="M74" s="85">
        <f t="shared" si="99"/>
        <v>12.86511323</v>
      </c>
      <c r="N74" s="139">
        <f t="shared" si="100"/>
        <v>76.175</v>
      </c>
      <c r="O74" s="88">
        <v>44.0</v>
      </c>
      <c r="P74" s="88">
        <f t="shared" si="101"/>
        <v>14.17787988</v>
      </c>
      <c r="Q74" s="140">
        <v>1080.0</v>
      </c>
      <c r="R74" s="141">
        <f t="shared" si="102"/>
        <v>0.1020408163</v>
      </c>
      <c r="S74" s="188">
        <v>44.03</v>
      </c>
      <c r="T74" s="88">
        <f t="shared" si="103"/>
        <v>15.22809321</v>
      </c>
      <c r="U74" s="223">
        <v>1160.0</v>
      </c>
      <c r="V74" s="141">
        <f t="shared" si="104"/>
        <v>0.07407407407</v>
      </c>
      <c r="W74" s="143">
        <f t="shared" si="105"/>
        <v>0.04193333333</v>
      </c>
      <c r="X74" s="89"/>
      <c r="Y74" s="89"/>
      <c r="Z74" s="89"/>
    </row>
    <row r="75">
      <c r="A75" s="100"/>
      <c r="B75" s="102" t="s">
        <v>11</v>
      </c>
      <c r="C75" s="45"/>
      <c r="D75" s="45"/>
      <c r="E75" s="46"/>
      <c r="F75" s="103">
        <f>SUM(F69:F74)</f>
        <v>6144</v>
      </c>
      <c r="G75" s="104"/>
      <c r="H75" s="76" t="str">
        <f>IFERROR(__xludf.DUMMYFUNCTION("IFERROR(VLOOKUP(E75,IMPORTRANGE(""https://docs.google.com/spreadsheets/d/1xZyKy-UzMmtPDLpV5jQdYum1LtbR8XKDuasLSjmBRMI/edit#gid=1241094406"",""COMBINED DATA!E3:L""),8,0))"),"")</f>
        <v/>
      </c>
      <c r="I75" s="76"/>
      <c r="J75" s="116"/>
      <c r="K75" s="85"/>
      <c r="L75" s="85"/>
      <c r="M75" s="85" t="str">
        <f t="shared" ref="M75:M77" si="106">IFERROR(F75/#REF!,"")</f>
        <v/>
      </c>
      <c r="N75" s="89"/>
      <c r="O75" s="138"/>
      <c r="P75" s="89"/>
      <c r="Q75" s="103">
        <f>SUM(Q69:Q74)</f>
        <v>6680</v>
      </c>
      <c r="R75" s="89"/>
      <c r="S75" s="88"/>
      <c r="T75" s="89"/>
      <c r="U75" s="103">
        <f>SUM(U69:U74)</f>
        <v>7190</v>
      </c>
      <c r="V75" s="89"/>
      <c r="W75" s="89"/>
      <c r="X75" s="89"/>
      <c r="Y75" s="89"/>
      <c r="Z75" s="89"/>
    </row>
    <row r="76" ht="6.0" customHeight="1">
      <c r="A76" s="34"/>
      <c r="B76" s="15"/>
      <c r="C76" s="15"/>
      <c r="D76" s="15"/>
      <c r="E76" s="17"/>
      <c r="F76" s="15"/>
      <c r="G76" s="64"/>
      <c r="H76" s="76" t="str">
        <f>IFERROR(__xludf.DUMMYFUNCTION("IFERROR(VLOOKUP(E76,IMPORTRANGE(""https://docs.google.com/spreadsheets/d/1xZyKy-UzMmtPDLpV5jQdYum1LtbR8XKDuasLSjmBRMI/edit#gid=1241094406"",""COMBINED DATA!E3:L""),8,0))"),"")</f>
        <v/>
      </c>
      <c r="I76" s="76"/>
      <c r="J76" s="65"/>
      <c r="K76" s="85"/>
      <c r="L76" s="85"/>
      <c r="M76" s="85" t="str">
        <f t="shared" si="106"/>
        <v/>
      </c>
      <c r="N76" s="89"/>
      <c r="O76" s="138"/>
      <c r="P76" s="89"/>
      <c r="Q76" s="138"/>
      <c r="R76" s="89"/>
      <c r="S76" s="88"/>
      <c r="T76" s="89"/>
      <c r="U76" s="138"/>
      <c r="V76" s="89"/>
      <c r="W76" s="89"/>
      <c r="X76" s="89"/>
      <c r="Y76" s="89"/>
      <c r="Z76" s="89"/>
    </row>
    <row r="77" ht="22.5" customHeight="1">
      <c r="A77" s="34"/>
      <c r="B77" s="62" t="s">
        <v>777</v>
      </c>
      <c r="C77" s="45"/>
      <c r="D77" s="45"/>
      <c r="E77" s="45"/>
      <c r="F77" s="46"/>
      <c r="G77" s="64"/>
      <c r="H77" s="76" t="str">
        <f>IFERROR(__xludf.DUMMYFUNCTION("IFERROR(VLOOKUP(E77,IMPORTRANGE(""https://docs.google.com/spreadsheets/d/1xZyKy-UzMmtPDLpV5jQdYum1LtbR8XKDuasLSjmBRMI/edit#gid=1241094406"",""COMBINED DATA!E3:L""),8,0))"),"")</f>
        <v/>
      </c>
      <c r="I77" s="76"/>
      <c r="J77" s="65"/>
      <c r="K77" s="85"/>
      <c r="L77" s="85"/>
      <c r="M77" s="85" t="str">
        <f t="shared" si="106"/>
        <v/>
      </c>
      <c r="N77" s="89"/>
      <c r="O77" s="138"/>
      <c r="P77" s="89"/>
      <c r="Q77" s="138"/>
      <c r="R77" s="89"/>
      <c r="S77" s="88"/>
      <c r="T77" s="89"/>
      <c r="U77" s="138"/>
      <c r="V77" s="89"/>
      <c r="W77" s="89"/>
      <c r="X77" s="89"/>
      <c r="Y77" s="89"/>
      <c r="Z77" s="89"/>
    </row>
    <row r="78" ht="15.75" customHeight="1">
      <c r="A78" s="67" t="str">
        <f t="shared" ref="A78:A83" si="107">$B$77&amp;C78&amp;D78</f>
        <v>Full Turn Concealed Valve3⁄4VIVA</v>
      </c>
      <c r="B78" s="81">
        <v>1.0</v>
      </c>
      <c r="C78" s="213" t="s">
        <v>51</v>
      </c>
      <c r="D78" s="110" t="s">
        <v>716</v>
      </c>
      <c r="E78" s="112" t="s">
        <v>783</v>
      </c>
      <c r="F78" s="56">
        <v>980.0</v>
      </c>
      <c r="G78" s="58">
        <v>0.059</v>
      </c>
      <c r="H78" s="58">
        <v>0.042</v>
      </c>
      <c r="I78" s="76">
        <f t="shared" ref="I78:I83" si="108">G78+H78</f>
        <v>0.101</v>
      </c>
      <c r="J78" s="84">
        <f t="shared" ref="J78:J83" si="109">IFERROR(F78/I78,"")</f>
        <v>9702.970297</v>
      </c>
      <c r="K78" s="85">
        <f t="shared" ref="K78:K83" si="110">IFERROR(G78*$K$3,)</f>
        <v>14.75</v>
      </c>
      <c r="L78" s="85">
        <f t="shared" ref="L78:L83" si="111">IFERROR(W78*1500,"")</f>
        <v>62.9</v>
      </c>
      <c r="M78" s="85">
        <f t="shared" ref="M78:M83" si="112">IFERROR(F78/SUM(K78:L78),"")</f>
        <v>12.62073406</v>
      </c>
      <c r="N78" s="139">
        <f t="shared" ref="N78:N83" si="113">IFERROR(SUM(K78:L78)," ")</f>
        <v>77.65</v>
      </c>
      <c r="O78" s="88">
        <v>44.0</v>
      </c>
      <c r="P78" s="88">
        <f t="shared" ref="P78:P83" si="114">IFERROR(Q78/N78,"")</f>
        <v>13.90856407</v>
      </c>
      <c r="Q78" s="140">
        <v>1080.0</v>
      </c>
      <c r="R78" s="141">
        <f t="shared" ref="R78:R83" si="115">IFERROR(Q78-F78,"")/F78</f>
        <v>0.1020408163</v>
      </c>
      <c r="S78" s="188">
        <v>44.03</v>
      </c>
      <c r="T78" s="88">
        <f t="shared" ref="T78:T83" si="116">IFERROR(U78/N78,"")</f>
        <v>14.93882807</v>
      </c>
      <c r="U78" s="223">
        <v>1160.0</v>
      </c>
      <c r="V78" s="141">
        <f t="shared" ref="V78:V83" si="117">IFERROR(U78-Q78,"")/Q78</f>
        <v>0.07407407407</v>
      </c>
      <c r="W78" s="143">
        <f t="shared" ref="W78:W83" si="118">IFERROR(S78/1050,"")</f>
        <v>0.04193333333</v>
      </c>
      <c r="X78" s="89"/>
      <c r="Y78" s="89"/>
      <c r="Z78" s="89"/>
    </row>
    <row r="79" ht="15.75" customHeight="1">
      <c r="A79" s="67" t="str">
        <f t="shared" si="107"/>
        <v>Full Turn Concealed Valve3⁄4SAGA</v>
      </c>
      <c r="B79" s="81">
        <v>2.0</v>
      </c>
      <c r="C79" s="225" t="s">
        <v>51</v>
      </c>
      <c r="D79" s="127" t="s">
        <v>729</v>
      </c>
      <c r="E79" s="112" t="s">
        <v>791</v>
      </c>
      <c r="F79" s="56">
        <v>980.0</v>
      </c>
      <c r="G79" s="58">
        <v>0.059</v>
      </c>
      <c r="H79" s="58">
        <v>0.042</v>
      </c>
      <c r="I79" s="76">
        <f t="shared" si="108"/>
        <v>0.101</v>
      </c>
      <c r="J79" s="84">
        <f t="shared" si="109"/>
        <v>9702.970297</v>
      </c>
      <c r="K79" s="85">
        <f t="shared" si="110"/>
        <v>14.75</v>
      </c>
      <c r="L79" s="85">
        <f t="shared" si="111"/>
        <v>62.9</v>
      </c>
      <c r="M79" s="85">
        <f t="shared" si="112"/>
        <v>12.62073406</v>
      </c>
      <c r="N79" s="139">
        <f t="shared" si="113"/>
        <v>77.65</v>
      </c>
      <c r="O79" s="88">
        <v>44.0</v>
      </c>
      <c r="P79" s="88">
        <f t="shared" si="114"/>
        <v>13.90856407</v>
      </c>
      <c r="Q79" s="140">
        <v>1080.0</v>
      </c>
      <c r="R79" s="141">
        <f t="shared" si="115"/>
        <v>0.1020408163</v>
      </c>
      <c r="S79" s="188">
        <v>44.03</v>
      </c>
      <c r="T79" s="88">
        <f t="shared" si="116"/>
        <v>14.93882807</v>
      </c>
      <c r="U79" s="223">
        <v>1160.0</v>
      </c>
      <c r="V79" s="141">
        <f t="shared" si="117"/>
        <v>0.07407407407</v>
      </c>
      <c r="W79" s="143">
        <f t="shared" si="118"/>
        <v>0.04193333333</v>
      </c>
      <c r="X79" s="89"/>
      <c r="Y79" s="89"/>
      <c r="Z79" s="89"/>
    </row>
    <row r="80" ht="15.75" customHeight="1">
      <c r="A80" s="67" t="str">
        <f t="shared" si="107"/>
        <v>Full Turn Concealed Valve3⁄4URBONA</v>
      </c>
      <c r="B80" s="81">
        <v>3.0</v>
      </c>
      <c r="C80" s="225" t="s">
        <v>51</v>
      </c>
      <c r="D80" s="127" t="s">
        <v>741</v>
      </c>
      <c r="E80" s="112" t="s">
        <v>797</v>
      </c>
      <c r="F80" s="56">
        <v>980.0</v>
      </c>
      <c r="G80" s="58">
        <v>0.059</v>
      </c>
      <c r="H80" s="58">
        <v>0.042</v>
      </c>
      <c r="I80" s="76">
        <f t="shared" si="108"/>
        <v>0.101</v>
      </c>
      <c r="J80" s="84">
        <f t="shared" si="109"/>
        <v>9702.970297</v>
      </c>
      <c r="K80" s="85">
        <f t="shared" si="110"/>
        <v>14.75</v>
      </c>
      <c r="L80" s="85">
        <f t="shared" si="111"/>
        <v>62.9</v>
      </c>
      <c r="M80" s="85">
        <f t="shared" si="112"/>
        <v>12.62073406</v>
      </c>
      <c r="N80" s="139">
        <f t="shared" si="113"/>
        <v>77.65</v>
      </c>
      <c r="O80" s="88">
        <v>44.0</v>
      </c>
      <c r="P80" s="88">
        <f t="shared" si="114"/>
        <v>13.90856407</v>
      </c>
      <c r="Q80" s="140">
        <v>1080.0</v>
      </c>
      <c r="R80" s="141">
        <f t="shared" si="115"/>
        <v>0.1020408163</v>
      </c>
      <c r="S80" s="188">
        <v>44.03</v>
      </c>
      <c r="T80" s="88">
        <f t="shared" si="116"/>
        <v>14.93882807</v>
      </c>
      <c r="U80" s="223">
        <v>1160.0</v>
      </c>
      <c r="V80" s="141">
        <f t="shared" si="117"/>
        <v>0.07407407407</v>
      </c>
      <c r="W80" s="143">
        <f t="shared" si="118"/>
        <v>0.04193333333</v>
      </c>
      <c r="X80" s="89"/>
      <c r="Y80" s="89"/>
      <c r="Z80" s="89"/>
    </row>
    <row r="81" ht="15.75" customHeight="1">
      <c r="A81" s="67" t="str">
        <f t="shared" si="107"/>
        <v>Full Turn Concealed Valve3⁄4MACASA</v>
      </c>
      <c r="B81" s="81">
        <v>4.0</v>
      </c>
      <c r="C81" s="225" t="s">
        <v>51</v>
      </c>
      <c r="D81" s="127" t="s">
        <v>748</v>
      </c>
      <c r="E81" s="112" t="s">
        <v>799</v>
      </c>
      <c r="F81" s="56">
        <v>980.0</v>
      </c>
      <c r="G81" s="58">
        <v>0.059</v>
      </c>
      <c r="H81" s="58">
        <v>0.042</v>
      </c>
      <c r="I81" s="76">
        <f t="shared" si="108"/>
        <v>0.101</v>
      </c>
      <c r="J81" s="84">
        <f t="shared" si="109"/>
        <v>9702.970297</v>
      </c>
      <c r="K81" s="85">
        <f t="shared" si="110"/>
        <v>14.75</v>
      </c>
      <c r="L81" s="85">
        <f t="shared" si="111"/>
        <v>62.9</v>
      </c>
      <c r="M81" s="85">
        <f t="shared" si="112"/>
        <v>12.62073406</v>
      </c>
      <c r="N81" s="139">
        <f t="shared" si="113"/>
        <v>77.65</v>
      </c>
      <c r="O81" s="88">
        <v>44.0</v>
      </c>
      <c r="P81" s="88">
        <f t="shared" si="114"/>
        <v>13.90856407</v>
      </c>
      <c r="Q81" s="140">
        <v>1080.0</v>
      </c>
      <c r="R81" s="141">
        <f t="shared" si="115"/>
        <v>0.1020408163</v>
      </c>
      <c r="S81" s="188">
        <v>44.03</v>
      </c>
      <c r="T81" s="88">
        <f t="shared" si="116"/>
        <v>14.93882807</v>
      </c>
      <c r="U81" s="223">
        <v>1160.0</v>
      </c>
      <c r="V81" s="141">
        <f t="shared" si="117"/>
        <v>0.07407407407</v>
      </c>
      <c r="W81" s="143">
        <f t="shared" si="118"/>
        <v>0.04193333333</v>
      </c>
      <c r="X81" s="89"/>
      <c r="Y81" s="89"/>
      <c r="Z81" s="89"/>
    </row>
    <row r="82" ht="15.75" customHeight="1">
      <c r="A82" s="67" t="str">
        <f t="shared" si="107"/>
        <v>Full Turn Concealed Valve3⁄4GRACIA</v>
      </c>
      <c r="B82" s="81">
        <v>5.0</v>
      </c>
      <c r="C82" s="225" t="s">
        <v>51</v>
      </c>
      <c r="D82" s="127" t="s">
        <v>754</v>
      </c>
      <c r="E82" s="112" t="s">
        <v>803</v>
      </c>
      <c r="F82" s="56">
        <v>980.0</v>
      </c>
      <c r="G82" s="58">
        <v>0.059</v>
      </c>
      <c r="H82" s="58">
        <v>0.042</v>
      </c>
      <c r="I82" s="76">
        <f t="shared" si="108"/>
        <v>0.101</v>
      </c>
      <c r="J82" s="84">
        <f t="shared" si="109"/>
        <v>9702.970297</v>
      </c>
      <c r="K82" s="85">
        <f t="shared" si="110"/>
        <v>14.75</v>
      </c>
      <c r="L82" s="85">
        <f t="shared" si="111"/>
        <v>62.9</v>
      </c>
      <c r="M82" s="85">
        <f t="shared" si="112"/>
        <v>12.62073406</v>
      </c>
      <c r="N82" s="139">
        <f t="shared" si="113"/>
        <v>77.65</v>
      </c>
      <c r="O82" s="88">
        <v>44.0</v>
      </c>
      <c r="P82" s="88">
        <f t="shared" si="114"/>
        <v>13.90856407</v>
      </c>
      <c r="Q82" s="140">
        <v>1080.0</v>
      </c>
      <c r="R82" s="141">
        <f t="shared" si="115"/>
        <v>0.1020408163</v>
      </c>
      <c r="S82" s="188">
        <v>44.03</v>
      </c>
      <c r="T82" s="88">
        <f t="shared" si="116"/>
        <v>14.93882807</v>
      </c>
      <c r="U82" s="223">
        <v>1160.0</v>
      </c>
      <c r="V82" s="141">
        <f t="shared" si="117"/>
        <v>0.07407407407</v>
      </c>
      <c r="W82" s="143">
        <f t="shared" si="118"/>
        <v>0.04193333333</v>
      </c>
      <c r="X82" s="89"/>
      <c r="Y82" s="89"/>
      <c r="Z82" s="89"/>
    </row>
    <row r="83" ht="15.75" customHeight="1">
      <c r="A83" s="67" t="str">
        <f t="shared" si="107"/>
        <v>Full Turn Concealed Valve3⁄4TRIANGULER</v>
      </c>
      <c r="B83" s="81">
        <v>6.0</v>
      </c>
      <c r="C83" s="225" t="s">
        <v>51</v>
      </c>
      <c r="D83" s="127" t="s">
        <v>760</v>
      </c>
      <c r="E83" s="112" t="s">
        <v>805</v>
      </c>
      <c r="F83" s="56">
        <v>980.0</v>
      </c>
      <c r="G83" s="58">
        <v>0.059</v>
      </c>
      <c r="H83" s="58">
        <v>0.042</v>
      </c>
      <c r="I83" s="76">
        <f t="shared" si="108"/>
        <v>0.101</v>
      </c>
      <c r="J83" s="84">
        <f t="shared" si="109"/>
        <v>9702.970297</v>
      </c>
      <c r="K83" s="85">
        <f t="shared" si="110"/>
        <v>14.75</v>
      </c>
      <c r="L83" s="85">
        <f t="shared" si="111"/>
        <v>62.9</v>
      </c>
      <c r="M83" s="85">
        <f t="shared" si="112"/>
        <v>12.62073406</v>
      </c>
      <c r="N83" s="139">
        <f t="shared" si="113"/>
        <v>77.65</v>
      </c>
      <c r="O83" s="88">
        <v>44.0</v>
      </c>
      <c r="P83" s="88">
        <f t="shared" si="114"/>
        <v>13.90856407</v>
      </c>
      <c r="Q83" s="140">
        <v>1080.0</v>
      </c>
      <c r="R83" s="141">
        <f t="shared" si="115"/>
        <v>0.1020408163</v>
      </c>
      <c r="S83" s="188">
        <v>44.03</v>
      </c>
      <c r="T83" s="88">
        <f t="shared" si="116"/>
        <v>14.93882807</v>
      </c>
      <c r="U83" s="223">
        <v>1160.0</v>
      </c>
      <c r="V83" s="141">
        <f t="shared" si="117"/>
        <v>0.07407407407</v>
      </c>
      <c r="W83" s="143">
        <f t="shared" si="118"/>
        <v>0.04193333333</v>
      </c>
      <c r="X83" s="89"/>
      <c r="Y83" s="89"/>
      <c r="Z83" s="89"/>
    </row>
    <row r="84">
      <c r="A84" s="100"/>
      <c r="B84" s="102" t="s">
        <v>11</v>
      </c>
      <c r="C84" s="45"/>
      <c r="D84" s="45"/>
      <c r="E84" s="46"/>
      <c r="F84" s="103">
        <f>SUM(F78:F83)</f>
        <v>5880</v>
      </c>
      <c r="G84" s="104"/>
      <c r="H84" s="76" t="str">
        <f>IFERROR(__xludf.DUMMYFUNCTION("IFERROR(VLOOKUP(E84,IMPORTRANGE(""https://docs.google.com/spreadsheets/d/1xZyKy-UzMmtPDLpV5jQdYum1LtbR8XKDuasLSjmBRMI/edit#gid=1241094406"",""COMBINED DATA!E3:L""),8,0))"),"")</f>
        <v/>
      </c>
      <c r="I84" s="76"/>
      <c r="J84" s="84"/>
      <c r="K84" s="85"/>
      <c r="L84" s="85"/>
      <c r="M84" s="85" t="str">
        <f t="shared" ref="M84:M86" si="119">IFERROR(F84/#REF!,"")</f>
        <v/>
      </c>
      <c r="N84" s="89"/>
      <c r="O84" s="138"/>
      <c r="P84" s="89"/>
      <c r="Q84" s="103">
        <f>SUM(Q78:Q83)</f>
        <v>6480</v>
      </c>
      <c r="R84" s="89"/>
      <c r="S84" s="88"/>
      <c r="T84" s="89"/>
      <c r="U84" s="103">
        <f>SUM(U78:U83)</f>
        <v>6960</v>
      </c>
      <c r="V84" s="89"/>
      <c r="W84" s="89"/>
      <c r="X84" s="89"/>
      <c r="Y84" s="89"/>
      <c r="Z84" s="89"/>
    </row>
    <row r="85" ht="6.0" customHeight="1">
      <c r="A85" s="34"/>
      <c r="B85" s="15"/>
      <c r="C85" s="15"/>
      <c r="D85" s="15"/>
      <c r="E85" s="17"/>
      <c r="F85" s="15"/>
      <c r="G85" s="64"/>
      <c r="H85" s="76" t="str">
        <f>IFERROR(__xludf.DUMMYFUNCTION("IFERROR(VLOOKUP(E85,IMPORTRANGE(""https://docs.google.com/spreadsheets/d/1xZyKy-UzMmtPDLpV5jQdYum1LtbR8XKDuasLSjmBRMI/edit#gid=1241094406"",""COMBINED DATA!E3:L""),8,0))"),"")</f>
        <v/>
      </c>
      <c r="I85" s="76"/>
      <c r="J85" s="65"/>
      <c r="K85" s="85"/>
      <c r="L85" s="85"/>
      <c r="M85" s="85" t="str">
        <f t="shared" si="119"/>
        <v/>
      </c>
      <c r="N85" s="89"/>
      <c r="O85" s="138"/>
      <c r="P85" s="89"/>
      <c r="Q85" s="138"/>
      <c r="R85" s="89"/>
      <c r="S85" s="88"/>
      <c r="T85" s="89"/>
      <c r="U85" s="138"/>
      <c r="V85" s="89"/>
      <c r="W85" s="89"/>
      <c r="X85" s="89"/>
      <c r="Y85" s="89"/>
      <c r="Z85" s="89"/>
    </row>
    <row r="86" ht="22.5" customHeight="1">
      <c r="A86" s="34"/>
      <c r="B86" s="62" t="s">
        <v>814</v>
      </c>
      <c r="C86" s="45"/>
      <c r="D86" s="45"/>
      <c r="E86" s="45"/>
      <c r="F86" s="46"/>
      <c r="G86" s="64"/>
      <c r="H86" s="76" t="str">
        <f>IFERROR(__xludf.DUMMYFUNCTION("IFERROR(VLOOKUP(E86,IMPORTRANGE(""https://docs.google.com/spreadsheets/d/1xZyKy-UzMmtPDLpV5jQdYum1LtbR8XKDuasLSjmBRMI/edit#gid=1241094406"",""COMBINED DATA!E3:L""),8,0))"),"")</f>
        <v/>
      </c>
      <c r="I86" s="76"/>
      <c r="J86" s="65"/>
      <c r="K86" s="85"/>
      <c r="L86" s="85"/>
      <c r="M86" s="85" t="str">
        <f t="shared" si="119"/>
        <v/>
      </c>
      <c r="N86" s="89"/>
      <c r="O86" s="138"/>
      <c r="P86" s="89"/>
      <c r="Q86" s="138"/>
      <c r="R86" s="89"/>
      <c r="S86" s="88"/>
      <c r="T86" s="89"/>
      <c r="U86" s="138"/>
      <c r="V86" s="89"/>
      <c r="W86" s="89"/>
      <c r="X86" s="89"/>
      <c r="Y86" s="89"/>
      <c r="Z86" s="89"/>
    </row>
    <row r="87" ht="15.75" customHeight="1">
      <c r="A87" s="67" t="str">
        <f t="shared" ref="A87:A92" si="120">$B$86&amp;C87&amp;D87</f>
        <v>Short Concealed Valve (Quarter Turn)3⁄4VIVA</v>
      </c>
      <c r="B87" s="81">
        <v>1.0</v>
      </c>
      <c r="C87" s="213" t="s">
        <v>51</v>
      </c>
      <c r="D87" s="110" t="s">
        <v>716</v>
      </c>
      <c r="E87" s="112" t="s">
        <v>819</v>
      </c>
      <c r="F87" s="56">
        <v>980.0</v>
      </c>
      <c r="G87" s="76">
        <v>0.0658</v>
      </c>
      <c r="H87" s="58">
        <v>0.042</v>
      </c>
      <c r="I87" s="76">
        <f t="shared" ref="I87:I92" si="121">G87+H87</f>
        <v>0.1078</v>
      </c>
      <c r="J87" s="84">
        <f t="shared" ref="J87:J92" si="122">IFERROR(F87/I87,"")</f>
        <v>9090.909091</v>
      </c>
      <c r="K87" s="85">
        <f t="shared" ref="K87:K92" si="123">IFERROR(G87*$K$3,)</f>
        <v>16.45</v>
      </c>
      <c r="L87" s="85">
        <f t="shared" ref="L87:L92" si="124">IFERROR(W87*1500,"")</f>
        <v>62.9</v>
      </c>
      <c r="M87" s="85">
        <f t="shared" ref="M87:M92" si="125">IFERROR(F87/SUM(K87:L87),"")</f>
        <v>12.35034657</v>
      </c>
      <c r="N87" s="139">
        <f t="shared" ref="N87:N92" si="126">IFERROR(SUM(K87:L87)," ")</f>
        <v>79.35</v>
      </c>
      <c r="O87" s="88">
        <v>44.0</v>
      </c>
      <c r="P87" s="88">
        <f t="shared" ref="P87:P92" si="127">IFERROR(Q87/N87,"")</f>
        <v>13.61058601</v>
      </c>
      <c r="Q87" s="140">
        <v>1080.0</v>
      </c>
      <c r="R87" s="141">
        <f t="shared" ref="R87:R92" si="128">IFERROR(Q87-F87,"")/F87</f>
        <v>0.1020408163</v>
      </c>
      <c r="S87" s="188">
        <v>44.03</v>
      </c>
      <c r="T87" s="88">
        <f t="shared" ref="T87:T92" si="129">IFERROR(U87/N87,"")</f>
        <v>14.61877757</v>
      </c>
      <c r="U87" s="223">
        <v>1160.0</v>
      </c>
      <c r="V87" s="141">
        <f t="shared" ref="V87:V92" si="130">IFERROR(U87-Q87,"")/Q87</f>
        <v>0.07407407407</v>
      </c>
      <c r="W87" s="143">
        <f t="shared" ref="W87:W92" si="131">IFERROR(S87/1050,"")</f>
        <v>0.04193333333</v>
      </c>
      <c r="X87" s="89"/>
      <c r="Y87" s="89"/>
      <c r="Z87" s="89"/>
    </row>
    <row r="88" ht="15.75" customHeight="1">
      <c r="A88" s="67" t="str">
        <f t="shared" si="120"/>
        <v>Short Concealed Valve (Quarter Turn)3⁄4SAGA</v>
      </c>
      <c r="B88" s="81">
        <v>2.0</v>
      </c>
      <c r="C88" s="225" t="s">
        <v>51</v>
      </c>
      <c r="D88" s="127" t="s">
        <v>729</v>
      </c>
      <c r="E88" s="112" t="s">
        <v>828</v>
      </c>
      <c r="F88" s="56">
        <v>980.0</v>
      </c>
      <c r="G88" s="76">
        <v>0.0658</v>
      </c>
      <c r="H88" s="58">
        <v>0.042</v>
      </c>
      <c r="I88" s="76">
        <f t="shared" si="121"/>
        <v>0.1078</v>
      </c>
      <c r="J88" s="84">
        <f t="shared" si="122"/>
        <v>9090.909091</v>
      </c>
      <c r="K88" s="85">
        <f t="shared" si="123"/>
        <v>16.45</v>
      </c>
      <c r="L88" s="85">
        <f t="shared" si="124"/>
        <v>62.9</v>
      </c>
      <c r="M88" s="85">
        <f t="shared" si="125"/>
        <v>12.35034657</v>
      </c>
      <c r="N88" s="139">
        <f t="shared" si="126"/>
        <v>79.35</v>
      </c>
      <c r="O88" s="88">
        <v>44.0</v>
      </c>
      <c r="P88" s="88">
        <f t="shared" si="127"/>
        <v>13.61058601</v>
      </c>
      <c r="Q88" s="140">
        <v>1080.0</v>
      </c>
      <c r="R88" s="141">
        <f t="shared" si="128"/>
        <v>0.1020408163</v>
      </c>
      <c r="S88" s="188">
        <v>44.03</v>
      </c>
      <c r="T88" s="88">
        <f t="shared" si="129"/>
        <v>14.61877757</v>
      </c>
      <c r="U88" s="223">
        <v>1160.0</v>
      </c>
      <c r="V88" s="141">
        <f t="shared" si="130"/>
        <v>0.07407407407</v>
      </c>
      <c r="W88" s="143">
        <f t="shared" si="131"/>
        <v>0.04193333333</v>
      </c>
      <c r="X88" s="89"/>
      <c r="Y88" s="89"/>
      <c r="Z88" s="89"/>
    </row>
    <row r="89" ht="15.75" customHeight="1">
      <c r="A89" s="67" t="str">
        <f t="shared" si="120"/>
        <v>Short Concealed Valve (Quarter Turn)3⁄4URBONA</v>
      </c>
      <c r="B89" s="81">
        <v>3.0</v>
      </c>
      <c r="C89" s="225" t="s">
        <v>51</v>
      </c>
      <c r="D89" s="127" t="s">
        <v>741</v>
      </c>
      <c r="E89" s="112" t="s">
        <v>832</v>
      </c>
      <c r="F89" s="56">
        <v>980.0</v>
      </c>
      <c r="G89" s="76">
        <v>0.0658</v>
      </c>
      <c r="H89" s="58">
        <v>0.042</v>
      </c>
      <c r="I89" s="76">
        <f t="shared" si="121"/>
        <v>0.1078</v>
      </c>
      <c r="J89" s="84">
        <f t="shared" si="122"/>
        <v>9090.909091</v>
      </c>
      <c r="K89" s="85">
        <f t="shared" si="123"/>
        <v>16.45</v>
      </c>
      <c r="L89" s="85">
        <f t="shared" si="124"/>
        <v>62.9</v>
      </c>
      <c r="M89" s="85">
        <f t="shared" si="125"/>
        <v>12.35034657</v>
      </c>
      <c r="N89" s="139">
        <f t="shared" si="126"/>
        <v>79.35</v>
      </c>
      <c r="O89" s="88">
        <v>44.0</v>
      </c>
      <c r="P89" s="88">
        <f t="shared" si="127"/>
        <v>13.61058601</v>
      </c>
      <c r="Q89" s="140">
        <v>1080.0</v>
      </c>
      <c r="R89" s="141">
        <f t="shared" si="128"/>
        <v>0.1020408163</v>
      </c>
      <c r="S89" s="188">
        <v>44.03</v>
      </c>
      <c r="T89" s="88">
        <f t="shared" si="129"/>
        <v>14.61877757</v>
      </c>
      <c r="U89" s="223">
        <v>1160.0</v>
      </c>
      <c r="V89" s="141">
        <f t="shared" si="130"/>
        <v>0.07407407407</v>
      </c>
      <c r="W89" s="143">
        <f t="shared" si="131"/>
        <v>0.04193333333</v>
      </c>
      <c r="X89" s="89"/>
      <c r="Y89" s="89"/>
      <c r="Z89" s="89"/>
    </row>
    <row r="90" ht="15.75" customHeight="1">
      <c r="A90" s="67" t="str">
        <f t="shared" si="120"/>
        <v>Short Concealed Valve (Quarter Turn)3⁄4MACASA</v>
      </c>
      <c r="B90" s="81">
        <v>4.0</v>
      </c>
      <c r="C90" s="225" t="s">
        <v>51</v>
      </c>
      <c r="D90" s="127" t="s">
        <v>748</v>
      </c>
      <c r="E90" s="112" t="s">
        <v>833</v>
      </c>
      <c r="F90" s="56">
        <v>980.0</v>
      </c>
      <c r="G90" s="76">
        <v>0.0658</v>
      </c>
      <c r="H90" s="58">
        <v>0.042</v>
      </c>
      <c r="I90" s="76">
        <f t="shared" si="121"/>
        <v>0.1078</v>
      </c>
      <c r="J90" s="84">
        <f t="shared" si="122"/>
        <v>9090.909091</v>
      </c>
      <c r="K90" s="85">
        <f t="shared" si="123"/>
        <v>16.45</v>
      </c>
      <c r="L90" s="85">
        <f t="shared" si="124"/>
        <v>62.9</v>
      </c>
      <c r="M90" s="85">
        <f t="shared" si="125"/>
        <v>12.35034657</v>
      </c>
      <c r="N90" s="139">
        <f t="shared" si="126"/>
        <v>79.35</v>
      </c>
      <c r="O90" s="88">
        <v>44.0</v>
      </c>
      <c r="P90" s="88">
        <f t="shared" si="127"/>
        <v>13.61058601</v>
      </c>
      <c r="Q90" s="140">
        <v>1080.0</v>
      </c>
      <c r="R90" s="141">
        <f t="shared" si="128"/>
        <v>0.1020408163</v>
      </c>
      <c r="S90" s="188">
        <v>44.03</v>
      </c>
      <c r="T90" s="88">
        <f t="shared" si="129"/>
        <v>14.61877757</v>
      </c>
      <c r="U90" s="223">
        <v>1160.0</v>
      </c>
      <c r="V90" s="141">
        <f t="shared" si="130"/>
        <v>0.07407407407</v>
      </c>
      <c r="W90" s="143">
        <f t="shared" si="131"/>
        <v>0.04193333333</v>
      </c>
      <c r="X90" s="89"/>
      <c r="Y90" s="89"/>
      <c r="Z90" s="89"/>
    </row>
    <row r="91" ht="15.75" customHeight="1">
      <c r="A91" s="67" t="str">
        <f t="shared" si="120"/>
        <v>Short Concealed Valve (Quarter Turn)3⁄4GRACIA</v>
      </c>
      <c r="B91" s="81">
        <v>5.0</v>
      </c>
      <c r="C91" s="225" t="s">
        <v>51</v>
      </c>
      <c r="D91" s="127" t="s">
        <v>754</v>
      </c>
      <c r="E91" s="112" t="s">
        <v>838</v>
      </c>
      <c r="F91" s="56">
        <v>980.0</v>
      </c>
      <c r="G91" s="76">
        <v>0.0658</v>
      </c>
      <c r="H91" s="58">
        <v>0.042</v>
      </c>
      <c r="I91" s="76">
        <f t="shared" si="121"/>
        <v>0.1078</v>
      </c>
      <c r="J91" s="84">
        <f t="shared" si="122"/>
        <v>9090.909091</v>
      </c>
      <c r="K91" s="85">
        <f t="shared" si="123"/>
        <v>16.45</v>
      </c>
      <c r="L91" s="85">
        <f t="shared" si="124"/>
        <v>62.9</v>
      </c>
      <c r="M91" s="85">
        <f t="shared" si="125"/>
        <v>12.35034657</v>
      </c>
      <c r="N91" s="139">
        <f t="shared" si="126"/>
        <v>79.35</v>
      </c>
      <c r="O91" s="88">
        <v>44.0</v>
      </c>
      <c r="P91" s="88">
        <f t="shared" si="127"/>
        <v>13.61058601</v>
      </c>
      <c r="Q91" s="140">
        <v>1080.0</v>
      </c>
      <c r="R91" s="141">
        <f t="shared" si="128"/>
        <v>0.1020408163</v>
      </c>
      <c r="S91" s="188">
        <v>44.03</v>
      </c>
      <c r="T91" s="88">
        <f t="shared" si="129"/>
        <v>14.61877757</v>
      </c>
      <c r="U91" s="223">
        <v>1160.0</v>
      </c>
      <c r="V91" s="141">
        <f t="shared" si="130"/>
        <v>0.07407407407</v>
      </c>
      <c r="W91" s="143">
        <f t="shared" si="131"/>
        <v>0.04193333333</v>
      </c>
      <c r="X91" s="89"/>
      <c r="Y91" s="89"/>
      <c r="Z91" s="89"/>
    </row>
    <row r="92" ht="15.75" customHeight="1">
      <c r="A92" s="67" t="str">
        <f t="shared" si="120"/>
        <v>Short Concealed Valve (Quarter Turn)3⁄4TRIANGULER</v>
      </c>
      <c r="B92" s="81">
        <v>6.0</v>
      </c>
      <c r="C92" s="225" t="s">
        <v>51</v>
      </c>
      <c r="D92" s="127" t="s">
        <v>760</v>
      </c>
      <c r="E92" s="112" t="s">
        <v>842</v>
      </c>
      <c r="F92" s="56">
        <v>980.0</v>
      </c>
      <c r="G92" s="76">
        <v>0.0658</v>
      </c>
      <c r="H92" s="58">
        <v>0.042</v>
      </c>
      <c r="I92" s="76">
        <f t="shared" si="121"/>
        <v>0.1078</v>
      </c>
      <c r="J92" s="84">
        <f t="shared" si="122"/>
        <v>9090.909091</v>
      </c>
      <c r="K92" s="85">
        <f t="shared" si="123"/>
        <v>16.45</v>
      </c>
      <c r="L92" s="85">
        <f t="shared" si="124"/>
        <v>62.9</v>
      </c>
      <c r="M92" s="85">
        <f t="shared" si="125"/>
        <v>12.35034657</v>
      </c>
      <c r="N92" s="139">
        <f t="shared" si="126"/>
        <v>79.35</v>
      </c>
      <c r="O92" s="88">
        <v>44.0</v>
      </c>
      <c r="P92" s="88">
        <f t="shared" si="127"/>
        <v>13.61058601</v>
      </c>
      <c r="Q92" s="140">
        <v>1080.0</v>
      </c>
      <c r="R92" s="141">
        <f t="shared" si="128"/>
        <v>0.1020408163</v>
      </c>
      <c r="S92" s="188">
        <v>44.03</v>
      </c>
      <c r="T92" s="88">
        <f t="shared" si="129"/>
        <v>14.61877757</v>
      </c>
      <c r="U92" s="223">
        <v>1160.0</v>
      </c>
      <c r="V92" s="141">
        <f t="shared" si="130"/>
        <v>0.07407407407</v>
      </c>
      <c r="W92" s="143">
        <f t="shared" si="131"/>
        <v>0.04193333333</v>
      </c>
      <c r="X92" s="89"/>
      <c r="Y92" s="89"/>
      <c r="Z92" s="89"/>
    </row>
    <row r="93">
      <c r="A93" s="100"/>
      <c r="B93" s="102" t="s">
        <v>11</v>
      </c>
      <c r="C93" s="45"/>
      <c r="D93" s="45"/>
      <c r="E93" s="46"/>
      <c r="F93" s="103">
        <f>SUM(F87:F92)</f>
        <v>5880</v>
      </c>
      <c r="G93" s="104"/>
      <c r="H93" s="76" t="str">
        <f>IFERROR(__xludf.DUMMYFUNCTION("IFERROR(VLOOKUP(E93,IMPORTRANGE(""https://docs.google.com/spreadsheets/d/1xZyKy-UzMmtPDLpV5jQdYum1LtbR8XKDuasLSjmBRMI/edit#gid=1241094406"",""COMBINED DATA!E3:L""),8,0))"),"")</f>
        <v/>
      </c>
      <c r="I93" s="76"/>
      <c r="J93" s="116"/>
      <c r="K93" s="85"/>
      <c r="L93" s="85"/>
      <c r="M93" s="85" t="str">
        <f>IFERROR(F93/#REF!,"")</f>
        <v/>
      </c>
      <c r="N93" s="89"/>
      <c r="O93" s="138"/>
      <c r="P93" s="89"/>
      <c r="Q93" s="103">
        <f>SUM(Q87:Q92)</f>
        <v>6480</v>
      </c>
      <c r="R93" s="89"/>
      <c r="S93" s="88"/>
      <c r="T93" s="89"/>
      <c r="U93" s="103">
        <f>SUM(U87:U92)</f>
        <v>6960</v>
      </c>
      <c r="V93" s="89"/>
      <c r="W93" s="89"/>
      <c r="X93" s="89"/>
      <c r="Y93" s="89"/>
      <c r="Z93" s="89"/>
    </row>
    <row r="94">
      <c r="A94" s="34"/>
      <c r="B94" s="15"/>
      <c r="C94" s="15"/>
      <c r="D94" s="15"/>
      <c r="E94" s="17"/>
      <c r="F94" s="15"/>
      <c r="G94" s="64"/>
      <c r="H94" s="76" t="str">
        <f>IFERROR(__xludf.DUMMYFUNCTION("IFERROR(VLOOKUP(E94,IMPORTRANGE(""https://docs.google.com/spreadsheets/d/1xZyKy-UzMmtPDLpV5jQdYum1LtbR8XKDuasLSjmBRMI/edit#gid=1241094406"",""COMBINED DATA!E3:L""),8,0))"),"")</f>
        <v/>
      </c>
      <c r="I94" s="76"/>
      <c r="J94" s="65"/>
      <c r="K94" s="85"/>
      <c r="L94" s="85"/>
      <c r="M94" s="85" t="str">
        <f t="shared" ref="M94:M109" si="132">IFERROR(#REF!/#REF!,"")</f>
        <v/>
      </c>
      <c r="N94" s="89"/>
      <c r="O94" s="138"/>
      <c r="P94" s="89"/>
      <c r="Q94" s="89"/>
      <c r="R94" s="89"/>
      <c r="S94" s="88"/>
      <c r="T94" s="89"/>
      <c r="U94" s="138"/>
      <c r="V94" s="89"/>
      <c r="W94" s="89"/>
      <c r="X94" s="89"/>
      <c r="Y94" s="89"/>
      <c r="Z94" s="89"/>
    </row>
    <row r="95">
      <c r="A95" s="34"/>
      <c r="B95" s="237" t="s">
        <v>777</v>
      </c>
      <c r="C95" s="45"/>
      <c r="D95" s="45"/>
      <c r="E95" s="45"/>
      <c r="F95" s="46"/>
      <c r="G95" s="64"/>
      <c r="H95" s="76" t="str">
        <f>IFERROR(__xludf.DUMMYFUNCTION("IFERROR(VLOOKUP(E95,IMPORTRANGE(""https://docs.google.com/spreadsheets/d/1xZyKy-UzMmtPDLpV5jQdYum1LtbR8XKDuasLSjmBRMI/edit#gid=1241094406"",""COMBINED DATA!E3:L""),8,0))"),"")</f>
        <v/>
      </c>
      <c r="I95" s="76"/>
      <c r="J95" s="65"/>
      <c r="K95" s="85"/>
      <c r="L95" s="85"/>
      <c r="M95" s="85" t="str">
        <f t="shared" si="132"/>
        <v/>
      </c>
      <c r="N95" s="89"/>
      <c r="O95" s="138"/>
      <c r="P95" s="89"/>
      <c r="Q95" s="89"/>
      <c r="R95" s="89"/>
      <c r="S95" s="88"/>
      <c r="T95" s="89"/>
      <c r="U95" s="138"/>
      <c r="V95" s="89"/>
      <c r="W95" s="89"/>
      <c r="X95" s="89"/>
      <c r="Y95" s="89"/>
      <c r="Z95" s="89"/>
    </row>
    <row r="96">
      <c r="A96" s="34"/>
      <c r="B96" s="51">
        <v>1.0</v>
      </c>
      <c r="C96" s="213" t="s">
        <v>84</v>
      </c>
      <c r="D96" s="70" t="s">
        <v>716</v>
      </c>
      <c r="E96" s="94" t="s">
        <v>859</v>
      </c>
      <c r="F96" s="56">
        <v>1299.0</v>
      </c>
      <c r="G96" s="64"/>
      <c r="H96" s="76" t="str">
        <f>IFERROR(__xludf.DUMMYFUNCTION("IFERROR(VLOOKUP(E96,IMPORTRANGE(""https://docs.google.com/spreadsheets/d/1xZyKy-UzMmtPDLpV5jQdYum1LtbR8XKDuasLSjmBRMI/edit#gid=1241094406"",""COMBINED DATA!E3:L""),8,0))"),"")</f>
        <v/>
      </c>
      <c r="I96" s="238" t="s">
        <v>722</v>
      </c>
      <c r="J96" s="65"/>
      <c r="K96" s="85"/>
      <c r="L96" s="85"/>
      <c r="M96" s="85" t="str">
        <f t="shared" si="132"/>
        <v/>
      </c>
      <c r="N96" s="89"/>
      <c r="O96" s="88">
        <v>44.0</v>
      </c>
      <c r="P96" s="88" t="str">
        <f t="shared" ref="P96:P101" si="133">IFERROR(Q96/N96,"")</f>
        <v/>
      </c>
      <c r="Q96" s="140">
        <v>1299.0</v>
      </c>
      <c r="R96" s="141">
        <f t="shared" ref="R96:R101" si="134">IFERROR(Q96-F96,"")/F96</f>
        <v>0</v>
      </c>
      <c r="S96" s="188">
        <v>67.02</v>
      </c>
      <c r="T96" s="88" t="str">
        <f t="shared" ref="T96:T101" si="135">IFERROR(U96/N96,"")</f>
        <v/>
      </c>
      <c r="U96" s="223">
        <v>1390.0</v>
      </c>
      <c r="V96" s="141">
        <f t="shared" ref="V96:V101" si="136">IFERROR(U96-Q96,"")/Q96</f>
        <v>0.07005388761</v>
      </c>
      <c r="W96" s="89"/>
      <c r="X96" s="89"/>
      <c r="Y96" s="89"/>
      <c r="Z96" s="89"/>
    </row>
    <row r="97">
      <c r="A97" s="34"/>
      <c r="B97" s="51">
        <v>2.0</v>
      </c>
      <c r="C97" s="213" t="s">
        <v>84</v>
      </c>
      <c r="D97" s="92" t="s">
        <v>729</v>
      </c>
      <c r="E97" s="94" t="s">
        <v>866</v>
      </c>
      <c r="F97" s="56">
        <v>1299.0</v>
      </c>
      <c r="G97" s="64"/>
      <c r="H97" s="76" t="str">
        <f>IFERROR(__xludf.DUMMYFUNCTION("IFERROR(VLOOKUP(E97,IMPORTRANGE(""https://docs.google.com/spreadsheets/d/1xZyKy-UzMmtPDLpV5jQdYum1LtbR8XKDuasLSjmBRMI/edit#gid=1241094406"",""COMBINED DATA!E3:L""),8,0))"),"")</f>
        <v/>
      </c>
      <c r="I97" s="238" t="s">
        <v>722</v>
      </c>
      <c r="J97" s="65"/>
      <c r="K97" s="85"/>
      <c r="L97" s="85"/>
      <c r="M97" s="85" t="str">
        <f t="shared" si="132"/>
        <v/>
      </c>
      <c r="N97" s="89"/>
      <c r="O97" s="88">
        <v>44.0</v>
      </c>
      <c r="P97" s="88" t="str">
        <f t="shared" si="133"/>
        <v/>
      </c>
      <c r="Q97" s="140">
        <v>1299.0</v>
      </c>
      <c r="R97" s="141">
        <f t="shared" si="134"/>
        <v>0</v>
      </c>
      <c r="S97" s="188">
        <v>67.02</v>
      </c>
      <c r="T97" s="88" t="str">
        <f t="shared" si="135"/>
        <v/>
      </c>
      <c r="U97" s="223">
        <v>1390.0</v>
      </c>
      <c r="V97" s="141">
        <f t="shared" si="136"/>
        <v>0.07005388761</v>
      </c>
      <c r="W97" s="89"/>
      <c r="X97" s="89"/>
      <c r="Y97" s="89"/>
      <c r="Z97" s="89"/>
    </row>
    <row r="98">
      <c r="A98" s="34"/>
      <c r="B98" s="51">
        <v>3.0</v>
      </c>
      <c r="C98" s="213" t="s">
        <v>84</v>
      </c>
      <c r="D98" s="92" t="s">
        <v>741</v>
      </c>
      <c r="E98" s="94" t="s">
        <v>872</v>
      </c>
      <c r="F98" s="56">
        <v>1377.0</v>
      </c>
      <c r="G98" s="64"/>
      <c r="H98" s="76" t="str">
        <f>IFERROR(__xludf.DUMMYFUNCTION("IFERROR(VLOOKUP(E98,IMPORTRANGE(""https://docs.google.com/spreadsheets/d/1xZyKy-UzMmtPDLpV5jQdYum1LtbR8XKDuasLSjmBRMI/edit#gid=1241094406"",""COMBINED DATA!E3:L""),8,0))"),"")</f>
        <v/>
      </c>
      <c r="I98" s="238" t="s">
        <v>722</v>
      </c>
      <c r="J98" s="65"/>
      <c r="K98" s="85"/>
      <c r="L98" s="85"/>
      <c r="M98" s="85" t="str">
        <f t="shared" si="132"/>
        <v/>
      </c>
      <c r="N98" s="89"/>
      <c r="O98" s="88">
        <v>44.0</v>
      </c>
      <c r="P98" s="88" t="str">
        <f t="shared" si="133"/>
        <v/>
      </c>
      <c r="Q98" s="140">
        <v>1377.0</v>
      </c>
      <c r="R98" s="141">
        <f t="shared" si="134"/>
        <v>0</v>
      </c>
      <c r="S98" s="188">
        <v>67.02</v>
      </c>
      <c r="T98" s="88" t="str">
        <f t="shared" si="135"/>
        <v/>
      </c>
      <c r="U98" s="223">
        <v>1480.0</v>
      </c>
      <c r="V98" s="141">
        <f t="shared" si="136"/>
        <v>0.07480029049</v>
      </c>
      <c r="W98" s="89"/>
      <c r="X98" s="89"/>
      <c r="Y98" s="89"/>
      <c r="Z98" s="89"/>
    </row>
    <row r="99">
      <c r="A99" s="34"/>
      <c r="B99" s="51">
        <v>4.0</v>
      </c>
      <c r="C99" s="213" t="s">
        <v>84</v>
      </c>
      <c r="D99" s="92" t="s">
        <v>748</v>
      </c>
      <c r="E99" s="94" t="s">
        <v>876</v>
      </c>
      <c r="F99" s="56">
        <v>1377.0</v>
      </c>
      <c r="G99" s="64"/>
      <c r="H99" s="76" t="str">
        <f>IFERROR(__xludf.DUMMYFUNCTION("IFERROR(VLOOKUP(E99,IMPORTRANGE(""https://docs.google.com/spreadsheets/d/1xZyKy-UzMmtPDLpV5jQdYum1LtbR8XKDuasLSjmBRMI/edit#gid=1241094406"",""COMBINED DATA!E3:L""),8,0))"),"")</f>
        <v/>
      </c>
      <c r="I99" s="238" t="s">
        <v>722</v>
      </c>
      <c r="J99" s="65"/>
      <c r="K99" s="85"/>
      <c r="L99" s="85"/>
      <c r="M99" s="85" t="str">
        <f t="shared" si="132"/>
        <v/>
      </c>
      <c r="N99" s="89"/>
      <c r="O99" s="88">
        <v>44.0</v>
      </c>
      <c r="P99" s="88" t="str">
        <f t="shared" si="133"/>
        <v/>
      </c>
      <c r="Q99" s="140">
        <v>1377.0</v>
      </c>
      <c r="R99" s="141">
        <f t="shared" si="134"/>
        <v>0</v>
      </c>
      <c r="S99" s="188">
        <v>67.02</v>
      </c>
      <c r="T99" s="88" t="str">
        <f t="shared" si="135"/>
        <v/>
      </c>
      <c r="U99" s="223">
        <v>1480.0</v>
      </c>
      <c r="V99" s="141">
        <f t="shared" si="136"/>
        <v>0.07480029049</v>
      </c>
      <c r="W99" s="89"/>
      <c r="X99" s="89"/>
      <c r="Y99" s="89"/>
      <c r="Z99" s="89"/>
    </row>
    <row r="100">
      <c r="A100" s="34"/>
      <c r="B100" s="51">
        <v>5.0</v>
      </c>
      <c r="C100" s="213" t="s">
        <v>84</v>
      </c>
      <c r="D100" s="92" t="s">
        <v>754</v>
      </c>
      <c r="E100" s="94" t="s">
        <v>877</v>
      </c>
      <c r="F100" s="56">
        <v>1407.0</v>
      </c>
      <c r="G100" s="64"/>
      <c r="H100" s="76" t="str">
        <f>IFERROR(__xludf.DUMMYFUNCTION("IFERROR(VLOOKUP(E100,IMPORTRANGE(""https://docs.google.com/spreadsheets/d/1xZyKy-UzMmtPDLpV5jQdYum1LtbR8XKDuasLSjmBRMI/edit#gid=1241094406"",""COMBINED DATA!E3:L""),8,0))"),"")</f>
        <v/>
      </c>
      <c r="I100" s="238" t="s">
        <v>722</v>
      </c>
      <c r="J100" s="65"/>
      <c r="K100" s="85"/>
      <c r="L100" s="85"/>
      <c r="M100" s="85" t="str">
        <f t="shared" si="132"/>
        <v/>
      </c>
      <c r="N100" s="89"/>
      <c r="O100" s="88">
        <v>44.0</v>
      </c>
      <c r="P100" s="88" t="str">
        <f t="shared" si="133"/>
        <v/>
      </c>
      <c r="Q100" s="140">
        <v>1407.0</v>
      </c>
      <c r="R100" s="141">
        <f t="shared" si="134"/>
        <v>0</v>
      </c>
      <c r="S100" s="188">
        <v>67.02</v>
      </c>
      <c r="T100" s="88" t="str">
        <f t="shared" si="135"/>
        <v/>
      </c>
      <c r="U100" s="223">
        <v>1480.0</v>
      </c>
      <c r="V100" s="141">
        <f t="shared" si="136"/>
        <v>0.05188343994</v>
      </c>
      <c r="W100" s="89"/>
      <c r="X100" s="89"/>
      <c r="Y100" s="89"/>
      <c r="Z100" s="89"/>
    </row>
    <row r="101">
      <c r="A101" s="34"/>
      <c r="B101" s="51">
        <v>6.0</v>
      </c>
      <c r="C101" s="213" t="s">
        <v>84</v>
      </c>
      <c r="D101" s="92" t="s">
        <v>760</v>
      </c>
      <c r="E101" s="94" t="s">
        <v>882</v>
      </c>
      <c r="F101" s="56">
        <v>1299.0</v>
      </c>
      <c r="G101" s="64"/>
      <c r="H101" s="76" t="str">
        <f>IFERROR(__xludf.DUMMYFUNCTION("IFERROR(VLOOKUP(E101,IMPORTRANGE(""https://docs.google.com/spreadsheets/d/1xZyKy-UzMmtPDLpV5jQdYum1LtbR8XKDuasLSjmBRMI/edit#gid=1241094406"",""COMBINED DATA!E3:L""),8,0))"),"")</f>
        <v/>
      </c>
      <c r="I101" s="238" t="s">
        <v>722</v>
      </c>
      <c r="J101" s="65"/>
      <c r="K101" s="85"/>
      <c r="L101" s="85"/>
      <c r="M101" s="85" t="str">
        <f t="shared" si="132"/>
        <v/>
      </c>
      <c r="N101" s="89"/>
      <c r="O101" s="88">
        <v>44.0</v>
      </c>
      <c r="P101" s="88" t="str">
        <f t="shared" si="133"/>
        <v/>
      </c>
      <c r="Q101" s="140">
        <v>1299.0</v>
      </c>
      <c r="R101" s="141">
        <f t="shared" si="134"/>
        <v>0</v>
      </c>
      <c r="S101" s="188">
        <v>67.02</v>
      </c>
      <c r="T101" s="88" t="str">
        <f t="shared" si="135"/>
        <v/>
      </c>
      <c r="U101" s="223">
        <v>1390.0</v>
      </c>
      <c r="V101" s="141">
        <f t="shared" si="136"/>
        <v>0.07005388761</v>
      </c>
      <c r="W101" s="89"/>
      <c r="X101" s="89"/>
      <c r="Y101" s="89"/>
      <c r="Z101" s="89"/>
    </row>
    <row r="102">
      <c r="A102" s="34"/>
      <c r="B102" s="237" t="s">
        <v>11</v>
      </c>
      <c r="C102" s="45"/>
      <c r="D102" s="45"/>
      <c r="E102" s="46"/>
      <c r="F102" s="239">
        <f>SUM(F96:F101)</f>
        <v>8058</v>
      </c>
      <c r="G102" s="64"/>
      <c r="H102" s="76" t="str">
        <f>IFERROR(__xludf.DUMMYFUNCTION("IFERROR(VLOOKUP(E102,IMPORTRANGE(""https://docs.google.com/spreadsheets/d/1xZyKy-UzMmtPDLpV5jQdYum1LtbR8XKDuasLSjmBRMI/edit#gid=1241094406"",""COMBINED DATA!E3:L""),8,0))"),"")</f>
        <v/>
      </c>
      <c r="I102" s="76"/>
      <c r="J102" s="65"/>
      <c r="K102" s="85"/>
      <c r="L102" s="85"/>
      <c r="M102" s="85" t="str">
        <f t="shared" si="132"/>
        <v/>
      </c>
      <c r="N102" s="89"/>
      <c r="O102" s="138"/>
      <c r="P102" s="89"/>
      <c r="Q102" s="240">
        <f>SUM(Q96:Q101)</f>
        <v>8058</v>
      </c>
      <c r="R102" s="89"/>
      <c r="S102" s="88"/>
      <c r="T102" s="89"/>
      <c r="U102" s="240">
        <f>SUM(U96:U101)</f>
        <v>8610</v>
      </c>
      <c r="V102" s="89"/>
      <c r="W102" s="89"/>
      <c r="X102" s="89"/>
      <c r="Y102" s="89"/>
      <c r="Z102" s="89"/>
    </row>
    <row r="103">
      <c r="A103" s="34"/>
      <c r="B103" s="15"/>
      <c r="C103" s="15"/>
      <c r="D103" s="15"/>
      <c r="E103" s="17"/>
      <c r="F103" s="15"/>
      <c r="G103" s="64"/>
      <c r="H103" s="76" t="str">
        <f>IFERROR(__xludf.DUMMYFUNCTION("IFERROR(VLOOKUP(E103,IMPORTRANGE(""https://docs.google.com/spreadsheets/d/1xZyKy-UzMmtPDLpV5jQdYum1LtbR8XKDuasLSjmBRMI/edit#gid=1241094406"",""COMBINED DATA!E3:L""),8,0))"),"")</f>
        <v/>
      </c>
      <c r="I103" s="76"/>
      <c r="J103" s="65"/>
      <c r="K103" s="85"/>
      <c r="L103" s="85"/>
      <c r="M103" s="85" t="str">
        <f t="shared" si="132"/>
        <v/>
      </c>
      <c r="N103" s="89"/>
      <c r="O103" s="138"/>
      <c r="P103" s="89"/>
      <c r="Q103" s="89"/>
      <c r="R103" s="89"/>
      <c r="S103" s="88"/>
      <c r="T103" s="89"/>
      <c r="U103" s="138"/>
      <c r="V103" s="89"/>
      <c r="W103" s="89"/>
      <c r="X103" s="89"/>
      <c r="Y103" s="89"/>
      <c r="Z103" s="89"/>
    </row>
    <row r="104" ht="18.75" customHeight="1">
      <c r="A104" s="34"/>
      <c r="B104" s="237" t="s">
        <v>894</v>
      </c>
      <c r="C104" s="45"/>
      <c r="D104" s="45"/>
      <c r="E104" s="45"/>
      <c r="F104" s="46"/>
      <c r="G104" s="64"/>
      <c r="H104" s="76" t="str">
        <f>IFERROR(__xludf.DUMMYFUNCTION("IFERROR(VLOOKUP(E104,IMPORTRANGE(""https://docs.google.com/spreadsheets/d/1xZyKy-UzMmtPDLpV5jQdYum1LtbR8XKDuasLSjmBRMI/edit#gid=1241094406"",""COMBINED DATA!E3:L""),8,0))"),"")</f>
        <v/>
      </c>
      <c r="I104" s="76"/>
      <c r="J104" s="65"/>
      <c r="K104" s="85"/>
      <c r="L104" s="85"/>
      <c r="M104" s="85" t="str">
        <f t="shared" si="132"/>
        <v/>
      </c>
      <c r="N104" s="89"/>
      <c r="O104" s="138"/>
      <c r="P104" s="89"/>
      <c r="Q104" s="205"/>
      <c r="R104" s="89"/>
      <c r="S104" s="88"/>
      <c r="T104" s="89"/>
      <c r="U104" s="138"/>
      <c r="V104" s="89"/>
      <c r="W104" s="89"/>
      <c r="X104" s="89"/>
      <c r="Y104" s="89"/>
      <c r="Z104" s="89"/>
    </row>
    <row r="105">
      <c r="A105" s="34"/>
      <c r="B105" s="51">
        <v>1.0</v>
      </c>
      <c r="C105" s="213" t="s">
        <v>84</v>
      </c>
      <c r="D105" s="70" t="s">
        <v>716</v>
      </c>
      <c r="E105" s="94" t="s">
        <v>869</v>
      </c>
      <c r="F105" s="56">
        <v>1280.0</v>
      </c>
      <c r="G105" s="64"/>
      <c r="H105" s="76" t="str">
        <f>IFERROR(__xludf.DUMMYFUNCTION("IFERROR(VLOOKUP(E105,IMPORTRANGE(""https://docs.google.com/spreadsheets/d/1xZyKy-UzMmtPDLpV5jQdYum1LtbR8XKDuasLSjmBRMI/edit#gid=1241094406"",""COMBINED DATA!E3:L""),8,0))"),"")</f>
        <v/>
      </c>
      <c r="I105" s="238" t="s">
        <v>722</v>
      </c>
      <c r="J105" s="65"/>
      <c r="K105" s="85"/>
      <c r="L105" s="85"/>
      <c r="M105" s="85" t="str">
        <f t="shared" si="132"/>
        <v/>
      </c>
      <c r="N105" s="89"/>
      <c r="O105" s="88">
        <v>44.0</v>
      </c>
      <c r="P105" s="88" t="str">
        <f t="shared" ref="P105:P110" si="137">IFERROR(Q105/N105,"")</f>
        <v/>
      </c>
      <c r="Q105" s="140">
        <v>1280.0</v>
      </c>
      <c r="R105" s="141">
        <f t="shared" ref="R105:R110" si="138">IFERROR(Q105-F105,"")/F105</f>
        <v>0</v>
      </c>
      <c r="S105" s="188">
        <v>67.02</v>
      </c>
      <c r="T105" s="88" t="str">
        <f t="shared" ref="T105:T110" si="139">IFERROR(U105/N105,"")</f>
        <v/>
      </c>
      <c r="U105" s="223">
        <v>1380.0</v>
      </c>
      <c r="V105" s="141">
        <f t="shared" ref="V105:V110" si="140">IFERROR(U105-Q105,"")/Q105</f>
        <v>0.078125</v>
      </c>
      <c r="W105" s="89"/>
      <c r="X105" s="89"/>
      <c r="Y105" s="89"/>
      <c r="Z105" s="89"/>
    </row>
    <row r="106">
      <c r="A106" s="34"/>
      <c r="B106" s="51">
        <v>2.0</v>
      </c>
      <c r="C106" s="213" t="s">
        <v>84</v>
      </c>
      <c r="D106" s="92" t="s">
        <v>729</v>
      </c>
      <c r="E106" s="94" t="s">
        <v>864</v>
      </c>
      <c r="F106" s="56">
        <v>1280.0</v>
      </c>
      <c r="G106" s="64"/>
      <c r="H106" s="76" t="str">
        <f>IFERROR(__xludf.DUMMYFUNCTION("IFERROR(VLOOKUP(E106,IMPORTRANGE(""https://docs.google.com/spreadsheets/d/1xZyKy-UzMmtPDLpV5jQdYum1LtbR8XKDuasLSjmBRMI/edit#gid=1241094406"",""COMBINED DATA!E3:L""),8,0))"),"")</f>
        <v/>
      </c>
      <c r="I106" s="238" t="s">
        <v>722</v>
      </c>
      <c r="J106" s="65"/>
      <c r="K106" s="85"/>
      <c r="L106" s="85"/>
      <c r="M106" s="85" t="str">
        <f t="shared" si="132"/>
        <v/>
      </c>
      <c r="N106" s="89"/>
      <c r="O106" s="88">
        <v>44.0</v>
      </c>
      <c r="P106" s="88" t="str">
        <f t="shared" si="137"/>
        <v/>
      </c>
      <c r="Q106" s="140">
        <v>1280.0</v>
      </c>
      <c r="R106" s="141">
        <f t="shared" si="138"/>
        <v>0</v>
      </c>
      <c r="S106" s="188">
        <v>67.02</v>
      </c>
      <c r="T106" s="88" t="str">
        <f t="shared" si="139"/>
        <v/>
      </c>
      <c r="U106" s="223">
        <v>1380.0</v>
      </c>
      <c r="V106" s="141">
        <f t="shared" si="140"/>
        <v>0.078125</v>
      </c>
      <c r="W106" s="89"/>
      <c r="X106" s="89"/>
      <c r="Y106" s="89"/>
      <c r="Z106" s="89"/>
    </row>
    <row r="107">
      <c r="A107" s="34"/>
      <c r="B107" s="51">
        <v>3.0</v>
      </c>
      <c r="C107" s="213" t="s">
        <v>84</v>
      </c>
      <c r="D107" s="92" t="s">
        <v>741</v>
      </c>
      <c r="E107" s="94" t="s">
        <v>860</v>
      </c>
      <c r="F107" s="56">
        <v>1358.0</v>
      </c>
      <c r="G107" s="64"/>
      <c r="H107" s="76" t="str">
        <f>IFERROR(__xludf.DUMMYFUNCTION("IFERROR(VLOOKUP(E107,IMPORTRANGE(""https://docs.google.com/spreadsheets/d/1xZyKy-UzMmtPDLpV5jQdYum1LtbR8XKDuasLSjmBRMI/edit#gid=1241094406"",""COMBINED DATA!E3:L""),8,0))"),"")</f>
        <v/>
      </c>
      <c r="I107" s="238" t="s">
        <v>722</v>
      </c>
      <c r="J107" s="65"/>
      <c r="K107" s="85"/>
      <c r="L107" s="85"/>
      <c r="M107" s="85" t="str">
        <f t="shared" si="132"/>
        <v/>
      </c>
      <c r="N107" s="89"/>
      <c r="O107" s="88">
        <v>44.0</v>
      </c>
      <c r="P107" s="88" t="str">
        <f t="shared" si="137"/>
        <v/>
      </c>
      <c r="Q107" s="140">
        <v>1358.0</v>
      </c>
      <c r="R107" s="141">
        <f t="shared" si="138"/>
        <v>0</v>
      </c>
      <c r="S107" s="188">
        <v>67.02</v>
      </c>
      <c r="T107" s="88" t="str">
        <f t="shared" si="139"/>
        <v/>
      </c>
      <c r="U107" s="223">
        <v>1460.0</v>
      </c>
      <c r="V107" s="141">
        <f t="shared" si="140"/>
        <v>0.07511045655</v>
      </c>
      <c r="W107" s="89"/>
      <c r="X107" s="89"/>
      <c r="Y107" s="89"/>
      <c r="Z107" s="89"/>
    </row>
    <row r="108">
      <c r="A108" s="34"/>
      <c r="B108" s="51">
        <v>4.0</v>
      </c>
      <c r="C108" s="213" t="s">
        <v>84</v>
      </c>
      <c r="D108" s="92" t="s">
        <v>748</v>
      </c>
      <c r="E108" s="94" t="s">
        <v>855</v>
      </c>
      <c r="F108" s="56">
        <v>1358.0</v>
      </c>
      <c r="G108" s="64"/>
      <c r="H108" s="76" t="str">
        <f>IFERROR(__xludf.DUMMYFUNCTION("IFERROR(VLOOKUP(E108,IMPORTRANGE(""https://docs.google.com/spreadsheets/d/1xZyKy-UzMmtPDLpV5jQdYum1LtbR8XKDuasLSjmBRMI/edit#gid=1241094406"",""COMBINED DATA!E3:L""),8,0))"),"")</f>
        <v/>
      </c>
      <c r="I108" s="238" t="s">
        <v>722</v>
      </c>
      <c r="J108" s="65"/>
      <c r="K108" s="85"/>
      <c r="L108" s="85"/>
      <c r="M108" s="85" t="str">
        <f t="shared" si="132"/>
        <v/>
      </c>
      <c r="N108" s="89"/>
      <c r="O108" s="88">
        <v>44.0</v>
      </c>
      <c r="P108" s="88" t="str">
        <f t="shared" si="137"/>
        <v/>
      </c>
      <c r="Q108" s="140">
        <v>1358.0</v>
      </c>
      <c r="R108" s="141">
        <f t="shared" si="138"/>
        <v>0</v>
      </c>
      <c r="S108" s="188">
        <v>67.02</v>
      </c>
      <c r="T108" s="88" t="str">
        <f t="shared" si="139"/>
        <v/>
      </c>
      <c r="U108" s="223">
        <v>1460.0</v>
      </c>
      <c r="V108" s="141">
        <f t="shared" si="140"/>
        <v>0.07511045655</v>
      </c>
      <c r="W108" s="89"/>
      <c r="X108" s="89"/>
      <c r="Y108" s="89"/>
      <c r="Z108" s="89"/>
    </row>
    <row r="109">
      <c r="A109" s="34"/>
      <c r="B109" s="51">
        <v>5.0</v>
      </c>
      <c r="C109" s="213" t="s">
        <v>84</v>
      </c>
      <c r="D109" s="92" t="s">
        <v>754</v>
      </c>
      <c r="E109" s="94" t="s">
        <v>848</v>
      </c>
      <c r="F109" s="56">
        <v>1388.0</v>
      </c>
      <c r="G109" s="64"/>
      <c r="H109" s="76" t="str">
        <f>IFERROR(__xludf.DUMMYFUNCTION("IFERROR(VLOOKUP(E109,IMPORTRANGE(""https://docs.google.com/spreadsheets/d/1xZyKy-UzMmtPDLpV5jQdYum1LtbR8XKDuasLSjmBRMI/edit#gid=1241094406"",""COMBINED DATA!E3:L""),8,0))"),"")</f>
        <v/>
      </c>
      <c r="I109" s="238" t="s">
        <v>722</v>
      </c>
      <c r="J109" s="65"/>
      <c r="K109" s="85"/>
      <c r="L109" s="85"/>
      <c r="M109" s="85" t="str">
        <f t="shared" si="132"/>
        <v/>
      </c>
      <c r="N109" s="89"/>
      <c r="O109" s="88">
        <v>44.0</v>
      </c>
      <c r="P109" s="88" t="str">
        <f t="shared" si="137"/>
        <v/>
      </c>
      <c r="Q109" s="140">
        <v>1388.0</v>
      </c>
      <c r="R109" s="141">
        <f t="shared" si="138"/>
        <v>0</v>
      </c>
      <c r="S109" s="188">
        <v>67.02</v>
      </c>
      <c r="T109" s="88" t="str">
        <f t="shared" si="139"/>
        <v/>
      </c>
      <c r="U109" s="223">
        <v>1490.0</v>
      </c>
      <c r="V109" s="141">
        <f t="shared" si="140"/>
        <v>0.0734870317</v>
      </c>
      <c r="W109" s="89"/>
      <c r="X109" s="89"/>
      <c r="Y109" s="89"/>
      <c r="Z109" s="89"/>
    </row>
    <row r="110">
      <c r="A110" s="34"/>
      <c r="B110" s="51">
        <v>6.0</v>
      </c>
      <c r="C110" s="213" t="s">
        <v>84</v>
      </c>
      <c r="D110" s="92" t="s">
        <v>760</v>
      </c>
      <c r="E110" s="94" t="s">
        <v>909</v>
      </c>
      <c r="F110" s="56">
        <v>1280.0</v>
      </c>
      <c r="G110" s="64"/>
      <c r="H110" s="76"/>
      <c r="I110" s="238" t="s">
        <v>722</v>
      </c>
      <c r="J110" s="65"/>
      <c r="K110" s="85"/>
      <c r="L110" s="85"/>
      <c r="M110" s="85"/>
      <c r="N110" s="89"/>
      <c r="O110" s="88">
        <v>44.0</v>
      </c>
      <c r="P110" s="88" t="str">
        <f t="shared" si="137"/>
        <v/>
      </c>
      <c r="Q110" s="140">
        <v>1280.0</v>
      </c>
      <c r="R110" s="141">
        <f t="shared" si="138"/>
        <v>0</v>
      </c>
      <c r="S110" s="188">
        <v>67.02</v>
      </c>
      <c r="T110" s="88" t="str">
        <f t="shared" si="139"/>
        <v/>
      </c>
      <c r="U110" s="223">
        <v>1380.0</v>
      </c>
      <c r="V110" s="141">
        <f t="shared" si="140"/>
        <v>0.078125</v>
      </c>
      <c r="W110" s="89"/>
      <c r="X110" s="89"/>
      <c r="Y110" s="89"/>
      <c r="Z110" s="89"/>
    </row>
    <row r="111">
      <c r="A111" s="34"/>
      <c r="B111" s="237" t="s">
        <v>11</v>
      </c>
      <c r="C111" s="45"/>
      <c r="D111" s="45"/>
      <c r="E111" s="46"/>
      <c r="F111" s="240">
        <f>SUM(F105:F110)</f>
        <v>7944</v>
      </c>
      <c r="G111" s="64"/>
      <c r="H111" s="76"/>
      <c r="I111" s="76"/>
      <c r="J111" s="65"/>
      <c r="K111" s="85"/>
      <c r="L111" s="85"/>
      <c r="M111" s="85"/>
      <c r="N111" s="89"/>
      <c r="O111" s="138"/>
      <c r="P111" s="89"/>
      <c r="Q111" s="240">
        <f>SUM(Q105:Q110)</f>
        <v>7944</v>
      </c>
      <c r="R111" s="89"/>
      <c r="S111" s="88"/>
      <c r="T111" s="89"/>
      <c r="U111" s="240">
        <f>SUM(U105:U110)</f>
        <v>8550</v>
      </c>
      <c r="V111" s="89"/>
      <c r="W111" s="89"/>
      <c r="X111" s="89"/>
      <c r="Y111" s="89"/>
      <c r="Z111" s="89"/>
    </row>
    <row r="112">
      <c r="A112" s="34"/>
      <c r="B112" s="105"/>
      <c r="C112" s="105"/>
      <c r="D112" s="105"/>
      <c r="E112" s="105"/>
      <c r="F112" s="241"/>
      <c r="G112" s="64"/>
      <c r="H112" s="76"/>
      <c r="I112" s="76"/>
      <c r="J112" s="65"/>
      <c r="K112" s="85"/>
      <c r="L112" s="85"/>
      <c r="M112" s="85"/>
      <c r="N112" s="89"/>
      <c r="O112" s="138"/>
      <c r="P112" s="89"/>
      <c r="Q112" s="241"/>
      <c r="R112" s="89"/>
      <c r="S112" s="89"/>
      <c r="T112" s="89"/>
      <c r="U112" s="138"/>
      <c r="V112" s="89"/>
      <c r="W112" s="89"/>
      <c r="X112" s="89"/>
      <c r="Y112" s="89"/>
      <c r="Z112" s="89"/>
    </row>
  </sheetData>
  <mergeCells count="41">
    <mergeCell ref="V2:V3"/>
    <mergeCell ref="W2:W3"/>
    <mergeCell ref="I2:I3"/>
    <mergeCell ref="J2:J3"/>
    <mergeCell ref="O2:O3"/>
    <mergeCell ref="Q2:Q3"/>
    <mergeCell ref="R2:R3"/>
    <mergeCell ref="S2:S3"/>
    <mergeCell ref="U2:U3"/>
    <mergeCell ref="B2:B3"/>
    <mergeCell ref="C2:C3"/>
    <mergeCell ref="D2:D3"/>
    <mergeCell ref="E2:E3"/>
    <mergeCell ref="F2:F3"/>
    <mergeCell ref="G2:G3"/>
    <mergeCell ref="H2:H3"/>
    <mergeCell ref="B4:F4"/>
    <mergeCell ref="B13:E13"/>
    <mergeCell ref="B15:F15"/>
    <mergeCell ref="B21:E21"/>
    <mergeCell ref="B23:F23"/>
    <mergeCell ref="B31:E31"/>
    <mergeCell ref="B33:F33"/>
    <mergeCell ref="B41:E41"/>
    <mergeCell ref="B43:F43"/>
    <mergeCell ref="B47:E47"/>
    <mergeCell ref="B49:F49"/>
    <mergeCell ref="B55:E55"/>
    <mergeCell ref="B57:F57"/>
    <mergeCell ref="B63:E63"/>
    <mergeCell ref="B95:F95"/>
    <mergeCell ref="B102:E102"/>
    <mergeCell ref="B104:F104"/>
    <mergeCell ref="B111:E111"/>
    <mergeCell ref="B65:F65"/>
    <mergeCell ref="B68:F68"/>
    <mergeCell ref="B75:E75"/>
    <mergeCell ref="B77:F77"/>
    <mergeCell ref="B84:E84"/>
    <mergeCell ref="B86:F86"/>
    <mergeCell ref="B93:E93"/>
  </mergeCells>
  <printOptions horizontalCentered="1"/>
  <pageMargins bottom="0.75" footer="0.0" header="0.0" left="0.7" right="0.7" top="0.75"/>
  <pageSetup fitToHeight="0" paperSize="9" cellComments="atEnd"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5" max="5" width="15.13"/>
  </cols>
  <sheetData>
    <row r="1">
      <c r="A1" s="154"/>
      <c r="B1" s="155"/>
      <c r="C1" s="155"/>
      <c r="D1" s="156" t="s">
        <v>465</v>
      </c>
      <c r="E1" s="154"/>
    </row>
    <row r="2">
      <c r="A2" s="154"/>
      <c r="B2" s="155"/>
      <c r="C2" s="155"/>
      <c r="D2" s="156">
        <v>875.0</v>
      </c>
      <c r="E2" s="157" t="s">
        <v>288</v>
      </c>
    </row>
    <row r="3">
      <c r="A3" s="154"/>
      <c r="B3" s="155"/>
      <c r="C3" s="158" t="s">
        <v>472</v>
      </c>
      <c r="D3" s="159">
        <v>160.0</v>
      </c>
      <c r="E3" s="157" t="s">
        <v>473</v>
      </c>
    </row>
    <row r="4">
      <c r="A4" s="154"/>
      <c r="B4" s="155"/>
      <c r="C4" s="41"/>
      <c r="D4" s="160">
        <v>1035.0</v>
      </c>
      <c r="E4" s="154"/>
    </row>
    <row r="5">
      <c r="A5" s="154"/>
      <c r="B5" s="155"/>
      <c r="C5" s="161" t="s">
        <v>476</v>
      </c>
      <c r="D5" s="162">
        <v>165.0</v>
      </c>
      <c r="E5" s="157" t="s">
        <v>473</v>
      </c>
    </row>
    <row r="6">
      <c r="A6" s="154"/>
      <c r="B6" s="155"/>
      <c r="C6" s="41"/>
      <c r="D6" s="163">
        <v>1040.0</v>
      </c>
      <c r="E6" s="154"/>
    </row>
    <row r="7">
      <c r="A7" s="164" t="s">
        <v>479</v>
      </c>
      <c r="B7" s="165" t="s">
        <v>18</v>
      </c>
      <c r="C7" s="166" t="s">
        <v>32</v>
      </c>
      <c r="D7" s="156" t="s">
        <v>465</v>
      </c>
      <c r="E7" s="154"/>
    </row>
    <row r="8">
      <c r="A8" s="167" t="s">
        <v>480</v>
      </c>
      <c r="B8" s="158" t="s">
        <v>485</v>
      </c>
      <c r="C8" s="168" t="s">
        <v>486</v>
      </c>
      <c r="D8" s="169"/>
      <c r="E8" s="154"/>
    </row>
    <row r="9">
      <c r="A9" s="167" t="s">
        <v>480</v>
      </c>
      <c r="B9" s="41"/>
      <c r="C9" s="170"/>
      <c r="D9" s="171"/>
      <c r="E9" s="154"/>
    </row>
    <row r="10">
      <c r="A10" s="167" t="s">
        <v>480</v>
      </c>
      <c r="B10" s="172" t="s">
        <v>487</v>
      </c>
      <c r="C10" s="172" t="s">
        <v>488</v>
      </c>
      <c r="D10" s="173"/>
      <c r="E10" s="154"/>
    </row>
    <row r="11">
      <c r="A11" s="174" t="s">
        <v>387</v>
      </c>
      <c r="B11" s="161" t="s">
        <v>489</v>
      </c>
      <c r="C11" s="166" t="s">
        <v>493</v>
      </c>
      <c r="D11" s="175">
        <v>19.76</v>
      </c>
      <c r="E11" s="154"/>
    </row>
    <row r="12">
      <c r="A12" s="174" t="s">
        <v>392</v>
      </c>
      <c r="B12" s="176"/>
      <c r="C12" s="177"/>
      <c r="D12" s="175">
        <v>19.76</v>
      </c>
      <c r="E12" s="154"/>
    </row>
    <row r="13">
      <c r="A13" s="174" t="s">
        <v>399</v>
      </c>
      <c r="B13" s="176"/>
      <c r="C13" s="177"/>
      <c r="D13" s="175">
        <v>19.76</v>
      </c>
      <c r="E13" s="154"/>
    </row>
    <row r="14">
      <c r="A14" s="174" t="s">
        <v>430</v>
      </c>
      <c r="B14" s="176"/>
      <c r="C14" s="177"/>
      <c r="D14" s="175">
        <v>19.76</v>
      </c>
      <c r="E14" s="154"/>
    </row>
    <row r="15">
      <c r="A15" s="174" t="s">
        <v>437</v>
      </c>
      <c r="B15" s="176"/>
      <c r="C15" s="177"/>
      <c r="D15" s="175">
        <v>19.76</v>
      </c>
      <c r="E15" s="154"/>
    </row>
    <row r="16">
      <c r="A16" s="174" t="s">
        <v>441</v>
      </c>
      <c r="B16" s="176"/>
      <c r="C16" s="177"/>
      <c r="D16" s="175">
        <v>19.76</v>
      </c>
      <c r="E16" s="154"/>
    </row>
    <row r="17">
      <c r="A17" s="174" t="s">
        <v>460</v>
      </c>
      <c r="B17" s="176"/>
      <c r="C17" s="177"/>
      <c r="D17" s="175">
        <v>19.76</v>
      </c>
      <c r="E17" s="154"/>
    </row>
    <row r="18">
      <c r="A18" s="174" t="s">
        <v>496</v>
      </c>
      <c r="B18" s="176"/>
      <c r="C18" s="177"/>
      <c r="D18" s="175">
        <v>19.76</v>
      </c>
      <c r="E18" s="154"/>
    </row>
    <row r="19">
      <c r="A19" s="174" t="s">
        <v>497</v>
      </c>
      <c r="B19" s="176"/>
      <c r="C19" s="177"/>
      <c r="D19" s="175">
        <v>19.76</v>
      </c>
      <c r="E19" s="154"/>
    </row>
    <row r="20">
      <c r="A20" s="174" t="s">
        <v>498</v>
      </c>
      <c r="B20" s="176"/>
      <c r="C20" s="177"/>
      <c r="D20" s="175">
        <v>19.76</v>
      </c>
      <c r="E20" s="154"/>
    </row>
    <row r="21">
      <c r="A21" s="174" t="s">
        <v>499</v>
      </c>
      <c r="B21" s="176"/>
      <c r="C21" s="177"/>
      <c r="D21" s="175">
        <v>19.76</v>
      </c>
      <c r="E21" s="154"/>
    </row>
    <row r="22">
      <c r="A22" s="174" t="s">
        <v>500</v>
      </c>
      <c r="B22" s="176"/>
      <c r="C22" s="177"/>
      <c r="D22" s="175">
        <v>19.76</v>
      </c>
      <c r="E22" s="154"/>
    </row>
    <row r="23">
      <c r="A23" s="174" t="s">
        <v>501</v>
      </c>
      <c r="B23" s="176"/>
      <c r="C23" s="177"/>
      <c r="D23" s="175">
        <v>19.76</v>
      </c>
      <c r="E23" s="154"/>
    </row>
    <row r="24">
      <c r="A24" s="174" t="s">
        <v>502</v>
      </c>
      <c r="B24" s="176"/>
      <c r="C24" s="177"/>
      <c r="D24" s="175">
        <v>19.76</v>
      </c>
      <c r="E24" s="154"/>
    </row>
    <row r="25">
      <c r="A25" s="174" t="s">
        <v>503</v>
      </c>
      <c r="B25" s="176"/>
      <c r="C25" s="177"/>
      <c r="D25" s="175">
        <v>19.76</v>
      </c>
      <c r="E25" s="154"/>
    </row>
    <row r="26">
      <c r="A26" s="174" t="s">
        <v>504</v>
      </c>
      <c r="B26" s="176"/>
      <c r="C26" s="177"/>
      <c r="D26" s="175">
        <v>19.76</v>
      </c>
      <c r="E26" s="154"/>
    </row>
    <row r="27">
      <c r="A27" s="174" t="s">
        <v>506</v>
      </c>
      <c r="B27" s="176"/>
      <c r="C27" s="177"/>
      <c r="D27" s="175">
        <v>19.76</v>
      </c>
      <c r="E27" s="154"/>
    </row>
    <row r="28">
      <c r="A28" s="174" t="s">
        <v>507</v>
      </c>
      <c r="B28" s="41"/>
      <c r="C28" s="170"/>
      <c r="D28" s="175">
        <v>19.76</v>
      </c>
      <c r="E28" s="154"/>
    </row>
    <row r="29">
      <c r="A29" s="174" t="s">
        <v>395</v>
      </c>
      <c r="B29" s="161" t="s">
        <v>508</v>
      </c>
      <c r="C29" s="166" t="s">
        <v>509</v>
      </c>
      <c r="D29" s="175">
        <v>44.03</v>
      </c>
      <c r="E29" s="154"/>
    </row>
    <row r="30">
      <c r="A30" s="174" t="s">
        <v>406</v>
      </c>
      <c r="B30" s="176"/>
      <c r="C30" s="177"/>
      <c r="D30" s="175">
        <v>44.03</v>
      </c>
      <c r="E30" s="154"/>
    </row>
    <row r="31">
      <c r="A31" s="174" t="s">
        <v>453</v>
      </c>
      <c r="B31" s="176"/>
      <c r="C31" s="177"/>
      <c r="D31" s="175">
        <v>44.03</v>
      </c>
      <c r="E31" s="154"/>
    </row>
    <row r="32">
      <c r="A32" s="174" t="s">
        <v>510</v>
      </c>
      <c r="B32" s="176"/>
      <c r="C32" s="177"/>
      <c r="D32" s="175">
        <v>44.03</v>
      </c>
      <c r="E32" s="154"/>
    </row>
    <row r="33">
      <c r="A33" s="167" t="s">
        <v>480</v>
      </c>
      <c r="B33" s="176"/>
      <c r="C33" s="177"/>
      <c r="D33" s="175">
        <v>44.03</v>
      </c>
      <c r="E33" s="154"/>
    </row>
    <row r="34">
      <c r="A34" s="174" t="s">
        <v>511</v>
      </c>
      <c r="B34" s="176"/>
      <c r="C34" s="177"/>
      <c r="D34" s="175">
        <v>44.03</v>
      </c>
      <c r="E34" s="154"/>
    </row>
    <row r="35">
      <c r="A35" s="174" t="s">
        <v>512</v>
      </c>
      <c r="B35" s="176"/>
      <c r="C35" s="177"/>
      <c r="D35" s="175">
        <v>44.03</v>
      </c>
      <c r="E35" s="154"/>
    </row>
    <row r="36">
      <c r="A36" s="174" t="s">
        <v>513</v>
      </c>
      <c r="B36" s="176"/>
      <c r="C36" s="177"/>
      <c r="D36" s="175">
        <v>44.03</v>
      </c>
      <c r="E36" s="154"/>
    </row>
    <row r="37">
      <c r="A37" s="174" t="s">
        <v>514</v>
      </c>
      <c r="B37" s="41"/>
      <c r="C37" s="170"/>
      <c r="D37" s="175">
        <v>44.03</v>
      </c>
      <c r="E37" s="154"/>
    </row>
    <row r="38">
      <c r="A38" s="174" t="s">
        <v>411</v>
      </c>
      <c r="B38" s="161" t="s">
        <v>516</v>
      </c>
      <c r="C38" s="166" t="s">
        <v>518</v>
      </c>
      <c r="D38" s="175">
        <v>67.02</v>
      </c>
      <c r="E38" s="154"/>
    </row>
    <row r="39">
      <c r="A39" s="174" t="s">
        <v>446</v>
      </c>
      <c r="B39" s="176"/>
      <c r="C39" s="177"/>
      <c r="D39" s="175">
        <v>67.02</v>
      </c>
      <c r="E39" s="154"/>
    </row>
    <row r="40">
      <c r="A40" s="174" t="s">
        <v>519</v>
      </c>
      <c r="B40" s="41"/>
      <c r="C40" s="170"/>
      <c r="D40" s="175">
        <v>67.02</v>
      </c>
      <c r="E40" s="154"/>
    </row>
    <row r="41">
      <c r="A41" s="174" t="s">
        <v>419</v>
      </c>
      <c r="B41" s="161" t="s">
        <v>520</v>
      </c>
      <c r="C41" s="166" t="s">
        <v>521</v>
      </c>
      <c r="D41" s="175">
        <v>108.7</v>
      </c>
      <c r="E41" s="154"/>
    </row>
    <row r="42">
      <c r="A42" s="174" t="s">
        <v>468</v>
      </c>
      <c r="B42" s="41"/>
      <c r="C42" s="170"/>
      <c r="D42" s="175">
        <v>108.7</v>
      </c>
      <c r="E42" s="154"/>
    </row>
    <row r="43">
      <c r="A43" s="157" t="s">
        <v>301</v>
      </c>
      <c r="B43" s="178" t="s">
        <v>522</v>
      </c>
      <c r="C43" s="166" t="s">
        <v>523</v>
      </c>
      <c r="D43" s="175">
        <v>61.07</v>
      </c>
      <c r="E43" s="154"/>
    </row>
    <row r="44">
      <c r="A44" s="179" t="s">
        <v>354</v>
      </c>
      <c r="B44" s="180"/>
      <c r="C44" s="170"/>
      <c r="D44" s="175">
        <v>61.07</v>
      </c>
      <c r="E44" s="154"/>
    </row>
    <row r="45">
      <c r="A45" s="174" t="s">
        <v>334</v>
      </c>
      <c r="B45" s="161" t="s">
        <v>525</v>
      </c>
      <c r="C45" s="166" t="s">
        <v>527</v>
      </c>
      <c r="D45" s="175">
        <v>67.28</v>
      </c>
      <c r="E45" s="154"/>
    </row>
    <row r="46">
      <c r="A46" s="174" t="s">
        <v>358</v>
      </c>
      <c r="B46" s="41"/>
      <c r="C46" s="170"/>
      <c r="D46" s="175">
        <v>67.28</v>
      </c>
      <c r="E46" s="154"/>
    </row>
    <row r="47">
      <c r="A47" s="174" t="s">
        <v>338</v>
      </c>
      <c r="B47" s="172" t="s">
        <v>528</v>
      </c>
      <c r="C47" s="172" t="s">
        <v>529</v>
      </c>
      <c r="D47" s="175">
        <v>150.08</v>
      </c>
      <c r="E47" s="154"/>
    </row>
    <row r="48">
      <c r="A48" s="182" t="s">
        <v>340</v>
      </c>
      <c r="B48" s="166" t="s">
        <v>530</v>
      </c>
      <c r="C48" s="166" t="s">
        <v>531</v>
      </c>
      <c r="D48" s="175">
        <v>249.44</v>
      </c>
      <c r="E48" s="157" t="s">
        <v>532</v>
      </c>
    </row>
    <row r="49">
      <c r="A49" s="179" t="s">
        <v>345</v>
      </c>
      <c r="B49" s="183" t="s">
        <v>533</v>
      </c>
      <c r="C49" s="183" t="s">
        <v>534</v>
      </c>
      <c r="D49" s="162">
        <v>385.02</v>
      </c>
      <c r="E49" s="157" t="s">
        <v>532</v>
      </c>
    </row>
    <row r="50">
      <c r="A50" s="174" t="s">
        <v>349</v>
      </c>
      <c r="B50" s="172" t="s">
        <v>535</v>
      </c>
      <c r="C50" s="172" t="s">
        <v>536</v>
      </c>
      <c r="D50" s="175">
        <v>569.25</v>
      </c>
      <c r="E50" s="157" t="s">
        <v>532</v>
      </c>
    </row>
    <row r="51">
      <c r="A51" s="174" t="s">
        <v>368</v>
      </c>
      <c r="B51" s="172" t="s">
        <v>537</v>
      </c>
      <c r="C51" s="172" t="s">
        <v>538</v>
      </c>
      <c r="D51" s="175">
        <v>82.7</v>
      </c>
      <c r="E51" s="154"/>
    </row>
    <row r="52">
      <c r="A52" s="174" t="s">
        <v>375</v>
      </c>
      <c r="B52" s="166" t="s">
        <v>539</v>
      </c>
      <c r="C52" s="166" t="s">
        <v>540</v>
      </c>
      <c r="D52" s="178">
        <v>195.92</v>
      </c>
      <c r="E52" s="154"/>
    </row>
    <row r="53">
      <c r="A53" s="174" t="s">
        <v>377</v>
      </c>
      <c r="B53" s="183" t="s">
        <v>541</v>
      </c>
      <c r="C53" s="183" t="s">
        <v>542</v>
      </c>
      <c r="D53" s="175">
        <v>253.58</v>
      </c>
      <c r="E53" s="157" t="s">
        <v>532</v>
      </c>
    </row>
    <row r="54">
      <c r="A54" s="174" t="s">
        <v>379</v>
      </c>
      <c r="B54" s="166" t="s">
        <v>544</v>
      </c>
      <c r="C54" s="166" t="s">
        <v>545</v>
      </c>
      <c r="D54" s="178">
        <v>292.91</v>
      </c>
      <c r="E54" s="157" t="s">
        <v>532</v>
      </c>
    </row>
    <row r="55">
      <c r="A55" s="174" t="s">
        <v>382</v>
      </c>
      <c r="B55" s="183" t="s">
        <v>546</v>
      </c>
      <c r="C55" s="183" t="s">
        <v>547</v>
      </c>
      <c r="D55" s="175">
        <v>470.93</v>
      </c>
      <c r="E55" s="157" t="s">
        <v>532</v>
      </c>
    </row>
    <row r="56">
      <c r="A56" s="174" t="s">
        <v>548</v>
      </c>
      <c r="B56" s="161" t="s">
        <v>549</v>
      </c>
      <c r="C56" s="166" t="s">
        <v>550</v>
      </c>
      <c r="D56" s="175">
        <v>42.64</v>
      </c>
      <c r="E56" s="154"/>
    </row>
    <row r="57">
      <c r="A57" s="174" t="s">
        <v>551</v>
      </c>
      <c r="B57" s="176"/>
      <c r="C57" s="177"/>
      <c r="D57" s="175">
        <v>42.64</v>
      </c>
      <c r="E57" s="154"/>
    </row>
    <row r="58">
      <c r="A58" s="174" t="s">
        <v>552</v>
      </c>
      <c r="B58" s="41"/>
      <c r="C58" s="170"/>
      <c r="D58" s="175">
        <v>42.64</v>
      </c>
      <c r="E58" s="154"/>
    </row>
    <row r="59">
      <c r="A59" s="174" t="s">
        <v>553</v>
      </c>
      <c r="B59" s="166" t="s">
        <v>554</v>
      </c>
      <c r="C59" s="166" t="s">
        <v>555</v>
      </c>
      <c r="D59" s="178">
        <v>68.64</v>
      </c>
      <c r="E59" s="154"/>
    </row>
    <row r="60">
      <c r="A60" s="174" t="s">
        <v>556</v>
      </c>
      <c r="B60" s="183" t="s">
        <v>557</v>
      </c>
      <c r="C60" s="183" t="s">
        <v>558</v>
      </c>
      <c r="D60" s="175">
        <v>94.87</v>
      </c>
      <c r="E60" s="154"/>
    </row>
    <row r="61">
      <c r="A61" s="174" t="s">
        <v>559</v>
      </c>
      <c r="B61" s="172" t="s">
        <v>560</v>
      </c>
      <c r="C61" s="166" t="s">
        <v>561</v>
      </c>
      <c r="D61" s="178">
        <v>162.64</v>
      </c>
      <c r="E61" s="154"/>
    </row>
    <row r="62">
      <c r="A62" s="174" t="s">
        <v>562</v>
      </c>
      <c r="B62" s="172" t="s">
        <v>563</v>
      </c>
      <c r="C62" s="183" t="s">
        <v>564</v>
      </c>
      <c r="D62" s="175">
        <v>179.49</v>
      </c>
      <c r="E62" s="154"/>
    </row>
    <row r="63">
      <c r="A63" s="174" t="s">
        <v>565</v>
      </c>
      <c r="B63" s="172" t="s">
        <v>566</v>
      </c>
      <c r="C63" s="166" t="s">
        <v>567</v>
      </c>
      <c r="D63" s="178">
        <v>329.71</v>
      </c>
      <c r="E63" s="154"/>
    </row>
    <row r="64">
      <c r="A64" s="174" t="s">
        <v>568</v>
      </c>
      <c r="B64" s="172" t="s">
        <v>569</v>
      </c>
      <c r="C64" s="183" t="s">
        <v>570</v>
      </c>
      <c r="D64" s="175">
        <v>117.92</v>
      </c>
      <c r="E64" s="154"/>
    </row>
    <row r="65">
      <c r="A65" s="174" t="s">
        <v>571</v>
      </c>
      <c r="B65" s="172" t="s">
        <v>572</v>
      </c>
      <c r="C65" s="166" t="s">
        <v>573</v>
      </c>
      <c r="D65" s="178">
        <v>190.93</v>
      </c>
      <c r="E65" s="154"/>
    </row>
    <row r="66">
      <c r="A66" s="174" t="s">
        <v>574</v>
      </c>
      <c r="B66" s="172" t="s">
        <v>575</v>
      </c>
      <c r="C66" s="183" t="s">
        <v>576</v>
      </c>
      <c r="D66" s="175">
        <v>261.07</v>
      </c>
      <c r="E66" s="154"/>
    </row>
    <row r="67">
      <c r="A67" s="154"/>
      <c r="B67" s="155"/>
      <c r="C67" s="155"/>
      <c r="D67" s="155"/>
      <c r="E67" s="154"/>
    </row>
  </sheetData>
  <mergeCells count="18">
    <mergeCell ref="B29:B37"/>
    <mergeCell ref="B38:B40"/>
    <mergeCell ref="B41:B42"/>
    <mergeCell ref="B43:B44"/>
    <mergeCell ref="B45:B46"/>
    <mergeCell ref="B56:B58"/>
    <mergeCell ref="C38:C40"/>
    <mergeCell ref="C41:C42"/>
    <mergeCell ref="C43:C44"/>
    <mergeCell ref="C45:C46"/>
    <mergeCell ref="C56:C58"/>
    <mergeCell ref="C3:C4"/>
    <mergeCell ref="C5:C6"/>
    <mergeCell ref="B8:B9"/>
    <mergeCell ref="C8:C9"/>
    <mergeCell ref="B11:B28"/>
    <mergeCell ref="C11:C28"/>
    <mergeCell ref="C29:C3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50.88"/>
    <col customWidth="1" min="3" max="3" width="18.0"/>
    <col customWidth="1" min="4" max="4" width="32.63"/>
    <col customWidth="1" min="5" max="5" width="17.0"/>
    <col customWidth="1" min="6" max="6" width="14.38"/>
    <col customWidth="1" min="7" max="7" width="6.13"/>
    <col customWidth="1" min="8" max="8" width="10.5"/>
  </cols>
  <sheetData>
    <row r="1">
      <c r="A1" s="185" t="s">
        <v>594</v>
      </c>
      <c r="B1" s="186" t="s">
        <v>595</v>
      </c>
      <c r="C1" s="186" t="s">
        <v>596</v>
      </c>
      <c r="D1" s="185" t="s">
        <v>597</v>
      </c>
      <c r="E1" s="186" t="s">
        <v>598</v>
      </c>
      <c r="F1" s="186" t="s">
        <v>599</v>
      </c>
      <c r="G1" s="187" t="s">
        <v>600</v>
      </c>
      <c r="H1" s="185" t="s">
        <v>602</v>
      </c>
    </row>
    <row r="2">
      <c r="A2" s="189" t="s">
        <v>603</v>
      </c>
      <c r="B2" s="190" t="s">
        <v>605</v>
      </c>
      <c r="C2" s="190" t="s">
        <v>607</v>
      </c>
      <c r="D2" s="190" t="s">
        <v>608</v>
      </c>
      <c r="E2" s="191">
        <v>1.0</v>
      </c>
      <c r="F2" s="190" t="s">
        <v>609</v>
      </c>
      <c r="G2" s="192">
        <v>66.0</v>
      </c>
      <c r="H2" s="193">
        <v>129.84</v>
      </c>
    </row>
    <row r="3">
      <c r="A3" s="194" t="s">
        <v>603</v>
      </c>
      <c r="B3" s="194" t="s">
        <v>605</v>
      </c>
      <c r="C3" s="194" t="s">
        <v>612</v>
      </c>
      <c r="D3" s="194" t="s">
        <v>614</v>
      </c>
      <c r="E3" s="195">
        <v>1.0</v>
      </c>
      <c r="F3" s="194" t="s">
        <v>609</v>
      </c>
      <c r="G3" s="192">
        <v>25.0</v>
      </c>
      <c r="H3" s="176"/>
    </row>
    <row r="4">
      <c r="A4" s="194" t="s">
        <v>603</v>
      </c>
      <c r="B4" s="194" t="s">
        <v>605</v>
      </c>
      <c r="C4" s="194" t="s">
        <v>615</v>
      </c>
      <c r="D4" s="194" t="s">
        <v>616</v>
      </c>
      <c r="E4" s="195">
        <v>1.0</v>
      </c>
      <c r="F4" s="194" t="s">
        <v>609</v>
      </c>
      <c r="G4" s="192">
        <v>33.5</v>
      </c>
      <c r="H4" s="176"/>
    </row>
    <row r="5">
      <c r="A5" s="194" t="s">
        <v>603</v>
      </c>
      <c r="B5" s="194" t="s">
        <v>605</v>
      </c>
      <c r="C5" s="194" t="s">
        <v>619</v>
      </c>
      <c r="D5" s="194" t="s">
        <v>620</v>
      </c>
      <c r="E5" s="195">
        <v>0.5</v>
      </c>
      <c r="F5" s="194" t="s">
        <v>609</v>
      </c>
      <c r="G5" s="192">
        <v>5.34</v>
      </c>
      <c r="H5" s="41"/>
    </row>
    <row r="6">
      <c r="A6" s="196" t="s">
        <v>621</v>
      </c>
      <c r="B6" s="196" t="s">
        <v>622</v>
      </c>
      <c r="C6" s="196" t="s">
        <v>623</v>
      </c>
      <c r="D6" s="196" t="s">
        <v>624</v>
      </c>
      <c r="E6" s="197">
        <v>1.0</v>
      </c>
      <c r="F6" s="196" t="s">
        <v>609</v>
      </c>
      <c r="G6" s="198">
        <v>9.5</v>
      </c>
      <c r="H6" s="199">
        <v>193.71</v>
      </c>
    </row>
    <row r="7">
      <c r="A7" s="196" t="s">
        <v>621</v>
      </c>
      <c r="B7" s="196" t="s">
        <v>622</v>
      </c>
      <c r="C7" s="196" t="s">
        <v>626</v>
      </c>
      <c r="D7" s="196" t="s">
        <v>627</v>
      </c>
      <c r="E7" s="197">
        <v>1.0</v>
      </c>
      <c r="F7" s="196" t="s">
        <v>609</v>
      </c>
      <c r="G7" s="198">
        <v>21.06</v>
      </c>
      <c r="H7" s="176"/>
    </row>
    <row r="8">
      <c r="A8" s="196" t="s">
        <v>621</v>
      </c>
      <c r="B8" s="196" t="s">
        <v>622</v>
      </c>
      <c r="C8" s="196" t="s">
        <v>628</v>
      </c>
      <c r="D8" s="196" t="s">
        <v>629</v>
      </c>
      <c r="E8" s="197">
        <v>1.0</v>
      </c>
      <c r="F8" s="196" t="s">
        <v>609</v>
      </c>
      <c r="G8" s="198">
        <v>1.5</v>
      </c>
      <c r="H8" s="176"/>
    </row>
    <row r="9">
      <c r="A9" s="196" t="s">
        <v>621</v>
      </c>
      <c r="B9" s="196" t="s">
        <v>622</v>
      </c>
      <c r="C9" s="196" t="s">
        <v>631</v>
      </c>
      <c r="D9" s="196" t="s">
        <v>632</v>
      </c>
      <c r="E9" s="197">
        <v>1.0</v>
      </c>
      <c r="F9" s="196" t="s">
        <v>609</v>
      </c>
      <c r="G9" s="198">
        <v>0.46</v>
      </c>
      <c r="H9" s="176"/>
    </row>
    <row r="10">
      <c r="A10" s="196" t="s">
        <v>621</v>
      </c>
      <c r="B10" s="196" t="s">
        <v>622</v>
      </c>
      <c r="C10" s="196" t="s">
        <v>612</v>
      </c>
      <c r="D10" s="196" t="s">
        <v>614</v>
      </c>
      <c r="E10" s="197">
        <v>1.0</v>
      </c>
      <c r="F10" s="196" t="s">
        <v>609</v>
      </c>
      <c r="G10" s="198">
        <v>25.0</v>
      </c>
      <c r="H10" s="176"/>
    </row>
    <row r="11">
      <c r="A11" s="196" t="s">
        <v>621</v>
      </c>
      <c r="B11" s="196" t="s">
        <v>622</v>
      </c>
      <c r="C11" s="196" t="s">
        <v>619</v>
      </c>
      <c r="D11" s="196" t="s">
        <v>620</v>
      </c>
      <c r="E11" s="197">
        <v>1.0</v>
      </c>
      <c r="F11" s="196" t="s">
        <v>609</v>
      </c>
      <c r="G11" s="198">
        <v>5.34</v>
      </c>
      <c r="H11" s="176"/>
    </row>
    <row r="12">
      <c r="A12" s="196" t="s">
        <v>621</v>
      </c>
      <c r="B12" s="196" t="s">
        <v>622</v>
      </c>
      <c r="C12" s="196" t="s">
        <v>633</v>
      </c>
      <c r="D12" s="196" t="s">
        <v>634</v>
      </c>
      <c r="E12" s="197">
        <v>1.0</v>
      </c>
      <c r="F12" s="196" t="s">
        <v>609</v>
      </c>
      <c r="G12" s="198">
        <v>77.15</v>
      </c>
      <c r="H12" s="176"/>
    </row>
    <row r="13">
      <c r="A13" s="196" t="s">
        <v>621</v>
      </c>
      <c r="B13" s="196" t="s">
        <v>622</v>
      </c>
      <c r="C13" s="196" t="s">
        <v>635</v>
      </c>
      <c r="D13" s="196" t="s">
        <v>636</v>
      </c>
      <c r="E13" s="197">
        <v>1.0</v>
      </c>
      <c r="F13" s="196" t="s">
        <v>609</v>
      </c>
      <c r="G13" s="198">
        <v>53.7</v>
      </c>
      <c r="H13" s="41"/>
    </row>
    <row r="14">
      <c r="A14" s="200" t="s">
        <v>637</v>
      </c>
      <c r="B14" s="200" t="s">
        <v>638</v>
      </c>
      <c r="C14" s="200" t="s">
        <v>623</v>
      </c>
      <c r="D14" s="200" t="s">
        <v>624</v>
      </c>
      <c r="E14" s="201">
        <v>1.0</v>
      </c>
      <c r="F14" s="200" t="s">
        <v>609</v>
      </c>
      <c r="G14" s="202">
        <v>9.5</v>
      </c>
      <c r="H14" s="203">
        <v>195.58</v>
      </c>
    </row>
    <row r="15">
      <c r="A15" s="200" t="s">
        <v>637</v>
      </c>
      <c r="B15" s="200" t="s">
        <v>638</v>
      </c>
      <c r="C15" s="200" t="s">
        <v>628</v>
      </c>
      <c r="D15" s="200" t="s">
        <v>629</v>
      </c>
      <c r="E15" s="201">
        <v>1.0</v>
      </c>
      <c r="F15" s="200" t="s">
        <v>609</v>
      </c>
      <c r="G15" s="202">
        <v>1.5</v>
      </c>
      <c r="H15" s="176"/>
    </row>
    <row r="16">
      <c r="A16" s="200" t="s">
        <v>637</v>
      </c>
      <c r="B16" s="200" t="s">
        <v>638</v>
      </c>
      <c r="C16" s="200" t="s">
        <v>642</v>
      </c>
      <c r="D16" s="200" t="s">
        <v>643</v>
      </c>
      <c r="E16" s="201">
        <v>1.0</v>
      </c>
      <c r="F16" s="200" t="s">
        <v>609</v>
      </c>
      <c r="G16" s="202">
        <v>1.68</v>
      </c>
      <c r="H16" s="176"/>
    </row>
    <row r="17">
      <c r="A17" s="200" t="s">
        <v>637</v>
      </c>
      <c r="B17" s="200" t="s">
        <v>638</v>
      </c>
      <c r="C17" s="200" t="s">
        <v>644</v>
      </c>
      <c r="D17" s="200" t="s">
        <v>645</v>
      </c>
      <c r="E17" s="201">
        <v>1.0</v>
      </c>
      <c r="F17" s="200" t="s">
        <v>609</v>
      </c>
      <c r="G17" s="202">
        <v>1.9</v>
      </c>
      <c r="H17" s="176"/>
    </row>
    <row r="18">
      <c r="A18" s="200" t="s">
        <v>637</v>
      </c>
      <c r="B18" s="200" t="s">
        <v>638</v>
      </c>
      <c r="C18" s="200" t="s">
        <v>633</v>
      </c>
      <c r="D18" s="200" t="s">
        <v>634</v>
      </c>
      <c r="E18" s="201">
        <v>1.0</v>
      </c>
      <c r="F18" s="200" t="s">
        <v>609</v>
      </c>
      <c r="G18" s="202">
        <v>77.15</v>
      </c>
      <c r="H18" s="176"/>
    </row>
    <row r="19">
      <c r="A19" s="200" t="s">
        <v>637</v>
      </c>
      <c r="B19" s="200" t="s">
        <v>638</v>
      </c>
      <c r="C19" s="200" t="s">
        <v>626</v>
      </c>
      <c r="D19" s="200" t="s">
        <v>627</v>
      </c>
      <c r="E19" s="201">
        <v>1.0</v>
      </c>
      <c r="F19" s="200" t="s">
        <v>609</v>
      </c>
      <c r="G19" s="202">
        <v>21.06</v>
      </c>
      <c r="H19" s="176"/>
    </row>
    <row r="20">
      <c r="A20" s="200" t="s">
        <v>637</v>
      </c>
      <c r="B20" s="200" t="s">
        <v>638</v>
      </c>
      <c r="C20" s="200" t="s">
        <v>619</v>
      </c>
      <c r="D20" s="200" t="s">
        <v>620</v>
      </c>
      <c r="E20" s="201">
        <v>1.0</v>
      </c>
      <c r="F20" s="200" t="s">
        <v>609</v>
      </c>
      <c r="G20" s="202">
        <v>5.34</v>
      </c>
      <c r="H20" s="176"/>
    </row>
    <row r="21">
      <c r="A21" s="200" t="s">
        <v>637</v>
      </c>
      <c r="B21" s="200" t="s">
        <v>638</v>
      </c>
      <c r="C21" s="200" t="s">
        <v>612</v>
      </c>
      <c r="D21" s="200" t="s">
        <v>614</v>
      </c>
      <c r="E21" s="201">
        <v>1.0</v>
      </c>
      <c r="F21" s="200" t="s">
        <v>609</v>
      </c>
      <c r="G21" s="202">
        <v>25.0</v>
      </c>
      <c r="H21" s="176"/>
    </row>
    <row r="22">
      <c r="A22" s="200" t="s">
        <v>637</v>
      </c>
      <c r="B22" s="200" t="s">
        <v>638</v>
      </c>
      <c r="C22" s="200" t="s">
        <v>646</v>
      </c>
      <c r="D22" s="200" t="s">
        <v>647</v>
      </c>
      <c r="E22" s="201">
        <v>1.0</v>
      </c>
      <c r="F22" s="200" t="s">
        <v>609</v>
      </c>
      <c r="G22" s="202">
        <v>1.36</v>
      </c>
      <c r="H22" s="176"/>
    </row>
    <row r="23">
      <c r="A23" s="200" t="s">
        <v>637</v>
      </c>
      <c r="B23" s="200" t="s">
        <v>638</v>
      </c>
      <c r="C23" s="200" t="s">
        <v>648</v>
      </c>
      <c r="D23" s="200" t="s">
        <v>649</v>
      </c>
      <c r="E23" s="201">
        <v>1.0</v>
      </c>
      <c r="F23" s="200" t="s">
        <v>609</v>
      </c>
      <c r="G23" s="202">
        <v>51.09</v>
      </c>
      <c r="H23" s="41"/>
    </row>
    <row r="24">
      <c r="A24" s="204" t="s">
        <v>650</v>
      </c>
      <c r="B24" s="204" t="s">
        <v>638</v>
      </c>
      <c r="C24" s="204" t="s">
        <v>623</v>
      </c>
      <c r="D24" s="204" t="s">
        <v>624</v>
      </c>
      <c r="E24" s="206">
        <v>1.0</v>
      </c>
      <c r="F24" s="204" t="s">
        <v>609</v>
      </c>
      <c r="G24" s="207">
        <v>9.5</v>
      </c>
      <c r="H24" s="208">
        <v>198.19</v>
      </c>
    </row>
    <row r="25">
      <c r="A25" s="204" t="s">
        <v>650</v>
      </c>
      <c r="B25" s="204" t="s">
        <v>638</v>
      </c>
      <c r="C25" s="204" t="s">
        <v>628</v>
      </c>
      <c r="D25" s="204" t="s">
        <v>629</v>
      </c>
      <c r="E25" s="206">
        <v>1.0</v>
      </c>
      <c r="F25" s="204" t="s">
        <v>609</v>
      </c>
      <c r="G25" s="207">
        <v>1.5</v>
      </c>
      <c r="H25" s="176"/>
    </row>
    <row r="26">
      <c r="A26" s="204" t="s">
        <v>650</v>
      </c>
      <c r="B26" s="204" t="s">
        <v>638</v>
      </c>
      <c r="C26" s="204" t="s">
        <v>642</v>
      </c>
      <c r="D26" s="204" t="s">
        <v>643</v>
      </c>
      <c r="E26" s="206">
        <v>1.0</v>
      </c>
      <c r="F26" s="204" t="s">
        <v>609</v>
      </c>
      <c r="G26" s="207">
        <v>1.68</v>
      </c>
      <c r="H26" s="176"/>
    </row>
    <row r="27">
      <c r="A27" s="204" t="s">
        <v>650</v>
      </c>
      <c r="B27" s="204" t="s">
        <v>638</v>
      </c>
      <c r="C27" s="204" t="s">
        <v>644</v>
      </c>
      <c r="D27" s="204" t="s">
        <v>645</v>
      </c>
      <c r="E27" s="206">
        <v>1.0</v>
      </c>
      <c r="F27" s="204" t="s">
        <v>609</v>
      </c>
      <c r="G27" s="207">
        <v>1.9</v>
      </c>
      <c r="H27" s="176"/>
    </row>
    <row r="28">
      <c r="A28" s="204" t="s">
        <v>650</v>
      </c>
      <c r="B28" s="204" t="s">
        <v>638</v>
      </c>
      <c r="C28" s="204" t="s">
        <v>633</v>
      </c>
      <c r="D28" s="204" t="s">
        <v>634</v>
      </c>
      <c r="E28" s="206">
        <v>1.0</v>
      </c>
      <c r="F28" s="204" t="s">
        <v>609</v>
      </c>
      <c r="G28" s="207">
        <v>77.15</v>
      </c>
      <c r="H28" s="176"/>
    </row>
    <row r="29">
      <c r="A29" s="204" t="s">
        <v>650</v>
      </c>
      <c r="B29" s="204" t="s">
        <v>638</v>
      </c>
      <c r="C29" s="204" t="s">
        <v>626</v>
      </c>
      <c r="D29" s="204" t="s">
        <v>627</v>
      </c>
      <c r="E29" s="206">
        <v>1.0</v>
      </c>
      <c r="F29" s="204" t="s">
        <v>609</v>
      </c>
      <c r="G29" s="207">
        <v>21.06</v>
      </c>
      <c r="H29" s="176"/>
    </row>
    <row r="30">
      <c r="A30" s="204" t="s">
        <v>650</v>
      </c>
      <c r="B30" s="204" t="s">
        <v>638</v>
      </c>
      <c r="C30" s="204" t="s">
        <v>619</v>
      </c>
      <c r="D30" s="204" t="s">
        <v>620</v>
      </c>
      <c r="E30" s="206">
        <v>1.0</v>
      </c>
      <c r="F30" s="204" t="s">
        <v>609</v>
      </c>
      <c r="G30" s="207">
        <v>5.34</v>
      </c>
      <c r="H30" s="176"/>
    </row>
    <row r="31">
      <c r="A31" s="204" t="s">
        <v>650</v>
      </c>
      <c r="B31" s="204" t="s">
        <v>638</v>
      </c>
      <c r="C31" s="204" t="s">
        <v>612</v>
      </c>
      <c r="D31" s="204" t="s">
        <v>614</v>
      </c>
      <c r="E31" s="206">
        <v>1.0</v>
      </c>
      <c r="F31" s="204" t="s">
        <v>609</v>
      </c>
      <c r="G31" s="207">
        <v>25.0</v>
      </c>
      <c r="H31" s="176"/>
    </row>
    <row r="32">
      <c r="A32" s="204" t="s">
        <v>650</v>
      </c>
      <c r="B32" s="204" t="s">
        <v>638</v>
      </c>
      <c r="C32" s="204" t="s">
        <v>646</v>
      </c>
      <c r="D32" s="204" t="s">
        <v>647</v>
      </c>
      <c r="E32" s="206">
        <v>1.0</v>
      </c>
      <c r="F32" s="204" t="s">
        <v>609</v>
      </c>
      <c r="G32" s="207">
        <v>1.36</v>
      </c>
      <c r="H32" s="176"/>
    </row>
    <row r="33">
      <c r="A33" s="204" t="s">
        <v>650</v>
      </c>
      <c r="B33" s="204" t="s">
        <v>638</v>
      </c>
      <c r="C33" s="204" t="s">
        <v>635</v>
      </c>
      <c r="D33" s="204" t="s">
        <v>636</v>
      </c>
      <c r="E33" s="206">
        <v>1.0</v>
      </c>
      <c r="F33" s="204" t="s">
        <v>609</v>
      </c>
      <c r="G33" s="207">
        <v>53.7</v>
      </c>
      <c r="H33" s="41"/>
    </row>
    <row r="34">
      <c r="A34" s="196" t="s">
        <v>673</v>
      </c>
      <c r="B34" s="196" t="s">
        <v>674</v>
      </c>
      <c r="C34" s="196" t="s">
        <v>623</v>
      </c>
      <c r="D34" s="196" t="s">
        <v>624</v>
      </c>
      <c r="E34" s="197">
        <v>1.0</v>
      </c>
      <c r="F34" s="196" t="s">
        <v>609</v>
      </c>
      <c r="G34" s="198">
        <v>9.5</v>
      </c>
      <c r="H34" s="199">
        <v>193.67</v>
      </c>
    </row>
    <row r="35">
      <c r="A35" s="196" t="s">
        <v>673</v>
      </c>
      <c r="B35" s="196" t="s">
        <v>674</v>
      </c>
      <c r="C35" s="196" t="s">
        <v>628</v>
      </c>
      <c r="D35" s="196" t="s">
        <v>629</v>
      </c>
      <c r="E35" s="197">
        <v>1.0</v>
      </c>
      <c r="F35" s="196" t="s">
        <v>609</v>
      </c>
      <c r="G35" s="198">
        <v>1.5</v>
      </c>
      <c r="H35" s="176"/>
    </row>
    <row r="36">
      <c r="A36" s="196" t="s">
        <v>673</v>
      </c>
      <c r="B36" s="196" t="s">
        <v>674</v>
      </c>
      <c r="C36" s="196" t="s">
        <v>642</v>
      </c>
      <c r="D36" s="196" t="s">
        <v>643</v>
      </c>
      <c r="E36" s="197">
        <v>1.0</v>
      </c>
      <c r="F36" s="196" t="s">
        <v>609</v>
      </c>
      <c r="G36" s="198">
        <v>1.68</v>
      </c>
      <c r="H36" s="176"/>
    </row>
    <row r="37">
      <c r="A37" s="196" t="s">
        <v>673</v>
      </c>
      <c r="B37" s="196" t="s">
        <v>674</v>
      </c>
      <c r="C37" s="196" t="s">
        <v>644</v>
      </c>
      <c r="D37" s="196" t="s">
        <v>645</v>
      </c>
      <c r="E37" s="197">
        <v>1.0</v>
      </c>
      <c r="F37" s="196" t="s">
        <v>609</v>
      </c>
      <c r="G37" s="198">
        <v>1.9</v>
      </c>
      <c r="H37" s="176"/>
    </row>
    <row r="38">
      <c r="A38" s="196" t="s">
        <v>673</v>
      </c>
      <c r="B38" s="196" t="s">
        <v>674</v>
      </c>
      <c r="C38" s="196" t="s">
        <v>633</v>
      </c>
      <c r="D38" s="196" t="s">
        <v>634</v>
      </c>
      <c r="E38" s="197">
        <v>1.0</v>
      </c>
      <c r="F38" s="196" t="s">
        <v>609</v>
      </c>
      <c r="G38" s="198">
        <v>77.15</v>
      </c>
      <c r="H38" s="176"/>
    </row>
    <row r="39">
      <c r="A39" s="196" t="s">
        <v>673</v>
      </c>
      <c r="B39" s="196" t="s">
        <v>674</v>
      </c>
      <c r="C39" s="196" t="s">
        <v>626</v>
      </c>
      <c r="D39" s="196" t="s">
        <v>627</v>
      </c>
      <c r="E39" s="197">
        <v>1.0</v>
      </c>
      <c r="F39" s="196" t="s">
        <v>609</v>
      </c>
      <c r="G39" s="198">
        <v>21.06</v>
      </c>
      <c r="H39" s="176"/>
    </row>
    <row r="40">
      <c r="A40" s="196" t="s">
        <v>673</v>
      </c>
      <c r="B40" s="196" t="s">
        <v>674</v>
      </c>
      <c r="C40" s="196" t="s">
        <v>619</v>
      </c>
      <c r="D40" s="196" t="s">
        <v>620</v>
      </c>
      <c r="E40" s="197">
        <v>1.0</v>
      </c>
      <c r="F40" s="196" t="s">
        <v>609</v>
      </c>
      <c r="G40" s="198">
        <v>5.34</v>
      </c>
      <c r="H40" s="176"/>
    </row>
    <row r="41">
      <c r="A41" s="196" t="s">
        <v>673</v>
      </c>
      <c r="B41" s="196" t="s">
        <v>674</v>
      </c>
      <c r="C41" s="196" t="s">
        <v>612</v>
      </c>
      <c r="D41" s="196" t="s">
        <v>614</v>
      </c>
      <c r="E41" s="197">
        <v>1.0</v>
      </c>
      <c r="F41" s="196" t="s">
        <v>609</v>
      </c>
      <c r="G41" s="198">
        <v>25.0</v>
      </c>
      <c r="H41" s="176"/>
    </row>
    <row r="42">
      <c r="A42" s="196" t="s">
        <v>673</v>
      </c>
      <c r="B42" s="196" t="s">
        <v>674</v>
      </c>
      <c r="C42" s="196" t="s">
        <v>646</v>
      </c>
      <c r="D42" s="196" t="s">
        <v>647</v>
      </c>
      <c r="E42" s="197">
        <v>1.0</v>
      </c>
      <c r="F42" s="196" t="s">
        <v>609</v>
      </c>
      <c r="G42" s="198">
        <v>1.36</v>
      </c>
      <c r="H42" s="176"/>
    </row>
    <row r="43">
      <c r="A43" s="196" t="s">
        <v>673</v>
      </c>
      <c r="B43" s="196" t="s">
        <v>674</v>
      </c>
      <c r="C43" s="196" t="s">
        <v>676</v>
      </c>
      <c r="D43" s="196" t="s">
        <v>677</v>
      </c>
      <c r="E43" s="197">
        <v>1.0</v>
      </c>
      <c r="F43" s="196" t="s">
        <v>609</v>
      </c>
      <c r="G43" s="198">
        <v>49.18</v>
      </c>
      <c r="H43" s="41"/>
    </row>
    <row r="44">
      <c r="A44" s="200" t="s">
        <v>678</v>
      </c>
      <c r="B44" s="200" t="s">
        <v>680</v>
      </c>
      <c r="C44" s="200" t="s">
        <v>623</v>
      </c>
      <c r="D44" s="200" t="s">
        <v>624</v>
      </c>
      <c r="E44" s="201">
        <v>1.0</v>
      </c>
      <c r="F44" s="200" t="s">
        <v>609</v>
      </c>
      <c r="G44" s="202">
        <v>9.5</v>
      </c>
      <c r="H44" s="203">
        <v>198.55</v>
      </c>
    </row>
    <row r="45">
      <c r="A45" s="200" t="s">
        <v>678</v>
      </c>
      <c r="B45" s="200" t="s">
        <v>680</v>
      </c>
      <c r="C45" s="200" t="s">
        <v>628</v>
      </c>
      <c r="D45" s="200" t="s">
        <v>629</v>
      </c>
      <c r="E45" s="201">
        <v>1.0</v>
      </c>
      <c r="F45" s="200" t="s">
        <v>609</v>
      </c>
      <c r="G45" s="202">
        <v>1.5</v>
      </c>
      <c r="H45" s="176"/>
    </row>
    <row r="46">
      <c r="A46" s="200" t="s">
        <v>678</v>
      </c>
      <c r="B46" s="200" t="s">
        <v>680</v>
      </c>
      <c r="C46" s="200" t="s">
        <v>642</v>
      </c>
      <c r="D46" s="200" t="s">
        <v>643</v>
      </c>
      <c r="E46" s="201">
        <v>1.0</v>
      </c>
      <c r="F46" s="200" t="s">
        <v>609</v>
      </c>
      <c r="G46" s="202">
        <v>1.68</v>
      </c>
      <c r="H46" s="176"/>
    </row>
    <row r="47">
      <c r="A47" s="200" t="s">
        <v>678</v>
      </c>
      <c r="B47" s="200" t="s">
        <v>680</v>
      </c>
      <c r="C47" s="200" t="s">
        <v>644</v>
      </c>
      <c r="D47" s="200" t="s">
        <v>645</v>
      </c>
      <c r="E47" s="201">
        <v>1.0</v>
      </c>
      <c r="F47" s="200" t="s">
        <v>609</v>
      </c>
      <c r="G47" s="202">
        <v>1.9</v>
      </c>
      <c r="H47" s="176"/>
    </row>
    <row r="48">
      <c r="A48" s="200" t="s">
        <v>678</v>
      </c>
      <c r="B48" s="200" t="s">
        <v>680</v>
      </c>
      <c r="C48" s="200" t="s">
        <v>633</v>
      </c>
      <c r="D48" s="200" t="s">
        <v>634</v>
      </c>
      <c r="E48" s="201">
        <v>1.0</v>
      </c>
      <c r="F48" s="200" t="s">
        <v>609</v>
      </c>
      <c r="G48" s="202">
        <v>77.15</v>
      </c>
      <c r="H48" s="176"/>
    </row>
    <row r="49">
      <c r="A49" s="200" t="s">
        <v>678</v>
      </c>
      <c r="B49" s="200" t="s">
        <v>680</v>
      </c>
      <c r="C49" s="200" t="s">
        <v>626</v>
      </c>
      <c r="D49" s="200" t="s">
        <v>627</v>
      </c>
      <c r="E49" s="201">
        <v>1.0</v>
      </c>
      <c r="F49" s="200" t="s">
        <v>609</v>
      </c>
      <c r="G49" s="202">
        <v>21.06</v>
      </c>
      <c r="H49" s="176"/>
    </row>
    <row r="50">
      <c r="A50" s="200" t="s">
        <v>678</v>
      </c>
      <c r="B50" s="200" t="s">
        <v>680</v>
      </c>
      <c r="C50" s="200" t="s">
        <v>612</v>
      </c>
      <c r="D50" s="200" t="s">
        <v>614</v>
      </c>
      <c r="E50" s="201">
        <v>1.0</v>
      </c>
      <c r="F50" s="200" t="s">
        <v>609</v>
      </c>
      <c r="G50" s="202">
        <v>25.0</v>
      </c>
      <c r="H50" s="176"/>
    </row>
    <row r="51">
      <c r="A51" s="200" t="s">
        <v>678</v>
      </c>
      <c r="B51" s="200" t="s">
        <v>680</v>
      </c>
      <c r="C51" s="200" t="s">
        <v>619</v>
      </c>
      <c r="D51" s="200" t="s">
        <v>620</v>
      </c>
      <c r="E51" s="201">
        <v>1.0</v>
      </c>
      <c r="F51" s="200" t="s">
        <v>609</v>
      </c>
      <c r="G51" s="202">
        <v>5.34</v>
      </c>
      <c r="H51" s="176"/>
    </row>
    <row r="52">
      <c r="A52" s="200" t="s">
        <v>678</v>
      </c>
      <c r="B52" s="200" t="s">
        <v>680</v>
      </c>
      <c r="C52" s="200" t="s">
        <v>646</v>
      </c>
      <c r="D52" s="200" t="s">
        <v>647</v>
      </c>
      <c r="E52" s="201">
        <v>1.0</v>
      </c>
      <c r="F52" s="200" t="s">
        <v>609</v>
      </c>
      <c r="G52" s="202">
        <v>1.36</v>
      </c>
      <c r="H52" s="176"/>
    </row>
    <row r="53">
      <c r="A53" s="200" t="s">
        <v>678</v>
      </c>
      <c r="B53" s="200" t="s">
        <v>680</v>
      </c>
      <c r="C53" s="200" t="s">
        <v>683</v>
      </c>
      <c r="D53" s="200" t="s">
        <v>684</v>
      </c>
      <c r="E53" s="201">
        <v>1.0</v>
      </c>
      <c r="F53" s="200" t="s">
        <v>609</v>
      </c>
      <c r="G53" s="202">
        <v>54.06</v>
      </c>
      <c r="H53" s="41"/>
    </row>
    <row r="54">
      <c r="A54" s="209" t="s">
        <v>685</v>
      </c>
      <c r="B54" s="209" t="s">
        <v>680</v>
      </c>
      <c r="C54" s="209" t="s">
        <v>623</v>
      </c>
      <c r="D54" s="209" t="s">
        <v>624</v>
      </c>
      <c r="E54" s="210">
        <v>1.0</v>
      </c>
      <c r="F54" s="209" t="s">
        <v>609</v>
      </c>
      <c r="G54" s="211">
        <v>9.5</v>
      </c>
      <c r="H54" s="212">
        <v>222.27</v>
      </c>
    </row>
    <row r="55">
      <c r="A55" s="209" t="s">
        <v>685</v>
      </c>
      <c r="B55" s="209" t="s">
        <v>680</v>
      </c>
      <c r="C55" s="209" t="s">
        <v>687</v>
      </c>
      <c r="D55" s="209" t="s">
        <v>688</v>
      </c>
      <c r="E55" s="210">
        <v>1.0</v>
      </c>
      <c r="F55" s="209" t="s">
        <v>609</v>
      </c>
      <c r="G55" s="211">
        <v>0.0</v>
      </c>
      <c r="H55" s="176"/>
    </row>
    <row r="56">
      <c r="A56" s="209" t="s">
        <v>685</v>
      </c>
      <c r="B56" s="209" t="s">
        <v>680</v>
      </c>
      <c r="C56" s="209" t="s">
        <v>626</v>
      </c>
      <c r="D56" s="209" t="s">
        <v>627</v>
      </c>
      <c r="E56" s="210">
        <v>1.0</v>
      </c>
      <c r="F56" s="209" t="s">
        <v>609</v>
      </c>
      <c r="G56" s="211">
        <v>21.06</v>
      </c>
      <c r="H56" s="176"/>
    </row>
    <row r="57">
      <c r="A57" s="209" t="s">
        <v>685</v>
      </c>
      <c r="B57" s="209" t="s">
        <v>680</v>
      </c>
      <c r="C57" s="209" t="s">
        <v>628</v>
      </c>
      <c r="D57" s="209" t="s">
        <v>629</v>
      </c>
      <c r="E57" s="210">
        <v>1.0</v>
      </c>
      <c r="F57" s="209" t="s">
        <v>609</v>
      </c>
      <c r="G57" s="211">
        <v>1.5</v>
      </c>
      <c r="H57" s="176"/>
    </row>
    <row r="58">
      <c r="A58" s="209" t="s">
        <v>685</v>
      </c>
      <c r="B58" s="209" t="s">
        <v>680</v>
      </c>
      <c r="C58" s="209" t="s">
        <v>631</v>
      </c>
      <c r="D58" s="209" t="s">
        <v>632</v>
      </c>
      <c r="E58" s="210">
        <v>1.0</v>
      </c>
      <c r="F58" s="209" t="s">
        <v>609</v>
      </c>
      <c r="G58" s="211">
        <v>0.46</v>
      </c>
      <c r="H58" s="176"/>
    </row>
    <row r="59">
      <c r="A59" s="209" t="s">
        <v>685</v>
      </c>
      <c r="B59" s="209" t="s">
        <v>680</v>
      </c>
      <c r="C59" s="209" t="s">
        <v>633</v>
      </c>
      <c r="D59" s="209" t="s">
        <v>634</v>
      </c>
      <c r="E59" s="210">
        <v>1.0</v>
      </c>
      <c r="F59" s="209" t="s">
        <v>609</v>
      </c>
      <c r="G59" s="211">
        <v>77.15</v>
      </c>
      <c r="H59" s="176"/>
    </row>
    <row r="60">
      <c r="A60" s="209" t="s">
        <v>685</v>
      </c>
      <c r="B60" s="209" t="s">
        <v>680</v>
      </c>
      <c r="C60" s="209" t="s">
        <v>612</v>
      </c>
      <c r="D60" s="209" t="s">
        <v>614</v>
      </c>
      <c r="E60" s="210">
        <v>1.0</v>
      </c>
      <c r="F60" s="209" t="s">
        <v>609</v>
      </c>
      <c r="G60" s="211">
        <v>25.0</v>
      </c>
      <c r="H60" s="176"/>
    </row>
    <row r="61">
      <c r="A61" s="209" t="s">
        <v>685</v>
      </c>
      <c r="B61" s="209" t="s">
        <v>680</v>
      </c>
      <c r="C61" s="209" t="s">
        <v>619</v>
      </c>
      <c r="D61" s="209" t="s">
        <v>620</v>
      </c>
      <c r="E61" s="210">
        <v>1.0</v>
      </c>
      <c r="F61" s="209" t="s">
        <v>609</v>
      </c>
      <c r="G61" s="211">
        <v>5.34</v>
      </c>
      <c r="H61" s="176"/>
    </row>
    <row r="62">
      <c r="A62" s="209" t="s">
        <v>685</v>
      </c>
      <c r="B62" s="209" t="s">
        <v>680</v>
      </c>
      <c r="C62" s="209" t="s">
        <v>691</v>
      </c>
      <c r="D62" s="209" t="s">
        <v>692</v>
      </c>
      <c r="E62" s="210">
        <v>1.0</v>
      </c>
      <c r="F62" s="209" t="s">
        <v>609</v>
      </c>
      <c r="G62" s="211">
        <v>82.69</v>
      </c>
      <c r="H62" s="41"/>
    </row>
    <row r="63">
      <c r="A63" s="194" t="s">
        <v>693</v>
      </c>
      <c r="B63" s="194" t="s">
        <v>694</v>
      </c>
      <c r="C63" s="194" t="s">
        <v>615</v>
      </c>
      <c r="D63" s="194" t="s">
        <v>616</v>
      </c>
      <c r="E63" s="195">
        <v>1.0</v>
      </c>
      <c r="F63" s="194" t="s">
        <v>609</v>
      </c>
      <c r="G63" s="192">
        <v>33.5</v>
      </c>
      <c r="H63" s="193">
        <v>290.64</v>
      </c>
    </row>
    <row r="64">
      <c r="A64" s="194" t="s">
        <v>693</v>
      </c>
      <c r="B64" s="194" t="s">
        <v>694</v>
      </c>
      <c r="C64" s="194" t="s">
        <v>642</v>
      </c>
      <c r="D64" s="194" t="s">
        <v>643</v>
      </c>
      <c r="E64" s="195">
        <v>1.0</v>
      </c>
      <c r="F64" s="194" t="s">
        <v>609</v>
      </c>
      <c r="G64" s="192">
        <v>1.68</v>
      </c>
      <c r="H64" s="176"/>
    </row>
    <row r="65">
      <c r="A65" s="194" t="s">
        <v>693</v>
      </c>
      <c r="B65" s="194" t="s">
        <v>694</v>
      </c>
      <c r="C65" s="194" t="s">
        <v>644</v>
      </c>
      <c r="D65" s="194" t="s">
        <v>645</v>
      </c>
      <c r="E65" s="195">
        <v>1.0</v>
      </c>
      <c r="F65" s="194" t="s">
        <v>609</v>
      </c>
      <c r="G65" s="192">
        <v>1.9</v>
      </c>
      <c r="H65" s="176"/>
    </row>
    <row r="66">
      <c r="A66" s="194" t="s">
        <v>693</v>
      </c>
      <c r="B66" s="194" t="s">
        <v>694</v>
      </c>
      <c r="C66" s="194" t="s">
        <v>612</v>
      </c>
      <c r="D66" s="194" t="s">
        <v>614</v>
      </c>
      <c r="E66" s="195">
        <v>1.0</v>
      </c>
      <c r="F66" s="194" t="s">
        <v>609</v>
      </c>
      <c r="G66" s="192">
        <v>25.0</v>
      </c>
      <c r="H66" s="176"/>
    </row>
    <row r="67">
      <c r="A67" s="194" t="s">
        <v>693</v>
      </c>
      <c r="B67" s="194" t="s">
        <v>694</v>
      </c>
      <c r="C67" s="194" t="s">
        <v>619</v>
      </c>
      <c r="D67" s="194" t="s">
        <v>620</v>
      </c>
      <c r="E67" s="195">
        <v>1.0</v>
      </c>
      <c r="F67" s="194" t="s">
        <v>609</v>
      </c>
      <c r="G67" s="192">
        <v>5.34</v>
      </c>
      <c r="H67" s="176"/>
    </row>
    <row r="68">
      <c r="A68" s="194" t="s">
        <v>693</v>
      </c>
      <c r="B68" s="194" t="s">
        <v>694</v>
      </c>
      <c r="C68" s="194" t="s">
        <v>696</v>
      </c>
      <c r="D68" s="194" t="s">
        <v>697</v>
      </c>
      <c r="E68" s="195">
        <v>1.0</v>
      </c>
      <c r="F68" s="194" t="s">
        <v>609</v>
      </c>
      <c r="G68" s="192">
        <v>43.25</v>
      </c>
      <c r="H68" s="176"/>
    </row>
    <row r="69">
      <c r="A69" s="194" t="s">
        <v>693</v>
      </c>
      <c r="B69" s="194" t="s">
        <v>694</v>
      </c>
      <c r="C69" s="194" t="s">
        <v>699</v>
      </c>
      <c r="D69" s="194" t="s">
        <v>700</v>
      </c>
      <c r="E69" s="195">
        <v>1.0</v>
      </c>
      <c r="F69" s="194" t="s">
        <v>609</v>
      </c>
      <c r="G69" s="192">
        <v>112.06</v>
      </c>
      <c r="H69" s="176"/>
    </row>
    <row r="70">
      <c r="A70" s="194" t="s">
        <v>693</v>
      </c>
      <c r="B70" s="194" t="s">
        <v>694</v>
      </c>
      <c r="C70" s="194" t="s">
        <v>646</v>
      </c>
      <c r="D70" s="194" t="s">
        <v>647</v>
      </c>
      <c r="E70" s="195">
        <v>1.0</v>
      </c>
      <c r="F70" s="194" t="s">
        <v>609</v>
      </c>
      <c r="G70" s="192">
        <v>1.36</v>
      </c>
      <c r="H70" s="176"/>
    </row>
    <row r="71">
      <c r="A71" s="194" t="s">
        <v>693</v>
      </c>
      <c r="B71" s="194" t="s">
        <v>694</v>
      </c>
      <c r="C71" s="194" t="s">
        <v>607</v>
      </c>
      <c r="D71" s="194" t="s">
        <v>608</v>
      </c>
      <c r="E71" s="195">
        <v>1.0</v>
      </c>
      <c r="F71" s="194" t="s">
        <v>609</v>
      </c>
      <c r="G71" s="192">
        <v>66.55</v>
      </c>
      <c r="H71" s="41"/>
    </row>
    <row r="72">
      <c r="A72" s="209" t="s">
        <v>701</v>
      </c>
      <c r="B72" s="209" t="s">
        <v>702</v>
      </c>
      <c r="C72" s="209" t="s">
        <v>615</v>
      </c>
      <c r="D72" s="209" t="s">
        <v>616</v>
      </c>
      <c r="E72" s="210">
        <v>1.0</v>
      </c>
      <c r="F72" s="209" t="s">
        <v>609</v>
      </c>
      <c r="G72" s="211">
        <v>33.75</v>
      </c>
      <c r="H72" s="212">
        <v>275.39</v>
      </c>
    </row>
    <row r="73">
      <c r="A73" s="209" t="s">
        <v>701</v>
      </c>
      <c r="B73" s="209" t="s">
        <v>702</v>
      </c>
      <c r="C73" s="209" t="s">
        <v>642</v>
      </c>
      <c r="D73" s="209" t="s">
        <v>643</v>
      </c>
      <c r="E73" s="210">
        <v>1.0</v>
      </c>
      <c r="F73" s="209" t="s">
        <v>609</v>
      </c>
      <c r="G73" s="211">
        <v>1.68</v>
      </c>
      <c r="H73" s="176"/>
    </row>
    <row r="74">
      <c r="A74" s="209" t="s">
        <v>701</v>
      </c>
      <c r="B74" s="209" t="s">
        <v>702</v>
      </c>
      <c r="C74" s="209" t="s">
        <v>644</v>
      </c>
      <c r="D74" s="209" t="s">
        <v>645</v>
      </c>
      <c r="E74" s="210">
        <v>1.0</v>
      </c>
      <c r="F74" s="209" t="s">
        <v>609</v>
      </c>
      <c r="G74" s="211">
        <v>1.9</v>
      </c>
      <c r="H74" s="176"/>
    </row>
    <row r="75">
      <c r="A75" s="209" t="s">
        <v>701</v>
      </c>
      <c r="B75" s="209" t="s">
        <v>702</v>
      </c>
      <c r="C75" s="209" t="s">
        <v>612</v>
      </c>
      <c r="D75" s="209" t="s">
        <v>614</v>
      </c>
      <c r="E75" s="210">
        <v>1.0</v>
      </c>
      <c r="F75" s="209" t="s">
        <v>609</v>
      </c>
      <c r="G75" s="211">
        <v>25.0</v>
      </c>
      <c r="H75" s="176"/>
    </row>
    <row r="76">
      <c r="A76" s="209" t="s">
        <v>701</v>
      </c>
      <c r="B76" s="209" t="s">
        <v>702</v>
      </c>
      <c r="C76" s="209" t="s">
        <v>619</v>
      </c>
      <c r="D76" s="209" t="s">
        <v>620</v>
      </c>
      <c r="E76" s="210">
        <v>1.0</v>
      </c>
      <c r="F76" s="209" t="s">
        <v>609</v>
      </c>
      <c r="G76" s="211">
        <v>5.34</v>
      </c>
      <c r="H76" s="176"/>
    </row>
    <row r="77">
      <c r="A77" s="209" t="s">
        <v>701</v>
      </c>
      <c r="B77" s="209" t="s">
        <v>702</v>
      </c>
      <c r="C77" s="209" t="s">
        <v>696</v>
      </c>
      <c r="D77" s="209" t="s">
        <v>697</v>
      </c>
      <c r="E77" s="210">
        <v>1.0</v>
      </c>
      <c r="F77" s="209" t="s">
        <v>609</v>
      </c>
      <c r="G77" s="211">
        <v>43.21</v>
      </c>
      <c r="H77" s="176"/>
    </row>
    <row r="78">
      <c r="A78" s="209" t="s">
        <v>701</v>
      </c>
      <c r="B78" s="209" t="s">
        <v>702</v>
      </c>
      <c r="C78" s="209" t="s">
        <v>699</v>
      </c>
      <c r="D78" s="209" t="s">
        <v>700</v>
      </c>
      <c r="E78" s="210">
        <v>1.0</v>
      </c>
      <c r="F78" s="209" t="s">
        <v>609</v>
      </c>
      <c r="G78" s="211">
        <v>112.06</v>
      </c>
      <c r="H78" s="176"/>
    </row>
    <row r="79">
      <c r="A79" s="209" t="s">
        <v>701</v>
      </c>
      <c r="B79" s="209" t="s">
        <v>702</v>
      </c>
      <c r="C79" s="209" t="s">
        <v>646</v>
      </c>
      <c r="D79" s="209" t="s">
        <v>647</v>
      </c>
      <c r="E79" s="210">
        <v>1.0</v>
      </c>
      <c r="F79" s="209" t="s">
        <v>609</v>
      </c>
      <c r="G79" s="211">
        <v>1.36</v>
      </c>
      <c r="H79" s="176"/>
    </row>
    <row r="80">
      <c r="A80" s="209" t="s">
        <v>701</v>
      </c>
      <c r="B80" s="209" t="s">
        <v>702</v>
      </c>
      <c r="C80" s="209" t="s">
        <v>648</v>
      </c>
      <c r="D80" s="209" t="s">
        <v>649</v>
      </c>
      <c r="E80" s="210">
        <v>1.0</v>
      </c>
      <c r="F80" s="209" t="s">
        <v>609</v>
      </c>
      <c r="G80" s="211">
        <v>51.09</v>
      </c>
      <c r="H80" s="41"/>
    </row>
    <row r="81">
      <c r="A81" s="194" t="s">
        <v>707</v>
      </c>
      <c r="B81" s="194" t="s">
        <v>708</v>
      </c>
      <c r="C81" s="194" t="s">
        <v>615</v>
      </c>
      <c r="D81" s="194" t="s">
        <v>616</v>
      </c>
      <c r="E81" s="195">
        <v>1.0</v>
      </c>
      <c r="F81" s="194" t="s">
        <v>609</v>
      </c>
      <c r="G81" s="192">
        <v>33.5</v>
      </c>
      <c r="H81" s="193">
        <v>264.89</v>
      </c>
    </row>
    <row r="82">
      <c r="A82" s="194" t="s">
        <v>707</v>
      </c>
      <c r="B82" s="194" t="s">
        <v>708</v>
      </c>
      <c r="C82" s="194" t="s">
        <v>642</v>
      </c>
      <c r="D82" s="194" t="s">
        <v>643</v>
      </c>
      <c r="E82" s="195">
        <v>1.0</v>
      </c>
      <c r="F82" s="194" t="s">
        <v>609</v>
      </c>
      <c r="G82" s="192">
        <v>1.68</v>
      </c>
      <c r="H82" s="176"/>
    </row>
    <row r="83">
      <c r="A83" s="194" t="s">
        <v>707</v>
      </c>
      <c r="B83" s="194" t="s">
        <v>708</v>
      </c>
      <c r="C83" s="194" t="s">
        <v>644</v>
      </c>
      <c r="D83" s="194" t="s">
        <v>645</v>
      </c>
      <c r="E83" s="195">
        <v>1.0</v>
      </c>
      <c r="F83" s="194" t="s">
        <v>609</v>
      </c>
      <c r="G83" s="192">
        <v>1.9</v>
      </c>
      <c r="H83" s="176"/>
    </row>
    <row r="84">
      <c r="A84" s="194" t="s">
        <v>707</v>
      </c>
      <c r="B84" s="194" t="s">
        <v>708</v>
      </c>
      <c r="C84" s="194" t="s">
        <v>612</v>
      </c>
      <c r="D84" s="194" t="s">
        <v>614</v>
      </c>
      <c r="E84" s="195">
        <v>1.0</v>
      </c>
      <c r="F84" s="194" t="s">
        <v>609</v>
      </c>
      <c r="G84" s="192">
        <v>25.0</v>
      </c>
      <c r="H84" s="176"/>
    </row>
    <row r="85">
      <c r="A85" s="194" t="s">
        <v>707</v>
      </c>
      <c r="B85" s="194" t="s">
        <v>708</v>
      </c>
      <c r="C85" s="194" t="s">
        <v>619</v>
      </c>
      <c r="D85" s="194" t="s">
        <v>620</v>
      </c>
      <c r="E85" s="195">
        <v>1.0</v>
      </c>
      <c r="F85" s="194" t="s">
        <v>609</v>
      </c>
      <c r="G85" s="192">
        <v>5.34</v>
      </c>
      <c r="H85" s="176"/>
    </row>
    <row r="86">
      <c r="A86" s="194" t="s">
        <v>707</v>
      </c>
      <c r="B86" s="194" t="s">
        <v>708</v>
      </c>
      <c r="C86" s="194" t="s">
        <v>696</v>
      </c>
      <c r="D86" s="194" t="s">
        <v>697</v>
      </c>
      <c r="E86" s="195">
        <v>1.0</v>
      </c>
      <c r="F86" s="194" t="s">
        <v>609</v>
      </c>
      <c r="G86" s="192">
        <v>43.21</v>
      </c>
      <c r="H86" s="176"/>
    </row>
    <row r="87">
      <c r="A87" s="194" t="s">
        <v>707</v>
      </c>
      <c r="B87" s="194" t="s">
        <v>708</v>
      </c>
      <c r="C87" s="194" t="s">
        <v>699</v>
      </c>
      <c r="D87" s="194" t="s">
        <v>700</v>
      </c>
      <c r="E87" s="195">
        <v>1.0</v>
      </c>
      <c r="F87" s="194" t="s">
        <v>609</v>
      </c>
      <c r="G87" s="192">
        <v>116.1</v>
      </c>
      <c r="H87" s="176"/>
    </row>
    <row r="88">
      <c r="A88" s="194" t="s">
        <v>707</v>
      </c>
      <c r="B88" s="194" t="s">
        <v>708</v>
      </c>
      <c r="C88" s="194" t="s">
        <v>646</v>
      </c>
      <c r="D88" s="194" t="s">
        <v>647</v>
      </c>
      <c r="E88" s="195">
        <v>1.0</v>
      </c>
      <c r="F88" s="194" t="s">
        <v>609</v>
      </c>
      <c r="G88" s="192">
        <v>1.36</v>
      </c>
      <c r="H88" s="176"/>
    </row>
    <row r="89">
      <c r="A89" s="194" t="s">
        <v>707</v>
      </c>
      <c r="B89" s="194" t="s">
        <v>708</v>
      </c>
      <c r="C89" s="194" t="s">
        <v>711</v>
      </c>
      <c r="D89" s="194" t="s">
        <v>712</v>
      </c>
      <c r="E89" s="195">
        <v>1.0</v>
      </c>
      <c r="F89" s="194" t="s">
        <v>609</v>
      </c>
      <c r="G89" s="192">
        <v>36.8</v>
      </c>
      <c r="H89" s="41"/>
    </row>
    <row r="90">
      <c r="A90" s="200" t="s">
        <v>713</v>
      </c>
      <c r="B90" s="200" t="s">
        <v>714</v>
      </c>
      <c r="C90" s="200" t="s">
        <v>696</v>
      </c>
      <c r="D90" s="200" t="s">
        <v>697</v>
      </c>
      <c r="E90" s="201">
        <v>1.0</v>
      </c>
      <c r="F90" s="200" t="s">
        <v>609</v>
      </c>
      <c r="G90" s="202">
        <v>43.25</v>
      </c>
      <c r="H90" s="203">
        <v>273.52</v>
      </c>
    </row>
    <row r="91">
      <c r="A91" s="200" t="s">
        <v>713</v>
      </c>
      <c r="B91" s="200" t="s">
        <v>714</v>
      </c>
      <c r="C91" s="200" t="s">
        <v>615</v>
      </c>
      <c r="D91" s="200" t="s">
        <v>616</v>
      </c>
      <c r="E91" s="201">
        <v>1.0</v>
      </c>
      <c r="F91" s="200" t="s">
        <v>609</v>
      </c>
      <c r="G91" s="202">
        <v>33.75</v>
      </c>
      <c r="H91" s="176"/>
    </row>
    <row r="92">
      <c r="A92" s="200" t="s">
        <v>713</v>
      </c>
      <c r="B92" s="200" t="s">
        <v>714</v>
      </c>
      <c r="C92" s="200" t="s">
        <v>642</v>
      </c>
      <c r="D92" s="200" t="s">
        <v>643</v>
      </c>
      <c r="E92" s="201">
        <v>1.0</v>
      </c>
      <c r="F92" s="200" t="s">
        <v>609</v>
      </c>
      <c r="G92" s="202">
        <v>1.68</v>
      </c>
      <c r="H92" s="176"/>
    </row>
    <row r="93">
      <c r="A93" s="200" t="s">
        <v>713</v>
      </c>
      <c r="B93" s="200" t="s">
        <v>714</v>
      </c>
      <c r="C93" s="200" t="s">
        <v>644</v>
      </c>
      <c r="D93" s="200" t="s">
        <v>645</v>
      </c>
      <c r="E93" s="201">
        <v>1.0</v>
      </c>
      <c r="F93" s="200" t="s">
        <v>609</v>
      </c>
      <c r="G93" s="202">
        <v>1.9</v>
      </c>
      <c r="H93" s="176"/>
    </row>
    <row r="94">
      <c r="A94" s="200" t="s">
        <v>713</v>
      </c>
      <c r="B94" s="200" t="s">
        <v>714</v>
      </c>
      <c r="C94" s="200" t="s">
        <v>612</v>
      </c>
      <c r="D94" s="200" t="s">
        <v>614</v>
      </c>
      <c r="E94" s="201">
        <v>1.0</v>
      </c>
      <c r="F94" s="200" t="s">
        <v>609</v>
      </c>
      <c r="G94" s="202">
        <v>25.0</v>
      </c>
      <c r="H94" s="176"/>
    </row>
    <row r="95">
      <c r="A95" s="200" t="s">
        <v>713</v>
      </c>
      <c r="B95" s="200" t="s">
        <v>714</v>
      </c>
      <c r="C95" s="200" t="s">
        <v>619</v>
      </c>
      <c r="D95" s="200" t="s">
        <v>620</v>
      </c>
      <c r="E95" s="201">
        <v>1.0</v>
      </c>
      <c r="F95" s="200" t="s">
        <v>609</v>
      </c>
      <c r="G95" s="202">
        <v>5.34</v>
      </c>
      <c r="H95" s="176"/>
    </row>
    <row r="96">
      <c r="A96" s="200" t="s">
        <v>713</v>
      </c>
      <c r="B96" s="200" t="s">
        <v>714</v>
      </c>
      <c r="C96" s="200" t="s">
        <v>699</v>
      </c>
      <c r="D96" s="200" t="s">
        <v>700</v>
      </c>
      <c r="E96" s="201">
        <v>1.0</v>
      </c>
      <c r="F96" s="200" t="s">
        <v>609</v>
      </c>
      <c r="G96" s="202">
        <v>112.06</v>
      </c>
      <c r="H96" s="176"/>
    </row>
    <row r="97">
      <c r="A97" s="200" t="s">
        <v>713</v>
      </c>
      <c r="B97" s="200" t="s">
        <v>714</v>
      </c>
      <c r="C97" s="200" t="s">
        <v>646</v>
      </c>
      <c r="D97" s="200" t="s">
        <v>647</v>
      </c>
      <c r="E97" s="201">
        <v>1.0</v>
      </c>
      <c r="F97" s="200" t="s">
        <v>609</v>
      </c>
      <c r="G97" s="202">
        <v>1.36</v>
      </c>
      <c r="H97" s="176"/>
    </row>
    <row r="98">
      <c r="A98" s="200" t="s">
        <v>713</v>
      </c>
      <c r="B98" s="200" t="s">
        <v>714</v>
      </c>
      <c r="C98" s="200" t="s">
        <v>676</v>
      </c>
      <c r="D98" s="200" t="s">
        <v>677</v>
      </c>
      <c r="E98" s="201">
        <v>1.0</v>
      </c>
      <c r="F98" s="200" t="s">
        <v>609</v>
      </c>
      <c r="G98" s="202">
        <v>49.18</v>
      </c>
      <c r="H98" s="41"/>
    </row>
    <row r="99">
      <c r="A99" s="209" t="s">
        <v>719</v>
      </c>
      <c r="B99" s="209" t="s">
        <v>720</v>
      </c>
      <c r="C99" s="209" t="s">
        <v>615</v>
      </c>
      <c r="D99" s="209" t="s">
        <v>616</v>
      </c>
      <c r="E99" s="210">
        <v>1.0</v>
      </c>
      <c r="F99" s="209" t="s">
        <v>609</v>
      </c>
      <c r="G99" s="211">
        <v>33.75</v>
      </c>
      <c r="H99" s="212">
        <v>278.5</v>
      </c>
    </row>
    <row r="100">
      <c r="A100" s="209" t="s">
        <v>719</v>
      </c>
      <c r="B100" s="209" t="s">
        <v>720</v>
      </c>
      <c r="C100" s="209" t="s">
        <v>642</v>
      </c>
      <c r="D100" s="209" t="s">
        <v>643</v>
      </c>
      <c r="E100" s="210">
        <v>1.0</v>
      </c>
      <c r="F100" s="209" t="s">
        <v>609</v>
      </c>
      <c r="G100" s="211">
        <v>1.68</v>
      </c>
      <c r="H100" s="176"/>
    </row>
    <row r="101">
      <c r="A101" s="209" t="s">
        <v>719</v>
      </c>
      <c r="B101" s="209" t="s">
        <v>720</v>
      </c>
      <c r="C101" s="209" t="s">
        <v>644</v>
      </c>
      <c r="D101" s="209" t="s">
        <v>645</v>
      </c>
      <c r="E101" s="210">
        <v>1.0</v>
      </c>
      <c r="F101" s="209" t="s">
        <v>609</v>
      </c>
      <c r="G101" s="211">
        <v>1.9</v>
      </c>
      <c r="H101" s="176"/>
    </row>
    <row r="102">
      <c r="A102" s="209" t="s">
        <v>719</v>
      </c>
      <c r="B102" s="209" t="s">
        <v>720</v>
      </c>
      <c r="C102" s="209" t="s">
        <v>612</v>
      </c>
      <c r="D102" s="209" t="s">
        <v>614</v>
      </c>
      <c r="E102" s="210">
        <v>1.0</v>
      </c>
      <c r="F102" s="209" t="s">
        <v>609</v>
      </c>
      <c r="G102" s="211">
        <v>25.0</v>
      </c>
      <c r="H102" s="176"/>
    </row>
    <row r="103">
      <c r="A103" s="209" t="s">
        <v>719</v>
      </c>
      <c r="B103" s="209" t="s">
        <v>720</v>
      </c>
      <c r="C103" s="209" t="s">
        <v>619</v>
      </c>
      <c r="D103" s="209" t="s">
        <v>620</v>
      </c>
      <c r="E103" s="210">
        <v>1.0</v>
      </c>
      <c r="F103" s="209" t="s">
        <v>609</v>
      </c>
      <c r="G103" s="211">
        <v>5.34</v>
      </c>
      <c r="H103" s="176"/>
    </row>
    <row r="104">
      <c r="A104" s="209" t="s">
        <v>719</v>
      </c>
      <c r="B104" s="209" t="s">
        <v>720</v>
      </c>
      <c r="C104" s="209" t="s">
        <v>696</v>
      </c>
      <c r="D104" s="209" t="s">
        <v>697</v>
      </c>
      <c r="E104" s="210">
        <v>1.0</v>
      </c>
      <c r="F104" s="209" t="s">
        <v>609</v>
      </c>
      <c r="G104" s="211">
        <v>43.35</v>
      </c>
      <c r="H104" s="176"/>
    </row>
    <row r="105">
      <c r="A105" s="209" t="s">
        <v>719</v>
      </c>
      <c r="B105" s="209" t="s">
        <v>720</v>
      </c>
      <c r="C105" s="209" t="s">
        <v>699</v>
      </c>
      <c r="D105" s="209" t="s">
        <v>700</v>
      </c>
      <c r="E105" s="210">
        <v>1.0</v>
      </c>
      <c r="F105" s="209" t="s">
        <v>609</v>
      </c>
      <c r="G105" s="211">
        <v>112.06</v>
      </c>
      <c r="H105" s="176"/>
    </row>
    <row r="106">
      <c r="A106" s="209" t="s">
        <v>719</v>
      </c>
      <c r="B106" s="209" t="s">
        <v>720</v>
      </c>
      <c r="C106" s="209" t="s">
        <v>646</v>
      </c>
      <c r="D106" s="209" t="s">
        <v>647</v>
      </c>
      <c r="E106" s="210">
        <v>1.0</v>
      </c>
      <c r="F106" s="209" t="s">
        <v>609</v>
      </c>
      <c r="G106" s="211">
        <v>1.36</v>
      </c>
      <c r="H106" s="176"/>
    </row>
    <row r="107">
      <c r="A107" s="209" t="s">
        <v>719</v>
      </c>
      <c r="B107" s="209" t="s">
        <v>720</v>
      </c>
      <c r="C107" s="209" t="s">
        <v>683</v>
      </c>
      <c r="D107" s="209" t="s">
        <v>684</v>
      </c>
      <c r="E107" s="210">
        <v>1.0</v>
      </c>
      <c r="F107" s="209" t="s">
        <v>609</v>
      </c>
      <c r="G107" s="211">
        <v>54.06</v>
      </c>
      <c r="H107" s="41"/>
    </row>
    <row r="108">
      <c r="A108" s="218" t="s">
        <v>721</v>
      </c>
      <c r="B108" s="218" t="s">
        <v>723</v>
      </c>
      <c r="C108" s="218" t="s">
        <v>687</v>
      </c>
      <c r="D108" s="218" t="s">
        <v>688</v>
      </c>
      <c r="E108" s="220">
        <v>1.0</v>
      </c>
      <c r="F108" s="218" t="s">
        <v>609</v>
      </c>
      <c r="G108" s="221">
        <v>0.0</v>
      </c>
      <c r="H108" s="222">
        <v>312.51</v>
      </c>
    </row>
    <row r="109">
      <c r="A109" s="218" t="s">
        <v>721</v>
      </c>
      <c r="B109" s="218" t="s">
        <v>723</v>
      </c>
      <c r="C109" s="218" t="s">
        <v>615</v>
      </c>
      <c r="D109" s="218" t="s">
        <v>616</v>
      </c>
      <c r="E109" s="220">
        <v>1.0</v>
      </c>
      <c r="F109" s="218" t="s">
        <v>609</v>
      </c>
      <c r="G109" s="221">
        <v>33.75</v>
      </c>
      <c r="H109" s="176"/>
    </row>
    <row r="110">
      <c r="A110" s="218" t="s">
        <v>721</v>
      </c>
      <c r="B110" s="218" t="s">
        <v>723</v>
      </c>
      <c r="C110" s="218" t="s">
        <v>631</v>
      </c>
      <c r="D110" s="218" t="s">
        <v>632</v>
      </c>
      <c r="E110" s="220">
        <v>1.0</v>
      </c>
      <c r="F110" s="218" t="s">
        <v>609</v>
      </c>
      <c r="G110" s="221">
        <v>0.46</v>
      </c>
      <c r="H110" s="176"/>
    </row>
    <row r="111">
      <c r="A111" s="218" t="s">
        <v>721</v>
      </c>
      <c r="B111" s="218" t="s">
        <v>723</v>
      </c>
      <c r="C111" s="218" t="s">
        <v>726</v>
      </c>
      <c r="D111" s="218" t="s">
        <v>727</v>
      </c>
      <c r="E111" s="220">
        <v>1.0</v>
      </c>
      <c r="F111" s="218" t="s">
        <v>609</v>
      </c>
      <c r="G111" s="221">
        <v>35.0</v>
      </c>
      <c r="H111" s="176"/>
    </row>
    <row r="112">
      <c r="A112" s="218" t="s">
        <v>721</v>
      </c>
      <c r="B112" s="218" t="s">
        <v>723</v>
      </c>
      <c r="C112" s="218" t="s">
        <v>619</v>
      </c>
      <c r="D112" s="218" t="s">
        <v>620</v>
      </c>
      <c r="E112" s="220">
        <v>1.0</v>
      </c>
      <c r="F112" s="218" t="s">
        <v>609</v>
      </c>
      <c r="G112" s="221">
        <v>5.34</v>
      </c>
      <c r="H112" s="176"/>
    </row>
    <row r="113">
      <c r="A113" s="218" t="s">
        <v>721</v>
      </c>
      <c r="B113" s="218" t="s">
        <v>723</v>
      </c>
      <c r="C113" s="218" t="s">
        <v>696</v>
      </c>
      <c r="D113" s="218" t="s">
        <v>697</v>
      </c>
      <c r="E113" s="220">
        <v>1.0</v>
      </c>
      <c r="F113" s="218" t="s">
        <v>609</v>
      </c>
      <c r="G113" s="221">
        <v>43.21</v>
      </c>
      <c r="H113" s="176"/>
    </row>
    <row r="114">
      <c r="A114" s="218" t="s">
        <v>721</v>
      </c>
      <c r="B114" s="218" t="s">
        <v>723</v>
      </c>
      <c r="C114" s="218" t="s">
        <v>699</v>
      </c>
      <c r="D114" s="218" t="s">
        <v>700</v>
      </c>
      <c r="E114" s="220">
        <v>1.0</v>
      </c>
      <c r="F114" s="218" t="s">
        <v>609</v>
      </c>
      <c r="G114" s="221">
        <v>112.06</v>
      </c>
      <c r="H114" s="176"/>
    </row>
    <row r="115">
      <c r="A115" s="218" t="s">
        <v>721</v>
      </c>
      <c r="B115" s="218" t="s">
        <v>723</v>
      </c>
      <c r="C115" s="218" t="s">
        <v>691</v>
      </c>
      <c r="D115" s="218" t="s">
        <v>692</v>
      </c>
      <c r="E115" s="220">
        <v>1.0</v>
      </c>
      <c r="F115" s="218" t="s">
        <v>609</v>
      </c>
      <c r="G115" s="221">
        <v>82.69</v>
      </c>
      <c r="H115" s="41"/>
    </row>
    <row r="116">
      <c r="A116" s="226" t="s">
        <v>728</v>
      </c>
      <c r="B116" s="226" t="s">
        <v>733</v>
      </c>
      <c r="C116" s="226" t="s">
        <v>607</v>
      </c>
      <c r="D116" s="226" t="s">
        <v>608</v>
      </c>
      <c r="E116" s="227">
        <v>1.0</v>
      </c>
      <c r="F116" s="226" t="s">
        <v>609</v>
      </c>
      <c r="G116" s="228">
        <v>66.0</v>
      </c>
      <c r="H116" s="229">
        <v>270.78</v>
      </c>
    </row>
    <row r="117">
      <c r="A117" s="226" t="s">
        <v>728</v>
      </c>
      <c r="B117" s="226" t="s">
        <v>733</v>
      </c>
      <c r="C117" s="226" t="s">
        <v>642</v>
      </c>
      <c r="D117" s="226" t="s">
        <v>643</v>
      </c>
      <c r="E117" s="227">
        <v>1.0</v>
      </c>
      <c r="F117" s="226" t="s">
        <v>609</v>
      </c>
      <c r="G117" s="228">
        <v>1.68</v>
      </c>
      <c r="H117" s="176"/>
    </row>
    <row r="118">
      <c r="A118" s="226" t="s">
        <v>728</v>
      </c>
      <c r="B118" s="226" t="s">
        <v>733</v>
      </c>
      <c r="C118" s="226" t="s">
        <v>644</v>
      </c>
      <c r="D118" s="226" t="s">
        <v>645</v>
      </c>
      <c r="E118" s="227">
        <v>1.0</v>
      </c>
      <c r="F118" s="226" t="s">
        <v>609</v>
      </c>
      <c r="G118" s="228">
        <v>1.9</v>
      </c>
      <c r="H118" s="176"/>
    </row>
    <row r="119">
      <c r="A119" s="226" t="s">
        <v>728</v>
      </c>
      <c r="B119" s="226" t="s">
        <v>733</v>
      </c>
      <c r="C119" s="226" t="s">
        <v>615</v>
      </c>
      <c r="D119" s="226" t="s">
        <v>616</v>
      </c>
      <c r="E119" s="227">
        <v>1.0</v>
      </c>
      <c r="F119" s="226" t="s">
        <v>609</v>
      </c>
      <c r="G119" s="228">
        <v>33.5</v>
      </c>
      <c r="H119" s="176"/>
    </row>
    <row r="120">
      <c r="A120" s="226" t="s">
        <v>728</v>
      </c>
      <c r="B120" s="226" t="s">
        <v>733</v>
      </c>
      <c r="C120" s="226" t="s">
        <v>619</v>
      </c>
      <c r="D120" s="226" t="s">
        <v>620</v>
      </c>
      <c r="E120" s="227">
        <v>1.0</v>
      </c>
      <c r="F120" s="226" t="s">
        <v>609</v>
      </c>
      <c r="G120" s="228">
        <v>5.34</v>
      </c>
      <c r="H120" s="176"/>
    </row>
    <row r="121">
      <c r="A121" s="226" t="s">
        <v>728</v>
      </c>
      <c r="B121" s="226" t="s">
        <v>733</v>
      </c>
      <c r="C121" s="226" t="s">
        <v>734</v>
      </c>
      <c r="D121" s="226" t="s">
        <v>735</v>
      </c>
      <c r="E121" s="227">
        <v>1.0</v>
      </c>
      <c r="F121" s="226" t="s">
        <v>609</v>
      </c>
      <c r="G121" s="228">
        <v>14.7</v>
      </c>
      <c r="H121" s="176"/>
    </row>
    <row r="122">
      <c r="A122" s="226" t="s">
        <v>728</v>
      </c>
      <c r="B122" s="226" t="s">
        <v>733</v>
      </c>
      <c r="C122" s="226" t="s">
        <v>738</v>
      </c>
      <c r="D122" s="226" t="s">
        <v>739</v>
      </c>
      <c r="E122" s="227">
        <v>1.0</v>
      </c>
      <c r="F122" s="226" t="s">
        <v>740</v>
      </c>
      <c r="G122" s="228">
        <v>121.3</v>
      </c>
      <c r="H122" s="176"/>
    </row>
    <row r="123">
      <c r="A123" s="226" t="s">
        <v>728</v>
      </c>
      <c r="B123" s="226" t="s">
        <v>733</v>
      </c>
      <c r="C123" s="226" t="s">
        <v>612</v>
      </c>
      <c r="D123" s="226" t="s">
        <v>614</v>
      </c>
      <c r="E123" s="227">
        <v>1.0</v>
      </c>
      <c r="F123" s="226" t="s">
        <v>609</v>
      </c>
      <c r="G123" s="228">
        <v>25.0</v>
      </c>
      <c r="H123" s="176"/>
    </row>
    <row r="124">
      <c r="A124" s="226" t="s">
        <v>728</v>
      </c>
      <c r="B124" s="226" t="s">
        <v>733</v>
      </c>
      <c r="C124" s="226" t="s">
        <v>646</v>
      </c>
      <c r="D124" s="226" t="s">
        <v>647</v>
      </c>
      <c r="E124" s="227">
        <v>1.0</v>
      </c>
      <c r="F124" s="226" t="s">
        <v>609</v>
      </c>
      <c r="G124" s="228">
        <v>1.36</v>
      </c>
      <c r="H124" s="41"/>
    </row>
    <row r="125">
      <c r="A125" s="230" t="s">
        <v>742</v>
      </c>
      <c r="B125" s="230" t="s">
        <v>744</v>
      </c>
      <c r="C125" s="230" t="s">
        <v>711</v>
      </c>
      <c r="D125" s="230" t="s">
        <v>712</v>
      </c>
      <c r="E125" s="231">
        <v>1.0</v>
      </c>
      <c r="F125" s="230" t="s">
        <v>609</v>
      </c>
      <c r="G125" s="232">
        <v>36.8</v>
      </c>
      <c r="H125" s="233">
        <v>241.85</v>
      </c>
    </row>
    <row r="126">
      <c r="A126" s="230" t="s">
        <v>742</v>
      </c>
      <c r="B126" s="230" t="s">
        <v>744</v>
      </c>
      <c r="C126" s="230" t="s">
        <v>642</v>
      </c>
      <c r="D126" s="230" t="s">
        <v>643</v>
      </c>
      <c r="E126" s="231">
        <v>1.0</v>
      </c>
      <c r="F126" s="230" t="s">
        <v>609</v>
      </c>
      <c r="G126" s="232">
        <v>1.68</v>
      </c>
      <c r="H126" s="176"/>
    </row>
    <row r="127">
      <c r="A127" s="230" t="s">
        <v>742</v>
      </c>
      <c r="B127" s="230" t="s">
        <v>744</v>
      </c>
      <c r="C127" s="230" t="s">
        <v>644</v>
      </c>
      <c r="D127" s="230" t="s">
        <v>645</v>
      </c>
      <c r="E127" s="231">
        <v>1.0</v>
      </c>
      <c r="F127" s="230" t="s">
        <v>609</v>
      </c>
      <c r="G127" s="232">
        <v>1.9</v>
      </c>
      <c r="H127" s="176"/>
    </row>
    <row r="128">
      <c r="A128" s="230" t="s">
        <v>742</v>
      </c>
      <c r="B128" s="230" t="s">
        <v>744</v>
      </c>
      <c r="C128" s="230" t="s">
        <v>615</v>
      </c>
      <c r="D128" s="230" t="s">
        <v>616</v>
      </c>
      <c r="E128" s="231">
        <v>1.0</v>
      </c>
      <c r="F128" s="230" t="s">
        <v>609</v>
      </c>
      <c r="G128" s="232">
        <v>33.5</v>
      </c>
      <c r="H128" s="176"/>
    </row>
    <row r="129">
      <c r="A129" s="230" t="s">
        <v>742</v>
      </c>
      <c r="B129" s="230" t="s">
        <v>744</v>
      </c>
      <c r="C129" s="230" t="s">
        <v>619</v>
      </c>
      <c r="D129" s="230" t="s">
        <v>620</v>
      </c>
      <c r="E129" s="231">
        <v>1.0</v>
      </c>
      <c r="F129" s="230" t="s">
        <v>609</v>
      </c>
      <c r="G129" s="232">
        <v>5.34</v>
      </c>
      <c r="H129" s="176"/>
    </row>
    <row r="130">
      <c r="A130" s="230" t="s">
        <v>742</v>
      </c>
      <c r="B130" s="230" t="s">
        <v>744</v>
      </c>
      <c r="C130" s="230" t="s">
        <v>734</v>
      </c>
      <c r="D130" s="230" t="s">
        <v>735</v>
      </c>
      <c r="E130" s="231">
        <v>1.0</v>
      </c>
      <c r="F130" s="230" t="s">
        <v>609</v>
      </c>
      <c r="G130" s="232">
        <v>14.7</v>
      </c>
      <c r="H130" s="176"/>
    </row>
    <row r="131">
      <c r="A131" s="230" t="s">
        <v>742</v>
      </c>
      <c r="B131" s="230" t="s">
        <v>744</v>
      </c>
      <c r="C131" s="230" t="s">
        <v>738</v>
      </c>
      <c r="D131" s="230" t="s">
        <v>739</v>
      </c>
      <c r="E131" s="231">
        <v>1.0</v>
      </c>
      <c r="F131" s="230" t="s">
        <v>740</v>
      </c>
      <c r="G131" s="232">
        <v>121.3</v>
      </c>
      <c r="H131" s="176"/>
    </row>
    <row r="132">
      <c r="A132" s="230" t="s">
        <v>742</v>
      </c>
      <c r="B132" s="230" t="s">
        <v>744</v>
      </c>
      <c r="C132" s="230" t="s">
        <v>612</v>
      </c>
      <c r="D132" s="230" t="s">
        <v>614</v>
      </c>
      <c r="E132" s="231">
        <v>1.0</v>
      </c>
      <c r="F132" s="230" t="s">
        <v>609</v>
      </c>
      <c r="G132" s="232">
        <v>25.0</v>
      </c>
      <c r="H132" s="176"/>
    </row>
    <row r="133">
      <c r="A133" s="230" t="s">
        <v>742</v>
      </c>
      <c r="B133" s="230" t="s">
        <v>744</v>
      </c>
      <c r="C133" s="230" t="s">
        <v>646</v>
      </c>
      <c r="D133" s="230" t="s">
        <v>647</v>
      </c>
      <c r="E133" s="231">
        <v>1.0</v>
      </c>
      <c r="F133" s="230" t="s">
        <v>609</v>
      </c>
      <c r="G133" s="232">
        <v>1.36</v>
      </c>
      <c r="H133" s="41"/>
    </row>
    <row r="134">
      <c r="A134" s="209" t="s">
        <v>750</v>
      </c>
      <c r="B134" s="209" t="s">
        <v>751</v>
      </c>
      <c r="C134" s="209" t="s">
        <v>676</v>
      </c>
      <c r="D134" s="209" t="s">
        <v>677</v>
      </c>
      <c r="E134" s="210">
        <v>1.0</v>
      </c>
      <c r="F134" s="209" t="s">
        <v>609</v>
      </c>
      <c r="G134" s="211">
        <v>48.24</v>
      </c>
      <c r="H134" s="212">
        <v>253.02</v>
      </c>
    </row>
    <row r="135">
      <c r="A135" s="209" t="s">
        <v>750</v>
      </c>
      <c r="B135" s="209" t="s">
        <v>751</v>
      </c>
      <c r="C135" s="209" t="s">
        <v>642</v>
      </c>
      <c r="D135" s="209" t="s">
        <v>643</v>
      </c>
      <c r="E135" s="210">
        <v>1.0</v>
      </c>
      <c r="F135" s="209" t="s">
        <v>609</v>
      </c>
      <c r="G135" s="211">
        <v>1.68</v>
      </c>
      <c r="H135" s="176"/>
    </row>
    <row r="136">
      <c r="A136" s="209" t="s">
        <v>750</v>
      </c>
      <c r="B136" s="209" t="s">
        <v>751</v>
      </c>
      <c r="C136" s="209" t="s">
        <v>644</v>
      </c>
      <c r="D136" s="209" t="s">
        <v>645</v>
      </c>
      <c r="E136" s="210">
        <v>1.0</v>
      </c>
      <c r="F136" s="209" t="s">
        <v>609</v>
      </c>
      <c r="G136" s="211">
        <v>1.9</v>
      </c>
      <c r="H136" s="176"/>
    </row>
    <row r="137">
      <c r="A137" s="209" t="s">
        <v>750</v>
      </c>
      <c r="B137" s="209" t="s">
        <v>751</v>
      </c>
      <c r="C137" s="209" t="s">
        <v>615</v>
      </c>
      <c r="D137" s="209" t="s">
        <v>616</v>
      </c>
      <c r="E137" s="210">
        <v>1.0</v>
      </c>
      <c r="F137" s="209" t="s">
        <v>609</v>
      </c>
      <c r="G137" s="211">
        <v>33.5</v>
      </c>
      <c r="H137" s="176"/>
    </row>
    <row r="138">
      <c r="A138" s="209" t="s">
        <v>750</v>
      </c>
      <c r="B138" s="209" t="s">
        <v>751</v>
      </c>
      <c r="C138" s="209" t="s">
        <v>619</v>
      </c>
      <c r="D138" s="209" t="s">
        <v>620</v>
      </c>
      <c r="E138" s="210">
        <v>1.0</v>
      </c>
      <c r="F138" s="209" t="s">
        <v>609</v>
      </c>
      <c r="G138" s="211">
        <v>5.34</v>
      </c>
      <c r="H138" s="176"/>
    </row>
    <row r="139">
      <c r="A139" s="209" t="s">
        <v>750</v>
      </c>
      <c r="B139" s="209" t="s">
        <v>751</v>
      </c>
      <c r="C139" s="209" t="s">
        <v>734</v>
      </c>
      <c r="D139" s="209" t="s">
        <v>735</v>
      </c>
      <c r="E139" s="210">
        <v>1.0</v>
      </c>
      <c r="F139" s="209" t="s">
        <v>609</v>
      </c>
      <c r="G139" s="211">
        <v>14.7</v>
      </c>
      <c r="H139" s="176"/>
    </row>
    <row r="140">
      <c r="A140" s="209" t="s">
        <v>750</v>
      </c>
      <c r="B140" s="209" t="s">
        <v>751</v>
      </c>
      <c r="C140" s="209" t="s">
        <v>738</v>
      </c>
      <c r="D140" s="209" t="s">
        <v>739</v>
      </c>
      <c r="E140" s="210">
        <v>1.0</v>
      </c>
      <c r="F140" s="209" t="s">
        <v>740</v>
      </c>
      <c r="G140" s="211">
        <v>121.3</v>
      </c>
      <c r="H140" s="176"/>
    </row>
    <row r="141">
      <c r="A141" s="209" t="s">
        <v>750</v>
      </c>
      <c r="B141" s="209" t="s">
        <v>751</v>
      </c>
      <c r="C141" s="209" t="s">
        <v>612</v>
      </c>
      <c r="D141" s="209" t="s">
        <v>614</v>
      </c>
      <c r="E141" s="210">
        <v>1.0</v>
      </c>
      <c r="F141" s="209" t="s">
        <v>609</v>
      </c>
      <c r="G141" s="211">
        <v>25.0</v>
      </c>
      <c r="H141" s="176"/>
    </row>
    <row r="142">
      <c r="A142" s="209" t="s">
        <v>750</v>
      </c>
      <c r="B142" s="209" t="s">
        <v>751</v>
      </c>
      <c r="C142" s="209" t="s">
        <v>646</v>
      </c>
      <c r="D142" s="209" t="s">
        <v>647</v>
      </c>
      <c r="E142" s="210">
        <v>1.0</v>
      </c>
      <c r="F142" s="209" t="s">
        <v>609</v>
      </c>
      <c r="G142" s="211">
        <v>1.36</v>
      </c>
      <c r="H142" s="41"/>
    </row>
    <row r="143">
      <c r="A143" s="196" t="s">
        <v>756</v>
      </c>
      <c r="B143" s="196" t="s">
        <v>757</v>
      </c>
      <c r="C143" s="196" t="s">
        <v>691</v>
      </c>
      <c r="D143" s="196" t="s">
        <v>692</v>
      </c>
      <c r="E143" s="197">
        <v>1.0</v>
      </c>
      <c r="F143" s="196" t="s">
        <v>609</v>
      </c>
      <c r="G143" s="198">
        <v>82.01</v>
      </c>
      <c r="H143" s="199">
        <v>300.45</v>
      </c>
    </row>
    <row r="144">
      <c r="A144" s="196" t="s">
        <v>756</v>
      </c>
      <c r="B144" s="196" t="s">
        <v>757</v>
      </c>
      <c r="C144" s="196" t="s">
        <v>631</v>
      </c>
      <c r="D144" s="196" t="s">
        <v>632</v>
      </c>
      <c r="E144" s="197">
        <v>1.0</v>
      </c>
      <c r="F144" s="196" t="s">
        <v>609</v>
      </c>
      <c r="G144" s="198">
        <v>0.46</v>
      </c>
      <c r="H144" s="176"/>
    </row>
    <row r="145">
      <c r="A145" s="196" t="s">
        <v>756</v>
      </c>
      <c r="B145" s="196" t="s">
        <v>757</v>
      </c>
      <c r="C145" s="196" t="s">
        <v>615</v>
      </c>
      <c r="D145" s="196" t="s">
        <v>616</v>
      </c>
      <c r="E145" s="197">
        <v>1.0</v>
      </c>
      <c r="F145" s="196" t="s">
        <v>609</v>
      </c>
      <c r="G145" s="198">
        <v>33.9</v>
      </c>
      <c r="H145" s="176"/>
    </row>
    <row r="146">
      <c r="A146" s="196" t="s">
        <v>756</v>
      </c>
      <c r="B146" s="196" t="s">
        <v>757</v>
      </c>
      <c r="C146" s="196" t="s">
        <v>738</v>
      </c>
      <c r="D146" s="196" t="s">
        <v>739</v>
      </c>
      <c r="E146" s="197">
        <v>1.0</v>
      </c>
      <c r="F146" s="196" t="s">
        <v>740</v>
      </c>
      <c r="G146" s="198">
        <v>121.3</v>
      </c>
      <c r="H146" s="176"/>
    </row>
    <row r="147">
      <c r="A147" s="196" t="s">
        <v>756</v>
      </c>
      <c r="B147" s="196" t="s">
        <v>757</v>
      </c>
      <c r="C147" s="196" t="s">
        <v>619</v>
      </c>
      <c r="D147" s="196" t="s">
        <v>620</v>
      </c>
      <c r="E147" s="197">
        <v>1.0</v>
      </c>
      <c r="F147" s="196" t="s">
        <v>609</v>
      </c>
      <c r="G147" s="198">
        <v>5.34</v>
      </c>
      <c r="H147" s="176"/>
    </row>
    <row r="148">
      <c r="A148" s="196" t="s">
        <v>756</v>
      </c>
      <c r="B148" s="196" t="s">
        <v>757</v>
      </c>
      <c r="C148" s="196" t="s">
        <v>734</v>
      </c>
      <c r="D148" s="196" t="s">
        <v>735</v>
      </c>
      <c r="E148" s="197">
        <v>1.0</v>
      </c>
      <c r="F148" s="196" t="s">
        <v>609</v>
      </c>
      <c r="G148" s="198">
        <v>32.44</v>
      </c>
      <c r="H148" s="176"/>
    </row>
    <row r="149">
      <c r="A149" s="196" t="s">
        <v>756</v>
      </c>
      <c r="B149" s="196" t="s">
        <v>757</v>
      </c>
      <c r="C149" s="196" t="s">
        <v>612</v>
      </c>
      <c r="D149" s="196" t="s">
        <v>614</v>
      </c>
      <c r="E149" s="197">
        <v>1.0</v>
      </c>
      <c r="F149" s="196" t="s">
        <v>609</v>
      </c>
      <c r="G149" s="198">
        <v>25.0</v>
      </c>
      <c r="H149" s="176"/>
    </row>
    <row r="150">
      <c r="A150" s="196" t="s">
        <v>756</v>
      </c>
      <c r="B150" s="196" t="s">
        <v>757</v>
      </c>
      <c r="C150" s="196" t="s">
        <v>687</v>
      </c>
      <c r="D150" s="196" t="s">
        <v>688</v>
      </c>
      <c r="E150" s="197">
        <v>1.0</v>
      </c>
      <c r="F150" s="196" t="s">
        <v>609</v>
      </c>
      <c r="G150" s="198">
        <v>0.0</v>
      </c>
      <c r="H150" s="41"/>
    </row>
    <row r="151">
      <c r="A151" s="234" t="s">
        <v>762</v>
      </c>
      <c r="B151" s="234" t="s">
        <v>763</v>
      </c>
      <c r="C151" s="234" t="s">
        <v>764</v>
      </c>
      <c r="D151" s="234" t="s">
        <v>765</v>
      </c>
      <c r="E151" s="235">
        <v>1.0</v>
      </c>
      <c r="F151" s="234" t="s">
        <v>609</v>
      </c>
      <c r="G151" s="236">
        <v>85.76</v>
      </c>
      <c r="H151" s="235">
        <v>85.67</v>
      </c>
    </row>
    <row r="152">
      <c r="A152" s="194" t="s">
        <v>766</v>
      </c>
      <c r="B152" s="194" t="s">
        <v>767</v>
      </c>
      <c r="C152" s="194" t="s">
        <v>623</v>
      </c>
      <c r="D152" s="194" t="s">
        <v>624</v>
      </c>
      <c r="E152" s="195">
        <v>1.0</v>
      </c>
      <c r="F152" s="194" t="s">
        <v>609</v>
      </c>
      <c r="G152" s="192">
        <v>9.5</v>
      </c>
      <c r="H152" s="193">
        <v>179.32</v>
      </c>
    </row>
    <row r="153">
      <c r="A153" s="194" t="s">
        <v>766</v>
      </c>
      <c r="B153" s="194" t="s">
        <v>767</v>
      </c>
      <c r="C153" s="194" t="s">
        <v>628</v>
      </c>
      <c r="D153" s="194" t="s">
        <v>629</v>
      </c>
      <c r="E153" s="195">
        <v>1.0</v>
      </c>
      <c r="F153" s="194" t="s">
        <v>609</v>
      </c>
      <c r="G153" s="192">
        <v>1.5</v>
      </c>
      <c r="H153" s="176"/>
    </row>
    <row r="154">
      <c r="A154" s="194" t="s">
        <v>766</v>
      </c>
      <c r="B154" s="194" t="s">
        <v>767</v>
      </c>
      <c r="C154" s="194" t="s">
        <v>631</v>
      </c>
      <c r="D154" s="194" t="s">
        <v>632</v>
      </c>
      <c r="E154" s="195">
        <v>1.0</v>
      </c>
      <c r="F154" s="194" t="s">
        <v>609</v>
      </c>
      <c r="G154" s="192">
        <v>0.46</v>
      </c>
      <c r="H154" s="176"/>
    </row>
    <row r="155">
      <c r="A155" s="194" t="s">
        <v>766</v>
      </c>
      <c r="B155" s="194" t="s">
        <v>767</v>
      </c>
      <c r="C155" s="194" t="s">
        <v>612</v>
      </c>
      <c r="D155" s="194" t="s">
        <v>614</v>
      </c>
      <c r="E155" s="195">
        <v>1.0</v>
      </c>
      <c r="F155" s="194" t="s">
        <v>609</v>
      </c>
      <c r="G155" s="192">
        <v>25.0</v>
      </c>
      <c r="H155" s="176"/>
    </row>
    <row r="156">
      <c r="A156" s="194" t="s">
        <v>766</v>
      </c>
      <c r="B156" s="194" t="s">
        <v>767</v>
      </c>
      <c r="C156" s="194" t="s">
        <v>619</v>
      </c>
      <c r="D156" s="194" t="s">
        <v>620</v>
      </c>
      <c r="E156" s="195">
        <v>1.0</v>
      </c>
      <c r="F156" s="194" t="s">
        <v>609</v>
      </c>
      <c r="G156" s="192">
        <v>5.34</v>
      </c>
      <c r="H156" s="176"/>
    </row>
    <row r="157">
      <c r="A157" s="194" t="s">
        <v>766</v>
      </c>
      <c r="B157" s="194" t="s">
        <v>767</v>
      </c>
      <c r="C157" s="194" t="s">
        <v>769</v>
      </c>
      <c r="D157" s="194" t="s">
        <v>770</v>
      </c>
      <c r="E157" s="195">
        <v>1.0</v>
      </c>
      <c r="F157" s="194" t="s">
        <v>609</v>
      </c>
      <c r="G157" s="192">
        <v>6.67</v>
      </c>
      <c r="H157" s="176"/>
    </row>
    <row r="158">
      <c r="A158" s="194" t="s">
        <v>766</v>
      </c>
      <c r="B158" s="194" t="s">
        <v>767</v>
      </c>
      <c r="C158" s="194" t="s">
        <v>633</v>
      </c>
      <c r="D158" s="194" t="s">
        <v>634</v>
      </c>
      <c r="E158" s="195">
        <v>1.0</v>
      </c>
      <c r="F158" s="194" t="s">
        <v>609</v>
      </c>
      <c r="G158" s="192">
        <v>77.15</v>
      </c>
      <c r="H158" s="176"/>
    </row>
    <row r="159">
      <c r="A159" s="194" t="s">
        <v>766</v>
      </c>
      <c r="B159" s="194" t="s">
        <v>767</v>
      </c>
      <c r="C159" s="194" t="s">
        <v>635</v>
      </c>
      <c r="D159" s="194" t="s">
        <v>636</v>
      </c>
      <c r="E159" s="195">
        <v>1.0</v>
      </c>
      <c r="F159" s="194" t="s">
        <v>609</v>
      </c>
      <c r="G159" s="192">
        <v>53.7</v>
      </c>
      <c r="H159" s="41"/>
    </row>
    <row r="160">
      <c r="A160" s="200" t="s">
        <v>771</v>
      </c>
      <c r="B160" s="200" t="s">
        <v>772</v>
      </c>
      <c r="C160" s="200" t="s">
        <v>623</v>
      </c>
      <c r="D160" s="200" t="s">
        <v>624</v>
      </c>
      <c r="E160" s="201">
        <v>1.0</v>
      </c>
      <c r="F160" s="200" t="s">
        <v>609</v>
      </c>
      <c r="G160" s="202">
        <v>9.5</v>
      </c>
      <c r="H160" s="203">
        <v>190.05</v>
      </c>
    </row>
    <row r="161">
      <c r="A161" s="200" t="s">
        <v>771</v>
      </c>
      <c r="B161" s="200" t="s">
        <v>772</v>
      </c>
      <c r="C161" s="200" t="s">
        <v>769</v>
      </c>
      <c r="D161" s="200" t="s">
        <v>770</v>
      </c>
      <c r="E161" s="201">
        <v>1.0</v>
      </c>
      <c r="F161" s="200" t="s">
        <v>609</v>
      </c>
      <c r="G161" s="202">
        <v>15.53</v>
      </c>
      <c r="H161" s="176"/>
    </row>
    <row r="162">
      <c r="A162" s="200" t="s">
        <v>771</v>
      </c>
      <c r="B162" s="200" t="s">
        <v>772</v>
      </c>
      <c r="C162" s="200" t="s">
        <v>628</v>
      </c>
      <c r="D162" s="200" t="s">
        <v>629</v>
      </c>
      <c r="E162" s="201">
        <v>1.0</v>
      </c>
      <c r="F162" s="200" t="s">
        <v>609</v>
      </c>
      <c r="G162" s="202">
        <v>1.5</v>
      </c>
      <c r="H162" s="176"/>
    </row>
    <row r="163">
      <c r="A163" s="200" t="s">
        <v>771</v>
      </c>
      <c r="B163" s="200" t="s">
        <v>772</v>
      </c>
      <c r="C163" s="200" t="s">
        <v>642</v>
      </c>
      <c r="D163" s="200" t="s">
        <v>643</v>
      </c>
      <c r="E163" s="201">
        <v>1.0</v>
      </c>
      <c r="F163" s="200" t="s">
        <v>609</v>
      </c>
      <c r="G163" s="202">
        <v>1.68</v>
      </c>
      <c r="H163" s="176"/>
    </row>
    <row r="164">
      <c r="A164" s="200" t="s">
        <v>771</v>
      </c>
      <c r="B164" s="200" t="s">
        <v>772</v>
      </c>
      <c r="C164" s="200" t="s">
        <v>644</v>
      </c>
      <c r="D164" s="200" t="s">
        <v>645</v>
      </c>
      <c r="E164" s="201">
        <v>1.0</v>
      </c>
      <c r="F164" s="200" t="s">
        <v>609</v>
      </c>
      <c r="G164" s="202">
        <v>1.9</v>
      </c>
      <c r="H164" s="176"/>
    </row>
    <row r="165">
      <c r="A165" s="200" t="s">
        <v>771</v>
      </c>
      <c r="B165" s="200" t="s">
        <v>772</v>
      </c>
      <c r="C165" s="200" t="s">
        <v>633</v>
      </c>
      <c r="D165" s="200" t="s">
        <v>634</v>
      </c>
      <c r="E165" s="201">
        <v>1.0</v>
      </c>
      <c r="F165" s="200" t="s">
        <v>609</v>
      </c>
      <c r="G165" s="202">
        <v>77.15</v>
      </c>
      <c r="H165" s="176"/>
    </row>
    <row r="166">
      <c r="A166" s="200" t="s">
        <v>771</v>
      </c>
      <c r="B166" s="200" t="s">
        <v>772</v>
      </c>
      <c r="C166" s="200" t="s">
        <v>612</v>
      </c>
      <c r="D166" s="200" t="s">
        <v>614</v>
      </c>
      <c r="E166" s="201">
        <v>1.0</v>
      </c>
      <c r="F166" s="200" t="s">
        <v>609</v>
      </c>
      <c r="G166" s="202">
        <v>25.0</v>
      </c>
      <c r="H166" s="176"/>
    </row>
    <row r="167">
      <c r="A167" s="200" t="s">
        <v>771</v>
      </c>
      <c r="B167" s="200" t="s">
        <v>772</v>
      </c>
      <c r="C167" s="200" t="s">
        <v>619</v>
      </c>
      <c r="D167" s="200" t="s">
        <v>620</v>
      </c>
      <c r="E167" s="201">
        <v>1.0</v>
      </c>
      <c r="F167" s="200" t="s">
        <v>609</v>
      </c>
      <c r="G167" s="202">
        <v>5.34</v>
      </c>
      <c r="H167" s="176"/>
    </row>
    <row r="168">
      <c r="A168" s="200" t="s">
        <v>771</v>
      </c>
      <c r="B168" s="200" t="s">
        <v>772</v>
      </c>
      <c r="C168" s="200" t="s">
        <v>646</v>
      </c>
      <c r="D168" s="200" t="s">
        <v>647</v>
      </c>
      <c r="E168" s="201">
        <v>1.0</v>
      </c>
      <c r="F168" s="200" t="s">
        <v>609</v>
      </c>
      <c r="G168" s="202">
        <v>1.36</v>
      </c>
      <c r="H168" s="176"/>
    </row>
    <row r="169">
      <c r="A169" s="200" t="s">
        <v>771</v>
      </c>
      <c r="B169" s="200" t="s">
        <v>772</v>
      </c>
      <c r="C169" s="200" t="s">
        <v>648</v>
      </c>
      <c r="D169" s="200" t="s">
        <v>649</v>
      </c>
      <c r="E169" s="201">
        <v>1.0</v>
      </c>
      <c r="F169" s="200" t="s">
        <v>609</v>
      </c>
      <c r="G169" s="202">
        <v>51.09</v>
      </c>
      <c r="H169" s="41"/>
    </row>
    <row r="170">
      <c r="A170" s="209" t="s">
        <v>774</v>
      </c>
      <c r="B170" s="209" t="s">
        <v>775</v>
      </c>
      <c r="C170" s="209" t="s">
        <v>623</v>
      </c>
      <c r="D170" s="209" t="s">
        <v>624</v>
      </c>
      <c r="E170" s="210">
        <v>1.0</v>
      </c>
      <c r="F170" s="209" t="s">
        <v>609</v>
      </c>
      <c r="G170" s="211">
        <v>9.5</v>
      </c>
      <c r="H170" s="212">
        <v>175.98</v>
      </c>
    </row>
    <row r="171">
      <c r="A171" s="209" t="s">
        <v>774</v>
      </c>
      <c r="B171" s="209" t="s">
        <v>775</v>
      </c>
      <c r="C171" s="209" t="s">
        <v>769</v>
      </c>
      <c r="D171" s="209" t="s">
        <v>770</v>
      </c>
      <c r="E171" s="210">
        <v>1.0</v>
      </c>
      <c r="F171" s="209" t="s">
        <v>609</v>
      </c>
      <c r="G171" s="211">
        <v>15.53</v>
      </c>
      <c r="H171" s="176"/>
    </row>
    <row r="172">
      <c r="A172" s="209" t="s">
        <v>774</v>
      </c>
      <c r="B172" s="209" t="s">
        <v>775</v>
      </c>
      <c r="C172" s="209" t="s">
        <v>628</v>
      </c>
      <c r="D172" s="209" t="s">
        <v>629</v>
      </c>
      <c r="E172" s="210">
        <v>1.0</v>
      </c>
      <c r="F172" s="209" t="s">
        <v>609</v>
      </c>
      <c r="G172" s="211">
        <v>1.5</v>
      </c>
      <c r="H172" s="176"/>
    </row>
    <row r="173">
      <c r="A173" s="209" t="s">
        <v>774</v>
      </c>
      <c r="B173" s="209" t="s">
        <v>775</v>
      </c>
      <c r="C173" s="209" t="s">
        <v>642</v>
      </c>
      <c r="D173" s="209" t="s">
        <v>643</v>
      </c>
      <c r="E173" s="210">
        <v>1.0</v>
      </c>
      <c r="F173" s="209" t="s">
        <v>609</v>
      </c>
      <c r="G173" s="211">
        <v>1.68</v>
      </c>
      <c r="H173" s="176"/>
    </row>
    <row r="174">
      <c r="A174" s="209" t="s">
        <v>774</v>
      </c>
      <c r="B174" s="209" t="s">
        <v>775</v>
      </c>
      <c r="C174" s="209" t="s">
        <v>644</v>
      </c>
      <c r="D174" s="209" t="s">
        <v>645</v>
      </c>
      <c r="E174" s="210">
        <v>1.0</v>
      </c>
      <c r="F174" s="209" t="s">
        <v>609</v>
      </c>
      <c r="G174" s="211">
        <v>1.9</v>
      </c>
      <c r="H174" s="176"/>
    </row>
    <row r="175">
      <c r="A175" s="209" t="s">
        <v>774</v>
      </c>
      <c r="B175" s="209" t="s">
        <v>775</v>
      </c>
      <c r="C175" s="209" t="s">
        <v>633</v>
      </c>
      <c r="D175" s="209" t="s">
        <v>634</v>
      </c>
      <c r="E175" s="210">
        <v>1.0</v>
      </c>
      <c r="F175" s="209" t="s">
        <v>609</v>
      </c>
      <c r="G175" s="211">
        <v>77.15</v>
      </c>
      <c r="H175" s="176"/>
    </row>
    <row r="176">
      <c r="A176" s="209" t="s">
        <v>774</v>
      </c>
      <c r="B176" s="209" t="s">
        <v>775</v>
      </c>
      <c r="C176" s="209" t="s">
        <v>612</v>
      </c>
      <c r="D176" s="209" t="s">
        <v>614</v>
      </c>
      <c r="E176" s="210">
        <v>1.0</v>
      </c>
      <c r="F176" s="209" t="s">
        <v>609</v>
      </c>
      <c r="G176" s="211">
        <v>25.0</v>
      </c>
      <c r="H176" s="176"/>
    </row>
    <row r="177">
      <c r="A177" s="209" t="s">
        <v>774</v>
      </c>
      <c r="B177" s="209" t="s">
        <v>775</v>
      </c>
      <c r="C177" s="209" t="s">
        <v>619</v>
      </c>
      <c r="D177" s="209" t="s">
        <v>620</v>
      </c>
      <c r="E177" s="210">
        <v>1.0</v>
      </c>
      <c r="F177" s="209" t="s">
        <v>609</v>
      </c>
      <c r="G177" s="211">
        <v>5.34</v>
      </c>
      <c r="H177" s="176"/>
    </row>
    <row r="178">
      <c r="A178" s="209" t="s">
        <v>774</v>
      </c>
      <c r="B178" s="209" t="s">
        <v>775</v>
      </c>
      <c r="C178" s="209" t="s">
        <v>646</v>
      </c>
      <c r="D178" s="209" t="s">
        <v>647</v>
      </c>
      <c r="E178" s="210">
        <v>1.0</v>
      </c>
      <c r="F178" s="209" t="s">
        <v>609</v>
      </c>
      <c r="G178" s="211">
        <v>1.36</v>
      </c>
      <c r="H178" s="176"/>
    </row>
    <row r="179">
      <c r="A179" s="209" t="s">
        <v>774</v>
      </c>
      <c r="B179" s="209" t="s">
        <v>775</v>
      </c>
      <c r="C179" s="209" t="s">
        <v>711</v>
      </c>
      <c r="D179" s="209" t="s">
        <v>712</v>
      </c>
      <c r="E179" s="210">
        <v>1.0</v>
      </c>
      <c r="F179" s="209" t="s">
        <v>609</v>
      </c>
      <c r="G179" s="211">
        <v>37.02</v>
      </c>
      <c r="H179" s="41"/>
    </row>
    <row r="180">
      <c r="A180" s="194" t="s">
        <v>778</v>
      </c>
      <c r="B180" s="194" t="s">
        <v>779</v>
      </c>
      <c r="C180" s="194" t="s">
        <v>623</v>
      </c>
      <c r="D180" s="194" t="s">
        <v>624</v>
      </c>
      <c r="E180" s="195">
        <v>1.0</v>
      </c>
      <c r="F180" s="194" t="s">
        <v>609</v>
      </c>
      <c r="G180" s="192">
        <v>9.5</v>
      </c>
      <c r="H180" s="193">
        <v>179.94</v>
      </c>
    </row>
    <row r="181">
      <c r="A181" s="194" t="s">
        <v>778</v>
      </c>
      <c r="B181" s="194" t="s">
        <v>779</v>
      </c>
      <c r="C181" s="194" t="s">
        <v>628</v>
      </c>
      <c r="D181" s="194" t="s">
        <v>629</v>
      </c>
      <c r="E181" s="195">
        <v>1.0</v>
      </c>
      <c r="F181" s="194" t="s">
        <v>609</v>
      </c>
      <c r="G181" s="192">
        <v>1.5</v>
      </c>
      <c r="H181" s="176"/>
    </row>
    <row r="182">
      <c r="A182" s="194" t="s">
        <v>778</v>
      </c>
      <c r="B182" s="194" t="s">
        <v>779</v>
      </c>
      <c r="C182" s="194" t="s">
        <v>642</v>
      </c>
      <c r="D182" s="194" t="s">
        <v>643</v>
      </c>
      <c r="E182" s="195">
        <v>1.0</v>
      </c>
      <c r="F182" s="194" t="s">
        <v>609</v>
      </c>
      <c r="G182" s="192">
        <v>1.68</v>
      </c>
      <c r="H182" s="176"/>
    </row>
    <row r="183">
      <c r="A183" s="194" t="s">
        <v>778</v>
      </c>
      <c r="B183" s="194" t="s">
        <v>779</v>
      </c>
      <c r="C183" s="194" t="s">
        <v>644</v>
      </c>
      <c r="D183" s="194" t="s">
        <v>645</v>
      </c>
      <c r="E183" s="195">
        <v>1.0</v>
      </c>
      <c r="F183" s="194" t="s">
        <v>609</v>
      </c>
      <c r="G183" s="192">
        <v>1.9</v>
      </c>
      <c r="H183" s="176"/>
    </row>
    <row r="184">
      <c r="A184" s="194" t="s">
        <v>778</v>
      </c>
      <c r="B184" s="194" t="s">
        <v>779</v>
      </c>
      <c r="C184" s="194" t="s">
        <v>633</v>
      </c>
      <c r="D184" s="194" t="s">
        <v>634</v>
      </c>
      <c r="E184" s="195">
        <v>1.0</v>
      </c>
      <c r="F184" s="194" t="s">
        <v>609</v>
      </c>
      <c r="G184" s="192">
        <v>79.61</v>
      </c>
      <c r="H184" s="176"/>
    </row>
    <row r="185">
      <c r="A185" s="194" t="s">
        <v>778</v>
      </c>
      <c r="B185" s="194" t="s">
        <v>779</v>
      </c>
      <c r="C185" s="194" t="s">
        <v>769</v>
      </c>
      <c r="D185" s="194" t="s">
        <v>770</v>
      </c>
      <c r="E185" s="195">
        <v>1.0</v>
      </c>
      <c r="F185" s="194" t="s">
        <v>609</v>
      </c>
      <c r="G185" s="192">
        <v>6.67</v>
      </c>
      <c r="H185" s="176"/>
    </row>
    <row r="186">
      <c r="A186" s="194" t="s">
        <v>778</v>
      </c>
      <c r="B186" s="194" t="s">
        <v>779</v>
      </c>
      <c r="C186" s="194" t="s">
        <v>612</v>
      </c>
      <c r="D186" s="194" t="s">
        <v>614</v>
      </c>
      <c r="E186" s="195">
        <v>1.0</v>
      </c>
      <c r="F186" s="194" t="s">
        <v>609</v>
      </c>
      <c r="G186" s="192">
        <v>25.0</v>
      </c>
      <c r="H186" s="176"/>
    </row>
    <row r="187">
      <c r="A187" s="194" t="s">
        <v>778</v>
      </c>
      <c r="B187" s="194" t="s">
        <v>779</v>
      </c>
      <c r="C187" s="194" t="s">
        <v>646</v>
      </c>
      <c r="D187" s="194" t="s">
        <v>647</v>
      </c>
      <c r="E187" s="195">
        <v>1.0</v>
      </c>
      <c r="F187" s="194" t="s">
        <v>609</v>
      </c>
      <c r="G187" s="192">
        <v>1.36</v>
      </c>
      <c r="H187" s="176"/>
    </row>
    <row r="188">
      <c r="A188" s="194" t="s">
        <v>778</v>
      </c>
      <c r="B188" s="194" t="s">
        <v>779</v>
      </c>
      <c r="C188" s="194" t="s">
        <v>676</v>
      </c>
      <c r="D188" s="194" t="s">
        <v>677</v>
      </c>
      <c r="E188" s="195">
        <v>1.0</v>
      </c>
      <c r="F188" s="194" t="s">
        <v>609</v>
      </c>
      <c r="G188" s="192">
        <v>47.38</v>
      </c>
      <c r="H188" s="176"/>
    </row>
    <row r="189">
      <c r="A189" s="194" t="s">
        <v>778</v>
      </c>
      <c r="B189" s="194" t="s">
        <v>779</v>
      </c>
      <c r="C189" s="194" t="s">
        <v>619</v>
      </c>
      <c r="D189" s="194" t="s">
        <v>620</v>
      </c>
      <c r="E189" s="195">
        <v>1.0</v>
      </c>
      <c r="F189" s="194" t="s">
        <v>609</v>
      </c>
      <c r="G189" s="192">
        <v>5.34</v>
      </c>
      <c r="H189" s="41"/>
    </row>
    <row r="190">
      <c r="A190" s="196" t="s">
        <v>781</v>
      </c>
      <c r="B190" s="196" t="s">
        <v>782</v>
      </c>
      <c r="C190" s="196" t="s">
        <v>623</v>
      </c>
      <c r="D190" s="196" t="s">
        <v>624</v>
      </c>
      <c r="E190" s="197">
        <v>1.0</v>
      </c>
      <c r="F190" s="196" t="s">
        <v>609</v>
      </c>
      <c r="G190" s="198">
        <v>9.5</v>
      </c>
      <c r="H190" s="199">
        <v>193.02</v>
      </c>
    </row>
    <row r="191">
      <c r="A191" s="196" t="s">
        <v>781</v>
      </c>
      <c r="B191" s="196" t="s">
        <v>782</v>
      </c>
      <c r="C191" s="196" t="s">
        <v>769</v>
      </c>
      <c r="D191" s="196" t="s">
        <v>770</v>
      </c>
      <c r="E191" s="197">
        <v>1.0</v>
      </c>
      <c r="F191" s="196" t="s">
        <v>609</v>
      </c>
      <c r="G191" s="198">
        <v>15.53</v>
      </c>
      <c r="H191" s="176"/>
    </row>
    <row r="192">
      <c r="A192" s="196" t="s">
        <v>781</v>
      </c>
      <c r="B192" s="196" t="s">
        <v>782</v>
      </c>
      <c r="C192" s="196" t="s">
        <v>628</v>
      </c>
      <c r="D192" s="196" t="s">
        <v>629</v>
      </c>
      <c r="E192" s="197">
        <v>1.0</v>
      </c>
      <c r="F192" s="196" t="s">
        <v>609</v>
      </c>
      <c r="G192" s="198">
        <v>1.5</v>
      </c>
      <c r="H192" s="176"/>
    </row>
    <row r="193">
      <c r="A193" s="196" t="s">
        <v>781</v>
      </c>
      <c r="B193" s="196" t="s">
        <v>782</v>
      </c>
      <c r="C193" s="196" t="s">
        <v>642</v>
      </c>
      <c r="D193" s="196" t="s">
        <v>643</v>
      </c>
      <c r="E193" s="197">
        <v>1.0</v>
      </c>
      <c r="F193" s="196" t="s">
        <v>609</v>
      </c>
      <c r="G193" s="198">
        <v>1.68</v>
      </c>
      <c r="H193" s="176"/>
    </row>
    <row r="194">
      <c r="A194" s="196" t="s">
        <v>781</v>
      </c>
      <c r="B194" s="196" t="s">
        <v>782</v>
      </c>
      <c r="C194" s="196" t="s">
        <v>644</v>
      </c>
      <c r="D194" s="196" t="s">
        <v>645</v>
      </c>
      <c r="E194" s="197">
        <v>1.0</v>
      </c>
      <c r="F194" s="196" t="s">
        <v>609</v>
      </c>
      <c r="G194" s="198">
        <v>1.9</v>
      </c>
      <c r="H194" s="176"/>
    </row>
    <row r="195">
      <c r="A195" s="196" t="s">
        <v>781</v>
      </c>
      <c r="B195" s="196" t="s">
        <v>782</v>
      </c>
      <c r="C195" s="196" t="s">
        <v>633</v>
      </c>
      <c r="D195" s="196" t="s">
        <v>634</v>
      </c>
      <c r="E195" s="197">
        <v>1.0</v>
      </c>
      <c r="F195" s="196" t="s">
        <v>609</v>
      </c>
      <c r="G195" s="198">
        <v>77.15</v>
      </c>
      <c r="H195" s="176"/>
    </row>
    <row r="196">
      <c r="A196" s="196" t="s">
        <v>781</v>
      </c>
      <c r="B196" s="196" t="s">
        <v>782</v>
      </c>
      <c r="C196" s="196" t="s">
        <v>612</v>
      </c>
      <c r="D196" s="196" t="s">
        <v>614</v>
      </c>
      <c r="E196" s="197">
        <v>1.0</v>
      </c>
      <c r="F196" s="196" t="s">
        <v>609</v>
      </c>
      <c r="G196" s="198">
        <v>25.0</v>
      </c>
      <c r="H196" s="176"/>
    </row>
    <row r="197">
      <c r="A197" s="196" t="s">
        <v>781</v>
      </c>
      <c r="B197" s="196" t="s">
        <v>782</v>
      </c>
      <c r="C197" s="196" t="s">
        <v>619</v>
      </c>
      <c r="D197" s="196" t="s">
        <v>620</v>
      </c>
      <c r="E197" s="197">
        <v>1.0</v>
      </c>
      <c r="F197" s="196" t="s">
        <v>609</v>
      </c>
      <c r="G197" s="198">
        <v>5.34</v>
      </c>
      <c r="H197" s="176"/>
    </row>
    <row r="198">
      <c r="A198" s="196" t="s">
        <v>781</v>
      </c>
      <c r="B198" s="196" t="s">
        <v>782</v>
      </c>
      <c r="C198" s="196" t="s">
        <v>646</v>
      </c>
      <c r="D198" s="196" t="s">
        <v>647</v>
      </c>
      <c r="E198" s="197">
        <v>1.0</v>
      </c>
      <c r="F198" s="196" t="s">
        <v>609</v>
      </c>
      <c r="G198" s="198">
        <v>1.36</v>
      </c>
      <c r="H198" s="176"/>
    </row>
    <row r="199">
      <c r="A199" s="196" t="s">
        <v>781</v>
      </c>
      <c r="B199" s="196" t="s">
        <v>782</v>
      </c>
      <c r="C199" s="196" t="s">
        <v>683</v>
      </c>
      <c r="D199" s="196" t="s">
        <v>684</v>
      </c>
      <c r="E199" s="197">
        <v>1.0</v>
      </c>
      <c r="F199" s="196" t="s">
        <v>609</v>
      </c>
      <c r="G199" s="198">
        <v>54.06</v>
      </c>
      <c r="H199" s="41"/>
    </row>
    <row r="200">
      <c r="A200" s="200" t="s">
        <v>786</v>
      </c>
      <c r="B200" s="200" t="s">
        <v>787</v>
      </c>
      <c r="C200" s="200" t="s">
        <v>623</v>
      </c>
      <c r="D200" s="200" t="s">
        <v>624</v>
      </c>
      <c r="E200" s="201">
        <v>1.0</v>
      </c>
      <c r="F200" s="200" t="s">
        <v>609</v>
      </c>
      <c r="G200" s="202">
        <v>9.5</v>
      </c>
      <c r="H200" s="203">
        <v>398.17</v>
      </c>
    </row>
    <row r="201">
      <c r="A201" s="200" t="s">
        <v>786</v>
      </c>
      <c r="B201" s="200" t="s">
        <v>787</v>
      </c>
      <c r="C201" s="200" t="s">
        <v>687</v>
      </c>
      <c r="D201" s="200" t="s">
        <v>688</v>
      </c>
      <c r="E201" s="201">
        <v>1.0</v>
      </c>
      <c r="F201" s="200" t="s">
        <v>609</v>
      </c>
      <c r="G201" s="202">
        <v>0.0</v>
      </c>
      <c r="H201" s="176"/>
    </row>
    <row r="202">
      <c r="A202" s="200" t="s">
        <v>786</v>
      </c>
      <c r="B202" s="200" t="s">
        <v>787</v>
      </c>
      <c r="C202" s="200" t="s">
        <v>769</v>
      </c>
      <c r="D202" s="200" t="s">
        <v>770</v>
      </c>
      <c r="E202" s="201">
        <v>1.0</v>
      </c>
      <c r="F202" s="200" t="s">
        <v>609</v>
      </c>
      <c r="G202" s="202">
        <v>15.53</v>
      </c>
      <c r="H202" s="176"/>
    </row>
    <row r="203">
      <c r="A203" s="200" t="s">
        <v>786</v>
      </c>
      <c r="B203" s="200" t="s">
        <v>787</v>
      </c>
      <c r="C203" s="200" t="s">
        <v>628</v>
      </c>
      <c r="D203" s="200" t="s">
        <v>629</v>
      </c>
      <c r="E203" s="201">
        <v>1.0</v>
      </c>
      <c r="F203" s="200" t="s">
        <v>609</v>
      </c>
      <c r="G203" s="202">
        <v>1.5</v>
      </c>
      <c r="H203" s="176"/>
    </row>
    <row r="204">
      <c r="A204" s="200" t="s">
        <v>786</v>
      </c>
      <c r="B204" s="200" t="s">
        <v>787</v>
      </c>
      <c r="C204" s="200" t="s">
        <v>631</v>
      </c>
      <c r="D204" s="200" t="s">
        <v>632</v>
      </c>
      <c r="E204" s="201">
        <v>1.0</v>
      </c>
      <c r="F204" s="200" t="s">
        <v>609</v>
      </c>
      <c r="G204" s="202">
        <v>0.46</v>
      </c>
      <c r="H204" s="176"/>
    </row>
    <row r="205">
      <c r="A205" s="200" t="s">
        <v>786</v>
      </c>
      <c r="B205" s="200" t="s">
        <v>787</v>
      </c>
      <c r="C205" s="200" t="s">
        <v>633</v>
      </c>
      <c r="D205" s="200" t="s">
        <v>634</v>
      </c>
      <c r="E205" s="201">
        <v>1.0</v>
      </c>
      <c r="F205" s="200" t="s">
        <v>609</v>
      </c>
      <c r="G205" s="202">
        <v>77.15</v>
      </c>
      <c r="H205" s="176"/>
    </row>
    <row r="206">
      <c r="A206" s="200" t="s">
        <v>786</v>
      </c>
      <c r="B206" s="200" t="s">
        <v>787</v>
      </c>
      <c r="C206" s="200" t="s">
        <v>612</v>
      </c>
      <c r="D206" s="200" t="s">
        <v>614</v>
      </c>
      <c r="E206" s="201">
        <v>1.0</v>
      </c>
      <c r="F206" s="200" t="s">
        <v>609</v>
      </c>
      <c r="G206" s="202">
        <v>25.0</v>
      </c>
      <c r="H206" s="176"/>
    </row>
    <row r="207">
      <c r="A207" s="200" t="s">
        <v>786</v>
      </c>
      <c r="B207" s="200" t="s">
        <v>787</v>
      </c>
      <c r="C207" s="200" t="s">
        <v>619</v>
      </c>
      <c r="D207" s="200" t="s">
        <v>620</v>
      </c>
      <c r="E207" s="201">
        <v>1.0</v>
      </c>
      <c r="F207" s="200" t="s">
        <v>609</v>
      </c>
      <c r="G207" s="202">
        <v>5.34</v>
      </c>
      <c r="H207" s="176"/>
    </row>
    <row r="208">
      <c r="A208" s="200" t="s">
        <v>786</v>
      </c>
      <c r="B208" s="200" t="s">
        <v>787</v>
      </c>
      <c r="C208" s="200" t="s">
        <v>691</v>
      </c>
      <c r="D208" s="200" t="s">
        <v>692</v>
      </c>
      <c r="E208" s="201">
        <v>1.0</v>
      </c>
      <c r="F208" s="200" t="s">
        <v>609</v>
      </c>
      <c r="G208" s="202">
        <v>82.69</v>
      </c>
      <c r="H208" s="176"/>
    </row>
    <row r="209">
      <c r="A209" s="200" t="s">
        <v>789</v>
      </c>
      <c r="B209" s="200" t="s">
        <v>790</v>
      </c>
      <c r="C209" s="200" t="s">
        <v>623</v>
      </c>
      <c r="D209" s="200" t="s">
        <v>624</v>
      </c>
      <c r="E209" s="201">
        <v>1.0</v>
      </c>
      <c r="F209" s="200" t="s">
        <v>609</v>
      </c>
      <c r="G209" s="202">
        <v>9.5</v>
      </c>
      <c r="H209" s="176"/>
    </row>
    <row r="210">
      <c r="A210" s="200" t="s">
        <v>789</v>
      </c>
      <c r="B210" s="200" t="s">
        <v>790</v>
      </c>
      <c r="C210" s="200" t="s">
        <v>628</v>
      </c>
      <c r="D210" s="200" t="s">
        <v>629</v>
      </c>
      <c r="E210" s="201">
        <v>1.0</v>
      </c>
      <c r="F210" s="200" t="s">
        <v>609</v>
      </c>
      <c r="G210" s="202">
        <v>1.5</v>
      </c>
      <c r="H210" s="176"/>
    </row>
    <row r="211">
      <c r="A211" s="200" t="s">
        <v>789</v>
      </c>
      <c r="B211" s="200" t="s">
        <v>790</v>
      </c>
      <c r="C211" s="200" t="s">
        <v>631</v>
      </c>
      <c r="D211" s="200" t="s">
        <v>632</v>
      </c>
      <c r="E211" s="201">
        <v>1.0</v>
      </c>
      <c r="F211" s="200" t="s">
        <v>609</v>
      </c>
      <c r="G211" s="202">
        <v>0.46</v>
      </c>
      <c r="H211" s="176"/>
    </row>
    <row r="212">
      <c r="A212" s="200" t="s">
        <v>789</v>
      </c>
      <c r="B212" s="200" t="s">
        <v>790</v>
      </c>
      <c r="C212" s="200" t="s">
        <v>612</v>
      </c>
      <c r="D212" s="200" t="s">
        <v>614</v>
      </c>
      <c r="E212" s="201">
        <v>1.0</v>
      </c>
      <c r="F212" s="200" t="s">
        <v>609</v>
      </c>
      <c r="G212" s="202">
        <v>25.0</v>
      </c>
      <c r="H212" s="176"/>
    </row>
    <row r="213">
      <c r="A213" s="200" t="s">
        <v>789</v>
      </c>
      <c r="B213" s="200" t="s">
        <v>790</v>
      </c>
      <c r="C213" s="200" t="s">
        <v>769</v>
      </c>
      <c r="D213" s="200" t="s">
        <v>770</v>
      </c>
      <c r="E213" s="201">
        <v>1.0</v>
      </c>
      <c r="F213" s="200" t="s">
        <v>609</v>
      </c>
      <c r="G213" s="202">
        <v>6.67</v>
      </c>
      <c r="H213" s="176"/>
    </row>
    <row r="214">
      <c r="A214" s="200" t="s">
        <v>789</v>
      </c>
      <c r="B214" s="200" t="s">
        <v>790</v>
      </c>
      <c r="C214" s="200" t="s">
        <v>633</v>
      </c>
      <c r="D214" s="200" t="s">
        <v>634</v>
      </c>
      <c r="E214" s="201">
        <v>1.0</v>
      </c>
      <c r="F214" s="200" t="s">
        <v>609</v>
      </c>
      <c r="G214" s="202">
        <v>77.15</v>
      </c>
      <c r="H214" s="176"/>
    </row>
    <row r="215">
      <c r="A215" s="200" t="s">
        <v>789</v>
      </c>
      <c r="B215" s="200" t="s">
        <v>790</v>
      </c>
      <c r="C215" s="200" t="s">
        <v>619</v>
      </c>
      <c r="D215" s="200" t="s">
        <v>620</v>
      </c>
      <c r="E215" s="201">
        <v>1.0</v>
      </c>
      <c r="F215" s="200" t="s">
        <v>609</v>
      </c>
      <c r="G215" s="202">
        <v>5.34</v>
      </c>
      <c r="H215" s="176"/>
    </row>
    <row r="216">
      <c r="A216" s="200" t="s">
        <v>789</v>
      </c>
      <c r="B216" s="200" t="s">
        <v>790</v>
      </c>
      <c r="C216" s="200" t="s">
        <v>635</v>
      </c>
      <c r="D216" s="200" t="s">
        <v>636</v>
      </c>
      <c r="E216" s="201">
        <v>1.0</v>
      </c>
      <c r="F216" s="200" t="s">
        <v>609</v>
      </c>
      <c r="G216" s="202">
        <v>53.7</v>
      </c>
      <c r="H216" s="176"/>
    </row>
    <row r="217">
      <c r="A217" s="200" t="s">
        <v>789</v>
      </c>
      <c r="B217" s="200" t="s">
        <v>790</v>
      </c>
      <c r="C217" s="200" t="s">
        <v>793</v>
      </c>
      <c r="D217" s="200" t="s">
        <v>794</v>
      </c>
      <c r="E217" s="201">
        <v>2.0</v>
      </c>
      <c r="F217" s="200" t="s">
        <v>609</v>
      </c>
      <c r="G217" s="202">
        <v>1.68</v>
      </c>
      <c r="H217" s="41"/>
    </row>
    <row r="218">
      <c r="A218" s="209" t="s">
        <v>795</v>
      </c>
      <c r="B218" s="209" t="s">
        <v>796</v>
      </c>
      <c r="C218" s="209" t="s">
        <v>623</v>
      </c>
      <c r="D218" s="209" t="s">
        <v>624</v>
      </c>
      <c r="E218" s="210">
        <v>1.0</v>
      </c>
      <c r="F218" s="209" t="s">
        <v>609</v>
      </c>
      <c r="G218" s="211">
        <v>9.5</v>
      </c>
      <c r="H218" s="212">
        <v>191.73</v>
      </c>
    </row>
    <row r="219">
      <c r="A219" s="209" t="s">
        <v>795</v>
      </c>
      <c r="B219" s="209" t="s">
        <v>796</v>
      </c>
      <c r="C219" s="209" t="s">
        <v>769</v>
      </c>
      <c r="D219" s="209" t="s">
        <v>770</v>
      </c>
      <c r="E219" s="210">
        <v>1.0</v>
      </c>
      <c r="F219" s="209" t="s">
        <v>609</v>
      </c>
      <c r="G219" s="211">
        <v>15.53</v>
      </c>
      <c r="H219" s="176"/>
    </row>
    <row r="220">
      <c r="A220" s="209" t="s">
        <v>795</v>
      </c>
      <c r="B220" s="209" t="s">
        <v>796</v>
      </c>
      <c r="C220" s="209" t="s">
        <v>628</v>
      </c>
      <c r="D220" s="209" t="s">
        <v>629</v>
      </c>
      <c r="E220" s="210">
        <v>1.0</v>
      </c>
      <c r="F220" s="209" t="s">
        <v>609</v>
      </c>
      <c r="G220" s="211">
        <v>1.5</v>
      </c>
      <c r="H220" s="176"/>
    </row>
    <row r="221">
      <c r="A221" s="209" t="s">
        <v>795</v>
      </c>
      <c r="B221" s="209" t="s">
        <v>796</v>
      </c>
      <c r="C221" s="209" t="s">
        <v>642</v>
      </c>
      <c r="D221" s="209" t="s">
        <v>643</v>
      </c>
      <c r="E221" s="210">
        <v>1.0</v>
      </c>
      <c r="F221" s="209" t="s">
        <v>609</v>
      </c>
      <c r="G221" s="211">
        <v>1.68</v>
      </c>
      <c r="H221" s="176"/>
    </row>
    <row r="222">
      <c r="A222" s="209" t="s">
        <v>795</v>
      </c>
      <c r="B222" s="209" t="s">
        <v>796</v>
      </c>
      <c r="C222" s="209" t="s">
        <v>644</v>
      </c>
      <c r="D222" s="209" t="s">
        <v>645</v>
      </c>
      <c r="E222" s="210">
        <v>1.0</v>
      </c>
      <c r="F222" s="209" t="s">
        <v>609</v>
      </c>
      <c r="G222" s="211">
        <v>1.9</v>
      </c>
      <c r="H222" s="176"/>
    </row>
    <row r="223">
      <c r="A223" s="209" t="s">
        <v>795</v>
      </c>
      <c r="B223" s="209" t="s">
        <v>796</v>
      </c>
      <c r="C223" s="209" t="s">
        <v>633</v>
      </c>
      <c r="D223" s="209" t="s">
        <v>634</v>
      </c>
      <c r="E223" s="210">
        <v>1.0</v>
      </c>
      <c r="F223" s="209" t="s">
        <v>609</v>
      </c>
      <c r="G223" s="211">
        <v>77.15</v>
      </c>
      <c r="H223" s="176"/>
    </row>
    <row r="224">
      <c r="A224" s="209" t="s">
        <v>795</v>
      </c>
      <c r="B224" s="209" t="s">
        <v>796</v>
      </c>
      <c r="C224" s="209" t="s">
        <v>612</v>
      </c>
      <c r="D224" s="209" t="s">
        <v>614</v>
      </c>
      <c r="E224" s="210">
        <v>1.0</v>
      </c>
      <c r="F224" s="209" t="s">
        <v>609</v>
      </c>
      <c r="G224" s="211">
        <v>25.0</v>
      </c>
      <c r="H224" s="176"/>
    </row>
    <row r="225">
      <c r="A225" s="209" t="s">
        <v>795</v>
      </c>
      <c r="B225" s="209" t="s">
        <v>796</v>
      </c>
      <c r="C225" s="209" t="s">
        <v>619</v>
      </c>
      <c r="D225" s="209" t="s">
        <v>620</v>
      </c>
      <c r="E225" s="210">
        <v>1.0</v>
      </c>
      <c r="F225" s="209" t="s">
        <v>609</v>
      </c>
      <c r="G225" s="211">
        <v>5.34</v>
      </c>
      <c r="H225" s="176"/>
    </row>
    <row r="226">
      <c r="A226" s="209" t="s">
        <v>795</v>
      </c>
      <c r="B226" s="209" t="s">
        <v>796</v>
      </c>
      <c r="C226" s="209" t="s">
        <v>646</v>
      </c>
      <c r="D226" s="209" t="s">
        <v>647</v>
      </c>
      <c r="E226" s="210">
        <v>1.0</v>
      </c>
      <c r="F226" s="209" t="s">
        <v>609</v>
      </c>
      <c r="G226" s="211">
        <v>1.36</v>
      </c>
      <c r="H226" s="176"/>
    </row>
    <row r="227">
      <c r="A227" s="209" t="s">
        <v>795</v>
      </c>
      <c r="B227" s="209" t="s">
        <v>796</v>
      </c>
      <c r="C227" s="209" t="s">
        <v>648</v>
      </c>
      <c r="D227" s="209" t="s">
        <v>649</v>
      </c>
      <c r="E227" s="210">
        <v>1.0</v>
      </c>
      <c r="F227" s="209" t="s">
        <v>609</v>
      </c>
      <c r="G227" s="211">
        <v>51.09</v>
      </c>
      <c r="H227" s="176"/>
    </row>
    <row r="228">
      <c r="A228" s="209" t="s">
        <v>795</v>
      </c>
      <c r="B228" s="209" t="s">
        <v>796</v>
      </c>
      <c r="C228" s="209" t="s">
        <v>793</v>
      </c>
      <c r="D228" s="209" t="s">
        <v>794</v>
      </c>
      <c r="E228" s="210">
        <v>2.0</v>
      </c>
      <c r="F228" s="209" t="s">
        <v>609</v>
      </c>
      <c r="G228" s="211">
        <v>1.68</v>
      </c>
      <c r="H228" s="41"/>
    </row>
    <row r="229">
      <c r="A229" s="218" t="s">
        <v>801</v>
      </c>
      <c r="B229" s="218" t="s">
        <v>802</v>
      </c>
      <c r="C229" s="218" t="s">
        <v>623</v>
      </c>
      <c r="D229" s="218" t="s">
        <v>624</v>
      </c>
      <c r="E229" s="220">
        <v>1.0</v>
      </c>
      <c r="F229" s="218" t="s">
        <v>609</v>
      </c>
      <c r="G229" s="221">
        <v>9.5</v>
      </c>
      <c r="H229" s="222">
        <v>177.66</v>
      </c>
    </row>
    <row r="230">
      <c r="A230" s="218" t="s">
        <v>801</v>
      </c>
      <c r="B230" s="218" t="s">
        <v>802</v>
      </c>
      <c r="C230" s="218" t="s">
        <v>769</v>
      </c>
      <c r="D230" s="218" t="s">
        <v>770</v>
      </c>
      <c r="E230" s="220">
        <v>1.0</v>
      </c>
      <c r="F230" s="218" t="s">
        <v>609</v>
      </c>
      <c r="G230" s="221">
        <v>15.53</v>
      </c>
      <c r="H230" s="176"/>
    </row>
    <row r="231">
      <c r="A231" s="218" t="s">
        <v>801</v>
      </c>
      <c r="B231" s="218" t="s">
        <v>802</v>
      </c>
      <c r="C231" s="218" t="s">
        <v>628</v>
      </c>
      <c r="D231" s="218" t="s">
        <v>629</v>
      </c>
      <c r="E231" s="220">
        <v>1.0</v>
      </c>
      <c r="F231" s="218" t="s">
        <v>609</v>
      </c>
      <c r="G231" s="221">
        <v>1.5</v>
      </c>
      <c r="H231" s="176"/>
    </row>
    <row r="232">
      <c r="A232" s="218" t="s">
        <v>801</v>
      </c>
      <c r="B232" s="218" t="s">
        <v>802</v>
      </c>
      <c r="C232" s="218" t="s">
        <v>642</v>
      </c>
      <c r="D232" s="218" t="s">
        <v>643</v>
      </c>
      <c r="E232" s="220">
        <v>1.0</v>
      </c>
      <c r="F232" s="218" t="s">
        <v>609</v>
      </c>
      <c r="G232" s="221">
        <v>1.68</v>
      </c>
      <c r="H232" s="176"/>
    </row>
    <row r="233">
      <c r="A233" s="218" t="s">
        <v>801</v>
      </c>
      <c r="B233" s="218" t="s">
        <v>802</v>
      </c>
      <c r="C233" s="218" t="s">
        <v>644</v>
      </c>
      <c r="D233" s="218" t="s">
        <v>645</v>
      </c>
      <c r="E233" s="220">
        <v>1.0</v>
      </c>
      <c r="F233" s="218" t="s">
        <v>609</v>
      </c>
      <c r="G233" s="221">
        <v>1.9</v>
      </c>
      <c r="H233" s="176"/>
    </row>
    <row r="234">
      <c r="A234" s="218" t="s">
        <v>801</v>
      </c>
      <c r="B234" s="218" t="s">
        <v>802</v>
      </c>
      <c r="C234" s="218" t="s">
        <v>633</v>
      </c>
      <c r="D234" s="218" t="s">
        <v>634</v>
      </c>
      <c r="E234" s="220">
        <v>1.0</v>
      </c>
      <c r="F234" s="218" t="s">
        <v>609</v>
      </c>
      <c r="G234" s="221">
        <v>77.15</v>
      </c>
      <c r="H234" s="176"/>
    </row>
    <row r="235">
      <c r="A235" s="218" t="s">
        <v>801</v>
      </c>
      <c r="B235" s="218" t="s">
        <v>802</v>
      </c>
      <c r="C235" s="218" t="s">
        <v>612</v>
      </c>
      <c r="D235" s="218" t="s">
        <v>614</v>
      </c>
      <c r="E235" s="220">
        <v>1.0</v>
      </c>
      <c r="F235" s="218" t="s">
        <v>609</v>
      </c>
      <c r="G235" s="221">
        <v>25.0</v>
      </c>
      <c r="H235" s="176"/>
    </row>
    <row r="236">
      <c r="A236" s="218" t="s">
        <v>801</v>
      </c>
      <c r="B236" s="218" t="s">
        <v>802</v>
      </c>
      <c r="C236" s="218" t="s">
        <v>619</v>
      </c>
      <c r="D236" s="218" t="s">
        <v>620</v>
      </c>
      <c r="E236" s="220">
        <v>1.0</v>
      </c>
      <c r="F236" s="218" t="s">
        <v>609</v>
      </c>
      <c r="G236" s="221">
        <v>5.34</v>
      </c>
      <c r="H236" s="176"/>
    </row>
    <row r="237">
      <c r="A237" s="218" t="s">
        <v>801</v>
      </c>
      <c r="B237" s="218" t="s">
        <v>802</v>
      </c>
      <c r="C237" s="218" t="s">
        <v>646</v>
      </c>
      <c r="D237" s="218" t="s">
        <v>647</v>
      </c>
      <c r="E237" s="220">
        <v>1.0</v>
      </c>
      <c r="F237" s="218" t="s">
        <v>609</v>
      </c>
      <c r="G237" s="221">
        <v>1.36</v>
      </c>
      <c r="H237" s="176"/>
    </row>
    <row r="238">
      <c r="A238" s="218" t="s">
        <v>801</v>
      </c>
      <c r="B238" s="218" t="s">
        <v>802</v>
      </c>
      <c r="C238" s="218" t="s">
        <v>711</v>
      </c>
      <c r="D238" s="218" t="s">
        <v>712</v>
      </c>
      <c r="E238" s="220">
        <v>1.0</v>
      </c>
      <c r="F238" s="218" t="s">
        <v>609</v>
      </c>
      <c r="G238" s="221">
        <v>37.02</v>
      </c>
      <c r="H238" s="176"/>
    </row>
    <row r="239">
      <c r="A239" s="218" t="s">
        <v>801</v>
      </c>
      <c r="B239" s="218" t="s">
        <v>802</v>
      </c>
      <c r="C239" s="218" t="s">
        <v>793</v>
      </c>
      <c r="D239" s="218" t="s">
        <v>794</v>
      </c>
      <c r="E239" s="220">
        <v>2.0</v>
      </c>
      <c r="F239" s="218" t="s">
        <v>609</v>
      </c>
      <c r="G239" s="221">
        <v>1.68</v>
      </c>
      <c r="H239" s="41"/>
    </row>
    <row r="240">
      <c r="A240" s="194" t="s">
        <v>806</v>
      </c>
      <c r="B240" s="194" t="s">
        <v>807</v>
      </c>
      <c r="C240" s="194" t="s">
        <v>623</v>
      </c>
      <c r="D240" s="194" t="s">
        <v>624</v>
      </c>
      <c r="E240" s="195">
        <v>1.0</v>
      </c>
      <c r="F240" s="194" t="s">
        <v>609</v>
      </c>
      <c r="G240" s="192">
        <v>9.5</v>
      </c>
      <c r="H240" s="193">
        <v>189.82</v>
      </c>
    </row>
    <row r="241">
      <c r="A241" s="194" t="s">
        <v>806</v>
      </c>
      <c r="B241" s="194" t="s">
        <v>807</v>
      </c>
      <c r="C241" s="194" t="s">
        <v>769</v>
      </c>
      <c r="D241" s="194" t="s">
        <v>770</v>
      </c>
      <c r="E241" s="195">
        <v>1.0</v>
      </c>
      <c r="F241" s="194" t="s">
        <v>609</v>
      </c>
      <c r="G241" s="192">
        <v>15.53</v>
      </c>
      <c r="H241" s="176"/>
    </row>
    <row r="242">
      <c r="A242" s="194" t="s">
        <v>806</v>
      </c>
      <c r="B242" s="194" t="s">
        <v>807</v>
      </c>
      <c r="C242" s="194" t="s">
        <v>628</v>
      </c>
      <c r="D242" s="194" t="s">
        <v>629</v>
      </c>
      <c r="E242" s="195">
        <v>1.0</v>
      </c>
      <c r="F242" s="194" t="s">
        <v>609</v>
      </c>
      <c r="G242" s="192">
        <v>1.5</v>
      </c>
      <c r="H242" s="176"/>
    </row>
    <row r="243">
      <c r="A243" s="194" t="s">
        <v>806</v>
      </c>
      <c r="B243" s="194" t="s">
        <v>807</v>
      </c>
      <c r="C243" s="194" t="s">
        <v>642</v>
      </c>
      <c r="D243" s="194" t="s">
        <v>643</v>
      </c>
      <c r="E243" s="195">
        <v>1.0</v>
      </c>
      <c r="F243" s="194" t="s">
        <v>609</v>
      </c>
      <c r="G243" s="192">
        <v>1.68</v>
      </c>
      <c r="H243" s="176"/>
    </row>
    <row r="244">
      <c r="A244" s="194" t="s">
        <v>806</v>
      </c>
      <c r="B244" s="194" t="s">
        <v>807</v>
      </c>
      <c r="C244" s="194" t="s">
        <v>644</v>
      </c>
      <c r="D244" s="194" t="s">
        <v>645</v>
      </c>
      <c r="E244" s="195">
        <v>1.0</v>
      </c>
      <c r="F244" s="194" t="s">
        <v>609</v>
      </c>
      <c r="G244" s="192">
        <v>1.9</v>
      </c>
      <c r="H244" s="176"/>
    </row>
    <row r="245">
      <c r="A245" s="194" t="s">
        <v>806</v>
      </c>
      <c r="B245" s="194" t="s">
        <v>807</v>
      </c>
      <c r="C245" s="194" t="s">
        <v>633</v>
      </c>
      <c r="D245" s="194" t="s">
        <v>634</v>
      </c>
      <c r="E245" s="195">
        <v>1.0</v>
      </c>
      <c r="F245" s="194" t="s">
        <v>609</v>
      </c>
      <c r="G245" s="192">
        <v>77.15</v>
      </c>
      <c r="H245" s="176"/>
    </row>
    <row r="246">
      <c r="A246" s="194" t="s">
        <v>806</v>
      </c>
      <c r="B246" s="194" t="s">
        <v>807</v>
      </c>
      <c r="C246" s="194" t="s">
        <v>612</v>
      </c>
      <c r="D246" s="194" t="s">
        <v>614</v>
      </c>
      <c r="E246" s="195">
        <v>1.0</v>
      </c>
      <c r="F246" s="194" t="s">
        <v>609</v>
      </c>
      <c r="G246" s="192">
        <v>25.0</v>
      </c>
      <c r="H246" s="176"/>
    </row>
    <row r="247">
      <c r="A247" s="194" t="s">
        <v>806</v>
      </c>
      <c r="B247" s="194" t="s">
        <v>807</v>
      </c>
      <c r="C247" s="194" t="s">
        <v>619</v>
      </c>
      <c r="D247" s="194" t="s">
        <v>620</v>
      </c>
      <c r="E247" s="195">
        <v>1.0</v>
      </c>
      <c r="F247" s="194" t="s">
        <v>609</v>
      </c>
      <c r="G247" s="192">
        <v>5.34</v>
      </c>
      <c r="H247" s="176"/>
    </row>
    <row r="248">
      <c r="A248" s="194" t="s">
        <v>806</v>
      </c>
      <c r="B248" s="194" t="s">
        <v>807</v>
      </c>
      <c r="C248" s="194" t="s">
        <v>646</v>
      </c>
      <c r="D248" s="194" t="s">
        <v>647</v>
      </c>
      <c r="E248" s="195">
        <v>1.0</v>
      </c>
      <c r="F248" s="194" t="s">
        <v>609</v>
      </c>
      <c r="G248" s="192">
        <v>1.36</v>
      </c>
      <c r="H248" s="176"/>
    </row>
    <row r="249">
      <c r="A249" s="194" t="s">
        <v>806</v>
      </c>
      <c r="B249" s="194" t="s">
        <v>807</v>
      </c>
      <c r="C249" s="194" t="s">
        <v>676</v>
      </c>
      <c r="D249" s="194" t="s">
        <v>677</v>
      </c>
      <c r="E249" s="195">
        <v>1.0</v>
      </c>
      <c r="F249" s="194" t="s">
        <v>609</v>
      </c>
      <c r="G249" s="192">
        <v>49.18</v>
      </c>
      <c r="H249" s="176"/>
    </row>
    <row r="250">
      <c r="A250" s="194" t="s">
        <v>806</v>
      </c>
      <c r="B250" s="194" t="s">
        <v>807</v>
      </c>
      <c r="C250" s="194" t="s">
        <v>793</v>
      </c>
      <c r="D250" s="194" t="s">
        <v>794</v>
      </c>
      <c r="E250" s="195">
        <v>2.0</v>
      </c>
      <c r="F250" s="194" t="s">
        <v>609</v>
      </c>
      <c r="G250" s="192">
        <v>1.68</v>
      </c>
      <c r="H250" s="41"/>
    </row>
    <row r="251">
      <c r="A251" s="200" t="s">
        <v>810</v>
      </c>
      <c r="B251" s="200" t="s">
        <v>811</v>
      </c>
      <c r="C251" s="200" t="s">
        <v>623</v>
      </c>
      <c r="D251" s="200" t="s">
        <v>624</v>
      </c>
      <c r="E251" s="201">
        <v>1.0</v>
      </c>
      <c r="F251" s="200" t="s">
        <v>609</v>
      </c>
      <c r="G251" s="202">
        <v>9.5</v>
      </c>
      <c r="H251" s="203">
        <v>194.7</v>
      </c>
    </row>
    <row r="252">
      <c r="A252" s="200" t="s">
        <v>810</v>
      </c>
      <c r="B252" s="200" t="s">
        <v>811</v>
      </c>
      <c r="C252" s="200" t="s">
        <v>769</v>
      </c>
      <c r="D252" s="200" t="s">
        <v>770</v>
      </c>
      <c r="E252" s="201">
        <v>1.0</v>
      </c>
      <c r="F252" s="200" t="s">
        <v>609</v>
      </c>
      <c r="G252" s="202">
        <v>15.53</v>
      </c>
      <c r="H252" s="176"/>
    </row>
    <row r="253">
      <c r="A253" s="200" t="s">
        <v>810</v>
      </c>
      <c r="B253" s="200" t="s">
        <v>811</v>
      </c>
      <c r="C253" s="200" t="s">
        <v>628</v>
      </c>
      <c r="D253" s="200" t="s">
        <v>629</v>
      </c>
      <c r="E253" s="201">
        <v>1.0</v>
      </c>
      <c r="F253" s="200" t="s">
        <v>609</v>
      </c>
      <c r="G253" s="202">
        <v>1.5</v>
      </c>
      <c r="H253" s="176"/>
    </row>
    <row r="254">
      <c r="A254" s="200" t="s">
        <v>810</v>
      </c>
      <c r="B254" s="200" t="s">
        <v>811</v>
      </c>
      <c r="C254" s="200" t="s">
        <v>642</v>
      </c>
      <c r="D254" s="200" t="s">
        <v>643</v>
      </c>
      <c r="E254" s="201">
        <v>1.0</v>
      </c>
      <c r="F254" s="200" t="s">
        <v>609</v>
      </c>
      <c r="G254" s="202">
        <v>1.68</v>
      </c>
      <c r="H254" s="176"/>
    </row>
    <row r="255">
      <c r="A255" s="200" t="s">
        <v>810</v>
      </c>
      <c r="B255" s="200" t="s">
        <v>811</v>
      </c>
      <c r="C255" s="200" t="s">
        <v>644</v>
      </c>
      <c r="D255" s="200" t="s">
        <v>645</v>
      </c>
      <c r="E255" s="201">
        <v>1.0</v>
      </c>
      <c r="F255" s="200" t="s">
        <v>609</v>
      </c>
      <c r="G255" s="202">
        <v>1.9</v>
      </c>
      <c r="H255" s="176"/>
    </row>
    <row r="256">
      <c r="A256" s="200" t="s">
        <v>810</v>
      </c>
      <c r="B256" s="200" t="s">
        <v>811</v>
      </c>
      <c r="C256" s="200" t="s">
        <v>633</v>
      </c>
      <c r="D256" s="200" t="s">
        <v>634</v>
      </c>
      <c r="E256" s="201">
        <v>1.0</v>
      </c>
      <c r="F256" s="200" t="s">
        <v>609</v>
      </c>
      <c r="G256" s="202">
        <v>77.15</v>
      </c>
      <c r="H256" s="176"/>
    </row>
    <row r="257">
      <c r="A257" s="200" t="s">
        <v>810</v>
      </c>
      <c r="B257" s="200" t="s">
        <v>811</v>
      </c>
      <c r="C257" s="200" t="s">
        <v>612</v>
      </c>
      <c r="D257" s="200" t="s">
        <v>614</v>
      </c>
      <c r="E257" s="201">
        <v>1.0</v>
      </c>
      <c r="F257" s="200" t="s">
        <v>609</v>
      </c>
      <c r="G257" s="202">
        <v>25.0</v>
      </c>
      <c r="H257" s="176"/>
    </row>
    <row r="258">
      <c r="A258" s="200" t="s">
        <v>810</v>
      </c>
      <c r="B258" s="200" t="s">
        <v>811</v>
      </c>
      <c r="C258" s="200" t="s">
        <v>619</v>
      </c>
      <c r="D258" s="200" t="s">
        <v>620</v>
      </c>
      <c r="E258" s="201">
        <v>1.0</v>
      </c>
      <c r="F258" s="200" t="s">
        <v>609</v>
      </c>
      <c r="G258" s="202">
        <v>5.34</v>
      </c>
      <c r="H258" s="176"/>
    </row>
    <row r="259">
      <c r="A259" s="200" t="s">
        <v>810</v>
      </c>
      <c r="B259" s="200" t="s">
        <v>811</v>
      </c>
      <c r="C259" s="200" t="s">
        <v>646</v>
      </c>
      <c r="D259" s="200" t="s">
        <v>647</v>
      </c>
      <c r="E259" s="201">
        <v>1.0</v>
      </c>
      <c r="F259" s="200" t="s">
        <v>609</v>
      </c>
      <c r="G259" s="202">
        <v>1.36</v>
      </c>
      <c r="H259" s="176"/>
    </row>
    <row r="260">
      <c r="A260" s="200" t="s">
        <v>810</v>
      </c>
      <c r="B260" s="200" t="s">
        <v>811</v>
      </c>
      <c r="C260" s="200" t="s">
        <v>683</v>
      </c>
      <c r="D260" s="200" t="s">
        <v>684</v>
      </c>
      <c r="E260" s="201">
        <v>1.0</v>
      </c>
      <c r="F260" s="200" t="s">
        <v>609</v>
      </c>
      <c r="G260" s="202">
        <v>54.06</v>
      </c>
      <c r="H260" s="176"/>
    </row>
    <row r="261">
      <c r="A261" s="200" t="s">
        <v>810</v>
      </c>
      <c r="B261" s="200" t="s">
        <v>811</v>
      </c>
      <c r="C261" s="200" t="s">
        <v>793</v>
      </c>
      <c r="D261" s="200" t="s">
        <v>794</v>
      </c>
      <c r="E261" s="201">
        <v>2.0</v>
      </c>
      <c r="F261" s="200" t="s">
        <v>609</v>
      </c>
      <c r="G261" s="202">
        <v>1.68</v>
      </c>
      <c r="H261" s="41"/>
    </row>
    <row r="262">
      <c r="A262" s="209" t="s">
        <v>815</v>
      </c>
      <c r="B262" s="209" t="s">
        <v>816</v>
      </c>
      <c r="C262" s="209" t="s">
        <v>623</v>
      </c>
      <c r="D262" s="209" t="s">
        <v>624</v>
      </c>
      <c r="E262" s="210">
        <v>1.0</v>
      </c>
      <c r="F262" s="209" t="s">
        <v>609</v>
      </c>
      <c r="G262" s="211">
        <v>9.5</v>
      </c>
      <c r="H262" s="212">
        <v>213.51</v>
      </c>
    </row>
    <row r="263">
      <c r="A263" s="209" t="s">
        <v>815</v>
      </c>
      <c r="B263" s="209" t="s">
        <v>816</v>
      </c>
      <c r="C263" s="209" t="s">
        <v>687</v>
      </c>
      <c r="D263" s="209" t="s">
        <v>688</v>
      </c>
      <c r="E263" s="210">
        <v>1.0</v>
      </c>
      <c r="F263" s="209" t="s">
        <v>609</v>
      </c>
      <c r="G263" s="211">
        <v>0.0</v>
      </c>
      <c r="H263" s="176"/>
    </row>
    <row r="264">
      <c r="A264" s="209" t="s">
        <v>815</v>
      </c>
      <c r="B264" s="209" t="s">
        <v>816</v>
      </c>
      <c r="C264" s="209" t="s">
        <v>769</v>
      </c>
      <c r="D264" s="209" t="s">
        <v>770</v>
      </c>
      <c r="E264" s="210">
        <v>1.0</v>
      </c>
      <c r="F264" s="209" t="s">
        <v>609</v>
      </c>
      <c r="G264" s="211">
        <v>15.53</v>
      </c>
      <c r="H264" s="176"/>
    </row>
    <row r="265">
      <c r="A265" s="209" t="s">
        <v>815</v>
      </c>
      <c r="B265" s="209" t="s">
        <v>816</v>
      </c>
      <c r="C265" s="209" t="s">
        <v>628</v>
      </c>
      <c r="D265" s="209" t="s">
        <v>629</v>
      </c>
      <c r="E265" s="210">
        <v>1.0</v>
      </c>
      <c r="F265" s="209" t="s">
        <v>609</v>
      </c>
      <c r="G265" s="211">
        <v>1.5</v>
      </c>
      <c r="H265" s="176"/>
    </row>
    <row r="266">
      <c r="A266" s="209" t="s">
        <v>815</v>
      </c>
      <c r="B266" s="209" t="s">
        <v>816</v>
      </c>
      <c r="C266" s="209" t="s">
        <v>631</v>
      </c>
      <c r="D266" s="209" t="s">
        <v>632</v>
      </c>
      <c r="E266" s="210">
        <v>1.0</v>
      </c>
      <c r="F266" s="209" t="s">
        <v>609</v>
      </c>
      <c r="G266" s="211">
        <v>0.46</v>
      </c>
      <c r="H266" s="176"/>
    </row>
    <row r="267">
      <c r="A267" s="209" t="s">
        <v>815</v>
      </c>
      <c r="B267" s="209" t="s">
        <v>816</v>
      </c>
      <c r="C267" s="209" t="s">
        <v>633</v>
      </c>
      <c r="D267" s="209" t="s">
        <v>634</v>
      </c>
      <c r="E267" s="210">
        <v>1.0</v>
      </c>
      <c r="F267" s="209" t="s">
        <v>609</v>
      </c>
      <c r="G267" s="211">
        <v>77.15</v>
      </c>
      <c r="H267" s="176"/>
    </row>
    <row r="268">
      <c r="A268" s="209" t="s">
        <v>815</v>
      </c>
      <c r="B268" s="209" t="s">
        <v>816</v>
      </c>
      <c r="C268" s="209" t="s">
        <v>612</v>
      </c>
      <c r="D268" s="209" t="s">
        <v>614</v>
      </c>
      <c r="E268" s="210">
        <v>1.0</v>
      </c>
      <c r="F268" s="209" t="s">
        <v>609</v>
      </c>
      <c r="G268" s="211">
        <v>25.0</v>
      </c>
      <c r="H268" s="176"/>
    </row>
    <row r="269">
      <c r="A269" s="209" t="s">
        <v>815</v>
      </c>
      <c r="B269" s="209" t="s">
        <v>816</v>
      </c>
      <c r="C269" s="209" t="s">
        <v>691</v>
      </c>
      <c r="D269" s="209" t="s">
        <v>692</v>
      </c>
      <c r="E269" s="210">
        <v>1.0</v>
      </c>
      <c r="F269" s="209" t="s">
        <v>609</v>
      </c>
      <c r="G269" s="211">
        <v>82.69</v>
      </c>
      <c r="H269" s="176"/>
    </row>
    <row r="270">
      <c r="A270" s="209" t="s">
        <v>815</v>
      </c>
      <c r="B270" s="209" t="s">
        <v>816</v>
      </c>
      <c r="C270" s="209" t="s">
        <v>793</v>
      </c>
      <c r="D270" s="209" t="s">
        <v>794</v>
      </c>
      <c r="E270" s="210">
        <v>2.0</v>
      </c>
      <c r="F270" s="209" t="s">
        <v>609</v>
      </c>
      <c r="G270" s="211">
        <v>1.68</v>
      </c>
      <c r="H270" s="41"/>
    </row>
    <row r="271">
      <c r="A271" s="200" t="s">
        <v>761</v>
      </c>
      <c r="B271" s="200" t="s">
        <v>822</v>
      </c>
      <c r="C271" s="200" t="s">
        <v>623</v>
      </c>
      <c r="D271" s="200" t="s">
        <v>624</v>
      </c>
      <c r="E271" s="201">
        <v>1.0</v>
      </c>
      <c r="F271" s="200" t="s">
        <v>609</v>
      </c>
      <c r="G271" s="202">
        <v>9.5</v>
      </c>
      <c r="H271" s="203">
        <v>107.58</v>
      </c>
    </row>
    <row r="272">
      <c r="A272" s="200" t="s">
        <v>761</v>
      </c>
      <c r="B272" s="200" t="s">
        <v>822</v>
      </c>
      <c r="C272" s="200" t="s">
        <v>628</v>
      </c>
      <c r="D272" s="200" t="s">
        <v>629</v>
      </c>
      <c r="E272" s="201">
        <v>1.0</v>
      </c>
      <c r="F272" s="200" t="s">
        <v>609</v>
      </c>
      <c r="G272" s="202">
        <v>1.5</v>
      </c>
      <c r="H272" s="176"/>
    </row>
    <row r="273">
      <c r="A273" s="200" t="s">
        <v>761</v>
      </c>
      <c r="B273" s="200" t="s">
        <v>822</v>
      </c>
      <c r="C273" s="200" t="s">
        <v>631</v>
      </c>
      <c r="D273" s="200" t="s">
        <v>632</v>
      </c>
      <c r="E273" s="201">
        <v>1.0</v>
      </c>
      <c r="F273" s="200" t="s">
        <v>609</v>
      </c>
      <c r="G273" s="202">
        <v>0.46</v>
      </c>
      <c r="H273" s="176"/>
    </row>
    <row r="274">
      <c r="A274" s="200" t="s">
        <v>761</v>
      </c>
      <c r="B274" s="200" t="s">
        <v>822</v>
      </c>
      <c r="C274" s="200" t="s">
        <v>612</v>
      </c>
      <c r="D274" s="200" t="s">
        <v>614</v>
      </c>
      <c r="E274" s="201">
        <v>1.0</v>
      </c>
      <c r="F274" s="200" t="s">
        <v>609</v>
      </c>
      <c r="G274" s="202">
        <v>25.0</v>
      </c>
      <c r="H274" s="176"/>
    </row>
    <row r="275">
      <c r="A275" s="200" t="s">
        <v>761</v>
      </c>
      <c r="B275" s="200" t="s">
        <v>822</v>
      </c>
      <c r="C275" s="200" t="s">
        <v>619</v>
      </c>
      <c r="D275" s="200" t="s">
        <v>620</v>
      </c>
      <c r="E275" s="201">
        <v>1.0</v>
      </c>
      <c r="F275" s="200" t="s">
        <v>609</v>
      </c>
      <c r="G275" s="202">
        <v>5.34</v>
      </c>
      <c r="H275" s="176"/>
    </row>
    <row r="276">
      <c r="A276" s="200" t="s">
        <v>761</v>
      </c>
      <c r="B276" s="200" t="s">
        <v>822</v>
      </c>
      <c r="C276" s="200" t="s">
        <v>626</v>
      </c>
      <c r="D276" s="200" t="s">
        <v>627</v>
      </c>
      <c r="E276" s="201">
        <v>1.0</v>
      </c>
      <c r="F276" s="200" t="s">
        <v>609</v>
      </c>
      <c r="G276" s="202">
        <v>21.06</v>
      </c>
      <c r="H276" s="176"/>
    </row>
    <row r="277">
      <c r="A277" s="200" t="s">
        <v>761</v>
      </c>
      <c r="B277" s="200" t="s">
        <v>822</v>
      </c>
      <c r="C277" s="200" t="s">
        <v>764</v>
      </c>
      <c r="D277" s="200" t="s">
        <v>765</v>
      </c>
      <c r="E277" s="201">
        <v>1.0</v>
      </c>
      <c r="F277" s="200" t="s">
        <v>609</v>
      </c>
      <c r="G277" s="202">
        <v>81.02</v>
      </c>
      <c r="H277" s="176"/>
    </row>
    <row r="278">
      <c r="A278" s="200" t="s">
        <v>761</v>
      </c>
      <c r="B278" s="200" t="s">
        <v>822</v>
      </c>
      <c r="C278" s="200" t="s">
        <v>635</v>
      </c>
      <c r="D278" s="200" t="s">
        <v>636</v>
      </c>
      <c r="E278" s="201">
        <v>1.0</v>
      </c>
      <c r="F278" s="200" t="s">
        <v>609</v>
      </c>
      <c r="G278" s="202">
        <v>53.7</v>
      </c>
      <c r="H278" s="41"/>
    </row>
    <row r="279">
      <c r="A279" s="209" t="s">
        <v>755</v>
      </c>
      <c r="B279" s="209" t="s">
        <v>825</v>
      </c>
      <c r="C279" s="209" t="s">
        <v>623</v>
      </c>
      <c r="D279" s="209" t="s">
        <v>624</v>
      </c>
      <c r="E279" s="210">
        <v>1.0</v>
      </c>
      <c r="F279" s="209" t="s">
        <v>609</v>
      </c>
      <c r="G279" s="211">
        <v>9.5</v>
      </c>
      <c r="H279" s="212">
        <v>209.45</v>
      </c>
    </row>
    <row r="280">
      <c r="A280" s="209" t="s">
        <v>755</v>
      </c>
      <c r="B280" s="209" t="s">
        <v>825</v>
      </c>
      <c r="C280" s="209" t="s">
        <v>628</v>
      </c>
      <c r="D280" s="209" t="s">
        <v>629</v>
      </c>
      <c r="E280" s="210">
        <v>1.0</v>
      </c>
      <c r="F280" s="209" t="s">
        <v>609</v>
      </c>
      <c r="G280" s="211">
        <v>1.5</v>
      </c>
      <c r="H280" s="176"/>
    </row>
    <row r="281">
      <c r="A281" s="209" t="s">
        <v>755</v>
      </c>
      <c r="B281" s="209" t="s">
        <v>825</v>
      </c>
      <c r="C281" s="209" t="s">
        <v>642</v>
      </c>
      <c r="D281" s="209" t="s">
        <v>643</v>
      </c>
      <c r="E281" s="210">
        <v>1.0</v>
      </c>
      <c r="F281" s="209" t="s">
        <v>609</v>
      </c>
      <c r="G281" s="211">
        <v>1.68</v>
      </c>
      <c r="H281" s="176"/>
    </row>
    <row r="282">
      <c r="A282" s="209" t="s">
        <v>755</v>
      </c>
      <c r="B282" s="209" t="s">
        <v>825</v>
      </c>
      <c r="C282" s="209" t="s">
        <v>644</v>
      </c>
      <c r="D282" s="209" t="s">
        <v>645</v>
      </c>
      <c r="E282" s="210">
        <v>1.0</v>
      </c>
      <c r="F282" s="209" t="s">
        <v>609</v>
      </c>
      <c r="G282" s="211">
        <v>1.9</v>
      </c>
      <c r="H282" s="176"/>
    </row>
    <row r="283">
      <c r="A283" s="209" t="s">
        <v>755</v>
      </c>
      <c r="B283" s="209" t="s">
        <v>825</v>
      </c>
      <c r="C283" s="209" t="s">
        <v>764</v>
      </c>
      <c r="D283" s="209" t="s">
        <v>765</v>
      </c>
      <c r="E283" s="210">
        <v>1.0</v>
      </c>
      <c r="F283" s="209" t="s">
        <v>609</v>
      </c>
      <c r="G283" s="211">
        <v>81.02</v>
      </c>
      <c r="H283" s="176"/>
    </row>
    <row r="284">
      <c r="A284" s="209" t="s">
        <v>755</v>
      </c>
      <c r="B284" s="209" t="s">
        <v>825</v>
      </c>
      <c r="C284" s="209" t="s">
        <v>626</v>
      </c>
      <c r="D284" s="209" t="s">
        <v>627</v>
      </c>
      <c r="E284" s="210">
        <v>1.0</v>
      </c>
      <c r="F284" s="209" t="s">
        <v>609</v>
      </c>
      <c r="G284" s="211">
        <v>21.06</v>
      </c>
      <c r="H284" s="176"/>
    </row>
    <row r="285">
      <c r="A285" s="209" t="s">
        <v>755</v>
      </c>
      <c r="B285" s="209" t="s">
        <v>825</v>
      </c>
      <c r="C285" s="209" t="s">
        <v>726</v>
      </c>
      <c r="D285" s="209" t="s">
        <v>727</v>
      </c>
      <c r="E285" s="210">
        <v>1.0</v>
      </c>
      <c r="F285" s="209" t="s">
        <v>609</v>
      </c>
      <c r="G285" s="211">
        <v>35.0</v>
      </c>
      <c r="H285" s="176"/>
    </row>
    <row r="286">
      <c r="A286" s="209" t="s">
        <v>755</v>
      </c>
      <c r="B286" s="209" t="s">
        <v>825</v>
      </c>
      <c r="C286" s="209" t="s">
        <v>619</v>
      </c>
      <c r="D286" s="209" t="s">
        <v>620</v>
      </c>
      <c r="E286" s="210">
        <v>1.0</v>
      </c>
      <c r="F286" s="209" t="s">
        <v>609</v>
      </c>
      <c r="G286" s="211">
        <v>5.34</v>
      </c>
      <c r="H286" s="176"/>
    </row>
    <row r="287">
      <c r="A287" s="209" t="s">
        <v>755</v>
      </c>
      <c r="B287" s="209" t="s">
        <v>825</v>
      </c>
      <c r="C287" s="209" t="s">
        <v>646</v>
      </c>
      <c r="D287" s="209" t="s">
        <v>647</v>
      </c>
      <c r="E287" s="210">
        <v>1.0</v>
      </c>
      <c r="F287" s="209" t="s">
        <v>609</v>
      </c>
      <c r="G287" s="211">
        <v>1.36</v>
      </c>
      <c r="H287" s="176"/>
    </row>
    <row r="288">
      <c r="A288" s="209" t="s">
        <v>755</v>
      </c>
      <c r="B288" s="209" t="s">
        <v>825</v>
      </c>
      <c r="C288" s="209" t="s">
        <v>648</v>
      </c>
      <c r="D288" s="209" t="s">
        <v>649</v>
      </c>
      <c r="E288" s="210">
        <v>1.0</v>
      </c>
      <c r="F288" s="209" t="s">
        <v>609</v>
      </c>
      <c r="G288" s="211">
        <v>51.09</v>
      </c>
      <c r="H288" s="41"/>
    </row>
    <row r="289">
      <c r="A289" s="194" t="s">
        <v>749</v>
      </c>
      <c r="B289" s="194" t="s">
        <v>829</v>
      </c>
      <c r="C289" s="194" t="s">
        <v>623</v>
      </c>
      <c r="D289" s="194" t="s">
        <v>624</v>
      </c>
      <c r="E289" s="195">
        <v>1.0</v>
      </c>
      <c r="F289" s="194" t="s">
        <v>609</v>
      </c>
      <c r="G289" s="192">
        <v>9.5</v>
      </c>
      <c r="H289" s="193">
        <v>185.38</v>
      </c>
    </row>
    <row r="290">
      <c r="A290" s="194" t="s">
        <v>749</v>
      </c>
      <c r="B290" s="194" t="s">
        <v>829</v>
      </c>
      <c r="C290" s="194" t="s">
        <v>628</v>
      </c>
      <c r="D290" s="194" t="s">
        <v>629</v>
      </c>
      <c r="E290" s="195">
        <v>1.0</v>
      </c>
      <c r="F290" s="194" t="s">
        <v>609</v>
      </c>
      <c r="G290" s="192">
        <v>1.5</v>
      </c>
      <c r="H290" s="176"/>
    </row>
    <row r="291">
      <c r="A291" s="194" t="s">
        <v>749</v>
      </c>
      <c r="B291" s="194" t="s">
        <v>829</v>
      </c>
      <c r="C291" s="194" t="s">
        <v>642</v>
      </c>
      <c r="D291" s="194" t="s">
        <v>643</v>
      </c>
      <c r="E291" s="195">
        <v>1.0</v>
      </c>
      <c r="F291" s="194" t="s">
        <v>609</v>
      </c>
      <c r="G291" s="192">
        <v>1.68</v>
      </c>
      <c r="H291" s="176"/>
    </row>
    <row r="292">
      <c r="A292" s="194" t="s">
        <v>749</v>
      </c>
      <c r="B292" s="194" t="s">
        <v>829</v>
      </c>
      <c r="C292" s="194" t="s">
        <v>644</v>
      </c>
      <c r="D292" s="194" t="s">
        <v>645</v>
      </c>
      <c r="E292" s="195">
        <v>1.0</v>
      </c>
      <c r="F292" s="194" t="s">
        <v>609</v>
      </c>
      <c r="G292" s="192">
        <v>1.9</v>
      </c>
      <c r="H292" s="176"/>
    </row>
    <row r="293">
      <c r="A293" s="194" t="s">
        <v>749</v>
      </c>
      <c r="B293" s="194" t="s">
        <v>829</v>
      </c>
      <c r="C293" s="194" t="s">
        <v>764</v>
      </c>
      <c r="D293" s="194" t="s">
        <v>765</v>
      </c>
      <c r="E293" s="195">
        <v>1.0</v>
      </c>
      <c r="F293" s="194" t="s">
        <v>609</v>
      </c>
      <c r="G293" s="192">
        <v>81.02</v>
      </c>
      <c r="H293" s="176"/>
    </row>
    <row r="294">
      <c r="A294" s="194" t="s">
        <v>749</v>
      </c>
      <c r="B294" s="194" t="s">
        <v>829</v>
      </c>
      <c r="C294" s="194" t="s">
        <v>626</v>
      </c>
      <c r="D294" s="194" t="s">
        <v>627</v>
      </c>
      <c r="E294" s="195">
        <v>1.0</v>
      </c>
      <c r="F294" s="194" t="s">
        <v>609</v>
      </c>
      <c r="G294" s="192">
        <v>21.06</v>
      </c>
      <c r="H294" s="176"/>
    </row>
    <row r="295">
      <c r="A295" s="194" t="s">
        <v>749</v>
      </c>
      <c r="B295" s="194" t="s">
        <v>829</v>
      </c>
      <c r="C295" s="194" t="s">
        <v>612</v>
      </c>
      <c r="D295" s="194" t="s">
        <v>614</v>
      </c>
      <c r="E295" s="195">
        <v>1.0</v>
      </c>
      <c r="F295" s="194" t="s">
        <v>609</v>
      </c>
      <c r="G295" s="192">
        <v>25.0</v>
      </c>
      <c r="H295" s="176"/>
    </row>
    <row r="296">
      <c r="A296" s="194" t="s">
        <v>749</v>
      </c>
      <c r="B296" s="194" t="s">
        <v>829</v>
      </c>
      <c r="C296" s="194" t="s">
        <v>619</v>
      </c>
      <c r="D296" s="194" t="s">
        <v>620</v>
      </c>
      <c r="E296" s="195">
        <v>1.0</v>
      </c>
      <c r="F296" s="194" t="s">
        <v>609</v>
      </c>
      <c r="G296" s="192">
        <v>5.34</v>
      </c>
      <c r="H296" s="176"/>
    </row>
    <row r="297">
      <c r="A297" s="194" t="s">
        <v>749</v>
      </c>
      <c r="B297" s="194" t="s">
        <v>829</v>
      </c>
      <c r="C297" s="194" t="s">
        <v>646</v>
      </c>
      <c r="D297" s="194" t="s">
        <v>647</v>
      </c>
      <c r="E297" s="195">
        <v>1.0</v>
      </c>
      <c r="F297" s="194" t="s">
        <v>609</v>
      </c>
      <c r="G297" s="192">
        <v>1.36</v>
      </c>
      <c r="H297" s="176"/>
    </row>
    <row r="298">
      <c r="A298" s="194" t="s">
        <v>749</v>
      </c>
      <c r="B298" s="194" t="s">
        <v>829</v>
      </c>
      <c r="C298" s="194" t="s">
        <v>711</v>
      </c>
      <c r="D298" s="194" t="s">
        <v>712</v>
      </c>
      <c r="E298" s="195">
        <v>1.0</v>
      </c>
      <c r="F298" s="194" t="s">
        <v>609</v>
      </c>
      <c r="G298" s="192">
        <v>37.02</v>
      </c>
      <c r="H298" s="41"/>
    </row>
    <row r="299">
      <c r="A299" s="200" t="s">
        <v>743</v>
      </c>
      <c r="B299" s="200" t="s">
        <v>835</v>
      </c>
      <c r="C299" s="200" t="s">
        <v>623</v>
      </c>
      <c r="D299" s="200" t="s">
        <v>624</v>
      </c>
      <c r="E299" s="201">
        <v>1.0</v>
      </c>
      <c r="F299" s="200" t="s">
        <v>609</v>
      </c>
      <c r="G299" s="202">
        <v>9.5</v>
      </c>
      <c r="H299" s="203">
        <v>197.54</v>
      </c>
    </row>
    <row r="300">
      <c r="A300" s="200" t="s">
        <v>743</v>
      </c>
      <c r="B300" s="200" t="s">
        <v>835</v>
      </c>
      <c r="C300" s="200" t="s">
        <v>628</v>
      </c>
      <c r="D300" s="200" t="s">
        <v>629</v>
      </c>
      <c r="E300" s="201">
        <v>1.0</v>
      </c>
      <c r="F300" s="200" t="s">
        <v>609</v>
      </c>
      <c r="G300" s="202">
        <v>1.5</v>
      </c>
      <c r="H300" s="176"/>
    </row>
    <row r="301">
      <c r="A301" s="200" t="s">
        <v>743</v>
      </c>
      <c r="B301" s="200" t="s">
        <v>835</v>
      </c>
      <c r="C301" s="200" t="s">
        <v>642</v>
      </c>
      <c r="D301" s="200" t="s">
        <v>643</v>
      </c>
      <c r="E301" s="201">
        <v>1.0</v>
      </c>
      <c r="F301" s="200" t="s">
        <v>609</v>
      </c>
      <c r="G301" s="202">
        <v>1.68</v>
      </c>
      <c r="H301" s="176"/>
    </row>
    <row r="302">
      <c r="A302" s="200" t="s">
        <v>743</v>
      </c>
      <c r="B302" s="200" t="s">
        <v>835</v>
      </c>
      <c r="C302" s="200" t="s">
        <v>644</v>
      </c>
      <c r="D302" s="200" t="s">
        <v>645</v>
      </c>
      <c r="E302" s="201">
        <v>1.0</v>
      </c>
      <c r="F302" s="200" t="s">
        <v>609</v>
      </c>
      <c r="G302" s="202">
        <v>1.9</v>
      </c>
      <c r="H302" s="176"/>
    </row>
    <row r="303">
      <c r="A303" s="200" t="s">
        <v>743</v>
      </c>
      <c r="B303" s="200" t="s">
        <v>835</v>
      </c>
      <c r="C303" s="200" t="s">
        <v>764</v>
      </c>
      <c r="D303" s="200" t="s">
        <v>765</v>
      </c>
      <c r="E303" s="201">
        <v>1.0</v>
      </c>
      <c r="F303" s="200" t="s">
        <v>609</v>
      </c>
      <c r="G303" s="202">
        <v>81.02</v>
      </c>
      <c r="H303" s="176"/>
    </row>
    <row r="304">
      <c r="A304" s="200" t="s">
        <v>743</v>
      </c>
      <c r="B304" s="200" t="s">
        <v>835</v>
      </c>
      <c r="C304" s="200" t="s">
        <v>626</v>
      </c>
      <c r="D304" s="200" t="s">
        <v>627</v>
      </c>
      <c r="E304" s="201">
        <v>1.0</v>
      </c>
      <c r="F304" s="200" t="s">
        <v>609</v>
      </c>
      <c r="G304" s="202">
        <v>21.06</v>
      </c>
      <c r="H304" s="176"/>
    </row>
    <row r="305">
      <c r="A305" s="200" t="s">
        <v>743</v>
      </c>
      <c r="B305" s="200" t="s">
        <v>835</v>
      </c>
      <c r="C305" s="200" t="s">
        <v>612</v>
      </c>
      <c r="D305" s="200" t="s">
        <v>614</v>
      </c>
      <c r="E305" s="201">
        <v>1.0</v>
      </c>
      <c r="F305" s="200" t="s">
        <v>609</v>
      </c>
      <c r="G305" s="202">
        <v>25.0</v>
      </c>
      <c r="H305" s="176"/>
    </row>
    <row r="306">
      <c r="A306" s="200" t="s">
        <v>743</v>
      </c>
      <c r="B306" s="200" t="s">
        <v>835</v>
      </c>
      <c r="C306" s="200" t="s">
        <v>619</v>
      </c>
      <c r="D306" s="200" t="s">
        <v>620</v>
      </c>
      <c r="E306" s="201">
        <v>1.0</v>
      </c>
      <c r="F306" s="200" t="s">
        <v>609</v>
      </c>
      <c r="G306" s="202">
        <v>5.34</v>
      </c>
      <c r="H306" s="176"/>
    </row>
    <row r="307">
      <c r="A307" s="200" t="s">
        <v>743</v>
      </c>
      <c r="B307" s="200" t="s">
        <v>835</v>
      </c>
      <c r="C307" s="200" t="s">
        <v>646</v>
      </c>
      <c r="D307" s="200" t="s">
        <v>647</v>
      </c>
      <c r="E307" s="201">
        <v>1.0</v>
      </c>
      <c r="F307" s="200" t="s">
        <v>609</v>
      </c>
      <c r="G307" s="202">
        <v>1.36</v>
      </c>
      <c r="H307" s="176"/>
    </row>
    <row r="308">
      <c r="A308" s="200" t="s">
        <v>743</v>
      </c>
      <c r="B308" s="200" t="s">
        <v>835</v>
      </c>
      <c r="C308" s="200" t="s">
        <v>676</v>
      </c>
      <c r="D308" s="200" t="s">
        <v>677</v>
      </c>
      <c r="E308" s="201">
        <v>1.0</v>
      </c>
      <c r="F308" s="200" t="s">
        <v>609</v>
      </c>
      <c r="G308" s="202">
        <v>49.18</v>
      </c>
      <c r="H308" s="41"/>
    </row>
    <row r="309">
      <c r="A309" s="196" t="s">
        <v>730</v>
      </c>
      <c r="B309" s="196" t="s">
        <v>841</v>
      </c>
      <c r="C309" s="196" t="s">
        <v>623</v>
      </c>
      <c r="D309" s="196" t="s">
        <v>624</v>
      </c>
      <c r="E309" s="197">
        <v>1.0</v>
      </c>
      <c r="F309" s="196" t="s">
        <v>609</v>
      </c>
      <c r="G309" s="198">
        <v>9.5</v>
      </c>
      <c r="H309" s="199">
        <v>202.42</v>
      </c>
    </row>
    <row r="310">
      <c r="A310" s="196" t="s">
        <v>730</v>
      </c>
      <c r="B310" s="196" t="s">
        <v>841</v>
      </c>
      <c r="C310" s="196" t="s">
        <v>628</v>
      </c>
      <c r="D310" s="196" t="s">
        <v>629</v>
      </c>
      <c r="E310" s="197">
        <v>1.0</v>
      </c>
      <c r="F310" s="196" t="s">
        <v>609</v>
      </c>
      <c r="G310" s="198">
        <v>1.5</v>
      </c>
      <c r="H310" s="176"/>
    </row>
    <row r="311">
      <c r="A311" s="196" t="s">
        <v>730</v>
      </c>
      <c r="B311" s="196" t="s">
        <v>841</v>
      </c>
      <c r="C311" s="196" t="s">
        <v>642</v>
      </c>
      <c r="D311" s="196" t="s">
        <v>643</v>
      </c>
      <c r="E311" s="197">
        <v>1.0</v>
      </c>
      <c r="F311" s="196" t="s">
        <v>609</v>
      </c>
      <c r="G311" s="198">
        <v>1.68</v>
      </c>
      <c r="H311" s="176"/>
    </row>
    <row r="312">
      <c r="A312" s="196" t="s">
        <v>730</v>
      </c>
      <c r="B312" s="196" t="s">
        <v>841</v>
      </c>
      <c r="C312" s="196" t="s">
        <v>644</v>
      </c>
      <c r="D312" s="196" t="s">
        <v>645</v>
      </c>
      <c r="E312" s="197">
        <v>1.0</v>
      </c>
      <c r="F312" s="196" t="s">
        <v>609</v>
      </c>
      <c r="G312" s="198">
        <v>1.9</v>
      </c>
      <c r="H312" s="176"/>
    </row>
    <row r="313">
      <c r="A313" s="196" t="s">
        <v>730</v>
      </c>
      <c r="B313" s="196" t="s">
        <v>841</v>
      </c>
      <c r="C313" s="196" t="s">
        <v>764</v>
      </c>
      <c r="D313" s="196" t="s">
        <v>765</v>
      </c>
      <c r="E313" s="197">
        <v>1.0</v>
      </c>
      <c r="F313" s="196" t="s">
        <v>609</v>
      </c>
      <c r="G313" s="198">
        <v>81.02</v>
      </c>
      <c r="H313" s="176"/>
    </row>
    <row r="314">
      <c r="A314" s="196" t="s">
        <v>730</v>
      </c>
      <c r="B314" s="196" t="s">
        <v>841</v>
      </c>
      <c r="C314" s="196" t="s">
        <v>626</v>
      </c>
      <c r="D314" s="196" t="s">
        <v>627</v>
      </c>
      <c r="E314" s="197">
        <v>1.0</v>
      </c>
      <c r="F314" s="196" t="s">
        <v>609</v>
      </c>
      <c r="G314" s="198">
        <v>21.06</v>
      </c>
      <c r="H314" s="176"/>
    </row>
    <row r="315">
      <c r="A315" s="196" t="s">
        <v>730</v>
      </c>
      <c r="B315" s="196" t="s">
        <v>841</v>
      </c>
      <c r="C315" s="196" t="s">
        <v>619</v>
      </c>
      <c r="D315" s="196" t="s">
        <v>620</v>
      </c>
      <c r="E315" s="197">
        <v>1.0</v>
      </c>
      <c r="F315" s="196" t="s">
        <v>609</v>
      </c>
      <c r="G315" s="198">
        <v>5.34</v>
      </c>
      <c r="H315" s="176"/>
    </row>
    <row r="316">
      <c r="A316" s="196" t="s">
        <v>730</v>
      </c>
      <c r="B316" s="196" t="s">
        <v>841</v>
      </c>
      <c r="C316" s="196" t="s">
        <v>612</v>
      </c>
      <c r="D316" s="196" t="s">
        <v>614</v>
      </c>
      <c r="E316" s="197">
        <v>1.0</v>
      </c>
      <c r="F316" s="196" t="s">
        <v>609</v>
      </c>
      <c r="G316" s="198">
        <v>25.0</v>
      </c>
      <c r="H316" s="176"/>
    </row>
    <row r="317">
      <c r="A317" s="196" t="s">
        <v>730</v>
      </c>
      <c r="B317" s="196" t="s">
        <v>841</v>
      </c>
      <c r="C317" s="196" t="s">
        <v>646</v>
      </c>
      <c r="D317" s="196" t="s">
        <v>647</v>
      </c>
      <c r="E317" s="197">
        <v>1.0</v>
      </c>
      <c r="F317" s="196" t="s">
        <v>609</v>
      </c>
      <c r="G317" s="198">
        <v>1.36</v>
      </c>
      <c r="H317" s="176"/>
    </row>
    <row r="318">
      <c r="A318" s="196" t="s">
        <v>730</v>
      </c>
      <c r="B318" s="196" t="s">
        <v>841</v>
      </c>
      <c r="C318" s="196" t="s">
        <v>683</v>
      </c>
      <c r="D318" s="196" t="s">
        <v>684</v>
      </c>
      <c r="E318" s="197">
        <v>1.0</v>
      </c>
      <c r="F318" s="196" t="s">
        <v>609</v>
      </c>
      <c r="G318" s="198">
        <v>54.06</v>
      </c>
      <c r="H318" s="41"/>
    </row>
    <row r="319">
      <c r="A319" s="194" t="s">
        <v>718</v>
      </c>
      <c r="B319" s="194" t="s">
        <v>845</v>
      </c>
      <c r="C319" s="194" t="s">
        <v>623</v>
      </c>
      <c r="D319" s="194" t="s">
        <v>624</v>
      </c>
      <c r="E319" s="195">
        <v>1.0</v>
      </c>
      <c r="F319" s="194" t="s">
        <v>609</v>
      </c>
      <c r="G319" s="192">
        <v>9.5</v>
      </c>
      <c r="H319" s="193">
        <v>236.43</v>
      </c>
    </row>
    <row r="320">
      <c r="A320" s="194" t="s">
        <v>718</v>
      </c>
      <c r="B320" s="194" t="s">
        <v>845</v>
      </c>
      <c r="C320" s="194" t="s">
        <v>628</v>
      </c>
      <c r="D320" s="194" t="s">
        <v>629</v>
      </c>
      <c r="E320" s="195">
        <v>1.0</v>
      </c>
      <c r="F320" s="194" t="s">
        <v>609</v>
      </c>
      <c r="G320" s="192">
        <v>1.5</v>
      </c>
      <c r="H320" s="176"/>
    </row>
    <row r="321">
      <c r="A321" s="194" t="s">
        <v>718</v>
      </c>
      <c r="B321" s="194" t="s">
        <v>845</v>
      </c>
      <c r="C321" s="194" t="s">
        <v>631</v>
      </c>
      <c r="D321" s="194" t="s">
        <v>632</v>
      </c>
      <c r="E321" s="195">
        <v>1.0</v>
      </c>
      <c r="F321" s="194" t="s">
        <v>609</v>
      </c>
      <c r="G321" s="192">
        <v>0.46</v>
      </c>
      <c r="H321" s="176"/>
    </row>
    <row r="322">
      <c r="A322" s="194" t="s">
        <v>718</v>
      </c>
      <c r="B322" s="194" t="s">
        <v>845</v>
      </c>
      <c r="C322" s="194" t="s">
        <v>687</v>
      </c>
      <c r="D322" s="194" t="s">
        <v>688</v>
      </c>
      <c r="E322" s="195">
        <v>1.0</v>
      </c>
      <c r="F322" s="194" t="s">
        <v>609</v>
      </c>
      <c r="G322" s="192">
        <v>0.0</v>
      </c>
      <c r="H322" s="176"/>
    </row>
    <row r="323">
      <c r="A323" s="194" t="s">
        <v>718</v>
      </c>
      <c r="B323" s="194" t="s">
        <v>845</v>
      </c>
      <c r="C323" s="194" t="s">
        <v>726</v>
      </c>
      <c r="D323" s="194" t="s">
        <v>727</v>
      </c>
      <c r="E323" s="195">
        <v>1.0</v>
      </c>
      <c r="F323" s="194" t="s">
        <v>609</v>
      </c>
      <c r="G323" s="192">
        <v>35.0</v>
      </c>
      <c r="H323" s="176"/>
    </row>
    <row r="324">
      <c r="A324" s="194" t="s">
        <v>718</v>
      </c>
      <c r="B324" s="194" t="s">
        <v>845</v>
      </c>
      <c r="C324" s="194" t="s">
        <v>764</v>
      </c>
      <c r="D324" s="194" t="s">
        <v>765</v>
      </c>
      <c r="E324" s="195">
        <v>1.0</v>
      </c>
      <c r="F324" s="194" t="s">
        <v>609</v>
      </c>
      <c r="G324" s="192">
        <v>81.02</v>
      </c>
      <c r="H324" s="176"/>
    </row>
    <row r="325">
      <c r="A325" s="194" t="s">
        <v>718</v>
      </c>
      <c r="B325" s="194" t="s">
        <v>845</v>
      </c>
      <c r="C325" s="194" t="s">
        <v>626</v>
      </c>
      <c r="D325" s="194" t="s">
        <v>627</v>
      </c>
      <c r="E325" s="195">
        <v>1.0</v>
      </c>
      <c r="F325" s="194" t="s">
        <v>609</v>
      </c>
      <c r="G325" s="192">
        <v>20.92</v>
      </c>
      <c r="H325" s="176"/>
    </row>
    <row r="326">
      <c r="A326" s="194" t="s">
        <v>718</v>
      </c>
      <c r="B326" s="194" t="s">
        <v>845</v>
      </c>
      <c r="C326" s="194" t="s">
        <v>619</v>
      </c>
      <c r="D326" s="194" t="s">
        <v>620</v>
      </c>
      <c r="E326" s="195">
        <v>1.0</v>
      </c>
      <c r="F326" s="194" t="s">
        <v>609</v>
      </c>
      <c r="G326" s="192">
        <v>5.34</v>
      </c>
      <c r="H326" s="176"/>
    </row>
    <row r="327">
      <c r="A327" s="194" t="s">
        <v>718</v>
      </c>
      <c r="B327" s="194" t="s">
        <v>845</v>
      </c>
      <c r="C327" s="194" t="s">
        <v>691</v>
      </c>
      <c r="D327" s="194" t="s">
        <v>692</v>
      </c>
      <c r="E327" s="195">
        <v>1.0</v>
      </c>
      <c r="F327" s="194" t="s">
        <v>609</v>
      </c>
      <c r="G327" s="192">
        <v>82.69</v>
      </c>
      <c r="H327" s="41"/>
    </row>
    <row r="328">
      <c r="A328" s="200" t="s">
        <v>848</v>
      </c>
      <c r="B328" s="200" t="s">
        <v>849</v>
      </c>
      <c r="C328" s="200" t="s">
        <v>615</v>
      </c>
      <c r="D328" s="200" t="s">
        <v>616</v>
      </c>
      <c r="E328" s="201">
        <v>1.0</v>
      </c>
      <c r="F328" s="200" t="s">
        <v>609</v>
      </c>
      <c r="G328" s="202">
        <v>33.75</v>
      </c>
      <c r="H328" s="203">
        <v>268.11</v>
      </c>
    </row>
    <row r="329">
      <c r="A329" s="200" t="s">
        <v>848</v>
      </c>
      <c r="B329" s="200" t="s">
        <v>849</v>
      </c>
      <c r="C329" s="200" t="s">
        <v>850</v>
      </c>
      <c r="D329" s="200" t="s">
        <v>851</v>
      </c>
      <c r="E329" s="201">
        <v>1.0</v>
      </c>
      <c r="F329" s="200" t="s">
        <v>609</v>
      </c>
      <c r="G329" s="202">
        <v>107.21</v>
      </c>
      <c r="H329" s="176"/>
    </row>
    <row r="330">
      <c r="A330" s="200" t="s">
        <v>848</v>
      </c>
      <c r="B330" s="200" t="s">
        <v>849</v>
      </c>
      <c r="C330" s="200" t="s">
        <v>648</v>
      </c>
      <c r="D330" s="200" t="s">
        <v>649</v>
      </c>
      <c r="E330" s="201">
        <v>1.0</v>
      </c>
      <c r="F330" s="200" t="s">
        <v>609</v>
      </c>
      <c r="G330" s="202">
        <v>51.09</v>
      </c>
      <c r="H330" s="176"/>
    </row>
    <row r="331">
      <c r="A331" s="200" t="s">
        <v>848</v>
      </c>
      <c r="B331" s="200" t="s">
        <v>849</v>
      </c>
      <c r="C331" s="200" t="s">
        <v>726</v>
      </c>
      <c r="D331" s="200" t="s">
        <v>727</v>
      </c>
      <c r="E331" s="201">
        <v>1.0</v>
      </c>
      <c r="F331" s="200" t="s">
        <v>609</v>
      </c>
      <c r="G331" s="202">
        <v>35.0</v>
      </c>
      <c r="H331" s="176"/>
    </row>
    <row r="332">
      <c r="A332" s="200" t="s">
        <v>848</v>
      </c>
      <c r="B332" s="200" t="s">
        <v>849</v>
      </c>
      <c r="C332" s="200" t="s">
        <v>642</v>
      </c>
      <c r="D332" s="200" t="s">
        <v>643</v>
      </c>
      <c r="E332" s="201">
        <v>1.0</v>
      </c>
      <c r="F332" s="200" t="s">
        <v>609</v>
      </c>
      <c r="G332" s="202">
        <v>1.68</v>
      </c>
      <c r="H332" s="176"/>
    </row>
    <row r="333">
      <c r="A333" s="200" t="s">
        <v>848</v>
      </c>
      <c r="B333" s="200" t="s">
        <v>849</v>
      </c>
      <c r="C333" s="200" t="s">
        <v>644</v>
      </c>
      <c r="D333" s="200" t="s">
        <v>645</v>
      </c>
      <c r="E333" s="201">
        <v>1.0</v>
      </c>
      <c r="F333" s="200" t="s">
        <v>609</v>
      </c>
      <c r="G333" s="202">
        <v>1.9</v>
      </c>
      <c r="H333" s="176"/>
    </row>
    <row r="334">
      <c r="A334" s="200" t="s">
        <v>848</v>
      </c>
      <c r="B334" s="200" t="s">
        <v>849</v>
      </c>
      <c r="C334" s="200" t="s">
        <v>619</v>
      </c>
      <c r="D334" s="200" t="s">
        <v>620</v>
      </c>
      <c r="E334" s="201">
        <v>1.0</v>
      </c>
      <c r="F334" s="200" t="s">
        <v>609</v>
      </c>
      <c r="G334" s="202">
        <v>5.34</v>
      </c>
      <c r="H334" s="176"/>
    </row>
    <row r="335">
      <c r="A335" s="200" t="s">
        <v>848</v>
      </c>
      <c r="B335" s="200" t="s">
        <v>849</v>
      </c>
      <c r="C335" s="200" t="s">
        <v>734</v>
      </c>
      <c r="D335" s="200" t="s">
        <v>735</v>
      </c>
      <c r="E335" s="201">
        <v>1.0</v>
      </c>
      <c r="F335" s="200" t="s">
        <v>609</v>
      </c>
      <c r="G335" s="202">
        <v>32.14</v>
      </c>
      <c r="H335" s="41"/>
    </row>
    <row r="336">
      <c r="A336" s="196" t="s">
        <v>855</v>
      </c>
      <c r="B336" s="196" t="s">
        <v>856</v>
      </c>
      <c r="C336" s="196" t="s">
        <v>734</v>
      </c>
      <c r="D336" s="196" t="s">
        <v>735</v>
      </c>
      <c r="E336" s="197">
        <v>1.0</v>
      </c>
      <c r="F336" s="196" t="s">
        <v>609</v>
      </c>
      <c r="G336" s="198">
        <v>32.14</v>
      </c>
      <c r="H336" s="199">
        <v>244.93</v>
      </c>
    </row>
    <row r="337">
      <c r="A337" s="196" t="s">
        <v>855</v>
      </c>
      <c r="B337" s="196" t="s">
        <v>856</v>
      </c>
      <c r="C337" s="196" t="s">
        <v>615</v>
      </c>
      <c r="D337" s="196" t="s">
        <v>616</v>
      </c>
      <c r="E337" s="197">
        <v>1.0</v>
      </c>
      <c r="F337" s="196" t="s">
        <v>609</v>
      </c>
      <c r="G337" s="198">
        <v>33.5</v>
      </c>
      <c r="H337" s="176"/>
    </row>
    <row r="338">
      <c r="A338" s="196" t="s">
        <v>855</v>
      </c>
      <c r="B338" s="196" t="s">
        <v>856</v>
      </c>
      <c r="C338" s="196" t="s">
        <v>850</v>
      </c>
      <c r="D338" s="196" t="s">
        <v>851</v>
      </c>
      <c r="E338" s="197">
        <v>1.0</v>
      </c>
      <c r="F338" s="196" t="s">
        <v>609</v>
      </c>
      <c r="G338" s="198">
        <v>107.21</v>
      </c>
      <c r="H338" s="176"/>
    </row>
    <row r="339">
      <c r="A339" s="196" t="s">
        <v>855</v>
      </c>
      <c r="B339" s="196" t="s">
        <v>856</v>
      </c>
      <c r="C339" s="196" t="s">
        <v>711</v>
      </c>
      <c r="D339" s="196" t="s">
        <v>712</v>
      </c>
      <c r="E339" s="197">
        <v>1.0</v>
      </c>
      <c r="F339" s="196" t="s">
        <v>609</v>
      </c>
      <c r="G339" s="198">
        <v>36.8</v>
      </c>
      <c r="H339" s="176"/>
    </row>
    <row r="340">
      <c r="A340" s="196" t="s">
        <v>855</v>
      </c>
      <c r="B340" s="196" t="s">
        <v>856</v>
      </c>
      <c r="C340" s="196" t="s">
        <v>646</v>
      </c>
      <c r="D340" s="196" t="s">
        <v>647</v>
      </c>
      <c r="E340" s="197">
        <v>1.0</v>
      </c>
      <c r="F340" s="196" t="s">
        <v>609</v>
      </c>
      <c r="G340" s="198">
        <v>1.36</v>
      </c>
      <c r="H340" s="176"/>
    </row>
    <row r="341">
      <c r="A341" s="196" t="s">
        <v>855</v>
      </c>
      <c r="B341" s="196" t="s">
        <v>856</v>
      </c>
      <c r="C341" s="196" t="s">
        <v>644</v>
      </c>
      <c r="D341" s="196" t="s">
        <v>645</v>
      </c>
      <c r="E341" s="197">
        <v>1.0</v>
      </c>
      <c r="F341" s="196" t="s">
        <v>609</v>
      </c>
      <c r="G341" s="198">
        <v>1.9</v>
      </c>
      <c r="H341" s="176"/>
    </row>
    <row r="342">
      <c r="A342" s="196" t="s">
        <v>855</v>
      </c>
      <c r="B342" s="196" t="s">
        <v>856</v>
      </c>
      <c r="C342" s="196" t="s">
        <v>642</v>
      </c>
      <c r="D342" s="196" t="s">
        <v>643</v>
      </c>
      <c r="E342" s="197">
        <v>1.0</v>
      </c>
      <c r="F342" s="196" t="s">
        <v>609</v>
      </c>
      <c r="G342" s="198">
        <v>1.68</v>
      </c>
      <c r="H342" s="176"/>
    </row>
    <row r="343">
      <c r="A343" s="196" t="s">
        <v>855</v>
      </c>
      <c r="B343" s="196" t="s">
        <v>856</v>
      </c>
      <c r="C343" s="196" t="s">
        <v>612</v>
      </c>
      <c r="D343" s="196" t="s">
        <v>614</v>
      </c>
      <c r="E343" s="197">
        <v>1.0</v>
      </c>
      <c r="F343" s="196" t="s">
        <v>609</v>
      </c>
      <c r="G343" s="198">
        <v>25.0</v>
      </c>
      <c r="H343" s="176"/>
    </row>
    <row r="344">
      <c r="A344" s="196" t="s">
        <v>855</v>
      </c>
      <c r="B344" s="196" t="s">
        <v>856</v>
      </c>
      <c r="C344" s="196" t="s">
        <v>619</v>
      </c>
      <c r="D344" s="196" t="s">
        <v>620</v>
      </c>
      <c r="E344" s="197">
        <v>1.0</v>
      </c>
      <c r="F344" s="196" t="s">
        <v>609</v>
      </c>
      <c r="G344" s="198">
        <v>5.34</v>
      </c>
      <c r="H344" s="41"/>
    </row>
    <row r="345">
      <c r="A345" s="200" t="s">
        <v>860</v>
      </c>
      <c r="B345" s="200" t="s">
        <v>861</v>
      </c>
      <c r="C345" s="200" t="s">
        <v>734</v>
      </c>
      <c r="D345" s="200" t="s">
        <v>735</v>
      </c>
      <c r="E345" s="201">
        <v>1.0</v>
      </c>
      <c r="F345" s="200" t="s">
        <v>609</v>
      </c>
      <c r="G345" s="202">
        <v>32.14</v>
      </c>
      <c r="H345" s="203">
        <v>255.51</v>
      </c>
    </row>
    <row r="346">
      <c r="A346" s="200" t="s">
        <v>860</v>
      </c>
      <c r="B346" s="200" t="s">
        <v>861</v>
      </c>
      <c r="C346" s="200" t="s">
        <v>676</v>
      </c>
      <c r="D346" s="200" t="s">
        <v>677</v>
      </c>
      <c r="E346" s="201">
        <v>1.0</v>
      </c>
      <c r="F346" s="200" t="s">
        <v>609</v>
      </c>
      <c r="G346" s="202">
        <v>47.38</v>
      </c>
      <c r="H346" s="176"/>
    </row>
    <row r="347">
      <c r="A347" s="200" t="s">
        <v>860</v>
      </c>
      <c r="B347" s="200" t="s">
        <v>861</v>
      </c>
      <c r="C347" s="200" t="s">
        <v>642</v>
      </c>
      <c r="D347" s="200" t="s">
        <v>643</v>
      </c>
      <c r="E347" s="201">
        <v>1.0</v>
      </c>
      <c r="F347" s="200" t="s">
        <v>609</v>
      </c>
      <c r="G347" s="202">
        <v>1.68</v>
      </c>
      <c r="H347" s="176"/>
    </row>
    <row r="348">
      <c r="A348" s="200" t="s">
        <v>860</v>
      </c>
      <c r="B348" s="200" t="s">
        <v>861</v>
      </c>
      <c r="C348" s="200" t="s">
        <v>644</v>
      </c>
      <c r="D348" s="200" t="s">
        <v>645</v>
      </c>
      <c r="E348" s="201">
        <v>1.0</v>
      </c>
      <c r="F348" s="200" t="s">
        <v>609</v>
      </c>
      <c r="G348" s="202">
        <v>1.9</v>
      </c>
      <c r="H348" s="176"/>
    </row>
    <row r="349">
      <c r="A349" s="200" t="s">
        <v>860</v>
      </c>
      <c r="B349" s="200" t="s">
        <v>861</v>
      </c>
      <c r="C349" s="200" t="s">
        <v>615</v>
      </c>
      <c r="D349" s="200" t="s">
        <v>616</v>
      </c>
      <c r="E349" s="201">
        <v>1.0</v>
      </c>
      <c r="F349" s="200" t="s">
        <v>609</v>
      </c>
      <c r="G349" s="202">
        <v>33.5</v>
      </c>
      <c r="H349" s="176"/>
    </row>
    <row r="350">
      <c r="A350" s="200" t="s">
        <v>860</v>
      </c>
      <c r="B350" s="200" t="s">
        <v>861</v>
      </c>
      <c r="C350" s="200" t="s">
        <v>619</v>
      </c>
      <c r="D350" s="200" t="s">
        <v>620</v>
      </c>
      <c r="E350" s="201">
        <v>1.0</v>
      </c>
      <c r="F350" s="200" t="s">
        <v>609</v>
      </c>
      <c r="G350" s="202">
        <v>5.34</v>
      </c>
      <c r="H350" s="176"/>
    </row>
    <row r="351">
      <c r="A351" s="200" t="s">
        <v>860</v>
      </c>
      <c r="B351" s="200" t="s">
        <v>861</v>
      </c>
      <c r="C351" s="200" t="s">
        <v>850</v>
      </c>
      <c r="D351" s="200" t="s">
        <v>851</v>
      </c>
      <c r="E351" s="201">
        <v>1.0</v>
      </c>
      <c r="F351" s="200" t="s">
        <v>609</v>
      </c>
      <c r="G351" s="202">
        <v>107.21</v>
      </c>
      <c r="H351" s="176"/>
    </row>
    <row r="352">
      <c r="A352" s="200" t="s">
        <v>860</v>
      </c>
      <c r="B352" s="200" t="s">
        <v>861</v>
      </c>
      <c r="C352" s="200" t="s">
        <v>612</v>
      </c>
      <c r="D352" s="200" t="s">
        <v>614</v>
      </c>
      <c r="E352" s="201">
        <v>1.0</v>
      </c>
      <c r="F352" s="200" t="s">
        <v>609</v>
      </c>
      <c r="G352" s="202">
        <v>25.0</v>
      </c>
      <c r="H352" s="176"/>
    </row>
    <row r="353">
      <c r="A353" s="200" t="s">
        <v>860</v>
      </c>
      <c r="B353" s="200" t="s">
        <v>861</v>
      </c>
      <c r="C353" s="200" t="s">
        <v>646</v>
      </c>
      <c r="D353" s="200" t="s">
        <v>647</v>
      </c>
      <c r="E353" s="201">
        <v>1.0</v>
      </c>
      <c r="F353" s="200" t="s">
        <v>609</v>
      </c>
      <c r="G353" s="202">
        <v>1.36</v>
      </c>
      <c r="H353" s="41"/>
    </row>
    <row r="354">
      <c r="A354" s="209" t="s">
        <v>864</v>
      </c>
      <c r="B354" s="209" t="s">
        <v>865</v>
      </c>
      <c r="C354" s="209" t="s">
        <v>734</v>
      </c>
      <c r="D354" s="209" t="s">
        <v>735</v>
      </c>
      <c r="E354" s="210">
        <v>1.0</v>
      </c>
      <c r="F354" s="209" t="s">
        <v>609</v>
      </c>
      <c r="G354" s="211">
        <v>32.14</v>
      </c>
      <c r="H354" s="212">
        <v>262.19</v>
      </c>
    </row>
    <row r="355">
      <c r="A355" s="209" t="s">
        <v>864</v>
      </c>
      <c r="B355" s="209" t="s">
        <v>865</v>
      </c>
      <c r="C355" s="209" t="s">
        <v>615</v>
      </c>
      <c r="D355" s="209" t="s">
        <v>616</v>
      </c>
      <c r="E355" s="210">
        <v>1.0</v>
      </c>
      <c r="F355" s="209" t="s">
        <v>609</v>
      </c>
      <c r="G355" s="211">
        <v>33.5</v>
      </c>
      <c r="H355" s="176"/>
    </row>
    <row r="356">
      <c r="A356" s="209" t="s">
        <v>864</v>
      </c>
      <c r="B356" s="209" t="s">
        <v>865</v>
      </c>
      <c r="C356" s="209" t="s">
        <v>850</v>
      </c>
      <c r="D356" s="209" t="s">
        <v>851</v>
      </c>
      <c r="E356" s="210">
        <v>1.0</v>
      </c>
      <c r="F356" s="209" t="s">
        <v>609</v>
      </c>
      <c r="G356" s="211">
        <v>107.21</v>
      </c>
      <c r="H356" s="176"/>
    </row>
    <row r="357">
      <c r="A357" s="209" t="s">
        <v>864</v>
      </c>
      <c r="B357" s="209" t="s">
        <v>865</v>
      </c>
      <c r="C357" s="209" t="s">
        <v>642</v>
      </c>
      <c r="D357" s="209" t="s">
        <v>643</v>
      </c>
      <c r="E357" s="210">
        <v>1.0</v>
      </c>
      <c r="F357" s="209" t="s">
        <v>609</v>
      </c>
      <c r="G357" s="211">
        <v>1.68</v>
      </c>
      <c r="H357" s="176"/>
    </row>
    <row r="358">
      <c r="A358" s="209" t="s">
        <v>864</v>
      </c>
      <c r="B358" s="209" t="s">
        <v>865</v>
      </c>
      <c r="C358" s="209" t="s">
        <v>644</v>
      </c>
      <c r="D358" s="209" t="s">
        <v>645</v>
      </c>
      <c r="E358" s="210">
        <v>1.0</v>
      </c>
      <c r="F358" s="209" t="s">
        <v>609</v>
      </c>
      <c r="G358" s="211">
        <v>1.9</v>
      </c>
      <c r="H358" s="176"/>
    </row>
    <row r="359">
      <c r="A359" s="209" t="s">
        <v>864</v>
      </c>
      <c r="B359" s="209" t="s">
        <v>865</v>
      </c>
      <c r="C359" s="209" t="s">
        <v>646</v>
      </c>
      <c r="D359" s="209" t="s">
        <v>647</v>
      </c>
      <c r="E359" s="210">
        <v>1.0</v>
      </c>
      <c r="F359" s="209" t="s">
        <v>609</v>
      </c>
      <c r="G359" s="211">
        <v>1.36</v>
      </c>
      <c r="H359" s="176"/>
    </row>
    <row r="360">
      <c r="A360" s="209" t="s">
        <v>864</v>
      </c>
      <c r="B360" s="209" t="s">
        <v>865</v>
      </c>
      <c r="C360" s="209" t="s">
        <v>619</v>
      </c>
      <c r="D360" s="209" t="s">
        <v>620</v>
      </c>
      <c r="E360" s="210">
        <v>1.0</v>
      </c>
      <c r="F360" s="209" t="s">
        <v>609</v>
      </c>
      <c r="G360" s="211">
        <v>5.34</v>
      </c>
      <c r="H360" s="176"/>
    </row>
    <row r="361">
      <c r="A361" s="209" t="s">
        <v>864</v>
      </c>
      <c r="B361" s="209" t="s">
        <v>865</v>
      </c>
      <c r="C361" s="209" t="s">
        <v>683</v>
      </c>
      <c r="D361" s="209" t="s">
        <v>684</v>
      </c>
      <c r="E361" s="210">
        <v>1.0</v>
      </c>
      <c r="F361" s="209" t="s">
        <v>609</v>
      </c>
      <c r="G361" s="211">
        <v>54.06</v>
      </c>
      <c r="H361" s="176"/>
    </row>
    <row r="362">
      <c r="A362" s="209" t="s">
        <v>864</v>
      </c>
      <c r="B362" s="209" t="s">
        <v>865</v>
      </c>
      <c r="C362" s="209" t="s">
        <v>612</v>
      </c>
      <c r="D362" s="209" t="s">
        <v>614</v>
      </c>
      <c r="E362" s="210">
        <v>1.0</v>
      </c>
      <c r="F362" s="209" t="s">
        <v>609</v>
      </c>
      <c r="G362" s="211">
        <v>25.0</v>
      </c>
      <c r="H362" s="41"/>
    </row>
    <row r="363">
      <c r="A363" s="196" t="s">
        <v>869</v>
      </c>
      <c r="B363" s="196" t="s">
        <v>870</v>
      </c>
      <c r="C363" s="196" t="s">
        <v>691</v>
      </c>
      <c r="D363" s="196" t="s">
        <v>692</v>
      </c>
      <c r="E363" s="197">
        <v>1.0</v>
      </c>
      <c r="F363" s="196" t="s">
        <v>609</v>
      </c>
      <c r="G363" s="198">
        <v>82.01</v>
      </c>
      <c r="H363" s="199">
        <v>286.36</v>
      </c>
    </row>
    <row r="364">
      <c r="A364" s="196" t="s">
        <v>869</v>
      </c>
      <c r="B364" s="196" t="s">
        <v>870</v>
      </c>
      <c r="C364" s="196" t="s">
        <v>631</v>
      </c>
      <c r="D364" s="196" t="s">
        <v>632</v>
      </c>
      <c r="E364" s="197">
        <v>1.0</v>
      </c>
      <c r="F364" s="196" t="s">
        <v>609</v>
      </c>
      <c r="G364" s="198">
        <v>0.46</v>
      </c>
      <c r="H364" s="176"/>
    </row>
    <row r="365">
      <c r="A365" s="196" t="s">
        <v>869</v>
      </c>
      <c r="B365" s="196" t="s">
        <v>870</v>
      </c>
      <c r="C365" s="196" t="s">
        <v>615</v>
      </c>
      <c r="D365" s="196" t="s">
        <v>616</v>
      </c>
      <c r="E365" s="197">
        <v>1.0</v>
      </c>
      <c r="F365" s="196" t="s">
        <v>609</v>
      </c>
      <c r="G365" s="198">
        <v>33.9</v>
      </c>
      <c r="H365" s="176"/>
    </row>
    <row r="366">
      <c r="A366" s="196" t="s">
        <v>869</v>
      </c>
      <c r="B366" s="196" t="s">
        <v>870</v>
      </c>
      <c r="C366" s="196" t="s">
        <v>850</v>
      </c>
      <c r="D366" s="196" t="s">
        <v>851</v>
      </c>
      <c r="E366" s="197">
        <v>1.0</v>
      </c>
      <c r="F366" s="196" t="s">
        <v>609</v>
      </c>
      <c r="G366" s="198">
        <v>107.21</v>
      </c>
      <c r="H366" s="176"/>
    </row>
    <row r="367">
      <c r="A367" s="196" t="s">
        <v>869</v>
      </c>
      <c r="B367" s="196" t="s">
        <v>870</v>
      </c>
      <c r="C367" s="196" t="s">
        <v>619</v>
      </c>
      <c r="D367" s="196" t="s">
        <v>620</v>
      </c>
      <c r="E367" s="197">
        <v>1.0</v>
      </c>
      <c r="F367" s="196" t="s">
        <v>609</v>
      </c>
      <c r="G367" s="198">
        <v>5.34</v>
      </c>
      <c r="H367" s="176"/>
    </row>
    <row r="368">
      <c r="A368" s="196" t="s">
        <v>869</v>
      </c>
      <c r="B368" s="196" t="s">
        <v>870</v>
      </c>
      <c r="C368" s="196" t="s">
        <v>734</v>
      </c>
      <c r="D368" s="196" t="s">
        <v>735</v>
      </c>
      <c r="E368" s="197">
        <v>1.0</v>
      </c>
      <c r="F368" s="196" t="s">
        <v>609</v>
      </c>
      <c r="G368" s="198">
        <v>32.44</v>
      </c>
      <c r="H368" s="176"/>
    </row>
    <row r="369">
      <c r="A369" s="196" t="s">
        <v>869</v>
      </c>
      <c r="B369" s="196" t="s">
        <v>870</v>
      </c>
      <c r="C369" s="196" t="s">
        <v>612</v>
      </c>
      <c r="D369" s="196" t="s">
        <v>614</v>
      </c>
      <c r="E369" s="197">
        <v>1.0</v>
      </c>
      <c r="F369" s="196" t="s">
        <v>609</v>
      </c>
      <c r="G369" s="198">
        <v>25.0</v>
      </c>
      <c r="H369" s="176"/>
    </row>
    <row r="370">
      <c r="A370" s="196" t="s">
        <v>869</v>
      </c>
      <c r="B370" s="196" t="s">
        <v>870</v>
      </c>
      <c r="C370" s="196" t="s">
        <v>687</v>
      </c>
      <c r="D370" s="196" t="s">
        <v>688</v>
      </c>
      <c r="E370" s="197">
        <v>1.0</v>
      </c>
      <c r="F370" s="196" t="s">
        <v>609</v>
      </c>
      <c r="G370" s="198">
        <v>0.0</v>
      </c>
      <c r="H370" s="41"/>
    </row>
    <row r="371">
      <c r="A371" s="200" t="s">
        <v>871</v>
      </c>
      <c r="B371" s="200" t="s">
        <v>822</v>
      </c>
      <c r="C371" s="200" t="s">
        <v>623</v>
      </c>
      <c r="D371" s="200" t="s">
        <v>624</v>
      </c>
      <c r="E371" s="201">
        <v>1.0</v>
      </c>
      <c r="F371" s="200" t="s">
        <v>609</v>
      </c>
      <c r="G371" s="202">
        <v>9.5</v>
      </c>
      <c r="H371" s="203">
        <v>183.19</v>
      </c>
    </row>
    <row r="372">
      <c r="A372" s="200" t="s">
        <v>871</v>
      </c>
      <c r="B372" s="200" t="s">
        <v>822</v>
      </c>
      <c r="C372" s="200" t="s">
        <v>628</v>
      </c>
      <c r="D372" s="200" t="s">
        <v>629</v>
      </c>
      <c r="E372" s="201">
        <v>1.0</v>
      </c>
      <c r="F372" s="200" t="s">
        <v>609</v>
      </c>
      <c r="G372" s="202">
        <v>1.5</v>
      </c>
      <c r="H372" s="176"/>
    </row>
    <row r="373">
      <c r="A373" s="200" t="s">
        <v>871</v>
      </c>
      <c r="B373" s="200" t="s">
        <v>822</v>
      </c>
      <c r="C373" s="200" t="s">
        <v>631</v>
      </c>
      <c r="D373" s="200" t="s">
        <v>632</v>
      </c>
      <c r="E373" s="201">
        <v>1.0</v>
      </c>
      <c r="F373" s="200" t="s">
        <v>609</v>
      </c>
      <c r="G373" s="202">
        <v>0.46</v>
      </c>
      <c r="H373" s="176"/>
    </row>
    <row r="374">
      <c r="A374" s="200" t="s">
        <v>871</v>
      </c>
      <c r="B374" s="200" t="s">
        <v>822</v>
      </c>
      <c r="C374" s="200" t="s">
        <v>612</v>
      </c>
      <c r="D374" s="200" t="s">
        <v>614</v>
      </c>
      <c r="E374" s="201">
        <v>1.0</v>
      </c>
      <c r="F374" s="200" t="s">
        <v>609</v>
      </c>
      <c r="G374" s="202">
        <v>25.0</v>
      </c>
      <c r="H374" s="176"/>
    </row>
    <row r="375">
      <c r="A375" s="200" t="s">
        <v>871</v>
      </c>
      <c r="B375" s="200" t="s">
        <v>822</v>
      </c>
      <c r="C375" s="200" t="s">
        <v>619</v>
      </c>
      <c r="D375" s="200" t="s">
        <v>620</v>
      </c>
      <c r="E375" s="201">
        <v>1.0</v>
      </c>
      <c r="F375" s="200" t="s">
        <v>609</v>
      </c>
      <c r="G375" s="202">
        <v>5.34</v>
      </c>
      <c r="H375" s="176"/>
    </row>
    <row r="376">
      <c r="A376" s="200" t="s">
        <v>871</v>
      </c>
      <c r="B376" s="200" t="s">
        <v>822</v>
      </c>
      <c r="C376" s="200" t="s">
        <v>635</v>
      </c>
      <c r="D376" s="200" t="s">
        <v>636</v>
      </c>
      <c r="E376" s="201">
        <v>1.0</v>
      </c>
      <c r="F376" s="200" t="s">
        <v>609</v>
      </c>
      <c r="G376" s="202">
        <v>53.7</v>
      </c>
      <c r="H376" s="176"/>
    </row>
    <row r="377">
      <c r="A377" s="200" t="s">
        <v>871</v>
      </c>
      <c r="B377" s="200" t="s">
        <v>822</v>
      </c>
      <c r="C377" s="200" t="s">
        <v>764</v>
      </c>
      <c r="D377" s="200" t="s">
        <v>765</v>
      </c>
      <c r="E377" s="201">
        <v>1.0</v>
      </c>
      <c r="F377" s="200" t="s">
        <v>609</v>
      </c>
      <c r="G377" s="202">
        <v>81.02</v>
      </c>
      <c r="H377" s="176"/>
    </row>
    <row r="378">
      <c r="A378" s="200" t="s">
        <v>871</v>
      </c>
      <c r="B378" s="200" t="s">
        <v>822</v>
      </c>
      <c r="C378" s="200" t="s">
        <v>769</v>
      </c>
      <c r="D378" s="200" t="s">
        <v>770</v>
      </c>
      <c r="E378" s="201">
        <v>1.0</v>
      </c>
      <c r="F378" s="200" t="s">
        <v>609</v>
      </c>
      <c r="G378" s="202">
        <v>6.67</v>
      </c>
      <c r="H378" s="41"/>
    </row>
    <row r="379">
      <c r="A379" s="209" t="s">
        <v>875</v>
      </c>
      <c r="B379" s="209" t="s">
        <v>825</v>
      </c>
      <c r="C379" s="209" t="s">
        <v>623</v>
      </c>
      <c r="D379" s="209" t="s">
        <v>624</v>
      </c>
      <c r="E379" s="210">
        <v>1.0</v>
      </c>
      <c r="F379" s="209" t="s">
        <v>609</v>
      </c>
      <c r="G379" s="211">
        <v>9.5</v>
      </c>
      <c r="H379" s="212">
        <v>194.71</v>
      </c>
    </row>
    <row r="380">
      <c r="A380" s="209" t="s">
        <v>875</v>
      </c>
      <c r="B380" s="209" t="s">
        <v>825</v>
      </c>
      <c r="C380" s="209" t="s">
        <v>628</v>
      </c>
      <c r="D380" s="209" t="s">
        <v>629</v>
      </c>
      <c r="E380" s="210">
        <v>1.0</v>
      </c>
      <c r="F380" s="209" t="s">
        <v>609</v>
      </c>
      <c r="G380" s="211">
        <v>1.5</v>
      </c>
      <c r="H380" s="176"/>
    </row>
    <row r="381">
      <c r="A381" s="209" t="s">
        <v>875</v>
      </c>
      <c r="B381" s="209" t="s">
        <v>825</v>
      </c>
      <c r="C381" s="209" t="s">
        <v>642</v>
      </c>
      <c r="D381" s="209" t="s">
        <v>643</v>
      </c>
      <c r="E381" s="210">
        <v>1.0</v>
      </c>
      <c r="F381" s="209" t="s">
        <v>609</v>
      </c>
      <c r="G381" s="211">
        <v>1.68</v>
      </c>
      <c r="H381" s="176"/>
    </row>
    <row r="382">
      <c r="A382" s="209" t="s">
        <v>875</v>
      </c>
      <c r="B382" s="209" t="s">
        <v>825</v>
      </c>
      <c r="C382" s="209" t="s">
        <v>644</v>
      </c>
      <c r="D382" s="209" t="s">
        <v>645</v>
      </c>
      <c r="E382" s="210">
        <v>1.0</v>
      </c>
      <c r="F382" s="209" t="s">
        <v>609</v>
      </c>
      <c r="G382" s="211">
        <v>1.9</v>
      </c>
      <c r="H382" s="176"/>
    </row>
    <row r="383">
      <c r="A383" s="209" t="s">
        <v>875</v>
      </c>
      <c r="B383" s="209" t="s">
        <v>825</v>
      </c>
      <c r="C383" s="209" t="s">
        <v>764</v>
      </c>
      <c r="D383" s="209" t="s">
        <v>765</v>
      </c>
      <c r="E383" s="210">
        <v>1.0</v>
      </c>
      <c r="F383" s="209" t="s">
        <v>609</v>
      </c>
      <c r="G383" s="211">
        <v>81.02</v>
      </c>
      <c r="H383" s="176"/>
    </row>
    <row r="384">
      <c r="A384" s="209" t="s">
        <v>875</v>
      </c>
      <c r="B384" s="209" t="s">
        <v>825</v>
      </c>
      <c r="C384" s="209" t="s">
        <v>769</v>
      </c>
      <c r="D384" s="209" t="s">
        <v>770</v>
      </c>
      <c r="E384" s="210">
        <v>1.0</v>
      </c>
      <c r="F384" s="209" t="s">
        <v>609</v>
      </c>
      <c r="G384" s="211">
        <v>6.32</v>
      </c>
      <c r="H384" s="176"/>
    </row>
    <row r="385">
      <c r="A385" s="209" t="s">
        <v>875</v>
      </c>
      <c r="B385" s="209" t="s">
        <v>825</v>
      </c>
      <c r="C385" s="209" t="s">
        <v>619</v>
      </c>
      <c r="D385" s="209" t="s">
        <v>620</v>
      </c>
      <c r="E385" s="210">
        <v>1.0</v>
      </c>
      <c r="F385" s="209" t="s">
        <v>609</v>
      </c>
      <c r="G385" s="211">
        <v>5.34</v>
      </c>
      <c r="H385" s="176"/>
    </row>
    <row r="386">
      <c r="A386" s="209" t="s">
        <v>875</v>
      </c>
      <c r="B386" s="209" t="s">
        <v>825</v>
      </c>
      <c r="C386" s="209" t="s">
        <v>726</v>
      </c>
      <c r="D386" s="209" t="s">
        <v>727</v>
      </c>
      <c r="E386" s="210">
        <v>1.0</v>
      </c>
      <c r="F386" s="209" t="s">
        <v>609</v>
      </c>
      <c r="G386" s="211">
        <v>35.0</v>
      </c>
      <c r="H386" s="176"/>
    </row>
    <row r="387">
      <c r="A387" s="209" t="s">
        <v>875</v>
      </c>
      <c r="B387" s="209" t="s">
        <v>825</v>
      </c>
      <c r="C387" s="209" t="s">
        <v>646</v>
      </c>
      <c r="D387" s="209" t="s">
        <v>647</v>
      </c>
      <c r="E387" s="210">
        <v>1.0</v>
      </c>
      <c r="F387" s="209" t="s">
        <v>609</v>
      </c>
      <c r="G387" s="211">
        <v>1.36</v>
      </c>
      <c r="H387" s="176"/>
    </row>
    <row r="388">
      <c r="A388" s="209" t="s">
        <v>875</v>
      </c>
      <c r="B388" s="209" t="s">
        <v>825</v>
      </c>
      <c r="C388" s="209" t="s">
        <v>648</v>
      </c>
      <c r="D388" s="209" t="s">
        <v>649</v>
      </c>
      <c r="E388" s="210">
        <v>1.0</v>
      </c>
      <c r="F388" s="209" t="s">
        <v>609</v>
      </c>
      <c r="G388" s="211">
        <v>51.09</v>
      </c>
      <c r="H388" s="41"/>
    </row>
    <row r="389">
      <c r="A389" s="230" t="s">
        <v>878</v>
      </c>
      <c r="B389" s="230" t="s">
        <v>829</v>
      </c>
      <c r="C389" s="230" t="s">
        <v>623</v>
      </c>
      <c r="D389" s="230" t="s">
        <v>624</v>
      </c>
      <c r="E389" s="231">
        <v>1.0</v>
      </c>
      <c r="F389" s="230" t="s">
        <v>609</v>
      </c>
      <c r="G389" s="232">
        <v>9.5</v>
      </c>
      <c r="H389" s="233">
        <v>170.99</v>
      </c>
    </row>
    <row r="390">
      <c r="A390" s="230" t="s">
        <v>878</v>
      </c>
      <c r="B390" s="230" t="s">
        <v>829</v>
      </c>
      <c r="C390" s="230" t="s">
        <v>628</v>
      </c>
      <c r="D390" s="230" t="s">
        <v>629</v>
      </c>
      <c r="E390" s="231">
        <v>1.0</v>
      </c>
      <c r="F390" s="230" t="s">
        <v>609</v>
      </c>
      <c r="G390" s="232">
        <v>1.5</v>
      </c>
      <c r="H390" s="176"/>
    </row>
    <row r="391">
      <c r="A391" s="230" t="s">
        <v>878</v>
      </c>
      <c r="B391" s="230" t="s">
        <v>829</v>
      </c>
      <c r="C391" s="230" t="s">
        <v>642</v>
      </c>
      <c r="D391" s="230" t="s">
        <v>643</v>
      </c>
      <c r="E391" s="231">
        <v>1.0</v>
      </c>
      <c r="F391" s="230" t="s">
        <v>609</v>
      </c>
      <c r="G391" s="232">
        <v>1.68</v>
      </c>
      <c r="H391" s="176"/>
    </row>
    <row r="392">
      <c r="A392" s="230" t="s">
        <v>878</v>
      </c>
      <c r="B392" s="230" t="s">
        <v>829</v>
      </c>
      <c r="C392" s="230" t="s">
        <v>644</v>
      </c>
      <c r="D392" s="230" t="s">
        <v>645</v>
      </c>
      <c r="E392" s="231">
        <v>1.0</v>
      </c>
      <c r="F392" s="230" t="s">
        <v>609</v>
      </c>
      <c r="G392" s="232">
        <v>1.9</v>
      </c>
      <c r="H392" s="176"/>
    </row>
    <row r="393">
      <c r="A393" s="230" t="s">
        <v>878</v>
      </c>
      <c r="B393" s="230" t="s">
        <v>829</v>
      </c>
      <c r="C393" s="230" t="s">
        <v>764</v>
      </c>
      <c r="D393" s="230" t="s">
        <v>765</v>
      </c>
      <c r="E393" s="231">
        <v>1.0</v>
      </c>
      <c r="F393" s="230" t="s">
        <v>609</v>
      </c>
      <c r="G393" s="232">
        <v>81.02</v>
      </c>
      <c r="H393" s="176"/>
    </row>
    <row r="394">
      <c r="A394" s="230" t="s">
        <v>878</v>
      </c>
      <c r="B394" s="230" t="s">
        <v>829</v>
      </c>
      <c r="C394" s="230" t="s">
        <v>769</v>
      </c>
      <c r="D394" s="230" t="s">
        <v>770</v>
      </c>
      <c r="E394" s="231">
        <v>1.0</v>
      </c>
      <c r="F394" s="230" t="s">
        <v>609</v>
      </c>
      <c r="G394" s="232">
        <v>6.67</v>
      </c>
      <c r="H394" s="176"/>
    </row>
    <row r="395">
      <c r="A395" s="230" t="s">
        <v>878</v>
      </c>
      <c r="B395" s="230" t="s">
        <v>829</v>
      </c>
      <c r="C395" s="230" t="s">
        <v>612</v>
      </c>
      <c r="D395" s="230" t="s">
        <v>614</v>
      </c>
      <c r="E395" s="231">
        <v>1.0</v>
      </c>
      <c r="F395" s="230" t="s">
        <v>609</v>
      </c>
      <c r="G395" s="232">
        <v>25.0</v>
      </c>
      <c r="H395" s="176"/>
    </row>
    <row r="396">
      <c r="A396" s="230" t="s">
        <v>878</v>
      </c>
      <c r="B396" s="230" t="s">
        <v>829</v>
      </c>
      <c r="C396" s="230" t="s">
        <v>619</v>
      </c>
      <c r="D396" s="230" t="s">
        <v>620</v>
      </c>
      <c r="E396" s="231">
        <v>1.0</v>
      </c>
      <c r="F396" s="230" t="s">
        <v>609</v>
      </c>
      <c r="G396" s="232">
        <v>5.34</v>
      </c>
      <c r="H396" s="176"/>
    </row>
    <row r="397">
      <c r="A397" s="230" t="s">
        <v>878</v>
      </c>
      <c r="B397" s="230" t="s">
        <v>829</v>
      </c>
      <c r="C397" s="230" t="s">
        <v>646</v>
      </c>
      <c r="D397" s="230" t="s">
        <v>647</v>
      </c>
      <c r="E397" s="231">
        <v>1.0</v>
      </c>
      <c r="F397" s="230" t="s">
        <v>609</v>
      </c>
      <c r="G397" s="232">
        <v>1.36</v>
      </c>
      <c r="H397" s="176"/>
    </row>
    <row r="398">
      <c r="A398" s="230" t="s">
        <v>878</v>
      </c>
      <c r="B398" s="230" t="s">
        <v>829</v>
      </c>
      <c r="C398" s="230" t="s">
        <v>711</v>
      </c>
      <c r="D398" s="230" t="s">
        <v>712</v>
      </c>
      <c r="E398" s="231">
        <v>1.0</v>
      </c>
      <c r="F398" s="230" t="s">
        <v>609</v>
      </c>
      <c r="G398" s="232">
        <v>37.02</v>
      </c>
      <c r="H398" s="41"/>
    </row>
    <row r="399">
      <c r="A399" s="194" t="s">
        <v>883</v>
      </c>
      <c r="B399" s="194" t="s">
        <v>884</v>
      </c>
      <c r="C399" s="194" t="s">
        <v>623</v>
      </c>
      <c r="D399" s="194" t="s">
        <v>624</v>
      </c>
      <c r="E399" s="195">
        <v>1.0</v>
      </c>
      <c r="F399" s="194" t="s">
        <v>609</v>
      </c>
      <c r="G399" s="192">
        <v>9.5</v>
      </c>
      <c r="H399" s="193">
        <v>182.8</v>
      </c>
    </row>
    <row r="400">
      <c r="A400" s="194" t="s">
        <v>883</v>
      </c>
      <c r="B400" s="194" t="s">
        <v>884</v>
      </c>
      <c r="C400" s="194" t="s">
        <v>628</v>
      </c>
      <c r="D400" s="194" t="s">
        <v>629</v>
      </c>
      <c r="E400" s="195">
        <v>1.0</v>
      </c>
      <c r="F400" s="194" t="s">
        <v>609</v>
      </c>
      <c r="G400" s="192">
        <v>1.5</v>
      </c>
      <c r="H400" s="176"/>
    </row>
    <row r="401">
      <c r="A401" s="194" t="s">
        <v>883</v>
      </c>
      <c r="B401" s="194" t="s">
        <v>884</v>
      </c>
      <c r="C401" s="194" t="s">
        <v>642</v>
      </c>
      <c r="D401" s="194" t="s">
        <v>643</v>
      </c>
      <c r="E401" s="195">
        <v>1.0</v>
      </c>
      <c r="F401" s="194" t="s">
        <v>609</v>
      </c>
      <c r="G401" s="192">
        <v>1.68</v>
      </c>
      <c r="H401" s="176"/>
    </row>
    <row r="402">
      <c r="A402" s="194" t="s">
        <v>883</v>
      </c>
      <c r="B402" s="194" t="s">
        <v>884</v>
      </c>
      <c r="C402" s="194" t="s">
        <v>644</v>
      </c>
      <c r="D402" s="194" t="s">
        <v>645</v>
      </c>
      <c r="E402" s="195">
        <v>1.0</v>
      </c>
      <c r="F402" s="194" t="s">
        <v>609</v>
      </c>
      <c r="G402" s="192">
        <v>1.9</v>
      </c>
      <c r="H402" s="176"/>
    </row>
    <row r="403">
      <c r="A403" s="194" t="s">
        <v>883</v>
      </c>
      <c r="B403" s="194" t="s">
        <v>884</v>
      </c>
      <c r="C403" s="194" t="s">
        <v>764</v>
      </c>
      <c r="D403" s="194" t="s">
        <v>765</v>
      </c>
      <c r="E403" s="195">
        <v>1.0</v>
      </c>
      <c r="F403" s="194" t="s">
        <v>609</v>
      </c>
      <c r="G403" s="192">
        <v>81.02</v>
      </c>
      <c r="H403" s="176"/>
    </row>
    <row r="404">
      <c r="A404" s="194" t="s">
        <v>883</v>
      </c>
      <c r="B404" s="194" t="s">
        <v>884</v>
      </c>
      <c r="C404" s="194" t="s">
        <v>769</v>
      </c>
      <c r="D404" s="194" t="s">
        <v>770</v>
      </c>
      <c r="E404" s="195">
        <v>1.0</v>
      </c>
      <c r="F404" s="194" t="s">
        <v>609</v>
      </c>
      <c r="G404" s="192">
        <v>6.32</v>
      </c>
      <c r="H404" s="176"/>
    </row>
    <row r="405">
      <c r="A405" s="194" t="s">
        <v>883</v>
      </c>
      <c r="B405" s="194" t="s">
        <v>884</v>
      </c>
      <c r="C405" s="194" t="s">
        <v>612</v>
      </c>
      <c r="D405" s="194" t="s">
        <v>614</v>
      </c>
      <c r="E405" s="195">
        <v>1.0</v>
      </c>
      <c r="F405" s="194" t="s">
        <v>609</v>
      </c>
      <c r="G405" s="192">
        <v>25.0</v>
      </c>
      <c r="H405" s="176"/>
    </row>
    <row r="406">
      <c r="A406" s="194" t="s">
        <v>883</v>
      </c>
      <c r="B406" s="194" t="s">
        <v>884</v>
      </c>
      <c r="C406" s="194" t="s">
        <v>619</v>
      </c>
      <c r="D406" s="194" t="s">
        <v>620</v>
      </c>
      <c r="E406" s="195">
        <v>1.0</v>
      </c>
      <c r="F406" s="194" t="s">
        <v>609</v>
      </c>
      <c r="G406" s="192">
        <v>5.34</v>
      </c>
      <c r="H406" s="176"/>
    </row>
    <row r="407">
      <c r="A407" s="194" t="s">
        <v>883</v>
      </c>
      <c r="B407" s="194" t="s">
        <v>884</v>
      </c>
      <c r="C407" s="194" t="s">
        <v>646</v>
      </c>
      <c r="D407" s="194" t="s">
        <v>647</v>
      </c>
      <c r="E407" s="195">
        <v>1.0</v>
      </c>
      <c r="F407" s="194" t="s">
        <v>609</v>
      </c>
      <c r="G407" s="192">
        <v>1.36</v>
      </c>
      <c r="H407" s="176"/>
    </row>
    <row r="408">
      <c r="A408" s="194" t="s">
        <v>883</v>
      </c>
      <c r="B408" s="194" t="s">
        <v>884</v>
      </c>
      <c r="C408" s="194" t="s">
        <v>676</v>
      </c>
      <c r="D408" s="194" t="s">
        <v>677</v>
      </c>
      <c r="E408" s="195">
        <v>1.0</v>
      </c>
      <c r="F408" s="194" t="s">
        <v>609</v>
      </c>
      <c r="G408" s="192">
        <v>49.18</v>
      </c>
      <c r="H408" s="41"/>
    </row>
    <row r="409">
      <c r="A409" s="196" t="s">
        <v>887</v>
      </c>
      <c r="B409" s="196" t="s">
        <v>888</v>
      </c>
      <c r="C409" s="196" t="s">
        <v>623</v>
      </c>
      <c r="D409" s="196" t="s">
        <v>624</v>
      </c>
      <c r="E409" s="197">
        <v>1.0</v>
      </c>
      <c r="F409" s="196" t="s">
        <v>609</v>
      </c>
      <c r="G409" s="198">
        <v>9.5</v>
      </c>
      <c r="H409" s="199">
        <v>187.68</v>
      </c>
    </row>
    <row r="410">
      <c r="A410" s="196" t="s">
        <v>887</v>
      </c>
      <c r="B410" s="196" t="s">
        <v>888</v>
      </c>
      <c r="C410" s="196" t="s">
        <v>628</v>
      </c>
      <c r="D410" s="196" t="s">
        <v>629</v>
      </c>
      <c r="E410" s="197">
        <v>1.0</v>
      </c>
      <c r="F410" s="196" t="s">
        <v>609</v>
      </c>
      <c r="G410" s="198">
        <v>1.5</v>
      </c>
      <c r="H410" s="176"/>
    </row>
    <row r="411">
      <c r="A411" s="196" t="s">
        <v>887</v>
      </c>
      <c r="B411" s="196" t="s">
        <v>888</v>
      </c>
      <c r="C411" s="196" t="s">
        <v>642</v>
      </c>
      <c r="D411" s="196" t="s">
        <v>643</v>
      </c>
      <c r="E411" s="197">
        <v>1.0</v>
      </c>
      <c r="F411" s="196" t="s">
        <v>609</v>
      </c>
      <c r="G411" s="198">
        <v>1.68</v>
      </c>
      <c r="H411" s="176"/>
    </row>
    <row r="412">
      <c r="A412" s="196" t="s">
        <v>887</v>
      </c>
      <c r="B412" s="196" t="s">
        <v>888</v>
      </c>
      <c r="C412" s="196" t="s">
        <v>644</v>
      </c>
      <c r="D412" s="196" t="s">
        <v>645</v>
      </c>
      <c r="E412" s="197">
        <v>1.0</v>
      </c>
      <c r="F412" s="196" t="s">
        <v>609</v>
      </c>
      <c r="G412" s="198">
        <v>1.9</v>
      </c>
      <c r="H412" s="176"/>
    </row>
    <row r="413">
      <c r="A413" s="196" t="s">
        <v>887</v>
      </c>
      <c r="B413" s="196" t="s">
        <v>888</v>
      </c>
      <c r="C413" s="196" t="s">
        <v>764</v>
      </c>
      <c r="D413" s="196" t="s">
        <v>765</v>
      </c>
      <c r="E413" s="197">
        <v>1.0</v>
      </c>
      <c r="F413" s="196" t="s">
        <v>609</v>
      </c>
      <c r="G413" s="198">
        <v>81.02</v>
      </c>
      <c r="H413" s="176"/>
    </row>
    <row r="414">
      <c r="A414" s="196" t="s">
        <v>887</v>
      </c>
      <c r="B414" s="196" t="s">
        <v>888</v>
      </c>
      <c r="C414" s="196" t="s">
        <v>769</v>
      </c>
      <c r="D414" s="196" t="s">
        <v>770</v>
      </c>
      <c r="E414" s="197">
        <v>1.0</v>
      </c>
      <c r="F414" s="196" t="s">
        <v>609</v>
      </c>
      <c r="G414" s="198">
        <v>6.32</v>
      </c>
      <c r="H414" s="176"/>
    </row>
    <row r="415">
      <c r="A415" s="196" t="s">
        <v>887</v>
      </c>
      <c r="B415" s="196" t="s">
        <v>888</v>
      </c>
      <c r="C415" s="196" t="s">
        <v>612</v>
      </c>
      <c r="D415" s="196" t="s">
        <v>614</v>
      </c>
      <c r="E415" s="197">
        <v>1.0</v>
      </c>
      <c r="F415" s="196" t="s">
        <v>609</v>
      </c>
      <c r="G415" s="198">
        <v>25.0</v>
      </c>
      <c r="H415" s="176"/>
    </row>
    <row r="416">
      <c r="A416" s="196" t="s">
        <v>887</v>
      </c>
      <c r="B416" s="196" t="s">
        <v>888</v>
      </c>
      <c r="C416" s="196" t="s">
        <v>619</v>
      </c>
      <c r="D416" s="196" t="s">
        <v>620</v>
      </c>
      <c r="E416" s="197">
        <v>1.0</v>
      </c>
      <c r="F416" s="196" t="s">
        <v>609</v>
      </c>
      <c r="G416" s="198">
        <v>5.34</v>
      </c>
      <c r="H416" s="176"/>
    </row>
    <row r="417">
      <c r="A417" s="196" t="s">
        <v>887</v>
      </c>
      <c r="B417" s="196" t="s">
        <v>888</v>
      </c>
      <c r="C417" s="196" t="s">
        <v>646</v>
      </c>
      <c r="D417" s="196" t="s">
        <v>647</v>
      </c>
      <c r="E417" s="197">
        <v>1.0</v>
      </c>
      <c r="F417" s="196" t="s">
        <v>609</v>
      </c>
      <c r="G417" s="198">
        <v>1.36</v>
      </c>
      <c r="H417" s="176"/>
    </row>
    <row r="418">
      <c r="A418" s="196" t="s">
        <v>887</v>
      </c>
      <c r="B418" s="196" t="s">
        <v>888</v>
      </c>
      <c r="C418" s="196" t="s">
        <v>683</v>
      </c>
      <c r="D418" s="196" t="s">
        <v>684</v>
      </c>
      <c r="E418" s="197">
        <v>1.0</v>
      </c>
      <c r="F418" s="196" t="s">
        <v>609</v>
      </c>
      <c r="G418" s="198">
        <v>54.06</v>
      </c>
      <c r="H418" s="41"/>
    </row>
    <row r="419">
      <c r="A419" s="218" t="s">
        <v>889</v>
      </c>
      <c r="B419" s="218" t="s">
        <v>845</v>
      </c>
      <c r="C419" s="218" t="s">
        <v>623</v>
      </c>
      <c r="D419" s="218" t="s">
        <v>624</v>
      </c>
      <c r="E419" s="220">
        <v>1.0</v>
      </c>
      <c r="F419" s="218" t="s">
        <v>609</v>
      </c>
      <c r="G419" s="221">
        <v>9.5</v>
      </c>
      <c r="H419" s="222">
        <v>221.83</v>
      </c>
    </row>
    <row r="420">
      <c r="A420" s="218" t="s">
        <v>889</v>
      </c>
      <c r="B420" s="218" t="s">
        <v>845</v>
      </c>
      <c r="C420" s="218" t="s">
        <v>687</v>
      </c>
      <c r="D420" s="218" t="s">
        <v>688</v>
      </c>
      <c r="E420" s="220">
        <v>1.0</v>
      </c>
      <c r="F420" s="218" t="s">
        <v>609</v>
      </c>
      <c r="G420" s="221">
        <v>0.0</v>
      </c>
      <c r="H420" s="176"/>
    </row>
    <row r="421">
      <c r="A421" s="218" t="s">
        <v>889</v>
      </c>
      <c r="B421" s="218" t="s">
        <v>845</v>
      </c>
      <c r="C421" s="218" t="s">
        <v>628</v>
      </c>
      <c r="D421" s="218" t="s">
        <v>629</v>
      </c>
      <c r="E421" s="220">
        <v>1.0</v>
      </c>
      <c r="F421" s="218" t="s">
        <v>609</v>
      </c>
      <c r="G421" s="221">
        <v>1.5</v>
      </c>
      <c r="H421" s="176"/>
    </row>
    <row r="422">
      <c r="A422" s="218" t="s">
        <v>889</v>
      </c>
      <c r="B422" s="218" t="s">
        <v>845</v>
      </c>
      <c r="C422" s="218" t="s">
        <v>631</v>
      </c>
      <c r="D422" s="218" t="s">
        <v>632</v>
      </c>
      <c r="E422" s="220">
        <v>1.0</v>
      </c>
      <c r="F422" s="218" t="s">
        <v>609</v>
      </c>
      <c r="G422" s="221">
        <v>0.46</v>
      </c>
      <c r="H422" s="176"/>
    </row>
    <row r="423">
      <c r="A423" s="218" t="s">
        <v>889</v>
      </c>
      <c r="B423" s="218" t="s">
        <v>845</v>
      </c>
      <c r="C423" s="218" t="s">
        <v>764</v>
      </c>
      <c r="D423" s="218" t="s">
        <v>765</v>
      </c>
      <c r="E423" s="220">
        <v>1.0</v>
      </c>
      <c r="F423" s="218" t="s">
        <v>609</v>
      </c>
      <c r="G423" s="221">
        <v>81.02</v>
      </c>
      <c r="H423" s="176"/>
    </row>
    <row r="424">
      <c r="A424" s="218" t="s">
        <v>889</v>
      </c>
      <c r="B424" s="218" t="s">
        <v>845</v>
      </c>
      <c r="C424" s="218" t="s">
        <v>769</v>
      </c>
      <c r="D424" s="218" t="s">
        <v>770</v>
      </c>
      <c r="E424" s="220">
        <v>1.0</v>
      </c>
      <c r="F424" s="218" t="s">
        <v>609</v>
      </c>
      <c r="G424" s="221">
        <v>6.32</v>
      </c>
      <c r="H424" s="176"/>
    </row>
    <row r="425">
      <c r="A425" s="218" t="s">
        <v>889</v>
      </c>
      <c r="B425" s="218" t="s">
        <v>845</v>
      </c>
      <c r="C425" s="218" t="s">
        <v>726</v>
      </c>
      <c r="D425" s="218" t="s">
        <v>727</v>
      </c>
      <c r="E425" s="220">
        <v>1.0</v>
      </c>
      <c r="F425" s="218" t="s">
        <v>609</v>
      </c>
      <c r="G425" s="221">
        <v>35.0</v>
      </c>
      <c r="H425" s="176"/>
    </row>
    <row r="426">
      <c r="A426" s="218" t="s">
        <v>889</v>
      </c>
      <c r="B426" s="218" t="s">
        <v>845</v>
      </c>
      <c r="C426" s="218" t="s">
        <v>619</v>
      </c>
      <c r="D426" s="218" t="s">
        <v>620</v>
      </c>
      <c r="E426" s="220">
        <v>1.0</v>
      </c>
      <c r="F426" s="218" t="s">
        <v>609</v>
      </c>
      <c r="G426" s="221">
        <v>5.34</v>
      </c>
      <c r="H426" s="176"/>
    </row>
    <row r="427">
      <c r="A427" s="218" t="s">
        <v>889</v>
      </c>
      <c r="B427" s="218" t="s">
        <v>845</v>
      </c>
      <c r="C427" s="218" t="s">
        <v>691</v>
      </c>
      <c r="D427" s="218" t="s">
        <v>692</v>
      </c>
      <c r="E427" s="220">
        <v>1.0</v>
      </c>
      <c r="F427" s="218" t="s">
        <v>609</v>
      </c>
      <c r="G427" s="221">
        <v>82.69</v>
      </c>
      <c r="H427" s="41"/>
    </row>
    <row r="428">
      <c r="A428" s="226" t="s">
        <v>892</v>
      </c>
      <c r="B428" s="226" t="s">
        <v>893</v>
      </c>
      <c r="C428" s="226" t="s">
        <v>623</v>
      </c>
      <c r="D428" s="226" t="s">
        <v>624</v>
      </c>
      <c r="E428" s="227">
        <v>1.0</v>
      </c>
      <c r="F428" s="226" t="s">
        <v>609</v>
      </c>
      <c r="G428" s="228">
        <v>9.5</v>
      </c>
      <c r="H428" s="229">
        <v>193.73</v>
      </c>
    </row>
    <row r="429">
      <c r="A429" s="226" t="s">
        <v>892</v>
      </c>
      <c r="B429" s="226" t="s">
        <v>893</v>
      </c>
      <c r="C429" s="226" t="s">
        <v>769</v>
      </c>
      <c r="D429" s="226" t="s">
        <v>770</v>
      </c>
      <c r="E429" s="227">
        <v>1.0</v>
      </c>
      <c r="F429" s="226" t="s">
        <v>609</v>
      </c>
      <c r="G429" s="228">
        <v>15.53</v>
      </c>
      <c r="H429" s="176"/>
    </row>
    <row r="430">
      <c r="A430" s="226" t="s">
        <v>892</v>
      </c>
      <c r="B430" s="226" t="s">
        <v>893</v>
      </c>
      <c r="C430" s="226" t="s">
        <v>628</v>
      </c>
      <c r="D430" s="226" t="s">
        <v>629</v>
      </c>
      <c r="E430" s="227">
        <v>1.0</v>
      </c>
      <c r="F430" s="226" t="s">
        <v>609</v>
      </c>
      <c r="G430" s="228">
        <v>1.5</v>
      </c>
      <c r="H430" s="176"/>
    </row>
    <row r="431">
      <c r="A431" s="226" t="s">
        <v>892</v>
      </c>
      <c r="B431" s="226" t="s">
        <v>893</v>
      </c>
      <c r="C431" s="226" t="s">
        <v>631</v>
      </c>
      <c r="D431" s="226" t="s">
        <v>632</v>
      </c>
      <c r="E431" s="227">
        <v>1.0</v>
      </c>
      <c r="F431" s="226" t="s">
        <v>609</v>
      </c>
      <c r="G431" s="228">
        <v>0.46</v>
      </c>
      <c r="H431" s="176"/>
    </row>
    <row r="432">
      <c r="A432" s="226" t="s">
        <v>892</v>
      </c>
      <c r="B432" s="226" t="s">
        <v>893</v>
      </c>
      <c r="C432" s="226" t="s">
        <v>612</v>
      </c>
      <c r="D432" s="226" t="s">
        <v>614</v>
      </c>
      <c r="E432" s="227">
        <v>1.0</v>
      </c>
      <c r="F432" s="226" t="s">
        <v>609</v>
      </c>
      <c r="G432" s="228">
        <v>25.0</v>
      </c>
      <c r="H432" s="176"/>
    </row>
    <row r="433">
      <c r="A433" s="226" t="s">
        <v>892</v>
      </c>
      <c r="B433" s="226" t="s">
        <v>893</v>
      </c>
      <c r="C433" s="226" t="s">
        <v>764</v>
      </c>
      <c r="D433" s="226" t="s">
        <v>765</v>
      </c>
      <c r="E433" s="227">
        <v>1.0</v>
      </c>
      <c r="F433" s="226" t="s">
        <v>609</v>
      </c>
      <c r="G433" s="228">
        <v>81.02</v>
      </c>
      <c r="H433" s="176"/>
    </row>
    <row r="434">
      <c r="A434" s="226" t="s">
        <v>892</v>
      </c>
      <c r="B434" s="226" t="s">
        <v>893</v>
      </c>
      <c r="C434" s="226" t="s">
        <v>619</v>
      </c>
      <c r="D434" s="226" t="s">
        <v>620</v>
      </c>
      <c r="E434" s="227">
        <v>1.0</v>
      </c>
      <c r="F434" s="226" t="s">
        <v>609</v>
      </c>
      <c r="G434" s="228">
        <v>5.34</v>
      </c>
      <c r="H434" s="176"/>
    </row>
    <row r="435">
      <c r="A435" s="226" t="s">
        <v>892</v>
      </c>
      <c r="B435" s="226" t="s">
        <v>893</v>
      </c>
      <c r="C435" s="226" t="s">
        <v>635</v>
      </c>
      <c r="D435" s="226" t="s">
        <v>636</v>
      </c>
      <c r="E435" s="227">
        <v>1.0</v>
      </c>
      <c r="F435" s="226" t="s">
        <v>609</v>
      </c>
      <c r="G435" s="228">
        <v>53.7</v>
      </c>
      <c r="H435" s="176"/>
    </row>
    <row r="436">
      <c r="A436" s="226" t="s">
        <v>892</v>
      </c>
      <c r="B436" s="226" t="s">
        <v>893</v>
      </c>
      <c r="C436" s="226" t="s">
        <v>793</v>
      </c>
      <c r="D436" s="226" t="s">
        <v>794</v>
      </c>
      <c r="E436" s="227">
        <v>2.0</v>
      </c>
      <c r="F436" s="226" t="s">
        <v>609</v>
      </c>
      <c r="G436" s="228">
        <v>1.68</v>
      </c>
      <c r="H436" s="41"/>
    </row>
    <row r="437">
      <c r="A437" s="194" t="s">
        <v>895</v>
      </c>
      <c r="B437" s="194" t="s">
        <v>896</v>
      </c>
      <c r="C437" s="194" t="s">
        <v>623</v>
      </c>
      <c r="D437" s="194" t="s">
        <v>624</v>
      </c>
      <c r="E437" s="195">
        <v>1.0</v>
      </c>
      <c r="F437" s="194" t="s">
        <v>609</v>
      </c>
      <c r="G437" s="192">
        <v>9.5</v>
      </c>
      <c r="H437" s="193">
        <v>196.74</v>
      </c>
    </row>
    <row r="438">
      <c r="A438" s="194" t="s">
        <v>895</v>
      </c>
      <c r="B438" s="194" t="s">
        <v>896</v>
      </c>
      <c r="C438" s="194" t="s">
        <v>628</v>
      </c>
      <c r="D438" s="194" t="s">
        <v>629</v>
      </c>
      <c r="E438" s="195">
        <v>1.0</v>
      </c>
      <c r="F438" s="194" t="s">
        <v>609</v>
      </c>
      <c r="G438" s="192">
        <v>1.5</v>
      </c>
      <c r="H438" s="176"/>
    </row>
    <row r="439">
      <c r="A439" s="194" t="s">
        <v>895</v>
      </c>
      <c r="B439" s="194" t="s">
        <v>896</v>
      </c>
      <c r="C439" s="194" t="s">
        <v>642</v>
      </c>
      <c r="D439" s="194" t="s">
        <v>643</v>
      </c>
      <c r="E439" s="195">
        <v>1.0</v>
      </c>
      <c r="F439" s="194" t="s">
        <v>609</v>
      </c>
      <c r="G439" s="192">
        <v>1.68</v>
      </c>
      <c r="H439" s="176"/>
    </row>
    <row r="440">
      <c r="A440" s="194" t="s">
        <v>895</v>
      </c>
      <c r="B440" s="194" t="s">
        <v>896</v>
      </c>
      <c r="C440" s="194" t="s">
        <v>644</v>
      </c>
      <c r="D440" s="194" t="s">
        <v>645</v>
      </c>
      <c r="E440" s="195">
        <v>1.0</v>
      </c>
      <c r="F440" s="194" t="s">
        <v>609</v>
      </c>
      <c r="G440" s="192">
        <v>1.9</v>
      </c>
      <c r="H440" s="176"/>
    </row>
    <row r="441">
      <c r="A441" s="194" t="s">
        <v>895</v>
      </c>
      <c r="B441" s="194" t="s">
        <v>896</v>
      </c>
      <c r="C441" s="194" t="s">
        <v>764</v>
      </c>
      <c r="D441" s="194" t="s">
        <v>765</v>
      </c>
      <c r="E441" s="195">
        <v>1.0</v>
      </c>
      <c r="F441" s="194" t="s">
        <v>609</v>
      </c>
      <c r="G441" s="192">
        <v>81.02</v>
      </c>
      <c r="H441" s="176"/>
    </row>
    <row r="442">
      <c r="A442" s="194" t="s">
        <v>895</v>
      </c>
      <c r="B442" s="194" t="s">
        <v>896</v>
      </c>
      <c r="C442" s="194" t="s">
        <v>726</v>
      </c>
      <c r="D442" s="194" t="s">
        <v>727</v>
      </c>
      <c r="E442" s="195">
        <v>1.0</v>
      </c>
      <c r="F442" s="194" t="s">
        <v>609</v>
      </c>
      <c r="G442" s="192">
        <v>35.0</v>
      </c>
      <c r="H442" s="176"/>
    </row>
    <row r="443">
      <c r="A443" s="194" t="s">
        <v>895</v>
      </c>
      <c r="B443" s="194" t="s">
        <v>896</v>
      </c>
      <c r="C443" s="194" t="s">
        <v>769</v>
      </c>
      <c r="D443" s="194" t="s">
        <v>770</v>
      </c>
      <c r="E443" s="195">
        <v>1.0</v>
      </c>
      <c r="F443" s="194" t="s">
        <v>609</v>
      </c>
      <c r="G443" s="192">
        <v>6.67</v>
      </c>
      <c r="H443" s="176"/>
    </row>
    <row r="444">
      <c r="A444" s="194" t="s">
        <v>895</v>
      </c>
      <c r="B444" s="194" t="s">
        <v>896</v>
      </c>
      <c r="C444" s="194" t="s">
        <v>619</v>
      </c>
      <c r="D444" s="194" t="s">
        <v>620</v>
      </c>
      <c r="E444" s="195">
        <v>1.0</v>
      </c>
      <c r="F444" s="194" t="s">
        <v>609</v>
      </c>
      <c r="G444" s="192">
        <v>5.34</v>
      </c>
      <c r="H444" s="176"/>
    </row>
    <row r="445">
      <c r="A445" s="194" t="s">
        <v>895</v>
      </c>
      <c r="B445" s="194" t="s">
        <v>896</v>
      </c>
      <c r="C445" s="194" t="s">
        <v>646</v>
      </c>
      <c r="D445" s="194" t="s">
        <v>647</v>
      </c>
      <c r="E445" s="195">
        <v>1.0</v>
      </c>
      <c r="F445" s="194" t="s">
        <v>609</v>
      </c>
      <c r="G445" s="192">
        <v>1.36</v>
      </c>
      <c r="H445" s="176"/>
    </row>
    <row r="446">
      <c r="A446" s="194" t="s">
        <v>895</v>
      </c>
      <c r="B446" s="194" t="s">
        <v>896</v>
      </c>
      <c r="C446" s="194" t="s">
        <v>648</v>
      </c>
      <c r="D446" s="194" t="s">
        <v>649</v>
      </c>
      <c r="E446" s="195">
        <v>1.0</v>
      </c>
      <c r="F446" s="194" t="s">
        <v>609</v>
      </c>
      <c r="G446" s="192">
        <v>51.09</v>
      </c>
      <c r="H446" s="176"/>
    </row>
    <row r="447">
      <c r="A447" s="194" t="s">
        <v>895</v>
      </c>
      <c r="B447" s="194" t="s">
        <v>896</v>
      </c>
      <c r="C447" s="194" t="s">
        <v>793</v>
      </c>
      <c r="D447" s="194" t="s">
        <v>794</v>
      </c>
      <c r="E447" s="195">
        <v>2.0</v>
      </c>
      <c r="F447" s="194" t="s">
        <v>609</v>
      </c>
      <c r="G447" s="192">
        <v>1.68</v>
      </c>
      <c r="H447" s="41"/>
    </row>
    <row r="448">
      <c r="A448" s="209" t="s">
        <v>898</v>
      </c>
      <c r="B448" s="209" t="s">
        <v>899</v>
      </c>
      <c r="C448" s="209" t="s">
        <v>623</v>
      </c>
      <c r="D448" s="209" t="s">
        <v>624</v>
      </c>
      <c r="E448" s="210">
        <v>1.0</v>
      </c>
      <c r="F448" s="209" t="s">
        <v>609</v>
      </c>
      <c r="G448" s="211">
        <v>9.5</v>
      </c>
      <c r="H448" s="212">
        <v>172.67</v>
      </c>
    </row>
    <row r="449">
      <c r="A449" s="209" t="s">
        <v>898</v>
      </c>
      <c r="B449" s="209" t="s">
        <v>899</v>
      </c>
      <c r="C449" s="209" t="s">
        <v>628</v>
      </c>
      <c r="D449" s="209" t="s">
        <v>629</v>
      </c>
      <c r="E449" s="210">
        <v>1.0</v>
      </c>
      <c r="F449" s="209" t="s">
        <v>609</v>
      </c>
      <c r="G449" s="211">
        <v>1.5</v>
      </c>
      <c r="H449" s="176"/>
    </row>
    <row r="450">
      <c r="A450" s="209" t="s">
        <v>898</v>
      </c>
      <c r="B450" s="209" t="s">
        <v>899</v>
      </c>
      <c r="C450" s="209" t="s">
        <v>642</v>
      </c>
      <c r="D450" s="209" t="s">
        <v>643</v>
      </c>
      <c r="E450" s="210">
        <v>1.0</v>
      </c>
      <c r="F450" s="209" t="s">
        <v>609</v>
      </c>
      <c r="G450" s="211">
        <v>1.68</v>
      </c>
      <c r="H450" s="176"/>
    </row>
    <row r="451">
      <c r="A451" s="209" t="s">
        <v>898</v>
      </c>
      <c r="B451" s="209" t="s">
        <v>899</v>
      </c>
      <c r="C451" s="209" t="s">
        <v>644</v>
      </c>
      <c r="D451" s="209" t="s">
        <v>645</v>
      </c>
      <c r="E451" s="210">
        <v>1.0</v>
      </c>
      <c r="F451" s="209" t="s">
        <v>609</v>
      </c>
      <c r="G451" s="211">
        <v>1.9</v>
      </c>
      <c r="H451" s="176"/>
    </row>
    <row r="452">
      <c r="A452" s="209" t="s">
        <v>898</v>
      </c>
      <c r="B452" s="209" t="s">
        <v>899</v>
      </c>
      <c r="C452" s="209" t="s">
        <v>764</v>
      </c>
      <c r="D452" s="209" t="s">
        <v>765</v>
      </c>
      <c r="E452" s="210">
        <v>1.0</v>
      </c>
      <c r="F452" s="209" t="s">
        <v>609</v>
      </c>
      <c r="G452" s="211">
        <v>81.02</v>
      </c>
      <c r="H452" s="176"/>
    </row>
    <row r="453">
      <c r="A453" s="209" t="s">
        <v>898</v>
      </c>
      <c r="B453" s="209" t="s">
        <v>899</v>
      </c>
      <c r="C453" s="209" t="s">
        <v>612</v>
      </c>
      <c r="D453" s="209" t="s">
        <v>614</v>
      </c>
      <c r="E453" s="210">
        <v>1.0</v>
      </c>
      <c r="F453" s="209" t="s">
        <v>609</v>
      </c>
      <c r="G453" s="211">
        <v>25.0</v>
      </c>
      <c r="H453" s="176"/>
    </row>
    <row r="454">
      <c r="A454" s="209" t="s">
        <v>898</v>
      </c>
      <c r="B454" s="209" t="s">
        <v>899</v>
      </c>
      <c r="C454" s="209" t="s">
        <v>769</v>
      </c>
      <c r="D454" s="209" t="s">
        <v>770</v>
      </c>
      <c r="E454" s="210">
        <v>1.0</v>
      </c>
      <c r="F454" s="209" t="s">
        <v>609</v>
      </c>
      <c r="G454" s="211">
        <v>6.67</v>
      </c>
      <c r="H454" s="176"/>
    </row>
    <row r="455">
      <c r="A455" s="209" t="s">
        <v>898</v>
      </c>
      <c r="B455" s="209" t="s">
        <v>899</v>
      </c>
      <c r="C455" s="209" t="s">
        <v>619</v>
      </c>
      <c r="D455" s="209" t="s">
        <v>620</v>
      </c>
      <c r="E455" s="210">
        <v>1.0</v>
      </c>
      <c r="F455" s="209" t="s">
        <v>609</v>
      </c>
      <c r="G455" s="211">
        <v>5.34</v>
      </c>
      <c r="H455" s="176"/>
    </row>
    <row r="456">
      <c r="A456" s="209" t="s">
        <v>898</v>
      </c>
      <c r="B456" s="209" t="s">
        <v>899</v>
      </c>
      <c r="C456" s="209" t="s">
        <v>646</v>
      </c>
      <c r="D456" s="209" t="s">
        <v>647</v>
      </c>
      <c r="E456" s="210">
        <v>1.0</v>
      </c>
      <c r="F456" s="209" t="s">
        <v>609</v>
      </c>
      <c r="G456" s="211">
        <v>1.36</v>
      </c>
      <c r="H456" s="176"/>
    </row>
    <row r="457">
      <c r="A457" s="209" t="s">
        <v>898</v>
      </c>
      <c r="B457" s="209" t="s">
        <v>899</v>
      </c>
      <c r="C457" s="209" t="s">
        <v>711</v>
      </c>
      <c r="D457" s="209" t="s">
        <v>712</v>
      </c>
      <c r="E457" s="210">
        <v>1.0</v>
      </c>
      <c r="F457" s="209" t="s">
        <v>609</v>
      </c>
      <c r="G457" s="211">
        <v>37.02</v>
      </c>
      <c r="H457" s="176"/>
    </row>
    <row r="458">
      <c r="A458" s="209" t="s">
        <v>898</v>
      </c>
      <c r="B458" s="209" t="s">
        <v>899</v>
      </c>
      <c r="C458" s="209" t="s">
        <v>793</v>
      </c>
      <c r="D458" s="209" t="s">
        <v>794</v>
      </c>
      <c r="E458" s="210">
        <v>2.0</v>
      </c>
      <c r="F458" s="209" t="s">
        <v>609</v>
      </c>
      <c r="G458" s="211">
        <v>1.68</v>
      </c>
      <c r="H458" s="41"/>
    </row>
    <row r="459">
      <c r="A459" s="230" t="s">
        <v>901</v>
      </c>
      <c r="B459" s="230" t="s">
        <v>902</v>
      </c>
      <c r="C459" s="230" t="s">
        <v>623</v>
      </c>
      <c r="D459" s="230" t="s">
        <v>624</v>
      </c>
      <c r="E459" s="231">
        <v>1.0</v>
      </c>
      <c r="F459" s="230" t="s">
        <v>609</v>
      </c>
      <c r="G459" s="232">
        <v>9.5</v>
      </c>
      <c r="H459" s="233">
        <v>184.83</v>
      </c>
    </row>
    <row r="460">
      <c r="A460" s="230" t="s">
        <v>901</v>
      </c>
      <c r="B460" s="230" t="s">
        <v>902</v>
      </c>
      <c r="C460" s="230" t="s">
        <v>628</v>
      </c>
      <c r="D460" s="230" t="s">
        <v>629</v>
      </c>
      <c r="E460" s="231">
        <v>1.0</v>
      </c>
      <c r="F460" s="230" t="s">
        <v>609</v>
      </c>
      <c r="G460" s="232">
        <v>1.5</v>
      </c>
      <c r="H460" s="176"/>
    </row>
    <row r="461">
      <c r="A461" s="230" t="s">
        <v>901</v>
      </c>
      <c r="B461" s="230" t="s">
        <v>902</v>
      </c>
      <c r="C461" s="230" t="s">
        <v>642</v>
      </c>
      <c r="D461" s="230" t="s">
        <v>643</v>
      </c>
      <c r="E461" s="231">
        <v>1.0</v>
      </c>
      <c r="F461" s="230" t="s">
        <v>609</v>
      </c>
      <c r="G461" s="232">
        <v>1.68</v>
      </c>
      <c r="H461" s="176"/>
    </row>
    <row r="462">
      <c r="A462" s="230" t="s">
        <v>901</v>
      </c>
      <c r="B462" s="230" t="s">
        <v>902</v>
      </c>
      <c r="C462" s="230" t="s">
        <v>644</v>
      </c>
      <c r="D462" s="230" t="s">
        <v>645</v>
      </c>
      <c r="E462" s="231">
        <v>1.0</v>
      </c>
      <c r="F462" s="230" t="s">
        <v>609</v>
      </c>
      <c r="G462" s="232">
        <v>1.9</v>
      </c>
      <c r="H462" s="176"/>
    </row>
    <row r="463">
      <c r="A463" s="230" t="s">
        <v>901</v>
      </c>
      <c r="B463" s="230" t="s">
        <v>902</v>
      </c>
      <c r="C463" s="230" t="s">
        <v>764</v>
      </c>
      <c r="D463" s="230" t="s">
        <v>765</v>
      </c>
      <c r="E463" s="231">
        <v>1.0</v>
      </c>
      <c r="F463" s="230" t="s">
        <v>609</v>
      </c>
      <c r="G463" s="232">
        <v>81.02</v>
      </c>
      <c r="H463" s="176"/>
    </row>
    <row r="464">
      <c r="A464" s="230" t="s">
        <v>901</v>
      </c>
      <c r="B464" s="230" t="s">
        <v>902</v>
      </c>
      <c r="C464" s="230" t="s">
        <v>612</v>
      </c>
      <c r="D464" s="230" t="s">
        <v>614</v>
      </c>
      <c r="E464" s="231">
        <v>1.0</v>
      </c>
      <c r="F464" s="230" t="s">
        <v>609</v>
      </c>
      <c r="G464" s="232">
        <v>25.0</v>
      </c>
      <c r="H464" s="176"/>
    </row>
    <row r="465">
      <c r="A465" s="230" t="s">
        <v>901</v>
      </c>
      <c r="B465" s="230" t="s">
        <v>902</v>
      </c>
      <c r="C465" s="230" t="s">
        <v>769</v>
      </c>
      <c r="D465" s="230" t="s">
        <v>770</v>
      </c>
      <c r="E465" s="231">
        <v>1.0</v>
      </c>
      <c r="F465" s="230" t="s">
        <v>609</v>
      </c>
      <c r="G465" s="232">
        <v>6.67</v>
      </c>
      <c r="H465" s="176"/>
    </row>
    <row r="466">
      <c r="A466" s="230" t="s">
        <v>901</v>
      </c>
      <c r="B466" s="230" t="s">
        <v>902</v>
      </c>
      <c r="C466" s="230" t="s">
        <v>619</v>
      </c>
      <c r="D466" s="230" t="s">
        <v>620</v>
      </c>
      <c r="E466" s="231">
        <v>1.0</v>
      </c>
      <c r="F466" s="230" t="s">
        <v>609</v>
      </c>
      <c r="G466" s="232">
        <v>5.34</v>
      </c>
      <c r="H466" s="176"/>
    </row>
    <row r="467">
      <c r="A467" s="230" t="s">
        <v>901</v>
      </c>
      <c r="B467" s="230" t="s">
        <v>902</v>
      </c>
      <c r="C467" s="230" t="s">
        <v>646</v>
      </c>
      <c r="D467" s="230" t="s">
        <v>647</v>
      </c>
      <c r="E467" s="231">
        <v>1.0</v>
      </c>
      <c r="F467" s="230" t="s">
        <v>609</v>
      </c>
      <c r="G467" s="232">
        <v>1.36</v>
      </c>
      <c r="H467" s="176"/>
    </row>
    <row r="468">
      <c r="A468" s="230" t="s">
        <v>901</v>
      </c>
      <c r="B468" s="230" t="s">
        <v>902</v>
      </c>
      <c r="C468" s="230" t="s">
        <v>676</v>
      </c>
      <c r="D468" s="230" t="s">
        <v>677</v>
      </c>
      <c r="E468" s="231">
        <v>1.0</v>
      </c>
      <c r="F468" s="230" t="s">
        <v>609</v>
      </c>
      <c r="G468" s="232">
        <v>49.18</v>
      </c>
      <c r="H468" s="176"/>
    </row>
    <row r="469">
      <c r="A469" s="230" t="s">
        <v>901</v>
      </c>
      <c r="B469" s="230" t="s">
        <v>902</v>
      </c>
      <c r="C469" s="230" t="s">
        <v>793</v>
      </c>
      <c r="D469" s="230" t="s">
        <v>794</v>
      </c>
      <c r="E469" s="231">
        <v>2.0</v>
      </c>
      <c r="F469" s="230" t="s">
        <v>609</v>
      </c>
      <c r="G469" s="232">
        <v>1.68</v>
      </c>
      <c r="H469" s="41"/>
    </row>
    <row r="470">
      <c r="A470" s="218" t="s">
        <v>904</v>
      </c>
      <c r="B470" s="218" t="s">
        <v>905</v>
      </c>
      <c r="C470" s="218" t="s">
        <v>623</v>
      </c>
      <c r="D470" s="218" t="s">
        <v>624</v>
      </c>
      <c r="E470" s="220">
        <v>1.0</v>
      </c>
      <c r="F470" s="218" t="s">
        <v>609</v>
      </c>
      <c r="G470" s="221">
        <v>9.5</v>
      </c>
      <c r="H470" s="222">
        <v>189.73</v>
      </c>
    </row>
    <row r="471">
      <c r="A471" s="218" t="s">
        <v>904</v>
      </c>
      <c r="B471" s="218" t="s">
        <v>905</v>
      </c>
      <c r="C471" s="218" t="s">
        <v>628</v>
      </c>
      <c r="D471" s="218" t="s">
        <v>629</v>
      </c>
      <c r="E471" s="220">
        <v>1.0</v>
      </c>
      <c r="F471" s="218" t="s">
        <v>609</v>
      </c>
      <c r="G471" s="221">
        <v>1.5</v>
      </c>
      <c r="H471" s="176"/>
    </row>
    <row r="472">
      <c r="A472" s="218" t="s">
        <v>904</v>
      </c>
      <c r="B472" s="218" t="s">
        <v>905</v>
      </c>
      <c r="C472" s="218" t="s">
        <v>642</v>
      </c>
      <c r="D472" s="218" t="s">
        <v>643</v>
      </c>
      <c r="E472" s="220">
        <v>1.0</v>
      </c>
      <c r="F472" s="218" t="s">
        <v>609</v>
      </c>
      <c r="G472" s="221">
        <v>1.68</v>
      </c>
      <c r="H472" s="176"/>
    </row>
    <row r="473">
      <c r="A473" s="218" t="s">
        <v>904</v>
      </c>
      <c r="B473" s="218" t="s">
        <v>905</v>
      </c>
      <c r="C473" s="218" t="s">
        <v>644</v>
      </c>
      <c r="D473" s="218" t="s">
        <v>645</v>
      </c>
      <c r="E473" s="220">
        <v>1.0</v>
      </c>
      <c r="F473" s="218" t="s">
        <v>609</v>
      </c>
      <c r="G473" s="221">
        <v>1.9</v>
      </c>
      <c r="H473" s="176"/>
    </row>
    <row r="474">
      <c r="A474" s="218" t="s">
        <v>904</v>
      </c>
      <c r="B474" s="218" t="s">
        <v>905</v>
      </c>
      <c r="C474" s="218" t="s">
        <v>764</v>
      </c>
      <c r="D474" s="218" t="s">
        <v>765</v>
      </c>
      <c r="E474" s="220">
        <v>1.0</v>
      </c>
      <c r="F474" s="218" t="s">
        <v>609</v>
      </c>
      <c r="G474" s="221">
        <v>81.89</v>
      </c>
      <c r="H474" s="176"/>
    </row>
    <row r="475">
      <c r="A475" s="218" t="s">
        <v>904</v>
      </c>
      <c r="B475" s="218" t="s">
        <v>905</v>
      </c>
      <c r="C475" s="218" t="s">
        <v>612</v>
      </c>
      <c r="D475" s="218" t="s">
        <v>614</v>
      </c>
      <c r="E475" s="220">
        <v>1.0</v>
      </c>
      <c r="F475" s="218" t="s">
        <v>609</v>
      </c>
      <c r="G475" s="221">
        <v>25.0</v>
      </c>
      <c r="H475" s="176"/>
    </row>
    <row r="476">
      <c r="A476" s="218" t="s">
        <v>904</v>
      </c>
      <c r="B476" s="218" t="s">
        <v>905</v>
      </c>
      <c r="C476" s="218" t="s">
        <v>769</v>
      </c>
      <c r="D476" s="218" t="s">
        <v>770</v>
      </c>
      <c r="E476" s="220">
        <v>1.0</v>
      </c>
      <c r="F476" s="218" t="s">
        <v>609</v>
      </c>
      <c r="G476" s="221">
        <v>6.67</v>
      </c>
      <c r="H476" s="176"/>
    </row>
    <row r="477">
      <c r="A477" s="218" t="s">
        <v>904</v>
      </c>
      <c r="B477" s="218" t="s">
        <v>905</v>
      </c>
      <c r="C477" s="218" t="s">
        <v>619</v>
      </c>
      <c r="D477" s="218" t="s">
        <v>620</v>
      </c>
      <c r="E477" s="220">
        <v>1.0</v>
      </c>
      <c r="F477" s="218" t="s">
        <v>609</v>
      </c>
      <c r="G477" s="221">
        <v>5.34</v>
      </c>
      <c r="H477" s="176"/>
    </row>
    <row r="478">
      <c r="A478" s="218" t="s">
        <v>904</v>
      </c>
      <c r="B478" s="218" t="s">
        <v>905</v>
      </c>
      <c r="C478" s="218" t="s">
        <v>646</v>
      </c>
      <c r="D478" s="218" t="s">
        <v>647</v>
      </c>
      <c r="E478" s="220">
        <v>1.0</v>
      </c>
      <c r="F478" s="218" t="s">
        <v>609</v>
      </c>
      <c r="G478" s="221">
        <v>1.36</v>
      </c>
      <c r="H478" s="176"/>
    </row>
    <row r="479">
      <c r="A479" s="218" t="s">
        <v>904</v>
      </c>
      <c r="B479" s="218" t="s">
        <v>905</v>
      </c>
      <c r="C479" s="218" t="s">
        <v>683</v>
      </c>
      <c r="D479" s="218" t="s">
        <v>684</v>
      </c>
      <c r="E479" s="220">
        <v>1.0</v>
      </c>
      <c r="F479" s="218" t="s">
        <v>609</v>
      </c>
      <c r="G479" s="221">
        <v>54.06</v>
      </c>
      <c r="H479" s="176"/>
    </row>
    <row r="480">
      <c r="A480" s="218" t="s">
        <v>904</v>
      </c>
      <c r="B480" s="218" t="s">
        <v>905</v>
      </c>
      <c r="C480" s="218" t="s">
        <v>793</v>
      </c>
      <c r="D480" s="218" t="s">
        <v>794</v>
      </c>
      <c r="E480" s="220">
        <v>2.0</v>
      </c>
      <c r="F480" s="218" t="s">
        <v>609</v>
      </c>
      <c r="G480" s="221">
        <v>0.83</v>
      </c>
      <c r="H480" s="41"/>
    </row>
    <row r="481">
      <c r="A481" s="234" t="s">
        <v>906</v>
      </c>
      <c r="B481" s="234" t="s">
        <v>907</v>
      </c>
      <c r="C481" s="234" t="s">
        <v>623</v>
      </c>
      <c r="D481" s="234" t="s">
        <v>624</v>
      </c>
      <c r="E481" s="235">
        <v>1.0</v>
      </c>
      <c r="F481" s="234" t="s">
        <v>609</v>
      </c>
      <c r="G481" s="236">
        <v>9.5</v>
      </c>
      <c r="H481" s="158">
        <v>232.72</v>
      </c>
    </row>
    <row r="482">
      <c r="A482" s="234" t="s">
        <v>906</v>
      </c>
      <c r="B482" s="234" t="s">
        <v>907</v>
      </c>
      <c r="C482" s="234" t="s">
        <v>687</v>
      </c>
      <c r="D482" s="234" t="s">
        <v>688</v>
      </c>
      <c r="E482" s="235">
        <v>1.0</v>
      </c>
      <c r="F482" s="234" t="s">
        <v>609</v>
      </c>
      <c r="G482" s="236">
        <v>0.0</v>
      </c>
      <c r="H482" s="176"/>
    </row>
    <row r="483">
      <c r="A483" s="234" t="s">
        <v>906</v>
      </c>
      <c r="B483" s="234" t="s">
        <v>907</v>
      </c>
      <c r="C483" s="234" t="s">
        <v>769</v>
      </c>
      <c r="D483" s="234" t="s">
        <v>770</v>
      </c>
      <c r="E483" s="235">
        <v>1.0</v>
      </c>
      <c r="F483" s="234" t="s">
        <v>609</v>
      </c>
      <c r="G483" s="236">
        <v>15.53</v>
      </c>
      <c r="H483" s="176"/>
    </row>
    <row r="484">
      <c r="A484" s="234" t="s">
        <v>906</v>
      </c>
      <c r="B484" s="234" t="s">
        <v>907</v>
      </c>
      <c r="C484" s="234" t="s">
        <v>628</v>
      </c>
      <c r="D484" s="234" t="s">
        <v>629</v>
      </c>
      <c r="E484" s="235">
        <v>1.0</v>
      </c>
      <c r="F484" s="234" t="s">
        <v>609</v>
      </c>
      <c r="G484" s="236">
        <v>1.5</v>
      </c>
      <c r="H484" s="176"/>
    </row>
    <row r="485">
      <c r="A485" s="234" t="s">
        <v>906</v>
      </c>
      <c r="B485" s="234" t="s">
        <v>907</v>
      </c>
      <c r="C485" s="234" t="s">
        <v>631</v>
      </c>
      <c r="D485" s="234" t="s">
        <v>632</v>
      </c>
      <c r="E485" s="235">
        <v>1.0</v>
      </c>
      <c r="F485" s="234" t="s">
        <v>609</v>
      </c>
      <c r="G485" s="236">
        <v>0.46</v>
      </c>
      <c r="H485" s="176"/>
    </row>
    <row r="486">
      <c r="A486" s="234" t="s">
        <v>906</v>
      </c>
      <c r="B486" s="234" t="s">
        <v>907</v>
      </c>
      <c r="C486" s="234" t="s">
        <v>764</v>
      </c>
      <c r="D486" s="234" t="s">
        <v>765</v>
      </c>
      <c r="E486" s="235">
        <v>1.0</v>
      </c>
      <c r="F486" s="234" t="s">
        <v>609</v>
      </c>
      <c r="G486" s="236">
        <v>81.02</v>
      </c>
      <c r="H486" s="176"/>
    </row>
    <row r="487">
      <c r="A487" s="234" t="s">
        <v>906</v>
      </c>
      <c r="B487" s="234" t="s">
        <v>907</v>
      </c>
      <c r="C487" s="234" t="s">
        <v>726</v>
      </c>
      <c r="D487" s="234" t="s">
        <v>727</v>
      </c>
      <c r="E487" s="235">
        <v>1.0</v>
      </c>
      <c r="F487" s="234" t="s">
        <v>609</v>
      </c>
      <c r="G487" s="236">
        <v>35.0</v>
      </c>
      <c r="H487" s="176"/>
    </row>
    <row r="488">
      <c r="A488" s="234" t="s">
        <v>906</v>
      </c>
      <c r="B488" s="234" t="s">
        <v>907</v>
      </c>
      <c r="C488" s="234" t="s">
        <v>619</v>
      </c>
      <c r="D488" s="234" t="s">
        <v>620</v>
      </c>
      <c r="E488" s="235">
        <v>1.0</v>
      </c>
      <c r="F488" s="234" t="s">
        <v>609</v>
      </c>
      <c r="G488" s="236">
        <v>5.34</v>
      </c>
      <c r="H488" s="176"/>
    </row>
    <row r="489">
      <c r="A489" s="234" t="s">
        <v>906</v>
      </c>
      <c r="B489" s="234" t="s">
        <v>907</v>
      </c>
      <c r="C489" s="234" t="s">
        <v>691</v>
      </c>
      <c r="D489" s="234" t="s">
        <v>692</v>
      </c>
      <c r="E489" s="235">
        <v>1.0</v>
      </c>
      <c r="F489" s="234" t="s">
        <v>609</v>
      </c>
      <c r="G489" s="236">
        <v>82.69</v>
      </c>
      <c r="H489" s="176"/>
    </row>
    <row r="490">
      <c r="A490" s="234" t="s">
        <v>906</v>
      </c>
      <c r="B490" s="234" t="s">
        <v>907</v>
      </c>
      <c r="C490" s="234" t="s">
        <v>793</v>
      </c>
      <c r="D490" s="234" t="s">
        <v>794</v>
      </c>
      <c r="E490" s="235">
        <v>2.0</v>
      </c>
      <c r="F490" s="234" t="s">
        <v>609</v>
      </c>
      <c r="G490" s="236">
        <v>1.68</v>
      </c>
      <c r="H490" s="41"/>
    </row>
  </sheetData>
  <mergeCells count="51">
    <mergeCell ref="H2:H5"/>
    <mergeCell ref="H6:H13"/>
    <mergeCell ref="H14:H23"/>
    <mergeCell ref="H24:H33"/>
    <mergeCell ref="H34:H43"/>
    <mergeCell ref="H44:H53"/>
    <mergeCell ref="H54:H62"/>
    <mergeCell ref="H63:H71"/>
    <mergeCell ref="H72:H80"/>
    <mergeCell ref="H81:H89"/>
    <mergeCell ref="H90:H98"/>
    <mergeCell ref="H99:H107"/>
    <mergeCell ref="H108:H115"/>
    <mergeCell ref="H116:H124"/>
    <mergeCell ref="H125:H133"/>
    <mergeCell ref="H134:H142"/>
    <mergeCell ref="H143:H150"/>
    <mergeCell ref="H152:H159"/>
    <mergeCell ref="H160:H169"/>
    <mergeCell ref="H170:H179"/>
    <mergeCell ref="H180:H189"/>
    <mergeCell ref="H190:H199"/>
    <mergeCell ref="H200:H217"/>
    <mergeCell ref="H218:H228"/>
    <mergeCell ref="H229:H239"/>
    <mergeCell ref="H240:H250"/>
    <mergeCell ref="H251:H261"/>
    <mergeCell ref="H262:H270"/>
    <mergeCell ref="H271:H278"/>
    <mergeCell ref="H279:H288"/>
    <mergeCell ref="H289:H298"/>
    <mergeCell ref="H299:H308"/>
    <mergeCell ref="H309:H318"/>
    <mergeCell ref="H319:H327"/>
    <mergeCell ref="H328:H335"/>
    <mergeCell ref="H336:H344"/>
    <mergeCell ref="H345:H353"/>
    <mergeCell ref="H354:H362"/>
    <mergeCell ref="H363:H370"/>
    <mergeCell ref="H371:H378"/>
    <mergeCell ref="H379:H388"/>
    <mergeCell ref="H389:H398"/>
    <mergeCell ref="H470:H480"/>
    <mergeCell ref="H481:H490"/>
    <mergeCell ref="H399:H408"/>
    <mergeCell ref="H409:H418"/>
    <mergeCell ref="H419:H427"/>
    <mergeCell ref="H428:H436"/>
    <mergeCell ref="H437:H447"/>
    <mergeCell ref="H448:H458"/>
    <mergeCell ref="H459:H46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5"/>
    <col customWidth="1" min="2" max="2" width="3.5"/>
    <col customWidth="1" min="3" max="3" width="13.75"/>
    <col customWidth="1" min="4" max="4" width="15.5"/>
    <col customWidth="1" min="5" max="5" width="8.0"/>
    <col customWidth="1" min="6" max="6" width="8.25"/>
    <col customWidth="1" min="7" max="7" width="7.75"/>
    <col customWidth="1" min="8" max="8" width="6.13"/>
    <col customWidth="1" min="9" max="9" width="7.75"/>
    <col customWidth="1" min="10" max="10" width="8.63"/>
    <col customWidth="1" min="11" max="13" width="6.63"/>
    <col customWidth="1" min="14" max="14" width="6.75"/>
    <col customWidth="1" min="15" max="25" width="7.88"/>
  </cols>
  <sheetData>
    <row r="1" ht="9.75" customHeight="1">
      <c r="A1" s="14" t="s">
        <v>10</v>
      </c>
      <c r="B1" s="15"/>
      <c r="C1" s="15"/>
      <c r="D1" s="15"/>
      <c r="E1" s="17"/>
      <c r="F1" s="15"/>
      <c r="G1" s="21"/>
      <c r="H1" s="21"/>
      <c r="I1" s="23"/>
      <c r="J1" s="23"/>
      <c r="K1" s="29"/>
      <c r="L1" s="29"/>
      <c r="M1" s="29"/>
      <c r="N1" s="29"/>
      <c r="O1" s="31"/>
      <c r="P1" s="31"/>
      <c r="Q1" s="31"/>
      <c r="R1" s="31"/>
      <c r="S1" s="31"/>
      <c r="T1" s="31"/>
      <c r="U1" s="31"/>
      <c r="V1" s="31"/>
      <c r="W1" s="31"/>
      <c r="X1" s="31"/>
      <c r="Y1" s="31"/>
    </row>
    <row r="2" ht="30.0" customHeight="1">
      <c r="A2" s="34"/>
      <c r="B2" s="35" t="s">
        <v>0</v>
      </c>
      <c r="C2" s="37" t="s">
        <v>21</v>
      </c>
      <c r="D2" s="37" t="s">
        <v>24</v>
      </c>
      <c r="E2" s="40" t="s">
        <v>18</v>
      </c>
      <c r="F2" s="36" t="str">
        <f>' CPVC PIPE'!F2</f>
        <v>MRP as on 1st May, 2024</v>
      </c>
      <c r="G2" s="42" t="s">
        <v>6</v>
      </c>
      <c r="H2" s="47" t="s">
        <v>32</v>
      </c>
      <c r="I2" s="47" t="s">
        <v>35</v>
      </c>
      <c r="J2" s="50" t="s">
        <v>26</v>
      </c>
      <c r="K2" s="52"/>
      <c r="L2" s="52"/>
      <c r="M2" s="52"/>
      <c r="N2" s="52"/>
      <c r="O2" s="135"/>
      <c r="P2" s="135"/>
      <c r="Q2" s="57"/>
      <c r="R2" s="57"/>
      <c r="S2" s="57"/>
      <c r="T2" s="57"/>
      <c r="U2" s="57"/>
      <c r="V2" s="57"/>
      <c r="W2" s="57"/>
      <c r="X2" s="57"/>
      <c r="Y2" s="57"/>
    </row>
    <row r="3" ht="31.5" customHeight="1">
      <c r="A3" s="34"/>
      <c r="B3" s="41"/>
      <c r="C3" s="41"/>
      <c r="D3" s="41"/>
      <c r="E3" s="41"/>
      <c r="F3" s="41"/>
      <c r="G3" s="41"/>
      <c r="H3" s="41"/>
      <c r="I3" s="41"/>
      <c r="J3" s="41"/>
      <c r="K3" s="29"/>
      <c r="L3" s="29"/>
      <c r="M3" s="29"/>
      <c r="N3" s="29"/>
      <c r="O3" s="57"/>
      <c r="P3" s="57"/>
      <c r="Q3" s="57"/>
      <c r="R3" s="57"/>
      <c r="S3" s="57"/>
      <c r="T3" s="57"/>
      <c r="U3" s="57"/>
      <c r="V3" s="57"/>
      <c r="W3" s="57"/>
      <c r="X3" s="57"/>
      <c r="Y3" s="57"/>
    </row>
    <row r="4" ht="22.5" customHeight="1">
      <c r="A4" s="34"/>
      <c r="B4" s="62" t="s">
        <v>52</v>
      </c>
      <c r="C4" s="45"/>
      <c r="D4" s="45"/>
      <c r="E4" s="45"/>
      <c r="F4" s="45"/>
      <c r="G4" s="64"/>
      <c r="H4" s="64"/>
      <c r="I4" s="65"/>
      <c r="J4" s="65"/>
      <c r="K4" s="29"/>
      <c r="L4" s="29"/>
      <c r="M4" s="29"/>
      <c r="N4" s="29"/>
      <c r="O4" s="31"/>
      <c r="P4" s="31"/>
      <c r="Q4" s="31"/>
      <c r="R4" s="31"/>
      <c r="S4" s="31"/>
      <c r="T4" s="31"/>
      <c r="U4" s="31"/>
      <c r="V4" s="31"/>
      <c r="W4" s="31"/>
      <c r="X4" s="31"/>
      <c r="Y4" s="31"/>
    </row>
    <row r="5" ht="15.75" customHeight="1">
      <c r="A5" s="67" t="str">
        <f t="shared" ref="A5:A10" si="1">$B$4&amp;C5</f>
        <v>Elbow 90⁰1⁄2</v>
      </c>
      <c r="B5" s="68">
        <v>1.0</v>
      </c>
      <c r="C5" s="70" t="s">
        <v>43</v>
      </c>
      <c r="D5" s="70">
        <v>15.0</v>
      </c>
      <c r="E5" s="72" t="s">
        <v>59</v>
      </c>
      <c r="F5" s="56">
        <v>16.8</v>
      </c>
      <c r="G5" s="76">
        <f>IFERROR(__xludf.DUMMYFUNCTION("ArrayFormula(IFERROR(VLOOKUP(E5,IMPORTRANGE(""https://docs.google.com/spreadsheets/d/1xZyKy-UzMmtPDLpV5jQdYum1LtbR8XKDuasLSjmBRMI/edit#gid=1241094406"",""COMBINED DATA!E3:L""),{7,8},0)))"),0.011)</f>
        <v>0.011</v>
      </c>
      <c r="H5" s="76">
        <f>IFERROR(__xludf.DUMMYFUNCTION("""COMPUTED_VALUE"""),0.0)</f>
        <v>0</v>
      </c>
      <c r="I5" s="76">
        <f t="shared" ref="I5:I10" si="2">G5+H5</f>
        <v>0.011</v>
      </c>
      <c r="J5" s="84">
        <f t="shared" ref="J5:J10" si="3">IFERROR(F5/I5,"")</f>
        <v>1527.272727</v>
      </c>
      <c r="K5" s="85"/>
      <c r="L5" s="85"/>
      <c r="M5" s="85"/>
      <c r="N5" s="85"/>
      <c r="O5" s="139"/>
      <c r="P5" s="89"/>
      <c r="Q5" s="89"/>
      <c r="R5" s="89"/>
      <c r="S5" s="89"/>
      <c r="T5" s="89"/>
      <c r="U5" s="89"/>
      <c r="V5" s="89"/>
      <c r="W5" s="89"/>
      <c r="X5" s="89"/>
      <c r="Y5" s="89"/>
    </row>
    <row r="6">
      <c r="A6" s="67" t="str">
        <f t="shared" si="1"/>
        <v>Elbow 90⁰3⁄4</v>
      </c>
      <c r="B6" s="90">
        <v>2.0</v>
      </c>
      <c r="C6" s="92" t="s">
        <v>51</v>
      </c>
      <c r="D6" s="92">
        <v>20.0</v>
      </c>
      <c r="E6" s="94" t="s">
        <v>76</v>
      </c>
      <c r="F6" s="56">
        <v>19.9</v>
      </c>
      <c r="G6" s="76">
        <f>IFERROR(__xludf.DUMMYFUNCTION("ArrayFormula(IFERROR(VLOOKUP(E6,IMPORTRANGE(""https://docs.google.com/spreadsheets/d/1xZyKy-UzMmtPDLpV5jQdYum1LtbR8XKDuasLSjmBRMI/edit#gid=1241094406"",""COMBINED DATA!E3:L""),{7,8},0)))"),0.0229)</f>
        <v>0.0229</v>
      </c>
      <c r="H6" s="76">
        <f>IFERROR(__xludf.DUMMYFUNCTION("""COMPUTED_VALUE"""),0.0)</f>
        <v>0</v>
      </c>
      <c r="I6" s="76">
        <f t="shared" si="2"/>
        <v>0.0229</v>
      </c>
      <c r="J6" s="84">
        <f t="shared" si="3"/>
        <v>868.9956332</v>
      </c>
      <c r="K6" s="85"/>
      <c r="L6" s="85"/>
      <c r="M6" s="85"/>
      <c r="N6" s="85"/>
      <c r="O6" s="139"/>
      <c r="P6" s="89"/>
      <c r="Q6" s="89"/>
      <c r="R6" s="89"/>
      <c r="S6" s="89"/>
      <c r="T6" s="89"/>
      <c r="U6" s="89"/>
      <c r="V6" s="89"/>
      <c r="W6" s="89"/>
      <c r="X6" s="89"/>
      <c r="Y6" s="89"/>
    </row>
    <row r="7" ht="15.75" customHeight="1">
      <c r="A7" s="67" t="str">
        <f t="shared" si="1"/>
        <v>Elbow 90⁰1</v>
      </c>
      <c r="B7" s="90">
        <v>3.0</v>
      </c>
      <c r="C7" s="92" t="s">
        <v>84</v>
      </c>
      <c r="D7" s="92">
        <v>25.0</v>
      </c>
      <c r="E7" s="94" t="s">
        <v>85</v>
      </c>
      <c r="F7" s="56">
        <v>39.8</v>
      </c>
      <c r="G7" s="76">
        <f>IFERROR(__xludf.DUMMYFUNCTION("ArrayFormula(IFERROR(VLOOKUP(E7,IMPORTRANGE(""https://docs.google.com/spreadsheets/d/1xZyKy-UzMmtPDLpV5jQdYum1LtbR8XKDuasLSjmBRMI/edit#gid=1241094406"",""COMBINED DATA!E3:L""),{7,8},0)))"),0.0363)</f>
        <v>0.0363</v>
      </c>
      <c r="H7" s="76">
        <f>IFERROR(__xludf.DUMMYFUNCTION("""COMPUTED_VALUE"""),0.0)</f>
        <v>0</v>
      </c>
      <c r="I7" s="76">
        <f t="shared" si="2"/>
        <v>0.0363</v>
      </c>
      <c r="J7" s="84">
        <f t="shared" si="3"/>
        <v>1096.418733</v>
      </c>
      <c r="K7" s="85"/>
      <c r="L7" s="85"/>
      <c r="M7" s="85"/>
      <c r="N7" s="85"/>
      <c r="O7" s="139"/>
      <c r="P7" s="89"/>
      <c r="Q7" s="89"/>
      <c r="R7" s="89"/>
      <c r="S7" s="89"/>
      <c r="T7" s="89"/>
      <c r="U7" s="89"/>
      <c r="V7" s="89"/>
      <c r="W7" s="89"/>
      <c r="X7" s="89"/>
      <c r="Y7" s="89"/>
    </row>
    <row r="8" ht="15.75" customHeight="1">
      <c r="A8" s="67" t="str">
        <f t="shared" si="1"/>
        <v>Elbow 90⁰1 1⁄4</v>
      </c>
      <c r="B8" s="90">
        <v>4.0</v>
      </c>
      <c r="C8" s="92" t="s">
        <v>55</v>
      </c>
      <c r="D8" s="92">
        <v>32.0</v>
      </c>
      <c r="E8" s="94" t="s">
        <v>92</v>
      </c>
      <c r="F8" s="56">
        <v>89.9</v>
      </c>
      <c r="G8" s="76">
        <f>IFERROR(__xludf.DUMMYFUNCTION("ArrayFormula(IFERROR(VLOOKUP(E8,IMPORTRANGE(""https://docs.google.com/spreadsheets/d/1xZyKy-UzMmtPDLpV5jQdYum1LtbR8XKDuasLSjmBRMI/edit#gid=1241094406"",""COMBINED DATA!E3:L""),{7,8},0)))"),0.07095)</f>
        <v>0.07095</v>
      </c>
      <c r="H8" s="76">
        <f>IFERROR(__xludf.DUMMYFUNCTION("""COMPUTED_VALUE"""),0.0)</f>
        <v>0</v>
      </c>
      <c r="I8" s="76">
        <f t="shared" si="2"/>
        <v>0.07095</v>
      </c>
      <c r="J8" s="84">
        <f t="shared" si="3"/>
        <v>1267.0895</v>
      </c>
      <c r="K8" s="85"/>
      <c r="L8" s="85"/>
      <c r="M8" s="85"/>
      <c r="N8" s="85"/>
      <c r="O8" s="139"/>
      <c r="P8" s="89"/>
      <c r="Q8" s="89"/>
      <c r="R8" s="89"/>
      <c r="S8" s="89"/>
      <c r="T8" s="89"/>
      <c r="U8" s="89"/>
      <c r="V8" s="89"/>
      <c r="W8" s="89"/>
      <c r="X8" s="89"/>
      <c r="Y8" s="89"/>
    </row>
    <row r="9" ht="15.75" customHeight="1">
      <c r="A9" s="67" t="str">
        <f t="shared" si="1"/>
        <v>Elbow 90⁰1 1⁄2</v>
      </c>
      <c r="B9" s="90">
        <v>5.0</v>
      </c>
      <c r="C9" s="92" t="s">
        <v>56</v>
      </c>
      <c r="D9" s="92">
        <v>40.0</v>
      </c>
      <c r="E9" s="94" t="s">
        <v>95</v>
      </c>
      <c r="F9" s="56">
        <v>164.4</v>
      </c>
      <c r="G9" s="76">
        <f>IFERROR(__xludf.DUMMYFUNCTION("ArrayFormula(IFERROR(VLOOKUP(E9,IMPORTRANGE(""https://docs.google.com/spreadsheets/d/1xZyKy-UzMmtPDLpV5jQdYum1LtbR8XKDuasLSjmBRMI/edit#gid=1241094406"",""COMBINED DATA!E3:L""),{7,8},0)))"),0.11225)</f>
        <v>0.11225</v>
      </c>
      <c r="H9" s="76">
        <f>IFERROR(__xludf.DUMMYFUNCTION("""COMPUTED_VALUE"""),0.0)</f>
        <v>0</v>
      </c>
      <c r="I9" s="76">
        <f t="shared" si="2"/>
        <v>0.11225</v>
      </c>
      <c r="J9" s="84">
        <f t="shared" si="3"/>
        <v>1464.587973</v>
      </c>
      <c r="K9" s="85"/>
      <c r="L9" s="85"/>
      <c r="M9" s="85"/>
      <c r="N9" s="85"/>
      <c r="O9" s="139"/>
      <c r="P9" s="89"/>
      <c r="Q9" s="89"/>
      <c r="R9" s="89"/>
      <c r="S9" s="89"/>
      <c r="T9" s="89"/>
      <c r="U9" s="89"/>
      <c r="V9" s="89"/>
      <c r="W9" s="89"/>
      <c r="X9" s="89"/>
      <c r="Y9" s="89"/>
    </row>
    <row r="10" ht="15.75" customHeight="1">
      <c r="A10" s="67" t="str">
        <f t="shared" si="1"/>
        <v>Elbow 90⁰2</v>
      </c>
      <c r="B10" s="90">
        <v>6.0</v>
      </c>
      <c r="C10" s="92" t="s">
        <v>107</v>
      </c>
      <c r="D10" s="92">
        <v>50.0</v>
      </c>
      <c r="E10" s="94" t="s">
        <v>109</v>
      </c>
      <c r="F10" s="56">
        <v>338.0</v>
      </c>
      <c r="G10" s="76">
        <f>IFERROR(__xludf.DUMMYFUNCTION("ArrayFormula(IFERROR(VLOOKUP(E10,IMPORTRANGE(""https://docs.google.com/spreadsheets/d/1xZyKy-UzMmtPDLpV5jQdYum1LtbR8XKDuasLSjmBRMI/edit#gid=1241094406"",""COMBINED DATA!E3:L""),{7,8},0)))"),0.2132)</f>
        <v>0.2132</v>
      </c>
      <c r="H10" s="76">
        <f>IFERROR(__xludf.DUMMYFUNCTION("""COMPUTED_VALUE"""),0.0)</f>
        <v>0</v>
      </c>
      <c r="I10" s="76">
        <f t="shared" si="2"/>
        <v>0.2132</v>
      </c>
      <c r="J10" s="84">
        <f t="shared" si="3"/>
        <v>1585.365854</v>
      </c>
      <c r="K10" s="85"/>
      <c r="L10" s="85"/>
      <c r="M10" s="85"/>
      <c r="N10" s="85"/>
      <c r="O10" s="139"/>
      <c r="P10" s="89"/>
      <c r="Q10" s="89"/>
      <c r="R10" s="89"/>
      <c r="S10" s="89"/>
      <c r="T10" s="89"/>
      <c r="U10" s="89"/>
      <c r="V10" s="89"/>
      <c r="W10" s="89"/>
      <c r="X10" s="89"/>
      <c r="Y10" s="89"/>
    </row>
    <row r="11">
      <c r="A11" s="100"/>
      <c r="B11" s="102" t="s">
        <v>11</v>
      </c>
      <c r="C11" s="45"/>
      <c r="D11" s="45"/>
      <c r="E11" s="45"/>
      <c r="F11" s="103">
        <f>SUM(F5:F10)</f>
        <v>668.8</v>
      </c>
      <c r="G11" s="104"/>
      <c r="H11" s="76" t="str">
        <f>IFERROR(__xludf.DUMMYFUNCTION("IFERROR(VLOOKUP(E11,IMPORTRANGE(""https://docs.google.com/spreadsheets/d/1xZyKy-UzMmtPDLpV5jQdYum1LtbR8XKDuasLSjmBRMI/edit#gid=1241094406"",""COMBINED DATA!E3:L""),8,0))"),"")</f>
        <v/>
      </c>
      <c r="I11" s="76"/>
      <c r="J11" s="84"/>
      <c r="K11" s="85"/>
      <c r="L11" s="85"/>
      <c r="M11" s="85"/>
      <c r="N11" s="85"/>
      <c r="O11" s="88"/>
      <c r="P11" s="89"/>
      <c r="Q11" s="89"/>
      <c r="R11" s="89"/>
      <c r="S11" s="89"/>
      <c r="T11" s="89"/>
      <c r="U11" s="89"/>
      <c r="V11" s="89"/>
      <c r="W11" s="89"/>
      <c r="X11" s="89"/>
      <c r="Y11" s="89"/>
    </row>
    <row r="12" ht="5.25" customHeight="1">
      <c r="A12" s="34"/>
      <c r="B12" s="105"/>
      <c r="C12" s="105"/>
      <c r="D12" s="105"/>
      <c r="E12" s="106"/>
      <c r="F12" s="107"/>
      <c r="G12" s="64"/>
      <c r="H12" s="76" t="str">
        <f>IFERROR(__xludf.DUMMYFUNCTION("IFERROR(VLOOKUP(E12,IMPORTRANGE(""https://docs.google.com/spreadsheets/d/1xZyKy-UzMmtPDLpV5jQdYum1LtbR8XKDuasLSjmBRMI/edit#gid=1241094406"",""COMBINED DATA!E3:L""),8,0))"),"")</f>
        <v/>
      </c>
      <c r="I12" s="76"/>
      <c r="J12" s="65"/>
      <c r="K12" s="85"/>
      <c r="L12" s="85"/>
      <c r="M12" s="85"/>
      <c r="N12" s="85"/>
      <c r="O12" s="89"/>
      <c r="P12" s="89"/>
      <c r="Q12" s="89"/>
      <c r="R12" s="89"/>
      <c r="S12" s="89"/>
      <c r="T12" s="89"/>
      <c r="U12" s="89"/>
      <c r="V12" s="89"/>
      <c r="W12" s="89"/>
      <c r="X12" s="89"/>
      <c r="Y12" s="89"/>
    </row>
    <row r="13" ht="22.5" customHeight="1">
      <c r="A13" s="34"/>
      <c r="B13" s="62" t="s">
        <v>121</v>
      </c>
      <c r="C13" s="45"/>
      <c r="D13" s="45"/>
      <c r="E13" s="45"/>
      <c r="F13" s="46"/>
      <c r="G13" s="64"/>
      <c r="H13" s="76" t="str">
        <f>IFERROR(__xludf.DUMMYFUNCTION("IFERROR(VLOOKUP(E13,IMPORTRANGE(""https://docs.google.com/spreadsheets/d/1xZyKy-UzMmtPDLpV5jQdYum1LtbR8XKDuasLSjmBRMI/edit#gid=1241094406"",""COMBINED DATA!E3:L""),8,0))"),"")</f>
        <v/>
      </c>
      <c r="I13" s="76"/>
      <c r="J13" s="65"/>
      <c r="K13" s="85"/>
      <c r="L13" s="85"/>
      <c r="M13" s="85"/>
      <c r="N13" s="85"/>
      <c r="O13" s="89"/>
      <c r="P13" s="89"/>
      <c r="Q13" s="89"/>
      <c r="R13" s="89"/>
      <c r="S13" s="89"/>
      <c r="T13" s="89"/>
      <c r="U13" s="89"/>
      <c r="V13" s="89"/>
      <c r="W13" s="89"/>
      <c r="X13" s="89"/>
      <c r="Y13" s="89"/>
    </row>
    <row r="14" ht="15.75" customHeight="1">
      <c r="A14" s="67" t="str">
        <f t="shared" ref="A14:A16" si="4">$B$13&amp;C14</f>
        <v>Elbow 90⁰ (SCH-80)2 1⁄2</v>
      </c>
      <c r="B14" s="68">
        <v>1.0</v>
      </c>
      <c r="C14" s="110" t="s">
        <v>69</v>
      </c>
      <c r="D14" s="70">
        <v>65.0</v>
      </c>
      <c r="E14" s="111" t="s">
        <v>124</v>
      </c>
      <c r="F14" s="56">
        <v>898.0</v>
      </c>
      <c r="G14" s="76">
        <f>IFERROR(__xludf.DUMMYFUNCTION("ArrayFormula(IFERROR(VLOOKUP(E14,IMPORTRANGE(""https://docs.google.com/spreadsheets/d/1xZyKy-UzMmtPDLpV5jQdYum1LtbR8XKDuasLSjmBRMI/edit#gid=1241094406"",""COMBINED DATA!E3:L""),{7,8},0)))"),0.522)</f>
        <v>0.522</v>
      </c>
      <c r="H14" s="76">
        <f>IFERROR(__xludf.DUMMYFUNCTION("""COMPUTED_VALUE"""),0.0)</f>
        <v>0</v>
      </c>
      <c r="I14" s="76">
        <f t="shared" ref="I14:I16" si="5">G14+H14</f>
        <v>0.522</v>
      </c>
      <c r="J14" s="84">
        <f t="shared" ref="J14:J16" si="6">IFERROR(F14/I14,"")</f>
        <v>1720.306513</v>
      </c>
      <c r="K14" s="85"/>
      <c r="L14" s="85"/>
      <c r="M14" s="85"/>
      <c r="N14" s="85"/>
      <c r="O14" s="139"/>
      <c r="P14" s="89"/>
      <c r="Q14" s="89"/>
      <c r="R14" s="89"/>
      <c r="S14" s="89"/>
      <c r="T14" s="89"/>
      <c r="U14" s="89"/>
      <c r="V14" s="89"/>
      <c r="W14" s="89"/>
      <c r="X14" s="89"/>
      <c r="Y14" s="89"/>
    </row>
    <row r="15" ht="15.75" customHeight="1">
      <c r="A15" s="67" t="str">
        <f t="shared" si="4"/>
        <v>Elbow 90⁰ (SCH-80)3</v>
      </c>
      <c r="B15" s="90">
        <v>2.0</v>
      </c>
      <c r="C15" s="92">
        <v>3.0</v>
      </c>
      <c r="D15" s="92">
        <v>80.0</v>
      </c>
      <c r="E15" s="112" t="s">
        <v>126</v>
      </c>
      <c r="F15" s="56">
        <v>1368.0</v>
      </c>
      <c r="G15" s="76">
        <f>IFERROR(__xludf.DUMMYFUNCTION("ArrayFormula(IFERROR(VLOOKUP(E15,IMPORTRANGE(""https://docs.google.com/spreadsheets/d/1xZyKy-UzMmtPDLpV5jQdYum1LtbR8XKDuasLSjmBRMI/edit#gid=1241094406"",""COMBINED DATA!E3:L""),{7,8},0)))"),0.8142)</f>
        <v>0.8142</v>
      </c>
      <c r="H15" s="76">
        <f>IFERROR(__xludf.DUMMYFUNCTION("""COMPUTED_VALUE"""),0.0)</f>
        <v>0</v>
      </c>
      <c r="I15" s="76">
        <f t="shared" si="5"/>
        <v>0.8142</v>
      </c>
      <c r="J15" s="84">
        <f t="shared" si="6"/>
        <v>1680.176861</v>
      </c>
      <c r="K15" s="85"/>
      <c r="L15" s="85"/>
      <c r="M15" s="85"/>
      <c r="N15" s="85"/>
      <c r="O15" s="139"/>
      <c r="P15" s="89"/>
      <c r="Q15" s="89"/>
      <c r="R15" s="89"/>
      <c r="S15" s="89"/>
      <c r="T15" s="89"/>
      <c r="U15" s="89"/>
      <c r="V15" s="89"/>
      <c r="W15" s="89"/>
      <c r="X15" s="89"/>
      <c r="Y15" s="89"/>
    </row>
    <row r="16" ht="15.75" customHeight="1">
      <c r="A16" s="67" t="str">
        <f t="shared" si="4"/>
        <v>Elbow 90⁰ (SCH-80)4</v>
      </c>
      <c r="B16" s="90">
        <v>3.0</v>
      </c>
      <c r="C16" s="92">
        <v>4.0</v>
      </c>
      <c r="D16" s="92">
        <v>100.0</v>
      </c>
      <c r="E16" s="112" t="s">
        <v>128</v>
      </c>
      <c r="F16" s="56">
        <v>2288.0</v>
      </c>
      <c r="G16" s="76">
        <f>IFERROR(__xludf.DUMMYFUNCTION("ArrayFormula(IFERROR(VLOOKUP(E16,IMPORTRANGE(""https://docs.google.com/spreadsheets/d/1xZyKy-UzMmtPDLpV5jQdYum1LtbR8XKDuasLSjmBRMI/edit#gid=1241094406"",""COMBINED DATA!E3:L""),{7,8},0)))"),1.362)</f>
        <v>1.362</v>
      </c>
      <c r="H16" s="76">
        <f>IFERROR(__xludf.DUMMYFUNCTION("""COMPUTED_VALUE"""),0.0)</f>
        <v>0</v>
      </c>
      <c r="I16" s="76">
        <f t="shared" si="5"/>
        <v>1.362</v>
      </c>
      <c r="J16" s="84">
        <f t="shared" si="6"/>
        <v>1679.882526</v>
      </c>
      <c r="K16" s="85"/>
      <c r="L16" s="85"/>
      <c r="M16" s="85"/>
      <c r="N16" s="85"/>
      <c r="O16" s="139"/>
      <c r="P16" s="89"/>
      <c r="Q16" s="89"/>
      <c r="R16" s="89"/>
      <c r="S16" s="89"/>
      <c r="T16" s="89"/>
      <c r="U16" s="89"/>
      <c r="V16" s="89"/>
      <c r="W16" s="89"/>
      <c r="X16" s="89"/>
      <c r="Y16" s="89"/>
    </row>
    <row r="17">
      <c r="A17" s="100"/>
      <c r="B17" s="102" t="s">
        <v>11</v>
      </c>
      <c r="C17" s="45"/>
      <c r="D17" s="45"/>
      <c r="E17" s="45"/>
      <c r="F17" s="103">
        <f>SUM(F14:F16)</f>
        <v>4554</v>
      </c>
      <c r="G17" s="104"/>
      <c r="H17" s="76" t="str">
        <f>IFERROR(__xludf.DUMMYFUNCTION("IFERROR(VLOOKUP(E17,IMPORTRANGE(""https://docs.google.com/spreadsheets/d/1xZyKy-UzMmtPDLpV5jQdYum1LtbR8XKDuasLSjmBRMI/edit#gid=1241094406"",""COMBINED DATA!E3:L""),8,0))"),"")</f>
        <v/>
      </c>
      <c r="I17" s="76"/>
      <c r="J17" s="116"/>
      <c r="K17" s="85"/>
      <c r="L17" s="85"/>
      <c r="M17" s="85"/>
      <c r="N17" s="85"/>
      <c r="O17" s="89"/>
      <c r="P17" s="89"/>
      <c r="Q17" s="89"/>
      <c r="R17" s="89"/>
      <c r="S17" s="89"/>
      <c r="T17" s="89"/>
      <c r="U17" s="89"/>
      <c r="V17" s="89"/>
      <c r="W17" s="89"/>
      <c r="X17" s="89"/>
      <c r="Y17" s="89"/>
    </row>
    <row r="18" ht="6.0" customHeight="1">
      <c r="A18" s="34"/>
      <c r="B18" s="105"/>
      <c r="C18" s="105"/>
      <c r="D18" s="105"/>
      <c r="E18" s="106"/>
      <c r="F18" s="107"/>
      <c r="G18" s="64"/>
      <c r="H18" s="76" t="str">
        <f>IFERROR(__xludf.DUMMYFUNCTION("IFERROR(VLOOKUP(E18,IMPORTRANGE(""https://docs.google.com/spreadsheets/d/1xZyKy-UzMmtPDLpV5jQdYum1LtbR8XKDuasLSjmBRMI/edit#gid=1241094406"",""COMBINED DATA!E3:L""),8,0))"),"")</f>
        <v/>
      </c>
      <c r="I18" s="76"/>
      <c r="J18" s="65"/>
      <c r="K18" s="85"/>
      <c r="L18" s="85"/>
      <c r="M18" s="85"/>
      <c r="N18" s="85"/>
      <c r="O18" s="89"/>
      <c r="P18" s="89"/>
      <c r="Q18" s="89"/>
      <c r="R18" s="89"/>
      <c r="S18" s="89"/>
      <c r="T18" s="89"/>
      <c r="U18" s="89"/>
      <c r="V18" s="89"/>
      <c r="W18" s="89"/>
      <c r="X18" s="89"/>
      <c r="Y18" s="89"/>
    </row>
    <row r="19" ht="22.5" customHeight="1">
      <c r="A19" s="34"/>
      <c r="B19" s="62" t="s">
        <v>132</v>
      </c>
      <c r="C19" s="45"/>
      <c r="D19" s="45"/>
      <c r="E19" s="45"/>
      <c r="F19" s="46"/>
      <c r="G19" s="64"/>
      <c r="H19" s="76" t="str">
        <f>IFERROR(__xludf.DUMMYFUNCTION("IFERROR(VLOOKUP(E19,IMPORTRANGE(""https://docs.google.com/spreadsheets/d/1xZyKy-UzMmtPDLpV5jQdYum1LtbR8XKDuasLSjmBRMI/edit#gid=1241094406"",""COMBINED DATA!E3:L""),8,0))"),"")</f>
        <v/>
      </c>
      <c r="I19" s="76"/>
      <c r="J19" s="65"/>
      <c r="K19" s="85"/>
      <c r="L19" s="85"/>
      <c r="M19" s="85"/>
      <c r="N19" s="85"/>
      <c r="O19" s="89"/>
      <c r="P19" s="89"/>
      <c r="Q19" s="89"/>
      <c r="R19" s="89"/>
      <c r="S19" s="89"/>
      <c r="T19" s="89"/>
      <c r="U19" s="89"/>
      <c r="V19" s="89"/>
      <c r="W19" s="89"/>
      <c r="X19" s="89"/>
      <c r="Y19" s="89"/>
    </row>
    <row r="20" ht="15.75" customHeight="1">
      <c r="A20" s="67" t="str">
        <f>$B$19&amp;C20</f>
        <v>Elbow 90⁰ (SCH-40)6</v>
      </c>
      <c r="B20" s="68">
        <v>1.0</v>
      </c>
      <c r="C20" s="110">
        <v>6.0</v>
      </c>
      <c r="D20" s="110">
        <v>150.0</v>
      </c>
      <c r="E20" s="111" t="s">
        <v>134</v>
      </c>
      <c r="F20" s="56">
        <v>3580.0</v>
      </c>
      <c r="G20" s="76">
        <f>IFERROR(__xludf.DUMMYFUNCTION("ArrayFormula(IFERROR(VLOOKUP(E20,IMPORTRANGE(""https://docs.google.com/spreadsheets/d/1xZyKy-UzMmtPDLpV5jQdYum1LtbR8XKDuasLSjmBRMI/edit#gid=1241094406"",""COMBINED DATA!E3:L""),{7,8},0)))"),1.975)</f>
        <v>1.975</v>
      </c>
      <c r="H20" s="76">
        <f>IFERROR(__xludf.DUMMYFUNCTION("""COMPUTED_VALUE"""),0.0)</f>
        <v>0</v>
      </c>
      <c r="I20" s="76">
        <f>G20+H20</f>
        <v>1.975</v>
      </c>
      <c r="J20" s="84">
        <f>IFERROR(F20/I20,"")</f>
        <v>1812.658228</v>
      </c>
      <c r="K20" s="85"/>
      <c r="L20" s="85"/>
      <c r="M20" s="85"/>
      <c r="N20" s="85"/>
      <c r="O20" s="139"/>
      <c r="P20" s="89"/>
      <c r="Q20" s="89"/>
      <c r="R20" s="89"/>
      <c r="S20" s="89"/>
      <c r="T20" s="89"/>
      <c r="U20" s="89"/>
      <c r="V20" s="89"/>
      <c r="W20" s="89"/>
      <c r="X20" s="89"/>
      <c r="Y20" s="89"/>
    </row>
    <row r="21" ht="6.75" customHeight="1">
      <c r="A21" s="34"/>
      <c r="B21" s="119"/>
      <c r="C21" s="120"/>
      <c r="D21" s="120"/>
      <c r="E21" s="121"/>
      <c r="F21" s="107"/>
      <c r="G21" s="64"/>
      <c r="H21" s="76" t="str">
        <f>IFERROR(__xludf.DUMMYFUNCTION("IFERROR(VLOOKUP(E21,IMPORTRANGE(""https://docs.google.com/spreadsheets/d/1xZyKy-UzMmtPDLpV5jQdYum1LtbR8XKDuasLSjmBRMI/edit#gid=1241094406"",""COMBINED DATA!E3:L""),8,0))"),"")</f>
        <v/>
      </c>
      <c r="I21" s="76"/>
      <c r="J21" s="65"/>
      <c r="K21" s="85"/>
      <c r="L21" s="85"/>
      <c r="M21" s="85"/>
      <c r="N21" s="85"/>
      <c r="O21" s="89"/>
      <c r="P21" s="89"/>
      <c r="Q21" s="89"/>
      <c r="R21" s="89"/>
      <c r="S21" s="89"/>
      <c r="T21" s="89"/>
      <c r="U21" s="89"/>
      <c r="V21" s="89"/>
      <c r="W21" s="89"/>
      <c r="X21" s="89"/>
      <c r="Y21" s="89"/>
    </row>
    <row r="22" ht="22.5" customHeight="1">
      <c r="A22" s="34"/>
      <c r="B22" s="62" t="s">
        <v>143</v>
      </c>
      <c r="C22" s="45"/>
      <c r="D22" s="45"/>
      <c r="E22" s="45"/>
      <c r="F22" s="46"/>
      <c r="G22" s="64"/>
      <c r="H22" s="76" t="str">
        <f>IFERROR(__xludf.DUMMYFUNCTION("IFERROR(VLOOKUP(E22,IMPORTRANGE(""https://docs.google.com/spreadsheets/d/1xZyKy-UzMmtPDLpV5jQdYum1LtbR8XKDuasLSjmBRMI/edit#gid=1241094406"",""COMBINED DATA!E3:L""),8,0))"),"")</f>
        <v/>
      </c>
      <c r="I22" s="76"/>
      <c r="J22" s="65"/>
      <c r="K22" s="85"/>
      <c r="L22" s="85"/>
      <c r="M22" s="85"/>
      <c r="N22" s="85"/>
      <c r="O22" s="89"/>
      <c r="P22" s="89"/>
      <c r="Q22" s="89"/>
      <c r="R22" s="89"/>
      <c r="S22" s="89"/>
      <c r="T22" s="89"/>
      <c r="U22" s="89"/>
      <c r="V22" s="89"/>
      <c r="W22" s="89"/>
      <c r="X22" s="89"/>
      <c r="Y22" s="89"/>
    </row>
    <row r="23" ht="15.75" customHeight="1">
      <c r="A23" s="67" t="str">
        <f t="shared" ref="A23:A24" si="7">$B$22&amp;C23</f>
        <v>Reducer Elbow3⁄4 x 1⁄2</v>
      </c>
      <c r="B23" s="68">
        <v>1.0</v>
      </c>
      <c r="C23" s="110" t="s">
        <v>144</v>
      </c>
      <c r="D23" s="123" t="s">
        <v>145</v>
      </c>
      <c r="E23" s="111" t="s">
        <v>147</v>
      </c>
      <c r="F23" s="56">
        <v>29.8</v>
      </c>
      <c r="G23" s="76">
        <f>IFERROR(__xludf.DUMMYFUNCTION("ArrayFormula(IFERROR(VLOOKUP(E23,IMPORTRANGE(""https://docs.google.com/spreadsheets/d/1xZyKy-UzMmtPDLpV5jQdYum1LtbR8XKDuasLSjmBRMI/edit#gid=1241094406"",""COMBINED DATA!E3:L""),{7,8},0)))"),0.017)</f>
        <v>0.017</v>
      </c>
      <c r="H23" s="76">
        <f>IFERROR(__xludf.DUMMYFUNCTION("""COMPUTED_VALUE"""),0.0)</f>
        <v>0</v>
      </c>
      <c r="I23" s="76">
        <f t="shared" ref="I23:I24" si="8">G23+H23</f>
        <v>0.017</v>
      </c>
      <c r="J23" s="84">
        <f t="shared" ref="J23:J24" si="9">IFERROR(F23/I23,"")</f>
        <v>1752.941176</v>
      </c>
      <c r="K23" s="85"/>
      <c r="L23" s="85"/>
      <c r="M23" s="85"/>
      <c r="N23" s="85"/>
      <c r="O23" s="139"/>
      <c r="P23" s="89"/>
      <c r="Q23" s="89"/>
      <c r="R23" s="89"/>
      <c r="S23" s="89"/>
      <c r="T23" s="89"/>
      <c r="U23" s="89"/>
      <c r="V23" s="89"/>
      <c r="W23" s="89"/>
      <c r="X23" s="89"/>
      <c r="Y23" s="89"/>
    </row>
    <row r="24" ht="15.75" customHeight="1">
      <c r="A24" s="67" t="str">
        <f t="shared" si="7"/>
        <v>Reducer Elbow1 x 3⁄4</v>
      </c>
      <c r="B24" s="90">
        <v>2.0</v>
      </c>
      <c r="C24" s="127" t="s">
        <v>153</v>
      </c>
      <c r="D24" s="128" t="s">
        <v>155</v>
      </c>
      <c r="E24" s="112" t="s">
        <v>157</v>
      </c>
      <c r="F24" s="56">
        <v>78.0</v>
      </c>
      <c r="G24" s="76">
        <f>IFERROR(__xludf.DUMMYFUNCTION("ArrayFormula(IFERROR(VLOOKUP(E24,IMPORTRANGE(""https://docs.google.com/spreadsheets/d/1xZyKy-UzMmtPDLpV5jQdYum1LtbR8XKDuasLSjmBRMI/edit#gid=1241094406"",""COMBINED DATA!E3:L""),{7,8},0)))"),0.03025)</f>
        <v>0.03025</v>
      </c>
      <c r="H24" s="76">
        <f>IFERROR(__xludf.DUMMYFUNCTION("""COMPUTED_VALUE"""),0.0)</f>
        <v>0</v>
      </c>
      <c r="I24" s="76">
        <f t="shared" si="8"/>
        <v>0.03025</v>
      </c>
      <c r="J24" s="84">
        <f t="shared" si="9"/>
        <v>2578.512397</v>
      </c>
      <c r="K24" s="85"/>
      <c r="L24" s="85"/>
      <c r="M24" s="85"/>
      <c r="N24" s="85"/>
      <c r="O24" s="139"/>
      <c r="P24" s="89"/>
      <c r="Q24" s="89"/>
      <c r="R24" s="89"/>
      <c r="S24" s="89"/>
      <c r="T24" s="89"/>
      <c r="U24" s="89"/>
      <c r="V24" s="89"/>
      <c r="W24" s="89"/>
      <c r="X24" s="89"/>
      <c r="Y24" s="89"/>
    </row>
    <row r="25">
      <c r="A25" s="100"/>
      <c r="B25" s="102" t="s">
        <v>11</v>
      </c>
      <c r="C25" s="45"/>
      <c r="D25" s="45"/>
      <c r="E25" s="45"/>
      <c r="F25" s="103">
        <f>SUM(F23:F24)</f>
        <v>107.8</v>
      </c>
      <c r="G25" s="104"/>
      <c r="H25" s="76" t="str">
        <f>IFERROR(__xludf.DUMMYFUNCTION("IFERROR(VLOOKUP(E25,IMPORTRANGE(""https://docs.google.com/spreadsheets/d/1xZyKy-UzMmtPDLpV5jQdYum1LtbR8XKDuasLSjmBRMI/edit#gid=1241094406"",""COMBINED DATA!E3:L""),8,0))"),"")</f>
        <v/>
      </c>
      <c r="I25" s="76"/>
      <c r="J25" s="116"/>
      <c r="K25" s="85"/>
      <c r="L25" s="85"/>
      <c r="M25" s="85"/>
      <c r="N25" s="85"/>
      <c r="O25" s="89"/>
      <c r="P25" s="89"/>
      <c r="Q25" s="89"/>
      <c r="R25" s="89"/>
      <c r="S25" s="89"/>
      <c r="T25" s="89"/>
      <c r="U25" s="89"/>
      <c r="V25" s="89"/>
      <c r="W25" s="89"/>
      <c r="X25" s="89"/>
      <c r="Y25" s="89"/>
    </row>
    <row r="26" ht="5.25" customHeight="1">
      <c r="A26" s="34"/>
      <c r="B26" s="105"/>
      <c r="C26" s="105"/>
      <c r="D26" s="105"/>
      <c r="E26" s="106"/>
      <c r="F26" s="107"/>
      <c r="G26" s="64"/>
      <c r="H26" s="76" t="str">
        <f>IFERROR(__xludf.DUMMYFUNCTION("IFERROR(VLOOKUP(E26,IMPORTRANGE(""https://docs.google.com/spreadsheets/d/1xZyKy-UzMmtPDLpV5jQdYum1LtbR8XKDuasLSjmBRMI/edit#gid=1241094406"",""COMBINED DATA!E3:L""),8,0))"),"")</f>
        <v/>
      </c>
      <c r="I26" s="76"/>
      <c r="J26" s="65"/>
      <c r="K26" s="85"/>
      <c r="L26" s="85"/>
      <c r="M26" s="85"/>
      <c r="N26" s="85"/>
      <c r="O26" s="89"/>
      <c r="P26" s="89"/>
      <c r="Q26" s="89"/>
      <c r="R26" s="89"/>
      <c r="S26" s="89"/>
      <c r="T26" s="89"/>
      <c r="U26" s="89"/>
      <c r="V26" s="89"/>
      <c r="W26" s="89"/>
      <c r="X26" s="89"/>
      <c r="Y26" s="89"/>
    </row>
    <row r="27" ht="22.5" customHeight="1">
      <c r="A27" s="34"/>
      <c r="B27" s="62" t="s">
        <v>160</v>
      </c>
      <c r="C27" s="45"/>
      <c r="D27" s="45"/>
      <c r="E27" s="45"/>
      <c r="F27" s="46"/>
      <c r="G27" s="64"/>
      <c r="H27" s="76" t="str">
        <f>IFERROR(__xludf.DUMMYFUNCTION("IFERROR(VLOOKUP(E27,IMPORTRANGE(""https://docs.google.com/spreadsheets/d/1xZyKy-UzMmtPDLpV5jQdYum1LtbR8XKDuasLSjmBRMI/edit#gid=1241094406"",""COMBINED DATA!E3:L""),8,0))"),"")</f>
        <v/>
      </c>
      <c r="I27" s="76"/>
      <c r="J27" s="65"/>
      <c r="K27" s="85"/>
      <c r="L27" s="85"/>
      <c r="M27" s="85"/>
      <c r="N27" s="85"/>
      <c r="O27" s="89"/>
      <c r="P27" s="89"/>
      <c r="Q27" s="89"/>
      <c r="R27" s="89"/>
      <c r="S27" s="89"/>
      <c r="T27" s="89"/>
      <c r="U27" s="89"/>
      <c r="V27" s="89"/>
      <c r="W27" s="89"/>
      <c r="X27" s="89"/>
      <c r="Y27" s="89"/>
    </row>
    <row r="28" ht="15.75" customHeight="1">
      <c r="A28" s="67" t="str">
        <f t="shared" ref="A28:A32" si="10">$B$27&amp;C28</f>
        <v>Elbow 45⁰3⁄4</v>
      </c>
      <c r="B28" s="68">
        <v>1.0</v>
      </c>
      <c r="C28" s="70" t="s">
        <v>51</v>
      </c>
      <c r="D28" s="70">
        <v>20.0</v>
      </c>
      <c r="E28" s="129" t="s">
        <v>162</v>
      </c>
      <c r="F28" s="56">
        <v>27.8</v>
      </c>
      <c r="G28" s="76">
        <f>IFERROR(__xludf.DUMMYFUNCTION("ArrayFormula(IFERROR(VLOOKUP(E28,IMPORTRANGE(""https://docs.google.com/spreadsheets/d/1xZyKy-UzMmtPDLpV5jQdYum1LtbR8XKDuasLSjmBRMI/edit#gid=1241094406"",""COMBINED DATA!E3:L""),{7,8},0)))"),0.017)</f>
        <v>0.017</v>
      </c>
      <c r="H28" s="76">
        <f>IFERROR(__xludf.DUMMYFUNCTION("""COMPUTED_VALUE"""),0.0)</f>
        <v>0</v>
      </c>
      <c r="I28" s="76">
        <f t="shared" ref="I28:I32" si="11">G28+H28</f>
        <v>0.017</v>
      </c>
      <c r="J28" s="84">
        <f t="shared" ref="J28:J32" si="12">IFERROR(F28/I28,"")</f>
        <v>1635.294118</v>
      </c>
      <c r="K28" s="85"/>
      <c r="L28" s="85"/>
      <c r="M28" s="85"/>
      <c r="N28" s="85"/>
      <c r="O28" s="139"/>
      <c r="P28" s="89"/>
      <c r="Q28" s="89"/>
      <c r="R28" s="89"/>
      <c r="S28" s="89"/>
      <c r="T28" s="89"/>
      <c r="U28" s="89"/>
      <c r="V28" s="89"/>
      <c r="W28" s="89"/>
      <c r="X28" s="89"/>
      <c r="Y28" s="89"/>
    </row>
    <row r="29" ht="15.75" customHeight="1">
      <c r="A29" s="67" t="str">
        <f t="shared" si="10"/>
        <v>Elbow 45⁰1</v>
      </c>
      <c r="B29" s="90">
        <v>2.0</v>
      </c>
      <c r="C29" s="92" t="s">
        <v>84</v>
      </c>
      <c r="D29" s="92">
        <v>25.0</v>
      </c>
      <c r="E29" s="94" t="s">
        <v>164</v>
      </c>
      <c r="F29" s="56">
        <v>48.8</v>
      </c>
      <c r="G29" s="76">
        <f>IFERROR(__xludf.DUMMYFUNCTION("ArrayFormula(IFERROR(VLOOKUP(E29,IMPORTRANGE(""https://docs.google.com/spreadsheets/d/1xZyKy-UzMmtPDLpV5jQdYum1LtbR8XKDuasLSjmBRMI/edit#gid=1241094406"",""COMBINED DATA!E3:L""),{7,8},0)))"),0.029)</f>
        <v>0.029</v>
      </c>
      <c r="H29" s="76">
        <f>IFERROR(__xludf.DUMMYFUNCTION("""COMPUTED_VALUE"""),0.0)</f>
        <v>0</v>
      </c>
      <c r="I29" s="76">
        <f t="shared" si="11"/>
        <v>0.029</v>
      </c>
      <c r="J29" s="84">
        <f t="shared" si="12"/>
        <v>1682.758621</v>
      </c>
      <c r="K29" s="85"/>
      <c r="L29" s="85"/>
      <c r="M29" s="85"/>
      <c r="N29" s="85"/>
      <c r="O29" s="139"/>
      <c r="P29" s="89"/>
      <c r="Q29" s="89"/>
      <c r="R29" s="89"/>
      <c r="S29" s="89"/>
      <c r="T29" s="89"/>
      <c r="U29" s="89"/>
      <c r="V29" s="89"/>
      <c r="W29" s="89"/>
      <c r="X29" s="89"/>
      <c r="Y29" s="89"/>
    </row>
    <row r="30" ht="15.75" customHeight="1">
      <c r="A30" s="67" t="str">
        <f t="shared" si="10"/>
        <v>Elbow 45⁰1 1⁄4</v>
      </c>
      <c r="B30" s="90">
        <v>3.0</v>
      </c>
      <c r="C30" s="92" t="s">
        <v>55</v>
      </c>
      <c r="D30" s="92">
        <v>32.0</v>
      </c>
      <c r="E30" s="94" t="s">
        <v>166</v>
      </c>
      <c r="F30" s="56">
        <v>106.0</v>
      </c>
      <c r="G30" s="76">
        <f>IFERROR(__xludf.DUMMYFUNCTION("ArrayFormula(IFERROR(VLOOKUP(E30,IMPORTRANGE(""https://docs.google.com/spreadsheets/d/1xZyKy-UzMmtPDLpV5jQdYum1LtbR8XKDuasLSjmBRMI/edit#gid=1241094406"",""COMBINED DATA!E3:L""),{7,8},0)))"),0.046)</f>
        <v>0.046</v>
      </c>
      <c r="H30" s="76">
        <f>IFERROR(__xludf.DUMMYFUNCTION("""COMPUTED_VALUE"""),0.0)</f>
        <v>0</v>
      </c>
      <c r="I30" s="76">
        <f t="shared" si="11"/>
        <v>0.046</v>
      </c>
      <c r="J30" s="84">
        <f t="shared" si="12"/>
        <v>2304.347826</v>
      </c>
      <c r="K30" s="85"/>
      <c r="L30" s="85"/>
      <c r="M30" s="85"/>
      <c r="N30" s="85"/>
      <c r="O30" s="139"/>
      <c r="P30" s="89"/>
      <c r="Q30" s="89"/>
      <c r="R30" s="89"/>
      <c r="S30" s="89"/>
      <c r="T30" s="89"/>
      <c r="U30" s="89"/>
      <c r="V30" s="89"/>
      <c r="W30" s="89"/>
      <c r="X30" s="89"/>
      <c r="Y30" s="89"/>
    </row>
    <row r="31" ht="15.75" customHeight="1">
      <c r="A31" s="67" t="str">
        <f t="shared" si="10"/>
        <v>Elbow 45⁰1 1⁄2</v>
      </c>
      <c r="B31" s="90">
        <v>4.0</v>
      </c>
      <c r="C31" s="92" t="s">
        <v>56</v>
      </c>
      <c r="D31" s="92">
        <v>40.0</v>
      </c>
      <c r="E31" s="94" t="s">
        <v>168</v>
      </c>
      <c r="F31" s="56">
        <v>158.0</v>
      </c>
      <c r="G31" s="76">
        <f>IFERROR(__xludf.DUMMYFUNCTION("ArrayFormula(IFERROR(VLOOKUP(E31,IMPORTRANGE(""https://docs.google.com/spreadsheets/d/1xZyKy-UzMmtPDLpV5jQdYum1LtbR8XKDuasLSjmBRMI/edit#gid=1241094406"",""COMBINED DATA!E3:L""),{7,8},0)))"),0.078)</f>
        <v>0.078</v>
      </c>
      <c r="H31" s="76">
        <f>IFERROR(__xludf.DUMMYFUNCTION("""COMPUTED_VALUE"""),0.0)</f>
        <v>0</v>
      </c>
      <c r="I31" s="76">
        <f t="shared" si="11"/>
        <v>0.078</v>
      </c>
      <c r="J31" s="84">
        <f t="shared" si="12"/>
        <v>2025.641026</v>
      </c>
      <c r="K31" s="85"/>
      <c r="L31" s="85"/>
      <c r="M31" s="85"/>
      <c r="N31" s="85"/>
      <c r="O31" s="139"/>
      <c r="P31" s="89"/>
      <c r="Q31" s="89"/>
      <c r="R31" s="89"/>
      <c r="S31" s="89"/>
      <c r="T31" s="89"/>
      <c r="U31" s="89"/>
      <c r="V31" s="89"/>
      <c r="W31" s="89"/>
      <c r="X31" s="89"/>
      <c r="Y31" s="89"/>
    </row>
    <row r="32" ht="15.75" customHeight="1">
      <c r="A32" s="67" t="str">
        <f t="shared" si="10"/>
        <v>Elbow 45⁰2</v>
      </c>
      <c r="B32" s="90">
        <v>5.0</v>
      </c>
      <c r="C32" s="92" t="s">
        <v>107</v>
      </c>
      <c r="D32" s="92">
        <v>50.0</v>
      </c>
      <c r="E32" s="94" t="s">
        <v>169</v>
      </c>
      <c r="F32" s="56">
        <v>334.0</v>
      </c>
      <c r="G32" s="76">
        <f>IFERROR(__xludf.DUMMYFUNCTION("ArrayFormula(IFERROR(VLOOKUP(E32,IMPORTRANGE(""https://docs.google.com/spreadsheets/d/1xZyKy-UzMmtPDLpV5jQdYum1LtbR8XKDuasLSjmBRMI/edit#gid=1241094406"",""COMBINED DATA!E3:L""),{7,8},0)))"),0.161)</f>
        <v>0.161</v>
      </c>
      <c r="H32" s="76">
        <f>IFERROR(__xludf.DUMMYFUNCTION("""COMPUTED_VALUE"""),0.0)</f>
        <v>0</v>
      </c>
      <c r="I32" s="76">
        <f t="shared" si="11"/>
        <v>0.161</v>
      </c>
      <c r="J32" s="84">
        <f t="shared" si="12"/>
        <v>2074.534161</v>
      </c>
      <c r="K32" s="85"/>
      <c r="L32" s="85"/>
      <c r="M32" s="85"/>
      <c r="N32" s="85"/>
      <c r="O32" s="139"/>
      <c r="P32" s="89"/>
      <c r="Q32" s="89"/>
      <c r="R32" s="89"/>
      <c r="S32" s="89"/>
      <c r="T32" s="89"/>
      <c r="U32" s="89"/>
      <c r="V32" s="89"/>
      <c r="W32" s="89"/>
      <c r="X32" s="89"/>
      <c r="Y32" s="89"/>
    </row>
    <row r="33">
      <c r="A33" s="100"/>
      <c r="B33" s="102" t="s">
        <v>11</v>
      </c>
      <c r="C33" s="45"/>
      <c r="D33" s="45"/>
      <c r="E33" s="45"/>
      <c r="F33" s="103">
        <f>SUM(F28:F32)</f>
        <v>674.6</v>
      </c>
      <c r="G33" s="104"/>
      <c r="H33" s="76" t="str">
        <f>IFERROR(__xludf.DUMMYFUNCTION("IFERROR(VLOOKUP(E33,IMPORTRANGE(""https://docs.google.com/spreadsheets/d/1xZyKy-UzMmtPDLpV5jQdYum1LtbR8XKDuasLSjmBRMI/edit#gid=1241094406"",""COMBINED DATA!E3:L""),8,0))"),"")</f>
        <v/>
      </c>
      <c r="I33" s="76"/>
      <c r="J33" s="116"/>
      <c r="K33" s="85"/>
      <c r="L33" s="85"/>
      <c r="M33" s="85"/>
      <c r="N33" s="85"/>
      <c r="O33" s="89"/>
      <c r="P33" s="89"/>
      <c r="Q33" s="89"/>
      <c r="R33" s="89"/>
      <c r="S33" s="89"/>
      <c r="T33" s="89"/>
      <c r="U33" s="89"/>
      <c r="V33" s="89"/>
      <c r="W33" s="89"/>
      <c r="X33" s="89"/>
      <c r="Y33" s="89"/>
    </row>
    <row r="34" ht="6.0" customHeight="1">
      <c r="A34" s="34"/>
      <c r="B34" s="15"/>
      <c r="C34" s="15"/>
      <c r="D34" s="15"/>
      <c r="E34" s="17"/>
      <c r="F34" s="15"/>
      <c r="G34" s="64"/>
      <c r="H34" s="76" t="str">
        <f>IFERROR(__xludf.DUMMYFUNCTION("IFERROR(VLOOKUP(E34,IMPORTRANGE(""https://docs.google.com/spreadsheets/d/1xZyKy-UzMmtPDLpV5jQdYum1LtbR8XKDuasLSjmBRMI/edit#gid=1241094406"",""COMBINED DATA!E3:L""),8,0))"),"")</f>
        <v/>
      </c>
      <c r="I34" s="76"/>
      <c r="J34" s="65"/>
      <c r="K34" s="85"/>
      <c r="L34" s="85"/>
      <c r="M34" s="85"/>
      <c r="N34" s="85"/>
      <c r="O34" s="89"/>
      <c r="P34" s="89"/>
      <c r="Q34" s="89"/>
      <c r="R34" s="89"/>
      <c r="S34" s="89"/>
      <c r="T34" s="89"/>
      <c r="U34" s="89"/>
      <c r="V34" s="89"/>
      <c r="W34" s="89"/>
      <c r="X34" s="89"/>
      <c r="Y34" s="89"/>
    </row>
    <row r="35" ht="22.5" customHeight="1">
      <c r="A35" s="34"/>
      <c r="B35" s="62" t="s">
        <v>172</v>
      </c>
      <c r="C35" s="45"/>
      <c r="D35" s="45"/>
      <c r="E35" s="45"/>
      <c r="F35" s="46"/>
      <c r="G35" s="64"/>
      <c r="H35" s="76" t="str">
        <f>IFERROR(__xludf.DUMMYFUNCTION("IFERROR(VLOOKUP(E35,IMPORTRANGE(""https://docs.google.com/spreadsheets/d/1xZyKy-UzMmtPDLpV5jQdYum1LtbR8XKDuasLSjmBRMI/edit#gid=1241094406"",""COMBINED DATA!E3:L""),8,0))"),"")</f>
        <v/>
      </c>
      <c r="I35" s="76"/>
      <c r="J35" s="65"/>
      <c r="K35" s="85"/>
      <c r="L35" s="85"/>
      <c r="M35" s="85"/>
      <c r="N35" s="85"/>
      <c r="O35" s="89"/>
      <c r="P35" s="89"/>
      <c r="Q35" s="89"/>
      <c r="R35" s="89"/>
      <c r="S35" s="89"/>
      <c r="T35" s="89"/>
      <c r="U35" s="89"/>
      <c r="V35" s="89"/>
      <c r="W35" s="89"/>
      <c r="X35" s="89"/>
      <c r="Y35" s="89"/>
    </row>
    <row r="36" ht="15.75" customHeight="1">
      <c r="A36" s="67" t="str">
        <f t="shared" ref="A36:A41" si="13">$B$35&amp;C36</f>
        <v>Tee1⁄2</v>
      </c>
      <c r="B36" s="68">
        <v>1.0</v>
      </c>
      <c r="C36" s="110" t="s">
        <v>43</v>
      </c>
      <c r="D36" s="110">
        <v>15.0</v>
      </c>
      <c r="E36" s="111" t="s">
        <v>174</v>
      </c>
      <c r="F36" s="56">
        <v>23.8</v>
      </c>
      <c r="G36" s="76">
        <f>IFERROR(__xludf.DUMMYFUNCTION("ArrayFormula(IFERROR(VLOOKUP(E36,IMPORTRANGE(""https://docs.google.com/spreadsheets/d/1xZyKy-UzMmtPDLpV5jQdYum1LtbR8XKDuasLSjmBRMI/edit#gid=1241094406"",""COMBINED DATA!E3:L""),{7,8},0)))"),0.015)</f>
        <v>0.015</v>
      </c>
      <c r="H36" s="76">
        <f>IFERROR(__xludf.DUMMYFUNCTION("""COMPUTED_VALUE"""),0.0)</f>
        <v>0</v>
      </c>
      <c r="I36" s="76">
        <f t="shared" ref="I36:I41" si="14">G36+H36</f>
        <v>0.015</v>
      </c>
      <c r="J36" s="84">
        <f t="shared" ref="J36:J41" si="15">IFERROR(F36/I36,"")</f>
        <v>1586.666667</v>
      </c>
      <c r="K36" s="85"/>
      <c r="L36" s="85"/>
      <c r="M36" s="85"/>
      <c r="N36" s="85"/>
      <c r="O36" s="139"/>
      <c r="P36" s="89"/>
      <c r="Q36" s="89"/>
      <c r="R36" s="89"/>
      <c r="S36" s="89"/>
      <c r="T36" s="89"/>
      <c r="U36" s="89"/>
      <c r="V36" s="89"/>
      <c r="W36" s="89"/>
      <c r="X36" s="89"/>
      <c r="Y36" s="89"/>
    </row>
    <row r="37" ht="15.75" customHeight="1">
      <c r="A37" s="67" t="str">
        <f t="shared" si="13"/>
        <v>Tee3⁄4</v>
      </c>
      <c r="B37" s="90">
        <v>2.0</v>
      </c>
      <c r="C37" s="127" t="s">
        <v>51</v>
      </c>
      <c r="D37" s="127">
        <v>20.0</v>
      </c>
      <c r="E37" s="112" t="s">
        <v>176</v>
      </c>
      <c r="F37" s="56">
        <v>32.4</v>
      </c>
      <c r="G37" s="76">
        <f>IFERROR(__xludf.DUMMYFUNCTION("ArrayFormula(IFERROR(VLOOKUP(E37,IMPORTRANGE(""https://docs.google.com/spreadsheets/d/1xZyKy-UzMmtPDLpV5jQdYum1LtbR8XKDuasLSjmBRMI/edit#gid=1241094406"",""COMBINED DATA!E3:L""),{7,8},0)))"),0.029)</f>
        <v>0.029</v>
      </c>
      <c r="H37" s="76">
        <f>IFERROR(__xludf.DUMMYFUNCTION("""COMPUTED_VALUE"""),0.0)</f>
        <v>0</v>
      </c>
      <c r="I37" s="76">
        <f t="shared" si="14"/>
        <v>0.029</v>
      </c>
      <c r="J37" s="84">
        <f t="shared" si="15"/>
        <v>1117.241379</v>
      </c>
      <c r="K37" s="85"/>
      <c r="L37" s="85"/>
      <c r="M37" s="85"/>
      <c r="N37" s="85"/>
      <c r="O37" s="139"/>
      <c r="P37" s="89"/>
      <c r="Q37" s="89"/>
      <c r="R37" s="89"/>
      <c r="S37" s="89"/>
      <c r="T37" s="89"/>
      <c r="U37" s="89"/>
      <c r="V37" s="89"/>
      <c r="W37" s="89"/>
      <c r="X37" s="89"/>
      <c r="Y37" s="89"/>
    </row>
    <row r="38" ht="15.75" customHeight="1">
      <c r="A38" s="67" t="str">
        <f t="shared" si="13"/>
        <v>Tee1</v>
      </c>
      <c r="B38" s="90">
        <v>3.0</v>
      </c>
      <c r="C38" s="127" t="s">
        <v>84</v>
      </c>
      <c r="D38" s="127">
        <v>25.0</v>
      </c>
      <c r="E38" s="112" t="s">
        <v>178</v>
      </c>
      <c r="F38" s="56">
        <v>51.9</v>
      </c>
      <c r="G38" s="76">
        <f>IFERROR(__xludf.DUMMYFUNCTION("ArrayFormula(IFERROR(VLOOKUP(E38,IMPORTRANGE(""https://docs.google.com/spreadsheets/d/1xZyKy-UzMmtPDLpV5jQdYum1LtbR8XKDuasLSjmBRMI/edit#gid=1241094406"",""COMBINED DATA!E3:L""),{7,8},0)))"),0.0492)</f>
        <v>0.0492</v>
      </c>
      <c r="H38" s="76">
        <f>IFERROR(__xludf.DUMMYFUNCTION("""COMPUTED_VALUE"""),0.0)</f>
        <v>0</v>
      </c>
      <c r="I38" s="76">
        <f t="shared" si="14"/>
        <v>0.0492</v>
      </c>
      <c r="J38" s="84">
        <f t="shared" si="15"/>
        <v>1054.878049</v>
      </c>
      <c r="K38" s="85"/>
      <c r="L38" s="85"/>
      <c r="M38" s="85"/>
      <c r="N38" s="85"/>
      <c r="O38" s="139"/>
      <c r="P38" s="89"/>
      <c r="Q38" s="89"/>
      <c r="R38" s="89"/>
      <c r="S38" s="89"/>
      <c r="T38" s="89"/>
      <c r="U38" s="89"/>
      <c r="V38" s="89"/>
      <c r="W38" s="89"/>
      <c r="X38" s="89"/>
      <c r="Y38" s="89"/>
    </row>
    <row r="39" ht="15.75" customHeight="1">
      <c r="A39" s="67" t="str">
        <f t="shared" si="13"/>
        <v>Tee1 1⁄4</v>
      </c>
      <c r="B39" s="90">
        <v>4.0</v>
      </c>
      <c r="C39" s="127" t="s">
        <v>55</v>
      </c>
      <c r="D39" s="127">
        <v>32.0</v>
      </c>
      <c r="E39" s="112" t="s">
        <v>181</v>
      </c>
      <c r="F39" s="56">
        <v>112.0</v>
      </c>
      <c r="G39" s="76">
        <f>IFERROR(__xludf.DUMMYFUNCTION("ArrayFormula(IFERROR(VLOOKUP(E39,IMPORTRANGE(""https://docs.google.com/spreadsheets/d/1xZyKy-UzMmtPDLpV5jQdYum1LtbR8XKDuasLSjmBRMI/edit#gid=1241094406"",""COMBINED DATA!E3:L""),{7,8},0)))"),0.0873)</f>
        <v>0.0873</v>
      </c>
      <c r="H39" s="76">
        <f>IFERROR(__xludf.DUMMYFUNCTION("""COMPUTED_VALUE"""),0.0)</f>
        <v>0</v>
      </c>
      <c r="I39" s="76">
        <f t="shared" si="14"/>
        <v>0.0873</v>
      </c>
      <c r="J39" s="84">
        <f t="shared" si="15"/>
        <v>1282.932417</v>
      </c>
      <c r="K39" s="85"/>
      <c r="L39" s="85"/>
      <c r="M39" s="85"/>
      <c r="N39" s="85"/>
      <c r="O39" s="139"/>
      <c r="P39" s="89"/>
      <c r="Q39" s="89"/>
      <c r="R39" s="89"/>
      <c r="S39" s="89"/>
      <c r="T39" s="89"/>
      <c r="U39" s="89"/>
      <c r="V39" s="89"/>
      <c r="W39" s="89"/>
      <c r="X39" s="89"/>
      <c r="Y39" s="89"/>
    </row>
    <row r="40" ht="15.75" customHeight="1">
      <c r="A40" s="67" t="str">
        <f t="shared" si="13"/>
        <v>Tee1 1⁄2</v>
      </c>
      <c r="B40" s="90">
        <v>5.0</v>
      </c>
      <c r="C40" s="127" t="s">
        <v>56</v>
      </c>
      <c r="D40" s="127">
        <v>40.0</v>
      </c>
      <c r="E40" s="112" t="s">
        <v>182</v>
      </c>
      <c r="F40" s="56">
        <v>204.0</v>
      </c>
      <c r="G40" s="76">
        <f>IFERROR(__xludf.DUMMYFUNCTION("ArrayFormula(IFERROR(VLOOKUP(E40,IMPORTRANGE(""https://docs.google.com/spreadsheets/d/1xZyKy-UzMmtPDLpV5jQdYum1LtbR8XKDuasLSjmBRMI/edit#gid=1241094406"",""COMBINED DATA!E3:L""),{7,8},0)))"),0.14545)</f>
        <v>0.14545</v>
      </c>
      <c r="H40" s="76">
        <f>IFERROR(__xludf.DUMMYFUNCTION("""COMPUTED_VALUE"""),0.0)</f>
        <v>0</v>
      </c>
      <c r="I40" s="76">
        <f t="shared" si="14"/>
        <v>0.14545</v>
      </c>
      <c r="J40" s="84">
        <f t="shared" si="15"/>
        <v>1402.543829</v>
      </c>
      <c r="K40" s="85"/>
      <c r="L40" s="85"/>
      <c r="M40" s="85"/>
      <c r="N40" s="85"/>
      <c r="O40" s="139"/>
      <c r="P40" s="89"/>
      <c r="Q40" s="89"/>
      <c r="R40" s="89"/>
      <c r="S40" s="89"/>
      <c r="T40" s="89"/>
      <c r="U40" s="89"/>
      <c r="V40" s="89"/>
      <c r="W40" s="89"/>
      <c r="X40" s="89"/>
      <c r="Y40" s="89"/>
    </row>
    <row r="41" ht="15.75" customHeight="1">
      <c r="A41" s="67" t="str">
        <f t="shared" si="13"/>
        <v>Tee2</v>
      </c>
      <c r="B41" s="90">
        <v>6.0</v>
      </c>
      <c r="C41" s="127" t="s">
        <v>107</v>
      </c>
      <c r="D41" s="127">
        <v>50.0</v>
      </c>
      <c r="E41" s="112" t="s">
        <v>184</v>
      </c>
      <c r="F41" s="56">
        <v>418.0</v>
      </c>
      <c r="G41" s="76">
        <f>IFERROR(__xludf.DUMMYFUNCTION("ArrayFormula(IFERROR(VLOOKUP(E41,IMPORTRANGE(""https://docs.google.com/spreadsheets/d/1xZyKy-UzMmtPDLpV5jQdYum1LtbR8XKDuasLSjmBRMI/edit#gid=1241094406"",""COMBINED DATA!E3:L""),{7,8},0)))"),0.262)</f>
        <v>0.262</v>
      </c>
      <c r="H41" s="76">
        <f>IFERROR(__xludf.DUMMYFUNCTION("""COMPUTED_VALUE"""),0.0)</f>
        <v>0</v>
      </c>
      <c r="I41" s="76">
        <f t="shared" si="14"/>
        <v>0.262</v>
      </c>
      <c r="J41" s="84">
        <f t="shared" si="15"/>
        <v>1595.419847</v>
      </c>
      <c r="K41" s="85"/>
      <c r="L41" s="85"/>
      <c r="M41" s="85"/>
      <c r="N41" s="85"/>
      <c r="O41" s="139"/>
      <c r="P41" s="89"/>
      <c r="Q41" s="89"/>
      <c r="R41" s="89"/>
      <c r="S41" s="89"/>
      <c r="T41" s="89"/>
      <c r="U41" s="89"/>
      <c r="V41" s="89"/>
      <c r="W41" s="89"/>
      <c r="X41" s="89"/>
      <c r="Y41" s="89"/>
    </row>
    <row r="42">
      <c r="A42" s="100"/>
      <c r="B42" s="102" t="s">
        <v>11</v>
      </c>
      <c r="C42" s="45"/>
      <c r="D42" s="45"/>
      <c r="E42" s="46"/>
      <c r="F42" s="103">
        <f>SUM(F36:F41)</f>
        <v>842.1</v>
      </c>
      <c r="G42" s="104"/>
      <c r="H42" s="76" t="str">
        <f>IFERROR(__xludf.DUMMYFUNCTION("IFERROR(VLOOKUP(E42,IMPORTRANGE(""https://docs.google.com/spreadsheets/d/1xZyKy-UzMmtPDLpV5jQdYum1LtbR8XKDuasLSjmBRMI/edit#gid=1241094406"",""COMBINED DATA!E3:L""),8,0))"),"")</f>
        <v/>
      </c>
      <c r="I42" s="76"/>
      <c r="J42" s="116"/>
      <c r="K42" s="85"/>
      <c r="L42" s="85"/>
      <c r="M42" s="85"/>
      <c r="N42" s="85"/>
      <c r="O42" s="89"/>
      <c r="P42" s="89"/>
      <c r="Q42" s="89"/>
      <c r="R42" s="89"/>
      <c r="S42" s="89"/>
      <c r="T42" s="89"/>
      <c r="U42" s="89"/>
      <c r="V42" s="89"/>
      <c r="W42" s="89"/>
      <c r="X42" s="89"/>
      <c r="Y42" s="89"/>
    </row>
    <row r="43" ht="5.25" customHeight="1">
      <c r="A43" s="34"/>
      <c r="B43" s="105"/>
      <c r="C43" s="105"/>
      <c r="D43" s="105"/>
      <c r="E43" s="106"/>
      <c r="F43" s="107"/>
      <c r="G43" s="64"/>
      <c r="H43" s="76" t="str">
        <f>IFERROR(__xludf.DUMMYFUNCTION("IFERROR(VLOOKUP(E43,IMPORTRANGE(""https://docs.google.com/spreadsheets/d/1xZyKy-UzMmtPDLpV5jQdYum1LtbR8XKDuasLSjmBRMI/edit#gid=1241094406"",""COMBINED DATA!E3:L""),8,0))"),"")</f>
        <v/>
      </c>
      <c r="I43" s="76"/>
      <c r="J43" s="65"/>
      <c r="K43" s="85"/>
      <c r="L43" s="85"/>
      <c r="M43" s="85"/>
      <c r="N43" s="85"/>
      <c r="O43" s="89"/>
      <c r="P43" s="89"/>
      <c r="Q43" s="89"/>
      <c r="R43" s="89"/>
      <c r="S43" s="89"/>
      <c r="T43" s="89"/>
      <c r="U43" s="89"/>
      <c r="V43" s="89"/>
      <c r="W43" s="89"/>
      <c r="X43" s="89"/>
      <c r="Y43" s="89"/>
    </row>
    <row r="44" ht="22.5" customHeight="1">
      <c r="A44" s="34"/>
      <c r="B44" s="62" t="s">
        <v>187</v>
      </c>
      <c r="C44" s="45"/>
      <c r="D44" s="45"/>
      <c r="E44" s="45"/>
      <c r="F44" s="46"/>
      <c r="G44" s="64"/>
      <c r="H44" s="76" t="str">
        <f>IFERROR(__xludf.DUMMYFUNCTION("IFERROR(VLOOKUP(E44,IMPORTRANGE(""https://docs.google.com/spreadsheets/d/1xZyKy-UzMmtPDLpV5jQdYum1LtbR8XKDuasLSjmBRMI/edit#gid=1241094406"",""COMBINED DATA!E3:L""),8,0))"),"")</f>
        <v/>
      </c>
      <c r="I44" s="76"/>
      <c r="J44" s="65"/>
      <c r="K44" s="85"/>
      <c r="L44" s="85"/>
      <c r="M44" s="85"/>
      <c r="N44" s="85"/>
      <c r="O44" s="89"/>
      <c r="P44" s="89"/>
      <c r="Q44" s="89"/>
      <c r="R44" s="89"/>
      <c r="S44" s="89"/>
      <c r="T44" s="89"/>
      <c r="U44" s="89"/>
      <c r="V44" s="89"/>
      <c r="W44" s="89"/>
      <c r="X44" s="89"/>
      <c r="Y44" s="89"/>
    </row>
    <row r="45" ht="15.75" customHeight="1">
      <c r="A45" s="67" t="str">
        <f t="shared" ref="A45:A47" si="16">$B$44&amp;C45</f>
        <v>Tee (SCH-80)2 1⁄2</v>
      </c>
      <c r="B45" s="68">
        <v>1.0</v>
      </c>
      <c r="C45" s="110" t="s">
        <v>69</v>
      </c>
      <c r="D45" s="110">
        <v>65.0</v>
      </c>
      <c r="E45" s="130" t="s">
        <v>189</v>
      </c>
      <c r="F45" s="56">
        <v>1360.0</v>
      </c>
      <c r="G45" s="76">
        <f>IFERROR(__xludf.DUMMYFUNCTION("ArrayFormula(IFERROR(VLOOKUP(E45,IMPORTRANGE(""https://docs.google.com/spreadsheets/d/1xZyKy-UzMmtPDLpV5jQdYum1LtbR8XKDuasLSjmBRMI/edit#gid=1241094406"",""COMBINED DATA!E3:L""),{7,8},0)))"),0.687)</f>
        <v>0.687</v>
      </c>
      <c r="H45" s="76">
        <f>IFERROR(__xludf.DUMMYFUNCTION("""COMPUTED_VALUE"""),0.0)</f>
        <v>0</v>
      </c>
      <c r="I45" s="76">
        <f t="shared" ref="I45:I47" si="17">G45+H45</f>
        <v>0.687</v>
      </c>
      <c r="J45" s="84">
        <f t="shared" ref="J45:J47" si="18">IFERROR(F45/I45,"")</f>
        <v>1979.621543</v>
      </c>
      <c r="K45" s="85"/>
      <c r="L45" s="85"/>
      <c r="M45" s="85"/>
      <c r="N45" s="85"/>
      <c r="O45" s="139"/>
      <c r="P45" s="89"/>
      <c r="Q45" s="89"/>
      <c r="R45" s="89"/>
      <c r="S45" s="89"/>
      <c r="T45" s="89"/>
      <c r="U45" s="89"/>
      <c r="V45" s="89"/>
      <c r="W45" s="89"/>
      <c r="X45" s="89"/>
      <c r="Y45" s="89"/>
    </row>
    <row r="46" ht="15.75" customHeight="1">
      <c r="A46" s="67" t="str">
        <f t="shared" si="16"/>
        <v>Tee (SCH-80)3</v>
      </c>
      <c r="B46" s="90">
        <v>2.0</v>
      </c>
      <c r="C46" s="127">
        <v>3.0</v>
      </c>
      <c r="D46" s="127">
        <v>80.0</v>
      </c>
      <c r="E46" s="130" t="s">
        <v>192</v>
      </c>
      <c r="F46" s="56">
        <v>1980.0</v>
      </c>
      <c r="G46" s="76">
        <f>IFERROR(__xludf.DUMMYFUNCTION("ArrayFormula(IFERROR(VLOOKUP(E46,IMPORTRANGE(""https://docs.google.com/spreadsheets/d/1xZyKy-UzMmtPDLpV5jQdYum1LtbR8XKDuasLSjmBRMI/edit#gid=1241094406"",""COMBINED DATA!E3:L""),{7,8},0)))"),1.0735999999999999)</f>
        <v>1.0736</v>
      </c>
      <c r="H46" s="76">
        <f>IFERROR(__xludf.DUMMYFUNCTION("""COMPUTED_VALUE"""),0.0)</f>
        <v>0</v>
      </c>
      <c r="I46" s="76">
        <f t="shared" si="17"/>
        <v>1.0736</v>
      </c>
      <c r="J46" s="84">
        <f t="shared" si="18"/>
        <v>1844.262295</v>
      </c>
      <c r="K46" s="85"/>
      <c r="L46" s="85"/>
      <c r="M46" s="85"/>
      <c r="N46" s="85"/>
      <c r="O46" s="139"/>
      <c r="P46" s="89"/>
      <c r="Q46" s="89"/>
      <c r="R46" s="89"/>
      <c r="S46" s="89"/>
      <c r="T46" s="89"/>
      <c r="U46" s="89"/>
      <c r="V46" s="89"/>
      <c r="W46" s="89"/>
      <c r="X46" s="89"/>
      <c r="Y46" s="89"/>
    </row>
    <row r="47" ht="15.75" customHeight="1">
      <c r="A47" s="67" t="str">
        <f t="shared" si="16"/>
        <v>Tee (SCH-80)4</v>
      </c>
      <c r="B47" s="90">
        <v>3.0</v>
      </c>
      <c r="C47" s="127">
        <v>4.0</v>
      </c>
      <c r="D47" s="127">
        <v>100.0</v>
      </c>
      <c r="E47" s="130" t="s">
        <v>194</v>
      </c>
      <c r="F47" s="56">
        <v>3240.0</v>
      </c>
      <c r="G47" s="76">
        <f>IFERROR(__xludf.DUMMYFUNCTION("ArrayFormula(IFERROR(VLOOKUP(E47,IMPORTRANGE(""https://docs.google.com/spreadsheets/d/1xZyKy-UzMmtPDLpV5jQdYum1LtbR8XKDuasLSjmBRMI/edit#gid=1241094406"",""COMBINED DATA!E3:L""),{7,8},0)))"),1.723)</f>
        <v>1.723</v>
      </c>
      <c r="H47" s="76">
        <f>IFERROR(__xludf.DUMMYFUNCTION("""COMPUTED_VALUE"""),0.0)</f>
        <v>0</v>
      </c>
      <c r="I47" s="76">
        <f t="shared" si="17"/>
        <v>1.723</v>
      </c>
      <c r="J47" s="84">
        <f t="shared" si="18"/>
        <v>1880.441091</v>
      </c>
      <c r="K47" s="85"/>
      <c r="L47" s="85"/>
      <c r="M47" s="85"/>
      <c r="N47" s="85"/>
      <c r="O47" s="139"/>
      <c r="P47" s="89"/>
      <c r="Q47" s="89"/>
      <c r="R47" s="89"/>
      <c r="S47" s="89"/>
      <c r="T47" s="89"/>
      <c r="U47" s="89"/>
      <c r="V47" s="89"/>
      <c r="W47" s="89"/>
      <c r="X47" s="89"/>
      <c r="Y47" s="89"/>
    </row>
    <row r="48">
      <c r="A48" s="100"/>
      <c r="B48" s="102" t="s">
        <v>11</v>
      </c>
      <c r="C48" s="45"/>
      <c r="D48" s="45"/>
      <c r="E48" s="46"/>
      <c r="F48" s="131">
        <f>SUM(F45:F47)</f>
        <v>6580</v>
      </c>
      <c r="G48" s="104"/>
      <c r="H48" s="76" t="str">
        <f>IFERROR(__xludf.DUMMYFUNCTION("IFERROR(VLOOKUP(E48,IMPORTRANGE(""https://docs.google.com/spreadsheets/d/1xZyKy-UzMmtPDLpV5jQdYum1LtbR8XKDuasLSjmBRMI/edit#gid=1241094406"",""COMBINED DATA!E3:L""),8,0))"),"")</f>
        <v/>
      </c>
      <c r="I48" s="76"/>
      <c r="J48" s="116"/>
      <c r="K48" s="85"/>
      <c r="L48" s="85"/>
      <c r="M48" s="85"/>
      <c r="N48" s="85"/>
      <c r="O48" s="89"/>
      <c r="P48" s="89"/>
      <c r="Q48" s="89"/>
      <c r="R48" s="89"/>
      <c r="S48" s="89"/>
      <c r="T48" s="89"/>
      <c r="U48" s="89"/>
      <c r="V48" s="89"/>
      <c r="W48" s="89"/>
      <c r="X48" s="89"/>
      <c r="Y48" s="89"/>
    </row>
    <row r="49" ht="6.0" customHeight="1">
      <c r="A49" s="34"/>
      <c r="B49" s="105"/>
      <c r="C49" s="105"/>
      <c r="D49" s="105"/>
      <c r="E49" s="106"/>
      <c r="F49" s="107"/>
      <c r="G49" s="64"/>
      <c r="H49" s="76" t="str">
        <f>IFERROR(__xludf.DUMMYFUNCTION("IFERROR(VLOOKUP(E49,IMPORTRANGE(""https://docs.google.com/spreadsheets/d/1xZyKy-UzMmtPDLpV5jQdYum1LtbR8XKDuasLSjmBRMI/edit#gid=1241094406"",""COMBINED DATA!E3:L""),8,0))"),"")</f>
        <v/>
      </c>
      <c r="I49" s="76"/>
      <c r="J49" s="65"/>
      <c r="K49" s="85"/>
      <c r="L49" s="85"/>
      <c r="M49" s="85"/>
      <c r="N49" s="85"/>
      <c r="O49" s="89"/>
      <c r="P49" s="89"/>
      <c r="Q49" s="89"/>
      <c r="R49" s="89"/>
      <c r="S49" s="89"/>
      <c r="T49" s="89"/>
      <c r="U49" s="89"/>
      <c r="V49" s="89"/>
      <c r="W49" s="89"/>
      <c r="X49" s="89"/>
      <c r="Y49" s="89"/>
    </row>
    <row r="50" ht="22.5" customHeight="1">
      <c r="A50" s="34"/>
      <c r="B50" s="62" t="s">
        <v>198</v>
      </c>
      <c r="C50" s="45"/>
      <c r="D50" s="45"/>
      <c r="E50" s="45"/>
      <c r="F50" s="46"/>
      <c r="G50" s="64"/>
      <c r="H50" s="76" t="str">
        <f>IFERROR(__xludf.DUMMYFUNCTION("IFERROR(VLOOKUP(E50,IMPORTRANGE(""https://docs.google.com/spreadsheets/d/1xZyKy-UzMmtPDLpV5jQdYum1LtbR8XKDuasLSjmBRMI/edit#gid=1241094406"",""COMBINED DATA!E3:L""),8,0))"),"")</f>
        <v/>
      </c>
      <c r="I50" s="76"/>
      <c r="J50" s="65"/>
      <c r="K50" s="85"/>
      <c r="L50" s="85"/>
      <c r="M50" s="85"/>
      <c r="N50" s="85"/>
      <c r="O50" s="89"/>
      <c r="P50" s="89"/>
      <c r="Q50" s="89"/>
      <c r="R50" s="89"/>
      <c r="S50" s="89"/>
      <c r="T50" s="89"/>
      <c r="U50" s="89"/>
      <c r="V50" s="89"/>
      <c r="W50" s="89"/>
      <c r="X50" s="89"/>
      <c r="Y50" s="89"/>
    </row>
    <row r="51" ht="15.75" customHeight="1">
      <c r="A51" s="67" t="str">
        <f>$B$50&amp;C51</f>
        <v>Tee (SCH-40)6</v>
      </c>
      <c r="B51" s="68">
        <v>1.0</v>
      </c>
      <c r="C51" s="110">
        <v>6.0</v>
      </c>
      <c r="D51" s="110">
        <v>150.0</v>
      </c>
      <c r="E51" s="111" t="s">
        <v>199</v>
      </c>
      <c r="F51" s="56">
        <v>5240.0</v>
      </c>
      <c r="G51" s="76">
        <f>IFERROR(__xludf.DUMMYFUNCTION("ArrayFormula(IFERROR(VLOOKUP(E51,IMPORTRANGE(""https://docs.google.com/spreadsheets/d/1xZyKy-UzMmtPDLpV5jQdYum1LtbR8XKDuasLSjmBRMI/edit#gid=1241094406"",""COMBINED DATA!E3:L""),{7,8},0)))"),2.445)</f>
        <v>2.445</v>
      </c>
      <c r="H51" s="76">
        <f>IFERROR(__xludf.DUMMYFUNCTION("""COMPUTED_VALUE"""),0.0)</f>
        <v>0</v>
      </c>
      <c r="I51" s="76">
        <f>G51+H51</f>
        <v>2.445</v>
      </c>
      <c r="J51" s="84">
        <f>IFERROR(F51/I51,"")</f>
        <v>2143.149284</v>
      </c>
      <c r="K51" s="85"/>
      <c r="L51" s="85"/>
      <c r="M51" s="85"/>
      <c r="N51" s="85"/>
      <c r="O51" s="139"/>
      <c r="P51" s="89"/>
      <c r="Q51" s="89"/>
      <c r="R51" s="89"/>
      <c r="S51" s="89"/>
      <c r="T51" s="89"/>
      <c r="U51" s="89"/>
      <c r="V51" s="89"/>
      <c r="W51" s="89"/>
      <c r="X51" s="89"/>
      <c r="Y51" s="89"/>
    </row>
    <row r="52" ht="6.0" customHeight="1">
      <c r="A52" s="34"/>
      <c r="B52" s="119"/>
      <c r="C52" s="120"/>
      <c r="D52" s="120"/>
      <c r="E52" s="121"/>
      <c r="F52" s="107"/>
      <c r="G52" s="64"/>
      <c r="H52" s="76" t="str">
        <f>IFERROR(__xludf.DUMMYFUNCTION("IFERROR(VLOOKUP(E52,IMPORTRANGE(""https://docs.google.com/spreadsheets/d/1xZyKy-UzMmtPDLpV5jQdYum1LtbR8XKDuasLSjmBRMI/edit#gid=1241094406"",""COMBINED DATA!E3:L""),8,0))"),"")</f>
        <v/>
      </c>
      <c r="I52" s="76"/>
      <c r="J52" s="65"/>
      <c r="K52" s="85"/>
      <c r="L52" s="85"/>
      <c r="M52" s="85"/>
      <c r="N52" s="85"/>
      <c r="O52" s="89"/>
      <c r="P52" s="89"/>
      <c r="Q52" s="89"/>
      <c r="R52" s="89"/>
      <c r="S52" s="89"/>
      <c r="T52" s="89"/>
      <c r="U52" s="89"/>
      <c r="V52" s="89"/>
      <c r="W52" s="89"/>
      <c r="X52" s="89"/>
      <c r="Y52" s="89"/>
    </row>
    <row r="53" ht="22.5" customHeight="1">
      <c r="A53" s="34"/>
      <c r="B53" s="62" t="s">
        <v>202</v>
      </c>
      <c r="C53" s="45"/>
      <c r="D53" s="45"/>
      <c r="E53" s="45"/>
      <c r="F53" s="46"/>
      <c r="G53" s="64"/>
      <c r="H53" s="76" t="str">
        <f>IFERROR(__xludf.DUMMYFUNCTION("IFERROR(VLOOKUP(E53,IMPORTRANGE(""https://docs.google.com/spreadsheets/d/1xZyKy-UzMmtPDLpV5jQdYum1LtbR8XKDuasLSjmBRMI/edit#gid=1241094406"",""COMBINED DATA!E3:L""),8,0))"),"")</f>
        <v/>
      </c>
      <c r="I53" s="76"/>
      <c r="J53" s="65"/>
      <c r="K53" s="85"/>
      <c r="L53" s="85"/>
      <c r="M53" s="85"/>
      <c r="N53" s="85"/>
      <c r="O53" s="89"/>
      <c r="P53" s="89"/>
      <c r="Q53" s="89"/>
      <c r="R53" s="89"/>
      <c r="S53" s="89"/>
      <c r="T53" s="89"/>
      <c r="U53" s="89"/>
      <c r="V53" s="89"/>
      <c r="W53" s="89"/>
      <c r="X53" s="89"/>
      <c r="Y53" s="89"/>
    </row>
    <row r="54" ht="15.75" customHeight="1">
      <c r="A54" s="67" t="str">
        <f t="shared" ref="A54:A64" si="19">$B$53&amp;C54</f>
        <v>Reducer Tee3⁄4 x 3⁄4 x 1⁄2</v>
      </c>
      <c r="B54" s="68">
        <v>1.0</v>
      </c>
      <c r="C54" s="132" t="s">
        <v>204</v>
      </c>
      <c r="D54" s="132" t="s">
        <v>205</v>
      </c>
      <c r="E54" s="111" t="s">
        <v>206</v>
      </c>
      <c r="F54" s="56">
        <v>46.0</v>
      </c>
      <c r="G54" s="76">
        <f>IFERROR(__xludf.DUMMYFUNCTION("ArrayFormula(IFERROR(VLOOKUP(E54,IMPORTRANGE(""https://docs.google.com/spreadsheets/d/1xZyKy-UzMmtPDLpV5jQdYum1LtbR8XKDuasLSjmBRMI/edit#gid=1241094406"",""COMBINED DATA!E3:L""),{7,8},0)))"),0.02)</f>
        <v>0.02</v>
      </c>
      <c r="H54" s="76">
        <f>IFERROR(__xludf.DUMMYFUNCTION("""COMPUTED_VALUE"""),0.0)</f>
        <v>0</v>
      </c>
      <c r="I54" s="76">
        <f t="shared" ref="I54:I64" si="20">G54+H54</f>
        <v>0.02</v>
      </c>
      <c r="J54" s="84">
        <f t="shared" ref="J54:J64" si="21">IFERROR(F54/I54,"")</f>
        <v>2300</v>
      </c>
      <c r="K54" s="85"/>
      <c r="L54" s="85"/>
      <c r="M54" s="85"/>
      <c r="N54" s="85"/>
      <c r="O54" s="88"/>
      <c r="P54" s="89"/>
      <c r="Q54" s="89"/>
      <c r="R54" s="89"/>
      <c r="S54" s="89"/>
      <c r="T54" s="89"/>
      <c r="U54" s="89"/>
      <c r="V54" s="89"/>
      <c r="W54" s="89"/>
      <c r="X54" s="89"/>
      <c r="Y54" s="89"/>
    </row>
    <row r="55" ht="15.75" customHeight="1">
      <c r="A55" s="67" t="str">
        <f t="shared" si="19"/>
        <v>Reducer Tee1 x 1 x 3⁄4</v>
      </c>
      <c r="B55" s="90">
        <v>2.0</v>
      </c>
      <c r="C55" s="133" t="s">
        <v>209</v>
      </c>
      <c r="D55" s="133" t="s">
        <v>210</v>
      </c>
      <c r="E55" s="112" t="s">
        <v>211</v>
      </c>
      <c r="F55" s="56">
        <v>88.0</v>
      </c>
      <c r="G55" s="76">
        <f>IFERROR(__xludf.DUMMYFUNCTION("ArrayFormula(IFERROR(VLOOKUP(E55,IMPORTRANGE(""https://docs.google.com/spreadsheets/d/1xZyKy-UzMmtPDLpV5jQdYum1LtbR8XKDuasLSjmBRMI/edit#gid=1241094406"",""COMBINED DATA!E3:L""),{7,8},0)))"),0.039)</f>
        <v>0.039</v>
      </c>
      <c r="H55" s="76">
        <f>IFERROR(__xludf.DUMMYFUNCTION("""COMPUTED_VALUE"""),0.0)</f>
        <v>0</v>
      </c>
      <c r="I55" s="76">
        <f t="shared" si="20"/>
        <v>0.039</v>
      </c>
      <c r="J55" s="84">
        <f t="shared" si="21"/>
        <v>2256.410256</v>
      </c>
      <c r="K55" s="85"/>
      <c r="L55" s="85"/>
      <c r="M55" s="85"/>
      <c r="N55" s="85"/>
      <c r="O55" s="88"/>
      <c r="P55" s="89"/>
      <c r="Q55" s="89"/>
      <c r="R55" s="89"/>
      <c r="S55" s="89"/>
      <c r="T55" s="89"/>
      <c r="U55" s="89"/>
      <c r="V55" s="89"/>
      <c r="W55" s="89"/>
      <c r="X55" s="89"/>
      <c r="Y55" s="89"/>
    </row>
    <row r="56" ht="15.75" customHeight="1">
      <c r="A56" s="67" t="str">
        <f t="shared" si="19"/>
        <v>Reducer Tee1 1⁄4 x 1 1⁄4 x 3⁄4</v>
      </c>
      <c r="B56" s="90">
        <v>3.0</v>
      </c>
      <c r="C56" s="133" t="s">
        <v>213</v>
      </c>
      <c r="D56" s="133" t="s">
        <v>214</v>
      </c>
      <c r="E56" s="112" t="s">
        <v>215</v>
      </c>
      <c r="F56" s="56">
        <v>168.0</v>
      </c>
      <c r="G56" s="76">
        <f>IFERROR(__xludf.DUMMYFUNCTION("ArrayFormula(IFERROR(VLOOKUP(E56,IMPORTRANGE(""https://docs.google.com/spreadsheets/d/1xZyKy-UzMmtPDLpV5jQdYum1LtbR8XKDuasLSjmBRMI/edit#gid=1241094406"",""COMBINED DATA!E3:L""),{7,8},0)))"),0.05995)</f>
        <v>0.05995</v>
      </c>
      <c r="H56" s="76">
        <f>IFERROR(__xludf.DUMMYFUNCTION("""COMPUTED_VALUE"""),0.0)</f>
        <v>0</v>
      </c>
      <c r="I56" s="76">
        <f t="shared" si="20"/>
        <v>0.05995</v>
      </c>
      <c r="J56" s="84">
        <f t="shared" si="21"/>
        <v>2802.335279</v>
      </c>
      <c r="K56" s="85"/>
      <c r="L56" s="85"/>
      <c r="M56" s="85"/>
      <c r="N56" s="85"/>
      <c r="O56" s="88"/>
      <c r="P56" s="89"/>
      <c r="Q56" s="89"/>
      <c r="R56" s="89"/>
      <c r="S56" s="89"/>
      <c r="T56" s="89"/>
      <c r="U56" s="89"/>
      <c r="V56" s="89"/>
      <c r="W56" s="89"/>
      <c r="X56" s="89"/>
      <c r="Y56" s="89"/>
    </row>
    <row r="57" ht="15.75" customHeight="1">
      <c r="A57" s="67" t="str">
        <f t="shared" si="19"/>
        <v>Reducer Tee1 1⁄4 x 1 1⁄4 x 1</v>
      </c>
      <c r="B57" s="90">
        <v>4.0</v>
      </c>
      <c r="C57" s="133" t="s">
        <v>216</v>
      </c>
      <c r="D57" s="133" t="s">
        <v>217</v>
      </c>
      <c r="E57" s="112" t="s">
        <v>218</v>
      </c>
      <c r="F57" s="56">
        <v>136.0</v>
      </c>
      <c r="G57" s="76">
        <f>IFERROR(__xludf.DUMMYFUNCTION("ArrayFormula(IFERROR(VLOOKUP(E57,IMPORTRANGE(""https://docs.google.com/spreadsheets/d/1xZyKy-UzMmtPDLpV5jQdYum1LtbR8XKDuasLSjmBRMI/edit#gid=1241094406"",""COMBINED DATA!E3:L""),{7,8},0)))"),0.0658)</f>
        <v>0.0658</v>
      </c>
      <c r="H57" s="76">
        <f>IFERROR(__xludf.DUMMYFUNCTION("""COMPUTED_VALUE"""),0.0)</f>
        <v>0</v>
      </c>
      <c r="I57" s="76">
        <f t="shared" si="20"/>
        <v>0.0658</v>
      </c>
      <c r="J57" s="84">
        <f t="shared" si="21"/>
        <v>2066.869301</v>
      </c>
      <c r="K57" s="85"/>
      <c r="L57" s="85"/>
      <c r="M57" s="85"/>
      <c r="N57" s="85"/>
      <c r="O57" s="88"/>
      <c r="P57" s="89"/>
      <c r="Q57" s="89"/>
      <c r="R57" s="89"/>
      <c r="S57" s="89"/>
      <c r="T57" s="89"/>
      <c r="U57" s="89"/>
      <c r="V57" s="89"/>
      <c r="W57" s="89"/>
      <c r="X57" s="89"/>
      <c r="Y57" s="89"/>
    </row>
    <row r="58" ht="15.75" customHeight="1">
      <c r="A58" s="67" t="str">
        <f t="shared" si="19"/>
        <v>Reducer Tee1 1⁄2 x 1 1⁄2 x 3⁄4</v>
      </c>
      <c r="B58" s="90">
        <v>5.0</v>
      </c>
      <c r="C58" s="133" t="s">
        <v>220</v>
      </c>
      <c r="D58" s="133" t="s">
        <v>221</v>
      </c>
      <c r="E58" s="112" t="s">
        <v>222</v>
      </c>
      <c r="F58" s="56">
        <v>228.0</v>
      </c>
      <c r="G58" s="76">
        <f>IFERROR(__xludf.DUMMYFUNCTION("ArrayFormula(IFERROR(VLOOKUP(E58,IMPORTRANGE(""https://docs.google.com/spreadsheets/d/1xZyKy-UzMmtPDLpV5jQdYum1LtbR8XKDuasLSjmBRMI/edit#gid=1241094406"",""COMBINED DATA!E3:L""),{7,8},0)))"),0.18225)</f>
        <v>0.18225</v>
      </c>
      <c r="H58" s="76">
        <f>IFERROR(__xludf.DUMMYFUNCTION("""COMPUTED_VALUE"""),0.0)</f>
        <v>0</v>
      </c>
      <c r="I58" s="76">
        <f t="shared" si="20"/>
        <v>0.18225</v>
      </c>
      <c r="J58" s="84">
        <f t="shared" si="21"/>
        <v>1251.028807</v>
      </c>
      <c r="K58" s="85"/>
      <c r="L58" s="85"/>
      <c r="M58" s="85"/>
      <c r="N58" s="85"/>
      <c r="O58" s="88"/>
      <c r="P58" s="89"/>
      <c r="Q58" s="89"/>
      <c r="R58" s="89"/>
      <c r="S58" s="89"/>
      <c r="T58" s="89"/>
      <c r="U58" s="89"/>
      <c r="V58" s="89"/>
      <c r="W58" s="89"/>
      <c r="X58" s="89"/>
      <c r="Y58" s="89"/>
    </row>
    <row r="59" ht="15.75" customHeight="1">
      <c r="A59" s="67" t="str">
        <f t="shared" si="19"/>
        <v>Reducer Tee1 1⁄2 x 1 1⁄2 x 1</v>
      </c>
      <c r="B59" s="90">
        <v>6.0</v>
      </c>
      <c r="C59" s="133" t="s">
        <v>224</v>
      </c>
      <c r="D59" s="133" t="s">
        <v>225</v>
      </c>
      <c r="E59" s="112" t="s">
        <v>226</v>
      </c>
      <c r="F59" s="56">
        <v>218.0</v>
      </c>
      <c r="G59" s="76">
        <f>IFERROR(__xludf.DUMMYFUNCTION("ArrayFormula(IFERROR(VLOOKUP(E59,IMPORTRANGE(""https://docs.google.com/spreadsheets/d/1xZyKy-UzMmtPDLpV5jQdYum1LtbR8XKDuasLSjmBRMI/edit#gid=1241094406"",""COMBINED DATA!E3:L""),{7,8},0)))"),0.095)</f>
        <v>0.095</v>
      </c>
      <c r="H59" s="76">
        <f>IFERROR(__xludf.DUMMYFUNCTION("""COMPUTED_VALUE"""),0.0)</f>
        <v>0</v>
      </c>
      <c r="I59" s="76">
        <f t="shared" si="20"/>
        <v>0.095</v>
      </c>
      <c r="J59" s="84">
        <f t="shared" si="21"/>
        <v>2294.736842</v>
      </c>
      <c r="K59" s="85"/>
      <c r="L59" s="85"/>
      <c r="M59" s="85"/>
      <c r="N59" s="85"/>
      <c r="O59" s="88"/>
      <c r="P59" s="89"/>
      <c r="Q59" s="89"/>
      <c r="R59" s="89"/>
      <c r="S59" s="89"/>
      <c r="T59" s="89"/>
      <c r="U59" s="89"/>
      <c r="V59" s="89"/>
      <c r="W59" s="89"/>
      <c r="X59" s="89"/>
      <c r="Y59" s="89"/>
    </row>
    <row r="60" ht="15.75" customHeight="1">
      <c r="A60" s="67" t="str">
        <f t="shared" si="19"/>
        <v>Reducer Tee1 1⁄2 x 1 1⁄2 x 1 1⁄4</v>
      </c>
      <c r="B60" s="90">
        <v>7.0</v>
      </c>
      <c r="C60" s="133" t="s">
        <v>227</v>
      </c>
      <c r="D60" s="133" t="s">
        <v>228</v>
      </c>
      <c r="E60" s="112" t="s">
        <v>229</v>
      </c>
      <c r="F60" s="56">
        <v>228.0</v>
      </c>
      <c r="G60" s="76">
        <f>IFERROR(__xludf.DUMMYFUNCTION("ArrayFormula(IFERROR(VLOOKUP(E60,IMPORTRANGE(""https://docs.google.com/spreadsheets/d/1xZyKy-UzMmtPDLpV5jQdYum1LtbR8XKDuasLSjmBRMI/edit#gid=1241094406"",""COMBINED DATA!E3:L""),{7,8},0)))"),0.1705)</f>
        <v>0.1705</v>
      </c>
      <c r="H60" s="76">
        <f>IFERROR(__xludf.DUMMYFUNCTION("""COMPUTED_VALUE"""),0.0)</f>
        <v>0</v>
      </c>
      <c r="I60" s="76">
        <f t="shared" si="20"/>
        <v>0.1705</v>
      </c>
      <c r="J60" s="84">
        <f t="shared" si="21"/>
        <v>1337.243402</v>
      </c>
      <c r="K60" s="85"/>
      <c r="L60" s="85"/>
      <c r="M60" s="85"/>
      <c r="N60" s="85"/>
      <c r="O60" s="88"/>
      <c r="P60" s="89"/>
      <c r="Q60" s="89"/>
      <c r="R60" s="89"/>
      <c r="S60" s="89"/>
      <c r="T60" s="89"/>
      <c r="U60" s="89"/>
      <c r="V60" s="89"/>
      <c r="W60" s="89"/>
      <c r="X60" s="89"/>
      <c r="Y60" s="89"/>
    </row>
    <row r="61" ht="15.75" customHeight="1">
      <c r="A61" s="67" t="str">
        <f t="shared" si="19"/>
        <v>Reducer Tee2 x 2 x 3⁄4</v>
      </c>
      <c r="B61" s="90">
        <v>8.0</v>
      </c>
      <c r="C61" s="133" t="s">
        <v>231</v>
      </c>
      <c r="D61" s="133" t="s">
        <v>232</v>
      </c>
      <c r="E61" s="112" t="s">
        <v>233</v>
      </c>
      <c r="F61" s="56">
        <v>396.0</v>
      </c>
      <c r="G61" s="76">
        <f>IFERROR(__xludf.DUMMYFUNCTION("ArrayFormula(IFERROR(VLOOKUP(E61,IMPORTRANGE(""https://docs.google.com/spreadsheets/d/1xZyKy-UzMmtPDLpV5jQdYum1LtbR8XKDuasLSjmBRMI/edit#gid=1241094406"",""COMBINED DATA!E3:L""),{7,8},0)))"),0.375)</f>
        <v>0.375</v>
      </c>
      <c r="H61" s="76">
        <f>IFERROR(__xludf.DUMMYFUNCTION("""COMPUTED_VALUE"""),0.0)</f>
        <v>0</v>
      </c>
      <c r="I61" s="76">
        <f t="shared" si="20"/>
        <v>0.375</v>
      </c>
      <c r="J61" s="84">
        <f t="shared" si="21"/>
        <v>1056</v>
      </c>
      <c r="K61" s="85"/>
      <c r="L61" s="85"/>
      <c r="M61" s="85"/>
      <c r="N61" s="85"/>
      <c r="O61" s="88"/>
      <c r="P61" s="89"/>
      <c r="Q61" s="89"/>
      <c r="R61" s="89"/>
      <c r="S61" s="89"/>
      <c r="T61" s="89"/>
      <c r="U61" s="89"/>
      <c r="V61" s="89"/>
      <c r="W61" s="89"/>
      <c r="X61" s="89"/>
      <c r="Y61" s="89"/>
    </row>
    <row r="62" ht="15.75" customHeight="1">
      <c r="A62" s="67" t="str">
        <f t="shared" si="19"/>
        <v>Reducer Tee2 x 2 x 1</v>
      </c>
      <c r="B62" s="90">
        <v>9.0</v>
      </c>
      <c r="C62" s="133" t="s">
        <v>235</v>
      </c>
      <c r="D62" s="133" t="s">
        <v>236</v>
      </c>
      <c r="E62" s="112" t="s">
        <v>237</v>
      </c>
      <c r="F62" s="56">
        <v>396.0</v>
      </c>
      <c r="G62" s="76">
        <f>IFERROR(__xludf.DUMMYFUNCTION("ArrayFormula(IFERROR(VLOOKUP(E62,IMPORTRANGE(""https://docs.google.com/spreadsheets/d/1xZyKy-UzMmtPDLpV5jQdYum1LtbR8XKDuasLSjmBRMI/edit#gid=1241094406"",""COMBINED DATA!E3:L""),{7,8},0)))"),0.377)</f>
        <v>0.377</v>
      </c>
      <c r="H62" s="76">
        <f>IFERROR(__xludf.DUMMYFUNCTION("""COMPUTED_VALUE"""),0.0)</f>
        <v>0</v>
      </c>
      <c r="I62" s="76">
        <f t="shared" si="20"/>
        <v>0.377</v>
      </c>
      <c r="J62" s="84">
        <f t="shared" si="21"/>
        <v>1050.397878</v>
      </c>
      <c r="K62" s="85"/>
      <c r="L62" s="85"/>
      <c r="M62" s="85"/>
      <c r="N62" s="85"/>
      <c r="O62" s="88"/>
      <c r="P62" s="89"/>
      <c r="Q62" s="89"/>
      <c r="R62" s="89"/>
      <c r="S62" s="89"/>
      <c r="T62" s="89"/>
      <c r="U62" s="89"/>
      <c r="V62" s="89"/>
      <c r="W62" s="89"/>
      <c r="X62" s="89"/>
      <c r="Y62" s="89"/>
    </row>
    <row r="63" ht="15.75" customHeight="1">
      <c r="A63" s="67" t="str">
        <f t="shared" si="19"/>
        <v>Reducer Tee2 x 2 x 1 1⁄4</v>
      </c>
      <c r="B63" s="90">
        <v>10.0</v>
      </c>
      <c r="C63" s="133" t="s">
        <v>238</v>
      </c>
      <c r="D63" s="133" t="s">
        <v>239</v>
      </c>
      <c r="E63" s="112" t="s">
        <v>240</v>
      </c>
      <c r="F63" s="56">
        <v>396.0</v>
      </c>
      <c r="G63" s="76">
        <f>IFERROR(__xludf.DUMMYFUNCTION("ArrayFormula(IFERROR(VLOOKUP(E63,IMPORTRANGE(""https://docs.google.com/spreadsheets/d/1xZyKy-UzMmtPDLpV5jQdYum1LtbR8XKDuasLSjmBRMI/edit#gid=1241094406"",""COMBINED DATA!E3:L""),{7,8},0)))"),0.476)</f>
        <v>0.476</v>
      </c>
      <c r="H63" s="76">
        <f>IFERROR(__xludf.DUMMYFUNCTION("""COMPUTED_VALUE"""),0.0)</f>
        <v>0</v>
      </c>
      <c r="I63" s="76">
        <f t="shared" si="20"/>
        <v>0.476</v>
      </c>
      <c r="J63" s="84">
        <f t="shared" si="21"/>
        <v>831.9327731</v>
      </c>
      <c r="K63" s="85"/>
      <c r="L63" s="85"/>
      <c r="M63" s="85"/>
      <c r="N63" s="85"/>
      <c r="O63" s="88"/>
      <c r="P63" s="89"/>
      <c r="Q63" s="89"/>
      <c r="R63" s="89"/>
      <c r="S63" s="89"/>
      <c r="T63" s="89"/>
      <c r="U63" s="89"/>
      <c r="V63" s="89"/>
      <c r="W63" s="89"/>
      <c r="X63" s="89"/>
      <c r="Y63" s="89"/>
    </row>
    <row r="64" ht="15.75" customHeight="1">
      <c r="A64" s="67" t="str">
        <f t="shared" si="19"/>
        <v>Reducer Tee2 x 2 x 1 1⁄2</v>
      </c>
      <c r="B64" s="90">
        <v>11.0</v>
      </c>
      <c r="C64" s="133" t="s">
        <v>242</v>
      </c>
      <c r="D64" s="133" t="s">
        <v>243</v>
      </c>
      <c r="E64" s="112" t="s">
        <v>244</v>
      </c>
      <c r="F64" s="56">
        <v>396.0</v>
      </c>
      <c r="G64" s="76">
        <f>IFERROR(__xludf.DUMMYFUNCTION("ArrayFormula(IFERROR(VLOOKUP(E64,IMPORTRANGE(""https://docs.google.com/spreadsheets/d/1xZyKy-UzMmtPDLpV5jQdYum1LtbR8XKDuasLSjmBRMI/edit#gid=1241094406"",""COMBINED DATA!E3:L""),{7,8},0)))"),0.3655)</f>
        <v>0.3655</v>
      </c>
      <c r="H64" s="76">
        <f>IFERROR(__xludf.DUMMYFUNCTION("""COMPUTED_VALUE"""),0.0)</f>
        <v>0</v>
      </c>
      <c r="I64" s="76">
        <f t="shared" si="20"/>
        <v>0.3655</v>
      </c>
      <c r="J64" s="84">
        <f t="shared" si="21"/>
        <v>1083.447332</v>
      </c>
      <c r="K64" s="85"/>
      <c r="L64" s="85"/>
      <c r="M64" s="85"/>
      <c r="N64" s="85"/>
      <c r="O64" s="88"/>
      <c r="P64" s="89"/>
      <c r="Q64" s="89"/>
      <c r="R64" s="89"/>
      <c r="S64" s="89"/>
      <c r="T64" s="89"/>
      <c r="U64" s="89"/>
      <c r="V64" s="89"/>
      <c r="W64" s="89"/>
      <c r="X64" s="89"/>
      <c r="Y64" s="89"/>
    </row>
    <row r="65">
      <c r="A65" s="100"/>
      <c r="B65" s="102" t="s">
        <v>11</v>
      </c>
      <c r="C65" s="45"/>
      <c r="D65" s="45"/>
      <c r="E65" s="46"/>
      <c r="F65" s="131">
        <f>sum(F54:F64)</f>
        <v>2696</v>
      </c>
      <c r="G65" s="104"/>
      <c r="H65" s="76" t="str">
        <f>IFERROR(__xludf.DUMMYFUNCTION("IFERROR(VLOOKUP(E65,IMPORTRANGE(""https://docs.google.com/spreadsheets/d/1xZyKy-UzMmtPDLpV5jQdYum1LtbR8XKDuasLSjmBRMI/edit#gid=1241094406"",""COMBINED DATA!E3:L""),8,0))"),"")</f>
        <v/>
      </c>
      <c r="I65" s="76"/>
      <c r="J65" s="84"/>
      <c r="K65" s="85"/>
      <c r="L65" s="85"/>
      <c r="M65" s="85"/>
      <c r="N65" s="85"/>
      <c r="O65" s="89"/>
      <c r="P65" s="89"/>
      <c r="Q65" s="89"/>
      <c r="R65" s="89"/>
      <c r="S65" s="89"/>
      <c r="T65" s="89"/>
      <c r="U65" s="89"/>
      <c r="V65" s="89"/>
      <c r="W65" s="89"/>
      <c r="X65" s="89"/>
      <c r="Y65" s="89"/>
    </row>
    <row r="66" ht="5.25" customHeight="1">
      <c r="A66" s="34"/>
      <c r="B66" s="119"/>
      <c r="C66" s="120"/>
      <c r="D66" s="120"/>
      <c r="E66" s="121"/>
      <c r="F66" s="107"/>
      <c r="G66" s="64"/>
      <c r="H66" s="76"/>
      <c r="I66" s="76"/>
      <c r="J66" s="65"/>
      <c r="K66" s="85"/>
      <c r="L66" s="85"/>
      <c r="M66" s="85"/>
      <c r="N66" s="85"/>
      <c r="O66" s="89"/>
      <c r="P66" s="89"/>
      <c r="Q66" s="89"/>
      <c r="R66" s="89"/>
      <c r="S66" s="89"/>
      <c r="T66" s="89"/>
      <c r="U66" s="89"/>
      <c r="V66" s="89"/>
      <c r="W66" s="89"/>
      <c r="X66" s="89"/>
      <c r="Y66" s="89"/>
    </row>
    <row r="67" ht="15.75" customHeight="1">
      <c r="A67" s="34"/>
      <c r="B67" s="62" t="s">
        <v>247</v>
      </c>
      <c r="C67" s="45"/>
      <c r="D67" s="45"/>
      <c r="E67" s="45"/>
      <c r="F67" s="46"/>
      <c r="G67" s="64"/>
      <c r="H67" s="76" t="str">
        <f>IFERROR(__xludf.DUMMYFUNCTION("IFERROR(VLOOKUP(E67,IMPORTRANGE(""https://docs.google.com/spreadsheets/d/1xZyKy-UzMmtPDLpV5jQdYum1LtbR8XKDuasLSjmBRMI/edit#gid=1241094406"",""COMBINED DATA!E3:L""),8,0))"),"")</f>
        <v/>
      </c>
      <c r="I67" s="76"/>
      <c r="J67" s="65"/>
      <c r="K67" s="85"/>
      <c r="L67" s="85"/>
      <c r="M67" s="85"/>
      <c r="N67" s="85"/>
      <c r="O67" s="89"/>
      <c r="P67" s="89"/>
      <c r="Q67" s="89"/>
      <c r="R67" s="89"/>
      <c r="S67" s="89"/>
      <c r="T67" s="89"/>
      <c r="U67" s="89"/>
      <c r="V67" s="89"/>
      <c r="W67" s="89"/>
      <c r="X67" s="89"/>
      <c r="Y67" s="89"/>
    </row>
    <row r="68" ht="15.75" customHeight="1">
      <c r="A68" s="34"/>
      <c r="B68" s="68">
        <v>1.0</v>
      </c>
      <c r="C68" s="70" t="s">
        <v>51</v>
      </c>
      <c r="D68" s="70">
        <v>20.0</v>
      </c>
      <c r="E68" s="129" t="s">
        <v>248</v>
      </c>
      <c r="F68" s="56">
        <v>94.0</v>
      </c>
      <c r="G68" s="76">
        <f>IFERROR(__xludf.DUMMYFUNCTION("ArrayFormula(IFERROR(VLOOKUP(E68,IMPORTRANGE(""https://docs.google.com/spreadsheets/d/1xZyKy-UzMmtPDLpV5jQdYum1LtbR8XKDuasLSjmBRMI/edit#gid=1241094406"",""COMBINED DATA!E3:L""),{7,8},0)))"),0.06494)</f>
        <v>0.06494</v>
      </c>
      <c r="H68" s="76">
        <f>IFERROR(__xludf.DUMMYFUNCTION("""COMPUTED_VALUE"""),0.001)</f>
        <v>0.001</v>
      </c>
      <c r="I68" s="76">
        <f t="shared" ref="I68:I75" si="22">G68+H68</f>
        <v>0.06594</v>
      </c>
      <c r="J68" s="84">
        <f t="shared" ref="J68:J75" si="23">IFERROR(F68/I68,"")</f>
        <v>1425.538368</v>
      </c>
      <c r="K68" s="85"/>
      <c r="L68" s="85"/>
      <c r="M68" s="85"/>
      <c r="N68" s="85"/>
      <c r="O68" s="89"/>
      <c r="P68" s="89"/>
      <c r="Q68" s="89"/>
      <c r="R68" s="89"/>
      <c r="S68" s="89"/>
      <c r="T68" s="89"/>
      <c r="U68" s="89"/>
      <c r="V68" s="89"/>
      <c r="W68" s="89"/>
      <c r="X68" s="89"/>
      <c r="Y68" s="89"/>
    </row>
    <row r="69" ht="15.75" customHeight="1">
      <c r="A69" s="34"/>
      <c r="B69" s="90">
        <v>2.0</v>
      </c>
      <c r="C69" s="92">
        <v>1.0</v>
      </c>
      <c r="D69" s="92">
        <v>25.0</v>
      </c>
      <c r="E69" s="94" t="s">
        <v>251</v>
      </c>
      <c r="F69" s="56">
        <v>116.0</v>
      </c>
      <c r="G69" s="76">
        <f>IFERROR(__xludf.DUMMYFUNCTION("ArrayFormula(IFERROR(VLOOKUP(E69,IMPORTRANGE(""https://docs.google.com/spreadsheets/d/1xZyKy-UzMmtPDLpV5jQdYum1LtbR8XKDuasLSjmBRMI/edit#gid=1241094406"",""COMBINED DATA!E3:L""),{7,8},0)))"),0.095)</f>
        <v>0.095</v>
      </c>
      <c r="H69" s="76">
        <f>IFERROR(__xludf.DUMMYFUNCTION("""COMPUTED_VALUE"""),0.00145)</f>
        <v>0.00145</v>
      </c>
      <c r="I69" s="76">
        <f t="shared" si="22"/>
        <v>0.09645</v>
      </c>
      <c r="J69" s="84">
        <f t="shared" si="23"/>
        <v>1202.695697</v>
      </c>
      <c r="K69" s="85"/>
      <c r="L69" s="85"/>
      <c r="M69" s="85"/>
      <c r="N69" s="85"/>
      <c r="O69" s="89"/>
      <c r="P69" s="89"/>
      <c r="Q69" s="89"/>
      <c r="R69" s="89"/>
      <c r="S69" s="89"/>
      <c r="T69" s="89"/>
      <c r="U69" s="89"/>
      <c r="V69" s="89"/>
      <c r="W69" s="89"/>
      <c r="X69" s="89"/>
      <c r="Y69" s="89"/>
    </row>
    <row r="70" ht="15.75" customHeight="1">
      <c r="A70" s="34"/>
      <c r="B70" s="90">
        <v>3.0</v>
      </c>
      <c r="C70" s="92" t="s">
        <v>55</v>
      </c>
      <c r="D70" s="92">
        <v>32.0</v>
      </c>
      <c r="E70" s="94" t="s">
        <v>252</v>
      </c>
      <c r="F70" s="56">
        <v>188.0</v>
      </c>
      <c r="G70" s="76">
        <f>IFERROR(__xludf.DUMMYFUNCTION("ArrayFormula(IFERROR(VLOOKUP(E70,IMPORTRANGE(""https://docs.google.com/spreadsheets/d/1xZyKy-UzMmtPDLpV5jQdYum1LtbR8XKDuasLSjmBRMI/edit#gid=1241094406"",""COMBINED DATA!E3:L""),{7,8},0)))"),0.14395)</f>
        <v>0.14395</v>
      </c>
      <c r="H70" s="76">
        <f>IFERROR(__xludf.DUMMYFUNCTION("""COMPUTED_VALUE"""),9.5E-4)</f>
        <v>0.00095</v>
      </c>
      <c r="I70" s="76">
        <f t="shared" si="22"/>
        <v>0.1449</v>
      </c>
      <c r="J70" s="84">
        <f t="shared" si="23"/>
        <v>1297.446515</v>
      </c>
      <c r="K70" s="85"/>
      <c r="L70" s="85"/>
      <c r="M70" s="85"/>
      <c r="N70" s="85"/>
      <c r="O70" s="89"/>
      <c r="P70" s="89"/>
      <c r="Q70" s="89"/>
      <c r="R70" s="89"/>
      <c r="S70" s="89"/>
      <c r="T70" s="89"/>
      <c r="U70" s="89"/>
      <c r="V70" s="89"/>
      <c r="W70" s="89"/>
      <c r="X70" s="89"/>
      <c r="Y70" s="89"/>
    </row>
    <row r="71" ht="15.75" customHeight="1">
      <c r="A71" s="34"/>
      <c r="B71" s="90">
        <v>4.0</v>
      </c>
      <c r="C71" s="92" t="s">
        <v>56</v>
      </c>
      <c r="D71" s="92">
        <v>40.0</v>
      </c>
      <c r="E71" s="94" t="s">
        <v>254</v>
      </c>
      <c r="F71" s="56">
        <v>308.0</v>
      </c>
      <c r="G71" s="76">
        <f>IFERROR(__xludf.DUMMYFUNCTION("ArrayFormula(IFERROR(VLOOKUP(E71,IMPORTRANGE(""https://docs.google.com/spreadsheets/d/1xZyKy-UzMmtPDLpV5jQdYum1LtbR8XKDuasLSjmBRMI/edit#gid=1241094406"",""COMBINED DATA!E3:L""),{7,8},0)))"),0.16025)</f>
        <v>0.16025</v>
      </c>
      <c r="H71" s="76">
        <f>IFERROR(__xludf.DUMMYFUNCTION("""COMPUTED_VALUE"""),0.0011)</f>
        <v>0.0011</v>
      </c>
      <c r="I71" s="76">
        <f t="shared" si="22"/>
        <v>0.16135</v>
      </c>
      <c r="J71" s="84">
        <f t="shared" si="23"/>
        <v>1908.893709</v>
      </c>
      <c r="K71" s="85"/>
      <c r="L71" s="85"/>
      <c r="M71" s="85"/>
      <c r="N71" s="85"/>
      <c r="O71" s="89"/>
      <c r="P71" s="89"/>
      <c r="Q71" s="89"/>
      <c r="R71" s="89"/>
      <c r="S71" s="89"/>
      <c r="T71" s="89"/>
      <c r="U71" s="89"/>
      <c r="V71" s="89"/>
      <c r="W71" s="89"/>
      <c r="X71" s="89"/>
      <c r="Y71" s="89"/>
    </row>
    <row r="72" ht="15.75" customHeight="1">
      <c r="A72" s="34"/>
      <c r="B72" s="90">
        <v>5.0</v>
      </c>
      <c r="C72" s="92">
        <v>2.0</v>
      </c>
      <c r="D72" s="92">
        <v>50.0</v>
      </c>
      <c r="E72" s="94" t="s">
        <v>255</v>
      </c>
      <c r="F72" s="56">
        <v>548.0</v>
      </c>
      <c r="G72" s="76">
        <f>IFERROR(__xludf.DUMMYFUNCTION("ArrayFormula(IFERROR(VLOOKUP(E72,IMPORTRANGE(""https://docs.google.com/spreadsheets/d/1xZyKy-UzMmtPDLpV5jQdYum1LtbR8XKDuasLSjmBRMI/edit#gid=1241094406"",""COMBINED DATA!E3:L""),{7,8},0)))"),0.28455)</f>
        <v>0.28455</v>
      </c>
      <c r="H72" s="76">
        <f>IFERROR(__xludf.DUMMYFUNCTION("""COMPUTED_VALUE"""),0.0025)</f>
        <v>0.0025</v>
      </c>
      <c r="I72" s="76">
        <f t="shared" si="22"/>
        <v>0.28705</v>
      </c>
      <c r="J72" s="84">
        <f t="shared" si="23"/>
        <v>1909.075074</v>
      </c>
      <c r="K72" s="85"/>
      <c r="L72" s="85"/>
      <c r="M72" s="85"/>
      <c r="N72" s="85"/>
      <c r="O72" s="89"/>
      <c r="P72" s="89"/>
      <c r="Q72" s="89"/>
      <c r="R72" s="89"/>
      <c r="S72" s="89"/>
      <c r="T72" s="89"/>
      <c r="U72" s="89"/>
      <c r="V72" s="89"/>
      <c r="W72" s="89"/>
      <c r="X72" s="89"/>
      <c r="Y72" s="89"/>
    </row>
    <row r="73" ht="15.75" customHeight="1">
      <c r="A73" s="34"/>
      <c r="B73" s="90">
        <v>6.0</v>
      </c>
      <c r="C73" s="127" t="s">
        <v>69</v>
      </c>
      <c r="D73" s="127">
        <v>65.0</v>
      </c>
      <c r="E73" s="112" t="s">
        <v>257</v>
      </c>
      <c r="F73" s="56">
        <v>1184.0</v>
      </c>
      <c r="G73" s="76">
        <f>IFERROR(__xludf.DUMMYFUNCTION("ArrayFormula(IFERROR(VLOOKUP(E73,IMPORTRANGE(""https://docs.google.com/spreadsheets/d/1xZyKy-UzMmtPDLpV5jQdYum1LtbR8XKDuasLSjmBRMI/edit#gid=1241094406"",""COMBINED DATA!E3:L""),{7,8},0)))"),0.919)</f>
        <v>0.919</v>
      </c>
      <c r="H73" s="76">
        <f>IFERROR(__xludf.DUMMYFUNCTION("""COMPUTED_VALUE"""),0.0)</f>
        <v>0</v>
      </c>
      <c r="I73" s="76">
        <f t="shared" si="22"/>
        <v>0.919</v>
      </c>
      <c r="J73" s="84">
        <f t="shared" si="23"/>
        <v>1288.35691</v>
      </c>
      <c r="K73" s="85"/>
      <c r="L73" s="85"/>
      <c r="M73" s="85"/>
      <c r="N73" s="85"/>
      <c r="O73" s="89"/>
      <c r="P73" s="89"/>
      <c r="Q73" s="89"/>
      <c r="R73" s="89"/>
      <c r="S73" s="89"/>
      <c r="T73" s="89"/>
      <c r="U73" s="89"/>
      <c r="V73" s="89"/>
      <c r="W73" s="89"/>
      <c r="X73" s="89"/>
      <c r="Y73" s="89"/>
    </row>
    <row r="74" ht="15.75" customHeight="1">
      <c r="A74" s="34"/>
      <c r="B74" s="90">
        <v>7.0</v>
      </c>
      <c r="C74" s="127">
        <v>3.0</v>
      </c>
      <c r="D74" s="127">
        <v>80.0</v>
      </c>
      <c r="E74" s="112" t="s">
        <v>259</v>
      </c>
      <c r="F74" s="56">
        <v>1780.0</v>
      </c>
      <c r="G74" s="76">
        <f>IFERROR(__xludf.DUMMYFUNCTION("ArrayFormula(IFERROR(VLOOKUP(E74,IMPORTRANGE(""https://docs.google.com/spreadsheets/d/1xZyKy-UzMmtPDLpV5jQdYum1LtbR8XKDuasLSjmBRMI/edit#gid=1241094406"",""COMBINED DATA!E3:L""),{7,8},0)))"),0.0)</f>
        <v>0</v>
      </c>
      <c r="H74" s="76">
        <f>IFERROR(__xludf.DUMMYFUNCTION("""COMPUTED_VALUE"""),0.0)</f>
        <v>0</v>
      </c>
      <c r="I74" s="76">
        <f t="shared" si="22"/>
        <v>0</v>
      </c>
      <c r="J74" s="84" t="str">
        <f t="shared" si="23"/>
        <v/>
      </c>
      <c r="K74" s="85"/>
      <c r="L74" s="85"/>
      <c r="M74" s="85"/>
      <c r="N74" s="85"/>
      <c r="O74" s="89"/>
      <c r="P74" s="89"/>
      <c r="Q74" s="89"/>
      <c r="R74" s="89"/>
      <c r="S74" s="89"/>
      <c r="T74" s="89"/>
      <c r="U74" s="89"/>
      <c r="V74" s="89"/>
      <c r="W74" s="89"/>
      <c r="X74" s="89"/>
      <c r="Y74" s="89"/>
    </row>
    <row r="75" ht="15.75" customHeight="1">
      <c r="A75" s="34"/>
      <c r="B75" s="90">
        <v>8.0</v>
      </c>
      <c r="C75" s="127">
        <v>4.0</v>
      </c>
      <c r="D75" s="127">
        <v>100.0</v>
      </c>
      <c r="E75" s="112" t="s">
        <v>261</v>
      </c>
      <c r="F75" s="56">
        <v>2990.0</v>
      </c>
      <c r="G75" s="76">
        <f>IFERROR(__xludf.DUMMYFUNCTION("ArrayFormula(IFERROR(VLOOKUP(E75,IMPORTRANGE(""https://docs.google.com/spreadsheets/d/1xZyKy-UzMmtPDLpV5jQdYum1LtbR8XKDuasLSjmBRMI/edit#gid=1241094406"",""COMBINED DATA!E3:L""),{7,8},0)))"),2.389)</f>
        <v>2.389</v>
      </c>
      <c r="H75" s="76">
        <f>IFERROR(__xludf.DUMMYFUNCTION("""COMPUTED_VALUE"""),0.009)</f>
        <v>0.009</v>
      </c>
      <c r="I75" s="76">
        <f t="shared" si="22"/>
        <v>2.398</v>
      </c>
      <c r="J75" s="84">
        <f t="shared" si="23"/>
        <v>1246.872394</v>
      </c>
      <c r="K75" s="85"/>
      <c r="L75" s="85"/>
      <c r="M75" s="85"/>
      <c r="N75" s="85"/>
      <c r="O75" s="89"/>
      <c r="P75" s="89"/>
      <c r="Q75" s="89"/>
      <c r="R75" s="89"/>
      <c r="S75" s="89"/>
      <c r="T75" s="89"/>
      <c r="U75" s="89"/>
      <c r="V75" s="89"/>
      <c r="W75" s="89"/>
      <c r="X75" s="89"/>
      <c r="Y75" s="89"/>
    </row>
    <row r="76" ht="5.25" customHeight="1">
      <c r="A76" s="34"/>
      <c r="B76" s="119"/>
      <c r="C76" s="120"/>
      <c r="D76" s="120"/>
      <c r="E76" s="121"/>
      <c r="F76" s="107"/>
      <c r="G76" s="64"/>
      <c r="H76" s="76" t="str">
        <f>IFERROR(__xludf.DUMMYFUNCTION("IFERROR(VLOOKUP(E76,IMPORTRANGE(""https://docs.google.com/spreadsheets/d/1xZyKy-UzMmtPDLpV5jQdYum1LtbR8XKDuasLSjmBRMI/edit#gid=1241094406"",""COMBINED DATA!E3:L""),8,0))"),"")</f>
        <v/>
      </c>
      <c r="I76" s="76"/>
      <c r="J76" s="65"/>
      <c r="K76" s="85"/>
      <c r="L76" s="85"/>
      <c r="M76" s="85"/>
      <c r="N76" s="85"/>
      <c r="O76" s="89"/>
      <c r="P76" s="89"/>
      <c r="Q76" s="89"/>
      <c r="R76" s="89"/>
      <c r="S76" s="89"/>
      <c r="T76" s="89"/>
      <c r="U76" s="89"/>
      <c r="V76" s="89"/>
      <c r="W76" s="89"/>
      <c r="X76" s="89"/>
      <c r="Y76" s="89"/>
    </row>
    <row r="77" ht="22.5" customHeight="1">
      <c r="A77" s="34"/>
      <c r="B77" s="62" t="s">
        <v>263</v>
      </c>
      <c r="C77" s="45"/>
      <c r="D77" s="45"/>
      <c r="E77" s="45"/>
      <c r="F77" s="46"/>
      <c r="G77" s="64"/>
      <c r="H77" s="76" t="str">
        <f>IFERROR(__xludf.DUMMYFUNCTION("IFERROR(VLOOKUP(E77,IMPORTRANGE(""https://docs.google.com/spreadsheets/d/1xZyKy-UzMmtPDLpV5jQdYum1LtbR8XKDuasLSjmBRMI/edit#gid=1241094406"",""COMBINED DATA!E3:L""),8,0))"),"")</f>
        <v/>
      </c>
      <c r="I77" s="76"/>
      <c r="J77" s="65"/>
      <c r="K77" s="85"/>
      <c r="L77" s="85"/>
      <c r="M77" s="85"/>
      <c r="N77" s="85"/>
      <c r="O77" s="89"/>
      <c r="P77" s="89"/>
      <c r="Q77" s="89"/>
      <c r="R77" s="89"/>
      <c r="S77" s="89"/>
      <c r="T77" s="89"/>
      <c r="U77" s="89"/>
      <c r="V77" s="89"/>
      <c r="W77" s="89"/>
      <c r="X77" s="89"/>
      <c r="Y77" s="89"/>
    </row>
    <row r="78" ht="15.75" customHeight="1">
      <c r="A78" s="67" t="str">
        <f t="shared" ref="A78:A83" si="24">$B$77&amp;C78</f>
        <v>Coupling1⁄2</v>
      </c>
      <c r="B78" s="68">
        <v>1.0</v>
      </c>
      <c r="C78" s="110" t="s">
        <v>43</v>
      </c>
      <c r="D78" s="110">
        <v>15.0</v>
      </c>
      <c r="E78" s="111" t="s">
        <v>265</v>
      </c>
      <c r="F78" s="56">
        <v>14.8</v>
      </c>
      <c r="G78" s="76">
        <f>IFERROR(__xludf.DUMMYFUNCTION("ArrayFormula(IFERROR(VLOOKUP(E78,IMPORTRANGE(""https://docs.google.com/spreadsheets/d/1xZyKy-UzMmtPDLpV5jQdYum1LtbR8XKDuasLSjmBRMI/edit#gid=1241094406"",""COMBINED DATA!E3:L""),{7,8},0)))"),0.00725)</f>
        <v>0.00725</v>
      </c>
      <c r="H78" s="76">
        <f>IFERROR(__xludf.DUMMYFUNCTION("""COMPUTED_VALUE"""),0.0)</f>
        <v>0</v>
      </c>
      <c r="I78" s="76">
        <f t="shared" ref="I78:I83" si="25">G78+H78</f>
        <v>0.00725</v>
      </c>
      <c r="J78" s="84">
        <f t="shared" ref="J78:J83" si="26">IFERROR(F78/I78,"")</f>
        <v>2041.37931</v>
      </c>
      <c r="K78" s="85"/>
      <c r="L78" s="85"/>
      <c r="M78" s="85"/>
      <c r="N78" s="85"/>
      <c r="O78" s="139"/>
      <c r="P78" s="89"/>
      <c r="Q78" s="89"/>
      <c r="R78" s="89"/>
      <c r="S78" s="89"/>
      <c r="T78" s="89"/>
      <c r="U78" s="89"/>
      <c r="V78" s="89"/>
      <c r="W78" s="89"/>
      <c r="X78" s="89"/>
      <c r="Y78" s="89"/>
    </row>
    <row r="79" ht="15.75" customHeight="1">
      <c r="A79" s="67" t="str">
        <f t="shared" si="24"/>
        <v>Coupling3⁄4</v>
      </c>
      <c r="B79" s="90">
        <v>2.0</v>
      </c>
      <c r="C79" s="127" t="s">
        <v>51</v>
      </c>
      <c r="D79" s="127">
        <v>20.0</v>
      </c>
      <c r="E79" s="112" t="s">
        <v>268</v>
      </c>
      <c r="F79" s="56">
        <v>17.4</v>
      </c>
      <c r="G79" s="76">
        <f>IFERROR(__xludf.DUMMYFUNCTION("ArrayFormula(IFERROR(VLOOKUP(E79,IMPORTRANGE(""https://docs.google.com/spreadsheets/d/1xZyKy-UzMmtPDLpV5jQdYum1LtbR8XKDuasLSjmBRMI/edit#gid=1241094406"",""COMBINED DATA!E3:L""),{7,8},0)))"),0.0135)</f>
        <v>0.0135</v>
      </c>
      <c r="H79" s="76">
        <f>IFERROR(__xludf.DUMMYFUNCTION("""COMPUTED_VALUE"""),0.0)</f>
        <v>0</v>
      </c>
      <c r="I79" s="76">
        <f t="shared" si="25"/>
        <v>0.0135</v>
      </c>
      <c r="J79" s="84">
        <f t="shared" si="26"/>
        <v>1288.888889</v>
      </c>
      <c r="K79" s="85"/>
      <c r="L79" s="85"/>
      <c r="M79" s="85"/>
      <c r="N79" s="85"/>
      <c r="O79" s="139"/>
      <c r="P79" s="89"/>
      <c r="Q79" s="89"/>
      <c r="R79" s="89"/>
      <c r="S79" s="89"/>
      <c r="T79" s="89"/>
      <c r="U79" s="89"/>
      <c r="V79" s="89"/>
      <c r="W79" s="89"/>
      <c r="X79" s="89"/>
      <c r="Y79" s="89"/>
    </row>
    <row r="80" ht="15.75" customHeight="1">
      <c r="A80" s="67" t="str">
        <f t="shared" si="24"/>
        <v>Coupling1</v>
      </c>
      <c r="B80" s="90">
        <v>3.0</v>
      </c>
      <c r="C80" s="127" t="s">
        <v>84</v>
      </c>
      <c r="D80" s="127">
        <v>25.0</v>
      </c>
      <c r="E80" s="112" t="s">
        <v>269</v>
      </c>
      <c r="F80" s="56">
        <v>28.4</v>
      </c>
      <c r="G80" s="76">
        <f>IFERROR(__xludf.DUMMYFUNCTION("ArrayFormula(IFERROR(VLOOKUP(E80,IMPORTRANGE(""https://docs.google.com/spreadsheets/d/1xZyKy-UzMmtPDLpV5jQdYum1LtbR8XKDuasLSjmBRMI/edit#gid=1241094406"",""COMBINED DATA!E3:L""),{7,8},0)))"),0.020399999999999998)</f>
        <v>0.0204</v>
      </c>
      <c r="H80" s="76">
        <f>IFERROR(__xludf.DUMMYFUNCTION("""COMPUTED_VALUE"""),0.0)</f>
        <v>0</v>
      </c>
      <c r="I80" s="76">
        <f t="shared" si="25"/>
        <v>0.0204</v>
      </c>
      <c r="J80" s="84">
        <f t="shared" si="26"/>
        <v>1392.156863</v>
      </c>
      <c r="K80" s="85"/>
      <c r="L80" s="85"/>
      <c r="M80" s="85"/>
      <c r="N80" s="85"/>
      <c r="O80" s="139"/>
      <c r="P80" s="89"/>
      <c r="Q80" s="89"/>
      <c r="R80" s="89"/>
      <c r="S80" s="89"/>
      <c r="T80" s="89"/>
      <c r="U80" s="89"/>
      <c r="V80" s="89"/>
      <c r="W80" s="89"/>
      <c r="X80" s="89"/>
      <c r="Y80" s="89"/>
    </row>
    <row r="81" ht="15.75" customHeight="1">
      <c r="A81" s="67" t="str">
        <f t="shared" si="24"/>
        <v>Coupling1 1⁄4</v>
      </c>
      <c r="B81" s="90">
        <v>4.0</v>
      </c>
      <c r="C81" s="127" t="s">
        <v>55</v>
      </c>
      <c r="D81" s="127">
        <v>32.0</v>
      </c>
      <c r="E81" s="112" t="s">
        <v>271</v>
      </c>
      <c r="F81" s="56">
        <v>56.6</v>
      </c>
      <c r="G81" s="76">
        <f>IFERROR(__xludf.DUMMYFUNCTION("ArrayFormula(IFERROR(VLOOKUP(E81,IMPORTRANGE(""https://docs.google.com/spreadsheets/d/1xZyKy-UzMmtPDLpV5jQdYum1LtbR8XKDuasLSjmBRMI/edit#gid=1241094406"",""COMBINED DATA!E3:L""),{7,8},0)))"),0.0364)</f>
        <v>0.0364</v>
      </c>
      <c r="H81" s="76">
        <f>IFERROR(__xludf.DUMMYFUNCTION("""COMPUTED_VALUE"""),0.0)</f>
        <v>0</v>
      </c>
      <c r="I81" s="76">
        <f t="shared" si="25"/>
        <v>0.0364</v>
      </c>
      <c r="J81" s="84">
        <f t="shared" si="26"/>
        <v>1554.945055</v>
      </c>
      <c r="K81" s="85"/>
      <c r="L81" s="85"/>
      <c r="M81" s="85"/>
      <c r="N81" s="85"/>
      <c r="O81" s="139"/>
      <c r="P81" s="89"/>
      <c r="Q81" s="89"/>
      <c r="R81" s="89"/>
      <c r="S81" s="89"/>
      <c r="T81" s="89"/>
      <c r="U81" s="89"/>
      <c r="V81" s="89"/>
      <c r="W81" s="89"/>
      <c r="X81" s="89"/>
      <c r="Y81" s="89"/>
    </row>
    <row r="82" ht="15.75" customHeight="1">
      <c r="A82" s="67" t="str">
        <f t="shared" si="24"/>
        <v>Coupling1 1⁄2</v>
      </c>
      <c r="B82" s="90">
        <v>5.0</v>
      </c>
      <c r="C82" s="127" t="s">
        <v>56</v>
      </c>
      <c r="D82" s="127">
        <v>40.0</v>
      </c>
      <c r="E82" s="112" t="s">
        <v>272</v>
      </c>
      <c r="F82" s="56">
        <v>99.8</v>
      </c>
      <c r="G82" s="76">
        <f>IFERROR(__xludf.DUMMYFUNCTION("ArrayFormula(IFERROR(VLOOKUP(E82,IMPORTRANGE(""https://docs.google.com/spreadsheets/d/1xZyKy-UzMmtPDLpV5jQdYum1LtbR8XKDuasLSjmBRMI/edit#gid=1241094406"",""COMBINED DATA!E3:L""),{7,8},0)))"),0.060899999999999996)</f>
        <v>0.0609</v>
      </c>
      <c r="H82" s="76">
        <f>IFERROR(__xludf.DUMMYFUNCTION("""COMPUTED_VALUE"""),0.0)</f>
        <v>0</v>
      </c>
      <c r="I82" s="76">
        <f t="shared" si="25"/>
        <v>0.0609</v>
      </c>
      <c r="J82" s="84">
        <f t="shared" si="26"/>
        <v>1638.752053</v>
      </c>
      <c r="K82" s="85"/>
      <c r="L82" s="85"/>
      <c r="M82" s="85"/>
      <c r="N82" s="85"/>
      <c r="O82" s="139"/>
      <c r="P82" s="89"/>
      <c r="Q82" s="89"/>
      <c r="R82" s="89"/>
      <c r="S82" s="89"/>
      <c r="T82" s="89"/>
      <c r="U82" s="89"/>
      <c r="V82" s="89"/>
      <c r="W82" s="89"/>
      <c r="X82" s="89"/>
      <c r="Y82" s="89"/>
    </row>
    <row r="83" ht="15.75" customHeight="1">
      <c r="A83" s="67" t="str">
        <f t="shared" si="24"/>
        <v>Coupling2</v>
      </c>
      <c r="B83" s="90">
        <v>6.0</v>
      </c>
      <c r="C83" s="127" t="s">
        <v>107</v>
      </c>
      <c r="D83" s="127">
        <v>50.0</v>
      </c>
      <c r="E83" s="112" t="s">
        <v>274</v>
      </c>
      <c r="F83" s="56">
        <v>218.0</v>
      </c>
      <c r="G83" s="76">
        <f>IFERROR(__xludf.DUMMYFUNCTION("ArrayFormula(IFERROR(VLOOKUP(E83,IMPORTRANGE(""https://docs.google.com/spreadsheets/d/1xZyKy-UzMmtPDLpV5jQdYum1LtbR8XKDuasLSjmBRMI/edit#gid=1241094406"",""COMBINED DATA!E3:L""),{7,8},0)))"),0.133)</f>
        <v>0.133</v>
      </c>
      <c r="H83" s="76">
        <f>IFERROR(__xludf.DUMMYFUNCTION("""COMPUTED_VALUE"""),0.0)</f>
        <v>0</v>
      </c>
      <c r="I83" s="76">
        <f t="shared" si="25"/>
        <v>0.133</v>
      </c>
      <c r="J83" s="84">
        <f t="shared" si="26"/>
        <v>1639.097744</v>
      </c>
      <c r="K83" s="85"/>
      <c r="L83" s="85"/>
      <c r="M83" s="85"/>
      <c r="N83" s="85"/>
      <c r="O83" s="139"/>
      <c r="P83" s="89"/>
      <c r="Q83" s="89"/>
      <c r="R83" s="89"/>
      <c r="S83" s="89"/>
      <c r="T83" s="89"/>
      <c r="U83" s="89"/>
      <c r="V83" s="89"/>
      <c r="W83" s="89"/>
      <c r="X83" s="89"/>
      <c r="Y83" s="89"/>
    </row>
    <row r="84">
      <c r="A84" s="100"/>
      <c r="B84" s="102" t="s">
        <v>11</v>
      </c>
      <c r="C84" s="45"/>
      <c r="D84" s="45"/>
      <c r="E84" s="46"/>
      <c r="F84" s="103">
        <f>SUM(F78:F83)</f>
        <v>435</v>
      </c>
      <c r="G84" s="104"/>
      <c r="H84" s="76" t="str">
        <f>IFERROR(__xludf.DUMMYFUNCTION("IFERROR(VLOOKUP(E84,IMPORTRANGE(""https://docs.google.com/spreadsheets/d/1xZyKy-UzMmtPDLpV5jQdYum1LtbR8XKDuasLSjmBRMI/edit#gid=1241094406"",""COMBINED DATA!E3:L""),8,0))"),"")</f>
        <v/>
      </c>
      <c r="I84" s="76"/>
      <c r="J84" s="116"/>
      <c r="K84" s="85"/>
      <c r="L84" s="85"/>
      <c r="M84" s="85"/>
      <c r="N84" s="85"/>
      <c r="O84" s="89"/>
      <c r="P84" s="89"/>
      <c r="Q84" s="89"/>
      <c r="R84" s="89"/>
      <c r="S84" s="89"/>
      <c r="T84" s="89"/>
      <c r="U84" s="89"/>
      <c r="V84" s="89"/>
      <c r="W84" s="89"/>
      <c r="X84" s="89"/>
      <c r="Y84" s="89"/>
    </row>
    <row r="85" ht="4.5" customHeight="1">
      <c r="A85" s="34"/>
      <c r="B85" s="119"/>
      <c r="C85" s="120"/>
      <c r="D85" s="120"/>
      <c r="E85" s="121"/>
      <c r="F85" s="107"/>
      <c r="G85" s="64"/>
      <c r="H85" s="76" t="str">
        <f>IFERROR(__xludf.DUMMYFUNCTION("IFERROR(VLOOKUP(E85,IMPORTRANGE(""https://docs.google.com/spreadsheets/d/1xZyKy-UzMmtPDLpV5jQdYum1LtbR8XKDuasLSjmBRMI/edit#gid=1241094406"",""COMBINED DATA!E3:L""),8,0))"),"")</f>
        <v/>
      </c>
      <c r="I85" s="76"/>
      <c r="J85" s="65"/>
      <c r="K85" s="85"/>
      <c r="L85" s="85"/>
      <c r="M85" s="85"/>
      <c r="N85" s="85"/>
      <c r="O85" s="89"/>
      <c r="P85" s="89"/>
      <c r="Q85" s="89"/>
      <c r="R85" s="89"/>
      <c r="S85" s="89"/>
      <c r="T85" s="89"/>
      <c r="U85" s="89"/>
      <c r="V85" s="89"/>
      <c r="W85" s="89"/>
      <c r="X85" s="89"/>
      <c r="Y85" s="89"/>
    </row>
    <row r="86" ht="22.5" customHeight="1">
      <c r="A86" s="34"/>
      <c r="B86" s="62" t="s">
        <v>276</v>
      </c>
      <c r="C86" s="45"/>
      <c r="D86" s="45"/>
      <c r="E86" s="45"/>
      <c r="F86" s="46"/>
      <c r="G86" s="64"/>
      <c r="H86" s="76" t="str">
        <f>IFERROR(__xludf.DUMMYFUNCTION("IFERROR(VLOOKUP(E86,IMPORTRANGE(""https://docs.google.com/spreadsheets/d/1xZyKy-UzMmtPDLpV5jQdYum1LtbR8XKDuasLSjmBRMI/edit#gid=1241094406"",""COMBINED DATA!E3:L""),8,0))"),"")</f>
        <v/>
      </c>
      <c r="I86" s="76"/>
      <c r="J86" s="65"/>
      <c r="K86" s="85"/>
      <c r="L86" s="85"/>
      <c r="M86" s="85"/>
      <c r="N86" s="85"/>
      <c r="O86" s="89"/>
      <c r="P86" s="89"/>
      <c r="Q86" s="89"/>
      <c r="R86" s="89"/>
      <c r="S86" s="89"/>
      <c r="T86" s="89"/>
      <c r="U86" s="89"/>
      <c r="V86" s="89"/>
      <c r="W86" s="89"/>
      <c r="X86" s="89"/>
      <c r="Y86" s="89"/>
    </row>
    <row r="87" ht="15.75" customHeight="1">
      <c r="A87" s="67" t="str">
        <f t="shared" ref="A87:A89" si="27">$B$86&amp;C87</f>
        <v>Coupling (Sch-80)2 1⁄2</v>
      </c>
      <c r="B87" s="68">
        <v>1.0</v>
      </c>
      <c r="C87" s="110" t="s">
        <v>69</v>
      </c>
      <c r="D87" s="110">
        <v>65.0</v>
      </c>
      <c r="E87" s="111" t="s">
        <v>278</v>
      </c>
      <c r="F87" s="56">
        <v>618.0</v>
      </c>
      <c r="G87" s="76">
        <f>IFERROR(__xludf.DUMMYFUNCTION("ArrayFormula(IFERROR(VLOOKUP(E87,IMPORTRANGE(""https://docs.google.com/spreadsheets/d/1xZyKy-UzMmtPDLpV5jQdYum1LtbR8XKDuasLSjmBRMI/edit#gid=1241094406"",""COMBINED DATA!E3:L""),{7,8},0)))"),0.30789999999999995)</f>
        <v>0.3079</v>
      </c>
      <c r="H87" s="76">
        <f>IFERROR(__xludf.DUMMYFUNCTION("""COMPUTED_VALUE"""),0.0)</f>
        <v>0</v>
      </c>
      <c r="I87" s="76">
        <f t="shared" ref="I87:I89" si="28">G87+H87</f>
        <v>0.3079</v>
      </c>
      <c r="J87" s="84">
        <f t="shared" ref="J87:J89" si="29">IFERROR(F87/I87,"")</f>
        <v>2007.145177</v>
      </c>
      <c r="K87" s="85"/>
      <c r="L87" s="85"/>
      <c r="M87" s="85"/>
      <c r="N87" s="85"/>
      <c r="O87" s="139"/>
      <c r="P87" s="89"/>
      <c r="Q87" s="89"/>
      <c r="R87" s="89"/>
      <c r="S87" s="89"/>
      <c r="T87" s="89"/>
      <c r="U87" s="89"/>
      <c r="V87" s="89"/>
      <c r="W87" s="89"/>
      <c r="X87" s="89"/>
      <c r="Y87" s="89"/>
    </row>
    <row r="88" ht="15.75" customHeight="1">
      <c r="A88" s="67" t="str">
        <f t="shared" si="27"/>
        <v>Coupling (Sch-80)3</v>
      </c>
      <c r="B88" s="90">
        <v>2.0</v>
      </c>
      <c r="C88" s="127">
        <v>3.0</v>
      </c>
      <c r="D88" s="127">
        <v>80.0</v>
      </c>
      <c r="E88" s="112" t="s">
        <v>282</v>
      </c>
      <c r="F88" s="56">
        <v>892.0</v>
      </c>
      <c r="G88" s="76">
        <f>IFERROR(__xludf.DUMMYFUNCTION("ArrayFormula(IFERROR(VLOOKUP(E88,IMPORTRANGE(""https://docs.google.com/spreadsheets/d/1xZyKy-UzMmtPDLpV5jQdYum1LtbR8XKDuasLSjmBRMI/edit#gid=1241094406"",""COMBINED DATA!E3:L""),{7,8},0)))"),0.4385)</f>
        <v>0.4385</v>
      </c>
      <c r="H88" s="76">
        <f>IFERROR(__xludf.DUMMYFUNCTION("""COMPUTED_VALUE"""),0.0)</f>
        <v>0</v>
      </c>
      <c r="I88" s="76">
        <f t="shared" si="28"/>
        <v>0.4385</v>
      </c>
      <c r="J88" s="84">
        <f t="shared" si="29"/>
        <v>2034.207526</v>
      </c>
      <c r="K88" s="85"/>
      <c r="L88" s="85"/>
      <c r="M88" s="85"/>
      <c r="N88" s="85"/>
      <c r="O88" s="139"/>
      <c r="P88" s="89"/>
      <c r="Q88" s="89"/>
      <c r="R88" s="89"/>
      <c r="S88" s="89"/>
      <c r="T88" s="89"/>
      <c r="U88" s="89"/>
      <c r="V88" s="89"/>
      <c r="W88" s="89"/>
      <c r="X88" s="89"/>
      <c r="Y88" s="89"/>
    </row>
    <row r="89" ht="15.75" customHeight="1">
      <c r="A89" s="67" t="str">
        <f t="shared" si="27"/>
        <v>Coupling (Sch-80)4</v>
      </c>
      <c r="B89" s="90">
        <v>3.0</v>
      </c>
      <c r="C89" s="127">
        <v>4.0</v>
      </c>
      <c r="D89" s="127">
        <v>100.0</v>
      </c>
      <c r="E89" s="112" t="s">
        <v>283</v>
      </c>
      <c r="F89" s="56">
        <v>1348.0</v>
      </c>
      <c r="G89" s="76">
        <f>IFERROR(__xludf.DUMMYFUNCTION("ArrayFormula(IFERROR(VLOOKUP(E89,IMPORTRANGE(""https://docs.google.com/spreadsheets/d/1xZyKy-UzMmtPDLpV5jQdYum1LtbR8XKDuasLSjmBRMI/edit#gid=1241094406"",""COMBINED DATA!E3:L""),{7,8},0)))"),0.6595)</f>
        <v>0.6595</v>
      </c>
      <c r="H89" s="76">
        <f>IFERROR(__xludf.DUMMYFUNCTION("""COMPUTED_VALUE"""),0.0)</f>
        <v>0</v>
      </c>
      <c r="I89" s="76">
        <f t="shared" si="28"/>
        <v>0.6595</v>
      </c>
      <c r="J89" s="84">
        <f t="shared" si="29"/>
        <v>2043.972707</v>
      </c>
      <c r="K89" s="85"/>
      <c r="L89" s="85"/>
      <c r="M89" s="85"/>
      <c r="N89" s="85"/>
      <c r="O89" s="139"/>
      <c r="P89" s="89"/>
      <c r="Q89" s="89"/>
      <c r="R89" s="89"/>
      <c r="S89" s="89"/>
      <c r="T89" s="89"/>
      <c r="U89" s="89"/>
      <c r="V89" s="89"/>
      <c r="W89" s="89"/>
      <c r="X89" s="89"/>
      <c r="Y89" s="89"/>
    </row>
    <row r="90">
      <c r="A90" s="100"/>
      <c r="B90" s="102" t="s">
        <v>11</v>
      </c>
      <c r="C90" s="45"/>
      <c r="D90" s="45"/>
      <c r="E90" s="46"/>
      <c r="F90" s="131">
        <f>SUM(F87:F89)</f>
        <v>2858</v>
      </c>
      <c r="G90" s="104"/>
      <c r="H90" s="76" t="str">
        <f>IFERROR(__xludf.DUMMYFUNCTION("IFERROR(VLOOKUP(E90,IMPORTRANGE(""https://docs.google.com/spreadsheets/d/1xZyKy-UzMmtPDLpV5jQdYum1LtbR8XKDuasLSjmBRMI/edit#gid=1241094406"",""COMBINED DATA!E3:L""),8,0))"),"")</f>
        <v/>
      </c>
      <c r="I90" s="76"/>
      <c r="J90" s="116"/>
      <c r="K90" s="85"/>
      <c r="L90" s="85"/>
      <c r="M90" s="85"/>
      <c r="N90" s="85"/>
      <c r="O90" s="89"/>
      <c r="P90" s="89"/>
      <c r="Q90" s="89"/>
      <c r="R90" s="89"/>
      <c r="S90" s="89"/>
      <c r="T90" s="89"/>
      <c r="U90" s="89"/>
      <c r="V90" s="89"/>
      <c r="W90" s="89"/>
      <c r="X90" s="89"/>
      <c r="Y90" s="89"/>
    </row>
    <row r="91" ht="5.25" customHeight="1">
      <c r="A91" s="34"/>
      <c r="B91" s="105"/>
      <c r="C91" s="105"/>
      <c r="D91" s="105"/>
      <c r="E91" s="106"/>
      <c r="F91" s="107"/>
      <c r="G91" s="64"/>
      <c r="H91" s="76" t="str">
        <f>IFERROR(__xludf.DUMMYFUNCTION("IFERROR(VLOOKUP(E91,IMPORTRANGE(""https://docs.google.com/spreadsheets/d/1xZyKy-UzMmtPDLpV5jQdYum1LtbR8XKDuasLSjmBRMI/edit#gid=1241094406"",""COMBINED DATA!E3:L""),8,0))"),"")</f>
        <v/>
      </c>
      <c r="I91" s="76"/>
      <c r="J91" s="65"/>
      <c r="K91" s="85"/>
      <c r="L91" s="85"/>
      <c r="M91" s="85"/>
      <c r="N91" s="85"/>
      <c r="O91" s="89"/>
      <c r="P91" s="89"/>
      <c r="Q91" s="89"/>
      <c r="R91" s="89"/>
      <c r="S91" s="89"/>
      <c r="T91" s="89"/>
      <c r="U91" s="89"/>
      <c r="V91" s="89"/>
      <c r="W91" s="89"/>
      <c r="X91" s="89"/>
      <c r="Y91" s="89"/>
    </row>
    <row r="92" ht="22.5" customHeight="1">
      <c r="A92" s="34"/>
      <c r="B92" s="62" t="s">
        <v>289</v>
      </c>
      <c r="C92" s="45"/>
      <c r="D92" s="45"/>
      <c r="E92" s="45"/>
      <c r="F92" s="46"/>
      <c r="G92" s="64"/>
      <c r="H92" s="76" t="str">
        <f>IFERROR(__xludf.DUMMYFUNCTION("IFERROR(VLOOKUP(E92,IMPORTRANGE(""https://docs.google.com/spreadsheets/d/1xZyKy-UzMmtPDLpV5jQdYum1LtbR8XKDuasLSjmBRMI/edit#gid=1241094406"",""COMBINED DATA!E3:L""),8,0))"),"")</f>
        <v/>
      </c>
      <c r="I92" s="76"/>
      <c r="J92" s="65"/>
      <c r="K92" s="85"/>
      <c r="L92" s="85"/>
      <c r="M92" s="85"/>
      <c r="N92" s="85"/>
      <c r="O92" s="89"/>
      <c r="P92" s="89"/>
      <c r="Q92" s="89"/>
      <c r="R92" s="89"/>
      <c r="S92" s="89"/>
      <c r="T92" s="89"/>
      <c r="U92" s="89"/>
      <c r="V92" s="89"/>
      <c r="W92" s="89"/>
      <c r="X92" s="89"/>
      <c r="Y92" s="89"/>
    </row>
    <row r="93" ht="15.75" customHeight="1">
      <c r="A93" s="67" t="str">
        <f>$B$92&amp;C93</f>
        <v>Coupling (Sch-40)6</v>
      </c>
      <c r="B93" s="68">
        <v>1.0</v>
      </c>
      <c r="C93" s="110">
        <v>6.0</v>
      </c>
      <c r="D93" s="110">
        <v>150.0</v>
      </c>
      <c r="E93" s="111" t="s">
        <v>293</v>
      </c>
      <c r="F93" s="56">
        <v>2170.0</v>
      </c>
      <c r="G93" s="76">
        <f>IFERROR(__xludf.DUMMYFUNCTION("ArrayFormula(IFERROR(VLOOKUP(E93,IMPORTRANGE(""https://docs.google.com/spreadsheets/d/1xZyKy-UzMmtPDLpV5jQdYum1LtbR8XKDuasLSjmBRMI/edit#gid=1241094406"",""COMBINED DATA!E3:L""),{7,8},0)))"),0.964)</f>
        <v>0.964</v>
      </c>
      <c r="H93" s="76">
        <f>IFERROR(__xludf.DUMMYFUNCTION("""COMPUTED_VALUE"""),0.0)</f>
        <v>0</v>
      </c>
      <c r="I93" s="76">
        <f>G93+H93</f>
        <v>0.964</v>
      </c>
      <c r="J93" s="84">
        <f>IFERROR(F93/I93,"")</f>
        <v>2251.037344</v>
      </c>
      <c r="K93" s="85"/>
      <c r="L93" s="85"/>
      <c r="M93" s="85"/>
      <c r="N93" s="85"/>
      <c r="O93" s="139"/>
      <c r="P93" s="89"/>
      <c r="Q93" s="89"/>
      <c r="R93" s="89"/>
      <c r="S93" s="89"/>
      <c r="T93" s="89"/>
      <c r="U93" s="89"/>
      <c r="V93" s="89"/>
      <c r="W93" s="89"/>
      <c r="X93" s="89"/>
      <c r="Y93" s="89"/>
    </row>
    <row r="94" ht="6.0" customHeight="1">
      <c r="A94" s="34"/>
      <c r="B94" s="119"/>
      <c r="C94" s="120"/>
      <c r="D94" s="120"/>
      <c r="E94" s="121"/>
      <c r="F94" s="107"/>
      <c r="G94" s="64"/>
      <c r="H94" s="76" t="str">
        <f>IFERROR(__xludf.DUMMYFUNCTION("IFERROR(VLOOKUP(E94,IMPORTRANGE(""https://docs.google.com/spreadsheets/d/1xZyKy-UzMmtPDLpV5jQdYum1LtbR8XKDuasLSjmBRMI/edit#gid=1241094406"",""COMBINED DATA!E3:L""),8,0))"),"")</f>
        <v/>
      </c>
      <c r="I94" s="76"/>
      <c r="J94" s="65"/>
      <c r="K94" s="85"/>
      <c r="L94" s="85"/>
      <c r="M94" s="85"/>
      <c r="N94" s="85"/>
      <c r="O94" s="89"/>
      <c r="P94" s="89"/>
      <c r="Q94" s="89"/>
      <c r="R94" s="89"/>
      <c r="S94" s="89"/>
      <c r="T94" s="89"/>
      <c r="U94" s="89"/>
      <c r="V94" s="89"/>
      <c r="W94" s="89"/>
      <c r="X94" s="89"/>
      <c r="Y94" s="89"/>
    </row>
    <row r="95" ht="22.5" customHeight="1">
      <c r="A95" s="34"/>
      <c r="B95" s="62" t="s">
        <v>297</v>
      </c>
      <c r="C95" s="45"/>
      <c r="D95" s="45"/>
      <c r="E95" s="45"/>
      <c r="F95" s="46"/>
      <c r="G95" s="64"/>
      <c r="H95" s="76" t="str">
        <f>IFERROR(__xludf.DUMMYFUNCTION("IFERROR(VLOOKUP(E95,IMPORTRANGE(""https://docs.google.com/spreadsheets/d/1xZyKy-UzMmtPDLpV5jQdYum1LtbR8XKDuasLSjmBRMI/edit#gid=1241094406"",""COMBINED DATA!E3:L""),8,0))"),"")</f>
        <v/>
      </c>
      <c r="I95" s="76"/>
      <c r="J95" s="65"/>
      <c r="K95" s="85"/>
      <c r="L95" s="85"/>
      <c r="M95" s="85"/>
      <c r="N95" s="85"/>
      <c r="O95" s="89"/>
      <c r="P95" s="89"/>
      <c r="Q95" s="89"/>
      <c r="R95" s="89"/>
      <c r="S95" s="89"/>
      <c r="T95" s="89"/>
      <c r="U95" s="89"/>
      <c r="V95" s="89"/>
      <c r="W95" s="89"/>
      <c r="X95" s="89"/>
      <c r="Y95" s="89"/>
    </row>
    <row r="96" ht="15.75" customHeight="1">
      <c r="A96" s="67" t="str">
        <f t="shared" ref="A96:A106" si="30">$B$95&amp;C96</f>
        <v>Reducer Coupling3⁄4 x 1⁄2</v>
      </c>
      <c r="B96" s="68">
        <v>1.0</v>
      </c>
      <c r="C96" s="110" t="s">
        <v>144</v>
      </c>
      <c r="D96" s="110" t="s">
        <v>145</v>
      </c>
      <c r="E96" s="111" t="s">
        <v>298</v>
      </c>
      <c r="F96" s="56">
        <v>22.0</v>
      </c>
      <c r="G96" s="76">
        <f>IFERROR(__xludf.DUMMYFUNCTION("ArrayFormula(IFERROR(VLOOKUP(E96,IMPORTRANGE(""https://docs.google.com/spreadsheets/d/1xZyKy-UzMmtPDLpV5jQdYum1LtbR8XKDuasLSjmBRMI/edit#gid=1241094406"",""COMBINED DATA!E3:L""),{7,8},0)))"),0.01)</f>
        <v>0.01</v>
      </c>
      <c r="H96" s="76">
        <f>IFERROR(__xludf.DUMMYFUNCTION("""COMPUTED_VALUE"""),0.0)</f>
        <v>0</v>
      </c>
      <c r="I96" s="76">
        <f t="shared" ref="I96:I106" si="31">G96+H96</f>
        <v>0.01</v>
      </c>
      <c r="J96" s="84">
        <f t="shared" ref="J96:J106" si="32">IFERROR(F96/I96,"")</f>
        <v>2200</v>
      </c>
      <c r="K96" s="85"/>
      <c r="L96" s="85"/>
      <c r="M96" s="85"/>
      <c r="N96" s="85"/>
      <c r="O96" s="139"/>
      <c r="P96" s="89"/>
      <c r="Q96" s="89"/>
      <c r="R96" s="89"/>
      <c r="S96" s="89"/>
      <c r="T96" s="89"/>
      <c r="U96" s="89"/>
      <c r="V96" s="89"/>
      <c r="W96" s="89"/>
      <c r="X96" s="89"/>
      <c r="Y96" s="89"/>
    </row>
    <row r="97" ht="15.75" customHeight="1">
      <c r="A97" s="67" t="str">
        <f t="shared" si="30"/>
        <v>Reducer Coupling1 x 3⁄4</v>
      </c>
      <c r="B97" s="90">
        <v>2.0</v>
      </c>
      <c r="C97" s="127" t="s">
        <v>153</v>
      </c>
      <c r="D97" s="127" t="s">
        <v>155</v>
      </c>
      <c r="E97" s="112" t="s">
        <v>300</v>
      </c>
      <c r="F97" s="56">
        <v>39.0</v>
      </c>
      <c r="G97" s="76">
        <f>IFERROR(__xludf.DUMMYFUNCTION("ArrayFormula(IFERROR(VLOOKUP(E97,IMPORTRANGE(""https://docs.google.com/spreadsheets/d/1xZyKy-UzMmtPDLpV5jQdYum1LtbR8XKDuasLSjmBRMI/edit#gid=1241094406"",""COMBINED DATA!E3:L""),{7,8},0)))"),0.0195)</f>
        <v>0.0195</v>
      </c>
      <c r="H97" s="76">
        <f>IFERROR(__xludf.DUMMYFUNCTION("""COMPUTED_VALUE"""),0.0)</f>
        <v>0</v>
      </c>
      <c r="I97" s="76">
        <f t="shared" si="31"/>
        <v>0.0195</v>
      </c>
      <c r="J97" s="84">
        <f t="shared" si="32"/>
        <v>2000</v>
      </c>
      <c r="K97" s="85"/>
      <c r="L97" s="85"/>
      <c r="M97" s="85"/>
      <c r="N97" s="85"/>
      <c r="O97" s="139"/>
      <c r="P97" s="89"/>
      <c r="Q97" s="89"/>
      <c r="R97" s="89"/>
      <c r="S97" s="89"/>
      <c r="T97" s="89"/>
      <c r="U97" s="89"/>
      <c r="V97" s="89"/>
      <c r="W97" s="89"/>
      <c r="X97" s="89"/>
      <c r="Y97" s="89"/>
    </row>
    <row r="98" ht="15.75" customHeight="1">
      <c r="A98" s="67" t="str">
        <f t="shared" si="30"/>
        <v>Reducer Coupling1 1⁄4 x 3⁄4</v>
      </c>
      <c r="B98" s="90">
        <v>3.0</v>
      </c>
      <c r="C98" s="127" t="s">
        <v>303</v>
      </c>
      <c r="D98" s="127" t="s">
        <v>304</v>
      </c>
      <c r="E98" s="112" t="s">
        <v>305</v>
      </c>
      <c r="F98" s="56">
        <v>79.0</v>
      </c>
      <c r="G98" s="76">
        <f>IFERROR(__xludf.DUMMYFUNCTION("ArrayFormula(IFERROR(VLOOKUP(E98,IMPORTRANGE(""https://docs.google.com/spreadsheets/d/1xZyKy-UzMmtPDLpV5jQdYum1LtbR8XKDuasLSjmBRMI/edit#gid=1241094406"",""COMBINED DATA!E3:L""),{7,8},0)))"),0.032299999999999995)</f>
        <v>0.0323</v>
      </c>
      <c r="H98" s="76">
        <f>IFERROR(__xludf.DUMMYFUNCTION("""COMPUTED_VALUE"""),0.0)</f>
        <v>0</v>
      </c>
      <c r="I98" s="76">
        <f t="shared" si="31"/>
        <v>0.0323</v>
      </c>
      <c r="J98" s="84">
        <f t="shared" si="32"/>
        <v>2445.820433</v>
      </c>
      <c r="K98" s="85"/>
      <c r="L98" s="85"/>
      <c r="M98" s="85"/>
      <c r="N98" s="85"/>
      <c r="O98" s="139"/>
      <c r="P98" s="89"/>
      <c r="Q98" s="89"/>
      <c r="R98" s="89"/>
      <c r="S98" s="89"/>
      <c r="T98" s="89"/>
      <c r="U98" s="89"/>
      <c r="V98" s="89"/>
      <c r="W98" s="89"/>
      <c r="X98" s="89"/>
      <c r="Y98" s="89"/>
    </row>
    <row r="99" ht="15.75" customHeight="1">
      <c r="A99" s="67" t="str">
        <f t="shared" si="30"/>
        <v>Reducer Coupling1 1⁄4 x 1</v>
      </c>
      <c r="B99" s="90">
        <v>4.0</v>
      </c>
      <c r="C99" s="127" t="s">
        <v>306</v>
      </c>
      <c r="D99" s="127" t="s">
        <v>307</v>
      </c>
      <c r="E99" s="112" t="s">
        <v>308</v>
      </c>
      <c r="F99" s="56">
        <v>81.8</v>
      </c>
      <c r="G99" s="76">
        <f>IFERROR(__xludf.DUMMYFUNCTION("ArrayFormula(IFERROR(VLOOKUP(E99,IMPORTRANGE(""https://docs.google.com/spreadsheets/d/1xZyKy-UzMmtPDLpV5jQdYum1LtbR8XKDuasLSjmBRMI/edit#gid=1241094406"",""COMBINED DATA!E3:L""),{7,8},0)))"),0.032)</f>
        <v>0.032</v>
      </c>
      <c r="H99" s="76">
        <f>IFERROR(__xludf.DUMMYFUNCTION("""COMPUTED_VALUE"""),0.0)</f>
        <v>0</v>
      </c>
      <c r="I99" s="76">
        <f t="shared" si="31"/>
        <v>0.032</v>
      </c>
      <c r="J99" s="84">
        <f t="shared" si="32"/>
        <v>2556.25</v>
      </c>
      <c r="K99" s="85"/>
      <c r="L99" s="85"/>
      <c r="M99" s="85"/>
      <c r="N99" s="85"/>
      <c r="O99" s="139"/>
      <c r="P99" s="89"/>
      <c r="Q99" s="89"/>
      <c r="R99" s="89"/>
      <c r="S99" s="89"/>
      <c r="T99" s="89"/>
      <c r="U99" s="89"/>
      <c r="V99" s="89"/>
      <c r="W99" s="89"/>
      <c r="X99" s="89"/>
      <c r="Y99" s="89"/>
    </row>
    <row r="100" ht="15.75" customHeight="1">
      <c r="A100" s="67" t="str">
        <f t="shared" si="30"/>
        <v>Reducer Coupling1 1⁄2 x 3⁄4</v>
      </c>
      <c r="B100" s="90">
        <v>5.0</v>
      </c>
      <c r="C100" s="127" t="s">
        <v>310</v>
      </c>
      <c r="D100" s="127" t="s">
        <v>311</v>
      </c>
      <c r="E100" s="112" t="s">
        <v>312</v>
      </c>
      <c r="F100" s="56">
        <v>116.0</v>
      </c>
      <c r="G100" s="76">
        <f>IFERROR(__xludf.DUMMYFUNCTION("ArrayFormula(IFERROR(VLOOKUP(E100,IMPORTRANGE(""https://docs.google.com/spreadsheets/d/1xZyKy-UzMmtPDLpV5jQdYum1LtbR8XKDuasLSjmBRMI/edit#gid=1241094406"",""COMBINED DATA!E3:L""),{7,8},0)))"),0.0)</f>
        <v>0</v>
      </c>
      <c r="H100" s="76">
        <f>IFERROR(__xludf.DUMMYFUNCTION("""COMPUTED_VALUE"""),0.0)</f>
        <v>0</v>
      </c>
      <c r="I100" s="76">
        <f t="shared" si="31"/>
        <v>0</v>
      </c>
      <c r="J100" s="84" t="str">
        <f t="shared" si="32"/>
        <v/>
      </c>
      <c r="K100" s="85"/>
      <c r="L100" s="85"/>
      <c r="M100" s="85"/>
      <c r="N100" s="85"/>
      <c r="O100" s="139"/>
      <c r="P100" s="89"/>
      <c r="Q100" s="89"/>
      <c r="R100" s="89"/>
      <c r="S100" s="89"/>
      <c r="T100" s="89"/>
      <c r="U100" s="89"/>
      <c r="V100" s="89"/>
      <c r="W100" s="89"/>
      <c r="X100" s="89"/>
      <c r="Y100" s="89"/>
    </row>
    <row r="101" ht="15.75" customHeight="1">
      <c r="A101" s="67" t="str">
        <f t="shared" si="30"/>
        <v>Reducer Coupling1 1⁄2 x 1</v>
      </c>
      <c r="B101" s="90">
        <v>6.0</v>
      </c>
      <c r="C101" s="127" t="s">
        <v>313</v>
      </c>
      <c r="D101" s="127" t="s">
        <v>314</v>
      </c>
      <c r="E101" s="112" t="s">
        <v>315</v>
      </c>
      <c r="F101" s="56">
        <v>119.0</v>
      </c>
      <c r="G101" s="76">
        <f>IFERROR(__xludf.DUMMYFUNCTION("ArrayFormula(IFERROR(VLOOKUP(E101,IMPORTRANGE(""https://docs.google.com/spreadsheets/d/1xZyKy-UzMmtPDLpV5jQdYum1LtbR8XKDuasLSjmBRMI/edit#gid=1241094406"",""COMBINED DATA!E3:L""),{7,8},0)))"),0.0515)</f>
        <v>0.0515</v>
      </c>
      <c r="H101" s="76">
        <f>IFERROR(__xludf.DUMMYFUNCTION("""COMPUTED_VALUE"""),0.0)</f>
        <v>0</v>
      </c>
      <c r="I101" s="76">
        <f t="shared" si="31"/>
        <v>0.0515</v>
      </c>
      <c r="J101" s="84">
        <f t="shared" si="32"/>
        <v>2310.679612</v>
      </c>
      <c r="K101" s="85"/>
      <c r="L101" s="85"/>
      <c r="M101" s="85"/>
      <c r="N101" s="85"/>
      <c r="O101" s="139"/>
      <c r="P101" s="89"/>
      <c r="Q101" s="89"/>
      <c r="R101" s="89"/>
      <c r="S101" s="89"/>
      <c r="T101" s="89"/>
      <c r="U101" s="89"/>
      <c r="V101" s="89"/>
      <c r="W101" s="89"/>
      <c r="X101" s="89"/>
      <c r="Y101" s="89"/>
    </row>
    <row r="102" ht="15.75" customHeight="1">
      <c r="A102" s="67" t="str">
        <f t="shared" si="30"/>
        <v>Reducer Coupling1 1⁄2 x 1 1⁄4</v>
      </c>
      <c r="B102" s="90">
        <v>7.0</v>
      </c>
      <c r="C102" s="127" t="s">
        <v>317</v>
      </c>
      <c r="D102" s="127" t="s">
        <v>318</v>
      </c>
      <c r="E102" s="112" t="s">
        <v>319</v>
      </c>
      <c r="F102" s="56">
        <v>114.0</v>
      </c>
      <c r="G102" s="76">
        <f>IFERROR(__xludf.DUMMYFUNCTION("ArrayFormula(IFERROR(VLOOKUP(E102,IMPORTRANGE(""https://docs.google.com/spreadsheets/d/1xZyKy-UzMmtPDLpV5jQdYum1LtbR8XKDuasLSjmBRMI/edit#gid=1241094406"",""COMBINED DATA!E3:L""),{7,8},0)))"),0.058)</f>
        <v>0.058</v>
      </c>
      <c r="H102" s="76">
        <f>IFERROR(__xludf.DUMMYFUNCTION("""COMPUTED_VALUE"""),0.0)</f>
        <v>0</v>
      </c>
      <c r="I102" s="76">
        <f t="shared" si="31"/>
        <v>0.058</v>
      </c>
      <c r="J102" s="84">
        <f t="shared" si="32"/>
        <v>1965.517241</v>
      </c>
      <c r="K102" s="85"/>
      <c r="L102" s="85"/>
      <c r="M102" s="85"/>
      <c r="N102" s="85"/>
      <c r="O102" s="139"/>
      <c r="P102" s="89"/>
      <c r="Q102" s="89"/>
      <c r="R102" s="89"/>
      <c r="S102" s="89"/>
      <c r="T102" s="89"/>
      <c r="U102" s="89"/>
      <c r="V102" s="89"/>
      <c r="W102" s="89"/>
      <c r="X102" s="89"/>
      <c r="Y102" s="89"/>
    </row>
    <row r="103" ht="15.75" customHeight="1">
      <c r="A103" s="67" t="str">
        <f t="shared" si="30"/>
        <v>Reducer Coupling2 x 3⁄4</v>
      </c>
      <c r="B103" s="90">
        <v>8.0</v>
      </c>
      <c r="C103" s="127" t="s">
        <v>320</v>
      </c>
      <c r="D103" s="127" t="s">
        <v>321</v>
      </c>
      <c r="E103" s="112" t="s">
        <v>322</v>
      </c>
      <c r="F103" s="56">
        <v>244.0</v>
      </c>
      <c r="G103" s="76">
        <f>IFERROR(__xludf.DUMMYFUNCTION("ArrayFormula(IFERROR(VLOOKUP(E103,IMPORTRANGE(""https://docs.google.com/spreadsheets/d/1xZyKy-UzMmtPDLpV5jQdYum1LtbR8XKDuasLSjmBRMI/edit#gid=1241094406"",""COMBINED DATA!E3:L""),{7,8},0)))"),0.0)</f>
        <v>0</v>
      </c>
      <c r="H103" s="76">
        <f>IFERROR(__xludf.DUMMYFUNCTION("""COMPUTED_VALUE"""),0.0)</f>
        <v>0</v>
      </c>
      <c r="I103" s="76">
        <f t="shared" si="31"/>
        <v>0</v>
      </c>
      <c r="J103" s="84" t="str">
        <f t="shared" si="32"/>
        <v/>
      </c>
      <c r="K103" s="85"/>
      <c r="L103" s="85"/>
      <c r="M103" s="85"/>
      <c r="N103" s="85"/>
      <c r="O103" s="139"/>
      <c r="P103" s="89"/>
      <c r="Q103" s="89"/>
      <c r="R103" s="89"/>
      <c r="S103" s="89"/>
      <c r="T103" s="89"/>
      <c r="U103" s="89"/>
      <c r="V103" s="89"/>
      <c r="W103" s="89"/>
      <c r="X103" s="89"/>
      <c r="Y103" s="89"/>
    </row>
    <row r="104" ht="15.75" customHeight="1">
      <c r="A104" s="67" t="str">
        <f t="shared" si="30"/>
        <v>Reducer Coupling2 x 1</v>
      </c>
      <c r="B104" s="90">
        <v>9.0</v>
      </c>
      <c r="C104" s="127" t="s">
        <v>324</v>
      </c>
      <c r="D104" s="127" t="s">
        <v>325</v>
      </c>
      <c r="E104" s="112" t="s">
        <v>326</v>
      </c>
      <c r="F104" s="56">
        <v>244.0</v>
      </c>
      <c r="G104" s="76">
        <f>IFERROR(__xludf.DUMMYFUNCTION("ArrayFormula(IFERROR(VLOOKUP(E104,IMPORTRANGE(""https://docs.google.com/spreadsheets/d/1xZyKy-UzMmtPDLpV5jQdYum1LtbR8XKDuasLSjmBRMI/edit#gid=1241094406"",""COMBINED DATA!E3:L""),{7,8},0)))"),0.0)</f>
        <v>0</v>
      </c>
      <c r="H104" s="76">
        <f>IFERROR(__xludf.DUMMYFUNCTION("""COMPUTED_VALUE"""),0.0)</f>
        <v>0</v>
      </c>
      <c r="I104" s="76">
        <f t="shared" si="31"/>
        <v>0</v>
      </c>
      <c r="J104" s="84" t="str">
        <f t="shared" si="32"/>
        <v/>
      </c>
      <c r="K104" s="85"/>
      <c r="L104" s="85"/>
      <c r="M104" s="85"/>
      <c r="N104" s="85"/>
      <c r="O104" s="139"/>
      <c r="P104" s="89"/>
      <c r="Q104" s="89"/>
      <c r="R104" s="89"/>
      <c r="S104" s="89"/>
      <c r="T104" s="89"/>
      <c r="U104" s="89"/>
      <c r="V104" s="89"/>
      <c r="W104" s="89"/>
      <c r="X104" s="89"/>
      <c r="Y104" s="89"/>
    </row>
    <row r="105" ht="15.75" customHeight="1">
      <c r="A105" s="67" t="str">
        <f t="shared" si="30"/>
        <v>Reducer Coupling2 x 1 1⁄4</v>
      </c>
      <c r="B105" s="90">
        <v>10.0</v>
      </c>
      <c r="C105" s="127" t="s">
        <v>327</v>
      </c>
      <c r="D105" s="127" t="s">
        <v>328</v>
      </c>
      <c r="E105" s="112" t="s">
        <v>329</v>
      </c>
      <c r="F105" s="56">
        <v>244.0</v>
      </c>
      <c r="G105" s="76">
        <f>IFERROR(__xludf.DUMMYFUNCTION("ArrayFormula(IFERROR(VLOOKUP(E105,IMPORTRANGE(""https://docs.google.com/spreadsheets/d/1xZyKy-UzMmtPDLpV5jQdYum1LtbR8XKDuasLSjmBRMI/edit#gid=1241094406"",""COMBINED DATA!E3:L""),{7,8},0)))"),0.0)</f>
        <v>0</v>
      </c>
      <c r="H105" s="76">
        <f>IFERROR(__xludf.DUMMYFUNCTION("""COMPUTED_VALUE"""),0.0)</f>
        <v>0</v>
      </c>
      <c r="I105" s="76">
        <f t="shared" si="31"/>
        <v>0</v>
      </c>
      <c r="J105" s="84" t="str">
        <f t="shared" si="32"/>
        <v/>
      </c>
      <c r="K105" s="85"/>
      <c r="L105" s="85"/>
      <c r="M105" s="85"/>
      <c r="N105" s="85"/>
      <c r="O105" s="139"/>
      <c r="P105" s="89"/>
      <c r="Q105" s="89"/>
      <c r="R105" s="89"/>
      <c r="S105" s="89"/>
      <c r="T105" s="89"/>
      <c r="U105" s="89"/>
      <c r="V105" s="89"/>
      <c r="W105" s="89"/>
      <c r="X105" s="89"/>
      <c r="Y105" s="89"/>
    </row>
    <row r="106" ht="15.75" customHeight="1">
      <c r="A106" s="67" t="str">
        <f t="shared" si="30"/>
        <v>Reducer Coupling2 x 1 1⁄2</v>
      </c>
      <c r="B106" s="90">
        <v>11.0</v>
      </c>
      <c r="C106" s="127" t="s">
        <v>331</v>
      </c>
      <c r="D106" s="127" t="s">
        <v>332</v>
      </c>
      <c r="E106" s="112" t="s">
        <v>333</v>
      </c>
      <c r="F106" s="56">
        <v>248.0</v>
      </c>
      <c r="G106" s="76">
        <f>IFERROR(__xludf.DUMMYFUNCTION("ArrayFormula(IFERROR(VLOOKUP(E106,IMPORTRANGE(""https://docs.google.com/spreadsheets/d/1xZyKy-UzMmtPDLpV5jQdYum1LtbR8XKDuasLSjmBRMI/edit#gid=1241094406"",""COMBINED DATA!E3:L""),{7,8},0)))"),0.0)</f>
        <v>0</v>
      </c>
      <c r="H106" s="76">
        <f>IFERROR(__xludf.DUMMYFUNCTION("""COMPUTED_VALUE"""),0.0)</f>
        <v>0</v>
      </c>
      <c r="I106" s="76">
        <f t="shared" si="31"/>
        <v>0</v>
      </c>
      <c r="J106" s="84" t="str">
        <f t="shared" si="32"/>
        <v/>
      </c>
      <c r="K106" s="85"/>
      <c r="L106" s="85"/>
      <c r="M106" s="85"/>
      <c r="N106" s="85"/>
      <c r="O106" s="139"/>
      <c r="P106" s="89"/>
      <c r="Q106" s="89"/>
      <c r="R106" s="89"/>
      <c r="S106" s="89"/>
      <c r="T106" s="89"/>
      <c r="U106" s="89"/>
      <c r="V106" s="89"/>
      <c r="W106" s="89"/>
      <c r="X106" s="89"/>
      <c r="Y106" s="89"/>
    </row>
    <row r="107">
      <c r="A107" s="100"/>
      <c r="B107" s="102" t="s">
        <v>11</v>
      </c>
      <c r="C107" s="45"/>
      <c r="D107" s="45"/>
      <c r="E107" s="46"/>
      <c r="F107" s="131">
        <f>sum(F96:F106)</f>
        <v>1550.8</v>
      </c>
      <c r="G107" s="104"/>
      <c r="H107" s="76" t="str">
        <f>IFERROR(__xludf.DUMMYFUNCTION("IFERROR(VLOOKUP(E107,IMPORTRANGE(""https://docs.google.com/spreadsheets/d/1xZyKy-UzMmtPDLpV5jQdYum1LtbR8XKDuasLSjmBRMI/edit#gid=1241094406"",""COMBINED DATA!E3:L""),8,0))"),"")</f>
        <v/>
      </c>
      <c r="I107" s="76"/>
      <c r="J107" s="116"/>
      <c r="K107" s="85"/>
      <c r="L107" s="85"/>
      <c r="M107" s="85"/>
      <c r="N107" s="85"/>
      <c r="O107" s="89"/>
      <c r="P107" s="89"/>
      <c r="Q107" s="89"/>
      <c r="R107" s="89"/>
      <c r="S107" s="89"/>
      <c r="T107" s="89"/>
      <c r="U107" s="89"/>
      <c r="V107" s="89"/>
      <c r="W107" s="89"/>
      <c r="X107" s="89"/>
      <c r="Y107" s="89"/>
    </row>
    <row r="108" ht="5.25" customHeight="1">
      <c r="A108" s="34"/>
      <c r="B108" s="119"/>
      <c r="C108" s="120"/>
      <c r="D108" s="120"/>
      <c r="E108" s="121"/>
      <c r="F108" s="107"/>
      <c r="G108" s="64"/>
      <c r="H108" s="76" t="str">
        <f>IFERROR(__xludf.DUMMYFUNCTION("IFERROR(VLOOKUP(E108,IMPORTRANGE(""https://docs.google.com/spreadsheets/d/1xZyKy-UzMmtPDLpV5jQdYum1LtbR8XKDuasLSjmBRMI/edit#gid=1241094406"",""COMBINED DATA!E3:L""),8,0))"),"")</f>
        <v/>
      </c>
      <c r="I108" s="76"/>
      <c r="J108" s="65"/>
      <c r="K108" s="85"/>
      <c r="L108" s="85"/>
      <c r="M108" s="85"/>
      <c r="N108" s="85"/>
      <c r="O108" s="89"/>
      <c r="P108" s="89"/>
      <c r="Q108" s="89"/>
      <c r="R108" s="89"/>
      <c r="S108" s="89"/>
      <c r="T108" s="89"/>
      <c r="U108" s="89"/>
      <c r="V108" s="89"/>
      <c r="W108" s="89"/>
      <c r="X108" s="89"/>
      <c r="Y108" s="89"/>
    </row>
    <row r="109" ht="22.5" customHeight="1">
      <c r="A109" s="34"/>
      <c r="B109" s="62" t="s">
        <v>337</v>
      </c>
      <c r="C109" s="45"/>
      <c r="D109" s="45"/>
      <c r="E109" s="45"/>
      <c r="F109" s="46"/>
      <c r="G109" s="64"/>
      <c r="H109" s="76" t="str">
        <f>IFERROR(__xludf.DUMMYFUNCTION("IFERROR(VLOOKUP(E109,IMPORTRANGE(""https://docs.google.com/spreadsheets/d/1xZyKy-UzMmtPDLpV5jQdYum1LtbR8XKDuasLSjmBRMI/edit#gid=1241094406"",""COMBINED DATA!E3:L""),8,0))"),"")</f>
        <v/>
      </c>
      <c r="I109" s="76"/>
      <c r="J109" s="65"/>
      <c r="K109" s="85"/>
      <c r="L109" s="85"/>
      <c r="M109" s="85"/>
      <c r="N109" s="85"/>
      <c r="O109" s="89"/>
      <c r="P109" s="89"/>
      <c r="Q109" s="89"/>
      <c r="R109" s="89"/>
      <c r="S109" s="89"/>
      <c r="T109" s="89"/>
      <c r="U109" s="89"/>
      <c r="V109" s="89"/>
      <c r="W109" s="89"/>
      <c r="X109" s="89"/>
      <c r="Y109" s="89"/>
    </row>
    <row r="110" ht="15.75" customHeight="1">
      <c r="A110" s="67" t="str">
        <f t="shared" ref="A110:A113" si="33">$B$109&amp;C110</f>
        <v>Transition Bushing3⁄4</v>
      </c>
      <c r="B110" s="81">
        <v>1.0</v>
      </c>
      <c r="C110" s="144" t="s">
        <v>51</v>
      </c>
      <c r="D110" s="145" t="s">
        <v>341</v>
      </c>
      <c r="E110" s="111" t="s">
        <v>342</v>
      </c>
      <c r="F110" s="56">
        <v>28.4</v>
      </c>
      <c r="G110" s="76">
        <f>IFERROR(__xludf.DUMMYFUNCTION("ArrayFormula(IFERROR(VLOOKUP(E110,IMPORTRANGE(""https://docs.google.com/spreadsheets/d/1xZyKy-UzMmtPDLpV5jQdYum1LtbR8XKDuasLSjmBRMI/edit#gid=1241094406"",""COMBINED DATA!E3:L""),{7,8},0)))"),0.0293)</f>
        <v>0.0293</v>
      </c>
      <c r="H110" s="76">
        <f>IFERROR(__xludf.DUMMYFUNCTION("""COMPUTED_VALUE"""),0.0)</f>
        <v>0</v>
      </c>
      <c r="I110" s="76">
        <f t="shared" ref="I110:I113" si="34">G110+H110</f>
        <v>0.0293</v>
      </c>
      <c r="J110" s="84">
        <f t="shared" ref="J110:J113" si="35">IFERROR(F110/I110,"")</f>
        <v>969.2832765</v>
      </c>
      <c r="K110" s="85"/>
      <c r="L110" s="85"/>
      <c r="M110" s="85"/>
      <c r="N110" s="85"/>
      <c r="O110" s="139"/>
      <c r="P110" s="89"/>
      <c r="Q110" s="89"/>
      <c r="R110" s="89"/>
      <c r="S110" s="89"/>
      <c r="T110" s="89"/>
      <c r="U110" s="89"/>
      <c r="V110" s="89"/>
      <c r="W110" s="89"/>
      <c r="X110" s="89"/>
      <c r="Y110" s="89"/>
    </row>
    <row r="111" ht="15.75" customHeight="1">
      <c r="A111" s="67" t="str">
        <f t="shared" si="33"/>
        <v>Transition Bushing1</v>
      </c>
      <c r="B111" s="81">
        <v>2.0</v>
      </c>
      <c r="C111" s="147" t="s">
        <v>84</v>
      </c>
      <c r="D111" s="148" t="s">
        <v>346</v>
      </c>
      <c r="E111" s="112" t="s">
        <v>348</v>
      </c>
      <c r="F111" s="56">
        <v>38.8</v>
      </c>
      <c r="G111" s="76">
        <f>IFERROR(__xludf.DUMMYFUNCTION("ArrayFormula(IFERROR(VLOOKUP(E111,IMPORTRANGE(""https://docs.google.com/spreadsheets/d/1xZyKy-UzMmtPDLpV5jQdYum1LtbR8XKDuasLSjmBRMI/edit#gid=1241094406"",""COMBINED DATA!E3:L""),{7,8},0)))"),0.026)</f>
        <v>0.026</v>
      </c>
      <c r="H111" s="76">
        <f>IFERROR(__xludf.DUMMYFUNCTION("""COMPUTED_VALUE"""),0.0)</f>
        <v>0</v>
      </c>
      <c r="I111" s="76">
        <f t="shared" si="34"/>
        <v>0.026</v>
      </c>
      <c r="J111" s="84">
        <f t="shared" si="35"/>
        <v>1492.307692</v>
      </c>
      <c r="K111" s="85"/>
      <c r="L111" s="85"/>
      <c r="M111" s="85"/>
      <c r="N111" s="85"/>
      <c r="O111" s="139"/>
      <c r="P111" s="89"/>
      <c r="Q111" s="89"/>
      <c r="R111" s="89"/>
      <c r="S111" s="89"/>
      <c r="T111" s="89"/>
      <c r="U111" s="89"/>
      <c r="V111" s="89"/>
      <c r="W111" s="89"/>
      <c r="X111" s="89"/>
      <c r="Y111" s="89"/>
    </row>
    <row r="112" ht="15.75" customHeight="1">
      <c r="A112" s="67" t="str">
        <f t="shared" si="33"/>
        <v>Transition Bushing1</v>
      </c>
      <c r="B112" s="81">
        <v>3.0</v>
      </c>
      <c r="C112" s="147" t="s">
        <v>84</v>
      </c>
      <c r="D112" s="148" t="s">
        <v>346</v>
      </c>
      <c r="E112" s="112" t="s">
        <v>350</v>
      </c>
      <c r="F112" s="56">
        <v>28.4</v>
      </c>
      <c r="G112" s="76">
        <f>IFERROR(__xludf.DUMMYFUNCTION("ArrayFormula(IFERROR(VLOOKUP(E112,IMPORTRANGE(""https://docs.google.com/spreadsheets/d/1xZyKy-UzMmtPDLpV5jQdYum1LtbR8XKDuasLSjmBRMI/edit#gid=1241094406"",""COMBINED DATA!E3:L""),{7,8},0)))"),0.0129)</f>
        <v>0.0129</v>
      </c>
      <c r="H112" s="76">
        <f>IFERROR(__xludf.DUMMYFUNCTION("""COMPUTED_VALUE"""),0.0)</f>
        <v>0</v>
      </c>
      <c r="I112" s="76">
        <f t="shared" si="34"/>
        <v>0.0129</v>
      </c>
      <c r="J112" s="84">
        <f t="shared" si="35"/>
        <v>2201.550388</v>
      </c>
      <c r="K112" s="85"/>
      <c r="L112" s="85"/>
      <c r="M112" s="85"/>
      <c r="N112" s="85"/>
      <c r="O112" s="139"/>
      <c r="P112" s="89"/>
      <c r="Q112" s="89"/>
      <c r="R112" s="89"/>
      <c r="S112" s="89"/>
      <c r="T112" s="89"/>
      <c r="U112" s="89"/>
      <c r="V112" s="89"/>
      <c r="W112" s="89"/>
      <c r="X112" s="89"/>
      <c r="Y112" s="89"/>
    </row>
    <row r="113" ht="15.75" customHeight="1">
      <c r="A113" s="67" t="str">
        <f t="shared" si="33"/>
        <v>Transition Bushing1 1⁄4</v>
      </c>
      <c r="B113" s="149">
        <v>4.0</v>
      </c>
      <c r="C113" s="147" t="s">
        <v>55</v>
      </c>
      <c r="D113" s="148" t="s">
        <v>356</v>
      </c>
      <c r="E113" s="112" t="s">
        <v>357</v>
      </c>
      <c r="F113" s="56">
        <v>46.4</v>
      </c>
      <c r="G113" s="76">
        <f>IFERROR(__xludf.DUMMYFUNCTION("ArrayFormula(IFERROR(VLOOKUP(E113,IMPORTRANGE(""https://docs.google.com/spreadsheets/d/1xZyKy-UzMmtPDLpV5jQdYum1LtbR8XKDuasLSjmBRMI/edit#gid=1241094406"",""COMBINED DATA!E3:L""),{7,8},0)))"),0.0365)</f>
        <v>0.0365</v>
      </c>
      <c r="H113" s="76">
        <f>IFERROR(__xludf.DUMMYFUNCTION("""COMPUTED_VALUE"""),0.0)</f>
        <v>0</v>
      </c>
      <c r="I113" s="76">
        <f t="shared" si="34"/>
        <v>0.0365</v>
      </c>
      <c r="J113" s="84">
        <f t="shared" si="35"/>
        <v>1271.232877</v>
      </c>
      <c r="K113" s="85"/>
      <c r="L113" s="85"/>
      <c r="M113" s="85"/>
      <c r="N113" s="85"/>
      <c r="O113" s="139"/>
      <c r="P113" s="89"/>
      <c r="Q113" s="89"/>
      <c r="R113" s="89"/>
      <c r="S113" s="89"/>
      <c r="T113" s="89"/>
      <c r="U113" s="89"/>
      <c r="V113" s="89"/>
      <c r="W113" s="89"/>
      <c r="X113" s="89"/>
      <c r="Y113" s="89"/>
    </row>
    <row r="114">
      <c r="A114" s="100"/>
      <c r="B114" s="102" t="s">
        <v>11</v>
      </c>
      <c r="C114" s="45"/>
      <c r="D114" s="45"/>
      <c r="E114" s="45"/>
      <c r="F114" s="103">
        <f>SUM(F110:F112)</f>
        <v>95.6</v>
      </c>
      <c r="G114" s="104"/>
      <c r="H114" s="76" t="str">
        <f>IFERROR(__xludf.DUMMYFUNCTION("IFERROR(VLOOKUP(E114,IMPORTRANGE(""https://docs.google.com/spreadsheets/d/1xZyKy-UzMmtPDLpV5jQdYum1LtbR8XKDuasLSjmBRMI/edit#gid=1241094406"",""COMBINED DATA!E3:L""),8,0))"),"")</f>
        <v/>
      </c>
      <c r="I114" s="76"/>
      <c r="J114" s="116"/>
      <c r="K114" s="85"/>
      <c r="L114" s="85"/>
      <c r="M114" s="85"/>
      <c r="N114" s="85"/>
      <c r="O114" s="89"/>
      <c r="P114" s="89"/>
      <c r="Q114" s="89"/>
      <c r="R114" s="89"/>
      <c r="S114" s="89"/>
      <c r="T114" s="89"/>
      <c r="U114" s="89"/>
      <c r="V114" s="89"/>
      <c r="W114" s="89"/>
      <c r="X114" s="89"/>
      <c r="Y114" s="89"/>
    </row>
    <row r="115" ht="5.25" customHeight="1">
      <c r="A115" s="34"/>
      <c r="B115" s="119"/>
      <c r="C115" s="120"/>
      <c r="D115" s="120"/>
      <c r="E115" s="121"/>
      <c r="F115" s="107"/>
      <c r="G115" s="64"/>
      <c r="H115" s="76" t="str">
        <f>IFERROR(__xludf.DUMMYFUNCTION("IFERROR(VLOOKUP(E115,IMPORTRANGE(""https://docs.google.com/spreadsheets/d/1xZyKy-UzMmtPDLpV5jQdYum1LtbR8XKDuasLSjmBRMI/edit#gid=1241094406"",""COMBINED DATA!E3:L""),8,0))"),"")</f>
        <v/>
      </c>
      <c r="I115" s="76"/>
      <c r="J115" s="65"/>
      <c r="K115" s="85"/>
      <c r="L115" s="85"/>
      <c r="M115" s="85"/>
      <c r="N115" s="85"/>
      <c r="O115" s="89"/>
      <c r="P115" s="89"/>
      <c r="Q115" s="89"/>
      <c r="R115" s="89"/>
      <c r="S115" s="89"/>
      <c r="T115" s="89"/>
      <c r="U115" s="89"/>
      <c r="V115" s="89"/>
      <c r="W115" s="89"/>
      <c r="X115" s="89"/>
      <c r="Y115" s="89"/>
    </row>
    <row r="116" ht="22.5" customHeight="1">
      <c r="A116" s="34"/>
      <c r="B116" s="62" t="s">
        <v>361</v>
      </c>
      <c r="C116" s="45"/>
      <c r="D116" s="45"/>
      <c r="E116" s="45"/>
      <c r="F116" s="46"/>
      <c r="G116" s="64"/>
      <c r="H116" s="76" t="str">
        <f>IFERROR(__xludf.DUMMYFUNCTION("IFERROR(VLOOKUP(E116,IMPORTRANGE(""https://docs.google.com/spreadsheets/d/1xZyKy-UzMmtPDLpV5jQdYum1LtbR8XKDuasLSjmBRMI/edit#gid=1241094406"",""COMBINED DATA!E3:L""),8,0))"),"")</f>
        <v/>
      </c>
      <c r="I116" s="76"/>
      <c r="J116" s="65"/>
      <c r="K116" s="85"/>
      <c r="L116" s="85"/>
      <c r="M116" s="85"/>
      <c r="N116" s="85"/>
      <c r="O116" s="89"/>
      <c r="P116" s="89"/>
      <c r="Q116" s="89"/>
      <c r="R116" s="89"/>
      <c r="S116" s="89"/>
      <c r="T116" s="89"/>
      <c r="U116" s="89"/>
      <c r="V116" s="89"/>
      <c r="W116" s="89"/>
      <c r="X116" s="89"/>
      <c r="Y116" s="89"/>
    </row>
    <row r="117" ht="15.75" customHeight="1">
      <c r="A117" s="67" t="str">
        <f t="shared" ref="A117:A122" si="36">$B$116&amp;C117</f>
        <v>End Cap1⁄2</v>
      </c>
      <c r="B117" s="81">
        <v>1.0</v>
      </c>
      <c r="C117" s="51" t="s">
        <v>43</v>
      </c>
      <c r="D117" s="70">
        <v>15.0</v>
      </c>
      <c r="E117" s="129" t="s">
        <v>363</v>
      </c>
      <c r="F117" s="56">
        <v>10.8</v>
      </c>
      <c r="G117" s="76">
        <f>IFERROR(__xludf.DUMMYFUNCTION("ArrayFormula(IFERROR(VLOOKUP(E117,IMPORTRANGE(""https://docs.google.com/spreadsheets/d/1xZyKy-UzMmtPDLpV5jQdYum1LtbR8XKDuasLSjmBRMI/edit#gid=1241094406"",""COMBINED DATA!E3:L""),{7,8},0)))"),0.0054)</f>
        <v>0.0054</v>
      </c>
      <c r="H117" s="76">
        <f>IFERROR(__xludf.DUMMYFUNCTION("""COMPUTED_VALUE"""),0.0)</f>
        <v>0</v>
      </c>
      <c r="I117" s="76">
        <f t="shared" ref="I117:I122" si="37">G117+H117</f>
        <v>0.0054</v>
      </c>
      <c r="J117" s="84">
        <f t="shared" ref="J117:J122" si="38">IFERROR(F117/I117,"")</f>
        <v>2000</v>
      </c>
      <c r="K117" s="85"/>
      <c r="L117" s="85"/>
      <c r="M117" s="85"/>
      <c r="N117" s="85"/>
      <c r="O117" s="139"/>
      <c r="P117" s="89"/>
      <c r="Q117" s="89"/>
      <c r="R117" s="89"/>
      <c r="S117" s="89"/>
      <c r="T117" s="89"/>
      <c r="U117" s="89"/>
      <c r="V117" s="89"/>
      <c r="W117" s="89"/>
      <c r="X117" s="89"/>
      <c r="Y117" s="89"/>
    </row>
    <row r="118" ht="15.75" customHeight="1">
      <c r="A118" s="67" t="str">
        <f t="shared" si="36"/>
        <v>End Cap3⁄4</v>
      </c>
      <c r="B118" s="81">
        <v>2.0</v>
      </c>
      <c r="C118" s="150" t="s">
        <v>51</v>
      </c>
      <c r="D118" s="92">
        <v>20.0</v>
      </c>
      <c r="E118" s="94" t="s">
        <v>366</v>
      </c>
      <c r="F118" s="56">
        <v>13.8</v>
      </c>
      <c r="G118" s="76">
        <f>IFERROR(__xludf.DUMMYFUNCTION("ArrayFormula(IFERROR(VLOOKUP(E118,IMPORTRANGE(""https://docs.google.com/spreadsheets/d/1xZyKy-UzMmtPDLpV5jQdYum1LtbR8XKDuasLSjmBRMI/edit#gid=1241094406"",""COMBINED DATA!E3:L""),{7,8},0)))"),0.0076500000000000005)</f>
        <v>0.00765</v>
      </c>
      <c r="H118" s="76">
        <f>IFERROR(__xludf.DUMMYFUNCTION("""COMPUTED_VALUE"""),0.0)</f>
        <v>0</v>
      </c>
      <c r="I118" s="76">
        <f t="shared" si="37"/>
        <v>0.00765</v>
      </c>
      <c r="J118" s="84">
        <f t="shared" si="38"/>
        <v>1803.921569</v>
      </c>
      <c r="K118" s="85"/>
      <c r="L118" s="85"/>
      <c r="M118" s="85"/>
      <c r="N118" s="85"/>
      <c r="O118" s="139"/>
      <c r="P118" s="89"/>
      <c r="Q118" s="89"/>
      <c r="R118" s="89"/>
      <c r="S118" s="89"/>
      <c r="T118" s="89"/>
      <c r="U118" s="89"/>
      <c r="V118" s="89"/>
      <c r="W118" s="89"/>
      <c r="X118" s="89"/>
      <c r="Y118" s="89"/>
    </row>
    <row r="119" ht="15.75" customHeight="1">
      <c r="A119" s="67" t="str">
        <f t="shared" si="36"/>
        <v>End Cap1</v>
      </c>
      <c r="B119" s="81">
        <v>3.0</v>
      </c>
      <c r="C119" s="150" t="s">
        <v>84</v>
      </c>
      <c r="D119" s="92">
        <v>25.0</v>
      </c>
      <c r="E119" s="94" t="s">
        <v>369</v>
      </c>
      <c r="F119" s="56">
        <v>24.6</v>
      </c>
      <c r="G119" s="76">
        <f>IFERROR(__xludf.DUMMYFUNCTION("ArrayFormula(IFERROR(VLOOKUP(E119,IMPORTRANGE(""https://docs.google.com/spreadsheets/d/1xZyKy-UzMmtPDLpV5jQdYum1LtbR8XKDuasLSjmBRMI/edit#gid=1241094406"",""COMBINED DATA!E3:L""),{7,8},0)))"),0.015675)</f>
        <v>0.015675</v>
      </c>
      <c r="H119" s="76">
        <f>IFERROR(__xludf.DUMMYFUNCTION("""COMPUTED_VALUE"""),0.0)</f>
        <v>0</v>
      </c>
      <c r="I119" s="76">
        <f t="shared" si="37"/>
        <v>0.015675</v>
      </c>
      <c r="J119" s="84">
        <f t="shared" si="38"/>
        <v>1569.37799</v>
      </c>
      <c r="K119" s="85"/>
      <c r="L119" s="85"/>
      <c r="M119" s="85"/>
      <c r="N119" s="85"/>
      <c r="O119" s="139"/>
      <c r="P119" s="89"/>
      <c r="Q119" s="89"/>
      <c r="R119" s="89"/>
      <c r="S119" s="89"/>
      <c r="T119" s="89"/>
      <c r="U119" s="89"/>
      <c r="V119" s="89"/>
      <c r="W119" s="89"/>
      <c r="X119" s="89"/>
      <c r="Y119" s="89"/>
    </row>
    <row r="120" ht="15.75" customHeight="1">
      <c r="A120" s="67" t="str">
        <f t="shared" si="36"/>
        <v>End Cap1 1⁄4</v>
      </c>
      <c r="B120" s="81">
        <v>4.0</v>
      </c>
      <c r="C120" s="150" t="s">
        <v>55</v>
      </c>
      <c r="D120" s="92">
        <v>32.0</v>
      </c>
      <c r="E120" s="94" t="s">
        <v>370</v>
      </c>
      <c r="F120" s="56">
        <v>48.4</v>
      </c>
      <c r="G120" s="76">
        <f>IFERROR(__xludf.DUMMYFUNCTION("ArrayFormula(IFERROR(VLOOKUP(E120,IMPORTRANGE(""https://docs.google.com/spreadsheets/d/1xZyKy-UzMmtPDLpV5jQdYum1LtbR8XKDuasLSjmBRMI/edit#gid=1241094406"",""COMBINED DATA!E3:L""),{7,8},0)))"),0.0275)</f>
        <v>0.0275</v>
      </c>
      <c r="H120" s="76">
        <f>IFERROR(__xludf.DUMMYFUNCTION("""COMPUTED_VALUE"""),0.0)</f>
        <v>0</v>
      </c>
      <c r="I120" s="76">
        <f t="shared" si="37"/>
        <v>0.0275</v>
      </c>
      <c r="J120" s="84">
        <f t="shared" si="38"/>
        <v>1760</v>
      </c>
      <c r="K120" s="85"/>
      <c r="L120" s="85"/>
      <c r="M120" s="85"/>
      <c r="N120" s="85"/>
      <c r="O120" s="139"/>
      <c r="P120" s="89"/>
      <c r="Q120" s="89"/>
      <c r="R120" s="89"/>
      <c r="S120" s="89"/>
      <c r="T120" s="89"/>
      <c r="U120" s="89"/>
      <c r="V120" s="89"/>
      <c r="W120" s="89"/>
      <c r="X120" s="89"/>
      <c r="Y120" s="89"/>
    </row>
    <row r="121" ht="15.75" customHeight="1">
      <c r="A121" s="67" t="str">
        <f t="shared" si="36"/>
        <v>End Cap1 1⁄2</v>
      </c>
      <c r="B121" s="81">
        <v>5.0</v>
      </c>
      <c r="C121" s="150" t="s">
        <v>56</v>
      </c>
      <c r="D121" s="92">
        <v>40.0</v>
      </c>
      <c r="E121" s="94" t="s">
        <v>372</v>
      </c>
      <c r="F121" s="56">
        <v>69.9</v>
      </c>
      <c r="G121" s="76">
        <f>IFERROR(__xludf.DUMMYFUNCTION("ArrayFormula(IFERROR(VLOOKUP(E121,IMPORTRANGE(""https://docs.google.com/spreadsheets/d/1xZyKy-UzMmtPDLpV5jQdYum1LtbR8XKDuasLSjmBRMI/edit#gid=1241094406"",""COMBINED DATA!E3:L""),{7,8},0)))"),0.041)</f>
        <v>0.041</v>
      </c>
      <c r="H121" s="76">
        <f>IFERROR(__xludf.DUMMYFUNCTION("""COMPUTED_VALUE"""),0.0)</f>
        <v>0</v>
      </c>
      <c r="I121" s="76">
        <f t="shared" si="37"/>
        <v>0.041</v>
      </c>
      <c r="J121" s="84">
        <f t="shared" si="38"/>
        <v>1704.878049</v>
      </c>
      <c r="K121" s="85"/>
      <c r="L121" s="85"/>
      <c r="M121" s="85"/>
      <c r="N121" s="85"/>
      <c r="O121" s="139"/>
      <c r="P121" s="89"/>
      <c r="Q121" s="89"/>
      <c r="R121" s="89"/>
      <c r="S121" s="89"/>
      <c r="T121" s="89"/>
      <c r="U121" s="89"/>
      <c r="V121" s="89"/>
      <c r="W121" s="89"/>
      <c r="X121" s="89"/>
      <c r="Y121" s="89"/>
    </row>
    <row r="122" ht="15.75" customHeight="1">
      <c r="A122" s="67" t="str">
        <f t="shared" si="36"/>
        <v>End Cap2</v>
      </c>
      <c r="B122" s="81">
        <v>6.0</v>
      </c>
      <c r="C122" s="150" t="s">
        <v>107</v>
      </c>
      <c r="D122" s="92">
        <v>50.0</v>
      </c>
      <c r="E122" s="94" t="s">
        <v>374</v>
      </c>
      <c r="F122" s="56">
        <v>148.0</v>
      </c>
      <c r="G122" s="76">
        <f>IFERROR(__xludf.DUMMYFUNCTION("ArrayFormula(IFERROR(VLOOKUP(E122,IMPORTRANGE(""https://docs.google.com/spreadsheets/d/1xZyKy-UzMmtPDLpV5jQdYum1LtbR8XKDuasLSjmBRMI/edit#gid=1241094406"",""COMBINED DATA!E3:L""),{7,8},0)))"),0.086)</f>
        <v>0.086</v>
      </c>
      <c r="H122" s="76">
        <f>IFERROR(__xludf.DUMMYFUNCTION("""COMPUTED_VALUE"""),0.0)</f>
        <v>0</v>
      </c>
      <c r="I122" s="76">
        <f t="shared" si="37"/>
        <v>0.086</v>
      </c>
      <c r="J122" s="84">
        <f t="shared" si="38"/>
        <v>1720.930233</v>
      </c>
      <c r="K122" s="85"/>
      <c r="L122" s="85"/>
      <c r="M122" s="85"/>
      <c r="N122" s="85"/>
      <c r="O122" s="139"/>
      <c r="P122" s="89"/>
      <c r="Q122" s="89"/>
      <c r="R122" s="89"/>
      <c r="S122" s="89"/>
      <c r="T122" s="89"/>
      <c r="U122" s="89"/>
      <c r="V122" s="89"/>
      <c r="W122" s="89"/>
      <c r="X122" s="89"/>
      <c r="Y122" s="89"/>
    </row>
    <row r="123">
      <c r="A123" s="100"/>
      <c r="B123" s="102" t="s">
        <v>11</v>
      </c>
      <c r="C123" s="45"/>
      <c r="D123" s="45"/>
      <c r="E123" s="46"/>
      <c r="F123" s="103">
        <f>SUM(F117:F122)</f>
        <v>315.5</v>
      </c>
      <c r="G123" s="104"/>
      <c r="H123" s="76" t="str">
        <f>IFERROR(__xludf.DUMMYFUNCTION("IFERROR(VLOOKUP(E123,IMPORTRANGE(""https://docs.google.com/spreadsheets/d/1xZyKy-UzMmtPDLpV5jQdYum1LtbR8XKDuasLSjmBRMI/edit#gid=1241094406"",""COMBINED DATA!E3:L""),8,0))"),"")</f>
        <v/>
      </c>
      <c r="I123" s="76"/>
      <c r="J123" s="116"/>
      <c r="K123" s="85"/>
      <c r="L123" s="85"/>
      <c r="M123" s="85"/>
      <c r="N123" s="85"/>
      <c r="O123" s="89"/>
      <c r="P123" s="89"/>
      <c r="Q123" s="89"/>
      <c r="R123" s="89"/>
      <c r="S123" s="89"/>
      <c r="T123" s="89"/>
      <c r="U123" s="89"/>
      <c r="V123" s="89"/>
      <c r="W123" s="89"/>
      <c r="X123" s="89"/>
      <c r="Y123" s="89"/>
    </row>
    <row r="124" ht="5.25" customHeight="1">
      <c r="A124" s="34"/>
      <c r="B124" s="119"/>
      <c r="C124" s="120"/>
      <c r="D124" s="120"/>
      <c r="E124" s="121"/>
      <c r="F124" s="107"/>
      <c r="G124" s="64"/>
      <c r="H124" s="76" t="str">
        <f>IFERROR(__xludf.DUMMYFUNCTION("IFERROR(VLOOKUP(E124,IMPORTRANGE(""https://docs.google.com/spreadsheets/d/1xZyKy-UzMmtPDLpV5jQdYum1LtbR8XKDuasLSjmBRMI/edit#gid=1241094406"",""COMBINED DATA!E3:L""),8,0))"),"")</f>
        <v/>
      </c>
      <c r="I124" s="76"/>
      <c r="J124" s="65"/>
      <c r="K124" s="85"/>
      <c r="L124" s="85"/>
      <c r="M124" s="85"/>
      <c r="N124" s="85"/>
      <c r="O124" s="89"/>
      <c r="P124" s="89"/>
      <c r="Q124" s="89"/>
      <c r="R124" s="89"/>
      <c r="S124" s="89"/>
      <c r="T124" s="89"/>
      <c r="U124" s="89"/>
      <c r="V124" s="89"/>
      <c r="W124" s="89"/>
      <c r="X124" s="89"/>
      <c r="Y124" s="89"/>
    </row>
    <row r="125" ht="22.5" customHeight="1">
      <c r="A125" s="34"/>
      <c r="B125" s="62" t="s">
        <v>380</v>
      </c>
      <c r="C125" s="45"/>
      <c r="D125" s="45"/>
      <c r="E125" s="45"/>
      <c r="F125" s="46"/>
      <c r="G125" s="64"/>
      <c r="H125" s="76" t="str">
        <f>IFERROR(__xludf.DUMMYFUNCTION("IFERROR(VLOOKUP(E125,IMPORTRANGE(""https://docs.google.com/spreadsheets/d/1xZyKy-UzMmtPDLpV5jQdYum1LtbR8XKDuasLSjmBRMI/edit#gid=1241094406"",""COMBINED DATA!E3:L""),8,0))"),"")</f>
        <v/>
      </c>
      <c r="I125" s="76"/>
      <c r="J125" s="65"/>
      <c r="K125" s="85"/>
      <c r="L125" s="85"/>
      <c r="M125" s="85"/>
      <c r="N125" s="85"/>
      <c r="O125" s="89"/>
      <c r="P125" s="89"/>
      <c r="Q125" s="89"/>
      <c r="R125" s="89"/>
      <c r="S125" s="89"/>
      <c r="T125" s="89"/>
      <c r="U125" s="89"/>
      <c r="V125" s="89"/>
      <c r="W125" s="89"/>
      <c r="X125" s="89"/>
      <c r="Y125" s="89"/>
    </row>
    <row r="126" ht="15.75" customHeight="1">
      <c r="A126" s="67" t="str">
        <f t="shared" ref="A126:A128" si="39">$B$125&amp;C126</f>
        <v>End Cap (Sch-80)2 1⁄2</v>
      </c>
      <c r="B126" s="81">
        <v>1.0</v>
      </c>
      <c r="C126" s="68" t="s">
        <v>69</v>
      </c>
      <c r="D126" s="110">
        <v>65.0</v>
      </c>
      <c r="E126" s="111" t="s">
        <v>383</v>
      </c>
      <c r="F126" s="56">
        <v>398.0</v>
      </c>
      <c r="G126" s="76">
        <f>IFERROR(__xludf.DUMMYFUNCTION("ArrayFormula(IFERROR(VLOOKUP(E126,IMPORTRANGE(""https://docs.google.com/spreadsheets/d/1xZyKy-UzMmtPDLpV5jQdYum1LtbR8XKDuasLSjmBRMI/edit#gid=1241094406"",""COMBINED DATA!E3:L""),{7,8},0)))"),0.203)</f>
        <v>0.203</v>
      </c>
      <c r="H126" s="76">
        <f>IFERROR(__xludf.DUMMYFUNCTION("""COMPUTED_VALUE"""),0.0)</f>
        <v>0</v>
      </c>
      <c r="I126" s="76">
        <f t="shared" ref="I126:I128" si="40">G126+H126</f>
        <v>0.203</v>
      </c>
      <c r="J126" s="84">
        <f t="shared" ref="J126:J128" si="41">IFERROR(F126/I126,"")</f>
        <v>1960.591133</v>
      </c>
      <c r="K126" s="85"/>
      <c r="L126" s="85"/>
      <c r="M126" s="85"/>
      <c r="N126" s="85"/>
      <c r="O126" s="139"/>
      <c r="P126" s="89"/>
      <c r="Q126" s="89"/>
      <c r="R126" s="89"/>
      <c r="S126" s="89"/>
      <c r="T126" s="89"/>
      <c r="U126" s="89"/>
      <c r="V126" s="89"/>
      <c r="W126" s="89"/>
      <c r="X126" s="89"/>
      <c r="Y126" s="89"/>
    </row>
    <row r="127" ht="15.75" customHeight="1">
      <c r="A127" s="67" t="str">
        <f t="shared" si="39"/>
        <v>End Cap (Sch-80)3</v>
      </c>
      <c r="B127" s="81">
        <v>2.0</v>
      </c>
      <c r="C127" s="90">
        <v>3.0</v>
      </c>
      <c r="D127" s="127">
        <v>80.0</v>
      </c>
      <c r="E127" s="112" t="s">
        <v>385</v>
      </c>
      <c r="F127" s="56">
        <v>588.0</v>
      </c>
      <c r="G127" s="76">
        <f>IFERROR(__xludf.DUMMYFUNCTION("ArrayFormula(IFERROR(VLOOKUP(E127,IMPORTRANGE(""https://docs.google.com/spreadsheets/d/1xZyKy-UzMmtPDLpV5jQdYum1LtbR8XKDuasLSjmBRMI/edit#gid=1241094406"",""COMBINED DATA!E3:L""),{7,8},0)))"),0.288)</f>
        <v>0.288</v>
      </c>
      <c r="H127" s="76">
        <f>IFERROR(__xludf.DUMMYFUNCTION("""COMPUTED_VALUE"""),0.0)</f>
        <v>0</v>
      </c>
      <c r="I127" s="76">
        <f t="shared" si="40"/>
        <v>0.288</v>
      </c>
      <c r="J127" s="84">
        <f t="shared" si="41"/>
        <v>2041.666667</v>
      </c>
      <c r="K127" s="85"/>
      <c r="L127" s="85"/>
      <c r="M127" s="85"/>
      <c r="N127" s="85"/>
      <c r="O127" s="139"/>
      <c r="P127" s="89"/>
      <c r="Q127" s="89"/>
      <c r="R127" s="89"/>
      <c r="S127" s="89"/>
      <c r="T127" s="89"/>
      <c r="U127" s="89"/>
      <c r="V127" s="89"/>
      <c r="W127" s="89"/>
      <c r="X127" s="89"/>
      <c r="Y127" s="89"/>
    </row>
    <row r="128" ht="15.75" customHeight="1">
      <c r="A128" s="67" t="str">
        <f t="shared" si="39"/>
        <v>End Cap (Sch-80)4</v>
      </c>
      <c r="B128" s="81">
        <v>3.0</v>
      </c>
      <c r="C128" s="90">
        <v>4.0</v>
      </c>
      <c r="D128" s="127">
        <v>100.0</v>
      </c>
      <c r="E128" s="112" t="s">
        <v>388</v>
      </c>
      <c r="F128" s="56">
        <v>968.0</v>
      </c>
      <c r="G128" s="76">
        <f>IFERROR(__xludf.DUMMYFUNCTION("ArrayFormula(IFERROR(VLOOKUP(E128,IMPORTRANGE(""https://docs.google.com/spreadsheets/d/1xZyKy-UzMmtPDLpV5jQdYum1LtbR8XKDuasLSjmBRMI/edit#gid=1241094406"",""COMBINED DATA!E3:L""),{7,8},0)))"),0.505)</f>
        <v>0.505</v>
      </c>
      <c r="H128" s="76">
        <f>IFERROR(__xludf.DUMMYFUNCTION("""COMPUTED_VALUE"""),0.0)</f>
        <v>0</v>
      </c>
      <c r="I128" s="76">
        <f t="shared" si="40"/>
        <v>0.505</v>
      </c>
      <c r="J128" s="84">
        <f t="shared" si="41"/>
        <v>1916.831683</v>
      </c>
      <c r="K128" s="85"/>
      <c r="L128" s="85"/>
      <c r="M128" s="85"/>
      <c r="N128" s="85"/>
      <c r="O128" s="139"/>
      <c r="P128" s="89"/>
      <c r="Q128" s="89"/>
      <c r="R128" s="89"/>
      <c r="S128" s="89"/>
      <c r="T128" s="89"/>
      <c r="U128" s="89"/>
      <c r="V128" s="89"/>
      <c r="W128" s="89"/>
      <c r="X128" s="89"/>
      <c r="Y128" s="89"/>
    </row>
    <row r="129">
      <c r="A129" s="100"/>
      <c r="B129" s="102" t="s">
        <v>11</v>
      </c>
      <c r="C129" s="45"/>
      <c r="D129" s="45"/>
      <c r="E129" s="46"/>
      <c r="F129" s="131">
        <f>SUM(F126:F128)</f>
        <v>1954</v>
      </c>
      <c r="G129" s="104"/>
      <c r="H129" s="76" t="str">
        <f>IFERROR(__xludf.DUMMYFUNCTION("IFERROR(VLOOKUP(E129,IMPORTRANGE(""https://docs.google.com/spreadsheets/d/1xZyKy-UzMmtPDLpV5jQdYum1LtbR8XKDuasLSjmBRMI/edit#gid=1241094406"",""COMBINED DATA!E3:L""),8,0))"),"")</f>
        <v/>
      </c>
      <c r="I129" s="76"/>
      <c r="J129" s="116"/>
      <c r="K129" s="85"/>
      <c r="L129" s="85"/>
      <c r="M129" s="85"/>
      <c r="N129" s="85"/>
      <c r="O129" s="89"/>
      <c r="P129" s="89"/>
      <c r="Q129" s="89"/>
      <c r="R129" s="89"/>
      <c r="S129" s="89"/>
      <c r="T129" s="89"/>
      <c r="U129" s="89"/>
      <c r="V129" s="89"/>
      <c r="W129" s="89"/>
      <c r="X129" s="89"/>
      <c r="Y129" s="89"/>
    </row>
    <row r="130" ht="5.25" customHeight="1">
      <c r="A130" s="34"/>
      <c r="B130" s="119"/>
      <c r="C130" s="120"/>
      <c r="D130" s="120"/>
      <c r="E130" s="121"/>
      <c r="F130" s="107"/>
      <c r="G130" s="64"/>
      <c r="H130" s="76" t="str">
        <f>IFERROR(__xludf.DUMMYFUNCTION("IFERROR(VLOOKUP(E130,IMPORTRANGE(""https://docs.google.com/spreadsheets/d/1xZyKy-UzMmtPDLpV5jQdYum1LtbR8XKDuasLSjmBRMI/edit#gid=1241094406"",""COMBINED DATA!E3:L""),8,0))"),"")</f>
        <v/>
      </c>
      <c r="I130" s="76"/>
      <c r="J130" s="65"/>
      <c r="K130" s="85"/>
      <c r="L130" s="85"/>
      <c r="M130" s="85"/>
      <c r="N130" s="85"/>
      <c r="O130" s="89"/>
      <c r="P130" s="89"/>
      <c r="Q130" s="89"/>
      <c r="R130" s="89"/>
      <c r="S130" s="89"/>
      <c r="T130" s="89"/>
      <c r="U130" s="89"/>
      <c r="V130" s="89"/>
      <c r="W130" s="89"/>
      <c r="X130" s="89"/>
      <c r="Y130" s="89"/>
    </row>
    <row r="131" ht="22.5" customHeight="1">
      <c r="A131" s="34"/>
      <c r="B131" s="62" t="s">
        <v>391</v>
      </c>
      <c r="C131" s="45"/>
      <c r="D131" s="45"/>
      <c r="E131" s="45"/>
      <c r="F131" s="46"/>
      <c r="G131" s="64"/>
      <c r="H131" s="76" t="str">
        <f>IFERROR(__xludf.DUMMYFUNCTION("IFERROR(VLOOKUP(E131,IMPORTRANGE(""https://docs.google.com/spreadsheets/d/1xZyKy-UzMmtPDLpV5jQdYum1LtbR8XKDuasLSjmBRMI/edit#gid=1241094406"",""COMBINED DATA!E3:L""),8,0))"),"")</f>
        <v/>
      </c>
      <c r="I131" s="76"/>
      <c r="J131" s="65"/>
      <c r="K131" s="85"/>
      <c r="L131" s="85"/>
      <c r="M131" s="85"/>
      <c r="N131" s="85"/>
      <c r="O131" s="89"/>
      <c r="P131" s="89"/>
      <c r="Q131" s="89"/>
      <c r="R131" s="89"/>
      <c r="S131" s="89"/>
      <c r="T131" s="89"/>
      <c r="U131" s="89"/>
      <c r="V131" s="89"/>
      <c r="W131" s="89"/>
      <c r="X131" s="89"/>
      <c r="Y131" s="89"/>
    </row>
    <row r="132" ht="15.75" customHeight="1">
      <c r="A132" s="67" t="str">
        <f t="shared" ref="A132:A143" si="42">$B$131&amp;C132</f>
        <v>Reducer Bushing1 x 3⁄4</v>
      </c>
      <c r="B132" s="81">
        <v>1.0</v>
      </c>
      <c r="C132" s="68" t="s">
        <v>153</v>
      </c>
      <c r="D132" s="110" t="s">
        <v>155</v>
      </c>
      <c r="E132" s="111" t="s">
        <v>394</v>
      </c>
      <c r="F132" s="56">
        <v>19.4</v>
      </c>
      <c r="G132" s="76">
        <f>IFERROR(__xludf.DUMMYFUNCTION("ArrayFormula(IFERROR(VLOOKUP(E132,IMPORTRANGE(""https://docs.google.com/spreadsheets/d/1xZyKy-UzMmtPDLpV5jQdYum1LtbR8XKDuasLSjmBRMI/edit#gid=1241094406"",""COMBINED DATA!E3:L""),{7,8},0)))"),0.012)</f>
        <v>0.012</v>
      </c>
      <c r="H132" s="76">
        <f>IFERROR(__xludf.DUMMYFUNCTION("""COMPUTED_VALUE"""),0.0)</f>
        <v>0</v>
      </c>
      <c r="I132" s="76">
        <f t="shared" ref="I132:I143" si="43">G132+H132</f>
        <v>0.012</v>
      </c>
      <c r="J132" s="84">
        <f t="shared" ref="J132:J143" si="44">IFERROR(F132/I132,"")</f>
        <v>1616.666667</v>
      </c>
      <c r="K132" s="85"/>
      <c r="L132" s="85"/>
      <c r="M132" s="85"/>
      <c r="N132" s="85"/>
      <c r="O132" s="139"/>
      <c r="P132" s="89"/>
      <c r="Q132" s="89"/>
      <c r="R132" s="89"/>
      <c r="S132" s="89"/>
      <c r="T132" s="89"/>
      <c r="U132" s="89"/>
      <c r="V132" s="89"/>
      <c r="W132" s="89"/>
      <c r="X132" s="89"/>
      <c r="Y132" s="89"/>
    </row>
    <row r="133" ht="15.75" customHeight="1">
      <c r="A133" s="67" t="str">
        <f t="shared" si="42"/>
        <v>Reducer Bushing1 1⁄4 x 1⁄2</v>
      </c>
      <c r="B133" s="81">
        <v>2.0</v>
      </c>
      <c r="C133" s="90" t="s">
        <v>401</v>
      </c>
      <c r="D133" s="127" t="s">
        <v>402</v>
      </c>
      <c r="E133" s="112" t="s">
        <v>403</v>
      </c>
      <c r="F133" s="56">
        <v>48.4</v>
      </c>
      <c r="G133" s="76">
        <f>IFERROR(__xludf.DUMMYFUNCTION("ArrayFormula(IFERROR(VLOOKUP(E133,IMPORTRANGE(""https://docs.google.com/spreadsheets/d/1xZyKy-UzMmtPDLpV5jQdYum1LtbR8XKDuasLSjmBRMI/edit#gid=1241094406"",""COMBINED DATA!E3:L""),{7,8},0)))"),0.023649999999999997)</f>
        <v>0.02365</v>
      </c>
      <c r="H133" s="76">
        <f>IFERROR(__xludf.DUMMYFUNCTION("""COMPUTED_VALUE"""),0.0)</f>
        <v>0</v>
      </c>
      <c r="I133" s="76">
        <f t="shared" si="43"/>
        <v>0.02365</v>
      </c>
      <c r="J133" s="84">
        <f t="shared" si="44"/>
        <v>2046.511628</v>
      </c>
      <c r="K133" s="85"/>
      <c r="L133" s="85"/>
      <c r="M133" s="85"/>
      <c r="N133" s="85"/>
      <c r="O133" s="139"/>
      <c r="P133" s="89"/>
      <c r="Q133" s="89"/>
      <c r="R133" s="89"/>
      <c r="S133" s="89"/>
      <c r="T133" s="89"/>
      <c r="U133" s="89"/>
      <c r="V133" s="89"/>
      <c r="W133" s="89"/>
      <c r="X133" s="89"/>
      <c r="Y133" s="89"/>
    </row>
    <row r="134" ht="15.75" customHeight="1">
      <c r="A134" s="67" t="str">
        <f t="shared" si="42"/>
        <v>Reducer Bushing1 1⁄4 x 3⁄4</v>
      </c>
      <c r="B134" s="81">
        <v>3.0</v>
      </c>
      <c r="C134" s="90" t="s">
        <v>303</v>
      </c>
      <c r="D134" s="127" t="s">
        <v>304</v>
      </c>
      <c r="E134" s="112" t="s">
        <v>407</v>
      </c>
      <c r="F134" s="56">
        <v>38.4</v>
      </c>
      <c r="G134" s="76">
        <f>IFERROR(__xludf.DUMMYFUNCTION("ArrayFormula(IFERROR(VLOOKUP(E134,IMPORTRANGE(""https://docs.google.com/spreadsheets/d/1xZyKy-UzMmtPDLpV5jQdYum1LtbR8XKDuasLSjmBRMI/edit#gid=1241094406"",""COMBINED DATA!E3:L""),{7,8},0)))"),0.02475)</f>
        <v>0.02475</v>
      </c>
      <c r="H134" s="76">
        <f>IFERROR(__xludf.DUMMYFUNCTION("""COMPUTED_VALUE"""),0.0)</f>
        <v>0</v>
      </c>
      <c r="I134" s="76">
        <f t="shared" si="43"/>
        <v>0.02475</v>
      </c>
      <c r="J134" s="84">
        <f t="shared" si="44"/>
        <v>1551.515152</v>
      </c>
      <c r="K134" s="85"/>
      <c r="L134" s="85"/>
      <c r="M134" s="85"/>
      <c r="N134" s="85"/>
      <c r="O134" s="139"/>
      <c r="P134" s="89"/>
      <c r="Q134" s="89"/>
      <c r="R134" s="89"/>
      <c r="S134" s="89"/>
      <c r="T134" s="89"/>
      <c r="U134" s="89"/>
      <c r="V134" s="89"/>
      <c r="W134" s="89"/>
      <c r="X134" s="89"/>
      <c r="Y134" s="89"/>
    </row>
    <row r="135" ht="15.75" customHeight="1">
      <c r="A135" s="67" t="str">
        <f t="shared" si="42"/>
        <v>Reducer Bushing1 1⁄4 x 1</v>
      </c>
      <c r="B135" s="81">
        <v>4.0</v>
      </c>
      <c r="C135" s="90" t="s">
        <v>306</v>
      </c>
      <c r="D135" s="127" t="s">
        <v>307</v>
      </c>
      <c r="E135" s="112" t="s">
        <v>412</v>
      </c>
      <c r="F135" s="56">
        <v>34.4</v>
      </c>
      <c r="G135" s="76">
        <f>IFERROR(__xludf.DUMMYFUNCTION("ArrayFormula(IFERROR(VLOOKUP(E135,IMPORTRANGE(""https://docs.google.com/spreadsheets/d/1xZyKy-UzMmtPDLpV5jQdYum1LtbR8XKDuasLSjmBRMI/edit#gid=1241094406"",""COMBINED DATA!E3:L""),{7,8},0)))"),0.0177)</f>
        <v>0.0177</v>
      </c>
      <c r="H135" s="76">
        <f>IFERROR(__xludf.DUMMYFUNCTION("""COMPUTED_VALUE"""),0.0)</f>
        <v>0</v>
      </c>
      <c r="I135" s="76">
        <f t="shared" si="43"/>
        <v>0.0177</v>
      </c>
      <c r="J135" s="84">
        <f t="shared" si="44"/>
        <v>1943.502825</v>
      </c>
      <c r="K135" s="85"/>
      <c r="L135" s="85"/>
      <c r="M135" s="85"/>
      <c r="N135" s="85"/>
      <c r="O135" s="139"/>
      <c r="P135" s="89"/>
      <c r="Q135" s="89"/>
      <c r="R135" s="89"/>
      <c r="S135" s="89"/>
      <c r="T135" s="89"/>
      <c r="U135" s="89"/>
      <c r="V135" s="89"/>
      <c r="W135" s="89"/>
      <c r="X135" s="89"/>
      <c r="Y135" s="89"/>
    </row>
    <row r="136" ht="15.75" customHeight="1">
      <c r="A136" s="67" t="str">
        <f t="shared" si="42"/>
        <v>Reducer Bushing1 1⁄2 x 1⁄2</v>
      </c>
      <c r="B136" s="81">
        <v>5.0</v>
      </c>
      <c r="C136" s="90" t="s">
        <v>414</v>
      </c>
      <c r="D136" s="127" t="s">
        <v>415</v>
      </c>
      <c r="E136" s="112" t="s">
        <v>416</v>
      </c>
      <c r="F136" s="56">
        <v>79.4</v>
      </c>
      <c r="G136" s="76">
        <f>IFERROR(__xludf.DUMMYFUNCTION("ArrayFormula(IFERROR(VLOOKUP(E136,IMPORTRANGE(""https://docs.google.com/spreadsheets/d/1xZyKy-UzMmtPDLpV5jQdYum1LtbR8XKDuasLSjmBRMI/edit#gid=1241094406"",""COMBINED DATA!E3:L""),{7,8},0)))"),0.0345)</f>
        <v>0.0345</v>
      </c>
      <c r="H136" s="76">
        <f>IFERROR(__xludf.DUMMYFUNCTION("""COMPUTED_VALUE"""),0.0)</f>
        <v>0</v>
      </c>
      <c r="I136" s="76">
        <f t="shared" si="43"/>
        <v>0.0345</v>
      </c>
      <c r="J136" s="84">
        <f t="shared" si="44"/>
        <v>2301.449275</v>
      </c>
      <c r="K136" s="85"/>
      <c r="L136" s="85"/>
      <c r="M136" s="85"/>
      <c r="N136" s="85"/>
      <c r="O136" s="139"/>
      <c r="P136" s="89"/>
      <c r="Q136" s="89"/>
      <c r="R136" s="89"/>
      <c r="S136" s="89"/>
      <c r="T136" s="89"/>
      <c r="U136" s="89"/>
      <c r="V136" s="89"/>
      <c r="W136" s="89"/>
      <c r="X136" s="89"/>
      <c r="Y136" s="89"/>
    </row>
    <row r="137" ht="15.75" customHeight="1">
      <c r="A137" s="67" t="str">
        <f t="shared" si="42"/>
        <v>Reducer Bushing1 1⁄2 x 3⁄4</v>
      </c>
      <c r="B137" s="81">
        <v>6.0</v>
      </c>
      <c r="C137" s="90" t="s">
        <v>310</v>
      </c>
      <c r="D137" s="127" t="s">
        <v>311</v>
      </c>
      <c r="E137" s="112" t="s">
        <v>421</v>
      </c>
      <c r="F137" s="56">
        <v>59.2</v>
      </c>
      <c r="G137" s="76">
        <f>IFERROR(__xludf.DUMMYFUNCTION("ArrayFormula(IFERROR(VLOOKUP(E137,IMPORTRANGE(""https://docs.google.com/spreadsheets/d/1xZyKy-UzMmtPDLpV5jQdYum1LtbR8XKDuasLSjmBRMI/edit#gid=1241094406"",""COMBINED DATA!E3:L""),{7,8},0)))"),0.03675)</f>
        <v>0.03675</v>
      </c>
      <c r="H137" s="76">
        <f>IFERROR(__xludf.DUMMYFUNCTION("""COMPUTED_VALUE"""),0.0)</f>
        <v>0</v>
      </c>
      <c r="I137" s="76">
        <f t="shared" si="43"/>
        <v>0.03675</v>
      </c>
      <c r="J137" s="84">
        <f t="shared" si="44"/>
        <v>1610.884354</v>
      </c>
      <c r="K137" s="85"/>
      <c r="L137" s="85"/>
      <c r="M137" s="85"/>
      <c r="N137" s="85"/>
      <c r="O137" s="139"/>
      <c r="P137" s="89"/>
      <c r="Q137" s="89"/>
      <c r="R137" s="89"/>
      <c r="S137" s="89"/>
      <c r="T137" s="89"/>
      <c r="U137" s="89"/>
      <c r="V137" s="89"/>
      <c r="W137" s="89"/>
      <c r="X137" s="89"/>
      <c r="Y137" s="89"/>
    </row>
    <row r="138" ht="15.75" customHeight="1">
      <c r="A138" s="67" t="str">
        <f t="shared" si="42"/>
        <v>Reducer Bushing1 1⁄2 x 1</v>
      </c>
      <c r="B138" s="81">
        <v>7.0</v>
      </c>
      <c r="C138" s="90" t="s">
        <v>313</v>
      </c>
      <c r="D138" s="127" t="s">
        <v>314</v>
      </c>
      <c r="E138" s="112" t="s">
        <v>423</v>
      </c>
      <c r="F138" s="56">
        <v>59.4</v>
      </c>
      <c r="G138" s="76">
        <f>IFERROR(__xludf.DUMMYFUNCTION("ArrayFormula(IFERROR(VLOOKUP(E138,IMPORTRANGE(""https://docs.google.com/spreadsheets/d/1xZyKy-UzMmtPDLpV5jQdYum1LtbR8XKDuasLSjmBRMI/edit#gid=1241094406"",""COMBINED DATA!E3:L""),{7,8},0)))"),0.036)</f>
        <v>0.036</v>
      </c>
      <c r="H138" s="76">
        <f>IFERROR(__xludf.DUMMYFUNCTION("""COMPUTED_VALUE"""),0.0)</f>
        <v>0</v>
      </c>
      <c r="I138" s="76">
        <f t="shared" si="43"/>
        <v>0.036</v>
      </c>
      <c r="J138" s="84">
        <f t="shared" si="44"/>
        <v>1650</v>
      </c>
      <c r="K138" s="85"/>
      <c r="L138" s="85"/>
      <c r="M138" s="85"/>
      <c r="N138" s="85"/>
      <c r="O138" s="139"/>
      <c r="P138" s="89"/>
      <c r="Q138" s="89"/>
      <c r="R138" s="89"/>
      <c r="S138" s="89"/>
      <c r="T138" s="89"/>
      <c r="U138" s="89"/>
      <c r="V138" s="89"/>
      <c r="W138" s="89"/>
      <c r="X138" s="89"/>
      <c r="Y138" s="89"/>
    </row>
    <row r="139" ht="15.75" customHeight="1">
      <c r="A139" s="67" t="str">
        <f t="shared" si="42"/>
        <v>Reducer Bushing1 1⁄2 x 1 1⁄4</v>
      </c>
      <c r="B139" s="81">
        <v>8.0</v>
      </c>
      <c r="C139" s="90" t="s">
        <v>317</v>
      </c>
      <c r="D139" s="127" t="s">
        <v>318</v>
      </c>
      <c r="E139" s="112" t="s">
        <v>424</v>
      </c>
      <c r="F139" s="56">
        <v>44.4</v>
      </c>
      <c r="G139" s="76">
        <f>IFERROR(__xludf.DUMMYFUNCTION("ArrayFormula(IFERROR(VLOOKUP(E139,IMPORTRANGE(""https://docs.google.com/spreadsheets/d/1xZyKy-UzMmtPDLpV5jQdYum1LtbR8XKDuasLSjmBRMI/edit#gid=1241094406"",""COMBINED DATA!E3:L""),{7,8},0)))"),0.02425)</f>
        <v>0.02425</v>
      </c>
      <c r="H139" s="76">
        <f>IFERROR(__xludf.DUMMYFUNCTION("""COMPUTED_VALUE"""),0.0)</f>
        <v>0</v>
      </c>
      <c r="I139" s="76">
        <f t="shared" si="43"/>
        <v>0.02425</v>
      </c>
      <c r="J139" s="84">
        <f t="shared" si="44"/>
        <v>1830.927835</v>
      </c>
      <c r="K139" s="85"/>
      <c r="L139" s="85"/>
      <c r="M139" s="85"/>
      <c r="N139" s="85"/>
      <c r="O139" s="139"/>
      <c r="P139" s="89"/>
      <c r="Q139" s="89"/>
      <c r="R139" s="89"/>
      <c r="S139" s="89"/>
      <c r="T139" s="89"/>
      <c r="U139" s="89"/>
      <c r="V139" s="89"/>
      <c r="W139" s="89"/>
      <c r="X139" s="89"/>
      <c r="Y139" s="89"/>
    </row>
    <row r="140" ht="15.75" customHeight="1">
      <c r="A140" s="67" t="str">
        <f t="shared" si="42"/>
        <v>Reducer Bushing2 x 3⁄4</v>
      </c>
      <c r="B140" s="81">
        <v>9.0</v>
      </c>
      <c r="C140" s="90" t="s">
        <v>320</v>
      </c>
      <c r="D140" s="127" t="s">
        <v>321</v>
      </c>
      <c r="E140" s="112" t="s">
        <v>427</v>
      </c>
      <c r="F140" s="56">
        <v>118.0</v>
      </c>
      <c r="G140" s="76">
        <f>IFERROR(__xludf.DUMMYFUNCTION("ArrayFormula(IFERROR(VLOOKUP(E140,IMPORTRANGE(""https://docs.google.com/spreadsheets/d/1xZyKy-UzMmtPDLpV5jQdYum1LtbR8XKDuasLSjmBRMI/edit#gid=1241094406"",""COMBINED DATA!E3:L""),{7,8},0)))"),0.0765)</f>
        <v>0.0765</v>
      </c>
      <c r="H140" s="76">
        <f>IFERROR(__xludf.DUMMYFUNCTION("""COMPUTED_VALUE"""),0.0)</f>
        <v>0</v>
      </c>
      <c r="I140" s="76">
        <f t="shared" si="43"/>
        <v>0.0765</v>
      </c>
      <c r="J140" s="84">
        <f t="shared" si="44"/>
        <v>1542.48366</v>
      </c>
      <c r="K140" s="85"/>
      <c r="L140" s="85"/>
      <c r="M140" s="85"/>
      <c r="N140" s="85"/>
      <c r="O140" s="139"/>
      <c r="P140" s="89"/>
      <c r="Q140" s="89"/>
      <c r="R140" s="89"/>
      <c r="S140" s="89"/>
      <c r="T140" s="89"/>
      <c r="U140" s="89"/>
      <c r="V140" s="89"/>
      <c r="W140" s="89"/>
      <c r="X140" s="89"/>
      <c r="Y140" s="89"/>
    </row>
    <row r="141" ht="15.75" customHeight="1">
      <c r="A141" s="67" t="str">
        <f t="shared" si="42"/>
        <v>Reducer Bushing2 x 1</v>
      </c>
      <c r="B141" s="81">
        <v>10.0</v>
      </c>
      <c r="C141" s="90" t="s">
        <v>324</v>
      </c>
      <c r="D141" s="127" t="s">
        <v>325</v>
      </c>
      <c r="E141" s="112" t="s">
        <v>432</v>
      </c>
      <c r="F141" s="56">
        <v>118.0</v>
      </c>
      <c r="G141" s="76">
        <f>IFERROR(__xludf.DUMMYFUNCTION("ArrayFormula(IFERROR(VLOOKUP(E141,IMPORTRANGE(""https://docs.google.com/spreadsheets/d/1xZyKy-UzMmtPDLpV5jQdYum1LtbR8XKDuasLSjmBRMI/edit#gid=1241094406"",""COMBINED DATA!E3:L""),{7,8},0)))"),0.0795)</f>
        <v>0.0795</v>
      </c>
      <c r="H141" s="76">
        <f>IFERROR(__xludf.DUMMYFUNCTION("""COMPUTED_VALUE"""),0.0)</f>
        <v>0</v>
      </c>
      <c r="I141" s="76">
        <f t="shared" si="43"/>
        <v>0.0795</v>
      </c>
      <c r="J141" s="84">
        <f t="shared" si="44"/>
        <v>1484.27673</v>
      </c>
      <c r="K141" s="85"/>
      <c r="L141" s="85"/>
      <c r="M141" s="85"/>
      <c r="N141" s="85"/>
      <c r="O141" s="139"/>
      <c r="P141" s="89"/>
      <c r="Q141" s="89"/>
      <c r="R141" s="89"/>
      <c r="S141" s="89"/>
      <c r="T141" s="89"/>
      <c r="U141" s="89"/>
      <c r="V141" s="89"/>
      <c r="W141" s="89"/>
      <c r="X141" s="89"/>
      <c r="Y141" s="89"/>
    </row>
    <row r="142" ht="15.75" customHeight="1">
      <c r="A142" s="67" t="str">
        <f t="shared" si="42"/>
        <v>Reducer Bushing2 x 1 1⁄4</v>
      </c>
      <c r="B142" s="81">
        <v>11.0</v>
      </c>
      <c r="C142" s="90" t="s">
        <v>327</v>
      </c>
      <c r="D142" s="127" t="s">
        <v>328</v>
      </c>
      <c r="E142" s="112" t="s">
        <v>434</v>
      </c>
      <c r="F142" s="56">
        <v>128.0</v>
      </c>
      <c r="G142" s="76">
        <f>IFERROR(__xludf.DUMMYFUNCTION("ArrayFormula(IFERROR(VLOOKUP(E142,IMPORTRANGE(""https://docs.google.com/spreadsheets/d/1xZyKy-UzMmtPDLpV5jQdYum1LtbR8XKDuasLSjmBRMI/edit#gid=1241094406"",""COMBINED DATA!E3:L""),{7,8},0)))"),0.0775)</f>
        <v>0.0775</v>
      </c>
      <c r="H142" s="76">
        <f>IFERROR(__xludf.DUMMYFUNCTION("""COMPUTED_VALUE"""),0.0)</f>
        <v>0</v>
      </c>
      <c r="I142" s="76">
        <f t="shared" si="43"/>
        <v>0.0775</v>
      </c>
      <c r="J142" s="84">
        <f t="shared" si="44"/>
        <v>1651.612903</v>
      </c>
      <c r="K142" s="85"/>
      <c r="L142" s="85"/>
      <c r="M142" s="85"/>
      <c r="N142" s="85"/>
      <c r="O142" s="139"/>
      <c r="P142" s="89"/>
      <c r="Q142" s="89"/>
      <c r="R142" s="89"/>
      <c r="S142" s="89"/>
      <c r="T142" s="89"/>
      <c r="U142" s="89"/>
      <c r="V142" s="89"/>
      <c r="W142" s="89"/>
      <c r="X142" s="89"/>
      <c r="Y142" s="89"/>
    </row>
    <row r="143" ht="15.75" customHeight="1">
      <c r="A143" s="67" t="str">
        <f t="shared" si="42"/>
        <v>Reducer Bushing2 x 1 1⁄2</v>
      </c>
      <c r="B143" s="81"/>
      <c r="C143" s="90" t="s">
        <v>331</v>
      </c>
      <c r="D143" s="127" t="s">
        <v>332</v>
      </c>
      <c r="E143" s="112" t="s">
        <v>435</v>
      </c>
      <c r="F143" s="56">
        <v>106.0</v>
      </c>
      <c r="G143" s="76">
        <f>IFERROR(__xludf.DUMMYFUNCTION("ArrayFormula(IFERROR(VLOOKUP(E143,IMPORTRANGE(""https://docs.google.com/spreadsheets/d/1xZyKy-UzMmtPDLpV5jQdYum1LtbR8XKDuasLSjmBRMI/edit#gid=1241094406"",""COMBINED DATA!E3:L""),{7,8},0)))"),0.067)</f>
        <v>0.067</v>
      </c>
      <c r="H143" s="76">
        <f>IFERROR(__xludf.DUMMYFUNCTION("""COMPUTED_VALUE"""),0.0)</f>
        <v>0</v>
      </c>
      <c r="I143" s="76">
        <f t="shared" si="43"/>
        <v>0.067</v>
      </c>
      <c r="J143" s="84">
        <f t="shared" si="44"/>
        <v>1582.089552</v>
      </c>
      <c r="K143" s="85"/>
      <c r="L143" s="85"/>
      <c r="M143" s="85"/>
      <c r="N143" s="85"/>
      <c r="O143" s="139"/>
      <c r="P143" s="89"/>
      <c r="Q143" s="89"/>
      <c r="R143" s="89"/>
      <c r="S143" s="89"/>
      <c r="T143" s="89"/>
      <c r="U143" s="89"/>
      <c r="V143" s="89"/>
      <c r="W143" s="89"/>
      <c r="X143" s="89"/>
      <c r="Y143" s="89"/>
    </row>
    <row r="144">
      <c r="A144" s="100"/>
      <c r="B144" s="102" t="s">
        <v>11</v>
      </c>
      <c r="C144" s="45"/>
      <c r="D144" s="45"/>
      <c r="E144" s="46"/>
      <c r="F144" s="131">
        <f>sum(F132:F143)</f>
        <v>853</v>
      </c>
      <c r="G144" s="104"/>
      <c r="H144" s="76" t="str">
        <f>IFERROR(__xludf.DUMMYFUNCTION("IFERROR(VLOOKUP(E144,IMPORTRANGE(""https://docs.google.com/spreadsheets/d/1xZyKy-UzMmtPDLpV5jQdYum1LtbR8XKDuasLSjmBRMI/edit#gid=1241094406"",""COMBINED DATA!E3:L""),8,0))"),"")</f>
        <v/>
      </c>
      <c r="I144" s="76"/>
      <c r="J144" s="116"/>
      <c r="K144" s="85"/>
      <c r="L144" s="85"/>
      <c r="M144" s="85"/>
      <c r="N144" s="85"/>
      <c r="O144" s="89"/>
      <c r="P144" s="89"/>
      <c r="Q144" s="89"/>
      <c r="R144" s="89"/>
      <c r="S144" s="89"/>
      <c r="T144" s="89"/>
      <c r="U144" s="89"/>
      <c r="V144" s="89"/>
      <c r="W144" s="89"/>
      <c r="X144" s="89"/>
      <c r="Y144" s="89"/>
    </row>
    <row r="145" ht="4.5" customHeight="1">
      <c r="A145" s="34"/>
      <c r="B145" s="119"/>
      <c r="C145" s="120"/>
      <c r="D145" s="120"/>
      <c r="E145" s="121"/>
      <c r="F145" s="107"/>
      <c r="G145" s="64"/>
      <c r="H145" s="76" t="str">
        <f>IFERROR(__xludf.DUMMYFUNCTION("IFERROR(VLOOKUP(E145,IMPORTRANGE(""https://docs.google.com/spreadsheets/d/1xZyKy-UzMmtPDLpV5jQdYum1LtbR8XKDuasLSjmBRMI/edit#gid=1241094406"",""COMBINED DATA!E3:L""),8,0))"),"")</f>
        <v/>
      </c>
      <c r="I145" s="76"/>
      <c r="J145" s="65"/>
      <c r="K145" s="85"/>
      <c r="L145" s="85"/>
      <c r="M145" s="85"/>
      <c r="N145" s="85"/>
      <c r="O145" s="89"/>
      <c r="P145" s="89"/>
      <c r="Q145" s="89"/>
      <c r="R145" s="89"/>
      <c r="S145" s="89"/>
      <c r="T145" s="89"/>
      <c r="U145" s="89"/>
      <c r="V145" s="89"/>
      <c r="W145" s="89"/>
      <c r="X145" s="89"/>
      <c r="Y145" s="89"/>
    </row>
    <row r="146" ht="22.5" customHeight="1">
      <c r="A146" s="34"/>
      <c r="B146" s="62" t="s">
        <v>443</v>
      </c>
      <c r="C146" s="45"/>
      <c r="D146" s="45"/>
      <c r="E146" s="45"/>
      <c r="F146" s="46"/>
      <c r="G146" s="64"/>
      <c r="H146" s="76" t="str">
        <f>IFERROR(__xludf.DUMMYFUNCTION("IFERROR(VLOOKUP(E146,IMPORTRANGE(""https://docs.google.com/spreadsheets/d/1xZyKy-UzMmtPDLpV5jQdYum1LtbR8XKDuasLSjmBRMI/edit#gid=1241094406"",""COMBINED DATA!E3:L""),8,0))"),"")</f>
        <v/>
      </c>
      <c r="I146" s="76"/>
      <c r="J146" s="65"/>
      <c r="K146" s="85"/>
      <c r="L146" s="85"/>
      <c r="M146" s="85"/>
      <c r="N146" s="85"/>
      <c r="O146" s="89"/>
      <c r="P146" s="89"/>
      <c r="Q146" s="89"/>
      <c r="R146" s="89"/>
      <c r="S146" s="89"/>
      <c r="T146" s="89"/>
      <c r="U146" s="89"/>
      <c r="V146" s="89"/>
      <c r="W146" s="89"/>
      <c r="X146" s="89"/>
      <c r="Y146" s="89"/>
    </row>
    <row r="147" ht="15.75" customHeight="1">
      <c r="A147" s="67" t="str">
        <f t="shared" ref="A147:A153" si="45">$B$146&amp;C147</f>
        <v>Reducer Bushing (SCH-80)2 1⁄2 x 1 1⁄2</v>
      </c>
      <c r="B147" s="81">
        <v>1.0</v>
      </c>
      <c r="C147" s="68" t="s">
        <v>447</v>
      </c>
      <c r="D147" s="110" t="s">
        <v>448</v>
      </c>
      <c r="E147" s="111" t="s">
        <v>449</v>
      </c>
      <c r="F147" s="56">
        <v>348.0</v>
      </c>
      <c r="G147" s="76">
        <f>IFERROR(__xludf.DUMMYFUNCTION("ArrayFormula(IFERROR(VLOOKUP(E147,IMPORTRANGE(""https://docs.google.com/spreadsheets/d/1xZyKy-UzMmtPDLpV5jQdYum1LtbR8XKDuasLSjmBRMI/edit#gid=1241094406"",""COMBINED DATA!E3:L""),{7,8},0)))"),0.1785)</f>
        <v>0.1785</v>
      </c>
      <c r="H147" s="76">
        <f>IFERROR(__xludf.DUMMYFUNCTION("""COMPUTED_VALUE"""),0.0)</f>
        <v>0</v>
      </c>
      <c r="I147" s="76">
        <f t="shared" ref="I147:I153" si="46">G147+H147</f>
        <v>0.1785</v>
      </c>
      <c r="J147" s="84">
        <f t="shared" ref="J147:J153" si="47">IFERROR(F147/I147,"")</f>
        <v>1949.579832</v>
      </c>
      <c r="K147" s="85"/>
      <c r="L147" s="85"/>
      <c r="M147" s="85"/>
      <c r="N147" s="85"/>
      <c r="O147" s="139"/>
      <c r="P147" s="89"/>
      <c r="Q147" s="89"/>
      <c r="R147" s="89"/>
      <c r="S147" s="89"/>
      <c r="T147" s="89"/>
      <c r="U147" s="89"/>
      <c r="V147" s="89"/>
      <c r="W147" s="89"/>
      <c r="X147" s="89"/>
      <c r="Y147" s="89"/>
    </row>
    <row r="148" ht="15.75" customHeight="1">
      <c r="A148" s="67" t="str">
        <f t="shared" si="45"/>
        <v>Reducer Bushing (SCH-80)2 1⁄2 x 2</v>
      </c>
      <c r="B148" s="81">
        <v>2.0</v>
      </c>
      <c r="C148" s="90" t="s">
        <v>455</v>
      </c>
      <c r="D148" s="127" t="s">
        <v>456</v>
      </c>
      <c r="E148" s="112" t="s">
        <v>457</v>
      </c>
      <c r="F148" s="56">
        <v>348.0</v>
      </c>
      <c r="G148" s="76">
        <f>IFERROR(__xludf.DUMMYFUNCTION("ArrayFormula(IFERROR(VLOOKUP(E148,IMPORTRANGE(""https://docs.google.com/spreadsheets/d/1xZyKy-UzMmtPDLpV5jQdYum1LtbR8XKDuasLSjmBRMI/edit#gid=1241094406"",""COMBINED DATA!E3:L""),{7,8},0)))"),0.161)</f>
        <v>0.161</v>
      </c>
      <c r="H148" s="76">
        <f>IFERROR(__xludf.DUMMYFUNCTION("""COMPUTED_VALUE"""),0.0)</f>
        <v>0</v>
      </c>
      <c r="I148" s="76">
        <f t="shared" si="46"/>
        <v>0.161</v>
      </c>
      <c r="J148" s="84">
        <f t="shared" si="47"/>
        <v>2161.490683</v>
      </c>
      <c r="K148" s="85"/>
      <c r="L148" s="85"/>
      <c r="M148" s="85"/>
      <c r="N148" s="85"/>
      <c r="O148" s="139"/>
      <c r="P148" s="89"/>
      <c r="Q148" s="89"/>
      <c r="R148" s="89"/>
      <c r="S148" s="89"/>
      <c r="T148" s="89"/>
      <c r="U148" s="89"/>
      <c r="V148" s="89"/>
      <c r="W148" s="89"/>
      <c r="X148" s="89"/>
      <c r="Y148" s="89"/>
    </row>
    <row r="149" ht="15.75" customHeight="1">
      <c r="A149" s="67" t="str">
        <f t="shared" si="45"/>
        <v>Reducer Bushing (SCH-80)3 x 2</v>
      </c>
      <c r="B149" s="81">
        <v>3.0</v>
      </c>
      <c r="C149" s="90" t="s">
        <v>461</v>
      </c>
      <c r="D149" s="127" t="s">
        <v>462</v>
      </c>
      <c r="E149" s="112" t="s">
        <v>463</v>
      </c>
      <c r="F149" s="56">
        <v>698.0</v>
      </c>
      <c r="G149" s="76">
        <f>IFERROR(__xludf.DUMMYFUNCTION("ArrayFormula(IFERROR(VLOOKUP(E149,IMPORTRANGE(""https://docs.google.com/spreadsheets/d/1xZyKy-UzMmtPDLpV5jQdYum1LtbR8XKDuasLSjmBRMI/edit#gid=1241094406"",""COMBINED DATA!E3:L""),{7,8},0)))"),0.335)</f>
        <v>0.335</v>
      </c>
      <c r="H149" s="76">
        <f>IFERROR(__xludf.DUMMYFUNCTION("""COMPUTED_VALUE"""),0.0)</f>
        <v>0</v>
      </c>
      <c r="I149" s="76">
        <f t="shared" si="46"/>
        <v>0.335</v>
      </c>
      <c r="J149" s="84">
        <f t="shared" si="47"/>
        <v>2083.58209</v>
      </c>
      <c r="K149" s="85"/>
      <c r="L149" s="85"/>
      <c r="M149" s="85"/>
      <c r="N149" s="85"/>
      <c r="O149" s="139"/>
      <c r="P149" s="89"/>
      <c r="Q149" s="89"/>
      <c r="R149" s="89"/>
      <c r="S149" s="89"/>
      <c r="T149" s="89"/>
      <c r="U149" s="89"/>
      <c r="V149" s="89"/>
      <c r="W149" s="89"/>
      <c r="X149" s="89"/>
      <c r="Y149" s="89"/>
    </row>
    <row r="150" ht="15.75" customHeight="1">
      <c r="A150" s="67" t="str">
        <f t="shared" si="45"/>
        <v>Reducer Bushing (SCH-80)3 x 2 1⁄2</v>
      </c>
      <c r="B150" s="81">
        <v>4.0</v>
      </c>
      <c r="C150" s="90" t="s">
        <v>469</v>
      </c>
      <c r="D150" s="152" t="s">
        <v>470</v>
      </c>
      <c r="E150" s="112" t="s">
        <v>471</v>
      </c>
      <c r="F150" s="56">
        <v>528.0</v>
      </c>
      <c r="G150" s="76">
        <f>IFERROR(__xludf.DUMMYFUNCTION("ArrayFormula(IFERROR(VLOOKUP(E150,IMPORTRANGE(""https://docs.google.com/spreadsheets/d/1xZyKy-UzMmtPDLpV5jQdYum1LtbR8XKDuasLSjmBRMI/edit#gid=1241094406"",""COMBINED DATA!E3:L""),{7,8},0)))"),0.239)</f>
        <v>0.239</v>
      </c>
      <c r="H150" s="76">
        <f>IFERROR(__xludf.DUMMYFUNCTION("""COMPUTED_VALUE"""),0.0)</f>
        <v>0</v>
      </c>
      <c r="I150" s="76">
        <f t="shared" si="46"/>
        <v>0.239</v>
      </c>
      <c r="J150" s="84">
        <f t="shared" si="47"/>
        <v>2209.205021</v>
      </c>
      <c r="K150" s="85"/>
      <c r="L150" s="85"/>
      <c r="M150" s="85"/>
      <c r="N150" s="85"/>
      <c r="O150" s="139"/>
      <c r="P150" s="89"/>
      <c r="Q150" s="89"/>
      <c r="R150" s="89"/>
      <c r="S150" s="89"/>
      <c r="T150" s="89"/>
      <c r="U150" s="89"/>
      <c r="V150" s="89"/>
      <c r="W150" s="89"/>
      <c r="X150" s="89"/>
      <c r="Y150" s="89"/>
    </row>
    <row r="151" ht="15.75" customHeight="1">
      <c r="A151" s="67" t="str">
        <f t="shared" si="45"/>
        <v>Reducer Bushing (SCH-80)4 x 2</v>
      </c>
      <c r="B151" s="81">
        <v>5.0</v>
      </c>
      <c r="C151" s="90" t="s">
        <v>475</v>
      </c>
      <c r="D151" s="127" t="s">
        <v>477</v>
      </c>
      <c r="E151" s="112" t="s">
        <v>478</v>
      </c>
      <c r="F151" s="56">
        <v>1180.0</v>
      </c>
      <c r="G151" s="76">
        <f>IFERROR(__xludf.DUMMYFUNCTION("ArrayFormula(IFERROR(VLOOKUP(E151,IMPORTRANGE(""https://docs.google.com/spreadsheets/d/1xZyKy-UzMmtPDLpV5jQdYum1LtbR8XKDuasLSjmBRMI/edit#gid=1241094406"",""COMBINED DATA!E3:L""),{7,8},0)))"),0.4995)</f>
        <v>0.4995</v>
      </c>
      <c r="H151" s="76">
        <f>IFERROR(__xludf.DUMMYFUNCTION("""COMPUTED_VALUE"""),0.0)</f>
        <v>0</v>
      </c>
      <c r="I151" s="76">
        <f t="shared" si="46"/>
        <v>0.4995</v>
      </c>
      <c r="J151" s="84">
        <f t="shared" si="47"/>
        <v>2362.362362</v>
      </c>
      <c r="K151" s="85"/>
      <c r="L151" s="85"/>
      <c r="M151" s="85"/>
      <c r="N151" s="85"/>
      <c r="O151" s="139"/>
      <c r="P151" s="89"/>
      <c r="Q151" s="89"/>
      <c r="R151" s="89"/>
      <c r="S151" s="89"/>
      <c r="T151" s="89"/>
      <c r="U151" s="89"/>
      <c r="V151" s="89"/>
      <c r="W151" s="89"/>
      <c r="X151" s="89"/>
      <c r="Y151" s="89"/>
    </row>
    <row r="152" ht="15.75" customHeight="1">
      <c r="A152" s="67" t="str">
        <f t="shared" si="45"/>
        <v>Reducer Bushing (SCH-80)4 x 3</v>
      </c>
      <c r="B152" s="81">
        <v>6.0</v>
      </c>
      <c r="C152" s="90" t="s">
        <v>481</v>
      </c>
      <c r="D152" s="127" t="s">
        <v>482</v>
      </c>
      <c r="E152" s="112" t="s">
        <v>484</v>
      </c>
      <c r="F152" s="56">
        <v>936.0</v>
      </c>
      <c r="G152" s="76">
        <f>IFERROR(__xludf.DUMMYFUNCTION("ArrayFormula(IFERROR(VLOOKUP(E152,IMPORTRANGE(""https://docs.google.com/spreadsheets/d/1xZyKy-UzMmtPDLpV5jQdYum1LtbR8XKDuasLSjmBRMI/edit#gid=1241094406"",""COMBINED DATA!E3:L""),{7,8},0)))"),0.423)</f>
        <v>0.423</v>
      </c>
      <c r="H152" s="76">
        <f>IFERROR(__xludf.DUMMYFUNCTION("""COMPUTED_VALUE"""),0.0)</f>
        <v>0</v>
      </c>
      <c r="I152" s="76">
        <f t="shared" si="46"/>
        <v>0.423</v>
      </c>
      <c r="J152" s="84">
        <f t="shared" si="47"/>
        <v>2212.765957</v>
      </c>
      <c r="K152" s="85"/>
      <c r="L152" s="85"/>
      <c r="M152" s="85"/>
      <c r="N152" s="85"/>
      <c r="O152" s="139"/>
      <c r="P152" s="89"/>
      <c r="Q152" s="89"/>
      <c r="R152" s="89"/>
      <c r="S152" s="89"/>
      <c r="T152" s="89"/>
      <c r="U152" s="89"/>
      <c r="V152" s="89"/>
      <c r="W152" s="89"/>
      <c r="X152" s="89"/>
      <c r="Y152" s="89"/>
    </row>
    <row r="153" ht="15.75" customHeight="1">
      <c r="A153" s="67" t="str">
        <f t="shared" si="45"/>
        <v>Reducer Bushing (SCH-80)4 x 2 1⁄2</v>
      </c>
      <c r="B153" s="81">
        <v>7.0</v>
      </c>
      <c r="C153" s="90" t="s">
        <v>490</v>
      </c>
      <c r="D153" s="127" t="s">
        <v>491</v>
      </c>
      <c r="E153" s="112" t="s">
        <v>492</v>
      </c>
      <c r="F153" s="56">
        <v>980.0</v>
      </c>
      <c r="G153" s="76">
        <f>IFERROR(__xludf.DUMMYFUNCTION("ArrayFormula(IFERROR(VLOOKUP(E153,IMPORTRANGE(""https://docs.google.com/spreadsheets/d/1xZyKy-UzMmtPDLpV5jQdYum1LtbR8XKDuasLSjmBRMI/edit#gid=1241094406"",""COMBINED DATA!E3:L""),{7,8},0)))"),0.574)</f>
        <v>0.574</v>
      </c>
      <c r="H153" s="76">
        <f>IFERROR(__xludf.DUMMYFUNCTION("""COMPUTED_VALUE"""),0.0)</f>
        <v>0</v>
      </c>
      <c r="I153" s="76">
        <f t="shared" si="46"/>
        <v>0.574</v>
      </c>
      <c r="J153" s="84">
        <f t="shared" si="47"/>
        <v>1707.317073</v>
      </c>
      <c r="K153" s="85"/>
      <c r="L153" s="85"/>
      <c r="M153" s="85"/>
      <c r="N153" s="85"/>
      <c r="O153" s="139"/>
      <c r="P153" s="89"/>
      <c r="Q153" s="89"/>
      <c r="R153" s="89"/>
      <c r="S153" s="89"/>
      <c r="T153" s="89"/>
      <c r="U153" s="89"/>
      <c r="V153" s="89"/>
      <c r="W153" s="89"/>
      <c r="X153" s="89"/>
      <c r="Y153" s="89"/>
    </row>
    <row r="154">
      <c r="A154" s="100"/>
      <c r="B154" s="102" t="s">
        <v>11</v>
      </c>
      <c r="C154" s="45"/>
      <c r="D154" s="45"/>
      <c r="E154" s="46"/>
      <c r="F154" s="131">
        <f>sum(F147:F153)</f>
        <v>5018</v>
      </c>
      <c r="G154" s="104"/>
      <c r="H154" s="76" t="str">
        <f>IFERROR(__xludf.DUMMYFUNCTION("IFERROR(VLOOKUP(E154,IMPORTRANGE(""https://docs.google.com/spreadsheets/d/1xZyKy-UzMmtPDLpV5jQdYum1LtbR8XKDuasLSjmBRMI/edit#gid=1241094406"",""COMBINED DATA!E3:L""),8,0))"),"")</f>
        <v/>
      </c>
      <c r="I154" s="76"/>
      <c r="J154" s="116"/>
      <c r="K154" s="85"/>
      <c r="L154" s="85"/>
      <c r="M154" s="85"/>
      <c r="N154" s="85"/>
      <c r="O154" s="89"/>
      <c r="P154" s="89"/>
      <c r="Q154" s="89"/>
      <c r="R154" s="89"/>
      <c r="S154" s="89"/>
      <c r="T154" s="89"/>
      <c r="U154" s="89"/>
      <c r="V154" s="89"/>
      <c r="W154" s="89"/>
      <c r="X154" s="89"/>
      <c r="Y154" s="89"/>
    </row>
    <row r="155" ht="4.5" customHeight="1">
      <c r="A155" s="34"/>
      <c r="B155" s="119"/>
      <c r="C155" s="120"/>
      <c r="D155" s="120"/>
      <c r="E155" s="121"/>
      <c r="F155" s="107"/>
      <c r="G155" s="64"/>
      <c r="H155" s="76" t="str">
        <f>IFERROR(__xludf.DUMMYFUNCTION("IFERROR(VLOOKUP(E155,IMPORTRANGE(""https://docs.google.com/spreadsheets/d/1xZyKy-UzMmtPDLpV5jQdYum1LtbR8XKDuasLSjmBRMI/edit#gid=1241094406"",""COMBINED DATA!E3:L""),8,0))"),"")</f>
        <v/>
      </c>
      <c r="I155" s="76"/>
      <c r="J155" s="65"/>
      <c r="K155" s="85"/>
      <c r="L155" s="85"/>
      <c r="M155" s="85"/>
      <c r="N155" s="85"/>
      <c r="O155" s="89"/>
      <c r="P155" s="89"/>
      <c r="Q155" s="89"/>
      <c r="R155" s="89"/>
      <c r="S155" s="89"/>
      <c r="T155" s="89"/>
      <c r="U155" s="89"/>
      <c r="V155" s="89"/>
      <c r="W155" s="89"/>
      <c r="X155" s="89"/>
      <c r="Y155" s="89"/>
    </row>
    <row r="156" ht="22.5" customHeight="1">
      <c r="A156" s="34"/>
      <c r="B156" s="62" t="s">
        <v>515</v>
      </c>
      <c r="C156" s="45"/>
      <c r="D156" s="45"/>
      <c r="E156" s="45"/>
      <c r="F156" s="46"/>
      <c r="G156" s="64"/>
      <c r="H156" s="76" t="str">
        <f>IFERROR(__xludf.DUMMYFUNCTION("IFERROR(VLOOKUP(E156,IMPORTRANGE(""https://docs.google.com/spreadsheets/d/1xZyKy-UzMmtPDLpV5jQdYum1LtbR8XKDuasLSjmBRMI/edit#gid=1241094406"",""COMBINED DATA!E3:L""),8,0))"),"")</f>
        <v/>
      </c>
      <c r="I156" s="76"/>
      <c r="J156" s="65"/>
      <c r="K156" s="85"/>
      <c r="L156" s="85"/>
      <c r="M156" s="85"/>
      <c r="N156" s="85"/>
      <c r="O156" s="89"/>
      <c r="P156" s="89"/>
      <c r="Q156" s="89"/>
      <c r="R156" s="89"/>
      <c r="S156" s="89"/>
      <c r="T156" s="89"/>
      <c r="U156" s="89"/>
      <c r="V156" s="89"/>
      <c r="W156" s="89"/>
      <c r="X156" s="89"/>
      <c r="Y156" s="89"/>
    </row>
    <row r="157" ht="15.75" customHeight="1">
      <c r="A157" s="67" t="str">
        <f t="shared" ref="A157:A164" si="48">$B$156&amp;C157</f>
        <v>Male Adapter Plastic Threads3⁄4 x 1⁄2</v>
      </c>
      <c r="B157" s="81">
        <v>1.0</v>
      </c>
      <c r="C157" s="51" t="s">
        <v>144</v>
      </c>
      <c r="D157" s="70" t="s">
        <v>145</v>
      </c>
      <c r="E157" s="129" t="s">
        <v>524</v>
      </c>
      <c r="F157" s="181">
        <v>32.3</v>
      </c>
      <c r="G157" s="76">
        <f>IFERROR(__xludf.DUMMYFUNCTION("ArrayFormula(IFERROR(VLOOKUP(E157,IMPORTRANGE(""https://docs.google.com/spreadsheets/d/1xZyKy-UzMmtPDLpV5jQdYum1LtbR8XKDuasLSjmBRMI/edit#gid=1241094406"",""COMBINED DATA!E3:L""),{7,8},0)))"),0.0157)</f>
        <v>0.0157</v>
      </c>
      <c r="H157" s="76">
        <f>IFERROR(__xludf.DUMMYFUNCTION("""COMPUTED_VALUE"""),0.0)</f>
        <v>0</v>
      </c>
      <c r="I157" s="76">
        <f t="shared" ref="I157:I164" si="49">G157+H157</f>
        <v>0.0157</v>
      </c>
      <c r="J157" s="84">
        <f t="shared" ref="J157:J164" si="50">IFERROR(F157/I157,"")</f>
        <v>2057.324841</v>
      </c>
      <c r="K157" s="85"/>
      <c r="L157" s="85"/>
      <c r="M157" s="85"/>
      <c r="N157" s="85"/>
      <c r="O157" s="139"/>
      <c r="P157" s="89"/>
      <c r="Q157" s="89"/>
      <c r="R157" s="89"/>
      <c r="S157" s="89"/>
      <c r="T157" s="89"/>
      <c r="U157" s="89"/>
      <c r="V157" s="89"/>
      <c r="W157" s="89"/>
      <c r="X157" s="89"/>
      <c r="Y157" s="89"/>
    </row>
    <row r="158" ht="15.75" customHeight="1">
      <c r="A158" s="67" t="str">
        <f t="shared" si="48"/>
        <v>Male Adapter Plastic Threads3⁄4</v>
      </c>
      <c r="B158" s="81">
        <v>2.0</v>
      </c>
      <c r="C158" s="150" t="s">
        <v>51</v>
      </c>
      <c r="D158" s="92">
        <v>20.0</v>
      </c>
      <c r="E158" s="94" t="s">
        <v>578</v>
      </c>
      <c r="F158" s="56">
        <v>23.6</v>
      </c>
      <c r="G158" s="76">
        <f>IFERROR(__xludf.DUMMYFUNCTION("ArrayFormula(IFERROR(VLOOKUP(E158,IMPORTRANGE(""https://docs.google.com/spreadsheets/d/1xZyKy-UzMmtPDLpV5jQdYum1LtbR8XKDuasLSjmBRMI/edit#gid=1241094406"",""COMBINED DATA!E3:L""),{7,8},0)))"),0.01572)</f>
        <v>0.01572</v>
      </c>
      <c r="H158" s="76">
        <f>IFERROR(__xludf.DUMMYFUNCTION("""COMPUTED_VALUE"""),0.0)</f>
        <v>0</v>
      </c>
      <c r="I158" s="76">
        <f t="shared" si="49"/>
        <v>0.01572</v>
      </c>
      <c r="J158" s="84">
        <f t="shared" si="50"/>
        <v>1501.272265</v>
      </c>
      <c r="K158" s="85"/>
      <c r="L158" s="85"/>
      <c r="M158" s="85"/>
      <c r="N158" s="85"/>
      <c r="O158" s="139"/>
      <c r="P158" s="89"/>
      <c r="Q158" s="89"/>
      <c r="R158" s="89"/>
      <c r="S158" s="89"/>
      <c r="T158" s="89"/>
      <c r="U158" s="89"/>
      <c r="V158" s="89"/>
      <c r="W158" s="89"/>
      <c r="X158" s="89"/>
      <c r="Y158" s="89"/>
    </row>
    <row r="159" ht="15.75" customHeight="1">
      <c r="A159" s="67" t="str">
        <f t="shared" si="48"/>
        <v>Male Adapter Plastic Threads1</v>
      </c>
      <c r="B159" s="81">
        <v>3.0</v>
      </c>
      <c r="C159" s="150" t="s">
        <v>84</v>
      </c>
      <c r="D159" s="92">
        <v>25.0</v>
      </c>
      <c r="E159" s="94" t="s">
        <v>579</v>
      </c>
      <c r="F159" s="56">
        <v>36.5</v>
      </c>
      <c r="G159" s="76">
        <f>IFERROR(__xludf.DUMMYFUNCTION("ArrayFormula(IFERROR(VLOOKUP(E159,IMPORTRANGE(""https://docs.google.com/spreadsheets/d/1xZyKy-UzMmtPDLpV5jQdYum1LtbR8XKDuasLSjmBRMI/edit#gid=1241094406"",""COMBINED DATA!E3:L""),{7,8},0)))"),0.022625)</f>
        <v>0.022625</v>
      </c>
      <c r="H159" s="76">
        <f>IFERROR(__xludf.DUMMYFUNCTION("""COMPUTED_VALUE"""),0.0)</f>
        <v>0</v>
      </c>
      <c r="I159" s="76">
        <f t="shared" si="49"/>
        <v>0.022625</v>
      </c>
      <c r="J159" s="84">
        <f t="shared" si="50"/>
        <v>1613.259669</v>
      </c>
      <c r="K159" s="85"/>
      <c r="L159" s="85"/>
      <c r="M159" s="85"/>
      <c r="N159" s="85"/>
      <c r="O159" s="139"/>
      <c r="P159" s="89"/>
      <c r="Q159" s="89"/>
      <c r="R159" s="89"/>
      <c r="S159" s="89"/>
      <c r="T159" s="89"/>
      <c r="U159" s="89"/>
      <c r="V159" s="89"/>
      <c r="W159" s="89"/>
      <c r="X159" s="89"/>
      <c r="Y159" s="89"/>
    </row>
    <row r="160" ht="15.75" customHeight="1">
      <c r="A160" s="67" t="str">
        <f t="shared" si="48"/>
        <v>Male Adapter Plastic Threads1 1⁄4</v>
      </c>
      <c r="B160" s="81">
        <v>4.0</v>
      </c>
      <c r="C160" s="150" t="s">
        <v>55</v>
      </c>
      <c r="D160" s="92">
        <v>32.0</v>
      </c>
      <c r="E160" s="94" t="s">
        <v>581</v>
      </c>
      <c r="F160" s="56">
        <v>54.2</v>
      </c>
      <c r="G160" s="76">
        <f>IFERROR(__xludf.DUMMYFUNCTION("ArrayFormula(IFERROR(VLOOKUP(E160,IMPORTRANGE(""https://docs.google.com/spreadsheets/d/1xZyKy-UzMmtPDLpV5jQdYum1LtbR8XKDuasLSjmBRMI/edit#gid=1241094406"",""COMBINED DATA!E3:L""),{7,8},0)))"),0.0371)</f>
        <v>0.0371</v>
      </c>
      <c r="H160" s="76">
        <f>IFERROR(__xludf.DUMMYFUNCTION("""COMPUTED_VALUE"""),0.0)</f>
        <v>0</v>
      </c>
      <c r="I160" s="76">
        <f t="shared" si="49"/>
        <v>0.0371</v>
      </c>
      <c r="J160" s="84">
        <f t="shared" si="50"/>
        <v>1460.916442</v>
      </c>
      <c r="K160" s="85"/>
      <c r="L160" s="85"/>
      <c r="M160" s="85"/>
      <c r="N160" s="85"/>
      <c r="O160" s="139"/>
      <c r="P160" s="89"/>
      <c r="Q160" s="89"/>
      <c r="R160" s="89"/>
      <c r="S160" s="89"/>
      <c r="T160" s="89"/>
      <c r="U160" s="89"/>
      <c r="V160" s="89"/>
      <c r="W160" s="89"/>
      <c r="X160" s="89"/>
      <c r="Y160" s="89"/>
    </row>
    <row r="161" ht="15.75" customHeight="1">
      <c r="A161" s="67" t="str">
        <f t="shared" si="48"/>
        <v>Male Adapter Plastic Threads1 1⁄2</v>
      </c>
      <c r="B161" s="81">
        <v>5.0</v>
      </c>
      <c r="C161" s="150" t="s">
        <v>56</v>
      </c>
      <c r="D161" s="92">
        <v>40.0</v>
      </c>
      <c r="E161" s="94" t="s">
        <v>583</v>
      </c>
      <c r="F161" s="56">
        <v>91.6</v>
      </c>
      <c r="G161" s="76">
        <f>IFERROR(__xludf.DUMMYFUNCTION("ArrayFormula(IFERROR(VLOOKUP(E161,IMPORTRANGE(""https://docs.google.com/spreadsheets/d/1xZyKy-UzMmtPDLpV5jQdYum1LtbR8XKDuasLSjmBRMI/edit#gid=1241094406"",""COMBINED DATA!E3:L""),{7,8},0)))"),0.05675)</f>
        <v>0.05675</v>
      </c>
      <c r="H161" s="76">
        <f>IFERROR(__xludf.DUMMYFUNCTION("""COMPUTED_VALUE"""),0.0)</f>
        <v>0</v>
      </c>
      <c r="I161" s="76">
        <f t="shared" si="49"/>
        <v>0.05675</v>
      </c>
      <c r="J161" s="84">
        <f t="shared" si="50"/>
        <v>1614.096916</v>
      </c>
      <c r="K161" s="85"/>
      <c r="L161" s="85"/>
      <c r="M161" s="85"/>
      <c r="N161" s="85"/>
      <c r="O161" s="139"/>
      <c r="P161" s="89"/>
      <c r="Q161" s="89"/>
      <c r="R161" s="89"/>
      <c r="S161" s="89"/>
      <c r="T161" s="89"/>
      <c r="U161" s="89"/>
      <c r="V161" s="89"/>
      <c r="W161" s="89"/>
      <c r="X161" s="89"/>
      <c r="Y161" s="89"/>
    </row>
    <row r="162" ht="15.75" customHeight="1">
      <c r="A162" s="67" t="str">
        <f t="shared" si="48"/>
        <v>Male Adapter Plastic Threads2</v>
      </c>
      <c r="B162" s="81">
        <v>6.0</v>
      </c>
      <c r="C162" s="150" t="s">
        <v>107</v>
      </c>
      <c r="D162" s="92">
        <v>50.0</v>
      </c>
      <c r="E162" s="94" t="s">
        <v>584</v>
      </c>
      <c r="F162" s="56">
        <v>169.0</v>
      </c>
      <c r="G162" s="76">
        <f>IFERROR(__xludf.DUMMYFUNCTION("ArrayFormula(IFERROR(VLOOKUP(E162,IMPORTRANGE(""https://docs.google.com/spreadsheets/d/1xZyKy-UzMmtPDLpV5jQdYum1LtbR8XKDuasLSjmBRMI/edit#gid=1241094406"",""COMBINED DATA!E3:L""),{7,8},0)))"),0.1092)</f>
        <v>0.1092</v>
      </c>
      <c r="H162" s="76">
        <f>IFERROR(__xludf.DUMMYFUNCTION("""COMPUTED_VALUE"""),0.0)</f>
        <v>0</v>
      </c>
      <c r="I162" s="76">
        <f t="shared" si="49"/>
        <v>0.1092</v>
      </c>
      <c r="J162" s="84">
        <f t="shared" si="50"/>
        <v>1547.619048</v>
      </c>
      <c r="K162" s="85"/>
      <c r="L162" s="85"/>
      <c r="M162" s="85"/>
      <c r="N162" s="85"/>
      <c r="O162" s="139"/>
      <c r="P162" s="89"/>
      <c r="Q162" s="89"/>
      <c r="R162" s="89"/>
      <c r="S162" s="89"/>
      <c r="T162" s="89"/>
      <c r="U162" s="89"/>
      <c r="V162" s="89"/>
      <c r="W162" s="89"/>
      <c r="X162" s="89"/>
      <c r="Y162" s="89"/>
    </row>
    <row r="163" ht="15.75" customHeight="1">
      <c r="A163" s="67" t="str">
        <f t="shared" si="48"/>
        <v>Male Adapter Plastic Threads1 x 1⁄2</v>
      </c>
      <c r="B163" s="81">
        <v>7.0</v>
      </c>
      <c r="C163" s="90" t="s">
        <v>352</v>
      </c>
      <c r="D163" s="127" t="s">
        <v>353</v>
      </c>
      <c r="E163" s="112" t="s">
        <v>586</v>
      </c>
      <c r="F163" s="56">
        <v>56.8</v>
      </c>
      <c r="G163" s="76">
        <f>IFERROR(__xludf.DUMMYFUNCTION("ArrayFormula(IFERROR(VLOOKUP(E163,IMPORTRANGE(""https://docs.google.com/spreadsheets/d/1xZyKy-UzMmtPDLpV5jQdYum1LtbR8XKDuasLSjmBRMI/edit#gid=1241094406"",""COMBINED DATA!E3:L""),{7,8},0)))"),0.024)</f>
        <v>0.024</v>
      </c>
      <c r="H163" s="76">
        <f>IFERROR(__xludf.DUMMYFUNCTION("""COMPUTED_VALUE"""),0.0)</f>
        <v>0</v>
      </c>
      <c r="I163" s="76">
        <f t="shared" si="49"/>
        <v>0.024</v>
      </c>
      <c r="J163" s="84">
        <f t="shared" si="50"/>
        <v>2366.666667</v>
      </c>
      <c r="K163" s="85"/>
      <c r="L163" s="85"/>
      <c r="M163" s="85"/>
      <c r="N163" s="85"/>
      <c r="O163" s="139"/>
      <c r="P163" s="89"/>
      <c r="Q163" s="89"/>
      <c r="R163" s="89"/>
      <c r="S163" s="89"/>
      <c r="T163" s="89"/>
      <c r="U163" s="89"/>
      <c r="V163" s="89"/>
      <c r="W163" s="89"/>
      <c r="X163" s="89"/>
      <c r="Y163" s="89"/>
    </row>
    <row r="164" ht="15.75" customHeight="1">
      <c r="A164" s="67" t="str">
        <f t="shared" si="48"/>
        <v>Male Adapter Plastic Threads1 x 3⁄4</v>
      </c>
      <c r="B164" s="81">
        <v>8.0</v>
      </c>
      <c r="C164" s="90" t="s">
        <v>153</v>
      </c>
      <c r="D164" s="127" t="s">
        <v>155</v>
      </c>
      <c r="E164" s="112" t="s">
        <v>588</v>
      </c>
      <c r="F164" s="181">
        <v>41.8</v>
      </c>
      <c r="G164" s="76">
        <f>IFERROR(__xludf.DUMMYFUNCTION("ArrayFormula(IFERROR(VLOOKUP(E164,IMPORTRANGE(""https://docs.google.com/spreadsheets/d/1xZyKy-UzMmtPDLpV5jQdYum1LtbR8XKDuasLSjmBRMI/edit#gid=1241094406"",""COMBINED DATA!E3:L""),{7,8},0)))"),0.024)</f>
        <v>0.024</v>
      </c>
      <c r="H164" s="76">
        <f>IFERROR(__xludf.DUMMYFUNCTION("""COMPUTED_VALUE"""),0.0)</f>
        <v>0</v>
      </c>
      <c r="I164" s="76">
        <f t="shared" si="49"/>
        <v>0.024</v>
      </c>
      <c r="J164" s="84">
        <f t="shared" si="50"/>
        <v>1741.666667</v>
      </c>
      <c r="K164" s="85"/>
      <c r="L164" s="85"/>
      <c r="M164" s="85"/>
      <c r="N164" s="85"/>
      <c r="O164" s="139"/>
      <c r="P164" s="89"/>
      <c r="Q164" s="89"/>
      <c r="R164" s="89"/>
      <c r="S164" s="89"/>
      <c r="T164" s="89"/>
      <c r="U164" s="89"/>
      <c r="V164" s="89"/>
      <c r="W164" s="89"/>
      <c r="X164" s="89"/>
      <c r="Y164" s="89"/>
    </row>
    <row r="165">
      <c r="A165" s="100"/>
      <c r="B165" s="102" t="s">
        <v>11</v>
      </c>
      <c r="C165" s="45"/>
      <c r="D165" s="45"/>
      <c r="E165" s="46"/>
      <c r="F165" s="103">
        <f>SUM(F157:F164)</f>
        <v>505.8</v>
      </c>
      <c r="G165" s="104"/>
      <c r="H165" s="76" t="str">
        <f>IFERROR(__xludf.DUMMYFUNCTION("IFERROR(VLOOKUP(E165,IMPORTRANGE(""https://docs.google.com/spreadsheets/d/1xZyKy-UzMmtPDLpV5jQdYum1LtbR8XKDuasLSjmBRMI/edit#gid=1241094406"",""COMBINED DATA!E3:L""),8,0))"),"")</f>
        <v/>
      </c>
      <c r="I165" s="76"/>
      <c r="J165" s="116"/>
      <c r="K165" s="85"/>
      <c r="L165" s="85"/>
      <c r="M165" s="85"/>
      <c r="N165" s="85"/>
      <c r="O165" s="89"/>
      <c r="P165" s="89"/>
      <c r="Q165" s="89"/>
      <c r="R165" s="89"/>
      <c r="S165" s="89"/>
      <c r="T165" s="89"/>
      <c r="U165" s="89"/>
      <c r="V165" s="89"/>
      <c r="W165" s="89"/>
      <c r="X165" s="89"/>
      <c r="Y165" s="89"/>
    </row>
    <row r="166" ht="6.0" customHeight="1">
      <c r="A166" s="34"/>
      <c r="B166" s="119"/>
      <c r="C166" s="120"/>
      <c r="D166" s="120"/>
      <c r="E166" s="121"/>
      <c r="F166" s="107"/>
      <c r="G166" s="64"/>
      <c r="H166" s="76" t="str">
        <f>IFERROR(__xludf.DUMMYFUNCTION("IFERROR(VLOOKUP(E166,IMPORTRANGE(""https://docs.google.com/spreadsheets/d/1xZyKy-UzMmtPDLpV5jQdYum1LtbR8XKDuasLSjmBRMI/edit#gid=1241094406"",""COMBINED DATA!E3:L""),8,0))"),"")</f>
        <v/>
      </c>
      <c r="I166" s="76"/>
      <c r="J166" s="65"/>
      <c r="K166" s="85"/>
      <c r="L166" s="85"/>
      <c r="M166" s="85"/>
      <c r="N166" s="85"/>
      <c r="O166" s="89"/>
      <c r="P166" s="89"/>
      <c r="Q166" s="89"/>
      <c r="R166" s="89"/>
      <c r="S166" s="89"/>
      <c r="T166" s="89"/>
      <c r="U166" s="89"/>
      <c r="V166" s="89"/>
      <c r="W166" s="89"/>
      <c r="X166" s="89"/>
      <c r="Y166" s="89"/>
    </row>
    <row r="167" ht="22.5" customHeight="1">
      <c r="A167" s="34"/>
      <c r="B167" s="62" t="s">
        <v>593</v>
      </c>
      <c r="C167" s="45"/>
      <c r="D167" s="45"/>
      <c r="E167" s="45"/>
      <c r="F167" s="46"/>
      <c r="G167" s="64"/>
      <c r="H167" s="76" t="str">
        <f>IFERROR(__xludf.DUMMYFUNCTION("IFERROR(VLOOKUP(E167,IMPORTRANGE(""https://docs.google.com/spreadsheets/d/1xZyKy-UzMmtPDLpV5jQdYum1LtbR8XKDuasLSjmBRMI/edit#gid=1241094406"",""COMBINED DATA!E3:L""),8,0))"),"")</f>
        <v/>
      </c>
      <c r="I167" s="76"/>
      <c r="J167" s="65"/>
      <c r="K167" s="85"/>
      <c r="L167" s="85"/>
      <c r="M167" s="85"/>
      <c r="N167" s="85"/>
      <c r="O167" s="89"/>
      <c r="P167" s="89"/>
      <c r="Q167" s="89"/>
      <c r="R167" s="89"/>
      <c r="S167" s="89"/>
      <c r="T167" s="89"/>
      <c r="U167" s="89"/>
      <c r="V167" s="89"/>
      <c r="W167" s="89"/>
      <c r="X167" s="89"/>
      <c r="Y167" s="89"/>
    </row>
    <row r="168" ht="15.75" customHeight="1">
      <c r="A168" s="67" t="str">
        <f t="shared" ref="A168:A170" si="51">$B$167&amp;C168</f>
        <v>Male Adapter Plastic Threads (SCH-80)2 1⁄2</v>
      </c>
      <c r="B168" s="81">
        <v>1.0</v>
      </c>
      <c r="C168" s="68" t="s">
        <v>69</v>
      </c>
      <c r="D168" s="110">
        <v>65.0</v>
      </c>
      <c r="E168" s="111" t="s">
        <v>604</v>
      </c>
      <c r="F168" s="181">
        <v>414.2</v>
      </c>
      <c r="G168" s="76">
        <f>IFERROR(__xludf.DUMMYFUNCTION("ArrayFormula(IFERROR(VLOOKUP(E168,IMPORTRANGE(""https://docs.google.com/spreadsheets/d/1xZyKy-UzMmtPDLpV5jQdYum1LtbR8XKDuasLSjmBRMI/edit#gid=1241094406"",""COMBINED DATA!E3:L""),{7,8},0)))"),0.2145)</f>
        <v>0.2145</v>
      </c>
      <c r="H168" s="76">
        <f>IFERROR(__xludf.DUMMYFUNCTION("""COMPUTED_VALUE"""),0.0)</f>
        <v>0</v>
      </c>
      <c r="I168" s="76">
        <f t="shared" ref="I168:I170" si="52">G168+H168</f>
        <v>0.2145</v>
      </c>
      <c r="J168" s="84">
        <f t="shared" ref="J168:J170" si="53">IFERROR(F168/I168,"")</f>
        <v>1931.002331</v>
      </c>
      <c r="K168" s="85"/>
      <c r="L168" s="85"/>
      <c r="M168" s="85"/>
      <c r="N168" s="85"/>
      <c r="O168" s="139"/>
      <c r="P168" s="89"/>
      <c r="Q168" s="89"/>
      <c r="R168" s="89"/>
      <c r="S168" s="89"/>
      <c r="T168" s="89"/>
      <c r="U168" s="89"/>
      <c r="V168" s="89"/>
      <c r="W168" s="89"/>
      <c r="X168" s="89"/>
      <c r="Y168" s="89"/>
    </row>
    <row r="169" ht="15.75" customHeight="1">
      <c r="A169" s="67" t="str">
        <f t="shared" si="51"/>
        <v>Male Adapter Plastic Threads (SCH-80)3</v>
      </c>
      <c r="B169" s="81">
        <v>2.0</v>
      </c>
      <c r="C169" s="90">
        <v>3.0</v>
      </c>
      <c r="D169" s="127">
        <v>80.0</v>
      </c>
      <c r="E169" s="112" t="s">
        <v>611</v>
      </c>
      <c r="F169" s="181">
        <v>568.1</v>
      </c>
      <c r="G169" s="76">
        <f>IFERROR(__xludf.DUMMYFUNCTION("ArrayFormula(IFERROR(VLOOKUP(E169,IMPORTRANGE(""https://docs.google.com/spreadsheets/d/1xZyKy-UzMmtPDLpV5jQdYum1LtbR8XKDuasLSjmBRMI/edit#gid=1241094406"",""COMBINED DATA!E3:L""),{7,8},0)))"),0.302)</f>
        <v>0.302</v>
      </c>
      <c r="H169" s="76">
        <f>IFERROR(__xludf.DUMMYFUNCTION("""COMPUTED_VALUE"""),0.0)</f>
        <v>0</v>
      </c>
      <c r="I169" s="76">
        <f t="shared" si="52"/>
        <v>0.302</v>
      </c>
      <c r="J169" s="84">
        <f t="shared" si="53"/>
        <v>1881.125828</v>
      </c>
      <c r="K169" s="85"/>
      <c r="L169" s="85"/>
      <c r="M169" s="85"/>
      <c r="N169" s="85"/>
      <c r="O169" s="139"/>
      <c r="P169" s="89"/>
      <c r="Q169" s="89"/>
      <c r="R169" s="89"/>
      <c r="S169" s="89"/>
      <c r="T169" s="89"/>
      <c r="U169" s="89"/>
      <c r="V169" s="89"/>
      <c r="W169" s="89"/>
      <c r="X169" s="89"/>
      <c r="Y169" s="89"/>
    </row>
    <row r="170" ht="15.75" customHeight="1">
      <c r="A170" s="67" t="str">
        <f t="shared" si="51"/>
        <v>Male Adapter Plastic Threads (SCH-80)4</v>
      </c>
      <c r="B170" s="81">
        <v>3.0</v>
      </c>
      <c r="C170" s="90">
        <v>4.0</v>
      </c>
      <c r="D170" s="127">
        <v>100.0</v>
      </c>
      <c r="E170" s="112" t="s">
        <v>617</v>
      </c>
      <c r="F170" s="181">
        <v>1079.2</v>
      </c>
      <c r="G170" s="76">
        <f>IFERROR(__xludf.DUMMYFUNCTION("ArrayFormula(IFERROR(VLOOKUP(E170,IMPORTRANGE(""https://docs.google.com/spreadsheets/d/1xZyKy-UzMmtPDLpV5jQdYum1LtbR8XKDuasLSjmBRMI/edit#gid=1241094406"",""COMBINED DATA!E3:L""),{7,8},0)))"),0.596)</f>
        <v>0.596</v>
      </c>
      <c r="H170" s="76">
        <f>IFERROR(__xludf.DUMMYFUNCTION("""COMPUTED_VALUE"""),0.0)</f>
        <v>0</v>
      </c>
      <c r="I170" s="76">
        <f t="shared" si="52"/>
        <v>0.596</v>
      </c>
      <c r="J170" s="84">
        <f t="shared" si="53"/>
        <v>1810.738255</v>
      </c>
      <c r="K170" s="85"/>
      <c r="L170" s="85"/>
      <c r="M170" s="85"/>
      <c r="N170" s="85"/>
      <c r="O170" s="139"/>
      <c r="P170" s="89"/>
      <c r="Q170" s="89"/>
      <c r="R170" s="89"/>
      <c r="S170" s="89"/>
      <c r="T170" s="89"/>
      <c r="U170" s="89"/>
      <c r="V170" s="89"/>
      <c r="W170" s="89"/>
      <c r="X170" s="89"/>
      <c r="Y170" s="89"/>
    </row>
    <row r="171">
      <c r="A171" s="100"/>
      <c r="B171" s="102" t="s">
        <v>11</v>
      </c>
      <c r="C171" s="45"/>
      <c r="D171" s="45"/>
      <c r="E171" s="46"/>
      <c r="F171" s="131">
        <f>SUM(F168:F170)</f>
        <v>2061.5</v>
      </c>
      <c r="G171" s="104"/>
      <c r="H171" s="76" t="str">
        <f>IFERROR(__xludf.DUMMYFUNCTION("IFERROR(VLOOKUP(E171,IMPORTRANGE(""https://docs.google.com/spreadsheets/d/1xZyKy-UzMmtPDLpV5jQdYum1LtbR8XKDuasLSjmBRMI/edit#gid=1241094406"",""COMBINED DATA!E3:L""),8,0))"),"")</f>
        <v/>
      </c>
      <c r="I171" s="76"/>
      <c r="J171" s="116"/>
      <c r="K171" s="85"/>
      <c r="L171" s="85"/>
      <c r="M171" s="85"/>
      <c r="N171" s="85"/>
      <c r="O171" s="89"/>
      <c r="P171" s="89"/>
      <c r="Q171" s="89"/>
      <c r="R171" s="89"/>
      <c r="S171" s="89"/>
      <c r="T171" s="89"/>
      <c r="U171" s="89"/>
      <c r="V171" s="89"/>
      <c r="W171" s="89"/>
      <c r="X171" s="89"/>
      <c r="Y171" s="89"/>
    </row>
    <row r="172" ht="6.0" customHeight="1">
      <c r="A172" s="34"/>
      <c r="B172" s="119"/>
      <c r="C172" s="120"/>
      <c r="D172" s="120"/>
      <c r="E172" s="121"/>
      <c r="F172" s="107"/>
      <c r="G172" s="64"/>
      <c r="H172" s="76" t="str">
        <f>IFERROR(__xludf.DUMMYFUNCTION("IFERROR(VLOOKUP(E172,IMPORTRANGE(""https://docs.google.com/spreadsheets/d/1xZyKy-UzMmtPDLpV5jQdYum1LtbR8XKDuasLSjmBRMI/edit#gid=1241094406"",""COMBINED DATA!E3:L""),8,0))"),"")</f>
        <v/>
      </c>
      <c r="I172" s="76"/>
      <c r="J172" s="65"/>
      <c r="K172" s="85"/>
      <c r="L172" s="85"/>
      <c r="M172" s="85"/>
      <c r="N172" s="85"/>
      <c r="O172" s="89"/>
      <c r="P172" s="89"/>
      <c r="Q172" s="89"/>
      <c r="R172" s="89"/>
      <c r="S172" s="89"/>
      <c r="T172" s="89"/>
      <c r="U172" s="89"/>
      <c r="V172" s="89"/>
      <c r="W172" s="89"/>
      <c r="X172" s="89"/>
      <c r="Y172" s="89"/>
    </row>
    <row r="173" ht="22.5" customHeight="1">
      <c r="A173" s="34"/>
      <c r="B173" s="62" t="s">
        <v>641</v>
      </c>
      <c r="C173" s="45"/>
      <c r="D173" s="45"/>
      <c r="E173" s="45"/>
      <c r="F173" s="46"/>
      <c r="G173" s="64"/>
      <c r="H173" s="76" t="str">
        <f>IFERROR(__xludf.DUMMYFUNCTION("IFERROR(VLOOKUP(E173,IMPORTRANGE(""https://docs.google.com/spreadsheets/d/1xZyKy-UzMmtPDLpV5jQdYum1LtbR8XKDuasLSjmBRMI/edit#gid=1241094406"",""COMBINED DATA!E3:L""),8,0))"),"")</f>
        <v/>
      </c>
      <c r="I173" s="76"/>
      <c r="J173" s="65"/>
      <c r="K173" s="85"/>
      <c r="L173" s="85"/>
      <c r="M173" s="85"/>
      <c r="N173" s="85"/>
      <c r="O173" s="89"/>
      <c r="P173" s="89"/>
      <c r="Q173" s="89"/>
      <c r="R173" s="89"/>
      <c r="S173" s="89"/>
      <c r="T173" s="89"/>
      <c r="U173" s="89"/>
      <c r="V173" s="89"/>
      <c r="W173" s="89"/>
      <c r="X173" s="89"/>
      <c r="Y173" s="89"/>
    </row>
    <row r="174" ht="15.75" customHeight="1">
      <c r="A174" s="67" t="str">
        <f t="shared" ref="A174:A180" si="54">$B$173&amp;C174</f>
        <v>Female Adapter Plastic Threads3⁄4 x 1⁄2</v>
      </c>
      <c r="B174" s="81">
        <v>1.0</v>
      </c>
      <c r="C174" s="51" t="s">
        <v>144</v>
      </c>
      <c r="D174" s="110" t="s">
        <v>145</v>
      </c>
      <c r="E174" s="111" t="s">
        <v>651</v>
      </c>
      <c r="F174" s="56">
        <v>37.8</v>
      </c>
      <c r="G174" s="76">
        <f>IFERROR(__xludf.DUMMYFUNCTION("ArrayFormula(IFERROR(VLOOKUP(E174,IMPORTRANGE(""https://docs.google.com/spreadsheets/d/1xZyKy-UzMmtPDLpV5jQdYum1LtbR8XKDuasLSjmBRMI/edit#gid=1241094406"",""COMBINED DATA!E3:L""),{7,8},0)))"),0.02095)</f>
        <v>0.02095</v>
      </c>
      <c r="H174" s="76">
        <f>IFERROR(__xludf.DUMMYFUNCTION("""COMPUTED_VALUE"""),0.0)</f>
        <v>0</v>
      </c>
      <c r="I174" s="76">
        <f t="shared" ref="I174:I180" si="55">G174+H174</f>
        <v>0.02095</v>
      </c>
      <c r="J174" s="84">
        <f t="shared" ref="J174:J180" si="56">IFERROR(F174/I174,"")</f>
        <v>1804.295943</v>
      </c>
      <c r="K174" s="85"/>
      <c r="L174" s="85"/>
      <c r="M174" s="85"/>
      <c r="N174" s="85"/>
      <c r="O174" s="139"/>
      <c r="P174" s="89"/>
      <c r="Q174" s="89"/>
      <c r="R174" s="89"/>
      <c r="S174" s="89"/>
      <c r="T174" s="89"/>
      <c r="U174" s="89"/>
      <c r="V174" s="89"/>
      <c r="W174" s="89"/>
      <c r="X174" s="89"/>
      <c r="Y174" s="89"/>
    </row>
    <row r="175" ht="15.75" customHeight="1">
      <c r="A175" s="67" t="str">
        <f t="shared" si="54"/>
        <v>Female Adapter Plastic Threads1 x 3⁄4</v>
      </c>
      <c r="B175" s="81">
        <v>2.0</v>
      </c>
      <c r="C175" s="90" t="s">
        <v>153</v>
      </c>
      <c r="D175" s="127" t="s">
        <v>155</v>
      </c>
      <c r="E175" s="112" t="s">
        <v>653</v>
      </c>
      <c r="F175" s="56">
        <v>51.8</v>
      </c>
      <c r="G175" s="76">
        <f>IFERROR(__xludf.DUMMYFUNCTION("ArrayFormula(IFERROR(VLOOKUP(E175,IMPORTRANGE(""https://docs.google.com/spreadsheets/d/1xZyKy-UzMmtPDLpV5jQdYum1LtbR8XKDuasLSjmBRMI/edit#gid=1241094406"",""COMBINED DATA!E3:L""),{7,8},0)))"),0.035075)</f>
        <v>0.035075</v>
      </c>
      <c r="H175" s="76">
        <f>IFERROR(__xludf.DUMMYFUNCTION("""COMPUTED_VALUE"""),0.0)</f>
        <v>0</v>
      </c>
      <c r="I175" s="76">
        <f t="shared" si="55"/>
        <v>0.035075</v>
      </c>
      <c r="J175" s="84">
        <f t="shared" si="56"/>
        <v>1476.835353</v>
      </c>
      <c r="K175" s="85"/>
      <c r="L175" s="85"/>
      <c r="M175" s="85"/>
      <c r="N175" s="85"/>
      <c r="O175" s="139"/>
      <c r="P175" s="89"/>
      <c r="Q175" s="89"/>
      <c r="R175" s="89"/>
      <c r="S175" s="89"/>
      <c r="T175" s="89"/>
      <c r="U175" s="89"/>
      <c r="V175" s="89"/>
      <c r="W175" s="89"/>
      <c r="X175" s="89"/>
      <c r="Y175" s="89"/>
    </row>
    <row r="176" ht="15.75" customHeight="1">
      <c r="A176" s="67" t="str">
        <f t="shared" si="54"/>
        <v>Female Adapter Plastic Threads3⁄4</v>
      </c>
      <c r="B176" s="81">
        <v>3.0</v>
      </c>
      <c r="C176" s="150" t="s">
        <v>51</v>
      </c>
      <c r="D176" s="92">
        <v>20.0</v>
      </c>
      <c r="E176" s="94" t="s">
        <v>656</v>
      </c>
      <c r="F176" s="56">
        <v>32.9</v>
      </c>
      <c r="G176" s="76">
        <f>IFERROR(__xludf.DUMMYFUNCTION("ArrayFormula(IFERROR(VLOOKUP(E176,IMPORTRANGE(""https://docs.google.com/spreadsheets/d/1xZyKy-UzMmtPDLpV5jQdYum1LtbR8XKDuasLSjmBRMI/edit#gid=1241094406"",""COMBINED DATA!E3:L""),{7,8},0)))"),0.0185)</f>
        <v>0.0185</v>
      </c>
      <c r="H176" s="76">
        <f>IFERROR(__xludf.DUMMYFUNCTION("""COMPUTED_VALUE"""),0.0)</f>
        <v>0</v>
      </c>
      <c r="I176" s="76">
        <f t="shared" si="55"/>
        <v>0.0185</v>
      </c>
      <c r="J176" s="84">
        <f t="shared" si="56"/>
        <v>1778.378378</v>
      </c>
      <c r="K176" s="85"/>
      <c r="L176" s="85"/>
      <c r="M176" s="85"/>
      <c r="N176" s="85"/>
      <c r="O176" s="139"/>
      <c r="P176" s="89"/>
      <c r="Q176" s="89"/>
      <c r="R176" s="89"/>
      <c r="S176" s="89"/>
      <c r="T176" s="89"/>
      <c r="U176" s="89"/>
      <c r="V176" s="89"/>
      <c r="W176" s="89"/>
      <c r="X176" s="89"/>
      <c r="Y176" s="89"/>
    </row>
    <row r="177" ht="15.75" customHeight="1">
      <c r="A177" s="67" t="str">
        <f t="shared" si="54"/>
        <v>Female Adapter Plastic Threads1</v>
      </c>
      <c r="B177" s="81">
        <v>4.0</v>
      </c>
      <c r="C177" s="150">
        <v>1.0</v>
      </c>
      <c r="D177" s="92">
        <v>25.0</v>
      </c>
      <c r="E177" s="94" t="s">
        <v>657</v>
      </c>
      <c r="F177" s="56">
        <v>46.4</v>
      </c>
      <c r="G177" s="76">
        <f>IFERROR(__xludf.DUMMYFUNCTION("ArrayFormula(IFERROR(VLOOKUP(E177,IMPORTRANGE(""https://docs.google.com/spreadsheets/d/1xZyKy-UzMmtPDLpV5jQdYum1LtbR8XKDuasLSjmBRMI/edit#gid=1241094406"",""COMBINED DATA!E3:L""),{7,8},0)))"),0.032)</f>
        <v>0.032</v>
      </c>
      <c r="H177" s="76">
        <f>IFERROR(__xludf.DUMMYFUNCTION("""COMPUTED_VALUE"""),0.0)</f>
        <v>0</v>
      </c>
      <c r="I177" s="76">
        <f t="shared" si="55"/>
        <v>0.032</v>
      </c>
      <c r="J177" s="84">
        <f t="shared" si="56"/>
        <v>1450</v>
      </c>
      <c r="K177" s="85"/>
      <c r="L177" s="85"/>
      <c r="M177" s="85"/>
      <c r="N177" s="85"/>
      <c r="O177" s="139"/>
      <c r="P177" s="89"/>
      <c r="Q177" s="89"/>
      <c r="R177" s="89"/>
      <c r="S177" s="89"/>
      <c r="T177" s="89"/>
      <c r="U177" s="89"/>
      <c r="V177" s="89"/>
      <c r="W177" s="89"/>
      <c r="X177" s="89"/>
      <c r="Y177" s="89"/>
    </row>
    <row r="178" ht="15.75" customHeight="1">
      <c r="A178" s="67" t="str">
        <f t="shared" si="54"/>
        <v>Female Adapter Plastic Threads1 1⁄4</v>
      </c>
      <c r="B178" s="81">
        <v>5.0</v>
      </c>
      <c r="C178" s="150" t="s">
        <v>55</v>
      </c>
      <c r="D178" s="92">
        <v>32.0</v>
      </c>
      <c r="E178" s="94" t="s">
        <v>659</v>
      </c>
      <c r="F178" s="56">
        <v>109.8</v>
      </c>
      <c r="G178" s="76">
        <f>IFERROR(__xludf.DUMMYFUNCTION("ArrayFormula(IFERROR(VLOOKUP(E178,IMPORTRANGE(""https://docs.google.com/spreadsheets/d/1xZyKy-UzMmtPDLpV5jQdYum1LtbR8XKDuasLSjmBRMI/edit#gid=1241094406"",""COMBINED DATA!E3:L""),{7,8},0)))"),0.0586)</f>
        <v>0.0586</v>
      </c>
      <c r="H178" s="76">
        <f>IFERROR(__xludf.DUMMYFUNCTION("""COMPUTED_VALUE"""),0.0)</f>
        <v>0</v>
      </c>
      <c r="I178" s="76">
        <f t="shared" si="55"/>
        <v>0.0586</v>
      </c>
      <c r="J178" s="84">
        <f t="shared" si="56"/>
        <v>1873.720137</v>
      </c>
      <c r="K178" s="85"/>
      <c r="L178" s="85"/>
      <c r="M178" s="85"/>
      <c r="N178" s="85"/>
      <c r="O178" s="139"/>
      <c r="P178" s="89"/>
      <c r="Q178" s="89"/>
      <c r="R178" s="89"/>
      <c r="S178" s="89"/>
      <c r="T178" s="89"/>
      <c r="U178" s="89"/>
      <c r="V178" s="89"/>
      <c r="W178" s="89"/>
      <c r="X178" s="89"/>
      <c r="Y178" s="89"/>
    </row>
    <row r="179" ht="15.75" customHeight="1">
      <c r="A179" s="67" t="str">
        <f t="shared" si="54"/>
        <v>Female Adapter Plastic Threads1 1⁄2</v>
      </c>
      <c r="B179" s="81">
        <v>6.0</v>
      </c>
      <c r="C179" s="150" t="s">
        <v>56</v>
      </c>
      <c r="D179" s="92">
        <v>40.0</v>
      </c>
      <c r="E179" s="94" t="s">
        <v>661</v>
      </c>
      <c r="F179" s="56">
        <v>158.0</v>
      </c>
      <c r="G179" s="76">
        <f>IFERROR(__xludf.DUMMYFUNCTION("ArrayFormula(IFERROR(VLOOKUP(E179,IMPORTRANGE(""https://docs.google.com/spreadsheets/d/1xZyKy-UzMmtPDLpV5jQdYum1LtbR8XKDuasLSjmBRMI/edit#gid=1241094406"",""COMBINED DATA!E3:L""),{7,8},0)))"),0.08425)</f>
        <v>0.08425</v>
      </c>
      <c r="H179" s="76">
        <f>IFERROR(__xludf.DUMMYFUNCTION("""COMPUTED_VALUE"""),0.0)</f>
        <v>0</v>
      </c>
      <c r="I179" s="76">
        <f t="shared" si="55"/>
        <v>0.08425</v>
      </c>
      <c r="J179" s="84">
        <f t="shared" si="56"/>
        <v>1875.37092</v>
      </c>
      <c r="K179" s="85"/>
      <c r="L179" s="85"/>
      <c r="M179" s="85"/>
      <c r="N179" s="85"/>
      <c r="O179" s="139"/>
      <c r="P179" s="89"/>
      <c r="Q179" s="89"/>
      <c r="R179" s="89"/>
      <c r="S179" s="89"/>
      <c r="T179" s="89"/>
      <c r="U179" s="89"/>
      <c r="V179" s="89"/>
      <c r="W179" s="89"/>
      <c r="X179" s="89"/>
      <c r="Y179" s="89"/>
    </row>
    <row r="180" ht="15.75" customHeight="1">
      <c r="A180" s="67" t="str">
        <f t="shared" si="54"/>
        <v>Female Adapter Plastic Threads2</v>
      </c>
      <c r="B180" s="81">
        <v>7.0</v>
      </c>
      <c r="C180" s="150">
        <v>2.0</v>
      </c>
      <c r="D180" s="92">
        <v>50.0</v>
      </c>
      <c r="E180" s="94" t="s">
        <v>664</v>
      </c>
      <c r="F180" s="56">
        <v>249.0</v>
      </c>
      <c r="G180" s="76">
        <f>IFERROR(__xludf.DUMMYFUNCTION("ArrayFormula(IFERROR(VLOOKUP(E180,IMPORTRANGE(""https://docs.google.com/spreadsheets/d/1xZyKy-UzMmtPDLpV5jQdYum1LtbR8XKDuasLSjmBRMI/edit#gid=1241094406"",""COMBINED DATA!E3:L""),{7,8},0)))"),0.148)</f>
        <v>0.148</v>
      </c>
      <c r="H180" s="76">
        <f>IFERROR(__xludf.DUMMYFUNCTION("""COMPUTED_VALUE"""),0.0)</f>
        <v>0</v>
      </c>
      <c r="I180" s="76">
        <f t="shared" si="55"/>
        <v>0.148</v>
      </c>
      <c r="J180" s="84">
        <f t="shared" si="56"/>
        <v>1682.432432</v>
      </c>
      <c r="K180" s="85"/>
      <c r="L180" s="85"/>
      <c r="M180" s="85"/>
      <c r="N180" s="85"/>
      <c r="O180" s="139"/>
      <c r="P180" s="89"/>
      <c r="Q180" s="89"/>
      <c r="R180" s="89"/>
      <c r="S180" s="89"/>
      <c r="T180" s="89"/>
      <c r="U180" s="89"/>
      <c r="V180" s="89"/>
      <c r="W180" s="89"/>
      <c r="X180" s="89"/>
      <c r="Y180" s="89"/>
    </row>
    <row r="181">
      <c r="A181" s="100"/>
      <c r="B181" s="102" t="s">
        <v>11</v>
      </c>
      <c r="C181" s="45"/>
      <c r="D181" s="45"/>
      <c r="E181" s="46"/>
      <c r="F181" s="103">
        <f>SUM(F174:F180)</f>
        <v>685.7</v>
      </c>
      <c r="G181" s="104"/>
      <c r="H181" s="76" t="str">
        <f>IFERROR(__xludf.DUMMYFUNCTION("IFERROR(VLOOKUP(E181,IMPORTRANGE(""https://docs.google.com/spreadsheets/d/1xZyKy-UzMmtPDLpV5jQdYum1LtbR8XKDuasLSjmBRMI/edit#gid=1241094406"",""COMBINED DATA!E3:L""),8,0))"),"")</f>
        <v/>
      </c>
      <c r="I181" s="76"/>
      <c r="J181" s="116"/>
      <c r="K181" s="85"/>
      <c r="L181" s="85"/>
      <c r="M181" s="85"/>
      <c r="N181" s="85"/>
      <c r="O181" s="89"/>
      <c r="P181" s="89"/>
      <c r="Q181" s="89"/>
      <c r="R181" s="89"/>
      <c r="S181" s="89"/>
      <c r="T181" s="89"/>
      <c r="U181" s="89"/>
      <c r="V181" s="89"/>
      <c r="W181" s="89"/>
      <c r="X181" s="89"/>
      <c r="Y181" s="89"/>
    </row>
    <row r="182" ht="6.0" customHeight="1">
      <c r="A182" s="34"/>
      <c r="B182" s="119"/>
      <c r="C182" s="120"/>
      <c r="D182" s="120"/>
      <c r="E182" s="121"/>
      <c r="F182" s="107"/>
      <c r="G182" s="64"/>
      <c r="H182" s="76" t="str">
        <f>IFERROR(__xludf.DUMMYFUNCTION("IFERROR(VLOOKUP(E182,IMPORTRANGE(""https://docs.google.com/spreadsheets/d/1xZyKy-UzMmtPDLpV5jQdYum1LtbR8XKDuasLSjmBRMI/edit#gid=1241094406"",""COMBINED DATA!E3:L""),8,0))"),"")</f>
        <v/>
      </c>
      <c r="I182" s="76"/>
      <c r="J182" s="65"/>
      <c r="K182" s="85"/>
      <c r="L182" s="85"/>
      <c r="M182" s="85"/>
      <c r="N182" s="85"/>
      <c r="O182" s="89"/>
      <c r="P182" s="89"/>
      <c r="Q182" s="89"/>
      <c r="R182" s="89"/>
      <c r="S182" s="89"/>
      <c r="T182" s="89"/>
      <c r="U182" s="89"/>
      <c r="V182" s="89"/>
      <c r="W182" s="89"/>
      <c r="X182" s="89"/>
      <c r="Y182" s="89"/>
    </row>
    <row r="183" ht="22.5" customHeight="1">
      <c r="A183" s="34"/>
      <c r="B183" s="62" t="s">
        <v>668</v>
      </c>
      <c r="C183" s="45"/>
      <c r="D183" s="45"/>
      <c r="E183" s="45"/>
      <c r="F183" s="46"/>
      <c r="G183" s="64"/>
      <c r="H183" s="76" t="str">
        <f>IFERROR(__xludf.DUMMYFUNCTION("IFERROR(VLOOKUP(E183,IMPORTRANGE(""https://docs.google.com/spreadsheets/d/1xZyKy-UzMmtPDLpV5jQdYum1LtbR8XKDuasLSjmBRMI/edit#gid=1241094406"",""COMBINED DATA!E3:L""),8,0))"),"")</f>
        <v/>
      </c>
      <c r="I183" s="76"/>
      <c r="J183" s="65"/>
      <c r="K183" s="85"/>
      <c r="L183" s="85"/>
      <c r="M183" s="85"/>
      <c r="N183" s="85"/>
      <c r="O183" s="89"/>
      <c r="P183" s="89"/>
      <c r="Q183" s="89"/>
      <c r="R183" s="89"/>
      <c r="S183" s="89"/>
      <c r="T183" s="89"/>
      <c r="U183" s="89"/>
      <c r="V183" s="89"/>
      <c r="W183" s="89"/>
      <c r="X183" s="89"/>
      <c r="Y183" s="89"/>
    </row>
    <row r="184" ht="15.75" customHeight="1">
      <c r="A184" s="67" t="str">
        <f t="shared" ref="A184:A186" si="57">$B$183&amp;C184</f>
        <v>Female Adapter Plastic Threads (SCH-80)2 1⁄2</v>
      </c>
      <c r="B184" s="81">
        <v>1.0</v>
      </c>
      <c r="C184" s="68" t="s">
        <v>69</v>
      </c>
      <c r="D184" s="110">
        <v>65.0</v>
      </c>
      <c r="E184" s="111" t="s">
        <v>671</v>
      </c>
      <c r="F184" s="56">
        <v>398.0</v>
      </c>
      <c r="G184" s="76">
        <f>IFERROR(__xludf.DUMMYFUNCTION("ArrayFormula(IFERROR(VLOOKUP(E184,IMPORTRANGE(""https://docs.google.com/spreadsheets/d/1xZyKy-UzMmtPDLpV5jQdYum1LtbR8XKDuasLSjmBRMI/edit#gid=1241094406"",""COMBINED DATA!E3:L""),{7,8},0)))"),0.207)</f>
        <v>0.207</v>
      </c>
      <c r="H184" s="76">
        <f>IFERROR(__xludf.DUMMYFUNCTION("""COMPUTED_VALUE"""),0.0)</f>
        <v>0</v>
      </c>
      <c r="I184" s="76">
        <f t="shared" ref="I184:I186" si="58">G184+H184</f>
        <v>0.207</v>
      </c>
      <c r="J184" s="84">
        <f t="shared" ref="J184:J186" si="59">IFERROR(F184/I184,"")</f>
        <v>1922.705314</v>
      </c>
      <c r="K184" s="85"/>
      <c r="L184" s="85"/>
      <c r="M184" s="85"/>
      <c r="N184" s="85"/>
      <c r="O184" s="139"/>
      <c r="P184" s="89"/>
      <c r="Q184" s="89"/>
      <c r="R184" s="89"/>
      <c r="S184" s="89"/>
      <c r="T184" s="89"/>
      <c r="U184" s="89"/>
      <c r="V184" s="89"/>
      <c r="W184" s="89"/>
      <c r="X184" s="89"/>
      <c r="Y184" s="89"/>
    </row>
    <row r="185" ht="15.75" customHeight="1">
      <c r="A185" s="67" t="str">
        <f t="shared" si="57"/>
        <v>Female Adapter Plastic Threads (SCH-80)3</v>
      </c>
      <c r="B185" s="81">
        <v>2.0</v>
      </c>
      <c r="C185" s="90">
        <v>3.0</v>
      </c>
      <c r="D185" s="127">
        <v>80.0</v>
      </c>
      <c r="E185" s="112" t="s">
        <v>679</v>
      </c>
      <c r="F185" s="56">
        <v>648.0</v>
      </c>
      <c r="G185" s="76">
        <f>IFERROR(__xludf.DUMMYFUNCTION("ArrayFormula(IFERROR(VLOOKUP(E185,IMPORTRANGE(""https://docs.google.com/spreadsheets/d/1xZyKy-UzMmtPDLpV5jQdYum1LtbR8XKDuasLSjmBRMI/edit#gid=1241094406"",""COMBINED DATA!E3:L""),{7,8},0)))"),0.35)</f>
        <v>0.35</v>
      </c>
      <c r="H185" s="76">
        <f>IFERROR(__xludf.DUMMYFUNCTION("""COMPUTED_VALUE"""),0.0)</f>
        <v>0</v>
      </c>
      <c r="I185" s="76">
        <f t="shared" si="58"/>
        <v>0.35</v>
      </c>
      <c r="J185" s="84">
        <f t="shared" si="59"/>
        <v>1851.428571</v>
      </c>
      <c r="K185" s="85"/>
      <c r="L185" s="85"/>
      <c r="M185" s="85"/>
      <c r="N185" s="85"/>
      <c r="O185" s="139"/>
      <c r="P185" s="89"/>
      <c r="Q185" s="89"/>
      <c r="R185" s="89"/>
      <c r="S185" s="89"/>
      <c r="T185" s="89"/>
      <c r="U185" s="89"/>
      <c r="V185" s="89"/>
      <c r="W185" s="89"/>
      <c r="X185" s="89"/>
      <c r="Y185" s="89"/>
    </row>
    <row r="186" ht="15.75" customHeight="1">
      <c r="A186" s="67" t="str">
        <f t="shared" si="57"/>
        <v>Female Adapter Plastic Threads (SCH-80)4</v>
      </c>
      <c r="B186" s="81">
        <v>3.0</v>
      </c>
      <c r="C186" s="90">
        <v>4.0</v>
      </c>
      <c r="D186" s="127">
        <v>100.0</v>
      </c>
      <c r="E186" s="112" t="s">
        <v>681</v>
      </c>
      <c r="F186" s="56">
        <v>1090.0</v>
      </c>
      <c r="G186" s="76">
        <f>IFERROR(__xludf.DUMMYFUNCTION("ArrayFormula(IFERROR(VLOOKUP(E186,IMPORTRANGE(""https://docs.google.com/spreadsheets/d/1xZyKy-UzMmtPDLpV5jQdYum1LtbR8XKDuasLSjmBRMI/edit#gid=1241094406"",""COMBINED DATA!E3:L""),{7,8},0)))"),0.598)</f>
        <v>0.598</v>
      </c>
      <c r="H186" s="76">
        <f>IFERROR(__xludf.DUMMYFUNCTION("""COMPUTED_VALUE"""),0.0)</f>
        <v>0</v>
      </c>
      <c r="I186" s="76">
        <f t="shared" si="58"/>
        <v>0.598</v>
      </c>
      <c r="J186" s="84">
        <f t="shared" si="59"/>
        <v>1822.742475</v>
      </c>
      <c r="K186" s="85"/>
      <c r="L186" s="85"/>
      <c r="M186" s="85"/>
      <c r="N186" s="85"/>
      <c r="O186" s="139"/>
      <c r="P186" s="89"/>
      <c r="Q186" s="89"/>
      <c r="R186" s="89"/>
      <c r="S186" s="89"/>
      <c r="T186" s="89"/>
      <c r="U186" s="89"/>
      <c r="V186" s="89"/>
      <c r="W186" s="89"/>
      <c r="X186" s="89"/>
      <c r="Y186" s="89"/>
    </row>
    <row r="187">
      <c r="A187" s="100"/>
      <c r="B187" s="102" t="s">
        <v>11</v>
      </c>
      <c r="C187" s="45"/>
      <c r="D187" s="45"/>
      <c r="E187" s="46"/>
      <c r="F187" s="131">
        <f>SUM(F184:F186)</f>
        <v>2136</v>
      </c>
      <c r="G187" s="104"/>
      <c r="H187" s="76" t="str">
        <f>IFERROR(__xludf.DUMMYFUNCTION("IFERROR(VLOOKUP(E187,IMPORTRANGE(""https://docs.google.com/spreadsheets/d/1xZyKy-UzMmtPDLpV5jQdYum1LtbR8XKDuasLSjmBRMI/edit#gid=1241094406"",""COMBINED DATA!E3:L""),8,0))"),"")</f>
        <v/>
      </c>
      <c r="I187" s="76"/>
      <c r="J187" s="116"/>
      <c r="K187" s="85"/>
      <c r="L187" s="85"/>
      <c r="M187" s="85"/>
      <c r="N187" s="85"/>
      <c r="O187" s="89"/>
      <c r="P187" s="89"/>
      <c r="Q187" s="89"/>
      <c r="R187" s="89"/>
      <c r="S187" s="89"/>
      <c r="T187" s="89"/>
      <c r="U187" s="89"/>
      <c r="V187" s="89"/>
      <c r="W187" s="89"/>
      <c r="X187" s="89"/>
      <c r="Y187" s="89"/>
    </row>
    <row r="188" ht="6.75" customHeight="1">
      <c r="A188" s="34"/>
      <c r="B188" s="119"/>
      <c r="C188" s="120"/>
      <c r="D188" s="120"/>
      <c r="E188" s="121"/>
      <c r="F188" s="107"/>
      <c r="G188" s="64"/>
      <c r="H188" s="76" t="str">
        <f>IFERROR(__xludf.DUMMYFUNCTION("IFERROR(VLOOKUP(E188,IMPORTRANGE(""https://docs.google.com/spreadsheets/d/1xZyKy-UzMmtPDLpV5jQdYum1LtbR8XKDuasLSjmBRMI/edit#gid=1241094406"",""COMBINED DATA!E3:L""),8,0))"),"")</f>
        <v/>
      </c>
      <c r="I188" s="76"/>
      <c r="J188" s="65"/>
      <c r="K188" s="85"/>
      <c r="L188" s="85"/>
      <c r="M188" s="85"/>
      <c r="N188" s="85"/>
      <c r="O188" s="89"/>
      <c r="P188" s="89"/>
      <c r="Q188" s="89"/>
      <c r="R188" s="89"/>
      <c r="S188" s="89"/>
      <c r="T188" s="89"/>
      <c r="U188" s="89"/>
      <c r="V188" s="89"/>
      <c r="W188" s="89"/>
      <c r="X188" s="89"/>
      <c r="Y188" s="89"/>
    </row>
    <row r="189" ht="22.5" customHeight="1">
      <c r="A189" s="34"/>
      <c r="B189" s="62" t="s">
        <v>695</v>
      </c>
      <c r="C189" s="45"/>
      <c r="D189" s="45"/>
      <c r="E189" s="45"/>
      <c r="F189" s="46"/>
      <c r="G189" s="64"/>
      <c r="H189" s="76" t="str">
        <f>IFERROR(__xludf.DUMMYFUNCTION("IFERROR(VLOOKUP(E189,IMPORTRANGE(""https://docs.google.com/spreadsheets/d/1xZyKy-UzMmtPDLpV5jQdYum1LtbR8XKDuasLSjmBRMI/edit#gid=1241094406"",""COMBINED DATA!E3:L""),8,0))"),"")</f>
        <v/>
      </c>
      <c r="I189" s="76"/>
      <c r="J189" s="65"/>
      <c r="K189" s="85"/>
      <c r="L189" s="85"/>
      <c r="M189" s="85"/>
      <c r="N189" s="85"/>
      <c r="O189" s="89"/>
      <c r="P189" s="89"/>
      <c r="Q189" s="89"/>
      <c r="R189" s="89"/>
      <c r="S189" s="89"/>
      <c r="T189" s="89"/>
      <c r="U189" s="89"/>
      <c r="V189" s="89"/>
      <c r="W189" s="89"/>
      <c r="X189" s="89"/>
      <c r="Y189" s="89"/>
    </row>
    <row r="190" ht="15.75" customHeight="1">
      <c r="A190" s="67" t="str">
        <f t="shared" ref="A190:A191" si="60">$B$189&amp;C190</f>
        <v>Cross Tee3⁄4</v>
      </c>
      <c r="B190" s="81">
        <v>1.0</v>
      </c>
      <c r="C190" s="68" t="s">
        <v>51</v>
      </c>
      <c r="D190" s="110">
        <v>20.0</v>
      </c>
      <c r="E190" s="111" t="s">
        <v>703</v>
      </c>
      <c r="F190" s="56">
        <v>66.0</v>
      </c>
      <c r="G190" s="76">
        <f>IFERROR(__xludf.DUMMYFUNCTION("ArrayFormula(IFERROR(VLOOKUP(E190,IMPORTRANGE(""https://docs.google.com/spreadsheets/d/1xZyKy-UzMmtPDLpV5jQdYum1LtbR8XKDuasLSjmBRMI/edit#gid=1241094406"",""COMBINED DATA!E3:L""),{7,8},0)))"),0.042)</f>
        <v>0.042</v>
      </c>
      <c r="H190" s="76">
        <f>IFERROR(__xludf.DUMMYFUNCTION("""COMPUTED_VALUE"""),0.0)</f>
        <v>0</v>
      </c>
      <c r="I190" s="76">
        <f t="shared" ref="I190:I191" si="61">G190+H190</f>
        <v>0.042</v>
      </c>
      <c r="J190" s="84">
        <f t="shared" ref="J190:J191" si="62">IFERROR(F190/I190,"")</f>
        <v>1571.428571</v>
      </c>
      <c r="K190" s="85"/>
      <c r="L190" s="85"/>
      <c r="M190" s="85"/>
      <c r="N190" s="85"/>
      <c r="O190" s="139"/>
      <c r="P190" s="89"/>
      <c r="Q190" s="89"/>
      <c r="R190" s="89"/>
      <c r="S190" s="89"/>
      <c r="T190" s="89"/>
      <c r="U190" s="89"/>
      <c r="V190" s="89"/>
      <c r="W190" s="89"/>
      <c r="X190" s="89"/>
      <c r="Y190" s="89"/>
    </row>
    <row r="191" ht="15.75" customHeight="1">
      <c r="A191" s="67" t="str">
        <f t="shared" si="60"/>
        <v>Cross Tee1</v>
      </c>
      <c r="B191" s="81">
        <v>2.0</v>
      </c>
      <c r="C191" s="90">
        <v>1.0</v>
      </c>
      <c r="D191" s="127">
        <v>25.0</v>
      </c>
      <c r="E191" s="112" t="s">
        <v>705</v>
      </c>
      <c r="F191" s="56">
        <v>109.0</v>
      </c>
      <c r="G191" s="76">
        <f>IFERROR(__xludf.DUMMYFUNCTION("ArrayFormula(IFERROR(VLOOKUP(E191,IMPORTRANGE(""https://docs.google.com/spreadsheets/d/1xZyKy-UzMmtPDLpV5jQdYum1LtbR8XKDuasLSjmBRMI/edit#gid=1241094406"",""COMBINED DATA!E3:L""),{7,8},0)))"),0.055)</f>
        <v>0.055</v>
      </c>
      <c r="H191" s="76">
        <f>IFERROR(__xludf.DUMMYFUNCTION("""COMPUTED_VALUE"""),0.0)</f>
        <v>0</v>
      </c>
      <c r="I191" s="76">
        <f t="shared" si="61"/>
        <v>0.055</v>
      </c>
      <c r="J191" s="84">
        <f t="shared" si="62"/>
        <v>1981.818182</v>
      </c>
      <c r="K191" s="85"/>
      <c r="L191" s="85"/>
      <c r="M191" s="85"/>
      <c r="N191" s="85"/>
      <c r="O191" s="139"/>
      <c r="P191" s="89"/>
      <c r="Q191" s="89"/>
      <c r="R191" s="89"/>
      <c r="S191" s="89"/>
      <c r="T191" s="89"/>
      <c r="U191" s="89"/>
      <c r="V191" s="89"/>
      <c r="W191" s="89"/>
      <c r="X191" s="89"/>
      <c r="Y191" s="89"/>
    </row>
    <row r="192">
      <c r="A192" s="100"/>
      <c r="B192" s="102" t="s">
        <v>11</v>
      </c>
      <c r="C192" s="45"/>
      <c r="D192" s="45"/>
      <c r="E192" s="46"/>
      <c r="F192" s="131">
        <f>SUM(F190:F191)</f>
        <v>175</v>
      </c>
      <c r="G192" s="104"/>
      <c r="H192" s="76" t="str">
        <f>IFERROR(__xludf.DUMMYFUNCTION("IFERROR(VLOOKUP(E192,IMPORTRANGE(""https://docs.google.com/spreadsheets/d/1xZyKy-UzMmtPDLpV5jQdYum1LtbR8XKDuasLSjmBRMI/edit#gid=1241094406"",""COMBINED DATA!E3:L""),8,0))"),"")</f>
        <v/>
      </c>
      <c r="I192" s="76"/>
      <c r="J192" s="116"/>
      <c r="K192" s="85"/>
      <c r="L192" s="85"/>
      <c r="M192" s="85"/>
      <c r="N192" s="85"/>
      <c r="O192" s="89"/>
      <c r="P192" s="89"/>
      <c r="Q192" s="89"/>
      <c r="R192" s="89"/>
      <c r="S192" s="89"/>
      <c r="T192" s="89"/>
      <c r="U192" s="89"/>
      <c r="V192" s="89"/>
      <c r="W192" s="89"/>
      <c r="X192" s="89"/>
      <c r="Y192" s="89"/>
    </row>
    <row r="193" ht="6.0" customHeight="1">
      <c r="A193" s="34"/>
      <c r="B193" s="119"/>
      <c r="C193" s="120"/>
      <c r="D193" s="120"/>
      <c r="E193" s="121"/>
      <c r="F193" s="107"/>
      <c r="G193" s="64"/>
      <c r="H193" s="76" t="str">
        <f>IFERROR(__xludf.DUMMYFUNCTION("IFERROR(VLOOKUP(E193,IMPORTRANGE(""https://docs.google.com/spreadsheets/d/1xZyKy-UzMmtPDLpV5jQdYum1LtbR8XKDuasLSjmBRMI/edit#gid=1241094406"",""COMBINED DATA!E3:L""),8,0))"),"")</f>
        <v/>
      </c>
      <c r="I193" s="76"/>
      <c r="J193" s="65"/>
      <c r="K193" s="85"/>
      <c r="L193" s="85"/>
      <c r="M193" s="85"/>
      <c r="N193" s="85"/>
      <c r="O193" s="89"/>
      <c r="P193" s="89"/>
      <c r="Q193" s="89"/>
      <c r="R193" s="89"/>
      <c r="S193" s="89"/>
      <c r="T193" s="89"/>
      <c r="U193" s="89"/>
      <c r="V193" s="89"/>
      <c r="W193" s="89"/>
      <c r="X193" s="89"/>
      <c r="Y193" s="89"/>
    </row>
    <row r="194" ht="22.5" customHeight="1">
      <c r="A194" s="34"/>
      <c r="B194" s="62" t="s">
        <v>745</v>
      </c>
      <c r="C194" s="45"/>
      <c r="D194" s="45"/>
      <c r="E194" s="45"/>
      <c r="F194" s="46"/>
      <c r="G194" s="64"/>
      <c r="H194" s="76" t="str">
        <f>IFERROR(__xludf.DUMMYFUNCTION("IFERROR(VLOOKUP(E194,IMPORTRANGE(""https://docs.google.com/spreadsheets/d/1xZyKy-UzMmtPDLpV5jQdYum1LtbR8XKDuasLSjmBRMI/edit#gid=1241094406"",""COMBINED DATA!E3:L""),8,0))"),"")</f>
        <v/>
      </c>
      <c r="I194" s="76"/>
      <c r="J194" s="65"/>
      <c r="K194" s="85"/>
      <c r="L194" s="85"/>
      <c r="M194" s="85"/>
      <c r="N194" s="85"/>
      <c r="O194" s="89"/>
      <c r="P194" s="89"/>
      <c r="Q194" s="89"/>
      <c r="R194" s="89"/>
      <c r="S194" s="89"/>
      <c r="T194" s="89"/>
      <c r="U194" s="89"/>
      <c r="V194" s="89"/>
      <c r="W194" s="89"/>
      <c r="X194" s="89"/>
      <c r="Y194" s="89"/>
    </row>
    <row r="195" ht="15.75" customHeight="1">
      <c r="A195" s="67" t="str">
        <f t="shared" ref="A195:A199" si="63">$B$194&amp;C195</f>
        <v>Ball Valve Butterfly Handle3⁄4</v>
      </c>
      <c r="B195" s="81">
        <v>1.0</v>
      </c>
      <c r="C195" s="51" t="s">
        <v>51</v>
      </c>
      <c r="D195" s="70">
        <v>20.0</v>
      </c>
      <c r="E195" s="129" t="s">
        <v>731</v>
      </c>
      <c r="F195" s="56">
        <v>176.0</v>
      </c>
      <c r="G195" s="76">
        <f>IFERROR(__xludf.DUMMYFUNCTION("ArrayFormula(IFERROR(VLOOKUP(E195,IMPORTRANGE(""https://docs.google.com/spreadsheets/d/1xZyKy-UzMmtPDLpV5jQdYum1LtbR8XKDuasLSjmBRMI/edit#gid=1241094406"",""COMBINED DATA!E3:L""),{7,8},0)))"),0.11103)</f>
        <v>0.11103</v>
      </c>
      <c r="H195" s="76">
        <f>IFERROR(__xludf.DUMMYFUNCTION("""COMPUTED_VALUE"""),0.0)</f>
        <v>0</v>
      </c>
      <c r="I195" s="76">
        <f t="shared" ref="I195:I199" si="64">G195+H195</f>
        <v>0.11103</v>
      </c>
      <c r="J195" s="84">
        <f t="shared" ref="J195:J199" si="65">IFERROR(F195/I195,"")</f>
        <v>1585.157165</v>
      </c>
      <c r="K195" s="85"/>
      <c r="L195" s="85"/>
      <c r="M195" s="85"/>
      <c r="N195" s="85"/>
      <c r="O195" s="139"/>
      <c r="P195" s="89"/>
      <c r="Q195" s="89"/>
      <c r="R195" s="89"/>
      <c r="S195" s="89"/>
      <c r="T195" s="89"/>
      <c r="U195" s="89"/>
      <c r="V195" s="89"/>
      <c r="W195" s="89"/>
      <c r="X195" s="89"/>
      <c r="Y195" s="89"/>
    </row>
    <row r="196" ht="15.75" customHeight="1">
      <c r="A196" s="67" t="str">
        <f t="shared" si="63"/>
        <v>Ball Valve Butterfly Handle1</v>
      </c>
      <c r="B196" s="81">
        <v>2.0</v>
      </c>
      <c r="C196" s="150">
        <v>1.0</v>
      </c>
      <c r="D196" s="92">
        <v>25.0</v>
      </c>
      <c r="E196" s="94" t="s">
        <v>736</v>
      </c>
      <c r="F196" s="56">
        <v>328.0</v>
      </c>
      <c r="G196" s="76">
        <f>IFERROR(__xludf.DUMMYFUNCTION("ArrayFormula(IFERROR(VLOOKUP(E196,IMPORTRANGE(""https://docs.google.com/spreadsheets/d/1xZyKy-UzMmtPDLpV5jQdYum1LtbR8XKDuasLSjmBRMI/edit#gid=1241094406"",""COMBINED DATA!E3:L""),{7,8},0)))"),0.17876)</f>
        <v>0.17876</v>
      </c>
      <c r="H196" s="76">
        <f>IFERROR(__xludf.DUMMYFUNCTION("""COMPUTED_VALUE"""),0.0)</f>
        <v>0</v>
      </c>
      <c r="I196" s="76">
        <f t="shared" si="64"/>
        <v>0.17876</v>
      </c>
      <c r="J196" s="84">
        <f t="shared" si="65"/>
        <v>1834.862385</v>
      </c>
      <c r="K196" s="85"/>
      <c r="L196" s="85"/>
      <c r="M196" s="85"/>
      <c r="N196" s="85"/>
      <c r="O196" s="139"/>
      <c r="P196" s="89"/>
      <c r="Q196" s="89"/>
      <c r="R196" s="89"/>
      <c r="S196" s="89"/>
      <c r="T196" s="89"/>
      <c r="U196" s="89"/>
      <c r="V196" s="89"/>
      <c r="W196" s="89"/>
      <c r="X196" s="89"/>
      <c r="Y196" s="89"/>
    </row>
    <row r="197" ht="15.75" customHeight="1">
      <c r="A197" s="67" t="str">
        <f t="shared" si="63"/>
        <v>Ball Valve Butterfly Handle1 1⁄4</v>
      </c>
      <c r="B197" s="81">
        <v>3.0</v>
      </c>
      <c r="C197" s="150" t="s">
        <v>55</v>
      </c>
      <c r="D197" s="92">
        <v>32.0</v>
      </c>
      <c r="E197" s="94" t="s">
        <v>746</v>
      </c>
      <c r="F197" s="56">
        <v>568.0</v>
      </c>
      <c r="G197" s="76">
        <f>IFERROR(__xludf.DUMMYFUNCTION("ArrayFormula(IFERROR(VLOOKUP(E197,IMPORTRANGE(""https://docs.google.com/spreadsheets/d/1xZyKy-UzMmtPDLpV5jQdYum1LtbR8XKDuasLSjmBRMI/edit#gid=1241094406"",""COMBINED DATA!E3:L""),{7,8},0)))"),0.29445)</f>
        <v>0.29445</v>
      </c>
      <c r="H197" s="76">
        <f>IFERROR(__xludf.DUMMYFUNCTION("""COMPUTED_VALUE"""),0.0)</f>
        <v>0</v>
      </c>
      <c r="I197" s="76">
        <f t="shared" si="64"/>
        <v>0.29445</v>
      </c>
      <c r="J197" s="84">
        <f t="shared" si="65"/>
        <v>1929.020207</v>
      </c>
      <c r="K197" s="85"/>
      <c r="L197" s="85"/>
      <c r="M197" s="85"/>
      <c r="N197" s="85"/>
      <c r="O197" s="139"/>
      <c r="P197" s="89"/>
      <c r="Q197" s="89"/>
      <c r="R197" s="89"/>
      <c r="S197" s="89"/>
      <c r="T197" s="89"/>
      <c r="U197" s="89"/>
      <c r="V197" s="89"/>
      <c r="W197" s="89"/>
      <c r="X197" s="89"/>
      <c r="Y197" s="89"/>
    </row>
    <row r="198" ht="15.75" customHeight="1">
      <c r="A198" s="67" t="str">
        <f t="shared" si="63"/>
        <v>Ball Valve Butterfly Handle1 1⁄2</v>
      </c>
      <c r="B198" s="81">
        <v>4.0</v>
      </c>
      <c r="C198" s="150" t="s">
        <v>56</v>
      </c>
      <c r="D198" s="92">
        <v>40.0</v>
      </c>
      <c r="E198" s="94" t="s">
        <v>752</v>
      </c>
      <c r="F198" s="56">
        <v>848.0</v>
      </c>
      <c r="G198" s="76">
        <f>IFERROR(__xludf.DUMMYFUNCTION("ArrayFormula(IFERROR(VLOOKUP(E198,IMPORTRANGE(""https://docs.google.com/spreadsheets/d/1xZyKy-UzMmtPDLpV5jQdYum1LtbR8XKDuasLSjmBRMI/edit#gid=1241094406"",""COMBINED DATA!E3:L""),{7,8},0)))"),0.425125)</f>
        <v>0.425125</v>
      </c>
      <c r="H198" s="76">
        <f>IFERROR(__xludf.DUMMYFUNCTION("""COMPUTED_VALUE"""),0.0)</f>
        <v>0</v>
      </c>
      <c r="I198" s="76">
        <f t="shared" si="64"/>
        <v>0.425125</v>
      </c>
      <c r="J198" s="84">
        <f t="shared" si="65"/>
        <v>1994.707439</v>
      </c>
      <c r="K198" s="85"/>
      <c r="L198" s="85"/>
      <c r="M198" s="85"/>
      <c r="N198" s="85"/>
      <c r="O198" s="139"/>
      <c r="P198" s="89"/>
      <c r="Q198" s="89"/>
      <c r="R198" s="89"/>
      <c r="S198" s="89"/>
      <c r="T198" s="89"/>
      <c r="U198" s="89"/>
      <c r="V198" s="89"/>
      <c r="W198" s="89"/>
      <c r="X198" s="89"/>
      <c r="Y198" s="89"/>
    </row>
    <row r="199" ht="15.75" customHeight="1">
      <c r="A199" s="67" t="str">
        <f t="shared" si="63"/>
        <v>Ball Valve Butterfly Handle2</v>
      </c>
      <c r="B199" s="81">
        <v>5.0</v>
      </c>
      <c r="C199" s="150">
        <v>2.0</v>
      </c>
      <c r="D199" s="92">
        <v>50.0</v>
      </c>
      <c r="E199" s="94" t="s">
        <v>758</v>
      </c>
      <c r="F199" s="56">
        <v>1398.0</v>
      </c>
      <c r="G199" s="76">
        <f>IFERROR(__xludf.DUMMYFUNCTION("ArrayFormula(IFERROR(VLOOKUP(E199,IMPORTRANGE(""https://docs.google.com/spreadsheets/d/1xZyKy-UzMmtPDLpV5jQdYum1LtbR8XKDuasLSjmBRMI/edit#gid=1241094406"",""COMBINED DATA!E3:L""),{7,8},0)))"),0.6576000000000001)</f>
        <v>0.6576</v>
      </c>
      <c r="H199" s="76">
        <f>IFERROR(__xludf.DUMMYFUNCTION("""COMPUTED_VALUE"""),0.0)</f>
        <v>0</v>
      </c>
      <c r="I199" s="76">
        <f t="shared" si="64"/>
        <v>0.6576</v>
      </c>
      <c r="J199" s="84">
        <f t="shared" si="65"/>
        <v>2125.912409</v>
      </c>
      <c r="K199" s="85"/>
      <c r="L199" s="85"/>
      <c r="M199" s="85"/>
      <c r="N199" s="85"/>
      <c r="O199" s="139"/>
      <c r="P199" s="89"/>
      <c r="Q199" s="89"/>
      <c r="R199" s="89"/>
      <c r="S199" s="89"/>
      <c r="T199" s="89"/>
      <c r="U199" s="89"/>
      <c r="V199" s="89"/>
      <c r="W199" s="89"/>
      <c r="X199" s="89"/>
      <c r="Y199" s="89"/>
    </row>
    <row r="200">
      <c r="A200" s="100"/>
      <c r="B200" s="102" t="s">
        <v>11</v>
      </c>
      <c r="C200" s="45"/>
      <c r="D200" s="45"/>
      <c r="E200" s="46"/>
      <c r="F200" s="103">
        <f>sum(F195:F199)</f>
        <v>3318</v>
      </c>
      <c r="G200" s="104"/>
      <c r="H200" s="76" t="str">
        <f>IFERROR(__xludf.DUMMYFUNCTION("IFERROR(VLOOKUP(E200,IMPORTRANGE(""https://docs.google.com/spreadsheets/d/1xZyKy-UzMmtPDLpV5jQdYum1LtbR8XKDuasLSjmBRMI/edit#gid=1241094406"",""COMBINED DATA!E3:L""),8,0))"),"")</f>
        <v/>
      </c>
      <c r="I200" s="76"/>
      <c r="J200" s="116"/>
      <c r="K200" s="85"/>
      <c r="L200" s="85"/>
      <c r="M200" s="85"/>
      <c r="N200" s="85"/>
      <c r="O200" s="89"/>
      <c r="P200" s="89"/>
      <c r="Q200" s="89"/>
      <c r="R200" s="89"/>
      <c r="S200" s="89"/>
      <c r="T200" s="89"/>
      <c r="U200" s="89"/>
      <c r="V200" s="89"/>
      <c r="W200" s="89"/>
      <c r="X200" s="89"/>
      <c r="Y200" s="89"/>
    </row>
    <row r="201" ht="5.25" customHeight="1">
      <c r="A201" s="34"/>
      <c r="B201" s="119"/>
      <c r="C201" s="120"/>
      <c r="D201" s="120"/>
      <c r="E201" s="121"/>
      <c r="F201" s="107"/>
      <c r="G201" s="64"/>
      <c r="H201" s="76" t="str">
        <f>IFERROR(__xludf.DUMMYFUNCTION("IFERROR(VLOOKUP(E201,IMPORTRANGE(""https://docs.google.com/spreadsheets/d/1xZyKy-UzMmtPDLpV5jQdYum1LtbR8XKDuasLSjmBRMI/edit#gid=1241094406"",""COMBINED DATA!E3:L""),8,0))"),"")</f>
        <v/>
      </c>
      <c r="I201" s="76"/>
      <c r="J201" s="65"/>
      <c r="K201" s="85"/>
      <c r="L201" s="85"/>
      <c r="M201" s="85"/>
      <c r="N201" s="85"/>
      <c r="O201" s="89"/>
      <c r="P201" s="89"/>
      <c r="Q201" s="89"/>
      <c r="R201" s="89"/>
      <c r="S201" s="89"/>
      <c r="T201" s="89"/>
      <c r="U201" s="89"/>
      <c r="V201" s="89"/>
      <c r="W201" s="89"/>
      <c r="X201" s="89"/>
      <c r="Y201" s="89"/>
    </row>
    <row r="202" ht="22.5" customHeight="1">
      <c r="A202" s="34"/>
      <c r="B202" s="62" t="s">
        <v>837</v>
      </c>
      <c r="C202" s="45"/>
      <c r="D202" s="45"/>
      <c r="E202" s="45"/>
      <c r="F202" s="46"/>
      <c r="G202" s="64"/>
      <c r="H202" s="76" t="str">
        <f>IFERROR(__xludf.DUMMYFUNCTION("IFERROR(VLOOKUP(E202,IMPORTRANGE(""https://docs.google.com/spreadsheets/d/1xZyKy-UzMmtPDLpV5jQdYum1LtbR8XKDuasLSjmBRMI/edit#gid=1241094406"",""COMBINED DATA!E3:L""),8,0))"),"")</f>
        <v/>
      </c>
      <c r="I202" s="76"/>
      <c r="J202" s="65"/>
      <c r="K202" s="85"/>
      <c r="L202" s="85"/>
      <c r="M202" s="85"/>
      <c r="N202" s="85"/>
      <c r="O202" s="89"/>
      <c r="P202" s="89"/>
      <c r="Q202" s="89"/>
      <c r="R202" s="89"/>
      <c r="S202" s="89"/>
      <c r="T202" s="89"/>
      <c r="U202" s="89"/>
      <c r="V202" s="89"/>
      <c r="W202" s="89"/>
      <c r="X202" s="89"/>
      <c r="Y202" s="89"/>
    </row>
    <row r="203" ht="15.75" customHeight="1">
      <c r="A203" s="67" t="str">
        <f t="shared" ref="A203:A207" si="66">$B$202&amp;C203</f>
        <v>Ball Valve Long Lever Handle3⁄4</v>
      </c>
      <c r="B203" s="81">
        <v>1.0</v>
      </c>
      <c r="C203" s="51" t="s">
        <v>51</v>
      </c>
      <c r="D203" s="70">
        <v>20.0</v>
      </c>
      <c r="E203" s="111" t="s">
        <v>812</v>
      </c>
      <c r="F203" s="181">
        <v>169.1</v>
      </c>
      <c r="G203" s="76">
        <f>IFERROR(__xludf.DUMMYFUNCTION("ArrayFormula(IFERROR(VLOOKUP(E203,IMPORTRANGE(""https://docs.google.com/spreadsheets/d/1xZyKy-UzMmtPDLpV5jQdYum1LtbR8XKDuasLSjmBRMI/edit#gid=1241094406"",""COMBINED DATA!E3:L""),{7,8},0)))"),0.11083)</f>
        <v>0.11083</v>
      </c>
      <c r="H203" s="76">
        <f>IFERROR(__xludf.DUMMYFUNCTION("""COMPUTED_VALUE"""),0.0)</f>
        <v>0</v>
      </c>
      <c r="I203" s="76">
        <f t="shared" ref="I203:I207" si="67">G203+H203</f>
        <v>0.11083</v>
      </c>
      <c r="J203" s="84">
        <f t="shared" ref="J203:J207" si="68">IFERROR(F203/I203,"")</f>
        <v>1525.760173</v>
      </c>
      <c r="K203" s="85"/>
      <c r="L203" s="85"/>
      <c r="M203" s="85"/>
      <c r="N203" s="85"/>
      <c r="O203" s="139"/>
      <c r="P203" s="89"/>
      <c r="Q203" s="88"/>
      <c r="R203" s="89"/>
      <c r="S203" s="89"/>
      <c r="T203" s="89"/>
      <c r="U203" s="89"/>
      <c r="V203" s="89"/>
      <c r="W203" s="89"/>
      <c r="X203" s="89"/>
      <c r="Y203" s="89"/>
    </row>
    <row r="204" ht="15.75" customHeight="1">
      <c r="A204" s="67" t="str">
        <f t="shared" si="66"/>
        <v>Ball Valve Long Lever Handle1</v>
      </c>
      <c r="B204" s="81">
        <v>2.0</v>
      </c>
      <c r="C204" s="150">
        <v>1.0</v>
      </c>
      <c r="D204" s="92">
        <v>25.0</v>
      </c>
      <c r="E204" s="112" t="s">
        <v>817</v>
      </c>
      <c r="F204" s="181">
        <v>326.8</v>
      </c>
      <c r="G204" s="76">
        <f>IFERROR(__xludf.DUMMYFUNCTION("ArrayFormula(IFERROR(VLOOKUP(E204,IMPORTRANGE(""https://docs.google.com/spreadsheets/d/1xZyKy-UzMmtPDLpV5jQdYum1LtbR8XKDuasLSjmBRMI/edit#gid=1241094406"",""COMBINED DATA!E3:L""),{7,8},0)))"),0.17856)</f>
        <v>0.17856</v>
      </c>
      <c r="H204" s="76">
        <f>IFERROR(__xludf.DUMMYFUNCTION("""COMPUTED_VALUE"""),0.0)</f>
        <v>0</v>
      </c>
      <c r="I204" s="76">
        <f t="shared" si="67"/>
        <v>0.17856</v>
      </c>
      <c r="J204" s="84">
        <f t="shared" si="68"/>
        <v>1830.197133</v>
      </c>
      <c r="K204" s="85"/>
      <c r="L204" s="85"/>
      <c r="M204" s="85"/>
      <c r="N204" s="85"/>
      <c r="O204" s="139"/>
      <c r="P204" s="89"/>
      <c r="Q204" s="88"/>
      <c r="R204" s="89"/>
      <c r="S204" s="89"/>
      <c r="T204" s="89"/>
      <c r="U204" s="89"/>
      <c r="V204" s="89"/>
      <c r="W204" s="89"/>
      <c r="X204" s="89"/>
      <c r="Y204" s="89"/>
    </row>
    <row r="205" ht="15.75" customHeight="1">
      <c r="A205" s="67" t="str">
        <f t="shared" si="66"/>
        <v>Ball Valve Long Lever Handle1 1⁄4</v>
      </c>
      <c r="B205" s="81">
        <v>3.0</v>
      </c>
      <c r="C205" s="150" t="s">
        <v>55</v>
      </c>
      <c r="D205" s="92">
        <v>32.0</v>
      </c>
      <c r="E205" s="112" t="s">
        <v>820</v>
      </c>
      <c r="F205" s="181">
        <v>505.4</v>
      </c>
      <c r="G205" s="76">
        <f>IFERROR(__xludf.DUMMYFUNCTION("ArrayFormula(IFERROR(VLOOKUP(E205,IMPORTRANGE(""https://docs.google.com/spreadsheets/d/1xZyKy-UzMmtPDLpV5jQdYum1LtbR8XKDuasLSjmBRMI/edit#gid=1241094406"",""COMBINED DATA!E3:L""),{7,8},0)))"),0.2931)</f>
        <v>0.2931</v>
      </c>
      <c r="H205" s="76">
        <f>IFERROR(__xludf.DUMMYFUNCTION("""COMPUTED_VALUE"""),0.0)</f>
        <v>0</v>
      </c>
      <c r="I205" s="76">
        <f t="shared" si="67"/>
        <v>0.2931</v>
      </c>
      <c r="J205" s="84">
        <f t="shared" si="68"/>
        <v>1724.326169</v>
      </c>
      <c r="K205" s="85"/>
      <c r="L205" s="85"/>
      <c r="M205" s="85"/>
      <c r="N205" s="85"/>
      <c r="O205" s="139"/>
      <c r="P205" s="89"/>
      <c r="Q205" s="88"/>
      <c r="R205" s="89"/>
      <c r="S205" s="89"/>
      <c r="T205" s="89"/>
      <c r="U205" s="89"/>
      <c r="V205" s="89"/>
      <c r="W205" s="89"/>
      <c r="X205" s="89"/>
      <c r="Y205" s="89"/>
    </row>
    <row r="206" ht="15.75" customHeight="1">
      <c r="A206" s="67" t="str">
        <f t="shared" si="66"/>
        <v>Ball Valve Long Lever Handle1 1⁄2</v>
      </c>
      <c r="B206" s="81">
        <v>4.0</v>
      </c>
      <c r="C206" s="150" t="s">
        <v>56</v>
      </c>
      <c r="D206" s="92">
        <v>40.0</v>
      </c>
      <c r="E206" s="112" t="s">
        <v>823</v>
      </c>
      <c r="F206" s="181">
        <v>900.6</v>
      </c>
      <c r="G206" s="76">
        <f>IFERROR(__xludf.DUMMYFUNCTION("ArrayFormula(IFERROR(VLOOKUP(E206,IMPORTRANGE(""https://docs.google.com/spreadsheets/d/1xZyKy-UzMmtPDLpV5jQdYum1LtbR8XKDuasLSjmBRMI/edit#gid=1241094406"",""COMBINED DATA!E3:L""),{7,8},0)))"),0.425125)</f>
        <v>0.425125</v>
      </c>
      <c r="H206" s="76">
        <f>IFERROR(__xludf.DUMMYFUNCTION("""COMPUTED_VALUE"""),0.0)</f>
        <v>0</v>
      </c>
      <c r="I206" s="76">
        <f t="shared" si="67"/>
        <v>0.425125</v>
      </c>
      <c r="J206" s="84">
        <f t="shared" si="68"/>
        <v>2118.435754</v>
      </c>
      <c r="K206" s="85"/>
      <c r="L206" s="85"/>
      <c r="M206" s="85"/>
      <c r="N206" s="85"/>
      <c r="O206" s="139"/>
      <c r="P206" s="89"/>
      <c r="Q206" s="88"/>
      <c r="R206" s="89"/>
      <c r="S206" s="89"/>
      <c r="T206" s="89"/>
      <c r="U206" s="89"/>
      <c r="V206" s="89"/>
      <c r="W206" s="89"/>
      <c r="X206" s="89"/>
      <c r="Y206" s="89"/>
    </row>
    <row r="207" ht="15.75" customHeight="1">
      <c r="A207" s="67" t="str">
        <f t="shared" si="66"/>
        <v>Ball Valve Long Lever Handle2</v>
      </c>
      <c r="B207" s="81">
        <v>5.0</v>
      </c>
      <c r="C207" s="150">
        <v>2.0</v>
      </c>
      <c r="D207" s="92">
        <v>50.0</v>
      </c>
      <c r="E207" s="112" t="s">
        <v>826</v>
      </c>
      <c r="F207" s="56">
        <v>1606.2</v>
      </c>
      <c r="G207" s="76">
        <f>IFERROR(__xludf.DUMMYFUNCTION("ArrayFormula(IFERROR(VLOOKUP(E207,IMPORTRANGE(""https://docs.google.com/spreadsheets/d/1xZyKy-UzMmtPDLpV5jQdYum1LtbR8XKDuasLSjmBRMI/edit#gid=1241094406"",""COMBINED DATA!E3:L""),{7,8},0)))"),0.69625)</f>
        <v>0.69625</v>
      </c>
      <c r="H207" s="76">
        <f>IFERROR(__xludf.DUMMYFUNCTION("""COMPUTED_VALUE"""),0.0)</f>
        <v>0</v>
      </c>
      <c r="I207" s="76">
        <f t="shared" si="67"/>
        <v>0.69625</v>
      </c>
      <c r="J207" s="84">
        <f t="shared" si="68"/>
        <v>2306.929982</v>
      </c>
      <c r="K207" s="85"/>
      <c r="L207" s="85"/>
      <c r="M207" s="85"/>
      <c r="N207" s="85"/>
      <c r="O207" s="139"/>
      <c r="P207" s="89"/>
      <c r="Q207" s="88"/>
      <c r="R207" s="89"/>
      <c r="S207" s="89"/>
      <c r="T207" s="89"/>
      <c r="U207" s="89"/>
      <c r="V207" s="89"/>
      <c r="W207" s="89"/>
      <c r="X207" s="89"/>
      <c r="Y207" s="89"/>
    </row>
    <row r="208">
      <c r="A208" s="100"/>
      <c r="B208" s="102" t="s">
        <v>11</v>
      </c>
      <c r="C208" s="45"/>
      <c r="D208" s="45"/>
      <c r="E208" s="46"/>
      <c r="F208" s="103">
        <f>sum(F203:F207)</f>
        <v>3508.1</v>
      </c>
      <c r="G208" s="104"/>
      <c r="H208" s="76" t="str">
        <f>IFERROR(__xludf.DUMMYFUNCTION("IFERROR(VLOOKUP(E208,IMPORTRANGE(""https://docs.google.com/spreadsheets/d/1xZyKy-UzMmtPDLpV5jQdYum1LtbR8XKDuasLSjmBRMI/edit#gid=1241094406"",""COMBINED DATA!E3:L""),8,0))"),"")</f>
        <v/>
      </c>
      <c r="I208" s="76"/>
      <c r="J208" s="116"/>
      <c r="K208" s="85"/>
      <c r="L208" s="85"/>
      <c r="M208" s="85"/>
      <c r="N208" s="85"/>
      <c r="O208" s="89"/>
      <c r="P208" s="89"/>
      <c r="Q208" s="89"/>
      <c r="R208" s="89"/>
      <c r="S208" s="89"/>
      <c r="T208" s="89"/>
      <c r="U208" s="89"/>
      <c r="V208" s="89"/>
      <c r="W208" s="89"/>
      <c r="X208" s="89"/>
      <c r="Y208" s="89"/>
    </row>
    <row r="209" ht="6.0" customHeight="1">
      <c r="A209" s="34"/>
      <c r="B209" s="15"/>
      <c r="C209" s="15"/>
      <c r="D209" s="15"/>
      <c r="E209" s="17"/>
      <c r="F209" s="15"/>
      <c r="G209" s="64"/>
      <c r="H209" s="76" t="str">
        <f>IFERROR(__xludf.DUMMYFUNCTION("IFERROR(VLOOKUP(E209,IMPORTRANGE(""https://docs.google.com/spreadsheets/d/1xZyKy-UzMmtPDLpV5jQdYum1LtbR8XKDuasLSjmBRMI/edit#gid=1241094406"",""COMBINED DATA!E3:L""),8,0))"),"")</f>
        <v/>
      </c>
      <c r="I209" s="76"/>
      <c r="J209" s="65"/>
      <c r="K209" s="85"/>
      <c r="L209" s="85"/>
      <c r="M209" s="85"/>
      <c r="N209" s="85"/>
      <c r="O209" s="89"/>
      <c r="P209" s="89"/>
      <c r="Q209" s="89"/>
      <c r="R209" s="89"/>
      <c r="S209" s="89"/>
      <c r="T209" s="89"/>
      <c r="U209" s="89"/>
      <c r="V209" s="89"/>
      <c r="W209" s="89"/>
      <c r="X209" s="89"/>
      <c r="Y209" s="89"/>
    </row>
    <row r="210" ht="22.5" customHeight="1">
      <c r="A210" s="34"/>
      <c r="B210" s="62" t="s">
        <v>854</v>
      </c>
      <c r="C210" s="45"/>
      <c r="D210" s="45"/>
      <c r="E210" s="45"/>
      <c r="F210" s="46"/>
      <c r="G210" s="64"/>
      <c r="H210" s="76" t="str">
        <f>IFERROR(__xludf.DUMMYFUNCTION("IFERROR(VLOOKUP(E210,IMPORTRANGE(""https://docs.google.com/spreadsheets/d/1xZyKy-UzMmtPDLpV5jQdYum1LtbR8XKDuasLSjmBRMI/edit#gid=1241094406"",""COMBINED DATA!E3:L""),8,0))"),"")</f>
        <v/>
      </c>
      <c r="I210" s="76"/>
      <c r="J210" s="65"/>
      <c r="K210" s="85"/>
      <c r="L210" s="85"/>
      <c r="M210" s="85"/>
      <c r="N210" s="85"/>
      <c r="O210" s="89"/>
      <c r="P210" s="89"/>
      <c r="Q210" s="89"/>
      <c r="R210" s="89"/>
      <c r="S210" s="89"/>
      <c r="T210" s="89"/>
      <c r="U210" s="89"/>
      <c r="V210" s="89"/>
      <c r="W210" s="89"/>
      <c r="X210" s="89"/>
      <c r="Y210" s="89"/>
    </row>
    <row r="211" ht="15.75" customHeight="1">
      <c r="A211" s="67" t="str">
        <f t="shared" ref="A211:A215" si="69">$B$210&amp;C211</f>
        <v>Tank Nipple3⁄4</v>
      </c>
      <c r="B211" s="81">
        <v>1.0</v>
      </c>
      <c r="C211" s="51" t="s">
        <v>51</v>
      </c>
      <c r="D211" s="70">
        <v>20.0</v>
      </c>
      <c r="E211" s="111" t="s">
        <v>830</v>
      </c>
      <c r="F211" s="56">
        <v>74.0</v>
      </c>
      <c r="G211" s="76">
        <f>IFERROR(__xludf.DUMMYFUNCTION("ArrayFormula(IFERROR(VLOOKUP(E211,IMPORTRANGE(""https://docs.google.com/spreadsheets/d/1xZyKy-UzMmtPDLpV5jQdYum1LtbR8XKDuasLSjmBRMI/edit#gid=1241094406"",""COMBINED DATA!E3:L""),{7,8},0)))"),0.07604999999999999)</f>
        <v>0.07605</v>
      </c>
      <c r="H211" s="76">
        <f>IFERROR(__xludf.DUMMYFUNCTION("""COMPUTED_VALUE"""),0.0)</f>
        <v>0</v>
      </c>
      <c r="I211" s="76">
        <f t="shared" ref="I211:I215" si="70">G211+H211</f>
        <v>0.07605</v>
      </c>
      <c r="J211" s="84">
        <f t="shared" ref="J211:J215" si="71">IFERROR(F211/I211,"")</f>
        <v>973.04405</v>
      </c>
      <c r="K211" s="85"/>
      <c r="L211" s="85"/>
      <c r="M211" s="85"/>
      <c r="N211" s="85"/>
      <c r="O211" s="139"/>
      <c r="P211" s="89"/>
      <c r="Q211" s="89"/>
      <c r="R211" s="89"/>
      <c r="S211" s="89"/>
      <c r="T211" s="89"/>
      <c r="U211" s="89"/>
      <c r="V211" s="89"/>
      <c r="W211" s="89"/>
      <c r="X211" s="89"/>
      <c r="Y211" s="89"/>
    </row>
    <row r="212" ht="15.75" customHeight="1">
      <c r="A212" s="67" t="str">
        <f t="shared" si="69"/>
        <v>Tank Nipple1</v>
      </c>
      <c r="B212" s="81">
        <v>2.0</v>
      </c>
      <c r="C212" s="150">
        <v>1.0</v>
      </c>
      <c r="D212" s="92">
        <v>25.0</v>
      </c>
      <c r="E212" s="112" t="s">
        <v>834</v>
      </c>
      <c r="F212" s="56">
        <v>98.0</v>
      </c>
      <c r="G212" s="76">
        <f>IFERROR(__xludf.DUMMYFUNCTION("ArrayFormula(IFERROR(VLOOKUP(E212,IMPORTRANGE(""https://docs.google.com/spreadsheets/d/1xZyKy-UzMmtPDLpV5jQdYum1LtbR8XKDuasLSjmBRMI/edit#gid=1241094406"",""COMBINED DATA!E3:L""),{7,8},0)))"),0.0825)</f>
        <v>0.0825</v>
      </c>
      <c r="H212" s="76">
        <f>IFERROR(__xludf.DUMMYFUNCTION("""COMPUTED_VALUE"""),0.0)</f>
        <v>0</v>
      </c>
      <c r="I212" s="76">
        <f t="shared" si="70"/>
        <v>0.0825</v>
      </c>
      <c r="J212" s="84">
        <f t="shared" si="71"/>
        <v>1187.878788</v>
      </c>
      <c r="K212" s="85"/>
      <c r="L212" s="85"/>
      <c r="M212" s="85"/>
      <c r="N212" s="85"/>
      <c r="O212" s="139"/>
      <c r="P212" s="89"/>
      <c r="Q212" s="89"/>
      <c r="R212" s="89"/>
      <c r="S212" s="89"/>
      <c r="T212" s="89"/>
      <c r="U212" s="89"/>
      <c r="V212" s="89"/>
      <c r="W212" s="89"/>
      <c r="X212" s="89"/>
      <c r="Y212" s="89"/>
    </row>
    <row r="213" ht="15.75" customHeight="1">
      <c r="A213" s="67" t="str">
        <f t="shared" si="69"/>
        <v>Tank Nipple1 1⁄4</v>
      </c>
      <c r="B213" s="81">
        <v>3.0</v>
      </c>
      <c r="C213" s="150" t="s">
        <v>55</v>
      </c>
      <c r="D213" s="92">
        <v>32.0</v>
      </c>
      <c r="E213" s="112" t="s">
        <v>839</v>
      </c>
      <c r="F213" s="56">
        <v>158.0</v>
      </c>
      <c r="G213" s="76">
        <f>IFERROR(__xludf.DUMMYFUNCTION("ArrayFormula(IFERROR(VLOOKUP(E213,IMPORTRANGE(""https://docs.google.com/spreadsheets/d/1xZyKy-UzMmtPDLpV5jQdYum1LtbR8XKDuasLSjmBRMI/edit#gid=1241094406"",""COMBINED DATA!E3:L""),{7,8},0)))"),0.11705)</f>
        <v>0.11705</v>
      </c>
      <c r="H213" s="76">
        <f>IFERROR(__xludf.DUMMYFUNCTION("""COMPUTED_VALUE"""),0.0)</f>
        <v>0</v>
      </c>
      <c r="I213" s="76">
        <f t="shared" si="70"/>
        <v>0.11705</v>
      </c>
      <c r="J213" s="84">
        <f t="shared" si="71"/>
        <v>1349.850491</v>
      </c>
      <c r="K213" s="85"/>
      <c r="L213" s="85"/>
      <c r="M213" s="85"/>
      <c r="N213" s="85"/>
      <c r="O213" s="139"/>
      <c r="P213" s="89"/>
      <c r="Q213" s="89"/>
      <c r="R213" s="89"/>
      <c r="S213" s="89"/>
      <c r="T213" s="89"/>
      <c r="U213" s="89"/>
      <c r="V213" s="89"/>
      <c r="W213" s="89"/>
      <c r="X213" s="89"/>
      <c r="Y213" s="89"/>
    </row>
    <row r="214" ht="15.75" customHeight="1">
      <c r="A214" s="67" t="str">
        <f t="shared" si="69"/>
        <v>Tank Nipple1 1⁄2</v>
      </c>
      <c r="B214" s="81">
        <v>4.0</v>
      </c>
      <c r="C214" s="150" t="s">
        <v>56</v>
      </c>
      <c r="D214" s="92">
        <v>40.0</v>
      </c>
      <c r="E214" s="112" t="s">
        <v>843</v>
      </c>
      <c r="F214" s="56">
        <v>244.0</v>
      </c>
      <c r="G214" s="76">
        <f>IFERROR(__xludf.DUMMYFUNCTION("ArrayFormula(IFERROR(VLOOKUP(E214,IMPORTRANGE(""https://docs.google.com/spreadsheets/d/1xZyKy-UzMmtPDLpV5jQdYum1LtbR8XKDuasLSjmBRMI/edit#gid=1241094406"",""COMBINED DATA!E3:L""),{7,8},0)))"),0.13535)</f>
        <v>0.13535</v>
      </c>
      <c r="H214" s="76">
        <f>IFERROR(__xludf.DUMMYFUNCTION("""COMPUTED_VALUE"""),0.0)</f>
        <v>0</v>
      </c>
      <c r="I214" s="76">
        <f t="shared" si="70"/>
        <v>0.13535</v>
      </c>
      <c r="J214" s="84">
        <f t="shared" si="71"/>
        <v>1802.733653</v>
      </c>
      <c r="K214" s="85"/>
      <c r="L214" s="85"/>
      <c r="M214" s="85"/>
      <c r="N214" s="85"/>
      <c r="O214" s="139"/>
      <c r="P214" s="89"/>
      <c r="Q214" s="89"/>
      <c r="R214" s="89"/>
      <c r="S214" s="89"/>
      <c r="T214" s="89"/>
      <c r="U214" s="89"/>
      <c r="V214" s="89"/>
      <c r="W214" s="89"/>
      <c r="X214" s="89"/>
      <c r="Y214" s="89"/>
    </row>
    <row r="215" ht="15.75" customHeight="1">
      <c r="A215" s="67" t="str">
        <f t="shared" si="69"/>
        <v>Tank Nipple2</v>
      </c>
      <c r="B215" s="81">
        <v>5.0</v>
      </c>
      <c r="C215" s="150">
        <v>2.0</v>
      </c>
      <c r="D215" s="92">
        <v>50.0</v>
      </c>
      <c r="E215" s="112" t="s">
        <v>846</v>
      </c>
      <c r="F215" s="56">
        <v>368.0</v>
      </c>
      <c r="G215" s="76">
        <f>IFERROR(__xludf.DUMMYFUNCTION("ArrayFormula(IFERROR(VLOOKUP(E215,IMPORTRANGE(""https://docs.google.com/spreadsheets/d/1xZyKy-UzMmtPDLpV5jQdYum1LtbR8XKDuasLSjmBRMI/edit#gid=1241094406"",""COMBINED DATA!E3:L""),{7,8},0)))"),0.21245)</f>
        <v>0.21245</v>
      </c>
      <c r="H215" s="76">
        <f>IFERROR(__xludf.DUMMYFUNCTION("""COMPUTED_VALUE"""),0.0)</f>
        <v>0</v>
      </c>
      <c r="I215" s="76">
        <f t="shared" si="70"/>
        <v>0.21245</v>
      </c>
      <c r="J215" s="84">
        <f t="shared" si="71"/>
        <v>1732.172276</v>
      </c>
      <c r="K215" s="85"/>
      <c r="L215" s="85"/>
      <c r="M215" s="85"/>
      <c r="N215" s="85"/>
      <c r="O215" s="139"/>
      <c r="P215" s="89"/>
      <c r="Q215" s="89"/>
      <c r="R215" s="89"/>
      <c r="S215" s="89"/>
      <c r="T215" s="89"/>
      <c r="U215" s="89"/>
      <c r="V215" s="89"/>
      <c r="W215" s="89"/>
      <c r="X215" s="89"/>
      <c r="Y215" s="89"/>
    </row>
    <row r="216">
      <c r="A216" s="100"/>
      <c r="B216" s="102" t="s">
        <v>11</v>
      </c>
      <c r="C216" s="45"/>
      <c r="D216" s="45"/>
      <c r="E216" s="46"/>
      <c r="F216" s="103">
        <f>sum(F211:F215)</f>
        <v>942</v>
      </c>
      <c r="G216" s="104"/>
      <c r="H216" s="76" t="str">
        <f>IFERROR(__xludf.DUMMYFUNCTION("IFERROR(VLOOKUP(E216,IMPORTRANGE(""https://docs.google.com/spreadsheets/d/1xZyKy-UzMmtPDLpV5jQdYum1LtbR8XKDuasLSjmBRMI/edit#gid=1241094406"",""COMBINED DATA!E3:L""),8,0))"),"")</f>
        <v/>
      </c>
      <c r="I216" s="76"/>
      <c r="J216" s="116"/>
      <c r="K216" s="85"/>
      <c r="L216" s="85"/>
      <c r="M216" s="85"/>
      <c r="N216" s="85"/>
      <c r="O216" s="89"/>
      <c r="P216" s="89"/>
      <c r="Q216" s="89"/>
      <c r="R216" s="89"/>
      <c r="S216" s="89"/>
      <c r="T216" s="89"/>
      <c r="U216" s="89"/>
      <c r="V216" s="89"/>
      <c r="W216" s="89"/>
      <c r="X216" s="89"/>
      <c r="Y216" s="89"/>
    </row>
    <row r="217" ht="6.0" customHeight="1">
      <c r="A217" s="34"/>
      <c r="B217" s="15"/>
      <c r="C217" s="15"/>
      <c r="D217" s="15"/>
      <c r="E217" s="17"/>
      <c r="F217" s="15"/>
      <c r="G217" s="64"/>
      <c r="H217" s="76" t="str">
        <f>IFERROR(__xludf.DUMMYFUNCTION("IFERROR(VLOOKUP(E217,IMPORTRANGE(""https://docs.google.com/spreadsheets/d/1xZyKy-UzMmtPDLpV5jQdYum1LtbR8XKDuasLSjmBRMI/edit#gid=1241094406"",""COMBINED DATA!E3:L""),8,0))"),"")</f>
        <v/>
      </c>
      <c r="I217" s="76"/>
      <c r="J217" s="65"/>
      <c r="K217" s="85"/>
      <c r="L217" s="85"/>
      <c r="M217" s="85"/>
      <c r="N217" s="85"/>
      <c r="O217" s="89"/>
      <c r="P217" s="89"/>
      <c r="Q217" s="89"/>
      <c r="R217" s="89"/>
      <c r="S217" s="89"/>
      <c r="T217" s="89"/>
      <c r="U217" s="89"/>
      <c r="V217" s="89"/>
      <c r="W217" s="89"/>
      <c r="X217" s="89"/>
      <c r="Y217" s="89"/>
    </row>
    <row r="218" ht="22.5" customHeight="1">
      <c r="A218" s="34"/>
      <c r="B218" s="62" t="s">
        <v>881</v>
      </c>
      <c r="C218" s="45"/>
      <c r="D218" s="45"/>
      <c r="E218" s="45"/>
      <c r="F218" s="46"/>
      <c r="G218" s="64"/>
      <c r="H218" s="76" t="str">
        <f>IFERROR(__xludf.DUMMYFUNCTION("IFERROR(VLOOKUP(E218,IMPORTRANGE(""https://docs.google.com/spreadsheets/d/1xZyKy-UzMmtPDLpV5jQdYum1LtbR8XKDuasLSjmBRMI/edit#gid=1241094406"",""COMBINED DATA!E3:L""),8,0))"),"")</f>
        <v/>
      </c>
      <c r="I218" s="76"/>
      <c r="J218" s="65"/>
      <c r="K218" s="85"/>
      <c r="L218" s="85"/>
      <c r="M218" s="85"/>
      <c r="N218" s="85"/>
      <c r="O218" s="89"/>
      <c r="P218" s="89"/>
      <c r="Q218" s="89"/>
      <c r="R218" s="89"/>
      <c r="S218" s="89"/>
      <c r="T218" s="89"/>
      <c r="U218" s="89"/>
      <c r="V218" s="89"/>
      <c r="W218" s="89"/>
      <c r="X218" s="89"/>
      <c r="Y218" s="89"/>
    </row>
    <row r="219" ht="15.75" customHeight="1">
      <c r="A219" s="67" t="str">
        <f t="shared" ref="A219:A226" si="72">$B$218&amp;C219</f>
        <v>Tank Connector3⁄4</v>
      </c>
      <c r="B219" s="81">
        <v>1.0</v>
      </c>
      <c r="C219" s="68" t="s">
        <v>51</v>
      </c>
      <c r="D219" s="110">
        <v>20.0</v>
      </c>
      <c r="E219" s="111" t="s">
        <v>852</v>
      </c>
      <c r="F219" s="56">
        <v>62.0</v>
      </c>
      <c r="G219" s="76">
        <f>IFERROR(__xludf.DUMMYFUNCTION("ArrayFormula(IFERROR(VLOOKUP(E219,IMPORTRANGE(""https://docs.google.com/spreadsheets/d/1xZyKy-UzMmtPDLpV5jQdYum1LtbR8XKDuasLSjmBRMI/edit#gid=1241094406"",""COMBINED DATA!E3:L""),{7,8},0)))"),0.06525)</f>
        <v>0.06525</v>
      </c>
      <c r="H219" s="76">
        <f>IFERROR(__xludf.DUMMYFUNCTION("""COMPUTED_VALUE"""),0.0)</f>
        <v>0</v>
      </c>
      <c r="I219" s="76">
        <f t="shared" ref="I219:I226" si="73">G219+H219</f>
        <v>0.06525</v>
      </c>
      <c r="J219" s="84">
        <f t="shared" ref="J219:J226" si="74">IFERROR(F219/I219,"")</f>
        <v>950.1915709</v>
      </c>
      <c r="K219" s="85"/>
      <c r="L219" s="85"/>
      <c r="M219" s="85"/>
      <c r="N219" s="85"/>
      <c r="O219" s="139"/>
      <c r="P219" s="89"/>
      <c r="Q219" s="89"/>
      <c r="R219" s="89"/>
      <c r="S219" s="89"/>
      <c r="T219" s="89"/>
      <c r="U219" s="89"/>
      <c r="V219" s="89"/>
      <c r="W219" s="89"/>
      <c r="X219" s="89"/>
      <c r="Y219" s="89"/>
    </row>
    <row r="220" ht="15.75" customHeight="1">
      <c r="A220" s="67" t="str">
        <f t="shared" si="72"/>
        <v>Tank Connector1</v>
      </c>
      <c r="B220" s="81">
        <v>2.0</v>
      </c>
      <c r="C220" s="90" t="s">
        <v>84</v>
      </c>
      <c r="D220" s="127">
        <v>25.0</v>
      </c>
      <c r="E220" s="112" t="s">
        <v>857</v>
      </c>
      <c r="F220" s="56">
        <v>89.0</v>
      </c>
      <c r="G220" s="76">
        <f>IFERROR(__xludf.DUMMYFUNCTION("ArrayFormula(IFERROR(VLOOKUP(E220,IMPORTRANGE(""https://docs.google.com/spreadsheets/d/1xZyKy-UzMmtPDLpV5jQdYum1LtbR8XKDuasLSjmBRMI/edit#gid=1241094406"",""COMBINED DATA!E3:L""),{7,8},0)))"),0.071)</f>
        <v>0.071</v>
      </c>
      <c r="H220" s="76">
        <f>IFERROR(__xludf.DUMMYFUNCTION("""COMPUTED_VALUE"""),0.0)</f>
        <v>0</v>
      </c>
      <c r="I220" s="76">
        <f t="shared" si="73"/>
        <v>0.071</v>
      </c>
      <c r="J220" s="84">
        <f t="shared" si="74"/>
        <v>1253.521127</v>
      </c>
      <c r="K220" s="85"/>
      <c r="L220" s="85"/>
      <c r="M220" s="85"/>
      <c r="N220" s="85"/>
      <c r="O220" s="139"/>
      <c r="P220" s="89"/>
      <c r="Q220" s="89"/>
      <c r="R220" s="89"/>
      <c r="S220" s="89"/>
      <c r="T220" s="89"/>
      <c r="U220" s="89"/>
      <c r="V220" s="89"/>
      <c r="W220" s="89"/>
      <c r="X220" s="89"/>
      <c r="Y220" s="89"/>
    </row>
    <row r="221" ht="15.75" customHeight="1">
      <c r="A221" s="67" t="str">
        <f t="shared" si="72"/>
        <v>Tank Connector1 1⁄4</v>
      </c>
      <c r="B221" s="81">
        <v>3.0</v>
      </c>
      <c r="C221" s="90" t="s">
        <v>55</v>
      </c>
      <c r="D221" s="127">
        <v>32.0</v>
      </c>
      <c r="E221" s="112" t="s">
        <v>862</v>
      </c>
      <c r="F221" s="56">
        <v>148.0</v>
      </c>
      <c r="G221" s="76">
        <f>IFERROR(__xludf.DUMMYFUNCTION("ArrayFormula(IFERROR(VLOOKUP(E221,IMPORTRANGE(""https://docs.google.com/spreadsheets/d/1xZyKy-UzMmtPDLpV5jQdYum1LtbR8XKDuasLSjmBRMI/edit#gid=1241094406"",""COMBINED DATA!E3:L""),{7,8},0)))"),0.105)</f>
        <v>0.105</v>
      </c>
      <c r="H221" s="76">
        <f>IFERROR(__xludf.DUMMYFUNCTION("""COMPUTED_VALUE"""),0.0)</f>
        <v>0</v>
      </c>
      <c r="I221" s="76">
        <f t="shared" si="73"/>
        <v>0.105</v>
      </c>
      <c r="J221" s="84">
        <f t="shared" si="74"/>
        <v>1409.52381</v>
      </c>
      <c r="K221" s="85"/>
      <c r="L221" s="85"/>
      <c r="M221" s="85"/>
      <c r="N221" s="85"/>
      <c r="O221" s="139"/>
      <c r="P221" s="89"/>
      <c r="Q221" s="89"/>
      <c r="R221" s="89"/>
      <c r="S221" s="89"/>
      <c r="T221" s="89"/>
      <c r="U221" s="89"/>
      <c r="V221" s="89"/>
      <c r="W221" s="89"/>
      <c r="X221" s="89"/>
      <c r="Y221" s="89"/>
    </row>
    <row r="222" ht="15.75" customHeight="1">
      <c r="A222" s="67" t="str">
        <f t="shared" si="72"/>
        <v>Tank Connector1 1⁄2</v>
      </c>
      <c r="B222" s="81">
        <v>4.0</v>
      </c>
      <c r="C222" s="90" t="s">
        <v>56</v>
      </c>
      <c r="D222" s="127">
        <v>40.0</v>
      </c>
      <c r="E222" s="112" t="s">
        <v>867</v>
      </c>
      <c r="F222" s="56">
        <v>198.0</v>
      </c>
      <c r="G222" s="76">
        <f>IFERROR(__xludf.DUMMYFUNCTION("ArrayFormula(IFERROR(VLOOKUP(E222,IMPORTRANGE(""https://docs.google.com/spreadsheets/d/1xZyKy-UzMmtPDLpV5jQdYum1LtbR8XKDuasLSjmBRMI/edit#gid=1241094406"",""COMBINED DATA!E3:L""),{7,8},0)))"),0.14565)</f>
        <v>0.14565</v>
      </c>
      <c r="H222" s="76">
        <f>IFERROR(__xludf.DUMMYFUNCTION("""COMPUTED_VALUE"""),0.0)</f>
        <v>0</v>
      </c>
      <c r="I222" s="76">
        <f t="shared" si="73"/>
        <v>0.14565</v>
      </c>
      <c r="J222" s="84">
        <f t="shared" si="74"/>
        <v>1359.423275</v>
      </c>
      <c r="K222" s="85"/>
      <c r="L222" s="85"/>
      <c r="M222" s="85"/>
      <c r="N222" s="85"/>
      <c r="O222" s="139"/>
      <c r="P222" s="89"/>
      <c r="Q222" s="89"/>
      <c r="R222" s="89"/>
      <c r="S222" s="89"/>
      <c r="T222" s="89"/>
      <c r="U222" s="89"/>
      <c r="V222" s="89"/>
      <c r="W222" s="89"/>
      <c r="X222" s="89"/>
      <c r="Y222" s="89"/>
    </row>
    <row r="223" ht="15.75" customHeight="1">
      <c r="A223" s="67" t="str">
        <f t="shared" si="72"/>
        <v>Tank Connector2</v>
      </c>
      <c r="B223" s="81">
        <v>5.0</v>
      </c>
      <c r="C223" s="90">
        <v>2.0</v>
      </c>
      <c r="D223" s="127">
        <v>50.0</v>
      </c>
      <c r="E223" s="112" t="s">
        <v>873</v>
      </c>
      <c r="F223" s="56">
        <v>344.0</v>
      </c>
      <c r="G223" s="76">
        <f>IFERROR(__xludf.DUMMYFUNCTION("ArrayFormula(IFERROR(VLOOKUP(E223,IMPORTRANGE(""https://docs.google.com/spreadsheets/d/1xZyKy-UzMmtPDLpV5jQdYum1LtbR8XKDuasLSjmBRMI/edit#gid=1241094406"",""COMBINED DATA!E3:L""),{7,8},0)))"),0.20595)</f>
        <v>0.20595</v>
      </c>
      <c r="H223" s="76">
        <f>IFERROR(__xludf.DUMMYFUNCTION("""COMPUTED_VALUE"""),0.0)</f>
        <v>0</v>
      </c>
      <c r="I223" s="76">
        <f t="shared" si="73"/>
        <v>0.20595</v>
      </c>
      <c r="J223" s="84">
        <f t="shared" si="74"/>
        <v>1670.308327</v>
      </c>
      <c r="K223" s="85"/>
      <c r="L223" s="85"/>
      <c r="M223" s="85"/>
      <c r="N223" s="85"/>
      <c r="O223" s="139"/>
      <c r="P223" s="89"/>
      <c r="Q223" s="89"/>
      <c r="R223" s="89"/>
      <c r="S223" s="89"/>
      <c r="T223" s="89"/>
      <c r="U223" s="89"/>
      <c r="V223" s="89"/>
      <c r="W223" s="89"/>
      <c r="X223" s="89"/>
      <c r="Y223" s="89"/>
    </row>
    <row r="224" ht="15.75" customHeight="1">
      <c r="A224" s="67" t="str">
        <f t="shared" si="72"/>
        <v>Tank Connector2 1⁄2</v>
      </c>
      <c r="B224" s="81">
        <v>6.0</v>
      </c>
      <c r="C224" s="90" t="s">
        <v>69</v>
      </c>
      <c r="D224" s="127">
        <v>65.0</v>
      </c>
      <c r="E224" s="112" t="s">
        <v>879</v>
      </c>
      <c r="F224" s="56">
        <v>1280.0</v>
      </c>
      <c r="G224" s="76">
        <f>IFERROR(__xludf.DUMMYFUNCTION("ArrayFormula(IFERROR(VLOOKUP(E224,IMPORTRANGE(""https://docs.google.com/spreadsheets/d/1xZyKy-UzMmtPDLpV5jQdYum1LtbR8XKDuasLSjmBRMI/edit#gid=1241094406"",""COMBINED DATA!E3:L""),{7,8},0)))"),0.732)</f>
        <v>0.732</v>
      </c>
      <c r="H224" s="76">
        <f>IFERROR(__xludf.DUMMYFUNCTION("""COMPUTED_VALUE"""),0.0)</f>
        <v>0</v>
      </c>
      <c r="I224" s="76">
        <f t="shared" si="73"/>
        <v>0.732</v>
      </c>
      <c r="J224" s="84">
        <f t="shared" si="74"/>
        <v>1748.63388</v>
      </c>
      <c r="K224" s="85"/>
      <c r="L224" s="85"/>
      <c r="M224" s="85"/>
      <c r="N224" s="85"/>
      <c r="O224" s="139"/>
      <c r="P224" s="89"/>
      <c r="Q224" s="89"/>
      <c r="R224" s="89"/>
      <c r="S224" s="89"/>
      <c r="T224" s="89"/>
      <c r="U224" s="89"/>
      <c r="V224" s="89"/>
      <c r="W224" s="89"/>
      <c r="X224" s="89"/>
      <c r="Y224" s="89"/>
    </row>
    <row r="225" ht="15.75" customHeight="1">
      <c r="A225" s="67" t="str">
        <f t="shared" si="72"/>
        <v>Tank Connector3</v>
      </c>
      <c r="B225" s="81">
        <v>7.0</v>
      </c>
      <c r="C225" s="90">
        <v>3.0</v>
      </c>
      <c r="D225" s="127">
        <v>80.0</v>
      </c>
      <c r="E225" s="112" t="s">
        <v>885</v>
      </c>
      <c r="F225" s="56">
        <v>1898.0</v>
      </c>
      <c r="G225" s="76">
        <f>IFERROR(__xludf.DUMMYFUNCTION("ArrayFormula(IFERROR(VLOOKUP(E225,IMPORTRANGE(""https://docs.google.com/spreadsheets/d/1xZyKy-UzMmtPDLpV5jQdYum1LtbR8XKDuasLSjmBRMI/edit#gid=1241094406"",""COMBINED DATA!E3:L""),{7,8},0)))"),0.0)</f>
        <v>0</v>
      </c>
      <c r="H225" s="76">
        <f>IFERROR(__xludf.DUMMYFUNCTION("""COMPUTED_VALUE"""),0.0)</f>
        <v>0</v>
      </c>
      <c r="I225" s="76">
        <f t="shared" si="73"/>
        <v>0</v>
      </c>
      <c r="J225" s="84" t="str">
        <f t="shared" si="74"/>
        <v/>
      </c>
      <c r="K225" s="85"/>
      <c r="L225" s="85"/>
      <c r="M225" s="85"/>
      <c r="N225" s="85"/>
      <c r="O225" s="139"/>
      <c r="P225" s="89"/>
      <c r="Q225" s="89"/>
      <c r="R225" s="89"/>
      <c r="S225" s="89"/>
      <c r="T225" s="89"/>
      <c r="U225" s="89"/>
      <c r="V225" s="89"/>
      <c r="W225" s="89"/>
      <c r="X225" s="89"/>
      <c r="Y225" s="89"/>
    </row>
    <row r="226" ht="15.75" customHeight="1">
      <c r="A226" s="67" t="str">
        <f t="shared" si="72"/>
        <v>Tank Connector4</v>
      </c>
      <c r="B226" s="81">
        <v>8.0</v>
      </c>
      <c r="C226" s="90">
        <v>4.0</v>
      </c>
      <c r="D226" s="127">
        <v>100.0</v>
      </c>
      <c r="E226" s="112" t="s">
        <v>890</v>
      </c>
      <c r="F226" s="56">
        <v>3780.0</v>
      </c>
      <c r="G226" s="76">
        <f>IFERROR(__xludf.DUMMYFUNCTION("ArrayFormula(IFERROR(VLOOKUP(E226,IMPORTRANGE(""https://docs.google.com/spreadsheets/d/1xZyKy-UzMmtPDLpV5jQdYum1LtbR8XKDuasLSjmBRMI/edit#gid=1241094406"",""COMBINED DATA!E3:L""),{7,8},0)))"),2.235)</f>
        <v>2.235</v>
      </c>
      <c r="H226" s="76">
        <f>IFERROR(__xludf.DUMMYFUNCTION("""COMPUTED_VALUE"""),0.0)</f>
        <v>0</v>
      </c>
      <c r="I226" s="76">
        <f t="shared" si="73"/>
        <v>2.235</v>
      </c>
      <c r="J226" s="84">
        <f t="shared" si="74"/>
        <v>1691.275168</v>
      </c>
      <c r="K226" s="85"/>
      <c r="L226" s="85"/>
      <c r="M226" s="85"/>
      <c r="N226" s="85"/>
      <c r="O226" s="139"/>
      <c r="P226" s="89"/>
      <c r="Q226" s="89"/>
      <c r="R226" s="89"/>
      <c r="S226" s="89"/>
      <c r="T226" s="89"/>
      <c r="U226" s="89"/>
      <c r="V226" s="89"/>
      <c r="W226" s="89"/>
      <c r="X226" s="89"/>
      <c r="Y226" s="89"/>
    </row>
    <row r="227">
      <c r="A227" s="100"/>
      <c r="B227" s="102" t="s">
        <v>11</v>
      </c>
      <c r="C227" s="45"/>
      <c r="D227" s="45"/>
      <c r="E227" s="46"/>
      <c r="F227" s="103">
        <f>SUM(F219:F226)</f>
        <v>7799</v>
      </c>
      <c r="G227" s="104"/>
      <c r="H227" s="76" t="str">
        <f>IFERROR(__xludf.DUMMYFUNCTION("IFERROR(VLOOKUP(E227,IMPORTRANGE(""https://docs.google.com/spreadsheets/d/1xZyKy-UzMmtPDLpV5jQdYum1LtbR8XKDuasLSjmBRMI/edit#gid=1241094406"",""COMBINED DATA!E3:L""),8,0))"),"")</f>
        <v/>
      </c>
      <c r="I227" s="76"/>
      <c r="J227" s="116"/>
      <c r="K227" s="85"/>
      <c r="L227" s="85"/>
      <c r="M227" s="85"/>
      <c r="N227" s="85"/>
      <c r="O227" s="89"/>
      <c r="P227" s="89"/>
      <c r="Q227" s="89"/>
      <c r="R227" s="89"/>
      <c r="S227" s="89"/>
      <c r="T227" s="89"/>
      <c r="U227" s="89"/>
      <c r="V227" s="89"/>
      <c r="W227" s="89"/>
      <c r="X227" s="89"/>
      <c r="Y227" s="89"/>
    </row>
    <row r="228" ht="6.0" customHeight="1">
      <c r="A228" s="34"/>
      <c r="B228" s="15"/>
      <c r="C228" s="15"/>
      <c r="D228" s="15"/>
      <c r="E228" s="17"/>
      <c r="F228" s="15"/>
      <c r="G228" s="64"/>
      <c r="H228" s="76" t="str">
        <f>IFERROR(__xludf.DUMMYFUNCTION("IFERROR(VLOOKUP(E228,IMPORTRANGE(""https://docs.google.com/spreadsheets/d/1xZyKy-UzMmtPDLpV5jQdYum1LtbR8XKDuasLSjmBRMI/edit#gid=1241094406"",""COMBINED DATA!E3:L""),8,0))"),"")</f>
        <v/>
      </c>
      <c r="I228" s="76"/>
      <c r="J228" s="65"/>
      <c r="K228" s="85"/>
      <c r="L228" s="85"/>
      <c r="M228" s="85"/>
      <c r="N228" s="85"/>
      <c r="O228" s="89"/>
      <c r="P228" s="89"/>
      <c r="Q228" s="89"/>
      <c r="R228" s="89"/>
      <c r="S228" s="89"/>
      <c r="T228" s="89"/>
      <c r="U228" s="89"/>
      <c r="V228" s="89"/>
      <c r="W228" s="89"/>
      <c r="X228" s="89"/>
      <c r="Y228" s="89"/>
    </row>
    <row r="229" ht="22.5" customHeight="1">
      <c r="A229" s="34"/>
      <c r="B229" s="62" t="s">
        <v>1098</v>
      </c>
      <c r="C229" s="45"/>
      <c r="D229" s="45"/>
      <c r="E229" s="45"/>
      <c r="F229" s="46"/>
      <c r="G229" s="64"/>
      <c r="H229" s="76" t="str">
        <f>IFERROR(__xludf.DUMMYFUNCTION("IFERROR(VLOOKUP(E229,IMPORTRANGE(""https://docs.google.com/spreadsheets/d/1xZyKy-UzMmtPDLpV5jQdYum1LtbR8XKDuasLSjmBRMI/edit#gid=1241094406"",""COMBINED DATA!E3:L""),8,0))"),"")</f>
        <v/>
      </c>
      <c r="I229" s="76"/>
      <c r="J229" s="65"/>
      <c r="K229" s="85"/>
      <c r="L229" s="85"/>
      <c r="M229" s="85"/>
      <c r="N229" s="85"/>
      <c r="O229" s="89"/>
      <c r="P229" s="89"/>
      <c r="Q229" s="89"/>
      <c r="R229" s="89"/>
      <c r="S229" s="89"/>
      <c r="T229" s="89"/>
      <c r="U229" s="89"/>
      <c r="V229" s="89"/>
      <c r="W229" s="89"/>
      <c r="X229" s="89"/>
      <c r="Y229" s="89"/>
    </row>
    <row r="230" ht="15.75" customHeight="1">
      <c r="A230" s="67" t="str">
        <f t="shared" ref="A230:A235" si="75">$B$229&amp;C230</f>
        <v>Expansion Loop1⁄2</v>
      </c>
      <c r="B230" s="81">
        <v>1.0</v>
      </c>
      <c r="C230" s="68" t="s">
        <v>43</v>
      </c>
      <c r="D230" s="70">
        <v>15.0</v>
      </c>
      <c r="E230" s="111" t="s">
        <v>1099</v>
      </c>
      <c r="F230" s="181">
        <v>70.3</v>
      </c>
      <c r="G230" s="76" t="str">
        <f>IFERROR(__xludf.DUMMYFUNCTION("ArrayFormula(IFERROR(VLOOKUP(E230,IMPORTRANGE(""https://docs.google.com/spreadsheets/d/1xZyKy-UzMmtPDLpV5jQdYum1LtbR8XKDuasLSjmBRMI/edit#gid=1241094406"",""COMBINED DATA!E3:L""),{7,8},0)))"),"")</f>
        <v/>
      </c>
      <c r="H230" s="76"/>
      <c r="I230" s="76">
        <f t="shared" ref="I230:I235" si="76">G230+H230</f>
        <v>0</v>
      </c>
      <c r="J230" s="84" t="str">
        <f t="shared" ref="J230:J235" si="77">IFERROR(F230/I230,"")</f>
        <v/>
      </c>
      <c r="K230" s="85"/>
      <c r="L230" s="85"/>
      <c r="M230" s="85"/>
      <c r="N230" s="85"/>
      <c r="O230" s="139"/>
      <c r="P230" s="89"/>
      <c r="Q230" s="89"/>
      <c r="R230" s="89"/>
      <c r="S230" s="89"/>
      <c r="T230" s="89"/>
      <c r="U230" s="89"/>
      <c r="V230" s="89"/>
      <c r="W230" s="89"/>
      <c r="X230" s="89"/>
      <c r="Y230" s="89"/>
    </row>
    <row r="231" ht="15.75" customHeight="1">
      <c r="A231" s="67" t="str">
        <f t="shared" si="75"/>
        <v>Expansion Loop3⁄4</v>
      </c>
      <c r="B231" s="81">
        <v>2.0</v>
      </c>
      <c r="C231" s="90" t="s">
        <v>51</v>
      </c>
      <c r="D231" s="92">
        <v>20.0</v>
      </c>
      <c r="E231" s="112" t="s">
        <v>1102</v>
      </c>
      <c r="F231" s="181">
        <v>125.4</v>
      </c>
      <c r="G231" s="76" t="str">
        <f>IFERROR(__xludf.DUMMYFUNCTION("ArrayFormula(IFERROR(VLOOKUP(E231,IMPORTRANGE(""https://docs.google.com/spreadsheets/d/1xZyKy-UzMmtPDLpV5jQdYum1LtbR8XKDuasLSjmBRMI/edit#gid=1241094406"",""COMBINED DATA!E3:L""),{7,8},0)))"),"")</f>
        <v/>
      </c>
      <c r="H231" s="76"/>
      <c r="I231" s="76">
        <f t="shared" si="76"/>
        <v>0</v>
      </c>
      <c r="J231" s="84" t="str">
        <f t="shared" si="77"/>
        <v/>
      </c>
      <c r="K231" s="85"/>
      <c r="L231" s="85"/>
      <c r="M231" s="85"/>
      <c r="N231" s="85"/>
      <c r="O231" s="139"/>
      <c r="P231" s="89"/>
      <c r="Q231" s="89"/>
      <c r="R231" s="89"/>
      <c r="S231" s="89"/>
      <c r="T231" s="89"/>
      <c r="U231" s="89"/>
      <c r="V231" s="89"/>
      <c r="W231" s="89"/>
      <c r="X231" s="89"/>
      <c r="Y231" s="89"/>
    </row>
    <row r="232" ht="15.75" customHeight="1">
      <c r="A232" s="67" t="str">
        <f t="shared" si="75"/>
        <v>Expansion Loop1</v>
      </c>
      <c r="B232" s="81">
        <v>3.0</v>
      </c>
      <c r="C232" s="90" t="s">
        <v>84</v>
      </c>
      <c r="D232" s="92">
        <v>25.0</v>
      </c>
      <c r="E232" s="112" t="s">
        <v>1104</v>
      </c>
      <c r="F232" s="181">
        <v>220.4</v>
      </c>
      <c r="G232" s="76" t="str">
        <f>IFERROR(__xludf.DUMMYFUNCTION("ArrayFormula(IFERROR(VLOOKUP(E232,IMPORTRANGE(""https://docs.google.com/spreadsheets/d/1xZyKy-UzMmtPDLpV5jQdYum1LtbR8XKDuasLSjmBRMI/edit#gid=1241094406"",""COMBINED DATA!E3:L""),{7,8},0)))"),"")</f>
        <v/>
      </c>
      <c r="H232" s="76"/>
      <c r="I232" s="76">
        <f t="shared" si="76"/>
        <v>0</v>
      </c>
      <c r="J232" s="84" t="str">
        <f t="shared" si="77"/>
        <v/>
      </c>
      <c r="K232" s="85"/>
      <c r="L232" s="85"/>
      <c r="M232" s="85"/>
      <c r="N232" s="85"/>
      <c r="O232" s="139"/>
      <c r="P232" s="89"/>
      <c r="Q232" s="89"/>
      <c r="R232" s="89"/>
      <c r="S232" s="89"/>
      <c r="T232" s="89"/>
      <c r="U232" s="89"/>
      <c r="V232" s="89"/>
      <c r="W232" s="89"/>
      <c r="X232" s="89"/>
      <c r="Y232" s="89"/>
    </row>
    <row r="233" ht="15.75" customHeight="1">
      <c r="A233" s="67" t="str">
        <f t="shared" si="75"/>
        <v>Expansion Loop1 1⁄4</v>
      </c>
      <c r="B233" s="81">
        <v>4.0</v>
      </c>
      <c r="C233" s="90" t="s">
        <v>55</v>
      </c>
      <c r="D233" s="92">
        <v>32.0</v>
      </c>
      <c r="E233" s="112" t="s">
        <v>1105</v>
      </c>
      <c r="F233" s="181">
        <v>412.3</v>
      </c>
      <c r="G233" s="76" t="str">
        <f>IFERROR(__xludf.DUMMYFUNCTION("ArrayFormula(IFERROR(VLOOKUP(E233,IMPORTRANGE(""https://docs.google.com/spreadsheets/d/1xZyKy-UzMmtPDLpV5jQdYum1LtbR8XKDuasLSjmBRMI/edit#gid=1241094406"",""COMBINED DATA!E3:L""),{7,8},0)))"),"")</f>
        <v/>
      </c>
      <c r="H233" s="76"/>
      <c r="I233" s="76">
        <f t="shared" si="76"/>
        <v>0</v>
      </c>
      <c r="J233" s="84" t="str">
        <f t="shared" si="77"/>
        <v/>
      </c>
      <c r="K233" s="85"/>
      <c r="L233" s="85"/>
      <c r="M233" s="85"/>
      <c r="N233" s="85"/>
      <c r="O233" s="139"/>
      <c r="P233" s="89"/>
      <c r="Q233" s="89"/>
      <c r="R233" s="89"/>
      <c r="S233" s="89"/>
      <c r="T233" s="89"/>
      <c r="U233" s="89"/>
      <c r="V233" s="89"/>
      <c r="W233" s="89"/>
      <c r="X233" s="89"/>
      <c r="Y233" s="89"/>
    </row>
    <row r="234" ht="15.75" customHeight="1">
      <c r="A234" s="67" t="str">
        <f t="shared" si="75"/>
        <v>Expansion Loop1 1⁄2</v>
      </c>
      <c r="B234" s="81">
        <v>5.0</v>
      </c>
      <c r="C234" s="90" t="s">
        <v>56</v>
      </c>
      <c r="D234" s="92">
        <v>40.0</v>
      </c>
      <c r="E234" s="112" t="s">
        <v>1106</v>
      </c>
      <c r="F234" s="181">
        <v>634.6</v>
      </c>
      <c r="G234" s="76" t="str">
        <f>IFERROR(__xludf.DUMMYFUNCTION("ArrayFormula(IFERROR(VLOOKUP(E234,IMPORTRANGE(""https://docs.google.com/spreadsheets/d/1xZyKy-UzMmtPDLpV5jQdYum1LtbR8XKDuasLSjmBRMI/edit#gid=1241094406"",""COMBINED DATA!E3:L""),{7,8},0)))"),"")</f>
        <v/>
      </c>
      <c r="H234" s="76"/>
      <c r="I234" s="76">
        <f t="shared" si="76"/>
        <v>0</v>
      </c>
      <c r="J234" s="84" t="str">
        <f t="shared" si="77"/>
        <v/>
      </c>
      <c r="K234" s="85"/>
      <c r="L234" s="85"/>
      <c r="M234" s="85"/>
      <c r="N234" s="85"/>
      <c r="O234" s="139"/>
      <c r="P234" s="89"/>
      <c r="Q234" s="89"/>
      <c r="R234" s="89"/>
      <c r="S234" s="89"/>
      <c r="T234" s="89"/>
      <c r="U234" s="89"/>
      <c r="V234" s="89"/>
      <c r="W234" s="89"/>
      <c r="X234" s="89"/>
      <c r="Y234" s="89"/>
    </row>
    <row r="235" ht="15.75" customHeight="1">
      <c r="A235" s="67" t="str">
        <f t="shared" si="75"/>
        <v>Expansion Loop2</v>
      </c>
      <c r="B235" s="81">
        <v>6.0</v>
      </c>
      <c r="C235" s="90" t="s">
        <v>107</v>
      </c>
      <c r="D235" s="92">
        <v>50.0</v>
      </c>
      <c r="E235" s="112" t="s">
        <v>1107</v>
      </c>
      <c r="F235" s="181">
        <v>1303.4</v>
      </c>
      <c r="G235" s="76" t="str">
        <f>IFERROR(__xludf.DUMMYFUNCTION("ArrayFormula(IFERROR(VLOOKUP(E235,IMPORTRANGE(""https://docs.google.com/spreadsheets/d/1xZyKy-UzMmtPDLpV5jQdYum1LtbR8XKDuasLSjmBRMI/edit#gid=1241094406"",""COMBINED DATA!E3:L""),{7,8},0)))"),"")</f>
        <v/>
      </c>
      <c r="H235" s="76"/>
      <c r="I235" s="76">
        <f t="shared" si="76"/>
        <v>0</v>
      </c>
      <c r="J235" s="84" t="str">
        <f t="shared" si="77"/>
        <v/>
      </c>
      <c r="K235" s="85"/>
      <c r="L235" s="85"/>
      <c r="M235" s="85"/>
      <c r="N235" s="85"/>
      <c r="O235" s="139"/>
      <c r="P235" s="89"/>
      <c r="Q235" s="89"/>
      <c r="R235" s="89"/>
      <c r="S235" s="89"/>
      <c r="T235" s="89"/>
      <c r="U235" s="89"/>
      <c r="V235" s="89"/>
      <c r="W235" s="89"/>
      <c r="X235" s="89"/>
      <c r="Y235" s="89"/>
    </row>
    <row r="236">
      <c r="A236" s="100"/>
      <c r="B236" s="102" t="s">
        <v>11</v>
      </c>
      <c r="C236" s="45"/>
      <c r="D236" s="45"/>
      <c r="E236" s="46"/>
      <c r="F236" s="103">
        <f>SUM(F230:F235)</f>
        <v>2766.4</v>
      </c>
      <c r="G236" s="104"/>
      <c r="H236" s="76" t="str">
        <f>IFERROR(__xludf.DUMMYFUNCTION("IFERROR(VLOOKUP(E236,IMPORTRANGE(""https://docs.google.com/spreadsheets/d/1xZyKy-UzMmtPDLpV5jQdYum1LtbR8XKDuasLSjmBRMI/edit#gid=1241094406"",""COMBINED DATA!E3:L""),8,0))"),"")</f>
        <v/>
      </c>
      <c r="I236" s="76"/>
      <c r="J236" s="116"/>
      <c r="K236" s="85"/>
      <c r="L236" s="85"/>
      <c r="M236" s="85"/>
      <c r="N236" s="85"/>
      <c r="O236" s="89"/>
      <c r="P236" s="89"/>
      <c r="Q236" s="89"/>
      <c r="R236" s="89"/>
      <c r="S236" s="89"/>
      <c r="T236" s="89"/>
      <c r="U236" s="89"/>
      <c r="V236" s="89"/>
      <c r="W236" s="89"/>
      <c r="X236" s="89"/>
      <c r="Y236" s="89"/>
    </row>
    <row r="237" ht="4.5" customHeight="1">
      <c r="A237" s="34"/>
      <c r="B237" s="15"/>
      <c r="C237" s="15"/>
      <c r="D237" s="15"/>
      <c r="E237" s="17"/>
      <c r="F237" s="15"/>
      <c r="G237" s="64"/>
      <c r="H237" s="76" t="str">
        <f>IFERROR(__xludf.DUMMYFUNCTION("IFERROR(VLOOKUP(E237,IMPORTRANGE(""https://docs.google.com/spreadsheets/d/1xZyKy-UzMmtPDLpV5jQdYum1LtbR8XKDuasLSjmBRMI/edit#gid=1241094406"",""COMBINED DATA!E3:L""),8,0))"),"")</f>
        <v/>
      </c>
      <c r="I237" s="76"/>
      <c r="J237" s="65"/>
      <c r="K237" s="85"/>
      <c r="L237" s="85"/>
      <c r="M237" s="85"/>
      <c r="N237" s="85"/>
      <c r="O237" s="89"/>
      <c r="P237" s="89"/>
      <c r="Q237" s="89"/>
      <c r="R237" s="89"/>
      <c r="S237" s="89"/>
      <c r="T237" s="89"/>
      <c r="U237" s="89"/>
      <c r="V237" s="89"/>
      <c r="W237" s="89"/>
      <c r="X237" s="89"/>
      <c r="Y237" s="89"/>
    </row>
    <row r="238" ht="22.5" customHeight="1">
      <c r="A238" s="34"/>
      <c r="B238" s="62" t="s">
        <v>982</v>
      </c>
      <c r="C238" s="45"/>
      <c r="D238" s="45"/>
      <c r="E238" s="45"/>
      <c r="F238" s="46"/>
      <c r="G238" s="64"/>
      <c r="H238" s="76" t="str">
        <f>IFERROR(__xludf.DUMMYFUNCTION("IFERROR(VLOOKUP(E238,IMPORTRANGE(""https://docs.google.com/spreadsheets/d/1xZyKy-UzMmtPDLpV5jQdYum1LtbR8XKDuasLSjmBRMI/edit#gid=1241094406"",""COMBINED DATA!E3:L""),8,0))"),"")</f>
        <v/>
      </c>
      <c r="I238" s="76"/>
      <c r="J238" s="65"/>
      <c r="K238" s="85"/>
      <c r="L238" s="85"/>
      <c r="M238" s="85"/>
      <c r="N238" s="85"/>
      <c r="O238" s="89"/>
      <c r="P238" s="89"/>
      <c r="Q238" s="89"/>
      <c r="R238" s="89"/>
      <c r="S238" s="89"/>
      <c r="T238" s="89"/>
      <c r="U238" s="89"/>
      <c r="V238" s="89"/>
      <c r="W238" s="89"/>
      <c r="X238" s="89"/>
      <c r="Y238" s="89"/>
    </row>
    <row r="239" ht="15.75" customHeight="1">
      <c r="A239" s="67" t="str">
        <f t="shared" ref="A239:A240" si="78">$B$238&amp;C239</f>
        <v>End Plug1⁄2</v>
      </c>
      <c r="B239" s="81">
        <v>1.0</v>
      </c>
      <c r="C239" s="68" t="s">
        <v>43</v>
      </c>
      <c r="D239" s="110">
        <v>15.0</v>
      </c>
      <c r="E239" s="111" t="s">
        <v>955</v>
      </c>
      <c r="F239" s="56">
        <v>8.2</v>
      </c>
      <c r="G239" s="76">
        <f>IFERROR(__xludf.DUMMYFUNCTION("ArrayFormula(IFERROR(VLOOKUP(E239,IMPORTRANGE(""https://docs.google.com/spreadsheets/d/1xZyKy-UzMmtPDLpV5jQdYum1LtbR8XKDuasLSjmBRMI/edit#gid=1241094406"",""COMBINED DATA!E3:L""),{7,8},0)))"),0.015349999999999999)</f>
        <v>0.01535</v>
      </c>
      <c r="H239" s="76">
        <f>IFERROR(__xludf.DUMMYFUNCTION("""COMPUTED_VALUE"""),0.0)</f>
        <v>0</v>
      </c>
      <c r="I239" s="76">
        <f t="shared" ref="I239:I240" si="79">G239+H239</f>
        <v>0.01535</v>
      </c>
      <c r="J239" s="84">
        <f t="shared" ref="J239:J240" si="80">IFERROR(F239/I239,"")</f>
        <v>534.2019544</v>
      </c>
      <c r="K239" s="85"/>
      <c r="L239" s="85"/>
      <c r="M239" s="85"/>
      <c r="N239" s="85"/>
      <c r="O239" s="139"/>
      <c r="P239" s="89"/>
      <c r="Q239" s="89"/>
      <c r="R239" s="89"/>
      <c r="S239" s="89"/>
      <c r="T239" s="89"/>
      <c r="U239" s="89"/>
      <c r="V239" s="89"/>
      <c r="W239" s="89"/>
      <c r="X239" s="89"/>
      <c r="Y239" s="89"/>
    </row>
    <row r="240" ht="15.75" customHeight="1">
      <c r="A240" s="67" t="str">
        <f t="shared" si="78"/>
        <v>End Plug3⁄4</v>
      </c>
      <c r="B240" s="81">
        <v>2.0</v>
      </c>
      <c r="C240" s="90" t="s">
        <v>51</v>
      </c>
      <c r="D240" s="127">
        <v>20.0</v>
      </c>
      <c r="E240" s="112" t="s">
        <v>961</v>
      </c>
      <c r="F240" s="56">
        <v>9.8</v>
      </c>
      <c r="G240" s="76">
        <f>IFERROR(__xludf.DUMMYFUNCTION("ArrayFormula(IFERROR(VLOOKUP(E240,IMPORTRANGE(""https://docs.google.com/spreadsheets/d/1xZyKy-UzMmtPDLpV5jQdYum1LtbR8XKDuasLSjmBRMI/edit#gid=1241094406"",""COMBINED DATA!E3:L""),{7,8},0)))"),0.019)</f>
        <v>0.019</v>
      </c>
      <c r="H240" s="76">
        <f>IFERROR(__xludf.DUMMYFUNCTION("""COMPUTED_VALUE"""),0.0)</f>
        <v>0</v>
      </c>
      <c r="I240" s="76">
        <f t="shared" si="79"/>
        <v>0.019</v>
      </c>
      <c r="J240" s="84">
        <f t="shared" si="80"/>
        <v>515.7894737</v>
      </c>
      <c r="K240" s="85"/>
      <c r="L240" s="85"/>
      <c r="M240" s="85"/>
      <c r="N240" s="85"/>
      <c r="O240" s="139"/>
      <c r="P240" s="89"/>
      <c r="Q240" s="89"/>
      <c r="R240" s="89"/>
      <c r="S240" s="89"/>
      <c r="T240" s="89"/>
      <c r="U240" s="89"/>
      <c r="V240" s="89"/>
      <c r="W240" s="89"/>
      <c r="X240" s="89"/>
      <c r="Y240" s="89"/>
    </row>
    <row r="241">
      <c r="A241" s="100"/>
      <c r="B241" s="102" t="s">
        <v>11</v>
      </c>
      <c r="C241" s="45"/>
      <c r="D241" s="45"/>
      <c r="E241" s="46"/>
      <c r="F241" s="131">
        <f>sum(F239:F240)</f>
        <v>18</v>
      </c>
      <c r="G241" s="104"/>
      <c r="H241" s="76" t="str">
        <f>IFERROR(__xludf.DUMMYFUNCTION("IFERROR(VLOOKUP(E241,IMPORTRANGE(""https://docs.google.com/spreadsheets/d/1xZyKy-UzMmtPDLpV5jQdYum1LtbR8XKDuasLSjmBRMI/edit#gid=1241094406"",""COMBINED DATA!E3:L""),8,0))"),"")</f>
        <v/>
      </c>
      <c r="I241" s="76"/>
      <c r="J241" s="84"/>
      <c r="K241" s="85"/>
      <c r="L241" s="85"/>
      <c r="M241" s="85"/>
      <c r="N241" s="85"/>
      <c r="O241" s="89"/>
      <c r="P241" s="89"/>
      <c r="Q241" s="89"/>
      <c r="R241" s="89"/>
      <c r="S241" s="89"/>
      <c r="T241" s="89"/>
      <c r="U241" s="89"/>
      <c r="V241" s="89"/>
      <c r="W241" s="89"/>
      <c r="X241" s="89"/>
      <c r="Y241" s="89"/>
    </row>
    <row r="242" ht="6.0" customHeight="1">
      <c r="A242" s="34"/>
      <c r="B242" s="15"/>
      <c r="C242" s="15"/>
      <c r="D242" s="15"/>
      <c r="E242" s="17"/>
      <c r="F242" s="15"/>
      <c r="G242" s="64"/>
      <c r="H242" s="76" t="str">
        <f>IFERROR(__xludf.DUMMYFUNCTION("IFERROR(VLOOKUP(E242,IMPORTRANGE(""https://docs.google.com/spreadsheets/d/1xZyKy-UzMmtPDLpV5jQdYum1LtbR8XKDuasLSjmBRMI/edit#gid=1241094406"",""COMBINED DATA!E3:L""),8,0))"),"")</f>
        <v/>
      </c>
      <c r="I242" s="76"/>
      <c r="J242" s="65"/>
      <c r="K242" s="85"/>
      <c r="L242" s="85"/>
      <c r="M242" s="85"/>
      <c r="N242" s="85"/>
      <c r="O242" s="89"/>
      <c r="P242" s="89"/>
      <c r="Q242" s="89"/>
      <c r="R242" s="89"/>
      <c r="S242" s="89"/>
      <c r="T242" s="89"/>
      <c r="U242" s="89"/>
      <c r="V242" s="89"/>
      <c r="W242" s="89"/>
      <c r="X242" s="89"/>
      <c r="Y242" s="89"/>
    </row>
    <row r="243" ht="22.5" customHeight="1">
      <c r="A243" s="34"/>
      <c r="B243" s="62" t="s">
        <v>1001</v>
      </c>
      <c r="C243" s="45"/>
      <c r="D243" s="45"/>
      <c r="E243" s="45"/>
      <c r="F243" s="46"/>
      <c r="G243" s="64"/>
      <c r="H243" s="76" t="str">
        <f>IFERROR(__xludf.DUMMYFUNCTION("IFERROR(VLOOKUP(E243,IMPORTRANGE(""https://docs.google.com/spreadsheets/d/1xZyKy-UzMmtPDLpV5jQdYum1LtbR8XKDuasLSjmBRMI/edit#gid=1241094406"",""COMBINED DATA!E3:L""),8,0))"),"")</f>
        <v/>
      </c>
      <c r="I243" s="76"/>
      <c r="J243" s="65"/>
      <c r="K243" s="85"/>
      <c r="L243" s="85"/>
      <c r="M243" s="85"/>
      <c r="N243" s="85"/>
      <c r="O243" s="89"/>
      <c r="P243" s="89"/>
      <c r="Q243" s="89"/>
      <c r="R243" s="89"/>
      <c r="S243" s="89"/>
      <c r="T243" s="89"/>
      <c r="U243" s="89"/>
      <c r="V243" s="89"/>
      <c r="W243" s="89"/>
      <c r="X243" s="89"/>
      <c r="Y243" s="89"/>
    </row>
    <row r="244" ht="15.75" customHeight="1">
      <c r="A244" s="67" t="str">
        <f t="shared" ref="A244:A247" si="81">$B$243&amp;C244</f>
        <v>Step Over Bend3⁄4</v>
      </c>
      <c r="B244" s="81">
        <v>1.0</v>
      </c>
      <c r="C244" s="68" t="s">
        <v>51</v>
      </c>
      <c r="D244" s="110">
        <v>20.0</v>
      </c>
      <c r="E244" s="111" t="s">
        <v>967</v>
      </c>
      <c r="F244" s="56">
        <v>92.8</v>
      </c>
      <c r="G244" s="76">
        <f>IFERROR(__xludf.DUMMYFUNCTION("ArrayFormula(IFERROR(VLOOKUP(E244,IMPORTRANGE(""https://docs.google.com/spreadsheets/d/1xZyKy-UzMmtPDLpV5jQdYum1LtbR8XKDuasLSjmBRMI/edit#gid=1241094406"",""COMBINED DATA!E3:L""),{7,8},0)))"),0.086)</f>
        <v>0.086</v>
      </c>
      <c r="H244" s="76">
        <f>IFERROR(__xludf.DUMMYFUNCTION("""COMPUTED_VALUE"""),0.0)</f>
        <v>0</v>
      </c>
      <c r="I244" s="76">
        <f t="shared" ref="I244:I247" si="82">G244+H244</f>
        <v>0.086</v>
      </c>
      <c r="J244" s="84">
        <f t="shared" ref="J244:J247" si="83">IFERROR(F244/I244,"")</f>
        <v>1079.069767</v>
      </c>
      <c r="K244" s="85"/>
      <c r="L244" s="85"/>
      <c r="M244" s="85"/>
      <c r="N244" s="85"/>
      <c r="O244" s="139"/>
      <c r="P244" s="89"/>
      <c r="Q244" s="89"/>
      <c r="R244" s="89"/>
      <c r="S244" s="89"/>
      <c r="T244" s="89"/>
      <c r="U244" s="89"/>
      <c r="V244" s="89"/>
      <c r="W244" s="89"/>
      <c r="X244" s="89"/>
      <c r="Y244" s="89"/>
    </row>
    <row r="245" ht="15.75" customHeight="1">
      <c r="A245" s="67" t="str">
        <f t="shared" si="81"/>
        <v>Step Over Bend1</v>
      </c>
      <c r="B245" s="81">
        <v>2.0</v>
      </c>
      <c r="C245" s="90" t="s">
        <v>84</v>
      </c>
      <c r="D245" s="127">
        <v>25.0</v>
      </c>
      <c r="E245" s="112" t="s">
        <v>970</v>
      </c>
      <c r="F245" s="56">
        <v>136.0</v>
      </c>
      <c r="G245" s="76">
        <f>IFERROR(__xludf.DUMMYFUNCTION("ArrayFormula(IFERROR(VLOOKUP(E245,IMPORTRANGE(""https://docs.google.com/spreadsheets/d/1xZyKy-UzMmtPDLpV5jQdYum1LtbR8XKDuasLSjmBRMI/edit#gid=1241094406"",""COMBINED DATA!E3:L""),{7,8},0)))"),0.08325)</f>
        <v>0.08325</v>
      </c>
      <c r="H245" s="76">
        <f>IFERROR(__xludf.DUMMYFUNCTION("""COMPUTED_VALUE"""),0.0)</f>
        <v>0</v>
      </c>
      <c r="I245" s="76">
        <f t="shared" si="82"/>
        <v>0.08325</v>
      </c>
      <c r="J245" s="84">
        <f t="shared" si="83"/>
        <v>1633.633634</v>
      </c>
      <c r="K245" s="85"/>
      <c r="L245" s="85"/>
      <c r="M245" s="85"/>
      <c r="N245" s="85"/>
      <c r="O245" s="139"/>
      <c r="P245" s="89"/>
      <c r="Q245" s="89"/>
      <c r="R245" s="89"/>
      <c r="S245" s="89"/>
      <c r="T245" s="89"/>
      <c r="U245" s="89"/>
      <c r="V245" s="89"/>
      <c r="W245" s="89"/>
      <c r="X245" s="89"/>
      <c r="Y245" s="89"/>
    </row>
    <row r="246" ht="15.75" customHeight="1">
      <c r="A246" s="67" t="str">
        <f t="shared" si="81"/>
        <v>Step Over Bend1 1⁄4</v>
      </c>
      <c r="B246" s="81">
        <v>3.0</v>
      </c>
      <c r="C246" s="90" t="s">
        <v>55</v>
      </c>
      <c r="D246" s="127">
        <v>32.0</v>
      </c>
      <c r="E246" s="112" t="s">
        <v>974</v>
      </c>
      <c r="F246" s="56">
        <v>278.0</v>
      </c>
      <c r="G246" s="76">
        <f>IFERROR(__xludf.DUMMYFUNCTION("ArrayFormula(IFERROR(VLOOKUP(E246,IMPORTRANGE(""https://docs.google.com/spreadsheets/d/1xZyKy-UzMmtPDLpV5jQdYum1LtbR8XKDuasLSjmBRMI/edit#gid=1241094406"",""COMBINED DATA!E3:L""),{7,8},0)))"),0.188)</f>
        <v>0.188</v>
      </c>
      <c r="H246" s="76">
        <f>IFERROR(__xludf.DUMMYFUNCTION("""COMPUTED_VALUE"""),0.0)</f>
        <v>0</v>
      </c>
      <c r="I246" s="76">
        <f t="shared" si="82"/>
        <v>0.188</v>
      </c>
      <c r="J246" s="84">
        <f t="shared" si="83"/>
        <v>1478.723404</v>
      </c>
      <c r="K246" s="85"/>
      <c r="L246" s="85"/>
      <c r="M246" s="85"/>
      <c r="N246" s="85"/>
      <c r="O246" s="139"/>
      <c r="P246" s="89"/>
      <c r="Q246" s="89"/>
      <c r="R246" s="89"/>
      <c r="S246" s="89"/>
      <c r="T246" s="89"/>
      <c r="U246" s="89"/>
      <c r="V246" s="89"/>
      <c r="W246" s="89"/>
      <c r="X246" s="89"/>
      <c r="Y246" s="89"/>
    </row>
    <row r="247" ht="15.75" customHeight="1">
      <c r="A247" s="67" t="str">
        <f t="shared" si="81"/>
        <v>Step Over Bend1 1⁄2</v>
      </c>
      <c r="B247" s="81">
        <v>4.0</v>
      </c>
      <c r="C247" s="90" t="s">
        <v>56</v>
      </c>
      <c r="D247" s="127">
        <v>40.0</v>
      </c>
      <c r="E247" s="112" t="s">
        <v>979</v>
      </c>
      <c r="F247" s="56">
        <v>544.0</v>
      </c>
      <c r="G247" s="76">
        <f>IFERROR(__xludf.DUMMYFUNCTION("ArrayFormula(IFERROR(VLOOKUP(E247,IMPORTRANGE(""https://docs.google.com/spreadsheets/d/1xZyKy-UzMmtPDLpV5jQdYum1LtbR8XKDuasLSjmBRMI/edit#gid=1241094406"",""COMBINED DATA!E3:L""),{7,8},0)))"),0.421)</f>
        <v>0.421</v>
      </c>
      <c r="H247" s="76">
        <f>IFERROR(__xludf.DUMMYFUNCTION("""COMPUTED_VALUE"""),0.0)</f>
        <v>0</v>
      </c>
      <c r="I247" s="76">
        <f t="shared" si="82"/>
        <v>0.421</v>
      </c>
      <c r="J247" s="84">
        <f t="shared" si="83"/>
        <v>1292.16152</v>
      </c>
      <c r="K247" s="85"/>
      <c r="L247" s="85"/>
      <c r="M247" s="85"/>
      <c r="N247" s="85"/>
      <c r="O247" s="139"/>
      <c r="P247" s="89"/>
      <c r="Q247" s="89"/>
      <c r="R247" s="89"/>
      <c r="S247" s="89"/>
      <c r="T247" s="89"/>
      <c r="U247" s="89"/>
      <c r="V247" s="89"/>
      <c r="W247" s="89"/>
      <c r="X247" s="89"/>
      <c r="Y247" s="89"/>
    </row>
    <row r="248">
      <c r="A248" s="100"/>
      <c r="B248" s="102" t="s">
        <v>11</v>
      </c>
      <c r="C248" s="45"/>
      <c r="D248" s="45"/>
      <c r="E248" s="46"/>
      <c r="F248" s="103">
        <f>SUM(F244:F247)</f>
        <v>1050.8</v>
      </c>
      <c r="G248" s="104"/>
      <c r="H248" s="76" t="str">
        <f>IFERROR(__xludf.DUMMYFUNCTION("IFERROR(VLOOKUP(E248,IMPORTRANGE(""https://docs.google.com/spreadsheets/d/1xZyKy-UzMmtPDLpV5jQdYum1LtbR8XKDuasLSjmBRMI/edit#gid=1241094406"",""COMBINED DATA!E3:L""),8,0))"),"")</f>
        <v/>
      </c>
      <c r="I248" s="76"/>
      <c r="J248" s="116"/>
      <c r="K248" s="85"/>
      <c r="L248" s="85"/>
      <c r="M248" s="85"/>
      <c r="N248" s="85"/>
      <c r="O248" s="89"/>
      <c r="P248" s="89"/>
      <c r="Q248" s="89"/>
      <c r="R248" s="89"/>
      <c r="S248" s="89"/>
      <c r="T248" s="89"/>
      <c r="U248" s="89"/>
      <c r="V248" s="89"/>
      <c r="W248" s="89"/>
      <c r="X248" s="89"/>
      <c r="Y248" s="89"/>
    </row>
    <row r="249" ht="4.5" customHeight="1">
      <c r="A249" s="34"/>
      <c r="B249" s="15"/>
      <c r="C249" s="15"/>
      <c r="D249" s="15"/>
      <c r="E249" s="17"/>
      <c r="F249" s="15"/>
      <c r="G249" s="64"/>
      <c r="H249" s="76" t="str">
        <f>IFERROR(__xludf.DUMMYFUNCTION("IFERROR(VLOOKUP(E249,IMPORTRANGE(""https://docs.google.com/spreadsheets/d/1xZyKy-UzMmtPDLpV5jQdYum1LtbR8XKDuasLSjmBRMI/edit#gid=1241094406"",""COMBINED DATA!E3:L""),8,0))"),"")</f>
        <v/>
      </c>
      <c r="I249" s="76"/>
      <c r="J249" s="65"/>
      <c r="K249" s="85"/>
      <c r="L249" s="85"/>
      <c r="M249" s="85"/>
      <c r="N249" s="85"/>
      <c r="O249" s="89"/>
      <c r="P249" s="89"/>
      <c r="Q249" s="89"/>
      <c r="R249" s="89"/>
      <c r="S249" s="89"/>
      <c r="T249" s="89"/>
      <c r="U249" s="89"/>
      <c r="V249" s="89"/>
      <c r="W249" s="89"/>
      <c r="X249" s="89"/>
      <c r="Y249" s="89"/>
    </row>
    <row r="250" ht="22.5" customHeight="1">
      <c r="A250" s="34"/>
      <c r="B250" s="62" t="s">
        <v>1111</v>
      </c>
      <c r="C250" s="45"/>
      <c r="D250" s="45"/>
      <c r="E250" s="45"/>
      <c r="F250" s="46"/>
      <c r="G250" s="64"/>
      <c r="H250" s="76" t="str">
        <f>IFERROR(__xludf.DUMMYFUNCTION("IFERROR(VLOOKUP(E250,IMPORTRANGE(""https://docs.google.com/spreadsheets/d/1xZyKy-UzMmtPDLpV5jQdYum1LtbR8XKDuasLSjmBRMI/edit#gid=1241094406"",""COMBINED DATA!E3:L""),8,0))"),"")</f>
        <v/>
      </c>
      <c r="I250" s="76"/>
      <c r="J250" s="65"/>
      <c r="K250" s="85"/>
      <c r="L250" s="85"/>
      <c r="M250" s="85"/>
      <c r="N250" s="85"/>
      <c r="O250" s="89"/>
      <c r="P250" s="89"/>
      <c r="Q250" s="89"/>
      <c r="R250" s="89"/>
      <c r="S250" s="89"/>
      <c r="T250" s="89"/>
      <c r="U250" s="89"/>
      <c r="V250" s="89"/>
      <c r="W250" s="89"/>
      <c r="X250" s="89"/>
      <c r="Y250" s="89"/>
    </row>
    <row r="251" ht="15.75" customHeight="1">
      <c r="A251" s="67" t="str">
        <f t="shared" ref="A251:A256" si="84">$B$250&amp;C251</f>
        <v>Short Bend1⁄2</v>
      </c>
      <c r="B251" s="81">
        <v>1.0</v>
      </c>
      <c r="C251" s="68" t="s">
        <v>43</v>
      </c>
      <c r="D251" s="70">
        <v>15.0</v>
      </c>
      <c r="E251" s="111" t="s">
        <v>1112</v>
      </c>
      <c r="F251" s="56">
        <v>36.0</v>
      </c>
      <c r="G251" s="76" t="str">
        <f>IFERROR(__xludf.DUMMYFUNCTION("ArrayFormula(IFERROR(VLOOKUP(E251,IMPORTRANGE(""https://docs.google.com/spreadsheets/d/1xZyKy-UzMmtPDLpV5jQdYum1LtbR8XKDuasLSjmBRMI/edit#gid=1241094406"",""COMBINED DATA!E3:L""),{7,8},0)))"),"")</f>
        <v/>
      </c>
      <c r="H251" s="76"/>
      <c r="I251" s="76">
        <f t="shared" ref="I251:I256" si="85">G251+H251</f>
        <v>0</v>
      </c>
      <c r="J251" s="84" t="str">
        <f t="shared" ref="J251:J256" si="86">IFERROR(F251/I251,"")</f>
        <v/>
      </c>
      <c r="K251" s="85"/>
      <c r="L251" s="85"/>
      <c r="M251" s="85"/>
      <c r="N251" s="85"/>
      <c r="O251" s="139"/>
      <c r="P251" s="89"/>
      <c r="Q251" s="89"/>
      <c r="R251" s="89"/>
      <c r="S251" s="89"/>
      <c r="T251" s="89"/>
      <c r="U251" s="89"/>
      <c r="V251" s="89"/>
      <c r="W251" s="89"/>
      <c r="X251" s="89"/>
      <c r="Y251" s="89"/>
    </row>
    <row r="252" ht="15.75" customHeight="1">
      <c r="A252" s="67" t="str">
        <f t="shared" si="84"/>
        <v>Short Bend3⁄4</v>
      </c>
      <c r="B252" s="81">
        <v>2.0</v>
      </c>
      <c r="C252" s="90" t="s">
        <v>51</v>
      </c>
      <c r="D252" s="92">
        <v>20.0</v>
      </c>
      <c r="E252" s="112" t="s">
        <v>1113</v>
      </c>
      <c r="F252" s="56">
        <v>48.0</v>
      </c>
      <c r="G252" s="76" t="str">
        <f>IFERROR(__xludf.DUMMYFUNCTION("ArrayFormula(IFERROR(VLOOKUP(E252,IMPORTRANGE(""https://docs.google.com/spreadsheets/d/1xZyKy-UzMmtPDLpV5jQdYum1LtbR8XKDuasLSjmBRMI/edit#gid=1241094406"",""COMBINED DATA!E3:L""),{7,8},0)))"),"")</f>
        <v/>
      </c>
      <c r="H252" s="76"/>
      <c r="I252" s="76">
        <f t="shared" si="85"/>
        <v>0</v>
      </c>
      <c r="J252" s="84" t="str">
        <f t="shared" si="86"/>
        <v/>
      </c>
      <c r="K252" s="85"/>
      <c r="L252" s="85"/>
      <c r="M252" s="85"/>
      <c r="N252" s="85"/>
      <c r="O252" s="139"/>
      <c r="P252" s="89"/>
      <c r="Q252" s="89"/>
      <c r="R252" s="89"/>
      <c r="S252" s="89"/>
      <c r="T252" s="89"/>
      <c r="U252" s="89"/>
      <c r="V252" s="89"/>
      <c r="W252" s="89"/>
      <c r="X252" s="89"/>
      <c r="Y252" s="89"/>
    </row>
    <row r="253" ht="15.75" customHeight="1">
      <c r="A253" s="67" t="str">
        <f t="shared" si="84"/>
        <v>Short Bend1</v>
      </c>
      <c r="B253" s="81">
        <v>3.0</v>
      </c>
      <c r="C253" s="90" t="s">
        <v>84</v>
      </c>
      <c r="D253" s="92">
        <v>25.0</v>
      </c>
      <c r="E253" s="112" t="s">
        <v>1114</v>
      </c>
      <c r="F253" s="56">
        <v>86.0</v>
      </c>
      <c r="G253" s="76" t="str">
        <f>IFERROR(__xludf.DUMMYFUNCTION("ArrayFormula(IFERROR(VLOOKUP(E253,IMPORTRANGE(""https://docs.google.com/spreadsheets/d/1xZyKy-UzMmtPDLpV5jQdYum1LtbR8XKDuasLSjmBRMI/edit#gid=1241094406"",""COMBINED DATA!E3:L""),{7,8},0)))"),"")</f>
        <v/>
      </c>
      <c r="H253" s="76"/>
      <c r="I253" s="76">
        <f t="shared" si="85"/>
        <v>0</v>
      </c>
      <c r="J253" s="84" t="str">
        <f t="shared" si="86"/>
        <v/>
      </c>
      <c r="K253" s="85"/>
      <c r="L253" s="85"/>
      <c r="M253" s="85"/>
      <c r="N253" s="85"/>
      <c r="O253" s="139"/>
      <c r="P253" s="89"/>
      <c r="Q253" s="89"/>
      <c r="R253" s="89"/>
      <c r="S253" s="89"/>
      <c r="T253" s="89"/>
      <c r="U253" s="89"/>
      <c r="V253" s="89"/>
      <c r="W253" s="89"/>
      <c r="X253" s="89"/>
      <c r="Y253" s="89"/>
    </row>
    <row r="254" ht="15.75" customHeight="1">
      <c r="A254" s="67" t="str">
        <f t="shared" si="84"/>
        <v>Short Bend1 1⁄4</v>
      </c>
      <c r="B254" s="81">
        <v>4.0</v>
      </c>
      <c r="C254" s="90" t="s">
        <v>55</v>
      </c>
      <c r="D254" s="92">
        <v>32.0</v>
      </c>
      <c r="E254" s="112" t="s">
        <v>1115</v>
      </c>
      <c r="F254" s="56">
        <v>138.0</v>
      </c>
      <c r="G254" s="76" t="str">
        <f>IFERROR(__xludf.DUMMYFUNCTION("ArrayFormula(IFERROR(VLOOKUP(E254,IMPORTRANGE(""https://docs.google.com/spreadsheets/d/1xZyKy-UzMmtPDLpV5jQdYum1LtbR8XKDuasLSjmBRMI/edit#gid=1241094406"",""COMBINED DATA!E3:L""),{7,8},0)))"),"")</f>
        <v/>
      </c>
      <c r="H254" s="76"/>
      <c r="I254" s="76">
        <f t="shared" si="85"/>
        <v>0</v>
      </c>
      <c r="J254" s="84" t="str">
        <f t="shared" si="86"/>
        <v/>
      </c>
      <c r="K254" s="85"/>
      <c r="L254" s="85"/>
      <c r="M254" s="85"/>
      <c r="N254" s="85"/>
      <c r="O254" s="139"/>
      <c r="P254" s="89"/>
      <c r="Q254" s="89"/>
      <c r="R254" s="89"/>
      <c r="S254" s="89"/>
      <c r="T254" s="89"/>
      <c r="U254" s="89"/>
      <c r="V254" s="89"/>
      <c r="W254" s="89"/>
      <c r="X254" s="89"/>
      <c r="Y254" s="89"/>
    </row>
    <row r="255" ht="15.75" customHeight="1">
      <c r="A255" s="67" t="str">
        <f t="shared" si="84"/>
        <v>Short Bend1 1⁄2</v>
      </c>
      <c r="B255" s="81">
        <v>5.0</v>
      </c>
      <c r="C255" s="90" t="s">
        <v>56</v>
      </c>
      <c r="D255" s="92">
        <v>40.0</v>
      </c>
      <c r="E255" s="112" t="s">
        <v>1117</v>
      </c>
      <c r="F255" s="56">
        <v>276.0</v>
      </c>
      <c r="G255" s="76" t="str">
        <f>IFERROR(__xludf.DUMMYFUNCTION("ArrayFormula(IFERROR(VLOOKUP(E255,IMPORTRANGE(""https://docs.google.com/spreadsheets/d/1xZyKy-UzMmtPDLpV5jQdYum1LtbR8XKDuasLSjmBRMI/edit#gid=1241094406"",""COMBINED DATA!E3:L""),{7,8},0)))"),"")</f>
        <v/>
      </c>
      <c r="H255" s="76"/>
      <c r="I255" s="76">
        <f t="shared" si="85"/>
        <v>0</v>
      </c>
      <c r="J255" s="84" t="str">
        <f t="shared" si="86"/>
        <v/>
      </c>
      <c r="K255" s="85"/>
      <c r="L255" s="85"/>
      <c r="M255" s="85"/>
      <c r="N255" s="85"/>
      <c r="O255" s="139"/>
      <c r="P255" s="89"/>
      <c r="Q255" s="89"/>
      <c r="R255" s="89"/>
      <c r="S255" s="89"/>
      <c r="T255" s="89"/>
      <c r="U255" s="89"/>
      <c r="V255" s="89"/>
      <c r="W255" s="89"/>
      <c r="X255" s="89"/>
      <c r="Y255" s="89"/>
    </row>
    <row r="256" ht="15.75" customHeight="1">
      <c r="A256" s="67" t="str">
        <f t="shared" si="84"/>
        <v>Short Bend2</v>
      </c>
      <c r="B256" s="81">
        <v>6.0</v>
      </c>
      <c r="C256" s="90" t="s">
        <v>107</v>
      </c>
      <c r="D256" s="92">
        <v>50.0</v>
      </c>
      <c r="E256" s="112" t="s">
        <v>1118</v>
      </c>
      <c r="F256" s="56">
        <v>364.0</v>
      </c>
      <c r="G256" s="76" t="str">
        <f>IFERROR(__xludf.DUMMYFUNCTION("ArrayFormula(IFERROR(VLOOKUP(E256,IMPORTRANGE(""https://docs.google.com/spreadsheets/d/1xZyKy-UzMmtPDLpV5jQdYum1LtbR8XKDuasLSjmBRMI/edit#gid=1241094406"",""COMBINED DATA!E3:L""),{7,8},0)))"),"")</f>
        <v/>
      </c>
      <c r="H256" s="76"/>
      <c r="I256" s="76">
        <f t="shared" si="85"/>
        <v>0</v>
      </c>
      <c r="J256" s="84" t="str">
        <f t="shared" si="86"/>
        <v/>
      </c>
      <c r="K256" s="85"/>
      <c r="L256" s="85"/>
      <c r="M256" s="85"/>
      <c r="N256" s="85"/>
      <c r="O256" s="139"/>
      <c r="P256" s="89"/>
      <c r="Q256" s="89"/>
      <c r="R256" s="89"/>
      <c r="S256" s="89"/>
      <c r="T256" s="89"/>
      <c r="U256" s="89"/>
      <c r="V256" s="89"/>
      <c r="W256" s="89"/>
      <c r="X256" s="89"/>
      <c r="Y256" s="89"/>
    </row>
    <row r="257">
      <c r="A257" s="100"/>
      <c r="B257" s="102" t="s">
        <v>11</v>
      </c>
      <c r="C257" s="45"/>
      <c r="D257" s="45"/>
      <c r="E257" s="46"/>
      <c r="F257" s="103">
        <f>SUM(F251:F256)</f>
        <v>948</v>
      </c>
      <c r="G257" s="104"/>
      <c r="H257" s="76" t="str">
        <f>IFERROR(__xludf.DUMMYFUNCTION("IFERROR(VLOOKUP(E257,IMPORTRANGE(""https://docs.google.com/spreadsheets/d/1xZyKy-UzMmtPDLpV5jQdYum1LtbR8XKDuasLSjmBRMI/edit#gid=1241094406"",""COMBINED DATA!E3:L""),8,0))"),"")</f>
        <v/>
      </c>
      <c r="I257" s="76"/>
      <c r="J257" s="84"/>
      <c r="K257" s="85"/>
      <c r="L257" s="85"/>
      <c r="M257" s="85"/>
      <c r="N257" s="85"/>
      <c r="O257" s="89"/>
      <c r="P257" s="89"/>
      <c r="Q257" s="89"/>
      <c r="R257" s="89"/>
      <c r="S257" s="89"/>
      <c r="T257" s="89"/>
      <c r="U257" s="89"/>
      <c r="V257" s="89"/>
      <c r="W257" s="89"/>
      <c r="X257" s="89"/>
      <c r="Y257" s="89"/>
    </row>
    <row r="258" ht="5.25" customHeight="1">
      <c r="A258" s="34"/>
      <c r="B258" s="15"/>
      <c r="C258" s="15"/>
      <c r="D258" s="15"/>
      <c r="E258" s="17"/>
      <c r="F258" s="15"/>
      <c r="G258" s="64"/>
      <c r="H258" s="76" t="str">
        <f>IFERROR(__xludf.DUMMYFUNCTION("IFERROR(VLOOKUP(E258,IMPORTRANGE(""https://docs.google.com/spreadsheets/d/1xZyKy-UzMmtPDLpV5jQdYum1LtbR8XKDuasLSjmBRMI/edit#gid=1241094406"",""COMBINED DATA!E3:L""),8,0))"),"")</f>
        <v/>
      </c>
      <c r="I258" s="76"/>
      <c r="J258" s="65"/>
      <c r="K258" s="85"/>
      <c r="L258" s="85"/>
      <c r="M258" s="85"/>
      <c r="N258" s="85"/>
      <c r="O258" s="89"/>
      <c r="P258" s="89"/>
      <c r="Q258" s="89"/>
      <c r="R258" s="89"/>
      <c r="S258" s="89"/>
      <c r="T258" s="89"/>
      <c r="U258" s="89"/>
      <c r="V258" s="89"/>
      <c r="W258" s="89"/>
      <c r="X258" s="89"/>
      <c r="Y258" s="89"/>
    </row>
    <row r="259" ht="22.5" customHeight="1">
      <c r="A259" s="34"/>
      <c r="B259" s="62" t="s">
        <v>1014</v>
      </c>
      <c r="C259" s="45"/>
      <c r="D259" s="45"/>
      <c r="E259" s="45"/>
      <c r="F259" s="46"/>
      <c r="G259" s="64"/>
      <c r="H259" s="76" t="str">
        <f>IFERROR(__xludf.DUMMYFUNCTION("IFERROR(VLOOKUP(E259,IMPORTRANGE(""https://docs.google.com/spreadsheets/d/1xZyKy-UzMmtPDLpV5jQdYum1LtbR8XKDuasLSjmBRMI/edit#gid=1241094406"",""COMBINED DATA!E3:L""),8,0))"),"")</f>
        <v/>
      </c>
      <c r="I259" s="76"/>
      <c r="J259" s="65"/>
      <c r="K259" s="85"/>
      <c r="L259" s="85"/>
      <c r="M259" s="85"/>
      <c r="N259" s="85"/>
      <c r="O259" s="89"/>
      <c r="P259" s="89"/>
      <c r="Q259" s="89"/>
      <c r="R259" s="89"/>
      <c r="S259" s="89"/>
      <c r="T259" s="89"/>
      <c r="U259" s="89"/>
      <c r="V259" s="89"/>
      <c r="W259" s="89"/>
      <c r="X259" s="89"/>
      <c r="Y259" s="89"/>
    </row>
    <row r="260" ht="15.75" customHeight="1">
      <c r="A260" s="67" t="str">
        <f t="shared" ref="A260:A264" si="87">$B$259&amp;C260</f>
        <v>Ball Valve Handle3⁄4</v>
      </c>
      <c r="B260" s="81">
        <v>1.0</v>
      </c>
      <c r="C260" s="68" t="s">
        <v>51</v>
      </c>
      <c r="D260" s="70">
        <v>20.0</v>
      </c>
      <c r="E260" s="111" t="s">
        <v>986</v>
      </c>
      <c r="F260" s="56">
        <v>24.0</v>
      </c>
      <c r="G260" s="76">
        <f>IFERROR(__xludf.DUMMYFUNCTION("ArrayFormula(IFERROR(VLOOKUP(E260,IMPORTRANGE(""https://docs.google.com/spreadsheets/d/1xZyKy-UzMmtPDLpV5jQdYum1LtbR8XKDuasLSjmBRMI/edit#gid=1241094406"",""COMBINED DATA!E3:L""),{7,8},0)))"),0.0)</f>
        <v>0</v>
      </c>
      <c r="H260" s="76">
        <f>IFERROR(__xludf.DUMMYFUNCTION("""COMPUTED_VALUE"""),0.0)</f>
        <v>0</v>
      </c>
      <c r="I260" s="76">
        <f t="shared" ref="I260:I264" si="88">G260+H260</f>
        <v>0</v>
      </c>
      <c r="J260" s="84" t="str">
        <f t="shared" ref="J260:J264" si="89">IFERROR(F260/I260,"")</f>
        <v/>
      </c>
      <c r="K260" s="85"/>
      <c r="L260" s="85"/>
      <c r="M260" s="85"/>
      <c r="N260" s="85"/>
      <c r="O260" s="139"/>
      <c r="P260" s="89"/>
      <c r="Q260" s="89"/>
      <c r="R260" s="89"/>
      <c r="S260" s="89"/>
      <c r="T260" s="89"/>
      <c r="U260" s="89"/>
      <c r="V260" s="89"/>
      <c r="W260" s="89"/>
      <c r="X260" s="89"/>
      <c r="Y260" s="89"/>
    </row>
    <row r="261" ht="15.75" customHeight="1">
      <c r="A261" s="67" t="str">
        <f t="shared" si="87"/>
        <v>Ball Valve Handle1</v>
      </c>
      <c r="B261" s="81">
        <v>2.0</v>
      </c>
      <c r="C261" s="90" t="s">
        <v>84</v>
      </c>
      <c r="D261" s="92">
        <v>25.0</v>
      </c>
      <c r="E261" s="112" t="s">
        <v>990</v>
      </c>
      <c r="F261" s="56">
        <v>34.0</v>
      </c>
      <c r="G261" s="76">
        <f>IFERROR(__xludf.DUMMYFUNCTION("ArrayFormula(IFERROR(VLOOKUP(E261,IMPORTRANGE(""https://docs.google.com/spreadsheets/d/1xZyKy-UzMmtPDLpV5jQdYum1LtbR8XKDuasLSjmBRMI/edit#gid=1241094406"",""COMBINED DATA!E3:L""),{7,8},0)))"),0.0)</f>
        <v>0</v>
      </c>
      <c r="H261" s="76">
        <f>IFERROR(__xludf.DUMMYFUNCTION("""COMPUTED_VALUE"""),0.0)</f>
        <v>0</v>
      </c>
      <c r="I261" s="76">
        <f t="shared" si="88"/>
        <v>0</v>
      </c>
      <c r="J261" s="84" t="str">
        <f t="shared" si="89"/>
        <v/>
      </c>
      <c r="K261" s="85"/>
      <c r="L261" s="85"/>
      <c r="M261" s="85"/>
      <c r="N261" s="85"/>
      <c r="O261" s="139"/>
      <c r="P261" s="89"/>
      <c r="Q261" s="89"/>
      <c r="R261" s="89"/>
      <c r="S261" s="89"/>
      <c r="T261" s="89"/>
      <c r="U261" s="89"/>
      <c r="V261" s="89"/>
      <c r="W261" s="89"/>
      <c r="X261" s="89"/>
      <c r="Y261" s="89"/>
    </row>
    <row r="262" ht="15.75" customHeight="1">
      <c r="A262" s="67" t="str">
        <f t="shared" si="87"/>
        <v>Ball Valve Handle1 1⁄4</v>
      </c>
      <c r="B262" s="81">
        <v>3.0</v>
      </c>
      <c r="C262" s="90" t="s">
        <v>55</v>
      </c>
      <c r="D262" s="92">
        <v>32.0</v>
      </c>
      <c r="E262" s="112" t="s">
        <v>993</v>
      </c>
      <c r="F262" s="56">
        <v>58.0</v>
      </c>
      <c r="G262" s="76">
        <f>IFERROR(__xludf.DUMMYFUNCTION("ArrayFormula(IFERROR(VLOOKUP(E262,IMPORTRANGE(""https://docs.google.com/spreadsheets/d/1xZyKy-UzMmtPDLpV5jQdYum1LtbR8XKDuasLSjmBRMI/edit#gid=1241094406"",""COMBINED DATA!E3:L""),{7,8},0)))"),0.0)</f>
        <v>0</v>
      </c>
      <c r="H262" s="76">
        <f>IFERROR(__xludf.DUMMYFUNCTION("""COMPUTED_VALUE"""),0.0)</f>
        <v>0</v>
      </c>
      <c r="I262" s="76">
        <f t="shared" si="88"/>
        <v>0</v>
      </c>
      <c r="J262" s="84" t="str">
        <f t="shared" si="89"/>
        <v/>
      </c>
      <c r="K262" s="85"/>
      <c r="L262" s="85"/>
      <c r="M262" s="85"/>
      <c r="N262" s="85"/>
      <c r="O262" s="139"/>
      <c r="P262" s="89"/>
      <c r="Q262" s="89"/>
      <c r="R262" s="89"/>
      <c r="S262" s="89"/>
      <c r="T262" s="89"/>
      <c r="U262" s="89"/>
      <c r="V262" s="89"/>
      <c r="W262" s="89"/>
      <c r="X262" s="89"/>
      <c r="Y262" s="89"/>
    </row>
    <row r="263" ht="15.75" customHeight="1">
      <c r="A263" s="67" t="str">
        <f t="shared" si="87"/>
        <v>Ball Valve Handle1 1⁄2</v>
      </c>
      <c r="B263" s="81">
        <v>4.0</v>
      </c>
      <c r="C263" s="90" t="s">
        <v>56</v>
      </c>
      <c r="D263" s="92">
        <v>40.0</v>
      </c>
      <c r="E263" s="112" t="s">
        <v>999</v>
      </c>
      <c r="F263" s="56">
        <v>72.0</v>
      </c>
      <c r="G263" s="76">
        <f>IFERROR(__xludf.DUMMYFUNCTION("ArrayFormula(IFERROR(VLOOKUP(E263,IMPORTRANGE(""https://docs.google.com/spreadsheets/d/1xZyKy-UzMmtPDLpV5jQdYum1LtbR8XKDuasLSjmBRMI/edit#gid=1241094406"",""COMBINED DATA!E3:L""),{7,8},0)))"),0.0)</f>
        <v>0</v>
      </c>
      <c r="H263" s="76">
        <f>IFERROR(__xludf.DUMMYFUNCTION("""COMPUTED_VALUE"""),0.0)</f>
        <v>0</v>
      </c>
      <c r="I263" s="76">
        <f t="shared" si="88"/>
        <v>0</v>
      </c>
      <c r="J263" s="84" t="str">
        <f t="shared" si="89"/>
        <v/>
      </c>
      <c r="K263" s="85"/>
      <c r="L263" s="85"/>
      <c r="M263" s="85"/>
      <c r="N263" s="85"/>
      <c r="O263" s="139"/>
      <c r="P263" s="89"/>
      <c r="Q263" s="89"/>
      <c r="R263" s="89"/>
      <c r="S263" s="89"/>
      <c r="T263" s="89"/>
      <c r="U263" s="89"/>
      <c r="V263" s="89"/>
      <c r="W263" s="89"/>
      <c r="X263" s="89"/>
      <c r="Y263" s="89"/>
    </row>
    <row r="264" ht="15.75" customHeight="1">
      <c r="A264" s="67" t="str">
        <f t="shared" si="87"/>
        <v>Ball Valve Handle2</v>
      </c>
      <c r="B264" s="81">
        <v>5.0</v>
      </c>
      <c r="C264" s="90" t="s">
        <v>107</v>
      </c>
      <c r="D264" s="92">
        <v>50.0</v>
      </c>
      <c r="E264" s="112" t="s">
        <v>1004</v>
      </c>
      <c r="F264" s="56">
        <v>108.0</v>
      </c>
      <c r="G264" s="76">
        <f>IFERROR(__xludf.DUMMYFUNCTION("ArrayFormula(IFERROR(VLOOKUP(E264,IMPORTRANGE(""https://docs.google.com/spreadsheets/d/1xZyKy-UzMmtPDLpV5jQdYum1LtbR8XKDuasLSjmBRMI/edit#gid=1241094406"",""COMBINED DATA!E3:L""),{7,8},0)))"),0.0)</f>
        <v>0</v>
      </c>
      <c r="H264" s="76">
        <f>IFERROR(__xludf.DUMMYFUNCTION("""COMPUTED_VALUE"""),0.0)</f>
        <v>0</v>
      </c>
      <c r="I264" s="76">
        <f t="shared" si="88"/>
        <v>0</v>
      </c>
      <c r="J264" s="84" t="str">
        <f t="shared" si="89"/>
        <v/>
      </c>
      <c r="K264" s="85"/>
      <c r="L264" s="85"/>
      <c r="M264" s="85"/>
      <c r="N264" s="85"/>
      <c r="O264" s="139"/>
      <c r="P264" s="89"/>
      <c r="Q264" s="89"/>
      <c r="R264" s="89"/>
      <c r="S264" s="89"/>
      <c r="T264" s="89"/>
      <c r="U264" s="89"/>
      <c r="V264" s="89"/>
      <c r="W264" s="89"/>
      <c r="X264" s="89"/>
      <c r="Y264" s="89"/>
    </row>
    <row r="265">
      <c r="A265" s="100"/>
      <c r="B265" s="102" t="s">
        <v>11</v>
      </c>
      <c r="C265" s="45"/>
      <c r="D265" s="45"/>
      <c r="E265" s="46"/>
      <c r="F265" s="103">
        <f>SUM(F260:F264)</f>
        <v>296</v>
      </c>
      <c r="G265" s="104"/>
      <c r="H265" s="76" t="str">
        <f>IFERROR(__xludf.DUMMYFUNCTION("IFERROR(VLOOKUP(E265,IMPORTRANGE(""https://docs.google.com/spreadsheets/d/1xZyKy-UzMmtPDLpV5jQdYum1LtbR8XKDuasLSjmBRMI/edit#gid=1241094406"",""COMBINED DATA!E3:L""),8,0))"),"")</f>
        <v/>
      </c>
      <c r="I265" s="76"/>
      <c r="J265" s="84"/>
      <c r="K265" s="85"/>
      <c r="L265" s="85"/>
      <c r="M265" s="85"/>
      <c r="N265" s="85"/>
      <c r="O265" s="89"/>
      <c r="P265" s="89"/>
      <c r="Q265" s="89"/>
      <c r="R265" s="89"/>
      <c r="S265" s="89"/>
      <c r="T265" s="89"/>
      <c r="U265" s="89"/>
      <c r="V265" s="89"/>
      <c r="W265" s="89"/>
      <c r="X265" s="89"/>
      <c r="Y265" s="89"/>
    </row>
    <row r="266" ht="5.25" customHeight="1">
      <c r="A266" s="34"/>
      <c r="B266" s="15"/>
      <c r="C266" s="15"/>
      <c r="D266" s="15"/>
      <c r="E266" s="17"/>
      <c r="F266" s="15"/>
      <c r="G266" s="64"/>
      <c r="H266" s="76" t="str">
        <f>IFERROR(__xludf.DUMMYFUNCTION("IFERROR(VLOOKUP(E266,IMPORTRANGE(""https://docs.google.com/spreadsheets/d/1xZyKy-UzMmtPDLpV5jQdYum1LtbR8XKDuasLSjmBRMI/edit#gid=1241094406"",""COMBINED DATA!E3:L""),8,0))"),"")</f>
        <v/>
      </c>
      <c r="I266" s="76"/>
      <c r="J266" s="65"/>
      <c r="K266" s="85"/>
      <c r="L266" s="85"/>
      <c r="M266" s="85"/>
      <c r="N266" s="85"/>
      <c r="O266" s="89"/>
      <c r="P266" s="89"/>
      <c r="Q266" s="89"/>
      <c r="R266" s="89"/>
      <c r="S266" s="89"/>
      <c r="T266" s="89"/>
      <c r="U266" s="89"/>
      <c r="V266" s="89"/>
      <c r="W266" s="89"/>
      <c r="X266" s="89"/>
      <c r="Y266" s="89"/>
    </row>
    <row r="267" ht="22.5" customHeight="1">
      <c r="A267" s="34"/>
      <c r="B267" s="62" t="s">
        <v>1023</v>
      </c>
      <c r="C267" s="45"/>
      <c r="D267" s="45"/>
      <c r="E267" s="45"/>
      <c r="F267" s="46"/>
      <c r="G267" s="64"/>
      <c r="H267" s="76" t="str">
        <f>IFERROR(__xludf.DUMMYFUNCTION("IFERROR(VLOOKUP(E267,IMPORTRANGE(""https://docs.google.com/spreadsheets/d/1xZyKy-UzMmtPDLpV5jQdYum1LtbR8XKDuasLSjmBRMI/edit#gid=1241094406"",""COMBINED DATA!E3:L""),8,0))"),"")</f>
        <v/>
      </c>
      <c r="I267" s="76"/>
      <c r="J267" s="65"/>
      <c r="K267" s="85"/>
      <c r="L267" s="85"/>
      <c r="M267" s="85"/>
      <c r="N267" s="85"/>
      <c r="O267" s="89"/>
      <c r="P267" s="89"/>
      <c r="Q267" s="89"/>
      <c r="R267" s="89"/>
      <c r="S267" s="89"/>
      <c r="T267" s="89"/>
      <c r="U267" s="89"/>
      <c r="V267" s="89"/>
      <c r="W267" s="89"/>
      <c r="X267" s="89"/>
      <c r="Y267" s="89"/>
    </row>
    <row r="268" ht="15.75" customHeight="1">
      <c r="A268" s="67" t="str">
        <f t="shared" ref="A268:A270" si="90">$B$267&amp;C268</f>
        <v>Flange2 1⁄2</v>
      </c>
      <c r="B268" s="81">
        <v>1.0</v>
      </c>
      <c r="C268" s="68" t="s">
        <v>69</v>
      </c>
      <c r="D268" s="110">
        <v>65.0</v>
      </c>
      <c r="E268" s="111" t="s">
        <v>1006</v>
      </c>
      <c r="F268" s="56">
        <v>1280.0</v>
      </c>
      <c r="G268" s="76">
        <f>IFERROR(__xludf.DUMMYFUNCTION("ArrayFormula(IFERROR(VLOOKUP(E268,IMPORTRANGE(""https://docs.google.com/spreadsheets/d/1xZyKy-UzMmtPDLpV5jQdYum1LtbR8XKDuasLSjmBRMI/edit#gid=1241094406"",""COMBINED DATA!E3:L""),{7,8},0)))"),0.0)</f>
        <v>0</v>
      </c>
      <c r="H268" s="76">
        <f>IFERROR(__xludf.DUMMYFUNCTION("""COMPUTED_VALUE"""),0.0)</f>
        <v>0</v>
      </c>
      <c r="I268" s="76">
        <f t="shared" ref="I268:I270" si="91">G268+H268</f>
        <v>0</v>
      </c>
      <c r="J268" s="84" t="str">
        <f t="shared" ref="J268:J270" si="92">IFERROR(F268/I268,"")</f>
        <v/>
      </c>
      <c r="K268" s="85"/>
      <c r="L268" s="85"/>
      <c r="M268" s="85"/>
      <c r="N268" s="85"/>
      <c r="O268" s="139"/>
      <c r="P268" s="89"/>
      <c r="Q268" s="89"/>
      <c r="R268" s="89"/>
      <c r="S268" s="89"/>
      <c r="T268" s="89"/>
      <c r="U268" s="89"/>
      <c r="V268" s="89"/>
      <c r="W268" s="89"/>
      <c r="X268" s="89"/>
      <c r="Y268" s="89"/>
    </row>
    <row r="269" ht="15.75" customHeight="1">
      <c r="A269" s="67" t="str">
        <f t="shared" si="90"/>
        <v>Flange3</v>
      </c>
      <c r="B269" s="81">
        <v>2.0</v>
      </c>
      <c r="C269" s="90">
        <v>3.0</v>
      </c>
      <c r="D269" s="127">
        <v>80.0</v>
      </c>
      <c r="E269" s="112" t="s">
        <v>1008</v>
      </c>
      <c r="F269" s="56">
        <v>1660.0</v>
      </c>
      <c r="G269" s="76">
        <f>IFERROR(__xludf.DUMMYFUNCTION("ArrayFormula(IFERROR(VLOOKUP(E269,IMPORTRANGE(""https://docs.google.com/spreadsheets/d/1xZyKy-UzMmtPDLpV5jQdYum1LtbR8XKDuasLSjmBRMI/edit#gid=1241094406"",""COMBINED DATA!E3:L""),{7,8},0)))"),0.692)</f>
        <v>0.692</v>
      </c>
      <c r="H269" s="76">
        <f>IFERROR(__xludf.DUMMYFUNCTION("""COMPUTED_VALUE"""),0.0)</f>
        <v>0</v>
      </c>
      <c r="I269" s="76">
        <f t="shared" si="91"/>
        <v>0.692</v>
      </c>
      <c r="J269" s="84">
        <f t="shared" si="92"/>
        <v>2398.843931</v>
      </c>
      <c r="K269" s="85"/>
      <c r="L269" s="85"/>
      <c r="M269" s="85"/>
      <c r="N269" s="85"/>
      <c r="O269" s="139"/>
      <c r="P269" s="89"/>
      <c r="Q269" s="89"/>
      <c r="R269" s="89"/>
      <c r="S269" s="89"/>
      <c r="T269" s="89"/>
      <c r="U269" s="89"/>
      <c r="V269" s="89"/>
      <c r="W269" s="89"/>
      <c r="X269" s="89"/>
      <c r="Y269" s="89"/>
    </row>
    <row r="270" ht="15.75" customHeight="1">
      <c r="A270" s="67" t="str">
        <f t="shared" si="90"/>
        <v>Flange4</v>
      </c>
      <c r="B270" s="81">
        <v>3.0</v>
      </c>
      <c r="C270" s="90">
        <v>4.0</v>
      </c>
      <c r="D270" s="127">
        <v>100.0</v>
      </c>
      <c r="E270" s="112" t="s">
        <v>1010</v>
      </c>
      <c r="F270" s="56">
        <v>2480.0</v>
      </c>
      <c r="G270" s="76">
        <f>IFERROR(__xludf.DUMMYFUNCTION("ArrayFormula(IFERROR(VLOOKUP(E270,IMPORTRANGE(""https://docs.google.com/spreadsheets/d/1xZyKy-UzMmtPDLpV5jQdYum1LtbR8XKDuasLSjmBRMI/edit#gid=1241094406"",""COMBINED DATA!E3:L""),{7,8},0)))"),1.277)</f>
        <v>1.277</v>
      </c>
      <c r="H270" s="76">
        <f>IFERROR(__xludf.DUMMYFUNCTION("""COMPUTED_VALUE"""),0.0)</f>
        <v>0</v>
      </c>
      <c r="I270" s="76">
        <f t="shared" si="91"/>
        <v>1.277</v>
      </c>
      <c r="J270" s="84">
        <f t="shared" si="92"/>
        <v>1942.051684</v>
      </c>
      <c r="K270" s="85"/>
      <c r="L270" s="85"/>
      <c r="M270" s="85"/>
      <c r="N270" s="85"/>
      <c r="O270" s="139"/>
      <c r="P270" s="89"/>
      <c r="Q270" s="89"/>
      <c r="R270" s="89"/>
      <c r="S270" s="89"/>
      <c r="T270" s="89"/>
      <c r="U270" s="89"/>
      <c r="V270" s="89"/>
      <c r="W270" s="89"/>
      <c r="X270" s="89"/>
      <c r="Y270" s="89"/>
    </row>
    <row r="271">
      <c r="A271" s="100"/>
      <c r="B271" s="102" t="s">
        <v>11</v>
      </c>
      <c r="C271" s="45"/>
      <c r="D271" s="45"/>
      <c r="E271" s="46"/>
      <c r="F271" s="103">
        <f>SUM(F268:F270)</f>
        <v>5420</v>
      </c>
      <c r="G271" s="104"/>
      <c r="H271" s="76" t="str">
        <f>IFERROR(__xludf.DUMMYFUNCTION("IFERROR(VLOOKUP(E271,IMPORTRANGE(""https://docs.google.com/spreadsheets/d/1xZyKy-UzMmtPDLpV5jQdYum1LtbR8XKDuasLSjmBRMI/edit#gid=1241094406"",""COMBINED DATA!E3:L""),8,0))"),"")</f>
        <v/>
      </c>
      <c r="I271" s="76"/>
      <c r="J271" s="84"/>
      <c r="K271" s="85"/>
      <c r="L271" s="85"/>
      <c r="M271" s="85"/>
      <c r="N271" s="85"/>
      <c r="O271" s="89"/>
      <c r="P271" s="89"/>
      <c r="Q271" s="89"/>
      <c r="R271" s="89"/>
      <c r="S271" s="89"/>
      <c r="T271" s="89"/>
      <c r="U271" s="89"/>
      <c r="V271" s="89"/>
      <c r="W271" s="89"/>
      <c r="X271" s="89"/>
      <c r="Y271" s="89"/>
    </row>
    <row r="272" ht="6.0" customHeight="1">
      <c r="A272" s="34"/>
      <c r="B272" s="15"/>
      <c r="C272" s="15"/>
      <c r="D272" s="15"/>
      <c r="E272" s="17"/>
      <c r="F272" s="15"/>
      <c r="G272" s="64"/>
      <c r="H272" s="76" t="str">
        <f>IFERROR(__xludf.DUMMYFUNCTION("IFERROR(VLOOKUP(E272,IMPORTRANGE(""https://docs.google.com/spreadsheets/d/1xZyKy-UzMmtPDLpV5jQdYum1LtbR8XKDuasLSjmBRMI/edit#gid=1241094406"",""COMBINED DATA!E3:L""),8,0))"),"")</f>
        <v/>
      </c>
      <c r="I272" s="76"/>
      <c r="J272" s="84"/>
      <c r="K272" s="85"/>
      <c r="L272" s="85"/>
      <c r="M272" s="85"/>
      <c r="N272" s="85"/>
      <c r="O272" s="89"/>
      <c r="P272" s="89"/>
      <c r="Q272" s="89"/>
      <c r="R272" s="89"/>
      <c r="S272" s="89"/>
      <c r="T272" s="89"/>
      <c r="U272" s="89"/>
      <c r="V272" s="89"/>
      <c r="W272" s="89"/>
      <c r="X272" s="89"/>
      <c r="Y272" s="89"/>
    </row>
    <row r="273" ht="22.5" customHeight="1">
      <c r="A273" s="34"/>
      <c r="B273" s="62" t="s">
        <v>1032</v>
      </c>
      <c r="C273" s="45"/>
      <c r="D273" s="45"/>
      <c r="E273" s="45"/>
      <c r="F273" s="46"/>
      <c r="G273" s="64"/>
      <c r="H273" s="76" t="str">
        <f>IFERROR(__xludf.DUMMYFUNCTION("IFERROR(VLOOKUP(E273,IMPORTRANGE(""https://docs.google.com/spreadsheets/d/1xZyKy-UzMmtPDLpV5jQdYum1LtbR8XKDuasLSjmBRMI/edit#gid=1241094406"",""COMBINED DATA!E3:L""),8,0))"),"")</f>
        <v/>
      </c>
      <c r="I273" s="76"/>
      <c r="J273" s="84"/>
      <c r="K273" s="85"/>
      <c r="L273" s="85"/>
      <c r="M273" s="85"/>
      <c r="N273" s="85"/>
      <c r="O273" s="89"/>
      <c r="P273" s="89"/>
      <c r="Q273" s="89"/>
      <c r="R273" s="89"/>
      <c r="S273" s="89"/>
      <c r="T273" s="89"/>
      <c r="U273" s="89"/>
      <c r="V273" s="89"/>
      <c r="W273" s="89"/>
      <c r="X273" s="89"/>
      <c r="Y273" s="89"/>
    </row>
    <row r="274" ht="15.75" customHeight="1">
      <c r="A274" s="67" t="str">
        <f t="shared" ref="A274:A276" si="93">$B$273&amp;C274</f>
        <v>Pipe Clamp1⁄2</v>
      </c>
      <c r="B274" s="81">
        <v>1.0</v>
      </c>
      <c r="C274" s="68" t="s">
        <v>43</v>
      </c>
      <c r="D274" s="110">
        <v>15.0</v>
      </c>
      <c r="E274" s="111" t="s">
        <v>1012</v>
      </c>
      <c r="F274" s="56">
        <v>4.2</v>
      </c>
      <c r="G274" s="76">
        <f>IFERROR(__xludf.DUMMYFUNCTION("ArrayFormula(IFERROR(VLOOKUP(E274,IMPORTRANGE(""https://docs.google.com/spreadsheets/d/1xZyKy-UzMmtPDLpV5jQdYum1LtbR8XKDuasLSjmBRMI/edit#gid=1241094406"",""COMBINED DATA!E3:L""),{7,8},0)))"),0.002)</f>
        <v>0.002</v>
      </c>
      <c r="H274" s="58">
        <f>IFERROR(__xludf.DUMMYFUNCTION("""COMPUTED_VALUE"""),0.0)</f>
        <v>0</v>
      </c>
      <c r="I274" s="76">
        <f t="shared" ref="I274:I276" si="94">G274+H274</f>
        <v>0.002</v>
      </c>
      <c r="J274" s="84">
        <f t="shared" ref="J274:J276" si="95">IFERROR(F274/I274,"")</f>
        <v>2100</v>
      </c>
      <c r="K274" s="85"/>
      <c r="L274" s="85"/>
      <c r="M274" s="85"/>
      <c r="N274" s="85"/>
      <c r="O274" s="139"/>
      <c r="P274" s="89"/>
      <c r="Q274" s="89"/>
      <c r="R274" s="89"/>
      <c r="S274" s="89"/>
      <c r="T274" s="89"/>
      <c r="U274" s="89"/>
      <c r="V274" s="89"/>
      <c r="W274" s="89"/>
      <c r="X274" s="89"/>
      <c r="Y274" s="89"/>
    </row>
    <row r="275" ht="15.75" customHeight="1">
      <c r="A275" s="67" t="str">
        <f t="shared" si="93"/>
        <v>Pipe Clamp3⁄4</v>
      </c>
      <c r="B275" s="81">
        <v>2.0</v>
      </c>
      <c r="C275" s="90" t="s">
        <v>51</v>
      </c>
      <c r="D275" s="127">
        <v>20.0</v>
      </c>
      <c r="E275" s="112" t="s">
        <v>1015</v>
      </c>
      <c r="F275" s="56">
        <v>4.6</v>
      </c>
      <c r="G275" s="76">
        <f>IFERROR(__xludf.DUMMYFUNCTION("ArrayFormula(IFERROR(VLOOKUP(E275,IMPORTRANGE(""https://docs.google.com/spreadsheets/d/1xZyKy-UzMmtPDLpV5jQdYum1LtbR8XKDuasLSjmBRMI/edit#gid=1241094406"",""COMBINED DATA!E3:L""),{7,8},0)))"),0.00151)</f>
        <v>0.00151</v>
      </c>
      <c r="H275" s="58">
        <f>IFERROR(__xludf.DUMMYFUNCTION("""COMPUTED_VALUE"""),0.0)</f>
        <v>0</v>
      </c>
      <c r="I275" s="76">
        <f t="shared" si="94"/>
        <v>0.00151</v>
      </c>
      <c r="J275" s="84">
        <f t="shared" si="95"/>
        <v>3046.357616</v>
      </c>
      <c r="K275" s="85"/>
      <c r="L275" s="85"/>
      <c r="M275" s="85"/>
      <c r="N275" s="85"/>
      <c r="O275" s="139"/>
      <c r="P275" s="89"/>
      <c r="Q275" s="89"/>
      <c r="R275" s="89"/>
      <c r="S275" s="89"/>
      <c r="T275" s="89"/>
      <c r="U275" s="89"/>
      <c r="V275" s="89"/>
      <c r="W275" s="89"/>
      <c r="X275" s="89"/>
      <c r="Y275" s="89"/>
    </row>
    <row r="276" ht="15.75" customHeight="1">
      <c r="A276" s="67" t="str">
        <f t="shared" si="93"/>
        <v>Pipe Clamp1</v>
      </c>
      <c r="B276" s="81">
        <v>3.0</v>
      </c>
      <c r="C276" s="90">
        <v>1.0</v>
      </c>
      <c r="D276" s="127">
        <v>25.0</v>
      </c>
      <c r="E276" s="112" t="s">
        <v>1017</v>
      </c>
      <c r="F276" s="56">
        <v>5.6</v>
      </c>
      <c r="G276" s="76">
        <f>IFERROR(__xludf.DUMMYFUNCTION("ArrayFormula(IFERROR(VLOOKUP(E276,IMPORTRANGE(""https://docs.google.com/spreadsheets/d/1xZyKy-UzMmtPDLpV5jQdYum1LtbR8XKDuasLSjmBRMI/edit#gid=1241094406"",""COMBINED DATA!E3:L""),{7,8},0)))"),0.00212)</f>
        <v>0.00212</v>
      </c>
      <c r="H276" s="58">
        <f>IFERROR(__xludf.DUMMYFUNCTION("""COMPUTED_VALUE"""),0.0)</f>
        <v>0</v>
      </c>
      <c r="I276" s="76">
        <f t="shared" si="94"/>
        <v>0.00212</v>
      </c>
      <c r="J276" s="84">
        <f t="shared" si="95"/>
        <v>2641.509434</v>
      </c>
      <c r="K276" s="85"/>
      <c r="L276" s="85"/>
      <c r="M276" s="85"/>
      <c r="N276" s="85"/>
      <c r="O276" s="139"/>
      <c r="P276" s="89"/>
      <c r="Q276" s="89"/>
      <c r="R276" s="89"/>
      <c r="S276" s="89"/>
      <c r="T276" s="89"/>
      <c r="U276" s="89"/>
      <c r="V276" s="89"/>
      <c r="W276" s="89"/>
      <c r="X276" s="89"/>
      <c r="Y276" s="89"/>
    </row>
    <row r="277">
      <c r="A277" s="100"/>
      <c r="B277" s="102" t="s">
        <v>11</v>
      </c>
      <c r="C277" s="45"/>
      <c r="D277" s="45"/>
      <c r="E277" s="46"/>
      <c r="F277" s="103">
        <f>SUM(F274:F276)</f>
        <v>14.4</v>
      </c>
      <c r="G277" s="104"/>
      <c r="H277" s="76" t="str">
        <f>IFERROR(__xludf.DUMMYFUNCTION("IFERROR(VLOOKUP(E277,IMPORTRANGE(""https://docs.google.com/spreadsheets/d/1xZyKy-UzMmtPDLpV5jQdYum1LtbR8XKDuasLSjmBRMI/edit#gid=1241094406"",""COMBINED DATA!E3:L""),8,0))"),"")</f>
        <v/>
      </c>
      <c r="I277" s="76"/>
      <c r="J277" s="84"/>
      <c r="K277" s="85"/>
      <c r="L277" s="85"/>
      <c r="M277" s="85"/>
      <c r="N277" s="85"/>
      <c r="O277" s="89"/>
      <c r="P277" s="89"/>
      <c r="Q277" s="89"/>
      <c r="R277" s="89"/>
      <c r="S277" s="89"/>
      <c r="T277" s="89"/>
      <c r="U277" s="89"/>
      <c r="V277" s="89"/>
      <c r="W277" s="89"/>
      <c r="X277" s="89"/>
      <c r="Y277" s="89"/>
    </row>
    <row r="278" ht="5.25" customHeight="1">
      <c r="A278" s="34"/>
      <c r="B278" s="15"/>
      <c r="C278" s="15"/>
      <c r="D278" s="15"/>
      <c r="E278" s="17"/>
      <c r="F278" s="15"/>
      <c r="G278" s="64"/>
      <c r="H278" s="76" t="str">
        <f>IFERROR(__xludf.DUMMYFUNCTION("IFERROR(VLOOKUP(E278,IMPORTRANGE(""https://docs.google.com/spreadsheets/d/1xZyKy-UzMmtPDLpV5jQdYum1LtbR8XKDuasLSjmBRMI/edit#gid=1241094406"",""COMBINED DATA!E3:L""),8,0))"),"")</f>
        <v/>
      </c>
      <c r="I278" s="76"/>
      <c r="J278" s="65"/>
      <c r="K278" s="85"/>
      <c r="L278" s="85"/>
      <c r="M278" s="85"/>
      <c r="N278" s="85"/>
      <c r="O278" s="89"/>
      <c r="P278" s="89"/>
      <c r="Q278" s="89"/>
      <c r="R278" s="89"/>
      <c r="S278" s="89"/>
      <c r="T278" s="89"/>
      <c r="U278" s="89"/>
      <c r="V278" s="89"/>
      <c r="W278" s="89"/>
      <c r="X278" s="89"/>
      <c r="Y278" s="89"/>
    </row>
    <row r="279" ht="22.5" customHeight="1">
      <c r="A279" s="34"/>
      <c r="B279" s="62" t="s">
        <v>1040</v>
      </c>
      <c r="C279" s="45"/>
      <c r="D279" s="45"/>
      <c r="E279" s="45"/>
      <c r="F279" s="46"/>
      <c r="G279" s="64"/>
      <c r="H279" s="76" t="str">
        <f>IFERROR(__xludf.DUMMYFUNCTION("IFERROR(VLOOKUP(E279,IMPORTRANGE(""https://docs.google.com/spreadsheets/d/1xZyKy-UzMmtPDLpV5jQdYum1LtbR8XKDuasLSjmBRMI/edit#gid=1241094406"",""COMBINED DATA!E3:L""),8,0))"),"")</f>
        <v/>
      </c>
      <c r="I279" s="76"/>
      <c r="J279" s="65"/>
      <c r="K279" s="85"/>
      <c r="L279" s="85"/>
      <c r="M279" s="85"/>
      <c r="N279" s="85"/>
      <c r="O279" s="89"/>
      <c r="P279" s="89"/>
      <c r="Q279" s="89"/>
      <c r="R279" s="89"/>
      <c r="S279" s="89"/>
      <c r="T279" s="89"/>
      <c r="U279" s="89"/>
      <c r="V279" s="89"/>
      <c r="W279" s="89"/>
      <c r="X279" s="89"/>
      <c r="Y279" s="89"/>
    </row>
    <row r="280" ht="15.75" customHeight="1">
      <c r="A280" s="67" t="str">
        <f t="shared" ref="A280:A285" si="96">$B$279&amp;C280</f>
        <v>Pipe Clamp (Heavy Saddle with Powder Coating)1⁄2</v>
      </c>
      <c r="B280" s="81">
        <v>1.0</v>
      </c>
      <c r="C280" s="68" t="s">
        <v>43</v>
      </c>
      <c r="D280" s="70">
        <v>15.0</v>
      </c>
      <c r="E280" s="111" t="s">
        <v>1019</v>
      </c>
      <c r="F280" s="56">
        <v>10.4</v>
      </c>
      <c r="G280" s="76">
        <v>0.0</v>
      </c>
      <c r="H280" s="76">
        <v>0.0</v>
      </c>
      <c r="I280" s="76">
        <f t="shared" ref="I280:I285" si="97">G280+H280</f>
        <v>0</v>
      </c>
      <c r="J280" s="84" t="str">
        <f t="shared" ref="J280:J285" si="98">IFERROR(F280/I280,"")</f>
        <v/>
      </c>
      <c r="K280" s="85"/>
      <c r="L280" s="85"/>
      <c r="M280" s="286"/>
      <c r="N280" s="85"/>
      <c r="O280" s="139"/>
      <c r="P280" s="89"/>
      <c r="Q280" s="89"/>
      <c r="R280" s="89"/>
      <c r="S280" s="89"/>
      <c r="T280" s="89"/>
      <c r="U280" s="89"/>
      <c r="V280" s="89"/>
      <c r="W280" s="89"/>
      <c r="X280" s="89"/>
      <c r="Y280" s="89"/>
    </row>
    <row r="281" ht="15.75" customHeight="1">
      <c r="A281" s="67" t="str">
        <f t="shared" si="96"/>
        <v>Pipe Clamp (Heavy Saddle with Powder Coating)3⁄4</v>
      </c>
      <c r="B281" s="81">
        <v>2.0</v>
      </c>
      <c r="C281" s="90" t="s">
        <v>51</v>
      </c>
      <c r="D281" s="92">
        <v>20.0</v>
      </c>
      <c r="E281" s="112" t="s">
        <v>1021</v>
      </c>
      <c r="F281" s="56">
        <v>11.9</v>
      </c>
      <c r="G281" s="76">
        <v>0.0</v>
      </c>
      <c r="H281" s="76">
        <v>0.0</v>
      </c>
      <c r="I281" s="76">
        <f t="shared" si="97"/>
        <v>0</v>
      </c>
      <c r="J281" s="84" t="str">
        <f t="shared" si="98"/>
        <v/>
      </c>
      <c r="K281" s="85"/>
      <c r="L281" s="85"/>
      <c r="M281" s="286"/>
      <c r="N281" s="85"/>
      <c r="O281" s="139"/>
      <c r="P281" s="88"/>
      <c r="Q281" s="88"/>
      <c r="R281" s="88"/>
      <c r="S281" s="88"/>
      <c r="T281" s="88"/>
      <c r="U281" s="88"/>
      <c r="V281" s="88"/>
      <c r="W281" s="88"/>
      <c r="X281" s="88"/>
      <c r="Y281" s="88"/>
    </row>
    <row r="282" ht="15.75" customHeight="1">
      <c r="A282" s="67" t="str">
        <f t="shared" si="96"/>
        <v>Pipe Clamp (Heavy Saddle with Powder Coating)1</v>
      </c>
      <c r="B282" s="81">
        <v>3.0</v>
      </c>
      <c r="C282" s="90" t="s">
        <v>84</v>
      </c>
      <c r="D282" s="92">
        <v>25.0</v>
      </c>
      <c r="E282" s="112" t="s">
        <v>1024</v>
      </c>
      <c r="F282" s="56">
        <v>13.9</v>
      </c>
      <c r="G282" s="76">
        <v>0.0</v>
      </c>
      <c r="H282" s="76">
        <v>0.0</v>
      </c>
      <c r="I282" s="76">
        <f t="shared" si="97"/>
        <v>0</v>
      </c>
      <c r="J282" s="84" t="str">
        <f t="shared" si="98"/>
        <v/>
      </c>
      <c r="K282" s="85"/>
      <c r="L282" s="85"/>
      <c r="M282" s="286"/>
      <c r="N282" s="85"/>
      <c r="O282" s="139"/>
      <c r="P282" s="88"/>
      <c r="Q282" s="88"/>
      <c r="R282" s="88"/>
      <c r="S282" s="88"/>
      <c r="T282" s="88"/>
      <c r="U282" s="88"/>
      <c r="V282" s="88"/>
      <c r="W282" s="88"/>
      <c r="X282" s="88"/>
      <c r="Y282" s="88"/>
    </row>
    <row r="283" ht="15.75" customHeight="1">
      <c r="A283" s="67" t="str">
        <f t="shared" si="96"/>
        <v>Pipe Clamp (Heavy Saddle with Powder Coating)1 1⁄4</v>
      </c>
      <c r="B283" s="81">
        <v>4.0</v>
      </c>
      <c r="C283" s="90" t="s">
        <v>55</v>
      </c>
      <c r="D283" s="92">
        <v>32.0</v>
      </c>
      <c r="E283" s="112" t="s">
        <v>1026</v>
      </c>
      <c r="F283" s="56">
        <v>14.9</v>
      </c>
      <c r="G283" s="76">
        <v>0.0</v>
      </c>
      <c r="H283" s="76">
        <v>0.0</v>
      </c>
      <c r="I283" s="76">
        <f t="shared" si="97"/>
        <v>0</v>
      </c>
      <c r="J283" s="84" t="str">
        <f t="shared" si="98"/>
        <v/>
      </c>
      <c r="K283" s="85"/>
      <c r="L283" s="85"/>
      <c r="M283" s="286"/>
      <c r="N283" s="85"/>
      <c r="O283" s="139"/>
      <c r="P283" s="88"/>
      <c r="Q283" s="88"/>
      <c r="R283" s="88"/>
      <c r="S283" s="88"/>
      <c r="T283" s="88"/>
      <c r="U283" s="88"/>
      <c r="V283" s="88"/>
      <c r="W283" s="88"/>
      <c r="X283" s="88"/>
      <c r="Y283" s="88"/>
    </row>
    <row r="284" ht="15.75" customHeight="1">
      <c r="A284" s="67" t="str">
        <f t="shared" si="96"/>
        <v>Pipe Clamp (Heavy Saddle with Powder Coating)1 1⁄2</v>
      </c>
      <c r="B284" s="81">
        <v>5.0</v>
      </c>
      <c r="C284" s="90" t="s">
        <v>56</v>
      </c>
      <c r="D284" s="92">
        <v>40.0</v>
      </c>
      <c r="E284" s="112" t="s">
        <v>1028</v>
      </c>
      <c r="F284" s="56">
        <v>15.9</v>
      </c>
      <c r="G284" s="76">
        <v>0.0</v>
      </c>
      <c r="H284" s="76">
        <v>0.0</v>
      </c>
      <c r="I284" s="76">
        <f t="shared" si="97"/>
        <v>0</v>
      </c>
      <c r="J284" s="84" t="str">
        <f t="shared" si="98"/>
        <v/>
      </c>
      <c r="K284" s="85"/>
      <c r="L284" s="85"/>
      <c r="M284" s="286"/>
      <c r="N284" s="85"/>
      <c r="O284" s="139"/>
      <c r="P284" s="88"/>
      <c r="Q284" s="88"/>
      <c r="R284" s="88"/>
      <c r="S284" s="88"/>
      <c r="T284" s="88"/>
      <c r="U284" s="88"/>
      <c r="V284" s="88"/>
      <c r="W284" s="88"/>
      <c r="X284" s="88"/>
      <c r="Y284" s="88"/>
    </row>
    <row r="285" ht="15.75" customHeight="1">
      <c r="A285" s="67" t="str">
        <f t="shared" si="96"/>
        <v>Pipe Clamp (Heavy Saddle with Powder Coating)2</v>
      </c>
      <c r="B285" s="81">
        <v>6.0</v>
      </c>
      <c r="C285" s="90" t="s">
        <v>107</v>
      </c>
      <c r="D285" s="92">
        <v>50.0</v>
      </c>
      <c r="E285" s="112" t="s">
        <v>1030</v>
      </c>
      <c r="F285" s="56">
        <v>23.8</v>
      </c>
      <c r="G285" s="76">
        <v>0.0</v>
      </c>
      <c r="H285" s="76">
        <v>0.0</v>
      </c>
      <c r="I285" s="76">
        <f t="shared" si="97"/>
        <v>0</v>
      </c>
      <c r="J285" s="84" t="str">
        <f t="shared" si="98"/>
        <v/>
      </c>
      <c r="K285" s="85"/>
      <c r="L285" s="85"/>
      <c r="M285" s="286"/>
      <c r="N285" s="85"/>
      <c r="O285" s="139"/>
      <c r="P285" s="89"/>
      <c r="Q285" s="89"/>
      <c r="R285" s="89"/>
      <c r="S285" s="89"/>
      <c r="T285" s="89"/>
      <c r="U285" s="89"/>
      <c r="V285" s="89"/>
      <c r="W285" s="89"/>
      <c r="X285" s="89"/>
      <c r="Y285" s="89"/>
    </row>
    <row r="286">
      <c r="A286" s="100"/>
      <c r="B286" s="102" t="s">
        <v>11</v>
      </c>
      <c r="C286" s="45"/>
      <c r="D286" s="45"/>
      <c r="E286" s="46"/>
      <c r="F286" s="103">
        <f>SUM(F280:F285)</f>
        <v>90.8</v>
      </c>
      <c r="G286" s="104"/>
      <c r="H286" s="76" t="str">
        <f>IFERROR(__xludf.DUMMYFUNCTION("IFERROR(VLOOKUP(E286,IMPORTRANGE(""https://docs.google.com/spreadsheets/d/1xZyKy-UzMmtPDLpV5jQdYum1LtbR8XKDuasLSjmBRMI/edit#gid=1241094406"",""COMBINED DATA!E3:L""),8,0))"),"")</f>
        <v/>
      </c>
      <c r="I286" s="76"/>
      <c r="J286" s="116"/>
      <c r="K286" s="85"/>
      <c r="L286" s="85"/>
      <c r="M286" s="85"/>
      <c r="N286" s="85"/>
      <c r="O286" s="89"/>
      <c r="P286" s="89"/>
      <c r="Q286" s="89"/>
      <c r="R286" s="89"/>
      <c r="S286" s="89"/>
      <c r="T286" s="89"/>
      <c r="U286" s="89"/>
      <c r="V286" s="89"/>
      <c r="W286" s="89"/>
      <c r="X286" s="89"/>
      <c r="Y286" s="89"/>
    </row>
    <row r="287" ht="5.25" customHeight="1">
      <c r="A287" s="34"/>
      <c r="B287" s="15"/>
      <c r="C287" s="15"/>
      <c r="D287" s="15"/>
      <c r="E287" s="17"/>
      <c r="F287" s="15"/>
      <c r="G287" s="64"/>
      <c r="H287" s="76" t="str">
        <f>IFERROR(__xludf.DUMMYFUNCTION("IFERROR(VLOOKUP(E287,IMPORTRANGE(""https://docs.google.com/spreadsheets/d/1xZyKy-UzMmtPDLpV5jQdYum1LtbR8XKDuasLSjmBRMI/edit#gid=1241094406"",""COMBINED DATA!E3:L""),8,0))"),"")</f>
        <v/>
      </c>
      <c r="I287" s="76"/>
      <c r="J287" s="65"/>
      <c r="K287" s="85"/>
      <c r="L287" s="85"/>
      <c r="M287" s="85"/>
      <c r="N287" s="85"/>
      <c r="O287" s="89"/>
      <c r="P287" s="89"/>
      <c r="Q287" s="89"/>
      <c r="R287" s="89"/>
      <c r="S287" s="89"/>
      <c r="T287" s="89"/>
      <c r="U287" s="89"/>
      <c r="V287" s="89"/>
      <c r="W287" s="89"/>
      <c r="X287" s="89"/>
      <c r="Y287" s="89"/>
    </row>
    <row r="288" ht="22.5" customHeight="1">
      <c r="A288" s="34"/>
      <c r="B288" s="62" t="s">
        <v>1048</v>
      </c>
      <c r="C288" s="45"/>
      <c r="D288" s="45"/>
      <c r="E288" s="45"/>
      <c r="F288" s="46"/>
      <c r="G288" s="64"/>
      <c r="H288" s="76" t="str">
        <f>IFERROR(__xludf.DUMMYFUNCTION("IFERROR(VLOOKUP(E288,IMPORTRANGE(""https://docs.google.com/spreadsheets/d/1xZyKy-UzMmtPDLpV5jQdYum1LtbR8XKDuasLSjmBRMI/edit#gid=1241094406"",""COMBINED DATA!E3:L""),8,0))"),"")</f>
        <v/>
      </c>
      <c r="I288" s="76"/>
      <c r="J288" s="65"/>
      <c r="K288" s="85"/>
      <c r="L288" s="85"/>
      <c r="M288" s="85"/>
      <c r="N288" s="85"/>
      <c r="O288" s="89"/>
      <c r="P288" s="89"/>
      <c r="Q288" s="89"/>
      <c r="R288" s="89"/>
      <c r="S288" s="89"/>
      <c r="T288" s="89"/>
      <c r="U288" s="89"/>
      <c r="V288" s="89"/>
      <c r="W288" s="89"/>
      <c r="X288" s="89"/>
      <c r="Y288" s="89"/>
    </row>
    <row r="289" ht="15.75" customHeight="1">
      <c r="A289" s="67" t="str">
        <f t="shared" ref="A289:A294" si="99">$B$288&amp;C289</f>
        <v>Pipe Clamp (Zinc Plated)1⁄2</v>
      </c>
      <c r="B289" s="81">
        <v>1.0</v>
      </c>
      <c r="C289" s="68" t="s">
        <v>43</v>
      </c>
      <c r="D289" s="70">
        <v>15.0</v>
      </c>
      <c r="E289" s="111" t="s">
        <v>1033</v>
      </c>
      <c r="F289" s="56">
        <v>12.9</v>
      </c>
      <c r="G289" s="76">
        <f>IFERROR(__xludf.DUMMYFUNCTION("ArrayFormula(IFERROR(VLOOKUP(E289,IMPORTRANGE(""https://docs.google.com/spreadsheets/d/1xZyKy-UzMmtPDLpV5jQdYum1LtbR8XKDuasLSjmBRMI/edit#gid=1241094406"",""COMBINED DATA!E3:L""),{7,8},0)))"),0.0)</f>
        <v>0</v>
      </c>
      <c r="H289" s="76">
        <f>IFERROR(__xludf.DUMMYFUNCTION("""COMPUTED_VALUE"""),0.0)</f>
        <v>0</v>
      </c>
      <c r="I289" s="76">
        <f t="shared" ref="I289:I294" si="100">G289+H289</f>
        <v>0</v>
      </c>
      <c r="J289" s="84" t="str">
        <f t="shared" ref="J289:J294" si="101">IFERROR(F289/I289,"")</f>
        <v/>
      </c>
      <c r="K289" s="85"/>
      <c r="L289" s="85"/>
      <c r="M289" s="286"/>
      <c r="N289" s="85"/>
      <c r="O289" s="139"/>
      <c r="P289" s="89"/>
      <c r="Q289" s="89"/>
      <c r="R289" s="89"/>
      <c r="S289" s="89"/>
      <c r="T289" s="89"/>
      <c r="U289" s="89"/>
      <c r="V289" s="89"/>
      <c r="W289" s="89"/>
      <c r="X289" s="89"/>
      <c r="Y289" s="89"/>
    </row>
    <row r="290" ht="15.75" customHeight="1">
      <c r="A290" s="67" t="str">
        <f t="shared" si="99"/>
        <v>Pipe Clamp (Zinc Plated)3⁄4</v>
      </c>
      <c r="B290" s="81">
        <v>2.0</v>
      </c>
      <c r="C290" s="90" t="s">
        <v>51</v>
      </c>
      <c r="D290" s="92">
        <v>20.0</v>
      </c>
      <c r="E290" s="112" t="s">
        <v>1035</v>
      </c>
      <c r="F290" s="56">
        <v>13.9</v>
      </c>
      <c r="G290" s="76">
        <f>IFERROR(__xludf.DUMMYFUNCTION("ArrayFormula(IFERROR(VLOOKUP(E290,IMPORTRANGE(""https://docs.google.com/spreadsheets/d/1xZyKy-UzMmtPDLpV5jQdYum1LtbR8XKDuasLSjmBRMI/edit#gid=1241094406"",""COMBINED DATA!E3:L""),{7,8},0)))"),0.0)</f>
        <v>0</v>
      </c>
      <c r="H290" s="76">
        <f>IFERROR(__xludf.DUMMYFUNCTION("""COMPUTED_VALUE"""),0.0)</f>
        <v>0</v>
      </c>
      <c r="I290" s="76">
        <f t="shared" si="100"/>
        <v>0</v>
      </c>
      <c r="J290" s="84" t="str">
        <f t="shared" si="101"/>
        <v/>
      </c>
      <c r="K290" s="85"/>
      <c r="L290" s="85"/>
      <c r="M290" s="286"/>
      <c r="N290" s="85"/>
      <c r="O290" s="139"/>
      <c r="P290" s="89"/>
      <c r="Q290" s="89"/>
      <c r="R290" s="89"/>
      <c r="S290" s="89"/>
      <c r="T290" s="89"/>
      <c r="U290" s="89"/>
      <c r="V290" s="89"/>
      <c r="W290" s="89"/>
      <c r="X290" s="89"/>
      <c r="Y290" s="89"/>
    </row>
    <row r="291" ht="15.75" customHeight="1">
      <c r="A291" s="67" t="str">
        <f t="shared" si="99"/>
        <v>Pipe Clamp (Zinc Plated)1</v>
      </c>
      <c r="B291" s="81">
        <v>3.0</v>
      </c>
      <c r="C291" s="90" t="s">
        <v>84</v>
      </c>
      <c r="D291" s="92">
        <v>25.0</v>
      </c>
      <c r="E291" s="112" t="s">
        <v>1037</v>
      </c>
      <c r="F291" s="56">
        <v>16.9</v>
      </c>
      <c r="G291" s="76">
        <f>IFERROR(__xludf.DUMMYFUNCTION("ArrayFormula(IFERROR(VLOOKUP(E291,IMPORTRANGE(""https://docs.google.com/spreadsheets/d/1xZyKy-UzMmtPDLpV5jQdYum1LtbR8XKDuasLSjmBRMI/edit#gid=1241094406"",""COMBINED DATA!E3:L""),{7,8},0)))"),0.0)</f>
        <v>0</v>
      </c>
      <c r="H291" s="76">
        <f>IFERROR(__xludf.DUMMYFUNCTION("""COMPUTED_VALUE"""),0.0)</f>
        <v>0</v>
      </c>
      <c r="I291" s="76">
        <f t="shared" si="100"/>
        <v>0</v>
      </c>
      <c r="J291" s="84" t="str">
        <f t="shared" si="101"/>
        <v/>
      </c>
      <c r="K291" s="85"/>
      <c r="L291" s="85"/>
      <c r="M291" s="286"/>
      <c r="N291" s="85"/>
      <c r="O291" s="139"/>
      <c r="P291" s="89"/>
      <c r="Q291" s="89"/>
      <c r="R291" s="89"/>
      <c r="S291" s="89"/>
      <c r="T291" s="89"/>
      <c r="U291" s="89"/>
      <c r="V291" s="89"/>
      <c r="W291" s="89"/>
      <c r="X291" s="89"/>
      <c r="Y291" s="89"/>
    </row>
    <row r="292" ht="15.75" customHeight="1">
      <c r="A292" s="67" t="str">
        <f t="shared" si="99"/>
        <v>Pipe Clamp (Zinc Plated)1 1⁄4</v>
      </c>
      <c r="B292" s="81">
        <v>4.0</v>
      </c>
      <c r="C292" s="90" t="s">
        <v>55</v>
      </c>
      <c r="D292" s="92">
        <v>32.0</v>
      </c>
      <c r="E292" s="112" t="s">
        <v>1039</v>
      </c>
      <c r="F292" s="56">
        <v>18.9</v>
      </c>
      <c r="G292" s="76">
        <f>IFERROR(__xludf.DUMMYFUNCTION("ArrayFormula(IFERROR(VLOOKUP(E292,IMPORTRANGE(""https://docs.google.com/spreadsheets/d/1xZyKy-UzMmtPDLpV5jQdYum1LtbR8XKDuasLSjmBRMI/edit#gid=1241094406"",""COMBINED DATA!E3:L""),{7,8},0)))"),0.0)</f>
        <v>0</v>
      </c>
      <c r="H292" s="76">
        <f>IFERROR(__xludf.DUMMYFUNCTION("""COMPUTED_VALUE"""),0.0)</f>
        <v>0</v>
      </c>
      <c r="I292" s="76">
        <f t="shared" si="100"/>
        <v>0</v>
      </c>
      <c r="J292" s="84" t="str">
        <f t="shared" si="101"/>
        <v/>
      </c>
      <c r="K292" s="85"/>
      <c r="L292" s="85"/>
      <c r="M292" s="286"/>
      <c r="N292" s="85"/>
      <c r="O292" s="139"/>
      <c r="P292" s="89"/>
      <c r="Q292" s="89"/>
      <c r="R292" s="89"/>
      <c r="S292" s="89"/>
      <c r="T292" s="89"/>
      <c r="U292" s="89"/>
      <c r="V292" s="89"/>
      <c r="W292" s="89"/>
      <c r="X292" s="89"/>
      <c r="Y292" s="89"/>
    </row>
    <row r="293" ht="15.75" customHeight="1">
      <c r="A293" s="67" t="str">
        <f t="shared" si="99"/>
        <v>Pipe Clamp (Zinc Plated)1 1⁄2</v>
      </c>
      <c r="B293" s="81">
        <v>5.0</v>
      </c>
      <c r="C293" s="90" t="s">
        <v>56</v>
      </c>
      <c r="D293" s="92">
        <v>40.0</v>
      </c>
      <c r="E293" s="112" t="s">
        <v>1042</v>
      </c>
      <c r="F293" s="56">
        <v>23.8</v>
      </c>
      <c r="G293" s="76">
        <f>IFERROR(__xludf.DUMMYFUNCTION("ArrayFormula(IFERROR(VLOOKUP(E293,IMPORTRANGE(""https://docs.google.com/spreadsheets/d/1xZyKy-UzMmtPDLpV5jQdYum1LtbR8XKDuasLSjmBRMI/edit#gid=1241094406"",""COMBINED DATA!E3:L""),{7,8},0)))"),0.0)</f>
        <v>0</v>
      </c>
      <c r="H293" s="76">
        <f>IFERROR(__xludf.DUMMYFUNCTION("""COMPUTED_VALUE"""),0.0)</f>
        <v>0</v>
      </c>
      <c r="I293" s="76">
        <f t="shared" si="100"/>
        <v>0</v>
      </c>
      <c r="J293" s="84" t="str">
        <f t="shared" si="101"/>
        <v/>
      </c>
      <c r="K293" s="85"/>
      <c r="L293" s="85"/>
      <c r="M293" s="286"/>
      <c r="N293" s="85"/>
      <c r="O293" s="139"/>
      <c r="P293" s="89"/>
      <c r="Q293" s="89"/>
      <c r="R293" s="89"/>
      <c r="S293" s="89"/>
      <c r="T293" s="89"/>
      <c r="U293" s="89"/>
      <c r="V293" s="89"/>
      <c r="W293" s="89"/>
      <c r="X293" s="89"/>
      <c r="Y293" s="89"/>
    </row>
    <row r="294" ht="15.75" customHeight="1">
      <c r="A294" s="67" t="str">
        <f t="shared" si="99"/>
        <v>Pipe Clamp (Zinc Plated)2</v>
      </c>
      <c r="B294" s="81">
        <v>6.0</v>
      </c>
      <c r="C294" s="90" t="s">
        <v>107</v>
      </c>
      <c r="D294" s="92">
        <v>50.0</v>
      </c>
      <c r="E294" s="112" t="s">
        <v>1044</v>
      </c>
      <c r="F294" s="56">
        <v>26.8</v>
      </c>
      <c r="G294" s="76">
        <f>IFERROR(__xludf.DUMMYFUNCTION("ArrayFormula(IFERROR(VLOOKUP(E294,IMPORTRANGE(""https://docs.google.com/spreadsheets/d/1xZyKy-UzMmtPDLpV5jQdYum1LtbR8XKDuasLSjmBRMI/edit#gid=1241094406"",""COMBINED DATA!E3:L""),{7,8},0)))"),0.0)</f>
        <v>0</v>
      </c>
      <c r="H294" s="76">
        <f>IFERROR(__xludf.DUMMYFUNCTION("""COMPUTED_VALUE"""),0.0)</f>
        <v>0</v>
      </c>
      <c r="I294" s="76">
        <f t="shared" si="100"/>
        <v>0</v>
      </c>
      <c r="J294" s="84" t="str">
        <f t="shared" si="101"/>
        <v/>
      </c>
      <c r="K294" s="85"/>
      <c r="L294" s="85"/>
      <c r="M294" s="286"/>
      <c r="N294" s="85"/>
      <c r="O294" s="139"/>
      <c r="P294" s="89"/>
      <c r="Q294" s="89"/>
      <c r="R294" s="89"/>
      <c r="S294" s="89"/>
      <c r="T294" s="89"/>
      <c r="U294" s="89"/>
      <c r="V294" s="89"/>
      <c r="W294" s="89"/>
      <c r="X294" s="89"/>
      <c r="Y294" s="89"/>
    </row>
    <row r="295">
      <c r="A295" s="100"/>
      <c r="B295" s="102" t="s">
        <v>11</v>
      </c>
      <c r="C295" s="45"/>
      <c r="D295" s="45"/>
      <c r="E295" s="46"/>
      <c r="F295" s="103">
        <f>SUM(F289:F294)</f>
        <v>113.2</v>
      </c>
      <c r="G295" s="104"/>
      <c r="H295" s="76" t="str">
        <f>IFERROR(__xludf.DUMMYFUNCTION("IFERROR(VLOOKUP(E295,IMPORTRANGE(""https://docs.google.com/spreadsheets/d/1xZyKy-UzMmtPDLpV5jQdYum1LtbR8XKDuasLSjmBRMI/edit#gid=1241094406"",""COMBINED DATA!E3:L""),8,0))"),"")</f>
        <v/>
      </c>
      <c r="I295" s="76"/>
      <c r="J295" s="116"/>
      <c r="K295" s="85"/>
      <c r="L295" s="85"/>
      <c r="M295" s="85"/>
      <c r="N295" s="85"/>
      <c r="O295" s="89"/>
      <c r="P295" s="89"/>
      <c r="Q295" s="89"/>
      <c r="R295" s="89"/>
      <c r="S295" s="89"/>
      <c r="T295" s="89"/>
      <c r="U295" s="89"/>
      <c r="V295" s="89"/>
      <c r="W295" s="89"/>
      <c r="X295" s="89"/>
      <c r="Y295" s="89"/>
    </row>
    <row r="296" ht="5.25" customHeight="1">
      <c r="A296" s="34"/>
      <c r="B296" s="15"/>
      <c r="C296" s="15"/>
      <c r="D296" s="15"/>
      <c r="E296" s="17"/>
      <c r="F296" s="15"/>
      <c r="G296" s="64"/>
      <c r="H296" s="76" t="str">
        <f>IFERROR(__xludf.DUMMYFUNCTION("IFERROR(VLOOKUP(E296,IMPORTRANGE(""https://docs.google.com/spreadsheets/d/1xZyKy-UzMmtPDLpV5jQdYum1LtbR8XKDuasLSjmBRMI/edit#gid=1241094406"",""COMBINED DATA!E3:L""),8,0))"),"")</f>
        <v/>
      </c>
      <c r="I296" s="76"/>
      <c r="J296" s="65"/>
      <c r="K296" s="85"/>
      <c r="L296" s="85"/>
      <c r="M296" s="85"/>
      <c r="N296" s="85"/>
      <c r="O296" s="89"/>
      <c r="P296" s="89"/>
      <c r="Q296" s="89"/>
      <c r="R296" s="89"/>
      <c r="S296" s="89"/>
      <c r="T296" s="89"/>
      <c r="U296" s="89"/>
      <c r="V296" s="89"/>
      <c r="W296" s="89"/>
      <c r="X296" s="89"/>
      <c r="Y296" s="89"/>
    </row>
    <row r="297" ht="22.5" customHeight="1">
      <c r="A297" s="34"/>
      <c r="B297" s="62" t="s">
        <v>1057</v>
      </c>
      <c r="C297" s="45"/>
      <c r="D297" s="45"/>
      <c r="E297" s="45"/>
      <c r="F297" s="46"/>
      <c r="G297" s="64"/>
      <c r="H297" s="76" t="str">
        <f>IFERROR(__xludf.DUMMYFUNCTION("IFERROR(VLOOKUP(E297,IMPORTRANGE(""https://docs.google.com/spreadsheets/d/1xZyKy-UzMmtPDLpV5jQdYum1LtbR8XKDuasLSjmBRMI/edit#gid=1241094406"",""COMBINED DATA!E3:L""),8,0))"),"")</f>
        <v/>
      </c>
      <c r="I297" s="76"/>
      <c r="J297" s="65"/>
      <c r="K297" s="85"/>
      <c r="L297" s="85"/>
      <c r="M297" s="85"/>
      <c r="N297" s="85"/>
      <c r="O297" s="89"/>
      <c r="P297" s="89"/>
      <c r="Q297" s="89"/>
      <c r="R297" s="89"/>
      <c r="S297" s="89"/>
      <c r="T297" s="89"/>
      <c r="U297" s="89"/>
      <c r="V297" s="89"/>
      <c r="W297" s="89"/>
      <c r="X297" s="89"/>
      <c r="Y297" s="89"/>
    </row>
    <row r="298" ht="15.75" customHeight="1">
      <c r="A298" s="67" t="str">
        <f t="shared" ref="A298:A299" si="102">$B$297&amp;C298</f>
        <v>Single Lever Concealed DiverterBODY</v>
      </c>
      <c r="B298" s="81">
        <v>1.0</v>
      </c>
      <c r="C298" s="149" t="s">
        <v>1060</v>
      </c>
      <c r="D298" s="46"/>
      <c r="E298" s="287" t="s">
        <v>1046</v>
      </c>
      <c r="F298" s="56">
        <v>2200.0</v>
      </c>
      <c r="G298" s="76">
        <f>IFERROR(__xludf.DUMMYFUNCTION("ArrayFormula(IFERROR(VLOOKUP(E298,IMPORTRANGE(""https://docs.google.com/spreadsheets/d/1xZyKy-UzMmtPDLpV5jQdYum1LtbR8XKDuasLSjmBRMI/edit#gid=1241094406"",""COMBINED DATA!E3:L""),{7,8},0)))"),0.0)</f>
        <v>0</v>
      </c>
      <c r="H298" s="76">
        <f>IFERROR(__xludf.DUMMYFUNCTION("""COMPUTED_VALUE"""),0.0)</f>
        <v>0</v>
      </c>
      <c r="I298" s="76">
        <f t="shared" ref="I298:I299" si="103">G298+H298</f>
        <v>0</v>
      </c>
      <c r="J298" s="84" t="str">
        <f t="shared" ref="J298:J299" si="104">IFERROR(F298/I298,"")</f>
        <v/>
      </c>
      <c r="K298" s="85"/>
      <c r="L298" s="85"/>
      <c r="M298" s="85"/>
      <c r="N298" s="85"/>
      <c r="O298" s="139"/>
      <c r="P298" s="89"/>
      <c r="Q298" s="89"/>
      <c r="R298" s="89"/>
      <c r="S298" s="89"/>
      <c r="T298" s="89"/>
      <c r="U298" s="89"/>
      <c r="V298" s="89"/>
      <c r="W298" s="89"/>
      <c r="X298" s="89"/>
      <c r="Y298" s="89"/>
    </row>
    <row r="299" ht="15.75" customHeight="1">
      <c r="A299" s="67" t="str">
        <f t="shared" si="102"/>
        <v>Single Lever Concealed DiverterUPPER PART</v>
      </c>
      <c r="B299" s="81">
        <v>2.0</v>
      </c>
      <c r="C299" s="149" t="s">
        <v>1063</v>
      </c>
      <c r="D299" s="46"/>
      <c r="E299" s="288" t="s">
        <v>1049</v>
      </c>
      <c r="F299" s="56">
        <v>1460.0</v>
      </c>
      <c r="G299" s="76">
        <f>IFERROR(__xludf.DUMMYFUNCTION("ArrayFormula(IFERROR(VLOOKUP(E299,IMPORTRANGE(""https://docs.google.com/spreadsheets/d/1xZyKy-UzMmtPDLpV5jQdYum1LtbR8XKDuasLSjmBRMI/edit#gid=1241094406"",""COMBINED DATA!E3:L""),{7,8},0)))"),0.0)</f>
        <v>0</v>
      </c>
      <c r="H299" s="76">
        <f>IFERROR(__xludf.DUMMYFUNCTION("""COMPUTED_VALUE"""),0.0)</f>
        <v>0</v>
      </c>
      <c r="I299" s="76">
        <f t="shared" si="103"/>
        <v>0</v>
      </c>
      <c r="J299" s="84" t="str">
        <f t="shared" si="104"/>
        <v/>
      </c>
      <c r="K299" s="85"/>
      <c r="L299" s="85"/>
      <c r="M299" s="85"/>
      <c r="N299" s="85"/>
      <c r="O299" s="139"/>
      <c r="P299" s="89"/>
      <c r="Q299" s="89"/>
      <c r="R299" s="89"/>
      <c r="S299" s="89"/>
      <c r="T299" s="89"/>
      <c r="U299" s="89"/>
      <c r="V299" s="89"/>
      <c r="W299" s="89"/>
      <c r="X299" s="89"/>
      <c r="Y299" s="89"/>
    </row>
    <row r="300">
      <c r="A300" s="100"/>
      <c r="B300" s="102" t="s">
        <v>11</v>
      </c>
      <c r="C300" s="45"/>
      <c r="D300" s="45"/>
      <c r="E300" s="46"/>
      <c r="F300" s="103">
        <f>SUM(F298:F299)</f>
        <v>3660</v>
      </c>
      <c r="G300" s="76" t="str">
        <f>IFERROR(__xludf.DUMMYFUNCTION("IFERROR(VLOOKUP(E300,IMPORTRANGE(""https://docs.google.com/spreadsheets/d/16zJorHwLPgwY8YVZEbD_cbTMf-XiJq_EjdFyr8LAUDg/edit#gid=0"",""All!A2:C""),3,0))"),"")</f>
        <v/>
      </c>
      <c r="H300" s="76" t="str">
        <f>IFERROR(__xludf.DUMMYFUNCTION("IFERROR(VLOOKUP(E300,IMPORTRANGE(""https://docs.google.com/spreadsheets/d/1xZyKy-UzMmtPDLpV5jQdYum1LtbR8XKDuasLSjmBRMI/edit#gid=1241094406"",""COMBINED DATA!E3:L""),8,0))"),"")</f>
        <v/>
      </c>
      <c r="I300" s="76"/>
      <c r="J300" s="116"/>
      <c r="K300" s="85"/>
      <c r="L300" s="85"/>
      <c r="M300" s="85"/>
      <c r="N300" s="85"/>
      <c r="O300" s="89"/>
      <c r="P300" s="89"/>
      <c r="Q300" s="89"/>
      <c r="R300" s="89"/>
      <c r="S300" s="89"/>
      <c r="T300" s="89"/>
      <c r="U300" s="89"/>
      <c r="V300" s="89"/>
      <c r="W300" s="89"/>
      <c r="X300" s="89"/>
      <c r="Y300" s="89"/>
    </row>
    <row r="301" ht="6.0" customHeight="1">
      <c r="A301" s="34"/>
      <c r="B301" s="15"/>
      <c r="C301" s="15"/>
      <c r="D301" s="15"/>
      <c r="E301" s="17"/>
      <c r="F301" s="15"/>
      <c r="G301" s="64"/>
      <c r="H301" s="76" t="str">
        <f>IFERROR(__xludf.DUMMYFUNCTION("IFERROR(VLOOKUP(E301,IMPORTRANGE(""https://docs.google.com/spreadsheets/d/1xZyKy-UzMmtPDLpV5jQdYum1LtbR8XKDuasLSjmBRMI/edit#gid=1241094406"",""COMBINED DATA!E3:L""),8,0))"),"")</f>
        <v/>
      </c>
      <c r="I301" s="76"/>
      <c r="J301" s="65"/>
      <c r="K301" s="85"/>
      <c r="L301" s="85"/>
      <c r="M301" s="85"/>
      <c r="N301" s="85"/>
      <c r="O301" s="89"/>
      <c r="P301" s="89"/>
      <c r="Q301" s="89"/>
      <c r="R301" s="89"/>
      <c r="S301" s="89"/>
      <c r="T301" s="89"/>
      <c r="U301" s="89"/>
      <c r="V301" s="89"/>
      <c r="W301" s="89"/>
      <c r="X301" s="89"/>
      <c r="Y301" s="89"/>
    </row>
    <row r="302" ht="22.5" customHeight="1">
      <c r="A302" s="34"/>
      <c r="B302" s="62" t="s">
        <v>1066</v>
      </c>
      <c r="C302" s="45"/>
      <c r="D302" s="45"/>
      <c r="E302" s="45"/>
      <c r="F302" s="46"/>
      <c r="G302" s="64"/>
      <c r="H302" s="76" t="str">
        <f>IFERROR(__xludf.DUMMYFUNCTION("IFERROR(VLOOKUP(E302,IMPORTRANGE(""https://docs.google.com/spreadsheets/d/1xZyKy-UzMmtPDLpV5jQdYum1LtbR8XKDuasLSjmBRMI/edit#gid=1241094406"",""COMBINED DATA!E3:L""),8,0))"),"")</f>
        <v/>
      </c>
      <c r="I302" s="76"/>
      <c r="J302" s="65"/>
      <c r="K302" s="85"/>
      <c r="L302" s="85"/>
      <c r="M302" s="85"/>
      <c r="N302" s="85"/>
      <c r="O302" s="89"/>
      <c r="P302" s="89"/>
      <c r="Q302" s="89"/>
      <c r="R302" s="89"/>
      <c r="S302" s="89"/>
      <c r="T302" s="89"/>
      <c r="U302" s="89"/>
      <c r="V302" s="89"/>
      <c r="W302" s="89"/>
      <c r="X302" s="89"/>
      <c r="Y302" s="89"/>
    </row>
    <row r="303" ht="15.75" customHeight="1">
      <c r="A303" s="67" t="str">
        <f t="shared" ref="A303:A307" si="105">$B$302&amp;C303</f>
        <v>Solvent59 ML</v>
      </c>
      <c r="B303" s="81">
        <v>1.0</v>
      </c>
      <c r="C303" s="289" t="s">
        <v>1067</v>
      </c>
      <c r="D303" s="180"/>
      <c r="E303" s="112" t="s">
        <v>1051</v>
      </c>
      <c r="F303" s="56">
        <v>108.0</v>
      </c>
      <c r="G303" s="76" t="str">
        <f>IFERROR(__xludf.DUMMYFUNCTION("ArrayFormula(IFERROR(VLOOKUP(E303,IMPORTRANGE(""https://docs.google.com/spreadsheets/d/1xZyKy-UzMmtPDLpV5jQdYum1LtbR8XKDuasLSjmBRMI/edit#gid=1241094406"",""COMBINED DATA!E3:L""),{7,8},0)))"),"")</f>
        <v/>
      </c>
      <c r="H303" s="76"/>
      <c r="I303" s="76">
        <f t="shared" ref="I303:I307" si="106">G303+H303</f>
        <v>0</v>
      </c>
      <c r="J303" s="84" t="str">
        <f t="shared" ref="J303:J307" si="107">IFERROR(F303/I303,"")</f>
        <v/>
      </c>
      <c r="K303" s="85"/>
      <c r="L303" s="85"/>
      <c r="M303" s="286"/>
      <c r="N303" s="85"/>
      <c r="O303" s="139"/>
      <c r="P303" s="89"/>
      <c r="Q303" s="89"/>
      <c r="R303" s="89"/>
      <c r="S303" s="89"/>
      <c r="T303" s="89"/>
      <c r="U303" s="89"/>
      <c r="V303" s="89"/>
      <c r="W303" s="89"/>
      <c r="X303" s="89"/>
      <c r="Y303" s="89"/>
    </row>
    <row r="304" ht="15.75" customHeight="1">
      <c r="A304" s="67" t="str">
        <f t="shared" si="105"/>
        <v>Solvent04 OZ/ 118 Tins</v>
      </c>
      <c r="B304" s="81">
        <v>2.0</v>
      </c>
      <c r="C304" s="290" t="s">
        <v>1069</v>
      </c>
      <c r="D304" s="180"/>
      <c r="E304" s="112" t="s">
        <v>1053</v>
      </c>
      <c r="F304" s="56">
        <v>178.0</v>
      </c>
      <c r="G304" s="76" t="str">
        <f>IFERROR(__xludf.DUMMYFUNCTION("ArrayFormula(IFERROR(VLOOKUP(E304,IMPORTRANGE(""https://docs.google.com/spreadsheets/d/1xZyKy-UzMmtPDLpV5jQdYum1LtbR8XKDuasLSjmBRMI/edit#gid=1241094406"",""COMBINED DATA!E3:L""),{7,8},0)))"),"")</f>
        <v/>
      </c>
      <c r="H304" s="76"/>
      <c r="I304" s="76">
        <f t="shared" si="106"/>
        <v>0</v>
      </c>
      <c r="J304" s="84" t="str">
        <f t="shared" si="107"/>
        <v/>
      </c>
      <c r="K304" s="85"/>
      <c r="L304" s="85"/>
      <c r="M304" s="286"/>
      <c r="N304" s="85"/>
      <c r="O304" s="139"/>
      <c r="P304" s="89"/>
      <c r="Q304" s="89"/>
      <c r="R304" s="89"/>
      <c r="S304" s="89"/>
      <c r="T304" s="89"/>
      <c r="U304" s="89"/>
      <c r="V304" s="89"/>
      <c r="W304" s="89"/>
      <c r="X304" s="89"/>
      <c r="Y304" s="89"/>
    </row>
    <row r="305" ht="15.75" customHeight="1">
      <c r="A305" s="67" t="str">
        <f t="shared" si="105"/>
        <v>Solvent08 OZ/237 Tins</v>
      </c>
      <c r="B305" s="81">
        <v>3.0</v>
      </c>
      <c r="C305" s="290" t="s">
        <v>1071</v>
      </c>
      <c r="D305" s="180"/>
      <c r="E305" s="112" t="s">
        <v>1055</v>
      </c>
      <c r="F305" s="56">
        <v>296.0</v>
      </c>
      <c r="G305" s="76" t="str">
        <f>IFERROR(__xludf.DUMMYFUNCTION("ArrayFormula(IFERROR(VLOOKUP(E305,IMPORTRANGE(""https://docs.google.com/spreadsheets/d/1xZyKy-UzMmtPDLpV5jQdYum1LtbR8XKDuasLSjmBRMI/edit#gid=1241094406"",""COMBINED DATA!E3:L""),{7,8},0)))"),"")</f>
        <v/>
      </c>
      <c r="H305" s="76"/>
      <c r="I305" s="76">
        <f t="shared" si="106"/>
        <v>0</v>
      </c>
      <c r="J305" s="84" t="str">
        <f t="shared" si="107"/>
        <v/>
      </c>
      <c r="K305" s="85"/>
      <c r="L305" s="85"/>
      <c r="M305" s="286"/>
      <c r="N305" s="85"/>
      <c r="O305" s="139"/>
      <c r="P305" s="89"/>
      <c r="Q305" s="89"/>
      <c r="R305" s="89"/>
      <c r="S305" s="89"/>
      <c r="T305" s="89"/>
      <c r="U305" s="89"/>
      <c r="V305" s="89"/>
      <c r="W305" s="89"/>
      <c r="X305" s="89"/>
      <c r="Y305" s="89"/>
    </row>
    <row r="306" ht="15.75" customHeight="1">
      <c r="A306" s="67" t="str">
        <f t="shared" si="105"/>
        <v>Solvent16 OZ/473 Tins</v>
      </c>
      <c r="B306" s="81">
        <v>4.0</v>
      </c>
      <c r="C306" s="290" t="s">
        <v>1072</v>
      </c>
      <c r="D306" s="180"/>
      <c r="E306" s="112" t="s">
        <v>1058</v>
      </c>
      <c r="F306" s="56">
        <v>546.0</v>
      </c>
      <c r="G306" s="76" t="str">
        <f>IFERROR(__xludf.DUMMYFUNCTION("ArrayFormula(IFERROR(VLOOKUP(E306,IMPORTRANGE(""https://docs.google.com/spreadsheets/d/1xZyKy-UzMmtPDLpV5jQdYum1LtbR8XKDuasLSjmBRMI/edit#gid=1241094406"",""COMBINED DATA!E3:L""),{7,8},0)))"),"")</f>
        <v/>
      </c>
      <c r="H306" s="76"/>
      <c r="I306" s="76">
        <f t="shared" si="106"/>
        <v>0</v>
      </c>
      <c r="J306" s="84" t="str">
        <f t="shared" si="107"/>
        <v/>
      </c>
      <c r="K306" s="85"/>
      <c r="L306" s="85"/>
      <c r="M306" s="286"/>
      <c r="N306" s="85"/>
      <c r="O306" s="139"/>
      <c r="P306" s="89"/>
      <c r="Q306" s="89"/>
      <c r="R306" s="89"/>
      <c r="S306" s="89"/>
      <c r="T306" s="89"/>
      <c r="U306" s="89"/>
      <c r="V306" s="89"/>
      <c r="W306" s="89"/>
      <c r="X306" s="89"/>
      <c r="Y306" s="89"/>
    </row>
    <row r="307" ht="15.75" customHeight="1">
      <c r="A307" s="67" t="str">
        <f t="shared" si="105"/>
        <v>Solvent32 OZ/ 946 Tins</v>
      </c>
      <c r="B307" s="81">
        <v>5.0</v>
      </c>
      <c r="C307" s="290" t="s">
        <v>1074</v>
      </c>
      <c r="D307" s="180"/>
      <c r="E307" s="112" t="s">
        <v>1061</v>
      </c>
      <c r="F307" s="56">
        <v>888.0</v>
      </c>
      <c r="G307" s="76" t="str">
        <f>IFERROR(__xludf.DUMMYFUNCTION("ArrayFormula(IFERROR(VLOOKUP(E307,IMPORTRANGE(""https://docs.google.com/spreadsheets/d/1xZyKy-UzMmtPDLpV5jQdYum1LtbR8XKDuasLSjmBRMI/edit#gid=1241094406"",""COMBINED DATA!E3:L""),{7,8},0)))"),"")</f>
        <v/>
      </c>
      <c r="H307" s="76"/>
      <c r="I307" s="76">
        <f t="shared" si="106"/>
        <v>0</v>
      </c>
      <c r="J307" s="84" t="str">
        <f t="shared" si="107"/>
        <v/>
      </c>
      <c r="K307" s="85"/>
      <c r="L307" s="85"/>
      <c r="M307" s="286"/>
      <c r="N307" s="85"/>
      <c r="O307" s="139"/>
      <c r="P307" s="89"/>
      <c r="Q307" s="89"/>
      <c r="R307" s="89"/>
      <c r="S307" s="89"/>
      <c r="T307" s="89"/>
      <c r="U307" s="89"/>
      <c r="V307" s="89"/>
      <c r="W307" s="89"/>
      <c r="X307" s="89"/>
      <c r="Y307" s="89"/>
    </row>
    <row r="308">
      <c r="A308" s="100"/>
      <c r="B308" s="102" t="s">
        <v>11</v>
      </c>
      <c r="C308" s="45"/>
      <c r="D308" s="45"/>
      <c r="E308" s="46"/>
      <c r="F308" s="103">
        <f>SUM(F303:F307)</f>
        <v>2016</v>
      </c>
      <c r="G308" s="104"/>
      <c r="H308" s="76" t="str">
        <f>IFERROR(__xludf.DUMMYFUNCTION("IFERROR(VLOOKUP(E308,IMPORTRANGE(""https://docs.google.com/spreadsheets/d/1xZyKy-UzMmtPDLpV5jQdYum1LtbR8XKDuasLSjmBRMI/edit#gid=1241094406"",""COMBINED DATA!E3:L""),8,0))"),"")</f>
        <v/>
      </c>
      <c r="I308" s="76"/>
      <c r="J308" s="84"/>
      <c r="K308" s="85"/>
      <c r="L308" s="85"/>
      <c r="M308" s="85"/>
      <c r="N308" s="85"/>
      <c r="O308" s="89"/>
      <c r="P308" s="89"/>
      <c r="Q308" s="89"/>
      <c r="R308" s="89"/>
      <c r="S308" s="89"/>
      <c r="T308" s="89"/>
      <c r="U308" s="89"/>
      <c r="V308" s="89"/>
      <c r="W308" s="89"/>
      <c r="X308" s="89"/>
      <c r="Y308" s="89"/>
    </row>
    <row r="309" ht="6.0" customHeight="1">
      <c r="A309" s="34"/>
      <c r="B309" s="15"/>
      <c r="C309" s="15"/>
      <c r="D309" s="15"/>
      <c r="E309" s="17"/>
      <c r="F309" s="15"/>
      <c r="G309" s="64"/>
      <c r="H309" s="76" t="str">
        <f>IFERROR(__xludf.DUMMYFUNCTION("IFERROR(VLOOKUP(E309,IMPORTRANGE(""https://docs.google.com/spreadsheets/d/1xZyKy-UzMmtPDLpV5jQdYum1LtbR8XKDuasLSjmBRMI/edit#gid=1241094406"",""COMBINED DATA!E3:L""),8,0))"),"")</f>
        <v/>
      </c>
      <c r="I309" s="76"/>
      <c r="J309" s="65"/>
      <c r="K309" s="85"/>
      <c r="L309" s="85"/>
      <c r="M309" s="85"/>
      <c r="N309" s="85"/>
      <c r="O309" s="89"/>
      <c r="P309" s="89"/>
      <c r="Q309" s="89"/>
      <c r="R309" s="89"/>
      <c r="S309" s="89"/>
      <c r="T309" s="89"/>
      <c r="U309" s="89"/>
      <c r="V309" s="89"/>
      <c r="W309" s="89"/>
      <c r="X309" s="89"/>
      <c r="Y309" s="89"/>
    </row>
    <row r="310">
      <c r="A310" s="34"/>
      <c r="C310" s="302"/>
      <c r="D310" s="303"/>
      <c r="E310" s="62" t="s">
        <v>1089</v>
      </c>
      <c r="F310" s="46"/>
      <c r="G310" s="64"/>
      <c r="H310" s="76"/>
      <c r="I310" s="76"/>
      <c r="J310" s="65"/>
      <c r="K310" s="85"/>
      <c r="L310" s="85"/>
      <c r="M310" s="85"/>
      <c r="N310" s="85"/>
      <c r="O310" s="89"/>
      <c r="P310" s="89"/>
      <c r="Q310" s="89"/>
      <c r="R310" s="89"/>
      <c r="S310" s="89"/>
      <c r="T310" s="89"/>
      <c r="U310" s="89"/>
      <c r="V310" s="89"/>
      <c r="W310" s="89"/>
      <c r="X310" s="89"/>
      <c r="Y310" s="89"/>
    </row>
    <row r="311">
      <c r="A311" s="34"/>
      <c r="B311" s="15"/>
      <c r="C311" s="304"/>
      <c r="D311" s="15"/>
      <c r="E311" s="305" t="s">
        <v>104</v>
      </c>
      <c r="F311" s="56">
        <v>34.0</v>
      </c>
      <c r="G311" s="64"/>
      <c r="H311" s="76" t="str">
        <f>IFERROR(__xludf.DUMMYFUNCTION("IFERROR(VLOOKUP(E311,IMPORTRANGE(""https://docs.google.com/spreadsheets/d/1xZyKy-UzMmtPDLpV5jQdYum1LtbR8XKDuasLSjmBRMI/edit#gid=1241094406"",""COMBINED DATA!E3:L""),8,0))"),"")</f>
        <v/>
      </c>
      <c r="I311" s="76"/>
      <c r="J311" s="65"/>
      <c r="K311" s="85"/>
      <c r="L311" s="85"/>
      <c r="M311" s="85"/>
      <c r="N311" s="85"/>
      <c r="O311" s="89"/>
      <c r="P311" s="89"/>
      <c r="Q311" s="89"/>
      <c r="R311" s="89"/>
      <c r="S311" s="89"/>
      <c r="T311" s="89"/>
      <c r="U311" s="89"/>
      <c r="V311" s="89"/>
      <c r="W311" s="89"/>
      <c r="X311" s="89"/>
      <c r="Y311" s="89"/>
    </row>
    <row r="312">
      <c r="A312" s="34"/>
      <c r="B312" s="15"/>
      <c r="C312" s="15"/>
      <c r="D312" s="15"/>
      <c r="E312" s="305" t="s">
        <v>106</v>
      </c>
      <c r="F312" s="56">
        <v>38.0</v>
      </c>
      <c r="G312" s="64"/>
      <c r="H312" s="76" t="str">
        <f>IFERROR(__xludf.DUMMYFUNCTION("IFERROR(VLOOKUP(E312,IMPORTRANGE(""https://docs.google.com/spreadsheets/d/1xZyKy-UzMmtPDLpV5jQdYum1LtbR8XKDuasLSjmBRMI/edit#gid=1241094406"",""COMBINED DATA!E3:L""),8,0))"),"")</f>
        <v/>
      </c>
      <c r="I312" s="76"/>
      <c r="J312" s="65"/>
      <c r="K312" s="85"/>
      <c r="L312" s="85"/>
      <c r="M312" s="85"/>
      <c r="N312" s="85"/>
      <c r="O312" s="89"/>
      <c r="P312" s="89"/>
      <c r="Q312" s="89"/>
      <c r="R312" s="89"/>
      <c r="S312" s="89"/>
      <c r="T312" s="89"/>
      <c r="U312" s="89"/>
      <c r="V312" s="89"/>
      <c r="W312" s="89"/>
      <c r="X312" s="89"/>
      <c r="Y312" s="89"/>
    </row>
    <row r="313">
      <c r="A313" s="34"/>
      <c r="B313" s="15"/>
      <c r="C313" s="15"/>
      <c r="D313" s="15"/>
      <c r="E313" s="305" t="s">
        <v>110</v>
      </c>
      <c r="F313" s="56">
        <v>26.0</v>
      </c>
      <c r="G313" s="64"/>
      <c r="H313" s="76" t="str">
        <f>IFERROR(__xludf.DUMMYFUNCTION("IFERROR(VLOOKUP(E313,IMPORTRANGE(""https://docs.google.com/spreadsheets/d/1xZyKy-UzMmtPDLpV5jQdYum1LtbR8XKDuasLSjmBRMI/edit#gid=1241094406"",""COMBINED DATA!E3:L""),8,0))"),"")</f>
        <v/>
      </c>
      <c r="I313" s="76"/>
      <c r="J313" s="65"/>
      <c r="K313" s="85"/>
      <c r="L313" s="85"/>
      <c r="M313" s="85"/>
      <c r="N313" s="85"/>
      <c r="O313" s="89"/>
      <c r="P313" s="89"/>
      <c r="Q313" s="89"/>
      <c r="R313" s="89"/>
      <c r="S313" s="89"/>
      <c r="T313" s="89"/>
      <c r="U313" s="89"/>
      <c r="V313" s="89"/>
      <c r="W313" s="89"/>
      <c r="X313" s="89"/>
      <c r="Y313" s="89"/>
    </row>
    <row r="314">
      <c r="A314" s="34"/>
      <c r="B314" s="15"/>
      <c r="C314" s="15"/>
      <c r="D314" s="15"/>
      <c r="E314" s="17"/>
      <c r="F314" s="15"/>
      <c r="G314" s="64"/>
      <c r="H314" s="76" t="str">
        <f>IFERROR(__xludf.DUMMYFUNCTION("IFERROR(VLOOKUP(E314,IMPORTRANGE(""https://docs.google.com/spreadsheets/d/1xZyKy-UzMmtPDLpV5jQdYum1LtbR8XKDuasLSjmBRMI/edit#gid=1241094406"",""COMBINED DATA!E3:L""),8,0))"),"")</f>
        <v/>
      </c>
      <c r="I314" s="76"/>
      <c r="J314" s="65"/>
      <c r="K314" s="85"/>
      <c r="L314" s="85"/>
      <c r="M314" s="85"/>
      <c r="N314" s="85"/>
      <c r="O314" s="89"/>
      <c r="P314" s="89"/>
      <c r="Q314" s="89"/>
      <c r="R314" s="89"/>
      <c r="S314" s="89"/>
      <c r="T314" s="89"/>
      <c r="U314" s="89"/>
      <c r="V314" s="89"/>
      <c r="W314" s="89"/>
      <c r="X314" s="89"/>
      <c r="Y314" s="89"/>
    </row>
    <row r="315">
      <c r="A315" s="34"/>
      <c r="B315" s="15"/>
      <c r="C315" s="15"/>
      <c r="D315" s="15"/>
      <c r="E315" s="17"/>
      <c r="F315" s="15"/>
      <c r="G315" s="64"/>
      <c r="H315" s="76" t="str">
        <f>IFERROR(__xludf.DUMMYFUNCTION("IFERROR(VLOOKUP(E315,IMPORTRANGE(""https://docs.google.com/spreadsheets/d/1xZyKy-UzMmtPDLpV5jQdYum1LtbR8XKDuasLSjmBRMI/edit#gid=1241094406"",""COMBINED DATA!E3:L""),8,0))"),"")</f>
        <v/>
      </c>
      <c r="I315" s="76"/>
      <c r="J315" s="65"/>
      <c r="K315" s="85"/>
      <c r="L315" s="85"/>
      <c r="M315" s="85"/>
      <c r="N315" s="85"/>
      <c r="O315" s="89"/>
      <c r="P315" s="89"/>
      <c r="Q315" s="89"/>
      <c r="R315" s="89"/>
      <c r="S315" s="89"/>
      <c r="T315" s="89"/>
      <c r="U315" s="89"/>
      <c r="V315" s="89"/>
      <c r="W315" s="89"/>
      <c r="X315" s="89"/>
      <c r="Y315" s="89"/>
    </row>
    <row r="316">
      <c r="A316" s="34"/>
      <c r="B316" s="15"/>
      <c r="C316" s="15"/>
      <c r="D316" s="15"/>
      <c r="E316" s="17"/>
      <c r="F316" s="15"/>
      <c r="G316" s="64"/>
      <c r="H316" s="76" t="str">
        <f>IFERROR(__xludf.DUMMYFUNCTION("IFERROR(VLOOKUP(E316,IMPORTRANGE(""https://docs.google.com/spreadsheets/d/1xZyKy-UzMmtPDLpV5jQdYum1LtbR8XKDuasLSjmBRMI/edit#gid=1241094406"",""COMBINED DATA!E3:L""),8,0))"),"")</f>
        <v/>
      </c>
      <c r="I316" s="76"/>
      <c r="J316" s="65"/>
      <c r="K316" s="85"/>
      <c r="L316" s="85"/>
      <c r="M316" s="85"/>
      <c r="N316" s="85"/>
      <c r="O316" s="89"/>
      <c r="P316" s="89"/>
      <c r="Q316" s="89"/>
      <c r="R316" s="89"/>
      <c r="S316" s="89"/>
      <c r="T316" s="89"/>
      <c r="U316" s="89"/>
      <c r="V316" s="89"/>
      <c r="W316" s="89"/>
      <c r="X316" s="89"/>
      <c r="Y316" s="89"/>
    </row>
    <row r="317">
      <c r="A317" s="34"/>
      <c r="B317" s="15"/>
      <c r="C317" s="15"/>
      <c r="D317" s="15"/>
      <c r="E317" s="17"/>
      <c r="F317" s="15"/>
      <c r="G317" s="64"/>
      <c r="H317" s="76" t="str">
        <f>IFERROR(__xludf.DUMMYFUNCTION("IFERROR(VLOOKUP(E317,IMPORTRANGE(""https://docs.google.com/spreadsheets/d/1xZyKy-UzMmtPDLpV5jQdYum1LtbR8XKDuasLSjmBRMI/edit#gid=1241094406"",""COMBINED DATA!E3:L""),8,0))"),"")</f>
        <v/>
      </c>
      <c r="I317" s="76"/>
      <c r="J317" s="65"/>
      <c r="K317" s="85"/>
      <c r="L317" s="85"/>
      <c r="M317" s="85"/>
      <c r="N317" s="85"/>
      <c r="O317" s="89"/>
      <c r="P317" s="89"/>
      <c r="Q317" s="89"/>
      <c r="R317" s="89"/>
      <c r="S317" s="89"/>
      <c r="T317" s="89"/>
      <c r="U317" s="89"/>
      <c r="V317" s="89"/>
      <c r="W317" s="89"/>
      <c r="X317" s="89"/>
      <c r="Y317" s="89"/>
    </row>
    <row r="318">
      <c r="A318" s="34"/>
      <c r="B318" s="15"/>
      <c r="C318" s="15"/>
      <c r="D318" s="15"/>
      <c r="E318" s="17"/>
      <c r="F318" s="15"/>
      <c r="G318" s="64"/>
      <c r="H318" s="76" t="str">
        <f>IFERROR(__xludf.DUMMYFUNCTION("IFERROR(VLOOKUP(E318,IMPORTRANGE(""https://docs.google.com/spreadsheets/d/1xZyKy-UzMmtPDLpV5jQdYum1LtbR8XKDuasLSjmBRMI/edit#gid=1241094406"",""COMBINED DATA!E3:L""),8,0))"),"")</f>
        <v/>
      </c>
      <c r="I318" s="76"/>
      <c r="J318" s="65"/>
      <c r="K318" s="85"/>
      <c r="L318" s="85"/>
      <c r="M318" s="85"/>
      <c r="N318" s="85"/>
      <c r="O318" s="89"/>
      <c r="P318" s="89"/>
      <c r="Q318" s="89"/>
      <c r="R318" s="89"/>
      <c r="S318" s="89"/>
      <c r="T318" s="89"/>
      <c r="U318" s="89"/>
      <c r="V318" s="89"/>
      <c r="W318" s="89"/>
      <c r="X318" s="89"/>
      <c r="Y318" s="89"/>
    </row>
    <row r="319">
      <c r="A319" s="34"/>
      <c r="B319" s="15"/>
      <c r="C319" s="15"/>
      <c r="D319" s="15"/>
      <c r="E319" s="17"/>
      <c r="F319" s="15"/>
      <c r="G319" s="64"/>
      <c r="H319" s="76" t="str">
        <f>IFERROR(__xludf.DUMMYFUNCTION("IFERROR(VLOOKUP(E319,IMPORTRANGE(""https://docs.google.com/spreadsheets/d/1xZyKy-UzMmtPDLpV5jQdYum1LtbR8XKDuasLSjmBRMI/edit#gid=1241094406"",""COMBINED DATA!E3:L""),8,0))"),"")</f>
        <v/>
      </c>
      <c r="I319" s="76"/>
      <c r="J319" s="65"/>
      <c r="K319" s="85"/>
      <c r="L319" s="85"/>
      <c r="M319" s="85"/>
      <c r="N319" s="85"/>
      <c r="O319" s="89"/>
      <c r="P319" s="89"/>
      <c r="Q319" s="89"/>
      <c r="R319" s="89"/>
      <c r="S319" s="89"/>
      <c r="T319" s="89"/>
      <c r="U319" s="89"/>
      <c r="V319" s="89"/>
      <c r="W319" s="89"/>
      <c r="X319" s="89"/>
      <c r="Y319" s="89"/>
    </row>
    <row r="320">
      <c r="A320" s="34"/>
      <c r="B320" s="15"/>
      <c r="C320" s="15"/>
      <c r="D320" s="15"/>
      <c r="E320" s="17"/>
      <c r="F320" s="15"/>
      <c r="G320" s="64"/>
      <c r="H320" s="76" t="str">
        <f>IFERROR(__xludf.DUMMYFUNCTION("IFERROR(VLOOKUP(E320,IMPORTRANGE(""https://docs.google.com/spreadsheets/d/1xZyKy-UzMmtPDLpV5jQdYum1LtbR8XKDuasLSjmBRMI/edit#gid=1241094406"",""COMBINED DATA!E3:L""),8,0))"),"")</f>
        <v/>
      </c>
      <c r="I320" s="76"/>
      <c r="J320" s="65"/>
      <c r="K320" s="85"/>
      <c r="L320" s="85"/>
      <c r="M320" s="85"/>
      <c r="N320" s="85"/>
      <c r="O320" s="89"/>
      <c r="P320" s="89"/>
      <c r="Q320" s="89"/>
      <c r="R320" s="89"/>
      <c r="S320" s="89"/>
      <c r="T320" s="89"/>
      <c r="U320" s="89"/>
      <c r="V320" s="89"/>
      <c r="W320" s="89"/>
      <c r="X320" s="89"/>
      <c r="Y320" s="89"/>
    </row>
    <row r="321">
      <c r="A321" s="34"/>
      <c r="B321" s="15"/>
      <c r="C321" s="15"/>
      <c r="D321" s="15"/>
      <c r="E321" s="17"/>
      <c r="F321" s="15"/>
      <c r="G321" s="64"/>
      <c r="H321" s="76" t="str">
        <f>IFERROR(__xludf.DUMMYFUNCTION("IFERROR(VLOOKUP(E321,IMPORTRANGE(""https://docs.google.com/spreadsheets/d/1xZyKy-UzMmtPDLpV5jQdYum1LtbR8XKDuasLSjmBRMI/edit#gid=1241094406"",""COMBINED DATA!E3:L""),8,0))"),"")</f>
        <v/>
      </c>
      <c r="I321" s="76"/>
      <c r="J321" s="65"/>
      <c r="K321" s="85"/>
      <c r="L321" s="85"/>
      <c r="M321" s="85"/>
      <c r="N321" s="85"/>
      <c r="O321" s="89"/>
      <c r="P321" s="89"/>
      <c r="Q321" s="89"/>
      <c r="R321" s="89"/>
      <c r="S321" s="89"/>
      <c r="T321" s="89"/>
      <c r="U321" s="89"/>
      <c r="V321" s="89"/>
      <c r="W321" s="89"/>
      <c r="X321" s="89"/>
      <c r="Y321" s="89"/>
    </row>
    <row r="322">
      <c r="A322" s="34"/>
      <c r="B322" s="15"/>
      <c r="C322" s="15"/>
      <c r="D322" s="15"/>
      <c r="E322" s="17"/>
      <c r="F322" s="15"/>
      <c r="G322" s="64"/>
      <c r="H322" s="76" t="str">
        <f>IFERROR(__xludf.DUMMYFUNCTION("IFERROR(VLOOKUP(E322,IMPORTRANGE(""https://docs.google.com/spreadsheets/d/1xZyKy-UzMmtPDLpV5jQdYum1LtbR8XKDuasLSjmBRMI/edit#gid=1241094406"",""COMBINED DATA!E3:L""),8,0))"),"")</f>
        <v/>
      </c>
      <c r="I322" s="76"/>
      <c r="J322" s="65"/>
      <c r="K322" s="85"/>
      <c r="L322" s="85"/>
      <c r="M322" s="85"/>
      <c r="N322" s="85"/>
      <c r="O322" s="89"/>
      <c r="P322" s="89"/>
      <c r="Q322" s="89"/>
      <c r="R322" s="89"/>
      <c r="S322" s="89"/>
      <c r="T322" s="89"/>
      <c r="U322" s="89"/>
      <c r="V322" s="89"/>
      <c r="W322" s="89"/>
      <c r="X322" s="89"/>
      <c r="Y322" s="89"/>
    </row>
    <row r="323">
      <c r="A323" s="34"/>
      <c r="B323" s="15"/>
      <c r="C323" s="15"/>
      <c r="D323" s="15"/>
      <c r="E323" s="17"/>
      <c r="F323" s="15"/>
      <c r="G323" s="64"/>
      <c r="H323" s="76" t="str">
        <f>IFERROR(__xludf.DUMMYFUNCTION("IFERROR(VLOOKUP(E323,IMPORTRANGE(""https://docs.google.com/spreadsheets/d/1xZyKy-UzMmtPDLpV5jQdYum1LtbR8XKDuasLSjmBRMI/edit#gid=1241094406"",""COMBINED DATA!E3:L""),8,0))"),"")</f>
        <v/>
      </c>
      <c r="I323" s="76"/>
      <c r="J323" s="65"/>
      <c r="K323" s="85"/>
      <c r="L323" s="85"/>
      <c r="M323" s="85"/>
      <c r="N323" s="85"/>
      <c r="O323" s="89"/>
      <c r="P323" s="89"/>
      <c r="Q323" s="89"/>
      <c r="R323" s="89"/>
      <c r="S323" s="89"/>
      <c r="T323" s="89"/>
      <c r="U323" s="89"/>
      <c r="V323" s="89"/>
      <c r="W323" s="89"/>
      <c r="X323" s="89"/>
      <c r="Y323" s="89"/>
    </row>
    <row r="324">
      <c r="A324" s="34"/>
      <c r="B324" s="15"/>
      <c r="C324" s="15"/>
      <c r="D324" s="15"/>
      <c r="E324" s="17"/>
      <c r="F324" s="15"/>
      <c r="G324" s="64"/>
      <c r="H324" s="76" t="str">
        <f>IFERROR(__xludf.DUMMYFUNCTION("IFERROR(VLOOKUP(E324,IMPORTRANGE(""https://docs.google.com/spreadsheets/d/1xZyKy-UzMmtPDLpV5jQdYum1LtbR8XKDuasLSjmBRMI/edit#gid=1241094406"",""COMBINED DATA!E3:L""),8,0))"),"")</f>
        <v/>
      </c>
      <c r="I324" s="76"/>
      <c r="J324" s="65"/>
      <c r="K324" s="85"/>
      <c r="L324" s="85"/>
      <c r="M324" s="85"/>
      <c r="N324" s="85"/>
      <c r="O324" s="89"/>
      <c r="P324" s="89"/>
      <c r="Q324" s="89"/>
      <c r="R324" s="89"/>
      <c r="S324" s="89"/>
      <c r="T324" s="89"/>
      <c r="U324" s="89"/>
      <c r="V324" s="89"/>
      <c r="W324" s="89"/>
      <c r="X324" s="89"/>
      <c r="Y324" s="89"/>
    </row>
    <row r="325">
      <c r="A325" s="34"/>
      <c r="B325" s="15"/>
      <c r="C325" s="15"/>
      <c r="D325" s="15"/>
      <c r="E325" s="17"/>
      <c r="F325" s="15"/>
      <c r="G325" s="64"/>
      <c r="H325" s="76" t="str">
        <f>IFERROR(__xludf.DUMMYFUNCTION("IFERROR(VLOOKUP(E325,IMPORTRANGE(""https://docs.google.com/spreadsheets/d/1xZyKy-UzMmtPDLpV5jQdYum1LtbR8XKDuasLSjmBRMI/edit#gid=1241094406"",""COMBINED DATA!E3:L""),8,0))"),"")</f>
        <v/>
      </c>
      <c r="I325" s="76"/>
      <c r="J325" s="65"/>
      <c r="K325" s="85"/>
      <c r="L325" s="85"/>
      <c r="M325" s="85"/>
      <c r="N325" s="85"/>
      <c r="O325" s="89"/>
      <c r="P325" s="89"/>
      <c r="Q325" s="89"/>
      <c r="R325" s="89"/>
      <c r="S325" s="89"/>
      <c r="T325" s="89"/>
      <c r="U325" s="89"/>
      <c r="V325" s="89"/>
      <c r="W325" s="89"/>
      <c r="X325" s="89"/>
      <c r="Y325" s="89"/>
    </row>
    <row r="326">
      <c r="A326" s="34"/>
      <c r="B326" s="15"/>
      <c r="C326" s="15"/>
      <c r="D326" s="15"/>
      <c r="E326" s="17"/>
      <c r="F326" s="15"/>
      <c r="G326" s="64"/>
      <c r="H326" s="76" t="str">
        <f>IFERROR(__xludf.DUMMYFUNCTION("IFERROR(VLOOKUP(E326,IMPORTRANGE(""https://docs.google.com/spreadsheets/d/1xZyKy-UzMmtPDLpV5jQdYum1LtbR8XKDuasLSjmBRMI/edit#gid=1241094406"",""COMBINED DATA!E3:L""),8,0))"),"")</f>
        <v/>
      </c>
      <c r="I326" s="76"/>
      <c r="J326" s="65"/>
      <c r="K326" s="85"/>
      <c r="L326" s="85"/>
      <c r="M326" s="85"/>
      <c r="N326" s="85"/>
      <c r="O326" s="89"/>
      <c r="P326" s="89"/>
      <c r="Q326" s="89"/>
      <c r="R326" s="89"/>
      <c r="S326" s="89"/>
      <c r="T326" s="89"/>
      <c r="U326" s="89"/>
      <c r="V326" s="89"/>
      <c r="W326" s="89"/>
      <c r="X326" s="89"/>
      <c r="Y326" s="89"/>
    </row>
    <row r="327">
      <c r="A327" s="34"/>
      <c r="B327" s="15"/>
      <c r="C327" s="15"/>
      <c r="D327" s="15"/>
      <c r="E327" s="17"/>
      <c r="F327" s="15"/>
      <c r="G327" s="64"/>
      <c r="H327" s="76" t="str">
        <f>IFERROR(__xludf.DUMMYFUNCTION("IFERROR(VLOOKUP(E327,IMPORTRANGE(""https://docs.google.com/spreadsheets/d/1xZyKy-UzMmtPDLpV5jQdYum1LtbR8XKDuasLSjmBRMI/edit#gid=1241094406"",""COMBINED DATA!E3:L""),8,0))"),"")</f>
        <v/>
      </c>
      <c r="I327" s="76"/>
      <c r="J327" s="65"/>
      <c r="K327" s="85"/>
      <c r="L327" s="85"/>
      <c r="M327" s="85"/>
      <c r="N327" s="85"/>
      <c r="O327" s="89"/>
      <c r="P327" s="89"/>
      <c r="Q327" s="89"/>
      <c r="R327" s="89"/>
      <c r="S327" s="89"/>
      <c r="T327" s="89"/>
      <c r="U327" s="89"/>
      <c r="V327" s="89"/>
      <c r="W327" s="89"/>
      <c r="X327" s="89"/>
      <c r="Y327" s="89"/>
    </row>
    <row r="328">
      <c r="A328" s="34"/>
      <c r="B328" s="15"/>
      <c r="C328" s="15"/>
      <c r="D328" s="15"/>
      <c r="E328" s="17"/>
      <c r="F328" s="15"/>
      <c r="G328" s="64"/>
      <c r="H328" s="76" t="str">
        <f>IFERROR(__xludf.DUMMYFUNCTION("IFERROR(VLOOKUP(E328,IMPORTRANGE(""https://docs.google.com/spreadsheets/d/1xZyKy-UzMmtPDLpV5jQdYum1LtbR8XKDuasLSjmBRMI/edit#gid=1241094406"",""COMBINED DATA!E3:L""),8,0))"),"")</f>
        <v/>
      </c>
      <c r="I328" s="76"/>
      <c r="J328" s="65"/>
      <c r="K328" s="85"/>
      <c r="L328" s="85"/>
      <c r="M328" s="85"/>
      <c r="N328" s="85"/>
      <c r="O328" s="89"/>
      <c r="P328" s="89"/>
      <c r="Q328" s="89"/>
      <c r="R328" s="89"/>
      <c r="S328" s="89"/>
      <c r="T328" s="89"/>
      <c r="U328" s="89"/>
      <c r="V328" s="89"/>
      <c r="W328" s="89"/>
      <c r="X328" s="89"/>
      <c r="Y328" s="89"/>
    </row>
  </sheetData>
  <mergeCells count="91">
    <mergeCell ref="B165:E165"/>
    <mergeCell ref="B167:F167"/>
    <mergeCell ref="B171:E171"/>
    <mergeCell ref="B173:F173"/>
    <mergeCell ref="B181:E181"/>
    <mergeCell ref="B183:F183"/>
    <mergeCell ref="B187:E187"/>
    <mergeCell ref="B189:F189"/>
    <mergeCell ref="B192:E192"/>
    <mergeCell ref="B194:F194"/>
    <mergeCell ref="B200:E200"/>
    <mergeCell ref="B202:F202"/>
    <mergeCell ref="B208:E208"/>
    <mergeCell ref="B210:F210"/>
    <mergeCell ref="B216:E216"/>
    <mergeCell ref="B218:F218"/>
    <mergeCell ref="B227:E227"/>
    <mergeCell ref="B229:F229"/>
    <mergeCell ref="B236:E236"/>
    <mergeCell ref="B238:F238"/>
    <mergeCell ref="B241:E241"/>
    <mergeCell ref="B243:F243"/>
    <mergeCell ref="B248:E248"/>
    <mergeCell ref="B250:F250"/>
    <mergeCell ref="B257:E257"/>
    <mergeCell ref="B259:F259"/>
    <mergeCell ref="B265:E265"/>
    <mergeCell ref="B267:F267"/>
    <mergeCell ref="B271:E271"/>
    <mergeCell ref="B273:F273"/>
    <mergeCell ref="B277:E277"/>
    <mergeCell ref="B279:F279"/>
    <mergeCell ref="B286:E286"/>
    <mergeCell ref="B288:F288"/>
    <mergeCell ref="B295:E295"/>
    <mergeCell ref="C305:D305"/>
    <mergeCell ref="C306:D306"/>
    <mergeCell ref="C307:D307"/>
    <mergeCell ref="B308:E308"/>
    <mergeCell ref="E310:F310"/>
    <mergeCell ref="B297:F297"/>
    <mergeCell ref="C298:D298"/>
    <mergeCell ref="C299:D299"/>
    <mergeCell ref="B300:E300"/>
    <mergeCell ref="B302:F302"/>
    <mergeCell ref="C303:D303"/>
    <mergeCell ref="C304:D304"/>
    <mergeCell ref="I2:I3"/>
    <mergeCell ref="J2:J3"/>
    <mergeCell ref="B2:B3"/>
    <mergeCell ref="C2:C3"/>
    <mergeCell ref="D2:D3"/>
    <mergeCell ref="E2:E3"/>
    <mergeCell ref="F2:F3"/>
    <mergeCell ref="G2:G3"/>
    <mergeCell ref="H2:H3"/>
    <mergeCell ref="B4:F4"/>
    <mergeCell ref="B11:E11"/>
    <mergeCell ref="B13:F13"/>
    <mergeCell ref="B17:E17"/>
    <mergeCell ref="B19:F19"/>
    <mergeCell ref="B22:F22"/>
    <mergeCell ref="B25:E25"/>
    <mergeCell ref="B27:F27"/>
    <mergeCell ref="B33:E33"/>
    <mergeCell ref="B35:F35"/>
    <mergeCell ref="B42:E42"/>
    <mergeCell ref="B44:F44"/>
    <mergeCell ref="B48:E48"/>
    <mergeCell ref="B50:F50"/>
    <mergeCell ref="B53:F53"/>
    <mergeCell ref="B65:E65"/>
    <mergeCell ref="B67:F67"/>
    <mergeCell ref="B77:F77"/>
    <mergeCell ref="B84:E84"/>
    <mergeCell ref="B86:F86"/>
    <mergeCell ref="B90:E90"/>
    <mergeCell ref="B92:F92"/>
    <mergeCell ref="B95:F95"/>
    <mergeCell ref="B107:E107"/>
    <mergeCell ref="B109:F109"/>
    <mergeCell ref="B114:E114"/>
    <mergeCell ref="B116:F116"/>
    <mergeCell ref="B123:E123"/>
    <mergeCell ref="B125:F125"/>
    <mergeCell ref="B129:E129"/>
    <mergeCell ref="B131:F131"/>
    <mergeCell ref="B144:E144"/>
    <mergeCell ref="B146:F146"/>
    <mergeCell ref="B154:E154"/>
    <mergeCell ref="B156:F156"/>
  </mergeCells>
  <printOptions horizontalCentered="1"/>
  <pageMargins bottom="0.75" footer="0.0" header="0.0" left="0.25" right="0.25" top="0.75"/>
  <pageSetup fitToHeight="0" paperSize="9" cellComments="atEnd"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
    <col customWidth="1" min="2" max="2" width="3.25"/>
    <col customWidth="1" min="3" max="3" width="7.25"/>
    <col customWidth="1" min="4" max="4" width="5.38"/>
    <col customWidth="1" min="5" max="5" width="4.0"/>
    <col customWidth="1" min="6" max="6" width="9.38"/>
    <col customWidth="1" min="7" max="7" width="7.75"/>
    <col customWidth="1" min="8" max="8" width="7.13"/>
    <col customWidth="1" min="9" max="9" width="10.13"/>
    <col customWidth="1" min="10" max="15" width="7.13"/>
  </cols>
  <sheetData>
    <row r="1" ht="9.75" customHeight="1">
      <c r="A1" s="242"/>
      <c r="B1" s="242"/>
      <c r="C1" s="243"/>
      <c r="D1" s="242"/>
      <c r="E1" s="242"/>
      <c r="F1" s="242"/>
      <c r="G1" s="244"/>
      <c r="H1" s="245"/>
      <c r="I1" s="242"/>
      <c r="J1" s="242"/>
      <c r="K1" s="242"/>
      <c r="L1" s="242"/>
      <c r="M1" s="242"/>
      <c r="N1" s="242"/>
      <c r="O1" s="242"/>
    </row>
    <row r="2" ht="28.5" customHeight="1">
      <c r="A2" s="2"/>
      <c r="B2" s="246" t="s">
        <v>0</v>
      </c>
      <c r="C2" s="30" t="s">
        <v>18</v>
      </c>
      <c r="D2" s="33" t="s">
        <v>24</v>
      </c>
      <c r="E2" s="33" t="s">
        <v>21</v>
      </c>
      <c r="F2" s="247" t="str">
        <f>' CPVC PIPE'!F2</f>
        <v>MRP as on 1st May, 2024</v>
      </c>
      <c r="G2" s="28" t="s">
        <v>6</v>
      </c>
      <c r="H2" s="248" t="s">
        <v>26</v>
      </c>
      <c r="I2" s="38" t="s">
        <v>8</v>
      </c>
      <c r="J2" s="242"/>
      <c r="K2" s="242"/>
      <c r="L2" s="242"/>
      <c r="M2" s="242"/>
      <c r="N2" s="242"/>
      <c r="O2" s="242"/>
    </row>
    <row r="3" ht="30.75" customHeight="1">
      <c r="A3" s="2"/>
      <c r="B3" s="41"/>
      <c r="C3" s="41"/>
      <c r="D3" s="41"/>
      <c r="E3" s="41"/>
      <c r="F3" s="41"/>
      <c r="G3" s="41"/>
      <c r="H3" s="41"/>
      <c r="I3" s="41"/>
      <c r="J3" s="242"/>
      <c r="K3" s="242"/>
      <c r="L3" s="242"/>
      <c r="M3" s="242"/>
      <c r="N3" s="242"/>
      <c r="O3" s="242"/>
    </row>
    <row r="4" ht="22.5" customHeight="1">
      <c r="A4" s="242"/>
      <c r="B4" s="249" t="s">
        <v>64</v>
      </c>
      <c r="C4" s="45"/>
      <c r="D4" s="45"/>
      <c r="E4" s="45"/>
      <c r="F4" s="46"/>
      <c r="G4" s="250"/>
      <c r="H4" s="251"/>
      <c r="I4" s="242"/>
      <c r="J4" s="242"/>
      <c r="K4" s="242"/>
      <c r="L4" s="242"/>
      <c r="M4" s="242"/>
      <c r="N4" s="242"/>
      <c r="O4" s="242"/>
    </row>
    <row r="5">
      <c r="A5" s="252"/>
      <c r="B5" s="253">
        <v>1.0</v>
      </c>
      <c r="C5" s="254" t="s">
        <v>919</v>
      </c>
      <c r="D5" s="54">
        <v>15.0</v>
      </c>
      <c r="E5" s="51" t="s">
        <v>43</v>
      </c>
      <c r="F5" s="255">
        <v>276.0</v>
      </c>
      <c r="G5" s="58">
        <v>0.997</v>
      </c>
      <c r="H5" s="256">
        <f t="shared" ref="H5:H14" si="1">IFERROR(F5/G5,"")</f>
        <v>276.8304915</v>
      </c>
      <c r="I5" s="257">
        <v>276.0</v>
      </c>
      <c r="J5" s="252"/>
      <c r="K5" s="252"/>
      <c r="L5" s="252"/>
      <c r="M5" s="252"/>
      <c r="N5" s="252"/>
      <c r="O5" s="252"/>
    </row>
    <row r="6">
      <c r="A6" s="252"/>
      <c r="B6" s="253">
        <v>2.0</v>
      </c>
      <c r="C6" s="254" t="s">
        <v>921</v>
      </c>
      <c r="D6" s="54">
        <v>20.0</v>
      </c>
      <c r="E6" s="51" t="s">
        <v>51</v>
      </c>
      <c r="F6" s="258">
        <v>363.0</v>
      </c>
      <c r="G6" s="58">
        <v>1.349</v>
      </c>
      <c r="H6" s="256">
        <f t="shared" si="1"/>
        <v>269.0882135</v>
      </c>
      <c r="I6" s="259">
        <v>363.0</v>
      </c>
      <c r="J6" s="252"/>
      <c r="K6" s="252"/>
      <c r="L6" s="252"/>
      <c r="M6" s="252"/>
      <c r="N6" s="252"/>
      <c r="O6" s="252"/>
    </row>
    <row r="7">
      <c r="A7" s="252"/>
      <c r="B7" s="253">
        <v>3.0</v>
      </c>
      <c r="C7" s="254" t="s">
        <v>923</v>
      </c>
      <c r="D7" s="54">
        <v>25.0</v>
      </c>
      <c r="E7" s="51">
        <v>1.0</v>
      </c>
      <c r="F7" s="258">
        <v>531.0</v>
      </c>
      <c r="G7" s="58">
        <v>1.981</v>
      </c>
      <c r="H7" s="256">
        <f t="shared" si="1"/>
        <v>268.0464412</v>
      </c>
      <c r="I7" s="259">
        <v>531.0</v>
      </c>
      <c r="J7" s="252"/>
      <c r="K7" s="252"/>
      <c r="L7" s="252"/>
      <c r="M7" s="252"/>
      <c r="N7" s="252"/>
      <c r="O7" s="252"/>
    </row>
    <row r="8">
      <c r="A8" s="252"/>
      <c r="B8" s="253">
        <v>4.0</v>
      </c>
      <c r="C8" s="254" t="s">
        <v>924</v>
      </c>
      <c r="D8" s="54">
        <v>32.0</v>
      </c>
      <c r="E8" s="51" t="s">
        <v>55</v>
      </c>
      <c r="F8" s="258">
        <v>732.0</v>
      </c>
      <c r="G8" s="58">
        <v>2.736</v>
      </c>
      <c r="H8" s="256">
        <f t="shared" si="1"/>
        <v>267.5438596</v>
      </c>
      <c r="I8" s="259">
        <v>732.0</v>
      </c>
      <c r="J8" s="252"/>
      <c r="K8" s="252"/>
      <c r="L8" s="252"/>
      <c r="M8" s="252"/>
      <c r="N8" s="252"/>
      <c r="O8" s="252"/>
    </row>
    <row r="9">
      <c r="A9" s="252"/>
      <c r="B9" s="253">
        <v>5.0</v>
      </c>
      <c r="C9" s="254" t="s">
        <v>925</v>
      </c>
      <c r="D9" s="54">
        <v>40.0</v>
      </c>
      <c r="E9" s="51" t="s">
        <v>56</v>
      </c>
      <c r="F9" s="260">
        <v>894.0</v>
      </c>
      <c r="G9" s="58">
        <v>3.32</v>
      </c>
      <c r="H9" s="256">
        <f t="shared" si="1"/>
        <v>269.2771084</v>
      </c>
      <c r="I9" s="261">
        <v>894.0</v>
      </c>
      <c r="J9" s="252"/>
      <c r="K9" s="252"/>
      <c r="L9" s="252"/>
      <c r="M9" s="252"/>
      <c r="N9" s="252"/>
      <c r="O9" s="252"/>
    </row>
    <row r="10">
      <c r="A10" s="252"/>
      <c r="B10" s="253">
        <v>6.0</v>
      </c>
      <c r="C10" s="254" t="s">
        <v>927</v>
      </c>
      <c r="D10" s="54">
        <v>50.0</v>
      </c>
      <c r="E10" s="51">
        <v>2.0</v>
      </c>
      <c r="F10" s="260">
        <v>1234.0</v>
      </c>
      <c r="G10" s="58">
        <v>4.592</v>
      </c>
      <c r="H10" s="256">
        <f t="shared" si="1"/>
        <v>268.728223</v>
      </c>
      <c r="I10" s="261">
        <v>1234.0</v>
      </c>
      <c r="J10" s="252"/>
      <c r="K10" s="252"/>
      <c r="L10" s="252"/>
      <c r="M10" s="252"/>
      <c r="N10" s="252"/>
      <c r="O10" s="252"/>
    </row>
    <row r="11">
      <c r="A11" s="252"/>
      <c r="B11" s="253">
        <v>7.0</v>
      </c>
      <c r="C11" s="254" t="s">
        <v>928</v>
      </c>
      <c r="D11" s="83">
        <v>65.0</v>
      </c>
      <c r="E11" s="81" t="s">
        <v>69</v>
      </c>
      <c r="F11" s="258">
        <v>1965.0</v>
      </c>
      <c r="G11" s="58">
        <v>7.002</v>
      </c>
      <c r="H11" s="256">
        <f t="shared" si="1"/>
        <v>280.6341045</v>
      </c>
      <c r="I11" s="259">
        <v>1965.0</v>
      </c>
      <c r="J11" s="252"/>
      <c r="K11" s="252"/>
      <c r="L11" s="252"/>
      <c r="M11" s="252"/>
      <c r="N11" s="252"/>
      <c r="O11" s="252"/>
    </row>
    <row r="12">
      <c r="A12" s="252"/>
      <c r="B12" s="253">
        <v>8.0</v>
      </c>
      <c r="C12" s="254" t="s">
        <v>930</v>
      </c>
      <c r="D12" s="83">
        <v>80.0</v>
      </c>
      <c r="E12" s="81">
        <v>3.0</v>
      </c>
      <c r="F12" s="258">
        <v>2610.0</v>
      </c>
      <c r="G12" s="58">
        <v>9.3</v>
      </c>
      <c r="H12" s="256">
        <f t="shared" si="1"/>
        <v>280.6451613</v>
      </c>
      <c r="I12" s="259">
        <v>2610.0</v>
      </c>
      <c r="J12" s="252"/>
      <c r="K12" s="252"/>
      <c r="L12" s="252"/>
      <c r="M12" s="252"/>
      <c r="N12" s="252"/>
      <c r="O12" s="252"/>
    </row>
    <row r="13">
      <c r="A13" s="252"/>
      <c r="B13" s="253">
        <v>9.0</v>
      </c>
      <c r="C13" s="254" t="s">
        <v>931</v>
      </c>
      <c r="D13" s="83">
        <v>100.0</v>
      </c>
      <c r="E13" s="81">
        <v>4.0</v>
      </c>
      <c r="F13" s="258">
        <v>3810.0</v>
      </c>
      <c r="G13" s="58">
        <v>13.5</v>
      </c>
      <c r="H13" s="256">
        <f t="shared" si="1"/>
        <v>282.2222222</v>
      </c>
      <c r="I13" s="259">
        <v>3810.0</v>
      </c>
      <c r="J13" s="252"/>
      <c r="K13" s="252"/>
      <c r="L13" s="252"/>
      <c r="M13" s="252"/>
      <c r="N13" s="252"/>
      <c r="O13" s="252"/>
    </row>
    <row r="14">
      <c r="A14" s="252"/>
      <c r="B14" s="253">
        <v>10.0</v>
      </c>
      <c r="C14" s="254" t="s">
        <v>932</v>
      </c>
      <c r="D14" s="83">
        <v>150.0</v>
      </c>
      <c r="E14" s="81">
        <v>6.0</v>
      </c>
      <c r="F14" s="258">
        <v>7242.0</v>
      </c>
      <c r="G14" s="58">
        <v>25.5</v>
      </c>
      <c r="H14" s="256">
        <f t="shared" si="1"/>
        <v>284</v>
      </c>
      <c r="I14" s="259">
        <v>7242.0</v>
      </c>
      <c r="J14" s="252"/>
      <c r="K14" s="252"/>
      <c r="L14" s="252"/>
      <c r="M14" s="252"/>
      <c r="N14" s="252"/>
      <c r="O14" s="252"/>
    </row>
    <row r="15">
      <c r="A15" s="242"/>
      <c r="B15" s="262" t="s">
        <v>11</v>
      </c>
      <c r="C15" s="45"/>
      <c r="D15" s="45"/>
      <c r="E15" s="46"/>
      <c r="F15" s="263">
        <f>SUM(F5:F14)</f>
        <v>19657</v>
      </c>
      <c r="G15" s="264"/>
      <c r="H15" s="251"/>
      <c r="I15" s="263">
        <f>SUM(I5:I14)</f>
        <v>19657</v>
      </c>
      <c r="J15" s="252"/>
      <c r="K15" s="242"/>
      <c r="L15" s="242"/>
      <c r="M15" s="242"/>
      <c r="N15" s="242"/>
      <c r="O15" s="242"/>
    </row>
    <row r="16">
      <c r="A16" s="242"/>
      <c r="B16" s="265"/>
      <c r="C16" s="265"/>
      <c r="D16" s="265"/>
      <c r="E16" s="265"/>
      <c r="F16" s="265"/>
      <c r="G16" s="264"/>
      <c r="H16" s="251"/>
      <c r="I16" s="242"/>
      <c r="J16" s="252"/>
      <c r="K16" s="242"/>
      <c r="L16" s="242"/>
      <c r="M16" s="242"/>
      <c r="N16" s="242"/>
      <c r="O16" s="242"/>
    </row>
    <row r="17" ht="21.0" customHeight="1">
      <c r="A17" s="242"/>
      <c r="B17" s="249" t="s">
        <v>934</v>
      </c>
      <c r="C17" s="45"/>
      <c r="D17" s="45"/>
      <c r="E17" s="45"/>
      <c r="F17" s="46"/>
      <c r="G17" s="264"/>
      <c r="H17" s="251"/>
      <c r="I17" s="242"/>
      <c r="J17" s="252"/>
      <c r="K17" s="242"/>
      <c r="L17" s="242"/>
      <c r="M17" s="242"/>
      <c r="N17" s="242"/>
      <c r="O17" s="242"/>
    </row>
    <row r="18">
      <c r="A18" s="252"/>
      <c r="B18" s="266">
        <v>1.0</v>
      </c>
      <c r="C18" s="118" t="s">
        <v>935</v>
      </c>
      <c r="D18" s="93">
        <v>15.0</v>
      </c>
      <c r="E18" s="93" t="s">
        <v>43</v>
      </c>
      <c r="F18" s="258">
        <v>552.0</v>
      </c>
      <c r="G18" s="267">
        <f t="shared" ref="G18:G27" si="2">(G5/3)*6</f>
        <v>1.994</v>
      </c>
      <c r="H18" s="251"/>
      <c r="I18" s="257">
        <v>552.0</v>
      </c>
      <c r="J18" s="252"/>
      <c r="K18" s="242"/>
      <c r="L18" s="242"/>
      <c r="M18" s="242"/>
      <c r="N18" s="242"/>
      <c r="O18" s="242"/>
    </row>
    <row r="19">
      <c r="A19" s="252"/>
      <c r="B19" s="266">
        <v>2.0</v>
      </c>
      <c r="C19" s="118" t="s">
        <v>936</v>
      </c>
      <c r="D19" s="93">
        <v>20.0</v>
      </c>
      <c r="E19" s="93" t="s">
        <v>51</v>
      </c>
      <c r="F19" s="258">
        <v>726.0</v>
      </c>
      <c r="G19" s="267">
        <f t="shared" si="2"/>
        <v>2.698</v>
      </c>
      <c r="H19" s="251"/>
      <c r="I19" s="259">
        <v>726.0</v>
      </c>
      <c r="J19" s="252"/>
      <c r="K19" s="242"/>
      <c r="L19" s="242"/>
      <c r="M19" s="242"/>
      <c r="N19" s="242"/>
      <c r="O19" s="242"/>
    </row>
    <row r="20">
      <c r="A20" s="252"/>
      <c r="B20" s="266">
        <v>3.0</v>
      </c>
      <c r="C20" s="118" t="s">
        <v>937</v>
      </c>
      <c r="D20" s="93">
        <v>25.0</v>
      </c>
      <c r="E20" s="93">
        <v>1.0</v>
      </c>
      <c r="F20" s="258">
        <v>1062.0</v>
      </c>
      <c r="G20" s="267">
        <f t="shared" si="2"/>
        <v>3.962</v>
      </c>
      <c r="H20" s="251"/>
      <c r="I20" s="259">
        <v>1062.0</v>
      </c>
      <c r="J20" s="252"/>
      <c r="K20" s="242"/>
      <c r="L20" s="242"/>
      <c r="M20" s="242"/>
      <c r="N20" s="242"/>
      <c r="O20" s="242"/>
    </row>
    <row r="21">
      <c r="A21" s="252"/>
      <c r="B21" s="266">
        <v>4.0</v>
      </c>
      <c r="C21" s="118" t="s">
        <v>938</v>
      </c>
      <c r="D21" s="93">
        <v>32.0</v>
      </c>
      <c r="E21" s="93" t="s">
        <v>55</v>
      </c>
      <c r="F21" s="258">
        <v>1464.0</v>
      </c>
      <c r="G21" s="267">
        <f t="shared" si="2"/>
        <v>5.472</v>
      </c>
      <c r="H21" s="251"/>
      <c r="I21" s="259">
        <v>1464.0</v>
      </c>
      <c r="J21" s="252"/>
      <c r="K21" s="242"/>
      <c r="L21" s="242"/>
      <c r="M21" s="242"/>
      <c r="N21" s="242"/>
      <c r="O21" s="242"/>
    </row>
    <row r="22">
      <c r="A22" s="252"/>
      <c r="B22" s="266">
        <v>5.0</v>
      </c>
      <c r="C22" s="118" t="s">
        <v>939</v>
      </c>
      <c r="D22" s="93">
        <v>40.0</v>
      </c>
      <c r="E22" s="93" t="s">
        <v>56</v>
      </c>
      <c r="F22" s="258">
        <v>1788.0</v>
      </c>
      <c r="G22" s="267">
        <f t="shared" si="2"/>
        <v>6.64</v>
      </c>
      <c r="H22" s="251"/>
      <c r="I22" s="259">
        <v>1788.0</v>
      </c>
      <c r="J22" s="252"/>
      <c r="K22" s="242"/>
      <c r="L22" s="242"/>
      <c r="M22" s="242"/>
      <c r="N22" s="242"/>
      <c r="O22" s="242"/>
    </row>
    <row r="23">
      <c r="A23" s="252"/>
      <c r="B23" s="266">
        <v>6.0</v>
      </c>
      <c r="C23" s="118" t="s">
        <v>940</v>
      </c>
      <c r="D23" s="93">
        <v>50.0</v>
      </c>
      <c r="E23" s="93">
        <v>2.0</v>
      </c>
      <c r="F23" s="258">
        <v>2468.0</v>
      </c>
      <c r="G23" s="267">
        <f t="shared" si="2"/>
        <v>9.184</v>
      </c>
      <c r="H23" s="251"/>
      <c r="I23" s="259">
        <v>2468.0</v>
      </c>
      <c r="J23" s="252"/>
      <c r="K23" s="242"/>
      <c r="L23" s="242"/>
      <c r="M23" s="242"/>
      <c r="N23" s="242"/>
      <c r="O23" s="242"/>
    </row>
    <row r="24">
      <c r="A24" s="252"/>
      <c r="B24" s="266">
        <v>7.0</v>
      </c>
      <c r="C24" s="118" t="s">
        <v>941</v>
      </c>
      <c r="D24" s="101">
        <v>65.0</v>
      </c>
      <c r="E24" s="93" t="s">
        <v>69</v>
      </c>
      <c r="F24" s="258">
        <v>3930.0</v>
      </c>
      <c r="G24" s="267">
        <f t="shared" si="2"/>
        <v>14.004</v>
      </c>
      <c r="H24" s="251"/>
      <c r="I24" s="259">
        <v>3930.0</v>
      </c>
      <c r="J24" s="252"/>
      <c r="K24" s="242"/>
      <c r="L24" s="242"/>
      <c r="M24" s="242"/>
      <c r="N24" s="242"/>
      <c r="O24" s="242"/>
    </row>
    <row r="25">
      <c r="A25" s="252"/>
      <c r="B25" s="266">
        <v>8.0</v>
      </c>
      <c r="C25" s="118" t="s">
        <v>942</v>
      </c>
      <c r="D25" s="101">
        <v>80.0</v>
      </c>
      <c r="E25" s="93">
        <v>3.0</v>
      </c>
      <c r="F25" s="258">
        <v>5220.0</v>
      </c>
      <c r="G25" s="267">
        <f t="shared" si="2"/>
        <v>18.6</v>
      </c>
      <c r="H25" s="251"/>
      <c r="I25" s="259">
        <v>5220.0</v>
      </c>
      <c r="J25" s="252"/>
      <c r="K25" s="242"/>
      <c r="L25" s="242"/>
      <c r="M25" s="242"/>
      <c r="N25" s="242"/>
      <c r="O25" s="242"/>
    </row>
    <row r="26">
      <c r="A26" s="252"/>
      <c r="B26" s="266">
        <v>9.0</v>
      </c>
      <c r="C26" s="118" t="s">
        <v>943</v>
      </c>
      <c r="D26" s="101">
        <v>100.0</v>
      </c>
      <c r="E26" s="93">
        <v>4.0</v>
      </c>
      <c r="F26" s="258">
        <v>7620.0</v>
      </c>
      <c r="G26" s="267">
        <f t="shared" si="2"/>
        <v>27</v>
      </c>
      <c r="H26" s="251"/>
      <c r="I26" s="259">
        <v>7620.0</v>
      </c>
      <c r="J26" s="252"/>
      <c r="K26" s="242"/>
      <c r="L26" s="242"/>
      <c r="M26" s="242"/>
      <c r="N26" s="242"/>
      <c r="O26" s="242"/>
    </row>
    <row r="27">
      <c r="A27" s="252"/>
      <c r="B27" s="266">
        <v>10.0</v>
      </c>
      <c r="C27" s="118" t="s">
        <v>944</v>
      </c>
      <c r="D27" s="101">
        <v>150.0</v>
      </c>
      <c r="E27" s="93">
        <v>6.0</v>
      </c>
      <c r="F27" s="258">
        <v>14484.0</v>
      </c>
      <c r="G27" s="267">
        <f t="shared" si="2"/>
        <v>51</v>
      </c>
      <c r="H27" s="251"/>
      <c r="I27" s="259">
        <v>14484.0</v>
      </c>
      <c r="J27" s="252"/>
      <c r="K27" s="242"/>
      <c r="L27" s="242"/>
      <c r="M27" s="242"/>
      <c r="N27" s="242"/>
      <c r="O27" s="242"/>
    </row>
    <row r="28" ht="18.75" customHeight="1">
      <c r="A28" s="242"/>
      <c r="B28" s="268" t="s">
        <v>11</v>
      </c>
      <c r="C28" s="269"/>
      <c r="D28" s="269"/>
      <c r="E28" s="270"/>
      <c r="F28" s="263">
        <f>SUM(F18:F27)</f>
        <v>39314</v>
      </c>
      <c r="G28" s="264"/>
      <c r="H28" s="251"/>
      <c r="I28" s="263">
        <f>SUM(I18:I27)</f>
        <v>39314</v>
      </c>
      <c r="J28" s="252"/>
      <c r="K28" s="242"/>
      <c r="L28" s="242"/>
      <c r="M28" s="242"/>
      <c r="N28" s="242"/>
      <c r="O28" s="242"/>
    </row>
    <row r="29">
      <c r="A29" s="242"/>
      <c r="B29" s="271"/>
      <c r="C29" s="271"/>
      <c r="D29" s="271"/>
      <c r="E29" s="271"/>
      <c r="F29" s="271"/>
      <c r="G29" s="264"/>
      <c r="H29" s="251"/>
      <c r="I29" s="242"/>
      <c r="J29" s="252"/>
      <c r="K29" s="242"/>
      <c r="L29" s="242"/>
      <c r="M29" s="242"/>
      <c r="N29" s="242"/>
      <c r="O29" s="242"/>
    </row>
    <row r="30">
      <c r="A30" s="242"/>
      <c r="B30" s="272" t="s">
        <v>946</v>
      </c>
      <c r="C30" s="273"/>
      <c r="D30" s="273"/>
      <c r="E30" s="273"/>
      <c r="F30" s="180"/>
      <c r="G30" s="264"/>
      <c r="H30" s="251"/>
      <c r="I30" s="242"/>
      <c r="J30" s="252"/>
      <c r="K30" s="242"/>
      <c r="L30" s="242"/>
      <c r="M30" s="242"/>
      <c r="N30" s="242"/>
      <c r="O30" s="242"/>
    </row>
    <row r="31">
      <c r="A31" s="252"/>
      <c r="B31" s="253">
        <v>1.0</v>
      </c>
      <c r="C31" s="274" t="s">
        <v>947</v>
      </c>
      <c r="D31" s="54">
        <v>15.0</v>
      </c>
      <c r="E31" s="51" t="s">
        <v>43</v>
      </c>
      <c r="F31" s="255">
        <v>282.0</v>
      </c>
      <c r="G31" s="58">
        <v>0.983</v>
      </c>
      <c r="H31" s="256">
        <f t="shared" ref="H31:H36" si="3">IFERROR(F31/G31,"")</f>
        <v>286.8769074</v>
      </c>
      <c r="I31" s="257">
        <v>282.0</v>
      </c>
      <c r="J31" s="252"/>
      <c r="K31" s="242"/>
      <c r="L31" s="242"/>
      <c r="M31" s="242"/>
      <c r="N31" s="242"/>
      <c r="O31" s="242"/>
    </row>
    <row r="32">
      <c r="A32" s="252"/>
      <c r="B32" s="275">
        <v>2.0</v>
      </c>
      <c r="C32" s="276" t="s">
        <v>948</v>
      </c>
      <c r="D32" s="54">
        <v>20.0</v>
      </c>
      <c r="E32" s="150" t="s">
        <v>51</v>
      </c>
      <c r="F32" s="258">
        <v>372.0</v>
      </c>
      <c r="G32" s="58">
        <v>1.331</v>
      </c>
      <c r="H32" s="256">
        <f t="shared" si="3"/>
        <v>279.4891059</v>
      </c>
      <c r="I32" s="259">
        <v>372.0</v>
      </c>
      <c r="J32" s="252"/>
      <c r="K32" s="242"/>
      <c r="L32" s="242"/>
      <c r="M32" s="242"/>
      <c r="N32" s="242"/>
      <c r="O32" s="242"/>
    </row>
    <row r="33">
      <c r="A33" s="252"/>
      <c r="B33" s="275">
        <v>3.0</v>
      </c>
      <c r="C33" s="276" t="s">
        <v>949</v>
      </c>
      <c r="D33" s="54">
        <v>25.0</v>
      </c>
      <c r="E33" s="150">
        <v>1.0</v>
      </c>
      <c r="F33" s="258">
        <v>543.0</v>
      </c>
      <c r="G33" s="58">
        <v>1.956</v>
      </c>
      <c r="H33" s="256">
        <f t="shared" si="3"/>
        <v>277.607362</v>
      </c>
      <c r="I33" s="259">
        <v>543.0</v>
      </c>
      <c r="J33" s="252"/>
      <c r="K33" s="242"/>
      <c r="L33" s="242"/>
      <c r="M33" s="242"/>
      <c r="N33" s="242"/>
      <c r="O33" s="242"/>
    </row>
    <row r="34">
      <c r="A34" s="252"/>
      <c r="B34" s="275">
        <v>4.0</v>
      </c>
      <c r="C34" s="276" t="s">
        <v>950</v>
      </c>
      <c r="D34" s="54">
        <v>32.0</v>
      </c>
      <c r="E34" s="150" t="s">
        <v>55</v>
      </c>
      <c r="F34" s="258">
        <v>744.0</v>
      </c>
      <c r="G34" s="58">
        <v>2.7</v>
      </c>
      <c r="H34" s="256">
        <f t="shared" si="3"/>
        <v>275.5555556</v>
      </c>
      <c r="I34" s="259">
        <v>744.0</v>
      </c>
      <c r="J34" s="252"/>
      <c r="K34" s="242"/>
      <c r="L34" s="242"/>
      <c r="M34" s="242"/>
      <c r="N34" s="242"/>
      <c r="O34" s="242"/>
    </row>
    <row r="35">
      <c r="A35" s="252"/>
      <c r="B35" s="275">
        <v>5.0</v>
      </c>
      <c r="C35" s="276" t="s">
        <v>951</v>
      </c>
      <c r="D35" s="54">
        <v>40.0</v>
      </c>
      <c r="E35" s="150" t="s">
        <v>56</v>
      </c>
      <c r="F35" s="258">
        <v>906.0</v>
      </c>
      <c r="G35" s="58">
        <v>3.275</v>
      </c>
      <c r="H35" s="256">
        <f t="shared" si="3"/>
        <v>276.6412214</v>
      </c>
      <c r="I35" s="259">
        <v>906.0</v>
      </c>
      <c r="J35" s="252"/>
      <c r="K35" s="242"/>
      <c r="L35" s="242"/>
      <c r="M35" s="242"/>
      <c r="N35" s="242"/>
      <c r="O35" s="242"/>
    </row>
    <row r="36">
      <c r="A36" s="252"/>
      <c r="B36" s="277">
        <v>6.0</v>
      </c>
      <c r="C36" s="276" t="s">
        <v>952</v>
      </c>
      <c r="D36" s="54">
        <v>50.0</v>
      </c>
      <c r="E36" s="150">
        <v>2.0</v>
      </c>
      <c r="F36" s="258">
        <v>1250.0</v>
      </c>
      <c r="G36" s="58">
        <v>4.531</v>
      </c>
      <c r="H36" s="256">
        <f t="shared" si="3"/>
        <v>275.8772898</v>
      </c>
      <c r="I36" s="259">
        <v>1250.0</v>
      </c>
      <c r="J36" s="252"/>
      <c r="K36" s="242"/>
      <c r="L36" s="242"/>
      <c r="M36" s="242"/>
      <c r="N36" s="242"/>
      <c r="O36" s="242"/>
    </row>
    <row r="37">
      <c r="A37" s="242"/>
      <c r="B37" s="262" t="s">
        <v>11</v>
      </c>
      <c r="C37" s="45"/>
      <c r="D37" s="45"/>
      <c r="E37" s="46"/>
      <c r="F37" s="263">
        <f>SUM(F31:F36)</f>
        <v>4097</v>
      </c>
      <c r="G37" s="250"/>
      <c r="H37" s="251"/>
      <c r="I37" s="263">
        <f>SUM(I31:I36)</f>
        <v>4097</v>
      </c>
      <c r="J37" s="252"/>
      <c r="K37" s="242"/>
      <c r="L37" s="242"/>
      <c r="M37" s="242"/>
      <c r="N37" s="242"/>
      <c r="O37" s="242"/>
    </row>
    <row r="38">
      <c r="A38" s="242"/>
      <c r="B38" s="242"/>
      <c r="C38" s="243"/>
      <c r="D38" s="242"/>
      <c r="E38" s="242"/>
      <c r="F38" s="242"/>
      <c r="G38" s="250"/>
      <c r="H38" s="251"/>
      <c r="I38" s="242"/>
      <c r="J38" s="252"/>
      <c r="K38" s="242"/>
      <c r="L38" s="242"/>
      <c r="M38" s="242"/>
      <c r="N38" s="242"/>
      <c r="O38" s="242"/>
    </row>
    <row r="39">
      <c r="A39" s="242"/>
      <c r="B39" s="278" t="s">
        <v>129</v>
      </c>
      <c r="C39" s="45"/>
      <c r="D39" s="45"/>
      <c r="E39" s="45"/>
      <c r="F39" s="46"/>
      <c r="G39" s="250"/>
      <c r="H39" s="251"/>
      <c r="I39" s="242"/>
      <c r="J39" s="252"/>
      <c r="K39" s="242"/>
      <c r="L39" s="242"/>
      <c r="M39" s="242"/>
      <c r="N39" s="242"/>
      <c r="O39" s="242"/>
    </row>
    <row r="40">
      <c r="A40" s="242"/>
      <c r="B40" s="279">
        <v>11.0</v>
      </c>
      <c r="C40" s="254" t="s">
        <v>954</v>
      </c>
      <c r="D40" s="93">
        <v>15.0</v>
      </c>
      <c r="E40" s="93" t="s">
        <v>43</v>
      </c>
      <c r="F40" s="255">
        <v>207.0</v>
      </c>
      <c r="G40" s="58">
        <v>0.776</v>
      </c>
      <c r="H40" s="256">
        <f t="shared" ref="H40:H49" si="4">IFERROR(F40/G40,"")</f>
        <v>266.7525773</v>
      </c>
      <c r="I40" s="257">
        <v>207.0</v>
      </c>
      <c r="J40" s="252"/>
      <c r="K40" s="242"/>
      <c r="L40" s="242"/>
      <c r="M40" s="242"/>
      <c r="N40" s="242"/>
      <c r="O40" s="242"/>
    </row>
    <row r="41">
      <c r="A41" s="242"/>
      <c r="B41" s="279">
        <v>12.0</v>
      </c>
      <c r="C41" s="254" t="s">
        <v>957</v>
      </c>
      <c r="D41" s="93">
        <v>20.0</v>
      </c>
      <c r="E41" s="93" t="s">
        <v>51</v>
      </c>
      <c r="F41" s="258">
        <v>279.0</v>
      </c>
      <c r="G41" s="58">
        <v>1.029</v>
      </c>
      <c r="H41" s="256">
        <f t="shared" si="4"/>
        <v>271.1370262</v>
      </c>
      <c r="I41" s="259">
        <v>279.0</v>
      </c>
      <c r="J41" s="252"/>
      <c r="K41" s="242"/>
      <c r="L41" s="242"/>
      <c r="M41" s="242"/>
      <c r="N41" s="242"/>
      <c r="O41" s="242"/>
    </row>
    <row r="42">
      <c r="A42" s="242"/>
      <c r="B42" s="279">
        <v>13.0</v>
      </c>
      <c r="C42" s="254" t="s">
        <v>958</v>
      </c>
      <c r="D42" s="93">
        <v>25.0</v>
      </c>
      <c r="E42" s="93">
        <v>1.0</v>
      </c>
      <c r="F42" s="258">
        <v>397.0</v>
      </c>
      <c r="G42" s="58">
        <v>1.519</v>
      </c>
      <c r="H42" s="256">
        <f t="shared" si="4"/>
        <v>261.3561554</v>
      </c>
      <c r="I42" s="259">
        <v>397.0</v>
      </c>
      <c r="J42" s="252"/>
      <c r="K42" s="242"/>
      <c r="L42" s="242"/>
      <c r="M42" s="242"/>
      <c r="N42" s="242"/>
      <c r="O42" s="242"/>
    </row>
    <row r="43">
      <c r="A43" s="242"/>
      <c r="B43" s="279">
        <v>14.0</v>
      </c>
      <c r="C43" s="254" t="s">
        <v>959</v>
      </c>
      <c r="D43" s="93">
        <v>32.0</v>
      </c>
      <c r="E43" s="93" t="s">
        <v>55</v>
      </c>
      <c r="F43" s="258">
        <v>549.0</v>
      </c>
      <c r="G43" s="58">
        <v>2.053</v>
      </c>
      <c r="H43" s="256">
        <f t="shared" si="4"/>
        <v>267.4135412</v>
      </c>
      <c r="I43" s="259">
        <v>549.0</v>
      </c>
      <c r="J43" s="252"/>
      <c r="K43" s="242"/>
      <c r="L43" s="242"/>
      <c r="M43" s="242"/>
      <c r="N43" s="242"/>
      <c r="O43" s="242"/>
    </row>
    <row r="44">
      <c r="A44" s="242"/>
      <c r="B44" s="279">
        <v>15.0</v>
      </c>
      <c r="C44" s="254" t="s">
        <v>960</v>
      </c>
      <c r="D44" s="93">
        <v>40.0</v>
      </c>
      <c r="E44" s="93" t="s">
        <v>56</v>
      </c>
      <c r="F44" s="258">
        <v>661.0</v>
      </c>
      <c r="G44" s="58">
        <v>2.449</v>
      </c>
      <c r="H44" s="256">
        <f t="shared" si="4"/>
        <v>269.9060841</v>
      </c>
      <c r="I44" s="259">
        <v>661.0</v>
      </c>
      <c r="J44" s="252"/>
      <c r="K44" s="242"/>
      <c r="L44" s="242"/>
      <c r="M44" s="242"/>
      <c r="N44" s="242"/>
      <c r="O44" s="242"/>
    </row>
    <row r="45">
      <c r="A45" s="242"/>
      <c r="B45" s="279">
        <v>16.0</v>
      </c>
      <c r="C45" s="254" t="s">
        <v>963</v>
      </c>
      <c r="D45" s="93">
        <v>50.0</v>
      </c>
      <c r="E45" s="93">
        <v>2.0</v>
      </c>
      <c r="F45" s="258">
        <v>877.0</v>
      </c>
      <c r="G45" s="58">
        <v>3.285</v>
      </c>
      <c r="H45" s="256">
        <f t="shared" si="4"/>
        <v>266.9710807</v>
      </c>
      <c r="I45" s="259">
        <v>877.0</v>
      </c>
      <c r="J45" s="252"/>
      <c r="K45" s="242"/>
      <c r="L45" s="242"/>
      <c r="M45" s="242"/>
      <c r="N45" s="242"/>
      <c r="O45" s="242"/>
    </row>
    <row r="46">
      <c r="A46" s="242"/>
      <c r="B46" s="279">
        <v>17.0</v>
      </c>
      <c r="C46" s="254" t="s">
        <v>964</v>
      </c>
      <c r="D46" s="101">
        <v>65.0</v>
      </c>
      <c r="E46" s="93" t="s">
        <v>69</v>
      </c>
      <c r="F46" s="258">
        <v>1461.0</v>
      </c>
      <c r="G46" s="58">
        <v>5.2</v>
      </c>
      <c r="H46" s="256">
        <f t="shared" si="4"/>
        <v>280.9615385</v>
      </c>
      <c r="I46" s="259">
        <v>1461.0</v>
      </c>
      <c r="J46" s="252"/>
      <c r="K46" s="242"/>
      <c r="L46" s="242"/>
      <c r="M46" s="242"/>
      <c r="N46" s="242"/>
      <c r="O46" s="242"/>
    </row>
    <row r="47">
      <c r="A47" s="242"/>
      <c r="B47" s="279">
        <v>18.0</v>
      </c>
      <c r="C47" s="254" t="s">
        <v>965</v>
      </c>
      <c r="D47" s="101">
        <v>80.0</v>
      </c>
      <c r="E47" s="93">
        <v>3.0</v>
      </c>
      <c r="F47" s="258">
        <v>1917.0</v>
      </c>
      <c r="G47" s="58">
        <v>6.8</v>
      </c>
      <c r="H47" s="256">
        <f t="shared" si="4"/>
        <v>281.9117647</v>
      </c>
      <c r="I47" s="259">
        <v>1917.0</v>
      </c>
      <c r="J47" s="252"/>
      <c r="K47" s="242"/>
      <c r="L47" s="242"/>
      <c r="M47" s="242"/>
      <c r="N47" s="242"/>
      <c r="O47" s="242"/>
    </row>
    <row r="48">
      <c r="A48" s="242"/>
      <c r="B48" s="279">
        <v>19.0</v>
      </c>
      <c r="C48" s="254" t="s">
        <v>966</v>
      </c>
      <c r="D48" s="101">
        <v>100.0</v>
      </c>
      <c r="E48" s="93">
        <v>4.0</v>
      </c>
      <c r="F48" s="258">
        <v>2727.0</v>
      </c>
      <c r="G48" s="58">
        <v>9.7</v>
      </c>
      <c r="H48" s="256">
        <f t="shared" si="4"/>
        <v>281.1340206</v>
      </c>
      <c r="I48" s="259">
        <v>2727.0</v>
      </c>
      <c r="J48" s="252"/>
      <c r="K48" s="242"/>
      <c r="L48" s="242"/>
      <c r="M48" s="242"/>
      <c r="N48" s="242"/>
      <c r="O48" s="242"/>
    </row>
    <row r="49">
      <c r="A49" s="242"/>
      <c r="B49" s="279">
        <v>20.0</v>
      </c>
      <c r="C49" s="254" t="s">
        <v>969</v>
      </c>
      <c r="D49" s="101">
        <v>150.0</v>
      </c>
      <c r="E49" s="93">
        <v>6.0</v>
      </c>
      <c r="F49" s="258">
        <v>4791.0</v>
      </c>
      <c r="G49" s="58">
        <v>17.1</v>
      </c>
      <c r="H49" s="256">
        <f t="shared" si="4"/>
        <v>280.1754386</v>
      </c>
      <c r="I49" s="259">
        <v>4791.0</v>
      </c>
      <c r="J49" s="252"/>
      <c r="K49" s="242"/>
      <c r="L49" s="242"/>
      <c r="M49" s="242"/>
      <c r="N49" s="242"/>
      <c r="O49" s="242"/>
    </row>
    <row r="50">
      <c r="A50" s="242"/>
      <c r="B50" s="262" t="s">
        <v>11</v>
      </c>
      <c r="C50" s="45"/>
      <c r="D50" s="45"/>
      <c r="E50" s="46"/>
      <c r="F50" s="263">
        <f>SUM(F40:F49)</f>
        <v>13866</v>
      </c>
      <c r="G50" s="280"/>
      <c r="H50" s="13"/>
      <c r="I50" s="263">
        <f>SUM(I40:I49)</f>
        <v>13866</v>
      </c>
      <c r="J50" s="252"/>
      <c r="K50" s="242"/>
      <c r="L50" s="242"/>
      <c r="M50" s="242"/>
      <c r="N50" s="242"/>
      <c r="O50" s="242"/>
    </row>
    <row r="51">
      <c r="A51" s="242"/>
      <c r="B51" s="242"/>
      <c r="C51" s="243"/>
      <c r="D51" s="242"/>
      <c r="E51" s="242"/>
      <c r="F51" s="242"/>
      <c r="G51" s="250"/>
      <c r="H51" s="251"/>
      <c r="I51" s="242"/>
      <c r="J51" s="252"/>
      <c r="K51" s="242"/>
      <c r="L51" s="242"/>
      <c r="M51" s="242"/>
      <c r="N51" s="242"/>
      <c r="O51" s="242"/>
    </row>
    <row r="52">
      <c r="A52" s="242"/>
      <c r="B52" s="278" t="s">
        <v>972</v>
      </c>
      <c r="C52" s="45"/>
      <c r="D52" s="45"/>
      <c r="E52" s="45"/>
      <c r="F52" s="46"/>
      <c r="G52" s="250"/>
      <c r="H52" s="251"/>
      <c r="I52" s="242"/>
      <c r="J52" s="252"/>
      <c r="K52" s="242"/>
      <c r="L52" s="242"/>
      <c r="M52" s="242"/>
      <c r="N52" s="242"/>
      <c r="O52" s="242"/>
    </row>
    <row r="53">
      <c r="A53" s="242"/>
      <c r="B53" s="281">
        <v>11.0</v>
      </c>
      <c r="C53" s="282" t="s">
        <v>973</v>
      </c>
      <c r="D53" s="93">
        <v>15.0</v>
      </c>
      <c r="E53" s="93" t="s">
        <v>43</v>
      </c>
      <c r="F53" s="258">
        <v>414.0</v>
      </c>
      <c r="G53" s="267">
        <f t="shared" ref="G53:G62" si="5">(G40/3)*6</f>
        <v>1.552</v>
      </c>
      <c r="H53" s="251"/>
      <c r="I53" s="257">
        <v>414.0</v>
      </c>
      <c r="J53" s="252"/>
      <c r="K53" s="242"/>
      <c r="L53" s="242"/>
      <c r="M53" s="242"/>
      <c r="N53" s="242"/>
      <c r="O53" s="242"/>
    </row>
    <row r="54">
      <c r="A54" s="242"/>
      <c r="B54" s="266">
        <v>12.0</v>
      </c>
      <c r="C54" s="118" t="s">
        <v>976</v>
      </c>
      <c r="D54" s="93">
        <v>20.0</v>
      </c>
      <c r="E54" s="93" t="s">
        <v>51</v>
      </c>
      <c r="F54" s="258">
        <v>558.0</v>
      </c>
      <c r="G54" s="267">
        <f t="shared" si="5"/>
        <v>2.058</v>
      </c>
      <c r="H54" s="251"/>
      <c r="I54" s="259">
        <v>558.0</v>
      </c>
      <c r="J54" s="252"/>
      <c r="K54" s="242"/>
      <c r="L54" s="242"/>
      <c r="M54" s="242"/>
      <c r="N54" s="242"/>
      <c r="O54" s="242"/>
    </row>
    <row r="55">
      <c r="A55" s="242"/>
      <c r="B55" s="266">
        <v>13.0</v>
      </c>
      <c r="C55" s="118" t="s">
        <v>977</v>
      </c>
      <c r="D55" s="93">
        <v>25.0</v>
      </c>
      <c r="E55" s="93">
        <v>1.0</v>
      </c>
      <c r="F55" s="258">
        <v>794.0</v>
      </c>
      <c r="G55" s="267">
        <f t="shared" si="5"/>
        <v>3.038</v>
      </c>
      <c r="H55" s="251"/>
      <c r="I55" s="259">
        <v>794.0</v>
      </c>
      <c r="J55" s="252"/>
      <c r="K55" s="242"/>
      <c r="L55" s="242"/>
      <c r="M55" s="242"/>
      <c r="N55" s="242"/>
      <c r="O55" s="242"/>
    </row>
    <row r="56">
      <c r="A56" s="242"/>
      <c r="B56" s="266">
        <v>14.0</v>
      </c>
      <c r="C56" s="118" t="s">
        <v>978</v>
      </c>
      <c r="D56" s="93">
        <v>32.0</v>
      </c>
      <c r="E56" s="93" t="s">
        <v>55</v>
      </c>
      <c r="F56" s="258">
        <v>1098.0</v>
      </c>
      <c r="G56" s="267">
        <f t="shared" si="5"/>
        <v>4.106</v>
      </c>
      <c r="H56" s="251"/>
      <c r="I56" s="259">
        <v>1098.0</v>
      </c>
      <c r="J56" s="252"/>
      <c r="K56" s="242"/>
      <c r="L56" s="242"/>
      <c r="M56" s="242"/>
      <c r="N56" s="242"/>
      <c r="O56" s="242"/>
    </row>
    <row r="57">
      <c r="A57" s="242"/>
      <c r="B57" s="266">
        <v>15.0</v>
      </c>
      <c r="C57" s="118" t="s">
        <v>981</v>
      </c>
      <c r="D57" s="93">
        <v>40.0</v>
      </c>
      <c r="E57" s="93" t="s">
        <v>56</v>
      </c>
      <c r="F57" s="258">
        <v>1322.0</v>
      </c>
      <c r="G57" s="267">
        <f t="shared" si="5"/>
        <v>4.898</v>
      </c>
      <c r="H57" s="251"/>
      <c r="I57" s="259">
        <v>1322.0</v>
      </c>
      <c r="J57" s="252"/>
      <c r="K57" s="242"/>
      <c r="L57" s="242"/>
      <c r="M57" s="242"/>
      <c r="N57" s="242"/>
      <c r="O57" s="242"/>
    </row>
    <row r="58">
      <c r="A58" s="242"/>
      <c r="B58" s="266">
        <v>16.0</v>
      </c>
      <c r="C58" s="118" t="s">
        <v>983</v>
      </c>
      <c r="D58" s="93">
        <v>50.0</v>
      </c>
      <c r="E58" s="93">
        <v>2.0</v>
      </c>
      <c r="F58" s="258">
        <v>1754.0</v>
      </c>
      <c r="G58" s="267">
        <f t="shared" si="5"/>
        <v>6.57</v>
      </c>
      <c r="H58" s="251"/>
      <c r="I58" s="259">
        <v>1754.0</v>
      </c>
      <c r="J58" s="252"/>
      <c r="K58" s="242"/>
      <c r="L58" s="242"/>
      <c r="M58" s="242"/>
      <c r="N58" s="242"/>
      <c r="O58" s="242"/>
    </row>
    <row r="59">
      <c r="A59" s="242"/>
      <c r="B59" s="266">
        <v>17.0</v>
      </c>
      <c r="C59" s="118" t="s">
        <v>984</v>
      </c>
      <c r="D59" s="101">
        <v>65.0</v>
      </c>
      <c r="E59" s="93" t="s">
        <v>69</v>
      </c>
      <c r="F59" s="258">
        <v>2922.0</v>
      </c>
      <c r="G59" s="267">
        <f t="shared" si="5"/>
        <v>10.4</v>
      </c>
      <c r="H59" s="251"/>
      <c r="I59" s="259">
        <v>2922.0</v>
      </c>
      <c r="J59" s="252"/>
      <c r="K59" s="242"/>
      <c r="L59" s="242"/>
      <c r="M59" s="242"/>
      <c r="N59" s="242"/>
      <c r="O59" s="242"/>
    </row>
    <row r="60">
      <c r="A60" s="242"/>
      <c r="B60" s="266">
        <v>18.0</v>
      </c>
      <c r="C60" s="118" t="s">
        <v>985</v>
      </c>
      <c r="D60" s="101">
        <v>80.0</v>
      </c>
      <c r="E60" s="93">
        <v>3.0</v>
      </c>
      <c r="F60" s="258">
        <v>3834.0</v>
      </c>
      <c r="G60" s="267">
        <f t="shared" si="5"/>
        <v>13.6</v>
      </c>
      <c r="H60" s="251"/>
      <c r="I60" s="259">
        <v>3834.0</v>
      </c>
      <c r="J60" s="252"/>
      <c r="K60" s="242"/>
      <c r="L60" s="242"/>
      <c r="M60" s="242"/>
      <c r="N60" s="242"/>
      <c r="O60" s="242"/>
    </row>
    <row r="61">
      <c r="A61" s="242"/>
      <c r="B61" s="266">
        <v>19.0</v>
      </c>
      <c r="C61" s="118" t="s">
        <v>988</v>
      </c>
      <c r="D61" s="101">
        <v>100.0</v>
      </c>
      <c r="E61" s="93">
        <v>4.0</v>
      </c>
      <c r="F61" s="258">
        <v>5454.0</v>
      </c>
      <c r="G61" s="267">
        <f t="shared" si="5"/>
        <v>19.4</v>
      </c>
      <c r="H61" s="251"/>
      <c r="I61" s="259">
        <v>5454.0</v>
      </c>
      <c r="J61" s="252"/>
      <c r="K61" s="242"/>
      <c r="L61" s="242"/>
      <c r="M61" s="242"/>
      <c r="N61" s="242"/>
      <c r="O61" s="242"/>
    </row>
    <row r="62">
      <c r="A62" s="242"/>
      <c r="B62" s="266">
        <v>20.0</v>
      </c>
      <c r="C62" s="118" t="s">
        <v>989</v>
      </c>
      <c r="D62" s="101">
        <v>150.0</v>
      </c>
      <c r="E62" s="93">
        <v>6.0</v>
      </c>
      <c r="F62" s="258">
        <v>9582.0</v>
      </c>
      <c r="G62" s="267">
        <f t="shared" si="5"/>
        <v>34.2</v>
      </c>
      <c r="H62" s="251"/>
      <c r="I62" s="259">
        <v>9582.0</v>
      </c>
      <c r="J62" s="252"/>
      <c r="K62" s="242"/>
      <c r="L62" s="242"/>
      <c r="M62" s="242"/>
      <c r="N62" s="242"/>
      <c r="O62" s="242"/>
    </row>
    <row r="63">
      <c r="A63" s="242"/>
      <c r="B63" s="262" t="s">
        <v>11</v>
      </c>
      <c r="C63" s="45"/>
      <c r="D63" s="45"/>
      <c r="E63" s="46"/>
      <c r="F63" s="263">
        <f>SUM(F53:F62)</f>
        <v>27732</v>
      </c>
      <c r="G63" s="250"/>
      <c r="H63" s="251"/>
      <c r="I63" s="263">
        <f>SUM(I53:I62)</f>
        <v>27732</v>
      </c>
      <c r="J63" s="252"/>
      <c r="K63" s="242"/>
      <c r="L63" s="242"/>
      <c r="M63" s="242"/>
      <c r="N63" s="242"/>
      <c r="O63" s="242"/>
    </row>
    <row r="64">
      <c r="A64" s="242"/>
      <c r="B64" s="242"/>
      <c r="C64" s="243"/>
      <c r="D64" s="242"/>
      <c r="E64" s="242"/>
      <c r="F64" s="242"/>
      <c r="G64" s="250"/>
      <c r="H64" s="251"/>
      <c r="I64" s="242"/>
      <c r="J64" s="252"/>
      <c r="K64" s="242"/>
      <c r="L64" s="242"/>
      <c r="M64" s="242"/>
      <c r="N64" s="242"/>
      <c r="O64" s="242"/>
    </row>
    <row r="65">
      <c r="A65" s="242"/>
      <c r="B65" s="283" t="s">
        <v>992</v>
      </c>
      <c r="C65" s="45"/>
      <c r="D65" s="45"/>
      <c r="E65" s="45"/>
      <c r="F65" s="46"/>
      <c r="G65" s="250"/>
      <c r="H65" s="251"/>
      <c r="I65" s="242"/>
      <c r="J65" s="252"/>
      <c r="K65" s="242"/>
      <c r="L65" s="242"/>
      <c r="M65" s="242"/>
      <c r="N65" s="242"/>
      <c r="O65" s="242"/>
    </row>
    <row r="66">
      <c r="A66" s="242"/>
      <c r="B66" s="281">
        <v>1.0</v>
      </c>
      <c r="C66" s="284" t="s">
        <v>994</v>
      </c>
      <c r="D66" s="54">
        <v>15.0</v>
      </c>
      <c r="E66" s="51" t="s">
        <v>43</v>
      </c>
      <c r="F66" s="258">
        <v>564.0</v>
      </c>
      <c r="G66" s="250"/>
      <c r="H66" s="251"/>
      <c r="I66" s="257">
        <v>564.0</v>
      </c>
      <c r="J66" s="252"/>
      <c r="K66" s="242"/>
      <c r="L66" s="242"/>
      <c r="M66" s="242"/>
      <c r="N66" s="242"/>
      <c r="O66" s="242"/>
    </row>
    <row r="67">
      <c r="A67" s="242"/>
      <c r="B67" s="266">
        <v>2.0</v>
      </c>
      <c r="C67" s="285" t="s">
        <v>996</v>
      </c>
      <c r="D67" s="54">
        <v>20.0</v>
      </c>
      <c r="E67" s="150" t="s">
        <v>51</v>
      </c>
      <c r="F67" s="258">
        <v>744.0</v>
      </c>
      <c r="G67" s="250"/>
      <c r="H67" s="251"/>
      <c r="I67" s="259">
        <v>744.0</v>
      </c>
      <c r="J67" s="252"/>
      <c r="K67" s="242"/>
      <c r="L67" s="242"/>
      <c r="M67" s="242"/>
      <c r="N67" s="242"/>
      <c r="O67" s="242"/>
    </row>
    <row r="68">
      <c r="A68" s="242"/>
      <c r="B68" s="266">
        <v>3.0</v>
      </c>
      <c r="C68" s="285" t="s">
        <v>997</v>
      </c>
      <c r="D68" s="54">
        <v>25.0</v>
      </c>
      <c r="E68" s="150">
        <v>1.0</v>
      </c>
      <c r="F68" s="258">
        <v>1086.0</v>
      </c>
      <c r="G68" s="250"/>
      <c r="H68" s="251"/>
      <c r="I68" s="259">
        <v>1086.0</v>
      </c>
      <c r="J68" s="252"/>
      <c r="K68" s="242"/>
      <c r="L68" s="242"/>
      <c r="M68" s="242"/>
      <c r="N68" s="242"/>
      <c r="O68" s="242"/>
    </row>
    <row r="69">
      <c r="A69" s="242"/>
      <c r="B69" s="266">
        <v>4.0</v>
      </c>
      <c r="C69" s="285" t="s">
        <v>998</v>
      </c>
      <c r="D69" s="54">
        <v>32.0</v>
      </c>
      <c r="E69" s="150" t="s">
        <v>55</v>
      </c>
      <c r="F69" s="258">
        <v>1488.0</v>
      </c>
      <c r="G69" s="250"/>
      <c r="H69" s="251"/>
      <c r="I69" s="259">
        <v>1488.0</v>
      </c>
      <c r="J69" s="252"/>
      <c r="K69" s="242"/>
      <c r="L69" s="242"/>
      <c r="M69" s="242"/>
      <c r="N69" s="242"/>
      <c r="O69" s="242"/>
    </row>
    <row r="70">
      <c r="A70" s="242"/>
      <c r="B70" s="266">
        <v>5.0</v>
      </c>
      <c r="C70" s="285" t="s">
        <v>1002</v>
      </c>
      <c r="D70" s="54">
        <v>40.0</v>
      </c>
      <c r="E70" s="150" t="s">
        <v>56</v>
      </c>
      <c r="F70" s="258">
        <v>1812.0</v>
      </c>
      <c r="G70" s="250"/>
      <c r="H70" s="251"/>
      <c r="I70" s="259">
        <v>1812.0</v>
      </c>
      <c r="J70" s="252"/>
      <c r="K70" s="242"/>
      <c r="L70" s="242"/>
      <c r="M70" s="242"/>
      <c r="N70" s="242"/>
      <c r="O70" s="242"/>
    </row>
    <row r="71">
      <c r="A71" s="242"/>
      <c r="B71" s="266">
        <v>6.0</v>
      </c>
      <c r="C71" s="285" t="s">
        <v>1003</v>
      </c>
      <c r="D71" s="54">
        <v>50.0</v>
      </c>
      <c r="E71" s="150">
        <v>2.0</v>
      </c>
      <c r="F71" s="258">
        <v>2500.0</v>
      </c>
      <c r="G71" s="250"/>
      <c r="H71" s="251"/>
      <c r="I71" s="259">
        <v>2500.0</v>
      </c>
      <c r="J71" s="252"/>
      <c r="K71" s="242"/>
      <c r="L71" s="242"/>
      <c r="M71" s="242"/>
      <c r="N71" s="242"/>
      <c r="O71" s="242"/>
    </row>
    <row r="72">
      <c r="A72" s="242"/>
      <c r="B72" s="262" t="s">
        <v>11</v>
      </c>
      <c r="C72" s="45"/>
      <c r="D72" s="45"/>
      <c r="E72" s="46"/>
      <c r="F72" s="263">
        <f>SUM(F66:F71)</f>
        <v>8194</v>
      </c>
      <c r="G72" s="250"/>
      <c r="H72" s="251"/>
      <c r="I72" s="263">
        <f>SUM(I66:I71)</f>
        <v>8194</v>
      </c>
      <c r="J72" s="252"/>
      <c r="K72" s="242"/>
      <c r="L72" s="242"/>
      <c r="M72" s="242"/>
      <c r="N72" s="242"/>
      <c r="O72" s="242"/>
    </row>
    <row r="73">
      <c r="A73" s="242"/>
      <c r="B73" s="242"/>
      <c r="C73" s="243"/>
      <c r="D73" s="242"/>
      <c r="E73" s="242"/>
      <c r="F73" s="242"/>
      <c r="G73" s="250"/>
      <c r="H73" s="251"/>
      <c r="I73" s="242"/>
      <c r="J73" s="242"/>
      <c r="K73" s="242"/>
      <c r="L73" s="242"/>
      <c r="M73" s="242"/>
      <c r="N73" s="242"/>
      <c r="O73" s="242"/>
    </row>
    <row r="74">
      <c r="A74" s="242"/>
      <c r="B74" s="242"/>
      <c r="C74" s="243"/>
      <c r="D74" s="242"/>
      <c r="E74" s="242"/>
      <c r="F74" s="242"/>
      <c r="G74" s="250"/>
      <c r="H74" s="251"/>
      <c r="I74" s="242"/>
      <c r="J74" s="242"/>
      <c r="K74" s="242"/>
      <c r="L74" s="242"/>
      <c r="M74" s="242"/>
      <c r="N74" s="242"/>
      <c r="O74" s="242"/>
    </row>
    <row r="75">
      <c r="A75" s="242"/>
      <c r="B75" s="242"/>
      <c r="C75" s="243"/>
      <c r="D75" s="242"/>
      <c r="E75" s="242"/>
      <c r="F75" s="242"/>
      <c r="G75" s="250"/>
      <c r="H75" s="251"/>
      <c r="I75" s="242"/>
      <c r="J75" s="242"/>
      <c r="K75" s="242"/>
      <c r="L75" s="242"/>
      <c r="M75" s="242"/>
      <c r="N75" s="242"/>
      <c r="O75" s="242"/>
    </row>
    <row r="76">
      <c r="A76" s="242"/>
      <c r="B76" s="242"/>
      <c r="C76" s="243"/>
      <c r="D76" s="242"/>
      <c r="E76" s="242"/>
      <c r="F76" s="242"/>
      <c r="G76" s="250"/>
      <c r="H76" s="251"/>
      <c r="I76" s="242"/>
      <c r="J76" s="242"/>
      <c r="K76" s="242"/>
      <c r="L76" s="242"/>
      <c r="M76" s="242"/>
      <c r="N76" s="242"/>
      <c r="O76" s="242"/>
    </row>
    <row r="77">
      <c r="A77" s="242"/>
      <c r="B77" s="242"/>
      <c r="C77" s="243"/>
      <c r="D77" s="242"/>
      <c r="E77" s="242"/>
      <c r="F77" s="242"/>
      <c r="G77" s="250"/>
      <c r="H77" s="251"/>
      <c r="I77" s="242"/>
      <c r="J77" s="242"/>
      <c r="K77" s="242"/>
      <c r="L77" s="242"/>
      <c r="M77" s="242"/>
      <c r="N77" s="242"/>
      <c r="O77" s="242"/>
    </row>
    <row r="78">
      <c r="A78" s="242"/>
      <c r="B78" s="242"/>
      <c r="C78" s="243"/>
      <c r="D78" s="242"/>
      <c r="E78" s="242"/>
      <c r="F78" s="242"/>
      <c r="G78" s="250"/>
      <c r="H78" s="251"/>
      <c r="I78" s="242"/>
      <c r="J78" s="242"/>
      <c r="K78" s="242"/>
      <c r="L78" s="242"/>
      <c r="M78" s="242"/>
      <c r="N78" s="242"/>
      <c r="O78" s="242"/>
    </row>
    <row r="79">
      <c r="A79" s="242"/>
      <c r="B79" s="242"/>
      <c r="C79" s="243"/>
      <c r="D79" s="242"/>
      <c r="E79" s="242"/>
      <c r="F79" s="242"/>
      <c r="G79" s="250"/>
      <c r="H79" s="251"/>
      <c r="I79" s="242"/>
      <c r="J79" s="242"/>
      <c r="K79" s="242"/>
      <c r="L79" s="242"/>
      <c r="M79" s="242"/>
      <c r="N79" s="242"/>
      <c r="O79" s="242"/>
    </row>
    <row r="80">
      <c r="A80" s="242"/>
      <c r="B80" s="242"/>
      <c r="C80" s="243"/>
      <c r="D80" s="242"/>
      <c r="E80" s="242"/>
      <c r="F80" s="242"/>
      <c r="G80" s="250"/>
      <c r="H80" s="251"/>
      <c r="I80" s="242"/>
      <c r="J80" s="242"/>
      <c r="K80" s="242"/>
      <c r="L80" s="242"/>
      <c r="M80" s="242"/>
      <c r="N80" s="242"/>
      <c r="O80" s="242"/>
    </row>
    <row r="81">
      <c r="A81" s="242"/>
      <c r="B81" s="242"/>
      <c r="C81" s="243"/>
      <c r="D81" s="242"/>
      <c r="E81" s="242"/>
      <c r="F81" s="242"/>
      <c r="G81" s="250"/>
      <c r="H81" s="251"/>
      <c r="I81" s="242"/>
      <c r="J81" s="242"/>
      <c r="K81" s="242"/>
      <c r="L81" s="242"/>
      <c r="M81" s="242"/>
      <c r="N81" s="242"/>
      <c r="O81" s="242"/>
    </row>
    <row r="82">
      <c r="A82" s="242"/>
      <c r="B82" s="242"/>
      <c r="C82" s="243"/>
      <c r="D82" s="242"/>
      <c r="E82" s="242"/>
      <c r="F82" s="242"/>
      <c r="G82" s="250"/>
      <c r="H82" s="251"/>
      <c r="I82" s="242"/>
      <c r="J82" s="242"/>
      <c r="K82" s="242"/>
      <c r="L82" s="242"/>
      <c r="M82" s="242"/>
      <c r="N82" s="242"/>
      <c r="O82" s="242"/>
    </row>
    <row r="83">
      <c r="A83" s="242"/>
      <c r="B83" s="242"/>
      <c r="C83" s="243"/>
      <c r="D83" s="242"/>
      <c r="E83" s="242"/>
      <c r="F83" s="242"/>
      <c r="G83" s="250"/>
      <c r="H83" s="251"/>
      <c r="I83" s="242"/>
      <c r="J83" s="242"/>
      <c r="K83" s="242"/>
      <c r="L83" s="242"/>
      <c r="M83" s="242"/>
      <c r="N83" s="242"/>
      <c r="O83" s="242"/>
    </row>
    <row r="84">
      <c r="A84" s="242"/>
      <c r="B84" s="242"/>
      <c r="C84" s="243"/>
      <c r="D84" s="242"/>
      <c r="E84" s="242"/>
      <c r="F84" s="242"/>
      <c r="G84" s="250"/>
      <c r="H84" s="251"/>
      <c r="I84" s="242"/>
      <c r="J84" s="242"/>
      <c r="K84" s="242"/>
      <c r="L84" s="242"/>
      <c r="M84" s="242"/>
      <c r="N84" s="242"/>
      <c r="O84" s="242"/>
    </row>
    <row r="85">
      <c r="A85" s="242"/>
      <c r="B85" s="242"/>
      <c r="C85" s="243"/>
      <c r="D85" s="242"/>
      <c r="E85" s="242"/>
      <c r="F85" s="242"/>
      <c r="G85" s="250"/>
      <c r="H85" s="251"/>
      <c r="I85" s="242"/>
      <c r="J85" s="242"/>
      <c r="K85" s="242"/>
      <c r="L85" s="242"/>
      <c r="M85" s="242"/>
      <c r="N85" s="242"/>
      <c r="O85" s="242"/>
    </row>
    <row r="86">
      <c r="A86" s="242"/>
      <c r="B86" s="242"/>
      <c r="C86" s="243"/>
      <c r="D86" s="242"/>
      <c r="E86" s="242"/>
      <c r="F86" s="242"/>
      <c r="G86" s="250"/>
      <c r="H86" s="251"/>
      <c r="I86" s="242"/>
      <c r="J86" s="242"/>
      <c r="K86" s="242"/>
      <c r="L86" s="242"/>
      <c r="M86" s="242"/>
      <c r="N86" s="242"/>
      <c r="O86" s="242"/>
    </row>
    <row r="87">
      <c r="A87" s="242"/>
      <c r="B87" s="242"/>
      <c r="C87" s="243"/>
      <c r="D87" s="242"/>
      <c r="E87" s="242"/>
      <c r="F87" s="242"/>
      <c r="G87" s="250"/>
      <c r="H87" s="251"/>
      <c r="I87" s="242"/>
      <c r="J87" s="242"/>
      <c r="K87" s="242"/>
      <c r="L87" s="242"/>
      <c r="M87" s="242"/>
      <c r="N87" s="242"/>
      <c r="O87" s="242"/>
    </row>
    <row r="88">
      <c r="A88" s="242"/>
      <c r="B88" s="242"/>
      <c r="C88" s="243"/>
      <c r="D88" s="242"/>
      <c r="E88" s="242"/>
      <c r="F88" s="242"/>
      <c r="G88" s="250"/>
      <c r="H88" s="251"/>
      <c r="I88" s="242"/>
      <c r="J88" s="242"/>
      <c r="K88" s="242"/>
      <c r="L88" s="242"/>
      <c r="M88" s="242"/>
      <c r="N88" s="242"/>
      <c r="O88" s="242"/>
    </row>
    <row r="89">
      <c r="A89" s="242"/>
      <c r="B89" s="242"/>
      <c r="C89" s="243"/>
      <c r="D89" s="242"/>
      <c r="E89" s="242"/>
      <c r="F89" s="242"/>
      <c r="G89" s="250"/>
      <c r="H89" s="251"/>
      <c r="I89" s="242"/>
      <c r="J89" s="242"/>
      <c r="K89" s="242"/>
      <c r="L89" s="242"/>
      <c r="M89" s="242"/>
      <c r="N89" s="242"/>
      <c r="O89" s="242"/>
    </row>
    <row r="90">
      <c r="A90" s="242"/>
      <c r="B90" s="242"/>
      <c r="C90" s="243"/>
      <c r="D90" s="242"/>
      <c r="E90" s="242"/>
      <c r="F90" s="242"/>
      <c r="G90" s="250"/>
      <c r="H90" s="251"/>
      <c r="I90" s="242"/>
      <c r="J90" s="242"/>
      <c r="K90" s="242"/>
      <c r="L90" s="242"/>
      <c r="M90" s="242"/>
      <c r="N90" s="242"/>
      <c r="O90" s="242"/>
    </row>
    <row r="91">
      <c r="A91" s="242"/>
      <c r="B91" s="242"/>
      <c r="C91" s="243"/>
      <c r="D91" s="242"/>
      <c r="E91" s="242"/>
      <c r="F91" s="242"/>
      <c r="G91" s="250"/>
      <c r="H91" s="251"/>
      <c r="I91" s="242"/>
      <c r="J91" s="242"/>
      <c r="K91" s="242"/>
      <c r="L91" s="242"/>
      <c r="M91" s="242"/>
      <c r="N91" s="242"/>
      <c r="O91" s="242"/>
    </row>
    <row r="92">
      <c r="A92" s="242"/>
      <c r="B92" s="242"/>
      <c r="C92" s="243"/>
      <c r="D92" s="242"/>
      <c r="E92" s="242"/>
      <c r="F92" s="242"/>
      <c r="G92" s="250"/>
      <c r="H92" s="251"/>
      <c r="I92" s="242"/>
      <c r="J92" s="242"/>
      <c r="K92" s="242"/>
      <c r="L92" s="242"/>
      <c r="M92" s="242"/>
      <c r="N92" s="242"/>
      <c r="O92" s="242"/>
    </row>
    <row r="93">
      <c r="A93" s="242"/>
      <c r="B93" s="242"/>
      <c r="C93" s="243"/>
      <c r="D93" s="242"/>
      <c r="E93" s="242"/>
      <c r="F93" s="242"/>
      <c r="G93" s="250"/>
      <c r="H93" s="251"/>
      <c r="I93" s="242"/>
      <c r="J93" s="242"/>
      <c r="K93" s="242"/>
      <c r="L93" s="242"/>
      <c r="M93" s="242"/>
      <c r="N93" s="242"/>
      <c r="O93" s="242"/>
    </row>
    <row r="94">
      <c r="A94" s="242"/>
      <c r="B94" s="242"/>
      <c r="C94" s="243"/>
      <c r="D94" s="242"/>
      <c r="E94" s="242"/>
      <c r="F94" s="242"/>
      <c r="G94" s="250"/>
      <c r="H94" s="251"/>
      <c r="I94" s="242"/>
      <c r="J94" s="242"/>
      <c r="K94" s="242"/>
      <c r="L94" s="242"/>
      <c r="M94" s="242"/>
      <c r="N94" s="242"/>
      <c r="O94" s="242"/>
    </row>
    <row r="95">
      <c r="A95" s="242"/>
      <c r="B95" s="242"/>
      <c r="C95" s="243"/>
      <c r="D95" s="242"/>
      <c r="E95" s="242"/>
      <c r="F95" s="242"/>
      <c r="G95" s="250"/>
      <c r="H95" s="251"/>
      <c r="I95" s="242"/>
      <c r="J95" s="242"/>
      <c r="K95" s="242"/>
      <c r="L95" s="242"/>
      <c r="M95" s="242"/>
      <c r="N95" s="242"/>
      <c r="O95" s="242"/>
    </row>
    <row r="96">
      <c r="A96" s="242"/>
      <c r="B96" s="242"/>
      <c r="C96" s="243"/>
      <c r="D96" s="242"/>
      <c r="E96" s="242"/>
      <c r="F96" s="242"/>
      <c r="G96" s="250"/>
      <c r="H96" s="251"/>
      <c r="I96" s="242"/>
      <c r="J96" s="242"/>
      <c r="K96" s="242"/>
      <c r="L96" s="242"/>
      <c r="M96" s="242"/>
      <c r="N96" s="242"/>
      <c r="O96" s="242"/>
    </row>
    <row r="97">
      <c r="A97" s="242"/>
      <c r="B97" s="242"/>
      <c r="C97" s="243"/>
      <c r="D97" s="242"/>
      <c r="E97" s="242"/>
      <c r="F97" s="242"/>
      <c r="G97" s="250"/>
      <c r="H97" s="251"/>
      <c r="I97" s="242"/>
      <c r="J97" s="242"/>
      <c r="K97" s="242"/>
      <c r="L97" s="242"/>
      <c r="M97" s="242"/>
      <c r="N97" s="242"/>
      <c r="O97" s="242"/>
    </row>
    <row r="98">
      <c r="A98" s="242"/>
      <c r="B98" s="242"/>
      <c r="C98" s="243"/>
      <c r="D98" s="242"/>
      <c r="E98" s="242"/>
      <c r="F98" s="242"/>
      <c r="G98" s="250"/>
      <c r="H98" s="251"/>
      <c r="I98" s="242"/>
      <c r="J98" s="242"/>
      <c r="K98" s="242"/>
      <c r="L98" s="242"/>
      <c r="M98" s="242"/>
      <c r="N98" s="242"/>
      <c r="O98" s="242"/>
    </row>
    <row r="99">
      <c r="A99" s="242"/>
      <c r="B99" s="242"/>
      <c r="C99" s="243"/>
      <c r="D99" s="242"/>
      <c r="E99" s="242"/>
      <c r="F99" s="242"/>
      <c r="G99" s="250"/>
      <c r="H99" s="251"/>
      <c r="I99" s="242"/>
      <c r="J99" s="242"/>
      <c r="K99" s="242"/>
      <c r="L99" s="242"/>
      <c r="M99" s="242"/>
      <c r="N99" s="242"/>
      <c r="O99" s="242"/>
    </row>
    <row r="100">
      <c r="A100" s="242"/>
      <c r="B100" s="242"/>
      <c r="C100" s="243"/>
      <c r="D100" s="242"/>
      <c r="E100" s="242"/>
      <c r="F100" s="242"/>
      <c r="G100" s="250"/>
      <c r="H100" s="251"/>
      <c r="I100" s="242"/>
      <c r="J100" s="242"/>
      <c r="K100" s="242"/>
      <c r="L100" s="242"/>
      <c r="M100" s="242"/>
      <c r="N100" s="242"/>
      <c r="O100" s="242"/>
    </row>
    <row r="101">
      <c r="A101" s="242"/>
      <c r="B101" s="242"/>
      <c r="C101" s="243"/>
      <c r="D101" s="242"/>
      <c r="E101" s="242"/>
      <c r="F101" s="242"/>
      <c r="G101" s="250"/>
      <c r="H101" s="251"/>
      <c r="I101" s="242"/>
      <c r="J101" s="242"/>
      <c r="K101" s="242"/>
      <c r="L101" s="242"/>
      <c r="M101" s="242"/>
      <c r="N101" s="242"/>
      <c r="O101" s="242"/>
    </row>
    <row r="102">
      <c r="A102" s="242"/>
      <c r="B102" s="242"/>
      <c r="C102" s="243"/>
      <c r="D102" s="242"/>
      <c r="E102" s="242"/>
      <c r="F102" s="242"/>
      <c r="G102" s="250"/>
      <c r="H102" s="251"/>
      <c r="I102" s="242"/>
      <c r="J102" s="242"/>
      <c r="K102" s="242"/>
      <c r="L102" s="242"/>
      <c r="M102" s="242"/>
      <c r="N102" s="242"/>
      <c r="O102" s="242"/>
    </row>
    <row r="103">
      <c r="A103" s="242"/>
      <c r="B103" s="242"/>
      <c r="C103" s="243"/>
      <c r="D103" s="242"/>
      <c r="E103" s="242"/>
      <c r="F103" s="242"/>
      <c r="G103" s="250"/>
      <c r="H103" s="251"/>
      <c r="I103" s="242"/>
      <c r="J103" s="242"/>
      <c r="K103" s="242"/>
      <c r="L103" s="242"/>
      <c r="M103" s="242"/>
      <c r="N103" s="242"/>
      <c r="O103" s="242"/>
    </row>
    <row r="104">
      <c r="A104" s="242"/>
      <c r="B104" s="242"/>
      <c r="C104" s="243"/>
      <c r="D104" s="242"/>
      <c r="E104" s="242"/>
      <c r="F104" s="242"/>
      <c r="G104" s="250"/>
      <c r="H104" s="251"/>
      <c r="I104" s="242"/>
      <c r="J104" s="242"/>
      <c r="K104" s="242"/>
      <c r="L104" s="242"/>
      <c r="M104" s="242"/>
      <c r="N104" s="242"/>
      <c r="O104" s="242"/>
    </row>
    <row r="105">
      <c r="A105" s="242"/>
      <c r="B105" s="242"/>
      <c r="C105" s="243"/>
      <c r="D105" s="242"/>
      <c r="E105" s="242"/>
      <c r="F105" s="242"/>
      <c r="G105" s="250"/>
      <c r="H105" s="251"/>
      <c r="I105" s="242"/>
      <c r="J105" s="242"/>
      <c r="K105" s="242"/>
      <c r="L105" s="242"/>
      <c r="M105" s="242"/>
      <c r="N105" s="242"/>
      <c r="O105" s="242"/>
    </row>
    <row r="106">
      <c r="A106" s="242"/>
      <c r="B106" s="242"/>
      <c r="C106" s="243"/>
      <c r="D106" s="242"/>
      <c r="E106" s="242"/>
      <c r="F106" s="242"/>
      <c r="G106" s="250"/>
      <c r="H106" s="251"/>
      <c r="I106" s="242"/>
      <c r="J106" s="242"/>
      <c r="K106" s="242"/>
      <c r="L106" s="242"/>
      <c r="M106" s="242"/>
      <c r="N106" s="242"/>
      <c r="O106" s="242"/>
    </row>
    <row r="107">
      <c r="A107" s="242"/>
      <c r="B107" s="242"/>
      <c r="C107" s="243"/>
      <c r="D107" s="242"/>
      <c r="E107" s="242"/>
      <c r="F107" s="242"/>
      <c r="G107" s="250"/>
      <c r="H107" s="251"/>
      <c r="I107" s="242"/>
      <c r="J107" s="242"/>
      <c r="K107" s="242"/>
      <c r="L107" s="242"/>
      <c r="M107" s="242"/>
      <c r="N107" s="242"/>
      <c r="O107" s="242"/>
    </row>
    <row r="108">
      <c r="A108" s="242"/>
      <c r="B108" s="242"/>
      <c r="C108" s="243"/>
      <c r="D108" s="242"/>
      <c r="E108" s="242"/>
      <c r="F108" s="242"/>
      <c r="G108" s="250"/>
      <c r="H108" s="251"/>
      <c r="I108" s="242"/>
      <c r="J108" s="242"/>
      <c r="K108" s="242"/>
      <c r="L108" s="242"/>
      <c r="M108" s="242"/>
      <c r="N108" s="242"/>
      <c r="O108" s="242"/>
    </row>
    <row r="109">
      <c r="A109" s="242"/>
      <c r="B109" s="242"/>
      <c r="C109" s="243"/>
      <c r="D109" s="242"/>
      <c r="E109" s="242"/>
      <c r="F109" s="242"/>
      <c r="G109" s="250"/>
      <c r="H109" s="251"/>
      <c r="I109" s="242"/>
      <c r="J109" s="242"/>
      <c r="K109" s="242"/>
      <c r="L109" s="242"/>
      <c r="M109" s="242"/>
      <c r="N109" s="242"/>
      <c r="O109" s="242"/>
    </row>
    <row r="110">
      <c r="A110" s="242"/>
      <c r="B110" s="242"/>
      <c r="C110" s="243"/>
      <c r="D110" s="242"/>
      <c r="E110" s="242"/>
      <c r="F110" s="242"/>
      <c r="G110" s="250"/>
      <c r="H110" s="251"/>
      <c r="I110" s="242"/>
      <c r="J110" s="242"/>
      <c r="K110" s="242"/>
      <c r="L110" s="242"/>
      <c r="M110" s="242"/>
      <c r="N110" s="242"/>
      <c r="O110" s="242"/>
    </row>
    <row r="111">
      <c r="A111" s="242"/>
      <c r="B111" s="242"/>
      <c r="C111" s="243"/>
      <c r="D111" s="242"/>
      <c r="E111" s="242"/>
      <c r="F111" s="242"/>
      <c r="G111" s="250"/>
      <c r="H111" s="251"/>
      <c r="I111" s="242"/>
      <c r="J111" s="242"/>
      <c r="K111" s="242"/>
      <c r="L111" s="242"/>
      <c r="M111" s="242"/>
      <c r="N111" s="242"/>
      <c r="O111" s="242"/>
    </row>
    <row r="112">
      <c r="A112" s="242"/>
      <c r="B112" s="242"/>
      <c r="C112" s="243"/>
      <c r="D112" s="242"/>
      <c r="E112" s="242"/>
      <c r="F112" s="242"/>
      <c r="G112" s="250"/>
      <c r="H112" s="251"/>
      <c r="I112" s="242"/>
      <c r="J112" s="242"/>
      <c r="K112" s="242"/>
      <c r="L112" s="242"/>
      <c r="M112" s="242"/>
      <c r="N112" s="242"/>
      <c r="O112" s="242"/>
    </row>
    <row r="113">
      <c r="A113" s="242"/>
      <c r="B113" s="242"/>
      <c r="C113" s="243"/>
      <c r="D113" s="242"/>
      <c r="E113" s="242"/>
      <c r="F113" s="242"/>
      <c r="G113" s="250"/>
      <c r="H113" s="251"/>
      <c r="I113" s="242"/>
      <c r="J113" s="242"/>
      <c r="K113" s="242"/>
      <c r="L113" s="242"/>
      <c r="M113" s="242"/>
      <c r="N113" s="242"/>
      <c r="O113" s="242"/>
    </row>
    <row r="114">
      <c r="A114" s="242"/>
      <c r="B114" s="242"/>
      <c r="C114" s="243"/>
      <c r="D114" s="242"/>
      <c r="E114" s="242"/>
      <c r="F114" s="242"/>
      <c r="G114" s="250"/>
      <c r="H114" s="251"/>
      <c r="I114" s="242"/>
      <c r="J114" s="242"/>
      <c r="K114" s="242"/>
      <c r="L114" s="242"/>
      <c r="M114" s="242"/>
      <c r="N114" s="242"/>
      <c r="O114" s="242"/>
    </row>
    <row r="115">
      <c r="A115" s="242"/>
      <c r="B115" s="242"/>
      <c r="C115" s="243"/>
      <c r="D115" s="242"/>
      <c r="E115" s="242"/>
      <c r="F115" s="242"/>
      <c r="G115" s="250"/>
      <c r="H115" s="251"/>
      <c r="I115" s="242"/>
      <c r="J115" s="242"/>
      <c r="K115" s="242"/>
      <c r="L115" s="242"/>
      <c r="M115" s="242"/>
      <c r="N115" s="242"/>
      <c r="O115" s="242"/>
    </row>
    <row r="116">
      <c r="A116" s="242"/>
      <c r="B116" s="242"/>
      <c r="C116" s="243"/>
      <c r="D116" s="242"/>
      <c r="E116" s="242"/>
      <c r="F116" s="242"/>
      <c r="G116" s="250"/>
      <c r="H116" s="251"/>
      <c r="I116" s="242"/>
      <c r="J116" s="242"/>
      <c r="K116" s="242"/>
      <c r="L116" s="242"/>
      <c r="M116" s="242"/>
      <c r="N116" s="242"/>
      <c r="O116" s="242"/>
    </row>
    <row r="117">
      <c r="A117" s="242"/>
      <c r="B117" s="242"/>
      <c r="C117" s="243"/>
      <c r="D117" s="242"/>
      <c r="E117" s="242"/>
      <c r="F117" s="242"/>
      <c r="G117" s="250"/>
      <c r="H117" s="251"/>
      <c r="I117" s="242"/>
      <c r="J117" s="242"/>
      <c r="K117" s="242"/>
      <c r="L117" s="242"/>
      <c r="M117" s="242"/>
      <c r="N117" s="242"/>
      <c r="O117" s="242"/>
    </row>
    <row r="118">
      <c r="A118" s="242"/>
      <c r="B118" s="242"/>
      <c r="C118" s="243"/>
      <c r="D118" s="242"/>
      <c r="E118" s="242"/>
      <c r="F118" s="242"/>
      <c r="G118" s="250"/>
      <c r="H118" s="251"/>
      <c r="I118" s="242"/>
      <c r="J118" s="242"/>
      <c r="K118" s="242"/>
      <c r="L118" s="242"/>
      <c r="M118" s="242"/>
      <c r="N118" s="242"/>
      <c r="O118" s="242"/>
    </row>
    <row r="119">
      <c r="A119" s="242"/>
      <c r="B119" s="242"/>
      <c r="C119" s="243"/>
      <c r="D119" s="242"/>
      <c r="E119" s="242"/>
      <c r="F119" s="242"/>
      <c r="G119" s="250"/>
      <c r="H119" s="251"/>
      <c r="I119" s="242"/>
      <c r="J119" s="242"/>
      <c r="K119" s="242"/>
      <c r="L119" s="242"/>
      <c r="M119" s="242"/>
      <c r="N119" s="242"/>
      <c r="O119" s="242"/>
    </row>
    <row r="120">
      <c r="A120" s="242"/>
      <c r="B120" s="242"/>
      <c r="C120" s="243"/>
      <c r="D120" s="242"/>
      <c r="E120" s="242"/>
      <c r="F120" s="242"/>
      <c r="G120" s="250"/>
      <c r="H120" s="251"/>
      <c r="I120" s="242"/>
      <c r="J120" s="242"/>
      <c r="K120" s="242"/>
      <c r="L120" s="242"/>
      <c r="M120" s="242"/>
      <c r="N120" s="242"/>
      <c r="O120" s="242"/>
    </row>
    <row r="121">
      <c r="A121" s="242"/>
      <c r="B121" s="242"/>
      <c r="C121" s="243"/>
      <c r="D121" s="242"/>
      <c r="E121" s="242"/>
      <c r="F121" s="242"/>
      <c r="G121" s="250"/>
      <c r="H121" s="251"/>
      <c r="I121" s="242"/>
      <c r="J121" s="242"/>
      <c r="K121" s="242"/>
      <c r="L121" s="242"/>
      <c r="M121" s="242"/>
      <c r="N121" s="242"/>
      <c r="O121" s="242"/>
    </row>
    <row r="122">
      <c r="A122" s="242"/>
      <c r="B122" s="242"/>
      <c r="C122" s="243"/>
      <c r="D122" s="242"/>
      <c r="E122" s="242"/>
      <c r="F122" s="242"/>
      <c r="G122" s="250"/>
      <c r="H122" s="251"/>
      <c r="I122" s="242"/>
      <c r="J122" s="242"/>
      <c r="K122" s="242"/>
      <c r="L122" s="242"/>
      <c r="M122" s="242"/>
      <c r="N122" s="242"/>
      <c r="O122" s="242"/>
    </row>
    <row r="123">
      <c r="A123" s="242"/>
      <c r="B123" s="242"/>
      <c r="C123" s="243"/>
      <c r="D123" s="242"/>
      <c r="E123" s="242"/>
      <c r="F123" s="242"/>
      <c r="G123" s="250"/>
      <c r="H123" s="251"/>
      <c r="I123" s="242"/>
      <c r="J123" s="242"/>
      <c r="K123" s="242"/>
      <c r="L123" s="242"/>
      <c r="M123" s="242"/>
      <c r="N123" s="242"/>
      <c r="O123" s="242"/>
    </row>
    <row r="124">
      <c r="A124" s="242"/>
      <c r="B124" s="242"/>
      <c r="C124" s="243"/>
      <c r="D124" s="242"/>
      <c r="E124" s="242"/>
      <c r="F124" s="242"/>
      <c r="G124" s="250"/>
      <c r="H124" s="251"/>
      <c r="I124" s="242"/>
      <c r="J124" s="242"/>
      <c r="K124" s="242"/>
      <c r="L124" s="242"/>
      <c r="M124" s="242"/>
      <c r="N124" s="242"/>
      <c r="O124" s="242"/>
    </row>
    <row r="125">
      <c r="A125" s="242"/>
      <c r="B125" s="242"/>
      <c r="C125" s="243"/>
      <c r="D125" s="242"/>
      <c r="E125" s="242"/>
      <c r="F125" s="242"/>
      <c r="G125" s="250"/>
      <c r="H125" s="251"/>
      <c r="I125" s="242"/>
      <c r="J125" s="242"/>
      <c r="K125" s="242"/>
      <c r="L125" s="242"/>
      <c r="M125" s="242"/>
      <c r="N125" s="242"/>
      <c r="O125" s="242"/>
    </row>
    <row r="126">
      <c r="A126" s="242"/>
      <c r="B126" s="242"/>
      <c r="C126" s="243"/>
      <c r="D126" s="242"/>
      <c r="E126" s="242"/>
      <c r="F126" s="242"/>
      <c r="G126" s="250"/>
      <c r="H126" s="251"/>
      <c r="I126" s="242"/>
      <c r="J126" s="242"/>
      <c r="K126" s="242"/>
      <c r="L126" s="242"/>
      <c r="M126" s="242"/>
      <c r="N126" s="242"/>
      <c r="O126" s="242"/>
    </row>
    <row r="127">
      <c r="A127" s="242"/>
      <c r="B127" s="242"/>
      <c r="C127" s="243"/>
      <c r="D127" s="242"/>
      <c r="E127" s="242"/>
      <c r="F127" s="242"/>
      <c r="G127" s="250"/>
      <c r="H127" s="251"/>
      <c r="I127" s="242"/>
      <c r="J127" s="242"/>
      <c r="K127" s="242"/>
      <c r="L127" s="242"/>
      <c r="M127" s="242"/>
      <c r="N127" s="242"/>
      <c r="O127" s="242"/>
    </row>
    <row r="128">
      <c r="A128" s="242"/>
      <c r="B128" s="242"/>
      <c r="C128" s="243"/>
      <c r="D128" s="242"/>
      <c r="E128" s="242"/>
      <c r="F128" s="242"/>
      <c r="G128" s="250"/>
      <c r="H128" s="251"/>
      <c r="I128" s="242"/>
      <c r="J128" s="242"/>
      <c r="K128" s="242"/>
      <c r="L128" s="242"/>
      <c r="M128" s="242"/>
      <c r="N128" s="242"/>
      <c r="O128" s="242"/>
    </row>
    <row r="129">
      <c r="A129" s="242"/>
      <c r="B129" s="242"/>
      <c r="C129" s="243"/>
      <c r="D129" s="242"/>
      <c r="E129" s="242"/>
      <c r="F129" s="242"/>
      <c r="G129" s="250"/>
      <c r="H129" s="251"/>
      <c r="I129" s="242"/>
      <c r="J129" s="242"/>
      <c r="K129" s="242"/>
      <c r="L129" s="242"/>
      <c r="M129" s="242"/>
      <c r="N129" s="242"/>
      <c r="O129" s="242"/>
    </row>
    <row r="130">
      <c r="A130" s="242"/>
      <c r="B130" s="242"/>
      <c r="C130" s="243"/>
      <c r="D130" s="242"/>
      <c r="E130" s="242"/>
      <c r="F130" s="242"/>
      <c r="G130" s="250"/>
      <c r="H130" s="251"/>
      <c r="I130" s="242"/>
      <c r="J130" s="242"/>
      <c r="K130" s="242"/>
      <c r="L130" s="242"/>
      <c r="M130" s="242"/>
      <c r="N130" s="242"/>
      <c r="O130" s="242"/>
    </row>
    <row r="131">
      <c r="A131" s="242"/>
      <c r="B131" s="242"/>
      <c r="C131" s="243"/>
      <c r="D131" s="242"/>
      <c r="E131" s="242"/>
      <c r="F131" s="242"/>
      <c r="G131" s="250"/>
      <c r="H131" s="251"/>
      <c r="I131" s="242"/>
      <c r="J131" s="242"/>
      <c r="K131" s="242"/>
      <c r="L131" s="242"/>
      <c r="M131" s="242"/>
      <c r="N131" s="242"/>
      <c r="O131" s="242"/>
    </row>
    <row r="132">
      <c r="A132" s="242"/>
      <c r="B132" s="242"/>
      <c r="C132" s="243"/>
      <c r="D132" s="242"/>
      <c r="E132" s="242"/>
      <c r="F132" s="242"/>
      <c r="G132" s="250"/>
      <c r="H132" s="251"/>
      <c r="I132" s="242"/>
      <c r="J132" s="242"/>
      <c r="K132" s="242"/>
      <c r="L132" s="242"/>
      <c r="M132" s="242"/>
      <c r="N132" s="242"/>
      <c r="O132" s="242"/>
    </row>
    <row r="133">
      <c r="A133" s="242"/>
      <c r="B133" s="242"/>
      <c r="C133" s="243"/>
      <c r="D133" s="242"/>
      <c r="E133" s="242"/>
      <c r="F133" s="242"/>
      <c r="G133" s="250"/>
      <c r="H133" s="251"/>
      <c r="I133" s="242"/>
      <c r="J133" s="242"/>
      <c r="K133" s="242"/>
      <c r="L133" s="242"/>
      <c r="M133" s="242"/>
      <c r="N133" s="242"/>
      <c r="O133" s="242"/>
    </row>
    <row r="134">
      <c r="A134" s="242"/>
      <c r="B134" s="242"/>
      <c r="C134" s="243"/>
      <c r="D134" s="242"/>
      <c r="E134" s="242"/>
      <c r="F134" s="242"/>
      <c r="G134" s="250"/>
      <c r="H134" s="251"/>
      <c r="I134" s="242"/>
      <c r="J134" s="242"/>
      <c r="K134" s="242"/>
      <c r="L134" s="242"/>
      <c r="M134" s="242"/>
      <c r="N134" s="242"/>
      <c r="O134" s="242"/>
    </row>
    <row r="135">
      <c r="A135" s="242"/>
      <c r="B135" s="242"/>
      <c r="C135" s="243"/>
      <c r="D135" s="242"/>
      <c r="E135" s="242"/>
      <c r="F135" s="242"/>
      <c r="G135" s="250"/>
      <c r="H135" s="251"/>
      <c r="I135" s="242"/>
      <c r="J135" s="242"/>
      <c r="K135" s="242"/>
      <c r="L135" s="242"/>
      <c r="M135" s="242"/>
      <c r="N135" s="242"/>
      <c r="O135" s="242"/>
    </row>
    <row r="136">
      <c r="A136" s="242"/>
      <c r="B136" s="242"/>
      <c r="C136" s="243"/>
      <c r="D136" s="242"/>
      <c r="E136" s="242"/>
      <c r="F136" s="242"/>
      <c r="G136" s="250"/>
      <c r="H136" s="251"/>
      <c r="I136" s="242"/>
      <c r="J136" s="242"/>
      <c r="K136" s="242"/>
      <c r="L136" s="242"/>
      <c r="M136" s="242"/>
      <c r="N136" s="242"/>
      <c r="O136" s="242"/>
    </row>
    <row r="137">
      <c r="A137" s="242"/>
      <c r="B137" s="242"/>
      <c r="C137" s="243"/>
      <c r="D137" s="242"/>
      <c r="E137" s="242"/>
      <c r="F137" s="242"/>
      <c r="G137" s="250"/>
      <c r="H137" s="251"/>
      <c r="I137" s="242"/>
      <c r="J137" s="242"/>
      <c r="K137" s="242"/>
      <c r="L137" s="242"/>
      <c r="M137" s="242"/>
      <c r="N137" s="242"/>
      <c r="O137" s="242"/>
    </row>
    <row r="138">
      <c r="A138" s="242"/>
      <c r="B138" s="242"/>
      <c r="C138" s="243"/>
      <c r="D138" s="242"/>
      <c r="E138" s="242"/>
      <c r="F138" s="242"/>
      <c r="G138" s="250"/>
      <c r="H138" s="251"/>
      <c r="I138" s="242"/>
      <c r="J138" s="242"/>
      <c r="K138" s="242"/>
      <c r="L138" s="242"/>
      <c r="M138" s="242"/>
      <c r="N138" s="242"/>
      <c r="O138" s="242"/>
    </row>
    <row r="139">
      <c r="A139" s="242"/>
      <c r="B139" s="242"/>
      <c r="C139" s="243"/>
      <c r="D139" s="242"/>
      <c r="E139" s="242"/>
      <c r="F139" s="242"/>
      <c r="G139" s="250"/>
      <c r="H139" s="251"/>
      <c r="I139" s="242"/>
      <c r="J139" s="242"/>
      <c r="K139" s="242"/>
      <c r="L139" s="242"/>
      <c r="M139" s="242"/>
      <c r="N139" s="242"/>
      <c r="O139" s="242"/>
    </row>
    <row r="140">
      <c r="A140" s="242"/>
      <c r="B140" s="242"/>
      <c r="C140" s="243"/>
      <c r="D140" s="242"/>
      <c r="E140" s="242"/>
      <c r="F140" s="242"/>
      <c r="G140" s="250"/>
      <c r="H140" s="251"/>
      <c r="I140" s="242"/>
      <c r="J140" s="242"/>
      <c r="K140" s="242"/>
      <c r="L140" s="242"/>
      <c r="M140" s="242"/>
      <c r="N140" s="242"/>
      <c r="O140" s="242"/>
    </row>
    <row r="141">
      <c r="A141" s="242"/>
      <c r="B141" s="242"/>
      <c r="C141" s="243"/>
      <c r="D141" s="242"/>
      <c r="E141" s="242"/>
      <c r="F141" s="242"/>
      <c r="G141" s="250"/>
      <c r="H141" s="251"/>
      <c r="I141" s="242"/>
      <c r="J141" s="242"/>
      <c r="K141" s="242"/>
      <c r="L141" s="242"/>
      <c r="M141" s="242"/>
      <c r="N141" s="242"/>
      <c r="O141" s="242"/>
    </row>
    <row r="142">
      <c r="A142" s="242"/>
      <c r="B142" s="242"/>
      <c r="C142" s="243"/>
      <c r="D142" s="242"/>
      <c r="E142" s="242"/>
      <c r="F142" s="242"/>
      <c r="G142" s="250"/>
      <c r="H142" s="251"/>
      <c r="I142" s="242"/>
      <c r="J142" s="242"/>
      <c r="K142" s="242"/>
      <c r="L142" s="242"/>
      <c r="M142" s="242"/>
      <c r="N142" s="242"/>
      <c r="O142" s="242"/>
    </row>
    <row r="143">
      <c r="A143" s="242"/>
      <c r="B143" s="242"/>
      <c r="C143" s="243"/>
      <c r="D143" s="242"/>
      <c r="E143" s="242"/>
      <c r="F143" s="242"/>
      <c r="G143" s="250"/>
      <c r="H143" s="251"/>
      <c r="I143" s="242"/>
      <c r="J143" s="242"/>
      <c r="K143" s="242"/>
      <c r="L143" s="242"/>
      <c r="M143" s="242"/>
      <c r="N143" s="242"/>
      <c r="O143" s="242"/>
    </row>
    <row r="144">
      <c r="A144" s="242"/>
      <c r="B144" s="242"/>
      <c r="C144" s="243"/>
      <c r="D144" s="242"/>
      <c r="E144" s="242"/>
      <c r="F144" s="242"/>
      <c r="G144" s="250"/>
      <c r="H144" s="251"/>
      <c r="I144" s="242"/>
      <c r="J144" s="242"/>
      <c r="K144" s="242"/>
      <c r="L144" s="242"/>
      <c r="M144" s="242"/>
      <c r="N144" s="242"/>
      <c r="O144" s="242"/>
    </row>
    <row r="145">
      <c r="A145" s="242"/>
      <c r="B145" s="242"/>
      <c r="C145" s="243"/>
      <c r="D145" s="242"/>
      <c r="E145" s="242"/>
      <c r="F145" s="242"/>
      <c r="G145" s="250"/>
      <c r="H145" s="251"/>
      <c r="I145" s="242"/>
      <c r="J145" s="242"/>
      <c r="K145" s="242"/>
      <c r="L145" s="242"/>
      <c r="M145" s="242"/>
      <c r="N145" s="242"/>
      <c r="O145" s="242"/>
    </row>
    <row r="146">
      <c r="A146" s="242"/>
      <c r="B146" s="242"/>
      <c r="C146" s="243"/>
      <c r="D146" s="242"/>
      <c r="E146" s="242"/>
      <c r="F146" s="242"/>
      <c r="G146" s="250"/>
      <c r="H146" s="251"/>
      <c r="I146" s="242"/>
      <c r="J146" s="242"/>
      <c r="K146" s="242"/>
      <c r="L146" s="242"/>
      <c r="M146" s="242"/>
      <c r="N146" s="242"/>
      <c r="O146" s="242"/>
    </row>
    <row r="147">
      <c r="A147" s="242"/>
      <c r="B147" s="242"/>
      <c r="C147" s="243"/>
      <c r="D147" s="242"/>
      <c r="E147" s="242"/>
      <c r="F147" s="242"/>
      <c r="G147" s="250"/>
      <c r="H147" s="251"/>
      <c r="I147" s="242"/>
      <c r="J147" s="242"/>
      <c r="K147" s="242"/>
      <c r="L147" s="242"/>
      <c r="M147" s="242"/>
      <c r="N147" s="242"/>
      <c r="O147" s="242"/>
    </row>
    <row r="148">
      <c r="A148" s="242"/>
      <c r="B148" s="242"/>
      <c r="C148" s="243"/>
      <c r="D148" s="242"/>
      <c r="E148" s="242"/>
      <c r="F148" s="242"/>
      <c r="G148" s="250"/>
      <c r="H148" s="251"/>
      <c r="I148" s="242"/>
      <c r="J148" s="242"/>
      <c r="K148" s="242"/>
      <c r="L148" s="242"/>
      <c r="M148" s="242"/>
      <c r="N148" s="242"/>
      <c r="O148" s="242"/>
    </row>
    <row r="149">
      <c r="A149" s="242"/>
      <c r="B149" s="242"/>
      <c r="C149" s="243"/>
      <c r="D149" s="242"/>
      <c r="E149" s="242"/>
      <c r="F149" s="242"/>
      <c r="G149" s="250"/>
      <c r="H149" s="251"/>
      <c r="I149" s="242"/>
      <c r="J149" s="242"/>
      <c r="K149" s="242"/>
      <c r="L149" s="242"/>
      <c r="M149" s="242"/>
      <c r="N149" s="242"/>
      <c r="O149" s="242"/>
    </row>
    <row r="150">
      <c r="A150" s="242"/>
      <c r="B150" s="242"/>
      <c r="C150" s="243"/>
      <c r="D150" s="242"/>
      <c r="E150" s="242"/>
      <c r="F150" s="242"/>
      <c r="G150" s="250"/>
      <c r="H150" s="251"/>
      <c r="I150" s="242"/>
      <c r="J150" s="242"/>
      <c r="K150" s="242"/>
      <c r="L150" s="242"/>
      <c r="M150" s="242"/>
      <c r="N150" s="242"/>
      <c r="O150" s="242"/>
    </row>
    <row r="151">
      <c r="A151" s="242"/>
      <c r="B151" s="242"/>
      <c r="C151" s="243"/>
      <c r="D151" s="242"/>
      <c r="E151" s="242"/>
      <c r="F151" s="242"/>
      <c r="G151" s="250"/>
      <c r="H151" s="251"/>
      <c r="I151" s="242"/>
      <c r="J151" s="242"/>
      <c r="K151" s="242"/>
      <c r="L151" s="242"/>
      <c r="M151" s="242"/>
      <c r="N151" s="242"/>
      <c r="O151" s="242"/>
    </row>
    <row r="152">
      <c r="A152" s="242"/>
      <c r="B152" s="242"/>
      <c r="C152" s="243"/>
      <c r="D152" s="242"/>
      <c r="E152" s="242"/>
      <c r="F152" s="242"/>
      <c r="G152" s="250"/>
      <c r="H152" s="251"/>
      <c r="I152" s="242"/>
      <c r="J152" s="242"/>
      <c r="K152" s="242"/>
      <c r="L152" s="242"/>
      <c r="M152" s="242"/>
      <c r="N152" s="242"/>
      <c r="O152" s="242"/>
    </row>
    <row r="153">
      <c r="A153" s="242"/>
      <c r="B153" s="242"/>
      <c r="C153" s="243"/>
      <c r="D153" s="242"/>
      <c r="E153" s="242"/>
      <c r="F153" s="242"/>
      <c r="G153" s="250"/>
      <c r="H153" s="251"/>
      <c r="I153" s="242"/>
      <c r="J153" s="242"/>
      <c r="K153" s="242"/>
      <c r="L153" s="242"/>
      <c r="M153" s="242"/>
      <c r="N153" s="242"/>
      <c r="O153" s="242"/>
    </row>
    <row r="154">
      <c r="A154" s="242"/>
      <c r="B154" s="242"/>
      <c r="C154" s="243"/>
      <c r="D154" s="242"/>
      <c r="E154" s="242"/>
      <c r="F154" s="242"/>
      <c r="G154" s="250"/>
      <c r="H154" s="251"/>
      <c r="I154" s="242"/>
      <c r="J154" s="242"/>
      <c r="K154" s="242"/>
      <c r="L154" s="242"/>
      <c r="M154" s="242"/>
      <c r="N154" s="242"/>
      <c r="O154" s="242"/>
    </row>
    <row r="155">
      <c r="A155" s="242"/>
      <c r="B155" s="242"/>
      <c r="C155" s="243"/>
      <c r="D155" s="242"/>
      <c r="E155" s="242"/>
      <c r="F155" s="242"/>
      <c r="G155" s="250"/>
      <c r="H155" s="251"/>
      <c r="I155" s="242"/>
      <c r="J155" s="242"/>
      <c r="K155" s="242"/>
      <c r="L155" s="242"/>
      <c r="M155" s="242"/>
      <c r="N155" s="242"/>
      <c r="O155" s="242"/>
    </row>
    <row r="156">
      <c r="A156" s="242"/>
      <c r="B156" s="242"/>
      <c r="C156" s="243"/>
      <c r="D156" s="242"/>
      <c r="E156" s="242"/>
      <c r="F156" s="242"/>
      <c r="G156" s="250"/>
      <c r="H156" s="251"/>
      <c r="I156" s="242"/>
      <c r="J156" s="242"/>
      <c r="K156" s="242"/>
      <c r="L156" s="242"/>
      <c r="M156" s="242"/>
      <c r="N156" s="242"/>
      <c r="O156" s="242"/>
    </row>
    <row r="157">
      <c r="A157" s="242"/>
      <c r="B157" s="242"/>
      <c r="C157" s="243"/>
      <c r="D157" s="242"/>
      <c r="E157" s="242"/>
      <c r="F157" s="242"/>
      <c r="G157" s="250"/>
      <c r="H157" s="251"/>
      <c r="I157" s="242"/>
      <c r="J157" s="242"/>
      <c r="K157" s="242"/>
      <c r="L157" s="242"/>
      <c r="M157" s="242"/>
      <c r="N157" s="242"/>
      <c r="O157" s="242"/>
    </row>
    <row r="158">
      <c r="A158" s="242"/>
      <c r="B158" s="242"/>
      <c r="C158" s="243"/>
      <c r="D158" s="242"/>
      <c r="E158" s="242"/>
      <c r="F158" s="242"/>
      <c r="G158" s="250"/>
      <c r="H158" s="251"/>
      <c r="I158" s="242"/>
      <c r="J158" s="242"/>
      <c r="K158" s="242"/>
      <c r="L158" s="242"/>
      <c r="M158" s="242"/>
      <c r="N158" s="242"/>
      <c r="O158" s="242"/>
    </row>
    <row r="159">
      <c r="A159" s="242"/>
      <c r="B159" s="242"/>
      <c r="C159" s="243"/>
      <c r="D159" s="242"/>
      <c r="E159" s="242"/>
      <c r="F159" s="242"/>
      <c r="G159" s="250"/>
      <c r="H159" s="251"/>
      <c r="I159" s="242"/>
      <c r="J159" s="242"/>
      <c r="K159" s="242"/>
      <c r="L159" s="242"/>
      <c r="M159" s="242"/>
      <c r="N159" s="242"/>
      <c r="O159" s="242"/>
    </row>
    <row r="160">
      <c r="A160" s="242"/>
      <c r="B160" s="242"/>
      <c r="C160" s="243"/>
      <c r="D160" s="242"/>
      <c r="E160" s="242"/>
      <c r="F160" s="242"/>
      <c r="G160" s="250"/>
      <c r="H160" s="251"/>
      <c r="I160" s="242"/>
      <c r="J160" s="242"/>
      <c r="K160" s="242"/>
      <c r="L160" s="242"/>
      <c r="M160" s="242"/>
      <c r="N160" s="242"/>
      <c r="O160" s="242"/>
    </row>
    <row r="161">
      <c r="A161" s="242"/>
      <c r="B161" s="242"/>
      <c r="C161" s="243"/>
      <c r="D161" s="242"/>
      <c r="E161" s="242"/>
      <c r="F161" s="242"/>
      <c r="G161" s="250"/>
      <c r="H161" s="251"/>
      <c r="I161" s="242"/>
      <c r="J161" s="242"/>
      <c r="K161" s="242"/>
      <c r="L161" s="242"/>
      <c r="M161" s="242"/>
      <c r="N161" s="242"/>
      <c r="O161" s="242"/>
    </row>
    <row r="162">
      <c r="A162" s="242"/>
      <c r="B162" s="242"/>
      <c r="C162" s="243"/>
      <c r="D162" s="242"/>
      <c r="E162" s="242"/>
      <c r="F162" s="242"/>
      <c r="G162" s="250"/>
      <c r="H162" s="251"/>
      <c r="I162" s="242"/>
      <c r="J162" s="242"/>
      <c r="K162" s="242"/>
      <c r="L162" s="242"/>
      <c r="M162" s="242"/>
      <c r="N162" s="242"/>
      <c r="O162" s="242"/>
    </row>
    <row r="163">
      <c r="A163" s="242"/>
      <c r="B163" s="242"/>
      <c r="C163" s="243"/>
      <c r="D163" s="242"/>
      <c r="E163" s="242"/>
      <c r="F163" s="242"/>
      <c r="G163" s="250"/>
      <c r="H163" s="251"/>
      <c r="I163" s="242"/>
      <c r="J163" s="242"/>
      <c r="K163" s="242"/>
      <c r="L163" s="242"/>
      <c r="M163" s="242"/>
      <c r="N163" s="242"/>
      <c r="O163" s="242"/>
    </row>
    <row r="164">
      <c r="A164" s="242"/>
      <c r="B164" s="242"/>
      <c r="C164" s="243"/>
      <c r="D164" s="242"/>
      <c r="E164" s="242"/>
      <c r="F164" s="242"/>
      <c r="G164" s="250"/>
      <c r="H164" s="251"/>
      <c r="I164" s="242"/>
      <c r="J164" s="242"/>
      <c r="K164" s="242"/>
      <c r="L164" s="242"/>
      <c r="M164" s="242"/>
      <c r="N164" s="242"/>
      <c r="O164" s="242"/>
    </row>
    <row r="165">
      <c r="A165" s="242"/>
      <c r="B165" s="242"/>
      <c r="C165" s="243"/>
      <c r="D165" s="242"/>
      <c r="E165" s="242"/>
      <c r="F165" s="242"/>
      <c r="G165" s="250"/>
      <c r="H165" s="251"/>
      <c r="I165" s="242"/>
      <c r="J165" s="242"/>
      <c r="K165" s="242"/>
      <c r="L165" s="242"/>
      <c r="M165" s="242"/>
      <c r="N165" s="242"/>
      <c r="O165" s="242"/>
    </row>
    <row r="166">
      <c r="A166" s="242"/>
      <c r="B166" s="242"/>
      <c r="C166" s="243"/>
      <c r="D166" s="242"/>
      <c r="E166" s="242"/>
      <c r="F166" s="242"/>
      <c r="G166" s="250"/>
      <c r="H166" s="251"/>
      <c r="I166" s="242"/>
      <c r="J166" s="242"/>
      <c r="K166" s="242"/>
      <c r="L166" s="242"/>
      <c r="M166" s="242"/>
      <c r="N166" s="242"/>
      <c r="O166" s="242"/>
    </row>
    <row r="167">
      <c r="A167" s="242"/>
      <c r="B167" s="242"/>
      <c r="C167" s="243"/>
      <c r="D167" s="242"/>
      <c r="E167" s="242"/>
      <c r="F167" s="242"/>
      <c r="G167" s="250"/>
      <c r="H167" s="251"/>
      <c r="I167" s="242"/>
      <c r="J167" s="242"/>
      <c r="K167" s="242"/>
      <c r="L167" s="242"/>
      <c r="M167" s="242"/>
      <c r="N167" s="242"/>
      <c r="O167" s="242"/>
    </row>
    <row r="168">
      <c r="A168" s="242"/>
      <c r="B168" s="242"/>
      <c r="C168" s="243"/>
      <c r="D168" s="242"/>
      <c r="E168" s="242"/>
      <c r="F168" s="242"/>
      <c r="G168" s="250"/>
      <c r="H168" s="251"/>
      <c r="I168" s="242"/>
      <c r="J168" s="242"/>
      <c r="K168" s="242"/>
      <c r="L168" s="242"/>
      <c r="M168" s="242"/>
      <c r="N168" s="242"/>
      <c r="O168" s="242"/>
    </row>
    <row r="169">
      <c r="A169" s="242"/>
      <c r="B169" s="242"/>
      <c r="C169" s="243"/>
      <c r="D169" s="242"/>
      <c r="E169" s="242"/>
      <c r="F169" s="242"/>
      <c r="G169" s="250"/>
      <c r="H169" s="251"/>
      <c r="I169" s="242"/>
      <c r="J169" s="242"/>
      <c r="K169" s="242"/>
      <c r="L169" s="242"/>
      <c r="M169" s="242"/>
      <c r="N169" s="242"/>
      <c r="O169" s="242"/>
    </row>
    <row r="170">
      <c r="A170" s="242"/>
      <c r="B170" s="242"/>
      <c r="C170" s="243"/>
      <c r="D170" s="242"/>
      <c r="E170" s="242"/>
      <c r="F170" s="242"/>
      <c r="G170" s="250"/>
      <c r="H170" s="251"/>
      <c r="I170" s="242"/>
      <c r="J170" s="242"/>
      <c r="K170" s="242"/>
      <c r="L170" s="242"/>
      <c r="M170" s="242"/>
      <c r="N170" s="242"/>
      <c r="O170" s="242"/>
    </row>
    <row r="171">
      <c r="A171" s="242"/>
      <c r="B171" s="242"/>
      <c r="C171" s="243"/>
      <c r="D171" s="242"/>
      <c r="E171" s="242"/>
      <c r="F171" s="242"/>
      <c r="G171" s="250"/>
      <c r="H171" s="251"/>
      <c r="I171" s="242"/>
      <c r="J171" s="242"/>
      <c r="K171" s="242"/>
      <c r="L171" s="242"/>
      <c r="M171" s="242"/>
      <c r="N171" s="242"/>
      <c r="O171" s="242"/>
    </row>
    <row r="172">
      <c r="A172" s="242"/>
      <c r="B172" s="242"/>
      <c r="C172" s="243"/>
      <c r="D172" s="242"/>
      <c r="E172" s="242"/>
      <c r="F172" s="242"/>
      <c r="G172" s="250"/>
      <c r="H172" s="251"/>
      <c r="I172" s="242"/>
      <c r="J172" s="242"/>
      <c r="K172" s="242"/>
      <c r="L172" s="242"/>
      <c r="M172" s="242"/>
      <c r="N172" s="242"/>
      <c r="O172" s="242"/>
    </row>
    <row r="173">
      <c r="A173" s="242"/>
      <c r="B173" s="242"/>
      <c r="C173" s="243"/>
      <c r="D173" s="242"/>
      <c r="E173" s="242"/>
      <c r="F173" s="242"/>
      <c r="G173" s="250"/>
      <c r="H173" s="251"/>
      <c r="I173" s="242"/>
      <c r="J173" s="242"/>
      <c r="K173" s="242"/>
      <c r="L173" s="242"/>
      <c r="M173" s="242"/>
      <c r="N173" s="242"/>
      <c r="O173" s="242"/>
    </row>
    <row r="174">
      <c r="A174" s="242"/>
      <c r="B174" s="242"/>
      <c r="C174" s="243"/>
      <c r="D174" s="242"/>
      <c r="E174" s="242"/>
      <c r="F174" s="242"/>
      <c r="G174" s="250"/>
      <c r="H174" s="251"/>
      <c r="I174" s="242"/>
      <c r="J174" s="242"/>
      <c r="K174" s="242"/>
      <c r="L174" s="242"/>
      <c r="M174" s="242"/>
      <c r="N174" s="242"/>
      <c r="O174" s="242"/>
    </row>
    <row r="175">
      <c r="A175" s="242"/>
      <c r="B175" s="242"/>
      <c r="C175" s="243"/>
      <c r="D175" s="242"/>
      <c r="E175" s="242"/>
      <c r="F175" s="242"/>
      <c r="G175" s="250"/>
      <c r="H175" s="251"/>
      <c r="I175" s="242"/>
      <c r="J175" s="242"/>
      <c r="K175" s="242"/>
      <c r="L175" s="242"/>
      <c r="M175" s="242"/>
      <c r="N175" s="242"/>
      <c r="O175" s="242"/>
    </row>
    <row r="176">
      <c r="A176" s="242"/>
      <c r="B176" s="242"/>
      <c r="C176" s="243"/>
      <c r="D176" s="242"/>
      <c r="E176" s="242"/>
      <c r="F176" s="242"/>
      <c r="G176" s="250"/>
      <c r="H176" s="251"/>
      <c r="I176" s="242"/>
      <c r="J176" s="242"/>
      <c r="K176" s="242"/>
      <c r="L176" s="242"/>
      <c r="M176" s="242"/>
      <c r="N176" s="242"/>
      <c r="O176" s="242"/>
    </row>
    <row r="177">
      <c r="A177" s="242"/>
      <c r="B177" s="242"/>
      <c r="C177" s="243"/>
      <c r="D177" s="242"/>
      <c r="E177" s="242"/>
      <c r="F177" s="242"/>
      <c r="G177" s="250"/>
      <c r="H177" s="251"/>
      <c r="I177" s="242"/>
      <c r="J177" s="242"/>
      <c r="K177" s="242"/>
      <c r="L177" s="242"/>
      <c r="M177" s="242"/>
      <c r="N177" s="242"/>
      <c r="O177" s="242"/>
    </row>
    <row r="178">
      <c r="A178" s="242"/>
      <c r="B178" s="242"/>
      <c r="C178" s="243"/>
      <c r="D178" s="242"/>
      <c r="E178" s="242"/>
      <c r="F178" s="242"/>
      <c r="G178" s="250"/>
      <c r="H178" s="251"/>
      <c r="I178" s="242"/>
      <c r="J178" s="242"/>
      <c r="K178" s="242"/>
      <c r="L178" s="242"/>
      <c r="M178" s="242"/>
      <c r="N178" s="242"/>
      <c r="O178" s="242"/>
    </row>
    <row r="179">
      <c r="A179" s="242"/>
      <c r="B179" s="242"/>
      <c r="C179" s="243"/>
      <c r="D179" s="242"/>
      <c r="E179" s="242"/>
      <c r="F179" s="242"/>
      <c r="G179" s="250"/>
      <c r="H179" s="251"/>
      <c r="I179" s="242"/>
      <c r="J179" s="242"/>
      <c r="K179" s="242"/>
      <c r="L179" s="242"/>
      <c r="M179" s="242"/>
      <c r="N179" s="242"/>
      <c r="O179" s="242"/>
    </row>
    <row r="180">
      <c r="A180" s="242"/>
      <c r="B180" s="242"/>
      <c r="C180" s="243"/>
      <c r="D180" s="242"/>
      <c r="E180" s="242"/>
      <c r="F180" s="242"/>
      <c r="G180" s="250"/>
      <c r="H180" s="251"/>
      <c r="I180" s="242"/>
      <c r="J180" s="242"/>
      <c r="K180" s="242"/>
      <c r="L180" s="242"/>
      <c r="M180" s="242"/>
      <c r="N180" s="242"/>
      <c r="O180" s="242"/>
    </row>
    <row r="181">
      <c r="A181" s="242"/>
      <c r="B181" s="242"/>
      <c r="C181" s="243"/>
      <c r="D181" s="242"/>
      <c r="E181" s="242"/>
      <c r="F181" s="242"/>
      <c r="G181" s="250"/>
      <c r="H181" s="251"/>
      <c r="I181" s="242"/>
      <c r="J181" s="242"/>
      <c r="K181" s="242"/>
      <c r="L181" s="242"/>
      <c r="M181" s="242"/>
      <c r="N181" s="242"/>
      <c r="O181" s="242"/>
    </row>
    <row r="182">
      <c r="A182" s="242"/>
      <c r="B182" s="242"/>
      <c r="C182" s="243"/>
      <c r="D182" s="242"/>
      <c r="E182" s="242"/>
      <c r="F182" s="242"/>
      <c r="G182" s="250"/>
      <c r="H182" s="251"/>
      <c r="I182" s="242"/>
      <c r="J182" s="242"/>
      <c r="K182" s="242"/>
      <c r="L182" s="242"/>
      <c r="M182" s="242"/>
      <c r="N182" s="242"/>
      <c r="O182" s="242"/>
    </row>
    <row r="183">
      <c r="A183" s="242"/>
      <c r="B183" s="242"/>
      <c r="C183" s="243"/>
      <c r="D183" s="242"/>
      <c r="E183" s="242"/>
      <c r="F183" s="242"/>
      <c r="G183" s="250"/>
      <c r="H183" s="251"/>
      <c r="I183" s="242"/>
      <c r="J183" s="242"/>
      <c r="K183" s="242"/>
      <c r="L183" s="242"/>
      <c r="M183" s="242"/>
      <c r="N183" s="242"/>
      <c r="O183" s="242"/>
    </row>
    <row r="184">
      <c r="A184" s="242"/>
      <c r="B184" s="242"/>
      <c r="C184" s="243"/>
      <c r="D184" s="242"/>
      <c r="E184" s="242"/>
      <c r="F184" s="242"/>
      <c r="G184" s="250"/>
      <c r="H184" s="251"/>
      <c r="I184" s="242"/>
      <c r="J184" s="242"/>
      <c r="K184" s="242"/>
      <c r="L184" s="242"/>
      <c r="M184" s="242"/>
      <c r="N184" s="242"/>
      <c r="O184" s="242"/>
    </row>
    <row r="185">
      <c r="A185" s="242"/>
      <c r="B185" s="242"/>
      <c r="C185" s="243"/>
      <c r="D185" s="242"/>
      <c r="E185" s="242"/>
      <c r="F185" s="242"/>
      <c r="G185" s="250"/>
      <c r="H185" s="251"/>
      <c r="I185" s="242"/>
      <c r="J185" s="242"/>
      <c r="K185" s="242"/>
      <c r="L185" s="242"/>
      <c r="M185" s="242"/>
      <c r="N185" s="242"/>
      <c r="O185" s="242"/>
    </row>
    <row r="186">
      <c r="A186" s="242"/>
      <c r="B186" s="242"/>
      <c r="C186" s="243"/>
      <c r="D186" s="242"/>
      <c r="E186" s="242"/>
      <c r="F186" s="242"/>
      <c r="G186" s="250"/>
      <c r="H186" s="251"/>
      <c r="I186" s="242"/>
      <c r="J186" s="242"/>
      <c r="K186" s="242"/>
      <c r="L186" s="242"/>
      <c r="M186" s="242"/>
      <c r="N186" s="242"/>
      <c r="O186" s="242"/>
    </row>
    <row r="187">
      <c r="A187" s="242"/>
      <c r="B187" s="242"/>
      <c r="C187" s="243"/>
      <c r="D187" s="242"/>
      <c r="E187" s="242"/>
      <c r="F187" s="242"/>
      <c r="G187" s="250"/>
      <c r="H187" s="251"/>
      <c r="I187" s="242"/>
      <c r="J187" s="242"/>
      <c r="K187" s="242"/>
      <c r="L187" s="242"/>
      <c r="M187" s="242"/>
      <c r="N187" s="242"/>
      <c r="O187" s="242"/>
    </row>
    <row r="188">
      <c r="A188" s="242"/>
      <c r="B188" s="242"/>
      <c r="C188" s="243"/>
      <c r="D188" s="242"/>
      <c r="E188" s="242"/>
      <c r="F188" s="242"/>
      <c r="G188" s="250"/>
      <c r="H188" s="251"/>
      <c r="I188" s="242"/>
      <c r="J188" s="242"/>
      <c r="K188" s="242"/>
      <c r="L188" s="242"/>
      <c r="M188" s="242"/>
      <c r="N188" s="242"/>
      <c r="O188" s="242"/>
    </row>
    <row r="189">
      <c r="A189" s="242"/>
      <c r="B189" s="242"/>
      <c r="C189" s="243"/>
      <c r="D189" s="242"/>
      <c r="E189" s="242"/>
      <c r="F189" s="242"/>
      <c r="G189" s="250"/>
      <c r="H189" s="251"/>
      <c r="I189" s="242"/>
      <c r="J189" s="242"/>
      <c r="K189" s="242"/>
      <c r="L189" s="242"/>
      <c r="M189" s="242"/>
      <c r="N189" s="242"/>
      <c r="O189" s="242"/>
    </row>
    <row r="190">
      <c r="A190" s="242"/>
      <c r="B190" s="242"/>
      <c r="C190" s="243"/>
      <c r="D190" s="242"/>
      <c r="E190" s="242"/>
      <c r="F190" s="242"/>
      <c r="G190" s="250"/>
      <c r="H190" s="251"/>
      <c r="I190" s="242"/>
      <c r="J190" s="242"/>
      <c r="K190" s="242"/>
      <c r="L190" s="242"/>
      <c r="M190" s="242"/>
      <c r="N190" s="242"/>
      <c r="O190" s="242"/>
    </row>
    <row r="191">
      <c r="A191" s="242"/>
      <c r="B191" s="242"/>
      <c r="C191" s="243"/>
      <c r="D191" s="242"/>
      <c r="E191" s="242"/>
      <c r="F191" s="242"/>
      <c r="G191" s="250"/>
      <c r="H191" s="251"/>
      <c r="I191" s="242"/>
      <c r="J191" s="242"/>
      <c r="K191" s="242"/>
      <c r="L191" s="242"/>
      <c r="M191" s="242"/>
      <c r="N191" s="242"/>
      <c r="O191" s="242"/>
    </row>
    <row r="192">
      <c r="A192" s="242"/>
      <c r="B192" s="242"/>
      <c r="C192" s="243"/>
      <c r="D192" s="242"/>
      <c r="E192" s="242"/>
      <c r="F192" s="242"/>
      <c r="G192" s="250"/>
      <c r="H192" s="251"/>
      <c r="I192" s="242"/>
      <c r="J192" s="242"/>
      <c r="K192" s="242"/>
      <c r="L192" s="242"/>
      <c r="M192" s="242"/>
      <c r="N192" s="242"/>
      <c r="O192" s="242"/>
    </row>
    <row r="193">
      <c r="A193" s="242"/>
      <c r="B193" s="242"/>
      <c r="C193" s="243"/>
      <c r="D193" s="242"/>
      <c r="E193" s="242"/>
      <c r="F193" s="242"/>
      <c r="G193" s="250"/>
      <c r="H193" s="251"/>
      <c r="I193" s="242"/>
      <c r="J193" s="242"/>
      <c r="K193" s="242"/>
      <c r="L193" s="242"/>
      <c r="M193" s="242"/>
      <c r="N193" s="242"/>
      <c r="O193" s="242"/>
    </row>
    <row r="194">
      <c r="A194" s="242"/>
      <c r="B194" s="242"/>
      <c r="C194" s="243"/>
      <c r="D194" s="242"/>
      <c r="E194" s="242"/>
      <c r="F194" s="242"/>
      <c r="G194" s="250"/>
      <c r="H194" s="251"/>
      <c r="I194" s="242"/>
      <c r="J194" s="242"/>
      <c r="K194" s="242"/>
      <c r="L194" s="242"/>
      <c r="M194" s="242"/>
      <c r="N194" s="242"/>
      <c r="O194" s="242"/>
    </row>
    <row r="195">
      <c r="A195" s="242"/>
      <c r="B195" s="242"/>
      <c r="C195" s="243"/>
      <c r="D195" s="242"/>
      <c r="E195" s="242"/>
      <c r="F195" s="242"/>
      <c r="G195" s="250"/>
      <c r="H195" s="251"/>
      <c r="I195" s="242"/>
      <c r="J195" s="242"/>
      <c r="K195" s="242"/>
      <c r="L195" s="242"/>
      <c r="M195" s="242"/>
      <c r="N195" s="242"/>
      <c r="O195" s="242"/>
    </row>
    <row r="196">
      <c r="A196" s="242"/>
      <c r="B196" s="242"/>
      <c r="C196" s="243"/>
      <c r="D196" s="242"/>
      <c r="E196" s="242"/>
      <c r="F196" s="242"/>
      <c r="G196" s="250"/>
      <c r="H196" s="251"/>
      <c r="I196" s="242"/>
      <c r="J196" s="242"/>
      <c r="K196" s="242"/>
      <c r="L196" s="242"/>
      <c r="M196" s="242"/>
      <c r="N196" s="242"/>
      <c r="O196" s="242"/>
    </row>
    <row r="197">
      <c r="A197" s="242"/>
      <c r="B197" s="242"/>
      <c r="C197" s="243"/>
      <c r="D197" s="242"/>
      <c r="E197" s="242"/>
      <c r="F197" s="242"/>
      <c r="G197" s="250"/>
      <c r="H197" s="251"/>
      <c r="I197" s="242"/>
      <c r="J197" s="242"/>
      <c r="K197" s="242"/>
      <c r="L197" s="242"/>
      <c r="M197" s="242"/>
      <c r="N197" s="242"/>
      <c r="O197" s="242"/>
    </row>
    <row r="198">
      <c r="A198" s="242"/>
      <c r="B198" s="242"/>
      <c r="C198" s="243"/>
      <c r="D198" s="242"/>
      <c r="E198" s="242"/>
      <c r="F198" s="242"/>
      <c r="G198" s="250"/>
      <c r="H198" s="251"/>
      <c r="I198" s="242"/>
      <c r="J198" s="242"/>
      <c r="K198" s="242"/>
      <c r="L198" s="242"/>
      <c r="M198" s="242"/>
      <c r="N198" s="242"/>
      <c r="O198" s="242"/>
    </row>
    <row r="199">
      <c r="A199" s="242"/>
      <c r="B199" s="242"/>
      <c r="C199" s="243"/>
      <c r="D199" s="242"/>
      <c r="E199" s="242"/>
      <c r="F199" s="242"/>
      <c r="G199" s="250"/>
      <c r="H199" s="251"/>
      <c r="I199" s="242"/>
      <c r="J199" s="242"/>
      <c r="K199" s="242"/>
      <c r="L199" s="242"/>
      <c r="M199" s="242"/>
      <c r="N199" s="242"/>
      <c r="O199" s="242"/>
    </row>
    <row r="200">
      <c r="A200" s="242"/>
      <c r="B200" s="242"/>
      <c r="C200" s="243"/>
      <c r="D200" s="242"/>
      <c r="E200" s="242"/>
      <c r="F200" s="242"/>
      <c r="G200" s="250"/>
      <c r="H200" s="251"/>
      <c r="I200" s="242"/>
      <c r="J200" s="242"/>
      <c r="K200" s="242"/>
      <c r="L200" s="242"/>
      <c r="M200" s="242"/>
      <c r="N200" s="242"/>
      <c r="O200" s="242"/>
    </row>
    <row r="201">
      <c r="A201" s="242"/>
      <c r="B201" s="242"/>
      <c r="C201" s="243"/>
      <c r="D201" s="242"/>
      <c r="E201" s="242"/>
      <c r="F201" s="242"/>
      <c r="G201" s="250"/>
      <c r="H201" s="251"/>
      <c r="I201" s="242"/>
      <c r="J201" s="242"/>
      <c r="K201" s="242"/>
      <c r="L201" s="242"/>
      <c r="M201" s="242"/>
      <c r="N201" s="242"/>
      <c r="O201" s="242"/>
    </row>
    <row r="202">
      <c r="A202" s="242"/>
      <c r="B202" s="242"/>
      <c r="C202" s="243"/>
      <c r="D202" s="242"/>
      <c r="E202" s="242"/>
      <c r="F202" s="242"/>
      <c r="G202" s="250"/>
      <c r="H202" s="251"/>
      <c r="I202" s="242"/>
      <c r="J202" s="242"/>
      <c r="K202" s="242"/>
      <c r="L202" s="242"/>
      <c r="M202" s="242"/>
      <c r="N202" s="242"/>
      <c r="O202" s="242"/>
    </row>
    <row r="203">
      <c r="A203" s="242"/>
      <c r="B203" s="242"/>
      <c r="C203" s="243"/>
      <c r="D203" s="242"/>
      <c r="E203" s="242"/>
      <c r="F203" s="242"/>
      <c r="G203" s="250"/>
      <c r="H203" s="251"/>
      <c r="I203" s="242"/>
      <c r="J203" s="242"/>
      <c r="K203" s="242"/>
      <c r="L203" s="242"/>
      <c r="M203" s="242"/>
      <c r="N203" s="242"/>
      <c r="O203" s="242"/>
    </row>
    <row r="204">
      <c r="A204" s="242"/>
      <c r="B204" s="242"/>
      <c r="C204" s="243"/>
      <c r="D204" s="242"/>
      <c r="E204" s="242"/>
      <c r="F204" s="242"/>
      <c r="G204" s="250"/>
      <c r="H204" s="251"/>
      <c r="I204" s="242"/>
      <c r="J204" s="242"/>
      <c r="K204" s="242"/>
      <c r="L204" s="242"/>
      <c r="M204" s="242"/>
      <c r="N204" s="242"/>
      <c r="O204" s="242"/>
    </row>
    <row r="205">
      <c r="A205" s="242"/>
      <c r="B205" s="242"/>
      <c r="C205" s="243"/>
      <c r="D205" s="242"/>
      <c r="E205" s="242"/>
      <c r="F205" s="242"/>
      <c r="G205" s="250"/>
      <c r="H205" s="251"/>
      <c r="I205" s="242"/>
      <c r="J205" s="242"/>
      <c r="K205" s="242"/>
      <c r="L205" s="242"/>
      <c r="M205" s="242"/>
      <c r="N205" s="242"/>
      <c r="O205" s="242"/>
    </row>
    <row r="206">
      <c r="A206" s="242"/>
      <c r="B206" s="242"/>
      <c r="C206" s="243"/>
      <c r="D206" s="242"/>
      <c r="E206" s="242"/>
      <c r="F206" s="242"/>
      <c r="G206" s="250"/>
      <c r="H206" s="251"/>
      <c r="I206" s="242"/>
      <c r="J206" s="242"/>
      <c r="K206" s="242"/>
      <c r="L206" s="242"/>
      <c r="M206" s="242"/>
      <c r="N206" s="242"/>
      <c r="O206" s="242"/>
    </row>
    <row r="207">
      <c r="A207" s="242"/>
      <c r="B207" s="242"/>
      <c r="C207" s="243"/>
      <c r="D207" s="242"/>
      <c r="E207" s="242"/>
      <c r="F207" s="242"/>
      <c r="G207" s="250"/>
      <c r="H207" s="251"/>
      <c r="I207" s="242"/>
      <c r="J207" s="242"/>
      <c r="K207" s="242"/>
      <c r="L207" s="242"/>
      <c r="M207" s="242"/>
      <c r="N207" s="242"/>
      <c r="O207" s="242"/>
    </row>
    <row r="208">
      <c r="A208" s="242"/>
      <c r="B208" s="242"/>
      <c r="C208" s="243"/>
      <c r="D208" s="242"/>
      <c r="E208" s="242"/>
      <c r="F208" s="242"/>
      <c r="G208" s="250"/>
      <c r="H208" s="251"/>
      <c r="I208" s="242"/>
      <c r="J208" s="242"/>
      <c r="K208" s="242"/>
      <c r="L208" s="242"/>
      <c r="M208" s="242"/>
      <c r="N208" s="242"/>
      <c r="O208" s="242"/>
    </row>
    <row r="209">
      <c r="A209" s="242"/>
      <c r="B209" s="242"/>
      <c r="C209" s="243"/>
      <c r="D209" s="242"/>
      <c r="E209" s="242"/>
      <c r="F209" s="242"/>
      <c r="G209" s="250"/>
      <c r="H209" s="251"/>
      <c r="I209" s="242"/>
      <c r="J209" s="242"/>
      <c r="K209" s="242"/>
      <c r="L209" s="242"/>
      <c r="M209" s="242"/>
      <c r="N209" s="242"/>
      <c r="O209" s="242"/>
    </row>
    <row r="210">
      <c r="A210" s="242"/>
      <c r="B210" s="242"/>
      <c r="C210" s="243"/>
      <c r="D210" s="242"/>
      <c r="E210" s="242"/>
      <c r="F210" s="242"/>
      <c r="G210" s="250"/>
      <c r="H210" s="251"/>
      <c r="I210" s="242"/>
      <c r="J210" s="242"/>
      <c r="K210" s="242"/>
      <c r="L210" s="242"/>
      <c r="M210" s="242"/>
      <c r="N210" s="242"/>
      <c r="O210" s="242"/>
    </row>
    <row r="211">
      <c r="A211" s="242"/>
      <c r="B211" s="242"/>
      <c r="C211" s="243"/>
      <c r="D211" s="242"/>
      <c r="E211" s="242"/>
      <c r="F211" s="242"/>
      <c r="G211" s="250"/>
      <c r="H211" s="251"/>
      <c r="I211" s="242"/>
      <c r="J211" s="242"/>
      <c r="K211" s="242"/>
      <c r="L211" s="242"/>
      <c r="M211" s="242"/>
      <c r="N211" s="242"/>
      <c r="O211" s="242"/>
    </row>
    <row r="212">
      <c r="A212" s="242"/>
      <c r="B212" s="242"/>
      <c r="C212" s="243"/>
      <c r="D212" s="242"/>
      <c r="E212" s="242"/>
      <c r="F212" s="242"/>
      <c r="G212" s="250"/>
      <c r="H212" s="251"/>
      <c r="I212" s="242"/>
      <c r="J212" s="242"/>
      <c r="K212" s="242"/>
      <c r="L212" s="242"/>
      <c r="M212" s="242"/>
      <c r="N212" s="242"/>
      <c r="O212" s="242"/>
    </row>
    <row r="213">
      <c r="A213" s="242"/>
      <c r="B213" s="242"/>
      <c r="C213" s="243"/>
      <c r="D213" s="242"/>
      <c r="E213" s="242"/>
      <c r="F213" s="242"/>
      <c r="G213" s="250"/>
      <c r="H213" s="251"/>
      <c r="I213" s="242"/>
      <c r="J213" s="242"/>
      <c r="K213" s="242"/>
      <c r="L213" s="242"/>
      <c r="M213" s="242"/>
      <c r="N213" s="242"/>
      <c r="O213" s="242"/>
    </row>
    <row r="214">
      <c r="A214" s="242"/>
      <c r="B214" s="242"/>
      <c r="C214" s="243"/>
      <c r="D214" s="242"/>
      <c r="E214" s="242"/>
      <c r="F214" s="242"/>
      <c r="G214" s="250"/>
      <c r="H214" s="251"/>
      <c r="I214" s="242"/>
      <c r="J214" s="242"/>
      <c r="K214" s="242"/>
      <c r="L214" s="242"/>
      <c r="M214" s="242"/>
      <c r="N214" s="242"/>
      <c r="O214" s="242"/>
    </row>
    <row r="215">
      <c r="A215" s="242"/>
      <c r="B215" s="242"/>
      <c r="C215" s="243"/>
      <c r="D215" s="242"/>
      <c r="E215" s="242"/>
      <c r="F215" s="242"/>
      <c r="G215" s="250"/>
      <c r="H215" s="251"/>
      <c r="I215" s="242"/>
      <c r="J215" s="242"/>
      <c r="K215" s="242"/>
      <c r="L215" s="242"/>
      <c r="M215" s="242"/>
      <c r="N215" s="242"/>
      <c r="O215" s="242"/>
    </row>
    <row r="216">
      <c r="A216" s="242"/>
      <c r="B216" s="242"/>
      <c r="C216" s="243"/>
      <c r="D216" s="242"/>
      <c r="E216" s="242"/>
      <c r="F216" s="242"/>
      <c r="G216" s="250"/>
      <c r="H216" s="251"/>
      <c r="I216" s="242"/>
      <c r="J216" s="242"/>
      <c r="K216" s="242"/>
      <c r="L216" s="242"/>
      <c r="M216" s="242"/>
      <c r="N216" s="242"/>
      <c r="O216" s="242"/>
    </row>
    <row r="217">
      <c r="A217" s="242"/>
      <c r="B217" s="242"/>
      <c r="C217" s="243"/>
      <c r="D217" s="242"/>
      <c r="E217" s="242"/>
      <c r="F217" s="242"/>
      <c r="G217" s="250"/>
      <c r="H217" s="251"/>
      <c r="I217" s="242"/>
      <c r="J217" s="242"/>
      <c r="K217" s="242"/>
      <c r="L217" s="242"/>
      <c r="M217" s="242"/>
      <c r="N217" s="242"/>
      <c r="O217" s="242"/>
    </row>
    <row r="218">
      <c r="A218" s="242"/>
      <c r="B218" s="242"/>
      <c r="C218" s="243"/>
      <c r="D218" s="242"/>
      <c r="E218" s="242"/>
      <c r="F218" s="242"/>
      <c r="G218" s="250"/>
      <c r="H218" s="251"/>
      <c r="I218" s="242"/>
      <c r="J218" s="242"/>
      <c r="K218" s="242"/>
      <c r="L218" s="242"/>
      <c r="M218" s="242"/>
      <c r="N218" s="242"/>
      <c r="O218" s="242"/>
    </row>
    <row r="219">
      <c r="A219" s="242"/>
      <c r="B219" s="242"/>
      <c r="C219" s="243"/>
      <c r="D219" s="242"/>
      <c r="E219" s="242"/>
      <c r="F219" s="242"/>
      <c r="G219" s="250"/>
      <c r="H219" s="251"/>
      <c r="I219" s="242"/>
      <c r="J219" s="242"/>
      <c r="K219" s="242"/>
      <c r="L219" s="242"/>
      <c r="M219" s="242"/>
      <c r="N219" s="242"/>
      <c r="O219" s="242"/>
    </row>
    <row r="220">
      <c r="A220" s="242"/>
      <c r="B220" s="242"/>
      <c r="C220" s="243"/>
      <c r="D220" s="242"/>
      <c r="E220" s="242"/>
      <c r="F220" s="242"/>
      <c r="G220" s="250"/>
      <c r="H220" s="251"/>
      <c r="I220" s="242"/>
      <c r="J220" s="242"/>
      <c r="K220" s="242"/>
      <c r="L220" s="242"/>
      <c r="M220" s="242"/>
      <c r="N220" s="242"/>
      <c r="O220" s="242"/>
    </row>
    <row r="221">
      <c r="A221" s="242"/>
      <c r="B221" s="242"/>
      <c r="C221" s="243"/>
      <c r="D221" s="242"/>
      <c r="E221" s="242"/>
      <c r="F221" s="242"/>
      <c r="G221" s="250"/>
      <c r="H221" s="251"/>
      <c r="I221" s="242"/>
      <c r="J221" s="242"/>
      <c r="K221" s="242"/>
      <c r="L221" s="242"/>
      <c r="M221" s="242"/>
      <c r="N221" s="242"/>
      <c r="O221" s="242"/>
    </row>
    <row r="222">
      <c r="A222" s="242"/>
      <c r="B222" s="242"/>
      <c r="C222" s="243"/>
      <c r="D222" s="242"/>
      <c r="E222" s="242"/>
      <c r="F222" s="242"/>
      <c r="G222" s="250"/>
      <c r="H222" s="251"/>
      <c r="I222" s="242"/>
      <c r="J222" s="242"/>
      <c r="K222" s="242"/>
      <c r="L222" s="242"/>
      <c r="M222" s="242"/>
      <c r="N222" s="242"/>
      <c r="O222" s="242"/>
    </row>
    <row r="223">
      <c r="A223" s="242"/>
      <c r="B223" s="242"/>
      <c r="C223" s="243"/>
      <c r="D223" s="242"/>
      <c r="E223" s="242"/>
      <c r="F223" s="242"/>
      <c r="G223" s="250"/>
      <c r="H223" s="251"/>
      <c r="I223" s="242"/>
      <c r="J223" s="242"/>
      <c r="K223" s="242"/>
      <c r="L223" s="242"/>
      <c r="M223" s="242"/>
      <c r="N223" s="242"/>
      <c r="O223" s="242"/>
    </row>
    <row r="224">
      <c r="A224" s="242"/>
      <c r="B224" s="242"/>
      <c r="C224" s="243"/>
      <c r="D224" s="242"/>
      <c r="E224" s="242"/>
      <c r="F224" s="242"/>
      <c r="G224" s="250"/>
      <c r="H224" s="251"/>
      <c r="I224" s="242"/>
      <c r="J224" s="242"/>
      <c r="K224" s="242"/>
      <c r="L224" s="242"/>
      <c r="M224" s="242"/>
      <c r="N224" s="242"/>
      <c r="O224" s="242"/>
    </row>
    <row r="225">
      <c r="A225" s="242"/>
      <c r="B225" s="242"/>
      <c r="C225" s="243"/>
      <c r="D225" s="242"/>
      <c r="E225" s="242"/>
      <c r="F225" s="242"/>
      <c r="G225" s="250"/>
      <c r="H225" s="251"/>
      <c r="I225" s="242"/>
      <c r="J225" s="242"/>
      <c r="K225" s="242"/>
      <c r="L225" s="242"/>
      <c r="M225" s="242"/>
      <c r="N225" s="242"/>
      <c r="O225" s="242"/>
    </row>
    <row r="226">
      <c r="A226" s="242"/>
      <c r="B226" s="242"/>
      <c r="C226" s="243"/>
      <c r="D226" s="242"/>
      <c r="E226" s="242"/>
      <c r="F226" s="242"/>
      <c r="G226" s="250"/>
      <c r="H226" s="251"/>
      <c r="I226" s="242"/>
      <c r="J226" s="242"/>
      <c r="K226" s="242"/>
      <c r="L226" s="242"/>
      <c r="M226" s="242"/>
      <c r="N226" s="242"/>
      <c r="O226" s="242"/>
    </row>
    <row r="227">
      <c r="A227" s="242"/>
      <c r="B227" s="242"/>
      <c r="C227" s="243"/>
      <c r="D227" s="242"/>
      <c r="E227" s="242"/>
      <c r="F227" s="242"/>
      <c r="G227" s="250"/>
      <c r="H227" s="251"/>
      <c r="I227" s="242"/>
      <c r="J227" s="242"/>
      <c r="K227" s="242"/>
      <c r="L227" s="242"/>
      <c r="M227" s="242"/>
      <c r="N227" s="242"/>
      <c r="O227" s="242"/>
    </row>
    <row r="228">
      <c r="A228" s="242"/>
      <c r="B228" s="242"/>
      <c r="C228" s="243"/>
      <c r="D228" s="242"/>
      <c r="E228" s="242"/>
      <c r="F228" s="242"/>
      <c r="G228" s="250"/>
      <c r="H228" s="251"/>
      <c r="I228" s="242"/>
      <c r="J228" s="242"/>
      <c r="K228" s="242"/>
      <c r="L228" s="242"/>
      <c r="M228" s="242"/>
      <c r="N228" s="242"/>
      <c r="O228" s="242"/>
    </row>
    <row r="229">
      <c r="A229" s="242"/>
      <c r="B229" s="242"/>
      <c r="C229" s="243"/>
      <c r="D229" s="242"/>
      <c r="E229" s="242"/>
      <c r="F229" s="242"/>
      <c r="G229" s="250"/>
      <c r="H229" s="251"/>
      <c r="I229" s="242"/>
      <c r="J229" s="242"/>
      <c r="K229" s="242"/>
      <c r="L229" s="242"/>
      <c r="M229" s="242"/>
      <c r="N229" s="242"/>
      <c r="O229" s="242"/>
    </row>
    <row r="230">
      <c r="A230" s="242"/>
      <c r="B230" s="242"/>
      <c r="C230" s="243"/>
      <c r="D230" s="242"/>
      <c r="E230" s="242"/>
      <c r="F230" s="242"/>
      <c r="G230" s="250"/>
      <c r="H230" s="251"/>
      <c r="I230" s="242"/>
      <c r="J230" s="242"/>
      <c r="K230" s="242"/>
      <c r="L230" s="242"/>
      <c r="M230" s="242"/>
      <c r="N230" s="242"/>
      <c r="O230" s="242"/>
    </row>
    <row r="231">
      <c r="A231" s="242"/>
      <c r="B231" s="242"/>
      <c r="C231" s="243"/>
      <c r="D231" s="242"/>
      <c r="E231" s="242"/>
      <c r="F231" s="242"/>
      <c r="G231" s="250"/>
      <c r="H231" s="251"/>
      <c r="I231" s="242"/>
      <c r="J231" s="242"/>
      <c r="K231" s="242"/>
      <c r="L231" s="242"/>
      <c r="M231" s="242"/>
      <c r="N231" s="242"/>
      <c r="O231" s="242"/>
    </row>
    <row r="232">
      <c r="A232" s="242"/>
      <c r="B232" s="242"/>
      <c r="C232" s="243"/>
      <c r="D232" s="242"/>
      <c r="E232" s="242"/>
      <c r="F232" s="242"/>
      <c r="G232" s="250"/>
      <c r="H232" s="251"/>
      <c r="I232" s="242"/>
      <c r="J232" s="242"/>
      <c r="K232" s="242"/>
      <c r="L232" s="242"/>
      <c r="M232" s="242"/>
      <c r="N232" s="242"/>
      <c r="O232" s="242"/>
    </row>
    <row r="233">
      <c r="A233" s="242"/>
      <c r="B233" s="242"/>
      <c r="C233" s="243"/>
      <c r="D233" s="242"/>
      <c r="E233" s="242"/>
      <c r="F233" s="242"/>
      <c r="G233" s="250"/>
      <c r="H233" s="251"/>
      <c r="I233" s="242"/>
      <c r="J233" s="242"/>
      <c r="K233" s="242"/>
      <c r="L233" s="242"/>
      <c r="M233" s="242"/>
      <c r="N233" s="242"/>
      <c r="O233" s="242"/>
    </row>
    <row r="234">
      <c r="A234" s="242"/>
      <c r="B234" s="242"/>
      <c r="C234" s="243"/>
      <c r="D234" s="242"/>
      <c r="E234" s="242"/>
      <c r="F234" s="242"/>
      <c r="G234" s="250"/>
      <c r="H234" s="251"/>
      <c r="I234" s="242"/>
      <c r="J234" s="242"/>
      <c r="K234" s="242"/>
      <c r="L234" s="242"/>
      <c r="M234" s="242"/>
      <c r="N234" s="242"/>
      <c r="O234" s="242"/>
    </row>
    <row r="235">
      <c r="A235" s="242"/>
      <c r="B235" s="242"/>
      <c r="C235" s="243"/>
      <c r="D235" s="242"/>
      <c r="E235" s="242"/>
      <c r="F235" s="242"/>
      <c r="G235" s="250"/>
      <c r="H235" s="251"/>
      <c r="I235" s="242"/>
      <c r="J235" s="242"/>
      <c r="K235" s="242"/>
      <c r="L235" s="242"/>
      <c r="M235" s="242"/>
      <c r="N235" s="242"/>
      <c r="O235" s="242"/>
    </row>
    <row r="236">
      <c r="A236" s="242"/>
      <c r="B236" s="242"/>
      <c r="C236" s="243"/>
      <c r="D236" s="242"/>
      <c r="E236" s="242"/>
      <c r="F236" s="242"/>
      <c r="G236" s="250"/>
      <c r="H236" s="251"/>
      <c r="I236" s="242"/>
      <c r="J236" s="242"/>
      <c r="K236" s="242"/>
      <c r="L236" s="242"/>
      <c r="M236" s="242"/>
      <c r="N236" s="242"/>
      <c r="O236" s="242"/>
    </row>
    <row r="237">
      <c r="A237" s="242"/>
      <c r="B237" s="242"/>
      <c r="C237" s="243"/>
      <c r="D237" s="242"/>
      <c r="E237" s="242"/>
      <c r="F237" s="242"/>
      <c r="G237" s="250"/>
      <c r="H237" s="251"/>
      <c r="I237" s="242"/>
      <c r="J237" s="242"/>
      <c r="K237" s="242"/>
      <c r="L237" s="242"/>
      <c r="M237" s="242"/>
      <c r="N237" s="242"/>
      <c r="O237" s="242"/>
    </row>
    <row r="238">
      <c r="A238" s="242"/>
      <c r="B238" s="242"/>
      <c r="C238" s="243"/>
      <c r="D238" s="242"/>
      <c r="E238" s="242"/>
      <c r="F238" s="242"/>
      <c r="G238" s="250"/>
      <c r="H238" s="251"/>
      <c r="I238" s="242"/>
      <c r="J238" s="242"/>
      <c r="K238" s="242"/>
      <c r="L238" s="242"/>
      <c r="M238" s="242"/>
      <c r="N238" s="242"/>
      <c r="O238" s="242"/>
    </row>
    <row r="239">
      <c r="A239" s="242"/>
      <c r="B239" s="242"/>
      <c r="C239" s="243"/>
      <c r="D239" s="242"/>
      <c r="E239" s="242"/>
      <c r="F239" s="242"/>
      <c r="G239" s="250"/>
      <c r="H239" s="251"/>
      <c r="I239" s="242"/>
      <c r="J239" s="242"/>
      <c r="K239" s="242"/>
      <c r="L239" s="242"/>
      <c r="M239" s="242"/>
      <c r="N239" s="242"/>
      <c r="O239" s="242"/>
    </row>
    <row r="240">
      <c r="A240" s="242"/>
      <c r="B240" s="242"/>
      <c r="C240" s="243"/>
      <c r="D240" s="242"/>
      <c r="E240" s="242"/>
      <c r="F240" s="242"/>
      <c r="G240" s="250"/>
      <c r="H240" s="251"/>
      <c r="I240" s="242"/>
      <c r="J240" s="242"/>
      <c r="K240" s="242"/>
      <c r="L240" s="242"/>
      <c r="M240" s="242"/>
      <c r="N240" s="242"/>
      <c r="O240" s="242"/>
    </row>
    <row r="241">
      <c r="A241" s="242"/>
      <c r="B241" s="242"/>
      <c r="C241" s="243"/>
      <c r="D241" s="242"/>
      <c r="E241" s="242"/>
      <c r="F241" s="242"/>
      <c r="G241" s="250"/>
      <c r="H241" s="251"/>
      <c r="I241" s="242"/>
      <c r="J241" s="242"/>
      <c r="K241" s="242"/>
      <c r="L241" s="242"/>
      <c r="M241" s="242"/>
      <c r="N241" s="242"/>
      <c r="O241" s="242"/>
    </row>
    <row r="242">
      <c r="A242" s="242"/>
      <c r="B242" s="242"/>
      <c r="C242" s="243"/>
      <c r="D242" s="242"/>
      <c r="E242" s="242"/>
      <c r="F242" s="242"/>
      <c r="G242" s="250"/>
      <c r="H242" s="251"/>
      <c r="I242" s="242"/>
      <c r="J242" s="242"/>
      <c r="K242" s="242"/>
      <c r="L242" s="242"/>
      <c r="M242" s="242"/>
      <c r="N242" s="242"/>
      <c r="O242" s="242"/>
    </row>
    <row r="243">
      <c r="A243" s="242"/>
      <c r="B243" s="242"/>
      <c r="C243" s="243"/>
      <c r="D243" s="242"/>
      <c r="E243" s="242"/>
      <c r="F243" s="242"/>
      <c r="G243" s="250"/>
      <c r="H243" s="251"/>
      <c r="I243" s="242"/>
      <c r="J243" s="242"/>
      <c r="K243" s="242"/>
      <c r="L243" s="242"/>
      <c r="M243" s="242"/>
      <c r="N243" s="242"/>
      <c r="O243" s="242"/>
    </row>
    <row r="244">
      <c r="A244" s="242"/>
      <c r="B244" s="242"/>
      <c r="C244" s="243"/>
      <c r="D244" s="242"/>
      <c r="E244" s="242"/>
      <c r="F244" s="242"/>
      <c r="G244" s="250"/>
      <c r="H244" s="251"/>
      <c r="I244" s="242"/>
      <c r="J244" s="242"/>
      <c r="K244" s="242"/>
      <c r="L244" s="242"/>
      <c r="M244" s="242"/>
      <c r="N244" s="242"/>
      <c r="O244" s="242"/>
    </row>
    <row r="245">
      <c r="A245" s="242"/>
      <c r="B245" s="242"/>
      <c r="C245" s="243"/>
      <c r="D245" s="242"/>
      <c r="E245" s="242"/>
      <c r="F245" s="242"/>
      <c r="G245" s="250"/>
      <c r="H245" s="251"/>
      <c r="I245" s="242"/>
      <c r="J245" s="242"/>
      <c r="K245" s="242"/>
      <c r="L245" s="242"/>
      <c r="M245" s="242"/>
      <c r="N245" s="242"/>
      <c r="O245" s="242"/>
    </row>
    <row r="246">
      <c r="A246" s="242"/>
      <c r="B246" s="242"/>
      <c r="C246" s="243"/>
      <c r="D246" s="242"/>
      <c r="E246" s="242"/>
      <c r="F246" s="242"/>
      <c r="G246" s="250"/>
      <c r="H246" s="251"/>
      <c r="I246" s="242"/>
      <c r="J246" s="242"/>
      <c r="K246" s="242"/>
      <c r="L246" s="242"/>
      <c r="M246" s="242"/>
      <c r="N246" s="242"/>
      <c r="O246" s="242"/>
    </row>
    <row r="247">
      <c r="A247" s="242"/>
      <c r="B247" s="242"/>
      <c r="C247" s="243"/>
      <c r="D247" s="242"/>
      <c r="E247" s="242"/>
      <c r="F247" s="242"/>
      <c r="G247" s="250"/>
      <c r="H247" s="251"/>
      <c r="I247" s="242"/>
      <c r="J247" s="242"/>
      <c r="K247" s="242"/>
      <c r="L247" s="242"/>
      <c r="M247" s="242"/>
      <c r="N247" s="242"/>
      <c r="O247" s="242"/>
    </row>
    <row r="248">
      <c r="A248" s="242"/>
      <c r="B248" s="242"/>
      <c r="C248" s="243"/>
      <c r="D248" s="242"/>
      <c r="E248" s="242"/>
      <c r="F248" s="242"/>
      <c r="G248" s="250"/>
      <c r="H248" s="251"/>
      <c r="I248" s="242"/>
      <c r="J248" s="242"/>
      <c r="K248" s="242"/>
      <c r="L248" s="242"/>
      <c r="M248" s="242"/>
      <c r="N248" s="242"/>
      <c r="O248" s="242"/>
    </row>
    <row r="249">
      <c r="A249" s="242"/>
      <c r="B249" s="242"/>
      <c r="C249" s="243"/>
      <c r="D249" s="242"/>
      <c r="E249" s="242"/>
      <c r="F249" s="242"/>
      <c r="G249" s="250"/>
      <c r="H249" s="251"/>
      <c r="I249" s="242"/>
      <c r="J249" s="242"/>
      <c r="K249" s="242"/>
      <c r="L249" s="242"/>
      <c r="M249" s="242"/>
      <c r="N249" s="242"/>
      <c r="O249" s="242"/>
    </row>
    <row r="250">
      <c r="A250" s="242"/>
      <c r="B250" s="242"/>
      <c r="C250" s="243"/>
      <c r="D250" s="242"/>
      <c r="E250" s="242"/>
      <c r="F250" s="242"/>
      <c r="G250" s="250"/>
      <c r="H250" s="251"/>
      <c r="I250" s="242"/>
      <c r="J250" s="242"/>
      <c r="K250" s="242"/>
      <c r="L250" s="242"/>
      <c r="M250" s="242"/>
      <c r="N250" s="242"/>
      <c r="O250" s="242"/>
    </row>
    <row r="251">
      <c r="A251" s="242"/>
      <c r="B251" s="242"/>
      <c r="C251" s="243"/>
      <c r="D251" s="242"/>
      <c r="E251" s="242"/>
      <c r="F251" s="242"/>
      <c r="G251" s="250"/>
      <c r="H251" s="251"/>
      <c r="I251" s="242"/>
      <c r="J251" s="242"/>
      <c r="K251" s="242"/>
      <c r="L251" s="242"/>
      <c r="M251" s="242"/>
      <c r="N251" s="242"/>
      <c r="O251" s="242"/>
    </row>
    <row r="252">
      <c r="A252" s="242"/>
      <c r="B252" s="242"/>
      <c r="C252" s="243"/>
      <c r="D252" s="242"/>
      <c r="E252" s="242"/>
      <c r="F252" s="242"/>
      <c r="G252" s="250"/>
      <c r="H252" s="251"/>
      <c r="I252" s="242"/>
      <c r="J252" s="242"/>
      <c r="K252" s="242"/>
      <c r="L252" s="242"/>
      <c r="M252" s="242"/>
      <c r="N252" s="242"/>
      <c r="O252" s="242"/>
    </row>
    <row r="253">
      <c r="A253" s="242"/>
      <c r="B253" s="242"/>
      <c r="C253" s="243"/>
      <c r="D253" s="242"/>
      <c r="E253" s="242"/>
      <c r="F253" s="242"/>
      <c r="G253" s="250"/>
      <c r="H253" s="251"/>
      <c r="I253" s="242"/>
      <c r="J253" s="242"/>
      <c r="K253" s="242"/>
      <c r="L253" s="242"/>
      <c r="M253" s="242"/>
      <c r="N253" s="242"/>
      <c r="O253" s="242"/>
    </row>
    <row r="254">
      <c r="A254" s="242"/>
      <c r="B254" s="242"/>
      <c r="C254" s="243"/>
      <c r="D254" s="242"/>
      <c r="E254" s="242"/>
      <c r="F254" s="242"/>
      <c r="G254" s="250"/>
      <c r="H254" s="251"/>
      <c r="I254" s="242"/>
      <c r="J254" s="242"/>
      <c r="K254" s="242"/>
      <c r="L254" s="242"/>
      <c r="M254" s="242"/>
      <c r="N254" s="242"/>
      <c r="O254" s="242"/>
    </row>
    <row r="255">
      <c r="A255" s="242"/>
      <c r="B255" s="242"/>
      <c r="C255" s="243"/>
      <c r="D255" s="242"/>
      <c r="E255" s="242"/>
      <c r="F255" s="242"/>
      <c r="G255" s="250"/>
      <c r="H255" s="251"/>
      <c r="I255" s="242"/>
      <c r="J255" s="242"/>
      <c r="K255" s="242"/>
      <c r="L255" s="242"/>
      <c r="M255" s="242"/>
      <c r="N255" s="242"/>
      <c r="O255" s="242"/>
    </row>
    <row r="256">
      <c r="A256" s="242"/>
      <c r="B256" s="242"/>
      <c r="C256" s="243"/>
      <c r="D256" s="242"/>
      <c r="E256" s="242"/>
      <c r="F256" s="242"/>
      <c r="G256" s="250"/>
      <c r="H256" s="251"/>
      <c r="I256" s="242"/>
      <c r="J256" s="242"/>
      <c r="K256" s="242"/>
      <c r="L256" s="242"/>
      <c r="M256" s="242"/>
      <c r="N256" s="242"/>
      <c r="O256" s="242"/>
    </row>
    <row r="257">
      <c r="A257" s="242"/>
      <c r="B257" s="242"/>
      <c r="C257" s="243"/>
      <c r="D257" s="242"/>
      <c r="E257" s="242"/>
      <c r="F257" s="242"/>
      <c r="G257" s="250"/>
      <c r="H257" s="251"/>
      <c r="I257" s="242"/>
      <c r="J257" s="242"/>
      <c r="K257" s="242"/>
      <c r="L257" s="242"/>
      <c r="M257" s="242"/>
      <c r="N257" s="242"/>
      <c r="O257" s="242"/>
    </row>
    <row r="258">
      <c r="A258" s="242"/>
      <c r="B258" s="242"/>
      <c r="C258" s="243"/>
      <c r="D258" s="242"/>
      <c r="E258" s="242"/>
      <c r="F258" s="242"/>
      <c r="G258" s="250"/>
      <c r="H258" s="251"/>
      <c r="I258" s="242"/>
      <c r="J258" s="242"/>
      <c r="K258" s="242"/>
      <c r="L258" s="242"/>
      <c r="M258" s="242"/>
      <c r="N258" s="242"/>
      <c r="O258" s="242"/>
    </row>
    <row r="259">
      <c r="A259" s="242"/>
      <c r="B259" s="242"/>
      <c r="C259" s="243"/>
      <c r="D259" s="242"/>
      <c r="E259" s="242"/>
      <c r="F259" s="242"/>
      <c r="G259" s="250"/>
      <c r="H259" s="251"/>
      <c r="I259" s="242"/>
      <c r="J259" s="242"/>
      <c r="K259" s="242"/>
      <c r="L259" s="242"/>
      <c r="M259" s="242"/>
      <c r="N259" s="242"/>
      <c r="O259" s="242"/>
    </row>
    <row r="260">
      <c r="A260" s="242"/>
      <c r="B260" s="242"/>
      <c r="C260" s="243"/>
      <c r="D260" s="242"/>
      <c r="E260" s="242"/>
      <c r="F260" s="242"/>
      <c r="G260" s="250"/>
      <c r="H260" s="251"/>
      <c r="I260" s="242"/>
      <c r="J260" s="242"/>
      <c r="K260" s="242"/>
      <c r="L260" s="242"/>
      <c r="M260" s="242"/>
      <c r="N260" s="242"/>
      <c r="O260" s="242"/>
    </row>
    <row r="261">
      <c r="A261" s="242"/>
      <c r="B261" s="242"/>
      <c r="C261" s="243"/>
      <c r="D261" s="242"/>
      <c r="E261" s="242"/>
      <c r="F261" s="242"/>
      <c r="G261" s="250"/>
      <c r="H261" s="251"/>
      <c r="I261" s="242"/>
      <c r="J261" s="242"/>
      <c r="K261" s="242"/>
      <c r="L261" s="242"/>
      <c r="M261" s="242"/>
      <c r="N261" s="242"/>
      <c r="O261" s="242"/>
    </row>
    <row r="262">
      <c r="A262" s="242"/>
      <c r="B262" s="242"/>
      <c r="C262" s="243"/>
      <c r="D262" s="242"/>
      <c r="E262" s="242"/>
      <c r="F262" s="242"/>
      <c r="G262" s="250"/>
      <c r="H262" s="251"/>
      <c r="I262" s="242"/>
      <c r="J262" s="242"/>
      <c r="K262" s="242"/>
      <c r="L262" s="242"/>
      <c r="M262" s="242"/>
      <c r="N262" s="242"/>
      <c r="O262" s="242"/>
    </row>
    <row r="263">
      <c r="A263" s="242"/>
      <c r="B263" s="242"/>
      <c r="C263" s="243"/>
      <c r="D263" s="242"/>
      <c r="E263" s="242"/>
      <c r="F263" s="242"/>
      <c r="G263" s="250"/>
      <c r="H263" s="251"/>
      <c r="I263" s="242"/>
      <c r="J263" s="242"/>
      <c r="K263" s="242"/>
      <c r="L263" s="242"/>
      <c r="M263" s="242"/>
      <c r="N263" s="242"/>
      <c r="O263" s="242"/>
    </row>
    <row r="264">
      <c r="A264" s="242"/>
      <c r="B264" s="242"/>
      <c r="C264" s="243"/>
      <c r="D264" s="242"/>
      <c r="E264" s="242"/>
      <c r="F264" s="242"/>
      <c r="G264" s="250"/>
      <c r="H264" s="251"/>
      <c r="I264" s="242"/>
      <c r="J264" s="242"/>
      <c r="K264" s="242"/>
      <c r="L264" s="242"/>
      <c r="M264" s="242"/>
      <c r="N264" s="242"/>
      <c r="O264" s="242"/>
    </row>
    <row r="265">
      <c r="A265" s="242"/>
      <c r="B265" s="242"/>
      <c r="C265" s="243"/>
      <c r="D265" s="242"/>
      <c r="E265" s="242"/>
      <c r="F265" s="242"/>
      <c r="G265" s="250"/>
      <c r="H265" s="251"/>
      <c r="I265" s="242"/>
      <c r="J265" s="242"/>
      <c r="K265" s="242"/>
      <c r="L265" s="242"/>
      <c r="M265" s="242"/>
      <c r="N265" s="242"/>
      <c r="O265" s="242"/>
    </row>
    <row r="266">
      <c r="A266" s="242"/>
      <c r="B266" s="242"/>
      <c r="C266" s="243"/>
      <c r="D266" s="242"/>
      <c r="E266" s="242"/>
      <c r="F266" s="242"/>
      <c r="G266" s="250"/>
      <c r="H266" s="251"/>
      <c r="I266" s="242"/>
      <c r="J266" s="242"/>
      <c r="K266" s="242"/>
      <c r="L266" s="242"/>
      <c r="M266" s="242"/>
      <c r="N266" s="242"/>
      <c r="O266" s="242"/>
    </row>
    <row r="267">
      <c r="A267" s="242"/>
      <c r="B267" s="242"/>
      <c r="C267" s="243"/>
      <c r="D267" s="242"/>
      <c r="E267" s="242"/>
      <c r="F267" s="242"/>
      <c r="G267" s="250"/>
      <c r="H267" s="251"/>
      <c r="I267" s="242"/>
      <c r="J267" s="242"/>
      <c r="K267" s="242"/>
      <c r="L267" s="242"/>
      <c r="M267" s="242"/>
      <c r="N267" s="242"/>
      <c r="O267" s="242"/>
    </row>
    <row r="268">
      <c r="A268" s="242"/>
      <c r="B268" s="242"/>
      <c r="C268" s="243"/>
      <c r="D268" s="242"/>
      <c r="E268" s="242"/>
      <c r="F268" s="242"/>
      <c r="G268" s="250"/>
      <c r="H268" s="251"/>
      <c r="I268" s="242"/>
      <c r="J268" s="242"/>
      <c r="K268" s="242"/>
      <c r="L268" s="242"/>
      <c r="M268" s="242"/>
      <c r="N268" s="242"/>
      <c r="O268" s="242"/>
    </row>
    <row r="269">
      <c r="A269" s="242"/>
      <c r="B269" s="242"/>
      <c r="C269" s="243"/>
      <c r="D269" s="242"/>
      <c r="E269" s="242"/>
      <c r="F269" s="242"/>
      <c r="G269" s="250"/>
      <c r="H269" s="251"/>
      <c r="I269" s="242"/>
      <c r="J269" s="242"/>
      <c r="K269" s="242"/>
      <c r="L269" s="242"/>
      <c r="M269" s="242"/>
      <c r="N269" s="242"/>
      <c r="O269" s="242"/>
    </row>
    <row r="270">
      <c r="A270" s="242"/>
      <c r="B270" s="242"/>
      <c r="C270" s="243"/>
      <c r="D270" s="242"/>
      <c r="E270" s="242"/>
      <c r="F270" s="242"/>
      <c r="G270" s="250"/>
      <c r="H270" s="251"/>
      <c r="I270" s="242"/>
      <c r="J270" s="242"/>
      <c r="K270" s="242"/>
      <c r="L270" s="242"/>
      <c r="M270" s="242"/>
      <c r="N270" s="242"/>
      <c r="O270" s="242"/>
    </row>
    <row r="271">
      <c r="A271" s="242"/>
      <c r="B271" s="242"/>
      <c r="C271" s="243"/>
      <c r="D271" s="242"/>
      <c r="E271" s="242"/>
      <c r="F271" s="242"/>
      <c r="G271" s="250"/>
      <c r="H271" s="251"/>
      <c r="I271" s="242"/>
      <c r="J271" s="242"/>
      <c r="K271" s="242"/>
      <c r="L271" s="242"/>
      <c r="M271" s="242"/>
      <c r="N271" s="242"/>
      <c r="O271" s="242"/>
    </row>
    <row r="272">
      <c r="A272" s="242"/>
      <c r="B272" s="242"/>
      <c r="C272" s="243"/>
      <c r="D272" s="242"/>
      <c r="E272" s="242"/>
      <c r="F272" s="242"/>
      <c r="G272" s="250"/>
      <c r="H272" s="251"/>
      <c r="I272" s="242"/>
      <c r="J272" s="242"/>
      <c r="K272" s="242"/>
      <c r="L272" s="242"/>
      <c r="M272" s="242"/>
      <c r="N272" s="242"/>
      <c r="O272" s="242"/>
    </row>
    <row r="273">
      <c r="A273" s="242"/>
      <c r="B273" s="242"/>
      <c r="C273" s="243"/>
      <c r="D273" s="242"/>
      <c r="E273" s="242"/>
      <c r="F273" s="242"/>
      <c r="G273" s="250"/>
      <c r="H273" s="251"/>
      <c r="I273" s="242"/>
      <c r="J273" s="242"/>
      <c r="K273" s="242"/>
      <c r="L273" s="242"/>
      <c r="M273" s="242"/>
      <c r="N273" s="242"/>
      <c r="O273" s="242"/>
    </row>
    <row r="274">
      <c r="A274" s="242"/>
      <c r="B274" s="242"/>
      <c r="C274" s="243"/>
      <c r="D274" s="242"/>
      <c r="E274" s="242"/>
      <c r="F274" s="242"/>
      <c r="G274" s="250"/>
      <c r="H274" s="251"/>
      <c r="I274" s="242"/>
      <c r="J274" s="242"/>
      <c r="K274" s="242"/>
      <c r="L274" s="242"/>
      <c r="M274" s="242"/>
      <c r="N274" s="242"/>
      <c r="O274" s="242"/>
    </row>
    <row r="275">
      <c r="A275" s="242"/>
      <c r="B275" s="242"/>
      <c r="C275" s="243"/>
      <c r="D275" s="242"/>
      <c r="E275" s="242"/>
      <c r="F275" s="242"/>
      <c r="G275" s="250"/>
      <c r="H275" s="251"/>
      <c r="I275" s="242"/>
      <c r="J275" s="242"/>
      <c r="K275" s="242"/>
      <c r="L275" s="242"/>
      <c r="M275" s="242"/>
      <c r="N275" s="242"/>
      <c r="O275" s="242"/>
    </row>
    <row r="276">
      <c r="A276" s="242"/>
      <c r="B276" s="242"/>
      <c r="C276" s="243"/>
      <c r="D276" s="242"/>
      <c r="E276" s="242"/>
      <c r="F276" s="242"/>
      <c r="G276" s="250"/>
      <c r="H276" s="251"/>
      <c r="I276" s="242"/>
      <c r="J276" s="242"/>
      <c r="K276" s="242"/>
      <c r="L276" s="242"/>
      <c r="M276" s="242"/>
      <c r="N276" s="242"/>
      <c r="O276" s="242"/>
    </row>
    <row r="277">
      <c r="A277" s="242"/>
      <c r="B277" s="242"/>
      <c r="C277" s="243"/>
      <c r="D277" s="242"/>
      <c r="E277" s="242"/>
      <c r="F277" s="242"/>
      <c r="G277" s="250"/>
      <c r="H277" s="251"/>
      <c r="I277" s="242"/>
      <c r="J277" s="242"/>
      <c r="K277" s="242"/>
      <c r="L277" s="242"/>
      <c r="M277" s="242"/>
      <c r="N277" s="242"/>
      <c r="O277" s="242"/>
    </row>
    <row r="278">
      <c r="A278" s="242"/>
      <c r="B278" s="242"/>
      <c r="C278" s="243"/>
      <c r="D278" s="242"/>
      <c r="E278" s="242"/>
      <c r="F278" s="242"/>
      <c r="G278" s="250"/>
      <c r="H278" s="251"/>
      <c r="I278" s="242"/>
      <c r="J278" s="242"/>
      <c r="K278" s="242"/>
      <c r="L278" s="242"/>
      <c r="M278" s="242"/>
      <c r="N278" s="242"/>
      <c r="O278" s="242"/>
    </row>
    <row r="279">
      <c r="A279" s="242"/>
      <c r="B279" s="242"/>
      <c r="C279" s="243"/>
      <c r="D279" s="242"/>
      <c r="E279" s="242"/>
      <c r="F279" s="242"/>
      <c r="G279" s="250"/>
      <c r="H279" s="251"/>
      <c r="I279" s="242"/>
      <c r="J279" s="242"/>
      <c r="K279" s="242"/>
      <c r="L279" s="242"/>
      <c r="M279" s="242"/>
      <c r="N279" s="242"/>
      <c r="O279" s="242"/>
    </row>
    <row r="280">
      <c r="A280" s="242"/>
      <c r="B280" s="242"/>
      <c r="C280" s="243"/>
      <c r="D280" s="242"/>
      <c r="E280" s="242"/>
      <c r="F280" s="242"/>
      <c r="G280" s="250"/>
      <c r="H280" s="251"/>
      <c r="I280" s="242"/>
      <c r="J280" s="242"/>
      <c r="K280" s="242"/>
      <c r="L280" s="242"/>
      <c r="M280" s="242"/>
      <c r="N280" s="242"/>
      <c r="O280" s="242"/>
    </row>
    <row r="281">
      <c r="A281" s="242"/>
      <c r="B281" s="242"/>
      <c r="C281" s="243"/>
      <c r="D281" s="242"/>
      <c r="E281" s="242"/>
      <c r="F281" s="242"/>
      <c r="G281" s="250"/>
      <c r="H281" s="251"/>
      <c r="I281" s="242"/>
      <c r="J281" s="242"/>
      <c r="K281" s="242"/>
      <c r="L281" s="242"/>
      <c r="M281" s="242"/>
      <c r="N281" s="242"/>
      <c r="O281" s="242"/>
    </row>
    <row r="282">
      <c r="A282" s="242"/>
      <c r="B282" s="242"/>
      <c r="C282" s="243"/>
      <c r="D282" s="242"/>
      <c r="E282" s="242"/>
      <c r="F282" s="242"/>
      <c r="G282" s="250"/>
      <c r="H282" s="251"/>
      <c r="I282" s="242"/>
      <c r="J282" s="242"/>
      <c r="K282" s="242"/>
      <c r="L282" s="242"/>
      <c r="M282" s="242"/>
      <c r="N282" s="242"/>
      <c r="O282" s="242"/>
    </row>
    <row r="283">
      <c r="A283" s="242"/>
      <c r="B283" s="242"/>
      <c r="C283" s="243"/>
      <c r="D283" s="242"/>
      <c r="E283" s="242"/>
      <c r="F283" s="242"/>
      <c r="G283" s="250"/>
      <c r="H283" s="251"/>
      <c r="I283" s="242"/>
      <c r="J283" s="242"/>
      <c r="K283" s="242"/>
      <c r="L283" s="242"/>
      <c r="M283" s="242"/>
      <c r="N283" s="242"/>
      <c r="O283" s="242"/>
    </row>
    <row r="284">
      <c r="A284" s="242"/>
      <c r="B284" s="242"/>
      <c r="C284" s="243"/>
      <c r="D284" s="242"/>
      <c r="E284" s="242"/>
      <c r="F284" s="242"/>
      <c r="G284" s="250"/>
      <c r="H284" s="251"/>
      <c r="I284" s="242"/>
      <c r="J284" s="242"/>
      <c r="K284" s="242"/>
      <c r="L284" s="242"/>
      <c r="M284" s="242"/>
      <c r="N284" s="242"/>
      <c r="O284" s="242"/>
    </row>
    <row r="285">
      <c r="A285" s="242"/>
      <c r="B285" s="242"/>
      <c r="C285" s="243"/>
      <c r="D285" s="242"/>
      <c r="E285" s="242"/>
      <c r="F285" s="242"/>
      <c r="G285" s="250"/>
      <c r="H285" s="251"/>
      <c r="I285" s="242"/>
      <c r="J285" s="242"/>
      <c r="K285" s="242"/>
      <c r="L285" s="242"/>
      <c r="M285" s="242"/>
      <c r="N285" s="242"/>
      <c r="O285" s="242"/>
    </row>
    <row r="286">
      <c r="A286" s="242"/>
      <c r="B286" s="242"/>
      <c r="C286" s="243"/>
      <c r="D286" s="242"/>
      <c r="E286" s="242"/>
      <c r="F286" s="242"/>
      <c r="G286" s="250"/>
      <c r="H286" s="251"/>
      <c r="I286" s="242"/>
      <c r="J286" s="242"/>
      <c r="K286" s="242"/>
      <c r="L286" s="242"/>
      <c r="M286" s="242"/>
      <c r="N286" s="242"/>
      <c r="O286" s="242"/>
    </row>
    <row r="287">
      <c r="A287" s="242"/>
      <c r="B287" s="242"/>
      <c r="C287" s="243"/>
      <c r="D287" s="242"/>
      <c r="E287" s="242"/>
      <c r="F287" s="242"/>
      <c r="G287" s="250"/>
      <c r="H287" s="251"/>
      <c r="I287" s="242"/>
      <c r="J287" s="242"/>
      <c r="K287" s="242"/>
      <c r="L287" s="242"/>
      <c r="M287" s="242"/>
      <c r="N287" s="242"/>
      <c r="O287" s="242"/>
    </row>
    <row r="288">
      <c r="A288" s="242"/>
      <c r="B288" s="242"/>
      <c r="C288" s="243"/>
      <c r="D288" s="242"/>
      <c r="E288" s="242"/>
      <c r="F288" s="242"/>
      <c r="G288" s="250"/>
      <c r="H288" s="251"/>
      <c r="I288" s="242"/>
      <c r="J288" s="242"/>
      <c r="K288" s="242"/>
      <c r="L288" s="242"/>
      <c r="M288" s="242"/>
      <c r="N288" s="242"/>
      <c r="O288" s="242"/>
    </row>
    <row r="289">
      <c r="A289" s="242"/>
      <c r="B289" s="242"/>
      <c r="C289" s="243"/>
      <c r="D289" s="242"/>
      <c r="E289" s="242"/>
      <c r="F289" s="242"/>
      <c r="G289" s="250"/>
      <c r="H289" s="251"/>
      <c r="I289" s="242"/>
      <c r="J289" s="242"/>
      <c r="K289" s="242"/>
      <c r="L289" s="242"/>
      <c r="M289" s="242"/>
      <c r="N289" s="242"/>
      <c r="O289" s="242"/>
    </row>
    <row r="290">
      <c r="A290" s="242"/>
      <c r="B290" s="242"/>
      <c r="C290" s="243"/>
      <c r="D290" s="242"/>
      <c r="E290" s="242"/>
      <c r="F290" s="242"/>
      <c r="G290" s="250"/>
      <c r="H290" s="251"/>
      <c r="I290" s="242"/>
      <c r="J290" s="242"/>
      <c r="K290" s="242"/>
      <c r="L290" s="242"/>
      <c r="M290" s="242"/>
      <c r="N290" s="242"/>
      <c r="O290" s="242"/>
    </row>
    <row r="291">
      <c r="A291" s="242"/>
      <c r="B291" s="242"/>
      <c r="C291" s="243"/>
      <c r="D291" s="242"/>
      <c r="E291" s="242"/>
      <c r="F291" s="242"/>
      <c r="G291" s="250"/>
      <c r="H291" s="251"/>
      <c r="I291" s="242"/>
      <c r="J291" s="242"/>
      <c r="K291" s="242"/>
      <c r="L291" s="242"/>
      <c r="M291" s="242"/>
      <c r="N291" s="242"/>
      <c r="O291" s="242"/>
    </row>
    <row r="292">
      <c r="A292" s="242"/>
      <c r="B292" s="242"/>
      <c r="C292" s="243"/>
      <c r="D292" s="242"/>
      <c r="E292" s="242"/>
      <c r="F292" s="242"/>
      <c r="G292" s="250"/>
      <c r="H292" s="251"/>
      <c r="I292" s="242"/>
      <c r="J292" s="242"/>
      <c r="K292" s="242"/>
      <c r="L292" s="242"/>
      <c r="M292" s="242"/>
      <c r="N292" s="242"/>
      <c r="O292" s="242"/>
    </row>
    <row r="293">
      <c r="A293" s="242"/>
      <c r="B293" s="242"/>
      <c r="C293" s="243"/>
      <c r="D293" s="242"/>
      <c r="E293" s="242"/>
      <c r="F293" s="242"/>
      <c r="G293" s="250"/>
      <c r="H293" s="251"/>
      <c r="I293" s="242"/>
      <c r="J293" s="242"/>
      <c r="K293" s="242"/>
      <c r="L293" s="242"/>
      <c r="M293" s="242"/>
      <c r="N293" s="242"/>
      <c r="O293" s="242"/>
    </row>
    <row r="294">
      <c r="A294" s="242"/>
      <c r="B294" s="242"/>
      <c r="C294" s="243"/>
      <c r="D294" s="242"/>
      <c r="E294" s="242"/>
      <c r="F294" s="242"/>
      <c r="G294" s="250"/>
      <c r="H294" s="251"/>
      <c r="I294" s="242"/>
      <c r="J294" s="242"/>
      <c r="K294" s="242"/>
      <c r="L294" s="242"/>
      <c r="M294" s="242"/>
      <c r="N294" s="242"/>
      <c r="O294" s="242"/>
    </row>
    <row r="295">
      <c r="A295" s="242"/>
      <c r="B295" s="242"/>
      <c r="C295" s="243"/>
      <c r="D295" s="242"/>
      <c r="E295" s="242"/>
      <c r="F295" s="242"/>
      <c r="G295" s="250"/>
      <c r="H295" s="251"/>
      <c r="I295" s="242"/>
      <c r="J295" s="242"/>
      <c r="K295" s="242"/>
      <c r="L295" s="242"/>
      <c r="M295" s="242"/>
      <c r="N295" s="242"/>
      <c r="O295" s="242"/>
    </row>
    <row r="296">
      <c r="A296" s="242"/>
      <c r="B296" s="242"/>
      <c r="C296" s="243"/>
      <c r="D296" s="242"/>
      <c r="E296" s="242"/>
      <c r="F296" s="242"/>
      <c r="G296" s="250"/>
      <c r="H296" s="251"/>
      <c r="I296" s="242"/>
      <c r="J296" s="242"/>
      <c r="K296" s="242"/>
      <c r="L296" s="242"/>
      <c r="M296" s="242"/>
      <c r="N296" s="242"/>
      <c r="O296" s="242"/>
    </row>
    <row r="297">
      <c r="A297" s="242"/>
      <c r="B297" s="242"/>
      <c r="C297" s="243"/>
      <c r="D297" s="242"/>
      <c r="E297" s="242"/>
      <c r="F297" s="242"/>
      <c r="G297" s="250"/>
      <c r="H297" s="251"/>
      <c r="I297" s="242"/>
      <c r="J297" s="242"/>
      <c r="K297" s="242"/>
      <c r="L297" s="242"/>
      <c r="M297" s="242"/>
      <c r="N297" s="242"/>
      <c r="O297" s="242"/>
    </row>
    <row r="298">
      <c r="A298" s="242"/>
      <c r="B298" s="242"/>
      <c r="C298" s="243"/>
      <c r="D298" s="242"/>
      <c r="E298" s="242"/>
      <c r="F298" s="242"/>
      <c r="G298" s="250"/>
      <c r="H298" s="251"/>
      <c r="I298" s="242"/>
      <c r="J298" s="242"/>
      <c r="K298" s="242"/>
      <c r="L298" s="242"/>
      <c r="M298" s="242"/>
      <c r="N298" s="242"/>
      <c r="O298" s="242"/>
    </row>
    <row r="299">
      <c r="A299" s="242"/>
      <c r="B299" s="242"/>
      <c r="C299" s="243"/>
      <c r="D299" s="242"/>
      <c r="E299" s="242"/>
      <c r="F299" s="242"/>
      <c r="G299" s="250"/>
      <c r="H299" s="251"/>
      <c r="I299" s="242"/>
      <c r="J299" s="242"/>
      <c r="K299" s="242"/>
      <c r="L299" s="242"/>
      <c r="M299" s="242"/>
      <c r="N299" s="242"/>
      <c r="O299" s="242"/>
    </row>
    <row r="300">
      <c r="A300" s="242"/>
      <c r="B300" s="242"/>
      <c r="C300" s="243"/>
      <c r="D300" s="242"/>
      <c r="E300" s="242"/>
      <c r="F300" s="242"/>
      <c r="G300" s="250"/>
      <c r="H300" s="251"/>
      <c r="I300" s="242"/>
      <c r="J300" s="242"/>
      <c r="K300" s="242"/>
      <c r="L300" s="242"/>
      <c r="M300" s="242"/>
      <c r="N300" s="242"/>
      <c r="O300" s="242"/>
    </row>
    <row r="301">
      <c r="A301" s="242"/>
      <c r="B301" s="242"/>
      <c r="C301" s="243"/>
      <c r="D301" s="242"/>
      <c r="E301" s="242"/>
      <c r="F301" s="242"/>
      <c r="G301" s="250"/>
      <c r="H301" s="251"/>
      <c r="I301" s="242"/>
      <c r="J301" s="242"/>
      <c r="K301" s="242"/>
      <c r="L301" s="242"/>
      <c r="M301" s="242"/>
      <c r="N301" s="242"/>
      <c r="O301" s="242"/>
    </row>
    <row r="302">
      <c r="A302" s="242"/>
      <c r="B302" s="242"/>
      <c r="C302" s="243"/>
      <c r="D302" s="242"/>
      <c r="E302" s="242"/>
      <c r="F302" s="242"/>
      <c r="G302" s="250"/>
      <c r="H302" s="251"/>
      <c r="I302" s="242"/>
      <c r="J302" s="242"/>
      <c r="K302" s="242"/>
      <c r="L302" s="242"/>
      <c r="M302" s="242"/>
      <c r="N302" s="242"/>
      <c r="O302" s="242"/>
    </row>
    <row r="303">
      <c r="A303" s="242"/>
      <c r="B303" s="242"/>
      <c r="C303" s="243"/>
      <c r="D303" s="242"/>
      <c r="E303" s="242"/>
      <c r="F303" s="242"/>
      <c r="G303" s="250"/>
      <c r="H303" s="251"/>
      <c r="I303" s="242"/>
      <c r="J303" s="242"/>
      <c r="K303" s="242"/>
      <c r="L303" s="242"/>
      <c r="M303" s="242"/>
      <c r="N303" s="242"/>
      <c r="O303" s="242"/>
    </row>
    <row r="304">
      <c r="A304" s="242"/>
      <c r="B304" s="242"/>
      <c r="C304" s="243"/>
      <c r="D304" s="242"/>
      <c r="E304" s="242"/>
      <c r="F304" s="242"/>
      <c r="G304" s="250"/>
      <c r="H304" s="251"/>
      <c r="I304" s="242"/>
      <c r="J304" s="242"/>
      <c r="K304" s="242"/>
      <c r="L304" s="242"/>
      <c r="M304" s="242"/>
      <c r="N304" s="242"/>
      <c r="O304" s="242"/>
    </row>
    <row r="305">
      <c r="A305" s="242"/>
      <c r="B305" s="242"/>
      <c r="C305" s="243"/>
      <c r="D305" s="242"/>
      <c r="E305" s="242"/>
      <c r="F305" s="242"/>
      <c r="G305" s="250"/>
      <c r="H305" s="251"/>
      <c r="I305" s="242"/>
      <c r="J305" s="242"/>
      <c r="K305" s="242"/>
      <c r="L305" s="242"/>
      <c r="M305" s="242"/>
      <c r="N305" s="242"/>
      <c r="O305" s="242"/>
    </row>
    <row r="306">
      <c r="A306" s="242"/>
      <c r="B306" s="242"/>
      <c r="C306" s="243"/>
      <c r="D306" s="242"/>
      <c r="E306" s="242"/>
      <c r="F306" s="242"/>
      <c r="G306" s="250"/>
      <c r="H306" s="251"/>
      <c r="I306" s="242"/>
      <c r="J306" s="242"/>
      <c r="K306" s="242"/>
      <c r="L306" s="242"/>
      <c r="M306" s="242"/>
      <c r="N306" s="242"/>
      <c r="O306" s="242"/>
    </row>
    <row r="307">
      <c r="A307" s="242"/>
      <c r="B307" s="242"/>
      <c r="C307" s="243"/>
      <c r="D307" s="242"/>
      <c r="E307" s="242"/>
      <c r="F307" s="242"/>
      <c r="G307" s="250"/>
      <c r="H307" s="251"/>
      <c r="I307" s="242"/>
      <c r="J307" s="242"/>
      <c r="K307" s="242"/>
      <c r="L307" s="242"/>
      <c r="M307" s="242"/>
      <c r="N307" s="242"/>
      <c r="O307" s="242"/>
    </row>
    <row r="308">
      <c r="A308" s="242"/>
      <c r="B308" s="242"/>
      <c r="C308" s="243"/>
      <c r="D308" s="242"/>
      <c r="E308" s="242"/>
      <c r="F308" s="242"/>
      <c r="G308" s="250"/>
      <c r="H308" s="251"/>
      <c r="I308" s="242"/>
      <c r="J308" s="242"/>
      <c r="K308" s="242"/>
      <c r="L308" s="242"/>
      <c r="M308" s="242"/>
      <c r="N308" s="242"/>
      <c r="O308" s="242"/>
    </row>
    <row r="309">
      <c r="A309" s="242"/>
      <c r="B309" s="242"/>
      <c r="C309" s="243"/>
      <c r="D309" s="242"/>
      <c r="E309" s="242"/>
      <c r="F309" s="242"/>
      <c r="G309" s="250"/>
      <c r="H309" s="251"/>
      <c r="I309" s="242"/>
      <c r="J309" s="242"/>
      <c r="K309" s="242"/>
      <c r="L309" s="242"/>
      <c r="M309" s="242"/>
      <c r="N309" s="242"/>
      <c r="O309" s="242"/>
    </row>
    <row r="310">
      <c r="A310" s="242"/>
      <c r="B310" s="242"/>
      <c r="C310" s="243"/>
      <c r="D310" s="242"/>
      <c r="E310" s="242"/>
      <c r="F310" s="242"/>
      <c r="G310" s="250"/>
      <c r="H310" s="251"/>
      <c r="I310" s="242"/>
      <c r="J310" s="242"/>
      <c r="K310" s="242"/>
      <c r="L310" s="242"/>
      <c r="M310" s="242"/>
      <c r="N310" s="242"/>
      <c r="O310" s="242"/>
    </row>
    <row r="311">
      <c r="A311" s="242"/>
      <c r="B311" s="242"/>
      <c r="C311" s="243"/>
      <c r="D311" s="242"/>
      <c r="E311" s="242"/>
      <c r="F311" s="242"/>
      <c r="G311" s="250"/>
      <c r="H311" s="251"/>
      <c r="I311" s="242"/>
      <c r="J311" s="242"/>
      <c r="K311" s="242"/>
      <c r="L311" s="242"/>
      <c r="M311" s="242"/>
      <c r="N311" s="242"/>
      <c r="O311" s="242"/>
    </row>
    <row r="312">
      <c r="A312" s="242"/>
      <c r="B312" s="242"/>
      <c r="C312" s="243"/>
      <c r="D312" s="242"/>
      <c r="E312" s="242"/>
      <c r="F312" s="242"/>
      <c r="G312" s="250"/>
      <c r="H312" s="251"/>
      <c r="I312" s="242"/>
      <c r="J312" s="242"/>
      <c r="K312" s="242"/>
      <c r="L312" s="242"/>
      <c r="M312" s="242"/>
      <c r="N312" s="242"/>
      <c r="O312" s="242"/>
    </row>
    <row r="313">
      <c r="A313" s="242"/>
      <c r="B313" s="242"/>
      <c r="C313" s="243"/>
      <c r="D313" s="242"/>
      <c r="E313" s="242"/>
      <c r="F313" s="242"/>
      <c r="G313" s="250"/>
      <c r="H313" s="251"/>
      <c r="I313" s="242"/>
      <c r="J313" s="242"/>
      <c r="K313" s="242"/>
      <c r="L313" s="242"/>
      <c r="M313" s="242"/>
      <c r="N313" s="242"/>
      <c r="O313" s="242"/>
    </row>
    <row r="314">
      <c r="A314" s="242"/>
      <c r="B314" s="242"/>
      <c r="C314" s="243"/>
      <c r="D314" s="242"/>
      <c r="E314" s="242"/>
      <c r="F314" s="242"/>
      <c r="G314" s="250"/>
      <c r="H314" s="251"/>
      <c r="I314" s="242"/>
      <c r="J314" s="242"/>
      <c r="K314" s="242"/>
      <c r="L314" s="242"/>
      <c r="M314" s="242"/>
      <c r="N314" s="242"/>
      <c r="O314" s="242"/>
    </row>
    <row r="315">
      <c r="A315" s="242"/>
      <c r="B315" s="242"/>
      <c r="C315" s="243"/>
      <c r="D315" s="242"/>
      <c r="E315" s="242"/>
      <c r="F315" s="242"/>
      <c r="G315" s="250"/>
      <c r="H315" s="251"/>
      <c r="I315" s="242"/>
      <c r="J315" s="242"/>
      <c r="K315" s="242"/>
      <c r="L315" s="242"/>
      <c r="M315" s="242"/>
      <c r="N315" s="242"/>
      <c r="O315" s="242"/>
    </row>
    <row r="316">
      <c r="A316" s="242"/>
      <c r="B316" s="242"/>
      <c r="C316" s="243"/>
      <c r="D316" s="242"/>
      <c r="E316" s="242"/>
      <c r="F316" s="242"/>
      <c r="G316" s="250"/>
      <c r="H316" s="251"/>
      <c r="I316" s="242"/>
      <c r="J316" s="242"/>
      <c r="K316" s="242"/>
      <c r="L316" s="242"/>
      <c r="M316" s="242"/>
      <c r="N316" s="242"/>
      <c r="O316" s="242"/>
    </row>
    <row r="317">
      <c r="A317" s="242"/>
      <c r="B317" s="242"/>
      <c r="C317" s="243"/>
      <c r="D317" s="242"/>
      <c r="E317" s="242"/>
      <c r="F317" s="242"/>
      <c r="G317" s="250"/>
      <c r="H317" s="251"/>
      <c r="I317" s="242"/>
      <c r="J317" s="242"/>
      <c r="K317" s="242"/>
      <c r="L317" s="242"/>
      <c r="M317" s="242"/>
      <c r="N317" s="242"/>
      <c r="O317" s="242"/>
    </row>
    <row r="318">
      <c r="A318" s="242"/>
      <c r="B318" s="242"/>
      <c r="C318" s="243"/>
      <c r="D318" s="242"/>
      <c r="E318" s="242"/>
      <c r="F318" s="242"/>
      <c r="G318" s="250"/>
      <c r="H318" s="251"/>
      <c r="I318" s="242"/>
      <c r="J318" s="242"/>
      <c r="K318" s="242"/>
      <c r="L318" s="242"/>
      <c r="M318" s="242"/>
      <c r="N318" s="242"/>
      <c r="O318" s="242"/>
    </row>
    <row r="319">
      <c r="A319" s="242"/>
      <c r="B319" s="242"/>
      <c r="C319" s="243"/>
      <c r="D319" s="242"/>
      <c r="E319" s="242"/>
      <c r="F319" s="242"/>
      <c r="G319" s="250"/>
      <c r="H319" s="251"/>
      <c r="I319" s="242"/>
      <c r="J319" s="242"/>
      <c r="K319" s="242"/>
      <c r="L319" s="242"/>
      <c r="M319" s="242"/>
      <c r="N319" s="242"/>
      <c r="O319" s="242"/>
    </row>
    <row r="320">
      <c r="A320" s="242"/>
      <c r="B320" s="242"/>
      <c r="C320" s="243"/>
      <c r="D320" s="242"/>
      <c r="E320" s="242"/>
      <c r="F320" s="242"/>
      <c r="G320" s="250"/>
      <c r="H320" s="251"/>
      <c r="I320" s="242"/>
      <c r="J320" s="242"/>
      <c r="K320" s="242"/>
      <c r="L320" s="242"/>
      <c r="M320" s="242"/>
      <c r="N320" s="242"/>
      <c r="O320" s="242"/>
    </row>
    <row r="321">
      <c r="A321" s="242"/>
      <c r="B321" s="242"/>
      <c r="C321" s="243"/>
      <c r="D321" s="242"/>
      <c r="E321" s="242"/>
      <c r="F321" s="242"/>
      <c r="G321" s="250"/>
      <c r="H321" s="251"/>
      <c r="I321" s="242"/>
      <c r="J321" s="242"/>
      <c r="K321" s="242"/>
      <c r="L321" s="242"/>
      <c r="M321" s="242"/>
      <c r="N321" s="242"/>
      <c r="O321" s="242"/>
    </row>
    <row r="322">
      <c r="A322" s="242"/>
      <c r="B322" s="242"/>
      <c r="C322" s="243"/>
      <c r="D322" s="242"/>
      <c r="E322" s="242"/>
      <c r="F322" s="242"/>
      <c r="G322" s="250"/>
      <c r="H322" s="251"/>
      <c r="I322" s="242"/>
      <c r="J322" s="242"/>
      <c r="K322" s="242"/>
      <c r="L322" s="242"/>
      <c r="M322" s="242"/>
      <c r="N322" s="242"/>
      <c r="O322" s="242"/>
    </row>
    <row r="323">
      <c r="A323" s="242"/>
      <c r="B323" s="242"/>
      <c r="C323" s="243"/>
      <c r="D323" s="242"/>
      <c r="E323" s="242"/>
      <c r="F323" s="242"/>
      <c r="G323" s="250"/>
      <c r="H323" s="251"/>
      <c r="I323" s="242"/>
      <c r="J323" s="242"/>
      <c r="K323" s="242"/>
      <c r="L323" s="242"/>
      <c r="M323" s="242"/>
      <c r="N323" s="242"/>
      <c r="O323" s="242"/>
    </row>
    <row r="324">
      <c r="A324" s="242"/>
      <c r="B324" s="242"/>
      <c r="C324" s="243"/>
      <c r="D324" s="242"/>
      <c r="E324" s="242"/>
      <c r="F324" s="242"/>
      <c r="G324" s="250"/>
      <c r="H324" s="251"/>
      <c r="I324" s="242"/>
      <c r="J324" s="242"/>
      <c r="K324" s="242"/>
      <c r="L324" s="242"/>
      <c r="M324" s="242"/>
      <c r="N324" s="242"/>
      <c r="O324" s="242"/>
    </row>
    <row r="325">
      <c r="A325" s="242"/>
      <c r="B325" s="242"/>
      <c r="C325" s="243"/>
      <c r="D325" s="242"/>
      <c r="E325" s="242"/>
      <c r="F325" s="242"/>
      <c r="G325" s="250"/>
      <c r="H325" s="251"/>
      <c r="I325" s="242"/>
      <c r="J325" s="242"/>
      <c r="K325" s="242"/>
      <c r="L325" s="242"/>
      <c r="M325" s="242"/>
      <c r="N325" s="242"/>
      <c r="O325" s="242"/>
    </row>
    <row r="326">
      <c r="A326" s="242"/>
      <c r="B326" s="242"/>
      <c r="C326" s="243"/>
      <c r="D326" s="242"/>
      <c r="E326" s="242"/>
      <c r="F326" s="242"/>
      <c r="G326" s="250"/>
      <c r="H326" s="251"/>
      <c r="I326" s="242"/>
      <c r="J326" s="242"/>
      <c r="K326" s="242"/>
      <c r="L326" s="242"/>
      <c r="M326" s="242"/>
      <c r="N326" s="242"/>
      <c r="O326" s="242"/>
    </row>
    <row r="327">
      <c r="A327" s="242"/>
      <c r="B327" s="242"/>
      <c r="C327" s="243"/>
      <c r="D327" s="242"/>
      <c r="E327" s="242"/>
      <c r="F327" s="242"/>
      <c r="G327" s="250"/>
      <c r="H327" s="251"/>
      <c r="I327" s="242"/>
      <c r="J327" s="242"/>
      <c r="K327" s="242"/>
      <c r="L327" s="242"/>
      <c r="M327" s="242"/>
      <c r="N327" s="242"/>
      <c r="O327" s="242"/>
    </row>
    <row r="328">
      <c r="A328" s="242"/>
      <c r="B328" s="242"/>
      <c r="C328" s="243"/>
      <c r="D328" s="242"/>
      <c r="E328" s="242"/>
      <c r="F328" s="242"/>
      <c r="G328" s="250"/>
      <c r="H328" s="251"/>
      <c r="I328" s="242"/>
      <c r="J328" s="242"/>
      <c r="K328" s="242"/>
      <c r="L328" s="242"/>
      <c r="M328" s="242"/>
      <c r="N328" s="242"/>
      <c r="O328" s="242"/>
    </row>
    <row r="329">
      <c r="A329" s="242"/>
      <c r="B329" s="242"/>
      <c r="C329" s="243"/>
      <c r="D329" s="242"/>
      <c r="E329" s="242"/>
      <c r="F329" s="242"/>
      <c r="G329" s="250"/>
      <c r="H329" s="251"/>
      <c r="I329" s="242"/>
      <c r="J329" s="242"/>
      <c r="K329" s="242"/>
      <c r="L329" s="242"/>
      <c r="M329" s="242"/>
      <c r="N329" s="242"/>
      <c r="O329" s="242"/>
    </row>
    <row r="330">
      <c r="A330" s="242"/>
      <c r="B330" s="242"/>
      <c r="C330" s="243"/>
      <c r="D330" s="242"/>
      <c r="E330" s="242"/>
      <c r="F330" s="242"/>
      <c r="G330" s="250"/>
      <c r="H330" s="251"/>
      <c r="I330" s="242"/>
      <c r="J330" s="242"/>
      <c r="K330" s="242"/>
      <c r="L330" s="242"/>
      <c r="M330" s="242"/>
      <c r="N330" s="242"/>
      <c r="O330" s="242"/>
    </row>
    <row r="331">
      <c r="A331" s="242"/>
      <c r="B331" s="242"/>
      <c r="C331" s="243"/>
      <c r="D331" s="242"/>
      <c r="E331" s="242"/>
      <c r="F331" s="242"/>
      <c r="G331" s="250"/>
      <c r="H331" s="251"/>
      <c r="I331" s="242"/>
      <c r="J331" s="242"/>
      <c r="K331" s="242"/>
      <c r="L331" s="242"/>
      <c r="M331" s="242"/>
      <c r="N331" s="242"/>
      <c r="O331" s="242"/>
    </row>
    <row r="332">
      <c r="A332" s="242"/>
      <c r="B332" s="242"/>
      <c r="C332" s="243"/>
      <c r="D332" s="242"/>
      <c r="E332" s="242"/>
      <c r="F332" s="242"/>
      <c r="G332" s="250"/>
      <c r="H332" s="251"/>
      <c r="I332" s="242"/>
      <c r="J332" s="242"/>
      <c r="K332" s="242"/>
      <c r="L332" s="242"/>
      <c r="M332" s="242"/>
      <c r="N332" s="242"/>
      <c r="O332" s="242"/>
    </row>
    <row r="333">
      <c r="A333" s="242"/>
      <c r="B333" s="242"/>
      <c r="C333" s="243"/>
      <c r="D333" s="242"/>
      <c r="E333" s="242"/>
      <c r="F333" s="242"/>
      <c r="G333" s="250"/>
      <c r="H333" s="251"/>
      <c r="I333" s="242"/>
      <c r="J333" s="242"/>
      <c r="K333" s="242"/>
      <c r="L333" s="242"/>
      <c r="M333" s="242"/>
      <c r="N333" s="242"/>
      <c r="O333" s="242"/>
    </row>
    <row r="334">
      <c r="A334" s="242"/>
      <c r="B334" s="242"/>
      <c r="C334" s="243"/>
      <c r="D334" s="242"/>
      <c r="E334" s="242"/>
      <c r="F334" s="242"/>
      <c r="G334" s="250"/>
      <c r="H334" s="251"/>
      <c r="I334" s="242"/>
      <c r="J334" s="242"/>
      <c r="K334" s="242"/>
      <c r="L334" s="242"/>
      <c r="M334" s="242"/>
      <c r="N334" s="242"/>
      <c r="O334" s="242"/>
    </row>
    <row r="335">
      <c r="A335" s="242"/>
      <c r="B335" s="242"/>
      <c r="C335" s="243"/>
      <c r="D335" s="242"/>
      <c r="E335" s="242"/>
      <c r="F335" s="242"/>
      <c r="G335" s="250"/>
      <c r="H335" s="251"/>
      <c r="I335" s="242"/>
      <c r="J335" s="242"/>
      <c r="K335" s="242"/>
      <c r="L335" s="242"/>
      <c r="M335" s="242"/>
      <c r="N335" s="242"/>
      <c r="O335" s="242"/>
    </row>
    <row r="336">
      <c r="A336" s="242"/>
      <c r="B336" s="242"/>
      <c r="C336" s="243"/>
      <c r="D336" s="242"/>
      <c r="E336" s="242"/>
      <c r="F336" s="242"/>
      <c r="G336" s="250"/>
      <c r="H336" s="251"/>
      <c r="I336" s="242"/>
      <c r="J336" s="242"/>
      <c r="K336" s="242"/>
      <c r="L336" s="242"/>
      <c r="M336" s="242"/>
      <c r="N336" s="242"/>
      <c r="O336" s="242"/>
    </row>
    <row r="337">
      <c r="A337" s="242"/>
      <c r="B337" s="242"/>
      <c r="C337" s="243"/>
      <c r="D337" s="242"/>
      <c r="E337" s="242"/>
      <c r="F337" s="242"/>
      <c r="G337" s="250"/>
      <c r="H337" s="251"/>
      <c r="I337" s="242"/>
      <c r="J337" s="242"/>
      <c r="K337" s="242"/>
      <c r="L337" s="242"/>
      <c r="M337" s="242"/>
      <c r="N337" s="242"/>
      <c r="O337" s="242"/>
    </row>
    <row r="338">
      <c r="A338" s="242"/>
      <c r="B338" s="242"/>
      <c r="C338" s="243"/>
      <c r="D338" s="242"/>
      <c r="E338" s="242"/>
      <c r="F338" s="242"/>
      <c r="G338" s="250"/>
      <c r="H338" s="251"/>
      <c r="I338" s="242"/>
      <c r="J338" s="242"/>
      <c r="K338" s="242"/>
      <c r="L338" s="242"/>
      <c r="M338" s="242"/>
      <c r="N338" s="242"/>
      <c r="O338" s="242"/>
    </row>
    <row r="339">
      <c r="A339" s="242"/>
      <c r="B339" s="242"/>
      <c r="C339" s="243"/>
      <c r="D339" s="242"/>
      <c r="E339" s="242"/>
      <c r="F339" s="242"/>
      <c r="G339" s="250"/>
      <c r="H339" s="251"/>
      <c r="I339" s="242"/>
      <c r="J339" s="242"/>
      <c r="K339" s="242"/>
      <c r="L339" s="242"/>
      <c r="M339" s="242"/>
      <c r="N339" s="242"/>
      <c r="O339" s="242"/>
    </row>
    <row r="340">
      <c r="A340" s="242"/>
      <c r="B340" s="242"/>
      <c r="C340" s="243"/>
      <c r="D340" s="242"/>
      <c r="E340" s="242"/>
      <c r="F340" s="242"/>
      <c r="G340" s="250"/>
      <c r="H340" s="251"/>
      <c r="I340" s="242"/>
      <c r="J340" s="242"/>
      <c r="K340" s="242"/>
      <c r="L340" s="242"/>
      <c r="M340" s="242"/>
      <c r="N340" s="242"/>
      <c r="O340" s="242"/>
    </row>
    <row r="341">
      <c r="A341" s="242"/>
      <c r="B341" s="242"/>
      <c r="C341" s="243"/>
      <c r="D341" s="242"/>
      <c r="E341" s="242"/>
      <c r="F341" s="242"/>
      <c r="G341" s="250"/>
      <c r="H341" s="251"/>
      <c r="I341" s="242"/>
      <c r="J341" s="242"/>
      <c r="K341" s="242"/>
      <c r="L341" s="242"/>
      <c r="M341" s="242"/>
      <c r="N341" s="242"/>
      <c r="O341" s="242"/>
    </row>
    <row r="342">
      <c r="A342" s="242"/>
      <c r="B342" s="242"/>
      <c r="C342" s="243"/>
      <c r="D342" s="242"/>
      <c r="E342" s="242"/>
      <c r="F342" s="242"/>
      <c r="G342" s="250"/>
      <c r="H342" s="251"/>
      <c r="I342" s="242"/>
      <c r="J342" s="242"/>
      <c r="K342" s="242"/>
      <c r="L342" s="242"/>
      <c r="M342" s="242"/>
      <c r="N342" s="242"/>
      <c r="O342" s="242"/>
    </row>
    <row r="343">
      <c r="A343" s="242"/>
      <c r="B343" s="242"/>
      <c r="C343" s="243"/>
      <c r="D343" s="242"/>
      <c r="E343" s="242"/>
      <c r="F343" s="242"/>
      <c r="G343" s="250"/>
      <c r="H343" s="251"/>
      <c r="I343" s="242"/>
      <c r="J343" s="242"/>
      <c r="K343" s="242"/>
      <c r="L343" s="242"/>
      <c r="M343" s="242"/>
      <c r="N343" s="242"/>
      <c r="O343" s="242"/>
    </row>
    <row r="344">
      <c r="A344" s="242"/>
      <c r="B344" s="242"/>
      <c r="C344" s="243"/>
      <c r="D344" s="242"/>
      <c r="E344" s="242"/>
      <c r="F344" s="242"/>
      <c r="G344" s="250"/>
      <c r="H344" s="251"/>
      <c r="I344" s="242"/>
      <c r="J344" s="242"/>
      <c r="K344" s="242"/>
      <c r="L344" s="242"/>
      <c r="M344" s="242"/>
      <c r="N344" s="242"/>
      <c r="O344" s="242"/>
    </row>
    <row r="345">
      <c r="A345" s="242"/>
      <c r="B345" s="242"/>
      <c r="C345" s="243"/>
      <c r="D345" s="242"/>
      <c r="E345" s="242"/>
      <c r="F345" s="242"/>
      <c r="G345" s="250"/>
      <c r="H345" s="251"/>
      <c r="I345" s="242"/>
      <c r="J345" s="242"/>
      <c r="K345" s="242"/>
      <c r="L345" s="242"/>
      <c r="M345" s="242"/>
      <c r="N345" s="242"/>
      <c r="O345" s="242"/>
    </row>
    <row r="346">
      <c r="A346" s="242"/>
      <c r="B346" s="242"/>
      <c r="C346" s="243"/>
      <c r="D346" s="242"/>
      <c r="E346" s="242"/>
      <c r="F346" s="242"/>
      <c r="G346" s="250"/>
      <c r="H346" s="251"/>
      <c r="I346" s="242"/>
      <c r="J346" s="242"/>
      <c r="K346" s="242"/>
      <c r="L346" s="242"/>
      <c r="M346" s="242"/>
      <c r="N346" s="242"/>
      <c r="O346" s="242"/>
    </row>
    <row r="347">
      <c r="A347" s="242"/>
      <c r="B347" s="242"/>
      <c r="C347" s="243"/>
      <c r="D347" s="242"/>
      <c r="E347" s="242"/>
      <c r="F347" s="242"/>
      <c r="G347" s="250"/>
      <c r="H347" s="251"/>
      <c r="I347" s="242"/>
      <c r="J347" s="242"/>
      <c r="K347" s="242"/>
      <c r="L347" s="242"/>
      <c r="M347" s="242"/>
      <c r="N347" s="242"/>
      <c r="O347" s="242"/>
    </row>
    <row r="348">
      <c r="A348" s="242"/>
      <c r="B348" s="242"/>
      <c r="C348" s="243"/>
      <c r="D348" s="242"/>
      <c r="E348" s="242"/>
      <c r="F348" s="242"/>
      <c r="G348" s="250"/>
      <c r="H348" s="251"/>
      <c r="I348" s="242"/>
      <c r="J348" s="242"/>
      <c r="K348" s="242"/>
      <c r="L348" s="242"/>
      <c r="M348" s="242"/>
      <c r="N348" s="242"/>
      <c r="O348" s="242"/>
    </row>
    <row r="349">
      <c r="A349" s="242"/>
      <c r="B349" s="242"/>
      <c r="C349" s="243"/>
      <c r="D349" s="242"/>
      <c r="E349" s="242"/>
      <c r="F349" s="242"/>
      <c r="G349" s="250"/>
      <c r="H349" s="251"/>
      <c r="I349" s="242"/>
      <c r="J349" s="242"/>
      <c r="K349" s="242"/>
      <c r="L349" s="242"/>
      <c r="M349" s="242"/>
      <c r="N349" s="242"/>
      <c r="O349" s="242"/>
    </row>
    <row r="350">
      <c r="A350" s="242"/>
      <c r="B350" s="242"/>
      <c r="C350" s="243"/>
      <c r="D350" s="242"/>
      <c r="E350" s="242"/>
      <c r="F350" s="242"/>
      <c r="G350" s="250"/>
      <c r="H350" s="251"/>
      <c r="I350" s="242"/>
      <c r="J350" s="242"/>
      <c r="K350" s="242"/>
      <c r="L350" s="242"/>
      <c r="M350" s="242"/>
      <c r="N350" s="242"/>
      <c r="O350" s="242"/>
    </row>
    <row r="351">
      <c r="A351" s="242"/>
      <c r="B351" s="242"/>
      <c r="C351" s="243"/>
      <c r="D351" s="242"/>
      <c r="E351" s="242"/>
      <c r="F351" s="242"/>
      <c r="G351" s="250"/>
      <c r="H351" s="251"/>
      <c r="I351" s="242"/>
      <c r="J351" s="242"/>
      <c r="K351" s="242"/>
      <c r="L351" s="242"/>
      <c r="M351" s="242"/>
      <c r="N351" s="242"/>
      <c r="O351" s="242"/>
    </row>
    <row r="352">
      <c r="A352" s="242"/>
      <c r="B352" s="242"/>
      <c r="C352" s="243"/>
      <c r="D352" s="242"/>
      <c r="E352" s="242"/>
      <c r="F352" s="242"/>
      <c r="G352" s="250"/>
      <c r="H352" s="251"/>
      <c r="I352" s="242"/>
      <c r="J352" s="242"/>
      <c r="K352" s="242"/>
      <c r="L352" s="242"/>
      <c r="M352" s="242"/>
      <c r="N352" s="242"/>
      <c r="O352" s="242"/>
    </row>
    <row r="353">
      <c r="A353" s="242"/>
      <c r="B353" s="242"/>
      <c r="C353" s="243"/>
      <c r="D353" s="242"/>
      <c r="E353" s="242"/>
      <c r="F353" s="242"/>
      <c r="G353" s="250"/>
      <c r="H353" s="251"/>
      <c r="I353" s="242"/>
      <c r="J353" s="242"/>
      <c r="K353" s="242"/>
      <c r="L353" s="242"/>
      <c r="M353" s="242"/>
      <c r="N353" s="242"/>
      <c r="O353" s="242"/>
    </row>
    <row r="354">
      <c r="A354" s="242"/>
      <c r="B354" s="242"/>
      <c r="C354" s="243"/>
      <c r="D354" s="242"/>
      <c r="E354" s="242"/>
      <c r="F354" s="242"/>
      <c r="G354" s="250"/>
      <c r="H354" s="251"/>
      <c r="I354" s="242"/>
      <c r="J354" s="242"/>
      <c r="K354" s="242"/>
      <c r="L354" s="242"/>
      <c r="M354" s="242"/>
      <c r="N354" s="242"/>
      <c r="O354" s="242"/>
    </row>
    <row r="355">
      <c r="A355" s="242"/>
      <c r="B355" s="242"/>
      <c r="C355" s="243"/>
      <c r="D355" s="242"/>
      <c r="E355" s="242"/>
      <c r="F355" s="242"/>
      <c r="G355" s="250"/>
      <c r="H355" s="251"/>
      <c r="I355" s="242"/>
      <c r="J355" s="242"/>
      <c r="K355" s="242"/>
      <c r="L355" s="242"/>
      <c r="M355" s="242"/>
      <c r="N355" s="242"/>
      <c r="O355" s="242"/>
    </row>
    <row r="356">
      <c r="A356" s="242"/>
      <c r="B356" s="242"/>
      <c r="C356" s="243"/>
      <c r="D356" s="242"/>
      <c r="E356" s="242"/>
      <c r="F356" s="242"/>
      <c r="G356" s="250"/>
      <c r="H356" s="251"/>
      <c r="I356" s="242"/>
      <c r="J356" s="242"/>
      <c r="K356" s="242"/>
      <c r="L356" s="242"/>
      <c r="M356" s="242"/>
      <c r="N356" s="242"/>
      <c r="O356" s="242"/>
    </row>
    <row r="357">
      <c r="A357" s="242"/>
      <c r="B357" s="242"/>
      <c r="C357" s="243"/>
      <c r="D357" s="242"/>
      <c r="E357" s="242"/>
      <c r="F357" s="242"/>
      <c r="G357" s="250"/>
      <c r="H357" s="251"/>
      <c r="I357" s="242"/>
      <c r="J357" s="242"/>
      <c r="K357" s="242"/>
      <c r="L357" s="242"/>
      <c r="M357" s="242"/>
      <c r="N357" s="242"/>
      <c r="O357" s="242"/>
    </row>
    <row r="358">
      <c r="A358" s="242"/>
      <c r="B358" s="242"/>
      <c r="C358" s="243"/>
      <c r="D358" s="242"/>
      <c r="E358" s="242"/>
      <c r="F358" s="242"/>
      <c r="G358" s="250"/>
      <c r="H358" s="251"/>
      <c r="I358" s="242"/>
      <c r="J358" s="242"/>
      <c r="K358" s="242"/>
      <c r="L358" s="242"/>
      <c r="M358" s="242"/>
      <c r="N358" s="242"/>
      <c r="O358" s="242"/>
    </row>
    <row r="359">
      <c r="A359" s="242"/>
      <c r="B359" s="242"/>
      <c r="C359" s="243"/>
      <c r="D359" s="242"/>
      <c r="E359" s="242"/>
      <c r="F359" s="242"/>
      <c r="G359" s="250"/>
      <c r="H359" s="251"/>
      <c r="I359" s="242"/>
      <c r="J359" s="242"/>
      <c r="K359" s="242"/>
      <c r="L359" s="242"/>
      <c r="M359" s="242"/>
      <c r="N359" s="242"/>
      <c r="O359" s="242"/>
    </row>
    <row r="360">
      <c r="A360" s="242"/>
      <c r="B360" s="242"/>
      <c r="C360" s="243"/>
      <c r="D360" s="242"/>
      <c r="E360" s="242"/>
      <c r="F360" s="242"/>
      <c r="G360" s="250"/>
      <c r="H360" s="251"/>
      <c r="I360" s="242"/>
      <c r="J360" s="242"/>
      <c r="K360" s="242"/>
      <c r="L360" s="242"/>
      <c r="M360" s="242"/>
      <c r="N360" s="242"/>
      <c r="O360" s="242"/>
    </row>
    <row r="361">
      <c r="A361" s="242"/>
      <c r="B361" s="242"/>
      <c r="C361" s="243"/>
      <c r="D361" s="242"/>
      <c r="E361" s="242"/>
      <c r="F361" s="242"/>
      <c r="G361" s="250"/>
      <c r="H361" s="251"/>
      <c r="I361" s="242"/>
      <c r="J361" s="242"/>
      <c r="K361" s="242"/>
      <c r="L361" s="242"/>
      <c r="M361" s="242"/>
      <c r="N361" s="242"/>
      <c r="O361" s="242"/>
    </row>
    <row r="362">
      <c r="A362" s="242"/>
      <c r="B362" s="242"/>
      <c r="C362" s="243"/>
      <c r="D362" s="242"/>
      <c r="E362" s="242"/>
      <c r="F362" s="242"/>
      <c r="G362" s="250"/>
      <c r="H362" s="251"/>
      <c r="I362" s="242"/>
      <c r="J362" s="242"/>
      <c r="K362" s="242"/>
      <c r="L362" s="242"/>
      <c r="M362" s="242"/>
      <c r="N362" s="242"/>
      <c r="O362" s="242"/>
    </row>
    <row r="363">
      <c r="A363" s="242"/>
      <c r="B363" s="242"/>
      <c r="C363" s="243"/>
      <c r="D363" s="242"/>
      <c r="E363" s="242"/>
      <c r="F363" s="242"/>
      <c r="G363" s="250"/>
      <c r="H363" s="251"/>
      <c r="I363" s="242"/>
      <c r="J363" s="242"/>
      <c r="K363" s="242"/>
      <c r="L363" s="242"/>
      <c r="M363" s="242"/>
      <c r="N363" s="242"/>
      <c r="O363" s="242"/>
    </row>
    <row r="364">
      <c r="A364" s="242"/>
      <c r="B364" s="242"/>
      <c r="C364" s="243"/>
      <c r="D364" s="242"/>
      <c r="E364" s="242"/>
      <c r="F364" s="242"/>
      <c r="G364" s="250"/>
      <c r="H364" s="251"/>
      <c r="I364" s="242"/>
      <c r="J364" s="242"/>
      <c r="K364" s="242"/>
      <c r="L364" s="242"/>
      <c r="M364" s="242"/>
      <c r="N364" s="242"/>
      <c r="O364" s="242"/>
    </row>
    <row r="365">
      <c r="A365" s="242"/>
      <c r="B365" s="242"/>
      <c r="C365" s="243"/>
      <c r="D365" s="242"/>
      <c r="E365" s="242"/>
      <c r="F365" s="242"/>
      <c r="G365" s="250"/>
      <c r="H365" s="251"/>
      <c r="I365" s="242"/>
      <c r="J365" s="242"/>
      <c r="K365" s="242"/>
      <c r="L365" s="242"/>
      <c r="M365" s="242"/>
      <c r="N365" s="242"/>
      <c r="O365" s="242"/>
    </row>
    <row r="366">
      <c r="A366" s="242"/>
      <c r="B366" s="242"/>
      <c r="C366" s="243"/>
      <c r="D366" s="242"/>
      <c r="E366" s="242"/>
      <c r="F366" s="242"/>
      <c r="G366" s="250"/>
      <c r="H366" s="251"/>
      <c r="I366" s="242"/>
      <c r="J366" s="242"/>
      <c r="K366" s="242"/>
      <c r="L366" s="242"/>
      <c r="M366" s="242"/>
      <c r="N366" s="242"/>
      <c r="O366" s="242"/>
    </row>
    <row r="367">
      <c r="A367" s="242"/>
      <c r="B367" s="242"/>
      <c r="C367" s="243"/>
      <c r="D367" s="242"/>
      <c r="E367" s="242"/>
      <c r="F367" s="242"/>
      <c r="G367" s="250"/>
      <c r="H367" s="251"/>
      <c r="I367" s="242"/>
      <c r="J367" s="242"/>
      <c r="K367" s="242"/>
      <c r="L367" s="242"/>
      <c r="M367" s="242"/>
      <c r="N367" s="242"/>
      <c r="O367" s="242"/>
    </row>
    <row r="368">
      <c r="A368" s="242"/>
      <c r="B368" s="242"/>
      <c r="C368" s="243"/>
      <c r="D368" s="242"/>
      <c r="E368" s="242"/>
      <c r="F368" s="242"/>
      <c r="G368" s="250"/>
      <c r="H368" s="251"/>
      <c r="I368" s="242"/>
      <c r="J368" s="242"/>
      <c r="K368" s="242"/>
      <c r="L368" s="242"/>
      <c r="M368" s="242"/>
      <c r="N368" s="242"/>
      <c r="O368" s="242"/>
    </row>
    <row r="369">
      <c r="A369" s="242"/>
      <c r="B369" s="242"/>
      <c r="C369" s="243"/>
      <c r="D369" s="242"/>
      <c r="E369" s="242"/>
      <c r="F369" s="242"/>
      <c r="G369" s="250"/>
      <c r="H369" s="251"/>
      <c r="I369" s="242"/>
      <c r="J369" s="242"/>
      <c r="K369" s="242"/>
      <c r="L369" s="242"/>
      <c r="M369" s="242"/>
      <c r="N369" s="242"/>
      <c r="O369" s="242"/>
    </row>
    <row r="370">
      <c r="A370" s="242"/>
      <c r="B370" s="242"/>
      <c r="C370" s="243"/>
      <c r="D370" s="242"/>
      <c r="E370" s="242"/>
      <c r="F370" s="242"/>
      <c r="G370" s="250"/>
      <c r="H370" s="251"/>
      <c r="I370" s="242"/>
      <c r="J370" s="242"/>
      <c r="K370" s="242"/>
      <c r="L370" s="242"/>
      <c r="M370" s="242"/>
      <c r="N370" s="242"/>
      <c r="O370" s="242"/>
    </row>
    <row r="371">
      <c r="A371" s="242"/>
      <c r="B371" s="242"/>
      <c r="C371" s="243"/>
      <c r="D371" s="242"/>
      <c r="E371" s="242"/>
      <c r="F371" s="242"/>
      <c r="G371" s="250"/>
      <c r="H371" s="251"/>
      <c r="I371" s="242"/>
      <c r="J371" s="242"/>
      <c r="K371" s="242"/>
      <c r="L371" s="242"/>
      <c r="M371" s="242"/>
      <c r="N371" s="242"/>
      <c r="O371" s="242"/>
    </row>
    <row r="372">
      <c r="A372" s="242"/>
      <c r="B372" s="242"/>
      <c r="C372" s="243"/>
      <c r="D372" s="242"/>
      <c r="E372" s="242"/>
      <c r="F372" s="242"/>
      <c r="G372" s="250"/>
      <c r="H372" s="251"/>
      <c r="I372" s="242"/>
      <c r="J372" s="242"/>
      <c r="K372" s="242"/>
      <c r="L372" s="242"/>
      <c r="M372" s="242"/>
      <c r="N372" s="242"/>
      <c r="O372" s="242"/>
    </row>
    <row r="373">
      <c r="A373" s="242"/>
      <c r="B373" s="242"/>
      <c r="C373" s="243"/>
      <c r="D373" s="242"/>
      <c r="E373" s="242"/>
      <c r="F373" s="242"/>
      <c r="G373" s="250"/>
      <c r="H373" s="251"/>
      <c r="I373" s="242"/>
      <c r="J373" s="242"/>
      <c r="K373" s="242"/>
      <c r="L373" s="242"/>
      <c r="M373" s="242"/>
      <c r="N373" s="242"/>
      <c r="O373" s="242"/>
    </row>
    <row r="374">
      <c r="A374" s="242"/>
      <c r="B374" s="242"/>
      <c r="C374" s="243"/>
      <c r="D374" s="242"/>
      <c r="E374" s="242"/>
      <c r="F374" s="242"/>
      <c r="G374" s="250"/>
      <c r="H374" s="251"/>
      <c r="I374" s="242"/>
      <c r="J374" s="242"/>
      <c r="K374" s="242"/>
      <c r="L374" s="242"/>
      <c r="M374" s="242"/>
      <c r="N374" s="242"/>
      <c r="O374" s="242"/>
    </row>
    <row r="375">
      <c r="A375" s="242"/>
      <c r="B375" s="242"/>
      <c r="C375" s="243"/>
      <c r="D375" s="242"/>
      <c r="E375" s="242"/>
      <c r="F375" s="242"/>
      <c r="G375" s="250"/>
      <c r="H375" s="251"/>
      <c r="I375" s="242"/>
      <c r="J375" s="242"/>
      <c r="K375" s="242"/>
      <c r="L375" s="242"/>
      <c r="M375" s="242"/>
      <c r="N375" s="242"/>
      <c r="O375" s="242"/>
    </row>
    <row r="376">
      <c r="A376" s="242"/>
      <c r="B376" s="242"/>
      <c r="C376" s="243"/>
      <c r="D376" s="242"/>
      <c r="E376" s="242"/>
      <c r="F376" s="242"/>
      <c r="G376" s="250"/>
      <c r="H376" s="251"/>
      <c r="I376" s="242"/>
      <c r="J376" s="242"/>
      <c r="K376" s="242"/>
      <c r="L376" s="242"/>
      <c r="M376" s="242"/>
      <c r="N376" s="242"/>
      <c r="O376" s="242"/>
    </row>
    <row r="377">
      <c r="A377" s="242"/>
      <c r="B377" s="242"/>
      <c r="C377" s="243"/>
      <c r="D377" s="242"/>
      <c r="E377" s="242"/>
      <c r="F377" s="242"/>
      <c r="G377" s="250"/>
      <c r="H377" s="251"/>
      <c r="I377" s="242"/>
      <c r="J377" s="242"/>
      <c r="K377" s="242"/>
      <c r="L377" s="242"/>
      <c r="M377" s="242"/>
      <c r="N377" s="242"/>
      <c r="O377" s="242"/>
    </row>
    <row r="378">
      <c r="A378" s="242"/>
      <c r="B378" s="242"/>
      <c r="C378" s="243"/>
      <c r="D378" s="242"/>
      <c r="E378" s="242"/>
      <c r="F378" s="242"/>
      <c r="G378" s="250"/>
      <c r="H378" s="251"/>
      <c r="I378" s="242"/>
      <c r="J378" s="242"/>
      <c r="K378" s="242"/>
      <c r="L378" s="242"/>
      <c r="M378" s="242"/>
      <c r="N378" s="242"/>
      <c r="O378" s="242"/>
    </row>
    <row r="379">
      <c r="A379" s="242"/>
      <c r="B379" s="242"/>
      <c r="C379" s="243"/>
      <c r="D379" s="242"/>
      <c r="E379" s="242"/>
      <c r="F379" s="242"/>
      <c r="G379" s="250"/>
      <c r="H379" s="251"/>
      <c r="I379" s="242"/>
      <c r="J379" s="242"/>
      <c r="K379" s="242"/>
      <c r="L379" s="242"/>
      <c r="M379" s="242"/>
      <c r="N379" s="242"/>
      <c r="O379" s="242"/>
    </row>
    <row r="380">
      <c r="A380" s="242"/>
      <c r="B380" s="242"/>
      <c r="C380" s="243"/>
      <c r="D380" s="242"/>
      <c r="E380" s="242"/>
      <c r="F380" s="242"/>
      <c r="G380" s="250"/>
      <c r="H380" s="251"/>
      <c r="I380" s="242"/>
      <c r="J380" s="242"/>
      <c r="K380" s="242"/>
      <c r="L380" s="242"/>
      <c r="M380" s="242"/>
      <c r="N380" s="242"/>
      <c r="O380" s="242"/>
    </row>
    <row r="381">
      <c r="A381" s="242"/>
      <c r="B381" s="242"/>
      <c r="C381" s="243"/>
      <c r="D381" s="242"/>
      <c r="E381" s="242"/>
      <c r="F381" s="242"/>
      <c r="G381" s="250"/>
      <c r="H381" s="251"/>
      <c r="I381" s="242"/>
      <c r="J381" s="242"/>
      <c r="K381" s="242"/>
      <c r="L381" s="242"/>
      <c r="M381" s="242"/>
      <c r="N381" s="242"/>
      <c r="O381" s="242"/>
    </row>
    <row r="382">
      <c r="A382" s="242"/>
      <c r="B382" s="242"/>
      <c r="C382" s="243"/>
      <c r="D382" s="242"/>
      <c r="E382" s="242"/>
      <c r="F382" s="242"/>
      <c r="G382" s="250"/>
      <c r="H382" s="251"/>
      <c r="I382" s="242"/>
      <c r="J382" s="242"/>
      <c r="K382" s="242"/>
      <c r="L382" s="242"/>
      <c r="M382" s="242"/>
      <c r="N382" s="242"/>
      <c r="O382" s="242"/>
    </row>
    <row r="383">
      <c r="A383" s="242"/>
      <c r="B383" s="242"/>
      <c r="C383" s="243"/>
      <c r="D383" s="242"/>
      <c r="E383" s="242"/>
      <c r="F383" s="242"/>
      <c r="G383" s="250"/>
      <c r="H383" s="251"/>
      <c r="I383" s="242"/>
      <c r="J383" s="242"/>
      <c r="K383" s="242"/>
      <c r="L383" s="242"/>
      <c r="M383" s="242"/>
      <c r="N383" s="242"/>
      <c r="O383" s="242"/>
    </row>
    <row r="384">
      <c r="A384" s="242"/>
      <c r="B384" s="242"/>
      <c r="C384" s="243"/>
      <c r="D384" s="242"/>
      <c r="E384" s="242"/>
      <c r="F384" s="242"/>
      <c r="G384" s="250"/>
      <c r="H384" s="251"/>
      <c r="I384" s="242"/>
      <c r="J384" s="242"/>
      <c r="K384" s="242"/>
      <c r="L384" s="242"/>
      <c r="M384" s="242"/>
      <c r="N384" s="242"/>
      <c r="O384" s="242"/>
    </row>
    <row r="385">
      <c r="A385" s="242"/>
      <c r="B385" s="242"/>
      <c r="C385" s="243"/>
      <c r="D385" s="242"/>
      <c r="E385" s="242"/>
      <c r="F385" s="242"/>
      <c r="G385" s="250"/>
      <c r="H385" s="251"/>
      <c r="I385" s="242"/>
      <c r="J385" s="242"/>
      <c r="K385" s="242"/>
      <c r="L385" s="242"/>
      <c r="M385" s="242"/>
      <c r="N385" s="242"/>
      <c r="O385" s="242"/>
    </row>
    <row r="386">
      <c r="A386" s="242"/>
      <c r="B386" s="242"/>
      <c r="C386" s="243"/>
      <c r="D386" s="242"/>
      <c r="E386" s="242"/>
      <c r="F386" s="242"/>
      <c r="G386" s="250"/>
      <c r="H386" s="251"/>
      <c r="I386" s="242"/>
      <c r="J386" s="242"/>
      <c r="K386" s="242"/>
      <c r="L386" s="242"/>
      <c r="M386" s="242"/>
      <c r="N386" s="242"/>
      <c r="O386" s="242"/>
    </row>
    <row r="387">
      <c r="A387" s="242"/>
      <c r="B387" s="242"/>
      <c r="C387" s="243"/>
      <c r="D387" s="242"/>
      <c r="E387" s="242"/>
      <c r="F387" s="242"/>
      <c r="G387" s="250"/>
      <c r="H387" s="251"/>
      <c r="I387" s="242"/>
      <c r="J387" s="242"/>
      <c r="K387" s="242"/>
      <c r="L387" s="242"/>
      <c r="M387" s="242"/>
      <c r="N387" s="242"/>
      <c r="O387" s="242"/>
    </row>
    <row r="388">
      <c r="A388" s="242"/>
      <c r="B388" s="242"/>
      <c r="C388" s="243"/>
      <c r="D388" s="242"/>
      <c r="E388" s="242"/>
      <c r="F388" s="242"/>
      <c r="G388" s="250"/>
      <c r="H388" s="251"/>
      <c r="I388" s="242"/>
      <c r="J388" s="242"/>
      <c r="K388" s="242"/>
      <c r="L388" s="242"/>
      <c r="M388" s="242"/>
      <c r="N388" s="242"/>
      <c r="O388" s="242"/>
    </row>
    <row r="389">
      <c r="A389" s="242"/>
      <c r="B389" s="242"/>
      <c r="C389" s="243"/>
      <c r="D389" s="242"/>
      <c r="E389" s="242"/>
      <c r="F389" s="242"/>
      <c r="G389" s="250"/>
      <c r="H389" s="251"/>
      <c r="I389" s="242"/>
      <c r="J389" s="242"/>
      <c r="K389" s="242"/>
      <c r="L389" s="242"/>
      <c r="M389" s="242"/>
      <c r="N389" s="242"/>
      <c r="O389" s="242"/>
    </row>
    <row r="390">
      <c r="A390" s="242"/>
      <c r="B390" s="242"/>
      <c r="C390" s="243"/>
      <c r="D390" s="242"/>
      <c r="E390" s="242"/>
      <c r="F390" s="242"/>
      <c r="G390" s="250"/>
      <c r="H390" s="251"/>
      <c r="I390" s="242"/>
      <c r="J390" s="242"/>
      <c r="K390" s="242"/>
      <c r="L390" s="242"/>
      <c r="M390" s="242"/>
      <c r="N390" s="242"/>
      <c r="O390" s="242"/>
    </row>
    <row r="391">
      <c r="A391" s="242"/>
      <c r="B391" s="242"/>
      <c r="C391" s="243"/>
      <c r="D391" s="242"/>
      <c r="E391" s="242"/>
      <c r="F391" s="242"/>
      <c r="G391" s="250"/>
      <c r="H391" s="251"/>
      <c r="I391" s="242"/>
      <c r="J391" s="242"/>
      <c r="K391" s="242"/>
      <c r="L391" s="242"/>
      <c r="M391" s="242"/>
      <c r="N391" s="242"/>
      <c r="O391" s="242"/>
    </row>
    <row r="392">
      <c r="A392" s="242"/>
      <c r="B392" s="242"/>
      <c r="C392" s="243"/>
      <c r="D392" s="242"/>
      <c r="E392" s="242"/>
      <c r="F392" s="242"/>
      <c r="G392" s="250"/>
      <c r="H392" s="251"/>
      <c r="I392" s="242"/>
      <c r="J392" s="242"/>
      <c r="K392" s="242"/>
      <c r="L392" s="242"/>
      <c r="M392" s="242"/>
      <c r="N392" s="242"/>
      <c r="O392" s="242"/>
    </row>
    <row r="393">
      <c r="A393" s="242"/>
      <c r="B393" s="242"/>
      <c r="C393" s="243"/>
      <c r="D393" s="242"/>
      <c r="E393" s="242"/>
      <c r="F393" s="242"/>
      <c r="G393" s="250"/>
      <c r="H393" s="251"/>
      <c r="I393" s="242"/>
      <c r="J393" s="242"/>
      <c r="K393" s="242"/>
      <c r="L393" s="242"/>
      <c r="M393" s="242"/>
      <c r="N393" s="242"/>
      <c r="O393" s="242"/>
    </row>
    <row r="394">
      <c r="A394" s="242"/>
      <c r="B394" s="242"/>
      <c r="C394" s="243"/>
      <c r="D394" s="242"/>
      <c r="E394" s="242"/>
      <c r="F394" s="242"/>
      <c r="G394" s="250"/>
      <c r="H394" s="251"/>
      <c r="I394" s="242"/>
      <c r="J394" s="242"/>
      <c r="K394" s="242"/>
      <c r="L394" s="242"/>
      <c r="M394" s="242"/>
      <c r="N394" s="242"/>
      <c r="O394" s="242"/>
    </row>
    <row r="395">
      <c r="A395" s="242"/>
      <c r="B395" s="242"/>
      <c r="C395" s="243"/>
      <c r="D395" s="242"/>
      <c r="E395" s="242"/>
      <c r="F395" s="242"/>
      <c r="G395" s="250"/>
      <c r="H395" s="251"/>
      <c r="I395" s="242"/>
      <c r="J395" s="242"/>
      <c r="K395" s="242"/>
      <c r="L395" s="242"/>
      <c r="M395" s="242"/>
      <c r="N395" s="242"/>
      <c r="O395" s="242"/>
    </row>
    <row r="396">
      <c r="A396" s="242"/>
      <c r="B396" s="242"/>
      <c r="C396" s="243"/>
      <c r="D396" s="242"/>
      <c r="E396" s="242"/>
      <c r="F396" s="242"/>
      <c r="G396" s="250"/>
      <c r="H396" s="251"/>
      <c r="I396" s="242"/>
      <c r="J396" s="242"/>
      <c r="K396" s="242"/>
      <c r="L396" s="242"/>
      <c r="M396" s="242"/>
      <c r="N396" s="242"/>
      <c r="O396" s="242"/>
    </row>
    <row r="397">
      <c r="A397" s="242"/>
      <c r="B397" s="242"/>
      <c r="C397" s="243"/>
      <c r="D397" s="242"/>
      <c r="E397" s="242"/>
      <c r="F397" s="242"/>
      <c r="G397" s="250"/>
      <c r="H397" s="251"/>
      <c r="I397" s="242"/>
      <c r="J397" s="242"/>
      <c r="K397" s="242"/>
      <c r="L397" s="242"/>
      <c r="M397" s="242"/>
      <c r="N397" s="242"/>
      <c r="O397" s="242"/>
    </row>
    <row r="398">
      <c r="A398" s="242"/>
      <c r="B398" s="242"/>
      <c r="C398" s="243"/>
      <c r="D398" s="242"/>
      <c r="E398" s="242"/>
      <c r="F398" s="242"/>
      <c r="G398" s="250"/>
      <c r="H398" s="251"/>
      <c r="I398" s="242"/>
      <c r="J398" s="242"/>
      <c r="K398" s="242"/>
      <c r="L398" s="242"/>
      <c r="M398" s="242"/>
      <c r="N398" s="242"/>
      <c r="O398" s="242"/>
    </row>
    <row r="399">
      <c r="A399" s="242"/>
      <c r="B399" s="242"/>
      <c r="C399" s="243"/>
      <c r="D399" s="242"/>
      <c r="E399" s="242"/>
      <c r="F399" s="242"/>
      <c r="G399" s="250"/>
      <c r="H399" s="251"/>
      <c r="I399" s="242"/>
      <c r="J399" s="242"/>
      <c r="K399" s="242"/>
      <c r="L399" s="242"/>
      <c r="M399" s="242"/>
      <c r="N399" s="242"/>
      <c r="O399" s="242"/>
    </row>
    <row r="400">
      <c r="A400" s="242"/>
      <c r="B400" s="242"/>
      <c r="C400" s="243"/>
      <c r="D400" s="242"/>
      <c r="E400" s="242"/>
      <c r="F400" s="242"/>
      <c r="G400" s="250"/>
      <c r="H400" s="251"/>
      <c r="I400" s="242"/>
      <c r="J400" s="242"/>
      <c r="K400" s="242"/>
      <c r="L400" s="242"/>
      <c r="M400" s="242"/>
      <c r="N400" s="242"/>
      <c r="O400" s="242"/>
    </row>
    <row r="401">
      <c r="A401" s="242"/>
      <c r="B401" s="242"/>
      <c r="C401" s="243"/>
      <c r="D401" s="242"/>
      <c r="E401" s="242"/>
      <c r="F401" s="242"/>
      <c r="G401" s="250"/>
      <c r="H401" s="251"/>
      <c r="I401" s="242"/>
      <c r="J401" s="242"/>
      <c r="K401" s="242"/>
      <c r="L401" s="242"/>
      <c r="M401" s="242"/>
      <c r="N401" s="242"/>
      <c r="O401" s="242"/>
    </row>
    <row r="402">
      <c r="A402" s="242"/>
      <c r="B402" s="242"/>
      <c r="C402" s="243"/>
      <c r="D402" s="242"/>
      <c r="E402" s="242"/>
      <c r="F402" s="242"/>
      <c r="G402" s="250"/>
      <c r="H402" s="251"/>
      <c r="I402" s="242"/>
      <c r="J402" s="242"/>
      <c r="K402" s="242"/>
      <c r="L402" s="242"/>
      <c r="M402" s="242"/>
      <c r="N402" s="242"/>
      <c r="O402" s="242"/>
    </row>
    <row r="403">
      <c r="A403" s="242"/>
      <c r="B403" s="242"/>
      <c r="C403" s="243"/>
      <c r="D403" s="242"/>
      <c r="E403" s="242"/>
      <c r="F403" s="242"/>
      <c r="G403" s="250"/>
      <c r="H403" s="251"/>
      <c r="I403" s="242"/>
      <c r="J403" s="242"/>
      <c r="K403" s="242"/>
      <c r="L403" s="242"/>
      <c r="M403" s="242"/>
      <c r="N403" s="242"/>
      <c r="O403" s="242"/>
    </row>
    <row r="404">
      <c r="A404" s="242"/>
      <c r="B404" s="242"/>
      <c r="C404" s="243"/>
      <c r="D404" s="242"/>
      <c r="E404" s="242"/>
      <c r="F404" s="242"/>
      <c r="G404" s="250"/>
      <c r="H404" s="251"/>
      <c r="I404" s="242"/>
      <c r="J404" s="242"/>
      <c r="K404" s="242"/>
      <c r="L404" s="242"/>
      <c r="M404" s="242"/>
      <c r="N404" s="242"/>
      <c r="O404" s="242"/>
    </row>
    <row r="405">
      <c r="A405" s="242"/>
      <c r="B405" s="242"/>
      <c r="C405" s="243"/>
      <c r="D405" s="242"/>
      <c r="E405" s="242"/>
      <c r="F405" s="242"/>
      <c r="G405" s="250"/>
      <c r="H405" s="251"/>
      <c r="I405" s="242"/>
      <c r="J405" s="242"/>
      <c r="K405" s="242"/>
      <c r="L405" s="242"/>
      <c r="M405" s="242"/>
      <c r="N405" s="242"/>
      <c r="O405" s="242"/>
    </row>
    <row r="406">
      <c r="A406" s="242"/>
      <c r="B406" s="242"/>
      <c r="C406" s="243"/>
      <c r="D406" s="242"/>
      <c r="E406" s="242"/>
      <c r="F406" s="242"/>
      <c r="G406" s="250"/>
      <c r="H406" s="251"/>
      <c r="I406" s="242"/>
      <c r="J406" s="242"/>
      <c r="K406" s="242"/>
      <c r="L406" s="242"/>
      <c r="M406" s="242"/>
      <c r="N406" s="242"/>
      <c r="O406" s="242"/>
    </row>
    <row r="407">
      <c r="A407" s="242"/>
      <c r="B407" s="242"/>
      <c r="C407" s="243"/>
      <c r="D407" s="242"/>
      <c r="E407" s="242"/>
      <c r="F407" s="242"/>
      <c r="G407" s="250"/>
      <c r="H407" s="251"/>
      <c r="I407" s="242"/>
      <c r="J407" s="242"/>
      <c r="K407" s="242"/>
      <c r="L407" s="242"/>
      <c r="M407" s="242"/>
      <c r="N407" s="242"/>
      <c r="O407" s="242"/>
    </row>
    <row r="408">
      <c r="A408" s="242"/>
      <c r="B408" s="242"/>
      <c r="C408" s="243"/>
      <c r="D408" s="242"/>
      <c r="E408" s="242"/>
      <c r="F408" s="242"/>
      <c r="G408" s="250"/>
      <c r="H408" s="251"/>
      <c r="I408" s="242"/>
      <c r="J408" s="242"/>
      <c r="K408" s="242"/>
      <c r="L408" s="242"/>
      <c r="M408" s="242"/>
      <c r="N408" s="242"/>
      <c r="O408" s="242"/>
    </row>
    <row r="409">
      <c r="A409" s="242"/>
      <c r="B409" s="242"/>
      <c r="C409" s="243"/>
      <c r="D409" s="242"/>
      <c r="E409" s="242"/>
      <c r="F409" s="242"/>
      <c r="G409" s="250"/>
      <c r="H409" s="251"/>
      <c r="I409" s="242"/>
      <c r="J409" s="242"/>
      <c r="K409" s="242"/>
      <c r="L409" s="242"/>
      <c r="M409" s="242"/>
      <c r="N409" s="242"/>
      <c r="O409" s="242"/>
    </row>
    <row r="410">
      <c r="A410" s="242"/>
      <c r="B410" s="242"/>
      <c r="C410" s="243"/>
      <c r="D410" s="242"/>
      <c r="E410" s="242"/>
      <c r="F410" s="242"/>
      <c r="G410" s="250"/>
      <c r="H410" s="251"/>
      <c r="I410" s="242"/>
      <c r="J410" s="242"/>
      <c r="K410" s="242"/>
      <c r="L410" s="242"/>
      <c r="M410" s="242"/>
      <c r="N410" s="242"/>
      <c r="O410" s="242"/>
    </row>
    <row r="411">
      <c r="A411" s="242"/>
      <c r="B411" s="242"/>
      <c r="C411" s="243"/>
      <c r="D411" s="242"/>
      <c r="E411" s="242"/>
      <c r="F411" s="242"/>
      <c r="G411" s="250"/>
      <c r="H411" s="251"/>
      <c r="I411" s="242"/>
      <c r="J411" s="242"/>
      <c r="K411" s="242"/>
      <c r="L411" s="242"/>
      <c r="M411" s="242"/>
      <c r="N411" s="242"/>
      <c r="O411" s="242"/>
    </row>
    <row r="412">
      <c r="A412" s="242"/>
      <c r="B412" s="242"/>
      <c r="C412" s="243"/>
      <c r="D412" s="242"/>
      <c r="E412" s="242"/>
      <c r="F412" s="242"/>
      <c r="G412" s="250"/>
      <c r="H412" s="251"/>
      <c r="I412" s="242"/>
      <c r="J412" s="242"/>
      <c r="K412" s="242"/>
      <c r="L412" s="242"/>
      <c r="M412" s="242"/>
      <c r="N412" s="242"/>
      <c r="O412" s="242"/>
    </row>
    <row r="413">
      <c r="A413" s="242"/>
      <c r="B413" s="242"/>
      <c r="C413" s="243"/>
      <c r="D413" s="242"/>
      <c r="E413" s="242"/>
      <c r="F413" s="242"/>
      <c r="G413" s="250"/>
      <c r="H413" s="251"/>
      <c r="I413" s="242"/>
      <c r="J413" s="242"/>
      <c r="K413" s="242"/>
      <c r="L413" s="242"/>
      <c r="M413" s="242"/>
      <c r="N413" s="242"/>
      <c r="O413" s="242"/>
    </row>
    <row r="414">
      <c r="A414" s="242"/>
      <c r="B414" s="242"/>
      <c r="C414" s="243"/>
      <c r="D414" s="242"/>
      <c r="E414" s="242"/>
      <c r="F414" s="242"/>
      <c r="G414" s="250"/>
      <c r="H414" s="251"/>
      <c r="I414" s="242"/>
      <c r="J414" s="242"/>
      <c r="K414" s="242"/>
      <c r="L414" s="242"/>
      <c r="M414" s="242"/>
      <c r="N414" s="242"/>
      <c r="O414" s="242"/>
    </row>
    <row r="415">
      <c r="A415" s="242"/>
      <c r="B415" s="242"/>
      <c r="C415" s="243"/>
      <c r="D415" s="242"/>
      <c r="E415" s="242"/>
      <c r="F415" s="242"/>
      <c r="G415" s="250"/>
      <c r="H415" s="251"/>
      <c r="I415" s="242"/>
      <c r="J415" s="242"/>
      <c r="K415" s="242"/>
      <c r="L415" s="242"/>
      <c r="M415" s="242"/>
      <c r="N415" s="242"/>
      <c r="O415" s="242"/>
    </row>
    <row r="416">
      <c r="A416" s="242"/>
      <c r="B416" s="242"/>
      <c r="C416" s="243"/>
      <c r="D416" s="242"/>
      <c r="E416" s="242"/>
      <c r="F416" s="242"/>
      <c r="G416" s="250"/>
      <c r="H416" s="251"/>
      <c r="I416" s="242"/>
      <c r="J416" s="242"/>
      <c r="K416" s="242"/>
      <c r="L416" s="242"/>
      <c r="M416" s="242"/>
      <c r="N416" s="242"/>
      <c r="O416" s="242"/>
    </row>
    <row r="417">
      <c r="A417" s="242"/>
      <c r="B417" s="242"/>
      <c r="C417" s="243"/>
      <c r="D417" s="242"/>
      <c r="E417" s="242"/>
      <c r="F417" s="242"/>
      <c r="G417" s="250"/>
      <c r="H417" s="251"/>
      <c r="I417" s="242"/>
      <c r="J417" s="242"/>
      <c r="K417" s="242"/>
      <c r="L417" s="242"/>
      <c r="M417" s="242"/>
      <c r="N417" s="242"/>
      <c r="O417" s="242"/>
    </row>
    <row r="418">
      <c r="A418" s="242"/>
      <c r="B418" s="242"/>
      <c r="C418" s="243"/>
      <c r="D418" s="242"/>
      <c r="E418" s="242"/>
      <c r="F418" s="242"/>
      <c r="G418" s="250"/>
      <c r="H418" s="251"/>
      <c r="I418" s="242"/>
      <c r="J418" s="242"/>
      <c r="K418" s="242"/>
      <c r="L418" s="242"/>
      <c r="M418" s="242"/>
      <c r="N418" s="242"/>
      <c r="O418" s="242"/>
    </row>
    <row r="419">
      <c r="A419" s="242"/>
      <c r="B419" s="242"/>
      <c r="C419" s="243"/>
      <c r="D419" s="242"/>
      <c r="E419" s="242"/>
      <c r="F419" s="242"/>
      <c r="G419" s="250"/>
      <c r="H419" s="251"/>
      <c r="I419" s="242"/>
      <c r="J419" s="242"/>
      <c r="K419" s="242"/>
      <c r="L419" s="242"/>
      <c r="M419" s="242"/>
      <c r="N419" s="242"/>
      <c r="O419" s="242"/>
    </row>
    <row r="420">
      <c r="A420" s="242"/>
      <c r="B420" s="242"/>
      <c r="C420" s="243"/>
      <c r="D420" s="242"/>
      <c r="E420" s="242"/>
      <c r="F420" s="242"/>
      <c r="G420" s="250"/>
      <c r="H420" s="251"/>
      <c r="I420" s="242"/>
      <c r="J420" s="242"/>
      <c r="K420" s="242"/>
      <c r="L420" s="242"/>
      <c r="M420" s="242"/>
      <c r="N420" s="242"/>
      <c r="O420" s="242"/>
    </row>
    <row r="421">
      <c r="A421" s="242"/>
      <c r="B421" s="242"/>
      <c r="C421" s="243"/>
      <c r="D421" s="242"/>
      <c r="E421" s="242"/>
      <c r="F421" s="242"/>
      <c r="G421" s="250"/>
      <c r="H421" s="251"/>
      <c r="I421" s="242"/>
      <c r="J421" s="242"/>
      <c r="K421" s="242"/>
      <c r="L421" s="242"/>
      <c r="M421" s="242"/>
      <c r="N421" s="242"/>
      <c r="O421" s="242"/>
    </row>
    <row r="422">
      <c r="A422" s="242"/>
      <c r="B422" s="242"/>
      <c r="C422" s="243"/>
      <c r="D422" s="242"/>
      <c r="E422" s="242"/>
      <c r="F422" s="242"/>
      <c r="G422" s="250"/>
      <c r="H422" s="251"/>
      <c r="I422" s="242"/>
      <c r="J422" s="242"/>
      <c r="K422" s="242"/>
      <c r="L422" s="242"/>
      <c r="M422" s="242"/>
      <c r="N422" s="242"/>
      <c r="O422" s="242"/>
    </row>
    <row r="423">
      <c r="A423" s="242"/>
      <c r="B423" s="242"/>
      <c r="C423" s="243"/>
      <c r="D423" s="242"/>
      <c r="E423" s="242"/>
      <c r="F423" s="242"/>
      <c r="G423" s="250"/>
      <c r="H423" s="251"/>
      <c r="I423" s="242"/>
      <c r="J423" s="242"/>
      <c r="K423" s="242"/>
      <c r="L423" s="242"/>
      <c r="M423" s="242"/>
      <c r="N423" s="242"/>
      <c r="O423" s="242"/>
    </row>
    <row r="424">
      <c r="A424" s="242"/>
      <c r="B424" s="242"/>
      <c r="C424" s="243"/>
      <c r="D424" s="242"/>
      <c r="E424" s="242"/>
      <c r="F424" s="242"/>
      <c r="G424" s="250"/>
      <c r="H424" s="251"/>
      <c r="I424" s="242"/>
      <c r="J424" s="242"/>
      <c r="K424" s="242"/>
      <c r="L424" s="242"/>
      <c r="M424" s="242"/>
      <c r="N424" s="242"/>
      <c r="O424" s="242"/>
    </row>
    <row r="425">
      <c r="A425" s="242"/>
      <c r="B425" s="242"/>
      <c r="C425" s="243"/>
      <c r="D425" s="242"/>
      <c r="E425" s="242"/>
      <c r="F425" s="242"/>
      <c r="G425" s="250"/>
      <c r="H425" s="251"/>
      <c r="I425" s="242"/>
      <c r="J425" s="242"/>
      <c r="K425" s="242"/>
      <c r="L425" s="242"/>
      <c r="M425" s="242"/>
      <c r="N425" s="242"/>
      <c r="O425" s="242"/>
    </row>
    <row r="426">
      <c r="A426" s="242"/>
      <c r="B426" s="242"/>
      <c r="C426" s="243"/>
      <c r="D426" s="242"/>
      <c r="E426" s="242"/>
      <c r="F426" s="242"/>
      <c r="G426" s="250"/>
      <c r="H426" s="251"/>
      <c r="I426" s="242"/>
      <c r="J426" s="242"/>
      <c r="K426" s="242"/>
      <c r="L426" s="242"/>
      <c r="M426" s="242"/>
      <c r="N426" s="242"/>
      <c r="O426" s="242"/>
    </row>
    <row r="427">
      <c r="A427" s="242"/>
      <c r="B427" s="242"/>
      <c r="C427" s="243"/>
      <c r="D427" s="242"/>
      <c r="E427" s="242"/>
      <c r="F427" s="242"/>
      <c r="G427" s="250"/>
      <c r="H427" s="251"/>
      <c r="I427" s="242"/>
      <c r="J427" s="242"/>
      <c r="K427" s="242"/>
      <c r="L427" s="242"/>
      <c r="M427" s="242"/>
      <c r="N427" s="242"/>
      <c r="O427" s="242"/>
    </row>
    <row r="428">
      <c r="A428" s="242"/>
      <c r="B428" s="242"/>
      <c r="C428" s="243"/>
      <c r="D428" s="242"/>
      <c r="E428" s="242"/>
      <c r="F428" s="242"/>
      <c r="G428" s="250"/>
      <c r="H428" s="251"/>
      <c r="I428" s="242"/>
      <c r="J428" s="242"/>
      <c r="K428" s="242"/>
      <c r="L428" s="242"/>
      <c r="M428" s="242"/>
      <c r="N428" s="242"/>
      <c r="O428" s="242"/>
    </row>
    <row r="429">
      <c r="A429" s="242"/>
      <c r="B429" s="242"/>
      <c r="C429" s="243"/>
      <c r="D429" s="242"/>
      <c r="E429" s="242"/>
      <c r="F429" s="242"/>
      <c r="G429" s="250"/>
      <c r="H429" s="251"/>
      <c r="I429" s="242"/>
      <c r="J429" s="242"/>
      <c r="K429" s="242"/>
      <c r="L429" s="242"/>
      <c r="M429" s="242"/>
      <c r="N429" s="242"/>
      <c r="O429" s="242"/>
    </row>
    <row r="430">
      <c r="A430" s="242"/>
      <c r="B430" s="242"/>
      <c r="C430" s="243"/>
      <c r="D430" s="242"/>
      <c r="E430" s="242"/>
      <c r="F430" s="242"/>
      <c r="G430" s="250"/>
      <c r="H430" s="251"/>
      <c r="I430" s="242"/>
      <c r="J430" s="242"/>
      <c r="K430" s="242"/>
      <c r="L430" s="242"/>
      <c r="M430" s="242"/>
      <c r="N430" s="242"/>
      <c r="O430" s="242"/>
    </row>
    <row r="431">
      <c r="A431" s="242"/>
      <c r="B431" s="242"/>
      <c r="C431" s="243"/>
      <c r="D431" s="242"/>
      <c r="E431" s="242"/>
      <c r="F431" s="242"/>
      <c r="G431" s="250"/>
      <c r="H431" s="251"/>
      <c r="I431" s="242"/>
      <c r="J431" s="242"/>
      <c r="K431" s="242"/>
      <c r="L431" s="242"/>
      <c r="M431" s="242"/>
      <c r="N431" s="242"/>
      <c r="O431" s="242"/>
    </row>
    <row r="432">
      <c r="A432" s="242"/>
      <c r="B432" s="242"/>
      <c r="C432" s="243"/>
      <c r="D432" s="242"/>
      <c r="E432" s="242"/>
      <c r="F432" s="242"/>
      <c r="G432" s="250"/>
      <c r="H432" s="251"/>
      <c r="I432" s="242"/>
      <c r="J432" s="242"/>
      <c r="K432" s="242"/>
      <c r="L432" s="242"/>
      <c r="M432" s="242"/>
      <c r="N432" s="242"/>
      <c r="O432" s="242"/>
    </row>
    <row r="433">
      <c r="A433" s="242"/>
      <c r="B433" s="242"/>
      <c r="C433" s="243"/>
      <c r="D433" s="242"/>
      <c r="E433" s="242"/>
      <c r="F433" s="242"/>
      <c r="G433" s="250"/>
      <c r="H433" s="251"/>
      <c r="I433" s="242"/>
      <c r="J433" s="242"/>
      <c r="K433" s="242"/>
      <c r="L433" s="242"/>
      <c r="M433" s="242"/>
      <c r="N433" s="242"/>
      <c r="O433" s="242"/>
    </row>
    <row r="434">
      <c r="A434" s="242"/>
      <c r="B434" s="242"/>
      <c r="C434" s="243"/>
      <c r="D434" s="242"/>
      <c r="E434" s="242"/>
      <c r="F434" s="242"/>
      <c r="G434" s="250"/>
      <c r="H434" s="251"/>
      <c r="I434" s="242"/>
      <c r="J434" s="242"/>
      <c r="K434" s="242"/>
      <c r="L434" s="242"/>
      <c r="M434" s="242"/>
      <c r="N434" s="242"/>
      <c r="O434" s="242"/>
    </row>
    <row r="435">
      <c r="A435" s="242"/>
      <c r="B435" s="242"/>
      <c r="C435" s="243"/>
      <c r="D435" s="242"/>
      <c r="E435" s="242"/>
      <c r="F435" s="242"/>
      <c r="G435" s="250"/>
      <c r="H435" s="251"/>
      <c r="I435" s="242"/>
      <c r="J435" s="242"/>
      <c r="K435" s="242"/>
      <c r="L435" s="242"/>
      <c r="M435" s="242"/>
      <c r="N435" s="242"/>
      <c r="O435" s="242"/>
    </row>
    <row r="436">
      <c r="A436" s="242"/>
      <c r="B436" s="242"/>
      <c r="C436" s="243"/>
      <c r="D436" s="242"/>
      <c r="E436" s="242"/>
      <c r="F436" s="242"/>
      <c r="G436" s="250"/>
      <c r="H436" s="251"/>
      <c r="I436" s="242"/>
      <c r="J436" s="242"/>
      <c r="K436" s="242"/>
      <c r="L436" s="242"/>
      <c r="M436" s="242"/>
      <c r="N436" s="242"/>
      <c r="O436" s="242"/>
    </row>
    <row r="437">
      <c r="A437" s="242"/>
      <c r="B437" s="242"/>
      <c r="C437" s="243"/>
      <c r="D437" s="242"/>
      <c r="E437" s="242"/>
      <c r="F437" s="242"/>
      <c r="G437" s="250"/>
      <c r="H437" s="251"/>
      <c r="I437" s="242"/>
      <c r="J437" s="242"/>
      <c r="K437" s="242"/>
      <c r="L437" s="242"/>
      <c r="M437" s="242"/>
      <c r="N437" s="242"/>
      <c r="O437" s="242"/>
    </row>
    <row r="438">
      <c r="A438" s="242"/>
      <c r="B438" s="242"/>
      <c r="C438" s="243"/>
      <c r="D438" s="242"/>
      <c r="E438" s="242"/>
      <c r="F438" s="242"/>
      <c r="G438" s="250"/>
      <c r="H438" s="251"/>
      <c r="I438" s="242"/>
      <c r="J438" s="242"/>
      <c r="K438" s="242"/>
      <c r="L438" s="242"/>
      <c r="M438" s="242"/>
      <c r="N438" s="242"/>
      <c r="O438" s="242"/>
    </row>
    <row r="439">
      <c r="A439" s="242"/>
      <c r="B439" s="242"/>
      <c r="C439" s="243"/>
      <c r="D439" s="242"/>
      <c r="E439" s="242"/>
      <c r="F439" s="242"/>
      <c r="G439" s="250"/>
      <c r="H439" s="251"/>
      <c r="I439" s="242"/>
      <c r="J439" s="242"/>
      <c r="K439" s="242"/>
      <c r="L439" s="242"/>
      <c r="M439" s="242"/>
      <c r="N439" s="242"/>
      <c r="O439" s="242"/>
    </row>
    <row r="440">
      <c r="A440" s="242"/>
      <c r="B440" s="242"/>
      <c r="C440" s="243"/>
      <c r="D440" s="242"/>
      <c r="E440" s="242"/>
      <c r="F440" s="242"/>
      <c r="G440" s="250"/>
      <c r="H440" s="251"/>
      <c r="I440" s="242"/>
      <c r="J440" s="242"/>
      <c r="K440" s="242"/>
      <c r="L440" s="242"/>
      <c r="M440" s="242"/>
      <c r="N440" s="242"/>
      <c r="O440" s="242"/>
    </row>
    <row r="441">
      <c r="A441" s="242"/>
      <c r="B441" s="242"/>
      <c r="C441" s="243"/>
      <c r="D441" s="242"/>
      <c r="E441" s="242"/>
      <c r="F441" s="242"/>
      <c r="G441" s="250"/>
      <c r="H441" s="251"/>
      <c r="I441" s="242"/>
      <c r="J441" s="242"/>
      <c r="K441" s="242"/>
      <c r="L441" s="242"/>
      <c r="M441" s="242"/>
      <c r="N441" s="242"/>
      <c r="O441" s="242"/>
    </row>
    <row r="442">
      <c r="A442" s="242"/>
      <c r="B442" s="242"/>
      <c r="C442" s="243"/>
      <c r="D442" s="242"/>
      <c r="E442" s="242"/>
      <c r="F442" s="242"/>
      <c r="G442" s="250"/>
      <c r="H442" s="251"/>
      <c r="I442" s="242"/>
      <c r="J442" s="242"/>
      <c r="K442" s="242"/>
      <c r="L442" s="242"/>
      <c r="M442" s="242"/>
      <c r="N442" s="242"/>
      <c r="O442" s="242"/>
    </row>
    <row r="443">
      <c r="A443" s="242"/>
      <c r="B443" s="242"/>
      <c r="C443" s="243"/>
      <c r="D443" s="242"/>
      <c r="E443" s="242"/>
      <c r="F443" s="242"/>
      <c r="G443" s="250"/>
      <c r="H443" s="251"/>
      <c r="I443" s="242"/>
      <c r="J443" s="242"/>
      <c r="K443" s="242"/>
      <c r="L443" s="242"/>
      <c r="M443" s="242"/>
      <c r="N443" s="242"/>
      <c r="O443" s="242"/>
    </row>
    <row r="444">
      <c r="A444" s="242"/>
      <c r="B444" s="242"/>
      <c r="C444" s="243"/>
      <c r="D444" s="242"/>
      <c r="E444" s="242"/>
      <c r="F444" s="242"/>
      <c r="G444" s="250"/>
      <c r="H444" s="251"/>
      <c r="I444" s="242"/>
      <c r="J444" s="242"/>
      <c r="K444" s="242"/>
      <c r="L444" s="242"/>
      <c r="M444" s="242"/>
      <c r="N444" s="242"/>
      <c r="O444" s="242"/>
    </row>
    <row r="445">
      <c r="A445" s="242"/>
      <c r="B445" s="242"/>
      <c r="C445" s="243"/>
      <c r="D445" s="242"/>
      <c r="E445" s="242"/>
      <c r="F445" s="242"/>
      <c r="G445" s="250"/>
      <c r="H445" s="251"/>
      <c r="I445" s="242"/>
      <c r="J445" s="242"/>
      <c r="K445" s="242"/>
      <c r="L445" s="242"/>
      <c r="M445" s="242"/>
      <c r="N445" s="242"/>
      <c r="O445" s="242"/>
    </row>
    <row r="446">
      <c r="A446" s="242"/>
      <c r="B446" s="242"/>
      <c r="C446" s="243"/>
      <c r="D446" s="242"/>
      <c r="E446" s="242"/>
      <c r="F446" s="242"/>
      <c r="G446" s="250"/>
      <c r="H446" s="251"/>
      <c r="I446" s="242"/>
      <c r="J446" s="242"/>
      <c r="K446" s="242"/>
      <c r="L446" s="242"/>
      <c r="M446" s="242"/>
      <c r="N446" s="242"/>
      <c r="O446" s="242"/>
    </row>
    <row r="447">
      <c r="A447" s="242"/>
      <c r="B447" s="242"/>
      <c r="C447" s="243"/>
      <c r="D447" s="242"/>
      <c r="E447" s="242"/>
      <c r="F447" s="242"/>
      <c r="G447" s="250"/>
      <c r="H447" s="251"/>
      <c r="I447" s="242"/>
      <c r="J447" s="242"/>
      <c r="K447" s="242"/>
      <c r="L447" s="242"/>
      <c r="M447" s="242"/>
      <c r="N447" s="242"/>
      <c r="O447" s="242"/>
    </row>
    <row r="448">
      <c r="A448" s="242"/>
      <c r="B448" s="242"/>
      <c r="C448" s="243"/>
      <c r="D448" s="242"/>
      <c r="E448" s="242"/>
      <c r="F448" s="242"/>
      <c r="G448" s="250"/>
      <c r="H448" s="251"/>
      <c r="I448" s="242"/>
      <c r="J448" s="242"/>
      <c r="K448" s="242"/>
      <c r="L448" s="242"/>
      <c r="M448" s="242"/>
      <c r="N448" s="242"/>
      <c r="O448" s="242"/>
    </row>
    <row r="449">
      <c r="A449" s="242"/>
      <c r="B449" s="242"/>
      <c r="C449" s="243"/>
      <c r="D449" s="242"/>
      <c r="E449" s="242"/>
      <c r="F449" s="242"/>
      <c r="G449" s="250"/>
      <c r="H449" s="251"/>
      <c r="I449" s="242"/>
      <c r="J449" s="242"/>
      <c r="K449" s="242"/>
      <c r="L449" s="242"/>
      <c r="M449" s="242"/>
      <c r="N449" s="242"/>
      <c r="O449" s="242"/>
    </row>
    <row r="450">
      <c r="A450" s="242"/>
      <c r="B450" s="242"/>
      <c r="C450" s="243"/>
      <c r="D450" s="242"/>
      <c r="E450" s="242"/>
      <c r="F450" s="242"/>
      <c r="G450" s="250"/>
      <c r="H450" s="251"/>
      <c r="I450" s="242"/>
      <c r="J450" s="242"/>
      <c r="K450" s="242"/>
      <c r="L450" s="242"/>
      <c r="M450" s="242"/>
      <c r="N450" s="242"/>
      <c r="O450" s="242"/>
    </row>
    <row r="451">
      <c r="A451" s="242"/>
      <c r="B451" s="242"/>
      <c r="C451" s="243"/>
      <c r="D451" s="242"/>
      <c r="E451" s="242"/>
      <c r="F451" s="242"/>
      <c r="G451" s="250"/>
      <c r="H451" s="251"/>
      <c r="I451" s="242"/>
      <c r="J451" s="242"/>
      <c r="K451" s="242"/>
      <c r="L451" s="242"/>
      <c r="M451" s="242"/>
      <c r="N451" s="242"/>
      <c r="O451" s="242"/>
    </row>
    <row r="452">
      <c r="A452" s="242"/>
      <c r="B452" s="242"/>
      <c r="C452" s="243"/>
      <c r="D452" s="242"/>
      <c r="E452" s="242"/>
      <c r="F452" s="242"/>
      <c r="G452" s="250"/>
      <c r="H452" s="251"/>
      <c r="I452" s="242"/>
      <c r="J452" s="242"/>
      <c r="K452" s="242"/>
      <c r="L452" s="242"/>
      <c r="M452" s="242"/>
      <c r="N452" s="242"/>
      <c r="O452" s="242"/>
    </row>
    <row r="453">
      <c r="A453" s="242"/>
      <c r="B453" s="242"/>
      <c r="C453" s="243"/>
      <c r="D453" s="242"/>
      <c r="E453" s="242"/>
      <c r="F453" s="242"/>
      <c r="G453" s="250"/>
      <c r="H453" s="251"/>
      <c r="I453" s="242"/>
      <c r="J453" s="242"/>
      <c r="K453" s="242"/>
      <c r="L453" s="242"/>
      <c r="M453" s="242"/>
      <c r="N453" s="242"/>
      <c r="O453" s="242"/>
    </row>
    <row r="454">
      <c r="A454" s="242"/>
      <c r="B454" s="242"/>
      <c r="C454" s="243"/>
      <c r="D454" s="242"/>
      <c r="E454" s="242"/>
      <c r="F454" s="242"/>
      <c r="G454" s="250"/>
      <c r="H454" s="251"/>
      <c r="I454" s="242"/>
      <c r="J454" s="242"/>
      <c r="K454" s="242"/>
      <c r="L454" s="242"/>
      <c r="M454" s="242"/>
      <c r="N454" s="242"/>
      <c r="O454" s="242"/>
    </row>
    <row r="455">
      <c r="A455" s="242"/>
      <c r="B455" s="242"/>
      <c r="C455" s="243"/>
      <c r="D455" s="242"/>
      <c r="E455" s="242"/>
      <c r="F455" s="242"/>
      <c r="G455" s="250"/>
      <c r="H455" s="251"/>
      <c r="I455" s="242"/>
      <c r="J455" s="242"/>
      <c r="K455" s="242"/>
      <c r="L455" s="242"/>
      <c r="M455" s="242"/>
      <c r="N455" s="242"/>
      <c r="O455" s="242"/>
    </row>
    <row r="456">
      <c r="A456" s="242"/>
      <c r="B456" s="242"/>
      <c r="C456" s="243"/>
      <c r="D456" s="242"/>
      <c r="E456" s="242"/>
      <c r="F456" s="242"/>
      <c r="G456" s="250"/>
      <c r="H456" s="251"/>
      <c r="I456" s="242"/>
      <c r="J456" s="242"/>
      <c r="K456" s="242"/>
      <c r="L456" s="242"/>
      <c r="M456" s="242"/>
      <c r="N456" s="242"/>
      <c r="O456" s="242"/>
    </row>
    <row r="457">
      <c r="A457" s="242"/>
      <c r="B457" s="242"/>
      <c r="C457" s="243"/>
      <c r="D457" s="242"/>
      <c r="E457" s="242"/>
      <c r="F457" s="242"/>
      <c r="G457" s="250"/>
      <c r="H457" s="251"/>
      <c r="I457" s="242"/>
      <c r="J457" s="242"/>
      <c r="K457" s="242"/>
      <c r="L457" s="242"/>
      <c r="M457" s="242"/>
      <c r="N457" s="242"/>
      <c r="O457" s="242"/>
    </row>
    <row r="458">
      <c r="A458" s="242"/>
      <c r="B458" s="242"/>
      <c r="C458" s="243"/>
      <c r="D458" s="242"/>
      <c r="E458" s="242"/>
      <c r="F458" s="242"/>
      <c r="G458" s="250"/>
      <c r="H458" s="251"/>
      <c r="I458" s="242"/>
      <c r="J458" s="242"/>
      <c r="K458" s="242"/>
      <c r="L458" s="242"/>
      <c r="M458" s="242"/>
      <c r="N458" s="242"/>
      <c r="O458" s="242"/>
    </row>
    <row r="459">
      <c r="A459" s="242"/>
      <c r="B459" s="242"/>
      <c r="C459" s="243"/>
      <c r="D459" s="242"/>
      <c r="E459" s="242"/>
      <c r="F459" s="242"/>
      <c r="G459" s="250"/>
      <c r="H459" s="251"/>
      <c r="I459" s="242"/>
      <c r="J459" s="242"/>
      <c r="K459" s="242"/>
      <c r="L459" s="242"/>
      <c r="M459" s="242"/>
      <c r="N459" s="242"/>
      <c r="O459" s="242"/>
    </row>
    <row r="460">
      <c r="A460" s="242"/>
      <c r="B460" s="242"/>
      <c r="C460" s="243"/>
      <c r="D460" s="242"/>
      <c r="E460" s="242"/>
      <c r="F460" s="242"/>
      <c r="G460" s="250"/>
      <c r="H460" s="251"/>
      <c r="I460" s="242"/>
      <c r="J460" s="242"/>
      <c r="K460" s="242"/>
      <c r="L460" s="242"/>
      <c r="M460" s="242"/>
      <c r="N460" s="242"/>
      <c r="O460" s="242"/>
    </row>
    <row r="461">
      <c r="A461" s="242"/>
      <c r="B461" s="242"/>
      <c r="C461" s="243"/>
      <c r="D461" s="242"/>
      <c r="E461" s="242"/>
      <c r="F461" s="242"/>
      <c r="G461" s="250"/>
      <c r="H461" s="251"/>
      <c r="I461" s="242"/>
      <c r="J461" s="242"/>
      <c r="K461" s="242"/>
      <c r="L461" s="242"/>
      <c r="M461" s="242"/>
      <c r="N461" s="242"/>
      <c r="O461" s="242"/>
    </row>
    <row r="462">
      <c r="A462" s="242"/>
      <c r="B462" s="242"/>
      <c r="C462" s="243"/>
      <c r="D462" s="242"/>
      <c r="E462" s="242"/>
      <c r="F462" s="242"/>
      <c r="G462" s="250"/>
      <c r="H462" s="251"/>
      <c r="I462" s="242"/>
      <c r="J462" s="242"/>
      <c r="K462" s="242"/>
      <c r="L462" s="242"/>
      <c r="M462" s="242"/>
      <c r="N462" s="242"/>
      <c r="O462" s="242"/>
    </row>
    <row r="463">
      <c r="A463" s="242"/>
      <c r="B463" s="242"/>
      <c r="C463" s="243"/>
      <c r="D463" s="242"/>
      <c r="E463" s="242"/>
      <c r="F463" s="242"/>
      <c r="G463" s="250"/>
      <c r="H463" s="251"/>
      <c r="I463" s="242"/>
      <c r="J463" s="242"/>
      <c r="K463" s="242"/>
      <c r="L463" s="242"/>
      <c r="M463" s="242"/>
      <c r="N463" s="242"/>
      <c r="O463" s="242"/>
    </row>
    <row r="464">
      <c r="A464" s="242"/>
      <c r="B464" s="242"/>
      <c r="C464" s="243"/>
      <c r="D464" s="242"/>
      <c r="E464" s="242"/>
      <c r="F464" s="242"/>
      <c r="G464" s="250"/>
      <c r="H464" s="251"/>
      <c r="I464" s="242"/>
      <c r="J464" s="242"/>
      <c r="K464" s="242"/>
      <c r="L464" s="242"/>
      <c r="M464" s="242"/>
      <c r="N464" s="242"/>
      <c r="O464" s="242"/>
    </row>
    <row r="465">
      <c r="A465" s="242"/>
      <c r="B465" s="242"/>
      <c r="C465" s="243"/>
      <c r="D465" s="242"/>
      <c r="E465" s="242"/>
      <c r="F465" s="242"/>
      <c r="G465" s="250"/>
      <c r="H465" s="251"/>
      <c r="I465" s="242"/>
      <c r="J465" s="242"/>
      <c r="K465" s="242"/>
      <c r="L465" s="242"/>
      <c r="M465" s="242"/>
      <c r="N465" s="242"/>
      <c r="O465" s="242"/>
    </row>
    <row r="466">
      <c r="A466" s="242"/>
      <c r="B466" s="242"/>
      <c r="C466" s="243"/>
      <c r="D466" s="242"/>
      <c r="E466" s="242"/>
      <c r="F466" s="242"/>
      <c r="G466" s="250"/>
      <c r="H466" s="251"/>
      <c r="I466" s="242"/>
      <c r="J466" s="242"/>
      <c r="K466" s="242"/>
      <c r="L466" s="242"/>
      <c r="M466" s="242"/>
      <c r="N466" s="242"/>
      <c r="O466" s="242"/>
    </row>
    <row r="467">
      <c r="A467" s="242"/>
      <c r="B467" s="242"/>
      <c r="C467" s="243"/>
      <c r="D467" s="242"/>
      <c r="E467" s="242"/>
      <c r="F467" s="242"/>
      <c r="G467" s="250"/>
      <c r="H467" s="251"/>
      <c r="I467" s="242"/>
      <c r="J467" s="242"/>
      <c r="K467" s="242"/>
      <c r="L467" s="242"/>
      <c r="M467" s="242"/>
      <c r="N467" s="242"/>
      <c r="O467" s="242"/>
    </row>
    <row r="468">
      <c r="A468" s="242"/>
      <c r="B468" s="242"/>
      <c r="C468" s="243"/>
      <c r="D468" s="242"/>
      <c r="E468" s="242"/>
      <c r="F468" s="242"/>
      <c r="G468" s="250"/>
      <c r="H468" s="251"/>
      <c r="I468" s="242"/>
      <c r="J468" s="242"/>
      <c r="K468" s="242"/>
      <c r="L468" s="242"/>
      <c r="M468" s="242"/>
      <c r="N468" s="242"/>
      <c r="O468" s="242"/>
    </row>
    <row r="469">
      <c r="A469" s="242"/>
      <c r="B469" s="242"/>
      <c r="C469" s="243"/>
      <c r="D469" s="242"/>
      <c r="E469" s="242"/>
      <c r="F469" s="242"/>
      <c r="G469" s="250"/>
      <c r="H469" s="251"/>
      <c r="I469" s="242"/>
      <c r="J469" s="242"/>
      <c r="K469" s="242"/>
      <c r="L469" s="242"/>
      <c r="M469" s="242"/>
      <c r="N469" s="242"/>
      <c r="O469" s="242"/>
    </row>
    <row r="470">
      <c r="A470" s="242"/>
      <c r="B470" s="242"/>
      <c r="C470" s="243"/>
      <c r="D470" s="242"/>
      <c r="E470" s="242"/>
      <c r="F470" s="242"/>
      <c r="G470" s="250"/>
      <c r="H470" s="251"/>
      <c r="I470" s="242"/>
      <c r="J470" s="242"/>
      <c r="K470" s="242"/>
      <c r="L470" s="242"/>
      <c r="M470" s="242"/>
      <c r="N470" s="242"/>
      <c r="O470" s="242"/>
    </row>
    <row r="471">
      <c r="A471" s="242"/>
      <c r="B471" s="242"/>
      <c r="C471" s="243"/>
      <c r="D471" s="242"/>
      <c r="E471" s="242"/>
      <c r="F471" s="242"/>
      <c r="G471" s="250"/>
      <c r="H471" s="251"/>
      <c r="I471" s="242"/>
      <c r="J471" s="242"/>
      <c r="K471" s="242"/>
      <c r="L471" s="242"/>
      <c r="M471" s="242"/>
      <c r="N471" s="242"/>
      <c r="O471" s="242"/>
    </row>
    <row r="472">
      <c r="A472" s="242"/>
      <c r="B472" s="242"/>
      <c r="C472" s="243"/>
      <c r="D472" s="242"/>
      <c r="E472" s="242"/>
      <c r="F472" s="242"/>
      <c r="G472" s="250"/>
      <c r="H472" s="251"/>
      <c r="I472" s="242"/>
      <c r="J472" s="242"/>
      <c r="K472" s="242"/>
      <c r="L472" s="242"/>
      <c r="M472" s="242"/>
      <c r="N472" s="242"/>
      <c r="O472" s="242"/>
    </row>
    <row r="473">
      <c r="A473" s="242"/>
      <c r="B473" s="242"/>
      <c r="C473" s="243"/>
      <c r="D473" s="242"/>
      <c r="E473" s="242"/>
      <c r="F473" s="242"/>
      <c r="G473" s="250"/>
      <c r="H473" s="251"/>
      <c r="I473" s="242"/>
      <c r="J473" s="242"/>
      <c r="K473" s="242"/>
      <c r="L473" s="242"/>
      <c r="M473" s="242"/>
      <c r="N473" s="242"/>
      <c r="O473" s="242"/>
    </row>
    <row r="474">
      <c r="A474" s="242"/>
      <c r="B474" s="242"/>
      <c r="C474" s="243"/>
      <c r="D474" s="242"/>
      <c r="E474" s="242"/>
      <c r="F474" s="242"/>
      <c r="G474" s="250"/>
      <c r="H474" s="251"/>
      <c r="I474" s="242"/>
      <c r="J474" s="242"/>
      <c r="K474" s="242"/>
      <c r="L474" s="242"/>
      <c r="M474" s="242"/>
      <c r="N474" s="242"/>
      <c r="O474" s="242"/>
    </row>
    <row r="475">
      <c r="A475" s="242"/>
      <c r="B475" s="242"/>
      <c r="C475" s="243"/>
      <c r="D475" s="242"/>
      <c r="E475" s="242"/>
      <c r="F475" s="242"/>
      <c r="G475" s="250"/>
      <c r="H475" s="251"/>
      <c r="I475" s="242"/>
      <c r="J475" s="242"/>
      <c r="K475" s="242"/>
      <c r="L475" s="242"/>
      <c r="M475" s="242"/>
      <c r="N475" s="242"/>
      <c r="O475" s="242"/>
    </row>
    <row r="476">
      <c r="A476" s="242"/>
      <c r="B476" s="242"/>
      <c r="C476" s="243"/>
      <c r="D476" s="242"/>
      <c r="E476" s="242"/>
      <c r="F476" s="242"/>
      <c r="G476" s="250"/>
      <c r="H476" s="251"/>
      <c r="I476" s="242"/>
      <c r="J476" s="242"/>
      <c r="K476" s="242"/>
      <c r="L476" s="242"/>
      <c r="M476" s="242"/>
      <c r="N476" s="242"/>
      <c r="O476" s="242"/>
    </row>
    <row r="477">
      <c r="A477" s="242"/>
      <c r="B477" s="242"/>
      <c r="C477" s="243"/>
      <c r="D477" s="242"/>
      <c r="E477" s="242"/>
      <c r="F477" s="242"/>
      <c r="G477" s="250"/>
      <c r="H477" s="251"/>
      <c r="I477" s="242"/>
      <c r="J477" s="242"/>
      <c r="K477" s="242"/>
      <c r="L477" s="242"/>
      <c r="M477" s="242"/>
      <c r="N477" s="242"/>
      <c r="O477" s="242"/>
    </row>
    <row r="478">
      <c r="A478" s="242"/>
      <c r="B478" s="242"/>
      <c r="C478" s="243"/>
      <c r="D478" s="242"/>
      <c r="E478" s="242"/>
      <c r="F478" s="242"/>
      <c r="G478" s="250"/>
      <c r="H478" s="251"/>
      <c r="I478" s="242"/>
      <c r="J478" s="242"/>
      <c r="K478" s="242"/>
      <c r="L478" s="242"/>
      <c r="M478" s="242"/>
      <c r="N478" s="242"/>
      <c r="O478" s="242"/>
    </row>
    <row r="479">
      <c r="A479" s="242"/>
      <c r="B479" s="242"/>
      <c r="C479" s="243"/>
      <c r="D479" s="242"/>
      <c r="E479" s="242"/>
      <c r="F479" s="242"/>
      <c r="G479" s="250"/>
      <c r="H479" s="251"/>
      <c r="I479" s="242"/>
      <c r="J479" s="242"/>
      <c r="K479" s="242"/>
      <c r="L479" s="242"/>
      <c r="M479" s="242"/>
      <c r="N479" s="242"/>
      <c r="O479" s="242"/>
    </row>
    <row r="480">
      <c r="A480" s="242"/>
      <c r="B480" s="242"/>
      <c r="C480" s="243"/>
      <c r="D480" s="242"/>
      <c r="E480" s="242"/>
      <c r="F480" s="242"/>
      <c r="G480" s="250"/>
      <c r="H480" s="251"/>
      <c r="I480" s="242"/>
      <c r="J480" s="242"/>
      <c r="K480" s="242"/>
      <c r="L480" s="242"/>
      <c r="M480" s="242"/>
      <c r="N480" s="242"/>
      <c r="O480" s="242"/>
    </row>
    <row r="481">
      <c r="A481" s="242"/>
      <c r="B481" s="242"/>
      <c r="C481" s="243"/>
      <c r="D481" s="242"/>
      <c r="E481" s="242"/>
      <c r="F481" s="242"/>
      <c r="G481" s="250"/>
      <c r="H481" s="251"/>
      <c r="I481" s="242"/>
      <c r="J481" s="242"/>
      <c r="K481" s="242"/>
      <c r="L481" s="242"/>
      <c r="M481" s="242"/>
      <c r="N481" s="242"/>
      <c r="O481" s="242"/>
    </row>
    <row r="482">
      <c r="A482" s="242"/>
      <c r="B482" s="242"/>
      <c r="C482" s="243"/>
      <c r="D482" s="242"/>
      <c r="E482" s="242"/>
      <c r="F482" s="242"/>
      <c r="G482" s="250"/>
      <c r="H482" s="251"/>
      <c r="I482" s="242"/>
      <c r="J482" s="242"/>
      <c r="K482" s="242"/>
      <c r="L482" s="242"/>
      <c r="M482" s="242"/>
      <c r="N482" s="242"/>
      <c r="O482" s="242"/>
    </row>
    <row r="483">
      <c r="A483" s="242"/>
      <c r="B483" s="242"/>
      <c r="C483" s="243"/>
      <c r="D483" s="242"/>
      <c r="E483" s="242"/>
      <c r="F483" s="242"/>
      <c r="G483" s="250"/>
      <c r="H483" s="251"/>
      <c r="I483" s="242"/>
      <c r="J483" s="242"/>
      <c r="K483" s="242"/>
      <c r="L483" s="242"/>
      <c r="M483" s="242"/>
      <c r="N483" s="242"/>
      <c r="O483" s="242"/>
    </row>
    <row r="484">
      <c r="A484" s="242"/>
      <c r="B484" s="242"/>
      <c r="C484" s="243"/>
      <c r="D484" s="242"/>
      <c r="E484" s="242"/>
      <c r="F484" s="242"/>
      <c r="G484" s="250"/>
      <c r="H484" s="251"/>
      <c r="I484" s="242"/>
      <c r="J484" s="242"/>
      <c r="K484" s="242"/>
      <c r="L484" s="242"/>
      <c r="M484" s="242"/>
      <c r="N484" s="242"/>
      <c r="O484" s="242"/>
    </row>
    <row r="485">
      <c r="A485" s="242"/>
      <c r="B485" s="242"/>
      <c r="C485" s="243"/>
      <c r="D485" s="242"/>
      <c r="E485" s="242"/>
      <c r="F485" s="242"/>
      <c r="G485" s="250"/>
      <c r="H485" s="251"/>
      <c r="I485" s="242"/>
      <c r="J485" s="242"/>
      <c r="K485" s="242"/>
      <c r="L485" s="242"/>
      <c r="M485" s="242"/>
      <c r="N485" s="242"/>
      <c r="O485" s="242"/>
    </row>
    <row r="486">
      <c r="A486" s="242"/>
      <c r="B486" s="242"/>
      <c r="C486" s="243"/>
      <c r="D486" s="242"/>
      <c r="E486" s="242"/>
      <c r="F486" s="242"/>
      <c r="G486" s="250"/>
      <c r="H486" s="251"/>
      <c r="I486" s="242"/>
      <c r="J486" s="242"/>
      <c r="K486" s="242"/>
      <c r="L486" s="242"/>
      <c r="M486" s="242"/>
      <c r="N486" s="242"/>
      <c r="O486" s="242"/>
    </row>
    <row r="487">
      <c r="A487" s="242"/>
      <c r="B487" s="242"/>
      <c r="C487" s="243"/>
      <c r="D487" s="242"/>
      <c r="E487" s="242"/>
      <c r="F487" s="242"/>
      <c r="G487" s="250"/>
      <c r="H487" s="251"/>
      <c r="I487" s="242"/>
      <c r="J487" s="242"/>
      <c r="K487" s="242"/>
      <c r="L487" s="242"/>
      <c r="M487" s="242"/>
      <c r="N487" s="242"/>
      <c r="O487" s="242"/>
    </row>
    <row r="488">
      <c r="A488" s="242"/>
      <c r="B488" s="242"/>
      <c r="C488" s="243"/>
      <c r="D488" s="242"/>
      <c r="E488" s="242"/>
      <c r="F488" s="242"/>
      <c r="G488" s="250"/>
      <c r="H488" s="251"/>
      <c r="I488" s="242"/>
      <c r="J488" s="242"/>
      <c r="K488" s="242"/>
      <c r="L488" s="242"/>
      <c r="M488" s="242"/>
      <c r="N488" s="242"/>
      <c r="O488" s="242"/>
    </row>
    <row r="489">
      <c r="A489" s="242"/>
      <c r="B489" s="242"/>
      <c r="C489" s="243"/>
      <c r="D489" s="242"/>
      <c r="E489" s="242"/>
      <c r="F489" s="242"/>
      <c r="G489" s="250"/>
      <c r="H489" s="251"/>
      <c r="I489" s="242"/>
      <c r="J489" s="242"/>
      <c r="K489" s="242"/>
      <c r="L489" s="242"/>
      <c r="M489" s="242"/>
      <c r="N489" s="242"/>
      <c r="O489" s="242"/>
    </row>
    <row r="490">
      <c r="A490" s="242"/>
      <c r="B490" s="242"/>
      <c r="C490" s="243"/>
      <c r="D490" s="242"/>
      <c r="E490" s="242"/>
      <c r="F490" s="242"/>
      <c r="G490" s="250"/>
      <c r="H490" s="251"/>
      <c r="I490" s="242"/>
      <c r="J490" s="242"/>
      <c r="K490" s="242"/>
      <c r="L490" s="242"/>
      <c r="M490" s="242"/>
      <c r="N490" s="242"/>
      <c r="O490" s="242"/>
    </row>
    <row r="491">
      <c r="A491" s="242"/>
      <c r="B491" s="242"/>
      <c r="C491" s="243"/>
      <c r="D491" s="242"/>
      <c r="E491" s="242"/>
      <c r="F491" s="242"/>
      <c r="G491" s="250"/>
      <c r="H491" s="251"/>
      <c r="I491" s="242"/>
      <c r="J491" s="242"/>
      <c r="K491" s="242"/>
      <c r="L491" s="242"/>
      <c r="M491" s="242"/>
      <c r="N491" s="242"/>
      <c r="O491" s="242"/>
    </row>
    <row r="492">
      <c r="A492" s="242"/>
      <c r="B492" s="242"/>
      <c r="C492" s="243"/>
      <c r="D492" s="242"/>
      <c r="E492" s="242"/>
      <c r="F492" s="242"/>
      <c r="G492" s="250"/>
      <c r="H492" s="251"/>
      <c r="I492" s="242"/>
      <c r="J492" s="242"/>
      <c r="K492" s="242"/>
      <c r="L492" s="242"/>
      <c r="M492" s="242"/>
      <c r="N492" s="242"/>
      <c r="O492" s="242"/>
    </row>
    <row r="493">
      <c r="A493" s="242"/>
      <c r="B493" s="242"/>
      <c r="C493" s="243"/>
      <c r="D493" s="242"/>
      <c r="E493" s="242"/>
      <c r="F493" s="242"/>
      <c r="G493" s="250"/>
      <c r="H493" s="251"/>
      <c r="I493" s="242"/>
      <c r="J493" s="242"/>
      <c r="K493" s="242"/>
      <c r="L493" s="242"/>
      <c r="M493" s="242"/>
      <c r="N493" s="242"/>
      <c r="O493" s="242"/>
    </row>
    <row r="494">
      <c r="A494" s="242"/>
      <c r="B494" s="242"/>
      <c r="C494" s="243"/>
      <c r="D494" s="242"/>
      <c r="E494" s="242"/>
      <c r="F494" s="242"/>
      <c r="G494" s="250"/>
      <c r="H494" s="251"/>
      <c r="I494" s="242"/>
      <c r="J494" s="242"/>
      <c r="K494" s="242"/>
      <c r="L494" s="242"/>
      <c r="M494" s="242"/>
      <c r="N494" s="242"/>
      <c r="O494" s="242"/>
    </row>
    <row r="495">
      <c r="A495" s="242"/>
      <c r="B495" s="242"/>
      <c r="C495" s="243"/>
      <c r="D495" s="242"/>
      <c r="E495" s="242"/>
      <c r="F495" s="242"/>
      <c r="G495" s="250"/>
      <c r="H495" s="251"/>
      <c r="I495" s="242"/>
      <c r="J495" s="242"/>
      <c r="K495" s="242"/>
      <c r="L495" s="242"/>
      <c r="M495" s="242"/>
      <c r="N495" s="242"/>
      <c r="O495" s="242"/>
    </row>
    <row r="496">
      <c r="A496" s="242"/>
      <c r="B496" s="242"/>
      <c r="C496" s="243"/>
      <c r="D496" s="242"/>
      <c r="E496" s="242"/>
      <c r="F496" s="242"/>
      <c r="G496" s="250"/>
      <c r="H496" s="251"/>
      <c r="I496" s="242"/>
      <c r="J496" s="242"/>
      <c r="K496" s="242"/>
      <c r="L496" s="242"/>
      <c r="M496" s="242"/>
      <c r="N496" s="242"/>
      <c r="O496" s="242"/>
    </row>
    <row r="497">
      <c r="A497" s="242"/>
      <c r="B497" s="242"/>
      <c r="C497" s="243"/>
      <c r="D497" s="242"/>
      <c r="E497" s="242"/>
      <c r="F497" s="242"/>
      <c r="G497" s="250"/>
      <c r="H497" s="251"/>
      <c r="I497" s="242"/>
      <c r="J497" s="242"/>
      <c r="K497" s="242"/>
      <c r="L497" s="242"/>
      <c r="M497" s="242"/>
      <c r="N497" s="242"/>
      <c r="O497" s="242"/>
    </row>
    <row r="498">
      <c r="A498" s="242"/>
      <c r="B498" s="242"/>
      <c r="C498" s="243"/>
      <c r="D498" s="242"/>
      <c r="E498" s="242"/>
      <c r="F498" s="242"/>
      <c r="G498" s="250"/>
      <c r="H498" s="251"/>
      <c r="I498" s="242"/>
      <c r="J498" s="242"/>
      <c r="K498" s="242"/>
      <c r="L498" s="242"/>
      <c r="M498" s="242"/>
      <c r="N498" s="242"/>
      <c r="O498" s="242"/>
    </row>
    <row r="499">
      <c r="A499" s="242"/>
      <c r="B499" s="242"/>
      <c r="C499" s="243"/>
      <c r="D499" s="242"/>
      <c r="E499" s="242"/>
      <c r="F499" s="242"/>
      <c r="G499" s="250"/>
      <c r="H499" s="251"/>
      <c r="I499" s="242"/>
      <c r="J499" s="242"/>
      <c r="K499" s="242"/>
      <c r="L499" s="242"/>
      <c r="M499" s="242"/>
      <c r="N499" s="242"/>
      <c r="O499" s="242"/>
    </row>
    <row r="500">
      <c r="A500" s="242"/>
      <c r="B500" s="242"/>
      <c r="C500" s="243"/>
      <c r="D500" s="242"/>
      <c r="E500" s="242"/>
      <c r="F500" s="242"/>
      <c r="G500" s="250"/>
      <c r="H500" s="251"/>
      <c r="I500" s="242"/>
      <c r="J500" s="242"/>
      <c r="K500" s="242"/>
      <c r="L500" s="242"/>
      <c r="M500" s="242"/>
      <c r="N500" s="242"/>
      <c r="O500" s="242"/>
    </row>
    <row r="501">
      <c r="A501" s="242"/>
      <c r="B501" s="242"/>
      <c r="C501" s="243"/>
      <c r="D501" s="242"/>
      <c r="E501" s="242"/>
      <c r="F501" s="242"/>
      <c r="G501" s="250"/>
      <c r="H501" s="251"/>
      <c r="I501" s="242"/>
      <c r="J501" s="242"/>
      <c r="K501" s="242"/>
      <c r="L501" s="242"/>
      <c r="M501" s="242"/>
      <c r="N501" s="242"/>
      <c r="O501" s="242"/>
    </row>
    <row r="502">
      <c r="A502" s="242"/>
      <c r="B502" s="242"/>
      <c r="C502" s="243"/>
      <c r="D502" s="242"/>
      <c r="E502" s="242"/>
      <c r="F502" s="242"/>
      <c r="G502" s="250"/>
      <c r="H502" s="251"/>
      <c r="I502" s="242"/>
      <c r="J502" s="242"/>
      <c r="K502" s="242"/>
      <c r="L502" s="242"/>
      <c r="M502" s="242"/>
      <c r="N502" s="242"/>
      <c r="O502" s="242"/>
    </row>
    <row r="503">
      <c r="A503" s="242"/>
      <c r="B503" s="242"/>
      <c r="C503" s="243"/>
      <c r="D503" s="242"/>
      <c r="E503" s="242"/>
      <c r="F503" s="242"/>
      <c r="G503" s="250"/>
      <c r="H503" s="251"/>
      <c r="I503" s="242"/>
      <c r="J503" s="242"/>
      <c r="K503" s="242"/>
      <c r="L503" s="242"/>
      <c r="M503" s="242"/>
      <c r="N503" s="242"/>
      <c r="O503" s="242"/>
    </row>
    <row r="504">
      <c r="A504" s="242"/>
      <c r="B504" s="242"/>
      <c r="C504" s="243"/>
      <c r="D504" s="242"/>
      <c r="E504" s="242"/>
      <c r="F504" s="242"/>
      <c r="G504" s="250"/>
      <c r="H504" s="251"/>
      <c r="I504" s="242"/>
      <c r="J504" s="242"/>
      <c r="K504" s="242"/>
      <c r="L504" s="242"/>
      <c r="M504" s="242"/>
      <c r="N504" s="242"/>
      <c r="O504" s="242"/>
    </row>
    <row r="505">
      <c r="A505" s="242"/>
      <c r="B505" s="242"/>
      <c r="C505" s="243"/>
      <c r="D505" s="242"/>
      <c r="E505" s="242"/>
      <c r="F505" s="242"/>
      <c r="G505" s="250"/>
      <c r="H505" s="251"/>
      <c r="I505" s="242"/>
      <c r="J505" s="242"/>
      <c r="K505" s="242"/>
      <c r="L505" s="242"/>
      <c r="M505" s="242"/>
      <c r="N505" s="242"/>
      <c r="O505" s="242"/>
    </row>
    <row r="506">
      <c r="A506" s="242"/>
      <c r="B506" s="242"/>
      <c r="C506" s="243"/>
      <c r="D506" s="242"/>
      <c r="E506" s="242"/>
      <c r="F506" s="242"/>
      <c r="G506" s="250"/>
      <c r="H506" s="251"/>
      <c r="I506" s="242"/>
      <c r="J506" s="242"/>
      <c r="K506" s="242"/>
      <c r="L506" s="242"/>
      <c r="M506" s="242"/>
      <c r="N506" s="242"/>
      <c r="O506" s="242"/>
    </row>
    <row r="507">
      <c r="A507" s="242"/>
      <c r="B507" s="242"/>
      <c r="C507" s="243"/>
      <c r="D507" s="242"/>
      <c r="E507" s="242"/>
      <c r="F507" s="242"/>
      <c r="G507" s="250"/>
      <c r="H507" s="251"/>
      <c r="I507" s="242"/>
      <c r="J507" s="242"/>
      <c r="K507" s="242"/>
      <c r="L507" s="242"/>
      <c r="M507" s="242"/>
      <c r="N507" s="242"/>
      <c r="O507" s="242"/>
    </row>
    <row r="508">
      <c r="A508" s="242"/>
      <c r="B508" s="242"/>
      <c r="C508" s="243"/>
      <c r="D508" s="242"/>
      <c r="E508" s="242"/>
      <c r="F508" s="242"/>
      <c r="G508" s="250"/>
      <c r="H508" s="251"/>
      <c r="I508" s="242"/>
      <c r="J508" s="242"/>
      <c r="K508" s="242"/>
      <c r="L508" s="242"/>
      <c r="M508" s="242"/>
      <c r="N508" s="242"/>
      <c r="O508" s="242"/>
    </row>
    <row r="509">
      <c r="A509" s="242"/>
      <c r="B509" s="242"/>
      <c r="C509" s="243"/>
      <c r="D509" s="242"/>
      <c r="E509" s="242"/>
      <c r="F509" s="242"/>
      <c r="G509" s="250"/>
      <c r="H509" s="251"/>
      <c r="I509" s="242"/>
      <c r="J509" s="242"/>
      <c r="K509" s="242"/>
      <c r="L509" s="242"/>
      <c r="M509" s="242"/>
      <c r="N509" s="242"/>
      <c r="O509" s="242"/>
    </row>
    <row r="510">
      <c r="A510" s="242"/>
      <c r="B510" s="242"/>
      <c r="C510" s="243"/>
      <c r="D510" s="242"/>
      <c r="E510" s="242"/>
      <c r="F510" s="242"/>
      <c r="G510" s="250"/>
      <c r="H510" s="251"/>
      <c r="I510" s="242"/>
      <c r="J510" s="242"/>
      <c r="K510" s="242"/>
      <c r="L510" s="242"/>
      <c r="M510" s="242"/>
      <c r="N510" s="242"/>
      <c r="O510" s="242"/>
    </row>
    <row r="511">
      <c r="A511" s="242"/>
      <c r="B511" s="242"/>
      <c r="C511" s="243"/>
      <c r="D511" s="242"/>
      <c r="E511" s="242"/>
      <c r="F511" s="242"/>
      <c r="G511" s="250"/>
      <c r="H511" s="251"/>
      <c r="I511" s="242"/>
      <c r="J511" s="242"/>
      <c r="K511" s="242"/>
      <c r="L511" s="242"/>
      <c r="M511" s="242"/>
      <c r="N511" s="242"/>
      <c r="O511" s="242"/>
    </row>
    <row r="512">
      <c r="A512" s="242"/>
      <c r="B512" s="242"/>
      <c r="C512" s="243"/>
      <c r="D512" s="242"/>
      <c r="E512" s="242"/>
      <c r="F512" s="242"/>
      <c r="G512" s="250"/>
      <c r="H512" s="251"/>
      <c r="I512" s="242"/>
      <c r="J512" s="242"/>
      <c r="K512" s="242"/>
      <c r="L512" s="242"/>
      <c r="M512" s="242"/>
      <c r="N512" s="242"/>
      <c r="O512" s="242"/>
    </row>
    <row r="513">
      <c r="A513" s="242"/>
      <c r="B513" s="242"/>
      <c r="C513" s="243"/>
      <c r="D513" s="242"/>
      <c r="E513" s="242"/>
      <c r="F513" s="242"/>
      <c r="G513" s="250"/>
      <c r="H513" s="251"/>
      <c r="I513" s="242"/>
      <c r="J513" s="242"/>
      <c r="K513" s="242"/>
      <c r="L513" s="242"/>
      <c r="M513" s="242"/>
      <c r="N513" s="242"/>
      <c r="O513" s="242"/>
    </row>
    <row r="514">
      <c r="A514" s="242"/>
      <c r="B514" s="242"/>
      <c r="C514" s="243"/>
      <c r="D514" s="242"/>
      <c r="E514" s="242"/>
      <c r="F514" s="242"/>
      <c r="G514" s="250"/>
      <c r="H514" s="251"/>
      <c r="I514" s="242"/>
      <c r="J514" s="242"/>
      <c r="K514" s="242"/>
      <c r="L514" s="242"/>
      <c r="M514" s="242"/>
      <c r="N514" s="242"/>
      <c r="O514" s="242"/>
    </row>
    <row r="515">
      <c r="A515" s="242"/>
      <c r="B515" s="242"/>
      <c r="C515" s="243"/>
      <c r="D515" s="242"/>
      <c r="E515" s="242"/>
      <c r="F515" s="242"/>
      <c r="G515" s="250"/>
      <c r="H515" s="251"/>
      <c r="I515" s="242"/>
      <c r="J515" s="242"/>
      <c r="K515" s="242"/>
      <c r="L515" s="242"/>
      <c r="M515" s="242"/>
      <c r="N515" s="242"/>
      <c r="O515" s="242"/>
    </row>
    <row r="516">
      <c r="A516" s="242"/>
      <c r="B516" s="242"/>
      <c r="C516" s="243"/>
      <c r="D516" s="242"/>
      <c r="E516" s="242"/>
      <c r="F516" s="242"/>
      <c r="G516" s="250"/>
      <c r="H516" s="251"/>
      <c r="I516" s="242"/>
      <c r="J516" s="242"/>
      <c r="K516" s="242"/>
      <c r="L516" s="242"/>
      <c r="M516" s="242"/>
      <c r="N516" s="242"/>
      <c r="O516" s="242"/>
    </row>
    <row r="517">
      <c r="A517" s="242"/>
      <c r="B517" s="242"/>
      <c r="C517" s="243"/>
      <c r="D517" s="242"/>
      <c r="E517" s="242"/>
      <c r="F517" s="242"/>
      <c r="G517" s="250"/>
      <c r="H517" s="251"/>
      <c r="I517" s="242"/>
      <c r="J517" s="242"/>
      <c r="K517" s="242"/>
      <c r="L517" s="242"/>
      <c r="M517" s="242"/>
      <c r="N517" s="242"/>
      <c r="O517" s="242"/>
    </row>
    <row r="518">
      <c r="A518" s="242"/>
      <c r="B518" s="242"/>
      <c r="C518" s="243"/>
      <c r="D518" s="242"/>
      <c r="E518" s="242"/>
      <c r="F518" s="242"/>
      <c r="G518" s="250"/>
      <c r="H518" s="251"/>
      <c r="I518" s="242"/>
      <c r="J518" s="242"/>
      <c r="K518" s="242"/>
      <c r="L518" s="242"/>
      <c r="M518" s="242"/>
      <c r="N518" s="242"/>
      <c r="O518" s="242"/>
    </row>
    <row r="519">
      <c r="A519" s="242"/>
      <c r="B519" s="242"/>
      <c r="C519" s="243"/>
      <c r="D519" s="242"/>
      <c r="E519" s="242"/>
      <c r="F519" s="242"/>
      <c r="G519" s="250"/>
      <c r="H519" s="251"/>
      <c r="I519" s="242"/>
      <c r="J519" s="242"/>
      <c r="K519" s="242"/>
      <c r="L519" s="242"/>
      <c r="M519" s="242"/>
      <c r="N519" s="242"/>
      <c r="O519" s="242"/>
    </row>
    <row r="520">
      <c r="A520" s="242"/>
      <c r="B520" s="242"/>
      <c r="C520" s="243"/>
      <c r="D520" s="242"/>
      <c r="E520" s="242"/>
      <c r="F520" s="242"/>
      <c r="G520" s="250"/>
      <c r="H520" s="251"/>
      <c r="I520" s="242"/>
      <c r="J520" s="242"/>
      <c r="K520" s="242"/>
      <c r="L520" s="242"/>
      <c r="M520" s="242"/>
      <c r="N520" s="242"/>
      <c r="O520" s="242"/>
    </row>
    <row r="521">
      <c r="A521" s="242"/>
      <c r="B521" s="242"/>
      <c r="C521" s="243"/>
      <c r="D521" s="242"/>
      <c r="E521" s="242"/>
      <c r="F521" s="242"/>
      <c r="G521" s="250"/>
      <c r="H521" s="251"/>
      <c r="I521" s="242"/>
      <c r="J521" s="242"/>
      <c r="K521" s="242"/>
      <c r="L521" s="242"/>
      <c r="M521" s="242"/>
      <c r="N521" s="242"/>
      <c r="O521" s="242"/>
    </row>
    <row r="522">
      <c r="A522" s="242"/>
      <c r="B522" s="242"/>
      <c r="C522" s="243"/>
      <c r="D522" s="242"/>
      <c r="E522" s="242"/>
      <c r="F522" s="242"/>
      <c r="G522" s="250"/>
      <c r="H522" s="251"/>
      <c r="I522" s="242"/>
      <c r="J522" s="242"/>
      <c r="K522" s="242"/>
      <c r="L522" s="242"/>
      <c r="M522" s="242"/>
      <c r="N522" s="242"/>
      <c r="O522" s="242"/>
    </row>
    <row r="523">
      <c r="A523" s="242"/>
      <c r="B523" s="242"/>
      <c r="C523" s="243"/>
      <c r="D523" s="242"/>
      <c r="E523" s="242"/>
      <c r="F523" s="242"/>
      <c r="G523" s="250"/>
      <c r="H523" s="251"/>
      <c r="I523" s="242"/>
      <c r="J523" s="242"/>
      <c r="K523" s="242"/>
      <c r="L523" s="242"/>
      <c r="M523" s="242"/>
      <c r="N523" s="242"/>
      <c r="O523" s="242"/>
    </row>
    <row r="524">
      <c r="A524" s="242"/>
      <c r="B524" s="242"/>
      <c r="C524" s="243"/>
      <c r="D524" s="242"/>
      <c r="E524" s="242"/>
      <c r="F524" s="242"/>
      <c r="G524" s="250"/>
      <c r="H524" s="251"/>
      <c r="I524" s="242"/>
      <c r="J524" s="242"/>
      <c r="K524" s="242"/>
      <c r="L524" s="242"/>
      <c r="M524" s="242"/>
      <c r="N524" s="242"/>
      <c r="O524" s="242"/>
    </row>
    <row r="525">
      <c r="A525" s="242"/>
      <c r="B525" s="242"/>
      <c r="C525" s="243"/>
      <c r="D525" s="242"/>
      <c r="E525" s="242"/>
      <c r="F525" s="242"/>
      <c r="G525" s="250"/>
      <c r="H525" s="251"/>
      <c r="I525" s="242"/>
      <c r="J525" s="242"/>
      <c r="K525" s="242"/>
      <c r="L525" s="242"/>
      <c r="M525" s="242"/>
      <c r="N525" s="242"/>
      <c r="O525" s="242"/>
    </row>
    <row r="526">
      <c r="A526" s="242"/>
      <c r="B526" s="242"/>
      <c r="C526" s="243"/>
      <c r="D526" s="242"/>
      <c r="E526" s="242"/>
      <c r="F526" s="242"/>
      <c r="G526" s="250"/>
      <c r="H526" s="251"/>
      <c r="I526" s="242"/>
      <c r="J526" s="242"/>
      <c r="K526" s="242"/>
      <c r="L526" s="242"/>
      <c r="M526" s="242"/>
      <c r="N526" s="242"/>
      <c r="O526" s="242"/>
    </row>
    <row r="527">
      <c r="A527" s="242"/>
      <c r="B527" s="242"/>
      <c r="C527" s="243"/>
      <c r="D527" s="242"/>
      <c r="E527" s="242"/>
      <c r="F527" s="242"/>
      <c r="G527" s="250"/>
      <c r="H527" s="251"/>
      <c r="I527" s="242"/>
      <c r="J527" s="242"/>
      <c r="K527" s="242"/>
      <c r="L527" s="242"/>
      <c r="M527" s="242"/>
      <c r="N527" s="242"/>
      <c r="O527" s="242"/>
    </row>
    <row r="528">
      <c r="A528" s="242"/>
      <c r="B528" s="242"/>
      <c r="C528" s="243"/>
      <c r="D528" s="242"/>
      <c r="E528" s="242"/>
      <c r="F528" s="242"/>
      <c r="G528" s="250"/>
      <c r="H528" s="251"/>
      <c r="I528" s="242"/>
      <c r="J528" s="242"/>
      <c r="K528" s="242"/>
      <c r="L528" s="242"/>
      <c r="M528" s="242"/>
      <c r="N528" s="242"/>
      <c r="O528" s="242"/>
    </row>
    <row r="529">
      <c r="A529" s="242"/>
      <c r="B529" s="242"/>
      <c r="C529" s="243"/>
      <c r="D529" s="242"/>
      <c r="E529" s="242"/>
      <c r="F529" s="242"/>
      <c r="G529" s="250"/>
      <c r="H529" s="251"/>
      <c r="I529" s="242"/>
      <c r="J529" s="242"/>
      <c r="K529" s="242"/>
      <c r="L529" s="242"/>
      <c r="M529" s="242"/>
      <c r="N529" s="242"/>
      <c r="O529" s="242"/>
    </row>
    <row r="530">
      <c r="A530" s="242"/>
      <c r="B530" s="242"/>
      <c r="C530" s="243"/>
      <c r="D530" s="242"/>
      <c r="E530" s="242"/>
      <c r="F530" s="242"/>
      <c r="G530" s="250"/>
      <c r="H530" s="251"/>
      <c r="I530" s="242"/>
      <c r="J530" s="242"/>
      <c r="K530" s="242"/>
      <c r="L530" s="242"/>
      <c r="M530" s="242"/>
      <c r="N530" s="242"/>
      <c r="O530" s="242"/>
    </row>
    <row r="531">
      <c r="A531" s="242"/>
      <c r="B531" s="242"/>
      <c r="C531" s="243"/>
      <c r="D531" s="242"/>
      <c r="E531" s="242"/>
      <c r="F531" s="242"/>
      <c r="G531" s="250"/>
      <c r="H531" s="251"/>
      <c r="I531" s="242"/>
      <c r="J531" s="242"/>
      <c r="K531" s="242"/>
      <c r="L531" s="242"/>
      <c r="M531" s="242"/>
      <c r="N531" s="242"/>
      <c r="O531" s="242"/>
    </row>
    <row r="532">
      <c r="A532" s="242"/>
      <c r="B532" s="242"/>
      <c r="C532" s="243"/>
      <c r="D532" s="242"/>
      <c r="E532" s="242"/>
      <c r="F532" s="242"/>
      <c r="G532" s="250"/>
      <c r="H532" s="251"/>
      <c r="I532" s="242"/>
      <c r="J532" s="242"/>
      <c r="K532" s="242"/>
      <c r="L532" s="242"/>
      <c r="M532" s="242"/>
      <c r="N532" s="242"/>
      <c r="O532" s="242"/>
    </row>
    <row r="533">
      <c r="A533" s="242"/>
      <c r="B533" s="242"/>
      <c r="C533" s="243"/>
      <c r="D533" s="242"/>
      <c r="E533" s="242"/>
      <c r="F533" s="242"/>
      <c r="G533" s="250"/>
      <c r="H533" s="251"/>
      <c r="I533" s="242"/>
      <c r="J533" s="242"/>
      <c r="K533" s="242"/>
      <c r="L533" s="242"/>
      <c r="M533" s="242"/>
      <c r="N533" s="242"/>
      <c r="O533" s="242"/>
    </row>
    <row r="534">
      <c r="A534" s="242"/>
      <c r="B534" s="242"/>
      <c r="C534" s="243"/>
      <c r="D534" s="242"/>
      <c r="E534" s="242"/>
      <c r="F534" s="242"/>
      <c r="G534" s="250"/>
      <c r="H534" s="251"/>
      <c r="I534" s="242"/>
      <c r="J534" s="242"/>
      <c r="K534" s="242"/>
      <c r="L534" s="242"/>
      <c r="M534" s="242"/>
      <c r="N534" s="242"/>
      <c r="O534" s="242"/>
    </row>
    <row r="535">
      <c r="A535" s="242"/>
      <c r="B535" s="242"/>
      <c r="C535" s="243"/>
      <c r="D535" s="242"/>
      <c r="E535" s="242"/>
      <c r="F535" s="242"/>
      <c r="G535" s="250"/>
      <c r="H535" s="251"/>
      <c r="I535" s="242"/>
      <c r="J535" s="242"/>
      <c r="K535" s="242"/>
      <c r="L535" s="242"/>
      <c r="M535" s="242"/>
      <c r="N535" s="242"/>
      <c r="O535" s="242"/>
    </row>
    <row r="536">
      <c r="A536" s="242"/>
      <c r="B536" s="242"/>
      <c r="C536" s="243"/>
      <c r="D536" s="242"/>
      <c r="E536" s="242"/>
      <c r="F536" s="242"/>
      <c r="G536" s="250"/>
      <c r="H536" s="251"/>
      <c r="I536" s="242"/>
      <c r="J536" s="242"/>
      <c r="K536" s="242"/>
      <c r="L536" s="242"/>
      <c r="M536" s="242"/>
      <c r="N536" s="242"/>
      <c r="O536" s="242"/>
    </row>
    <row r="537">
      <c r="A537" s="242"/>
      <c r="B537" s="242"/>
      <c r="C537" s="243"/>
      <c r="D537" s="242"/>
      <c r="E537" s="242"/>
      <c r="F537" s="242"/>
      <c r="G537" s="250"/>
      <c r="H537" s="251"/>
      <c r="I537" s="242"/>
      <c r="J537" s="242"/>
      <c r="K537" s="242"/>
      <c r="L537" s="242"/>
      <c r="M537" s="242"/>
      <c r="N537" s="242"/>
      <c r="O537" s="242"/>
    </row>
    <row r="538">
      <c r="A538" s="242"/>
      <c r="B538" s="242"/>
      <c r="C538" s="243"/>
      <c r="D538" s="242"/>
      <c r="E538" s="242"/>
      <c r="F538" s="242"/>
      <c r="G538" s="250"/>
      <c r="H538" s="251"/>
      <c r="I538" s="242"/>
      <c r="J538" s="242"/>
      <c r="K538" s="242"/>
      <c r="L538" s="242"/>
      <c r="M538" s="242"/>
      <c r="N538" s="242"/>
      <c r="O538" s="242"/>
    </row>
    <row r="539">
      <c r="A539" s="242"/>
      <c r="B539" s="242"/>
      <c r="C539" s="243"/>
      <c r="D539" s="242"/>
      <c r="E539" s="242"/>
      <c r="F539" s="242"/>
      <c r="G539" s="250"/>
      <c r="H539" s="251"/>
      <c r="I539" s="242"/>
      <c r="J539" s="242"/>
      <c r="K539" s="242"/>
      <c r="L539" s="242"/>
      <c r="M539" s="242"/>
      <c r="N539" s="242"/>
      <c r="O539" s="242"/>
    </row>
    <row r="540">
      <c r="A540" s="242"/>
      <c r="B540" s="242"/>
      <c r="C540" s="243"/>
      <c r="D540" s="242"/>
      <c r="E540" s="242"/>
      <c r="F540" s="242"/>
      <c r="G540" s="250"/>
      <c r="H540" s="251"/>
      <c r="I540" s="242"/>
      <c r="J540" s="242"/>
      <c r="K540" s="242"/>
      <c r="L540" s="242"/>
      <c r="M540" s="242"/>
      <c r="N540" s="242"/>
      <c r="O540" s="242"/>
    </row>
    <row r="541">
      <c r="A541" s="242"/>
      <c r="B541" s="242"/>
      <c r="C541" s="243"/>
      <c r="D541" s="242"/>
      <c r="E541" s="242"/>
      <c r="F541" s="242"/>
      <c r="G541" s="250"/>
      <c r="H541" s="251"/>
      <c r="I541" s="242"/>
      <c r="J541" s="242"/>
      <c r="K541" s="242"/>
      <c r="L541" s="242"/>
      <c r="M541" s="242"/>
      <c r="N541" s="242"/>
      <c r="O541" s="242"/>
    </row>
    <row r="542">
      <c r="A542" s="242"/>
      <c r="B542" s="242"/>
      <c r="C542" s="243"/>
      <c r="D542" s="242"/>
      <c r="E542" s="242"/>
      <c r="F542" s="242"/>
      <c r="G542" s="250"/>
      <c r="H542" s="251"/>
      <c r="I542" s="242"/>
      <c r="J542" s="242"/>
      <c r="K542" s="242"/>
      <c r="L542" s="242"/>
      <c r="M542" s="242"/>
      <c r="N542" s="242"/>
      <c r="O542" s="242"/>
    </row>
    <row r="543">
      <c r="A543" s="242"/>
      <c r="B543" s="242"/>
      <c r="C543" s="243"/>
      <c r="D543" s="242"/>
      <c r="E543" s="242"/>
      <c r="F543" s="242"/>
      <c r="G543" s="250"/>
      <c r="H543" s="251"/>
      <c r="I543" s="242"/>
      <c r="J543" s="242"/>
      <c r="K543" s="242"/>
      <c r="L543" s="242"/>
      <c r="M543" s="242"/>
      <c r="N543" s="242"/>
      <c r="O543" s="242"/>
    </row>
    <row r="544">
      <c r="A544" s="242"/>
      <c r="B544" s="242"/>
      <c r="C544" s="243"/>
      <c r="D544" s="242"/>
      <c r="E544" s="242"/>
      <c r="F544" s="242"/>
      <c r="G544" s="250"/>
      <c r="H544" s="251"/>
      <c r="I544" s="242"/>
      <c r="J544" s="242"/>
      <c r="K544" s="242"/>
      <c r="L544" s="242"/>
      <c r="M544" s="242"/>
      <c r="N544" s="242"/>
      <c r="O544" s="242"/>
    </row>
    <row r="545">
      <c r="A545" s="242"/>
      <c r="B545" s="242"/>
      <c r="C545" s="243"/>
      <c r="D545" s="242"/>
      <c r="E545" s="242"/>
      <c r="F545" s="242"/>
      <c r="G545" s="250"/>
      <c r="H545" s="251"/>
      <c r="I545" s="242"/>
      <c r="J545" s="242"/>
      <c r="K545" s="242"/>
      <c r="L545" s="242"/>
      <c r="M545" s="242"/>
      <c r="N545" s="242"/>
      <c r="O545" s="242"/>
    </row>
    <row r="546">
      <c r="A546" s="242"/>
      <c r="B546" s="242"/>
      <c r="C546" s="243"/>
      <c r="D546" s="242"/>
      <c r="E546" s="242"/>
      <c r="F546" s="242"/>
      <c r="G546" s="250"/>
      <c r="H546" s="251"/>
      <c r="I546" s="242"/>
      <c r="J546" s="242"/>
      <c r="K546" s="242"/>
      <c r="L546" s="242"/>
      <c r="M546" s="242"/>
      <c r="N546" s="242"/>
      <c r="O546" s="242"/>
    </row>
    <row r="547">
      <c r="A547" s="242"/>
      <c r="B547" s="242"/>
      <c r="C547" s="243"/>
      <c r="D547" s="242"/>
      <c r="E547" s="242"/>
      <c r="F547" s="242"/>
      <c r="G547" s="250"/>
      <c r="H547" s="251"/>
      <c r="I547" s="242"/>
      <c r="J547" s="242"/>
      <c r="K547" s="242"/>
      <c r="L547" s="242"/>
      <c r="M547" s="242"/>
      <c r="N547" s="242"/>
      <c r="O547" s="242"/>
    </row>
    <row r="548">
      <c r="A548" s="242"/>
      <c r="B548" s="242"/>
      <c r="C548" s="243"/>
      <c r="D548" s="242"/>
      <c r="E548" s="242"/>
      <c r="F548" s="242"/>
      <c r="G548" s="250"/>
      <c r="H548" s="251"/>
      <c r="I548" s="242"/>
      <c r="J548" s="242"/>
      <c r="K548" s="242"/>
      <c r="L548" s="242"/>
      <c r="M548" s="242"/>
      <c r="N548" s="242"/>
      <c r="O548" s="242"/>
    </row>
    <row r="549">
      <c r="A549" s="242"/>
      <c r="B549" s="242"/>
      <c r="C549" s="243"/>
      <c r="D549" s="242"/>
      <c r="E549" s="242"/>
      <c r="F549" s="242"/>
      <c r="G549" s="250"/>
      <c r="H549" s="251"/>
      <c r="I549" s="242"/>
      <c r="J549" s="242"/>
      <c r="K549" s="242"/>
      <c r="L549" s="242"/>
      <c r="M549" s="242"/>
      <c r="N549" s="242"/>
      <c r="O549" s="242"/>
    </row>
    <row r="550">
      <c r="A550" s="242"/>
      <c r="B550" s="242"/>
      <c r="C550" s="243"/>
      <c r="D550" s="242"/>
      <c r="E550" s="242"/>
      <c r="F550" s="242"/>
      <c r="G550" s="250"/>
      <c r="H550" s="251"/>
      <c r="I550" s="242"/>
      <c r="J550" s="242"/>
      <c r="K550" s="242"/>
      <c r="L550" s="242"/>
      <c r="M550" s="242"/>
      <c r="N550" s="242"/>
      <c r="O550" s="242"/>
    </row>
    <row r="551">
      <c r="A551" s="242"/>
      <c r="B551" s="242"/>
      <c r="C551" s="243"/>
      <c r="D551" s="242"/>
      <c r="E551" s="242"/>
      <c r="F551" s="242"/>
      <c r="G551" s="250"/>
      <c r="H551" s="251"/>
      <c r="I551" s="242"/>
      <c r="J551" s="242"/>
      <c r="K551" s="242"/>
      <c r="L551" s="242"/>
      <c r="M551" s="242"/>
      <c r="N551" s="242"/>
      <c r="O551" s="242"/>
    </row>
    <row r="552">
      <c r="A552" s="242"/>
      <c r="B552" s="242"/>
      <c r="C552" s="243"/>
      <c r="D552" s="242"/>
      <c r="E552" s="242"/>
      <c r="F552" s="242"/>
      <c r="G552" s="250"/>
      <c r="H552" s="251"/>
      <c r="I552" s="242"/>
      <c r="J552" s="242"/>
      <c r="K552" s="242"/>
      <c r="L552" s="242"/>
      <c r="M552" s="242"/>
      <c r="N552" s="242"/>
      <c r="O552" s="242"/>
    </row>
    <row r="553">
      <c r="A553" s="242"/>
      <c r="B553" s="242"/>
      <c r="C553" s="243"/>
      <c r="D553" s="242"/>
      <c r="E553" s="242"/>
      <c r="F553" s="242"/>
      <c r="G553" s="250"/>
      <c r="H553" s="251"/>
      <c r="I553" s="242"/>
      <c r="J553" s="242"/>
      <c r="K553" s="242"/>
      <c r="L553" s="242"/>
      <c r="M553" s="242"/>
      <c r="N553" s="242"/>
      <c r="O553" s="242"/>
    </row>
    <row r="554">
      <c r="A554" s="242"/>
      <c r="B554" s="242"/>
      <c r="C554" s="243"/>
      <c r="D554" s="242"/>
      <c r="E554" s="242"/>
      <c r="F554" s="242"/>
      <c r="G554" s="250"/>
      <c r="H554" s="251"/>
      <c r="I554" s="242"/>
      <c r="J554" s="242"/>
      <c r="K554" s="242"/>
      <c r="L554" s="242"/>
      <c r="M554" s="242"/>
      <c r="N554" s="242"/>
      <c r="O554" s="242"/>
    </row>
    <row r="555">
      <c r="A555" s="242"/>
      <c r="B555" s="242"/>
      <c r="C555" s="243"/>
      <c r="D555" s="242"/>
      <c r="E555" s="242"/>
      <c r="F555" s="242"/>
      <c r="G555" s="250"/>
      <c r="H555" s="251"/>
      <c r="I555" s="242"/>
      <c r="J555" s="242"/>
      <c r="K555" s="242"/>
      <c r="L555" s="242"/>
      <c r="M555" s="242"/>
      <c r="N555" s="242"/>
      <c r="O555" s="242"/>
    </row>
    <row r="556">
      <c r="A556" s="242"/>
      <c r="B556" s="242"/>
      <c r="C556" s="243"/>
      <c r="D556" s="242"/>
      <c r="E556" s="242"/>
      <c r="F556" s="242"/>
      <c r="G556" s="250"/>
      <c r="H556" s="251"/>
      <c r="I556" s="242"/>
      <c r="J556" s="242"/>
      <c r="K556" s="242"/>
      <c r="L556" s="242"/>
      <c r="M556" s="242"/>
      <c r="N556" s="242"/>
      <c r="O556" s="242"/>
    </row>
    <row r="557">
      <c r="A557" s="242"/>
      <c r="B557" s="242"/>
      <c r="C557" s="243"/>
      <c r="D557" s="242"/>
      <c r="E557" s="242"/>
      <c r="F557" s="242"/>
      <c r="G557" s="250"/>
      <c r="H557" s="251"/>
      <c r="I557" s="242"/>
      <c r="J557" s="242"/>
      <c r="K557" s="242"/>
      <c r="L557" s="242"/>
      <c r="M557" s="242"/>
      <c r="N557" s="242"/>
      <c r="O557" s="242"/>
    </row>
    <row r="558">
      <c r="A558" s="242"/>
      <c r="B558" s="242"/>
      <c r="C558" s="243"/>
      <c r="D558" s="242"/>
      <c r="E558" s="242"/>
      <c r="F558" s="242"/>
      <c r="G558" s="250"/>
      <c r="H558" s="251"/>
      <c r="I558" s="242"/>
      <c r="J558" s="242"/>
      <c r="K558" s="242"/>
      <c r="L558" s="242"/>
      <c r="M558" s="242"/>
      <c r="N558" s="242"/>
      <c r="O558" s="242"/>
    </row>
    <row r="559">
      <c r="A559" s="242"/>
      <c r="B559" s="242"/>
      <c r="C559" s="243"/>
      <c r="D559" s="242"/>
      <c r="E559" s="242"/>
      <c r="F559" s="242"/>
      <c r="G559" s="250"/>
      <c r="H559" s="251"/>
      <c r="I559" s="242"/>
      <c r="J559" s="242"/>
      <c r="K559" s="242"/>
      <c r="L559" s="242"/>
      <c r="M559" s="242"/>
      <c r="N559" s="242"/>
      <c r="O559" s="242"/>
    </row>
    <row r="560">
      <c r="A560" s="242"/>
      <c r="B560" s="242"/>
      <c r="C560" s="243"/>
      <c r="D560" s="242"/>
      <c r="E560" s="242"/>
      <c r="F560" s="242"/>
      <c r="G560" s="250"/>
      <c r="H560" s="251"/>
      <c r="I560" s="242"/>
      <c r="J560" s="242"/>
      <c r="K560" s="242"/>
      <c r="L560" s="242"/>
      <c r="M560" s="242"/>
      <c r="N560" s="242"/>
      <c r="O560" s="242"/>
    </row>
    <row r="561">
      <c r="A561" s="242"/>
      <c r="B561" s="242"/>
      <c r="C561" s="243"/>
      <c r="D561" s="242"/>
      <c r="E561" s="242"/>
      <c r="F561" s="242"/>
      <c r="G561" s="250"/>
      <c r="H561" s="251"/>
      <c r="I561" s="242"/>
      <c r="J561" s="242"/>
      <c r="K561" s="242"/>
      <c r="L561" s="242"/>
      <c r="M561" s="242"/>
      <c r="N561" s="242"/>
      <c r="O561" s="242"/>
    </row>
    <row r="562">
      <c r="A562" s="242"/>
      <c r="B562" s="242"/>
      <c r="C562" s="243"/>
      <c r="D562" s="242"/>
      <c r="E562" s="242"/>
      <c r="F562" s="242"/>
      <c r="G562" s="250"/>
      <c r="H562" s="251"/>
      <c r="I562" s="242"/>
      <c r="J562" s="242"/>
      <c r="K562" s="242"/>
      <c r="L562" s="242"/>
      <c r="M562" s="242"/>
      <c r="N562" s="242"/>
      <c r="O562" s="242"/>
    </row>
    <row r="563">
      <c r="A563" s="242"/>
      <c r="B563" s="242"/>
      <c r="C563" s="243"/>
      <c r="D563" s="242"/>
      <c r="E563" s="242"/>
      <c r="F563" s="242"/>
      <c r="G563" s="250"/>
      <c r="H563" s="251"/>
      <c r="I563" s="242"/>
      <c r="J563" s="242"/>
      <c r="K563" s="242"/>
      <c r="L563" s="242"/>
      <c r="M563" s="242"/>
      <c r="N563" s="242"/>
      <c r="O563" s="242"/>
    </row>
    <row r="564">
      <c r="A564" s="242"/>
      <c r="B564" s="242"/>
      <c r="C564" s="243"/>
      <c r="D564" s="242"/>
      <c r="E564" s="242"/>
      <c r="F564" s="242"/>
      <c r="G564" s="250"/>
      <c r="H564" s="251"/>
      <c r="I564" s="242"/>
      <c r="J564" s="242"/>
      <c r="K564" s="242"/>
      <c r="L564" s="242"/>
      <c r="M564" s="242"/>
      <c r="N564" s="242"/>
      <c r="O564" s="242"/>
    </row>
    <row r="565">
      <c r="A565" s="242"/>
      <c r="B565" s="242"/>
      <c r="C565" s="243"/>
      <c r="D565" s="242"/>
      <c r="E565" s="242"/>
      <c r="F565" s="242"/>
      <c r="G565" s="250"/>
      <c r="H565" s="251"/>
      <c r="I565" s="242"/>
      <c r="J565" s="242"/>
      <c r="K565" s="242"/>
      <c r="L565" s="242"/>
      <c r="M565" s="242"/>
      <c r="N565" s="242"/>
      <c r="O565" s="242"/>
    </row>
    <row r="566">
      <c r="A566" s="242"/>
      <c r="B566" s="242"/>
      <c r="C566" s="243"/>
      <c r="D566" s="242"/>
      <c r="E566" s="242"/>
      <c r="F566" s="242"/>
      <c r="G566" s="250"/>
      <c r="H566" s="251"/>
      <c r="I566" s="242"/>
      <c r="J566" s="242"/>
      <c r="K566" s="242"/>
      <c r="L566" s="242"/>
      <c r="M566" s="242"/>
      <c r="N566" s="242"/>
      <c r="O566" s="242"/>
    </row>
    <row r="567">
      <c r="A567" s="242"/>
      <c r="B567" s="242"/>
      <c r="C567" s="243"/>
      <c r="D567" s="242"/>
      <c r="E567" s="242"/>
      <c r="F567" s="242"/>
      <c r="G567" s="250"/>
      <c r="H567" s="251"/>
      <c r="I567" s="242"/>
      <c r="J567" s="242"/>
      <c r="K567" s="242"/>
      <c r="L567" s="242"/>
      <c r="M567" s="242"/>
      <c r="N567" s="242"/>
      <c r="O567" s="242"/>
    </row>
    <row r="568">
      <c r="A568" s="242"/>
      <c r="B568" s="242"/>
      <c r="C568" s="243"/>
      <c r="D568" s="242"/>
      <c r="E568" s="242"/>
      <c r="F568" s="242"/>
      <c r="G568" s="250"/>
      <c r="H568" s="251"/>
      <c r="I568" s="242"/>
      <c r="J568" s="242"/>
      <c r="K568" s="242"/>
      <c r="L568" s="242"/>
      <c r="M568" s="242"/>
      <c r="N568" s="242"/>
      <c r="O568" s="242"/>
    </row>
    <row r="569">
      <c r="A569" s="242"/>
      <c r="B569" s="242"/>
      <c r="C569" s="243"/>
      <c r="D569" s="242"/>
      <c r="E569" s="242"/>
      <c r="F569" s="242"/>
      <c r="G569" s="250"/>
      <c r="H569" s="251"/>
      <c r="I569" s="242"/>
      <c r="J569" s="242"/>
      <c r="K569" s="242"/>
      <c r="L569" s="242"/>
      <c r="M569" s="242"/>
      <c r="N569" s="242"/>
      <c r="O569" s="242"/>
    </row>
    <row r="570">
      <c r="A570" s="242"/>
      <c r="B570" s="242"/>
      <c r="C570" s="243"/>
      <c r="D570" s="242"/>
      <c r="E570" s="242"/>
      <c r="F570" s="242"/>
      <c r="G570" s="250"/>
      <c r="H570" s="251"/>
      <c r="I570" s="242"/>
      <c r="J570" s="242"/>
      <c r="K570" s="242"/>
      <c r="L570" s="242"/>
      <c r="M570" s="242"/>
      <c r="N570" s="242"/>
      <c r="O570" s="242"/>
    </row>
    <row r="571">
      <c r="A571" s="242"/>
      <c r="B571" s="242"/>
      <c r="C571" s="243"/>
      <c r="D571" s="242"/>
      <c r="E571" s="242"/>
      <c r="F571" s="242"/>
      <c r="G571" s="250"/>
      <c r="H571" s="251"/>
      <c r="I571" s="242"/>
      <c r="J571" s="242"/>
      <c r="K571" s="242"/>
      <c r="L571" s="242"/>
      <c r="M571" s="242"/>
      <c r="N571" s="242"/>
      <c r="O571" s="242"/>
    </row>
    <row r="572">
      <c r="A572" s="242"/>
      <c r="B572" s="242"/>
      <c r="C572" s="243"/>
      <c r="D572" s="242"/>
      <c r="E572" s="242"/>
      <c r="F572" s="242"/>
      <c r="G572" s="250"/>
      <c r="H572" s="251"/>
      <c r="I572" s="242"/>
      <c r="J572" s="242"/>
      <c r="K572" s="242"/>
      <c r="L572" s="242"/>
      <c r="M572" s="242"/>
      <c r="N572" s="242"/>
      <c r="O572" s="242"/>
    </row>
    <row r="573">
      <c r="A573" s="242"/>
      <c r="B573" s="242"/>
      <c r="C573" s="243"/>
      <c r="D573" s="242"/>
      <c r="E573" s="242"/>
      <c r="F573" s="242"/>
      <c r="G573" s="250"/>
      <c r="H573" s="251"/>
      <c r="I573" s="242"/>
      <c r="J573" s="242"/>
      <c r="K573" s="242"/>
      <c r="L573" s="242"/>
      <c r="M573" s="242"/>
      <c r="N573" s="242"/>
      <c r="O573" s="242"/>
    </row>
    <row r="574">
      <c r="A574" s="242"/>
      <c r="B574" s="242"/>
      <c r="C574" s="243"/>
      <c r="D574" s="242"/>
      <c r="E574" s="242"/>
      <c r="F574" s="242"/>
      <c r="G574" s="250"/>
      <c r="H574" s="251"/>
      <c r="I574" s="242"/>
      <c r="J574" s="242"/>
      <c r="K574" s="242"/>
      <c r="L574" s="242"/>
      <c r="M574" s="242"/>
      <c r="N574" s="242"/>
      <c r="O574" s="242"/>
    </row>
    <row r="575">
      <c r="A575" s="242"/>
      <c r="B575" s="242"/>
      <c r="C575" s="243"/>
      <c r="D575" s="242"/>
      <c r="E575" s="242"/>
      <c r="F575" s="242"/>
      <c r="G575" s="250"/>
      <c r="H575" s="251"/>
      <c r="I575" s="242"/>
      <c r="J575" s="242"/>
      <c r="K575" s="242"/>
      <c r="L575" s="242"/>
      <c r="M575" s="242"/>
      <c r="N575" s="242"/>
      <c r="O575" s="242"/>
    </row>
    <row r="576">
      <c r="A576" s="242"/>
      <c r="B576" s="242"/>
      <c r="C576" s="243"/>
      <c r="D576" s="242"/>
      <c r="E576" s="242"/>
      <c r="F576" s="242"/>
      <c r="G576" s="250"/>
      <c r="H576" s="251"/>
      <c r="I576" s="242"/>
      <c r="J576" s="242"/>
      <c r="K576" s="242"/>
      <c r="L576" s="242"/>
      <c r="M576" s="242"/>
      <c r="N576" s="242"/>
      <c r="O576" s="242"/>
    </row>
    <row r="577">
      <c r="A577" s="242"/>
      <c r="B577" s="242"/>
      <c r="C577" s="243"/>
      <c r="D577" s="242"/>
      <c r="E577" s="242"/>
      <c r="F577" s="242"/>
      <c r="G577" s="250"/>
      <c r="H577" s="251"/>
      <c r="I577" s="242"/>
      <c r="J577" s="242"/>
      <c r="K577" s="242"/>
      <c r="L577" s="242"/>
      <c r="M577" s="242"/>
      <c r="N577" s="242"/>
      <c r="O577" s="242"/>
    </row>
    <row r="578">
      <c r="A578" s="242"/>
      <c r="B578" s="242"/>
      <c r="C578" s="243"/>
      <c r="D578" s="242"/>
      <c r="E578" s="242"/>
      <c r="F578" s="242"/>
      <c r="G578" s="250"/>
      <c r="H578" s="251"/>
      <c r="I578" s="242"/>
      <c r="J578" s="242"/>
      <c r="K578" s="242"/>
      <c r="L578" s="242"/>
      <c r="M578" s="242"/>
      <c r="N578" s="242"/>
      <c r="O578" s="242"/>
    </row>
    <row r="579">
      <c r="A579" s="242"/>
      <c r="B579" s="242"/>
      <c r="C579" s="243"/>
      <c r="D579" s="242"/>
      <c r="E579" s="242"/>
      <c r="F579" s="242"/>
      <c r="G579" s="250"/>
      <c r="H579" s="251"/>
      <c r="I579" s="242"/>
      <c r="J579" s="242"/>
      <c r="K579" s="242"/>
      <c r="L579" s="242"/>
      <c r="M579" s="242"/>
      <c r="N579" s="242"/>
      <c r="O579" s="242"/>
    </row>
    <row r="580">
      <c r="A580" s="242"/>
      <c r="B580" s="242"/>
      <c r="C580" s="243"/>
      <c r="D580" s="242"/>
      <c r="E580" s="242"/>
      <c r="F580" s="242"/>
      <c r="G580" s="250"/>
      <c r="H580" s="251"/>
      <c r="I580" s="242"/>
      <c r="J580" s="242"/>
      <c r="K580" s="242"/>
      <c r="L580" s="242"/>
      <c r="M580" s="242"/>
      <c r="N580" s="242"/>
      <c r="O580" s="242"/>
    </row>
    <row r="581">
      <c r="A581" s="242"/>
      <c r="B581" s="242"/>
      <c r="C581" s="243"/>
      <c r="D581" s="242"/>
      <c r="E581" s="242"/>
      <c r="F581" s="242"/>
      <c r="G581" s="250"/>
      <c r="H581" s="251"/>
      <c r="I581" s="242"/>
      <c r="J581" s="242"/>
      <c r="K581" s="242"/>
      <c r="L581" s="242"/>
      <c r="M581" s="242"/>
      <c r="N581" s="242"/>
      <c r="O581" s="242"/>
    </row>
    <row r="582">
      <c r="A582" s="242"/>
      <c r="B582" s="242"/>
      <c r="C582" s="243"/>
      <c r="D582" s="242"/>
      <c r="E582" s="242"/>
      <c r="F582" s="242"/>
      <c r="G582" s="250"/>
      <c r="H582" s="251"/>
      <c r="I582" s="242"/>
      <c r="J582" s="242"/>
      <c r="K582" s="242"/>
      <c r="L582" s="242"/>
      <c r="M582" s="242"/>
      <c r="N582" s="242"/>
      <c r="O582" s="242"/>
    </row>
    <row r="583">
      <c r="A583" s="242"/>
      <c r="B583" s="242"/>
      <c r="C583" s="243"/>
      <c r="D583" s="242"/>
      <c r="E583" s="242"/>
      <c r="F583" s="242"/>
      <c r="G583" s="250"/>
      <c r="H583" s="251"/>
      <c r="I583" s="242"/>
      <c r="J583" s="242"/>
      <c r="K583" s="242"/>
      <c r="L583" s="242"/>
      <c r="M583" s="242"/>
      <c r="N583" s="242"/>
      <c r="O583" s="242"/>
    </row>
    <row r="584">
      <c r="A584" s="242"/>
      <c r="B584" s="242"/>
      <c r="C584" s="243"/>
      <c r="D584" s="242"/>
      <c r="E584" s="242"/>
      <c r="F584" s="242"/>
      <c r="G584" s="250"/>
      <c r="H584" s="251"/>
      <c r="I584" s="242"/>
      <c r="J584" s="242"/>
      <c r="K584" s="242"/>
      <c r="L584" s="242"/>
      <c r="M584" s="242"/>
      <c r="N584" s="242"/>
      <c r="O584" s="242"/>
    </row>
    <row r="585">
      <c r="A585" s="242"/>
      <c r="B585" s="242"/>
      <c r="C585" s="243"/>
      <c r="D585" s="242"/>
      <c r="E585" s="242"/>
      <c r="F585" s="242"/>
      <c r="G585" s="250"/>
      <c r="H585" s="251"/>
      <c r="I585" s="242"/>
      <c r="J585" s="242"/>
      <c r="K585" s="242"/>
      <c r="L585" s="242"/>
      <c r="M585" s="242"/>
      <c r="N585" s="242"/>
      <c r="O585" s="242"/>
    </row>
    <row r="586">
      <c r="A586" s="242"/>
      <c r="B586" s="242"/>
      <c r="C586" s="243"/>
      <c r="D586" s="242"/>
      <c r="E586" s="242"/>
      <c r="F586" s="242"/>
      <c r="G586" s="250"/>
      <c r="H586" s="251"/>
      <c r="I586" s="242"/>
      <c r="J586" s="242"/>
      <c r="K586" s="242"/>
      <c r="L586" s="242"/>
      <c r="M586" s="242"/>
      <c r="N586" s="242"/>
      <c r="O586" s="242"/>
    </row>
    <row r="587">
      <c r="A587" s="242"/>
      <c r="B587" s="242"/>
      <c r="C587" s="243"/>
      <c r="D587" s="242"/>
      <c r="E587" s="242"/>
      <c r="F587" s="242"/>
      <c r="G587" s="250"/>
      <c r="H587" s="251"/>
      <c r="I587" s="242"/>
      <c r="J587" s="242"/>
      <c r="K587" s="242"/>
      <c r="L587" s="242"/>
      <c r="M587" s="242"/>
      <c r="N587" s="242"/>
      <c r="O587" s="242"/>
    </row>
    <row r="588">
      <c r="A588" s="242"/>
      <c r="B588" s="242"/>
      <c r="C588" s="243"/>
      <c r="D588" s="242"/>
      <c r="E588" s="242"/>
      <c r="F588" s="242"/>
      <c r="G588" s="250"/>
      <c r="H588" s="251"/>
      <c r="I588" s="242"/>
      <c r="J588" s="242"/>
      <c r="K588" s="242"/>
      <c r="L588" s="242"/>
      <c r="M588" s="242"/>
      <c r="N588" s="242"/>
      <c r="O588" s="242"/>
    </row>
    <row r="589">
      <c r="A589" s="242"/>
      <c r="B589" s="242"/>
      <c r="C589" s="243"/>
      <c r="D589" s="242"/>
      <c r="E589" s="242"/>
      <c r="F589" s="242"/>
      <c r="G589" s="250"/>
      <c r="H589" s="251"/>
      <c r="I589" s="242"/>
      <c r="J589" s="242"/>
      <c r="K589" s="242"/>
      <c r="L589" s="242"/>
      <c r="M589" s="242"/>
      <c r="N589" s="242"/>
      <c r="O589" s="242"/>
    </row>
    <row r="590">
      <c r="A590" s="242"/>
      <c r="B590" s="242"/>
      <c r="C590" s="243"/>
      <c r="D590" s="242"/>
      <c r="E590" s="242"/>
      <c r="F590" s="242"/>
      <c r="G590" s="250"/>
      <c r="H590" s="251"/>
      <c r="I590" s="242"/>
      <c r="J590" s="242"/>
      <c r="K590" s="242"/>
      <c r="L590" s="242"/>
      <c r="M590" s="242"/>
      <c r="N590" s="242"/>
      <c r="O590" s="242"/>
    </row>
    <row r="591">
      <c r="A591" s="242"/>
      <c r="B591" s="242"/>
      <c r="C591" s="243"/>
      <c r="D591" s="242"/>
      <c r="E591" s="242"/>
      <c r="F591" s="242"/>
      <c r="G591" s="250"/>
      <c r="H591" s="251"/>
      <c r="I591" s="242"/>
      <c r="J591" s="242"/>
      <c r="K591" s="242"/>
      <c r="L591" s="242"/>
      <c r="M591" s="242"/>
      <c r="N591" s="242"/>
      <c r="O591" s="242"/>
    </row>
    <row r="592">
      <c r="A592" s="242"/>
      <c r="B592" s="242"/>
      <c r="C592" s="243"/>
      <c r="D592" s="242"/>
      <c r="E592" s="242"/>
      <c r="F592" s="242"/>
      <c r="G592" s="250"/>
      <c r="H592" s="251"/>
      <c r="I592" s="242"/>
      <c r="J592" s="242"/>
      <c r="K592" s="242"/>
      <c r="L592" s="242"/>
      <c r="M592" s="242"/>
      <c r="N592" s="242"/>
      <c r="O592" s="242"/>
    </row>
    <row r="593">
      <c r="A593" s="242"/>
      <c r="B593" s="242"/>
      <c r="C593" s="243"/>
      <c r="D593" s="242"/>
      <c r="E593" s="242"/>
      <c r="F593" s="242"/>
      <c r="G593" s="250"/>
      <c r="H593" s="251"/>
      <c r="I593" s="242"/>
      <c r="J593" s="242"/>
      <c r="K593" s="242"/>
      <c r="L593" s="242"/>
      <c r="M593" s="242"/>
      <c r="N593" s="242"/>
      <c r="O593" s="242"/>
    </row>
    <row r="594">
      <c r="A594" s="242"/>
      <c r="B594" s="242"/>
      <c r="C594" s="243"/>
      <c r="D594" s="242"/>
      <c r="E594" s="242"/>
      <c r="F594" s="242"/>
      <c r="G594" s="250"/>
      <c r="H594" s="251"/>
      <c r="I594" s="242"/>
      <c r="J594" s="242"/>
      <c r="K594" s="242"/>
      <c r="L594" s="242"/>
      <c r="M594" s="242"/>
      <c r="N594" s="242"/>
      <c r="O594" s="242"/>
    </row>
    <row r="595">
      <c r="A595" s="242"/>
      <c r="B595" s="242"/>
      <c r="C595" s="243"/>
      <c r="D595" s="242"/>
      <c r="E595" s="242"/>
      <c r="F595" s="242"/>
      <c r="G595" s="250"/>
      <c r="H595" s="251"/>
      <c r="I595" s="242"/>
      <c r="J595" s="242"/>
      <c r="K595" s="242"/>
      <c r="L595" s="242"/>
      <c r="M595" s="242"/>
      <c r="N595" s="242"/>
      <c r="O595" s="242"/>
    </row>
    <row r="596">
      <c r="A596" s="242"/>
      <c r="B596" s="242"/>
      <c r="C596" s="243"/>
      <c r="D596" s="242"/>
      <c r="E596" s="242"/>
      <c r="F596" s="242"/>
      <c r="G596" s="250"/>
      <c r="H596" s="251"/>
      <c r="I596" s="242"/>
      <c r="J596" s="242"/>
      <c r="K596" s="242"/>
      <c r="L596" s="242"/>
      <c r="M596" s="242"/>
      <c r="N596" s="242"/>
      <c r="O596" s="242"/>
    </row>
    <row r="597">
      <c r="A597" s="242"/>
      <c r="B597" s="242"/>
      <c r="C597" s="243"/>
      <c r="D597" s="242"/>
      <c r="E597" s="242"/>
      <c r="F597" s="242"/>
      <c r="G597" s="250"/>
      <c r="H597" s="251"/>
      <c r="I597" s="242"/>
      <c r="J597" s="242"/>
      <c r="K597" s="242"/>
      <c r="L597" s="242"/>
      <c r="M597" s="242"/>
      <c r="N597" s="242"/>
      <c r="O597" s="242"/>
    </row>
    <row r="598">
      <c r="A598" s="242"/>
      <c r="B598" s="242"/>
      <c r="C598" s="243"/>
      <c r="D598" s="242"/>
      <c r="E598" s="242"/>
      <c r="F598" s="242"/>
      <c r="G598" s="250"/>
      <c r="H598" s="251"/>
      <c r="I598" s="242"/>
      <c r="J598" s="242"/>
      <c r="K598" s="242"/>
      <c r="L598" s="242"/>
      <c r="M598" s="242"/>
      <c r="N598" s="242"/>
      <c r="O598" s="242"/>
    </row>
    <row r="599">
      <c r="A599" s="242"/>
      <c r="B599" s="242"/>
      <c r="C599" s="243"/>
      <c r="D599" s="242"/>
      <c r="E599" s="242"/>
      <c r="F599" s="242"/>
      <c r="G599" s="250"/>
      <c r="H599" s="251"/>
      <c r="I599" s="242"/>
      <c r="J599" s="242"/>
      <c r="K599" s="242"/>
      <c r="L599" s="242"/>
      <c r="M599" s="242"/>
      <c r="N599" s="242"/>
      <c r="O599" s="242"/>
    </row>
    <row r="600">
      <c r="A600" s="242"/>
      <c r="B600" s="242"/>
      <c r="C600" s="243"/>
      <c r="D600" s="242"/>
      <c r="E600" s="242"/>
      <c r="F600" s="242"/>
      <c r="G600" s="250"/>
      <c r="H600" s="251"/>
      <c r="I600" s="242"/>
      <c r="J600" s="242"/>
      <c r="K600" s="242"/>
      <c r="L600" s="242"/>
      <c r="M600" s="242"/>
      <c r="N600" s="242"/>
      <c r="O600" s="242"/>
    </row>
    <row r="601">
      <c r="A601" s="242"/>
      <c r="B601" s="242"/>
      <c r="C601" s="243"/>
      <c r="D601" s="242"/>
      <c r="E601" s="242"/>
      <c r="F601" s="242"/>
      <c r="G601" s="250"/>
      <c r="H601" s="251"/>
      <c r="I601" s="242"/>
      <c r="J601" s="242"/>
      <c r="K601" s="242"/>
      <c r="L601" s="242"/>
      <c r="M601" s="242"/>
      <c r="N601" s="242"/>
      <c r="O601" s="242"/>
    </row>
    <row r="602">
      <c r="A602" s="242"/>
      <c r="B602" s="242"/>
      <c r="C602" s="243"/>
      <c r="D602" s="242"/>
      <c r="E602" s="242"/>
      <c r="F602" s="242"/>
      <c r="G602" s="250"/>
      <c r="H602" s="251"/>
      <c r="I602" s="242"/>
      <c r="J602" s="242"/>
      <c r="K602" s="242"/>
      <c r="L602" s="242"/>
      <c r="M602" s="242"/>
      <c r="N602" s="242"/>
      <c r="O602" s="242"/>
    </row>
    <row r="603">
      <c r="A603" s="242"/>
      <c r="B603" s="242"/>
      <c r="C603" s="243"/>
      <c r="D603" s="242"/>
      <c r="E603" s="242"/>
      <c r="F603" s="242"/>
      <c r="G603" s="250"/>
      <c r="H603" s="251"/>
      <c r="I603" s="242"/>
      <c r="J603" s="242"/>
      <c r="K603" s="242"/>
      <c r="L603" s="242"/>
      <c r="M603" s="242"/>
      <c r="N603" s="242"/>
      <c r="O603" s="242"/>
    </row>
    <row r="604">
      <c r="A604" s="242"/>
      <c r="B604" s="242"/>
      <c r="C604" s="243"/>
      <c r="D604" s="242"/>
      <c r="E604" s="242"/>
      <c r="F604" s="242"/>
      <c r="G604" s="250"/>
      <c r="H604" s="251"/>
      <c r="I604" s="242"/>
      <c r="J604" s="242"/>
      <c r="K604" s="242"/>
      <c r="L604" s="242"/>
      <c r="M604" s="242"/>
      <c r="N604" s="242"/>
      <c r="O604" s="242"/>
    </row>
    <row r="605">
      <c r="A605" s="242"/>
      <c r="B605" s="242"/>
      <c r="C605" s="243"/>
      <c r="D605" s="242"/>
      <c r="E605" s="242"/>
      <c r="F605" s="242"/>
      <c r="G605" s="250"/>
      <c r="H605" s="251"/>
      <c r="I605" s="242"/>
      <c r="J605" s="242"/>
      <c r="K605" s="242"/>
      <c r="L605" s="242"/>
      <c r="M605" s="242"/>
      <c r="N605" s="242"/>
      <c r="O605" s="242"/>
    </row>
    <row r="606">
      <c r="A606" s="242"/>
      <c r="B606" s="242"/>
      <c r="C606" s="243"/>
      <c r="D606" s="242"/>
      <c r="E606" s="242"/>
      <c r="F606" s="242"/>
      <c r="G606" s="250"/>
      <c r="H606" s="251"/>
      <c r="I606" s="242"/>
      <c r="J606" s="242"/>
      <c r="K606" s="242"/>
      <c r="L606" s="242"/>
      <c r="M606" s="242"/>
      <c r="N606" s="242"/>
      <c r="O606" s="242"/>
    </row>
    <row r="607">
      <c r="A607" s="242"/>
      <c r="B607" s="242"/>
      <c r="C607" s="243"/>
      <c r="D607" s="242"/>
      <c r="E607" s="242"/>
      <c r="F607" s="242"/>
      <c r="G607" s="250"/>
      <c r="H607" s="251"/>
      <c r="I607" s="242"/>
      <c r="J607" s="242"/>
      <c r="K607" s="242"/>
      <c r="L607" s="242"/>
      <c r="M607" s="242"/>
      <c r="N607" s="242"/>
      <c r="O607" s="242"/>
    </row>
    <row r="608">
      <c r="A608" s="242"/>
      <c r="B608" s="242"/>
      <c r="C608" s="243"/>
      <c r="D608" s="242"/>
      <c r="E608" s="242"/>
      <c r="F608" s="242"/>
      <c r="G608" s="250"/>
      <c r="H608" s="251"/>
      <c r="I608" s="242"/>
      <c r="J608" s="242"/>
      <c r="K608" s="242"/>
      <c r="L608" s="242"/>
      <c r="M608" s="242"/>
      <c r="N608" s="242"/>
      <c r="O608" s="242"/>
    </row>
    <row r="609">
      <c r="A609" s="242"/>
      <c r="B609" s="242"/>
      <c r="C609" s="243"/>
      <c r="D609" s="242"/>
      <c r="E609" s="242"/>
      <c r="F609" s="242"/>
      <c r="G609" s="250"/>
      <c r="H609" s="251"/>
      <c r="I609" s="242"/>
      <c r="J609" s="242"/>
      <c r="K609" s="242"/>
      <c r="L609" s="242"/>
      <c r="M609" s="242"/>
      <c r="N609" s="242"/>
      <c r="O609" s="242"/>
    </row>
    <row r="610">
      <c r="A610" s="242"/>
      <c r="B610" s="242"/>
      <c r="C610" s="243"/>
      <c r="D610" s="242"/>
      <c r="E610" s="242"/>
      <c r="F610" s="242"/>
      <c r="G610" s="250"/>
      <c r="H610" s="251"/>
      <c r="I610" s="242"/>
      <c r="J610" s="242"/>
      <c r="K610" s="242"/>
      <c r="L610" s="242"/>
      <c r="M610" s="242"/>
      <c r="N610" s="242"/>
      <c r="O610" s="242"/>
    </row>
    <row r="611">
      <c r="A611" s="242"/>
      <c r="B611" s="242"/>
      <c r="C611" s="243"/>
      <c r="D611" s="242"/>
      <c r="E611" s="242"/>
      <c r="F611" s="242"/>
      <c r="G611" s="250"/>
      <c r="H611" s="251"/>
      <c r="I611" s="242"/>
      <c r="J611" s="242"/>
      <c r="K611" s="242"/>
      <c r="L611" s="242"/>
      <c r="M611" s="242"/>
      <c r="N611" s="242"/>
      <c r="O611" s="242"/>
    </row>
    <row r="612">
      <c r="A612" s="242"/>
      <c r="B612" s="242"/>
      <c r="C612" s="243"/>
      <c r="D612" s="242"/>
      <c r="E612" s="242"/>
      <c r="F612" s="242"/>
      <c r="G612" s="250"/>
      <c r="H612" s="251"/>
      <c r="I612" s="242"/>
      <c r="J612" s="242"/>
      <c r="K612" s="242"/>
      <c r="L612" s="242"/>
      <c r="M612" s="242"/>
      <c r="N612" s="242"/>
      <c r="O612" s="242"/>
    </row>
    <row r="613">
      <c r="A613" s="242"/>
      <c r="B613" s="242"/>
      <c r="C613" s="243"/>
      <c r="D613" s="242"/>
      <c r="E613" s="242"/>
      <c r="F613" s="242"/>
      <c r="G613" s="250"/>
      <c r="H613" s="251"/>
      <c r="I613" s="242"/>
      <c r="J613" s="242"/>
      <c r="K613" s="242"/>
      <c r="L613" s="242"/>
      <c r="M613" s="242"/>
      <c r="N613" s="242"/>
      <c r="O613" s="242"/>
    </row>
    <row r="614">
      <c r="A614" s="242"/>
      <c r="B614" s="242"/>
      <c r="C614" s="243"/>
      <c r="D614" s="242"/>
      <c r="E614" s="242"/>
      <c r="F614" s="242"/>
      <c r="G614" s="250"/>
      <c r="H614" s="251"/>
      <c r="I614" s="242"/>
      <c r="J614" s="242"/>
      <c r="K614" s="242"/>
      <c r="L614" s="242"/>
      <c r="M614" s="242"/>
      <c r="N614" s="242"/>
      <c r="O614" s="242"/>
    </row>
    <row r="615">
      <c r="A615" s="242"/>
      <c r="B615" s="242"/>
      <c r="C615" s="243"/>
      <c r="D615" s="242"/>
      <c r="E615" s="242"/>
      <c r="F615" s="242"/>
      <c r="G615" s="250"/>
      <c r="H615" s="251"/>
      <c r="I615" s="242"/>
      <c r="J615" s="242"/>
      <c r="K615" s="242"/>
      <c r="L615" s="242"/>
      <c r="M615" s="242"/>
      <c r="N615" s="242"/>
      <c r="O615" s="242"/>
    </row>
    <row r="616">
      <c r="A616" s="242"/>
      <c r="B616" s="242"/>
      <c r="C616" s="243"/>
      <c r="D616" s="242"/>
      <c r="E616" s="242"/>
      <c r="F616" s="242"/>
      <c r="G616" s="250"/>
      <c r="H616" s="251"/>
      <c r="I616" s="242"/>
      <c r="J616" s="242"/>
      <c r="K616" s="242"/>
      <c r="L616" s="242"/>
      <c r="M616" s="242"/>
      <c r="N616" s="242"/>
      <c r="O616" s="242"/>
    </row>
    <row r="617">
      <c r="A617" s="242"/>
      <c r="B617" s="242"/>
      <c r="C617" s="243"/>
      <c r="D617" s="242"/>
      <c r="E617" s="242"/>
      <c r="F617" s="242"/>
      <c r="G617" s="250"/>
      <c r="H617" s="251"/>
      <c r="I617" s="242"/>
      <c r="J617" s="242"/>
      <c r="K617" s="242"/>
      <c r="L617" s="242"/>
      <c r="M617" s="242"/>
      <c r="N617" s="242"/>
      <c r="O617" s="242"/>
    </row>
    <row r="618">
      <c r="A618" s="242"/>
      <c r="B618" s="242"/>
      <c r="C618" s="243"/>
      <c r="D618" s="242"/>
      <c r="E618" s="242"/>
      <c r="F618" s="242"/>
      <c r="G618" s="250"/>
      <c r="H618" s="251"/>
      <c r="I618" s="242"/>
      <c r="J618" s="242"/>
      <c r="K618" s="242"/>
      <c r="L618" s="242"/>
      <c r="M618" s="242"/>
      <c r="N618" s="242"/>
      <c r="O618" s="242"/>
    </row>
    <row r="619">
      <c r="A619" s="242"/>
      <c r="B619" s="242"/>
      <c r="C619" s="243"/>
      <c r="D619" s="242"/>
      <c r="E619" s="242"/>
      <c r="F619" s="242"/>
      <c r="G619" s="250"/>
      <c r="H619" s="251"/>
      <c r="I619" s="242"/>
      <c r="J619" s="242"/>
      <c r="K619" s="242"/>
      <c r="L619" s="242"/>
      <c r="M619" s="242"/>
      <c r="N619" s="242"/>
      <c r="O619" s="242"/>
    </row>
    <row r="620">
      <c r="A620" s="242"/>
      <c r="B620" s="242"/>
      <c r="C620" s="243"/>
      <c r="D620" s="242"/>
      <c r="E620" s="242"/>
      <c r="F620" s="242"/>
      <c r="G620" s="250"/>
      <c r="H620" s="251"/>
      <c r="I620" s="242"/>
      <c r="J620" s="242"/>
      <c r="K620" s="242"/>
      <c r="L620" s="242"/>
      <c r="M620" s="242"/>
      <c r="N620" s="242"/>
      <c r="O620" s="242"/>
    </row>
    <row r="621">
      <c r="A621" s="242"/>
      <c r="B621" s="242"/>
      <c r="C621" s="243"/>
      <c r="D621" s="242"/>
      <c r="E621" s="242"/>
      <c r="F621" s="242"/>
      <c r="G621" s="250"/>
      <c r="H621" s="251"/>
      <c r="I621" s="242"/>
      <c r="J621" s="242"/>
      <c r="K621" s="242"/>
      <c r="L621" s="242"/>
      <c r="M621" s="242"/>
      <c r="N621" s="242"/>
      <c r="O621" s="242"/>
    </row>
    <row r="622">
      <c r="A622" s="242"/>
      <c r="B622" s="242"/>
      <c r="C622" s="243"/>
      <c r="D622" s="242"/>
      <c r="E622" s="242"/>
      <c r="F622" s="242"/>
      <c r="G622" s="250"/>
      <c r="H622" s="251"/>
      <c r="I622" s="242"/>
      <c r="J622" s="242"/>
      <c r="K622" s="242"/>
      <c r="L622" s="242"/>
      <c r="M622" s="242"/>
      <c r="N622" s="242"/>
      <c r="O622" s="242"/>
    </row>
    <row r="623">
      <c r="A623" s="242"/>
      <c r="B623" s="242"/>
      <c r="C623" s="243"/>
      <c r="D623" s="242"/>
      <c r="E623" s="242"/>
      <c r="F623" s="242"/>
      <c r="G623" s="250"/>
      <c r="H623" s="251"/>
      <c r="I623" s="242"/>
      <c r="J623" s="242"/>
      <c r="K623" s="242"/>
      <c r="L623" s="242"/>
      <c r="M623" s="242"/>
      <c r="N623" s="242"/>
      <c r="O623" s="242"/>
    </row>
    <row r="624">
      <c r="A624" s="242"/>
      <c r="B624" s="242"/>
      <c r="C624" s="243"/>
      <c r="D624" s="242"/>
      <c r="E624" s="242"/>
      <c r="F624" s="242"/>
      <c r="G624" s="250"/>
      <c r="H624" s="251"/>
      <c r="I624" s="242"/>
      <c r="J624" s="242"/>
      <c r="K624" s="242"/>
      <c r="L624" s="242"/>
      <c r="M624" s="242"/>
      <c r="N624" s="242"/>
      <c r="O624" s="242"/>
    </row>
    <row r="625">
      <c r="A625" s="242"/>
      <c r="B625" s="242"/>
      <c r="C625" s="243"/>
      <c r="D625" s="242"/>
      <c r="E625" s="242"/>
      <c r="F625" s="242"/>
      <c r="G625" s="250"/>
      <c r="H625" s="251"/>
      <c r="I625" s="242"/>
      <c r="J625" s="242"/>
      <c r="K625" s="242"/>
      <c r="L625" s="242"/>
      <c r="M625" s="242"/>
      <c r="N625" s="242"/>
      <c r="O625" s="242"/>
    </row>
    <row r="626">
      <c r="A626" s="242"/>
      <c r="B626" s="242"/>
      <c r="C626" s="243"/>
      <c r="D626" s="242"/>
      <c r="E626" s="242"/>
      <c r="F626" s="242"/>
      <c r="G626" s="250"/>
      <c r="H626" s="251"/>
      <c r="I626" s="242"/>
      <c r="J626" s="242"/>
      <c r="K626" s="242"/>
      <c r="L626" s="242"/>
      <c r="M626" s="242"/>
      <c r="N626" s="242"/>
      <c r="O626" s="242"/>
    </row>
    <row r="627">
      <c r="A627" s="242"/>
      <c r="B627" s="242"/>
      <c r="C627" s="243"/>
      <c r="D627" s="242"/>
      <c r="E627" s="242"/>
      <c r="F627" s="242"/>
      <c r="G627" s="250"/>
      <c r="H627" s="251"/>
      <c r="I627" s="242"/>
      <c r="J627" s="242"/>
      <c r="K627" s="242"/>
      <c r="L627" s="242"/>
      <c r="M627" s="242"/>
      <c r="N627" s="242"/>
      <c r="O627" s="242"/>
    </row>
    <row r="628">
      <c r="A628" s="242"/>
      <c r="B628" s="242"/>
      <c r="C628" s="243"/>
      <c r="D628" s="242"/>
      <c r="E628" s="242"/>
      <c r="F628" s="242"/>
      <c r="G628" s="250"/>
      <c r="H628" s="251"/>
      <c r="I628" s="242"/>
      <c r="J628" s="242"/>
      <c r="K628" s="242"/>
      <c r="L628" s="242"/>
      <c r="M628" s="242"/>
      <c r="N628" s="242"/>
      <c r="O628" s="242"/>
    </row>
    <row r="629">
      <c r="A629" s="242"/>
      <c r="B629" s="242"/>
      <c r="C629" s="243"/>
      <c r="D629" s="242"/>
      <c r="E629" s="242"/>
      <c r="F629" s="242"/>
      <c r="G629" s="250"/>
      <c r="H629" s="251"/>
      <c r="I629" s="242"/>
      <c r="J629" s="242"/>
      <c r="K629" s="242"/>
      <c r="L629" s="242"/>
      <c r="M629" s="242"/>
      <c r="N629" s="242"/>
      <c r="O629" s="242"/>
    </row>
    <row r="630">
      <c r="A630" s="242"/>
      <c r="B630" s="242"/>
      <c r="C630" s="243"/>
      <c r="D630" s="242"/>
      <c r="E630" s="242"/>
      <c r="F630" s="242"/>
      <c r="G630" s="250"/>
      <c r="H630" s="251"/>
      <c r="I630" s="242"/>
      <c r="J630" s="242"/>
      <c r="K630" s="242"/>
      <c r="L630" s="242"/>
      <c r="M630" s="242"/>
      <c r="N630" s="242"/>
      <c r="O630" s="242"/>
    </row>
    <row r="631">
      <c r="A631" s="242"/>
      <c r="B631" s="242"/>
      <c r="C631" s="243"/>
      <c r="D631" s="242"/>
      <c r="E631" s="242"/>
      <c r="F631" s="242"/>
      <c r="G631" s="250"/>
      <c r="H631" s="251"/>
      <c r="I631" s="242"/>
      <c r="J631" s="242"/>
      <c r="K631" s="242"/>
      <c r="L631" s="242"/>
      <c r="M631" s="242"/>
      <c r="N631" s="242"/>
      <c r="O631" s="242"/>
    </row>
    <row r="632">
      <c r="A632" s="242"/>
      <c r="B632" s="242"/>
      <c r="C632" s="243"/>
      <c r="D632" s="242"/>
      <c r="E632" s="242"/>
      <c r="F632" s="242"/>
      <c r="G632" s="250"/>
      <c r="H632" s="251"/>
      <c r="I632" s="242"/>
      <c r="J632" s="242"/>
      <c r="K632" s="242"/>
      <c r="L632" s="242"/>
      <c r="M632" s="242"/>
      <c r="N632" s="242"/>
      <c r="O632" s="242"/>
    </row>
    <row r="633">
      <c r="A633" s="242"/>
      <c r="B633" s="242"/>
      <c r="C633" s="243"/>
      <c r="D633" s="242"/>
      <c r="E633" s="242"/>
      <c r="F633" s="242"/>
      <c r="G633" s="250"/>
      <c r="H633" s="251"/>
      <c r="I633" s="242"/>
      <c r="J633" s="242"/>
      <c r="K633" s="242"/>
      <c r="L633" s="242"/>
      <c r="M633" s="242"/>
      <c r="N633" s="242"/>
      <c r="O633" s="242"/>
    </row>
    <row r="634">
      <c r="A634" s="242"/>
      <c r="B634" s="242"/>
      <c r="C634" s="243"/>
      <c r="D634" s="242"/>
      <c r="E634" s="242"/>
      <c r="F634" s="242"/>
      <c r="G634" s="250"/>
      <c r="H634" s="251"/>
      <c r="I634" s="242"/>
      <c r="J634" s="242"/>
      <c r="K634" s="242"/>
      <c r="L634" s="242"/>
      <c r="M634" s="242"/>
      <c r="N634" s="242"/>
      <c r="O634" s="242"/>
    </row>
    <row r="635">
      <c r="A635" s="242"/>
      <c r="B635" s="242"/>
      <c r="C635" s="243"/>
      <c r="D635" s="242"/>
      <c r="E635" s="242"/>
      <c r="F635" s="242"/>
      <c r="G635" s="250"/>
      <c r="H635" s="251"/>
      <c r="I635" s="242"/>
      <c r="J635" s="242"/>
      <c r="K635" s="242"/>
      <c r="L635" s="242"/>
      <c r="M635" s="242"/>
      <c r="N635" s="242"/>
      <c r="O635" s="242"/>
    </row>
    <row r="636">
      <c r="A636" s="242"/>
      <c r="B636" s="242"/>
      <c r="C636" s="243"/>
      <c r="D636" s="242"/>
      <c r="E636" s="242"/>
      <c r="F636" s="242"/>
      <c r="G636" s="250"/>
      <c r="H636" s="251"/>
      <c r="I636" s="242"/>
      <c r="J636" s="242"/>
      <c r="K636" s="242"/>
      <c r="L636" s="242"/>
      <c r="M636" s="242"/>
      <c r="N636" s="242"/>
      <c r="O636" s="242"/>
    </row>
    <row r="637">
      <c r="A637" s="242"/>
      <c r="B637" s="242"/>
      <c r="C637" s="243"/>
      <c r="D637" s="242"/>
      <c r="E637" s="242"/>
      <c r="F637" s="242"/>
      <c r="G637" s="250"/>
      <c r="H637" s="251"/>
      <c r="I637" s="242"/>
      <c r="J637" s="242"/>
      <c r="K637" s="242"/>
      <c r="L637" s="242"/>
      <c r="M637" s="242"/>
      <c r="N637" s="242"/>
      <c r="O637" s="242"/>
    </row>
    <row r="638">
      <c r="A638" s="242"/>
      <c r="B638" s="242"/>
      <c r="C638" s="243"/>
      <c r="D638" s="242"/>
      <c r="E638" s="242"/>
      <c r="F638" s="242"/>
      <c r="G638" s="250"/>
      <c r="H638" s="251"/>
      <c r="I638" s="242"/>
      <c r="J638" s="242"/>
      <c r="K638" s="242"/>
      <c r="L638" s="242"/>
      <c r="M638" s="242"/>
      <c r="N638" s="242"/>
      <c r="O638" s="242"/>
    </row>
    <row r="639">
      <c r="A639" s="242"/>
      <c r="B639" s="242"/>
      <c r="C639" s="243"/>
      <c r="D639" s="242"/>
      <c r="E639" s="242"/>
      <c r="F639" s="242"/>
      <c r="G639" s="250"/>
      <c r="H639" s="251"/>
      <c r="I639" s="242"/>
      <c r="J639" s="242"/>
      <c r="K639" s="242"/>
      <c r="L639" s="242"/>
      <c r="M639" s="242"/>
      <c r="N639" s="242"/>
      <c r="O639" s="242"/>
    </row>
    <row r="640">
      <c r="A640" s="242"/>
      <c r="B640" s="242"/>
      <c r="C640" s="243"/>
      <c r="D640" s="242"/>
      <c r="E640" s="242"/>
      <c r="F640" s="242"/>
      <c r="G640" s="250"/>
      <c r="H640" s="251"/>
      <c r="I640" s="242"/>
      <c r="J640" s="242"/>
      <c r="K640" s="242"/>
      <c r="L640" s="242"/>
      <c r="M640" s="242"/>
      <c r="N640" s="242"/>
      <c r="O640" s="242"/>
    </row>
    <row r="641">
      <c r="A641" s="242"/>
      <c r="B641" s="242"/>
      <c r="C641" s="243"/>
      <c r="D641" s="242"/>
      <c r="E641" s="242"/>
      <c r="F641" s="242"/>
      <c r="G641" s="250"/>
      <c r="H641" s="251"/>
      <c r="I641" s="242"/>
      <c r="J641" s="242"/>
      <c r="K641" s="242"/>
      <c r="L641" s="242"/>
      <c r="M641" s="242"/>
      <c r="N641" s="242"/>
      <c r="O641" s="242"/>
    </row>
    <row r="642">
      <c r="A642" s="242"/>
      <c r="B642" s="242"/>
      <c r="C642" s="243"/>
      <c r="D642" s="242"/>
      <c r="E642" s="242"/>
      <c r="F642" s="242"/>
      <c r="G642" s="250"/>
      <c r="H642" s="251"/>
      <c r="I642" s="242"/>
      <c r="J642" s="242"/>
      <c r="K642" s="242"/>
      <c r="L642" s="242"/>
      <c r="M642" s="242"/>
      <c r="N642" s="242"/>
      <c r="O642" s="242"/>
    </row>
    <row r="643">
      <c r="A643" s="242"/>
      <c r="B643" s="242"/>
      <c r="C643" s="243"/>
      <c r="D643" s="242"/>
      <c r="E643" s="242"/>
      <c r="F643" s="242"/>
      <c r="G643" s="250"/>
      <c r="H643" s="251"/>
      <c r="I643" s="242"/>
      <c r="J643" s="242"/>
      <c r="K643" s="242"/>
      <c r="L643" s="242"/>
      <c r="M643" s="242"/>
      <c r="N643" s="242"/>
      <c r="O643" s="242"/>
    </row>
    <row r="644">
      <c r="A644" s="242"/>
      <c r="B644" s="242"/>
      <c r="C644" s="243"/>
      <c r="D644" s="242"/>
      <c r="E644" s="242"/>
      <c r="F644" s="242"/>
      <c r="G644" s="250"/>
      <c r="H644" s="251"/>
      <c r="I644" s="242"/>
      <c r="J644" s="242"/>
      <c r="K644" s="242"/>
      <c r="L644" s="242"/>
      <c r="M644" s="242"/>
      <c r="N644" s="242"/>
      <c r="O644" s="242"/>
    </row>
    <row r="645">
      <c r="A645" s="242"/>
      <c r="B645" s="242"/>
      <c r="C645" s="243"/>
      <c r="D645" s="242"/>
      <c r="E645" s="242"/>
      <c r="F645" s="242"/>
      <c r="G645" s="250"/>
      <c r="H645" s="251"/>
      <c r="I645" s="242"/>
      <c r="J645" s="242"/>
      <c r="K645" s="242"/>
      <c r="L645" s="242"/>
      <c r="M645" s="242"/>
      <c r="N645" s="242"/>
      <c r="O645" s="242"/>
    </row>
    <row r="646">
      <c r="A646" s="242"/>
      <c r="B646" s="242"/>
      <c r="C646" s="243"/>
      <c r="D646" s="242"/>
      <c r="E646" s="242"/>
      <c r="F646" s="242"/>
      <c r="G646" s="250"/>
      <c r="H646" s="251"/>
      <c r="I646" s="242"/>
      <c r="J646" s="242"/>
      <c r="K646" s="242"/>
      <c r="L646" s="242"/>
      <c r="M646" s="242"/>
      <c r="N646" s="242"/>
      <c r="O646" s="242"/>
    </row>
    <row r="647">
      <c r="A647" s="242"/>
      <c r="B647" s="242"/>
      <c r="C647" s="243"/>
      <c r="D647" s="242"/>
      <c r="E647" s="242"/>
      <c r="F647" s="242"/>
      <c r="G647" s="250"/>
      <c r="H647" s="251"/>
      <c r="I647" s="242"/>
      <c r="J647" s="242"/>
      <c r="K647" s="242"/>
      <c r="L647" s="242"/>
      <c r="M647" s="242"/>
      <c r="N647" s="242"/>
      <c r="O647" s="242"/>
    </row>
    <row r="648">
      <c r="A648" s="242"/>
      <c r="B648" s="242"/>
      <c r="C648" s="243"/>
      <c r="D648" s="242"/>
      <c r="E648" s="242"/>
      <c r="F648" s="242"/>
      <c r="G648" s="250"/>
      <c r="H648" s="251"/>
      <c r="I648" s="242"/>
      <c r="J648" s="242"/>
      <c r="K648" s="242"/>
      <c r="L648" s="242"/>
      <c r="M648" s="242"/>
      <c r="N648" s="242"/>
      <c r="O648" s="242"/>
    </row>
    <row r="649">
      <c r="A649" s="242"/>
      <c r="B649" s="242"/>
      <c r="C649" s="243"/>
      <c r="D649" s="242"/>
      <c r="E649" s="242"/>
      <c r="F649" s="242"/>
      <c r="G649" s="250"/>
      <c r="H649" s="251"/>
      <c r="I649" s="242"/>
      <c r="J649" s="242"/>
      <c r="K649" s="242"/>
      <c r="L649" s="242"/>
      <c r="M649" s="242"/>
      <c r="N649" s="242"/>
      <c r="O649" s="242"/>
    </row>
    <row r="650">
      <c r="A650" s="242"/>
      <c r="B650" s="242"/>
      <c r="C650" s="243"/>
      <c r="D650" s="242"/>
      <c r="E650" s="242"/>
      <c r="F650" s="242"/>
      <c r="G650" s="250"/>
      <c r="H650" s="251"/>
      <c r="I650" s="242"/>
      <c r="J650" s="242"/>
      <c r="K650" s="242"/>
      <c r="L650" s="242"/>
      <c r="M650" s="242"/>
      <c r="N650" s="242"/>
      <c r="O650" s="242"/>
    </row>
    <row r="651">
      <c r="A651" s="242"/>
      <c r="B651" s="242"/>
      <c r="C651" s="243"/>
      <c r="D651" s="242"/>
      <c r="E651" s="242"/>
      <c r="F651" s="242"/>
      <c r="G651" s="250"/>
      <c r="H651" s="251"/>
      <c r="I651" s="242"/>
      <c r="J651" s="242"/>
      <c r="K651" s="242"/>
      <c r="L651" s="242"/>
      <c r="M651" s="242"/>
      <c r="N651" s="242"/>
      <c r="O651" s="242"/>
    </row>
    <row r="652">
      <c r="A652" s="242"/>
      <c r="B652" s="242"/>
      <c r="C652" s="243"/>
      <c r="D652" s="242"/>
      <c r="E652" s="242"/>
      <c r="F652" s="242"/>
      <c r="G652" s="250"/>
      <c r="H652" s="251"/>
      <c r="I652" s="242"/>
      <c r="J652" s="242"/>
      <c r="K652" s="242"/>
      <c r="L652" s="242"/>
      <c r="M652" s="242"/>
      <c r="N652" s="242"/>
      <c r="O652" s="242"/>
    </row>
    <row r="653">
      <c r="A653" s="242"/>
      <c r="B653" s="242"/>
      <c r="C653" s="243"/>
      <c r="D653" s="242"/>
      <c r="E653" s="242"/>
      <c r="F653" s="242"/>
      <c r="G653" s="250"/>
      <c r="H653" s="251"/>
      <c r="I653" s="242"/>
      <c r="J653" s="242"/>
      <c r="K653" s="242"/>
      <c r="L653" s="242"/>
      <c r="M653" s="242"/>
      <c r="N653" s="242"/>
      <c r="O653" s="242"/>
    </row>
    <row r="654">
      <c r="A654" s="242"/>
      <c r="B654" s="242"/>
      <c r="C654" s="243"/>
      <c r="D654" s="242"/>
      <c r="E654" s="242"/>
      <c r="F654" s="242"/>
      <c r="G654" s="250"/>
      <c r="H654" s="251"/>
      <c r="I654" s="242"/>
      <c r="J654" s="242"/>
      <c r="K654" s="242"/>
      <c r="L654" s="242"/>
      <c r="M654" s="242"/>
      <c r="N654" s="242"/>
      <c r="O654" s="242"/>
    </row>
    <row r="655">
      <c r="A655" s="242"/>
      <c r="B655" s="242"/>
      <c r="C655" s="243"/>
      <c r="D655" s="242"/>
      <c r="E655" s="242"/>
      <c r="F655" s="242"/>
      <c r="G655" s="250"/>
      <c r="H655" s="251"/>
      <c r="I655" s="242"/>
      <c r="J655" s="242"/>
      <c r="K655" s="242"/>
      <c r="L655" s="242"/>
      <c r="M655" s="242"/>
      <c r="N655" s="242"/>
      <c r="O655" s="242"/>
    </row>
    <row r="656">
      <c r="A656" s="242"/>
      <c r="B656" s="242"/>
      <c r="C656" s="243"/>
      <c r="D656" s="242"/>
      <c r="E656" s="242"/>
      <c r="F656" s="242"/>
      <c r="G656" s="250"/>
      <c r="H656" s="251"/>
      <c r="I656" s="242"/>
      <c r="J656" s="242"/>
      <c r="K656" s="242"/>
      <c r="L656" s="242"/>
      <c r="M656" s="242"/>
      <c r="N656" s="242"/>
      <c r="O656" s="242"/>
    </row>
    <row r="657">
      <c r="A657" s="242"/>
      <c r="B657" s="242"/>
      <c r="C657" s="243"/>
      <c r="D657" s="242"/>
      <c r="E657" s="242"/>
      <c r="F657" s="242"/>
      <c r="G657" s="250"/>
      <c r="H657" s="251"/>
      <c r="I657" s="242"/>
      <c r="J657" s="242"/>
      <c r="K657" s="242"/>
      <c r="L657" s="242"/>
      <c r="M657" s="242"/>
      <c r="N657" s="242"/>
      <c r="O657" s="242"/>
    </row>
    <row r="658">
      <c r="A658" s="242"/>
      <c r="B658" s="242"/>
      <c r="C658" s="243"/>
      <c r="D658" s="242"/>
      <c r="E658" s="242"/>
      <c r="F658" s="242"/>
      <c r="G658" s="250"/>
      <c r="H658" s="251"/>
      <c r="I658" s="242"/>
      <c r="J658" s="242"/>
      <c r="K658" s="242"/>
      <c r="L658" s="242"/>
      <c r="M658" s="242"/>
      <c r="N658" s="242"/>
      <c r="O658" s="242"/>
    </row>
    <row r="659">
      <c r="A659" s="242"/>
      <c r="B659" s="242"/>
      <c r="C659" s="243"/>
      <c r="D659" s="242"/>
      <c r="E659" s="242"/>
      <c r="F659" s="242"/>
      <c r="G659" s="250"/>
      <c r="H659" s="251"/>
      <c r="I659" s="242"/>
      <c r="J659" s="242"/>
      <c r="K659" s="242"/>
      <c r="L659" s="242"/>
      <c r="M659" s="242"/>
      <c r="N659" s="242"/>
      <c r="O659" s="242"/>
    </row>
    <row r="660">
      <c r="A660" s="242"/>
      <c r="B660" s="242"/>
      <c r="C660" s="243"/>
      <c r="D660" s="242"/>
      <c r="E660" s="242"/>
      <c r="F660" s="242"/>
      <c r="G660" s="250"/>
      <c r="H660" s="251"/>
      <c r="I660" s="242"/>
      <c r="J660" s="242"/>
      <c r="K660" s="242"/>
      <c r="L660" s="242"/>
      <c r="M660" s="242"/>
      <c r="N660" s="242"/>
      <c r="O660" s="242"/>
    </row>
    <row r="661">
      <c r="A661" s="242"/>
      <c r="B661" s="242"/>
      <c r="C661" s="243"/>
      <c r="D661" s="242"/>
      <c r="E661" s="242"/>
      <c r="F661" s="242"/>
      <c r="G661" s="250"/>
      <c r="H661" s="251"/>
      <c r="I661" s="242"/>
      <c r="J661" s="242"/>
      <c r="K661" s="242"/>
      <c r="L661" s="242"/>
      <c r="M661" s="242"/>
      <c r="N661" s="242"/>
      <c r="O661" s="242"/>
    </row>
    <row r="662">
      <c r="A662" s="242"/>
      <c r="B662" s="242"/>
      <c r="C662" s="243"/>
      <c r="D662" s="242"/>
      <c r="E662" s="242"/>
      <c r="F662" s="242"/>
      <c r="G662" s="250"/>
      <c r="H662" s="251"/>
      <c r="I662" s="242"/>
      <c r="J662" s="242"/>
      <c r="K662" s="242"/>
      <c r="L662" s="242"/>
      <c r="M662" s="242"/>
      <c r="N662" s="242"/>
      <c r="O662" s="242"/>
    </row>
    <row r="663">
      <c r="A663" s="242"/>
      <c r="B663" s="242"/>
      <c r="C663" s="243"/>
      <c r="D663" s="242"/>
      <c r="E663" s="242"/>
      <c r="F663" s="242"/>
      <c r="G663" s="250"/>
      <c r="H663" s="251"/>
      <c r="I663" s="242"/>
      <c r="J663" s="242"/>
      <c r="K663" s="242"/>
      <c r="L663" s="242"/>
      <c r="M663" s="242"/>
      <c r="N663" s="242"/>
      <c r="O663" s="242"/>
    </row>
    <row r="664">
      <c r="A664" s="242"/>
      <c r="B664" s="242"/>
      <c r="C664" s="243"/>
      <c r="D664" s="242"/>
      <c r="E664" s="242"/>
      <c r="F664" s="242"/>
      <c r="G664" s="250"/>
      <c r="H664" s="251"/>
      <c r="I664" s="242"/>
      <c r="J664" s="242"/>
      <c r="K664" s="242"/>
      <c r="L664" s="242"/>
      <c r="M664" s="242"/>
      <c r="N664" s="242"/>
      <c r="O664" s="242"/>
    </row>
    <row r="665">
      <c r="A665" s="242"/>
      <c r="B665" s="242"/>
      <c r="C665" s="243"/>
      <c r="D665" s="242"/>
      <c r="E665" s="242"/>
      <c r="F665" s="242"/>
      <c r="G665" s="250"/>
      <c r="H665" s="251"/>
      <c r="I665" s="242"/>
      <c r="J665" s="242"/>
      <c r="K665" s="242"/>
      <c r="L665" s="242"/>
      <c r="M665" s="242"/>
      <c r="N665" s="242"/>
      <c r="O665" s="242"/>
    </row>
    <row r="666">
      <c r="A666" s="242"/>
      <c r="B666" s="242"/>
      <c r="C666" s="243"/>
      <c r="D666" s="242"/>
      <c r="E666" s="242"/>
      <c r="F666" s="242"/>
      <c r="G666" s="250"/>
      <c r="H666" s="251"/>
      <c r="I666" s="242"/>
      <c r="J666" s="242"/>
      <c r="K666" s="242"/>
      <c r="L666" s="242"/>
      <c r="M666" s="242"/>
      <c r="N666" s="242"/>
      <c r="O666" s="242"/>
    </row>
    <row r="667">
      <c r="A667" s="242"/>
      <c r="B667" s="242"/>
      <c r="C667" s="243"/>
      <c r="D667" s="242"/>
      <c r="E667" s="242"/>
      <c r="F667" s="242"/>
      <c r="G667" s="250"/>
      <c r="H667" s="251"/>
      <c r="I667" s="242"/>
      <c r="J667" s="242"/>
      <c r="K667" s="242"/>
      <c r="L667" s="242"/>
      <c r="M667" s="242"/>
      <c r="N667" s="242"/>
      <c r="O667" s="242"/>
    </row>
    <row r="668">
      <c r="A668" s="242"/>
      <c r="B668" s="242"/>
      <c r="C668" s="243"/>
      <c r="D668" s="242"/>
      <c r="E668" s="242"/>
      <c r="F668" s="242"/>
      <c r="G668" s="250"/>
      <c r="H668" s="251"/>
      <c r="I668" s="242"/>
      <c r="J668" s="242"/>
      <c r="K668" s="242"/>
      <c r="L668" s="242"/>
      <c r="M668" s="242"/>
      <c r="N668" s="242"/>
      <c r="O668" s="242"/>
    </row>
    <row r="669">
      <c r="A669" s="242"/>
      <c r="B669" s="242"/>
      <c r="C669" s="243"/>
      <c r="D669" s="242"/>
      <c r="E669" s="242"/>
      <c r="F669" s="242"/>
      <c r="G669" s="250"/>
      <c r="H669" s="251"/>
      <c r="I669" s="242"/>
      <c r="J669" s="242"/>
      <c r="K669" s="242"/>
      <c r="L669" s="242"/>
      <c r="M669" s="242"/>
      <c r="N669" s="242"/>
      <c r="O669" s="242"/>
    </row>
    <row r="670">
      <c r="A670" s="242"/>
      <c r="B670" s="242"/>
      <c r="C670" s="243"/>
      <c r="D670" s="242"/>
      <c r="E670" s="242"/>
      <c r="F670" s="242"/>
      <c r="G670" s="250"/>
      <c r="H670" s="251"/>
      <c r="I670" s="242"/>
      <c r="J670" s="242"/>
      <c r="K670" s="242"/>
      <c r="L670" s="242"/>
      <c r="M670" s="242"/>
      <c r="N670" s="242"/>
      <c r="O670" s="242"/>
    </row>
    <row r="671">
      <c r="A671" s="242"/>
      <c r="B671" s="242"/>
      <c r="C671" s="243"/>
      <c r="D671" s="242"/>
      <c r="E671" s="242"/>
      <c r="F671" s="242"/>
      <c r="G671" s="250"/>
      <c r="H671" s="251"/>
      <c r="I671" s="242"/>
      <c r="J671" s="242"/>
      <c r="K671" s="242"/>
      <c r="L671" s="242"/>
      <c r="M671" s="242"/>
      <c r="N671" s="242"/>
      <c r="O671" s="242"/>
    </row>
    <row r="672">
      <c r="A672" s="242"/>
      <c r="B672" s="242"/>
      <c r="C672" s="243"/>
      <c r="D672" s="242"/>
      <c r="E672" s="242"/>
      <c r="F672" s="242"/>
      <c r="G672" s="250"/>
      <c r="H672" s="251"/>
      <c r="I672" s="242"/>
      <c r="J672" s="242"/>
      <c r="K672" s="242"/>
      <c r="L672" s="242"/>
      <c r="M672" s="242"/>
      <c r="N672" s="242"/>
      <c r="O672" s="242"/>
    </row>
    <row r="673">
      <c r="A673" s="242"/>
      <c r="B673" s="242"/>
      <c r="C673" s="243"/>
      <c r="D673" s="242"/>
      <c r="E673" s="242"/>
      <c r="F673" s="242"/>
      <c r="G673" s="250"/>
      <c r="H673" s="251"/>
      <c r="I673" s="242"/>
      <c r="J673" s="242"/>
      <c r="K673" s="242"/>
      <c r="L673" s="242"/>
      <c r="M673" s="242"/>
      <c r="N673" s="242"/>
      <c r="O673" s="242"/>
    </row>
    <row r="674">
      <c r="A674" s="242"/>
      <c r="B674" s="242"/>
      <c r="C674" s="243"/>
      <c r="D674" s="242"/>
      <c r="E674" s="242"/>
      <c r="F674" s="242"/>
      <c r="G674" s="250"/>
      <c r="H674" s="251"/>
      <c r="I674" s="242"/>
      <c r="J674" s="242"/>
      <c r="K674" s="242"/>
      <c r="L674" s="242"/>
      <c r="M674" s="242"/>
      <c r="N674" s="242"/>
      <c r="O674" s="242"/>
    </row>
    <row r="675">
      <c r="A675" s="242"/>
      <c r="B675" s="242"/>
      <c r="C675" s="243"/>
      <c r="D675" s="242"/>
      <c r="E675" s="242"/>
      <c r="F675" s="242"/>
      <c r="G675" s="250"/>
      <c r="H675" s="251"/>
      <c r="I675" s="242"/>
      <c r="J675" s="242"/>
      <c r="K675" s="242"/>
      <c r="L675" s="242"/>
      <c r="M675" s="242"/>
      <c r="N675" s="242"/>
      <c r="O675" s="242"/>
    </row>
    <row r="676">
      <c r="A676" s="242"/>
      <c r="B676" s="242"/>
      <c r="C676" s="243"/>
      <c r="D676" s="242"/>
      <c r="E676" s="242"/>
      <c r="F676" s="242"/>
      <c r="G676" s="250"/>
      <c r="H676" s="251"/>
      <c r="I676" s="242"/>
      <c r="J676" s="242"/>
      <c r="K676" s="242"/>
      <c r="L676" s="242"/>
      <c r="M676" s="242"/>
      <c r="N676" s="242"/>
      <c r="O676" s="242"/>
    </row>
    <row r="677">
      <c r="A677" s="242"/>
      <c r="B677" s="242"/>
      <c r="C677" s="243"/>
      <c r="D677" s="242"/>
      <c r="E677" s="242"/>
      <c r="F677" s="242"/>
      <c r="G677" s="250"/>
      <c r="H677" s="251"/>
      <c r="I677" s="242"/>
      <c r="J677" s="242"/>
      <c r="K677" s="242"/>
      <c r="L677" s="242"/>
      <c r="M677" s="242"/>
      <c r="N677" s="242"/>
      <c r="O677" s="242"/>
    </row>
    <row r="678">
      <c r="A678" s="242"/>
      <c r="B678" s="242"/>
      <c r="C678" s="243"/>
      <c r="D678" s="242"/>
      <c r="E678" s="242"/>
      <c r="F678" s="242"/>
      <c r="G678" s="250"/>
      <c r="H678" s="251"/>
      <c r="I678" s="242"/>
      <c r="J678" s="242"/>
      <c r="K678" s="242"/>
      <c r="L678" s="242"/>
      <c r="M678" s="242"/>
      <c r="N678" s="242"/>
      <c r="O678" s="242"/>
    </row>
    <row r="679">
      <c r="A679" s="242"/>
      <c r="B679" s="242"/>
      <c r="C679" s="243"/>
      <c r="D679" s="242"/>
      <c r="E679" s="242"/>
      <c r="F679" s="242"/>
      <c r="G679" s="250"/>
      <c r="H679" s="251"/>
      <c r="I679" s="242"/>
      <c r="J679" s="242"/>
      <c r="K679" s="242"/>
      <c r="L679" s="242"/>
      <c r="M679" s="242"/>
      <c r="N679" s="242"/>
      <c r="O679" s="242"/>
    </row>
    <row r="680">
      <c r="A680" s="242"/>
      <c r="B680" s="242"/>
      <c r="C680" s="243"/>
      <c r="D680" s="242"/>
      <c r="E680" s="242"/>
      <c r="F680" s="242"/>
      <c r="G680" s="250"/>
      <c r="H680" s="251"/>
      <c r="I680" s="242"/>
      <c r="J680" s="242"/>
      <c r="K680" s="242"/>
      <c r="L680" s="242"/>
      <c r="M680" s="242"/>
      <c r="N680" s="242"/>
      <c r="O680" s="242"/>
    </row>
    <row r="681">
      <c r="A681" s="242"/>
      <c r="B681" s="242"/>
      <c r="C681" s="243"/>
      <c r="D681" s="242"/>
      <c r="E681" s="242"/>
      <c r="F681" s="242"/>
      <c r="G681" s="250"/>
      <c r="H681" s="251"/>
      <c r="I681" s="242"/>
      <c r="J681" s="242"/>
      <c r="K681" s="242"/>
      <c r="L681" s="242"/>
      <c r="M681" s="242"/>
      <c r="N681" s="242"/>
      <c r="O681" s="242"/>
    </row>
    <row r="682">
      <c r="A682" s="242"/>
      <c r="B682" s="242"/>
      <c r="C682" s="243"/>
      <c r="D682" s="242"/>
      <c r="E682" s="242"/>
      <c r="F682" s="242"/>
      <c r="G682" s="250"/>
      <c r="H682" s="251"/>
      <c r="I682" s="242"/>
      <c r="J682" s="242"/>
      <c r="K682" s="242"/>
      <c r="L682" s="242"/>
      <c r="M682" s="242"/>
      <c r="N682" s="242"/>
      <c r="O682" s="242"/>
    </row>
    <row r="683">
      <c r="A683" s="242"/>
      <c r="B683" s="242"/>
      <c r="C683" s="243"/>
      <c r="D683" s="242"/>
      <c r="E683" s="242"/>
      <c r="F683" s="242"/>
      <c r="G683" s="250"/>
      <c r="H683" s="251"/>
      <c r="I683" s="242"/>
      <c r="J683" s="242"/>
      <c r="K683" s="242"/>
      <c r="L683" s="242"/>
      <c r="M683" s="242"/>
      <c r="N683" s="242"/>
      <c r="O683" s="242"/>
    </row>
    <row r="684">
      <c r="A684" s="242"/>
      <c r="B684" s="242"/>
      <c r="C684" s="243"/>
      <c r="D684" s="242"/>
      <c r="E684" s="242"/>
      <c r="F684" s="242"/>
      <c r="G684" s="250"/>
      <c r="H684" s="251"/>
      <c r="I684" s="242"/>
      <c r="J684" s="242"/>
      <c r="K684" s="242"/>
      <c r="L684" s="242"/>
      <c r="M684" s="242"/>
      <c r="N684" s="242"/>
      <c r="O684" s="242"/>
    </row>
    <row r="685">
      <c r="A685" s="242"/>
      <c r="B685" s="242"/>
      <c r="C685" s="243"/>
      <c r="D685" s="242"/>
      <c r="E685" s="242"/>
      <c r="F685" s="242"/>
      <c r="G685" s="250"/>
      <c r="H685" s="251"/>
      <c r="I685" s="242"/>
      <c r="J685" s="242"/>
      <c r="K685" s="242"/>
      <c r="L685" s="242"/>
      <c r="M685" s="242"/>
      <c r="N685" s="242"/>
      <c r="O685" s="242"/>
    </row>
    <row r="686">
      <c r="A686" s="242"/>
      <c r="B686" s="242"/>
      <c r="C686" s="243"/>
      <c r="D686" s="242"/>
      <c r="E686" s="242"/>
      <c r="F686" s="242"/>
      <c r="G686" s="250"/>
      <c r="H686" s="251"/>
      <c r="I686" s="242"/>
      <c r="J686" s="242"/>
      <c r="K686" s="242"/>
      <c r="L686" s="242"/>
      <c r="M686" s="242"/>
      <c r="N686" s="242"/>
      <c r="O686" s="242"/>
    </row>
    <row r="687">
      <c r="A687" s="242"/>
      <c r="B687" s="242"/>
      <c r="C687" s="243"/>
      <c r="D687" s="242"/>
      <c r="E687" s="242"/>
      <c r="F687" s="242"/>
      <c r="G687" s="250"/>
      <c r="H687" s="251"/>
      <c r="I687" s="242"/>
      <c r="J687" s="242"/>
      <c r="K687" s="242"/>
      <c r="L687" s="242"/>
      <c r="M687" s="242"/>
      <c r="N687" s="242"/>
      <c r="O687" s="242"/>
    </row>
    <row r="688">
      <c r="A688" s="242"/>
      <c r="B688" s="242"/>
      <c r="C688" s="243"/>
      <c r="D688" s="242"/>
      <c r="E688" s="242"/>
      <c r="F688" s="242"/>
      <c r="G688" s="250"/>
      <c r="H688" s="251"/>
      <c r="I688" s="242"/>
      <c r="J688" s="242"/>
      <c r="K688" s="242"/>
      <c r="L688" s="242"/>
      <c r="M688" s="242"/>
      <c r="N688" s="242"/>
      <c r="O688" s="242"/>
    </row>
    <row r="689">
      <c r="A689" s="242"/>
      <c r="B689" s="242"/>
      <c r="C689" s="243"/>
      <c r="D689" s="242"/>
      <c r="E689" s="242"/>
      <c r="F689" s="242"/>
      <c r="G689" s="250"/>
      <c r="H689" s="251"/>
      <c r="I689" s="242"/>
      <c r="J689" s="242"/>
      <c r="K689" s="242"/>
      <c r="L689" s="242"/>
      <c r="M689" s="242"/>
      <c r="N689" s="242"/>
      <c r="O689" s="242"/>
    </row>
    <row r="690">
      <c r="A690" s="242"/>
      <c r="B690" s="242"/>
      <c r="C690" s="243"/>
      <c r="D690" s="242"/>
      <c r="E690" s="242"/>
      <c r="F690" s="242"/>
      <c r="G690" s="250"/>
      <c r="H690" s="251"/>
      <c r="I690" s="242"/>
      <c r="J690" s="242"/>
      <c r="K690" s="242"/>
      <c r="L690" s="242"/>
      <c r="M690" s="242"/>
      <c r="N690" s="242"/>
      <c r="O690" s="242"/>
    </row>
    <row r="691">
      <c r="A691" s="242"/>
      <c r="B691" s="242"/>
      <c r="C691" s="243"/>
      <c r="D691" s="242"/>
      <c r="E691" s="242"/>
      <c r="F691" s="242"/>
      <c r="G691" s="250"/>
      <c r="H691" s="251"/>
      <c r="I691" s="242"/>
      <c r="J691" s="242"/>
      <c r="K691" s="242"/>
      <c r="L691" s="242"/>
      <c r="M691" s="242"/>
      <c r="N691" s="242"/>
      <c r="O691" s="242"/>
    </row>
    <row r="692">
      <c r="A692" s="242"/>
      <c r="B692" s="242"/>
      <c r="C692" s="243"/>
      <c r="D692" s="242"/>
      <c r="E692" s="242"/>
      <c r="F692" s="242"/>
      <c r="G692" s="250"/>
      <c r="H692" s="251"/>
      <c r="I692" s="242"/>
      <c r="J692" s="242"/>
      <c r="K692" s="242"/>
      <c r="L692" s="242"/>
      <c r="M692" s="242"/>
      <c r="N692" s="242"/>
      <c r="O692" s="242"/>
    </row>
    <row r="693">
      <c r="A693" s="242"/>
      <c r="B693" s="242"/>
      <c r="C693" s="243"/>
      <c r="D693" s="242"/>
      <c r="E693" s="242"/>
      <c r="F693" s="242"/>
      <c r="G693" s="250"/>
      <c r="H693" s="251"/>
      <c r="I693" s="242"/>
      <c r="J693" s="242"/>
      <c r="K693" s="242"/>
      <c r="L693" s="242"/>
      <c r="M693" s="242"/>
      <c r="N693" s="242"/>
      <c r="O693" s="242"/>
    </row>
    <row r="694">
      <c r="A694" s="242"/>
      <c r="B694" s="242"/>
      <c r="C694" s="243"/>
      <c r="D694" s="242"/>
      <c r="E694" s="242"/>
      <c r="F694" s="242"/>
      <c r="G694" s="250"/>
      <c r="H694" s="251"/>
      <c r="I694" s="242"/>
      <c r="J694" s="242"/>
      <c r="K694" s="242"/>
      <c r="L694" s="242"/>
      <c r="M694" s="242"/>
      <c r="N694" s="242"/>
      <c r="O694" s="242"/>
    </row>
    <row r="695">
      <c r="A695" s="242"/>
      <c r="B695" s="242"/>
      <c r="C695" s="243"/>
      <c r="D695" s="242"/>
      <c r="E695" s="242"/>
      <c r="F695" s="242"/>
      <c r="G695" s="250"/>
      <c r="H695" s="251"/>
      <c r="I695" s="242"/>
      <c r="J695" s="242"/>
      <c r="K695" s="242"/>
      <c r="L695" s="242"/>
      <c r="M695" s="242"/>
      <c r="N695" s="242"/>
      <c r="O695" s="242"/>
    </row>
    <row r="696">
      <c r="A696" s="242"/>
      <c r="B696" s="242"/>
      <c r="C696" s="243"/>
      <c r="D696" s="242"/>
      <c r="E696" s="242"/>
      <c r="F696" s="242"/>
      <c r="G696" s="250"/>
      <c r="H696" s="251"/>
      <c r="I696" s="242"/>
      <c r="J696" s="242"/>
      <c r="K696" s="242"/>
      <c r="L696" s="242"/>
      <c r="M696" s="242"/>
      <c r="N696" s="242"/>
      <c r="O696" s="242"/>
    </row>
    <row r="697">
      <c r="A697" s="242"/>
      <c r="B697" s="242"/>
      <c r="C697" s="243"/>
      <c r="D697" s="242"/>
      <c r="E697" s="242"/>
      <c r="F697" s="242"/>
      <c r="G697" s="250"/>
      <c r="H697" s="251"/>
      <c r="I697" s="242"/>
      <c r="J697" s="242"/>
      <c r="K697" s="242"/>
      <c r="L697" s="242"/>
      <c r="M697" s="242"/>
      <c r="N697" s="242"/>
      <c r="O697" s="242"/>
    </row>
    <row r="698">
      <c r="A698" s="242"/>
      <c r="B698" s="242"/>
      <c r="C698" s="243"/>
      <c r="D698" s="242"/>
      <c r="E698" s="242"/>
      <c r="F698" s="242"/>
      <c r="G698" s="250"/>
      <c r="H698" s="251"/>
      <c r="I698" s="242"/>
      <c r="J698" s="242"/>
      <c r="K698" s="242"/>
      <c r="L698" s="242"/>
      <c r="M698" s="242"/>
      <c r="N698" s="242"/>
      <c r="O698" s="242"/>
    </row>
    <row r="699">
      <c r="A699" s="242"/>
      <c r="B699" s="242"/>
      <c r="C699" s="243"/>
      <c r="D699" s="242"/>
      <c r="E699" s="242"/>
      <c r="F699" s="242"/>
      <c r="G699" s="250"/>
      <c r="H699" s="251"/>
      <c r="I699" s="242"/>
      <c r="J699" s="242"/>
      <c r="K699" s="242"/>
      <c r="L699" s="242"/>
      <c r="M699" s="242"/>
      <c r="N699" s="242"/>
      <c r="O699" s="242"/>
    </row>
    <row r="700">
      <c r="A700" s="242"/>
      <c r="B700" s="242"/>
      <c r="C700" s="243"/>
      <c r="D700" s="242"/>
      <c r="E700" s="242"/>
      <c r="F700" s="242"/>
      <c r="G700" s="250"/>
      <c r="H700" s="251"/>
      <c r="I700" s="242"/>
      <c r="J700" s="242"/>
      <c r="K700" s="242"/>
      <c r="L700" s="242"/>
      <c r="M700" s="242"/>
      <c r="N700" s="242"/>
      <c r="O700" s="242"/>
    </row>
    <row r="701">
      <c r="A701" s="242"/>
      <c r="B701" s="242"/>
      <c r="C701" s="243"/>
      <c r="D701" s="242"/>
      <c r="E701" s="242"/>
      <c r="F701" s="242"/>
      <c r="G701" s="250"/>
      <c r="H701" s="251"/>
      <c r="I701" s="242"/>
      <c r="J701" s="242"/>
      <c r="K701" s="242"/>
      <c r="L701" s="242"/>
      <c r="M701" s="242"/>
      <c r="N701" s="242"/>
      <c r="O701" s="242"/>
    </row>
    <row r="702">
      <c r="A702" s="242"/>
      <c r="B702" s="242"/>
      <c r="C702" s="243"/>
      <c r="D702" s="242"/>
      <c r="E702" s="242"/>
      <c r="F702" s="242"/>
      <c r="G702" s="250"/>
      <c r="H702" s="251"/>
      <c r="I702" s="242"/>
      <c r="J702" s="242"/>
      <c r="K702" s="242"/>
      <c r="L702" s="242"/>
      <c r="M702" s="242"/>
      <c r="N702" s="242"/>
      <c r="O702" s="242"/>
    </row>
    <row r="703">
      <c r="A703" s="242"/>
      <c r="B703" s="242"/>
      <c r="C703" s="243"/>
      <c r="D703" s="242"/>
      <c r="E703" s="242"/>
      <c r="F703" s="242"/>
      <c r="G703" s="250"/>
      <c r="H703" s="251"/>
      <c r="I703" s="242"/>
      <c r="J703" s="242"/>
      <c r="K703" s="242"/>
      <c r="L703" s="242"/>
      <c r="M703" s="242"/>
      <c r="N703" s="242"/>
      <c r="O703" s="242"/>
    </row>
    <row r="704">
      <c r="A704" s="242"/>
      <c r="B704" s="242"/>
      <c r="C704" s="243"/>
      <c r="D704" s="242"/>
      <c r="E704" s="242"/>
      <c r="F704" s="242"/>
      <c r="G704" s="250"/>
      <c r="H704" s="251"/>
      <c r="I704" s="242"/>
      <c r="J704" s="242"/>
      <c r="K704" s="242"/>
      <c r="L704" s="242"/>
      <c r="M704" s="242"/>
      <c r="N704" s="242"/>
      <c r="O704" s="242"/>
    </row>
    <row r="705">
      <c r="A705" s="242"/>
      <c r="B705" s="242"/>
      <c r="C705" s="243"/>
      <c r="D705" s="242"/>
      <c r="E705" s="242"/>
      <c r="F705" s="242"/>
      <c r="G705" s="250"/>
      <c r="H705" s="251"/>
      <c r="I705" s="242"/>
      <c r="J705" s="242"/>
      <c r="K705" s="242"/>
      <c r="L705" s="242"/>
      <c r="M705" s="242"/>
      <c r="N705" s="242"/>
      <c r="O705" s="242"/>
    </row>
    <row r="706">
      <c r="A706" s="242"/>
      <c r="B706" s="242"/>
      <c r="C706" s="243"/>
      <c r="D706" s="242"/>
      <c r="E706" s="242"/>
      <c r="F706" s="242"/>
      <c r="G706" s="250"/>
      <c r="H706" s="251"/>
      <c r="I706" s="242"/>
      <c r="J706" s="242"/>
      <c r="K706" s="242"/>
      <c r="L706" s="242"/>
      <c r="M706" s="242"/>
      <c r="N706" s="242"/>
      <c r="O706" s="242"/>
    </row>
    <row r="707">
      <c r="A707" s="242"/>
      <c r="B707" s="242"/>
      <c r="C707" s="243"/>
      <c r="D707" s="242"/>
      <c r="E707" s="242"/>
      <c r="F707" s="242"/>
      <c r="G707" s="250"/>
      <c r="H707" s="251"/>
      <c r="I707" s="242"/>
      <c r="J707" s="242"/>
      <c r="K707" s="242"/>
      <c r="L707" s="242"/>
      <c r="M707" s="242"/>
      <c r="N707" s="242"/>
      <c r="O707" s="242"/>
    </row>
    <row r="708">
      <c r="A708" s="242"/>
      <c r="B708" s="242"/>
      <c r="C708" s="243"/>
      <c r="D708" s="242"/>
      <c r="E708" s="242"/>
      <c r="F708" s="242"/>
      <c r="G708" s="250"/>
      <c r="H708" s="251"/>
      <c r="I708" s="242"/>
      <c r="J708" s="242"/>
      <c r="K708" s="242"/>
      <c r="L708" s="242"/>
      <c r="M708" s="242"/>
      <c r="N708" s="242"/>
      <c r="O708" s="242"/>
    </row>
    <row r="709">
      <c r="A709" s="242"/>
      <c r="B709" s="242"/>
      <c r="C709" s="243"/>
      <c r="D709" s="242"/>
      <c r="E709" s="242"/>
      <c r="F709" s="242"/>
      <c r="G709" s="250"/>
      <c r="H709" s="251"/>
      <c r="I709" s="242"/>
      <c r="J709" s="242"/>
      <c r="K709" s="242"/>
      <c r="L709" s="242"/>
      <c r="M709" s="242"/>
      <c r="N709" s="242"/>
      <c r="O709" s="242"/>
    </row>
    <row r="710">
      <c r="A710" s="242"/>
      <c r="B710" s="242"/>
      <c r="C710" s="243"/>
      <c r="D710" s="242"/>
      <c r="E710" s="242"/>
      <c r="F710" s="242"/>
      <c r="G710" s="250"/>
      <c r="H710" s="251"/>
      <c r="I710" s="242"/>
      <c r="J710" s="242"/>
      <c r="K710" s="242"/>
      <c r="L710" s="242"/>
      <c r="M710" s="242"/>
      <c r="N710" s="242"/>
      <c r="O710" s="242"/>
    </row>
    <row r="711">
      <c r="A711" s="242"/>
      <c r="B711" s="242"/>
      <c r="C711" s="243"/>
      <c r="D711" s="242"/>
      <c r="E711" s="242"/>
      <c r="F711" s="242"/>
      <c r="G711" s="250"/>
      <c r="H711" s="251"/>
      <c r="I711" s="242"/>
      <c r="J711" s="242"/>
      <c r="K711" s="242"/>
      <c r="L711" s="242"/>
      <c r="M711" s="242"/>
      <c r="N711" s="242"/>
      <c r="O711" s="242"/>
    </row>
    <row r="712">
      <c r="A712" s="242"/>
      <c r="B712" s="242"/>
      <c r="C712" s="243"/>
      <c r="D712" s="242"/>
      <c r="E712" s="242"/>
      <c r="F712" s="242"/>
      <c r="G712" s="250"/>
      <c r="H712" s="251"/>
      <c r="I712" s="242"/>
      <c r="J712" s="242"/>
      <c r="K712" s="242"/>
      <c r="L712" s="242"/>
      <c r="M712" s="242"/>
      <c r="N712" s="242"/>
      <c r="O712" s="242"/>
    </row>
    <row r="713">
      <c r="A713" s="242"/>
      <c r="B713" s="242"/>
      <c r="C713" s="243"/>
      <c r="D713" s="242"/>
      <c r="E713" s="242"/>
      <c r="F713" s="242"/>
      <c r="G713" s="250"/>
      <c r="H713" s="251"/>
      <c r="I713" s="242"/>
      <c r="J713" s="242"/>
      <c r="K713" s="242"/>
      <c r="L713" s="242"/>
      <c r="M713" s="242"/>
      <c r="N713" s="242"/>
      <c r="O713" s="242"/>
    </row>
    <row r="714">
      <c r="A714" s="242"/>
      <c r="B714" s="242"/>
      <c r="C714" s="243"/>
      <c r="D714" s="242"/>
      <c r="E714" s="242"/>
      <c r="F714" s="242"/>
      <c r="G714" s="250"/>
      <c r="H714" s="251"/>
      <c r="I714" s="242"/>
      <c r="J714" s="242"/>
      <c r="K714" s="242"/>
      <c r="L714" s="242"/>
      <c r="M714" s="242"/>
      <c r="N714" s="242"/>
      <c r="O714" s="242"/>
    </row>
    <row r="715">
      <c r="A715" s="242"/>
      <c r="B715" s="242"/>
      <c r="C715" s="243"/>
      <c r="D715" s="242"/>
      <c r="E715" s="242"/>
      <c r="F715" s="242"/>
      <c r="G715" s="250"/>
      <c r="H715" s="251"/>
      <c r="I715" s="242"/>
      <c r="J715" s="242"/>
      <c r="K715" s="242"/>
      <c r="L715" s="242"/>
      <c r="M715" s="242"/>
      <c r="N715" s="242"/>
      <c r="O715" s="242"/>
    </row>
    <row r="716">
      <c r="A716" s="242"/>
      <c r="B716" s="242"/>
      <c r="C716" s="243"/>
      <c r="D716" s="242"/>
      <c r="E716" s="242"/>
      <c r="F716" s="242"/>
      <c r="G716" s="250"/>
      <c r="H716" s="251"/>
      <c r="I716" s="242"/>
      <c r="J716" s="242"/>
      <c r="K716" s="242"/>
      <c r="L716" s="242"/>
      <c r="M716" s="242"/>
      <c r="N716" s="242"/>
      <c r="O716" s="242"/>
    </row>
    <row r="717">
      <c r="A717" s="242"/>
      <c r="B717" s="242"/>
      <c r="C717" s="243"/>
      <c r="D717" s="242"/>
      <c r="E717" s="242"/>
      <c r="F717" s="242"/>
      <c r="G717" s="250"/>
      <c r="H717" s="251"/>
      <c r="I717" s="242"/>
      <c r="J717" s="242"/>
      <c r="K717" s="242"/>
      <c r="L717" s="242"/>
      <c r="M717" s="242"/>
      <c r="N717" s="242"/>
      <c r="O717" s="242"/>
    </row>
    <row r="718">
      <c r="A718" s="242"/>
      <c r="B718" s="242"/>
      <c r="C718" s="243"/>
      <c r="D718" s="242"/>
      <c r="E718" s="242"/>
      <c r="F718" s="242"/>
      <c r="G718" s="250"/>
      <c r="H718" s="251"/>
      <c r="I718" s="242"/>
      <c r="J718" s="242"/>
      <c r="K718" s="242"/>
      <c r="L718" s="242"/>
      <c r="M718" s="242"/>
      <c r="N718" s="242"/>
      <c r="O718" s="242"/>
    </row>
    <row r="719">
      <c r="A719" s="242"/>
      <c r="B719" s="242"/>
      <c r="C719" s="243"/>
      <c r="D719" s="242"/>
      <c r="E719" s="242"/>
      <c r="F719" s="242"/>
      <c r="G719" s="250"/>
      <c r="H719" s="251"/>
      <c r="I719" s="242"/>
      <c r="J719" s="242"/>
      <c r="K719" s="242"/>
      <c r="L719" s="242"/>
      <c r="M719" s="242"/>
      <c r="N719" s="242"/>
      <c r="O719" s="242"/>
    </row>
    <row r="720">
      <c r="A720" s="242"/>
      <c r="B720" s="242"/>
      <c r="C720" s="243"/>
      <c r="D720" s="242"/>
      <c r="E720" s="242"/>
      <c r="F720" s="242"/>
      <c r="G720" s="250"/>
      <c r="H720" s="251"/>
      <c r="I720" s="242"/>
      <c r="J720" s="242"/>
      <c r="K720" s="242"/>
      <c r="L720" s="242"/>
      <c r="M720" s="242"/>
      <c r="N720" s="242"/>
      <c r="O720" s="242"/>
    </row>
    <row r="721">
      <c r="A721" s="242"/>
      <c r="B721" s="242"/>
      <c r="C721" s="243"/>
      <c r="D721" s="242"/>
      <c r="E721" s="242"/>
      <c r="F721" s="242"/>
      <c r="G721" s="250"/>
      <c r="H721" s="251"/>
      <c r="I721" s="242"/>
      <c r="J721" s="242"/>
      <c r="K721" s="242"/>
      <c r="L721" s="242"/>
      <c r="M721" s="242"/>
      <c r="N721" s="242"/>
      <c r="O721" s="242"/>
    </row>
    <row r="722">
      <c r="A722" s="242"/>
      <c r="B722" s="242"/>
      <c r="C722" s="243"/>
      <c r="D722" s="242"/>
      <c r="E722" s="242"/>
      <c r="F722" s="242"/>
      <c r="G722" s="250"/>
      <c r="H722" s="251"/>
      <c r="I722" s="242"/>
      <c r="J722" s="242"/>
      <c r="K722" s="242"/>
      <c r="L722" s="242"/>
      <c r="M722" s="242"/>
      <c r="N722" s="242"/>
      <c r="O722" s="242"/>
    </row>
    <row r="723">
      <c r="A723" s="242"/>
      <c r="B723" s="242"/>
      <c r="C723" s="243"/>
      <c r="D723" s="242"/>
      <c r="E723" s="242"/>
      <c r="F723" s="242"/>
      <c r="G723" s="250"/>
      <c r="H723" s="251"/>
      <c r="I723" s="242"/>
      <c r="J723" s="242"/>
      <c r="K723" s="242"/>
      <c r="L723" s="242"/>
      <c r="M723" s="242"/>
      <c r="N723" s="242"/>
      <c r="O723" s="242"/>
    </row>
    <row r="724">
      <c r="A724" s="242"/>
      <c r="B724" s="242"/>
      <c r="C724" s="243"/>
      <c r="D724" s="242"/>
      <c r="E724" s="242"/>
      <c r="F724" s="242"/>
      <c r="G724" s="250"/>
      <c r="H724" s="251"/>
      <c r="I724" s="242"/>
      <c r="J724" s="242"/>
      <c r="K724" s="242"/>
      <c r="L724" s="242"/>
      <c r="M724" s="242"/>
      <c r="N724" s="242"/>
      <c r="O724" s="242"/>
    </row>
    <row r="725">
      <c r="A725" s="242"/>
      <c r="B725" s="242"/>
      <c r="C725" s="243"/>
      <c r="D725" s="242"/>
      <c r="E725" s="242"/>
      <c r="F725" s="242"/>
      <c r="G725" s="250"/>
      <c r="H725" s="251"/>
      <c r="I725" s="242"/>
      <c r="J725" s="242"/>
      <c r="K725" s="242"/>
      <c r="L725" s="242"/>
      <c r="M725" s="242"/>
      <c r="N725" s="242"/>
      <c r="O725" s="242"/>
    </row>
    <row r="726">
      <c r="A726" s="242"/>
      <c r="B726" s="242"/>
      <c r="C726" s="243"/>
      <c r="D726" s="242"/>
      <c r="E726" s="242"/>
      <c r="F726" s="242"/>
      <c r="G726" s="250"/>
      <c r="H726" s="251"/>
      <c r="I726" s="242"/>
      <c r="J726" s="242"/>
      <c r="K726" s="242"/>
      <c r="L726" s="242"/>
      <c r="M726" s="242"/>
      <c r="N726" s="242"/>
      <c r="O726" s="242"/>
    </row>
    <row r="727">
      <c r="A727" s="242"/>
      <c r="B727" s="242"/>
      <c r="C727" s="243"/>
      <c r="D727" s="242"/>
      <c r="E727" s="242"/>
      <c r="F727" s="242"/>
      <c r="G727" s="250"/>
      <c r="H727" s="251"/>
      <c r="I727" s="242"/>
      <c r="J727" s="242"/>
      <c r="K727" s="242"/>
      <c r="L727" s="242"/>
      <c r="M727" s="242"/>
      <c r="N727" s="242"/>
      <c r="O727" s="242"/>
    </row>
    <row r="728">
      <c r="A728" s="242"/>
      <c r="B728" s="242"/>
      <c r="C728" s="243"/>
      <c r="D728" s="242"/>
      <c r="E728" s="242"/>
      <c r="F728" s="242"/>
      <c r="G728" s="250"/>
      <c r="H728" s="251"/>
      <c r="I728" s="242"/>
      <c r="J728" s="242"/>
      <c r="K728" s="242"/>
      <c r="L728" s="242"/>
      <c r="M728" s="242"/>
      <c r="N728" s="242"/>
      <c r="O728" s="242"/>
    </row>
    <row r="729">
      <c r="A729" s="242"/>
      <c r="B729" s="242"/>
      <c r="C729" s="243"/>
      <c r="D729" s="242"/>
      <c r="E729" s="242"/>
      <c r="F729" s="242"/>
      <c r="G729" s="250"/>
      <c r="H729" s="251"/>
      <c r="I729" s="242"/>
      <c r="J729" s="242"/>
      <c r="K729" s="242"/>
      <c r="L729" s="242"/>
      <c r="M729" s="242"/>
      <c r="N729" s="242"/>
      <c r="O729" s="242"/>
    </row>
    <row r="730">
      <c r="A730" s="242"/>
      <c r="B730" s="242"/>
      <c r="C730" s="243"/>
      <c r="D730" s="242"/>
      <c r="E730" s="242"/>
      <c r="F730" s="242"/>
      <c r="G730" s="250"/>
      <c r="H730" s="251"/>
      <c r="I730" s="242"/>
      <c r="J730" s="242"/>
      <c r="K730" s="242"/>
      <c r="L730" s="242"/>
      <c r="M730" s="242"/>
      <c r="N730" s="242"/>
      <c r="O730" s="242"/>
    </row>
    <row r="731">
      <c r="A731" s="242"/>
      <c r="B731" s="242"/>
      <c r="C731" s="243"/>
      <c r="D731" s="242"/>
      <c r="E731" s="242"/>
      <c r="F731" s="242"/>
      <c r="G731" s="250"/>
      <c r="H731" s="251"/>
      <c r="I731" s="242"/>
      <c r="J731" s="242"/>
      <c r="K731" s="242"/>
      <c r="L731" s="242"/>
      <c r="M731" s="242"/>
      <c r="N731" s="242"/>
      <c r="O731" s="242"/>
    </row>
    <row r="732">
      <c r="A732" s="242"/>
      <c r="B732" s="242"/>
      <c r="C732" s="243"/>
      <c r="D732" s="242"/>
      <c r="E732" s="242"/>
      <c r="F732" s="242"/>
      <c r="G732" s="250"/>
      <c r="H732" s="251"/>
      <c r="I732" s="242"/>
      <c r="J732" s="242"/>
      <c r="K732" s="242"/>
      <c r="L732" s="242"/>
      <c r="M732" s="242"/>
      <c r="N732" s="242"/>
      <c r="O732" s="242"/>
    </row>
    <row r="733">
      <c r="A733" s="242"/>
      <c r="B733" s="242"/>
      <c r="C733" s="243"/>
      <c r="D733" s="242"/>
      <c r="E733" s="242"/>
      <c r="F733" s="242"/>
      <c r="G733" s="250"/>
      <c r="H733" s="251"/>
      <c r="I733" s="242"/>
      <c r="J733" s="242"/>
      <c r="K733" s="242"/>
      <c r="L733" s="242"/>
      <c r="M733" s="242"/>
      <c r="N733" s="242"/>
      <c r="O733" s="242"/>
    </row>
    <row r="734">
      <c r="A734" s="242"/>
      <c r="B734" s="242"/>
      <c r="C734" s="243"/>
      <c r="D734" s="242"/>
      <c r="E734" s="242"/>
      <c r="F734" s="242"/>
      <c r="G734" s="250"/>
      <c r="H734" s="251"/>
      <c r="I734" s="242"/>
      <c r="J734" s="242"/>
      <c r="K734" s="242"/>
      <c r="L734" s="242"/>
      <c r="M734" s="242"/>
      <c r="N734" s="242"/>
      <c r="O734" s="242"/>
    </row>
    <row r="735">
      <c r="A735" s="242"/>
      <c r="B735" s="242"/>
      <c r="C735" s="243"/>
      <c r="D735" s="242"/>
      <c r="E735" s="242"/>
      <c r="F735" s="242"/>
      <c r="G735" s="250"/>
      <c r="H735" s="251"/>
      <c r="I735" s="242"/>
      <c r="J735" s="242"/>
      <c r="K735" s="242"/>
      <c r="L735" s="242"/>
      <c r="M735" s="242"/>
      <c r="N735" s="242"/>
      <c r="O735" s="242"/>
    </row>
    <row r="736">
      <c r="A736" s="242"/>
      <c r="B736" s="242"/>
      <c r="C736" s="243"/>
      <c r="D736" s="242"/>
      <c r="E736" s="242"/>
      <c r="F736" s="242"/>
      <c r="G736" s="250"/>
      <c r="H736" s="251"/>
      <c r="I736" s="242"/>
      <c r="J736" s="242"/>
      <c r="K736" s="242"/>
      <c r="L736" s="242"/>
      <c r="M736" s="242"/>
      <c r="N736" s="242"/>
      <c r="O736" s="242"/>
    </row>
    <row r="737">
      <c r="A737" s="242"/>
      <c r="B737" s="242"/>
      <c r="C737" s="243"/>
      <c r="D737" s="242"/>
      <c r="E737" s="242"/>
      <c r="F737" s="242"/>
      <c r="G737" s="250"/>
      <c r="H737" s="251"/>
      <c r="I737" s="242"/>
      <c r="J737" s="242"/>
      <c r="K737" s="242"/>
      <c r="L737" s="242"/>
      <c r="M737" s="242"/>
      <c r="N737" s="242"/>
      <c r="O737" s="242"/>
    </row>
    <row r="738">
      <c r="A738" s="242"/>
      <c r="B738" s="242"/>
      <c r="C738" s="243"/>
      <c r="D738" s="242"/>
      <c r="E738" s="242"/>
      <c r="F738" s="242"/>
      <c r="G738" s="250"/>
      <c r="H738" s="251"/>
      <c r="I738" s="242"/>
      <c r="J738" s="242"/>
      <c r="K738" s="242"/>
      <c r="L738" s="242"/>
      <c r="M738" s="242"/>
      <c r="N738" s="242"/>
      <c r="O738" s="242"/>
    </row>
    <row r="739">
      <c r="A739" s="242"/>
      <c r="B739" s="242"/>
      <c r="C739" s="243"/>
      <c r="D739" s="242"/>
      <c r="E739" s="242"/>
      <c r="F739" s="242"/>
      <c r="G739" s="250"/>
      <c r="H739" s="251"/>
      <c r="I739" s="242"/>
      <c r="J739" s="242"/>
      <c r="K739" s="242"/>
      <c r="L739" s="242"/>
      <c r="M739" s="242"/>
      <c r="N739" s="242"/>
      <c r="O739" s="242"/>
    </row>
    <row r="740">
      <c r="A740" s="242"/>
      <c r="B740" s="242"/>
      <c r="C740" s="243"/>
      <c r="D740" s="242"/>
      <c r="E740" s="242"/>
      <c r="F740" s="242"/>
      <c r="G740" s="250"/>
      <c r="H740" s="251"/>
      <c r="I740" s="242"/>
      <c r="J740" s="242"/>
      <c r="K740" s="242"/>
      <c r="L740" s="242"/>
      <c r="M740" s="242"/>
      <c r="N740" s="242"/>
      <c r="O740" s="242"/>
    </row>
    <row r="741">
      <c r="A741" s="242"/>
      <c r="B741" s="242"/>
      <c r="C741" s="243"/>
      <c r="D741" s="242"/>
      <c r="E741" s="242"/>
      <c r="F741" s="242"/>
      <c r="G741" s="250"/>
      <c r="H741" s="251"/>
      <c r="I741" s="242"/>
      <c r="J741" s="242"/>
      <c r="K741" s="242"/>
      <c r="L741" s="242"/>
      <c r="M741" s="242"/>
      <c r="N741" s="242"/>
      <c r="O741" s="242"/>
    </row>
    <row r="742">
      <c r="A742" s="242"/>
      <c r="B742" s="242"/>
      <c r="C742" s="243"/>
      <c r="D742" s="242"/>
      <c r="E742" s="242"/>
      <c r="F742" s="242"/>
      <c r="G742" s="250"/>
      <c r="H742" s="251"/>
      <c r="I742" s="242"/>
      <c r="J742" s="242"/>
      <c r="K742" s="242"/>
      <c r="L742" s="242"/>
      <c r="M742" s="242"/>
      <c r="N742" s="242"/>
      <c r="O742" s="242"/>
    </row>
    <row r="743">
      <c r="A743" s="242"/>
      <c r="B743" s="242"/>
      <c r="C743" s="243"/>
      <c r="D743" s="242"/>
      <c r="E743" s="242"/>
      <c r="F743" s="242"/>
      <c r="G743" s="250"/>
      <c r="H743" s="251"/>
      <c r="I743" s="242"/>
      <c r="J743" s="242"/>
      <c r="K743" s="242"/>
      <c r="L743" s="242"/>
      <c r="M743" s="242"/>
      <c r="N743" s="242"/>
      <c r="O743" s="242"/>
    </row>
    <row r="744">
      <c r="A744" s="242"/>
      <c r="B744" s="242"/>
      <c r="C744" s="243"/>
      <c r="D744" s="242"/>
      <c r="E744" s="242"/>
      <c r="F744" s="242"/>
      <c r="G744" s="250"/>
      <c r="H744" s="251"/>
      <c r="I744" s="242"/>
      <c r="J744" s="242"/>
      <c r="K744" s="242"/>
      <c r="L744" s="242"/>
      <c r="M744" s="242"/>
      <c r="N744" s="242"/>
      <c r="O744" s="242"/>
    </row>
    <row r="745">
      <c r="A745" s="242"/>
      <c r="B745" s="242"/>
      <c r="C745" s="243"/>
      <c r="D745" s="242"/>
      <c r="E745" s="242"/>
      <c r="F745" s="242"/>
      <c r="G745" s="250"/>
      <c r="H745" s="251"/>
      <c r="I745" s="242"/>
      <c r="J745" s="242"/>
      <c r="K745" s="242"/>
      <c r="L745" s="242"/>
      <c r="M745" s="242"/>
      <c r="N745" s="242"/>
      <c r="O745" s="242"/>
    </row>
    <row r="746">
      <c r="A746" s="242"/>
      <c r="B746" s="242"/>
      <c r="C746" s="243"/>
      <c r="D746" s="242"/>
      <c r="E746" s="242"/>
      <c r="F746" s="242"/>
      <c r="G746" s="250"/>
      <c r="H746" s="251"/>
      <c r="I746" s="242"/>
      <c r="J746" s="242"/>
      <c r="K746" s="242"/>
      <c r="L746" s="242"/>
      <c r="M746" s="242"/>
      <c r="N746" s="242"/>
      <c r="O746" s="242"/>
    </row>
    <row r="747">
      <c r="A747" s="242"/>
      <c r="B747" s="242"/>
      <c r="C747" s="243"/>
      <c r="D747" s="242"/>
      <c r="E747" s="242"/>
      <c r="F747" s="242"/>
      <c r="G747" s="250"/>
      <c r="H747" s="251"/>
      <c r="I747" s="242"/>
      <c r="J747" s="242"/>
      <c r="K747" s="242"/>
      <c r="L747" s="242"/>
      <c r="M747" s="242"/>
      <c r="N747" s="242"/>
      <c r="O747" s="242"/>
    </row>
    <row r="748">
      <c r="A748" s="242"/>
      <c r="B748" s="242"/>
      <c r="C748" s="243"/>
      <c r="D748" s="242"/>
      <c r="E748" s="242"/>
      <c r="F748" s="242"/>
      <c r="G748" s="250"/>
      <c r="H748" s="251"/>
      <c r="I748" s="242"/>
      <c r="J748" s="242"/>
      <c r="K748" s="242"/>
      <c r="L748" s="242"/>
      <c r="M748" s="242"/>
      <c r="N748" s="242"/>
      <c r="O748" s="242"/>
    </row>
    <row r="749">
      <c r="A749" s="242"/>
      <c r="B749" s="242"/>
      <c r="C749" s="243"/>
      <c r="D749" s="242"/>
      <c r="E749" s="242"/>
      <c r="F749" s="242"/>
      <c r="G749" s="250"/>
      <c r="H749" s="251"/>
      <c r="I749" s="242"/>
      <c r="J749" s="242"/>
      <c r="K749" s="242"/>
      <c r="L749" s="242"/>
      <c r="M749" s="242"/>
      <c r="N749" s="242"/>
      <c r="O749" s="242"/>
    </row>
    <row r="750">
      <c r="A750" s="242"/>
      <c r="B750" s="242"/>
      <c r="C750" s="243"/>
      <c r="D750" s="242"/>
      <c r="E750" s="242"/>
      <c r="F750" s="242"/>
      <c r="G750" s="250"/>
      <c r="H750" s="251"/>
      <c r="I750" s="242"/>
      <c r="J750" s="242"/>
      <c r="K750" s="242"/>
      <c r="L750" s="242"/>
      <c r="M750" s="242"/>
      <c r="N750" s="242"/>
      <c r="O750" s="242"/>
    </row>
    <row r="751">
      <c r="A751" s="242"/>
      <c r="B751" s="242"/>
      <c r="C751" s="243"/>
      <c r="D751" s="242"/>
      <c r="E751" s="242"/>
      <c r="F751" s="242"/>
      <c r="G751" s="250"/>
      <c r="H751" s="251"/>
      <c r="I751" s="242"/>
      <c r="J751" s="242"/>
      <c r="K751" s="242"/>
      <c r="L751" s="242"/>
      <c r="M751" s="242"/>
      <c r="N751" s="242"/>
      <c r="O751" s="242"/>
    </row>
    <row r="752">
      <c r="A752" s="242"/>
      <c r="B752" s="242"/>
      <c r="C752" s="243"/>
      <c r="D752" s="242"/>
      <c r="E752" s="242"/>
      <c r="F752" s="242"/>
      <c r="G752" s="250"/>
      <c r="H752" s="251"/>
      <c r="I752" s="242"/>
      <c r="J752" s="242"/>
      <c r="K752" s="242"/>
      <c r="L752" s="242"/>
      <c r="M752" s="242"/>
      <c r="N752" s="242"/>
      <c r="O752" s="242"/>
    </row>
    <row r="753">
      <c r="A753" s="242"/>
      <c r="B753" s="242"/>
      <c r="C753" s="243"/>
      <c r="D753" s="242"/>
      <c r="E753" s="242"/>
      <c r="F753" s="242"/>
      <c r="G753" s="250"/>
      <c r="H753" s="251"/>
      <c r="I753" s="242"/>
      <c r="J753" s="242"/>
      <c r="K753" s="242"/>
      <c r="L753" s="242"/>
      <c r="M753" s="242"/>
      <c r="N753" s="242"/>
      <c r="O753" s="242"/>
    </row>
    <row r="754">
      <c r="A754" s="242"/>
      <c r="B754" s="242"/>
      <c r="C754" s="243"/>
      <c r="D754" s="242"/>
      <c r="E754" s="242"/>
      <c r="F754" s="242"/>
      <c r="G754" s="250"/>
      <c r="H754" s="251"/>
      <c r="I754" s="242"/>
      <c r="J754" s="242"/>
      <c r="K754" s="242"/>
      <c r="L754" s="242"/>
      <c r="M754" s="242"/>
      <c r="N754" s="242"/>
      <c r="O754" s="242"/>
    </row>
    <row r="755">
      <c r="A755" s="242"/>
      <c r="B755" s="242"/>
      <c r="C755" s="243"/>
      <c r="D755" s="242"/>
      <c r="E755" s="242"/>
      <c r="F755" s="242"/>
      <c r="G755" s="250"/>
      <c r="H755" s="251"/>
      <c r="I755" s="242"/>
      <c r="J755" s="242"/>
      <c r="K755" s="242"/>
      <c r="L755" s="242"/>
      <c r="M755" s="242"/>
      <c r="N755" s="242"/>
      <c r="O755" s="242"/>
    </row>
    <row r="756">
      <c r="A756" s="242"/>
      <c r="B756" s="242"/>
      <c r="C756" s="243"/>
      <c r="D756" s="242"/>
      <c r="E756" s="242"/>
      <c r="F756" s="242"/>
      <c r="G756" s="250"/>
      <c r="H756" s="251"/>
      <c r="I756" s="242"/>
      <c r="J756" s="242"/>
      <c r="K756" s="242"/>
      <c r="L756" s="242"/>
      <c r="M756" s="242"/>
      <c r="N756" s="242"/>
      <c r="O756" s="242"/>
    </row>
    <row r="757">
      <c r="A757" s="242"/>
      <c r="B757" s="242"/>
      <c r="C757" s="243"/>
      <c r="D757" s="242"/>
      <c r="E757" s="242"/>
      <c r="F757" s="242"/>
      <c r="G757" s="250"/>
      <c r="H757" s="251"/>
      <c r="I757" s="242"/>
      <c r="J757" s="242"/>
      <c r="K757" s="242"/>
      <c r="L757" s="242"/>
      <c r="M757" s="242"/>
      <c r="N757" s="242"/>
      <c r="O757" s="242"/>
    </row>
    <row r="758">
      <c r="A758" s="242"/>
      <c r="B758" s="242"/>
      <c r="C758" s="243"/>
      <c r="D758" s="242"/>
      <c r="E758" s="242"/>
      <c r="F758" s="242"/>
      <c r="G758" s="250"/>
      <c r="H758" s="251"/>
      <c r="I758" s="242"/>
      <c r="J758" s="242"/>
      <c r="K758" s="242"/>
      <c r="L758" s="242"/>
      <c r="M758" s="242"/>
      <c r="N758" s="242"/>
      <c r="O758" s="242"/>
    </row>
    <row r="759">
      <c r="A759" s="242"/>
      <c r="B759" s="242"/>
      <c r="C759" s="243"/>
      <c r="D759" s="242"/>
      <c r="E759" s="242"/>
      <c r="F759" s="242"/>
      <c r="G759" s="250"/>
      <c r="H759" s="251"/>
      <c r="I759" s="242"/>
      <c r="J759" s="242"/>
      <c r="K759" s="242"/>
      <c r="L759" s="242"/>
      <c r="M759" s="242"/>
      <c r="N759" s="242"/>
      <c r="O759" s="242"/>
    </row>
    <row r="760">
      <c r="A760" s="242"/>
      <c r="B760" s="242"/>
      <c r="C760" s="243"/>
      <c r="D760" s="242"/>
      <c r="E760" s="242"/>
      <c r="F760" s="242"/>
      <c r="G760" s="250"/>
      <c r="H760" s="251"/>
      <c r="I760" s="242"/>
      <c r="J760" s="242"/>
      <c r="K760" s="242"/>
      <c r="L760" s="242"/>
      <c r="M760" s="242"/>
      <c r="N760" s="242"/>
      <c r="O760" s="242"/>
    </row>
    <row r="761">
      <c r="A761" s="242"/>
      <c r="B761" s="242"/>
      <c r="C761" s="243"/>
      <c r="D761" s="242"/>
      <c r="E761" s="242"/>
      <c r="F761" s="242"/>
      <c r="G761" s="250"/>
      <c r="H761" s="251"/>
      <c r="I761" s="242"/>
      <c r="J761" s="242"/>
      <c r="K761" s="242"/>
      <c r="L761" s="242"/>
      <c r="M761" s="242"/>
      <c r="N761" s="242"/>
      <c r="O761" s="242"/>
    </row>
    <row r="762">
      <c r="A762" s="242"/>
      <c r="B762" s="242"/>
      <c r="C762" s="243"/>
      <c r="D762" s="242"/>
      <c r="E762" s="242"/>
      <c r="F762" s="242"/>
      <c r="G762" s="250"/>
      <c r="H762" s="251"/>
      <c r="I762" s="242"/>
      <c r="J762" s="242"/>
      <c r="K762" s="242"/>
      <c r="L762" s="242"/>
      <c r="M762" s="242"/>
      <c r="N762" s="242"/>
      <c r="O762" s="242"/>
    </row>
    <row r="763">
      <c r="A763" s="242"/>
      <c r="B763" s="242"/>
      <c r="C763" s="243"/>
      <c r="D763" s="242"/>
      <c r="E763" s="242"/>
      <c r="F763" s="242"/>
      <c r="G763" s="250"/>
      <c r="H763" s="251"/>
      <c r="I763" s="242"/>
      <c r="J763" s="242"/>
      <c r="K763" s="242"/>
      <c r="L763" s="242"/>
      <c r="M763" s="242"/>
      <c r="N763" s="242"/>
      <c r="O763" s="242"/>
    </row>
    <row r="764">
      <c r="A764" s="242"/>
      <c r="B764" s="242"/>
      <c r="C764" s="243"/>
      <c r="D764" s="242"/>
      <c r="E764" s="242"/>
      <c r="F764" s="242"/>
      <c r="G764" s="250"/>
      <c r="H764" s="251"/>
      <c r="I764" s="242"/>
      <c r="J764" s="242"/>
      <c r="K764" s="242"/>
      <c r="L764" s="242"/>
      <c r="M764" s="242"/>
      <c r="N764" s="242"/>
      <c r="O764" s="242"/>
    </row>
    <row r="765">
      <c r="A765" s="242"/>
      <c r="B765" s="242"/>
      <c r="C765" s="243"/>
      <c r="D765" s="242"/>
      <c r="E765" s="242"/>
      <c r="F765" s="242"/>
      <c r="G765" s="250"/>
      <c r="H765" s="251"/>
      <c r="I765" s="242"/>
      <c r="J765" s="242"/>
      <c r="K765" s="242"/>
      <c r="L765" s="242"/>
      <c r="M765" s="242"/>
      <c r="N765" s="242"/>
      <c r="O765" s="242"/>
    </row>
    <row r="766">
      <c r="A766" s="242"/>
      <c r="B766" s="242"/>
      <c r="C766" s="243"/>
      <c r="D766" s="242"/>
      <c r="E766" s="242"/>
      <c r="F766" s="242"/>
      <c r="G766" s="250"/>
      <c r="H766" s="251"/>
      <c r="I766" s="242"/>
      <c r="J766" s="242"/>
      <c r="K766" s="242"/>
      <c r="L766" s="242"/>
      <c r="M766" s="242"/>
      <c r="N766" s="242"/>
      <c r="O766" s="242"/>
    </row>
    <row r="767">
      <c r="A767" s="242"/>
      <c r="B767" s="242"/>
      <c r="C767" s="243"/>
      <c r="D767" s="242"/>
      <c r="E767" s="242"/>
      <c r="F767" s="242"/>
      <c r="G767" s="250"/>
      <c r="H767" s="251"/>
      <c r="I767" s="242"/>
      <c r="J767" s="242"/>
      <c r="K767" s="242"/>
      <c r="L767" s="242"/>
      <c r="M767" s="242"/>
      <c r="N767" s="242"/>
      <c r="O767" s="242"/>
    </row>
    <row r="768">
      <c r="A768" s="242"/>
      <c r="B768" s="242"/>
      <c r="C768" s="243"/>
      <c r="D768" s="242"/>
      <c r="E768" s="242"/>
      <c r="F768" s="242"/>
      <c r="G768" s="250"/>
      <c r="H768" s="251"/>
      <c r="I768" s="242"/>
      <c r="J768" s="242"/>
      <c r="K768" s="242"/>
      <c r="L768" s="242"/>
      <c r="M768" s="242"/>
      <c r="N768" s="242"/>
      <c r="O768" s="242"/>
    </row>
    <row r="769">
      <c r="A769" s="242"/>
      <c r="B769" s="242"/>
      <c r="C769" s="243"/>
      <c r="D769" s="242"/>
      <c r="E769" s="242"/>
      <c r="F769" s="242"/>
      <c r="G769" s="250"/>
      <c r="H769" s="251"/>
      <c r="I769" s="242"/>
      <c r="J769" s="242"/>
      <c r="K769" s="242"/>
      <c r="L769" s="242"/>
      <c r="M769" s="242"/>
      <c r="N769" s="242"/>
      <c r="O769" s="242"/>
    </row>
    <row r="770">
      <c r="A770" s="242"/>
      <c r="B770" s="242"/>
      <c r="C770" s="243"/>
      <c r="D770" s="242"/>
      <c r="E770" s="242"/>
      <c r="F770" s="242"/>
      <c r="G770" s="250"/>
      <c r="H770" s="251"/>
      <c r="I770" s="242"/>
      <c r="J770" s="242"/>
      <c r="K770" s="242"/>
      <c r="L770" s="242"/>
      <c r="M770" s="242"/>
      <c r="N770" s="242"/>
      <c r="O770" s="242"/>
    </row>
    <row r="771">
      <c r="A771" s="242"/>
      <c r="B771" s="242"/>
      <c r="C771" s="243"/>
      <c r="D771" s="242"/>
      <c r="E771" s="242"/>
      <c r="F771" s="242"/>
      <c r="G771" s="250"/>
      <c r="H771" s="251"/>
      <c r="I771" s="242"/>
      <c r="J771" s="242"/>
      <c r="K771" s="242"/>
      <c r="L771" s="242"/>
      <c r="M771" s="242"/>
      <c r="N771" s="242"/>
      <c r="O771" s="242"/>
    </row>
    <row r="772">
      <c r="A772" s="242"/>
      <c r="B772" s="242"/>
      <c r="C772" s="243"/>
      <c r="D772" s="242"/>
      <c r="E772" s="242"/>
      <c r="F772" s="242"/>
      <c r="G772" s="250"/>
      <c r="H772" s="251"/>
      <c r="I772" s="242"/>
      <c r="J772" s="242"/>
      <c r="K772" s="242"/>
      <c r="L772" s="242"/>
      <c r="M772" s="242"/>
      <c r="N772" s="242"/>
      <c r="O772" s="242"/>
    </row>
    <row r="773">
      <c r="A773" s="242"/>
      <c r="B773" s="242"/>
      <c r="C773" s="243"/>
      <c r="D773" s="242"/>
      <c r="E773" s="242"/>
      <c r="F773" s="242"/>
      <c r="G773" s="250"/>
      <c r="H773" s="251"/>
      <c r="I773" s="242"/>
      <c r="J773" s="242"/>
      <c r="K773" s="242"/>
      <c r="L773" s="242"/>
      <c r="M773" s="242"/>
      <c r="N773" s="242"/>
      <c r="O773" s="242"/>
    </row>
    <row r="774">
      <c r="A774" s="242"/>
      <c r="B774" s="242"/>
      <c r="C774" s="243"/>
      <c r="D774" s="242"/>
      <c r="E774" s="242"/>
      <c r="F774" s="242"/>
      <c r="G774" s="250"/>
      <c r="H774" s="251"/>
      <c r="I774" s="242"/>
      <c r="J774" s="242"/>
      <c r="K774" s="242"/>
      <c r="L774" s="242"/>
      <c r="M774" s="242"/>
      <c r="N774" s="242"/>
      <c r="O774" s="242"/>
    </row>
    <row r="775">
      <c r="A775" s="242"/>
      <c r="B775" s="242"/>
      <c r="C775" s="243"/>
      <c r="D775" s="242"/>
      <c r="E775" s="242"/>
      <c r="F775" s="242"/>
      <c r="G775" s="250"/>
      <c r="H775" s="251"/>
      <c r="I775" s="242"/>
      <c r="J775" s="242"/>
      <c r="K775" s="242"/>
      <c r="L775" s="242"/>
      <c r="M775" s="242"/>
      <c r="N775" s="242"/>
      <c r="O775" s="242"/>
    </row>
    <row r="776">
      <c r="A776" s="242"/>
      <c r="B776" s="242"/>
      <c r="C776" s="243"/>
      <c r="D776" s="242"/>
      <c r="E776" s="242"/>
      <c r="F776" s="242"/>
      <c r="G776" s="250"/>
      <c r="H776" s="251"/>
      <c r="I776" s="242"/>
      <c r="J776" s="242"/>
      <c r="K776" s="242"/>
      <c r="L776" s="242"/>
      <c r="M776" s="242"/>
      <c r="N776" s="242"/>
      <c r="O776" s="242"/>
    </row>
    <row r="777">
      <c r="A777" s="242"/>
      <c r="B777" s="242"/>
      <c r="C777" s="243"/>
      <c r="D777" s="242"/>
      <c r="E777" s="242"/>
      <c r="F777" s="242"/>
      <c r="G777" s="250"/>
      <c r="H777" s="251"/>
      <c r="I777" s="242"/>
      <c r="J777" s="242"/>
      <c r="K777" s="242"/>
      <c r="L777" s="242"/>
      <c r="M777" s="242"/>
      <c r="N777" s="242"/>
      <c r="O777" s="242"/>
    </row>
    <row r="778">
      <c r="A778" s="242"/>
      <c r="B778" s="242"/>
      <c r="C778" s="243"/>
      <c r="D778" s="242"/>
      <c r="E778" s="242"/>
      <c r="F778" s="242"/>
      <c r="G778" s="250"/>
      <c r="H778" s="251"/>
      <c r="I778" s="242"/>
      <c r="J778" s="242"/>
      <c r="K778" s="242"/>
      <c r="L778" s="242"/>
      <c r="M778" s="242"/>
      <c r="N778" s="242"/>
      <c r="O778" s="242"/>
    </row>
    <row r="779">
      <c r="A779" s="242"/>
      <c r="B779" s="242"/>
      <c r="C779" s="243"/>
      <c r="D779" s="242"/>
      <c r="E779" s="242"/>
      <c r="F779" s="242"/>
      <c r="G779" s="250"/>
      <c r="H779" s="251"/>
      <c r="I779" s="242"/>
      <c r="J779" s="242"/>
      <c r="K779" s="242"/>
      <c r="L779" s="242"/>
      <c r="M779" s="242"/>
      <c r="N779" s="242"/>
      <c r="O779" s="242"/>
    </row>
    <row r="780">
      <c r="A780" s="242"/>
      <c r="B780" s="242"/>
      <c r="C780" s="243"/>
      <c r="D780" s="242"/>
      <c r="E780" s="242"/>
      <c r="F780" s="242"/>
      <c r="G780" s="250"/>
      <c r="H780" s="251"/>
      <c r="I780" s="242"/>
      <c r="J780" s="242"/>
      <c r="K780" s="242"/>
      <c r="L780" s="242"/>
      <c r="M780" s="242"/>
      <c r="N780" s="242"/>
      <c r="O780" s="242"/>
    </row>
    <row r="781">
      <c r="A781" s="242"/>
      <c r="B781" s="242"/>
      <c r="C781" s="243"/>
      <c r="D781" s="242"/>
      <c r="E781" s="242"/>
      <c r="F781" s="242"/>
      <c r="G781" s="250"/>
      <c r="H781" s="251"/>
      <c r="I781" s="242"/>
      <c r="J781" s="242"/>
      <c r="K781" s="242"/>
      <c r="L781" s="242"/>
      <c r="M781" s="242"/>
      <c r="N781" s="242"/>
      <c r="O781" s="242"/>
    </row>
    <row r="782">
      <c r="A782" s="242"/>
      <c r="B782" s="242"/>
      <c r="C782" s="243"/>
      <c r="D782" s="242"/>
      <c r="E782" s="242"/>
      <c r="F782" s="242"/>
      <c r="G782" s="250"/>
      <c r="H782" s="251"/>
      <c r="I782" s="242"/>
      <c r="J782" s="242"/>
      <c r="K782" s="242"/>
      <c r="L782" s="242"/>
      <c r="M782" s="242"/>
      <c r="N782" s="242"/>
      <c r="O782" s="242"/>
    </row>
    <row r="783">
      <c r="A783" s="242"/>
      <c r="B783" s="242"/>
      <c r="C783" s="243"/>
      <c r="D783" s="242"/>
      <c r="E783" s="242"/>
      <c r="F783" s="242"/>
      <c r="G783" s="250"/>
      <c r="H783" s="251"/>
      <c r="I783" s="242"/>
      <c r="J783" s="242"/>
      <c r="K783" s="242"/>
      <c r="L783" s="242"/>
      <c r="M783" s="242"/>
      <c r="N783" s="242"/>
      <c r="O783" s="242"/>
    </row>
    <row r="784">
      <c r="A784" s="242"/>
      <c r="B784" s="242"/>
      <c r="C784" s="243"/>
      <c r="D784" s="242"/>
      <c r="E784" s="242"/>
      <c r="F784" s="242"/>
      <c r="G784" s="250"/>
      <c r="H784" s="251"/>
      <c r="I784" s="242"/>
      <c r="J784" s="242"/>
      <c r="K784" s="242"/>
      <c r="L784" s="242"/>
      <c r="M784" s="242"/>
      <c r="N784" s="242"/>
      <c r="O784" s="242"/>
    </row>
    <row r="785">
      <c r="A785" s="242"/>
      <c r="B785" s="242"/>
      <c r="C785" s="243"/>
      <c r="D785" s="242"/>
      <c r="E785" s="242"/>
      <c r="F785" s="242"/>
      <c r="G785" s="250"/>
      <c r="H785" s="251"/>
      <c r="I785" s="242"/>
      <c r="J785" s="242"/>
      <c r="K785" s="242"/>
      <c r="L785" s="242"/>
      <c r="M785" s="242"/>
      <c r="N785" s="242"/>
      <c r="O785" s="242"/>
    </row>
    <row r="786">
      <c r="A786" s="242"/>
      <c r="B786" s="242"/>
      <c r="C786" s="243"/>
      <c r="D786" s="242"/>
      <c r="E786" s="242"/>
      <c r="F786" s="242"/>
      <c r="G786" s="250"/>
      <c r="H786" s="251"/>
      <c r="I786" s="242"/>
      <c r="J786" s="242"/>
      <c r="K786" s="242"/>
      <c r="L786" s="242"/>
      <c r="M786" s="242"/>
      <c r="N786" s="242"/>
      <c r="O786" s="242"/>
    </row>
    <row r="787">
      <c r="A787" s="242"/>
      <c r="B787" s="242"/>
      <c r="C787" s="243"/>
      <c r="D787" s="242"/>
      <c r="E787" s="242"/>
      <c r="F787" s="242"/>
      <c r="G787" s="250"/>
      <c r="H787" s="251"/>
      <c r="I787" s="242"/>
      <c r="J787" s="242"/>
      <c r="K787" s="242"/>
      <c r="L787" s="242"/>
      <c r="M787" s="242"/>
      <c r="N787" s="242"/>
      <c r="O787" s="242"/>
    </row>
    <row r="788">
      <c r="A788" s="242"/>
      <c r="B788" s="242"/>
      <c r="C788" s="243"/>
      <c r="D788" s="242"/>
      <c r="E788" s="242"/>
      <c r="F788" s="242"/>
      <c r="G788" s="250"/>
      <c r="H788" s="251"/>
      <c r="I788" s="242"/>
      <c r="J788" s="242"/>
      <c r="K788" s="242"/>
      <c r="L788" s="242"/>
      <c r="M788" s="242"/>
      <c r="N788" s="242"/>
      <c r="O788" s="242"/>
    </row>
    <row r="789">
      <c r="A789" s="242"/>
      <c r="B789" s="242"/>
      <c r="C789" s="243"/>
      <c r="D789" s="242"/>
      <c r="E789" s="242"/>
      <c r="F789" s="242"/>
      <c r="G789" s="250"/>
      <c r="H789" s="251"/>
      <c r="I789" s="242"/>
      <c r="J789" s="242"/>
      <c r="K789" s="242"/>
      <c r="L789" s="242"/>
      <c r="M789" s="242"/>
      <c r="N789" s="242"/>
      <c r="O789" s="242"/>
    </row>
    <row r="790">
      <c r="A790" s="242"/>
      <c r="B790" s="242"/>
      <c r="C790" s="243"/>
      <c r="D790" s="242"/>
      <c r="E790" s="242"/>
      <c r="F790" s="242"/>
      <c r="G790" s="250"/>
      <c r="H790" s="251"/>
      <c r="I790" s="242"/>
      <c r="J790" s="242"/>
      <c r="K790" s="242"/>
      <c r="L790" s="242"/>
      <c r="M790" s="242"/>
      <c r="N790" s="242"/>
      <c r="O790" s="242"/>
    </row>
    <row r="791">
      <c r="A791" s="242"/>
      <c r="B791" s="242"/>
      <c r="C791" s="243"/>
      <c r="D791" s="242"/>
      <c r="E791" s="242"/>
      <c r="F791" s="242"/>
      <c r="G791" s="250"/>
      <c r="H791" s="251"/>
      <c r="I791" s="242"/>
      <c r="J791" s="242"/>
      <c r="K791" s="242"/>
      <c r="L791" s="242"/>
      <c r="M791" s="242"/>
      <c r="N791" s="242"/>
      <c r="O791" s="242"/>
    </row>
    <row r="792">
      <c r="A792" s="242"/>
      <c r="B792" s="242"/>
      <c r="C792" s="243"/>
      <c r="D792" s="242"/>
      <c r="E792" s="242"/>
      <c r="F792" s="242"/>
      <c r="G792" s="250"/>
      <c r="H792" s="251"/>
      <c r="I792" s="242"/>
      <c r="J792" s="242"/>
      <c r="K792" s="242"/>
      <c r="L792" s="242"/>
      <c r="M792" s="242"/>
      <c r="N792" s="242"/>
      <c r="O792" s="242"/>
    </row>
    <row r="793">
      <c r="A793" s="242"/>
      <c r="B793" s="242"/>
      <c r="C793" s="243"/>
      <c r="D793" s="242"/>
      <c r="E793" s="242"/>
      <c r="F793" s="242"/>
      <c r="G793" s="250"/>
      <c r="H793" s="251"/>
      <c r="I793" s="242"/>
      <c r="J793" s="242"/>
      <c r="K793" s="242"/>
      <c r="L793" s="242"/>
      <c r="M793" s="242"/>
      <c r="N793" s="242"/>
      <c r="O793" s="242"/>
    </row>
    <row r="794">
      <c r="A794" s="242"/>
      <c r="B794" s="242"/>
      <c r="C794" s="243"/>
      <c r="D794" s="242"/>
      <c r="E794" s="242"/>
      <c r="F794" s="242"/>
      <c r="G794" s="250"/>
      <c r="H794" s="251"/>
      <c r="I794" s="242"/>
      <c r="J794" s="242"/>
      <c r="K794" s="242"/>
      <c r="L794" s="242"/>
      <c r="M794" s="242"/>
      <c r="N794" s="242"/>
      <c r="O794" s="242"/>
    </row>
    <row r="795">
      <c r="A795" s="242"/>
      <c r="B795" s="242"/>
      <c r="C795" s="243"/>
      <c r="D795" s="242"/>
      <c r="E795" s="242"/>
      <c r="F795" s="242"/>
      <c r="G795" s="250"/>
      <c r="H795" s="251"/>
      <c r="I795" s="242"/>
      <c r="J795" s="242"/>
      <c r="K795" s="242"/>
      <c r="L795" s="242"/>
      <c r="M795" s="242"/>
      <c r="N795" s="242"/>
      <c r="O795" s="242"/>
    </row>
    <row r="796">
      <c r="A796" s="242"/>
      <c r="B796" s="242"/>
      <c r="C796" s="243"/>
      <c r="D796" s="242"/>
      <c r="E796" s="242"/>
      <c r="F796" s="242"/>
      <c r="G796" s="250"/>
      <c r="H796" s="251"/>
      <c r="I796" s="242"/>
      <c r="J796" s="242"/>
      <c r="K796" s="242"/>
      <c r="L796" s="242"/>
      <c r="M796" s="242"/>
      <c r="N796" s="242"/>
      <c r="O796" s="242"/>
    </row>
    <row r="797">
      <c r="A797" s="242"/>
      <c r="B797" s="242"/>
      <c r="C797" s="243"/>
      <c r="D797" s="242"/>
      <c r="E797" s="242"/>
      <c r="F797" s="242"/>
      <c r="G797" s="250"/>
      <c r="H797" s="251"/>
      <c r="I797" s="242"/>
      <c r="J797" s="242"/>
      <c r="K797" s="242"/>
      <c r="L797" s="242"/>
      <c r="M797" s="242"/>
      <c r="N797" s="242"/>
      <c r="O797" s="242"/>
    </row>
    <row r="798">
      <c r="A798" s="242"/>
      <c r="B798" s="242"/>
      <c r="C798" s="243"/>
      <c r="D798" s="242"/>
      <c r="E798" s="242"/>
      <c r="F798" s="242"/>
      <c r="G798" s="250"/>
      <c r="H798" s="251"/>
      <c r="I798" s="242"/>
      <c r="J798" s="242"/>
      <c r="K798" s="242"/>
      <c r="L798" s="242"/>
      <c r="M798" s="242"/>
      <c r="N798" s="242"/>
      <c r="O798" s="242"/>
    </row>
    <row r="799">
      <c r="A799" s="242"/>
      <c r="B799" s="242"/>
      <c r="C799" s="243"/>
      <c r="D799" s="242"/>
      <c r="E799" s="242"/>
      <c r="F799" s="242"/>
      <c r="G799" s="250"/>
      <c r="H799" s="251"/>
      <c r="I799" s="242"/>
      <c r="J799" s="242"/>
      <c r="K799" s="242"/>
      <c r="L799" s="242"/>
      <c r="M799" s="242"/>
      <c r="N799" s="242"/>
      <c r="O799" s="242"/>
    </row>
    <row r="800">
      <c r="A800" s="242"/>
      <c r="B800" s="242"/>
      <c r="C800" s="243"/>
      <c r="D800" s="242"/>
      <c r="E800" s="242"/>
      <c r="F800" s="242"/>
      <c r="G800" s="250"/>
      <c r="H800" s="251"/>
      <c r="I800" s="242"/>
      <c r="J800" s="242"/>
      <c r="K800" s="242"/>
      <c r="L800" s="242"/>
      <c r="M800" s="242"/>
      <c r="N800" s="242"/>
      <c r="O800" s="242"/>
    </row>
    <row r="801">
      <c r="A801" s="242"/>
      <c r="B801" s="242"/>
      <c r="C801" s="243"/>
      <c r="D801" s="242"/>
      <c r="E801" s="242"/>
      <c r="F801" s="242"/>
      <c r="G801" s="250"/>
      <c r="H801" s="251"/>
      <c r="I801" s="242"/>
      <c r="J801" s="242"/>
      <c r="K801" s="242"/>
      <c r="L801" s="242"/>
      <c r="M801" s="242"/>
      <c r="N801" s="242"/>
      <c r="O801" s="242"/>
    </row>
    <row r="802">
      <c r="A802" s="242"/>
      <c r="B802" s="242"/>
      <c r="C802" s="243"/>
      <c r="D802" s="242"/>
      <c r="E802" s="242"/>
      <c r="F802" s="242"/>
      <c r="G802" s="250"/>
      <c r="H802" s="251"/>
      <c r="I802" s="242"/>
      <c r="J802" s="242"/>
      <c r="K802" s="242"/>
      <c r="L802" s="242"/>
      <c r="M802" s="242"/>
      <c r="N802" s="242"/>
      <c r="O802" s="242"/>
    </row>
    <row r="803">
      <c r="A803" s="242"/>
      <c r="B803" s="242"/>
      <c r="C803" s="243"/>
      <c r="D803" s="242"/>
      <c r="E803" s="242"/>
      <c r="F803" s="242"/>
      <c r="G803" s="250"/>
      <c r="H803" s="251"/>
      <c r="I803" s="242"/>
      <c r="J803" s="242"/>
      <c r="K803" s="242"/>
      <c r="L803" s="242"/>
      <c r="M803" s="242"/>
      <c r="N803" s="242"/>
      <c r="O803" s="242"/>
    </row>
    <row r="804">
      <c r="A804" s="242"/>
      <c r="B804" s="242"/>
      <c r="C804" s="243"/>
      <c r="D804" s="242"/>
      <c r="E804" s="242"/>
      <c r="F804" s="242"/>
      <c r="G804" s="250"/>
      <c r="H804" s="251"/>
      <c r="I804" s="242"/>
      <c r="J804" s="242"/>
      <c r="K804" s="242"/>
      <c r="L804" s="242"/>
      <c r="M804" s="242"/>
      <c r="N804" s="242"/>
      <c r="O804" s="242"/>
    </row>
    <row r="805">
      <c r="A805" s="242"/>
      <c r="B805" s="242"/>
      <c r="C805" s="243"/>
      <c r="D805" s="242"/>
      <c r="E805" s="242"/>
      <c r="F805" s="242"/>
      <c r="G805" s="250"/>
      <c r="H805" s="251"/>
      <c r="I805" s="242"/>
      <c r="J805" s="242"/>
      <c r="K805" s="242"/>
      <c r="L805" s="242"/>
      <c r="M805" s="242"/>
      <c r="N805" s="242"/>
      <c r="O805" s="242"/>
    </row>
    <row r="806">
      <c r="A806" s="242"/>
      <c r="B806" s="242"/>
      <c r="C806" s="243"/>
      <c r="D806" s="242"/>
      <c r="E806" s="242"/>
      <c r="F806" s="242"/>
      <c r="G806" s="250"/>
      <c r="H806" s="251"/>
      <c r="I806" s="242"/>
      <c r="J806" s="242"/>
      <c r="K806" s="242"/>
      <c r="L806" s="242"/>
      <c r="M806" s="242"/>
      <c r="N806" s="242"/>
      <c r="O806" s="242"/>
    </row>
    <row r="807">
      <c r="A807" s="242"/>
      <c r="B807" s="242"/>
      <c r="C807" s="243"/>
      <c r="D807" s="242"/>
      <c r="E807" s="242"/>
      <c r="F807" s="242"/>
      <c r="G807" s="250"/>
      <c r="H807" s="251"/>
      <c r="I807" s="242"/>
      <c r="J807" s="242"/>
      <c r="K807" s="242"/>
      <c r="L807" s="242"/>
      <c r="M807" s="242"/>
      <c r="N807" s="242"/>
      <c r="O807" s="242"/>
    </row>
    <row r="808">
      <c r="A808" s="242"/>
      <c r="B808" s="242"/>
      <c r="C808" s="243"/>
      <c r="D808" s="242"/>
      <c r="E808" s="242"/>
      <c r="F808" s="242"/>
      <c r="G808" s="250"/>
      <c r="H808" s="251"/>
      <c r="I808" s="242"/>
      <c r="J808" s="242"/>
      <c r="K808" s="242"/>
      <c r="L808" s="242"/>
      <c r="M808" s="242"/>
      <c r="N808" s="242"/>
      <c r="O808" s="242"/>
    </row>
    <row r="809">
      <c r="A809" s="242"/>
      <c r="B809" s="242"/>
      <c r="C809" s="243"/>
      <c r="D809" s="242"/>
      <c r="E809" s="242"/>
      <c r="F809" s="242"/>
      <c r="G809" s="250"/>
      <c r="H809" s="251"/>
      <c r="I809" s="242"/>
      <c r="J809" s="242"/>
      <c r="K809" s="242"/>
      <c r="L809" s="242"/>
      <c r="M809" s="242"/>
      <c r="N809" s="242"/>
      <c r="O809" s="242"/>
    </row>
    <row r="810">
      <c r="A810" s="242"/>
      <c r="B810" s="242"/>
      <c r="C810" s="243"/>
      <c r="D810" s="242"/>
      <c r="E810" s="242"/>
      <c r="F810" s="242"/>
      <c r="G810" s="250"/>
      <c r="H810" s="251"/>
      <c r="I810" s="242"/>
      <c r="J810" s="242"/>
      <c r="K810" s="242"/>
      <c r="L810" s="242"/>
      <c r="M810" s="242"/>
      <c r="N810" s="242"/>
      <c r="O810" s="242"/>
    </row>
    <row r="811">
      <c r="A811" s="242"/>
      <c r="B811" s="242"/>
      <c r="C811" s="243"/>
      <c r="D811" s="242"/>
      <c r="E811" s="242"/>
      <c r="F811" s="242"/>
      <c r="G811" s="250"/>
      <c r="H811" s="251"/>
      <c r="I811" s="242"/>
      <c r="J811" s="242"/>
      <c r="K811" s="242"/>
      <c r="L811" s="242"/>
      <c r="M811" s="242"/>
      <c r="N811" s="242"/>
      <c r="O811" s="242"/>
    </row>
    <row r="812">
      <c r="A812" s="242"/>
      <c r="B812" s="242"/>
      <c r="C812" s="243"/>
      <c r="D812" s="242"/>
      <c r="E812" s="242"/>
      <c r="F812" s="242"/>
      <c r="G812" s="250"/>
      <c r="H812" s="251"/>
      <c r="I812" s="242"/>
      <c r="J812" s="242"/>
      <c r="K812" s="242"/>
      <c r="L812" s="242"/>
      <c r="M812" s="242"/>
      <c r="N812" s="242"/>
      <c r="O812" s="242"/>
    </row>
    <row r="813">
      <c r="A813" s="242"/>
      <c r="B813" s="242"/>
      <c r="C813" s="243"/>
      <c r="D813" s="242"/>
      <c r="E813" s="242"/>
      <c r="F813" s="242"/>
      <c r="G813" s="250"/>
      <c r="H813" s="251"/>
      <c r="I813" s="242"/>
      <c r="J813" s="242"/>
      <c r="K813" s="242"/>
      <c r="L813" s="242"/>
      <c r="M813" s="242"/>
      <c r="N813" s="242"/>
      <c r="O813" s="242"/>
    </row>
    <row r="814">
      <c r="A814" s="242"/>
      <c r="B814" s="242"/>
      <c r="C814" s="243"/>
      <c r="D814" s="242"/>
      <c r="E814" s="242"/>
      <c r="F814" s="242"/>
      <c r="G814" s="250"/>
      <c r="H814" s="251"/>
      <c r="I814" s="242"/>
      <c r="J814" s="242"/>
      <c r="K814" s="242"/>
      <c r="L814" s="242"/>
      <c r="M814" s="242"/>
      <c r="N814" s="242"/>
      <c r="O814" s="242"/>
    </row>
    <row r="815">
      <c r="A815" s="242"/>
      <c r="B815" s="242"/>
      <c r="C815" s="243"/>
      <c r="D815" s="242"/>
      <c r="E815" s="242"/>
      <c r="F815" s="242"/>
      <c r="G815" s="250"/>
      <c r="H815" s="251"/>
      <c r="I815" s="242"/>
      <c r="J815" s="242"/>
      <c r="K815" s="242"/>
      <c r="L815" s="242"/>
      <c r="M815" s="242"/>
      <c r="N815" s="242"/>
      <c r="O815" s="242"/>
    </row>
    <row r="816">
      <c r="A816" s="242"/>
      <c r="B816" s="242"/>
      <c r="C816" s="243"/>
      <c r="D816" s="242"/>
      <c r="E816" s="242"/>
      <c r="F816" s="242"/>
      <c r="G816" s="250"/>
      <c r="H816" s="251"/>
      <c r="I816" s="242"/>
      <c r="J816" s="242"/>
      <c r="K816" s="242"/>
      <c r="L816" s="242"/>
      <c r="M816" s="242"/>
      <c r="N816" s="242"/>
      <c r="O816" s="242"/>
    </row>
    <row r="817">
      <c r="A817" s="242"/>
      <c r="B817" s="242"/>
      <c r="C817" s="243"/>
      <c r="D817" s="242"/>
      <c r="E817" s="242"/>
      <c r="F817" s="242"/>
      <c r="G817" s="250"/>
      <c r="H817" s="251"/>
      <c r="I817" s="242"/>
      <c r="J817" s="242"/>
      <c r="K817" s="242"/>
      <c r="L817" s="242"/>
      <c r="M817" s="242"/>
      <c r="N817" s="242"/>
      <c r="O817" s="242"/>
    </row>
    <row r="818">
      <c r="A818" s="242"/>
      <c r="B818" s="242"/>
      <c r="C818" s="243"/>
      <c r="D818" s="242"/>
      <c r="E818" s="242"/>
      <c r="F818" s="242"/>
      <c r="G818" s="250"/>
      <c r="H818" s="251"/>
      <c r="I818" s="242"/>
      <c r="J818" s="242"/>
      <c r="K818" s="242"/>
      <c r="L818" s="242"/>
      <c r="M818" s="242"/>
      <c r="N818" s="242"/>
      <c r="O818" s="242"/>
    </row>
    <row r="819">
      <c r="A819" s="242"/>
      <c r="B819" s="242"/>
      <c r="C819" s="243"/>
      <c r="D819" s="242"/>
      <c r="E819" s="242"/>
      <c r="F819" s="242"/>
      <c r="G819" s="250"/>
      <c r="H819" s="251"/>
      <c r="I819" s="242"/>
      <c r="J819" s="242"/>
      <c r="K819" s="242"/>
      <c r="L819" s="242"/>
      <c r="M819" s="242"/>
      <c r="N819" s="242"/>
      <c r="O819" s="242"/>
    </row>
    <row r="820">
      <c r="A820" s="242"/>
      <c r="B820" s="242"/>
      <c r="C820" s="243"/>
      <c r="D820" s="242"/>
      <c r="E820" s="242"/>
      <c r="F820" s="242"/>
      <c r="G820" s="250"/>
      <c r="H820" s="251"/>
      <c r="I820" s="242"/>
      <c r="J820" s="242"/>
      <c r="K820" s="242"/>
      <c r="L820" s="242"/>
      <c r="M820" s="242"/>
      <c r="N820" s="242"/>
      <c r="O820" s="242"/>
    </row>
    <row r="821">
      <c r="A821" s="242"/>
      <c r="B821" s="242"/>
      <c r="C821" s="243"/>
      <c r="D821" s="242"/>
      <c r="E821" s="242"/>
      <c r="F821" s="242"/>
      <c r="G821" s="250"/>
      <c r="H821" s="251"/>
      <c r="I821" s="242"/>
      <c r="J821" s="242"/>
      <c r="K821" s="242"/>
      <c r="L821" s="242"/>
      <c r="M821" s="242"/>
      <c r="N821" s="242"/>
      <c r="O821" s="242"/>
    </row>
    <row r="822">
      <c r="A822" s="242"/>
      <c r="B822" s="242"/>
      <c r="C822" s="243"/>
      <c r="D822" s="242"/>
      <c r="E822" s="242"/>
      <c r="F822" s="242"/>
      <c r="G822" s="250"/>
      <c r="H822" s="251"/>
      <c r="I822" s="242"/>
      <c r="J822" s="242"/>
      <c r="K822" s="242"/>
      <c r="L822" s="242"/>
      <c r="M822" s="242"/>
      <c r="N822" s="242"/>
      <c r="O822" s="242"/>
    </row>
    <row r="823">
      <c r="A823" s="242"/>
      <c r="B823" s="242"/>
      <c r="C823" s="243"/>
      <c r="D823" s="242"/>
      <c r="E823" s="242"/>
      <c r="F823" s="242"/>
      <c r="G823" s="250"/>
      <c r="H823" s="251"/>
      <c r="I823" s="242"/>
      <c r="J823" s="242"/>
      <c r="K823" s="242"/>
      <c r="L823" s="242"/>
      <c r="M823" s="242"/>
      <c r="N823" s="242"/>
      <c r="O823" s="242"/>
    </row>
    <row r="824">
      <c r="A824" s="242"/>
      <c r="B824" s="242"/>
      <c r="C824" s="243"/>
      <c r="D824" s="242"/>
      <c r="E824" s="242"/>
      <c r="F824" s="242"/>
      <c r="G824" s="250"/>
      <c r="H824" s="251"/>
      <c r="I824" s="242"/>
      <c r="J824" s="242"/>
      <c r="K824" s="242"/>
      <c r="L824" s="242"/>
      <c r="M824" s="242"/>
      <c r="N824" s="242"/>
      <c r="O824" s="242"/>
    </row>
    <row r="825">
      <c r="A825" s="242"/>
      <c r="B825" s="242"/>
      <c r="C825" s="243"/>
      <c r="D825" s="242"/>
      <c r="E825" s="242"/>
      <c r="F825" s="242"/>
      <c r="G825" s="250"/>
      <c r="H825" s="251"/>
      <c r="I825" s="242"/>
      <c r="J825" s="242"/>
      <c r="K825" s="242"/>
      <c r="L825" s="242"/>
      <c r="M825" s="242"/>
      <c r="N825" s="242"/>
      <c r="O825" s="242"/>
    </row>
    <row r="826">
      <c r="A826" s="242"/>
      <c r="B826" s="242"/>
      <c r="C826" s="243"/>
      <c r="D826" s="242"/>
      <c r="E826" s="242"/>
      <c r="F826" s="242"/>
      <c r="G826" s="250"/>
      <c r="H826" s="251"/>
      <c r="I826" s="242"/>
      <c r="J826" s="242"/>
      <c r="K826" s="242"/>
      <c r="L826" s="242"/>
      <c r="M826" s="242"/>
      <c r="N826" s="242"/>
      <c r="O826" s="242"/>
    </row>
    <row r="827">
      <c r="A827" s="242"/>
      <c r="B827" s="242"/>
      <c r="C827" s="243"/>
      <c r="D827" s="242"/>
      <c r="E827" s="242"/>
      <c r="F827" s="242"/>
      <c r="G827" s="250"/>
      <c r="H827" s="251"/>
      <c r="I827" s="242"/>
      <c r="J827" s="242"/>
      <c r="K827" s="242"/>
      <c r="L827" s="242"/>
      <c r="M827" s="242"/>
      <c r="N827" s="242"/>
      <c r="O827" s="242"/>
    </row>
    <row r="828">
      <c r="A828" s="242"/>
      <c r="B828" s="242"/>
      <c r="C828" s="243"/>
      <c r="D828" s="242"/>
      <c r="E828" s="242"/>
      <c r="F828" s="242"/>
      <c r="G828" s="250"/>
      <c r="H828" s="251"/>
      <c r="I828" s="242"/>
      <c r="J828" s="242"/>
      <c r="K828" s="242"/>
      <c r="L828" s="242"/>
      <c r="M828" s="242"/>
      <c r="N828" s="242"/>
      <c r="O828" s="242"/>
    </row>
    <row r="829">
      <c r="A829" s="242"/>
      <c r="B829" s="242"/>
      <c r="C829" s="243"/>
      <c r="D829" s="242"/>
      <c r="E829" s="242"/>
      <c r="F829" s="242"/>
      <c r="G829" s="250"/>
      <c r="H829" s="251"/>
      <c r="I829" s="242"/>
      <c r="J829" s="242"/>
      <c r="K829" s="242"/>
      <c r="L829" s="242"/>
      <c r="M829" s="242"/>
      <c r="N829" s="242"/>
      <c r="O829" s="242"/>
    </row>
    <row r="830">
      <c r="A830" s="242"/>
      <c r="B830" s="242"/>
      <c r="C830" s="243"/>
      <c r="D830" s="242"/>
      <c r="E830" s="242"/>
      <c r="F830" s="242"/>
      <c r="G830" s="250"/>
      <c r="H830" s="251"/>
      <c r="I830" s="242"/>
      <c r="J830" s="242"/>
      <c r="K830" s="242"/>
      <c r="L830" s="242"/>
      <c r="M830" s="242"/>
      <c r="N830" s="242"/>
      <c r="O830" s="242"/>
    </row>
    <row r="831">
      <c r="A831" s="242"/>
      <c r="B831" s="242"/>
      <c r="C831" s="243"/>
      <c r="D831" s="242"/>
      <c r="E831" s="242"/>
      <c r="F831" s="242"/>
      <c r="G831" s="250"/>
      <c r="H831" s="251"/>
      <c r="I831" s="242"/>
      <c r="J831" s="242"/>
      <c r="K831" s="242"/>
      <c r="L831" s="242"/>
      <c r="M831" s="242"/>
      <c r="N831" s="242"/>
      <c r="O831" s="242"/>
    </row>
    <row r="832">
      <c r="A832" s="242"/>
      <c r="B832" s="242"/>
      <c r="C832" s="243"/>
      <c r="D832" s="242"/>
      <c r="E832" s="242"/>
      <c r="F832" s="242"/>
      <c r="G832" s="250"/>
      <c r="H832" s="251"/>
      <c r="I832" s="242"/>
      <c r="J832" s="242"/>
      <c r="K832" s="242"/>
      <c r="L832" s="242"/>
      <c r="M832" s="242"/>
      <c r="N832" s="242"/>
      <c r="O832" s="242"/>
    </row>
    <row r="833">
      <c r="A833" s="242"/>
      <c r="B833" s="242"/>
      <c r="C833" s="243"/>
      <c r="D833" s="242"/>
      <c r="E833" s="242"/>
      <c r="F833" s="242"/>
      <c r="G833" s="250"/>
      <c r="H833" s="251"/>
      <c r="I833" s="242"/>
      <c r="J833" s="242"/>
      <c r="K833" s="242"/>
      <c r="L833" s="242"/>
      <c r="M833" s="242"/>
      <c r="N833" s="242"/>
      <c r="O833" s="242"/>
    </row>
    <row r="834">
      <c r="A834" s="242"/>
      <c r="B834" s="242"/>
      <c r="C834" s="243"/>
      <c r="D834" s="242"/>
      <c r="E834" s="242"/>
      <c r="F834" s="242"/>
      <c r="G834" s="250"/>
      <c r="H834" s="251"/>
      <c r="I834" s="242"/>
      <c r="J834" s="242"/>
      <c r="K834" s="242"/>
      <c r="L834" s="242"/>
      <c r="M834" s="242"/>
      <c r="N834" s="242"/>
      <c r="O834" s="242"/>
    </row>
    <row r="835">
      <c r="A835" s="242"/>
      <c r="B835" s="242"/>
      <c r="C835" s="243"/>
      <c r="D835" s="242"/>
      <c r="E835" s="242"/>
      <c r="F835" s="242"/>
      <c r="G835" s="250"/>
      <c r="H835" s="251"/>
      <c r="I835" s="242"/>
      <c r="J835" s="242"/>
      <c r="K835" s="242"/>
      <c r="L835" s="242"/>
      <c r="M835" s="242"/>
      <c r="N835" s="242"/>
      <c r="O835" s="242"/>
    </row>
    <row r="836">
      <c r="A836" s="242"/>
      <c r="B836" s="242"/>
      <c r="C836" s="243"/>
      <c r="D836" s="242"/>
      <c r="E836" s="242"/>
      <c r="F836" s="242"/>
      <c r="G836" s="250"/>
      <c r="H836" s="251"/>
      <c r="I836" s="242"/>
      <c r="J836" s="242"/>
      <c r="K836" s="242"/>
      <c r="L836" s="242"/>
      <c r="M836" s="242"/>
      <c r="N836" s="242"/>
      <c r="O836" s="242"/>
    </row>
    <row r="837">
      <c r="A837" s="242"/>
      <c r="B837" s="242"/>
      <c r="C837" s="243"/>
      <c r="D837" s="242"/>
      <c r="E837" s="242"/>
      <c r="F837" s="242"/>
      <c r="G837" s="250"/>
      <c r="H837" s="251"/>
      <c r="I837" s="242"/>
      <c r="J837" s="242"/>
      <c r="K837" s="242"/>
      <c r="L837" s="242"/>
      <c r="M837" s="242"/>
      <c r="N837" s="242"/>
      <c r="O837" s="242"/>
    </row>
    <row r="838">
      <c r="A838" s="242"/>
      <c r="B838" s="242"/>
      <c r="C838" s="243"/>
      <c r="D838" s="242"/>
      <c r="E838" s="242"/>
      <c r="F838" s="242"/>
      <c r="G838" s="250"/>
      <c r="H838" s="251"/>
      <c r="I838" s="242"/>
      <c r="J838" s="242"/>
      <c r="K838" s="242"/>
      <c r="L838" s="242"/>
      <c r="M838" s="242"/>
      <c r="N838" s="242"/>
      <c r="O838" s="242"/>
    </row>
    <row r="839">
      <c r="A839" s="242"/>
      <c r="B839" s="242"/>
      <c r="C839" s="243"/>
      <c r="D839" s="242"/>
      <c r="E839" s="242"/>
      <c r="F839" s="242"/>
      <c r="G839" s="250"/>
      <c r="H839" s="251"/>
      <c r="I839" s="242"/>
      <c r="J839" s="242"/>
      <c r="K839" s="242"/>
      <c r="L839" s="242"/>
      <c r="M839" s="242"/>
      <c r="N839" s="242"/>
      <c r="O839" s="242"/>
    </row>
    <row r="840">
      <c r="A840" s="242"/>
      <c r="B840" s="242"/>
      <c r="C840" s="243"/>
      <c r="D840" s="242"/>
      <c r="E840" s="242"/>
      <c r="F840" s="242"/>
      <c r="G840" s="250"/>
      <c r="H840" s="251"/>
      <c r="I840" s="242"/>
      <c r="J840" s="242"/>
      <c r="K840" s="242"/>
      <c r="L840" s="242"/>
      <c r="M840" s="242"/>
      <c r="N840" s="242"/>
      <c r="O840" s="242"/>
    </row>
    <row r="841">
      <c r="A841" s="242"/>
      <c r="B841" s="242"/>
      <c r="C841" s="243"/>
      <c r="D841" s="242"/>
      <c r="E841" s="242"/>
      <c r="F841" s="242"/>
      <c r="G841" s="250"/>
      <c r="H841" s="251"/>
      <c r="I841" s="242"/>
      <c r="J841" s="242"/>
      <c r="K841" s="242"/>
      <c r="L841" s="242"/>
      <c r="M841" s="242"/>
      <c r="N841" s="242"/>
      <c r="O841" s="242"/>
    </row>
    <row r="842">
      <c r="A842" s="242"/>
      <c r="B842" s="242"/>
      <c r="C842" s="243"/>
      <c r="D842" s="242"/>
      <c r="E842" s="242"/>
      <c r="F842" s="242"/>
      <c r="G842" s="250"/>
      <c r="H842" s="251"/>
      <c r="I842" s="242"/>
      <c r="J842" s="242"/>
      <c r="K842" s="242"/>
      <c r="L842" s="242"/>
      <c r="M842" s="242"/>
      <c r="N842" s="242"/>
      <c r="O842" s="242"/>
    </row>
    <row r="843">
      <c r="A843" s="242"/>
      <c r="B843" s="242"/>
      <c r="C843" s="243"/>
      <c r="D843" s="242"/>
      <c r="E843" s="242"/>
      <c r="F843" s="242"/>
      <c r="G843" s="250"/>
      <c r="H843" s="251"/>
      <c r="I843" s="242"/>
      <c r="J843" s="242"/>
      <c r="K843" s="242"/>
      <c r="L843" s="242"/>
      <c r="M843" s="242"/>
      <c r="N843" s="242"/>
      <c r="O843" s="242"/>
    </row>
    <row r="844">
      <c r="A844" s="242"/>
      <c r="B844" s="242"/>
      <c r="C844" s="243"/>
      <c r="D844" s="242"/>
      <c r="E844" s="242"/>
      <c r="F844" s="242"/>
      <c r="G844" s="250"/>
      <c r="H844" s="251"/>
      <c r="I844" s="242"/>
      <c r="J844" s="242"/>
      <c r="K844" s="242"/>
      <c r="L844" s="242"/>
      <c r="M844" s="242"/>
      <c r="N844" s="242"/>
      <c r="O844" s="242"/>
    </row>
    <row r="845">
      <c r="A845" s="242"/>
      <c r="B845" s="242"/>
      <c r="C845" s="243"/>
      <c r="D845" s="242"/>
      <c r="E845" s="242"/>
      <c r="F845" s="242"/>
      <c r="G845" s="250"/>
      <c r="H845" s="251"/>
      <c r="I845" s="242"/>
      <c r="J845" s="242"/>
      <c r="K845" s="242"/>
      <c r="L845" s="242"/>
      <c r="M845" s="242"/>
      <c r="N845" s="242"/>
      <c r="O845" s="242"/>
    </row>
    <row r="846">
      <c r="A846" s="242"/>
      <c r="B846" s="242"/>
      <c r="C846" s="243"/>
      <c r="D846" s="242"/>
      <c r="E846" s="242"/>
      <c r="F846" s="242"/>
      <c r="G846" s="250"/>
      <c r="H846" s="251"/>
      <c r="I846" s="242"/>
      <c r="J846" s="242"/>
      <c r="K846" s="242"/>
      <c r="L846" s="242"/>
      <c r="M846" s="242"/>
      <c r="N846" s="242"/>
      <c r="O846" s="242"/>
    </row>
    <row r="847">
      <c r="A847" s="242"/>
      <c r="B847" s="242"/>
      <c r="C847" s="243"/>
      <c r="D847" s="242"/>
      <c r="E847" s="242"/>
      <c r="F847" s="242"/>
      <c r="G847" s="250"/>
      <c r="H847" s="251"/>
      <c r="I847" s="242"/>
      <c r="J847" s="242"/>
      <c r="K847" s="242"/>
      <c r="L847" s="242"/>
      <c r="M847" s="242"/>
      <c r="N847" s="242"/>
      <c r="O847" s="242"/>
    </row>
    <row r="848">
      <c r="A848" s="242"/>
      <c r="B848" s="242"/>
      <c r="C848" s="243"/>
      <c r="D848" s="242"/>
      <c r="E848" s="242"/>
      <c r="F848" s="242"/>
      <c r="G848" s="250"/>
      <c r="H848" s="251"/>
      <c r="I848" s="242"/>
      <c r="J848" s="242"/>
      <c r="K848" s="242"/>
      <c r="L848" s="242"/>
      <c r="M848" s="242"/>
      <c r="N848" s="242"/>
      <c r="O848" s="242"/>
    </row>
    <row r="849">
      <c r="A849" s="242"/>
      <c r="B849" s="242"/>
      <c r="C849" s="243"/>
      <c r="D849" s="242"/>
      <c r="E849" s="242"/>
      <c r="F849" s="242"/>
      <c r="G849" s="250"/>
      <c r="H849" s="251"/>
      <c r="I849" s="242"/>
      <c r="J849" s="242"/>
      <c r="K849" s="242"/>
      <c r="L849" s="242"/>
      <c r="M849" s="242"/>
      <c r="N849" s="242"/>
      <c r="O849" s="242"/>
    </row>
    <row r="850">
      <c r="A850" s="242"/>
      <c r="B850" s="242"/>
      <c r="C850" s="243"/>
      <c r="D850" s="242"/>
      <c r="E850" s="242"/>
      <c r="F850" s="242"/>
      <c r="G850" s="250"/>
      <c r="H850" s="251"/>
      <c r="I850" s="242"/>
      <c r="J850" s="242"/>
      <c r="K850" s="242"/>
      <c r="L850" s="242"/>
      <c r="M850" s="242"/>
      <c r="N850" s="242"/>
      <c r="O850" s="242"/>
    </row>
    <row r="851">
      <c r="A851" s="242"/>
      <c r="B851" s="242"/>
      <c r="C851" s="243"/>
      <c r="D851" s="242"/>
      <c r="E851" s="242"/>
      <c r="F851" s="242"/>
      <c r="G851" s="250"/>
      <c r="H851" s="251"/>
      <c r="I851" s="242"/>
      <c r="J851" s="242"/>
      <c r="K851" s="242"/>
      <c r="L851" s="242"/>
      <c r="M851" s="242"/>
      <c r="N851" s="242"/>
      <c r="O851" s="242"/>
    </row>
    <row r="852">
      <c r="A852" s="242"/>
      <c r="B852" s="242"/>
      <c r="C852" s="243"/>
      <c r="D852" s="242"/>
      <c r="E852" s="242"/>
      <c r="F852" s="242"/>
      <c r="G852" s="250"/>
      <c r="H852" s="251"/>
      <c r="I852" s="242"/>
      <c r="J852" s="242"/>
      <c r="K852" s="242"/>
      <c r="L852" s="242"/>
      <c r="M852" s="242"/>
      <c r="N852" s="242"/>
      <c r="O852" s="242"/>
    </row>
    <row r="853">
      <c r="A853" s="242"/>
      <c r="B853" s="242"/>
      <c r="C853" s="243"/>
      <c r="D853" s="242"/>
      <c r="E853" s="242"/>
      <c r="F853" s="242"/>
      <c r="G853" s="250"/>
      <c r="H853" s="251"/>
      <c r="I853" s="242"/>
      <c r="J853" s="242"/>
      <c r="K853" s="242"/>
      <c r="L853" s="242"/>
      <c r="M853" s="242"/>
      <c r="N853" s="242"/>
      <c r="O853" s="242"/>
    </row>
    <row r="854">
      <c r="A854" s="242"/>
      <c r="B854" s="242"/>
      <c r="C854" s="243"/>
      <c r="D854" s="242"/>
      <c r="E854" s="242"/>
      <c r="F854" s="242"/>
      <c r="G854" s="250"/>
      <c r="H854" s="251"/>
      <c r="I854" s="242"/>
      <c r="J854" s="242"/>
      <c r="K854" s="242"/>
      <c r="L854" s="242"/>
      <c r="M854" s="242"/>
      <c r="N854" s="242"/>
      <c r="O854" s="242"/>
    </row>
    <row r="855">
      <c r="A855" s="242"/>
      <c r="B855" s="242"/>
      <c r="C855" s="243"/>
      <c r="D855" s="242"/>
      <c r="E855" s="242"/>
      <c r="F855" s="242"/>
      <c r="G855" s="250"/>
      <c r="H855" s="251"/>
      <c r="I855" s="242"/>
      <c r="J855" s="242"/>
      <c r="K855" s="242"/>
      <c r="L855" s="242"/>
      <c r="M855" s="242"/>
      <c r="N855" s="242"/>
      <c r="O855" s="242"/>
    </row>
    <row r="856">
      <c r="A856" s="242"/>
      <c r="B856" s="242"/>
      <c r="C856" s="243"/>
      <c r="D856" s="242"/>
      <c r="E856" s="242"/>
      <c r="F856" s="242"/>
      <c r="G856" s="250"/>
      <c r="H856" s="251"/>
      <c r="I856" s="242"/>
      <c r="J856" s="242"/>
      <c r="K856" s="242"/>
      <c r="L856" s="242"/>
      <c r="M856" s="242"/>
      <c r="N856" s="242"/>
      <c r="O856" s="242"/>
    </row>
    <row r="857">
      <c r="A857" s="242"/>
      <c r="B857" s="242"/>
      <c r="C857" s="243"/>
      <c r="D857" s="242"/>
      <c r="E857" s="242"/>
      <c r="F857" s="242"/>
      <c r="G857" s="250"/>
      <c r="H857" s="251"/>
      <c r="I857" s="242"/>
      <c r="J857" s="242"/>
      <c r="K857" s="242"/>
      <c r="L857" s="242"/>
      <c r="M857" s="242"/>
      <c r="N857" s="242"/>
      <c r="O857" s="242"/>
    </row>
    <row r="858">
      <c r="A858" s="242"/>
      <c r="B858" s="242"/>
      <c r="C858" s="243"/>
      <c r="D858" s="242"/>
      <c r="E858" s="242"/>
      <c r="F858" s="242"/>
      <c r="G858" s="250"/>
      <c r="H858" s="251"/>
      <c r="I858" s="242"/>
      <c r="J858" s="242"/>
      <c r="K858" s="242"/>
      <c r="L858" s="242"/>
      <c r="M858" s="242"/>
      <c r="N858" s="242"/>
      <c r="O858" s="242"/>
    </row>
    <row r="859">
      <c r="A859" s="242"/>
      <c r="B859" s="242"/>
      <c r="C859" s="243"/>
      <c r="D859" s="242"/>
      <c r="E859" s="242"/>
      <c r="F859" s="242"/>
      <c r="G859" s="250"/>
      <c r="H859" s="251"/>
      <c r="I859" s="242"/>
      <c r="J859" s="242"/>
      <c r="K859" s="242"/>
      <c r="L859" s="242"/>
      <c r="M859" s="242"/>
      <c r="N859" s="242"/>
      <c r="O859" s="242"/>
    </row>
    <row r="860">
      <c r="A860" s="242"/>
      <c r="B860" s="242"/>
      <c r="C860" s="243"/>
      <c r="D860" s="242"/>
      <c r="E860" s="242"/>
      <c r="F860" s="242"/>
      <c r="G860" s="250"/>
      <c r="H860" s="251"/>
      <c r="I860" s="242"/>
      <c r="J860" s="242"/>
      <c r="K860" s="242"/>
      <c r="L860" s="242"/>
      <c r="M860" s="242"/>
      <c r="N860" s="242"/>
      <c r="O860" s="242"/>
    </row>
    <row r="861">
      <c r="A861" s="242"/>
      <c r="B861" s="242"/>
      <c r="C861" s="243"/>
      <c r="D861" s="242"/>
      <c r="E861" s="242"/>
      <c r="F861" s="242"/>
      <c r="G861" s="250"/>
      <c r="H861" s="251"/>
      <c r="I861" s="242"/>
      <c r="J861" s="242"/>
      <c r="K861" s="242"/>
      <c r="L861" s="242"/>
      <c r="M861" s="242"/>
      <c r="N861" s="242"/>
      <c r="O861" s="242"/>
    </row>
    <row r="862">
      <c r="A862" s="242"/>
      <c r="B862" s="242"/>
      <c r="C862" s="243"/>
      <c r="D862" s="242"/>
      <c r="E862" s="242"/>
      <c r="F862" s="242"/>
      <c r="G862" s="250"/>
      <c r="H862" s="251"/>
      <c r="I862" s="242"/>
      <c r="J862" s="242"/>
      <c r="K862" s="242"/>
      <c r="L862" s="242"/>
      <c r="M862" s="242"/>
      <c r="N862" s="242"/>
      <c r="O862" s="242"/>
    </row>
    <row r="863">
      <c r="A863" s="242"/>
      <c r="B863" s="242"/>
      <c r="C863" s="243"/>
      <c r="D863" s="242"/>
      <c r="E863" s="242"/>
      <c r="F863" s="242"/>
      <c r="G863" s="250"/>
      <c r="H863" s="251"/>
      <c r="I863" s="242"/>
      <c r="J863" s="242"/>
      <c r="K863" s="242"/>
      <c r="L863" s="242"/>
      <c r="M863" s="242"/>
      <c r="N863" s="242"/>
      <c r="O863" s="242"/>
    </row>
    <row r="864">
      <c r="A864" s="242"/>
      <c r="B864" s="242"/>
      <c r="C864" s="243"/>
      <c r="D864" s="242"/>
      <c r="E864" s="242"/>
      <c r="F864" s="242"/>
      <c r="G864" s="250"/>
      <c r="H864" s="251"/>
      <c r="I864" s="242"/>
      <c r="J864" s="242"/>
      <c r="K864" s="242"/>
      <c r="L864" s="242"/>
      <c r="M864" s="242"/>
      <c r="N864" s="242"/>
      <c r="O864" s="242"/>
    </row>
    <row r="865">
      <c r="A865" s="242"/>
      <c r="B865" s="242"/>
      <c r="C865" s="243"/>
      <c r="D865" s="242"/>
      <c r="E865" s="242"/>
      <c r="F865" s="242"/>
      <c r="G865" s="250"/>
      <c r="H865" s="251"/>
      <c r="I865" s="242"/>
      <c r="J865" s="242"/>
      <c r="K865" s="242"/>
      <c r="L865" s="242"/>
      <c r="M865" s="242"/>
      <c r="N865" s="242"/>
      <c r="O865" s="242"/>
    </row>
    <row r="866">
      <c r="A866" s="242"/>
      <c r="B866" s="242"/>
      <c r="C866" s="243"/>
      <c r="D866" s="242"/>
      <c r="E866" s="242"/>
      <c r="F866" s="242"/>
      <c r="G866" s="250"/>
      <c r="H866" s="251"/>
      <c r="I866" s="242"/>
      <c r="J866" s="242"/>
      <c r="K866" s="242"/>
      <c r="L866" s="242"/>
      <c r="M866" s="242"/>
      <c r="N866" s="242"/>
      <c r="O866" s="242"/>
    </row>
    <row r="867">
      <c r="A867" s="242"/>
      <c r="B867" s="242"/>
      <c r="C867" s="243"/>
      <c r="D867" s="242"/>
      <c r="E867" s="242"/>
      <c r="F867" s="242"/>
      <c r="G867" s="250"/>
      <c r="H867" s="251"/>
      <c r="I867" s="242"/>
      <c r="J867" s="242"/>
      <c r="K867" s="242"/>
      <c r="L867" s="242"/>
      <c r="M867" s="242"/>
      <c r="N867" s="242"/>
      <c r="O867" s="242"/>
    </row>
    <row r="868">
      <c r="A868" s="242"/>
      <c r="B868" s="242"/>
      <c r="C868" s="243"/>
      <c r="D868" s="242"/>
      <c r="E868" s="242"/>
      <c r="F868" s="242"/>
      <c r="G868" s="250"/>
      <c r="H868" s="251"/>
      <c r="I868" s="242"/>
      <c r="J868" s="242"/>
      <c r="K868" s="242"/>
      <c r="L868" s="242"/>
      <c r="M868" s="242"/>
      <c r="N868" s="242"/>
      <c r="O868" s="242"/>
    </row>
    <row r="869">
      <c r="A869" s="242"/>
      <c r="B869" s="242"/>
      <c r="C869" s="243"/>
      <c r="D869" s="242"/>
      <c r="E869" s="242"/>
      <c r="F869" s="242"/>
      <c r="G869" s="250"/>
      <c r="H869" s="251"/>
      <c r="I869" s="242"/>
      <c r="J869" s="242"/>
      <c r="K869" s="242"/>
      <c r="L869" s="242"/>
      <c r="M869" s="242"/>
      <c r="N869" s="242"/>
      <c r="O869" s="242"/>
    </row>
    <row r="870">
      <c r="A870" s="242"/>
      <c r="B870" s="242"/>
      <c r="C870" s="243"/>
      <c r="D870" s="242"/>
      <c r="E870" s="242"/>
      <c r="F870" s="242"/>
      <c r="G870" s="250"/>
      <c r="H870" s="251"/>
      <c r="I870" s="242"/>
      <c r="J870" s="242"/>
      <c r="K870" s="242"/>
      <c r="L870" s="242"/>
      <c r="M870" s="242"/>
      <c r="N870" s="242"/>
      <c r="O870" s="242"/>
    </row>
    <row r="871">
      <c r="A871" s="242"/>
      <c r="B871" s="242"/>
      <c r="C871" s="243"/>
      <c r="D871" s="242"/>
      <c r="E871" s="242"/>
      <c r="F871" s="242"/>
      <c r="G871" s="250"/>
      <c r="H871" s="251"/>
      <c r="I871" s="242"/>
      <c r="J871" s="242"/>
      <c r="K871" s="242"/>
      <c r="L871" s="242"/>
      <c r="M871" s="242"/>
      <c r="N871" s="242"/>
      <c r="O871" s="242"/>
    </row>
    <row r="872">
      <c r="A872" s="242"/>
      <c r="B872" s="242"/>
      <c r="C872" s="243"/>
      <c r="D872" s="242"/>
      <c r="E872" s="242"/>
      <c r="F872" s="242"/>
      <c r="G872" s="250"/>
      <c r="H872" s="251"/>
      <c r="I872" s="242"/>
      <c r="J872" s="242"/>
      <c r="K872" s="242"/>
      <c r="L872" s="242"/>
      <c r="M872" s="242"/>
      <c r="N872" s="242"/>
      <c r="O872" s="242"/>
    </row>
    <row r="873">
      <c r="A873" s="242"/>
      <c r="B873" s="242"/>
      <c r="C873" s="243"/>
      <c r="D873" s="242"/>
      <c r="E873" s="242"/>
      <c r="F873" s="242"/>
      <c r="G873" s="250"/>
      <c r="H873" s="251"/>
      <c r="I873" s="242"/>
      <c r="J873" s="242"/>
      <c r="K873" s="242"/>
      <c r="L873" s="242"/>
      <c r="M873" s="242"/>
      <c r="N873" s="242"/>
      <c r="O873" s="242"/>
    </row>
    <row r="874">
      <c r="A874" s="242"/>
      <c r="B874" s="242"/>
      <c r="C874" s="243"/>
      <c r="D874" s="242"/>
      <c r="E874" s="242"/>
      <c r="F874" s="242"/>
      <c r="G874" s="250"/>
      <c r="H874" s="251"/>
      <c r="I874" s="242"/>
      <c r="J874" s="242"/>
      <c r="K874" s="242"/>
      <c r="L874" s="242"/>
      <c r="M874" s="242"/>
      <c r="N874" s="242"/>
      <c r="O874" s="242"/>
    </row>
    <row r="875">
      <c r="A875" s="242"/>
      <c r="B875" s="242"/>
      <c r="C875" s="243"/>
      <c r="D875" s="242"/>
      <c r="E875" s="242"/>
      <c r="F875" s="242"/>
      <c r="G875" s="250"/>
      <c r="H875" s="251"/>
      <c r="I875" s="242"/>
      <c r="J875" s="242"/>
      <c r="K875" s="242"/>
      <c r="L875" s="242"/>
      <c r="M875" s="242"/>
      <c r="N875" s="242"/>
      <c r="O875" s="242"/>
    </row>
    <row r="876">
      <c r="A876" s="242"/>
      <c r="B876" s="242"/>
      <c r="C876" s="243"/>
      <c r="D876" s="242"/>
      <c r="E876" s="242"/>
      <c r="F876" s="242"/>
      <c r="G876" s="250"/>
      <c r="H876" s="251"/>
      <c r="I876" s="242"/>
      <c r="J876" s="242"/>
      <c r="K876" s="242"/>
      <c r="L876" s="242"/>
      <c r="M876" s="242"/>
      <c r="N876" s="242"/>
      <c r="O876" s="242"/>
    </row>
    <row r="877">
      <c r="A877" s="242"/>
      <c r="B877" s="242"/>
      <c r="C877" s="243"/>
      <c r="D877" s="242"/>
      <c r="E877" s="242"/>
      <c r="F877" s="242"/>
      <c r="G877" s="250"/>
      <c r="H877" s="251"/>
      <c r="I877" s="242"/>
      <c r="J877" s="242"/>
      <c r="K877" s="242"/>
      <c r="L877" s="242"/>
      <c r="M877" s="242"/>
      <c r="N877" s="242"/>
      <c r="O877" s="242"/>
    </row>
    <row r="878">
      <c r="A878" s="242"/>
      <c r="B878" s="242"/>
      <c r="C878" s="243"/>
      <c r="D878" s="242"/>
      <c r="E878" s="242"/>
      <c r="F878" s="242"/>
      <c r="G878" s="250"/>
      <c r="H878" s="251"/>
      <c r="I878" s="242"/>
      <c r="J878" s="242"/>
      <c r="K878" s="242"/>
      <c r="L878" s="242"/>
      <c r="M878" s="242"/>
      <c r="N878" s="242"/>
      <c r="O878" s="242"/>
    </row>
    <row r="879">
      <c r="A879" s="242"/>
      <c r="B879" s="242"/>
      <c r="C879" s="243"/>
      <c r="D879" s="242"/>
      <c r="E879" s="242"/>
      <c r="F879" s="242"/>
      <c r="G879" s="250"/>
      <c r="H879" s="251"/>
      <c r="I879" s="242"/>
      <c r="J879" s="242"/>
      <c r="K879" s="242"/>
      <c r="L879" s="242"/>
      <c r="M879" s="242"/>
      <c r="N879" s="242"/>
      <c r="O879" s="242"/>
    </row>
    <row r="880">
      <c r="A880" s="242"/>
      <c r="B880" s="242"/>
      <c r="C880" s="243"/>
      <c r="D880" s="242"/>
      <c r="E880" s="242"/>
      <c r="F880" s="242"/>
      <c r="G880" s="250"/>
      <c r="H880" s="251"/>
      <c r="I880" s="242"/>
      <c r="J880" s="242"/>
      <c r="K880" s="242"/>
      <c r="L880" s="242"/>
      <c r="M880" s="242"/>
      <c r="N880" s="242"/>
      <c r="O880" s="242"/>
    </row>
    <row r="881">
      <c r="A881" s="242"/>
      <c r="B881" s="242"/>
      <c r="C881" s="243"/>
      <c r="D881" s="242"/>
      <c r="E881" s="242"/>
      <c r="F881" s="242"/>
      <c r="G881" s="250"/>
      <c r="H881" s="251"/>
      <c r="I881" s="242"/>
      <c r="J881" s="242"/>
      <c r="K881" s="242"/>
      <c r="L881" s="242"/>
      <c r="M881" s="242"/>
      <c r="N881" s="242"/>
      <c r="O881" s="242"/>
    </row>
    <row r="882">
      <c r="A882" s="242"/>
      <c r="B882" s="242"/>
      <c r="C882" s="243"/>
      <c r="D882" s="242"/>
      <c r="E882" s="242"/>
      <c r="F882" s="242"/>
      <c r="G882" s="250"/>
      <c r="H882" s="251"/>
      <c r="I882" s="242"/>
      <c r="J882" s="242"/>
      <c r="K882" s="242"/>
      <c r="L882" s="242"/>
      <c r="M882" s="242"/>
      <c r="N882" s="242"/>
      <c r="O882" s="242"/>
    </row>
    <row r="883">
      <c r="A883" s="242"/>
      <c r="B883" s="242"/>
      <c r="C883" s="243"/>
      <c r="D883" s="242"/>
      <c r="E883" s="242"/>
      <c r="F883" s="242"/>
      <c r="G883" s="250"/>
      <c r="H883" s="251"/>
      <c r="I883" s="242"/>
      <c r="J883" s="242"/>
      <c r="K883" s="242"/>
      <c r="L883" s="242"/>
      <c r="M883" s="242"/>
      <c r="N883" s="242"/>
      <c r="O883" s="242"/>
    </row>
    <row r="884">
      <c r="A884" s="242"/>
      <c r="B884" s="242"/>
      <c r="C884" s="243"/>
      <c r="D884" s="242"/>
      <c r="E884" s="242"/>
      <c r="F884" s="242"/>
      <c r="G884" s="250"/>
      <c r="H884" s="251"/>
      <c r="I884" s="242"/>
      <c r="J884" s="242"/>
      <c r="K884" s="242"/>
      <c r="L884" s="242"/>
      <c r="M884" s="242"/>
      <c r="N884" s="242"/>
      <c r="O884" s="242"/>
    </row>
    <row r="885">
      <c r="A885" s="242"/>
      <c r="B885" s="242"/>
      <c r="C885" s="243"/>
      <c r="D885" s="242"/>
      <c r="E885" s="242"/>
      <c r="F885" s="242"/>
      <c r="G885" s="250"/>
      <c r="H885" s="251"/>
      <c r="I885" s="242"/>
      <c r="J885" s="242"/>
      <c r="K885" s="242"/>
      <c r="L885" s="242"/>
      <c r="M885" s="242"/>
      <c r="N885" s="242"/>
      <c r="O885" s="242"/>
    </row>
    <row r="886">
      <c r="A886" s="242"/>
      <c r="B886" s="242"/>
      <c r="C886" s="243"/>
      <c r="D886" s="242"/>
      <c r="E886" s="242"/>
      <c r="F886" s="242"/>
      <c r="G886" s="250"/>
      <c r="H886" s="251"/>
      <c r="I886" s="242"/>
      <c r="J886" s="242"/>
      <c r="K886" s="242"/>
      <c r="L886" s="242"/>
      <c r="M886" s="242"/>
      <c r="N886" s="242"/>
      <c r="O886" s="242"/>
    </row>
    <row r="887">
      <c r="A887" s="242"/>
      <c r="B887" s="242"/>
      <c r="C887" s="243"/>
      <c r="D887" s="242"/>
      <c r="E887" s="242"/>
      <c r="F887" s="242"/>
      <c r="G887" s="250"/>
      <c r="H887" s="251"/>
      <c r="I887" s="242"/>
      <c r="J887" s="242"/>
      <c r="K887" s="242"/>
      <c r="L887" s="242"/>
      <c r="M887" s="242"/>
      <c r="N887" s="242"/>
      <c r="O887" s="242"/>
    </row>
    <row r="888">
      <c r="A888" s="242"/>
      <c r="B888" s="242"/>
      <c r="C888" s="243"/>
      <c r="D888" s="242"/>
      <c r="E888" s="242"/>
      <c r="F888" s="242"/>
      <c r="G888" s="250"/>
      <c r="H888" s="251"/>
      <c r="I888" s="242"/>
      <c r="J888" s="242"/>
      <c r="K888" s="242"/>
      <c r="L888" s="242"/>
      <c r="M888" s="242"/>
      <c r="N888" s="242"/>
      <c r="O888" s="242"/>
    </row>
    <row r="889">
      <c r="A889" s="242"/>
      <c r="B889" s="242"/>
      <c r="C889" s="243"/>
      <c r="D889" s="242"/>
      <c r="E889" s="242"/>
      <c r="F889" s="242"/>
      <c r="G889" s="250"/>
      <c r="H889" s="251"/>
      <c r="I889" s="242"/>
      <c r="J889" s="242"/>
      <c r="K889" s="242"/>
      <c r="L889" s="242"/>
      <c r="M889" s="242"/>
      <c r="N889" s="242"/>
      <c r="O889" s="242"/>
    </row>
    <row r="890">
      <c r="A890" s="242"/>
      <c r="B890" s="242"/>
      <c r="C890" s="243"/>
      <c r="D890" s="242"/>
      <c r="E890" s="242"/>
      <c r="F890" s="242"/>
      <c r="G890" s="250"/>
      <c r="H890" s="251"/>
      <c r="I890" s="242"/>
      <c r="J890" s="242"/>
      <c r="K890" s="242"/>
      <c r="L890" s="242"/>
      <c r="M890" s="242"/>
      <c r="N890" s="242"/>
      <c r="O890" s="242"/>
    </row>
    <row r="891">
      <c r="A891" s="242"/>
      <c r="B891" s="242"/>
      <c r="C891" s="243"/>
      <c r="D891" s="242"/>
      <c r="E891" s="242"/>
      <c r="F891" s="242"/>
      <c r="G891" s="250"/>
      <c r="H891" s="251"/>
      <c r="I891" s="242"/>
      <c r="J891" s="242"/>
      <c r="K891" s="242"/>
      <c r="L891" s="242"/>
      <c r="M891" s="242"/>
      <c r="N891" s="242"/>
      <c r="O891" s="242"/>
    </row>
    <row r="892">
      <c r="A892" s="242"/>
      <c r="B892" s="242"/>
      <c r="C892" s="243"/>
      <c r="D892" s="242"/>
      <c r="E892" s="242"/>
      <c r="F892" s="242"/>
      <c r="G892" s="250"/>
      <c r="H892" s="251"/>
      <c r="I892" s="242"/>
      <c r="J892" s="242"/>
      <c r="K892" s="242"/>
      <c r="L892" s="242"/>
      <c r="M892" s="242"/>
      <c r="N892" s="242"/>
      <c r="O892" s="242"/>
    </row>
    <row r="893">
      <c r="A893" s="242"/>
      <c r="B893" s="242"/>
      <c r="C893" s="243"/>
      <c r="D893" s="242"/>
      <c r="E893" s="242"/>
      <c r="F893" s="242"/>
      <c r="G893" s="250"/>
      <c r="H893" s="251"/>
      <c r="I893" s="242"/>
      <c r="J893" s="242"/>
      <c r="K893" s="242"/>
      <c r="L893" s="242"/>
      <c r="M893" s="242"/>
      <c r="N893" s="242"/>
      <c r="O893" s="242"/>
    </row>
    <row r="894">
      <c r="A894" s="242"/>
      <c r="B894" s="242"/>
      <c r="C894" s="243"/>
      <c r="D894" s="242"/>
      <c r="E894" s="242"/>
      <c r="F894" s="242"/>
      <c r="G894" s="250"/>
      <c r="H894" s="251"/>
      <c r="I894" s="242"/>
      <c r="J894" s="242"/>
      <c r="K894" s="242"/>
      <c r="L894" s="242"/>
      <c r="M894" s="242"/>
      <c r="N894" s="242"/>
      <c r="O894" s="242"/>
    </row>
    <row r="895">
      <c r="A895" s="242"/>
      <c r="B895" s="242"/>
      <c r="C895" s="243"/>
      <c r="D895" s="242"/>
      <c r="E895" s="242"/>
      <c r="F895" s="242"/>
      <c r="G895" s="250"/>
      <c r="H895" s="251"/>
      <c r="I895" s="242"/>
      <c r="J895" s="242"/>
      <c r="K895" s="242"/>
      <c r="L895" s="242"/>
      <c r="M895" s="242"/>
      <c r="N895" s="242"/>
      <c r="O895" s="242"/>
    </row>
    <row r="896">
      <c r="A896" s="242"/>
      <c r="B896" s="242"/>
      <c r="C896" s="243"/>
      <c r="D896" s="242"/>
      <c r="E896" s="242"/>
      <c r="F896" s="242"/>
      <c r="G896" s="250"/>
      <c r="H896" s="251"/>
      <c r="I896" s="242"/>
      <c r="J896" s="242"/>
      <c r="K896" s="242"/>
      <c r="L896" s="242"/>
      <c r="M896" s="242"/>
      <c r="N896" s="242"/>
      <c r="O896" s="242"/>
    </row>
    <row r="897">
      <c r="A897" s="242"/>
      <c r="B897" s="242"/>
      <c r="C897" s="243"/>
      <c r="D897" s="242"/>
      <c r="E897" s="242"/>
      <c r="F897" s="242"/>
      <c r="G897" s="250"/>
      <c r="H897" s="251"/>
      <c r="I897" s="242"/>
      <c r="J897" s="242"/>
      <c r="K897" s="242"/>
      <c r="L897" s="242"/>
      <c r="M897" s="242"/>
      <c r="N897" s="242"/>
      <c r="O897" s="242"/>
    </row>
    <row r="898">
      <c r="A898" s="242"/>
      <c r="B898" s="242"/>
      <c r="C898" s="243"/>
      <c r="D898" s="242"/>
      <c r="E898" s="242"/>
      <c r="F898" s="242"/>
      <c r="G898" s="250"/>
      <c r="H898" s="251"/>
      <c r="I898" s="242"/>
      <c r="J898" s="242"/>
      <c r="K898" s="242"/>
      <c r="L898" s="242"/>
      <c r="M898" s="242"/>
      <c r="N898" s="242"/>
      <c r="O898" s="242"/>
    </row>
    <row r="899">
      <c r="A899" s="242"/>
      <c r="B899" s="242"/>
      <c r="C899" s="243"/>
      <c r="D899" s="242"/>
      <c r="E899" s="242"/>
      <c r="F899" s="242"/>
      <c r="G899" s="250"/>
      <c r="H899" s="251"/>
      <c r="I899" s="242"/>
      <c r="J899" s="242"/>
      <c r="K899" s="242"/>
      <c r="L899" s="242"/>
      <c r="M899" s="242"/>
      <c r="N899" s="242"/>
      <c r="O899" s="242"/>
    </row>
    <row r="900">
      <c r="A900" s="242"/>
      <c r="B900" s="242"/>
      <c r="C900" s="243"/>
      <c r="D900" s="242"/>
      <c r="E900" s="242"/>
      <c r="F900" s="242"/>
      <c r="G900" s="250"/>
      <c r="H900" s="251"/>
      <c r="I900" s="242"/>
      <c r="J900" s="242"/>
      <c r="K900" s="242"/>
      <c r="L900" s="242"/>
      <c r="M900" s="242"/>
      <c r="N900" s="242"/>
      <c r="O900" s="242"/>
    </row>
    <row r="901">
      <c r="A901" s="242"/>
      <c r="B901" s="242"/>
      <c r="C901" s="243"/>
      <c r="D901" s="242"/>
      <c r="E901" s="242"/>
      <c r="F901" s="242"/>
      <c r="G901" s="250"/>
      <c r="H901" s="251"/>
      <c r="I901" s="242"/>
      <c r="J901" s="242"/>
      <c r="K901" s="242"/>
      <c r="L901" s="242"/>
      <c r="M901" s="242"/>
      <c r="N901" s="242"/>
      <c r="O901" s="242"/>
    </row>
    <row r="902">
      <c r="A902" s="242"/>
      <c r="B902" s="242"/>
      <c r="C902" s="243"/>
      <c r="D902" s="242"/>
      <c r="E902" s="242"/>
      <c r="F902" s="242"/>
      <c r="G902" s="250"/>
      <c r="H902" s="251"/>
      <c r="I902" s="242"/>
      <c r="J902" s="242"/>
      <c r="K902" s="242"/>
      <c r="L902" s="242"/>
      <c r="M902" s="242"/>
      <c r="N902" s="242"/>
      <c r="O902" s="242"/>
    </row>
    <row r="903">
      <c r="A903" s="242"/>
      <c r="B903" s="242"/>
      <c r="C903" s="243"/>
      <c r="D903" s="242"/>
      <c r="E903" s="242"/>
      <c r="F903" s="242"/>
      <c r="G903" s="250"/>
      <c r="H903" s="251"/>
      <c r="I903" s="242"/>
      <c r="J903" s="242"/>
      <c r="K903" s="242"/>
      <c r="L903" s="242"/>
      <c r="M903" s="242"/>
      <c r="N903" s="242"/>
      <c r="O903" s="242"/>
    </row>
    <row r="904">
      <c r="A904" s="242"/>
      <c r="B904" s="242"/>
      <c r="C904" s="243"/>
      <c r="D904" s="242"/>
      <c r="E904" s="242"/>
      <c r="F904" s="242"/>
      <c r="G904" s="250"/>
      <c r="H904" s="251"/>
      <c r="I904" s="242"/>
      <c r="J904" s="242"/>
      <c r="K904" s="242"/>
      <c r="L904" s="242"/>
      <c r="M904" s="242"/>
      <c r="N904" s="242"/>
      <c r="O904" s="242"/>
    </row>
    <row r="905">
      <c r="A905" s="242"/>
      <c r="B905" s="242"/>
      <c r="C905" s="243"/>
      <c r="D905" s="242"/>
      <c r="E905" s="242"/>
      <c r="F905" s="242"/>
      <c r="G905" s="250"/>
      <c r="H905" s="251"/>
      <c r="I905" s="242"/>
      <c r="J905" s="242"/>
      <c r="K905" s="242"/>
      <c r="L905" s="242"/>
      <c r="M905" s="242"/>
      <c r="N905" s="242"/>
      <c r="O905" s="242"/>
    </row>
    <row r="906">
      <c r="A906" s="242"/>
      <c r="B906" s="242"/>
      <c r="C906" s="243"/>
      <c r="D906" s="242"/>
      <c r="E906" s="242"/>
      <c r="F906" s="242"/>
      <c r="G906" s="250"/>
      <c r="H906" s="251"/>
      <c r="I906" s="242"/>
      <c r="J906" s="242"/>
      <c r="K906" s="242"/>
      <c r="L906" s="242"/>
      <c r="M906" s="242"/>
      <c r="N906" s="242"/>
      <c r="O906" s="242"/>
    </row>
    <row r="907">
      <c r="A907" s="242"/>
      <c r="B907" s="242"/>
      <c r="C907" s="243"/>
      <c r="D907" s="242"/>
      <c r="E907" s="242"/>
      <c r="F907" s="242"/>
      <c r="G907" s="250"/>
      <c r="H907" s="251"/>
      <c r="I907" s="242"/>
      <c r="J907" s="242"/>
      <c r="K907" s="242"/>
      <c r="L907" s="242"/>
      <c r="M907" s="242"/>
      <c r="N907" s="242"/>
      <c r="O907" s="242"/>
    </row>
    <row r="908">
      <c r="A908" s="242"/>
      <c r="B908" s="242"/>
      <c r="C908" s="243"/>
      <c r="D908" s="242"/>
      <c r="E908" s="242"/>
      <c r="F908" s="242"/>
      <c r="G908" s="250"/>
      <c r="H908" s="251"/>
      <c r="I908" s="242"/>
      <c r="J908" s="242"/>
      <c r="K908" s="242"/>
      <c r="L908" s="242"/>
      <c r="M908" s="242"/>
      <c r="N908" s="242"/>
      <c r="O908" s="242"/>
    </row>
    <row r="909">
      <c r="A909" s="242"/>
      <c r="B909" s="242"/>
      <c r="C909" s="243"/>
      <c r="D909" s="242"/>
      <c r="E909" s="242"/>
      <c r="F909" s="242"/>
      <c r="G909" s="250"/>
      <c r="H909" s="251"/>
      <c r="I909" s="242"/>
      <c r="J909" s="242"/>
      <c r="K909" s="242"/>
      <c r="L909" s="242"/>
      <c r="M909" s="242"/>
      <c r="N909" s="242"/>
      <c r="O909" s="242"/>
    </row>
    <row r="910">
      <c r="A910" s="242"/>
      <c r="B910" s="242"/>
      <c r="C910" s="243"/>
      <c r="D910" s="242"/>
      <c r="E910" s="242"/>
      <c r="F910" s="242"/>
      <c r="G910" s="250"/>
      <c r="H910" s="251"/>
      <c r="I910" s="242"/>
      <c r="J910" s="242"/>
      <c r="K910" s="242"/>
      <c r="L910" s="242"/>
      <c r="M910" s="242"/>
      <c r="N910" s="242"/>
      <c r="O910" s="242"/>
    </row>
    <row r="911">
      <c r="A911" s="242"/>
      <c r="B911" s="242"/>
      <c r="C911" s="243"/>
      <c r="D911" s="242"/>
      <c r="E911" s="242"/>
      <c r="F911" s="242"/>
      <c r="G911" s="250"/>
      <c r="H911" s="251"/>
      <c r="I911" s="242"/>
      <c r="J911" s="242"/>
      <c r="K911" s="242"/>
      <c r="L911" s="242"/>
      <c r="M911" s="242"/>
      <c r="N911" s="242"/>
      <c r="O911" s="242"/>
    </row>
    <row r="912">
      <c r="A912" s="242"/>
      <c r="B912" s="242"/>
      <c r="C912" s="243"/>
      <c r="D912" s="242"/>
      <c r="E912" s="242"/>
      <c r="F912" s="242"/>
      <c r="G912" s="250"/>
      <c r="H912" s="251"/>
      <c r="I912" s="242"/>
      <c r="J912" s="242"/>
      <c r="K912" s="242"/>
      <c r="L912" s="242"/>
      <c r="M912" s="242"/>
      <c r="N912" s="242"/>
      <c r="O912" s="242"/>
    </row>
    <row r="913">
      <c r="A913" s="242"/>
      <c r="B913" s="242"/>
      <c r="C913" s="243"/>
      <c r="D913" s="242"/>
      <c r="E913" s="242"/>
      <c r="F913" s="242"/>
      <c r="G913" s="250"/>
      <c r="H913" s="251"/>
      <c r="I913" s="242"/>
      <c r="J913" s="242"/>
      <c r="K913" s="242"/>
      <c r="L913" s="242"/>
      <c r="M913" s="242"/>
      <c r="N913" s="242"/>
      <c r="O913" s="242"/>
    </row>
    <row r="914">
      <c r="A914" s="242"/>
      <c r="B914" s="242"/>
      <c r="C914" s="243"/>
      <c r="D914" s="242"/>
      <c r="E914" s="242"/>
      <c r="F914" s="242"/>
      <c r="G914" s="250"/>
      <c r="H914" s="251"/>
      <c r="I914" s="242"/>
      <c r="J914" s="242"/>
      <c r="K914" s="242"/>
      <c r="L914" s="242"/>
      <c r="M914" s="242"/>
      <c r="N914" s="242"/>
      <c r="O914" s="242"/>
    </row>
    <row r="915">
      <c r="A915" s="242"/>
      <c r="B915" s="242"/>
      <c r="C915" s="243"/>
      <c r="D915" s="242"/>
      <c r="E915" s="242"/>
      <c r="F915" s="242"/>
      <c r="G915" s="250"/>
      <c r="H915" s="251"/>
      <c r="I915" s="242"/>
      <c r="J915" s="242"/>
      <c r="K915" s="242"/>
      <c r="L915" s="242"/>
      <c r="M915" s="242"/>
      <c r="N915" s="242"/>
      <c r="O915" s="242"/>
    </row>
    <row r="916">
      <c r="A916" s="242"/>
      <c r="B916" s="242"/>
      <c r="C916" s="243"/>
      <c r="D916" s="242"/>
      <c r="E916" s="242"/>
      <c r="F916" s="242"/>
      <c r="G916" s="250"/>
      <c r="H916" s="251"/>
      <c r="I916" s="242"/>
      <c r="J916" s="242"/>
      <c r="K916" s="242"/>
      <c r="L916" s="242"/>
      <c r="M916" s="242"/>
      <c r="N916" s="242"/>
      <c r="O916" s="242"/>
    </row>
    <row r="917">
      <c r="A917" s="242"/>
      <c r="B917" s="242"/>
      <c r="C917" s="243"/>
      <c r="D917" s="242"/>
      <c r="E917" s="242"/>
      <c r="F917" s="242"/>
      <c r="G917" s="250"/>
      <c r="H917" s="251"/>
      <c r="I917" s="242"/>
      <c r="J917" s="242"/>
      <c r="K917" s="242"/>
      <c r="L917" s="242"/>
      <c r="M917" s="242"/>
      <c r="N917" s="242"/>
      <c r="O917" s="242"/>
    </row>
    <row r="918">
      <c r="A918" s="242"/>
      <c r="B918" s="242"/>
      <c r="C918" s="243"/>
      <c r="D918" s="242"/>
      <c r="E918" s="242"/>
      <c r="F918" s="242"/>
      <c r="G918" s="250"/>
      <c r="H918" s="251"/>
      <c r="I918" s="242"/>
      <c r="J918" s="242"/>
      <c r="K918" s="242"/>
      <c r="L918" s="242"/>
      <c r="M918" s="242"/>
      <c r="N918" s="242"/>
      <c r="O918" s="242"/>
    </row>
    <row r="919">
      <c r="A919" s="242"/>
      <c r="B919" s="242"/>
      <c r="C919" s="243"/>
      <c r="D919" s="242"/>
      <c r="E919" s="242"/>
      <c r="F919" s="242"/>
      <c r="G919" s="250"/>
      <c r="H919" s="251"/>
      <c r="I919" s="242"/>
      <c r="J919" s="242"/>
      <c r="K919" s="242"/>
      <c r="L919" s="242"/>
      <c r="M919" s="242"/>
      <c r="N919" s="242"/>
      <c r="O919" s="242"/>
    </row>
    <row r="920">
      <c r="A920" s="242"/>
      <c r="B920" s="242"/>
      <c r="C920" s="243"/>
      <c r="D920" s="242"/>
      <c r="E920" s="242"/>
      <c r="F920" s="242"/>
      <c r="G920" s="250"/>
      <c r="H920" s="251"/>
      <c r="I920" s="242"/>
      <c r="J920" s="242"/>
      <c r="K920" s="242"/>
      <c r="L920" s="242"/>
      <c r="M920" s="242"/>
      <c r="N920" s="242"/>
      <c r="O920" s="242"/>
    </row>
    <row r="921">
      <c r="A921" s="242"/>
      <c r="B921" s="242"/>
      <c r="C921" s="243"/>
      <c r="D921" s="242"/>
      <c r="E921" s="242"/>
      <c r="F921" s="242"/>
      <c r="G921" s="250"/>
      <c r="H921" s="251"/>
      <c r="I921" s="242"/>
      <c r="J921" s="242"/>
      <c r="K921" s="242"/>
      <c r="L921" s="242"/>
      <c r="M921" s="242"/>
      <c r="N921" s="242"/>
      <c r="O921" s="242"/>
    </row>
    <row r="922">
      <c r="A922" s="242"/>
      <c r="B922" s="242"/>
      <c r="C922" s="243"/>
      <c r="D922" s="242"/>
      <c r="E922" s="242"/>
      <c r="F922" s="242"/>
      <c r="G922" s="250"/>
      <c r="H922" s="251"/>
      <c r="I922" s="242"/>
      <c r="J922" s="242"/>
      <c r="K922" s="242"/>
      <c r="L922" s="242"/>
      <c r="M922" s="242"/>
      <c r="N922" s="242"/>
      <c r="O922" s="242"/>
    </row>
    <row r="923">
      <c r="A923" s="242"/>
      <c r="B923" s="242"/>
      <c r="C923" s="243"/>
      <c r="D923" s="242"/>
      <c r="E923" s="242"/>
      <c r="F923" s="242"/>
      <c r="G923" s="250"/>
      <c r="H923" s="251"/>
      <c r="I923" s="242"/>
      <c r="J923" s="242"/>
      <c r="K923" s="242"/>
      <c r="L923" s="242"/>
      <c r="M923" s="242"/>
      <c r="N923" s="242"/>
      <c r="O923" s="242"/>
    </row>
    <row r="924">
      <c r="A924" s="242"/>
      <c r="B924" s="242"/>
      <c r="C924" s="243"/>
      <c r="D924" s="242"/>
      <c r="E924" s="242"/>
      <c r="F924" s="242"/>
      <c r="G924" s="250"/>
      <c r="H924" s="251"/>
      <c r="I924" s="242"/>
      <c r="J924" s="242"/>
      <c r="K924" s="242"/>
      <c r="L924" s="242"/>
      <c r="M924" s="242"/>
      <c r="N924" s="242"/>
      <c r="O924" s="242"/>
    </row>
    <row r="925">
      <c r="A925" s="242"/>
      <c r="B925" s="242"/>
      <c r="C925" s="243"/>
      <c r="D925" s="242"/>
      <c r="E925" s="242"/>
      <c r="F925" s="242"/>
      <c r="G925" s="250"/>
      <c r="H925" s="251"/>
      <c r="I925" s="242"/>
      <c r="J925" s="242"/>
      <c r="K925" s="242"/>
      <c r="L925" s="242"/>
      <c r="M925" s="242"/>
      <c r="N925" s="242"/>
      <c r="O925" s="242"/>
    </row>
    <row r="926">
      <c r="A926" s="242"/>
      <c r="B926" s="242"/>
      <c r="C926" s="243"/>
      <c r="D926" s="242"/>
      <c r="E926" s="242"/>
      <c r="F926" s="242"/>
      <c r="G926" s="250"/>
      <c r="H926" s="251"/>
      <c r="I926" s="242"/>
      <c r="J926" s="242"/>
      <c r="K926" s="242"/>
      <c r="L926" s="242"/>
      <c r="M926" s="242"/>
      <c r="N926" s="242"/>
      <c r="O926" s="242"/>
    </row>
    <row r="927">
      <c r="A927" s="242"/>
      <c r="B927" s="242"/>
      <c r="C927" s="243"/>
      <c r="D927" s="242"/>
      <c r="E927" s="242"/>
      <c r="F927" s="242"/>
      <c r="G927" s="250"/>
      <c r="H927" s="251"/>
      <c r="I927" s="242"/>
      <c r="J927" s="242"/>
      <c r="K927" s="242"/>
      <c r="L927" s="242"/>
      <c r="M927" s="242"/>
      <c r="N927" s="242"/>
      <c r="O927" s="242"/>
    </row>
    <row r="928">
      <c r="A928" s="242"/>
      <c r="B928" s="242"/>
      <c r="C928" s="243"/>
      <c r="D928" s="242"/>
      <c r="E928" s="242"/>
      <c r="F928" s="242"/>
      <c r="G928" s="250"/>
      <c r="H928" s="251"/>
      <c r="I928" s="242"/>
      <c r="J928" s="242"/>
      <c r="K928" s="242"/>
      <c r="L928" s="242"/>
      <c r="M928" s="242"/>
      <c r="N928" s="242"/>
      <c r="O928" s="242"/>
    </row>
    <row r="929">
      <c r="A929" s="242"/>
      <c r="B929" s="242"/>
      <c r="C929" s="243"/>
      <c r="D929" s="242"/>
      <c r="E929" s="242"/>
      <c r="F929" s="242"/>
      <c r="G929" s="250"/>
      <c r="H929" s="251"/>
      <c r="I929" s="242"/>
      <c r="J929" s="242"/>
      <c r="K929" s="242"/>
      <c r="L929" s="242"/>
      <c r="M929" s="242"/>
      <c r="N929" s="242"/>
      <c r="O929" s="242"/>
    </row>
    <row r="930">
      <c r="A930" s="242"/>
      <c r="B930" s="242"/>
      <c r="C930" s="243"/>
      <c r="D930" s="242"/>
      <c r="E930" s="242"/>
      <c r="F930" s="242"/>
      <c r="G930" s="250"/>
      <c r="H930" s="251"/>
      <c r="I930" s="242"/>
      <c r="J930" s="242"/>
      <c r="K930" s="242"/>
      <c r="L930" s="242"/>
      <c r="M930" s="242"/>
      <c r="N930" s="242"/>
      <c r="O930" s="242"/>
    </row>
    <row r="931">
      <c r="A931" s="242"/>
      <c r="B931" s="242"/>
      <c r="C931" s="243"/>
      <c r="D931" s="242"/>
      <c r="E931" s="242"/>
      <c r="F931" s="242"/>
      <c r="G931" s="250"/>
      <c r="H931" s="251"/>
      <c r="I931" s="242"/>
      <c r="J931" s="242"/>
      <c r="K931" s="242"/>
      <c r="L931" s="242"/>
      <c r="M931" s="242"/>
      <c r="N931" s="242"/>
      <c r="O931" s="242"/>
    </row>
    <row r="932">
      <c r="A932" s="242"/>
      <c r="B932" s="242"/>
      <c r="C932" s="243"/>
      <c r="D932" s="242"/>
      <c r="E932" s="242"/>
      <c r="F932" s="242"/>
      <c r="G932" s="250"/>
      <c r="H932" s="251"/>
      <c r="I932" s="242"/>
      <c r="J932" s="242"/>
      <c r="K932" s="242"/>
      <c r="L932" s="242"/>
      <c r="M932" s="242"/>
      <c r="N932" s="242"/>
      <c r="O932" s="242"/>
    </row>
    <row r="933">
      <c r="A933" s="242"/>
      <c r="B933" s="242"/>
      <c r="C933" s="243"/>
      <c r="D933" s="242"/>
      <c r="E933" s="242"/>
      <c r="F933" s="242"/>
      <c r="G933" s="250"/>
      <c r="H933" s="251"/>
      <c r="I933" s="242"/>
      <c r="J933" s="242"/>
      <c r="K933" s="242"/>
      <c r="L933" s="242"/>
      <c r="M933" s="242"/>
      <c r="N933" s="242"/>
      <c r="O933" s="242"/>
    </row>
    <row r="934">
      <c r="A934" s="242"/>
      <c r="B934" s="242"/>
      <c r="C934" s="243"/>
      <c r="D934" s="242"/>
      <c r="E934" s="242"/>
      <c r="F934" s="242"/>
      <c r="G934" s="250"/>
      <c r="H934" s="251"/>
      <c r="I934" s="242"/>
      <c r="J934" s="242"/>
      <c r="K934" s="242"/>
      <c r="L934" s="242"/>
      <c r="M934" s="242"/>
      <c r="N934" s="242"/>
      <c r="O934" s="242"/>
    </row>
    <row r="935">
      <c r="A935" s="242"/>
      <c r="B935" s="242"/>
      <c r="C935" s="243"/>
      <c r="D935" s="242"/>
      <c r="E935" s="242"/>
      <c r="F935" s="242"/>
      <c r="G935" s="250"/>
      <c r="H935" s="251"/>
      <c r="I935" s="242"/>
      <c r="J935" s="242"/>
      <c r="K935" s="242"/>
      <c r="L935" s="242"/>
      <c r="M935" s="242"/>
      <c r="N935" s="242"/>
      <c r="O935" s="242"/>
    </row>
    <row r="936">
      <c r="A936" s="242"/>
      <c r="B936" s="242"/>
      <c r="C936" s="243"/>
      <c r="D936" s="242"/>
      <c r="E936" s="242"/>
      <c r="F936" s="242"/>
      <c r="G936" s="250"/>
      <c r="H936" s="251"/>
      <c r="I936" s="242"/>
      <c r="J936" s="242"/>
      <c r="K936" s="242"/>
      <c r="L936" s="242"/>
      <c r="M936" s="242"/>
      <c r="N936" s="242"/>
      <c r="O936" s="242"/>
    </row>
    <row r="937">
      <c r="A937" s="242"/>
      <c r="B937" s="242"/>
      <c r="C937" s="243"/>
      <c r="D937" s="242"/>
      <c r="E937" s="242"/>
      <c r="F937" s="242"/>
      <c r="G937" s="250"/>
      <c r="H937" s="251"/>
      <c r="I937" s="242"/>
      <c r="J937" s="242"/>
      <c r="K937" s="242"/>
      <c r="L937" s="242"/>
      <c r="M937" s="242"/>
      <c r="N937" s="242"/>
      <c r="O937" s="242"/>
    </row>
    <row r="938">
      <c r="A938" s="242"/>
      <c r="B938" s="242"/>
      <c r="C938" s="243"/>
      <c r="D938" s="242"/>
      <c r="E938" s="242"/>
      <c r="F938" s="242"/>
      <c r="G938" s="250"/>
      <c r="H938" s="251"/>
      <c r="I938" s="242"/>
      <c r="J938" s="242"/>
      <c r="K938" s="242"/>
      <c r="L938" s="242"/>
      <c r="M938" s="242"/>
      <c r="N938" s="242"/>
      <c r="O938" s="242"/>
    </row>
    <row r="939">
      <c r="A939" s="242"/>
      <c r="B939" s="242"/>
      <c r="C939" s="243"/>
      <c r="D939" s="242"/>
      <c r="E939" s="242"/>
      <c r="F939" s="242"/>
      <c r="G939" s="250"/>
      <c r="H939" s="251"/>
      <c r="I939" s="242"/>
      <c r="J939" s="242"/>
      <c r="K939" s="242"/>
      <c r="L939" s="242"/>
      <c r="M939" s="242"/>
      <c r="N939" s="242"/>
      <c r="O939" s="242"/>
    </row>
    <row r="940">
      <c r="A940" s="242"/>
      <c r="B940" s="242"/>
      <c r="C940" s="243"/>
      <c r="D940" s="242"/>
      <c r="E940" s="242"/>
      <c r="F940" s="242"/>
      <c r="G940" s="250"/>
      <c r="H940" s="251"/>
      <c r="I940" s="242"/>
      <c r="J940" s="242"/>
      <c r="K940" s="242"/>
      <c r="L940" s="242"/>
      <c r="M940" s="242"/>
      <c r="N940" s="242"/>
      <c r="O940" s="242"/>
    </row>
    <row r="941">
      <c r="A941" s="242"/>
      <c r="B941" s="242"/>
      <c r="C941" s="243"/>
      <c r="D941" s="242"/>
      <c r="E941" s="242"/>
      <c r="F941" s="242"/>
      <c r="G941" s="250"/>
      <c r="H941" s="251"/>
      <c r="I941" s="242"/>
      <c r="J941" s="242"/>
      <c r="K941" s="242"/>
      <c r="L941" s="242"/>
      <c r="M941" s="242"/>
      <c r="N941" s="242"/>
      <c r="O941" s="242"/>
    </row>
    <row r="942">
      <c r="A942" s="242"/>
      <c r="B942" s="242"/>
      <c r="C942" s="243"/>
      <c r="D942" s="242"/>
      <c r="E942" s="242"/>
      <c r="F942" s="242"/>
      <c r="G942" s="250"/>
      <c r="H942" s="251"/>
      <c r="I942" s="242"/>
      <c r="J942" s="242"/>
      <c r="K942" s="242"/>
      <c r="L942" s="242"/>
      <c r="M942" s="242"/>
      <c r="N942" s="242"/>
      <c r="O942" s="242"/>
    </row>
    <row r="943">
      <c r="A943" s="242"/>
      <c r="B943" s="242"/>
      <c r="C943" s="243"/>
      <c r="D943" s="242"/>
      <c r="E943" s="242"/>
      <c r="F943" s="242"/>
      <c r="G943" s="250"/>
      <c r="H943" s="251"/>
      <c r="I943" s="242"/>
      <c r="J943" s="242"/>
      <c r="K943" s="242"/>
      <c r="L943" s="242"/>
      <c r="M943" s="242"/>
      <c r="N943" s="242"/>
      <c r="O943" s="242"/>
    </row>
    <row r="944">
      <c r="A944" s="242"/>
      <c r="B944" s="242"/>
      <c r="C944" s="243"/>
      <c r="D944" s="242"/>
      <c r="E944" s="242"/>
      <c r="F944" s="242"/>
      <c r="G944" s="250"/>
      <c r="H944" s="251"/>
      <c r="I944" s="242"/>
      <c r="J944" s="242"/>
      <c r="K944" s="242"/>
      <c r="L944" s="242"/>
      <c r="M944" s="242"/>
      <c r="N944" s="242"/>
      <c r="O944" s="242"/>
    </row>
    <row r="945">
      <c r="A945" s="242"/>
      <c r="B945" s="242"/>
      <c r="C945" s="243"/>
      <c r="D945" s="242"/>
      <c r="E945" s="242"/>
      <c r="F945" s="242"/>
      <c r="G945" s="250"/>
      <c r="H945" s="251"/>
      <c r="I945" s="242"/>
      <c r="J945" s="242"/>
      <c r="K945" s="242"/>
      <c r="L945" s="242"/>
      <c r="M945" s="242"/>
      <c r="N945" s="242"/>
      <c r="O945" s="242"/>
    </row>
    <row r="946">
      <c r="A946" s="242"/>
      <c r="B946" s="242"/>
      <c r="C946" s="243"/>
      <c r="D946" s="242"/>
      <c r="E946" s="242"/>
      <c r="F946" s="242"/>
      <c r="G946" s="250"/>
      <c r="H946" s="251"/>
      <c r="I946" s="242"/>
      <c r="J946" s="242"/>
      <c r="K946" s="242"/>
      <c r="L946" s="242"/>
      <c r="M946" s="242"/>
      <c r="N946" s="242"/>
      <c r="O946" s="242"/>
    </row>
    <row r="947">
      <c r="A947" s="242"/>
      <c r="B947" s="242"/>
      <c r="C947" s="243"/>
      <c r="D947" s="242"/>
      <c r="E947" s="242"/>
      <c r="F947" s="242"/>
      <c r="G947" s="250"/>
      <c r="H947" s="251"/>
      <c r="I947" s="242"/>
      <c r="J947" s="242"/>
      <c r="K947" s="242"/>
      <c r="L947" s="242"/>
      <c r="M947" s="242"/>
      <c r="N947" s="242"/>
      <c r="O947" s="242"/>
    </row>
    <row r="948">
      <c r="A948" s="242"/>
      <c r="B948" s="242"/>
      <c r="C948" s="243"/>
      <c r="D948" s="242"/>
      <c r="E948" s="242"/>
      <c r="F948" s="242"/>
      <c r="G948" s="250"/>
      <c r="H948" s="251"/>
      <c r="I948" s="242"/>
      <c r="J948" s="242"/>
      <c r="K948" s="242"/>
      <c r="L948" s="242"/>
      <c r="M948" s="242"/>
      <c r="N948" s="242"/>
      <c r="O948" s="242"/>
    </row>
    <row r="949">
      <c r="A949" s="242"/>
      <c r="B949" s="242"/>
      <c r="C949" s="243"/>
      <c r="D949" s="242"/>
      <c r="E949" s="242"/>
      <c r="F949" s="242"/>
      <c r="G949" s="250"/>
      <c r="H949" s="251"/>
      <c r="I949" s="242"/>
      <c r="J949" s="242"/>
      <c r="K949" s="242"/>
      <c r="L949" s="242"/>
      <c r="M949" s="242"/>
      <c r="N949" s="242"/>
      <c r="O949" s="242"/>
    </row>
    <row r="950">
      <c r="A950" s="242"/>
      <c r="B950" s="242"/>
      <c r="C950" s="243"/>
      <c r="D950" s="242"/>
      <c r="E950" s="242"/>
      <c r="F950" s="242"/>
      <c r="G950" s="250"/>
      <c r="H950" s="251"/>
      <c r="I950" s="242"/>
      <c r="J950" s="242"/>
      <c r="K950" s="242"/>
      <c r="L950" s="242"/>
      <c r="M950" s="242"/>
      <c r="N950" s="242"/>
      <c r="O950" s="242"/>
    </row>
    <row r="951">
      <c r="A951" s="242"/>
      <c r="B951" s="242"/>
      <c r="C951" s="243"/>
      <c r="D951" s="242"/>
      <c r="E951" s="242"/>
      <c r="F951" s="242"/>
      <c r="G951" s="250"/>
      <c r="H951" s="251"/>
      <c r="I951" s="242"/>
      <c r="J951" s="242"/>
      <c r="K951" s="242"/>
      <c r="L951" s="242"/>
      <c r="M951" s="242"/>
      <c r="N951" s="242"/>
      <c r="O951" s="242"/>
    </row>
    <row r="952">
      <c r="A952" s="242"/>
      <c r="B952" s="242"/>
      <c r="C952" s="243"/>
      <c r="D952" s="242"/>
      <c r="E952" s="242"/>
      <c r="F952" s="242"/>
      <c r="G952" s="250"/>
      <c r="H952" s="251"/>
      <c r="I952" s="242"/>
      <c r="J952" s="242"/>
      <c r="K952" s="242"/>
      <c r="L952" s="242"/>
      <c r="M952" s="242"/>
      <c r="N952" s="242"/>
      <c r="O952" s="242"/>
    </row>
    <row r="953">
      <c r="A953" s="242"/>
      <c r="B953" s="242"/>
      <c r="C953" s="243"/>
      <c r="D953" s="242"/>
      <c r="E953" s="242"/>
      <c r="F953" s="242"/>
      <c r="G953" s="250"/>
      <c r="H953" s="251"/>
      <c r="I953" s="242"/>
      <c r="J953" s="242"/>
      <c r="K953" s="242"/>
      <c r="L953" s="242"/>
      <c r="M953" s="242"/>
      <c r="N953" s="242"/>
      <c r="O953" s="242"/>
    </row>
    <row r="954">
      <c r="A954" s="242"/>
      <c r="B954" s="242"/>
      <c r="C954" s="243"/>
      <c r="D954" s="242"/>
      <c r="E954" s="242"/>
      <c r="F954" s="242"/>
      <c r="G954" s="250"/>
      <c r="H954" s="251"/>
      <c r="I954" s="242"/>
      <c r="J954" s="242"/>
      <c r="K954" s="242"/>
      <c r="L954" s="242"/>
      <c r="M954" s="242"/>
      <c r="N954" s="242"/>
      <c r="O954" s="242"/>
    </row>
    <row r="955">
      <c r="A955" s="242"/>
      <c r="B955" s="242"/>
      <c r="C955" s="243"/>
      <c r="D955" s="242"/>
      <c r="E955" s="242"/>
      <c r="F955" s="242"/>
      <c r="G955" s="250"/>
      <c r="H955" s="251"/>
      <c r="I955" s="242"/>
      <c r="J955" s="242"/>
      <c r="K955" s="242"/>
      <c r="L955" s="242"/>
      <c r="M955" s="242"/>
      <c r="N955" s="242"/>
      <c r="O955" s="242"/>
    </row>
    <row r="956">
      <c r="A956" s="242"/>
      <c r="B956" s="242"/>
      <c r="C956" s="243"/>
      <c r="D956" s="242"/>
      <c r="E956" s="242"/>
      <c r="F956" s="242"/>
      <c r="G956" s="250"/>
      <c r="H956" s="251"/>
      <c r="I956" s="242"/>
      <c r="J956" s="242"/>
      <c r="K956" s="242"/>
      <c r="L956" s="242"/>
      <c r="M956" s="242"/>
      <c r="N956" s="242"/>
      <c r="O956" s="242"/>
    </row>
    <row r="957">
      <c r="A957" s="242"/>
      <c r="B957" s="242"/>
      <c r="C957" s="243"/>
      <c r="D957" s="242"/>
      <c r="E957" s="242"/>
      <c r="F957" s="242"/>
      <c r="G957" s="250"/>
      <c r="H957" s="251"/>
      <c r="I957" s="242"/>
      <c r="J957" s="242"/>
      <c r="K957" s="242"/>
      <c r="L957" s="242"/>
      <c r="M957" s="242"/>
      <c r="N957" s="242"/>
      <c r="O957" s="242"/>
    </row>
    <row r="958">
      <c r="A958" s="242"/>
      <c r="B958" s="242"/>
      <c r="C958" s="243"/>
      <c r="D958" s="242"/>
      <c r="E958" s="242"/>
      <c r="F958" s="242"/>
      <c r="G958" s="250"/>
      <c r="H958" s="251"/>
      <c r="I958" s="242"/>
      <c r="J958" s="242"/>
      <c r="K958" s="242"/>
      <c r="L958" s="242"/>
      <c r="M958" s="242"/>
      <c r="N958" s="242"/>
      <c r="O958" s="242"/>
    </row>
    <row r="959">
      <c r="A959" s="242"/>
      <c r="B959" s="242"/>
      <c r="C959" s="243"/>
      <c r="D959" s="242"/>
      <c r="E959" s="242"/>
      <c r="F959" s="242"/>
      <c r="G959" s="250"/>
      <c r="H959" s="251"/>
      <c r="I959" s="242"/>
      <c r="J959" s="242"/>
      <c r="K959" s="242"/>
      <c r="L959" s="242"/>
      <c r="M959" s="242"/>
      <c r="N959" s="242"/>
      <c r="O959" s="242"/>
    </row>
    <row r="960">
      <c r="A960" s="242"/>
      <c r="B960" s="242"/>
      <c r="C960" s="243"/>
      <c r="D960" s="242"/>
      <c r="E960" s="242"/>
      <c r="F960" s="242"/>
      <c r="G960" s="250"/>
      <c r="H960" s="251"/>
      <c r="I960" s="242"/>
      <c r="J960" s="242"/>
      <c r="K960" s="242"/>
      <c r="L960" s="242"/>
      <c r="M960" s="242"/>
      <c r="N960" s="242"/>
      <c r="O960" s="242"/>
    </row>
    <row r="961">
      <c r="A961" s="242"/>
      <c r="B961" s="242"/>
      <c r="C961" s="243"/>
      <c r="D961" s="242"/>
      <c r="E961" s="242"/>
      <c r="F961" s="242"/>
      <c r="G961" s="250"/>
      <c r="H961" s="251"/>
      <c r="I961" s="242"/>
      <c r="J961" s="242"/>
      <c r="K961" s="242"/>
      <c r="L961" s="242"/>
      <c r="M961" s="242"/>
      <c r="N961" s="242"/>
      <c r="O961" s="242"/>
    </row>
    <row r="962">
      <c r="A962" s="242"/>
      <c r="B962" s="242"/>
      <c r="C962" s="243"/>
      <c r="D962" s="242"/>
      <c r="E962" s="242"/>
      <c r="F962" s="242"/>
      <c r="G962" s="250"/>
      <c r="H962" s="251"/>
      <c r="I962" s="242"/>
      <c r="J962" s="242"/>
      <c r="K962" s="242"/>
      <c r="L962" s="242"/>
      <c r="M962" s="242"/>
      <c r="N962" s="242"/>
      <c r="O962" s="242"/>
    </row>
    <row r="963">
      <c r="A963" s="242"/>
      <c r="B963" s="242"/>
      <c r="C963" s="243"/>
      <c r="D963" s="242"/>
      <c r="E963" s="242"/>
      <c r="F963" s="242"/>
      <c r="G963" s="250"/>
      <c r="H963" s="251"/>
      <c r="I963" s="242"/>
      <c r="J963" s="242"/>
      <c r="K963" s="242"/>
      <c r="L963" s="242"/>
      <c r="M963" s="242"/>
      <c r="N963" s="242"/>
      <c r="O963" s="242"/>
    </row>
    <row r="964">
      <c r="A964" s="242"/>
      <c r="B964" s="242"/>
      <c r="C964" s="243"/>
      <c r="D964" s="242"/>
      <c r="E964" s="242"/>
      <c r="F964" s="242"/>
      <c r="G964" s="250"/>
      <c r="H964" s="251"/>
      <c r="I964" s="242"/>
      <c r="J964" s="242"/>
      <c r="K964" s="242"/>
      <c r="L964" s="242"/>
      <c r="M964" s="242"/>
      <c r="N964" s="242"/>
      <c r="O964" s="242"/>
    </row>
    <row r="965">
      <c r="A965" s="242"/>
      <c r="B965" s="242"/>
      <c r="C965" s="243"/>
      <c r="D965" s="242"/>
      <c r="E965" s="242"/>
      <c r="F965" s="242"/>
      <c r="G965" s="250"/>
      <c r="H965" s="251"/>
      <c r="I965" s="242"/>
      <c r="J965" s="242"/>
      <c r="K965" s="242"/>
      <c r="L965" s="242"/>
      <c r="M965" s="242"/>
      <c r="N965" s="242"/>
      <c r="O965" s="242"/>
    </row>
    <row r="966">
      <c r="A966" s="242"/>
      <c r="B966" s="242"/>
      <c r="C966" s="243"/>
      <c r="D966" s="242"/>
      <c r="E966" s="242"/>
      <c r="F966" s="242"/>
      <c r="G966" s="250"/>
      <c r="H966" s="251"/>
      <c r="I966" s="242"/>
      <c r="J966" s="242"/>
      <c r="K966" s="242"/>
      <c r="L966" s="242"/>
      <c r="M966" s="242"/>
      <c r="N966" s="242"/>
      <c r="O966" s="242"/>
    </row>
    <row r="967">
      <c r="A967" s="242"/>
      <c r="B967" s="242"/>
      <c r="C967" s="243"/>
      <c r="D967" s="242"/>
      <c r="E967" s="242"/>
      <c r="F967" s="242"/>
      <c r="G967" s="250"/>
      <c r="H967" s="251"/>
      <c r="I967" s="242"/>
      <c r="J967" s="242"/>
      <c r="K967" s="242"/>
      <c r="L967" s="242"/>
      <c r="M967" s="242"/>
      <c r="N967" s="242"/>
      <c r="O967" s="242"/>
    </row>
    <row r="968">
      <c r="A968" s="242"/>
      <c r="B968" s="242"/>
      <c r="C968" s="243"/>
      <c r="D968" s="242"/>
      <c r="E968" s="242"/>
      <c r="F968" s="242"/>
      <c r="G968" s="250"/>
      <c r="H968" s="251"/>
      <c r="I968" s="242"/>
      <c r="J968" s="242"/>
      <c r="K968" s="242"/>
      <c r="L968" s="242"/>
      <c r="M968" s="242"/>
      <c r="N968" s="242"/>
      <c r="O968" s="242"/>
    </row>
    <row r="969">
      <c r="A969" s="242"/>
      <c r="B969" s="242"/>
      <c r="C969" s="243"/>
      <c r="D969" s="242"/>
      <c r="E969" s="242"/>
      <c r="F969" s="242"/>
      <c r="G969" s="250"/>
      <c r="H969" s="251"/>
      <c r="I969" s="242"/>
      <c r="J969" s="242"/>
      <c r="K969" s="242"/>
      <c r="L969" s="242"/>
      <c r="M969" s="242"/>
      <c r="N969" s="242"/>
      <c r="O969" s="242"/>
    </row>
    <row r="970">
      <c r="A970" s="242"/>
      <c r="B970" s="242"/>
      <c r="C970" s="243"/>
      <c r="D970" s="242"/>
      <c r="E970" s="242"/>
      <c r="F970" s="242"/>
      <c r="G970" s="250"/>
      <c r="H970" s="251"/>
      <c r="I970" s="242"/>
      <c r="J970" s="242"/>
      <c r="K970" s="242"/>
      <c r="L970" s="242"/>
      <c r="M970" s="242"/>
      <c r="N970" s="242"/>
      <c r="O970" s="242"/>
    </row>
    <row r="971">
      <c r="A971" s="242"/>
      <c r="B971" s="242"/>
      <c r="C971" s="243"/>
      <c r="D971" s="242"/>
      <c r="E971" s="242"/>
      <c r="F971" s="242"/>
      <c r="G971" s="250"/>
      <c r="H971" s="251"/>
      <c r="I971" s="242"/>
      <c r="J971" s="242"/>
      <c r="K971" s="242"/>
      <c r="L971" s="242"/>
      <c r="M971" s="242"/>
      <c r="N971" s="242"/>
      <c r="O971" s="242"/>
    </row>
    <row r="972">
      <c r="A972" s="242"/>
      <c r="B972" s="242"/>
      <c r="C972" s="243"/>
      <c r="D972" s="242"/>
      <c r="E972" s="242"/>
      <c r="F972" s="242"/>
      <c r="G972" s="250"/>
      <c r="H972" s="251"/>
      <c r="I972" s="242"/>
      <c r="J972" s="242"/>
      <c r="K972" s="242"/>
      <c r="L972" s="242"/>
      <c r="M972" s="242"/>
      <c r="N972" s="242"/>
      <c r="O972" s="242"/>
    </row>
    <row r="973">
      <c r="A973" s="242"/>
      <c r="B973" s="242"/>
      <c r="C973" s="243"/>
      <c r="D973" s="242"/>
      <c r="E973" s="242"/>
      <c r="F973" s="242"/>
      <c r="G973" s="250"/>
      <c r="H973" s="251"/>
      <c r="I973" s="242"/>
      <c r="J973" s="242"/>
      <c r="K973" s="242"/>
      <c r="L973" s="242"/>
      <c r="M973" s="242"/>
      <c r="N973" s="242"/>
      <c r="O973" s="242"/>
    </row>
    <row r="974">
      <c r="A974" s="242"/>
      <c r="B974" s="242"/>
      <c r="C974" s="243"/>
      <c r="D974" s="242"/>
      <c r="E974" s="242"/>
      <c r="F974" s="242"/>
      <c r="G974" s="250"/>
      <c r="H974" s="251"/>
      <c r="I974" s="242"/>
      <c r="J974" s="242"/>
      <c r="K974" s="242"/>
      <c r="L974" s="242"/>
      <c r="M974" s="242"/>
      <c r="N974" s="242"/>
      <c r="O974" s="242"/>
    </row>
    <row r="975">
      <c r="A975" s="242"/>
      <c r="B975" s="242"/>
      <c r="C975" s="243"/>
      <c r="D975" s="242"/>
      <c r="E975" s="242"/>
      <c r="F975" s="242"/>
      <c r="G975" s="250"/>
      <c r="H975" s="251"/>
      <c r="I975" s="242"/>
      <c r="J975" s="242"/>
      <c r="K975" s="242"/>
      <c r="L975" s="242"/>
      <c r="M975" s="242"/>
      <c r="N975" s="242"/>
      <c r="O975" s="242"/>
    </row>
    <row r="976">
      <c r="A976" s="242"/>
      <c r="B976" s="242"/>
      <c r="C976" s="243"/>
      <c r="D976" s="242"/>
      <c r="E976" s="242"/>
      <c r="F976" s="242"/>
      <c r="G976" s="250"/>
      <c r="H976" s="251"/>
      <c r="I976" s="242"/>
      <c r="J976" s="242"/>
      <c r="K976" s="242"/>
      <c r="L976" s="242"/>
      <c r="M976" s="242"/>
      <c r="N976" s="242"/>
      <c r="O976" s="242"/>
    </row>
    <row r="977">
      <c r="A977" s="242"/>
      <c r="B977" s="242"/>
      <c r="C977" s="243"/>
      <c r="D977" s="242"/>
      <c r="E977" s="242"/>
      <c r="F977" s="242"/>
      <c r="G977" s="250"/>
      <c r="H977" s="251"/>
      <c r="I977" s="242"/>
      <c r="J977" s="242"/>
      <c r="K977" s="242"/>
      <c r="L977" s="242"/>
      <c r="M977" s="242"/>
      <c r="N977" s="242"/>
      <c r="O977" s="242"/>
    </row>
    <row r="978">
      <c r="A978" s="242"/>
      <c r="B978" s="242"/>
      <c r="C978" s="243"/>
      <c r="D978" s="242"/>
      <c r="E978" s="242"/>
      <c r="F978" s="242"/>
      <c r="G978" s="250"/>
      <c r="H978" s="251"/>
      <c r="I978" s="242"/>
      <c r="J978" s="242"/>
      <c r="K978" s="242"/>
      <c r="L978" s="242"/>
      <c r="M978" s="242"/>
      <c r="N978" s="242"/>
      <c r="O978" s="242"/>
    </row>
    <row r="979">
      <c r="A979" s="242"/>
      <c r="B979" s="242"/>
      <c r="C979" s="243"/>
      <c r="D979" s="242"/>
      <c r="E979" s="242"/>
      <c r="F979" s="242"/>
      <c r="G979" s="250"/>
      <c r="H979" s="251"/>
      <c r="I979" s="242"/>
      <c r="J979" s="242"/>
      <c r="K979" s="242"/>
      <c r="L979" s="242"/>
      <c r="M979" s="242"/>
      <c r="N979" s="242"/>
      <c r="O979" s="242"/>
    </row>
    <row r="980">
      <c r="A980" s="242"/>
      <c r="B980" s="242"/>
      <c r="C980" s="243"/>
      <c r="D980" s="242"/>
      <c r="E980" s="242"/>
      <c r="F980" s="242"/>
      <c r="G980" s="250"/>
      <c r="H980" s="251"/>
      <c r="I980" s="242"/>
      <c r="J980" s="242"/>
      <c r="K980" s="242"/>
      <c r="L980" s="242"/>
      <c r="M980" s="242"/>
      <c r="N980" s="242"/>
      <c r="O980" s="242"/>
    </row>
    <row r="981">
      <c r="A981" s="242"/>
      <c r="B981" s="242"/>
      <c r="C981" s="243"/>
      <c r="D981" s="242"/>
      <c r="E981" s="242"/>
      <c r="F981" s="242"/>
      <c r="G981" s="250"/>
      <c r="H981" s="251"/>
      <c r="I981" s="242"/>
      <c r="J981" s="242"/>
      <c r="K981" s="242"/>
      <c r="L981" s="242"/>
      <c r="M981" s="242"/>
      <c r="N981" s="242"/>
      <c r="O981" s="242"/>
    </row>
    <row r="982">
      <c r="A982" s="242"/>
      <c r="B982" s="242"/>
      <c r="C982" s="243"/>
      <c r="D982" s="242"/>
      <c r="E982" s="242"/>
      <c r="F982" s="242"/>
      <c r="G982" s="250"/>
      <c r="H982" s="251"/>
      <c r="I982" s="242"/>
      <c r="J982" s="242"/>
      <c r="K982" s="242"/>
      <c r="L982" s="242"/>
      <c r="M982" s="242"/>
      <c r="N982" s="242"/>
      <c r="O982" s="242"/>
    </row>
    <row r="983">
      <c r="A983" s="242"/>
      <c r="B983" s="242"/>
      <c r="C983" s="243"/>
      <c r="D983" s="242"/>
      <c r="E983" s="242"/>
      <c r="F983" s="242"/>
      <c r="G983" s="250"/>
      <c r="H983" s="251"/>
      <c r="I983" s="242"/>
      <c r="J983" s="242"/>
      <c r="K983" s="242"/>
      <c r="L983" s="242"/>
      <c r="M983" s="242"/>
      <c r="N983" s="242"/>
      <c r="O983" s="242"/>
    </row>
    <row r="984">
      <c r="A984" s="242"/>
      <c r="B984" s="242"/>
      <c r="C984" s="243"/>
      <c r="D984" s="242"/>
      <c r="E984" s="242"/>
      <c r="F984" s="242"/>
      <c r="G984" s="250"/>
      <c r="H984" s="251"/>
      <c r="I984" s="242"/>
      <c r="J984" s="242"/>
      <c r="K984" s="242"/>
      <c r="L984" s="242"/>
      <c r="M984" s="242"/>
      <c r="N984" s="242"/>
      <c r="O984" s="242"/>
    </row>
    <row r="985">
      <c r="A985" s="242"/>
      <c r="B985" s="242"/>
      <c r="C985" s="243"/>
      <c r="D985" s="242"/>
      <c r="E985" s="242"/>
      <c r="F985" s="242"/>
      <c r="G985" s="250"/>
      <c r="H985" s="251"/>
      <c r="I985" s="242"/>
      <c r="J985" s="242"/>
      <c r="K985" s="242"/>
      <c r="L985" s="242"/>
      <c r="M985" s="242"/>
      <c r="N985" s="242"/>
      <c r="O985" s="242"/>
    </row>
    <row r="986">
      <c r="A986" s="242"/>
      <c r="B986" s="242"/>
      <c r="C986" s="243"/>
      <c r="D986" s="242"/>
      <c r="E986" s="242"/>
      <c r="F986" s="242"/>
      <c r="G986" s="250"/>
      <c r="H986" s="251"/>
      <c r="I986" s="242"/>
      <c r="J986" s="242"/>
      <c r="K986" s="242"/>
      <c r="L986" s="242"/>
      <c r="M986" s="242"/>
      <c r="N986" s="242"/>
      <c r="O986" s="242"/>
    </row>
    <row r="987">
      <c r="A987" s="242"/>
      <c r="B987" s="242"/>
      <c r="C987" s="243"/>
      <c r="D987" s="242"/>
      <c r="E987" s="242"/>
      <c r="F987" s="242"/>
      <c r="G987" s="250"/>
      <c r="H987" s="251"/>
      <c r="I987" s="242"/>
      <c r="J987" s="242"/>
      <c r="K987" s="242"/>
      <c r="L987" s="242"/>
      <c r="M987" s="242"/>
      <c r="N987" s="242"/>
      <c r="O987" s="242"/>
    </row>
    <row r="988">
      <c r="A988" s="242"/>
      <c r="B988" s="242"/>
      <c r="C988" s="243"/>
      <c r="D988" s="242"/>
      <c r="E988" s="242"/>
      <c r="F988" s="242"/>
      <c r="G988" s="250"/>
      <c r="H988" s="251"/>
      <c r="I988" s="242"/>
      <c r="J988" s="242"/>
      <c r="K988" s="242"/>
      <c r="L988" s="242"/>
      <c r="M988" s="242"/>
      <c r="N988" s="242"/>
      <c r="O988" s="242"/>
    </row>
    <row r="989">
      <c r="A989" s="242"/>
      <c r="B989" s="242"/>
      <c r="C989" s="243"/>
      <c r="D989" s="242"/>
      <c r="E989" s="242"/>
      <c r="F989" s="242"/>
      <c r="G989" s="250"/>
      <c r="H989" s="251"/>
      <c r="I989" s="242"/>
      <c r="J989" s="242"/>
      <c r="K989" s="242"/>
      <c r="L989" s="242"/>
      <c r="M989" s="242"/>
      <c r="N989" s="242"/>
      <c r="O989" s="242"/>
    </row>
    <row r="990">
      <c r="A990" s="242"/>
      <c r="B990" s="242"/>
      <c r="C990" s="243"/>
      <c r="D990" s="242"/>
      <c r="E990" s="242"/>
      <c r="F990" s="242"/>
      <c r="G990" s="250"/>
      <c r="H990" s="251"/>
      <c r="I990" s="242"/>
      <c r="J990" s="242"/>
      <c r="K990" s="242"/>
      <c r="L990" s="242"/>
      <c r="M990" s="242"/>
      <c r="N990" s="242"/>
      <c r="O990" s="242"/>
    </row>
    <row r="991">
      <c r="A991" s="242"/>
      <c r="B991" s="242"/>
      <c r="C991" s="243"/>
      <c r="D991" s="242"/>
      <c r="E991" s="242"/>
      <c r="F991" s="242"/>
      <c r="G991" s="250"/>
      <c r="H991" s="251"/>
      <c r="I991" s="242"/>
      <c r="J991" s="242"/>
      <c r="K991" s="242"/>
      <c r="L991" s="242"/>
      <c r="M991" s="242"/>
      <c r="N991" s="242"/>
      <c r="O991" s="242"/>
    </row>
    <row r="992">
      <c r="A992" s="242"/>
      <c r="B992" s="242"/>
      <c r="C992" s="243"/>
      <c r="D992" s="242"/>
      <c r="E992" s="242"/>
      <c r="F992" s="242"/>
      <c r="G992" s="250"/>
      <c r="H992" s="251"/>
      <c r="I992" s="242"/>
      <c r="J992" s="242"/>
      <c r="K992" s="242"/>
      <c r="L992" s="242"/>
      <c r="M992" s="242"/>
      <c r="N992" s="242"/>
      <c r="O992" s="242"/>
    </row>
    <row r="993">
      <c r="A993" s="242"/>
      <c r="B993" s="242"/>
      <c r="C993" s="243"/>
      <c r="D993" s="242"/>
      <c r="E993" s="242"/>
      <c r="F993" s="242"/>
      <c r="G993" s="250"/>
      <c r="H993" s="251"/>
      <c r="I993" s="242"/>
      <c r="J993" s="242"/>
      <c r="K993" s="242"/>
      <c r="L993" s="242"/>
      <c r="M993" s="242"/>
      <c r="N993" s="242"/>
      <c r="O993" s="242"/>
    </row>
    <row r="994">
      <c r="A994" s="242"/>
      <c r="B994" s="242"/>
      <c r="C994" s="243"/>
      <c r="D994" s="242"/>
      <c r="E994" s="242"/>
      <c r="F994" s="242"/>
      <c r="G994" s="250"/>
      <c r="H994" s="251"/>
      <c r="I994" s="242"/>
      <c r="J994" s="242"/>
      <c r="K994" s="242"/>
      <c r="L994" s="242"/>
      <c r="M994" s="242"/>
      <c r="N994" s="242"/>
      <c r="O994" s="242"/>
    </row>
    <row r="995">
      <c r="A995" s="242"/>
      <c r="B995" s="242"/>
      <c r="C995" s="243"/>
      <c r="D995" s="242"/>
      <c r="E995" s="242"/>
      <c r="F995" s="242"/>
      <c r="G995" s="250"/>
      <c r="H995" s="251"/>
      <c r="I995" s="242"/>
      <c r="J995" s="242"/>
      <c r="K995" s="242"/>
      <c r="L995" s="242"/>
      <c r="M995" s="242"/>
      <c r="N995" s="242"/>
      <c r="O995" s="242"/>
    </row>
    <row r="996">
      <c r="A996" s="242"/>
      <c r="B996" s="242"/>
      <c r="C996" s="243"/>
      <c r="D996" s="242"/>
      <c r="E996" s="242"/>
      <c r="F996" s="242"/>
      <c r="G996" s="250"/>
      <c r="H996" s="251"/>
      <c r="I996" s="242"/>
      <c r="J996" s="242"/>
      <c r="K996" s="242"/>
      <c r="L996" s="242"/>
      <c r="M996" s="242"/>
      <c r="N996" s="242"/>
      <c r="O996" s="242"/>
    </row>
    <row r="997">
      <c r="A997" s="242"/>
      <c r="B997" s="242"/>
      <c r="C997" s="243"/>
      <c r="D997" s="242"/>
      <c r="E997" s="242"/>
      <c r="F997" s="242"/>
      <c r="G997" s="250"/>
      <c r="H997" s="251"/>
      <c r="I997" s="242"/>
      <c r="J997" s="242"/>
      <c r="K997" s="242"/>
      <c r="L997" s="242"/>
      <c r="M997" s="242"/>
      <c r="N997" s="242"/>
      <c r="O997" s="242"/>
    </row>
    <row r="998">
      <c r="A998" s="242"/>
      <c r="B998" s="242"/>
      <c r="C998" s="243"/>
      <c r="D998" s="242"/>
      <c r="E998" s="242"/>
      <c r="F998" s="242"/>
      <c r="G998" s="250"/>
      <c r="H998" s="251"/>
      <c r="I998" s="242"/>
      <c r="J998" s="242"/>
      <c r="K998" s="242"/>
      <c r="L998" s="242"/>
      <c r="M998" s="242"/>
      <c r="N998" s="242"/>
      <c r="O998" s="242"/>
    </row>
    <row r="999">
      <c r="A999" s="242"/>
      <c r="B999" s="242"/>
      <c r="C999" s="243"/>
      <c r="D999" s="242"/>
      <c r="E999" s="242"/>
      <c r="F999" s="242"/>
      <c r="G999" s="250"/>
      <c r="H999" s="251"/>
      <c r="I999" s="242"/>
      <c r="J999" s="242"/>
      <c r="K999" s="242"/>
      <c r="L999" s="242"/>
      <c r="M999" s="242"/>
      <c r="N999" s="242"/>
      <c r="O999" s="242"/>
    </row>
    <row r="1000">
      <c r="A1000" s="242"/>
      <c r="B1000" s="242"/>
      <c r="C1000" s="243"/>
      <c r="D1000" s="242"/>
      <c r="E1000" s="242"/>
      <c r="F1000" s="242"/>
      <c r="G1000" s="250"/>
      <c r="H1000" s="251"/>
      <c r="I1000" s="242"/>
      <c r="J1000" s="242"/>
      <c r="K1000" s="242"/>
      <c r="L1000" s="242"/>
      <c r="M1000" s="242"/>
      <c r="N1000" s="242"/>
      <c r="O1000" s="242"/>
    </row>
    <row r="1001">
      <c r="A1001" s="242"/>
      <c r="B1001" s="242"/>
      <c r="C1001" s="243"/>
      <c r="D1001" s="242"/>
      <c r="E1001" s="242"/>
      <c r="F1001" s="242"/>
      <c r="G1001" s="250"/>
      <c r="H1001" s="251"/>
      <c r="I1001" s="242"/>
      <c r="J1001" s="242"/>
      <c r="K1001" s="242"/>
      <c r="L1001" s="242"/>
      <c r="M1001" s="242"/>
      <c r="N1001" s="242"/>
      <c r="O1001" s="242"/>
    </row>
    <row r="1002">
      <c r="A1002" s="242"/>
      <c r="B1002" s="242"/>
      <c r="C1002" s="243"/>
      <c r="D1002" s="242"/>
      <c r="E1002" s="242"/>
      <c r="F1002" s="242"/>
      <c r="G1002" s="250"/>
      <c r="H1002" s="251"/>
      <c r="I1002" s="242"/>
      <c r="J1002" s="242"/>
      <c r="K1002" s="242"/>
      <c r="L1002" s="242"/>
      <c r="M1002" s="242"/>
      <c r="N1002" s="242"/>
      <c r="O1002" s="242"/>
    </row>
    <row r="1003">
      <c r="A1003" s="242"/>
      <c r="B1003" s="242"/>
      <c r="C1003" s="243"/>
      <c r="D1003" s="242"/>
      <c r="E1003" s="242"/>
      <c r="F1003" s="242"/>
      <c r="G1003" s="250"/>
      <c r="H1003" s="251"/>
      <c r="I1003" s="242"/>
      <c r="J1003" s="242"/>
      <c r="K1003" s="242"/>
      <c r="L1003" s="242"/>
      <c r="M1003" s="242"/>
      <c r="N1003" s="242"/>
      <c r="O1003" s="242"/>
    </row>
    <row r="1004">
      <c r="A1004" s="242"/>
      <c r="B1004" s="242"/>
      <c r="C1004" s="243"/>
      <c r="D1004" s="242"/>
      <c r="E1004" s="242"/>
      <c r="F1004" s="242"/>
      <c r="G1004" s="250"/>
      <c r="H1004" s="251"/>
      <c r="I1004" s="242"/>
      <c r="J1004" s="242"/>
      <c r="K1004" s="242"/>
      <c r="L1004" s="242"/>
      <c r="M1004" s="242"/>
      <c r="N1004" s="242"/>
      <c r="O1004" s="242"/>
    </row>
    <row r="1005">
      <c r="A1005" s="242"/>
      <c r="B1005" s="242"/>
      <c r="C1005" s="243"/>
      <c r="D1005" s="242"/>
      <c r="E1005" s="242"/>
      <c r="F1005" s="242"/>
      <c r="G1005" s="250"/>
      <c r="H1005" s="251"/>
      <c r="I1005" s="242"/>
      <c r="J1005" s="242"/>
      <c r="K1005" s="242"/>
      <c r="L1005" s="242"/>
      <c r="M1005" s="242"/>
      <c r="N1005" s="242"/>
      <c r="O1005" s="242"/>
    </row>
    <row r="1006">
      <c r="A1006" s="242"/>
      <c r="B1006" s="242"/>
      <c r="C1006" s="243"/>
      <c r="D1006" s="242"/>
      <c r="E1006" s="242"/>
      <c r="F1006" s="242"/>
      <c r="G1006" s="250"/>
      <c r="H1006" s="251"/>
      <c r="I1006" s="242"/>
      <c r="J1006" s="242"/>
      <c r="K1006" s="242"/>
      <c r="L1006" s="242"/>
      <c r="M1006" s="242"/>
      <c r="N1006" s="242"/>
      <c r="O1006" s="242"/>
    </row>
    <row r="1007">
      <c r="A1007" s="242"/>
      <c r="B1007" s="242"/>
      <c r="C1007" s="243"/>
      <c r="D1007" s="242"/>
      <c r="E1007" s="242"/>
      <c r="F1007" s="242"/>
      <c r="G1007" s="250"/>
      <c r="H1007" s="251"/>
      <c r="I1007" s="242"/>
      <c r="J1007" s="242"/>
      <c r="K1007" s="242"/>
      <c r="L1007" s="242"/>
      <c r="M1007" s="242"/>
      <c r="N1007" s="242"/>
      <c r="O1007" s="242"/>
    </row>
    <row r="1008">
      <c r="A1008" s="242"/>
      <c r="B1008" s="242"/>
      <c r="C1008" s="243"/>
      <c r="D1008" s="242"/>
      <c r="E1008" s="242"/>
      <c r="F1008" s="242"/>
      <c r="G1008" s="250"/>
      <c r="H1008" s="251"/>
      <c r="I1008" s="242"/>
      <c r="J1008" s="242"/>
      <c r="K1008" s="242"/>
      <c r="L1008" s="242"/>
      <c r="M1008" s="242"/>
      <c r="N1008" s="242"/>
      <c r="O1008" s="242"/>
    </row>
    <row r="1009">
      <c r="A1009" s="242"/>
      <c r="B1009" s="242"/>
      <c r="C1009" s="243"/>
      <c r="D1009" s="242"/>
      <c r="E1009" s="242"/>
      <c r="F1009" s="242"/>
      <c r="G1009" s="250"/>
      <c r="H1009" s="251"/>
      <c r="I1009" s="242"/>
      <c r="J1009" s="242"/>
      <c r="K1009" s="242"/>
      <c r="L1009" s="242"/>
      <c r="M1009" s="242"/>
      <c r="N1009" s="242"/>
      <c r="O1009" s="242"/>
    </row>
    <row r="1010">
      <c r="A1010" s="242"/>
      <c r="B1010" s="242"/>
      <c r="C1010" s="243"/>
      <c r="D1010" s="242"/>
      <c r="E1010" s="242"/>
      <c r="F1010" s="242"/>
      <c r="G1010" s="250"/>
      <c r="H1010" s="251"/>
      <c r="I1010" s="242"/>
      <c r="J1010" s="242"/>
      <c r="K1010" s="242"/>
      <c r="L1010" s="242"/>
      <c r="M1010" s="242"/>
      <c r="N1010" s="242"/>
      <c r="O1010" s="242"/>
    </row>
    <row r="1011">
      <c r="A1011" s="242"/>
      <c r="B1011" s="242"/>
      <c r="C1011" s="243"/>
      <c r="D1011" s="242"/>
      <c r="E1011" s="242"/>
      <c r="F1011" s="242"/>
      <c r="G1011" s="250"/>
      <c r="H1011" s="251"/>
      <c r="I1011" s="242"/>
      <c r="J1011" s="242"/>
      <c r="K1011" s="242"/>
      <c r="L1011" s="242"/>
      <c r="M1011" s="242"/>
      <c r="N1011" s="242"/>
      <c r="O1011" s="242"/>
    </row>
    <row r="1012">
      <c r="A1012" s="242"/>
      <c r="B1012" s="242"/>
      <c r="C1012" s="243"/>
      <c r="D1012" s="242"/>
      <c r="E1012" s="242"/>
      <c r="F1012" s="242"/>
      <c r="G1012" s="250"/>
      <c r="H1012" s="251"/>
      <c r="I1012" s="242"/>
      <c r="J1012" s="242"/>
      <c r="K1012" s="242"/>
      <c r="L1012" s="242"/>
      <c r="M1012" s="242"/>
      <c r="N1012" s="242"/>
      <c r="O1012" s="242"/>
    </row>
    <row r="1013">
      <c r="A1013" s="242"/>
      <c r="B1013" s="242"/>
      <c r="C1013" s="243"/>
      <c r="D1013" s="242"/>
      <c r="E1013" s="242"/>
      <c r="F1013" s="242"/>
      <c r="G1013" s="250"/>
      <c r="H1013" s="251"/>
      <c r="I1013" s="242"/>
      <c r="J1013" s="242"/>
      <c r="K1013" s="242"/>
      <c r="L1013" s="242"/>
      <c r="M1013" s="242"/>
      <c r="N1013" s="242"/>
      <c r="O1013" s="242"/>
    </row>
    <row r="1014">
      <c r="A1014" s="242"/>
      <c r="B1014" s="242"/>
      <c r="C1014" s="243"/>
      <c r="D1014" s="242"/>
      <c r="E1014" s="242"/>
      <c r="F1014" s="242"/>
      <c r="G1014" s="250"/>
      <c r="H1014" s="251"/>
      <c r="I1014" s="242"/>
      <c r="J1014" s="242"/>
      <c r="K1014" s="242"/>
      <c r="L1014" s="242"/>
      <c r="M1014" s="242"/>
      <c r="N1014" s="242"/>
      <c r="O1014" s="242"/>
    </row>
    <row r="1015">
      <c r="A1015" s="242"/>
      <c r="B1015" s="242"/>
      <c r="C1015" s="243"/>
      <c r="D1015" s="242"/>
      <c r="E1015" s="242"/>
      <c r="F1015" s="242"/>
      <c r="G1015" s="250"/>
      <c r="H1015" s="251"/>
      <c r="I1015" s="242"/>
      <c r="J1015" s="242"/>
      <c r="K1015" s="242"/>
      <c r="L1015" s="242"/>
      <c r="M1015" s="242"/>
      <c r="N1015" s="242"/>
      <c r="O1015" s="242"/>
    </row>
    <row r="1016">
      <c r="A1016" s="242"/>
      <c r="B1016" s="242"/>
      <c r="C1016" s="243"/>
      <c r="D1016" s="242"/>
      <c r="E1016" s="242"/>
      <c r="F1016" s="242"/>
      <c r="G1016" s="250"/>
      <c r="H1016" s="251"/>
      <c r="I1016" s="242"/>
      <c r="J1016" s="242"/>
      <c r="K1016" s="242"/>
      <c r="L1016" s="242"/>
      <c r="M1016" s="242"/>
      <c r="N1016" s="242"/>
      <c r="O1016" s="242"/>
    </row>
  </sheetData>
  <mergeCells count="20">
    <mergeCell ref="B2:B3"/>
    <mergeCell ref="C2:C3"/>
    <mergeCell ref="D2:D3"/>
    <mergeCell ref="E2:E3"/>
    <mergeCell ref="G2:G3"/>
    <mergeCell ref="H2:H3"/>
    <mergeCell ref="I2:I3"/>
    <mergeCell ref="B37:E37"/>
    <mergeCell ref="B50:E50"/>
    <mergeCell ref="B52:F52"/>
    <mergeCell ref="B63:E63"/>
    <mergeCell ref="B65:F65"/>
    <mergeCell ref="B72:E72"/>
    <mergeCell ref="F2:F3"/>
    <mergeCell ref="B4:F4"/>
    <mergeCell ref="B15:E15"/>
    <mergeCell ref="B17:F17"/>
    <mergeCell ref="B28:E28"/>
    <mergeCell ref="B30:F30"/>
    <mergeCell ref="B39:F39"/>
  </mergeCells>
  <printOptions horizontalCentered="1"/>
  <pageMargins bottom="0.75" footer="0.0" header="0.0" left="0.25" right="0.25" top="0.75"/>
  <pageSetup fitToHeight="0" paperSize="9" cellComments="atEnd"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
    <col customWidth="1" min="2" max="2" width="6.38"/>
    <col customWidth="1" min="3" max="3" width="13.25"/>
    <col customWidth="1" min="4" max="4" width="13.75"/>
    <col customWidth="1" min="5" max="5" width="8.38"/>
    <col customWidth="1" min="6" max="6" width="8.25"/>
    <col customWidth="1" hidden="1" min="7" max="7" width="7.75"/>
    <col customWidth="1" hidden="1" min="8" max="8" width="6.13"/>
    <col customWidth="1" min="9" max="9" width="7.75"/>
    <col customWidth="1" min="10" max="10" width="7.63"/>
    <col customWidth="1" hidden="1" min="11" max="13" width="6.5"/>
    <col customWidth="1" hidden="1" min="14" max="14" width="7.5"/>
    <col customWidth="1" min="15" max="15" width="9.13"/>
    <col customWidth="1" hidden="1" min="16" max="16" width="11.75"/>
    <col customWidth="1" hidden="1" min="17" max="17" width="9.38"/>
    <col customWidth="1" min="18" max="18" width="8.25"/>
    <col customWidth="1" min="19" max="26" width="8.75"/>
  </cols>
  <sheetData>
    <row r="1" ht="6.75" customHeight="1">
      <c r="A1" s="34"/>
      <c r="B1" s="15"/>
      <c r="C1" s="15"/>
      <c r="D1" s="15"/>
      <c r="E1" s="17"/>
      <c r="F1" s="15"/>
      <c r="G1" s="244">
        <v>0.05</v>
      </c>
      <c r="H1" s="243"/>
      <c r="I1" s="243"/>
      <c r="J1" s="243"/>
      <c r="K1" s="29"/>
      <c r="L1" s="29"/>
      <c r="M1" s="29"/>
      <c r="N1" s="29"/>
      <c r="O1" s="29"/>
      <c r="P1" s="307"/>
      <c r="Q1" s="29"/>
      <c r="R1" s="29"/>
      <c r="S1" s="15"/>
      <c r="T1" s="15"/>
      <c r="U1" s="243"/>
      <c r="V1" s="243"/>
      <c r="W1" s="243"/>
      <c r="X1" s="243"/>
      <c r="Y1" s="243"/>
      <c r="Z1" s="243"/>
    </row>
    <row r="2" ht="31.5" customHeight="1">
      <c r="A2" s="34"/>
      <c r="B2" s="308" t="s">
        <v>0</v>
      </c>
      <c r="C2" s="37" t="s">
        <v>21</v>
      </c>
      <c r="D2" s="37" t="s">
        <v>24</v>
      </c>
      <c r="E2" s="40" t="s">
        <v>18</v>
      </c>
      <c r="F2" s="247" t="str">
        <f>' CPVC PIPE'!F2</f>
        <v>MRP as on 1st May, 2024</v>
      </c>
      <c r="G2" s="42" t="s">
        <v>6</v>
      </c>
      <c r="H2" s="47" t="s">
        <v>32</v>
      </c>
      <c r="I2" s="47" t="s">
        <v>35</v>
      </c>
      <c r="J2" s="50" t="s">
        <v>26</v>
      </c>
      <c r="K2" s="52" t="s">
        <v>1121</v>
      </c>
      <c r="L2" s="52" t="s">
        <v>1122</v>
      </c>
      <c r="M2" s="52" t="s">
        <v>42</v>
      </c>
      <c r="N2" s="52" t="s">
        <v>44</v>
      </c>
      <c r="O2" s="38" t="s">
        <v>8</v>
      </c>
      <c r="P2" s="50" t="s">
        <v>46</v>
      </c>
      <c r="Q2" s="29"/>
      <c r="R2" s="29"/>
      <c r="S2" s="15"/>
      <c r="T2" s="15"/>
      <c r="U2" s="243"/>
      <c r="V2" s="243"/>
      <c r="W2" s="243"/>
      <c r="X2" s="243"/>
      <c r="Y2" s="243"/>
      <c r="Z2" s="243"/>
    </row>
    <row r="3" ht="32.25" customHeight="1">
      <c r="A3" s="34"/>
      <c r="B3" s="41"/>
      <c r="C3" s="41"/>
      <c r="D3" s="41"/>
      <c r="E3" s="41"/>
      <c r="F3" s="41"/>
      <c r="G3" s="41"/>
      <c r="H3" s="41"/>
      <c r="I3" s="41"/>
      <c r="J3" s="41"/>
      <c r="K3" s="29"/>
      <c r="L3" s="29"/>
      <c r="M3" s="29"/>
      <c r="N3" s="29"/>
      <c r="O3" s="41"/>
      <c r="P3" s="41"/>
      <c r="Q3" s="309"/>
      <c r="R3" s="309"/>
      <c r="S3" s="15"/>
      <c r="T3" s="15"/>
      <c r="U3" s="243"/>
      <c r="V3" s="243"/>
      <c r="W3" s="243"/>
      <c r="X3" s="243"/>
      <c r="Y3" s="243"/>
      <c r="Z3" s="243"/>
    </row>
    <row r="4" ht="22.5" customHeight="1">
      <c r="A4" s="34"/>
      <c r="B4" s="62" t="s">
        <v>121</v>
      </c>
      <c r="C4" s="45"/>
      <c r="D4" s="45"/>
      <c r="E4" s="45"/>
      <c r="F4" s="46"/>
      <c r="G4" s="250"/>
      <c r="H4" s="243"/>
      <c r="I4" s="243"/>
      <c r="J4" s="243"/>
      <c r="K4" s="29"/>
      <c r="L4" s="29"/>
      <c r="M4" s="29"/>
      <c r="N4" s="29"/>
      <c r="O4" s="29"/>
      <c r="P4" s="307"/>
      <c r="Q4" s="29"/>
      <c r="R4" s="29"/>
      <c r="S4" s="15"/>
      <c r="T4" s="15"/>
      <c r="U4" s="243"/>
      <c r="V4" s="243"/>
      <c r="W4" s="243"/>
      <c r="X4" s="243"/>
      <c r="Y4" s="243"/>
      <c r="Z4" s="243"/>
    </row>
    <row r="5" ht="15.75" customHeight="1">
      <c r="A5" s="67" t="str">
        <f t="shared" ref="A5:A14" si="1">$B$4&amp;C5</f>
        <v>Elbow 90⁰ (SCH-80)3⁄4 x 1⁄2</v>
      </c>
      <c r="B5" s="68">
        <v>1.0</v>
      </c>
      <c r="C5" s="110" t="s">
        <v>144</v>
      </c>
      <c r="D5" s="110" t="s">
        <v>145</v>
      </c>
      <c r="E5" s="111" t="s">
        <v>1125</v>
      </c>
      <c r="F5" s="56">
        <v>19.9</v>
      </c>
      <c r="G5" s="76">
        <f>IFERROR(__xludf.DUMMYFUNCTION("ArrayFormula(IFERROR(VLOOKUP(E5,IMPORTRANGE(""https://docs.google.com/spreadsheets/d/1xZyKy-UzMmtPDLpV5jQdYum1LtbR8XKDuasLSjmBRMI/edit#gid=1241094406"",""COMBINED DATA!E3:L""),{7,8},0)))"),0.040299999999999996)</f>
        <v>0.0403</v>
      </c>
      <c r="H5" s="76">
        <f>IFERROR(__xludf.DUMMYFUNCTION("""COMPUTED_VALUE"""),0.0)</f>
        <v>0</v>
      </c>
      <c r="I5" s="76">
        <f t="shared" ref="I5:I14" si="2">G5+H5</f>
        <v>0.0403</v>
      </c>
      <c r="J5" s="84">
        <f t="shared" ref="J5:J14" si="3">IFERROR(F5/I5,"")</f>
        <v>493.7965261</v>
      </c>
      <c r="K5" s="85">
        <f t="shared" ref="K5:K14" si="4">IFERROR(G5*100,)</f>
        <v>4.03</v>
      </c>
      <c r="L5" s="85">
        <f t="shared" ref="L5:L14" si="5">IFERROR(H5*725,)</f>
        <v>0</v>
      </c>
      <c r="M5" s="85">
        <f t="shared" ref="M5:M14" si="6">IFERROR(K5+L5,"")</f>
        <v>4.03</v>
      </c>
      <c r="N5" s="85">
        <f t="shared" ref="N5:N385" si="7">IFERROR(F5/M5,"")</f>
        <v>4.937965261</v>
      </c>
      <c r="O5" s="310">
        <v>19.9</v>
      </c>
      <c r="P5" s="75"/>
      <c r="Q5" s="85"/>
      <c r="R5" s="85"/>
      <c r="S5" s="20"/>
      <c r="T5" s="20"/>
      <c r="U5" s="16"/>
      <c r="V5" s="16"/>
      <c r="W5" s="16"/>
      <c r="X5" s="16"/>
      <c r="Y5" s="16"/>
      <c r="Z5" s="16"/>
    </row>
    <row r="6" ht="15.75" customHeight="1">
      <c r="A6" s="67" t="str">
        <f t="shared" si="1"/>
        <v>Elbow 90⁰ (SCH-80)1⁄2</v>
      </c>
      <c r="B6" s="90">
        <v>2.0</v>
      </c>
      <c r="C6" s="92" t="s">
        <v>43</v>
      </c>
      <c r="D6" s="92">
        <v>15.0</v>
      </c>
      <c r="E6" s="94" t="s">
        <v>1128</v>
      </c>
      <c r="F6" s="56">
        <v>13.9</v>
      </c>
      <c r="G6" s="76">
        <f>IFERROR(__xludf.DUMMYFUNCTION("ArrayFormula(IFERROR(VLOOKUP(E6,IMPORTRANGE(""https://docs.google.com/spreadsheets/d/1xZyKy-UzMmtPDLpV5jQdYum1LtbR8XKDuasLSjmBRMI/edit#gid=1241094406"",""COMBINED DATA!E3:L""),{7,8},0)))"),0.0295)</f>
        <v>0.0295</v>
      </c>
      <c r="H6" s="76">
        <f>IFERROR(__xludf.DUMMYFUNCTION("""COMPUTED_VALUE"""),0.0)</f>
        <v>0</v>
      </c>
      <c r="I6" s="76">
        <f t="shared" si="2"/>
        <v>0.0295</v>
      </c>
      <c r="J6" s="84">
        <f t="shared" si="3"/>
        <v>471.1864407</v>
      </c>
      <c r="K6" s="85">
        <f t="shared" si="4"/>
        <v>2.95</v>
      </c>
      <c r="L6" s="85">
        <f t="shared" si="5"/>
        <v>0</v>
      </c>
      <c r="M6" s="85">
        <f t="shared" si="6"/>
        <v>2.95</v>
      </c>
      <c r="N6" s="85">
        <f t="shared" si="7"/>
        <v>4.711864407</v>
      </c>
      <c r="O6" s="310">
        <v>13.9</v>
      </c>
      <c r="P6" s="286"/>
      <c r="Q6" s="85"/>
      <c r="R6" s="85"/>
      <c r="S6" s="20"/>
      <c r="T6" s="20"/>
      <c r="U6" s="16"/>
      <c r="V6" s="16"/>
      <c r="W6" s="16"/>
      <c r="X6" s="16"/>
      <c r="Y6" s="16"/>
      <c r="Z6" s="16"/>
    </row>
    <row r="7" ht="15.75" customHeight="1">
      <c r="A7" s="67" t="str">
        <f t="shared" si="1"/>
        <v>Elbow 90⁰ (SCH-80)3⁄4</v>
      </c>
      <c r="B7" s="90">
        <v>3.0</v>
      </c>
      <c r="C7" s="92" t="s">
        <v>51</v>
      </c>
      <c r="D7" s="92">
        <v>20.0</v>
      </c>
      <c r="E7" s="94" t="s">
        <v>1130</v>
      </c>
      <c r="F7" s="56">
        <v>19.6</v>
      </c>
      <c r="G7" s="76">
        <f>IFERROR(__xludf.DUMMYFUNCTION("ArrayFormula(IFERROR(VLOOKUP(E7,IMPORTRANGE(""https://docs.google.com/spreadsheets/d/1xZyKy-UzMmtPDLpV5jQdYum1LtbR8XKDuasLSjmBRMI/edit#gid=1241094406"",""COMBINED DATA!E3:L""),{7,8},0)))"),0.043)</f>
        <v>0.043</v>
      </c>
      <c r="H7" s="76">
        <f>IFERROR(__xludf.DUMMYFUNCTION("""COMPUTED_VALUE"""),0.0)</f>
        <v>0</v>
      </c>
      <c r="I7" s="76">
        <f t="shared" si="2"/>
        <v>0.043</v>
      </c>
      <c r="J7" s="84">
        <f t="shared" si="3"/>
        <v>455.8139535</v>
      </c>
      <c r="K7" s="85">
        <f t="shared" si="4"/>
        <v>4.3</v>
      </c>
      <c r="L7" s="85">
        <f t="shared" si="5"/>
        <v>0</v>
      </c>
      <c r="M7" s="85">
        <f t="shared" si="6"/>
        <v>4.3</v>
      </c>
      <c r="N7" s="85">
        <f t="shared" si="7"/>
        <v>4.558139535</v>
      </c>
      <c r="O7" s="310">
        <v>19.6</v>
      </c>
      <c r="P7" s="286"/>
      <c r="Q7" s="85"/>
      <c r="R7" s="85"/>
      <c r="S7" s="20"/>
      <c r="T7" s="20"/>
      <c r="U7" s="16"/>
      <c r="V7" s="16"/>
      <c r="W7" s="16"/>
      <c r="X7" s="16"/>
      <c r="Y7" s="16"/>
      <c r="Z7" s="16"/>
    </row>
    <row r="8" ht="15.75" customHeight="1">
      <c r="A8" s="67" t="str">
        <f t="shared" si="1"/>
        <v>Elbow 90⁰ (SCH-80)1</v>
      </c>
      <c r="B8" s="90">
        <v>4.0</v>
      </c>
      <c r="C8" s="92" t="s">
        <v>84</v>
      </c>
      <c r="D8" s="92">
        <v>25.0</v>
      </c>
      <c r="E8" s="94" t="s">
        <v>1131</v>
      </c>
      <c r="F8" s="56">
        <v>34.4</v>
      </c>
      <c r="G8" s="76">
        <f>IFERROR(__xludf.DUMMYFUNCTION("ArrayFormula(IFERROR(VLOOKUP(E8,IMPORTRANGE(""https://docs.google.com/spreadsheets/d/1xZyKy-UzMmtPDLpV5jQdYum1LtbR8XKDuasLSjmBRMI/edit#gid=1241094406"",""COMBINED DATA!E3:L""),{7,8},0)))"),0.074)</f>
        <v>0.074</v>
      </c>
      <c r="H8" s="76">
        <f>IFERROR(__xludf.DUMMYFUNCTION("""COMPUTED_VALUE"""),0.0)</f>
        <v>0</v>
      </c>
      <c r="I8" s="76">
        <f t="shared" si="2"/>
        <v>0.074</v>
      </c>
      <c r="J8" s="84">
        <f t="shared" si="3"/>
        <v>464.8648649</v>
      </c>
      <c r="K8" s="85">
        <f t="shared" si="4"/>
        <v>7.4</v>
      </c>
      <c r="L8" s="85">
        <f t="shared" si="5"/>
        <v>0</v>
      </c>
      <c r="M8" s="85">
        <f t="shared" si="6"/>
        <v>7.4</v>
      </c>
      <c r="N8" s="85">
        <f t="shared" si="7"/>
        <v>4.648648649</v>
      </c>
      <c r="O8" s="310">
        <v>34.4</v>
      </c>
      <c r="P8" s="286"/>
      <c r="Q8" s="85"/>
      <c r="R8" s="85"/>
      <c r="S8" s="20"/>
      <c r="T8" s="20"/>
      <c r="U8" s="16"/>
      <c r="V8" s="16"/>
      <c r="W8" s="16"/>
      <c r="X8" s="16"/>
      <c r="Y8" s="16"/>
      <c r="Z8" s="16"/>
    </row>
    <row r="9" ht="15.75" customHeight="1">
      <c r="A9" s="67" t="str">
        <f t="shared" si="1"/>
        <v>Elbow 90⁰ (SCH-80)1 1⁄4</v>
      </c>
      <c r="B9" s="90">
        <v>5.0</v>
      </c>
      <c r="C9" s="92" t="s">
        <v>55</v>
      </c>
      <c r="D9" s="92">
        <v>32.0</v>
      </c>
      <c r="E9" s="94" t="s">
        <v>1133</v>
      </c>
      <c r="F9" s="56">
        <v>52.9</v>
      </c>
      <c r="G9" s="76">
        <f>IFERROR(__xludf.DUMMYFUNCTION("ArrayFormula(IFERROR(VLOOKUP(E9,IMPORTRANGE(""https://docs.google.com/spreadsheets/d/1xZyKy-UzMmtPDLpV5jQdYum1LtbR8XKDuasLSjmBRMI/edit#gid=1241094406"",""COMBINED DATA!E3:L""),{7,8},0)))"),0.113)</f>
        <v>0.113</v>
      </c>
      <c r="H9" s="76">
        <f>IFERROR(__xludf.DUMMYFUNCTION("""COMPUTED_VALUE"""),0.0)</f>
        <v>0</v>
      </c>
      <c r="I9" s="76">
        <f t="shared" si="2"/>
        <v>0.113</v>
      </c>
      <c r="J9" s="84">
        <f t="shared" si="3"/>
        <v>468.1415929</v>
      </c>
      <c r="K9" s="85">
        <f t="shared" si="4"/>
        <v>11.3</v>
      </c>
      <c r="L9" s="85">
        <f t="shared" si="5"/>
        <v>0</v>
      </c>
      <c r="M9" s="85">
        <f t="shared" si="6"/>
        <v>11.3</v>
      </c>
      <c r="N9" s="85">
        <f t="shared" si="7"/>
        <v>4.681415929</v>
      </c>
      <c r="O9" s="310">
        <v>52.9</v>
      </c>
      <c r="P9" s="286"/>
      <c r="Q9" s="85"/>
      <c r="R9" s="85"/>
      <c r="S9" s="20"/>
      <c r="T9" s="20"/>
      <c r="U9" s="16"/>
      <c r="V9" s="16"/>
      <c r="W9" s="16"/>
      <c r="X9" s="16"/>
      <c r="Y9" s="16"/>
      <c r="Z9" s="16"/>
    </row>
    <row r="10" ht="15.75" customHeight="1">
      <c r="A10" s="67" t="str">
        <f t="shared" si="1"/>
        <v>Elbow 90⁰ (SCH-80)1 1⁄2</v>
      </c>
      <c r="B10" s="90">
        <v>6.0</v>
      </c>
      <c r="C10" s="92" t="s">
        <v>56</v>
      </c>
      <c r="D10" s="92">
        <v>40.0</v>
      </c>
      <c r="E10" s="94" t="s">
        <v>1135</v>
      </c>
      <c r="F10" s="56">
        <v>68.8</v>
      </c>
      <c r="G10" s="76">
        <f>IFERROR(__xludf.DUMMYFUNCTION("ArrayFormula(IFERROR(VLOOKUP(E10,IMPORTRANGE(""https://docs.google.com/spreadsheets/d/1xZyKy-UzMmtPDLpV5jQdYum1LtbR8XKDuasLSjmBRMI/edit#gid=1241094406"",""COMBINED DATA!E3:L""),{7,8},0)))"),0.148)</f>
        <v>0.148</v>
      </c>
      <c r="H10" s="76">
        <f>IFERROR(__xludf.DUMMYFUNCTION("""COMPUTED_VALUE"""),0.0)</f>
        <v>0</v>
      </c>
      <c r="I10" s="76">
        <f t="shared" si="2"/>
        <v>0.148</v>
      </c>
      <c r="J10" s="84">
        <f t="shared" si="3"/>
        <v>464.8648649</v>
      </c>
      <c r="K10" s="85">
        <f t="shared" si="4"/>
        <v>14.8</v>
      </c>
      <c r="L10" s="85">
        <f t="shared" si="5"/>
        <v>0</v>
      </c>
      <c r="M10" s="85">
        <f t="shared" si="6"/>
        <v>14.8</v>
      </c>
      <c r="N10" s="85">
        <f t="shared" si="7"/>
        <v>4.648648649</v>
      </c>
      <c r="O10" s="310">
        <v>68.8</v>
      </c>
      <c r="P10" s="286"/>
      <c r="Q10" s="85"/>
      <c r="R10" s="85"/>
      <c r="S10" s="20"/>
      <c r="T10" s="20"/>
      <c r="U10" s="16"/>
      <c r="V10" s="16"/>
      <c r="W10" s="16"/>
      <c r="X10" s="16"/>
      <c r="Y10" s="16"/>
      <c r="Z10" s="16"/>
    </row>
    <row r="11" ht="15.75" customHeight="1">
      <c r="A11" s="67" t="str">
        <f t="shared" si="1"/>
        <v>Elbow 90⁰ (SCH-80)2</v>
      </c>
      <c r="B11" s="90">
        <v>7.0</v>
      </c>
      <c r="C11" s="92" t="s">
        <v>107</v>
      </c>
      <c r="D11" s="92">
        <v>50.0</v>
      </c>
      <c r="E11" s="94" t="s">
        <v>1136</v>
      </c>
      <c r="F11" s="56">
        <v>103.4</v>
      </c>
      <c r="G11" s="76">
        <f>IFERROR(__xludf.DUMMYFUNCTION("ArrayFormula(IFERROR(VLOOKUP(E11,IMPORTRANGE(""https://docs.google.com/spreadsheets/d/1xZyKy-UzMmtPDLpV5jQdYum1LtbR8XKDuasLSjmBRMI/edit#gid=1241094406"",""COMBINED DATA!E3:L""),{7,8},0)))"),0.222)</f>
        <v>0.222</v>
      </c>
      <c r="H11" s="76">
        <f>IFERROR(__xludf.DUMMYFUNCTION("""COMPUTED_VALUE"""),0.0)</f>
        <v>0</v>
      </c>
      <c r="I11" s="76">
        <f t="shared" si="2"/>
        <v>0.222</v>
      </c>
      <c r="J11" s="84">
        <f t="shared" si="3"/>
        <v>465.7657658</v>
      </c>
      <c r="K11" s="85">
        <f t="shared" si="4"/>
        <v>22.2</v>
      </c>
      <c r="L11" s="85">
        <f t="shared" si="5"/>
        <v>0</v>
      </c>
      <c r="M11" s="85">
        <f t="shared" si="6"/>
        <v>22.2</v>
      </c>
      <c r="N11" s="85">
        <f t="shared" si="7"/>
        <v>4.657657658</v>
      </c>
      <c r="O11" s="310">
        <v>103.4</v>
      </c>
      <c r="P11" s="286"/>
      <c r="Q11" s="85"/>
      <c r="R11" s="85"/>
      <c r="S11" s="20"/>
      <c r="T11" s="20"/>
      <c r="U11" s="16"/>
      <c r="V11" s="16"/>
      <c r="W11" s="16"/>
      <c r="X11" s="16"/>
      <c r="Y11" s="16"/>
      <c r="Z11" s="16"/>
    </row>
    <row r="12" ht="15.75" customHeight="1">
      <c r="A12" s="67" t="str">
        <f t="shared" si="1"/>
        <v>Elbow 90⁰ (SCH-80)2 1⁄2</v>
      </c>
      <c r="B12" s="90">
        <v>8.0</v>
      </c>
      <c r="C12" s="127" t="s">
        <v>69</v>
      </c>
      <c r="D12" s="127">
        <v>65.0</v>
      </c>
      <c r="E12" s="112" t="s">
        <v>1138</v>
      </c>
      <c r="F12" s="181">
        <v>254.0</v>
      </c>
      <c r="G12" s="76">
        <f>IFERROR(__xludf.DUMMYFUNCTION("ArrayFormula(IFERROR(VLOOKUP(E12,IMPORTRANGE(""https://docs.google.com/spreadsheets/d/1xZyKy-UzMmtPDLpV5jQdYum1LtbR8XKDuasLSjmBRMI/edit#gid=1241094406"",""COMBINED DATA!E3:L""),{7,8},0)))"),0.4915)</f>
        <v>0.4915</v>
      </c>
      <c r="H12" s="76">
        <f>IFERROR(__xludf.DUMMYFUNCTION("""COMPUTED_VALUE"""),0.0)</f>
        <v>0</v>
      </c>
      <c r="I12" s="76">
        <f t="shared" si="2"/>
        <v>0.4915</v>
      </c>
      <c r="J12" s="84">
        <f t="shared" si="3"/>
        <v>516.785351</v>
      </c>
      <c r="K12" s="85">
        <f t="shared" si="4"/>
        <v>49.15</v>
      </c>
      <c r="L12" s="85">
        <f t="shared" si="5"/>
        <v>0</v>
      </c>
      <c r="M12" s="85">
        <f t="shared" si="6"/>
        <v>49.15</v>
      </c>
      <c r="N12" s="85">
        <f t="shared" si="7"/>
        <v>5.16785351</v>
      </c>
      <c r="O12" s="311">
        <v>254.0</v>
      </c>
      <c r="P12" s="75"/>
      <c r="Q12" s="85"/>
      <c r="R12" s="85"/>
      <c r="S12" s="20"/>
      <c r="T12" s="20"/>
      <c r="U12" s="16"/>
      <c r="V12" s="16"/>
      <c r="W12" s="16"/>
      <c r="X12" s="16"/>
      <c r="Y12" s="16"/>
      <c r="Z12" s="16"/>
    </row>
    <row r="13" ht="15.75" customHeight="1">
      <c r="A13" s="67" t="str">
        <f t="shared" si="1"/>
        <v>Elbow 90⁰ (SCH-80)3</v>
      </c>
      <c r="B13" s="90">
        <v>9.0</v>
      </c>
      <c r="C13" s="127">
        <v>3.0</v>
      </c>
      <c r="D13" s="127">
        <v>80.0</v>
      </c>
      <c r="E13" s="112" t="s">
        <v>1140</v>
      </c>
      <c r="F13" s="56">
        <v>398.0</v>
      </c>
      <c r="G13" s="76">
        <f>IFERROR(__xludf.DUMMYFUNCTION("ArrayFormula(IFERROR(VLOOKUP(E13,IMPORTRANGE(""https://docs.google.com/spreadsheets/d/1xZyKy-UzMmtPDLpV5jQdYum1LtbR8XKDuasLSjmBRMI/edit#gid=1241094406"",""COMBINED DATA!E3:L""),{7,8},0)))"),0.7857999999999999)</f>
        <v>0.7858</v>
      </c>
      <c r="H13" s="76">
        <f>IFERROR(__xludf.DUMMYFUNCTION("""COMPUTED_VALUE"""),0.0)</f>
        <v>0</v>
      </c>
      <c r="I13" s="76">
        <f t="shared" si="2"/>
        <v>0.7858</v>
      </c>
      <c r="J13" s="84">
        <f t="shared" si="3"/>
        <v>506.4902011</v>
      </c>
      <c r="K13" s="85">
        <f t="shared" si="4"/>
        <v>78.58</v>
      </c>
      <c r="L13" s="85">
        <f t="shared" si="5"/>
        <v>0</v>
      </c>
      <c r="M13" s="85">
        <f t="shared" si="6"/>
        <v>78.58</v>
      </c>
      <c r="N13" s="85">
        <f t="shared" si="7"/>
        <v>5.064902011</v>
      </c>
      <c r="O13" s="310">
        <v>398.0</v>
      </c>
      <c r="P13" s="75"/>
      <c r="Q13" s="85"/>
      <c r="R13" s="85"/>
      <c r="S13" s="20"/>
      <c r="T13" s="20"/>
      <c r="U13" s="16"/>
      <c r="V13" s="16"/>
      <c r="W13" s="16"/>
      <c r="X13" s="16"/>
      <c r="Y13" s="16"/>
      <c r="Z13" s="16"/>
    </row>
    <row r="14" ht="15.75" customHeight="1">
      <c r="A14" s="67" t="str">
        <f t="shared" si="1"/>
        <v>Elbow 90⁰ (SCH-80)4</v>
      </c>
      <c r="B14" s="90">
        <v>10.0</v>
      </c>
      <c r="C14" s="127">
        <v>4.0</v>
      </c>
      <c r="D14" s="127">
        <v>100.0</v>
      </c>
      <c r="E14" s="112" t="s">
        <v>1141</v>
      </c>
      <c r="F14" s="181">
        <v>664.0</v>
      </c>
      <c r="G14" s="76">
        <f>IFERROR(__xludf.DUMMYFUNCTION("ArrayFormula(IFERROR(VLOOKUP(E14,IMPORTRANGE(""https://docs.google.com/spreadsheets/d/1xZyKy-UzMmtPDLpV5jQdYum1LtbR8XKDuasLSjmBRMI/edit#gid=1241094406"",""COMBINED DATA!E3:L""),{7,8},0)))"),1.285)</f>
        <v>1.285</v>
      </c>
      <c r="H14" s="76">
        <f>IFERROR(__xludf.DUMMYFUNCTION("""COMPUTED_VALUE"""),0.0)</f>
        <v>0</v>
      </c>
      <c r="I14" s="76">
        <f t="shared" si="2"/>
        <v>1.285</v>
      </c>
      <c r="J14" s="84">
        <f t="shared" si="3"/>
        <v>516.7315175</v>
      </c>
      <c r="K14" s="85">
        <f t="shared" si="4"/>
        <v>128.5</v>
      </c>
      <c r="L14" s="85">
        <f t="shared" si="5"/>
        <v>0</v>
      </c>
      <c r="M14" s="85">
        <f t="shared" si="6"/>
        <v>128.5</v>
      </c>
      <c r="N14" s="85">
        <f t="shared" si="7"/>
        <v>5.167315175</v>
      </c>
      <c r="O14" s="311">
        <v>664.0</v>
      </c>
      <c r="P14" s="75"/>
      <c r="Q14" s="85"/>
      <c r="R14" s="85"/>
      <c r="S14" s="20"/>
      <c r="T14" s="20"/>
      <c r="U14" s="16"/>
      <c r="V14" s="16"/>
      <c r="W14" s="16"/>
      <c r="X14" s="16"/>
      <c r="Y14" s="16"/>
      <c r="Z14" s="16"/>
    </row>
    <row r="15">
      <c r="A15" s="34"/>
      <c r="B15" s="237" t="s">
        <v>11</v>
      </c>
      <c r="C15" s="45"/>
      <c r="D15" s="45"/>
      <c r="E15" s="45"/>
      <c r="F15" s="103">
        <f>SUM(F5:F14)</f>
        <v>1628.9</v>
      </c>
      <c r="G15" s="250"/>
      <c r="H15" s="243"/>
      <c r="I15" s="243"/>
      <c r="J15" s="243"/>
      <c r="K15" s="85"/>
      <c r="L15" s="85"/>
      <c r="M15" s="85"/>
      <c r="N15" s="85" t="str">
        <f t="shared" si="7"/>
        <v/>
      </c>
      <c r="O15" s="103">
        <f>SUM(O5:O14)</f>
        <v>1628.9</v>
      </c>
      <c r="P15" s="307"/>
      <c r="Q15" s="85"/>
      <c r="R15" s="85"/>
      <c r="S15" s="15"/>
      <c r="T15" s="15"/>
      <c r="U15" s="243"/>
      <c r="V15" s="243"/>
      <c r="W15" s="243"/>
      <c r="X15" s="243"/>
      <c r="Y15" s="243"/>
      <c r="Z15" s="243"/>
    </row>
    <row r="16" ht="5.25" customHeight="1">
      <c r="A16" s="34"/>
      <c r="B16" s="15"/>
      <c r="C16" s="15"/>
      <c r="D16" s="15"/>
      <c r="E16" s="17"/>
      <c r="F16" s="15"/>
      <c r="G16" s="250"/>
      <c r="H16" s="243"/>
      <c r="I16" s="243"/>
      <c r="J16" s="243"/>
      <c r="K16" s="85"/>
      <c r="L16" s="85"/>
      <c r="M16" s="85"/>
      <c r="N16" s="85" t="str">
        <f t="shared" si="7"/>
        <v/>
      </c>
      <c r="O16" s="29"/>
      <c r="P16" s="307"/>
      <c r="Q16" s="85"/>
      <c r="R16" s="85"/>
      <c r="S16" s="15"/>
      <c r="T16" s="15"/>
      <c r="U16" s="243"/>
      <c r="V16" s="243"/>
      <c r="W16" s="243"/>
      <c r="X16" s="243"/>
      <c r="Y16" s="243"/>
      <c r="Z16" s="243"/>
    </row>
    <row r="17" ht="22.5" customHeight="1">
      <c r="A17" s="34"/>
      <c r="B17" s="62" t="s">
        <v>132</v>
      </c>
      <c r="C17" s="45"/>
      <c r="D17" s="45"/>
      <c r="E17" s="45"/>
      <c r="F17" s="46"/>
      <c r="G17" s="250"/>
      <c r="H17" s="243"/>
      <c r="I17" s="243"/>
      <c r="J17" s="243"/>
      <c r="K17" s="85"/>
      <c r="L17" s="85"/>
      <c r="M17" s="85"/>
      <c r="N17" s="85" t="str">
        <f t="shared" si="7"/>
        <v/>
      </c>
      <c r="O17" s="29"/>
      <c r="P17" s="307"/>
      <c r="Q17" s="85"/>
      <c r="R17" s="85"/>
      <c r="S17" s="15"/>
      <c r="T17" s="15"/>
      <c r="U17" s="243"/>
      <c r="V17" s="243"/>
      <c r="W17" s="243"/>
      <c r="X17" s="243"/>
      <c r="Y17" s="243"/>
      <c r="Z17" s="243"/>
    </row>
    <row r="18" ht="15.75" customHeight="1">
      <c r="A18" s="67" t="str">
        <f>$B$17&amp;C18</f>
        <v>Elbow 90⁰ (SCH-40)6</v>
      </c>
      <c r="B18" s="68">
        <v>1.0</v>
      </c>
      <c r="C18" s="110">
        <v>6.0</v>
      </c>
      <c r="D18" s="110">
        <v>150.0</v>
      </c>
      <c r="E18" s="111" t="s">
        <v>1145</v>
      </c>
      <c r="F18" s="56">
        <v>1090.0</v>
      </c>
      <c r="G18" s="76">
        <f>IFERROR(__xludf.DUMMYFUNCTION("IFERROR(VLOOKUP(E18,IMPORTRANGE(""https://docs.google.com/spreadsheets/d/16zJorHwLPgwY8YVZEbD_cbTMf-XiJq_EjdFyr8LAUDg/edit#gid=0"",""All!A2:C""),3,0))"),0.00189)</f>
        <v>0.00189</v>
      </c>
      <c r="H18" s="76" t="str">
        <f>IFERROR(__xludf.DUMMYFUNCTION("IFERROR(VLOOKUP(E18,IMPORTRANGE(""https://docs.google.com/spreadsheets/d/1xZyKy-UzMmtPDLpV5jQdYum1LtbR8XKDuasLSjmBRMI/edit#gid=1241094406"",""COMBINED DATA!E3:L""),8,0))"),"")</f>
        <v/>
      </c>
      <c r="I18" s="76">
        <f>G18+H18</f>
        <v>0.00189</v>
      </c>
      <c r="J18" s="84"/>
      <c r="K18" s="85">
        <f>IFERROR(G18*100,)</f>
        <v>0.189</v>
      </c>
      <c r="L18" s="85">
        <f>IFERROR(H18*725,)</f>
        <v>0</v>
      </c>
      <c r="M18" s="85">
        <f>IFERROR(K18+L18,"")</f>
        <v>0.189</v>
      </c>
      <c r="N18" s="85">
        <f t="shared" si="7"/>
        <v>5767.195767</v>
      </c>
      <c r="O18" s="310">
        <v>1090.0</v>
      </c>
      <c r="P18" s="75"/>
      <c r="Q18" s="85"/>
      <c r="R18" s="85"/>
      <c r="S18" s="20"/>
      <c r="T18" s="20"/>
      <c r="U18" s="16"/>
      <c r="V18" s="16"/>
      <c r="W18" s="16"/>
      <c r="X18" s="16"/>
      <c r="Y18" s="16"/>
      <c r="Z18" s="16"/>
    </row>
    <row r="19" ht="4.5" customHeight="1">
      <c r="A19" s="34"/>
      <c r="B19" s="15"/>
      <c r="C19" s="15"/>
      <c r="D19" s="15"/>
      <c r="E19" s="17"/>
      <c r="F19" s="15"/>
      <c r="G19" s="250"/>
      <c r="H19" s="243"/>
      <c r="I19" s="243"/>
      <c r="J19" s="243"/>
      <c r="K19" s="85"/>
      <c r="L19" s="85"/>
      <c r="M19" s="85"/>
      <c r="N19" s="85" t="str">
        <f t="shared" si="7"/>
        <v/>
      </c>
      <c r="O19" s="29"/>
      <c r="P19" s="307"/>
      <c r="Q19" s="85"/>
      <c r="R19" s="85"/>
      <c r="S19" s="15"/>
      <c r="T19" s="15"/>
      <c r="U19" s="243"/>
      <c r="V19" s="243"/>
      <c r="W19" s="243"/>
      <c r="X19" s="243"/>
      <c r="Y19" s="243"/>
      <c r="Z19" s="243"/>
    </row>
    <row r="20" ht="22.5" customHeight="1">
      <c r="A20" s="34"/>
      <c r="B20" s="62" t="s">
        <v>1147</v>
      </c>
      <c r="C20" s="45"/>
      <c r="D20" s="45"/>
      <c r="E20" s="45"/>
      <c r="F20" s="46"/>
      <c r="G20" s="250"/>
      <c r="H20" s="243"/>
      <c r="I20" s="243"/>
      <c r="J20" s="243"/>
      <c r="K20" s="85"/>
      <c r="L20" s="85"/>
      <c r="M20" s="85"/>
      <c r="N20" s="85" t="str">
        <f t="shared" si="7"/>
        <v/>
      </c>
      <c r="O20" s="29"/>
      <c r="P20" s="307"/>
      <c r="Q20" s="85"/>
      <c r="R20" s="85"/>
      <c r="S20" s="15"/>
      <c r="T20" s="15"/>
      <c r="U20" s="243"/>
      <c r="V20" s="243"/>
      <c r="W20" s="243"/>
      <c r="X20" s="243"/>
      <c r="Y20" s="243"/>
      <c r="Z20" s="243"/>
    </row>
    <row r="21" ht="15.75" customHeight="1">
      <c r="A21" s="67" t="str">
        <f t="shared" ref="A21:A29" si="8">$B$20&amp;C21</f>
        <v>Reducer Elbow 90⁰ (SCH-80)1 x 1⁄2</v>
      </c>
      <c r="B21" s="68">
        <v>1.0</v>
      </c>
      <c r="C21" s="110" t="s">
        <v>352</v>
      </c>
      <c r="D21" s="110" t="s">
        <v>353</v>
      </c>
      <c r="E21" s="111" t="s">
        <v>1148</v>
      </c>
      <c r="F21" s="56">
        <v>31.8</v>
      </c>
      <c r="G21" s="76">
        <f>IFERROR(__xludf.DUMMYFUNCTION("ArrayFormula(IFERROR(VLOOKUP(E21,IMPORTRANGE(""https://docs.google.com/spreadsheets/d/1xZyKy-UzMmtPDLpV5jQdYum1LtbR8XKDuasLSjmBRMI/edit#gid=1241094406"",""COMBINED DATA!E3:L""),{7,8},0)))"),0.0613)</f>
        <v>0.0613</v>
      </c>
      <c r="H21" s="76">
        <f>IFERROR(__xludf.DUMMYFUNCTION("""COMPUTED_VALUE"""),0.0)</f>
        <v>0</v>
      </c>
      <c r="I21" s="76">
        <f t="shared" ref="I21:I29" si="9">G21+H21</f>
        <v>0.0613</v>
      </c>
      <c r="J21" s="84">
        <f t="shared" ref="J21:J29" si="10">IFERROR(F21/I21,"")</f>
        <v>518.7601958</v>
      </c>
      <c r="K21" s="85">
        <f t="shared" ref="K21:K29" si="11">IFERROR(G21*100,)</f>
        <v>6.13</v>
      </c>
      <c r="L21" s="85">
        <f t="shared" ref="L21:L29" si="12">IFERROR(H21*725,)</f>
        <v>0</v>
      </c>
      <c r="M21" s="85">
        <f t="shared" ref="M21:M29" si="13">IFERROR(K21+L21,"")</f>
        <v>6.13</v>
      </c>
      <c r="N21" s="85">
        <f t="shared" si="7"/>
        <v>5.187601958</v>
      </c>
      <c r="O21" s="310">
        <v>31.8</v>
      </c>
      <c r="P21" s="75"/>
      <c r="Q21" s="85"/>
      <c r="R21" s="85"/>
      <c r="S21" s="20"/>
      <c r="T21" s="20"/>
      <c r="U21" s="16"/>
      <c r="V21" s="16"/>
      <c r="W21" s="16"/>
      <c r="X21" s="16"/>
      <c r="Y21" s="16"/>
      <c r="Z21" s="16"/>
    </row>
    <row r="22" ht="15.75" customHeight="1">
      <c r="A22" s="67" t="str">
        <f t="shared" si="8"/>
        <v>Reducer Elbow 90⁰ (SCH-80)1 x 3⁄4</v>
      </c>
      <c r="B22" s="90">
        <v>2.0</v>
      </c>
      <c r="C22" s="127" t="s">
        <v>153</v>
      </c>
      <c r="D22" s="127" t="s">
        <v>155</v>
      </c>
      <c r="E22" s="112" t="s">
        <v>1151</v>
      </c>
      <c r="F22" s="56">
        <v>34.4</v>
      </c>
      <c r="G22" s="76">
        <f>IFERROR(__xludf.DUMMYFUNCTION("ArrayFormula(IFERROR(VLOOKUP(E22,IMPORTRANGE(""https://docs.google.com/spreadsheets/d/1xZyKy-UzMmtPDLpV5jQdYum1LtbR8XKDuasLSjmBRMI/edit#gid=1241094406"",""COMBINED DATA!E3:L""),{7,8},0)))"),0.068)</f>
        <v>0.068</v>
      </c>
      <c r="H22" s="76">
        <f>IFERROR(__xludf.DUMMYFUNCTION("""COMPUTED_VALUE"""),0.0)</f>
        <v>0</v>
      </c>
      <c r="I22" s="76">
        <f t="shared" si="9"/>
        <v>0.068</v>
      </c>
      <c r="J22" s="84">
        <f t="shared" si="10"/>
        <v>505.8823529</v>
      </c>
      <c r="K22" s="85">
        <f t="shared" si="11"/>
        <v>6.8</v>
      </c>
      <c r="L22" s="85">
        <f t="shared" si="12"/>
        <v>0</v>
      </c>
      <c r="M22" s="85">
        <f t="shared" si="13"/>
        <v>6.8</v>
      </c>
      <c r="N22" s="85">
        <f t="shared" si="7"/>
        <v>5.058823529</v>
      </c>
      <c r="O22" s="310">
        <v>34.4</v>
      </c>
      <c r="P22" s="75"/>
      <c r="Q22" s="85"/>
      <c r="R22" s="85"/>
      <c r="S22" s="20"/>
      <c r="T22" s="20"/>
      <c r="U22" s="16"/>
      <c r="V22" s="16"/>
      <c r="W22" s="16"/>
      <c r="X22" s="16"/>
      <c r="Y22" s="16"/>
      <c r="Z22" s="16"/>
    </row>
    <row r="23" ht="15.75" customHeight="1">
      <c r="A23" s="67" t="str">
        <f t="shared" si="8"/>
        <v>Reducer Elbow 90⁰ (SCH-80)1 1⁄4 x 1⁄2</v>
      </c>
      <c r="B23" s="90">
        <v>3.0</v>
      </c>
      <c r="C23" s="127" t="s">
        <v>401</v>
      </c>
      <c r="D23" s="127" t="s">
        <v>402</v>
      </c>
      <c r="E23" s="112" t="s">
        <v>1152</v>
      </c>
      <c r="F23" s="56">
        <v>42.4</v>
      </c>
      <c r="G23" s="76">
        <f>IFERROR(__xludf.DUMMYFUNCTION("ArrayFormula(IFERROR(VLOOKUP(E23,IMPORTRANGE(""https://docs.google.com/spreadsheets/d/1xZyKy-UzMmtPDLpV5jQdYum1LtbR8XKDuasLSjmBRMI/edit#gid=1241094406"",""COMBINED DATA!E3:L""),{7,8},0)))"),0.08)</f>
        <v>0.08</v>
      </c>
      <c r="H23" s="76">
        <f>IFERROR(__xludf.DUMMYFUNCTION("""COMPUTED_VALUE"""),0.0)</f>
        <v>0</v>
      </c>
      <c r="I23" s="76">
        <f t="shared" si="9"/>
        <v>0.08</v>
      </c>
      <c r="J23" s="84">
        <f t="shared" si="10"/>
        <v>530</v>
      </c>
      <c r="K23" s="85">
        <f t="shared" si="11"/>
        <v>8</v>
      </c>
      <c r="L23" s="85">
        <f t="shared" si="12"/>
        <v>0</v>
      </c>
      <c r="M23" s="85">
        <f t="shared" si="13"/>
        <v>8</v>
      </c>
      <c r="N23" s="85">
        <f t="shared" si="7"/>
        <v>5.3</v>
      </c>
      <c r="O23" s="310">
        <v>42.4</v>
      </c>
      <c r="P23" s="75"/>
      <c r="Q23" s="85"/>
      <c r="R23" s="85"/>
      <c r="S23" s="20"/>
      <c r="T23" s="20"/>
      <c r="U23" s="16"/>
      <c r="V23" s="16"/>
      <c r="W23" s="16"/>
      <c r="X23" s="16"/>
      <c r="Y23" s="16"/>
      <c r="Z23" s="16"/>
    </row>
    <row r="24" ht="15.75" customHeight="1">
      <c r="A24" s="67" t="str">
        <f t="shared" si="8"/>
        <v>Reducer Elbow 90⁰ (SCH-80)1 1⁄4 x 3⁄4</v>
      </c>
      <c r="B24" s="90">
        <v>4.0</v>
      </c>
      <c r="C24" s="127" t="s">
        <v>303</v>
      </c>
      <c r="D24" s="127" t="s">
        <v>304</v>
      </c>
      <c r="E24" s="112" t="s">
        <v>1154</v>
      </c>
      <c r="F24" s="56">
        <v>44.9</v>
      </c>
      <c r="G24" s="76">
        <f>IFERROR(__xludf.DUMMYFUNCTION("ArrayFormula(IFERROR(VLOOKUP(E24,IMPORTRANGE(""https://docs.google.com/spreadsheets/d/1xZyKy-UzMmtPDLpV5jQdYum1LtbR8XKDuasLSjmBRMI/edit#gid=1241094406"",""COMBINED DATA!E3:L""),{7,8},0)))"),0.085)</f>
        <v>0.085</v>
      </c>
      <c r="H24" s="76">
        <f>IFERROR(__xludf.DUMMYFUNCTION("""COMPUTED_VALUE"""),0.0)</f>
        <v>0</v>
      </c>
      <c r="I24" s="76">
        <f t="shared" si="9"/>
        <v>0.085</v>
      </c>
      <c r="J24" s="84">
        <f t="shared" si="10"/>
        <v>528.2352941</v>
      </c>
      <c r="K24" s="85">
        <f t="shared" si="11"/>
        <v>8.5</v>
      </c>
      <c r="L24" s="85">
        <f t="shared" si="12"/>
        <v>0</v>
      </c>
      <c r="M24" s="85">
        <f t="shared" si="13"/>
        <v>8.5</v>
      </c>
      <c r="N24" s="85">
        <f t="shared" si="7"/>
        <v>5.282352941</v>
      </c>
      <c r="O24" s="310">
        <v>44.9</v>
      </c>
      <c r="P24" s="75"/>
      <c r="Q24" s="85"/>
      <c r="R24" s="85"/>
      <c r="S24" s="20"/>
      <c r="T24" s="20"/>
      <c r="U24" s="16"/>
      <c r="V24" s="16"/>
      <c r="W24" s="16"/>
      <c r="X24" s="16"/>
      <c r="Y24" s="16"/>
      <c r="Z24" s="16"/>
    </row>
    <row r="25" ht="15.75" customHeight="1">
      <c r="A25" s="67" t="str">
        <f t="shared" si="8"/>
        <v>Reducer Elbow 90⁰ (SCH-80)1 1⁄4 x 1</v>
      </c>
      <c r="B25" s="90">
        <v>5.0</v>
      </c>
      <c r="C25" s="127" t="s">
        <v>306</v>
      </c>
      <c r="D25" s="127" t="s">
        <v>307</v>
      </c>
      <c r="E25" s="112" t="s">
        <v>1156</v>
      </c>
      <c r="F25" s="56">
        <v>58.0</v>
      </c>
      <c r="G25" s="76">
        <f>IFERROR(__xludf.DUMMYFUNCTION("ArrayFormula(IFERROR(VLOOKUP(E25,IMPORTRANGE(""https://docs.google.com/spreadsheets/d/1xZyKy-UzMmtPDLpV5jQdYum1LtbR8XKDuasLSjmBRMI/edit#gid=1241094406"",""COMBINED DATA!E3:L""),{7,8},0)))"),0.10479999999999999)</f>
        <v>0.1048</v>
      </c>
      <c r="H25" s="76">
        <f>IFERROR(__xludf.DUMMYFUNCTION("""COMPUTED_VALUE"""),0.0)</f>
        <v>0</v>
      </c>
      <c r="I25" s="76">
        <f t="shared" si="9"/>
        <v>0.1048</v>
      </c>
      <c r="J25" s="84">
        <f t="shared" si="10"/>
        <v>553.4351145</v>
      </c>
      <c r="K25" s="85">
        <f t="shared" si="11"/>
        <v>10.48</v>
      </c>
      <c r="L25" s="85">
        <f t="shared" si="12"/>
        <v>0</v>
      </c>
      <c r="M25" s="85">
        <f t="shared" si="13"/>
        <v>10.48</v>
      </c>
      <c r="N25" s="85">
        <f t="shared" si="7"/>
        <v>5.534351145</v>
      </c>
      <c r="O25" s="310">
        <v>58.0</v>
      </c>
      <c r="P25" s="75"/>
      <c r="Q25" s="85"/>
      <c r="R25" s="85"/>
      <c r="S25" s="20"/>
      <c r="T25" s="20"/>
      <c r="U25" s="16"/>
      <c r="V25" s="16"/>
      <c r="W25" s="16"/>
      <c r="X25" s="16"/>
      <c r="Y25" s="16"/>
      <c r="Z25" s="16"/>
    </row>
    <row r="26" ht="15.75" customHeight="1">
      <c r="A26" s="67" t="str">
        <f t="shared" si="8"/>
        <v>Reducer Elbow 90⁰ (SCH-80)1 1⁄2 x 1⁄2</v>
      </c>
      <c r="B26" s="90">
        <v>6.0</v>
      </c>
      <c r="C26" s="127" t="s">
        <v>414</v>
      </c>
      <c r="D26" s="127" t="s">
        <v>415</v>
      </c>
      <c r="E26" s="112" t="s">
        <v>1157</v>
      </c>
      <c r="F26" s="56">
        <v>64.0</v>
      </c>
      <c r="G26" s="76">
        <f>IFERROR(__xludf.DUMMYFUNCTION("ArrayFormula(IFERROR(VLOOKUP(E26,IMPORTRANGE(""https://docs.google.com/spreadsheets/d/1xZyKy-UzMmtPDLpV5jQdYum1LtbR8XKDuasLSjmBRMI/edit#gid=1241094406"",""COMBINED DATA!E3:L""),{7,8},0)))"),0.097)</f>
        <v>0.097</v>
      </c>
      <c r="H26" s="76">
        <f>IFERROR(__xludf.DUMMYFUNCTION("""COMPUTED_VALUE"""),0.0)</f>
        <v>0</v>
      </c>
      <c r="I26" s="76">
        <f t="shared" si="9"/>
        <v>0.097</v>
      </c>
      <c r="J26" s="84">
        <f t="shared" si="10"/>
        <v>659.7938144</v>
      </c>
      <c r="K26" s="85">
        <f t="shared" si="11"/>
        <v>9.7</v>
      </c>
      <c r="L26" s="85">
        <f t="shared" si="12"/>
        <v>0</v>
      </c>
      <c r="M26" s="85">
        <f t="shared" si="13"/>
        <v>9.7</v>
      </c>
      <c r="N26" s="85">
        <f t="shared" si="7"/>
        <v>6.597938144</v>
      </c>
      <c r="O26" s="310">
        <v>64.0</v>
      </c>
      <c r="P26" s="75"/>
      <c r="Q26" s="85"/>
      <c r="R26" s="85"/>
      <c r="S26" s="20"/>
      <c r="T26" s="20"/>
      <c r="U26" s="16"/>
      <c r="V26" s="16"/>
      <c r="W26" s="16"/>
      <c r="X26" s="16"/>
      <c r="Y26" s="16"/>
      <c r="Z26" s="16"/>
    </row>
    <row r="27" ht="15.75" customHeight="1">
      <c r="A27" s="67" t="str">
        <f t="shared" si="8"/>
        <v>Reducer Elbow 90⁰ (SCH-80)1 1⁄2 x 3⁄4</v>
      </c>
      <c r="B27" s="90">
        <v>7.0</v>
      </c>
      <c r="C27" s="127" t="s">
        <v>310</v>
      </c>
      <c r="D27" s="127" t="s">
        <v>311</v>
      </c>
      <c r="E27" s="112" t="s">
        <v>1159</v>
      </c>
      <c r="F27" s="56">
        <v>62.0</v>
      </c>
      <c r="G27" s="76">
        <f>IFERROR(__xludf.DUMMYFUNCTION("ArrayFormula(IFERROR(VLOOKUP(E27,IMPORTRANGE(""https://docs.google.com/spreadsheets/d/1xZyKy-UzMmtPDLpV5jQdYum1LtbR8XKDuasLSjmBRMI/edit#gid=1241094406"",""COMBINED DATA!E3:L""),{7,8},0)))"),0.108)</f>
        <v>0.108</v>
      </c>
      <c r="H27" s="76">
        <f>IFERROR(__xludf.DUMMYFUNCTION("""COMPUTED_VALUE"""),0.0)</f>
        <v>0</v>
      </c>
      <c r="I27" s="76">
        <f t="shared" si="9"/>
        <v>0.108</v>
      </c>
      <c r="J27" s="84">
        <f t="shared" si="10"/>
        <v>574.0740741</v>
      </c>
      <c r="K27" s="85">
        <f t="shared" si="11"/>
        <v>10.8</v>
      </c>
      <c r="L27" s="85">
        <f t="shared" si="12"/>
        <v>0</v>
      </c>
      <c r="M27" s="85">
        <f t="shared" si="13"/>
        <v>10.8</v>
      </c>
      <c r="N27" s="85">
        <f t="shared" si="7"/>
        <v>5.740740741</v>
      </c>
      <c r="O27" s="310">
        <v>62.0</v>
      </c>
      <c r="P27" s="75"/>
      <c r="Q27" s="85"/>
      <c r="R27" s="85"/>
      <c r="S27" s="20"/>
      <c r="T27" s="20"/>
      <c r="U27" s="16"/>
      <c r="V27" s="16"/>
      <c r="W27" s="16"/>
      <c r="X27" s="16"/>
      <c r="Y27" s="16"/>
      <c r="Z27" s="16"/>
    </row>
    <row r="28" ht="15.75" customHeight="1">
      <c r="A28" s="67" t="str">
        <f t="shared" si="8"/>
        <v>Reducer Elbow 90⁰ (SCH-80)1 1⁄2 x 1</v>
      </c>
      <c r="B28" s="90">
        <v>8.0</v>
      </c>
      <c r="C28" s="127" t="s">
        <v>313</v>
      </c>
      <c r="D28" s="127" t="s">
        <v>314</v>
      </c>
      <c r="E28" s="112" t="s">
        <v>1161</v>
      </c>
      <c r="F28" s="56">
        <v>72.0</v>
      </c>
      <c r="G28" s="76">
        <f>IFERROR(__xludf.DUMMYFUNCTION("ArrayFormula(IFERROR(VLOOKUP(E28,IMPORTRANGE(""https://docs.google.com/spreadsheets/d/1xZyKy-UzMmtPDLpV5jQdYum1LtbR8XKDuasLSjmBRMI/edit#gid=1241094406"",""COMBINED DATA!E3:L""),{7,8},0)))"),0.128)</f>
        <v>0.128</v>
      </c>
      <c r="H28" s="76">
        <f>IFERROR(__xludf.DUMMYFUNCTION("""COMPUTED_VALUE"""),0.0)</f>
        <v>0</v>
      </c>
      <c r="I28" s="76">
        <f t="shared" si="9"/>
        <v>0.128</v>
      </c>
      <c r="J28" s="84">
        <f t="shared" si="10"/>
        <v>562.5</v>
      </c>
      <c r="K28" s="85">
        <f t="shared" si="11"/>
        <v>12.8</v>
      </c>
      <c r="L28" s="85">
        <f t="shared" si="12"/>
        <v>0</v>
      </c>
      <c r="M28" s="85">
        <f t="shared" si="13"/>
        <v>12.8</v>
      </c>
      <c r="N28" s="85">
        <f t="shared" si="7"/>
        <v>5.625</v>
      </c>
      <c r="O28" s="310">
        <v>72.0</v>
      </c>
      <c r="P28" s="75"/>
      <c r="Q28" s="85"/>
      <c r="R28" s="85"/>
      <c r="S28" s="20"/>
      <c r="T28" s="20"/>
      <c r="U28" s="16"/>
      <c r="V28" s="16"/>
      <c r="W28" s="16"/>
      <c r="X28" s="16"/>
      <c r="Y28" s="16"/>
      <c r="Z28" s="16"/>
    </row>
    <row r="29" ht="15.75" customHeight="1">
      <c r="A29" s="67" t="str">
        <f t="shared" si="8"/>
        <v>Reducer Elbow 90⁰ (SCH-80)1 1⁄2 x 1 1⁄4</v>
      </c>
      <c r="B29" s="90">
        <v>9.0</v>
      </c>
      <c r="C29" s="127" t="s">
        <v>317</v>
      </c>
      <c r="D29" s="127" t="s">
        <v>318</v>
      </c>
      <c r="E29" s="112" t="s">
        <v>1162</v>
      </c>
      <c r="F29" s="56">
        <v>88.0</v>
      </c>
      <c r="G29" s="76">
        <f>IFERROR(__xludf.DUMMYFUNCTION("ArrayFormula(IFERROR(VLOOKUP(E29,IMPORTRANGE(""https://docs.google.com/spreadsheets/d/1xZyKy-UzMmtPDLpV5jQdYum1LtbR8XKDuasLSjmBRMI/edit#gid=1241094406"",""COMBINED DATA!E3:L""),{7,8},0)))"),0.153)</f>
        <v>0.153</v>
      </c>
      <c r="H29" s="76">
        <f>IFERROR(__xludf.DUMMYFUNCTION("""COMPUTED_VALUE"""),0.0)</f>
        <v>0</v>
      </c>
      <c r="I29" s="76">
        <f t="shared" si="9"/>
        <v>0.153</v>
      </c>
      <c r="J29" s="84">
        <f t="shared" si="10"/>
        <v>575.1633987</v>
      </c>
      <c r="K29" s="85">
        <f t="shared" si="11"/>
        <v>15.3</v>
      </c>
      <c r="L29" s="85">
        <f t="shared" si="12"/>
        <v>0</v>
      </c>
      <c r="M29" s="85">
        <f t="shared" si="13"/>
        <v>15.3</v>
      </c>
      <c r="N29" s="85">
        <f t="shared" si="7"/>
        <v>5.751633987</v>
      </c>
      <c r="O29" s="310">
        <v>88.0</v>
      </c>
      <c r="P29" s="75"/>
      <c r="Q29" s="85"/>
      <c r="R29" s="85"/>
      <c r="S29" s="20"/>
      <c r="T29" s="20"/>
      <c r="U29" s="16"/>
      <c r="V29" s="16"/>
      <c r="W29" s="16"/>
      <c r="X29" s="16"/>
      <c r="Y29" s="16"/>
      <c r="Z29" s="16"/>
    </row>
    <row r="30">
      <c r="A30" s="34"/>
      <c r="B30" s="237" t="s">
        <v>11</v>
      </c>
      <c r="C30" s="45"/>
      <c r="D30" s="45"/>
      <c r="E30" s="46"/>
      <c r="F30" s="103">
        <f>SUM(F21:F29)</f>
        <v>497.5</v>
      </c>
      <c r="G30" s="250"/>
      <c r="H30" s="243"/>
      <c r="I30" s="243"/>
      <c r="J30" s="243"/>
      <c r="K30" s="85"/>
      <c r="L30" s="85"/>
      <c r="M30" s="85"/>
      <c r="N30" s="85" t="str">
        <f t="shared" si="7"/>
        <v/>
      </c>
      <c r="O30" s="103">
        <f>SUM(O21:O29)</f>
        <v>497.5</v>
      </c>
      <c r="P30" s="307"/>
      <c r="Q30" s="85"/>
      <c r="R30" s="85"/>
      <c r="S30" s="15"/>
      <c r="T30" s="15"/>
      <c r="U30" s="243"/>
      <c r="V30" s="243"/>
      <c r="W30" s="243"/>
      <c r="X30" s="243"/>
      <c r="Y30" s="243"/>
      <c r="Z30" s="243"/>
    </row>
    <row r="31" ht="4.5" customHeight="1">
      <c r="A31" s="34"/>
      <c r="B31" s="15"/>
      <c r="C31" s="15"/>
      <c r="D31" s="15"/>
      <c r="E31" s="17"/>
      <c r="F31" s="15"/>
      <c r="G31" s="250"/>
      <c r="H31" s="243"/>
      <c r="I31" s="243"/>
      <c r="J31" s="243"/>
      <c r="K31" s="85"/>
      <c r="L31" s="85"/>
      <c r="M31" s="85"/>
      <c r="N31" s="85" t="str">
        <f t="shared" si="7"/>
        <v/>
      </c>
      <c r="O31" s="29"/>
      <c r="P31" s="307"/>
      <c r="Q31" s="85"/>
      <c r="R31" s="85"/>
      <c r="S31" s="15"/>
      <c r="T31" s="15"/>
      <c r="U31" s="243"/>
      <c r="V31" s="243"/>
      <c r="W31" s="243"/>
      <c r="X31" s="243"/>
      <c r="Y31" s="243"/>
      <c r="Z31" s="243"/>
    </row>
    <row r="32" ht="22.5" customHeight="1">
      <c r="A32" s="34"/>
      <c r="B32" s="62" t="s">
        <v>1165</v>
      </c>
      <c r="C32" s="45"/>
      <c r="D32" s="45"/>
      <c r="E32" s="45"/>
      <c r="F32" s="46"/>
      <c r="G32" s="250"/>
      <c r="H32" s="243"/>
      <c r="I32" s="243"/>
      <c r="J32" s="243"/>
      <c r="K32" s="85"/>
      <c r="L32" s="85"/>
      <c r="M32" s="85"/>
      <c r="N32" s="85" t="str">
        <f t="shared" si="7"/>
        <v/>
      </c>
      <c r="O32" s="29"/>
      <c r="P32" s="307"/>
      <c r="Q32" s="85"/>
      <c r="R32" s="85"/>
      <c r="S32" s="15"/>
      <c r="T32" s="15"/>
      <c r="U32" s="243"/>
      <c r="V32" s="243"/>
      <c r="W32" s="243"/>
      <c r="X32" s="243"/>
      <c r="Y32" s="243"/>
      <c r="Z32" s="243"/>
    </row>
    <row r="33" ht="15.75" customHeight="1">
      <c r="A33" s="67" t="str">
        <f t="shared" ref="A33:A37" si="14">$B$32&amp;C33</f>
        <v>Reducer Brass Elbow (SCH-80)3⁄4 x 1⁄2</v>
      </c>
      <c r="B33" s="51">
        <v>1.0</v>
      </c>
      <c r="C33" s="110" t="s">
        <v>144</v>
      </c>
      <c r="D33" s="110" t="s">
        <v>145</v>
      </c>
      <c r="E33" s="111" t="s">
        <v>498</v>
      </c>
      <c r="F33" s="56">
        <v>88.0</v>
      </c>
      <c r="G33" s="76">
        <v>0.050129999999999994</v>
      </c>
      <c r="H33" s="58">
        <v>0.019</v>
      </c>
      <c r="I33" s="76">
        <f t="shared" ref="I33:I37" si="15">G33+H33</f>
        <v>0.06913</v>
      </c>
      <c r="J33" s="84">
        <f t="shared" ref="J33:J37" si="16">IFERROR(F33/I33,"")</f>
        <v>1272.963981</v>
      </c>
      <c r="K33" s="85">
        <f t="shared" ref="K33:K37" si="17">IFERROR(G33*100,)</f>
        <v>5.013</v>
      </c>
      <c r="L33" s="85">
        <f t="shared" ref="L33:L37" si="18">IFERROR(H33*725,)</f>
        <v>13.775</v>
      </c>
      <c r="M33" s="85">
        <f t="shared" ref="M33:M37" si="19">IFERROR(K33+L33,"")</f>
        <v>18.788</v>
      </c>
      <c r="N33" s="85">
        <f t="shared" si="7"/>
        <v>4.683840749</v>
      </c>
      <c r="O33" s="310" t="str">
        <f>VLOOKUP(E33,'U Fittings (Brass)'!$E$5:$Q1076,14,0)</f>
        <v>#REF!</v>
      </c>
      <c r="P33" s="88"/>
      <c r="Q33" s="85"/>
      <c r="R33" s="85"/>
      <c r="S33" s="20"/>
      <c r="T33" s="20"/>
      <c r="U33" s="16"/>
      <c r="V33" s="16"/>
      <c r="W33" s="16"/>
      <c r="X33" s="16"/>
      <c r="Y33" s="16"/>
      <c r="Z33" s="16"/>
    </row>
    <row r="34" ht="15.75" customHeight="1">
      <c r="A34" s="67" t="str">
        <f t="shared" si="14"/>
        <v>Reducer Brass Elbow (SCH-80)1 x 1⁄2</v>
      </c>
      <c r="B34" s="150">
        <v>2.0</v>
      </c>
      <c r="C34" s="127" t="s">
        <v>352</v>
      </c>
      <c r="D34" s="127" t="s">
        <v>353</v>
      </c>
      <c r="E34" s="112" t="s">
        <v>499</v>
      </c>
      <c r="F34" s="56">
        <v>104.0</v>
      </c>
      <c r="G34" s="76">
        <v>0.06675</v>
      </c>
      <c r="H34" s="58">
        <v>0.019</v>
      </c>
      <c r="I34" s="76">
        <f t="shared" si="15"/>
        <v>0.08575</v>
      </c>
      <c r="J34" s="84">
        <f t="shared" si="16"/>
        <v>1212.827988</v>
      </c>
      <c r="K34" s="85">
        <f t="shared" si="17"/>
        <v>6.675</v>
      </c>
      <c r="L34" s="85">
        <f t="shared" si="18"/>
        <v>13.775</v>
      </c>
      <c r="M34" s="85">
        <f t="shared" si="19"/>
        <v>20.45</v>
      </c>
      <c r="N34" s="85">
        <f t="shared" si="7"/>
        <v>5.085574572</v>
      </c>
      <c r="O34" s="310" t="str">
        <f>VLOOKUP(E34,'U Fittings (Brass)'!$E$5:$Q1076,14,0)</f>
        <v>#REF!</v>
      </c>
      <c r="P34" s="88"/>
      <c r="Q34" s="85"/>
      <c r="R34" s="85"/>
      <c r="S34" s="20"/>
      <c r="T34" s="20"/>
      <c r="U34" s="16"/>
      <c r="V34" s="16"/>
      <c r="W34" s="16"/>
      <c r="X34" s="16"/>
      <c r="Y34" s="16"/>
      <c r="Z34" s="16"/>
    </row>
    <row r="35" ht="15.75" customHeight="1">
      <c r="A35" s="67" t="str">
        <f t="shared" si="14"/>
        <v>Reducer Brass Elbow (SCH-80)1 x 3⁄4</v>
      </c>
      <c r="B35" s="150">
        <v>3.0</v>
      </c>
      <c r="C35" s="127" t="s">
        <v>153</v>
      </c>
      <c r="D35" s="127" t="s">
        <v>155</v>
      </c>
      <c r="E35" s="112" t="s">
        <v>511</v>
      </c>
      <c r="F35" s="56">
        <v>158.0</v>
      </c>
      <c r="G35" s="76">
        <v>0.06425</v>
      </c>
      <c r="H35" s="58">
        <v>0.043</v>
      </c>
      <c r="I35" s="76">
        <f t="shared" si="15"/>
        <v>0.10725</v>
      </c>
      <c r="J35" s="84">
        <f t="shared" si="16"/>
        <v>1473.193473</v>
      </c>
      <c r="K35" s="85">
        <f t="shared" si="17"/>
        <v>6.425</v>
      </c>
      <c r="L35" s="85">
        <f t="shared" si="18"/>
        <v>31.175</v>
      </c>
      <c r="M35" s="85">
        <f t="shared" si="19"/>
        <v>37.6</v>
      </c>
      <c r="N35" s="85">
        <f t="shared" si="7"/>
        <v>4.20212766</v>
      </c>
      <c r="O35" s="310" t="str">
        <f>VLOOKUP(E35,'U Fittings (Brass)'!$E$5:$Q1076,14,0)</f>
        <v>#REF!</v>
      </c>
      <c r="P35" s="88"/>
      <c r="Q35" s="85"/>
      <c r="R35" s="85"/>
      <c r="S35" s="20"/>
      <c r="T35" s="20"/>
      <c r="U35" s="16"/>
      <c r="V35" s="16"/>
      <c r="W35" s="16"/>
      <c r="X35" s="16"/>
      <c r="Y35" s="16"/>
      <c r="Z35" s="16"/>
    </row>
    <row r="36" ht="15.75" customHeight="1">
      <c r="A36" s="67" t="str">
        <f t="shared" si="14"/>
        <v>Reducer Brass Elbow (SCH-80)1⁄2 x 1⁄2</v>
      </c>
      <c r="B36" s="150">
        <v>4.0</v>
      </c>
      <c r="C36" s="127" t="s">
        <v>397</v>
      </c>
      <c r="D36" s="127" t="s">
        <v>398</v>
      </c>
      <c r="E36" s="112" t="s">
        <v>500</v>
      </c>
      <c r="F36" s="56">
        <v>72.0</v>
      </c>
      <c r="G36" s="76">
        <v>0.036</v>
      </c>
      <c r="H36" s="58">
        <v>0.019</v>
      </c>
      <c r="I36" s="76">
        <f t="shared" si="15"/>
        <v>0.055</v>
      </c>
      <c r="J36" s="84">
        <f t="shared" si="16"/>
        <v>1309.090909</v>
      </c>
      <c r="K36" s="85">
        <f t="shared" si="17"/>
        <v>3.6</v>
      </c>
      <c r="L36" s="85">
        <f t="shared" si="18"/>
        <v>13.775</v>
      </c>
      <c r="M36" s="85">
        <f t="shared" si="19"/>
        <v>17.375</v>
      </c>
      <c r="N36" s="85">
        <f t="shared" si="7"/>
        <v>4.143884892</v>
      </c>
      <c r="O36" s="310" t="str">
        <f>VLOOKUP(E36,'U Fittings (Brass)'!$E$5:$Q1076,14,0)</f>
        <v>#REF!</v>
      </c>
      <c r="P36" s="88"/>
      <c r="Q36" s="85"/>
      <c r="R36" s="85"/>
      <c r="S36" s="20"/>
      <c r="T36" s="20"/>
      <c r="U36" s="16"/>
      <c r="V36" s="16"/>
      <c r="W36" s="16"/>
      <c r="X36" s="16"/>
      <c r="Y36" s="16"/>
      <c r="Z36" s="16"/>
    </row>
    <row r="37" ht="15.75" customHeight="1">
      <c r="A37" s="67" t="str">
        <f t="shared" si="14"/>
        <v>Reducer Brass Elbow (SCH-80)3⁄4 x 3⁄4</v>
      </c>
      <c r="B37" s="150">
        <v>5.0</v>
      </c>
      <c r="C37" s="127" t="s">
        <v>404</v>
      </c>
      <c r="D37" s="127" t="s">
        <v>405</v>
      </c>
      <c r="E37" s="112" t="s">
        <v>512</v>
      </c>
      <c r="F37" s="56">
        <v>148.0</v>
      </c>
      <c r="G37" s="76">
        <v>0.04625</v>
      </c>
      <c r="H37" s="58">
        <v>0.043</v>
      </c>
      <c r="I37" s="76">
        <f t="shared" si="15"/>
        <v>0.08925</v>
      </c>
      <c r="J37" s="84">
        <f t="shared" si="16"/>
        <v>1658.263305</v>
      </c>
      <c r="K37" s="85">
        <f t="shared" si="17"/>
        <v>4.625</v>
      </c>
      <c r="L37" s="85">
        <f t="shared" si="18"/>
        <v>31.175</v>
      </c>
      <c r="M37" s="85">
        <f t="shared" si="19"/>
        <v>35.8</v>
      </c>
      <c r="N37" s="85">
        <f t="shared" si="7"/>
        <v>4.134078212</v>
      </c>
      <c r="O37" s="310" t="str">
        <f>VLOOKUP(E37,'U Fittings (Brass)'!$E$5:$Q1076,14,0)</f>
        <v>#REF!</v>
      </c>
      <c r="P37" s="88"/>
      <c r="Q37" s="85"/>
      <c r="R37" s="85"/>
      <c r="S37" s="20"/>
      <c r="T37" s="20"/>
      <c r="U37" s="16"/>
      <c r="V37" s="16"/>
      <c r="W37" s="16"/>
      <c r="X37" s="16"/>
      <c r="Y37" s="16"/>
      <c r="Z37" s="16"/>
    </row>
    <row r="38">
      <c r="A38" s="34"/>
      <c r="B38" s="314" t="s">
        <v>11</v>
      </c>
      <c r="C38" s="273"/>
      <c r="D38" s="273"/>
      <c r="E38" s="180"/>
      <c r="F38" s="315">
        <f>SUM(F33:F37)</f>
        <v>570</v>
      </c>
      <c r="G38" s="250"/>
      <c r="H38" s="243"/>
      <c r="I38" s="243"/>
      <c r="J38" s="243"/>
      <c r="K38" s="85"/>
      <c r="L38" s="85"/>
      <c r="M38" s="85"/>
      <c r="N38" s="85" t="str">
        <f t="shared" si="7"/>
        <v/>
      </c>
      <c r="O38" s="240" t="str">
        <f>SUM(O33:O37)</f>
        <v>#REF!</v>
      </c>
      <c r="P38" s="307"/>
      <c r="Q38" s="85"/>
      <c r="R38" s="85"/>
      <c r="S38" s="15"/>
      <c r="T38" s="15"/>
      <c r="U38" s="243"/>
      <c r="V38" s="243"/>
      <c r="W38" s="243"/>
      <c r="X38" s="243"/>
      <c r="Y38" s="243"/>
      <c r="Z38" s="243"/>
    </row>
    <row r="39" ht="4.5" customHeight="1">
      <c r="A39" s="34"/>
      <c r="B39" s="15"/>
      <c r="C39" s="15"/>
      <c r="D39" s="15"/>
      <c r="E39" s="17"/>
      <c r="F39" s="15"/>
      <c r="G39" s="250"/>
      <c r="H39" s="243"/>
      <c r="I39" s="243"/>
      <c r="J39" s="243"/>
      <c r="K39" s="85"/>
      <c r="L39" s="85"/>
      <c r="M39" s="85"/>
      <c r="N39" s="85" t="str">
        <f t="shared" si="7"/>
        <v/>
      </c>
      <c r="O39" s="29"/>
      <c r="P39" s="307"/>
      <c r="Q39" s="85"/>
      <c r="R39" s="85"/>
      <c r="S39" s="15"/>
      <c r="T39" s="15"/>
      <c r="U39" s="243"/>
      <c r="V39" s="243"/>
      <c r="W39" s="243"/>
      <c r="X39" s="243"/>
      <c r="Y39" s="243"/>
      <c r="Z39" s="243"/>
    </row>
    <row r="40" ht="22.5" customHeight="1">
      <c r="A40" s="34"/>
      <c r="B40" s="62" t="s">
        <v>1172</v>
      </c>
      <c r="C40" s="45"/>
      <c r="D40" s="45"/>
      <c r="E40" s="45"/>
      <c r="F40" s="46"/>
      <c r="G40" s="250"/>
      <c r="H40" s="243"/>
      <c r="I40" s="243"/>
      <c r="J40" s="243"/>
      <c r="K40" s="85"/>
      <c r="L40" s="85"/>
      <c r="M40" s="85"/>
      <c r="N40" s="85" t="str">
        <f t="shared" si="7"/>
        <v/>
      </c>
      <c r="O40" s="29"/>
      <c r="P40" s="307"/>
      <c r="Q40" s="85"/>
      <c r="R40" s="85"/>
      <c r="S40" s="15"/>
      <c r="T40" s="15"/>
      <c r="U40" s="243"/>
      <c r="V40" s="243"/>
      <c r="W40" s="243"/>
      <c r="X40" s="243"/>
      <c r="Y40" s="243"/>
      <c r="Z40" s="243"/>
    </row>
    <row r="41" ht="15.75" customHeight="1">
      <c r="A41" s="67" t="str">
        <f t="shared" ref="A41:A45" si="20">$B$40&amp;C41</f>
        <v>Elbow 45⁰ (SCH-80)3⁄4</v>
      </c>
      <c r="B41" s="68">
        <v>1.0</v>
      </c>
      <c r="C41" s="70" t="s">
        <v>51</v>
      </c>
      <c r="D41" s="70">
        <v>20.0</v>
      </c>
      <c r="E41" s="111" t="s">
        <v>1174</v>
      </c>
      <c r="F41" s="56">
        <v>19.6</v>
      </c>
      <c r="G41" s="76">
        <f>IFERROR(__xludf.DUMMYFUNCTION("ArrayFormula(IFERROR(VLOOKUP(E41,IMPORTRANGE(""https://docs.google.com/spreadsheets/d/1xZyKy-UzMmtPDLpV5jQdYum1LtbR8XKDuasLSjmBRMI/edit#gid=1241094406"",""COMBINED DATA!E3:L""),{7,8},0)))"),0.038950000000000005)</f>
        <v>0.03895</v>
      </c>
      <c r="H41" s="76">
        <f>IFERROR(__xludf.DUMMYFUNCTION("""COMPUTED_VALUE"""),0.0)</f>
        <v>0</v>
      </c>
      <c r="I41" s="76">
        <f t="shared" ref="I41:I45" si="21">G41+H41</f>
        <v>0.03895</v>
      </c>
      <c r="J41" s="84">
        <f t="shared" ref="J41:J45" si="22">IFERROR(F41/I41,"")</f>
        <v>503.2092426</v>
      </c>
      <c r="K41" s="85">
        <f t="shared" ref="K41:K45" si="23">IFERROR(G41*100,)</f>
        <v>3.895</v>
      </c>
      <c r="L41" s="85">
        <f t="shared" ref="L41:L45" si="24">IFERROR(H41*725,)</f>
        <v>0</v>
      </c>
      <c r="M41" s="85">
        <f t="shared" ref="M41:M45" si="25">IFERROR(K41+L41,"")</f>
        <v>3.895</v>
      </c>
      <c r="N41" s="85">
        <f t="shared" si="7"/>
        <v>5.032092426</v>
      </c>
      <c r="O41" s="310">
        <v>19.6</v>
      </c>
      <c r="P41" s="317"/>
      <c r="Q41" s="85"/>
      <c r="R41" s="85"/>
      <c r="S41" s="20"/>
      <c r="T41" s="20"/>
      <c r="U41" s="16"/>
      <c r="V41" s="16"/>
      <c r="W41" s="16"/>
      <c r="X41" s="16"/>
      <c r="Y41" s="16"/>
      <c r="Z41" s="16"/>
    </row>
    <row r="42" ht="15.75" customHeight="1">
      <c r="A42" s="67" t="str">
        <f t="shared" si="20"/>
        <v>Elbow 45⁰ (SCH-80)1</v>
      </c>
      <c r="B42" s="90">
        <v>2.0</v>
      </c>
      <c r="C42" s="92" t="s">
        <v>84</v>
      </c>
      <c r="D42" s="92">
        <v>25.0</v>
      </c>
      <c r="E42" s="112" t="s">
        <v>1176</v>
      </c>
      <c r="F42" s="56">
        <v>31.0</v>
      </c>
      <c r="G42" s="76">
        <f>IFERROR(__xludf.DUMMYFUNCTION("ArrayFormula(IFERROR(VLOOKUP(E42,IMPORTRANGE(""https://docs.google.com/spreadsheets/d/1xZyKy-UzMmtPDLpV5jQdYum1LtbR8XKDuasLSjmBRMI/edit#gid=1241094406"",""COMBINED DATA!E3:L""),{7,8},0)))"),0.062)</f>
        <v>0.062</v>
      </c>
      <c r="H42" s="76">
        <f>IFERROR(__xludf.DUMMYFUNCTION("""COMPUTED_VALUE"""),0.0)</f>
        <v>0</v>
      </c>
      <c r="I42" s="76">
        <f t="shared" si="21"/>
        <v>0.062</v>
      </c>
      <c r="J42" s="84">
        <f t="shared" si="22"/>
        <v>500</v>
      </c>
      <c r="K42" s="85">
        <f t="shared" si="23"/>
        <v>6.2</v>
      </c>
      <c r="L42" s="85">
        <f t="shared" si="24"/>
        <v>0</v>
      </c>
      <c r="M42" s="85">
        <f t="shared" si="25"/>
        <v>6.2</v>
      </c>
      <c r="N42" s="85">
        <f t="shared" si="7"/>
        <v>5</v>
      </c>
      <c r="O42" s="310">
        <v>31.0</v>
      </c>
      <c r="P42" s="317"/>
      <c r="Q42" s="85"/>
      <c r="R42" s="85"/>
      <c r="S42" s="20"/>
      <c r="T42" s="20"/>
      <c r="U42" s="16"/>
      <c r="V42" s="16"/>
      <c r="W42" s="16"/>
      <c r="X42" s="16"/>
      <c r="Y42" s="16"/>
      <c r="Z42" s="16"/>
    </row>
    <row r="43" ht="15.75" customHeight="1">
      <c r="A43" s="67" t="str">
        <f t="shared" si="20"/>
        <v>Elbow 45⁰ (SCH-80)1 1⁄4</v>
      </c>
      <c r="B43" s="90">
        <v>3.0</v>
      </c>
      <c r="C43" s="92" t="s">
        <v>55</v>
      </c>
      <c r="D43" s="92">
        <v>32.0</v>
      </c>
      <c r="E43" s="112" t="s">
        <v>1177</v>
      </c>
      <c r="F43" s="56">
        <v>50.4</v>
      </c>
      <c r="G43" s="76">
        <f>IFERROR(__xludf.DUMMYFUNCTION("ArrayFormula(IFERROR(VLOOKUP(E43,IMPORTRANGE(""https://docs.google.com/spreadsheets/d/1xZyKy-UzMmtPDLpV5jQdYum1LtbR8XKDuasLSjmBRMI/edit#gid=1241094406"",""COMBINED DATA!E3:L""),{7,8},0)))"),0.099)</f>
        <v>0.099</v>
      </c>
      <c r="H43" s="76">
        <f>IFERROR(__xludf.DUMMYFUNCTION("""COMPUTED_VALUE"""),0.0)</f>
        <v>0</v>
      </c>
      <c r="I43" s="76">
        <f t="shared" si="21"/>
        <v>0.099</v>
      </c>
      <c r="J43" s="84">
        <f t="shared" si="22"/>
        <v>509.0909091</v>
      </c>
      <c r="K43" s="85">
        <f t="shared" si="23"/>
        <v>9.9</v>
      </c>
      <c r="L43" s="85">
        <f t="shared" si="24"/>
        <v>0</v>
      </c>
      <c r="M43" s="85">
        <f t="shared" si="25"/>
        <v>9.9</v>
      </c>
      <c r="N43" s="85">
        <f t="shared" si="7"/>
        <v>5.090909091</v>
      </c>
      <c r="O43" s="310">
        <v>50.4</v>
      </c>
      <c r="P43" s="317"/>
      <c r="Q43" s="85"/>
      <c r="R43" s="85"/>
      <c r="S43" s="20"/>
      <c r="T43" s="20"/>
      <c r="U43" s="16"/>
      <c r="V43" s="16"/>
      <c r="W43" s="16"/>
      <c r="X43" s="16"/>
      <c r="Y43" s="16"/>
      <c r="Z43" s="16"/>
    </row>
    <row r="44" ht="15.75" customHeight="1">
      <c r="A44" s="67" t="str">
        <f t="shared" si="20"/>
        <v>Elbow 45⁰ (SCH-80)1 1⁄2</v>
      </c>
      <c r="B44" s="90">
        <v>4.0</v>
      </c>
      <c r="C44" s="92" t="s">
        <v>56</v>
      </c>
      <c r="D44" s="92">
        <v>40.0</v>
      </c>
      <c r="E44" s="112" t="s">
        <v>1179</v>
      </c>
      <c r="F44" s="56">
        <v>66.9</v>
      </c>
      <c r="G44" s="76">
        <f>IFERROR(__xludf.DUMMYFUNCTION("ArrayFormula(IFERROR(VLOOKUP(E44,IMPORTRANGE(""https://docs.google.com/spreadsheets/d/1xZyKy-UzMmtPDLpV5jQdYum1LtbR8XKDuasLSjmBRMI/edit#gid=1241094406"",""COMBINED DATA!E3:L""),{7,8},0)))"),0.1295)</f>
        <v>0.1295</v>
      </c>
      <c r="H44" s="76">
        <f>IFERROR(__xludf.DUMMYFUNCTION("""COMPUTED_VALUE"""),0.0)</f>
        <v>0</v>
      </c>
      <c r="I44" s="76">
        <f t="shared" si="21"/>
        <v>0.1295</v>
      </c>
      <c r="J44" s="84">
        <f t="shared" si="22"/>
        <v>516.6023166</v>
      </c>
      <c r="K44" s="85">
        <f t="shared" si="23"/>
        <v>12.95</v>
      </c>
      <c r="L44" s="85">
        <f t="shared" si="24"/>
        <v>0</v>
      </c>
      <c r="M44" s="85">
        <f t="shared" si="25"/>
        <v>12.95</v>
      </c>
      <c r="N44" s="85">
        <f t="shared" si="7"/>
        <v>5.166023166</v>
      </c>
      <c r="O44" s="310">
        <v>66.9</v>
      </c>
      <c r="P44" s="317"/>
      <c r="Q44" s="85"/>
      <c r="R44" s="85"/>
      <c r="S44" s="20"/>
      <c r="T44" s="20"/>
      <c r="U44" s="16"/>
      <c r="V44" s="16"/>
      <c r="W44" s="16"/>
      <c r="X44" s="16"/>
      <c r="Y44" s="16"/>
      <c r="Z44" s="16"/>
    </row>
    <row r="45" ht="15.75" customHeight="1">
      <c r="A45" s="67" t="str">
        <f t="shared" si="20"/>
        <v>Elbow 45⁰ (SCH-80)2</v>
      </c>
      <c r="B45" s="90">
        <v>5.0</v>
      </c>
      <c r="C45" s="92" t="s">
        <v>107</v>
      </c>
      <c r="D45" s="92">
        <v>50.0</v>
      </c>
      <c r="E45" s="112" t="s">
        <v>1180</v>
      </c>
      <c r="F45" s="56">
        <v>97.4</v>
      </c>
      <c r="G45" s="76">
        <f>IFERROR(__xludf.DUMMYFUNCTION("ArrayFormula(IFERROR(VLOOKUP(E45,IMPORTRANGE(""https://docs.google.com/spreadsheets/d/1xZyKy-UzMmtPDLpV5jQdYum1LtbR8XKDuasLSjmBRMI/edit#gid=1241094406"",""COMBINED DATA!E3:L""),{7,8},0)))"),0.192)</f>
        <v>0.192</v>
      </c>
      <c r="H45" s="76">
        <f>IFERROR(__xludf.DUMMYFUNCTION("""COMPUTED_VALUE"""),0.0)</f>
        <v>0</v>
      </c>
      <c r="I45" s="76">
        <f t="shared" si="21"/>
        <v>0.192</v>
      </c>
      <c r="J45" s="84">
        <f t="shared" si="22"/>
        <v>507.2916667</v>
      </c>
      <c r="K45" s="85">
        <f t="shared" si="23"/>
        <v>19.2</v>
      </c>
      <c r="L45" s="85">
        <f t="shared" si="24"/>
        <v>0</v>
      </c>
      <c r="M45" s="85">
        <f t="shared" si="25"/>
        <v>19.2</v>
      </c>
      <c r="N45" s="85">
        <f t="shared" si="7"/>
        <v>5.072916667</v>
      </c>
      <c r="O45" s="310">
        <v>97.4</v>
      </c>
      <c r="P45" s="317"/>
      <c r="Q45" s="85"/>
      <c r="R45" s="85"/>
      <c r="S45" s="20"/>
      <c r="T45" s="20"/>
      <c r="U45" s="16"/>
      <c r="V45" s="16"/>
      <c r="W45" s="16"/>
      <c r="X45" s="16"/>
      <c r="Y45" s="16"/>
      <c r="Z45" s="16"/>
    </row>
    <row r="46">
      <c r="A46" s="34"/>
      <c r="B46" s="237" t="s">
        <v>11</v>
      </c>
      <c r="C46" s="45"/>
      <c r="D46" s="45"/>
      <c r="E46" s="45"/>
      <c r="F46" s="103">
        <f>SUM(F41:F45)</f>
        <v>265.3</v>
      </c>
      <c r="G46" s="250"/>
      <c r="H46" s="243"/>
      <c r="I46" s="243"/>
      <c r="J46" s="243"/>
      <c r="K46" s="85"/>
      <c r="L46" s="85"/>
      <c r="M46" s="85"/>
      <c r="N46" s="85" t="str">
        <f t="shared" si="7"/>
        <v/>
      </c>
      <c r="O46" s="103">
        <f>SUM(O41:O45)</f>
        <v>265.3</v>
      </c>
      <c r="P46" s="307"/>
      <c r="Q46" s="85"/>
      <c r="R46" s="85"/>
      <c r="S46" s="15"/>
      <c r="T46" s="15"/>
      <c r="U46" s="243"/>
      <c r="V46" s="243"/>
      <c r="W46" s="243"/>
      <c r="X46" s="243"/>
      <c r="Y46" s="243"/>
      <c r="Z46" s="243"/>
    </row>
    <row r="47" ht="5.25" customHeight="1">
      <c r="A47" s="34"/>
      <c r="B47" s="15"/>
      <c r="C47" s="15"/>
      <c r="D47" s="15"/>
      <c r="E47" s="17"/>
      <c r="F47" s="15"/>
      <c r="G47" s="250"/>
      <c r="H47" s="243"/>
      <c r="I47" s="243"/>
      <c r="J47" s="243"/>
      <c r="K47" s="85"/>
      <c r="L47" s="85"/>
      <c r="M47" s="85"/>
      <c r="N47" s="85" t="str">
        <f t="shared" si="7"/>
        <v/>
      </c>
      <c r="O47" s="29"/>
      <c r="P47" s="307"/>
      <c r="Q47" s="85"/>
      <c r="R47" s="85"/>
      <c r="S47" s="15"/>
      <c r="T47" s="15"/>
      <c r="U47" s="243"/>
      <c r="V47" s="243"/>
      <c r="W47" s="243"/>
      <c r="X47" s="243"/>
      <c r="Y47" s="243"/>
      <c r="Z47" s="243"/>
    </row>
    <row r="48" ht="22.5" customHeight="1">
      <c r="A48" s="34"/>
      <c r="B48" s="62" t="s">
        <v>187</v>
      </c>
      <c r="C48" s="45"/>
      <c r="D48" s="45"/>
      <c r="E48" s="45"/>
      <c r="F48" s="46"/>
      <c r="G48" s="250"/>
      <c r="H48" s="243"/>
      <c r="I48" s="243"/>
      <c r="J48" s="243"/>
      <c r="K48" s="85"/>
      <c r="L48" s="85"/>
      <c r="M48" s="85"/>
      <c r="N48" s="85" t="str">
        <f t="shared" si="7"/>
        <v/>
      </c>
      <c r="O48" s="29"/>
      <c r="P48" s="307"/>
      <c r="Q48" s="85"/>
      <c r="R48" s="85"/>
      <c r="S48" s="15"/>
      <c r="T48" s="15"/>
      <c r="U48" s="243"/>
      <c r="V48" s="243"/>
      <c r="W48" s="243"/>
      <c r="X48" s="243"/>
      <c r="Y48" s="243"/>
      <c r="Z48" s="243"/>
    </row>
    <row r="49" ht="15.75" customHeight="1">
      <c r="A49" s="67" t="str">
        <f t="shared" ref="A49:A54" si="26">$B$48&amp;C49</f>
        <v>Tee (SCH-80)1⁄2</v>
      </c>
      <c r="B49" s="68">
        <v>1.0</v>
      </c>
      <c r="C49" s="110" t="s">
        <v>43</v>
      </c>
      <c r="D49" s="110">
        <v>15.0</v>
      </c>
      <c r="E49" s="111" t="s">
        <v>1184</v>
      </c>
      <c r="F49" s="56">
        <v>19.6</v>
      </c>
      <c r="G49" s="76">
        <f>IFERROR(__xludf.DUMMYFUNCTION("ArrayFormula(IFERROR(VLOOKUP(E49,IMPORTRANGE(""https://docs.google.com/spreadsheets/d/1xZyKy-UzMmtPDLpV5jQdYum1LtbR8XKDuasLSjmBRMI/edit#gid=1241094406"",""COMBINED DATA!E3:L""),{7,8},0)))"),0.0417)</f>
        <v>0.0417</v>
      </c>
      <c r="H49" s="76">
        <f>IFERROR(__xludf.DUMMYFUNCTION("""COMPUTED_VALUE"""),0.0)</f>
        <v>0</v>
      </c>
      <c r="I49" s="76">
        <f t="shared" ref="I49:I54" si="27">G49+H49</f>
        <v>0.0417</v>
      </c>
      <c r="J49" s="84">
        <f t="shared" ref="J49:J54" si="28">IFERROR(F49/I49,"")</f>
        <v>470.0239808</v>
      </c>
      <c r="K49" s="85">
        <f t="shared" ref="K49:K54" si="29">IFERROR(G49*100,)</f>
        <v>4.17</v>
      </c>
      <c r="L49" s="85">
        <f t="shared" ref="L49:L54" si="30">IFERROR(H49*725,)</f>
        <v>0</v>
      </c>
      <c r="M49" s="85">
        <f t="shared" ref="M49:M54" si="31">IFERROR(K49+L49,"")</f>
        <v>4.17</v>
      </c>
      <c r="N49" s="85">
        <f t="shared" si="7"/>
        <v>4.700239808</v>
      </c>
      <c r="O49" s="310">
        <v>19.6</v>
      </c>
      <c r="P49" s="317"/>
      <c r="Q49" s="85"/>
      <c r="R49" s="85"/>
      <c r="S49" s="20"/>
      <c r="T49" s="20"/>
      <c r="U49" s="16"/>
      <c r="V49" s="16"/>
      <c r="W49" s="16"/>
      <c r="X49" s="16"/>
      <c r="Y49" s="16"/>
      <c r="Z49" s="16"/>
    </row>
    <row r="50" ht="15.75" customHeight="1">
      <c r="A50" s="67" t="str">
        <f t="shared" si="26"/>
        <v>Tee (SCH-80)3⁄4</v>
      </c>
      <c r="B50" s="90">
        <v>2.0</v>
      </c>
      <c r="C50" s="127" t="s">
        <v>51</v>
      </c>
      <c r="D50" s="127">
        <v>20.0</v>
      </c>
      <c r="E50" s="112" t="s">
        <v>1186</v>
      </c>
      <c r="F50" s="56">
        <v>29.4</v>
      </c>
      <c r="G50" s="76">
        <f>IFERROR(__xludf.DUMMYFUNCTION("ArrayFormula(IFERROR(VLOOKUP(E50,IMPORTRANGE(""https://docs.google.com/spreadsheets/d/1xZyKy-UzMmtPDLpV5jQdYum1LtbR8XKDuasLSjmBRMI/edit#gid=1241094406"",""COMBINED DATA!E3:L""),{7,8},0)))"),0.059)</f>
        <v>0.059</v>
      </c>
      <c r="H50" s="76">
        <f>IFERROR(__xludf.DUMMYFUNCTION("""COMPUTED_VALUE"""),0.0)</f>
        <v>0</v>
      </c>
      <c r="I50" s="76">
        <f t="shared" si="27"/>
        <v>0.059</v>
      </c>
      <c r="J50" s="84">
        <f t="shared" si="28"/>
        <v>498.3050847</v>
      </c>
      <c r="K50" s="85">
        <f t="shared" si="29"/>
        <v>5.9</v>
      </c>
      <c r="L50" s="85">
        <f t="shared" si="30"/>
        <v>0</v>
      </c>
      <c r="M50" s="85">
        <f t="shared" si="31"/>
        <v>5.9</v>
      </c>
      <c r="N50" s="85">
        <f t="shared" si="7"/>
        <v>4.983050847</v>
      </c>
      <c r="O50" s="310">
        <v>29.4</v>
      </c>
      <c r="P50" s="317"/>
      <c r="Q50" s="85"/>
      <c r="R50" s="85"/>
      <c r="S50" s="20"/>
      <c r="T50" s="20"/>
      <c r="U50" s="16"/>
      <c r="V50" s="16"/>
      <c r="W50" s="16"/>
      <c r="X50" s="16"/>
      <c r="Y50" s="16"/>
      <c r="Z50" s="16"/>
    </row>
    <row r="51" ht="15.75" customHeight="1">
      <c r="A51" s="67" t="str">
        <f t="shared" si="26"/>
        <v>Tee (SCH-80)1</v>
      </c>
      <c r="B51" s="90">
        <v>3.0</v>
      </c>
      <c r="C51" s="127" t="s">
        <v>84</v>
      </c>
      <c r="D51" s="127">
        <v>25.0</v>
      </c>
      <c r="E51" s="112" t="s">
        <v>1188</v>
      </c>
      <c r="F51" s="56">
        <v>45.8</v>
      </c>
      <c r="G51" s="76">
        <f>IFERROR(__xludf.DUMMYFUNCTION("ArrayFormula(IFERROR(VLOOKUP(E51,IMPORTRANGE(""https://docs.google.com/spreadsheets/d/1xZyKy-UzMmtPDLpV5jQdYum1LtbR8XKDuasLSjmBRMI/edit#gid=1241094406"",""COMBINED DATA!E3:L""),{7,8},0)))"),0.094)</f>
        <v>0.094</v>
      </c>
      <c r="H51" s="76">
        <f>IFERROR(__xludf.DUMMYFUNCTION("""COMPUTED_VALUE"""),0.0)</f>
        <v>0</v>
      </c>
      <c r="I51" s="76">
        <f t="shared" si="27"/>
        <v>0.094</v>
      </c>
      <c r="J51" s="84">
        <f t="shared" si="28"/>
        <v>487.2340426</v>
      </c>
      <c r="K51" s="85">
        <f t="shared" si="29"/>
        <v>9.4</v>
      </c>
      <c r="L51" s="85">
        <f t="shared" si="30"/>
        <v>0</v>
      </c>
      <c r="M51" s="85">
        <f t="shared" si="31"/>
        <v>9.4</v>
      </c>
      <c r="N51" s="85">
        <f t="shared" si="7"/>
        <v>4.872340426</v>
      </c>
      <c r="O51" s="310">
        <v>45.8</v>
      </c>
      <c r="P51" s="317"/>
      <c r="Q51" s="85"/>
      <c r="R51" s="85"/>
      <c r="S51" s="20"/>
      <c r="T51" s="20"/>
      <c r="U51" s="16"/>
      <c r="V51" s="16"/>
      <c r="W51" s="16"/>
      <c r="X51" s="16"/>
      <c r="Y51" s="16"/>
      <c r="Z51" s="16"/>
    </row>
    <row r="52" ht="15.75" customHeight="1">
      <c r="A52" s="67" t="str">
        <f t="shared" si="26"/>
        <v>Tee (SCH-80)1 1⁄4</v>
      </c>
      <c r="B52" s="90">
        <v>4.0</v>
      </c>
      <c r="C52" s="127" t="s">
        <v>55</v>
      </c>
      <c r="D52" s="127">
        <v>32.0</v>
      </c>
      <c r="E52" s="112" t="s">
        <v>1190</v>
      </c>
      <c r="F52" s="56">
        <v>69.9</v>
      </c>
      <c r="G52" s="76">
        <f>IFERROR(__xludf.DUMMYFUNCTION("ArrayFormula(IFERROR(VLOOKUP(E52,IMPORTRANGE(""https://docs.google.com/spreadsheets/d/1xZyKy-UzMmtPDLpV5jQdYum1LtbR8XKDuasLSjmBRMI/edit#gid=1241094406"",""COMBINED DATA!E3:L""),{7,8},0)))"),0.151)</f>
        <v>0.151</v>
      </c>
      <c r="H52" s="76">
        <f>IFERROR(__xludf.DUMMYFUNCTION("""COMPUTED_VALUE"""),0.0)</f>
        <v>0</v>
      </c>
      <c r="I52" s="76">
        <f t="shared" si="27"/>
        <v>0.151</v>
      </c>
      <c r="J52" s="84">
        <f t="shared" si="28"/>
        <v>462.9139073</v>
      </c>
      <c r="K52" s="85">
        <f t="shared" si="29"/>
        <v>15.1</v>
      </c>
      <c r="L52" s="85">
        <f t="shared" si="30"/>
        <v>0</v>
      </c>
      <c r="M52" s="85">
        <f t="shared" si="31"/>
        <v>15.1</v>
      </c>
      <c r="N52" s="85">
        <f t="shared" si="7"/>
        <v>4.629139073</v>
      </c>
      <c r="O52" s="310">
        <v>69.9</v>
      </c>
      <c r="P52" s="317"/>
      <c r="Q52" s="85"/>
      <c r="R52" s="85"/>
      <c r="S52" s="20"/>
      <c r="T52" s="20"/>
      <c r="U52" s="16"/>
      <c r="V52" s="16"/>
      <c r="W52" s="16"/>
      <c r="X52" s="16"/>
      <c r="Y52" s="16"/>
      <c r="Z52" s="16"/>
    </row>
    <row r="53" ht="15.75" customHeight="1">
      <c r="A53" s="67" t="str">
        <f t="shared" si="26"/>
        <v>Tee (SCH-80)1 1⁄2</v>
      </c>
      <c r="B53" s="90">
        <v>5.0</v>
      </c>
      <c r="C53" s="127" t="s">
        <v>56</v>
      </c>
      <c r="D53" s="127">
        <v>40.0</v>
      </c>
      <c r="E53" s="112" t="s">
        <v>1191</v>
      </c>
      <c r="F53" s="56">
        <v>91.8</v>
      </c>
      <c r="G53" s="76">
        <f>IFERROR(__xludf.DUMMYFUNCTION("ArrayFormula(IFERROR(VLOOKUP(E53,IMPORTRANGE(""https://docs.google.com/spreadsheets/d/1xZyKy-UzMmtPDLpV5jQdYum1LtbR8XKDuasLSjmBRMI/edit#gid=1241094406"",""COMBINED DATA!E3:L""),{7,8},0)))"),0.198)</f>
        <v>0.198</v>
      </c>
      <c r="H53" s="76">
        <f>IFERROR(__xludf.DUMMYFUNCTION("""COMPUTED_VALUE"""),0.0)</f>
        <v>0</v>
      </c>
      <c r="I53" s="76">
        <f t="shared" si="27"/>
        <v>0.198</v>
      </c>
      <c r="J53" s="84">
        <f t="shared" si="28"/>
        <v>463.6363636</v>
      </c>
      <c r="K53" s="85">
        <f t="shared" si="29"/>
        <v>19.8</v>
      </c>
      <c r="L53" s="85">
        <f t="shared" si="30"/>
        <v>0</v>
      </c>
      <c r="M53" s="85">
        <f t="shared" si="31"/>
        <v>19.8</v>
      </c>
      <c r="N53" s="85">
        <f t="shared" si="7"/>
        <v>4.636363636</v>
      </c>
      <c r="O53" s="310">
        <v>91.8</v>
      </c>
      <c r="P53" s="317"/>
      <c r="Q53" s="85"/>
      <c r="R53" s="85"/>
      <c r="S53" s="20"/>
      <c r="T53" s="20"/>
      <c r="U53" s="16"/>
      <c r="V53" s="16"/>
      <c r="W53" s="16"/>
      <c r="X53" s="16"/>
      <c r="Y53" s="16"/>
      <c r="Z53" s="16"/>
    </row>
    <row r="54" ht="15.75" customHeight="1">
      <c r="A54" s="67" t="str">
        <f t="shared" si="26"/>
        <v>Tee (SCH-80)2</v>
      </c>
      <c r="B54" s="90">
        <v>6.0</v>
      </c>
      <c r="C54" s="127" t="s">
        <v>107</v>
      </c>
      <c r="D54" s="127">
        <v>50.0</v>
      </c>
      <c r="E54" s="112" t="s">
        <v>1192</v>
      </c>
      <c r="F54" s="56">
        <v>141.6</v>
      </c>
      <c r="G54" s="76">
        <f>IFERROR(__xludf.DUMMYFUNCTION("ArrayFormula(IFERROR(VLOOKUP(E54,IMPORTRANGE(""https://docs.google.com/spreadsheets/d/1xZyKy-UzMmtPDLpV5jQdYum1LtbR8XKDuasLSjmBRMI/edit#gid=1241094406"",""COMBINED DATA!E3:L""),{7,8},0)))"),0.2948)</f>
        <v>0.2948</v>
      </c>
      <c r="H54" s="76">
        <f>IFERROR(__xludf.DUMMYFUNCTION("""COMPUTED_VALUE"""),0.0)</f>
        <v>0</v>
      </c>
      <c r="I54" s="76">
        <f t="shared" si="27"/>
        <v>0.2948</v>
      </c>
      <c r="J54" s="84">
        <f t="shared" si="28"/>
        <v>480.3256445</v>
      </c>
      <c r="K54" s="85">
        <f t="shared" si="29"/>
        <v>29.48</v>
      </c>
      <c r="L54" s="85">
        <f t="shared" si="30"/>
        <v>0</v>
      </c>
      <c r="M54" s="85">
        <f t="shared" si="31"/>
        <v>29.48</v>
      </c>
      <c r="N54" s="85">
        <f t="shared" si="7"/>
        <v>4.803256445</v>
      </c>
      <c r="O54" s="310">
        <v>141.6</v>
      </c>
      <c r="P54" s="317"/>
      <c r="Q54" s="85"/>
      <c r="R54" s="85"/>
      <c r="S54" s="20"/>
      <c r="T54" s="20"/>
      <c r="U54" s="16"/>
      <c r="V54" s="16"/>
      <c r="W54" s="16"/>
      <c r="X54" s="16"/>
      <c r="Y54" s="16"/>
      <c r="Z54" s="16"/>
    </row>
    <row r="55">
      <c r="A55" s="34"/>
      <c r="B55" s="237" t="s">
        <v>11</v>
      </c>
      <c r="C55" s="45"/>
      <c r="D55" s="45"/>
      <c r="E55" s="46"/>
      <c r="F55" s="103">
        <f>SUM(F49:F54)</f>
        <v>398.1</v>
      </c>
      <c r="G55" s="250"/>
      <c r="H55" s="243"/>
      <c r="I55" s="243"/>
      <c r="J55" s="243"/>
      <c r="K55" s="85"/>
      <c r="L55" s="85"/>
      <c r="M55" s="85"/>
      <c r="N55" s="85" t="str">
        <f t="shared" si="7"/>
        <v/>
      </c>
      <c r="O55" s="103">
        <f>SUM(O49:O54)</f>
        <v>398.1</v>
      </c>
      <c r="P55" s="307"/>
      <c r="Q55" s="85"/>
      <c r="R55" s="85"/>
      <c r="S55" s="15"/>
      <c r="T55" s="15"/>
      <c r="U55" s="243"/>
      <c r="V55" s="243"/>
      <c r="W55" s="243"/>
      <c r="X55" s="243"/>
      <c r="Y55" s="243"/>
      <c r="Z55" s="243"/>
    </row>
    <row r="56" ht="5.25" customHeight="1">
      <c r="A56" s="34"/>
      <c r="B56" s="15"/>
      <c r="C56" s="15"/>
      <c r="D56" s="15"/>
      <c r="E56" s="17"/>
      <c r="F56" s="15"/>
      <c r="G56" s="250"/>
      <c r="H56" s="243"/>
      <c r="I56" s="243"/>
      <c r="J56" s="243"/>
      <c r="K56" s="85"/>
      <c r="L56" s="85"/>
      <c r="M56" s="85"/>
      <c r="N56" s="85" t="str">
        <f t="shared" si="7"/>
        <v/>
      </c>
      <c r="O56" s="29"/>
      <c r="P56" s="307"/>
      <c r="Q56" s="85"/>
      <c r="R56" s="85"/>
      <c r="S56" s="15"/>
      <c r="T56" s="15"/>
      <c r="U56" s="243"/>
      <c r="V56" s="243"/>
      <c r="W56" s="243"/>
      <c r="X56" s="243"/>
      <c r="Y56" s="243"/>
      <c r="Z56" s="243"/>
    </row>
    <row r="57" ht="22.5" customHeight="1">
      <c r="A57" s="34"/>
      <c r="B57" s="62" t="s">
        <v>187</v>
      </c>
      <c r="C57" s="45"/>
      <c r="D57" s="45"/>
      <c r="E57" s="45"/>
      <c r="F57" s="46"/>
      <c r="G57" s="250"/>
      <c r="H57" s="243"/>
      <c r="I57" s="243"/>
      <c r="J57" s="243"/>
      <c r="K57" s="85"/>
      <c r="L57" s="85"/>
      <c r="M57" s="85"/>
      <c r="N57" s="85" t="str">
        <f t="shared" si="7"/>
        <v/>
      </c>
      <c r="O57" s="29"/>
      <c r="P57" s="307"/>
      <c r="Q57" s="85"/>
      <c r="R57" s="85"/>
      <c r="S57" s="15"/>
      <c r="T57" s="15"/>
      <c r="U57" s="243"/>
      <c r="V57" s="243"/>
      <c r="W57" s="243"/>
      <c r="X57" s="243"/>
      <c r="Y57" s="243"/>
      <c r="Z57" s="243"/>
    </row>
    <row r="58" ht="15.75" customHeight="1">
      <c r="A58" s="67" t="str">
        <f t="shared" ref="A58:A60" si="32">$B$57&amp;C58</f>
        <v>Tee (SCH-80)2 1⁄2</v>
      </c>
      <c r="B58" s="68">
        <v>1.0</v>
      </c>
      <c r="C58" s="110" t="s">
        <v>69</v>
      </c>
      <c r="D58" s="110">
        <v>65.0</v>
      </c>
      <c r="E58" s="111" t="s">
        <v>1196</v>
      </c>
      <c r="F58" s="56">
        <v>338.0</v>
      </c>
      <c r="G58" s="76">
        <f>IFERROR(__xludf.DUMMYFUNCTION("ArrayFormula(IFERROR(VLOOKUP(E58,IMPORTRANGE(""https://docs.google.com/spreadsheets/d/1xZyKy-UzMmtPDLpV5jQdYum1LtbR8XKDuasLSjmBRMI/edit#gid=1241094406"",""COMBINED DATA!E3:L""),{7,8},0)))"),0.6472)</f>
        <v>0.6472</v>
      </c>
      <c r="H58" s="76">
        <f>IFERROR(__xludf.DUMMYFUNCTION("""COMPUTED_VALUE"""),0.0)</f>
        <v>0</v>
      </c>
      <c r="I58" s="76">
        <f t="shared" ref="I58:I60" si="33">G58+H58</f>
        <v>0.6472</v>
      </c>
      <c r="J58" s="84">
        <f t="shared" ref="J58:J60" si="34">IFERROR(F58/I58,"")</f>
        <v>522.249691</v>
      </c>
      <c r="K58" s="85">
        <f t="shared" ref="K58:K60" si="35">IFERROR(G58*100,)</f>
        <v>64.72</v>
      </c>
      <c r="L58" s="85">
        <f t="shared" ref="L58:L60" si="36">IFERROR(H58*725,)</f>
        <v>0</v>
      </c>
      <c r="M58" s="85">
        <f t="shared" ref="M58:M60" si="37">IFERROR(K58+L58,"")</f>
        <v>64.72</v>
      </c>
      <c r="N58" s="85">
        <f t="shared" si="7"/>
        <v>5.22249691</v>
      </c>
      <c r="O58" s="310">
        <v>338.0</v>
      </c>
      <c r="P58" s="75"/>
      <c r="Q58" s="85"/>
      <c r="R58" s="85"/>
      <c r="S58" s="20"/>
      <c r="T58" s="20"/>
      <c r="U58" s="16"/>
      <c r="V58" s="16"/>
      <c r="W58" s="16"/>
      <c r="X58" s="16"/>
      <c r="Y58" s="16"/>
      <c r="Z58" s="16"/>
    </row>
    <row r="59" ht="15.75" customHeight="1">
      <c r="A59" s="67" t="str">
        <f t="shared" si="32"/>
        <v>Tee (SCH-80)3</v>
      </c>
      <c r="B59" s="90">
        <v>2.0</v>
      </c>
      <c r="C59" s="127">
        <v>3.0</v>
      </c>
      <c r="D59" s="127">
        <v>80.0</v>
      </c>
      <c r="E59" s="112" t="s">
        <v>1197</v>
      </c>
      <c r="F59" s="56">
        <v>548.0</v>
      </c>
      <c r="G59" s="76">
        <f>IFERROR(__xludf.DUMMYFUNCTION("ArrayFormula(IFERROR(VLOOKUP(E59,IMPORTRANGE(""https://docs.google.com/spreadsheets/d/1xZyKy-UzMmtPDLpV5jQdYum1LtbR8XKDuasLSjmBRMI/edit#gid=1241094406"",""COMBINED DATA!E3:L""),{7,8},0)))"),1.003)</f>
        <v>1.003</v>
      </c>
      <c r="H59" s="76">
        <f>IFERROR(__xludf.DUMMYFUNCTION("""COMPUTED_VALUE"""),0.0)</f>
        <v>0</v>
      </c>
      <c r="I59" s="76">
        <f t="shared" si="33"/>
        <v>1.003</v>
      </c>
      <c r="J59" s="84">
        <f t="shared" si="34"/>
        <v>546.3609172</v>
      </c>
      <c r="K59" s="85">
        <f t="shared" si="35"/>
        <v>100.3</v>
      </c>
      <c r="L59" s="85">
        <f t="shared" si="36"/>
        <v>0</v>
      </c>
      <c r="M59" s="85">
        <f t="shared" si="37"/>
        <v>100.3</v>
      </c>
      <c r="N59" s="85">
        <f t="shared" si="7"/>
        <v>5.463609172</v>
      </c>
      <c r="O59" s="310">
        <v>548.0</v>
      </c>
      <c r="P59" s="75"/>
      <c r="Q59" s="85"/>
      <c r="R59" s="85"/>
      <c r="S59" s="20"/>
      <c r="T59" s="20"/>
      <c r="U59" s="16"/>
      <c r="V59" s="16"/>
      <c r="W59" s="16"/>
      <c r="X59" s="16"/>
      <c r="Y59" s="16"/>
      <c r="Z59" s="16"/>
    </row>
    <row r="60" ht="15.75" customHeight="1">
      <c r="A60" s="67" t="str">
        <f t="shared" si="32"/>
        <v>Tee (SCH-80)4</v>
      </c>
      <c r="B60" s="90">
        <v>3.0</v>
      </c>
      <c r="C60" s="127">
        <v>4.0</v>
      </c>
      <c r="D60" s="127">
        <v>100.0</v>
      </c>
      <c r="E60" s="112" t="s">
        <v>1198</v>
      </c>
      <c r="F60" s="56">
        <v>888.0</v>
      </c>
      <c r="G60" s="76">
        <f>IFERROR(__xludf.DUMMYFUNCTION("ArrayFormula(IFERROR(VLOOKUP(E60,IMPORTRANGE(""https://docs.google.com/spreadsheets/d/1xZyKy-UzMmtPDLpV5jQdYum1LtbR8XKDuasLSjmBRMI/edit#gid=1241094406"",""COMBINED DATA!E3:L""),{7,8},0)))"),1.605)</f>
        <v>1.605</v>
      </c>
      <c r="H60" s="76">
        <f>IFERROR(__xludf.DUMMYFUNCTION("""COMPUTED_VALUE"""),0.0)</f>
        <v>0</v>
      </c>
      <c r="I60" s="76">
        <f t="shared" si="33"/>
        <v>1.605</v>
      </c>
      <c r="J60" s="84">
        <f t="shared" si="34"/>
        <v>553.271028</v>
      </c>
      <c r="K60" s="85">
        <f t="shared" si="35"/>
        <v>160.5</v>
      </c>
      <c r="L60" s="85">
        <f t="shared" si="36"/>
        <v>0</v>
      </c>
      <c r="M60" s="85">
        <f t="shared" si="37"/>
        <v>160.5</v>
      </c>
      <c r="N60" s="85">
        <f t="shared" si="7"/>
        <v>5.53271028</v>
      </c>
      <c r="O60" s="310">
        <v>888.0</v>
      </c>
      <c r="P60" s="75"/>
      <c r="Q60" s="85"/>
      <c r="R60" s="85"/>
      <c r="S60" s="20"/>
      <c r="T60" s="20"/>
      <c r="U60" s="16"/>
      <c r="V60" s="16"/>
      <c r="W60" s="16"/>
      <c r="X60" s="16"/>
      <c r="Y60" s="16"/>
      <c r="Z60" s="16"/>
    </row>
    <row r="61">
      <c r="A61" s="34"/>
      <c r="B61" s="237" t="s">
        <v>11</v>
      </c>
      <c r="C61" s="45"/>
      <c r="D61" s="45"/>
      <c r="E61" s="46"/>
      <c r="F61" s="103">
        <f>sum(F58:F60)</f>
        <v>1774</v>
      </c>
      <c r="G61" s="250"/>
      <c r="H61" s="243"/>
      <c r="I61" s="243"/>
      <c r="J61" s="243"/>
      <c r="K61" s="85"/>
      <c r="L61" s="85"/>
      <c r="M61" s="85"/>
      <c r="N61" s="85" t="str">
        <f t="shared" si="7"/>
        <v/>
      </c>
      <c r="O61" s="103">
        <f>sum(O58:O60)</f>
        <v>1774</v>
      </c>
      <c r="P61" s="307"/>
      <c r="Q61" s="85"/>
      <c r="R61" s="85"/>
      <c r="S61" s="15"/>
      <c r="T61" s="15"/>
      <c r="U61" s="243"/>
      <c r="V61" s="243"/>
      <c r="W61" s="243"/>
      <c r="X61" s="243"/>
      <c r="Y61" s="243"/>
      <c r="Z61" s="243"/>
    </row>
    <row r="62" ht="6.0" customHeight="1">
      <c r="A62" s="34"/>
      <c r="B62" s="15"/>
      <c r="C62" s="15"/>
      <c r="D62" s="15"/>
      <c r="E62" s="17"/>
      <c r="F62" s="15"/>
      <c r="G62" s="250"/>
      <c r="H62" s="243"/>
      <c r="I62" s="243"/>
      <c r="J62" s="243"/>
      <c r="K62" s="85"/>
      <c r="L62" s="85"/>
      <c r="M62" s="85"/>
      <c r="N62" s="85" t="str">
        <f t="shared" si="7"/>
        <v/>
      </c>
      <c r="O62" s="29"/>
      <c r="P62" s="307"/>
      <c r="Q62" s="85"/>
      <c r="R62" s="85"/>
      <c r="S62" s="15"/>
      <c r="T62" s="15"/>
      <c r="U62" s="243"/>
      <c r="V62" s="243"/>
      <c r="W62" s="243"/>
      <c r="X62" s="243"/>
      <c r="Y62" s="243"/>
      <c r="Z62" s="243"/>
    </row>
    <row r="63" ht="22.5" customHeight="1">
      <c r="A63" s="34"/>
      <c r="B63" s="62" t="s">
        <v>198</v>
      </c>
      <c r="C63" s="45"/>
      <c r="D63" s="45"/>
      <c r="E63" s="45"/>
      <c r="F63" s="46"/>
      <c r="G63" s="250"/>
      <c r="H63" s="243"/>
      <c r="I63" s="243"/>
      <c r="J63" s="243"/>
      <c r="K63" s="85"/>
      <c r="L63" s="85"/>
      <c r="M63" s="85"/>
      <c r="N63" s="85" t="str">
        <f t="shared" si="7"/>
        <v/>
      </c>
      <c r="O63" s="29"/>
      <c r="P63" s="307"/>
      <c r="Q63" s="85"/>
      <c r="R63" s="85"/>
      <c r="S63" s="15"/>
      <c r="T63" s="15"/>
      <c r="U63" s="243"/>
      <c r="V63" s="243"/>
      <c r="W63" s="243"/>
      <c r="X63" s="243"/>
      <c r="Y63" s="243"/>
      <c r="Z63" s="243"/>
    </row>
    <row r="64" ht="15.75" customHeight="1">
      <c r="A64" s="67" t="str">
        <f>$B$63&amp;C64</f>
        <v>Tee (SCH-40)6</v>
      </c>
      <c r="B64" s="68">
        <v>1.0</v>
      </c>
      <c r="C64" s="110">
        <v>6.0</v>
      </c>
      <c r="D64" s="110">
        <v>150.0</v>
      </c>
      <c r="E64" s="111" t="s">
        <v>1200</v>
      </c>
      <c r="F64" s="56">
        <v>1248.0</v>
      </c>
      <c r="G64" s="76">
        <f>IFERROR(__xludf.DUMMYFUNCTION("ArrayFormula(IFERROR(VLOOKUP(E64,IMPORTRANGE(""https://docs.google.com/spreadsheets/d/1xZyKy-UzMmtPDLpV5jQdYum1LtbR8XKDuasLSjmBRMI/edit#gid=1241094406"",""COMBINED DATA!E3:L""),{7,8},0)))"),2.384)</f>
        <v>2.384</v>
      </c>
      <c r="H64" s="76">
        <f>IFERROR(__xludf.DUMMYFUNCTION("""COMPUTED_VALUE"""),0.0)</f>
        <v>0</v>
      </c>
      <c r="I64" s="76">
        <f>G64+H64</f>
        <v>2.384</v>
      </c>
      <c r="J64" s="84">
        <f>IFERROR(F64/I64,"")</f>
        <v>523.4899329</v>
      </c>
      <c r="K64" s="85">
        <f>IFERROR(G64*100,)</f>
        <v>238.4</v>
      </c>
      <c r="L64" s="85">
        <f>IFERROR(H64*725,)</f>
        <v>0</v>
      </c>
      <c r="M64" s="85">
        <f>IFERROR(K64+L64,"")</f>
        <v>238.4</v>
      </c>
      <c r="N64" s="85">
        <f t="shared" si="7"/>
        <v>5.234899329</v>
      </c>
      <c r="O64" s="310">
        <v>1248.0</v>
      </c>
      <c r="P64" s="75"/>
      <c r="Q64" s="85"/>
      <c r="R64" s="85"/>
      <c r="S64" s="20"/>
      <c r="T64" s="20"/>
      <c r="U64" s="16"/>
      <c r="V64" s="16"/>
      <c r="W64" s="16"/>
      <c r="X64" s="16"/>
      <c r="Y64" s="16"/>
      <c r="Z64" s="16"/>
    </row>
    <row r="65" ht="6.0" customHeight="1">
      <c r="A65" s="34"/>
      <c r="B65" s="15"/>
      <c r="C65" s="15"/>
      <c r="D65" s="15"/>
      <c r="E65" s="17"/>
      <c r="F65" s="15"/>
      <c r="G65" s="250"/>
      <c r="H65" s="243"/>
      <c r="I65" s="243"/>
      <c r="J65" s="243"/>
      <c r="K65" s="85"/>
      <c r="L65" s="85"/>
      <c r="M65" s="85"/>
      <c r="N65" s="85" t="str">
        <f t="shared" si="7"/>
        <v/>
      </c>
      <c r="O65" s="29"/>
      <c r="P65" s="307"/>
      <c r="Q65" s="85"/>
      <c r="R65" s="85"/>
      <c r="S65" s="15"/>
      <c r="T65" s="15"/>
      <c r="U65" s="243"/>
      <c r="V65" s="243"/>
      <c r="W65" s="243"/>
      <c r="X65" s="243"/>
      <c r="Y65" s="243"/>
      <c r="Z65" s="243"/>
    </row>
    <row r="66" ht="22.5" customHeight="1">
      <c r="A66" s="34"/>
      <c r="B66" s="62" t="s">
        <v>1203</v>
      </c>
      <c r="C66" s="45"/>
      <c r="D66" s="45"/>
      <c r="E66" s="45"/>
      <c r="F66" s="46"/>
      <c r="G66" s="250"/>
      <c r="H66" s="243"/>
      <c r="I66" s="243"/>
      <c r="J66" s="243"/>
      <c r="K66" s="85"/>
      <c r="L66" s="85"/>
      <c r="M66" s="85"/>
      <c r="N66" s="85" t="str">
        <f t="shared" si="7"/>
        <v/>
      </c>
      <c r="O66" s="29"/>
      <c r="P66" s="307"/>
      <c r="Q66" s="85"/>
      <c r="R66" s="85"/>
      <c r="S66" s="15"/>
      <c r="T66" s="15"/>
      <c r="U66" s="243"/>
      <c r="V66" s="243"/>
      <c r="W66" s="243"/>
      <c r="X66" s="243"/>
      <c r="Y66" s="243"/>
      <c r="Z66" s="243"/>
    </row>
    <row r="67" ht="15.75" customHeight="1">
      <c r="A67" s="67" t="str">
        <f t="shared" ref="A67:A81" si="38">$B$66&amp;C67</f>
        <v>Reducer Tee (SCH-80)3⁄4 x 3⁄4 x 1⁄2</v>
      </c>
      <c r="B67" s="68">
        <v>1.0</v>
      </c>
      <c r="C67" s="321" t="s">
        <v>204</v>
      </c>
      <c r="D67" s="321" t="s">
        <v>205</v>
      </c>
      <c r="E67" s="111" t="s">
        <v>1205</v>
      </c>
      <c r="F67" s="56">
        <v>28.8</v>
      </c>
      <c r="G67" s="76">
        <f>IFERROR(__xludf.DUMMYFUNCTION("ArrayFormula(IFERROR(VLOOKUP(E67,IMPORTRANGE(""https://docs.google.com/spreadsheets/d/1xZyKy-UzMmtPDLpV5jQdYum1LtbR8XKDuasLSjmBRMI/edit#gid=1241094406"",""COMBINED DATA!E3:L""),{7,8},0)))"),0.0545)</f>
        <v>0.0545</v>
      </c>
      <c r="H67" s="76">
        <f>IFERROR(__xludf.DUMMYFUNCTION("""COMPUTED_VALUE"""),0.0)</f>
        <v>0</v>
      </c>
      <c r="I67" s="76">
        <f t="shared" ref="I67:I81" si="39">G67+H67</f>
        <v>0.0545</v>
      </c>
      <c r="J67" s="84">
        <f t="shared" ref="J67:J81" si="40">IFERROR(F67/I67,"")</f>
        <v>528.440367</v>
      </c>
      <c r="K67" s="85">
        <f t="shared" ref="K67:K81" si="41">IFERROR(G67*100,)</f>
        <v>5.45</v>
      </c>
      <c r="L67" s="85">
        <f t="shared" ref="L67:L81" si="42">IFERROR(H67*725,)</f>
        <v>0</v>
      </c>
      <c r="M67" s="85">
        <f t="shared" ref="M67:M81" si="43">IFERROR(K67+L67,"")</f>
        <v>5.45</v>
      </c>
      <c r="N67" s="85">
        <f t="shared" si="7"/>
        <v>5.28440367</v>
      </c>
      <c r="O67" s="310">
        <v>28.8</v>
      </c>
      <c r="P67" s="75"/>
      <c r="Q67" s="85"/>
      <c r="R67" s="85"/>
      <c r="S67" s="20"/>
      <c r="T67" s="20"/>
      <c r="U67" s="16"/>
      <c r="V67" s="16"/>
      <c r="W67" s="16"/>
      <c r="X67" s="16"/>
      <c r="Y67" s="16"/>
      <c r="Z67" s="16"/>
    </row>
    <row r="68" ht="15.75" customHeight="1">
      <c r="A68" s="67" t="str">
        <f t="shared" si="38"/>
        <v>Reducer Tee (SCH-80)1 x 1 x 1⁄2</v>
      </c>
      <c r="B68" s="90">
        <v>2.0</v>
      </c>
      <c r="C68" s="152" t="s">
        <v>439</v>
      </c>
      <c r="D68" s="152" t="s">
        <v>440</v>
      </c>
      <c r="E68" s="112" t="s">
        <v>1207</v>
      </c>
      <c r="F68" s="56">
        <v>43.8</v>
      </c>
      <c r="G68" s="76">
        <f>IFERROR(__xludf.DUMMYFUNCTION("ArrayFormula(IFERROR(VLOOKUP(E68,IMPORTRANGE(""https://docs.google.com/spreadsheets/d/1xZyKy-UzMmtPDLpV5jQdYum1LtbR8XKDuasLSjmBRMI/edit#gid=1241094406"",""COMBINED DATA!E3:L""),{7,8},0)))"),0.08525)</f>
        <v>0.08525</v>
      </c>
      <c r="H68" s="76">
        <f>IFERROR(__xludf.DUMMYFUNCTION("""COMPUTED_VALUE"""),0.0)</f>
        <v>0</v>
      </c>
      <c r="I68" s="76">
        <f t="shared" si="39"/>
        <v>0.08525</v>
      </c>
      <c r="J68" s="84">
        <f t="shared" si="40"/>
        <v>513.7829912</v>
      </c>
      <c r="K68" s="85">
        <f t="shared" si="41"/>
        <v>8.525</v>
      </c>
      <c r="L68" s="85">
        <f t="shared" si="42"/>
        <v>0</v>
      </c>
      <c r="M68" s="85">
        <f t="shared" si="43"/>
        <v>8.525</v>
      </c>
      <c r="N68" s="85">
        <f t="shared" si="7"/>
        <v>5.137829912</v>
      </c>
      <c r="O68" s="310">
        <v>43.8</v>
      </c>
      <c r="P68" s="75"/>
      <c r="Q68" s="85"/>
      <c r="R68" s="85"/>
      <c r="S68" s="20"/>
      <c r="T68" s="20"/>
      <c r="U68" s="16"/>
      <c r="V68" s="16"/>
      <c r="W68" s="16"/>
      <c r="X68" s="16"/>
      <c r="Y68" s="16"/>
      <c r="Z68" s="16"/>
    </row>
    <row r="69" ht="15.75" customHeight="1">
      <c r="A69" s="67" t="str">
        <f t="shared" si="38"/>
        <v>Reducer Tee (SCH-80)1 1⁄4 x 1 1⁄4 x 1⁄2</v>
      </c>
      <c r="B69" s="90">
        <v>3.0</v>
      </c>
      <c r="C69" s="152" t="s">
        <v>458</v>
      </c>
      <c r="D69" s="152" t="s">
        <v>459</v>
      </c>
      <c r="E69" s="112" t="s">
        <v>1209</v>
      </c>
      <c r="F69" s="56">
        <v>74.4</v>
      </c>
      <c r="G69" s="76">
        <f>IFERROR(__xludf.DUMMYFUNCTION("ArrayFormula(IFERROR(VLOOKUP(E69,IMPORTRANGE(""https://docs.google.com/spreadsheets/d/1xZyKy-UzMmtPDLpV5jQdYum1LtbR8XKDuasLSjmBRMI/edit#gid=1241094406"",""COMBINED DATA!E3:L""),{7,8},0)))"),0.12885)</f>
        <v>0.12885</v>
      </c>
      <c r="H69" s="76">
        <f>IFERROR(__xludf.DUMMYFUNCTION("""COMPUTED_VALUE"""),0.0)</f>
        <v>0</v>
      </c>
      <c r="I69" s="76">
        <f t="shared" si="39"/>
        <v>0.12885</v>
      </c>
      <c r="J69" s="84">
        <f t="shared" si="40"/>
        <v>577.4155995</v>
      </c>
      <c r="K69" s="85">
        <f t="shared" si="41"/>
        <v>12.885</v>
      </c>
      <c r="L69" s="85">
        <f t="shared" si="42"/>
        <v>0</v>
      </c>
      <c r="M69" s="85">
        <f t="shared" si="43"/>
        <v>12.885</v>
      </c>
      <c r="N69" s="85">
        <f t="shared" si="7"/>
        <v>5.774155995</v>
      </c>
      <c r="O69" s="310">
        <v>74.4</v>
      </c>
      <c r="P69" s="75"/>
      <c r="Q69" s="85"/>
      <c r="R69" s="85"/>
      <c r="S69" s="20"/>
      <c r="T69" s="20"/>
      <c r="U69" s="16"/>
      <c r="V69" s="16"/>
      <c r="W69" s="16"/>
      <c r="X69" s="16"/>
      <c r="Y69" s="16"/>
      <c r="Z69" s="16"/>
    </row>
    <row r="70" ht="15.75" customHeight="1">
      <c r="A70" s="67" t="str">
        <f t="shared" si="38"/>
        <v>Reducer Tee (SCH-80)1 1⁄4 x 1 1⁄4 x 3⁄4</v>
      </c>
      <c r="B70" s="90">
        <v>4.0</v>
      </c>
      <c r="C70" s="152" t="s">
        <v>213</v>
      </c>
      <c r="D70" s="152" t="s">
        <v>214</v>
      </c>
      <c r="E70" s="112" t="s">
        <v>1210</v>
      </c>
      <c r="F70" s="56">
        <v>74.4</v>
      </c>
      <c r="G70" s="76">
        <f>IFERROR(__xludf.DUMMYFUNCTION("ArrayFormula(IFERROR(VLOOKUP(E70,IMPORTRANGE(""https://docs.google.com/spreadsheets/d/1xZyKy-UzMmtPDLpV5jQdYum1LtbR8XKDuasLSjmBRMI/edit#gid=1241094406"",""COMBINED DATA!E3:L""),{7,8},0)))"),0.1308)</f>
        <v>0.1308</v>
      </c>
      <c r="H70" s="76">
        <f>IFERROR(__xludf.DUMMYFUNCTION("""COMPUTED_VALUE"""),0.0)</f>
        <v>0</v>
      </c>
      <c r="I70" s="76">
        <f t="shared" si="39"/>
        <v>0.1308</v>
      </c>
      <c r="J70" s="84">
        <f t="shared" si="40"/>
        <v>568.8073394</v>
      </c>
      <c r="K70" s="85">
        <f t="shared" si="41"/>
        <v>13.08</v>
      </c>
      <c r="L70" s="85">
        <f t="shared" si="42"/>
        <v>0</v>
      </c>
      <c r="M70" s="85">
        <f t="shared" si="43"/>
        <v>13.08</v>
      </c>
      <c r="N70" s="85">
        <f t="shared" si="7"/>
        <v>5.688073394</v>
      </c>
      <c r="O70" s="310">
        <v>74.4</v>
      </c>
      <c r="P70" s="75"/>
      <c r="Q70" s="85"/>
      <c r="R70" s="85"/>
      <c r="S70" s="20"/>
      <c r="T70" s="20"/>
      <c r="U70" s="16"/>
      <c r="V70" s="16"/>
      <c r="W70" s="16"/>
      <c r="X70" s="16"/>
      <c r="Y70" s="16"/>
      <c r="Z70" s="16"/>
    </row>
    <row r="71" ht="15.75" customHeight="1">
      <c r="A71" s="67" t="str">
        <f t="shared" si="38"/>
        <v>Reducer Tee (SCH-80)1 1⁄4 x 1 1⁄4 x 1</v>
      </c>
      <c r="B71" s="90">
        <v>5.0</v>
      </c>
      <c r="C71" s="152" t="s">
        <v>216</v>
      </c>
      <c r="D71" s="152" t="s">
        <v>217</v>
      </c>
      <c r="E71" s="112" t="s">
        <v>1212</v>
      </c>
      <c r="F71" s="56">
        <v>78.0</v>
      </c>
      <c r="G71" s="76">
        <f>IFERROR(__xludf.DUMMYFUNCTION("ArrayFormula(IFERROR(VLOOKUP(E71,IMPORTRANGE(""https://docs.google.com/spreadsheets/d/1xZyKy-UzMmtPDLpV5jQdYum1LtbR8XKDuasLSjmBRMI/edit#gid=1241094406"",""COMBINED DATA!E3:L""),{7,8},0)))"),0.13525)</f>
        <v>0.13525</v>
      </c>
      <c r="H71" s="76">
        <f>IFERROR(__xludf.DUMMYFUNCTION("""COMPUTED_VALUE"""),0.0)</f>
        <v>0</v>
      </c>
      <c r="I71" s="76">
        <f t="shared" si="39"/>
        <v>0.13525</v>
      </c>
      <c r="J71" s="84">
        <f t="shared" si="40"/>
        <v>576.7097967</v>
      </c>
      <c r="K71" s="85">
        <f t="shared" si="41"/>
        <v>13.525</v>
      </c>
      <c r="L71" s="85">
        <f t="shared" si="42"/>
        <v>0</v>
      </c>
      <c r="M71" s="85">
        <f t="shared" si="43"/>
        <v>13.525</v>
      </c>
      <c r="N71" s="85">
        <f t="shared" si="7"/>
        <v>5.767097967</v>
      </c>
      <c r="O71" s="310">
        <v>78.0</v>
      </c>
      <c r="P71" s="75"/>
      <c r="Q71" s="85"/>
      <c r="R71" s="85"/>
      <c r="S71" s="20"/>
      <c r="T71" s="20"/>
      <c r="U71" s="16"/>
      <c r="V71" s="16"/>
      <c r="W71" s="16"/>
      <c r="X71" s="16"/>
      <c r="Y71" s="16"/>
      <c r="Z71" s="16"/>
    </row>
    <row r="72" ht="15.75" customHeight="1">
      <c r="A72" s="67" t="str">
        <f t="shared" si="38"/>
        <v>Reducer Tee (SCH-80)1 x 1 x 3⁄4</v>
      </c>
      <c r="B72" s="90">
        <v>6.0</v>
      </c>
      <c r="C72" s="152" t="s">
        <v>209</v>
      </c>
      <c r="D72" s="152" t="s">
        <v>210</v>
      </c>
      <c r="E72" s="112" t="s">
        <v>1214</v>
      </c>
      <c r="F72" s="56">
        <v>46.0</v>
      </c>
      <c r="G72" s="76">
        <f>IFERROR(__xludf.DUMMYFUNCTION("ArrayFormula(IFERROR(VLOOKUP(E72,IMPORTRANGE(""https://docs.google.com/spreadsheets/d/1xZyKy-UzMmtPDLpV5jQdYum1LtbR8XKDuasLSjmBRMI/edit#gid=1241094406"",""COMBINED DATA!E3:L""),{7,8},0)))"),0.09)</f>
        <v>0.09</v>
      </c>
      <c r="H72" s="76">
        <f>IFERROR(__xludf.DUMMYFUNCTION("""COMPUTED_VALUE"""),0.0)</f>
        <v>0</v>
      </c>
      <c r="I72" s="76">
        <f t="shared" si="39"/>
        <v>0.09</v>
      </c>
      <c r="J72" s="84">
        <f t="shared" si="40"/>
        <v>511.1111111</v>
      </c>
      <c r="K72" s="85">
        <f t="shared" si="41"/>
        <v>9</v>
      </c>
      <c r="L72" s="85">
        <f t="shared" si="42"/>
        <v>0</v>
      </c>
      <c r="M72" s="85">
        <f t="shared" si="43"/>
        <v>9</v>
      </c>
      <c r="N72" s="85">
        <f t="shared" si="7"/>
        <v>5.111111111</v>
      </c>
      <c r="O72" s="310">
        <v>46.0</v>
      </c>
      <c r="P72" s="75"/>
      <c r="Q72" s="85"/>
      <c r="R72" s="85"/>
      <c r="S72" s="20"/>
      <c r="T72" s="20"/>
      <c r="U72" s="16"/>
      <c r="V72" s="16"/>
      <c r="W72" s="16"/>
      <c r="X72" s="16"/>
      <c r="Y72" s="16"/>
      <c r="Z72" s="16"/>
    </row>
    <row r="73" ht="15.75" customHeight="1">
      <c r="A73" s="67" t="str">
        <f t="shared" si="38"/>
        <v>Reducer Tee (SCH-80)1 1⁄2 x 1 1⁄2 x 1⁄2</v>
      </c>
      <c r="B73" s="90">
        <v>7.0</v>
      </c>
      <c r="C73" s="152" t="s">
        <v>1215</v>
      </c>
      <c r="D73" s="152" t="s">
        <v>1216</v>
      </c>
      <c r="E73" s="112" t="s">
        <v>1217</v>
      </c>
      <c r="F73" s="56">
        <v>89.4</v>
      </c>
      <c r="G73" s="76">
        <f>IFERROR(__xludf.DUMMYFUNCTION("ArrayFormula(IFERROR(VLOOKUP(E73,IMPORTRANGE(""https://docs.google.com/spreadsheets/d/1xZyKy-UzMmtPDLpV5jQdYum1LtbR8XKDuasLSjmBRMI/edit#gid=1241094406"",""COMBINED DATA!E3:L""),{7,8},0)))"),0.165)</f>
        <v>0.165</v>
      </c>
      <c r="H73" s="76">
        <f>IFERROR(__xludf.DUMMYFUNCTION("""COMPUTED_VALUE"""),0.0)</f>
        <v>0</v>
      </c>
      <c r="I73" s="76">
        <f t="shared" si="39"/>
        <v>0.165</v>
      </c>
      <c r="J73" s="84">
        <f t="shared" si="40"/>
        <v>541.8181818</v>
      </c>
      <c r="K73" s="85">
        <f t="shared" si="41"/>
        <v>16.5</v>
      </c>
      <c r="L73" s="85">
        <f t="shared" si="42"/>
        <v>0</v>
      </c>
      <c r="M73" s="85">
        <f t="shared" si="43"/>
        <v>16.5</v>
      </c>
      <c r="N73" s="85">
        <f t="shared" si="7"/>
        <v>5.418181818</v>
      </c>
      <c r="O73" s="310">
        <v>89.4</v>
      </c>
      <c r="P73" s="75"/>
      <c r="Q73" s="85"/>
      <c r="R73" s="85"/>
      <c r="S73" s="20"/>
      <c r="T73" s="20"/>
      <c r="U73" s="16"/>
      <c r="V73" s="16"/>
      <c r="W73" s="16"/>
      <c r="X73" s="16"/>
      <c r="Y73" s="16"/>
      <c r="Z73" s="16"/>
    </row>
    <row r="74" ht="15.75" customHeight="1">
      <c r="A74" s="67" t="str">
        <f t="shared" si="38"/>
        <v>Reducer Tee (SCH-80)1 1⁄2 x 1 1⁄2 x 3⁄4</v>
      </c>
      <c r="B74" s="90">
        <v>8.0</v>
      </c>
      <c r="C74" s="152" t="s">
        <v>220</v>
      </c>
      <c r="D74" s="152" t="s">
        <v>221</v>
      </c>
      <c r="E74" s="112" t="s">
        <v>1218</v>
      </c>
      <c r="F74" s="56">
        <v>94.0</v>
      </c>
      <c r="G74" s="76">
        <f>IFERROR(__xludf.DUMMYFUNCTION("ArrayFormula(IFERROR(VLOOKUP(E74,IMPORTRANGE(""https://docs.google.com/spreadsheets/d/1xZyKy-UzMmtPDLpV5jQdYum1LtbR8XKDuasLSjmBRMI/edit#gid=1241094406"",""COMBINED DATA!E3:L""),{7,8},0)))"),0.145)</f>
        <v>0.145</v>
      </c>
      <c r="H74" s="76">
        <f>IFERROR(__xludf.DUMMYFUNCTION("""COMPUTED_VALUE"""),0.0)</f>
        <v>0</v>
      </c>
      <c r="I74" s="76">
        <f t="shared" si="39"/>
        <v>0.145</v>
      </c>
      <c r="J74" s="84">
        <f t="shared" si="40"/>
        <v>648.2758621</v>
      </c>
      <c r="K74" s="85">
        <f t="shared" si="41"/>
        <v>14.5</v>
      </c>
      <c r="L74" s="85">
        <f t="shared" si="42"/>
        <v>0</v>
      </c>
      <c r="M74" s="85">
        <f t="shared" si="43"/>
        <v>14.5</v>
      </c>
      <c r="N74" s="85">
        <f t="shared" si="7"/>
        <v>6.482758621</v>
      </c>
      <c r="O74" s="310">
        <v>94.0</v>
      </c>
      <c r="P74" s="75"/>
      <c r="Q74" s="85"/>
      <c r="R74" s="85"/>
      <c r="S74" s="20"/>
      <c r="T74" s="20"/>
      <c r="U74" s="16"/>
      <c r="V74" s="16"/>
      <c r="W74" s="16"/>
      <c r="X74" s="16"/>
      <c r="Y74" s="16"/>
      <c r="Z74" s="16"/>
    </row>
    <row r="75" ht="15.75" customHeight="1">
      <c r="A75" s="67" t="str">
        <f t="shared" si="38"/>
        <v>Reducer Tee (SCH-80)1 1⁄2 x 1 1⁄2 x 1</v>
      </c>
      <c r="B75" s="90">
        <v>9.0</v>
      </c>
      <c r="C75" s="152" t="s">
        <v>224</v>
      </c>
      <c r="D75" s="152" t="s">
        <v>225</v>
      </c>
      <c r="E75" s="112" t="s">
        <v>1220</v>
      </c>
      <c r="F75" s="56">
        <v>96.0</v>
      </c>
      <c r="G75" s="76">
        <f>IFERROR(__xludf.DUMMYFUNCTION("ArrayFormula(IFERROR(VLOOKUP(E75,IMPORTRANGE(""https://docs.google.com/spreadsheets/d/1xZyKy-UzMmtPDLpV5jQdYum1LtbR8XKDuasLSjmBRMI/edit#gid=1241094406"",""COMBINED DATA!E3:L""),{7,8},0)))"),0.1698)</f>
        <v>0.1698</v>
      </c>
      <c r="H75" s="76">
        <f>IFERROR(__xludf.DUMMYFUNCTION("""COMPUTED_VALUE"""),0.0)</f>
        <v>0</v>
      </c>
      <c r="I75" s="76">
        <f t="shared" si="39"/>
        <v>0.1698</v>
      </c>
      <c r="J75" s="84">
        <f t="shared" si="40"/>
        <v>565.3710247</v>
      </c>
      <c r="K75" s="85">
        <f t="shared" si="41"/>
        <v>16.98</v>
      </c>
      <c r="L75" s="85">
        <f t="shared" si="42"/>
        <v>0</v>
      </c>
      <c r="M75" s="85">
        <f t="shared" si="43"/>
        <v>16.98</v>
      </c>
      <c r="N75" s="85">
        <f t="shared" si="7"/>
        <v>5.653710247</v>
      </c>
      <c r="O75" s="310">
        <v>96.0</v>
      </c>
      <c r="P75" s="75"/>
      <c r="Q75" s="85"/>
      <c r="R75" s="85"/>
      <c r="S75" s="20"/>
      <c r="T75" s="20"/>
      <c r="U75" s="16"/>
      <c r="V75" s="16"/>
      <c r="W75" s="16"/>
      <c r="X75" s="16"/>
      <c r="Y75" s="16"/>
      <c r="Z75" s="16"/>
    </row>
    <row r="76" ht="15.75" customHeight="1">
      <c r="A76" s="67" t="str">
        <f t="shared" si="38"/>
        <v>Reducer Tee (SCH-80)1 1⁄2 x 1 1⁄2 x 1 1⁄4</v>
      </c>
      <c r="B76" s="90">
        <v>10.0</v>
      </c>
      <c r="C76" s="152" t="s">
        <v>227</v>
      </c>
      <c r="D76" s="152" t="s">
        <v>228</v>
      </c>
      <c r="E76" s="112" t="s">
        <v>1221</v>
      </c>
      <c r="F76" s="56">
        <v>118.0</v>
      </c>
      <c r="G76" s="76">
        <f>IFERROR(__xludf.DUMMYFUNCTION("ArrayFormula(IFERROR(VLOOKUP(E76,IMPORTRANGE(""https://docs.google.com/spreadsheets/d/1xZyKy-UzMmtPDLpV5jQdYum1LtbR8XKDuasLSjmBRMI/edit#gid=1241094406"",""COMBINED DATA!E3:L""),{7,8},0)))"),0.2248)</f>
        <v>0.2248</v>
      </c>
      <c r="H76" s="76">
        <f>IFERROR(__xludf.DUMMYFUNCTION("""COMPUTED_VALUE"""),0.0)</f>
        <v>0</v>
      </c>
      <c r="I76" s="76">
        <f t="shared" si="39"/>
        <v>0.2248</v>
      </c>
      <c r="J76" s="84">
        <f t="shared" si="40"/>
        <v>524.911032</v>
      </c>
      <c r="K76" s="85">
        <f t="shared" si="41"/>
        <v>22.48</v>
      </c>
      <c r="L76" s="85">
        <f t="shared" si="42"/>
        <v>0</v>
      </c>
      <c r="M76" s="85">
        <f t="shared" si="43"/>
        <v>22.48</v>
      </c>
      <c r="N76" s="85">
        <f t="shared" si="7"/>
        <v>5.24911032</v>
      </c>
      <c r="O76" s="310">
        <v>118.0</v>
      </c>
      <c r="P76" s="75"/>
      <c r="Q76" s="85"/>
      <c r="R76" s="85"/>
      <c r="S76" s="20"/>
      <c r="T76" s="20"/>
      <c r="U76" s="16"/>
      <c r="V76" s="16"/>
      <c r="W76" s="16"/>
      <c r="X76" s="16"/>
      <c r="Y76" s="16"/>
      <c r="Z76" s="16"/>
    </row>
    <row r="77" ht="15.75" customHeight="1">
      <c r="A77" s="67" t="str">
        <f t="shared" si="38"/>
        <v>Reducer Tee (SCH-80)2 x 2 x 1⁄2</v>
      </c>
      <c r="B77" s="90">
        <v>11.0</v>
      </c>
      <c r="C77" s="152" t="s">
        <v>1223</v>
      </c>
      <c r="D77" s="152" t="s">
        <v>1224</v>
      </c>
      <c r="E77" s="112" t="s">
        <v>1225</v>
      </c>
      <c r="F77" s="56">
        <v>138.0</v>
      </c>
      <c r="G77" s="76">
        <f>IFERROR(__xludf.DUMMYFUNCTION("ArrayFormula(IFERROR(VLOOKUP(E77,IMPORTRANGE(""https://docs.google.com/spreadsheets/d/1xZyKy-UzMmtPDLpV5jQdYum1LtbR8XKDuasLSjmBRMI/edit#gid=1241094406"",""COMBINED DATA!E3:L""),{7,8},0)))"),0.24280000000000002)</f>
        <v>0.2428</v>
      </c>
      <c r="H77" s="76">
        <f>IFERROR(__xludf.DUMMYFUNCTION("""COMPUTED_VALUE"""),0.0)</f>
        <v>0</v>
      </c>
      <c r="I77" s="76">
        <f t="shared" si="39"/>
        <v>0.2428</v>
      </c>
      <c r="J77" s="84">
        <f t="shared" si="40"/>
        <v>568.369028</v>
      </c>
      <c r="K77" s="85">
        <f t="shared" si="41"/>
        <v>24.28</v>
      </c>
      <c r="L77" s="85">
        <f t="shared" si="42"/>
        <v>0</v>
      </c>
      <c r="M77" s="85">
        <f t="shared" si="43"/>
        <v>24.28</v>
      </c>
      <c r="N77" s="85">
        <f t="shared" si="7"/>
        <v>5.68369028</v>
      </c>
      <c r="O77" s="310">
        <v>138.0</v>
      </c>
      <c r="P77" s="75"/>
      <c r="Q77" s="85"/>
      <c r="R77" s="85"/>
      <c r="S77" s="20"/>
      <c r="T77" s="20"/>
      <c r="U77" s="16"/>
      <c r="V77" s="16"/>
      <c r="W77" s="16"/>
      <c r="X77" s="16"/>
      <c r="Y77" s="16"/>
      <c r="Z77" s="16"/>
    </row>
    <row r="78" ht="15.75" customHeight="1">
      <c r="A78" s="67" t="str">
        <f t="shared" si="38"/>
        <v>Reducer Tee (SCH-80)2 x 2 x 3⁄4</v>
      </c>
      <c r="B78" s="90">
        <v>12.0</v>
      </c>
      <c r="C78" s="152" t="s">
        <v>231</v>
      </c>
      <c r="D78" s="152" t="s">
        <v>232</v>
      </c>
      <c r="E78" s="112" t="s">
        <v>1227</v>
      </c>
      <c r="F78" s="56">
        <v>198.0</v>
      </c>
      <c r="G78" s="76">
        <f>IFERROR(__xludf.DUMMYFUNCTION("ArrayFormula(IFERROR(VLOOKUP(E78,IMPORTRANGE(""https://docs.google.com/spreadsheets/d/1xZyKy-UzMmtPDLpV5jQdYum1LtbR8XKDuasLSjmBRMI/edit#gid=1241094406"",""COMBINED DATA!E3:L""),{7,8},0)))"),0.38680000000000003)</f>
        <v>0.3868</v>
      </c>
      <c r="H78" s="76">
        <f>IFERROR(__xludf.DUMMYFUNCTION("""COMPUTED_VALUE"""),0.0)</f>
        <v>0</v>
      </c>
      <c r="I78" s="76">
        <f t="shared" si="39"/>
        <v>0.3868</v>
      </c>
      <c r="J78" s="84">
        <f t="shared" si="40"/>
        <v>511.8924509</v>
      </c>
      <c r="K78" s="85">
        <f t="shared" si="41"/>
        <v>38.68</v>
      </c>
      <c r="L78" s="85">
        <f t="shared" si="42"/>
        <v>0</v>
      </c>
      <c r="M78" s="85">
        <f t="shared" si="43"/>
        <v>38.68</v>
      </c>
      <c r="N78" s="85">
        <f t="shared" si="7"/>
        <v>5.118924509</v>
      </c>
      <c r="O78" s="310">
        <v>198.0</v>
      </c>
      <c r="P78" s="75"/>
      <c r="Q78" s="85"/>
      <c r="R78" s="85"/>
      <c r="S78" s="20"/>
      <c r="T78" s="20"/>
      <c r="U78" s="16"/>
      <c r="V78" s="16"/>
      <c r="W78" s="16"/>
      <c r="X78" s="16"/>
      <c r="Y78" s="16"/>
      <c r="Z78" s="16"/>
    </row>
    <row r="79" ht="15.75" customHeight="1">
      <c r="A79" s="67" t="str">
        <f t="shared" si="38"/>
        <v>Reducer Tee (SCH-80)2 x 2 x 1</v>
      </c>
      <c r="B79" s="90">
        <v>13.0</v>
      </c>
      <c r="C79" s="152" t="s">
        <v>235</v>
      </c>
      <c r="D79" s="152" t="s">
        <v>236</v>
      </c>
      <c r="E79" s="112" t="s">
        <v>1228</v>
      </c>
      <c r="F79" s="56">
        <v>208.0</v>
      </c>
      <c r="G79" s="76">
        <f>IFERROR(__xludf.DUMMYFUNCTION("ArrayFormula(IFERROR(VLOOKUP(E79,IMPORTRANGE(""https://docs.google.com/spreadsheets/d/1xZyKy-UzMmtPDLpV5jQdYum1LtbR8XKDuasLSjmBRMI/edit#gid=1241094406"",""COMBINED DATA!E3:L""),{7,8},0)))"),0.39947000000000005)</f>
        <v>0.39947</v>
      </c>
      <c r="H79" s="76">
        <f>IFERROR(__xludf.DUMMYFUNCTION("""COMPUTED_VALUE"""),0.0)</f>
        <v>0</v>
      </c>
      <c r="I79" s="76">
        <f t="shared" si="39"/>
        <v>0.39947</v>
      </c>
      <c r="J79" s="84">
        <f t="shared" si="40"/>
        <v>520.6899141</v>
      </c>
      <c r="K79" s="85">
        <f t="shared" si="41"/>
        <v>39.947</v>
      </c>
      <c r="L79" s="85">
        <f t="shared" si="42"/>
        <v>0</v>
      </c>
      <c r="M79" s="85">
        <f t="shared" si="43"/>
        <v>39.947</v>
      </c>
      <c r="N79" s="85">
        <f t="shared" si="7"/>
        <v>5.206899141</v>
      </c>
      <c r="O79" s="310">
        <v>208.0</v>
      </c>
      <c r="P79" s="75"/>
      <c r="Q79" s="85"/>
      <c r="R79" s="85"/>
      <c r="S79" s="20"/>
      <c r="T79" s="20"/>
      <c r="U79" s="16"/>
      <c r="V79" s="16"/>
      <c r="W79" s="16"/>
      <c r="X79" s="16"/>
      <c r="Y79" s="16"/>
      <c r="Z79" s="16"/>
    </row>
    <row r="80" ht="15.75" customHeight="1">
      <c r="A80" s="67" t="str">
        <f t="shared" si="38"/>
        <v>Reducer Tee (SCH-80)2 x 2 x 1 1⁄4</v>
      </c>
      <c r="B80" s="90">
        <v>14.0</v>
      </c>
      <c r="C80" s="152" t="s">
        <v>238</v>
      </c>
      <c r="D80" s="152" t="s">
        <v>239</v>
      </c>
      <c r="E80" s="112" t="s">
        <v>1230</v>
      </c>
      <c r="F80" s="56">
        <v>196.0</v>
      </c>
      <c r="G80" s="76">
        <f>IFERROR(__xludf.DUMMYFUNCTION("ArrayFormula(IFERROR(VLOOKUP(E80,IMPORTRANGE(""https://docs.google.com/spreadsheets/d/1xZyKy-UzMmtPDLpV5jQdYum1LtbR8XKDuasLSjmBRMI/edit#gid=1241094406"",""COMBINED DATA!E3:L""),{7,8},0)))"),0.38239999999999996)</f>
        <v>0.3824</v>
      </c>
      <c r="H80" s="76">
        <f>IFERROR(__xludf.DUMMYFUNCTION("""COMPUTED_VALUE"""),0.0)</f>
        <v>0</v>
      </c>
      <c r="I80" s="76">
        <f t="shared" si="39"/>
        <v>0.3824</v>
      </c>
      <c r="J80" s="84">
        <f t="shared" si="40"/>
        <v>512.5523013</v>
      </c>
      <c r="K80" s="85">
        <f t="shared" si="41"/>
        <v>38.24</v>
      </c>
      <c r="L80" s="85">
        <f t="shared" si="42"/>
        <v>0</v>
      </c>
      <c r="M80" s="85">
        <f t="shared" si="43"/>
        <v>38.24</v>
      </c>
      <c r="N80" s="85">
        <f t="shared" si="7"/>
        <v>5.125523013</v>
      </c>
      <c r="O80" s="310">
        <v>196.0</v>
      </c>
      <c r="P80" s="75"/>
      <c r="Q80" s="85"/>
      <c r="R80" s="85"/>
      <c r="S80" s="20"/>
      <c r="T80" s="20"/>
      <c r="U80" s="16"/>
      <c r="V80" s="16"/>
      <c r="W80" s="16"/>
      <c r="X80" s="16"/>
      <c r="Y80" s="16"/>
      <c r="Z80" s="16"/>
    </row>
    <row r="81" ht="15.75" customHeight="1">
      <c r="A81" s="67" t="str">
        <f t="shared" si="38"/>
        <v>Reducer Tee (SCH-80)2 x 1 1⁄2 x 2</v>
      </c>
      <c r="B81" s="90">
        <v>15.0</v>
      </c>
      <c r="C81" s="152" t="s">
        <v>1231</v>
      </c>
      <c r="D81" s="152" t="s">
        <v>243</v>
      </c>
      <c r="E81" s="112" t="s">
        <v>1232</v>
      </c>
      <c r="F81" s="56">
        <v>152.0</v>
      </c>
      <c r="G81" s="76">
        <f>IFERROR(__xludf.DUMMYFUNCTION("ArrayFormula(IFERROR(VLOOKUP(E81,IMPORTRANGE(""https://docs.google.com/spreadsheets/d/1xZyKy-UzMmtPDLpV5jQdYum1LtbR8XKDuasLSjmBRMI/edit#gid=1241094406"",""COMBINED DATA!E3:L""),{7,8},0)))"),0.277)</f>
        <v>0.277</v>
      </c>
      <c r="H81" s="76">
        <f>IFERROR(__xludf.DUMMYFUNCTION("""COMPUTED_VALUE"""),0.0)</f>
        <v>0</v>
      </c>
      <c r="I81" s="76">
        <f t="shared" si="39"/>
        <v>0.277</v>
      </c>
      <c r="J81" s="84">
        <f t="shared" si="40"/>
        <v>548.7364621</v>
      </c>
      <c r="K81" s="85">
        <f t="shared" si="41"/>
        <v>27.7</v>
      </c>
      <c r="L81" s="85">
        <f t="shared" si="42"/>
        <v>0</v>
      </c>
      <c r="M81" s="85">
        <f t="shared" si="43"/>
        <v>27.7</v>
      </c>
      <c r="N81" s="85">
        <f t="shared" si="7"/>
        <v>5.487364621</v>
      </c>
      <c r="O81" s="310">
        <v>152.0</v>
      </c>
      <c r="P81" s="75"/>
      <c r="Q81" s="85"/>
      <c r="R81" s="85"/>
      <c r="S81" s="20"/>
      <c r="T81" s="20"/>
      <c r="U81" s="16"/>
      <c r="V81" s="16"/>
      <c r="W81" s="16"/>
      <c r="X81" s="16"/>
      <c r="Y81" s="16"/>
      <c r="Z81" s="16"/>
    </row>
    <row r="82">
      <c r="A82" s="34"/>
      <c r="B82" s="237" t="s">
        <v>11</v>
      </c>
      <c r="C82" s="45"/>
      <c r="D82" s="45"/>
      <c r="E82" s="46"/>
      <c r="F82" s="103">
        <f>SUM(F67:F81)</f>
        <v>1634.8</v>
      </c>
      <c r="G82" s="250"/>
      <c r="H82" s="243"/>
      <c r="I82" s="243"/>
      <c r="J82" s="243"/>
      <c r="K82" s="85"/>
      <c r="L82" s="85"/>
      <c r="M82" s="85"/>
      <c r="N82" s="85" t="str">
        <f t="shared" si="7"/>
        <v/>
      </c>
      <c r="O82" s="103">
        <f>SUM(O67:O81)</f>
        <v>1634.8</v>
      </c>
      <c r="P82" s="307"/>
      <c r="Q82" s="85"/>
      <c r="R82" s="85"/>
      <c r="S82" s="15"/>
      <c r="T82" s="15"/>
      <c r="U82" s="243"/>
      <c r="V82" s="243"/>
      <c r="W82" s="243"/>
      <c r="X82" s="243"/>
      <c r="Y82" s="243"/>
      <c r="Z82" s="243"/>
    </row>
    <row r="83" ht="6.0" customHeight="1">
      <c r="A83" s="34"/>
      <c r="B83" s="15"/>
      <c r="C83" s="15"/>
      <c r="D83" s="15"/>
      <c r="E83" s="17"/>
      <c r="F83" s="15"/>
      <c r="G83" s="250"/>
      <c r="H83" s="243"/>
      <c r="I83" s="243"/>
      <c r="J83" s="243"/>
      <c r="K83" s="85"/>
      <c r="L83" s="85"/>
      <c r="M83" s="85"/>
      <c r="N83" s="85" t="str">
        <f t="shared" si="7"/>
        <v/>
      </c>
      <c r="O83" s="29"/>
      <c r="P83" s="307"/>
      <c r="Q83" s="85"/>
      <c r="R83" s="85"/>
      <c r="S83" s="15"/>
      <c r="T83" s="15"/>
      <c r="U83" s="243"/>
      <c r="V83" s="243"/>
      <c r="W83" s="243"/>
      <c r="X83" s="243"/>
      <c r="Y83" s="243"/>
      <c r="Z83" s="243"/>
    </row>
    <row r="84" ht="22.5" customHeight="1">
      <c r="A84" s="34"/>
      <c r="B84" s="62" t="s">
        <v>1234</v>
      </c>
      <c r="C84" s="45"/>
      <c r="D84" s="45"/>
      <c r="E84" s="45"/>
      <c r="F84" s="46"/>
      <c r="G84" s="250"/>
      <c r="H84" s="243"/>
      <c r="I84" s="243"/>
      <c r="J84" s="243"/>
      <c r="K84" s="85"/>
      <c r="L84" s="85"/>
      <c r="M84" s="85"/>
      <c r="N84" s="85" t="str">
        <f t="shared" si="7"/>
        <v/>
      </c>
      <c r="O84" s="29"/>
      <c r="P84" s="307"/>
      <c r="Q84" s="85"/>
      <c r="R84" s="85"/>
      <c r="S84" s="15"/>
      <c r="T84" s="15"/>
      <c r="U84" s="243"/>
      <c r="V84" s="243"/>
      <c r="W84" s="243"/>
      <c r="X84" s="243"/>
      <c r="Y84" s="243"/>
      <c r="Z84" s="243"/>
    </row>
    <row r="85" ht="15.75" customHeight="1">
      <c r="A85" s="67" t="str">
        <f t="shared" ref="A85:A93" si="44">$B$84&amp;C85</f>
        <v>Union (SCH-80)1⁄2</v>
      </c>
      <c r="B85" s="68">
        <v>1.0</v>
      </c>
      <c r="C85" s="70" t="s">
        <v>43</v>
      </c>
      <c r="D85" s="70">
        <v>15.0</v>
      </c>
      <c r="E85" s="129" t="s">
        <v>1235</v>
      </c>
      <c r="F85" s="56">
        <v>30.2</v>
      </c>
      <c r="G85" s="76">
        <f>IFERROR(__xludf.DUMMYFUNCTION("ArrayFormula(IFERROR(VLOOKUP(E85,IMPORTRANGE(""https://docs.google.com/spreadsheets/d/1xZyKy-UzMmtPDLpV5jQdYum1LtbR8XKDuasLSjmBRMI/edit#gid=1241094406"",""COMBINED DATA!E3:L""),{7,8},0)))"),0.05695)</f>
        <v>0.05695</v>
      </c>
      <c r="H85" s="76">
        <f>IFERROR(__xludf.DUMMYFUNCTION("""COMPUTED_VALUE"""),4.0E-4)</f>
        <v>0.0004</v>
      </c>
      <c r="I85" s="76">
        <f t="shared" ref="I85:I93" si="45">G85+H85</f>
        <v>0.05735</v>
      </c>
      <c r="J85" s="84">
        <f t="shared" ref="J85:J93" si="46">IFERROR(F85/I85,"")</f>
        <v>526.5911072</v>
      </c>
      <c r="K85" s="85">
        <f t="shared" ref="K85:K93" si="47">IFERROR(G85*100,)</f>
        <v>5.695</v>
      </c>
      <c r="L85" s="85">
        <f t="shared" ref="L85:L93" si="48">IFERROR(H85*725,)</f>
        <v>0.29</v>
      </c>
      <c r="M85" s="85">
        <f t="shared" ref="M85:M93" si="49">IFERROR(K85+L85,"")</f>
        <v>5.985</v>
      </c>
      <c r="N85" s="85">
        <f t="shared" si="7"/>
        <v>5.045948204</v>
      </c>
      <c r="O85" s="310">
        <v>30.2</v>
      </c>
      <c r="P85" s="317"/>
      <c r="Q85" s="85"/>
      <c r="R85" s="85"/>
      <c r="S85" s="20"/>
      <c r="T85" s="20"/>
      <c r="U85" s="16"/>
      <c r="V85" s="16"/>
      <c r="W85" s="16"/>
      <c r="X85" s="16"/>
      <c r="Y85" s="16"/>
      <c r="Z85" s="16"/>
    </row>
    <row r="86" ht="15.75" customHeight="1">
      <c r="A86" s="67" t="str">
        <f t="shared" si="44"/>
        <v>Union (SCH-80)3⁄4</v>
      </c>
      <c r="B86" s="90">
        <v>2.0</v>
      </c>
      <c r="C86" s="92" t="s">
        <v>51</v>
      </c>
      <c r="D86" s="92">
        <v>20.0</v>
      </c>
      <c r="E86" s="94" t="s">
        <v>1236</v>
      </c>
      <c r="F86" s="56">
        <v>40.6</v>
      </c>
      <c r="G86" s="76">
        <f>IFERROR(__xludf.DUMMYFUNCTION("ArrayFormula(IFERROR(VLOOKUP(E86,IMPORTRANGE(""https://docs.google.com/spreadsheets/d/1xZyKy-UzMmtPDLpV5jQdYum1LtbR8XKDuasLSjmBRMI/edit#gid=1241094406"",""COMBINED DATA!E3:L""),{7,8},0)))"),0.07684999999999999)</f>
        <v>0.07685</v>
      </c>
      <c r="H86" s="76">
        <f>IFERROR(__xludf.DUMMYFUNCTION("""COMPUTED_VALUE"""),0.0016)</f>
        <v>0.0016</v>
      </c>
      <c r="I86" s="76">
        <f t="shared" si="45"/>
        <v>0.07845</v>
      </c>
      <c r="J86" s="84">
        <f t="shared" si="46"/>
        <v>517.5270873</v>
      </c>
      <c r="K86" s="85">
        <f t="shared" si="47"/>
        <v>7.685</v>
      </c>
      <c r="L86" s="85">
        <f t="shared" si="48"/>
        <v>1.16</v>
      </c>
      <c r="M86" s="85">
        <f t="shared" si="49"/>
        <v>8.845</v>
      </c>
      <c r="N86" s="85">
        <f t="shared" si="7"/>
        <v>4.590163934</v>
      </c>
      <c r="O86" s="310">
        <v>40.6</v>
      </c>
      <c r="P86" s="317"/>
      <c r="Q86" s="85"/>
      <c r="R86" s="85"/>
      <c r="S86" s="20"/>
      <c r="T86" s="20"/>
      <c r="U86" s="16"/>
      <c r="V86" s="16"/>
      <c r="W86" s="16"/>
      <c r="X86" s="16"/>
      <c r="Y86" s="16"/>
      <c r="Z86" s="16"/>
    </row>
    <row r="87" ht="15.75" customHeight="1">
      <c r="A87" s="67" t="str">
        <f t="shared" si="44"/>
        <v>Union (SCH-80)1</v>
      </c>
      <c r="B87" s="90">
        <v>3.0</v>
      </c>
      <c r="C87" s="92">
        <v>1.0</v>
      </c>
      <c r="D87" s="92">
        <v>25.0</v>
      </c>
      <c r="E87" s="94" t="s">
        <v>1237</v>
      </c>
      <c r="F87" s="56">
        <v>56.8</v>
      </c>
      <c r="G87" s="76">
        <f>IFERROR(__xludf.DUMMYFUNCTION("ArrayFormula(IFERROR(VLOOKUP(E87,IMPORTRANGE(""https://docs.google.com/spreadsheets/d/1xZyKy-UzMmtPDLpV5jQdYum1LtbR8XKDuasLSjmBRMI/edit#gid=1241094406"",""COMBINED DATA!E3:L""),{7,8},0)))"),0.10765000000000001)</f>
        <v>0.10765</v>
      </c>
      <c r="H87" s="76">
        <f>IFERROR(__xludf.DUMMYFUNCTION("""COMPUTED_VALUE"""),0.0019)</f>
        <v>0.0019</v>
      </c>
      <c r="I87" s="76">
        <f t="shared" si="45"/>
        <v>0.10955</v>
      </c>
      <c r="J87" s="84">
        <f t="shared" si="46"/>
        <v>518.4847102</v>
      </c>
      <c r="K87" s="85">
        <f t="shared" si="47"/>
        <v>10.765</v>
      </c>
      <c r="L87" s="85">
        <f t="shared" si="48"/>
        <v>1.3775</v>
      </c>
      <c r="M87" s="85">
        <f t="shared" si="49"/>
        <v>12.1425</v>
      </c>
      <c r="N87" s="85">
        <f t="shared" si="7"/>
        <v>4.677784641</v>
      </c>
      <c r="O87" s="310">
        <v>56.8</v>
      </c>
      <c r="P87" s="317"/>
      <c r="Q87" s="85"/>
      <c r="R87" s="85"/>
      <c r="S87" s="20"/>
      <c r="T87" s="20"/>
      <c r="U87" s="16"/>
      <c r="V87" s="16"/>
      <c r="W87" s="16"/>
      <c r="X87" s="16"/>
      <c r="Y87" s="16"/>
      <c r="Z87" s="16"/>
    </row>
    <row r="88" ht="15.75" customHeight="1">
      <c r="A88" s="67" t="str">
        <f t="shared" si="44"/>
        <v>Union (SCH-80)1 1⁄4</v>
      </c>
      <c r="B88" s="90">
        <v>4.0</v>
      </c>
      <c r="C88" s="92" t="s">
        <v>55</v>
      </c>
      <c r="D88" s="92">
        <v>32.0</v>
      </c>
      <c r="E88" s="94" t="s">
        <v>1238</v>
      </c>
      <c r="F88" s="56">
        <v>87.2</v>
      </c>
      <c r="G88" s="76">
        <f>IFERROR(__xludf.DUMMYFUNCTION("ArrayFormula(IFERROR(VLOOKUP(E88,IMPORTRANGE(""https://docs.google.com/spreadsheets/d/1xZyKy-UzMmtPDLpV5jQdYum1LtbR8XKDuasLSjmBRMI/edit#gid=1241094406"",""COMBINED DATA!E3:L""),{7,8},0)))"),0.164)</f>
        <v>0.164</v>
      </c>
      <c r="H88" s="76">
        <f>IFERROR(__xludf.DUMMYFUNCTION("""COMPUTED_VALUE"""),0.0036)</f>
        <v>0.0036</v>
      </c>
      <c r="I88" s="76">
        <f t="shared" si="45"/>
        <v>0.1676</v>
      </c>
      <c r="J88" s="84">
        <f t="shared" si="46"/>
        <v>520.2863962</v>
      </c>
      <c r="K88" s="85">
        <f t="shared" si="47"/>
        <v>16.4</v>
      </c>
      <c r="L88" s="85">
        <f t="shared" si="48"/>
        <v>2.61</v>
      </c>
      <c r="M88" s="85">
        <f t="shared" si="49"/>
        <v>19.01</v>
      </c>
      <c r="N88" s="85">
        <f t="shared" si="7"/>
        <v>4.587059442</v>
      </c>
      <c r="O88" s="310">
        <v>87.2</v>
      </c>
      <c r="P88" s="317"/>
      <c r="Q88" s="85"/>
      <c r="R88" s="85"/>
      <c r="S88" s="20"/>
      <c r="T88" s="20"/>
      <c r="U88" s="16"/>
      <c r="V88" s="16"/>
      <c r="W88" s="16"/>
      <c r="X88" s="16"/>
      <c r="Y88" s="16"/>
      <c r="Z88" s="16"/>
    </row>
    <row r="89" ht="15.75" customHeight="1">
      <c r="A89" s="67" t="str">
        <f t="shared" si="44"/>
        <v>Union (SCH-80)1 1⁄2</v>
      </c>
      <c r="B89" s="90">
        <v>5.0</v>
      </c>
      <c r="C89" s="92" t="s">
        <v>56</v>
      </c>
      <c r="D89" s="92">
        <v>40.0</v>
      </c>
      <c r="E89" s="94" t="s">
        <v>1239</v>
      </c>
      <c r="F89" s="56">
        <v>150.8</v>
      </c>
      <c r="G89" s="76">
        <f>IFERROR(__xludf.DUMMYFUNCTION("ArrayFormula(IFERROR(VLOOKUP(E89,IMPORTRANGE(""https://docs.google.com/spreadsheets/d/1xZyKy-UzMmtPDLpV5jQdYum1LtbR8XKDuasLSjmBRMI/edit#gid=1241094406"",""COMBINED DATA!E3:L""),{7,8},0)))"),0.2865)</f>
        <v>0.2865</v>
      </c>
      <c r="H89" s="76">
        <f>IFERROR(__xludf.DUMMYFUNCTION("""COMPUTED_VALUE"""),0.0033)</f>
        <v>0.0033</v>
      </c>
      <c r="I89" s="76">
        <f t="shared" si="45"/>
        <v>0.2898</v>
      </c>
      <c r="J89" s="84">
        <f t="shared" si="46"/>
        <v>520.3588682</v>
      </c>
      <c r="K89" s="85">
        <f t="shared" si="47"/>
        <v>28.65</v>
      </c>
      <c r="L89" s="85">
        <f t="shared" si="48"/>
        <v>2.3925</v>
      </c>
      <c r="M89" s="85">
        <f t="shared" si="49"/>
        <v>31.0425</v>
      </c>
      <c r="N89" s="85">
        <f t="shared" si="7"/>
        <v>4.857856165</v>
      </c>
      <c r="O89" s="310">
        <v>150.8</v>
      </c>
      <c r="P89" s="317"/>
      <c r="Q89" s="85"/>
      <c r="R89" s="85"/>
      <c r="S89" s="20"/>
      <c r="T89" s="20"/>
      <c r="U89" s="16"/>
      <c r="V89" s="16"/>
      <c r="W89" s="16"/>
      <c r="X89" s="16"/>
      <c r="Y89" s="16"/>
      <c r="Z89" s="16"/>
    </row>
    <row r="90" ht="15.75" customHeight="1">
      <c r="A90" s="67" t="str">
        <f t="shared" si="44"/>
        <v>Union (SCH-80)2</v>
      </c>
      <c r="B90" s="90">
        <v>6.0</v>
      </c>
      <c r="C90" s="127">
        <v>2.0</v>
      </c>
      <c r="D90" s="127">
        <v>50.0</v>
      </c>
      <c r="E90" s="112" t="s">
        <v>1241</v>
      </c>
      <c r="F90" s="56">
        <v>261.2</v>
      </c>
      <c r="G90" s="76">
        <f>IFERROR(__xludf.DUMMYFUNCTION("ArrayFormula(IFERROR(VLOOKUP(E90,IMPORTRANGE(""https://docs.google.com/spreadsheets/d/1xZyKy-UzMmtPDLpV5jQdYum1LtbR8XKDuasLSjmBRMI/edit#gid=1241094406"",""COMBINED DATA!E3:L""),{7,8},0)))"),0.5009)</f>
        <v>0.5009</v>
      </c>
      <c r="H90" s="76">
        <f>IFERROR(__xludf.DUMMYFUNCTION("""COMPUTED_VALUE"""),0.0043)</f>
        <v>0.0043</v>
      </c>
      <c r="I90" s="76">
        <f t="shared" si="45"/>
        <v>0.5052</v>
      </c>
      <c r="J90" s="84">
        <f t="shared" si="46"/>
        <v>517.0229612</v>
      </c>
      <c r="K90" s="85">
        <f t="shared" si="47"/>
        <v>50.09</v>
      </c>
      <c r="L90" s="85">
        <f t="shared" si="48"/>
        <v>3.1175</v>
      </c>
      <c r="M90" s="85">
        <f t="shared" si="49"/>
        <v>53.2075</v>
      </c>
      <c r="N90" s="85">
        <f t="shared" si="7"/>
        <v>4.909082366</v>
      </c>
      <c r="O90" s="310">
        <v>261.2</v>
      </c>
      <c r="P90" s="317"/>
      <c r="Q90" s="85"/>
      <c r="R90" s="85"/>
      <c r="S90" s="20"/>
      <c r="T90" s="20"/>
      <c r="U90" s="16"/>
      <c r="V90" s="16"/>
      <c r="W90" s="16"/>
      <c r="X90" s="16"/>
      <c r="Y90" s="16"/>
      <c r="Z90" s="16"/>
    </row>
    <row r="91" ht="15.75" customHeight="1">
      <c r="A91" s="67" t="str">
        <f t="shared" si="44"/>
        <v>Union (SCH-80)2 1⁄2</v>
      </c>
      <c r="B91" s="90">
        <v>7.0</v>
      </c>
      <c r="C91" s="127" t="s">
        <v>69</v>
      </c>
      <c r="D91" s="127">
        <v>65.0</v>
      </c>
      <c r="E91" s="112" t="s">
        <v>1242</v>
      </c>
      <c r="F91" s="181">
        <v>498.0</v>
      </c>
      <c r="G91" s="76">
        <f>IFERROR(__xludf.DUMMYFUNCTION("ArrayFormula(IFERROR(VLOOKUP(E91,IMPORTRANGE(""https://docs.google.com/spreadsheets/d/1xZyKy-UzMmtPDLpV5jQdYum1LtbR8XKDuasLSjmBRMI/edit#gid=1241094406"",""COMBINED DATA!E3:L""),{7,8},0)))"),0.873)</f>
        <v>0.873</v>
      </c>
      <c r="H91" s="76">
        <f>IFERROR(__xludf.DUMMYFUNCTION("""COMPUTED_VALUE"""),0.006)</f>
        <v>0.006</v>
      </c>
      <c r="I91" s="76">
        <f t="shared" si="45"/>
        <v>0.879</v>
      </c>
      <c r="J91" s="84">
        <f t="shared" si="46"/>
        <v>566.552901</v>
      </c>
      <c r="K91" s="85">
        <f t="shared" si="47"/>
        <v>87.3</v>
      </c>
      <c r="L91" s="85">
        <f t="shared" si="48"/>
        <v>4.35</v>
      </c>
      <c r="M91" s="85">
        <f t="shared" si="49"/>
        <v>91.65</v>
      </c>
      <c r="N91" s="85">
        <f t="shared" si="7"/>
        <v>5.433715221</v>
      </c>
      <c r="O91" s="310">
        <v>498.0</v>
      </c>
      <c r="P91" s="75"/>
      <c r="Q91" s="85"/>
      <c r="R91" s="85"/>
      <c r="S91" s="20"/>
      <c r="T91" s="20"/>
      <c r="U91" s="16"/>
      <c r="V91" s="16"/>
      <c r="W91" s="16"/>
      <c r="X91" s="16"/>
      <c r="Y91" s="16"/>
      <c r="Z91" s="16"/>
    </row>
    <row r="92" ht="15.75" customHeight="1">
      <c r="A92" s="67" t="str">
        <f t="shared" si="44"/>
        <v>Union (SCH-80)3</v>
      </c>
      <c r="B92" s="90">
        <v>8.0</v>
      </c>
      <c r="C92" s="127">
        <v>3.0</v>
      </c>
      <c r="D92" s="127">
        <v>80.0</v>
      </c>
      <c r="E92" s="112" t="s">
        <v>1244</v>
      </c>
      <c r="F92" s="181">
        <v>768.0</v>
      </c>
      <c r="G92" s="76">
        <f>IFERROR(__xludf.DUMMYFUNCTION("ArrayFormula(IFERROR(VLOOKUP(E92,IMPORTRANGE(""https://docs.google.com/spreadsheets/d/1xZyKy-UzMmtPDLpV5jQdYum1LtbR8XKDuasLSjmBRMI/edit#gid=1241094406"",""COMBINED DATA!E3:L""),{7,8},0)))"),1.3399)</f>
        <v>1.3399</v>
      </c>
      <c r="H92" s="76">
        <f>IFERROR(__xludf.DUMMYFUNCTION("""COMPUTED_VALUE"""),0.0068)</f>
        <v>0.0068</v>
      </c>
      <c r="I92" s="76">
        <f t="shared" si="45"/>
        <v>1.3467</v>
      </c>
      <c r="J92" s="84">
        <f t="shared" si="46"/>
        <v>570.2829138</v>
      </c>
      <c r="K92" s="85">
        <f t="shared" si="47"/>
        <v>133.99</v>
      </c>
      <c r="L92" s="85">
        <f t="shared" si="48"/>
        <v>4.93</v>
      </c>
      <c r="M92" s="85">
        <f t="shared" si="49"/>
        <v>138.92</v>
      </c>
      <c r="N92" s="85">
        <f t="shared" si="7"/>
        <v>5.528361647</v>
      </c>
      <c r="O92" s="310">
        <v>768.0</v>
      </c>
      <c r="P92" s="75"/>
      <c r="Q92" s="85"/>
      <c r="R92" s="85"/>
      <c r="S92" s="20"/>
      <c r="T92" s="20"/>
      <c r="U92" s="16"/>
      <c r="V92" s="16"/>
      <c r="W92" s="16"/>
      <c r="X92" s="16"/>
      <c r="Y92" s="16"/>
      <c r="Z92" s="16"/>
    </row>
    <row r="93" ht="15.75" customHeight="1">
      <c r="A93" s="67" t="str">
        <f t="shared" si="44"/>
        <v>Union (SCH-80)4</v>
      </c>
      <c r="B93" s="90">
        <v>9.0</v>
      </c>
      <c r="C93" s="127">
        <v>4.0</v>
      </c>
      <c r="D93" s="127">
        <v>100.0</v>
      </c>
      <c r="E93" s="112" t="s">
        <v>1246</v>
      </c>
      <c r="F93" s="181">
        <v>1340.0</v>
      </c>
      <c r="G93" s="76">
        <f>IFERROR(__xludf.DUMMYFUNCTION("ArrayFormula(IFERROR(VLOOKUP(E93,IMPORTRANGE(""https://docs.google.com/spreadsheets/d/1xZyKy-UzMmtPDLpV5jQdYum1LtbR8XKDuasLSjmBRMI/edit#gid=1241094406"",""COMBINED DATA!E3:L""),{7,8},0)))"),2.271)</f>
        <v>2.271</v>
      </c>
      <c r="H93" s="76">
        <f>IFERROR(__xludf.DUMMYFUNCTION("""COMPUTED_VALUE"""),0.009)</f>
        <v>0.009</v>
      </c>
      <c r="I93" s="76">
        <f t="shared" si="45"/>
        <v>2.28</v>
      </c>
      <c r="J93" s="84">
        <f t="shared" si="46"/>
        <v>587.7192982</v>
      </c>
      <c r="K93" s="85">
        <f t="shared" si="47"/>
        <v>227.1</v>
      </c>
      <c r="L93" s="85">
        <f t="shared" si="48"/>
        <v>6.525</v>
      </c>
      <c r="M93" s="85">
        <f t="shared" si="49"/>
        <v>233.625</v>
      </c>
      <c r="N93" s="85">
        <f t="shared" si="7"/>
        <v>5.735687533</v>
      </c>
      <c r="O93" s="310">
        <v>1340.0</v>
      </c>
      <c r="P93" s="75"/>
      <c r="Q93" s="85"/>
      <c r="R93" s="85"/>
      <c r="S93" s="20"/>
      <c r="T93" s="20"/>
      <c r="U93" s="16"/>
      <c r="V93" s="16"/>
      <c r="W93" s="16"/>
      <c r="X93" s="16"/>
      <c r="Y93" s="16"/>
      <c r="Z93" s="16"/>
    </row>
    <row r="94">
      <c r="A94" s="34"/>
      <c r="B94" s="237" t="s">
        <v>11</v>
      </c>
      <c r="C94" s="45"/>
      <c r="D94" s="45"/>
      <c r="E94" s="46"/>
      <c r="F94" s="103">
        <f>sum(F85:F93)</f>
        <v>3232.8</v>
      </c>
      <c r="G94" s="250"/>
      <c r="H94" s="243"/>
      <c r="I94" s="243"/>
      <c r="J94" s="243"/>
      <c r="K94" s="85"/>
      <c r="L94" s="85"/>
      <c r="M94" s="85"/>
      <c r="N94" s="85" t="str">
        <f t="shared" si="7"/>
        <v/>
      </c>
      <c r="O94" s="103">
        <f>sum(O85:O93)</f>
        <v>3232.8</v>
      </c>
      <c r="P94" s="307"/>
      <c r="Q94" s="85"/>
      <c r="R94" s="85"/>
      <c r="S94" s="15"/>
      <c r="T94" s="15"/>
      <c r="U94" s="243"/>
      <c r="V94" s="243"/>
      <c r="W94" s="243"/>
      <c r="X94" s="243"/>
      <c r="Y94" s="243"/>
      <c r="Z94" s="243"/>
    </row>
    <row r="95" ht="6.0" customHeight="1">
      <c r="A95" s="34"/>
      <c r="B95" s="15"/>
      <c r="C95" s="15"/>
      <c r="D95" s="15"/>
      <c r="E95" s="17"/>
      <c r="F95" s="15"/>
      <c r="G95" s="250"/>
      <c r="H95" s="243"/>
      <c r="I95" s="243"/>
      <c r="J95" s="243"/>
      <c r="K95" s="85"/>
      <c r="L95" s="85"/>
      <c r="M95" s="85"/>
      <c r="N95" s="85" t="str">
        <f t="shared" si="7"/>
        <v/>
      </c>
      <c r="O95" s="29"/>
      <c r="P95" s="307"/>
      <c r="Q95" s="85"/>
      <c r="R95" s="85"/>
      <c r="S95" s="15"/>
      <c r="T95" s="15"/>
      <c r="U95" s="243"/>
      <c r="V95" s="243"/>
      <c r="W95" s="243"/>
      <c r="X95" s="243"/>
      <c r="Y95" s="243"/>
      <c r="Z95" s="243"/>
    </row>
    <row r="96" ht="22.5" customHeight="1">
      <c r="A96" s="34"/>
      <c r="B96" s="62" t="s">
        <v>443</v>
      </c>
      <c r="C96" s="45"/>
      <c r="D96" s="45"/>
      <c r="E96" s="45"/>
      <c r="F96" s="46"/>
      <c r="G96" s="250"/>
      <c r="H96" s="243"/>
      <c r="I96" s="243"/>
      <c r="J96" s="243"/>
      <c r="K96" s="85"/>
      <c r="L96" s="85"/>
      <c r="M96" s="85"/>
      <c r="N96" s="85" t="str">
        <f t="shared" si="7"/>
        <v/>
      </c>
      <c r="O96" s="29"/>
      <c r="P96" s="307"/>
      <c r="Q96" s="85"/>
      <c r="R96" s="85"/>
      <c r="S96" s="15"/>
      <c r="T96" s="15"/>
      <c r="U96" s="243"/>
      <c r="V96" s="243"/>
      <c r="W96" s="243"/>
      <c r="X96" s="243"/>
      <c r="Y96" s="243"/>
      <c r="Z96" s="243"/>
    </row>
    <row r="97" ht="15.75" customHeight="1">
      <c r="A97" s="67" t="str">
        <f t="shared" ref="A97:A111" si="50">$B$96&amp;C97</f>
        <v>Reducer Bushing (SCH-80)3⁄4 x 3⁄4 x 1⁄2</v>
      </c>
      <c r="B97" s="68">
        <v>1.0</v>
      </c>
      <c r="C97" s="321" t="s">
        <v>204</v>
      </c>
      <c r="D97" s="321" t="s">
        <v>205</v>
      </c>
      <c r="E97" s="129" t="s">
        <v>793</v>
      </c>
      <c r="F97" s="56">
        <v>5.9</v>
      </c>
      <c r="G97" s="76">
        <f>IFERROR(__xludf.DUMMYFUNCTION("ArrayFormula(IFERROR(VLOOKUP(E97,IMPORTRANGE(""https://docs.google.com/spreadsheets/d/1xZyKy-UzMmtPDLpV5jQdYum1LtbR8XKDuasLSjmBRMI/edit#gid=1241094406"",""COMBINED DATA!E3:L""),{7,8},0)))"),0.01)</f>
        <v>0.01</v>
      </c>
      <c r="H97" s="76">
        <f>IFERROR(__xludf.DUMMYFUNCTION("""COMPUTED_VALUE"""),0.0)</f>
        <v>0</v>
      </c>
      <c r="I97" s="76">
        <f t="shared" ref="I97:I111" si="51">G97+H97</f>
        <v>0.01</v>
      </c>
      <c r="J97" s="84">
        <f t="shared" ref="J97:J111" si="52">IFERROR(F97/I97,"")</f>
        <v>590</v>
      </c>
      <c r="K97" s="85">
        <f t="shared" ref="K97:K111" si="53">IFERROR(G97*100,)</f>
        <v>1</v>
      </c>
      <c r="L97" s="85">
        <f t="shared" ref="L97:L111" si="54">IFERROR(H97*725,)</f>
        <v>0</v>
      </c>
      <c r="M97" s="85">
        <f t="shared" ref="M97:M111" si="55">IFERROR(K97+L97,"")</f>
        <v>1</v>
      </c>
      <c r="N97" s="85">
        <f t="shared" si="7"/>
        <v>5.9</v>
      </c>
      <c r="O97" s="310">
        <v>5.9</v>
      </c>
      <c r="P97" s="75"/>
      <c r="Q97" s="85"/>
      <c r="R97" s="85"/>
      <c r="S97" s="20"/>
      <c r="T97" s="20"/>
      <c r="U97" s="16"/>
      <c r="V97" s="16"/>
      <c r="W97" s="16"/>
      <c r="X97" s="16"/>
      <c r="Y97" s="16"/>
      <c r="Z97" s="16"/>
    </row>
    <row r="98" ht="15.75" customHeight="1">
      <c r="A98" s="67" t="str">
        <f t="shared" si="50"/>
        <v>Reducer Bushing (SCH-80)1 x 1 x 1⁄2</v>
      </c>
      <c r="B98" s="90">
        <v>2.0</v>
      </c>
      <c r="C98" s="152" t="s">
        <v>439</v>
      </c>
      <c r="D98" s="152" t="s">
        <v>440</v>
      </c>
      <c r="E98" s="94" t="s">
        <v>1251</v>
      </c>
      <c r="F98" s="56">
        <v>13.9</v>
      </c>
      <c r="G98" s="76">
        <f>IFERROR(__xludf.DUMMYFUNCTION("ArrayFormula(IFERROR(VLOOKUP(E98,IMPORTRANGE(""https://docs.google.com/spreadsheets/d/1xZyKy-UzMmtPDLpV5jQdYum1LtbR8XKDuasLSjmBRMI/edit#gid=1241094406"",""COMBINED DATA!E3:L""),{7,8},0)))"),0.0237)</f>
        <v>0.0237</v>
      </c>
      <c r="H98" s="76">
        <f>IFERROR(__xludf.DUMMYFUNCTION("""COMPUTED_VALUE"""),0.0)</f>
        <v>0</v>
      </c>
      <c r="I98" s="76">
        <f t="shared" si="51"/>
        <v>0.0237</v>
      </c>
      <c r="J98" s="84">
        <f t="shared" si="52"/>
        <v>586.4978903</v>
      </c>
      <c r="K98" s="85">
        <f t="shared" si="53"/>
        <v>2.37</v>
      </c>
      <c r="L98" s="85">
        <f t="shared" si="54"/>
        <v>0</v>
      </c>
      <c r="M98" s="85">
        <f t="shared" si="55"/>
        <v>2.37</v>
      </c>
      <c r="N98" s="85">
        <f t="shared" si="7"/>
        <v>5.864978903</v>
      </c>
      <c r="O98" s="310">
        <v>13.9</v>
      </c>
      <c r="P98" s="75"/>
      <c r="Q98" s="85"/>
      <c r="R98" s="85"/>
      <c r="S98" s="20"/>
      <c r="T98" s="20"/>
      <c r="U98" s="16"/>
      <c r="V98" s="16"/>
      <c r="W98" s="16"/>
      <c r="X98" s="16"/>
      <c r="Y98" s="16"/>
      <c r="Z98" s="16"/>
    </row>
    <row r="99" ht="15.75" customHeight="1">
      <c r="A99" s="67" t="str">
        <f t="shared" si="50"/>
        <v>Reducer Bushing (SCH-80)1 1⁄4 x 1 1⁄4 x 1⁄2</v>
      </c>
      <c r="B99" s="90">
        <v>3.0</v>
      </c>
      <c r="C99" s="152" t="s">
        <v>458</v>
      </c>
      <c r="D99" s="152" t="s">
        <v>459</v>
      </c>
      <c r="E99" s="94" t="s">
        <v>1252</v>
      </c>
      <c r="F99" s="56">
        <v>24.0</v>
      </c>
      <c r="G99" s="58">
        <v>0.038</v>
      </c>
      <c r="H99" s="76"/>
      <c r="I99" s="76">
        <f t="shared" si="51"/>
        <v>0.038</v>
      </c>
      <c r="J99" s="84">
        <f t="shared" si="52"/>
        <v>631.5789474</v>
      </c>
      <c r="K99" s="85">
        <f t="shared" si="53"/>
        <v>3.8</v>
      </c>
      <c r="L99" s="85">
        <f t="shared" si="54"/>
        <v>0</v>
      </c>
      <c r="M99" s="85">
        <f t="shared" si="55"/>
        <v>3.8</v>
      </c>
      <c r="N99" s="85">
        <f t="shared" si="7"/>
        <v>6.315789474</v>
      </c>
      <c r="O99" s="310">
        <v>24.0</v>
      </c>
      <c r="P99" s="75"/>
      <c r="Q99" s="85"/>
      <c r="R99" s="85"/>
      <c r="S99" s="20"/>
      <c r="T99" s="20"/>
      <c r="U99" s="16"/>
      <c r="V99" s="16"/>
      <c r="W99" s="16"/>
      <c r="X99" s="16"/>
      <c r="Y99" s="16"/>
      <c r="Z99" s="16"/>
    </row>
    <row r="100" ht="15.75" customHeight="1">
      <c r="A100" s="67" t="str">
        <f t="shared" si="50"/>
        <v>Reducer Bushing (SCH-80)1 1⁄4 x 1 1⁄4 x 3⁄4</v>
      </c>
      <c r="B100" s="90">
        <v>4.0</v>
      </c>
      <c r="C100" s="152" t="s">
        <v>213</v>
      </c>
      <c r="D100" s="152" t="s">
        <v>214</v>
      </c>
      <c r="E100" s="94" t="s">
        <v>1254</v>
      </c>
      <c r="F100" s="56">
        <v>25.8</v>
      </c>
      <c r="G100" s="76">
        <f>IFERROR(__xludf.DUMMYFUNCTION("ArrayFormula(IFERROR(VLOOKUP(E100,IMPORTRANGE(""https://docs.google.com/spreadsheets/d/1xZyKy-UzMmtPDLpV5jQdYum1LtbR8XKDuasLSjmBRMI/edit#gid=1241094406"",""COMBINED DATA!E3:L""),{7,8},0)))"),0.0426)</f>
        <v>0.0426</v>
      </c>
      <c r="H100" s="76">
        <f>IFERROR(__xludf.DUMMYFUNCTION("""COMPUTED_VALUE"""),0.0)</f>
        <v>0</v>
      </c>
      <c r="I100" s="76">
        <f t="shared" si="51"/>
        <v>0.0426</v>
      </c>
      <c r="J100" s="84">
        <f t="shared" si="52"/>
        <v>605.6338028</v>
      </c>
      <c r="K100" s="85">
        <f t="shared" si="53"/>
        <v>4.26</v>
      </c>
      <c r="L100" s="85">
        <f t="shared" si="54"/>
        <v>0</v>
      </c>
      <c r="M100" s="85">
        <f t="shared" si="55"/>
        <v>4.26</v>
      </c>
      <c r="N100" s="85">
        <f t="shared" si="7"/>
        <v>6.056338028</v>
      </c>
      <c r="O100" s="310">
        <v>25.8</v>
      </c>
      <c r="P100" s="75"/>
      <c r="Q100" s="85"/>
      <c r="R100" s="85"/>
      <c r="S100" s="20"/>
      <c r="T100" s="20"/>
      <c r="U100" s="16"/>
      <c r="V100" s="16"/>
      <c r="W100" s="16"/>
      <c r="X100" s="16"/>
      <c r="Y100" s="16"/>
      <c r="Z100" s="16"/>
    </row>
    <row r="101" ht="15.75" customHeight="1">
      <c r="A101" s="67" t="str">
        <f t="shared" si="50"/>
        <v>Reducer Bushing (SCH-80)1 1⁄4 x 1 1⁄4 x 1</v>
      </c>
      <c r="B101" s="90">
        <v>5.0</v>
      </c>
      <c r="C101" s="152" t="s">
        <v>216</v>
      </c>
      <c r="D101" s="152" t="s">
        <v>217</v>
      </c>
      <c r="E101" s="94" t="s">
        <v>1256</v>
      </c>
      <c r="F101" s="56">
        <v>22.9</v>
      </c>
      <c r="G101" s="76">
        <f>IFERROR(__xludf.DUMMYFUNCTION("ArrayFormula(IFERROR(VLOOKUP(E101,IMPORTRANGE(""https://docs.google.com/spreadsheets/d/1xZyKy-UzMmtPDLpV5jQdYum1LtbR8XKDuasLSjmBRMI/edit#gid=1241094406"",""COMBINED DATA!E3:L""),{7,8},0)))"),0.0402)</f>
        <v>0.0402</v>
      </c>
      <c r="H101" s="76">
        <f>IFERROR(__xludf.DUMMYFUNCTION("""COMPUTED_VALUE"""),0.0)</f>
        <v>0</v>
      </c>
      <c r="I101" s="76">
        <f t="shared" si="51"/>
        <v>0.0402</v>
      </c>
      <c r="J101" s="84">
        <f t="shared" si="52"/>
        <v>569.6517413</v>
      </c>
      <c r="K101" s="85">
        <f t="shared" si="53"/>
        <v>4.02</v>
      </c>
      <c r="L101" s="85">
        <f t="shared" si="54"/>
        <v>0</v>
      </c>
      <c r="M101" s="85">
        <f t="shared" si="55"/>
        <v>4.02</v>
      </c>
      <c r="N101" s="85">
        <f t="shared" si="7"/>
        <v>5.696517413</v>
      </c>
      <c r="O101" s="310">
        <v>22.9</v>
      </c>
      <c r="P101" s="75"/>
      <c r="Q101" s="85"/>
      <c r="R101" s="85"/>
      <c r="S101" s="20"/>
      <c r="T101" s="20"/>
      <c r="U101" s="16"/>
      <c r="V101" s="16"/>
      <c r="W101" s="16"/>
      <c r="X101" s="16"/>
      <c r="Y101" s="16"/>
      <c r="Z101" s="16"/>
    </row>
    <row r="102" ht="15.75" customHeight="1">
      <c r="A102" s="67" t="str">
        <f t="shared" si="50"/>
        <v>Reducer Bushing (SCH-80)1 x 3⁄4 x 1</v>
      </c>
      <c r="B102" s="90">
        <v>6.0</v>
      </c>
      <c r="C102" s="152" t="s">
        <v>1257</v>
      </c>
      <c r="D102" s="152" t="s">
        <v>210</v>
      </c>
      <c r="E102" s="94" t="s">
        <v>1258</v>
      </c>
      <c r="F102" s="56">
        <v>14.8</v>
      </c>
      <c r="G102" s="76">
        <f>IFERROR(__xludf.DUMMYFUNCTION("ArrayFormula(IFERROR(VLOOKUP(E102,IMPORTRANGE(""https://docs.google.com/spreadsheets/d/1xZyKy-UzMmtPDLpV5jQdYum1LtbR8XKDuasLSjmBRMI/edit#gid=1241094406"",""COMBINED DATA!E3:L""),{7,8},0)))"),0.029)</f>
        <v>0.029</v>
      </c>
      <c r="H102" s="76">
        <f>IFERROR(__xludf.DUMMYFUNCTION("""COMPUTED_VALUE"""),0.0)</f>
        <v>0</v>
      </c>
      <c r="I102" s="76">
        <f t="shared" si="51"/>
        <v>0.029</v>
      </c>
      <c r="J102" s="84">
        <f t="shared" si="52"/>
        <v>510.3448276</v>
      </c>
      <c r="K102" s="85">
        <f t="shared" si="53"/>
        <v>2.9</v>
      </c>
      <c r="L102" s="85">
        <f t="shared" si="54"/>
        <v>0</v>
      </c>
      <c r="M102" s="85">
        <f t="shared" si="55"/>
        <v>2.9</v>
      </c>
      <c r="N102" s="85">
        <f t="shared" si="7"/>
        <v>5.103448276</v>
      </c>
      <c r="O102" s="310">
        <v>14.8</v>
      </c>
      <c r="P102" s="75"/>
      <c r="Q102" s="85"/>
      <c r="R102" s="85"/>
      <c r="S102" s="20"/>
      <c r="T102" s="20"/>
      <c r="U102" s="16"/>
      <c r="V102" s="16"/>
      <c r="W102" s="16"/>
      <c r="X102" s="16"/>
      <c r="Y102" s="16"/>
      <c r="Z102" s="16"/>
    </row>
    <row r="103" ht="15.75" customHeight="1">
      <c r="A103" s="67" t="str">
        <f t="shared" si="50"/>
        <v>Reducer Bushing (SCH-80)1 1⁄2 x 1 1⁄2 x 1⁄2</v>
      </c>
      <c r="B103" s="90">
        <v>7.0</v>
      </c>
      <c r="C103" s="152" t="s">
        <v>1215</v>
      </c>
      <c r="D103" s="152" t="s">
        <v>1216</v>
      </c>
      <c r="E103" s="94" t="s">
        <v>1260</v>
      </c>
      <c r="F103" s="56">
        <v>34.2</v>
      </c>
      <c r="G103" s="76">
        <f>IFERROR(__xludf.DUMMYFUNCTION("ArrayFormula(IFERROR(VLOOKUP(E103,IMPORTRANGE(""https://docs.google.com/spreadsheets/d/1xZyKy-UzMmtPDLpV5jQdYum1LtbR8XKDuasLSjmBRMI/edit#gid=1241094406"",""COMBINED DATA!E3:L""),{7,8},0)))"),0.056)</f>
        <v>0.056</v>
      </c>
      <c r="H103" s="76">
        <f>IFERROR(__xludf.DUMMYFUNCTION("""COMPUTED_VALUE"""),0.0)</f>
        <v>0</v>
      </c>
      <c r="I103" s="76">
        <f t="shared" si="51"/>
        <v>0.056</v>
      </c>
      <c r="J103" s="84">
        <f t="shared" si="52"/>
        <v>610.7142857</v>
      </c>
      <c r="K103" s="85">
        <f t="shared" si="53"/>
        <v>5.6</v>
      </c>
      <c r="L103" s="85">
        <f t="shared" si="54"/>
        <v>0</v>
      </c>
      <c r="M103" s="85">
        <f t="shared" si="55"/>
        <v>5.6</v>
      </c>
      <c r="N103" s="85">
        <f t="shared" si="7"/>
        <v>6.107142857</v>
      </c>
      <c r="O103" s="310">
        <v>34.2</v>
      </c>
      <c r="P103" s="75"/>
      <c r="Q103" s="85"/>
      <c r="R103" s="85"/>
      <c r="S103" s="20"/>
      <c r="T103" s="20"/>
      <c r="U103" s="16"/>
      <c r="V103" s="16"/>
      <c r="W103" s="16"/>
      <c r="X103" s="16"/>
      <c r="Y103" s="16"/>
      <c r="Z103" s="16"/>
    </row>
    <row r="104" ht="15.75" customHeight="1">
      <c r="A104" s="67" t="str">
        <f t="shared" si="50"/>
        <v>Reducer Bushing (SCH-80)1 1⁄2 x 1 1⁄2 x 3⁄4</v>
      </c>
      <c r="B104" s="90">
        <v>8.0</v>
      </c>
      <c r="C104" s="152" t="s">
        <v>220</v>
      </c>
      <c r="D104" s="152" t="s">
        <v>221</v>
      </c>
      <c r="E104" s="94" t="s">
        <v>1261</v>
      </c>
      <c r="F104" s="56">
        <v>30.6</v>
      </c>
      <c r="G104" s="76">
        <f>IFERROR(__xludf.DUMMYFUNCTION("ArrayFormula(IFERROR(VLOOKUP(E104,IMPORTRANGE(""https://docs.google.com/spreadsheets/d/1xZyKy-UzMmtPDLpV5jQdYum1LtbR8XKDuasLSjmBRMI/edit#gid=1241094406"",""COMBINED DATA!E3:L""),{7,8},0)))"),0.0522)</f>
        <v>0.0522</v>
      </c>
      <c r="H104" s="76">
        <f>IFERROR(__xludf.DUMMYFUNCTION("""COMPUTED_VALUE"""),0.0)</f>
        <v>0</v>
      </c>
      <c r="I104" s="76">
        <f t="shared" si="51"/>
        <v>0.0522</v>
      </c>
      <c r="J104" s="84">
        <f t="shared" si="52"/>
        <v>586.2068966</v>
      </c>
      <c r="K104" s="85">
        <f t="shared" si="53"/>
        <v>5.22</v>
      </c>
      <c r="L104" s="85">
        <f t="shared" si="54"/>
        <v>0</v>
      </c>
      <c r="M104" s="85">
        <f t="shared" si="55"/>
        <v>5.22</v>
      </c>
      <c r="N104" s="85">
        <f t="shared" si="7"/>
        <v>5.862068966</v>
      </c>
      <c r="O104" s="310">
        <v>30.6</v>
      </c>
      <c r="P104" s="75"/>
      <c r="Q104" s="85"/>
      <c r="R104" s="85"/>
      <c r="S104" s="20"/>
      <c r="T104" s="20"/>
      <c r="U104" s="16"/>
      <c r="V104" s="16"/>
      <c r="W104" s="16"/>
      <c r="X104" s="16"/>
      <c r="Y104" s="16"/>
      <c r="Z104" s="16"/>
    </row>
    <row r="105" ht="15.75" customHeight="1">
      <c r="A105" s="67" t="str">
        <f t="shared" si="50"/>
        <v>Reducer Bushing (SCH-80)1 1⁄2 x 1 1⁄2 x 1</v>
      </c>
      <c r="B105" s="90">
        <v>9.0</v>
      </c>
      <c r="C105" s="152" t="s">
        <v>224</v>
      </c>
      <c r="D105" s="152" t="s">
        <v>225</v>
      </c>
      <c r="E105" s="94" t="s">
        <v>1263</v>
      </c>
      <c r="F105" s="56">
        <v>30.6</v>
      </c>
      <c r="G105" s="76">
        <f>IFERROR(__xludf.DUMMYFUNCTION("ArrayFormula(IFERROR(VLOOKUP(E105,IMPORTRANGE(""https://docs.google.com/spreadsheets/d/1xZyKy-UzMmtPDLpV5jQdYum1LtbR8XKDuasLSjmBRMI/edit#gid=1241094406"",""COMBINED DATA!E3:L""),{7,8},0)))"),0.0509)</f>
        <v>0.0509</v>
      </c>
      <c r="H105" s="76">
        <f>IFERROR(__xludf.DUMMYFUNCTION("""COMPUTED_VALUE"""),0.0)</f>
        <v>0</v>
      </c>
      <c r="I105" s="76">
        <f t="shared" si="51"/>
        <v>0.0509</v>
      </c>
      <c r="J105" s="84">
        <f t="shared" si="52"/>
        <v>601.1787819</v>
      </c>
      <c r="K105" s="85">
        <f t="shared" si="53"/>
        <v>5.09</v>
      </c>
      <c r="L105" s="85">
        <f t="shared" si="54"/>
        <v>0</v>
      </c>
      <c r="M105" s="85">
        <f t="shared" si="55"/>
        <v>5.09</v>
      </c>
      <c r="N105" s="85">
        <f t="shared" si="7"/>
        <v>6.011787819</v>
      </c>
      <c r="O105" s="310">
        <v>30.6</v>
      </c>
      <c r="P105" s="75"/>
      <c r="Q105" s="85"/>
      <c r="R105" s="85"/>
      <c r="S105" s="20"/>
      <c r="T105" s="20"/>
      <c r="U105" s="16"/>
      <c r="V105" s="16"/>
      <c r="W105" s="16"/>
      <c r="X105" s="16"/>
      <c r="Y105" s="16"/>
      <c r="Z105" s="16"/>
    </row>
    <row r="106" ht="15.75" customHeight="1">
      <c r="A106" s="67" t="str">
        <f t="shared" si="50"/>
        <v>Reducer Bushing (SCH-80)1 1⁄2 x 1 1⁄2 x 1 1⁄4</v>
      </c>
      <c r="B106" s="90">
        <v>10.0</v>
      </c>
      <c r="C106" s="152" t="s">
        <v>227</v>
      </c>
      <c r="D106" s="152" t="s">
        <v>228</v>
      </c>
      <c r="E106" s="94" t="s">
        <v>1265</v>
      </c>
      <c r="F106" s="56">
        <v>40.6</v>
      </c>
      <c r="G106" s="58">
        <v>0.051</v>
      </c>
      <c r="H106" s="76"/>
      <c r="I106" s="76">
        <f t="shared" si="51"/>
        <v>0.051</v>
      </c>
      <c r="J106" s="84">
        <f t="shared" si="52"/>
        <v>796.0784314</v>
      </c>
      <c r="K106" s="85">
        <f t="shared" si="53"/>
        <v>5.1</v>
      </c>
      <c r="L106" s="85">
        <f t="shared" si="54"/>
        <v>0</v>
      </c>
      <c r="M106" s="85">
        <f t="shared" si="55"/>
        <v>5.1</v>
      </c>
      <c r="N106" s="85">
        <f t="shared" si="7"/>
        <v>7.960784314</v>
      </c>
      <c r="O106" s="310">
        <v>40.6</v>
      </c>
      <c r="P106" s="75"/>
      <c r="Q106" s="85"/>
      <c r="R106" s="85"/>
      <c r="S106" s="20"/>
      <c r="T106" s="20"/>
      <c r="U106" s="16"/>
      <c r="V106" s="16"/>
      <c r="W106" s="16"/>
      <c r="X106" s="16"/>
      <c r="Y106" s="16"/>
      <c r="Z106" s="16"/>
    </row>
    <row r="107" ht="15.75" customHeight="1">
      <c r="A107" s="67" t="str">
        <f t="shared" si="50"/>
        <v>Reducer Bushing (SCH-80)2 x 2 x 1⁄2</v>
      </c>
      <c r="B107" s="90">
        <v>11.0</v>
      </c>
      <c r="C107" s="152" t="s">
        <v>1223</v>
      </c>
      <c r="D107" s="152" t="s">
        <v>1224</v>
      </c>
      <c r="E107" s="94" t="s">
        <v>1266</v>
      </c>
      <c r="F107" s="56">
        <v>60.2</v>
      </c>
      <c r="G107" s="76">
        <f>IFERROR(__xludf.DUMMYFUNCTION("ArrayFormula(IFERROR(VLOOKUP(E107,IMPORTRANGE(""https://docs.google.com/spreadsheets/d/1xZyKy-UzMmtPDLpV5jQdYum1LtbR8XKDuasLSjmBRMI/edit#gid=1241094406"",""COMBINED DATA!E3:L""),{7,8},0)))"),0.0916)</f>
        <v>0.0916</v>
      </c>
      <c r="H107" s="76">
        <f>IFERROR(__xludf.DUMMYFUNCTION("""COMPUTED_VALUE"""),0.0)</f>
        <v>0</v>
      </c>
      <c r="I107" s="76">
        <f t="shared" si="51"/>
        <v>0.0916</v>
      </c>
      <c r="J107" s="84">
        <f t="shared" si="52"/>
        <v>657.2052402</v>
      </c>
      <c r="K107" s="85">
        <f t="shared" si="53"/>
        <v>9.16</v>
      </c>
      <c r="L107" s="85">
        <f t="shared" si="54"/>
        <v>0</v>
      </c>
      <c r="M107" s="85">
        <f t="shared" si="55"/>
        <v>9.16</v>
      </c>
      <c r="N107" s="85">
        <f t="shared" si="7"/>
        <v>6.572052402</v>
      </c>
      <c r="O107" s="310">
        <v>60.2</v>
      </c>
      <c r="P107" s="75"/>
      <c r="Q107" s="85"/>
      <c r="R107" s="85"/>
      <c r="S107" s="20"/>
      <c r="T107" s="20"/>
      <c r="U107" s="16"/>
      <c r="V107" s="16"/>
      <c r="W107" s="16"/>
      <c r="X107" s="16"/>
      <c r="Y107" s="16"/>
      <c r="Z107" s="16"/>
    </row>
    <row r="108" ht="15.75" customHeight="1">
      <c r="A108" s="67" t="str">
        <f t="shared" si="50"/>
        <v>Reducer Bushing (SCH-80)2 x 2 x 3⁄4</v>
      </c>
      <c r="B108" s="90">
        <v>12.0</v>
      </c>
      <c r="C108" s="152" t="s">
        <v>231</v>
      </c>
      <c r="D108" s="152" t="s">
        <v>232</v>
      </c>
      <c r="E108" s="94" t="s">
        <v>1267</v>
      </c>
      <c r="F108" s="56">
        <v>54.3</v>
      </c>
      <c r="G108" s="76">
        <f>IFERROR(__xludf.DUMMYFUNCTION("ArrayFormula(IFERROR(VLOOKUP(E108,IMPORTRANGE(""https://docs.google.com/spreadsheets/d/1xZyKy-UzMmtPDLpV5jQdYum1LtbR8XKDuasLSjmBRMI/edit#gid=1241094406"",""COMBINED DATA!E3:L""),{7,8},0)))"),0.092)</f>
        <v>0.092</v>
      </c>
      <c r="H108" s="76">
        <f>IFERROR(__xludf.DUMMYFUNCTION("""COMPUTED_VALUE"""),0.0)</f>
        <v>0</v>
      </c>
      <c r="I108" s="76">
        <f t="shared" si="51"/>
        <v>0.092</v>
      </c>
      <c r="J108" s="84">
        <f t="shared" si="52"/>
        <v>590.2173913</v>
      </c>
      <c r="K108" s="85">
        <f t="shared" si="53"/>
        <v>9.2</v>
      </c>
      <c r="L108" s="85">
        <f t="shared" si="54"/>
        <v>0</v>
      </c>
      <c r="M108" s="85">
        <f t="shared" si="55"/>
        <v>9.2</v>
      </c>
      <c r="N108" s="85">
        <f t="shared" si="7"/>
        <v>5.902173913</v>
      </c>
      <c r="O108" s="310">
        <v>54.3</v>
      </c>
      <c r="P108" s="75"/>
      <c r="Q108" s="85"/>
      <c r="R108" s="85"/>
      <c r="S108" s="20"/>
      <c r="T108" s="20"/>
      <c r="U108" s="16"/>
      <c r="V108" s="16"/>
      <c r="W108" s="16"/>
      <c r="X108" s="16"/>
      <c r="Y108" s="16"/>
      <c r="Z108" s="16"/>
    </row>
    <row r="109" ht="15.75" customHeight="1">
      <c r="A109" s="67" t="str">
        <f t="shared" si="50"/>
        <v>Reducer Bushing (SCH-80)2 x 2 x 1</v>
      </c>
      <c r="B109" s="90">
        <v>13.0</v>
      </c>
      <c r="C109" s="152" t="s">
        <v>235</v>
      </c>
      <c r="D109" s="152" t="s">
        <v>236</v>
      </c>
      <c r="E109" s="94" t="s">
        <v>1269</v>
      </c>
      <c r="F109" s="56">
        <v>61.9</v>
      </c>
      <c r="G109" s="76">
        <f>IFERROR(__xludf.DUMMYFUNCTION("ArrayFormula(IFERROR(VLOOKUP(E109,IMPORTRANGE(""https://docs.google.com/spreadsheets/d/1xZyKy-UzMmtPDLpV5jQdYum1LtbR8XKDuasLSjmBRMI/edit#gid=1241094406"",""COMBINED DATA!E3:L""),{7,8},0)))"),0.10467499999999999)</f>
        <v>0.104675</v>
      </c>
      <c r="H109" s="76">
        <f>IFERROR(__xludf.DUMMYFUNCTION("""COMPUTED_VALUE"""),0.0)</f>
        <v>0</v>
      </c>
      <c r="I109" s="76">
        <f t="shared" si="51"/>
        <v>0.104675</v>
      </c>
      <c r="J109" s="84">
        <f t="shared" si="52"/>
        <v>591.3541915</v>
      </c>
      <c r="K109" s="85">
        <f t="shared" si="53"/>
        <v>10.4675</v>
      </c>
      <c r="L109" s="85">
        <f t="shared" si="54"/>
        <v>0</v>
      </c>
      <c r="M109" s="85">
        <f t="shared" si="55"/>
        <v>10.4675</v>
      </c>
      <c r="N109" s="85">
        <f t="shared" si="7"/>
        <v>5.913541915</v>
      </c>
      <c r="O109" s="310">
        <v>61.9</v>
      </c>
      <c r="P109" s="75"/>
      <c r="Q109" s="85"/>
      <c r="R109" s="85"/>
      <c r="S109" s="20"/>
      <c r="T109" s="20"/>
      <c r="U109" s="16"/>
      <c r="V109" s="16"/>
      <c r="W109" s="16"/>
      <c r="X109" s="16"/>
      <c r="Y109" s="16"/>
      <c r="Z109" s="16"/>
    </row>
    <row r="110" ht="15.75" customHeight="1">
      <c r="A110" s="67" t="str">
        <f t="shared" si="50"/>
        <v>Reducer Bushing (SCH-80)2 x 2 x 1 1⁄4</v>
      </c>
      <c r="B110" s="90">
        <v>14.0</v>
      </c>
      <c r="C110" s="152" t="s">
        <v>238</v>
      </c>
      <c r="D110" s="152" t="s">
        <v>239</v>
      </c>
      <c r="E110" s="94" t="s">
        <v>1271</v>
      </c>
      <c r="F110" s="56">
        <v>54.3</v>
      </c>
      <c r="G110" s="76">
        <f>IFERROR(__xludf.DUMMYFUNCTION("ArrayFormula(IFERROR(VLOOKUP(E110,IMPORTRANGE(""https://docs.google.com/spreadsheets/d/1xZyKy-UzMmtPDLpV5jQdYum1LtbR8XKDuasLSjmBRMI/edit#gid=1241094406"",""COMBINED DATA!E3:L""),{7,8},0)))"),0.094)</f>
        <v>0.094</v>
      </c>
      <c r="H110" s="76">
        <f>IFERROR(__xludf.DUMMYFUNCTION("""COMPUTED_VALUE"""),0.0)</f>
        <v>0</v>
      </c>
      <c r="I110" s="76">
        <f t="shared" si="51"/>
        <v>0.094</v>
      </c>
      <c r="J110" s="84">
        <f t="shared" si="52"/>
        <v>577.6595745</v>
      </c>
      <c r="K110" s="85">
        <f t="shared" si="53"/>
        <v>9.4</v>
      </c>
      <c r="L110" s="85">
        <f t="shared" si="54"/>
        <v>0</v>
      </c>
      <c r="M110" s="85">
        <f t="shared" si="55"/>
        <v>9.4</v>
      </c>
      <c r="N110" s="85">
        <f t="shared" si="7"/>
        <v>5.776595745</v>
      </c>
      <c r="O110" s="310">
        <v>54.3</v>
      </c>
      <c r="P110" s="75"/>
      <c r="Q110" s="85"/>
      <c r="R110" s="85"/>
      <c r="S110" s="20"/>
      <c r="T110" s="20"/>
      <c r="U110" s="16"/>
      <c r="V110" s="16"/>
      <c r="W110" s="16"/>
      <c r="X110" s="16"/>
      <c r="Y110" s="16"/>
      <c r="Z110" s="16"/>
    </row>
    <row r="111" ht="15.75" customHeight="1">
      <c r="A111" s="67" t="str">
        <f t="shared" si="50"/>
        <v>Reducer Bushing (SCH-80)2 x 2 x 1 1⁄2</v>
      </c>
      <c r="B111" s="90">
        <v>15.0</v>
      </c>
      <c r="C111" s="152" t="s">
        <v>242</v>
      </c>
      <c r="D111" s="152" t="s">
        <v>243</v>
      </c>
      <c r="E111" s="94" t="s">
        <v>1272</v>
      </c>
      <c r="F111" s="56">
        <v>52.0</v>
      </c>
      <c r="G111" s="76">
        <f>IFERROR(__xludf.DUMMYFUNCTION("ArrayFormula(IFERROR(VLOOKUP(E111,IMPORTRANGE(""https://docs.google.com/spreadsheets/d/1xZyKy-UzMmtPDLpV5jQdYum1LtbR8XKDuasLSjmBRMI/edit#gid=1241094406"",""COMBINED DATA!E3:L""),{7,8},0)))"),0.0714)</f>
        <v>0.0714</v>
      </c>
      <c r="H111" s="76">
        <f>IFERROR(__xludf.DUMMYFUNCTION("""COMPUTED_VALUE"""),0.0)</f>
        <v>0</v>
      </c>
      <c r="I111" s="76">
        <f t="shared" si="51"/>
        <v>0.0714</v>
      </c>
      <c r="J111" s="84">
        <f t="shared" si="52"/>
        <v>728.2913165</v>
      </c>
      <c r="K111" s="85">
        <f t="shared" si="53"/>
        <v>7.14</v>
      </c>
      <c r="L111" s="85">
        <f t="shared" si="54"/>
        <v>0</v>
      </c>
      <c r="M111" s="85">
        <f t="shared" si="55"/>
        <v>7.14</v>
      </c>
      <c r="N111" s="85">
        <f t="shared" si="7"/>
        <v>7.282913165</v>
      </c>
      <c r="O111" s="310">
        <v>52.0</v>
      </c>
      <c r="P111" s="75"/>
      <c r="Q111" s="85"/>
      <c r="R111" s="85"/>
      <c r="S111" s="20"/>
      <c r="T111" s="20"/>
      <c r="U111" s="16"/>
      <c r="V111" s="16"/>
      <c r="W111" s="16"/>
      <c r="X111" s="16"/>
      <c r="Y111" s="16"/>
      <c r="Z111" s="16"/>
    </row>
    <row r="112">
      <c r="A112" s="34"/>
      <c r="B112" s="237" t="s">
        <v>11</v>
      </c>
      <c r="C112" s="45"/>
      <c r="D112" s="45"/>
      <c r="E112" s="46"/>
      <c r="F112" s="103">
        <f>SUM(F97:F111)</f>
        <v>526</v>
      </c>
      <c r="G112" s="250"/>
      <c r="H112" s="243"/>
      <c r="I112" s="243"/>
      <c r="J112" s="243"/>
      <c r="K112" s="85"/>
      <c r="L112" s="85"/>
      <c r="M112" s="85"/>
      <c r="N112" s="85" t="str">
        <f t="shared" si="7"/>
        <v/>
      </c>
      <c r="O112" s="103">
        <f>SUM(O97:O111)</f>
        <v>526</v>
      </c>
      <c r="P112" s="307"/>
      <c r="Q112" s="85"/>
      <c r="R112" s="85"/>
      <c r="S112" s="15"/>
      <c r="T112" s="15"/>
      <c r="U112" s="243"/>
      <c r="V112" s="243"/>
      <c r="W112" s="243"/>
      <c r="X112" s="243"/>
      <c r="Y112" s="243"/>
      <c r="Z112" s="243"/>
    </row>
    <row r="113" ht="6.0" customHeight="1">
      <c r="A113" s="34"/>
      <c r="B113" s="15"/>
      <c r="C113" s="15"/>
      <c r="D113" s="15"/>
      <c r="E113" s="17"/>
      <c r="F113" s="15"/>
      <c r="G113" s="250"/>
      <c r="H113" s="243"/>
      <c r="I113" s="243"/>
      <c r="J113" s="243"/>
      <c r="K113" s="85"/>
      <c r="L113" s="85"/>
      <c r="M113" s="85"/>
      <c r="N113" s="85" t="str">
        <f t="shared" si="7"/>
        <v/>
      </c>
      <c r="O113" s="29"/>
      <c r="P113" s="307"/>
      <c r="Q113" s="85"/>
      <c r="R113" s="85"/>
      <c r="S113" s="15"/>
      <c r="T113" s="15"/>
      <c r="U113" s="243"/>
      <c r="V113" s="243"/>
      <c r="W113" s="243"/>
      <c r="X113" s="243"/>
      <c r="Y113" s="243"/>
      <c r="Z113" s="243"/>
    </row>
    <row r="114" ht="22.5" customHeight="1">
      <c r="A114" s="34"/>
      <c r="B114" s="62" t="s">
        <v>443</v>
      </c>
      <c r="C114" s="45"/>
      <c r="D114" s="45"/>
      <c r="E114" s="45"/>
      <c r="F114" s="46"/>
      <c r="G114" s="250"/>
      <c r="H114" s="243"/>
      <c r="I114" s="243"/>
      <c r="J114" s="243"/>
      <c r="K114" s="85"/>
      <c r="L114" s="85"/>
      <c r="M114" s="85"/>
      <c r="N114" s="85" t="str">
        <f t="shared" si="7"/>
        <v/>
      </c>
      <c r="O114" s="29"/>
      <c r="P114" s="307"/>
      <c r="Q114" s="85"/>
      <c r="R114" s="85"/>
      <c r="S114" s="15"/>
      <c r="T114" s="15"/>
      <c r="U114" s="243"/>
      <c r="V114" s="243"/>
      <c r="W114" s="243"/>
      <c r="X114" s="243"/>
      <c r="Y114" s="243"/>
      <c r="Z114" s="243"/>
    </row>
    <row r="115" ht="15.75" customHeight="1">
      <c r="A115" s="67" t="str">
        <f t="shared" ref="A115:A121" si="56">$B$114&amp;C115</f>
        <v>Reducer Bushing (SCH-80)2 1⁄2 x 1 1⁄2</v>
      </c>
      <c r="B115" s="68">
        <v>1.0</v>
      </c>
      <c r="C115" s="110" t="s">
        <v>447</v>
      </c>
      <c r="D115" s="110" t="s">
        <v>448</v>
      </c>
      <c r="E115" s="129" t="s">
        <v>1274</v>
      </c>
      <c r="F115" s="56">
        <v>88.0</v>
      </c>
      <c r="G115" s="76">
        <f>IFERROR(__xludf.DUMMYFUNCTION("ArrayFormula(IFERROR(VLOOKUP(E115,IMPORTRANGE(""https://docs.google.com/spreadsheets/d/1xZyKy-UzMmtPDLpV5jQdYum1LtbR8XKDuasLSjmBRMI/edit#gid=1241094406"",""COMBINED DATA!E3:L""),{7,8},0)))"),0.15919999999999998)</f>
        <v>0.1592</v>
      </c>
      <c r="H115" s="76">
        <f>IFERROR(__xludf.DUMMYFUNCTION("""COMPUTED_VALUE"""),0.0)</f>
        <v>0</v>
      </c>
      <c r="I115" s="76">
        <f t="shared" ref="I115:I121" si="57">G115+H115</f>
        <v>0.1592</v>
      </c>
      <c r="J115" s="84">
        <f t="shared" ref="J115:J121" si="58">IFERROR(F115/I115,"")</f>
        <v>552.7638191</v>
      </c>
      <c r="K115" s="85">
        <f t="shared" ref="K115:K121" si="59">IFERROR(G115*100,)</f>
        <v>15.92</v>
      </c>
      <c r="L115" s="85">
        <f t="shared" ref="L115:L121" si="60">IFERROR(H115*725,)</f>
        <v>0</v>
      </c>
      <c r="M115" s="85">
        <f t="shared" ref="M115:M121" si="61">IFERROR(K115+L115,"")</f>
        <v>15.92</v>
      </c>
      <c r="N115" s="85">
        <f t="shared" si="7"/>
        <v>5.527638191</v>
      </c>
      <c r="O115" s="310">
        <v>88.0</v>
      </c>
      <c r="P115" s="75"/>
      <c r="Q115" s="85"/>
      <c r="R115" s="85"/>
      <c r="S115" s="20"/>
      <c r="T115" s="20"/>
      <c r="U115" s="16"/>
      <c r="V115" s="16"/>
      <c r="W115" s="16"/>
      <c r="X115" s="16"/>
      <c r="Y115" s="16"/>
      <c r="Z115" s="16"/>
    </row>
    <row r="116" ht="15.75" customHeight="1">
      <c r="A116" s="67" t="str">
        <f t="shared" si="56"/>
        <v>Reducer Bushing (SCH-80)2 1⁄2 x 2</v>
      </c>
      <c r="B116" s="90">
        <v>2.0</v>
      </c>
      <c r="C116" s="127" t="s">
        <v>455</v>
      </c>
      <c r="D116" s="127" t="s">
        <v>456</v>
      </c>
      <c r="E116" s="94" t="s">
        <v>1275</v>
      </c>
      <c r="F116" s="56">
        <v>62.0</v>
      </c>
      <c r="G116" s="76">
        <f>IFERROR(__xludf.DUMMYFUNCTION("ArrayFormula(IFERROR(VLOOKUP(E116,IMPORTRANGE(""https://docs.google.com/spreadsheets/d/1xZyKy-UzMmtPDLpV5jQdYum1LtbR8XKDuasLSjmBRMI/edit#gid=1241094406"",""COMBINED DATA!E3:L""),{7,8},0)))"),0.1103)</f>
        <v>0.1103</v>
      </c>
      <c r="H116" s="76">
        <f>IFERROR(__xludf.DUMMYFUNCTION("""COMPUTED_VALUE"""),0.0)</f>
        <v>0</v>
      </c>
      <c r="I116" s="76">
        <f t="shared" si="57"/>
        <v>0.1103</v>
      </c>
      <c r="J116" s="84">
        <f t="shared" si="58"/>
        <v>562.1033545</v>
      </c>
      <c r="K116" s="85">
        <f t="shared" si="59"/>
        <v>11.03</v>
      </c>
      <c r="L116" s="85">
        <f t="shared" si="60"/>
        <v>0</v>
      </c>
      <c r="M116" s="85">
        <f t="shared" si="61"/>
        <v>11.03</v>
      </c>
      <c r="N116" s="85">
        <f t="shared" si="7"/>
        <v>5.621033545</v>
      </c>
      <c r="O116" s="310">
        <v>62.0</v>
      </c>
      <c r="P116" s="75"/>
      <c r="Q116" s="85"/>
      <c r="R116" s="85"/>
      <c r="S116" s="20"/>
      <c r="T116" s="20"/>
      <c r="U116" s="16"/>
      <c r="V116" s="16"/>
      <c r="W116" s="16"/>
      <c r="X116" s="16"/>
      <c r="Y116" s="16"/>
      <c r="Z116" s="16"/>
    </row>
    <row r="117" ht="15.75" customHeight="1">
      <c r="A117" s="67" t="str">
        <f t="shared" si="56"/>
        <v>Reducer Bushing (SCH-80)3 x 2</v>
      </c>
      <c r="B117" s="90">
        <v>3.0</v>
      </c>
      <c r="C117" s="127" t="s">
        <v>461</v>
      </c>
      <c r="D117" s="127" t="s">
        <v>462</v>
      </c>
      <c r="E117" s="94" t="s">
        <v>1277</v>
      </c>
      <c r="F117" s="56">
        <v>154.0</v>
      </c>
      <c r="G117" s="76">
        <f>IFERROR(__xludf.DUMMYFUNCTION("ArrayFormula(IFERROR(VLOOKUP(E117,IMPORTRANGE(""https://docs.google.com/spreadsheets/d/1xZyKy-UzMmtPDLpV5jQdYum1LtbR8XKDuasLSjmBRMI/edit#gid=1241094406"",""COMBINED DATA!E3:L""),{7,8},0)))"),0.2925)</f>
        <v>0.2925</v>
      </c>
      <c r="H117" s="76">
        <f>IFERROR(__xludf.DUMMYFUNCTION("""COMPUTED_VALUE"""),0.0)</f>
        <v>0</v>
      </c>
      <c r="I117" s="76">
        <f t="shared" si="57"/>
        <v>0.2925</v>
      </c>
      <c r="J117" s="84">
        <f t="shared" si="58"/>
        <v>526.4957265</v>
      </c>
      <c r="K117" s="85">
        <f t="shared" si="59"/>
        <v>29.25</v>
      </c>
      <c r="L117" s="85">
        <f t="shared" si="60"/>
        <v>0</v>
      </c>
      <c r="M117" s="85">
        <f t="shared" si="61"/>
        <v>29.25</v>
      </c>
      <c r="N117" s="85">
        <f t="shared" si="7"/>
        <v>5.264957265</v>
      </c>
      <c r="O117" s="310">
        <v>154.0</v>
      </c>
      <c r="P117" s="75"/>
      <c r="Q117" s="85"/>
      <c r="R117" s="85"/>
      <c r="S117" s="20"/>
      <c r="T117" s="20"/>
      <c r="U117" s="16"/>
      <c r="V117" s="16"/>
      <c r="W117" s="16"/>
      <c r="X117" s="16"/>
      <c r="Y117" s="16"/>
      <c r="Z117" s="16"/>
    </row>
    <row r="118" ht="15.75" customHeight="1">
      <c r="A118" s="67" t="str">
        <f t="shared" si="56"/>
        <v>Reducer Bushing (SCH-80)3 x 2 1⁄2</v>
      </c>
      <c r="B118" s="90">
        <v>4.0</v>
      </c>
      <c r="C118" s="127" t="s">
        <v>469</v>
      </c>
      <c r="D118" s="127" t="s">
        <v>1278</v>
      </c>
      <c r="E118" s="94" t="s">
        <v>1279</v>
      </c>
      <c r="F118" s="56">
        <v>126.0</v>
      </c>
      <c r="G118" s="76">
        <f>IFERROR(__xludf.DUMMYFUNCTION("ArrayFormula(IFERROR(VLOOKUP(E118,IMPORTRANGE(""https://docs.google.com/spreadsheets/d/1xZyKy-UzMmtPDLpV5jQdYum1LtbR8XKDuasLSjmBRMI/edit#gid=1241094406"",""COMBINED DATA!E3:L""),{7,8},0)))"),0.228)</f>
        <v>0.228</v>
      </c>
      <c r="H118" s="76">
        <f>IFERROR(__xludf.DUMMYFUNCTION("""COMPUTED_VALUE"""),0.0)</f>
        <v>0</v>
      </c>
      <c r="I118" s="76">
        <f t="shared" si="57"/>
        <v>0.228</v>
      </c>
      <c r="J118" s="84">
        <f t="shared" si="58"/>
        <v>552.6315789</v>
      </c>
      <c r="K118" s="85">
        <f t="shared" si="59"/>
        <v>22.8</v>
      </c>
      <c r="L118" s="85">
        <f t="shared" si="60"/>
        <v>0</v>
      </c>
      <c r="M118" s="85">
        <f t="shared" si="61"/>
        <v>22.8</v>
      </c>
      <c r="N118" s="85">
        <f t="shared" si="7"/>
        <v>5.526315789</v>
      </c>
      <c r="O118" s="310">
        <v>126.0</v>
      </c>
      <c r="P118" s="75"/>
      <c r="Q118" s="85"/>
      <c r="R118" s="85"/>
      <c r="S118" s="20"/>
      <c r="T118" s="20"/>
      <c r="U118" s="16"/>
      <c r="V118" s="16"/>
      <c r="W118" s="16"/>
      <c r="X118" s="16"/>
      <c r="Y118" s="16"/>
      <c r="Z118" s="16"/>
    </row>
    <row r="119" ht="15.75" customHeight="1">
      <c r="A119" s="67" t="str">
        <f t="shared" si="56"/>
        <v>Reducer Bushing (SCH-80)4 x 2</v>
      </c>
      <c r="B119" s="90">
        <v>5.0</v>
      </c>
      <c r="C119" s="127" t="s">
        <v>475</v>
      </c>
      <c r="D119" s="127" t="s">
        <v>477</v>
      </c>
      <c r="E119" s="94" t="s">
        <v>1282</v>
      </c>
      <c r="F119" s="56">
        <v>248.0</v>
      </c>
      <c r="G119" s="76">
        <f>IFERROR(__xludf.DUMMYFUNCTION("ArrayFormula(IFERROR(VLOOKUP(E119,IMPORTRANGE(""https://docs.google.com/spreadsheets/d/1xZyKy-UzMmtPDLpV5jQdYum1LtbR8XKDuasLSjmBRMI/edit#gid=1241094406"",""COMBINED DATA!E3:L""),{7,8},0)))"),0.43560000000000004)</f>
        <v>0.4356</v>
      </c>
      <c r="H119" s="76">
        <f>IFERROR(__xludf.DUMMYFUNCTION("""COMPUTED_VALUE"""),0.0)</f>
        <v>0</v>
      </c>
      <c r="I119" s="76">
        <f t="shared" si="57"/>
        <v>0.4356</v>
      </c>
      <c r="J119" s="84">
        <f t="shared" si="58"/>
        <v>569.3296602</v>
      </c>
      <c r="K119" s="85">
        <f t="shared" si="59"/>
        <v>43.56</v>
      </c>
      <c r="L119" s="85">
        <f t="shared" si="60"/>
        <v>0</v>
      </c>
      <c r="M119" s="85">
        <f t="shared" si="61"/>
        <v>43.56</v>
      </c>
      <c r="N119" s="85">
        <f t="shared" si="7"/>
        <v>5.693296602</v>
      </c>
      <c r="O119" s="310">
        <v>248.0</v>
      </c>
      <c r="P119" s="75"/>
      <c r="Q119" s="85"/>
      <c r="R119" s="85"/>
      <c r="S119" s="20"/>
      <c r="T119" s="20"/>
      <c r="U119" s="16"/>
      <c r="V119" s="16"/>
      <c r="W119" s="16"/>
      <c r="X119" s="16"/>
      <c r="Y119" s="16"/>
      <c r="Z119" s="16"/>
    </row>
    <row r="120" ht="15.75" customHeight="1">
      <c r="A120" s="67" t="str">
        <f t="shared" si="56"/>
        <v>Reducer Bushing (SCH-80)4 x 3</v>
      </c>
      <c r="B120" s="90">
        <v>6.0</v>
      </c>
      <c r="C120" s="127" t="s">
        <v>481</v>
      </c>
      <c r="D120" s="127" t="s">
        <v>482</v>
      </c>
      <c r="E120" s="94" t="s">
        <v>1283</v>
      </c>
      <c r="F120" s="56">
        <v>216.0</v>
      </c>
      <c r="G120" s="76">
        <f>IFERROR(__xludf.DUMMYFUNCTION("ArrayFormula(IFERROR(VLOOKUP(E120,IMPORTRANGE(""https://docs.google.com/spreadsheets/d/1xZyKy-UzMmtPDLpV5jQdYum1LtbR8XKDuasLSjmBRMI/edit#gid=1241094406"",""COMBINED DATA!E3:L""),{7,8},0)))"),0.404)</f>
        <v>0.404</v>
      </c>
      <c r="H120" s="76">
        <f>IFERROR(__xludf.DUMMYFUNCTION("""COMPUTED_VALUE"""),0.0)</f>
        <v>0</v>
      </c>
      <c r="I120" s="76">
        <f t="shared" si="57"/>
        <v>0.404</v>
      </c>
      <c r="J120" s="84">
        <f t="shared" si="58"/>
        <v>534.6534653</v>
      </c>
      <c r="K120" s="85">
        <f t="shared" si="59"/>
        <v>40.4</v>
      </c>
      <c r="L120" s="85">
        <f t="shared" si="60"/>
        <v>0</v>
      </c>
      <c r="M120" s="85">
        <f t="shared" si="61"/>
        <v>40.4</v>
      </c>
      <c r="N120" s="85">
        <f t="shared" si="7"/>
        <v>5.346534653</v>
      </c>
      <c r="O120" s="310">
        <v>216.0</v>
      </c>
      <c r="P120" s="75"/>
      <c r="Q120" s="85"/>
      <c r="R120" s="85"/>
      <c r="S120" s="20"/>
      <c r="T120" s="20"/>
      <c r="U120" s="16"/>
      <c r="V120" s="16"/>
      <c r="W120" s="16"/>
      <c r="X120" s="16"/>
      <c r="Y120" s="16"/>
      <c r="Z120" s="16"/>
    </row>
    <row r="121" ht="15.75" customHeight="1">
      <c r="A121" s="67" t="str">
        <f t="shared" si="56"/>
        <v>Reducer Bushing (SCH-80)4 x 2 1⁄2</v>
      </c>
      <c r="B121" s="90">
        <v>7.0</v>
      </c>
      <c r="C121" s="127" t="s">
        <v>490</v>
      </c>
      <c r="D121" s="127" t="s">
        <v>491</v>
      </c>
      <c r="E121" s="94" t="s">
        <v>1285</v>
      </c>
      <c r="F121" s="56">
        <v>278.0</v>
      </c>
      <c r="G121" s="76">
        <f>IFERROR(__xludf.DUMMYFUNCTION("ArrayFormula(IFERROR(VLOOKUP(E121,IMPORTRANGE(""https://docs.google.com/spreadsheets/d/1xZyKy-UzMmtPDLpV5jQdYum1LtbR8XKDuasLSjmBRMI/edit#gid=1241094406"",""COMBINED DATA!E3:L""),{7,8},0)))"),0.546)</f>
        <v>0.546</v>
      </c>
      <c r="H121" s="76">
        <f>IFERROR(__xludf.DUMMYFUNCTION("""COMPUTED_VALUE"""),0.0)</f>
        <v>0</v>
      </c>
      <c r="I121" s="76">
        <f t="shared" si="57"/>
        <v>0.546</v>
      </c>
      <c r="J121" s="84">
        <f t="shared" si="58"/>
        <v>509.1575092</v>
      </c>
      <c r="K121" s="85">
        <f t="shared" si="59"/>
        <v>54.6</v>
      </c>
      <c r="L121" s="85">
        <f t="shared" si="60"/>
        <v>0</v>
      </c>
      <c r="M121" s="85">
        <f t="shared" si="61"/>
        <v>54.6</v>
      </c>
      <c r="N121" s="85">
        <f t="shared" si="7"/>
        <v>5.091575092</v>
      </c>
      <c r="O121" s="310">
        <v>278.0</v>
      </c>
      <c r="P121" s="75"/>
      <c r="Q121" s="85"/>
      <c r="R121" s="85"/>
      <c r="S121" s="20"/>
      <c r="T121" s="20"/>
      <c r="U121" s="16"/>
      <c r="V121" s="16"/>
      <c r="W121" s="16"/>
      <c r="X121" s="16"/>
      <c r="Y121" s="16"/>
      <c r="Z121" s="16"/>
    </row>
    <row r="122" ht="15.0" customHeight="1">
      <c r="A122" s="34"/>
      <c r="B122" s="237" t="s">
        <v>11</v>
      </c>
      <c r="C122" s="45"/>
      <c r="D122" s="45"/>
      <c r="E122" s="46"/>
      <c r="F122" s="103">
        <f>sum(F115:F121)</f>
        <v>1172</v>
      </c>
      <c r="G122" s="250"/>
      <c r="H122" s="243"/>
      <c r="I122" s="243"/>
      <c r="J122" s="243"/>
      <c r="K122" s="85"/>
      <c r="L122" s="85"/>
      <c r="M122" s="85"/>
      <c r="N122" s="85" t="str">
        <f t="shared" si="7"/>
        <v/>
      </c>
      <c r="O122" s="103">
        <f>sum(O115:O121)</f>
        <v>1172</v>
      </c>
      <c r="P122" s="307"/>
      <c r="Q122" s="85"/>
      <c r="R122" s="85"/>
      <c r="S122" s="15"/>
      <c r="T122" s="15"/>
      <c r="U122" s="243"/>
      <c r="V122" s="243"/>
      <c r="W122" s="243"/>
      <c r="X122" s="243"/>
      <c r="Y122" s="243"/>
      <c r="Z122" s="243"/>
    </row>
    <row r="123" ht="5.25" customHeight="1">
      <c r="A123" s="34"/>
      <c r="B123" s="15"/>
      <c r="C123" s="15"/>
      <c r="D123" s="15"/>
      <c r="E123" s="17"/>
      <c r="F123" s="15"/>
      <c r="G123" s="250"/>
      <c r="H123" s="243"/>
      <c r="I123" s="243"/>
      <c r="J123" s="243"/>
      <c r="K123" s="85"/>
      <c r="L123" s="85"/>
      <c r="M123" s="85"/>
      <c r="N123" s="85" t="str">
        <f t="shared" si="7"/>
        <v/>
      </c>
      <c r="O123" s="29"/>
      <c r="P123" s="307"/>
      <c r="Q123" s="85"/>
      <c r="R123" s="85"/>
      <c r="S123" s="15"/>
      <c r="T123" s="15"/>
      <c r="U123" s="243"/>
      <c r="V123" s="243"/>
      <c r="W123" s="243"/>
      <c r="X123" s="243"/>
      <c r="Y123" s="243"/>
      <c r="Z123" s="243"/>
    </row>
    <row r="124" ht="22.5" customHeight="1">
      <c r="A124" s="34"/>
      <c r="B124" s="62" t="s">
        <v>1287</v>
      </c>
      <c r="C124" s="45"/>
      <c r="D124" s="45"/>
      <c r="E124" s="45"/>
      <c r="F124" s="46"/>
      <c r="G124" s="250"/>
      <c r="H124" s="243"/>
      <c r="I124" s="243"/>
      <c r="J124" s="243"/>
      <c r="K124" s="85"/>
      <c r="L124" s="85"/>
      <c r="M124" s="85"/>
      <c r="N124" s="85" t="str">
        <f t="shared" si="7"/>
        <v/>
      </c>
      <c r="O124" s="29"/>
      <c r="P124" s="307"/>
      <c r="Q124" s="85"/>
      <c r="R124" s="85"/>
      <c r="S124" s="15"/>
      <c r="T124" s="15"/>
      <c r="U124" s="243"/>
      <c r="V124" s="243"/>
      <c r="W124" s="243"/>
      <c r="X124" s="243"/>
      <c r="Y124" s="243"/>
      <c r="Z124" s="243"/>
    </row>
    <row r="125" ht="15.75" customHeight="1">
      <c r="A125" s="67" t="str">
        <f t="shared" ref="A125:A139" si="62">$B$124&amp;C125</f>
        <v>Reducer Coupling (SCH-80)3⁄4 x 1⁄2</v>
      </c>
      <c r="B125" s="68">
        <v>1.0</v>
      </c>
      <c r="C125" s="110" t="s">
        <v>144</v>
      </c>
      <c r="D125" s="110" t="s">
        <v>145</v>
      </c>
      <c r="E125" s="129" t="s">
        <v>1289</v>
      </c>
      <c r="F125" s="56">
        <v>15.5</v>
      </c>
      <c r="G125" s="76">
        <f>IFERROR(__xludf.DUMMYFUNCTION("ArrayFormula(IFERROR(VLOOKUP(E125,IMPORTRANGE(""https://docs.google.com/spreadsheets/d/1xZyKy-UzMmtPDLpV5jQdYum1LtbR8XKDuasLSjmBRMI/edit#gid=1241094406"",""COMBINED DATA!E3:L""),{7,8},0)))"),0.027024999999999997)</f>
        <v>0.027025</v>
      </c>
      <c r="H125" s="76">
        <f>IFERROR(__xludf.DUMMYFUNCTION("""COMPUTED_VALUE"""),0.0)</f>
        <v>0</v>
      </c>
      <c r="I125" s="76">
        <f t="shared" ref="I125:I139" si="63">G125+H125</f>
        <v>0.027025</v>
      </c>
      <c r="J125" s="84">
        <f t="shared" ref="J125:J139" si="64">IFERROR(F125/I125,"")</f>
        <v>573.5430157</v>
      </c>
      <c r="K125" s="85">
        <f t="shared" ref="K125:K139" si="65">IFERROR(G125*100,)</f>
        <v>2.7025</v>
      </c>
      <c r="L125" s="85">
        <f t="shared" ref="L125:L139" si="66">IFERROR(H125*725,)</f>
        <v>0</v>
      </c>
      <c r="M125" s="85">
        <f t="shared" ref="M125:M139" si="67">IFERROR(K125+L125,"")</f>
        <v>2.7025</v>
      </c>
      <c r="N125" s="85">
        <f t="shared" si="7"/>
        <v>5.735430157</v>
      </c>
      <c r="O125" s="310">
        <v>15.5</v>
      </c>
      <c r="P125" s="75"/>
      <c r="Q125" s="85"/>
      <c r="R125" s="85"/>
      <c r="S125" s="20"/>
      <c r="T125" s="20"/>
      <c r="U125" s="16"/>
      <c r="V125" s="16"/>
      <c r="W125" s="16"/>
      <c r="X125" s="16"/>
      <c r="Y125" s="16"/>
      <c r="Z125" s="16"/>
    </row>
    <row r="126" ht="15.75" customHeight="1">
      <c r="A126" s="67" t="str">
        <f t="shared" si="62"/>
        <v>Reducer Coupling (SCH-80)1 x 1⁄2</v>
      </c>
      <c r="B126" s="90">
        <v>2.0</v>
      </c>
      <c r="C126" s="127" t="s">
        <v>352</v>
      </c>
      <c r="D126" s="127" t="s">
        <v>353</v>
      </c>
      <c r="E126" s="94" t="s">
        <v>1291</v>
      </c>
      <c r="F126" s="56">
        <v>23.8</v>
      </c>
      <c r="G126" s="76">
        <f>IFERROR(__xludf.DUMMYFUNCTION("ArrayFormula(IFERROR(VLOOKUP(E126,IMPORTRANGE(""https://docs.google.com/spreadsheets/d/1xZyKy-UzMmtPDLpV5jQdYum1LtbR8XKDuasLSjmBRMI/edit#gid=1241094406"",""COMBINED DATA!E3:L""),{7,8},0)))"),0.04325)</f>
        <v>0.04325</v>
      </c>
      <c r="H126" s="76">
        <f>IFERROR(__xludf.DUMMYFUNCTION("""COMPUTED_VALUE"""),0.0)</f>
        <v>0</v>
      </c>
      <c r="I126" s="76">
        <f t="shared" si="63"/>
        <v>0.04325</v>
      </c>
      <c r="J126" s="84">
        <f t="shared" si="64"/>
        <v>550.2890173</v>
      </c>
      <c r="K126" s="85">
        <f t="shared" si="65"/>
        <v>4.325</v>
      </c>
      <c r="L126" s="85">
        <f t="shared" si="66"/>
        <v>0</v>
      </c>
      <c r="M126" s="85">
        <f t="shared" si="67"/>
        <v>4.325</v>
      </c>
      <c r="N126" s="85">
        <f t="shared" si="7"/>
        <v>5.502890173</v>
      </c>
      <c r="O126" s="310">
        <v>23.8</v>
      </c>
      <c r="P126" s="75"/>
      <c r="Q126" s="85"/>
      <c r="R126" s="85"/>
      <c r="S126" s="20"/>
      <c r="T126" s="20"/>
      <c r="U126" s="16"/>
      <c r="V126" s="16"/>
      <c r="W126" s="16"/>
      <c r="X126" s="16"/>
      <c r="Y126" s="16"/>
      <c r="Z126" s="16"/>
    </row>
    <row r="127" ht="15.75" customHeight="1">
      <c r="A127" s="67" t="str">
        <f t="shared" si="62"/>
        <v>Reducer Coupling (SCH-80)1 x 3⁄4</v>
      </c>
      <c r="B127" s="90">
        <v>3.0</v>
      </c>
      <c r="C127" s="127" t="s">
        <v>153</v>
      </c>
      <c r="D127" s="127" t="s">
        <v>155</v>
      </c>
      <c r="E127" s="94" t="s">
        <v>1293</v>
      </c>
      <c r="F127" s="56">
        <v>25.2</v>
      </c>
      <c r="G127" s="76">
        <f>IFERROR(__xludf.DUMMYFUNCTION("ArrayFormula(IFERROR(VLOOKUP(E127,IMPORTRANGE(""https://docs.google.com/spreadsheets/d/1xZyKy-UzMmtPDLpV5jQdYum1LtbR8XKDuasLSjmBRMI/edit#gid=1241094406"",""COMBINED DATA!E3:L""),{7,8},0)))"),0.0446)</f>
        <v>0.0446</v>
      </c>
      <c r="H127" s="76">
        <f>IFERROR(__xludf.DUMMYFUNCTION("""COMPUTED_VALUE"""),0.0)</f>
        <v>0</v>
      </c>
      <c r="I127" s="76">
        <f t="shared" si="63"/>
        <v>0.0446</v>
      </c>
      <c r="J127" s="84">
        <f t="shared" si="64"/>
        <v>565.0224215</v>
      </c>
      <c r="K127" s="85">
        <f t="shared" si="65"/>
        <v>4.46</v>
      </c>
      <c r="L127" s="85">
        <f t="shared" si="66"/>
        <v>0</v>
      </c>
      <c r="M127" s="85">
        <f t="shared" si="67"/>
        <v>4.46</v>
      </c>
      <c r="N127" s="85">
        <f t="shared" si="7"/>
        <v>5.650224215</v>
      </c>
      <c r="O127" s="310">
        <v>25.2</v>
      </c>
      <c r="P127" s="75"/>
      <c r="Q127" s="85"/>
      <c r="R127" s="85"/>
      <c r="S127" s="20"/>
      <c r="T127" s="20"/>
      <c r="U127" s="16"/>
      <c r="V127" s="16"/>
      <c r="W127" s="16"/>
      <c r="X127" s="16"/>
      <c r="Y127" s="16"/>
      <c r="Z127" s="16"/>
    </row>
    <row r="128" ht="15.75" customHeight="1">
      <c r="A128" s="67" t="str">
        <f t="shared" si="62"/>
        <v>Reducer Coupling (SCH-80)1 1⁄4 x 1⁄2</v>
      </c>
      <c r="B128" s="90">
        <v>4.0</v>
      </c>
      <c r="C128" s="127" t="s">
        <v>401</v>
      </c>
      <c r="D128" s="127" t="s">
        <v>402</v>
      </c>
      <c r="E128" s="94" t="s">
        <v>1294</v>
      </c>
      <c r="F128" s="56">
        <v>31.2</v>
      </c>
      <c r="G128" s="76">
        <f>IFERROR(__xludf.DUMMYFUNCTION("ArrayFormula(IFERROR(VLOOKUP(E128,IMPORTRANGE(""https://docs.google.com/spreadsheets/d/1xZyKy-UzMmtPDLpV5jQdYum1LtbR8XKDuasLSjmBRMI/edit#gid=1241094406"",""COMBINED DATA!E3:L""),{7,8},0)))"),0.05425)</f>
        <v>0.05425</v>
      </c>
      <c r="H128" s="76">
        <f>IFERROR(__xludf.DUMMYFUNCTION("""COMPUTED_VALUE"""),0.0)</f>
        <v>0</v>
      </c>
      <c r="I128" s="76">
        <f t="shared" si="63"/>
        <v>0.05425</v>
      </c>
      <c r="J128" s="84">
        <f t="shared" si="64"/>
        <v>575.1152074</v>
      </c>
      <c r="K128" s="85">
        <f t="shared" si="65"/>
        <v>5.425</v>
      </c>
      <c r="L128" s="85">
        <f t="shared" si="66"/>
        <v>0</v>
      </c>
      <c r="M128" s="85">
        <f t="shared" si="67"/>
        <v>5.425</v>
      </c>
      <c r="N128" s="85">
        <f t="shared" si="7"/>
        <v>5.751152074</v>
      </c>
      <c r="O128" s="310">
        <v>31.2</v>
      </c>
      <c r="P128" s="75"/>
      <c r="Q128" s="85"/>
      <c r="R128" s="85"/>
      <c r="S128" s="20"/>
      <c r="T128" s="20"/>
      <c r="U128" s="16"/>
      <c r="V128" s="16"/>
      <c r="W128" s="16"/>
      <c r="X128" s="16"/>
      <c r="Y128" s="16"/>
      <c r="Z128" s="16"/>
    </row>
    <row r="129" ht="15.75" customHeight="1">
      <c r="A129" s="67" t="str">
        <f t="shared" si="62"/>
        <v>Reducer Coupling (SCH-80)1 1⁄4 x 3⁄4</v>
      </c>
      <c r="B129" s="90">
        <v>5.0</v>
      </c>
      <c r="C129" s="127" t="s">
        <v>303</v>
      </c>
      <c r="D129" s="127" t="s">
        <v>304</v>
      </c>
      <c r="E129" s="94" t="s">
        <v>1296</v>
      </c>
      <c r="F129" s="56">
        <v>32.0</v>
      </c>
      <c r="G129" s="76">
        <f>IFERROR(__xludf.DUMMYFUNCTION("ArrayFormula(IFERROR(VLOOKUP(E129,IMPORTRANGE(""https://docs.google.com/spreadsheets/d/1xZyKy-UzMmtPDLpV5jQdYum1LtbR8XKDuasLSjmBRMI/edit#gid=1241094406"",""COMBINED DATA!E3:L""),{7,8},0)))"),0.056)</f>
        <v>0.056</v>
      </c>
      <c r="H129" s="76">
        <f>IFERROR(__xludf.DUMMYFUNCTION("""COMPUTED_VALUE"""),0.0)</f>
        <v>0</v>
      </c>
      <c r="I129" s="76">
        <f t="shared" si="63"/>
        <v>0.056</v>
      </c>
      <c r="J129" s="84">
        <f t="shared" si="64"/>
        <v>571.4285714</v>
      </c>
      <c r="K129" s="85">
        <f t="shared" si="65"/>
        <v>5.6</v>
      </c>
      <c r="L129" s="85">
        <f t="shared" si="66"/>
        <v>0</v>
      </c>
      <c r="M129" s="85">
        <f t="shared" si="67"/>
        <v>5.6</v>
      </c>
      <c r="N129" s="85">
        <f t="shared" si="7"/>
        <v>5.714285714</v>
      </c>
      <c r="O129" s="310">
        <v>32.0</v>
      </c>
      <c r="P129" s="75"/>
      <c r="Q129" s="85"/>
      <c r="R129" s="85"/>
      <c r="S129" s="20"/>
      <c r="T129" s="20"/>
      <c r="U129" s="16"/>
      <c r="V129" s="16"/>
      <c r="W129" s="16"/>
      <c r="X129" s="16"/>
      <c r="Y129" s="16"/>
      <c r="Z129" s="16"/>
    </row>
    <row r="130" ht="15.75" customHeight="1">
      <c r="A130" s="67" t="str">
        <f t="shared" si="62"/>
        <v>Reducer Coupling (SCH-80)1 1⁄4 x 1</v>
      </c>
      <c r="B130" s="90">
        <v>6.0</v>
      </c>
      <c r="C130" s="127" t="s">
        <v>306</v>
      </c>
      <c r="D130" s="127" t="s">
        <v>307</v>
      </c>
      <c r="E130" s="94" t="s">
        <v>1298</v>
      </c>
      <c r="F130" s="56">
        <v>35.7</v>
      </c>
      <c r="G130" s="76">
        <f>IFERROR(__xludf.DUMMYFUNCTION("ArrayFormula(IFERROR(VLOOKUP(E130,IMPORTRANGE(""https://docs.google.com/spreadsheets/d/1xZyKy-UzMmtPDLpV5jQdYum1LtbR8XKDuasLSjmBRMI/edit#gid=1241094406"",""COMBINED DATA!E3:L""),{7,8},0)))"),0.063)</f>
        <v>0.063</v>
      </c>
      <c r="H130" s="76">
        <f>IFERROR(__xludf.DUMMYFUNCTION("""COMPUTED_VALUE"""),0.0)</f>
        <v>0</v>
      </c>
      <c r="I130" s="76">
        <f t="shared" si="63"/>
        <v>0.063</v>
      </c>
      <c r="J130" s="84">
        <f t="shared" si="64"/>
        <v>566.6666667</v>
      </c>
      <c r="K130" s="85">
        <f t="shared" si="65"/>
        <v>6.3</v>
      </c>
      <c r="L130" s="85">
        <f t="shared" si="66"/>
        <v>0</v>
      </c>
      <c r="M130" s="85">
        <f t="shared" si="67"/>
        <v>6.3</v>
      </c>
      <c r="N130" s="85">
        <f t="shared" si="7"/>
        <v>5.666666667</v>
      </c>
      <c r="O130" s="310">
        <v>35.7</v>
      </c>
      <c r="P130" s="75"/>
      <c r="Q130" s="85"/>
      <c r="R130" s="85"/>
      <c r="S130" s="20"/>
      <c r="T130" s="20"/>
      <c r="U130" s="16"/>
      <c r="V130" s="16"/>
      <c r="W130" s="16"/>
      <c r="X130" s="16"/>
      <c r="Y130" s="16"/>
      <c r="Z130" s="16"/>
    </row>
    <row r="131" ht="15.75" customHeight="1">
      <c r="A131" s="67" t="str">
        <f t="shared" si="62"/>
        <v>Reducer Coupling (SCH-80)1 1⁄2 x 1⁄2</v>
      </c>
      <c r="B131" s="90">
        <v>7.0</v>
      </c>
      <c r="C131" s="127" t="s">
        <v>414</v>
      </c>
      <c r="D131" s="127" t="s">
        <v>415</v>
      </c>
      <c r="E131" s="94" t="s">
        <v>1299</v>
      </c>
      <c r="F131" s="56">
        <v>80.6</v>
      </c>
      <c r="G131" s="76">
        <f>IFERROR(__xludf.DUMMYFUNCTION("ArrayFormula(IFERROR(VLOOKUP(E131,IMPORTRANGE(""https://docs.google.com/spreadsheets/d/1xZyKy-UzMmtPDLpV5jQdYum1LtbR8XKDuasLSjmBRMI/edit#gid=1241094406"",""COMBINED DATA!E3:L""),{7,8},0)))"),0.147)</f>
        <v>0.147</v>
      </c>
      <c r="H131" s="76">
        <f>IFERROR(__xludf.DUMMYFUNCTION("""COMPUTED_VALUE"""),0.0)</f>
        <v>0</v>
      </c>
      <c r="I131" s="76">
        <f t="shared" si="63"/>
        <v>0.147</v>
      </c>
      <c r="J131" s="84">
        <f t="shared" si="64"/>
        <v>548.2993197</v>
      </c>
      <c r="K131" s="85">
        <f t="shared" si="65"/>
        <v>14.7</v>
      </c>
      <c r="L131" s="85">
        <f t="shared" si="66"/>
        <v>0</v>
      </c>
      <c r="M131" s="85">
        <f t="shared" si="67"/>
        <v>14.7</v>
      </c>
      <c r="N131" s="85">
        <f t="shared" si="7"/>
        <v>5.482993197</v>
      </c>
      <c r="O131" s="310">
        <v>80.6</v>
      </c>
      <c r="P131" s="75"/>
      <c r="Q131" s="85"/>
      <c r="R131" s="85"/>
      <c r="S131" s="20"/>
      <c r="T131" s="20"/>
      <c r="U131" s="16"/>
      <c r="V131" s="16"/>
      <c r="W131" s="16"/>
      <c r="X131" s="16"/>
      <c r="Y131" s="16"/>
      <c r="Z131" s="16"/>
    </row>
    <row r="132" ht="15.75" customHeight="1">
      <c r="A132" s="67" t="str">
        <f t="shared" si="62"/>
        <v>Reducer Coupling (SCH-80)1 1⁄2 x 3⁄4</v>
      </c>
      <c r="B132" s="90">
        <v>8.0</v>
      </c>
      <c r="C132" s="127" t="s">
        <v>310</v>
      </c>
      <c r="D132" s="127" t="s">
        <v>311</v>
      </c>
      <c r="E132" s="94" t="s">
        <v>1301</v>
      </c>
      <c r="F132" s="56">
        <v>42.6</v>
      </c>
      <c r="G132" s="76">
        <f>IFERROR(__xludf.DUMMYFUNCTION("ArrayFormula(IFERROR(VLOOKUP(E132,IMPORTRANGE(""https://docs.google.com/spreadsheets/d/1xZyKy-UzMmtPDLpV5jQdYum1LtbR8XKDuasLSjmBRMI/edit#gid=1241094406"",""COMBINED DATA!E3:L""),{7,8},0)))"),0.0756)</f>
        <v>0.0756</v>
      </c>
      <c r="H132" s="76">
        <f>IFERROR(__xludf.DUMMYFUNCTION("""COMPUTED_VALUE"""),0.0)</f>
        <v>0</v>
      </c>
      <c r="I132" s="76">
        <f t="shared" si="63"/>
        <v>0.0756</v>
      </c>
      <c r="J132" s="84">
        <f t="shared" si="64"/>
        <v>563.4920635</v>
      </c>
      <c r="K132" s="85">
        <f t="shared" si="65"/>
        <v>7.56</v>
      </c>
      <c r="L132" s="85">
        <f t="shared" si="66"/>
        <v>0</v>
      </c>
      <c r="M132" s="85">
        <f t="shared" si="67"/>
        <v>7.56</v>
      </c>
      <c r="N132" s="85">
        <f t="shared" si="7"/>
        <v>5.634920635</v>
      </c>
      <c r="O132" s="310">
        <v>42.6</v>
      </c>
      <c r="P132" s="75"/>
      <c r="Q132" s="85"/>
      <c r="R132" s="85"/>
      <c r="S132" s="20"/>
      <c r="T132" s="20"/>
      <c r="U132" s="16"/>
      <c r="V132" s="16"/>
      <c r="W132" s="16"/>
      <c r="X132" s="16"/>
      <c r="Y132" s="16"/>
      <c r="Z132" s="16"/>
    </row>
    <row r="133" ht="15.75" customHeight="1">
      <c r="A133" s="67" t="str">
        <f t="shared" si="62"/>
        <v>Reducer Coupling (SCH-80)1 1⁄2 x 1</v>
      </c>
      <c r="B133" s="90">
        <v>9.0</v>
      </c>
      <c r="C133" s="127" t="s">
        <v>313</v>
      </c>
      <c r="D133" s="127" t="s">
        <v>314</v>
      </c>
      <c r="E133" s="94" t="s">
        <v>1303</v>
      </c>
      <c r="F133" s="56">
        <v>47.0</v>
      </c>
      <c r="G133" s="76">
        <f>IFERROR(__xludf.DUMMYFUNCTION("ArrayFormula(IFERROR(VLOOKUP(E133,IMPORTRANGE(""https://docs.google.com/spreadsheets/d/1xZyKy-UzMmtPDLpV5jQdYum1LtbR8XKDuasLSjmBRMI/edit#gid=1241094406"",""COMBINED DATA!E3:L""),{7,8},0)))"),0.08225)</f>
        <v>0.08225</v>
      </c>
      <c r="H133" s="76">
        <f>IFERROR(__xludf.DUMMYFUNCTION("""COMPUTED_VALUE"""),0.0)</f>
        <v>0</v>
      </c>
      <c r="I133" s="76">
        <f t="shared" si="63"/>
        <v>0.08225</v>
      </c>
      <c r="J133" s="84">
        <f t="shared" si="64"/>
        <v>571.4285714</v>
      </c>
      <c r="K133" s="85">
        <f t="shared" si="65"/>
        <v>8.225</v>
      </c>
      <c r="L133" s="85">
        <f t="shared" si="66"/>
        <v>0</v>
      </c>
      <c r="M133" s="85">
        <f t="shared" si="67"/>
        <v>8.225</v>
      </c>
      <c r="N133" s="85">
        <f t="shared" si="7"/>
        <v>5.714285714</v>
      </c>
      <c r="O133" s="310">
        <v>47.0</v>
      </c>
      <c r="P133" s="75"/>
      <c r="Q133" s="85"/>
      <c r="R133" s="85"/>
      <c r="S133" s="20"/>
      <c r="T133" s="20"/>
      <c r="U133" s="16"/>
      <c r="V133" s="16"/>
      <c r="W133" s="16"/>
      <c r="X133" s="16"/>
      <c r="Y133" s="16"/>
      <c r="Z133" s="16"/>
    </row>
    <row r="134" ht="15.75" customHeight="1">
      <c r="A134" s="67" t="str">
        <f t="shared" si="62"/>
        <v>Reducer Coupling (SCH-80)1 1⁄2 x 1 1⁄4</v>
      </c>
      <c r="B134" s="90">
        <v>10.0</v>
      </c>
      <c r="C134" s="127" t="s">
        <v>317</v>
      </c>
      <c r="D134" s="127" t="s">
        <v>318</v>
      </c>
      <c r="E134" s="94" t="s">
        <v>1305</v>
      </c>
      <c r="F134" s="56">
        <v>63.0</v>
      </c>
      <c r="G134" s="76">
        <f>IFERROR(__xludf.DUMMYFUNCTION("ArrayFormula(IFERROR(VLOOKUP(E134,IMPORTRANGE(""https://docs.google.com/spreadsheets/d/1xZyKy-UzMmtPDLpV5jQdYum1LtbR8XKDuasLSjmBRMI/edit#gid=1241094406"",""COMBINED DATA!E3:L""),{7,8},0)))"),0.12140000000000001)</f>
        <v>0.1214</v>
      </c>
      <c r="H134" s="76">
        <f>IFERROR(__xludf.DUMMYFUNCTION("""COMPUTED_VALUE"""),0.0)</f>
        <v>0</v>
      </c>
      <c r="I134" s="76">
        <f t="shared" si="63"/>
        <v>0.1214</v>
      </c>
      <c r="J134" s="84">
        <f t="shared" si="64"/>
        <v>518.9456343</v>
      </c>
      <c r="K134" s="85">
        <f t="shared" si="65"/>
        <v>12.14</v>
      </c>
      <c r="L134" s="85">
        <f t="shared" si="66"/>
        <v>0</v>
      </c>
      <c r="M134" s="85">
        <f t="shared" si="67"/>
        <v>12.14</v>
      </c>
      <c r="N134" s="85">
        <f t="shared" si="7"/>
        <v>5.189456343</v>
      </c>
      <c r="O134" s="310">
        <v>63.0</v>
      </c>
      <c r="P134" s="75"/>
      <c r="Q134" s="85"/>
      <c r="R134" s="85"/>
      <c r="S134" s="20"/>
      <c r="T134" s="20"/>
      <c r="U134" s="16"/>
      <c r="V134" s="16"/>
      <c r="W134" s="16"/>
      <c r="X134" s="16"/>
      <c r="Y134" s="16"/>
      <c r="Z134" s="16"/>
    </row>
    <row r="135" ht="15.75" customHeight="1">
      <c r="A135" s="67" t="str">
        <f t="shared" si="62"/>
        <v>Reducer Coupling (SCH-80)2 x 1⁄2</v>
      </c>
      <c r="B135" s="90">
        <v>11.0</v>
      </c>
      <c r="C135" s="127" t="s">
        <v>1308</v>
      </c>
      <c r="D135" s="127" t="s">
        <v>1309</v>
      </c>
      <c r="E135" s="94" t="s">
        <v>1310</v>
      </c>
      <c r="F135" s="56">
        <v>123.6</v>
      </c>
      <c r="G135" s="76">
        <f>IFERROR(__xludf.DUMMYFUNCTION("ArrayFormula(IFERROR(VLOOKUP(E135,IMPORTRANGE(""https://docs.google.com/spreadsheets/d/1xZyKy-UzMmtPDLpV5jQdYum1LtbR8XKDuasLSjmBRMI/edit#gid=1241094406"",""COMBINED DATA!E3:L""),{7,8},0)))"),0.22685)</f>
        <v>0.22685</v>
      </c>
      <c r="H135" s="76">
        <f>IFERROR(__xludf.DUMMYFUNCTION("""COMPUTED_VALUE"""),0.0)</f>
        <v>0</v>
      </c>
      <c r="I135" s="76">
        <f t="shared" si="63"/>
        <v>0.22685</v>
      </c>
      <c r="J135" s="84">
        <f t="shared" si="64"/>
        <v>544.8534274</v>
      </c>
      <c r="K135" s="85">
        <f t="shared" si="65"/>
        <v>22.685</v>
      </c>
      <c r="L135" s="85">
        <f t="shared" si="66"/>
        <v>0</v>
      </c>
      <c r="M135" s="85">
        <f t="shared" si="67"/>
        <v>22.685</v>
      </c>
      <c r="N135" s="85">
        <f t="shared" si="7"/>
        <v>5.448534274</v>
      </c>
      <c r="O135" s="310">
        <v>123.6</v>
      </c>
      <c r="P135" s="75"/>
      <c r="Q135" s="85"/>
      <c r="R135" s="85"/>
      <c r="S135" s="20"/>
      <c r="T135" s="20"/>
      <c r="U135" s="16"/>
      <c r="V135" s="16"/>
      <c r="W135" s="16"/>
      <c r="X135" s="16"/>
      <c r="Y135" s="16"/>
      <c r="Z135" s="16"/>
    </row>
    <row r="136" ht="15.75" customHeight="1">
      <c r="A136" s="67" t="str">
        <f t="shared" si="62"/>
        <v>Reducer Coupling (SCH-80)2 x 3⁄4</v>
      </c>
      <c r="B136" s="90">
        <v>12.0</v>
      </c>
      <c r="C136" s="127" t="s">
        <v>320</v>
      </c>
      <c r="D136" s="127" t="s">
        <v>321</v>
      </c>
      <c r="E136" s="94" t="s">
        <v>1312</v>
      </c>
      <c r="F136" s="56">
        <v>122.6</v>
      </c>
      <c r="G136" s="76">
        <f>IFERROR(__xludf.DUMMYFUNCTION("ArrayFormula(IFERROR(VLOOKUP(E136,IMPORTRANGE(""https://docs.google.com/spreadsheets/d/1xZyKy-UzMmtPDLpV5jQdYum1LtbR8XKDuasLSjmBRMI/edit#gid=1241094406"",""COMBINED DATA!E3:L""),{7,8},0)))"),0.22585)</f>
        <v>0.22585</v>
      </c>
      <c r="H136" s="76">
        <f>IFERROR(__xludf.DUMMYFUNCTION("""COMPUTED_VALUE"""),0.0)</f>
        <v>0</v>
      </c>
      <c r="I136" s="76">
        <f t="shared" si="63"/>
        <v>0.22585</v>
      </c>
      <c r="J136" s="84">
        <f t="shared" si="64"/>
        <v>542.8381669</v>
      </c>
      <c r="K136" s="85">
        <f t="shared" si="65"/>
        <v>22.585</v>
      </c>
      <c r="L136" s="85">
        <f t="shared" si="66"/>
        <v>0</v>
      </c>
      <c r="M136" s="85">
        <f t="shared" si="67"/>
        <v>22.585</v>
      </c>
      <c r="N136" s="85">
        <f t="shared" si="7"/>
        <v>5.428381669</v>
      </c>
      <c r="O136" s="310">
        <v>122.6</v>
      </c>
      <c r="P136" s="75"/>
      <c r="Q136" s="85"/>
      <c r="R136" s="85"/>
      <c r="S136" s="20"/>
      <c r="T136" s="20"/>
      <c r="U136" s="16"/>
      <c r="V136" s="16"/>
      <c r="W136" s="16"/>
      <c r="X136" s="16"/>
      <c r="Y136" s="16"/>
      <c r="Z136" s="16"/>
    </row>
    <row r="137" ht="15.75" customHeight="1">
      <c r="A137" s="67" t="str">
        <f t="shared" si="62"/>
        <v>Reducer Coupling (SCH-80)2 x 1</v>
      </c>
      <c r="B137" s="90">
        <v>13.0</v>
      </c>
      <c r="C137" s="127" t="s">
        <v>324</v>
      </c>
      <c r="D137" s="127" t="s">
        <v>325</v>
      </c>
      <c r="E137" s="94" t="s">
        <v>1316</v>
      </c>
      <c r="F137" s="56">
        <v>124.8</v>
      </c>
      <c r="G137" s="76">
        <f>IFERROR(__xludf.DUMMYFUNCTION("ArrayFormula(IFERROR(VLOOKUP(E137,IMPORTRANGE(""https://docs.google.com/spreadsheets/d/1xZyKy-UzMmtPDLpV5jQdYum1LtbR8XKDuasLSjmBRMI/edit#gid=1241094406"",""COMBINED DATA!E3:L""),{7,8},0)))"),0.23852)</f>
        <v>0.23852</v>
      </c>
      <c r="H137" s="76">
        <f>IFERROR(__xludf.DUMMYFUNCTION("""COMPUTED_VALUE"""),0.0)</f>
        <v>0</v>
      </c>
      <c r="I137" s="76">
        <f t="shared" si="63"/>
        <v>0.23852</v>
      </c>
      <c r="J137" s="84">
        <f t="shared" si="64"/>
        <v>523.2265638</v>
      </c>
      <c r="K137" s="85">
        <f t="shared" si="65"/>
        <v>23.852</v>
      </c>
      <c r="L137" s="85">
        <f t="shared" si="66"/>
        <v>0</v>
      </c>
      <c r="M137" s="85">
        <f t="shared" si="67"/>
        <v>23.852</v>
      </c>
      <c r="N137" s="85">
        <f t="shared" si="7"/>
        <v>5.232265638</v>
      </c>
      <c r="O137" s="310">
        <v>124.8</v>
      </c>
      <c r="P137" s="75"/>
      <c r="Q137" s="85"/>
      <c r="R137" s="85"/>
      <c r="S137" s="20"/>
      <c r="T137" s="20"/>
      <c r="U137" s="16"/>
      <c r="V137" s="16"/>
      <c r="W137" s="16"/>
      <c r="X137" s="16"/>
      <c r="Y137" s="16"/>
      <c r="Z137" s="16"/>
    </row>
    <row r="138" ht="15.75" customHeight="1">
      <c r="A138" s="67" t="str">
        <f t="shared" si="62"/>
        <v>Reducer Coupling (SCH-80)2 x 1 1⁄4</v>
      </c>
      <c r="B138" s="90">
        <v>14.0</v>
      </c>
      <c r="C138" s="127" t="s">
        <v>327</v>
      </c>
      <c r="D138" s="127" t="s">
        <v>328</v>
      </c>
      <c r="E138" s="94" t="s">
        <v>1318</v>
      </c>
      <c r="F138" s="56">
        <v>121.1</v>
      </c>
      <c r="G138" s="76">
        <f>IFERROR(__xludf.DUMMYFUNCTION("ArrayFormula(IFERROR(VLOOKUP(E138,IMPORTRANGE(""https://docs.google.com/spreadsheets/d/1xZyKy-UzMmtPDLpV5jQdYum1LtbR8XKDuasLSjmBRMI/edit#gid=1241094406"",""COMBINED DATA!E3:L""),{7,8},0)))"),0.22144999999999998)</f>
        <v>0.22145</v>
      </c>
      <c r="H138" s="76">
        <f>IFERROR(__xludf.DUMMYFUNCTION("""COMPUTED_VALUE"""),0.0)</f>
        <v>0</v>
      </c>
      <c r="I138" s="76">
        <f t="shared" si="63"/>
        <v>0.22145</v>
      </c>
      <c r="J138" s="84">
        <f t="shared" si="64"/>
        <v>546.8503048</v>
      </c>
      <c r="K138" s="85">
        <f t="shared" si="65"/>
        <v>22.145</v>
      </c>
      <c r="L138" s="85">
        <f t="shared" si="66"/>
        <v>0</v>
      </c>
      <c r="M138" s="85">
        <f t="shared" si="67"/>
        <v>22.145</v>
      </c>
      <c r="N138" s="85">
        <f t="shared" si="7"/>
        <v>5.468503048</v>
      </c>
      <c r="O138" s="310">
        <v>121.1</v>
      </c>
      <c r="P138" s="75"/>
      <c r="Q138" s="85"/>
      <c r="R138" s="85"/>
      <c r="S138" s="20"/>
      <c r="T138" s="20"/>
      <c r="U138" s="16"/>
      <c r="V138" s="16"/>
      <c r="W138" s="16"/>
      <c r="X138" s="16"/>
      <c r="Y138" s="16"/>
      <c r="Z138" s="16"/>
    </row>
    <row r="139" ht="15.75" customHeight="1">
      <c r="A139" s="67" t="str">
        <f t="shared" si="62"/>
        <v>Reducer Coupling (SCH-80)2 x 1 1⁄2</v>
      </c>
      <c r="B139" s="90">
        <v>15.0</v>
      </c>
      <c r="C139" s="127" t="s">
        <v>331</v>
      </c>
      <c r="D139" s="127" t="s">
        <v>332</v>
      </c>
      <c r="E139" s="94" t="s">
        <v>1320</v>
      </c>
      <c r="F139" s="56">
        <v>111.9</v>
      </c>
      <c r="G139" s="76">
        <f>IFERROR(__xludf.DUMMYFUNCTION("ArrayFormula(IFERROR(VLOOKUP(E139,IMPORTRANGE(""https://docs.google.com/spreadsheets/d/1xZyKy-UzMmtPDLpV5jQdYum1LtbR8XKDuasLSjmBRMI/edit#gid=1241094406"",""COMBINED DATA!E3:L""),{7,8},0)))"),0.20525)</f>
        <v>0.20525</v>
      </c>
      <c r="H139" s="76">
        <f>IFERROR(__xludf.DUMMYFUNCTION("""COMPUTED_VALUE"""),0.0)</f>
        <v>0</v>
      </c>
      <c r="I139" s="76">
        <f t="shared" si="63"/>
        <v>0.20525</v>
      </c>
      <c r="J139" s="84">
        <f t="shared" si="64"/>
        <v>545.1887942</v>
      </c>
      <c r="K139" s="85">
        <f t="shared" si="65"/>
        <v>20.525</v>
      </c>
      <c r="L139" s="85">
        <f t="shared" si="66"/>
        <v>0</v>
      </c>
      <c r="M139" s="85">
        <f t="shared" si="67"/>
        <v>20.525</v>
      </c>
      <c r="N139" s="85">
        <f t="shared" si="7"/>
        <v>5.451887942</v>
      </c>
      <c r="O139" s="310">
        <v>111.9</v>
      </c>
      <c r="P139" s="75"/>
      <c r="Q139" s="85"/>
      <c r="R139" s="85"/>
      <c r="S139" s="20"/>
      <c r="T139" s="20"/>
      <c r="U139" s="16"/>
      <c r="V139" s="16"/>
      <c r="W139" s="16"/>
      <c r="X139" s="16"/>
      <c r="Y139" s="16"/>
      <c r="Z139" s="16"/>
    </row>
    <row r="140">
      <c r="A140" s="34"/>
      <c r="B140" s="237" t="s">
        <v>11</v>
      </c>
      <c r="C140" s="45"/>
      <c r="D140" s="45"/>
      <c r="E140" s="46"/>
      <c r="F140" s="103">
        <f>SUM(F125:F139)</f>
        <v>1000.6</v>
      </c>
      <c r="G140" s="250"/>
      <c r="H140" s="243"/>
      <c r="I140" s="243"/>
      <c r="J140" s="243"/>
      <c r="K140" s="85"/>
      <c r="L140" s="85"/>
      <c r="M140" s="85"/>
      <c r="N140" s="85" t="str">
        <f t="shared" si="7"/>
        <v/>
      </c>
      <c r="O140" s="103">
        <f>SUM(O125:O139)</f>
        <v>1000.6</v>
      </c>
      <c r="P140" s="75"/>
      <c r="Q140" s="85"/>
      <c r="R140" s="85"/>
      <c r="S140" s="15"/>
      <c r="T140" s="15"/>
      <c r="U140" s="243"/>
      <c r="V140" s="243"/>
      <c r="W140" s="243"/>
      <c r="X140" s="243"/>
      <c r="Y140" s="243"/>
      <c r="Z140" s="243"/>
    </row>
    <row r="141" ht="5.25" customHeight="1">
      <c r="A141" s="34"/>
      <c r="B141" s="15"/>
      <c r="C141" s="15"/>
      <c r="D141" s="15"/>
      <c r="E141" s="17"/>
      <c r="F141" s="15"/>
      <c r="G141" s="250"/>
      <c r="H141" s="243"/>
      <c r="I141" s="243"/>
      <c r="J141" s="243"/>
      <c r="K141" s="85"/>
      <c r="L141" s="85"/>
      <c r="M141" s="85"/>
      <c r="N141" s="85" t="str">
        <f t="shared" si="7"/>
        <v/>
      </c>
      <c r="O141" s="29"/>
      <c r="P141" s="307"/>
      <c r="Q141" s="85"/>
      <c r="R141" s="85"/>
      <c r="S141" s="15"/>
      <c r="T141" s="15"/>
      <c r="U141" s="243"/>
      <c r="V141" s="243"/>
      <c r="W141" s="243"/>
      <c r="X141" s="243"/>
      <c r="Y141" s="243"/>
      <c r="Z141" s="243"/>
    </row>
    <row r="142" ht="22.5" customHeight="1">
      <c r="A142" s="34"/>
      <c r="B142" s="62" t="s">
        <v>1323</v>
      </c>
      <c r="C142" s="45"/>
      <c r="D142" s="45"/>
      <c r="E142" s="45"/>
      <c r="F142" s="46"/>
      <c r="G142" s="250"/>
      <c r="H142" s="243"/>
      <c r="I142" s="243"/>
      <c r="J142" s="243"/>
      <c r="K142" s="85"/>
      <c r="L142" s="85"/>
      <c r="M142" s="85"/>
      <c r="N142" s="85" t="str">
        <f t="shared" si="7"/>
        <v/>
      </c>
      <c r="O142" s="29"/>
      <c r="P142" s="307"/>
      <c r="Q142" s="85"/>
      <c r="R142" s="85"/>
      <c r="S142" s="15"/>
      <c r="T142" s="15"/>
      <c r="U142" s="243"/>
      <c r="V142" s="243"/>
      <c r="W142" s="243"/>
      <c r="X142" s="243"/>
      <c r="Y142" s="243"/>
      <c r="Z142" s="243"/>
    </row>
    <row r="143" ht="15.75" customHeight="1">
      <c r="A143" s="67" t="str">
        <f t="shared" ref="A143:A148" si="68">$B$142&amp;C143</f>
        <v>Coupling (SCH-80)1⁄2</v>
      </c>
      <c r="B143" s="68">
        <v>1.0</v>
      </c>
      <c r="C143" s="70" t="s">
        <v>43</v>
      </c>
      <c r="D143" s="70">
        <v>15.0</v>
      </c>
      <c r="E143" s="129" t="s">
        <v>1325</v>
      </c>
      <c r="F143" s="336">
        <v>10.5</v>
      </c>
      <c r="G143" s="76">
        <f>IFERROR(__xludf.DUMMYFUNCTION("ArrayFormula(IFERROR(VLOOKUP(E143,IMPORTRANGE(""https://docs.google.com/spreadsheets/d/1xZyKy-UzMmtPDLpV5jQdYum1LtbR8XKDuasLSjmBRMI/edit#gid=1241094406"",""COMBINED DATA!E3:L""),{7,8},0)))"),0.021)</f>
        <v>0.021</v>
      </c>
      <c r="H143" s="76">
        <f>IFERROR(__xludf.DUMMYFUNCTION("""COMPUTED_VALUE"""),0.0)</f>
        <v>0</v>
      </c>
      <c r="I143" s="76">
        <f t="shared" ref="I143:I148" si="69">G143+H143</f>
        <v>0.021</v>
      </c>
      <c r="J143" s="84">
        <f t="shared" ref="J143:J148" si="70">IFERROR(F143/I143,"")</f>
        <v>500</v>
      </c>
      <c r="K143" s="85">
        <f t="shared" ref="K143:K148" si="71">IFERROR(G143*100,)</f>
        <v>2.1</v>
      </c>
      <c r="L143" s="85">
        <f t="shared" ref="L143:L148" si="72">IFERROR(H143*725,)</f>
        <v>0</v>
      </c>
      <c r="M143" s="85">
        <f t="shared" ref="M143:M148" si="73">IFERROR(K143+L143,"")</f>
        <v>2.1</v>
      </c>
      <c r="N143" s="85">
        <f t="shared" si="7"/>
        <v>5</v>
      </c>
      <c r="O143" s="310">
        <v>10.5</v>
      </c>
      <c r="P143" s="317"/>
      <c r="Q143" s="85"/>
      <c r="R143" s="85"/>
      <c r="S143" s="20"/>
      <c r="T143" s="20"/>
      <c r="U143" s="16"/>
      <c r="V143" s="16"/>
      <c r="W143" s="16"/>
      <c r="X143" s="16"/>
      <c r="Y143" s="16"/>
      <c r="Z143" s="16"/>
    </row>
    <row r="144" ht="15.75" customHeight="1">
      <c r="A144" s="67" t="str">
        <f t="shared" si="68"/>
        <v>Coupling (SCH-80)3⁄4</v>
      </c>
      <c r="B144" s="90">
        <v>2.0</v>
      </c>
      <c r="C144" s="92" t="s">
        <v>51</v>
      </c>
      <c r="D144" s="92">
        <v>20.0</v>
      </c>
      <c r="E144" s="94" t="s">
        <v>1333</v>
      </c>
      <c r="F144" s="336">
        <v>15.6</v>
      </c>
      <c r="G144" s="76">
        <f>IFERROR(__xludf.DUMMYFUNCTION("ArrayFormula(IFERROR(VLOOKUP(E144,IMPORTRANGE(""https://docs.google.com/spreadsheets/d/1xZyKy-UzMmtPDLpV5jQdYum1LtbR8XKDuasLSjmBRMI/edit#gid=1241094406"",""COMBINED DATA!E3:L""),{7,8},0)))"),0.031)</f>
        <v>0.031</v>
      </c>
      <c r="H144" s="76">
        <f>IFERROR(__xludf.DUMMYFUNCTION("""COMPUTED_VALUE"""),0.0)</f>
        <v>0</v>
      </c>
      <c r="I144" s="76">
        <f t="shared" si="69"/>
        <v>0.031</v>
      </c>
      <c r="J144" s="84">
        <f t="shared" si="70"/>
        <v>503.2258065</v>
      </c>
      <c r="K144" s="85">
        <f t="shared" si="71"/>
        <v>3.1</v>
      </c>
      <c r="L144" s="85">
        <f t="shared" si="72"/>
        <v>0</v>
      </c>
      <c r="M144" s="85">
        <f t="shared" si="73"/>
        <v>3.1</v>
      </c>
      <c r="N144" s="85">
        <f t="shared" si="7"/>
        <v>5.032258065</v>
      </c>
      <c r="O144" s="310">
        <v>15.6</v>
      </c>
      <c r="P144" s="317"/>
      <c r="Q144" s="85"/>
      <c r="R144" s="85"/>
      <c r="S144" s="20"/>
      <c r="T144" s="20"/>
      <c r="U144" s="16"/>
      <c r="V144" s="16"/>
      <c r="W144" s="16"/>
      <c r="X144" s="16"/>
      <c r="Y144" s="16"/>
      <c r="Z144" s="16"/>
    </row>
    <row r="145" ht="15.75" customHeight="1">
      <c r="A145" s="67" t="str">
        <f t="shared" si="68"/>
        <v>Coupling (SCH-80)1</v>
      </c>
      <c r="B145" s="90">
        <v>3.0</v>
      </c>
      <c r="C145" s="92">
        <v>1.0</v>
      </c>
      <c r="D145" s="92">
        <v>25.0</v>
      </c>
      <c r="E145" s="94" t="s">
        <v>1335</v>
      </c>
      <c r="F145" s="336">
        <v>24.8</v>
      </c>
      <c r="G145" s="76">
        <f>IFERROR(__xludf.DUMMYFUNCTION("ArrayFormula(IFERROR(VLOOKUP(E145,IMPORTRANGE(""https://docs.google.com/spreadsheets/d/1xZyKy-UzMmtPDLpV5jQdYum1LtbR8XKDuasLSjmBRMI/edit#gid=1241094406"",""COMBINED DATA!E3:L""),{7,8},0)))"),0.048)</f>
        <v>0.048</v>
      </c>
      <c r="H145" s="76">
        <f>IFERROR(__xludf.DUMMYFUNCTION("""COMPUTED_VALUE"""),0.0)</f>
        <v>0</v>
      </c>
      <c r="I145" s="76">
        <f t="shared" si="69"/>
        <v>0.048</v>
      </c>
      <c r="J145" s="84">
        <f t="shared" si="70"/>
        <v>516.6666667</v>
      </c>
      <c r="K145" s="85">
        <f t="shared" si="71"/>
        <v>4.8</v>
      </c>
      <c r="L145" s="85">
        <f t="shared" si="72"/>
        <v>0</v>
      </c>
      <c r="M145" s="85">
        <f t="shared" si="73"/>
        <v>4.8</v>
      </c>
      <c r="N145" s="85">
        <f t="shared" si="7"/>
        <v>5.166666667</v>
      </c>
      <c r="O145" s="310">
        <v>24.8</v>
      </c>
      <c r="P145" s="317"/>
      <c r="Q145" s="85"/>
      <c r="R145" s="85"/>
      <c r="S145" s="20"/>
      <c r="T145" s="20"/>
      <c r="U145" s="16"/>
      <c r="V145" s="16"/>
      <c r="W145" s="16"/>
      <c r="X145" s="16"/>
      <c r="Y145" s="16"/>
      <c r="Z145" s="16"/>
    </row>
    <row r="146" ht="15.75" customHeight="1">
      <c r="A146" s="67" t="str">
        <f t="shared" si="68"/>
        <v>Coupling (SCH-80)1 1⁄4</v>
      </c>
      <c r="B146" s="90">
        <v>4.0</v>
      </c>
      <c r="C146" s="92" t="s">
        <v>55</v>
      </c>
      <c r="D146" s="92">
        <v>32.0</v>
      </c>
      <c r="E146" s="94" t="s">
        <v>1336</v>
      </c>
      <c r="F146" s="336">
        <v>36.1</v>
      </c>
      <c r="G146" s="76">
        <f>IFERROR(__xludf.DUMMYFUNCTION("ArrayFormula(IFERROR(VLOOKUP(E146,IMPORTRANGE(""https://docs.google.com/spreadsheets/d/1xZyKy-UzMmtPDLpV5jQdYum1LtbR8XKDuasLSjmBRMI/edit#gid=1241094406"",""COMBINED DATA!E3:L""),{7,8},0)))"),0.072)</f>
        <v>0.072</v>
      </c>
      <c r="H146" s="76">
        <f>IFERROR(__xludf.DUMMYFUNCTION("""COMPUTED_VALUE"""),0.0)</f>
        <v>0</v>
      </c>
      <c r="I146" s="76">
        <f t="shared" si="69"/>
        <v>0.072</v>
      </c>
      <c r="J146" s="84">
        <f t="shared" si="70"/>
        <v>501.3888889</v>
      </c>
      <c r="K146" s="85">
        <f t="shared" si="71"/>
        <v>7.2</v>
      </c>
      <c r="L146" s="85">
        <f t="shared" si="72"/>
        <v>0</v>
      </c>
      <c r="M146" s="85">
        <f t="shared" si="73"/>
        <v>7.2</v>
      </c>
      <c r="N146" s="85">
        <f t="shared" si="7"/>
        <v>5.013888889</v>
      </c>
      <c r="O146" s="310">
        <v>36.1</v>
      </c>
      <c r="P146" s="317"/>
      <c r="Q146" s="85"/>
      <c r="R146" s="85"/>
      <c r="S146" s="20"/>
      <c r="T146" s="20"/>
      <c r="U146" s="16"/>
      <c r="V146" s="16"/>
      <c r="W146" s="16"/>
      <c r="X146" s="16"/>
      <c r="Y146" s="16"/>
      <c r="Z146" s="16"/>
    </row>
    <row r="147" ht="15.75" customHeight="1">
      <c r="A147" s="67" t="str">
        <f t="shared" si="68"/>
        <v>Coupling (SCH-80)1 1⁄2</v>
      </c>
      <c r="B147" s="90">
        <v>5.0</v>
      </c>
      <c r="C147" s="92" t="s">
        <v>56</v>
      </c>
      <c r="D147" s="92">
        <v>40.0</v>
      </c>
      <c r="E147" s="94" t="s">
        <v>1338</v>
      </c>
      <c r="F147" s="336">
        <v>45.5</v>
      </c>
      <c r="G147" s="76">
        <f>IFERROR(__xludf.DUMMYFUNCTION("ArrayFormula(IFERROR(VLOOKUP(E147,IMPORTRANGE(""https://docs.google.com/spreadsheets/d/1xZyKy-UzMmtPDLpV5jQdYum1LtbR8XKDuasLSjmBRMI/edit#gid=1241094406"",""COMBINED DATA!E3:L""),{7,8},0)))"),0.092)</f>
        <v>0.092</v>
      </c>
      <c r="H147" s="76">
        <f>IFERROR(__xludf.DUMMYFUNCTION("""COMPUTED_VALUE"""),0.0)</f>
        <v>0</v>
      </c>
      <c r="I147" s="76">
        <f t="shared" si="69"/>
        <v>0.092</v>
      </c>
      <c r="J147" s="84">
        <f t="shared" si="70"/>
        <v>494.5652174</v>
      </c>
      <c r="K147" s="85">
        <f t="shared" si="71"/>
        <v>9.2</v>
      </c>
      <c r="L147" s="85">
        <f t="shared" si="72"/>
        <v>0</v>
      </c>
      <c r="M147" s="85">
        <f t="shared" si="73"/>
        <v>9.2</v>
      </c>
      <c r="N147" s="85">
        <f t="shared" si="7"/>
        <v>4.945652174</v>
      </c>
      <c r="O147" s="310">
        <v>45.5</v>
      </c>
      <c r="P147" s="317"/>
      <c r="Q147" s="85"/>
      <c r="R147" s="85"/>
      <c r="S147" s="20"/>
      <c r="T147" s="20"/>
      <c r="U147" s="16"/>
      <c r="V147" s="16"/>
      <c r="W147" s="16"/>
      <c r="X147" s="16"/>
      <c r="Y147" s="16"/>
      <c r="Z147" s="16"/>
    </row>
    <row r="148" ht="15.75" customHeight="1">
      <c r="A148" s="67" t="str">
        <f t="shared" si="68"/>
        <v>Coupling (SCH-80)2</v>
      </c>
      <c r="B148" s="90">
        <v>6.0</v>
      </c>
      <c r="C148" s="92">
        <v>2.0</v>
      </c>
      <c r="D148" s="92">
        <v>50.0</v>
      </c>
      <c r="E148" s="94" t="s">
        <v>1340</v>
      </c>
      <c r="F148" s="336">
        <v>68.4</v>
      </c>
      <c r="G148" s="76">
        <f>IFERROR(__xludf.DUMMYFUNCTION("ArrayFormula(IFERROR(VLOOKUP(E148,IMPORTRANGE(""https://docs.google.com/spreadsheets/d/1xZyKy-UzMmtPDLpV5jQdYum1LtbR8XKDuasLSjmBRMI/edit#gid=1241094406"",""COMBINED DATA!E3:L""),{7,8},0)))"),0.13385)</f>
        <v>0.13385</v>
      </c>
      <c r="H148" s="76">
        <f>IFERROR(__xludf.DUMMYFUNCTION("""COMPUTED_VALUE"""),0.0)</f>
        <v>0</v>
      </c>
      <c r="I148" s="76">
        <f t="shared" si="69"/>
        <v>0.13385</v>
      </c>
      <c r="J148" s="84">
        <f t="shared" si="70"/>
        <v>511.0197983</v>
      </c>
      <c r="K148" s="85">
        <f t="shared" si="71"/>
        <v>13.385</v>
      </c>
      <c r="L148" s="85">
        <f t="shared" si="72"/>
        <v>0</v>
      </c>
      <c r="M148" s="85">
        <f t="shared" si="73"/>
        <v>13.385</v>
      </c>
      <c r="N148" s="85">
        <f t="shared" si="7"/>
        <v>5.110197983</v>
      </c>
      <c r="O148" s="310">
        <v>68.4</v>
      </c>
      <c r="P148" s="317"/>
      <c r="Q148" s="85"/>
      <c r="R148" s="85"/>
      <c r="S148" s="20"/>
      <c r="T148" s="20"/>
      <c r="U148" s="16"/>
      <c r="V148" s="16"/>
      <c r="W148" s="16"/>
      <c r="X148" s="16"/>
      <c r="Y148" s="16"/>
      <c r="Z148" s="16"/>
    </row>
    <row r="149" ht="15.0" customHeight="1">
      <c r="A149" s="34"/>
      <c r="B149" s="237" t="s">
        <v>11</v>
      </c>
      <c r="C149" s="45"/>
      <c r="D149" s="45"/>
      <c r="E149" s="46"/>
      <c r="F149" s="103">
        <f>sum(F143:F148)</f>
        <v>200.9</v>
      </c>
      <c r="G149" s="250"/>
      <c r="H149" s="243"/>
      <c r="I149" s="243"/>
      <c r="J149" s="243"/>
      <c r="K149" s="85"/>
      <c r="L149" s="85"/>
      <c r="M149" s="85"/>
      <c r="N149" s="85" t="str">
        <f t="shared" si="7"/>
        <v/>
      </c>
      <c r="O149" s="103">
        <f>sum(O143:O148)</f>
        <v>200.9</v>
      </c>
      <c r="P149" s="307"/>
      <c r="Q149" s="85"/>
      <c r="R149" s="85"/>
      <c r="S149" s="15"/>
      <c r="T149" s="15"/>
      <c r="U149" s="243"/>
      <c r="V149" s="243"/>
      <c r="W149" s="243"/>
      <c r="X149" s="243"/>
      <c r="Y149" s="243"/>
      <c r="Z149" s="243"/>
    </row>
    <row r="150" ht="6.0" customHeight="1">
      <c r="A150" s="34"/>
      <c r="B150" s="15"/>
      <c r="C150" s="15"/>
      <c r="D150" s="15"/>
      <c r="E150" s="17"/>
      <c r="F150" s="15"/>
      <c r="G150" s="250"/>
      <c r="H150" s="243"/>
      <c r="I150" s="243"/>
      <c r="J150" s="243"/>
      <c r="K150" s="85"/>
      <c r="L150" s="85"/>
      <c r="M150" s="85"/>
      <c r="N150" s="85" t="str">
        <f t="shared" si="7"/>
        <v/>
      </c>
      <c r="O150" s="29"/>
      <c r="P150" s="307"/>
      <c r="Q150" s="85"/>
      <c r="R150" s="85"/>
      <c r="S150" s="15"/>
      <c r="T150" s="15"/>
      <c r="U150" s="243"/>
      <c r="V150" s="243"/>
      <c r="W150" s="243"/>
      <c r="X150" s="243"/>
      <c r="Y150" s="243"/>
      <c r="Z150" s="243"/>
    </row>
    <row r="151" ht="22.5" customHeight="1">
      <c r="A151" s="34"/>
      <c r="B151" s="62" t="s">
        <v>1323</v>
      </c>
      <c r="C151" s="45"/>
      <c r="D151" s="45"/>
      <c r="E151" s="45"/>
      <c r="F151" s="46"/>
      <c r="G151" s="250"/>
      <c r="H151" s="243"/>
      <c r="I151" s="243"/>
      <c r="J151" s="243"/>
      <c r="K151" s="85"/>
      <c r="L151" s="85"/>
      <c r="M151" s="85"/>
      <c r="N151" s="85" t="str">
        <f t="shared" si="7"/>
        <v/>
      </c>
      <c r="O151" s="29"/>
      <c r="P151" s="307"/>
      <c r="Q151" s="85"/>
      <c r="R151" s="85"/>
      <c r="S151" s="15"/>
      <c r="T151" s="15"/>
      <c r="U151" s="243"/>
      <c r="V151" s="243"/>
      <c r="W151" s="243"/>
      <c r="X151" s="243"/>
      <c r="Y151" s="243"/>
      <c r="Z151" s="243"/>
    </row>
    <row r="152" ht="15.75" customHeight="1">
      <c r="A152" s="67" t="str">
        <f t="shared" ref="A152:A154" si="74">$B$151&amp;C152</f>
        <v>Coupling (SCH-80)2 1⁄2</v>
      </c>
      <c r="B152" s="68">
        <v>1.0</v>
      </c>
      <c r="C152" s="110" t="s">
        <v>69</v>
      </c>
      <c r="D152" s="110">
        <v>65.0</v>
      </c>
      <c r="E152" s="111" t="s">
        <v>1343</v>
      </c>
      <c r="F152" s="181">
        <v>168.0</v>
      </c>
      <c r="G152" s="76">
        <f>IFERROR(__xludf.DUMMYFUNCTION("ArrayFormula(IFERROR(VLOOKUP(E152,IMPORTRANGE(""https://docs.google.com/spreadsheets/d/1xZyKy-UzMmtPDLpV5jQdYum1LtbR8XKDuasLSjmBRMI/edit#gid=1241094406"",""COMBINED DATA!E3:L""),{7,8},0)))"),0.29)</f>
        <v>0.29</v>
      </c>
      <c r="H152" s="76">
        <f>IFERROR(__xludf.DUMMYFUNCTION("""COMPUTED_VALUE"""),0.0)</f>
        <v>0</v>
      </c>
      <c r="I152" s="76">
        <f t="shared" ref="I152:I154" si="75">G152+H152</f>
        <v>0.29</v>
      </c>
      <c r="J152" s="84">
        <f t="shared" ref="J152:J154" si="76">IFERROR(F152/I152,"")</f>
        <v>579.3103448</v>
      </c>
      <c r="K152" s="85">
        <f t="shared" ref="K152:K154" si="77">IFERROR(G152*100,)</f>
        <v>29</v>
      </c>
      <c r="L152" s="85">
        <f t="shared" ref="L152:L154" si="78">IFERROR(H152*725,)</f>
        <v>0</v>
      </c>
      <c r="M152" s="85">
        <f t="shared" ref="M152:M154" si="79">IFERROR(K152+L152,"")</f>
        <v>29</v>
      </c>
      <c r="N152" s="85">
        <f t="shared" si="7"/>
        <v>5.793103448</v>
      </c>
      <c r="O152" s="310">
        <v>168.0</v>
      </c>
      <c r="P152" s="75"/>
      <c r="Q152" s="85"/>
      <c r="R152" s="85"/>
      <c r="S152" s="20"/>
      <c r="T152" s="20"/>
      <c r="U152" s="16"/>
      <c r="V152" s="16"/>
      <c r="W152" s="16"/>
      <c r="X152" s="16"/>
      <c r="Y152" s="16"/>
      <c r="Z152" s="16"/>
    </row>
    <row r="153" ht="15.75" customHeight="1">
      <c r="A153" s="67" t="str">
        <f t="shared" si="74"/>
        <v>Coupling (SCH-80)3</v>
      </c>
      <c r="B153" s="90">
        <v>2.0</v>
      </c>
      <c r="C153" s="127">
        <v>3.0</v>
      </c>
      <c r="D153" s="127">
        <v>80.0</v>
      </c>
      <c r="E153" s="112" t="s">
        <v>1345</v>
      </c>
      <c r="F153" s="181">
        <v>228.0</v>
      </c>
      <c r="G153" s="76">
        <f>IFERROR(__xludf.DUMMYFUNCTION("ArrayFormula(IFERROR(VLOOKUP(E153,IMPORTRANGE(""https://docs.google.com/spreadsheets/d/1xZyKy-UzMmtPDLpV5jQdYum1LtbR8XKDuasLSjmBRMI/edit#gid=1241094406"",""COMBINED DATA!E3:L""),{7,8},0)))"),0.417)</f>
        <v>0.417</v>
      </c>
      <c r="H153" s="76">
        <f>IFERROR(__xludf.DUMMYFUNCTION("""COMPUTED_VALUE"""),0.0)</f>
        <v>0</v>
      </c>
      <c r="I153" s="76">
        <f t="shared" si="75"/>
        <v>0.417</v>
      </c>
      <c r="J153" s="84">
        <f t="shared" si="76"/>
        <v>546.7625899</v>
      </c>
      <c r="K153" s="85">
        <f t="shared" si="77"/>
        <v>41.7</v>
      </c>
      <c r="L153" s="85">
        <f t="shared" si="78"/>
        <v>0</v>
      </c>
      <c r="M153" s="85">
        <f t="shared" si="79"/>
        <v>41.7</v>
      </c>
      <c r="N153" s="85">
        <f t="shared" si="7"/>
        <v>5.467625899</v>
      </c>
      <c r="O153" s="310">
        <v>228.0</v>
      </c>
      <c r="P153" s="75"/>
      <c r="Q153" s="85"/>
      <c r="R153" s="85"/>
      <c r="S153" s="20"/>
      <c r="T153" s="20"/>
      <c r="U153" s="16"/>
      <c r="V153" s="16"/>
      <c r="W153" s="16"/>
      <c r="X153" s="16"/>
      <c r="Y153" s="16"/>
      <c r="Z153" s="16"/>
    </row>
    <row r="154" ht="15.75" customHeight="1">
      <c r="A154" s="67" t="str">
        <f t="shared" si="74"/>
        <v>Coupling (SCH-80)4</v>
      </c>
      <c r="B154" s="90">
        <v>3.0</v>
      </c>
      <c r="C154" s="127">
        <v>4.0</v>
      </c>
      <c r="D154" s="127">
        <v>100.0</v>
      </c>
      <c r="E154" s="112" t="s">
        <v>1347</v>
      </c>
      <c r="F154" s="181">
        <v>362.0</v>
      </c>
      <c r="G154" s="76">
        <f>IFERROR(__xludf.DUMMYFUNCTION("ArrayFormula(IFERROR(VLOOKUP(E154,IMPORTRANGE(""https://docs.google.com/spreadsheets/d/1xZyKy-UzMmtPDLpV5jQdYum1LtbR8XKDuasLSjmBRMI/edit#gid=1241094406"",""COMBINED DATA!E3:L""),{7,8},0)))"),0.645)</f>
        <v>0.645</v>
      </c>
      <c r="H154" s="76">
        <f>IFERROR(__xludf.DUMMYFUNCTION("""COMPUTED_VALUE"""),0.0)</f>
        <v>0</v>
      </c>
      <c r="I154" s="76">
        <f t="shared" si="75"/>
        <v>0.645</v>
      </c>
      <c r="J154" s="84">
        <f t="shared" si="76"/>
        <v>561.2403101</v>
      </c>
      <c r="K154" s="85">
        <f t="shared" si="77"/>
        <v>64.5</v>
      </c>
      <c r="L154" s="85">
        <f t="shared" si="78"/>
        <v>0</v>
      </c>
      <c r="M154" s="85">
        <f t="shared" si="79"/>
        <v>64.5</v>
      </c>
      <c r="N154" s="85">
        <f t="shared" si="7"/>
        <v>5.612403101</v>
      </c>
      <c r="O154" s="310">
        <v>362.0</v>
      </c>
      <c r="P154" s="75"/>
      <c r="Q154" s="85"/>
      <c r="R154" s="85"/>
      <c r="S154" s="20"/>
      <c r="T154" s="20"/>
      <c r="U154" s="16"/>
      <c r="V154" s="16"/>
      <c r="W154" s="16"/>
      <c r="X154" s="16"/>
      <c r="Y154" s="16"/>
      <c r="Z154" s="16"/>
    </row>
    <row r="155" ht="15.0" customHeight="1">
      <c r="A155" s="34"/>
      <c r="B155" s="237" t="s">
        <v>11</v>
      </c>
      <c r="C155" s="45"/>
      <c r="D155" s="45"/>
      <c r="E155" s="46"/>
      <c r="F155" s="103">
        <f>sum(F152:F154)</f>
        <v>758</v>
      </c>
      <c r="G155" s="250"/>
      <c r="H155" s="243"/>
      <c r="I155" s="243"/>
      <c r="J155" s="243"/>
      <c r="K155" s="85"/>
      <c r="L155" s="85"/>
      <c r="M155" s="85"/>
      <c r="N155" s="85" t="str">
        <f t="shared" si="7"/>
        <v/>
      </c>
      <c r="O155" s="103">
        <f>sum(O152:O154)</f>
        <v>758</v>
      </c>
      <c r="P155" s="307"/>
      <c r="Q155" s="85"/>
      <c r="R155" s="85"/>
      <c r="S155" s="15"/>
      <c r="T155" s="15"/>
      <c r="U155" s="243"/>
      <c r="V155" s="243"/>
      <c r="W155" s="243"/>
      <c r="X155" s="243"/>
      <c r="Y155" s="243"/>
      <c r="Z155" s="243"/>
    </row>
    <row r="156" ht="6.0" customHeight="1">
      <c r="A156" s="34"/>
      <c r="B156" s="15"/>
      <c r="C156" s="15"/>
      <c r="D156" s="15"/>
      <c r="E156" s="17"/>
      <c r="F156" s="15"/>
      <c r="G156" s="250"/>
      <c r="H156" s="243"/>
      <c r="I156" s="243"/>
      <c r="J156" s="243"/>
      <c r="K156" s="85"/>
      <c r="L156" s="85"/>
      <c r="M156" s="85"/>
      <c r="N156" s="85" t="str">
        <f t="shared" si="7"/>
        <v/>
      </c>
      <c r="O156" s="29"/>
      <c r="P156" s="307"/>
      <c r="Q156" s="85"/>
      <c r="R156" s="85"/>
      <c r="S156" s="15"/>
      <c r="T156" s="15"/>
      <c r="U156" s="243"/>
      <c r="V156" s="243"/>
      <c r="W156" s="243"/>
      <c r="X156" s="243"/>
      <c r="Y156" s="243"/>
      <c r="Z156" s="243"/>
    </row>
    <row r="157" ht="22.5" customHeight="1">
      <c r="A157" s="34"/>
      <c r="B157" s="62" t="s">
        <v>1349</v>
      </c>
      <c r="C157" s="45"/>
      <c r="D157" s="45"/>
      <c r="E157" s="45"/>
      <c r="F157" s="46"/>
      <c r="G157" s="250"/>
      <c r="H157" s="243"/>
      <c r="I157" s="243"/>
      <c r="J157" s="243"/>
      <c r="K157" s="85"/>
      <c r="L157" s="85"/>
      <c r="M157" s="85"/>
      <c r="N157" s="85" t="str">
        <f t="shared" si="7"/>
        <v/>
      </c>
      <c r="O157" s="29"/>
      <c r="P157" s="307"/>
      <c r="Q157" s="85"/>
      <c r="R157" s="85"/>
      <c r="S157" s="15"/>
      <c r="T157" s="15"/>
      <c r="U157" s="243"/>
      <c r="V157" s="243"/>
      <c r="W157" s="243"/>
      <c r="X157" s="243"/>
      <c r="Y157" s="243"/>
      <c r="Z157" s="243"/>
    </row>
    <row r="158" ht="15.75" customHeight="1">
      <c r="A158" s="67" t="str">
        <f>$B$157&amp;C158</f>
        <v>Coupling (SCH-40)6</v>
      </c>
      <c r="B158" s="68">
        <v>1.0</v>
      </c>
      <c r="C158" s="110">
        <v>6.0</v>
      </c>
      <c r="D158" s="110">
        <v>150.0</v>
      </c>
      <c r="E158" s="111" t="s">
        <v>1351</v>
      </c>
      <c r="F158" s="56">
        <v>534.0</v>
      </c>
      <c r="G158" s="76">
        <f>IFERROR(__xludf.DUMMYFUNCTION("ArrayFormula(IFERROR(VLOOKUP(E158,IMPORTRANGE(""https://docs.google.com/spreadsheets/d/1xZyKy-UzMmtPDLpV5jQdYum1LtbR8XKDuasLSjmBRMI/edit#gid=1241094406"",""COMBINED DATA!E3:L""),{7,8},0)))"),0.923)</f>
        <v>0.923</v>
      </c>
      <c r="H158" s="76">
        <f>IFERROR(__xludf.DUMMYFUNCTION("""COMPUTED_VALUE"""),0.0)</f>
        <v>0</v>
      </c>
      <c r="I158" s="76">
        <f>G158+H158</f>
        <v>0.923</v>
      </c>
      <c r="J158" s="84">
        <f>IFERROR(F158/I158,"")</f>
        <v>578.5482124</v>
      </c>
      <c r="K158" s="85">
        <f>IFERROR(G158*100,)</f>
        <v>92.3</v>
      </c>
      <c r="L158" s="85">
        <f>IFERROR(H158*725,)</f>
        <v>0</v>
      </c>
      <c r="M158" s="85">
        <f>IFERROR(K158+L158,"")</f>
        <v>92.3</v>
      </c>
      <c r="N158" s="85">
        <f t="shared" si="7"/>
        <v>5.785482124</v>
      </c>
      <c r="O158" s="310">
        <v>534.0</v>
      </c>
      <c r="P158" s="75"/>
      <c r="Q158" s="85"/>
      <c r="R158" s="85"/>
      <c r="S158" s="20"/>
      <c r="T158" s="20"/>
      <c r="U158" s="16"/>
      <c r="V158" s="16"/>
      <c r="W158" s="16"/>
      <c r="X158" s="16"/>
      <c r="Y158" s="16"/>
      <c r="Z158" s="16"/>
    </row>
    <row r="159" ht="4.5" customHeight="1">
      <c r="A159" s="34"/>
      <c r="B159" s="15"/>
      <c r="C159" s="15"/>
      <c r="D159" s="15"/>
      <c r="E159" s="17"/>
      <c r="F159" s="15"/>
      <c r="G159" s="250"/>
      <c r="H159" s="243"/>
      <c r="I159" s="243"/>
      <c r="J159" s="243"/>
      <c r="K159" s="85"/>
      <c r="L159" s="85"/>
      <c r="M159" s="85"/>
      <c r="N159" s="85" t="str">
        <f t="shared" si="7"/>
        <v/>
      </c>
      <c r="O159" s="29"/>
      <c r="P159" s="307"/>
      <c r="Q159" s="85"/>
      <c r="R159" s="85"/>
      <c r="S159" s="15"/>
      <c r="T159" s="15"/>
      <c r="U159" s="243"/>
      <c r="V159" s="243"/>
      <c r="W159" s="243"/>
      <c r="X159" s="243"/>
      <c r="Y159" s="243"/>
      <c r="Z159" s="243"/>
    </row>
    <row r="160" ht="22.5" customHeight="1">
      <c r="A160" s="34"/>
      <c r="B160" s="322" t="s">
        <v>1353</v>
      </c>
      <c r="C160" s="45"/>
      <c r="D160" s="45"/>
      <c r="E160" s="45"/>
      <c r="F160" s="46"/>
      <c r="G160" s="250"/>
      <c r="H160" s="243"/>
      <c r="I160" s="243"/>
      <c r="J160" s="243"/>
      <c r="K160" s="85"/>
      <c r="L160" s="85"/>
      <c r="M160" s="85"/>
      <c r="N160" s="85" t="str">
        <f t="shared" si="7"/>
        <v/>
      </c>
      <c r="O160" s="29"/>
      <c r="P160" s="307"/>
      <c r="Q160" s="85"/>
      <c r="R160" s="85"/>
      <c r="S160" s="15"/>
      <c r="T160" s="15"/>
      <c r="U160" s="243"/>
      <c r="V160" s="243"/>
      <c r="W160" s="243"/>
      <c r="X160" s="243"/>
      <c r="Y160" s="243"/>
      <c r="Z160" s="243"/>
    </row>
    <row r="161" ht="15.75" customHeight="1">
      <c r="A161" s="67" t="str">
        <f t="shared" ref="A161:A166" si="80">$B$160&amp;C161</f>
        <v>End Cap (SCH-80)1⁄2</v>
      </c>
      <c r="B161" s="51">
        <v>1.0</v>
      </c>
      <c r="C161" s="70" t="s">
        <v>43</v>
      </c>
      <c r="D161" s="70">
        <v>15.0</v>
      </c>
      <c r="E161" s="129" t="s">
        <v>1355</v>
      </c>
      <c r="F161" s="56">
        <v>6.6</v>
      </c>
      <c r="G161" s="76">
        <f>IFERROR(__xludf.DUMMYFUNCTION("ArrayFormula(IFERROR(VLOOKUP(E161,IMPORTRANGE(""https://docs.google.com/spreadsheets/d/1xZyKy-UzMmtPDLpV5jQdYum1LtbR8XKDuasLSjmBRMI/edit#gid=1241094406"",""COMBINED DATA!E3:L""),{7,8},0)))"),0.0129)</f>
        <v>0.0129</v>
      </c>
      <c r="H161" s="76">
        <f>IFERROR(__xludf.DUMMYFUNCTION("""COMPUTED_VALUE"""),0.0)</f>
        <v>0</v>
      </c>
      <c r="I161" s="76">
        <f t="shared" ref="I161:I166" si="81">G161+H161</f>
        <v>0.0129</v>
      </c>
      <c r="J161" s="84">
        <f t="shared" ref="J161:J166" si="82">IFERROR(F161/I161,"")</f>
        <v>511.627907</v>
      </c>
      <c r="K161" s="85">
        <f t="shared" ref="K161:K166" si="83">IFERROR(G161*100,)</f>
        <v>1.29</v>
      </c>
      <c r="L161" s="85">
        <f t="shared" ref="L161:L166" si="84">IFERROR(H161*725,)</f>
        <v>0</v>
      </c>
      <c r="M161" s="85">
        <f t="shared" ref="M161:M166" si="85">IFERROR(K161+L161,"")</f>
        <v>1.29</v>
      </c>
      <c r="N161" s="85">
        <f t="shared" si="7"/>
        <v>5.11627907</v>
      </c>
      <c r="O161" s="310">
        <v>6.6</v>
      </c>
      <c r="P161" s="75"/>
      <c r="Q161" s="85"/>
      <c r="R161" s="85"/>
      <c r="S161" s="20"/>
      <c r="T161" s="20"/>
      <c r="U161" s="16"/>
      <c r="V161" s="16"/>
      <c r="W161" s="16"/>
      <c r="X161" s="16"/>
      <c r="Y161" s="16"/>
      <c r="Z161" s="16"/>
    </row>
    <row r="162" ht="15.75" customHeight="1">
      <c r="A162" s="67" t="str">
        <f t="shared" si="80"/>
        <v>End Cap (SCH-80)3⁄4</v>
      </c>
      <c r="B162" s="150">
        <v>2.0</v>
      </c>
      <c r="C162" s="92" t="s">
        <v>51</v>
      </c>
      <c r="D162" s="92">
        <v>20.0</v>
      </c>
      <c r="E162" s="94" t="s">
        <v>1357</v>
      </c>
      <c r="F162" s="56">
        <v>9.2</v>
      </c>
      <c r="G162" s="76">
        <f>IFERROR(__xludf.DUMMYFUNCTION("ArrayFormula(IFERROR(VLOOKUP(E162,IMPORTRANGE(""https://docs.google.com/spreadsheets/d/1xZyKy-UzMmtPDLpV5jQdYum1LtbR8XKDuasLSjmBRMI/edit#gid=1241094406"",""COMBINED DATA!E3:L""),{7,8},0)))"),0.018)</f>
        <v>0.018</v>
      </c>
      <c r="H162" s="76">
        <f>IFERROR(__xludf.DUMMYFUNCTION("""COMPUTED_VALUE"""),0.0)</f>
        <v>0</v>
      </c>
      <c r="I162" s="76">
        <f t="shared" si="81"/>
        <v>0.018</v>
      </c>
      <c r="J162" s="84">
        <f t="shared" si="82"/>
        <v>511.1111111</v>
      </c>
      <c r="K162" s="85">
        <f t="shared" si="83"/>
        <v>1.8</v>
      </c>
      <c r="L162" s="85">
        <f t="shared" si="84"/>
        <v>0</v>
      </c>
      <c r="M162" s="85">
        <f t="shared" si="85"/>
        <v>1.8</v>
      </c>
      <c r="N162" s="85">
        <f t="shared" si="7"/>
        <v>5.111111111</v>
      </c>
      <c r="O162" s="310">
        <v>9.2</v>
      </c>
      <c r="P162" s="75"/>
      <c r="Q162" s="85"/>
      <c r="R162" s="85"/>
      <c r="S162" s="20"/>
      <c r="T162" s="20"/>
      <c r="U162" s="16"/>
      <c r="V162" s="16"/>
      <c r="W162" s="16"/>
      <c r="X162" s="16"/>
      <c r="Y162" s="16"/>
      <c r="Z162" s="16"/>
    </row>
    <row r="163" ht="15.75" customHeight="1">
      <c r="A163" s="67" t="str">
        <f t="shared" si="80"/>
        <v>End Cap (SCH-80)1</v>
      </c>
      <c r="B163" s="150">
        <v>3.0</v>
      </c>
      <c r="C163" s="92" t="s">
        <v>84</v>
      </c>
      <c r="D163" s="92">
        <v>25.0</v>
      </c>
      <c r="E163" s="94" t="s">
        <v>1359</v>
      </c>
      <c r="F163" s="56">
        <v>15.2</v>
      </c>
      <c r="G163" s="76">
        <f>IFERROR(__xludf.DUMMYFUNCTION("ArrayFormula(IFERROR(VLOOKUP(E163,IMPORTRANGE(""https://docs.google.com/spreadsheets/d/1xZyKy-UzMmtPDLpV5jQdYum1LtbR8XKDuasLSjmBRMI/edit#gid=1241094406"",""COMBINED DATA!E3:L""),{7,8},0)))"),0.0298)</f>
        <v>0.0298</v>
      </c>
      <c r="H163" s="76">
        <f>IFERROR(__xludf.DUMMYFUNCTION("""COMPUTED_VALUE"""),0.0)</f>
        <v>0</v>
      </c>
      <c r="I163" s="76">
        <f t="shared" si="81"/>
        <v>0.0298</v>
      </c>
      <c r="J163" s="84">
        <f t="shared" si="82"/>
        <v>510.0671141</v>
      </c>
      <c r="K163" s="85">
        <f t="shared" si="83"/>
        <v>2.98</v>
      </c>
      <c r="L163" s="85">
        <f t="shared" si="84"/>
        <v>0</v>
      </c>
      <c r="M163" s="85">
        <f t="shared" si="85"/>
        <v>2.98</v>
      </c>
      <c r="N163" s="85">
        <f t="shared" si="7"/>
        <v>5.100671141</v>
      </c>
      <c r="O163" s="310">
        <v>15.2</v>
      </c>
      <c r="P163" s="75"/>
      <c r="Q163" s="85"/>
      <c r="R163" s="85"/>
      <c r="S163" s="20"/>
      <c r="T163" s="20"/>
      <c r="U163" s="16"/>
      <c r="V163" s="16"/>
      <c r="W163" s="16"/>
      <c r="X163" s="16"/>
      <c r="Y163" s="16"/>
      <c r="Z163" s="16"/>
    </row>
    <row r="164" ht="15.75" customHeight="1">
      <c r="A164" s="67" t="str">
        <f t="shared" si="80"/>
        <v>End Cap (SCH-80)1 1⁄4</v>
      </c>
      <c r="B164" s="150">
        <v>4.0</v>
      </c>
      <c r="C164" s="92" t="s">
        <v>55</v>
      </c>
      <c r="D164" s="92">
        <v>32.0</v>
      </c>
      <c r="E164" s="94" t="s">
        <v>1361</v>
      </c>
      <c r="F164" s="56">
        <v>24.8</v>
      </c>
      <c r="G164" s="76">
        <f>IFERROR(__xludf.DUMMYFUNCTION("ArrayFormula(IFERROR(VLOOKUP(E164,IMPORTRANGE(""https://docs.google.com/spreadsheets/d/1xZyKy-UzMmtPDLpV5jQdYum1LtbR8XKDuasLSjmBRMI/edit#gid=1241094406"",""COMBINED DATA!E3:L""),{7,8},0)))"),0.047799999999999995)</f>
        <v>0.0478</v>
      </c>
      <c r="H164" s="76">
        <f>IFERROR(__xludf.DUMMYFUNCTION("""COMPUTED_VALUE"""),0.0)</f>
        <v>0</v>
      </c>
      <c r="I164" s="76">
        <f t="shared" si="81"/>
        <v>0.0478</v>
      </c>
      <c r="J164" s="84">
        <f t="shared" si="82"/>
        <v>518.8284519</v>
      </c>
      <c r="K164" s="85">
        <f t="shared" si="83"/>
        <v>4.78</v>
      </c>
      <c r="L164" s="85">
        <f t="shared" si="84"/>
        <v>0</v>
      </c>
      <c r="M164" s="85">
        <f t="shared" si="85"/>
        <v>4.78</v>
      </c>
      <c r="N164" s="85">
        <f t="shared" si="7"/>
        <v>5.188284519</v>
      </c>
      <c r="O164" s="310">
        <v>24.8</v>
      </c>
      <c r="P164" s="75"/>
      <c r="Q164" s="85"/>
      <c r="R164" s="85"/>
      <c r="S164" s="20"/>
      <c r="T164" s="20"/>
      <c r="U164" s="16"/>
      <c r="V164" s="16"/>
      <c r="W164" s="16"/>
      <c r="X164" s="16"/>
      <c r="Y164" s="16"/>
      <c r="Z164" s="16"/>
    </row>
    <row r="165" ht="15.75" customHeight="1">
      <c r="A165" s="67" t="str">
        <f t="shared" si="80"/>
        <v>End Cap (SCH-80)1 1⁄2</v>
      </c>
      <c r="B165" s="150">
        <v>5.0</v>
      </c>
      <c r="C165" s="92" t="s">
        <v>56</v>
      </c>
      <c r="D165" s="92">
        <v>40.0</v>
      </c>
      <c r="E165" s="94" t="s">
        <v>1362</v>
      </c>
      <c r="F165" s="56">
        <v>30.8</v>
      </c>
      <c r="G165" s="76">
        <f>IFERROR(__xludf.DUMMYFUNCTION("ArrayFormula(IFERROR(VLOOKUP(E165,IMPORTRANGE(""https://docs.google.com/spreadsheets/d/1xZyKy-UzMmtPDLpV5jQdYum1LtbR8XKDuasLSjmBRMI/edit#gid=1241094406"",""COMBINED DATA!E3:L""),{7,8},0)))"),0.0601)</f>
        <v>0.0601</v>
      </c>
      <c r="H165" s="76">
        <f>IFERROR(__xludf.DUMMYFUNCTION("""COMPUTED_VALUE"""),0.0)</f>
        <v>0</v>
      </c>
      <c r="I165" s="76">
        <f t="shared" si="81"/>
        <v>0.0601</v>
      </c>
      <c r="J165" s="84">
        <f t="shared" si="82"/>
        <v>512.4792013</v>
      </c>
      <c r="K165" s="85">
        <f t="shared" si="83"/>
        <v>6.01</v>
      </c>
      <c r="L165" s="85">
        <f t="shared" si="84"/>
        <v>0</v>
      </c>
      <c r="M165" s="85">
        <f t="shared" si="85"/>
        <v>6.01</v>
      </c>
      <c r="N165" s="85">
        <f t="shared" si="7"/>
        <v>5.124792013</v>
      </c>
      <c r="O165" s="310">
        <v>30.8</v>
      </c>
      <c r="P165" s="75"/>
      <c r="Q165" s="85"/>
      <c r="R165" s="85"/>
      <c r="S165" s="20"/>
      <c r="T165" s="20"/>
      <c r="U165" s="16"/>
      <c r="V165" s="16"/>
      <c r="W165" s="16"/>
      <c r="X165" s="16"/>
      <c r="Y165" s="16"/>
      <c r="Z165" s="16"/>
    </row>
    <row r="166" ht="15.75" customHeight="1">
      <c r="A166" s="67" t="str">
        <f t="shared" si="80"/>
        <v>End Cap (SCH-80)2</v>
      </c>
      <c r="B166" s="150">
        <v>6.0</v>
      </c>
      <c r="C166" s="92" t="s">
        <v>107</v>
      </c>
      <c r="D166" s="92">
        <v>50.0</v>
      </c>
      <c r="E166" s="94" t="s">
        <v>1364</v>
      </c>
      <c r="F166" s="56">
        <v>49.8</v>
      </c>
      <c r="G166" s="76">
        <f>IFERROR(__xludf.DUMMYFUNCTION("ArrayFormula(IFERROR(VLOOKUP(E166,IMPORTRANGE(""https://docs.google.com/spreadsheets/d/1xZyKy-UzMmtPDLpV5jQdYum1LtbR8XKDuasLSjmBRMI/edit#gid=1241094406"",""COMBINED DATA!E3:L""),{7,8},0)))"),0.094)</f>
        <v>0.094</v>
      </c>
      <c r="H166" s="76">
        <f>IFERROR(__xludf.DUMMYFUNCTION("""COMPUTED_VALUE"""),0.0)</f>
        <v>0</v>
      </c>
      <c r="I166" s="76">
        <f t="shared" si="81"/>
        <v>0.094</v>
      </c>
      <c r="J166" s="84">
        <f t="shared" si="82"/>
        <v>529.787234</v>
      </c>
      <c r="K166" s="85">
        <f t="shared" si="83"/>
        <v>9.4</v>
      </c>
      <c r="L166" s="85">
        <f t="shared" si="84"/>
        <v>0</v>
      </c>
      <c r="M166" s="85">
        <f t="shared" si="85"/>
        <v>9.4</v>
      </c>
      <c r="N166" s="85">
        <f t="shared" si="7"/>
        <v>5.29787234</v>
      </c>
      <c r="O166" s="310">
        <v>49.8</v>
      </c>
      <c r="P166" s="75"/>
      <c r="Q166" s="85"/>
      <c r="R166" s="85"/>
      <c r="S166" s="20"/>
      <c r="T166" s="20"/>
      <c r="U166" s="16"/>
      <c r="V166" s="16"/>
      <c r="W166" s="16"/>
      <c r="X166" s="16"/>
      <c r="Y166" s="16"/>
      <c r="Z166" s="16"/>
    </row>
    <row r="167">
      <c r="A167" s="34"/>
      <c r="B167" s="314" t="s">
        <v>11</v>
      </c>
      <c r="C167" s="273"/>
      <c r="D167" s="273"/>
      <c r="E167" s="180"/>
      <c r="F167" s="315">
        <f>SUM(F161:F166)</f>
        <v>136.4</v>
      </c>
      <c r="G167" s="250"/>
      <c r="H167" s="243"/>
      <c r="I167" s="243"/>
      <c r="J167" s="243"/>
      <c r="K167" s="85"/>
      <c r="L167" s="85"/>
      <c r="M167" s="85"/>
      <c r="N167" s="85" t="str">
        <f t="shared" si="7"/>
        <v/>
      </c>
      <c r="O167" s="240">
        <f>SUM(O161:O166)</f>
        <v>136.4</v>
      </c>
      <c r="P167" s="307"/>
      <c r="Q167" s="85"/>
      <c r="R167" s="85"/>
      <c r="S167" s="15"/>
      <c r="T167" s="15"/>
      <c r="U167" s="243"/>
      <c r="V167" s="243"/>
      <c r="W167" s="243"/>
      <c r="X167" s="243"/>
      <c r="Y167" s="243"/>
      <c r="Z167" s="243"/>
    </row>
    <row r="168" ht="6.0" customHeight="1">
      <c r="A168" s="34"/>
      <c r="B168" s="15"/>
      <c r="C168" s="15"/>
      <c r="D168" s="15"/>
      <c r="E168" s="17"/>
      <c r="F168" s="15"/>
      <c r="G168" s="250"/>
      <c r="H168" s="243"/>
      <c r="I168" s="243"/>
      <c r="J168" s="243"/>
      <c r="K168" s="85"/>
      <c r="L168" s="85"/>
      <c r="M168" s="85"/>
      <c r="N168" s="85" t="str">
        <f t="shared" si="7"/>
        <v/>
      </c>
      <c r="O168" s="29"/>
      <c r="P168" s="307"/>
      <c r="Q168" s="85"/>
      <c r="R168" s="85"/>
      <c r="S168" s="15"/>
      <c r="T168" s="15"/>
      <c r="U168" s="243"/>
      <c r="V168" s="243"/>
      <c r="W168" s="243"/>
      <c r="X168" s="243"/>
      <c r="Y168" s="243"/>
      <c r="Z168" s="243"/>
    </row>
    <row r="169" ht="22.5" customHeight="1">
      <c r="A169" s="34"/>
      <c r="B169" s="322" t="s">
        <v>1353</v>
      </c>
      <c r="C169" s="45"/>
      <c r="D169" s="45"/>
      <c r="E169" s="45"/>
      <c r="F169" s="46"/>
      <c r="G169" s="250"/>
      <c r="H169" s="243"/>
      <c r="I169" s="243"/>
      <c r="J169" s="243"/>
      <c r="K169" s="85"/>
      <c r="L169" s="85"/>
      <c r="M169" s="85"/>
      <c r="N169" s="85" t="str">
        <f t="shared" si="7"/>
        <v/>
      </c>
      <c r="O169" s="29"/>
      <c r="P169" s="307"/>
      <c r="Q169" s="85"/>
      <c r="R169" s="85"/>
      <c r="S169" s="15"/>
      <c r="T169" s="15"/>
      <c r="U169" s="243"/>
      <c r="V169" s="243"/>
      <c r="W169" s="243"/>
      <c r="X169" s="243"/>
      <c r="Y169" s="243"/>
      <c r="Z169" s="243"/>
    </row>
    <row r="170" ht="15.75" customHeight="1">
      <c r="A170" s="67" t="str">
        <f t="shared" ref="A170:A172" si="86">$B$169&amp;C170</f>
        <v>End Cap (SCH-80)2 1⁄2</v>
      </c>
      <c r="B170" s="68">
        <v>1.0</v>
      </c>
      <c r="C170" s="110" t="s">
        <v>69</v>
      </c>
      <c r="D170" s="110">
        <v>65.0</v>
      </c>
      <c r="E170" s="129" t="s">
        <v>1367</v>
      </c>
      <c r="F170" s="181">
        <v>99.4</v>
      </c>
      <c r="G170" s="76">
        <f>IFERROR(__xludf.DUMMYFUNCTION("ArrayFormula(IFERROR(VLOOKUP(E170,IMPORTRANGE(""https://docs.google.com/spreadsheets/d/1xZyKy-UzMmtPDLpV5jQdYum1LtbR8XKDuasLSjmBRMI/edit#gid=1241094406"",""COMBINED DATA!E3:L""),{7,8},0)))"),0.18980000000000002)</f>
        <v>0.1898</v>
      </c>
      <c r="H170" s="76">
        <f>IFERROR(__xludf.DUMMYFUNCTION("""COMPUTED_VALUE"""),0.0)</f>
        <v>0</v>
      </c>
      <c r="I170" s="76">
        <f t="shared" ref="I170:I172" si="87">G170+H170</f>
        <v>0.1898</v>
      </c>
      <c r="J170" s="84">
        <f t="shared" ref="J170:J172" si="88">IFERROR(F170/I170,"")</f>
        <v>523.7091675</v>
      </c>
      <c r="K170" s="85">
        <f t="shared" ref="K170:K172" si="89">IFERROR(G170*100,)</f>
        <v>18.98</v>
      </c>
      <c r="L170" s="85">
        <f t="shared" ref="L170:L172" si="90">IFERROR(H170*725,)</f>
        <v>0</v>
      </c>
      <c r="M170" s="85">
        <f t="shared" ref="M170:M172" si="91">IFERROR(K170+L170,"")</f>
        <v>18.98</v>
      </c>
      <c r="N170" s="85">
        <f t="shared" si="7"/>
        <v>5.237091675</v>
      </c>
      <c r="O170" s="310">
        <v>99.4</v>
      </c>
      <c r="P170" s="75"/>
      <c r="Q170" s="85"/>
      <c r="R170" s="85"/>
      <c r="S170" s="20"/>
      <c r="T170" s="20"/>
      <c r="U170" s="16"/>
      <c r="V170" s="16"/>
      <c r="W170" s="16"/>
      <c r="X170" s="16"/>
      <c r="Y170" s="16"/>
      <c r="Z170" s="16"/>
    </row>
    <row r="171" ht="15.75" customHeight="1">
      <c r="A171" s="67" t="str">
        <f t="shared" si="86"/>
        <v>End Cap (SCH-80)3</v>
      </c>
      <c r="B171" s="90">
        <v>2.0</v>
      </c>
      <c r="C171" s="127">
        <v>3.0</v>
      </c>
      <c r="D171" s="127">
        <v>80.0</v>
      </c>
      <c r="E171" s="94" t="s">
        <v>1370</v>
      </c>
      <c r="F171" s="181">
        <v>148.0</v>
      </c>
      <c r="G171" s="76">
        <f>IFERROR(__xludf.DUMMYFUNCTION("ArrayFormula(IFERROR(VLOOKUP(E171,IMPORTRANGE(""https://docs.google.com/spreadsheets/d/1xZyKy-UzMmtPDLpV5jQdYum1LtbR8XKDuasLSjmBRMI/edit#gid=1241094406"",""COMBINED DATA!E3:L""),{7,8},0)))"),0.277)</f>
        <v>0.277</v>
      </c>
      <c r="H171" s="76">
        <f>IFERROR(__xludf.DUMMYFUNCTION("""COMPUTED_VALUE"""),0.0)</f>
        <v>0</v>
      </c>
      <c r="I171" s="76">
        <f t="shared" si="87"/>
        <v>0.277</v>
      </c>
      <c r="J171" s="84">
        <f t="shared" si="88"/>
        <v>534.2960289</v>
      </c>
      <c r="K171" s="85">
        <f t="shared" si="89"/>
        <v>27.7</v>
      </c>
      <c r="L171" s="85">
        <f t="shared" si="90"/>
        <v>0</v>
      </c>
      <c r="M171" s="85">
        <f t="shared" si="91"/>
        <v>27.7</v>
      </c>
      <c r="N171" s="85">
        <f t="shared" si="7"/>
        <v>5.342960289</v>
      </c>
      <c r="O171" s="310">
        <v>148.0</v>
      </c>
      <c r="P171" s="75"/>
      <c r="Q171" s="85"/>
      <c r="R171" s="85"/>
      <c r="S171" s="20"/>
      <c r="T171" s="20"/>
      <c r="U171" s="16"/>
      <c r="V171" s="16"/>
      <c r="W171" s="16"/>
      <c r="X171" s="16"/>
      <c r="Y171" s="16"/>
      <c r="Z171" s="16"/>
    </row>
    <row r="172" ht="15.75" customHeight="1">
      <c r="A172" s="67" t="str">
        <f t="shared" si="86"/>
        <v>End Cap (SCH-80)4</v>
      </c>
      <c r="B172" s="90">
        <v>3.0</v>
      </c>
      <c r="C172" s="127">
        <v>4.0</v>
      </c>
      <c r="D172" s="127">
        <v>100.0</v>
      </c>
      <c r="E172" s="94" t="s">
        <v>1371</v>
      </c>
      <c r="F172" s="181">
        <v>248.0</v>
      </c>
      <c r="G172" s="76">
        <f>IFERROR(__xludf.DUMMYFUNCTION("ArrayFormula(IFERROR(VLOOKUP(E172,IMPORTRANGE(""https://docs.google.com/spreadsheets/d/1xZyKy-UzMmtPDLpV5jQdYum1LtbR8XKDuasLSjmBRMI/edit#gid=1241094406"",""COMBINED DATA!E3:L""),{7,8},0)))"),0.476)</f>
        <v>0.476</v>
      </c>
      <c r="H172" s="76">
        <f>IFERROR(__xludf.DUMMYFUNCTION("""COMPUTED_VALUE"""),0.0)</f>
        <v>0</v>
      </c>
      <c r="I172" s="76">
        <f t="shared" si="87"/>
        <v>0.476</v>
      </c>
      <c r="J172" s="84">
        <f t="shared" si="88"/>
        <v>521.0084034</v>
      </c>
      <c r="K172" s="85">
        <f t="shared" si="89"/>
        <v>47.6</v>
      </c>
      <c r="L172" s="85">
        <f t="shared" si="90"/>
        <v>0</v>
      </c>
      <c r="M172" s="85">
        <f t="shared" si="91"/>
        <v>47.6</v>
      </c>
      <c r="N172" s="85">
        <f t="shared" si="7"/>
        <v>5.210084034</v>
      </c>
      <c r="O172" s="310">
        <v>248.0</v>
      </c>
      <c r="P172" s="75"/>
      <c r="Q172" s="85"/>
      <c r="R172" s="85"/>
      <c r="S172" s="20"/>
      <c r="T172" s="20"/>
      <c r="U172" s="16"/>
      <c r="V172" s="16"/>
      <c r="W172" s="16"/>
      <c r="X172" s="16"/>
      <c r="Y172" s="16"/>
      <c r="Z172" s="16"/>
    </row>
    <row r="173">
      <c r="A173" s="34"/>
      <c r="B173" s="237" t="s">
        <v>11</v>
      </c>
      <c r="C173" s="45"/>
      <c r="D173" s="45"/>
      <c r="E173" s="46"/>
      <c r="F173" s="103">
        <f>sum(F170:F172)</f>
        <v>495.4</v>
      </c>
      <c r="G173" s="250"/>
      <c r="H173" s="243"/>
      <c r="I173" s="243"/>
      <c r="J173" s="243"/>
      <c r="K173" s="85"/>
      <c r="L173" s="85"/>
      <c r="M173" s="85"/>
      <c r="N173" s="85" t="str">
        <f t="shared" si="7"/>
        <v/>
      </c>
      <c r="O173" s="103">
        <f>sum(O170:O172)</f>
        <v>495.4</v>
      </c>
      <c r="P173" s="307"/>
      <c r="Q173" s="85"/>
      <c r="R173" s="85"/>
      <c r="S173" s="15"/>
      <c r="T173" s="15"/>
      <c r="U173" s="243"/>
      <c r="V173" s="243"/>
      <c r="W173" s="243"/>
      <c r="X173" s="243"/>
      <c r="Y173" s="243"/>
      <c r="Z173" s="243"/>
    </row>
    <row r="174" ht="6.0" customHeight="1">
      <c r="A174" s="34"/>
      <c r="B174" s="15"/>
      <c r="C174" s="15"/>
      <c r="D174" s="15"/>
      <c r="E174" s="17"/>
      <c r="F174" s="15"/>
      <c r="G174" s="250"/>
      <c r="H174" s="243"/>
      <c r="I174" s="243"/>
      <c r="J174" s="243"/>
      <c r="K174" s="85"/>
      <c r="L174" s="85"/>
      <c r="M174" s="85"/>
      <c r="N174" s="85" t="str">
        <f t="shared" si="7"/>
        <v/>
      </c>
      <c r="O174" s="29"/>
      <c r="P174" s="307"/>
      <c r="Q174" s="85"/>
      <c r="R174" s="85"/>
      <c r="S174" s="15"/>
      <c r="T174" s="15"/>
      <c r="U174" s="243"/>
      <c r="V174" s="243"/>
      <c r="W174" s="243"/>
      <c r="X174" s="243"/>
      <c r="Y174" s="243"/>
      <c r="Z174" s="243"/>
    </row>
    <row r="175" ht="22.5" customHeight="1">
      <c r="A175" s="34"/>
      <c r="B175" s="62" t="s">
        <v>593</v>
      </c>
      <c r="C175" s="45"/>
      <c r="D175" s="45"/>
      <c r="E175" s="45"/>
      <c r="F175" s="46"/>
      <c r="G175" s="250"/>
      <c r="H175" s="243"/>
      <c r="I175" s="243"/>
      <c r="J175" s="243"/>
      <c r="K175" s="85"/>
      <c r="L175" s="85"/>
      <c r="M175" s="85"/>
      <c r="N175" s="85" t="str">
        <f t="shared" si="7"/>
        <v/>
      </c>
      <c r="O175" s="29"/>
      <c r="P175" s="307"/>
      <c r="Q175" s="85"/>
      <c r="R175" s="85"/>
      <c r="S175" s="15"/>
      <c r="T175" s="15"/>
      <c r="U175" s="243"/>
      <c r="V175" s="243"/>
      <c r="W175" s="243"/>
      <c r="X175" s="243"/>
      <c r="Y175" s="243"/>
      <c r="Z175" s="243"/>
    </row>
    <row r="176" ht="15.75" customHeight="1">
      <c r="A176" s="67" t="str">
        <f t="shared" ref="A176:A181" si="92">$B$175&amp;C176</f>
        <v>Male Adapter Plastic Threads (SCH-80)1⁄2</v>
      </c>
      <c r="B176" s="68">
        <v>1.0</v>
      </c>
      <c r="C176" s="70" t="s">
        <v>43</v>
      </c>
      <c r="D176" s="70">
        <v>15.0</v>
      </c>
      <c r="E176" s="129" t="s">
        <v>1375</v>
      </c>
      <c r="F176" s="56">
        <v>7.5</v>
      </c>
      <c r="G176" s="76">
        <f>IFERROR(__xludf.DUMMYFUNCTION("ArrayFormula(IFERROR(VLOOKUP(E176,IMPORTRANGE(""https://docs.google.com/spreadsheets/d/1xZyKy-UzMmtPDLpV5jQdYum1LtbR8XKDuasLSjmBRMI/edit#gid=1241094406"",""COMBINED DATA!E3:L""),{7,8},0)))"),0.01492)</f>
        <v>0.01492</v>
      </c>
      <c r="H176" s="76">
        <f>IFERROR(__xludf.DUMMYFUNCTION("""COMPUTED_VALUE"""),0.0)</f>
        <v>0</v>
      </c>
      <c r="I176" s="76">
        <f t="shared" ref="I176:I181" si="93">G176+H176</f>
        <v>0.01492</v>
      </c>
      <c r="J176" s="84">
        <f t="shared" ref="J176:J181" si="94">IFERROR(F176/I176,"")</f>
        <v>502.6809651</v>
      </c>
      <c r="K176" s="85">
        <f t="shared" ref="K176:K181" si="95">IFERROR(G176*100,)</f>
        <v>1.492</v>
      </c>
      <c r="L176" s="85">
        <f t="shared" ref="L176:L181" si="96">IFERROR(H176*725,)</f>
        <v>0</v>
      </c>
      <c r="M176" s="85">
        <f t="shared" ref="M176:M181" si="97">IFERROR(K176+L176,"")</f>
        <v>1.492</v>
      </c>
      <c r="N176" s="85">
        <f t="shared" si="7"/>
        <v>5.026809651</v>
      </c>
      <c r="O176" s="310">
        <v>7.5</v>
      </c>
      <c r="P176" s="317"/>
      <c r="Q176" s="85"/>
      <c r="R176" s="85"/>
      <c r="S176" s="20"/>
      <c r="T176" s="20"/>
      <c r="U176" s="16"/>
      <c r="V176" s="16"/>
      <c r="W176" s="16"/>
      <c r="X176" s="16"/>
      <c r="Y176" s="16"/>
      <c r="Z176" s="16"/>
    </row>
    <row r="177" ht="15.75" customHeight="1">
      <c r="A177" s="67" t="str">
        <f t="shared" si="92"/>
        <v>Male Adapter Plastic Threads (SCH-80)3⁄4</v>
      </c>
      <c r="B177" s="90">
        <v>2.0</v>
      </c>
      <c r="C177" s="92" t="s">
        <v>51</v>
      </c>
      <c r="D177" s="92">
        <v>20.0</v>
      </c>
      <c r="E177" s="94" t="s">
        <v>1377</v>
      </c>
      <c r="F177" s="56">
        <v>10.9</v>
      </c>
      <c r="G177" s="76">
        <f>IFERROR(__xludf.DUMMYFUNCTION("ArrayFormula(IFERROR(VLOOKUP(E177,IMPORTRANGE(""https://docs.google.com/spreadsheets/d/1xZyKy-UzMmtPDLpV5jQdYum1LtbR8XKDuasLSjmBRMI/edit#gid=1241094406"",""COMBINED DATA!E3:L""),{7,8},0)))"),0.023)</f>
        <v>0.023</v>
      </c>
      <c r="H177" s="76">
        <f>IFERROR(__xludf.DUMMYFUNCTION("""COMPUTED_VALUE"""),0.0)</f>
        <v>0</v>
      </c>
      <c r="I177" s="76">
        <f t="shared" si="93"/>
        <v>0.023</v>
      </c>
      <c r="J177" s="84">
        <f t="shared" si="94"/>
        <v>473.9130435</v>
      </c>
      <c r="K177" s="85">
        <f t="shared" si="95"/>
        <v>2.3</v>
      </c>
      <c r="L177" s="85">
        <f t="shared" si="96"/>
        <v>0</v>
      </c>
      <c r="M177" s="85">
        <f t="shared" si="97"/>
        <v>2.3</v>
      </c>
      <c r="N177" s="85">
        <f t="shared" si="7"/>
        <v>4.739130435</v>
      </c>
      <c r="O177" s="310">
        <v>10.9</v>
      </c>
      <c r="P177" s="317"/>
      <c r="Q177" s="85"/>
      <c r="R177" s="85"/>
      <c r="S177" s="20"/>
      <c r="T177" s="20"/>
      <c r="U177" s="16"/>
      <c r="V177" s="16"/>
      <c r="W177" s="16"/>
      <c r="X177" s="16"/>
      <c r="Y177" s="16"/>
      <c r="Z177" s="16"/>
    </row>
    <row r="178" ht="15.75" customHeight="1">
      <c r="A178" s="67" t="str">
        <f t="shared" si="92"/>
        <v>Male Adapter Plastic Threads (SCH-80)1</v>
      </c>
      <c r="B178" s="90">
        <v>3.0</v>
      </c>
      <c r="C178" s="92" t="s">
        <v>84</v>
      </c>
      <c r="D178" s="92">
        <v>25.0</v>
      </c>
      <c r="E178" s="94" t="s">
        <v>1378</v>
      </c>
      <c r="F178" s="56">
        <v>20.4</v>
      </c>
      <c r="G178" s="76">
        <f>IFERROR(__xludf.DUMMYFUNCTION("ArrayFormula(IFERROR(VLOOKUP(E178,IMPORTRANGE(""https://docs.google.com/spreadsheets/d/1xZyKy-UzMmtPDLpV5jQdYum1LtbR8XKDuasLSjmBRMI/edit#gid=1241094406"",""COMBINED DATA!E3:L""),{7,8},0)))"),0.0425)</f>
        <v>0.0425</v>
      </c>
      <c r="H178" s="76">
        <f>IFERROR(__xludf.DUMMYFUNCTION("""COMPUTED_VALUE"""),0.0)</f>
        <v>0</v>
      </c>
      <c r="I178" s="76">
        <f t="shared" si="93"/>
        <v>0.0425</v>
      </c>
      <c r="J178" s="84">
        <f t="shared" si="94"/>
        <v>480</v>
      </c>
      <c r="K178" s="85">
        <f t="shared" si="95"/>
        <v>4.25</v>
      </c>
      <c r="L178" s="85">
        <f t="shared" si="96"/>
        <v>0</v>
      </c>
      <c r="M178" s="85">
        <f t="shared" si="97"/>
        <v>4.25</v>
      </c>
      <c r="N178" s="85">
        <f t="shared" si="7"/>
        <v>4.8</v>
      </c>
      <c r="O178" s="310">
        <v>20.4</v>
      </c>
      <c r="P178" s="317"/>
      <c r="Q178" s="85"/>
      <c r="R178" s="85"/>
      <c r="S178" s="20"/>
      <c r="T178" s="20"/>
      <c r="U178" s="16"/>
      <c r="V178" s="16"/>
      <c r="W178" s="16"/>
      <c r="X178" s="16"/>
      <c r="Y178" s="16"/>
      <c r="Z178" s="16"/>
    </row>
    <row r="179" ht="15.75" customHeight="1">
      <c r="A179" s="67" t="str">
        <f t="shared" si="92"/>
        <v>Male Adapter Plastic Threads (SCH-80)1 1⁄4</v>
      </c>
      <c r="B179" s="90">
        <v>4.0</v>
      </c>
      <c r="C179" s="92" t="s">
        <v>55</v>
      </c>
      <c r="D179" s="92">
        <v>32.0</v>
      </c>
      <c r="E179" s="94" t="s">
        <v>1379</v>
      </c>
      <c r="F179" s="56">
        <v>29.2</v>
      </c>
      <c r="G179" s="76">
        <f>IFERROR(__xludf.DUMMYFUNCTION("ArrayFormula(IFERROR(VLOOKUP(E179,IMPORTRANGE(""https://docs.google.com/spreadsheets/d/1xZyKy-UzMmtPDLpV5jQdYum1LtbR8XKDuasLSjmBRMI/edit#gid=1241094406"",""COMBINED DATA!E3:L""),{7,8},0)))"),0.05975)</f>
        <v>0.05975</v>
      </c>
      <c r="H179" s="76">
        <f>IFERROR(__xludf.DUMMYFUNCTION("""COMPUTED_VALUE"""),0.0)</f>
        <v>0</v>
      </c>
      <c r="I179" s="76">
        <f t="shared" si="93"/>
        <v>0.05975</v>
      </c>
      <c r="J179" s="84">
        <f t="shared" si="94"/>
        <v>488.7029289</v>
      </c>
      <c r="K179" s="85">
        <f t="shared" si="95"/>
        <v>5.975</v>
      </c>
      <c r="L179" s="85">
        <f t="shared" si="96"/>
        <v>0</v>
      </c>
      <c r="M179" s="85">
        <f t="shared" si="97"/>
        <v>5.975</v>
      </c>
      <c r="N179" s="85">
        <f t="shared" si="7"/>
        <v>4.887029289</v>
      </c>
      <c r="O179" s="310">
        <v>29.2</v>
      </c>
      <c r="P179" s="317"/>
      <c r="Q179" s="85"/>
      <c r="R179" s="85"/>
      <c r="S179" s="20"/>
      <c r="T179" s="20"/>
      <c r="U179" s="16"/>
      <c r="V179" s="16"/>
      <c r="W179" s="16"/>
      <c r="X179" s="16"/>
      <c r="Y179" s="16"/>
      <c r="Z179" s="16"/>
    </row>
    <row r="180" ht="15.75" customHeight="1">
      <c r="A180" s="67" t="str">
        <f t="shared" si="92"/>
        <v>Male Adapter Plastic Threads (SCH-80)1 1⁄2</v>
      </c>
      <c r="B180" s="90">
        <v>5.0</v>
      </c>
      <c r="C180" s="92" t="s">
        <v>56</v>
      </c>
      <c r="D180" s="92">
        <v>40.0</v>
      </c>
      <c r="E180" s="94" t="s">
        <v>1380</v>
      </c>
      <c r="F180" s="56">
        <v>36.2</v>
      </c>
      <c r="G180" s="76">
        <f>IFERROR(__xludf.DUMMYFUNCTION("ArrayFormula(IFERROR(VLOOKUP(E180,IMPORTRANGE(""https://docs.google.com/spreadsheets/d/1xZyKy-UzMmtPDLpV5jQdYum1LtbR8XKDuasLSjmBRMI/edit#gid=1241094406"",""COMBINED DATA!E3:L""),{7,8},0)))"),0.0752)</f>
        <v>0.0752</v>
      </c>
      <c r="H180" s="76">
        <f>IFERROR(__xludf.DUMMYFUNCTION("""COMPUTED_VALUE"""),0.0)</f>
        <v>0</v>
      </c>
      <c r="I180" s="76">
        <f t="shared" si="93"/>
        <v>0.0752</v>
      </c>
      <c r="J180" s="84">
        <f t="shared" si="94"/>
        <v>481.3829787</v>
      </c>
      <c r="K180" s="85">
        <f t="shared" si="95"/>
        <v>7.52</v>
      </c>
      <c r="L180" s="85">
        <f t="shared" si="96"/>
        <v>0</v>
      </c>
      <c r="M180" s="85">
        <f t="shared" si="97"/>
        <v>7.52</v>
      </c>
      <c r="N180" s="85">
        <f t="shared" si="7"/>
        <v>4.813829787</v>
      </c>
      <c r="O180" s="310">
        <v>36.2</v>
      </c>
      <c r="P180" s="317"/>
      <c r="Q180" s="85"/>
      <c r="R180" s="85"/>
      <c r="S180" s="20"/>
      <c r="T180" s="20"/>
      <c r="U180" s="16"/>
      <c r="V180" s="16"/>
      <c r="W180" s="16"/>
      <c r="X180" s="16"/>
      <c r="Y180" s="16"/>
      <c r="Z180" s="16"/>
    </row>
    <row r="181" ht="15.75" customHeight="1">
      <c r="A181" s="67" t="str">
        <f t="shared" si="92"/>
        <v>Male Adapter Plastic Threads (SCH-80)2</v>
      </c>
      <c r="B181" s="90">
        <v>6.0</v>
      </c>
      <c r="C181" s="92" t="s">
        <v>107</v>
      </c>
      <c r="D181" s="92">
        <v>50.0</v>
      </c>
      <c r="E181" s="94" t="s">
        <v>1381</v>
      </c>
      <c r="F181" s="56">
        <v>54.6</v>
      </c>
      <c r="G181" s="76">
        <f>IFERROR(__xludf.DUMMYFUNCTION("ArrayFormula(IFERROR(VLOOKUP(E181,IMPORTRANGE(""https://docs.google.com/spreadsheets/d/1xZyKy-UzMmtPDLpV5jQdYum1LtbR8XKDuasLSjmBRMI/edit#gid=1241094406"",""COMBINED DATA!E3:L""),{7,8},0)))"),0.1092)</f>
        <v>0.1092</v>
      </c>
      <c r="H181" s="76">
        <f>IFERROR(__xludf.DUMMYFUNCTION("""COMPUTED_VALUE"""),0.0)</f>
        <v>0</v>
      </c>
      <c r="I181" s="76">
        <f t="shared" si="93"/>
        <v>0.1092</v>
      </c>
      <c r="J181" s="84">
        <f t="shared" si="94"/>
        <v>500</v>
      </c>
      <c r="K181" s="85">
        <f t="shared" si="95"/>
        <v>10.92</v>
      </c>
      <c r="L181" s="85">
        <f t="shared" si="96"/>
        <v>0</v>
      </c>
      <c r="M181" s="85">
        <f t="shared" si="97"/>
        <v>10.92</v>
      </c>
      <c r="N181" s="85">
        <f t="shared" si="7"/>
        <v>5</v>
      </c>
      <c r="O181" s="310">
        <v>54.6</v>
      </c>
      <c r="P181" s="317"/>
      <c r="Q181" s="85"/>
      <c r="R181" s="85"/>
      <c r="S181" s="20"/>
      <c r="T181" s="20"/>
      <c r="U181" s="16"/>
      <c r="V181" s="16"/>
      <c r="W181" s="16"/>
      <c r="X181" s="16"/>
      <c r="Y181" s="16"/>
      <c r="Z181" s="16"/>
    </row>
    <row r="182">
      <c r="A182" s="34"/>
      <c r="B182" s="237" t="s">
        <v>11</v>
      </c>
      <c r="C182" s="45"/>
      <c r="D182" s="45"/>
      <c r="E182" s="46"/>
      <c r="F182" s="103">
        <f>SUM(F176:F181)</f>
        <v>158.8</v>
      </c>
      <c r="G182" s="250"/>
      <c r="H182" s="243"/>
      <c r="I182" s="243"/>
      <c r="J182" s="243"/>
      <c r="K182" s="85"/>
      <c r="L182" s="85"/>
      <c r="M182" s="85"/>
      <c r="N182" s="85" t="str">
        <f t="shared" si="7"/>
        <v/>
      </c>
      <c r="O182" s="103">
        <f>SUM(O176:O181)</f>
        <v>158.8</v>
      </c>
      <c r="P182" s="307"/>
      <c r="Q182" s="85"/>
      <c r="R182" s="85"/>
      <c r="S182" s="15"/>
      <c r="T182" s="15"/>
      <c r="U182" s="243"/>
      <c r="V182" s="243"/>
      <c r="W182" s="243"/>
      <c r="X182" s="243"/>
      <c r="Y182" s="243"/>
      <c r="Z182" s="243"/>
    </row>
    <row r="183" ht="6.0" customHeight="1">
      <c r="A183" s="34"/>
      <c r="B183" s="15"/>
      <c r="C183" s="15"/>
      <c r="D183" s="15"/>
      <c r="E183" s="17"/>
      <c r="F183" s="15"/>
      <c r="G183" s="250"/>
      <c r="H183" s="243"/>
      <c r="I183" s="243"/>
      <c r="J183" s="243"/>
      <c r="K183" s="85"/>
      <c r="L183" s="85"/>
      <c r="M183" s="85"/>
      <c r="N183" s="85" t="str">
        <f t="shared" si="7"/>
        <v/>
      </c>
      <c r="O183" s="29"/>
      <c r="P183" s="307"/>
      <c r="Q183" s="85"/>
      <c r="R183" s="85"/>
      <c r="S183" s="15"/>
      <c r="T183" s="15"/>
      <c r="U183" s="243"/>
      <c r="V183" s="243"/>
      <c r="W183" s="243"/>
      <c r="X183" s="243"/>
      <c r="Y183" s="243"/>
      <c r="Z183" s="243"/>
    </row>
    <row r="184" ht="22.5" customHeight="1">
      <c r="A184" s="34"/>
      <c r="B184" s="62" t="s">
        <v>593</v>
      </c>
      <c r="C184" s="45"/>
      <c r="D184" s="45"/>
      <c r="E184" s="45"/>
      <c r="F184" s="46"/>
      <c r="G184" s="250"/>
      <c r="H184" s="243"/>
      <c r="I184" s="243"/>
      <c r="J184" s="243"/>
      <c r="K184" s="85"/>
      <c r="L184" s="85"/>
      <c r="M184" s="85"/>
      <c r="N184" s="85" t="str">
        <f t="shared" si="7"/>
        <v/>
      </c>
      <c r="O184" s="29"/>
      <c r="P184" s="307"/>
      <c r="Q184" s="85"/>
      <c r="R184" s="85"/>
      <c r="S184" s="15"/>
      <c r="T184" s="15"/>
      <c r="U184" s="243"/>
      <c r="V184" s="243"/>
      <c r="W184" s="243"/>
      <c r="X184" s="243"/>
      <c r="Y184" s="243"/>
      <c r="Z184" s="243"/>
    </row>
    <row r="185" ht="15.75" customHeight="1">
      <c r="A185" s="67" t="str">
        <f t="shared" ref="A185:A187" si="98">$B$184&amp;C185</f>
        <v>Male Adapter Plastic Threads (SCH-80)2 1⁄2</v>
      </c>
      <c r="B185" s="68">
        <v>1.0</v>
      </c>
      <c r="C185" s="110" t="s">
        <v>69</v>
      </c>
      <c r="D185" s="110">
        <v>65.0</v>
      </c>
      <c r="E185" s="111" t="s">
        <v>1383</v>
      </c>
      <c r="F185" s="56">
        <v>109.0</v>
      </c>
      <c r="G185" s="76">
        <f>IFERROR(__xludf.DUMMYFUNCTION("ArrayFormula(IFERROR(VLOOKUP(E185,IMPORTRANGE(""https://docs.google.com/spreadsheets/d/1xZyKy-UzMmtPDLpV5jQdYum1LtbR8XKDuasLSjmBRMI/edit#gid=1241094406"",""COMBINED DATA!E3:L""),{7,8},0)))"),0.2015)</f>
        <v>0.2015</v>
      </c>
      <c r="H185" s="76">
        <f>IFERROR(__xludf.DUMMYFUNCTION("""COMPUTED_VALUE"""),0.0)</f>
        <v>0</v>
      </c>
      <c r="I185" s="76">
        <f t="shared" ref="I185:I187" si="99">G185+H185</f>
        <v>0.2015</v>
      </c>
      <c r="J185" s="84">
        <f t="shared" ref="J185:J187" si="100">IFERROR(F185/I185,"")</f>
        <v>540.942928</v>
      </c>
      <c r="K185" s="85">
        <f t="shared" ref="K185:K187" si="101">IFERROR(G185*100,)</f>
        <v>20.15</v>
      </c>
      <c r="L185" s="85">
        <f t="shared" ref="L185:L187" si="102">IFERROR(H185*725,)</f>
        <v>0</v>
      </c>
      <c r="M185" s="85">
        <f t="shared" ref="M185:M187" si="103">IFERROR(K185+L185,"")</f>
        <v>20.15</v>
      </c>
      <c r="N185" s="85">
        <f t="shared" si="7"/>
        <v>5.40942928</v>
      </c>
      <c r="O185" s="310">
        <v>109.0</v>
      </c>
      <c r="P185" s="75"/>
      <c r="Q185" s="85"/>
      <c r="R185" s="85"/>
      <c r="S185" s="20"/>
      <c r="T185" s="20"/>
      <c r="U185" s="16"/>
      <c r="V185" s="16"/>
      <c r="W185" s="16"/>
      <c r="X185" s="16"/>
      <c r="Y185" s="16"/>
      <c r="Z185" s="16"/>
    </row>
    <row r="186" ht="15.75" customHeight="1">
      <c r="A186" s="67" t="str">
        <f t="shared" si="98"/>
        <v>Male Adapter Plastic Threads (SCH-80)3</v>
      </c>
      <c r="B186" s="90">
        <v>2.0</v>
      </c>
      <c r="C186" s="127">
        <v>3.0</v>
      </c>
      <c r="D186" s="127">
        <v>80.0</v>
      </c>
      <c r="E186" s="112" t="s">
        <v>1384</v>
      </c>
      <c r="F186" s="56">
        <v>154.0</v>
      </c>
      <c r="G186" s="76">
        <f>IFERROR(__xludf.DUMMYFUNCTION("ArrayFormula(IFERROR(VLOOKUP(E186,IMPORTRANGE(""https://docs.google.com/spreadsheets/d/1xZyKy-UzMmtPDLpV5jQdYum1LtbR8XKDuasLSjmBRMI/edit#gid=1241094406"",""COMBINED DATA!E3:L""),{7,8},0)))"),0.2743)</f>
        <v>0.2743</v>
      </c>
      <c r="H186" s="76">
        <f>IFERROR(__xludf.DUMMYFUNCTION("""COMPUTED_VALUE"""),0.0)</f>
        <v>0</v>
      </c>
      <c r="I186" s="76">
        <f t="shared" si="99"/>
        <v>0.2743</v>
      </c>
      <c r="J186" s="84">
        <f t="shared" si="100"/>
        <v>561.4290922</v>
      </c>
      <c r="K186" s="85">
        <f t="shared" si="101"/>
        <v>27.43</v>
      </c>
      <c r="L186" s="85">
        <f t="shared" si="102"/>
        <v>0</v>
      </c>
      <c r="M186" s="85">
        <f t="shared" si="103"/>
        <v>27.43</v>
      </c>
      <c r="N186" s="85">
        <f t="shared" si="7"/>
        <v>5.614290922</v>
      </c>
      <c r="O186" s="310">
        <v>154.0</v>
      </c>
      <c r="P186" s="75"/>
      <c r="Q186" s="85"/>
      <c r="R186" s="85"/>
      <c r="S186" s="20"/>
      <c r="T186" s="20"/>
      <c r="U186" s="16"/>
      <c r="V186" s="16"/>
      <c r="W186" s="16"/>
      <c r="X186" s="16"/>
      <c r="Y186" s="16"/>
      <c r="Z186" s="16"/>
    </row>
    <row r="187" ht="15.75" customHeight="1">
      <c r="A187" s="67" t="str">
        <f t="shared" si="98"/>
        <v>Male Adapter Plastic Threads (SCH-80)4</v>
      </c>
      <c r="B187" s="90">
        <v>3.0</v>
      </c>
      <c r="C187" s="127">
        <v>4.0</v>
      </c>
      <c r="D187" s="127">
        <v>100.0</v>
      </c>
      <c r="E187" s="112" t="s">
        <v>1385</v>
      </c>
      <c r="F187" s="56">
        <v>298.0</v>
      </c>
      <c r="G187" s="76">
        <f>IFERROR(__xludf.DUMMYFUNCTION("ArrayFormula(IFERROR(VLOOKUP(E187,IMPORTRANGE(""https://docs.google.com/spreadsheets/d/1xZyKy-UzMmtPDLpV5jQdYum1LtbR8XKDuasLSjmBRMI/edit#gid=1241094406"",""COMBINED DATA!E3:L""),{7,8},0)))"),0.5515)</f>
        <v>0.5515</v>
      </c>
      <c r="H187" s="76">
        <f>IFERROR(__xludf.DUMMYFUNCTION("""COMPUTED_VALUE"""),0.0)</f>
        <v>0</v>
      </c>
      <c r="I187" s="76">
        <f t="shared" si="99"/>
        <v>0.5515</v>
      </c>
      <c r="J187" s="84">
        <f t="shared" si="100"/>
        <v>540.344515</v>
      </c>
      <c r="K187" s="85">
        <f t="shared" si="101"/>
        <v>55.15</v>
      </c>
      <c r="L187" s="85">
        <f t="shared" si="102"/>
        <v>0</v>
      </c>
      <c r="M187" s="85">
        <f t="shared" si="103"/>
        <v>55.15</v>
      </c>
      <c r="N187" s="85">
        <f t="shared" si="7"/>
        <v>5.40344515</v>
      </c>
      <c r="O187" s="310">
        <v>298.0</v>
      </c>
      <c r="P187" s="75"/>
      <c r="Q187" s="85"/>
      <c r="R187" s="85"/>
      <c r="S187" s="20"/>
      <c r="T187" s="20"/>
      <c r="U187" s="16"/>
      <c r="V187" s="16"/>
      <c r="W187" s="16"/>
      <c r="X187" s="16"/>
      <c r="Y187" s="16"/>
      <c r="Z187" s="16"/>
    </row>
    <row r="188">
      <c r="A188" s="34"/>
      <c r="B188" s="237" t="s">
        <v>11</v>
      </c>
      <c r="C188" s="45"/>
      <c r="D188" s="45"/>
      <c r="E188" s="46"/>
      <c r="F188" s="103">
        <f>sum(F185:F187)</f>
        <v>561</v>
      </c>
      <c r="G188" s="250"/>
      <c r="H188" s="243"/>
      <c r="I188" s="243"/>
      <c r="J188" s="243"/>
      <c r="K188" s="85"/>
      <c r="L188" s="85"/>
      <c r="M188" s="85"/>
      <c r="N188" s="85" t="str">
        <f t="shared" si="7"/>
        <v/>
      </c>
      <c r="O188" s="103">
        <f>sum(O185:O187)</f>
        <v>561</v>
      </c>
      <c r="P188" s="307"/>
      <c r="Q188" s="85"/>
      <c r="R188" s="85"/>
      <c r="S188" s="15"/>
      <c r="T188" s="15"/>
      <c r="U188" s="243"/>
      <c r="V188" s="243"/>
      <c r="W188" s="243"/>
      <c r="X188" s="243"/>
      <c r="Y188" s="243"/>
      <c r="Z188" s="243"/>
    </row>
    <row r="189" ht="6.75" customHeight="1">
      <c r="A189" s="34"/>
      <c r="B189" s="15"/>
      <c r="C189" s="15"/>
      <c r="D189" s="15"/>
      <c r="E189" s="17"/>
      <c r="F189" s="15"/>
      <c r="G189" s="250"/>
      <c r="H189" s="243"/>
      <c r="I189" s="243"/>
      <c r="J189" s="243"/>
      <c r="K189" s="85"/>
      <c r="L189" s="85"/>
      <c r="M189" s="85"/>
      <c r="N189" s="85" t="str">
        <f t="shared" si="7"/>
        <v/>
      </c>
      <c r="O189" s="29"/>
      <c r="P189" s="307"/>
      <c r="Q189" s="85"/>
      <c r="R189" s="85"/>
      <c r="S189" s="15"/>
      <c r="T189" s="15"/>
      <c r="U189" s="243"/>
      <c r="V189" s="243"/>
      <c r="W189" s="243"/>
      <c r="X189" s="243"/>
      <c r="Y189" s="243"/>
      <c r="Z189" s="243"/>
    </row>
    <row r="190" ht="22.5" customHeight="1">
      <c r="A190" s="34"/>
      <c r="B190" s="62" t="s">
        <v>668</v>
      </c>
      <c r="C190" s="45"/>
      <c r="D190" s="45"/>
      <c r="E190" s="45"/>
      <c r="F190" s="46"/>
      <c r="G190" s="250"/>
      <c r="H190" s="243"/>
      <c r="I190" s="243"/>
      <c r="J190" s="243"/>
      <c r="K190" s="85"/>
      <c r="L190" s="85"/>
      <c r="M190" s="85"/>
      <c r="N190" s="85" t="str">
        <f t="shared" si="7"/>
        <v/>
      </c>
      <c r="O190" s="29"/>
      <c r="P190" s="307"/>
      <c r="Q190" s="85"/>
      <c r="R190" s="85"/>
      <c r="S190" s="15"/>
      <c r="T190" s="15"/>
      <c r="U190" s="243"/>
      <c r="V190" s="243"/>
      <c r="W190" s="243"/>
      <c r="X190" s="243"/>
      <c r="Y190" s="243"/>
      <c r="Z190" s="243"/>
    </row>
    <row r="191" ht="15.75" customHeight="1">
      <c r="A191" s="67" t="str">
        <f t="shared" ref="A191:A198" si="104">$B$190&amp;C191</f>
        <v>Female Adapter Plastic Threads (SCH-80)3⁄4 x 1⁄2</v>
      </c>
      <c r="B191" s="68">
        <v>1.0</v>
      </c>
      <c r="C191" s="110" t="s">
        <v>144</v>
      </c>
      <c r="D191" s="110" t="s">
        <v>145</v>
      </c>
      <c r="E191" s="111" t="s">
        <v>1388</v>
      </c>
      <c r="F191" s="338">
        <v>15.8</v>
      </c>
      <c r="G191" s="76">
        <f>IFERROR(__xludf.DUMMYFUNCTION("ArrayFormula(IFERROR(VLOOKUP(E191,IMPORTRANGE(""https://docs.google.com/spreadsheets/d/1xZyKy-UzMmtPDLpV5jQdYum1LtbR8XKDuasLSjmBRMI/edit#gid=1241094406"",""COMBINED DATA!E3:L""),{7,8},0)))"),0.03225)</f>
        <v>0.03225</v>
      </c>
      <c r="H191" s="76">
        <f>IFERROR(__xludf.DUMMYFUNCTION("""COMPUTED_VALUE"""),0.0)</f>
        <v>0</v>
      </c>
      <c r="I191" s="76">
        <f t="shared" ref="I191:I198" si="105">G191+H191</f>
        <v>0.03225</v>
      </c>
      <c r="J191" s="84">
        <f t="shared" ref="J191:J198" si="106">IFERROR(F191/I191,"")</f>
        <v>489.9224806</v>
      </c>
      <c r="K191" s="85">
        <f t="shared" ref="K191:K198" si="107">IFERROR(G191*100,)</f>
        <v>3.225</v>
      </c>
      <c r="L191" s="85">
        <f t="shared" ref="L191:L198" si="108">IFERROR(H191*725,)</f>
        <v>0</v>
      </c>
      <c r="M191" s="85">
        <f t="shared" ref="M191:M198" si="109">IFERROR(K191+L191,"")</f>
        <v>3.225</v>
      </c>
      <c r="N191" s="85">
        <f t="shared" si="7"/>
        <v>4.899224806</v>
      </c>
      <c r="O191" s="310">
        <v>15.8</v>
      </c>
      <c r="P191" s="317"/>
      <c r="Q191" s="85"/>
      <c r="R191" s="85"/>
      <c r="S191" s="20"/>
      <c r="T191" s="20"/>
      <c r="U191" s="16"/>
      <c r="V191" s="16"/>
      <c r="W191" s="16"/>
      <c r="X191" s="16"/>
      <c r="Y191" s="16"/>
      <c r="Z191" s="16"/>
    </row>
    <row r="192" ht="15.75" customHeight="1">
      <c r="A192" s="67" t="str">
        <f t="shared" si="104"/>
        <v>Female Adapter Plastic Threads (SCH-80)1 x 1⁄2</v>
      </c>
      <c r="B192" s="90">
        <v>2.0</v>
      </c>
      <c r="C192" s="127" t="s">
        <v>352</v>
      </c>
      <c r="D192" s="127" t="s">
        <v>353</v>
      </c>
      <c r="E192" s="112" t="s">
        <v>1391</v>
      </c>
      <c r="F192" s="338">
        <v>29.6</v>
      </c>
      <c r="G192" s="76">
        <f>IFERROR(__xludf.DUMMYFUNCTION("ArrayFormula(IFERROR(VLOOKUP(E192,IMPORTRANGE(""https://docs.google.com/spreadsheets/d/1xZyKy-UzMmtPDLpV5jQdYum1LtbR8XKDuasLSjmBRMI/edit#gid=1241094406"",""COMBINED DATA!E3:L""),{7,8},0)))"),0.05775)</f>
        <v>0.05775</v>
      </c>
      <c r="H192" s="76">
        <f>IFERROR(__xludf.DUMMYFUNCTION("""COMPUTED_VALUE"""),0.0)</f>
        <v>0</v>
      </c>
      <c r="I192" s="76">
        <f t="shared" si="105"/>
        <v>0.05775</v>
      </c>
      <c r="J192" s="84">
        <f t="shared" si="106"/>
        <v>512.5541126</v>
      </c>
      <c r="K192" s="85">
        <f t="shared" si="107"/>
        <v>5.775</v>
      </c>
      <c r="L192" s="85">
        <f t="shared" si="108"/>
        <v>0</v>
      </c>
      <c r="M192" s="85">
        <f t="shared" si="109"/>
        <v>5.775</v>
      </c>
      <c r="N192" s="85">
        <f t="shared" si="7"/>
        <v>5.125541126</v>
      </c>
      <c r="O192" s="310">
        <v>29.6</v>
      </c>
      <c r="P192" s="317"/>
      <c r="Q192" s="85"/>
      <c r="R192" s="85"/>
      <c r="S192" s="20"/>
      <c r="T192" s="20"/>
      <c r="U192" s="16"/>
      <c r="V192" s="16"/>
      <c r="W192" s="16"/>
      <c r="X192" s="16"/>
      <c r="Y192" s="16"/>
      <c r="Z192" s="16"/>
    </row>
    <row r="193" ht="15.75" customHeight="1">
      <c r="A193" s="67" t="str">
        <f t="shared" si="104"/>
        <v>Female Adapter Plastic Threads (SCH-80)1⁄2</v>
      </c>
      <c r="B193" s="90">
        <v>3.0</v>
      </c>
      <c r="C193" s="92" t="s">
        <v>43</v>
      </c>
      <c r="D193" s="92">
        <v>15.0</v>
      </c>
      <c r="E193" s="112" t="s">
        <v>1393</v>
      </c>
      <c r="F193" s="338">
        <v>9.6</v>
      </c>
      <c r="G193" s="76">
        <f>IFERROR(__xludf.DUMMYFUNCTION("ArrayFormula(IFERROR(VLOOKUP(E193,IMPORTRANGE(""https://docs.google.com/spreadsheets/d/1xZyKy-UzMmtPDLpV5jQdYum1LtbR8XKDuasLSjmBRMI/edit#gid=1241094406"",""COMBINED DATA!E3:L""),{7,8},0)))"),0.020550000000000002)</f>
        <v>0.02055</v>
      </c>
      <c r="H193" s="76">
        <f>IFERROR(__xludf.DUMMYFUNCTION("""COMPUTED_VALUE"""),0.0)</f>
        <v>0</v>
      </c>
      <c r="I193" s="76">
        <f t="shared" si="105"/>
        <v>0.02055</v>
      </c>
      <c r="J193" s="84">
        <f t="shared" si="106"/>
        <v>467.1532847</v>
      </c>
      <c r="K193" s="85">
        <f t="shared" si="107"/>
        <v>2.055</v>
      </c>
      <c r="L193" s="85">
        <f t="shared" si="108"/>
        <v>0</v>
      </c>
      <c r="M193" s="85">
        <f t="shared" si="109"/>
        <v>2.055</v>
      </c>
      <c r="N193" s="85">
        <f t="shared" si="7"/>
        <v>4.671532847</v>
      </c>
      <c r="O193" s="310">
        <v>9.6</v>
      </c>
      <c r="P193" s="317"/>
      <c r="Q193" s="85"/>
      <c r="R193" s="85"/>
      <c r="S193" s="20"/>
      <c r="T193" s="20"/>
      <c r="U193" s="16"/>
      <c r="V193" s="16"/>
      <c r="W193" s="16"/>
      <c r="X193" s="16"/>
      <c r="Y193" s="16"/>
      <c r="Z193" s="16"/>
    </row>
    <row r="194" ht="15.75" customHeight="1">
      <c r="A194" s="67" t="str">
        <f t="shared" si="104"/>
        <v>Female Adapter Plastic Threads (SCH-80)3⁄4</v>
      </c>
      <c r="B194" s="90">
        <v>4.0</v>
      </c>
      <c r="C194" s="92" t="s">
        <v>51</v>
      </c>
      <c r="D194" s="92">
        <v>20.0</v>
      </c>
      <c r="E194" s="112" t="s">
        <v>1395</v>
      </c>
      <c r="F194" s="338">
        <v>14.5</v>
      </c>
      <c r="G194" s="76">
        <f>IFERROR(__xludf.DUMMYFUNCTION("ArrayFormula(IFERROR(VLOOKUP(E194,IMPORTRANGE(""https://docs.google.com/spreadsheets/d/1xZyKy-UzMmtPDLpV5jQdYum1LtbR8XKDuasLSjmBRMI/edit#gid=1241094406"",""COMBINED DATA!E3:L""),{7,8},0)))"),0.0296)</f>
        <v>0.0296</v>
      </c>
      <c r="H194" s="76">
        <f>IFERROR(__xludf.DUMMYFUNCTION("""COMPUTED_VALUE"""),0.0)</f>
        <v>0</v>
      </c>
      <c r="I194" s="76">
        <f t="shared" si="105"/>
        <v>0.0296</v>
      </c>
      <c r="J194" s="84">
        <f t="shared" si="106"/>
        <v>489.8648649</v>
      </c>
      <c r="K194" s="85">
        <f t="shared" si="107"/>
        <v>2.96</v>
      </c>
      <c r="L194" s="85">
        <f t="shared" si="108"/>
        <v>0</v>
      </c>
      <c r="M194" s="85">
        <f t="shared" si="109"/>
        <v>2.96</v>
      </c>
      <c r="N194" s="85">
        <f t="shared" si="7"/>
        <v>4.898648649</v>
      </c>
      <c r="O194" s="310">
        <v>14.5</v>
      </c>
      <c r="P194" s="317"/>
      <c r="Q194" s="85"/>
      <c r="R194" s="85"/>
      <c r="S194" s="20"/>
      <c r="T194" s="20"/>
      <c r="U194" s="16"/>
      <c r="V194" s="16"/>
      <c r="W194" s="16"/>
      <c r="X194" s="16"/>
      <c r="Y194" s="16"/>
      <c r="Z194" s="16"/>
    </row>
    <row r="195" ht="15.75" customHeight="1">
      <c r="A195" s="67" t="str">
        <f t="shared" si="104"/>
        <v>Female Adapter Plastic Threads (SCH-80)1</v>
      </c>
      <c r="B195" s="90">
        <v>5.0</v>
      </c>
      <c r="C195" s="92" t="s">
        <v>84</v>
      </c>
      <c r="D195" s="92">
        <v>25.0</v>
      </c>
      <c r="E195" s="112" t="s">
        <v>1396</v>
      </c>
      <c r="F195" s="338">
        <v>23.8</v>
      </c>
      <c r="G195" s="76">
        <f>IFERROR(__xludf.DUMMYFUNCTION("ArrayFormula(IFERROR(VLOOKUP(E195,IMPORTRANGE(""https://docs.google.com/spreadsheets/d/1xZyKy-UzMmtPDLpV5jQdYum1LtbR8XKDuasLSjmBRMI/edit#gid=1241094406"",""COMBINED DATA!E3:L""),{7,8},0)))"),0.051)</f>
        <v>0.051</v>
      </c>
      <c r="H195" s="76">
        <f>IFERROR(__xludf.DUMMYFUNCTION("""COMPUTED_VALUE"""),0.0)</f>
        <v>0</v>
      </c>
      <c r="I195" s="76">
        <f t="shared" si="105"/>
        <v>0.051</v>
      </c>
      <c r="J195" s="84">
        <f t="shared" si="106"/>
        <v>466.6666667</v>
      </c>
      <c r="K195" s="85">
        <f t="shared" si="107"/>
        <v>5.1</v>
      </c>
      <c r="L195" s="85">
        <f t="shared" si="108"/>
        <v>0</v>
      </c>
      <c r="M195" s="85">
        <f t="shared" si="109"/>
        <v>5.1</v>
      </c>
      <c r="N195" s="85">
        <f t="shared" si="7"/>
        <v>4.666666667</v>
      </c>
      <c r="O195" s="310">
        <v>23.8</v>
      </c>
      <c r="P195" s="317"/>
      <c r="Q195" s="85"/>
      <c r="R195" s="85"/>
      <c r="S195" s="20"/>
      <c r="T195" s="20"/>
      <c r="U195" s="16"/>
      <c r="V195" s="16"/>
      <c r="W195" s="16"/>
      <c r="X195" s="16"/>
      <c r="Y195" s="16"/>
      <c r="Z195" s="16"/>
    </row>
    <row r="196" ht="15.75" customHeight="1">
      <c r="A196" s="67" t="str">
        <f t="shared" si="104"/>
        <v>Female Adapter Plastic Threads (SCH-80)1 1⁄4</v>
      </c>
      <c r="B196" s="90">
        <v>6.0</v>
      </c>
      <c r="C196" s="92" t="s">
        <v>55</v>
      </c>
      <c r="D196" s="92">
        <v>32.0</v>
      </c>
      <c r="E196" s="112" t="s">
        <v>1398</v>
      </c>
      <c r="F196" s="338">
        <v>32.6</v>
      </c>
      <c r="G196" s="76">
        <f>IFERROR(__xludf.DUMMYFUNCTION("ArrayFormula(IFERROR(VLOOKUP(E196,IMPORTRANGE(""https://docs.google.com/spreadsheets/d/1xZyKy-UzMmtPDLpV5jQdYum1LtbR8XKDuasLSjmBRMI/edit#gid=1241094406"",""COMBINED DATA!E3:L""),{7,8},0)))"),0.069)</f>
        <v>0.069</v>
      </c>
      <c r="H196" s="76">
        <f>IFERROR(__xludf.DUMMYFUNCTION("""COMPUTED_VALUE"""),0.0)</f>
        <v>0</v>
      </c>
      <c r="I196" s="76">
        <f t="shared" si="105"/>
        <v>0.069</v>
      </c>
      <c r="J196" s="84">
        <f t="shared" si="106"/>
        <v>472.4637681</v>
      </c>
      <c r="K196" s="85">
        <f t="shared" si="107"/>
        <v>6.9</v>
      </c>
      <c r="L196" s="85">
        <f t="shared" si="108"/>
        <v>0</v>
      </c>
      <c r="M196" s="85">
        <f t="shared" si="109"/>
        <v>6.9</v>
      </c>
      <c r="N196" s="85">
        <f t="shared" si="7"/>
        <v>4.724637681</v>
      </c>
      <c r="O196" s="310">
        <v>32.6</v>
      </c>
      <c r="P196" s="317"/>
      <c r="Q196" s="85"/>
      <c r="R196" s="85"/>
      <c r="S196" s="20"/>
      <c r="T196" s="20"/>
      <c r="U196" s="16"/>
      <c r="V196" s="16"/>
      <c r="W196" s="16"/>
      <c r="X196" s="16"/>
      <c r="Y196" s="16"/>
      <c r="Z196" s="16"/>
    </row>
    <row r="197" ht="15.75" customHeight="1">
      <c r="A197" s="67" t="str">
        <f t="shared" si="104"/>
        <v>Female Adapter Plastic Threads (SCH-80)1 1⁄2</v>
      </c>
      <c r="B197" s="90">
        <v>7.0</v>
      </c>
      <c r="C197" s="92" t="s">
        <v>56</v>
      </c>
      <c r="D197" s="92">
        <v>40.0</v>
      </c>
      <c r="E197" s="112" t="s">
        <v>1400</v>
      </c>
      <c r="F197" s="338">
        <v>44.4</v>
      </c>
      <c r="G197" s="76">
        <f>IFERROR(__xludf.DUMMYFUNCTION("ArrayFormula(IFERROR(VLOOKUP(E197,IMPORTRANGE(""https://docs.google.com/spreadsheets/d/1xZyKy-UzMmtPDLpV5jQdYum1LtbR8XKDuasLSjmBRMI/edit#gid=1241094406"",""COMBINED DATA!E3:L""),{7,8},0)))"),0.094)</f>
        <v>0.094</v>
      </c>
      <c r="H197" s="76">
        <f>IFERROR(__xludf.DUMMYFUNCTION("""COMPUTED_VALUE"""),0.0)</f>
        <v>0</v>
      </c>
      <c r="I197" s="76">
        <f t="shared" si="105"/>
        <v>0.094</v>
      </c>
      <c r="J197" s="84">
        <f t="shared" si="106"/>
        <v>472.3404255</v>
      </c>
      <c r="K197" s="85">
        <f t="shared" si="107"/>
        <v>9.4</v>
      </c>
      <c r="L197" s="85">
        <f t="shared" si="108"/>
        <v>0</v>
      </c>
      <c r="M197" s="85">
        <f t="shared" si="109"/>
        <v>9.4</v>
      </c>
      <c r="N197" s="85">
        <f t="shared" si="7"/>
        <v>4.723404255</v>
      </c>
      <c r="O197" s="310">
        <v>44.4</v>
      </c>
      <c r="P197" s="317"/>
      <c r="Q197" s="85"/>
      <c r="R197" s="85"/>
      <c r="S197" s="20"/>
      <c r="T197" s="20"/>
      <c r="U197" s="16"/>
      <c r="V197" s="16"/>
      <c r="W197" s="16"/>
      <c r="X197" s="16"/>
      <c r="Y197" s="16"/>
      <c r="Z197" s="16"/>
    </row>
    <row r="198" ht="15.75" customHeight="1">
      <c r="A198" s="67" t="str">
        <f t="shared" si="104"/>
        <v>Female Adapter Plastic Threads (SCH-80)2</v>
      </c>
      <c r="B198" s="90">
        <v>8.0</v>
      </c>
      <c r="C198" s="92" t="s">
        <v>107</v>
      </c>
      <c r="D198" s="92">
        <v>50.0</v>
      </c>
      <c r="E198" s="112" t="s">
        <v>1401</v>
      </c>
      <c r="F198" s="338">
        <v>62.0</v>
      </c>
      <c r="G198" s="76">
        <f>IFERROR(__xludf.DUMMYFUNCTION("ArrayFormula(IFERROR(VLOOKUP(E198,IMPORTRANGE(""https://docs.google.com/spreadsheets/d/1xZyKy-UzMmtPDLpV5jQdYum1LtbR8XKDuasLSjmBRMI/edit#gid=1241094406"",""COMBINED DATA!E3:L""),{7,8},0)))"),0.132)</f>
        <v>0.132</v>
      </c>
      <c r="H198" s="76">
        <f>IFERROR(__xludf.DUMMYFUNCTION("""COMPUTED_VALUE"""),0.0)</f>
        <v>0</v>
      </c>
      <c r="I198" s="76">
        <f t="shared" si="105"/>
        <v>0.132</v>
      </c>
      <c r="J198" s="84">
        <f t="shared" si="106"/>
        <v>469.6969697</v>
      </c>
      <c r="K198" s="85">
        <f t="shared" si="107"/>
        <v>13.2</v>
      </c>
      <c r="L198" s="85">
        <f t="shared" si="108"/>
        <v>0</v>
      </c>
      <c r="M198" s="85">
        <f t="shared" si="109"/>
        <v>13.2</v>
      </c>
      <c r="N198" s="85">
        <f t="shared" si="7"/>
        <v>4.696969697</v>
      </c>
      <c r="O198" s="310">
        <v>62.0</v>
      </c>
      <c r="P198" s="317"/>
      <c r="Q198" s="85"/>
      <c r="R198" s="85"/>
      <c r="S198" s="20"/>
      <c r="T198" s="20"/>
      <c r="U198" s="16"/>
      <c r="V198" s="16"/>
      <c r="W198" s="16"/>
      <c r="X198" s="16"/>
      <c r="Y198" s="16"/>
      <c r="Z198" s="16"/>
    </row>
    <row r="199">
      <c r="A199" s="34"/>
      <c r="B199" s="237" t="s">
        <v>11</v>
      </c>
      <c r="C199" s="45"/>
      <c r="D199" s="45"/>
      <c r="E199" s="46"/>
      <c r="F199" s="103">
        <f>SUM(F191:F198)</f>
        <v>232.3</v>
      </c>
      <c r="G199" s="250"/>
      <c r="H199" s="243"/>
      <c r="I199" s="243"/>
      <c r="J199" s="243"/>
      <c r="K199" s="85"/>
      <c r="L199" s="85"/>
      <c r="M199" s="85"/>
      <c r="N199" s="85" t="str">
        <f t="shared" si="7"/>
        <v/>
      </c>
      <c r="O199" s="103">
        <f>SUM(O191:O198)</f>
        <v>232.3</v>
      </c>
      <c r="P199" s="307"/>
      <c r="Q199" s="85"/>
      <c r="R199" s="85"/>
      <c r="S199" s="15"/>
      <c r="T199" s="15"/>
      <c r="U199" s="243"/>
      <c r="V199" s="243"/>
      <c r="W199" s="243"/>
      <c r="X199" s="243"/>
      <c r="Y199" s="243"/>
      <c r="Z199" s="243"/>
    </row>
    <row r="200" ht="6.0" customHeight="1">
      <c r="A200" s="34"/>
      <c r="B200" s="15"/>
      <c r="C200" s="15"/>
      <c r="D200" s="15"/>
      <c r="E200" s="17"/>
      <c r="F200" s="15"/>
      <c r="G200" s="250"/>
      <c r="H200" s="243"/>
      <c r="I200" s="243"/>
      <c r="J200" s="243"/>
      <c r="K200" s="85"/>
      <c r="L200" s="85"/>
      <c r="M200" s="85"/>
      <c r="N200" s="85" t="str">
        <f t="shared" si="7"/>
        <v/>
      </c>
      <c r="O200" s="29"/>
      <c r="P200" s="307"/>
      <c r="Q200" s="85"/>
      <c r="R200" s="85"/>
      <c r="S200" s="15"/>
      <c r="T200" s="15"/>
      <c r="U200" s="243"/>
      <c r="V200" s="243"/>
      <c r="W200" s="243"/>
      <c r="X200" s="243"/>
      <c r="Y200" s="243"/>
      <c r="Z200" s="243"/>
    </row>
    <row r="201" ht="22.5" customHeight="1">
      <c r="A201" s="34"/>
      <c r="B201" s="62" t="s">
        <v>668</v>
      </c>
      <c r="C201" s="45"/>
      <c r="D201" s="45"/>
      <c r="E201" s="45"/>
      <c r="F201" s="46"/>
      <c r="G201" s="250"/>
      <c r="H201" s="243"/>
      <c r="I201" s="243"/>
      <c r="J201" s="243"/>
      <c r="K201" s="85"/>
      <c r="L201" s="85"/>
      <c r="M201" s="85"/>
      <c r="N201" s="85" t="str">
        <f t="shared" si="7"/>
        <v/>
      </c>
      <c r="O201" s="29"/>
      <c r="P201" s="307"/>
      <c r="Q201" s="85"/>
      <c r="R201" s="85"/>
      <c r="S201" s="15"/>
      <c r="T201" s="15"/>
      <c r="U201" s="243"/>
      <c r="V201" s="243"/>
      <c r="W201" s="243"/>
      <c r="X201" s="243"/>
      <c r="Y201" s="243"/>
      <c r="Z201" s="243"/>
    </row>
    <row r="202" ht="15.75" customHeight="1">
      <c r="A202" s="67" t="str">
        <f t="shared" ref="A202:A204" si="110">$B$201&amp;C202</f>
        <v>Female Adapter Plastic Threads (SCH-80)2 1⁄2</v>
      </c>
      <c r="B202" s="68">
        <v>1.0</v>
      </c>
      <c r="C202" s="110" t="s">
        <v>69</v>
      </c>
      <c r="D202" s="110">
        <v>65.0</v>
      </c>
      <c r="E202" s="111" t="s">
        <v>1404</v>
      </c>
      <c r="F202" s="56">
        <v>106.8</v>
      </c>
      <c r="G202" s="76">
        <f>IFERROR(__xludf.DUMMYFUNCTION("ArrayFormula(IFERROR(VLOOKUP(E202,IMPORTRANGE(""https://docs.google.com/spreadsheets/d/1xZyKy-UzMmtPDLpV5jQdYum1LtbR8XKDuasLSjmBRMI/edit#gid=1241094406"",""COMBINED DATA!E3:L""),{7,8},0)))"),0.19490000000000002)</f>
        <v>0.1949</v>
      </c>
      <c r="H202" s="76">
        <f>IFERROR(__xludf.DUMMYFUNCTION("""COMPUTED_VALUE"""),0.0)</f>
        <v>0</v>
      </c>
      <c r="I202" s="76">
        <f t="shared" ref="I202:I204" si="111">G202+H202</f>
        <v>0.1949</v>
      </c>
      <c r="J202" s="84">
        <f t="shared" ref="J202:J204" si="112">IFERROR(F202/I202,"")</f>
        <v>547.9733197</v>
      </c>
      <c r="K202" s="85">
        <f t="shared" ref="K202:K204" si="113">IFERROR(G202*100,)</f>
        <v>19.49</v>
      </c>
      <c r="L202" s="85">
        <f t="shared" ref="L202:L204" si="114">IFERROR(H202*725,)</f>
        <v>0</v>
      </c>
      <c r="M202" s="85">
        <f t="shared" ref="M202:M204" si="115">IFERROR(K202+L202,"")</f>
        <v>19.49</v>
      </c>
      <c r="N202" s="85">
        <f t="shared" si="7"/>
        <v>5.479733197</v>
      </c>
      <c r="O202" s="310">
        <v>106.8</v>
      </c>
      <c r="P202" s="75"/>
      <c r="Q202" s="85"/>
      <c r="R202" s="85"/>
      <c r="S202" s="20"/>
      <c r="T202" s="20"/>
      <c r="U202" s="16"/>
      <c r="V202" s="16"/>
      <c r="W202" s="16"/>
      <c r="X202" s="16"/>
      <c r="Y202" s="16"/>
      <c r="Z202" s="16"/>
    </row>
    <row r="203" ht="15.75" customHeight="1">
      <c r="A203" s="67" t="str">
        <f t="shared" si="110"/>
        <v>Female Adapter Plastic Threads (SCH-80)3</v>
      </c>
      <c r="B203" s="90">
        <v>2.0</v>
      </c>
      <c r="C203" s="127">
        <v>3.0</v>
      </c>
      <c r="D203" s="127">
        <v>80.0</v>
      </c>
      <c r="E203" s="112" t="s">
        <v>1407</v>
      </c>
      <c r="F203" s="56">
        <v>178.0</v>
      </c>
      <c r="G203" s="76">
        <f>IFERROR(__xludf.DUMMYFUNCTION("ArrayFormula(IFERROR(VLOOKUP(E203,IMPORTRANGE(""https://docs.google.com/spreadsheets/d/1xZyKy-UzMmtPDLpV5jQdYum1LtbR8XKDuasLSjmBRMI/edit#gid=1241094406"",""COMBINED DATA!E3:L""),{7,8},0)))"),0.3335)</f>
        <v>0.3335</v>
      </c>
      <c r="H203" s="76">
        <f>IFERROR(__xludf.DUMMYFUNCTION("""COMPUTED_VALUE"""),0.0)</f>
        <v>0</v>
      </c>
      <c r="I203" s="76">
        <f t="shared" si="111"/>
        <v>0.3335</v>
      </c>
      <c r="J203" s="84">
        <f t="shared" si="112"/>
        <v>533.7331334</v>
      </c>
      <c r="K203" s="85">
        <f t="shared" si="113"/>
        <v>33.35</v>
      </c>
      <c r="L203" s="85">
        <f t="shared" si="114"/>
        <v>0</v>
      </c>
      <c r="M203" s="85">
        <f t="shared" si="115"/>
        <v>33.35</v>
      </c>
      <c r="N203" s="85">
        <f t="shared" si="7"/>
        <v>5.337331334</v>
      </c>
      <c r="O203" s="310">
        <v>178.0</v>
      </c>
      <c r="P203" s="75"/>
      <c r="Q203" s="85"/>
      <c r="R203" s="85"/>
      <c r="S203" s="20"/>
      <c r="T203" s="20"/>
      <c r="U203" s="16"/>
      <c r="V203" s="16"/>
      <c r="W203" s="16"/>
      <c r="X203" s="16"/>
      <c r="Y203" s="16"/>
      <c r="Z203" s="16"/>
    </row>
    <row r="204" ht="15.75" customHeight="1">
      <c r="A204" s="67" t="str">
        <f t="shared" si="110"/>
        <v>Female Adapter Plastic Threads (SCH-80)4</v>
      </c>
      <c r="B204" s="90">
        <v>3.0</v>
      </c>
      <c r="C204" s="127">
        <v>4.0</v>
      </c>
      <c r="D204" s="127">
        <v>100.0</v>
      </c>
      <c r="E204" s="112" t="s">
        <v>1409</v>
      </c>
      <c r="F204" s="56">
        <v>299.2</v>
      </c>
      <c r="G204" s="76">
        <f>IFERROR(__xludf.DUMMYFUNCTION("ArrayFormula(IFERROR(VLOOKUP(E204,IMPORTRANGE(""https://docs.google.com/spreadsheets/d/1xZyKy-UzMmtPDLpV5jQdYum1LtbR8XKDuasLSjmBRMI/edit#gid=1241094406"",""COMBINED DATA!E3:L""),{7,8},0)))"),0.5625)</f>
        <v>0.5625</v>
      </c>
      <c r="H204" s="76">
        <f>IFERROR(__xludf.DUMMYFUNCTION("""COMPUTED_VALUE"""),0.0)</f>
        <v>0</v>
      </c>
      <c r="I204" s="76">
        <f t="shared" si="111"/>
        <v>0.5625</v>
      </c>
      <c r="J204" s="84">
        <f t="shared" si="112"/>
        <v>531.9111111</v>
      </c>
      <c r="K204" s="85">
        <f t="shared" si="113"/>
        <v>56.25</v>
      </c>
      <c r="L204" s="85">
        <f t="shared" si="114"/>
        <v>0</v>
      </c>
      <c r="M204" s="85">
        <f t="shared" si="115"/>
        <v>56.25</v>
      </c>
      <c r="N204" s="85">
        <f t="shared" si="7"/>
        <v>5.319111111</v>
      </c>
      <c r="O204" s="310">
        <v>299.2</v>
      </c>
      <c r="P204" s="75"/>
      <c r="Q204" s="85"/>
      <c r="R204" s="85"/>
      <c r="S204" s="20"/>
      <c r="T204" s="20"/>
      <c r="U204" s="16"/>
      <c r="V204" s="16"/>
      <c r="W204" s="16"/>
      <c r="X204" s="16"/>
      <c r="Y204" s="16"/>
      <c r="Z204" s="16"/>
    </row>
    <row r="205">
      <c r="A205" s="34"/>
      <c r="B205" s="237" t="s">
        <v>11</v>
      </c>
      <c r="C205" s="45"/>
      <c r="D205" s="45"/>
      <c r="E205" s="46"/>
      <c r="F205" s="103">
        <f>SUM(F202:F204)</f>
        <v>584</v>
      </c>
      <c r="G205" s="250"/>
      <c r="H205" s="243"/>
      <c r="I205" s="243"/>
      <c r="J205" s="243"/>
      <c r="K205" s="85"/>
      <c r="L205" s="85"/>
      <c r="M205" s="85"/>
      <c r="N205" s="85" t="str">
        <f t="shared" si="7"/>
        <v/>
      </c>
      <c r="O205" s="103">
        <f>SUM(O202:O204)</f>
        <v>584</v>
      </c>
      <c r="P205" s="307"/>
      <c r="Q205" s="85"/>
      <c r="R205" s="85"/>
      <c r="S205" s="15"/>
      <c r="T205" s="15"/>
      <c r="U205" s="243"/>
      <c r="V205" s="243"/>
      <c r="W205" s="243"/>
      <c r="X205" s="243"/>
      <c r="Y205" s="243"/>
      <c r="Z205" s="243"/>
    </row>
    <row r="206" ht="6.0" customHeight="1">
      <c r="A206" s="34"/>
      <c r="B206" s="15"/>
      <c r="C206" s="15"/>
      <c r="D206" s="15"/>
      <c r="E206" s="17"/>
      <c r="F206" s="15"/>
      <c r="G206" s="250"/>
      <c r="H206" s="243"/>
      <c r="I206" s="243"/>
      <c r="J206" s="243"/>
      <c r="K206" s="85"/>
      <c r="L206" s="85"/>
      <c r="M206" s="85"/>
      <c r="N206" s="85" t="str">
        <f t="shared" si="7"/>
        <v/>
      </c>
      <c r="O206" s="29"/>
      <c r="P206" s="307"/>
      <c r="Q206" s="85"/>
      <c r="R206" s="85"/>
      <c r="S206" s="15"/>
      <c r="T206" s="15"/>
      <c r="U206" s="243"/>
      <c r="V206" s="243"/>
      <c r="W206" s="243"/>
      <c r="X206" s="243"/>
      <c r="Y206" s="243"/>
      <c r="Z206" s="243"/>
    </row>
    <row r="207" ht="26.25" customHeight="1">
      <c r="A207" s="34"/>
      <c r="B207" s="62" t="s">
        <v>1187</v>
      </c>
      <c r="C207" s="45"/>
      <c r="D207" s="45"/>
      <c r="E207" s="45"/>
      <c r="F207" s="46"/>
      <c r="G207" s="250"/>
      <c r="H207" s="243"/>
      <c r="I207" s="243"/>
      <c r="J207" s="243"/>
      <c r="K207" s="85"/>
      <c r="L207" s="85"/>
      <c r="M207" s="85"/>
      <c r="N207" s="85" t="str">
        <f t="shared" si="7"/>
        <v/>
      </c>
      <c r="O207" s="29"/>
      <c r="P207" s="307"/>
      <c r="Q207" s="85"/>
      <c r="R207" s="85"/>
      <c r="S207" s="15"/>
      <c r="T207" s="15"/>
      <c r="U207" s="243"/>
      <c r="V207" s="243"/>
      <c r="W207" s="243"/>
      <c r="X207" s="243"/>
      <c r="Y207" s="243"/>
      <c r="Z207" s="243"/>
    </row>
    <row r="208" ht="15.75" customHeight="1">
      <c r="A208" s="67" t="str">
        <f t="shared" ref="A208:A215" si="116">$B$207&amp;C208</f>
        <v>Male Adapter Brass Threads (SCH-80)3⁄4 x 1⁄2</v>
      </c>
      <c r="B208" s="68">
        <v>1.0</v>
      </c>
      <c r="C208" s="110" t="s">
        <v>144</v>
      </c>
      <c r="D208" s="110" t="s">
        <v>145</v>
      </c>
      <c r="E208" s="111" t="s">
        <v>548</v>
      </c>
      <c r="F208" s="56">
        <v>112.5</v>
      </c>
      <c r="G208" s="76">
        <v>0.034</v>
      </c>
      <c r="H208" s="58">
        <v>0.041</v>
      </c>
      <c r="I208" s="76">
        <f t="shared" ref="I208:I215" si="117">G208+H208</f>
        <v>0.075</v>
      </c>
      <c r="J208" s="84">
        <f t="shared" ref="J208:J215" si="118">IFERROR(F208/I208,"")</f>
        <v>1500</v>
      </c>
      <c r="K208" s="85">
        <f t="shared" ref="K208:K215" si="119">IFERROR(G208*100,)</f>
        <v>3.4</v>
      </c>
      <c r="L208" s="85">
        <f t="shared" ref="L208:L215" si="120">IFERROR(H208*725,)</f>
        <v>29.725</v>
      </c>
      <c r="M208" s="85">
        <f t="shared" ref="M208:M215" si="121">IFERROR(K208+L208,"")</f>
        <v>33.125</v>
      </c>
      <c r="N208" s="85">
        <f t="shared" si="7"/>
        <v>3.396226415</v>
      </c>
      <c r="O208" s="310" t="str">
        <f>VLOOKUP(E208,'U Fittings (Brass)'!$E$5:$Q1076,14,0)</f>
        <v>#REF!</v>
      </c>
      <c r="P208" s="88"/>
      <c r="Q208" s="85"/>
      <c r="R208" s="85"/>
      <c r="S208" s="20"/>
      <c r="T208" s="85"/>
      <c r="U208" s="85"/>
      <c r="V208" s="88"/>
      <c r="W208" s="16"/>
      <c r="X208" s="16"/>
      <c r="Y208" s="16"/>
      <c r="Z208" s="16"/>
    </row>
    <row r="209" ht="15.75" customHeight="1">
      <c r="A209" s="67" t="str">
        <f t="shared" si="116"/>
        <v>Male Adapter Brass Threads (SCH-80)1⁄2</v>
      </c>
      <c r="B209" s="90">
        <v>2.0</v>
      </c>
      <c r="C209" s="92" t="s">
        <v>43</v>
      </c>
      <c r="D209" s="127">
        <v>15.0</v>
      </c>
      <c r="E209" s="112" t="s">
        <v>551</v>
      </c>
      <c r="F209" s="56">
        <v>110.0</v>
      </c>
      <c r="G209" s="76">
        <v>0.029325000000000004</v>
      </c>
      <c r="H209" s="58">
        <v>0.041</v>
      </c>
      <c r="I209" s="76">
        <f t="shared" si="117"/>
        <v>0.070325</v>
      </c>
      <c r="J209" s="84">
        <f t="shared" si="118"/>
        <v>1564.16637</v>
      </c>
      <c r="K209" s="85">
        <f t="shared" si="119"/>
        <v>2.9325</v>
      </c>
      <c r="L209" s="85">
        <f t="shared" si="120"/>
        <v>29.725</v>
      </c>
      <c r="M209" s="85">
        <f t="shared" si="121"/>
        <v>32.6575</v>
      </c>
      <c r="N209" s="85">
        <f t="shared" si="7"/>
        <v>3.368292123</v>
      </c>
      <c r="O209" s="310" t="str">
        <f>VLOOKUP(E209,'U Fittings (Brass)'!$E$5:$Q1076,14,0)</f>
        <v>#REF!</v>
      </c>
      <c r="P209" s="88"/>
      <c r="Q209" s="85"/>
      <c r="R209" s="85"/>
      <c r="S209" s="20"/>
      <c r="T209" s="85"/>
      <c r="U209" s="85"/>
      <c r="V209" s="88"/>
      <c r="W209" s="16"/>
      <c r="X209" s="16"/>
      <c r="Y209" s="16"/>
      <c r="Z209" s="16"/>
    </row>
    <row r="210" ht="15.75" customHeight="1">
      <c r="A210" s="67" t="str">
        <f t="shared" si="116"/>
        <v>Male Adapter Brass Threads (SCH-80)3⁄4</v>
      </c>
      <c r="B210" s="90">
        <v>3.0</v>
      </c>
      <c r="C210" s="92" t="s">
        <v>51</v>
      </c>
      <c r="D210" s="127">
        <v>20.0</v>
      </c>
      <c r="E210" s="112" t="s">
        <v>553</v>
      </c>
      <c r="F210" s="56">
        <v>174.0</v>
      </c>
      <c r="G210" s="76">
        <v>0.03625</v>
      </c>
      <c r="H210" s="58">
        <v>0.066</v>
      </c>
      <c r="I210" s="76">
        <f t="shared" si="117"/>
        <v>0.10225</v>
      </c>
      <c r="J210" s="84">
        <f t="shared" si="118"/>
        <v>1701.711491</v>
      </c>
      <c r="K210" s="85">
        <f t="shared" si="119"/>
        <v>3.625</v>
      </c>
      <c r="L210" s="85">
        <f t="shared" si="120"/>
        <v>47.85</v>
      </c>
      <c r="M210" s="85">
        <f t="shared" si="121"/>
        <v>51.475</v>
      </c>
      <c r="N210" s="85">
        <f t="shared" si="7"/>
        <v>3.38028169</v>
      </c>
      <c r="O210" s="310" t="str">
        <f>VLOOKUP(E210,'U Fittings (Brass)'!$E$5:$Q1076,14,0)</f>
        <v>#REF!</v>
      </c>
      <c r="P210" s="88"/>
      <c r="Q210" s="85"/>
      <c r="R210" s="85"/>
      <c r="S210" s="20"/>
      <c r="T210" s="85"/>
      <c r="U210" s="85"/>
      <c r="V210" s="88"/>
      <c r="W210" s="16"/>
      <c r="X210" s="16"/>
      <c r="Y210" s="16"/>
      <c r="Z210" s="16"/>
    </row>
    <row r="211" ht="15.75" customHeight="1">
      <c r="A211" s="67" t="str">
        <f t="shared" si="116"/>
        <v>Male Adapter Brass Threads (SCH-80)1</v>
      </c>
      <c r="B211" s="90">
        <v>4.0</v>
      </c>
      <c r="C211" s="92" t="s">
        <v>84</v>
      </c>
      <c r="D211" s="127">
        <v>25.0</v>
      </c>
      <c r="E211" s="112" t="s">
        <v>556</v>
      </c>
      <c r="F211" s="56">
        <v>242.0</v>
      </c>
      <c r="G211" s="76">
        <v>0.065</v>
      </c>
      <c r="H211" s="76">
        <v>0.09</v>
      </c>
      <c r="I211" s="76">
        <f t="shared" si="117"/>
        <v>0.155</v>
      </c>
      <c r="J211" s="84">
        <f t="shared" si="118"/>
        <v>1561.290323</v>
      </c>
      <c r="K211" s="85">
        <f t="shared" si="119"/>
        <v>6.5</v>
      </c>
      <c r="L211" s="85">
        <f t="shared" si="120"/>
        <v>65.25</v>
      </c>
      <c r="M211" s="85">
        <f t="shared" si="121"/>
        <v>71.75</v>
      </c>
      <c r="N211" s="85">
        <f t="shared" si="7"/>
        <v>3.3728223</v>
      </c>
      <c r="O211" s="310" t="str">
        <f>VLOOKUP(E211,'U Fittings (Brass)'!$E$5:$Q1076,14,0)</f>
        <v>#REF!</v>
      </c>
      <c r="P211" s="88"/>
      <c r="Q211" s="85"/>
      <c r="R211" s="85"/>
      <c r="S211" s="20"/>
      <c r="T211" s="85"/>
      <c r="U211" s="85"/>
      <c r="V211" s="88"/>
      <c r="W211" s="16"/>
      <c r="X211" s="16"/>
      <c r="Y211" s="16"/>
      <c r="Z211" s="16"/>
    </row>
    <row r="212" ht="15.75" customHeight="1">
      <c r="A212" s="67" t="str">
        <f t="shared" si="116"/>
        <v>Male Adapter Brass Threads (SCH-80)1 1⁄4</v>
      </c>
      <c r="B212" s="90">
        <v>5.0</v>
      </c>
      <c r="C212" s="92" t="s">
        <v>55</v>
      </c>
      <c r="D212" s="127">
        <v>32.0</v>
      </c>
      <c r="E212" s="112" t="s">
        <v>559</v>
      </c>
      <c r="F212" s="56">
        <v>399.0</v>
      </c>
      <c r="G212" s="76">
        <v>0.07315</v>
      </c>
      <c r="H212" s="58">
        <v>0.155</v>
      </c>
      <c r="I212" s="76">
        <f t="shared" si="117"/>
        <v>0.22815</v>
      </c>
      <c r="J212" s="84">
        <f t="shared" si="118"/>
        <v>1748.849441</v>
      </c>
      <c r="K212" s="85">
        <f t="shared" si="119"/>
        <v>7.315</v>
      </c>
      <c r="L212" s="85">
        <f t="shared" si="120"/>
        <v>112.375</v>
      </c>
      <c r="M212" s="85">
        <f t="shared" si="121"/>
        <v>119.69</v>
      </c>
      <c r="N212" s="85">
        <f t="shared" si="7"/>
        <v>3.333611831</v>
      </c>
      <c r="O212" s="310" t="str">
        <f>VLOOKUP(E212,'U Fittings (Brass)'!$E$5:$Q1076,14,0)</f>
        <v>#REF!</v>
      </c>
      <c r="P212" s="88"/>
      <c r="Q212" s="85"/>
      <c r="R212" s="85"/>
      <c r="S212" s="20"/>
      <c r="T212" s="85"/>
      <c r="U212" s="85"/>
      <c r="V212" s="88"/>
      <c r="W212" s="16"/>
      <c r="X212" s="16"/>
      <c r="Y212" s="16"/>
      <c r="Z212" s="16"/>
    </row>
    <row r="213" ht="15.75" customHeight="1">
      <c r="A213" s="67" t="str">
        <f t="shared" si="116"/>
        <v>Male Adapter Brass Threads (SCH-80)1 1⁄2</v>
      </c>
      <c r="B213" s="90">
        <v>6.0</v>
      </c>
      <c r="C213" s="92" t="s">
        <v>56</v>
      </c>
      <c r="D213" s="127">
        <v>40.0</v>
      </c>
      <c r="E213" s="112" t="s">
        <v>562</v>
      </c>
      <c r="F213" s="56">
        <v>488.0</v>
      </c>
      <c r="G213" s="76">
        <v>0.09309999999999996</v>
      </c>
      <c r="H213" s="58">
        <v>0.171</v>
      </c>
      <c r="I213" s="76">
        <f t="shared" si="117"/>
        <v>0.2641</v>
      </c>
      <c r="J213" s="84">
        <f t="shared" si="118"/>
        <v>1847.78493</v>
      </c>
      <c r="K213" s="85">
        <f t="shared" si="119"/>
        <v>9.31</v>
      </c>
      <c r="L213" s="85">
        <f t="shared" si="120"/>
        <v>123.975</v>
      </c>
      <c r="M213" s="85">
        <f t="shared" si="121"/>
        <v>133.285</v>
      </c>
      <c r="N213" s="85">
        <f t="shared" si="7"/>
        <v>3.661327231</v>
      </c>
      <c r="O213" s="310" t="str">
        <f>VLOOKUP(E213,'U Fittings (Brass)'!$E$5:$Q1076,14,0)</f>
        <v>#REF!</v>
      </c>
      <c r="P213" s="88"/>
      <c r="Q213" s="85"/>
      <c r="R213" s="85"/>
      <c r="S213" s="20"/>
      <c r="T213" s="85"/>
      <c r="U213" s="85"/>
      <c r="V213" s="88"/>
      <c r="W213" s="16"/>
      <c r="X213" s="16"/>
      <c r="Y213" s="16"/>
      <c r="Z213" s="16"/>
    </row>
    <row r="214" ht="15.75" customHeight="1">
      <c r="A214" s="67" t="str">
        <f t="shared" si="116"/>
        <v>Male Adapter Brass Threads (SCH-80)2</v>
      </c>
      <c r="B214" s="90">
        <v>7.0</v>
      </c>
      <c r="C214" s="92" t="s">
        <v>107</v>
      </c>
      <c r="D214" s="127">
        <v>50.0</v>
      </c>
      <c r="E214" s="112" t="s">
        <v>565</v>
      </c>
      <c r="F214" s="56">
        <v>799.0</v>
      </c>
      <c r="G214" s="76">
        <v>0.13689999999999997</v>
      </c>
      <c r="H214" s="58">
        <v>0.315</v>
      </c>
      <c r="I214" s="76">
        <f t="shared" si="117"/>
        <v>0.4519</v>
      </c>
      <c r="J214" s="84">
        <f t="shared" si="118"/>
        <v>1768.090285</v>
      </c>
      <c r="K214" s="85">
        <f t="shared" si="119"/>
        <v>13.69</v>
      </c>
      <c r="L214" s="85">
        <f t="shared" si="120"/>
        <v>228.375</v>
      </c>
      <c r="M214" s="85">
        <f t="shared" si="121"/>
        <v>242.065</v>
      </c>
      <c r="N214" s="85">
        <f t="shared" si="7"/>
        <v>3.300766323</v>
      </c>
      <c r="O214" s="310" t="str">
        <f>VLOOKUP(E214,'U Fittings (Brass)'!$E$5:$Q1076,14,0)</f>
        <v>#REF!</v>
      </c>
      <c r="P214" s="88"/>
      <c r="Q214" s="85"/>
      <c r="R214" s="85"/>
      <c r="S214" s="20"/>
      <c r="T214" s="85"/>
      <c r="U214" s="85"/>
      <c r="V214" s="88"/>
      <c r="W214" s="16"/>
      <c r="X214" s="16"/>
      <c r="Y214" s="16"/>
      <c r="Z214" s="16"/>
    </row>
    <row r="215" ht="15.75" customHeight="1">
      <c r="A215" s="67" t="str">
        <f t="shared" si="116"/>
        <v>Male Adapter Brass Threads (SCH-80)1 x 1⁄2</v>
      </c>
      <c r="B215" s="90">
        <v>8.0</v>
      </c>
      <c r="C215" s="127" t="s">
        <v>352</v>
      </c>
      <c r="D215" s="127" t="s">
        <v>353</v>
      </c>
      <c r="E215" s="112" t="s">
        <v>552</v>
      </c>
      <c r="F215" s="56">
        <v>114.0</v>
      </c>
      <c r="G215" s="76">
        <v>0.042</v>
      </c>
      <c r="H215" s="58">
        <v>0.041</v>
      </c>
      <c r="I215" s="76">
        <f t="shared" si="117"/>
        <v>0.083</v>
      </c>
      <c r="J215" s="84">
        <f t="shared" si="118"/>
        <v>1373.493976</v>
      </c>
      <c r="K215" s="85">
        <f t="shared" si="119"/>
        <v>4.2</v>
      </c>
      <c r="L215" s="85">
        <f t="shared" si="120"/>
        <v>29.725</v>
      </c>
      <c r="M215" s="85">
        <f t="shared" si="121"/>
        <v>33.925</v>
      </c>
      <c r="N215" s="85">
        <f t="shared" si="7"/>
        <v>3.360353721</v>
      </c>
      <c r="O215" s="310" t="str">
        <f>VLOOKUP(E215,'U Fittings (Brass)'!$E$5:$Q1076,14,0)</f>
        <v>#REF!</v>
      </c>
      <c r="P215" s="88"/>
      <c r="Q215" s="85"/>
      <c r="R215" s="85"/>
      <c r="S215" s="20"/>
      <c r="T215" s="85"/>
      <c r="U215" s="85"/>
      <c r="V215" s="88"/>
      <c r="W215" s="16"/>
      <c r="X215" s="16"/>
      <c r="Y215" s="16"/>
      <c r="Z215" s="16"/>
    </row>
    <row r="216">
      <c r="A216" s="34"/>
      <c r="B216" s="237" t="s">
        <v>11</v>
      </c>
      <c r="C216" s="45"/>
      <c r="D216" s="45"/>
      <c r="E216" s="46"/>
      <c r="F216" s="103">
        <f>SUM(F208:F215)</f>
        <v>2438.5</v>
      </c>
      <c r="G216" s="250"/>
      <c r="H216" s="243"/>
      <c r="I216" s="243"/>
      <c r="J216" s="243"/>
      <c r="K216" s="85"/>
      <c r="L216" s="85"/>
      <c r="M216" s="85"/>
      <c r="N216" s="85" t="str">
        <f t="shared" si="7"/>
        <v/>
      </c>
      <c r="O216" s="103" t="str">
        <f>SUM(O208:O215)</f>
        <v>#REF!</v>
      </c>
      <c r="P216" s="307"/>
      <c r="Q216" s="85"/>
      <c r="R216" s="85"/>
      <c r="S216" s="15"/>
      <c r="T216" s="15"/>
      <c r="U216" s="243"/>
      <c r="V216" s="243"/>
      <c r="W216" s="243"/>
      <c r="X216" s="243"/>
      <c r="Y216" s="243"/>
      <c r="Z216" s="243"/>
    </row>
    <row r="217" ht="5.25" customHeight="1">
      <c r="A217" s="34"/>
      <c r="B217" s="15"/>
      <c r="C217" s="15"/>
      <c r="D217" s="15"/>
      <c r="E217" s="17"/>
      <c r="F217" s="15"/>
      <c r="G217" s="250"/>
      <c r="H217" s="243"/>
      <c r="I217" s="243"/>
      <c r="J217" s="243"/>
      <c r="K217" s="85"/>
      <c r="L217" s="85"/>
      <c r="M217" s="85"/>
      <c r="N217" s="85" t="str">
        <f t="shared" si="7"/>
        <v/>
      </c>
      <c r="O217" s="29"/>
      <c r="P217" s="307"/>
      <c r="Q217" s="85"/>
      <c r="R217" s="85"/>
      <c r="S217" s="15"/>
      <c r="T217" s="15"/>
      <c r="U217" s="243"/>
      <c r="V217" s="243"/>
      <c r="W217" s="243"/>
      <c r="X217" s="243"/>
      <c r="Y217" s="243"/>
      <c r="Z217" s="243"/>
    </row>
    <row r="218" ht="25.5" customHeight="1">
      <c r="A218" s="34"/>
      <c r="B218" s="62" t="s">
        <v>1199</v>
      </c>
      <c r="C218" s="45"/>
      <c r="D218" s="45"/>
      <c r="E218" s="45"/>
      <c r="F218" s="46"/>
      <c r="G218" s="250"/>
      <c r="H218" s="243"/>
      <c r="I218" s="243"/>
      <c r="J218" s="243"/>
      <c r="K218" s="85"/>
      <c r="L218" s="85"/>
      <c r="M218" s="85"/>
      <c r="N218" s="85" t="str">
        <f t="shared" si="7"/>
        <v/>
      </c>
      <c r="O218" s="29"/>
      <c r="P218" s="307"/>
      <c r="Q218" s="85"/>
      <c r="R218" s="85"/>
      <c r="S218" s="15"/>
      <c r="T218" s="15"/>
      <c r="U218" s="243"/>
      <c r="V218" s="243"/>
      <c r="W218" s="243"/>
      <c r="X218" s="243"/>
      <c r="Y218" s="243"/>
      <c r="Z218" s="243"/>
    </row>
    <row r="219" ht="15.75" customHeight="1">
      <c r="A219" s="67" t="str">
        <f t="shared" ref="A219:A226" si="122">$B$218&amp;C219</f>
        <v>Female Adapter Brass Threads (SCH-80)1⁄2</v>
      </c>
      <c r="B219" s="68">
        <v>1.0</v>
      </c>
      <c r="C219" s="70" t="s">
        <v>43</v>
      </c>
      <c r="D219" s="110">
        <v>15.0</v>
      </c>
      <c r="E219" s="111" t="s">
        <v>504</v>
      </c>
      <c r="F219" s="56">
        <v>58.0</v>
      </c>
      <c r="G219" s="76">
        <v>0.027</v>
      </c>
      <c r="H219" s="76">
        <v>0.019</v>
      </c>
      <c r="I219" s="76">
        <f t="shared" ref="I219:I226" si="123">G219+H219</f>
        <v>0.046</v>
      </c>
      <c r="J219" s="84">
        <f t="shared" ref="J219:J226" si="124">IFERROR(F219/I219,"")</f>
        <v>1260.869565</v>
      </c>
      <c r="K219" s="85">
        <f t="shared" ref="K219:K226" si="125">IFERROR(G219*100,)</f>
        <v>2.7</v>
      </c>
      <c r="L219" s="85">
        <f t="shared" ref="L219:L226" si="126">IFERROR(H219*725,)</f>
        <v>13.775</v>
      </c>
      <c r="M219" s="85">
        <f t="shared" ref="M219:M226" si="127">IFERROR(K219+L219,"")</f>
        <v>16.475</v>
      </c>
      <c r="N219" s="85">
        <f t="shared" si="7"/>
        <v>3.520485584</v>
      </c>
      <c r="O219" s="310" t="str">
        <f>VLOOKUP(E219,'U Fittings (Brass)'!$E$5:$Q1076,14,0)</f>
        <v>#REF!</v>
      </c>
      <c r="P219" s="88"/>
      <c r="Q219" s="85"/>
      <c r="R219" s="85"/>
      <c r="S219" s="20"/>
      <c r="T219" s="85"/>
      <c r="U219" s="85"/>
      <c r="V219" s="88"/>
      <c r="W219" s="16"/>
      <c r="X219" s="16"/>
      <c r="Y219" s="16"/>
      <c r="Z219" s="16"/>
    </row>
    <row r="220" ht="15.75" customHeight="1">
      <c r="A220" s="67" t="str">
        <f t="shared" si="122"/>
        <v>Female Adapter Brass Threads (SCH-80)3⁄4</v>
      </c>
      <c r="B220" s="90">
        <v>2.0</v>
      </c>
      <c r="C220" s="92" t="s">
        <v>51</v>
      </c>
      <c r="D220" s="127">
        <v>20.0</v>
      </c>
      <c r="E220" s="112" t="s">
        <v>514</v>
      </c>
      <c r="F220" s="56">
        <v>114.0</v>
      </c>
      <c r="G220" s="76">
        <v>0.0285</v>
      </c>
      <c r="H220" s="76">
        <v>0.043</v>
      </c>
      <c r="I220" s="76">
        <f t="shared" si="123"/>
        <v>0.0715</v>
      </c>
      <c r="J220" s="84">
        <f t="shared" si="124"/>
        <v>1594.405594</v>
      </c>
      <c r="K220" s="85">
        <f t="shared" si="125"/>
        <v>2.85</v>
      </c>
      <c r="L220" s="85">
        <f t="shared" si="126"/>
        <v>31.175</v>
      </c>
      <c r="M220" s="85">
        <f t="shared" si="127"/>
        <v>34.025</v>
      </c>
      <c r="N220" s="85">
        <f t="shared" si="7"/>
        <v>3.35047759</v>
      </c>
      <c r="O220" s="310" t="str">
        <f>VLOOKUP(E220,'U Fittings (Brass)'!$E$5:$Q1076,14,0)</f>
        <v>#REF!</v>
      </c>
      <c r="P220" s="88"/>
      <c r="Q220" s="85"/>
      <c r="R220" s="85"/>
      <c r="S220" s="20"/>
      <c r="T220" s="85"/>
      <c r="U220" s="85"/>
      <c r="V220" s="88"/>
      <c r="W220" s="16"/>
      <c r="X220" s="16"/>
      <c r="Y220" s="16"/>
      <c r="Z220" s="16"/>
    </row>
    <row r="221" ht="15.75" customHeight="1">
      <c r="A221" s="67" t="str">
        <f t="shared" si="122"/>
        <v>Female Adapter Brass Threads (SCH-80)1</v>
      </c>
      <c r="B221" s="90">
        <v>3.0</v>
      </c>
      <c r="C221" s="92" t="s">
        <v>84</v>
      </c>
      <c r="D221" s="127">
        <v>25.0</v>
      </c>
      <c r="E221" s="112" t="s">
        <v>519</v>
      </c>
      <c r="F221" s="56">
        <v>174.0</v>
      </c>
      <c r="G221" s="76">
        <v>0.062</v>
      </c>
      <c r="H221" s="76">
        <v>0.059</v>
      </c>
      <c r="I221" s="76">
        <f t="shared" si="123"/>
        <v>0.121</v>
      </c>
      <c r="J221" s="84">
        <f t="shared" si="124"/>
        <v>1438.016529</v>
      </c>
      <c r="K221" s="85">
        <f t="shared" si="125"/>
        <v>6.2</v>
      </c>
      <c r="L221" s="85">
        <f t="shared" si="126"/>
        <v>42.775</v>
      </c>
      <c r="M221" s="85">
        <f t="shared" si="127"/>
        <v>48.975</v>
      </c>
      <c r="N221" s="85">
        <f t="shared" si="7"/>
        <v>3.552833078</v>
      </c>
      <c r="O221" s="310" t="str">
        <f>VLOOKUP(E221,'U Fittings (Brass)'!$E$5:$Q1076,14,0)</f>
        <v>#REF!</v>
      </c>
      <c r="P221" s="88"/>
      <c r="Q221" s="85"/>
      <c r="R221" s="85"/>
      <c r="S221" s="20"/>
      <c r="T221" s="85"/>
      <c r="U221" s="85"/>
      <c r="V221" s="88"/>
      <c r="W221" s="16"/>
      <c r="X221" s="16"/>
      <c r="Y221" s="16"/>
      <c r="Z221" s="16"/>
    </row>
    <row r="222" ht="15.75" customHeight="1">
      <c r="A222" s="67" t="str">
        <f t="shared" si="122"/>
        <v>Female Adapter Brass Threads (SCH-80)1 1⁄4</v>
      </c>
      <c r="B222" s="90">
        <v>4.0</v>
      </c>
      <c r="C222" s="92" t="s">
        <v>55</v>
      </c>
      <c r="D222" s="127">
        <v>32.0</v>
      </c>
      <c r="E222" s="112" t="s">
        <v>568</v>
      </c>
      <c r="F222" s="56">
        <v>298.0</v>
      </c>
      <c r="G222" s="76">
        <v>0.08020000000000001</v>
      </c>
      <c r="H222" s="58">
        <v>0.112</v>
      </c>
      <c r="I222" s="76">
        <f t="shared" si="123"/>
        <v>0.1922</v>
      </c>
      <c r="J222" s="84">
        <f t="shared" si="124"/>
        <v>1550.468262</v>
      </c>
      <c r="K222" s="85">
        <f t="shared" si="125"/>
        <v>8.02</v>
      </c>
      <c r="L222" s="85">
        <f t="shared" si="126"/>
        <v>81.2</v>
      </c>
      <c r="M222" s="85">
        <f t="shared" si="127"/>
        <v>89.22</v>
      </c>
      <c r="N222" s="85">
        <f t="shared" si="7"/>
        <v>3.340058283</v>
      </c>
      <c r="O222" s="310" t="str">
        <f>VLOOKUP(E222,'U Fittings (Brass)'!$E$5:$Q1076,14,0)</f>
        <v>#REF!</v>
      </c>
      <c r="P222" s="88"/>
      <c r="Q222" s="85"/>
      <c r="R222" s="85"/>
      <c r="S222" s="20"/>
      <c r="T222" s="85"/>
      <c r="U222" s="85"/>
      <c r="V222" s="88"/>
      <c r="W222" s="16"/>
      <c r="X222" s="16"/>
      <c r="Y222" s="16"/>
      <c r="Z222" s="16"/>
    </row>
    <row r="223" ht="15.75" customHeight="1">
      <c r="A223" s="67" t="str">
        <f t="shared" si="122"/>
        <v>Female Adapter Brass Threads (SCH-80)1 1⁄2</v>
      </c>
      <c r="B223" s="90">
        <v>5.0</v>
      </c>
      <c r="C223" s="92" t="s">
        <v>56</v>
      </c>
      <c r="D223" s="127">
        <v>40.0</v>
      </c>
      <c r="E223" s="112" t="s">
        <v>571</v>
      </c>
      <c r="F223" s="56">
        <v>468.0</v>
      </c>
      <c r="G223" s="76">
        <v>0.10940000000000001</v>
      </c>
      <c r="H223" s="58">
        <v>0.182</v>
      </c>
      <c r="I223" s="76">
        <f t="shared" si="123"/>
        <v>0.2914</v>
      </c>
      <c r="J223" s="84">
        <f t="shared" si="124"/>
        <v>1606.039808</v>
      </c>
      <c r="K223" s="85">
        <f t="shared" si="125"/>
        <v>10.94</v>
      </c>
      <c r="L223" s="85">
        <f t="shared" si="126"/>
        <v>131.95</v>
      </c>
      <c r="M223" s="85">
        <f t="shared" si="127"/>
        <v>142.89</v>
      </c>
      <c r="N223" s="85">
        <f t="shared" si="7"/>
        <v>3.275246693</v>
      </c>
      <c r="O223" s="310" t="str">
        <f>VLOOKUP(E223,'U Fittings (Brass)'!$E$5:$Q1076,14,0)</f>
        <v>#REF!</v>
      </c>
      <c r="P223" s="88"/>
      <c r="Q223" s="85"/>
      <c r="R223" s="85"/>
      <c r="S223" s="20"/>
      <c r="T223" s="85"/>
      <c r="U223" s="85"/>
      <c r="V223" s="88"/>
      <c r="W223" s="16"/>
      <c r="X223" s="16"/>
      <c r="Y223" s="16"/>
      <c r="Z223" s="16"/>
    </row>
    <row r="224" ht="15.75" customHeight="1">
      <c r="A224" s="67" t="str">
        <f t="shared" si="122"/>
        <v>Female Adapter Brass Threads (SCH-80)2</v>
      </c>
      <c r="B224" s="90">
        <v>6.0</v>
      </c>
      <c r="C224" s="92" t="s">
        <v>107</v>
      </c>
      <c r="D224" s="127">
        <v>50.0</v>
      </c>
      <c r="E224" s="112" t="s">
        <v>574</v>
      </c>
      <c r="F224" s="56">
        <v>658.0</v>
      </c>
      <c r="G224" s="76">
        <v>0.1575</v>
      </c>
      <c r="H224" s="58">
        <v>0.249</v>
      </c>
      <c r="I224" s="76">
        <f t="shared" si="123"/>
        <v>0.4065</v>
      </c>
      <c r="J224" s="84">
        <f t="shared" si="124"/>
        <v>1618.696187</v>
      </c>
      <c r="K224" s="85">
        <f t="shared" si="125"/>
        <v>15.75</v>
      </c>
      <c r="L224" s="85">
        <f t="shared" si="126"/>
        <v>180.525</v>
      </c>
      <c r="M224" s="85">
        <f t="shared" si="127"/>
        <v>196.275</v>
      </c>
      <c r="N224" s="85">
        <f t="shared" si="7"/>
        <v>3.35243918</v>
      </c>
      <c r="O224" s="310" t="str">
        <f>VLOOKUP(E224,'U Fittings (Brass)'!$E$5:$Q1076,14,0)</f>
        <v>#REF!</v>
      </c>
      <c r="P224" s="88"/>
      <c r="Q224" s="85"/>
      <c r="R224" s="85"/>
      <c r="S224" s="20"/>
      <c r="T224" s="85"/>
      <c r="U224" s="85"/>
      <c r="V224" s="88"/>
      <c r="W224" s="16"/>
      <c r="X224" s="16"/>
      <c r="Y224" s="16"/>
      <c r="Z224" s="16"/>
    </row>
    <row r="225" ht="15.75" customHeight="1">
      <c r="A225" s="67" t="str">
        <f t="shared" si="122"/>
        <v>Female Adapter Brass Threads (SCH-80)3⁄4 x 1⁄2</v>
      </c>
      <c r="B225" s="90">
        <v>7.0</v>
      </c>
      <c r="C225" s="127" t="s">
        <v>144</v>
      </c>
      <c r="D225" s="127" t="s">
        <v>145</v>
      </c>
      <c r="E225" s="112" t="s">
        <v>506</v>
      </c>
      <c r="F225" s="56">
        <v>68.0</v>
      </c>
      <c r="G225" s="76">
        <v>0.03025</v>
      </c>
      <c r="H225" s="76">
        <v>0.019</v>
      </c>
      <c r="I225" s="76">
        <f t="shared" si="123"/>
        <v>0.04925</v>
      </c>
      <c r="J225" s="84">
        <f t="shared" si="124"/>
        <v>1380.71066</v>
      </c>
      <c r="K225" s="85">
        <f t="shared" si="125"/>
        <v>3.025</v>
      </c>
      <c r="L225" s="85">
        <f t="shared" si="126"/>
        <v>13.775</v>
      </c>
      <c r="M225" s="85">
        <f t="shared" si="127"/>
        <v>16.8</v>
      </c>
      <c r="N225" s="85">
        <f t="shared" si="7"/>
        <v>4.047619048</v>
      </c>
      <c r="O225" s="310" t="str">
        <f>VLOOKUP(E225,'U Fittings (Brass)'!$E$5:$Q1076,14,0)</f>
        <v>#REF!</v>
      </c>
      <c r="P225" s="88"/>
      <c r="Q225" s="85"/>
      <c r="R225" s="85"/>
      <c r="S225" s="20"/>
      <c r="T225" s="85"/>
      <c r="U225" s="85"/>
      <c r="V225" s="88"/>
      <c r="W225" s="16"/>
      <c r="X225" s="16"/>
      <c r="Y225" s="16"/>
      <c r="Z225" s="16"/>
    </row>
    <row r="226" ht="15.75" customHeight="1">
      <c r="A226" s="67" t="str">
        <f t="shared" si="122"/>
        <v>Female Adapter Brass Threads (SCH-80)1 x 1⁄2</v>
      </c>
      <c r="B226" s="90">
        <v>8.0</v>
      </c>
      <c r="C226" s="127" t="s">
        <v>352</v>
      </c>
      <c r="D226" s="127" t="s">
        <v>353</v>
      </c>
      <c r="E226" s="112" t="s">
        <v>507</v>
      </c>
      <c r="F226" s="56">
        <v>74.0</v>
      </c>
      <c r="G226" s="76">
        <v>0.04</v>
      </c>
      <c r="H226" s="76">
        <v>0.019</v>
      </c>
      <c r="I226" s="76">
        <f t="shared" si="123"/>
        <v>0.059</v>
      </c>
      <c r="J226" s="84">
        <f t="shared" si="124"/>
        <v>1254.237288</v>
      </c>
      <c r="K226" s="85">
        <f t="shared" si="125"/>
        <v>4</v>
      </c>
      <c r="L226" s="85">
        <f t="shared" si="126"/>
        <v>13.775</v>
      </c>
      <c r="M226" s="85">
        <f t="shared" si="127"/>
        <v>17.775</v>
      </c>
      <c r="N226" s="85">
        <f t="shared" si="7"/>
        <v>4.163150492</v>
      </c>
      <c r="O226" s="310" t="str">
        <f>VLOOKUP(E226,'U Fittings (Brass)'!$E$5:$Q1076,14,0)</f>
        <v>#REF!</v>
      </c>
      <c r="P226" s="88"/>
      <c r="Q226" s="85"/>
      <c r="R226" s="85"/>
      <c r="S226" s="20"/>
      <c r="T226" s="85"/>
      <c r="U226" s="85"/>
      <c r="V226" s="88"/>
      <c r="W226" s="16"/>
      <c r="X226" s="16"/>
      <c r="Y226" s="16"/>
      <c r="Z226" s="16"/>
    </row>
    <row r="227">
      <c r="A227" s="34"/>
      <c r="B227" s="237" t="s">
        <v>11</v>
      </c>
      <c r="C227" s="45"/>
      <c r="D227" s="45"/>
      <c r="E227" s="46"/>
      <c r="F227" s="103">
        <f>SUM(F219:F226)</f>
        <v>1912</v>
      </c>
      <c r="G227" s="250"/>
      <c r="H227" s="243"/>
      <c r="I227" s="243"/>
      <c r="J227" s="243"/>
      <c r="K227" s="85"/>
      <c r="L227" s="85"/>
      <c r="M227" s="85"/>
      <c r="N227" s="85" t="str">
        <f t="shared" si="7"/>
        <v/>
      </c>
      <c r="O227" s="103" t="str">
        <f>SUM(O219:O226)</f>
        <v>#REF!</v>
      </c>
      <c r="P227" s="307"/>
      <c r="Q227" s="85"/>
      <c r="R227" s="85"/>
      <c r="S227" s="15"/>
      <c r="T227" s="15"/>
      <c r="U227" s="243"/>
      <c r="V227" s="243"/>
      <c r="W227" s="243"/>
      <c r="X227" s="243"/>
      <c r="Y227" s="243"/>
      <c r="Z227" s="243"/>
    </row>
    <row r="228" ht="5.25" customHeight="1">
      <c r="A228" s="34"/>
      <c r="B228" s="15"/>
      <c r="C228" s="15"/>
      <c r="D228" s="15"/>
      <c r="E228" s="17"/>
      <c r="F228" s="15"/>
      <c r="G228" s="250"/>
      <c r="H228" s="243"/>
      <c r="I228" s="243"/>
      <c r="J228" s="243"/>
      <c r="K228" s="85"/>
      <c r="L228" s="85"/>
      <c r="M228" s="85"/>
      <c r="N228" s="85" t="str">
        <f t="shared" si="7"/>
        <v/>
      </c>
      <c r="O228" s="29"/>
      <c r="P228" s="307"/>
      <c r="Q228" s="85"/>
      <c r="R228" s="85"/>
      <c r="S228" s="15"/>
      <c r="T228" s="15"/>
      <c r="U228" s="243"/>
      <c r="V228" s="243"/>
      <c r="W228" s="243"/>
      <c r="X228" s="243"/>
      <c r="Y228" s="243"/>
      <c r="Z228" s="243"/>
    </row>
    <row r="229" ht="26.25" customHeight="1">
      <c r="A229" s="34"/>
      <c r="B229" s="62" t="s">
        <v>1422</v>
      </c>
      <c r="C229" s="45"/>
      <c r="D229" s="45"/>
      <c r="E229" s="45"/>
      <c r="F229" s="46"/>
      <c r="G229" s="250"/>
      <c r="H229" s="243"/>
      <c r="I229" s="243"/>
      <c r="J229" s="243"/>
      <c r="K229" s="85"/>
      <c r="L229" s="85"/>
      <c r="M229" s="85"/>
      <c r="N229" s="85" t="str">
        <f t="shared" si="7"/>
        <v/>
      </c>
      <c r="O229" s="29"/>
      <c r="P229" s="307"/>
      <c r="Q229" s="85"/>
      <c r="R229" s="85"/>
      <c r="S229" s="15"/>
      <c r="T229" s="15"/>
      <c r="U229" s="243"/>
      <c r="V229" s="243"/>
      <c r="W229" s="243"/>
      <c r="X229" s="243"/>
      <c r="Y229" s="243"/>
      <c r="Z229" s="243"/>
    </row>
    <row r="230" ht="15.75" customHeight="1">
      <c r="A230" s="67" t="str">
        <f t="shared" ref="A230:A233" si="128">$B$229&amp;C230</f>
        <v>Cross Tee (SCH-80)1⁄2</v>
      </c>
      <c r="B230" s="68">
        <v>1.0</v>
      </c>
      <c r="C230" s="70" t="s">
        <v>43</v>
      </c>
      <c r="D230" s="70">
        <v>15.0</v>
      </c>
      <c r="E230" s="111" t="s">
        <v>1424</v>
      </c>
      <c r="F230" s="56">
        <v>27.2</v>
      </c>
      <c r="G230" s="76">
        <f>IFERROR(__xludf.DUMMYFUNCTION("ArrayFormula(IFERROR(VLOOKUP(E230,IMPORTRANGE(""https://docs.google.com/spreadsheets/d/1xZyKy-UzMmtPDLpV5jQdYum1LtbR8XKDuasLSjmBRMI/edit#gid=1241094406"",""COMBINED DATA!E3:L""),{7,8},0)))"),0.04977)</f>
        <v>0.04977</v>
      </c>
      <c r="H230" s="76">
        <f>IFERROR(__xludf.DUMMYFUNCTION("""COMPUTED_VALUE"""),0.0)</f>
        <v>0</v>
      </c>
      <c r="I230" s="76">
        <f t="shared" ref="I230:I233" si="129">G230+H230</f>
        <v>0.04977</v>
      </c>
      <c r="J230" s="84">
        <f t="shared" ref="J230:J233" si="130">IFERROR(F230/I230,"")</f>
        <v>546.5139642</v>
      </c>
      <c r="K230" s="85">
        <f t="shared" ref="K230:K233" si="131">IFERROR(G230*100,)</f>
        <v>4.977</v>
      </c>
      <c r="L230" s="85">
        <f t="shared" ref="L230:L233" si="132">IFERROR(H230*725,)</f>
        <v>0</v>
      </c>
      <c r="M230" s="85">
        <f t="shared" ref="M230:M233" si="133">IFERROR(K230+L230,"")</f>
        <v>4.977</v>
      </c>
      <c r="N230" s="85">
        <f t="shared" si="7"/>
        <v>5.465139642</v>
      </c>
      <c r="O230" s="310">
        <v>27.2</v>
      </c>
      <c r="P230" s="75"/>
      <c r="Q230" s="85"/>
      <c r="R230" s="85"/>
      <c r="S230" s="20"/>
      <c r="T230" s="20"/>
      <c r="U230" s="16"/>
      <c r="V230" s="16"/>
      <c r="W230" s="16"/>
      <c r="X230" s="16"/>
      <c r="Y230" s="16"/>
      <c r="Z230" s="16"/>
    </row>
    <row r="231" ht="15.75" customHeight="1">
      <c r="A231" s="67" t="str">
        <f t="shared" si="128"/>
        <v>Cross Tee (SCH-80)3⁄4</v>
      </c>
      <c r="B231" s="90">
        <v>2.0</v>
      </c>
      <c r="C231" s="92" t="s">
        <v>51</v>
      </c>
      <c r="D231" s="92">
        <v>20.0</v>
      </c>
      <c r="E231" s="112" t="s">
        <v>1427</v>
      </c>
      <c r="F231" s="56">
        <v>35.4</v>
      </c>
      <c r="G231" s="76">
        <f>IFERROR(__xludf.DUMMYFUNCTION("ArrayFormula(IFERROR(VLOOKUP(E231,IMPORTRANGE(""https://docs.google.com/spreadsheets/d/1xZyKy-UzMmtPDLpV5jQdYum1LtbR8XKDuasLSjmBRMI/edit#gid=1241094406"",""COMBINED DATA!E3:L""),{7,8},0)))"),0.06715)</f>
        <v>0.06715</v>
      </c>
      <c r="H231" s="76">
        <f>IFERROR(__xludf.DUMMYFUNCTION("""COMPUTED_VALUE"""),0.0)</f>
        <v>0</v>
      </c>
      <c r="I231" s="76">
        <f t="shared" si="129"/>
        <v>0.06715</v>
      </c>
      <c r="J231" s="84">
        <f t="shared" si="130"/>
        <v>527.1779598</v>
      </c>
      <c r="K231" s="85">
        <f t="shared" si="131"/>
        <v>6.715</v>
      </c>
      <c r="L231" s="85">
        <f t="shared" si="132"/>
        <v>0</v>
      </c>
      <c r="M231" s="85">
        <f t="shared" si="133"/>
        <v>6.715</v>
      </c>
      <c r="N231" s="85">
        <f t="shared" si="7"/>
        <v>5.271779598</v>
      </c>
      <c r="O231" s="310">
        <v>35.4</v>
      </c>
      <c r="P231" s="75"/>
      <c r="Q231" s="85"/>
      <c r="R231" s="85"/>
      <c r="S231" s="20"/>
      <c r="T231" s="20"/>
      <c r="U231" s="16"/>
      <c r="V231" s="16"/>
      <c r="W231" s="16"/>
      <c r="X231" s="16"/>
      <c r="Y231" s="16"/>
      <c r="Z231" s="16"/>
    </row>
    <row r="232" ht="15.75" customHeight="1">
      <c r="A232" s="67" t="str">
        <f t="shared" si="128"/>
        <v>Cross Tee (SCH-80)1</v>
      </c>
      <c r="B232" s="90">
        <v>3.0</v>
      </c>
      <c r="C232" s="92" t="s">
        <v>84</v>
      </c>
      <c r="D232" s="92">
        <v>25.0</v>
      </c>
      <c r="E232" s="112" t="s">
        <v>1428</v>
      </c>
      <c r="F232" s="56">
        <v>59.8</v>
      </c>
      <c r="G232" s="76">
        <f>IFERROR(__xludf.DUMMYFUNCTION("ArrayFormula(IFERROR(VLOOKUP(E232,IMPORTRANGE(""https://docs.google.com/spreadsheets/d/1xZyKy-UzMmtPDLpV5jQdYum1LtbR8XKDuasLSjmBRMI/edit#gid=1241094406"",""COMBINED DATA!E3:L""),{7,8},0)))"),0.1095)</f>
        <v>0.1095</v>
      </c>
      <c r="H232" s="76">
        <f>IFERROR(__xludf.DUMMYFUNCTION("""COMPUTED_VALUE"""),0.0)</f>
        <v>0</v>
      </c>
      <c r="I232" s="76">
        <f t="shared" si="129"/>
        <v>0.1095</v>
      </c>
      <c r="J232" s="84">
        <f t="shared" si="130"/>
        <v>546.1187215</v>
      </c>
      <c r="K232" s="85">
        <f t="shared" si="131"/>
        <v>10.95</v>
      </c>
      <c r="L232" s="85">
        <f t="shared" si="132"/>
        <v>0</v>
      </c>
      <c r="M232" s="85">
        <f t="shared" si="133"/>
        <v>10.95</v>
      </c>
      <c r="N232" s="85">
        <f t="shared" si="7"/>
        <v>5.461187215</v>
      </c>
      <c r="O232" s="310">
        <v>59.8</v>
      </c>
      <c r="P232" s="75"/>
      <c r="Q232" s="85"/>
      <c r="R232" s="85"/>
      <c r="S232" s="20"/>
      <c r="T232" s="20"/>
      <c r="U232" s="16"/>
      <c r="V232" s="16"/>
      <c r="W232" s="16"/>
      <c r="X232" s="16"/>
      <c r="Y232" s="16"/>
      <c r="Z232" s="16"/>
    </row>
    <row r="233" ht="15.75" customHeight="1">
      <c r="A233" s="67" t="str">
        <f t="shared" si="128"/>
        <v>Cross Tee (SCH-80)1 1⁄4</v>
      </c>
      <c r="B233" s="90">
        <v>4.0</v>
      </c>
      <c r="C233" s="92" t="s">
        <v>55</v>
      </c>
      <c r="D233" s="92">
        <v>32.0</v>
      </c>
      <c r="E233" s="112" t="s">
        <v>1430</v>
      </c>
      <c r="F233" s="56">
        <v>96.8</v>
      </c>
      <c r="G233" s="76">
        <f>IFERROR(__xludf.DUMMYFUNCTION("ArrayFormula(IFERROR(VLOOKUP(E233,IMPORTRANGE(""https://docs.google.com/spreadsheets/d/1xZyKy-UzMmtPDLpV5jQdYum1LtbR8XKDuasLSjmBRMI/edit#gid=1241094406"",""COMBINED DATA!E3:L""),{7,8},0)))"),0.1865)</f>
        <v>0.1865</v>
      </c>
      <c r="H233" s="76">
        <f>IFERROR(__xludf.DUMMYFUNCTION("""COMPUTED_VALUE"""),0.0)</f>
        <v>0</v>
      </c>
      <c r="I233" s="76">
        <f t="shared" si="129"/>
        <v>0.1865</v>
      </c>
      <c r="J233" s="84">
        <f t="shared" si="130"/>
        <v>519.0348525</v>
      </c>
      <c r="K233" s="85">
        <f t="shared" si="131"/>
        <v>18.65</v>
      </c>
      <c r="L233" s="85">
        <f t="shared" si="132"/>
        <v>0</v>
      </c>
      <c r="M233" s="85">
        <f t="shared" si="133"/>
        <v>18.65</v>
      </c>
      <c r="N233" s="85">
        <f t="shared" si="7"/>
        <v>5.190348525</v>
      </c>
      <c r="O233" s="310">
        <v>96.8</v>
      </c>
      <c r="P233" s="75"/>
      <c r="Q233" s="85"/>
      <c r="R233" s="85"/>
      <c r="S233" s="20"/>
      <c r="T233" s="20"/>
      <c r="U233" s="16"/>
      <c r="V233" s="16"/>
      <c r="W233" s="16"/>
      <c r="X233" s="16"/>
      <c r="Y233" s="16"/>
      <c r="Z233" s="16"/>
    </row>
    <row r="234">
      <c r="A234" s="34"/>
      <c r="B234" s="237" t="s">
        <v>11</v>
      </c>
      <c r="C234" s="45"/>
      <c r="D234" s="45"/>
      <c r="E234" s="46"/>
      <c r="F234" s="103">
        <f>SUM(F230:F233)</f>
        <v>219.2</v>
      </c>
      <c r="G234" s="250"/>
      <c r="H234" s="243"/>
      <c r="I234" s="243"/>
      <c r="J234" s="243"/>
      <c r="K234" s="85"/>
      <c r="L234" s="85"/>
      <c r="M234" s="85"/>
      <c r="N234" s="85" t="str">
        <f t="shared" si="7"/>
        <v/>
      </c>
      <c r="O234" s="103">
        <f>SUM(O230:O233)</f>
        <v>219.2</v>
      </c>
      <c r="P234" s="307"/>
      <c r="Q234" s="85"/>
      <c r="R234" s="85"/>
      <c r="S234" s="15"/>
      <c r="T234" s="15"/>
      <c r="U234" s="243"/>
      <c r="V234" s="243"/>
      <c r="W234" s="243"/>
      <c r="X234" s="243"/>
      <c r="Y234" s="243"/>
      <c r="Z234" s="243"/>
    </row>
    <row r="235" ht="5.25" customHeight="1">
      <c r="A235" s="34"/>
      <c r="B235" s="15"/>
      <c r="C235" s="15"/>
      <c r="D235" s="15"/>
      <c r="E235" s="17"/>
      <c r="F235" s="15"/>
      <c r="G235" s="250"/>
      <c r="H235" s="243"/>
      <c r="I235" s="243"/>
      <c r="J235" s="243"/>
      <c r="K235" s="85"/>
      <c r="L235" s="85"/>
      <c r="M235" s="85"/>
      <c r="N235" s="85" t="str">
        <f t="shared" si="7"/>
        <v/>
      </c>
      <c r="O235" s="29"/>
      <c r="P235" s="307"/>
      <c r="Q235" s="85"/>
      <c r="R235" s="85"/>
      <c r="S235" s="15"/>
      <c r="T235" s="15"/>
      <c r="U235" s="243"/>
      <c r="V235" s="243"/>
      <c r="W235" s="243"/>
      <c r="X235" s="243"/>
      <c r="Y235" s="243"/>
      <c r="Z235" s="243"/>
    </row>
    <row r="236" ht="24.75" customHeight="1">
      <c r="A236" s="34"/>
      <c r="B236" s="62" t="s">
        <v>1432</v>
      </c>
      <c r="C236" s="45"/>
      <c r="D236" s="45"/>
      <c r="E236" s="45"/>
      <c r="F236" s="46"/>
      <c r="G236" s="250"/>
      <c r="H236" s="243"/>
      <c r="I236" s="243"/>
      <c r="J236" s="243"/>
      <c r="K236" s="85"/>
      <c r="L236" s="85"/>
      <c r="M236" s="85"/>
      <c r="N236" s="85" t="str">
        <f t="shared" si="7"/>
        <v/>
      </c>
      <c r="O236" s="29"/>
      <c r="P236" s="307"/>
      <c r="Q236" s="85"/>
      <c r="R236" s="85"/>
      <c r="S236" s="15"/>
      <c r="T236" s="15"/>
      <c r="U236" s="243"/>
      <c r="V236" s="243"/>
      <c r="W236" s="243"/>
      <c r="X236" s="243"/>
      <c r="Y236" s="243"/>
      <c r="Z236" s="243"/>
    </row>
    <row r="237" ht="15.75" customHeight="1">
      <c r="A237" s="67" t="str">
        <f t="shared" ref="A237:A242" si="134">$B$236&amp;C237</f>
        <v>Ball Valve Butterfly Handle (SCH-80)1⁄2</v>
      </c>
      <c r="B237" s="68">
        <v>1.0</v>
      </c>
      <c r="C237" s="70" t="s">
        <v>43</v>
      </c>
      <c r="D237" s="70">
        <v>15.0</v>
      </c>
      <c r="E237" s="129" t="s">
        <v>1434</v>
      </c>
      <c r="F237" s="56">
        <v>78.0</v>
      </c>
      <c r="G237" s="76">
        <f>IFERROR(__xludf.DUMMYFUNCTION("ArrayFormula(IFERROR(VLOOKUP(E237,IMPORTRANGE(""https://docs.google.com/spreadsheets/d/1xZyKy-UzMmtPDLpV5jQdYum1LtbR8XKDuasLSjmBRMI/edit#gid=1241094406"",""COMBINED DATA!E3:L""),{7,8},0)))"),0.07428)</f>
        <v>0.07428</v>
      </c>
      <c r="H237" s="76">
        <f>IFERROR(__xludf.DUMMYFUNCTION("""COMPUTED_VALUE"""),0.0)</f>
        <v>0</v>
      </c>
      <c r="I237" s="76">
        <f t="shared" ref="I237:I242" si="135">G237+H237</f>
        <v>0.07428</v>
      </c>
      <c r="J237" s="84">
        <f t="shared" ref="J237:J242" si="136">IFERROR(F237/I237,"")</f>
        <v>1050.080775</v>
      </c>
      <c r="K237" s="85">
        <f t="shared" ref="K237:K242" si="137">IFERROR(G237*100,)</f>
        <v>7.428</v>
      </c>
      <c r="L237" s="85">
        <f t="shared" ref="L237:L242" si="138">IFERROR(H237*725,)</f>
        <v>0</v>
      </c>
      <c r="M237" s="85">
        <f t="shared" ref="M237:M242" si="139">IFERROR(K237+L237,"")</f>
        <v>7.428</v>
      </c>
      <c r="N237" s="85">
        <f t="shared" si="7"/>
        <v>10.50080775</v>
      </c>
      <c r="O237" s="310">
        <v>78.0</v>
      </c>
      <c r="P237" s="75"/>
      <c r="Q237" s="85"/>
      <c r="R237" s="85"/>
      <c r="S237" s="20"/>
      <c r="T237" s="20"/>
      <c r="U237" s="16"/>
      <c r="V237" s="16"/>
      <c r="W237" s="16"/>
      <c r="X237" s="16"/>
      <c r="Y237" s="16"/>
      <c r="Z237" s="16"/>
    </row>
    <row r="238" ht="15.75" customHeight="1">
      <c r="A238" s="67" t="str">
        <f t="shared" si="134"/>
        <v>Ball Valve Butterfly Handle (SCH-80)3⁄4</v>
      </c>
      <c r="B238" s="90">
        <v>2.0</v>
      </c>
      <c r="C238" s="92" t="s">
        <v>51</v>
      </c>
      <c r="D238" s="92">
        <v>20.0</v>
      </c>
      <c r="E238" s="94" t="s">
        <v>1436</v>
      </c>
      <c r="F238" s="56">
        <v>120.0</v>
      </c>
      <c r="G238" s="76">
        <f>IFERROR(__xludf.DUMMYFUNCTION("ArrayFormula(IFERROR(VLOOKUP(E238,IMPORTRANGE(""https://docs.google.com/spreadsheets/d/1xZyKy-UzMmtPDLpV5jQdYum1LtbR8XKDuasLSjmBRMI/edit#gid=1241094406"",""COMBINED DATA!E3:L""),{7,8},0)))"),0.1114)</f>
        <v>0.1114</v>
      </c>
      <c r="H238" s="76">
        <f>IFERROR(__xludf.DUMMYFUNCTION("""COMPUTED_VALUE"""),0.0)</f>
        <v>0</v>
      </c>
      <c r="I238" s="76">
        <f t="shared" si="135"/>
        <v>0.1114</v>
      </c>
      <c r="J238" s="84">
        <f t="shared" si="136"/>
        <v>1077.199282</v>
      </c>
      <c r="K238" s="85">
        <f t="shared" si="137"/>
        <v>11.14</v>
      </c>
      <c r="L238" s="85">
        <f t="shared" si="138"/>
        <v>0</v>
      </c>
      <c r="M238" s="85">
        <f t="shared" si="139"/>
        <v>11.14</v>
      </c>
      <c r="N238" s="85">
        <f t="shared" si="7"/>
        <v>10.77199282</v>
      </c>
      <c r="O238" s="310">
        <v>120.0</v>
      </c>
      <c r="P238" s="75"/>
      <c r="Q238" s="85"/>
      <c r="R238" s="85"/>
      <c r="S238" s="20"/>
      <c r="T238" s="20"/>
      <c r="U238" s="16"/>
      <c r="V238" s="16"/>
      <c r="W238" s="16"/>
      <c r="X238" s="16"/>
      <c r="Y238" s="16"/>
      <c r="Z238" s="16"/>
    </row>
    <row r="239" ht="15.75" customHeight="1">
      <c r="A239" s="67" t="str">
        <f t="shared" si="134"/>
        <v>Ball Valve Butterfly Handle (SCH-80)1</v>
      </c>
      <c r="B239" s="90">
        <v>3.0</v>
      </c>
      <c r="C239" s="92">
        <v>1.0</v>
      </c>
      <c r="D239" s="92">
        <v>25.0</v>
      </c>
      <c r="E239" s="94" t="s">
        <v>1438</v>
      </c>
      <c r="F239" s="56">
        <v>224.0</v>
      </c>
      <c r="G239" s="76">
        <f>IFERROR(__xludf.DUMMYFUNCTION("ArrayFormula(IFERROR(VLOOKUP(E239,IMPORTRANGE(""https://docs.google.com/spreadsheets/d/1xZyKy-UzMmtPDLpV5jQdYum1LtbR8XKDuasLSjmBRMI/edit#gid=1241094406"",""COMBINED DATA!E3:L""),{7,8},0)))"),0.18419999999999997)</f>
        <v>0.1842</v>
      </c>
      <c r="H239" s="76">
        <f>IFERROR(__xludf.DUMMYFUNCTION("""COMPUTED_VALUE"""),0.0)</f>
        <v>0</v>
      </c>
      <c r="I239" s="76">
        <f t="shared" si="135"/>
        <v>0.1842</v>
      </c>
      <c r="J239" s="84">
        <f t="shared" si="136"/>
        <v>1216.06949</v>
      </c>
      <c r="K239" s="85">
        <f t="shared" si="137"/>
        <v>18.42</v>
      </c>
      <c r="L239" s="85">
        <f t="shared" si="138"/>
        <v>0</v>
      </c>
      <c r="M239" s="85">
        <f t="shared" si="139"/>
        <v>18.42</v>
      </c>
      <c r="N239" s="85">
        <f t="shared" si="7"/>
        <v>12.1606949</v>
      </c>
      <c r="O239" s="310">
        <v>224.0</v>
      </c>
      <c r="P239" s="75"/>
      <c r="Q239" s="85"/>
      <c r="R239" s="85"/>
      <c r="S239" s="20"/>
      <c r="T239" s="20"/>
      <c r="U239" s="16"/>
      <c r="V239" s="16"/>
      <c r="W239" s="16"/>
      <c r="X239" s="16"/>
      <c r="Y239" s="16"/>
      <c r="Z239" s="16"/>
    </row>
    <row r="240" ht="15.75" customHeight="1">
      <c r="A240" s="67" t="str">
        <f t="shared" si="134"/>
        <v>Ball Valve Butterfly Handle (SCH-80)1 1⁄4</v>
      </c>
      <c r="B240" s="90">
        <v>4.0</v>
      </c>
      <c r="C240" s="92" t="s">
        <v>55</v>
      </c>
      <c r="D240" s="92">
        <v>32.0</v>
      </c>
      <c r="E240" s="94" t="s">
        <v>1440</v>
      </c>
      <c r="F240" s="56">
        <v>296.0</v>
      </c>
      <c r="G240" s="76">
        <f>IFERROR(__xludf.DUMMYFUNCTION("ArrayFormula(IFERROR(VLOOKUP(E240,IMPORTRANGE(""https://docs.google.com/spreadsheets/d/1xZyKy-UzMmtPDLpV5jQdYum1LtbR8XKDuasLSjmBRMI/edit#gid=1241094406"",""COMBINED DATA!E3:L""),{7,8},0)))"),0.26869)</f>
        <v>0.26869</v>
      </c>
      <c r="H240" s="76">
        <f>IFERROR(__xludf.DUMMYFUNCTION("""COMPUTED_VALUE"""),0.0)</f>
        <v>0</v>
      </c>
      <c r="I240" s="76">
        <f t="shared" si="135"/>
        <v>0.26869</v>
      </c>
      <c r="J240" s="84">
        <f t="shared" si="136"/>
        <v>1101.641297</v>
      </c>
      <c r="K240" s="85">
        <f t="shared" si="137"/>
        <v>26.869</v>
      </c>
      <c r="L240" s="85">
        <f t="shared" si="138"/>
        <v>0</v>
      </c>
      <c r="M240" s="85">
        <f t="shared" si="139"/>
        <v>26.869</v>
      </c>
      <c r="N240" s="85">
        <f t="shared" si="7"/>
        <v>11.01641297</v>
      </c>
      <c r="O240" s="310">
        <v>296.0</v>
      </c>
      <c r="P240" s="75"/>
      <c r="Q240" s="85"/>
      <c r="R240" s="85"/>
      <c r="S240" s="20"/>
      <c r="T240" s="20"/>
      <c r="U240" s="16"/>
      <c r="V240" s="16"/>
      <c r="W240" s="16"/>
      <c r="X240" s="16"/>
      <c r="Y240" s="16"/>
      <c r="Z240" s="16"/>
    </row>
    <row r="241" ht="15.75" customHeight="1">
      <c r="A241" s="67" t="str">
        <f t="shared" si="134"/>
        <v>Ball Valve Butterfly Handle (SCH-80)1 1⁄2</v>
      </c>
      <c r="B241" s="90">
        <v>5.0</v>
      </c>
      <c r="C241" s="92" t="s">
        <v>56</v>
      </c>
      <c r="D241" s="92">
        <v>40.0</v>
      </c>
      <c r="E241" s="94" t="s">
        <v>1441</v>
      </c>
      <c r="F241" s="56">
        <v>438.0</v>
      </c>
      <c r="G241" s="76">
        <f>IFERROR(__xludf.DUMMYFUNCTION("ArrayFormula(IFERROR(VLOOKUP(E241,IMPORTRANGE(""https://docs.google.com/spreadsheets/d/1xZyKy-UzMmtPDLpV5jQdYum1LtbR8XKDuasLSjmBRMI/edit#gid=1241094406"",""COMBINED DATA!E3:L""),{7,8},0)))"),0.36604000000000003)</f>
        <v>0.36604</v>
      </c>
      <c r="H241" s="76">
        <f>IFERROR(__xludf.DUMMYFUNCTION("""COMPUTED_VALUE"""),0.0)</f>
        <v>0</v>
      </c>
      <c r="I241" s="76">
        <f t="shared" si="135"/>
        <v>0.36604</v>
      </c>
      <c r="J241" s="84">
        <f t="shared" si="136"/>
        <v>1196.590537</v>
      </c>
      <c r="K241" s="85">
        <f t="shared" si="137"/>
        <v>36.604</v>
      </c>
      <c r="L241" s="85">
        <f t="shared" si="138"/>
        <v>0</v>
      </c>
      <c r="M241" s="85">
        <f t="shared" si="139"/>
        <v>36.604</v>
      </c>
      <c r="N241" s="85">
        <f t="shared" si="7"/>
        <v>11.96590537</v>
      </c>
      <c r="O241" s="310">
        <v>438.0</v>
      </c>
      <c r="P241" s="75"/>
      <c r="Q241" s="85"/>
      <c r="R241" s="85"/>
      <c r="S241" s="20"/>
      <c r="T241" s="20"/>
      <c r="U241" s="16"/>
      <c r="V241" s="16"/>
      <c r="W241" s="16"/>
      <c r="X241" s="16"/>
      <c r="Y241" s="16"/>
      <c r="Z241" s="16"/>
    </row>
    <row r="242" ht="15.75" customHeight="1">
      <c r="A242" s="67" t="str">
        <f t="shared" si="134"/>
        <v>Ball Valve Butterfly Handle (SCH-80)2</v>
      </c>
      <c r="B242" s="90">
        <v>6.0</v>
      </c>
      <c r="C242" s="92">
        <v>2.0</v>
      </c>
      <c r="D242" s="92">
        <v>50.0</v>
      </c>
      <c r="E242" s="94" t="s">
        <v>1442</v>
      </c>
      <c r="F242" s="56">
        <v>668.0</v>
      </c>
      <c r="G242" s="76">
        <f>IFERROR(__xludf.DUMMYFUNCTION("ArrayFormula(IFERROR(VLOOKUP(E242,IMPORTRANGE(""https://docs.google.com/spreadsheets/d/1xZyKy-UzMmtPDLpV5jQdYum1LtbR8XKDuasLSjmBRMI/edit#gid=1241094406"",""COMBINED DATA!E3:L""),{7,8},0)))"),0.6015)</f>
        <v>0.6015</v>
      </c>
      <c r="H242" s="76">
        <f>IFERROR(__xludf.DUMMYFUNCTION("""COMPUTED_VALUE"""),0.0)</f>
        <v>0</v>
      </c>
      <c r="I242" s="76">
        <f t="shared" si="135"/>
        <v>0.6015</v>
      </c>
      <c r="J242" s="84">
        <f t="shared" si="136"/>
        <v>1110.556941</v>
      </c>
      <c r="K242" s="85">
        <f t="shared" si="137"/>
        <v>60.15</v>
      </c>
      <c r="L242" s="85">
        <f t="shared" si="138"/>
        <v>0</v>
      </c>
      <c r="M242" s="85">
        <f t="shared" si="139"/>
        <v>60.15</v>
      </c>
      <c r="N242" s="85">
        <f t="shared" si="7"/>
        <v>11.10556941</v>
      </c>
      <c r="O242" s="310">
        <v>668.0</v>
      </c>
      <c r="P242" s="75"/>
      <c r="Q242" s="85"/>
      <c r="R242" s="85"/>
      <c r="S242" s="20"/>
      <c r="T242" s="20"/>
      <c r="U242" s="16"/>
      <c r="V242" s="16"/>
      <c r="W242" s="16"/>
      <c r="X242" s="16"/>
      <c r="Y242" s="16"/>
      <c r="Z242" s="16"/>
    </row>
    <row r="243">
      <c r="A243" s="34"/>
      <c r="B243" s="237" t="s">
        <v>11</v>
      </c>
      <c r="C243" s="45"/>
      <c r="D243" s="45"/>
      <c r="E243" s="46"/>
      <c r="F243" s="103">
        <f>sum(F237:F242)</f>
        <v>1824</v>
      </c>
      <c r="G243" s="250"/>
      <c r="H243" s="243"/>
      <c r="I243" s="243"/>
      <c r="J243" s="243"/>
      <c r="K243" s="85"/>
      <c r="L243" s="85"/>
      <c r="M243" s="85"/>
      <c r="N243" s="85" t="str">
        <f t="shared" si="7"/>
        <v/>
      </c>
      <c r="O243" s="103">
        <f>sum(O237:O242)</f>
        <v>1824</v>
      </c>
      <c r="P243" s="307"/>
      <c r="Q243" s="85"/>
      <c r="R243" s="85"/>
      <c r="S243" s="15"/>
      <c r="T243" s="15"/>
      <c r="U243" s="243"/>
      <c r="V243" s="243"/>
      <c r="W243" s="243"/>
      <c r="X243" s="243"/>
      <c r="Y243" s="243"/>
      <c r="Z243" s="243"/>
    </row>
    <row r="244" ht="6.0" customHeight="1">
      <c r="A244" s="34"/>
      <c r="B244" s="15"/>
      <c r="C244" s="15"/>
      <c r="D244" s="15"/>
      <c r="E244" s="17"/>
      <c r="F244" s="15"/>
      <c r="G244" s="250"/>
      <c r="H244" s="243"/>
      <c r="I244" s="243"/>
      <c r="J244" s="243"/>
      <c r="K244" s="85"/>
      <c r="L244" s="85"/>
      <c r="M244" s="85"/>
      <c r="N244" s="85" t="str">
        <f t="shared" si="7"/>
        <v/>
      </c>
      <c r="O244" s="29"/>
      <c r="P244" s="307"/>
      <c r="Q244" s="85"/>
      <c r="R244" s="85"/>
      <c r="S244" s="15"/>
      <c r="T244" s="15"/>
      <c r="U244" s="243"/>
      <c r="V244" s="243"/>
      <c r="W244" s="243"/>
      <c r="X244" s="243"/>
      <c r="Y244" s="243"/>
      <c r="Z244" s="243"/>
    </row>
    <row r="245" ht="22.5" customHeight="1">
      <c r="A245" s="34"/>
      <c r="B245" s="339" t="s">
        <v>1445</v>
      </c>
      <c r="C245" s="45"/>
      <c r="D245" s="45"/>
      <c r="E245" s="45"/>
      <c r="F245" s="46"/>
      <c r="G245" s="250"/>
      <c r="H245" s="243"/>
      <c r="I245" s="243"/>
      <c r="J245" s="243"/>
      <c r="K245" s="85"/>
      <c r="L245" s="85"/>
      <c r="M245" s="85"/>
      <c r="N245" s="85" t="str">
        <f t="shared" si="7"/>
        <v/>
      </c>
      <c r="O245" s="29"/>
      <c r="P245" s="307"/>
      <c r="Q245" s="85"/>
      <c r="R245" s="85"/>
      <c r="S245" s="15"/>
      <c r="T245" s="15"/>
      <c r="U245" s="243"/>
      <c r="V245" s="243"/>
      <c r="W245" s="243"/>
      <c r="X245" s="243"/>
      <c r="Y245" s="243"/>
      <c r="Z245" s="243"/>
    </row>
    <row r="246" ht="15.75" customHeight="1">
      <c r="A246" s="67" t="str">
        <f t="shared" ref="A246:A251" si="140">$B$245&amp;C246</f>
        <v>Ball Valve Threaded Butterfly Handle (SCH-80)1⁄2</v>
      </c>
      <c r="B246" s="51">
        <v>1.0</v>
      </c>
      <c r="C246" s="70" t="s">
        <v>43</v>
      </c>
      <c r="D246" s="70">
        <v>15.0</v>
      </c>
      <c r="E246" s="111" t="s">
        <v>1447</v>
      </c>
      <c r="F246" s="56">
        <v>84.0</v>
      </c>
      <c r="G246" s="76">
        <f>IFERROR(__xludf.DUMMYFUNCTION("ArrayFormula(IFERROR(VLOOKUP(E246,IMPORTRANGE(""https://docs.google.com/spreadsheets/d/1xZyKy-UzMmtPDLpV5jQdYum1LtbR8XKDuasLSjmBRMI/edit#gid=1241094406"",""COMBINED DATA!E3:L""),{7,8},0)))"),0.0712)</f>
        <v>0.0712</v>
      </c>
      <c r="H246" s="76">
        <f>IFERROR(__xludf.DUMMYFUNCTION("""COMPUTED_VALUE"""),0.0)</f>
        <v>0</v>
      </c>
      <c r="I246" s="76">
        <f t="shared" ref="I246:I251" si="141">G246+H246</f>
        <v>0.0712</v>
      </c>
      <c r="J246" s="84">
        <f t="shared" ref="J246:J251" si="142">IFERROR(F246/I246,"")</f>
        <v>1179.775281</v>
      </c>
      <c r="K246" s="85">
        <f t="shared" ref="K246:K251" si="143">IFERROR(G246*100,)</f>
        <v>7.12</v>
      </c>
      <c r="L246" s="85">
        <f t="shared" ref="L246:L251" si="144">IFERROR(H246*725,)</f>
        <v>0</v>
      </c>
      <c r="M246" s="85">
        <f t="shared" ref="M246:M251" si="145">IFERROR(K246+L246,"")</f>
        <v>7.12</v>
      </c>
      <c r="N246" s="85">
        <f t="shared" si="7"/>
        <v>11.79775281</v>
      </c>
      <c r="O246" s="310">
        <v>84.0</v>
      </c>
      <c r="P246" s="75"/>
      <c r="Q246" s="85"/>
      <c r="R246" s="85"/>
      <c r="S246" s="20"/>
      <c r="T246" s="20"/>
      <c r="U246" s="16"/>
      <c r="V246" s="16"/>
      <c r="W246" s="16"/>
      <c r="X246" s="16"/>
      <c r="Y246" s="16"/>
      <c r="Z246" s="16"/>
    </row>
    <row r="247" ht="15.75" customHeight="1">
      <c r="A247" s="67" t="str">
        <f t="shared" si="140"/>
        <v>Ball Valve Threaded Butterfly Handle (SCH-80)3⁄4</v>
      </c>
      <c r="B247" s="150">
        <v>2.0</v>
      </c>
      <c r="C247" s="92" t="s">
        <v>51</v>
      </c>
      <c r="D247" s="92">
        <v>20.0</v>
      </c>
      <c r="E247" s="112" t="s">
        <v>1449</v>
      </c>
      <c r="F247" s="56">
        <v>130.0</v>
      </c>
      <c r="G247" s="76">
        <f>IFERROR(__xludf.DUMMYFUNCTION("ArrayFormula(IFERROR(VLOOKUP(E247,IMPORTRANGE(""https://docs.google.com/spreadsheets/d/1xZyKy-UzMmtPDLpV5jQdYum1LtbR8XKDuasLSjmBRMI/edit#gid=1241094406"",""COMBINED DATA!E3:L""),{7,8},0)))"),0.11456000000000001)</f>
        <v>0.11456</v>
      </c>
      <c r="H247" s="76">
        <f>IFERROR(__xludf.DUMMYFUNCTION("""COMPUTED_VALUE"""),0.0)</f>
        <v>0</v>
      </c>
      <c r="I247" s="76">
        <f t="shared" si="141"/>
        <v>0.11456</v>
      </c>
      <c r="J247" s="84">
        <f t="shared" si="142"/>
        <v>1134.776536</v>
      </c>
      <c r="K247" s="85">
        <f t="shared" si="143"/>
        <v>11.456</v>
      </c>
      <c r="L247" s="85">
        <f t="shared" si="144"/>
        <v>0</v>
      </c>
      <c r="M247" s="85">
        <f t="shared" si="145"/>
        <v>11.456</v>
      </c>
      <c r="N247" s="85">
        <f t="shared" si="7"/>
        <v>11.34776536</v>
      </c>
      <c r="O247" s="310">
        <v>130.0</v>
      </c>
      <c r="P247" s="75"/>
      <c r="Q247" s="85"/>
      <c r="R247" s="85"/>
      <c r="S247" s="20"/>
      <c r="T247" s="20"/>
      <c r="U247" s="16"/>
      <c r="V247" s="16"/>
      <c r="W247" s="16"/>
      <c r="X247" s="16"/>
      <c r="Y247" s="16"/>
      <c r="Z247" s="16"/>
    </row>
    <row r="248" ht="15.75" customHeight="1">
      <c r="A248" s="67" t="str">
        <f t="shared" si="140"/>
        <v>Ball Valve Threaded Butterfly Handle (SCH-80)1</v>
      </c>
      <c r="B248" s="150">
        <v>3.0</v>
      </c>
      <c r="C248" s="92">
        <v>1.0</v>
      </c>
      <c r="D248" s="92">
        <v>25.0</v>
      </c>
      <c r="E248" s="112" t="s">
        <v>1451</v>
      </c>
      <c r="F248" s="56">
        <v>236.0</v>
      </c>
      <c r="G248" s="76">
        <f>IFERROR(__xludf.DUMMYFUNCTION("ArrayFormula(IFERROR(VLOOKUP(E248,IMPORTRANGE(""https://docs.google.com/spreadsheets/d/1xZyKy-UzMmtPDLpV5jQdYum1LtbR8XKDuasLSjmBRMI/edit#gid=1241094406"",""COMBINED DATA!E3:L""),{7,8},0)))"),0.18159999999999998)</f>
        <v>0.1816</v>
      </c>
      <c r="H248" s="76">
        <f>IFERROR(__xludf.DUMMYFUNCTION("""COMPUTED_VALUE"""),0.0)</f>
        <v>0</v>
      </c>
      <c r="I248" s="76">
        <f t="shared" si="141"/>
        <v>0.1816</v>
      </c>
      <c r="J248" s="84">
        <f t="shared" si="142"/>
        <v>1299.559471</v>
      </c>
      <c r="K248" s="85">
        <f t="shared" si="143"/>
        <v>18.16</v>
      </c>
      <c r="L248" s="85">
        <f t="shared" si="144"/>
        <v>0</v>
      </c>
      <c r="M248" s="85">
        <f t="shared" si="145"/>
        <v>18.16</v>
      </c>
      <c r="N248" s="85">
        <f t="shared" si="7"/>
        <v>12.99559471</v>
      </c>
      <c r="O248" s="310">
        <v>236.0</v>
      </c>
      <c r="P248" s="75"/>
      <c r="Q248" s="85"/>
      <c r="R248" s="85"/>
      <c r="S248" s="20"/>
      <c r="T248" s="20"/>
      <c r="U248" s="16"/>
      <c r="V248" s="16"/>
      <c r="W248" s="16"/>
      <c r="X248" s="16"/>
      <c r="Y248" s="16"/>
      <c r="Z248" s="16"/>
    </row>
    <row r="249" ht="15.75" customHeight="1">
      <c r="A249" s="67" t="str">
        <f t="shared" si="140"/>
        <v>Ball Valve Threaded Butterfly Handle (SCH-80)1 1⁄4</v>
      </c>
      <c r="B249" s="150">
        <v>4.0</v>
      </c>
      <c r="C249" s="92" t="s">
        <v>55</v>
      </c>
      <c r="D249" s="92">
        <v>32.0</v>
      </c>
      <c r="E249" s="112" t="s">
        <v>1453</v>
      </c>
      <c r="F249" s="56">
        <v>308.0</v>
      </c>
      <c r="G249" s="76">
        <f>IFERROR(__xludf.DUMMYFUNCTION("ArrayFormula(IFERROR(VLOOKUP(E249,IMPORTRANGE(""https://docs.google.com/spreadsheets/d/1xZyKy-UzMmtPDLpV5jQdYum1LtbR8XKDuasLSjmBRMI/edit#gid=1241094406"",""COMBINED DATA!E3:L""),{7,8},0)))"),0.26)</f>
        <v>0.26</v>
      </c>
      <c r="H249" s="76">
        <f>IFERROR(__xludf.DUMMYFUNCTION("""COMPUTED_VALUE"""),0.0)</f>
        <v>0</v>
      </c>
      <c r="I249" s="76">
        <f t="shared" si="141"/>
        <v>0.26</v>
      </c>
      <c r="J249" s="84">
        <f t="shared" si="142"/>
        <v>1184.615385</v>
      </c>
      <c r="K249" s="85">
        <f t="shared" si="143"/>
        <v>26</v>
      </c>
      <c r="L249" s="85">
        <f t="shared" si="144"/>
        <v>0</v>
      </c>
      <c r="M249" s="85">
        <f t="shared" si="145"/>
        <v>26</v>
      </c>
      <c r="N249" s="85">
        <f t="shared" si="7"/>
        <v>11.84615385</v>
      </c>
      <c r="O249" s="310">
        <v>308.0</v>
      </c>
      <c r="P249" s="75"/>
      <c r="Q249" s="85"/>
      <c r="R249" s="85"/>
      <c r="S249" s="20"/>
      <c r="T249" s="20"/>
      <c r="U249" s="16"/>
      <c r="V249" s="16"/>
      <c r="W249" s="16"/>
      <c r="X249" s="16"/>
      <c r="Y249" s="16"/>
      <c r="Z249" s="16"/>
    </row>
    <row r="250" ht="15.75" customHeight="1">
      <c r="A250" s="67" t="str">
        <f t="shared" si="140"/>
        <v>Ball Valve Threaded Butterfly Handle (SCH-80)1 1⁄2</v>
      </c>
      <c r="B250" s="150">
        <v>5.0</v>
      </c>
      <c r="C250" s="92" t="s">
        <v>56</v>
      </c>
      <c r="D250" s="92">
        <v>40.0</v>
      </c>
      <c r="E250" s="112" t="s">
        <v>1454</v>
      </c>
      <c r="F250" s="56">
        <v>454.0</v>
      </c>
      <c r="G250" s="76">
        <f>IFERROR(__xludf.DUMMYFUNCTION("ArrayFormula(IFERROR(VLOOKUP(E250,IMPORTRANGE(""https://docs.google.com/spreadsheets/d/1xZyKy-UzMmtPDLpV5jQdYum1LtbR8XKDuasLSjmBRMI/edit#gid=1241094406"",""COMBINED DATA!E3:L""),{7,8},0)))"),0.39986)</f>
        <v>0.39986</v>
      </c>
      <c r="H250" s="76">
        <f>IFERROR(__xludf.DUMMYFUNCTION("""COMPUTED_VALUE"""),0.0)</f>
        <v>0</v>
      </c>
      <c r="I250" s="76">
        <f t="shared" si="141"/>
        <v>0.39986</v>
      </c>
      <c r="J250" s="84">
        <f t="shared" si="142"/>
        <v>1135.397389</v>
      </c>
      <c r="K250" s="85">
        <f t="shared" si="143"/>
        <v>39.986</v>
      </c>
      <c r="L250" s="85">
        <f t="shared" si="144"/>
        <v>0</v>
      </c>
      <c r="M250" s="85">
        <f t="shared" si="145"/>
        <v>39.986</v>
      </c>
      <c r="N250" s="85">
        <f t="shared" si="7"/>
        <v>11.35397389</v>
      </c>
      <c r="O250" s="310">
        <v>454.0</v>
      </c>
      <c r="P250" s="75"/>
      <c r="Q250" s="85"/>
      <c r="R250" s="85"/>
      <c r="S250" s="20"/>
      <c r="T250" s="20"/>
      <c r="U250" s="16"/>
      <c r="V250" s="16"/>
      <c r="W250" s="16"/>
      <c r="X250" s="16"/>
      <c r="Y250" s="16"/>
      <c r="Z250" s="16"/>
    </row>
    <row r="251" ht="15.75" customHeight="1">
      <c r="A251" s="67" t="str">
        <f t="shared" si="140"/>
        <v>Ball Valve Threaded Butterfly Handle (SCH-80)2</v>
      </c>
      <c r="B251" s="150">
        <v>6.0</v>
      </c>
      <c r="C251" s="92">
        <v>2.0</v>
      </c>
      <c r="D251" s="92">
        <v>50.0</v>
      </c>
      <c r="E251" s="112" t="s">
        <v>1455</v>
      </c>
      <c r="F251" s="56">
        <v>684.0</v>
      </c>
      <c r="G251" s="76">
        <f>IFERROR(__xludf.DUMMYFUNCTION("ArrayFormula(IFERROR(VLOOKUP(E251,IMPORTRANGE(""https://docs.google.com/spreadsheets/d/1xZyKy-UzMmtPDLpV5jQdYum1LtbR8XKDuasLSjmBRMI/edit#gid=1241094406"",""COMBINED DATA!E3:L""),{7,8},0)))"),0.6015)</f>
        <v>0.6015</v>
      </c>
      <c r="H251" s="76">
        <f>IFERROR(__xludf.DUMMYFUNCTION("""COMPUTED_VALUE"""),0.0)</f>
        <v>0</v>
      </c>
      <c r="I251" s="76">
        <f t="shared" si="141"/>
        <v>0.6015</v>
      </c>
      <c r="J251" s="84">
        <f t="shared" si="142"/>
        <v>1137.157107</v>
      </c>
      <c r="K251" s="85">
        <f t="shared" si="143"/>
        <v>60.15</v>
      </c>
      <c r="L251" s="85">
        <f t="shared" si="144"/>
        <v>0</v>
      </c>
      <c r="M251" s="85">
        <f t="shared" si="145"/>
        <v>60.15</v>
      </c>
      <c r="N251" s="85">
        <f t="shared" si="7"/>
        <v>11.37157107</v>
      </c>
      <c r="O251" s="310">
        <v>684.0</v>
      </c>
      <c r="P251" s="75"/>
      <c r="Q251" s="85"/>
      <c r="R251" s="85"/>
      <c r="S251" s="20"/>
      <c r="T251" s="20"/>
      <c r="U251" s="16"/>
      <c r="V251" s="16"/>
      <c r="W251" s="16"/>
      <c r="X251" s="16"/>
      <c r="Y251" s="16"/>
      <c r="Z251" s="16"/>
    </row>
    <row r="252">
      <c r="A252" s="34"/>
      <c r="B252" s="314" t="s">
        <v>11</v>
      </c>
      <c r="C252" s="273"/>
      <c r="D252" s="273"/>
      <c r="E252" s="180"/>
      <c r="F252" s="315">
        <f>sum(F246:F251)</f>
        <v>1896</v>
      </c>
      <c r="G252" s="250"/>
      <c r="H252" s="243"/>
      <c r="I252" s="243"/>
      <c r="J252" s="243"/>
      <c r="K252" s="85"/>
      <c r="L252" s="85"/>
      <c r="M252" s="85"/>
      <c r="N252" s="85" t="str">
        <f t="shared" si="7"/>
        <v/>
      </c>
      <c r="O252" s="240">
        <f>sum(O246:O251)</f>
        <v>1896</v>
      </c>
      <c r="P252" s="307"/>
      <c r="Q252" s="85"/>
      <c r="R252" s="85"/>
      <c r="S252" s="15"/>
      <c r="T252" s="15"/>
      <c r="U252" s="243"/>
      <c r="V252" s="243"/>
      <c r="W252" s="243"/>
      <c r="X252" s="243"/>
      <c r="Y252" s="243"/>
      <c r="Z252" s="243"/>
    </row>
    <row r="253" ht="6.0" customHeight="1">
      <c r="A253" s="34"/>
      <c r="B253" s="15"/>
      <c r="C253" s="15"/>
      <c r="D253" s="15"/>
      <c r="E253" s="17"/>
      <c r="F253" s="15"/>
      <c r="G253" s="250"/>
      <c r="H253" s="243"/>
      <c r="I253" s="243"/>
      <c r="J253" s="243"/>
      <c r="K253" s="85"/>
      <c r="L253" s="85"/>
      <c r="M253" s="85"/>
      <c r="N253" s="85" t="str">
        <f t="shared" si="7"/>
        <v/>
      </c>
      <c r="O253" s="29"/>
      <c r="P253" s="307"/>
      <c r="Q253" s="85"/>
      <c r="R253" s="85"/>
      <c r="S253" s="15"/>
      <c r="T253" s="15"/>
      <c r="U253" s="243"/>
      <c r="V253" s="243"/>
      <c r="W253" s="243"/>
      <c r="X253" s="243"/>
      <c r="Y253" s="243"/>
      <c r="Z253" s="243"/>
    </row>
    <row r="254" ht="22.5" customHeight="1">
      <c r="A254" s="34"/>
      <c r="B254" s="339" t="s">
        <v>1456</v>
      </c>
      <c r="C254" s="45"/>
      <c r="D254" s="45"/>
      <c r="E254" s="45"/>
      <c r="F254" s="46"/>
      <c r="G254" s="250"/>
      <c r="H254" s="243"/>
      <c r="I254" s="243"/>
      <c r="J254" s="243"/>
      <c r="K254" s="85"/>
      <c r="L254" s="85"/>
      <c r="M254" s="85"/>
      <c r="N254" s="85" t="str">
        <f t="shared" si="7"/>
        <v/>
      </c>
      <c r="O254" s="29"/>
      <c r="P254" s="307"/>
      <c r="Q254" s="85"/>
      <c r="R254" s="85"/>
      <c r="S254" s="15"/>
      <c r="T254" s="15"/>
      <c r="U254" s="243"/>
      <c r="V254" s="243"/>
      <c r="W254" s="243"/>
      <c r="X254" s="243"/>
      <c r="Y254" s="243"/>
      <c r="Z254" s="243"/>
    </row>
    <row r="255" ht="15.75" customHeight="1">
      <c r="A255" s="67" t="str">
        <f t="shared" ref="A255:A260" si="146">$B$254&amp;C255</f>
        <v>Ball Valve Long Lever Handle (SCH-80)1⁄2</v>
      </c>
      <c r="B255" s="150">
        <v>1.0</v>
      </c>
      <c r="C255" s="92" t="s">
        <v>43</v>
      </c>
      <c r="D255" s="92">
        <v>15.0</v>
      </c>
      <c r="E255" s="153" t="s">
        <v>1457</v>
      </c>
      <c r="F255" s="56">
        <v>78.0</v>
      </c>
      <c r="G255" s="76">
        <f>IFERROR(__xludf.DUMMYFUNCTION("ArrayFormula(IFERROR(VLOOKUP(E255,IMPORTRANGE(""https://docs.google.com/spreadsheets/d/1xZyKy-UzMmtPDLpV5jQdYum1LtbR8XKDuasLSjmBRMI/edit#gid=1241094406"",""COMBINED DATA!E3:L""),{7,8},0)))"),0.07354000000000001)</f>
        <v>0.07354</v>
      </c>
      <c r="H255" s="76">
        <f>IFERROR(__xludf.DUMMYFUNCTION("""COMPUTED_VALUE"""),0.0)</f>
        <v>0</v>
      </c>
      <c r="I255" s="76">
        <f t="shared" ref="I255:I260" si="147">G255+H255</f>
        <v>0.07354</v>
      </c>
      <c r="J255" s="84">
        <f t="shared" ref="J255:J260" si="148">IFERROR(F255/I255,"")</f>
        <v>1060.647267</v>
      </c>
      <c r="K255" s="85">
        <f t="shared" ref="K255:K260" si="149">IFERROR(G255*100,)</f>
        <v>7.354</v>
      </c>
      <c r="L255" s="85">
        <f t="shared" ref="L255:L260" si="150">IFERROR(H255*725,)</f>
        <v>0</v>
      </c>
      <c r="M255" s="85">
        <f t="shared" ref="M255:M260" si="151">IFERROR(K255+L255,"")</f>
        <v>7.354</v>
      </c>
      <c r="N255" s="85">
        <f t="shared" si="7"/>
        <v>10.60647267</v>
      </c>
      <c r="O255" s="310">
        <v>78.0</v>
      </c>
      <c r="P255" s="75"/>
      <c r="Q255" s="85"/>
      <c r="R255" s="85"/>
      <c r="S255" s="20"/>
      <c r="T255" s="20"/>
      <c r="U255" s="16"/>
      <c r="V255" s="16"/>
      <c r="W255" s="16"/>
      <c r="X255" s="16"/>
      <c r="Y255" s="16"/>
      <c r="Z255" s="16"/>
    </row>
    <row r="256" ht="15.75" customHeight="1">
      <c r="A256" s="67" t="str">
        <f t="shared" si="146"/>
        <v>Ball Valve Long Lever Handle (SCH-80)3⁄4</v>
      </c>
      <c r="B256" s="150">
        <v>2.0</v>
      </c>
      <c r="C256" s="92" t="s">
        <v>51</v>
      </c>
      <c r="D256" s="92">
        <v>20.0</v>
      </c>
      <c r="E256" s="153" t="s">
        <v>1460</v>
      </c>
      <c r="F256" s="56">
        <v>120.0</v>
      </c>
      <c r="G256" s="76">
        <f>IFERROR(__xludf.DUMMYFUNCTION("ArrayFormula(IFERROR(VLOOKUP(E256,IMPORTRANGE(""https://docs.google.com/spreadsheets/d/1xZyKy-UzMmtPDLpV5jQdYum1LtbR8XKDuasLSjmBRMI/edit#gid=1241094406"",""COMBINED DATA!E3:L""),{7,8},0)))"),0.11699)</f>
        <v>0.11699</v>
      </c>
      <c r="H256" s="76">
        <f>IFERROR(__xludf.DUMMYFUNCTION("""COMPUTED_VALUE"""),0.0)</f>
        <v>0</v>
      </c>
      <c r="I256" s="76">
        <f t="shared" si="147"/>
        <v>0.11699</v>
      </c>
      <c r="J256" s="84">
        <f t="shared" si="148"/>
        <v>1025.728695</v>
      </c>
      <c r="K256" s="85">
        <f t="shared" si="149"/>
        <v>11.699</v>
      </c>
      <c r="L256" s="85">
        <f t="shared" si="150"/>
        <v>0</v>
      </c>
      <c r="M256" s="85">
        <f t="shared" si="151"/>
        <v>11.699</v>
      </c>
      <c r="N256" s="85">
        <f t="shared" si="7"/>
        <v>10.25728695</v>
      </c>
      <c r="O256" s="310">
        <v>120.0</v>
      </c>
      <c r="P256" s="75"/>
      <c r="Q256" s="85"/>
      <c r="R256" s="85"/>
      <c r="S256" s="20"/>
      <c r="T256" s="20"/>
      <c r="U256" s="16"/>
      <c r="V256" s="16"/>
      <c r="W256" s="16"/>
      <c r="X256" s="16"/>
      <c r="Y256" s="16"/>
      <c r="Z256" s="16"/>
    </row>
    <row r="257" ht="15.75" customHeight="1">
      <c r="A257" s="67" t="str">
        <f t="shared" si="146"/>
        <v>Ball Valve Long Lever Handle (SCH-80)1</v>
      </c>
      <c r="B257" s="150">
        <v>3.0</v>
      </c>
      <c r="C257" s="92">
        <v>1.0</v>
      </c>
      <c r="D257" s="92">
        <v>25.0</v>
      </c>
      <c r="E257" s="153" t="s">
        <v>1461</v>
      </c>
      <c r="F257" s="56">
        <v>224.0</v>
      </c>
      <c r="G257" s="76">
        <f>IFERROR(__xludf.DUMMYFUNCTION("ArrayFormula(IFERROR(VLOOKUP(E257,IMPORTRANGE(""https://docs.google.com/spreadsheets/d/1xZyKy-UzMmtPDLpV5jQdYum1LtbR8XKDuasLSjmBRMI/edit#gid=1241094406"",""COMBINED DATA!E3:L""),{7,8},0)))"),0.19097)</f>
        <v>0.19097</v>
      </c>
      <c r="H257" s="76">
        <f>IFERROR(__xludf.DUMMYFUNCTION("""COMPUTED_VALUE"""),0.0)</f>
        <v>0</v>
      </c>
      <c r="I257" s="76">
        <f t="shared" si="147"/>
        <v>0.19097</v>
      </c>
      <c r="J257" s="84">
        <f t="shared" si="148"/>
        <v>1172.959104</v>
      </c>
      <c r="K257" s="85">
        <f t="shared" si="149"/>
        <v>19.097</v>
      </c>
      <c r="L257" s="85">
        <f t="shared" si="150"/>
        <v>0</v>
      </c>
      <c r="M257" s="85">
        <f t="shared" si="151"/>
        <v>19.097</v>
      </c>
      <c r="N257" s="85">
        <f t="shared" si="7"/>
        <v>11.72959104</v>
      </c>
      <c r="O257" s="310">
        <v>224.0</v>
      </c>
      <c r="P257" s="75"/>
      <c r="Q257" s="85"/>
      <c r="R257" s="85"/>
      <c r="S257" s="20"/>
      <c r="T257" s="20"/>
      <c r="U257" s="16"/>
      <c r="V257" s="16"/>
      <c r="W257" s="16"/>
      <c r="X257" s="16"/>
      <c r="Y257" s="16"/>
      <c r="Z257" s="16"/>
    </row>
    <row r="258" ht="15.75" customHeight="1">
      <c r="A258" s="67" t="str">
        <f t="shared" si="146"/>
        <v>Ball Valve Long Lever Handle (SCH-80)1 1⁄4</v>
      </c>
      <c r="B258" s="150">
        <v>4.0</v>
      </c>
      <c r="C258" s="92" t="s">
        <v>55</v>
      </c>
      <c r="D258" s="92">
        <v>32.0</v>
      </c>
      <c r="E258" s="153" t="s">
        <v>1463</v>
      </c>
      <c r="F258" s="56">
        <v>296.0</v>
      </c>
      <c r="G258" s="76">
        <f>IFERROR(__xludf.DUMMYFUNCTION("ArrayFormula(IFERROR(VLOOKUP(E258,IMPORTRANGE(""https://docs.google.com/spreadsheets/d/1xZyKy-UzMmtPDLpV5jQdYum1LtbR8XKDuasLSjmBRMI/edit#gid=1241094406"",""COMBINED DATA!E3:L""),{7,8},0)))"),0.27331)</f>
        <v>0.27331</v>
      </c>
      <c r="H258" s="76">
        <f>IFERROR(__xludf.DUMMYFUNCTION("""COMPUTED_VALUE"""),0.0)</f>
        <v>0</v>
      </c>
      <c r="I258" s="76">
        <f t="shared" si="147"/>
        <v>0.27331</v>
      </c>
      <c r="J258" s="84">
        <f t="shared" si="148"/>
        <v>1083.019282</v>
      </c>
      <c r="K258" s="85">
        <f t="shared" si="149"/>
        <v>27.331</v>
      </c>
      <c r="L258" s="85">
        <f t="shared" si="150"/>
        <v>0</v>
      </c>
      <c r="M258" s="85">
        <f t="shared" si="151"/>
        <v>27.331</v>
      </c>
      <c r="N258" s="85">
        <f t="shared" si="7"/>
        <v>10.83019282</v>
      </c>
      <c r="O258" s="310">
        <v>296.0</v>
      </c>
      <c r="P258" s="75"/>
      <c r="Q258" s="85"/>
      <c r="R258" s="85"/>
      <c r="S258" s="20"/>
      <c r="T258" s="20"/>
      <c r="U258" s="16"/>
      <c r="V258" s="16"/>
      <c r="W258" s="16"/>
      <c r="X258" s="16"/>
      <c r="Y258" s="16"/>
      <c r="Z258" s="16"/>
    </row>
    <row r="259" ht="15.75" customHeight="1">
      <c r="A259" s="67" t="str">
        <f t="shared" si="146"/>
        <v>Ball Valve Long Lever Handle (SCH-80)1 1⁄2</v>
      </c>
      <c r="B259" s="150">
        <v>5.0</v>
      </c>
      <c r="C259" s="92" t="s">
        <v>56</v>
      </c>
      <c r="D259" s="92">
        <v>40.0</v>
      </c>
      <c r="E259" s="153" t="s">
        <v>1465</v>
      </c>
      <c r="F259" s="56">
        <v>438.0</v>
      </c>
      <c r="G259" s="76">
        <f>IFERROR(__xludf.DUMMYFUNCTION("ArrayFormula(IFERROR(VLOOKUP(E259,IMPORTRANGE(""https://docs.google.com/spreadsheets/d/1xZyKy-UzMmtPDLpV5jQdYum1LtbR8XKDuasLSjmBRMI/edit#gid=1241094406"",""COMBINED DATA!E3:L""),{7,8},0)))"),0.37495999999999996)</f>
        <v>0.37496</v>
      </c>
      <c r="H259" s="76">
        <f>IFERROR(__xludf.DUMMYFUNCTION("""COMPUTED_VALUE"""),0.0)</f>
        <v>0</v>
      </c>
      <c r="I259" s="76">
        <f t="shared" si="147"/>
        <v>0.37496</v>
      </c>
      <c r="J259" s="84">
        <f t="shared" si="148"/>
        <v>1168.1246</v>
      </c>
      <c r="K259" s="85">
        <f t="shared" si="149"/>
        <v>37.496</v>
      </c>
      <c r="L259" s="85">
        <f t="shared" si="150"/>
        <v>0</v>
      </c>
      <c r="M259" s="85">
        <f t="shared" si="151"/>
        <v>37.496</v>
      </c>
      <c r="N259" s="85">
        <f t="shared" si="7"/>
        <v>11.681246</v>
      </c>
      <c r="O259" s="310">
        <v>438.0</v>
      </c>
      <c r="P259" s="75"/>
      <c r="Q259" s="85"/>
      <c r="R259" s="85"/>
      <c r="S259" s="20"/>
      <c r="T259" s="20"/>
      <c r="U259" s="16"/>
      <c r="V259" s="16"/>
      <c r="W259" s="16"/>
      <c r="X259" s="16"/>
      <c r="Y259" s="16"/>
      <c r="Z259" s="16"/>
    </row>
    <row r="260" ht="15.75" customHeight="1">
      <c r="A260" s="67" t="str">
        <f t="shared" si="146"/>
        <v>Ball Valve Long Lever Handle (SCH-80)2</v>
      </c>
      <c r="B260" s="150">
        <v>6.0</v>
      </c>
      <c r="C260" s="92">
        <v>2.0</v>
      </c>
      <c r="D260" s="92">
        <v>50.0</v>
      </c>
      <c r="E260" s="153" t="s">
        <v>1466</v>
      </c>
      <c r="F260" s="56">
        <v>668.0</v>
      </c>
      <c r="G260" s="76">
        <f>IFERROR(__xludf.DUMMYFUNCTION("ArrayFormula(IFERROR(VLOOKUP(E260,IMPORTRANGE(""https://docs.google.com/spreadsheets/d/1xZyKy-UzMmtPDLpV5jQdYum1LtbR8XKDuasLSjmBRMI/edit#gid=1241094406"",""COMBINED DATA!E3:L""),{7,8},0)))"),0.6015)</f>
        <v>0.6015</v>
      </c>
      <c r="H260" s="76">
        <f>IFERROR(__xludf.DUMMYFUNCTION("""COMPUTED_VALUE"""),0.0)</f>
        <v>0</v>
      </c>
      <c r="I260" s="76">
        <f t="shared" si="147"/>
        <v>0.6015</v>
      </c>
      <c r="J260" s="84">
        <f t="shared" si="148"/>
        <v>1110.556941</v>
      </c>
      <c r="K260" s="85">
        <f t="shared" si="149"/>
        <v>60.15</v>
      </c>
      <c r="L260" s="85">
        <f t="shared" si="150"/>
        <v>0</v>
      </c>
      <c r="M260" s="85">
        <f t="shared" si="151"/>
        <v>60.15</v>
      </c>
      <c r="N260" s="85">
        <f t="shared" si="7"/>
        <v>11.10556941</v>
      </c>
      <c r="O260" s="310">
        <v>668.0</v>
      </c>
      <c r="P260" s="75"/>
      <c r="Q260" s="85"/>
      <c r="R260" s="85"/>
      <c r="S260" s="20"/>
      <c r="T260" s="20"/>
      <c r="U260" s="16"/>
      <c r="V260" s="16"/>
      <c r="W260" s="16"/>
      <c r="X260" s="16"/>
      <c r="Y260" s="16"/>
      <c r="Z260" s="16"/>
    </row>
    <row r="261">
      <c r="A261" s="34"/>
      <c r="B261" s="314" t="s">
        <v>11</v>
      </c>
      <c r="C261" s="273"/>
      <c r="D261" s="273"/>
      <c r="E261" s="180"/>
      <c r="F261" s="315">
        <f>sum(F255:F260)</f>
        <v>1824</v>
      </c>
      <c r="G261" s="250"/>
      <c r="H261" s="243"/>
      <c r="I261" s="243"/>
      <c r="J261" s="243"/>
      <c r="K261" s="85"/>
      <c r="L261" s="85"/>
      <c r="M261" s="85"/>
      <c r="N261" s="85" t="str">
        <f t="shared" si="7"/>
        <v/>
      </c>
      <c r="O261" s="240">
        <f>sum(O255:O260)</f>
        <v>1824</v>
      </c>
      <c r="P261" s="307"/>
      <c r="Q261" s="85"/>
      <c r="R261" s="85"/>
      <c r="S261" s="15"/>
      <c r="T261" s="15"/>
      <c r="U261" s="243"/>
      <c r="V261" s="243"/>
      <c r="W261" s="243"/>
      <c r="X261" s="243"/>
      <c r="Y261" s="243"/>
      <c r="Z261" s="243"/>
    </row>
    <row r="262" ht="6.0" customHeight="1">
      <c r="A262" s="34"/>
      <c r="B262" s="15"/>
      <c r="C262" s="15"/>
      <c r="D262" s="15"/>
      <c r="E262" s="17"/>
      <c r="F262" s="15"/>
      <c r="G262" s="250"/>
      <c r="H262" s="243"/>
      <c r="I262" s="243"/>
      <c r="J262" s="243"/>
      <c r="K262" s="85"/>
      <c r="L262" s="85"/>
      <c r="M262" s="85"/>
      <c r="N262" s="85" t="str">
        <f t="shared" si="7"/>
        <v/>
      </c>
      <c r="O262" s="29"/>
      <c r="P262" s="307"/>
      <c r="Q262" s="85"/>
      <c r="R262" s="85"/>
      <c r="S262" s="15"/>
      <c r="T262" s="15"/>
      <c r="U262" s="243"/>
      <c r="V262" s="243"/>
      <c r="W262" s="243"/>
      <c r="X262" s="243"/>
      <c r="Y262" s="243"/>
      <c r="Z262" s="243"/>
    </row>
    <row r="263" ht="22.5" customHeight="1">
      <c r="A263" s="34"/>
      <c r="B263" s="62" t="s">
        <v>1432</v>
      </c>
      <c r="C263" s="45"/>
      <c r="D263" s="45"/>
      <c r="E263" s="45"/>
      <c r="F263" s="46"/>
      <c r="G263" s="250"/>
      <c r="H263" s="243"/>
      <c r="I263" s="243"/>
      <c r="J263" s="243"/>
      <c r="K263" s="85"/>
      <c r="L263" s="85"/>
      <c r="M263" s="85"/>
      <c r="N263" s="85" t="str">
        <f t="shared" si="7"/>
        <v/>
      </c>
      <c r="O263" s="29"/>
      <c r="P263" s="307"/>
      <c r="Q263" s="85"/>
      <c r="R263" s="85"/>
      <c r="S263" s="15"/>
      <c r="T263" s="15"/>
      <c r="U263" s="243"/>
      <c r="V263" s="243"/>
      <c r="W263" s="243"/>
      <c r="X263" s="243"/>
      <c r="Y263" s="243"/>
      <c r="Z263" s="243"/>
    </row>
    <row r="264" ht="15.75" customHeight="1">
      <c r="A264" s="67" t="str">
        <f t="shared" ref="A264:A268" si="152">$B$263&amp;C264</f>
        <v>Ball Valve Butterfly Handle (SCH-80)3⁄4</v>
      </c>
      <c r="B264" s="68">
        <v>1.0</v>
      </c>
      <c r="C264" s="70" t="s">
        <v>51</v>
      </c>
      <c r="D264" s="70">
        <v>20.0</v>
      </c>
      <c r="E264" s="111" t="s">
        <v>1470</v>
      </c>
      <c r="F264" s="56">
        <v>132.0</v>
      </c>
      <c r="G264" s="76">
        <f>IFERROR(__xludf.DUMMYFUNCTION("ArrayFormula(IFERROR(VLOOKUP(E264,IMPORTRANGE(""https://docs.google.com/spreadsheets/d/1xZyKy-UzMmtPDLpV5jQdYum1LtbR8XKDuasLSjmBRMI/edit#gid=1241094406"",""COMBINED DATA!E3:L""),{7,8},0)))"),0.11225)</f>
        <v>0.11225</v>
      </c>
      <c r="H264" s="76">
        <f>IFERROR(__xludf.DUMMYFUNCTION("""COMPUTED_VALUE"""),0.0)</f>
        <v>0</v>
      </c>
      <c r="I264" s="76">
        <f t="shared" ref="I264:I268" si="153">G264+H264</f>
        <v>0.11225</v>
      </c>
      <c r="J264" s="84">
        <f t="shared" ref="J264:J268" si="154">IFERROR(F264/I264,"")</f>
        <v>1175.946548</v>
      </c>
      <c r="K264" s="85">
        <f t="shared" ref="K264:K268" si="155">IFERROR(G264*100,)</f>
        <v>11.225</v>
      </c>
      <c r="L264" s="85">
        <f t="shared" ref="L264:L268" si="156">IFERROR(H264*725,)</f>
        <v>0</v>
      </c>
      <c r="M264" s="85">
        <f t="shared" ref="M264:M268" si="157">IFERROR(K264+L264,"")</f>
        <v>11.225</v>
      </c>
      <c r="N264" s="85">
        <f t="shared" si="7"/>
        <v>11.75946548</v>
      </c>
      <c r="O264" s="310">
        <v>132.0</v>
      </c>
      <c r="P264" s="75"/>
      <c r="Q264" s="85"/>
      <c r="R264" s="85"/>
      <c r="S264" s="20"/>
      <c r="T264" s="20"/>
      <c r="U264" s="16"/>
      <c r="V264" s="16"/>
      <c r="W264" s="16"/>
      <c r="X264" s="16"/>
      <c r="Y264" s="16"/>
      <c r="Z264" s="16"/>
    </row>
    <row r="265" ht="15.75" customHeight="1">
      <c r="A265" s="67" t="str">
        <f t="shared" si="152"/>
        <v>Ball Valve Butterfly Handle (SCH-80)1</v>
      </c>
      <c r="B265" s="90">
        <v>2.0</v>
      </c>
      <c r="C265" s="92">
        <v>1.0</v>
      </c>
      <c r="D265" s="92">
        <v>25.0</v>
      </c>
      <c r="E265" s="112" t="s">
        <v>1472</v>
      </c>
      <c r="F265" s="56">
        <v>234.0</v>
      </c>
      <c r="G265" s="76">
        <f>IFERROR(__xludf.DUMMYFUNCTION("ArrayFormula(IFERROR(VLOOKUP(E265,IMPORTRANGE(""https://docs.google.com/spreadsheets/d/1xZyKy-UzMmtPDLpV5jQdYum1LtbR8XKDuasLSjmBRMI/edit#gid=1241094406"",""COMBINED DATA!E3:L""),{7,8},0)))"),0.173)</f>
        <v>0.173</v>
      </c>
      <c r="H265" s="76">
        <f>IFERROR(__xludf.DUMMYFUNCTION("""COMPUTED_VALUE"""),0.0)</f>
        <v>0</v>
      </c>
      <c r="I265" s="76">
        <f t="shared" si="153"/>
        <v>0.173</v>
      </c>
      <c r="J265" s="84">
        <f t="shared" si="154"/>
        <v>1352.601156</v>
      </c>
      <c r="K265" s="85">
        <f t="shared" si="155"/>
        <v>17.3</v>
      </c>
      <c r="L265" s="85">
        <f t="shared" si="156"/>
        <v>0</v>
      </c>
      <c r="M265" s="85">
        <f t="shared" si="157"/>
        <v>17.3</v>
      </c>
      <c r="N265" s="85">
        <f t="shared" si="7"/>
        <v>13.52601156</v>
      </c>
      <c r="O265" s="310">
        <v>234.0</v>
      </c>
      <c r="P265" s="75"/>
      <c r="Q265" s="85"/>
      <c r="R265" s="85"/>
      <c r="S265" s="20"/>
      <c r="T265" s="20"/>
      <c r="U265" s="16"/>
      <c r="V265" s="16"/>
      <c r="W265" s="16"/>
      <c r="X265" s="16"/>
      <c r="Y265" s="16"/>
      <c r="Z265" s="16"/>
    </row>
    <row r="266" ht="15.75" customHeight="1">
      <c r="A266" s="67" t="str">
        <f t="shared" si="152"/>
        <v>Ball Valve Butterfly Handle (SCH-80)1 1⁄4</v>
      </c>
      <c r="B266" s="90">
        <v>3.0</v>
      </c>
      <c r="C266" s="92" t="s">
        <v>55</v>
      </c>
      <c r="D266" s="92">
        <v>32.0</v>
      </c>
      <c r="E266" s="112" t="s">
        <v>1473</v>
      </c>
      <c r="F266" s="56">
        <v>308.0</v>
      </c>
      <c r="G266" s="76">
        <f>IFERROR(__xludf.DUMMYFUNCTION("ArrayFormula(IFERROR(VLOOKUP(E266,IMPORTRANGE(""https://docs.google.com/spreadsheets/d/1xZyKy-UzMmtPDLpV5jQdYum1LtbR8XKDuasLSjmBRMI/edit#gid=1241094406"",""COMBINED DATA!E3:L""),{7,8},0)))"),0.27825)</f>
        <v>0.27825</v>
      </c>
      <c r="H266" s="76">
        <f>IFERROR(__xludf.DUMMYFUNCTION("""COMPUTED_VALUE"""),0.0)</f>
        <v>0</v>
      </c>
      <c r="I266" s="76">
        <f t="shared" si="153"/>
        <v>0.27825</v>
      </c>
      <c r="J266" s="84">
        <f t="shared" si="154"/>
        <v>1106.918239</v>
      </c>
      <c r="K266" s="85">
        <f t="shared" si="155"/>
        <v>27.825</v>
      </c>
      <c r="L266" s="85">
        <f t="shared" si="156"/>
        <v>0</v>
      </c>
      <c r="M266" s="85">
        <f t="shared" si="157"/>
        <v>27.825</v>
      </c>
      <c r="N266" s="85">
        <f t="shared" si="7"/>
        <v>11.06918239</v>
      </c>
      <c r="O266" s="310">
        <v>308.0</v>
      </c>
      <c r="P266" s="75"/>
      <c r="Q266" s="85"/>
      <c r="R266" s="85"/>
      <c r="S266" s="20"/>
      <c r="T266" s="20"/>
      <c r="U266" s="16"/>
      <c r="V266" s="16"/>
      <c r="W266" s="16"/>
      <c r="X266" s="16"/>
      <c r="Y266" s="16"/>
      <c r="Z266" s="16"/>
    </row>
    <row r="267" ht="15.75" customHeight="1">
      <c r="A267" s="67" t="str">
        <f t="shared" si="152"/>
        <v>Ball Valve Butterfly Handle (SCH-80)1 1⁄2</v>
      </c>
      <c r="B267" s="90">
        <v>4.0</v>
      </c>
      <c r="C267" s="92" t="s">
        <v>56</v>
      </c>
      <c r="D267" s="92">
        <v>40.0</v>
      </c>
      <c r="E267" s="112" t="s">
        <v>1474</v>
      </c>
      <c r="F267" s="56">
        <v>454.0</v>
      </c>
      <c r="G267" s="76">
        <f>IFERROR(__xludf.DUMMYFUNCTION("ArrayFormula(IFERROR(VLOOKUP(E267,IMPORTRANGE(""https://docs.google.com/spreadsheets/d/1xZyKy-UzMmtPDLpV5jQdYum1LtbR8XKDuasLSjmBRMI/edit#gid=1241094406"",""COMBINED DATA!E3:L""),{7,8},0)))"),0.44675)</f>
        <v>0.44675</v>
      </c>
      <c r="H267" s="76">
        <f>IFERROR(__xludf.DUMMYFUNCTION("""COMPUTED_VALUE"""),0.0)</f>
        <v>0</v>
      </c>
      <c r="I267" s="76">
        <f t="shared" si="153"/>
        <v>0.44675</v>
      </c>
      <c r="J267" s="84">
        <f t="shared" si="154"/>
        <v>1016.228316</v>
      </c>
      <c r="K267" s="85">
        <f t="shared" si="155"/>
        <v>44.675</v>
      </c>
      <c r="L267" s="85">
        <f t="shared" si="156"/>
        <v>0</v>
      </c>
      <c r="M267" s="85">
        <f t="shared" si="157"/>
        <v>44.675</v>
      </c>
      <c r="N267" s="85">
        <f t="shared" si="7"/>
        <v>10.16228316</v>
      </c>
      <c r="O267" s="310">
        <v>454.0</v>
      </c>
      <c r="P267" s="75"/>
      <c r="Q267" s="85"/>
      <c r="R267" s="85"/>
      <c r="S267" s="20"/>
      <c r="T267" s="20"/>
      <c r="U267" s="16"/>
      <c r="V267" s="16"/>
      <c r="W267" s="16"/>
      <c r="X267" s="16"/>
      <c r="Y267" s="16"/>
      <c r="Z267" s="16"/>
    </row>
    <row r="268" ht="15.75" customHeight="1">
      <c r="A268" s="67" t="str">
        <f t="shared" si="152"/>
        <v>Ball Valve Butterfly Handle (SCH-80)2</v>
      </c>
      <c r="B268" s="90">
        <v>5.0</v>
      </c>
      <c r="C268" s="92">
        <v>2.0</v>
      </c>
      <c r="D268" s="92">
        <v>50.0</v>
      </c>
      <c r="E268" s="112" t="s">
        <v>1475</v>
      </c>
      <c r="F268" s="56">
        <v>684.0</v>
      </c>
      <c r="G268" s="76">
        <f>IFERROR(__xludf.DUMMYFUNCTION("ArrayFormula(IFERROR(VLOOKUP(E268,IMPORTRANGE(""https://docs.google.com/spreadsheets/d/1xZyKy-UzMmtPDLpV5jQdYum1LtbR8XKDuasLSjmBRMI/edit#gid=1241094406"",""COMBINED DATA!E3:L""),{7,8},0)))"),0.0)</f>
        <v>0</v>
      </c>
      <c r="H268" s="76">
        <f>IFERROR(__xludf.DUMMYFUNCTION("""COMPUTED_VALUE"""),0.0)</f>
        <v>0</v>
      </c>
      <c r="I268" s="76">
        <f t="shared" si="153"/>
        <v>0</v>
      </c>
      <c r="J268" s="84" t="str">
        <f t="shared" si="154"/>
        <v/>
      </c>
      <c r="K268" s="85">
        <f t="shared" si="155"/>
        <v>0</v>
      </c>
      <c r="L268" s="85">
        <f t="shared" si="156"/>
        <v>0</v>
      </c>
      <c r="M268" s="85">
        <f t="shared" si="157"/>
        <v>0</v>
      </c>
      <c r="N268" s="85" t="str">
        <f t="shared" si="7"/>
        <v/>
      </c>
      <c r="O268" s="310">
        <v>684.0</v>
      </c>
      <c r="P268" s="75"/>
      <c r="Q268" s="85"/>
      <c r="R268" s="85"/>
      <c r="S268" s="20"/>
      <c r="T268" s="20"/>
      <c r="U268" s="16"/>
      <c r="V268" s="16"/>
      <c r="W268" s="16"/>
      <c r="X268" s="16"/>
      <c r="Y268" s="16"/>
      <c r="Z268" s="16"/>
    </row>
    <row r="269">
      <c r="A269" s="34"/>
      <c r="B269" s="237" t="s">
        <v>11</v>
      </c>
      <c r="C269" s="45"/>
      <c r="D269" s="45"/>
      <c r="E269" s="46"/>
      <c r="F269" s="103">
        <f>sum(F264:F268)</f>
        <v>1812</v>
      </c>
      <c r="G269" s="250"/>
      <c r="H269" s="243"/>
      <c r="I269" s="243"/>
      <c r="J269" s="243"/>
      <c r="K269" s="85"/>
      <c r="L269" s="85"/>
      <c r="M269" s="85"/>
      <c r="N269" s="85" t="str">
        <f t="shared" si="7"/>
        <v/>
      </c>
      <c r="O269" s="103">
        <f>sum(O264:O268)</f>
        <v>1812</v>
      </c>
      <c r="P269" s="307"/>
      <c r="Q269" s="85"/>
      <c r="R269" s="85"/>
      <c r="S269" s="15"/>
      <c r="T269" s="15"/>
      <c r="U269" s="243"/>
      <c r="V269" s="243"/>
      <c r="W269" s="243"/>
      <c r="X269" s="243"/>
      <c r="Y269" s="243"/>
      <c r="Z269" s="243"/>
    </row>
    <row r="270" ht="6.75" customHeight="1">
      <c r="A270" s="34"/>
      <c r="B270" s="15"/>
      <c r="C270" s="15"/>
      <c r="D270" s="15"/>
      <c r="E270" s="17"/>
      <c r="F270" s="15"/>
      <c r="G270" s="250"/>
      <c r="H270" s="243"/>
      <c r="I270" s="243"/>
      <c r="J270" s="243"/>
      <c r="K270" s="85"/>
      <c r="L270" s="85"/>
      <c r="M270" s="85"/>
      <c r="N270" s="85" t="str">
        <f t="shared" si="7"/>
        <v/>
      </c>
      <c r="O270" s="29"/>
      <c r="P270" s="307"/>
      <c r="Q270" s="85"/>
      <c r="R270" s="85"/>
      <c r="S270" s="15"/>
      <c r="T270" s="15"/>
      <c r="U270" s="243"/>
      <c r="V270" s="243"/>
      <c r="W270" s="243"/>
      <c r="X270" s="243"/>
      <c r="Y270" s="243"/>
      <c r="Z270" s="243"/>
    </row>
    <row r="271" ht="22.5" customHeight="1">
      <c r="A271" s="34"/>
      <c r="B271" s="62" t="s">
        <v>1456</v>
      </c>
      <c r="C271" s="45"/>
      <c r="D271" s="45"/>
      <c r="E271" s="45"/>
      <c r="F271" s="46"/>
      <c r="G271" s="250"/>
      <c r="H271" s="243"/>
      <c r="I271" s="243"/>
      <c r="J271" s="243"/>
      <c r="K271" s="85"/>
      <c r="L271" s="85"/>
      <c r="M271" s="85"/>
      <c r="N271" s="85" t="str">
        <f t="shared" si="7"/>
        <v/>
      </c>
      <c r="O271" s="29"/>
      <c r="P271" s="307"/>
      <c r="Q271" s="85"/>
      <c r="R271" s="85"/>
      <c r="S271" s="15"/>
      <c r="T271" s="15"/>
      <c r="U271" s="243"/>
      <c r="V271" s="243"/>
      <c r="W271" s="243"/>
      <c r="X271" s="243"/>
      <c r="Y271" s="243"/>
      <c r="Z271" s="243"/>
    </row>
    <row r="272" ht="15.75" customHeight="1">
      <c r="A272" s="67" t="str">
        <f t="shared" ref="A272:A276" si="158">$B$271&amp;C272</f>
        <v>Ball Valve Long Lever Handle (SCH-80)3⁄4</v>
      </c>
      <c r="B272" s="68">
        <v>1.0</v>
      </c>
      <c r="C272" s="70" t="s">
        <v>51</v>
      </c>
      <c r="D272" s="70">
        <v>20.0</v>
      </c>
      <c r="E272" s="111" t="s">
        <v>1476</v>
      </c>
      <c r="F272" s="56">
        <v>132.0</v>
      </c>
      <c r="G272" s="76">
        <f>IFERROR(__xludf.DUMMYFUNCTION("ArrayFormula(IFERROR(VLOOKUP(E272,IMPORTRANGE(""https://docs.google.com/spreadsheets/d/1xZyKy-UzMmtPDLpV5jQdYum1LtbR8XKDuasLSjmBRMI/edit#gid=1241094406"",""COMBINED DATA!E3:L""),{7,8},0)))"),0.112)</f>
        <v>0.112</v>
      </c>
      <c r="H272" s="76">
        <f>IFERROR(__xludf.DUMMYFUNCTION("""COMPUTED_VALUE"""),0.0)</f>
        <v>0</v>
      </c>
      <c r="I272" s="76">
        <f t="shared" ref="I272:I276" si="159">G272+H272</f>
        <v>0.112</v>
      </c>
      <c r="J272" s="84">
        <f t="shared" ref="J272:J276" si="160">IFERROR(F272/I272,"")</f>
        <v>1178.571429</v>
      </c>
      <c r="K272" s="85">
        <f t="shared" ref="K272:K276" si="161">IFERROR(G272*100,)</f>
        <v>11.2</v>
      </c>
      <c r="L272" s="85">
        <f t="shared" ref="L272:L276" si="162">IFERROR(H272*725,)</f>
        <v>0</v>
      </c>
      <c r="M272" s="85">
        <f t="shared" ref="M272:M276" si="163">IFERROR(K272+L272,"")</f>
        <v>11.2</v>
      </c>
      <c r="N272" s="85">
        <f t="shared" si="7"/>
        <v>11.78571429</v>
      </c>
      <c r="O272" s="310">
        <v>132.0</v>
      </c>
      <c r="P272" s="75"/>
      <c r="Q272" s="85"/>
      <c r="R272" s="85"/>
      <c r="S272" s="20"/>
      <c r="T272" s="20"/>
      <c r="U272" s="16"/>
      <c r="V272" s="16"/>
      <c r="W272" s="16"/>
      <c r="X272" s="16"/>
      <c r="Y272" s="16"/>
      <c r="Z272" s="16"/>
    </row>
    <row r="273" ht="15.75" customHeight="1">
      <c r="A273" s="67" t="str">
        <f t="shared" si="158"/>
        <v>Ball Valve Long Lever Handle (SCH-80)1</v>
      </c>
      <c r="B273" s="90">
        <v>2.0</v>
      </c>
      <c r="C273" s="92">
        <v>1.0</v>
      </c>
      <c r="D273" s="92">
        <v>25.0</v>
      </c>
      <c r="E273" s="112" t="s">
        <v>1479</v>
      </c>
      <c r="F273" s="56">
        <v>234.0</v>
      </c>
      <c r="G273" s="76">
        <f>IFERROR(__xludf.DUMMYFUNCTION("ArrayFormula(IFERROR(VLOOKUP(E273,IMPORTRANGE(""https://docs.google.com/spreadsheets/d/1xZyKy-UzMmtPDLpV5jQdYum1LtbR8XKDuasLSjmBRMI/edit#gid=1241094406"",""COMBINED DATA!E3:L""),{7,8},0)))"),0.1728)</f>
        <v>0.1728</v>
      </c>
      <c r="H273" s="76">
        <f>IFERROR(__xludf.DUMMYFUNCTION("""COMPUTED_VALUE"""),0.0)</f>
        <v>0</v>
      </c>
      <c r="I273" s="76">
        <f t="shared" si="159"/>
        <v>0.1728</v>
      </c>
      <c r="J273" s="84">
        <f t="shared" si="160"/>
        <v>1354.166667</v>
      </c>
      <c r="K273" s="85">
        <f t="shared" si="161"/>
        <v>17.28</v>
      </c>
      <c r="L273" s="85">
        <f t="shared" si="162"/>
        <v>0</v>
      </c>
      <c r="M273" s="85">
        <f t="shared" si="163"/>
        <v>17.28</v>
      </c>
      <c r="N273" s="85">
        <f t="shared" si="7"/>
        <v>13.54166667</v>
      </c>
      <c r="O273" s="310">
        <v>234.0</v>
      </c>
      <c r="P273" s="75"/>
      <c r="Q273" s="85"/>
      <c r="R273" s="85"/>
      <c r="S273" s="20"/>
      <c r="T273" s="20"/>
      <c r="U273" s="16"/>
      <c r="V273" s="16"/>
      <c r="W273" s="16"/>
      <c r="X273" s="16"/>
      <c r="Y273" s="16"/>
      <c r="Z273" s="16"/>
    </row>
    <row r="274" ht="15.75" customHeight="1">
      <c r="A274" s="67" t="str">
        <f t="shared" si="158"/>
        <v>Ball Valve Long Lever Handle (SCH-80)1 1⁄4</v>
      </c>
      <c r="B274" s="90">
        <v>3.0</v>
      </c>
      <c r="C274" s="92" t="s">
        <v>55</v>
      </c>
      <c r="D274" s="92">
        <v>32.0</v>
      </c>
      <c r="E274" s="112" t="s">
        <v>1481</v>
      </c>
      <c r="F274" s="56">
        <v>308.0</v>
      </c>
      <c r="G274" s="76">
        <f>IFERROR(__xludf.DUMMYFUNCTION("ArrayFormula(IFERROR(VLOOKUP(E274,IMPORTRANGE(""https://docs.google.com/spreadsheets/d/1xZyKy-UzMmtPDLpV5jQdYum1LtbR8XKDuasLSjmBRMI/edit#gid=1241094406"",""COMBINED DATA!E3:L""),{7,8},0)))"),0.2769)</f>
        <v>0.2769</v>
      </c>
      <c r="H274" s="76">
        <f>IFERROR(__xludf.DUMMYFUNCTION("""COMPUTED_VALUE"""),0.0)</f>
        <v>0</v>
      </c>
      <c r="I274" s="76">
        <f t="shared" si="159"/>
        <v>0.2769</v>
      </c>
      <c r="J274" s="84">
        <f t="shared" si="160"/>
        <v>1112.314915</v>
      </c>
      <c r="K274" s="85">
        <f t="shared" si="161"/>
        <v>27.69</v>
      </c>
      <c r="L274" s="85">
        <f t="shared" si="162"/>
        <v>0</v>
      </c>
      <c r="M274" s="85">
        <f t="shared" si="163"/>
        <v>27.69</v>
      </c>
      <c r="N274" s="85">
        <f t="shared" si="7"/>
        <v>11.12314915</v>
      </c>
      <c r="O274" s="310">
        <v>308.0</v>
      </c>
      <c r="P274" s="75"/>
      <c r="Q274" s="85"/>
      <c r="R274" s="85"/>
      <c r="S274" s="20"/>
      <c r="T274" s="20"/>
      <c r="U274" s="16"/>
      <c r="V274" s="16"/>
      <c r="W274" s="16"/>
      <c r="X274" s="16"/>
      <c r="Y274" s="16"/>
      <c r="Z274" s="16"/>
    </row>
    <row r="275" ht="15.75" customHeight="1">
      <c r="A275" s="67" t="str">
        <f t="shared" si="158"/>
        <v>Ball Valve Long Lever Handle (SCH-80)1 1⁄2</v>
      </c>
      <c r="B275" s="90">
        <v>4.0</v>
      </c>
      <c r="C275" s="92" t="s">
        <v>56</v>
      </c>
      <c r="D275" s="92">
        <v>40.0</v>
      </c>
      <c r="E275" s="112" t="s">
        <v>1482</v>
      </c>
      <c r="F275" s="56">
        <v>454.0</v>
      </c>
      <c r="G275" s="76">
        <f>IFERROR(__xludf.DUMMYFUNCTION("ArrayFormula(IFERROR(VLOOKUP(E275,IMPORTRANGE(""https://docs.google.com/spreadsheets/d/1xZyKy-UzMmtPDLpV5jQdYum1LtbR8XKDuasLSjmBRMI/edit#gid=1241094406"",""COMBINED DATA!E3:L""),{7,8},0)))"),0.4465)</f>
        <v>0.4465</v>
      </c>
      <c r="H275" s="76">
        <f>IFERROR(__xludf.DUMMYFUNCTION("""COMPUTED_VALUE"""),0.0)</f>
        <v>0</v>
      </c>
      <c r="I275" s="76">
        <f t="shared" si="159"/>
        <v>0.4465</v>
      </c>
      <c r="J275" s="84">
        <f t="shared" si="160"/>
        <v>1016.797312</v>
      </c>
      <c r="K275" s="85">
        <f t="shared" si="161"/>
        <v>44.65</v>
      </c>
      <c r="L275" s="85">
        <f t="shared" si="162"/>
        <v>0</v>
      </c>
      <c r="M275" s="85">
        <f t="shared" si="163"/>
        <v>44.65</v>
      </c>
      <c r="N275" s="85">
        <f t="shared" si="7"/>
        <v>10.16797312</v>
      </c>
      <c r="O275" s="310">
        <v>454.0</v>
      </c>
      <c r="P275" s="75"/>
      <c r="Q275" s="85"/>
      <c r="R275" s="85"/>
      <c r="S275" s="20"/>
      <c r="T275" s="20"/>
      <c r="U275" s="16"/>
      <c r="V275" s="16"/>
      <c r="W275" s="16"/>
      <c r="X275" s="16"/>
      <c r="Y275" s="16"/>
      <c r="Z275" s="16"/>
    </row>
    <row r="276" ht="15.75" customHeight="1">
      <c r="A276" s="67" t="str">
        <f t="shared" si="158"/>
        <v>Ball Valve Long Lever Handle (SCH-80)2</v>
      </c>
      <c r="B276" s="90">
        <v>5.0</v>
      </c>
      <c r="C276" s="92">
        <v>2.0</v>
      </c>
      <c r="D276" s="92">
        <v>50.0</v>
      </c>
      <c r="E276" s="112" t="s">
        <v>1484</v>
      </c>
      <c r="F276" s="56">
        <v>684.0</v>
      </c>
      <c r="G276" s="76">
        <f>IFERROR(__xludf.DUMMYFUNCTION("ArrayFormula(IFERROR(VLOOKUP(E276,IMPORTRANGE(""https://docs.google.com/spreadsheets/d/1xZyKy-UzMmtPDLpV5jQdYum1LtbR8XKDuasLSjmBRMI/edit#gid=1241094406"",""COMBINED DATA!E3:L""),{7,8},0)))"),0.0)</f>
        <v>0</v>
      </c>
      <c r="H276" s="76">
        <f>IFERROR(__xludf.DUMMYFUNCTION("""COMPUTED_VALUE"""),0.0)</f>
        <v>0</v>
      </c>
      <c r="I276" s="76">
        <f t="shared" si="159"/>
        <v>0</v>
      </c>
      <c r="J276" s="84" t="str">
        <f t="shared" si="160"/>
        <v/>
      </c>
      <c r="K276" s="85">
        <f t="shared" si="161"/>
        <v>0</v>
      </c>
      <c r="L276" s="85">
        <f t="shared" si="162"/>
        <v>0</v>
      </c>
      <c r="M276" s="85">
        <f t="shared" si="163"/>
        <v>0</v>
      </c>
      <c r="N276" s="85" t="str">
        <f t="shared" si="7"/>
        <v/>
      </c>
      <c r="O276" s="310">
        <v>684.0</v>
      </c>
      <c r="P276" s="75"/>
      <c r="Q276" s="85"/>
      <c r="R276" s="85"/>
      <c r="S276" s="20"/>
      <c r="T276" s="20"/>
      <c r="U276" s="16"/>
      <c r="V276" s="16"/>
      <c r="W276" s="16"/>
      <c r="X276" s="16"/>
      <c r="Y276" s="16"/>
      <c r="Z276" s="16"/>
    </row>
    <row r="277">
      <c r="A277" s="34"/>
      <c r="B277" s="237" t="s">
        <v>11</v>
      </c>
      <c r="C277" s="45"/>
      <c r="D277" s="45"/>
      <c r="E277" s="46"/>
      <c r="F277" s="103">
        <f>sum(F272:F276)</f>
        <v>1812</v>
      </c>
      <c r="G277" s="250"/>
      <c r="H277" s="243"/>
      <c r="I277" s="243"/>
      <c r="J277" s="243"/>
      <c r="K277" s="85"/>
      <c r="L277" s="85"/>
      <c r="M277" s="85"/>
      <c r="N277" s="85" t="str">
        <f t="shared" si="7"/>
        <v/>
      </c>
      <c r="O277" s="103">
        <f>sum(O272:O276)</f>
        <v>1812</v>
      </c>
      <c r="P277" s="307"/>
      <c r="Q277" s="85"/>
      <c r="R277" s="85"/>
      <c r="S277" s="15"/>
      <c r="T277" s="15"/>
      <c r="U277" s="243"/>
      <c r="V277" s="243"/>
      <c r="W277" s="243"/>
      <c r="X277" s="243"/>
      <c r="Y277" s="243"/>
      <c r="Z277" s="243"/>
    </row>
    <row r="278" ht="6.75" customHeight="1">
      <c r="A278" s="34"/>
      <c r="B278" s="15"/>
      <c r="C278" s="15"/>
      <c r="D278" s="15"/>
      <c r="E278" s="17"/>
      <c r="F278" s="15"/>
      <c r="G278" s="250"/>
      <c r="H278" s="243"/>
      <c r="I278" s="243"/>
      <c r="J278" s="243"/>
      <c r="K278" s="85"/>
      <c r="L278" s="85"/>
      <c r="M278" s="85"/>
      <c r="N278" s="85" t="str">
        <f t="shared" si="7"/>
        <v/>
      </c>
      <c r="O278" s="29"/>
      <c r="P278" s="307"/>
      <c r="Q278" s="85"/>
      <c r="R278" s="85"/>
      <c r="S278" s="15"/>
      <c r="T278" s="15"/>
      <c r="U278" s="243"/>
      <c r="V278" s="243"/>
      <c r="W278" s="243"/>
      <c r="X278" s="243"/>
      <c r="Y278" s="243"/>
      <c r="Z278" s="243"/>
    </row>
    <row r="279" ht="22.5" customHeight="1">
      <c r="A279" s="34"/>
      <c r="B279" s="62" t="s">
        <v>1487</v>
      </c>
      <c r="C279" s="45"/>
      <c r="D279" s="45"/>
      <c r="E279" s="45"/>
      <c r="F279" s="46"/>
      <c r="G279" s="250"/>
      <c r="H279" s="243"/>
      <c r="I279" s="243"/>
      <c r="J279" s="243"/>
      <c r="K279" s="85"/>
      <c r="L279" s="85"/>
      <c r="M279" s="85"/>
      <c r="N279" s="85" t="str">
        <f t="shared" si="7"/>
        <v/>
      </c>
      <c r="O279" s="29"/>
      <c r="P279" s="307"/>
      <c r="Q279" s="85"/>
      <c r="R279" s="85"/>
      <c r="S279" s="15"/>
      <c r="T279" s="15"/>
      <c r="U279" s="243"/>
      <c r="V279" s="243"/>
      <c r="W279" s="243"/>
      <c r="X279" s="243"/>
      <c r="Y279" s="243"/>
      <c r="Z279" s="243"/>
    </row>
    <row r="280" ht="15.75" customHeight="1">
      <c r="A280" s="67" t="str">
        <f t="shared" ref="A280:A284" si="164">$B$279&amp;C280</f>
        <v>Tank Nipple (SCH-80)3⁄4</v>
      </c>
      <c r="B280" s="68">
        <v>1.0</v>
      </c>
      <c r="C280" s="70" t="s">
        <v>51</v>
      </c>
      <c r="D280" s="70">
        <v>20.0</v>
      </c>
      <c r="E280" s="111" t="s">
        <v>1488</v>
      </c>
      <c r="F280" s="56">
        <v>46.0</v>
      </c>
      <c r="G280" s="76">
        <f>IFERROR(__xludf.DUMMYFUNCTION("ArrayFormula(IFERROR(VLOOKUP(E280,IMPORTRANGE(""https://docs.google.com/spreadsheets/d/1xZyKy-UzMmtPDLpV5jQdYum1LtbR8XKDuasLSjmBRMI/edit#gid=1241094406"",""COMBINED DATA!E3:L""),{7,8},0)))"),0.0713)</f>
        <v>0.0713</v>
      </c>
      <c r="H280" s="76">
        <f>IFERROR(__xludf.DUMMYFUNCTION("""COMPUTED_VALUE"""),0.01)</f>
        <v>0.01</v>
      </c>
      <c r="I280" s="76">
        <f t="shared" ref="I280:I284" si="165">G280+H280</f>
        <v>0.0813</v>
      </c>
      <c r="J280" s="84">
        <f t="shared" ref="J280:J284" si="166">IFERROR(F280/I280,"")</f>
        <v>565.8056581</v>
      </c>
      <c r="K280" s="85">
        <f t="shared" ref="K280:K284" si="167">IFERROR(G280*100,)</f>
        <v>7.13</v>
      </c>
      <c r="L280" s="85">
        <f t="shared" ref="L280:L284" si="168">IFERROR(H280*725,)</f>
        <v>7.25</v>
      </c>
      <c r="M280" s="85">
        <f t="shared" ref="M280:M284" si="169">IFERROR(K280+L280,"")</f>
        <v>14.38</v>
      </c>
      <c r="N280" s="85">
        <f t="shared" si="7"/>
        <v>3.198887344</v>
      </c>
      <c r="O280" s="310">
        <v>46.0</v>
      </c>
      <c r="P280" s="75"/>
      <c r="Q280" s="85"/>
      <c r="R280" s="85"/>
      <c r="S280" s="20"/>
      <c r="T280" s="20"/>
      <c r="U280" s="16"/>
      <c r="V280" s="16"/>
      <c r="W280" s="16"/>
      <c r="X280" s="16"/>
      <c r="Y280" s="16"/>
      <c r="Z280" s="16"/>
    </row>
    <row r="281" ht="15.75" customHeight="1">
      <c r="A281" s="67" t="str">
        <f t="shared" si="164"/>
        <v>Tank Nipple (SCH-80)1</v>
      </c>
      <c r="B281" s="90">
        <v>2.0</v>
      </c>
      <c r="C281" s="92">
        <v>1.0</v>
      </c>
      <c r="D281" s="92">
        <v>25.0</v>
      </c>
      <c r="E281" s="112" t="s">
        <v>1491</v>
      </c>
      <c r="F281" s="56">
        <v>52.0</v>
      </c>
      <c r="G281" s="76">
        <f>IFERROR(__xludf.DUMMYFUNCTION("ArrayFormula(IFERROR(VLOOKUP(E281,IMPORTRANGE(""https://docs.google.com/spreadsheets/d/1xZyKy-UzMmtPDLpV5jQdYum1LtbR8XKDuasLSjmBRMI/edit#gid=1241094406"",""COMBINED DATA!E3:L""),{7,8},0)))"),0.0785)</f>
        <v>0.0785</v>
      </c>
      <c r="H281" s="76">
        <f>IFERROR(__xludf.DUMMYFUNCTION("""COMPUTED_VALUE"""),0.014)</f>
        <v>0.014</v>
      </c>
      <c r="I281" s="76">
        <f t="shared" si="165"/>
        <v>0.0925</v>
      </c>
      <c r="J281" s="84">
        <f t="shared" si="166"/>
        <v>562.1621622</v>
      </c>
      <c r="K281" s="85">
        <f t="shared" si="167"/>
        <v>7.85</v>
      </c>
      <c r="L281" s="85">
        <f t="shared" si="168"/>
        <v>10.15</v>
      </c>
      <c r="M281" s="85">
        <f t="shared" si="169"/>
        <v>18</v>
      </c>
      <c r="N281" s="85">
        <f t="shared" si="7"/>
        <v>2.888888889</v>
      </c>
      <c r="O281" s="310">
        <v>52.0</v>
      </c>
      <c r="P281" s="75"/>
      <c r="Q281" s="85"/>
      <c r="R281" s="85"/>
      <c r="S281" s="20"/>
      <c r="T281" s="20"/>
      <c r="U281" s="16"/>
      <c r="V281" s="16"/>
      <c r="W281" s="16"/>
      <c r="X281" s="16"/>
      <c r="Y281" s="16"/>
      <c r="Z281" s="16"/>
    </row>
    <row r="282" ht="15.75" customHeight="1">
      <c r="A282" s="67" t="str">
        <f t="shared" si="164"/>
        <v>Tank Nipple (SCH-80)1 1⁄4</v>
      </c>
      <c r="B282" s="90">
        <v>3.0</v>
      </c>
      <c r="C282" s="92" t="s">
        <v>55</v>
      </c>
      <c r="D282" s="92">
        <v>32.0</v>
      </c>
      <c r="E282" s="112" t="s">
        <v>1493</v>
      </c>
      <c r="F282" s="56">
        <v>68.0</v>
      </c>
      <c r="G282" s="76">
        <f>IFERROR(__xludf.DUMMYFUNCTION("ArrayFormula(IFERROR(VLOOKUP(E282,IMPORTRANGE(""https://docs.google.com/spreadsheets/d/1xZyKy-UzMmtPDLpV5jQdYum1LtbR8XKDuasLSjmBRMI/edit#gid=1241094406"",""COMBINED DATA!E3:L""),{7,8},0)))"),0.11109999999999999)</f>
        <v>0.1111</v>
      </c>
      <c r="H282" s="76">
        <f>IFERROR(__xludf.DUMMYFUNCTION("""COMPUTED_VALUE"""),0.016)</f>
        <v>0.016</v>
      </c>
      <c r="I282" s="76">
        <f t="shared" si="165"/>
        <v>0.1271</v>
      </c>
      <c r="J282" s="84">
        <f t="shared" si="166"/>
        <v>535.0118017</v>
      </c>
      <c r="K282" s="85">
        <f t="shared" si="167"/>
        <v>11.11</v>
      </c>
      <c r="L282" s="85">
        <f t="shared" si="168"/>
        <v>11.6</v>
      </c>
      <c r="M282" s="85">
        <f t="shared" si="169"/>
        <v>22.71</v>
      </c>
      <c r="N282" s="85">
        <f t="shared" si="7"/>
        <v>2.994275649</v>
      </c>
      <c r="O282" s="310">
        <v>68.0</v>
      </c>
      <c r="P282" s="75"/>
      <c r="Q282" s="85"/>
      <c r="R282" s="85"/>
      <c r="S282" s="20"/>
      <c r="T282" s="20"/>
      <c r="U282" s="16"/>
      <c r="V282" s="16"/>
      <c r="W282" s="16"/>
      <c r="X282" s="16"/>
      <c r="Y282" s="16"/>
      <c r="Z282" s="16"/>
    </row>
    <row r="283" ht="15.75" customHeight="1">
      <c r="A283" s="67" t="str">
        <f t="shared" si="164"/>
        <v>Tank Nipple (SCH-80)1 1⁄2</v>
      </c>
      <c r="B283" s="90">
        <v>4.0</v>
      </c>
      <c r="C283" s="92" t="s">
        <v>56</v>
      </c>
      <c r="D283" s="92">
        <v>40.0</v>
      </c>
      <c r="E283" s="112" t="s">
        <v>1494</v>
      </c>
      <c r="F283" s="56">
        <v>82.0</v>
      </c>
      <c r="G283" s="76">
        <f>IFERROR(__xludf.DUMMYFUNCTION("ArrayFormula(IFERROR(VLOOKUP(E283,IMPORTRANGE(""https://docs.google.com/spreadsheets/d/1xZyKy-UzMmtPDLpV5jQdYum1LtbR8XKDuasLSjmBRMI/edit#gid=1241094406"",""COMBINED DATA!E3:L""),{7,8},0)))"),0.127)</f>
        <v>0.127</v>
      </c>
      <c r="H283" s="76">
        <f>IFERROR(__xludf.DUMMYFUNCTION("""COMPUTED_VALUE"""),0.018)</f>
        <v>0.018</v>
      </c>
      <c r="I283" s="76">
        <f t="shared" si="165"/>
        <v>0.145</v>
      </c>
      <c r="J283" s="84">
        <f t="shared" si="166"/>
        <v>565.5172414</v>
      </c>
      <c r="K283" s="85">
        <f t="shared" si="167"/>
        <v>12.7</v>
      </c>
      <c r="L283" s="85">
        <f t="shared" si="168"/>
        <v>13.05</v>
      </c>
      <c r="M283" s="85">
        <f t="shared" si="169"/>
        <v>25.75</v>
      </c>
      <c r="N283" s="85">
        <f t="shared" si="7"/>
        <v>3.184466019</v>
      </c>
      <c r="O283" s="310">
        <v>82.0</v>
      </c>
      <c r="P283" s="75"/>
      <c r="Q283" s="85"/>
      <c r="R283" s="85"/>
      <c r="S283" s="20"/>
      <c r="T283" s="20"/>
      <c r="U283" s="16"/>
      <c r="V283" s="16"/>
      <c r="W283" s="16"/>
      <c r="X283" s="16"/>
      <c r="Y283" s="16"/>
      <c r="Z283" s="16"/>
    </row>
    <row r="284" ht="15.75" customHeight="1">
      <c r="A284" s="67" t="str">
        <f t="shared" si="164"/>
        <v>Tank Nipple (SCH-80)2</v>
      </c>
      <c r="B284" s="90">
        <v>5.0</v>
      </c>
      <c r="C284" s="92">
        <v>2.0</v>
      </c>
      <c r="D284" s="92">
        <v>50.0</v>
      </c>
      <c r="E284" s="112" t="s">
        <v>1496</v>
      </c>
      <c r="F284" s="56">
        <v>124.0</v>
      </c>
      <c r="G284" s="76">
        <f>IFERROR(__xludf.DUMMYFUNCTION("ArrayFormula(IFERROR(VLOOKUP(E284,IMPORTRANGE(""https://docs.google.com/spreadsheets/d/1xZyKy-UzMmtPDLpV5jQdYum1LtbR8XKDuasLSjmBRMI/edit#gid=1241094406"",""COMBINED DATA!E3:L""),{7,8},0)))"),0.206)</f>
        <v>0.206</v>
      </c>
      <c r="H284" s="76">
        <f>IFERROR(__xludf.DUMMYFUNCTION("""COMPUTED_VALUE"""),0.022)</f>
        <v>0.022</v>
      </c>
      <c r="I284" s="76">
        <f t="shared" si="165"/>
        <v>0.228</v>
      </c>
      <c r="J284" s="84">
        <f t="shared" si="166"/>
        <v>543.8596491</v>
      </c>
      <c r="K284" s="85">
        <f t="shared" si="167"/>
        <v>20.6</v>
      </c>
      <c r="L284" s="85">
        <f t="shared" si="168"/>
        <v>15.95</v>
      </c>
      <c r="M284" s="85">
        <f t="shared" si="169"/>
        <v>36.55</v>
      </c>
      <c r="N284" s="85">
        <f t="shared" si="7"/>
        <v>3.392612859</v>
      </c>
      <c r="O284" s="310">
        <v>124.0</v>
      </c>
      <c r="P284" s="75"/>
      <c r="Q284" s="85"/>
      <c r="R284" s="85"/>
      <c r="S284" s="20"/>
      <c r="T284" s="20"/>
      <c r="U284" s="16"/>
      <c r="V284" s="16"/>
      <c r="W284" s="16"/>
      <c r="X284" s="16"/>
      <c r="Y284" s="16"/>
      <c r="Z284" s="16"/>
    </row>
    <row r="285">
      <c r="A285" s="34"/>
      <c r="B285" s="237" t="s">
        <v>11</v>
      </c>
      <c r="C285" s="45"/>
      <c r="D285" s="45"/>
      <c r="E285" s="46"/>
      <c r="F285" s="103">
        <f>sum(F280:F284)</f>
        <v>372</v>
      </c>
      <c r="G285" s="250"/>
      <c r="H285" s="243"/>
      <c r="I285" s="243"/>
      <c r="J285" s="243"/>
      <c r="K285" s="85"/>
      <c r="L285" s="85"/>
      <c r="M285" s="85"/>
      <c r="N285" s="85" t="str">
        <f t="shared" si="7"/>
        <v/>
      </c>
      <c r="O285" s="103">
        <f>sum(O280:O284)</f>
        <v>372</v>
      </c>
      <c r="P285" s="307"/>
      <c r="Q285" s="85"/>
      <c r="R285" s="85"/>
      <c r="S285" s="15"/>
      <c r="T285" s="15"/>
      <c r="U285" s="243"/>
      <c r="V285" s="243"/>
      <c r="W285" s="243"/>
      <c r="X285" s="243"/>
      <c r="Y285" s="243"/>
      <c r="Z285" s="243"/>
    </row>
    <row r="286" ht="6.0" customHeight="1">
      <c r="A286" s="34"/>
      <c r="B286" s="15"/>
      <c r="C286" s="15"/>
      <c r="D286" s="15"/>
      <c r="E286" s="17"/>
      <c r="F286" s="15"/>
      <c r="G286" s="250"/>
      <c r="H286" s="243"/>
      <c r="I286" s="243"/>
      <c r="J286" s="243"/>
      <c r="K286" s="85"/>
      <c r="L286" s="85"/>
      <c r="M286" s="85"/>
      <c r="N286" s="85" t="str">
        <f t="shared" si="7"/>
        <v/>
      </c>
      <c r="O286" s="29"/>
      <c r="P286" s="307"/>
      <c r="Q286" s="85"/>
      <c r="R286" s="85"/>
      <c r="S286" s="15"/>
      <c r="T286" s="15"/>
      <c r="U286" s="243"/>
      <c r="V286" s="243"/>
      <c r="W286" s="243"/>
      <c r="X286" s="243"/>
      <c r="Y286" s="243"/>
      <c r="Z286" s="243"/>
    </row>
    <row r="287" ht="22.5" customHeight="1">
      <c r="A287" s="34"/>
      <c r="B287" s="62" t="s">
        <v>1498</v>
      </c>
      <c r="C287" s="45"/>
      <c r="D287" s="45"/>
      <c r="E287" s="45"/>
      <c r="F287" s="46"/>
      <c r="G287" s="250"/>
      <c r="H287" s="243"/>
      <c r="I287" s="243"/>
      <c r="J287" s="243"/>
      <c r="K287" s="85"/>
      <c r="L287" s="85"/>
      <c r="M287" s="85"/>
      <c r="N287" s="85" t="str">
        <f t="shared" si="7"/>
        <v/>
      </c>
      <c r="O287" s="29"/>
      <c r="P287" s="307"/>
      <c r="Q287" s="85"/>
      <c r="R287" s="85"/>
      <c r="S287" s="15"/>
      <c r="T287" s="15"/>
      <c r="U287" s="243"/>
      <c r="V287" s="243"/>
      <c r="W287" s="243"/>
      <c r="X287" s="243"/>
      <c r="Y287" s="243"/>
      <c r="Z287" s="243"/>
    </row>
    <row r="288" ht="15.75" customHeight="1">
      <c r="A288" s="67" t="str">
        <f t="shared" ref="A288:A295" si="170">$B$287&amp;C288</f>
        <v>Tank Connector (SCH-80)3⁄4</v>
      </c>
      <c r="B288" s="68">
        <v>1.0</v>
      </c>
      <c r="C288" s="70" t="s">
        <v>51</v>
      </c>
      <c r="D288" s="110">
        <v>20.0</v>
      </c>
      <c r="E288" s="111" t="s">
        <v>1500</v>
      </c>
      <c r="F288" s="56">
        <v>43.699999999999996</v>
      </c>
      <c r="G288" s="76">
        <f>IFERROR(__xludf.DUMMYFUNCTION("ArrayFormula(IFERROR(VLOOKUP(E288,IMPORTRANGE(""https://docs.google.com/spreadsheets/d/1xZyKy-UzMmtPDLpV5jQdYum1LtbR8XKDuasLSjmBRMI/edit#gid=1241094406"",""COMBINED DATA!E3:L""),{7,8},0)))"),0.0708)</f>
        <v>0.0708</v>
      </c>
      <c r="H288" s="76">
        <f>IFERROR(__xludf.DUMMYFUNCTION("""COMPUTED_VALUE"""),0.01)</f>
        <v>0.01</v>
      </c>
      <c r="I288" s="76">
        <f t="shared" ref="I288:I295" si="171">G288+H288</f>
        <v>0.0808</v>
      </c>
      <c r="J288" s="84">
        <f t="shared" ref="J288:J295" si="172">IFERROR(F288/I288,"")</f>
        <v>540.8415842</v>
      </c>
      <c r="K288" s="85">
        <f t="shared" ref="K288:K295" si="173">IFERROR(G288*100,)</f>
        <v>7.08</v>
      </c>
      <c r="L288" s="85">
        <f t="shared" ref="L288:L295" si="174">IFERROR(H288*725,)</f>
        <v>7.25</v>
      </c>
      <c r="M288" s="85">
        <f t="shared" ref="M288:M295" si="175">IFERROR(K288+L288,"")</f>
        <v>14.33</v>
      </c>
      <c r="N288" s="85">
        <f t="shared" si="7"/>
        <v>3.049546406</v>
      </c>
      <c r="O288" s="310">
        <v>43.699999999999996</v>
      </c>
      <c r="P288" s="75"/>
      <c r="Q288" s="85"/>
      <c r="R288" s="85"/>
      <c r="S288" s="20"/>
      <c r="T288" s="20"/>
      <c r="U288" s="16"/>
      <c r="V288" s="16"/>
      <c r="W288" s="16"/>
      <c r="X288" s="16"/>
      <c r="Y288" s="16"/>
      <c r="Z288" s="16"/>
    </row>
    <row r="289" ht="15.75" customHeight="1">
      <c r="A289" s="67" t="str">
        <f t="shared" si="170"/>
        <v>Tank Connector (SCH-80)1</v>
      </c>
      <c r="B289" s="90">
        <v>2.0</v>
      </c>
      <c r="C289" s="92" t="s">
        <v>84</v>
      </c>
      <c r="D289" s="127">
        <v>25.0</v>
      </c>
      <c r="E289" s="112" t="s">
        <v>1505</v>
      </c>
      <c r="F289" s="56">
        <v>49.4</v>
      </c>
      <c r="G289" s="76">
        <f>IFERROR(__xludf.DUMMYFUNCTION("ArrayFormula(IFERROR(VLOOKUP(E289,IMPORTRANGE(""https://docs.google.com/spreadsheets/d/1xZyKy-UzMmtPDLpV5jQdYum1LtbR8XKDuasLSjmBRMI/edit#gid=1241094406"",""COMBINED DATA!E3:L""),{7,8},0)))"),0.0765)</f>
        <v>0.0765</v>
      </c>
      <c r="H289" s="76">
        <f>IFERROR(__xludf.DUMMYFUNCTION("""COMPUTED_VALUE"""),0.013)</f>
        <v>0.013</v>
      </c>
      <c r="I289" s="76">
        <f t="shared" si="171"/>
        <v>0.0895</v>
      </c>
      <c r="J289" s="84">
        <f t="shared" si="172"/>
        <v>551.9553073</v>
      </c>
      <c r="K289" s="85">
        <f t="shared" si="173"/>
        <v>7.65</v>
      </c>
      <c r="L289" s="85">
        <f t="shared" si="174"/>
        <v>9.425</v>
      </c>
      <c r="M289" s="85">
        <f t="shared" si="175"/>
        <v>17.075</v>
      </c>
      <c r="N289" s="85">
        <f t="shared" si="7"/>
        <v>2.893118594</v>
      </c>
      <c r="O289" s="310">
        <v>49.4</v>
      </c>
      <c r="P289" s="75"/>
      <c r="Q289" s="85"/>
      <c r="R289" s="85"/>
      <c r="S289" s="20"/>
      <c r="T289" s="20"/>
      <c r="U289" s="16"/>
      <c r="V289" s="16"/>
      <c r="W289" s="16"/>
      <c r="X289" s="16"/>
      <c r="Y289" s="16"/>
      <c r="Z289" s="16"/>
    </row>
    <row r="290" ht="15.75" customHeight="1">
      <c r="A290" s="67" t="str">
        <f t="shared" si="170"/>
        <v>Tank Connector (SCH-80)1 1⁄4</v>
      </c>
      <c r="B290" s="90">
        <v>3.0</v>
      </c>
      <c r="C290" s="92" t="s">
        <v>55</v>
      </c>
      <c r="D290" s="127">
        <v>32.0</v>
      </c>
      <c r="E290" s="112" t="s">
        <v>1507</v>
      </c>
      <c r="F290" s="56">
        <v>70.3</v>
      </c>
      <c r="G290" s="76">
        <f>IFERROR(__xludf.DUMMYFUNCTION("ArrayFormula(IFERROR(VLOOKUP(E290,IMPORTRANGE(""https://docs.google.com/spreadsheets/d/1xZyKy-UzMmtPDLpV5jQdYum1LtbR8XKDuasLSjmBRMI/edit#gid=1241094406"",""COMBINED DATA!E3:L""),{7,8},0)))"),0.11425)</f>
        <v>0.11425</v>
      </c>
      <c r="H290" s="76">
        <f>IFERROR(__xludf.DUMMYFUNCTION("""COMPUTED_VALUE"""),0.015)</f>
        <v>0.015</v>
      </c>
      <c r="I290" s="76">
        <f t="shared" si="171"/>
        <v>0.12925</v>
      </c>
      <c r="J290" s="84">
        <f t="shared" si="172"/>
        <v>543.9071567</v>
      </c>
      <c r="K290" s="85">
        <f t="shared" si="173"/>
        <v>11.425</v>
      </c>
      <c r="L290" s="85">
        <f t="shared" si="174"/>
        <v>10.875</v>
      </c>
      <c r="M290" s="85">
        <f t="shared" si="175"/>
        <v>22.3</v>
      </c>
      <c r="N290" s="85">
        <f t="shared" si="7"/>
        <v>3.152466368</v>
      </c>
      <c r="O290" s="310">
        <v>70.3</v>
      </c>
      <c r="P290" s="75"/>
      <c r="Q290" s="85"/>
      <c r="R290" s="85"/>
      <c r="S290" s="20"/>
      <c r="T290" s="20"/>
      <c r="U290" s="16"/>
      <c r="V290" s="16"/>
      <c r="W290" s="16"/>
      <c r="X290" s="16"/>
      <c r="Y290" s="16"/>
      <c r="Z290" s="16"/>
    </row>
    <row r="291" ht="15.75" customHeight="1">
      <c r="A291" s="67" t="str">
        <f t="shared" si="170"/>
        <v>Tank Connector (SCH-80)1 1⁄2</v>
      </c>
      <c r="B291" s="90">
        <v>4.0</v>
      </c>
      <c r="C291" s="92" t="s">
        <v>56</v>
      </c>
      <c r="D291" s="127">
        <v>40.0</v>
      </c>
      <c r="E291" s="112" t="s">
        <v>1508</v>
      </c>
      <c r="F291" s="56">
        <v>93.1</v>
      </c>
      <c r="G291" s="76">
        <f>IFERROR(__xludf.DUMMYFUNCTION("ArrayFormula(IFERROR(VLOOKUP(E291,IMPORTRANGE(""https://docs.google.com/spreadsheets/d/1xZyKy-UzMmtPDLpV5jQdYum1LtbR8XKDuasLSjmBRMI/edit#gid=1241094406"",""COMBINED DATA!E3:L""),{7,8},0)))"),0.161)</f>
        <v>0.161</v>
      </c>
      <c r="H291" s="76">
        <f>IFERROR(__xludf.DUMMYFUNCTION("""COMPUTED_VALUE"""),0.017)</f>
        <v>0.017</v>
      </c>
      <c r="I291" s="76">
        <f t="shared" si="171"/>
        <v>0.178</v>
      </c>
      <c r="J291" s="84">
        <f t="shared" si="172"/>
        <v>523.0337079</v>
      </c>
      <c r="K291" s="85">
        <f t="shared" si="173"/>
        <v>16.1</v>
      </c>
      <c r="L291" s="85">
        <f t="shared" si="174"/>
        <v>12.325</v>
      </c>
      <c r="M291" s="85">
        <f t="shared" si="175"/>
        <v>28.425</v>
      </c>
      <c r="N291" s="85">
        <f t="shared" si="7"/>
        <v>3.27528584</v>
      </c>
      <c r="O291" s="310">
        <v>93.1</v>
      </c>
      <c r="P291" s="75"/>
      <c r="Q291" s="85"/>
      <c r="R291" s="85"/>
      <c r="S291" s="20"/>
      <c r="T291" s="20"/>
      <c r="U291" s="16"/>
      <c r="V291" s="16"/>
      <c r="W291" s="16"/>
      <c r="X291" s="16"/>
      <c r="Y291" s="16"/>
      <c r="Z291" s="16"/>
    </row>
    <row r="292" ht="15.75" customHeight="1">
      <c r="A292" s="67" t="str">
        <f t="shared" si="170"/>
        <v>Tank Connector (SCH-80)2</v>
      </c>
      <c r="B292" s="90">
        <v>5.0</v>
      </c>
      <c r="C292" s="92" t="s">
        <v>107</v>
      </c>
      <c r="D292" s="127">
        <v>50.0</v>
      </c>
      <c r="E292" s="112" t="s">
        <v>1510</v>
      </c>
      <c r="F292" s="56">
        <v>131.1</v>
      </c>
      <c r="G292" s="76">
        <f>IFERROR(__xludf.DUMMYFUNCTION("ArrayFormula(IFERROR(VLOOKUP(E292,IMPORTRANGE(""https://docs.google.com/spreadsheets/d/1xZyKy-UzMmtPDLpV5jQdYum1LtbR8XKDuasLSjmBRMI/edit#gid=1241094406"",""COMBINED DATA!E3:L""),{7,8},0)))"),0.223)</f>
        <v>0.223</v>
      </c>
      <c r="H292" s="76">
        <f>IFERROR(__xludf.DUMMYFUNCTION("""COMPUTED_VALUE"""),0.021)</f>
        <v>0.021</v>
      </c>
      <c r="I292" s="76">
        <f t="shared" si="171"/>
        <v>0.244</v>
      </c>
      <c r="J292" s="84">
        <f t="shared" si="172"/>
        <v>537.295082</v>
      </c>
      <c r="K292" s="85">
        <f t="shared" si="173"/>
        <v>22.3</v>
      </c>
      <c r="L292" s="85">
        <f t="shared" si="174"/>
        <v>15.225</v>
      </c>
      <c r="M292" s="85">
        <f t="shared" si="175"/>
        <v>37.525</v>
      </c>
      <c r="N292" s="85">
        <f t="shared" si="7"/>
        <v>3.493670886</v>
      </c>
      <c r="O292" s="310">
        <v>131.1</v>
      </c>
      <c r="P292" s="75"/>
      <c r="Q292" s="85"/>
      <c r="R292" s="85"/>
      <c r="S292" s="20"/>
      <c r="T292" s="20"/>
      <c r="U292" s="16"/>
      <c r="V292" s="16"/>
      <c r="W292" s="16"/>
      <c r="X292" s="16"/>
      <c r="Y292" s="16"/>
      <c r="Z292" s="16"/>
    </row>
    <row r="293" ht="15.75" customHeight="1">
      <c r="A293" s="67" t="str">
        <f t="shared" si="170"/>
        <v>Tank Connector (SCH-80)2 1⁄2</v>
      </c>
      <c r="B293" s="90">
        <v>6.0</v>
      </c>
      <c r="C293" s="127" t="s">
        <v>69</v>
      </c>
      <c r="D293" s="127">
        <v>65.0</v>
      </c>
      <c r="E293" s="112" t="s">
        <v>1511</v>
      </c>
      <c r="F293" s="56">
        <v>393.29999999999995</v>
      </c>
      <c r="G293" s="76">
        <f>IFERROR(__xludf.DUMMYFUNCTION("ArrayFormula(IFERROR(VLOOKUP(E293,IMPORTRANGE(""https://docs.google.com/spreadsheets/d/1xZyKy-UzMmtPDLpV5jQdYum1LtbR8XKDuasLSjmBRMI/edit#gid=1241094406"",""COMBINED DATA!E3:L""),{7,8},0)))"),0.714)</f>
        <v>0.714</v>
      </c>
      <c r="H293" s="76">
        <f>IFERROR(__xludf.DUMMYFUNCTION("""COMPUTED_VALUE"""),0.0)</f>
        <v>0</v>
      </c>
      <c r="I293" s="76">
        <f t="shared" si="171"/>
        <v>0.714</v>
      </c>
      <c r="J293" s="84">
        <f t="shared" si="172"/>
        <v>550.8403361</v>
      </c>
      <c r="K293" s="85">
        <f t="shared" si="173"/>
        <v>71.4</v>
      </c>
      <c r="L293" s="85">
        <f t="shared" si="174"/>
        <v>0</v>
      </c>
      <c r="M293" s="85">
        <f t="shared" si="175"/>
        <v>71.4</v>
      </c>
      <c r="N293" s="85">
        <f t="shared" si="7"/>
        <v>5.508403361</v>
      </c>
      <c r="O293" s="310">
        <v>393.29999999999995</v>
      </c>
      <c r="P293" s="75"/>
      <c r="Q293" s="85"/>
      <c r="R293" s="85"/>
      <c r="S293" s="20"/>
      <c r="T293" s="20"/>
      <c r="U293" s="16"/>
      <c r="V293" s="16"/>
      <c r="W293" s="16"/>
      <c r="X293" s="16"/>
      <c r="Y293" s="16"/>
      <c r="Z293" s="16"/>
    </row>
    <row r="294" ht="15.75" customHeight="1">
      <c r="A294" s="67" t="str">
        <f t="shared" si="170"/>
        <v>Tank Connector (SCH-80)3</v>
      </c>
      <c r="B294" s="90">
        <v>7.0</v>
      </c>
      <c r="C294" s="127">
        <v>3.0</v>
      </c>
      <c r="D294" s="127">
        <v>80.0</v>
      </c>
      <c r="E294" s="112" t="s">
        <v>1513</v>
      </c>
      <c r="F294" s="56">
        <v>663.1</v>
      </c>
      <c r="G294" s="76">
        <f>IFERROR(__xludf.DUMMYFUNCTION("ArrayFormula(IFERROR(VLOOKUP(E294,IMPORTRANGE(""https://docs.google.com/spreadsheets/d/1xZyKy-UzMmtPDLpV5jQdYum1LtbR8XKDuasLSjmBRMI/edit#gid=1241094406"",""COMBINED DATA!E3:L""),{7,8},0)))"),1.217)</f>
        <v>1.217</v>
      </c>
      <c r="H294" s="76">
        <f>IFERROR(__xludf.DUMMYFUNCTION("""COMPUTED_VALUE"""),0.0)</f>
        <v>0</v>
      </c>
      <c r="I294" s="76">
        <f t="shared" si="171"/>
        <v>1.217</v>
      </c>
      <c r="J294" s="84">
        <f t="shared" si="172"/>
        <v>544.8644207</v>
      </c>
      <c r="K294" s="85">
        <f t="shared" si="173"/>
        <v>121.7</v>
      </c>
      <c r="L294" s="85">
        <f t="shared" si="174"/>
        <v>0</v>
      </c>
      <c r="M294" s="85">
        <f t="shared" si="175"/>
        <v>121.7</v>
      </c>
      <c r="N294" s="85">
        <f t="shared" si="7"/>
        <v>5.448644207</v>
      </c>
      <c r="O294" s="310">
        <v>663.1</v>
      </c>
      <c r="P294" s="75"/>
      <c r="Q294" s="85"/>
      <c r="R294" s="85"/>
      <c r="S294" s="20"/>
      <c r="T294" s="20"/>
      <c r="U294" s="16"/>
      <c r="V294" s="16"/>
      <c r="W294" s="16"/>
      <c r="X294" s="16"/>
      <c r="Y294" s="16"/>
      <c r="Z294" s="16"/>
    </row>
    <row r="295" ht="15.75" customHeight="1">
      <c r="A295" s="67" t="str">
        <f t="shared" si="170"/>
        <v>Tank Connector (SCH-80)4</v>
      </c>
      <c r="B295" s="90">
        <v>8.0</v>
      </c>
      <c r="C295" s="127">
        <v>4.0</v>
      </c>
      <c r="D295" s="127">
        <v>100.0</v>
      </c>
      <c r="E295" s="112" t="s">
        <v>1516</v>
      </c>
      <c r="F295" s="56">
        <v>1198.0</v>
      </c>
      <c r="G295" s="76">
        <f>IFERROR(__xludf.DUMMYFUNCTION("ArrayFormula(IFERROR(VLOOKUP(E295,IMPORTRANGE(""https://docs.google.com/spreadsheets/d/1xZyKy-UzMmtPDLpV5jQdYum1LtbR8XKDuasLSjmBRMI/edit#gid=1241094406"",""COMBINED DATA!E3:L""),{7,8},0)))"),2.126)</f>
        <v>2.126</v>
      </c>
      <c r="H295" s="76">
        <f>IFERROR(__xludf.DUMMYFUNCTION("""COMPUTED_VALUE"""),0.0)</f>
        <v>0</v>
      </c>
      <c r="I295" s="76">
        <f t="shared" si="171"/>
        <v>2.126</v>
      </c>
      <c r="J295" s="84">
        <f t="shared" si="172"/>
        <v>563.4995296</v>
      </c>
      <c r="K295" s="85">
        <f t="shared" si="173"/>
        <v>212.6</v>
      </c>
      <c r="L295" s="85">
        <f t="shared" si="174"/>
        <v>0</v>
      </c>
      <c r="M295" s="85">
        <f t="shared" si="175"/>
        <v>212.6</v>
      </c>
      <c r="N295" s="85">
        <f t="shared" si="7"/>
        <v>5.634995296</v>
      </c>
      <c r="O295" s="310">
        <v>1198.0</v>
      </c>
      <c r="P295" s="75"/>
      <c r="Q295" s="85"/>
      <c r="R295" s="85"/>
      <c r="S295" s="20"/>
      <c r="T295" s="20"/>
      <c r="U295" s="16"/>
      <c r="V295" s="16"/>
      <c r="W295" s="16"/>
      <c r="X295" s="16"/>
      <c r="Y295" s="16"/>
      <c r="Z295" s="16"/>
    </row>
    <row r="296">
      <c r="A296" s="34"/>
      <c r="B296" s="237" t="s">
        <v>11</v>
      </c>
      <c r="C296" s="45"/>
      <c r="D296" s="45"/>
      <c r="E296" s="46"/>
      <c r="F296" s="103">
        <f>SUM(F288:F295)</f>
        <v>2642</v>
      </c>
      <c r="G296" s="250"/>
      <c r="H296" s="243"/>
      <c r="I296" s="243"/>
      <c r="J296" s="243"/>
      <c r="K296" s="85"/>
      <c r="L296" s="85"/>
      <c r="M296" s="85"/>
      <c r="N296" s="85" t="str">
        <f t="shared" si="7"/>
        <v/>
      </c>
      <c r="O296" s="103">
        <f>SUM(O288:O295)</f>
        <v>2642</v>
      </c>
      <c r="P296" s="307"/>
      <c r="Q296" s="85"/>
      <c r="R296" s="85"/>
      <c r="S296" s="15"/>
      <c r="T296" s="15"/>
      <c r="U296" s="243"/>
      <c r="V296" s="243"/>
      <c r="W296" s="243"/>
      <c r="X296" s="243"/>
      <c r="Y296" s="243"/>
      <c r="Z296" s="243"/>
    </row>
    <row r="297" ht="6.0" customHeight="1">
      <c r="A297" s="34"/>
      <c r="B297" s="15"/>
      <c r="C297" s="15"/>
      <c r="D297" s="15"/>
      <c r="E297" s="17"/>
      <c r="F297" s="15"/>
      <c r="G297" s="250"/>
      <c r="H297" s="243"/>
      <c r="I297" s="243"/>
      <c r="J297" s="243"/>
      <c r="K297" s="85"/>
      <c r="L297" s="85"/>
      <c r="M297" s="85"/>
      <c r="N297" s="85" t="str">
        <f t="shared" si="7"/>
        <v/>
      </c>
      <c r="O297" s="29"/>
      <c r="P297" s="307"/>
      <c r="Q297" s="85"/>
      <c r="R297" s="85"/>
      <c r="S297" s="15"/>
      <c r="T297" s="15"/>
      <c r="U297" s="243"/>
      <c r="V297" s="243"/>
      <c r="W297" s="243"/>
      <c r="X297" s="243"/>
      <c r="Y297" s="243"/>
      <c r="Z297" s="243"/>
    </row>
    <row r="298" ht="22.5" customHeight="1">
      <c r="A298" s="34"/>
      <c r="B298" s="62" t="s">
        <v>1233</v>
      </c>
      <c r="C298" s="45"/>
      <c r="D298" s="45"/>
      <c r="E298" s="45"/>
      <c r="F298" s="46"/>
      <c r="G298" s="250"/>
      <c r="H298" s="243"/>
      <c r="I298" s="243"/>
      <c r="J298" s="243"/>
      <c r="K298" s="85"/>
      <c r="L298" s="85"/>
      <c r="M298" s="85"/>
      <c r="N298" s="85" t="str">
        <f t="shared" si="7"/>
        <v/>
      </c>
      <c r="O298" s="29"/>
      <c r="P298" s="307"/>
      <c r="Q298" s="85"/>
      <c r="R298" s="85"/>
      <c r="S298" s="15"/>
      <c r="T298" s="15"/>
      <c r="U298" s="243"/>
      <c r="V298" s="243"/>
      <c r="W298" s="243"/>
      <c r="X298" s="243"/>
      <c r="Y298" s="243"/>
      <c r="Z298" s="243"/>
    </row>
    <row r="299" ht="15.75" customHeight="1">
      <c r="A299" s="67" t="str">
        <f t="shared" ref="A299:A302" si="176">$B$298&amp;C299</f>
        <v>Reducer Brass Tee (SCH-80)1⁄2 x 1⁄2 x 1⁄2</v>
      </c>
      <c r="B299" s="68">
        <v>1.0</v>
      </c>
      <c r="C299" s="110" t="s">
        <v>428</v>
      </c>
      <c r="D299" s="110" t="s">
        <v>429</v>
      </c>
      <c r="E299" s="111" t="s">
        <v>501</v>
      </c>
      <c r="F299" s="56">
        <v>88.0</v>
      </c>
      <c r="G299" s="76">
        <v>0.044</v>
      </c>
      <c r="H299" s="76">
        <v>0.019</v>
      </c>
      <c r="I299" s="76">
        <f t="shared" ref="I299:I302" si="177">G299+H299</f>
        <v>0.063</v>
      </c>
      <c r="J299" s="84">
        <f t="shared" ref="J299:J302" si="178">IFERROR(F299/I299,"")</f>
        <v>1396.825397</v>
      </c>
      <c r="K299" s="85">
        <f t="shared" ref="K299:K302" si="179">IFERROR(G299*100,)</f>
        <v>4.4</v>
      </c>
      <c r="L299" s="85">
        <f t="shared" ref="L299:L302" si="180">IFERROR(H299*725,)</f>
        <v>13.775</v>
      </c>
      <c r="M299" s="85">
        <f t="shared" ref="M299:M302" si="181">IFERROR(K299+L299,"")</f>
        <v>18.175</v>
      </c>
      <c r="N299" s="85">
        <f t="shared" si="7"/>
        <v>4.841815681</v>
      </c>
      <c r="O299" s="310" t="str">
        <f>VLOOKUP(E299,'U Fittings (Brass)'!$E$5:$Q1076,14,0)</f>
        <v>#REF!</v>
      </c>
      <c r="P299" s="88"/>
      <c r="Q299" s="85"/>
      <c r="R299" s="85"/>
      <c r="S299" s="20"/>
      <c r="T299" s="20"/>
      <c r="U299" s="16"/>
      <c r="V299" s="16"/>
      <c r="W299" s="16"/>
      <c r="X299" s="16"/>
      <c r="Y299" s="16"/>
      <c r="Z299" s="16"/>
    </row>
    <row r="300" ht="15.75" customHeight="1">
      <c r="A300" s="67" t="str">
        <f t="shared" si="176"/>
        <v>Reducer Brass Tee (SCH-80)3⁄4 x 3⁄4 x 1⁄2</v>
      </c>
      <c r="B300" s="90">
        <v>2.0</v>
      </c>
      <c r="C300" s="152" t="s">
        <v>204</v>
      </c>
      <c r="D300" s="152" t="s">
        <v>205</v>
      </c>
      <c r="E300" s="112" t="s">
        <v>502</v>
      </c>
      <c r="F300" s="56">
        <v>108.0</v>
      </c>
      <c r="G300" s="76">
        <v>0.06112000000000001</v>
      </c>
      <c r="H300" s="76">
        <v>0.019</v>
      </c>
      <c r="I300" s="76">
        <f t="shared" si="177"/>
        <v>0.08012</v>
      </c>
      <c r="J300" s="84">
        <f t="shared" si="178"/>
        <v>1347.978033</v>
      </c>
      <c r="K300" s="85">
        <f t="shared" si="179"/>
        <v>6.112</v>
      </c>
      <c r="L300" s="85">
        <f t="shared" si="180"/>
        <v>13.775</v>
      </c>
      <c r="M300" s="85">
        <f t="shared" si="181"/>
        <v>19.887</v>
      </c>
      <c r="N300" s="85">
        <f t="shared" si="7"/>
        <v>5.430683361</v>
      </c>
      <c r="O300" s="310" t="str">
        <f>VLOOKUP(E300,'U Fittings (Brass)'!$E$5:$Q1076,14,0)</f>
        <v>#REF!</v>
      </c>
      <c r="P300" s="88"/>
      <c r="Q300" s="85"/>
      <c r="R300" s="85"/>
      <c r="S300" s="20"/>
      <c r="T300" s="20"/>
      <c r="U300" s="16"/>
      <c r="V300" s="16"/>
      <c r="W300" s="16"/>
      <c r="X300" s="16"/>
      <c r="Y300" s="16"/>
      <c r="Z300" s="16"/>
    </row>
    <row r="301" ht="15.75" customHeight="1">
      <c r="A301" s="67" t="str">
        <f t="shared" si="176"/>
        <v>Reducer Brass Tee (SCH-80)1 x 1 x 1⁄2</v>
      </c>
      <c r="B301" s="90">
        <v>3.0</v>
      </c>
      <c r="C301" s="152" t="s">
        <v>439</v>
      </c>
      <c r="D301" s="152" t="s">
        <v>440</v>
      </c>
      <c r="E301" s="112" t="s">
        <v>503</v>
      </c>
      <c r="F301" s="56">
        <v>138.0</v>
      </c>
      <c r="G301" s="76">
        <v>0.09</v>
      </c>
      <c r="H301" s="76">
        <v>0.019</v>
      </c>
      <c r="I301" s="76">
        <f t="shared" si="177"/>
        <v>0.109</v>
      </c>
      <c r="J301" s="84">
        <f t="shared" si="178"/>
        <v>1266.055046</v>
      </c>
      <c r="K301" s="85">
        <f t="shared" si="179"/>
        <v>9</v>
      </c>
      <c r="L301" s="85">
        <f t="shared" si="180"/>
        <v>13.775</v>
      </c>
      <c r="M301" s="85">
        <f t="shared" si="181"/>
        <v>22.775</v>
      </c>
      <c r="N301" s="85">
        <f t="shared" si="7"/>
        <v>6.059275521</v>
      </c>
      <c r="O301" s="310" t="str">
        <f>VLOOKUP(E301,'U Fittings (Brass)'!$E$5:$Q1076,14,0)</f>
        <v>#REF!</v>
      </c>
      <c r="P301" s="88"/>
      <c r="Q301" s="85"/>
      <c r="R301" s="85"/>
      <c r="S301" s="20"/>
      <c r="T301" s="20"/>
      <c r="U301" s="16"/>
      <c r="V301" s="16"/>
      <c r="W301" s="16"/>
      <c r="X301" s="16"/>
      <c r="Y301" s="16"/>
      <c r="Z301" s="16"/>
    </row>
    <row r="302" ht="15.75" customHeight="1">
      <c r="A302" s="67" t="str">
        <f t="shared" si="176"/>
        <v>Reducer Brass Tee (SCH-80)1 x 1 x 3⁄4</v>
      </c>
      <c r="B302" s="90">
        <v>4.0</v>
      </c>
      <c r="C302" s="152" t="s">
        <v>209</v>
      </c>
      <c r="D302" s="152" t="s">
        <v>210</v>
      </c>
      <c r="E302" s="112" t="s">
        <v>513</v>
      </c>
      <c r="F302" s="56">
        <v>204.0</v>
      </c>
      <c r="G302" s="76">
        <v>0.0865</v>
      </c>
      <c r="H302" s="58">
        <v>0.043</v>
      </c>
      <c r="I302" s="76">
        <f t="shared" si="177"/>
        <v>0.1295</v>
      </c>
      <c r="J302" s="84">
        <f t="shared" si="178"/>
        <v>1575.289575</v>
      </c>
      <c r="K302" s="85">
        <f t="shared" si="179"/>
        <v>8.65</v>
      </c>
      <c r="L302" s="85">
        <f t="shared" si="180"/>
        <v>31.175</v>
      </c>
      <c r="M302" s="85">
        <f t="shared" si="181"/>
        <v>39.825</v>
      </c>
      <c r="N302" s="85">
        <f t="shared" si="7"/>
        <v>5.122410546</v>
      </c>
      <c r="O302" s="310" t="str">
        <f>VLOOKUP(E302,'U Fittings (Brass)'!$E$5:$Q1076,14,0)</f>
        <v>#REF!</v>
      </c>
      <c r="P302" s="88"/>
      <c r="Q302" s="85"/>
      <c r="R302" s="85"/>
      <c r="S302" s="20"/>
      <c r="T302" s="20"/>
      <c r="U302" s="16"/>
      <c r="V302" s="16"/>
      <c r="W302" s="16"/>
      <c r="X302" s="16"/>
      <c r="Y302" s="16"/>
      <c r="Z302" s="16"/>
    </row>
    <row r="303">
      <c r="A303" s="34"/>
      <c r="B303" s="237" t="s">
        <v>11</v>
      </c>
      <c r="C303" s="45"/>
      <c r="D303" s="45"/>
      <c r="E303" s="46"/>
      <c r="F303" s="103">
        <f>sum(F299:F302)</f>
        <v>538</v>
      </c>
      <c r="G303" s="250"/>
      <c r="H303" s="243"/>
      <c r="I303" s="243"/>
      <c r="J303" s="243"/>
      <c r="K303" s="85"/>
      <c r="L303" s="85"/>
      <c r="M303" s="85"/>
      <c r="N303" s="85" t="str">
        <f t="shared" si="7"/>
        <v/>
      </c>
      <c r="O303" s="103" t="str">
        <f>sum(O299:O302)</f>
        <v>#REF!</v>
      </c>
      <c r="P303" s="88"/>
      <c r="Q303" s="85"/>
      <c r="R303" s="85"/>
      <c r="S303" s="15"/>
      <c r="T303" s="15"/>
      <c r="U303" s="243"/>
      <c r="V303" s="243"/>
      <c r="W303" s="243"/>
      <c r="X303" s="243"/>
      <c r="Y303" s="243"/>
      <c r="Z303" s="243"/>
    </row>
    <row r="304" ht="6.0" customHeight="1">
      <c r="A304" s="34"/>
      <c r="B304" s="15"/>
      <c r="C304" s="15"/>
      <c r="D304" s="15"/>
      <c r="E304" s="17"/>
      <c r="F304" s="15"/>
      <c r="G304" s="250"/>
      <c r="H304" s="243"/>
      <c r="I304" s="243"/>
      <c r="J304" s="243"/>
      <c r="K304" s="85"/>
      <c r="L304" s="85"/>
      <c r="M304" s="85"/>
      <c r="N304" s="85" t="str">
        <f t="shared" si="7"/>
        <v/>
      </c>
      <c r="O304" s="29"/>
      <c r="P304" s="88"/>
      <c r="Q304" s="85"/>
      <c r="R304" s="85"/>
      <c r="S304" s="15"/>
      <c r="T304" s="15"/>
      <c r="U304" s="243"/>
      <c r="V304" s="243"/>
      <c r="W304" s="243"/>
      <c r="X304" s="243"/>
      <c r="Y304" s="243"/>
      <c r="Z304" s="243"/>
    </row>
    <row r="305" ht="22.5" customHeight="1">
      <c r="A305" s="34"/>
      <c r="B305" s="62" t="s">
        <v>1551</v>
      </c>
      <c r="C305" s="45"/>
      <c r="D305" s="45"/>
      <c r="E305" s="45"/>
      <c r="F305" s="46"/>
      <c r="G305" s="250"/>
      <c r="H305" s="243"/>
      <c r="I305" s="243"/>
      <c r="J305" s="243"/>
      <c r="K305" s="85"/>
      <c r="L305" s="85"/>
      <c r="M305" s="85"/>
      <c r="N305" s="85" t="str">
        <f t="shared" si="7"/>
        <v/>
      </c>
      <c r="O305" s="29"/>
      <c r="P305" s="88"/>
      <c r="Q305" s="85"/>
      <c r="R305" s="85"/>
      <c r="S305" s="15"/>
      <c r="T305" s="15"/>
      <c r="U305" s="243"/>
      <c r="V305" s="243"/>
      <c r="W305" s="243"/>
      <c r="X305" s="243"/>
      <c r="Y305" s="243"/>
      <c r="Z305" s="243"/>
    </row>
    <row r="306" ht="15.75" customHeight="1">
      <c r="A306" s="67" t="str">
        <f t="shared" ref="A306:A310" si="182">$B$305&amp;C306</f>
        <v>Step Over Bend (SCH-80)1⁄2</v>
      </c>
      <c r="B306" s="68">
        <v>1.0</v>
      </c>
      <c r="C306" s="70" t="s">
        <v>43</v>
      </c>
      <c r="D306" s="70">
        <v>15.0</v>
      </c>
      <c r="E306" s="111" t="s">
        <v>1553</v>
      </c>
      <c r="F306" s="181">
        <v>34.0</v>
      </c>
      <c r="G306" s="76">
        <f>IFERROR(__xludf.DUMMYFUNCTION("ArrayFormula(IFERROR(VLOOKUP(E306,IMPORTRANGE(""https://docs.google.com/spreadsheets/d/1xZyKy-UzMmtPDLpV5jQdYum1LtbR8XKDuasLSjmBRMI/edit#gid=1241094406"",""COMBINED DATA!E3:L""),{7,8},0)))"),0.0588)</f>
        <v>0.0588</v>
      </c>
      <c r="H306" s="76">
        <f>IFERROR(__xludf.DUMMYFUNCTION("""COMPUTED_VALUE"""),0.0)</f>
        <v>0</v>
      </c>
      <c r="I306" s="76">
        <f t="shared" ref="I306:I310" si="183">G306+H306</f>
        <v>0.0588</v>
      </c>
      <c r="J306" s="84">
        <f t="shared" ref="J306:J310" si="184">IFERROR(F306/I306,"")</f>
        <v>578.2312925</v>
      </c>
      <c r="K306" s="85">
        <f t="shared" ref="K306:K310" si="185">IFERROR(G306*100,)</f>
        <v>5.88</v>
      </c>
      <c r="L306" s="85">
        <f t="shared" ref="L306:L310" si="186">IFERROR(H306*725,)</f>
        <v>0</v>
      </c>
      <c r="M306" s="85">
        <f t="shared" ref="M306:M310" si="187">IFERROR(K306+L306,"")</f>
        <v>5.88</v>
      </c>
      <c r="N306" s="85">
        <f t="shared" si="7"/>
        <v>5.782312925</v>
      </c>
      <c r="O306" s="311">
        <v>34.0</v>
      </c>
      <c r="P306" s="88"/>
      <c r="Q306" s="85"/>
      <c r="R306" s="85"/>
      <c r="S306" s="20"/>
      <c r="T306" s="20"/>
      <c r="U306" s="16"/>
      <c r="V306" s="16"/>
      <c r="W306" s="16"/>
      <c r="X306" s="16"/>
      <c r="Y306" s="16"/>
      <c r="Z306" s="16"/>
    </row>
    <row r="307" ht="15.75" customHeight="1">
      <c r="A307" s="67" t="str">
        <f t="shared" si="182"/>
        <v>Step Over Bend (SCH-80)3⁄4</v>
      </c>
      <c r="B307" s="90">
        <v>2.0</v>
      </c>
      <c r="C307" s="92" t="s">
        <v>51</v>
      </c>
      <c r="D307" s="92">
        <v>20.0</v>
      </c>
      <c r="E307" s="112" t="s">
        <v>1563</v>
      </c>
      <c r="F307" s="181">
        <v>58.0</v>
      </c>
      <c r="G307" s="76">
        <f>IFERROR(__xludf.DUMMYFUNCTION("ArrayFormula(IFERROR(VLOOKUP(E307,IMPORTRANGE(""https://docs.google.com/spreadsheets/d/1xZyKy-UzMmtPDLpV5jQdYum1LtbR8XKDuasLSjmBRMI/edit#gid=1241094406"",""COMBINED DATA!E3:L""),{7,8},0)))"),0.1035)</f>
        <v>0.1035</v>
      </c>
      <c r="H307" s="76">
        <f>IFERROR(__xludf.DUMMYFUNCTION("""COMPUTED_VALUE"""),0.0)</f>
        <v>0</v>
      </c>
      <c r="I307" s="76">
        <f t="shared" si="183"/>
        <v>0.1035</v>
      </c>
      <c r="J307" s="84">
        <f t="shared" si="184"/>
        <v>560.3864734</v>
      </c>
      <c r="K307" s="85">
        <f t="shared" si="185"/>
        <v>10.35</v>
      </c>
      <c r="L307" s="85">
        <f t="shared" si="186"/>
        <v>0</v>
      </c>
      <c r="M307" s="85">
        <f t="shared" si="187"/>
        <v>10.35</v>
      </c>
      <c r="N307" s="85">
        <f t="shared" si="7"/>
        <v>5.603864734</v>
      </c>
      <c r="O307" s="311">
        <v>58.0</v>
      </c>
      <c r="P307" s="75"/>
      <c r="Q307" s="85"/>
      <c r="R307" s="85"/>
      <c r="S307" s="20"/>
      <c r="T307" s="20"/>
      <c r="U307" s="16"/>
      <c r="V307" s="16"/>
      <c r="W307" s="16"/>
      <c r="X307" s="16"/>
      <c r="Y307" s="16"/>
      <c r="Z307" s="16"/>
    </row>
    <row r="308" ht="15.75" customHeight="1">
      <c r="A308" s="67" t="str">
        <f t="shared" si="182"/>
        <v>Step Over Bend (SCH-80)1</v>
      </c>
      <c r="B308" s="90">
        <v>3.0</v>
      </c>
      <c r="C308" s="92">
        <v>1.0</v>
      </c>
      <c r="D308" s="92">
        <v>25.0</v>
      </c>
      <c r="E308" s="112" t="s">
        <v>1569</v>
      </c>
      <c r="F308" s="181">
        <v>114.0</v>
      </c>
      <c r="G308" s="76">
        <f>IFERROR(__xludf.DUMMYFUNCTION("ArrayFormula(IFERROR(VLOOKUP(E308,IMPORTRANGE(""https://docs.google.com/spreadsheets/d/1xZyKy-UzMmtPDLpV5jQdYum1LtbR8XKDuasLSjmBRMI/edit#gid=1241094406"",""COMBINED DATA!E3:L""),{7,8},0)))"),0.1993)</f>
        <v>0.1993</v>
      </c>
      <c r="H308" s="76">
        <f>IFERROR(__xludf.DUMMYFUNCTION("""COMPUTED_VALUE"""),0.0)</f>
        <v>0</v>
      </c>
      <c r="I308" s="76">
        <f t="shared" si="183"/>
        <v>0.1993</v>
      </c>
      <c r="J308" s="84">
        <f t="shared" si="184"/>
        <v>572.002007</v>
      </c>
      <c r="K308" s="85">
        <f t="shared" si="185"/>
        <v>19.93</v>
      </c>
      <c r="L308" s="85">
        <f t="shared" si="186"/>
        <v>0</v>
      </c>
      <c r="M308" s="85">
        <f t="shared" si="187"/>
        <v>19.93</v>
      </c>
      <c r="N308" s="85">
        <f t="shared" si="7"/>
        <v>5.72002007</v>
      </c>
      <c r="O308" s="311">
        <v>114.0</v>
      </c>
      <c r="P308" s="75"/>
      <c r="Q308" s="85"/>
      <c r="R308" s="85"/>
      <c r="S308" s="20"/>
      <c r="T308" s="20"/>
      <c r="U308" s="16"/>
      <c r="V308" s="16"/>
      <c r="W308" s="16"/>
      <c r="X308" s="16"/>
      <c r="Y308" s="16"/>
      <c r="Z308" s="16"/>
    </row>
    <row r="309" ht="15.75" customHeight="1">
      <c r="A309" s="67" t="str">
        <f t="shared" si="182"/>
        <v>Step Over Bend (SCH-80)1 1⁄4</v>
      </c>
      <c r="B309" s="90">
        <v>4.0</v>
      </c>
      <c r="C309" s="92" t="s">
        <v>55</v>
      </c>
      <c r="D309" s="92">
        <v>32.0</v>
      </c>
      <c r="E309" s="112" t="s">
        <v>1576</v>
      </c>
      <c r="F309" s="181">
        <v>148.0</v>
      </c>
      <c r="G309" s="76">
        <f>IFERROR(__xludf.DUMMYFUNCTION("ArrayFormula(IFERROR(VLOOKUP(E309,IMPORTRANGE(""https://docs.google.com/spreadsheets/d/1xZyKy-UzMmtPDLpV5jQdYum1LtbR8XKDuasLSjmBRMI/edit#gid=1241094406"",""COMBINED DATA!E3:L""),{7,8},0)))"),0.267)</f>
        <v>0.267</v>
      </c>
      <c r="H309" s="76">
        <f>IFERROR(__xludf.DUMMYFUNCTION("""COMPUTED_VALUE"""),0.0)</f>
        <v>0</v>
      </c>
      <c r="I309" s="76">
        <f t="shared" si="183"/>
        <v>0.267</v>
      </c>
      <c r="J309" s="84">
        <f t="shared" si="184"/>
        <v>554.3071161</v>
      </c>
      <c r="K309" s="85">
        <f t="shared" si="185"/>
        <v>26.7</v>
      </c>
      <c r="L309" s="85">
        <f t="shared" si="186"/>
        <v>0</v>
      </c>
      <c r="M309" s="85">
        <f t="shared" si="187"/>
        <v>26.7</v>
      </c>
      <c r="N309" s="85">
        <f t="shared" si="7"/>
        <v>5.543071161</v>
      </c>
      <c r="O309" s="311">
        <v>148.0</v>
      </c>
      <c r="P309" s="75"/>
      <c r="Q309" s="85"/>
      <c r="R309" s="85"/>
      <c r="S309" s="20"/>
      <c r="T309" s="20"/>
      <c r="U309" s="16"/>
      <c r="V309" s="16"/>
      <c r="W309" s="16"/>
      <c r="X309" s="16"/>
      <c r="Y309" s="16"/>
      <c r="Z309" s="16"/>
    </row>
    <row r="310" ht="15.75" customHeight="1">
      <c r="A310" s="67" t="str">
        <f t="shared" si="182"/>
        <v>Step Over Bend (SCH-80)1 1⁄2</v>
      </c>
      <c r="B310" s="90">
        <v>5.0</v>
      </c>
      <c r="C310" s="92" t="s">
        <v>56</v>
      </c>
      <c r="D310" s="92">
        <v>40.0</v>
      </c>
      <c r="E310" s="112" t="s">
        <v>1581</v>
      </c>
      <c r="F310" s="181">
        <v>258.0</v>
      </c>
      <c r="G310" s="76">
        <f>IFERROR(__xludf.DUMMYFUNCTION("ArrayFormula(IFERROR(VLOOKUP(E310,IMPORTRANGE(""https://docs.google.com/spreadsheets/d/1xZyKy-UzMmtPDLpV5jQdYum1LtbR8XKDuasLSjmBRMI/edit#gid=1241094406"",""COMBINED DATA!E3:L""),{7,8},0)))"),0.463)</f>
        <v>0.463</v>
      </c>
      <c r="H310" s="76">
        <f>IFERROR(__xludf.DUMMYFUNCTION("""COMPUTED_VALUE"""),0.0)</f>
        <v>0</v>
      </c>
      <c r="I310" s="76">
        <f t="shared" si="183"/>
        <v>0.463</v>
      </c>
      <c r="J310" s="84">
        <f t="shared" si="184"/>
        <v>557.2354212</v>
      </c>
      <c r="K310" s="85">
        <f t="shared" si="185"/>
        <v>46.3</v>
      </c>
      <c r="L310" s="85">
        <f t="shared" si="186"/>
        <v>0</v>
      </c>
      <c r="M310" s="85">
        <f t="shared" si="187"/>
        <v>46.3</v>
      </c>
      <c r="N310" s="85">
        <f t="shared" si="7"/>
        <v>5.572354212</v>
      </c>
      <c r="O310" s="311">
        <v>258.0</v>
      </c>
      <c r="P310" s="75"/>
      <c r="Q310" s="85"/>
      <c r="R310" s="85"/>
      <c r="S310" s="20"/>
      <c r="T310" s="20"/>
      <c r="U310" s="16"/>
      <c r="V310" s="16"/>
      <c r="W310" s="16"/>
      <c r="X310" s="16"/>
      <c r="Y310" s="16"/>
      <c r="Z310" s="16"/>
    </row>
    <row r="311">
      <c r="A311" s="34"/>
      <c r="B311" s="237" t="s">
        <v>11</v>
      </c>
      <c r="C311" s="45"/>
      <c r="D311" s="45"/>
      <c r="E311" s="46"/>
      <c r="F311" s="103">
        <f>sum(F306:F310)</f>
        <v>612</v>
      </c>
      <c r="G311" s="250"/>
      <c r="H311" s="243"/>
      <c r="I311" s="243"/>
      <c r="J311" s="243"/>
      <c r="K311" s="85"/>
      <c r="L311" s="85"/>
      <c r="M311" s="85"/>
      <c r="N311" s="85" t="str">
        <f t="shared" si="7"/>
        <v/>
      </c>
      <c r="O311" s="103">
        <f>sum(O306:O310)</f>
        <v>612</v>
      </c>
      <c r="P311" s="307"/>
      <c r="Q311" s="85"/>
      <c r="R311" s="85"/>
      <c r="S311" s="15"/>
      <c r="T311" s="15"/>
      <c r="U311" s="243"/>
      <c r="V311" s="243"/>
      <c r="W311" s="243"/>
      <c r="X311" s="243"/>
      <c r="Y311" s="243"/>
      <c r="Z311" s="243"/>
    </row>
    <row r="312" ht="6.0" customHeight="1">
      <c r="A312" s="34"/>
      <c r="B312" s="15"/>
      <c r="C312" s="15"/>
      <c r="D312" s="15"/>
      <c r="E312" s="17"/>
      <c r="F312" s="15"/>
      <c r="G312" s="250"/>
      <c r="H312" s="243"/>
      <c r="I312" s="243"/>
      <c r="J312" s="243"/>
      <c r="K312" s="85"/>
      <c r="L312" s="85"/>
      <c r="M312" s="85"/>
      <c r="N312" s="85" t="str">
        <f t="shared" si="7"/>
        <v/>
      </c>
      <c r="O312" s="29"/>
      <c r="P312" s="307"/>
      <c r="Q312" s="85"/>
      <c r="R312" s="85"/>
      <c r="S312" s="15"/>
      <c r="T312" s="15"/>
      <c r="U312" s="243"/>
      <c r="V312" s="243"/>
      <c r="W312" s="243"/>
      <c r="X312" s="243"/>
      <c r="Y312" s="243"/>
      <c r="Z312" s="243"/>
    </row>
    <row r="313" ht="22.5" customHeight="1">
      <c r="A313" s="34"/>
      <c r="B313" s="62" t="s">
        <v>1023</v>
      </c>
      <c r="C313" s="45"/>
      <c r="D313" s="45"/>
      <c r="E313" s="45"/>
      <c r="F313" s="46"/>
      <c r="G313" s="250"/>
      <c r="H313" s="243"/>
      <c r="I313" s="243"/>
      <c r="J313" s="243"/>
      <c r="K313" s="85"/>
      <c r="L313" s="85"/>
      <c r="M313" s="85"/>
      <c r="N313" s="85" t="str">
        <f t="shared" si="7"/>
        <v/>
      </c>
      <c r="O313" s="29"/>
      <c r="P313" s="307"/>
      <c r="Q313" s="85"/>
      <c r="R313" s="85"/>
      <c r="S313" s="15"/>
      <c r="T313" s="15"/>
      <c r="U313" s="243"/>
      <c r="V313" s="243"/>
      <c r="W313" s="243"/>
      <c r="X313" s="243"/>
      <c r="Y313" s="243"/>
      <c r="Z313" s="243"/>
    </row>
    <row r="314" ht="15.75" customHeight="1">
      <c r="A314" s="67" t="str">
        <f t="shared" ref="A314:A316" si="188">$B$313&amp;C314</f>
        <v>Flange2 1⁄2</v>
      </c>
      <c r="B314" s="68">
        <v>1.0</v>
      </c>
      <c r="C314" s="110" t="s">
        <v>69</v>
      </c>
      <c r="D314" s="110">
        <v>65.0</v>
      </c>
      <c r="E314" s="111" t="s">
        <v>1595</v>
      </c>
      <c r="F314" s="56">
        <v>228.0</v>
      </c>
      <c r="G314" s="76">
        <f>IFERROR(__xludf.DUMMYFUNCTION("ArrayFormula(IFERROR(VLOOKUP(E314,IMPORTRANGE(""https://docs.google.com/spreadsheets/d/1xZyKy-UzMmtPDLpV5jQdYum1LtbR8XKDuasLSjmBRMI/edit#gid=1241094406"",""COMBINED DATA!E3:L""),{7,8},0)))"),0.406)</f>
        <v>0.406</v>
      </c>
      <c r="H314" s="76">
        <f>IFERROR(__xludf.DUMMYFUNCTION("""COMPUTED_VALUE"""),0.0)</f>
        <v>0</v>
      </c>
      <c r="I314" s="76">
        <f t="shared" ref="I314:I316" si="189">G314+H314</f>
        <v>0.406</v>
      </c>
      <c r="J314" s="84">
        <f t="shared" ref="J314:J316" si="190">IFERROR(F314/I314,"")</f>
        <v>561.5763547</v>
      </c>
      <c r="K314" s="85">
        <f t="shared" ref="K314:K316" si="191">IFERROR(G314*100,)</f>
        <v>40.6</v>
      </c>
      <c r="L314" s="85">
        <f t="shared" ref="L314:L316" si="192">IFERROR(H314*725,)</f>
        <v>0</v>
      </c>
      <c r="M314" s="85">
        <f t="shared" ref="M314:M316" si="193">IFERROR(K314+L314,"")</f>
        <v>40.6</v>
      </c>
      <c r="N314" s="85">
        <f t="shared" si="7"/>
        <v>5.615763547</v>
      </c>
      <c r="O314" s="311">
        <v>228.0</v>
      </c>
      <c r="P314" s="75"/>
      <c r="Q314" s="85"/>
      <c r="R314" s="85"/>
      <c r="S314" s="20"/>
      <c r="T314" s="20"/>
      <c r="U314" s="16"/>
      <c r="V314" s="16"/>
      <c r="W314" s="16"/>
      <c r="X314" s="16"/>
      <c r="Y314" s="16"/>
      <c r="Z314" s="16"/>
    </row>
    <row r="315" ht="15.75" customHeight="1">
      <c r="A315" s="67" t="str">
        <f t="shared" si="188"/>
        <v>Flange3</v>
      </c>
      <c r="B315" s="90">
        <v>2.0</v>
      </c>
      <c r="C315" s="127">
        <v>3.0</v>
      </c>
      <c r="D315" s="127">
        <v>80.0</v>
      </c>
      <c r="E315" s="112" t="s">
        <v>1604</v>
      </c>
      <c r="F315" s="56">
        <v>378.0</v>
      </c>
      <c r="G315" s="76">
        <f>IFERROR(__xludf.DUMMYFUNCTION("ArrayFormula(IFERROR(VLOOKUP(E315,IMPORTRANGE(""https://docs.google.com/spreadsheets/d/1xZyKy-UzMmtPDLpV5jQdYum1LtbR8XKDuasLSjmBRMI/edit#gid=1241094406"",""COMBINED DATA!E3:L""),{7,8},0)))"),0.655)</f>
        <v>0.655</v>
      </c>
      <c r="H315" s="76">
        <f>IFERROR(__xludf.DUMMYFUNCTION("""COMPUTED_VALUE"""),0.0)</f>
        <v>0</v>
      </c>
      <c r="I315" s="76">
        <f t="shared" si="189"/>
        <v>0.655</v>
      </c>
      <c r="J315" s="84">
        <f t="shared" si="190"/>
        <v>577.0992366</v>
      </c>
      <c r="K315" s="85">
        <f t="shared" si="191"/>
        <v>65.5</v>
      </c>
      <c r="L315" s="85">
        <f t="shared" si="192"/>
        <v>0</v>
      </c>
      <c r="M315" s="85">
        <f t="shared" si="193"/>
        <v>65.5</v>
      </c>
      <c r="N315" s="85">
        <f t="shared" si="7"/>
        <v>5.770992366</v>
      </c>
      <c r="O315" s="311">
        <v>378.0</v>
      </c>
      <c r="P315" s="75"/>
      <c r="Q315" s="85"/>
      <c r="R315" s="85"/>
      <c r="S315" s="20"/>
      <c r="T315" s="20"/>
      <c r="U315" s="16"/>
      <c r="V315" s="16"/>
      <c r="W315" s="16"/>
      <c r="X315" s="16"/>
      <c r="Y315" s="16"/>
      <c r="Z315" s="16"/>
    </row>
    <row r="316" ht="15.75" customHeight="1">
      <c r="A316" s="67" t="str">
        <f t="shared" si="188"/>
        <v>Flange4</v>
      </c>
      <c r="B316" s="90">
        <v>3.0</v>
      </c>
      <c r="C316" s="127">
        <v>4.0</v>
      </c>
      <c r="D316" s="127">
        <v>100.0</v>
      </c>
      <c r="E316" s="112" t="s">
        <v>1609</v>
      </c>
      <c r="F316" s="56">
        <v>668.0</v>
      </c>
      <c r="G316" s="76">
        <f>IFERROR(__xludf.DUMMYFUNCTION("ArrayFormula(IFERROR(VLOOKUP(E316,IMPORTRANGE(""https://docs.google.com/spreadsheets/d/1xZyKy-UzMmtPDLpV5jQdYum1LtbR8XKDuasLSjmBRMI/edit#gid=1241094406"",""COMBINED DATA!E3:L""),{7,8},0)))"),1.185)</f>
        <v>1.185</v>
      </c>
      <c r="H316" s="76">
        <f>IFERROR(__xludf.DUMMYFUNCTION("""COMPUTED_VALUE"""),0.0)</f>
        <v>0</v>
      </c>
      <c r="I316" s="76">
        <f t="shared" si="189"/>
        <v>1.185</v>
      </c>
      <c r="J316" s="84">
        <f t="shared" si="190"/>
        <v>563.7130802</v>
      </c>
      <c r="K316" s="85">
        <f t="shared" si="191"/>
        <v>118.5</v>
      </c>
      <c r="L316" s="85">
        <f t="shared" si="192"/>
        <v>0</v>
      </c>
      <c r="M316" s="85">
        <f t="shared" si="193"/>
        <v>118.5</v>
      </c>
      <c r="N316" s="85">
        <f t="shared" si="7"/>
        <v>5.637130802</v>
      </c>
      <c r="O316" s="311">
        <v>668.0</v>
      </c>
      <c r="P316" s="75"/>
      <c r="Q316" s="85"/>
      <c r="R316" s="85"/>
      <c r="S316" s="20"/>
      <c r="T316" s="20"/>
      <c r="U316" s="16"/>
      <c r="V316" s="16"/>
      <c r="W316" s="16"/>
      <c r="X316" s="16"/>
      <c r="Y316" s="16"/>
      <c r="Z316" s="16"/>
    </row>
    <row r="317">
      <c r="A317" s="34"/>
      <c r="B317" s="237" t="s">
        <v>11</v>
      </c>
      <c r="C317" s="45"/>
      <c r="D317" s="45"/>
      <c r="E317" s="46"/>
      <c r="F317" s="103">
        <f>sum(F314:F316)</f>
        <v>1274</v>
      </c>
      <c r="G317" s="250"/>
      <c r="H317" s="243"/>
      <c r="I317" s="243"/>
      <c r="J317" s="243"/>
      <c r="K317" s="85"/>
      <c r="L317" s="85"/>
      <c r="M317" s="85"/>
      <c r="N317" s="85" t="str">
        <f t="shared" si="7"/>
        <v/>
      </c>
      <c r="O317" s="103">
        <f>sum(O314:O316)</f>
        <v>1274</v>
      </c>
      <c r="P317" s="307"/>
      <c r="Q317" s="85"/>
      <c r="R317" s="85"/>
      <c r="S317" s="15"/>
      <c r="T317" s="15"/>
      <c r="U317" s="243"/>
      <c r="V317" s="243"/>
      <c r="W317" s="243"/>
      <c r="X317" s="243"/>
      <c r="Y317" s="243"/>
      <c r="Z317" s="243"/>
    </row>
    <row r="318" ht="6.0" customHeight="1">
      <c r="A318" s="34"/>
      <c r="B318" s="15"/>
      <c r="C318" s="15"/>
      <c r="D318" s="15"/>
      <c r="E318" s="17"/>
      <c r="F318" s="15"/>
      <c r="G318" s="250"/>
      <c r="H318" s="243"/>
      <c r="I318" s="243"/>
      <c r="J318" s="243"/>
      <c r="K318" s="85"/>
      <c r="L318" s="85"/>
      <c r="M318" s="85"/>
      <c r="N318" s="85" t="str">
        <f t="shared" si="7"/>
        <v/>
      </c>
      <c r="O318" s="29"/>
      <c r="P318" s="307"/>
      <c r="Q318" s="85"/>
      <c r="R318" s="85"/>
      <c r="S318" s="15"/>
      <c r="T318" s="15"/>
      <c r="U318" s="243"/>
      <c r="V318" s="243"/>
      <c r="W318" s="243"/>
      <c r="X318" s="243"/>
      <c r="Y318" s="243"/>
      <c r="Z318" s="243"/>
    </row>
    <row r="319" ht="22.5" customHeight="1">
      <c r="A319" s="34"/>
      <c r="B319" s="62" t="s">
        <v>1620</v>
      </c>
      <c r="C319" s="45"/>
      <c r="D319" s="45"/>
      <c r="E319" s="45"/>
      <c r="F319" s="46"/>
      <c r="G319" s="250"/>
      <c r="H319" s="243"/>
      <c r="I319" s="243"/>
      <c r="J319" s="243"/>
      <c r="K319" s="85"/>
      <c r="L319" s="85"/>
      <c r="M319" s="85"/>
      <c r="N319" s="85" t="str">
        <f t="shared" si="7"/>
        <v/>
      </c>
      <c r="O319" s="29"/>
      <c r="P319" s="307"/>
      <c r="Q319" s="85"/>
      <c r="R319" s="85"/>
      <c r="S319" s="15"/>
      <c r="T319" s="15"/>
      <c r="U319" s="243"/>
      <c r="V319" s="243"/>
      <c r="W319" s="243"/>
      <c r="X319" s="243"/>
      <c r="Y319" s="243"/>
      <c r="Z319" s="243"/>
    </row>
    <row r="320" ht="15.75" customHeight="1">
      <c r="A320" s="67" t="str">
        <f t="shared" ref="A320:A322" si="194">$B$319&amp;C320</f>
        <v>Pipe Clamp (SCH-80)1⁄2</v>
      </c>
      <c r="B320" s="68">
        <v>1.0</v>
      </c>
      <c r="C320" s="70" t="s">
        <v>43</v>
      </c>
      <c r="D320" s="70">
        <v>15.0</v>
      </c>
      <c r="E320" s="111" t="s">
        <v>1626</v>
      </c>
      <c r="F320" s="181">
        <v>12.4</v>
      </c>
      <c r="G320" s="76">
        <f>IFERROR(__xludf.DUMMYFUNCTION("ArrayFormula(IFERROR(VLOOKUP(E320,IMPORTRANGE(""https://docs.google.com/spreadsheets/d/1xZyKy-UzMmtPDLpV5jQdYum1LtbR8XKDuasLSjmBRMI/edit#gid=1241094406"",""COMBINED DATA!E3:L""),{7,8},0)))"),0.00445)</f>
        <v>0.00445</v>
      </c>
      <c r="H320" s="76">
        <f>IFERROR(__xludf.DUMMYFUNCTION("""COMPUTED_VALUE"""),0.002125)</f>
        <v>0.002125</v>
      </c>
      <c r="I320" s="76">
        <f t="shared" ref="I320:I322" si="195">G320+H320</f>
        <v>0.006575</v>
      </c>
      <c r="J320" s="84">
        <f t="shared" ref="J320:J322" si="196">IFERROR(F320/I320,"")</f>
        <v>1885.931559</v>
      </c>
      <c r="K320" s="85">
        <f t="shared" ref="K320:K322" si="197">IFERROR(G320*100,)</f>
        <v>0.445</v>
      </c>
      <c r="L320" s="85">
        <f t="shared" ref="L320:L322" si="198">IFERROR(H320*725,)</f>
        <v>1.540625</v>
      </c>
      <c r="M320" s="85">
        <f t="shared" ref="M320:M322" si="199">IFERROR(K320+L320,"")</f>
        <v>1.985625</v>
      </c>
      <c r="N320" s="85">
        <f t="shared" si="7"/>
        <v>6.244885112</v>
      </c>
      <c r="O320" s="311">
        <v>12.4</v>
      </c>
      <c r="P320" s="75"/>
      <c r="Q320" s="85"/>
      <c r="R320" s="85"/>
      <c r="S320" s="20"/>
      <c r="T320" s="20"/>
      <c r="U320" s="16"/>
      <c r="V320" s="16"/>
      <c r="W320" s="16"/>
      <c r="X320" s="16"/>
      <c r="Y320" s="16"/>
      <c r="Z320" s="16"/>
    </row>
    <row r="321" ht="15.75" customHeight="1">
      <c r="A321" s="67" t="str">
        <f t="shared" si="194"/>
        <v>Pipe Clamp (SCH-80)3⁄4</v>
      </c>
      <c r="B321" s="90">
        <v>2.0</v>
      </c>
      <c r="C321" s="92" t="s">
        <v>51</v>
      </c>
      <c r="D321" s="92">
        <v>20.0</v>
      </c>
      <c r="E321" s="112" t="s">
        <v>1637</v>
      </c>
      <c r="F321" s="181">
        <v>17.9</v>
      </c>
      <c r="G321" s="76">
        <f>IFERROR(__xludf.DUMMYFUNCTION("ArrayFormula(IFERROR(VLOOKUP(E321,IMPORTRANGE(""https://docs.google.com/spreadsheets/d/1xZyKy-UzMmtPDLpV5jQdYum1LtbR8XKDuasLSjmBRMI/edit#gid=1241094406"",""COMBINED DATA!E3:L""),{7,8},0)))"),0.0078000000000000005)</f>
        <v>0.0078</v>
      </c>
      <c r="H321" s="76">
        <f>IFERROR(__xludf.DUMMYFUNCTION("""COMPUTED_VALUE"""),0.00375)</f>
        <v>0.00375</v>
      </c>
      <c r="I321" s="76">
        <f t="shared" si="195"/>
        <v>0.01155</v>
      </c>
      <c r="J321" s="84">
        <f t="shared" si="196"/>
        <v>1549.78355</v>
      </c>
      <c r="K321" s="85">
        <f t="shared" si="197"/>
        <v>0.78</v>
      </c>
      <c r="L321" s="85">
        <f t="shared" si="198"/>
        <v>2.71875</v>
      </c>
      <c r="M321" s="85">
        <f t="shared" si="199"/>
        <v>3.49875</v>
      </c>
      <c r="N321" s="85">
        <f t="shared" si="7"/>
        <v>5.116112897</v>
      </c>
      <c r="O321" s="311">
        <v>17.9</v>
      </c>
      <c r="P321" s="75"/>
      <c r="Q321" s="85"/>
      <c r="R321" s="85"/>
      <c r="S321" s="20"/>
      <c r="T321" s="20"/>
      <c r="U321" s="16"/>
      <c r="V321" s="16"/>
      <c r="W321" s="16"/>
      <c r="X321" s="16"/>
      <c r="Y321" s="16"/>
      <c r="Z321" s="16"/>
    </row>
    <row r="322" ht="15.75" customHeight="1">
      <c r="A322" s="67" t="str">
        <f t="shared" si="194"/>
        <v>Pipe Clamp (SCH-80)1</v>
      </c>
      <c r="B322" s="90">
        <v>3.0</v>
      </c>
      <c r="C322" s="92">
        <v>1.0</v>
      </c>
      <c r="D322" s="92">
        <v>25.0</v>
      </c>
      <c r="E322" s="112" t="s">
        <v>1638</v>
      </c>
      <c r="F322" s="181">
        <v>33.5</v>
      </c>
      <c r="G322" s="76">
        <f>IFERROR(__xludf.DUMMYFUNCTION("ArrayFormula(IFERROR(VLOOKUP(E322,IMPORTRANGE(""https://docs.google.com/spreadsheets/d/1xZyKy-UzMmtPDLpV5jQdYum1LtbR8XKDuasLSjmBRMI/edit#gid=1241094406"",""COMBINED DATA!E3:L""),{7,8},0)))"),0.012599999999999998)</f>
        <v>0.0126</v>
      </c>
      <c r="H322" s="76">
        <f>IFERROR(__xludf.DUMMYFUNCTION("""COMPUTED_VALUE"""),0.009300000000000001)</f>
        <v>0.0093</v>
      </c>
      <c r="I322" s="76">
        <f t="shared" si="195"/>
        <v>0.0219</v>
      </c>
      <c r="J322" s="84">
        <f t="shared" si="196"/>
        <v>1529.680365</v>
      </c>
      <c r="K322" s="85">
        <f t="shared" si="197"/>
        <v>1.26</v>
      </c>
      <c r="L322" s="85">
        <f t="shared" si="198"/>
        <v>6.7425</v>
      </c>
      <c r="M322" s="85">
        <f t="shared" si="199"/>
        <v>8.0025</v>
      </c>
      <c r="N322" s="85">
        <f t="shared" si="7"/>
        <v>4.186191815</v>
      </c>
      <c r="O322" s="311">
        <v>33.5</v>
      </c>
      <c r="P322" s="75"/>
      <c r="Q322" s="85"/>
      <c r="R322" s="85"/>
      <c r="S322" s="20"/>
      <c r="T322" s="20"/>
      <c r="U322" s="16"/>
      <c r="V322" s="16"/>
      <c r="W322" s="16"/>
      <c r="X322" s="16"/>
      <c r="Y322" s="16"/>
      <c r="Z322" s="16"/>
    </row>
    <row r="323">
      <c r="A323" s="34"/>
      <c r="B323" s="237" t="s">
        <v>11</v>
      </c>
      <c r="C323" s="45"/>
      <c r="D323" s="45"/>
      <c r="E323" s="46"/>
      <c r="F323" s="103">
        <f>sum(F320:F322)</f>
        <v>63.8</v>
      </c>
      <c r="G323" s="250"/>
      <c r="H323" s="243"/>
      <c r="I323" s="243"/>
      <c r="J323" s="243"/>
      <c r="K323" s="85"/>
      <c r="L323" s="85"/>
      <c r="M323" s="85"/>
      <c r="N323" s="85" t="str">
        <f t="shared" si="7"/>
        <v/>
      </c>
      <c r="O323" s="103">
        <f>sum(O320:O322)</f>
        <v>63.8</v>
      </c>
      <c r="P323" s="307"/>
      <c r="Q323" s="85"/>
      <c r="R323" s="85"/>
      <c r="S323" s="15"/>
      <c r="T323" s="15"/>
      <c r="U323" s="243"/>
      <c r="V323" s="243"/>
      <c r="W323" s="243"/>
      <c r="X323" s="243"/>
      <c r="Y323" s="243"/>
      <c r="Z323" s="243"/>
    </row>
    <row r="324" ht="6.0" customHeight="1">
      <c r="A324" s="34"/>
      <c r="B324" s="15"/>
      <c r="C324" s="15"/>
      <c r="D324" s="15"/>
      <c r="E324" s="17"/>
      <c r="F324" s="15"/>
      <c r="G324" s="250"/>
      <c r="H324" s="243"/>
      <c r="I324" s="243"/>
      <c r="J324" s="243"/>
      <c r="K324" s="85"/>
      <c r="L324" s="85"/>
      <c r="M324" s="85"/>
      <c r="N324" s="85" t="str">
        <f t="shared" si="7"/>
        <v/>
      </c>
      <c r="O324" s="29"/>
      <c r="P324" s="307"/>
      <c r="Q324" s="85"/>
      <c r="R324" s="85"/>
      <c r="S324" s="15"/>
      <c r="T324" s="15"/>
      <c r="U324" s="243"/>
      <c r="V324" s="243"/>
      <c r="W324" s="243"/>
      <c r="X324" s="243"/>
      <c r="Y324" s="243"/>
      <c r="Z324" s="243"/>
    </row>
    <row r="325" ht="30.75" customHeight="1">
      <c r="A325" s="34"/>
      <c r="B325" s="363" t="s">
        <v>1640</v>
      </c>
      <c r="C325" s="45"/>
      <c r="D325" s="45"/>
      <c r="E325" s="45"/>
      <c r="F325" s="46"/>
      <c r="G325" s="250"/>
      <c r="H325" s="243"/>
      <c r="I325" s="243"/>
      <c r="J325" s="243"/>
      <c r="K325" s="85"/>
      <c r="L325" s="85"/>
      <c r="M325" s="85"/>
      <c r="N325" s="85" t="str">
        <f t="shared" si="7"/>
        <v/>
      </c>
      <c r="O325" s="29"/>
      <c r="P325" s="307"/>
      <c r="Q325" s="85"/>
      <c r="R325" s="85"/>
      <c r="S325" s="15"/>
      <c r="T325" s="15"/>
      <c r="U325" s="243"/>
      <c r="V325" s="243"/>
      <c r="W325" s="243"/>
      <c r="X325" s="243"/>
      <c r="Y325" s="243"/>
      <c r="Z325" s="243"/>
    </row>
    <row r="326" ht="15.75" customHeight="1">
      <c r="A326" s="67" t="str">
        <f t="shared" ref="A326:A331" si="200">$B$325&amp;C326</f>
        <v>Pipe Clamp (Heavy Saddle with Powder Coating) (SCH-80)1⁄2</v>
      </c>
      <c r="B326" s="68">
        <v>1.0</v>
      </c>
      <c r="C326" s="70" t="s">
        <v>43</v>
      </c>
      <c r="D326" s="70">
        <v>15.0</v>
      </c>
      <c r="E326" s="111" t="s">
        <v>1643</v>
      </c>
      <c r="F326" s="56">
        <v>14.9</v>
      </c>
      <c r="G326" s="76">
        <f>IFERROR(__xludf.DUMMYFUNCTION("ArrayFormula(IFERROR(VLOOKUP(E326,IMPORTRANGE(""https://docs.google.com/spreadsheets/d/1xZyKy-UzMmtPDLpV5jQdYum1LtbR8XKDuasLSjmBRMI/edit#gid=1241094406"",""COMBINED DATA!E3:L""),{7,8},0)))"),0.01)</f>
        <v>0.01</v>
      </c>
      <c r="H326" s="76">
        <f>IFERROR(__xludf.DUMMYFUNCTION("""COMPUTED_VALUE"""),0.0)</f>
        <v>0</v>
      </c>
      <c r="I326" s="76">
        <f t="shared" ref="I326:I331" si="201">G326+H326</f>
        <v>0.01</v>
      </c>
      <c r="J326" s="84">
        <f t="shared" ref="J326:J331" si="202">IFERROR(F326/I326,"")</f>
        <v>1490</v>
      </c>
      <c r="K326" s="85">
        <f t="shared" ref="K326:K331" si="203">IFERROR(G326*100,)</f>
        <v>1</v>
      </c>
      <c r="L326" s="85">
        <f t="shared" ref="L326:L331" si="204">IFERROR(H326*725,)</f>
        <v>0</v>
      </c>
      <c r="M326" s="286">
        <v>3.61</v>
      </c>
      <c r="N326" s="85">
        <f t="shared" si="7"/>
        <v>4.127423823</v>
      </c>
      <c r="O326" s="310">
        <v>14.9</v>
      </c>
      <c r="P326" s="75"/>
      <c r="Q326" s="85"/>
      <c r="R326" s="85"/>
      <c r="S326" s="20"/>
      <c r="T326" s="20"/>
      <c r="U326" s="16"/>
      <c r="V326" s="16"/>
      <c r="W326" s="16"/>
      <c r="X326" s="16"/>
      <c r="Y326" s="16"/>
      <c r="Z326" s="16"/>
    </row>
    <row r="327" ht="15.75" customHeight="1">
      <c r="A327" s="67" t="str">
        <f t="shared" si="200"/>
        <v>Pipe Clamp (Heavy Saddle with Powder Coating) (SCH-80)3⁄4</v>
      </c>
      <c r="B327" s="90">
        <v>2.0</v>
      </c>
      <c r="C327" s="92" t="s">
        <v>51</v>
      </c>
      <c r="D327" s="92">
        <v>20.0</v>
      </c>
      <c r="E327" s="112" t="s">
        <v>1646</v>
      </c>
      <c r="F327" s="56">
        <v>16.6</v>
      </c>
      <c r="G327" s="76">
        <f>IFERROR(__xludf.DUMMYFUNCTION("ArrayFormula(IFERROR(VLOOKUP(E327,IMPORTRANGE(""https://docs.google.com/spreadsheets/d/1xZyKy-UzMmtPDLpV5jQdYum1LtbR8XKDuasLSjmBRMI/edit#gid=1241094406"",""COMBINED DATA!E3:L""),{7,8},0)))"),0.011)</f>
        <v>0.011</v>
      </c>
      <c r="H327" s="76">
        <f>IFERROR(__xludf.DUMMYFUNCTION("""COMPUTED_VALUE"""),0.0)</f>
        <v>0</v>
      </c>
      <c r="I327" s="76">
        <f t="shared" si="201"/>
        <v>0.011</v>
      </c>
      <c r="J327" s="84">
        <f t="shared" si="202"/>
        <v>1509.090909</v>
      </c>
      <c r="K327" s="85">
        <f t="shared" si="203"/>
        <v>1.1</v>
      </c>
      <c r="L327" s="85">
        <f t="shared" si="204"/>
        <v>0</v>
      </c>
      <c r="M327" s="286">
        <v>3.83</v>
      </c>
      <c r="N327" s="85">
        <f t="shared" si="7"/>
        <v>4.334203655</v>
      </c>
      <c r="O327" s="310">
        <v>16.6</v>
      </c>
      <c r="P327" s="75"/>
      <c r="Q327" s="85"/>
      <c r="R327" s="85"/>
      <c r="S327" s="20"/>
      <c r="T327" s="20"/>
      <c r="U327" s="16"/>
      <c r="V327" s="16"/>
      <c r="W327" s="16"/>
      <c r="X327" s="16"/>
      <c r="Y327" s="16"/>
      <c r="Z327" s="16"/>
    </row>
    <row r="328" ht="15.75" customHeight="1">
      <c r="A328" s="67" t="str">
        <f t="shared" si="200"/>
        <v>Pipe Clamp (Heavy Saddle with Powder Coating) (SCH-80)1</v>
      </c>
      <c r="B328" s="90">
        <v>3.0</v>
      </c>
      <c r="C328" s="92">
        <v>1.0</v>
      </c>
      <c r="D328" s="92">
        <v>25.0</v>
      </c>
      <c r="E328" s="112" t="s">
        <v>1649</v>
      </c>
      <c r="F328" s="56">
        <v>17.9</v>
      </c>
      <c r="G328" s="76">
        <f>IFERROR(__xludf.DUMMYFUNCTION("ArrayFormula(IFERROR(VLOOKUP(E328,IMPORTRANGE(""https://docs.google.com/spreadsheets/d/1xZyKy-UzMmtPDLpV5jQdYum1LtbR8XKDuasLSjmBRMI/edit#gid=1241094406"",""COMBINED DATA!E3:L""),{7,8},0)))"),0.013)</f>
        <v>0.013</v>
      </c>
      <c r="H328" s="76">
        <f>IFERROR(__xludf.DUMMYFUNCTION("""COMPUTED_VALUE"""),0.0)</f>
        <v>0</v>
      </c>
      <c r="I328" s="76">
        <f t="shared" si="201"/>
        <v>0.013</v>
      </c>
      <c r="J328" s="84">
        <f t="shared" si="202"/>
        <v>1376.923077</v>
      </c>
      <c r="K328" s="85">
        <f t="shared" si="203"/>
        <v>1.3</v>
      </c>
      <c r="L328" s="85">
        <f t="shared" si="204"/>
        <v>0</v>
      </c>
      <c r="M328" s="286">
        <v>4.28</v>
      </c>
      <c r="N328" s="85">
        <f t="shared" si="7"/>
        <v>4.182242991</v>
      </c>
      <c r="O328" s="310">
        <v>17.9</v>
      </c>
      <c r="P328" s="75"/>
      <c r="Q328" s="85"/>
      <c r="R328" s="85"/>
      <c r="S328" s="20"/>
      <c r="T328" s="20"/>
      <c r="U328" s="16"/>
      <c r="V328" s="16"/>
      <c r="W328" s="16"/>
      <c r="X328" s="16"/>
      <c r="Y328" s="16"/>
      <c r="Z328" s="16"/>
    </row>
    <row r="329" ht="15.75" customHeight="1">
      <c r="A329" s="67" t="str">
        <f t="shared" si="200"/>
        <v>Pipe Clamp (Heavy Saddle with Powder Coating) (SCH-80)1 1⁄4</v>
      </c>
      <c r="B329" s="90">
        <v>4.0</v>
      </c>
      <c r="C329" s="92" t="s">
        <v>55</v>
      </c>
      <c r="D329" s="92">
        <v>32.0</v>
      </c>
      <c r="E329" s="112" t="s">
        <v>1653</v>
      </c>
      <c r="F329" s="56">
        <v>22.8</v>
      </c>
      <c r="G329" s="76">
        <f>IFERROR(__xludf.DUMMYFUNCTION("ArrayFormula(IFERROR(VLOOKUP(E329,IMPORTRANGE(""https://docs.google.com/spreadsheets/d/1xZyKy-UzMmtPDLpV5jQdYum1LtbR8XKDuasLSjmBRMI/edit#gid=1241094406"",""COMBINED DATA!E3:L""),{7,8},0)))"),0.018)</f>
        <v>0.018</v>
      </c>
      <c r="H329" s="76">
        <f>IFERROR(__xludf.DUMMYFUNCTION("""COMPUTED_VALUE"""),0.0)</f>
        <v>0</v>
      </c>
      <c r="I329" s="76">
        <f t="shared" si="201"/>
        <v>0.018</v>
      </c>
      <c r="J329" s="84">
        <f t="shared" si="202"/>
        <v>1266.666667</v>
      </c>
      <c r="K329" s="85">
        <f t="shared" si="203"/>
        <v>1.8</v>
      </c>
      <c r="L329" s="85">
        <f t="shared" si="204"/>
        <v>0</v>
      </c>
      <c r="M329" s="286">
        <v>4.75</v>
      </c>
      <c r="N329" s="85">
        <f t="shared" si="7"/>
        <v>4.8</v>
      </c>
      <c r="O329" s="310">
        <v>22.8</v>
      </c>
      <c r="P329" s="75"/>
      <c r="Q329" s="85"/>
      <c r="R329" s="85"/>
      <c r="S329" s="20"/>
      <c r="T329" s="20"/>
      <c r="U329" s="16"/>
      <c r="V329" s="16"/>
      <c r="W329" s="16"/>
      <c r="X329" s="16"/>
      <c r="Y329" s="16"/>
      <c r="Z329" s="16"/>
    </row>
    <row r="330" ht="15.75" customHeight="1">
      <c r="A330" s="67" t="str">
        <f t="shared" si="200"/>
        <v>Pipe Clamp (Heavy Saddle with Powder Coating) (SCH-80)1 1⁄2</v>
      </c>
      <c r="B330" s="90">
        <v>5.0</v>
      </c>
      <c r="C330" s="92" t="s">
        <v>56</v>
      </c>
      <c r="D330" s="92">
        <v>40.0</v>
      </c>
      <c r="E330" s="112" t="s">
        <v>1658</v>
      </c>
      <c r="F330" s="56">
        <v>24.8</v>
      </c>
      <c r="G330" s="76">
        <f>IFERROR(__xludf.DUMMYFUNCTION("ArrayFormula(IFERROR(VLOOKUP(E330,IMPORTRANGE(""https://docs.google.com/spreadsheets/d/1xZyKy-UzMmtPDLpV5jQdYum1LtbR8XKDuasLSjmBRMI/edit#gid=1241094406"",""COMBINED DATA!E3:L""),{7,8},0)))"),0.02)</f>
        <v>0.02</v>
      </c>
      <c r="H330" s="76">
        <f>IFERROR(__xludf.DUMMYFUNCTION("""COMPUTED_VALUE"""),0.0)</f>
        <v>0</v>
      </c>
      <c r="I330" s="76">
        <f t="shared" si="201"/>
        <v>0.02</v>
      </c>
      <c r="J330" s="84">
        <f t="shared" si="202"/>
        <v>1240</v>
      </c>
      <c r="K330" s="85">
        <f t="shared" si="203"/>
        <v>2</v>
      </c>
      <c r="L330" s="85">
        <f t="shared" si="204"/>
        <v>0</v>
      </c>
      <c r="M330" s="286">
        <v>5.05</v>
      </c>
      <c r="N330" s="85">
        <f t="shared" si="7"/>
        <v>4.910891089</v>
      </c>
      <c r="O330" s="310">
        <v>24.8</v>
      </c>
      <c r="P330" s="75"/>
      <c r="Q330" s="85"/>
      <c r="R330" s="85"/>
      <c r="S330" s="20"/>
      <c r="T330" s="20"/>
      <c r="U330" s="16"/>
      <c r="V330" s="16"/>
      <c r="W330" s="16"/>
      <c r="X330" s="16"/>
      <c r="Y330" s="16"/>
      <c r="Z330" s="16"/>
    </row>
    <row r="331" ht="15.75" customHeight="1">
      <c r="A331" s="67" t="str">
        <f t="shared" si="200"/>
        <v>Pipe Clamp (Heavy Saddle with Powder Coating) (SCH-80)2</v>
      </c>
      <c r="B331" s="90">
        <v>6.0</v>
      </c>
      <c r="C331" s="127">
        <v>2.0</v>
      </c>
      <c r="D331" s="127">
        <v>50.0</v>
      </c>
      <c r="E331" s="112" t="s">
        <v>1661</v>
      </c>
      <c r="F331" s="56">
        <v>28.8</v>
      </c>
      <c r="G331" s="76">
        <f>IFERROR(__xludf.DUMMYFUNCTION("ArrayFormula(IFERROR(VLOOKUP(E331,IMPORTRANGE(""https://docs.google.com/spreadsheets/d/1xZyKy-UzMmtPDLpV5jQdYum1LtbR8XKDuasLSjmBRMI/edit#gid=1241094406"",""COMBINED DATA!E3:L""),{7,8},0)))"),0.035)</f>
        <v>0.035</v>
      </c>
      <c r="H331" s="76">
        <f>IFERROR(__xludf.DUMMYFUNCTION("""COMPUTED_VALUE"""),0.0)</f>
        <v>0</v>
      </c>
      <c r="I331" s="76">
        <f t="shared" si="201"/>
        <v>0.035</v>
      </c>
      <c r="J331" s="84">
        <f t="shared" si="202"/>
        <v>822.8571429</v>
      </c>
      <c r="K331" s="85">
        <f t="shared" si="203"/>
        <v>3.5</v>
      </c>
      <c r="L331" s="85">
        <f t="shared" si="204"/>
        <v>0</v>
      </c>
      <c r="M331" s="286">
        <v>5.81</v>
      </c>
      <c r="N331" s="85">
        <f t="shared" si="7"/>
        <v>4.95697074</v>
      </c>
      <c r="O331" s="310">
        <v>28.8</v>
      </c>
      <c r="P331" s="75"/>
      <c r="Q331" s="85"/>
      <c r="R331" s="85"/>
      <c r="S331" s="20"/>
      <c r="T331" s="20"/>
      <c r="U331" s="16"/>
      <c r="V331" s="16"/>
      <c r="W331" s="16"/>
      <c r="X331" s="16"/>
      <c r="Y331" s="16"/>
      <c r="Z331" s="16"/>
    </row>
    <row r="332">
      <c r="A332" s="34"/>
      <c r="B332" s="237" t="s">
        <v>11</v>
      </c>
      <c r="C332" s="45"/>
      <c r="D332" s="45"/>
      <c r="E332" s="46"/>
      <c r="F332" s="103">
        <f>SUM(F326:F331)</f>
        <v>125.8</v>
      </c>
      <c r="G332" s="250"/>
      <c r="H332" s="243"/>
      <c r="I332" s="243"/>
      <c r="J332" s="243"/>
      <c r="K332" s="85"/>
      <c r="L332" s="85"/>
      <c r="M332" s="85"/>
      <c r="N332" s="85" t="str">
        <f t="shared" si="7"/>
        <v/>
      </c>
      <c r="O332" s="103">
        <f>SUM(O326:O331)</f>
        <v>125.8</v>
      </c>
      <c r="P332" s="307"/>
      <c r="Q332" s="85"/>
      <c r="R332" s="85"/>
      <c r="S332" s="15"/>
      <c r="T332" s="15"/>
      <c r="U332" s="243"/>
      <c r="V332" s="243"/>
      <c r="W332" s="243"/>
      <c r="X332" s="243"/>
      <c r="Y332" s="243"/>
      <c r="Z332" s="243"/>
    </row>
    <row r="333" ht="6.0" customHeight="1">
      <c r="A333" s="34"/>
      <c r="B333" s="15"/>
      <c r="C333" s="15"/>
      <c r="D333" s="15"/>
      <c r="E333" s="17"/>
      <c r="F333" s="15"/>
      <c r="G333" s="250"/>
      <c r="H333" s="243"/>
      <c r="I333" s="243"/>
      <c r="J333" s="243"/>
      <c r="K333" s="85"/>
      <c r="L333" s="85"/>
      <c r="M333" s="85"/>
      <c r="N333" s="85" t="str">
        <f t="shared" si="7"/>
        <v/>
      </c>
      <c r="O333" s="29"/>
      <c r="P333" s="307"/>
      <c r="Q333" s="85"/>
      <c r="R333" s="85"/>
      <c r="S333" s="15"/>
      <c r="T333" s="15"/>
      <c r="U333" s="243"/>
      <c r="V333" s="243"/>
      <c r="W333" s="243"/>
      <c r="X333" s="243"/>
      <c r="Y333" s="243"/>
      <c r="Z333" s="243"/>
    </row>
    <row r="334" ht="31.5" customHeight="1">
      <c r="A334" s="34"/>
      <c r="B334" s="363" t="s">
        <v>1669</v>
      </c>
      <c r="C334" s="45"/>
      <c r="D334" s="45"/>
      <c r="E334" s="45"/>
      <c r="F334" s="46"/>
      <c r="G334" s="250"/>
      <c r="H334" s="243"/>
      <c r="I334" s="243"/>
      <c r="J334" s="243"/>
      <c r="K334" s="85"/>
      <c r="L334" s="85"/>
      <c r="M334" s="85"/>
      <c r="N334" s="85" t="str">
        <f t="shared" si="7"/>
        <v/>
      </c>
      <c r="O334" s="29"/>
      <c r="P334" s="307"/>
      <c r="Q334" s="85"/>
      <c r="R334" s="85"/>
      <c r="S334" s="15"/>
      <c r="T334" s="15"/>
      <c r="U334" s="243"/>
      <c r="V334" s="243"/>
      <c r="W334" s="243"/>
      <c r="X334" s="243"/>
      <c r="Y334" s="243"/>
      <c r="Z334" s="243"/>
    </row>
    <row r="335" ht="15.75" customHeight="1">
      <c r="A335" s="67" t="str">
        <f t="shared" ref="A335:A340" si="205">$B$334&amp;C335</f>
        <v>Pipe Clamp (Heavy Saddle without Powder Coating) Zinc Plated (SCH-80)1⁄2</v>
      </c>
      <c r="B335" s="68">
        <v>1.0</v>
      </c>
      <c r="C335" s="70" t="s">
        <v>43</v>
      </c>
      <c r="D335" s="70">
        <v>15.0</v>
      </c>
      <c r="E335" s="111" t="s">
        <v>1672</v>
      </c>
      <c r="F335" s="56">
        <v>14.8</v>
      </c>
      <c r="G335" s="76">
        <f>IFERROR(__xludf.DUMMYFUNCTION("ArrayFormula(IFERROR(VLOOKUP(E335,IMPORTRANGE(""https://docs.google.com/spreadsheets/d/1xZyKy-UzMmtPDLpV5jQdYum1LtbR8XKDuasLSjmBRMI/edit#gid=1241094406"",""COMBINED DATA!E3:L""),{7,8},0)))"),0.009)</f>
        <v>0.009</v>
      </c>
      <c r="H335" s="76">
        <f>IFERROR(__xludf.DUMMYFUNCTION("""COMPUTED_VALUE"""),0.0)</f>
        <v>0</v>
      </c>
      <c r="I335" s="76">
        <f t="shared" ref="I335:I340" si="206">G335+H335</f>
        <v>0.009</v>
      </c>
      <c r="J335" s="84">
        <f t="shared" ref="J335:J340" si="207">IFERROR(F335/I335,"")</f>
        <v>1644.444444</v>
      </c>
      <c r="K335" s="85">
        <f t="shared" ref="K335:K340" si="208">IFERROR(G335*100,)</f>
        <v>0.9</v>
      </c>
      <c r="L335" s="85">
        <f t="shared" ref="L335:L340" si="209">IFERROR(H335*725,)</f>
        <v>0</v>
      </c>
      <c r="M335" s="85">
        <f>IFERROR(K335+L335,"")</f>
        <v>0.9</v>
      </c>
      <c r="N335" s="85">
        <f t="shared" si="7"/>
        <v>16.44444444</v>
      </c>
      <c r="O335" s="310">
        <v>14.8</v>
      </c>
      <c r="P335" s="75"/>
      <c r="Q335" s="85"/>
      <c r="R335" s="85"/>
      <c r="S335" s="20"/>
      <c r="T335" s="20"/>
      <c r="U335" s="16"/>
      <c r="V335" s="16"/>
      <c r="W335" s="16"/>
      <c r="X335" s="16"/>
      <c r="Y335" s="16"/>
      <c r="Z335" s="16"/>
    </row>
    <row r="336" ht="15.75" customHeight="1">
      <c r="A336" s="67" t="str">
        <f t="shared" si="205"/>
        <v>Pipe Clamp (Heavy Saddle without Powder Coating) Zinc Plated (SCH-80)3⁄4</v>
      </c>
      <c r="B336" s="90">
        <v>2.0</v>
      </c>
      <c r="C336" s="92" t="s">
        <v>51</v>
      </c>
      <c r="D336" s="92">
        <v>20.0</v>
      </c>
      <c r="E336" s="112" t="s">
        <v>1681</v>
      </c>
      <c r="F336" s="56">
        <v>12.9</v>
      </c>
      <c r="G336" s="76">
        <f>IFERROR(__xludf.DUMMYFUNCTION("ArrayFormula(IFERROR(VLOOKUP(E336,IMPORTRANGE(""https://docs.google.com/spreadsheets/d/1xZyKy-UzMmtPDLpV5jQdYum1LtbR8XKDuasLSjmBRMI/edit#gid=1241094406"",""COMBINED DATA!E3:L""),{7,8},0)))"),0.011)</f>
        <v>0.011</v>
      </c>
      <c r="H336" s="76">
        <f>IFERROR(__xludf.DUMMYFUNCTION("""COMPUTED_VALUE"""),0.0)</f>
        <v>0</v>
      </c>
      <c r="I336" s="76">
        <f t="shared" si="206"/>
        <v>0.011</v>
      </c>
      <c r="J336" s="84">
        <f t="shared" si="207"/>
        <v>1172.727273</v>
      </c>
      <c r="K336" s="85">
        <f t="shared" si="208"/>
        <v>1.1</v>
      </c>
      <c r="L336" s="85">
        <f t="shared" si="209"/>
        <v>0</v>
      </c>
      <c r="M336" s="286">
        <v>3.75</v>
      </c>
      <c r="N336" s="85">
        <f t="shared" si="7"/>
        <v>3.44</v>
      </c>
      <c r="O336" s="310">
        <v>12.9</v>
      </c>
      <c r="P336" s="75"/>
      <c r="Q336" s="85"/>
      <c r="R336" s="85"/>
      <c r="S336" s="20"/>
      <c r="T336" s="20"/>
      <c r="U336" s="16"/>
      <c r="V336" s="16"/>
      <c r="W336" s="16"/>
      <c r="X336" s="16"/>
      <c r="Y336" s="16"/>
      <c r="Z336" s="16"/>
    </row>
    <row r="337" ht="15.75" customHeight="1">
      <c r="A337" s="67" t="str">
        <f t="shared" si="205"/>
        <v>Pipe Clamp (Heavy Saddle without Powder Coating) Zinc Plated (SCH-80)1</v>
      </c>
      <c r="B337" s="90">
        <v>3.0</v>
      </c>
      <c r="C337" s="92">
        <v>1.0</v>
      </c>
      <c r="D337" s="92">
        <v>25.0</v>
      </c>
      <c r="E337" s="112" t="s">
        <v>1688</v>
      </c>
      <c r="F337" s="56">
        <v>14.9</v>
      </c>
      <c r="G337" s="76">
        <f>IFERROR(__xludf.DUMMYFUNCTION("ArrayFormula(IFERROR(VLOOKUP(E337,IMPORTRANGE(""https://docs.google.com/spreadsheets/d/1xZyKy-UzMmtPDLpV5jQdYum1LtbR8XKDuasLSjmBRMI/edit#gid=1241094406"",""COMBINED DATA!E3:L""),{7,8},0)))"),0.013)</f>
        <v>0.013</v>
      </c>
      <c r="H337" s="76">
        <f>IFERROR(__xludf.DUMMYFUNCTION("""COMPUTED_VALUE"""),0.0)</f>
        <v>0</v>
      </c>
      <c r="I337" s="76">
        <f t="shared" si="206"/>
        <v>0.013</v>
      </c>
      <c r="J337" s="84">
        <f t="shared" si="207"/>
        <v>1146.153846</v>
      </c>
      <c r="K337" s="85">
        <f t="shared" si="208"/>
        <v>1.3</v>
      </c>
      <c r="L337" s="85">
        <f t="shared" si="209"/>
        <v>0</v>
      </c>
      <c r="M337" s="286">
        <v>4.25</v>
      </c>
      <c r="N337" s="85">
        <f t="shared" si="7"/>
        <v>3.505882353</v>
      </c>
      <c r="O337" s="310">
        <v>14.9</v>
      </c>
      <c r="P337" s="75"/>
      <c r="Q337" s="85"/>
      <c r="R337" s="85"/>
      <c r="S337" s="20"/>
      <c r="T337" s="20"/>
      <c r="U337" s="16"/>
      <c r="V337" s="16"/>
      <c r="W337" s="16"/>
      <c r="X337" s="16"/>
      <c r="Y337" s="16"/>
      <c r="Z337" s="16"/>
    </row>
    <row r="338" ht="15.75" customHeight="1">
      <c r="A338" s="67" t="str">
        <f t="shared" si="205"/>
        <v>Pipe Clamp (Heavy Saddle without Powder Coating) Zinc Plated (SCH-80)1 1⁄4</v>
      </c>
      <c r="B338" s="90">
        <v>4.0</v>
      </c>
      <c r="C338" s="92" t="s">
        <v>55</v>
      </c>
      <c r="D338" s="92">
        <v>32.0</v>
      </c>
      <c r="E338" s="112" t="s">
        <v>1693</v>
      </c>
      <c r="F338" s="56">
        <v>22.9</v>
      </c>
      <c r="G338" s="76">
        <f>IFERROR(__xludf.DUMMYFUNCTION("ArrayFormula(IFERROR(VLOOKUP(E338,IMPORTRANGE(""https://docs.google.com/spreadsheets/d/1xZyKy-UzMmtPDLpV5jQdYum1LtbR8XKDuasLSjmBRMI/edit#gid=1241094406"",""COMBINED DATA!E3:L""),{7,8},0)))"),0.015)</f>
        <v>0.015</v>
      </c>
      <c r="H338" s="76">
        <f>IFERROR(__xludf.DUMMYFUNCTION("""COMPUTED_VALUE"""),0.0)</f>
        <v>0</v>
      </c>
      <c r="I338" s="76">
        <f t="shared" si="206"/>
        <v>0.015</v>
      </c>
      <c r="J338" s="84">
        <f t="shared" si="207"/>
        <v>1526.666667</v>
      </c>
      <c r="K338" s="85">
        <f t="shared" si="208"/>
        <v>1.5</v>
      </c>
      <c r="L338" s="85">
        <f t="shared" si="209"/>
        <v>0</v>
      </c>
      <c r="M338" s="85">
        <f t="shared" ref="M338:M340" si="210">IFERROR(K338+L338,"")</f>
        <v>1.5</v>
      </c>
      <c r="N338" s="85">
        <f t="shared" si="7"/>
        <v>15.26666667</v>
      </c>
      <c r="O338" s="310">
        <v>22.9</v>
      </c>
      <c r="P338" s="75"/>
      <c r="Q338" s="85"/>
      <c r="R338" s="85"/>
      <c r="S338" s="20"/>
      <c r="T338" s="20"/>
      <c r="U338" s="16"/>
      <c r="V338" s="16"/>
      <c r="W338" s="16"/>
      <c r="X338" s="16"/>
      <c r="Y338" s="16"/>
      <c r="Z338" s="16"/>
    </row>
    <row r="339" ht="15.75" customHeight="1">
      <c r="A339" s="67" t="str">
        <f t="shared" si="205"/>
        <v>Pipe Clamp (Heavy Saddle without Powder Coating) Zinc Plated (SCH-80)1 1⁄2</v>
      </c>
      <c r="B339" s="90">
        <v>5.0</v>
      </c>
      <c r="C339" s="92" t="s">
        <v>56</v>
      </c>
      <c r="D339" s="92">
        <v>40.0</v>
      </c>
      <c r="E339" s="112" t="s">
        <v>1698</v>
      </c>
      <c r="F339" s="56">
        <v>25.9</v>
      </c>
      <c r="G339" s="76">
        <f>IFERROR(__xludf.DUMMYFUNCTION("ArrayFormula(IFERROR(VLOOKUP(E339,IMPORTRANGE(""https://docs.google.com/spreadsheets/d/1xZyKy-UzMmtPDLpV5jQdYum1LtbR8XKDuasLSjmBRMI/edit#gid=1241094406"",""COMBINED DATA!E3:L""),{7,8},0)))"),0.016)</f>
        <v>0.016</v>
      </c>
      <c r="H339" s="76">
        <f>IFERROR(__xludf.DUMMYFUNCTION("""COMPUTED_VALUE"""),0.0)</f>
        <v>0</v>
      </c>
      <c r="I339" s="76">
        <f t="shared" si="206"/>
        <v>0.016</v>
      </c>
      <c r="J339" s="84">
        <f t="shared" si="207"/>
        <v>1618.75</v>
      </c>
      <c r="K339" s="85">
        <f t="shared" si="208"/>
        <v>1.6</v>
      </c>
      <c r="L339" s="85">
        <f t="shared" si="209"/>
        <v>0</v>
      </c>
      <c r="M339" s="85">
        <f t="shared" si="210"/>
        <v>1.6</v>
      </c>
      <c r="N339" s="85">
        <f t="shared" si="7"/>
        <v>16.1875</v>
      </c>
      <c r="O339" s="310">
        <v>25.9</v>
      </c>
      <c r="P339" s="75"/>
      <c r="Q339" s="85"/>
      <c r="R339" s="85"/>
      <c r="S339" s="20"/>
      <c r="T339" s="20"/>
      <c r="U339" s="16"/>
      <c r="V339" s="16"/>
      <c r="W339" s="16"/>
      <c r="X339" s="16"/>
      <c r="Y339" s="16"/>
      <c r="Z339" s="16"/>
    </row>
    <row r="340" ht="15.75" customHeight="1">
      <c r="A340" s="67" t="str">
        <f t="shared" si="205"/>
        <v>Pipe Clamp (Heavy Saddle without Powder Coating) Zinc Plated (SCH-80)2</v>
      </c>
      <c r="B340" s="90">
        <v>6.0</v>
      </c>
      <c r="C340" s="127">
        <v>2.0</v>
      </c>
      <c r="D340" s="127">
        <v>50.0</v>
      </c>
      <c r="E340" s="112" t="s">
        <v>1704</v>
      </c>
      <c r="F340" s="56">
        <v>49.9</v>
      </c>
      <c r="G340" s="76">
        <f>IFERROR(__xludf.DUMMYFUNCTION("ArrayFormula(IFERROR(VLOOKUP(E340,IMPORTRANGE(""https://docs.google.com/spreadsheets/d/1xZyKy-UzMmtPDLpV5jQdYum1LtbR8XKDuasLSjmBRMI/edit#gid=1241094406"",""COMBINED DATA!E3:L""),{7,8},0)))"),0.034)</f>
        <v>0.034</v>
      </c>
      <c r="H340" s="76">
        <f>IFERROR(__xludf.DUMMYFUNCTION("""COMPUTED_VALUE"""),0.0)</f>
        <v>0</v>
      </c>
      <c r="I340" s="76">
        <f t="shared" si="206"/>
        <v>0.034</v>
      </c>
      <c r="J340" s="84">
        <f t="shared" si="207"/>
        <v>1467.647059</v>
      </c>
      <c r="K340" s="85">
        <f t="shared" si="208"/>
        <v>3.4</v>
      </c>
      <c r="L340" s="85">
        <f t="shared" si="209"/>
        <v>0</v>
      </c>
      <c r="M340" s="85">
        <f t="shared" si="210"/>
        <v>3.4</v>
      </c>
      <c r="N340" s="85">
        <f t="shared" si="7"/>
        <v>14.67647059</v>
      </c>
      <c r="O340" s="310">
        <v>49.9</v>
      </c>
      <c r="P340" s="75"/>
      <c r="Q340" s="85"/>
      <c r="R340" s="85"/>
      <c r="S340" s="20"/>
      <c r="T340" s="20"/>
      <c r="U340" s="16"/>
      <c r="V340" s="16"/>
      <c r="W340" s="16"/>
      <c r="X340" s="16"/>
      <c r="Y340" s="16"/>
      <c r="Z340" s="16"/>
    </row>
    <row r="341">
      <c r="A341" s="34"/>
      <c r="B341" s="237" t="s">
        <v>11</v>
      </c>
      <c r="C341" s="45"/>
      <c r="D341" s="45"/>
      <c r="E341" s="46"/>
      <c r="F341" s="103">
        <f>SUM(F335:F340)</f>
        <v>141.3</v>
      </c>
      <c r="G341" s="250"/>
      <c r="H341" s="243"/>
      <c r="I341" s="243"/>
      <c r="J341" s="243"/>
      <c r="K341" s="85"/>
      <c r="L341" s="85"/>
      <c r="M341" s="85"/>
      <c r="N341" s="85" t="str">
        <f t="shared" si="7"/>
        <v/>
      </c>
      <c r="O341" s="103">
        <f>SUM(O335:O340)</f>
        <v>141.3</v>
      </c>
      <c r="P341" s="307"/>
      <c r="Q341" s="85"/>
      <c r="R341" s="85"/>
      <c r="S341" s="15"/>
      <c r="T341" s="15"/>
      <c r="U341" s="243"/>
      <c r="V341" s="243"/>
      <c r="W341" s="243"/>
      <c r="X341" s="243"/>
      <c r="Y341" s="243"/>
      <c r="Z341" s="243"/>
    </row>
    <row r="342" ht="6.0" customHeight="1">
      <c r="A342" s="34"/>
      <c r="B342" s="15"/>
      <c r="C342" s="15"/>
      <c r="D342" s="15"/>
      <c r="E342" s="17"/>
      <c r="F342" s="15"/>
      <c r="G342" s="250"/>
      <c r="H342" s="243"/>
      <c r="I342" s="243"/>
      <c r="J342" s="243"/>
      <c r="K342" s="85"/>
      <c r="L342" s="85"/>
      <c r="M342" s="85"/>
      <c r="N342" s="85" t="str">
        <f t="shared" si="7"/>
        <v/>
      </c>
      <c r="O342" s="29"/>
      <c r="P342" s="307"/>
      <c r="Q342" s="85"/>
      <c r="R342" s="85"/>
      <c r="S342" s="15"/>
      <c r="T342" s="15"/>
      <c r="U342" s="243"/>
      <c r="V342" s="243"/>
      <c r="W342" s="243"/>
      <c r="X342" s="243"/>
      <c r="Y342" s="243"/>
      <c r="Z342" s="243"/>
    </row>
    <row r="343" ht="22.5" customHeight="1">
      <c r="A343" s="34"/>
      <c r="B343" s="62" t="s">
        <v>1715</v>
      </c>
      <c r="C343" s="45"/>
      <c r="D343" s="45"/>
      <c r="E343" s="45"/>
      <c r="F343" s="46"/>
      <c r="G343" s="250"/>
      <c r="H343" s="243"/>
      <c r="I343" s="243"/>
      <c r="J343" s="243"/>
      <c r="K343" s="85"/>
      <c r="L343" s="85"/>
      <c r="M343" s="85"/>
      <c r="N343" s="85" t="str">
        <f t="shared" si="7"/>
        <v/>
      </c>
      <c r="O343" s="29"/>
      <c r="P343" s="307"/>
      <c r="Q343" s="85"/>
      <c r="R343" s="85"/>
      <c r="S343" s="15"/>
      <c r="T343" s="15"/>
      <c r="U343" s="243"/>
      <c r="V343" s="243"/>
      <c r="W343" s="243"/>
      <c r="X343" s="243"/>
      <c r="Y343" s="243"/>
      <c r="Z343" s="243"/>
    </row>
    <row r="344" ht="15.75" customHeight="1">
      <c r="A344" s="67" t="str">
        <f t="shared" ref="A344:A348" si="211">$B$343&amp;C344</f>
        <v>Solvent Aqua Clear59 ML Tin</v>
      </c>
      <c r="B344" s="151">
        <v>1.0</v>
      </c>
      <c r="C344" s="372" t="s">
        <v>1719</v>
      </c>
      <c r="D344" s="180"/>
      <c r="E344" s="112" t="s">
        <v>1723</v>
      </c>
      <c r="F344" s="56">
        <v>98.0</v>
      </c>
      <c r="G344" s="76" t="str">
        <f>IFERROR(__xludf.DUMMYFUNCTION("ArrayFormula(IFERROR(VLOOKUP(E344,IMPORTRANGE(""https://docs.google.com/spreadsheets/d/1xZyKy-UzMmtPDLpV5jQdYum1LtbR8XKDuasLSjmBRMI/edit#gid=1241094406"",""COMBINED DATA!E3:L""),{7,8},0)))"),"")</f>
        <v/>
      </c>
      <c r="H344" s="76"/>
      <c r="I344" s="16"/>
      <c r="J344" s="16"/>
      <c r="K344" s="85">
        <f t="shared" ref="K344:K348" si="212">IFERROR(G344*100,)</f>
        <v>0</v>
      </c>
      <c r="L344" s="85">
        <f t="shared" ref="L344:L348" si="213">IFERROR(H344*725,)</f>
        <v>0</v>
      </c>
      <c r="M344" s="286">
        <v>28.0</v>
      </c>
      <c r="N344" s="85">
        <f t="shared" si="7"/>
        <v>3.5</v>
      </c>
      <c r="O344" s="310">
        <v>98.0</v>
      </c>
      <c r="P344" s="88"/>
      <c r="Q344" s="85"/>
      <c r="R344" s="85"/>
      <c r="S344" s="20"/>
      <c r="T344" s="20"/>
      <c r="U344" s="16"/>
      <c r="V344" s="16"/>
      <c r="W344" s="16"/>
      <c r="X344" s="16"/>
      <c r="Y344" s="16"/>
      <c r="Z344" s="16"/>
    </row>
    <row r="345" ht="15.75" customHeight="1">
      <c r="A345" s="67" t="str">
        <f t="shared" si="211"/>
        <v>Solvent Aqua Clear04 OZ/118 Tin</v>
      </c>
      <c r="B345" s="151">
        <v>2.0</v>
      </c>
      <c r="C345" s="372" t="s">
        <v>1728</v>
      </c>
      <c r="D345" s="180"/>
      <c r="E345" s="112" t="s">
        <v>1730</v>
      </c>
      <c r="F345" s="56">
        <v>168.0</v>
      </c>
      <c r="G345" s="76" t="str">
        <f>IFERROR(__xludf.DUMMYFUNCTION("ArrayFormula(IFERROR(VLOOKUP(E345,IMPORTRANGE(""https://docs.google.com/spreadsheets/d/1xZyKy-UzMmtPDLpV5jQdYum1LtbR8XKDuasLSjmBRMI/edit#gid=1241094406"",""COMBINED DATA!E3:L""),{7,8},0)))"),"")</f>
        <v/>
      </c>
      <c r="H345" s="76"/>
      <c r="I345" s="16"/>
      <c r="J345" s="16"/>
      <c r="K345" s="85">
        <f t="shared" si="212"/>
        <v>0</v>
      </c>
      <c r="L345" s="85">
        <f t="shared" si="213"/>
        <v>0</v>
      </c>
      <c r="M345" s="286">
        <v>42.0</v>
      </c>
      <c r="N345" s="85">
        <f t="shared" si="7"/>
        <v>4</v>
      </c>
      <c r="O345" s="310">
        <v>168.0</v>
      </c>
      <c r="P345" s="75"/>
      <c r="Q345" s="85"/>
      <c r="R345" s="85"/>
      <c r="S345" s="20"/>
      <c r="T345" s="20"/>
      <c r="U345" s="16"/>
      <c r="V345" s="16"/>
      <c r="W345" s="16"/>
      <c r="X345" s="16"/>
      <c r="Y345" s="16"/>
      <c r="Z345" s="16"/>
    </row>
    <row r="346" ht="15.75" customHeight="1">
      <c r="A346" s="67" t="str">
        <f t="shared" si="211"/>
        <v>Solvent Aqua Clear08 OZ/237 Tin</v>
      </c>
      <c r="B346" s="151">
        <v>3.0</v>
      </c>
      <c r="C346" s="372" t="s">
        <v>1733</v>
      </c>
      <c r="D346" s="180"/>
      <c r="E346" s="112" t="s">
        <v>1734</v>
      </c>
      <c r="F346" s="56">
        <v>248.0</v>
      </c>
      <c r="G346" s="76" t="str">
        <f>IFERROR(__xludf.DUMMYFUNCTION("ArrayFormula(IFERROR(VLOOKUP(E346,IMPORTRANGE(""https://docs.google.com/spreadsheets/d/1xZyKy-UzMmtPDLpV5jQdYum1LtbR8XKDuasLSjmBRMI/edit#gid=1241094406"",""COMBINED DATA!E3:L""),{7,8},0)))"),"")</f>
        <v/>
      </c>
      <c r="H346" s="76"/>
      <c r="I346" s="16"/>
      <c r="J346" s="16"/>
      <c r="K346" s="85">
        <f t="shared" si="212"/>
        <v>0</v>
      </c>
      <c r="L346" s="85">
        <f t="shared" si="213"/>
        <v>0</v>
      </c>
      <c r="M346" s="286">
        <v>70.0</v>
      </c>
      <c r="N346" s="85">
        <f t="shared" si="7"/>
        <v>3.542857143</v>
      </c>
      <c r="O346" s="310">
        <v>248.0</v>
      </c>
      <c r="P346" s="75"/>
      <c r="Q346" s="85"/>
      <c r="R346" s="85"/>
      <c r="S346" s="20"/>
      <c r="T346" s="20"/>
      <c r="U346" s="16"/>
      <c r="V346" s="16"/>
      <c r="W346" s="16"/>
      <c r="X346" s="16"/>
      <c r="Y346" s="16"/>
      <c r="Z346" s="16"/>
    </row>
    <row r="347" ht="15.75" customHeight="1">
      <c r="A347" s="67" t="str">
        <f t="shared" si="211"/>
        <v>Solvent Aqua Clear16 OZ/437 Tin</v>
      </c>
      <c r="B347" s="151">
        <v>4.0</v>
      </c>
      <c r="C347" s="372" t="s">
        <v>1738</v>
      </c>
      <c r="D347" s="180"/>
      <c r="E347" s="112" t="s">
        <v>1740</v>
      </c>
      <c r="F347" s="56">
        <v>448.0</v>
      </c>
      <c r="G347" s="76" t="str">
        <f>IFERROR(__xludf.DUMMYFUNCTION("ArrayFormula(IFERROR(VLOOKUP(E347,IMPORTRANGE(""https://docs.google.com/spreadsheets/d/1xZyKy-UzMmtPDLpV5jQdYum1LtbR8XKDuasLSjmBRMI/edit#gid=1241094406"",""COMBINED DATA!E3:L""),{7,8},0)))"),"")</f>
        <v/>
      </c>
      <c r="H347" s="76"/>
      <c r="I347" s="16"/>
      <c r="J347" s="16"/>
      <c r="K347" s="85">
        <f t="shared" si="212"/>
        <v>0</v>
      </c>
      <c r="L347" s="85">
        <f t="shared" si="213"/>
        <v>0</v>
      </c>
      <c r="M347" s="286">
        <v>124.0</v>
      </c>
      <c r="N347" s="85">
        <f t="shared" si="7"/>
        <v>3.612903226</v>
      </c>
      <c r="O347" s="310">
        <v>448.0</v>
      </c>
      <c r="P347" s="75"/>
      <c r="Q347" s="85"/>
      <c r="R347" s="85"/>
      <c r="S347" s="20"/>
      <c r="T347" s="20"/>
      <c r="U347" s="16"/>
      <c r="V347" s="16"/>
      <c r="W347" s="16"/>
      <c r="X347" s="16"/>
      <c r="Y347" s="16"/>
      <c r="Z347" s="16"/>
    </row>
    <row r="348" ht="15.75" customHeight="1">
      <c r="A348" s="67" t="str">
        <f t="shared" si="211"/>
        <v>Solvent Aqua Clear32 OZ/946 Tin</v>
      </c>
      <c r="B348" s="151">
        <v>5.0</v>
      </c>
      <c r="C348" s="372" t="s">
        <v>1742</v>
      </c>
      <c r="D348" s="180"/>
      <c r="E348" s="112" t="s">
        <v>1744</v>
      </c>
      <c r="F348" s="56">
        <v>828.0</v>
      </c>
      <c r="G348" s="76" t="str">
        <f>IFERROR(__xludf.DUMMYFUNCTION("ArrayFormula(IFERROR(VLOOKUP(E348,IMPORTRANGE(""https://docs.google.com/spreadsheets/d/1xZyKy-UzMmtPDLpV5jQdYum1LtbR8XKDuasLSjmBRMI/edit#gid=1241094406"",""COMBINED DATA!E3:L""),{7,8},0)))"),"")</f>
        <v/>
      </c>
      <c r="H348" s="76"/>
      <c r="I348" s="16"/>
      <c r="J348" s="16"/>
      <c r="K348" s="85">
        <f t="shared" si="212"/>
        <v>0</v>
      </c>
      <c r="L348" s="85">
        <f t="shared" si="213"/>
        <v>0</v>
      </c>
      <c r="M348" s="286">
        <v>240.0</v>
      </c>
      <c r="N348" s="85">
        <f t="shared" si="7"/>
        <v>3.45</v>
      </c>
      <c r="O348" s="310">
        <v>828.0</v>
      </c>
      <c r="P348" s="75"/>
      <c r="Q348" s="85"/>
      <c r="R348" s="85"/>
      <c r="S348" s="20"/>
      <c r="T348" s="20"/>
      <c r="U348" s="16"/>
      <c r="V348" s="16"/>
      <c r="W348" s="16"/>
      <c r="X348" s="16"/>
      <c r="Y348" s="16"/>
      <c r="Z348" s="16"/>
    </row>
    <row r="349">
      <c r="A349" s="34"/>
      <c r="B349" s="237" t="s">
        <v>11</v>
      </c>
      <c r="C349" s="45"/>
      <c r="D349" s="45"/>
      <c r="E349" s="46"/>
      <c r="F349" s="103">
        <f>SUM(F344:F348)</f>
        <v>1790</v>
      </c>
      <c r="G349" s="250"/>
      <c r="H349" s="243"/>
      <c r="I349" s="243"/>
      <c r="J349" s="243"/>
      <c r="K349" s="85"/>
      <c r="L349" s="85"/>
      <c r="M349" s="85"/>
      <c r="N349" s="85" t="str">
        <f t="shared" si="7"/>
        <v/>
      </c>
      <c r="O349" s="103">
        <f>SUM(O344:O348)</f>
        <v>1790</v>
      </c>
      <c r="P349" s="307"/>
      <c r="Q349" s="85"/>
      <c r="R349" s="85"/>
      <c r="S349" s="15"/>
      <c r="T349" s="15"/>
      <c r="U349" s="243"/>
      <c r="V349" s="243"/>
      <c r="W349" s="243"/>
      <c r="X349" s="243"/>
      <c r="Y349" s="243"/>
      <c r="Z349" s="243"/>
    </row>
    <row r="350" ht="5.25" customHeight="1">
      <c r="A350" s="34"/>
      <c r="B350" s="15"/>
      <c r="C350" s="15"/>
      <c r="D350" s="15"/>
      <c r="E350" s="17"/>
      <c r="F350" s="15"/>
      <c r="G350" s="250"/>
      <c r="H350" s="243"/>
      <c r="I350" s="243"/>
      <c r="J350" s="243"/>
      <c r="K350" s="85"/>
      <c r="L350" s="85"/>
      <c r="M350" s="85"/>
      <c r="N350" s="85" t="str">
        <f t="shared" si="7"/>
        <v/>
      </c>
      <c r="O350" s="29"/>
      <c r="P350" s="307"/>
      <c r="Q350" s="85"/>
      <c r="R350" s="85"/>
      <c r="S350" s="15"/>
      <c r="T350" s="15"/>
      <c r="U350" s="243"/>
      <c r="V350" s="243"/>
      <c r="W350" s="243"/>
      <c r="X350" s="243"/>
      <c r="Y350" s="243"/>
      <c r="Z350" s="243"/>
    </row>
    <row r="351" ht="22.5" customHeight="1">
      <c r="A351" s="34"/>
      <c r="B351" s="322" t="s">
        <v>709</v>
      </c>
      <c r="C351" s="45"/>
      <c r="D351" s="45"/>
      <c r="E351" s="45"/>
      <c r="F351" s="46"/>
      <c r="G351" s="250"/>
      <c r="H351" s="243"/>
      <c r="I351" s="243"/>
      <c r="J351" s="243"/>
      <c r="K351" s="85"/>
      <c r="L351" s="85"/>
      <c r="M351" s="85"/>
      <c r="N351" s="85" t="str">
        <f t="shared" si="7"/>
        <v/>
      </c>
      <c r="O351" s="29"/>
      <c r="P351" s="307"/>
      <c r="Q351" s="85"/>
      <c r="R351" s="85"/>
      <c r="S351" s="15"/>
      <c r="T351" s="15"/>
      <c r="U351" s="243"/>
      <c r="V351" s="243"/>
      <c r="W351" s="243"/>
      <c r="X351" s="243"/>
      <c r="Y351" s="243"/>
      <c r="Z351" s="243"/>
    </row>
    <row r="352" ht="15.75" customHeight="1">
      <c r="A352" s="67" t="str">
        <f t="shared" ref="A352:A357" si="214">$B$351&amp;C352&amp;D352</f>
        <v>Long Concealed Valve (Quarter Turn)1⁄2VIVA</v>
      </c>
      <c r="B352" s="51">
        <v>1.0</v>
      </c>
      <c r="C352" s="70" t="s">
        <v>43</v>
      </c>
      <c r="D352" s="110" t="s">
        <v>716</v>
      </c>
      <c r="E352" s="111" t="s">
        <v>906</v>
      </c>
      <c r="F352" s="56">
        <v>735.0</v>
      </c>
      <c r="G352" s="76"/>
      <c r="H352" s="58">
        <v>0.019</v>
      </c>
      <c r="I352" s="16"/>
      <c r="J352" s="16"/>
      <c r="K352" s="85">
        <f t="shared" ref="K352:K357" si="215">IFERROR(G352*100,)</f>
        <v>0</v>
      </c>
      <c r="L352" s="85">
        <f t="shared" ref="L352:L357" si="216">IFERROR(H352*725,)</f>
        <v>13.775</v>
      </c>
      <c r="M352" s="85">
        <f t="shared" ref="M352:M357" si="217">IFERROR(K352+L352,"")</f>
        <v>13.775</v>
      </c>
      <c r="N352" s="85">
        <f t="shared" si="7"/>
        <v>53.35753176</v>
      </c>
      <c r="O352" s="310" t="str">
        <f>VLOOKUP(E352,'U Fittings (Brass)'!$E$5:$Q1076,14,0)</f>
        <v>#REF!</v>
      </c>
      <c r="P352" s="88">
        <f>VLOOKUP(E352,CV!$A$2:$H1076,8,0)</f>
        <v>232.72</v>
      </c>
      <c r="Q352" s="85" t="str">
        <f t="shared" ref="Q352:Q357" si="218">O352/P352</f>
        <v>#REF!</v>
      </c>
      <c r="R352" s="85"/>
      <c r="S352" s="20"/>
      <c r="T352" s="20"/>
      <c r="U352" s="16"/>
      <c r="V352" s="16"/>
      <c r="W352" s="16"/>
      <c r="X352" s="16"/>
      <c r="Y352" s="16"/>
      <c r="Z352" s="16"/>
    </row>
    <row r="353" ht="15.75" customHeight="1">
      <c r="A353" s="67" t="str">
        <f t="shared" si="214"/>
        <v>Long Concealed Valve (Quarter Turn)1⁄2SAGA</v>
      </c>
      <c r="B353" s="150">
        <v>2.0</v>
      </c>
      <c r="C353" s="92" t="s">
        <v>43</v>
      </c>
      <c r="D353" s="152" t="s">
        <v>729</v>
      </c>
      <c r="E353" s="112" t="s">
        <v>904</v>
      </c>
      <c r="F353" s="56">
        <v>740.0</v>
      </c>
      <c r="G353" s="76"/>
      <c r="H353" s="58">
        <v>0.019</v>
      </c>
      <c r="I353" s="16"/>
      <c r="J353" s="16"/>
      <c r="K353" s="85">
        <f t="shared" si="215"/>
        <v>0</v>
      </c>
      <c r="L353" s="85">
        <f t="shared" si="216"/>
        <v>13.775</v>
      </c>
      <c r="M353" s="85">
        <f t="shared" si="217"/>
        <v>13.775</v>
      </c>
      <c r="N353" s="85">
        <f t="shared" si="7"/>
        <v>53.72050817</v>
      </c>
      <c r="O353" s="310" t="str">
        <f>VLOOKUP(E353,'U Fittings (Brass)'!$E$5:$Q1076,14,0)</f>
        <v>#REF!</v>
      </c>
      <c r="P353" s="88">
        <f>VLOOKUP(E353,CV!$A$2:$H1076,8,0)</f>
        <v>189.73</v>
      </c>
      <c r="Q353" s="85" t="str">
        <f t="shared" si="218"/>
        <v>#REF!</v>
      </c>
      <c r="R353" s="85"/>
      <c r="S353" s="20"/>
      <c r="T353" s="20"/>
      <c r="U353" s="16"/>
      <c r="V353" s="16"/>
      <c r="W353" s="16"/>
      <c r="X353" s="16"/>
      <c r="Y353" s="16"/>
      <c r="Z353" s="16"/>
    </row>
    <row r="354" ht="15.75" customHeight="1">
      <c r="A354" s="67" t="str">
        <f t="shared" si="214"/>
        <v>Long Concealed Valve (Quarter Turn)1⁄2URBONA</v>
      </c>
      <c r="B354" s="150">
        <v>3.0</v>
      </c>
      <c r="C354" s="92" t="s">
        <v>43</v>
      </c>
      <c r="D354" s="127" t="s">
        <v>741</v>
      </c>
      <c r="E354" s="112" t="s">
        <v>901</v>
      </c>
      <c r="F354" s="56">
        <v>750.0</v>
      </c>
      <c r="G354" s="76"/>
      <c r="H354" s="58">
        <v>0.019</v>
      </c>
      <c r="I354" s="16"/>
      <c r="J354" s="16"/>
      <c r="K354" s="85">
        <f t="shared" si="215"/>
        <v>0</v>
      </c>
      <c r="L354" s="85">
        <f t="shared" si="216"/>
        <v>13.775</v>
      </c>
      <c r="M354" s="85">
        <f t="shared" si="217"/>
        <v>13.775</v>
      </c>
      <c r="N354" s="85">
        <f t="shared" si="7"/>
        <v>54.44646098</v>
      </c>
      <c r="O354" s="310" t="str">
        <f>VLOOKUP(E354,'U Fittings (Brass)'!$E$5:$Q1076,14,0)</f>
        <v>#REF!</v>
      </c>
      <c r="P354" s="88">
        <f>VLOOKUP(E354,CV!$A$2:$H1076,8,0)</f>
        <v>184.83</v>
      </c>
      <c r="Q354" s="85" t="str">
        <f t="shared" si="218"/>
        <v>#REF!</v>
      </c>
      <c r="R354" s="85"/>
      <c r="S354" s="20"/>
      <c r="T354" s="20"/>
      <c r="U354" s="16"/>
      <c r="V354" s="16"/>
      <c r="W354" s="16"/>
      <c r="X354" s="16"/>
      <c r="Y354" s="16"/>
      <c r="Z354" s="16"/>
    </row>
    <row r="355" ht="15.75" customHeight="1">
      <c r="A355" s="67" t="str">
        <f t="shared" si="214"/>
        <v>Long Concealed Valve (Quarter Turn)1⁄2MACASA</v>
      </c>
      <c r="B355" s="150">
        <v>4.0</v>
      </c>
      <c r="C355" s="92" t="s">
        <v>43</v>
      </c>
      <c r="D355" s="127" t="s">
        <v>748</v>
      </c>
      <c r="E355" s="112" t="s">
        <v>898</v>
      </c>
      <c r="F355" s="56">
        <v>750.0</v>
      </c>
      <c r="G355" s="76"/>
      <c r="H355" s="58">
        <v>0.019</v>
      </c>
      <c r="I355" s="16"/>
      <c r="J355" s="16"/>
      <c r="K355" s="85">
        <f t="shared" si="215"/>
        <v>0</v>
      </c>
      <c r="L355" s="85">
        <f t="shared" si="216"/>
        <v>13.775</v>
      </c>
      <c r="M355" s="85">
        <f t="shared" si="217"/>
        <v>13.775</v>
      </c>
      <c r="N355" s="85">
        <f t="shared" si="7"/>
        <v>54.44646098</v>
      </c>
      <c r="O355" s="310" t="str">
        <f>VLOOKUP(E355,'U Fittings (Brass)'!$E$5:$Q1076,14,0)</f>
        <v>#REF!</v>
      </c>
      <c r="P355" s="88">
        <f>VLOOKUP(E355,CV!$A$2:$H1076,8,0)</f>
        <v>172.67</v>
      </c>
      <c r="Q355" s="85" t="str">
        <f t="shared" si="218"/>
        <v>#REF!</v>
      </c>
      <c r="R355" s="85"/>
      <c r="S355" s="20"/>
      <c r="T355" s="20"/>
      <c r="U355" s="16"/>
      <c r="V355" s="16"/>
      <c r="W355" s="16"/>
      <c r="X355" s="16"/>
      <c r="Y355" s="16"/>
      <c r="Z355" s="16"/>
    </row>
    <row r="356" ht="15.75" customHeight="1">
      <c r="A356" s="67" t="str">
        <f t="shared" si="214"/>
        <v>Long Concealed Valve (Quarter Turn)1⁄2GRACIA</v>
      </c>
      <c r="B356" s="150">
        <v>5.0</v>
      </c>
      <c r="C356" s="92" t="s">
        <v>43</v>
      </c>
      <c r="D356" s="127" t="s">
        <v>754</v>
      </c>
      <c r="E356" s="112" t="s">
        <v>895</v>
      </c>
      <c r="F356" s="56">
        <v>754.0</v>
      </c>
      <c r="G356" s="76"/>
      <c r="H356" s="58">
        <v>0.019</v>
      </c>
      <c r="I356" s="16"/>
      <c r="J356" s="16"/>
      <c r="K356" s="85">
        <f t="shared" si="215"/>
        <v>0</v>
      </c>
      <c r="L356" s="85">
        <f t="shared" si="216"/>
        <v>13.775</v>
      </c>
      <c r="M356" s="85">
        <f t="shared" si="217"/>
        <v>13.775</v>
      </c>
      <c r="N356" s="85">
        <f t="shared" si="7"/>
        <v>54.73684211</v>
      </c>
      <c r="O356" s="310" t="str">
        <f>VLOOKUP(E356,'U Fittings (Brass)'!$E$5:$Q1076,14,0)</f>
        <v>#REF!</v>
      </c>
      <c r="P356" s="88">
        <f>VLOOKUP(E356,CV!$A$2:$H1076,8,0)</f>
        <v>196.74</v>
      </c>
      <c r="Q356" s="85" t="str">
        <f t="shared" si="218"/>
        <v>#REF!</v>
      </c>
      <c r="R356" s="85"/>
      <c r="S356" s="20"/>
      <c r="T356" s="20"/>
      <c r="U356" s="16"/>
      <c r="V356" s="16"/>
      <c r="W356" s="16"/>
      <c r="X356" s="16"/>
      <c r="Y356" s="16"/>
      <c r="Z356" s="16"/>
    </row>
    <row r="357" ht="15.75" customHeight="1">
      <c r="A357" s="67" t="str">
        <f t="shared" si="214"/>
        <v>Long Concealed Valve (Quarter Turn)1⁄2TRIANGULER</v>
      </c>
      <c r="B357" s="150">
        <v>6.0</v>
      </c>
      <c r="C357" s="92" t="s">
        <v>43</v>
      </c>
      <c r="D357" s="127" t="s">
        <v>760</v>
      </c>
      <c r="E357" s="112" t="s">
        <v>892</v>
      </c>
      <c r="F357" s="56">
        <v>728.0</v>
      </c>
      <c r="G357" s="76"/>
      <c r="H357" s="58">
        <v>0.019</v>
      </c>
      <c r="I357" s="16"/>
      <c r="J357" s="16"/>
      <c r="K357" s="85">
        <f t="shared" si="215"/>
        <v>0</v>
      </c>
      <c r="L357" s="85">
        <f t="shared" si="216"/>
        <v>13.775</v>
      </c>
      <c r="M357" s="85">
        <f t="shared" si="217"/>
        <v>13.775</v>
      </c>
      <c r="N357" s="85">
        <f t="shared" si="7"/>
        <v>52.84936479</v>
      </c>
      <c r="O357" s="310" t="str">
        <f>VLOOKUP(E357,'U Fittings (Brass)'!$E$5:$Q1076,14,0)</f>
        <v>#REF!</v>
      </c>
      <c r="P357" s="88">
        <f>VLOOKUP(E357,CV!$A$2:$H1076,8,0)</f>
        <v>193.73</v>
      </c>
      <c r="Q357" s="85" t="str">
        <f t="shared" si="218"/>
        <v>#REF!</v>
      </c>
      <c r="R357" s="85"/>
      <c r="S357" s="20"/>
      <c r="T357" s="20"/>
      <c r="U357" s="16"/>
      <c r="V357" s="16"/>
      <c r="W357" s="16"/>
      <c r="X357" s="16"/>
      <c r="Y357" s="16"/>
      <c r="Z357" s="16"/>
    </row>
    <row r="358">
      <c r="A358" s="34"/>
      <c r="B358" s="314" t="s">
        <v>11</v>
      </c>
      <c r="C358" s="273"/>
      <c r="D358" s="273"/>
      <c r="E358" s="180"/>
      <c r="F358" s="315">
        <f>SUM(F352:F357)</f>
        <v>4457</v>
      </c>
      <c r="G358" s="250"/>
      <c r="H358" s="243"/>
      <c r="I358" s="243"/>
      <c r="J358" s="243"/>
      <c r="K358" s="85"/>
      <c r="L358" s="85"/>
      <c r="M358" s="85"/>
      <c r="N358" s="85" t="str">
        <f t="shared" si="7"/>
        <v/>
      </c>
      <c r="O358" s="240" t="str">
        <f>SUM(O352:O357)</f>
        <v>#REF!</v>
      </c>
      <c r="P358" s="307"/>
      <c r="Q358" s="85"/>
      <c r="R358" s="85"/>
      <c r="S358" s="15"/>
      <c r="T358" s="15"/>
      <c r="U358" s="243"/>
      <c r="V358" s="243"/>
      <c r="W358" s="243"/>
      <c r="X358" s="243"/>
      <c r="Y358" s="243"/>
      <c r="Z358" s="243"/>
    </row>
    <row r="359" ht="4.5" customHeight="1">
      <c r="A359" s="34"/>
      <c r="B359" s="15"/>
      <c r="C359" s="15"/>
      <c r="D359" s="15"/>
      <c r="E359" s="17"/>
      <c r="F359" s="15"/>
      <c r="G359" s="250"/>
      <c r="H359" s="243"/>
      <c r="I359" s="243"/>
      <c r="J359" s="243"/>
      <c r="K359" s="85"/>
      <c r="L359" s="85"/>
      <c r="M359" s="85"/>
      <c r="N359" s="85" t="str">
        <f t="shared" si="7"/>
        <v/>
      </c>
      <c r="O359" s="29"/>
      <c r="P359" s="307"/>
      <c r="Q359" s="85"/>
      <c r="R359" s="85"/>
      <c r="S359" s="15"/>
      <c r="T359" s="15"/>
      <c r="U359" s="243"/>
      <c r="V359" s="243"/>
      <c r="W359" s="243"/>
      <c r="X359" s="243"/>
      <c r="Y359" s="243"/>
      <c r="Z359" s="243"/>
    </row>
    <row r="360" ht="22.5" customHeight="1">
      <c r="A360" s="34"/>
      <c r="B360" s="322" t="s">
        <v>814</v>
      </c>
      <c r="C360" s="45"/>
      <c r="D360" s="45"/>
      <c r="E360" s="45"/>
      <c r="F360" s="46"/>
      <c r="G360" s="250"/>
      <c r="H360" s="243"/>
      <c r="I360" s="243"/>
      <c r="J360" s="243"/>
      <c r="K360" s="85"/>
      <c r="L360" s="85"/>
      <c r="M360" s="85"/>
      <c r="N360" s="85" t="str">
        <f t="shared" si="7"/>
        <v/>
      </c>
      <c r="O360" s="29"/>
      <c r="P360" s="307"/>
      <c r="Q360" s="85"/>
      <c r="R360" s="85"/>
      <c r="S360" s="15"/>
      <c r="T360" s="15"/>
      <c r="U360" s="243"/>
      <c r="V360" s="243"/>
      <c r="W360" s="243"/>
      <c r="X360" s="243"/>
      <c r="Y360" s="243"/>
      <c r="Z360" s="243"/>
    </row>
    <row r="361" ht="15.75" customHeight="1">
      <c r="A361" s="67" t="str">
        <f t="shared" ref="A361:A366" si="219">$B$360&amp;C361&amp;D361</f>
        <v>Short Concealed Valve (Quarter Turn)1⁄2VIVA</v>
      </c>
      <c r="B361" s="51">
        <v>1.0</v>
      </c>
      <c r="C361" s="70" t="s">
        <v>43</v>
      </c>
      <c r="D361" s="110" t="s">
        <v>716</v>
      </c>
      <c r="E361" s="111" t="s">
        <v>815</v>
      </c>
      <c r="F361" s="56">
        <v>698.0</v>
      </c>
      <c r="G361" s="76"/>
      <c r="H361" s="58">
        <v>0.019</v>
      </c>
      <c r="I361" s="16"/>
      <c r="J361" s="16"/>
      <c r="K361" s="85">
        <f t="shared" ref="K361:K366" si="220">IFERROR(G361*100,)</f>
        <v>0</v>
      </c>
      <c r="L361" s="85">
        <f t="shared" ref="L361:L366" si="221">IFERROR(H361*725,)</f>
        <v>13.775</v>
      </c>
      <c r="M361" s="85">
        <f t="shared" ref="M361:M366" si="222">IFERROR(K361+L361,"")</f>
        <v>13.775</v>
      </c>
      <c r="N361" s="85">
        <f t="shared" si="7"/>
        <v>50.67150635</v>
      </c>
      <c r="O361" s="310" t="str">
        <f>VLOOKUP(E361,'U Fittings (Brass)'!$E$5:$Q1076,14,0)</f>
        <v>#REF!</v>
      </c>
      <c r="P361" s="88">
        <f>VLOOKUP(E361,CV!$A$2:$H1076,8,0)</f>
        <v>213.51</v>
      </c>
      <c r="Q361" s="85" t="str">
        <f t="shared" ref="Q361:Q365" si="223">O361/P361</f>
        <v>#REF!</v>
      </c>
      <c r="R361" s="85"/>
      <c r="S361" s="20"/>
      <c r="T361" s="20"/>
      <c r="U361" s="16"/>
      <c r="V361" s="16"/>
      <c r="W361" s="16"/>
      <c r="X361" s="16"/>
      <c r="Y361" s="16"/>
      <c r="Z361" s="16"/>
    </row>
    <row r="362" ht="15.75" customHeight="1">
      <c r="A362" s="67" t="str">
        <f t="shared" si="219"/>
        <v>Short Concealed Valve (Quarter Turn)1⁄2SAGA</v>
      </c>
      <c r="B362" s="150">
        <v>2.0</v>
      </c>
      <c r="C362" s="92" t="s">
        <v>43</v>
      </c>
      <c r="D362" s="152" t="s">
        <v>729</v>
      </c>
      <c r="E362" s="112" t="s">
        <v>810</v>
      </c>
      <c r="F362" s="56">
        <v>702.0</v>
      </c>
      <c r="G362" s="76"/>
      <c r="H362" s="58">
        <v>0.019</v>
      </c>
      <c r="I362" s="16"/>
      <c r="J362" s="16"/>
      <c r="K362" s="85">
        <f t="shared" si="220"/>
        <v>0</v>
      </c>
      <c r="L362" s="85">
        <f t="shared" si="221"/>
        <v>13.775</v>
      </c>
      <c r="M362" s="85">
        <f t="shared" si="222"/>
        <v>13.775</v>
      </c>
      <c r="N362" s="85">
        <f t="shared" si="7"/>
        <v>50.96188748</v>
      </c>
      <c r="O362" s="310" t="str">
        <f>VLOOKUP(E362,'U Fittings (Brass)'!$E$5:$Q1076,14,0)</f>
        <v>#REF!</v>
      </c>
      <c r="P362" s="88">
        <f>VLOOKUP(E362,CV!$A$2:$H1076,8,0)</f>
        <v>194.7</v>
      </c>
      <c r="Q362" s="85" t="str">
        <f t="shared" si="223"/>
        <v>#REF!</v>
      </c>
      <c r="R362" s="85"/>
      <c r="S362" s="20"/>
      <c r="T362" s="20"/>
      <c r="U362" s="16"/>
      <c r="V362" s="16"/>
      <c r="W362" s="16"/>
      <c r="X362" s="16"/>
      <c r="Y362" s="16"/>
      <c r="Z362" s="16"/>
    </row>
    <row r="363" ht="15.75" customHeight="1">
      <c r="A363" s="67" t="str">
        <f t="shared" si="219"/>
        <v>Short Concealed Valve (Quarter Turn)1⁄2URBONA</v>
      </c>
      <c r="B363" s="150">
        <v>3.0</v>
      </c>
      <c r="C363" s="92" t="s">
        <v>43</v>
      </c>
      <c r="D363" s="127" t="s">
        <v>741</v>
      </c>
      <c r="E363" s="112" t="s">
        <v>806</v>
      </c>
      <c r="F363" s="56">
        <v>712.0</v>
      </c>
      <c r="G363" s="76"/>
      <c r="H363" s="58">
        <v>0.019</v>
      </c>
      <c r="I363" s="16"/>
      <c r="J363" s="16"/>
      <c r="K363" s="85">
        <f t="shared" si="220"/>
        <v>0</v>
      </c>
      <c r="L363" s="85">
        <f t="shared" si="221"/>
        <v>13.775</v>
      </c>
      <c r="M363" s="85">
        <f t="shared" si="222"/>
        <v>13.775</v>
      </c>
      <c r="N363" s="85">
        <f t="shared" si="7"/>
        <v>51.68784029</v>
      </c>
      <c r="O363" s="310" t="str">
        <f>VLOOKUP(E363,'U Fittings (Brass)'!$E$5:$Q1076,14,0)</f>
        <v>#REF!</v>
      </c>
      <c r="P363" s="88">
        <f>VLOOKUP(E363,CV!$A$2:$H1076,8,0)</f>
        <v>189.82</v>
      </c>
      <c r="Q363" s="85" t="str">
        <f t="shared" si="223"/>
        <v>#REF!</v>
      </c>
      <c r="R363" s="85"/>
      <c r="S363" s="20"/>
      <c r="T363" s="20"/>
      <c r="U363" s="16"/>
      <c r="V363" s="16"/>
      <c r="W363" s="16"/>
      <c r="X363" s="16"/>
      <c r="Y363" s="16"/>
      <c r="Z363" s="16"/>
    </row>
    <row r="364" ht="15.75" customHeight="1">
      <c r="A364" s="67" t="str">
        <f t="shared" si="219"/>
        <v>Short Concealed Valve (Quarter Turn)1⁄2MACASA</v>
      </c>
      <c r="B364" s="150">
        <v>4.0</v>
      </c>
      <c r="C364" s="92" t="s">
        <v>43</v>
      </c>
      <c r="D364" s="127" t="s">
        <v>748</v>
      </c>
      <c r="E364" s="112" t="s">
        <v>801</v>
      </c>
      <c r="F364" s="56">
        <v>712.0</v>
      </c>
      <c r="G364" s="76"/>
      <c r="H364" s="58">
        <v>0.019</v>
      </c>
      <c r="I364" s="16"/>
      <c r="J364" s="16"/>
      <c r="K364" s="85">
        <f t="shared" si="220"/>
        <v>0</v>
      </c>
      <c r="L364" s="85">
        <f t="shared" si="221"/>
        <v>13.775</v>
      </c>
      <c r="M364" s="85">
        <f t="shared" si="222"/>
        <v>13.775</v>
      </c>
      <c r="N364" s="85">
        <f t="shared" si="7"/>
        <v>51.68784029</v>
      </c>
      <c r="O364" s="310" t="str">
        <f>VLOOKUP(E364,'U Fittings (Brass)'!$E$5:$Q1076,14,0)</f>
        <v>#REF!</v>
      </c>
      <c r="P364" s="88">
        <f>VLOOKUP(E364,CV!$A$2:$H1076,8,0)</f>
        <v>177.66</v>
      </c>
      <c r="Q364" s="85" t="str">
        <f t="shared" si="223"/>
        <v>#REF!</v>
      </c>
      <c r="R364" s="85"/>
      <c r="S364" s="20"/>
      <c r="T364" s="20"/>
      <c r="U364" s="16"/>
      <c r="V364" s="16"/>
      <c r="W364" s="16"/>
      <c r="X364" s="16"/>
      <c r="Y364" s="16"/>
      <c r="Z364" s="16"/>
    </row>
    <row r="365" ht="15.75" customHeight="1">
      <c r="A365" s="67" t="str">
        <f t="shared" si="219"/>
        <v>Short Concealed Valve (Quarter Turn)1⁄2GRACIA</v>
      </c>
      <c r="B365" s="150">
        <v>5.0</v>
      </c>
      <c r="C365" s="92" t="s">
        <v>43</v>
      </c>
      <c r="D365" s="127" t="s">
        <v>754</v>
      </c>
      <c r="E365" s="112" t="s">
        <v>795</v>
      </c>
      <c r="F365" s="56">
        <v>722.0</v>
      </c>
      <c r="G365" s="76"/>
      <c r="H365" s="58">
        <v>0.019</v>
      </c>
      <c r="I365" s="16"/>
      <c r="J365" s="16"/>
      <c r="K365" s="85">
        <f t="shared" si="220"/>
        <v>0</v>
      </c>
      <c r="L365" s="85">
        <f t="shared" si="221"/>
        <v>13.775</v>
      </c>
      <c r="M365" s="85">
        <f t="shared" si="222"/>
        <v>13.775</v>
      </c>
      <c r="N365" s="85">
        <f t="shared" si="7"/>
        <v>52.4137931</v>
      </c>
      <c r="O365" s="310" t="str">
        <f>VLOOKUP(E365,'U Fittings (Brass)'!$E$5:$Q1076,14,0)</f>
        <v>#REF!</v>
      </c>
      <c r="P365" s="88">
        <f>VLOOKUP(E365,CV!$A$2:$H1076,8,0)</f>
        <v>191.73</v>
      </c>
      <c r="Q365" s="85" t="str">
        <f t="shared" si="223"/>
        <v>#REF!</v>
      </c>
      <c r="R365" s="85"/>
      <c r="S365" s="20"/>
      <c r="T365" s="20"/>
      <c r="U365" s="16"/>
      <c r="V365" s="16"/>
      <c r="W365" s="16"/>
      <c r="X365" s="16"/>
      <c r="Y365" s="16"/>
      <c r="Z365" s="16"/>
    </row>
    <row r="366" ht="15.75" customHeight="1">
      <c r="A366" s="67" t="str">
        <f t="shared" si="219"/>
        <v>Short Concealed Valve (Quarter Turn)1⁄2TRIANGULER</v>
      </c>
      <c r="B366" s="150">
        <v>6.0</v>
      </c>
      <c r="C366" s="92" t="s">
        <v>43</v>
      </c>
      <c r="D366" s="127" t="s">
        <v>760</v>
      </c>
      <c r="E366" s="112" t="s">
        <v>789</v>
      </c>
      <c r="F366" s="56">
        <v>702.0</v>
      </c>
      <c r="G366" s="76"/>
      <c r="H366" s="58">
        <v>0.019</v>
      </c>
      <c r="I366" s="16"/>
      <c r="J366" s="16"/>
      <c r="K366" s="85">
        <f t="shared" si="220"/>
        <v>0</v>
      </c>
      <c r="L366" s="85">
        <f t="shared" si="221"/>
        <v>13.775</v>
      </c>
      <c r="M366" s="85">
        <f t="shared" si="222"/>
        <v>13.775</v>
      </c>
      <c r="N366" s="85">
        <f t="shared" si="7"/>
        <v>50.96188748</v>
      </c>
      <c r="O366" s="310" t="str">
        <f>VLOOKUP(E366,'U Fittings (Brass)'!$E$5:$Q1076,14,0)</f>
        <v>#REF!</v>
      </c>
      <c r="P366" s="88" t="str">
        <f>VLOOKUP(E366,CV!$A$2:$H1076,8,0)</f>
        <v/>
      </c>
      <c r="Q366" s="85"/>
      <c r="R366" s="85"/>
      <c r="S366" s="20"/>
      <c r="T366" s="20"/>
      <c r="U366" s="16"/>
      <c r="V366" s="16"/>
      <c r="W366" s="16"/>
      <c r="X366" s="16"/>
      <c r="Y366" s="16"/>
      <c r="Z366" s="16"/>
    </row>
    <row r="367">
      <c r="A367" s="34"/>
      <c r="B367" s="314" t="s">
        <v>11</v>
      </c>
      <c r="C367" s="273"/>
      <c r="D367" s="273"/>
      <c r="E367" s="180"/>
      <c r="F367" s="315">
        <f>SUM(F361:F366)</f>
        <v>4248</v>
      </c>
      <c r="G367" s="250"/>
      <c r="H367" s="243"/>
      <c r="I367" s="243"/>
      <c r="J367" s="243"/>
      <c r="K367" s="85"/>
      <c r="L367" s="85"/>
      <c r="M367" s="85"/>
      <c r="N367" s="85" t="str">
        <f t="shared" si="7"/>
        <v/>
      </c>
      <c r="O367" s="240" t="str">
        <f>SUM(O361:O366)</f>
        <v>#REF!</v>
      </c>
      <c r="P367" s="307"/>
      <c r="Q367" s="85"/>
      <c r="R367" s="85"/>
      <c r="S367" s="15"/>
      <c r="T367" s="15"/>
      <c r="U367" s="243"/>
      <c r="V367" s="243"/>
      <c r="W367" s="243"/>
      <c r="X367" s="243"/>
      <c r="Y367" s="243"/>
      <c r="Z367" s="243"/>
    </row>
    <row r="368" ht="4.5" customHeight="1">
      <c r="A368" s="34"/>
      <c r="B368" s="15"/>
      <c r="C368" s="15"/>
      <c r="D368" s="15"/>
      <c r="E368" s="17"/>
      <c r="F368" s="15"/>
      <c r="G368" s="250"/>
      <c r="H368" s="243"/>
      <c r="I368" s="243"/>
      <c r="J368" s="243"/>
      <c r="K368" s="85"/>
      <c r="L368" s="85"/>
      <c r="M368" s="85"/>
      <c r="N368" s="85" t="str">
        <f t="shared" si="7"/>
        <v/>
      </c>
      <c r="O368" s="29"/>
      <c r="P368" s="307"/>
      <c r="Q368" s="85"/>
      <c r="R368" s="85"/>
      <c r="S368" s="15"/>
      <c r="T368" s="15"/>
      <c r="U368" s="243"/>
      <c r="V368" s="243"/>
      <c r="W368" s="243"/>
      <c r="X368" s="243"/>
      <c r="Y368" s="243"/>
      <c r="Z368" s="243"/>
    </row>
    <row r="369" ht="22.5" customHeight="1">
      <c r="A369" s="34"/>
      <c r="B369" s="322" t="s">
        <v>709</v>
      </c>
      <c r="C369" s="45"/>
      <c r="D369" s="45"/>
      <c r="E369" s="45"/>
      <c r="F369" s="46"/>
      <c r="G369" s="250"/>
      <c r="H369" s="243"/>
      <c r="I369" s="243"/>
      <c r="J369" s="243"/>
      <c r="K369" s="85"/>
      <c r="L369" s="85"/>
      <c r="M369" s="85"/>
      <c r="N369" s="85" t="str">
        <f t="shared" si="7"/>
        <v/>
      </c>
      <c r="O369" s="29"/>
      <c r="P369" s="307"/>
      <c r="Q369" s="85"/>
      <c r="R369" s="85"/>
      <c r="S369" s="15"/>
      <c r="T369" s="15"/>
      <c r="U369" s="243"/>
      <c r="V369" s="243"/>
      <c r="W369" s="243"/>
      <c r="X369" s="243"/>
      <c r="Y369" s="243"/>
      <c r="Z369" s="243"/>
    </row>
    <row r="370" ht="15.75" customHeight="1">
      <c r="A370" s="67" t="str">
        <f t="shared" ref="A370:A375" si="224">$B$369&amp;C370&amp;D370</f>
        <v>Long Concealed Valve (Quarter Turn)3⁄4VIVA</v>
      </c>
      <c r="B370" s="51">
        <v>1.0</v>
      </c>
      <c r="C370" s="70" t="s">
        <v>51</v>
      </c>
      <c r="D370" s="110" t="s">
        <v>716</v>
      </c>
      <c r="E370" s="111" t="s">
        <v>889</v>
      </c>
      <c r="F370" s="56">
        <v>701.0</v>
      </c>
      <c r="G370" s="76"/>
      <c r="H370" s="58">
        <v>0.043</v>
      </c>
      <c r="I370" s="16"/>
      <c r="J370" s="16"/>
      <c r="K370" s="85">
        <f t="shared" ref="K370:K375" si="225">IFERROR(G370*100,)</f>
        <v>0</v>
      </c>
      <c r="L370" s="85">
        <f t="shared" ref="L370:L375" si="226">IFERROR(H370*725,)</f>
        <v>31.175</v>
      </c>
      <c r="M370" s="85">
        <f t="shared" ref="M370:M375" si="227">IFERROR(K370+L370,"")</f>
        <v>31.175</v>
      </c>
      <c r="N370" s="85">
        <f t="shared" si="7"/>
        <v>22.48596632</v>
      </c>
      <c r="O370" s="310" t="str">
        <f>VLOOKUP(E370,'U Fittings (Brass)'!$E$5:$Q1076,14,0)</f>
        <v>#REF!</v>
      </c>
      <c r="P370" s="88">
        <f>VLOOKUP(E370,CV!$A$2:$H1076,8,0)</f>
        <v>221.83</v>
      </c>
      <c r="Q370" s="85" t="str">
        <f t="shared" ref="Q370:Q372" si="228">O370/P370</f>
        <v>#REF!</v>
      </c>
      <c r="R370" s="85"/>
      <c r="S370" s="20"/>
      <c r="T370" s="20"/>
      <c r="U370" s="16"/>
      <c r="V370" s="16"/>
      <c r="W370" s="16"/>
      <c r="X370" s="16"/>
      <c r="Y370" s="16"/>
      <c r="Z370" s="16"/>
    </row>
    <row r="371" ht="15.75" customHeight="1">
      <c r="A371" s="67" t="str">
        <f t="shared" si="224"/>
        <v>Long Concealed Valve (Quarter Turn)3⁄4SAGA</v>
      </c>
      <c r="B371" s="150">
        <v>2.0</v>
      </c>
      <c r="C371" s="92" t="s">
        <v>51</v>
      </c>
      <c r="D371" s="152" t="s">
        <v>729</v>
      </c>
      <c r="E371" s="112" t="s">
        <v>887</v>
      </c>
      <c r="F371" s="56">
        <v>728.0</v>
      </c>
      <c r="G371" s="76"/>
      <c r="H371" s="58">
        <v>0.043</v>
      </c>
      <c r="I371" s="16"/>
      <c r="J371" s="16"/>
      <c r="K371" s="85">
        <f t="shared" si="225"/>
        <v>0</v>
      </c>
      <c r="L371" s="85">
        <f t="shared" si="226"/>
        <v>31.175</v>
      </c>
      <c r="M371" s="85">
        <f t="shared" si="227"/>
        <v>31.175</v>
      </c>
      <c r="N371" s="85">
        <f t="shared" si="7"/>
        <v>23.35204491</v>
      </c>
      <c r="O371" s="310" t="str">
        <f>VLOOKUP(E371,'U Fittings (Brass)'!$E$5:$Q1076,14,0)</f>
        <v>#REF!</v>
      </c>
      <c r="P371" s="88">
        <f>VLOOKUP(E371,CV!$A$2:$H1076,8,0)</f>
        <v>187.68</v>
      </c>
      <c r="Q371" s="85" t="str">
        <f t="shared" si="228"/>
        <v>#REF!</v>
      </c>
      <c r="R371" s="85"/>
      <c r="S371" s="20"/>
      <c r="T371" s="20"/>
      <c r="U371" s="16"/>
      <c r="V371" s="16"/>
      <c r="W371" s="16"/>
      <c r="X371" s="16"/>
      <c r="Y371" s="16"/>
      <c r="Z371" s="16"/>
    </row>
    <row r="372" ht="15.75" customHeight="1">
      <c r="A372" s="67" t="str">
        <f t="shared" si="224"/>
        <v>Long Concealed Valve (Quarter Turn)3⁄4URBONA</v>
      </c>
      <c r="B372" s="150">
        <v>3.0</v>
      </c>
      <c r="C372" s="92" t="s">
        <v>51</v>
      </c>
      <c r="D372" s="127" t="s">
        <v>741</v>
      </c>
      <c r="E372" s="112" t="s">
        <v>883</v>
      </c>
      <c r="F372" s="56">
        <v>748.0</v>
      </c>
      <c r="G372" s="76"/>
      <c r="H372" s="58">
        <v>0.043</v>
      </c>
      <c r="I372" s="16"/>
      <c r="J372" s="16"/>
      <c r="K372" s="85">
        <f t="shared" si="225"/>
        <v>0</v>
      </c>
      <c r="L372" s="85">
        <f t="shared" si="226"/>
        <v>31.175</v>
      </c>
      <c r="M372" s="85">
        <f t="shared" si="227"/>
        <v>31.175</v>
      </c>
      <c r="N372" s="85">
        <f t="shared" si="7"/>
        <v>23.9935846</v>
      </c>
      <c r="O372" s="310" t="str">
        <f>VLOOKUP(E372,'U Fittings (Brass)'!$E$5:$Q1076,14,0)</f>
        <v>#REF!</v>
      </c>
      <c r="P372" s="88">
        <f>VLOOKUP(E372,CV!$A$2:$H1076,8,0)</f>
        <v>182.8</v>
      </c>
      <c r="Q372" s="85" t="str">
        <f t="shared" si="228"/>
        <v>#REF!</v>
      </c>
      <c r="R372" s="85"/>
      <c r="S372" s="20"/>
      <c r="T372" s="20"/>
      <c r="U372" s="16"/>
      <c r="V372" s="16"/>
      <c r="W372" s="16"/>
      <c r="X372" s="16"/>
      <c r="Y372" s="16"/>
      <c r="Z372" s="16"/>
    </row>
    <row r="373" ht="15.75" customHeight="1">
      <c r="A373" s="67" t="str">
        <f t="shared" si="224"/>
        <v>Long Concealed Valve (Quarter Turn)3⁄4MACASA</v>
      </c>
      <c r="B373" s="150">
        <v>4.0</v>
      </c>
      <c r="C373" s="92" t="s">
        <v>51</v>
      </c>
      <c r="D373" s="127" t="s">
        <v>748</v>
      </c>
      <c r="E373" s="112" t="s">
        <v>1276</v>
      </c>
      <c r="F373" s="56">
        <v>748.0</v>
      </c>
      <c r="G373" s="76"/>
      <c r="H373" s="58">
        <v>0.043</v>
      </c>
      <c r="I373" s="16"/>
      <c r="J373" s="16"/>
      <c r="K373" s="85">
        <f t="shared" si="225"/>
        <v>0</v>
      </c>
      <c r="L373" s="85">
        <f t="shared" si="226"/>
        <v>31.175</v>
      </c>
      <c r="M373" s="85">
        <f t="shared" si="227"/>
        <v>31.175</v>
      </c>
      <c r="N373" s="85">
        <f t="shared" si="7"/>
        <v>23.9935846</v>
      </c>
      <c r="O373" s="310" t="str">
        <f>VLOOKUP(E373,'U Fittings (Brass)'!$E$5:$Q1076,14,0)</f>
        <v>#REF!</v>
      </c>
      <c r="P373" s="88"/>
      <c r="Q373" s="85"/>
      <c r="R373" s="85"/>
      <c r="S373" s="20"/>
      <c r="T373" s="20"/>
      <c r="U373" s="16"/>
      <c r="V373" s="16"/>
      <c r="W373" s="16"/>
      <c r="X373" s="16"/>
      <c r="Y373" s="16"/>
      <c r="Z373" s="16"/>
    </row>
    <row r="374" ht="15.75" customHeight="1">
      <c r="A374" s="67" t="str">
        <f t="shared" si="224"/>
        <v>Long Concealed Valve (Quarter Turn)3⁄4GRACIA</v>
      </c>
      <c r="B374" s="150">
        <v>5.0</v>
      </c>
      <c r="C374" s="92" t="s">
        <v>51</v>
      </c>
      <c r="D374" s="127" t="s">
        <v>754</v>
      </c>
      <c r="E374" s="112" t="s">
        <v>875</v>
      </c>
      <c r="F374" s="56">
        <v>758.0</v>
      </c>
      <c r="G374" s="76"/>
      <c r="H374" s="58">
        <v>0.043</v>
      </c>
      <c r="I374" s="16"/>
      <c r="J374" s="16"/>
      <c r="K374" s="85">
        <f t="shared" si="225"/>
        <v>0</v>
      </c>
      <c r="L374" s="85">
        <f t="shared" si="226"/>
        <v>31.175</v>
      </c>
      <c r="M374" s="85">
        <f t="shared" si="227"/>
        <v>31.175</v>
      </c>
      <c r="N374" s="85">
        <f t="shared" si="7"/>
        <v>24.31435445</v>
      </c>
      <c r="O374" s="310" t="str">
        <f>VLOOKUP(E374,'U Fittings (Brass)'!$E$5:$Q1076,14,0)</f>
        <v>#REF!</v>
      </c>
      <c r="P374" s="88">
        <f>VLOOKUP(E374,CV!$A$2:$H1076,8,0)</f>
        <v>194.71</v>
      </c>
      <c r="Q374" s="85" t="str">
        <f>O374/P374</f>
        <v>#REF!</v>
      </c>
      <c r="R374" s="85"/>
      <c r="S374" s="20"/>
      <c r="T374" s="20"/>
      <c r="U374" s="16"/>
      <c r="V374" s="16"/>
      <c r="W374" s="16"/>
      <c r="X374" s="16"/>
      <c r="Y374" s="16"/>
      <c r="Z374" s="16"/>
    </row>
    <row r="375" ht="15.75" customHeight="1">
      <c r="A375" s="67" t="str">
        <f t="shared" si="224"/>
        <v>Long Concealed Valve (Quarter Turn)3⁄4TRIANGULER</v>
      </c>
      <c r="B375" s="150">
        <v>6.0</v>
      </c>
      <c r="C375" s="92" t="s">
        <v>51</v>
      </c>
      <c r="D375" s="127" t="s">
        <v>760</v>
      </c>
      <c r="E375" s="112" t="s">
        <v>1280</v>
      </c>
      <c r="F375" s="56">
        <v>728.0</v>
      </c>
      <c r="G375" s="76"/>
      <c r="H375" s="58">
        <v>0.043</v>
      </c>
      <c r="I375" s="16"/>
      <c r="J375" s="16"/>
      <c r="K375" s="85">
        <f t="shared" si="225"/>
        <v>0</v>
      </c>
      <c r="L375" s="85">
        <f t="shared" si="226"/>
        <v>31.175</v>
      </c>
      <c r="M375" s="85">
        <f t="shared" si="227"/>
        <v>31.175</v>
      </c>
      <c r="N375" s="85">
        <f t="shared" si="7"/>
        <v>23.35204491</v>
      </c>
      <c r="O375" s="310" t="str">
        <f>VLOOKUP(E375,'U Fittings (Brass)'!$E$5:$Q1076,14,0)</f>
        <v>#REF!</v>
      </c>
      <c r="P375" s="88"/>
      <c r="Q375" s="85"/>
      <c r="R375" s="85"/>
      <c r="S375" s="20"/>
      <c r="T375" s="20"/>
      <c r="U375" s="16"/>
      <c r="V375" s="16"/>
      <c r="W375" s="16"/>
      <c r="X375" s="16"/>
      <c r="Y375" s="16"/>
      <c r="Z375" s="16"/>
    </row>
    <row r="376">
      <c r="A376" s="34"/>
      <c r="B376" s="314" t="s">
        <v>11</v>
      </c>
      <c r="C376" s="273"/>
      <c r="D376" s="273"/>
      <c r="E376" s="180"/>
      <c r="F376" s="315">
        <f>SUM(F370:F375)</f>
        <v>4411</v>
      </c>
      <c r="G376" s="250"/>
      <c r="H376" s="243"/>
      <c r="I376" s="243"/>
      <c r="J376" s="243"/>
      <c r="K376" s="85"/>
      <c r="L376" s="85"/>
      <c r="M376" s="85"/>
      <c r="N376" s="85" t="str">
        <f t="shared" si="7"/>
        <v/>
      </c>
      <c r="O376" s="240" t="str">
        <f>SUM(O370:O375)</f>
        <v>#REF!</v>
      </c>
      <c r="P376" s="307"/>
      <c r="Q376" s="85"/>
      <c r="R376" s="85"/>
      <c r="S376" s="15"/>
      <c r="T376" s="15"/>
      <c r="U376" s="243"/>
      <c r="V376" s="243"/>
      <c r="W376" s="243"/>
      <c r="X376" s="243"/>
      <c r="Y376" s="243"/>
      <c r="Z376" s="243"/>
    </row>
    <row r="377" ht="6.0" customHeight="1">
      <c r="A377" s="34"/>
      <c r="B377" s="15"/>
      <c r="C377" s="15"/>
      <c r="D377" s="15"/>
      <c r="E377" s="17"/>
      <c r="F377" s="15"/>
      <c r="G377" s="250"/>
      <c r="H377" s="243"/>
      <c r="I377" s="243"/>
      <c r="J377" s="243"/>
      <c r="K377" s="85"/>
      <c r="L377" s="85"/>
      <c r="M377" s="85"/>
      <c r="N377" s="85" t="str">
        <f t="shared" si="7"/>
        <v/>
      </c>
      <c r="O377" s="29"/>
      <c r="P377" s="307"/>
      <c r="Q377" s="85"/>
      <c r="R377" s="85"/>
      <c r="S377" s="15"/>
      <c r="T377" s="15"/>
      <c r="U377" s="243"/>
      <c r="V377" s="243"/>
      <c r="W377" s="243"/>
      <c r="X377" s="243"/>
      <c r="Y377" s="243"/>
      <c r="Z377" s="243"/>
    </row>
    <row r="378" ht="22.5" customHeight="1">
      <c r="A378" s="34"/>
      <c r="B378" s="322" t="s">
        <v>814</v>
      </c>
      <c r="C378" s="45"/>
      <c r="D378" s="45"/>
      <c r="E378" s="45"/>
      <c r="F378" s="46"/>
      <c r="G378" s="250"/>
      <c r="H378" s="243"/>
      <c r="I378" s="243"/>
      <c r="J378" s="243"/>
      <c r="K378" s="85"/>
      <c r="L378" s="85"/>
      <c r="M378" s="85"/>
      <c r="N378" s="85" t="str">
        <f t="shared" si="7"/>
        <v/>
      </c>
      <c r="O378" s="29"/>
      <c r="P378" s="307"/>
      <c r="Q378" s="85"/>
      <c r="R378" s="85"/>
      <c r="S378" s="15"/>
      <c r="T378" s="15"/>
      <c r="U378" s="243"/>
      <c r="V378" s="243"/>
      <c r="W378" s="243"/>
      <c r="X378" s="243"/>
      <c r="Y378" s="243"/>
      <c r="Z378" s="243"/>
    </row>
    <row r="379" ht="15.75" customHeight="1">
      <c r="A379" s="67" t="str">
        <f t="shared" ref="A379:A384" si="229">$B$378&amp;C379&amp;D379</f>
        <v>Short Concealed Valve (Quarter Turn)3⁄4VIVA</v>
      </c>
      <c r="B379" s="51">
        <v>1.0</v>
      </c>
      <c r="C379" s="70" t="s">
        <v>51</v>
      </c>
      <c r="D379" s="110" t="s">
        <v>716</v>
      </c>
      <c r="E379" s="111" t="s">
        <v>786</v>
      </c>
      <c r="F379" s="56">
        <v>703.0</v>
      </c>
      <c r="G379" s="76"/>
      <c r="H379" s="58">
        <v>0.043</v>
      </c>
      <c r="I379" s="16"/>
      <c r="J379" s="16"/>
      <c r="K379" s="85">
        <f t="shared" ref="K379:K384" si="230">IFERROR(G379*100,)</f>
        <v>0</v>
      </c>
      <c r="L379" s="85">
        <f t="shared" ref="L379:L384" si="231">IFERROR(H379*725,)</f>
        <v>31.175</v>
      </c>
      <c r="M379" s="85">
        <f t="shared" ref="M379:M384" si="232">IFERROR(K379+L379,"")</f>
        <v>31.175</v>
      </c>
      <c r="N379" s="85">
        <f t="shared" si="7"/>
        <v>22.55012029</v>
      </c>
      <c r="O379" s="310" t="str">
        <f>VLOOKUP(E379,'U Fittings (Brass)'!$E$5:$Q1076,14,0)</f>
        <v>#REF!</v>
      </c>
      <c r="P379" s="88">
        <f>VLOOKUP(E379,CV!$A$2:$H1076,8,0)</f>
        <v>398.17</v>
      </c>
      <c r="Q379" s="85" t="str">
        <f t="shared" ref="Q379:Q384" si="233">O379/P379</f>
        <v>#REF!</v>
      </c>
      <c r="R379" s="85"/>
      <c r="S379" s="20"/>
      <c r="T379" s="20"/>
      <c r="U379" s="16"/>
      <c r="V379" s="16"/>
      <c r="W379" s="16"/>
      <c r="X379" s="16"/>
      <c r="Y379" s="16"/>
      <c r="Z379" s="16"/>
    </row>
    <row r="380" ht="15.75" customHeight="1">
      <c r="A380" s="67" t="str">
        <f t="shared" si="229"/>
        <v>Short Concealed Valve (Quarter Turn)3⁄4SAGA</v>
      </c>
      <c r="B380" s="150">
        <v>2.0</v>
      </c>
      <c r="C380" s="92" t="s">
        <v>51</v>
      </c>
      <c r="D380" s="152" t="s">
        <v>729</v>
      </c>
      <c r="E380" s="112" t="s">
        <v>781</v>
      </c>
      <c r="F380" s="56">
        <v>711.0</v>
      </c>
      <c r="G380" s="76"/>
      <c r="H380" s="58">
        <v>0.043</v>
      </c>
      <c r="I380" s="16"/>
      <c r="J380" s="16"/>
      <c r="K380" s="85">
        <f t="shared" si="230"/>
        <v>0</v>
      </c>
      <c r="L380" s="85">
        <f t="shared" si="231"/>
        <v>31.175</v>
      </c>
      <c r="M380" s="85">
        <f t="shared" si="232"/>
        <v>31.175</v>
      </c>
      <c r="N380" s="85">
        <f t="shared" si="7"/>
        <v>22.80673617</v>
      </c>
      <c r="O380" s="310" t="str">
        <f>VLOOKUP(E380,'U Fittings (Brass)'!$E$5:$Q1076,14,0)</f>
        <v>#REF!</v>
      </c>
      <c r="P380" s="88">
        <f>VLOOKUP(E380,CV!$A$2:$H1076,8,0)</f>
        <v>193.02</v>
      </c>
      <c r="Q380" s="85" t="str">
        <f t="shared" si="233"/>
        <v>#REF!</v>
      </c>
      <c r="R380" s="85"/>
      <c r="S380" s="20"/>
      <c r="T380" s="20"/>
      <c r="U380" s="16"/>
      <c r="V380" s="16"/>
      <c r="W380" s="16"/>
      <c r="X380" s="16"/>
      <c r="Y380" s="16"/>
      <c r="Z380" s="16"/>
    </row>
    <row r="381" ht="15.75" customHeight="1">
      <c r="A381" s="67" t="str">
        <f t="shared" si="229"/>
        <v>Short Concealed Valve (Quarter Turn)3⁄4URBONA</v>
      </c>
      <c r="B381" s="150">
        <v>3.0</v>
      </c>
      <c r="C381" s="92" t="s">
        <v>51</v>
      </c>
      <c r="D381" s="127" t="s">
        <v>741</v>
      </c>
      <c r="E381" s="112" t="s">
        <v>778</v>
      </c>
      <c r="F381" s="56">
        <v>720.0</v>
      </c>
      <c r="G381" s="76"/>
      <c r="H381" s="58">
        <v>0.043</v>
      </c>
      <c r="I381" s="16"/>
      <c r="J381" s="16"/>
      <c r="K381" s="85">
        <f t="shared" si="230"/>
        <v>0</v>
      </c>
      <c r="L381" s="85">
        <f t="shared" si="231"/>
        <v>31.175</v>
      </c>
      <c r="M381" s="85">
        <f t="shared" si="232"/>
        <v>31.175</v>
      </c>
      <c r="N381" s="85">
        <f t="shared" si="7"/>
        <v>23.09542903</v>
      </c>
      <c r="O381" s="310" t="str">
        <f>VLOOKUP(E381,'U Fittings (Brass)'!$E$5:$Q1076,14,0)</f>
        <v>#REF!</v>
      </c>
      <c r="P381" s="88">
        <f>VLOOKUP(E381,CV!$A$2:$H1076,8,0)</f>
        <v>179.94</v>
      </c>
      <c r="Q381" s="85" t="str">
        <f t="shared" si="233"/>
        <v>#REF!</v>
      </c>
      <c r="R381" s="85"/>
      <c r="S381" s="20"/>
      <c r="T381" s="20"/>
      <c r="U381" s="16"/>
      <c r="V381" s="16"/>
      <c r="W381" s="16"/>
      <c r="X381" s="16"/>
      <c r="Y381" s="16"/>
      <c r="Z381" s="16"/>
    </row>
    <row r="382" ht="15.75" customHeight="1">
      <c r="A382" s="67" t="str">
        <f t="shared" si="229"/>
        <v>Short Concealed Valve (Quarter Turn)3⁄4MACASA</v>
      </c>
      <c r="B382" s="150">
        <v>4.0</v>
      </c>
      <c r="C382" s="92" t="s">
        <v>51</v>
      </c>
      <c r="D382" s="127" t="s">
        <v>748</v>
      </c>
      <c r="E382" s="112" t="s">
        <v>774</v>
      </c>
      <c r="F382" s="56">
        <v>720.0</v>
      </c>
      <c r="G382" s="76"/>
      <c r="H382" s="58">
        <v>0.043</v>
      </c>
      <c r="I382" s="16"/>
      <c r="J382" s="16"/>
      <c r="K382" s="85">
        <f t="shared" si="230"/>
        <v>0</v>
      </c>
      <c r="L382" s="85">
        <f t="shared" si="231"/>
        <v>31.175</v>
      </c>
      <c r="M382" s="85">
        <f t="shared" si="232"/>
        <v>31.175</v>
      </c>
      <c r="N382" s="85">
        <f t="shared" si="7"/>
        <v>23.09542903</v>
      </c>
      <c r="O382" s="310" t="str">
        <f>VLOOKUP(E382,'U Fittings (Brass)'!$E$5:$Q1076,14,0)</f>
        <v>#REF!</v>
      </c>
      <c r="P382" s="88">
        <f>VLOOKUP(E382,CV!$A$2:$H1076,8,0)</f>
        <v>175.98</v>
      </c>
      <c r="Q382" s="85" t="str">
        <f t="shared" si="233"/>
        <v>#REF!</v>
      </c>
      <c r="R382" s="85"/>
      <c r="S382" s="20"/>
      <c r="T382" s="20"/>
      <c r="U382" s="16"/>
      <c r="V382" s="16"/>
      <c r="W382" s="16"/>
      <c r="X382" s="16"/>
      <c r="Y382" s="16"/>
      <c r="Z382" s="16"/>
    </row>
    <row r="383" ht="15.75" customHeight="1">
      <c r="A383" s="67" t="str">
        <f t="shared" si="229"/>
        <v>Short Concealed Valve (Quarter Turn)3⁄4GRACIA</v>
      </c>
      <c r="B383" s="150">
        <v>5.0</v>
      </c>
      <c r="C383" s="92" t="s">
        <v>51</v>
      </c>
      <c r="D383" s="127" t="s">
        <v>754</v>
      </c>
      <c r="E383" s="112" t="s">
        <v>771</v>
      </c>
      <c r="F383" s="56">
        <v>728.0</v>
      </c>
      <c r="G383" s="76"/>
      <c r="H383" s="58">
        <v>0.043</v>
      </c>
      <c r="I383" s="16"/>
      <c r="J383" s="16"/>
      <c r="K383" s="85">
        <f t="shared" si="230"/>
        <v>0</v>
      </c>
      <c r="L383" s="85">
        <f t="shared" si="231"/>
        <v>31.175</v>
      </c>
      <c r="M383" s="85">
        <f t="shared" si="232"/>
        <v>31.175</v>
      </c>
      <c r="N383" s="85">
        <f t="shared" si="7"/>
        <v>23.35204491</v>
      </c>
      <c r="O383" s="310" t="str">
        <f>VLOOKUP(E383,'U Fittings (Brass)'!$E$5:$Q1076,14,0)</f>
        <v>#REF!</v>
      </c>
      <c r="P383" s="88">
        <f>VLOOKUP(E383,CV!$A$2:$H1076,8,0)</f>
        <v>190.05</v>
      </c>
      <c r="Q383" s="85" t="str">
        <f t="shared" si="233"/>
        <v>#REF!</v>
      </c>
      <c r="R383" s="85"/>
      <c r="S383" s="20"/>
      <c r="T383" s="20"/>
      <c r="U383" s="16"/>
      <c r="V383" s="16"/>
      <c r="W383" s="16"/>
      <c r="X383" s="16"/>
      <c r="Y383" s="16"/>
      <c r="Z383" s="16"/>
    </row>
    <row r="384" ht="15.75" customHeight="1">
      <c r="A384" s="67" t="str">
        <f t="shared" si="229"/>
        <v>Short Concealed Valve (Quarter Turn)3⁄4TRIANGULER</v>
      </c>
      <c r="B384" s="150">
        <v>6.0</v>
      </c>
      <c r="C384" s="92" t="s">
        <v>51</v>
      </c>
      <c r="D384" s="127" t="s">
        <v>760</v>
      </c>
      <c r="E384" s="112" t="s">
        <v>766</v>
      </c>
      <c r="F384" s="56">
        <v>711.0</v>
      </c>
      <c r="G384" s="76"/>
      <c r="H384" s="58">
        <v>0.043</v>
      </c>
      <c r="I384" s="16"/>
      <c r="J384" s="16"/>
      <c r="K384" s="85">
        <f t="shared" si="230"/>
        <v>0</v>
      </c>
      <c r="L384" s="85">
        <f t="shared" si="231"/>
        <v>31.175</v>
      </c>
      <c r="M384" s="85">
        <f t="shared" si="232"/>
        <v>31.175</v>
      </c>
      <c r="N384" s="85">
        <f t="shared" si="7"/>
        <v>22.80673617</v>
      </c>
      <c r="O384" s="310" t="str">
        <f>VLOOKUP(E384,'U Fittings (Brass)'!$E$5:$Q1076,14,0)</f>
        <v>#REF!</v>
      </c>
      <c r="P384" s="88">
        <f>VLOOKUP(E384,CV!$A$2:$H1076,8,0)</f>
        <v>179.32</v>
      </c>
      <c r="Q384" s="85" t="str">
        <f t="shared" si="233"/>
        <v>#REF!</v>
      </c>
      <c r="R384" s="85"/>
      <c r="S384" s="20"/>
      <c r="T384" s="20"/>
      <c r="U384" s="16"/>
      <c r="V384" s="16"/>
      <c r="W384" s="16"/>
      <c r="X384" s="16"/>
      <c r="Y384" s="16"/>
      <c r="Z384" s="16"/>
    </row>
    <row r="385">
      <c r="A385" s="34"/>
      <c r="B385" s="314" t="s">
        <v>11</v>
      </c>
      <c r="C385" s="273"/>
      <c r="D385" s="273"/>
      <c r="E385" s="180"/>
      <c r="F385" s="315">
        <f>SUM(F379:F384)</f>
        <v>4293</v>
      </c>
      <c r="G385" s="250"/>
      <c r="H385" s="243"/>
      <c r="I385" s="243"/>
      <c r="J385" s="243"/>
      <c r="K385" s="85"/>
      <c r="L385" s="85"/>
      <c r="M385" s="85"/>
      <c r="N385" s="85" t="str">
        <f t="shared" si="7"/>
        <v/>
      </c>
      <c r="O385" s="240" t="str">
        <f>SUM(O379:O384)</f>
        <v>#REF!</v>
      </c>
      <c r="P385" s="307"/>
      <c r="Q385" s="29"/>
      <c r="R385" s="85"/>
      <c r="S385" s="15"/>
      <c r="T385" s="15"/>
      <c r="U385" s="243"/>
      <c r="V385" s="243"/>
      <c r="W385" s="243"/>
      <c r="X385" s="243"/>
      <c r="Y385" s="243"/>
      <c r="Z385" s="243"/>
    </row>
    <row r="386">
      <c r="A386" s="34"/>
      <c r="B386" s="15"/>
      <c r="C386" s="15"/>
      <c r="D386" s="15"/>
      <c r="E386" s="17"/>
      <c r="F386" s="15"/>
      <c r="G386" s="250"/>
      <c r="H386" s="243"/>
      <c r="I386" s="243"/>
      <c r="J386" s="243"/>
      <c r="K386" s="85"/>
      <c r="L386" s="85"/>
      <c r="M386" s="85"/>
      <c r="N386" s="85"/>
      <c r="O386" s="29"/>
      <c r="P386" s="307"/>
      <c r="Q386" s="29"/>
      <c r="R386" s="85"/>
      <c r="S386" s="15"/>
      <c r="T386" s="15"/>
      <c r="U386" s="243"/>
      <c r="V386" s="243"/>
      <c r="W386" s="243"/>
      <c r="X386" s="243"/>
      <c r="Y386" s="243"/>
      <c r="Z386" s="243"/>
    </row>
    <row r="387">
      <c r="A387" s="34"/>
      <c r="B387" s="237" t="s">
        <v>777</v>
      </c>
      <c r="C387" s="45"/>
      <c r="D387" s="45"/>
      <c r="E387" s="45"/>
      <c r="F387" s="46"/>
      <c r="G387" s="296"/>
      <c r="H387" s="296"/>
      <c r="I387" s="76"/>
      <c r="J387" s="65"/>
      <c r="K387" s="85"/>
      <c r="L387" s="85"/>
      <c r="M387" s="85"/>
      <c r="N387" s="85" t="str">
        <f t="shared" ref="N387:N397" si="234">IFERROR(#REF!/M387,"")</f>
        <v/>
      </c>
      <c r="O387" s="89"/>
      <c r="P387" s="307"/>
      <c r="Q387" s="29"/>
      <c r="R387" s="85"/>
      <c r="S387" s="15"/>
      <c r="T387" s="15"/>
      <c r="U387" s="243"/>
      <c r="V387" s="243"/>
      <c r="W387" s="243"/>
      <c r="X387" s="243"/>
      <c r="Y387" s="243"/>
      <c r="Z387" s="243"/>
    </row>
    <row r="388">
      <c r="A388" s="34"/>
      <c r="B388" s="51">
        <v>1.0</v>
      </c>
      <c r="C388" s="213" t="s">
        <v>84</v>
      </c>
      <c r="D388" s="152" t="s">
        <v>716</v>
      </c>
      <c r="E388" s="153" t="s">
        <v>1311</v>
      </c>
      <c r="F388" s="181">
        <v>1377.0</v>
      </c>
      <c r="G388" s="242"/>
      <c r="H388" s="242"/>
      <c r="I388" s="238" t="s">
        <v>722</v>
      </c>
      <c r="J388" s="65"/>
      <c r="K388" s="85"/>
      <c r="L388" s="85"/>
      <c r="M388" s="85"/>
      <c r="N388" s="85" t="str">
        <f t="shared" si="234"/>
        <v/>
      </c>
      <c r="O388" s="310" t="str">
        <f>VLOOKUP(E388,'U Fittings (Brass)'!$E$5:$Q1076,14,0)</f>
        <v>#REF!</v>
      </c>
      <c r="P388" s="88"/>
      <c r="Q388" s="29"/>
      <c r="R388" s="85"/>
      <c r="S388" s="15"/>
      <c r="T388" s="15"/>
      <c r="U388" s="243"/>
      <c r="V388" s="243"/>
      <c r="W388" s="243"/>
      <c r="X388" s="243"/>
      <c r="Y388" s="243"/>
      <c r="Z388" s="243"/>
    </row>
    <row r="389">
      <c r="A389" s="34"/>
      <c r="B389" s="150">
        <v>2.0</v>
      </c>
      <c r="C389" s="213" t="s">
        <v>84</v>
      </c>
      <c r="D389" s="152" t="s">
        <v>729</v>
      </c>
      <c r="E389" s="153" t="s">
        <v>1317</v>
      </c>
      <c r="F389" s="181">
        <v>1299.0</v>
      </c>
      <c r="G389" s="242"/>
      <c r="H389" s="242"/>
      <c r="I389" s="238" t="s">
        <v>722</v>
      </c>
      <c r="J389" s="65"/>
      <c r="K389" s="85"/>
      <c r="L389" s="85"/>
      <c r="M389" s="85"/>
      <c r="N389" s="85" t="str">
        <f t="shared" si="234"/>
        <v/>
      </c>
      <c r="O389" s="310" t="str">
        <f>VLOOKUP(E389,'U Fittings (Brass)'!$E$5:$Q1076,14,0)</f>
        <v>#REF!</v>
      </c>
      <c r="P389" s="88"/>
      <c r="Q389" s="29"/>
      <c r="R389" s="85"/>
      <c r="S389" s="15"/>
      <c r="T389" s="15"/>
      <c r="U389" s="243"/>
      <c r="V389" s="243"/>
      <c r="W389" s="243"/>
      <c r="X389" s="243"/>
      <c r="Y389" s="243"/>
      <c r="Z389" s="243"/>
    </row>
    <row r="390">
      <c r="A390" s="34"/>
      <c r="B390" s="150">
        <v>3.0</v>
      </c>
      <c r="C390" s="213" t="s">
        <v>84</v>
      </c>
      <c r="D390" s="321" t="s">
        <v>741</v>
      </c>
      <c r="E390" s="153" t="s">
        <v>1302</v>
      </c>
      <c r="F390" s="181">
        <v>1299.0</v>
      </c>
      <c r="G390" s="242"/>
      <c r="H390" s="242"/>
      <c r="I390" s="238" t="s">
        <v>722</v>
      </c>
      <c r="J390" s="65"/>
      <c r="K390" s="85"/>
      <c r="L390" s="85"/>
      <c r="M390" s="85"/>
      <c r="N390" s="85" t="str">
        <f t="shared" si="234"/>
        <v/>
      </c>
      <c r="O390" s="310" t="str">
        <f>VLOOKUP(E390,'U Fittings (Brass)'!$E$5:$Q1076,14,0)</f>
        <v>#REF!</v>
      </c>
      <c r="P390" s="88"/>
      <c r="Q390" s="29"/>
      <c r="R390" s="85"/>
      <c r="S390" s="15"/>
      <c r="T390" s="15"/>
      <c r="U390" s="243"/>
      <c r="V390" s="243"/>
      <c r="W390" s="243"/>
      <c r="X390" s="243"/>
      <c r="Y390" s="243"/>
      <c r="Z390" s="243"/>
    </row>
    <row r="391">
      <c r="A391" s="34"/>
      <c r="B391" s="150">
        <v>4.0</v>
      </c>
      <c r="C391" s="213" t="s">
        <v>84</v>
      </c>
      <c r="D391" s="152" t="s">
        <v>748</v>
      </c>
      <c r="E391" s="153" t="s">
        <v>1313</v>
      </c>
      <c r="F391" s="181">
        <v>1377.0</v>
      </c>
      <c r="G391" s="242"/>
      <c r="H391" s="242"/>
      <c r="I391" s="238" t="s">
        <v>722</v>
      </c>
      <c r="J391" s="65"/>
      <c r="K391" s="85"/>
      <c r="L391" s="85"/>
      <c r="M391" s="85"/>
      <c r="N391" s="85" t="str">
        <f t="shared" si="234"/>
        <v/>
      </c>
      <c r="O391" s="310" t="str">
        <f>VLOOKUP(E391,'U Fittings (Brass)'!$E$5:$Q1076,14,0)</f>
        <v>#REF!</v>
      </c>
      <c r="P391" s="88"/>
      <c r="Q391" s="29"/>
      <c r="R391" s="85"/>
      <c r="S391" s="15"/>
      <c r="T391" s="15"/>
      <c r="U391" s="243"/>
      <c r="V391" s="243"/>
      <c r="W391" s="243"/>
      <c r="X391" s="243"/>
      <c r="Y391" s="243"/>
      <c r="Z391" s="243"/>
    </row>
    <row r="392">
      <c r="A392" s="34"/>
      <c r="B392" s="150">
        <v>5.0</v>
      </c>
      <c r="C392" s="213" t="s">
        <v>84</v>
      </c>
      <c r="D392" s="127" t="s">
        <v>754</v>
      </c>
      <c r="E392" s="153" t="s">
        <v>1306</v>
      </c>
      <c r="F392" s="181">
        <v>1299.0</v>
      </c>
      <c r="G392" s="242"/>
      <c r="H392" s="242"/>
      <c r="I392" s="238" t="s">
        <v>722</v>
      </c>
      <c r="J392" s="65"/>
      <c r="K392" s="85"/>
      <c r="L392" s="85"/>
      <c r="M392" s="85"/>
      <c r="N392" s="85" t="str">
        <f t="shared" si="234"/>
        <v/>
      </c>
      <c r="O392" s="310" t="str">
        <f>VLOOKUP(E392,'U Fittings (Brass)'!$E$5:$Q1076,14,0)</f>
        <v>#REF!</v>
      </c>
      <c r="P392" s="88"/>
      <c r="Q392" s="29"/>
      <c r="R392" s="85"/>
      <c r="S392" s="15"/>
      <c r="T392" s="15"/>
      <c r="U392" s="243"/>
      <c r="V392" s="243"/>
      <c r="W392" s="243"/>
      <c r="X392" s="243"/>
      <c r="Y392" s="243"/>
      <c r="Z392" s="243"/>
    </row>
    <row r="393">
      <c r="A393" s="34"/>
      <c r="B393" s="150">
        <v>6.0</v>
      </c>
      <c r="C393" s="213" t="s">
        <v>84</v>
      </c>
      <c r="D393" s="127" t="s">
        <v>760</v>
      </c>
      <c r="E393" s="153" t="s">
        <v>1315</v>
      </c>
      <c r="F393" s="181">
        <v>1407.0</v>
      </c>
      <c r="G393" s="242"/>
      <c r="H393" s="242"/>
      <c r="I393" s="238" t="s">
        <v>722</v>
      </c>
      <c r="J393" s="65"/>
      <c r="K393" s="85"/>
      <c r="L393" s="85"/>
      <c r="M393" s="85"/>
      <c r="N393" s="85" t="str">
        <f t="shared" si="234"/>
        <v/>
      </c>
      <c r="O393" s="310" t="str">
        <f>VLOOKUP(E393,'U Fittings (Brass)'!$E$5:$Q1076,14,0)</f>
        <v>#REF!</v>
      </c>
      <c r="P393" s="88"/>
      <c r="Q393" s="29"/>
      <c r="R393" s="85"/>
      <c r="S393" s="15"/>
      <c r="T393" s="15"/>
      <c r="U393" s="243"/>
      <c r="V393" s="243"/>
      <c r="W393" s="243"/>
      <c r="X393" s="243"/>
      <c r="Y393" s="243"/>
      <c r="Z393" s="243"/>
    </row>
    <row r="394">
      <c r="A394" s="34"/>
      <c r="B394" s="237" t="s">
        <v>11</v>
      </c>
      <c r="C394" s="45"/>
      <c r="D394" s="45"/>
      <c r="E394" s="46"/>
      <c r="F394" s="377">
        <f>SUM(F390:F393)</f>
        <v>5382</v>
      </c>
      <c r="G394" s="296"/>
      <c r="H394" s="242"/>
      <c r="I394" s="65"/>
      <c r="J394" s="65"/>
      <c r="K394" s="85"/>
      <c r="L394" s="85"/>
      <c r="M394" s="85"/>
      <c r="N394" s="85" t="str">
        <f t="shared" si="234"/>
        <v/>
      </c>
      <c r="O394" s="240" t="str">
        <f>SUM(O390:O393)</f>
        <v>#REF!</v>
      </c>
      <c r="P394" s="307"/>
      <c r="Q394" s="29"/>
      <c r="R394" s="85"/>
      <c r="S394" s="15"/>
      <c r="T394" s="15"/>
      <c r="U394" s="243"/>
      <c r="V394" s="243"/>
      <c r="W394" s="243"/>
      <c r="X394" s="243"/>
      <c r="Y394" s="243"/>
      <c r="Z394" s="243"/>
    </row>
    <row r="395">
      <c r="A395" s="34"/>
      <c r="B395" s="299"/>
      <c r="C395" s="299"/>
      <c r="D395" s="299"/>
      <c r="E395" s="299"/>
      <c r="F395" s="299"/>
      <c r="G395" s="296"/>
      <c r="H395" s="296"/>
      <c r="I395" s="242"/>
      <c r="J395" s="65"/>
      <c r="K395" s="85"/>
      <c r="L395" s="85"/>
      <c r="M395" s="85"/>
      <c r="N395" s="85" t="str">
        <f t="shared" si="234"/>
        <v/>
      </c>
      <c r="O395" s="89"/>
      <c r="P395" s="307"/>
      <c r="Q395" s="29"/>
      <c r="R395" s="85"/>
      <c r="S395" s="15"/>
      <c r="T395" s="15"/>
      <c r="U395" s="243"/>
      <c r="V395" s="243"/>
      <c r="W395" s="243"/>
      <c r="X395" s="243"/>
      <c r="Y395" s="243"/>
      <c r="Z395" s="243"/>
    </row>
    <row r="396">
      <c r="A396" s="34"/>
      <c r="B396" s="62" t="s">
        <v>709</v>
      </c>
      <c r="C396" s="45"/>
      <c r="D396" s="45"/>
      <c r="E396" s="45"/>
      <c r="F396" s="46"/>
      <c r="G396" s="296"/>
      <c r="H396" s="296"/>
      <c r="I396" s="242"/>
      <c r="J396" s="65"/>
      <c r="K396" s="85"/>
      <c r="L396" s="85"/>
      <c r="M396" s="85"/>
      <c r="N396" s="85" t="str">
        <f t="shared" si="234"/>
        <v/>
      </c>
      <c r="O396" s="89"/>
      <c r="P396" s="307"/>
      <c r="Q396" s="29"/>
      <c r="R396" s="85"/>
      <c r="S396" s="15"/>
      <c r="T396" s="15"/>
      <c r="U396" s="243"/>
      <c r="V396" s="243"/>
      <c r="W396" s="243"/>
      <c r="X396" s="243"/>
      <c r="Y396" s="243"/>
      <c r="Z396" s="243"/>
    </row>
    <row r="397">
      <c r="A397" s="34"/>
      <c r="B397" s="51">
        <v>1.0</v>
      </c>
      <c r="C397" s="213" t="s">
        <v>84</v>
      </c>
      <c r="D397" s="152" t="s">
        <v>716</v>
      </c>
      <c r="E397" s="153" t="s">
        <v>1328</v>
      </c>
      <c r="F397" s="181">
        <v>1358.0</v>
      </c>
      <c r="G397" s="242"/>
      <c r="H397" s="242"/>
      <c r="I397" s="238" t="s">
        <v>722</v>
      </c>
      <c r="J397" s="65"/>
      <c r="K397" s="85"/>
      <c r="L397" s="85"/>
      <c r="M397" s="85"/>
      <c r="N397" s="85" t="str">
        <f t="shared" si="234"/>
        <v/>
      </c>
      <c r="O397" s="310" t="str">
        <f>VLOOKUP(E397,'U Fittings (Brass)'!$E$5:$Q1076,14,0)</f>
        <v>#REF!</v>
      </c>
      <c r="P397" s="88" t="str">
        <f>VLOOKUP(E397,CV!$A$2:$H1076,8,0)</f>
        <v>#N/A</v>
      </c>
      <c r="Q397" s="29"/>
      <c r="R397" s="85"/>
      <c r="S397" s="15"/>
      <c r="T397" s="15"/>
      <c r="U397" s="243"/>
      <c r="V397" s="243"/>
      <c r="W397" s="243"/>
      <c r="X397" s="243"/>
      <c r="Y397" s="243"/>
      <c r="Z397" s="243"/>
    </row>
    <row r="398">
      <c r="A398" s="34"/>
      <c r="B398" s="150">
        <v>2.0</v>
      </c>
      <c r="C398" s="213" t="s">
        <v>84</v>
      </c>
      <c r="D398" s="152" t="s">
        <v>729</v>
      </c>
      <c r="E398" s="153" t="s">
        <v>1332</v>
      </c>
      <c r="F398" s="181">
        <v>1280.0</v>
      </c>
      <c r="G398" s="242"/>
      <c r="H398" s="242"/>
      <c r="I398" s="238" t="s">
        <v>722</v>
      </c>
      <c r="J398" s="65"/>
      <c r="K398" s="85"/>
      <c r="L398" s="85"/>
      <c r="M398" s="85"/>
      <c r="N398" s="85"/>
      <c r="O398" s="310" t="str">
        <f>VLOOKUP(E398,'U Fittings (Brass)'!$E$5:$Q1076,14,0)</f>
        <v>#REF!</v>
      </c>
      <c r="P398" s="88" t="str">
        <f>VLOOKUP(E398,CV!$A$2:$H1076,8,0)</f>
        <v>#N/A</v>
      </c>
      <c r="Q398" s="29"/>
      <c r="R398" s="85"/>
      <c r="S398" s="15"/>
      <c r="T398" s="15"/>
      <c r="U398" s="243"/>
      <c r="V398" s="243"/>
      <c r="W398" s="243"/>
      <c r="X398" s="243"/>
      <c r="Y398" s="243"/>
      <c r="Z398" s="243"/>
    </row>
    <row r="399">
      <c r="A399" s="34"/>
      <c r="B399" s="150">
        <v>3.0</v>
      </c>
      <c r="C399" s="213" t="s">
        <v>84</v>
      </c>
      <c r="D399" s="321" t="s">
        <v>741</v>
      </c>
      <c r="E399" s="153" t="s">
        <v>1322</v>
      </c>
      <c r="F399" s="181">
        <v>1280.0</v>
      </c>
      <c r="G399" s="242"/>
      <c r="H399" s="242"/>
      <c r="I399" s="238" t="s">
        <v>722</v>
      </c>
      <c r="J399" s="65"/>
      <c r="K399" s="85"/>
      <c r="L399" s="85"/>
      <c r="M399" s="85"/>
      <c r="N399" s="85" t="str">
        <f t="shared" ref="N399:N401" si="235">IFERROR(#REF!/M399,"")</f>
        <v/>
      </c>
      <c r="O399" s="310" t="str">
        <f>VLOOKUP(E399,'U Fittings (Brass)'!$E$5:$Q1076,14,0)</f>
        <v>#REF!</v>
      </c>
      <c r="P399" s="88" t="str">
        <f>VLOOKUP(E399,CV!$A$2:$H1076,8,0)</f>
        <v>#N/A</v>
      </c>
      <c r="Q399" s="29"/>
      <c r="R399" s="85"/>
      <c r="S399" s="15"/>
      <c r="T399" s="15"/>
      <c r="U399" s="243"/>
      <c r="V399" s="243"/>
      <c r="W399" s="243"/>
      <c r="X399" s="243"/>
      <c r="Y399" s="243"/>
      <c r="Z399" s="243"/>
    </row>
    <row r="400">
      <c r="A400" s="34"/>
      <c r="B400" s="150">
        <v>4.0</v>
      </c>
      <c r="C400" s="213" t="s">
        <v>84</v>
      </c>
      <c r="D400" s="152" t="s">
        <v>748</v>
      </c>
      <c r="E400" s="153" t="s">
        <v>1330</v>
      </c>
      <c r="F400" s="181">
        <v>1358.0</v>
      </c>
      <c r="G400" s="242"/>
      <c r="H400" s="242"/>
      <c r="I400" s="238" t="s">
        <v>722</v>
      </c>
      <c r="J400" s="65"/>
      <c r="K400" s="85"/>
      <c r="L400" s="85"/>
      <c r="M400" s="85"/>
      <c r="N400" s="85" t="str">
        <f t="shared" si="235"/>
        <v/>
      </c>
      <c r="O400" s="310" t="str">
        <f>VLOOKUP(E400,'U Fittings (Brass)'!$E$5:$Q1076,14,0)</f>
        <v>#REF!</v>
      </c>
      <c r="P400" s="88" t="str">
        <f>VLOOKUP(E400,CV!$A$2:$H1076,8,0)</f>
        <v>#N/A</v>
      </c>
      <c r="Q400" s="29"/>
      <c r="R400" s="85"/>
      <c r="S400" s="15"/>
      <c r="T400" s="15"/>
      <c r="U400" s="243"/>
      <c r="V400" s="243"/>
      <c r="W400" s="243"/>
      <c r="X400" s="243"/>
      <c r="Y400" s="243"/>
      <c r="Z400" s="243"/>
    </row>
    <row r="401">
      <c r="A401" s="34"/>
      <c r="B401" s="150">
        <v>5.0</v>
      </c>
      <c r="C401" s="213" t="s">
        <v>84</v>
      </c>
      <c r="D401" s="152" t="s">
        <v>754</v>
      </c>
      <c r="E401" s="153" t="s">
        <v>1327</v>
      </c>
      <c r="F401" s="181">
        <v>1280.0</v>
      </c>
      <c r="G401" s="242"/>
      <c r="H401" s="242"/>
      <c r="I401" s="238" t="s">
        <v>722</v>
      </c>
      <c r="J401" s="65"/>
      <c r="K401" s="85"/>
      <c r="L401" s="85"/>
      <c r="M401" s="85"/>
      <c r="N401" s="85" t="str">
        <f t="shared" si="235"/>
        <v/>
      </c>
      <c r="O401" s="310" t="str">
        <f>VLOOKUP(E401,'U Fittings (Brass)'!$E$5:$Q1076,14,0)</f>
        <v>#REF!</v>
      </c>
      <c r="P401" s="88" t="str">
        <f>VLOOKUP(E401,CV!$A$2:$H1076,8,0)</f>
        <v>#N/A</v>
      </c>
      <c r="Q401" s="29"/>
      <c r="R401" s="85"/>
      <c r="S401" s="15"/>
      <c r="T401" s="15"/>
      <c r="U401" s="243"/>
      <c r="V401" s="243"/>
      <c r="W401" s="243"/>
      <c r="X401" s="243"/>
      <c r="Y401" s="243"/>
      <c r="Z401" s="243"/>
    </row>
    <row r="402">
      <c r="A402" s="34"/>
      <c r="B402" s="150">
        <v>6.0</v>
      </c>
      <c r="C402" s="213" t="s">
        <v>84</v>
      </c>
      <c r="D402" s="127" t="s">
        <v>760</v>
      </c>
      <c r="E402" s="153" t="s">
        <v>1331</v>
      </c>
      <c r="F402" s="181">
        <v>1388.0</v>
      </c>
      <c r="G402" s="242"/>
      <c r="H402" s="242"/>
      <c r="I402" s="238" t="s">
        <v>722</v>
      </c>
      <c r="J402" s="65"/>
      <c r="K402" s="85"/>
      <c r="L402" s="85"/>
      <c r="M402" s="85"/>
      <c r="N402" s="85"/>
      <c r="O402" s="310" t="str">
        <f>VLOOKUP(E402,'U Fittings (Brass)'!$E$5:$Q1076,14,0)</f>
        <v>#REF!</v>
      </c>
      <c r="P402" s="88" t="str">
        <f>VLOOKUP(E402,CV!$A$2:$H1076,8,0)</f>
        <v>#N/A</v>
      </c>
      <c r="Q402" s="29"/>
      <c r="R402" s="85"/>
      <c r="S402" s="15"/>
      <c r="T402" s="15"/>
      <c r="U402" s="243"/>
      <c r="V402" s="243"/>
      <c r="W402" s="243"/>
      <c r="X402" s="243"/>
      <c r="Y402" s="243"/>
      <c r="Z402" s="243"/>
    </row>
    <row r="403">
      <c r="A403" s="34"/>
      <c r="B403" s="237" t="s">
        <v>11</v>
      </c>
      <c r="C403" s="45"/>
      <c r="D403" s="45"/>
      <c r="E403" s="46"/>
      <c r="F403" s="240">
        <f>SUM(F399:F402)</f>
        <v>5306</v>
      </c>
      <c r="G403" s="296"/>
      <c r="H403" s="242"/>
      <c r="I403" s="76"/>
      <c r="J403" s="65"/>
      <c r="K403" s="85"/>
      <c r="L403" s="85"/>
      <c r="M403" s="85"/>
      <c r="N403" s="85"/>
      <c r="O403" s="240" t="str">
        <f>SUM(O399:O402)</f>
        <v>#REF!</v>
      </c>
      <c r="P403" s="307"/>
      <c r="Q403" s="29"/>
      <c r="R403" s="85"/>
      <c r="S403" s="15"/>
      <c r="T403" s="15"/>
      <c r="U403" s="243"/>
      <c r="V403" s="243"/>
      <c r="W403" s="243"/>
      <c r="X403" s="243"/>
      <c r="Y403" s="243"/>
      <c r="Z403" s="243"/>
    </row>
    <row r="404">
      <c r="A404" s="34"/>
      <c r="B404" s="105"/>
      <c r="C404" s="105"/>
      <c r="D404" s="105"/>
      <c r="E404" s="105"/>
      <c r="F404" s="241"/>
      <c r="G404" s="241"/>
      <c r="H404" s="296"/>
      <c r="I404" s="76"/>
      <c r="J404" s="65"/>
      <c r="K404" s="85"/>
      <c r="L404" s="85"/>
      <c r="M404" s="85"/>
      <c r="N404" s="85"/>
      <c r="O404" s="89"/>
      <c r="P404" s="307"/>
      <c r="Q404" s="29"/>
      <c r="R404" s="29"/>
      <c r="S404" s="15"/>
      <c r="T404" s="15"/>
      <c r="U404" s="243"/>
      <c r="V404" s="243"/>
      <c r="W404" s="243"/>
      <c r="X404" s="243"/>
      <c r="Y404" s="243"/>
      <c r="Z404" s="243"/>
    </row>
    <row r="405">
      <c r="A405" s="34"/>
      <c r="B405" s="15"/>
      <c r="C405" s="15"/>
      <c r="D405" s="15"/>
      <c r="E405" s="17"/>
      <c r="F405" s="15"/>
      <c r="G405" s="250"/>
      <c r="H405" s="243"/>
      <c r="I405" s="243"/>
      <c r="J405" s="243"/>
      <c r="K405" s="85"/>
      <c r="L405" s="85"/>
      <c r="M405" s="85"/>
      <c r="N405" s="85"/>
      <c r="O405" s="29"/>
      <c r="P405" s="307"/>
      <c r="Q405" s="29"/>
      <c r="R405" s="29"/>
      <c r="S405" s="15"/>
      <c r="T405" s="15"/>
      <c r="U405" s="243"/>
      <c r="V405" s="243"/>
      <c r="W405" s="243"/>
      <c r="X405" s="243"/>
      <c r="Y405" s="243"/>
      <c r="Z405" s="243"/>
    </row>
    <row r="406">
      <c r="A406" s="34"/>
      <c r="B406" s="15"/>
      <c r="C406" s="15"/>
      <c r="D406" s="15"/>
      <c r="E406" s="17"/>
      <c r="F406" s="15"/>
      <c r="G406" s="250"/>
      <c r="H406" s="243"/>
      <c r="I406" s="243"/>
      <c r="J406" s="243"/>
      <c r="K406" s="85"/>
      <c r="L406" s="85"/>
      <c r="M406" s="85"/>
      <c r="N406" s="85"/>
      <c r="O406" s="29"/>
      <c r="P406" s="307"/>
      <c r="Q406" s="29"/>
      <c r="R406" s="29"/>
      <c r="S406" s="15"/>
      <c r="T406" s="15"/>
      <c r="U406" s="243"/>
      <c r="V406" s="243"/>
      <c r="W406" s="243"/>
      <c r="X406" s="243"/>
      <c r="Y406" s="243"/>
      <c r="Z406" s="243"/>
    </row>
    <row r="407">
      <c r="A407" s="34"/>
      <c r="B407" s="15"/>
      <c r="C407" s="15"/>
      <c r="D407" s="15"/>
      <c r="E407" s="17"/>
      <c r="F407" s="15"/>
      <c r="G407" s="250"/>
      <c r="H407" s="243"/>
      <c r="I407" s="243"/>
      <c r="J407" s="243"/>
      <c r="K407" s="85"/>
      <c r="L407" s="85"/>
      <c r="M407" s="85"/>
      <c r="N407" s="85"/>
      <c r="O407" s="29"/>
      <c r="P407" s="307"/>
      <c r="Q407" s="29"/>
      <c r="R407" s="29"/>
      <c r="S407" s="15"/>
      <c r="T407" s="15"/>
      <c r="U407" s="243"/>
      <c r="V407" s="243"/>
      <c r="W407" s="243"/>
      <c r="X407" s="243"/>
      <c r="Y407" s="243"/>
      <c r="Z407" s="243"/>
    </row>
    <row r="408">
      <c r="A408" s="34"/>
      <c r="B408" s="15"/>
      <c r="C408" s="15"/>
      <c r="D408" s="15"/>
      <c r="E408" s="17"/>
      <c r="F408" s="15"/>
      <c r="G408" s="250"/>
      <c r="H408" s="243"/>
      <c r="I408" s="243"/>
      <c r="J408" s="243"/>
      <c r="K408" s="85"/>
      <c r="L408" s="85"/>
      <c r="M408" s="85"/>
      <c r="N408" s="85"/>
      <c r="O408" s="29"/>
      <c r="P408" s="307"/>
      <c r="Q408" s="29"/>
      <c r="R408" s="29"/>
      <c r="S408" s="15"/>
      <c r="T408" s="15"/>
      <c r="U408" s="243"/>
      <c r="V408" s="243"/>
      <c r="W408" s="243"/>
      <c r="X408" s="243"/>
      <c r="Y408" s="243"/>
      <c r="Z408" s="243"/>
    </row>
    <row r="409">
      <c r="A409" s="34"/>
      <c r="B409" s="15"/>
      <c r="C409" s="15"/>
      <c r="D409" s="15"/>
      <c r="E409" s="17"/>
      <c r="F409" s="15"/>
      <c r="G409" s="250"/>
      <c r="H409" s="243"/>
      <c r="I409" s="243"/>
      <c r="J409" s="243"/>
      <c r="K409" s="85"/>
      <c r="L409" s="85"/>
      <c r="M409" s="85"/>
      <c r="N409" s="85"/>
      <c r="O409" s="29"/>
      <c r="P409" s="307"/>
      <c r="Q409" s="29"/>
      <c r="R409" s="29"/>
      <c r="S409" s="15"/>
      <c r="T409" s="15"/>
      <c r="U409" s="243"/>
      <c r="V409" s="243"/>
      <c r="W409" s="243"/>
      <c r="X409" s="243"/>
      <c r="Y409" s="243"/>
      <c r="Z409" s="243"/>
    </row>
    <row r="410">
      <c r="A410" s="34"/>
      <c r="B410" s="15"/>
      <c r="C410" s="15"/>
      <c r="D410" s="15"/>
      <c r="E410" s="17"/>
      <c r="F410" s="15"/>
      <c r="G410" s="250"/>
      <c r="H410" s="243"/>
      <c r="I410" s="243"/>
      <c r="J410" s="243"/>
      <c r="K410" s="85"/>
      <c r="L410" s="85"/>
      <c r="M410" s="85"/>
      <c r="N410" s="85"/>
      <c r="O410" s="29"/>
      <c r="P410" s="307"/>
      <c r="Q410" s="29"/>
      <c r="R410" s="29"/>
      <c r="S410" s="15"/>
      <c r="T410" s="15"/>
      <c r="U410" s="243"/>
      <c r="V410" s="243"/>
      <c r="W410" s="243"/>
      <c r="X410" s="243"/>
      <c r="Y410" s="243"/>
      <c r="Z410" s="243"/>
    </row>
    <row r="411">
      <c r="A411" s="34"/>
      <c r="B411" s="15"/>
      <c r="C411" s="15"/>
      <c r="D411" s="15"/>
      <c r="E411" s="17"/>
      <c r="F411" s="15"/>
      <c r="G411" s="250"/>
      <c r="H411" s="243"/>
      <c r="I411" s="243"/>
      <c r="J411" s="243"/>
      <c r="K411" s="85"/>
      <c r="L411" s="85"/>
      <c r="M411" s="85"/>
      <c r="N411" s="85"/>
      <c r="O411" s="29"/>
      <c r="P411" s="307"/>
      <c r="Q411" s="29"/>
      <c r="R411" s="29"/>
      <c r="S411" s="15"/>
      <c r="T411" s="15"/>
      <c r="U411" s="243"/>
      <c r="V411" s="243"/>
      <c r="W411" s="243"/>
      <c r="X411" s="243"/>
      <c r="Y411" s="243"/>
      <c r="Z411" s="243"/>
    </row>
    <row r="412">
      <c r="A412" s="34"/>
      <c r="B412" s="15"/>
      <c r="C412" s="15"/>
      <c r="D412" s="15"/>
      <c r="E412" s="17"/>
      <c r="F412" s="15"/>
      <c r="G412" s="250"/>
      <c r="H412" s="243"/>
      <c r="I412" s="243"/>
      <c r="J412" s="243"/>
      <c r="K412" s="85"/>
      <c r="L412" s="85"/>
      <c r="M412" s="85"/>
      <c r="N412" s="85"/>
      <c r="O412" s="29"/>
      <c r="P412" s="307"/>
      <c r="Q412" s="29"/>
      <c r="R412" s="29"/>
      <c r="S412" s="15"/>
      <c r="T412" s="15"/>
      <c r="U412" s="243"/>
      <c r="V412" s="243"/>
      <c r="W412" s="243"/>
      <c r="X412" s="243"/>
      <c r="Y412" s="243"/>
      <c r="Z412" s="243"/>
    </row>
    <row r="413">
      <c r="A413" s="34"/>
      <c r="B413" s="15"/>
      <c r="C413" s="15"/>
      <c r="D413" s="15"/>
      <c r="E413" s="17"/>
      <c r="F413" s="15"/>
      <c r="G413" s="250"/>
      <c r="H413" s="243"/>
      <c r="I413" s="243"/>
      <c r="J413" s="243"/>
      <c r="K413" s="85"/>
      <c r="L413" s="85"/>
      <c r="M413" s="85"/>
      <c r="N413" s="85"/>
      <c r="O413" s="29"/>
      <c r="P413" s="307"/>
      <c r="Q413" s="29"/>
      <c r="R413" s="29"/>
      <c r="S413" s="15"/>
      <c r="T413" s="15"/>
      <c r="U413" s="243"/>
      <c r="V413" s="243"/>
      <c r="W413" s="243"/>
      <c r="X413" s="243"/>
      <c r="Y413" s="243"/>
      <c r="Z413" s="243"/>
    </row>
    <row r="414">
      <c r="A414" s="34"/>
      <c r="B414" s="15"/>
      <c r="C414" s="15"/>
      <c r="D414" s="15"/>
      <c r="E414" s="17"/>
      <c r="F414" s="15"/>
      <c r="G414" s="250"/>
      <c r="H414" s="243"/>
      <c r="I414" s="243"/>
      <c r="J414" s="243"/>
      <c r="K414" s="85"/>
      <c r="L414" s="85"/>
      <c r="M414" s="85"/>
      <c r="N414" s="85"/>
      <c r="O414" s="29"/>
      <c r="P414" s="307"/>
      <c r="Q414" s="29"/>
      <c r="R414" s="29"/>
      <c r="S414" s="15"/>
      <c r="T414" s="15"/>
      <c r="U414" s="243"/>
      <c r="V414" s="243"/>
      <c r="W414" s="243"/>
      <c r="X414" s="243"/>
      <c r="Y414" s="243"/>
      <c r="Z414" s="243"/>
    </row>
    <row r="415">
      <c r="A415" s="34"/>
      <c r="B415" s="15"/>
      <c r="C415" s="15"/>
      <c r="D415" s="15"/>
      <c r="E415" s="17"/>
      <c r="F415" s="15"/>
      <c r="G415" s="250"/>
      <c r="H415" s="243"/>
      <c r="I415" s="243"/>
      <c r="J415" s="243"/>
      <c r="K415" s="85"/>
      <c r="L415" s="85"/>
      <c r="M415" s="85"/>
      <c r="N415" s="85"/>
      <c r="O415" s="29"/>
      <c r="P415" s="307"/>
      <c r="Q415" s="29"/>
      <c r="R415" s="29"/>
      <c r="S415" s="15"/>
      <c r="T415" s="15"/>
      <c r="U415" s="243"/>
      <c r="V415" s="243"/>
      <c r="W415" s="243"/>
      <c r="X415" s="243"/>
      <c r="Y415" s="243"/>
      <c r="Z415" s="243"/>
    </row>
    <row r="416">
      <c r="A416" s="34"/>
      <c r="B416" s="15"/>
      <c r="C416" s="15"/>
      <c r="D416" s="15"/>
      <c r="E416" s="17"/>
      <c r="F416" s="15"/>
      <c r="G416" s="250"/>
      <c r="H416" s="243"/>
      <c r="I416" s="243"/>
      <c r="J416" s="243"/>
      <c r="K416" s="85"/>
      <c r="L416" s="85"/>
      <c r="M416" s="85"/>
      <c r="N416" s="85"/>
      <c r="O416" s="29"/>
      <c r="P416" s="307"/>
      <c r="Q416" s="29"/>
      <c r="R416" s="29"/>
      <c r="S416" s="15"/>
      <c r="T416" s="15"/>
      <c r="U416" s="243"/>
      <c r="V416" s="243"/>
      <c r="W416" s="243"/>
      <c r="X416" s="243"/>
      <c r="Y416" s="243"/>
      <c r="Z416" s="243"/>
    </row>
    <row r="417">
      <c r="A417" s="34"/>
      <c r="B417" s="15"/>
      <c r="C417" s="15"/>
      <c r="D417" s="15"/>
      <c r="E417" s="17"/>
      <c r="F417" s="15"/>
      <c r="G417" s="250"/>
      <c r="H417" s="243"/>
      <c r="I417" s="243"/>
      <c r="J417" s="243"/>
      <c r="K417" s="85"/>
      <c r="L417" s="85"/>
      <c r="M417" s="85"/>
      <c r="N417" s="85"/>
      <c r="O417" s="29"/>
      <c r="P417" s="307"/>
      <c r="Q417" s="29"/>
      <c r="R417" s="29"/>
      <c r="S417" s="15"/>
      <c r="T417" s="15"/>
      <c r="U417" s="243"/>
      <c r="V417" s="243"/>
      <c r="W417" s="243"/>
      <c r="X417" s="243"/>
      <c r="Y417" s="243"/>
      <c r="Z417" s="243"/>
    </row>
    <row r="418">
      <c r="A418" s="34"/>
      <c r="B418" s="15"/>
      <c r="C418" s="15"/>
      <c r="D418" s="15"/>
      <c r="E418" s="17"/>
      <c r="F418" s="15"/>
      <c r="G418" s="250"/>
      <c r="H418" s="243"/>
      <c r="I418" s="243"/>
      <c r="J418" s="243"/>
      <c r="K418" s="85"/>
      <c r="L418" s="85"/>
      <c r="M418" s="85"/>
      <c r="N418" s="85"/>
      <c r="O418" s="29"/>
      <c r="P418" s="307"/>
      <c r="Q418" s="29"/>
      <c r="R418" s="29"/>
      <c r="S418" s="15"/>
      <c r="T418" s="15"/>
      <c r="U418" s="243"/>
      <c r="V418" s="243"/>
      <c r="W418" s="243"/>
      <c r="X418" s="243"/>
      <c r="Y418" s="243"/>
      <c r="Z418" s="243"/>
    </row>
    <row r="419">
      <c r="A419" s="34"/>
      <c r="B419" s="15"/>
      <c r="C419" s="15"/>
      <c r="D419" s="15"/>
      <c r="E419" s="17"/>
      <c r="F419" s="15"/>
      <c r="G419" s="250"/>
      <c r="H419" s="243"/>
      <c r="I419" s="243"/>
      <c r="J419" s="243"/>
      <c r="K419" s="85"/>
      <c r="L419" s="85"/>
      <c r="M419" s="85"/>
      <c r="N419" s="85"/>
      <c r="O419" s="29"/>
      <c r="P419" s="307"/>
      <c r="Q419" s="29"/>
      <c r="R419" s="29"/>
      <c r="S419" s="15"/>
      <c r="T419" s="15"/>
      <c r="U419" s="243"/>
      <c r="V419" s="243"/>
      <c r="W419" s="243"/>
      <c r="X419" s="243"/>
      <c r="Y419" s="243"/>
      <c r="Z419" s="243"/>
    </row>
    <row r="420">
      <c r="A420" s="34"/>
      <c r="B420" s="15"/>
      <c r="C420" s="15"/>
      <c r="D420" s="15"/>
      <c r="E420" s="17"/>
      <c r="F420" s="15"/>
      <c r="G420" s="250"/>
      <c r="H420" s="243"/>
      <c r="I420" s="243"/>
      <c r="J420" s="243"/>
      <c r="K420" s="85"/>
      <c r="L420" s="85"/>
      <c r="M420" s="85"/>
      <c r="N420" s="85"/>
      <c r="O420" s="29"/>
      <c r="P420" s="307"/>
      <c r="Q420" s="29"/>
      <c r="R420" s="29"/>
      <c r="S420" s="15"/>
      <c r="T420" s="15"/>
      <c r="U420" s="243"/>
      <c r="V420" s="243"/>
      <c r="W420" s="243"/>
      <c r="X420" s="243"/>
      <c r="Y420" s="243"/>
      <c r="Z420" s="243"/>
    </row>
    <row r="421">
      <c r="A421" s="34"/>
      <c r="B421" s="15"/>
      <c r="C421" s="15"/>
      <c r="D421" s="15"/>
      <c r="E421" s="17"/>
      <c r="F421" s="15"/>
      <c r="G421" s="250"/>
      <c r="H421" s="243"/>
      <c r="I421" s="243"/>
      <c r="J421" s="243"/>
      <c r="K421" s="85"/>
      <c r="L421" s="85"/>
      <c r="M421" s="85"/>
      <c r="N421" s="85"/>
      <c r="O421" s="29"/>
      <c r="P421" s="307"/>
      <c r="Q421" s="29"/>
      <c r="R421" s="29"/>
      <c r="S421" s="15"/>
      <c r="T421" s="15"/>
      <c r="U421" s="243"/>
      <c r="V421" s="243"/>
      <c r="W421" s="243"/>
      <c r="X421" s="243"/>
      <c r="Y421" s="243"/>
      <c r="Z421" s="243"/>
    </row>
    <row r="422">
      <c r="A422" s="34"/>
      <c r="B422" s="15"/>
      <c r="C422" s="15"/>
      <c r="D422" s="15"/>
      <c r="E422" s="17"/>
      <c r="F422" s="15"/>
      <c r="G422" s="250"/>
      <c r="H422" s="243"/>
      <c r="I422" s="243"/>
      <c r="J422" s="243"/>
      <c r="K422" s="85"/>
      <c r="L422" s="85"/>
      <c r="M422" s="85"/>
      <c r="N422" s="85"/>
      <c r="O422" s="29"/>
      <c r="P422" s="307"/>
      <c r="Q422" s="29"/>
      <c r="R422" s="29"/>
      <c r="S422" s="15"/>
      <c r="T422" s="15"/>
      <c r="U422" s="243"/>
      <c r="V422" s="243"/>
      <c r="W422" s="243"/>
      <c r="X422" s="243"/>
      <c r="Y422" s="243"/>
      <c r="Z422" s="243"/>
    </row>
    <row r="423">
      <c r="A423" s="34"/>
      <c r="B423" s="15"/>
      <c r="C423" s="15"/>
      <c r="D423" s="15"/>
      <c r="E423" s="17"/>
      <c r="F423" s="15"/>
      <c r="G423" s="250"/>
      <c r="H423" s="243"/>
      <c r="I423" s="243"/>
      <c r="J423" s="243"/>
      <c r="K423" s="85"/>
      <c r="L423" s="85"/>
      <c r="M423" s="85"/>
      <c r="N423" s="85"/>
      <c r="O423" s="29"/>
      <c r="P423" s="307"/>
      <c r="Q423" s="29"/>
      <c r="R423" s="29"/>
      <c r="S423" s="15"/>
      <c r="T423" s="15"/>
      <c r="U423" s="243"/>
      <c r="V423" s="243"/>
      <c r="W423" s="243"/>
      <c r="X423" s="243"/>
      <c r="Y423" s="243"/>
      <c r="Z423" s="243"/>
    </row>
    <row r="424">
      <c r="A424" s="34"/>
      <c r="B424" s="15"/>
      <c r="C424" s="15"/>
      <c r="D424" s="15"/>
      <c r="E424" s="17"/>
      <c r="F424" s="15"/>
      <c r="G424" s="250"/>
      <c r="H424" s="243"/>
      <c r="I424" s="243"/>
      <c r="J424" s="243"/>
      <c r="K424" s="85"/>
      <c r="L424" s="85"/>
      <c r="M424" s="85"/>
      <c r="N424" s="85"/>
      <c r="O424" s="29"/>
      <c r="P424" s="307"/>
      <c r="Q424" s="29"/>
      <c r="R424" s="29"/>
      <c r="S424" s="15"/>
      <c r="T424" s="15"/>
      <c r="U424" s="243"/>
      <c r="V424" s="243"/>
      <c r="W424" s="243"/>
      <c r="X424" s="243"/>
      <c r="Y424" s="243"/>
      <c r="Z424" s="243"/>
    </row>
    <row r="425">
      <c r="A425" s="34"/>
      <c r="B425" s="15"/>
      <c r="C425" s="15"/>
      <c r="D425" s="15"/>
      <c r="E425" s="17"/>
      <c r="F425" s="15"/>
      <c r="G425" s="250"/>
      <c r="H425" s="243"/>
      <c r="I425" s="243"/>
      <c r="J425" s="243"/>
      <c r="K425" s="85"/>
      <c r="L425" s="85"/>
      <c r="M425" s="85"/>
      <c r="N425" s="85"/>
      <c r="O425" s="29"/>
      <c r="P425" s="307"/>
      <c r="Q425" s="29"/>
      <c r="R425" s="29"/>
      <c r="S425" s="15"/>
      <c r="T425" s="15"/>
      <c r="U425" s="243"/>
      <c r="V425" s="243"/>
      <c r="W425" s="243"/>
      <c r="X425" s="243"/>
      <c r="Y425" s="243"/>
      <c r="Z425" s="243"/>
    </row>
    <row r="426">
      <c r="A426" s="34"/>
      <c r="B426" s="15"/>
      <c r="C426" s="15"/>
      <c r="D426" s="15"/>
      <c r="E426" s="17"/>
      <c r="F426" s="15"/>
      <c r="G426" s="250"/>
      <c r="H426" s="243"/>
      <c r="I426" s="243"/>
      <c r="J426" s="243"/>
      <c r="K426" s="85"/>
      <c r="L426" s="85"/>
      <c r="M426" s="85"/>
      <c r="N426" s="85"/>
      <c r="O426" s="29"/>
      <c r="P426" s="307"/>
      <c r="Q426" s="29"/>
      <c r="R426" s="29"/>
      <c r="S426" s="15"/>
      <c r="T426" s="15"/>
      <c r="U426" s="243"/>
      <c r="V426" s="243"/>
      <c r="W426" s="243"/>
      <c r="X426" s="243"/>
      <c r="Y426" s="243"/>
      <c r="Z426" s="243"/>
    </row>
    <row r="427">
      <c r="A427" s="34"/>
      <c r="B427" s="15"/>
      <c r="C427" s="15"/>
      <c r="D427" s="15"/>
      <c r="E427" s="17"/>
      <c r="F427" s="15"/>
      <c r="G427" s="250"/>
      <c r="H427" s="243"/>
      <c r="I427" s="243"/>
      <c r="J427" s="243"/>
      <c r="K427" s="85"/>
      <c r="L427" s="85"/>
      <c r="M427" s="85"/>
      <c r="N427" s="85"/>
      <c r="O427" s="29"/>
      <c r="P427" s="307"/>
      <c r="Q427" s="29"/>
      <c r="R427" s="29"/>
      <c r="S427" s="15"/>
      <c r="T427" s="15"/>
      <c r="U427" s="243"/>
      <c r="V427" s="243"/>
      <c r="W427" s="243"/>
      <c r="X427" s="243"/>
      <c r="Y427" s="243"/>
      <c r="Z427" s="243"/>
    </row>
    <row r="428">
      <c r="A428" s="34"/>
      <c r="B428" s="15"/>
      <c r="C428" s="15"/>
      <c r="D428" s="15"/>
      <c r="E428" s="17"/>
      <c r="F428" s="15"/>
      <c r="G428" s="250"/>
      <c r="H428" s="243"/>
      <c r="I428" s="243"/>
      <c r="J428" s="243"/>
      <c r="K428" s="85"/>
      <c r="L428" s="85"/>
      <c r="M428" s="85"/>
      <c r="N428" s="85"/>
      <c r="O428" s="29"/>
      <c r="P428" s="307"/>
      <c r="Q428" s="29"/>
      <c r="R428" s="29"/>
      <c r="S428" s="15"/>
      <c r="T428" s="15"/>
      <c r="U428" s="243"/>
      <c r="V428" s="243"/>
      <c r="W428" s="243"/>
      <c r="X428" s="243"/>
      <c r="Y428" s="243"/>
      <c r="Z428" s="243"/>
    </row>
    <row r="429">
      <c r="A429" s="34"/>
      <c r="B429" s="15"/>
      <c r="C429" s="15"/>
      <c r="D429" s="15"/>
      <c r="E429" s="17"/>
      <c r="F429" s="15"/>
      <c r="G429" s="250"/>
      <c r="H429" s="243"/>
      <c r="I429" s="243"/>
      <c r="J429" s="243"/>
      <c r="K429" s="85"/>
      <c r="L429" s="85"/>
      <c r="M429" s="85"/>
      <c r="N429" s="85"/>
      <c r="O429" s="29"/>
      <c r="P429" s="307"/>
      <c r="Q429" s="29"/>
      <c r="R429" s="29"/>
      <c r="S429" s="15"/>
      <c r="T429" s="15"/>
      <c r="U429" s="243"/>
      <c r="V429" s="243"/>
      <c r="W429" s="243"/>
      <c r="X429" s="243"/>
      <c r="Y429" s="243"/>
      <c r="Z429" s="243"/>
    </row>
    <row r="430">
      <c r="A430" s="34"/>
      <c r="B430" s="15"/>
      <c r="C430" s="15"/>
      <c r="D430" s="15"/>
      <c r="E430" s="17"/>
      <c r="F430" s="15"/>
      <c r="G430" s="250"/>
      <c r="H430" s="243"/>
      <c r="I430" s="243"/>
      <c r="J430" s="243"/>
      <c r="K430" s="85"/>
      <c r="L430" s="85"/>
      <c r="M430" s="85"/>
      <c r="N430" s="85"/>
      <c r="O430" s="29"/>
      <c r="P430" s="307"/>
      <c r="Q430" s="29"/>
      <c r="R430" s="29"/>
      <c r="S430" s="15"/>
      <c r="T430" s="15"/>
      <c r="U430" s="243"/>
      <c r="V430" s="243"/>
      <c r="W430" s="243"/>
      <c r="X430" s="243"/>
      <c r="Y430" s="243"/>
      <c r="Z430" s="243"/>
    </row>
    <row r="431">
      <c r="A431" s="34"/>
      <c r="B431" s="15"/>
      <c r="C431" s="15"/>
      <c r="D431" s="15"/>
      <c r="E431" s="17"/>
      <c r="F431" s="15"/>
      <c r="G431" s="250"/>
      <c r="H431" s="243"/>
      <c r="I431" s="243"/>
      <c r="J431" s="243"/>
      <c r="K431" s="85"/>
      <c r="L431" s="85"/>
      <c r="M431" s="85"/>
      <c r="N431" s="85"/>
      <c r="O431" s="29"/>
      <c r="P431" s="307"/>
      <c r="Q431" s="29"/>
      <c r="R431" s="29"/>
      <c r="S431" s="15"/>
      <c r="T431" s="15"/>
      <c r="U431" s="243"/>
      <c r="V431" s="243"/>
      <c r="W431" s="243"/>
      <c r="X431" s="243"/>
      <c r="Y431" s="243"/>
      <c r="Z431" s="243"/>
    </row>
    <row r="432">
      <c r="A432" s="34"/>
      <c r="B432" s="15"/>
      <c r="C432" s="15"/>
      <c r="D432" s="15"/>
      <c r="E432" s="17"/>
      <c r="F432" s="15"/>
      <c r="G432" s="250"/>
      <c r="H432" s="243"/>
      <c r="I432" s="243"/>
      <c r="J432" s="243"/>
      <c r="K432" s="85"/>
      <c r="L432" s="85"/>
      <c r="M432" s="85"/>
      <c r="N432" s="85"/>
      <c r="O432" s="29"/>
      <c r="P432" s="307"/>
      <c r="Q432" s="29"/>
      <c r="R432" s="29"/>
      <c r="S432" s="15"/>
      <c r="T432" s="15"/>
      <c r="U432" s="243"/>
      <c r="V432" s="243"/>
      <c r="W432" s="243"/>
      <c r="X432" s="243"/>
      <c r="Y432" s="243"/>
      <c r="Z432" s="243"/>
    </row>
    <row r="433">
      <c r="A433" s="34"/>
      <c r="B433" s="15"/>
      <c r="C433" s="15"/>
      <c r="D433" s="15"/>
      <c r="E433" s="17"/>
      <c r="F433" s="15"/>
      <c r="G433" s="250"/>
      <c r="H433" s="243"/>
      <c r="I433" s="243"/>
      <c r="J433" s="243"/>
      <c r="K433" s="85"/>
      <c r="L433" s="85"/>
      <c r="M433" s="85"/>
      <c r="N433" s="85"/>
      <c r="O433" s="29"/>
      <c r="P433" s="307"/>
      <c r="Q433" s="29"/>
      <c r="R433" s="29"/>
      <c r="S433" s="15"/>
      <c r="T433" s="15"/>
      <c r="U433" s="243"/>
      <c r="V433" s="243"/>
      <c r="W433" s="243"/>
      <c r="X433" s="243"/>
      <c r="Y433" s="243"/>
      <c r="Z433" s="243"/>
    </row>
    <row r="434">
      <c r="A434" s="34"/>
      <c r="B434" s="15"/>
      <c r="C434" s="15"/>
      <c r="D434" s="15"/>
      <c r="E434" s="17"/>
      <c r="F434" s="15"/>
      <c r="G434" s="250"/>
      <c r="H434" s="243"/>
      <c r="I434" s="243"/>
      <c r="J434" s="243"/>
      <c r="K434" s="85"/>
      <c r="L434" s="85"/>
      <c r="M434" s="85"/>
      <c r="N434" s="85"/>
      <c r="O434" s="29"/>
      <c r="P434" s="307"/>
      <c r="Q434" s="29"/>
      <c r="R434" s="29"/>
      <c r="S434" s="15"/>
      <c r="T434" s="15"/>
      <c r="U434" s="243"/>
      <c r="V434" s="243"/>
      <c r="W434" s="243"/>
      <c r="X434" s="243"/>
      <c r="Y434" s="243"/>
      <c r="Z434" s="243"/>
    </row>
    <row r="435">
      <c r="A435" s="34"/>
      <c r="B435" s="15"/>
      <c r="C435" s="15"/>
      <c r="D435" s="15"/>
      <c r="E435" s="17"/>
      <c r="F435" s="15"/>
      <c r="G435" s="250"/>
      <c r="H435" s="243"/>
      <c r="I435" s="243"/>
      <c r="J435" s="243"/>
      <c r="K435" s="85"/>
      <c r="L435" s="85"/>
      <c r="M435" s="85"/>
      <c r="N435" s="85"/>
      <c r="O435" s="29"/>
      <c r="P435" s="307"/>
      <c r="Q435" s="29"/>
      <c r="R435" s="29"/>
      <c r="S435" s="15"/>
      <c r="T435" s="15"/>
      <c r="U435" s="243"/>
      <c r="V435" s="243"/>
      <c r="W435" s="243"/>
      <c r="X435" s="243"/>
      <c r="Y435" s="243"/>
      <c r="Z435" s="243"/>
    </row>
    <row r="436">
      <c r="A436" s="34"/>
      <c r="B436" s="15"/>
      <c r="C436" s="15"/>
      <c r="D436" s="15"/>
      <c r="E436" s="17"/>
      <c r="F436" s="15"/>
      <c r="G436" s="250"/>
      <c r="H436" s="243"/>
      <c r="I436" s="243"/>
      <c r="J436" s="243"/>
      <c r="K436" s="85"/>
      <c r="L436" s="85"/>
      <c r="M436" s="85"/>
      <c r="N436" s="85"/>
      <c r="O436" s="29"/>
      <c r="P436" s="307"/>
      <c r="Q436" s="29"/>
      <c r="R436" s="29"/>
      <c r="S436" s="15"/>
      <c r="T436" s="15"/>
      <c r="U436" s="243"/>
      <c r="V436" s="243"/>
      <c r="W436" s="243"/>
      <c r="X436" s="243"/>
      <c r="Y436" s="243"/>
      <c r="Z436" s="243"/>
    </row>
    <row r="437">
      <c r="A437" s="34"/>
      <c r="B437" s="15"/>
      <c r="C437" s="15"/>
      <c r="D437" s="15"/>
      <c r="E437" s="17"/>
      <c r="F437" s="15"/>
      <c r="G437" s="250"/>
      <c r="H437" s="243"/>
      <c r="I437" s="243"/>
      <c r="J437" s="243"/>
      <c r="K437" s="85"/>
      <c r="L437" s="85"/>
      <c r="M437" s="85"/>
      <c r="N437" s="85"/>
      <c r="O437" s="29"/>
      <c r="P437" s="307"/>
      <c r="Q437" s="29"/>
      <c r="R437" s="29"/>
      <c r="S437" s="15"/>
      <c r="T437" s="15"/>
      <c r="U437" s="243"/>
      <c r="V437" s="243"/>
      <c r="W437" s="243"/>
      <c r="X437" s="243"/>
      <c r="Y437" s="243"/>
      <c r="Z437" s="243"/>
    </row>
    <row r="438">
      <c r="A438" s="34"/>
      <c r="B438" s="15"/>
      <c r="C438" s="15"/>
      <c r="D438" s="15"/>
      <c r="E438" s="17"/>
      <c r="F438" s="15"/>
      <c r="G438" s="250"/>
      <c r="H438" s="243"/>
      <c r="I438" s="243"/>
      <c r="J438" s="243"/>
      <c r="K438" s="85"/>
      <c r="L438" s="85"/>
      <c r="M438" s="85"/>
      <c r="N438" s="85"/>
      <c r="O438" s="29"/>
      <c r="P438" s="307"/>
      <c r="Q438" s="29"/>
      <c r="R438" s="29"/>
      <c r="S438" s="15"/>
      <c r="T438" s="15"/>
      <c r="U438" s="243"/>
      <c r="V438" s="243"/>
      <c r="W438" s="243"/>
      <c r="X438" s="243"/>
      <c r="Y438" s="243"/>
      <c r="Z438" s="243"/>
    </row>
    <row r="439">
      <c r="A439" s="34"/>
      <c r="B439" s="15"/>
      <c r="C439" s="15"/>
      <c r="D439" s="15"/>
      <c r="E439" s="17"/>
      <c r="F439" s="15"/>
      <c r="G439" s="250"/>
      <c r="H439" s="243"/>
      <c r="I439" s="243"/>
      <c r="J439" s="243"/>
      <c r="K439" s="85"/>
      <c r="L439" s="85"/>
      <c r="M439" s="85"/>
      <c r="N439" s="85"/>
      <c r="O439" s="29"/>
      <c r="P439" s="307"/>
      <c r="Q439" s="29"/>
      <c r="R439" s="29"/>
      <c r="S439" s="15"/>
      <c r="T439" s="15"/>
      <c r="U439" s="243"/>
      <c r="V439" s="243"/>
      <c r="W439" s="243"/>
      <c r="X439" s="243"/>
      <c r="Y439" s="243"/>
      <c r="Z439" s="243"/>
    </row>
    <row r="440">
      <c r="A440" s="34"/>
      <c r="B440" s="15"/>
      <c r="C440" s="15"/>
      <c r="D440" s="15"/>
      <c r="E440" s="17"/>
      <c r="F440" s="15"/>
      <c r="G440" s="250"/>
      <c r="H440" s="243"/>
      <c r="I440" s="243"/>
      <c r="J440" s="243"/>
      <c r="K440" s="85"/>
      <c r="L440" s="85"/>
      <c r="M440" s="85"/>
      <c r="N440" s="85"/>
      <c r="O440" s="29"/>
      <c r="P440" s="307"/>
      <c r="Q440" s="29"/>
      <c r="R440" s="29"/>
      <c r="S440" s="15"/>
      <c r="T440" s="15"/>
      <c r="U440" s="243"/>
      <c r="V440" s="243"/>
      <c r="W440" s="243"/>
      <c r="X440" s="243"/>
      <c r="Y440" s="243"/>
      <c r="Z440" s="243"/>
    </row>
    <row r="441">
      <c r="A441" s="34"/>
      <c r="B441" s="15"/>
      <c r="C441" s="15"/>
      <c r="D441" s="15"/>
      <c r="E441" s="17"/>
      <c r="F441" s="15"/>
      <c r="G441" s="250"/>
      <c r="H441" s="243"/>
      <c r="I441" s="243"/>
      <c r="J441" s="243"/>
      <c r="K441" s="85"/>
      <c r="L441" s="85"/>
      <c r="M441" s="85"/>
      <c r="N441" s="85"/>
      <c r="O441" s="29"/>
      <c r="P441" s="307"/>
      <c r="Q441" s="29"/>
      <c r="R441" s="29"/>
      <c r="S441" s="15"/>
      <c r="T441" s="15"/>
      <c r="U441" s="243"/>
      <c r="V441" s="243"/>
      <c r="W441" s="243"/>
      <c r="X441" s="243"/>
      <c r="Y441" s="243"/>
      <c r="Z441" s="243"/>
    </row>
    <row r="442">
      <c r="A442" s="34"/>
      <c r="B442" s="15"/>
      <c r="C442" s="15"/>
      <c r="D442" s="15"/>
      <c r="E442" s="17"/>
      <c r="F442" s="15"/>
      <c r="G442" s="250"/>
      <c r="H442" s="243"/>
      <c r="I442" s="243"/>
      <c r="J442" s="243"/>
      <c r="K442" s="85"/>
      <c r="L442" s="85"/>
      <c r="M442" s="85"/>
      <c r="N442" s="85"/>
      <c r="O442" s="29"/>
      <c r="P442" s="307"/>
      <c r="Q442" s="29"/>
      <c r="R442" s="29"/>
      <c r="S442" s="15"/>
      <c r="T442" s="15"/>
      <c r="U442" s="243"/>
      <c r="V442" s="243"/>
      <c r="W442" s="243"/>
      <c r="X442" s="243"/>
      <c r="Y442" s="243"/>
      <c r="Z442" s="243"/>
    </row>
    <row r="443">
      <c r="A443" s="34"/>
      <c r="B443" s="15"/>
      <c r="C443" s="15"/>
      <c r="D443" s="15"/>
      <c r="E443" s="17"/>
      <c r="F443" s="15"/>
      <c r="G443" s="250"/>
      <c r="H443" s="243"/>
      <c r="I443" s="243"/>
      <c r="J443" s="243"/>
      <c r="K443" s="85"/>
      <c r="L443" s="85"/>
      <c r="M443" s="85"/>
      <c r="N443" s="85"/>
      <c r="O443" s="29"/>
      <c r="P443" s="307"/>
      <c r="Q443" s="29"/>
      <c r="R443" s="29"/>
      <c r="S443" s="15"/>
      <c r="T443" s="15"/>
      <c r="U443" s="243"/>
      <c r="V443" s="243"/>
      <c r="W443" s="243"/>
      <c r="X443" s="243"/>
      <c r="Y443" s="243"/>
      <c r="Z443" s="243"/>
    </row>
    <row r="444">
      <c r="A444" s="34"/>
      <c r="B444" s="15"/>
      <c r="C444" s="15"/>
      <c r="D444" s="15"/>
      <c r="E444" s="17"/>
      <c r="F444" s="15"/>
      <c r="G444" s="250"/>
      <c r="H444" s="243"/>
      <c r="I444" s="243"/>
      <c r="J444" s="243"/>
      <c r="K444" s="85"/>
      <c r="L444" s="85"/>
      <c r="M444" s="85"/>
      <c r="N444" s="85"/>
      <c r="O444" s="29"/>
      <c r="P444" s="307"/>
      <c r="Q444" s="29"/>
      <c r="R444" s="29"/>
      <c r="S444" s="15"/>
      <c r="T444" s="15"/>
      <c r="U444" s="243"/>
      <c r="V444" s="243"/>
      <c r="W444" s="243"/>
      <c r="X444" s="243"/>
      <c r="Y444" s="243"/>
      <c r="Z444" s="243"/>
    </row>
    <row r="445">
      <c r="A445" s="34"/>
      <c r="B445" s="15"/>
      <c r="C445" s="15"/>
      <c r="D445" s="15"/>
      <c r="E445" s="17"/>
      <c r="F445" s="15"/>
      <c r="G445" s="250"/>
      <c r="H445" s="243"/>
      <c r="I445" s="243"/>
      <c r="J445" s="243"/>
      <c r="K445" s="85"/>
      <c r="L445" s="85"/>
      <c r="M445" s="85"/>
      <c r="N445" s="85"/>
      <c r="O445" s="29"/>
      <c r="P445" s="307"/>
      <c r="Q445" s="29"/>
      <c r="R445" s="29"/>
      <c r="S445" s="15"/>
      <c r="T445" s="15"/>
      <c r="U445" s="243"/>
      <c r="V445" s="243"/>
      <c r="W445" s="243"/>
      <c r="X445" s="243"/>
      <c r="Y445" s="243"/>
      <c r="Z445" s="243"/>
    </row>
    <row r="446">
      <c r="A446" s="34"/>
      <c r="B446" s="15"/>
      <c r="C446" s="15"/>
      <c r="D446" s="15"/>
      <c r="E446" s="17"/>
      <c r="F446" s="15"/>
      <c r="G446" s="250"/>
      <c r="H446" s="243"/>
      <c r="I446" s="243"/>
      <c r="J446" s="243"/>
      <c r="K446" s="85"/>
      <c r="L446" s="85"/>
      <c r="M446" s="85"/>
      <c r="N446" s="85"/>
      <c r="O446" s="29"/>
      <c r="P446" s="307"/>
      <c r="Q446" s="29"/>
      <c r="R446" s="29"/>
      <c r="S446" s="15"/>
      <c r="T446" s="15"/>
      <c r="U446" s="243"/>
      <c r="V446" s="243"/>
      <c r="W446" s="243"/>
      <c r="X446" s="243"/>
      <c r="Y446" s="243"/>
      <c r="Z446" s="243"/>
    </row>
    <row r="447">
      <c r="A447" s="34"/>
      <c r="B447" s="15"/>
      <c r="C447" s="15"/>
      <c r="D447" s="15"/>
      <c r="E447" s="17"/>
      <c r="F447" s="15"/>
      <c r="G447" s="250"/>
      <c r="H447" s="243"/>
      <c r="I447" s="243"/>
      <c r="J447" s="243"/>
      <c r="K447" s="85"/>
      <c r="L447" s="85"/>
      <c r="M447" s="85"/>
      <c r="N447" s="85"/>
      <c r="O447" s="29"/>
      <c r="P447" s="307"/>
      <c r="Q447" s="29"/>
      <c r="R447" s="29"/>
      <c r="S447" s="15"/>
      <c r="T447" s="15"/>
      <c r="U447" s="243"/>
      <c r="V447" s="243"/>
      <c r="W447" s="243"/>
      <c r="X447" s="243"/>
      <c r="Y447" s="243"/>
      <c r="Z447" s="243"/>
    </row>
    <row r="448">
      <c r="A448" s="34"/>
      <c r="B448" s="15"/>
      <c r="C448" s="15"/>
      <c r="D448" s="15"/>
      <c r="E448" s="17"/>
      <c r="F448" s="15"/>
      <c r="G448" s="250"/>
      <c r="H448" s="243"/>
      <c r="I448" s="243"/>
      <c r="J448" s="243"/>
      <c r="K448" s="85"/>
      <c r="L448" s="85"/>
      <c r="M448" s="85"/>
      <c r="N448" s="85"/>
      <c r="O448" s="29"/>
      <c r="P448" s="307"/>
      <c r="Q448" s="29"/>
      <c r="R448" s="29"/>
      <c r="S448" s="15"/>
      <c r="T448" s="15"/>
      <c r="U448" s="243"/>
      <c r="V448" s="243"/>
      <c r="W448" s="243"/>
      <c r="X448" s="243"/>
      <c r="Y448" s="243"/>
      <c r="Z448" s="243"/>
    </row>
    <row r="449">
      <c r="A449" s="34"/>
      <c r="B449" s="15"/>
      <c r="C449" s="15"/>
      <c r="D449" s="15"/>
      <c r="E449" s="17"/>
      <c r="F449" s="15"/>
      <c r="G449" s="250"/>
      <c r="H449" s="243"/>
      <c r="I449" s="243"/>
      <c r="J449" s="243"/>
      <c r="K449" s="85"/>
      <c r="L449" s="85"/>
      <c r="M449" s="85"/>
      <c r="N449" s="85"/>
      <c r="O449" s="29"/>
      <c r="P449" s="307"/>
      <c r="Q449" s="29"/>
      <c r="R449" s="29"/>
      <c r="S449" s="15"/>
      <c r="T449" s="15"/>
      <c r="U449" s="243"/>
      <c r="V449" s="243"/>
      <c r="W449" s="243"/>
      <c r="X449" s="243"/>
      <c r="Y449" s="243"/>
      <c r="Z449" s="243"/>
    </row>
    <row r="450">
      <c r="A450" s="34"/>
      <c r="B450" s="15"/>
      <c r="C450" s="15"/>
      <c r="D450" s="15"/>
      <c r="E450" s="17"/>
      <c r="F450" s="15"/>
      <c r="G450" s="250"/>
      <c r="H450" s="243"/>
      <c r="I450" s="243"/>
      <c r="J450" s="243"/>
      <c r="K450" s="85"/>
      <c r="L450" s="85"/>
      <c r="M450" s="85"/>
      <c r="N450" s="85"/>
      <c r="O450" s="29"/>
      <c r="P450" s="307"/>
      <c r="Q450" s="29"/>
      <c r="R450" s="29"/>
      <c r="S450" s="15"/>
      <c r="T450" s="15"/>
      <c r="U450" s="243"/>
      <c r="V450" s="243"/>
      <c r="W450" s="243"/>
      <c r="X450" s="243"/>
      <c r="Y450" s="243"/>
      <c r="Z450" s="243"/>
    </row>
    <row r="451">
      <c r="A451" s="34"/>
      <c r="B451" s="15"/>
      <c r="C451" s="15"/>
      <c r="D451" s="15"/>
      <c r="E451" s="17"/>
      <c r="F451" s="15"/>
      <c r="G451" s="250"/>
      <c r="H451" s="243"/>
      <c r="I451" s="243"/>
      <c r="J451" s="243"/>
      <c r="K451" s="85"/>
      <c r="L451" s="85"/>
      <c r="M451" s="85"/>
      <c r="N451" s="85"/>
      <c r="O451" s="29"/>
      <c r="P451" s="307"/>
      <c r="Q451" s="29"/>
      <c r="R451" s="29"/>
      <c r="S451" s="15"/>
      <c r="T451" s="15"/>
      <c r="U451" s="243"/>
      <c r="V451" s="243"/>
      <c r="W451" s="243"/>
      <c r="X451" s="243"/>
      <c r="Y451" s="243"/>
      <c r="Z451" s="243"/>
    </row>
    <row r="452">
      <c r="A452" s="34"/>
      <c r="B452" s="15"/>
      <c r="C452" s="15"/>
      <c r="D452" s="15"/>
      <c r="E452" s="17"/>
      <c r="F452" s="15"/>
      <c r="G452" s="250"/>
      <c r="H452" s="243"/>
      <c r="I452" s="243"/>
      <c r="J452" s="243"/>
      <c r="K452" s="85"/>
      <c r="L452" s="85"/>
      <c r="M452" s="85"/>
      <c r="N452" s="85"/>
      <c r="O452" s="29"/>
      <c r="P452" s="307"/>
      <c r="Q452" s="29"/>
      <c r="R452" s="29"/>
      <c r="S452" s="15"/>
      <c r="T452" s="15"/>
      <c r="U452" s="243"/>
      <c r="V452" s="243"/>
      <c r="W452" s="243"/>
      <c r="X452" s="243"/>
      <c r="Y452" s="243"/>
      <c r="Z452" s="243"/>
    </row>
    <row r="453">
      <c r="A453" s="34"/>
      <c r="B453" s="15"/>
      <c r="C453" s="15"/>
      <c r="D453" s="15"/>
      <c r="E453" s="17"/>
      <c r="F453" s="15"/>
      <c r="G453" s="250"/>
      <c r="H453" s="243"/>
      <c r="I453" s="243"/>
      <c r="J453" s="243"/>
      <c r="K453" s="85"/>
      <c r="L453" s="85"/>
      <c r="M453" s="85"/>
      <c r="N453" s="85"/>
      <c r="O453" s="29"/>
      <c r="P453" s="307"/>
      <c r="Q453" s="29"/>
      <c r="R453" s="29"/>
      <c r="S453" s="15"/>
      <c r="T453" s="15"/>
      <c r="U453" s="243"/>
      <c r="V453" s="243"/>
      <c r="W453" s="243"/>
      <c r="X453" s="243"/>
      <c r="Y453" s="243"/>
      <c r="Z453" s="243"/>
    </row>
    <row r="454">
      <c r="A454" s="34"/>
      <c r="B454" s="15"/>
      <c r="C454" s="15"/>
      <c r="D454" s="15"/>
      <c r="E454" s="17"/>
      <c r="F454" s="15"/>
      <c r="G454" s="250"/>
      <c r="H454" s="243"/>
      <c r="I454" s="243"/>
      <c r="J454" s="243"/>
      <c r="K454" s="85"/>
      <c r="L454" s="85"/>
      <c r="M454" s="85"/>
      <c r="N454" s="85"/>
      <c r="O454" s="29"/>
      <c r="P454" s="307"/>
      <c r="Q454" s="29"/>
      <c r="R454" s="29"/>
      <c r="S454" s="15"/>
      <c r="T454" s="15"/>
      <c r="U454" s="243"/>
      <c r="V454" s="243"/>
      <c r="W454" s="243"/>
      <c r="X454" s="243"/>
      <c r="Y454" s="243"/>
      <c r="Z454" s="243"/>
    </row>
    <row r="455">
      <c r="A455" s="34"/>
      <c r="B455" s="15"/>
      <c r="C455" s="15"/>
      <c r="D455" s="15"/>
      <c r="E455" s="17"/>
      <c r="F455" s="15"/>
      <c r="G455" s="250"/>
      <c r="H455" s="243"/>
      <c r="I455" s="243"/>
      <c r="J455" s="243"/>
      <c r="K455" s="85"/>
      <c r="L455" s="85"/>
      <c r="M455" s="85"/>
      <c r="N455" s="85"/>
      <c r="O455" s="29"/>
      <c r="P455" s="307"/>
      <c r="Q455" s="29"/>
      <c r="R455" s="29"/>
      <c r="S455" s="15"/>
      <c r="T455" s="15"/>
      <c r="U455" s="243"/>
      <c r="V455" s="243"/>
      <c r="W455" s="243"/>
      <c r="X455" s="243"/>
      <c r="Y455" s="243"/>
      <c r="Z455" s="243"/>
    </row>
    <row r="456">
      <c r="A456" s="34"/>
      <c r="B456" s="15"/>
      <c r="C456" s="15"/>
      <c r="D456" s="15"/>
      <c r="E456" s="17"/>
      <c r="F456" s="15"/>
      <c r="G456" s="250"/>
      <c r="H456" s="243"/>
      <c r="I456" s="243"/>
      <c r="J456" s="243"/>
      <c r="K456" s="85"/>
      <c r="L456" s="85"/>
      <c r="M456" s="85"/>
      <c r="N456" s="85"/>
      <c r="O456" s="29"/>
      <c r="P456" s="307"/>
      <c r="Q456" s="29"/>
      <c r="R456" s="29"/>
      <c r="S456" s="15"/>
      <c r="T456" s="15"/>
      <c r="U456" s="243"/>
      <c r="V456" s="243"/>
      <c r="W456" s="243"/>
      <c r="X456" s="243"/>
      <c r="Y456" s="243"/>
      <c r="Z456" s="243"/>
    </row>
    <row r="457">
      <c r="A457" s="34"/>
      <c r="B457" s="15"/>
      <c r="C457" s="15"/>
      <c r="D457" s="15"/>
      <c r="E457" s="17"/>
      <c r="F457" s="15"/>
      <c r="G457" s="250"/>
      <c r="H457" s="243"/>
      <c r="I457" s="243"/>
      <c r="J457" s="243"/>
      <c r="K457" s="85"/>
      <c r="L457" s="85"/>
      <c r="M457" s="85"/>
      <c r="N457" s="85"/>
      <c r="O457" s="29"/>
      <c r="P457" s="307"/>
      <c r="Q457" s="29"/>
      <c r="R457" s="29"/>
      <c r="S457" s="15"/>
      <c r="T457" s="15"/>
      <c r="U457" s="243"/>
      <c r="V457" s="243"/>
      <c r="W457" s="243"/>
      <c r="X457" s="243"/>
      <c r="Y457" s="243"/>
      <c r="Z457" s="243"/>
    </row>
    <row r="458">
      <c r="A458" s="34"/>
      <c r="B458" s="15"/>
      <c r="C458" s="15"/>
      <c r="D458" s="15"/>
      <c r="E458" s="17"/>
      <c r="F458" s="15"/>
      <c r="G458" s="250"/>
      <c r="H458" s="243"/>
      <c r="I458" s="243"/>
      <c r="J458" s="243"/>
      <c r="K458" s="85"/>
      <c r="L458" s="85"/>
      <c r="M458" s="85"/>
      <c r="N458" s="85"/>
      <c r="O458" s="29"/>
      <c r="P458" s="307"/>
      <c r="Q458" s="29"/>
      <c r="R458" s="29"/>
      <c r="S458" s="15"/>
      <c r="T458" s="15"/>
      <c r="U458" s="243"/>
      <c r="V458" s="243"/>
      <c r="W458" s="243"/>
      <c r="X458" s="243"/>
      <c r="Y458" s="243"/>
      <c r="Z458" s="243"/>
    </row>
    <row r="459">
      <c r="A459" s="34"/>
      <c r="B459" s="15"/>
      <c r="C459" s="15"/>
      <c r="D459" s="15"/>
      <c r="E459" s="17"/>
      <c r="F459" s="15"/>
      <c r="G459" s="250"/>
      <c r="H459" s="243"/>
      <c r="I459" s="243"/>
      <c r="J459" s="243"/>
      <c r="K459" s="85"/>
      <c r="L459" s="85"/>
      <c r="M459" s="85"/>
      <c r="N459" s="85"/>
      <c r="O459" s="29"/>
      <c r="P459" s="307"/>
      <c r="Q459" s="29"/>
      <c r="R459" s="29"/>
      <c r="S459" s="15"/>
      <c r="T459" s="15"/>
      <c r="U459" s="243"/>
      <c r="V459" s="243"/>
      <c r="W459" s="243"/>
      <c r="X459" s="243"/>
      <c r="Y459" s="243"/>
      <c r="Z459" s="243"/>
    </row>
    <row r="460">
      <c r="A460" s="34"/>
      <c r="B460" s="15"/>
      <c r="C460" s="15"/>
      <c r="D460" s="15"/>
      <c r="E460" s="17"/>
      <c r="F460" s="15"/>
      <c r="G460" s="250"/>
      <c r="H460" s="243"/>
      <c r="I460" s="243"/>
      <c r="J460" s="243"/>
      <c r="K460" s="85"/>
      <c r="L460" s="85"/>
      <c r="M460" s="85"/>
      <c r="N460" s="85"/>
      <c r="O460" s="29"/>
      <c r="P460" s="307"/>
      <c r="Q460" s="29"/>
      <c r="R460" s="29"/>
      <c r="S460" s="15"/>
      <c r="T460" s="15"/>
      <c r="U460" s="243"/>
      <c r="V460" s="243"/>
      <c r="W460" s="243"/>
      <c r="X460" s="243"/>
      <c r="Y460" s="243"/>
      <c r="Z460" s="243"/>
    </row>
    <row r="461">
      <c r="A461" s="34"/>
      <c r="B461" s="15"/>
      <c r="C461" s="15"/>
      <c r="D461" s="15"/>
      <c r="E461" s="17"/>
      <c r="F461" s="15"/>
      <c r="G461" s="250"/>
      <c r="H461" s="243"/>
      <c r="I461" s="243"/>
      <c r="J461" s="243"/>
      <c r="K461" s="85"/>
      <c r="L461" s="85"/>
      <c r="M461" s="85"/>
      <c r="N461" s="85"/>
      <c r="O461" s="29"/>
      <c r="P461" s="307"/>
      <c r="Q461" s="29"/>
      <c r="R461" s="29"/>
      <c r="S461" s="15"/>
      <c r="T461" s="15"/>
      <c r="U461" s="243"/>
      <c r="V461" s="243"/>
      <c r="W461" s="243"/>
      <c r="X461" s="243"/>
      <c r="Y461" s="243"/>
      <c r="Z461" s="243"/>
    </row>
    <row r="462">
      <c r="A462" s="34"/>
      <c r="B462" s="15"/>
      <c r="C462" s="15"/>
      <c r="D462" s="15"/>
      <c r="E462" s="17"/>
      <c r="F462" s="15"/>
      <c r="G462" s="250"/>
      <c r="H462" s="243"/>
      <c r="I462" s="243"/>
      <c r="J462" s="243"/>
      <c r="K462" s="85"/>
      <c r="L462" s="85"/>
      <c r="M462" s="85"/>
      <c r="N462" s="85"/>
      <c r="O462" s="29"/>
      <c r="P462" s="307"/>
      <c r="Q462" s="29"/>
      <c r="R462" s="29"/>
      <c r="S462" s="15"/>
      <c r="T462" s="15"/>
      <c r="U462" s="243"/>
      <c r="V462" s="243"/>
      <c r="W462" s="243"/>
      <c r="X462" s="243"/>
      <c r="Y462" s="243"/>
      <c r="Z462" s="243"/>
    </row>
    <row r="463">
      <c r="A463" s="34"/>
      <c r="B463" s="15"/>
      <c r="C463" s="15"/>
      <c r="D463" s="15"/>
      <c r="E463" s="17"/>
      <c r="F463" s="15"/>
      <c r="G463" s="250"/>
      <c r="H463" s="243"/>
      <c r="I463" s="243"/>
      <c r="J463" s="243"/>
      <c r="K463" s="85"/>
      <c r="L463" s="85"/>
      <c r="M463" s="85"/>
      <c r="N463" s="85"/>
      <c r="O463" s="29"/>
      <c r="P463" s="307"/>
      <c r="Q463" s="29"/>
      <c r="R463" s="29"/>
      <c r="S463" s="15"/>
      <c r="T463" s="15"/>
      <c r="U463" s="243"/>
      <c r="V463" s="243"/>
      <c r="W463" s="243"/>
      <c r="X463" s="243"/>
      <c r="Y463" s="243"/>
      <c r="Z463" s="243"/>
    </row>
    <row r="464">
      <c r="A464" s="34"/>
      <c r="B464" s="15"/>
      <c r="C464" s="15"/>
      <c r="D464" s="15"/>
      <c r="E464" s="17"/>
      <c r="F464" s="15"/>
      <c r="G464" s="250"/>
      <c r="H464" s="243"/>
      <c r="I464" s="243"/>
      <c r="J464" s="243"/>
      <c r="K464" s="85"/>
      <c r="L464" s="85"/>
      <c r="M464" s="85"/>
      <c r="N464" s="85"/>
      <c r="O464" s="29"/>
      <c r="P464" s="307"/>
      <c r="Q464" s="29"/>
      <c r="R464" s="29"/>
      <c r="S464" s="15"/>
      <c r="T464" s="15"/>
      <c r="U464" s="243"/>
      <c r="V464" s="243"/>
      <c r="W464" s="243"/>
      <c r="X464" s="243"/>
      <c r="Y464" s="243"/>
      <c r="Z464" s="243"/>
    </row>
    <row r="465">
      <c r="A465" s="34"/>
      <c r="B465" s="15"/>
      <c r="C465" s="15"/>
      <c r="D465" s="15"/>
      <c r="E465" s="17"/>
      <c r="F465" s="15"/>
      <c r="G465" s="250"/>
      <c r="H465" s="243"/>
      <c r="I465" s="243"/>
      <c r="J465" s="243"/>
      <c r="K465" s="85"/>
      <c r="L465" s="85"/>
      <c r="M465" s="85"/>
      <c r="N465" s="85"/>
      <c r="O465" s="29"/>
      <c r="P465" s="307"/>
      <c r="Q465" s="29"/>
      <c r="R465" s="29"/>
      <c r="S465" s="15"/>
      <c r="T465" s="15"/>
      <c r="U465" s="243"/>
      <c r="V465" s="243"/>
      <c r="W465" s="243"/>
      <c r="X465" s="243"/>
      <c r="Y465" s="243"/>
      <c r="Z465" s="243"/>
    </row>
    <row r="466">
      <c r="A466" s="34"/>
      <c r="B466" s="15"/>
      <c r="C466" s="15"/>
      <c r="D466" s="15"/>
      <c r="E466" s="17"/>
      <c r="F466" s="15"/>
      <c r="G466" s="250"/>
      <c r="H466" s="243"/>
      <c r="I466" s="243"/>
      <c r="J466" s="243"/>
      <c r="K466" s="85"/>
      <c r="L466" s="85"/>
      <c r="M466" s="85"/>
      <c r="N466" s="85"/>
      <c r="O466" s="29"/>
      <c r="P466" s="307"/>
      <c r="Q466" s="29"/>
      <c r="R466" s="29"/>
      <c r="S466" s="15"/>
      <c r="T466" s="15"/>
      <c r="U466" s="243"/>
      <c r="V466" s="243"/>
      <c r="W466" s="243"/>
      <c r="X466" s="243"/>
      <c r="Y466" s="243"/>
      <c r="Z466" s="243"/>
    </row>
    <row r="467">
      <c r="A467" s="34"/>
      <c r="B467" s="15"/>
      <c r="C467" s="15"/>
      <c r="D467" s="15"/>
      <c r="E467" s="17"/>
      <c r="F467" s="15"/>
      <c r="G467" s="250"/>
      <c r="H467" s="243"/>
      <c r="I467" s="243"/>
      <c r="J467" s="243"/>
      <c r="K467" s="85"/>
      <c r="L467" s="85"/>
      <c r="M467" s="85"/>
      <c r="N467" s="85"/>
      <c r="O467" s="29"/>
      <c r="P467" s="307"/>
      <c r="Q467" s="29"/>
      <c r="R467" s="29"/>
      <c r="S467" s="15"/>
      <c r="T467" s="15"/>
      <c r="U467" s="243"/>
      <c r="V467" s="243"/>
      <c r="W467" s="243"/>
      <c r="X467" s="243"/>
      <c r="Y467" s="243"/>
      <c r="Z467" s="243"/>
    </row>
    <row r="468">
      <c r="A468" s="34"/>
      <c r="B468" s="15"/>
      <c r="C468" s="15"/>
      <c r="D468" s="15"/>
      <c r="E468" s="17"/>
      <c r="F468" s="15"/>
      <c r="G468" s="250"/>
      <c r="H468" s="243"/>
      <c r="I468" s="243"/>
      <c r="J468" s="243"/>
      <c r="K468" s="85"/>
      <c r="L468" s="85"/>
      <c r="M468" s="85"/>
      <c r="N468" s="85"/>
      <c r="O468" s="29"/>
      <c r="P468" s="307"/>
      <c r="Q468" s="29"/>
      <c r="R468" s="29"/>
      <c r="S468" s="15"/>
      <c r="T468" s="15"/>
      <c r="U468" s="243"/>
      <c r="V468" s="243"/>
      <c r="W468" s="243"/>
      <c r="X468" s="243"/>
      <c r="Y468" s="243"/>
      <c r="Z468" s="243"/>
    </row>
    <row r="469">
      <c r="A469" s="34"/>
      <c r="B469" s="15"/>
      <c r="C469" s="15"/>
      <c r="D469" s="15"/>
      <c r="E469" s="17"/>
      <c r="F469" s="15"/>
      <c r="G469" s="250"/>
      <c r="H469" s="243"/>
      <c r="I469" s="243"/>
      <c r="J469" s="243"/>
      <c r="K469" s="85"/>
      <c r="L469" s="85"/>
      <c r="M469" s="85"/>
      <c r="N469" s="85"/>
      <c r="O469" s="29"/>
      <c r="P469" s="307"/>
      <c r="Q469" s="29"/>
      <c r="R469" s="29"/>
      <c r="S469" s="15"/>
      <c r="T469" s="15"/>
      <c r="U469" s="243"/>
      <c r="V469" s="243"/>
      <c r="W469" s="243"/>
      <c r="X469" s="243"/>
      <c r="Y469" s="243"/>
      <c r="Z469" s="243"/>
    </row>
    <row r="470">
      <c r="A470" s="34"/>
      <c r="B470" s="15"/>
      <c r="C470" s="15"/>
      <c r="D470" s="15"/>
      <c r="E470" s="17"/>
      <c r="F470" s="15"/>
      <c r="G470" s="250"/>
      <c r="H470" s="243"/>
      <c r="I470" s="243"/>
      <c r="J470" s="243"/>
      <c r="K470" s="85"/>
      <c r="L470" s="85"/>
      <c r="M470" s="85"/>
      <c r="N470" s="85"/>
      <c r="O470" s="29"/>
      <c r="P470" s="307"/>
      <c r="Q470" s="29"/>
      <c r="R470" s="29"/>
      <c r="S470" s="15"/>
      <c r="T470" s="15"/>
      <c r="U470" s="243"/>
      <c r="V470" s="243"/>
      <c r="W470" s="243"/>
      <c r="X470" s="243"/>
      <c r="Y470" s="243"/>
      <c r="Z470" s="243"/>
    </row>
    <row r="471">
      <c r="A471" s="34"/>
      <c r="B471" s="15"/>
      <c r="C471" s="15"/>
      <c r="D471" s="15"/>
      <c r="E471" s="17"/>
      <c r="F471" s="15"/>
      <c r="G471" s="250"/>
      <c r="H471" s="243"/>
      <c r="I471" s="243"/>
      <c r="J471" s="243"/>
      <c r="K471" s="85"/>
      <c r="L471" s="85"/>
      <c r="M471" s="85"/>
      <c r="N471" s="85"/>
      <c r="O471" s="29"/>
      <c r="P471" s="307"/>
      <c r="Q471" s="29"/>
      <c r="R471" s="29"/>
      <c r="S471" s="15"/>
      <c r="T471" s="15"/>
      <c r="U471" s="243"/>
      <c r="V471" s="243"/>
      <c r="W471" s="243"/>
      <c r="X471" s="243"/>
      <c r="Y471" s="243"/>
      <c r="Z471" s="243"/>
    </row>
    <row r="472">
      <c r="A472" s="34"/>
      <c r="B472" s="15"/>
      <c r="C472" s="15"/>
      <c r="D472" s="15"/>
      <c r="E472" s="17"/>
      <c r="F472" s="15"/>
      <c r="G472" s="250"/>
      <c r="H472" s="243"/>
      <c r="I472" s="243"/>
      <c r="J472" s="243"/>
      <c r="K472" s="85"/>
      <c r="L472" s="85"/>
      <c r="M472" s="85"/>
      <c r="N472" s="85"/>
      <c r="O472" s="29"/>
      <c r="P472" s="307"/>
      <c r="Q472" s="29"/>
      <c r="R472" s="29"/>
      <c r="S472" s="15"/>
      <c r="T472" s="15"/>
      <c r="U472" s="243"/>
      <c r="V472" s="243"/>
      <c r="W472" s="243"/>
      <c r="X472" s="243"/>
      <c r="Y472" s="243"/>
      <c r="Z472" s="243"/>
    </row>
    <row r="473">
      <c r="A473" s="34"/>
      <c r="B473" s="15"/>
      <c r="C473" s="15"/>
      <c r="D473" s="15"/>
      <c r="E473" s="17"/>
      <c r="F473" s="15"/>
      <c r="G473" s="250"/>
      <c r="H473" s="243"/>
      <c r="I473" s="243"/>
      <c r="J473" s="243"/>
      <c r="K473" s="85"/>
      <c r="L473" s="85"/>
      <c r="M473" s="85"/>
      <c r="N473" s="85"/>
      <c r="O473" s="29"/>
      <c r="P473" s="307"/>
      <c r="Q473" s="29"/>
      <c r="R473" s="29"/>
      <c r="S473" s="15"/>
      <c r="T473" s="15"/>
      <c r="U473" s="243"/>
      <c r="V473" s="243"/>
      <c r="W473" s="243"/>
      <c r="X473" s="243"/>
      <c r="Y473" s="243"/>
      <c r="Z473" s="243"/>
    </row>
    <row r="474">
      <c r="A474" s="34"/>
      <c r="B474" s="15"/>
      <c r="C474" s="15"/>
      <c r="D474" s="15"/>
      <c r="E474" s="17"/>
      <c r="F474" s="15"/>
      <c r="G474" s="250"/>
      <c r="H474" s="243"/>
      <c r="I474" s="243"/>
      <c r="J474" s="243"/>
      <c r="K474" s="85"/>
      <c r="L474" s="85"/>
      <c r="M474" s="85"/>
      <c r="N474" s="85"/>
      <c r="O474" s="29"/>
      <c r="P474" s="307"/>
      <c r="Q474" s="29"/>
      <c r="R474" s="29"/>
      <c r="S474" s="15"/>
      <c r="T474" s="15"/>
      <c r="U474" s="243"/>
      <c r="V474" s="243"/>
      <c r="W474" s="243"/>
      <c r="X474" s="243"/>
      <c r="Y474" s="243"/>
      <c r="Z474" s="243"/>
    </row>
    <row r="475">
      <c r="A475" s="34"/>
      <c r="B475" s="15"/>
      <c r="C475" s="15"/>
      <c r="D475" s="15"/>
      <c r="E475" s="17"/>
      <c r="F475" s="15"/>
      <c r="G475" s="250"/>
      <c r="H475" s="243"/>
      <c r="I475" s="243"/>
      <c r="J475" s="243"/>
      <c r="K475" s="85"/>
      <c r="L475" s="85"/>
      <c r="M475" s="85"/>
      <c r="N475" s="85"/>
      <c r="O475" s="29"/>
      <c r="P475" s="307"/>
      <c r="Q475" s="29"/>
      <c r="R475" s="29"/>
      <c r="S475" s="15"/>
      <c r="T475" s="15"/>
      <c r="U475" s="243"/>
      <c r="V475" s="243"/>
      <c r="W475" s="243"/>
      <c r="X475" s="243"/>
      <c r="Y475" s="243"/>
      <c r="Z475" s="243"/>
    </row>
    <row r="476">
      <c r="A476" s="34"/>
      <c r="B476" s="15"/>
      <c r="C476" s="15"/>
      <c r="D476" s="15"/>
      <c r="E476" s="17"/>
      <c r="F476" s="15"/>
      <c r="G476" s="250"/>
      <c r="H476" s="243"/>
      <c r="I476" s="243"/>
      <c r="J476" s="243"/>
      <c r="K476" s="85"/>
      <c r="L476" s="85"/>
      <c r="M476" s="85"/>
      <c r="N476" s="85"/>
      <c r="O476" s="29"/>
      <c r="P476" s="307"/>
      <c r="Q476" s="29"/>
      <c r="R476" s="29"/>
      <c r="S476" s="15"/>
      <c r="T476" s="15"/>
      <c r="U476" s="243"/>
      <c r="V476" s="243"/>
      <c r="W476" s="243"/>
      <c r="X476" s="243"/>
      <c r="Y476" s="243"/>
      <c r="Z476" s="243"/>
    </row>
    <row r="477">
      <c r="A477" s="34"/>
      <c r="B477" s="15"/>
      <c r="C477" s="15"/>
      <c r="D477" s="15"/>
      <c r="E477" s="17"/>
      <c r="F477" s="15"/>
      <c r="G477" s="250"/>
      <c r="H477" s="243"/>
      <c r="I477" s="243"/>
      <c r="J477" s="243"/>
      <c r="K477" s="85"/>
      <c r="L477" s="85"/>
      <c r="M477" s="85"/>
      <c r="N477" s="85"/>
      <c r="O477" s="29"/>
      <c r="P477" s="307"/>
      <c r="Q477" s="29"/>
      <c r="R477" s="29"/>
      <c r="S477" s="15"/>
      <c r="T477" s="15"/>
      <c r="U477" s="243"/>
      <c r="V477" s="243"/>
      <c r="W477" s="243"/>
      <c r="X477" s="243"/>
      <c r="Y477" s="243"/>
      <c r="Z477" s="243"/>
    </row>
    <row r="478">
      <c r="A478" s="34"/>
      <c r="B478" s="15"/>
      <c r="C478" s="15"/>
      <c r="D478" s="15"/>
      <c r="E478" s="17"/>
      <c r="F478" s="15"/>
      <c r="G478" s="250"/>
      <c r="H478" s="243"/>
      <c r="I478" s="243"/>
      <c r="J478" s="243"/>
      <c r="K478" s="85"/>
      <c r="L478" s="85"/>
      <c r="M478" s="85"/>
      <c r="N478" s="85"/>
      <c r="O478" s="29"/>
      <c r="P478" s="307"/>
      <c r="Q478" s="29"/>
      <c r="R478" s="29"/>
      <c r="S478" s="15"/>
      <c r="T478" s="15"/>
      <c r="U478" s="243"/>
      <c r="V478" s="243"/>
      <c r="W478" s="243"/>
      <c r="X478" s="243"/>
      <c r="Y478" s="243"/>
      <c r="Z478" s="243"/>
    </row>
    <row r="479">
      <c r="A479" s="34"/>
      <c r="B479" s="15"/>
      <c r="C479" s="15"/>
      <c r="D479" s="15"/>
      <c r="E479" s="17"/>
      <c r="F479" s="15"/>
      <c r="G479" s="250"/>
      <c r="H479" s="243"/>
      <c r="I479" s="243"/>
      <c r="J479" s="243"/>
      <c r="K479" s="85"/>
      <c r="L479" s="85"/>
      <c r="M479" s="85"/>
      <c r="N479" s="85"/>
      <c r="O479" s="29"/>
      <c r="P479" s="307"/>
      <c r="Q479" s="29"/>
      <c r="R479" s="29"/>
      <c r="S479" s="15"/>
      <c r="T479" s="15"/>
      <c r="U479" s="243"/>
      <c r="V479" s="243"/>
      <c r="W479" s="243"/>
      <c r="X479" s="243"/>
      <c r="Y479" s="243"/>
      <c r="Z479" s="243"/>
    </row>
    <row r="480">
      <c r="A480" s="34"/>
      <c r="B480" s="15"/>
      <c r="C480" s="15"/>
      <c r="D480" s="15"/>
      <c r="E480" s="17"/>
      <c r="F480" s="15"/>
      <c r="G480" s="250"/>
      <c r="H480" s="243"/>
      <c r="I480" s="243"/>
      <c r="J480" s="243"/>
      <c r="K480" s="85"/>
      <c r="L480" s="85"/>
      <c r="M480" s="85"/>
      <c r="N480" s="85"/>
      <c r="O480" s="29"/>
      <c r="P480" s="307"/>
      <c r="Q480" s="29"/>
      <c r="R480" s="29"/>
      <c r="S480" s="15"/>
      <c r="T480" s="15"/>
      <c r="U480" s="243"/>
      <c r="V480" s="243"/>
      <c r="W480" s="243"/>
      <c r="X480" s="243"/>
      <c r="Y480" s="243"/>
      <c r="Z480" s="243"/>
    </row>
    <row r="481">
      <c r="A481" s="34"/>
      <c r="B481" s="15"/>
      <c r="C481" s="15"/>
      <c r="D481" s="15"/>
      <c r="E481" s="17"/>
      <c r="F481" s="15"/>
      <c r="G481" s="250"/>
      <c r="H481" s="243"/>
      <c r="I481" s="243"/>
      <c r="J481" s="243"/>
      <c r="K481" s="85"/>
      <c r="L481" s="85"/>
      <c r="M481" s="85"/>
      <c r="N481" s="85"/>
      <c r="O481" s="29"/>
      <c r="P481" s="307"/>
      <c r="Q481" s="29"/>
      <c r="R481" s="29"/>
      <c r="S481" s="15"/>
      <c r="T481" s="15"/>
      <c r="U481" s="243"/>
      <c r="V481" s="243"/>
      <c r="W481" s="243"/>
      <c r="X481" s="243"/>
      <c r="Y481" s="243"/>
      <c r="Z481" s="243"/>
    </row>
    <row r="482">
      <c r="A482" s="34"/>
      <c r="B482" s="15"/>
      <c r="C482" s="15"/>
      <c r="D482" s="15"/>
      <c r="E482" s="17"/>
      <c r="F482" s="15"/>
      <c r="G482" s="250"/>
      <c r="H482" s="243"/>
      <c r="I482" s="243"/>
      <c r="J482" s="243"/>
      <c r="K482" s="85"/>
      <c r="L482" s="85"/>
      <c r="M482" s="85"/>
      <c r="N482" s="85"/>
      <c r="O482" s="29"/>
      <c r="P482" s="307"/>
      <c r="Q482" s="29"/>
      <c r="R482" s="29"/>
      <c r="S482" s="15"/>
      <c r="T482" s="15"/>
      <c r="U482" s="243"/>
      <c r="V482" s="243"/>
      <c r="W482" s="243"/>
      <c r="X482" s="243"/>
      <c r="Y482" s="243"/>
      <c r="Z482" s="243"/>
    </row>
    <row r="483">
      <c r="A483" s="34"/>
      <c r="B483" s="15"/>
      <c r="C483" s="15"/>
      <c r="D483" s="15"/>
      <c r="E483" s="17"/>
      <c r="F483" s="15"/>
      <c r="G483" s="250"/>
      <c r="H483" s="243"/>
      <c r="I483" s="243"/>
      <c r="J483" s="243"/>
      <c r="K483" s="85"/>
      <c r="L483" s="85"/>
      <c r="M483" s="85"/>
      <c r="N483" s="85"/>
      <c r="O483" s="29"/>
      <c r="P483" s="307"/>
      <c r="Q483" s="29"/>
      <c r="R483" s="29"/>
      <c r="S483" s="15"/>
      <c r="T483" s="15"/>
      <c r="U483" s="243"/>
      <c r="V483" s="243"/>
      <c r="W483" s="243"/>
      <c r="X483" s="243"/>
      <c r="Y483" s="243"/>
      <c r="Z483" s="243"/>
    </row>
    <row r="484">
      <c r="A484" s="34"/>
      <c r="B484" s="15"/>
      <c r="C484" s="15"/>
      <c r="D484" s="15"/>
      <c r="E484" s="17"/>
      <c r="F484" s="15"/>
      <c r="G484" s="250"/>
      <c r="H484" s="243"/>
      <c r="I484" s="243"/>
      <c r="J484" s="243"/>
      <c r="K484" s="85"/>
      <c r="L484" s="85"/>
      <c r="M484" s="85"/>
      <c r="N484" s="85"/>
      <c r="O484" s="29"/>
      <c r="P484" s="307"/>
      <c r="Q484" s="29"/>
      <c r="R484" s="29"/>
      <c r="S484" s="15"/>
      <c r="T484" s="15"/>
      <c r="U484" s="243"/>
      <c r="V484" s="243"/>
      <c r="W484" s="243"/>
      <c r="X484" s="243"/>
      <c r="Y484" s="243"/>
      <c r="Z484" s="243"/>
    </row>
    <row r="485">
      <c r="A485" s="34"/>
      <c r="B485" s="15"/>
      <c r="C485" s="15"/>
      <c r="D485" s="15"/>
      <c r="E485" s="17"/>
      <c r="F485" s="15"/>
      <c r="G485" s="250"/>
      <c r="H485" s="243"/>
      <c r="I485" s="243"/>
      <c r="J485" s="243"/>
      <c r="K485" s="85"/>
      <c r="L485" s="85"/>
      <c r="M485" s="85"/>
      <c r="N485" s="85"/>
      <c r="O485" s="29"/>
      <c r="P485" s="307"/>
      <c r="Q485" s="29"/>
      <c r="R485" s="29"/>
      <c r="S485" s="15"/>
      <c r="T485" s="15"/>
      <c r="U485" s="243"/>
      <c r="V485" s="243"/>
      <c r="W485" s="243"/>
      <c r="X485" s="243"/>
      <c r="Y485" s="243"/>
      <c r="Z485" s="243"/>
    </row>
    <row r="486">
      <c r="A486" s="34"/>
      <c r="B486" s="15"/>
      <c r="C486" s="15"/>
      <c r="D486" s="15"/>
      <c r="E486" s="17"/>
      <c r="F486" s="15"/>
      <c r="G486" s="250"/>
      <c r="H486" s="243"/>
      <c r="I486" s="243"/>
      <c r="J486" s="243"/>
      <c r="K486" s="85"/>
      <c r="L486" s="85"/>
      <c r="M486" s="85"/>
      <c r="N486" s="85"/>
      <c r="O486" s="29"/>
      <c r="P486" s="307"/>
      <c r="Q486" s="29"/>
      <c r="R486" s="29"/>
      <c r="S486" s="15"/>
      <c r="T486" s="15"/>
      <c r="U486" s="243"/>
      <c r="V486" s="243"/>
      <c r="W486" s="243"/>
      <c r="X486" s="243"/>
      <c r="Y486" s="243"/>
      <c r="Z486" s="243"/>
    </row>
    <row r="487">
      <c r="A487" s="34"/>
      <c r="B487" s="15"/>
      <c r="C487" s="15"/>
      <c r="D487" s="15"/>
      <c r="E487" s="17"/>
      <c r="F487" s="15"/>
      <c r="G487" s="250"/>
      <c r="H487" s="243"/>
      <c r="I487" s="243"/>
      <c r="J487" s="243"/>
      <c r="K487" s="85"/>
      <c r="L487" s="85"/>
      <c r="M487" s="85"/>
      <c r="N487" s="85"/>
      <c r="O487" s="29"/>
      <c r="P487" s="307"/>
      <c r="Q487" s="29"/>
      <c r="R487" s="29"/>
      <c r="S487" s="15"/>
      <c r="T487" s="15"/>
      <c r="U487" s="243"/>
      <c r="V487" s="243"/>
      <c r="W487" s="243"/>
      <c r="X487" s="243"/>
      <c r="Y487" s="243"/>
      <c r="Z487" s="243"/>
    </row>
    <row r="488">
      <c r="A488" s="34"/>
      <c r="B488" s="15"/>
      <c r="C488" s="15"/>
      <c r="D488" s="15"/>
      <c r="E488" s="17"/>
      <c r="F488" s="15"/>
      <c r="G488" s="250"/>
      <c r="H488" s="243"/>
      <c r="I488" s="243"/>
      <c r="J488" s="243"/>
      <c r="K488" s="85"/>
      <c r="L488" s="85"/>
      <c r="M488" s="85"/>
      <c r="N488" s="85"/>
      <c r="O488" s="29"/>
      <c r="P488" s="307"/>
      <c r="Q488" s="29"/>
      <c r="R488" s="29"/>
      <c r="S488" s="15"/>
      <c r="T488" s="15"/>
      <c r="U488" s="243"/>
      <c r="V488" s="243"/>
      <c r="W488" s="243"/>
      <c r="X488" s="243"/>
      <c r="Y488" s="243"/>
      <c r="Z488" s="243"/>
    </row>
    <row r="489">
      <c r="A489" s="34"/>
      <c r="B489" s="15"/>
      <c r="C489" s="15"/>
      <c r="D489" s="15"/>
      <c r="E489" s="17"/>
      <c r="F489" s="15"/>
      <c r="G489" s="250"/>
      <c r="H489" s="243"/>
      <c r="I489" s="243"/>
      <c r="J489" s="243"/>
      <c r="K489" s="85"/>
      <c r="L489" s="85"/>
      <c r="M489" s="85"/>
      <c r="N489" s="85"/>
      <c r="O489" s="29"/>
      <c r="P489" s="307"/>
      <c r="Q489" s="29"/>
      <c r="R489" s="29"/>
      <c r="S489" s="15"/>
      <c r="T489" s="15"/>
      <c r="U489" s="243"/>
      <c r="V489" s="243"/>
      <c r="W489" s="243"/>
      <c r="X489" s="243"/>
      <c r="Y489" s="243"/>
      <c r="Z489" s="243"/>
    </row>
    <row r="490">
      <c r="A490" s="34"/>
      <c r="B490" s="15"/>
      <c r="C490" s="15"/>
      <c r="D490" s="15"/>
      <c r="E490" s="17"/>
      <c r="F490" s="15"/>
      <c r="G490" s="250"/>
      <c r="H490" s="243"/>
      <c r="I490" s="243"/>
      <c r="J490" s="243"/>
      <c r="K490" s="85"/>
      <c r="L490" s="85"/>
      <c r="M490" s="85"/>
      <c r="N490" s="85"/>
      <c r="O490" s="29"/>
      <c r="P490" s="307"/>
      <c r="Q490" s="29"/>
      <c r="R490" s="29"/>
      <c r="S490" s="15"/>
      <c r="T490" s="15"/>
      <c r="U490" s="243"/>
      <c r="V490" s="243"/>
      <c r="W490" s="243"/>
      <c r="X490" s="243"/>
      <c r="Y490" s="243"/>
      <c r="Z490" s="243"/>
    </row>
    <row r="491">
      <c r="A491" s="34"/>
      <c r="B491" s="15"/>
      <c r="C491" s="15"/>
      <c r="D491" s="15"/>
      <c r="E491" s="17"/>
      <c r="F491" s="15"/>
      <c r="G491" s="250"/>
      <c r="H491" s="243"/>
      <c r="I491" s="243"/>
      <c r="J491" s="243"/>
      <c r="K491" s="85"/>
      <c r="L491" s="85"/>
      <c r="M491" s="85"/>
      <c r="N491" s="85"/>
      <c r="O491" s="29"/>
      <c r="P491" s="307"/>
      <c r="Q491" s="29"/>
      <c r="R491" s="29"/>
      <c r="S491" s="15"/>
      <c r="T491" s="15"/>
      <c r="U491" s="243"/>
      <c r="V491" s="243"/>
      <c r="W491" s="243"/>
      <c r="X491" s="243"/>
      <c r="Y491" s="243"/>
      <c r="Z491" s="243"/>
    </row>
    <row r="492">
      <c r="A492" s="34"/>
      <c r="B492" s="15"/>
      <c r="C492" s="15"/>
      <c r="D492" s="15"/>
      <c r="E492" s="17"/>
      <c r="F492" s="15"/>
      <c r="G492" s="250"/>
      <c r="H492" s="243"/>
      <c r="I492" s="243"/>
      <c r="J492" s="243"/>
      <c r="K492" s="85"/>
      <c r="L492" s="85"/>
      <c r="M492" s="85"/>
      <c r="N492" s="85"/>
      <c r="O492" s="29"/>
      <c r="P492" s="307"/>
      <c r="Q492" s="29"/>
      <c r="R492" s="29"/>
      <c r="S492" s="15"/>
      <c r="T492" s="15"/>
      <c r="U492" s="243"/>
      <c r="V492" s="243"/>
      <c r="W492" s="243"/>
      <c r="X492" s="243"/>
      <c r="Y492" s="243"/>
      <c r="Z492" s="243"/>
    </row>
    <row r="493">
      <c r="A493" s="34"/>
      <c r="B493" s="15"/>
      <c r="C493" s="15"/>
      <c r="D493" s="15"/>
      <c r="E493" s="17"/>
      <c r="F493" s="15"/>
      <c r="G493" s="250"/>
      <c r="H493" s="243"/>
      <c r="I493" s="243"/>
      <c r="J493" s="243"/>
      <c r="K493" s="85"/>
      <c r="L493" s="85"/>
      <c r="M493" s="85"/>
      <c r="N493" s="85"/>
      <c r="O493" s="29"/>
      <c r="P493" s="307"/>
      <c r="Q493" s="29"/>
      <c r="R493" s="29"/>
      <c r="S493" s="15"/>
      <c r="T493" s="15"/>
      <c r="U493" s="243"/>
      <c r="V493" s="243"/>
      <c r="W493" s="243"/>
      <c r="X493" s="243"/>
      <c r="Y493" s="243"/>
      <c r="Z493" s="243"/>
    </row>
    <row r="494">
      <c r="A494" s="34"/>
      <c r="B494" s="15"/>
      <c r="C494" s="15"/>
      <c r="D494" s="15"/>
      <c r="E494" s="17"/>
      <c r="F494" s="15"/>
      <c r="G494" s="250"/>
      <c r="H494" s="243"/>
      <c r="I494" s="243"/>
      <c r="J494" s="243"/>
      <c r="K494" s="85"/>
      <c r="L494" s="85"/>
      <c r="M494" s="85"/>
      <c r="N494" s="85"/>
      <c r="O494" s="29"/>
      <c r="P494" s="307"/>
      <c r="Q494" s="29"/>
      <c r="R494" s="29"/>
      <c r="S494" s="15"/>
      <c r="T494" s="15"/>
      <c r="U494" s="243"/>
      <c r="V494" s="243"/>
      <c r="W494" s="243"/>
      <c r="X494" s="243"/>
      <c r="Y494" s="243"/>
      <c r="Z494" s="243"/>
    </row>
    <row r="495">
      <c r="A495" s="34"/>
      <c r="B495" s="15"/>
      <c r="C495" s="15"/>
      <c r="D495" s="15"/>
      <c r="E495" s="17"/>
      <c r="F495" s="15"/>
      <c r="G495" s="250"/>
      <c r="H495" s="243"/>
      <c r="I495" s="243"/>
      <c r="J495" s="243"/>
      <c r="K495" s="85"/>
      <c r="L495" s="85"/>
      <c r="M495" s="85"/>
      <c r="N495" s="85"/>
      <c r="O495" s="29"/>
      <c r="P495" s="307"/>
      <c r="Q495" s="29"/>
      <c r="R495" s="29"/>
      <c r="S495" s="15"/>
      <c r="T495" s="15"/>
      <c r="U495" s="243"/>
      <c r="V495" s="243"/>
      <c r="W495" s="243"/>
      <c r="X495" s="243"/>
      <c r="Y495" s="243"/>
      <c r="Z495" s="243"/>
    </row>
    <row r="496">
      <c r="A496" s="34"/>
      <c r="B496" s="15"/>
      <c r="C496" s="15"/>
      <c r="D496" s="15"/>
      <c r="E496" s="17"/>
      <c r="F496" s="15"/>
      <c r="G496" s="250"/>
      <c r="H496" s="243"/>
      <c r="I496" s="243"/>
      <c r="J496" s="243"/>
      <c r="K496" s="85"/>
      <c r="L496" s="85"/>
      <c r="M496" s="85"/>
      <c r="N496" s="85"/>
      <c r="O496" s="29"/>
      <c r="P496" s="307"/>
      <c r="Q496" s="29"/>
      <c r="R496" s="29"/>
      <c r="S496" s="15"/>
      <c r="T496" s="15"/>
      <c r="U496" s="243"/>
      <c r="V496" s="243"/>
      <c r="W496" s="243"/>
      <c r="X496" s="243"/>
      <c r="Y496" s="243"/>
      <c r="Z496" s="243"/>
    </row>
    <row r="497">
      <c r="A497" s="34"/>
      <c r="B497" s="15"/>
      <c r="C497" s="15"/>
      <c r="D497" s="15"/>
      <c r="E497" s="17"/>
      <c r="F497" s="15"/>
      <c r="G497" s="250"/>
      <c r="H497" s="243"/>
      <c r="I497" s="243"/>
      <c r="J497" s="243"/>
      <c r="K497" s="85"/>
      <c r="L497" s="85"/>
      <c r="M497" s="85"/>
      <c r="N497" s="85"/>
      <c r="O497" s="29"/>
      <c r="P497" s="307"/>
      <c r="Q497" s="29"/>
      <c r="R497" s="29"/>
      <c r="S497" s="15"/>
      <c r="T497" s="15"/>
      <c r="U497" s="243"/>
      <c r="V497" s="243"/>
      <c r="W497" s="243"/>
      <c r="X497" s="243"/>
      <c r="Y497" s="243"/>
      <c r="Z497" s="243"/>
    </row>
    <row r="498">
      <c r="A498" s="34"/>
      <c r="B498" s="15"/>
      <c r="C498" s="15"/>
      <c r="D498" s="15"/>
      <c r="E498" s="17"/>
      <c r="F498" s="15"/>
      <c r="G498" s="250"/>
      <c r="H498" s="243"/>
      <c r="I498" s="243"/>
      <c r="J498" s="243"/>
      <c r="K498" s="85"/>
      <c r="L498" s="85"/>
      <c r="M498" s="85"/>
      <c r="N498" s="85"/>
      <c r="O498" s="29"/>
      <c r="P498" s="307"/>
      <c r="Q498" s="29"/>
      <c r="R498" s="29"/>
      <c r="S498" s="15"/>
      <c r="T498" s="15"/>
      <c r="U498" s="243"/>
      <c r="V498" s="243"/>
      <c r="W498" s="243"/>
      <c r="X498" s="243"/>
      <c r="Y498" s="243"/>
      <c r="Z498" s="243"/>
    </row>
    <row r="499">
      <c r="A499" s="34"/>
      <c r="B499" s="15"/>
      <c r="C499" s="15"/>
      <c r="D499" s="15"/>
      <c r="E499" s="17"/>
      <c r="F499" s="15"/>
      <c r="G499" s="250"/>
      <c r="H499" s="243"/>
      <c r="I499" s="243"/>
      <c r="J499" s="243"/>
      <c r="K499" s="85"/>
      <c r="L499" s="85"/>
      <c r="M499" s="85"/>
      <c r="N499" s="85"/>
      <c r="O499" s="29"/>
      <c r="P499" s="307"/>
      <c r="Q499" s="29"/>
      <c r="R499" s="29"/>
      <c r="S499" s="15"/>
      <c r="T499" s="15"/>
      <c r="U499" s="243"/>
      <c r="V499" s="243"/>
      <c r="W499" s="243"/>
      <c r="X499" s="243"/>
      <c r="Y499" s="243"/>
      <c r="Z499" s="243"/>
    </row>
    <row r="500">
      <c r="A500" s="34"/>
      <c r="B500" s="15"/>
      <c r="C500" s="15"/>
      <c r="D500" s="15"/>
      <c r="E500" s="17"/>
      <c r="F500" s="15"/>
      <c r="G500" s="250"/>
      <c r="H500" s="243"/>
      <c r="I500" s="243"/>
      <c r="J500" s="243"/>
      <c r="K500" s="85"/>
      <c r="L500" s="85"/>
      <c r="M500" s="85"/>
      <c r="N500" s="85"/>
      <c r="O500" s="29"/>
      <c r="P500" s="307"/>
      <c r="Q500" s="29"/>
      <c r="R500" s="29"/>
      <c r="S500" s="15"/>
      <c r="T500" s="15"/>
      <c r="U500" s="243"/>
      <c r="V500" s="243"/>
      <c r="W500" s="243"/>
      <c r="X500" s="243"/>
      <c r="Y500" s="243"/>
      <c r="Z500" s="243"/>
    </row>
    <row r="501">
      <c r="A501" s="34"/>
      <c r="B501" s="15"/>
      <c r="C501" s="15"/>
      <c r="D501" s="15"/>
      <c r="E501" s="17"/>
      <c r="F501" s="15"/>
      <c r="G501" s="250"/>
      <c r="H501" s="243"/>
      <c r="I501" s="243"/>
      <c r="J501" s="243"/>
      <c r="K501" s="85"/>
      <c r="L501" s="85"/>
      <c r="M501" s="85"/>
      <c r="N501" s="85"/>
      <c r="O501" s="29"/>
      <c r="P501" s="307"/>
      <c r="Q501" s="29"/>
      <c r="R501" s="29"/>
      <c r="S501" s="15"/>
      <c r="T501" s="15"/>
      <c r="U501" s="243"/>
      <c r="V501" s="243"/>
      <c r="W501" s="243"/>
      <c r="X501" s="243"/>
      <c r="Y501" s="243"/>
      <c r="Z501" s="243"/>
    </row>
    <row r="502">
      <c r="A502" s="34"/>
      <c r="B502" s="15"/>
      <c r="C502" s="15"/>
      <c r="D502" s="15"/>
      <c r="E502" s="17"/>
      <c r="F502" s="15"/>
      <c r="G502" s="250"/>
      <c r="H502" s="243"/>
      <c r="I502" s="243"/>
      <c r="J502" s="243"/>
      <c r="K502" s="85"/>
      <c r="L502" s="85"/>
      <c r="M502" s="85"/>
      <c r="N502" s="85"/>
      <c r="O502" s="29"/>
      <c r="P502" s="307"/>
      <c r="Q502" s="29"/>
      <c r="R502" s="29"/>
      <c r="S502" s="15"/>
      <c r="T502" s="15"/>
      <c r="U502" s="243"/>
      <c r="V502" s="243"/>
      <c r="W502" s="243"/>
      <c r="X502" s="243"/>
      <c r="Y502" s="243"/>
      <c r="Z502" s="243"/>
    </row>
    <row r="503">
      <c r="A503" s="34"/>
      <c r="B503" s="15"/>
      <c r="C503" s="15"/>
      <c r="D503" s="15"/>
      <c r="E503" s="17"/>
      <c r="F503" s="15"/>
      <c r="G503" s="250"/>
      <c r="H503" s="243"/>
      <c r="I503" s="243"/>
      <c r="J503" s="243"/>
      <c r="K503" s="85"/>
      <c r="L503" s="85"/>
      <c r="M503" s="85"/>
      <c r="N503" s="85"/>
      <c r="O503" s="29"/>
      <c r="P503" s="307"/>
      <c r="Q503" s="29"/>
      <c r="R503" s="29"/>
      <c r="S503" s="15"/>
      <c r="T503" s="15"/>
      <c r="U503" s="243"/>
      <c r="V503" s="243"/>
      <c r="W503" s="243"/>
      <c r="X503" s="243"/>
      <c r="Y503" s="243"/>
      <c r="Z503" s="243"/>
    </row>
    <row r="504">
      <c r="A504" s="34"/>
      <c r="B504" s="15"/>
      <c r="C504" s="15"/>
      <c r="D504" s="15"/>
      <c r="E504" s="17"/>
      <c r="F504" s="15"/>
      <c r="G504" s="250"/>
      <c r="H504" s="243"/>
      <c r="I504" s="243"/>
      <c r="J504" s="243"/>
      <c r="K504" s="85"/>
      <c r="L504" s="85"/>
      <c r="M504" s="85"/>
      <c r="N504" s="85"/>
      <c r="O504" s="29"/>
      <c r="P504" s="307"/>
      <c r="Q504" s="29"/>
      <c r="R504" s="29"/>
      <c r="S504" s="15"/>
      <c r="T504" s="15"/>
      <c r="U504" s="243"/>
      <c r="V504" s="243"/>
      <c r="W504" s="243"/>
      <c r="X504" s="243"/>
      <c r="Y504" s="243"/>
      <c r="Z504" s="243"/>
    </row>
    <row r="505">
      <c r="A505" s="34"/>
      <c r="B505" s="15"/>
      <c r="C505" s="15"/>
      <c r="D505" s="15"/>
      <c r="E505" s="17"/>
      <c r="F505" s="15"/>
      <c r="G505" s="250"/>
      <c r="H505" s="243"/>
      <c r="I505" s="243"/>
      <c r="J505" s="243"/>
      <c r="K505" s="85"/>
      <c r="L505" s="85"/>
      <c r="M505" s="85"/>
      <c r="N505" s="85"/>
      <c r="O505" s="29"/>
      <c r="P505" s="307"/>
      <c r="Q505" s="29"/>
      <c r="R505" s="29"/>
      <c r="S505" s="15"/>
      <c r="T505" s="15"/>
      <c r="U505" s="243"/>
      <c r="V505" s="243"/>
      <c r="W505" s="243"/>
      <c r="X505" s="243"/>
      <c r="Y505" s="243"/>
      <c r="Z505" s="243"/>
    </row>
    <row r="506">
      <c r="A506" s="34"/>
      <c r="B506" s="15"/>
      <c r="C506" s="15"/>
      <c r="D506" s="15"/>
      <c r="E506" s="17"/>
      <c r="F506" s="15"/>
      <c r="G506" s="250"/>
      <c r="H506" s="243"/>
      <c r="I506" s="243"/>
      <c r="J506" s="243"/>
      <c r="K506" s="85"/>
      <c r="L506" s="85"/>
      <c r="M506" s="85"/>
      <c r="N506" s="85"/>
      <c r="O506" s="29"/>
      <c r="P506" s="307"/>
      <c r="Q506" s="29"/>
      <c r="R506" s="29"/>
      <c r="S506" s="15"/>
      <c r="T506" s="15"/>
      <c r="U506" s="243"/>
      <c r="V506" s="243"/>
      <c r="W506" s="243"/>
      <c r="X506" s="243"/>
      <c r="Y506" s="243"/>
      <c r="Z506" s="243"/>
    </row>
    <row r="507">
      <c r="A507" s="34"/>
      <c r="B507" s="15"/>
      <c r="C507" s="15"/>
      <c r="D507" s="15"/>
      <c r="E507" s="17"/>
      <c r="F507" s="15"/>
      <c r="G507" s="250"/>
      <c r="H507" s="243"/>
      <c r="I507" s="243"/>
      <c r="J507" s="243"/>
      <c r="K507" s="85"/>
      <c r="L507" s="85"/>
      <c r="M507" s="85"/>
      <c r="N507" s="85"/>
      <c r="O507" s="29"/>
      <c r="P507" s="307"/>
      <c r="Q507" s="29"/>
      <c r="R507" s="29"/>
      <c r="S507" s="15"/>
      <c r="T507" s="15"/>
      <c r="U507" s="243"/>
      <c r="V507" s="243"/>
      <c r="W507" s="243"/>
      <c r="X507" s="243"/>
      <c r="Y507" s="243"/>
      <c r="Z507" s="243"/>
    </row>
    <row r="508">
      <c r="A508" s="34"/>
      <c r="B508" s="15"/>
      <c r="C508" s="15"/>
      <c r="D508" s="15"/>
      <c r="E508" s="17"/>
      <c r="F508" s="15"/>
      <c r="G508" s="250"/>
      <c r="H508" s="243"/>
      <c r="I508" s="243"/>
      <c r="J508" s="243"/>
      <c r="K508" s="85"/>
      <c r="L508" s="85"/>
      <c r="M508" s="85"/>
      <c r="N508" s="85"/>
      <c r="O508" s="29"/>
      <c r="P508" s="307"/>
      <c r="Q508" s="29"/>
      <c r="R508" s="29"/>
      <c r="S508" s="15"/>
      <c r="T508" s="15"/>
      <c r="U508" s="243"/>
      <c r="V508" s="243"/>
      <c r="W508" s="243"/>
      <c r="X508" s="243"/>
      <c r="Y508" s="243"/>
      <c r="Z508" s="243"/>
    </row>
    <row r="509">
      <c r="A509" s="34"/>
      <c r="B509" s="15"/>
      <c r="C509" s="15"/>
      <c r="D509" s="15"/>
      <c r="E509" s="17"/>
      <c r="F509" s="15"/>
      <c r="G509" s="250"/>
      <c r="H509" s="243"/>
      <c r="I509" s="243"/>
      <c r="J509" s="243"/>
      <c r="K509" s="85"/>
      <c r="L509" s="85"/>
      <c r="M509" s="85"/>
      <c r="N509" s="85"/>
      <c r="O509" s="29"/>
      <c r="P509" s="307"/>
      <c r="Q509" s="29"/>
      <c r="R509" s="29"/>
      <c r="S509" s="15"/>
      <c r="T509" s="15"/>
      <c r="U509" s="243"/>
      <c r="V509" s="243"/>
      <c r="W509" s="243"/>
      <c r="X509" s="243"/>
      <c r="Y509" s="243"/>
      <c r="Z509" s="243"/>
    </row>
    <row r="510">
      <c r="A510" s="34"/>
      <c r="B510" s="15"/>
      <c r="C510" s="15"/>
      <c r="D510" s="15"/>
      <c r="E510" s="17"/>
      <c r="F510" s="15"/>
      <c r="G510" s="250"/>
      <c r="H510" s="243"/>
      <c r="I510" s="243"/>
      <c r="J510" s="243"/>
      <c r="K510" s="85"/>
      <c r="L510" s="85"/>
      <c r="M510" s="85"/>
      <c r="N510" s="85"/>
      <c r="O510" s="29"/>
      <c r="P510" s="307"/>
      <c r="Q510" s="29"/>
      <c r="R510" s="29"/>
      <c r="S510" s="15"/>
      <c r="T510" s="15"/>
      <c r="U510" s="243"/>
      <c r="V510" s="243"/>
      <c r="W510" s="243"/>
      <c r="X510" s="243"/>
      <c r="Y510" s="243"/>
      <c r="Z510" s="243"/>
    </row>
    <row r="511">
      <c r="A511" s="34"/>
      <c r="B511" s="15"/>
      <c r="C511" s="15"/>
      <c r="D511" s="15"/>
      <c r="E511" s="17"/>
      <c r="F511" s="15"/>
      <c r="G511" s="250"/>
      <c r="H511" s="243"/>
      <c r="I511" s="243"/>
      <c r="J511" s="243"/>
      <c r="K511" s="85"/>
      <c r="L511" s="85"/>
      <c r="M511" s="85"/>
      <c r="N511" s="85"/>
      <c r="O511" s="29"/>
      <c r="P511" s="307"/>
      <c r="Q511" s="29"/>
      <c r="R511" s="29"/>
      <c r="S511" s="15"/>
      <c r="T511" s="15"/>
      <c r="U511" s="243"/>
      <c r="V511" s="243"/>
      <c r="W511" s="243"/>
      <c r="X511" s="243"/>
      <c r="Y511" s="243"/>
      <c r="Z511" s="243"/>
    </row>
    <row r="512">
      <c r="A512" s="34"/>
      <c r="B512" s="15"/>
      <c r="C512" s="15"/>
      <c r="D512" s="15"/>
      <c r="E512" s="17"/>
      <c r="F512" s="15"/>
      <c r="G512" s="250"/>
      <c r="H512" s="243"/>
      <c r="I512" s="243"/>
      <c r="J512" s="243"/>
      <c r="K512" s="85"/>
      <c r="L512" s="85"/>
      <c r="M512" s="85"/>
      <c r="N512" s="85"/>
      <c r="O512" s="29"/>
      <c r="P512" s="307"/>
      <c r="Q512" s="29"/>
      <c r="R512" s="29"/>
      <c r="S512" s="15"/>
      <c r="T512" s="15"/>
      <c r="U512" s="243"/>
      <c r="V512" s="243"/>
      <c r="W512" s="243"/>
      <c r="X512" s="243"/>
      <c r="Y512" s="243"/>
      <c r="Z512" s="243"/>
    </row>
    <row r="513">
      <c r="A513" s="34"/>
      <c r="B513" s="15"/>
      <c r="C513" s="15"/>
      <c r="D513" s="15"/>
      <c r="E513" s="17"/>
      <c r="F513" s="15"/>
      <c r="G513" s="250"/>
      <c r="H513" s="243"/>
      <c r="I513" s="243"/>
      <c r="J513" s="243"/>
      <c r="K513" s="85"/>
      <c r="L513" s="85"/>
      <c r="M513" s="85"/>
      <c r="N513" s="85"/>
      <c r="O513" s="29"/>
      <c r="P513" s="307"/>
      <c r="Q513" s="29"/>
      <c r="R513" s="29"/>
      <c r="S513" s="15"/>
      <c r="T513" s="15"/>
      <c r="U513" s="243"/>
      <c r="V513" s="243"/>
      <c r="W513" s="243"/>
      <c r="X513" s="243"/>
      <c r="Y513" s="243"/>
      <c r="Z513" s="243"/>
    </row>
    <row r="514">
      <c r="A514" s="34"/>
      <c r="B514" s="15"/>
      <c r="C514" s="15"/>
      <c r="D514" s="15"/>
      <c r="E514" s="17"/>
      <c r="F514" s="15"/>
      <c r="G514" s="250"/>
      <c r="H514" s="243"/>
      <c r="I514" s="243"/>
      <c r="J514" s="243"/>
      <c r="K514" s="85"/>
      <c r="L514" s="85"/>
      <c r="M514" s="85"/>
      <c r="N514" s="85"/>
      <c r="O514" s="29"/>
      <c r="P514" s="307"/>
      <c r="Q514" s="29"/>
      <c r="R514" s="29"/>
      <c r="S514" s="15"/>
      <c r="T514" s="15"/>
      <c r="U514" s="243"/>
      <c r="V514" s="243"/>
      <c r="W514" s="243"/>
      <c r="X514" s="243"/>
      <c r="Y514" s="243"/>
      <c r="Z514" s="243"/>
    </row>
    <row r="515">
      <c r="A515" s="34"/>
      <c r="B515" s="15"/>
      <c r="C515" s="15"/>
      <c r="D515" s="15"/>
      <c r="E515" s="17"/>
      <c r="F515" s="15"/>
      <c r="G515" s="250"/>
      <c r="H515" s="243"/>
      <c r="I515" s="243"/>
      <c r="J515" s="243"/>
      <c r="K515" s="85"/>
      <c r="L515" s="85"/>
      <c r="M515" s="85"/>
      <c r="N515" s="85"/>
      <c r="O515" s="29"/>
      <c r="P515" s="307"/>
      <c r="Q515" s="29"/>
      <c r="R515" s="29"/>
      <c r="S515" s="15"/>
      <c r="T515" s="15"/>
      <c r="U515" s="243"/>
      <c r="V515" s="243"/>
      <c r="W515" s="243"/>
      <c r="X515" s="243"/>
      <c r="Y515" s="243"/>
      <c r="Z515" s="243"/>
    </row>
    <row r="516">
      <c r="A516" s="34"/>
      <c r="B516" s="15"/>
      <c r="C516" s="15"/>
      <c r="D516" s="15"/>
      <c r="E516" s="17"/>
      <c r="F516" s="15"/>
      <c r="G516" s="250"/>
      <c r="H516" s="243"/>
      <c r="I516" s="243"/>
      <c r="J516" s="243"/>
      <c r="K516" s="85"/>
      <c r="L516" s="85"/>
      <c r="M516" s="85"/>
      <c r="N516" s="85"/>
      <c r="O516" s="29"/>
      <c r="P516" s="307"/>
      <c r="Q516" s="29"/>
      <c r="R516" s="29"/>
      <c r="S516" s="15"/>
      <c r="T516" s="15"/>
      <c r="U516" s="243"/>
      <c r="V516" s="243"/>
      <c r="W516" s="243"/>
      <c r="X516" s="243"/>
      <c r="Y516" s="243"/>
      <c r="Z516" s="243"/>
    </row>
    <row r="517">
      <c r="A517" s="34"/>
      <c r="B517" s="15"/>
      <c r="C517" s="15"/>
      <c r="D517" s="15"/>
      <c r="E517" s="17"/>
      <c r="F517" s="15"/>
      <c r="G517" s="250"/>
      <c r="H517" s="243"/>
      <c r="I517" s="243"/>
      <c r="J517" s="243"/>
      <c r="K517" s="85"/>
      <c r="L517" s="85"/>
      <c r="M517" s="85"/>
      <c r="N517" s="85"/>
      <c r="O517" s="29"/>
      <c r="P517" s="307"/>
      <c r="Q517" s="29"/>
      <c r="R517" s="29"/>
      <c r="S517" s="15"/>
      <c r="T517" s="15"/>
      <c r="U517" s="243"/>
      <c r="V517" s="243"/>
      <c r="W517" s="243"/>
      <c r="X517" s="243"/>
      <c r="Y517" s="243"/>
      <c r="Z517" s="243"/>
    </row>
    <row r="518">
      <c r="A518" s="34"/>
      <c r="B518" s="15"/>
      <c r="C518" s="15"/>
      <c r="D518" s="15"/>
      <c r="E518" s="17"/>
      <c r="F518" s="15"/>
      <c r="G518" s="250"/>
      <c r="H518" s="243"/>
      <c r="I518" s="243"/>
      <c r="J518" s="243"/>
      <c r="K518" s="85"/>
      <c r="L518" s="85"/>
      <c r="M518" s="85"/>
      <c r="N518" s="85"/>
      <c r="O518" s="29"/>
      <c r="P518" s="307"/>
      <c r="Q518" s="29"/>
      <c r="R518" s="29"/>
      <c r="S518" s="15"/>
      <c r="T518" s="15"/>
      <c r="U518" s="243"/>
      <c r="V518" s="243"/>
      <c r="W518" s="243"/>
      <c r="X518" s="243"/>
      <c r="Y518" s="243"/>
      <c r="Z518" s="243"/>
    </row>
    <row r="519">
      <c r="A519" s="34"/>
      <c r="B519" s="15"/>
      <c r="C519" s="15"/>
      <c r="D519" s="15"/>
      <c r="E519" s="17"/>
      <c r="F519" s="15"/>
      <c r="G519" s="250"/>
      <c r="H519" s="243"/>
      <c r="I519" s="243"/>
      <c r="J519" s="243"/>
      <c r="K519" s="85"/>
      <c r="L519" s="85"/>
      <c r="M519" s="85"/>
      <c r="N519" s="85"/>
      <c r="O519" s="29"/>
      <c r="P519" s="307"/>
      <c r="Q519" s="29"/>
      <c r="R519" s="29"/>
      <c r="S519" s="15"/>
      <c r="T519" s="15"/>
      <c r="U519" s="243"/>
      <c r="V519" s="243"/>
      <c r="W519" s="243"/>
      <c r="X519" s="243"/>
      <c r="Y519" s="243"/>
      <c r="Z519" s="243"/>
    </row>
    <row r="520">
      <c r="A520" s="34"/>
      <c r="B520" s="15"/>
      <c r="C520" s="15"/>
      <c r="D520" s="15"/>
      <c r="E520" s="17"/>
      <c r="F520" s="15"/>
      <c r="G520" s="250"/>
      <c r="H520" s="243"/>
      <c r="I520" s="243"/>
      <c r="J520" s="243"/>
      <c r="K520" s="85"/>
      <c r="L520" s="85"/>
      <c r="M520" s="85"/>
      <c r="N520" s="85"/>
      <c r="O520" s="29"/>
      <c r="P520" s="307"/>
      <c r="Q520" s="29"/>
      <c r="R520" s="29"/>
      <c r="S520" s="15"/>
      <c r="T520" s="15"/>
      <c r="U520" s="243"/>
      <c r="V520" s="243"/>
      <c r="W520" s="243"/>
      <c r="X520" s="243"/>
      <c r="Y520" s="243"/>
      <c r="Z520" s="243"/>
    </row>
    <row r="521">
      <c r="A521" s="34"/>
      <c r="B521" s="15"/>
      <c r="C521" s="15"/>
      <c r="D521" s="15"/>
      <c r="E521" s="17"/>
      <c r="F521" s="15"/>
      <c r="G521" s="250"/>
      <c r="H521" s="243"/>
      <c r="I521" s="243"/>
      <c r="J521" s="243"/>
      <c r="K521" s="85"/>
      <c r="L521" s="85"/>
      <c r="M521" s="85"/>
      <c r="N521" s="85"/>
      <c r="O521" s="29"/>
      <c r="P521" s="307"/>
      <c r="Q521" s="29"/>
      <c r="R521" s="29"/>
      <c r="S521" s="15"/>
      <c r="T521" s="15"/>
      <c r="U521" s="243"/>
      <c r="V521" s="243"/>
      <c r="W521" s="243"/>
      <c r="X521" s="243"/>
      <c r="Y521" s="243"/>
      <c r="Z521" s="243"/>
    </row>
    <row r="522">
      <c r="A522" s="34"/>
      <c r="B522" s="15"/>
      <c r="C522" s="15"/>
      <c r="D522" s="15"/>
      <c r="E522" s="17"/>
      <c r="F522" s="15"/>
      <c r="G522" s="250"/>
      <c r="H522" s="243"/>
      <c r="I522" s="243"/>
      <c r="J522" s="243"/>
      <c r="K522" s="85"/>
      <c r="L522" s="85"/>
      <c r="M522" s="85"/>
      <c r="N522" s="85"/>
      <c r="O522" s="29"/>
      <c r="P522" s="307"/>
      <c r="Q522" s="29"/>
      <c r="R522" s="29"/>
      <c r="S522" s="15"/>
      <c r="T522" s="15"/>
      <c r="U522" s="243"/>
      <c r="V522" s="243"/>
      <c r="W522" s="243"/>
      <c r="X522" s="243"/>
      <c r="Y522" s="243"/>
      <c r="Z522" s="243"/>
    </row>
    <row r="523">
      <c r="A523" s="34"/>
      <c r="B523" s="15"/>
      <c r="C523" s="15"/>
      <c r="D523" s="15"/>
      <c r="E523" s="17"/>
      <c r="F523" s="15"/>
      <c r="G523" s="250"/>
      <c r="H523" s="243"/>
      <c r="I523" s="243"/>
      <c r="J523" s="243"/>
      <c r="K523" s="85"/>
      <c r="L523" s="85"/>
      <c r="M523" s="85"/>
      <c r="N523" s="85"/>
      <c r="O523" s="29"/>
      <c r="P523" s="307"/>
      <c r="Q523" s="29"/>
      <c r="R523" s="29"/>
      <c r="S523" s="15"/>
      <c r="T523" s="15"/>
      <c r="U523" s="243"/>
      <c r="V523" s="243"/>
      <c r="W523" s="243"/>
      <c r="X523" s="243"/>
      <c r="Y523" s="243"/>
      <c r="Z523" s="243"/>
    </row>
    <row r="524">
      <c r="A524" s="34"/>
      <c r="B524" s="15"/>
      <c r="C524" s="15"/>
      <c r="D524" s="15"/>
      <c r="E524" s="17"/>
      <c r="F524" s="15"/>
      <c r="G524" s="250"/>
      <c r="H524" s="243"/>
      <c r="I524" s="243"/>
      <c r="J524" s="243"/>
      <c r="K524" s="85"/>
      <c r="L524" s="85"/>
      <c r="M524" s="85"/>
      <c r="N524" s="85"/>
      <c r="O524" s="29"/>
      <c r="P524" s="307"/>
      <c r="Q524" s="29"/>
      <c r="R524" s="29"/>
      <c r="S524" s="15"/>
      <c r="T524" s="15"/>
      <c r="U524" s="243"/>
      <c r="V524" s="243"/>
      <c r="W524" s="243"/>
      <c r="X524" s="243"/>
      <c r="Y524" s="243"/>
      <c r="Z524" s="243"/>
    </row>
    <row r="525">
      <c r="A525" s="34"/>
      <c r="B525" s="15"/>
      <c r="C525" s="15"/>
      <c r="D525" s="15"/>
      <c r="E525" s="17"/>
      <c r="F525" s="15"/>
      <c r="G525" s="250"/>
      <c r="H525" s="243"/>
      <c r="I525" s="243"/>
      <c r="J525" s="243"/>
      <c r="K525" s="85"/>
      <c r="L525" s="85"/>
      <c r="M525" s="85"/>
      <c r="N525" s="85"/>
      <c r="O525" s="29"/>
      <c r="P525" s="307"/>
      <c r="Q525" s="29"/>
      <c r="R525" s="29"/>
      <c r="S525" s="15"/>
      <c r="T525" s="15"/>
      <c r="U525" s="243"/>
      <c r="V525" s="243"/>
      <c r="W525" s="243"/>
      <c r="X525" s="243"/>
      <c r="Y525" s="243"/>
      <c r="Z525" s="243"/>
    </row>
    <row r="526">
      <c r="A526" s="34"/>
      <c r="B526" s="15"/>
      <c r="C526" s="15"/>
      <c r="D526" s="15"/>
      <c r="E526" s="17"/>
      <c r="F526" s="15"/>
      <c r="G526" s="250"/>
      <c r="H526" s="243"/>
      <c r="I526" s="243"/>
      <c r="J526" s="243"/>
      <c r="K526" s="85"/>
      <c r="L526" s="85"/>
      <c r="M526" s="85"/>
      <c r="N526" s="85"/>
      <c r="O526" s="29"/>
      <c r="P526" s="307"/>
      <c r="Q526" s="29"/>
      <c r="R526" s="29"/>
      <c r="S526" s="15"/>
      <c r="T526" s="15"/>
      <c r="U526" s="243"/>
      <c r="V526" s="243"/>
      <c r="W526" s="243"/>
      <c r="X526" s="243"/>
      <c r="Y526" s="243"/>
      <c r="Z526" s="243"/>
    </row>
    <row r="527">
      <c r="A527" s="34"/>
      <c r="B527" s="15"/>
      <c r="C527" s="15"/>
      <c r="D527" s="15"/>
      <c r="E527" s="17"/>
      <c r="F527" s="15"/>
      <c r="G527" s="250"/>
      <c r="H527" s="243"/>
      <c r="I527" s="243"/>
      <c r="J527" s="243"/>
      <c r="K527" s="85"/>
      <c r="L527" s="85"/>
      <c r="M527" s="85"/>
      <c r="N527" s="85"/>
      <c r="O527" s="29"/>
      <c r="P527" s="307"/>
      <c r="Q527" s="29"/>
      <c r="R527" s="29"/>
      <c r="S527" s="15"/>
      <c r="T527" s="15"/>
      <c r="U527" s="243"/>
      <c r="V527" s="243"/>
      <c r="W527" s="243"/>
      <c r="X527" s="243"/>
      <c r="Y527" s="243"/>
      <c r="Z527" s="243"/>
    </row>
    <row r="528">
      <c r="A528" s="34"/>
      <c r="B528" s="15"/>
      <c r="C528" s="15"/>
      <c r="D528" s="15"/>
      <c r="E528" s="17"/>
      <c r="F528" s="15"/>
      <c r="G528" s="250"/>
      <c r="H528" s="243"/>
      <c r="I528" s="243"/>
      <c r="J528" s="243"/>
      <c r="K528" s="85"/>
      <c r="L528" s="85"/>
      <c r="M528" s="85"/>
      <c r="N528" s="85"/>
      <c r="O528" s="29"/>
      <c r="P528" s="307"/>
      <c r="Q528" s="29"/>
      <c r="R528" s="29"/>
      <c r="S528" s="15"/>
      <c r="T528" s="15"/>
      <c r="U528" s="243"/>
      <c r="V528" s="243"/>
      <c r="W528" s="243"/>
      <c r="X528" s="243"/>
      <c r="Y528" s="243"/>
      <c r="Z528" s="243"/>
    </row>
    <row r="529">
      <c r="A529" s="34"/>
      <c r="B529" s="15"/>
      <c r="C529" s="15"/>
      <c r="D529" s="15"/>
      <c r="E529" s="17"/>
      <c r="F529" s="15"/>
      <c r="G529" s="250"/>
      <c r="H529" s="243"/>
      <c r="I529" s="243"/>
      <c r="J529" s="243"/>
      <c r="K529" s="85"/>
      <c r="L529" s="85"/>
      <c r="M529" s="85"/>
      <c r="N529" s="85"/>
      <c r="O529" s="29"/>
      <c r="P529" s="307"/>
      <c r="Q529" s="29"/>
      <c r="R529" s="29"/>
      <c r="S529" s="15"/>
      <c r="T529" s="15"/>
      <c r="U529" s="243"/>
      <c r="V529" s="243"/>
      <c r="W529" s="243"/>
      <c r="X529" s="243"/>
      <c r="Y529" s="243"/>
      <c r="Z529" s="243"/>
    </row>
    <row r="530">
      <c r="A530" s="34"/>
      <c r="B530" s="15"/>
      <c r="C530" s="15"/>
      <c r="D530" s="15"/>
      <c r="E530" s="17"/>
      <c r="F530" s="15"/>
      <c r="G530" s="250"/>
      <c r="H530" s="243"/>
      <c r="I530" s="243"/>
      <c r="J530" s="243"/>
      <c r="K530" s="85"/>
      <c r="L530" s="85"/>
      <c r="M530" s="85"/>
      <c r="N530" s="85"/>
      <c r="O530" s="29"/>
      <c r="P530" s="307"/>
      <c r="Q530" s="29"/>
      <c r="R530" s="29"/>
      <c r="S530" s="15"/>
      <c r="T530" s="15"/>
      <c r="U530" s="243"/>
      <c r="V530" s="243"/>
      <c r="W530" s="243"/>
      <c r="X530" s="243"/>
      <c r="Y530" s="243"/>
      <c r="Z530" s="243"/>
    </row>
    <row r="531">
      <c r="A531" s="34"/>
      <c r="B531" s="15"/>
      <c r="C531" s="15"/>
      <c r="D531" s="15"/>
      <c r="E531" s="17"/>
      <c r="F531" s="15"/>
      <c r="G531" s="250"/>
      <c r="H531" s="243"/>
      <c r="I531" s="243"/>
      <c r="J531" s="243"/>
      <c r="K531" s="85"/>
      <c r="L531" s="85"/>
      <c r="M531" s="85"/>
      <c r="N531" s="85"/>
      <c r="O531" s="29"/>
      <c r="P531" s="307"/>
      <c r="Q531" s="29"/>
      <c r="R531" s="29"/>
      <c r="S531" s="15"/>
      <c r="T531" s="15"/>
      <c r="U531" s="243"/>
      <c r="V531" s="243"/>
      <c r="W531" s="243"/>
      <c r="X531" s="243"/>
      <c r="Y531" s="243"/>
      <c r="Z531" s="243"/>
    </row>
    <row r="532">
      <c r="A532" s="34"/>
      <c r="B532" s="15"/>
      <c r="C532" s="15"/>
      <c r="D532" s="15"/>
      <c r="E532" s="17"/>
      <c r="F532" s="15"/>
      <c r="G532" s="250"/>
      <c r="H532" s="243"/>
      <c r="I532" s="243"/>
      <c r="J532" s="243"/>
      <c r="K532" s="85"/>
      <c r="L532" s="85"/>
      <c r="M532" s="85"/>
      <c r="N532" s="85"/>
      <c r="O532" s="29"/>
      <c r="P532" s="307"/>
      <c r="Q532" s="29"/>
      <c r="R532" s="29"/>
      <c r="S532" s="15"/>
      <c r="T532" s="15"/>
      <c r="U532" s="243"/>
      <c r="V532" s="243"/>
      <c r="W532" s="243"/>
      <c r="X532" s="243"/>
      <c r="Y532" s="243"/>
      <c r="Z532" s="243"/>
    </row>
    <row r="533">
      <c r="A533" s="34"/>
      <c r="B533" s="15"/>
      <c r="C533" s="15"/>
      <c r="D533" s="15"/>
      <c r="E533" s="17"/>
      <c r="F533" s="15"/>
      <c r="G533" s="250"/>
      <c r="H533" s="243"/>
      <c r="I533" s="243"/>
      <c r="J533" s="243"/>
      <c r="K533" s="85"/>
      <c r="L533" s="85"/>
      <c r="M533" s="85"/>
      <c r="N533" s="85"/>
      <c r="O533" s="29"/>
      <c r="P533" s="307"/>
      <c r="Q533" s="29"/>
      <c r="R533" s="29"/>
      <c r="S533" s="15"/>
      <c r="T533" s="15"/>
      <c r="U533" s="243"/>
      <c r="V533" s="243"/>
      <c r="W533" s="243"/>
      <c r="X533" s="243"/>
      <c r="Y533" s="243"/>
      <c r="Z533" s="243"/>
    </row>
    <row r="534">
      <c r="A534" s="34"/>
      <c r="B534" s="15"/>
      <c r="C534" s="15"/>
      <c r="D534" s="15"/>
      <c r="E534" s="17"/>
      <c r="F534" s="15"/>
      <c r="G534" s="250"/>
      <c r="H534" s="243"/>
      <c r="I534" s="243"/>
      <c r="J534" s="243"/>
      <c r="K534" s="85"/>
      <c r="L534" s="85"/>
      <c r="M534" s="85"/>
      <c r="N534" s="85"/>
      <c r="O534" s="29"/>
      <c r="P534" s="307"/>
      <c r="Q534" s="29"/>
      <c r="R534" s="29"/>
      <c r="S534" s="15"/>
      <c r="T534" s="15"/>
      <c r="U534" s="243"/>
      <c r="V534" s="243"/>
      <c r="W534" s="243"/>
      <c r="X534" s="243"/>
      <c r="Y534" s="243"/>
      <c r="Z534" s="243"/>
    </row>
    <row r="535">
      <c r="A535" s="34"/>
      <c r="B535" s="15"/>
      <c r="C535" s="15"/>
      <c r="D535" s="15"/>
      <c r="E535" s="17"/>
      <c r="F535" s="15"/>
      <c r="G535" s="250"/>
      <c r="H535" s="243"/>
      <c r="I535" s="243"/>
      <c r="J535" s="243"/>
      <c r="K535" s="85"/>
      <c r="L535" s="85"/>
      <c r="M535" s="85"/>
      <c r="N535" s="85"/>
      <c r="O535" s="29"/>
      <c r="P535" s="307"/>
      <c r="Q535" s="29"/>
      <c r="R535" s="29"/>
      <c r="S535" s="15"/>
      <c r="T535" s="15"/>
      <c r="U535" s="243"/>
      <c r="V535" s="243"/>
      <c r="W535" s="243"/>
      <c r="X535" s="243"/>
      <c r="Y535" s="243"/>
      <c r="Z535" s="243"/>
    </row>
    <row r="536">
      <c r="A536" s="34"/>
      <c r="B536" s="15"/>
      <c r="C536" s="15"/>
      <c r="D536" s="15"/>
      <c r="E536" s="17"/>
      <c r="F536" s="15"/>
      <c r="G536" s="250"/>
      <c r="H536" s="243"/>
      <c r="I536" s="243"/>
      <c r="J536" s="243"/>
      <c r="K536" s="85"/>
      <c r="L536" s="85"/>
      <c r="M536" s="85"/>
      <c r="N536" s="85"/>
      <c r="O536" s="29"/>
      <c r="P536" s="307"/>
      <c r="Q536" s="29"/>
      <c r="R536" s="29"/>
      <c r="S536" s="15"/>
      <c r="T536" s="15"/>
      <c r="U536" s="243"/>
      <c r="V536" s="243"/>
      <c r="W536" s="243"/>
      <c r="X536" s="243"/>
      <c r="Y536" s="243"/>
      <c r="Z536" s="243"/>
    </row>
    <row r="537">
      <c r="A537" s="34"/>
      <c r="B537" s="15"/>
      <c r="C537" s="15"/>
      <c r="D537" s="15"/>
      <c r="E537" s="17"/>
      <c r="F537" s="15"/>
      <c r="G537" s="250"/>
      <c r="H537" s="243"/>
      <c r="I537" s="243"/>
      <c r="J537" s="243"/>
      <c r="K537" s="85"/>
      <c r="L537" s="85"/>
      <c r="M537" s="85"/>
      <c r="N537" s="85"/>
      <c r="O537" s="29"/>
      <c r="P537" s="307"/>
      <c r="Q537" s="29"/>
      <c r="R537" s="29"/>
      <c r="S537" s="15"/>
      <c r="T537" s="15"/>
      <c r="U537" s="243"/>
      <c r="V537" s="243"/>
      <c r="W537" s="243"/>
      <c r="X537" s="243"/>
      <c r="Y537" s="243"/>
      <c r="Z537" s="243"/>
    </row>
    <row r="538">
      <c r="A538" s="34"/>
      <c r="B538" s="15"/>
      <c r="C538" s="15"/>
      <c r="D538" s="15"/>
      <c r="E538" s="17"/>
      <c r="F538" s="15"/>
      <c r="G538" s="250"/>
      <c r="H538" s="243"/>
      <c r="I538" s="243"/>
      <c r="J538" s="243"/>
      <c r="K538" s="85"/>
      <c r="L538" s="85"/>
      <c r="M538" s="85"/>
      <c r="N538" s="85"/>
      <c r="O538" s="29"/>
      <c r="P538" s="307"/>
      <c r="Q538" s="29"/>
      <c r="R538" s="29"/>
      <c r="S538" s="15"/>
      <c r="T538" s="15"/>
      <c r="U538" s="243"/>
      <c r="V538" s="243"/>
      <c r="W538" s="243"/>
      <c r="X538" s="243"/>
      <c r="Y538" s="243"/>
      <c r="Z538" s="243"/>
    </row>
    <row r="539">
      <c r="A539" s="34"/>
      <c r="B539" s="15"/>
      <c r="C539" s="15"/>
      <c r="D539" s="15"/>
      <c r="E539" s="17"/>
      <c r="F539" s="15"/>
      <c r="G539" s="250"/>
      <c r="H539" s="243"/>
      <c r="I539" s="243"/>
      <c r="J539" s="243"/>
      <c r="K539" s="85"/>
      <c r="L539" s="85"/>
      <c r="M539" s="85"/>
      <c r="N539" s="85"/>
      <c r="O539" s="29"/>
      <c r="P539" s="307"/>
      <c r="Q539" s="29"/>
      <c r="R539" s="29"/>
      <c r="S539" s="15"/>
      <c r="T539" s="15"/>
      <c r="U539" s="243"/>
      <c r="V539" s="243"/>
      <c r="W539" s="243"/>
      <c r="X539" s="243"/>
      <c r="Y539" s="243"/>
      <c r="Z539" s="243"/>
    </row>
    <row r="540">
      <c r="A540" s="34"/>
      <c r="B540" s="15"/>
      <c r="C540" s="15"/>
      <c r="D540" s="15"/>
      <c r="E540" s="17"/>
      <c r="F540" s="15"/>
      <c r="G540" s="250"/>
      <c r="H540" s="243"/>
      <c r="I540" s="243"/>
      <c r="J540" s="243"/>
      <c r="K540" s="85"/>
      <c r="L540" s="85"/>
      <c r="M540" s="85"/>
      <c r="N540" s="85"/>
      <c r="O540" s="29"/>
      <c r="P540" s="307"/>
      <c r="Q540" s="29"/>
      <c r="R540" s="29"/>
      <c r="S540" s="15"/>
      <c r="T540" s="15"/>
      <c r="U540" s="243"/>
      <c r="V540" s="243"/>
      <c r="W540" s="243"/>
      <c r="X540" s="243"/>
      <c r="Y540" s="243"/>
      <c r="Z540" s="243"/>
    </row>
    <row r="541">
      <c r="A541" s="34"/>
      <c r="B541" s="15"/>
      <c r="C541" s="15"/>
      <c r="D541" s="15"/>
      <c r="E541" s="17"/>
      <c r="F541" s="15"/>
      <c r="G541" s="250"/>
      <c r="H541" s="243"/>
      <c r="I541" s="243"/>
      <c r="J541" s="243"/>
      <c r="K541" s="85"/>
      <c r="L541" s="85"/>
      <c r="M541" s="85"/>
      <c r="N541" s="85"/>
      <c r="O541" s="29"/>
      <c r="P541" s="307"/>
      <c r="Q541" s="29"/>
      <c r="R541" s="29"/>
      <c r="S541" s="15"/>
      <c r="T541" s="15"/>
      <c r="U541" s="243"/>
      <c r="V541" s="243"/>
      <c r="W541" s="243"/>
      <c r="X541" s="243"/>
      <c r="Y541" s="243"/>
      <c r="Z541" s="243"/>
    </row>
    <row r="542">
      <c r="A542" s="34"/>
      <c r="B542" s="15"/>
      <c r="C542" s="15"/>
      <c r="D542" s="15"/>
      <c r="E542" s="17"/>
      <c r="F542" s="15"/>
      <c r="G542" s="250"/>
      <c r="H542" s="243"/>
      <c r="I542" s="243"/>
      <c r="J542" s="243"/>
      <c r="K542" s="85"/>
      <c r="L542" s="85"/>
      <c r="M542" s="85"/>
      <c r="N542" s="85"/>
      <c r="O542" s="29"/>
      <c r="P542" s="307"/>
      <c r="Q542" s="29"/>
      <c r="R542" s="29"/>
      <c r="S542" s="15"/>
      <c r="T542" s="15"/>
      <c r="U542" s="243"/>
      <c r="V542" s="243"/>
      <c r="W542" s="243"/>
      <c r="X542" s="243"/>
      <c r="Y542" s="243"/>
      <c r="Z542" s="243"/>
    </row>
    <row r="543">
      <c r="A543" s="34"/>
      <c r="B543" s="15"/>
      <c r="C543" s="15"/>
      <c r="D543" s="15"/>
      <c r="E543" s="17"/>
      <c r="F543" s="15"/>
      <c r="G543" s="250"/>
      <c r="H543" s="243"/>
      <c r="I543" s="243"/>
      <c r="J543" s="243"/>
      <c r="K543" s="85"/>
      <c r="L543" s="85"/>
      <c r="M543" s="85"/>
      <c r="N543" s="85"/>
      <c r="O543" s="29"/>
      <c r="P543" s="307"/>
      <c r="Q543" s="29"/>
      <c r="R543" s="29"/>
      <c r="S543" s="15"/>
      <c r="T543" s="15"/>
      <c r="U543" s="243"/>
      <c r="V543" s="243"/>
      <c r="W543" s="243"/>
      <c r="X543" s="243"/>
      <c r="Y543" s="243"/>
      <c r="Z543" s="243"/>
    </row>
    <row r="544">
      <c r="A544" s="34"/>
      <c r="B544" s="15"/>
      <c r="C544" s="15"/>
      <c r="D544" s="15"/>
      <c r="E544" s="17"/>
      <c r="F544" s="15"/>
      <c r="G544" s="250"/>
      <c r="H544" s="243"/>
      <c r="I544" s="243"/>
      <c r="J544" s="243"/>
      <c r="K544" s="85"/>
      <c r="L544" s="85"/>
      <c r="M544" s="85"/>
      <c r="N544" s="85"/>
      <c r="O544" s="29"/>
      <c r="P544" s="307"/>
      <c r="Q544" s="29"/>
      <c r="R544" s="29"/>
      <c r="S544" s="15"/>
      <c r="T544" s="15"/>
      <c r="U544" s="243"/>
      <c r="V544" s="243"/>
      <c r="W544" s="243"/>
      <c r="X544" s="243"/>
      <c r="Y544" s="243"/>
      <c r="Z544" s="243"/>
    </row>
    <row r="545">
      <c r="A545" s="34"/>
      <c r="B545" s="15"/>
      <c r="C545" s="15"/>
      <c r="D545" s="15"/>
      <c r="E545" s="17"/>
      <c r="F545" s="15"/>
      <c r="G545" s="250"/>
      <c r="H545" s="243"/>
      <c r="I545" s="243"/>
      <c r="J545" s="243"/>
      <c r="K545" s="85"/>
      <c r="L545" s="85"/>
      <c r="M545" s="85"/>
      <c r="N545" s="85"/>
      <c r="O545" s="29"/>
      <c r="P545" s="307"/>
      <c r="Q545" s="29"/>
      <c r="R545" s="29"/>
      <c r="S545" s="15"/>
      <c r="T545" s="15"/>
      <c r="U545" s="243"/>
      <c r="V545" s="243"/>
      <c r="W545" s="243"/>
      <c r="X545" s="243"/>
      <c r="Y545" s="243"/>
      <c r="Z545" s="243"/>
    </row>
    <row r="546">
      <c r="A546" s="34"/>
      <c r="B546" s="15"/>
      <c r="C546" s="15"/>
      <c r="D546" s="15"/>
      <c r="E546" s="17"/>
      <c r="F546" s="15"/>
      <c r="G546" s="250"/>
      <c r="H546" s="243"/>
      <c r="I546" s="243"/>
      <c r="J546" s="243"/>
      <c r="K546" s="85"/>
      <c r="L546" s="85"/>
      <c r="M546" s="85"/>
      <c r="N546" s="85"/>
      <c r="O546" s="29"/>
      <c r="P546" s="307"/>
      <c r="Q546" s="29"/>
      <c r="R546" s="29"/>
      <c r="S546" s="15"/>
      <c r="T546" s="15"/>
      <c r="U546" s="243"/>
      <c r="V546" s="243"/>
      <c r="W546" s="243"/>
      <c r="X546" s="243"/>
      <c r="Y546" s="243"/>
      <c r="Z546" s="243"/>
    </row>
    <row r="547">
      <c r="A547" s="34"/>
      <c r="B547" s="15"/>
      <c r="C547" s="15"/>
      <c r="D547" s="15"/>
      <c r="E547" s="17"/>
      <c r="F547" s="15"/>
      <c r="G547" s="250"/>
      <c r="H547" s="243"/>
      <c r="I547" s="243"/>
      <c r="J547" s="243"/>
      <c r="K547" s="85"/>
      <c r="L547" s="85"/>
      <c r="M547" s="85"/>
      <c r="N547" s="85"/>
      <c r="O547" s="29"/>
      <c r="P547" s="307"/>
      <c r="Q547" s="29"/>
      <c r="R547" s="29"/>
      <c r="S547" s="15"/>
      <c r="T547" s="15"/>
      <c r="U547" s="243"/>
      <c r="V547" s="243"/>
      <c r="W547" s="243"/>
      <c r="X547" s="243"/>
      <c r="Y547" s="243"/>
      <c r="Z547" s="243"/>
    </row>
    <row r="548">
      <c r="A548" s="34"/>
      <c r="B548" s="15"/>
      <c r="C548" s="15"/>
      <c r="D548" s="15"/>
      <c r="E548" s="17"/>
      <c r="F548" s="15"/>
      <c r="G548" s="250"/>
      <c r="H548" s="243"/>
      <c r="I548" s="243"/>
      <c r="J548" s="243"/>
      <c r="K548" s="85"/>
      <c r="L548" s="85"/>
      <c r="M548" s="85"/>
      <c r="N548" s="85"/>
      <c r="O548" s="29"/>
      <c r="P548" s="307"/>
      <c r="Q548" s="29"/>
      <c r="R548" s="29"/>
      <c r="S548" s="15"/>
      <c r="T548" s="15"/>
      <c r="U548" s="243"/>
      <c r="V548" s="243"/>
      <c r="W548" s="243"/>
      <c r="X548" s="243"/>
      <c r="Y548" s="243"/>
      <c r="Z548" s="243"/>
    </row>
    <row r="549">
      <c r="A549" s="34"/>
      <c r="B549" s="15"/>
      <c r="C549" s="15"/>
      <c r="D549" s="15"/>
      <c r="E549" s="17"/>
      <c r="F549" s="15"/>
      <c r="G549" s="250"/>
      <c r="H549" s="243"/>
      <c r="I549" s="243"/>
      <c r="J549" s="243"/>
      <c r="K549" s="85"/>
      <c r="L549" s="85"/>
      <c r="M549" s="85"/>
      <c r="N549" s="85"/>
      <c r="O549" s="29"/>
      <c r="P549" s="307"/>
      <c r="Q549" s="29"/>
      <c r="R549" s="29"/>
      <c r="S549" s="15"/>
      <c r="T549" s="15"/>
      <c r="U549" s="243"/>
      <c r="V549" s="243"/>
      <c r="W549" s="243"/>
      <c r="X549" s="243"/>
      <c r="Y549" s="243"/>
      <c r="Z549" s="243"/>
    </row>
    <row r="550">
      <c r="A550" s="34"/>
      <c r="B550" s="15"/>
      <c r="C550" s="15"/>
      <c r="D550" s="15"/>
      <c r="E550" s="17"/>
      <c r="F550" s="15"/>
      <c r="G550" s="250"/>
      <c r="H550" s="243"/>
      <c r="I550" s="243"/>
      <c r="J550" s="243"/>
      <c r="K550" s="85"/>
      <c r="L550" s="85"/>
      <c r="M550" s="85"/>
      <c r="N550" s="85"/>
      <c r="O550" s="29"/>
      <c r="P550" s="307"/>
      <c r="Q550" s="29"/>
      <c r="R550" s="29"/>
      <c r="S550" s="15"/>
      <c r="T550" s="15"/>
      <c r="U550" s="243"/>
      <c r="V550" s="243"/>
      <c r="W550" s="243"/>
      <c r="X550" s="243"/>
      <c r="Y550" s="243"/>
      <c r="Z550" s="243"/>
    </row>
    <row r="551">
      <c r="A551" s="34"/>
      <c r="B551" s="15"/>
      <c r="C551" s="15"/>
      <c r="D551" s="15"/>
      <c r="E551" s="17"/>
      <c r="F551" s="15"/>
      <c r="G551" s="250"/>
      <c r="H551" s="243"/>
      <c r="I551" s="243"/>
      <c r="J551" s="243"/>
      <c r="K551" s="85"/>
      <c r="L551" s="85"/>
      <c r="M551" s="85"/>
      <c r="N551" s="85"/>
      <c r="O551" s="29"/>
      <c r="P551" s="307"/>
      <c r="Q551" s="29"/>
      <c r="R551" s="29"/>
      <c r="S551" s="15"/>
      <c r="T551" s="15"/>
      <c r="U551" s="243"/>
      <c r="V551" s="243"/>
      <c r="W551" s="243"/>
      <c r="X551" s="243"/>
      <c r="Y551" s="243"/>
      <c r="Z551" s="243"/>
    </row>
    <row r="552">
      <c r="A552" s="34"/>
      <c r="B552" s="15"/>
      <c r="C552" s="15"/>
      <c r="D552" s="15"/>
      <c r="E552" s="17"/>
      <c r="F552" s="15"/>
      <c r="G552" s="250"/>
      <c r="H552" s="243"/>
      <c r="I552" s="243"/>
      <c r="J552" s="243"/>
      <c r="K552" s="85"/>
      <c r="L552" s="85"/>
      <c r="M552" s="85"/>
      <c r="N552" s="85"/>
      <c r="O552" s="29"/>
      <c r="P552" s="307"/>
      <c r="Q552" s="29"/>
      <c r="R552" s="29"/>
      <c r="S552" s="15"/>
      <c r="T552" s="15"/>
      <c r="U552" s="243"/>
      <c r="V552" s="243"/>
      <c r="W552" s="243"/>
      <c r="X552" s="243"/>
      <c r="Y552" s="243"/>
      <c r="Z552" s="243"/>
    </row>
    <row r="553">
      <c r="A553" s="34"/>
      <c r="B553" s="15"/>
      <c r="C553" s="15"/>
      <c r="D553" s="15"/>
      <c r="E553" s="17"/>
      <c r="F553" s="15"/>
      <c r="G553" s="250"/>
      <c r="H553" s="243"/>
      <c r="I553" s="243"/>
      <c r="J553" s="243"/>
      <c r="K553" s="85"/>
      <c r="L553" s="85"/>
      <c r="M553" s="85"/>
      <c r="N553" s="85"/>
      <c r="O553" s="29"/>
      <c r="P553" s="307"/>
      <c r="Q553" s="29"/>
      <c r="R553" s="29"/>
      <c r="S553" s="15"/>
      <c r="T553" s="15"/>
      <c r="U553" s="243"/>
      <c r="V553" s="243"/>
      <c r="W553" s="243"/>
      <c r="X553" s="243"/>
      <c r="Y553" s="243"/>
      <c r="Z553" s="243"/>
    </row>
    <row r="554">
      <c r="A554" s="34"/>
      <c r="B554" s="15"/>
      <c r="C554" s="15"/>
      <c r="D554" s="15"/>
      <c r="E554" s="17"/>
      <c r="F554" s="15"/>
      <c r="G554" s="250"/>
      <c r="H554" s="243"/>
      <c r="I554" s="243"/>
      <c r="J554" s="243"/>
      <c r="K554" s="85"/>
      <c r="L554" s="85"/>
      <c r="M554" s="85"/>
      <c r="N554" s="85"/>
      <c r="O554" s="29"/>
      <c r="P554" s="307"/>
      <c r="Q554" s="29"/>
      <c r="R554" s="29"/>
      <c r="S554" s="15"/>
      <c r="T554" s="15"/>
      <c r="U554" s="243"/>
      <c r="V554" s="243"/>
      <c r="W554" s="243"/>
      <c r="X554" s="243"/>
      <c r="Y554" s="243"/>
      <c r="Z554" s="243"/>
    </row>
    <row r="555">
      <c r="A555" s="34"/>
      <c r="B555" s="15"/>
      <c r="C555" s="15"/>
      <c r="D555" s="15"/>
      <c r="E555" s="17"/>
      <c r="F555" s="15"/>
      <c r="G555" s="250"/>
      <c r="H555" s="243"/>
      <c r="I555" s="243"/>
      <c r="J555" s="243"/>
      <c r="K555" s="85"/>
      <c r="L555" s="85"/>
      <c r="M555" s="85"/>
      <c r="N555" s="85"/>
      <c r="O555" s="29"/>
      <c r="P555" s="307"/>
      <c r="Q555" s="29"/>
      <c r="R555" s="29"/>
      <c r="S555" s="15"/>
      <c r="T555" s="15"/>
      <c r="U555" s="243"/>
      <c r="V555" s="243"/>
      <c r="W555" s="243"/>
      <c r="X555" s="243"/>
      <c r="Y555" s="243"/>
      <c r="Z555" s="243"/>
    </row>
    <row r="556">
      <c r="A556" s="34"/>
      <c r="B556" s="15"/>
      <c r="C556" s="15"/>
      <c r="D556" s="15"/>
      <c r="E556" s="17"/>
      <c r="F556" s="15"/>
      <c r="G556" s="250"/>
      <c r="H556" s="243"/>
      <c r="I556" s="243"/>
      <c r="J556" s="243"/>
      <c r="K556" s="85"/>
      <c r="L556" s="85"/>
      <c r="M556" s="85"/>
      <c r="N556" s="85"/>
      <c r="O556" s="29"/>
      <c r="P556" s="307"/>
      <c r="Q556" s="29"/>
      <c r="R556" s="29"/>
      <c r="S556" s="15"/>
      <c r="T556" s="15"/>
      <c r="U556" s="243"/>
      <c r="V556" s="243"/>
      <c r="W556" s="243"/>
      <c r="X556" s="243"/>
      <c r="Y556" s="243"/>
      <c r="Z556" s="243"/>
    </row>
    <row r="557">
      <c r="A557" s="34"/>
      <c r="B557" s="15"/>
      <c r="C557" s="15"/>
      <c r="D557" s="15"/>
      <c r="E557" s="17"/>
      <c r="F557" s="15"/>
      <c r="G557" s="250"/>
      <c r="H557" s="243"/>
      <c r="I557" s="243"/>
      <c r="J557" s="243"/>
      <c r="K557" s="85"/>
      <c r="L557" s="85"/>
      <c r="M557" s="85"/>
      <c r="N557" s="85"/>
      <c r="O557" s="29"/>
      <c r="P557" s="307"/>
      <c r="Q557" s="29"/>
      <c r="R557" s="29"/>
      <c r="S557" s="15"/>
      <c r="T557" s="15"/>
      <c r="U557" s="243"/>
      <c r="V557" s="243"/>
      <c r="W557" s="243"/>
      <c r="X557" s="243"/>
      <c r="Y557" s="243"/>
      <c r="Z557" s="243"/>
    </row>
    <row r="558">
      <c r="A558" s="34"/>
      <c r="B558" s="15"/>
      <c r="C558" s="15"/>
      <c r="D558" s="15"/>
      <c r="E558" s="17"/>
      <c r="F558" s="15"/>
      <c r="G558" s="250"/>
      <c r="H558" s="243"/>
      <c r="I558" s="243"/>
      <c r="J558" s="243"/>
      <c r="K558" s="85"/>
      <c r="L558" s="85"/>
      <c r="M558" s="85"/>
      <c r="N558" s="85"/>
      <c r="O558" s="29"/>
      <c r="P558" s="307"/>
      <c r="Q558" s="29"/>
      <c r="R558" s="29"/>
      <c r="S558" s="15"/>
      <c r="T558" s="15"/>
      <c r="U558" s="243"/>
      <c r="V558" s="243"/>
      <c r="W558" s="243"/>
      <c r="X558" s="243"/>
      <c r="Y558" s="243"/>
      <c r="Z558" s="243"/>
    </row>
    <row r="559">
      <c r="A559" s="34"/>
      <c r="B559" s="15"/>
      <c r="C559" s="15"/>
      <c r="D559" s="15"/>
      <c r="E559" s="17"/>
      <c r="F559" s="15"/>
      <c r="G559" s="250"/>
      <c r="H559" s="243"/>
      <c r="I559" s="243"/>
      <c r="J559" s="243"/>
      <c r="K559" s="85"/>
      <c r="L559" s="85"/>
      <c r="M559" s="85"/>
      <c r="N559" s="85"/>
      <c r="O559" s="29"/>
      <c r="P559" s="307"/>
      <c r="Q559" s="29"/>
      <c r="R559" s="29"/>
      <c r="S559" s="15"/>
      <c r="T559" s="15"/>
      <c r="U559" s="243"/>
      <c r="V559" s="243"/>
      <c r="W559" s="243"/>
      <c r="X559" s="243"/>
      <c r="Y559" s="243"/>
      <c r="Z559" s="243"/>
    </row>
    <row r="560">
      <c r="A560" s="34"/>
      <c r="B560" s="15"/>
      <c r="C560" s="15"/>
      <c r="D560" s="15"/>
      <c r="E560" s="17"/>
      <c r="F560" s="15"/>
      <c r="G560" s="250"/>
      <c r="H560" s="243"/>
      <c r="I560" s="243"/>
      <c r="J560" s="243"/>
      <c r="K560" s="85"/>
      <c r="L560" s="85"/>
      <c r="M560" s="85"/>
      <c r="N560" s="85"/>
      <c r="O560" s="29"/>
      <c r="P560" s="307"/>
      <c r="Q560" s="29"/>
      <c r="R560" s="29"/>
      <c r="S560" s="15"/>
      <c r="T560" s="15"/>
      <c r="U560" s="243"/>
      <c r="V560" s="243"/>
      <c r="W560" s="243"/>
      <c r="X560" s="243"/>
      <c r="Y560" s="243"/>
      <c r="Z560" s="243"/>
    </row>
    <row r="561">
      <c r="A561" s="34"/>
      <c r="B561" s="15"/>
      <c r="C561" s="15"/>
      <c r="D561" s="15"/>
      <c r="E561" s="17"/>
      <c r="F561" s="15"/>
      <c r="G561" s="250"/>
      <c r="H561" s="243"/>
      <c r="I561" s="243"/>
      <c r="J561" s="243"/>
      <c r="K561" s="85"/>
      <c r="L561" s="85"/>
      <c r="M561" s="85"/>
      <c r="N561" s="85"/>
      <c r="O561" s="29"/>
      <c r="P561" s="307"/>
      <c r="Q561" s="29"/>
      <c r="R561" s="29"/>
      <c r="S561" s="15"/>
      <c r="T561" s="15"/>
      <c r="U561" s="243"/>
      <c r="V561" s="243"/>
      <c r="W561" s="243"/>
      <c r="X561" s="243"/>
      <c r="Y561" s="243"/>
      <c r="Z561" s="243"/>
    </row>
    <row r="562">
      <c r="A562" s="34"/>
      <c r="B562" s="15"/>
      <c r="C562" s="15"/>
      <c r="D562" s="15"/>
      <c r="E562" s="17"/>
      <c r="F562" s="15"/>
      <c r="G562" s="250"/>
      <c r="H562" s="243"/>
      <c r="I562" s="243"/>
      <c r="J562" s="243"/>
      <c r="K562" s="85"/>
      <c r="L562" s="85"/>
      <c r="M562" s="85"/>
      <c r="N562" s="85"/>
      <c r="O562" s="29"/>
      <c r="P562" s="307"/>
      <c r="Q562" s="29"/>
      <c r="R562" s="29"/>
      <c r="S562" s="15"/>
      <c r="T562" s="15"/>
      <c r="U562" s="243"/>
      <c r="V562" s="243"/>
      <c r="W562" s="243"/>
      <c r="X562" s="243"/>
      <c r="Y562" s="243"/>
      <c r="Z562" s="243"/>
    </row>
    <row r="563">
      <c r="A563" s="34"/>
      <c r="B563" s="15"/>
      <c r="C563" s="15"/>
      <c r="D563" s="15"/>
      <c r="E563" s="17"/>
      <c r="F563" s="15"/>
      <c r="G563" s="250"/>
      <c r="H563" s="243"/>
      <c r="I563" s="243"/>
      <c r="J563" s="243"/>
      <c r="K563" s="85"/>
      <c r="L563" s="85"/>
      <c r="M563" s="85"/>
      <c r="N563" s="85"/>
      <c r="O563" s="29"/>
      <c r="P563" s="307"/>
      <c r="Q563" s="29"/>
      <c r="R563" s="29"/>
      <c r="S563" s="15"/>
      <c r="T563" s="15"/>
      <c r="U563" s="243"/>
      <c r="V563" s="243"/>
      <c r="W563" s="243"/>
      <c r="X563" s="243"/>
      <c r="Y563" s="243"/>
      <c r="Z563" s="243"/>
    </row>
    <row r="564">
      <c r="A564" s="34"/>
      <c r="B564" s="15"/>
      <c r="C564" s="15"/>
      <c r="D564" s="15"/>
      <c r="E564" s="17"/>
      <c r="F564" s="15"/>
      <c r="G564" s="250"/>
      <c r="H564" s="243"/>
      <c r="I564" s="243"/>
      <c r="J564" s="243"/>
      <c r="K564" s="85"/>
      <c r="L564" s="85"/>
      <c r="M564" s="85"/>
      <c r="N564" s="85"/>
      <c r="O564" s="29"/>
      <c r="P564" s="307"/>
      <c r="Q564" s="29"/>
      <c r="R564" s="29"/>
      <c r="S564" s="15"/>
      <c r="T564" s="15"/>
      <c r="U564" s="243"/>
      <c r="V564" s="243"/>
      <c r="W564" s="243"/>
      <c r="X564" s="243"/>
      <c r="Y564" s="243"/>
      <c r="Z564" s="243"/>
    </row>
    <row r="565">
      <c r="A565" s="34"/>
      <c r="B565" s="15"/>
      <c r="C565" s="15"/>
      <c r="D565" s="15"/>
      <c r="E565" s="17"/>
      <c r="F565" s="15"/>
      <c r="G565" s="250"/>
      <c r="H565" s="243"/>
      <c r="I565" s="243"/>
      <c r="J565" s="243"/>
      <c r="K565" s="85"/>
      <c r="L565" s="85"/>
      <c r="M565" s="85"/>
      <c r="N565" s="85"/>
      <c r="O565" s="29"/>
      <c r="P565" s="307"/>
      <c r="Q565" s="29"/>
      <c r="R565" s="29"/>
      <c r="S565" s="15"/>
      <c r="T565" s="15"/>
      <c r="U565" s="243"/>
      <c r="V565" s="243"/>
      <c r="W565" s="243"/>
      <c r="X565" s="243"/>
      <c r="Y565" s="243"/>
      <c r="Z565" s="243"/>
    </row>
    <row r="566">
      <c r="A566" s="34"/>
      <c r="B566" s="15"/>
      <c r="C566" s="15"/>
      <c r="D566" s="15"/>
      <c r="E566" s="17"/>
      <c r="F566" s="15"/>
      <c r="G566" s="250"/>
      <c r="H566" s="243"/>
      <c r="I566" s="243"/>
      <c r="J566" s="243"/>
      <c r="K566" s="85"/>
      <c r="L566" s="85"/>
      <c r="M566" s="85"/>
      <c r="N566" s="85"/>
      <c r="O566" s="29"/>
      <c r="P566" s="307"/>
      <c r="Q566" s="29"/>
      <c r="R566" s="29"/>
      <c r="S566" s="15"/>
      <c r="T566" s="15"/>
      <c r="U566" s="243"/>
      <c r="V566" s="243"/>
      <c r="W566" s="243"/>
      <c r="X566" s="243"/>
      <c r="Y566" s="243"/>
      <c r="Z566" s="243"/>
    </row>
    <row r="567">
      <c r="A567" s="34"/>
      <c r="B567" s="15"/>
      <c r="C567" s="15"/>
      <c r="D567" s="15"/>
      <c r="E567" s="17"/>
      <c r="F567" s="15"/>
      <c r="G567" s="250"/>
      <c r="H567" s="243"/>
      <c r="I567" s="243"/>
      <c r="J567" s="243"/>
      <c r="K567" s="85"/>
      <c r="L567" s="85"/>
      <c r="M567" s="85"/>
      <c r="N567" s="85"/>
      <c r="O567" s="29"/>
      <c r="P567" s="307"/>
      <c r="Q567" s="29"/>
      <c r="R567" s="29"/>
      <c r="S567" s="15"/>
      <c r="T567" s="15"/>
      <c r="U567" s="243"/>
      <c r="V567" s="243"/>
      <c r="W567" s="243"/>
      <c r="X567" s="243"/>
      <c r="Y567" s="243"/>
      <c r="Z567" s="243"/>
    </row>
    <row r="568">
      <c r="A568" s="34"/>
      <c r="B568" s="15"/>
      <c r="C568" s="15"/>
      <c r="D568" s="15"/>
      <c r="E568" s="17"/>
      <c r="F568" s="15"/>
      <c r="G568" s="250"/>
      <c r="H568" s="243"/>
      <c r="I568" s="243"/>
      <c r="J568" s="243"/>
      <c r="K568" s="85"/>
      <c r="L568" s="85"/>
      <c r="M568" s="85"/>
      <c r="N568" s="85"/>
      <c r="O568" s="29"/>
      <c r="P568" s="307"/>
      <c r="Q568" s="29"/>
      <c r="R568" s="29"/>
      <c r="S568" s="15"/>
      <c r="T568" s="15"/>
      <c r="U568" s="243"/>
      <c r="V568" s="243"/>
      <c r="W568" s="243"/>
      <c r="X568" s="243"/>
      <c r="Y568" s="243"/>
      <c r="Z568" s="243"/>
    </row>
    <row r="569">
      <c r="A569" s="34"/>
      <c r="B569" s="15"/>
      <c r="C569" s="15"/>
      <c r="D569" s="15"/>
      <c r="E569" s="17"/>
      <c r="F569" s="15"/>
      <c r="G569" s="250"/>
      <c r="H569" s="243"/>
      <c r="I569" s="243"/>
      <c r="J569" s="243"/>
      <c r="K569" s="85"/>
      <c r="L569" s="85"/>
      <c r="M569" s="85"/>
      <c r="N569" s="85"/>
      <c r="O569" s="29"/>
      <c r="P569" s="307"/>
      <c r="Q569" s="29"/>
      <c r="R569" s="29"/>
      <c r="S569" s="15"/>
      <c r="T569" s="15"/>
      <c r="U569" s="243"/>
      <c r="V569" s="243"/>
      <c r="W569" s="243"/>
      <c r="X569" s="243"/>
      <c r="Y569" s="243"/>
      <c r="Z569" s="243"/>
    </row>
    <row r="570">
      <c r="A570" s="34"/>
      <c r="B570" s="15"/>
      <c r="C570" s="15"/>
      <c r="D570" s="15"/>
      <c r="E570" s="17"/>
      <c r="F570" s="15"/>
      <c r="G570" s="250"/>
      <c r="H570" s="243"/>
      <c r="I570" s="243"/>
      <c r="J570" s="243"/>
      <c r="K570" s="85"/>
      <c r="L570" s="85"/>
      <c r="M570" s="85"/>
      <c r="N570" s="85"/>
      <c r="O570" s="29"/>
      <c r="P570" s="307"/>
      <c r="Q570" s="29"/>
      <c r="R570" s="29"/>
      <c r="S570" s="15"/>
      <c r="T570" s="15"/>
      <c r="U570" s="243"/>
      <c r="V570" s="243"/>
      <c r="W570" s="243"/>
      <c r="X570" s="243"/>
      <c r="Y570" s="243"/>
      <c r="Z570" s="243"/>
    </row>
    <row r="571">
      <c r="A571" s="34"/>
      <c r="B571" s="15"/>
      <c r="C571" s="15"/>
      <c r="D571" s="15"/>
      <c r="E571" s="17"/>
      <c r="F571" s="15"/>
      <c r="G571" s="250"/>
      <c r="H571" s="243"/>
      <c r="I571" s="243"/>
      <c r="J571" s="243"/>
      <c r="K571" s="85"/>
      <c r="L571" s="85"/>
      <c r="M571" s="85"/>
      <c r="N571" s="85"/>
      <c r="O571" s="29"/>
      <c r="P571" s="307"/>
      <c r="Q571" s="29"/>
      <c r="R571" s="29"/>
      <c r="S571" s="15"/>
      <c r="T571" s="15"/>
      <c r="U571" s="243"/>
      <c r="V571" s="243"/>
      <c r="W571" s="243"/>
      <c r="X571" s="243"/>
      <c r="Y571" s="243"/>
      <c r="Z571" s="243"/>
    </row>
    <row r="572">
      <c r="A572" s="34"/>
      <c r="B572" s="15"/>
      <c r="C572" s="15"/>
      <c r="D572" s="15"/>
      <c r="E572" s="17"/>
      <c r="F572" s="15"/>
      <c r="G572" s="250"/>
      <c r="H572" s="243"/>
      <c r="I572" s="243"/>
      <c r="J572" s="243"/>
      <c r="K572" s="85"/>
      <c r="L572" s="85"/>
      <c r="M572" s="85"/>
      <c r="N572" s="85"/>
      <c r="O572" s="29"/>
      <c r="P572" s="307"/>
      <c r="Q572" s="29"/>
      <c r="R572" s="29"/>
      <c r="S572" s="15"/>
      <c r="T572" s="15"/>
      <c r="U572" s="243"/>
      <c r="V572" s="243"/>
      <c r="W572" s="243"/>
      <c r="X572" s="243"/>
      <c r="Y572" s="243"/>
      <c r="Z572" s="243"/>
    </row>
    <row r="573">
      <c r="A573" s="34"/>
      <c r="B573" s="15"/>
      <c r="C573" s="15"/>
      <c r="D573" s="15"/>
      <c r="E573" s="17"/>
      <c r="F573" s="15"/>
      <c r="G573" s="250"/>
      <c r="H573" s="243"/>
      <c r="I573" s="243"/>
      <c r="J573" s="243"/>
      <c r="K573" s="85"/>
      <c r="L573" s="85"/>
      <c r="M573" s="85"/>
      <c r="N573" s="85"/>
      <c r="O573" s="29"/>
      <c r="P573" s="307"/>
      <c r="Q573" s="29"/>
      <c r="R573" s="29"/>
      <c r="S573" s="15"/>
      <c r="T573" s="15"/>
      <c r="U573" s="243"/>
      <c r="V573" s="243"/>
      <c r="W573" s="243"/>
      <c r="X573" s="243"/>
      <c r="Y573" s="243"/>
      <c r="Z573" s="243"/>
    </row>
    <row r="574">
      <c r="A574" s="34"/>
      <c r="B574" s="15"/>
      <c r="C574" s="15"/>
      <c r="D574" s="15"/>
      <c r="E574" s="17"/>
      <c r="F574" s="15"/>
      <c r="G574" s="250"/>
      <c r="H574" s="243"/>
      <c r="I574" s="243"/>
      <c r="J574" s="243"/>
      <c r="K574" s="85"/>
      <c r="L574" s="85"/>
      <c r="M574" s="85"/>
      <c r="N574" s="85"/>
      <c r="O574" s="29"/>
      <c r="P574" s="307"/>
      <c r="Q574" s="29"/>
      <c r="R574" s="29"/>
      <c r="S574" s="15"/>
      <c r="T574" s="15"/>
      <c r="U574" s="243"/>
      <c r="V574" s="243"/>
      <c r="W574" s="243"/>
      <c r="X574" s="243"/>
      <c r="Y574" s="243"/>
      <c r="Z574" s="243"/>
    </row>
    <row r="575">
      <c r="A575" s="34"/>
      <c r="B575" s="15"/>
      <c r="C575" s="15"/>
      <c r="D575" s="15"/>
      <c r="E575" s="17"/>
      <c r="F575" s="15"/>
      <c r="G575" s="250"/>
      <c r="H575" s="243"/>
      <c r="I575" s="243"/>
      <c r="J575" s="243"/>
      <c r="K575" s="85"/>
      <c r="L575" s="85"/>
      <c r="M575" s="85"/>
      <c r="N575" s="85"/>
      <c r="O575" s="29"/>
      <c r="P575" s="307"/>
      <c r="Q575" s="29"/>
      <c r="R575" s="29"/>
      <c r="S575" s="15"/>
      <c r="T575" s="15"/>
      <c r="U575" s="243"/>
      <c r="V575" s="243"/>
      <c r="W575" s="243"/>
      <c r="X575" s="243"/>
      <c r="Y575" s="243"/>
      <c r="Z575" s="243"/>
    </row>
    <row r="576">
      <c r="A576" s="34"/>
      <c r="B576" s="15"/>
      <c r="C576" s="15"/>
      <c r="D576" s="15"/>
      <c r="E576" s="17"/>
      <c r="F576" s="15"/>
      <c r="G576" s="250"/>
      <c r="H576" s="243"/>
      <c r="I576" s="243"/>
      <c r="J576" s="243"/>
      <c r="K576" s="85"/>
      <c r="L576" s="85"/>
      <c r="M576" s="85"/>
      <c r="N576" s="85"/>
      <c r="O576" s="29"/>
      <c r="P576" s="307"/>
      <c r="Q576" s="29"/>
      <c r="R576" s="29"/>
      <c r="S576" s="15"/>
      <c r="T576" s="15"/>
      <c r="U576" s="243"/>
      <c r="V576" s="243"/>
      <c r="W576" s="243"/>
      <c r="X576" s="243"/>
      <c r="Y576" s="243"/>
      <c r="Z576" s="243"/>
    </row>
    <row r="577">
      <c r="A577" s="34"/>
      <c r="B577" s="15"/>
      <c r="C577" s="15"/>
      <c r="D577" s="15"/>
      <c r="E577" s="17"/>
      <c r="F577" s="15"/>
      <c r="G577" s="250"/>
      <c r="H577" s="243"/>
      <c r="I577" s="243"/>
      <c r="J577" s="243"/>
      <c r="K577" s="85"/>
      <c r="L577" s="85"/>
      <c r="M577" s="85"/>
      <c r="N577" s="85"/>
      <c r="O577" s="29"/>
      <c r="P577" s="307"/>
      <c r="Q577" s="29"/>
      <c r="R577" s="29"/>
      <c r="S577" s="15"/>
      <c r="T577" s="15"/>
      <c r="U577" s="243"/>
      <c r="V577" s="243"/>
      <c r="W577" s="243"/>
      <c r="X577" s="243"/>
      <c r="Y577" s="243"/>
      <c r="Z577" s="243"/>
    </row>
    <row r="578">
      <c r="A578" s="34"/>
      <c r="B578" s="15"/>
      <c r="C578" s="15"/>
      <c r="D578" s="15"/>
      <c r="E578" s="17"/>
      <c r="F578" s="15"/>
      <c r="G578" s="250"/>
      <c r="H578" s="243"/>
      <c r="I578" s="243"/>
      <c r="J578" s="243"/>
      <c r="K578" s="85"/>
      <c r="L578" s="85"/>
      <c r="M578" s="85"/>
      <c r="N578" s="85"/>
      <c r="O578" s="29"/>
      <c r="P578" s="307"/>
      <c r="Q578" s="29"/>
      <c r="R578" s="29"/>
      <c r="S578" s="15"/>
      <c r="T578" s="15"/>
      <c r="U578" s="243"/>
      <c r="V578" s="243"/>
      <c r="W578" s="243"/>
      <c r="X578" s="243"/>
      <c r="Y578" s="243"/>
      <c r="Z578" s="243"/>
    </row>
    <row r="579">
      <c r="A579" s="34"/>
      <c r="B579" s="15"/>
      <c r="C579" s="15"/>
      <c r="D579" s="15"/>
      <c r="E579" s="17"/>
      <c r="F579" s="15"/>
      <c r="G579" s="250"/>
      <c r="H579" s="243"/>
      <c r="I579" s="243"/>
      <c r="J579" s="243"/>
      <c r="K579" s="85"/>
      <c r="L579" s="85"/>
      <c r="M579" s="85"/>
      <c r="N579" s="85"/>
      <c r="O579" s="29"/>
      <c r="P579" s="307"/>
      <c r="Q579" s="29"/>
      <c r="R579" s="29"/>
      <c r="S579" s="15"/>
      <c r="T579" s="15"/>
      <c r="U579" s="243"/>
      <c r="V579" s="243"/>
      <c r="W579" s="243"/>
      <c r="X579" s="243"/>
      <c r="Y579" s="243"/>
      <c r="Z579" s="243"/>
    </row>
    <row r="580">
      <c r="A580" s="34"/>
      <c r="B580" s="15"/>
      <c r="C580" s="15"/>
      <c r="D580" s="15"/>
      <c r="E580" s="17"/>
      <c r="F580" s="15"/>
      <c r="G580" s="250"/>
      <c r="H580" s="243"/>
      <c r="I580" s="243"/>
      <c r="J580" s="243"/>
      <c r="K580" s="85"/>
      <c r="L580" s="85"/>
      <c r="M580" s="85"/>
      <c r="N580" s="85"/>
      <c r="O580" s="29"/>
      <c r="P580" s="307"/>
      <c r="Q580" s="29"/>
      <c r="R580" s="29"/>
      <c r="S580" s="15"/>
      <c r="T580" s="15"/>
      <c r="U580" s="243"/>
      <c r="V580" s="243"/>
      <c r="W580" s="243"/>
      <c r="X580" s="243"/>
      <c r="Y580" s="243"/>
      <c r="Z580" s="243"/>
    </row>
    <row r="581">
      <c r="A581" s="34"/>
      <c r="B581" s="15"/>
      <c r="C581" s="15"/>
      <c r="D581" s="15"/>
      <c r="E581" s="17"/>
      <c r="F581" s="15"/>
      <c r="G581" s="250"/>
      <c r="H581" s="243"/>
      <c r="I581" s="243"/>
      <c r="J581" s="243"/>
      <c r="K581" s="85"/>
      <c r="L581" s="85"/>
      <c r="M581" s="85"/>
      <c r="N581" s="85"/>
      <c r="O581" s="29"/>
      <c r="P581" s="307"/>
      <c r="Q581" s="29"/>
      <c r="R581" s="29"/>
      <c r="S581" s="15"/>
      <c r="T581" s="15"/>
      <c r="U581" s="243"/>
      <c r="V581" s="243"/>
      <c r="W581" s="243"/>
      <c r="X581" s="243"/>
      <c r="Y581" s="243"/>
      <c r="Z581" s="243"/>
    </row>
    <row r="582">
      <c r="A582" s="34"/>
      <c r="B582" s="15"/>
      <c r="C582" s="15"/>
      <c r="D582" s="15"/>
      <c r="E582" s="17"/>
      <c r="F582" s="15"/>
      <c r="G582" s="250"/>
      <c r="H582" s="243"/>
      <c r="I582" s="243"/>
      <c r="J582" s="243"/>
      <c r="K582" s="85"/>
      <c r="L582" s="85"/>
      <c r="M582" s="85"/>
      <c r="N582" s="85"/>
      <c r="O582" s="29"/>
      <c r="P582" s="307"/>
      <c r="Q582" s="29"/>
      <c r="R582" s="29"/>
      <c r="S582" s="15"/>
      <c r="T582" s="15"/>
      <c r="U582" s="243"/>
      <c r="V582" s="243"/>
      <c r="W582" s="243"/>
      <c r="X582" s="243"/>
      <c r="Y582" s="243"/>
      <c r="Z582" s="243"/>
    </row>
    <row r="583">
      <c r="A583" s="34"/>
      <c r="B583" s="15"/>
      <c r="C583" s="15"/>
      <c r="D583" s="15"/>
      <c r="E583" s="17"/>
      <c r="F583" s="15"/>
      <c r="G583" s="250"/>
      <c r="H583" s="243"/>
      <c r="I583" s="243"/>
      <c r="J583" s="243"/>
      <c r="K583" s="85"/>
      <c r="L583" s="85"/>
      <c r="M583" s="85"/>
      <c r="N583" s="85"/>
      <c r="O583" s="29"/>
      <c r="P583" s="307"/>
      <c r="Q583" s="29"/>
      <c r="R583" s="29"/>
      <c r="S583" s="15"/>
      <c r="T583" s="15"/>
      <c r="U583" s="243"/>
      <c r="V583" s="243"/>
      <c r="W583" s="243"/>
      <c r="X583" s="243"/>
      <c r="Y583" s="243"/>
      <c r="Z583" s="243"/>
    </row>
    <row r="584">
      <c r="A584" s="34"/>
      <c r="B584" s="15"/>
      <c r="C584" s="15"/>
      <c r="D584" s="15"/>
      <c r="E584" s="17"/>
      <c r="F584" s="15"/>
      <c r="G584" s="250"/>
      <c r="H584" s="243"/>
      <c r="I584" s="243"/>
      <c r="J584" s="243"/>
      <c r="K584" s="85"/>
      <c r="L584" s="85"/>
      <c r="M584" s="85"/>
      <c r="N584" s="85"/>
      <c r="O584" s="29"/>
      <c r="P584" s="307"/>
      <c r="Q584" s="29"/>
      <c r="R584" s="29"/>
      <c r="S584" s="15"/>
      <c r="T584" s="15"/>
      <c r="U584" s="243"/>
      <c r="V584" s="243"/>
      <c r="W584" s="243"/>
      <c r="X584" s="243"/>
      <c r="Y584" s="243"/>
      <c r="Z584" s="243"/>
    </row>
    <row r="585">
      <c r="A585" s="34"/>
      <c r="B585" s="15"/>
      <c r="C585" s="15"/>
      <c r="D585" s="15"/>
      <c r="E585" s="17"/>
      <c r="F585" s="15"/>
      <c r="G585" s="250"/>
      <c r="H585" s="243"/>
      <c r="I585" s="243"/>
      <c r="J585" s="243"/>
      <c r="K585" s="85"/>
      <c r="L585" s="85"/>
      <c r="M585" s="85"/>
      <c r="N585" s="85"/>
      <c r="O585" s="29"/>
      <c r="P585" s="307"/>
      <c r="Q585" s="29"/>
      <c r="R585" s="29"/>
      <c r="S585" s="15"/>
      <c r="T585" s="15"/>
      <c r="U585" s="243"/>
      <c r="V585" s="243"/>
      <c r="W585" s="243"/>
      <c r="X585" s="243"/>
      <c r="Y585" s="243"/>
      <c r="Z585" s="243"/>
    </row>
    <row r="586">
      <c r="A586" s="34"/>
      <c r="B586" s="15"/>
      <c r="C586" s="15"/>
      <c r="D586" s="15"/>
      <c r="E586" s="17"/>
      <c r="F586" s="15"/>
      <c r="G586" s="250"/>
      <c r="H586" s="243"/>
      <c r="I586" s="243"/>
      <c r="J586" s="243"/>
      <c r="K586" s="85"/>
      <c r="L586" s="85"/>
      <c r="M586" s="85"/>
      <c r="N586" s="85"/>
      <c r="O586" s="29"/>
      <c r="P586" s="307"/>
      <c r="Q586" s="29"/>
      <c r="R586" s="29"/>
      <c r="S586" s="15"/>
      <c r="T586" s="15"/>
      <c r="U586" s="243"/>
      <c r="V586" s="243"/>
      <c r="W586" s="243"/>
      <c r="X586" s="243"/>
      <c r="Y586" s="243"/>
      <c r="Z586" s="243"/>
    </row>
    <row r="587">
      <c r="A587" s="34"/>
      <c r="B587" s="15"/>
      <c r="C587" s="15"/>
      <c r="D587" s="15"/>
      <c r="E587" s="17"/>
      <c r="F587" s="15"/>
      <c r="G587" s="250"/>
      <c r="H587" s="243"/>
      <c r="I587" s="243"/>
      <c r="J587" s="243"/>
      <c r="K587" s="85"/>
      <c r="L587" s="85"/>
      <c r="M587" s="85"/>
      <c r="N587" s="85"/>
      <c r="O587" s="29"/>
      <c r="P587" s="307"/>
      <c r="Q587" s="29"/>
      <c r="R587" s="29"/>
      <c r="S587" s="15"/>
      <c r="T587" s="15"/>
      <c r="U587" s="243"/>
      <c r="V587" s="243"/>
      <c r="W587" s="243"/>
      <c r="X587" s="243"/>
      <c r="Y587" s="243"/>
      <c r="Z587" s="243"/>
    </row>
    <row r="588">
      <c r="A588" s="34"/>
      <c r="B588" s="15"/>
      <c r="C588" s="15"/>
      <c r="D588" s="15"/>
      <c r="E588" s="17"/>
      <c r="F588" s="15"/>
      <c r="G588" s="250"/>
      <c r="H588" s="243"/>
      <c r="I588" s="243"/>
      <c r="J588" s="243"/>
      <c r="K588" s="85"/>
      <c r="L588" s="85"/>
      <c r="M588" s="85"/>
      <c r="N588" s="85"/>
      <c r="O588" s="29"/>
      <c r="P588" s="307"/>
      <c r="Q588" s="29"/>
      <c r="R588" s="29"/>
      <c r="S588" s="15"/>
      <c r="T588" s="15"/>
      <c r="U588" s="243"/>
      <c r="V588" s="243"/>
      <c r="W588" s="243"/>
      <c r="X588" s="243"/>
      <c r="Y588" s="243"/>
      <c r="Z588" s="243"/>
    </row>
    <row r="589">
      <c r="A589" s="34"/>
      <c r="B589" s="15"/>
      <c r="C589" s="15"/>
      <c r="D589" s="15"/>
      <c r="E589" s="17"/>
      <c r="F589" s="15"/>
      <c r="G589" s="250"/>
      <c r="H589" s="243"/>
      <c r="I589" s="243"/>
      <c r="J589" s="243"/>
      <c r="K589" s="85"/>
      <c r="L589" s="85"/>
      <c r="M589" s="85"/>
      <c r="N589" s="85"/>
      <c r="O589" s="29"/>
      <c r="P589" s="307"/>
      <c r="Q589" s="29"/>
      <c r="R589" s="29"/>
      <c r="S589" s="15"/>
      <c r="T589" s="15"/>
      <c r="U589" s="243"/>
      <c r="V589" s="243"/>
      <c r="W589" s="243"/>
      <c r="X589" s="243"/>
      <c r="Y589" s="243"/>
      <c r="Z589" s="243"/>
    </row>
    <row r="590">
      <c r="A590" s="34"/>
      <c r="B590" s="15"/>
      <c r="C590" s="15"/>
      <c r="D590" s="15"/>
      <c r="E590" s="17"/>
      <c r="F590" s="15"/>
      <c r="G590" s="250"/>
      <c r="H590" s="243"/>
      <c r="I590" s="243"/>
      <c r="J590" s="243"/>
      <c r="K590" s="85"/>
      <c r="L590" s="85"/>
      <c r="M590" s="85"/>
      <c r="N590" s="85"/>
      <c r="O590" s="29"/>
      <c r="P590" s="307"/>
      <c r="Q590" s="29"/>
      <c r="R590" s="29"/>
      <c r="S590" s="15"/>
      <c r="T590" s="15"/>
      <c r="U590" s="243"/>
      <c r="V590" s="243"/>
      <c r="W590" s="243"/>
      <c r="X590" s="243"/>
      <c r="Y590" s="243"/>
      <c r="Z590" s="243"/>
    </row>
    <row r="591">
      <c r="A591" s="34"/>
      <c r="B591" s="15"/>
      <c r="C591" s="15"/>
      <c r="D591" s="15"/>
      <c r="E591" s="17"/>
      <c r="F591" s="15"/>
      <c r="G591" s="250"/>
      <c r="H591" s="243"/>
      <c r="I591" s="243"/>
      <c r="J591" s="243"/>
      <c r="K591" s="85"/>
      <c r="L591" s="85"/>
      <c r="M591" s="85"/>
      <c r="N591" s="85"/>
      <c r="O591" s="29"/>
      <c r="P591" s="307"/>
      <c r="Q591" s="29"/>
      <c r="R591" s="29"/>
      <c r="S591" s="15"/>
      <c r="T591" s="15"/>
      <c r="U591" s="243"/>
      <c r="V591" s="243"/>
      <c r="W591" s="243"/>
      <c r="X591" s="243"/>
      <c r="Y591" s="243"/>
      <c r="Z591" s="243"/>
    </row>
    <row r="592">
      <c r="A592" s="34"/>
      <c r="B592" s="15"/>
      <c r="C592" s="15"/>
      <c r="D592" s="15"/>
      <c r="E592" s="17"/>
      <c r="F592" s="15"/>
      <c r="G592" s="250"/>
      <c r="H592" s="243"/>
      <c r="I592" s="243"/>
      <c r="J592" s="243"/>
      <c r="K592" s="85"/>
      <c r="L592" s="85"/>
      <c r="M592" s="85"/>
      <c r="N592" s="85"/>
      <c r="O592" s="29"/>
      <c r="P592" s="307"/>
      <c r="Q592" s="29"/>
      <c r="R592" s="29"/>
      <c r="S592" s="15"/>
      <c r="T592" s="15"/>
      <c r="U592" s="243"/>
      <c r="V592" s="243"/>
      <c r="W592" s="243"/>
      <c r="X592" s="243"/>
      <c r="Y592" s="243"/>
      <c r="Z592" s="243"/>
    </row>
    <row r="593">
      <c r="A593" s="34"/>
      <c r="B593" s="15"/>
      <c r="C593" s="15"/>
      <c r="D593" s="15"/>
      <c r="E593" s="17"/>
      <c r="F593" s="15"/>
      <c r="G593" s="250"/>
      <c r="H593" s="243"/>
      <c r="I593" s="243"/>
      <c r="J593" s="243"/>
      <c r="K593" s="85"/>
      <c r="L593" s="85"/>
      <c r="M593" s="85"/>
      <c r="N593" s="85"/>
      <c r="O593" s="29"/>
      <c r="P593" s="307"/>
      <c r="Q593" s="29"/>
      <c r="R593" s="29"/>
      <c r="S593" s="15"/>
      <c r="T593" s="15"/>
      <c r="U593" s="243"/>
      <c r="V593" s="243"/>
      <c r="W593" s="243"/>
      <c r="X593" s="243"/>
      <c r="Y593" s="243"/>
      <c r="Z593" s="243"/>
    </row>
    <row r="594">
      <c r="A594" s="34"/>
      <c r="B594" s="15"/>
      <c r="C594" s="15"/>
      <c r="D594" s="15"/>
      <c r="E594" s="17"/>
      <c r="F594" s="15"/>
      <c r="G594" s="250"/>
      <c r="H594" s="243"/>
      <c r="I594" s="243"/>
      <c r="J594" s="243"/>
      <c r="K594" s="85"/>
      <c r="L594" s="85"/>
      <c r="M594" s="85"/>
      <c r="N594" s="85"/>
      <c r="O594" s="29"/>
      <c r="P594" s="307"/>
      <c r="Q594" s="29"/>
      <c r="R594" s="29"/>
      <c r="S594" s="15"/>
      <c r="T594" s="15"/>
      <c r="U594" s="243"/>
      <c r="V594" s="243"/>
      <c r="W594" s="243"/>
      <c r="X594" s="243"/>
      <c r="Y594" s="243"/>
      <c r="Z594" s="243"/>
    </row>
    <row r="595">
      <c r="A595" s="34"/>
      <c r="B595" s="15"/>
      <c r="C595" s="15"/>
      <c r="D595" s="15"/>
      <c r="E595" s="17"/>
      <c r="F595" s="15"/>
      <c r="G595" s="250"/>
      <c r="H595" s="243"/>
      <c r="I595" s="243"/>
      <c r="J595" s="243"/>
      <c r="K595" s="85"/>
      <c r="L595" s="85"/>
      <c r="M595" s="85"/>
      <c r="N595" s="85"/>
      <c r="O595" s="29"/>
      <c r="P595" s="307"/>
      <c r="Q595" s="29"/>
      <c r="R595" s="29"/>
      <c r="S595" s="15"/>
      <c r="T595" s="15"/>
      <c r="U595" s="243"/>
      <c r="V595" s="243"/>
      <c r="W595" s="243"/>
      <c r="X595" s="243"/>
      <c r="Y595" s="243"/>
      <c r="Z595" s="243"/>
    </row>
    <row r="596">
      <c r="A596" s="34"/>
      <c r="B596" s="15"/>
      <c r="C596" s="15"/>
      <c r="D596" s="15"/>
      <c r="E596" s="17"/>
      <c r="F596" s="15"/>
      <c r="G596" s="250"/>
      <c r="H596" s="243"/>
      <c r="I596" s="243"/>
      <c r="J596" s="243"/>
      <c r="K596" s="85"/>
      <c r="L596" s="85"/>
      <c r="M596" s="85"/>
      <c r="N596" s="85"/>
      <c r="O596" s="29"/>
      <c r="P596" s="307"/>
      <c r="Q596" s="29"/>
      <c r="R596" s="29"/>
      <c r="S596" s="15"/>
      <c r="T596" s="15"/>
      <c r="U596" s="243"/>
      <c r="V596" s="243"/>
      <c r="W596" s="243"/>
      <c r="X596" s="243"/>
      <c r="Y596" s="243"/>
      <c r="Z596" s="243"/>
    </row>
    <row r="597">
      <c r="A597" s="34"/>
      <c r="B597" s="15"/>
      <c r="C597" s="15"/>
      <c r="D597" s="15"/>
      <c r="E597" s="17"/>
      <c r="F597" s="15"/>
      <c r="G597" s="250"/>
      <c r="H597" s="243"/>
      <c r="I597" s="243"/>
      <c r="J597" s="243"/>
      <c r="K597" s="85"/>
      <c r="L597" s="85"/>
      <c r="M597" s="85"/>
      <c r="N597" s="85"/>
      <c r="O597" s="29"/>
      <c r="P597" s="307"/>
      <c r="Q597" s="29"/>
      <c r="R597" s="29"/>
      <c r="S597" s="15"/>
      <c r="T597" s="15"/>
      <c r="U597" s="243"/>
      <c r="V597" s="243"/>
      <c r="W597" s="243"/>
      <c r="X597" s="243"/>
      <c r="Y597" s="243"/>
      <c r="Z597" s="243"/>
    </row>
    <row r="598">
      <c r="A598" s="34"/>
      <c r="B598" s="15"/>
      <c r="C598" s="15"/>
      <c r="D598" s="15"/>
      <c r="E598" s="17"/>
      <c r="F598" s="15"/>
      <c r="G598" s="250"/>
      <c r="H598" s="243"/>
      <c r="I598" s="243"/>
      <c r="J598" s="243"/>
      <c r="K598" s="85"/>
      <c r="L598" s="85"/>
      <c r="M598" s="85"/>
      <c r="N598" s="85"/>
      <c r="O598" s="29"/>
      <c r="P598" s="307"/>
      <c r="Q598" s="29"/>
      <c r="R598" s="29"/>
      <c r="S598" s="15"/>
      <c r="T598" s="15"/>
      <c r="U598" s="243"/>
      <c r="V598" s="243"/>
      <c r="W598" s="243"/>
      <c r="X598" s="243"/>
      <c r="Y598" s="243"/>
      <c r="Z598" s="243"/>
    </row>
    <row r="599">
      <c r="A599" s="34"/>
      <c r="B599" s="15"/>
      <c r="C599" s="15"/>
      <c r="D599" s="15"/>
      <c r="E599" s="17"/>
      <c r="F599" s="15"/>
      <c r="G599" s="250"/>
      <c r="H599" s="243"/>
      <c r="I599" s="243"/>
      <c r="J599" s="243"/>
      <c r="K599" s="85"/>
      <c r="L599" s="85"/>
      <c r="M599" s="85"/>
      <c r="N599" s="85"/>
      <c r="O599" s="29"/>
      <c r="P599" s="307"/>
      <c r="Q599" s="29"/>
      <c r="R599" s="29"/>
      <c r="S599" s="15"/>
      <c r="T599" s="15"/>
      <c r="U599" s="243"/>
      <c r="V599" s="243"/>
      <c r="W599" s="243"/>
      <c r="X599" s="243"/>
      <c r="Y599" s="243"/>
      <c r="Z599" s="243"/>
    </row>
    <row r="600">
      <c r="A600" s="34"/>
      <c r="B600" s="15"/>
      <c r="C600" s="15"/>
      <c r="D600" s="15"/>
      <c r="E600" s="17"/>
      <c r="F600" s="15"/>
      <c r="G600" s="250"/>
      <c r="H600" s="243"/>
      <c r="I600" s="243"/>
      <c r="J600" s="243"/>
      <c r="K600" s="85"/>
      <c r="L600" s="85"/>
      <c r="M600" s="85"/>
      <c r="N600" s="85"/>
      <c r="O600" s="29"/>
      <c r="P600" s="307"/>
      <c r="Q600" s="29"/>
      <c r="R600" s="29"/>
      <c r="S600" s="15"/>
      <c r="T600" s="15"/>
      <c r="U600" s="243"/>
      <c r="V600" s="243"/>
      <c r="W600" s="243"/>
      <c r="X600" s="243"/>
      <c r="Y600" s="243"/>
      <c r="Z600" s="243"/>
    </row>
    <row r="601">
      <c r="A601" s="34"/>
      <c r="B601" s="15"/>
      <c r="C601" s="15"/>
      <c r="D601" s="15"/>
      <c r="E601" s="17"/>
      <c r="F601" s="15"/>
      <c r="G601" s="250"/>
      <c r="H601" s="243"/>
      <c r="I601" s="243"/>
      <c r="J601" s="243"/>
      <c r="K601" s="85"/>
      <c r="L601" s="85"/>
      <c r="M601" s="85"/>
      <c r="N601" s="85"/>
      <c r="O601" s="29"/>
      <c r="P601" s="307"/>
      <c r="Q601" s="29"/>
      <c r="R601" s="29"/>
      <c r="S601" s="15"/>
      <c r="T601" s="15"/>
      <c r="U601" s="243"/>
      <c r="V601" s="243"/>
      <c r="W601" s="243"/>
      <c r="X601" s="243"/>
      <c r="Y601" s="243"/>
      <c r="Z601" s="243"/>
    </row>
    <row r="602">
      <c r="A602" s="34"/>
      <c r="B602" s="15"/>
      <c r="C602" s="15"/>
      <c r="D602" s="15"/>
      <c r="E602" s="17"/>
      <c r="F602" s="15"/>
      <c r="G602" s="250"/>
      <c r="H602" s="243"/>
      <c r="I602" s="243"/>
      <c r="J602" s="243"/>
      <c r="K602" s="85"/>
      <c r="L602" s="85"/>
      <c r="M602" s="85"/>
      <c r="N602" s="85"/>
      <c r="O602" s="29"/>
      <c r="P602" s="307"/>
      <c r="Q602" s="29"/>
      <c r="R602" s="29"/>
      <c r="S602" s="15"/>
      <c r="T602" s="15"/>
      <c r="U602" s="243"/>
      <c r="V602" s="243"/>
      <c r="W602" s="243"/>
      <c r="X602" s="243"/>
      <c r="Y602" s="243"/>
      <c r="Z602" s="243"/>
    </row>
    <row r="603">
      <c r="A603" s="34"/>
      <c r="B603" s="15"/>
      <c r="C603" s="15"/>
      <c r="D603" s="15"/>
      <c r="E603" s="17"/>
      <c r="F603" s="15"/>
      <c r="G603" s="250"/>
      <c r="H603" s="243"/>
      <c r="I603" s="243"/>
      <c r="J603" s="243"/>
      <c r="K603" s="85"/>
      <c r="L603" s="85"/>
      <c r="M603" s="85"/>
      <c r="N603" s="85"/>
      <c r="O603" s="29"/>
      <c r="P603" s="307"/>
      <c r="Q603" s="29"/>
      <c r="R603" s="29"/>
      <c r="S603" s="15"/>
      <c r="T603" s="15"/>
      <c r="U603" s="243"/>
      <c r="V603" s="243"/>
      <c r="W603" s="243"/>
      <c r="X603" s="243"/>
      <c r="Y603" s="243"/>
      <c r="Z603" s="243"/>
    </row>
    <row r="604">
      <c r="A604" s="34"/>
      <c r="B604" s="15"/>
      <c r="C604" s="15"/>
      <c r="D604" s="15"/>
      <c r="E604" s="17"/>
      <c r="F604" s="15"/>
      <c r="G604" s="250"/>
      <c r="H604" s="243"/>
      <c r="I604" s="243"/>
      <c r="J604" s="243"/>
      <c r="K604" s="85"/>
      <c r="L604" s="85"/>
      <c r="M604" s="85"/>
      <c r="N604" s="85"/>
      <c r="O604" s="29"/>
      <c r="P604" s="307"/>
      <c r="Q604" s="29"/>
      <c r="R604" s="29"/>
      <c r="S604" s="15"/>
      <c r="T604" s="15"/>
      <c r="U604" s="243"/>
      <c r="V604" s="243"/>
      <c r="W604" s="243"/>
      <c r="X604" s="243"/>
      <c r="Y604" s="243"/>
      <c r="Z604" s="243"/>
    </row>
    <row r="605">
      <c r="A605" s="34"/>
      <c r="B605" s="15"/>
      <c r="C605" s="15"/>
      <c r="D605" s="15"/>
      <c r="E605" s="17"/>
      <c r="F605" s="15"/>
      <c r="G605" s="250"/>
      <c r="H605" s="243"/>
      <c r="I605" s="243"/>
      <c r="J605" s="243"/>
      <c r="K605" s="85"/>
      <c r="L605" s="85"/>
      <c r="M605" s="85"/>
      <c r="N605" s="85"/>
      <c r="O605" s="29"/>
      <c r="P605" s="307"/>
      <c r="Q605" s="29"/>
      <c r="R605" s="29"/>
      <c r="S605" s="15"/>
      <c r="T605" s="15"/>
      <c r="U605" s="243"/>
      <c r="V605" s="243"/>
      <c r="W605" s="243"/>
      <c r="X605" s="243"/>
      <c r="Y605" s="243"/>
      <c r="Z605" s="243"/>
    </row>
    <row r="606">
      <c r="A606" s="34"/>
      <c r="B606" s="15"/>
      <c r="C606" s="15"/>
      <c r="D606" s="15"/>
      <c r="E606" s="17"/>
      <c r="F606" s="15"/>
      <c r="G606" s="250"/>
      <c r="H606" s="243"/>
      <c r="I606" s="243"/>
      <c r="J606" s="243"/>
      <c r="K606" s="85"/>
      <c r="L606" s="85"/>
      <c r="M606" s="85"/>
      <c r="N606" s="85"/>
      <c r="O606" s="29"/>
      <c r="P606" s="307"/>
      <c r="Q606" s="29"/>
      <c r="R606" s="29"/>
      <c r="S606" s="15"/>
      <c r="T606" s="15"/>
      <c r="U606" s="243"/>
      <c r="V606" s="243"/>
      <c r="W606" s="243"/>
      <c r="X606" s="243"/>
      <c r="Y606" s="243"/>
      <c r="Z606" s="243"/>
    </row>
    <row r="607">
      <c r="A607" s="34"/>
      <c r="B607" s="15"/>
      <c r="C607" s="15"/>
      <c r="D607" s="15"/>
      <c r="E607" s="17"/>
      <c r="F607" s="15"/>
      <c r="G607" s="250"/>
      <c r="H607" s="243"/>
      <c r="I607" s="243"/>
      <c r="J607" s="243"/>
      <c r="K607" s="85"/>
      <c r="L607" s="85"/>
      <c r="M607" s="85"/>
      <c r="N607" s="85"/>
      <c r="O607" s="29"/>
      <c r="P607" s="307"/>
      <c r="Q607" s="29"/>
      <c r="R607" s="29"/>
      <c r="S607" s="15"/>
      <c r="T607" s="15"/>
      <c r="U607" s="243"/>
      <c r="V607" s="243"/>
      <c r="W607" s="243"/>
      <c r="X607" s="243"/>
      <c r="Y607" s="243"/>
      <c r="Z607" s="243"/>
    </row>
    <row r="608">
      <c r="A608" s="34"/>
      <c r="B608" s="15"/>
      <c r="C608" s="15"/>
      <c r="D608" s="15"/>
      <c r="E608" s="17"/>
      <c r="F608" s="15"/>
      <c r="G608" s="250"/>
      <c r="H608" s="243"/>
      <c r="I608" s="243"/>
      <c r="J608" s="243"/>
      <c r="K608" s="85"/>
      <c r="L608" s="85"/>
      <c r="M608" s="85"/>
      <c r="N608" s="85"/>
      <c r="O608" s="29"/>
      <c r="P608" s="307"/>
      <c r="Q608" s="29"/>
      <c r="R608" s="29"/>
      <c r="S608" s="15"/>
      <c r="T608" s="15"/>
      <c r="U608" s="243"/>
      <c r="V608" s="243"/>
      <c r="W608" s="243"/>
      <c r="X608" s="243"/>
      <c r="Y608" s="243"/>
      <c r="Z608" s="243"/>
    </row>
    <row r="609">
      <c r="A609" s="34"/>
      <c r="B609" s="15"/>
      <c r="C609" s="15"/>
      <c r="D609" s="15"/>
      <c r="E609" s="17"/>
      <c r="F609" s="15"/>
      <c r="G609" s="250"/>
      <c r="H609" s="243"/>
      <c r="I609" s="243"/>
      <c r="J609" s="243"/>
      <c r="K609" s="85"/>
      <c r="L609" s="85"/>
      <c r="M609" s="85"/>
      <c r="N609" s="85"/>
      <c r="O609" s="29"/>
      <c r="P609" s="307"/>
      <c r="Q609" s="29"/>
      <c r="R609" s="29"/>
      <c r="S609" s="15"/>
      <c r="T609" s="15"/>
      <c r="U609" s="243"/>
      <c r="V609" s="243"/>
      <c r="W609" s="243"/>
      <c r="X609" s="243"/>
      <c r="Y609" s="243"/>
      <c r="Z609" s="243"/>
    </row>
    <row r="610">
      <c r="A610" s="34"/>
      <c r="B610" s="15"/>
      <c r="C610" s="15"/>
      <c r="D610" s="15"/>
      <c r="E610" s="17"/>
      <c r="F610" s="15"/>
      <c r="G610" s="250"/>
      <c r="H610" s="243"/>
      <c r="I610" s="243"/>
      <c r="J610" s="243"/>
      <c r="K610" s="85"/>
      <c r="L610" s="85"/>
      <c r="M610" s="85"/>
      <c r="N610" s="85"/>
      <c r="O610" s="29"/>
      <c r="P610" s="307"/>
      <c r="Q610" s="29"/>
      <c r="R610" s="29"/>
      <c r="S610" s="15"/>
      <c r="T610" s="15"/>
      <c r="U610" s="243"/>
      <c r="V610" s="243"/>
      <c r="W610" s="243"/>
      <c r="X610" s="243"/>
      <c r="Y610" s="243"/>
      <c r="Z610" s="243"/>
    </row>
    <row r="611">
      <c r="A611" s="34"/>
      <c r="B611" s="15"/>
      <c r="C611" s="15"/>
      <c r="D611" s="15"/>
      <c r="E611" s="17"/>
      <c r="F611" s="15"/>
      <c r="G611" s="250"/>
      <c r="H611" s="243"/>
      <c r="I611" s="243"/>
      <c r="J611" s="243"/>
      <c r="K611" s="85"/>
      <c r="L611" s="85"/>
      <c r="M611" s="85"/>
      <c r="N611" s="85"/>
      <c r="O611" s="29"/>
      <c r="P611" s="307"/>
      <c r="Q611" s="29"/>
      <c r="R611" s="29"/>
      <c r="S611" s="15"/>
      <c r="T611" s="15"/>
      <c r="U611" s="243"/>
      <c r="V611" s="243"/>
      <c r="W611" s="243"/>
      <c r="X611" s="243"/>
      <c r="Y611" s="243"/>
      <c r="Z611" s="243"/>
    </row>
    <row r="612">
      <c r="A612" s="34"/>
      <c r="B612" s="15"/>
      <c r="C612" s="15"/>
      <c r="D612" s="15"/>
      <c r="E612" s="17"/>
      <c r="F612" s="15"/>
      <c r="G612" s="250"/>
      <c r="H612" s="243"/>
      <c r="I612" s="243"/>
      <c r="J612" s="243"/>
      <c r="K612" s="85"/>
      <c r="L612" s="85"/>
      <c r="M612" s="85"/>
      <c r="N612" s="85"/>
      <c r="O612" s="29"/>
      <c r="P612" s="307"/>
      <c r="Q612" s="29"/>
      <c r="R612" s="29"/>
      <c r="S612" s="15"/>
      <c r="T612" s="15"/>
      <c r="U612" s="243"/>
      <c r="V612" s="243"/>
      <c r="W612" s="243"/>
      <c r="X612" s="243"/>
      <c r="Y612" s="243"/>
      <c r="Z612" s="243"/>
    </row>
    <row r="613">
      <c r="A613" s="34"/>
      <c r="B613" s="15"/>
      <c r="C613" s="15"/>
      <c r="D613" s="15"/>
      <c r="E613" s="17"/>
      <c r="F613" s="15"/>
      <c r="G613" s="250"/>
      <c r="H613" s="243"/>
      <c r="I613" s="243"/>
      <c r="J613" s="243"/>
      <c r="K613" s="85"/>
      <c r="L613" s="85"/>
      <c r="M613" s="85"/>
      <c r="N613" s="85"/>
      <c r="O613" s="29"/>
      <c r="P613" s="307"/>
      <c r="Q613" s="29"/>
      <c r="R613" s="29"/>
      <c r="S613" s="15"/>
      <c r="T613" s="15"/>
      <c r="U613" s="243"/>
      <c r="V613" s="243"/>
      <c r="W613" s="243"/>
      <c r="X613" s="243"/>
      <c r="Y613" s="243"/>
      <c r="Z613" s="243"/>
    </row>
    <row r="614">
      <c r="A614" s="34"/>
      <c r="B614" s="15"/>
      <c r="C614" s="15"/>
      <c r="D614" s="15"/>
      <c r="E614" s="17"/>
      <c r="F614" s="15"/>
      <c r="G614" s="250"/>
      <c r="H614" s="243"/>
      <c r="I614" s="243"/>
      <c r="J614" s="243"/>
      <c r="K614" s="85"/>
      <c r="L614" s="85"/>
      <c r="M614" s="85"/>
      <c r="N614" s="85"/>
      <c r="O614" s="29"/>
      <c r="P614" s="307"/>
      <c r="Q614" s="29"/>
      <c r="R614" s="29"/>
      <c r="S614" s="15"/>
      <c r="T614" s="15"/>
      <c r="U614" s="243"/>
      <c r="V614" s="243"/>
      <c r="W614" s="243"/>
      <c r="X614" s="243"/>
      <c r="Y614" s="243"/>
      <c r="Z614" s="243"/>
    </row>
    <row r="615">
      <c r="A615" s="34"/>
      <c r="B615" s="15"/>
      <c r="C615" s="15"/>
      <c r="D615" s="15"/>
      <c r="E615" s="17"/>
      <c r="F615" s="15"/>
      <c r="G615" s="250"/>
      <c r="H615" s="243"/>
      <c r="I615" s="243"/>
      <c r="J615" s="243"/>
      <c r="K615" s="85"/>
      <c r="L615" s="85"/>
      <c r="M615" s="85"/>
      <c r="N615" s="85"/>
      <c r="O615" s="29"/>
      <c r="P615" s="307"/>
      <c r="Q615" s="29"/>
      <c r="R615" s="29"/>
      <c r="S615" s="15"/>
      <c r="T615" s="15"/>
      <c r="U615" s="243"/>
      <c r="V615" s="243"/>
      <c r="W615" s="243"/>
      <c r="X615" s="243"/>
      <c r="Y615" s="243"/>
      <c r="Z615" s="243"/>
    </row>
    <row r="616">
      <c r="A616" s="34"/>
      <c r="B616" s="15"/>
      <c r="C616" s="15"/>
      <c r="D616" s="15"/>
      <c r="E616" s="17"/>
      <c r="F616" s="15"/>
      <c r="G616" s="250"/>
      <c r="H616" s="243"/>
      <c r="I616" s="243"/>
      <c r="J616" s="243"/>
      <c r="K616" s="85"/>
      <c r="L616" s="85"/>
      <c r="M616" s="85"/>
      <c r="N616" s="85"/>
      <c r="O616" s="29"/>
      <c r="P616" s="307"/>
      <c r="Q616" s="29"/>
      <c r="R616" s="29"/>
      <c r="S616" s="15"/>
      <c r="T616" s="15"/>
      <c r="U616" s="243"/>
      <c r="V616" s="243"/>
      <c r="W616" s="243"/>
      <c r="X616" s="243"/>
      <c r="Y616" s="243"/>
      <c r="Z616" s="243"/>
    </row>
    <row r="617">
      <c r="A617" s="34"/>
      <c r="B617" s="15"/>
      <c r="C617" s="15"/>
      <c r="D617" s="15"/>
      <c r="E617" s="17"/>
      <c r="F617" s="15"/>
      <c r="G617" s="250"/>
      <c r="H617" s="243"/>
      <c r="I617" s="243"/>
      <c r="J617" s="243"/>
      <c r="K617" s="85"/>
      <c r="L617" s="85"/>
      <c r="M617" s="85"/>
      <c r="N617" s="85"/>
      <c r="O617" s="29"/>
      <c r="P617" s="307"/>
      <c r="Q617" s="29"/>
      <c r="R617" s="29"/>
      <c r="S617" s="15"/>
      <c r="T617" s="15"/>
      <c r="U617" s="243"/>
      <c r="V617" s="243"/>
      <c r="W617" s="243"/>
      <c r="X617" s="243"/>
      <c r="Y617" s="243"/>
      <c r="Z617" s="243"/>
    </row>
    <row r="618">
      <c r="A618" s="34"/>
      <c r="B618" s="15"/>
      <c r="C618" s="15"/>
      <c r="D618" s="15"/>
      <c r="E618" s="17"/>
      <c r="F618" s="15"/>
      <c r="G618" s="250"/>
      <c r="H618" s="243"/>
      <c r="I618" s="243"/>
      <c r="J618" s="243"/>
      <c r="K618" s="85"/>
      <c r="L618" s="85"/>
      <c r="M618" s="85"/>
      <c r="N618" s="85"/>
      <c r="O618" s="29"/>
      <c r="P618" s="307"/>
      <c r="Q618" s="29"/>
      <c r="R618" s="29"/>
      <c r="S618" s="15"/>
      <c r="T618" s="15"/>
      <c r="U618" s="243"/>
      <c r="V618" s="243"/>
      <c r="W618" s="243"/>
      <c r="X618" s="243"/>
      <c r="Y618" s="243"/>
      <c r="Z618" s="243"/>
    </row>
    <row r="619">
      <c r="A619" s="34"/>
      <c r="B619" s="15"/>
      <c r="C619" s="15"/>
      <c r="D619" s="15"/>
      <c r="E619" s="17"/>
      <c r="F619" s="15"/>
      <c r="G619" s="250"/>
      <c r="H619" s="243"/>
      <c r="I619" s="243"/>
      <c r="J619" s="243"/>
      <c r="K619" s="85"/>
      <c r="L619" s="85"/>
      <c r="M619" s="85"/>
      <c r="N619" s="85"/>
      <c r="O619" s="29"/>
      <c r="P619" s="307"/>
      <c r="Q619" s="29"/>
      <c r="R619" s="29"/>
      <c r="S619" s="15"/>
      <c r="T619" s="15"/>
      <c r="U619" s="243"/>
      <c r="V619" s="243"/>
      <c r="W619" s="243"/>
      <c r="X619" s="243"/>
      <c r="Y619" s="243"/>
      <c r="Z619" s="243"/>
    </row>
    <row r="620">
      <c r="A620" s="34"/>
      <c r="B620" s="15"/>
      <c r="C620" s="15"/>
      <c r="D620" s="15"/>
      <c r="E620" s="17"/>
      <c r="F620" s="15"/>
      <c r="G620" s="250"/>
      <c r="H620" s="243"/>
      <c r="I620" s="243"/>
      <c r="J620" s="243"/>
      <c r="K620" s="85"/>
      <c r="L620" s="85"/>
      <c r="M620" s="85"/>
      <c r="N620" s="85"/>
      <c r="O620" s="29"/>
      <c r="P620" s="307"/>
      <c r="Q620" s="29"/>
      <c r="R620" s="29"/>
      <c r="S620" s="15"/>
      <c r="T620" s="15"/>
      <c r="U620" s="243"/>
      <c r="V620" s="243"/>
      <c r="W620" s="243"/>
      <c r="X620" s="243"/>
      <c r="Y620" s="243"/>
      <c r="Z620" s="243"/>
    </row>
    <row r="621">
      <c r="A621" s="34"/>
      <c r="B621" s="15"/>
      <c r="C621" s="15"/>
      <c r="D621" s="15"/>
      <c r="E621" s="17"/>
      <c r="F621" s="15"/>
      <c r="G621" s="250"/>
      <c r="H621" s="243"/>
      <c r="I621" s="243"/>
      <c r="J621" s="243"/>
      <c r="K621" s="85"/>
      <c r="L621" s="85"/>
      <c r="M621" s="85"/>
      <c r="N621" s="85"/>
      <c r="O621" s="29"/>
      <c r="P621" s="307"/>
      <c r="Q621" s="29"/>
      <c r="R621" s="29"/>
      <c r="S621" s="15"/>
      <c r="T621" s="15"/>
      <c r="U621" s="243"/>
      <c r="V621" s="243"/>
      <c r="W621" s="243"/>
      <c r="X621" s="243"/>
      <c r="Y621" s="243"/>
      <c r="Z621" s="243"/>
    </row>
    <row r="622">
      <c r="A622" s="34"/>
      <c r="B622" s="15"/>
      <c r="C622" s="15"/>
      <c r="D622" s="15"/>
      <c r="E622" s="17"/>
      <c r="F622" s="15"/>
      <c r="G622" s="250"/>
      <c r="H622" s="243"/>
      <c r="I622" s="243"/>
      <c r="J622" s="243"/>
      <c r="K622" s="85"/>
      <c r="L622" s="85"/>
      <c r="M622" s="85"/>
      <c r="N622" s="85"/>
      <c r="O622" s="29"/>
      <c r="P622" s="307"/>
      <c r="Q622" s="29"/>
      <c r="R622" s="29"/>
      <c r="S622" s="15"/>
      <c r="T622" s="15"/>
      <c r="U622" s="243"/>
      <c r="V622" s="243"/>
      <c r="W622" s="243"/>
      <c r="X622" s="243"/>
      <c r="Y622" s="243"/>
      <c r="Z622" s="243"/>
    </row>
    <row r="623">
      <c r="A623" s="34"/>
      <c r="B623" s="15"/>
      <c r="C623" s="15"/>
      <c r="D623" s="15"/>
      <c r="E623" s="17"/>
      <c r="F623" s="15"/>
      <c r="G623" s="250"/>
      <c r="H623" s="243"/>
      <c r="I623" s="243"/>
      <c r="J623" s="243"/>
      <c r="K623" s="85"/>
      <c r="L623" s="85"/>
      <c r="M623" s="85"/>
      <c r="N623" s="85"/>
      <c r="O623" s="29"/>
      <c r="P623" s="307"/>
      <c r="Q623" s="29"/>
      <c r="R623" s="29"/>
      <c r="S623" s="15"/>
      <c r="T623" s="15"/>
      <c r="U623" s="243"/>
      <c r="V623" s="243"/>
      <c r="W623" s="243"/>
      <c r="X623" s="243"/>
      <c r="Y623" s="243"/>
      <c r="Z623" s="243"/>
    </row>
    <row r="624">
      <c r="A624" s="34"/>
      <c r="B624" s="15"/>
      <c r="C624" s="15"/>
      <c r="D624" s="15"/>
      <c r="E624" s="17"/>
      <c r="F624" s="15"/>
      <c r="G624" s="250"/>
      <c r="H624" s="243"/>
      <c r="I624" s="243"/>
      <c r="J624" s="243"/>
      <c r="K624" s="85"/>
      <c r="L624" s="85"/>
      <c r="M624" s="85"/>
      <c r="N624" s="85"/>
      <c r="O624" s="29"/>
      <c r="P624" s="307"/>
      <c r="Q624" s="29"/>
      <c r="R624" s="29"/>
      <c r="S624" s="15"/>
      <c r="T624" s="15"/>
      <c r="U624" s="243"/>
      <c r="V624" s="243"/>
      <c r="W624" s="243"/>
      <c r="X624" s="243"/>
      <c r="Y624" s="243"/>
      <c r="Z624" s="243"/>
    </row>
    <row r="625">
      <c r="A625" s="34"/>
      <c r="B625" s="15"/>
      <c r="C625" s="15"/>
      <c r="D625" s="15"/>
      <c r="E625" s="17"/>
      <c r="F625" s="15"/>
      <c r="G625" s="250"/>
      <c r="H625" s="243"/>
      <c r="I625" s="243"/>
      <c r="J625" s="243"/>
      <c r="K625" s="85"/>
      <c r="L625" s="85"/>
      <c r="M625" s="85"/>
      <c r="N625" s="85"/>
      <c r="O625" s="29"/>
      <c r="P625" s="307"/>
      <c r="Q625" s="29"/>
      <c r="R625" s="29"/>
      <c r="S625" s="15"/>
      <c r="T625" s="15"/>
      <c r="U625" s="243"/>
      <c r="V625" s="243"/>
      <c r="W625" s="243"/>
      <c r="X625" s="243"/>
      <c r="Y625" s="243"/>
      <c r="Z625" s="243"/>
    </row>
    <row r="626">
      <c r="A626" s="34"/>
      <c r="B626" s="15"/>
      <c r="C626" s="15"/>
      <c r="D626" s="15"/>
      <c r="E626" s="17"/>
      <c r="F626" s="15"/>
      <c r="G626" s="250"/>
      <c r="H626" s="243"/>
      <c r="I626" s="243"/>
      <c r="J626" s="243"/>
      <c r="K626" s="85"/>
      <c r="L626" s="85"/>
      <c r="M626" s="85"/>
      <c r="N626" s="85"/>
      <c r="O626" s="29"/>
      <c r="P626" s="307"/>
      <c r="Q626" s="29"/>
      <c r="R626" s="29"/>
      <c r="S626" s="15"/>
      <c r="T626" s="15"/>
      <c r="U626" s="243"/>
      <c r="V626" s="243"/>
      <c r="W626" s="243"/>
      <c r="X626" s="243"/>
      <c r="Y626" s="243"/>
      <c r="Z626" s="243"/>
    </row>
    <row r="627">
      <c r="A627" s="34"/>
      <c r="B627" s="15"/>
      <c r="C627" s="15"/>
      <c r="D627" s="15"/>
      <c r="E627" s="17"/>
      <c r="F627" s="15"/>
      <c r="G627" s="250"/>
      <c r="H627" s="243"/>
      <c r="I627" s="243"/>
      <c r="J627" s="243"/>
      <c r="K627" s="85"/>
      <c r="L627" s="85"/>
      <c r="M627" s="85"/>
      <c r="N627" s="85"/>
      <c r="O627" s="29"/>
      <c r="P627" s="307"/>
      <c r="Q627" s="29"/>
      <c r="R627" s="29"/>
      <c r="S627" s="15"/>
      <c r="T627" s="15"/>
      <c r="U627" s="243"/>
      <c r="V627" s="243"/>
      <c r="W627" s="243"/>
      <c r="X627" s="243"/>
      <c r="Y627" s="243"/>
      <c r="Z627" s="243"/>
    </row>
    <row r="628">
      <c r="A628" s="34"/>
      <c r="B628" s="15"/>
      <c r="C628" s="15"/>
      <c r="D628" s="15"/>
      <c r="E628" s="17"/>
      <c r="F628" s="15"/>
      <c r="G628" s="250"/>
      <c r="H628" s="243"/>
      <c r="I628" s="243"/>
      <c r="J628" s="243"/>
      <c r="K628" s="85"/>
      <c r="L628" s="85"/>
      <c r="M628" s="85"/>
      <c r="N628" s="85"/>
      <c r="O628" s="29"/>
      <c r="P628" s="307"/>
      <c r="Q628" s="29"/>
      <c r="R628" s="29"/>
      <c r="S628" s="15"/>
      <c r="T628" s="15"/>
      <c r="U628" s="243"/>
      <c r="V628" s="243"/>
      <c r="W628" s="243"/>
      <c r="X628" s="243"/>
      <c r="Y628" s="243"/>
      <c r="Z628" s="243"/>
    </row>
    <row r="629">
      <c r="A629" s="34"/>
      <c r="B629" s="15"/>
      <c r="C629" s="15"/>
      <c r="D629" s="15"/>
      <c r="E629" s="17"/>
      <c r="F629" s="15"/>
      <c r="G629" s="250"/>
      <c r="H629" s="243"/>
      <c r="I629" s="243"/>
      <c r="J629" s="243"/>
      <c r="K629" s="85"/>
      <c r="L629" s="85"/>
      <c r="M629" s="85"/>
      <c r="N629" s="85"/>
      <c r="O629" s="29"/>
      <c r="P629" s="307"/>
      <c r="Q629" s="29"/>
      <c r="R629" s="29"/>
      <c r="S629" s="15"/>
      <c r="T629" s="15"/>
      <c r="U629" s="243"/>
      <c r="V629" s="243"/>
      <c r="W629" s="243"/>
      <c r="X629" s="243"/>
      <c r="Y629" s="243"/>
      <c r="Z629" s="243"/>
    </row>
    <row r="630">
      <c r="A630" s="34"/>
      <c r="B630" s="15"/>
      <c r="C630" s="15"/>
      <c r="D630" s="15"/>
      <c r="E630" s="17"/>
      <c r="F630" s="15"/>
      <c r="G630" s="250"/>
      <c r="H630" s="243"/>
      <c r="I630" s="243"/>
      <c r="J630" s="243"/>
      <c r="K630" s="85"/>
      <c r="L630" s="85"/>
      <c r="M630" s="85"/>
      <c r="N630" s="85"/>
      <c r="O630" s="29"/>
      <c r="P630" s="307"/>
      <c r="Q630" s="29"/>
      <c r="R630" s="29"/>
      <c r="S630" s="15"/>
      <c r="T630" s="15"/>
      <c r="U630" s="243"/>
      <c r="V630" s="243"/>
      <c r="W630" s="243"/>
      <c r="X630" s="243"/>
      <c r="Y630" s="243"/>
      <c r="Z630" s="243"/>
    </row>
    <row r="631">
      <c r="A631" s="34"/>
      <c r="B631" s="15"/>
      <c r="C631" s="15"/>
      <c r="D631" s="15"/>
      <c r="E631" s="17"/>
      <c r="F631" s="15"/>
      <c r="G631" s="250"/>
      <c r="H631" s="243"/>
      <c r="I631" s="243"/>
      <c r="J631" s="243"/>
      <c r="K631" s="85"/>
      <c r="L631" s="85"/>
      <c r="M631" s="85"/>
      <c r="N631" s="85"/>
      <c r="O631" s="29"/>
      <c r="P631" s="307"/>
      <c r="Q631" s="29"/>
      <c r="R631" s="29"/>
      <c r="S631" s="15"/>
      <c r="T631" s="15"/>
      <c r="U631" s="243"/>
      <c r="V631" s="243"/>
      <c r="W631" s="243"/>
      <c r="X631" s="243"/>
      <c r="Y631" s="243"/>
      <c r="Z631" s="243"/>
    </row>
    <row r="632">
      <c r="A632" s="34"/>
      <c r="B632" s="15"/>
      <c r="C632" s="15"/>
      <c r="D632" s="15"/>
      <c r="E632" s="17"/>
      <c r="F632" s="15"/>
      <c r="G632" s="250"/>
      <c r="H632" s="243"/>
      <c r="I632" s="243"/>
      <c r="J632" s="243"/>
      <c r="K632" s="85"/>
      <c r="L632" s="85"/>
      <c r="M632" s="85"/>
      <c r="N632" s="85"/>
      <c r="O632" s="29"/>
      <c r="P632" s="307"/>
      <c r="Q632" s="29"/>
      <c r="R632" s="29"/>
      <c r="S632" s="15"/>
      <c r="T632" s="15"/>
      <c r="U632" s="243"/>
      <c r="V632" s="243"/>
      <c r="W632" s="243"/>
      <c r="X632" s="243"/>
      <c r="Y632" s="243"/>
      <c r="Z632" s="243"/>
    </row>
    <row r="633">
      <c r="A633" s="34"/>
      <c r="B633" s="15"/>
      <c r="C633" s="15"/>
      <c r="D633" s="15"/>
      <c r="E633" s="17"/>
      <c r="F633" s="15"/>
      <c r="G633" s="250"/>
      <c r="H633" s="243"/>
      <c r="I633" s="243"/>
      <c r="J633" s="243"/>
      <c r="K633" s="85"/>
      <c r="L633" s="85"/>
      <c r="M633" s="85"/>
      <c r="N633" s="85"/>
      <c r="O633" s="29"/>
      <c r="P633" s="307"/>
      <c r="Q633" s="29"/>
      <c r="R633" s="29"/>
      <c r="S633" s="15"/>
      <c r="T633" s="15"/>
      <c r="U633" s="243"/>
      <c r="V633" s="243"/>
      <c r="W633" s="243"/>
      <c r="X633" s="243"/>
      <c r="Y633" s="243"/>
      <c r="Z633" s="243"/>
    </row>
    <row r="634">
      <c r="A634" s="34"/>
      <c r="B634" s="15"/>
      <c r="C634" s="15"/>
      <c r="D634" s="15"/>
      <c r="E634" s="17"/>
      <c r="F634" s="15"/>
      <c r="G634" s="250"/>
      <c r="H634" s="243"/>
      <c r="I634" s="243"/>
      <c r="J634" s="243"/>
      <c r="K634" s="85"/>
      <c r="L634" s="85"/>
      <c r="M634" s="85"/>
      <c r="N634" s="85"/>
      <c r="O634" s="29"/>
      <c r="P634" s="307"/>
      <c r="Q634" s="29"/>
      <c r="R634" s="29"/>
      <c r="S634" s="15"/>
      <c r="T634" s="15"/>
      <c r="U634" s="243"/>
      <c r="V634" s="243"/>
      <c r="W634" s="243"/>
      <c r="X634" s="243"/>
      <c r="Y634" s="243"/>
      <c r="Z634" s="243"/>
    </row>
    <row r="635">
      <c r="A635" s="34"/>
      <c r="B635" s="15"/>
      <c r="C635" s="15"/>
      <c r="D635" s="15"/>
      <c r="E635" s="17"/>
      <c r="F635" s="15"/>
      <c r="G635" s="250"/>
      <c r="H635" s="243"/>
      <c r="I635" s="243"/>
      <c r="J635" s="243"/>
      <c r="K635" s="85"/>
      <c r="L635" s="85"/>
      <c r="M635" s="85"/>
      <c r="N635" s="85"/>
      <c r="O635" s="29"/>
      <c r="P635" s="307"/>
      <c r="Q635" s="29"/>
      <c r="R635" s="29"/>
      <c r="S635" s="15"/>
      <c r="T635" s="15"/>
      <c r="U635" s="243"/>
      <c r="V635" s="243"/>
      <c r="W635" s="243"/>
      <c r="X635" s="243"/>
      <c r="Y635" s="243"/>
      <c r="Z635" s="243"/>
    </row>
    <row r="636">
      <c r="A636" s="34"/>
      <c r="B636" s="15"/>
      <c r="C636" s="15"/>
      <c r="D636" s="15"/>
      <c r="E636" s="17"/>
      <c r="F636" s="15"/>
      <c r="G636" s="250"/>
      <c r="H636" s="243"/>
      <c r="I636" s="243"/>
      <c r="J636" s="243"/>
      <c r="K636" s="85"/>
      <c r="L636" s="85"/>
      <c r="M636" s="85"/>
      <c r="N636" s="85"/>
      <c r="O636" s="29"/>
      <c r="P636" s="307"/>
      <c r="Q636" s="29"/>
      <c r="R636" s="29"/>
      <c r="S636" s="15"/>
      <c r="T636" s="15"/>
      <c r="U636" s="243"/>
      <c r="V636" s="243"/>
      <c r="W636" s="243"/>
      <c r="X636" s="243"/>
      <c r="Y636" s="243"/>
      <c r="Z636" s="243"/>
    </row>
    <row r="637">
      <c r="A637" s="34"/>
      <c r="B637" s="15"/>
      <c r="C637" s="15"/>
      <c r="D637" s="15"/>
      <c r="E637" s="17"/>
      <c r="F637" s="15"/>
      <c r="G637" s="250"/>
      <c r="H637" s="243"/>
      <c r="I637" s="243"/>
      <c r="J637" s="243"/>
      <c r="K637" s="85"/>
      <c r="L637" s="85"/>
      <c r="M637" s="85"/>
      <c r="N637" s="85"/>
      <c r="O637" s="29"/>
      <c r="P637" s="307"/>
      <c r="Q637" s="29"/>
      <c r="R637" s="29"/>
      <c r="S637" s="15"/>
      <c r="T637" s="15"/>
      <c r="U637" s="243"/>
      <c r="V637" s="243"/>
      <c r="W637" s="243"/>
      <c r="X637" s="243"/>
      <c r="Y637" s="243"/>
      <c r="Z637" s="243"/>
    </row>
    <row r="638">
      <c r="A638" s="34"/>
      <c r="B638" s="15"/>
      <c r="C638" s="15"/>
      <c r="D638" s="15"/>
      <c r="E638" s="17"/>
      <c r="F638" s="15"/>
      <c r="G638" s="250"/>
      <c r="H638" s="243"/>
      <c r="I638" s="243"/>
      <c r="J638" s="243"/>
      <c r="K638" s="85"/>
      <c r="L638" s="85"/>
      <c r="M638" s="85"/>
      <c r="N638" s="85"/>
      <c r="O638" s="29"/>
      <c r="P638" s="307"/>
      <c r="Q638" s="29"/>
      <c r="R638" s="29"/>
      <c r="S638" s="15"/>
      <c r="T638" s="15"/>
      <c r="U638" s="243"/>
      <c r="V638" s="243"/>
      <c r="W638" s="243"/>
      <c r="X638" s="243"/>
      <c r="Y638" s="243"/>
      <c r="Z638" s="243"/>
    </row>
    <row r="639">
      <c r="A639" s="34"/>
      <c r="B639" s="15"/>
      <c r="C639" s="15"/>
      <c r="D639" s="15"/>
      <c r="E639" s="17"/>
      <c r="F639" s="15"/>
      <c r="G639" s="250"/>
      <c r="H639" s="243"/>
      <c r="I639" s="243"/>
      <c r="J639" s="243"/>
      <c r="K639" s="85"/>
      <c r="L639" s="85"/>
      <c r="M639" s="85"/>
      <c r="N639" s="85"/>
      <c r="O639" s="29"/>
      <c r="P639" s="307"/>
      <c r="Q639" s="29"/>
      <c r="R639" s="29"/>
      <c r="S639" s="15"/>
      <c r="T639" s="15"/>
      <c r="U639" s="243"/>
      <c r="V639" s="243"/>
      <c r="W639" s="243"/>
      <c r="X639" s="243"/>
      <c r="Y639" s="243"/>
      <c r="Z639" s="243"/>
    </row>
    <row r="640">
      <c r="A640" s="34"/>
      <c r="B640" s="15"/>
      <c r="C640" s="15"/>
      <c r="D640" s="15"/>
      <c r="E640" s="17"/>
      <c r="F640" s="15"/>
      <c r="G640" s="250"/>
      <c r="H640" s="243"/>
      <c r="I640" s="243"/>
      <c r="J640" s="243"/>
      <c r="K640" s="85"/>
      <c r="L640" s="85"/>
      <c r="M640" s="85"/>
      <c r="N640" s="85"/>
      <c r="O640" s="29"/>
      <c r="P640" s="307"/>
      <c r="Q640" s="29"/>
      <c r="R640" s="29"/>
      <c r="S640" s="15"/>
      <c r="T640" s="15"/>
      <c r="U640" s="243"/>
      <c r="V640" s="243"/>
      <c r="W640" s="243"/>
      <c r="X640" s="243"/>
      <c r="Y640" s="243"/>
      <c r="Z640" s="243"/>
    </row>
    <row r="641">
      <c r="A641" s="34"/>
      <c r="B641" s="15"/>
      <c r="C641" s="15"/>
      <c r="D641" s="15"/>
      <c r="E641" s="17"/>
      <c r="F641" s="15"/>
      <c r="G641" s="250"/>
      <c r="H641" s="243"/>
      <c r="I641" s="243"/>
      <c r="J641" s="243"/>
      <c r="K641" s="85"/>
      <c r="L641" s="85"/>
      <c r="M641" s="85"/>
      <c r="N641" s="85"/>
      <c r="O641" s="29"/>
      <c r="P641" s="307"/>
      <c r="Q641" s="29"/>
      <c r="R641" s="29"/>
      <c r="S641" s="15"/>
      <c r="T641" s="15"/>
      <c r="U641" s="243"/>
      <c r="V641" s="243"/>
      <c r="W641" s="243"/>
      <c r="X641" s="243"/>
      <c r="Y641" s="243"/>
      <c r="Z641" s="243"/>
    </row>
    <row r="642">
      <c r="A642" s="34"/>
      <c r="B642" s="15"/>
      <c r="C642" s="15"/>
      <c r="D642" s="15"/>
      <c r="E642" s="17"/>
      <c r="F642" s="15"/>
      <c r="G642" s="250"/>
      <c r="H642" s="243"/>
      <c r="I642" s="243"/>
      <c r="J642" s="243"/>
      <c r="K642" s="85"/>
      <c r="L642" s="85"/>
      <c r="M642" s="85"/>
      <c r="N642" s="85"/>
      <c r="O642" s="29"/>
      <c r="P642" s="307"/>
      <c r="Q642" s="29"/>
      <c r="R642" s="29"/>
      <c r="S642" s="15"/>
      <c r="T642" s="15"/>
      <c r="U642" s="243"/>
      <c r="V642" s="243"/>
      <c r="W642" s="243"/>
      <c r="X642" s="243"/>
      <c r="Y642" s="243"/>
      <c r="Z642" s="243"/>
    </row>
    <row r="643">
      <c r="A643" s="34"/>
      <c r="B643" s="15"/>
      <c r="C643" s="15"/>
      <c r="D643" s="15"/>
      <c r="E643" s="17"/>
      <c r="F643" s="15"/>
      <c r="G643" s="250"/>
      <c r="H643" s="243"/>
      <c r="I643" s="243"/>
      <c r="J643" s="243"/>
      <c r="K643" s="85"/>
      <c r="L643" s="85"/>
      <c r="M643" s="85"/>
      <c r="N643" s="85"/>
      <c r="O643" s="29"/>
      <c r="P643" s="307"/>
      <c r="Q643" s="29"/>
      <c r="R643" s="29"/>
      <c r="S643" s="15"/>
      <c r="T643" s="15"/>
      <c r="U643" s="243"/>
      <c r="V643" s="243"/>
      <c r="W643" s="243"/>
      <c r="X643" s="243"/>
      <c r="Y643" s="243"/>
      <c r="Z643" s="243"/>
    </row>
    <row r="644">
      <c r="A644" s="34"/>
      <c r="B644" s="15"/>
      <c r="C644" s="15"/>
      <c r="D644" s="15"/>
      <c r="E644" s="17"/>
      <c r="F644" s="15"/>
      <c r="G644" s="250"/>
      <c r="H644" s="243"/>
      <c r="I644" s="243"/>
      <c r="J644" s="243"/>
      <c r="K644" s="85"/>
      <c r="L644" s="85"/>
      <c r="M644" s="85"/>
      <c r="N644" s="85"/>
      <c r="O644" s="29"/>
      <c r="P644" s="307"/>
      <c r="Q644" s="29"/>
      <c r="R644" s="29"/>
      <c r="S644" s="15"/>
      <c r="T644" s="15"/>
      <c r="U644" s="243"/>
      <c r="V644" s="243"/>
      <c r="W644" s="243"/>
      <c r="X644" s="243"/>
      <c r="Y644" s="243"/>
      <c r="Z644" s="243"/>
    </row>
    <row r="645">
      <c r="A645" s="34"/>
      <c r="B645" s="15"/>
      <c r="C645" s="15"/>
      <c r="D645" s="15"/>
      <c r="E645" s="17"/>
      <c r="F645" s="15"/>
      <c r="G645" s="250"/>
      <c r="H645" s="243"/>
      <c r="I645" s="243"/>
      <c r="J645" s="243"/>
      <c r="K645" s="85"/>
      <c r="L645" s="85"/>
      <c r="M645" s="85"/>
      <c r="N645" s="85"/>
      <c r="O645" s="29"/>
      <c r="P645" s="307"/>
      <c r="Q645" s="29"/>
      <c r="R645" s="29"/>
      <c r="S645" s="15"/>
      <c r="T645" s="15"/>
      <c r="U645" s="243"/>
      <c r="V645" s="243"/>
      <c r="W645" s="243"/>
      <c r="X645" s="243"/>
      <c r="Y645" s="243"/>
      <c r="Z645" s="243"/>
    </row>
    <row r="646">
      <c r="A646" s="34"/>
      <c r="B646" s="15"/>
      <c r="C646" s="15"/>
      <c r="D646" s="15"/>
      <c r="E646" s="17"/>
      <c r="F646" s="15"/>
      <c r="G646" s="250"/>
      <c r="H646" s="243"/>
      <c r="I646" s="243"/>
      <c r="J646" s="243"/>
      <c r="K646" s="85"/>
      <c r="L646" s="85"/>
      <c r="M646" s="85"/>
      <c r="N646" s="85"/>
      <c r="O646" s="29"/>
      <c r="P646" s="307"/>
      <c r="Q646" s="29"/>
      <c r="R646" s="29"/>
      <c r="S646" s="15"/>
      <c r="T646" s="15"/>
      <c r="U646" s="243"/>
      <c r="V646" s="243"/>
      <c r="W646" s="243"/>
      <c r="X646" s="243"/>
      <c r="Y646" s="243"/>
      <c r="Z646" s="243"/>
    </row>
    <row r="647">
      <c r="A647" s="34"/>
      <c r="B647" s="15"/>
      <c r="C647" s="15"/>
      <c r="D647" s="15"/>
      <c r="E647" s="17"/>
      <c r="F647" s="15"/>
      <c r="G647" s="250"/>
      <c r="H647" s="243"/>
      <c r="I647" s="243"/>
      <c r="J647" s="243"/>
      <c r="K647" s="85"/>
      <c r="L647" s="85"/>
      <c r="M647" s="85"/>
      <c r="N647" s="85"/>
      <c r="O647" s="29"/>
      <c r="P647" s="307"/>
      <c r="Q647" s="29"/>
      <c r="R647" s="29"/>
      <c r="S647" s="15"/>
      <c r="T647" s="15"/>
      <c r="U647" s="243"/>
      <c r="V647" s="243"/>
      <c r="W647" s="243"/>
      <c r="X647" s="243"/>
      <c r="Y647" s="243"/>
      <c r="Z647" s="243"/>
    </row>
    <row r="648">
      <c r="A648" s="34"/>
      <c r="B648" s="15"/>
      <c r="C648" s="15"/>
      <c r="D648" s="15"/>
      <c r="E648" s="17"/>
      <c r="F648" s="15"/>
      <c r="G648" s="250"/>
      <c r="H648" s="243"/>
      <c r="I648" s="243"/>
      <c r="J648" s="243"/>
      <c r="K648" s="85"/>
      <c r="L648" s="85"/>
      <c r="M648" s="85"/>
      <c r="N648" s="85"/>
      <c r="O648" s="29"/>
      <c r="P648" s="307"/>
      <c r="Q648" s="29"/>
      <c r="R648" s="29"/>
      <c r="S648" s="15"/>
      <c r="T648" s="15"/>
      <c r="U648" s="243"/>
      <c r="V648" s="243"/>
      <c r="W648" s="243"/>
      <c r="X648" s="243"/>
      <c r="Y648" s="243"/>
      <c r="Z648" s="243"/>
    </row>
    <row r="649">
      <c r="A649" s="34"/>
      <c r="B649" s="15"/>
      <c r="C649" s="15"/>
      <c r="D649" s="15"/>
      <c r="E649" s="17"/>
      <c r="F649" s="15"/>
      <c r="G649" s="250"/>
      <c r="H649" s="243"/>
      <c r="I649" s="243"/>
      <c r="J649" s="243"/>
      <c r="K649" s="85"/>
      <c r="L649" s="85"/>
      <c r="M649" s="85"/>
      <c r="N649" s="85"/>
      <c r="O649" s="29"/>
      <c r="P649" s="307"/>
      <c r="Q649" s="29"/>
      <c r="R649" s="29"/>
      <c r="S649" s="15"/>
      <c r="T649" s="15"/>
      <c r="U649" s="243"/>
      <c r="V649" s="243"/>
      <c r="W649" s="243"/>
      <c r="X649" s="243"/>
      <c r="Y649" s="243"/>
      <c r="Z649" s="243"/>
    </row>
    <row r="650">
      <c r="A650" s="34"/>
      <c r="B650" s="15"/>
      <c r="C650" s="15"/>
      <c r="D650" s="15"/>
      <c r="E650" s="17"/>
      <c r="F650" s="15"/>
      <c r="G650" s="250"/>
      <c r="H650" s="243"/>
      <c r="I650" s="243"/>
      <c r="J650" s="243"/>
      <c r="K650" s="85"/>
      <c r="L650" s="85"/>
      <c r="M650" s="85"/>
      <c r="N650" s="85"/>
      <c r="O650" s="29"/>
      <c r="P650" s="307"/>
      <c r="Q650" s="29"/>
      <c r="R650" s="29"/>
      <c r="S650" s="15"/>
      <c r="T650" s="15"/>
      <c r="U650" s="243"/>
      <c r="V650" s="243"/>
      <c r="W650" s="243"/>
      <c r="X650" s="243"/>
      <c r="Y650" s="243"/>
      <c r="Z650" s="243"/>
    </row>
    <row r="651">
      <c r="A651" s="34"/>
      <c r="B651" s="15"/>
      <c r="C651" s="15"/>
      <c r="D651" s="15"/>
      <c r="E651" s="17"/>
      <c r="F651" s="15"/>
      <c r="G651" s="250"/>
      <c r="H651" s="243"/>
      <c r="I651" s="243"/>
      <c r="J651" s="243"/>
      <c r="K651" s="85"/>
      <c r="L651" s="85"/>
      <c r="M651" s="85"/>
      <c r="N651" s="85"/>
      <c r="O651" s="29"/>
      <c r="P651" s="307"/>
      <c r="Q651" s="29"/>
      <c r="R651" s="29"/>
      <c r="S651" s="15"/>
      <c r="T651" s="15"/>
      <c r="U651" s="243"/>
      <c r="V651" s="243"/>
      <c r="W651" s="243"/>
      <c r="X651" s="243"/>
      <c r="Y651" s="243"/>
      <c r="Z651" s="243"/>
    </row>
    <row r="652">
      <c r="A652" s="34"/>
      <c r="B652" s="15"/>
      <c r="C652" s="15"/>
      <c r="D652" s="15"/>
      <c r="E652" s="17"/>
      <c r="F652" s="15"/>
      <c r="G652" s="250"/>
      <c r="H652" s="243"/>
      <c r="I652" s="243"/>
      <c r="J652" s="243"/>
      <c r="K652" s="85"/>
      <c r="L652" s="85"/>
      <c r="M652" s="85"/>
      <c r="N652" s="85"/>
      <c r="O652" s="29"/>
      <c r="P652" s="307"/>
      <c r="Q652" s="29"/>
      <c r="R652" s="29"/>
      <c r="S652" s="15"/>
      <c r="T652" s="15"/>
      <c r="U652" s="243"/>
      <c r="V652" s="243"/>
      <c r="W652" s="243"/>
      <c r="X652" s="243"/>
      <c r="Y652" s="243"/>
      <c r="Z652" s="243"/>
    </row>
    <row r="653">
      <c r="A653" s="34"/>
      <c r="B653" s="15"/>
      <c r="C653" s="15"/>
      <c r="D653" s="15"/>
      <c r="E653" s="17"/>
      <c r="F653" s="15"/>
      <c r="G653" s="250"/>
      <c r="H653" s="243"/>
      <c r="I653" s="243"/>
      <c r="J653" s="243"/>
      <c r="K653" s="85"/>
      <c r="L653" s="85"/>
      <c r="M653" s="85"/>
      <c r="N653" s="85"/>
      <c r="O653" s="29"/>
      <c r="P653" s="307"/>
      <c r="Q653" s="29"/>
      <c r="R653" s="29"/>
      <c r="S653" s="15"/>
      <c r="T653" s="15"/>
      <c r="U653" s="243"/>
      <c r="V653" s="243"/>
      <c r="W653" s="243"/>
      <c r="X653" s="243"/>
      <c r="Y653" s="243"/>
      <c r="Z653" s="243"/>
    </row>
    <row r="654">
      <c r="A654" s="34"/>
      <c r="B654" s="15"/>
      <c r="C654" s="15"/>
      <c r="D654" s="15"/>
      <c r="E654" s="17"/>
      <c r="F654" s="15"/>
      <c r="G654" s="250"/>
      <c r="H654" s="243"/>
      <c r="I654" s="243"/>
      <c r="J654" s="243"/>
      <c r="K654" s="85"/>
      <c r="L654" s="85"/>
      <c r="M654" s="85"/>
      <c r="N654" s="85"/>
      <c r="O654" s="29"/>
      <c r="P654" s="307"/>
      <c r="Q654" s="29"/>
      <c r="R654" s="29"/>
      <c r="S654" s="15"/>
      <c r="T654" s="15"/>
      <c r="U654" s="243"/>
      <c r="V654" s="243"/>
      <c r="W654" s="243"/>
      <c r="X654" s="243"/>
      <c r="Y654" s="243"/>
      <c r="Z654" s="243"/>
    </row>
    <row r="655">
      <c r="A655" s="34"/>
      <c r="B655" s="15"/>
      <c r="C655" s="15"/>
      <c r="D655" s="15"/>
      <c r="E655" s="17"/>
      <c r="F655" s="15"/>
      <c r="G655" s="250"/>
      <c r="H655" s="243"/>
      <c r="I655" s="243"/>
      <c r="J655" s="243"/>
      <c r="K655" s="85"/>
      <c r="L655" s="85"/>
      <c r="M655" s="85"/>
      <c r="N655" s="85"/>
      <c r="O655" s="29"/>
      <c r="P655" s="307"/>
      <c r="Q655" s="29"/>
      <c r="R655" s="29"/>
      <c r="S655" s="15"/>
      <c r="T655" s="15"/>
      <c r="U655" s="243"/>
      <c r="V655" s="243"/>
      <c r="W655" s="243"/>
      <c r="X655" s="243"/>
      <c r="Y655" s="243"/>
      <c r="Z655" s="243"/>
    </row>
    <row r="656">
      <c r="A656" s="34"/>
      <c r="B656" s="15"/>
      <c r="C656" s="15"/>
      <c r="D656" s="15"/>
      <c r="E656" s="17"/>
      <c r="F656" s="15"/>
      <c r="G656" s="250"/>
      <c r="H656" s="243"/>
      <c r="I656" s="243"/>
      <c r="J656" s="243"/>
      <c r="K656" s="85"/>
      <c r="L656" s="85"/>
      <c r="M656" s="85"/>
      <c r="N656" s="85"/>
      <c r="O656" s="29"/>
      <c r="P656" s="307"/>
      <c r="Q656" s="29"/>
      <c r="R656" s="29"/>
      <c r="S656" s="15"/>
      <c r="T656" s="15"/>
      <c r="U656" s="243"/>
      <c r="V656" s="243"/>
      <c r="W656" s="243"/>
      <c r="X656" s="243"/>
      <c r="Y656" s="243"/>
      <c r="Z656" s="243"/>
    </row>
    <row r="657">
      <c r="A657" s="34"/>
      <c r="B657" s="15"/>
      <c r="C657" s="15"/>
      <c r="D657" s="15"/>
      <c r="E657" s="17"/>
      <c r="F657" s="15"/>
      <c r="G657" s="250"/>
      <c r="H657" s="243"/>
      <c r="I657" s="243"/>
      <c r="J657" s="243"/>
      <c r="K657" s="85"/>
      <c r="L657" s="85"/>
      <c r="M657" s="85"/>
      <c r="N657" s="85"/>
      <c r="O657" s="29"/>
      <c r="P657" s="307"/>
      <c r="Q657" s="29"/>
      <c r="R657" s="29"/>
      <c r="S657" s="15"/>
      <c r="T657" s="15"/>
      <c r="U657" s="243"/>
      <c r="V657" s="243"/>
      <c r="W657" s="243"/>
      <c r="X657" s="243"/>
      <c r="Y657" s="243"/>
      <c r="Z657" s="243"/>
    </row>
    <row r="658">
      <c r="A658" s="34"/>
      <c r="B658" s="15"/>
      <c r="C658" s="15"/>
      <c r="D658" s="15"/>
      <c r="E658" s="17"/>
      <c r="F658" s="15"/>
      <c r="G658" s="250"/>
      <c r="H658" s="243"/>
      <c r="I658" s="243"/>
      <c r="J658" s="243"/>
      <c r="K658" s="85"/>
      <c r="L658" s="85"/>
      <c r="M658" s="85"/>
      <c r="N658" s="85"/>
      <c r="O658" s="29"/>
      <c r="P658" s="307"/>
      <c r="Q658" s="29"/>
      <c r="R658" s="29"/>
      <c r="S658" s="15"/>
      <c r="T658" s="15"/>
      <c r="U658" s="243"/>
      <c r="V658" s="243"/>
      <c r="W658" s="243"/>
      <c r="X658" s="243"/>
      <c r="Y658" s="243"/>
      <c r="Z658" s="243"/>
    </row>
    <row r="659">
      <c r="A659" s="34"/>
      <c r="B659" s="15"/>
      <c r="C659" s="15"/>
      <c r="D659" s="15"/>
      <c r="E659" s="17"/>
      <c r="F659" s="15"/>
      <c r="G659" s="250"/>
      <c r="H659" s="243"/>
      <c r="I659" s="243"/>
      <c r="J659" s="243"/>
      <c r="K659" s="85"/>
      <c r="L659" s="85"/>
      <c r="M659" s="85"/>
      <c r="N659" s="85"/>
      <c r="O659" s="29"/>
      <c r="P659" s="307"/>
      <c r="Q659" s="29"/>
      <c r="R659" s="29"/>
      <c r="S659" s="15"/>
      <c r="T659" s="15"/>
      <c r="U659" s="243"/>
      <c r="V659" s="243"/>
      <c r="W659" s="243"/>
      <c r="X659" s="243"/>
      <c r="Y659" s="243"/>
      <c r="Z659" s="243"/>
    </row>
    <row r="660">
      <c r="A660" s="34"/>
      <c r="B660" s="15"/>
      <c r="C660" s="15"/>
      <c r="D660" s="15"/>
      <c r="E660" s="17"/>
      <c r="F660" s="15"/>
      <c r="G660" s="250"/>
      <c r="H660" s="243"/>
      <c r="I660" s="243"/>
      <c r="J660" s="243"/>
      <c r="K660" s="85"/>
      <c r="L660" s="85"/>
      <c r="M660" s="85"/>
      <c r="N660" s="85"/>
      <c r="O660" s="29"/>
      <c r="P660" s="307"/>
      <c r="Q660" s="29"/>
      <c r="R660" s="29"/>
      <c r="S660" s="15"/>
      <c r="T660" s="15"/>
      <c r="U660" s="243"/>
      <c r="V660" s="243"/>
      <c r="W660" s="243"/>
      <c r="X660" s="243"/>
      <c r="Y660" s="243"/>
      <c r="Z660" s="243"/>
    </row>
    <row r="661">
      <c r="A661" s="34"/>
      <c r="B661" s="15"/>
      <c r="C661" s="15"/>
      <c r="D661" s="15"/>
      <c r="E661" s="17"/>
      <c r="F661" s="15"/>
      <c r="G661" s="250"/>
      <c r="H661" s="243"/>
      <c r="I661" s="243"/>
      <c r="J661" s="243"/>
      <c r="K661" s="85"/>
      <c r="L661" s="85"/>
      <c r="M661" s="85"/>
      <c r="N661" s="85"/>
      <c r="O661" s="29"/>
      <c r="P661" s="307"/>
      <c r="Q661" s="29"/>
      <c r="R661" s="29"/>
      <c r="S661" s="15"/>
      <c r="T661" s="15"/>
      <c r="U661" s="243"/>
      <c r="V661" s="243"/>
      <c r="W661" s="243"/>
      <c r="X661" s="243"/>
      <c r="Y661" s="243"/>
      <c r="Z661" s="243"/>
    </row>
    <row r="662">
      <c r="A662" s="34"/>
      <c r="B662" s="15"/>
      <c r="C662" s="15"/>
      <c r="D662" s="15"/>
      <c r="E662" s="17"/>
      <c r="F662" s="15"/>
      <c r="G662" s="250"/>
      <c r="H662" s="243"/>
      <c r="I662" s="243"/>
      <c r="J662" s="243"/>
      <c r="K662" s="85"/>
      <c r="L662" s="85"/>
      <c r="M662" s="85"/>
      <c r="N662" s="85"/>
      <c r="O662" s="29"/>
      <c r="P662" s="307"/>
      <c r="Q662" s="29"/>
      <c r="R662" s="29"/>
      <c r="S662" s="15"/>
      <c r="T662" s="15"/>
      <c r="U662" s="243"/>
      <c r="V662" s="243"/>
      <c r="W662" s="243"/>
      <c r="X662" s="243"/>
      <c r="Y662" s="243"/>
      <c r="Z662" s="243"/>
    </row>
    <row r="663">
      <c r="A663" s="34"/>
      <c r="B663" s="15"/>
      <c r="C663" s="15"/>
      <c r="D663" s="15"/>
      <c r="E663" s="17"/>
      <c r="F663" s="15"/>
      <c r="G663" s="250"/>
      <c r="H663" s="243"/>
      <c r="I663" s="243"/>
      <c r="J663" s="243"/>
      <c r="K663" s="85"/>
      <c r="L663" s="85"/>
      <c r="M663" s="85"/>
      <c r="N663" s="85"/>
      <c r="O663" s="29"/>
      <c r="P663" s="307"/>
      <c r="Q663" s="29"/>
      <c r="R663" s="29"/>
      <c r="S663" s="15"/>
      <c r="T663" s="15"/>
      <c r="U663" s="243"/>
      <c r="V663" s="243"/>
      <c r="W663" s="243"/>
      <c r="X663" s="243"/>
      <c r="Y663" s="243"/>
      <c r="Z663" s="243"/>
    </row>
    <row r="664">
      <c r="A664" s="34"/>
      <c r="B664" s="15"/>
      <c r="C664" s="15"/>
      <c r="D664" s="15"/>
      <c r="E664" s="17"/>
      <c r="F664" s="15"/>
      <c r="G664" s="250"/>
      <c r="H664" s="243"/>
      <c r="I664" s="243"/>
      <c r="J664" s="243"/>
      <c r="K664" s="85"/>
      <c r="L664" s="85"/>
      <c r="M664" s="85"/>
      <c r="N664" s="85"/>
      <c r="O664" s="29"/>
      <c r="P664" s="307"/>
      <c r="Q664" s="29"/>
      <c r="R664" s="29"/>
      <c r="S664" s="15"/>
      <c r="T664" s="15"/>
      <c r="U664" s="243"/>
      <c r="V664" s="243"/>
      <c r="W664" s="243"/>
      <c r="X664" s="243"/>
      <c r="Y664" s="243"/>
      <c r="Z664" s="243"/>
    </row>
    <row r="665">
      <c r="A665" s="34"/>
      <c r="B665" s="15"/>
      <c r="C665" s="15"/>
      <c r="D665" s="15"/>
      <c r="E665" s="17"/>
      <c r="F665" s="15"/>
      <c r="G665" s="250"/>
      <c r="H665" s="243"/>
      <c r="I665" s="243"/>
      <c r="J665" s="243"/>
      <c r="K665" s="85"/>
      <c r="L665" s="85"/>
      <c r="M665" s="85"/>
      <c r="N665" s="85"/>
      <c r="O665" s="29"/>
      <c r="P665" s="307"/>
      <c r="Q665" s="29"/>
      <c r="R665" s="29"/>
      <c r="S665" s="15"/>
      <c r="T665" s="15"/>
      <c r="U665" s="243"/>
      <c r="V665" s="243"/>
      <c r="W665" s="243"/>
      <c r="X665" s="243"/>
      <c r="Y665" s="243"/>
      <c r="Z665" s="243"/>
    </row>
    <row r="666">
      <c r="A666" s="34"/>
      <c r="B666" s="15"/>
      <c r="C666" s="15"/>
      <c r="D666" s="15"/>
      <c r="E666" s="17"/>
      <c r="F666" s="15"/>
      <c r="G666" s="250"/>
      <c r="H666" s="243"/>
      <c r="I666" s="243"/>
      <c r="J666" s="243"/>
      <c r="K666" s="85"/>
      <c r="L666" s="85"/>
      <c r="M666" s="85"/>
      <c r="N666" s="85"/>
      <c r="O666" s="29"/>
      <c r="P666" s="307"/>
      <c r="Q666" s="29"/>
      <c r="R666" s="29"/>
      <c r="S666" s="15"/>
      <c r="T666" s="15"/>
      <c r="U666" s="243"/>
      <c r="V666" s="243"/>
      <c r="W666" s="243"/>
      <c r="X666" s="243"/>
      <c r="Y666" s="243"/>
      <c r="Z666" s="243"/>
    </row>
    <row r="667">
      <c r="A667" s="34"/>
      <c r="B667" s="15"/>
      <c r="C667" s="15"/>
      <c r="D667" s="15"/>
      <c r="E667" s="17"/>
      <c r="F667" s="15"/>
      <c r="G667" s="250"/>
      <c r="H667" s="243"/>
      <c r="I667" s="243"/>
      <c r="J667" s="243"/>
      <c r="K667" s="85"/>
      <c r="L667" s="85"/>
      <c r="M667" s="85"/>
      <c r="N667" s="85"/>
      <c r="O667" s="29"/>
      <c r="P667" s="307"/>
      <c r="Q667" s="29"/>
      <c r="R667" s="29"/>
      <c r="S667" s="15"/>
      <c r="T667" s="15"/>
      <c r="U667" s="243"/>
      <c r="V667" s="243"/>
      <c r="W667" s="243"/>
      <c r="X667" s="243"/>
      <c r="Y667" s="243"/>
      <c r="Z667" s="243"/>
    </row>
    <row r="668">
      <c r="A668" s="34"/>
      <c r="B668" s="15"/>
      <c r="C668" s="15"/>
      <c r="D668" s="15"/>
      <c r="E668" s="17"/>
      <c r="F668" s="15"/>
      <c r="G668" s="250"/>
      <c r="H668" s="243"/>
      <c r="I668" s="243"/>
      <c r="J668" s="243"/>
      <c r="K668" s="85"/>
      <c r="L668" s="85"/>
      <c r="M668" s="85"/>
      <c r="N668" s="85"/>
      <c r="O668" s="29"/>
      <c r="P668" s="307"/>
      <c r="Q668" s="29"/>
      <c r="R668" s="29"/>
      <c r="S668" s="15"/>
      <c r="T668" s="15"/>
      <c r="U668" s="243"/>
      <c r="V668" s="243"/>
      <c r="W668" s="243"/>
      <c r="X668" s="243"/>
      <c r="Y668" s="243"/>
      <c r="Z668" s="243"/>
    </row>
    <row r="669">
      <c r="A669" s="34"/>
      <c r="B669" s="15"/>
      <c r="C669" s="15"/>
      <c r="D669" s="15"/>
      <c r="E669" s="17"/>
      <c r="F669" s="15"/>
      <c r="G669" s="250"/>
      <c r="H669" s="243"/>
      <c r="I669" s="243"/>
      <c r="J669" s="243"/>
      <c r="K669" s="85"/>
      <c r="L669" s="85"/>
      <c r="M669" s="85"/>
      <c r="N669" s="85"/>
      <c r="O669" s="29"/>
      <c r="P669" s="307"/>
      <c r="Q669" s="29"/>
      <c r="R669" s="29"/>
      <c r="S669" s="15"/>
      <c r="T669" s="15"/>
      <c r="U669" s="243"/>
      <c r="V669" s="243"/>
      <c r="W669" s="243"/>
      <c r="X669" s="243"/>
      <c r="Y669" s="243"/>
      <c r="Z669" s="243"/>
    </row>
    <row r="670">
      <c r="A670" s="34"/>
      <c r="B670" s="15"/>
      <c r="C670" s="15"/>
      <c r="D670" s="15"/>
      <c r="E670" s="17"/>
      <c r="F670" s="15"/>
      <c r="G670" s="250"/>
      <c r="H670" s="243"/>
      <c r="I670" s="243"/>
      <c r="J670" s="243"/>
      <c r="K670" s="85"/>
      <c r="L670" s="85"/>
      <c r="M670" s="85"/>
      <c r="N670" s="85"/>
      <c r="O670" s="29"/>
      <c r="P670" s="307"/>
      <c r="Q670" s="29"/>
      <c r="R670" s="29"/>
      <c r="S670" s="15"/>
      <c r="T670" s="15"/>
      <c r="U670" s="243"/>
      <c r="V670" s="243"/>
      <c r="W670" s="243"/>
      <c r="X670" s="243"/>
      <c r="Y670" s="243"/>
      <c r="Z670" s="243"/>
    </row>
    <row r="671">
      <c r="A671" s="34"/>
      <c r="B671" s="15"/>
      <c r="C671" s="15"/>
      <c r="D671" s="15"/>
      <c r="E671" s="17"/>
      <c r="F671" s="15"/>
      <c r="G671" s="250"/>
      <c r="H671" s="243"/>
      <c r="I671" s="243"/>
      <c r="J671" s="243"/>
      <c r="K671" s="85"/>
      <c r="L671" s="85"/>
      <c r="M671" s="85"/>
      <c r="N671" s="85"/>
      <c r="O671" s="29"/>
      <c r="P671" s="307"/>
      <c r="Q671" s="29"/>
      <c r="R671" s="29"/>
      <c r="S671" s="15"/>
      <c r="T671" s="15"/>
      <c r="U671" s="243"/>
      <c r="V671" s="243"/>
      <c r="W671" s="243"/>
      <c r="X671" s="243"/>
      <c r="Y671" s="243"/>
      <c r="Z671" s="243"/>
    </row>
    <row r="672">
      <c r="A672" s="34"/>
      <c r="B672" s="15"/>
      <c r="C672" s="15"/>
      <c r="D672" s="15"/>
      <c r="E672" s="17"/>
      <c r="F672" s="15"/>
      <c r="G672" s="250"/>
      <c r="H672" s="243"/>
      <c r="I672" s="243"/>
      <c r="J672" s="243"/>
      <c r="K672" s="85"/>
      <c r="L672" s="85"/>
      <c r="M672" s="85"/>
      <c r="N672" s="85"/>
      <c r="O672" s="29"/>
      <c r="P672" s="307"/>
      <c r="Q672" s="29"/>
      <c r="R672" s="29"/>
      <c r="S672" s="15"/>
      <c r="T672" s="15"/>
      <c r="U672" s="243"/>
      <c r="V672" s="243"/>
      <c r="W672" s="243"/>
      <c r="X672" s="243"/>
      <c r="Y672" s="243"/>
      <c r="Z672" s="243"/>
    </row>
    <row r="673">
      <c r="A673" s="34"/>
      <c r="B673" s="15"/>
      <c r="C673" s="15"/>
      <c r="D673" s="15"/>
      <c r="E673" s="17"/>
      <c r="F673" s="15"/>
      <c r="G673" s="250"/>
      <c r="H673" s="243"/>
      <c r="I673" s="243"/>
      <c r="J673" s="243"/>
      <c r="K673" s="85"/>
      <c r="L673" s="85"/>
      <c r="M673" s="85"/>
      <c r="N673" s="85"/>
      <c r="O673" s="29"/>
      <c r="P673" s="307"/>
      <c r="Q673" s="29"/>
      <c r="R673" s="29"/>
      <c r="S673" s="15"/>
      <c r="T673" s="15"/>
      <c r="U673" s="243"/>
      <c r="V673" s="243"/>
      <c r="W673" s="243"/>
      <c r="X673" s="243"/>
      <c r="Y673" s="243"/>
      <c r="Z673" s="243"/>
    </row>
    <row r="674">
      <c r="A674" s="34"/>
      <c r="B674" s="15"/>
      <c r="C674" s="15"/>
      <c r="D674" s="15"/>
      <c r="E674" s="17"/>
      <c r="F674" s="15"/>
      <c r="G674" s="250"/>
      <c r="H674" s="243"/>
      <c r="I674" s="243"/>
      <c r="J674" s="243"/>
      <c r="K674" s="85"/>
      <c r="L674" s="85"/>
      <c r="M674" s="85"/>
      <c r="N674" s="85"/>
      <c r="O674" s="29"/>
      <c r="P674" s="307"/>
      <c r="Q674" s="29"/>
      <c r="R674" s="29"/>
      <c r="S674" s="15"/>
      <c r="T674" s="15"/>
      <c r="U674" s="243"/>
      <c r="V674" s="243"/>
      <c r="W674" s="243"/>
      <c r="X674" s="243"/>
      <c r="Y674" s="243"/>
      <c r="Z674" s="243"/>
    </row>
    <row r="675">
      <c r="A675" s="34"/>
      <c r="B675" s="15"/>
      <c r="C675" s="15"/>
      <c r="D675" s="15"/>
      <c r="E675" s="17"/>
      <c r="F675" s="15"/>
      <c r="G675" s="250"/>
      <c r="H675" s="243"/>
      <c r="I675" s="243"/>
      <c r="J675" s="243"/>
      <c r="K675" s="85"/>
      <c r="L675" s="85"/>
      <c r="M675" s="85"/>
      <c r="N675" s="85"/>
      <c r="O675" s="29"/>
      <c r="P675" s="307"/>
      <c r="Q675" s="29"/>
      <c r="R675" s="29"/>
      <c r="S675" s="15"/>
      <c r="T675" s="15"/>
      <c r="U675" s="243"/>
      <c r="V675" s="243"/>
      <c r="W675" s="243"/>
      <c r="X675" s="243"/>
      <c r="Y675" s="243"/>
      <c r="Z675" s="243"/>
    </row>
    <row r="676">
      <c r="A676" s="34"/>
      <c r="B676" s="15"/>
      <c r="C676" s="15"/>
      <c r="D676" s="15"/>
      <c r="E676" s="17"/>
      <c r="F676" s="15"/>
      <c r="G676" s="250"/>
      <c r="H676" s="243"/>
      <c r="I676" s="243"/>
      <c r="J676" s="243"/>
      <c r="K676" s="85"/>
      <c r="L676" s="85"/>
      <c r="M676" s="85"/>
      <c r="N676" s="85"/>
      <c r="O676" s="29"/>
      <c r="P676" s="307"/>
      <c r="Q676" s="29"/>
      <c r="R676" s="29"/>
      <c r="S676" s="15"/>
      <c r="T676" s="15"/>
      <c r="U676" s="243"/>
      <c r="V676" s="243"/>
      <c r="W676" s="243"/>
      <c r="X676" s="243"/>
      <c r="Y676" s="243"/>
      <c r="Z676" s="243"/>
    </row>
    <row r="677">
      <c r="A677" s="34"/>
      <c r="B677" s="15"/>
      <c r="C677" s="15"/>
      <c r="D677" s="15"/>
      <c r="E677" s="17"/>
      <c r="F677" s="15"/>
      <c r="G677" s="250"/>
      <c r="H677" s="243"/>
      <c r="I677" s="243"/>
      <c r="J677" s="243"/>
      <c r="K677" s="85"/>
      <c r="L677" s="85"/>
      <c r="M677" s="85"/>
      <c r="N677" s="85"/>
      <c r="O677" s="29"/>
      <c r="P677" s="307"/>
      <c r="Q677" s="29"/>
      <c r="R677" s="29"/>
      <c r="S677" s="15"/>
      <c r="T677" s="15"/>
      <c r="U677" s="243"/>
      <c r="V677" s="243"/>
      <c r="W677" s="243"/>
      <c r="X677" s="243"/>
      <c r="Y677" s="243"/>
      <c r="Z677" s="243"/>
    </row>
    <row r="678">
      <c r="A678" s="34"/>
      <c r="B678" s="15"/>
      <c r="C678" s="15"/>
      <c r="D678" s="15"/>
      <c r="E678" s="17"/>
      <c r="F678" s="15"/>
      <c r="G678" s="250"/>
      <c r="H678" s="243"/>
      <c r="I678" s="243"/>
      <c r="J678" s="243"/>
      <c r="K678" s="85"/>
      <c r="L678" s="85"/>
      <c r="M678" s="85"/>
      <c r="N678" s="85"/>
      <c r="O678" s="29"/>
      <c r="P678" s="307"/>
      <c r="Q678" s="29"/>
      <c r="R678" s="29"/>
      <c r="S678" s="15"/>
      <c r="T678" s="15"/>
      <c r="U678" s="243"/>
      <c r="V678" s="243"/>
      <c r="W678" s="243"/>
      <c r="X678" s="243"/>
      <c r="Y678" s="243"/>
      <c r="Z678" s="243"/>
    </row>
    <row r="679">
      <c r="A679" s="34"/>
      <c r="B679" s="15"/>
      <c r="C679" s="15"/>
      <c r="D679" s="15"/>
      <c r="E679" s="17"/>
      <c r="F679" s="15"/>
      <c r="G679" s="250"/>
      <c r="H679" s="243"/>
      <c r="I679" s="243"/>
      <c r="J679" s="243"/>
      <c r="K679" s="85"/>
      <c r="L679" s="85"/>
      <c r="M679" s="85"/>
      <c r="N679" s="85"/>
      <c r="O679" s="29"/>
      <c r="P679" s="307"/>
      <c r="Q679" s="29"/>
      <c r="R679" s="29"/>
      <c r="S679" s="15"/>
      <c r="T679" s="15"/>
      <c r="U679" s="243"/>
      <c r="V679" s="243"/>
      <c r="W679" s="243"/>
      <c r="X679" s="243"/>
      <c r="Y679" s="243"/>
      <c r="Z679" s="243"/>
    </row>
    <row r="680">
      <c r="A680" s="34"/>
      <c r="B680" s="15"/>
      <c r="C680" s="15"/>
      <c r="D680" s="15"/>
      <c r="E680" s="17"/>
      <c r="F680" s="15"/>
      <c r="G680" s="250"/>
      <c r="H680" s="243"/>
      <c r="I680" s="243"/>
      <c r="J680" s="243"/>
      <c r="K680" s="85"/>
      <c r="L680" s="85"/>
      <c r="M680" s="85"/>
      <c r="N680" s="85"/>
      <c r="O680" s="29"/>
      <c r="P680" s="307"/>
      <c r="Q680" s="29"/>
      <c r="R680" s="29"/>
      <c r="S680" s="15"/>
      <c r="T680" s="15"/>
      <c r="U680" s="243"/>
      <c r="V680" s="243"/>
      <c r="W680" s="243"/>
      <c r="X680" s="243"/>
      <c r="Y680" s="243"/>
      <c r="Z680" s="243"/>
    </row>
    <row r="681">
      <c r="A681" s="34"/>
      <c r="B681" s="15"/>
      <c r="C681" s="15"/>
      <c r="D681" s="15"/>
      <c r="E681" s="17"/>
      <c r="F681" s="15"/>
      <c r="G681" s="250"/>
      <c r="H681" s="243"/>
      <c r="I681" s="243"/>
      <c r="J681" s="243"/>
      <c r="K681" s="85"/>
      <c r="L681" s="85"/>
      <c r="M681" s="85"/>
      <c r="N681" s="85"/>
      <c r="O681" s="29"/>
      <c r="P681" s="307"/>
      <c r="Q681" s="29"/>
      <c r="R681" s="29"/>
      <c r="S681" s="15"/>
      <c r="T681" s="15"/>
      <c r="U681" s="243"/>
      <c r="V681" s="243"/>
      <c r="W681" s="243"/>
      <c r="X681" s="243"/>
      <c r="Y681" s="243"/>
      <c r="Z681" s="243"/>
    </row>
    <row r="682">
      <c r="A682" s="34"/>
      <c r="B682" s="15"/>
      <c r="C682" s="15"/>
      <c r="D682" s="15"/>
      <c r="E682" s="17"/>
      <c r="F682" s="15"/>
      <c r="G682" s="250"/>
      <c r="H682" s="243"/>
      <c r="I682" s="243"/>
      <c r="J682" s="243"/>
      <c r="K682" s="85"/>
      <c r="L682" s="85"/>
      <c r="M682" s="85"/>
      <c r="N682" s="85"/>
      <c r="O682" s="29"/>
      <c r="P682" s="307"/>
      <c r="Q682" s="29"/>
      <c r="R682" s="29"/>
      <c r="S682" s="15"/>
      <c r="T682" s="15"/>
      <c r="U682" s="243"/>
      <c r="V682" s="243"/>
      <c r="W682" s="243"/>
      <c r="X682" s="243"/>
      <c r="Y682" s="243"/>
      <c r="Z682" s="243"/>
    </row>
    <row r="683">
      <c r="A683" s="34"/>
      <c r="B683" s="15"/>
      <c r="C683" s="15"/>
      <c r="D683" s="15"/>
      <c r="E683" s="17"/>
      <c r="F683" s="15"/>
      <c r="G683" s="250"/>
      <c r="H683" s="243"/>
      <c r="I683" s="243"/>
      <c r="J683" s="243"/>
      <c r="K683" s="85"/>
      <c r="L683" s="85"/>
      <c r="M683" s="85"/>
      <c r="N683" s="85"/>
      <c r="O683" s="29"/>
      <c r="P683" s="307"/>
      <c r="Q683" s="29"/>
      <c r="R683" s="29"/>
      <c r="S683" s="15"/>
      <c r="T683" s="15"/>
      <c r="U683" s="243"/>
      <c r="V683" s="243"/>
      <c r="W683" s="243"/>
      <c r="X683" s="243"/>
      <c r="Y683" s="243"/>
      <c r="Z683" s="243"/>
    </row>
    <row r="684">
      <c r="A684" s="34"/>
      <c r="B684" s="15"/>
      <c r="C684" s="15"/>
      <c r="D684" s="15"/>
      <c r="E684" s="17"/>
      <c r="F684" s="15"/>
      <c r="G684" s="250"/>
      <c r="H684" s="243"/>
      <c r="I684" s="243"/>
      <c r="J684" s="243"/>
      <c r="K684" s="85"/>
      <c r="L684" s="85"/>
      <c r="M684" s="85"/>
      <c r="N684" s="85"/>
      <c r="O684" s="29"/>
      <c r="P684" s="307"/>
      <c r="Q684" s="29"/>
      <c r="R684" s="29"/>
      <c r="S684" s="15"/>
      <c r="T684" s="15"/>
      <c r="U684" s="243"/>
      <c r="V684" s="243"/>
      <c r="W684" s="243"/>
      <c r="X684" s="243"/>
      <c r="Y684" s="243"/>
      <c r="Z684" s="243"/>
    </row>
    <row r="685">
      <c r="A685" s="34"/>
      <c r="B685" s="15"/>
      <c r="C685" s="15"/>
      <c r="D685" s="15"/>
      <c r="E685" s="17"/>
      <c r="F685" s="15"/>
      <c r="G685" s="250"/>
      <c r="H685" s="243"/>
      <c r="I685" s="243"/>
      <c r="J685" s="243"/>
      <c r="K685" s="85"/>
      <c r="L685" s="85"/>
      <c r="M685" s="85"/>
      <c r="N685" s="85"/>
      <c r="O685" s="29"/>
      <c r="P685" s="307"/>
      <c r="Q685" s="29"/>
      <c r="R685" s="29"/>
      <c r="S685" s="15"/>
      <c r="T685" s="15"/>
      <c r="U685" s="243"/>
      <c r="V685" s="243"/>
      <c r="W685" s="243"/>
      <c r="X685" s="243"/>
      <c r="Y685" s="243"/>
      <c r="Z685" s="243"/>
    </row>
    <row r="686">
      <c r="A686" s="34"/>
      <c r="B686" s="15"/>
      <c r="C686" s="15"/>
      <c r="D686" s="15"/>
      <c r="E686" s="17"/>
      <c r="F686" s="15"/>
      <c r="G686" s="250"/>
      <c r="H686" s="243"/>
      <c r="I686" s="243"/>
      <c r="J686" s="243"/>
      <c r="K686" s="85"/>
      <c r="L686" s="85"/>
      <c r="M686" s="85"/>
      <c r="N686" s="85"/>
      <c r="O686" s="29"/>
      <c r="P686" s="307"/>
      <c r="Q686" s="29"/>
      <c r="R686" s="29"/>
      <c r="S686" s="15"/>
      <c r="T686" s="15"/>
      <c r="U686" s="243"/>
      <c r="V686" s="243"/>
      <c r="W686" s="243"/>
      <c r="X686" s="243"/>
      <c r="Y686" s="243"/>
      <c r="Z686" s="243"/>
    </row>
    <row r="687">
      <c r="A687" s="34"/>
      <c r="B687" s="15"/>
      <c r="C687" s="15"/>
      <c r="D687" s="15"/>
      <c r="E687" s="17"/>
      <c r="F687" s="15"/>
      <c r="G687" s="250"/>
      <c r="H687" s="243"/>
      <c r="I687" s="243"/>
      <c r="J687" s="243"/>
      <c r="K687" s="85"/>
      <c r="L687" s="85"/>
      <c r="M687" s="85"/>
      <c r="N687" s="85"/>
      <c r="O687" s="29"/>
      <c r="P687" s="307"/>
      <c r="Q687" s="29"/>
      <c r="R687" s="29"/>
      <c r="S687" s="15"/>
      <c r="T687" s="15"/>
      <c r="U687" s="243"/>
      <c r="V687" s="243"/>
      <c r="W687" s="243"/>
      <c r="X687" s="243"/>
      <c r="Y687" s="243"/>
      <c r="Z687" s="243"/>
    </row>
    <row r="688">
      <c r="A688" s="34"/>
      <c r="B688" s="15"/>
      <c r="C688" s="15"/>
      <c r="D688" s="15"/>
      <c r="E688" s="17"/>
      <c r="F688" s="15"/>
      <c r="G688" s="250"/>
      <c r="H688" s="243"/>
      <c r="I688" s="243"/>
      <c r="J688" s="243"/>
      <c r="K688" s="85"/>
      <c r="L688" s="85"/>
      <c r="M688" s="85"/>
      <c r="N688" s="85"/>
      <c r="O688" s="29"/>
      <c r="P688" s="307"/>
      <c r="Q688" s="29"/>
      <c r="R688" s="29"/>
      <c r="S688" s="15"/>
      <c r="T688" s="15"/>
      <c r="U688" s="243"/>
      <c r="V688" s="243"/>
      <c r="W688" s="243"/>
      <c r="X688" s="243"/>
      <c r="Y688" s="243"/>
      <c r="Z688" s="243"/>
    </row>
    <row r="689">
      <c r="A689" s="34"/>
      <c r="B689" s="15"/>
      <c r="C689" s="15"/>
      <c r="D689" s="15"/>
      <c r="E689" s="17"/>
      <c r="F689" s="15"/>
      <c r="G689" s="250"/>
      <c r="H689" s="243"/>
      <c r="I689" s="243"/>
      <c r="J689" s="243"/>
      <c r="K689" s="85"/>
      <c r="L689" s="85"/>
      <c r="M689" s="85"/>
      <c r="N689" s="85"/>
      <c r="O689" s="29"/>
      <c r="P689" s="307"/>
      <c r="Q689" s="29"/>
      <c r="R689" s="29"/>
      <c r="S689" s="15"/>
      <c r="T689" s="15"/>
      <c r="U689" s="243"/>
      <c r="V689" s="243"/>
      <c r="W689" s="243"/>
      <c r="X689" s="243"/>
      <c r="Y689" s="243"/>
      <c r="Z689" s="243"/>
    </row>
    <row r="690">
      <c r="A690" s="34"/>
      <c r="B690" s="15"/>
      <c r="C690" s="15"/>
      <c r="D690" s="15"/>
      <c r="E690" s="17"/>
      <c r="F690" s="15"/>
      <c r="G690" s="250"/>
      <c r="H690" s="243"/>
      <c r="I690" s="243"/>
      <c r="J690" s="243"/>
      <c r="K690" s="85"/>
      <c r="L690" s="85"/>
      <c r="M690" s="85"/>
      <c r="N690" s="85"/>
      <c r="O690" s="29"/>
      <c r="P690" s="307"/>
      <c r="Q690" s="29"/>
      <c r="R690" s="29"/>
      <c r="S690" s="15"/>
      <c r="T690" s="15"/>
      <c r="U690" s="243"/>
      <c r="V690" s="243"/>
      <c r="W690" s="243"/>
      <c r="X690" s="243"/>
      <c r="Y690" s="243"/>
      <c r="Z690" s="243"/>
    </row>
    <row r="691">
      <c r="A691" s="34"/>
      <c r="B691" s="15"/>
      <c r="C691" s="15"/>
      <c r="D691" s="15"/>
      <c r="E691" s="17"/>
      <c r="F691" s="15"/>
      <c r="G691" s="250"/>
      <c r="H691" s="243"/>
      <c r="I691" s="243"/>
      <c r="J691" s="243"/>
      <c r="K691" s="85"/>
      <c r="L691" s="85"/>
      <c r="M691" s="85"/>
      <c r="N691" s="85"/>
      <c r="O691" s="29"/>
      <c r="P691" s="307"/>
      <c r="Q691" s="29"/>
      <c r="R691" s="29"/>
      <c r="S691" s="15"/>
      <c r="T691" s="15"/>
      <c r="U691" s="243"/>
      <c r="V691" s="243"/>
      <c r="W691" s="243"/>
      <c r="X691" s="243"/>
      <c r="Y691" s="243"/>
      <c r="Z691" s="243"/>
    </row>
    <row r="692">
      <c r="A692" s="34"/>
      <c r="B692" s="15"/>
      <c r="C692" s="15"/>
      <c r="D692" s="15"/>
      <c r="E692" s="17"/>
      <c r="F692" s="15"/>
      <c r="G692" s="250"/>
      <c r="H692" s="243"/>
      <c r="I692" s="243"/>
      <c r="J692" s="243"/>
      <c r="K692" s="85"/>
      <c r="L692" s="85"/>
      <c r="M692" s="85"/>
      <c r="N692" s="85"/>
      <c r="O692" s="29"/>
      <c r="P692" s="307"/>
      <c r="Q692" s="29"/>
      <c r="R692" s="29"/>
      <c r="S692" s="15"/>
      <c r="T692" s="15"/>
      <c r="U692" s="243"/>
      <c r="V692" s="243"/>
      <c r="W692" s="243"/>
      <c r="X692" s="243"/>
      <c r="Y692" s="243"/>
      <c r="Z692" s="243"/>
    </row>
    <row r="693">
      <c r="A693" s="34"/>
      <c r="B693" s="15"/>
      <c r="C693" s="15"/>
      <c r="D693" s="15"/>
      <c r="E693" s="17"/>
      <c r="F693" s="15"/>
      <c r="G693" s="250"/>
      <c r="H693" s="243"/>
      <c r="I693" s="243"/>
      <c r="J693" s="243"/>
      <c r="K693" s="85"/>
      <c r="L693" s="85"/>
      <c r="M693" s="85"/>
      <c r="N693" s="85"/>
      <c r="O693" s="29"/>
      <c r="P693" s="307"/>
      <c r="Q693" s="29"/>
      <c r="R693" s="29"/>
      <c r="S693" s="15"/>
      <c r="T693" s="15"/>
      <c r="U693" s="243"/>
      <c r="V693" s="243"/>
      <c r="W693" s="243"/>
      <c r="X693" s="243"/>
      <c r="Y693" s="243"/>
      <c r="Z693" s="243"/>
    </row>
    <row r="694">
      <c r="A694" s="34"/>
      <c r="B694" s="15"/>
      <c r="C694" s="15"/>
      <c r="D694" s="15"/>
      <c r="E694" s="17"/>
      <c r="F694" s="15"/>
      <c r="G694" s="250"/>
      <c r="H694" s="243"/>
      <c r="I694" s="243"/>
      <c r="J694" s="243"/>
      <c r="K694" s="85"/>
      <c r="L694" s="85"/>
      <c r="M694" s="85"/>
      <c r="N694" s="85"/>
      <c r="O694" s="29"/>
      <c r="P694" s="307"/>
      <c r="Q694" s="29"/>
      <c r="R694" s="29"/>
      <c r="S694" s="15"/>
      <c r="T694" s="15"/>
      <c r="U694" s="243"/>
      <c r="V694" s="243"/>
      <c r="W694" s="243"/>
      <c r="X694" s="243"/>
      <c r="Y694" s="243"/>
      <c r="Z694" s="243"/>
    </row>
    <row r="695">
      <c r="A695" s="34"/>
      <c r="B695" s="15"/>
      <c r="C695" s="15"/>
      <c r="D695" s="15"/>
      <c r="E695" s="17"/>
      <c r="F695" s="15"/>
      <c r="G695" s="250"/>
      <c r="H695" s="243"/>
      <c r="I695" s="243"/>
      <c r="J695" s="243"/>
      <c r="K695" s="85"/>
      <c r="L695" s="85"/>
      <c r="M695" s="85"/>
      <c r="N695" s="85"/>
      <c r="O695" s="29"/>
      <c r="P695" s="307"/>
      <c r="Q695" s="29"/>
      <c r="R695" s="29"/>
      <c r="S695" s="15"/>
      <c r="T695" s="15"/>
      <c r="U695" s="243"/>
      <c r="V695" s="243"/>
      <c r="W695" s="243"/>
      <c r="X695" s="243"/>
      <c r="Y695" s="243"/>
      <c r="Z695" s="243"/>
    </row>
    <row r="696">
      <c r="A696" s="34"/>
      <c r="B696" s="15"/>
      <c r="C696" s="15"/>
      <c r="D696" s="15"/>
      <c r="E696" s="17"/>
      <c r="F696" s="15"/>
      <c r="G696" s="250"/>
      <c r="H696" s="243"/>
      <c r="I696" s="243"/>
      <c r="J696" s="243"/>
      <c r="K696" s="85"/>
      <c r="L696" s="85"/>
      <c r="M696" s="85"/>
      <c r="N696" s="85"/>
      <c r="O696" s="29"/>
      <c r="P696" s="307"/>
      <c r="Q696" s="29"/>
      <c r="R696" s="29"/>
      <c r="S696" s="15"/>
      <c r="T696" s="15"/>
      <c r="U696" s="243"/>
      <c r="V696" s="243"/>
      <c r="W696" s="243"/>
      <c r="X696" s="243"/>
      <c r="Y696" s="243"/>
      <c r="Z696" s="243"/>
    </row>
    <row r="697">
      <c r="A697" s="34"/>
      <c r="B697" s="15"/>
      <c r="C697" s="15"/>
      <c r="D697" s="15"/>
      <c r="E697" s="17"/>
      <c r="F697" s="15"/>
      <c r="G697" s="250"/>
      <c r="H697" s="243"/>
      <c r="I697" s="243"/>
      <c r="J697" s="243"/>
      <c r="K697" s="85"/>
      <c r="L697" s="85"/>
      <c r="M697" s="85"/>
      <c r="N697" s="85"/>
      <c r="O697" s="29"/>
      <c r="P697" s="307"/>
      <c r="Q697" s="29"/>
      <c r="R697" s="29"/>
      <c r="S697" s="15"/>
      <c r="T697" s="15"/>
      <c r="U697" s="243"/>
      <c r="V697" s="243"/>
      <c r="W697" s="243"/>
      <c r="X697" s="243"/>
      <c r="Y697" s="243"/>
      <c r="Z697" s="243"/>
    </row>
    <row r="698">
      <c r="A698" s="34"/>
      <c r="B698" s="15"/>
      <c r="C698" s="15"/>
      <c r="D698" s="15"/>
      <c r="E698" s="17"/>
      <c r="F698" s="15"/>
      <c r="G698" s="250"/>
      <c r="H698" s="243"/>
      <c r="I698" s="243"/>
      <c r="J698" s="243"/>
      <c r="K698" s="85"/>
      <c r="L698" s="85"/>
      <c r="M698" s="85"/>
      <c r="N698" s="85"/>
      <c r="O698" s="29"/>
      <c r="P698" s="307"/>
      <c r="Q698" s="29"/>
      <c r="R698" s="29"/>
      <c r="S698" s="15"/>
      <c r="T698" s="15"/>
      <c r="U698" s="243"/>
      <c r="V698" s="243"/>
      <c r="W698" s="243"/>
      <c r="X698" s="243"/>
      <c r="Y698" s="243"/>
      <c r="Z698" s="243"/>
    </row>
    <row r="699">
      <c r="A699" s="34"/>
      <c r="B699" s="15"/>
      <c r="C699" s="15"/>
      <c r="D699" s="15"/>
      <c r="E699" s="17"/>
      <c r="F699" s="15"/>
      <c r="G699" s="250"/>
      <c r="H699" s="243"/>
      <c r="I699" s="243"/>
      <c r="J699" s="243"/>
      <c r="K699" s="85"/>
      <c r="L699" s="85"/>
      <c r="M699" s="85"/>
      <c r="N699" s="85"/>
      <c r="O699" s="29"/>
      <c r="P699" s="307"/>
      <c r="Q699" s="29"/>
      <c r="R699" s="29"/>
      <c r="S699" s="15"/>
      <c r="T699" s="15"/>
      <c r="U699" s="243"/>
      <c r="V699" s="243"/>
      <c r="W699" s="243"/>
      <c r="X699" s="243"/>
      <c r="Y699" s="243"/>
      <c r="Z699" s="243"/>
    </row>
    <row r="700">
      <c r="A700" s="34"/>
      <c r="B700" s="15"/>
      <c r="C700" s="15"/>
      <c r="D700" s="15"/>
      <c r="E700" s="17"/>
      <c r="F700" s="15"/>
      <c r="G700" s="250"/>
      <c r="H700" s="243"/>
      <c r="I700" s="243"/>
      <c r="J700" s="243"/>
      <c r="K700" s="85"/>
      <c r="L700" s="85"/>
      <c r="M700" s="85"/>
      <c r="N700" s="85"/>
      <c r="O700" s="29"/>
      <c r="P700" s="307"/>
      <c r="Q700" s="29"/>
      <c r="R700" s="29"/>
      <c r="S700" s="15"/>
      <c r="T700" s="15"/>
      <c r="U700" s="243"/>
      <c r="V700" s="243"/>
      <c r="W700" s="243"/>
      <c r="X700" s="243"/>
      <c r="Y700" s="243"/>
      <c r="Z700" s="243"/>
    </row>
    <row r="701">
      <c r="A701" s="34"/>
      <c r="B701" s="15"/>
      <c r="C701" s="15"/>
      <c r="D701" s="15"/>
      <c r="E701" s="17"/>
      <c r="F701" s="15"/>
      <c r="G701" s="250"/>
      <c r="H701" s="243"/>
      <c r="I701" s="243"/>
      <c r="J701" s="243"/>
      <c r="K701" s="85"/>
      <c r="L701" s="85"/>
      <c r="M701" s="85"/>
      <c r="N701" s="85"/>
      <c r="O701" s="29"/>
      <c r="P701" s="307"/>
      <c r="Q701" s="29"/>
      <c r="R701" s="29"/>
      <c r="S701" s="15"/>
      <c r="T701" s="15"/>
      <c r="U701" s="243"/>
      <c r="V701" s="243"/>
      <c r="W701" s="243"/>
      <c r="X701" s="243"/>
      <c r="Y701" s="243"/>
      <c r="Z701" s="243"/>
    </row>
    <row r="702">
      <c r="A702" s="34"/>
      <c r="B702" s="15"/>
      <c r="C702" s="15"/>
      <c r="D702" s="15"/>
      <c r="E702" s="17"/>
      <c r="F702" s="15"/>
      <c r="G702" s="250"/>
      <c r="H702" s="243"/>
      <c r="I702" s="243"/>
      <c r="J702" s="243"/>
      <c r="K702" s="85"/>
      <c r="L702" s="85"/>
      <c r="M702" s="85"/>
      <c r="N702" s="85"/>
      <c r="O702" s="29"/>
      <c r="P702" s="307"/>
      <c r="Q702" s="29"/>
      <c r="R702" s="29"/>
      <c r="S702" s="15"/>
      <c r="T702" s="15"/>
      <c r="U702" s="243"/>
      <c r="V702" s="243"/>
      <c r="W702" s="243"/>
      <c r="X702" s="243"/>
      <c r="Y702" s="243"/>
      <c r="Z702" s="243"/>
    </row>
    <row r="703">
      <c r="A703" s="34"/>
      <c r="B703" s="15"/>
      <c r="C703" s="15"/>
      <c r="D703" s="15"/>
      <c r="E703" s="17"/>
      <c r="F703" s="15"/>
      <c r="G703" s="250"/>
      <c r="H703" s="243"/>
      <c r="I703" s="243"/>
      <c r="J703" s="243"/>
      <c r="K703" s="85"/>
      <c r="L703" s="85"/>
      <c r="M703" s="85"/>
      <c r="N703" s="85"/>
      <c r="O703" s="29"/>
      <c r="P703" s="307"/>
      <c r="Q703" s="29"/>
      <c r="R703" s="29"/>
      <c r="S703" s="15"/>
      <c r="T703" s="15"/>
      <c r="U703" s="243"/>
      <c r="V703" s="243"/>
      <c r="W703" s="243"/>
      <c r="X703" s="243"/>
      <c r="Y703" s="243"/>
      <c r="Z703" s="243"/>
    </row>
    <row r="704">
      <c r="A704" s="34"/>
      <c r="B704" s="15"/>
      <c r="C704" s="15"/>
      <c r="D704" s="15"/>
      <c r="E704" s="17"/>
      <c r="F704" s="15"/>
      <c r="G704" s="250"/>
      <c r="H704" s="243"/>
      <c r="I704" s="243"/>
      <c r="J704" s="243"/>
      <c r="K704" s="85"/>
      <c r="L704" s="85"/>
      <c r="M704" s="85"/>
      <c r="N704" s="85"/>
      <c r="O704" s="29"/>
      <c r="P704" s="307"/>
      <c r="Q704" s="29"/>
      <c r="R704" s="29"/>
      <c r="S704" s="15"/>
      <c r="T704" s="15"/>
      <c r="U704" s="243"/>
      <c r="V704" s="243"/>
      <c r="W704" s="243"/>
      <c r="X704" s="243"/>
      <c r="Y704" s="243"/>
      <c r="Z704" s="243"/>
    </row>
    <row r="705">
      <c r="A705" s="34"/>
      <c r="B705" s="15"/>
      <c r="C705" s="15"/>
      <c r="D705" s="15"/>
      <c r="E705" s="17"/>
      <c r="F705" s="15"/>
      <c r="G705" s="250"/>
      <c r="H705" s="243"/>
      <c r="I705" s="243"/>
      <c r="J705" s="243"/>
      <c r="K705" s="85"/>
      <c r="L705" s="85"/>
      <c r="M705" s="85"/>
      <c r="N705" s="85"/>
      <c r="O705" s="29"/>
      <c r="P705" s="307"/>
      <c r="Q705" s="29"/>
      <c r="R705" s="29"/>
      <c r="S705" s="15"/>
      <c r="T705" s="15"/>
      <c r="U705" s="243"/>
      <c r="V705" s="243"/>
      <c r="W705" s="243"/>
      <c r="X705" s="243"/>
      <c r="Y705" s="243"/>
      <c r="Z705" s="243"/>
    </row>
    <row r="706">
      <c r="A706" s="34"/>
      <c r="B706" s="15"/>
      <c r="C706" s="15"/>
      <c r="D706" s="15"/>
      <c r="E706" s="17"/>
      <c r="F706" s="15"/>
      <c r="G706" s="250"/>
      <c r="H706" s="243"/>
      <c r="I706" s="243"/>
      <c r="J706" s="243"/>
      <c r="K706" s="85"/>
      <c r="L706" s="85"/>
      <c r="M706" s="85"/>
      <c r="N706" s="85"/>
      <c r="O706" s="29"/>
      <c r="P706" s="307"/>
      <c r="Q706" s="29"/>
      <c r="R706" s="29"/>
      <c r="S706" s="15"/>
      <c r="T706" s="15"/>
      <c r="U706" s="243"/>
      <c r="V706" s="243"/>
      <c r="W706" s="243"/>
      <c r="X706" s="243"/>
      <c r="Y706" s="243"/>
      <c r="Z706" s="243"/>
    </row>
    <row r="707">
      <c r="A707" s="34"/>
      <c r="B707" s="15"/>
      <c r="C707" s="15"/>
      <c r="D707" s="15"/>
      <c r="E707" s="17"/>
      <c r="F707" s="15"/>
      <c r="G707" s="250"/>
      <c r="H707" s="243"/>
      <c r="I707" s="243"/>
      <c r="J707" s="243"/>
      <c r="K707" s="85"/>
      <c r="L707" s="85"/>
      <c r="M707" s="85"/>
      <c r="N707" s="85"/>
      <c r="O707" s="29"/>
      <c r="P707" s="307"/>
      <c r="Q707" s="29"/>
      <c r="R707" s="29"/>
      <c r="S707" s="15"/>
      <c r="T707" s="15"/>
      <c r="U707" s="243"/>
      <c r="V707" s="243"/>
      <c r="W707" s="243"/>
      <c r="X707" s="243"/>
      <c r="Y707" s="243"/>
      <c r="Z707" s="243"/>
    </row>
    <row r="708">
      <c r="A708" s="34"/>
      <c r="B708" s="15"/>
      <c r="C708" s="15"/>
      <c r="D708" s="15"/>
      <c r="E708" s="17"/>
      <c r="F708" s="15"/>
      <c r="G708" s="250"/>
      <c r="H708" s="243"/>
      <c r="I708" s="243"/>
      <c r="J708" s="243"/>
      <c r="K708" s="85"/>
      <c r="L708" s="85"/>
      <c r="M708" s="85"/>
      <c r="N708" s="85"/>
      <c r="O708" s="29"/>
      <c r="P708" s="307"/>
      <c r="Q708" s="29"/>
      <c r="R708" s="29"/>
      <c r="S708" s="15"/>
      <c r="T708" s="15"/>
      <c r="U708" s="243"/>
      <c r="V708" s="243"/>
      <c r="W708" s="243"/>
      <c r="X708" s="243"/>
      <c r="Y708" s="243"/>
      <c r="Z708" s="243"/>
    </row>
    <row r="709">
      <c r="A709" s="34"/>
      <c r="B709" s="15"/>
      <c r="C709" s="15"/>
      <c r="D709" s="15"/>
      <c r="E709" s="17"/>
      <c r="F709" s="15"/>
      <c r="G709" s="250"/>
      <c r="H709" s="243"/>
      <c r="I709" s="243"/>
      <c r="J709" s="243"/>
      <c r="K709" s="85"/>
      <c r="L709" s="85"/>
      <c r="M709" s="85"/>
      <c r="N709" s="85"/>
      <c r="O709" s="29"/>
      <c r="P709" s="307"/>
      <c r="Q709" s="29"/>
      <c r="R709" s="29"/>
      <c r="S709" s="15"/>
      <c r="T709" s="15"/>
      <c r="U709" s="243"/>
      <c r="V709" s="243"/>
      <c r="W709" s="243"/>
      <c r="X709" s="243"/>
      <c r="Y709" s="243"/>
      <c r="Z709" s="243"/>
    </row>
    <row r="710">
      <c r="A710" s="34"/>
      <c r="B710" s="15"/>
      <c r="C710" s="15"/>
      <c r="D710" s="15"/>
      <c r="E710" s="17"/>
      <c r="F710" s="15"/>
      <c r="G710" s="250"/>
      <c r="H710" s="243"/>
      <c r="I710" s="243"/>
      <c r="J710" s="243"/>
      <c r="K710" s="85"/>
      <c r="L710" s="85"/>
      <c r="M710" s="85"/>
      <c r="N710" s="85"/>
      <c r="O710" s="29"/>
      <c r="P710" s="307"/>
      <c r="Q710" s="29"/>
      <c r="R710" s="29"/>
      <c r="S710" s="15"/>
      <c r="T710" s="15"/>
      <c r="U710" s="243"/>
      <c r="V710" s="243"/>
      <c r="W710" s="243"/>
      <c r="X710" s="243"/>
      <c r="Y710" s="243"/>
      <c r="Z710" s="243"/>
    </row>
    <row r="711">
      <c r="A711" s="34"/>
      <c r="B711" s="15"/>
      <c r="C711" s="15"/>
      <c r="D711" s="15"/>
      <c r="E711" s="17"/>
      <c r="F711" s="15"/>
      <c r="G711" s="250"/>
      <c r="H711" s="243"/>
      <c r="I711" s="243"/>
      <c r="J711" s="243"/>
      <c r="K711" s="85"/>
      <c r="L711" s="85"/>
      <c r="M711" s="85"/>
      <c r="N711" s="85"/>
      <c r="O711" s="29"/>
      <c r="P711" s="307"/>
      <c r="Q711" s="29"/>
      <c r="R711" s="29"/>
      <c r="S711" s="15"/>
      <c r="T711" s="15"/>
      <c r="U711" s="243"/>
      <c r="V711" s="243"/>
      <c r="W711" s="243"/>
      <c r="X711" s="243"/>
      <c r="Y711" s="243"/>
      <c r="Z711" s="243"/>
    </row>
    <row r="712">
      <c r="A712" s="34"/>
      <c r="B712" s="15"/>
      <c r="C712" s="15"/>
      <c r="D712" s="15"/>
      <c r="E712" s="17"/>
      <c r="F712" s="15"/>
      <c r="G712" s="250"/>
      <c r="H712" s="243"/>
      <c r="I712" s="243"/>
      <c r="J712" s="243"/>
      <c r="K712" s="85"/>
      <c r="L712" s="85"/>
      <c r="M712" s="85"/>
      <c r="N712" s="85"/>
      <c r="O712" s="29"/>
      <c r="P712" s="307"/>
      <c r="Q712" s="29"/>
      <c r="R712" s="29"/>
      <c r="S712" s="15"/>
      <c r="T712" s="15"/>
      <c r="U712" s="243"/>
      <c r="V712" s="243"/>
      <c r="W712" s="243"/>
      <c r="X712" s="243"/>
      <c r="Y712" s="243"/>
      <c r="Z712" s="243"/>
    </row>
    <row r="713">
      <c r="A713" s="34"/>
      <c r="B713" s="15"/>
      <c r="C713" s="15"/>
      <c r="D713" s="15"/>
      <c r="E713" s="17"/>
      <c r="F713" s="15"/>
      <c r="G713" s="250"/>
      <c r="H713" s="243"/>
      <c r="I713" s="243"/>
      <c r="J713" s="243"/>
      <c r="K713" s="85"/>
      <c r="L713" s="85"/>
      <c r="M713" s="85"/>
      <c r="N713" s="85"/>
      <c r="O713" s="29"/>
      <c r="P713" s="307"/>
      <c r="Q713" s="29"/>
      <c r="R713" s="29"/>
      <c r="S713" s="15"/>
      <c r="T713" s="15"/>
      <c r="U713" s="243"/>
      <c r="V713" s="243"/>
      <c r="W713" s="243"/>
      <c r="X713" s="243"/>
      <c r="Y713" s="243"/>
      <c r="Z713" s="243"/>
    </row>
    <row r="714">
      <c r="A714" s="34"/>
      <c r="B714" s="15"/>
      <c r="C714" s="15"/>
      <c r="D714" s="15"/>
      <c r="E714" s="17"/>
      <c r="F714" s="15"/>
      <c r="G714" s="250"/>
      <c r="H714" s="243"/>
      <c r="I714" s="243"/>
      <c r="J714" s="243"/>
      <c r="K714" s="85"/>
      <c r="L714" s="85"/>
      <c r="M714" s="85"/>
      <c r="N714" s="85"/>
      <c r="O714" s="29"/>
      <c r="P714" s="307"/>
      <c r="Q714" s="29"/>
      <c r="R714" s="29"/>
      <c r="S714" s="15"/>
      <c r="T714" s="15"/>
      <c r="U714" s="243"/>
      <c r="V714" s="243"/>
      <c r="W714" s="243"/>
      <c r="X714" s="243"/>
      <c r="Y714" s="243"/>
      <c r="Z714" s="243"/>
    </row>
    <row r="715">
      <c r="A715" s="34"/>
      <c r="B715" s="15"/>
      <c r="C715" s="15"/>
      <c r="D715" s="15"/>
      <c r="E715" s="17"/>
      <c r="F715" s="15"/>
      <c r="G715" s="250"/>
      <c r="H715" s="243"/>
      <c r="I715" s="243"/>
      <c r="J715" s="243"/>
      <c r="K715" s="85"/>
      <c r="L715" s="85"/>
      <c r="M715" s="85"/>
      <c r="N715" s="85"/>
      <c r="O715" s="29"/>
      <c r="P715" s="307"/>
      <c r="Q715" s="29"/>
      <c r="R715" s="29"/>
      <c r="S715" s="15"/>
      <c r="T715" s="15"/>
      <c r="U715" s="243"/>
      <c r="V715" s="243"/>
      <c r="W715" s="243"/>
      <c r="X715" s="243"/>
      <c r="Y715" s="243"/>
      <c r="Z715" s="243"/>
    </row>
    <row r="716">
      <c r="A716" s="34"/>
      <c r="B716" s="15"/>
      <c r="C716" s="15"/>
      <c r="D716" s="15"/>
      <c r="E716" s="17"/>
      <c r="F716" s="15"/>
      <c r="G716" s="250"/>
      <c r="H716" s="243"/>
      <c r="I716" s="243"/>
      <c r="J716" s="243"/>
      <c r="K716" s="85"/>
      <c r="L716" s="85"/>
      <c r="M716" s="85"/>
      <c r="N716" s="85"/>
      <c r="O716" s="29"/>
      <c r="P716" s="307"/>
      <c r="Q716" s="29"/>
      <c r="R716" s="29"/>
      <c r="S716" s="15"/>
      <c r="T716" s="15"/>
      <c r="U716" s="243"/>
      <c r="V716" s="243"/>
      <c r="W716" s="243"/>
      <c r="X716" s="243"/>
      <c r="Y716" s="243"/>
      <c r="Z716" s="243"/>
    </row>
    <row r="717">
      <c r="A717" s="34"/>
      <c r="B717" s="15"/>
      <c r="C717" s="15"/>
      <c r="D717" s="15"/>
      <c r="E717" s="17"/>
      <c r="F717" s="15"/>
      <c r="G717" s="250"/>
      <c r="H717" s="243"/>
      <c r="I717" s="243"/>
      <c r="J717" s="243"/>
      <c r="K717" s="85"/>
      <c r="L717" s="85"/>
      <c r="M717" s="85"/>
      <c r="N717" s="85"/>
      <c r="O717" s="29"/>
      <c r="P717" s="307"/>
      <c r="Q717" s="29"/>
      <c r="R717" s="29"/>
      <c r="S717" s="15"/>
      <c r="T717" s="15"/>
      <c r="U717" s="243"/>
      <c r="V717" s="243"/>
      <c r="W717" s="243"/>
      <c r="X717" s="243"/>
      <c r="Y717" s="243"/>
      <c r="Z717" s="243"/>
    </row>
    <row r="718">
      <c r="A718" s="34"/>
      <c r="B718" s="15"/>
      <c r="C718" s="15"/>
      <c r="D718" s="15"/>
      <c r="E718" s="17"/>
      <c r="F718" s="15"/>
      <c r="G718" s="250"/>
      <c r="H718" s="243"/>
      <c r="I718" s="243"/>
      <c r="J718" s="243"/>
      <c r="K718" s="85"/>
      <c r="L718" s="85"/>
      <c r="M718" s="85"/>
      <c r="N718" s="85"/>
      <c r="O718" s="29"/>
      <c r="P718" s="307"/>
      <c r="Q718" s="29"/>
      <c r="R718" s="29"/>
      <c r="S718" s="15"/>
      <c r="T718" s="15"/>
      <c r="U718" s="243"/>
      <c r="V718" s="243"/>
      <c r="W718" s="243"/>
      <c r="X718" s="243"/>
      <c r="Y718" s="243"/>
      <c r="Z718" s="243"/>
    </row>
    <row r="719">
      <c r="A719" s="34"/>
      <c r="B719" s="15"/>
      <c r="C719" s="15"/>
      <c r="D719" s="15"/>
      <c r="E719" s="17"/>
      <c r="F719" s="15"/>
      <c r="G719" s="250"/>
      <c r="H719" s="243"/>
      <c r="I719" s="243"/>
      <c r="J719" s="243"/>
      <c r="K719" s="85"/>
      <c r="L719" s="85"/>
      <c r="M719" s="85"/>
      <c r="N719" s="85"/>
      <c r="O719" s="29"/>
      <c r="P719" s="307"/>
      <c r="Q719" s="29"/>
      <c r="R719" s="29"/>
      <c r="S719" s="15"/>
      <c r="T719" s="15"/>
      <c r="U719" s="243"/>
      <c r="V719" s="243"/>
      <c r="W719" s="243"/>
      <c r="X719" s="243"/>
      <c r="Y719" s="243"/>
      <c r="Z719" s="243"/>
    </row>
    <row r="720">
      <c r="A720" s="34"/>
      <c r="B720" s="15"/>
      <c r="C720" s="15"/>
      <c r="D720" s="15"/>
      <c r="E720" s="17"/>
      <c r="F720" s="15"/>
      <c r="G720" s="250"/>
      <c r="H720" s="243"/>
      <c r="I720" s="243"/>
      <c r="J720" s="243"/>
      <c r="K720" s="85"/>
      <c r="L720" s="85"/>
      <c r="M720" s="85"/>
      <c r="N720" s="85"/>
      <c r="O720" s="29"/>
      <c r="P720" s="307"/>
      <c r="Q720" s="29"/>
      <c r="R720" s="29"/>
      <c r="S720" s="15"/>
      <c r="T720" s="15"/>
      <c r="U720" s="243"/>
      <c r="V720" s="243"/>
      <c r="W720" s="243"/>
      <c r="X720" s="243"/>
      <c r="Y720" s="243"/>
      <c r="Z720" s="243"/>
    </row>
    <row r="721">
      <c r="A721" s="34"/>
      <c r="B721" s="15"/>
      <c r="C721" s="15"/>
      <c r="D721" s="15"/>
      <c r="E721" s="17"/>
      <c r="F721" s="15"/>
      <c r="G721" s="250"/>
      <c r="H721" s="243"/>
      <c r="I721" s="243"/>
      <c r="J721" s="243"/>
      <c r="K721" s="85"/>
      <c r="L721" s="85"/>
      <c r="M721" s="85"/>
      <c r="N721" s="85"/>
      <c r="O721" s="29"/>
      <c r="P721" s="307"/>
      <c r="Q721" s="29"/>
      <c r="R721" s="29"/>
      <c r="S721" s="15"/>
      <c r="T721" s="15"/>
      <c r="U721" s="243"/>
      <c r="V721" s="243"/>
      <c r="W721" s="243"/>
      <c r="X721" s="243"/>
      <c r="Y721" s="243"/>
      <c r="Z721" s="243"/>
    </row>
    <row r="722">
      <c r="A722" s="34"/>
      <c r="B722" s="15"/>
      <c r="C722" s="15"/>
      <c r="D722" s="15"/>
      <c r="E722" s="17"/>
      <c r="F722" s="15"/>
      <c r="G722" s="250"/>
      <c r="H722" s="243"/>
      <c r="I722" s="243"/>
      <c r="J722" s="243"/>
      <c r="K722" s="85"/>
      <c r="L722" s="85"/>
      <c r="M722" s="85"/>
      <c r="N722" s="85"/>
      <c r="O722" s="29"/>
      <c r="P722" s="307"/>
      <c r="Q722" s="29"/>
      <c r="R722" s="29"/>
      <c r="S722" s="15"/>
      <c r="T722" s="15"/>
      <c r="U722" s="243"/>
      <c r="V722" s="243"/>
      <c r="W722" s="243"/>
      <c r="X722" s="243"/>
      <c r="Y722" s="243"/>
      <c r="Z722" s="243"/>
    </row>
    <row r="723">
      <c r="A723" s="34"/>
      <c r="B723" s="15"/>
      <c r="C723" s="15"/>
      <c r="D723" s="15"/>
      <c r="E723" s="17"/>
      <c r="F723" s="15"/>
      <c r="G723" s="250"/>
      <c r="H723" s="243"/>
      <c r="I723" s="243"/>
      <c r="J723" s="243"/>
      <c r="K723" s="85"/>
      <c r="L723" s="85"/>
      <c r="M723" s="85"/>
      <c r="N723" s="85"/>
      <c r="O723" s="29"/>
      <c r="P723" s="307"/>
      <c r="Q723" s="29"/>
      <c r="R723" s="29"/>
      <c r="S723" s="15"/>
      <c r="T723" s="15"/>
      <c r="U723" s="243"/>
      <c r="V723" s="243"/>
      <c r="W723" s="243"/>
      <c r="X723" s="243"/>
      <c r="Y723" s="243"/>
      <c r="Z723" s="243"/>
    </row>
    <row r="724">
      <c r="A724" s="34"/>
      <c r="B724" s="15"/>
      <c r="C724" s="15"/>
      <c r="D724" s="15"/>
      <c r="E724" s="17"/>
      <c r="F724" s="15"/>
      <c r="G724" s="250"/>
      <c r="H724" s="243"/>
      <c r="I724" s="243"/>
      <c r="J724" s="243"/>
      <c r="K724" s="85"/>
      <c r="L724" s="85"/>
      <c r="M724" s="85"/>
      <c r="N724" s="85"/>
      <c r="O724" s="29"/>
      <c r="P724" s="307"/>
      <c r="Q724" s="29"/>
      <c r="R724" s="29"/>
      <c r="S724" s="15"/>
      <c r="T724" s="15"/>
      <c r="U724" s="243"/>
      <c r="V724" s="243"/>
      <c r="W724" s="243"/>
      <c r="X724" s="243"/>
      <c r="Y724" s="243"/>
      <c r="Z724" s="243"/>
    </row>
    <row r="725">
      <c r="A725" s="34"/>
      <c r="B725" s="15"/>
      <c r="C725" s="15"/>
      <c r="D725" s="15"/>
      <c r="E725" s="17"/>
      <c r="F725" s="15"/>
      <c r="G725" s="250"/>
      <c r="H725" s="243"/>
      <c r="I725" s="243"/>
      <c r="J725" s="243"/>
      <c r="K725" s="85"/>
      <c r="L725" s="85"/>
      <c r="M725" s="85"/>
      <c r="N725" s="85"/>
      <c r="O725" s="29"/>
      <c r="P725" s="307"/>
      <c r="Q725" s="29"/>
      <c r="R725" s="29"/>
      <c r="S725" s="15"/>
      <c r="T725" s="15"/>
      <c r="U725" s="243"/>
      <c r="V725" s="243"/>
      <c r="W725" s="243"/>
      <c r="X725" s="243"/>
      <c r="Y725" s="243"/>
      <c r="Z725" s="243"/>
    </row>
    <row r="726">
      <c r="A726" s="34"/>
      <c r="B726" s="15"/>
      <c r="C726" s="15"/>
      <c r="D726" s="15"/>
      <c r="E726" s="17"/>
      <c r="F726" s="15"/>
      <c r="G726" s="250"/>
      <c r="H726" s="243"/>
      <c r="I726" s="243"/>
      <c r="J726" s="243"/>
      <c r="K726" s="85"/>
      <c r="L726" s="85"/>
      <c r="M726" s="85"/>
      <c r="N726" s="85"/>
      <c r="O726" s="29"/>
      <c r="P726" s="307"/>
      <c r="Q726" s="29"/>
      <c r="R726" s="29"/>
      <c r="S726" s="15"/>
      <c r="T726" s="15"/>
      <c r="U726" s="243"/>
      <c r="V726" s="243"/>
      <c r="W726" s="243"/>
      <c r="X726" s="243"/>
      <c r="Y726" s="243"/>
      <c r="Z726" s="243"/>
    </row>
    <row r="727">
      <c r="A727" s="34"/>
      <c r="B727" s="15"/>
      <c r="C727" s="15"/>
      <c r="D727" s="15"/>
      <c r="E727" s="17"/>
      <c r="F727" s="15"/>
      <c r="G727" s="250"/>
      <c r="H727" s="243"/>
      <c r="I727" s="243"/>
      <c r="J727" s="243"/>
      <c r="K727" s="85"/>
      <c r="L727" s="85"/>
      <c r="M727" s="85"/>
      <c r="N727" s="85"/>
      <c r="O727" s="29"/>
      <c r="P727" s="307"/>
      <c r="Q727" s="29"/>
      <c r="R727" s="29"/>
      <c r="S727" s="15"/>
      <c r="T727" s="15"/>
      <c r="U727" s="243"/>
      <c r="V727" s="243"/>
      <c r="W727" s="243"/>
      <c r="X727" s="243"/>
      <c r="Y727" s="243"/>
      <c r="Z727" s="243"/>
    </row>
    <row r="728">
      <c r="A728" s="34"/>
      <c r="B728" s="15"/>
      <c r="C728" s="15"/>
      <c r="D728" s="15"/>
      <c r="E728" s="17"/>
      <c r="F728" s="15"/>
      <c r="G728" s="250"/>
      <c r="H728" s="243"/>
      <c r="I728" s="243"/>
      <c r="J728" s="243"/>
      <c r="K728" s="85"/>
      <c r="L728" s="85"/>
      <c r="M728" s="85"/>
      <c r="N728" s="85"/>
      <c r="O728" s="29"/>
      <c r="P728" s="307"/>
      <c r="Q728" s="29"/>
      <c r="R728" s="29"/>
      <c r="S728" s="15"/>
      <c r="T728" s="15"/>
      <c r="U728" s="243"/>
      <c r="V728" s="243"/>
      <c r="W728" s="243"/>
      <c r="X728" s="243"/>
      <c r="Y728" s="243"/>
      <c r="Z728" s="243"/>
    </row>
    <row r="729">
      <c r="A729" s="34"/>
      <c r="B729" s="15"/>
      <c r="C729" s="15"/>
      <c r="D729" s="15"/>
      <c r="E729" s="17"/>
      <c r="F729" s="15"/>
      <c r="G729" s="250"/>
      <c r="H729" s="243"/>
      <c r="I729" s="243"/>
      <c r="J729" s="243"/>
      <c r="K729" s="85"/>
      <c r="L729" s="85"/>
      <c r="M729" s="85"/>
      <c r="N729" s="85"/>
      <c r="O729" s="29"/>
      <c r="P729" s="307"/>
      <c r="Q729" s="29"/>
      <c r="R729" s="29"/>
      <c r="S729" s="15"/>
      <c r="T729" s="15"/>
      <c r="U729" s="243"/>
      <c r="V729" s="243"/>
      <c r="W729" s="243"/>
      <c r="X729" s="243"/>
      <c r="Y729" s="243"/>
      <c r="Z729" s="243"/>
    </row>
    <row r="730">
      <c r="A730" s="34"/>
      <c r="B730" s="15"/>
      <c r="C730" s="15"/>
      <c r="D730" s="15"/>
      <c r="E730" s="17"/>
      <c r="F730" s="15"/>
      <c r="G730" s="250"/>
      <c r="H730" s="243"/>
      <c r="I730" s="243"/>
      <c r="J730" s="243"/>
      <c r="K730" s="85"/>
      <c r="L730" s="85"/>
      <c r="M730" s="85"/>
      <c r="N730" s="85"/>
      <c r="O730" s="29"/>
      <c r="P730" s="307"/>
      <c r="Q730" s="29"/>
      <c r="R730" s="29"/>
      <c r="S730" s="15"/>
      <c r="T730" s="15"/>
      <c r="U730" s="243"/>
      <c r="V730" s="243"/>
      <c r="W730" s="243"/>
      <c r="X730" s="243"/>
      <c r="Y730" s="243"/>
      <c r="Z730" s="243"/>
    </row>
    <row r="731">
      <c r="A731" s="34"/>
      <c r="B731" s="15"/>
      <c r="C731" s="15"/>
      <c r="D731" s="15"/>
      <c r="E731" s="17"/>
      <c r="F731" s="15"/>
      <c r="G731" s="250"/>
      <c r="H731" s="243"/>
      <c r="I731" s="243"/>
      <c r="J731" s="243"/>
      <c r="K731" s="85"/>
      <c r="L731" s="85"/>
      <c r="M731" s="85"/>
      <c r="N731" s="85"/>
      <c r="O731" s="29"/>
      <c r="P731" s="307"/>
      <c r="Q731" s="29"/>
      <c r="R731" s="29"/>
      <c r="S731" s="15"/>
      <c r="T731" s="15"/>
      <c r="U731" s="243"/>
      <c r="V731" s="243"/>
      <c r="W731" s="243"/>
      <c r="X731" s="243"/>
      <c r="Y731" s="243"/>
      <c r="Z731" s="243"/>
    </row>
    <row r="732">
      <c r="A732" s="34"/>
      <c r="B732" s="15"/>
      <c r="C732" s="15"/>
      <c r="D732" s="15"/>
      <c r="E732" s="17"/>
      <c r="F732" s="15"/>
      <c r="G732" s="250"/>
      <c r="H732" s="243"/>
      <c r="I732" s="243"/>
      <c r="J732" s="243"/>
      <c r="K732" s="85"/>
      <c r="L732" s="85"/>
      <c r="M732" s="85"/>
      <c r="N732" s="85"/>
      <c r="O732" s="29"/>
      <c r="P732" s="307"/>
      <c r="Q732" s="29"/>
      <c r="R732" s="29"/>
      <c r="S732" s="15"/>
      <c r="T732" s="15"/>
      <c r="U732" s="243"/>
      <c r="V732" s="243"/>
      <c r="W732" s="243"/>
      <c r="X732" s="243"/>
      <c r="Y732" s="243"/>
      <c r="Z732" s="243"/>
    </row>
    <row r="733">
      <c r="A733" s="34"/>
      <c r="B733" s="15"/>
      <c r="C733" s="15"/>
      <c r="D733" s="15"/>
      <c r="E733" s="17"/>
      <c r="F733" s="15"/>
      <c r="G733" s="250"/>
      <c r="H733" s="243"/>
      <c r="I733" s="243"/>
      <c r="J733" s="243"/>
      <c r="K733" s="85"/>
      <c r="L733" s="85"/>
      <c r="M733" s="85"/>
      <c r="N733" s="85"/>
      <c r="O733" s="29"/>
      <c r="P733" s="307"/>
      <c r="Q733" s="29"/>
      <c r="R733" s="29"/>
      <c r="S733" s="15"/>
      <c r="T733" s="15"/>
      <c r="U733" s="243"/>
      <c r="V733" s="243"/>
      <c r="W733" s="243"/>
      <c r="X733" s="243"/>
      <c r="Y733" s="243"/>
      <c r="Z733" s="243"/>
    </row>
    <row r="734">
      <c r="A734" s="34"/>
      <c r="B734" s="15"/>
      <c r="C734" s="15"/>
      <c r="D734" s="15"/>
      <c r="E734" s="17"/>
      <c r="F734" s="15"/>
      <c r="G734" s="250"/>
      <c r="H734" s="243"/>
      <c r="I734" s="243"/>
      <c r="J734" s="243"/>
      <c r="K734" s="85"/>
      <c r="L734" s="85"/>
      <c r="M734" s="85"/>
      <c r="N734" s="85"/>
      <c r="O734" s="29"/>
      <c r="P734" s="307"/>
      <c r="Q734" s="29"/>
      <c r="R734" s="29"/>
      <c r="S734" s="15"/>
      <c r="T734" s="15"/>
      <c r="U734" s="243"/>
      <c r="V734" s="243"/>
      <c r="W734" s="243"/>
      <c r="X734" s="243"/>
      <c r="Y734" s="243"/>
      <c r="Z734" s="243"/>
    </row>
    <row r="735">
      <c r="A735" s="34"/>
      <c r="B735" s="15"/>
      <c r="C735" s="15"/>
      <c r="D735" s="15"/>
      <c r="E735" s="17"/>
      <c r="F735" s="15"/>
      <c r="G735" s="250"/>
      <c r="H735" s="243"/>
      <c r="I735" s="243"/>
      <c r="J735" s="243"/>
      <c r="K735" s="85"/>
      <c r="L735" s="85"/>
      <c r="M735" s="85"/>
      <c r="N735" s="85"/>
      <c r="O735" s="29"/>
      <c r="P735" s="307"/>
      <c r="Q735" s="29"/>
      <c r="R735" s="29"/>
      <c r="S735" s="15"/>
      <c r="T735" s="15"/>
      <c r="U735" s="243"/>
      <c r="V735" s="243"/>
      <c r="W735" s="243"/>
      <c r="X735" s="243"/>
      <c r="Y735" s="243"/>
      <c r="Z735" s="243"/>
    </row>
    <row r="736">
      <c r="A736" s="34"/>
      <c r="B736" s="15"/>
      <c r="C736" s="15"/>
      <c r="D736" s="15"/>
      <c r="E736" s="17"/>
      <c r="F736" s="15"/>
      <c r="G736" s="250"/>
      <c r="H736" s="243"/>
      <c r="I736" s="243"/>
      <c r="J736" s="243"/>
      <c r="K736" s="85"/>
      <c r="L736" s="85"/>
      <c r="M736" s="85"/>
      <c r="N736" s="85"/>
      <c r="O736" s="29"/>
      <c r="P736" s="307"/>
      <c r="Q736" s="29"/>
      <c r="R736" s="29"/>
      <c r="S736" s="15"/>
      <c r="T736" s="15"/>
      <c r="U736" s="243"/>
      <c r="V736" s="243"/>
      <c r="W736" s="243"/>
      <c r="X736" s="243"/>
      <c r="Y736" s="243"/>
      <c r="Z736" s="243"/>
    </row>
    <row r="737">
      <c r="A737" s="34"/>
      <c r="B737" s="15"/>
      <c r="C737" s="15"/>
      <c r="D737" s="15"/>
      <c r="E737" s="17"/>
      <c r="F737" s="15"/>
      <c r="G737" s="250"/>
      <c r="H737" s="243"/>
      <c r="I737" s="243"/>
      <c r="J737" s="243"/>
      <c r="K737" s="85"/>
      <c r="L737" s="85"/>
      <c r="M737" s="85"/>
      <c r="N737" s="85"/>
      <c r="O737" s="29"/>
      <c r="P737" s="307"/>
      <c r="Q737" s="29"/>
      <c r="R737" s="29"/>
      <c r="S737" s="15"/>
      <c r="T737" s="15"/>
      <c r="U737" s="243"/>
      <c r="V737" s="243"/>
      <c r="W737" s="243"/>
      <c r="X737" s="243"/>
      <c r="Y737" s="243"/>
      <c r="Z737" s="243"/>
    </row>
    <row r="738">
      <c r="A738" s="34"/>
      <c r="B738" s="15"/>
      <c r="C738" s="15"/>
      <c r="D738" s="15"/>
      <c r="E738" s="17"/>
      <c r="F738" s="15"/>
      <c r="G738" s="250"/>
      <c r="H738" s="243"/>
      <c r="I738" s="243"/>
      <c r="J738" s="243"/>
      <c r="K738" s="85"/>
      <c r="L738" s="85"/>
      <c r="M738" s="85"/>
      <c r="N738" s="85"/>
      <c r="O738" s="29"/>
      <c r="P738" s="307"/>
      <c r="Q738" s="29"/>
      <c r="R738" s="29"/>
      <c r="S738" s="15"/>
      <c r="T738" s="15"/>
      <c r="U738" s="243"/>
      <c r="V738" s="243"/>
      <c r="W738" s="243"/>
      <c r="X738" s="243"/>
      <c r="Y738" s="243"/>
      <c r="Z738" s="243"/>
    </row>
    <row r="739">
      <c r="A739" s="34"/>
      <c r="B739" s="15"/>
      <c r="C739" s="15"/>
      <c r="D739" s="15"/>
      <c r="E739" s="17"/>
      <c r="F739" s="15"/>
      <c r="G739" s="250"/>
      <c r="H739" s="243"/>
      <c r="I739" s="243"/>
      <c r="J739" s="243"/>
      <c r="K739" s="85"/>
      <c r="L739" s="85"/>
      <c r="M739" s="85"/>
      <c r="N739" s="85"/>
      <c r="O739" s="29"/>
      <c r="P739" s="307"/>
      <c r="Q739" s="29"/>
      <c r="R739" s="29"/>
      <c r="S739" s="15"/>
      <c r="T739" s="15"/>
      <c r="U739" s="243"/>
      <c r="V739" s="243"/>
      <c r="W739" s="243"/>
      <c r="X739" s="243"/>
      <c r="Y739" s="243"/>
      <c r="Z739" s="243"/>
    </row>
    <row r="740">
      <c r="A740" s="34"/>
      <c r="B740" s="15"/>
      <c r="C740" s="15"/>
      <c r="D740" s="15"/>
      <c r="E740" s="17"/>
      <c r="F740" s="15"/>
      <c r="G740" s="250"/>
      <c r="H740" s="243"/>
      <c r="I740" s="243"/>
      <c r="J740" s="243"/>
      <c r="K740" s="85"/>
      <c r="L740" s="85"/>
      <c r="M740" s="85"/>
      <c r="N740" s="85"/>
      <c r="O740" s="29"/>
      <c r="P740" s="307"/>
      <c r="Q740" s="29"/>
      <c r="R740" s="29"/>
      <c r="S740" s="15"/>
      <c r="T740" s="15"/>
      <c r="U740" s="243"/>
      <c r="V740" s="243"/>
      <c r="W740" s="243"/>
      <c r="X740" s="243"/>
      <c r="Y740" s="243"/>
      <c r="Z740" s="243"/>
    </row>
    <row r="741">
      <c r="A741" s="34"/>
      <c r="B741" s="15"/>
      <c r="C741" s="15"/>
      <c r="D741" s="15"/>
      <c r="E741" s="17"/>
      <c r="F741" s="15"/>
      <c r="G741" s="250"/>
      <c r="H741" s="243"/>
      <c r="I741" s="243"/>
      <c r="J741" s="243"/>
      <c r="K741" s="85"/>
      <c r="L741" s="85"/>
      <c r="M741" s="85"/>
      <c r="N741" s="85"/>
      <c r="O741" s="29"/>
      <c r="P741" s="307"/>
      <c r="Q741" s="29"/>
      <c r="R741" s="29"/>
      <c r="S741" s="15"/>
      <c r="T741" s="15"/>
      <c r="U741" s="243"/>
      <c r="V741" s="243"/>
      <c r="W741" s="243"/>
      <c r="X741" s="243"/>
      <c r="Y741" s="243"/>
      <c r="Z741" s="243"/>
    </row>
    <row r="742">
      <c r="A742" s="34"/>
      <c r="B742" s="15"/>
      <c r="C742" s="15"/>
      <c r="D742" s="15"/>
      <c r="E742" s="17"/>
      <c r="F742" s="15"/>
      <c r="G742" s="250"/>
      <c r="H742" s="243"/>
      <c r="I742" s="243"/>
      <c r="J742" s="243"/>
      <c r="K742" s="85"/>
      <c r="L742" s="85"/>
      <c r="M742" s="85"/>
      <c r="N742" s="85"/>
      <c r="O742" s="29"/>
      <c r="P742" s="307"/>
      <c r="Q742" s="29"/>
      <c r="R742" s="29"/>
      <c r="S742" s="15"/>
      <c r="T742" s="15"/>
      <c r="U742" s="243"/>
      <c r="V742" s="243"/>
      <c r="W742" s="243"/>
      <c r="X742" s="243"/>
      <c r="Y742" s="243"/>
      <c r="Z742" s="243"/>
    </row>
    <row r="743">
      <c r="A743" s="34"/>
      <c r="B743" s="15"/>
      <c r="C743" s="15"/>
      <c r="D743" s="15"/>
      <c r="E743" s="17"/>
      <c r="F743" s="15"/>
      <c r="G743" s="250"/>
      <c r="H743" s="243"/>
      <c r="I743" s="243"/>
      <c r="J743" s="243"/>
      <c r="K743" s="85"/>
      <c r="L743" s="85"/>
      <c r="M743" s="85"/>
      <c r="N743" s="85"/>
      <c r="O743" s="29"/>
      <c r="P743" s="307"/>
      <c r="Q743" s="29"/>
      <c r="R743" s="29"/>
      <c r="S743" s="15"/>
      <c r="T743" s="15"/>
      <c r="U743" s="243"/>
      <c r="V743" s="243"/>
      <c r="W743" s="243"/>
      <c r="X743" s="243"/>
      <c r="Y743" s="243"/>
      <c r="Z743" s="243"/>
    </row>
    <row r="744">
      <c r="A744" s="34"/>
      <c r="B744" s="15"/>
      <c r="C744" s="15"/>
      <c r="D744" s="15"/>
      <c r="E744" s="17"/>
      <c r="F744" s="15"/>
      <c r="G744" s="250"/>
      <c r="H744" s="243"/>
      <c r="I744" s="243"/>
      <c r="J744" s="243"/>
      <c r="K744" s="85"/>
      <c r="L744" s="85"/>
      <c r="M744" s="85"/>
      <c r="N744" s="85"/>
      <c r="O744" s="29"/>
      <c r="P744" s="307"/>
      <c r="Q744" s="29"/>
      <c r="R744" s="29"/>
      <c r="S744" s="15"/>
      <c r="T744" s="15"/>
      <c r="U744" s="243"/>
      <c r="V744" s="243"/>
      <c r="W744" s="243"/>
      <c r="X744" s="243"/>
      <c r="Y744" s="243"/>
      <c r="Z744" s="243"/>
    </row>
    <row r="745">
      <c r="A745" s="34"/>
      <c r="B745" s="15"/>
      <c r="C745" s="15"/>
      <c r="D745" s="15"/>
      <c r="E745" s="17"/>
      <c r="F745" s="15"/>
      <c r="G745" s="250"/>
      <c r="H745" s="243"/>
      <c r="I745" s="243"/>
      <c r="J745" s="243"/>
      <c r="K745" s="85"/>
      <c r="L745" s="85"/>
      <c r="M745" s="85"/>
      <c r="N745" s="85"/>
      <c r="O745" s="29"/>
      <c r="P745" s="307"/>
      <c r="Q745" s="29"/>
      <c r="R745" s="29"/>
      <c r="S745" s="15"/>
      <c r="T745" s="15"/>
      <c r="U745" s="243"/>
      <c r="V745" s="243"/>
      <c r="W745" s="243"/>
      <c r="X745" s="243"/>
      <c r="Y745" s="243"/>
      <c r="Z745" s="243"/>
    </row>
    <row r="746">
      <c r="A746" s="34"/>
      <c r="B746" s="15"/>
      <c r="C746" s="15"/>
      <c r="D746" s="15"/>
      <c r="E746" s="17"/>
      <c r="F746" s="15"/>
      <c r="G746" s="250"/>
      <c r="H746" s="243"/>
      <c r="I746" s="243"/>
      <c r="J746" s="243"/>
      <c r="K746" s="85"/>
      <c r="L746" s="85"/>
      <c r="M746" s="85"/>
      <c r="N746" s="85"/>
      <c r="O746" s="29"/>
      <c r="P746" s="307"/>
      <c r="Q746" s="29"/>
      <c r="R746" s="29"/>
      <c r="S746" s="15"/>
      <c r="T746" s="15"/>
      <c r="U746" s="243"/>
      <c r="V746" s="243"/>
      <c r="W746" s="243"/>
      <c r="X746" s="243"/>
      <c r="Y746" s="243"/>
      <c r="Z746" s="243"/>
    </row>
    <row r="747">
      <c r="A747" s="34"/>
      <c r="B747" s="15"/>
      <c r="C747" s="15"/>
      <c r="D747" s="15"/>
      <c r="E747" s="17"/>
      <c r="F747" s="15"/>
      <c r="G747" s="250"/>
      <c r="H747" s="243"/>
      <c r="I747" s="243"/>
      <c r="J747" s="243"/>
      <c r="K747" s="85"/>
      <c r="L747" s="85"/>
      <c r="M747" s="85"/>
      <c r="N747" s="85"/>
      <c r="O747" s="29"/>
      <c r="P747" s="307"/>
      <c r="Q747" s="29"/>
      <c r="R747" s="29"/>
      <c r="S747" s="15"/>
      <c r="T747" s="15"/>
      <c r="U747" s="243"/>
      <c r="V747" s="243"/>
      <c r="W747" s="243"/>
      <c r="X747" s="243"/>
      <c r="Y747" s="243"/>
      <c r="Z747" s="243"/>
    </row>
    <row r="748">
      <c r="A748" s="34"/>
      <c r="B748" s="15"/>
      <c r="C748" s="15"/>
      <c r="D748" s="15"/>
      <c r="E748" s="17"/>
      <c r="F748" s="15"/>
      <c r="G748" s="250"/>
      <c r="H748" s="243"/>
      <c r="I748" s="243"/>
      <c r="J748" s="243"/>
      <c r="K748" s="85"/>
      <c r="L748" s="85"/>
      <c r="M748" s="85"/>
      <c r="N748" s="85"/>
      <c r="O748" s="29"/>
      <c r="P748" s="307"/>
      <c r="Q748" s="29"/>
      <c r="R748" s="29"/>
      <c r="S748" s="15"/>
      <c r="T748" s="15"/>
      <c r="U748" s="243"/>
      <c r="V748" s="243"/>
      <c r="W748" s="243"/>
      <c r="X748" s="243"/>
      <c r="Y748" s="243"/>
      <c r="Z748" s="243"/>
    </row>
    <row r="749">
      <c r="A749" s="34"/>
      <c r="B749" s="15"/>
      <c r="C749" s="15"/>
      <c r="D749" s="15"/>
      <c r="E749" s="17"/>
      <c r="F749" s="15"/>
      <c r="G749" s="250"/>
      <c r="H749" s="243"/>
      <c r="I749" s="243"/>
      <c r="J749" s="243"/>
      <c r="K749" s="85"/>
      <c r="L749" s="85"/>
      <c r="M749" s="85"/>
      <c r="N749" s="85"/>
      <c r="O749" s="29"/>
      <c r="P749" s="307"/>
      <c r="Q749" s="29"/>
      <c r="R749" s="29"/>
      <c r="S749" s="15"/>
      <c r="T749" s="15"/>
      <c r="U749" s="243"/>
      <c r="V749" s="243"/>
      <c r="W749" s="243"/>
      <c r="X749" s="243"/>
      <c r="Y749" s="243"/>
      <c r="Z749" s="243"/>
    </row>
    <row r="750">
      <c r="A750" s="34"/>
      <c r="B750" s="15"/>
      <c r="C750" s="15"/>
      <c r="D750" s="15"/>
      <c r="E750" s="17"/>
      <c r="F750" s="15"/>
      <c r="G750" s="250"/>
      <c r="H750" s="243"/>
      <c r="I750" s="243"/>
      <c r="J750" s="243"/>
      <c r="K750" s="85"/>
      <c r="L750" s="85"/>
      <c r="M750" s="85"/>
      <c r="N750" s="85"/>
      <c r="O750" s="29"/>
      <c r="P750" s="307"/>
      <c r="Q750" s="29"/>
      <c r="R750" s="29"/>
      <c r="S750" s="15"/>
      <c r="T750" s="15"/>
      <c r="U750" s="243"/>
      <c r="V750" s="243"/>
      <c r="W750" s="243"/>
      <c r="X750" s="243"/>
      <c r="Y750" s="243"/>
      <c r="Z750" s="243"/>
    </row>
    <row r="751">
      <c r="A751" s="34"/>
      <c r="B751" s="15"/>
      <c r="C751" s="15"/>
      <c r="D751" s="15"/>
      <c r="E751" s="17"/>
      <c r="F751" s="15"/>
      <c r="G751" s="250"/>
      <c r="H751" s="243"/>
      <c r="I751" s="243"/>
      <c r="J751" s="243"/>
      <c r="K751" s="85"/>
      <c r="L751" s="85"/>
      <c r="M751" s="85"/>
      <c r="N751" s="85"/>
      <c r="O751" s="29"/>
      <c r="P751" s="307"/>
      <c r="Q751" s="29"/>
      <c r="R751" s="29"/>
      <c r="S751" s="15"/>
      <c r="T751" s="15"/>
      <c r="U751" s="243"/>
      <c r="V751" s="243"/>
      <c r="W751" s="243"/>
      <c r="X751" s="243"/>
      <c r="Y751" s="243"/>
      <c r="Z751" s="243"/>
    </row>
    <row r="752">
      <c r="A752" s="34"/>
      <c r="B752" s="15"/>
      <c r="C752" s="15"/>
      <c r="D752" s="15"/>
      <c r="E752" s="17"/>
      <c r="F752" s="15"/>
      <c r="G752" s="250"/>
      <c r="H752" s="243"/>
      <c r="I752" s="243"/>
      <c r="J752" s="243"/>
      <c r="K752" s="85"/>
      <c r="L752" s="85"/>
      <c r="M752" s="85"/>
      <c r="N752" s="85"/>
      <c r="O752" s="29"/>
      <c r="P752" s="307"/>
      <c r="Q752" s="29"/>
      <c r="R752" s="29"/>
      <c r="S752" s="15"/>
      <c r="T752" s="15"/>
      <c r="U752" s="243"/>
      <c r="V752" s="243"/>
      <c r="W752" s="243"/>
      <c r="X752" s="243"/>
      <c r="Y752" s="243"/>
      <c r="Z752" s="243"/>
    </row>
    <row r="753">
      <c r="A753" s="34"/>
      <c r="B753" s="15"/>
      <c r="C753" s="15"/>
      <c r="D753" s="15"/>
      <c r="E753" s="17"/>
      <c r="F753" s="15"/>
      <c r="G753" s="250"/>
      <c r="H753" s="243"/>
      <c r="I753" s="243"/>
      <c r="J753" s="243"/>
      <c r="K753" s="85"/>
      <c r="L753" s="85"/>
      <c r="M753" s="85"/>
      <c r="N753" s="85"/>
      <c r="O753" s="29"/>
      <c r="P753" s="307"/>
      <c r="Q753" s="29"/>
      <c r="R753" s="29"/>
      <c r="S753" s="15"/>
      <c r="T753" s="15"/>
      <c r="U753" s="243"/>
      <c r="V753" s="243"/>
      <c r="W753" s="243"/>
      <c r="X753" s="243"/>
      <c r="Y753" s="243"/>
      <c r="Z753" s="243"/>
    </row>
    <row r="754">
      <c r="A754" s="34"/>
      <c r="B754" s="15"/>
      <c r="C754" s="15"/>
      <c r="D754" s="15"/>
      <c r="E754" s="17"/>
      <c r="F754" s="15"/>
      <c r="G754" s="250"/>
      <c r="H754" s="243"/>
      <c r="I754" s="243"/>
      <c r="J754" s="243"/>
      <c r="K754" s="85"/>
      <c r="L754" s="85"/>
      <c r="M754" s="85"/>
      <c r="N754" s="85"/>
      <c r="O754" s="29"/>
      <c r="P754" s="307"/>
      <c r="Q754" s="29"/>
      <c r="R754" s="29"/>
      <c r="S754" s="15"/>
      <c r="T754" s="15"/>
      <c r="U754" s="243"/>
      <c r="V754" s="243"/>
      <c r="W754" s="243"/>
      <c r="X754" s="243"/>
      <c r="Y754" s="243"/>
      <c r="Z754" s="243"/>
    </row>
    <row r="755">
      <c r="A755" s="34"/>
      <c r="B755" s="15"/>
      <c r="C755" s="15"/>
      <c r="D755" s="15"/>
      <c r="E755" s="17"/>
      <c r="F755" s="15"/>
      <c r="G755" s="250"/>
      <c r="H755" s="243"/>
      <c r="I755" s="243"/>
      <c r="J755" s="243"/>
      <c r="K755" s="85"/>
      <c r="L755" s="85"/>
      <c r="M755" s="85"/>
      <c r="N755" s="85"/>
      <c r="O755" s="29"/>
      <c r="P755" s="307"/>
      <c r="Q755" s="29"/>
      <c r="R755" s="29"/>
      <c r="S755" s="15"/>
      <c r="T755" s="15"/>
      <c r="U755" s="243"/>
      <c r="V755" s="243"/>
      <c r="W755" s="243"/>
      <c r="X755" s="243"/>
      <c r="Y755" s="243"/>
      <c r="Z755" s="243"/>
    </row>
    <row r="756">
      <c r="A756" s="34"/>
      <c r="B756" s="15"/>
      <c r="C756" s="15"/>
      <c r="D756" s="15"/>
      <c r="E756" s="17"/>
      <c r="F756" s="15"/>
      <c r="G756" s="250"/>
      <c r="H756" s="243"/>
      <c r="I756" s="243"/>
      <c r="J756" s="243"/>
      <c r="K756" s="85"/>
      <c r="L756" s="85"/>
      <c r="M756" s="85"/>
      <c r="N756" s="85"/>
      <c r="O756" s="29"/>
      <c r="P756" s="307"/>
      <c r="Q756" s="29"/>
      <c r="R756" s="29"/>
      <c r="S756" s="15"/>
      <c r="T756" s="15"/>
      <c r="U756" s="243"/>
      <c r="V756" s="243"/>
      <c r="W756" s="243"/>
      <c r="X756" s="243"/>
      <c r="Y756" s="243"/>
      <c r="Z756" s="243"/>
    </row>
    <row r="757">
      <c r="A757" s="34"/>
      <c r="B757" s="15"/>
      <c r="C757" s="15"/>
      <c r="D757" s="15"/>
      <c r="E757" s="17"/>
      <c r="F757" s="15"/>
      <c r="G757" s="250"/>
      <c r="H757" s="243"/>
      <c r="I757" s="243"/>
      <c r="J757" s="243"/>
      <c r="K757" s="85"/>
      <c r="L757" s="85"/>
      <c r="M757" s="85"/>
      <c r="N757" s="85"/>
      <c r="O757" s="29"/>
      <c r="P757" s="307"/>
      <c r="Q757" s="29"/>
      <c r="R757" s="29"/>
      <c r="S757" s="15"/>
      <c r="T757" s="15"/>
      <c r="U757" s="243"/>
      <c r="V757" s="243"/>
      <c r="W757" s="243"/>
      <c r="X757" s="243"/>
      <c r="Y757" s="243"/>
      <c r="Z757" s="243"/>
    </row>
    <row r="758">
      <c r="A758" s="34"/>
      <c r="B758" s="15"/>
      <c r="C758" s="15"/>
      <c r="D758" s="15"/>
      <c r="E758" s="17"/>
      <c r="F758" s="15"/>
      <c r="G758" s="250"/>
      <c r="H758" s="243"/>
      <c r="I758" s="243"/>
      <c r="J758" s="243"/>
      <c r="K758" s="85"/>
      <c r="L758" s="85"/>
      <c r="M758" s="85"/>
      <c r="N758" s="85"/>
      <c r="O758" s="29"/>
      <c r="P758" s="307"/>
      <c r="Q758" s="29"/>
      <c r="R758" s="29"/>
      <c r="S758" s="15"/>
      <c r="T758" s="15"/>
      <c r="U758" s="243"/>
      <c r="V758" s="243"/>
      <c r="W758" s="243"/>
      <c r="X758" s="243"/>
      <c r="Y758" s="243"/>
      <c r="Z758" s="243"/>
    </row>
    <row r="759">
      <c r="A759" s="34"/>
      <c r="B759" s="15"/>
      <c r="C759" s="15"/>
      <c r="D759" s="15"/>
      <c r="E759" s="17"/>
      <c r="F759" s="15"/>
      <c r="G759" s="250"/>
      <c r="H759" s="243"/>
      <c r="I759" s="243"/>
      <c r="J759" s="243"/>
      <c r="K759" s="85"/>
      <c r="L759" s="85"/>
      <c r="M759" s="85"/>
      <c r="N759" s="85"/>
      <c r="O759" s="29"/>
      <c r="P759" s="307"/>
      <c r="Q759" s="29"/>
      <c r="R759" s="29"/>
      <c r="S759" s="15"/>
      <c r="T759" s="15"/>
      <c r="U759" s="243"/>
      <c r="V759" s="243"/>
      <c r="W759" s="243"/>
      <c r="X759" s="243"/>
      <c r="Y759" s="243"/>
      <c r="Z759" s="243"/>
    </row>
    <row r="760">
      <c r="A760" s="34"/>
      <c r="B760" s="15"/>
      <c r="C760" s="15"/>
      <c r="D760" s="15"/>
      <c r="E760" s="17"/>
      <c r="F760" s="15"/>
      <c r="G760" s="250"/>
      <c r="H760" s="243"/>
      <c r="I760" s="243"/>
      <c r="J760" s="243"/>
      <c r="K760" s="85"/>
      <c r="L760" s="85"/>
      <c r="M760" s="85"/>
      <c r="N760" s="85"/>
      <c r="O760" s="29"/>
      <c r="P760" s="307"/>
      <c r="Q760" s="29"/>
      <c r="R760" s="29"/>
      <c r="S760" s="15"/>
      <c r="T760" s="15"/>
      <c r="U760" s="243"/>
      <c r="V760" s="243"/>
      <c r="W760" s="243"/>
      <c r="X760" s="243"/>
      <c r="Y760" s="243"/>
      <c r="Z760" s="243"/>
    </row>
    <row r="761">
      <c r="A761" s="34"/>
      <c r="B761" s="15"/>
      <c r="C761" s="15"/>
      <c r="D761" s="15"/>
      <c r="E761" s="17"/>
      <c r="F761" s="15"/>
      <c r="G761" s="250"/>
      <c r="H761" s="243"/>
      <c r="I761" s="243"/>
      <c r="J761" s="243"/>
      <c r="K761" s="85"/>
      <c r="L761" s="85"/>
      <c r="M761" s="85"/>
      <c r="N761" s="85"/>
      <c r="O761" s="29"/>
      <c r="P761" s="307"/>
      <c r="Q761" s="29"/>
      <c r="R761" s="29"/>
      <c r="S761" s="15"/>
      <c r="T761" s="15"/>
      <c r="U761" s="243"/>
      <c r="V761" s="243"/>
      <c r="W761" s="243"/>
      <c r="X761" s="243"/>
      <c r="Y761" s="243"/>
      <c r="Z761" s="243"/>
    </row>
    <row r="762">
      <c r="A762" s="34"/>
      <c r="B762" s="15"/>
      <c r="C762" s="15"/>
      <c r="D762" s="15"/>
      <c r="E762" s="17"/>
      <c r="F762" s="15"/>
      <c r="G762" s="250"/>
      <c r="H762" s="243"/>
      <c r="I762" s="243"/>
      <c r="J762" s="243"/>
      <c r="K762" s="85"/>
      <c r="L762" s="85"/>
      <c r="M762" s="85"/>
      <c r="N762" s="85"/>
      <c r="O762" s="29"/>
      <c r="P762" s="307"/>
      <c r="Q762" s="29"/>
      <c r="R762" s="29"/>
      <c r="S762" s="15"/>
      <c r="T762" s="15"/>
      <c r="U762" s="243"/>
      <c r="V762" s="243"/>
      <c r="W762" s="243"/>
      <c r="X762" s="243"/>
      <c r="Y762" s="243"/>
      <c r="Z762" s="243"/>
    </row>
    <row r="763">
      <c r="A763" s="34"/>
      <c r="B763" s="15"/>
      <c r="C763" s="15"/>
      <c r="D763" s="15"/>
      <c r="E763" s="17"/>
      <c r="F763" s="15"/>
      <c r="G763" s="250"/>
      <c r="H763" s="243"/>
      <c r="I763" s="243"/>
      <c r="J763" s="243"/>
      <c r="K763" s="85"/>
      <c r="L763" s="85"/>
      <c r="M763" s="85"/>
      <c r="N763" s="85"/>
      <c r="O763" s="29"/>
      <c r="P763" s="307"/>
      <c r="Q763" s="29"/>
      <c r="R763" s="29"/>
      <c r="S763" s="15"/>
      <c r="T763" s="15"/>
      <c r="U763" s="243"/>
      <c r="V763" s="243"/>
      <c r="W763" s="243"/>
      <c r="X763" s="243"/>
      <c r="Y763" s="243"/>
      <c r="Z763" s="243"/>
    </row>
    <row r="764">
      <c r="A764" s="34"/>
      <c r="B764" s="15"/>
      <c r="C764" s="15"/>
      <c r="D764" s="15"/>
      <c r="E764" s="17"/>
      <c r="F764" s="15"/>
      <c r="G764" s="250"/>
      <c r="H764" s="243"/>
      <c r="I764" s="243"/>
      <c r="J764" s="243"/>
      <c r="K764" s="85"/>
      <c r="L764" s="85"/>
      <c r="M764" s="85"/>
      <c r="N764" s="85"/>
      <c r="O764" s="29"/>
      <c r="P764" s="307"/>
      <c r="Q764" s="29"/>
      <c r="R764" s="29"/>
      <c r="S764" s="15"/>
      <c r="T764" s="15"/>
      <c r="U764" s="243"/>
      <c r="V764" s="243"/>
      <c r="W764" s="243"/>
      <c r="X764" s="243"/>
      <c r="Y764" s="243"/>
      <c r="Z764" s="243"/>
    </row>
    <row r="765">
      <c r="A765" s="34"/>
      <c r="B765" s="15"/>
      <c r="C765" s="15"/>
      <c r="D765" s="15"/>
      <c r="E765" s="17"/>
      <c r="F765" s="15"/>
      <c r="G765" s="250"/>
      <c r="H765" s="243"/>
      <c r="I765" s="243"/>
      <c r="J765" s="243"/>
      <c r="K765" s="85"/>
      <c r="L765" s="85"/>
      <c r="M765" s="85"/>
      <c r="N765" s="85"/>
      <c r="O765" s="29"/>
      <c r="P765" s="307"/>
      <c r="Q765" s="29"/>
      <c r="R765" s="29"/>
      <c r="S765" s="15"/>
      <c r="T765" s="15"/>
      <c r="U765" s="243"/>
      <c r="V765" s="243"/>
      <c r="W765" s="243"/>
      <c r="X765" s="243"/>
      <c r="Y765" s="243"/>
      <c r="Z765" s="243"/>
    </row>
    <row r="766">
      <c r="A766" s="34"/>
      <c r="B766" s="15"/>
      <c r="C766" s="15"/>
      <c r="D766" s="15"/>
      <c r="E766" s="17"/>
      <c r="F766" s="15"/>
      <c r="G766" s="250"/>
      <c r="H766" s="243"/>
      <c r="I766" s="243"/>
      <c r="J766" s="243"/>
      <c r="K766" s="85"/>
      <c r="L766" s="85"/>
      <c r="M766" s="85"/>
      <c r="N766" s="85"/>
      <c r="O766" s="29"/>
      <c r="P766" s="307"/>
      <c r="Q766" s="29"/>
      <c r="R766" s="29"/>
      <c r="S766" s="15"/>
      <c r="T766" s="15"/>
      <c r="U766" s="243"/>
      <c r="V766" s="243"/>
      <c r="W766" s="243"/>
      <c r="X766" s="243"/>
      <c r="Y766" s="243"/>
      <c r="Z766" s="243"/>
    </row>
    <row r="767">
      <c r="A767" s="34"/>
      <c r="B767" s="15"/>
      <c r="C767" s="15"/>
      <c r="D767" s="15"/>
      <c r="E767" s="17"/>
      <c r="F767" s="15"/>
      <c r="G767" s="250"/>
      <c r="H767" s="243"/>
      <c r="I767" s="243"/>
      <c r="J767" s="243"/>
      <c r="K767" s="85"/>
      <c r="L767" s="85"/>
      <c r="M767" s="85"/>
      <c r="N767" s="85"/>
      <c r="O767" s="29"/>
      <c r="P767" s="307"/>
      <c r="Q767" s="29"/>
      <c r="R767" s="29"/>
      <c r="S767" s="15"/>
      <c r="T767" s="15"/>
      <c r="U767" s="243"/>
      <c r="V767" s="243"/>
      <c r="W767" s="243"/>
      <c r="X767" s="243"/>
      <c r="Y767" s="243"/>
      <c r="Z767" s="243"/>
    </row>
    <row r="768">
      <c r="A768" s="34"/>
      <c r="B768" s="15"/>
      <c r="C768" s="15"/>
      <c r="D768" s="15"/>
      <c r="E768" s="17"/>
      <c r="F768" s="15"/>
      <c r="G768" s="250"/>
      <c r="H768" s="243"/>
      <c r="I768" s="243"/>
      <c r="J768" s="243"/>
      <c r="K768" s="85"/>
      <c r="L768" s="85"/>
      <c r="M768" s="85"/>
      <c r="N768" s="85"/>
      <c r="O768" s="29"/>
      <c r="P768" s="307"/>
      <c r="Q768" s="29"/>
      <c r="R768" s="29"/>
      <c r="S768" s="15"/>
      <c r="T768" s="15"/>
      <c r="U768" s="243"/>
      <c r="V768" s="243"/>
      <c r="W768" s="243"/>
      <c r="X768" s="243"/>
      <c r="Y768" s="243"/>
      <c r="Z768" s="243"/>
    </row>
    <row r="769">
      <c r="A769" s="34"/>
      <c r="B769" s="15"/>
      <c r="C769" s="15"/>
      <c r="D769" s="15"/>
      <c r="E769" s="17"/>
      <c r="F769" s="15"/>
      <c r="G769" s="250"/>
      <c r="H769" s="243"/>
      <c r="I769" s="243"/>
      <c r="J769" s="243"/>
      <c r="K769" s="85"/>
      <c r="L769" s="85"/>
      <c r="M769" s="85"/>
      <c r="N769" s="85"/>
      <c r="O769" s="29"/>
      <c r="P769" s="307"/>
      <c r="Q769" s="29"/>
      <c r="R769" s="29"/>
      <c r="S769" s="15"/>
      <c r="T769" s="15"/>
      <c r="U769" s="243"/>
      <c r="V769" s="243"/>
      <c r="W769" s="243"/>
      <c r="X769" s="243"/>
      <c r="Y769" s="243"/>
      <c r="Z769" s="243"/>
    </row>
    <row r="770">
      <c r="A770" s="34"/>
      <c r="B770" s="15"/>
      <c r="C770" s="15"/>
      <c r="D770" s="15"/>
      <c r="E770" s="17"/>
      <c r="F770" s="15"/>
      <c r="G770" s="250"/>
      <c r="H770" s="243"/>
      <c r="I770" s="243"/>
      <c r="J770" s="243"/>
      <c r="K770" s="85"/>
      <c r="L770" s="85"/>
      <c r="M770" s="85"/>
      <c r="N770" s="85"/>
      <c r="O770" s="29"/>
      <c r="P770" s="307"/>
      <c r="Q770" s="29"/>
      <c r="R770" s="29"/>
      <c r="S770" s="15"/>
      <c r="T770" s="15"/>
      <c r="U770" s="243"/>
      <c r="V770" s="243"/>
      <c r="W770" s="243"/>
      <c r="X770" s="243"/>
      <c r="Y770" s="243"/>
      <c r="Z770" s="243"/>
    </row>
    <row r="771">
      <c r="A771" s="34"/>
      <c r="B771" s="15"/>
      <c r="C771" s="15"/>
      <c r="D771" s="15"/>
      <c r="E771" s="17"/>
      <c r="F771" s="15"/>
      <c r="G771" s="250"/>
      <c r="H771" s="243"/>
      <c r="I771" s="243"/>
      <c r="J771" s="243"/>
      <c r="K771" s="85"/>
      <c r="L771" s="85"/>
      <c r="M771" s="85"/>
      <c r="N771" s="85"/>
      <c r="O771" s="29"/>
      <c r="P771" s="307"/>
      <c r="Q771" s="29"/>
      <c r="R771" s="29"/>
      <c r="S771" s="15"/>
      <c r="T771" s="15"/>
      <c r="U771" s="243"/>
      <c r="V771" s="243"/>
      <c r="W771" s="243"/>
      <c r="X771" s="243"/>
      <c r="Y771" s="243"/>
      <c r="Z771" s="243"/>
    </row>
    <row r="772">
      <c r="A772" s="34"/>
      <c r="B772" s="15"/>
      <c r="C772" s="15"/>
      <c r="D772" s="15"/>
      <c r="E772" s="17"/>
      <c r="F772" s="15"/>
      <c r="G772" s="250"/>
      <c r="H772" s="243"/>
      <c r="I772" s="243"/>
      <c r="J772" s="243"/>
      <c r="K772" s="85"/>
      <c r="L772" s="85"/>
      <c r="M772" s="85"/>
      <c r="N772" s="85"/>
      <c r="O772" s="29"/>
      <c r="P772" s="307"/>
      <c r="Q772" s="29"/>
      <c r="R772" s="29"/>
      <c r="S772" s="15"/>
      <c r="T772" s="15"/>
      <c r="U772" s="243"/>
      <c r="V772" s="243"/>
      <c r="W772" s="243"/>
      <c r="X772" s="243"/>
      <c r="Y772" s="243"/>
      <c r="Z772" s="243"/>
    </row>
    <row r="773">
      <c r="A773" s="34"/>
      <c r="B773" s="15"/>
      <c r="C773" s="15"/>
      <c r="D773" s="15"/>
      <c r="E773" s="17"/>
      <c r="F773" s="15"/>
      <c r="G773" s="250"/>
      <c r="H773" s="243"/>
      <c r="I773" s="243"/>
      <c r="J773" s="243"/>
      <c r="K773" s="85"/>
      <c r="L773" s="85"/>
      <c r="M773" s="85"/>
      <c r="N773" s="85"/>
      <c r="O773" s="29"/>
      <c r="P773" s="307"/>
      <c r="Q773" s="29"/>
      <c r="R773" s="29"/>
      <c r="S773" s="15"/>
      <c r="T773" s="15"/>
      <c r="U773" s="243"/>
      <c r="V773" s="243"/>
      <c r="W773" s="243"/>
      <c r="X773" s="243"/>
      <c r="Y773" s="243"/>
      <c r="Z773" s="243"/>
    </row>
    <row r="774">
      <c r="A774" s="34"/>
      <c r="B774" s="15"/>
      <c r="C774" s="15"/>
      <c r="D774" s="15"/>
      <c r="E774" s="17"/>
      <c r="F774" s="15"/>
      <c r="G774" s="250"/>
      <c r="H774" s="243"/>
      <c r="I774" s="243"/>
      <c r="J774" s="243"/>
      <c r="K774" s="85"/>
      <c r="L774" s="85"/>
      <c r="M774" s="85"/>
      <c r="N774" s="85"/>
      <c r="O774" s="29"/>
      <c r="P774" s="307"/>
      <c r="Q774" s="29"/>
      <c r="R774" s="29"/>
      <c r="S774" s="15"/>
      <c r="T774" s="15"/>
      <c r="U774" s="243"/>
      <c r="V774" s="243"/>
      <c r="W774" s="243"/>
      <c r="X774" s="243"/>
      <c r="Y774" s="243"/>
      <c r="Z774" s="243"/>
    </row>
    <row r="775">
      <c r="A775" s="34"/>
      <c r="B775" s="15"/>
      <c r="C775" s="15"/>
      <c r="D775" s="15"/>
      <c r="E775" s="17"/>
      <c r="F775" s="15"/>
      <c r="G775" s="250"/>
      <c r="H775" s="243"/>
      <c r="I775" s="243"/>
      <c r="J775" s="243"/>
      <c r="K775" s="85"/>
      <c r="L775" s="85"/>
      <c r="M775" s="85"/>
      <c r="N775" s="85"/>
      <c r="O775" s="29"/>
      <c r="P775" s="307"/>
      <c r="Q775" s="29"/>
      <c r="R775" s="29"/>
      <c r="S775" s="15"/>
      <c r="T775" s="15"/>
      <c r="U775" s="243"/>
      <c r="V775" s="243"/>
      <c r="W775" s="243"/>
      <c r="X775" s="243"/>
      <c r="Y775" s="243"/>
      <c r="Z775" s="243"/>
    </row>
    <row r="776">
      <c r="A776" s="34"/>
      <c r="B776" s="15"/>
      <c r="C776" s="15"/>
      <c r="D776" s="15"/>
      <c r="E776" s="17"/>
      <c r="F776" s="15"/>
      <c r="G776" s="250"/>
      <c r="H776" s="243"/>
      <c r="I776" s="243"/>
      <c r="J776" s="243"/>
      <c r="K776" s="85"/>
      <c r="L776" s="85"/>
      <c r="M776" s="85"/>
      <c r="N776" s="85"/>
      <c r="O776" s="29"/>
      <c r="P776" s="307"/>
      <c r="Q776" s="29"/>
      <c r="R776" s="29"/>
      <c r="S776" s="15"/>
      <c r="T776" s="15"/>
      <c r="U776" s="243"/>
      <c r="V776" s="243"/>
      <c r="W776" s="243"/>
      <c r="X776" s="243"/>
      <c r="Y776" s="243"/>
      <c r="Z776" s="243"/>
    </row>
    <row r="777">
      <c r="A777" s="34"/>
      <c r="B777" s="15"/>
      <c r="C777" s="15"/>
      <c r="D777" s="15"/>
      <c r="E777" s="17"/>
      <c r="F777" s="15"/>
      <c r="G777" s="250"/>
      <c r="H777" s="243"/>
      <c r="I777" s="243"/>
      <c r="J777" s="243"/>
      <c r="K777" s="85"/>
      <c r="L777" s="85"/>
      <c r="M777" s="85"/>
      <c r="N777" s="85"/>
      <c r="O777" s="29"/>
      <c r="P777" s="307"/>
      <c r="Q777" s="29"/>
      <c r="R777" s="29"/>
      <c r="S777" s="15"/>
      <c r="T777" s="15"/>
      <c r="U777" s="243"/>
      <c r="V777" s="243"/>
      <c r="W777" s="243"/>
      <c r="X777" s="243"/>
      <c r="Y777" s="243"/>
      <c r="Z777" s="243"/>
    </row>
    <row r="778">
      <c r="A778" s="34"/>
      <c r="B778" s="15"/>
      <c r="C778" s="15"/>
      <c r="D778" s="15"/>
      <c r="E778" s="17"/>
      <c r="F778" s="15"/>
      <c r="G778" s="250"/>
      <c r="H778" s="243"/>
      <c r="I778" s="243"/>
      <c r="J778" s="243"/>
      <c r="K778" s="85"/>
      <c r="L778" s="85"/>
      <c r="M778" s="85"/>
      <c r="N778" s="85"/>
      <c r="O778" s="29"/>
      <c r="P778" s="307"/>
      <c r="Q778" s="29"/>
      <c r="R778" s="29"/>
      <c r="S778" s="15"/>
      <c r="T778" s="15"/>
      <c r="U778" s="243"/>
      <c r="V778" s="243"/>
      <c r="W778" s="243"/>
      <c r="X778" s="243"/>
      <c r="Y778" s="243"/>
      <c r="Z778" s="243"/>
    </row>
    <row r="779">
      <c r="A779" s="34"/>
      <c r="B779" s="15"/>
      <c r="C779" s="15"/>
      <c r="D779" s="15"/>
      <c r="E779" s="17"/>
      <c r="F779" s="15"/>
      <c r="G779" s="250"/>
      <c r="H779" s="243"/>
      <c r="I779" s="243"/>
      <c r="J779" s="243"/>
      <c r="K779" s="85"/>
      <c r="L779" s="85"/>
      <c r="M779" s="85"/>
      <c r="N779" s="85"/>
      <c r="O779" s="29"/>
      <c r="P779" s="307"/>
      <c r="Q779" s="29"/>
      <c r="R779" s="29"/>
      <c r="S779" s="15"/>
      <c r="T779" s="15"/>
      <c r="U779" s="243"/>
      <c r="V779" s="243"/>
      <c r="W779" s="243"/>
      <c r="X779" s="243"/>
      <c r="Y779" s="243"/>
      <c r="Z779" s="243"/>
    </row>
    <row r="780">
      <c r="A780" s="34"/>
      <c r="B780" s="15"/>
      <c r="C780" s="15"/>
      <c r="D780" s="15"/>
      <c r="E780" s="17"/>
      <c r="F780" s="15"/>
      <c r="G780" s="250"/>
      <c r="H780" s="243"/>
      <c r="I780" s="243"/>
      <c r="J780" s="243"/>
      <c r="K780" s="85"/>
      <c r="L780" s="85"/>
      <c r="M780" s="85"/>
      <c r="N780" s="85"/>
      <c r="O780" s="29"/>
      <c r="P780" s="307"/>
      <c r="Q780" s="29"/>
      <c r="R780" s="29"/>
      <c r="S780" s="15"/>
      <c r="T780" s="15"/>
      <c r="U780" s="243"/>
      <c r="V780" s="243"/>
      <c r="W780" s="243"/>
      <c r="X780" s="243"/>
      <c r="Y780" s="243"/>
      <c r="Z780" s="243"/>
    </row>
    <row r="781">
      <c r="A781" s="34"/>
      <c r="B781" s="15"/>
      <c r="C781" s="15"/>
      <c r="D781" s="15"/>
      <c r="E781" s="17"/>
      <c r="F781" s="15"/>
      <c r="G781" s="250"/>
      <c r="H781" s="243"/>
      <c r="I781" s="243"/>
      <c r="J781" s="243"/>
      <c r="K781" s="85"/>
      <c r="L781" s="85"/>
      <c r="M781" s="85"/>
      <c r="N781" s="85"/>
      <c r="O781" s="29"/>
      <c r="P781" s="307"/>
      <c r="Q781" s="29"/>
      <c r="R781" s="29"/>
      <c r="S781" s="15"/>
      <c r="T781" s="15"/>
      <c r="U781" s="243"/>
      <c r="V781" s="243"/>
      <c r="W781" s="243"/>
      <c r="X781" s="243"/>
      <c r="Y781" s="243"/>
      <c r="Z781" s="243"/>
    </row>
    <row r="782">
      <c r="A782" s="34"/>
      <c r="B782" s="15"/>
      <c r="C782" s="15"/>
      <c r="D782" s="15"/>
      <c r="E782" s="17"/>
      <c r="F782" s="15"/>
      <c r="G782" s="250"/>
      <c r="H782" s="243"/>
      <c r="I782" s="243"/>
      <c r="J782" s="243"/>
      <c r="K782" s="85"/>
      <c r="L782" s="85"/>
      <c r="M782" s="85"/>
      <c r="N782" s="85"/>
      <c r="O782" s="29"/>
      <c r="P782" s="307"/>
      <c r="Q782" s="29"/>
      <c r="R782" s="29"/>
      <c r="S782" s="15"/>
      <c r="T782" s="15"/>
      <c r="U782" s="243"/>
      <c r="V782" s="243"/>
      <c r="W782" s="243"/>
      <c r="X782" s="243"/>
      <c r="Y782" s="243"/>
      <c r="Z782" s="243"/>
    </row>
    <row r="783">
      <c r="A783" s="34"/>
      <c r="B783" s="15"/>
      <c r="C783" s="15"/>
      <c r="D783" s="15"/>
      <c r="E783" s="17"/>
      <c r="F783" s="15"/>
      <c r="G783" s="250"/>
      <c r="H783" s="243"/>
      <c r="I783" s="243"/>
      <c r="J783" s="243"/>
      <c r="K783" s="85"/>
      <c r="L783" s="85"/>
      <c r="M783" s="85"/>
      <c r="N783" s="85"/>
      <c r="O783" s="29"/>
      <c r="P783" s="307"/>
      <c r="Q783" s="29"/>
      <c r="R783" s="29"/>
      <c r="S783" s="15"/>
      <c r="T783" s="15"/>
      <c r="U783" s="243"/>
      <c r="V783" s="243"/>
      <c r="W783" s="243"/>
      <c r="X783" s="243"/>
      <c r="Y783" s="243"/>
      <c r="Z783" s="243"/>
    </row>
    <row r="784">
      <c r="A784" s="34"/>
      <c r="B784" s="15"/>
      <c r="C784" s="15"/>
      <c r="D784" s="15"/>
      <c r="E784" s="17"/>
      <c r="F784" s="15"/>
      <c r="G784" s="250"/>
      <c r="H784" s="243"/>
      <c r="I784" s="243"/>
      <c r="J784" s="243"/>
      <c r="K784" s="85"/>
      <c r="L784" s="85"/>
      <c r="M784" s="85"/>
      <c r="N784" s="85"/>
      <c r="O784" s="29"/>
      <c r="P784" s="307"/>
      <c r="Q784" s="29"/>
      <c r="R784" s="29"/>
      <c r="S784" s="15"/>
      <c r="T784" s="15"/>
      <c r="U784" s="243"/>
      <c r="V784" s="243"/>
      <c r="W784" s="243"/>
      <c r="X784" s="243"/>
      <c r="Y784" s="243"/>
      <c r="Z784" s="243"/>
    </row>
    <row r="785">
      <c r="A785" s="34"/>
      <c r="B785" s="15"/>
      <c r="C785" s="15"/>
      <c r="D785" s="15"/>
      <c r="E785" s="17"/>
      <c r="F785" s="15"/>
      <c r="G785" s="250"/>
      <c r="H785" s="243"/>
      <c r="I785" s="243"/>
      <c r="J785" s="243"/>
      <c r="K785" s="85"/>
      <c r="L785" s="85"/>
      <c r="M785" s="85"/>
      <c r="N785" s="85"/>
      <c r="O785" s="29"/>
      <c r="P785" s="307"/>
      <c r="Q785" s="29"/>
      <c r="R785" s="29"/>
      <c r="S785" s="15"/>
      <c r="T785" s="15"/>
      <c r="U785" s="243"/>
      <c r="V785" s="243"/>
      <c r="W785" s="243"/>
      <c r="X785" s="243"/>
      <c r="Y785" s="243"/>
      <c r="Z785" s="243"/>
    </row>
    <row r="786">
      <c r="A786" s="34"/>
      <c r="B786" s="15"/>
      <c r="C786" s="15"/>
      <c r="D786" s="15"/>
      <c r="E786" s="17"/>
      <c r="F786" s="15"/>
      <c r="G786" s="250"/>
      <c r="H786" s="243"/>
      <c r="I786" s="243"/>
      <c r="J786" s="243"/>
      <c r="K786" s="85"/>
      <c r="L786" s="85"/>
      <c r="M786" s="85"/>
      <c r="N786" s="85"/>
      <c r="O786" s="29"/>
      <c r="P786" s="307"/>
      <c r="Q786" s="29"/>
      <c r="R786" s="29"/>
      <c r="S786" s="15"/>
      <c r="T786" s="15"/>
      <c r="U786" s="243"/>
      <c r="V786" s="243"/>
      <c r="W786" s="243"/>
      <c r="X786" s="243"/>
      <c r="Y786" s="243"/>
      <c r="Z786" s="243"/>
    </row>
    <row r="787">
      <c r="A787" s="34"/>
      <c r="B787" s="15"/>
      <c r="C787" s="15"/>
      <c r="D787" s="15"/>
      <c r="E787" s="17"/>
      <c r="F787" s="15"/>
      <c r="G787" s="250"/>
      <c r="H787" s="243"/>
      <c r="I787" s="243"/>
      <c r="J787" s="243"/>
      <c r="K787" s="85"/>
      <c r="L787" s="85"/>
      <c r="M787" s="85"/>
      <c r="N787" s="85"/>
      <c r="O787" s="29"/>
      <c r="P787" s="307"/>
      <c r="Q787" s="29"/>
      <c r="R787" s="29"/>
      <c r="S787" s="15"/>
      <c r="T787" s="15"/>
      <c r="U787" s="243"/>
      <c r="V787" s="243"/>
      <c r="W787" s="243"/>
      <c r="X787" s="243"/>
      <c r="Y787" s="243"/>
      <c r="Z787" s="243"/>
    </row>
    <row r="788">
      <c r="A788" s="34"/>
      <c r="B788" s="15"/>
      <c r="C788" s="15"/>
      <c r="D788" s="15"/>
      <c r="E788" s="17"/>
      <c r="F788" s="15"/>
      <c r="G788" s="250"/>
      <c r="H788" s="243"/>
      <c r="I788" s="243"/>
      <c r="J788" s="243"/>
      <c r="K788" s="85"/>
      <c r="L788" s="85"/>
      <c r="M788" s="85"/>
      <c r="N788" s="85"/>
      <c r="O788" s="29"/>
      <c r="P788" s="307"/>
      <c r="Q788" s="29"/>
      <c r="R788" s="29"/>
      <c r="S788" s="15"/>
      <c r="T788" s="15"/>
      <c r="U788" s="243"/>
      <c r="V788" s="243"/>
      <c r="W788" s="243"/>
      <c r="X788" s="243"/>
      <c r="Y788" s="243"/>
      <c r="Z788" s="243"/>
    </row>
    <row r="789">
      <c r="A789" s="34"/>
      <c r="B789" s="15"/>
      <c r="C789" s="15"/>
      <c r="D789" s="15"/>
      <c r="E789" s="17"/>
      <c r="F789" s="15"/>
      <c r="G789" s="250"/>
      <c r="H789" s="243"/>
      <c r="I789" s="243"/>
      <c r="J789" s="243"/>
      <c r="K789" s="85"/>
      <c r="L789" s="85"/>
      <c r="M789" s="85"/>
      <c r="N789" s="85"/>
      <c r="O789" s="29"/>
      <c r="P789" s="307"/>
      <c r="Q789" s="29"/>
      <c r="R789" s="29"/>
      <c r="S789" s="15"/>
      <c r="T789" s="15"/>
      <c r="U789" s="243"/>
      <c r="V789" s="243"/>
      <c r="W789" s="243"/>
      <c r="X789" s="243"/>
      <c r="Y789" s="243"/>
      <c r="Z789" s="243"/>
    </row>
    <row r="790">
      <c r="A790" s="34"/>
      <c r="B790" s="15"/>
      <c r="C790" s="15"/>
      <c r="D790" s="15"/>
      <c r="E790" s="17"/>
      <c r="F790" s="15"/>
      <c r="G790" s="250"/>
      <c r="H790" s="243"/>
      <c r="I790" s="243"/>
      <c r="J790" s="243"/>
      <c r="K790" s="85"/>
      <c r="L790" s="85"/>
      <c r="M790" s="85"/>
      <c r="N790" s="85"/>
      <c r="O790" s="29"/>
      <c r="P790" s="307"/>
      <c r="Q790" s="29"/>
      <c r="R790" s="29"/>
      <c r="S790" s="15"/>
      <c r="T790" s="15"/>
      <c r="U790" s="243"/>
      <c r="V790" s="243"/>
      <c r="W790" s="243"/>
      <c r="X790" s="243"/>
      <c r="Y790" s="243"/>
      <c r="Z790" s="243"/>
    </row>
    <row r="791">
      <c r="A791" s="34"/>
      <c r="B791" s="15"/>
      <c r="C791" s="15"/>
      <c r="D791" s="15"/>
      <c r="E791" s="17"/>
      <c r="F791" s="15"/>
      <c r="G791" s="250"/>
      <c r="H791" s="243"/>
      <c r="I791" s="243"/>
      <c r="J791" s="243"/>
      <c r="K791" s="85"/>
      <c r="L791" s="85"/>
      <c r="M791" s="85"/>
      <c r="N791" s="85"/>
      <c r="O791" s="29"/>
      <c r="P791" s="307"/>
      <c r="Q791" s="29"/>
      <c r="R791" s="29"/>
      <c r="S791" s="15"/>
      <c r="T791" s="15"/>
      <c r="U791" s="243"/>
      <c r="V791" s="243"/>
      <c r="W791" s="243"/>
      <c r="X791" s="243"/>
      <c r="Y791" s="243"/>
      <c r="Z791" s="243"/>
    </row>
    <row r="792">
      <c r="A792" s="34"/>
      <c r="B792" s="15"/>
      <c r="C792" s="15"/>
      <c r="D792" s="15"/>
      <c r="E792" s="17"/>
      <c r="F792" s="15"/>
      <c r="G792" s="250"/>
      <c r="H792" s="243"/>
      <c r="I792" s="243"/>
      <c r="J792" s="243"/>
      <c r="K792" s="85"/>
      <c r="L792" s="85"/>
      <c r="M792" s="85"/>
      <c r="N792" s="85"/>
      <c r="O792" s="29"/>
      <c r="P792" s="307"/>
      <c r="Q792" s="29"/>
      <c r="R792" s="29"/>
      <c r="S792" s="15"/>
      <c r="T792" s="15"/>
      <c r="U792" s="243"/>
      <c r="V792" s="243"/>
      <c r="W792" s="243"/>
      <c r="X792" s="243"/>
      <c r="Y792" s="243"/>
      <c r="Z792" s="243"/>
    </row>
    <row r="793">
      <c r="A793" s="34"/>
      <c r="B793" s="15"/>
      <c r="C793" s="15"/>
      <c r="D793" s="15"/>
      <c r="E793" s="17"/>
      <c r="F793" s="15"/>
      <c r="G793" s="250"/>
      <c r="H793" s="243"/>
      <c r="I793" s="243"/>
      <c r="J793" s="243"/>
      <c r="K793" s="85"/>
      <c r="L793" s="85"/>
      <c r="M793" s="85"/>
      <c r="N793" s="85"/>
      <c r="O793" s="29"/>
      <c r="P793" s="307"/>
      <c r="Q793" s="29"/>
      <c r="R793" s="29"/>
      <c r="S793" s="15"/>
      <c r="T793" s="15"/>
      <c r="U793" s="243"/>
      <c r="V793" s="243"/>
      <c r="W793" s="243"/>
      <c r="X793" s="243"/>
      <c r="Y793" s="243"/>
      <c r="Z793" s="243"/>
    </row>
    <row r="794">
      <c r="A794" s="34"/>
      <c r="B794" s="15"/>
      <c r="C794" s="15"/>
      <c r="D794" s="15"/>
      <c r="E794" s="17"/>
      <c r="F794" s="15"/>
      <c r="G794" s="250"/>
      <c r="H794" s="243"/>
      <c r="I794" s="243"/>
      <c r="J794" s="243"/>
      <c r="K794" s="85"/>
      <c r="L794" s="85"/>
      <c r="M794" s="85"/>
      <c r="N794" s="85"/>
      <c r="O794" s="29"/>
      <c r="P794" s="307"/>
      <c r="Q794" s="29"/>
      <c r="R794" s="29"/>
      <c r="S794" s="15"/>
      <c r="T794" s="15"/>
      <c r="U794" s="243"/>
      <c r="V794" s="243"/>
      <c r="W794" s="243"/>
      <c r="X794" s="243"/>
      <c r="Y794" s="243"/>
      <c r="Z794" s="243"/>
    </row>
    <row r="795">
      <c r="A795" s="34"/>
      <c r="B795" s="15"/>
      <c r="C795" s="15"/>
      <c r="D795" s="15"/>
      <c r="E795" s="17"/>
      <c r="F795" s="15"/>
      <c r="G795" s="250"/>
      <c r="H795" s="243"/>
      <c r="I795" s="243"/>
      <c r="J795" s="243"/>
      <c r="K795" s="85"/>
      <c r="L795" s="85"/>
      <c r="M795" s="85"/>
      <c r="N795" s="85"/>
      <c r="O795" s="29"/>
      <c r="P795" s="307"/>
      <c r="Q795" s="29"/>
      <c r="R795" s="29"/>
      <c r="S795" s="15"/>
      <c r="T795" s="15"/>
      <c r="U795" s="243"/>
      <c r="V795" s="243"/>
      <c r="W795" s="243"/>
      <c r="X795" s="243"/>
      <c r="Y795" s="243"/>
      <c r="Z795" s="243"/>
    </row>
    <row r="796">
      <c r="A796" s="34"/>
      <c r="B796" s="15"/>
      <c r="C796" s="15"/>
      <c r="D796" s="15"/>
      <c r="E796" s="17"/>
      <c r="F796" s="15"/>
      <c r="G796" s="250"/>
      <c r="H796" s="243"/>
      <c r="I796" s="243"/>
      <c r="J796" s="243"/>
      <c r="K796" s="85"/>
      <c r="L796" s="85"/>
      <c r="M796" s="85"/>
      <c r="N796" s="85"/>
      <c r="O796" s="29"/>
      <c r="P796" s="307"/>
      <c r="Q796" s="29"/>
      <c r="R796" s="29"/>
      <c r="S796" s="15"/>
      <c r="T796" s="15"/>
      <c r="U796" s="243"/>
      <c r="V796" s="243"/>
      <c r="W796" s="243"/>
      <c r="X796" s="243"/>
      <c r="Y796" s="243"/>
      <c r="Z796" s="243"/>
    </row>
    <row r="797">
      <c r="A797" s="34"/>
      <c r="B797" s="15"/>
      <c r="C797" s="15"/>
      <c r="D797" s="15"/>
      <c r="E797" s="17"/>
      <c r="F797" s="15"/>
      <c r="G797" s="250"/>
      <c r="H797" s="243"/>
      <c r="I797" s="243"/>
      <c r="J797" s="243"/>
      <c r="K797" s="85"/>
      <c r="L797" s="85"/>
      <c r="M797" s="85"/>
      <c r="N797" s="85"/>
      <c r="O797" s="29"/>
      <c r="P797" s="307"/>
      <c r="Q797" s="29"/>
      <c r="R797" s="29"/>
      <c r="S797" s="15"/>
      <c r="T797" s="15"/>
      <c r="U797" s="243"/>
      <c r="V797" s="243"/>
      <c r="W797" s="243"/>
      <c r="X797" s="243"/>
      <c r="Y797" s="243"/>
      <c r="Z797" s="243"/>
    </row>
    <row r="798">
      <c r="A798" s="34"/>
      <c r="B798" s="15"/>
      <c r="C798" s="15"/>
      <c r="D798" s="15"/>
      <c r="E798" s="17"/>
      <c r="F798" s="15"/>
      <c r="G798" s="250"/>
      <c r="H798" s="243"/>
      <c r="I798" s="243"/>
      <c r="J798" s="243"/>
      <c r="K798" s="85"/>
      <c r="L798" s="85"/>
      <c r="M798" s="85"/>
      <c r="N798" s="85"/>
      <c r="O798" s="29"/>
      <c r="P798" s="307"/>
      <c r="Q798" s="29"/>
      <c r="R798" s="29"/>
      <c r="S798" s="15"/>
      <c r="T798" s="15"/>
      <c r="U798" s="243"/>
      <c r="V798" s="243"/>
      <c r="W798" s="243"/>
      <c r="X798" s="243"/>
      <c r="Y798" s="243"/>
      <c r="Z798" s="243"/>
    </row>
    <row r="799">
      <c r="A799" s="34"/>
      <c r="B799" s="15"/>
      <c r="C799" s="15"/>
      <c r="D799" s="15"/>
      <c r="E799" s="17"/>
      <c r="F799" s="15"/>
      <c r="G799" s="250"/>
      <c r="H799" s="243"/>
      <c r="I799" s="243"/>
      <c r="J799" s="243"/>
      <c r="K799" s="85"/>
      <c r="L799" s="85"/>
      <c r="M799" s="85"/>
      <c r="N799" s="85"/>
      <c r="O799" s="29"/>
      <c r="P799" s="307"/>
      <c r="Q799" s="29"/>
      <c r="R799" s="29"/>
      <c r="S799" s="15"/>
      <c r="T799" s="15"/>
      <c r="U799" s="243"/>
      <c r="V799" s="243"/>
      <c r="W799" s="243"/>
      <c r="X799" s="243"/>
      <c r="Y799" s="243"/>
      <c r="Z799" s="243"/>
    </row>
    <row r="800">
      <c r="A800" s="34"/>
      <c r="B800" s="15"/>
      <c r="C800" s="15"/>
      <c r="D800" s="15"/>
      <c r="E800" s="17"/>
      <c r="F800" s="15"/>
      <c r="G800" s="250"/>
      <c r="H800" s="243"/>
      <c r="I800" s="243"/>
      <c r="J800" s="243"/>
      <c r="K800" s="85"/>
      <c r="L800" s="85"/>
      <c r="M800" s="85"/>
      <c r="N800" s="85"/>
      <c r="O800" s="29"/>
      <c r="P800" s="307"/>
      <c r="Q800" s="29"/>
      <c r="R800" s="29"/>
      <c r="S800" s="15"/>
      <c r="T800" s="15"/>
      <c r="U800" s="243"/>
      <c r="V800" s="243"/>
      <c r="W800" s="243"/>
      <c r="X800" s="243"/>
      <c r="Y800" s="243"/>
      <c r="Z800" s="243"/>
    </row>
    <row r="801">
      <c r="A801" s="34"/>
      <c r="B801" s="15"/>
      <c r="C801" s="15"/>
      <c r="D801" s="15"/>
      <c r="E801" s="17"/>
      <c r="F801" s="15"/>
      <c r="G801" s="250"/>
      <c r="H801" s="243"/>
      <c r="I801" s="243"/>
      <c r="J801" s="243"/>
      <c r="K801" s="85"/>
      <c r="L801" s="85"/>
      <c r="M801" s="85"/>
      <c r="N801" s="85"/>
      <c r="O801" s="29"/>
      <c r="P801" s="307"/>
      <c r="Q801" s="29"/>
      <c r="R801" s="29"/>
      <c r="S801" s="15"/>
      <c r="T801" s="15"/>
      <c r="U801" s="243"/>
      <c r="V801" s="243"/>
      <c r="W801" s="243"/>
      <c r="X801" s="243"/>
      <c r="Y801" s="243"/>
      <c r="Z801" s="243"/>
    </row>
    <row r="802">
      <c r="A802" s="34"/>
      <c r="B802" s="15"/>
      <c r="C802" s="15"/>
      <c r="D802" s="15"/>
      <c r="E802" s="17"/>
      <c r="F802" s="15"/>
      <c r="G802" s="250"/>
      <c r="H802" s="243"/>
      <c r="I802" s="243"/>
      <c r="J802" s="243"/>
      <c r="K802" s="85"/>
      <c r="L802" s="85"/>
      <c r="M802" s="85"/>
      <c r="N802" s="85"/>
      <c r="O802" s="29"/>
      <c r="P802" s="307"/>
      <c r="Q802" s="29"/>
      <c r="R802" s="29"/>
      <c r="S802" s="15"/>
      <c r="T802" s="15"/>
      <c r="U802" s="243"/>
      <c r="V802" s="243"/>
      <c r="W802" s="243"/>
      <c r="X802" s="243"/>
      <c r="Y802" s="243"/>
      <c r="Z802" s="243"/>
    </row>
    <row r="803">
      <c r="A803" s="34"/>
      <c r="B803" s="15"/>
      <c r="C803" s="15"/>
      <c r="D803" s="15"/>
      <c r="E803" s="17"/>
      <c r="F803" s="15"/>
      <c r="G803" s="250"/>
      <c r="H803" s="243"/>
      <c r="I803" s="243"/>
      <c r="J803" s="243"/>
      <c r="K803" s="85"/>
      <c r="L803" s="85"/>
      <c r="M803" s="85"/>
      <c r="N803" s="85"/>
      <c r="O803" s="29"/>
      <c r="P803" s="307"/>
      <c r="Q803" s="29"/>
      <c r="R803" s="29"/>
      <c r="S803" s="15"/>
      <c r="T803" s="15"/>
      <c r="U803" s="243"/>
      <c r="V803" s="243"/>
      <c r="W803" s="243"/>
      <c r="X803" s="243"/>
      <c r="Y803" s="243"/>
      <c r="Z803" s="243"/>
    </row>
    <row r="804">
      <c r="A804" s="34"/>
      <c r="B804" s="15"/>
      <c r="C804" s="15"/>
      <c r="D804" s="15"/>
      <c r="E804" s="17"/>
      <c r="F804" s="15"/>
      <c r="G804" s="250"/>
      <c r="H804" s="243"/>
      <c r="I804" s="243"/>
      <c r="J804" s="243"/>
      <c r="K804" s="85"/>
      <c r="L804" s="85"/>
      <c r="M804" s="85"/>
      <c r="N804" s="85"/>
      <c r="O804" s="29"/>
      <c r="P804" s="307"/>
      <c r="Q804" s="29"/>
      <c r="R804" s="29"/>
      <c r="S804" s="15"/>
      <c r="T804" s="15"/>
      <c r="U804" s="243"/>
      <c r="V804" s="243"/>
      <c r="W804" s="243"/>
      <c r="X804" s="243"/>
      <c r="Y804" s="243"/>
      <c r="Z804" s="243"/>
    </row>
    <row r="805">
      <c r="A805" s="34"/>
      <c r="B805" s="15"/>
      <c r="C805" s="15"/>
      <c r="D805" s="15"/>
      <c r="E805" s="17"/>
      <c r="F805" s="15"/>
      <c r="G805" s="250"/>
      <c r="H805" s="243"/>
      <c r="I805" s="243"/>
      <c r="J805" s="243"/>
      <c r="K805" s="85"/>
      <c r="L805" s="85"/>
      <c r="M805" s="85"/>
      <c r="N805" s="85"/>
      <c r="O805" s="29"/>
      <c r="P805" s="307"/>
      <c r="Q805" s="29"/>
      <c r="R805" s="29"/>
      <c r="S805" s="15"/>
      <c r="T805" s="15"/>
      <c r="U805" s="243"/>
      <c r="V805" s="243"/>
      <c r="W805" s="243"/>
      <c r="X805" s="243"/>
      <c r="Y805" s="243"/>
      <c r="Z805" s="243"/>
    </row>
    <row r="806">
      <c r="A806" s="34"/>
      <c r="B806" s="15"/>
      <c r="C806" s="15"/>
      <c r="D806" s="15"/>
      <c r="E806" s="17"/>
      <c r="F806" s="15"/>
      <c r="G806" s="250"/>
      <c r="H806" s="243"/>
      <c r="I806" s="243"/>
      <c r="J806" s="243"/>
      <c r="K806" s="85"/>
      <c r="L806" s="85"/>
      <c r="M806" s="85"/>
      <c r="N806" s="85"/>
      <c r="O806" s="29"/>
      <c r="P806" s="307"/>
      <c r="Q806" s="29"/>
      <c r="R806" s="29"/>
      <c r="S806" s="15"/>
      <c r="T806" s="15"/>
      <c r="U806" s="243"/>
      <c r="V806" s="243"/>
      <c r="W806" s="243"/>
      <c r="X806" s="243"/>
      <c r="Y806" s="243"/>
      <c r="Z806" s="243"/>
    </row>
    <row r="807">
      <c r="A807" s="34"/>
      <c r="B807" s="15"/>
      <c r="C807" s="15"/>
      <c r="D807" s="15"/>
      <c r="E807" s="17"/>
      <c r="F807" s="15"/>
      <c r="G807" s="250"/>
      <c r="H807" s="243"/>
      <c r="I807" s="243"/>
      <c r="J807" s="243"/>
      <c r="K807" s="85"/>
      <c r="L807" s="85"/>
      <c r="M807" s="85"/>
      <c r="N807" s="85"/>
      <c r="O807" s="29"/>
      <c r="P807" s="307"/>
      <c r="Q807" s="29"/>
      <c r="R807" s="29"/>
      <c r="S807" s="15"/>
      <c r="T807" s="15"/>
      <c r="U807" s="243"/>
      <c r="V807" s="243"/>
      <c r="W807" s="243"/>
      <c r="X807" s="243"/>
      <c r="Y807" s="243"/>
      <c r="Z807" s="243"/>
    </row>
    <row r="808">
      <c r="A808" s="34"/>
      <c r="B808" s="15"/>
      <c r="C808" s="15"/>
      <c r="D808" s="15"/>
      <c r="E808" s="17"/>
      <c r="F808" s="15"/>
      <c r="G808" s="250"/>
      <c r="H808" s="243"/>
      <c r="I808" s="243"/>
      <c r="J808" s="243"/>
      <c r="K808" s="85"/>
      <c r="L808" s="85"/>
      <c r="M808" s="85"/>
      <c r="N808" s="85"/>
      <c r="O808" s="29"/>
      <c r="P808" s="307"/>
      <c r="Q808" s="29"/>
      <c r="R808" s="29"/>
      <c r="S808" s="15"/>
      <c r="T808" s="15"/>
      <c r="U808" s="243"/>
      <c r="V808" s="243"/>
      <c r="W808" s="243"/>
      <c r="X808" s="243"/>
      <c r="Y808" s="243"/>
      <c r="Z808" s="243"/>
    </row>
    <row r="809">
      <c r="A809" s="34"/>
      <c r="B809" s="15"/>
      <c r="C809" s="15"/>
      <c r="D809" s="15"/>
      <c r="E809" s="17"/>
      <c r="F809" s="15"/>
      <c r="G809" s="250"/>
      <c r="H809" s="243"/>
      <c r="I809" s="243"/>
      <c r="J809" s="243"/>
      <c r="K809" s="85"/>
      <c r="L809" s="85"/>
      <c r="M809" s="85"/>
      <c r="N809" s="85"/>
      <c r="O809" s="29"/>
      <c r="P809" s="307"/>
      <c r="Q809" s="29"/>
      <c r="R809" s="29"/>
      <c r="S809" s="15"/>
      <c r="T809" s="15"/>
      <c r="U809" s="243"/>
      <c r="V809" s="243"/>
      <c r="W809" s="243"/>
      <c r="X809" s="243"/>
      <c r="Y809" s="243"/>
      <c r="Z809" s="243"/>
    </row>
    <row r="810">
      <c r="A810" s="34"/>
      <c r="B810" s="15"/>
      <c r="C810" s="15"/>
      <c r="D810" s="15"/>
      <c r="E810" s="17"/>
      <c r="F810" s="15"/>
      <c r="G810" s="250"/>
      <c r="H810" s="243"/>
      <c r="I810" s="243"/>
      <c r="J810" s="243"/>
      <c r="K810" s="85"/>
      <c r="L810" s="85"/>
      <c r="M810" s="85"/>
      <c r="N810" s="85"/>
      <c r="O810" s="29"/>
      <c r="P810" s="307"/>
      <c r="Q810" s="29"/>
      <c r="R810" s="29"/>
      <c r="S810" s="15"/>
      <c r="T810" s="15"/>
      <c r="U810" s="243"/>
      <c r="V810" s="243"/>
      <c r="W810" s="243"/>
      <c r="X810" s="243"/>
      <c r="Y810" s="243"/>
      <c r="Z810" s="243"/>
    </row>
    <row r="811">
      <c r="A811" s="34"/>
      <c r="B811" s="15"/>
      <c r="C811" s="15"/>
      <c r="D811" s="15"/>
      <c r="E811" s="17"/>
      <c r="F811" s="15"/>
      <c r="G811" s="250"/>
      <c r="H811" s="243"/>
      <c r="I811" s="243"/>
      <c r="J811" s="243"/>
      <c r="K811" s="85"/>
      <c r="L811" s="85"/>
      <c r="M811" s="85"/>
      <c r="N811" s="85"/>
      <c r="O811" s="29"/>
      <c r="P811" s="307"/>
      <c r="Q811" s="29"/>
      <c r="R811" s="29"/>
      <c r="S811" s="15"/>
      <c r="T811" s="15"/>
      <c r="U811" s="243"/>
      <c r="V811" s="243"/>
      <c r="W811" s="243"/>
      <c r="X811" s="243"/>
      <c r="Y811" s="243"/>
      <c r="Z811" s="243"/>
    </row>
    <row r="812">
      <c r="A812" s="34"/>
      <c r="B812" s="15"/>
      <c r="C812" s="15"/>
      <c r="D812" s="15"/>
      <c r="E812" s="17"/>
      <c r="F812" s="15"/>
      <c r="G812" s="250"/>
      <c r="H812" s="243"/>
      <c r="I812" s="243"/>
      <c r="J812" s="243"/>
      <c r="K812" s="85"/>
      <c r="L812" s="85"/>
      <c r="M812" s="85"/>
      <c r="N812" s="85"/>
      <c r="O812" s="29"/>
      <c r="P812" s="307"/>
      <c r="Q812" s="29"/>
      <c r="R812" s="29"/>
      <c r="S812" s="15"/>
      <c r="T812" s="15"/>
      <c r="U812" s="243"/>
      <c r="V812" s="243"/>
      <c r="W812" s="243"/>
      <c r="X812" s="243"/>
      <c r="Y812" s="243"/>
      <c r="Z812" s="243"/>
    </row>
    <row r="813">
      <c r="A813" s="34"/>
      <c r="B813" s="15"/>
      <c r="C813" s="15"/>
      <c r="D813" s="15"/>
      <c r="E813" s="17"/>
      <c r="F813" s="15"/>
      <c r="G813" s="250"/>
      <c r="H813" s="243"/>
      <c r="I813" s="243"/>
      <c r="J813" s="243"/>
      <c r="K813" s="85"/>
      <c r="L813" s="85"/>
      <c r="M813" s="85"/>
      <c r="N813" s="85"/>
      <c r="O813" s="29"/>
      <c r="P813" s="307"/>
      <c r="Q813" s="29"/>
      <c r="R813" s="29"/>
      <c r="S813" s="15"/>
      <c r="T813" s="15"/>
      <c r="U813" s="243"/>
      <c r="V813" s="243"/>
      <c r="W813" s="243"/>
      <c r="X813" s="243"/>
      <c r="Y813" s="243"/>
      <c r="Z813" s="243"/>
    </row>
    <row r="814">
      <c r="A814" s="34"/>
      <c r="B814" s="15"/>
      <c r="C814" s="15"/>
      <c r="D814" s="15"/>
      <c r="E814" s="17"/>
      <c r="F814" s="15"/>
      <c r="G814" s="250"/>
      <c r="H814" s="243"/>
      <c r="I814" s="243"/>
      <c r="J814" s="243"/>
      <c r="K814" s="85"/>
      <c r="L814" s="85"/>
      <c r="M814" s="85"/>
      <c r="N814" s="85"/>
      <c r="O814" s="29"/>
      <c r="P814" s="307"/>
      <c r="Q814" s="29"/>
      <c r="R814" s="29"/>
      <c r="S814" s="15"/>
      <c r="T814" s="15"/>
      <c r="U814" s="243"/>
      <c r="V814" s="243"/>
      <c r="W814" s="243"/>
      <c r="X814" s="243"/>
      <c r="Y814" s="243"/>
      <c r="Z814" s="243"/>
    </row>
    <row r="815">
      <c r="A815" s="34"/>
      <c r="B815" s="15"/>
      <c r="C815" s="15"/>
      <c r="D815" s="15"/>
      <c r="E815" s="17"/>
      <c r="F815" s="15"/>
      <c r="G815" s="250"/>
      <c r="H815" s="243"/>
      <c r="I815" s="243"/>
      <c r="J815" s="243"/>
      <c r="K815" s="85"/>
      <c r="L815" s="85"/>
      <c r="M815" s="85"/>
      <c r="N815" s="85"/>
      <c r="O815" s="29"/>
      <c r="P815" s="307"/>
      <c r="Q815" s="29"/>
      <c r="R815" s="29"/>
      <c r="S815" s="15"/>
      <c r="T815" s="15"/>
      <c r="U815" s="243"/>
      <c r="V815" s="243"/>
      <c r="W815" s="243"/>
      <c r="X815" s="243"/>
      <c r="Y815" s="243"/>
      <c r="Z815" s="243"/>
    </row>
    <row r="816">
      <c r="A816" s="34"/>
      <c r="B816" s="15"/>
      <c r="C816" s="15"/>
      <c r="D816" s="15"/>
      <c r="E816" s="17"/>
      <c r="F816" s="15"/>
      <c r="G816" s="250"/>
      <c r="H816" s="243"/>
      <c r="I816" s="243"/>
      <c r="J816" s="243"/>
      <c r="K816" s="85"/>
      <c r="L816" s="85"/>
      <c r="M816" s="85"/>
      <c r="N816" s="85"/>
      <c r="O816" s="29"/>
      <c r="P816" s="307"/>
      <c r="Q816" s="29"/>
      <c r="R816" s="29"/>
      <c r="S816" s="15"/>
      <c r="T816" s="15"/>
      <c r="U816" s="243"/>
      <c r="V816" s="243"/>
      <c r="W816" s="243"/>
      <c r="X816" s="243"/>
      <c r="Y816" s="243"/>
      <c r="Z816" s="243"/>
    </row>
    <row r="817">
      <c r="A817" s="34"/>
      <c r="B817" s="15"/>
      <c r="C817" s="15"/>
      <c r="D817" s="15"/>
      <c r="E817" s="17"/>
      <c r="F817" s="15"/>
      <c r="G817" s="250"/>
      <c r="H817" s="243"/>
      <c r="I817" s="243"/>
      <c r="J817" s="243"/>
      <c r="K817" s="85"/>
      <c r="L817" s="85"/>
      <c r="M817" s="85"/>
      <c r="N817" s="85"/>
      <c r="O817" s="29"/>
      <c r="P817" s="307"/>
      <c r="Q817" s="29"/>
      <c r="R817" s="29"/>
      <c r="S817" s="15"/>
      <c r="T817" s="15"/>
      <c r="U817" s="243"/>
      <c r="V817" s="243"/>
      <c r="W817" s="243"/>
      <c r="X817" s="243"/>
      <c r="Y817" s="243"/>
      <c r="Z817" s="243"/>
    </row>
    <row r="818">
      <c r="A818" s="34"/>
      <c r="B818" s="15"/>
      <c r="C818" s="15"/>
      <c r="D818" s="15"/>
      <c r="E818" s="17"/>
      <c r="F818" s="15"/>
      <c r="G818" s="250"/>
      <c r="H818" s="243"/>
      <c r="I818" s="243"/>
      <c r="J818" s="243"/>
      <c r="K818" s="85"/>
      <c r="L818" s="85"/>
      <c r="M818" s="85"/>
      <c r="N818" s="85"/>
      <c r="O818" s="29"/>
      <c r="P818" s="307"/>
      <c r="Q818" s="29"/>
      <c r="R818" s="29"/>
      <c r="S818" s="15"/>
      <c r="T818" s="15"/>
      <c r="U818" s="243"/>
      <c r="V818" s="243"/>
      <c r="W818" s="243"/>
      <c r="X818" s="243"/>
      <c r="Y818" s="243"/>
      <c r="Z818" s="243"/>
    </row>
    <row r="819">
      <c r="A819" s="34"/>
      <c r="B819" s="15"/>
      <c r="C819" s="15"/>
      <c r="D819" s="15"/>
      <c r="E819" s="17"/>
      <c r="F819" s="15"/>
      <c r="G819" s="250"/>
      <c r="H819" s="243"/>
      <c r="I819" s="243"/>
      <c r="J819" s="243"/>
      <c r="K819" s="85"/>
      <c r="L819" s="85"/>
      <c r="M819" s="85"/>
      <c r="N819" s="85"/>
      <c r="O819" s="29"/>
      <c r="P819" s="307"/>
      <c r="Q819" s="29"/>
      <c r="R819" s="29"/>
      <c r="S819" s="15"/>
      <c r="T819" s="15"/>
      <c r="U819" s="243"/>
      <c r="V819" s="243"/>
      <c r="W819" s="243"/>
      <c r="X819" s="243"/>
      <c r="Y819" s="243"/>
      <c r="Z819" s="243"/>
    </row>
    <row r="820">
      <c r="A820" s="34"/>
      <c r="B820" s="15"/>
      <c r="C820" s="15"/>
      <c r="D820" s="15"/>
      <c r="E820" s="17"/>
      <c r="F820" s="15"/>
      <c r="G820" s="250"/>
      <c r="H820" s="243"/>
      <c r="I820" s="243"/>
      <c r="J820" s="243"/>
      <c r="K820" s="85"/>
      <c r="L820" s="85"/>
      <c r="M820" s="85"/>
      <c r="N820" s="85"/>
      <c r="O820" s="29"/>
      <c r="P820" s="307"/>
      <c r="Q820" s="29"/>
      <c r="R820" s="29"/>
      <c r="S820" s="15"/>
      <c r="T820" s="15"/>
      <c r="U820" s="243"/>
      <c r="V820" s="243"/>
      <c r="W820" s="243"/>
      <c r="X820" s="243"/>
      <c r="Y820" s="243"/>
      <c r="Z820" s="243"/>
    </row>
    <row r="821">
      <c r="A821" s="34"/>
      <c r="B821" s="15"/>
      <c r="C821" s="15"/>
      <c r="D821" s="15"/>
      <c r="E821" s="17"/>
      <c r="F821" s="15"/>
      <c r="G821" s="250"/>
      <c r="H821" s="243"/>
      <c r="I821" s="243"/>
      <c r="J821" s="243"/>
      <c r="K821" s="85"/>
      <c r="L821" s="85"/>
      <c r="M821" s="85"/>
      <c r="N821" s="85"/>
      <c r="O821" s="29"/>
      <c r="P821" s="307"/>
      <c r="Q821" s="29"/>
      <c r="R821" s="29"/>
      <c r="S821" s="15"/>
      <c r="T821" s="15"/>
      <c r="U821" s="243"/>
      <c r="V821" s="243"/>
      <c r="W821" s="243"/>
      <c r="X821" s="243"/>
      <c r="Y821" s="243"/>
      <c r="Z821" s="243"/>
    </row>
    <row r="822">
      <c r="A822" s="34"/>
      <c r="B822" s="15"/>
      <c r="C822" s="15"/>
      <c r="D822" s="15"/>
      <c r="E822" s="17"/>
      <c r="F822" s="15"/>
      <c r="G822" s="250"/>
      <c r="H822" s="243"/>
      <c r="I822" s="243"/>
      <c r="J822" s="243"/>
      <c r="K822" s="85"/>
      <c r="L822" s="85"/>
      <c r="M822" s="85"/>
      <c r="N822" s="85"/>
      <c r="O822" s="29"/>
      <c r="P822" s="307"/>
      <c r="Q822" s="29"/>
      <c r="R822" s="29"/>
      <c r="S822" s="15"/>
      <c r="T822" s="15"/>
      <c r="U822" s="243"/>
      <c r="V822" s="243"/>
      <c r="W822" s="243"/>
      <c r="X822" s="243"/>
      <c r="Y822" s="243"/>
      <c r="Z822" s="243"/>
    </row>
    <row r="823">
      <c r="A823" s="34"/>
      <c r="B823" s="15"/>
      <c r="C823" s="15"/>
      <c r="D823" s="15"/>
      <c r="E823" s="17"/>
      <c r="F823" s="15"/>
      <c r="G823" s="250"/>
      <c r="H823" s="243"/>
      <c r="I823" s="243"/>
      <c r="J823" s="243"/>
      <c r="K823" s="85"/>
      <c r="L823" s="85"/>
      <c r="M823" s="85"/>
      <c r="N823" s="85"/>
      <c r="O823" s="29"/>
      <c r="P823" s="307"/>
      <c r="Q823" s="29"/>
      <c r="R823" s="29"/>
      <c r="S823" s="15"/>
      <c r="T823" s="15"/>
      <c r="U823" s="243"/>
      <c r="V823" s="243"/>
      <c r="W823" s="243"/>
      <c r="X823" s="243"/>
      <c r="Y823" s="243"/>
      <c r="Z823" s="243"/>
    </row>
    <row r="824">
      <c r="A824" s="34"/>
      <c r="B824" s="15"/>
      <c r="C824" s="15"/>
      <c r="D824" s="15"/>
      <c r="E824" s="17"/>
      <c r="F824" s="15"/>
      <c r="G824" s="250"/>
      <c r="H824" s="243"/>
      <c r="I824" s="243"/>
      <c r="J824" s="243"/>
      <c r="K824" s="85"/>
      <c r="L824" s="85"/>
      <c r="M824" s="85"/>
      <c r="N824" s="85"/>
      <c r="O824" s="29"/>
      <c r="P824" s="307"/>
      <c r="Q824" s="29"/>
      <c r="R824" s="29"/>
      <c r="S824" s="15"/>
      <c r="T824" s="15"/>
      <c r="U824" s="243"/>
      <c r="V824" s="243"/>
      <c r="W824" s="243"/>
      <c r="X824" s="243"/>
      <c r="Y824" s="243"/>
      <c r="Z824" s="243"/>
    </row>
    <row r="825">
      <c r="A825" s="34"/>
      <c r="B825" s="15"/>
      <c r="C825" s="15"/>
      <c r="D825" s="15"/>
      <c r="E825" s="17"/>
      <c r="F825" s="15"/>
      <c r="G825" s="250"/>
      <c r="H825" s="243"/>
      <c r="I825" s="243"/>
      <c r="J825" s="243"/>
      <c r="K825" s="85"/>
      <c r="L825" s="85"/>
      <c r="M825" s="85"/>
      <c r="N825" s="85"/>
      <c r="O825" s="29"/>
      <c r="P825" s="307"/>
      <c r="Q825" s="29"/>
      <c r="R825" s="29"/>
      <c r="S825" s="15"/>
      <c r="T825" s="15"/>
      <c r="U825" s="243"/>
      <c r="V825" s="243"/>
      <c r="W825" s="243"/>
      <c r="X825" s="243"/>
      <c r="Y825" s="243"/>
      <c r="Z825" s="243"/>
    </row>
    <row r="826">
      <c r="A826" s="34"/>
      <c r="B826" s="15"/>
      <c r="C826" s="15"/>
      <c r="D826" s="15"/>
      <c r="E826" s="17"/>
      <c r="F826" s="15"/>
      <c r="G826" s="250"/>
      <c r="H826" s="243"/>
      <c r="I826" s="243"/>
      <c r="J826" s="243"/>
      <c r="K826" s="85"/>
      <c r="L826" s="85"/>
      <c r="M826" s="85"/>
      <c r="N826" s="85"/>
      <c r="O826" s="29"/>
      <c r="P826" s="307"/>
      <c r="Q826" s="29"/>
      <c r="R826" s="29"/>
      <c r="S826" s="15"/>
      <c r="T826" s="15"/>
      <c r="U826" s="243"/>
      <c r="V826" s="243"/>
      <c r="W826" s="243"/>
      <c r="X826" s="243"/>
      <c r="Y826" s="243"/>
      <c r="Z826" s="243"/>
    </row>
    <row r="827">
      <c r="A827" s="34"/>
      <c r="B827" s="15"/>
      <c r="C827" s="15"/>
      <c r="D827" s="15"/>
      <c r="E827" s="17"/>
      <c r="F827" s="15"/>
      <c r="G827" s="250"/>
      <c r="H827" s="243"/>
      <c r="I827" s="243"/>
      <c r="J827" s="243"/>
      <c r="K827" s="85"/>
      <c r="L827" s="85"/>
      <c r="M827" s="85"/>
      <c r="N827" s="85"/>
      <c r="O827" s="29"/>
      <c r="P827" s="307"/>
      <c r="Q827" s="29"/>
      <c r="R827" s="29"/>
      <c r="S827" s="15"/>
      <c r="T827" s="15"/>
      <c r="U827" s="243"/>
      <c r="V827" s="243"/>
      <c r="W827" s="243"/>
      <c r="X827" s="243"/>
      <c r="Y827" s="243"/>
      <c r="Z827" s="243"/>
    </row>
    <row r="828">
      <c r="A828" s="34"/>
      <c r="B828" s="15"/>
      <c r="C828" s="15"/>
      <c r="D828" s="15"/>
      <c r="E828" s="17"/>
      <c r="F828" s="15"/>
      <c r="G828" s="250"/>
      <c r="H828" s="243"/>
      <c r="I828" s="243"/>
      <c r="J828" s="243"/>
      <c r="K828" s="85"/>
      <c r="L828" s="85"/>
      <c r="M828" s="85"/>
      <c r="N828" s="85"/>
      <c r="O828" s="29"/>
      <c r="P828" s="307"/>
      <c r="Q828" s="29"/>
      <c r="R828" s="29"/>
      <c r="S828" s="15"/>
      <c r="T828" s="15"/>
      <c r="U828" s="243"/>
      <c r="V828" s="243"/>
      <c r="W828" s="243"/>
      <c r="X828" s="243"/>
      <c r="Y828" s="243"/>
      <c r="Z828" s="243"/>
    </row>
    <row r="829">
      <c r="A829" s="34"/>
      <c r="B829" s="15"/>
      <c r="C829" s="15"/>
      <c r="D829" s="15"/>
      <c r="E829" s="17"/>
      <c r="F829" s="15"/>
      <c r="G829" s="250"/>
      <c r="H829" s="243"/>
      <c r="I829" s="243"/>
      <c r="J829" s="243"/>
      <c r="K829" s="85"/>
      <c r="L829" s="85"/>
      <c r="M829" s="85"/>
      <c r="N829" s="85"/>
      <c r="O829" s="29"/>
      <c r="P829" s="307"/>
      <c r="Q829" s="29"/>
      <c r="R829" s="29"/>
      <c r="S829" s="15"/>
      <c r="T829" s="15"/>
      <c r="U829" s="243"/>
      <c r="V829" s="243"/>
      <c r="W829" s="243"/>
      <c r="X829" s="243"/>
      <c r="Y829" s="243"/>
      <c r="Z829" s="243"/>
    </row>
    <row r="830">
      <c r="A830" s="34"/>
      <c r="B830" s="15"/>
      <c r="C830" s="15"/>
      <c r="D830" s="15"/>
      <c r="E830" s="17"/>
      <c r="F830" s="15"/>
      <c r="G830" s="250"/>
      <c r="H830" s="243"/>
      <c r="I830" s="243"/>
      <c r="J830" s="243"/>
      <c r="K830" s="85"/>
      <c r="L830" s="85"/>
      <c r="M830" s="85"/>
      <c r="N830" s="85"/>
      <c r="O830" s="29"/>
      <c r="P830" s="307"/>
      <c r="Q830" s="29"/>
      <c r="R830" s="29"/>
      <c r="S830" s="15"/>
      <c r="T830" s="15"/>
      <c r="U830" s="243"/>
      <c r="V830" s="243"/>
      <c r="W830" s="243"/>
      <c r="X830" s="243"/>
      <c r="Y830" s="243"/>
      <c r="Z830" s="243"/>
    </row>
    <row r="831">
      <c r="A831" s="34"/>
      <c r="B831" s="15"/>
      <c r="C831" s="15"/>
      <c r="D831" s="15"/>
      <c r="E831" s="17"/>
      <c r="F831" s="15"/>
      <c r="G831" s="250"/>
      <c r="H831" s="243"/>
      <c r="I831" s="243"/>
      <c r="J831" s="243"/>
      <c r="K831" s="85"/>
      <c r="L831" s="85"/>
      <c r="M831" s="85"/>
      <c r="N831" s="85"/>
      <c r="O831" s="29"/>
      <c r="P831" s="307"/>
      <c r="Q831" s="29"/>
      <c r="R831" s="29"/>
      <c r="S831" s="15"/>
      <c r="T831" s="15"/>
      <c r="U831" s="243"/>
      <c r="V831" s="243"/>
      <c r="W831" s="243"/>
      <c r="X831" s="243"/>
      <c r="Y831" s="243"/>
      <c r="Z831" s="243"/>
    </row>
    <row r="832">
      <c r="A832" s="34"/>
      <c r="B832" s="15"/>
      <c r="C832" s="15"/>
      <c r="D832" s="15"/>
      <c r="E832" s="17"/>
      <c r="F832" s="15"/>
      <c r="G832" s="250"/>
      <c r="H832" s="243"/>
      <c r="I832" s="243"/>
      <c r="J832" s="243"/>
      <c r="K832" s="85"/>
      <c r="L832" s="85"/>
      <c r="M832" s="85"/>
      <c r="N832" s="85"/>
      <c r="O832" s="29"/>
      <c r="P832" s="307"/>
      <c r="Q832" s="29"/>
      <c r="R832" s="29"/>
      <c r="S832" s="15"/>
      <c r="T832" s="15"/>
      <c r="U832" s="243"/>
      <c r="V832" s="243"/>
      <c r="W832" s="243"/>
      <c r="X832" s="243"/>
      <c r="Y832" s="243"/>
      <c r="Z832" s="243"/>
    </row>
    <row r="833">
      <c r="A833" s="34"/>
      <c r="B833" s="15"/>
      <c r="C833" s="15"/>
      <c r="D833" s="15"/>
      <c r="E833" s="17"/>
      <c r="F833" s="15"/>
      <c r="G833" s="250"/>
      <c r="H833" s="243"/>
      <c r="I833" s="243"/>
      <c r="J833" s="243"/>
      <c r="K833" s="85"/>
      <c r="L833" s="85"/>
      <c r="M833" s="85"/>
      <c r="N833" s="85"/>
      <c r="O833" s="29"/>
      <c r="P833" s="307"/>
      <c r="Q833" s="29"/>
      <c r="R833" s="29"/>
      <c r="S833" s="15"/>
      <c r="T833" s="15"/>
      <c r="U833" s="243"/>
      <c r="V833" s="243"/>
      <c r="W833" s="243"/>
      <c r="X833" s="243"/>
      <c r="Y833" s="243"/>
      <c r="Z833" s="243"/>
    </row>
    <row r="834">
      <c r="A834" s="34"/>
      <c r="B834" s="15"/>
      <c r="C834" s="15"/>
      <c r="D834" s="15"/>
      <c r="E834" s="17"/>
      <c r="F834" s="15"/>
      <c r="G834" s="250"/>
      <c r="H834" s="243"/>
      <c r="I834" s="243"/>
      <c r="J834" s="243"/>
      <c r="K834" s="85"/>
      <c r="L834" s="85"/>
      <c r="M834" s="85"/>
      <c r="N834" s="85"/>
      <c r="O834" s="29"/>
      <c r="P834" s="307"/>
      <c r="Q834" s="29"/>
      <c r="R834" s="29"/>
      <c r="S834" s="15"/>
      <c r="T834" s="15"/>
      <c r="U834" s="243"/>
      <c r="V834" s="243"/>
      <c r="W834" s="243"/>
      <c r="X834" s="243"/>
      <c r="Y834" s="243"/>
      <c r="Z834" s="243"/>
    </row>
    <row r="835">
      <c r="A835" s="34"/>
      <c r="B835" s="15"/>
      <c r="C835" s="15"/>
      <c r="D835" s="15"/>
      <c r="E835" s="17"/>
      <c r="F835" s="15"/>
      <c r="G835" s="250"/>
      <c r="H835" s="243"/>
      <c r="I835" s="243"/>
      <c r="J835" s="243"/>
      <c r="K835" s="85"/>
      <c r="L835" s="85"/>
      <c r="M835" s="85"/>
      <c r="N835" s="85"/>
      <c r="O835" s="29"/>
      <c r="P835" s="307"/>
      <c r="Q835" s="29"/>
      <c r="R835" s="29"/>
      <c r="S835" s="15"/>
      <c r="T835" s="15"/>
      <c r="U835" s="243"/>
      <c r="V835" s="243"/>
      <c r="W835" s="243"/>
      <c r="X835" s="243"/>
      <c r="Y835" s="243"/>
      <c r="Z835" s="243"/>
    </row>
    <row r="836">
      <c r="A836" s="34"/>
      <c r="B836" s="15"/>
      <c r="C836" s="15"/>
      <c r="D836" s="15"/>
      <c r="E836" s="17"/>
      <c r="F836" s="15"/>
      <c r="G836" s="250"/>
      <c r="H836" s="243"/>
      <c r="I836" s="243"/>
      <c r="J836" s="243"/>
      <c r="K836" s="85"/>
      <c r="L836" s="85"/>
      <c r="M836" s="85"/>
      <c r="N836" s="85"/>
      <c r="O836" s="29"/>
      <c r="P836" s="307"/>
      <c r="Q836" s="29"/>
      <c r="R836" s="29"/>
      <c r="S836" s="15"/>
      <c r="T836" s="15"/>
      <c r="U836" s="243"/>
      <c r="V836" s="243"/>
      <c r="W836" s="243"/>
      <c r="X836" s="243"/>
      <c r="Y836" s="243"/>
      <c r="Z836" s="243"/>
    </row>
    <row r="837">
      <c r="A837" s="34"/>
      <c r="B837" s="15"/>
      <c r="C837" s="15"/>
      <c r="D837" s="15"/>
      <c r="E837" s="17"/>
      <c r="F837" s="15"/>
      <c r="G837" s="250"/>
      <c r="H837" s="243"/>
      <c r="I837" s="243"/>
      <c r="J837" s="243"/>
      <c r="K837" s="85"/>
      <c r="L837" s="85"/>
      <c r="M837" s="85"/>
      <c r="N837" s="85"/>
      <c r="O837" s="29"/>
      <c r="P837" s="307"/>
      <c r="Q837" s="29"/>
      <c r="R837" s="29"/>
      <c r="S837" s="15"/>
      <c r="T837" s="15"/>
      <c r="U837" s="243"/>
      <c r="V837" s="243"/>
      <c r="W837" s="243"/>
      <c r="X837" s="243"/>
      <c r="Y837" s="243"/>
      <c r="Z837" s="243"/>
    </row>
    <row r="838">
      <c r="A838" s="34"/>
      <c r="B838" s="15"/>
      <c r="C838" s="15"/>
      <c r="D838" s="15"/>
      <c r="E838" s="17"/>
      <c r="F838" s="15"/>
      <c r="G838" s="250"/>
      <c r="H838" s="243"/>
      <c r="I838" s="243"/>
      <c r="J838" s="243"/>
      <c r="K838" s="85"/>
      <c r="L838" s="85"/>
      <c r="M838" s="85"/>
      <c r="N838" s="85"/>
      <c r="O838" s="29"/>
      <c r="P838" s="307"/>
      <c r="Q838" s="29"/>
      <c r="R838" s="29"/>
      <c r="S838" s="15"/>
      <c r="T838" s="15"/>
      <c r="U838" s="243"/>
      <c r="V838" s="243"/>
      <c r="W838" s="243"/>
      <c r="X838" s="243"/>
      <c r="Y838" s="243"/>
      <c r="Z838" s="243"/>
    </row>
    <row r="839">
      <c r="A839" s="34"/>
      <c r="B839" s="15"/>
      <c r="C839" s="15"/>
      <c r="D839" s="15"/>
      <c r="E839" s="17"/>
      <c r="F839" s="15"/>
      <c r="G839" s="250"/>
      <c r="H839" s="243"/>
      <c r="I839" s="243"/>
      <c r="J839" s="243"/>
      <c r="K839" s="85"/>
      <c r="L839" s="85"/>
      <c r="M839" s="85"/>
      <c r="N839" s="85"/>
      <c r="O839" s="29"/>
      <c r="P839" s="307"/>
      <c r="Q839" s="29"/>
      <c r="R839" s="29"/>
      <c r="S839" s="15"/>
      <c r="T839" s="15"/>
      <c r="U839" s="243"/>
      <c r="V839" s="243"/>
      <c r="W839" s="243"/>
      <c r="X839" s="243"/>
      <c r="Y839" s="243"/>
      <c r="Z839" s="243"/>
    </row>
    <row r="840">
      <c r="A840" s="34"/>
      <c r="B840" s="15"/>
      <c r="C840" s="15"/>
      <c r="D840" s="15"/>
      <c r="E840" s="17"/>
      <c r="F840" s="15"/>
      <c r="G840" s="250"/>
      <c r="H840" s="243"/>
      <c r="I840" s="243"/>
      <c r="J840" s="243"/>
      <c r="K840" s="85"/>
      <c r="L840" s="85"/>
      <c r="M840" s="85"/>
      <c r="N840" s="85"/>
      <c r="O840" s="29"/>
      <c r="P840" s="307"/>
      <c r="Q840" s="29"/>
      <c r="R840" s="29"/>
      <c r="S840" s="15"/>
      <c r="T840" s="15"/>
      <c r="U840" s="243"/>
      <c r="V840" s="243"/>
      <c r="W840" s="243"/>
      <c r="X840" s="243"/>
      <c r="Y840" s="243"/>
      <c r="Z840" s="243"/>
    </row>
    <row r="841">
      <c r="A841" s="34"/>
      <c r="B841" s="15"/>
      <c r="C841" s="15"/>
      <c r="D841" s="15"/>
      <c r="E841" s="17"/>
      <c r="F841" s="15"/>
      <c r="G841" s="250"/>
      <c r="H841" s="243"/>
      <c r="I841" s="243"/>
      <c r="J841" s="243"/>
      <c r="K841" s="85"/>
      <c r="L841" s="85"/>
      <c r="M841" s="85"/>
      <c r="N841" s="85"/>
      <c r="O841" s="29"/>
      <c r="P841" s="307"/>
      <c r="Q841" s="29"/>
      <c r="R841" s="29"/>
      <c r="S841" s="15"/>
      <c r="T841" s="15"/>
      <c r="U841" s="243"/>
      <c r="V841" s="243"/>
      <c r="W841" s="243"/>
      <c r="X841" s="243"/>
      <c r="Y841" s="243"/>
      <c r="Z841" s="243"/>
    </row>
    <row r="842">
      <c r="A842" s="34"/>
      <c r="B842" s="15"/>
      <c r="C842" s="15"/>
      <c r="D842" s="15"/>
      <c r="E842" s="17"/>
      <c r="F842" s="15"/>
      <c r="G842" s="250"/>
      <c r="H842" s="243"/>
      <c r="I842" s="243"/>
      <c r="J842" s="243"/>
      <c r="K842" s="85"/>
      <c r="L842" s="85"/>
      <c r="M842" s="85"/>
      <c r="N842" s="85"/>
      <c r="O842" s="29"/>
      <c r="P842" s="307"/>
      <c r="Q842" s="29"/>
      <c r="R842" s="29"/>
      <c r="S842" s="15"/>
      <c r="T842" s="15"/>
      <c r="U842" s="243"/>
      <c r="V842" s="243"/>
      <c r="W842" s="243"/>
      <c r="X842" s="243"/>
      <c r="Y842" s="243"/>
      <c r="Z842" s="243"/>
    </row>
    <row r="843">
      <c r="A843" s="34"/>
      <c r="B843" s="15"/>
      <c r="C843" s="15"/>
      <c r="D843" s="15"/>
      <c r="E843" s="17"/>
      <c r="F843" s="15"/>
      <c r="G843" s="250"/>
      <c r="H843" s="243"/>
      <c r="I843" s="243"/>
      <c r="J843" s="243"/>
      <c r="K843" s="85"/>
      <c r="L843" s="85"/>
      <c r="M843" s="85"/>
      <c r="N843" s="85"/>
      <c r="O843" s="29"/>
      <c r="P843" s="307"/>
      <c r="Q843" s="29"/>
      <c r="R843" s="29"/>
      <c r="S843" s="15"/>
      <c r="T843" s="15"/>
      <c r="U843" s="243"/>
      <c r="V843" s="243"/>
      <c r="W843" s="243"/>
      <c r="X843" s="243"/>
      <c r="Y843" s="243"/>
      <c r="Z843" s="243"/>
    </row>
    <row r="844">
      <c r="A844" s="34"/>
      <c r="B844" s="15"/>
      <c r="C844" s="15"/>
      <c r="D844" s="15"/>
      <c r="E844" s="17"/>
      <c r="F844" s="15"/>
      <c r="G844" s="250"/>
      <c r="H844" s="243"/>
      <c r="I844" s="243"/>
      <c r="J844" s="243"/>
      <c r="K844" s="85"/>
      <c r="L844" s="85"/>
      <c r="M844" s="85"/>
      <c r="N844" s="85"/>
      <c r="O844" s="29"/>
      <c r="P844" s="307"/>
      <c r="Q844" s="29"/>
      <c r="R844" s="29"/>
      <c r="S844" s="15"/>
      <c r="T844" s="15"/>
      <c r="U844" s="243"/>
      <c r="V844" s="243"/>
      <c r="W844" s="243"/>
      <c r="X844" s="243"/>
      <c r="Y844" s="243"/>
      <c r="Z844" s="243"/>
    </row>
    <row r="845">
      <c r="A845" s="34"/>
      <c r="B845" s="15"/>
      <c r="C845" s="15"/>
      <c r="D845" s="15"/>
      <c r="E845" s="17"/>
      <c r="F845" s="15"/>
      <c r="G845" s="250"/>
      <c r="H845" s="243"/>
      <c r="I845" s="243"/>
      <c r="J845" s="243"/>
      <c r="K845" s="85"/>
      <c r="L845" s="85"/>
      <c r="M845" s="85"/>
      <c r="N845" s="85"/>
      <c r="O845" s="29"/>
      <c r="P845" s="307"/>
      <c r="Q845" s="29"/>
      <c r="R845" s="29"/>
      <c r="S845" s="15"/>
      <c r="T845" s="15"/>
      <c r="U845" s="243"/>
      <c r="V845" s="243"/>
      <c r="W845" s="243"/>
      <c r="X845" s="243"/>
      <c r="Y845" s="243"/>
      <c r="Z845" s="243"/>
    </row>
    <row r="846">
      <c r="A846" s="34"/>
      <c r="B846" s="15"/>
      <c r="C846" s="15"/>
      <c r="D846" s="15"/>
      <c r="E846" s="17"/>
      <c r="F846" s="15"/>
      <c r="G846" s="250"/>
      <c r="H846" s="243"/>
      <c r="I846" s="243"/>
      <c r="J846" s="243"/>
      <c r="K846" s="85"/>
      <c r="L846" s="85"/>
      <c r="M846" s="85"/>
      <c r="N846" s="85"/>
      <c r="O846" s="29"/>
      <c r="P846" s="307"/>
      <c r="Q846" s="29"/>
      <c r="R846" s="29"/>
      <c r="S846" s="15"/>
      <c r="T846" s="15"/>
      <c r="U846" s="243"/>
      <c r="V846" s="243"/>
      <c r="W846" s="243"/>
      <c r="X846" s="243"/>
      <c r="Y846" s="243"/>
      <c r="Z846" s="243"/>
    </row>
    <row r="847">
      <c r="A847" s="34"/>
      <c r="B847" s="15"/>
      <c r="C847" s="15"/>
      <c r="D847" s="15"/>
      <c r="E847" s="17"/>
      <c r="F847" s="15"/>
      <c r="G847" s="250"/>
      <c r="H847" s="243"/>
      <c r="I847" s="243"/>
      <c r="J847" s="243"/>
      <c r="K847" s="85"/>
      <c r="L847" s="85"/>
      <c r="M847" s="85"/>
      <c r="N847" s="85"/>
      <c r="O847" s="29"/>
      <c r="P847" s="307"/>
      <c r="Q847" s="29"/>
      <c r="R847" s="29"/>
      <c r="S847" s="15"/>
      <c r="T847" s="15"/>
      <c r="U847" s="243"/>
      <c r="V847" s="243"/>
      <c r="W847" s="243"/>
      <c r="X847" s="243"/>
      <c r="Y847" s="243"/>
      <c r="Z847" s="243"/>
    </row>
    <row r="848">
      <c r="A848" s="34"/>
      <c r="B848" s="15"/>
      <c r="C848" s="15"/>
      <c r="D848" s="15"/>
      <c r="E848" s="17"/>
      <c r="F848" s="15"/>
      <c r="G848" s="250"/>
      <c r="H848" s="243"/>
      <c r="I848" s="243"/>
      <c r="J848" s="243"/>
      <c r="K848" s="85"/>
      <c r="L848" s="85"/>
      <c r="M848" s="85"/>
      <c r="N848" s="85"/>
      <c r="O848" s="29"/>
      <c r="P848" s="307"/>
      <c r="Q848" s="29"/>
      <c r="R848" s="29"/>
      <c r="S848" s="15"/>
      <c r="T848" s="15"/>
      <c r="U848" s="243"/>
      <c r="V848" s="243"/>
      <c r="W848" s="243"/>
      <c r="X848" s="243"/>
      <c r="Y848" s="243"/>
      <c r="Z848" s="243"/>
    </row>
    <row r="849">
      <c r="A849" s="34"/>
      <c r="B849" s="15"/>
      <c r="C849" s="15"/>
      <c r="D849" s="15"/>
      <c r="E849" s="17"/>
      <c r="F849" s="15"/>
      <c r="G849" s="250"/>
      <c r="H849" s="243"/>
      <c r="I849" s="243"/>
      <c r="J849" s="243"/>
      <c r="K849" s="85"/>
      <c r="L849" s="85"/>
      <c r="M849" s="85"/>
      <c r="N849" s="85"/>
      <c r="O849" s="29"/>
      <c r="P849" s="307"/>
      <c r="Q849" s="29"/>
      <c r="R849" s="29"/>
      <c r="S849" s="15"/>
      <c r="T849" s="15"/>
      <c r="U849" s="243"/>
      <c r="V849" s="243"/>
      <c r="W849" s="243"/>
      <c r="X849" s="243"/>
      <c r="Y849" s="243"/>
      <c r="Z849" s="243"/>
    </row>
    <row r="850">
      <c r="A850" s="34"/>
      <c r="B850" s="15"/>
      <c r="C850" s="15"/>
      <c r="D850" s="15"/>
      <c r="E850" s="17"/>
      <c r="F850" s="15"/>
      <c r="G850" s="250"/>
      <c r="H850" s="243"/>
      <c r="I850" s="243"/>
      <c r="J850" s="243"/>
      <c r="K850" s="85"/>
      <c r="L850" s="85"/>
      <c r="M850" s="85"/>
      <c r="N850" s="85"/>
      <c r="O850" s="29"/>
      <c r="P850" s="307"/>
      <c r="Q850" s="29"/>
      <c r="R850" s="29"/>
      <c r="S850" s="15"/>
      <c r="T850" s="15"/>
      <c r="U850" s="243"/>
      <c r="V850" s="243"/>
      <c r="W850" s="243"/>
      <c r="X850" s="243"/>
      <c r="Y850" s="243"/>
      <c r="Z850" s="243"/>
    </row>
    <row r="851">
      <c r="A851" s="34"/>
      <c r="B851" s="15"/>
      <c r="C851" s="15"/>
      <c r="D851" s="15"/>
      <c r="E851" s="17"/>
      <c r="F851" s="15"/>
      <c r="G851" s="250"/>
      <c r="H851" s="243"/>
      <c r="I851" s="243"/>
      <c r="J851" s="243"/>
      <c r="K851" s="85"/>
      <c r="L851" s="85"/>
      <c r="M851" s="85"/>
      <c r="N851" s="85"/>
      <c r="O851" s="29"/>
      <c r="P851" s="307"/>
      <c r="Q851" s="29"/>
      <c r="R851" s="29"/>
      <c r="S851" s="15"/>
      <c r="T851" s="15"/>
      <c r="U851" s="243"/>
      <c r="V851" s="243"/>
      <c r="W851" s="243"/>
      <c r="X851" s="243"/>
      <c r="Y851" s="243"/>
      <c r="Z851" s="243"/>
    </row>
    <row r="852">
      <c r="A852" s="34"/>
      <c r="B852" s="15"/>
      <c r="C852" s="15"/>
      <c r="D852" s="15"/>
      <c r="E852" s="17"/>
      <c r="F852" s="15"/>
      <c r="G852" s="250"/>
      <c r="H852" s="243"/>
      <c r="I852" s="243"/>
      <c r="J852" s="243"/>
      <c r="K852" s="85"/>
      <c r="L852" s="85"/>
      <c r="M852" s="85"/>
      <c r="N852" s="85"/>
      <c r="O852" s="29"/>
      <c r="P852" s="307"/>
      <c r="Q852" s="29"/>
      <c r="R852" s="29"/>
      <c r="S852" s="15"/>
      <c r="T852" s="15"/>
      <c r="U852" s="243"/>
      <c r="V852" s="243"/>
      <c r="W852" s="243"/>
      <c r="X852" s="243"/>
      <c r="Y852" s="243"/>
      <c r="Z852" s="243"/>
    </row>
    <row r="853">
      <c r="A853" s="34"/>
      <c r="B853" s="15"/>
      <c r="C853" s="15"/>
      <c r="D853" s="15"/>
      <c r="E853" s="17"/>
      <c r="F853" s="15"/>
      <c r="G853" s="250"/>
      <c r="H853" s="243"/>
      <c r="I853" s="243"/>
      <c r="J853" s="243"/>
      <c r="K853" s="85"/>
      <c r="L853" s="85"/>
      <c r="M853" s="85"/>
      <c r="N853" s="85"/>
      <c r="O853" s="29"/>
      <c r="P853" s="307"/>
      <c r="Q853" s="29"/>
      <c r="R853" s="29"/>
      <c r="S853" s="15"/>
      <c r="T853" s="15"/>
      <c r="U853" s="243"/>
      <c r="V853" s="243"/>
      <c r="W853" s="243"/>
      <c r="X853" s="243"/>
      <c r="Y853" s="243"/>
      <c r="Z853" s="243"/>
    </row>
    <row r="854">
      <c r="A854" s="34"/>
      <c r="B854" s="15"/>
      <c r="C854" s="15"/>
      <c r="D854" s="15"/>
      <c r="E854" s="17"/>
      <c r="F854" s="15"/>
      <c r="G854" s="250"/>
      <c r="H854" s="243"/>
      <c r="I854" s="243"/>
      <c r="J854" s="243"/>
      <c r="K854" s="85"/>
      <c r="L854" s="85"/>
      <c r="M854" s="85"/>
      <c r="N854" s="85"/>
      <c r="O854" s="29"/>
      <c r="P854" s="307"/>
      <c r="Q854" s="29"/>
      <c r="R854" s="29"/>
      <c r="S854" s="15"/>
      <c r="T854" s="15"/>
      <c r="U854" s="243"/>
      <c r="V854" s="243"/>
      <c r="W854" s="243"/>
      <c r="X854" s="243"/>
      <c r="Y854" s="243"/>
      <c r="Z854" s="243"/>
    </row>
    <row r="855">
      <c r="A855" s="34"/>
      <c r="B855" s="15"/>
      <c r="C855" s="15"/>
      <c r="D855" s="15"/>
      <c r="E855" s="17"/>
      <c r="F855" s="15"/>
      <c r="G855" s="250"/>
      <c r="H855" s="243"/>
      <c r="I855" s="243"/>
      <c r="J855" s="243"/>
      <c r="K855" s="85"/>
      <c r="L855" s="85"/>
      <c r="M855" s="85"/>
      <c r="N855" s="85"/>
      <c r="O855" s="29"/>
      <c r="P855" s="307"/>
      <c r="Q855" s="29"/>
      <c r="R855" s="29"/>
      <c r="S855" s="15"/>
      <c r="T855" s="15"/>
      <c r="U855" s="243"/>
      <c r="V855" s="243"/>
      <c r="W855" s="243"/>
      <c r="X855" s="243"/>
      <c r="Y855" s="243"/>
      <c r="Z855" s="243"/>
    </row>
    <row r="856">
      <c r="A856" s="34"/>
      <c r="B856" s="15"/>
      <c r="C856" s="15"/>
      <c r="D856" s="15"/>
      <c r="E856" s="17"/>
      <c r="F856" s="15"/>
      <c r="G856" s="250"/>
      <c r="H856" s="243"/>
      <c r="I856" s="243"/>
      <c r="J856" s="243"/>
      <c r="K856" s="85"/>
      <c r="L856" s="85"/>
      <c r="M856" s="85"/>
      <c r="N856" s="85"/>
      <c r="O856" s="29"/>
      <c r="P856" s="307"/>
      <c r="Q856" s="29"/>
      <c r="R856" s="29"/>
      <c r="S856" s="15"/>
      <c r="T856" s="15"/>
      <c r="U856" s="243"/>
      <c r="V856" s="243"/>
      <c r="W856" s="243"/>
      <c r="X856" s="243"/>
      <c r="Y856" s="243"/>
      <c r="Z856" s="243"/>
    </row>
    <row r="857">
      <c r="A857" s="34"/>
      <c r="B857" s="15"/>
      <c r="C857" s="15"/>
      <c r="D857" s="15"/>
      <c r="E857" s="17"/>
      <c r="F857" s="15"/>
      <c r="G857" s="250"/>
      <c r="H857" s="243"/>
      <c r="I857" s="243"/>
      <c r="J857" s="243"/>
      <c r="K857" s="85"/>
      <c r="L857" s="85"/>
      <c r="M857" s="85"/>
      <c r="N857" s="85"/>
      <c r="O857" s="29"/>
      <c r="P857" s="307"/>
      <c r="Q857" s="29"/>
      <c r="R857" s="29"/>
      <c r="S857" s="15"/>
      <c r="T857" s="15"/>
      <c r="U857" s="243"/>
      <c r="V857" s="243"/>
      <c r="W857" s="243"/>
      <c r="X857" s="243"/>
      <c r="Y857" s="243"/>
      <c r="Z857" s="243"/>
    </row>
    <row r="858">
      <c r="A858" s="34"/>
      <c r="B858" s="15"/>
      <c r="C858" s="15"/>
      <c r="D858" s="15"/>
      <c r="E858" s="17"/>
      <c r="F858" s="15"/>
      <c r="G858" s="250"/>
      <c r="H858" s="243"/>
      <c r="I858" s="243"/>
      <c r="J858" s="243"/>
      <c r="K858" s="85"/>
      <c r="L858" s="85"/>
      <c r="M858" s="85"/>
      <c r="N858" s="85"/>
      <c r="O858" s="29"/>
      <c r="P858" s="307"/>
      <c r="Q858" s="29"/>
      <c r="R858" s="29"/>
      <c r="S858" s="15"/>
      <c r="T858" s="15"/>
      <c r="U858" s="243"/>
      <c r="V858" s="243"/>
      <c r="W858" s="243"/>
      <c r="X858" s="243"/>
      <c r="Y858" s="243"/>
      <c r="Z858" s="243"/>
    </row>
    <row r="859">
      <c r="A859" s="34"/>
      <c r="B859" s="15"/>
      <c r="C859" s="15"/>
      <c r="D859" s="15"/>
      <c r="E859" s="17"/>
      <c r="F859" s="15"/>
      <c r="G859" s="250"/>
      <c r="H859" s="243"/>
      <c r="I859" s="243"/>
      <c r="J859" s="243"/>
      <c r="K859" s="85"/>
      <c r="L859" s="85"/>
      <c r="M859" s="85"/>
      <c r="N859" s="85"/>
      <c r="O859" s="29"/>
      <c r="P859" s="307"/>
      <c r="Q859" s="29"/>
      <c r="R859" s="29"/>
      <c r="S859" s="15"/>
      <c r="T859" s="15"/>
      <c r="U859" s="243"/>
      <c r="V859" s="243"/>
      <c r="W859" s="243"/>
      <c r="X859" s="243"/>
      <c r="Y859" s="243"/>
      <c r="Z859" s="243"/>
    </row>
    <row r="860">
      <c r="A860" s="34"/>
      <c r="B860" s="15"/>
      <c r="C860" s="15"/>
      <c r="D860" s="15"/>
      <c r="E860" s="17"/>
      <c r="F860" s="15"/>
      <c r="G860" s="250"/>
      <c r="H860" s="243"/>
      <c r="I860" s="243"/>
      <c r="J860" s="243"/>
      <c r="K860" s="85"/>
      <c r="L860" s="85"/>
      <c r="M860" s="85"/>
      <c r="N860" s="85"/>
      <c r="O860" s="29"/>
      <c r="P860" s="307"/>
      <c r="Q860" s="29"/>
      <c r="R860" s="29"/>
      <c r="S860" s="15"/>
      <c r="T860" s="15"/>
      <c r="U860" s="243"/>
      <c r="V860" s="243"/>
      <c r="W860" s="243"/>
      <c r="X860" s="243"/>
      <c r="Y860" s="243"/>
      <c r="Z860" s="243"/>
    </row>
    <row r="861">
      <c r="A861" s="34"/>
      <c r="B861" s="15"/>
      <c r="C861" s="15"/>
      <c r="D861" s="15"/>
      <c r="E861" s="17"/>
      <c r="F861" s="15"/>
      <c r="G861" s="250"/>
      <c r="H861" s="243"/>
      <c r="I861" s="243"/>
      <c r="J861" s="243"/>
      <c r="K861" s="85"/>
      <c r="L861" s="85"/>
      <c r="M861" s="85"/>
      <c r="N861" s="85"/>
      <c r="O861" s="29"/>
      <c r="P861" s="307"/>
      <c r="Q861" s="29"/>
      <c r="R861" s="29"/>
      <c r="S861" s="15"/>
      <c r="T861" s="15"/>
      <c r="U861" s="243"/>
      <c r="V861" s="243"/>
      <c r="W861" s="243"/>
      <c r="X861" s="243"/>
      <c r="Y861" s="243"/>
      <c r="Z861" s="243"/>
    </row>
    <row r="862">
      <c r="A862" s="34"/>
      <c r="B862" s="15"/>
      <c r="C862" s="15"/>
      <c r="D862" s="15"/>
      <c r="E862" s="17"/>
      <c r="F862" s="15"/>
      <c r="G862" s="250"/>
      <c r="H862" s="243"/>
      <c r="I862" s="243"/>
      <c r="J862" s="243"/>
      <c r="K862" s="85"/>
      <c r="L862" s="85"/>
      <c r="M862" s="85"/>
      <c r="N862" s="85"/>
      <c r="O862" s="29"/>
      <c r="P862" s="307"/>
      <c r="Q862" s="29"/>
      <c r="R862" s="29"/>
      <c r="S862" s="15"/>
      <c r="T862" s="15"/>
      <c r="U862" s="243"/>
      <c r="V862" s="243"/>
      <c r="W862" s="243"/>
      <c r="X862" s="243"/>
      <c r="Y862" s="243"/>
      <c r="Z862" s="243"/>
    </row>
    <row r="863">
      <c r="A863" s="34"/>
      <c r="B863" s="15"/>
      <c r="C863" s="15"/>
      <c r="D863" s="15"/>
      <c r="E863" s="17"/>
      <c r="F863" s="15"/>
      <c r="G863" s="250"/>
      <c r="H863" s="243"/>
      <c r="I863" s="243"/>
      <c r="J863" s="243"/>
      <c r="K863" s="85"/>
      <c r="L863" s="85"/>
      <c r="M863" s="85"/>
      <c r="N863" s="85"/>
      <c r="O863" s="29"/>
      <c r="P863" s="307"/>
      <c r="Q863" s="29"/>
      <c r="R863" s="29"/>
      <c r="S863" s="15"/>
      <c r="T863" s="15"/>
      <c r="U863" s="243"/>
      <c r="V863" s="243"/>
      <c r="W863" s="243"/>
      <c r="X863" s="243"/>
      <c r="Y863" s="243"/>
      <c r="Z863" s="243"/>
    </row>
    <row r="864">
      <c r="A864" s="34"/>
      <c r="B864" s="15"/>
      <c r="C864" s="15"/>
      <c r="D864" s="15"/>
      <c r="E864" s="17"/>
      <c r="F864" s="15"/>
      <c r="G864" s="250"/>
      <c r="H864" s="243"/>
      <c r="I864" s="243"/>
      <c r="J864" s="243"/>
      <c r="K864" s="85"/>
      <c r="L864" s="85"/>
      <c r="M864" s="85"/>
      <c r="N864" s="85"/>
      <c r="O864" s="29"/>
      <c r="P864" s="307"/>
      <c r="Q864" s="29"/>
      <c r="R864" s="29"/>
      <c r="S864" s="15"/>
      <c r="T864" s="15"/>
      <c r="U864" s="243"/>
      <c r="V864" s="243"/>
      <c r="W864" s="243"/>
      <c r="X864" s="243"/>
      <c r="Y864" s="243"/>
      <c r="Z864" s="243"/>
    </row>
    <row r="865">
      <c r="A865" s="34"/>
      <c r="B865" s="15"/>
      <c r="C865" s="15"/>
      <c r="D865" s="15"/>
      <c r="E865" s="17"/>
      <c r="F865" s="15"/>
      <c r="G865" s="250"/>
      <c r="H865" s="243"/>
      <c r="I865" s="243"/>
      <c r="J865" s="243"/>
      <c r="K865" s="85"/>
      <c r="L865" s="85"/>
      <c r="M865" s="85"/>
      <c r="N865" s="85"/>
      <c r="O865" s="29"/>
      <c r="P865" s="307"/>
      <c r="Q865" s="29"/>
      <c r="R865" s="29"/>
      <c r="S865" s="15"/>
      <c r="T865" s="15"/>
      <c r="U865" s="243"/>
      <c r="V865" s="243"/>
      <c r="W865" s="243"/>
      <c r="X865" s="243"/>
      <c r="Y865" s="243"/>
      <c r="Z865" s="243"/>
    </row>
    <row r="866">
      <c r="A866" s="34"/>
      <c r="B866" s="15"/>
      <c r="C866" s="15"/>
      <c r="D866" s="15"/>
      <c r="E866" s="17"/>
      <c r="F866" s="15"/>
      <c r="G866" s="250"/>
      <c r="H866" s="243"/>
      <c r="I866" s="243"/>
      <c r="J866" s="243"/>
      <c r="K866" s="85"/>
      <c r="L866" s="85"/>
      <c r="M866" s="85"/>
      <c r="N866" s="85"/>
      <c r="O866" s="29"/>
      <c r="P866" s="307"/>
      <c r="Q866" s="29"/>
      <c r="R866" s="29"/>
      <c r="S866" s="15"/>
      <c r="T866" s="15"/>
      <c r="U866" s="243"/>
      <c r="V866" s="243"/>
      <c r="W866" s="243"/>
      <c r="X866" s="243"/>
      <c r="Y866" s="243"/>
      <c r="Z866" s="243"/>
    </row>
    <row r="867">
      <c r="A867" s="34"/>
      <c r="B867" s="15"/>
      <c r="C867" s="15"/>
      <c r="D867" s="15"/>
      <c r="E867" s="17"/>
      <c r="F867" s="15"/>
      <c r="G867" s="250"/>
      <c r="H867" s="243"/>
      <c r="I867" s="243"/>
      <c r="J867" s="243"/>
      <c r="K867" s="85"/>
      <c r="L867" s="85"/>
      <c r="M867" s="85"/>
      <c r="N867" s="85"/>
      <c r="O867" s="29"/>
      <c r="P867" s="307"/>
      <c r="Q867" s="29"/>
      <c r="R867" s="29"/>
      <c r="S867" s="15"/>
      <c r="T867" s="15"/>
      <c r="U867" s="243"/>
      <c r="V867" s="243"/>
      <c r="W867" s="243"/>
      <c r="X867" s="243"/>
      <c r="Y867" s="243"/>
      <c r="Z867" s="243"/>
    </row>
    <row r="868">
      <c r="A868" s="34"/>
      <c r="B868" s="15"/>
      <c r="C868" s="15"/>
      <c r="D868" s="15"/>
      <c r="E868" s="17"/>
      <c r="F868" s="15"/>
      <c r="G868" s="250"/>
      <c r="H868" s="243"/>
      <c r="I868" s="243"/>
      <c r="J868" s="243"/>
      <c r="K868" s="85"/>
      <c r="L868" s="85"/>
      <c r="M868" s="85"/>
      <c r="N868" s="85"/>
      <c r="O868" s="29"/>
      <c r="P868" s="307"/>
      <c r="Q868" s="29"/>
      <c r="R868" s="29"/>
      <c r="S868" s="15"/>
      <c r="T868" s="15"/>
      <c r="U868" s="243"/>
      <c r="V868" s="243"/>
      <c r="W868" s="243"/>
      <c r="X868" s="243"/>
      <c r="Y868" s="243"/>
      <c r="Z868" s="243"/>
    </row>
    <row r="869">
      <c r="A869" s="34"/>
      <c r="B869" s="15"/>
      <c r="C869" s="15"/>
      <c r="D869" s="15"/>
      <c r="E869" s="17"/>
      <c r="F869" s="15"/>
      <c r="G869" s="250"/>
      <c r="H869" s="243"/>
      <c r="I869" s="243"/>
      <c r="J869" s="243"/>
      <c r="K869" s="85"/>
      <c r="L869" s="85"/>
      <c r="M869" s="85"/>
      <c r="N869" s="85"/>
      <c r="O869" s="29"/>
      <c r="P869" s="307"/>
      <c r="Q869" s="29"/>
      <c r="R869" s="29"/>
      <c r="S869" s="15"/>
      <c r="T869" s="15"/>
      <c r="U869" s="243"/>
      <c r="V869" s="243"/>
      <c r="W869" s="243"/>
      <c r="X869" s="243"/>
      <c r="Y869" s="243"/>
      <c r="Z869" s="243"/>
    </row>
    <row r="870">
      <c r="A870" s="34"/>
      <c r="B870" s="15"/>
      <c r="C870" s="15"/>
      <c r="D870" s="15"/>
      <c r="E870" s="17"/>
      <c r="F870" s="15"/>
      <c r="G870" s="250"/>
      <c r="H870" s="243"/>
      <c r="I870" s="243"/>
      <c r="J870" s="243"/>
      <c r="K870" s="85"/>
      <c r="L870" s="85"/>
      <c r="M870" s="85"/>
      <c r="N870" s="85"/>
      <c r="O870" s="29"/>
      <c r="P870" s="307"/>
      <c r="Q870" s="29"/>
      <c r="R870" s="29"/>
      <c r="S870" s="15"/>
      <c r="T870" s="15"/>
      <c r="U870" s="243"/>
      <c r="V870" s="243"/>
      <c r="W870" s="243"/>
      <c r="X870" s="243"/>
      <c r="Y870" s="243"/>
      <c r="Z870" s="243"/>
    </row>
    <row r="871">
      <c r="A871" s="34"/>
      <c r="B871" s="15"/>
      <c r="C871" s="15"/>
      <c r="D871" s="15"/>
      <c r="E871" s="17"/>
      <c r="F871" s="15"/>
      <c r="G871" s="250"/>
      <c r="H871" s="243"/>
      <c r="I871" s="243"/>
      <c r="J871" s="243"/>
      <c r="K871" s="85"/>
      <c r="L871" s="85"/>
      <c r="M871" s="85"/>
      <c r="N871" s="85"/>
      <c r="O871" s="29"/>
      <c r="P871" s="307"/>
      <c r="Q871" s="29"/>
      <c r="R871" s="29"/>
      <c r="S871" s="15"/>
      <c r="T871" s="15"/>
      <c r="U871" s="243"/>
      <c r="V871" s="243"/>
      <c r="W871" s="243"/>
      <c r="X871" s="243"/>
      <c r="Y871" s="243"/>
      <c r="Z871" s="243"/>
    </row>
    <row r="872">
      <c r="A872" s="34"/>
      <c r="B872" s="15"/>
      <c r="C872" s="15"/>
      <c r="D872" s="15"/>
      <c r="E872" s="17"/>
      <c r="F872" s="15"/>
      <c r="G872" s="250"/>
      <c r="H872" s="243"/>
      <c r="I872" s="243"/>
      <c r="J872" s="243"/>
      <c r="K872" s="85"/>
      <c r="L872" s="85"/>
      <c r="M872" s="85"/>
      <c r="N872" s="85"/>
      <c r="O872" s="29"/>
      <c r="P872" s="307"/>
      <c r="Q872" s="29"/>
      <c r="R872" s="29"/>
      <c r="S872" s="15"/>
      <c r="T872" s="15"/>
      <c r="U872" s="243"/>
      <c r="V872" s="243"/>
      <c r="W872" s="243"/>
      <c r="X872" s="243"/>
      <c r="Y872" s="243"/>
      <c r="Z872" s="243"/>
    </row>
    <row r="873">
      <c r="A873" s="34"/>
      <c r="B873" s="15"/>
      <c r="C873" s="15"/>
      <c r="D873" s="15"/>
      <c r="E873" s="17"/>
      <c r="F873" s="15"/>
      <c r="G873" s="250"/>
      <c r="H873" s="243"/>
      <c r="I873" s="243"/>
      <c r="J873" s="243"/>
      <c r="K873" s="85"/>
      <c r="L873" s="85"/>
      <c r="M873" s="85"/>
      <c r="N873" s="85"/>
      <c r="O873" s="29"/>
      <c r="P873" s="307"/>
      <c r="Q873" s="29"/>
      <c r="R873" s="29"/>
      <c r="S873" s="15"/>
      <c r="T873" s="15"/>
      <c r="U873" s="243"/>
      <c r="V873" s="243"/>
      <c r="W873" s="243"/>
      <c r="X873" s="243"/>
      <c r="Y873" s="243"/>
      <c r="Z873" s="243"/>
    </row>
    <row r="874">
      <c r="A874" s="34"/>
      <c r="B874" s="15"/>
      <c r="C874" s="15"/>
      <c r="D874" s="15"/>
      <c r="E874" s="17"/>
      <c r="F874" s="15"/>
      <c r="G874" s="250"/>
      <c r="H874" s="243"/>
      <c r="I874" s="243"/>
      <c r="J874" s="243"/>
      <c r="K874" s="85"/>
      <c r="L874" s="85"/>
      <c r="M874" s="85"/>
      <c r="N874" s="85"/>
      <c r="O874" s="29"/>
      <c r="P874" s="307"/>
      <c r="Q874" s="29"/>
      <c r="R874" s="29"/>
      <c r="S874" s="15"/>
      <c r="T874" s="15"/>
      <c r="U874" s="243"/>
      <c r="V874" s="243"/>
      <c r="W874" s="243"/>
      <c r="X874" s="243"/>
      <c r="Y874" s="243"/>
      <c r="Z874" s="243"/>
    </row>
    <row r="875">
      <c r="A875" s="34"/>
      <c r="B875" s="15"/>
      <c r="C875" s="15"/>
      <c r="D875" s="15"/>
      <c r="E875" s="17"/>
      <c r="F875" s="15"/>
      <c r="G875" s="250"/>
      <c r="H875" s="243"/>
      <c r="I875" s="243"/>
      <c r="J875" s="243"/>
      <c r="K875" s="85"/>
      <c r="L875" s="85"/>
      <c r="M875" s="85"/>
      <c r="N875" s="85"/>
      <c r="O875" s="29"/>
      <c r="P875" s="307"/>
      <c r="Q875" s="29"/>
      <c r="R875" s="29"/>
      <c r="S875" s="15"/>
      <c r="T875" s="15"/>
      <c r="U875" s="243"/>
      <c r="V875" s="243"/>
      <c r="W875" s="243"/>
      <c r="X875" s="243"/>
      <c r="Y875" s="243"/>
      <c r="Z875" s="243"/>
    </row>
    <row r="876">
      <c r="A876" s="34"/>
      <c r="B876" s="15"/>
      <c r="C876" s="15"/>
      <c r="D876" s="15"/>
      <c r="E876" s="17"/>
      <c r="F876" s="15"/>
      <c r="G876" s="250"/>
      <c r="H876" s="243"/>
      <c r="I876" s="243"/>
      <c r="J876" s="243"/>
      <c r="K876" s="85"/>
      <c r="L876" s="85"/>
      <c r="M876" s="85"/>
      <c r="N876" s="85"/>
      <c r="O876" s="29"/>
      <c r="P876" s="307"/>
      <c r="Q876" s="29"/>
      <c r="R876" s="29"/>
      <c r="S876" s="15"/>
      <c r="T876" s="15"/>
      <c r="U876" s="243"/>
      <c r="V876" s="243"/>
      <c r="W876" s="243"/>
      <c r="X876" s="243"/>
      <c r="Y876" s="243"/>
      <c r="Z876" s="243"/>
    </row>
    <row r="877">
      <c r="A877" s="34"/>
      <c r="B877" s="15"/>
      <c r="C877" s="15"/>
      <c r="D877" s="15"/>
      <c r="E877" s="17"/>
      <c r="F877" s="15"/>
      <c r="G877" s="250"/>
      <c r="H877" s="243"/>
      <c r="I877" s="243"/>
      <c r="J877" s="243"/>
      <c r="K877" s="85"/>
      <c r="L877" s="85"/>
      <c r="M877" s="85"/>
      <c r="N877" s="85"/>
      <c r="O877" s="29"/>
      <c r="P877" s="307"/>
      <c r="Q877" s="29"/>
      <c r="R877" s="29"/>
      <c r="S877" s="15"/>
      <c r="T877" s="15"/>
      <c r="U877" s="243"/>
      <c r="V877" s="243"/>
      <c r="W877" s="243"/>
      <c r="X877" s="243"/>
      <c r="Y877" s="243"/>
      <c r="Z877" s="243"/>
    </row>
    <row r="878">
      <c r="A878" s="34"/>
      <c r="B878" s="15"/>
      <c r="C878" s="15"/>
      <c r="D878" s="15"/>
      <c r="E878" s="17"/>
      <c r="F878" s="15"/>
      <c r="G878" s="250"/>
      <c r="H878" s="243"/>
      <c r="I878" s="243"/>
      <c r="J878" s="243"/>
      <c r="K878" s="85"/>
      <c r="L878" s="85"/>
      <c r="M878" s="85"/>
      <c r="N878" s="85"/>
      <c r="O878" s="29"/>
      <c r="P878" s="307"/>
      <c r="Q878" s="29"/>
      <c r="R878" s="29"/>
      <c r="S878" s="15"/>
      <c r="T878" s="15"/>
      <c r="U878" s="243"/>
      <c r="V878" s="243"/>
      <c r="W878" s="243"/>
      <c r="X878" s="243"/>
      <c r="Y878" s="243"/>
      <c r="Z878" s="243"/>
    </row>
    <row r="879">
      <c r="A879" s="34"/>
      <c r="B879" s="15"/>
      <c r="C879" s="15"/>
      <c r="D879" s="15"/>
      <c r="E879" s="17"/>
      <c r="F879" s="15"/>
      <c r="G879" s="250"/>
      <c r="H879" s="243"/>
      <c r="I879" s="243"/>
      <c r="J879" s="243"/>
      <c r="K879" s="85"/>
      <c r="L879" s="85"/>
      <c r="M879" s="85"/>
      <c r="N879" s="85"/>
      <c r="O879" s="29"/>
      <c r="P879" s="307"/>
      <c r="Q879" s="29"/>
      <c r="R879" s="29"/>
      <c r="S879" s="15"/>
      <c r="T879" s="15"/>
      <c r="U879" s="243"/>
      <c r="V879" s="243"/>
      <c r="W879" s="243"/>
      <c r="X879" s="243"/>
      <c r="Y879" s="243"/>
      <c r="Z879" s="243"/>
    </row>
    <row r="880">
      <c r="A880" s="34"/>
      <c r="B880" s="15"/>
      <c r="C880" s="15"/>
      <c r="D880" s="15"/>
      <c r="E880" s="17"/>
      <c r="F880" s="15"/>
      <c r="G880" s="250"/>
      <c r="H880" s="243"/>
      <c r="I880" s="243"/>
      <c r="J880" s="243"/>
      <c r="K880" s="85"/>
      <c r="L880" s="85"/>
      <c r="M880" s="85"/>
      <c r="N880" s="85"/>
      <c r="O880" s="29"/>
      <c r="P880" s="307"/>
      <c r="Q880" s="29"/>
      <c r="R880" s="29"/>
      <c r="S880" s="15"/>
      <c r="T880" s="15"/>
      <c r="U880" s="243"/>
      <c r="V880" s="243"/>
      <c r="W880" s="243"/>
      <c r="X880" s="243"/>
      <c r="Y880" s="243"/>
      <c r="Z880" s="243"/>
    </row>
    <row r="881">
      <c r="A881" s="34"/>
      <c r="B881" s="15"/>
      <c r="C881" s="15"/>
      <c r="D881" s="15"/>
      <c r="E881" s="17"/>
      <c r="F881" s="15"/>
      <c r="G881" s="250"/>
      <c r="H881" s="243"/>
      <c r="I881" s="243"/>
      <c r="J881" s="243"/>
      <c r="K881" s="85"/>
      <c r="L881" s="85"/>
      <c r="M881" s="85"/>
      <c r="N881" s="85"/>
      <c r="O881" s="29"/>
      <c r="P881" s="307"/>
      <c r="Q881" s="29"/>
      <c r="R881" s="29"/>
      <c r="S881" s="15"/>
      <c r="T881" s="15"/>
      <c r="U881" s="243"/>
      <c r="V881" s="243"/>
      <c r="W881" s="243"/>
      <c r="X881" s="243"/>
      <c r="Y881" s="243"/>
      <c r="Z881" s="243"/>
    </row>
    <row r="882">
      <c r="A882" s="34"/>
      <c r="B882" s="15"/>
      <c r="C882" s="15"/>
      <c r="D882" s="15"/>
      <c r="E882" s="17"/>
      <c r="F882" s="15"/>
      <c r="G882" s="250"/>
      <c r="H882" s="243"/>
      <c r="I882" s="243"/>
      <c r="J882" s="243"/>
      <c r="K882" s="85"/>
      <c r="L882" s="85"/>
      <c r="M882" s="85"/>
      <c r="N882" s="85"/>
      <c r="O882" s="29"/>
      <c r="P882" s="307"/>
      <c r="Q882" s="29"/>
      <c r="R882" s="29"/>
      <c r="S882" s="15"/>
      <c r="T882" s="15"/>
      <c r="U882" s="243"/>
      <c r="V882" s="243"/>
      <c r="W882" s="243"/>
      <c r="X882" s="243"/>
      <c r="Y882" s="243"/>
      <c r="Z882" s="243"/>
    </row>
    <row r="883">
      <c r="A883" s="34"/>
      <c r="B883" s="15"/>
      <c r="C883" s="15"/>
      <c r="D883" s="15"/>
      <c r="E883" s="17"/>
      <c r="F883" s="15"/>
      <c r="G883" s="250"/>
      <c r="H883" s="243"/>
      <c r="I883" s="243"/>
      <c r="J883" s="243"/>
      <c r="K883" s="85"/>
      <c r="L883" s="85"/>
      <c r="M883" s="85"/>
      <c r="N883" s="85"/>
      <c r="O883" s="29"/>
      <c r="P883" s="307"/>
      <c r="Q883" s="29"/>
      <c r="R883" s="29"/>
      <c r="S883" s="15"/>
      <c r="T883" s="15"/>
      <c r="U883" s="243"/>
      <c r="V883" s="243"/>
      <c r="W883" s="243"/>
      <c r="X883" s="243"/>
      <c r="Y883" s="243"/>
      <c r="Z883" s="243"/>
    </row>
    <row r="884">
      <c r="A884" s="34"/>
      <c r="B884" s="15"/>
      <c r="C884" s="15"/>
      <c r="D884" s="15"/>
      <c r="E884" s="17"/>
      <c r="F884" s="15"/>
      <c r="G884" s="250"/>
      <c r="H884" s="243"/>
      <c r="I884" s="243"/>
      <c r="J884" s="243"/>
      <c r="K884" s="85"/>
      <c r="L884" s="85"/>
      <c r="M884" s="85"/>
      <c r="N884" s="85"/>
      <c r="O884" s="29"/>
      <c r="P884" s="307"/>
      <c r="Q884" s="29"/>
      <c r="R884" s="29"/>
      <c r="S884" s="15"/>
      <c r="T884" s="15"/>
      <c r="U884" s="243"/>
      <c r="V884" s="243"/>
      <c r="W884" s="243"/>
      <c r="X884" s="243"/>
      <c r="Y884" s="243"/>
      <c r="Z884" s="243"/>
    </row>
    <row r="885">
      <c r="A885" s="34"/>
      <c r="B885" s="15"/>
      <c r="C885" s="15"/>
      <c r="D885" s="15"/>
      <c r="E885" s="17"/>
      <c r="F885" s="15"/>
      <c r="G885" s="250"/>
      <c r="H885" s="243"/>
      <c r="I885" s="243"/>
      <c r="J885" s="243"/>
      <c r="K885" s="85"/>
      <c r="L885" s="85"/>
      <c r="M885" s="85"/>
      <c r="N885" s="85"/>
      <c r="O885" s="29"/>
      <c r="P885" s="307"/>
      <c r="Q885" s="29"/>
      <c r="R885" s="29"/>
      <c r="S885" s="15"/>
      <c r="T885" s="15"/>
      <c r="U885" s="243"/>
      <c r="V885" s="243"/>
      <c r="W885" s="243"/>
      <c r="X885" s="243"/>
      <c r="Y885" s="243"/>
      <c r="Z885" s="243"/>
    </row>
    <row r="886">
      <c r="A886" s="34"/>
      <c r="B886" s="15"/>
      <c r="C886" s="15"/>
      <c r="D886" s="15"/>
      <c r="E886" s="17"/>
      <c r="F886" s="15"/>
      <c r="G886" s="250"/>
      <c r="H886" s="243"/>
      <c r="I886" s="243"/>
      <c r="J886" s="243"/>
      <c r="K886" s="85"/>
      <c r="L886" s="85"/>
      <c r="M886" s="85"/>
      <c r="N886" s="85"/>
      <c r="O886" s="29"/>
      <c r="P886" s="307"/>
      <c r="Q886" s="29"/>
      <c r="R886" s="29"/>
      <c r="S886" s="15"/>
      <c r="T886" s="15"/>
      <c r="U886" s="243"/>
      <c r="V886" s="243"/>
      <c r="W886" s="243"/>
      <c r="X886" s="243"/>
      <c r="Y886" s="243"/>
      <c r="Z886" s="243"/>
    </row>
    <row r="887">
      <c r="A887" s="34"/>
      <c r="B887" s="15"/>
      <c r="C887" s="15"/>
      <c r="D887" s="15"/>
      <c r="E887" s="17"/>
      <c r="F887" s="15"/>
      <c r="G887" s="250"/>
      <c r="H887" s="243"/>
      <c r="I887" s="243"/>
      <c r="J887" s="243"/>
      <c r="K887" s="85"/>
      <c r="L887" s="85"/>
      <c r="M887" s="85"/>
      <c r="N887" s="85"/>
      <c r="O887" s="29"/>
      <c r="P887" s="307"/>
      <c r="Q887" s="29"/>
      <c r="R887" s="29"/>
      <c r="S887" s="15"/>
      <c r="T887" s="15"/>
      <c r="U887" s="243"/>
      <c r="V887" s="243"/>
      <c r="W887" s="243"/>
      <c r="X887" s="243"/>
      <c r="Y887" s="243"/>
      <c r="Z887" s="243"/>
    </row>
    <row r="888">
      <c r="A888" s="34"/>
      <c r="B888" s="15"/>
      <c r="C888" s="15"/>
      <c r="D888" s="15"/>
      <c r="E888" s="17"/>
      <c r="F888" s="15"/>
      <c r="G888" s="250"/>
      <c r="H888" s="243"/>
      <c r="I888" s="243"/>
      <c r="J888" s="243"/>
      <c r="K888" s="85"/>
      <c r="L888" s="85"/>
      <c r="M888" s="85"/>
      <c r="N888" s="85"/>
      <c r="O888" s="29"/>
      <c r="P888" s="307"/>
      <c r="Q888" s="29"/>
      <c r="R888" s="29"/>
      <c r="S888" s="15"/>
      <c r="T888" s="15"/>
      <c r="U888" s="243"/>
      <c r="V888" s="243"/>
      <c r="W888" s="243"/>
      <c r="X888" s="243"/>
      <c r="Y888" s="243"/>
      <c r="Z888" s="243"/>
    </row>
    <row r="889">
      <c r="A889" s="34"/>
      <c r="B889" s="15"/>
      <c r="C889" s="15"/>
      <c r="D889" s="15"/>
      <c r="E889" s="17"/>
      <c r="F889" s="15"/>
      <c r="G889" s="250"/>
      <c r="H889" s="243"/>
      <c r="I889" s="243"/>
      <c r="J889" s="243"/>
      <c r="K889" s="85"/>
      <c r="L889" s="85"/>
      <c r="M889" s="85"/>
      <c r="N889" s="85"/>
      <c r="O889" s="29"/>
      <c r="P889" s="307"/>
      <c r="Q889" s="29"/>
      <c r="R889" s="29"/>
      <c r="S889" s="15"/>
      <c r="T889" s="15"/>
      <c r="U889" s="243"/>
      <c r="V889" s="243"/>
      <c r="W889" s="243"/>
      <c r="X889" s="243"/>
      <c r="Y889" s="243"/>
      <c r="Z889" s="243"/>
    </row>
    <row r="890">
      <c r="A890" s="34"/>
      <c r="B890" s="15"/>
      <c r="C890" s="15"/>
      <c r="D890" s="15"/>
      <c r="E890" s="17"/>
      <c r="F890" s="15"/>
      <c r="G890" s="250"/>
      <c r="H890" s="243"/>
      <c r="I890" s="243"/>
      <c r="J890" s="243"/>
      <c r="K890" s="85"/>
      <c r="L890" s="85"/>
      <c r="M890" s="85"/>
      <c r="N890" s="85"/>
      <c r="O890" s="29"/>
      <c r="P890" s="307"/>
      <c r="Q890" s="29"/>
      <c r="R890" s="29"/>
      <c r="S890" s="15"/>
      <c r="T890" s="15"/>
      <c r="U890" s="243"/>
      <c r="V890" s="243"/>
      <c r="W890" s="243"/>
      <c r="X890" s="243"/>
      <c r="Y890" s="243"/>
      <c r="Z890" s="243"/>
    </row>
    <row r="891">
      <c r="A891" s="34"/>
      <c r="B891" s="15"/>
      <c r="C891" s="15"/>
      <c r="D891" s="15"/>
      <c r="E891" s="17"/>
      <c r="F891" s="15"/>
      <c r="G891" s="250"/>
      <c r="H891" s="243"/>
      <c r="I891" s="243"/>
      <c r="J891" s="243"/>
      <c r="K891" s="85"/>
      <c r="L891" s="85"/>
      <c r="M891" s="85"/>
      <c r="N891" s="85"/>
      <c r="O891" s="29"/>
      <c r="P891" s="307"/>
      <c r="Q891" s="29"/>
      <c r="R891" s="29"/>
      <c r="S891" s="15"/>
      <c r="T891" s="15"/>
      <c r="U891" s="243"/>
      <c r="V891" s="243"/>
      <c r="W891" s="243"/>
      <c r="X891" s="243"/>
      <c r="Y891" s="243"/>
      <c r="Z891" s="243"/>
    </row>
    <row r="892">
      <c r="A892" s="34"/>
      <c r="B892" s="15"/>
      <c r="C892" s="15"/>
      <c r="D892" s="15"/>
      <c r="E892" s="17"/>
      <c r="F892" s="15"/>
      <c r="G892" s="250"/>
      <c r="H892" s="243"/>
      <c r="I892" s="243"/>
      <c r="J892" s="243"/>
      <c r="K892" s="85"/>
      <c r="L892" s="85"/>
      <c r="M892" s="85"/>
      <c r="N892" s="85"/>
      <c r="O892" s="29"/>
      <c r="P892" s="307"/>
      <c r="Q892" s="29"/>
      <c r="R892" s="29"/>
      <c r="S892" s="15"/>
      <c r="T892" s="15"/>
      <c r="U892" s="243"/>
      <c r="V892" s="243"/>
      <c r="W892" s="243"/>
      <c r="X892" s="243"/>
      <c r="Y892" s="243"/>
      <c r="Z892" s="243"/>
    </row>
    <row r="893">
      <c r="A893" s="34"/>
      <c r="B893" s="15"/>
      <c r="C893" s="15"/>
      <c r="D893" s="15"/>
      <c r="E893" s="17"/>
      <c r="F893" s="15"/>
      <c r="G893" s="250"/>
      <c r="H893" s="243"/>
      <c r="I893" s="243"/>
      <c r="J893" s="243"/>
      <c r="K893" s="85"/>
      <c r="L893" s="85"/>
      <c r="M893" s="85"/>
      <c r="N893" s="85"/>
      <c r="O893" s="29"/>
      <c r="P893" s="307"/>
      <c r="Q893" s="29"/>
      <c r="R893" s="29"/>
      <c r="S893" s="15"/>
      <c r="T893" s="15"/>
      <c r="U893" s="243"/>
      <c r="V893" s="243"/>
      <c r="W893" s="243"/>
      <c r="X893" s="243"/>
      <c r="Y893" s="243"/>
      <c r="Z893" s="243"/>
    </row>
    <row r="894">
      <c r="A894" s="34"/>
      <c r="B894" s="15"/>
      <c r="C894" s="15"/>
      <c r="D894" s="15"/>
      <c r="E894" s="17"/>
      <c r="F894" s="15"/>
      <c r="G894" s="250"/>
      <c r="H894" s="243"/>
      <c r="I894" s="243"/>
      <c r="J894" s="243"/>
      <c r="K894" s="85"/>
      <c r="L894" s="85"/>
      <c r="M894" s="85"/>
      <c r="N894" s="85"/>
      <c r="O894" s="29"/>
      <c r="P894" s="307"/>
      <c r="Q894" s="29"/>
      <c r="R894" s="29"/>
      <c r="S894" s="15"/>
      <c r="T894" s="15"/>
      <c r="U894" s="243"/>
      <c r="V894" s="243"/>
      <c r="W894" s="243"/>
      <c r="X894" s="243"/>
      <c r="Y894" s="243"/>
      <c r="Z894" s="243"/>
    </row>
    <row r="895">
      <c r="A895" s="34"/>
      <c r="B895" s="15"/>
      <c r="C895" s="15"/>
      <c r="D895" s="15"/>
      <c r="E895" s="17"/>
      <c r="F895" s="15"/>
      <c r="G895" s="250"/>
      <c r="H895" s="243"/>
      <c r="I895" s="243"/>
      <c r="J895" s="243"/>
      <c r="K895" s="85"/>
      <c r="L895" s="85"/>
      <c r="M895" s="85"/>
      <c r="N895" s="85"/>
      <c r="O895" s="29"/>
      <c r="P895" s="307"/>
      <c r="Q895" s="29"/>
      <c r="R895" s="29"/>
      <c r="S895" s="15"/>
      <c r="T895" s="15"/>
      <c r="U895" s="243"/>
      <c r="V895" s="243"/>
      <c r="W895" s="243"/>
      <c r="X895" s="243"/>
      <c r="Y895" s="243"/>
      <c r="Z895" s="243"/>
    </row>
    <row r="896">
      <c r="A896" s="34"/>
      <c r="B896" s="15"/>
      <c r="C896" s="15"/>
      <c r="D896" s="15"/>
      <c r="E896" s="17"/>
      <c r="F896" s="15"/>
      <c r="G896" s="250"/>
      <c r="H896" s="243"/>
      <c r="I896" s="243"/>
      <c r="J896" s="243"/>
      <c r="K896" s="85"/>
      <c r="L896" s="85"/>
      <c r="M896" s="85"/>
      <c r="N896" s="85"/>
      <c r="O896" s="29"/>
      <c r="P896" s="307"/>
      <c r="Q896" s="29"/>
      <c r="R896" s="29"/>
      <c r="S896" s="15"/>
      <c r="T896" s="15"/>
      <c r="U896" s="243"/>
      <c r="V896" s="243"/>
      <c r="W896" s="243"/>
      <c r="X896" s="243"/>
      <c r="Y896" s="243"/>
      <c r="Z896" s="243"/>
    </row>
    <row r="897">
      <c r="A897" s="34"/>
      <c r="B897" s="15"/>
      <c r="C897" s="15"/>
      <c r="D897" s="15"/>
      <c r="E897" s="17"/>
      <c r="F897" s="15"/>
      <c r="G897" s="250"/>
      <c r="H897" s="243"/>
      <c r="I897" s="243"/>
      <c r="J897" s="243"/>
      <c r="K897" s="85"/>
      <c r="L897" s="85"/>
      <c r="M897" s="85"/>
      <c r="N897" s="85"/>
      <c r="O897" s="29"/>
      <c r="P897" s="307"/>
      <c r="Q897" s="29"/>
      <c r="R897" s="29"/>
      <c r="S897" s="15"/>
      <c r="T897" s="15"/>
      <c r="U897" s="243"/>
      <c r="V897" s="243"/>
      <c r="W897" s="243"/>
      <c r="X897" s="243"/>
      <c r="Y897" s="243"/>
      <c r="Z897" s="243"/>
    </row>
    <row r="898">
      <c r="A898" s="34"/>
      <c r="B898" s="15"/>
      <c r="C898" s="15"/>
      <c r="D898" s="15"/>
      <c r="E898" s="17"/>
      <c r="F898" s="15"/>
      <c r="G898" s="250"/>
      <c r="H898" s="243"/>
      <c r="I898" s="243"/>
      <c r="J898" s="243"/>
      <c r="K898" s="85"/>
      <c r="L898" s="85"/>
      <c r="M898" s="85"/>
      <c r="N898" s="85"/>
      <c r="O898" s="29"/>
      <c r="P898" s="307"/>
      <c r="Q898" s="29"/>
      <c r="R898" s="29"/>
      <c r="S898" s="15"/>
      <c r="T898" s="15"/>
      <c r="U898" s="243"/>
      <c r="V898" s="243"/>
      <c r="W898" s="243"/>
      <c r="X898" s="243"/>
      <c r="Y898" s="243"/>
      <c r="Z898" s="243"/>
    </row>
    <row r="899">
      <c r="A899" s="34"/>
      <c r="B899" s="15"/>
      <c r="C899" s="15"/>
      <c r="D899" s="15"/>
      <c r="E899" s="17"/>
      <c r="F899" s="15"/>
      <c r="G899" s="250"/>
      <c r="H899" s="243"/>
      <c r="I899" s="243"/>
      <c r="J899" s="243"/>
      <c r="K899" s="85"/>
      <c r="L899" s="85"/>
      <c r="M899" s="85"/>
      <c r="N899" s="85"/>
      <c r="O899" s="29"/>
      <c r="P899" s="307"/>
      <c r="Q899" s="29"/>
      <c r="R899" s="29"/>
      <c r="S899" s="15"/>
      <c r="T899" s="15"/>
      <c r="U899" s="243"/>
      <c r="V899" s="243"/>
      <c r="W899" s="243"/>
      <c r="X899" s="243"/>
      <c r="Y899" s="243"/>
      <c r="Z899" s="243"/>
    </row>
    <row r="900">
      <c r="A900" s="34"/>
      <c r="B900" s="15"/>
      <c r="C900" s="15"/>
      <c r="D900" s="15"/>
      <c r="E900" s="17"/>
      <c r="F900" s="15"/>
      <c r="G900" s="250"/>
      <c r="H900" s="243"/>
      <c r="I900" s="243"/>
      <c r="J900" s="243"/>
      <c r="K900" s="85"/>
      <c r="L900" s="85"/>
      <c r="M900" s="85"/>
      <c r="N900" s="85"/>
      <c r="O900" s="29"/>
      <c r="P900" s="307"/>
      <c r="Q900" s="29"/>
      <c r="R900" s="29"/>
      <c r="S900" s="15"/>
      <c r="T900" s="15"/>
      <c r="U900" s="243"/>
      <c r="V900" s="243"/>
      <c r="W900" s="243"/>
      <c r="X900" s="243"/>
      <c r="Y900" s="243"/>
      <c r="Z900" s="243"/>
    </row>
    <row r="901">
      <c r="A901" s="34"/>
      <c r="B901" s="15"/>
      <c r="C901" s="15"/>
      <c r="D901" s="15"/>
      <c r="E901" s="17"/>
      <c r="F901" s="15"/>
      <c r="G901" s="250"/>
      <c r="H901" s="243"/>
      <c r="I901" s="243"/>
      <c r="J901" s="243"/>
      <c r="K901" s="85"/>
      <c r="L901" s="85"/>
      <c r="M901" s="85"/>
      <c r="N901" s="85"/>
      <c r="O901" s="29"/>
      <c r="P901" s="307"/>
      <c r="Q901" s="29"/>
      <c r="R901" s="29"/>
      <c r="S901" s="15"/>
      <c r="T901" s="15"/>
      <c r="U901" s="243"/>
      <c r="V901" s="243"/>
      <c r="W901" s="243"/>
      <c r="X901" s="243"/>
      <c r="Y901" s="243"/>
      <c r="Z901" s="243"/>
    </row>
    <row r="902">
      <c r="A902" s="34"/>
      <c r="B902" s="15"/>
      <c r="C902" s="15"/>
      <c r="D902" s="15"/>
      <c r="E902" s="17"/>
      <c r="F902" s="15"/>
      <c r="G902" s="250"/>
      <c r="H902" s="243"/>
      <c r="I902" s="243"/>
      <c r="J902" s="243"/>
      <c r="K902" s="85"/>
      <c r="L902" s="85"/>
      <c r="M902" s="85"/>
      <c r="N902" s="85"/>
      <c r="O902" s="29"/>
      <c r="P902" s="307"/>
      <c r="Q902" s="29"/>
      <c r="R902" s="29"/>
      <c r="S902" s="15"/>
      <c r="T902" s="15"/>
      <c r="U902" s="243"/>
      <c r="V902" s="243"/>
      <c r="W902" s="243"/>
      <c r="X902" s="243"/>
      <c r="Y902" s="243"/>
      <c r="Z902" s="243"/>
    </row>
    <row r="903">
      <c r="A903" s="34"/>
      <c r="B903" s="15"/>
      <c r="C903" s="15"/>
      <c r="D903" s="15"/>
      <c r="E903" s="17"/>
      <c r="F903" s="15"/>
      <c r="G903" s="250"/>
      <c r="H903" s="243"/>
      <c r="I903" s="243"/>
      <c r="J903" s="243"/>
      <c r="K903" s="85"/>
      <c r="L903" s="85"/>
      <c r="M903" s="85"/>
      <c r="N903" s="85"/>
      <c r="O903" s="29"/>
      <c r="P903" s="307"/>
      <c r="Q903" s="29"/>
      <c r="R903" s="29"/>
      <c r="S903" s="15"/>
      <c r="T903" s="15"/>
      <c r="U903" s="243"/>
      <c r="V903" s="243"/>
      <c r="W903" s="243"/>
      <c r="X903" s="243"/>
      <c r="Y903" s="243"/>
      <c r="Z903" s="243"/>
    </row>
    <row r="904">
      <c r="A904" s="34"/>
      <c r="B904" s="15"/>
      <c r="C904" s="15"/>
      <c r="D904" s="15"/>
      <c r="E904" s="17"/>
      <c r="F904" s="15"/>
      <c r="G904" s="250"/>
      <c r="H904" s="243"/>
      <c r="I904" s="243"/>
      <c r="J904" s="243"/>
      <c r="K904" s="85"/>
      <c r="L904" s="85"/>
      <c r="M904" s="85"/>
      <c r="N904" s="85"/>
      <c r="O904" s="29"/>
      <c r="P904" s="307"/>
      <c r="Q904" s="29"/>
      <c r="R904" s="29"/>
      <c r="S904" s="15"/>
      <c r="T904" s="15"/>
      <c r="U904" s="243"/>
      <c r="V904" s="243"/>
      <c r="W904" s="243"/>
      <c r="X904" s="243"/>
      <c r="Y904" s="243"/>
      <c r="Z904" s="243"/>
    </row>
    <row r="905">
      <c r="A905" s="34"/>
      <c r="B905" s="15"/>
      <c r="C905" s="15"/>
      <c r="D905" s="15"/>
      <c r="E905" s="17"/>
      <c r="F905" s="15"/>
      <c r="G905" s="250"/>
      <c r="H905" s="243"/>
      <c r="I905" s="243"/>
      <c r="J905" s="243"/>
      <c r="K905" s="85"/>
      <c r="L905" s="85"/>
      <c r="M905" s="85"/>
      <c r="N905" s="85"/>
      <c r="O905" s="29"/>
      <c r="P905" s="307"/>
      <c r="Q905" s="29"/>
      <c r="R905" s="29"/>
      <c r="S905" s="15"/>
      <c r="T905" s="15"/>
      <c r="U905" s="243"/>
      <c r="V905" s="243"/>
      <c r="W905" s="243"/>
      <c r="X905" s="243"/>
      <c r="Y905" s="243"/>
      <c r="Z905" s="243"/>
    </row>
    <row r="906">
      <c r="A906" s="34"/>
      <c r="B906" s="15"/>
      <c r="C906" s="15"/>
      <c r="D906" s="15"/>
      <c r="E906" s="17"/>
      <c r="F906" s="15"/>
      <c r="G906" s="250"/>
      <c r="H906" s="243"/>
      <c r="I906" s="243"/>
      <c r="J906" s="243"/>
      <c r="K906" s="85"/>
      <c r="L906" s="85"/>
      <c r="M906" s="85"/>
      <c r="N906" s="85"/>
      <c r="O906" s="29"/>
      <c r="P906" s="307"/>
      <c r="Q906" s="29"/>
      <c r="R906" s="29"/>
      <c r="S906" s="15"/>
      <c r="T906" s="15"/>
      <c r="U906" s="243"/>
      <c r="V906" s="243"/>
      <c r="W906" s="243"/>
      <c r="X906" s="243"/>
      <c r="Y906" s="243"/>
      <c r="Z906" s="243"/>
    </row>
    <row r="907">
      <c r="A907" s="34"/>
      <c r="B907" s="15"/>
      <c r="C907" s="15"/>
      <c r="D907" s="15"/>
      <c r="E907" s="17"/>
      <c r="F907" s="15"/>
      <c r="G907" s="250"/>
      <c r="H907" s="243"/>
      <c r="I907" s="243"/>
      <c r="J907" s="243"/>
      <c r="K907" s="85"/>
      <c r="L907" s="85"/>
      <c r="M907" s="85"/>
      <c r="N907" s="85"/>
      <c r="O907" s="29"/>
      <c r="P907" s="307"/>
      <c r="Q907" s="29"/>
      <c r="R907" s="29"/>
      <c r="S907" s="15"/>
      <c r="T907" s="15"/>
      <c r="U907" s="243"/>
      <c r="V907" s="243"/>
      <c r="W907" s="243"/>
      <c r="X907" s="243"/>
      <c r="Y907" s="243"/>
      <c r="Z907" s="243"/>
    </row>
    <row r="908">
      <c r="A908" s="34"/>
      <c r="B908" s="15"/>
      <c r="C908" s="15"/>
      <c r="D908" s="15"/>
      <c r="E908" s="17"/>
      <c r="F908" s="15"/>
      <c r="G908" s="250"/>
      <c r="H908" s="243"/>
      <c r="I908" s="243"/>
      <c r="J908" s="243"/>
      <c r="K908" s="85"/>
      <c r="L908" s="85"/>
      <c r="M908" s="85"/>
      <c r="N908" s="85"/>
      <c r="O908" s="29"/>
      <c r="P908" s="307"/>
      <c r="Q908" s="29"/>
      <c r="R908" s="29"/>
      <c r="S908" s="15"/>
      <c r="T908" s="15"/>
      <c r="U908" s="243"/>
      <c r="V908" s="243"/>
      <c r="W908" s="243"/>
      <c r="X908" s="243"/>
      <c r="Y908" s="243"/>
      <c r="Z908" s="243"/>
    </row>
    <row r="909">
      <c r="A909" s="34"/>
      <c r="B909" s="15"/>
      <c r="C909" s="15"/>
      <c r="D909" s="15"/>
      <c r="E909" s="17"/>
      <c r="F909" s="15"/>
      <c r="G909" s="250"/>
      <c r="H909" s="243"/>
      <c r="I909" s="243"/>
      <c r="J909" s="243"/>
      <c r="K909" s="85"/>
      <c r="L909" s="85"/>
      <c r="M909" s="85"/>
      <c r="N909" s="85"/>
      <c r="O909" s="29"/>
      <c r="P909" s="307"/>
      <c r="Q909" s="29"/>
      <c r="R909" s="29"/>
      <c r="S909" s="15"/>
      <c r="T909" s="15"/>
      <c r="U909" s="243"/>
      <c r="V909" s="243"/>
      <c r="W909" s="243"/>
      <c r="X909" s="243"/>
      <c r="Y909" s="243"/>
      <c r="Z909" s="243"/>
    </row>
    <row r="910">
      <c r="A910" s="34"/>
      <c r="B910" s="15"/>
      <c r="C910" s="15"/>
      <c r="D910" s="15"/>
      <c r="E910" s="17"/>
      <c r="F910" s="15"/>
      <c r="G910" s="250"/>
      <c r="H910" s="243"/>
      <c r="I910" s="243"/>
      <c r="J910" s="243"/>
      <c r="K910" s="85"/>
      <c r="L910" s="85"/>
      <c r="M910" s="85"/>
      <c r="N910" s="85"/>
      <c r="O910" s="29"/>
      <c r="P910" s="307"/>
      <c r="Q910" s="29"/>
      <c r="R910" s="29"/>
      <c r="S910" s="15"/>
      <c r="T910" s="15"/>
      <c r="U910" s="243"/>
      <c r="V910" s="243"/>
      <c r="W910" s="243"/>
      <c r="X910" s="243"/>
      <c r="Y910" s="243"/>
      <c r="Z910" s="243"/>
    </row>
    <row r="911">
      <c r="A911" s="34"/>
      <c r="B911" s="15"/>
      <c r="C911" s="15"/>
      <c r="D911" s="15"/>
      <c r="E911" s="17"/>
      <c r="F911" s="15"/>
      <c r="G911" s="250"/>
      <c r="H911" s="243"/>
      <c r="I911" s="243"/>
      <c r="J911" s="243"/>
      <c r="K911" s="85"/>
      <c r="L911" s="85"/>
      <c r="M911" s="85"/>
      <c r="N911" s="85"/>
      <c r="O911" s="29"/>
      <c r="P911" s="307"/>
      <c r="Q911" s="29"/>
      <c r="R911" s="29"/>
      <c r="S911" s="15"/>
      <c r="T911" s="15"/>
      <c r="U911" s="243"/>
      <c r="V911" s="243"/>
      <c r="W911" s="243"/>
      <c r="X911" s="243"/>
      <c r="Y911" s="243"/>
      <c r="Z911" s="243"/>
    </row>
    <row r="912">
      <c r="A912" s="34"/>
      <c r="B912" s="15"/>
      <c r="C912" s="15"/>
      <c r="D912" s="15"/>
      <c r="E912" s="17"/>
      <c r="F912" s="15"/>
      <c r="G912" s="250"/>
      <c r="H912" s="243"/>
      <c r="I912" s="243"/>
      <c r="J912" s="243"/>
      <c r="K912" s="85"/>
      <c r="L912" s="85"/>
      <c r="M912" s="85"/>
      <c r="N912" s="85"/>
      <c r="O912" s="29"/>
      <c r="P912" s="307"/>
      <c r="Q912" s="29"/>
      <c r="R912" s="29"/>
      <c r="S912" s="15"/>
      <c r="T912" s="15"/>
      <c r="U912" s="243"/>
      <c r="V912" s="243"/>
      <c r="W912" s="243"/>
      <c r="X912" s="243"/>
      <c r="Y912" s="243"/>
      <c r="Z912" s="243"/>
    </row>
    <row r="913">
      <c r="A913" s="34"/>
      <c r="B913" s="15"/>
      <c r="C913" s="15"/>
      <c r="D913" s="15"/>
      <c r="E913" s="17"/>
      <c r="F913" s="15"/>
      <c r="G913" s="250"/>
      <c r="H913" s="243"/>
      <c r="I913" s="243"/>
      <c r="J913" s="243"/>
      <c r="K913" s="85"/>
      <c r="L913" s="85"/>
      <c r="M913" s="85"/>
      <c r="N913" s="85"/>
      <c r="O913" s="29"/>
      <c r="P913" s="307"/>
      <c r="Q913" s="29"/>
      <c r="R913" s="29"/>
      <c r="S913" s="15"/>
      <c r="T913" s="15"/>
      <c r="U913" s="243"/>
      <c r="V913" s="243"/>
      <c r="W913" s="243"/>
      <c r="X913" s="243"/>
      <c r="Y913" s="243"/>
      <c r="Z913" s="243"/>
    </row>
    <row r="914">
      <c r="A914" s="34"/>
      <c r="B914" s="15"/>
      <c r="C914" s="15"/>
      <c r="D914" s="15"/>
      <c r="E914" s="17"/>
      <c r="F914" s="15"/>
      <c r="G914" s="250"/>
      <c r="H914" s="243"/>
      <c r="I914" s="243"/>
      <c r="J914" s="243"/>
      <c r="K914" s="85"/>
      <c r="L914" s="85"/>
      <c r="M914" s="85"/>
      <c r="N914" s="85"/>
      <c r="O914" s="29"/>
      <c r="P914" s="307"/>
      <c r="Q914" s="29"/>
      <c r="R914" s="29"/>
      <c r="S914" s="15"/>
      <c r="T914" s="15"/>
      <c r="U914" s="243"/>
      <c r="V914" s="243"/>
      <c r="W914" s="243"/>
      <c r="X914" s="243"/>
      <c r="Y914" s="243"/>
      <c r="Z914" s="243"/>
    </row>
    <row r="915">
      <c r="A915" s="34"/>
      <c r="B915" s="15"/>
      <c r="C915" s="15"/>
      <c r="D915" s="15"/>
      <c r="E915" s="17"/>
      <c r="F915" s="15"/>
      <c r="G915" s="250"/>
      <c r="H915" s="243"/>
      <c r="I915" s="243"/>
      <c r="J915" s="243"/>
      <c r="K915" s="85"/>
      <c r="L915" s="85"/>
      <c r="M915" s="85"/>
      <c r="N915" s="85"/>
      <c r="O915" s="29"/>
      <c r="P915" s="307"/>
      <c r="Q915" s="29"/>
      <c r="R915" s="29"/>
      <c r="S915" s="15"/>
      <c r="T915" s="15"/>
      <c r="U915" s="243"/>
      <c r="V915" s="243"/>
      <c r="W915" s="243"/>
      <c r="X915" s="243"/>
      <c r="Y915" s="243"/>
      <c r="Z915" s="243"/>
    </row>
    <row r="916">
      <c r="A916" s="34"/>
      <c r="B916" s="15"/>
      <c r="C916" s="15"/>
      <c r="D916" s="15"/>
      <c r="E916" s="17"/>
      <c r="F916" s="15"/>
      <c r="G916" s="250"/>
      <c r="H916" s="243"/>
      <c r="I916" s="243"/>
      <c r="J916" s="243"/>
      <c r="K916" s="85"/>
      <c r="L916" s="85"/>
      <c r="M916" s="85"/>
      <c r="N916" s="85"/>
      <c r="O916" s="29"/>
      <c r="P916" s="307"/>
      <c r="Q916" s="29"/>
      <c r="R916" s="29"/>
      <c r="S916" s="15"/>
      <c r="T916" s="15"/>
      <c r="U916" s="243"/>
      <c r="V916" s="243"/>
      <c r="W916" s="243"/>
      <c r="X916" s="243"/>
      <c r="Y916" s="243"/>
      <c r="Z916" s="243"/>
    </row>
    <row r="917">
      <c r="A917" s="34"/>
      <c r="B917" s="15"/>
      <c r="C917" s="15"/>
      <c r="D917" s="15"/>
      <c r="E917" s="17"/>
      <c r="F917" s="15"/>
      <c r="G917" s="250"/>
      <c r="H917" s="243"/>
      <c r="I917" s="243"/>
      <c r="J917" s="243"/>
      <c r="K917" s="85"/>
      <c r="L917" s="85"/>
      <c r="M917" s="85"/>
      <c r="N917" s="85"/>
      <c r="O917" s="29"/>
      <c r="P917" s="307"/>
      <c r="Q917" s="29"/>
      <c r="R917" s="29"/>
      <c r="S917" s="15"/>
      <c r="T917" s="15"/>
      <c r="U917" s="243"/>
      <c r="V917" s="243"/>
      <c r="W917" s="243"/>
      <c r="X917" s="243"/>
      <c r="Y917" s="243"/>
      <c r="Z917" s="243"/>
    </row>
    <row r="918">
      <c r="A918" s="34"/>
      <c r="B918" s="15"/>
      <c r="C918" s="15"/>
      <c r="D918" s="15"/>
      <c r="E918" s="17"/>
      <c r="F918" s="15"/>
      <c r="G918" s="250"/>
      <c r="H918" s="243"/>
      <c r="I918" s="243"/>
      <c r="J918" s="243"/>
      <c r="K918" s="85"/>
      <c r="L918" s="85"/>
      <c r="M918" s="85"/>
      <c r="N918" s="85"/>
      <c r="O918" s="29"/>
      <c r="P918" s="307"/>
      <c r="Q918" s="29"/>
      <c r="R918" s="29"/>
      <c r="S918" s="15"/>
      <c r="T918" s="15"/>
      <c r="U918" s="243"/>
      <c r="V918" s="243"/>
      <c r="W918" s="243"/>
      <c r="X918" s="243"/>
      <c r="Y918" s="243"/>
      <c r="Z918" s="243"/>
    </row>
    <row r="919">
      <c r="A919" s="34"/>
      <c r="B919" s="15"/>
      <c r="C919" s="15"/>
      <c r="D919" s="15"/>
      <c r="E919" s="17"/>
      <c r="F919" s="15"/>
      <c r="G919" s="250"/>
      <c r="H919" s="243"/>
      <c r="I919" s="243"/>
      <c r="J919" s="243"/>
      <c r="K919" s="85"/>
      <c r="L919" s="85"/>
      <c r="M919" s="85"/>
      <c r="N919" s="85"/>
      <c r="O919" s="29"/>
      <c r="P919" s="307"/>
      <c r="Q919" s="29"/>
      <c r="R919" s="29"/>
      <c r="S919" s="15"/>
      <c r="T919" s="15"/>
      <c r="U919" s="243"/>
      <c r="V919" s="243"/>
      <c r="W919" s="243"/>
      <c r="X919" s="243"/>
      <c r="Y919" s="243"/>
      <c r="Z919" s="243"/>
    </row>
    <row r="920">
      <c r="A920" s="34"/>
      <c r="B920" s="15"/>
      <c r="C920" s="15"/>
      <c r="D920" s="15"/>
      <c r="E920" s="17"/>
      <c r="F920" s="15"/>
      <c r="G920" s="250"/>
      <c r="H920" s="243"/>
      <c r="I920" s="243"/>
      <c r="J920" s="243"/>
      <c r="K920" s="85"/>
      <c r="L920" s="85"/>
      <c r="M920" s="85"/>
      <c r="N920" s="85"/>
      <c r="O920" s="29"/>
      <c r="P920" s="307"/>
      <c r="Q920" s="29"/>
      <c r="R920" s="29"/>
      <c r="S920" s="15"/>
      <c r="T920" s="15"/>
      <c r="U920" s="243"/>
      <c r="V920" s="243"/>
      <c r="W920" s="243"/>
      <c r="X920" s="243"/>
      <c r="Y920" s="243"/>
      <c r="Z920" s="243"/>
    </row>
    <row r="921">
      <c r="A921" s="34"/>
      <c r="B921" s="15"/>
      <c r="C921" s="15"/>
      <c r="D921" s="15"/>
      <c r="E921" s="17"/>
      <c r="F921" s="15"/>
      <c r="G921" s="250"/>
      <c r="H921" s="243"/>
      <c r="I921" s="243"/>
      <c r="J921" s="243"/>
      <c r="K921" s="85"/>
      <c r="L921" s="85"/>
      <c r="M921" s="85"/>
      <c r="N921" s="85"/>
      <c r="O921" s="29"/>
      <c r="P921" s="307"/>
      <c r="Q921" s="29"/>
      <c r="R921" s="29"/>
      <c r="S921" s="15"/>
      <c r="T921" s="15"/>
      <c r="U921" s="243"/>
      <c r="V921" s="243"/>
      <c r="W921" s="243"/>
      <c r="X921" s="243"/>
      <c r="Y921" s="243"/>
      <c r="Z921" s="243"/>
    </row>
    <row r="922">
      <c r="A922" s="34"/>
      <c r="B922" s="15"/>
      <c r="C922" s="15"/>
      <c r="D922" s="15"/>
      <c r="E922" s="17"/>
      <c r="F922" s="15"/>
      <c r="G922" s="250"/>
      <c r="H922" s="243"/>
      <c r="I922" s="243"/>
      <c r="J922" s="243"/>
      <c r="K922" s="85"/>
      <c r="L922" s="85"/>
      <c r="M922" s="85"/>
      <c r="N922" s="85"/>
      <c r="O922" s="29"/>
      <c r="P922" s="307"/>
      <c r="Q922" s="29"/>
      <c r="R922" s="29"/>
      <c r="S922" s="15"/>
      <c r="T922" s="15"/>
      <c r="U922" s="243"/>
      <c r="V922" s="243"/>
      <c r="W922" s="243"/>
      <c r="X922" s="243"/>
      <c r="Y922" s="243"/>
      <c r="Z922" s="243"/>
    </row>
    <row r="923">
      <c r="A923" s="34"/>
      <c r="B923" s="15"/>
      <c r="C923" s="15"/>
      <c r="D923" s="15"/>
      <c r="E923" s="17"/>
      <c r="F923" s="15"/>
      <c r="G923" s="250"/>
      <c r="H923" s="243"/>
      <c r="I923" s="243"/>
      <c r="J923" s="243"/>
      <c r="K923" s="85"/>
      <c r="L923" s="85"/>
      <c r="M923" s="85"/>
      <c r="N923" s="85"/>
      <c r="O923" s="29"/>
      <c r="P923" s="307"/>
      <c r="Q923" s="29"/>
      <c r="R923" s="29"/>
      <c r="S923" s="15"/>
      <c r="T923" s="15"/>
      <c r="U923" s="243"/>
      <c r="V923" s="243"/>
      <c r="W923" s="243"/>
      <c r="X923" s="243"/>
      <c r="Y923" s="243"/>
      <c r="Z923" s="243"/>
    </row>
    <row r="924">
      <c r="A924" s="34"/>
      <c r="B924" s="15"/>
      <c r="C924" s="15"/>
      <c r="D924" s="15"/>
      <c r="E924" s="17"/>
      <c r="F924" s="15"/>
      <c r="G924" s="250"/>
      <c r="H924" s="243"/>
      <c r="I924" s="243"/>
      <c r="J924" s="243"/>
      <c r="K924" s="85"/>
      <c r="L924" s="85"/>
      <c r="M924" s="85"/>
      <c r="N924" s="85"/>
      <c r="O924" s="29"/>
      <c r="P924" s="307"/>
      <c r="Q924" s="29"/>
      <c r="R924" s="29"/>
      <c r="S924" s="15"/>
      <c r="T924" s="15"/>
      <c r="U924" s="243"/>
      <c r="V924" s="243"/>
      <c r="W924" s="243"/>
      <c r="X924" s="243"/>
      <c r="Y924" s="243"/>
      <c r="Z924" s="243"/>
    </row>
    <row r="925">
      <c r="A925" s="34"/>
      <c r="B925" s="15"/>
      <c r="C925" s="15"/>
      <c r="D925" s="15"/>
      <c r="E925" s="17"/>
      <c r="F925" s="15"/>
      <c r="G925" s="250"/>
      <c r="H925" s="243"/>
      <c r="I925" s="243"/>
      <c r="J925" s="243"/>
      <c r="K925" s="85"/>
      <c r="L925" s="85"/>
      <c r="M925" s="85"/>
      <c r="N925" s="85"/>
      <c r="O925" s="29"/>
      <c r="P925" s="307"/>
      <c r="Q925" s="29"/>
      <c r="R925" s="29"/>
      <c r="S925" s="15"/>
      <c r="T925" s="15"/>
      <c r="U925" s="243"/>
      <c r="V925" s="243"/>
      <c r="W925" s="243"/>
      <c r="X925" s="243"/>
      <c r="Y925" s="243"/>
      <c r="Z925" s="243"/>
    </row>
    <row r="926">
      <c r="A926" s="34"/>
      <c r="B926" s="15"/>
      <c r="C926" s="15"/>
      <c r="D926" s="15"/>
      <c r="E926" s="17"/>
      <c r="F926" s="15"/>
      <c r="G926" s="250"/>
      <c r="H926" s="243"/>
      <c r="I926" s="243"/>
      <c r="J926" s="243"/>
      <c r="K926" s="85"/>
      <c r="L926" s="85"/>
      <c r="M926" s="85"/>
      <c r="N926" s="85"/>
      <c r="O926" s="29"/>
      <c r="P926" s="307"/>
      <c r="Q926" s="29"/>
      <c r="R926" s="29"/>
      <c r="S926" s="15"/>
      <c r="T926" s="15"/>
      <c r="U926" s="243"/>
      <c r="V926" s="243"/>
      <c r="W926" s="243"/>
      <c r="X926" s="243"/>
      <c r="Y926" s="243"/>
      <c r="Z926" s="243"/>
    </row>
    <row r="927">
      <c r="A927" s="34"/>
      <c r="B927" s="15"/>
      <c r="C927" s="15"/>
      <c r="D927" s="15"/>
      <c r="E927" s="17"/>
      <c r="F927" s="15"/>
      <c r="G927" s="250"/>
      <c r="H927" s="243"/>
      <c r="I927" s="243"/>
      <c r="J927" s="243"/>
      <c r="K927" s="85"/>
      <c r="L927" s="85"/>
      <c r="M927" s="85"/>
      <c r="N927" s="85"/>
      <c r="O927" s="29"/>
      <c r="P927" s="307"/>
      <c r="Q927" s="29"/>
      <c r="R927" s="29"/>
      <c r="S927" s="15"/>
      <c r="T927" s="15"/>
      <c r="U927" s="243"/>
      <c r="V927" s="243"/>
      <c r="W927" s="243"/>
      <c r="X927" s="243"/>
      <c r="Y927" s="243"/>
      <c r="Z927" s="243"/>
    </row>
    <row r="928">
      <c r="A928" s="34"/>
      <c r="B928" s="15"/>
      <c r="C928" s="15"/>
      <c r="D928" s="15"/>
      <c r="E928" s="17"/>
      <c r="F928" s="15"/>
      <c r="G928" s="250"/>
      <c r="H928" s="243"/>
      <c r="I928" s="243"/>
      <c r="J928" s="243"/>
      <c r="K928" s="85"/>
      <c r="L928" s="85"/>
      <c r="M928" s="85"/>
      <c r="N928" s="85"/>
      <c r="O928" s="29"/>
      <c r="P928" s="307"/>
      <c r="Q928" s="29"/>
      <c r="R928" s="29"/>
      <c r="S928" s="15"/>
      <c r="T928" s="15"/>
      <c r="U928" s="243"/>
      <c r="V928" s="243"/>
      <c r="W928" s="243"/>
      <c r="X928" s="243"/>
      <c r="Y928" s="243"/>
      <c r="Z928" s="243"/>
    </row>
    <row r="929">
      <c r="A929" s="34"/>
      <c r="B929" s="15"/>
      <c r="C929" s="15"/>
      <c r="D929" s="15"/>
      <c r="E929" s="17"/>
      <c r="F929" s="15"/>
      <c r="G929" s="250"/>
      <c r="H929" s="243"/>
      <c r="I929" s="243"/>
      <c r="J929" s="243"/>
      <c r="K929" s="85"/>
      <c r="L929" s="85"/>
      <c r="M929" s="85"/>
      <c r="N929" s="85"/>
      <c r="O929" s="29"/>
      <c r="P929" s="307"/>
      <c r="Q929" s="29"/>
      <c r="R929" s="29"/>
      <c r="S929" s="15"/>
      <c r="T929" s="15"/>
      <c r="U929" s="243"/>
      <c r="V929" s="243"/>
      <c r="W929" s="243"/>
      <c r="X929" s="243"/>
      <c r="Y929" s="243"/>
      <c r="Z929" s="243"/>
    </row>
    <row r="930">
      <c r="A930" s="34"/>
      <c r="B930" s="15"/>
      <c r="C930" s="15"/>
      <c r="D930" s="15"/>
      <c r="E930" s="17"/>
      <c r="F930" s="15"/>
      <c r="G930" s="250"/>
      <c r="H930" s="243"/>
      <c r="I930" s="243"/>
      <c r="J930" s="243"/>
      <c r="K930" s="85"/>
      <c r="L930" s="85"/>
      <c r="M930" s="85"/>
      <c r="N930" s="85"/>
      <c r="O930" s="29"/>
      <c r="P930" s="307"/>
      <c r="Q930" s="29"/>
      <c r="R930" s="29"/>
      <c r="S930" s="15"/>
      <c r="T930" s="15"/>
      <c r="U930" s="243"/>
      <c r="V930" s="243"/>
      <c r="W930" s="243"/>
      <c r="X930" s="243"/>
      <c r="Y930" s="243"/>
      <c r="Z930" s="243"/>
    </row>
    <row r="931">
      <c r="A931" s="34"/>
      <c r="B931" s="15"/>
      <c r="C931" s="15"/>
      <c r="D931" s="15"/>
      <c r="E931" s="17"/>
      <c r="F931" s="15"/>
      <c r="G931" s="250"/>
      <c r="H931" s="243"/>
      <c r="I931" s="243"/>
      <c r="J931" s="243"/>
      <c r="K931" s="85"/>
      <c r="L931" s="85"/>
      <c r="M931" s="85"/>
      <c r="N931" s="85"/>
      <c r="O931" s="29"/>
      <c r="P931" s="307"/>
      <c r="Q931" s="29"/>
      <c r="R931" s="29"/>
      <c r="S931" s="15"/>
      <c r="T931" s="15"/>
      <c r="U931" s="243"/>
      <c r="V931" s="243"/>
      <c r="W931" s="243"/>
      <c r="X931" s="243"/>
      <c r="Y931" s="243"/>
      <c r="Z931" s="243"/>
    </row>
    <row r="932">
      <c r="A932" s="34"/>
      <c r="B932" s="15"/>
      <c r="C932" s="15"/>
      <c r="D932" s="15"/>
      <c r="E932" s="17"/>
      <c r="F932" s="15"/>
      <c r="G932" s="250"/>
      <c r="H932" s="243"/>
      <c r="I932" s="243"/>
      <c r="J932" s="243"/>
      <c r="K932" s="85"/>
      <c r="L932" s="85"/>
      <c r="M932" s="85"/>
      <c r="N932" s="85"/>
      <c r="O932" s="29"/>
      <c r="P932" s="307"/>
      <c r="Q932" s="29"/>
      <c r="R932" s="29"/>
      <c r="S932" s="15"/>
      <c r="T932" s="15"/>
      <c r="U932" s="243"/>
      <c r="V932" s="243"/>
      <c r="W932" s="243"/>
      <c r="X932" s="243"/>
      <c r="Y932" s="243"/>
      <c r="Z932" s="243"/>
    </row>
    <row r="933">
      <c r="A933" s="34"/>
      <c r="B933" s="15"/>
      <c r="C933" s="15"/>
      <c r="D933" s="15"/>
      <c r="E933" s="17"/>
      <c r="F933" s="15"/>
      <c r="G933" s="250"/>
      <c r="H933" s="243"/>
      <c r="I933" s="243"/>
      <c r="J933" s="243"/>
      <c r="K933" s="85"/>
      <c r="L933" s="85"/>
      <c r="M933" s="85"/>
      <c r="N933" s="85"/>
      <c r="O933" s="29"/>
      <c r="P933" s="307"/>
      <c r="Q933" s="29"/>
      <c r="R933" s="29"/>
      <c r="S933" s="15"/>
      <c r="T933" s="15"/>
      <c r="U933" s="243"/>
      <c r="V933" s="243"/>
      <c r="W933" s="243"/>
      <c r="X933" s="243"/>
      <c r="Y933" s="243"/>
      <c r="Z933" s="243"/>
    </row>
    <row r="934">
      <c r="A934" s="34"/>
      <c r="B934" s="15"/>
      <c r="C934" s="15"/>
      <c r="D934" s="15"/>
      <c r="E934" s="17"/>
      <c r="F934" s="15"/>
      <c r="G934" s="250"/>
      <c r="H934" s="243"/>
      <c r="I934" s="243"/>
      <c r="J934" s="243"/>
      <c r="K934" s="85"/>
      <c r="L934" s="85"/>
      <c r="M934" s="85"/>
      <c r="N934" s="85"/>
      <c r="O934" s="29"/>
      <c r="P934" s="307"/>
      <c r="Q934" s="29"/>
      <c r="R934" s="29"/>
      <c r="S934" s="15"/>
      <c r="T934" s="15"/>
      <c r="U934" s="243"/>
      <c r="V934" s="243"/>
      <c r="W934" s="243"/>
      <c r="X934" s="243"/>
      <c r="Y934" s="243"/>
      <c r="Z934" s="243"/>
    </row>
    <row r="935">
      <c r="A935" s="34"/>
      <c r="B935" s="15"/>
      <c r="C935" s="15"/>
      <c r="D935" s="15"/>
      <c r="E935" s="17"/>
      <c r="F935" s="15"/>
      <c r="G935" s="250"/>
      <c r="H935" s="243"/>
      <c r="I935" s="243"/>
      <c r="J935" s="243"/>
      <c r="K935" s="85"/>
      <c r="L935" s="85"/>
      <c r="M935" s="85"/>
      <c r="N935" s="85"/>
      <c r="O935" s="29"/>
      <c r="P935" s="307"/>
      <c r="Q935" s="29"/>
      <c r="R935" s="29"/>
      <c r="S935" s="15"/>
      <c r="T935" s="15"/>
      <c r="U935" s="243"/>
      <c r="V935" s="243"/>
      <c r="W935" s="243"/>
      <c r="X935" s="243"/>
      <c r="Y935" s="243"/>
      <c r="Z935" s="243"/>
    </row>
    <row r="936">
      <c r="A936" s="34"/>
      <c r="B936" s="15"/>
      <c r="C936" s="15"/>
      <c r="D936" s="15"/>
      <c r="E936" s="17"/>
      <c r="F936" s="15"/>
      <c r="G936" s="250"/>
      <c r="H936" s="243"/>
      <c r="I936" s="243"/>
      <c r="J936" s="243"/>
      <c r="K936" s="85"/>
      <c r="L936" s="85"/>
      <c r="M936" s="85"/>
      <c r="N936" s="85"/>
      <c r="O936" s="29"/>
      <c r="P936" s="307"/>
      <c r="Q936" s="29"/>
      <c r="R936" s="29"/>
      <c r="S936" s="15"/>
      <c r="T936" s="15"/>
      <c r="U936" s="243"/>
      <c r="V936" s="243"/>
      <c r="W936" s="243"/>
      <c r="X936" s="243"/>
      <c r="Y936" s="243"/>
      <c r="Z936" s="243"/>
    </row>
    <row r="937">
      <c r="A937" s="34"/>
      <c r="B937" s="15"/>
      <c r="C937" s="15"/>
      <c r="D937" s="15"/>
      <c r="E937" s="17"/>
      <c r="F937" s="15"/>
      <c r="G937" s="250"/>
      <c r="H937" s="243"/>
      <c r="I937" s="243"/>
      <c r="J937" s="243"/>
      <c r="K937" s="85"/>
      <c r="L937" s="85"/>
      <c r="M937" s="85"/>
      <c r="N937" s="85"/>
      <c r="O937" s="29"/>
      <c r="P937" s="307"/>
      <c r="Q937" s="29"/>
      <c r="R937" s="29"/>
      <c r="S937" s="15"/>
      <c r="T937" s="15"/>
      <c r="U937" s="243"/>
      <c r="V937" s="243"/>
      <c r="W937" s="243"/>
      <c r="X937" s="243"/>
      <c r="Y937" s="243"/>
      <c r="Z937" s="243"/>
    </row>
    <row r="938">
      <c r="A938" s="34"/>
      <c r="B938" s="15"/>
      <c r="C938" s="15"/>
      <c r="D938" s="15"/>
      <c r="E938" s="17"/>
      <c r="F938" s="15"/>
      <c r="G938" s="250"/>
      <c r="H938" s="243"/>
      <c r="I938" s="243"/>
      <c r="J938" s="243"/>
      <c r="K938" s="85"/>
      <c r="L938" s="85"/>
      <c r="M938" s="85"/>
      <c r="N938" s="85"/>
      <c r="O938" s="29"/>
      <c r="P938" s="307"/>
      <c r="Q938" s="29"/>
      <c r="R938" s="29"/>
      <c r="S938" s="15"/>
      <c r="T938" s="15"/>
      <c r="U938" s="243"/>
      <c r="V938" s="243"/>
      <c r="W938" s="243"/>
      <c r="X938" s="243"/>
      <c r="Y938" s="243"/>
      <c r="Z938" s="243"/>
    </row>
    <row r="939">
      <c r="A939" s="34"/>
      <c r="B939" s="15"/>
      <c r="C939" s="15"/>
      <c r="D939" s="15"/>
      <c r="E939" s="17"/>
      <c r="F939" s="15"/>
      <c r="G939" s="250"/>
      <c r="H939" s="243"/>
      <c r="I939" s="243"/>
      <c r="J939" s="243"/>
      <c r="K939" s="85"/>
      <c r="L939" s="85"/>
      <c r="M939" s="85"/>
      <c r="N939" s="85"/>
      <c r="O939" s="29"/>
      <c r="P939" s="307"/>
      <c r="Q939" s="29"/>
      <c r="R939" s="29"/>
      <c r="S939" s="15"/>
      <c r="T939" s="15"/>
      <c r="U939" s="243"/>
      <c r="V939" s="243"/>
      <c r="W939" s="243"/>
      <c r="X939" s="243"/>
      <c r="Y939" s="243"/>
      <c r="Z939" s="243"/>
    </row>
    <row r="940">
      <c r="A940" s="34"/>
      <c r="B940" s="15"/>
      <c r="C940" s="15"/>
      <c r="D940" s="15"/>
      <c r="E940" s="17"/>
      <c r="F940" s="15"/>
      <c r="G940" s="250"/>
      <c r="H940" s="243"/>
      <c r="I940" s="243"/>
      <c r="J940" s="243"/>
      <c r="K940" s="85"/>
      <c r="L940" s="85"/>
      <c r="M940" s="85"/>
      <c r="N940" s="85"/>
      <c r="O940" s="29"/>
      <c r="P940" s="307"/>
      <c r="Q940" s="29"/>
      <c r="R940" s="29"/>
      <c r="S940" s="15"/>
      <c r="T940" s="15"/>
      <c r="U940" s="243"/>
      <c r="V940" s="243"/>
      <c r="W940" s="243"/>
      <c r="X940" s="243"/>
      <c r="Y940" s="243"/>
      <c r="Z940" s="243"/>
    </row>
    <row r="941">
      <c r="A941" s="34"/>
      <c r="B941" s="15"/>
      <c r="C941" s="15"/>
      <c r="D941" s="15"/>
      <c r="E941" s="17"/>
      <c r="F941" s="15"/>
      <c r="G941" s="250"/>
      <c r="H941" s="243"/>
      <c r="I941" s="243"/>
      <c r="J941" s="243"/>
      <c r="K941" s="85"/>
      <c r="L941" s="85"/>
      <c r="M941" s="85"/>
      <c r="N941" s="85"/>
      <c r="O941" s="29"/>
      <c r="P941" s="307"/>
      <c r="Q941" s="29"/>
      <c r="R941" s="29"/>
      <c r="S941" s="15"/>
      <c r="T941" s="15"/>
      <c r="U941" s="243"/>
      <c r="V941" s="243"/>
      <c r="W941" s="243"/>
      <c r="X941" s="243"/>
      <c r="Y941" s="243"/>
      <c r="Z941" s="243"/>
    </row>
    <row r="942">
      <c r="A942" s="34"/>
      <c r="B942" s="15"/>
      <c r="C942" s="15"/>
      <c r="D942" s="15"/>
      <c r="E942" s="17"/>
      <c r="F942" s="15"/>
      <c r="G942" s="250"/>
      <c r="H942" s="243"/>
      <c r="I942" s="243"/>
      <c r="J942" s="243"/>
      <c r="K942" s="85"/>
      <c r="L942" s="85"/>
      <c r="M942" s="85"/>
      <c r="N942" s="85"/>
      <c r="O942" s="29"/>
      <c r="P942" s="307"/>
      <c r="Q942" s="29"/>
      <c r="R942" s="29"/>
      <c r="S942" s="15"/>
      <c r="T942" s="15"/>
      <c r="U942" s="243"/>
      <c r="V942" s="243"/>
      <c r="W942" s="243"/>
      <c r="X942" s="243"/>
      <c r="Y942" s="243"/>
      <c r="Z942" s="243"/>
    </row>
    <row r="943">
      <c r="A943" s="34"/>
      <c r="B943" s="15"/>
      <c r="C943" s="15"/>
      <c r="D943" s="15"/>
      <c r="E943" s="17"/>
      <c r="F943" s="15"/>
      <c r="G943" s="250"/>
      <c r="H943" s="243"/>
      <c r="I943" s="243"/>
      <c r="J943" s="243"/>
      <c r="K943" s="85"/>
      <c r="L943" s="85"/>
      <c r="M943" s="85"/>
      <c r="N943" s="85"/>
      <c r="O943" s="29"/>
      <c r="P943" s="307"/>
      <c r="Q943" s="29"/>
      <c r="R943" s="29"/>
      <c r="S943" s="15"/>
      <c r="T943" s="15"/>
      <c r="U943" s="243"/>
      <c r="V943" s="243"/>
      <c r="W943" s="243"/>
      <c r="X943" s="243"/>
      <c r="Y943" s="243"/>
      <c r="Z943" s="243"/>
    </row>
    <row r="944">
      <c r="A944" s="34"/>
      <c r="B944" s="15"/>
      <c r="C944" s="15"/>
      <c r="D944" s="15"/>
      <c r="E944" s="17"/>
      <c r="F944" s="15"/>
      <c r="G944" s="250"/>
      <c r="H944" s="243"/>
      <c r="I944" s="243"/>
      <c r="J944" s="243"/>
      <c r="K944" s="85"/>
      <c r="L944" s="85"/>
      <c r="M944" s="85"/>
      <c r="N944" s="85"/>
      <c r="O944" s="29"/>
      <c r="P944" s="307"/>
      <c r="Q944" s="29"/>
      <c r="R944" s="29"/>
      <c r="S944" s="15"/>
      <c r="T944" s="15"/>
      <c r="U944" s="243"/>
      <c r="V944" s="243"/>
      <c r="W944" s="243"/>
      <c r="X944" s="243"/>
      <c r="Y944" s="243"/>
      <c r="Z944" s="243"/>
    </row>
    <row r="945">
      <c r="A945" s="34"/>
      <c r="B945" s="15"/>
      <c r="C945" s="15"/>
      <c r="D945" s="15"/>
      <c r="E945" s="17"/>
      <c r="F945" s="15"/>
      <c r="G945" s="250"/>
      <c r="H945" s="243"/>
      <c r="I945" s="243"/>
      <c r="J945" s="243"/>
      <c r="K945" s="85"/>
      <c r="L945" s="85"/>
      <c r="M945" s="85"/>
      <c r="N945" s="85"/>
      <c r="O945" s="29"/>
      <c r="P945" s="307"/>
      <c r="Q945" s="29"/>
      <c r="R945" s="29"/>
      <c r="S945" s="15"/>
      <c r="T945" s="15"/>
      <c r="U945" s="243"/>
      <c r="V945" s="243"/>
      <c r="W945" s="243"/>
      <c r="X945" s="243"/>
      <c r="Y945" s="243"/>
      <c r="Z945" s="243"/>
    </row>
    <row r="946">
      <c r="A946" s="34"/>
      <c r="B946" s="15"/>
      <c r="C946" s="15"/>
      <c r="D946" s="15"/>
      <c r="E946" s="17"/>
      <c r="F946" s="15"/>
      <c r="G946" s="250"/>
      <c r="H946" s="243"/>
      <c r="I946" s="243"/>
      <c r="J946" s="243"/>
      <c r="K946" s="85"/>
      <c r="L946" s="85"/>
      <c r="M946" s="85"/>
      <c r="N946" s="85"/>
      <c r="O946" s="29"/>
      <c r="P946" s="307"/>
      <c r="Q946" s="29"/>
      <c r="R946" s="29"/>
      <c r="S946" s="15"/>
      <c r="T946" s="15"/>
      <c r="U946" s="243"/>
      <c r="V946" s="243"/>
      <c r="W946" s="243"/>
      <c r="X946" s="243"/>
      <c r="Y946" s="243"/>
      <c r="Z946" s="243"/>
    </row>
    <row r="947">
      <c r="A947" s="34"/>
      <c r="B947" s="15"/>
      <c r="C947" s="15"/>
      <c r="D947" s="15"/>
      <c r="E947" s="17"/>
      <c r="F947" s="15"/>
      <c r="G947" s="250"/>
      <c r="H947" s="243"/>
      <c r="I947" s="243"/>
      <c r="J947" s="243"/>
      <c r="K947" s="85"/>
      <c r="L947" s="85"/>
      <c r="M947" s="85"/>
      <c r="N947" s="85"/>
      <c r="O947" s="29"/>
      <c r="P947" s="307"/>
      <c r="Q947" s="29"/>
      <c r="R947" s="29"/>
      <c r="S947" s="15"/>
      <c r="T947" s="15"/>
      <c r="U947" s="243"/>
      <c r="V947" s="243"/>
      <c r="W947" s="243"/>
      <c r="X947" s="243"/>
      <c r="Y947" s="243"/>
      <c r="Z947" s="243"/>
    </row>
    <row r="948">
      <c r="A948" s="34"/>
      <c r="B948" s="15"/>
      <c r="C948" s="15"/>
      <c r="D948" s="15"/>
      <c r="E948" s="17"/>
      <c r="F948" s="15"/>
      <c r="G948" s="250"/>
      <c r="H948" s="243"/>
      <c r="I948" s="243"/>
      <c r="J948" s="243"/>
      <c r="K948" s="85"/>
      <c r="L948" s="85"/>
      <c r="M948" s="85"/>
      <c r="N948" s="85"/>
      <c r="O948" s="29"/>
      <c r="P948" s="307"/>
      <c r="Q948" s="29"/>
      <c r="R948" s="29"/>
      <c r="S948" s="15"/>
      <c r="T948" s="15"/>
      <c r="U948" s="243"/>
      <c r="V948" s="243"/>
      <c r="W948" s="243"/>
      <c r="X948" s="243"/>
      <c r="Y948" s="243"/>
      <c r="Z948" s="243"/>
    </row>
    <row r="949">
      <c r="A949" s="34"/>
      <c r="B949" s="15"/>
      <c r="C949" s="15"/>
      <c r="D949" s="15"/>
      <c r="E949" s="17"/>
      <c r="F949" s="15"/>
      <c r="G949" s="250"/>
      <c r="H949" s="243"/>
      <c r="I949" s="243"/>
      <c r="J949" s="243"/>
      <c r="K949" s="85"/>
      <c r="L949" s="85"/>
      <c r="M949" s="85"/>
      <c r="N949" s="85"/>
      <c r="O949" s="29"/>
      <c r="P949" s="307"/>
      <c r="Q949" s="29"/>
      <c r="R949" s="29"/>
      <c r="S949" s="15"/>
      <c r="T949" s="15"/>
      <c r="U949" s="243"/>
      <c r="V949" s="243"/>
      <c r="W949" s="243"/>
      <c r="X949" s="243"/>
      <c r="Y949" s="243"/>
      <c r="Z949" s="243"/>
    </row>
    <row r="950">
      <c r="A950" s="34"/>
      <c r="B950" s="15"/>
      <c r="C950" s="15"/>
      <c r="D950" s="15"/>
      <c r="E950" s="17"/>
      <c r="F950" s="15"/>
      <c r="G950" s="250"/>
      <c r="H950" s="243"/>
      <c r="I950" s="243"/>
      <c r="J950" s="243"/>
      <c r="K950" s="85"/>
      <c r="L950" s="85"/>
      <c r="M950" s="85"/>
      <c r="N950" s="85"/>
      <c r="O950" s="29"/>
      <c r="P950" s="307"/>
      <c r="Q950" s="29"/>
      <c r="R950" s="29"/>
      <c r="S950" s="15"/>
      <c r="T950" s="15"/>
      <c r="U950" s="243"/>
      <c r="V950" s="243"/>
      <c r="W950" s="243"/>
      <c r="X950" s="243"/>
      <c r="Y950" s="243"/>
      <c r="Z950" s="243"/>
    </row>
    <row r="951">
      <c r="A951" s="34"/>
      <c r="B951" s="15"/>
      <c r="C951" s="15"/>
      <c r="D951" s="15"/>
      <c r="E951" s="17"/>
      <c r="F951" s="15"/>
      <c r="G951" s="250"/>
      <c r="H951" s="243"/>
      <c r="I951" s="243"/>
      <c r="J951" s="243"/>
      <c r="K951" s="85"/>
      <c r="L951" s="85"/>
      <c r="M951" s="85"/>
      <c r="N951" s="85"/>
      <c r="O951" s="29"/>
      <c r="P951" s="307"/>
      <c r="Q951" s="29"/>
      <c r="R951" s="29"/>
      <c r="S951" s="15"/>
      <c r="T951" s="15"/>
      <c r="U951" s="243"/>
      <c r="V951" s="243"/>
      <c r="W951" s="243"/>
      <c r="X951" s="243"/>
      <c r="Y951" s="243"/>
      <c r="Z951" s="243"/>
    </row>
    <row r="952">
      <c r="A952" s="34"/>
      <c r="B952" s="15"/>
      <c r="C952" s="15"/>
      <c r="D952" s="15"/>
      <c r="E952" s="17"/>
      <c r="F952" s="15"/>
      <c r="G952" s="250"/>
      <c r="H952" s="243"/>
      <c r="I952" s="243"/>
      <c r="J952" s="243"/>
      <c r="K952" s="85"/>
      <c r="L952" s="85"/>
      <c r="M952" s="85"/>
      <c r="N952" s="85"/>
      <c r="O952" s="29"/>
      <c r="P952" s="307"/>
      <c r="Q952" s="29"/>
      <c r="R952" s="29"/>
      <c r="S952" s="15"/>
      <c r="T952" s="15"/>
      <c r="U952" s="243"/>
      <c r="V952" s="243"/>
      <c r="W952" s="243"/>
      <c r="X952" s="243"/>
      <c r="Y952" s="243"/>
      <c r="Z952" s="243"/>
    </row>
    <row r="953">
      <c r="A953" s="34"/>
      <c r="B953" s="15"/>
      <c r="C953" s="15"/>
      <c r="D953" s="15"/>
      <c r="E953" s="17"/>
      <c r="F953" s="15"/>
      <c r="G953" s="250"/>
      <c r="H953" s="243"/>
      <c r="I953" s="243"/>
      <c r="J953" s="243"/>
      <c r="K953" s="85"/>
      <c r="L953" s="85"/>
      <c r="M953" s="85"/>
      <c r="N953" s="85"/>
      <c r="O953" s="29"/>
      <c r="P953" s="307"/>
      <c r="Q953" s="29"/>
      <c r="R953" s="29"/>
      <c r="S953" s="15"/>
      <c r="T953" s="15"/>
      <c r="U953" s="243"/>
      <c r="V953" s="243"/>
      <c r="W953" s="243"/>
      <c r="X953" s="243"/>
      <c r="Y953" s="243"/>
      <c r="Z953" s="243"/>
    </row>
    <row r="954">
      <c r="A954" s="34"/>
      <c r="B954" s="15"/>
      <c r="C954" s="15"/>
      <c r="D954" s="15"/>
      <c r="E954" s="17"/>
      <c r="F954" s="15"/>
      <c r="G954" s="250"/>
      <c r="H954" s="243"/>
      <c r="I954" s="243"/>
      <c r="J954" s="243"/>
      <c r="K954" s="85"/>
      <c r="L954" s="85"/>
      <c r="M954" s="85"/>
      <c r="N954" s="85"/>
      <c r="O954" s="29"/>
      <c r="P954" s="307"/>
      <c r="Q954" s="29"/>
      <c r="R954" s="29"/>
      <c r="S954" s="15"/>
      <c r="T954" s="15"/>
      <c r="U954" s="243"/>
      <c r="V954" s="243"/>
      <c r="W954" s="243"/>
      <c r="X954" s="243"/>
      <c r="Y954" s="243"/>
      <c r="Z954" s="243"/>
    </row>
    <row r="955">
      <c r="A955" s="34"/>
      <c r="B955" s="15"/>
      <c r="C955" s="15"/>
      <c r="D955" s="15"/>
      <c r="E955" s="17"/>
      <c r="F955" s="15"/>
      <c r="G955" s="250"/>
      <c r="H955" s="243"/>
      <c r="I955" s="243"/>
      <c r="J955" s="243"/>
      <c r="K955" s="85"/>
      <c r="L955" s="85"/>
      <c r="M955" s="85"/>
      <c r="N955" s="85"/>
      <c r="O955" s="29"/>
      <c r="P955" s="307"/>
      <c r="Q955" s="29"/>
      <c r="R955" s="29"/>
      <c r="S955" s="15"/>
      <c r="T955" s="15"/>
      <c r="U955" s="243"/>
      <c r="V955" s="243"/>
      <c r="W955" s="243"/>
      <c r="X955" s="243"/>
      <c r="Y955" s="243"/>
      <c r="Z955" s="243"/>
    </row>
    <row r="956">
      <c r="A956" s="34"/>
      <c r="B956" s="15"/>
      <c r="C956" s="15"/>
      <c r="D956" s="15"/>
      <c r="E956" s="17"/>
      <c r="F956" s="15"/>
      <c r="G956" s="250"/>
      <c r="H956" s="243"/>
      <c r="I956" s="243"/>
      <c r="J956" s="243"/>
      <c r="K956" s="85"/>
      <c r="L956" s="85"/>
      <c r="M956" s="85"/>
      <c r="N956" s="85"/>
      <c r="O956" s="29"/>
      <c r="P956" s="307"/>
      <c r="Q956" s="29"/>
      <c r="R956" s="29"/>
      <c r="S956" s="15"/>
      <c r="T956" s="15"/>
      <c r="U956" s="243"/>
      <c r="V956" s="243"/>
      <c r="W956" s="243"/>
      <c r="X956" s="243"/>
      <c r="Y956" s="243"/>
      <c r="Z956" s="243"/>
    </row>
    <row r="957">
      <c r="A957" s="34"/>
      <c r="B957" s="15"/>
      <c r="C957" s="15"/>
      <c r="D957" s="15"/>
      <c r="E957" s="17"/>
      <c r="F957" s="15"/>
      <c r="G957" s="250"/>
      <c r="H957" s="243"/>
      <c r="I957" s="243"/>
      <c r="J957" s="243"/>
      <c r="K957" s="85"/>
      <c r="L957" s="85"/>
      <c r="M957" s="85"/>
      <c r="N957" s="85"/>
      <c r="O957" s="29"/>
      <c r="P957" s="307"/>
      <c r="Q957" s="29"/>
      <c r="R957" s="29"/>
      <c r="S957" s="15"/>
      <c r="T957" s="15"/>
      <c r="U957" s="243"/>
      <c r="V957" s="243"/>
      <c r="W957" s="243"/>
      <c r="X957" s="243"/>
      <c r="Y957" s="243"/>
      <c r="Z957" s="243"/>
    </row>
    <row r="958">
      <c r="A958" s="34"/>
      <c r="B958" s="15"/>
      <c r="C958" s="15"/>
      <c r="D958" s="15"/>
      <c r="E958" s="17"/>
      <c r="F958" s="15"/>
      <c r="G958" s="250"/>
      <c r="H958" s="243"/>
      <c r="I958" s="243"/>
      <c r="J958" s="243"/>
      <c r="K958" s="85"/>
      <c r="L958" s="85"/>
      <c r="M958" s="85"/>
      <c r="N958" s="85"/>
      <c r="O958" s="29"/>
      <c r="P958" s="307"/>
      <c r="Q958" s="29"/>
      <c r="R958" s="29"/>
      <c r="S958" s="15"/>
      <c r="T958" s="15"/>
      <c r="U958" s="243"/>
      <c r="V958" s="243"/>
      <c r="W958" s="243"/>
      <c r="X958" s="243"/>
      <c r="Y958" s="243"/>
      <c r="Z958" s="243"/>
    </row>
    <row r="959">
      <c r="A959" s="34"/>
      <c r="B959" s="15"/>
      <c r="C959" s="15"/>
      <c r="D959" s="15"/>
      <c r="E959" s="17"/>
      <c r="F959" s="15"/>
      <c r="G959" s="250"/>
      <c r="H959" s="243"/>
      <c r="I959" s="243"/>
      <c r="J959" s="243"/>
      <c r="K959" s="85"/>
      <c r="L959" s="85"/>
      <c r="M959" s="85"/>
      <c r="N959" s="85"/>
      <c r="O959" s="29"/>
      <c r="P959" s="307"/>
      <c r="Q959" s="29"/>
      <c r="R959" s="29"/>
      <c r="S959" s="15"/>
      <c r="T959" s="15"/>
      <c r="U959" s="243"/>
      <c r="V959" s="243"/>
      <c r="W959" s="243"/>
      <c r="X959" s="243"/>
      <c r="Y959" s="243"/>
      <c r="Z959" s="243"/>
    </row>
    <row r="960">
      <c r="A960" s="34"/>
      <c r="B960" s="15"/>
      <c r="C960" s="15"/>
      <c r="D960" s="15"/>
      <c r="E960" s="17"/>
      <c r="F960" s="15"/>
      <c r="G960" s="250"/>
      <c r="H960" s="243"/>
      <c r="I960" s="243"/>
      <c r="J960" s="243"/>
      <c r="K960" s="85"/>
      <c r="L960" s="85"/>
      <c r="M960" s="85"/>
      <c r="N960" s="85"/>
      <c r="O960" s="29"/>
      <c r="P960" s="307"/>
      <c r="Q960" s="29"/>
      <c r="R960" s="29"/>
      <c r="S960" s="15"/>
      <c r="T960" s="15"/>
      <c r="U960" s="243"/>
      <c r="V960" s="243"/>
      <c r="W960" s="243"/>
      <c r="X960" s="243"/>
      <c r="Y960" s="243"/>
      <c r="Z960" s="243"/>
    </row>
    <row r="961">
      <c r="A961" s="34"/>
      <c r="B961" s="15"/>
      <c r="C961" s="15"/>
      <c r="D961" s="15"/>
      <c r="E961" s="17"/>
      <c r="F961" s="15"/>
      <c r="G961" s="250"/>
      <c r="H961" s="243"/>
      <c r="I961" s="243"/>
      <c r="J961" s="243"/>
      <c r="K961" s="85"/>
      <c r="L961" s="85"/>
      <c r="M961" s="85"/>
      <c r="N961" s="85"/>
      <c r="O961" s="29"/>
      <c r="P961" s="307"/>
      <c r="Q961" s="29"/>
      <c r="R961" s="29"/>
      <c r="S961" s="15"/>
      <c r="T961" s="15"/>
      <c r="U961" s="243"/>
      <c r="V961" s="243"/>
      <c r="W961" s="243"/>
      <c r="X961" s="243"/>
      <c r="Y961" s="243"/>
      <c r="Z961" s="243"/>
    </row>
    <row r="962">
      <c r="A962" s="34"/>
      <c r="B962" s="15"/>
      <c r="C962" s="15"/>
      <c r="D962" s="15"/>
      <c r="E962" s="17"/>
      <c r="F962" s="15"/>
      <c r="G962" s="250"/>
      <c r="H962" s="243"/>
      <c r="I962" s="243"/>
      <c r="J962" s="243"/>
      <c r="K962" s="85"/>
      <c r="L962" s="85"/>
      <c r="M962" s="85"/>
      <c r="N962" s="85"/>
      <c r="O962" s="29"/>
      <c r="P962" s="307"/>
      <c r="Q962" s="29"/>
      <c r="R962" s="29"/>
      <c r="S962" s="15"/>
      <c r="T962" s="15"/>
      <c r="U962" s="243"/>
      <c r="V962" s="243"/>
      <c r="W962" s="243"/>
      <c r="X962" s="243"/>
      <c r="Y962" s="243"/>
      <c r="Z962" s="243"/>
    </row>
    <row r="963">
      <c r="A963" s="34"/>
      <c r="B963" s="15"/>
      <c r="C963" s="15"/>
      <c r="D963" s="15"/>
      <c r="E963" s="17"/>
      <c r="F963" s="15"/>
      <c r="G963" s="250"/>
      <c r="H963" s="243"/>
      <c r="I963" s="243"/>
      <c r="J963" s="243"/>
      <c r="K963" s="85"/>
      <c r="L963" s="85"/>
      <c r="M963" s="85"/>
      <c r="N963" s="85"/>
      <c r="O963" s="29"/>
      <c r="P963" s="307"/>
      <c r="Q963" s="29"/>
      <c r="R963" s="29"/>
      <c r="S963" s="15"/>
      <c r="T963" s="15"/>
      <c r="U963" s="243"/>
      <c r="V963" s="243"/>
      <c r="W963" s="243"/>
      <c r="X963" s="243"/>
      <c r="Y963" s="243"/>
      <c r="Z963" s="243"/>
    </row>
    <row r="964">
      <c r="A964" s="34"/>
      <c r="B964" s="15"/>
      <c r="C964" s="15"/>
      <c r="D964" s="15"/>
      <c r="E964" s="17"/>
      <c r="F964" s="15"/>
      <c r="G964" s="250"/>
      <c r="H964" s="243"/>
      <c r="I964" s="243"/>
      <c r="J964" s="243"/>
      <c r="K964" s="85"/>
      <c r="L964" s="85"/>
      <c r="M964" s="85"/>
      <c r="N964" s="85"/>
      <c r="O964" s="29"/>
      <c r="P964" s="307"/>
      <c r="Q964" s="29"/>
      <c r="R964" s="29"/>
      <c r="S964" s="15"/>
      <c r="T964" s="15"/>
      <c r="U964" s="243"/>
      <c r="V964" s="243"/>
      <c r="W964" s="243"/>
      <c r="X964" s="243"/>
      <c r="Y964" s="243"/>
      <c r="Z964" s="243"/>
    </row>
    <row r="965">
      <c r="A965" s="34"/>
      <c r="B965" s="15"/>
      <c r="C965" s="15"/>
      <c r="D965" s="15"/>
      <c r="E965" s="17"/>
      <c r="F965" s="15"/>
      <c r="G965" s="250"/>
      <c r="H965" s="243"/>
      <c r="I965" s="243"/>
      <c r="J965" s="243"/>
      <c r="K965" s="85"/>
      <c r="L965" s="85"/>
      <c r="M965" s="85"/>
      <c r="N965" s="85"/>
      <c r="O965" s="29"/>
      <c r="P965" s="307"/>
      <c r="Q965" s="29"/>
      <c r="R965" s="29"/>
      <c r="S965" s="15"/>
      <c r="T965" s="15"/>
      <c r="U965" s="243"/>
      <c r="V965" s="243"/>
      <c r="W965" s="243"/>
      <c r="X965" s="243"/>
      <c r="Y965" s="243"/>
      <c r="Z965" s="243"/>
    </row>
    <row r="966">
      <c r="A966" s="34"/>
      <c r="B966" s="15"/>
      <c r="C966" s="15"/>
      <c r="D966" s="15"/>
      <c r="E966" s="17"/>
      <c r="F966" s="15"/>
      <c r="G966" s="250"/>
      <c r="H966" s="243"/>
      <c r="I966" s="243"/>
      <c r="J966" s="243"/>
      <c r="K966" s="85"/>
      <c r="L966" s="85"/>
      <c r="M966" s="85"/>
      <c r="N966" s="85"/>
      <c r="O966" s="29"/>
      <c r="P966" s="307"/>
      <c r="Q966" s="29"/>
      <c r="R966" s="29"/>
      <c r="S966" s="15"/>
      <c r="T966" s="15"/>
      <c r="U966" s="243"/>
      <c r="V966" s="243"/>
      <c r="W966" s="243"/>
      <c r="X966" s="243"/>
      <c r="Y966" s="243"/>
      <c r="Z966" s="243"/>
    </row>
    <row r="967">
      <c r="A967" s="34"/>
      <c r="B967" s="15"/>
      <c r="C967" s="15"/>
      <c r="D967" s="15"/>
      <c r="E967" s="17"/>
      <c r="F967" s="15"/>
      <c r="G967" s="250"/>
      <c r="H967" s="243"/>
      <c r="I967" s="243"/>
      <c r="J967" s="243"/>
      <c r="K967" s="85"/>
      <c r="L967" s="85"/>
      <c r="M967" s="85"/>
      <c r="N967" s="85"/>
      <c r="O967" s="29"/>
      <c r="P967" s="307"/>
      <c r="Q967" s="29"/>
      <c r="R967" s="29"/>
      <c r="S967" s="15"/>
      <c r="T967" s="15"/>
      <c r="U967" s="243"/>
      <c r="V967" s="243"/>
      <c r="W967" s="243"/>
      <c r="X967" s="243"/>
      <c r="Y967" s="243"/>
      <c r="Z967" s="243"/>
    </row>
    <row r="968">
      <c r="A968" s="34"/>
      <c r="B968" s="15"/>
      <c r="C968" s="15"/>
      <c r="D968" s="15"/>
      <c r="E968" s="17"/>
      <c r="F968" s="15"/>
      <c r="G968" s="250"/>
      <c r="H968" s="243"/>
      <c r="I968" s="243"/>
      <c r="J968" s="243"/>
      <c r="K968" s="85"/>
      <c r="L968" s="85"/>
      <c r="M968" s="85"/>
      <c r="N968" s="85"/>
      <c r="O968" s="29"/>
      <c r="P968" s="307"/>
      <c r="Q968" s="29"/>
      <c r="R968" s="29"/>
      <c r="S968" s="15"/>
      <c r="T968" s="15"/>
      <c r="U968" s="243"/>
      <c r="V968" s="243"/>
      <c r="W968" s="243"/>
      <c r="X968" s="243"/>
      <c r="Y968" s="243"/>
      <c r="Z968" s="243"/>
    </row>
    <row r="969">
      <c r="A969" s="34"/>
      <c r="B969" s="15"/>
      <c r="C969" s="15"/>
      <c r="D969" s="15"/>
      <c r="E969" s="17"/>
      <c r="F969" s="15"/>
      <c r="G969" s="250"/>
      <c r="H969" s="243"/>
      <c r="I969" s="243"/>
      <c r="J969" s="243"/>
      <c r="K969" s="85"/>
      <c r="L969" s="85"/>
      <c r="M969" s="85"/>
      <c r="N969" s="85"/>
      <c r="O969" s="29"/>
      <c r="P969" s="307"/>
      <c r="Q969" s="29"/>
      <c r="R969" s="29"/>
      <c r="S969" s="15"/>
      <c r="T969" s="15"/>
      <c r="U969" s="243"/>
      <c r="V969" s="243"/>
      <c r="W969" s="243"/>
      <c r="X969" s="243"/>
      <c r="Y969" s="243"/>
      <c r="Z969" s="243"/>
    </row>
    <row r="970">
      <c r="A970" s="34"/>
      <c r="B970" s="15"/>
      <c r="C970" s="15"/>
      <c r="D970" s="15"/>
      <c r="E970" s="17"/>
      <c r="F970" s="15"/>
      <c r="G970" s="250"/>
      <c r="H970" s="243"/>
      <c r="I970" s="243"/>
      <c r="J970" s="243"/>
      <c r="K970" s="85"/>
      <c r="L970" s="85"/>
      <c r="M970" s="85"/>
      <c r="N970" s="85"/>
      <c r="O970" s="29"/>
      <c r="P970" s="307"/>
      <c r="Q970" s="29"/>
      <c r="R970" s="29"/>
      <c r="S970" s="15"/>
      <c r="T970" s="15"/>
      <c r="U970" s="243"/>
      <c r="V970" s="243"/>
      <c r="W970" s="243"/>
      <c r="X970" s="243"/>
      <c r="Y970" s="243"/>
      <c r="Z970" s="243"/>
    </row>
    <row r="971">
      <c r="A971" s="34"/>
      <c r="B971" s="15"/>
      <c r="C971" s="15"/>
      <c r="D971" s="15"/>
      <c r="E971" s="17"/>
      <c r="F971" s="15"/>
      <c r="G971" s="250"/>
      <c r="H971" s="243"/>
      <c r="I971" s="243"/>
      <c r="J971" s="243"/>
      <c r="K971" s="85"/>
      <c r="L971" s="85"/>
      <c r="M971" s="85"/>
      <c r="N971" s="85"/>
      <c r="O971" s="29"/>
      <c r="P971" s="307"/>
      <c r="Q971" s="29"/>
      <c r="R971" s="29"/>
      <c r="S971" s="15"/>
      <c r="T971" s="15"/>
      <c r="U971" s="243"/>
      <c r="V971" s="243"/>
      <c r="W971" s="243"/>
      <c r="X971" s="243"/>
      <c r="Y971" s="243"/>
      <c r="Z971" s="243"/>
    </row>
    <row r="972">
      <c r="A972" s="34"/>
      <c r="B972" s="15"/>
      <c r="C972" s="15"/>
      <c r="D972" s="15"/>
      <c r="E972" s="17"/>
      <c r="F972" s="15"/>
      <c r="G972" s="250"/>
      <c r="H972" s="243"/>
      <c r="I972" s="243"/>
      <c r="J972" s="243"/>
      <c r="K972" s="85"/>
      <c r="L972" s="85"/>
      <c r="M972" s="85"/>
      <c r="N972" s="85"/>
      <c r="O972" s="29"/>
      <c r="P972" s="307"/>
      <c r="Q972" s="29"/>
      <c r="R972" s="29"/>
      <c r="S972" s="15"/>
      <c r="T972" s="15"/>
      <c r="U972" s="243"/>
      <c r="V972" s="243"/>
      <c r="W972" s="243"/>
      <c r="X972" s="243"/>
      <c r="Y972" s="243"/>
      <c r="Z972" s="243"/>
    </row>
    <row r="973">
      <c r="A973" s="34"/>
      <c r="B973" s="15"/>
      <c r="C973" s="15"/>
      <c r="D973" s="15"/>
      <c r="E973" s="17"/>
      <c r="F973" s="15"/>
      <c r="G973" s="250"/>
      <c r="H973" s="243"/>
      <c r="I973" s="243"/>
      <c r="J973" s="243"/>
      <c r="K973" s="85"/>
      <c r="L973" s="85"/>
      <c r="M973" s="85"/>
      <c r="N973" s="85"/>
      <c r="O973" s="29"/>
      <c r="P973" s="307"/>
      <c r="Q973" s="29"/>
      <c r="R973" s="29"/>
      <c r="S973" s="15"/>
      <c r="T973" s="15"/>
      <c r="U973" s="243"/>
      <c r="V973" s="243"/>
      <c r="W973" s="243"/>
      <c r="X973" s="243"/>
      <c r="Y973" s="243"/>
      <c r="Z973" s="243"/>
    </row>
    <row r="974">
      <c r="A974" s="34"/>
      <c r="B974" s="15"/>
      <c r="C974" s="15"/>
      <c r="D974" s="15"/>
      <c r="E974" s="17"/>
      <c r="F974" s="15"/>
      <c r="G974" s="250"/>
      <c r="H974" s="243"/>
      <c r="I974" s="243"/>
      <c r="J974" s="243"/>
      <c r="K974" s="85"/>
      <c r="L974" s="85"/>
      <c r="M974" s="85"/>
      <c r="N974" s="85"/>
      <c r="O974" s="29"/>
      <c r="P974" s="307"/>
      <c r="Q974" s="29"/>
      <c r="R974" s="29"/>
      <c r="S974" s="15"/>
      <c r="T974" s="15"/>
      <c r="U974" s="243"/>
      <c r="V974" s="243"/>
      <c r="W974" s="243"/>
      <c r="X974" s="243"/>
      <c r="Y974" s="243"/>
      <c r="Z974" s="243"/>
    </row>
    <row r="975">
      <c r="A975" s="34"/>
      <c r="B975" s="15"/>
      <c r="C975" s="15"/>
      <c r="D975" s="15"/>
      <c r="E975" s="17"/>
      <c r="F975" s="15"/>
      <c r="G975" s="250"/>
      <c r="H975" s="243"/>
      <c r="I975" s="243"/>
      <c r="J975" s="243"/>
      <c r="K975" s="85"/>
      <c r="L975" s="85"/>
      <c r="M975" s="85"/>
      <c r="N975" s="85"/>
      <c r="O975" s="29"/>
      <c r="P975" s="307"/>
      <c r="Q975" s="29"/>
      <c r="R975" s="29"/>
      <c r="S975" s="15"/>
      <c r="T975" s="15"/>
      <c r="U975" s="243"/>
      <c r="V975" s="243"/>
      <c r="W975" s="243"/>
      <c r="X975" s="243"/>
      <c r="Y975" s="243"/>
      <c r="Z975" s="243"/>
    </row>
    <row r="976">
      <c r="A976" s="34"/>
      <c r="B976" s="15"/>
      <c r="C976" s="15"/>
      <c r="D976" s="15"/>
      <c r="E976" s="17"/>
      <c r="F976" s="15"/>
      <c r="G976" s="250"/>
      <c r="H976" s="243"/>
      <c r="I976" s="243"/>
      <c r="J976" s="243"/>
      <c r="K976" s="85"/>
      <c r="L976" s="85"/>
      <c r="M976" s="85"/>
      <c r="N976" s="85"/>
      <c r="O976" s="29"/>
      <c r="P976" s="307"/>
      <c r="Q976" s="29"/>
      <c r="R976" s="29"/>
      <c r="S976" s="15"/>
      <c r="T976" s="15"/>
      <c r="U976" s="243"/>
      <c r="V976" s="243"/>
      <c r="W976" s="243"/>
      <c r="X976" s="243"/>
      <c r="Y976" s="243"/>
      <c r="Z976" s="243"/>
    </row>
    <row r="977">
      <c r="A977" s="34"/>
      <c r="B977" s="15"/>
      <c r="C977" s="15"/>
      <c r="D977" s="15"/>
      <c r="E977" s="17"/>
      <c r="F977" s="15"/>
      <c r="G977" s="250"/>
      <c r="H977" s="243"/>
      <c r="I977" s="243"/>
      <c r="J977" s="243"/>
      <c r="K977" s="85"/>
      <c r="L977" s="85"/>
      <c r="M977" s="85"/>
      <c r="N977" s="85"/>
      <c r="O977" s="29"/>
      <c r="P977" s="307"/>
      <c r="Q977" s="29"/>
      <c r="R977" s="29"/>
      <c r="S977" s="15"/>
      <c r="T977" s="15"/>
      <c r="U977" s="243"/>
      <c r="V977" s="243"/>
      <c r="W977" s="243"/>
      <c r="X977" s="243"/>
      <c r="Y977" s="243"/>
      <c r="Z977" s="243"/>
    </row>
    <row r="978">
      <c r="A978" s="34"/>
      <c r="B978" s="15"/>
      <c r="C978" s="15"/>
      <c r="D978" s="15"/>
      <c r="E978" s="17"/>
      <c r="F978" s="15"/>
      <c r="G978" s="250"/>
      <c r="H978" s="243"/>
      <c r="I978" s="243"/>
      <c r="J978" s="243"/>
      <c r="K978" s="85"/>
      <c r="L978" s="85"/>
      <c r="M978" s="85"/>
      <c r="N978" s="85"/>
      <c r="O978" s="29"/>
      <c r="P978" s="307"/>
      <c r="Q978" s="29"/>
      <c r="R978" s="29"/>
      <c r="S978" s="15"/>
      <c r="T978" s="15"/>
      <c r="U978" s="243"/>
      <c r="V978" s="243"/>
      <c r="W978" s="243"/>
      <c r="X978" s="243"/>
      <c r="Y978" s="243"/>
      <c r="Z978" s="243"/>
    </row>
    <row r="979">
      <c r="A979" s="34"/>
      <c r="B979" s="15"/>
      <c r="C979" s="15"/>
      <c r="D979" s="15"/>
      <c r="E979" s="17"/>
      <c r="F979" s="15"/>
      <c r="G979" s="250"/>
      <c r="H979" s="243"/>
      <c r="I979" s="243"/>
      <c r="J979" s="243"/>
      <c r="K979" s="85"/>
      <c r="L979" s="85"/>
      <c r="M979" s="85"/>
      <c r="N979" s="85"/>
      <c r="O979" s="29"/>
      <c r="P979" s="307"/>
      <c r="Q979" s="29"/>
      <c r="R979" s="29"/>
      <c r="S979" s="15"/>
      <c r="T979" s="15"/>
      <c r="U979" s="243"/>
      <c r="V979" s="243"/>
      <c r="W979" s="243"/>
      <c r="X979" s="243"/>
      <c r="Y979" s="243"/>
      <c r="Z979" s="243"/>
    </row>
    <row r="980">
      <c r="A980" s="34"/>
      <c r="B980" s="15"/>
      <c r="C980" s="15"/>
      <c r="D980" s="15"/>
      <c r="E980" s="17"/>
      <c r="F980" s="15"/>
      <c r="G980" s="250"/>
      <c r="H980" s="243"/>
      <c r="I980" s="243"/>
      <c r="J980" s="243"/>
      <c r="K980" s="85"/>
      <c r="L980" s="85"/>
      <c r="M980" s="85"/>
      <c r="N980" s="85"/>
      <c r="O980" s="29"/>
      <c r="P980" s="307"/>
      <c r="Q980" s="29"/>
      <c r="R980" s="29"/>
      <c r="S980" s="15"/>
      <c r="T980" s="15"/>
      <c r="U980" s="243"/>
      <c r="V980" s="243"/>
      <c r="W980" s="243"/>
      <c r="X980" s="243"/>
      <c r="Y980" s="243"/>
      <c r="Z980" s="243"/>
    </row>
    <row r="981">
      <c r="A981" s="34"/>
      <c r="B981" s="15"/>
      <c r="C981" s="15"/>
      <c r="D981" s="15"/>
      <c r="E981" s="17"/>
      <c r="F981" s="15"/>
      <c r="G981" s="250"/>
      <c r="H981" s="243"/>
      <c r="I981" s="243"/>
      <c r="J981" s="243"/>
      <c r="K981" s="85"/>
      <c r="L981" s="85"/>
      <c r="M981" s="85"/>
      <c r="N981" s="85"/>
      <c r="O981" s="29"/>
      <c r="P981" s="307"/>
      <c r="Q981" s="29"/>
      <c r="R981" s="29"/>
      <c r="S981" s="15"/>
      <c r="T981" s="15"/>
      <c r="U981" s="243"/>
      <c r="V981" s="243"/>
      <c r="W981" s="243"/>
      <c r="X981" s="243"/>
      <c r="Y981" s="243"/>
      <c r="Z981" s="243"/>
    </row>
    <row r="982">
      <c r="A982" s="34"/>
      <c r="B982" s="15"/>
      <c r="C982" s="15"/>
      <c r="D982" s="15"/>
      <c r="E982" s="17"/>
      <c r="F982" s="15"/>
      <c r="G982" s="250"/>
      <c r="H982" s="243"/>
      <c r="I982" s="243"/>
      <c r="J982" s="243"/>
      <c r="K982" s="85"/>
      <c r="L982" s="85"/>
      <c r="M982" s="85"/>
      <c r="N982" s="85"/>
      <c r="O982" s="29"/>
      <c r="P982" s="307"/>
      <c r="Q982" s="29"/>
      <c r="R982" s="29"/>
      <c r="S982" s="15"/>
      <c r="T982" s="15"/>
      <c r="U982" s="243"/>
      <c r="V982" s="243"/>
      <c r="W982" s="243"/>
      <c r="X982" s="243"/>
      <c r="Y982" s="243"/>
      <c r="Z982" s="243"/>
    </row>
    <row r="983">
      <c r="A983" s="34"/>
      <c r="B983" s="15"/>
      <c r="C983" s="15"/>
      <c r="D983" s="15"/>
      <c r="E983" s="17"/>
      <c r="F983" s="15"/>
      <c r="G983" s="250"/>
      <c r="H983" s="243"/>
      <c r="I983" s="243"/>
      <c r="J983" s="243"/>
      <c r="K983" s="85"/>
      <c r="L983" s="85"/>
      <c r="M983" s="85"/>
      <c r="N983" s="85"/>
      <c r="O983" s="29"/>
      <c r="P983" s="307"/>
      <c r="Q983" s="29"/>
      <c r="R983" s="29"/>
      <c r="S983" s="15"/>
      <c r="T983" s="15"/>
      <c r="U983" s="243"/>
      <c r="V983" s="243"/>
      <c r="W983" s="243"/>
      <c r="X983" s="243"/>
      <c r="Y983" s="243"/>
      <c r="Z983" s="243"/>
    </row>
    <row r="984">
      <c r="A984" s="34"/>
      <c r="B984" s="15"/>
      <c r="C984" s="15"/>
      <c r="D984" s="15"/>
      <c r="E984" s="17"/>
      <c r="F984" s="15"/>
      <c r="G984" s="250"/>
      <c r="H984" s="243"/>
      <c r="I984" s="243"/>
      <c r="J984" s="243"/>
      <c r="K984" s="85"/>
      <c r="L984" s="85"/>
      <c r="M984" s="85"/>
      <c r="N984" s="85"/>
      <c r="O984" s="29"/>
      <c r="P984" s="307"/>
      <c r="Q984" s="29"/>
      <c r="R984" s="29"/>
      <c r="S984" s="15"/>
      <c r="T984" s="15"/>
      <c r="U984" s="243"/>
      <c r="V984" s="243"/>
      <c r="W984" s="243"/>
      <c r="X984" s="243"/>
      <c r="Y984" s="243"/>
      <c r="Z984" s="243"/>
    </row>
    <row r="985">
      <c r="A985" s="34"/>
      <c r="B985" s="15"/>
      <c r="C985" s="15"/>
      <c r="D985" s="15"/>
      <c r="E985" s="17"/>
      <c r="F985" s="15"/>
      <c r="G985" s="250"/>
      <c r="H985" s="243"/>
      <c r="I985" s="243"/>
      <c r="J985" s="243"/>
      <c r="K985" s="85"/>
      <c r="L985" s="85"/>
      <c r="M985" s="85"/>
      <c r="N985" s="85"/>
      <c r="O985" s="29"/>
      <c r="P985" s="307"/>
      <c r="Q985" s="29"/>
      <c r="R985" s="29"/>
      <c r="S985" s="15"/>
      <c r="T985" s="15"/>
      <c r="U985" s="243"/>
      <c r="V985" s="243"/>
      <c r="W985" s="243"/>
      <c r="X985" s="243"/>
      <c r="Y985" s="243"/>
      <c r="Z985" s="243"/>
    </row>
    <row r="986">
      <c r="A986" s="34"/>
      <c r="B986" s="15"/>
      <c r="C986" s="15"/>
      <c r="D986" s="15"/>
      <c r="E986" s="17"/>
      <c r="F986" s="15"/>
      <c r="G986" s="250"/>
      <c r="H986" s="243"/>
      <c r="I986" s="243"/>
      <c r="J986" s="243"/>
      <c r="K986" s="85"/>
      <c r="L986" s="85"/>
      <c r="M986" s="85"/>
      <c r="N986" s="85"/>
      <c r="O986" s="29"/>
      <c r="P986" s="307"/>
      <c r="Q986" s="29"/>
      <c r="R986" s="29"/>
      <c r="S986" s="15"/>
      <c r="T986" s="15"/>
      <c r="U986" s="243"/>
      <c r="V986" s="243"/>
      <c r="W986" s="243"/>
      <c r="X986" s="243"/>
      <c r="Y986" s="243"/>
      <c r="Z986" s="243"/>
    </row>
    <row r="987">
      <c r="A987" s="34"/>
      <c r="B987" s="15"/>
      <c r="C987" s="15"/>
      <c r="D987" s="15"/>
      <c r="E987" s="17"/>
      <c r="F987" s="15"/>
      <c r="G987" s="250"/>
      <c r="H987" s="243"/>
      <c r="I987" s="243"/>
      <c r="J987" s="243"/>
      <c r="K987" s="85"/>
      <c r="L987" s="85"/>
      <c r="M987" s="85"/>
      <c r="N987" s="85"/>
      <c r="O987" s="29"/>
      <c r="P987" s="307"/>
      <c r="Q987" s="29"/>
      <c r="R987" s="29"/>
      <c r="S987" s="15"/>
      <c r="T987" s="15"/>
      <c r="U987" s="243"/>
      <c r="V987" s="243"/>
      <c r="W987" s="243"/>
      <c r="X987" s="243"/>
      <c r="Y987" s="243"/>
      <c r="Z987" s="243"/>
    </row>
    <row r="988">
      <c r="A988" s="34"/>
      <c r="B988" s="15"/>
      <c r="C988" s="15"/>
      <c r="D988" s="15"/>
      <c r="E988" s="17"/>
      <c r="F988" s="15"/>
      <c r="G988" s="250"/>
      <c r="H988" s="243"/>
      <c r="I988" s="243"/>
      <c r="J988" s="243"/>
      <c r="K988" s="85"/>
      <c r="L988" s="85"/>
      <c r="M988" s="85"/>
      <c r="N988" s="85"/>
      <c r="O988" s="29"/>
      <c r="P988" s="307"/>
      <c r="Q988" s="29"/>
      <c r="R988" s="29"/>
      <c r="S988" s="15"/>
      <c r="T988" s="15"/>
      <c r="U988" s="243"/>
      <c r="V988" s="243"/>
      <c r="W988" s="243"/>
      <c r="X988" s="243"/>
      <c r="Y988" s="243"/>
      <c r="Z988" s="243"/>
    </row>
    <row r="989">
      <c r="A989" s="34"/>
      <c r="B989" s="15"/>
      <c r="C989" s="15"/>
      <c r="D989" s="15"/>
      <c r="E989" s="17"/>
      <c r="F989" s="15"/>
      <c r="G989" s="250"/>
      <c r="H989" s="243"/>
      <c r="I989" s="243"/>
      <c r="J989" s="243"/>
      <c r="K989" s="85"/>
      <c r="L989" s="85"/>
      <c r="M989" s="85"/>
      <c r="N989" s="85"/>
      <c r="O989" s="29"/>
      <c r="P989" s="307"/>
      <c r="Q989" s="29"/>
      <c r="R989" s="29"/>
      <c r="S989" s="15"/>
      <c r="T989" s="15"/>
      <c r="U989" s="243"/>
      <c r="V989" s="243"/>
      <c r="W989" s="243"/>
      <c r="X989" s="243"/>
      <c r="Y989" s="243"/>
      <c r="Z989" s="243"/>
    </row>
    <row r="990">
      <c r="A990" s="34"/>
      <c r="B990" s="15"/>
      <c r="C990" s="15"/>
      <c r="D990" s="15"/>
      <c r="E990" s="17"/>
      <c r="F990" s="15"/>
      <c r="G990" s="250"/>
      <c r="H990" s="243"/>
      <c r="I990" s="243"/>
      <c r="J990" s="243"/>
      <c r="K990" s="85"/>
      <c r="L990" s="85"/>
      <c r="M990" s="85"/>
      <c r="N990" s="85"/>
      <c r="O990" s="29"/>
      <c r="P990" s="307"/>
      <c r="Q990" s="29"/>
      <c r="R990" s="29"/>
      <c r="S990" s="15"/>
      <c r="T990" s="15"/>
      <c r="U990" s="243"/>
      <c r="V990" s="243"/>
      <c r="W990" s="243"/>
      <c r="X990" s="243"/>
      <c r="Y990" s="243"/>
      <c r="Z990" s="243"/>
    </row>
    <row r="991">
      <c r="A991" s="34"/>
      <c r="B991" s="15"/>
      <c r="C991" s="15"/>
      <c r="D991" s="15"/>
      <c r="E991" s="17"/>
      <c r="F991" s="15"/>
      <c r="G991" s="250"/>
      <c r="H991" s="243"/>
      <c r="I991" s="243"/>
      <c r="J991" s="243"/>
      <c r="K991" s="85"/>
      <c r="L991" s="85"/>
      <c r="M991" s="85"/>
      <c r="N991" s="85"/>
      <c r="O991" s="29"/>
      <c r="P991" s="307"/>
      <c r="Q991" s="29"/>
      <c r="R991" s="29"/>
      <c r="S991" s="15"/>
      <c r="T991" s="15"/>
      <c r="U991" s="243"/>
      <c r="V991" s="243"/>
      <c r="W991" s="243"/>
      <c r="X991" s="243"/>
      <c r="Y991" s="243"/>
      <c r="Z991" s="243"/>
    </row>
    <row r="992">
      <c r="A992" s="34"/>
      <c r="B992" s="15"/>
      <c r="C992" s="15"/>
      <c r="D992" s="15"/>
      <c r="E992" s="17"/>
      <c r="F992" s="15"/>
      <c r="G992" s="250"/>
      <c r="H992" s="243"/>
      <c r="I992" s="243"/>
      <c r="J992" s="243"/>
      <c r="K992" s="85"/>
      <c r="L992" s="85"/>
      <c r="M992" s="85"/>
      <c r="N992" s="85"/>
      <c r="O992" s="29"/>
      <c r="P992" s="307"/>
      <c r="Q992" s="29"/>
      <c r="R992" s="29"/>
      <c r="S992" s="15"/>
      <c r="T992" s="15"/>
      <c r="U992" s="243"/>
      <c r="V992" s="243"/>
      <c r="W992" s="243"/>
      <c r="X992" s="243"/>
      <c r="Y992" s="243"/>
      <c r="Z992" s="243"/>
    </row>
    <row r="993">
      <c r="A993" s="34"/>
      <c r="B993" s="15"/>
      <c r="C993" s="15"/>
      <c r="D993" s="15"/>
      <c r="E993" s="17"/>
      <c r="F993" s="15"/>
      <c r="G993" s="250"/>
      <c r="H993" s="243"/>
      <c r="I993" s="243"/>
      <c r="J993" s="243"/>
      <c r="K993" s="85"/>
      <c r="L993" s="85"/>
      <c r="M993" s="85"/>
      <c r="N993" s="85"/>
      <c r="O993" s="29"/>
      <c r="P993" s="307"/>
      <c r="Q993" s="29"/>
      <c r="R993" s="29"/>
      <c r="S993" s="15"/>
      <c r="T993" s="15"/>
      <c r="U993" s="243"/>
      <c r="V993" s="243"/>
      <c r="W993" s="243"/>
      <c r="X993" s="243"/>
      <c r="Y993" s="243"/>
      <c r="Z993" s="243"/>
    </row>
    <row r="994">
      <c r="A994" s="34"/>
      <c r="B994" s="15"/>
      <c r="C994" s="15"/>
      <c r="D994" s="15"/>
      <c r="E994" s="17"/>
      <c r="F994" s="15"/>
      <c r="G994" s="250"/>
      <c r="H994" s="243"/>
      <c r="I994" s="243"/>
      <c r="J994" s="243"/>
      <c r="K994" s="85"/>
      <c r="L994" s="85"/>
      <c r="M994" s="85"/>
      <c r="N994" s="85"/>
      <c r="O994" s="29"/>
      <c r="P994" s="307"/>
      <c r="Q994" s="29"/>
      <c r="R994" s="29"/>
      <c r="S994" s="15"/>
      <c r="T994" s="15"/>
      <c r="U994" s="243"/>
      <c r="V994" s="243"/>
      <c r="W994" s="243"/>
      <c r="X994" s="243"/>
      <c r="Y994" s="243"/>
      <c r="Z994" s="243"/>
    </row>
    <row r="995">
      <c r="A995" s="34"/>
      <c r="B995" s="15"/>
      <c r="C995" s="15"/>
      <c r="D995" s="15"/>
      <c r="E995" s="17"/>
      <c r="F995" s="15"/>
      <c r="G995" s="250"/>
      <c r="H995" s="243"/>
      <c r="I995" s="243"/>
      <c r="J995" s="243"/>
      <c r="K995" s="85"/>
      <c r="L995" s="85"/>
      <c r="M995" s="85"/>
      <c r="N995" s="85"/>
      <c r="O995" s="29"/>
      <c r="P995" s="307"/>
      <c r="Q995" s="29"/>
      <c r="R995" s="29"/>
      <c r="S995" s="15"/>
      <c r="T995" s="15"/>
      <c r="U995" s="243"/>
      <c r="V995" s="243"/>
      <c r="W995" s="243"/>
      <c r="X995" s="243"/>
      <c r="Y995" s="243"/>
      <c r="Z995" s="243"/>
    </row>
    <row r="996">
      <c r="A996" s="34"/>
      <c r="B996" s="15"/>
      <c r="C996" s="15"/>
      <c r="D996" s="15"/>
      <c r="E996" s="17"/>
      <c r="F996" s="15"/>
      <c r="G996" s="250"/>
      <c r="H996" s="243"/>
      <c r="I996" s="243"/>
      <c r="J996" s="243"/>
      <c r="K996" s="85"/>
      <c r="L996" s="85"/>
      <c r="M996" s="85"/>
      <c r="N996" s="85"/>
      <c r="O996" s="29"/>
      <c r="P996" s="307"/>
      <c r="Q996" s="29"/>
      <c r="R996" s="29"/>
      <c r="S996" s="15"/>
      <c r="T996" s="15"/>
      <c r="U996" s="243"/>
      <c r="V996" s="243"/>
      <c r="W996" s="243"/>
      <c r="X996" s="243"/>
      <c r="Y996" s="243"/>
      <c r="Z996" s="243"/>
    </row>
    <row r="997">
      <c r="A997" s="34"/>
      <c r="B997" s="15"/>
      <c r="C997" s="15"/>
      <c r="D997" s="15"/>
      <c r="E997" s="17"/>
      <c r="F997" s="15"/>
      <c r="G997" s="250"/>
      <c r="H997" s="243"/>
      <c r="I997" s="243"/>
      <c r="J997" s="243"/>
      <c r="K997" s="85"/>
      <c r="L997" s="85"/>
      <c r="M997" s="85"/>
      <c r="N997" s="85"/>
      <c r="O997" s="29"/>
      <c r="P997" s="307"/>
      <c r="Q997" s="29"/>
      <c r="R997" s="29"/>
      <c r="S997" s="15"/>
      <c r="T997" s="15"/>
      <c r="U997" s="243"/>
      <c r="V997" s="243"/>
      <c r="W997" s="243"/>
      <c r="X997" s="243"/>
      <c r="Y997" s="243"/>
      <c r="Z997" s="243"/>
    </row>
    <row r="998">
      <c r="A998" s="34"/>
      <c r="B998" s="15"/>
      <c r="C998" s="15"/>
      <c r="D998" s="15"/>
      <c r="E998" s="17"/>
      <c r="F998" s="15"/>
      <c r="G998" s="250"/>
      <c r="H998" s="243"/>
      <c r="I998" s="243"/>
      <c r="J998" s="243"/>
      <c r="K998" s="85"/>
      <c r="L998" s="85"/>
      <c r="M998" s="85"/>
      <c r="N998" s="85"/>
      <c r="O998" s="29"/>
      <c r="P998" s="307"/>
      <c r="Q998" s="29"/>
      <c r="R998" s="29"/>
      <c r="S998" s="15"/>
      <c r="T998" s="15"/>
      <c r="U998" s="243"/>
      <c r="V998" s="243"/>
      <c r="W998" s="243"/>
      <c r="X998" s="243"/>
      <c r="Y998" s="243"/>
      <c r="Z998" s="243"/>
    </row>
    <row r="999">
      <c r="A999" s="34"/>
      <c r="B999" s="15"/>
      <c r="C999" s="15"/>
      <c r="D999" s="15"/>
      <c r="E999" s="17"/>
      <c r="F999" s="15"/>
      <c r="G999" s="250"/>
      <c r="H999" s="243"/>
      <c r="I999" s="243"/>
      <c r="J999" s="243"/>
      <c r="K999" s="85"/>
      <c r="L999" s="85"/>
      <c r="M999" s="85"/>
      <c r="N999" s="85"/>
      <c r="O999" s="29"/>
      <c r="P999" s="307"/>
      <c r="Q999" s="29"/>
      <c r="R999" s="29"/>
      <c r="S999" s="15"/>
      <c r="T999" s="15"/>
      <c r="U999" s="243"/>
      <c r="V999" s="243"/>
      <c r="W999" s="243"/>
      <c r="X999" s="243"/>
      <c r="Y999" s="243"/>
      <c r="Z999" s="243"/>
    </row>
    <row r="1000">
      <c r="A1000" s="34"/>
      <c r="B1000" s="15"/>
      <c r="C1000" s="15"/>
      <c r="D1000" s="15"/>
      <c r="E1000" s="17"/>
      <c r="F1000" s="15"/>
      <c r="G1000" s="250"/>
      <c r="H1000" s="243"/>
      <c r="I1000" s="243"/>
      <c r="J1000" s="243"/>
      <c r="K1000" s="85"/>
      <c r="L1000" s="85"/>
      <c r="M1000" s="85"/>
      <c r="N1000" s="85"/>
      <c r="O1000" s="29"/>
      <c r="P1000" s="307"/>
      <c r="Q1000" s="29"/>
      <c r="R1000" s="29"/>
      <c r="S1000" s="15"/>
      <c r="T1000" s="15"/>
      <c r="U1000" s="243"/>
      <c r="V1000" s="243"/>
      <c r="W1000" s="243"/>
      <c r="X1000" s="243"/>
      <c r="Y1000" s="243"/>
      <c r="Z1000" s="243"/>
    </row>
    <row r="1001">
      <c r="A1001" s="34"/>
      <c r="B1001" s="15"/>
      <c r="C1001" s="15"/>
      <c r="D1001" s="15"/>
      <c r="E1001" s="17"/>
      <c r="F1001" s="15"/>
      <c r="G1001" s="250"/>
      <c r="H1001" s="243"/>
      <c r="I1001" s="243"/>
      <c r="J1001" s="243"/>
      <c r="K1001" s="85"/>
      <c r="L1001" s="85"/>
      <c r="M1001" s="85"/>
      <c r="N1001" s="85"/>
      <c r="O1001" s="29"/>
      <c r="P1001" s="307"/>
      <c r="Q1001" s="29"/>
      <c r="R1001" s="29"/>
      <c r="S1001" s="15"/>
      <c r="T1001" s="15"/>
      <c r="U1001" s="243"/>
      <c r="V1001" s="243"/>
      <c r="W1001" s="243"/>
      <c r="X1001" s="243"/>
      <c r="Y1001" s="243"/>
      <c r="Z1001" s="243"/>
    </row>
    <row r="1002">
      <c r="A1002" s="34"/>
      <c r="B1002" s="15"/>
      <c r="C1002" s="15"/>
      <c r="D1002" s="15"/>
      <c r="E1002" s="17"/>
      <c r="F1002" s="15"/>
      <c r="G1002" s="250"/>
      <c r="H1002" s="243"/>
      <c r="I1002" s="243"/>
      <c r="J1002" s="243"/>
      <c r="K1002" s="85"/>
      <c r="L1002" s="85"/>
      <c r="M1002" s="85"/>
      <c r="N1002" s="85"/>
      <c r="O1002" s="29"/>
      <c r="P1002" s="307"/>
      <c r="Q1002" s="29"/>
      <c r="R1002" s="29"/>
      <c r="S1002" s="15"/>
      <c r="T1002" s="15"/>
      <c r="U1002" s="243"/>
      <c r="V1002" s="243"/>
      <c r="W1002" s="243"/>
      <c r="X1002" s="243"/>
      <c r="Y1002" s="243"/>
      <c r="Z1002" s="243"/>
    </row>
    <row r="1003">
      <c r="A1003" s="34"/>
      <c r="B1003" s="15"/>
      <c r="C1003" s="15"/>
      <c r="D1003" s="15"/>
      <c r="E1003" s="17"/>
      <c r="F1003" s="15"/>
      <c r="G1003" s="250"/>
      <c r="H1003" s="243"/>
      <c r="I1003" s="243"/>
      <c r="J1003" s="243"/>
      <c r="K1003" s="85"/>
      <c r="L1003" s="85"/>
      <c r="M1003" s="85"/>
      <c r="N1003" s="85"/>
      <c r="O1003" s="29"/>
      <c r="P1003" s="307"/>
      <c r="Q1003" s="29"/>
      <c r="R1003" s="29"/>
      <c r="S1003" s="15"/>
      <c r="T1003" s="15"/>
      <c r="U1003" s="243"/>
      <c r="V1003" s="243"/>
      <c r="W1003" s="243"/>
      <c r="X1003" s="243"/>
      <c r="Y1003" s="243"/>
      <c r="Z1003" s="243"/>
    </row>
    <row r="1004">
      <c r="A1004" s="34"/>
      <c r="B1004" s="15"/>
      <c r="C1004" s="15"/>
      <c r="D1004" s="15"/>
      <c r="E1004" s="17"/>
      <c r="F1004" s="15"/>
      <c r="G1004" s="250"/>
      <c r="H1004" s="243"/>
      <c r="I1004" s="243"/>
      <c r="J1004" s="243"/>
      <c r="K1004" s="85"/>
      <c r="L1004" s="85"/>
      <c r="M1004" s="85"/>
      <c r="N1004" s="85"/>
      <c r="O1004" s="29"/>
      <c r="P1004" s="307"/>
      <c r="Q1004" s="29"/>
      <c r="R1004" s="29"/>
      <c r="S1004" s="15"/>
      <c r="T1004" s="15"/>
      <c r="U1004" s="243"/>
      <c r="V1004" s="243"/>
      <c r="W1004" s="243"/>
      <c r="X1004" s="243"/>
      <c r="Y1004" s="243"/>
      <c r="Z1004" s="243"/>
    </row>
    <row r="1005">
      <c r="A1005" s="34"/>
      <c r="B1005" s="15"/>
      <c r="C1005" s="15"/>
      <c r="D1005" s="15"/>
      <c r="E1005" s="17"/>
      <c r="F1005" s="15"/>
      <c r="G1005" s="250"/>
      <c r="H1005" s="243"/>
      <c r="I1005" s="243"/>
      <c r="J1005" s="243"/>
      <c r="K1005" s="85"/>
      <c r="L1005" s="85"/>
      <c r="M1005" s="85"/>
      <c r="N1005" s="85"/>
      <c r="O1005" s="29"/>
      <c r="P1005" s="307"/>
      <c r="Q1005" s="29"/>
      <c r="R1005" s="29"/>
      <c r="S1005" s="15"/>
      <c r="T1005" s="15"/>
      <c r="U1005" s="243"/>
      <c r="V1005" s="243"/>
      <c r="W1005" s="243"/>
      <c r="X1005" s="243"/>
      <c r="Y1005" s="243"/>
      <c r="Z1005" s="243"/>
    </row>
    <row r="1006">
      <c r="A1006" s="34"/>
      <c r="B1006" s="15"/>
      <c r="C1006" s="15"/>
      <c r="D1006" s="15"/>
      <c r="E1006" s="17"/>
      <c r="F1006" s="15"/>
      <c r="G1006" s="250"/>
      <c r="H1006" s="243"/>
      <c r="I1006" s="243"/>
      <c r="J1006" s="243"/>
      <c r="K1006" s="85"/>
      <c r="L1006" s="85"/>
      <c r="M1006" s="85"/>
      <c r="N1006" s="85"/>
      <c r="O1006" s="29"/>
      <c r="P1006" s="307"/>
      <c r="Q1006" s="29"/>
      <c r="R1006" s="29"/>
      <c r="S1006" s="15"/>
      <c r="T1006" s="15"/>
      <c r="U1006" s="243"/>
      <c r="V1006" s="243"/>
      <c r="W1006" s="243"/>
      <c r="X1006" s="243"/>
      <c r="Y1006" s="243"/>
      <c r="Z1006" s="243"/>
    </row>
    <row r="1007">
      <c r="A1007" s="34"/>
      <c r="B1007" s="15"/>
      <c r="C1007" s="15"/>
      <c r="D1007" s="15"/>
      <c r="E1007" s="17"/>
      <c r="F1007" s="15"/>
      <c r="G1007" s="250"/>
      <c r="H1007" s="243"/>
      <c r="I1007" s="243"/>
      <c r="J1007" s="243"/>
      <c r="K1007" s="85"/>
      <c r="L1007" s="85"/>
      <c r="M1007" s="85"/>
      <c r="N1007" s="85"/>
      <c r="O1007" s="29"/>
      <c r="P1007" s="307"/>
      <c r="Q1007" s="29"/>
      <c r="R1007" s="29"/>
      <c r="S1007" s="15"/>
      <c r="T1007" s="15"/>
      <c r="U1007" s="243"/>
      <c r="V1007" s="243"/>
      <c r="W1007" s="243"/>
      <c r="X1007" s="243"/>
      <c r="Y1007" s="243"/>
      <c r="Z1007" s="243"/>
    </row>
    <row r="1008">
      <c r="A1008" s="34"/>
      <c r="B1008" s="15"/>
      <c r="C1008" s="15"/>
      <c r="D1008" s="15"/>
      <c r="E1008" s="17"/>
      <c r="F1008" s="15"/>
      <c r="G1008" s="250"/>
      <c r="H1008" s="243"/>
      <c r="I1008" s="243"/>
      <c r="J1008" s="243"/>
      <c r="K1008" s="85"/>
      <c r="L1008" s="85"/>
      <c r="M1008" s="85"/>
      <c r="N1008" s="85"/>
      <c r="O1008" s="29"/>
      <c r="P1008" s="307"/>
      <c r="Q1008" s="29"/>
      <c r="R1008" s="29"/>
      <c r="S1008" s="15"/>
      <c r="T1008" s="15"/>
      <c r="U1008" s="243"/>
      <c r="V1008" s="243"/>
      <c r="W1008" s="243"/>
      <c r="X1008" s="243"/>
      <c r="Y1008" s="243"/>
      <c r="Z1008" s="243"/>
    </row>
    <row r="1009">
      <c r="A1009" s="34"/>
      <c r="B1009" s="15"/>
      <c r="C1009" s="15"/>
      <c r="D1009" s="15"/>
      <c r="E1009" s="17"/>
      <c r="F1009" s="15"/>
      <c r="G1009" s="250"/>
      <c r="H1009" s="243"/>
      <c r="I1009" s="243"/>
      <c r="J1009" s="243"/>
      <c r="K1009" s="85"/>
      <c r="L1009" s="85"/>
      <c r="M1009" s="85"/>
      <c r="N1009" s="85"/>
      <c r="O1009" s="29"/>
      <c r="P1009" s="307"/>
      <c r="Q1009" s="29"/>
      <c r="R1009" s="29"/>
      <c r="S1009" s="15"/>
      <c r="T1009" s="15"/>
      <c r="U1009" s="243"/>
      <c r="V1009" s="243"/>
      <c r="W1009" s="243"/>
      <c r="X1009" s="243"/>
      <c r="Y1009" s="243"/>
      <c r="Z1009" s="243"/>
    </row>
    <row r="1010">
      <c r="A1010" s="34"/>
      <c r="B1010" s="15"/>
      <c r="C1010" s="15"/>
      <c r="D1010" s="15"/>
      <c r="E1010" s="17"/>
      <c r="F1010" s="15"/>
      <c r="G1010" s="250"/>
      <c r="H1010" s="243"/>
      <c r="I1010" s="243"/>
      <c r="J1010" s="243"/>
      <c r="K1010" s="85"/>
      <c r="L1010" s="85"/>
      <c r="M1010" s="85"/>
      <c r="N1010" s="85"/>
      <c r="O1010" s="29"/>
      <c r="P1010" s="307"/>
      <c r="Q1010" s="29"/>
      <c r="R1010" s="29"/>
      <c r="S1010" s="15"/>
      <c r="T1010" s="15"/>
      <c r="U1010" s="243"/>
      <c r="V1010" s="243"/>
      <c r="W1010" s="243"/>
      <c r="X1010" s="243"/>
      <c r="Y1010" s="243"/>
      <c r="Z1010" s="243"/>
    </row>
    <row r="1011">
      <c r="A1011" s="34"/>
      <c r="B1011" s="15"/>
      <c r="C1011" s="15"/>
      <c r="D1011" s="15"/>
      <c r="E1011" s="17"/>
      <c r="F1011" s="15"/>
      <c r="G1011" s="250"/>
      <c r="H1011" s="243"/>
      <c r="I1011" s="243"/>
      <c r="J1011" s="243"/>
      <c r="K1011" s="85"/>
      <c r="L1011" s="85"/>
      <c r="M1011" s="85"/>
      <c r="N1011" s="85"/>
      <c r="O1011" s="29"/>
      <c r="P1011" s="307"/>
      <c r="Q1011" s="29"/>
      <c r="R1011" s="29"/>
      <c r="S1011" s="15"/>
      <c r="T1011" s="15"/>
      <c r="U1011" s="243"/>
      <c r="V1011" s="243"/>
      <c r="W1011" s="243"/>
      <c r="X1011" s="243"/>
      <c r="Y1011" s="243"/>
      <c r="Z1011" s="243"/>
    </row>
    <row r="1012">
      <c r="A1012" s="34"/>
      <c r="B1012" s="15"/>
      <c r="C1012" s="15"/>
      <c r="D1012" s="15"/>
      <c r="E1012" s="17"/>
      <c r="F1012" s="15"/>
      <c r="G1012" s="250"/>
      <c r="H1012" s="243"/>
      <c r="I1012" s="243"/>
      <c r="J1012" s="243"/>
      <c r="K1012" s="85"/>
      <c r="L1012" s="85"/>
      <c r="M1012" s="85"/>
      <c r="N1012" s="85"/>
      <c r="O1012" s="29"/>
      <c r="P1012" s="307"/>
      <c r="Q1012" s="29"/>
      <c r="R1012" s="29"/>
      <c r="S1012" s="15"/>
      <c r="T1012" s="15"/>
      <c r="U1012" s="243"/>
      <c r="V1012" s="243"/>
      <c r="W1012" s="243"/>
      <c r="X1012" s="243"/>
      <c r="Y1012" s="243"/>
      <c r="Z1012" s="243"/>
    </row>
    <row r="1013">
      <c r="A1013" s="34"/>
      <c r="B1013" s="15"/>
      <c r="C1013" s="15"/>
      <c r="D1013" s="15"/>
      <c r="E1013" s="17"/>
      <c r="F1013" s="15"/>
      <c r="G1013" s="250"/>
      <c r="H1013" s="243"/>
      <c r="I1013" s="243"/>
      <c r="J1013" s="243"/>
      <c r="K1013" s="85"/>
      <c r="L1013" s="85"/>
      <c r="M1013" s="85"/>
      <c r="N1013" s="85"/>
      <c r="O1013" s="29"/>
      <c r="P1013" s="307"/>
      <c r="Q1013" s="29"/>
      <c r="R1013" s="29"/>
      <c r="S1013" s="15"/>
      <c r="T1013" s="15"/>
      <c r="U1013" s="243"/>
      <c r="V1013" s="243"/>
      <c r="W1013" s="243"/>
      <c r="X1013" s="243"/>
      <c r="Y1013" s="243"/>
      <c r="Z1013" s="243"/>
    </row>
    <row r="1014">
      <c r="A1014" s="34"/>
      <c r="B1014" s="15"/>
      <c r="C1014" s="15"/>
      <c r="D1014" s="15"/>
      <c r="E1014" s="17"/>
      <c r="F1014" s="15"/>
      <c r="G1014" s="250"/>
      <c r="H1014" s="243"/>
      <c r="I1014" s="243"/>
      <c r="J1014" s="243"/>
      <c r="K1014" s="85"/>
      <c r="L1014" s="85"/>
      <c r="M1014" s="85"/>
      <c r="N1014" s="85"/>
      <c r="O1014" s="29"/>
      <c r="P1014" s="307"/>
      <c r="Q1014" s="29"/>
      <c r="R1014" s="29"/>
      <c r="S1014" s="15"/>
      <c r="T1014" s="15"/>
      <c r="U1014" s="243"/>
      <c r="V1014" s="243"/>
      <c r="W1014" s="243"/>
      <c r="X1014" s="243"/>
      <c r="Y1014" s="243"/>
      <c r="Z1014" s="243"/>
    </row>
    <row r="1015">
      <c r="A1015" s="34"/>
      <c r="B1015" s="15"/>
      <c r="C1015" s="15"/>
      <c r="D1015" s="15"/>
      <c r="E1015" s="17"/>
      <c r="F1015" s="15"/>
      <c r="G1015" s="250"/>
      <c r="H1015" s="243"/>
      <c r="I1015" s="243"/>
      <c r="J1015" s="243"/>
      <c r="K1015" s="85"/>
      <c r="L1015" s="85"/>
      <c r="M1015" s="85"/>
      <c r="N1015" s="85"/>
      <c r="O1015" s="29"/>
      <c r="P1015" s="307"/>
      <c r="Q1015" s="29"/>
      <c r="R1015" s="29"/>
      <c r="S1015" s="15"/>
      <c r="T1015" s="15"/>
      <c r="U1015" s="243"/>
      <c r="V1015" s="243"/>
      <c r="W1015" s="243"/>
      <c r="X1015" s="243"/>
      <c r="Y1015" s="243"/>
      <c r="Z1015" s="243"/>
    </row>
    <row r="1016">
      <c r="A1016" s="34"/>
      <c r="B1016" s="15"/>
      <c r="C1016" s="15"/>
      <c r="D1016" s="15"/>
      <c r="E1016" s="17"/>
      <c r="F1016" s="15"/>
      <c r="G1016" s="250"/>
      <c r="H1016" s="243"/>
      <c r="I1016" s="243"/>
      <c r="J1016" s="243"/>
      <c r="K1016" s="85"/>
      <c r="L1016" s="85"/>
      <c r="M1016" s="85"/>
      <c r="N1016" s="85"/>
      <c r="O1016" s="29"/>
      <c r="P1016" s="307"/>
      <c r="Q1016" s="29"/>
      <c r="R1016" s="29"/>
      <c r="S1016" s="15"/>
      <c r="T1016" s="15"/>
      <c r="U1016" s="243"/>
      <c r="V1016" s="243"/>
      <c r="W1016" s="243"/>
      <c r="X1016" s="243"/>
      <c r="Y1016" s="243"/>
      <c r="Z1016" s="243"/>
    </row>
    <row r="1017">
      <c r="A1017" s="34"/>
      <c r="B1017" s="15"/>
      <c r="C1017" s="15"/>
      <c r="D1017" s="15"/>
      <c r="E1017" s="17"/>
      <c r="F1017" s="15"/>
      <c r="G1017" s="250"/>
      <c r="H1017" s="243"/>
      <c r="I1017" s="243"/>
      <c r="J1017" s="243"/>
      <c r="K1017" s="85"/>
      <c r="L1017" s="85"/>
      <c r="M1017" s="85"/>
      <c r="N1017" s="85"/>
      <c r="O1017" s="29"/>
      <c r="P1017" s="307"/>
      <c r="Q1017" s="29"/>
      <c r="R1017" s="29"/>
      <c r="S1017" s="15"/>
      <c r="T1017" s="15"/>
      <c r="U1017" s="243"/>
      <c r="V1017" s="243"/>
      <c r="W1017" s="243"/>
      <c r="X1017" s="243"/>
      <c r="Y1017" s="243"/>
      <c r="Z1017" s="243"/>
    </row>
    <row r="1018">
      <c r="A1018" s="34"/>
      <c r="B1018" s="15"/>
      <c r="C1018" s="15"/>
      <c r="D1018" s="15"/>
      <c r="E1018" s="17"/>
      <c r="F1018" s="15"/>
      <c r="G1018" s="250"/>
      <c r="H1018" s="243"/>
      <c r="I1018" s="243"/>
      <c r="J1018" s="243"/>
      <c r="K1018" s="85"/>
      <c r="L1018" s="85"/>
      <c r="M1018" s="85"/>
      <c r="N1018" s="85"/>
      <c r="O1018" s="29"/>
      <c r="P1018" s="307"/>
      <c r="Q1018" s="29"/>
      <c r="R1018" s="29"/>
      <c r="S1018" s="15"/>
      <c r="T1018" s="15"/>
      <c r="U1018" s="243"/>
      <c r="V1018" s="243"/>
      <c r="W1018" s="243"/>
      <c r="X1018" s="243"/>
      <c r="Y1018" s="243"/>
      <c r="Z1018" s="243"/>
    </row>
    <row r="1019">
      <c r="A1019" s="34"/>
      <c r="B1019" s="15"/>
      <c r="C1019" s="15"/>
      <c r="D1019" s="15"/>
      <c r="E1019" s="17"/>
      <c r="F1019" s="15"/>
      <c r="G1019" s="250"/>
      <c r="H1019" s="243"/>
      <c r="I1019" s="243"/>
      <c r="J1019" s="243"/>
      <c r="K1019" s="85"/>
      <c r="L1019" s="85"/>
      <c r="M1019" s="85"/>
      <c r="N1019" s="85"/>
      <c r="O1019" s="29"/>
      <c r="P1019" s="307"/>
      <c r="Q1019" s="29"/>
      <c r="R1019" s="29"/>
      <c r="S1019" s="15"/>
      <c r="T1019" s="15"/>
      <c r="U1019" s="243"/>
      <c r="V1019" s="243"/>
      <c r="W1019" s="243"/>
      <c r="X1019" s="243"/>
      <c r="Y1019" s="243"/>
      <c r="Z1019" s="243"/>
    </row>
    <row r="1020">
      <c r="A1020" s="34"/>
      <c r="B1020" s="15"/>
      <c r="C1020" s="15"/>
      <c r="D1020" s="15"/>
      <c r="E1020" s="17"/>
      <c r="F1020" s="15"/>
      <c r="G1020" s="250"/>
      <c r="H1020" s="243"/>
      <c r="I1020" s="243"/>
      <c r="J1020" s="243"/>
      <c r="K1020" s="85"/>
      <c r="L1020" s="85"/>
      <c r="M1020" s="85"/>
      <c r="N1020" s="85"/>
      <c r="O1020" s="29"/>
      <c r="P1020" s="307"/>
      <c r="Q1020" s="29"/>
      <c r="R1020" s="29"/>
      <c r="S1020" s="15"/>
      <c r="T1020" s="15"/>
      <c r="U1020" s="243"/>
      <c r="V1020" s="243"/>
      <c r="W1020" s="243"/>
      <c r="X1020" s="243"/>
      <c r="Y1020" s="243"/>
      <c r="Z1020" s="243"/>
    </row>
    <row r="1021">
      <c r="A1021" s="34"/>
      <c r="B1021" s="15"/>
      <c r="C1021" s="15"/>
      <c r="D1021" s="15"/>
      <c r="E1021" s="17"/>
      <c r="F1021" s="15"/>
      <c r="G1021" s="250"/>
      <c r="H1021" s="243"/>
      <c r="I1021" s="243"/>
      <c r="J1021" s="243"/>
      <c r="K1021" s="85"/>
      <c r="L1021" s="85"/>
      <c r="M1021" s="85"/>
      <c r="N1021" s="85"/>
      <c r="O1021" s="29"/>
      <c r="P1021" s="307"/>
      <c r="Q1021" s="29"/>
      <c r="R1021" s="29"/>
      <c r="S1021" s="15"/>
      <c r="T1021" s="15"/>
      <c r="U1021" s="243"/>
      <c r="V1021" s="243"/>
      <c r="W1021" s="243"/>
      <c r="X1021" s="243"/>
      <c r="Y1021" s="243"/>
      <c r="Z1021" s="243"/>
    </row>
    <row r="1022">
      <c r="A1022" s="34"/>
      <c r="B1022" s="15"/>
      <c r="C1022" s="15"/>
      <c r="D1022" s="15"/>
      <c r="E1022" s="17"/>
      <c r="F1022" s="15"/>
      <c r="G1022" s="250"/>
      <c r="H1022" s="243"/>
      <c r="I1022" s="243"/>
      <c r="J1022" s="243"/>
      <c r="K1022" s="85"/>
      <c r="L1022" s="85"/>
      <c r="M1022" s="85"/>
      <c r="N1022" s="85"/>
      <c r="O1022" s="29"/>
      <c r="P1022" s="307"/>
      <c r="Q1022" s="29"/>
      <c r="R1022" s="29"/>
      <c r="S1022" s="15"/>
      <c r="T1022" s="15"/>
      <c r="U1022" s="243"/>
      <c r="V1022" s="243"/>
      <c r="W1022" s="243"/>
      <c r="X1022" s="243"/>
      <c r="Y1022" s="243"/>
      <c r="Z1022" s="243"/>
    </row>
    <row r="1023">
      <c r="A1023" s="34"/>
      <c r="B1023" s="15"/>
      <c r="C1023" s="15"/>
      <c r="D1023" s="15"/>
      <c r="E1023" s="17"/>
      <c r="F1023" s="15"/>
      <c r="G1023" s="250"/>
      <c r="H1023" s="243"/>
      <c r="I1023" s="243"/>
      <c r="J1023" s="243"/>
      <c r="K1023" s="85"/>
      <c r="L1023" s="85"/>
      <c r="M1023" s="85"/>
      <c r="N1023" s="85"/>
      <c r="O1023" s="29"/>
      <c r="P1023" s="307"/>
      <c r="Q1023" s="29"/>
      <c r="R1023" s="29"/>
      <c r="S1023" s="15"/>
      <c r="T1023" s="15"/>
      <c r="U1023" s="243"/>
      <c r="V1023" s="243"/>
      <c r="W1023" s="243"/>
      <c r="X1023" s="243"/>
      <c r="Y1023" s="243"/>
      <c r="Z1023" s="243"/>
    </row>
    <row r="1024">
      <c r="A1024" s="34"/>
      <c r="B1024" s="15"/>
      <c r="C1024" s="15"/>
      <c r="D1024" s="15"/>
      <c r="E1024" s="17"/>
      <c r="F1024" s="15"/>
      <c r="G1024" s="250"/>
      <c r="H1024" s="243"/>
      <c r="I1024" s="243"/>
      <c r="J1024" s="243"/>
      <c r="K1024" s="85"/>
      <c r="L1024" s="85"/>
      <c r="M1024" s="85"/>
      <c r="N1024" s="85"/>
      <c r="O1024" s="29"/>
      <c r="P1024" s="307"/>
      <c r="Q1024" s="29"/>
      <c r="R1024" s="29"/>
      <c r="S1024" s="15"/>
      <c r="T1024" s="15"/>
      <c r="U1024" s="243"/>
      <c r="V1024" s="243"/>
      <c r="W1024" s="243"/>
      <c r="X1024" s="243"/>
      <c r="Y1024" s="243"/>
      <c r="Z1024" s="243"/>
    </row>
    <row r="1025">
      <c r="A1025" s="34"/>
      <c r="B1025" s="15"/>
      <c r="C1025" s="15"/>
      <c r="D1025" s="15"/>
      <c r="E1025" s="17"/>
      <c r="F1025" s="15"/>
      <c r="G1025" s="250"/>
      <c r="H1025" s="243"/>
      <c r="I1025" s="243"/>
      <c r="J1025" s="243"/>
      <c r="K1025" s="85"/>
      <c r="L1025" s="85"/>
      <c r="M1025" s="85"/>
      <c r="N1025" s="85"/>
      <c r="O1025" s="29"/>
      <c r="P1025" s="307"/>
      <c r="Q1025" s="29"/>
      <c r="R1025" s="29"/>
      <c r="S1025" s="15"/>
      <c r="T1025" s="15"/>
      <c r="U1025" s="243"/>
      <c r="V1025" s="243"/>
      <c r="W1025" s="243"/>
      <c r="X1025" s="243"/>
      <c r="Y1025" s="243"/>
      <c r="Z1025" s="243"/>
    </row>
    <row r="1026">
      <c r="A1026" s="34"/>
      <c r="B1026" s="15"/>
      <c r="C1026" s="15"/>
      <c r="D1026" s="15"/>
      <c r="E1026" s="17"/>
      <c r="F1026" s="15"/>
      <c r="G1026" s="250"/>
      <c r="H1026" s="243"/>
      <c r="I1026" s="243"/>
      <c r="J1026" s="243"/>
      <c r="K1026" s="85"/>
      <c r="L1026" s="85"/>
      <c r="M1026" s="85"/>
      <c r="N1026" s="85"/>
      <c r="O1026" s="29"/>
      <c r="P1026" s="307"/>
      <c r="Q1026" s="29"/>
      <c r="R1026" s="29"/>
      <c r="S1026" s="15"/>
      <c r="T1026" s="15"/>
      <c r="U1026" s="243"/>
      <c r="V1026" s="243"/>
      <c r="W1026" s="243"/>
      <c r="X1026" s="243"/>
      <c r="Y1026" s="243"/>
      <c r="Z1026" s="243"/>
    </row>
    <row r="1027">
      <c r="A1027" s="34"/>
      <c r="B1027" s="15"/>
      <c r="C1027" s="15"/>
      <c r="D1027" s="15"/>
      <c r="E1027" s="17"/>
      <c r="F1027" s="15"/>
      <c r="G1027" s="250"/>
      <c r="H1027" s="243"/>
      <c r="I1027" s="243"/>
      <c r="J1027" s="243"/>
      <c r="K1027" s="85"/>
      <c r="L1027" s="85"/>
      <c r="M1027" s="85"/>
      <c r="N1027" s="85"/>
      <c r="O1027" s="29"/>
      <c r="P1027" s="307"/>
      <c r="Q1027" s="29"/>
      <c r="R1027" s="29"/>
      <c r="S1027" s="15"/>
      <c r="T1027" s="15"/>
      <c r="U1027" s="243"/>
      <c r="V1027" s="243"/>
      <c r="W1027" s="243"/>
      <c r="X1027" s="243"/>
      <c r="Y1027" s="243"/>
      <c r="Z1027" s="243"/>
    </row>
    <row r="1028">
      <c r="A1028" s="34"/>
      <c r="B1028" s="15"/>
      <c r="C1028" s="15"/>
      <c r="D1028" s="15"/>
      <c r="E1028" s="17"/>
      <c r="F1028" s="15"/>
      <c r="G1028" s="250"/>
      <c r="H1028" s="243"/>
      <c r="I1028" s="243"/>
      <c r="J1028" s="243"/>
      <c r="K1028" s="85"/>
      <c r="L1028" s="85"/>
      <c r="M1028" s="85"/>
      <c r="N1028" s="85"/>
      <c r="O1028" s="29"/>
      <c r="P1028" s="307"/>
      <c r="Q1028" s="29"/>
      <c r="R1028" s="29"/>
      <c r="S1028" s="15"/>
      <c r="T1028" s="15"/>
      <c r="U1028" s="243"/>
      <c r="V1028" s="243"/>
      <c r="W1028" s="243"/>
      <c r="X1028" s="243"/>
      <c r="Y1028" s="243"/>
      <c r="Z1028" s="243"/>
    </row>
    <row r="1029">
      <c r="A1029" s="34"/>
      <c r="B1029" s="15"/>
      <c r="C1029" s="15"/>
      <c r="D1029" s="15"/>
      <c r="E1029" s="17"/>
      <c r="F1029" s="15"/>
      <c r="G1029" s="250"/>
      <c r="H1029" s="243"/>
      <c r="I1029" s="243"/>
      <c r="J1029" s="243"/>
      <c r="K1029" s="85"/>
      <c r="L1029" s="85"/>
      <c r="M1029" s="85"/>
      <c r="N1029" s="85"/>
      <c r="O1029" s="29"/>
      <c r="P1029" s="307"/>
      <c r="Q1029" s="29"/>
      <c r="R1029" s="29"/>
      <c r="S1029" s="15"/>
      <c r="T1029" s="15"/>
      <c r="U1029" s="243"/>
      <c r="V1029" s="243"/>
      <c r="W1029" s="243"/>
      <c r="X1029" s="243"/>
      <c r="Y1029" s="243"/>
      <c r="Z1029" s="243"/>
    </row>
    <row r="1030">
      <c r="A1030" s="34"/>
      <c r="B1030" s="15"/>
      <c r="C1030" s="15"/>
      <c r="D1030" s="15"/>
      <c r="E1030" s="17"/>
      <c r="F1030" s="15"/>
      <c r="G1030" s="250"/>
      <c r="H1030" s="243"/>
      <c r="I1030" s="243"/>
      <c r="J1030" s="243"/>
      <c r="K1030" s="85"/>
      <c r="L1030" s="85"/>
      <c r="M1030" s="85"/>
      <c r="N1030" s="85"/>
      <c r="O1030" s="29"/>
      <c r="P1030" s="307"/>
      <c r="Q1030" s="29"/>
      <c r="R1030" s="29"/>
      <c r="S1030" s="15"/>
      <c r="T1030" s="15"/>
      <c r="U1030" s="243"/>
      <c r="V1030" s="243"/>
      <c r="W1030" s="243"/>
      <c r="X1030" s="243"/>
      <c r="Y1030" s="243"/>
      <c r="Z1030" s="243"/>
    </row>
    <row r="1031">
      <c r="A1031" s="34"/>
      <c r="B1031" s="15"/>
      <c r="C1031" s="15"/>
      <c r="D1031" s="15"/>
      <c r="E1031" s="17"/>
      <c r="F1031" s="15"/>
      <c r="G1031" s="250"/>
      <c r="H1031" s="243"/>
      <c r="I1031" s="243"/>
      <c r="J1031" s="243"/>
      <c r="K1031" s="85"/>
      <c r="L1031" s="85"/>
      <c r="M1031" s="85"/>
      <c r="N1031" s="85"/>
      <c r="O1031" s="29"/>
      <c r="P1031" s="307"/>
      <c r="Q1031" s="29"/>
      <c r="R1031" s="29"/>
      <c r="S1031" s="15"/>
      <c r="T1031" s="15"/>
      <c r="U1031" s="243"/>
      <c r="V1031" s="243"/>
      <c r="W1031" s="243"/>
      <c r="X1031" s="243"/>
      <c r="Y1031" s="243"/>
      <c r="Z1031" s="243"/>
    </row>
    <row r="1032">
      <c r="A1032" s="34"/>
      <c r="B1032" s="15"/>
      <c r="C1032" s="15"/>
      <c r="D1032" s="15"/>
      <c r="E1032" s="17"/>
      <c r="F1032" s="15"/>
      <c r="G1032" s="250"/>
      <c r="H1032" s="243"/>
      <c r="I1032" s="243"/>
      <c r="J1032" s="243"/>
      <c r="K1032" s="85"/>
      <c r="L1032" s="85"/>
      <c r="M1032" s="85"/>
      <c r="N1032" s="85"/>
      <c r="O1032" s="29"/>
      <c r="P1032" s="307"/>
      <c r="Q1032" s="29"/>
      <c r="R1032" s="29"/>
      <c r="S1032" s="15"/>
      <c r="T1032" s="15"/>
      <c r="U1032" s="243"/>
      <c r="V1032" s="243"/>
      <c r="W1032" s="243"/>
      <c r="X1032" s="243"/>
      <c r="Y1032" s="243"/>
      <c r="Z1032" s="243"/>
    </row>
    <row r="1033">
      <c r="A1033" s="34"/>
      <c r="B1033" s="15"/>
      <c r="C1033" s="15"/>
      <c r="D1033" s="15"/>
      <c r="E1033" s="17"/>
      <c r="F1033" s="15"/>
      <c r="G1033" s="250"/>
      <c r="H1033" s="243"/>
      <c r="I1033" s="243"/>
      <c r="J1033" s="243"/>
      <c r="K1033" s="85"/>
      <c r="L1033" s="85"/>
      <c r="M1033" s="85"/>
      <c r="N1033" s="85"/>
      <c r="O1033" s="29"/>
      <c r="P1033" s="307"/>
      <c r="Q1033" s="29"/>
      <c r="R1033" s="29"/>
      <c r="S1033" s="15"/>
      <c r="T1033" s="15"/>
      <c r="U1033" s="243"/>
      <c r="V1033" s="243"/>
      <c r="W1033" s="243"/>
      <c r="X1033" s="243"/>
      <c r="Y1033" s="243"/>
      <c r="Z1033" s="243"/>
    </row>
    <row r="1034">
      <c r="A1034" s="34"/>
      <c r="B1034" s="15"/>
      <c r="C1034" s="15"/>
      <c r="D1034" s="15"/>
      <c r="E1034" s="17"/>
      <c r="F1034" s="15"/>
      <c r="G1034" s="250"/>
      <c r="H1034" s="243"/>
      <c r="I1034" s="243"/>
      <c r="J1034" s="243"/>
      <c r="K1034" s="85"/>
      <c r="L1034" s="85"/>
      <c r="M1034" s="85"/>
      <c r="N1034" s="85"/>
      <c r="O1034" s="29"/>
      <c r="P1034" s="307"/>
      <c r="Q1034" s="29"/>
      <c r="R1034" s="29"/>
      <c r="S1034" s="15"/>
      <c r="T1034" s="15"/>
      <c r="U1034" s="243"/>
      <c r="V1034" s="243"/>
      <c r="W1034" s="243"/>
      <c r="X1034" s="243"/>
      <c r="Y1034" s="243"/>
      <c r="Z1034" s="243"/>
    </row>
    <row r="1035">
      <c r="A1035" s="34"/>
      <c r="B1035" s="15"/>
      <c r="C1035" s="15"/>
      <c r="D1035" s="15"/>
      <c r="E1035" s="17"/>
      <c r="F1035" s="15"/>
      <c r="G1035" s="250"/>
      <c r="H1035" s="243"/>
      <c r="I1035" s="243"/>
      <c r="J1035" s="243"/>
      <c r="K1035" s="85"/>
      <c r="L1035" s="85"/>
      <c r="M1035" s="85"/>
      <c r="N1035" s="85"/>
      <c r="O1035" s="29"/>
      <c r="P1035" s="307"/>
      <c r="Q1035" s="29"/>
      <c r="R1035" s="29"/>
      <c r="S1035" s="15"/>
      <c r="T1035" s="15"/>
      <c r="U1035" s="243"/>
      <c r="V1035" s="243"/>
      <c r="W1035" s="243"/>
      <c r="X1035" s="243"/>
      <c r="Y1035" s="243"/>
      <c r="Z1035" s="243"/>
    </row>
    <row r="1036">
      <c r="A1036" s="34"/>
      <c r="B1036" s="15"/>
      <c r="C1036" s="15"/>
      <c r="D1036" s="15"/>
      <c r="E1036" s="17"/>
      <c r="F1036" s="15"/>
      <c r="G1036" s="250"/>
      <c r="H1036" s="243"/>
      <c r="I1036" s="243"/>
      <c r="J1036" s="243"/>
      <c r="K1036" s="85"/>
      <c r="L1036" s="85"/>
      <c r="M1036" s="85"/>
      <c r="N1036" s="85"/>
      <c r="O1036" s="29"/>
      <c r="P1036" s="307"/>
      <c r="Q1036" s="29"/>
      <c r="R1036" s="29"/>
      <c r="S1036" s="15"/>
      <c r="T1036" s="15"/>
      <c r="U1036" s="243"/>
      <c r="V1036" s="243"/>
      <c r="W1036" s="243"/>
      <c r="X1036" s="243"/>
      <c r="Y1036" s="243"/>
      <c r="Z1036" s="243"/>
    </row>
    <row r="1037">
      <c r="A1037" s="34"/>
      <c r="B1037" s="15"/>
      <c r="C1037" s="15"/>
      <c r="D1037" s="15"/>
      <c r="E1037" s="17"/>
      <c r="F1037" s="15"/>
      <c r="G1037" s="250"/>
      <c r="H1037" s="243"/>
      <c r="I1037" s="243"/>
      <c r="J1037" s="243"/>
      <c r="K1037" s="85"/>
      <c r="L1037" s="85"/>
      <c r="M1037" s="85"/>
      <c r="N1037" s="85"/>
      <c r="O1037" s="29"/>
      <c r="P1037" s="307"/>
      <c r="Q1037" s="29"/>
      <c r="R1037" s="29"/>
      <c r="S1037" s="15"/>
      <c r="T1037" s="15"/>
      <c r="U1037" s="243"/>
      <c r="V1037" s="243"/>
      <c r="W1037" s="243"/>
      <c r="X1037" s="243"/>
      <c r="Y1037" s="243"/>
      <c r="Z1037" s="243"/>
    </row>
    <row r="1038">
      <c r="A1038" s="34"/>
      <c r="B1038" s="15"/>
      <c r="C1038" s="15"/>
      <c r="D1038" s="15"/>
      <c r="E1038" s="17"/>
      <c r="F1038" s="15"/>
      <c r="G1038" s="250"/>
      <c r="H1038" s="243"/>
      <c r="I1038" s="243"/>
      <c r="J1038" s="243"/>
      <c r="K1038" s="85"/>
      <c r="L1038" s="85"/>
      <c r="M1038" s="85"/>
      <c r="N1038" s="85"/>
      <c r="O1038" s="29"/>
      <c r="P1038" s="307"/>
      <c r="Q1038" s="29"/>
      <c r="R1038" s="29"/>
      <c r="S1038" s="15"/>
      <c r="T1038" s="15"/>
      <c r="U1038" s="243"/>
      <c r="V1038" s="243"/>
      <c r="W1038" s="243"/>
      <c r="X1038" s="243"/>
      <c r="Y1038" s="243"/>
      <c r="Z1038" s="243"/>
    </row>
    <row r="1039">
      <c r="A1039" s="34"/>
      <c r="B1039" s="15"/>
      <c r="C1039" s="15"/>
      <c r="D1039" s="15"/>
      <c r="E1039" s="17"/>
      <c r="F1039" s="15"/>
      <c r="G1039" s="250"/>
      <c r="H1039" s="243"/>
      <c r="I1039" s="243"/>
      <c r="J1039" s="243"/>
      <c r="K1039" s="85"/>
      <c r="L1039" s="85"/>
      <c r="M1039" s="85"/>
      <c r="N1039" s="85"/>
      <c r="O1039" s="29"/>
      <c r="P1039" s="307"/>
      <c r="Q1039" s="29"/>
      <c r="R1039" s="29"/>
      <c r="S1039" s="15"/>
      <c r="T1039" s="15"/>
      <c r="U1039" s="243"/>
      <c r="V1039" s="243"/>
      <c r="W1039" s="243"/>
      <c r="X1039" s="243"/>
      <c r="Y1039" s="243"/>
      <c r="Z1039" s="243"/>
    </row>
    <row r="1040">
      <c r="A1040" s="34"/>
      <c r="B1040" s="15"/>
      <c r="C1040" s="15"/>
      <c r="D1040" s="15"/>
      <c r="E1040" s="17"/>
      <c r="F1040" s="15"/>
      <c r="G1040" s="250"/>
      <c r="H1040" s="243"/>
      <c r="I1040" s="243"/>
      <c r="J1040" s="243"/>
      <c r="K1040" s="85"/>
      <c r="L1040" s="85"/>
      <c r="M1040" s="85"/>
      <c r="N1040" s="85"/>
      <c r="O1040" s="29"/>
      <c r="P1040" s="307"/>
      <c r="Q1040" s="29"/>
      <c r="R1040" s="29"/>
      <c r="S1040" s="15"/>
      <c r="T1040" s="15"/>
      <c r="U1040" s="243"/>
      <c r="V1040" s="243"/>
      <c r="W1040" s="243"/>
      <c r="X1040" s="243"/>
      <c r="Y1040" s="243"/>
      <c r="Z1040" s="243"/>
    </row>
    <row r="1041">
      <c r="A1041" s="34"/>
      <c r="B1041" s="15"/>
      <c r="C1041" s="15"/>
      <c r="D1041" s="15"/>
      <c r="E1041" s="17"/>
      <c r="F1041" s="15"/>
      <c r="G1041" s="250"/>
      <c r="H1041" s="243"/>
      <c r="I1041" s="243"/>
      <c r="J1041" s="243"/>
      <c r="K1041" s="85"/>
      <c r="L1041" s="85"/>
      <c r="M1041" s="85"/>
      <c r="N1041" s="85"/>
      <c r="O1041" s="29"/>
      <c r="P1041" s="307"/>
      <c r="Q1041" s="29"/>
      <c r="R1041" s="29"/>
      <c r="S1041" s="15"/>
      <c r="T1041" s="15"/>
      <c r="U1041" s="243"/>
      <c r="V1041" s="243"/>
      <c r="W1041" s="243"/>
      <c r="X1041" s="243"/>
      <c r="Y1041" s="243"/>
      <c r="Z1041" s="243"/>
    </row>
    <row r="1042">
      <c r="A1042" s="34"/>
      <c r="B1042" s="15"/>
      <c r="C1042" s="15"/>
      <c r="D1042" s="15"/>
      <c r="E1042" s="17"/>
      <c r="F1042" s="15"/>
      <c r="G1042" s="250"/>
      <c r="H1042" s="243"/>
      <c r="I1042" s="243"/>
      <c r="J1042" s="243"/>
      <c r="K1042" s="85"/>
      <c r="L1042" s="85"/>
      <c r="M1042" s="85"/>
      <c r="N1042" s="85"/>
      <c r="O1042" s="29"/>
      <c r="P1042" s="307"/>
      <c r="Q1042" s="29"/>
      <c r="R1042" s="29"/>
      <c r="S1042" s="15"/>
      <c r="T1042" s="15"/>
      <c r="U1042" s="243"/>
      <c r="V1042" s="243"/>
      <c r="W1042" s="243"/>
      <c r="X1042" s="243"/>
      <c r="Y1042" s="243"/>
      <c r="Z1042" s="243"/>
    </row>
    <row r="1043">
      <c r="A1043" s="34"/>
      <c r="B1043" s="15"/>
      <c r="C1043" s="15"/>
      <c r="D1043" s="15"/>
      <c r="E1043" s="17"/>
      <c r="F1043" s="15"/>
      <c r="G1043" s="250"/>
      <c r="H1043" s="243"/>
      <c r="I1043" s="243"/>
      <c r="J1043" s="243"/>
      <c r="K1043" s="85"/>
      <c r="L1043" s="85"/>
      <c r="M1043" s="85"/>
      <c r="N1043" s="85"/>
      <c r="O1043" s="29"/>
      <c r="P1043" s="307"/>
      <c r="Q1043" s="29"/>
      <c r="R1043" s="29"/>
      <c r="S1043" s="15"/>
      <c r="T1043" s="15"/>
      <c r="U1043" s="243"/>
      <c r="V1043" s="243"/>
      <c r="W1043" s="243"/>
      <c r="X1043" s="243"/>
      <c r="Y1043" s="243"/>
      <c r="Z1043" s="243"/>
    </row>
    <row r="1044">
      <c r="A1044" s="34"/>
      <c r="B1044" s="15"/>
      <c r="C1044" s="15"/>
      <c r="D1044" s="15"/>
      <c r="E1044" s="17"/>
      <c r="F1044" s="15"/>
      <c r="G1044" s="250"/>
      <c r="H1044" s="243"/>
      <c r="I1044" s="243"/>
      <c r="J1044" s="243"/>
      <c r="K1044" s="85"/>
      <c r="L1044" s="85"/>
      <c r="M1044" s="85"/>
      <c r="N1044" s="85"/>
      <c r="O1044" s="29"/>
      <c r="P1044" s="307"/>
      <c r="Q1044" s="29"/>
      <c r="R1044" s="29"/>
      <c r="S1044" s="15"/>
      <c r="T1044" s="15"/>
      <c r="U1044" s="243"/>
      <c r="V1044" s="243"/>
      <c r="W1044" s="243"/>
      <c r="X1044" s="243"/>
      <c r="Y1044" s="243"/>
      <c r="Z1044" s="243"/>
    </row>
    <row r="1045">
      <c r="A1045" s="34"/>
      <c r="B1045" s="15"/>
      <c r="C1045" s="15"/>
      <c r="D1045" s="15"/>
      <c r="E1045" s="17"/>
      <c r="F1045" s="15"/>
      <c r="G1045" s="250"/>
      <c r="H1045" s="243"/>
      <c r="I1045" s="243"/>
      <c r="J1045" s="243"/>
      <c r="K1045" s="85"/>
      <c r="L1045" s="85"/>
      <c r="M1045" s="85"/>
      <c r="N1045" s="85"/>
      <c r="O1045" s="29"/>
      <c r="P1045" s="307"/>
      <c r="Q1045" s="29"/>
      <c r="R1045" s="29"/>
      <c r="S1045" s="15"/>
      <c r="T1045" s="15"/>
      <c r="U1045" s="243"/>
      <c r="V1045" s="243"/>
      <c r="W1045" s="243"/>
      <c r="X1045" s="243"/>
      <c r="Y1045" s="243"/>
      <c r="Z1045" s="243"/>
    </row>
    <row r="1046">
      <c r="A1046" s="34"/>
      <c r="B1046" s="15"/>
      <c r="C1046" s="15"/>
      <c r="D1046" s="15"/>
      <c r="E1046" s="17"/>
      <c r="F1046" s="15"/>
      <c r="G1046" s="250"/>
      <c r="H1046" s="243"/>
      <c r="I1046" s="243"/>
      <c r="J1046" s="243"/>
      <c r="K1046" s="85"/>
      <c r="L1046" s="85"/>
      <c r="M1046" s="85"/>
      <c r="N1046" s="85"/>
      <c r="O1046" s="29"/>
      <c r="P1046" s="307"/>
      <c r="Q1046" s="29"/>
      <c r="R1046" s="29"/>
      <c r="S1046" s="15"/>
      <c r="T1046" s="15"/>
      <c r="U1046" s="243"/>
      <c r="V1046" s="243"/>
      <c r="W1046" s="243"/>
      <c r="X1046" s="243"/>
      <c r="Y1046" s="243"/>
      <c r="Z1046" s="243"/>
    </row>
    <row r="1047">
      <c r="A1047" s="34"/>
      <c r="B1047" s="15"/>
      <c r="C1047" s="15"/>
      <c r="D1047" s="15"/>
      <c r="E1047" s="17"/>
      <c r="F1047" s="15"/>
      <c r="G1047" s="250"/>
      <c r="H1047" s="243"/>
      <c r="I1047" s="243"/>
      <c r="J1047" s="243"/>
      <c r="K1047" s="85"/>
      <c r="L1047" s="85"/>
      <c r="M1047" s="85"/>
      <c r="N1047" s="85"/>
      <c r="O1047" s="29"/>
      <c r="P1047" s="307"/>
      <c r="Q1047" s="29"/>
      <c r="R1047" s="29"/>
      <c r="S1047" s="15"/>
      <c r="T1047" s="15"/>
      <c r="U1047" s="243"/>
      <c r="V1047" s="243"/>
      <c r="W1047" s="243"/>
      <c r="X1047" s="243"/>
      <c r="Y1047" s="243"/>
      <c r="Z1047" s="243"/>
    </row>
    <row r="1048">
      <c r="A1048" s="34"/>
      <c r="B1048" s="15"/>
      <c r="C1048" s="15"/>
      <c r="D1048" s="15"/>
      <c r="E1048" s="17"/>
      <c r="F1048" s="15"/>
      <c r="G1048" s="250"/>
      <c r="H1048" s="243"/>
      <c r="I1048" s="243"/>
      <c r="J1048" s="243"/>
      <c r="K1048" s="85"/>
      <c r="L1048" s="85"/>
      <c r="M1048" s="85"/>
      <c r="N1048" s="85"/>
      <c r="O1048" s="29"/>
      <c r="P1048" s="307"/>
      <c r="Q1048" s="29"/>
      <c r="R1048" s="29"/>
      <c r="S1048" s="15"/>
      <c r="T1048" s="15"/>
      <c r="U1048" s="243"/>
      <c r="V1048" s="243"/>
      <c r="W1048" s="243"/>
      <c r="X1048" s="243"/>
      <c r="Y1048" s="243"/>
      <c r="Z1048" s="243"/>
    </row>
    <row r="1049">
      <c r="A1049" s="34"/>
      <c r="B1049" s="15"/>
      <c r="C1049" s="15"/>
      <c r="D1049" s="15"/>
      <c r="E1049" s="17"/>
      <c r="F1049" s="15"/>
      <c r="G1049" s="250"/>
      <c r="H1049" s="243"/>
      <c r="I1049" s="243"/>
      <c r="J1049" s="243"/>
      <c r="K1049" s="85"/>
      <c r="L1049" s="85"/>
      <c r="M1049" s="85"/>
      <c r="N1049" s="85"/>
      <c r="O1049" s="29"/>
      <c r="P1049" s="307"/>
      <c r="Q1049" s="29"/>
      <c r="R1049" s="29"/>
      <c r="S1049" s="15"/>
      <c r="T1049" s="15"/>
      <c r="U1049" s="243"/>
      <c r="V1049" s="243"/>
      <c r="W1049" s="243"/>
      <c r="X1049" s="243"/>
      <c r="Y1049" s="243"/>
      <c r="Z1049" s="243"/>
    </row>
    <row r="1050">
      <c r="A1050" s="34"/>
      <c r="B1050" s="15"/>
      <c r="C1050" s="15"/>
      <c r="D1050" s="15"/>
      <c r="E1050" s="17"/>
      <c r="F1050" s="15"/>
      <c r="G1050" s="250"/>
      <c r="H1050" s="243"/>
      <c r="I1050" s="243"/>
      <c r="J1050" s="243"/>
      <c r="K1050" s="85"/>
      <c r="L1050" s="85"/>
      <c r="M1050" s="85"/>
      <c r="N1050" s="85"/>
      <c r="O1050" s="29"/>
      <c r="P1050" s="307"/>
      <c r="Q1050" s="29"/>
      <c r="R1050" s="29"/>
      <c r="S1050" s="15"/>
      <c r="T1050" s="15"/>
      <c r="U1050" s="243"/>
      <c r="V1050" s="243"/>
      <c r="W1050" s="243"/>
      <c r="X1050" s="243"/>
      <c r="Y1050" s="243"/>
      <c r="Z1050" s="243"/>
    </row>
    <row r="1051">
      <c r="A1051" s="34"/>
      <c r="B1051" s="15"/>
      <c r="C1051" s="15"/>
      <c r="D1051" s="15"/>
      <c r="E1051" s="17"/>
      <c r="F1051" s="15"/>
      <c r="G1051" s="250"/>
      <c r="H1051" s="243"/>
      <c r="I1051" s="243"/>
      <c r="J1051" s="243"/>
      <c r="K1051" s="85"/>
      <c r="L1051" s="85"/>
      <c r="M1051" s="85"/>
      <c r="N1051" s="85"/>
      <c r="O1051" s="29"/>
      <c r="P1051" s="307"/>
      <c r="Q1051" s="29"/>
      <c r="R1051" s="29"/>
      <c r="S1051" s="15"/>
      <c r="T1051" s="15"/>
      <c r="U1051" s="243"/>
      <c r="V1051" s="243"/>
      <c r="W1051" s="243"/>
      <c r="X1051" s="243"/>
      <c r="Y1051" s="243"/>
      <c r="Z1051" s="243"/>
    </row>
    <row r="1052">
      <c r="A1052" s="34"/>
      <c r="B1052" s="15"/>
      <c r="C1052" s="15"/>
      <c r="D1052" s="15"/>
      <c r="E1052" s="17"/>
      <c r="F1052" s="15"/>
      <c r="G1052" s="250"/>
      <c r="H1052" s="243"/>
      <c r="I1052" s="243"/>
      <c r="J1052" s="243"/>
      <c r="K1052" s="85"/>
      <c r="L1052" s="85"/>
      <c r="M1052" s="85"/>
      <c r="N1052" s="85"/>
      <c r="O1052" s="29"/>
      <c r="P1052" s="307"/>
      <c r="Q1052" s="29"/>
      <c r="R1052" s="29"/>
      <c r="S1052" s="15"/>
      <c r="T1052" s="15"/>
      <c r="U1052" s="243"/>
      <c r="V1052" s="243"/>
      <c r="W1052" s="243"/>
      <c r="X1052" s="243"/>
      <c r="Y1052" s="243"/>
      <c r="Z1052" s="243"/>
    </row>
    <row r="1053">
      <c r="A1053" s="34"/>
      <c r="B1053" s="15"/>
      <c r="C1053" s="15"/>
      <c r="D1053" s="15"/>
      <c r="E1053" s="17"/>
      <c r="F1053" s="15"/>
      <c r="G1053" s="250"/>
      <c r="H1053" s="243"/>
      <c r="I1053" s="243"/>
      <c r="J1053" s="243"/>
      <c r="K1053" s="85"/>
      <c r="L1053" s="85"/>
      <c r="M1053" s="85"/>
      <c r="N1053" s="85"/>
      <c r="O1053" s="29"/>
      <c r="P1053" s="307"/>
      <c r="Q1053" s="29"/>
      <c r="R1053" s="29"/>
      <c r="S1053" s="15"/>
      <c r="T1053" s="15"/>
      <c r="U1053" s="243"/>
      <c r="V1053" s="243"/>
      <c r="W1053" s="243"/>
      <c r="X1053" s="243"/>
      <c r="Y1053" s="243"/>
      <c r="Z1053" s="243"/>
    </row>
    <row r="1054">
      <c r="A1054" s="34"/>
      <c r="B1054" s="15"/>
      <c r="C1054" s="15"/>
      <c r="D1054" s="15"/>
      <c r="E1054" s="17"/>
      <c r="F1054" s="15"/>
      <c r="G1054" s="250"/>
      <c r="H1054" s="243"/>
      <c r="I1054" s="243"/>
      <c r="J1054" s="243"/>
      <c r="K1054" s="85"/>
      <c r="L1054" s="85"/>
      <c r="M1054" s="85"/>
      <c r="N1054" s="85"/>
      <c r="O1054" s="29"/>
      <c r="P1054" s="307"/>
      <c r="Q1054" s="29"/>
      <c r="R1054" s="29"/>
      <c r="S1054" s="15"/>
      <c r="T1054" s="15"/>
      <c r="U1054" s="243"/>
      <c r="V1054" s="243"/>
      <c r="W1054" s="243"/>
      <c r="X1054" s="243"/>
      <c r="Y1054" s="243"/>
      <c r="Z1054" s="243"/>
    </row>
    <row r="1055">
      <c r="A1055" s="34"/>
      <c r="B1055" s="15"/>
      <c r="C1055" s="15"/>
      <c r="D1055" s="15"/>
      <c r="E1055" s="17"/>
      <c r="F1055" s="15"/>
      <c r="G1055" s="250"/>
      <c r="H1055" s="243"/>
      <c r="I1055" s="243"/>
      <c r="J1055" s="243"/>
      <c r="K1055" s="85"/>
      <c r="L1055" s="85"/>
      <c r="M1055" s="85"/>
      <c r="N1055" s="85"/>
      <c r="O1055" s="29"/>
      <c r="P1055" s="307"/>
      <c r="Q1055" s="29"/>
      <c r="R1055" s="29"/>
      <c r="S1055" s="15"/>
      <c r="T1055" s="15"/>
      <c r="U1055" s="243"/>
      <c r="V1055" s="243"/>
      <c r="W1055" s="243"/>
      <c r="X1055" s="243"/>
      <c r="Y1055" s="243"/>
      <c r="Z1055" s="243"/>
    </row>
    <row r="1056">
      <c r="A1056" s="34"/>
      <c r="B1056" s="15"/>
      <c r="C1056" s="15"/>
      <c r="D1056" s="15"/>
      <c r="E1056" s="17"/>
      <c r="F1056" s="15"/>
      <c r="G1056" s="250"/>
      <c r="H1056" s="243"/>
      <c r="I1056" s="243"/>
      <c r="J1056" s="243"/>
      <c r="K1056" s="85"/>
      <c r="L1056" s="85"/>
      <c r="M1056" s="85"/>
      <c r="N1056" s="85"/>
      <c r="O1056" s="29"/>
      <c r="P1056" s="307"/>
      <c r="Q1056" s="29"/>
      <c r="R1056" s="29"/>
      <c r="S1056" s="15"/>
      <c r="T1056" s="15"/>
      <c r="U1056" s="243"/>
      <c r="V1056" s="243"/>
      <c r="W1056" s="243"/>
      <c r="X1056" s="243"/>
      <c r="Y1056" s="243"/>
      <c r="Z1056" s="243"/>
    </row>
    <row r="1057">
      <c r="A1057" s="34"/>
      <c r="B1057" s="15"/>
      <c r="C1057" s="15"/>
      <c r="D1057" s="15"/>
      <c r="E1057" s="17"/>
      <c r="F1057" s="15"/>
      <c r="G1057" s="250"/>
      <c r="H1057" s="243"/>
      <c r="I1057" s="243"/>
      <c r="J1057" s="243"/>
      <c r="K1057" s="85"/>
      <c r="L1057" s="85"/>
      <c r="M1057" s="85"/>
      <c r="N1057" s="85"/>
      <c r="O1057" s="29"/>
      <c r="P1057" s="307"/>
      <c r="Q1057" s="29"/>
      <c r="R1057" s="29"/>
      <c r="S1057" s="15"/>
      <c r="T1057" s="15"/>
      <c r="U1057" s="243"/>
      <c r="V1057" s="243"/>
      <c r="W1057" s="243"/>
      <c r="X1057" s="243"/>
      <c r="Y1057" s="243"/>
      <c r="Z1057" s="243"/>
    </row>
    <row r="1058">
      <c r="A1058" s="34"/>
      <c r="B1058" s="15"/>
      <c r="C1058" s="15"/>
      <c r="D1058" s="15"/>
      <c r="E1058" s="17"/>
      <c r="F1058" s="15"/>
      <c r="G1058" s="250"/>
      <c r="H1058" s="243"/>
      <c r="I1058" s="243"/>
      <c r="J1058" s="243"/>
      <c r="K1058" s="85"/>
      <c r="L1058" s="85"/>
      <c r="M1058" s="85"/>
      <c r="N1058" s="85"/>
      <c r="O1058" s="29"/>
      <c r="P1058" s="307"/>
      <c r="Q1058" s="29"/>
      <c r="R1058" s="29"/>
      <c r="S1058" s="15"/>
      <c r="T1058" s="15"/>
      <c r="U1058" s="243"/>
      <c r="V1058" s="243"/>
      <c r="W1058" s="243"/>
      <c r="X1058" s="243"/>
      <c r="Y1058" s="243"/>
      <c r="Z1058" s="243"/>
    </row>
    <row r="1059">
      <c r="A1059" s="34"/>
      <c r="B1059" s="15"/>
      <c r="C1059" s="15"/>
      <c r="D1059" s="15"/>
      <c r="E1059" s="17"/>
      <c r="F1059" s="15"/>
      <c r="G1059" s="250"/>
      <c r="H1059" s="243"/>
      <c r="I1059" s="243"/>
      <c r="J1059" s="243"/>
      <c r="K1059" s="85"/>
      <c r="L1059" s="85"/>
      <c r="M1059" s="85"/>
      <c r="N1059" s="85"/>
      <c r="O1059" s="29"/>
      <c r="P1059" s="307"/>
      <c r="Q1059" s="29"/>
      <c r="R1059" s="29"/>
      <c r="S1059" s="15"/>
      <c r="T1059" s="15"/>
      <c r="U1059" s="243"/>
      <c r="V1059" s="243"/>
      <c r="W1059" s="243"/>
      <c r="X1059" s="243"/>
      <c r="Y1059" s="243"/>
      <c r="Z1059" s="243"/>
    </row>
    <row r="1060">
      <c r="A1060" s="34"/>
      <c r="B1060" s="15"/>
      <c r="C1060" s="15"/>
      <c r="D1060" s="15"/>
      <c r="E1060" s="17"/>
      <c r="F1060" s="15"/>
      <c r="G1060" s="250"/>
      <c r="H1060" s="243"/>
      <c r="I1060" s="243"/>
      <c r="J1060" s="243"/>
      <c r="K1060" s="85"/>
      <c r="L1060" s="85"/>
      <c r="M1060" s="85"/>
      <c r="N1060" s="85"/>
      <c r="O1060" s="29"/>
      <c r="P1060" s="307"/>
      <c r="Q1060" s="29"/>
      <c r="R1060" s="29"/>
      <c r="S1060" s="15"/>
      <c r="T1060" s="15"/>
      <c r="U1060" s="243"/>
      <c r="V1060" s="243"/>
      <c r="W1060" s="243"/>
      <c r="X1060" s="243"/>
      <c r="Y1060" s="243"/>
      <c r="Z1060" s="243"/>
    </row>
    <row r="1061">
      <c r="A1061" s="34"/>
      <c r="B1061" s="15"/>
      <c r="C1061" s="15"/>
      <c r="D1061" s="15"/>
      <c r="E1061" s="17"/>
      <c r="F1061" s="15"/>
      <c r="G1061" s="250"/>
      <c r="H1061" s="243"/>
      <c r="I1061" s="243"/>
      <c r="J1061" s="243"/>
      <c r="K1061" s="85"/>
      <c r="L1061" s="85"/>
      <c r="M1061" s="85"/>
      <c r="N1061" s="85"/>
      <c r="O1061" s="29"/>
      <c r="P1061" s="307"/>
      <c r="Q1061" s="29"/>
      <c r="R1061" s="29"/>
      <c r="S1061" s="15"/>
      <c r="T1061" s="15"/>
      <c r="U1061" s="243"/>
      <c r="V1061" s="243"/>
      <c r="W1061" s="243"/>
      <c r="X1061" s="243"/>
      <c r="Y1061" s="243"/>
      <c r="Z1061" s="243"/>
    </row>
    <row r="1062">
      <c r="A1062" s="34"/>
      <c r="B1062" s="15"/>
      <c r="C1062" s="15"/>
      <c r="D1062" s="15"/>
      <c r="E1062" s="17"/>
      <c r="F1062" s="15"/>
      <c r="G1062" s="250"/>
      <c r="H1062" s="243"/>
      <c r="I1062" s="243"/>
      <c r="J1062" s="243"/>
      <c r="K1062" s="85"/>
      <c r="L1062" s="85"/>
      <c r="M1062" s="85"/>
      <c r="N1062" s="85"/>
      <c r="O1062" s="29"/>
      <c r="P1062" s="307"/>
      <c r="Q1062" s="29"/>
      <c r="R1062" s="29"/>
      <c r="S1062" s="15"/>
      <c r="T1062" s="15"/>
      <c r="U1062" s="243"/>
      <c r="V1062" s="243"/>
      <c r="W1062" s="243"/>
      <c r="X1062" s="243"/>
      <c r="Y1062" s="243"/>
      <c r="Z1062" s="243"/>
    </row>
    <row r="1063">
      <c r="A1063" s="34"/>
      <c r="B1063" s="15"/>
      <c r="C1063" s="15"/>
      <c r="D1063" s="15"/>
      <c r="E1063" s="17"/>
      <c r="F1063" s="15"/>
      <c r="G1063" s="250"/>
      <c r="H1063" s="243"/>
      <c r="I1063" s="243"/>
      <c r="J1063" s="243"/>
      <c r="K1063" s="85"/>
      <c r="L1063" s="85"/>
      <c r="M1063" s="85"/>
      <c r="N1063" s="85"/>
      <c r="O1063" s="29"/>
      <c r="P1063" s="307"/>
      <c r="Q1063" s="29"/>
      <c r="R1063" s="29"/>
      <c r="S1063" s="15"/>
      <c r="T1063" s="15"/>
      <c r="U1063" s="243"/>
      <c r="V1063" s="243"/>
      <c r="W1063" s="243"/>
      <c r="X1063" s="243"/>
      <c r="Y1063" s="243"/>
      <c r="Z1063" s="243"/>
    </row>
    <row r="1064">
      <c r="A1064" s="34"/>
      <c r="B1064" s="15"/>
      <c r="C1064" s="15"/>
      <c r="D1064" s="15"/>
      <c r="E1064" s="17"/>
      <c r="F1064" s="15"/>
      <c r="G1064" s="250"/>
      <c r="H1064" s="243"/>
      <c r="I1064" s="243"/>
      <c r="J1064" s="243"/>
      <c r="K1064" s="85"/>
      <c r="L1064" s="85"/>
      <c r="M1064" s="85"/>
      <c r="N1064" s="85"/>
      <c r="O1064" s="29"/>
      <c r="P1064" s="307"/>
      <c r="Q1064" s="29"/>
      <c r="R1064" s="29"/>
      <c r="S1064" s="15"/>
      <c r="T1064" s="15"/>
      <c r="U1064" s="243"/>
      <c r="V1064" s="243"/>
      <c r="W1064" s="243"/>
      <c r="X1064" s="243"/>
      <c r="Y1064" s="243"/>
      <c r="Z1064" s="243"/>
    </row>
    <row r="1065">
      <c r="A1065" s="34"/>
      <c r="B1065" s="15"/>
      <c r="C1065" s="15"/>
      <c r="D1065" s="15"/>
      <c r="E1065" s="17"/>
      <c r="F1065" s="15"/>
      <c r="G1065" s="250"/>
      <c r="H1065" s="243"/>
      <c r="I1065" s="243"/>
      <c r="J1065" s="243"/>
      <c r="K1065" s="85"/>
      <c r="L1065" s="85"/>
      <c r="M1065" s="85"/>
      <c r="N1065" s="85"/>
      <c r="O1065" s="29"/>
      <c r="P1065" s="307"/>
      <c r="Q1065" s="29"/>
      <c r="R1065" s="29"/>
      <c r="S1065" s="15"/>
      <c r="T1065" s="15"/>
      <c r="U1065" s="243"/>
      <c r="V1065" s="243"/>
      <c r="W1065" s="243"/>
      <c r="X1065" s="243"/>
      <c r="Y1065" s="243"/>
      <c r="Z1065" s="243"/>
    </row>
    <row r="1066">
      <c r="A1066" s="34"/>
      <c r="B1066" s="15"/>
      <c r="C1066" s="15"/>
      <c r="D1066" s="15"/>
      <c r="E1066" s="17"/>
      <c r="F1066" s="15"/>
      <c r="G1066" s="250"/>
      <c r="H1066" s="243"/>
      <c r="I1066" s="243"/>
      <c r="J1066" s="243"/>
      <c r="K1066" s="85"/>
      <c r="L1066" s="85"/>
      <c r="M1066" s="85"/>
      <c r="N1066" s="85"/>
      <c r="O1066" s="29"/>
      <c r="P1066" s="307"/>
      <c r="Q1066" s="29"/>
      <c r="R1066" s="29"/>
      <c r="S1066" s="15"/>
      <c r="T1066" s="15"/>
      <c r="U1066" s="243"/>
      <c r="V1066" s="243"/>
      <c r="W1066" s="243"/>
      <c r="X1066" s="243"/>
      <c r="Y1066" s="243"/>
      <c r="Z1066" s="243"/>
    </row>
    <row r="1067">
      <c r="A1067" s="34"/>
      <c r="B1067" s="15"/>
      <c r="C1067" s="15"/>
      <c r="D1067" s="15"/>
      <c r="E1067" s="17"/>
      <c r="F1067" s="15"/>
      <c r="G1067" s="250"/>
      <c r="H1067" s="243"/>
      <c r="I1067" s="243"/>
      <c r="J1067" s="243"/>
      <c r="K1067" s="85"/>
      <c r="L1067" s="85"/>
      <c r="M1067" s="85"/>
      <c r="N1067" s="85"/>
      <c r="O1067" s="29"/>
      <c r="P1067" s="307"/>
      <c r="Q1067" s="29"/>
      <c r="R1067" s="29"/>
      <c r="S1067" s="15"/>
      <c r="T1067" s="15"/>
      <c r="U1067" s="243"/>
      <c r="V1067" s="243"/>
      <c r="W1067" s="243"/>
      <c r="X1067" s="243"/>
      <c r="Y1067" s="243"/>
      <c r="Z1067" s="243"/>
    </row>
    <row r="1068">
      <c r="A1068" s="34"/>
      <c r="B1068" s="15"/>
      <c r="C1068" s="15"/>
      <c r="D1068" s="15"/>
      <c r="E1068" s="17"/>
      <c r="F1068" s="15"/>
      <c r="G1068" s="250"/>
      <c r="H1068" s="243"/>
      <c r="I1068" s="243"/>
      <c r="J1068" s="243"/>
      <c r="K1068" s="85"/>
      <c r="L1068" s="85"/>
      <c r="M1068" s="85"/>
      <c r="N1068" s="85"/>
      <c r="O1068" s="29"/>
      <c r="P1068" s="307"/>
      <c r="Q1068" s="29"/>
      <c r="R1068" s="29"/>
      <c r="S1068" s="15"/>
      <c r="T1068" s="15"/>
      <c r="U1068" s="243"/>
      <c r="V1068" s="243"/>
      <c r="W1068" s="243"/>
      <c r="X1068" s="243"/>
      <c r="Y1068" s="243"/>
      <c r="Z1068" s="243"/>
    </row>
    <row r="1069">
      <c r="A1069" s="34"/>
      <c r="B1069" s="15"/>
      <c r="C1069" s="15"/>
      <c r="D1069" s="15"/>
      <c r="E1069" s="17"/>
      <c r="F1069" s="15"/>
      <c r="G1069" s="250"/>
      <c r="H1069" s="243"/>
      <c r="I1069" s="243"/>
      <c r="J1069" s="243"/>
      <c r="K1069" s="85"/>
      <c r="L1069" s="85"/>
      <c r="M1069" s="85"/>
      <c r="N1069" s="85"/>
      <c r="O1069" s="29"/>
      <c r="P1069" s="307"/>
      <c r="Q1069" s="29"/>
      <c r="R1069" s="29"/>
      <c r="S1069" s="15"/>
      <c r="T1069" s="15"/>
      <c r="U1069" s="243"/>
      <c r="V1069" s="243"/>
      <c r="W1069" s="243"/>
      <c r="X1069" s="243"/>
      <c r="Y1069" s="243"/>
      <c r="Z1069" s="243"/>
    </row>
    <row r="1070">
      <c r="A1070" s="34"/>
      <c r="B1070" s="15"/>
      <c r="C1070" s="15"/>
      <c r="D1070" s="15"/>
      <c r="E1070" s="17"/>
      <c r="F1070" s="15"/>
      <c r="G1070" s="250"/>
      <c r="H1070" s="243"/>
      <c r="I1070" s="243"/>
      <c r="J1070" s="243"/>
      <c r="K1070" s="85"/>
      <c r="L1070" s="85"/>
      <c r="M1070" s="85"/>
      <c r="N1070" s="85"/>
      <c r="O1070" s="29"/>
      <c r="P1070" s="307"/>
      <c r="Q1070" s="29"/>
      <c r="R1070" s="29"/>
      <c r="S1070" s="15"/>
      <c r="T1070" s="15"/>
      <c r="U1070" s="243"/>
      <c r="V1070" s="243"/>
      <c r="W1070" s="243"/>
      <c r="X1070" s="243"/>
      <c r="Y1070" s="243"/>
      <c r="Z1070" s="243"/>
    </row>
    <row r="1071">
      <c r="A1071" s="34"/>
      <c r="B1071" s="15"/>
      <c r="C1071" s="15"/>
      <c r="D1071" s="15"/>
      <c r="E1071" s="17"/>
      <c r="F1071" s="15"/>
      <c r="G1071" s="250"/>
      <c r="H1071" s="243"/>
      <c r="I1071" s="243"/>
      <c r="J1071" s="243"/>
      <c r="K1071" s="85"/>
      <c r="L1071" s="85"/>
      <c r="M1071" s="85"/>
      <c r="N1071" s="85"/>
      <c r="O1071" s="29"/>
      <c r="P1071" s="307"/>
      <c r="Q1071" s="29"/>
      <c r="R1071" s="29"/>
      <c r="S1071" s="15"/>
      <c r="T1071" s="15"/>
      <c r="U1071" s="243"/>
      <c r="V1071" s="243"/>
      <c r="W1071" s="243"/>
      <c r="X1071" s="243"/>
      <c r="Y1071" s="243"/>
      <c r="Z1071" s="243"/>
    </row>
    <row r="1072">
      <c r="A1072" s="34"/>
      <c r="B1072" s="15"/>
      <c r="C1072" s="15"/>
      <c r="D1072" s="15"/>
      <c r="E1072" s="17"/>
      <c r="F1072" s="15"/>
      <c r="G1072" s="250"/>
      <c r="H1072" s="243"/>
      <c r="I1072" s="243"/>
      <c r="J1072" s="243"/>
      <c r="K1072" s="85"/>
      <c r="L1072" s="85"/>
      <c r="M1072" s="85"/>
      <c r="N1072" s="85"/>
      <c r="O1072" s="29"/>
      <c r="P1072" s="307"/>
      <c r="Q1072" s="29"/>
      <c r="R1072" s="29"/>
      <c r="S1072" s="15"/>
      <c r="T1072" s="15"/>
      <c r="U1072" s="243"/>
      <c r="V1072" s="243"/>
      <c r="W1072" s="243"/>
      <c r="X1072" s="243"/>
      <c r="Y1072" s="243"/>
      <c r="Z1072" s="243"/>
    </row>
    <row r="1073">
      <c r="A1073" s="34"/>
      <c r="B1073" s="15"/>
      <c r="C1073" s="15"/>
      <c r="D1073" s="15"/>
      <c r="E1073" s="17"/>
      <c r="F1073" s="15"/>
      <c r="G1073" s="250"/>
      <c r="H1073" s="243"/>
      <c r="I1073" s="243"/>
      <c r="J1073" s="243"/>
      <c r="K1073" s="85"/>
      <c r="L1073" s="85"/>
      <c r="M1073" s="85"/>
      <c r="N1073" s="85"/>
      <c r="O1073" s="29"/>
      <c r="P1073" s="307"/>
      <c r="Q1073" s="29"/>
      <c r="R1073" s="29"/>
      <c r="S1073" s="15"/>
      <c r="T1073" s="15"/>
      <c r="U1073" s="243"/>
      <c r="V1073" s="243"/>
      <c r="W1073" s="243"/>
      <c r="X1073" s="243"/>
      <c r="Y1073" s="243"/>
      <c r="Z1073" s="243"/>
    </row>
    <row r="1074">
      <c r="A1074" s="34"/>
      <c r="B1074" s="15"/>
      <c r="C1074" s="15"/>
      <c r="D1074" s="15"/>
      <c r="E1074" s="17"/>
      <c r="F1074" s="15"/>
      <c r="G1074" s="250"/>
      <c r="H1074" s="243"/>
      <c r="I1074" s="243"/>
      <c r="J1074" s="243"/>
      <c r="K1074" s="85"/>
      <c r="L1074" s="85"/>
      <c r="M1074" s="85"/>
      <c r="N1074" s="85"/>
      <c r="O1074" s="29"/>
      <c r="P1074" s="307"/>
      <c r="Q1074" s="29"/>
      <c r="R1074" s="29"/>
      <c r="S1074" s="15"/>
      <c r="T1074" s="15"/>
      <c r="U1074" s="243"/>
      <c r="V1074" s="243"/>
      <c r="W1074" s="243"/>
      <c r="X1074" s="243"/>
      <c r="Y1074" s="243"/>
      <c r="Z1074" s="243"/>
    </row>
    <row r="1075">
      <c r="A1075" s="34"/>
      <c r="B1075" s="15"/>
      <c r="C1075" s="15"/>
      <c r="D1075" s="15"/>
      <c r="E1075" s="17"/>
      <c r="F1075" s="15"/>
      <c r="G1075" s="250"/>
      <c r="H1075" s="243"/>
      <c r="I1075" s="243"/>
      <c r="J1075" s="243"/>
      <c r="K1075" s="85"/>
      <c r="L1075" s="85"/>
      <c r="M1075" s="85"/>
      <c r="N1075" s="85"/>
      <c r="O1075" s="29"/>
      <c r="P1075" s="307"/>
      <c r="Q1075" s="29"/>
      <c r="R1075" s="29"/>
      <c r="S1075" s="15"/>
      <c r="T1075" s="15"/>
      <c r="U1075" s="243"/>
      <c r="V1075" s="243"/>
      <c r="W1075" s="243"/>
      <c r="X1075" s="243"/>
      <c r="Y1075" s="243"/>
      <c r="Z1075" s="243"/>
    </row>
    <row r="1076">
      <c r="A1076" s="34"/>
      <c r="B1076" s="15"/>
      <c r="C1076" s="15"/>
      <c r="D1076" s="15"/>
      <c r="E1076" s="17"/>
      <c r="F1076" s="15"/>
      <c r="G1076" s="250"/>
      <c r="H1076" s="243"/>
      <c r="I1076" s="243"/>
      <c r="J1076" s="243"/>
      <c r="K1076" s="85"/>
      <c r="L1076" s="85"/>
      <c r="M1076" s="85"/>
      <c r="N1076" s="85"/>
      <c r="O1076" s="29"/>
      <c r="P1076" s="307"/>
      <c r="Q1076" s="29"/>
      <c r="R1076" s="29"/>
      <c r="S1076" s="15"/>
      <c r="T1076" s="15"/>
      <c r="U1076" s="243"/>
      <c r="V1076" s="243"/>
      <c r="W1076" s="243"/>
      <c r="X1076" s="243"/>
      <c r="Y1076" s="243"/>
      <c r="Z1076" s="243"/>
    </row>
  </sheetData>
  <mergeCells count="103">
    <mergeCell ref="I2:I3"/>
    <mergeCell ref="J2:J3"/>
    <mergeCell ref="O2:O3"/>
    <mergeCell ref="P2:P3"/>
    <mergeCell ref="B2:B3"/>
    <mergeCell ref="C2:C3"/>
    <mergeCell ref="D2:D3"/>
    <mergeCell ref="F2:F3"/>
    <mergeCell ref="G2:G3"/>
    <mergeCell ref="H2:H3"/>
    <mergeCell ref="B4:F4"/>
    <mergeCell ref="E2:E3"/>
    <mergeCell ref="B15:E15"/>
    <mergeCell ref="B17:F17"/>
    <mergeCell ref="B20:F20"/>
    <mergeCell ref="B30:E30"/>
    <mergeCell ref="B32:F32"/>
    <mergeCell ref="B38:E38"/>
    <mergeCell ref="B40:F40"/>
    <mergeCell ref="B46:E46"/>
    <mergeCell ref="B48:F48"/>
    <mergeCell ref="B55:E55"/>
    <mergeCell ref="B57:F57"/>
    <mergeCell ref="B61:E61"/>
    <mergeCell ref="B63:F63"/>
    <mergeCell ref="B66:F66"/>
    <mergeCell ref="B82:E82"/>
    <mergeCell ref="B84:F84"/>
    <mergeCell ref="B94:E94"/>
    <mergeCell ref="B96:F96"/>
    <mergeCell ref="B112:E112"/>
    <mergeCell ref="B114:F114"/>
    <mergeCell ref="B122:E122"/>
    <mergeCell ref="B124:F124"/>
    <mergeCell ref="B140:E140"/>
    <mergeCell ref="B142:F142"/>
    <mergeCell ref="B149:E149"/>
    <mergeCell ref="B151:F151"/>
    <mergeCell ref="B155:E155"/>
    <mergeCell ref="B216:E216"/>
    <mergeCell ref="B218:F218"/>
    <mergeCell ref="B341:E341"/>
    <mergeCell ref="B343:F343"/>
    <mergeCell ref="C344:D344"/>
    <mergeCell ref="C345:D345"/>
    <mergeCell ref="C346:D346"/>
    <mergeCell ref="C347:D347"/>
    <mergeCell ref="C348:D348"/>
    <mergeCell ref="B349:E349"/>
    <mergeCell ref="B351:F351"/>
    <mergeCell ref="B358:E358"/>
    <mergeCell ref="B360:F360"/>
    <mergeCell ref="B367:E367"/>
    <mergeCell ref="B369:F369"/>
    <mergeCell ref="B376:E376"/>
    <mergeCell ref="B157:F157"/>
    <mergeCell ref="B160:F160"/>
    <mergeCell ref="B167:E167"/>
    <mergeCell ref="B169:F169"/>
    <mergeCell ref="B173:E173"/>
    <mergeCell ref="B175:F175"/>
    <mergeCell ref="B182:E182"/>
    <mergeCell ref="B184:F184"/>
    <mergeCell ref="B188:E188"/>
    <mergeCell ref="B190:F190"/>
    <mergeCell ref="B199:E199"/>
    <mergeCell ref="B201:F201"/>
    <mergeCell ref="B205:E205"/>
    <mergeCell ref="B207:F207"/>
    <mergeCell ref="B227:E227"/>
    <mergeCell ref="B229:F229"/>
    <mergeCell ref="B234:E234"/>
    <mergeCell ref="B236:F236"/>
    <mergeCell ref="B243:E243"/>
    <mergeCell ref="B245:F245"/>
    <mergeCell ref="B252:E252"/>
    <mergeCell ref="B254:F254"/>
    <mergeCell ref="B261:E261"/>
    <mergeCell ref="B263:F263"/>
    <mergeCell ref="B269:E269"/>
    <mergeCell ref="B271:F271"/>
    <mergeCell ref="B277:E277"/>
    <mergeCell ref="B279:F279"/>
    <mergeCell ref="B285:E285"/>
    <mergeCell ref="B287:F287"/>
    <mergeCell ref="B296:E296"/>
    <mergeCell ref="B298:F298"/>
    <mergeCell ref="B303:E303"/>
    <mergeCell ref="B305:F305"/>
    <mergeCell ref="B311:E311"/>
    <mergeCell ref="B313:F313"/>
    <mergeCell ref="B317:E317"/>
    <mergeCell ref="B319:F319"/>
    <mergeCell ref="B323:E323"/>
    <mergeCell ref="B325:F325"/>
    <mergeCell ref="B332:E332"/>
    <mergeCell ref="B334:F334"/>
    <mergeCell ref="B378:F378"/>
    <mergeCell ref="B385:E385"/>
    <mergeCell ref="B387:F387"/>
    <mergeCell ref="B394:E394"/>
    <mergeCell ref="B396:F396"/>
    <mergeCell ref="B403:E403"/>
  </mergeCells>
  <printOptions horizontalCentered="1"/>
  <pageMargins bottom="0.75" footer="0.0" header="0.0" left="0.25" right="0.25" top="0.75"/>
  <pageSetup fitToHeight="0" paperSize="9" cellComments="atEnd"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
    <col customWidth="1" min="2" max="2" width="6.38"/>
    <col customWidth="1" min="3" max="3" width="13.25"/>
    <col customWidth="1" min="4" max="4" width="13.75"/>
    <col customWidth="1" min="5" max="5" width="8.63"/>
    <col customWidth="1" min="6" max="6" width="9.25"/>
    <col customWidth="1" min="7" max="7" width="7.75"/>
    <col customWidth="1" min="8" max="8" width="6.13"/>
    <col customWidth="1" hidden="1" min="9" max="9" width="7.75"/>
    <col customWidth="1" hidden="1" min="10" max="10" width="9.13"/>
    <col customWidth="1" hidden="1" min="11" max="12" width="6.5"/>
    <col customWidth="1" hidden="1" min="13" max="14" width="7.5"/>
    <col customWidth="1" hidden="1" min="15" max="15" width="9.13"/>
    <col customWidth="1" hidden="1" min="16" max="16" width="8.25"/>
    <col customWidth="1" min="17" max="17" width="9.63"/>
    <col customWidth="1" min="18" max="18" width="8.75"/>
    <col customWidth="1" hidden="1" min="19" max="20" width="8.75"/>
    <col customWidth="1" min="21" max="21" width="8.38"/>
    <col customWidth="1" min="22" max="22" width="8.75"/>
    <col customWidth="1" hidden="1" min="23" max="23" width="8.75"/>
  </cols>
  <sheetData>
    <row r="1" ht="6.75" customHeight="1">
      <c r="A1" s="34"/>
      <c r="B1" s="15"/>
      <c r="C1" s="15"/>
      <c r="D1" s="15"/>
      <c r="E1" s="17"/>
      <c r="F1" s="15"/>
      <c r="G1" s="244">
        <v>0.05</v>
      </c>
      <c r="H1" s="243"/>
      <c r="I1" s="243"/>
      <c r="J1" s="243"/>
      <c r="K1" s="29"/>
      <c r="L1" s="29"/>
      <c r="M1" s="29"/>
      <c r="N1" s="29"/>
      <c r="O1" s="307"/>
      <c r="P1" s="29"/>
      <c r="Q1" s="15"/>
      <c r="R1" s="15"/>
      <c r="S1" s="15"/>
      <c r="T1" s="15"/>
      <c r="U1" s="15"/>
      <c r="V1" s="243"/>
      <c r="W1" s="15"/>
    </row>
    <row r="2" ht="31.5" customHeight="1">
      <c r="A2" s="34"/>
      <c r="B2" s="308" t="s">
        <v>0</v>
      </c>
      <c r="C2" s="37" t="s">
        <v>21</v>
      </c>
      <c r="D2" s="37" t="s">
        <v>24</v>
      </c>
      <c r="E2" s="40" t="s">
        <v>18</v>
      </c>
      <c r="F2" s="247" t="str">
        <f>' CPVC PIPE'!F2</f>
        <v>MRP as on 1st May, 2024</v>
      </c>
      <c r="G2" s="42" t="s">
        <v>6</v>
      </c>
      <c r="H2" s="47" t="s">
        <v>32</v>
      </c>
      <c r="I2" s="47" t="s">
        <v>35</v>
      </c>
      <c r="J2" s="50" t="s">
        <v>26</v>
      </c>
      <c r="K2" s="52" t="s">
        <v>1121</v>
      </c>
      <c r="L2" s="52" t="s">
        <v>1169</v>
      </c>
      <c r="M2" s="52" t="s">
        <v>286</v>
      </c>
      <c r="N2" s="309"/>
      <c r="O2" s="136" t="s">
        <v>288</v>
      </c>
      <c r="P2" s="29"/>
      <c r="Q2" s="38" t="s">
        <v>45</v>
      </c>
      <c r="R2" s="50" t="s">
        <v>290</v>
      </c>
      <c r="S2" s="136" t="s">
        <v>291</v>
      </c>
      <c r="T2" s="57"/>
      <c r="U2" s="36" t="s">
        <v>8</v>
      </c>
      <c r="V2" s="50" t="s">
        <v>290</v>
      </c>
      <c r="W2" s="136" t="s">
        <v>292</v>
      </c>
    </row>
    <row r="3" ht="32.25" customHeight="1">
      <c r="A3" s="34"/>
      <c r="B3" s="41"/>
      <c r="C3" s="41"/>
      <c r="D3" s="41"/>
      <c r="E3" s="41"/>
      <c r="F3" s="41"/>
      <c r="G3" s="41"/>
      <c r="H3" s="41"/>
      <c r="I3" s="41"/>
      <c r="J3" s="41"/>
      <c r="K3" s="313">
        <v>125.0</v>
      </c>
      <c r="L3" s="313">
        <v>1100.0</v>
      </c>
      <c r="M3" s="29"/>
      <c r="N3" s="309"/>
      <c r="P3" s="309"/>
      <c r="Q3" s="41"/>
      <c r="R3" s="41"/>
      <c r="T3" s="57"/>
      <c r="U3" s="41"/>
      <c r="V3" s="41"/>
    </row>
    <row r="4" ht="22.5" customHeight="1">
      <c r="A4" s="34"/>
      <c r="B4" s="62" t="s">
        <v>1165</v>
      </c>
      <c r="C4" s="45"/>
      <c r="D4" s="45"/>
      <c r="E4" s="45"/>
      <c r="F4" s="46"/>
      <c r="G4" s="250"/>
      <c r="H4" s="243"/>
      <c r="I4" s="243"/>
      <c r="J4" s="243"/>
      <c r="K4" s="85"/>
      <c r="L4" s="85"/>
      <c r="M4" s="85" t="str">
        <f>IFERROR(F4/#REF!,"")</f>
        <v/>
      </c>
      <c r="N4" s="29"/>
      <c r="O4" s="307"/>
      <c r="P4" s="29"/>
      <c r="Q4" s="15"/>
      <c r="R4" s="15"/>
      <c r="S4" s="15"/>
      <c r="T4" s="15"/>
      <c r="U4" s="85"/>
      <c r="V4" s="243"/>
      <c r="W4" s="15"/>
    </row>
    <row r="5" ht="15.75" customHeight="1">
      <c r="A5" s="67" t="str">
        <f t="shared" ref="A5:A9" si="1">$B$4&amp;C5</f>
        <v>Reducer Brass Elbow (SCH-80)3⁄4 x 1⁄2</v>
      </c>
      <c r="B5" s="51">
        <v>1.0</v>
      </c>
      <c r="C5" s="110" t="s">
        <v>144</v>
      </c>
      <c r="D5" s="110" t="s">
        <v>145</v>
      </c>
      <c r="E5" s="111" t="s">
        <v>498</v>
      </c>
      <c r="F5" s="56">
        <v>88.0</v>
      </c>
      <c r="G5" s="76">
        <v>0.050129999999999994</v>
      </c>
      <c r="H5" s="58">
        <v>0.019</v>
      </c>
      <c r="I5" s="76">
        <f t="shared" ref="I5:I9" si="2">G5+H5</f>
        <v>0.06913</v>
      </c>
      <c r="J5" s="84">
        <f t="shared" ref="J5:J9" si="3">IFERROR(F5/I5,"")</f>
        <v>1272.963981</v>
      </c>
      <c r="K5" s="85">
        <f t="shared" ref="K5:K9" si="4">IFERROR(G5*$K$3,)</f>
        <v>6.26625</v>
      </c>
      <c r="L5" s="85">
        <f t="shared" ref="L5:L9" si="5">IFERROR(H5*$L$3,)</f>
        <v>20.9</v>
      </c>
      <c r="M5" s="85">
        <f t="shared" ref="M5:M9" si="6">IFERROR(F5/SUM(K5:L5),"")</f>
        <v>3.239313486</v>
      </c>
      <c r="N5" s="316">
        <f t="shared" ref="N5:N9" si="7">IFERROR(SUM(K5:L5),"")</f>
        <v>27.16625</v>
      </c>
      <c r="O5" s="88">
        <v>14.18</v>
      </c>
      <c r="P5" s="85">
        <f t="shared" ref="P5:P9" si="8">IFERROR(Q5/N5,"")</f>
        <v>3.533796531</v>
      </c>
      <c r="Q5" s="318">
        <v>96.0</v>
      </c>
      <c r="R5" s="141">
        <f t="shared" ref="R5:R9" si="9">IFERROR(Q5-F5,"")/F5</f>
        <v>0.09090909091</v>
      </c>
      <c r="S5" s="20">
        <f>VLOOKUP(E5,'Brass Cost'!$A$11:$D766,4,0)</f>
        <v>19.76</v>
      </c>
      <c r="T5" s="85">
        <f t="shared" ref="T5:T9" si="10">IFERROR(U5/N5,"")</f>
        <v>3.607417292</v>
      </c>
      <c r="U5" s="319">
        <v>98.0</v>
      </c>
      <c r="V5" s="141">
        <f t="shared" ref="V5:V9" si="11">IFERROR(U5-Q5,"")/Q5</f>
        <v>0.02083333333</v>
      </c>
      <c r="W5" s="75">
        <f t="shared" ref="W5:W9" si="12">IFERROR(S5/1050,"")</f>
        <v>0.01881904762</v>
      </c>
    </row>
    <row r="6" ht="15.75" customHeight="1">
      <c r="A6" s="67" t="str">
        <f t="shared" si="1"/>
        <v>Reducer Brass Elbow (SCH-80)1 x 1⁄2</v>
      </c>
      <c r="B6" s="150">
        <v>2.0</v>
      </c>
      <c r="C6" s="127" t="s">
        <v>352</v>
      </c>
      <c r="D6" s="127" t="s">
        <v>353</v>
      </c>
      <c r="E6" s="112" t="s">
        <v>499</v>
      </c>
      <c r="F6" s="56">
        <v>104.0</v>
      </c>
      <c r="G6" s="76">
        <v>0.06675</v>
      </c>
      <c r="H6" s="58">
        <v>0.019</v>
      </c>
      <c r="I6" s="76">
        <f t="shared" si="2"/>
        <v>0.08575</v>
      </c>
      <c r="J6" s="84">
        <f t="shared" si="3"/>
        <v>1212.827988</v>
      </c>
      <c r="K6" s="85">
        <f t="shared" si="4"/>
        <v>8.34375</v>
      </c>
      <c r="L6" s="85">
        <f t="shared" si="5"/>
        <v>20.9</v>
      </c>
      <c r="M6" s="85">
        <f t="shared" si="6"/>
        <v>3.556315452</v>
      </c>
      <c r="N6" s="316">
        <f t="shared" si="7"/>
        <v>29.24375</v>
      </c>
      <c r="O6" s="88">
        <v>14.18</v>
      </c>
      <c r="P6" s="85">
        <f t="shared" si="8"/>
        <v>3.829878179</v>
      </c>
      <c r="Q6" s="318">
        <v>112.0</v>
      </c>
      <c r="R6" s="141">
        <f t="shared" si="9"/>
        <v>0.07692307692</v>
      </c>
      <c r="S6" s="20">
        <f>VLOOKUP(E6,'Brass Cost'!$A$11:$D766,4,0)</f>
        <v>19.76</v>
      </c>
      <c r="T6" s="85">
        <f t="shared" si="10"/>
        <v>3.829878179</v>
      </c>
      <c r="U6" s="319">
        <v>112.0</v>
      </c>
      <c r="V6" s="141">
        <f t="shared" si="11"/>
        <v>0</v>
      </c>
      <c r="W6" s="75">
        <f t="shared" si="12"/>
        <v>0.01881904762</v>
      </c>
    </row>
    <row r="7" ht="15.75" customHeight="1">
      <c r="A7" s="67" t="str">
        <f t="shared" si="1"/>
        <v>Reducer Brass Elbow (SCH-80)1 x 3⁄4</v>
      </c>
      <c r="B7" s="150">
        <v>3.0</v>
      </c>
      <c r="C7" s="127" t="s">
        <v>153</v>
      </c>
      <c r="D7" s="127" t="s">
        <v>155</v>
      </c>
      <c r="E7" s="112" t="s">
        <v>511</v>
      </c>
      <c r="F7" s="56">
        <v>158.0</v>
      </c>
      <c r="G7" s="76">
        <v>0.06425</v>
      </c>
      <c r="H7" s="58">
        <v>0.043</v>
      </c>
      <c r="I7" s="76">
        <f t="shared" si="2"/>
        <v>0.10725</v>
      </c>
      <c r="J7" s="84">
        <f t="shared" si="3"/>
        <v>1473.193473</v>
      </c>
      <c r="K7" s="85">
        <f t="shared" si="4"/>
        <v>8.03125</v>
      </c>
      <c r="L7" s="85">
        <f t="shared" si="5"/>
        <v>47.3</v>
      </c>
      <c r="M7" s="85">
        <f t="shared" si="6"/>
        <v>2.855529199</v>
      </c>
      <c r="N7" s="316">
        <f t="shared" si="7"/>
        <v>55.33125</v>
      </c>
      <c r="O7" s="88">
        <v>32.89</v>
      </c>
      <c r="P7" s="85">
        <f t="shared" si="8"/>
        <v>3.144696713</v>
      </c>
      <c r="Q7" s="318">
        <v>174.0</v>
      </c>
      <c r="R7" s="141">
        <f t="shared" si="9"/>
        <v>0.1012658228</v>
      </c>
      <c r="S7" s="20">
        <f>VLOOKUP(E7,'Brass Cost'!$A$11:$D766,4,0)</f>
        <v>44.03</v>
      </c>
      <c r="T7" s="85">
        <f t="shared" si="10"/>
        <v>3.542302045</v>
      </c>
      <c r="U7" s="319">
        <v>196.0</v>
      </c>
      <c r="V7" s="141">
        <f t="shared" si="11"/>
        <v>0.1264367816</v>
      </c>
      <c r="W7" s="75">
        <f t="shared" si="12"/>
        <v>0.04193333333</v>
      </c>
    </row>
    <row r="8" ht="15.75" customHeight="1">
      <c r="A8" s="67" t="str">
        <f t="shared" si="1"/>
        <v>Reducer Brass Elbow (SCH-80)1⁄2 x 1⁄2</v>
      </c>
      <c r="B8" s="150">
        <v>4.0</v>
      </c>
      <c r="C8" s="127" t="s">
        <v>397</v>
      </c>
      <c r="D8" s="127" t="s">
        <v>398</v>
      </c>
      <c r="E8" s="112" t="s">
        <v>500</v>
      </c>
      <c r="F8" s="56">
        <v>72.0</v>
      </c>
      <c r="G8" s="76">
        <v>0.036</v>
      </c>
      <c r="H8" s="58">
        <v>0.019</v>
      </c>
      <c r="I8" s="76">
        <f t="shared" si="2"/>
        <v>0.055</v>
      </c>
      <c r="J8" s="84">
        <f t="shared" si="3"/>
        <v>1309.090909</v>
      </c>
      <c r="K8" s="85">
        <f t="shared" si="4"/>
        <v>4.5</v>
      </c>
      <c r="L8" s="85">
        <f t="shared" si="5"/>
        <v>20.9</v>
      </c>
      <c r="M8" s="85">
        <f t="shared" si="6"/>
        <v>2.834645669</v>
      </c>
      <c r="N8" s="316">
        <f t="shared" si="7"/>
        <v>25.4</v>
      </c>
      <c r="O8" s="88">
        <v>14.18</v>
      </c>
      <c r="P8" s="85">
        <f t="shared" si="8"/>
        <v>3.464566929</v>
      </c>
      <c r="Q8" s="318">
        <v>88.0</v>
      </c>
      <c r="R8" s="141">
        <f t="shared" si="9"/>
        <v>0.2222222222</v>
      </c>
      <c r="S8" s="20">
        <f>VLOOKUP(E8,'Brass Cost'!$A$11:$D766,4,0)</f>
        <v>19.76</v>
      </c>
      <c r="T8" s="85">
        <f t="shared" si="10"/>
        <v>3.700787402</v>
      </c>
      <c r="U8" s="319">
        <v>94.0</v>
      </c>
      <c r="V8" s="141">
        <f t="shared" si="11"/>
        <v>0.06818181818</v>
      </c>
      <c r="W8" s="75">
        <f t="shared" si="12"/>
        <v>0.01881904762</v>
      </c>
    </row>
    <row r="9" ht="15.75" customHeight="1">
      <c r="A9" s="67" t="str">
        <f t="shared" si="1"/>
        <v>Reducer Brass Elbow (SCH-80)3⁄4 x 3⁄4</v>
      </c>
      <c r="B9" s="150">
        <v>5.0</v>
      </c>
      <c r="C9" s="127" t="s">
        <v>404</v>
      </c>
      <c r="D9" s="127" t="s">
        <v>405</v>
      </c>
      <c r="E9" s="112" t="s">
        <v>512</v>
      </c>
      <c r="F9" s="56">
        <v>148.0</v>
      </c>
      <c r="G9" s="76">
        <v>0.04625</v>
      </c>
      <c r="H9" s="58">
        <v>0.043</v>
      </c>
      <c r="I9" s="76">
        <f t="shared" si="2"/>
        <v>0.08925</v>
      </c>
      <c r="J9" s="84">
        <f t="shared" si="3"/>
        <v>1658.263305</v>
      </c>
      <c r="K9" s="85">
        <f t="shared" si="4"/>
        <v>5.78125</v>
      </c>
      <c r="L9" s="85">
        <f t="shared" si="5"/>
        <v>47.3</v>
      </c>
      <c r="M9" s="85">
        <f t="shared" si="6"/>
        <v>2.7881785</v>
      </c>
      <c r="N9" s="316">
        <f t="shared" si="7"/>
        <v>53.08125</v>
      </c>
      <c r="O9" s="88">
        <v>32.89</v>
      </c>
      <c r="P9" s="85">
        <f t="shared" si="8"/>
        <v>3.164959378</v>
      </c>
      <c r="Q9" s="318">
        <v>168.0</v>
      </c>
      <c r="R9" s="141">
        <f t="shared" si="9"/>
        <v>0.1351351351</v>
      </c>
      <c r="S9" s="20">
        <f>VLOOKUP(E9,'Brass Cost'!$A$11:$D766,4,0)</f>
        <v>44.03</v>
      </c>
      <c r="T9" s="85">
        <f t="shared" si="10"/>
        <v>3.692452608</v>
      </c>
      <c r="U9" s="319">
        <v>196.0</v>
      </c>
      <c r="V9" s="141">
        <f t="shared" si="11"/>
        <v>0.1666666667</v>
      </c>
      <c r="W9" s="75">
        <f t="shared" si="12"/>
        <v>0.04193333333</v>
      </c>
    </row>
    <row r="10">
      <c r="A10" s="34"/>
      <c r="B10" s="314" t="s">
        <v>11</v>
      </c>
      <c r="C10" s="273"/>
      <c r="D10" s="273"/>
      <c r="E10" s="180"/>
      <c r="F10" s="315">
        <f>SUM(F5:F9)</f>
        <v>570</v>
      </c>
      <c r="G10" s="250"/>
      <c r="H10" s="243"/>
      <c r="I10" s="243"/>
      <c r="J10" s="243"/>
      <c r="K10" s="85"/>
      <c r="L10" s="85"/>
      <c r="M10" s="85" t="str">
        <f t="shared" ref="M10:M12" si="13">IFERROR(F10/#REF!,"")</f>
        <v/>
      </c>
      <c r="N10" s="316"/>
      <c r="O10" s="307"/>
      <c r="P10" s="85"/>
      <c r="Q10" s="15"/>
      <c r="R10" s="15"/>
      <c r="S10" s="15"/>
      <c r="T10" s="15"/>
      <c r="U10" s="85"/>
      <c r="V10" s="243"/>
      <c r="W10" s="15"/>
    </row>
    <row r="11" ht="6.0" customHeight="1">
      <c r="A11" s="34"/>
      <c r="B11" s="15"/>
      <c r="C11" s="15"/>
      <c r="D11" s="15"/>
      <c r="E11" s="17"/>
      <c r="F11" s="15"/>
      <c r="G11" s="250"/>
      <c r="H11" s="243"/>
      <c r="I11" s="243"/>
      <c r="J11" s="243"/>
      <c r="K11" s="85"/>
      <c r="L11" s="85"/>
      <c r="M11" s="85" t="str">
        <f t="shared" si="13"/>
        <v/>
      </c>
      <c r="N11" s="316"/>
      <c r="O11" s="307"/>
      <c r="P11" s="85"/>
      <c r="Q11" s="15"/>
      <c r="R11" s="15"/>
      <c r="S11" s="15"/>
      <c r="T11" s="15"/>
      <c r="U11" s="85"/>
      <c r="V11" s="243"/>
      <c r="W11" s="15"/>
    </row>
    <row r="12" ht="26.25" customHeight="1">
      <c r="A12" s="34"/>
      <c r="B12" s="62" t="s">
        <v>1187</v>
      </c>
      <c r="C12" s="45"/>
      <c r="D12" s="45"/>
      <c r="E12" s="45"/>
      <c r="F12" s="46"/>
      <c r="G12" s="250"/>
      <c r="H12" s="243"/>
      <c r="I12" s="243"/>
      <c r="J12" s="243"/>
      <c r="K12" s="85"/>
      <c r="L12" s="85"/>
      <c r="M12" s="85" t="str">
        <f t="shared" si="13"/>
        <v/>
      </c>
      <c r="N12" s="316"/>
      <c r="O12" s="307"/>
      <c r="P12" s="85"/>
      <c r="Q12" s="15"/>
      <c r="R12" s="15"/>
      <c r="S12" s="15"/>
      <c r="T12" s="15"/>
      <c r="U12" s="85"/>
      <c r="V12" s="243"/>
      <c r="W12" s="15"/>
    </row>
    <row r="13" ht="15.75" customHeight="1">
      <c r="A13" s="67" t="str">
        <f t="shared" ref="A13:A20" si="14">$B$12&amp;C13</f>
        <v>Male Adapter Brass Threads (SCH-80)3⁄4 x 1⁄2</v>
      </c>
      <c r="B13" s="68">
        <v>1.0</v>
      </c>
      <c r="C13" s="110" t="s">
        <v>144</v>
      </c>
      <c r="D13" s="110" t="s">
        <v>145</v>
      </c>
      <c r="E13" s="111" t="s">
        <v>548</v>
      </c>
      <c r="F13" s="56">
        <v>112.5</v>
      </c>
      <c r="G13" s="76">
        <v>0.034</v>
      </c>
      <c r="H13" s="58">
        <v>0.041</v>
      </c>
      <c r="I13" s="76">
        <f t="shared" ref="I13:I20" si="15">G13+H13</f>
        <v>0.075</v>
      </c>
      <c r="J13" s="84">
        <f t="shared" ref="J13:J20" si="16">IFERROR(F13/I13,"")</f>
        <v>1500</v>
      </c>
      <c r="K13" s="85">
        <f t="shared" ref="K13:K20" si="17">IFERROR(G13*$K$3,)</f>
        <v>4.25</v>
      </c>
      <c r="L13" s="85">
        <f t="shared" ref="L13:L20" si="18">IFERROR(H13*$L$3,)</f>
        <v>45.1</v>
      </c>
      <c r="M13" s="85">
        <f t="shared" ref="M13:M20" si="19">IFERROR(F13/SUM(K13:L13),"")</f>
        <v>2.279635258</v>
      </c>
      <c r="N13" s="316">
        <f t="shared" ref="N13:N20" si="20">IFERROR(SUM(K13:L13),"")</f>
        <v>49.35</v>
      </c>
      <c r="O13" s="88">
        <v>31.82</v>
      </c>
      <c r="P13" s="85">
        <f t="shared" ref="P13:P20" si="21">IFERROR(Q13/N13,"")</f>
        <v>2.593718338</v>
      </c>
      <c r="Q13" s="318">
        <v>128.0</v>
      </c>
      <c r="R13" s="141">
        <f t="shared" ref="R13:R20" si="22">IFERROR(Q13-F13,"")/F13</f>
        <v>0.1377777778</v>
      </c>
      <c r="S13" s="20">
        <f>VLOOKUP(E13,'Brass Cost'!$A$11:$D766,4,0)</f>
        <v>42.64</v>
      </c>
      <c r="T13" s="85">
        <f t="shared" ref="T13:T20" si="23">IFERROR(U13/N13,"")</f>
        <v>3.606889564</v>
      </c>
      <c r="U13" s="319">
        <v>178.0</v>
      </c>
      <c r="V13" s="141">
        <f t="shared" ref="V13:V20" si="24">IFERROR(U13-Q13,"")/Q13</f>
        <v>0.390625</v>
      </c>
      <c r="W13" s="75">
        <f t="shared" ref="W13:W20" si="25">IFERROR(S13/1050,"")</f>
        <v>0.04060952381</v>
      </c>
    </row>
    <row r="14" ht="15.75" customHeight="1">
      <c r="A14" s="67" t="str">
        <f t="shared" si="14"/>
        <v>Male Adapter Brass Threads (SCH-80)1⁄2</v>
      </c>
      <c r="B14" s="90">
        <v>2.0</v>
      </c>
      <c r="C14" s="92" t="s">
        <v>43</v>
      </c>
      <c r="D14" s="127">
        <v>15.0</v>
      </c>
      <c r="E14" s="112" t="s">
        <v>551</v>
      </c>
      <c r="F14" s="56">
        <v>110.0</v>
      </c>
      <c r="G14" s="76">
        <v>0.029325000000000004</v>
      </c>
      <c r="H14" s="58">
        <v>0.041</v>
      </c>
      <c r="I14" s="76">
        <f t="shared" si="15"/>
        <v>0.070325</v>
      </c>
      <c r="J14" s="84">
        <f t="shared" si="16"/>
        <v>1564.16637</v>
      </c>
      <c r="K14" s="85">
        <f t="shared" si="17"/>
        <v>3.665625</v>
      </c>
      <c r="L14" s="85">
        <f t="shared" si="18"/>
        <v>45.1</v>
      </c>
      <c r="M14" s="85">
        <f t="shared" si="19"/>
        <v>2.25568728</v>
      </c>
      <c r="N14" s="316">
        <f t="shared" si="20"/>
        <v>48.765625</v>
      </c>
      <c r="O14" s="88">
        <v>31.82</v>
      </c>
      <c r="P14" s="85">
        <f t="shared" si="21"/>
        <v>2.583787248</v>
      </c>
      <c r="Q14" s="318">
        <v>126.0</v>
      </c>
      <c r="R14" s="141">
        <f t="shared" si="22"/>
        <v>0.1454545455</v>
      </c>
      <c r="S14" s="20">
        <f>VLOOKUP(E14,'Brass Cost'!$A$11:$D766,4,0)</f>
        <v>42.64</v>
      </c>
      <c r="T14" s="85">
        <f t="shared" si="23"/>
        <v>3.650112144</v>
      </c>
      <c r="U14" s="319">
        <v>178.0</v>
      </c>
      <c r="V14" s="141">
        <f t="shared" si="24"/>
        <v>0.4126984127</v>
      </c>
      <c r="W14" s="75">
        <f t="shared" si="25"/>
        <v>0.04060952381</v>
      </c>
    </row>
    <row r="15" ht="15.75" customHeight="1">
      <c r="A15" s="67" t="str">
        <f t="shared" si="14"/>
        <v>Male Adapter Brass Threads (SCH-80)3⁄4</v>
      </c>
      <c r="B15" s="90">
        <v>3.0</v>
      </c>
      <c r="C15" s="92" t="s">
        <v>51</v>
      </c>
      <c r="D15" s="127">
        <v>20.0</v>
      </c>
      <c r="E15" s="112" t="s">
        <v>553</v>
      </c>
      <c r="F15" s="56">
        <v>174.0</v>
      </c>
      <c r="G15" s="76">
        <v>0.03625</v>
      </c>
      <c r="H15" s="58">
        <v>0.066</v>
      </c>
      <c r="I15" s="76">
        <f t="shared" si="15"/>
        <v>0.10225</v>
      </c>
      <c r="J15" s="84">
        <f t="shared" si="16"/>
        <v>1701.711491</v>
      </c>
      <c r="K15" s="85">
        <f t="shared" si="17"/>
        <v>4.53125</v>
      </c>
      <c r="L15" s="85">
        <f t="shared" si="18"/>
        <v>72.6</v>
      </c>
      <c r="M15" s="85">
        <f t="shared" si="19"/>
        <v>2.255894984</v>
      </c>
      <c r="N15" s="316">
        <f t="shared" si="20"/>
        <v>77.13125</v>
      </c>
      <c r="O15" s="88">
        <v>51.22</v>
      </c>
      <c r="P15" s="85">
        <f t="shared" si="21"/>
        <v>2.541123086</v>
      </c>
      <c r="Q15" s="318">
        <v>196.0</v>
      </c>
      <c r="R15" s="141">
        <f t="shared" si="22"/>
        <v>0.1264367816</v>
      </c>
      <c r="S15" s="20">
        <f>VLOOKUP(E15,'Brass Cost'!$A$11:$D766,4,0)</f>
        <v>68.64</v>
      </c>
      <c r="T15" s="85">
        <f t="shared" si="23"/>
        <v>3.604246009</v>
      </c>
      <c r="U15" s="319">
        <v>278.0</v>
      </c>
      <c r="V15" s="141">
        <f t="shared" si="24"/>
        <v>0.4183673469</v>
      </c>
      <c r="W15" s="75">
        <f t="shared" si="25"/>
        <v>0.06537142857</v>
      </c>
    </row>
    <row r="16" ht="15.75" customHeight="1">
      <c r="A16" s="67" t="str">
        <f t="shared" si="14"/>
        <v>Male Adapter Brass Threads (SCH-80)1</v>
      </c>
      <c r="B16" s="90">
        <v>4.0</v>
      </c>
      <c r="C16" s="92" t="s">
        <v>84</v>
      </c>
      <c r="D16" s="127">
        <v>25.0</v>
      </c>
      <c r="E16" s="112" t="s">
        <v>556</v>
      </c>
      <c r="F16" s="56">
        <v>242.0</v>
      </c>
      <c r="G16" s="76">
        <v>0.065</v>
      </c>
      <c r="H16" s="76">
        <v>0.09</v>
      </c>
      <c r="I16" s="76">
        <f t="shared" si="15"/>
        <v>0.155</v>
      </c>
      <c r="J16" s="84">
        <f t="shared" si="16"/>
        <v>1561.290323</v>
      </c>
      <c r="K16" s="85">
        <f t="shared" si="17"/>
        <v>8.125</v>
      </c>
      <c r="L16" s="85">
        <f t="shared" si="18"/>
        <v>99</v>
      </c>
      <c r="M16" s="85">
        <f t="shared" si="19"/>
        <v>2.259043174</v>
      </c>
      <c r="N16" s="316">
        <f t="shared" si="20"/>
        <v>107.125</v>
      </c>
      <c r="O16" s="88">
        <v>70.92</v>
      </c>
      <c r="P16" s="85">
        <f t="shared" si="21"/>
        <v>2.557759627</v>
      </c>
      <c r="Q16" s="318">
        <v>274.0</v>
      </c>
      <c r="R16" s="141">
        <f t="shared" si="22"/>
        <v>0.132231405</v>
      </c>
      <c r="S16" s="20">
        <f>VLOOKUP(E16,'Brass Cost'!$A$11:$D766,4,0)</f>
        <v>94.87</v>
      </c>
      <c r="T16" s="85">
        <f t="shared" si="23"/>
        <v>3.621936989</v>
      </c>
      <c r="U16" s="319">
        <v>388.0</v>
      </c>
      <c r="V16" s="141">
        <f t="shared" si="24"/>
        <v>0.4160583942</v>
      </c>
      <c r="W16" s="75">
        <f t="shared" si="25"/>
        <v>0.09035238095</v>
      </c>
    </row>
    <row r="17" ht="15.75" customHeight="1">
      <c r="A17" s="67" t="str">
        <f t="shared" si="14"/>
        <v>Male Adapter Brass Threads (SCH-80)1 1⁄4</v>
      </c>
      <c r="B17" s="90">
        <v>5.0</v>
      </c>
      <c r="C17" s="92" t="s">
        <v>55</v>
      </c>
      <c r="D17" s="127">
        <v>32.0</v>
      </c>
      <c r="E17" s="112" t="s">
        <v>559</v>
      </c>
      <c r="F17" s="56">
        <v>399.0</v>
      </c>
      <c r="G17" s="76">
        <v>0.07315</v>
      </c>
      <c r="H17" s="58">
        <v>0.155</v>
      </c>
      <c r="I17" s="76">
        <f t="shared" si="15"/>
        <v>0.22815</v>
      </c>
      <c r="J17" s="84">
        <f t="shared" si="16"/>
        <v>1748.849441</v>
      </c>
      <c r="K17" s="85">
        <f t="shared" si="17"/>
        <v>9.14375</v>
      </c>
      <c r="L17" s="85">
        <f t="shared" si="18"/>
        <v>170.5</v>
      </c>
      <c r="M17" s="85">
        <f t="shared" si="19"/>
        <v>2.22106252</v>
      </c>
      <c r="N17" s="316">
        <f t="shared" si="20"/>
        <v>179.64375</v>
      </c>
      <c r="O17" s="88">
        <v>121.5</v>
      </c>
      <c r="P17" s="85">
        <f t="shared" si="21"/>
        <v>2.493824583</v>
      </c>
      <c r="Q17" s="318">
        <v>448.0</v>
      </c>
      <c r="R17" s="141">
        <f t="shared" si="22"/>
        <v>0.1228070175</v>
      </c>
      <c r="S17" s="20">
        <f>VLOOKUP(E17,'Brass Cost'!$A$11:$D766,4,0)</f>
        <v>162.64</v>
      </c>
      <c r="T17" s="85">
        <f t="shared" si="23"/>
        <v>3.60713913</v>
      </c>
      <c r="U17" s="319">
        <v>648.0</v>
      </c>
      <c r="V17" s="141">
        <f t="shared" si="24"/>
        <v>0.4464285714</v>
      </c>
      <c r="W17" s="75">
        <f t="shared" si="25"/>
        <v>0.1548952381</v>
      </c>
    </row>
    <row r="18" ht="15.75" customHeight="1">
      <c r="A18" s="67" t="str">
        <f t="shared" si="14"/>
        <v>Male Adapter Brass Threads (SCH-80)1 1⁄2</v>
      </c>
      <c r="B18" s="90">
        <v>6.0</v>
      </c>
      <c r="C18" s="92" t="s">
        <v>56</v>
      </c>
      <c r="D18" s="127">
        <v>40.0</v>
      </c>
      <c r="E18" s="112" t="s">
        <v>562</v>
      </c>
      <c r="F18" s="56">
        <v>488.0</v>
      </c>
      <c r="G18" s="76">
        <v>0.09309999999999996</v>
      </c>
      <c r="H18" s="58">
        <v>0.171</v>
      </c>
      <c r="I18" s="76">
        <f t="shared" si="15"/>
        <v>0.2641</v>
      </c>
      <c r="J18" s="84">
        <f t="shared" si="16"/>
        <v>1847.78493</v>
      </c>
      <c r="K18" s="85">
        <f t="shared" si="17"/>
        <v>11.6375</v>
      </c>
      <c r="L18" s="85">
        <f t="shared" si="18"/>
        <v>188.1</v>
      </c>
      <c r="M18" s="85">
        <f t="shared" si="19"/>
        <v>2.443206709</v>
      </c>
      <c r="N18" s="316">
        <f t="shared" si="20"/>
        <v>199.7375</v>
      </c>
      <c r="O18" s="88">
        <v>134.1</v>
      </c>
      <c r="P18" s="85">
        <f t="shared" si="21"/>
        <v>2.733587834</v>
      </c>
      <c r="Q18" s="318">
        <v>546.0</v>
      </c>
      <c r="R18" s="141">
        <f t="shared" si="22"/>
        <v>0.118852459</v>
      </c>
      <c r="S18" s="20">
        <f>VLOOKUP(E18,'Brass Cost'!$A$11:$D766,4,0)</f>
        <v>179.49</v>
      </c>
      <c r="T18" s="85">
        <f t="shared" si="23"/>
        <v>3.634770636</v>
      </c>
      <c r="U18" s="319">
        <v>726.0</v>
      </c>
      <c r="V18" s="141">
        <f t="shared" si="24"/>
        <v>0.3296703297</v>
      </c>
      <c r="W18" s="75">
        <f t="shared" si="25"/>
        <v>0.1709428571</v>
      </c>
    </row>
    <row r="19" ht="15.75" customHeight="1">
      <c r="A19" s="67" t="str">
        <f t="shared" si="14"/>
        <v>Male Adapter Brass Threads (SCH-80)2</v>
      </c>
      <c r="B19" s="90">
        <v>7.0</v>
      </c>
      <c r="C19" s="92" t="s">
        <v>107</v>
      </c>
      <c r="D19" s="127">
        <v>50.0</v>
      </c>
      <c r="E19" s="112" t="s">
        <v>565</v>
      </c>
      <c r="F19" s="56">
        <v>799.0</v>
      </c>
      <c r="G19" s="76">
        <v>0.13689999999999997</v>
      </c>
      <c r="H19" s="58">
        <v>0.315</v>
      </c>
      <c r="I19" s="76">
        <f t="shared" si="15"/>
        <v>0.4519</v>
      </c>
      <c r="J19" s="84">
        <f t="shared" si="16"/>
        <v>1768.090285</v>
      </c>
      <c r="K19" s="85">
        <f t="shared" si="17"/>
        <v>17.1125</v>
      </c>
      <c r="L19" s="85">
        <f t="shared" si="18"/>
        <v>346.5</v>
      </c>
      <c r="M19" s="85">
        <f t="shared" si="19"/>
        <v>2.197394204</v>
      </c>
      <c r="N19" s="316">
        <f t="shared" si="20"/>
        <v>363.6125</v>
      </c>
      <c r="O19" s="88">
        <v>246.23</v>
      </c>
      <c r="P19" s="85">
        <f t="shared" si="21"/>
        <v>2.464161711</v>
      </c>
      <c r="Q19" s="318">
        <v>896.0</v>
      </c>
      <c r="R19" s="141">
        <f t="shared" si="22"/>
        <v>0.1214017522</v>
      </c>
      <c r="S19" s="20">
        <f>VLOOKUP(E19,'Brass Cost'!$A$11:$D766,4,0)</f>
        <v>329.71</v>
      </c>
      <c r="T19" s="85">
        <f t="shared" si="23"/>
        <v>3.630238234</v>
      </c>
      <c r="U19" s="319">
        <v>1320.0</v>
      </c>
      <c r="V19" s="141">
        <f t="shared" si="24"/>
        <v>0.4732142857</v>
      </c>
      <c r="W19" s="75">
        <f t="shared" si="25"/>
        <v>0.3140095238</v>
      </c>
    </row>
    <row r="20" ht="15.75" customHeight="1">
      <c r="A20" s="67" t="str">
        <f t="shared" si="14"/>
        <v>Male Adapter Brass Threads (SCH-80)1 x 1⁄2</v>
      </c>
      <c r="B20" s="90">
        <v>8.0</v>
      </c>
      <c r="C20" s="127" t="s">
        <v>352</v>
      </c>
      <c r="D20" s="127" t="s">
        <v>353</v>
      </c>
      <c r="E20" s="112" t="s">
        <v>552</v>
      </c>
      <c r="F20" s="56">
        <v>114.0</v>
      </c>
      <c r="G20" s="76">
        <v>0.042</v>
      </c>
      <c r="H20" s="58">
        <v>0.041</v>
      </c>
      <c r="I20" s="76">
        <f t="shared" si="15"/>
        <v>0.083</v>
      </c>
      <c r="J20" s="84">
        <f t="shared" si="16"/>
        <v>1373.493976</v>
      </c>
      <c r="K20" s="85">
        <f t="shared" si="17"/>
        <v>5.25</v>
      </c>
      <c r="L20" s="85">
        <f t="shared" si="18"/>
        <v>45.1</v>
      </c>
      <c r="M20" s="85">
        <f t="shared" si="19"/>
        <v>2.264150943</v>
      </c>
      <c r="N20" s="316">
        <f t="shared" si="20"/>
        <v>50.35</v>
      </c>
      <c r="O20" s="88">
        <v>31.82</v>
      </c>
      <c r="P20" s="85">
        <f t="shared" si="21"/>
        <v>2.542204568</v>
      </c>
      <c r="Q20" s="318">
        <v>128.0</v>
      </c>
      <c r="R20" s="141">
        <f t="shared" si="22"/>
        <v>0.1228070175</v>
      </c>
      <c r="S20" s="20">
        <f>VLOOKUP(E20,'Brass Cost'!$A$11:$D766,4,0)</f>
        <v>42.64</v>
      </c>
      <c r="T20" s="85">
        <f t="shared" si="23"/>
        <v>3.654419067</v>
      </c>
      <c r="U20" s="319">
        <v>184.0</v>
      </c>
      <c r="V20" s="141">
        <f t="shared" si="24"/>
        <v>0.4375</v>
      </c>
      <c r="W20" s="75">
        <f t="shared" si="25"/>
        <v>0.04060952381</v>
      </c>
    </row>
    <row r="21">
      <c r="A21" s="34"/>
      <c r="B21" s="237" t="s">
        <v>11</v>
      </c>
      <c r="C21" s="45"/>
      <c r="D21" s="45"/>
      <c r="E21" s="46"/>
      <c r="F21" s="103">
        <f>SUM(F13:F20)</f>
        <v>2438.5</v>
      </c>
      <c r="G21" s="250"/>
      <c r="H21" s="243"/>
      <c r="I21" s="243"/>
      <c r="J21" s="243"/>
      <c r="K21" s="85"/>
      <c r="L21" s="85"/>
      <c r="M21" s="85" t="str">
        <f t="shared" ref="M21:M23" si="26">IFERROR(F21/#REF!,"")</f>
        <v/>
      </c>
      <c r="N21" s="316"/>
      <c r="O21" s="307"/>
      <c r="P21" s="85"/>
      <c r="Q21" s="15"/>
      <c r="R21" s="15"/>
      <c r="S21" s="15"/>
      <c r="T21" s="15"/>
      <c r="U21" s="85"/>
      <c r="V21" s="243"/>
      <c r="W21" s="15"/>
    </row>
    <row r="22" ht="5.25" customHeight="1">
      <c r="A22" s="34"/>
      <c r="B22" s="15"/>
      <c r="C22" s="15"/>
      <c r="D22" s="15"/>
      <c r="E22" s="17"/>
      <c r="F22" s="15"/>
      <c r="G22" s="250"/>
      <c r="H22" s="243"/>
      <c r="I22" s="243"/>
      <c r="J22" s="243"/>
      <c r="K22" s="85"/>
      <c r="L22" s="85"/>
      <c r="M22" s="85" t="str">
        <f t="shared" si="26"/>
        <v/>
      </c>
      <c r="N22" s="316"/>
      <c r="O22" s="307"/>
      <c r="P22" s="85"/>
      <c r="Q22" s="15"/>
      <c r="R22" s="15"/>
      <c r="S22" s="15"/>
      <c r="T22" s="15"/>
      <c r="U22" s="85"/>
      <c r="V22" s="243"/>
      <c r="W22" s="15"/>
    </row>
    <row r="23" ht="25.5" customHeight="1">
      <c r="A23" s="34"/>
      <c r="B23" s="62" t="s">
        <v>1199</v>
      </c>
      <c r="C23" s="45"/>
      <c r="D23" s="45"/>
      <c r="E23" s="45"/>
      <c r="F23" s="46"/>
      <c r="G23" s="250"/>
      <c r="H23" s="243"/>
      <c r="I23" s="243"/>
      <c r="J23" s="243"/>
      <c r="K23" s="85"/>
      <c r="L23" s="85"/>
      <c r="M23" s="85" t="str">
        <f t="shared" si="26"/>
        <v/>
      </c>
      <c r="N23" s="316"/>
      <c r="O23" s="307"/>
      <c r="P23" s="85"/>
      <c r="Q23" s="15"/>
      <c r="R23" s="15"/>
      <c r="S23" s="15"/>
      <c r="T23" s="15"/>
      <c r="U23" s="85"/>
      <c r="V23" s="243"/>
      <c r="W23" s="15"/>
    </row>
    <row r="24" ht="15.75" customHeight="1">
      <c r="A24" s="67" t="str">
        <f t="shared" ref="A24:A31" si="27">$B$23&amp;C24</f>
        <v>Female Adapter Brass Threads (SCH-80)1⁄2</v>
      </c>
      <c r="B24" s="68">
        <v>1.0</v>
      </c>
      <c r="C24" s="70" t="s">
        <v>43</v>
      </c>
      <c r="D24" s="110">
        <v>15.0</v>
      </c>
      <c r="E24" s="111" t="s">
        <v>504</v>
      </c>
      <c r="F24" s="56">
        <v>58.0</v>
      </c>
      <c r="G24" s="76">
        <v>0.027</v>
      </c>
      <c r="H24" s="76">
        <v>0.019</v>
      </c>
      <c r="I24" s="76">
        <f t="shared" ref="I24:I31" si="28">G24+H24</f>
        <v>0.046</v>
      </c>
      <c r="J24" s="84">
        <f t="shared" ref="J24:J31" si="29">IFERROR(F24/I24,"")</f>
        <v>1260.869565</v>
      </c>
      <c r="K24" s="85">
        <f t="shared" ref="K24:K31" si="30">IFERROR(G24*100,)</f>
        <v>2.7</v>
      </c>
      <c r="L24" s="85">
        <f t="shared" ref="L24:L31" si="31">IFERROR(H24*$L$3,)</f>
        <v>20.9</v>
      </c>
      <c r="M24" s="85">
        <f t="shared" ref="M24:M31" si="32">IFERROR(F24/SUM(K24:L24),"")</f>
        <v>2.457627119</v>
      </c>
      <c r="N24" s="316">
        <f t="shared" ref="N24:N31" si="33">IFERROR(SUM(K24:L24),"")</f>
        <v>23.6</v>
      </c>
      <c r="O24" s="88">
        <v>14.18</v>
      </c>
      <c r="P24" s="85">
        <f t="shared" ref="P24:P31" si="34">IFERROR(Q24/N24,"")</f>
        <v>2.796610169</v>
      </c>
      <c r="Q24" s="318">
        <v>66.0</v>
      </c>
      <c r="R24" s="141">
        <f t="shared" ref="R24:R31" si="35">IFERROR(Q24-F24,"")/F24</f>
        <v>0.1379310345</v>
      </c>
      <c r="S24" s="20">
        <f>VLOOKUP(E24,'Brass Cost'!$A$11:$D766,4,0)</f>
        <v>19.76</v>
      </c>
      <c r="T24" s="85">
        <f t="shared" ref="T24:T31" si="36">IFERROR(U24/N24,"")</f>
        <v>3.644067797</v>
      </c>
      <c r="U24" s="319">
        <v>86.0</v>
      </c>
      <c r="V24" s="141">
        <f t="shared" ref="V24:V31" si="37">IFERROR(U24-Q24,"")/Q24</f>
        <v>0.303030303</v>
      </c>
      <c r="W24" s="75">
        <f t="shared" ref="W24:W31" si="38">IFERROR(S24/1050,"")</f>
        <v>0.01881904762</v>
      </c>
    </row>
    <row r="25" ht="15.75" customHeight="1">
      <c r="A25" s="67" t="str">
        <f t="shared" si="27"/>
        <v>Female Adapter Brass Threads (SCH-80)3⁄4</v>
      </c>
      <c r="B25" s="90">
        <v>2.0</v>
      </c>
      <c r="C25" s="92" t="s">
        <v>51</v>
      </c>
      <c r="D25" s="127">
        <v>20.0</v>
      </c>
      <c r="E25" s="112" t="s">
        <v>514</v>
      </c>
      <c r="F25" s="56">
        <v>114.0</v>
      </c>
      <c r="G25" s="76">
        <v>0.0285</v>
      </c>
      <c r="H25" s="76">
        <v>0.043</v>
      </c>
      <c r="I25" s="76">
        <f t="shared" si="28"/>
        <v>0.0715</v>
      </c>
      <c r="J25" s="84">
        <f t="shared" si="29"/>
        <v>1594.405594</v>
      </c>
      <c r="K25" s="85">
        <f t="shared" si="30"/>
        <v>2.85</v>
      </c>
      <c r="L25" s="85">
        <f t="shared" si="31"/>
        <v>47.3</v>
      </c>
      <c r="M25" s="85">
        <f t="shared" si="32"/>
        <v>2.273180459</v>
      </c>
      <c r="N25" s="316">
        <f t="shared" si="33"/>
        <v>50.15</v>
      </c>
      <c r="O25" s="88">
        <v>32.89</v>
      </c>
      <c r="P25" s="85">
        <f t="shared" si="34"/>
        <v>2.552342971</v>
      </c>
      <c r="Q25" s="318">
        <v>128.0</v>
      </c>
      <c r="R25" s="141">
        <f t="shared" si="35"/>
        <v>0.1228070175</v>
      </c>
      <c r="S25" s="20">
        <f>VLOOKUP(E25,'Brass Cost'!$A$11:$D766,4,0)</f>
        <v>44.03</v>
      </c>
      <c r="T25" s="85">
        <f t="shared" si="36"/>
        <v>3.668993021</v>
      </c>
      <c r="U25" s="319">
        <v>184.0</v>
      </c>
      <c r="V25" s="141">
        <f t="shared" si="37"/>
        <v>0.4375</v>
      </c>
      <c r="W25" s="75">
        <f t="shared" si="38"/>
        <v>0.04193333333</v>
      </c>
    </row>
    <row r="26" ht="15.75" customHeight="1">
      <c r="A26" s="67" t="str">
        <f t="shared" si="27"/>
        <v>Female Adapter Brass Threads (SCH-80)1</v>
      </c>
      <c r="B26" s="90">
        <v>3.0</v>
      </c>
      <c r="C26" s="92" t="s">
        <v>84</v>
      </c>
      <c r="D26" s="127">
        <v>25.0</v>
      </c>
      <c r="E26" s="112" t="s">
        <v>519</v>
      </c>
      <c r="F26" s="56">
        <v>174.0</v>
      </c>
      <c r="G26" s="76">
        <v>0.062</v>
      </c>
      <c r="H26" s="76">
        <v>0.059</v>
      </c>
      <c r="I26" s="76">
        <f t="shared" si="28"/>
        <v>0.121</v>
      </c>
      <c r="J26" s="84">
        <f t="shared" si="29"/>
        <v>1438.016529</v>
      </c>
      <c r="K26" s="85">
        <f t="shared" si="30"/>
        <v>6.2</v>
      </c>
      <c r="L26" s="85">
        <f t="shared" si="31"/>
        <v>64.9</v>
      </c>
      <c r="M26" s="85">
        <f t="shared" si="32"/>
        <v>2.447257384</v>
      </c>
      <c r="N26" s="316">
        <f t="shared" si="33"/>
        <v>71.1</v>
      </c>
      <c r="O26" s="88">
        <v>50.05</v>
      </c>
      <c r="P26" s="85">
        <f t="shared" si="34"/>
        <v>2.756680731</v>
      </c>
      <c r="Q26" s="318">
        <v>196.0</v>
      </c>
      <c r="R26" s="141">
        <f t="shared" si="35"/>
        <v>0.1264367816</v>
      </c>
      <c r="S26" s="20">
        <f>VLOOKUP(E26,'Brass Cost'!$A$11:$D766,4,0)</f>
        <v>67.02</v>
      </c>
      <c r="T26" s="85">
        <f t="shared" si="36"/>
        <v>3.628691983</v>
      </c>
      <c r="U26" s="319">
        <v>258.0</v>
      </c>
      <c r="V26" s="141">
        <f t="shared" si="37"/>
        <v>0.3163265306</v>
      </c>
      <c r="W26" s="75">
        <f t="shared" si="38"/>
        <v>0.06382857143</v>
      </c>
    </row>
    <row r="27" ht="15.75" customHeight="1">
      <c r="A27" s="67" t="str">
        <f t="shared" si="27"/>
        <v>Female Adapter Brass Threads (SCH-80)1 1⁄4</v>
      </c>
      <c r="B27" s="90">
        <v>4.0</v>
      </c>
      <c r="C27" s="92" t="s">
        <v>55</v>
      </c>
      <c r="D27" s="127">
        <v>32.0</v>
      </c>
      <c r="E27" s="112" t="s">
        <v>568</v>
      </c>
      <c r="F27" s="56">
        <v>298.0</v>
      </c>
      <c r="G27" s="76">
        <v>0.08020000000000001</v>
      </c>
      <c r="H27" s="58">
        <v>0.112</v>
      </c>
      <c r="I27" s="76">
        <f t="shared" si="28"/>
        <v>0.1922</v>
      </c>
      <c r="J27" s="84">
        <f t="shared" si="29"/>
        <v>1550.468262</v>
      </c>
      <c r="K27" s="85">
        <f t="shared" si="30"/>
        <v>8.02</v>
      </c>
      <c r="L27" s="85">
        <f t="shared" si="31"/>
        <v>123.2</v>
      </c>
      <c r="M27" s="85">
        <f t="shared" si="32"/>
        <v>2.270995275</v>
      </c>
      <c r="N27" s="316">
        <f t="shared" si="33"/>
        <v>131.22</v>
      </c>
      <c r="O27" s="88">
        <v>88.13</v>
      </c>
      <c r="P27" s="85">
        <f t="shared" si="34"/>
        <v>2.575826856</v>
      </c>
      <c r="Q27" s="318">
        <v>338.0</v>
      </c>
      <c r="R27" s="141">
        <f t="shared" si="35"/>
        <v>0.1342281879</v>
      </c>
      <c r="S27" s="20">
        <f>VLOOKUP(E27,'Brass Cost'!$A$11:$D766,4,0)</f>
        <v>117.92</v>
      </c>
      <c r="T27" s="85">
        <f t="shared" si="36"/>
        <v>3.566529492</v>
      </c>
      <c r="U27" s="319">
        <v>468.0</v>
      </c>
      <c r="V27" s="141">
        <f t="shared" si="37"/>
        <v>0.3846153846</v>
      </c>
      <c r="W27" s="75">
        <f t="shared" si="38"/>
        <v>0.1123047619</v>
      </c>
    </row>
    <row r="28" ht="15.75" customHeight="1">
      <c r="A28" s="67" t="str">
        <f t="shared" si="27"/>
        <v>Female Adapter Brass Threads (SCH-80)1 1⁄2</v>
      </c>
      <c r="B28" s="90">
        <v>5.0</v>
      </c>
      <c r="C28" s="92" t="s">
        <v>56</v>
      </c>
      <c r="D28" s="127">
        <v>40.0</v>
      </c>
      <c r="E28" s="112" t="s">
        <v>571</v>
      </c>
      <c r="F28" s="56">
        <v>468.0</v>
      </c>
      <c r="G28" s="76">
        <v>0.10940000000000001</v>
      </c>
      <c r="H28" s="58">
        <v>0.182</v>
      </c>
      <c r="I28" s="76">
        <f t="shared" si="28"/>
        <v>0.2914</v>
      </c>
      <c r="J28" s="84">
        <f t="shared" si="29"/>
        <v>1606.039808</v>
      </c>
      <c r="K28" s="85">
        <f t="shared" si="30"/>
        <v>10.94</v>
      </c>
      <c r="L28" s="85">
        <f t="shared" si="31"/>
        <v>200.2</v>
      </c>
      <c r="M28" s="85">
        <f t="shared" si="32"/>
        <v>2.216538789</v>
      </c>
      <c r="N28" s="316">
        <f t="shared" si="33"/>
        <v>211.14</v>
      </c>
      <c r="O28" s="88">
        <v>142.63</v>
      </c>
      <c r="P28" s="85">
        <f t="shared" si="34"/>
        <v>2.529127593</v>
      </c>
      <c r="Q28" s="318">
        <v>534.0</v>
      </c>
      <c r="R28" s="141">
        <f t="shared" si="35"/>
        <v>0.141025641</v>
      </c>
      <c r="S28" s="20">
        <f>VLOOKUP(E28,'Brass Cost'!$A$11:$D766,4,0)</f>
        <v>190.93</v>
      </c>
      <c r="T28" s="85">
        <f t="shared" si="36"/>
        <v>3.618452212</v>
      </c>
      <c r="U28" s="319">
        <v>764.0</v>
      </c>
      <c r="V28" s="141">
        <f t="shared" si="37"/>
        <v>0.4307116105</v>
      </c>
      <c r="W28" s="75">
        <f t="shared" si="38"/>
        <v>0.1818380952</v>
      </c>
    </row>
    <row r="29" ht="15.75" customHeight="1">
      <c r="A29" s="67" t="str">
        <f t="shared" si="27"/>
        <v>Female Adapter Brass Threads (SCH-80)2</v>
      </c>
      <c r="B29" s="90">
        <v>6.0</v>
      </c>
      <c r="C29" s="92" t="s">
        <v>107</v>
      </c>
      <c r="D29" s="127">
        <v>50.0</v>
      </c>
      <c r="E29" s="112" t="s">
        <v>574</v>
      </c>
      <c r="F29" s="56">
        <v>658.0</v>
      </c>
      <c r="G29" s="76">
        <v>0.1575</v>
      </c>
      <c r="H29" s="58">
        <v>0.249</v>
      </c>
      <c r="I29" s="76">
        <f t="shared" si="28"/>
        <v>0.4065</v>
      </c>
      <c r="J29" s="84">
        <f t="shared" si="29"/>
        <v>1618.696187</v>
      </c>
      <c r="K29" s="85">
        <f t="shared" si="30"/>
        <v>15.75</v>
      </c>
      <c r="L29" s="85">
        <f t="shared" si="31"/>
        <v>273.9</v>
      </c>
      <c r="M29" s="85">
        <f t="shared" si="32"/>
        <v>2.271707233</v>
      </c>
      <c r="N29" s="316">
        <f t="shared" si="33"/>
        <v>289.65</v>
      </c>
      <c r="O29" s="88">
        <v>195.01</v>
      </c>
      <c r="P29" s="85">
        <f t="shared" si="34"/>
        <v>2.582427067</v>
      </c>
      <c r="Q29" s="318">
        <v>748.0</v>
      </c>
      <c r="R29" s="141">
        <f t="shared" si="35"/>
        <v>0.1367781155</v>
      </c>
      <c r="S29" s="20">
        <f>VLOOKUP(E29,'Brass Cost'!$A$11:$D766,4,0)</f>
        <v>261.07</v>
      </c>
      <c r="T29" s="85">
        <f t="shared" si="36"/>
        <v>3.618159848</v>
      </c>
      <c r="U29" s="319">
        <v>1048.0</v>
      </c>
      <c r="V29" s="141">
        <f t="shared" si="37"/>
        <v>0.4010695187</v>
      </c>
      <c r="W29" s="75">
        <f t="shared" si="38"/>
        <v>0.2486380952</v>
      </c>
    </row>
    <row r="30" ht="15.75" customHeight="1">
      <c r="A30" s="67" t="str">
        <f t="shared" si="27"/>
        <v>Female Adapter Brass Threads (SCH-80)3⁄4 x 1⁄2</v>
      </c>
      <c r="B30" s="90">
        <v>7.0</v>
      </c>
      <c r="C30" s="127" t="s">
        <v>144</v>
      </c>
      <c r="D30" s="127" t="s">
        <v>145</v>
      </c>
      <c r="E30" s="112" t="s">
        <v>506</v>
      </c>
      <c r="F30" s="56">
        <v>68.0</v>
      </c>
      <c r="G30" s="76">
        <v>0.03025</v>
      </c>
      <c r="H30" s="76">
        <v>0.019</v>
      </c>
      <c r="I30" s="76">
        <f t="shared" si="28"/>
        <v>0.04925</v>
      </c>
      <c r="J30" s="84">
        <f t="shared" si="29"/>
        <v>1380.71066</v>
      </c>
      <c r="K30" s="85">
        <f t="shared" si="30"/>
        <v>3.025</v>
      </c>
      <c r="L30" s="85">
        <f t="shared" si="31"/>
        <v>20.9</v>
      </c>
      <c r="M30" s="85">
        <f t="shared" si="32"/>
        <v>2.842215256</v>
      </c>
      <c r="N30" s="316">
        <f t="shared" si="33"/>
        <v>23.925</v>
      </c>
      <c r="O30" s="88">
        <v>14.18</v>
      </c>
      <c r="P30" s="85">
        <f t="shared" si="34"/>
        <v>3.260188088</v>
      </c>
      <c r="Q30" s="318">
        <v>78.0</v>
      </c>
      <c r="R30" s="141">
        <f t="shared" si="35"/>
        <v>0.1470588235</v>
      </c>
      <c r="S30" s="20">
        <f>VLOOKUP(E30,'Brass Cost'!$A$11:$D766,4,0)</f>
        <v>19.76</v>
      </c>
      <c r="T30" s="85">
        <f t="shared" si="36"/>
        <v>3.67816092</v>
      </c>
      <c r="U30" s="319">
        <v>88.0</v>
      </c>
      <c r="V30" s="141">
        <f t="shared" si="37"/>
        <v>0.1282051282</v>
      </c>
      <c r="W30" s="75">
        <f t="shared" si="38"/>
        <v>0.01881904762</v>
      </c>
    </row>
    <row r="31" ht="15.75" customHeight="1">
      <c r="A31" s="67" t="str">
        <f t="shared" si="27"/>
        <v>Female Adapter Brass Threads (SCH-80)1 x 1⁄2</v>
      </c>
      <c r="B31" s="90">
        <v>8.0</v>
      </c>
      <c r="C31" s="127" t="s">
        <v>352</v>
      </c>
      <c r="D31" s="127" t="s">
        <v>353</v>
      </c>
      <c r="E31" s="112" t="s">
        <v>507</v>
      </c>
      <c r="F31" s="56">
        <v>74.0</v>
      </c>
      <c r="G31" s="76">
        <v>0.04</v>
      </c>
      <c r="H31" s="76">
        <v>0.019</v>
      </c>
      <c r="I31" s="76">
        <f t="shared" si="28"/>
        <v>0.059</v>
      </c>
      <c r="J31" s="84">
        <f t="shared" si="29"/>
        <v>1254.237288</v>
      </c>
      <c r="K31" s="85">
        <f t="shared" si="30"/>
        <v>4</v>
      </c>
      <c r="L31" s="85">
        <f t="shared" si="31"/>
        <v>20.9</v>
      </c>
      <c r="M31" s="85">
        <f t="shared" si="32"/>
        <v>2.97188755</v>
      </c>
      <c r="N31" s="316">
        <f t="shared" si="33"/>
        <v>24.9</v>
      </c>
      <c r="O31" s="88">
        <v>14.18</v>
      </c>
      <c r="P31" s="85">
        <f t="shared" si="34"/>
        <v>3.325301205</v>
      </c>
      <c r="Q31" s="318">
        <v>82.8</v>
      </c>
      <c r="R31" s="141">
        <f t="shared" si="35"/>
        <v>0.1189189189</v>
      </c>
      <c r="S31" s="20">
        <f>VLOOKUP(E31,'Brass Cost'!$A$11:$D766,4,0)</f>
        <v>19.76</v>
      </c>
      <c r="T31" s="85">
        <f t="shared" si="36"/>
        <v>3.694779116</v>
      </c>
      <c r="U31" s="319">
        <v>92.0</v>
      </c>
      <c r="V31" s="141">
        <f t="shared" si="37"/>
        <v>0.1111111111</v>
      </c>
      <c r="W31" s="75">
        <f t="shared" si="38"/>
        <v>0.01881904762</v>
      </c>
    </row>
    <row r="32">
      <c r="A32" s="34"/>
      <c r="B32" s="237" t="s">
        <v>11</v>
      </c>
      <c r="C32" s="45"/>
      <c r="D32" s="45"/>
      <c r="E32" s="46"/>
      <c r="F32" s="103">
        <f>SUM(F24:F31)</f>
        <v>1912</v>
      </c>
      <c r="G32" s="250"/>
      <c r="H32" s="243"/>
      <c r="I32" s="243"/>
      <c r="J32" s="243"/>
      <c r="K32" s="85"/>
      <c r="L32" s="85"/>
      <c r="M32" s="85" t="str">
        <f t="shared" ref="M32:M34" si="39">IFERROR(F32/#REF!,"")</f>
        <v/>
      </c>
      <c r="N32" s="316"/>
      <c r="O32" s="307"/>
      <c r="P32" s="85"/>
      <c r="Q32" s="15"/>
      <c r="R32" s="15"/>
      <c r="S32" s="15"/>
      <c r="T32" s="15"/>
      <c r="U32" s="85"/>
      <c r="V32" s="243"/>
      <c r="W32" s="15"/>
    </row>
    <row r="33" ht="6.0" customHeight="1">
      <c r="A33" s="34"/>
      <c r="B33" s="15"/>
      <c r="C33" s="15"/>
      <c r="D33" s="15"/>
      <c r="E33" s="17"/>
      <c r="F33" s="15"/>
      <c r="G33" s="250"/>
      <c r="H33" s="243"/>
      <c r="I33" s="243"/>
      <c r="J33" s="243"/>
      <c r="K33" s="85"/>
      <c r="L33" s="85"/>
      <c r="M33" s="85" t="str">
        <f t="shared" si="39"/>
        <v/>
      </c>
      <c r="N33" s="316"/>
      <c r="O33" s="307"/>
      <c r="P33" s="85"/>
      <c r="Q33" s="15"/>
      <c r="R33" s="15"/>
      <c r="S33" s="15"/>
      <c r="T33" s="15"/>
      <c r="U33" s="85"/>
      <c r="V33" s="243"/>
      <c r="W33" s="15"/>
    </row>
    <row r="34" ht="22.5" customHeight="1">
      <c r="A34" s="34"/>
      <c r="B34" s="62" t="s">
        <v>1233</v>
      </c>
      <c r="C34" s="45"/>
      <c r="D34" s="45"/>
      <c r="E34" s="45"/>
      <c r="F34" s="46"/>
      <c r="G34" s="250"/>
      <c r="H34" s="243"/>
      <c r="I34" s="243"/>
      <c r="J34" s="243"/>
      <c r="K34" s="85"/>
      <c r="L34" s="85"/>
      <c r="M34" s="85" t="str">
        <f t="shared" si="39"/>
        <v/>
      </c>
      <c r="N34" s="316"/>
      <c r="O34" s="307"/>
      <c r="P34" s="85"/>
      <c r="Q34" s="15"/>
      <c r="R34" s="15"/>
      <c r="S34" s="15"/>
      <c r="T34" s="15"/>
      <c r="U34" s="85"/>
      <c r="V34" s="243"/>
      <c r="W34" s="15"/>
    </row>
    <row r="35" ht="15.75" customHeight="1">
      <c r="A35" s="67" t="str">
        <f t="shared" ref="A35:A38" si="40">$B$34&amp;C35</f>
        <v>Reducer Brass Tee (SCH-80)1⁄2 x 1⁄2 x 1⁄2</v>
      </c>
      <c r="B35" s="68">
        <v>1.0</v>
      </c>
      <c r="C35" s="110" t="s">
        <v>428</v>
      </c>
      <c r="D35" s="110" t="s">
        <v>429</v>
      </c>
      <c r="E35" s="111" t="s">
        <v>501</v>
      </c>
      <c r="F35" s="56">
        <v>88.0</v>
      </c>
      <c r="G35" s="76">
        <v>0.044</v>
      </c>
      <c r="H35" s="76">
        <v>0.019</v>
      </c>
      <c r="I35" s="76">
        <f t="shared" ref="I35:I38" si="41">G35+H35</f>
        <v>0.063</v>
      </c>
      <c r="J35" s="84">
        <f t="shared" ref="J35:J38" si="42">IFERROR(F35/I35,"")</f>
        <v>1396.825397</v>
      </c>
      <c r="K35" s="85">
        <f t="shared" ref="K35:K38" si="43">IFERROR(G35*$K$3,)</f>
        <v>5.5</v>
      </c>
      <c r="L35" s="85">
        <f t="shared" ref="L35:L38" si="44">IFERROR(H35*$L$3,)</f>
        <v>20.9</v>
      </c>
      <c r="M35" s="85">
        <f t="shared" ref="M35:M38" si="45">IFERROR(F35/SUM(K35:L35),"")</f>
        <v>3.333333333</v>
      </c>
      <c r="N35" s="316">
        <f t="shared" ref="N35:N38" si="46">IFERROR(SUM(K35:L35),"")</f>
        <v>26.4</v>
      </c>
      <c r="O35" s="88">
        <v>14.18</v>
      </c>
      <c r="P35" s="85">
        <f t="shared" ref="P35:P38" si="47">IFERROR(Q35/N35,"")</f>
        <v>3.560606061</v>
      </c>
      <c r="Q35" s="318">
        <v>94.0</v>
      </c>
      <c r="R35" s="141">
        <f t="shared" ref="R35:R38" si="48">IFERROR(Q35-F35,"")/F35</f>
        <v>0.06818181818</v>
      </c>
      <c r="S35" s="20">
        <f>VLOOKUP(E35,'Brass Cost'!$A$11:$D766,4,0)</f>
        <v>19.76</v>
      </c>
      <c r="T35" s="85">
        <f t="shared" ref="T35:T38" si="49">IFERROR(U35/N35,"")</f>
        <v>3.712121212</v>
      </c>
      <c r="U35" s="319">
        <v>98.0</v>
      </c>
      <c r="V35" s="141">
        <f t="shared" ref="V35:V38" si="50">IFERROR(U35-Q35,"")/Q35</f>
        <v>0.04255319149</v>
      </c>
      <c r="W35" s="75">
        <f t="shared" ref="W35:W38" si="51">IFERROR(S35/1050,"")</f>
        <v>0.01881904762</v>
      </c>
    </row>
    <row r="36" ht="15.75" customHeight="1">
      <c r="A36" s="67" t="str">
        <f t="shared" si="40"/>
        <v>Reducer Brass Tee (SCH-80)3⁄4 x 3⁄4 x 1⁄2</v>
      </c>
      <c r="B36" s="90">
        <v>2.0</v>
      </c>
      <c r="C36" s="152" t="s">
        <v>204</v>
      </c>
      <c r="D36" s="152" t="s">
        <v>205</v>
      </c>
      <c r="E36" s="112" t="s">
        <v>502</v>
      </c>
      <c r="F36" s="56">
        <v>108.0</v>
      </c>
      <c r="G36" s="76">
        <v>0.06112000000000001</v>
      </c>
      <c r="H36" s="76">
        <v>0.019</v>
      </c>
      <c r="I36" s="76">
        <f t="shared" si="41"/>
        <v>0.08012</v>
      </c>
      <c r="J36" s="84">
        <f t="shared" si="42"/>
        <v>1347.978033</v>
      </c>
      <c r="K36" s="85">
        <f t="shared" si="43"/>
        <v>7.64</v>
      </c>
      <c r="L36" s="85">
        <f t="shared" si="44"/>
        <v>20.9</v>
      </c>
      <c r="M36" s="85">
        <f t="shared" si="45"/>
        <v>3.784162579</v>
      </c>
      <c r="N36" s="316">
        <f t="shared" si="46"/>
        <v>28.54</v>
      </c>
      <c r="O36" s="88">
        <v>14.18</v>
      </c>
      <c r="P36" s="85">
        <f t="shared" si="47"/>
        <v>3.924316748</v>
      </c>
      <c r="Q36" s="318">
        <v>112.0</v>
      </c>
      <c r="R36" s="141">
        <f t="shared" si="48"/>
        <v>0.03703703704</v>
      </c>
      <c r="S36" s="20">
        <f>VLOOKUP(E36,'Brass Cost'!$A$11:$D766,4,0)</f>
        <v>19.76</v>
      </c>
      <c r="T36" s="85">
        <f t="shared" si="49"/>
        <v>3.924316748</v>
      </c>
      <c r="U36" s="319">
        <v>112.0</v>
      </c>
      <c r="V36" s="141">
        <f t="shared" si="50"/>
        <v>0</v>
      </c>
      <c r="W36" s="75">
        <f t="shared" si="51"/>
        <v>0.01881904762</v>
      </c>
    </row>
    <row r="37" ht="15.75" customHeight="1">
      <c r="A37" s="67" t="str">
        <f t="shared" si="40"/>
        <v>Reducer Brass Tee (SCH-80)1 x 1 x 1⁄2</v>
      </c>
      <c r="B37" s="90">
        <v>3.0</v>
      </c>
      <c r="C37" s="152" t="s">
        <v>439</v>
      </c>
      <c r="D37" s="152" t="s">
        <v>440</v>
      </c>
      <c r="E37" s="112" t="s">
        <v>503</v>
      </c>
      <c r="F37" s="56">
        <v>138.0</v>
      </c>
      <c r="G37" s="76">
        <v>0.09</v>
      </c>
      <c r="H37" s="76">
        <v>0.019</v>
      </c>
      <c r="I37" s="76">
        <f t="shared" si="41"/>
        <v>0.109</v>
      </c>
      <c r="J37" s="84">
        <f t="shared" si="42"/>
        <v>1266.055046</v>
      </c>
      <c r="K37" s="85">
        <f t="shared" si="43"/>
        <v>11.25</v>
      </c>
      <c r="L37" s="85">
        <f t="shared" si="44"/>
        <v>20.9</v>
      </c>
      <c r="M37" s="85">
        <f t="shared" si="45"/>
        <v>4.292379471</v>
      </c>
      <c r="N37" s="316">
        <f t="shared" si="46"/>
        <v>32.15</v>
      </c>
      <c r="O37" s="88">
        <v>14.18</v>
      </c>
      <c r="P37" s="85">
        <f t="shared" si="47"/>
        <v>4.479004666</v>
      </c>
      <c r="Q37" s="318">
        <v>144.0</v>
      </c>
      <c r="R37" s="141">
        <f t="shared" si="48"/>
        <v>0.04347826087</v>
      </c>
      <c r="S37" s="20">
        <f>VLOOKUP(E37,'Brass Cost'!$A$11:$D766,4,0)</f>
        <v>19.76</v>
      </c>
      <c r="T37" s="85">
        <f t="shared" si="49"/>
        <v>4.292379471</v>
      </c>
      <c r="U37" s="319">
        <v>138.0</v>
      </c>
      <c r="V37" s="141">
        <f t="shared" si="50"/>
        <v>-0.04166666667</v>
      </c>
      <c r="W37" s="75">
        <f t="shared" si="51"/>
        <v>0.01881904762</v>
      </c>
    </row>
    <row r="38" ht="15.75" customHeight="1">
      <c r="A38" s="67" t="str">
        <f t="shared" si="40"/>
        <v>Reducer Brass Tee (SCH-80)1 x 1 x 3⁄4</v>
      </c>
      <c r="B38" s="90">
        <v>4.0</v>
      </c>
      <c r="C38" s="152" t="s">
        <v>209</v>
      </c>
      <c r="D38" s="152" t="s">
        <v>210</v>
      </c>
      <c r="E38" s="112" t="s">
        <v>513</v>
      </c>
      <c r="F38" s="56">
        <v>204.0</v>
      </c>
      <c r="G38" s="76">
        <v>0.0865</v>
      </c>
      <c r="H38" s="58">
        <v>0.043</v>
      </c>
      <c r="I38" s="76">
        <f t="shared" si="41"/>
        <v>0.1295</v>
      </c>
      <c r="J38" s="84">
        <f t="shared" si="42"/>
        <v>1575.289575</v>
      </c>
      <c r="K38" s="85">
        <f t="shared" si="43"/>
        <v>10.8125</v>
      </c>
      <c r="L38" s="85">
        <f t="shared" si="44"/>
        <v>47.3</v>
      </c>
      <c r="M38" s="85">
        <f t="shared" si="45"/>
        <v>3.510432351</v>
      </c>
      <c r="N38" s="316">
        <f t="shared" si="46"/>
        <v>58.1125</v>
      </c>
      <c r="O38" s="88">
        <v>32.89</v>
      </c>
      <c r="P38" s="85">
        <f t="shared" si="47"/>
        <v>3.682512368</v>
      </c>
      <c r="Q38" s="318">
        <v>214.0</v>
      </c>
      <c r="R38" s="141">
        <f t="shared" si="48"/>
        <v>0.04901960784</v>
      </c>
      <c r="S38" s="20">
        <f>VLOOKUP(E38,'Brass Cost'!$A$11:$D766,4,0)</f>
        <v>44.03</v>
      </c>
      <c r="T38" s="85">
        <f t="shared" si="49"/>
        <v>3.682512368</v>
      </c>
      <c r="U38" s="319">
        <v>214.0</v>
      </c>
      <c r="V38" s="141">
        <f t="shared" si="50"/>
        <v>0</v>
      </c>
      <c r="W38" s="75">
        <f t="shared" si="51"/>
        <v>0.04193333333</v>
      </c>
    </row>
    <row r="39">
      <c r="A39" s="34"/>
      <c r="B39" s="237" t="s">
        <v>11</v>
      </c>
      <c r="C39" s="45"/>
      <c r="D39" s="45"/>
      <c r="E39" s="46"/>
      <c r="F39" s="103">
        <f>sum(F35:F38)</f>
        <v>538</v>
      </c>
      <c r="G39" s="250"/>
      <c r="H39" s="243"/>
      <c r="I39" s="243"/>
      <c r="J39" s="243"/>
      <c r="K39" s="85"/>
      <c r="L39" s="85"/>
      <c r="M39" s="85" t="str">
        <f t="shared" ref="M39:M41" si="52">IFERROR(F39/#REF!,"")</f>
        <v/>
      </c>
      <c r="N39" s="316"/>
      <c r="O39" s="88"/>
      <c r="P39" s="85"/>
      <c r="Q39" s="15"/>
      <c r="R39" s="15"/>
      <c r="S39" s="15"/>
      <c r="T39" s="15"/>
      <c r="U39" s="85"/>
      <c r="V39" s="243"/>
      <c r="W39" s="15"/>
    </row>
    <row r="40" ht="6.0" customHeight="1">
      <c r="A40" s="34"/>
      <c r="B40" s="15"/>
      <c r="C40" s="15"/>
      <c r="D40" s="15"/>
      <c r="E40" s="17"/>
      <c r="F40" s="15"/>
      <c r="G40" s="250"/>
      <c r="H40" s="243"/>
      <c r="I40" s="243"/>
      <c r="J40" s="243"/>
      <c r="K40" s="85"/>
      <c r="L40" s="85"/>
      <c r="M40" s="85" t="str">
        <f t="shared" si="52"/>
        <v/>
      </c>
      <c r="N40" s="316"/>
      <c r="O40" s="307"/>
      <c r="P40" s="85"/>
      <c r="Q40" s="15"/>
      <c r="R40" s="15"/>
      <c r="S40" s="15"/>
      <c r="T40" s="15"/>
      <c r="U40" s="85"/>
      <c r="V40" s="243"/>
      <c r="W40" s="15"/>
    </row>
    <row r="41" ht="22.5" customHeight="1">
      <c r="A41" s="34"/>
      <c r="B41" s="322" t="s">
        <v>709</v>
      </c>
      <c r="C41" s="45"/>
      <c r="D41" s="45"/>
      <c r="E41" s="45"/>
      <c r="F41" s="46"/>
      <c r="G41" s="250"/>
      <c r="H41" s="243"/>
      <c r="I41" s="243"/>
      <c r="J41" s="243"/>
      <c r="K41" s="85"/>
      <c r="L41" s="85"/>
      <c r="M41" s="85" t="str">
        <f t="shared" si="52"/>
        <v/>
      </c>
      <c r="N41" s="316"/>
      <c r="O41" s="307"/>
      <c r="P41" s="85"/>
      <c r="Q41" s="15"/>
      <c r="R41" s="15"/>
      <c r="S41" s="15"/>
      <c r="T41" s="15"/>
      <c r="U41" s="85"/>
      <c r="V41" s="243"/>
      <c r="W41" s="15"/>
    </row>
    <row r="42" ht="15.75" customHeight="1">
      <c r="A42" s="67" t="str">
        <f t="shared" ref="A42:A47" si="53">$B$41&amp;C42&amp;D42</f>
        <v>Long Concealed Valve (Quarter Turn)1⁄2VIVA</v>
      </c>
      <c r="B42" s="51">
        <v>1.0</v>
      </c>
      <c r="C42" s="70" t="s">
        <v>43</v>
      </c>
      <c r="D42" s="110" t="s">
        <v>716</v>
      </c>
      <c r="E42" s="111" t="s">
        <v>906</v>
      </c>
      <c r="F42" s="56">
        <v>735.0</v>
      </c>
      <c r="G42" s="76"/>
      <c r="H42" s="58">
        <v>0.019</v>
      </c>
      <c r="I42" s="16"/>
      <c r="J42" s="16"/>
      <c r="K42" s="85">
        <f t="shared" ref="K42:K47" si="54">IFERROR(G42*$K$3,)</f>
        <v>0</v>
      </c>
      <c r="L42" s="85">
        <f t="shared" ref="L42:L47" si="55">IFERROR(H42*$L$3,)</f>
        <v>20.9</v>
      </c>
      <c r="M42" s="85">
        <f t="shared" ref="M42:M47" si="56">IFERROR(F42/SUM(K42:L42),"")</f>
        <v>35.16746411</v>
      </c>
      <c r="N42" s="316">
        <f t="shared" ref="N42:N47" si="57">IFERROR(SUM(K42:L42),"")</f>
        <v>20.9</v>
      </c>
      <c r="O42" s="88"/>
      <c r="P42" s="85">
        <f t="shared" ref="P42:P47" si="58">IFERROR(Q42/N42,"")</f>
        <v>40.19138756</v>
      </c>
      <c r="Q42" s="318">
        <v>840.0</v>
      </c>
      <c r="R42" s="141">
        <f t="shared" ref="R42:R47" si="59">IFERROR(Q42-F42,"")/F42</f>
        <v>0.1428571429</v>
      </c>
      <c r="S42" s="319">
        <v>19.76</v>
      </c>
      <c r="T42" s="85">
        <f t="shared" ref="T42:T47" si="60">IFERROR(U42/N42,"")</f>
        <v>44.97607656</v>
      </c>
      <c r="U42" s="139">
        <v>940.0</v>
      </c>
      <c r="V42" s="141">
        <f t="shared" ref="V42:V47" si="61">IFERROR(U42-Q42,"")/Q42</f>
        <v>0.119047619</v>
      </c>
      <c r="W42" s="75">
        <f t="shared" ref="W42:W47" si="62">IFERROR(S42/1050,"")</f>
        <v>0.01881904762</v>
      </c>
    </row>
    <row r="43" ht="15.75" customHeight="1">
      <c r="A43" s="67" t="str">
        <f t="shared" si="53"/>
        <v>Long Concealed Valve (Quarter Turn)1⁄2SPA</v>
      </c>
      <c r="B43" s="150">
        <v>2.0</v>
      </c>
      <c r="C43" s="92" t="s">
        <v>43</v>
      </c>
      <c r="D43" s="127" t="s">
        <v>1249</v>
      </c>
      <c r="E43" s="112" t="s">
        <v>904</v>
      </c>
      <c r="F43" s="56">
        <v>740.0</v>
      </c>
      <c r="G43" s="76"/>
      <c r="H43" s="58">
        <v>0.019</v>
      </c>
      <c r="I43" s="16"/>
      <c r="J43" s="16"/>
      <c r="K43" s="85">
        <f t="shared" si="54"/>
        <v>0</v>
      </c>
      <c r="L43" s="85">
        <f t="shared" si="55"/>
        <v>20.9</v>
      </c>
      <c r="M43" s="85">
        <f t="shared" si="56"/>
        <v>35.40669856</v>
      </c>
      <c r="N43" s="316">
        <f t="shared" si="57"/>
        <v>20.9</v>
      </c>
      <c r="O43" s="88"/>
      <c r="P43" s="85">
        <f t="shared" si="58"/>
        <v>40.19138756</v>
      </c>
      <c r="Q43" s="318">
        <v>840.0</v>
      </c>
      <c r="R43" s="141">
        <f t="shared" si="59"/>
        <v>0.1351351351</v>
      </c>
      <c r="S43" s="319">
        <v>19.76</v>
      </c>
      <c r="T43" s="85">
        <f t="shared" si="60"/>
        <v>44.97607656</v>
      </c>
      <c r="U43" s="139">
        <v>940.0</v>
      </c>
      <c r="V43" s="141">
        <f t="shared" si="61"/>
        <v>0.119047619</v>
      </c>
      <c r="W43" s="75">
        <f t="shared" si="62"/>
        <v>0.01881904762</v>
      </c>
    </row>
    <row r="44" ht="15.75" customHeight="1">
      <c r="A44" s="67" t="str">
        <f t="shared" si="53"/>
        <v>Long Concealed Valve (Quarter Turn)1⁄2URBONA</v>
      </c>
      <c r="B44" s="150">
        <v>3.0</v>
      </c>
      <c r="C44" s="92" t="s">
        <v>43</v>
      </c>
      <c r="D44" s="127" t="s">
        <v>741</v>
      </c>
      <c r="E44" s="112" t="s">
        <v>901</v>
      </c>
      <c r="F44" s="56">
        <v>750.0</v>
      </c>
      <c r="G44" s="76"/>
      <c r="H44" s="58">
        <v>0.019</v>
      </c>
      <c r="I44" s="16"/>
      <c r="J44" s="16"/>
      <c r="K44" s="85">
        <f t="shared" si="54"/>
        <v>0</v>
      </c>
      <c r="L44" s="85">
        <f t="shared" si="55"/>
        <v>20.9</v>
      </c>
      <c r="M44" s="85">
        <f t="shared" si="56"/>
        <v>35.88516746</v>
      </c>
      <c r="N44" s="316">
        <f t="shared" si="57"/>
        <v>20.9</v>
      </c>
      <c r="O44" s="88"/>
      <c r="P44" s="85">
        <f t="shared" si="58"/>
        <v>41.14832536</v>
      </c>
      <c r="Q44" s="318">
        <v>860.0</v>
      </c>
      <c r="R44" s="141">
        <f t="shared" si="59"/>
        <v>0.1466666667</v>
      </c>
      <c r="S44" s="319">
        <v>19.76</v>
      </c>
      <c r="T44" s="85">
        <f t="shared" si="60"/>
        <v>45.93301435</v>
      </c>
      <c r="U44" s="139">
        <v>960.0</v>
      </c>
      <c r="V44" s="141">
        <f t="shared" si="61"/>
        <v>0.1162790698</v>
      </c>
      <c r="W44" s="75">
        <f t="shared" si="62"/>
        <v>0.01881904762</v>
      </c>
    </row>
    <row r="45" ht="15.75" customHeight="1">
      <c r="A45" s="67" t="str">
        <f t="shared" si="53"/>
        <v>Long Concealed Valve (Quarter Turn)1⁄2MACASA</v>
      </c>
      <c r="B45" s="150">
        <v>4.0</v>
      </c>
      <c r="C45" s="92" t="s">
        <v>43</v>
      </c>
      <c r="D45" s="127" t="s">
        <v>748</v>
      </c>
      <c r="E45" s="112" t="s">
        <v>898</v>
      </c>
      <c r="F45" s="56">
        <v>750.0</v>
      </c>
      <c r="G45" s="76"/>
      <c r="H45" s="58">
        <v>0.019</v>
      </c>
      <c r="I45" s="16"/>
      <c r="J45" s="16"/>
      <c r="K45" s="85">
        <f t="shared" si="54"/>
        <v>0</v>
      </c>
      <c r="L45" s="85">
        <f t="shared" si="55"/>
        <v>20.9</v>
      </c>
      <c r="M45" s="85">
        <f t="shared" si="56"/>
        <v>35.88516746</v>
      </c>
      <c r="N45" s="316">
        <f t="shared" si="57"/>
        <v>20.9</v>
      </c>
      <c r="O45" s="88"/>
      <c r="P45" s="85">
        <f t="shared" si="58"/>
        <v>41.14832536</v>
      </c>
      <c r="Q45" s="318">
        <v>860.0</v>
      </c>
      <c r="R45" s="141">
        <f t="shared" si="59"/>
        <v>0.1466666667</v>
      </c>
      <c r="S45" s="319">
        <v>19.76</v>
      </c>
      <c r="T45" s="85">
        <f t="shared" si="60"/>
        <v>45.93301435</v>
      </c>
      <c r="U45" s="139">
        <v>960.0</v>
      </c>
      <c r="V45" s="141">
        <f t="shared" si="61"/>
        <v>0.1162790698</v>
      </c>
      <c r="W45" s="75">
        <f t="shared" si="62"/>
        <v>0.01881904762</v>
      </c>
    </row>
    <row r="46" ht="15.75" customHeight="1">
      <c r="A46" s="67" t="str">
        <f t="shared" si="53"/>
        <v>Long Concealed Valve (Quarter Turn)1⁄2GRACIA</v>
      </c>
      <c r="B46" s="150">
        <v>5.0</v>
      </c>
      <c r="C46" s="92" t="s">
        <v>43</v>
      </c>
      <c r="D46" s="127" t="s">
        <v>754</v>
      </c>
      <c r="E46" s="112" t="s">
        <v>895</v>
      </c>
      <c r="F46" s="56">
        <v>754.0</v>
      </c>
      <c r="G46" s="76"/>
      <c r="H46" s="58">
        <v>0.019</v>
      </c>
      <c r="I46" s="16"/>
      <c r="J46" s="16"/>
      <c r="K46" s="85">
        <f t="shared" si="54"/>
        <v>0</v>
      </c>
      <c r="L46" s="85">
        <f t="shared" si="55"/>
        <v>20.9</v>
      </c>
      <c r="M46" s="85">
        <f t="shared" si="56"/>
        <v>36.07655502</v>
      </c>
      <c r="N46" s="316">
        <f t="shared" si="57"/>
        <v>20.9</v>
      </c>
      <c r="O46" s="88"/>
      <c r="P46" s="85">
        <f t="shared" si="58"/>
        <v>41.14832536</v>
      </c>
      <c r="Q46" s="318">
        <v>860.0</v>
      </c>
      <c r="R46" s="141">
        <f t="shared" si="59"/>
        <v>0.1405835544</v>
      </c>
      <c r="S46" s="319">
        <v>19.76</v>
      </c>
      <c r="T46" s="85">
        <f t="shared" si="60"/>
        <v>45.93301435</v>
      </c>
      <c r="U46" s="139">
        <v>960.0</v>
      </c>
      <c r="V46" s="141">
        <f t="shared" si="61"/>
        <v>0.1162790698</v>
      </c>
      <c r="W46" s="75">
        <f t="shared" si="62"/>
        <v>0.01881904762</v>
      </c>
    </row>
    <row r="47" ht="15.75" customHeight="1">
      <c r="A47" s="67" t="str">
        <f t="shared" si="53"/>
        <v>Long Concealed Valve (Quarter Turn)1⁄2TRIANGULER</v>
      </c>
      <c r="B47" s="150">
        <v>6.0</v>
      </c>
      <c r="C47" s="92" t="s">
        <v>43</v>
      </c>
      <c r="D47" s="127" t="s">
        <v>760</v>
      </c>
      <c r="E47" s="112" t="s">
        <v>892</v>
      </c>
      <c r="F47" s="56">
        <v>728.0</v>
      </c>
      <c r="G47" s="76"/>
      <c r="H47" s="58">
        <v>0.019</v>
      </c>
      <c r="I47" s="16"/>
      <c r="J47" s="16"/>
      <c r="K47" s="85">
        <f t="shared" si="54"/>
        <v>0</v>
      </c>
      <c r="L47" s="85">
        <f t="shared" si="55"/>
        <v>20.9</v>
      </c>
      <c r="M47" s="85">
        <f t="shared" si="56"/>
        <v>34.83253589</v>
      </c>
      <c r="N47" s="316">
        <f t="shared" si="57"/>
        <v>20.9</v>
      </c>
      <c r="O47" s="88"/>
      <c r="P47" s="85">
        <f t="shared" si="58"/>
        <v>39.23444976</v>
      </c>
      <c r="Q47" s="318">
        <v>820.0</v>
      </c>
      <c r="R47" s="141">
        <f t="shared" si="59"/>
        <v>0.1263736264</v>
      </c>
      <c r="S47" s="319">
        <v>19.76</v>
      </c>
      <c r="T47" s="85">
        <f t="shared" si="60"/>
        <v>44.01913876</v>
      </c>
      <c r="U47" s="139">
        <v>920.0</v>
      </c>
      <c r="V47" s="141">
        <f t="shared" si="61"/>
        <v>0.1219512195</v>
      </c>
      <c r="W47" s="75">
        <f t="shared" si="62"/>
        <v>0.01881904762</v>
      </c>
    </row>
    <row r="48">
      <c r="A48" s="34"/>
      <c r="B48" s="314" t="s">
        <v>11</v>
      </c>
      <c r="C48" s="273"/>
      <c r="D48" s="273"/>
      <c r="E48" s="180"/>
      <c r="F48" s="315">
        <f>SUM(F42:F47)</f>
        <v>4457</v>
      </c>
      <c r="G48" s="250"/>
      <c r="H48" s="243"/>
      <c r="I48" s="243"/>
      <c r="J48" s="243"/>
      <c r="K48" s="85"/>
      <c r="L48" s="85"/>
      <c r="M48" s="85" t="str">
        <f t="shared" ref="M48:M50" si="63">IFERROR(F48/#REF!,"")</f>
        <v/>
      </c>
      <c r="N48" s="316"/>
      <c r="O48" s="307"/>
      <c r="P48" s="85"/>
      <c r="Q48" s="15"/>
      <c r="R48" s="15"/>
      <c r="S48" s="15"/>
      <c r="T48" s="15"/>
      <c r="U48" s="85"/>
      <c r="V48" s="243"/>
      <c r="W48" s="15"/>
    </row>
    <row r="49" ht="4.5" customHeight="1">
      <c r="A49" s="34"/>
      <c r="B49" s="15"/>
      <c r="C49" s="15"/>
      <c r="D49" s="15"/>
      <c r="E49" s="17"/>
      <c r="F49" s="15"/>
      <c r="G49" s="250"/>
      <c r="H49" s="243"/>
      <c r="I49" s="243"/>
      <c r="J49" s="243"/>
      <c r="K49" s="85"/>
      <c r="L49" s="85"/>
      <c r="M49" s="85" t="str">
        <f t="shared" si="63"/>
        <v/>
      </c>
      <c r="N49" s="316"/>
      <c r="O49" s="307"/>
      <c r="P49" s="85"/>
      <c r="Q49" s="15"/>
      <c r="R49" s="15"/>
      <c r="S49" s="15"/>
      <c r="T49" s="15"/>
      <c r="U49" s="85"/>
      <c r="V49" s="243"/>
      <c r="W49" s="15"/>
    </row>
    <row r="50" ht="22.5" customHeight="1">
      <c r="A50" s="34"/>
      <c r="B50" s="322" t="s">
        <v>814</v>
      </c>
      <c r="C50" s="45"/>
      <c r="D50" s="45"/>
      <c r="E50" s="45"/>
      <c r="F50" s="46"/>
      <c r="G50" s="250"/>
      <c r="H50" s="243"/>
      <c r="I50" s="243"/>
      <c r="J50" s="243"/>
      <c r="K50" s="85"/>
      <c r="L50" s="85"/>
      <c r="M50" s="85" t="str">
        <f t="shared" si="63"/>
        <v/>
      </c>
      <c r="N50" s="316"/>
      <c r="O50" s="307"/>
      <c r="P50" s="85"/>
      <c r="Q50" s="15"/>
      <c r="R50" s="15"/>
      <c r="S50" s="15"/>
      <c r="T50" s="15"/>
      <c r="U50" s="85"/>
      <c r="V50" s="243"/>
      <c r="W50" s="15"/>
    </row>
    <row r="51" ht="15.75" customHeight="1">
      <c r="A51" s="67" t="str">
        <f t="shared" ref="A51:A56" si="64">$B$50&amp;C51&amp;D51</f>
        <v>Short Concealed Valve (Quarter Turn)1⁄2VIVA</v>
      </c>
      <c r="B51" s="51">
        <v>1.0</v>
      </c>
      <c r="C51" s="70" t="s">
        <v>43</v>
      </c>
      <c r="D51" s="110" t="s">
        <v>716</v>
      </c>
      <c r="E51" s="111" t="s">
        <v>815</v>
      </c>
      <c r="F51" s="56">
        <v>698.0</v>
      </c>
      <c r="G51" s="76"/>
      <c r="H51" s="58">
        <v>0.019</v>
      </c>
      <c r="I51" s="16"/>
      <c r="J51" s="16"/>
      <c r="K51" s="85">
        <f t="shared" ref="K51:K56" si="65">IFERROR(G51*$K$3,)</f>
        <v>0</v>
      </c>
      <c r="L51" s="85">
        <f t="shared" ref="L51:L56" si="66">IFERROR(H51*$L$3,)</f>
        <v>20.9</v>
      </c>
      <c r="M51" s="85">
        <f t="shared" ref="M51:M56" si="67">IFERROR(F51/SUM(K51:L51),"")</f>
        <v>33.39712919</v>
      </c>
      <c r="N51" s="316">
        <f t="shared" ref="N51:N56" si="68">IFERROR(SUM(K51:L51),"")</f>
        <v>20.9</v>
      </c>
      <c r="O51" s="88"/>
      <c r="P51" s="85">
        <f t="shared" ref="P51:P56" si="69">IFERROR(Q51/N51,"")</f>
        <v>38.75598086</v>
      </c>
      <c r="Q51" s="318">
        <v>810.0</v>
      </c>
      <c r="R51" s="141">
        <f t="shared" ref="R51:R56" si="70">IFERROR(Q51-F51,"")/F51</f>
        <v>0.1604584527</v>
      </c>
      <c r="S51" s="319">
        <v>19.76</v>
      </c>
      <c r="T51" s="85">
        <f t="shared" ref="T51:T56" si="71">IFERROR(U51/N51,"")</f>
        <v>43.54066986</v>
      </c>
      <c r="U51" s="139">
        <v>910.0</v>
      </c>
      <c r="V51" s="141">
        <f t="shared" ref="V51:V56" si="72">IFERROR(U51-Q51,"")/Q51</f>
        <v>0.1234567901</v>
      </c>
      <c r="W51" s="75">
        <f t="shared" ref="W51:W56" si="73">IFERROR(S51/1050,"")</f>
        <v>0.01881904762</v>
      </c>
    </row>
    <row r="52" ht="15.75" customHeight="1">
      <c r="A52" s="67" t="str">
        <f t="shared" si="64"/>
        <v>Short Concealed Valve (Quarter Turn)1⁄2SPA</v>
      </c>
      <c r="B52" s="150">
        <v>2.0</v>
      </c>
      <c r="C52" s="92" t="s">
        <v>43</v>
      </c>
      <c r="D52" s="127" t="s">
        <v>1249</v>
      </c>
      <c r="E52" s="112" t="s">
        <v>810</v>
      </c>
      <c r="F52" s="56">
        <v>702.0</v>
      </c>
      <c r="G52" s="76"/>
      <c r="H52" s="58">
        <v>0.019</v>
      </c>
      <c r="I52" s="16"/>
      <c r="J52" s="16"/>
      <c r="K52" s="85">
        <f t="shared" si="65"/>
        <v>0</v>
      </c>
      <c r="L52" s="85">
        <f t="shared" si="66"/>
        <v>20.9</v>
      </c>
      <c r="M52" s="85">
        <f t="shared" si="67"/>
        <v>33.58851675</v>
      </c>
      <c r="N52" s="316">
        <f t="shared" si="68"/>
        <v>20.9</v>
      </c>
      <c r="O52" s="88"/>
      <c r="P52" s="85">
        <f t="shared" si="69"/>
        <v>38.99521531</v>
      </c>
      <c r="Q52" s="318">
        <v>815.0</v>
      </c>
      <c r="R52" s="141">
        <f t="shared" si="70"/>
        <v>0.160968661</v>
      </c>
      <c r="S52" s="319">
        <v>19.76</v>
      </c>
      <c r="T52" s="85">
        <f t="shared" si="71"/>
        <v>43.77990431</v>
      </c>
      <c r="U52" s="139">
        <v>915.0</v>
      </c>
      <c r="V52" s="141">
        <f t="shared" si="72"/>
        <v>0.1226993865</v>
      </c>
      <c r="W52" s="75">
        <f t="shared" si="73"/>
        <v>0.01881904762</v>
      </c>
    </row>
    <row r="53" ht="15.75" customHeight="1">
      <c r="A53" s="67" t="str">
        <f t="shared" si="64"/>
        <v>Short Concealed Valve (Quarter Turn)1⁄2URBONA</v>
      </c>
      <c r="B53" s="150">
        <v>3.0</v>
      </c>
      <c r="C53" s="92" t="s">
        <v>43</v>
      </c>
      <c r="D53" s="127" t="s">
        <v>741</v>
      </c>
      <c r="E53" s="112" t="s">
        <v>806</v>
      </c>
      <c r="F53" s="56">
        <v>712.0</v>
      </c>
      <c r="G53" s="76"/>
      <c r="H53" s="58">
        <v>0.019</v>
      </c>
      <c r="I53" s="16"/>
      <c r="J53" s="16"/>
      <c r="K53" s="85">
        <f t="shared" si="65"/>
        <v>0</v>
      </c>
      <c r="L53" s="85">
        <f t="shared" si="66"/>
        <v>20.9</v>
      </c>
      <c r="M53" s="85">
        <f t="shared" si="67"/>
        <v>34.06698565</v>
      </c>
      <c r="N53" s="316">
        <f t="shared" si="68"/>
        <v>20.9</v>
      </c>
      <c r="O53" s="88"/>
      <c r="P53" s="85">
        <f t="shared" si="69"/>
        <v>38.99521531</v>
      </c>
      <c r="Q53" s="318">
        <v>815.0</v>
      </c>
      <c r="R53" s="141">
        <f t="shared" si="70"/>
        <v>0.1446629213</v>
      </c>
      <c r="S53" s="319">
        <v>19.76</v>
      </c>
      <c r="T53" s="85">
        <f t="shared" si="71"/>
        <v>43.77990431</v>
      </c>
      <c r="U53" s="139">
        <v>915.0</v>
      </c>
      <c r="V53" s="141">
        <f t="shared" si="72"/>
        <v>0.1226993865</v>
      </c>
      <c r="W53" s="75">
        <f t="shared" si="73"/>
        <v>0.01881904762</v>
      </c>
    </row>
    <row r="54" ht="15.75" customHeight="1">
      <c r="A54" s="67" t="str">
        <f t="shared" si="64"/>
        <v>Short Concealed Valve (Quarter Turn)1⁄2MACASA</v>
      </c>
      <c r="B54" s="150">
        <v>4.0</v>
      </c>
      <c r="C54" s="92" t="s">
        <v>43</v>
      </c>
      <c r="D54" s="127" t="s">
        <v>748</v>
      </c>
      <c r="E54" s="112" t="s">
        <v>801</v>
      </c>
      <c r="F54" s="56">
        <v>712.0</v>
      </c>
      <c r="G54" s="76"/>
      <c r="H54" s="58">
        <v>0.019</v>
      </c>
      <c r="I54" s="16"/>
      <c r="J54" s="16"/>
      <c r="K54" s="85">
        <f t="shared" si="65"/>
        <v>0</v>
      </c>
      <c r="L54" s="85">
        <f t="shared" si="66"/>
        <v>20.9</v>
      </c>
      <c r="M54" s="85">
        <f t="shared" si="67"/>
        <v>34.06698565</v>
      </c>
      <c r="N54" s="316">
        <f t="shared" si="68"/>
        <v>20.9</v>
      </c>
      <c r="O54" s="88"/>
      <c r="P54" s="85">
        <f t="shared" si="69"/>
        <v>38.99521531</v>
      </c>
      <c r="Q54" s="318">
        <v>815.0</v>
      </c>
      <c r="R54" s="141">
        <f t="shared" si="70"/>
        <v>0.1446629213</v>
      </c>
      <c r="S54" s="319">
        <v>19.76</v>
      </c>
      <c r="T54" s="85">
        <f t="shared" si="71"/>
        <v>43.77990431</v>
      </c>
      <c r="U54" s="139">
        <v>915.0</v>
      </c>
      <c r="V54" s="141">
        <f t="shared" si="72"/>
        <v>0.1226993865</v>
      </c>
      <c r="W54" s="75">
        <f t="shared" si="73"/>
        <v>0.01881904762</v>
      </c>
    </row>
    <row r="55" ht="15.75" customHeight="1">
      <c r="A55" s="67" t="str">
        <f t="shared" si="64"/>
        <v>Short Concealed Valve (Quarter Turn)1⁄2GRACIA</v>
      </c>
      <c r="B55" s="150">
        <v>5.0</v>
      </c>
      <c r="C55" s="92" t="s">
        <v>43</v>
      </c>
      <c r="D55" s="127" t="s">
        <v>754</v>
      </c>
      <c r="E55" s="112" t="s">
        <v>795</v>
      </c>
      <c r="F55" s="56">
        <v>722.0</v>
      </c>
      <c r="G55" s="76"/>
      <c r="H55" s="58">
        <v>0.019</v>
      </c>
      <c r="I55" s="16"/>
      <c r="J55" s="16"/>
      <c r="K55" s="85">
        <f t="shared" si="65"/>
        <v>0</v>
      </c>
      <c r="L55" s="85">
        <f t="shared" si="66"/>
        <v>20.9</v>
      </c>
      <c r="M55" s="85">
        <f t="shared" si="67"/>
        <v>34.54545455</v>
      </c>
      <c r="N55" s="316">
        <f t="shared" si="68"/>
        <v>20.9</v>
      </c>
      <c r="O55" s="88"/>
      <c r="P55" s="85">
        <f t="shared" si="69"/>
        <v>39.47368421</v>
      </c>
      <c r="Q55" s="318">
        <v>825.0</v>
      </c>
      <c r="R55" s="141">
        <f t="shared" si="70"/>
        <v>0.1426592798</v>
      </c>
      <c r="S55" s="319">
        <v>19.76</v>
      </c>
      <c r="T55" s="85">
        <f t="shared" si="71"/>
        <v>44.25837321</v>
      </c>
      <c r="U55" s="139">
        <v>925.0</v>
      </c>
      <c r="V55" s="141">
        <f t="shared" si="72"/>
        <v>0.1212121212</v>
      </c>
      <c r="W55" s="75">
        <f t="shared" si="73"/>
        <v>0.01881904762</v>
      </c>
    </row>
    <row r="56" ht="15.75" customHeight="1">
      <c r="A56" s="67" t="str">
        <f t="shared" si="64"/>
        <v>Short Concealed Valve (Quarter Turn)1⁄2TRIANGULER</v>
      </c>
      <c r="B56" s="150">
        <v>6.0</v>
      </c>
      <c r="C56" s="92" t="s">
        <v>43</v>
      </c>
      <c r="D56" s="127" t="s">
        <v>760</v>
      </c>
      <c r="E56" s="112" t="s">
        <v>789</v>
      </c>
      <c r="F56" s="56">
        <v>702.0</v>
      </c>
      <c r="G56" s="76"/>
      <c r="H56" s="58">
        <v>0.019</v>
      </c>
      <c r="I56" s="16"/>
      <c r="J56" s="16"/>
      <c r="K56" s="85">
        <f t="shared" si="65"/>
        <v>0</v>
      </c>
      <c r="L56" s="85">
        <f t="shared" si="66"/>
        <v>20.9</v>
      </c>
      <c r="M56" s="85">
        <f t="shared" si="67"/>
        <v>33.58851675</v>
      </c>
      <c r="N56" s="316">
        <f t="shared" si="68"/>
        <v>20.9</v>
      </c>
      <c r="O56" s="88"/>
      <c r="P56" s="85">
        <f t="shared" si="69"/>
        <v>38.99521531</v>
      </c>
      <c r="Q56" s="318">
        <v>815.0</v>
      </c>
      <c r="R56" s="141">
        <f t="shared" si="70"/>
        <v>0.160968661</v>
      </c>
      <c r="S56" s="319">
        <v>19.76</v>
      </c>
      <c r="T56" s="85">
        <f t="shared" si="71"/>
        <v>43.77990431</v>
      </c>
      <c r="U56" s="139">
        <v>915.0</v>
      </c>
      <c r="V56" s="141">
        <f t="shared" si="72"/>
        <v>0.1226993865</v>
      </c>
      <c r="W56" s="75">
        <f t="shared" si="73"/>
        <v>0.01881904762</v>
      </c>
    </row>
    <row r="57">
      <c r="A57" s="34"/>
      <c r="B57" s="314" t="s">
        <v>11</v>
      </c>
      <c r="C57" s="273"/>
      <c r="D57" s="273"/>
      <c r="E57" s="180"/>
      <c r="F57" s="315">
        <f>SUM(F51:F56)</f>
        <v>4248</v>
      </c>
      <c r="G57" s="250"/>
      <c r="H57" s="243"/>
      <c r="I57" s="243"/>
      <c r="J57" s="243"/>
      <c r="K57" s="85"/>
      <c r="L57" s="85"/>
      <c r="M57" s="85" t="str">
        <f t="shared" ref="M57:M59" si="74">IFERROR(F57/#REF!,"")</f>
        <v/>
      </c>
      <c r="N57" s="316"/>
      <c r="O57" s="307"/>
      <c r="P57" s="85"/>
      <c r="Q57" s="15"/>
      <c r="R57" s="15"/>
      <c r="S57" s="15"/>
      <c r="T57" s="15"/>
      <c r="U57" s="85"/>
      <c r="V57" s="243"/>
      <c r="W57" s="15"/>
    </row>
    <row r="58" ht="4.5" customHeight="1">
      <c r="A58" s="34"/>
      <c r="B58" s="15"/>
      <c r="C58" s="15"/>
      <c r="D58" s="15"/>
      <c r="E58" s="17"/>
      <c r="F58" s="15"/>
      <c r="G58" s="250"/>
      <c r="H58" s="243"/>
      <c r="I58" s="243"/>
      <c r="J58" s="243"/>
      <c r="K58" s="85"/>
      <c r="L58" s="85"/>
      <c r="M58" s="85" t="str">
        <f t="shared" si="74"/>
        <v/>
      </c>
      <c r="N58" s="316"/>
      <c r="O58" s="307"/>
      <c r="P58" s="85"/>
      <c r="Q58" s="15"/>
      <c r="R58" s="15"/>
      <c r="S58" s="15"/>
      <c r="T58" s="15"/>
      <c r="U58" s="85"/>
      <c r="V58" s="243"/>
      <c r="W58" s="15"/>
    </row>
    <row r="59" ht="22.5" customHeight="1">
      <c r="A59" s="34"/>
      <c r="B59" s="322" t="s">
        <v>709</v>
      </c>
      <c r="C59" s="45"/>
      <c r="D59" s="45"/>
      <c r="E59" s="45"/>
      <c r="F59" s="46"/>
      <c r="G59" s="250"/>
      <c r="H59" s="243"/>
      <c r="I59" s="243"/>
      <c r="J59" s="243"/>
      <c r="K59" s="85"/>
      <c r="L59" s="85"/>
      <c r="M59" s="85" t="str">
        <f t="shared" si="74"/>
        <v/>
      </c>
      <c r="N59" s="316"/>
      <c r="O59" s="307"/>
      <c r="P59" s="85"/>
      <c r="Q59" s="15"/>
      <c r="R59" s="15"/>
      <c r="S59" s="15"/>
      <c r="T59" s="15"/>
      <c r="U59" s="85"/>
      <c r="V59" s="243"/>
      <c r="W59" s="15"/>
    </row>
    <row r="60" ht="15.75" customHeight="1">
      <c r="A60" s="67" t="str">
        <f t="shared" ref="A60:A65" si="75">$B$59&amp;C60&amp;D60</f>
        <v>Long Concealed Valve (Quarter Turn)3⁄4VIVA</v>
      </c>
      <c r="B60" s="51">
        <v>1.0</v>
      </c>
      <c r="C60" s="70" t="s">
        <v>51</v>
      </c>
      <c r="D60" s="110" t="s">
        <v>716</v>
      </c>
      <c r="E60" s="111" t="s">
        <v>889</v>
      </c>
      <c r="F60" s="56">
        <v>701.0</v>
      </c>
      <c r="G60" s="76"/>
      <c r="H60" s="58">
        <v>0.043</v>
      </c>
      <c r="I60" s="16"/>
      <c r="J60" s="16"/>
      <c r="K60" s="85">
        <f t="shared" ref="K60:K65" si="76">IFERROR(G60*$K$3,)</f>
        <v>0</v>
      </c>
      <c r="L60" s="85">
        <f t="shared" ref="L60:L65" si="77">IFERROR(H60*$L$3,)</f>
        <v>47.3</v>
      </c>
      <c r="M60" s="85">
        <f t="shared" ref="M60:M65" si="78">IFERROR(F60/SUM(K60:L60),"")</f>
        <v>14.82029598</v>
      </c>
      <c r="N60" s="316">
        <f t="shared" ref="N60:N65" si="79">IFERROR(SUM(K60:L60),"")</f>
        <v>47.3</v>
      </c>
      <c r="O60" s="88"/>
      <c r="P60" s="85">
        <f t="shared" ref="P60:P65" si="80">IFERROR(Q60/N60,"")</f>
        <v>17.23044397</v>
      </c>
      <c r="Q60" s="318">
        <v>815.0</v>
      </c>
      <c r="R60" s="141">
        <f t="shared" ref="R60:R65" si="81">IFERROR(Q60-F60,"")/F60</f>
        <v>0.1626248217</v>
      </c>
      <c r="S60" s="319">
        <v>44.03</v>
      </c>
      <c r="T60" s="85">
        <f t="shared" ref="T60:T65" si="82">IFERROR(U60/N60,"")</f>
        <v>19.34460888</v>
      </c>
      <c r="U60" s="139">
        <v>915.0</v>
      </c>
      <c r="V60" s="141">
        <f t="shared" ref="V60:V65" si="83">IFERROR(U60-Q60,"")/Q60</f>
        <v>0.1226993865</v>
      </c>
      <c r="W60" s="75">
        <f t="shared" ref="W60:W65" si="84">IFERROR(S60/1050,"")</f>
        <v>0.04193333333</v>
      </c>
    </row>
    <row r="61" ht="15.75" customHeight="1">
      <c r="A61" s="67" t="str">
        <f t="shared" si="75"/>
        <v>Long Concealed Valve (Quarter Turn)3⁄4SPA</v>
      </c>
      <c r="B61" s="150">
        <v>2.0</v>
      </c>
      <c r="C61" s="92" t="s">
        <v>51</v>
      </c>
      <c r="D61" s="127" t="s">
        <v>1249</v>
      </c>
      <c r="E61" s="112" t="s">
        <v>887</v>
      </c>
      <c r="F61" s="56">
        <v>728.0</v>
      </c>
      <c r="G61" s="76"/>
      <c r="H61" s="58">
        <v>0.043</v>
      </c>
      <c r="I61" s="16"/>
      <c r="J61" s="16"/>
      <c r="K61" s="85">
        <f t="shared" si="76"/>
        <v>0</v>
      </c>
      <c r="L61" s="85">
        <f t="shared" si="77"/>
        <v>47.3</v>
      </c>
      <c r="M61" s="85">
        <f t="shared" si="78"/>
        <v>15.39112051</v>
      </c>
      <c r="N61" s="316">
        <f t="shared" si="79"/>
        <v>47.3</v>
      </c>
      <c r="O61" s="88"/>
      <c r="P61" s="85">
        <f t="shared" si="80"/>
        <v>17.54756871</v>
      </c>
      <c r="Q61" s="318">
        <v>830.0</v>
      </c>
      <c r="R61" s="141">
        <f t="shared" si="81"/>
        <v>0.1401098901</v>
      </c>
      <c r="S61" s="319">
        <v>44.03</v>
      </c>
      <c r="T61" s="85">
        <f t="shared" si="82"/>
        <v>19.66173362</v>
      </c>
      <c r="U61" s="139">
        <v>930.0</v>
      </c>
      <c r="V61" s="141">
        <f t="shared" si="83"/>
        <v>0.1204819277</v>
      </c>
      <c r="W61" s="75">
        <f t="shared" si="84"/>
        <v>0.04193333333</v>
      </c>
    </row>
    <row r="62" ht="15.75" customHeight="1">
      <c r="A62" s="67" t="str">
        <f t="shared" si="75"/>
        <v>Long Concealed Valve (Quarter Turn)3⁄4URBONA</v>
      </c>
      <c r="B62" s="150">
        <v>3.0</v>
      </c>
      <c r="C62" s="92" t="s">
        <v>51</v>
      </c>
      <c r="D62" s="127" t="s">
        <v>741</v>
      </c>
      <c r="E62" s="112" t="s">
        <v>883</v>
      </c>
      <c r="F62" s="56">
        <v>748.0</v>
      </c>
      <c r="G62" s="76"/>
      <c r="H62" s="58">
        <v>0.043</v>
      </c>
      <c r="I62" s="16"/>
      <c r="J62" s="16"/>
      <c r="K62" s="85">
        <f t="shared" si="76"/>
        <v>0</v>
      </c>
      <c r="L62" s="85">
        <f t="shared" si="77"/>
        <v>47.3</v>
      </c>
      <c r="M62" s="85">
        <f t="shared" si="78"/>
        <v>15.81395349</v>
      </c>
      <c r="N62" s="316">
        <f t="shared" si="79"/>
        <v>47.3</v>
      </c>
      <c r="O62" s="88"/>
      <c r="P62" s="85">
        <f t="shared" si="80"/>
        <v>17.7589852</v>
      </c>
      <c r="Q62" s="318">
        <v>840.0</v>
      </c>
      <c r="R62" s="141">
        <f t="shared" si="81"/>
        <v>0.1229946524</v>
      </c>
      <c r="S62" s="319">
        <v>44.03</v>
      </c>
      <c r="T62" s="85">
        <f t="shared" si="82"/>
        <v>19.87315011</v>
      </c>
      <c r="U62" s="139">
        <v>940.0</v>
      </c>
      <c r="V62" s="141">
        <f t="shared" si="83"/>
        <v>0.119047619</v>
      </c>
      <c r="W62" s="75">
        <f t="shared" si="84"/>
        <v>0.04193333333</v>
      </c>
    </row>
    <row r="63" ht="15.75" customHeight="1">
      <c r="A63" s="67" t="str">
        <f t="shared" si="75"/>
        <v>Long Concealed Valve (Quarter Turn)3⁄4MACASA</v>
      </c>
      <c r="B63" s="150">
        <v>4.0</v>
      </c>
      <c r="C63" s="92" t="s">
        <v>51</v>
      </c>
      <c r="D63" s="127" t="s">
        <v>748</v>
      </c>
      <c r="E63" s="112" t="s">
        <v>1276</v>
      </c>
      <c r="F63" s="56">
        <v>748.0</v>
      </c>
      <c r="G63" s="76"/>
      <c r="H63" s="58">
        <v>0.043</v>
      </c>
      <c r="I63" s="16"/>
      <c r="J63" s="16"/>
      <c r="K63" s="85">
        <f t="shared" si="76"/>
        <v>0</v>
      </c>
      <c r="L63" s="85">
        <f t="shared" si="77"/>
        <v>47.3</v>
      </c>
      <c r="M63" s="85">
        <f t="shared" si="78"/>
        <v>15.81395349</v>
      </c>
      <c r="N63" s="316">
        <f t="shared" si="79"/>
        <v>47.3</v>
      </c>
      <c r="O63" s="88"/>
      <c r="P63" s="85">
        <f t="shared" si="80"/>
        <v>17.7589852</v>
      </c>
      <c r="Q63" s="318">
        <v>840.0</v>
      </c>
      <c r="R63" s="141">
        <f t="shared" si="81"/>
        <v>0.1229946524</v>
      </c>
      <c r="S63" s="319">
        <v>44.03</v>
      </c>
      <c r="T63" s="85">
        <f t="shared" si="82"/>
        <v>19.87315011</v>
      </c>
      <c r="U63" s="139">
        <v>940.0</v>
      </c>
      <c r="V63" s="141">
        <f t="shared" si="83"/>
        <v>0.119047619</v>
      </c>
      <c r="W63" s="75">
        <f t="shared" si="84"/>
        <v>0.04193333333</v>
      </c>
    </row>
    <row r="64" ht="15.75" customHeight="1">
      <c r="A64" s="67" t="str">
        <f t="shared" si="75"/>
        <v>Long Concealed Valve (Quarter Turn)3⁄4GRACIA</v>
      </c>
      <c r="B64" s="150">
        <v>5.0</v>
      </c>
      <c r="C64" s="92" t="s">
        <v>51</v>
      </c>
      <c r="D64" s="127" t="s">
        <v>754</v>
      </c>
      <c r="E64" s="112" t="s">
        <v>875</v>
      </c>
      <c r="F64" s="56">
        <v>758.0</v>
      </c>
      <c r="G64" s="76"/>
      <c r="H64" s="58">
        <v>0.043</v>
      </c>
      <c r="I64" s="16"/>
      <c r="J64" s="16"/>
      <c r="K64" s="85">
        <f t="shared" si="76"/>
        <v>0</v>
      </c>
      <c r="L64" s="85">
        <f t="shared" si="77"/>
        <v>47.3</v>
      </c>
      <c r="M64" s="85">
        <f t="shared" si="78"/>
        <v>16.02536998</v>
      </c>
      <c r="N64" s="316">
        <f t="shared" si="79"/>
        <v>47.3</v>
      </c>
      <c r="O64" s="88"/>
      <c r="P64" s="85">
        <f t="shared" si="80"/>
        <v>17.7589852</v>
      </c>
      <c r="Q64" s="318">
        <v>840.0</v>
      </c>
      <c r="R64" s="141">
        <f t="shared" si="81"/>
        <v>0.1081794195</v>
      </c>
      <c r="S64" s="319">
        <v>44.03</v>
      </c>
      <c r="T64" s="85">
        <f t="shared" si="82"/>
        <v>19.87315011</v>
      </c>
      <c r="U64" s="139">
        <v>940.0</v>
      </c>
      <c r="V64" s="141">
        <f t="shared" si="83"/>
        <v>0.119047619</v>
      </c>
      <c r="W64" s="75">
        <f t="shared" si="84"/>
        <v>0.04193333333</v>
      </c>
    </row>
    <row r="65" ht="15.75" customHeight="1">
      <c r="A65" s="67" t="str">
        <f t="shared" si="75"/>
        <v>Long Concealed Valve (Quarter Turn)3⁄4TRIANGULER</v>
      </c>
      <c r="B65" s="150">
        <v>6.0</v>
      </c>
      <c r="C65" s="92" t="s">
        <v>51</v>
      </c>
      <c r="D65" s="127" t="s">
        <v>760</v>
      </c>
      <c r="E65" s="112" t="s">
        <v>1280</v>
      </c>
      <c r="F65" s="56">
        <v>728.0</v>
      </c>
      <c r="G65" s="76"/>
      <c r="H65" s="58">
        <v>0.043</v>
      </c>
      <c r="I65" s="16"/>
      <c r="J65" s="16"/>
      <c r="K65" s="85">
        <f t="shared" si="76"/>
        <v>0</v>
      </c>
      <c r="L65" s="85">
        <f t="shared" si="77"/>
        <v>47.3</v>
      </c>
      <c r="M65" s="85">
        <f t="shared" si="78"/>
        <v>15.39112051</v>
      </c>
      <c r="N65" s="316">
        <f t="shared" si="79"/>
        <v>47.3</v>
      </c>
      <c r="O65" s="88"/>
      <c r="P65" s="85">
        <f t="shared" si="80"/>
        <v>17.33615222</v>
      </c>
      <c r="Q65" s="318">
        <v>820.0</v>
      </c>
      <c r="R65" s="141">
        <f t="shared" si="81"/>
        <v>0.1263736264</v>
      </c>
      <c r="S65" s="319">
        <v>44.03</v>
      </c>
      <c r="T65" s="85">
        <f t="shared" si="82"/>
        <v>19.45031712</v>
      </c>
      <c r="U65" s="139">
        <v>920.0</v>
      </c>
      <c r="V65" s="141">
        <f t="shared" si="83"/>
        <v>0.1219512195</v>
      </c>
      <c r="W65" s="75">
        <f t="shared" si="84"/>
        <v>0.04193333333</v>
      </c>
    </row>
    <row r="66">
      <c r="A66" s="34"/>
      <c r="B66" s="314" t="s">
        <v>11</v>
      </c>
      <c r="C66" s="273"/>
      <c r="D66" s="273"/>
      <c r="E66" s="180"/>
      <c r="F66" s="315">
        <f>SUM(F60:F65)</f>
        <v>4411</v>
      </c>
      <c r="G66" s="250"/>
      <c r="H66" s="243"/>
      <c r="I66" s="243"/>
      <c r="J66" s="243"/>
      <c r="K66" s="85"/>
      <c r="L66" s="85"/>
      <c r="M66" s="85" t="str">
        <f t="shared" ref="M66:M68" si="85">IFERROR(F66/#REF!,"")</f>
        <v/>
      </c>
      <c r="N66" s="316"/>
      <c r="O66" s="307"/>
      <c r="P66" s="85"/>
      <c r="Q66" s="15"/>
      <c r="R66" s="15"/>
      <c r="S66" s="15"/>
      <c r="T66" s="15"/>
      <c r="U66" s="85"/>
      <c r="V66" s="243"/>
      <c r="W66" s="15"/>
    </row>
    <row r="67" ht="6.0" customHeight="1">
      <c r="A67" s="34"/>
      <c r="B67" s="15"/>
      <c r="C67" s="15"/>
      <c r="D67" s="15"/>
      <c r="E67" s="17"/>
      <c r="F67" s="15"/>
      <c r="G67" s="250"/>
      <c r="H67" s="243"/>
      <c r="I67" s="243"/>
      <c r="J67" s="243"/>
      <c r="K67" s="85"/>
      <c r="L67" s="85"/>
      <c r="M67" s="85" t="str">
        <f t="shared" si="85"/>
        <v/>
      </c>
      <c r="N67" s="316"/>
      <c r="O67" s="307"/>
      <c r="P67" s="85"/>
      <c r="Q67" s="15"/>
      <c r="R67" s="15"/>
      <c r="S67" s="15"/>
      <c r="T67" s="15"/>
      <c r="U67" s="85"/>
      <c r="V67" s="243"/>
      <c r="W67" s="15"/>
    </row>
    <row r="68" ht="22.5" customHeight="1">
      <c r="A68" s="34"/>
      <c r="B68" s="322" t="s">
        <v>814</v>
      </c>
      <c r="C68" s="45"/>
      <c r="D68" s="45"/>
      <c r="E68" s="45"/>
      <c r="F68" s="46"/>
      <c r="G68" s="250"/>
      <c r="H68" s="243"/>
      <c r="I68" s="243"/>
      <c r="J68" s="243"/>
      <c r="K68" s="85"/>
      <c r="L68" s="85"/>
      <c r="M68" s="85" t="str">
        <f t="shared" si="85"/>
        <v/>
      </c>
      <c r="N68" s="316"/>
      <c r="O68" s="307"/>
      <c r="P68" s="85"/>
      <c r="Q68" s="15"/>
      <c r="R68" s="15"/>
      <c r="S68" s="15"/>
      <c r="T68" s="15"/>
      <c r="U68" s="85"/>
      <c r="V68" s="243"/>
      <c r="W68" s="15"/>
    </row>
    <row r="69" ht="15.75" customHeight="1">
      <c r="A69" s="67" t="str">
        <f t="shared" ref="A69:A74" si="86">$B$68&amp;C69&amp;D69</f>
        <v>Short Concealed Valve (Quarter Turn)3⁄4VIVA</v>
      </c>
      <c r="B69" s="51">
        <v>1.0</v>
      </c>
      <c r="C69" s="70" t="s">
        <v>51</v>
      </c>
      <c r="D69" s="110" t="s">
        <v>716</v>
      </c>
      <c r="E69" s="111" t="s">
        <v>786</v>
      </c>
      <c r="F69" s="56">
        <v>703.0</v>
      </c>
      <c r="G69" s="76"/>
      <c r="H69" s="58">
        <v>0.043</v>
      </c>
      <c r="I69" s="16"/>
      <c r="J69" s="16"/>
      <c r="K69" s="85">
        <f t="shared" ref="K69:K74" si="87">IFERROR(G69*$K$3,)</f>
        <v>0</v>
      </c>
      <c r="L69" s="85">
        <f t="shared" ref="L69:L74" si="88">IFERROR(H69*$L$3,)</f>
        <v>47.3</v>
      </c>
      <c r="M69" s="85">
        <f t="shared" ref="M69:M74" si="89">IFERROR(F69/SUM(K69:L69),"")</f>
        <v>14.86257928</v>
      </c>
      <c r="N69" s="316">
        <f t="shared" ref="N69:N74" si="90">IFERROR(SUM(K69:L69),"")</f>
        <v>47.3</v>
      </c>
      <c r="O69" s="88"/>
      <c r="P69" s="85">
        <f t="shared" ref="P69:P74" si="91">IFERROR(Q69/N69,"")</f>
        <v>17.7589852</v>
      </c>
      <c r="Q69" s="318">
        <v>840.0</v>
      </c>
      <c r="R69" s="141">
        <f t="shared" ref="R69:R74" si="92">IFERROR(Q69-F69,"")/F69</f>
        <v>0.1948790896</v>
      </c>
      <c r="S69" s="319">
        <v>44.03</v>
      </c>
      <c r="T69" s="85">
        <f t="shared" ref="T69:T74" si="93">IFERROR(U69/N69,"")</f>
        <v>19.87315011</v>
      </c>
      <c r="U69" s="139">
        <v>940.0</v>
      </c>
      <c r="V69" s="141">
        <f t="shared" ref="V69:V74" si="94">IFERROR(U69-Q69,"")/Q69</f>
        <v>0.119047619</v>
      </c>
      <c r="W69" s="75">
        <f t="shared" ref="W69:W74" si="95">IFERROR(S69/1050,"")</f>
        <v>0.04193333333</v>
      </c>
    </row>
    <row r="70" ht="15.75" customHeight="1">
      <c r="A70" s="67" t="str">
        <f t="shared" si="86"/>
        <v>Short Concealed Valve (Quarter Turn)3⁄4SPA</v>
      </c>
      <c r="B70" s="150">
        <v>2.0</v>
      </c>
      <c r="C70" s="92" t="s">
        <v>51</v>
      </c>
      <c r="D70" s="127" t="s">
        <v>1249</v>
      </c>
      <c r="E70" s="112" t="s">
        <v>781</v>
      </c>
      <c r="F70" s="56">
        <v>711.0</v>
      </c>
      <c r="G70" s="76"/>
      <c r="H70" s="58">
        <v>0.043</v>
      </c>
      <c r="I70" s="16"/>
      <c r="J70" s="16"/>
      <c r="K70" s="85">
        <f t="shared" si="87"/>
        <v>0</v>
      </c>
      <c r="L70" s="85">
        <f t="shared" si="88"/>
        <v>47.3</v>
      </c>
      <c r="M70" s="85">
        <f t="shared" si="89"/>
        <v>15.03171247</v>
      </c>
      <c r="N70" s="316">
        <f t="shared" si="90"/>
        <v>47.3</v>
      </c>
      <c r="O70" s="88"/>
      <c r="P70" s="85">
        <f t="shared" si="91"/>
        <v>17.7589852</v>
      </c>
      <c r="Q70" s="318">
        <v>840.0</v>
      </c>
      <c r="R70" s="141">
        <f t="shared" si="92"/>
        <v>0.1814345992</v>
      </c>
      <c r="S70" s="319">
        <v>44.03</v>
      </c>
      <c r="T70" s="85">
        <f t="shared" si="93"/>
        <v>19.87315011</v>
      </c>
      <c r="U70" s="139">
        <v>940.0</v>
      </c>
      <c r="V70" s="141">
        <f t="shared" si="94"/>
        <v>0.119047619</v>
      </c>
      <c r="W70" s="75">
        <f t="shared" si="95"/>
        <v>0.04193333333</v>
      </c>
    </row>
    <row r="71" ht="15.75" customHeight="1">
      <c r="A71" s="67" t="str">
        <f t="shared" si="86"/>
        <v>Short Concealed Valve (Quarter Turn)3⁄4URBONA</v>
      </c>
      <c r="B71" s="150">
        <v>3.0</v>
      </c>
      <c r="C71" s="92" t="s">
        <v>51</v>
      </c>
      <c r="D71" s="127" t="s">
        <v>741</v>
      </c>
      <c r="E71" s="112" t="s">
        <v>778</v>
      </c>
      <c r="F71" s="56">
        <v>720.0</v>
      </c>
      <c r="G71" s="76"/>
      <c r="H71" s="58">
        <v>0.043</v>
      </c>
      <c r="I71" s="16"/>
      <c r="J71" s="16"/>
      <c r="K71" s="85">
        <f t="shared" si="87"/>
        <v>0</v>
      </c>
      <c r="L71" s="85">
        <f t="shared" si="88"/>
        <v>47.3</v>
      </c>
      <c r="M71" s="85">
        <f t="shared" si="89"/>
        <v>15.22198732</v>
      </c>
      <c r="N71" s="316">
        <f t="shared" si="90"/>
        <v>47.3</v>
      </c>
      <c r="O71" s="88"/>
      <c r="P71" s="85">
        <f t="shared" si="91"/>
        <v>17.7589852</v>
      </c>
      <c r="Q71" s="318">
        <v>840.0</v>
      </c>
      <c r="R71" s="141">
        <f t="shared" si="92"/>
        <v>0.1666666667</v>
      </c>
      <c r="S71" s="319">
        <v>44.03</v>
      </c>
      <c r="T71" s="85">
        <f t="shared" si="93"/>
        <v>19.87315011</v>
      </c>
      <c r="U71" s="139">
        <v>940.0</v>
      </c>
      <c r="V71" s="141">
        <f t="shared" si="94"/>
        <v>0.119047619</v>
      </c>
      <c r="W71" s="75">
        <f t="shared" si="95"/>
        <v>0.04193333333</v>
      </c>
    </row>
    <row r="72" ht="15.75" customHeight="1">
      <c r="A72" s="67" t="str">
        <f t="shared" si="86"/>
        <v>Short Concealed Valve (Quarter Turn)3⁄4MACASA</v>
      </c>
      <c r="B72" s="150">
        <v>4.0</v>
      </c>
      <c r="C72" s="92" t="s">
        <v>51</v>
      </c>
      <c r="D72" s="127" t="s">
        <v>748</v>
      </c>
      <c r="E72" s="112" t="s">
        <v>774</v>
      </c>
      <c r="F72" s="56">
        <v>720.0</v>
      </c>
      <c r="G72" s="76"/>
      <c r="H72" s="58">
        <v>0.043</v>
      </c>
      <c r="I72" s="16"/>
      <c r="J72" s="16"/>
      <c r="K72" s="85">
        <f t="shared" si="87"/>
        <v>0</v>
      </c>
      <c r="L72" s="85">
        <f t="shared" si="88"/>
        <v>47.3</v>
      </c>
      <c r="M72" s="85">
        <f t="shared" si="89"/>
        <v>15.22198732</v>
      </c>
      <c r="N72" s="316">
        <f t="shared" si="90"/>
        <v>47.3</v>
      </c>
      <c r="O72" s="88"/>
      <c r="P72" s="85">
        <f t="shared" si="91"/>
        <v>17.7589852</v>
      </c>
      <c r="Q72" s="318">
        <v>840.0</v>
      </c>
      <c r="R72" s="141">
        <f t="shared" si="92"/>
        <v>0.1666666667</v>
      </c>
      <c r="S72" s="319">
        <v>44.03</v>
      </c>
      <c r="T72" s="85">
        <f t="shared" si="93"/>
        <v>19.87315011</v>
      </c>
      <c r="U72" s="139">
        <v>940.0</v>
      </c>
      <c r="V72" s="141">
        <f t="shared" si="94"/>
        <v>0.119047619</v>
      </c>
      <c r="W72" s="75">
        <f t="shared" si="95"/>
        <v>0.04193333333</v>
      </c>
    </row>
    <row r="73" ht="15.75" customHeight="1">
      <c r="A73" s="67" t="str">
        <f t="shared" si="86"/>
        <v>Short Concealed Valve (Quarter Turn)3⁄4GRACIA</v>
      </c>
      <c r="B73" s="150">
        <v>5.0</v>
      </c>
      <c r="C73" s="92" t="s">
        <v>51</v>
      </c>
      <c r="D73" s="127" t="s">
        <v>754</v>
      </c>
      <c r="E73" s="112" t="s">
        <v>771</v>
      </c>
      <c r="F73" s="56">
        <v>728.0</v>
      </c>
      <c r="G73" s="76"/>
      <c r="H73" s="58">
        <v>0.043</v>
      </c>
      <c r="I73" s="16"/>
      <c r="J73" s="16"/>
      <c r="K73" s="85">
        <f t="shared" si="87"/>
        <v>0</v>
      </c>
      <c r="L73" s="85">
        <f t="shared" si="88"/>
        <v>47.3</v>
      </c>
      <c r="M73" s="85">
        <f t="shared" si="89"/>
        <v>15.39112051</v>
      </c>
      <c r="N73" s="316">
        <f t="shared" si="90"/>
        <v>47.3</v>
      </c>
      <c r="O73" s="88"/>
      <c r="P73" s="85">
        <f t="shared" si="91"/>
        <v>17.7589852</v>
      </c>
      <c r="Q73" s="318">
        <v>840.0</v>
      </c>
      <c r="R73" s="141">
        <f t="shared" si="92"/>
        <v>0.1538461538</v>
      </c>
      <c r="S73" s="319">
        <v>44.03</v>
      </c>
      <c r="T73" s="85">
        <f t="shared" si="93"/>
        <v>19.87315011</v>
      </c>
      <c r="U73" s="139">
        <v>940.0</v>
      </c>
      <c r="V73" s="141">
        <f t="shared" si="94"/>
        <v>0.119047619</v>
      </c>
      <c r="W73" s="75">
        <f t="shared" si="95"/>
        <v>0.04193333333</v>
      </c>
    </row>
    <row r="74" ht="15.75" customHeight="1">
      <c r="A74" s="67" t="str">
        <f t="shared" si="86"/>
        <v>Short Concealed Valve (Quarter Turn)3⁄4TRIANGULER</v>
      </c>
      <c r="B74" s="150">
        <v>6.0</v>
      </c>
      <c r="C74" s="92" t="s">
        <v>51</v>
      </c>
      <c r="D74" s="127" t="s">
        <v>760</v>
      </c>
      <c r="E74" s="112" t="s">
        <v>766</v>
      </c>
      <c r="F74" s="56">
        <v>711.0</v>
      </c>
      <c r="G74" s="76"/>
      <c r="H74" s="58">
        <v>0.043</v>
      </c>
      <c r="I74" s="16"/>
      <c r="J74" s="16"/>
      <c r="K74" s="85">
        <f t="shared" si="87"/>
        <v>0</v>
      </c>
      <c r="L74" s="85">
        <f t="shared" si="88"/>
        <v>47.3</v>
      </c>
      <c r="M74" s="85">
        <f t="shared" si="89"/>
        <v>15.03171247</v>
      </c>
      <c r="N74" s="316">
        <f t="shared" si="90"/>
        <v>47.3</v>
      </c>
      <c r="O74" s="88"/>
      <c r="P74" s="85">
        <f t="shared" si="91"/>
        <v>17.7589852</v>
      </c>
      <c r="Q74" s="318">
        <v>840.0</v>
      </c>
      <c r="R74" s="141">
        <f t="shared" si="92"/>
        <v>0.1814345992</v>
      </c>
      <c r="S74" s="319">
        <v>44.03</v>
      </c>
      <c r="T74" s="85">
        <f t="shared" si="93"/>
        <v>19.87315011</v>
      </c>
      <c r="U74" s="139">
        <v>940.0</v>
      </c>
      <c r="V74" s="141">
        <f t="shared" si="94"/>
        <v>0.119047619</v>
      </c>
      <c r="W74" s="75">
        <f t="shared" si="95"/>
        <v>0.04193333333</v>
      </c>
    </row>
    <row r="75">
      <c r="A75" s="34"/>
      <c r="B75" s="314" t="s">
        <v>11</v>
      </c>
      <c r="C75" s="273"/>
      <c r="D75" s="273"/>
      <c r="E75" s="180"/>
      <c r="F75" s="315">
        <f>SUM(F69:F74)</f>
        <v>4293</v>
      </c>
      <c r="G75" s="250"/>
      <c r="H75" s="243"/>
      <c r="I75" s="243"/>
      <c r="J75" s="243"/>
      <c r="K75" s="85"/>
      <c r="L75" s="85"/>
      <c r="M75" s="85" t="str">
        <f>IFERROR(F75/#REF!,"")</f>
        <v/>
      </c>
      <c r="N75" s="29"/>
      <c r="O75" s="307"/>
      <c r="P75" s="29"/>
      <c r="Q75" s="15"/>
      <c r="R75" s="15"/>
      <c r="S75" s="15"/>
      <c r="T75" s="15"/>
      <c r="U75" s="15"/>
      <c r="V75" s="243"/>
      <c r="W75" s="15"/>
    </row>
    <row r="76" ht="6.75" customHeight="1">
      <c r="A76" s="34"/>
      <c r="B76" s="15"/>
      <c r="C76" s="15"/>
      <c r="D76" s="15"/>
      <c r="E76" s="17"/>
      <c r="F76" s="15"/>
      <c r="G76" s="250"/>
      <c r="H76" s="243"/>
      <c r="I76" s="243"/>
      <c r="J76" s="243"/>
      <c r="K76" s="85"/>
      <c r="L76" s="85"/>
      <c r="M76" s="85"/>
      <c r="N76" s="29"/>
      <c r="O76" s="307"/>
      <c r="P76" s="29"/>
      <c r="Q76" s="15"/>
      <c r="R76" s="15"/>
      <c r="S76" s="15"/>
      <c r="T76" s="15"/>
      <c r="U76" s="15"/>
      <c r="V76" s="243"/>
      <c r="W76" s="15"/>
    </row>
    <row r="77">
      <c r="A77" s="34"/>
      <c r="B77" s="325" t="s">
        <v>777</v>
      </c>
      <c r="C77" s="45"/>
      <c r="D77" s="45"/>
      <c r="E77" s="45"/>
      <c r="F77" s="46"/>
      <c r="G77" s="326"/>
      <c r="H77" s="243"/>
      <c r="I77" s="243"/>
      <c r="J77" s="243"/>
      <c r="K77" s="85"/>
      <c r="L77" s="85"/>
      <c r="M77" s="85"/>
      <c r="N77" s="29"/>
      <c r="O77" s="307"/>
      <c r="P77" s="29"/>
      <c r="Q77" s="15"/>
      <c r="R77" s="15"/>
      <c r="S77" s="15"/>
      <c r="T77" s="15"/>
      <c r="U77" s="15"/>
      <c r="V77" s="243"/>
      <c r="W77" s="15"/>
    </row>
    <row r="78" ht="15.75" customHeight="1">
      <c r="A78" s="34"/>
      <c r="B78" s="327">
        <v>1.0</v>
      </c>
      <c r="C78" s="328" t="s">
        <v>84</v>
      </c>
      <c r="D78" s="329" t="s">
        <v>741</v>
      </c>
      <c r="E78" s="330" t="s">
        <v>1302</v>
      </c>
      <c r="F78" s="331">
        <v>1299.0</v>
      </c>
      <c r="H78" s="243"/>
      <c r="I78" s="332" t="s">
        <v>722</v>
      </c>
      <c r="J78" s="243"/>
      <c r="K78" s="85"/>
      <c r="L78" s="85"/>
      <c r="M78" s="85"/>
      <c r="N78" s="29"/>
      <c r="O78" s="307"/>
      <c r="P78" s="85" t="str">
        <f t="shared" ref="P78:P83" si="96">IFERROR(Q78/N78,"")</f>
        <v/>
      </c>
      <c r="Q78" s="318">
        <v>1299.0</v>
      </c>
      <c r="R78" s="141">
        <f t="shared" ref="R78:R83" si="97">IFERROR(Q78-F78,"")/F78</f>
        <v>0</v>
      </c>
      <c r="S78" s="304">
        <v>67.02</v>
      </c>
      <c r="T78" s="85" t="str">
        <f t="shared" ref="T78:T83" si="98">IFERROR(U78/N78,"")</f>
        <v/>
      </c>
      <c r="U78" s="139">
        <v>1460.0</v>
      </c>
      <c r="V78" s="141">
        <f t="shared" ref="V78:V83" si="99">IFERROR(U78-Q78,"")/Q78</f>
        <v>0.1239414935</v>
      </c>
      <c r="W78" s="15"/>
    </row>
    <row r="79" ht="15.75" customHeight="1">
      <c r="A79" s="34"/>
      <c r="B79" s="327">
        <v>2.0</v>
      </c>
      <c r="C79" s="328" t="s">
        <v>84</v>
      </c>
      <c r="D79" s="333" t="s">
        <v>754</v>
      </c>
      <c r="E79" s="330" t="s">
        <v>1306</v>
      </c>
      <c r="F79" s="331">
        <v>1299.0</v>
      </c>
      <c r="H79" s="243"/>
      <c r="I79" s="332" t="s">
        <v>722</v>
      </c>
      <c r="J79" s="243"/>
      <c r="K79" s="85"/>
      <c r="L79" s="85"/>
      <c r="M79" s="85"/>
      <c r="N79" s="29"/>
      <c r="O79" s="307"/>
      <c r="P79" s="85" t="str">
        <f t="shared" si="96"/>
        <v/>
      </c>
      <c r="Q79" s="318">
        <v>1299.0</v>
      </c>
      <c r="R79" s="141">
        <f t="shared" si="97"/>
        <v>0</v>
      </c>
      <c r="S79" s="304">
        <v>67.02</v>
      </c>
      <c r="T79" s="85" t="str">
        <f t="shared" si="98"/>
        <v/>
      </c>
      <c r="U79" s="139">
        <v>1460.0</v>
      </c>
      <c r="V79" s="141">
        <f t="shared" si="99"/>
        <v>0.1239414935</v>
      </c>
      <c r="W79" s="15"/>
    </row>
    <row r="80" ht="15.75" customHeight="1">
      <c r="A80" s="34"/>
      <c r="B80" s="327">
        <v>3.0</v>
      </c>
      <c r="C80" s="328" t="s">
        <v>84</v>
      </c>
      <c r="D80" s="334" t="s">
        <v>716</v>
      </c>
      <c r="E80" s="330" t="s">
        <v>1311</v>
      </c>
      <c r="F80" s="331">
        <v>1377.0</v>
      </c>
      <c r="H80" s="243"/>
      <c r="I80" s="332" t="s">
        <v>722</v>
      </c>
      <c r="J80" s="243"/>
      <c r="K80" s="85"/>
      <c r="L80" s="85"/>
      <c r="M80" s="85"/>
      <c r="N80" s="29"/>
      <c r="O80" s="307"/>
      <c r="P80" s="85" t="str">
        <f t="shared" si="96"/>
        <v/>
      </c>
      <c r="Q80" s="318">
        <v>1377.0</v>
      </c>
      <c r="R80" s="141">
        <f t="shared" si="97"/>
        <v>0</v>
      </c>
      <c r="S80" s="304">
        <v>67.02</v>
      </c>
      <c r="T80" s="85" t="str">
        <f t="shared" si="98"/>
        <v/>
      </c>
      <c r="U80" s="139">
        <v>1540.0</v>
      </c>
      <c r="V80" s="141">
        <f t="shared" si="99"/>
        <v>0.1183732752</v>
      </c>
      <c r="W80" s="15"/>
    </row>
    <row r="81" ht="15.75" customHeight="1">
      <c r="A81" s="34"/>
      <c r="B81" s="327">
        <v>4.0</v>
      </c>
      <c r="C81" s="328" t="s">
        <v>84</v>
      </c>
      <c r="D81" s="334" t="s">
        <v>748</v>
      </c>
      <c r="E81" s="330" t="s">
        <v>1313</v>
      </c>
      <c r="F81" s="331">
        <v>1377.0</v>
      </c>
      <c r="H81" s="243"/>
      <c r="I81" s="332" t="s">
        <v>722</v>
      </c>
      <c r="J81" s="243"/>
      <c r="K81" s="85"/>
      <c r="L81" s="85"/>
      <c r="M81" s="85"/>
      <c r="N81" s="29"/>
      <c r="O81" s="307"/>
      <c r="P81" s="85" t="str">
        <f t="shared" si="96"/>
        <v/>
      </c>
      <c r="Q81" s="318">
        <v>1377.0</v>
      </c>
      <c r="R81" s="141">
        <f t="shared" si="97"/>
        <v>0</v>
      </c>
      <c r="S81" s="304">
        <v>67.02</v>
      </c>
      <c r="T81" s="85" t="str">
        <f t="shared" si="98"/>
        <v/>
      </c>
      <c r="U81" s="139">
        <v>1540.0</v>
      </c>
      <c r="V81" s="141">
        <f t="shared" si="99"/>
        <v>0.1183732752</v>
      </c>
      <c r="W81" s="15"/>
    </row>
    <row r="82" ht="15.75" customHeight="1">
      <c r="A82" s="34"/>
      <c r="B82" s="327">
        <v>5.0</v>
      </c>
      <c r="C82" s="328" t="s">
        <v>84</v>
      </c>
      <c r="D82" s="333" t="s">
        <v>760</v>
      </c>
      <c r="E82" s="330" t="s">
        <v>1315</v>
      </c>
      <c r="F82" s="331">
        <v>1407.0</v>
      </c>
      <c r="H82" s="243"/>
      <c r="I82" s="332" t="s">
        <v>722</v>
      </c>
      <c r="J82" s="243"/>
      <c r="K82" s="85"/>
      <c r="L82" s="85"/>
      <c r="M82" s="85"/>
      <c r="N82" s="29"/>
      <c r="O82" s="307"/>
      <c r="P82" s="85" t="str">
        <f t="shared" si="96"/>
        <v/>
      </c>
      <c r="Q82" s="318">
        <v>1407.0</v>
      </c>
      <c r="R82" s="141">
        <f t="shared" si="97"/>
        <v>0</v>
      </c>
      <c r="S82" s="304">
        <v>67.02</v>
      </c>
      <c r="T82" s="85" t="str">
        <f t="shared" si="98"/>
        <v/>
      </c>
      <c r="U82" s="139">
        <v>1570.0</v>
      </c>
      <c r="V82" s="141">
        <f t="shared" si="99"/>
        <v>0.1158493248</v>
      </c>
      <c r="W82" s="15"/>
    </row>
    <row r="83" ht="15.75" customHeight="1">
      <c r="A83" s="34"/>
      <c r="B83" s="327">
        <v>6.0</v>
      </c>
      <c r="C83" s="328" t="s">
        <v>84</v>
      </c>
      <c r="D83" s="334" t="s">
        <v>729</v>
      </c>
      <c r="E83" s="330" t="s">
        <v>1317</v>
      </c>
      <c r="F83" s="331">
        <v>1299.0</v>
      </c>
      <c r="H83" s="243"/>
      <c r="I83" s="332" t="s">
        <v>722</v>
      </c>
      <c r="J83" s="243"/>
      <c r="K83" s="85"/>
      <c r="L83" s="85"/>
      <c r="M83" s="85"/>
      <c r="N83" s="29"/>
      <c r="O83" s="307"/>
      <c r="P83" s="85" t="str">
        <f t="shared" si="96"/>
        <v/>
      </c>
      <c r="Q83" s="318">
        <v>1299.0</v>
      </c>
      <c r="R83" s="141">
        <f t="shared" si="97"/>
        <v>0</v>
      </c>
      <c r="S83" s="304">
        <v>67.02</v>
      </c>
      <c r="T83" s="85" t="str">
        <f t="shared" si="98"/>
        <v/>
      </c>
      <c r="U83" s="139">
        <v>1460.0</v>
      </c>
      <c r="V83" s="141">
        <f t="shared" si="99"/>
        <v>0.1239414935</v>
      </c>
      <c r="W83" s="15"/>
    </row>
    <row r="84">
      <c r="A84" s="34"/>
      <c r="B84" s="325" t="s">
        <v>11</v>
      </c>
      <c r="C84" s="45"/>
      <c r="D84" s="45"/>
      <c r="E84" s="46"/>
      <c r="F84" s="335">
        <f>SUM(F78:F83)</f>
        <v>8058</v>
      </c>
      <c r="H84" s="243"/>
      <c r="I84" s="326"/>
      <c r="J84" s="243"/>
      <c r="K84" s="85"/>
      <c r="L84" s="85"/>
      <c r="M84" s="85"/>
      <c r="N84" s="29"/>
      <c r="O84" s="307"/>
      <c r="P84" s="29"/>
      <c r="Q84" s="15"/>
      <c r="R84" s="15"/>
      <c r="S84" s="15"/>
      <c r="T84" s="15"/>
      <c r="U84" s="15"/>
      <c r="V84" s="243"/>
      <c r="W84" s="15"/>
    </row>
    <row r="85" ht="7.5" customHeight="1">
      <c r="A85" s="34"/>
      <c r="B85" s="15"/>
      <c r="C85" s="15"/>
      <c r="D85" s="15"/>
      <c r="E85" s="17"/>
      <c r="F85" s="15"/>
      <c r="H85" s="243"/>
      <c r="I85" s="250"/>
      <c r="J85" s="243"/>
      <c r="K85" s="85"/>
      <c r="L85" s="85"/>
      <c r="M85" s="85"/>
      <c r="N85" s="29"/>
      <c r="O85" s="307"/>
      <c r="P85" s="29"/>
      <c r="Q85" s="15"/>
      <c r="R85" s="15"/>
      <c r="S85" s="15"/>
      <c r="T85" s="15"/>
      <c r="U85" s="15"/>
      <c r="V85" s="243"/>
      <c r="W85" s="15"/>
    </row>
    <row r="86">
      <c r="A86" s="34"/>
      <c r="B86" s="325" t="s">
        <v>894</v>
      </c>
      <c r="C86" s="45"/>
      <c r="D86" s="45"/>
      <c r="E86" s="45"/>
      <c r="F86" s="46"/>
      <c r="H86" s="243"/>
      <c r="I86" s="326"/>
      <c r="J86" s="243"/>
      <c r="K86" s="85"/>
      <c r="L86" s="85"/>
      <c r="M86" s="85"/>
      <c r="N86" s="29"/>
      <c r="O86" s="307"/>
      <c r="P86" s="29"/>
      <c r="Q86" s="15"/>
      <c r="R86" s="15"/>
      <c r="S86" s="15"/>
      <c r="T86" s="15"/>
      <c r="U86" s="15"/>
      <c r="V86" s="243"/>
      <c r="W86" s="15"/>
    </row>
    <row r="87" ht="15.75" customHeight="1">
      <c r="A87" s="34"/>
      <c r="B87" s="327">
        <v>1.0</v>
      </c>
      <c r="C87" s="328" t="s">
        <v>84</v>
      </c>
      <c r="D87" s="329" t="s">
        <v>741</v>
      </c>
      <c r="E87" s="330" t="s">
        <v>1322</v>
      </c>
      <c r="F87" s="331">
        <v>1280.0</v>
      </c>
      <c r="H87" s="243"/>
      <c r="I87" s="332" t="s">
        <v>722</v>
      </c>
      <c r="J87" s="243"/>
      <c r="K87" s="85"/>
      <c r="L87" s="85"/>
      <c r="M87" s="85"/>
      <c r="N87" s="29"/>
      <c r="O87" s="307"/>
      <c r="P87" s="85" t="str">
        <f t="shared" ref="P87:P92" si="100">IFERROR(Q87/N87,"")</f>
        <v/>
      </c>
      <c r="Q87" s="318">
        <v>1280.0</v>
      </c>
      <c r="R87" s="141">
        <f t="shared" ref="R87:R92" si="101">IFERROR(Q87-F87,"")/F87</f>
        <v>0</v>
      </c>
      <c r="S87" s="304">
        <v>67.02</v>
      </c>
      <c r="T87" s="85" t="str">
        <f t="shared" ref="T87:T92" si="102">IFERROR(U87/N87,"")</f>
        <v/>
      </c>
      <c r="U87" s="139">
        <v>1440.0</v>
      </c>
      <c r="V87" s="141">
        <f t="shared" ref="V87:V92" si="103">IFERROR(U87-Q87,"")/Q87</f>
        <v>0.125</v>
      </c>
      <c r="W87" s="15"/>
    </row>
    <row r="88" ht="15.75" customHeight="1">
      <c r="A88" s="34"/>
      <c r="B88" s="327">
        <v>2.0</v>
      </c>
      <c r="C88" s="328" t="s">
        <v>84</v>
      </c>
      <c r="D88" s="334" t="s">
        <v>1326</v>
      </c>
      <c r="E88" s="330" t="s">
        <v>1327</v>
      </c>
      <c r="F88" s="331">
        <v>1280.0</v>
      </c>
      <c r="H88" s="243"/>
      <c r="I88" s="332" t="s">
        <v>722</v>
      </c>
      <c r="J88" s="243"/>
      <c r="K88" s="85"/>
      <c r="L88" s="85"/>
      <c r="M88" s="85"/>
      <c r="N88" s="29"/>
      <c r="O88" s="307"/>
      <c r="P88" s="85" t="str">
        <f t="shared" si="100"/>
        <v/>
      </c>
      <c r="Q88" s="318">
        <v>1280.0</v>
      </c>
      <c r="R88" s="141">
        <f t="shared" si="101"/>
        <v>0</v>
      </c>
      <c r="S88" s="304">
        <v>67.02</v>
      </c>
      <c r="T88" s="85" t="str">
        <f t="shared" si="102"/>
        <v/>
      </c>
      <c r="U88" s="139">
        <v>1440.0</v>
      </c>
      <c r="V88" s="141">
        <f t="shared" si="103"/>
        <v>0.125</v>
      </c>
      <c r="W88" s="15"/>
    </row>
    <row r="89" ht="15.75" customHeight="1">
      <c r="A89" s="34"/>
      <c r="B89" s="327">
        <v>3.0</v>
      </c>
      <c r="C89" s="328" t="s">
        <v>84</v>
      </c>
      <c r="D89" s="334" t="s">
        <v>716</v>
      </c>
      <c r="E89" s="330" t="s">
        <v>1328</v>
      </c>
      <c r="F89" s="331">
        <v>1358.0</v>
      </c>
      <c r="H89" s="243"/>
      <c r="I89" s="332" t="s">
        <v>722</v>
      </c>
      <c r="J89" s="243"/>
      <c r="K89" s="85"/>
      <c r="L89" s="85"/>
      <c r="M89" s="85"/>
      <c r="N89" s="29"/>
      <c r="O89" s="307"/>
      <c r="P89" s="85" t="str">
        <f t="shared" si="100"/>
        <v/>
      </c>
      <c r="Q89" s="318">
        <v>1358.0</v>
      </c>
      <c r="R89" s="141">
        <f t="shared" si="101"/>
        <v>0</v>
      </c>
      <c r="S89" s="304">
        <v>67.02</v>
      </c>
      <c r="T89" s="85" t="str">
        <f t="shared" si="102"/>
        <v/>
      </c>
      <c r="U89" s="139">
        <v>1520.0</v>
      </c>
      <c r="V89" s="141">
        <f t="shared" si="103"/>
        <v>0.1192930781</v>
      </c>
      <c r="W89" s="15"/>
    </row>
    <row r="90" ht="15.75" customHeight="1">
      <c r="A90" s="34"/>
      <c r="B90" s="327">
        <v>4.0</v>
      </c>
      <c r="C90" s="328" t="s">
        <v>84</v>
      </c>
      <c r="D90" s="334" t="s">
        <v>748</v>
      </c>
      <c r="E90" s="330" t="s">
        <v>1330</v>
      </c>
      <c r="F90" s="331">
        <v>1358.0</v>
      </c>
      <c r="H90" s="243"/>
      <c r="I90" s="332" t="s">
        <v>722</v>
      </c>
      <c r="J90" s="243"/>
      <c r="K90" s="85"/>
      <c r="L90" s="85"/>
      <c r="M90" s="85"/>
      <c r="N90" s="29"/>
      <c r="O90" s="307"/>
      <c r="P90" s="85" t="str">
        <f t="shared" si="100"/>
        <v/>
      </c>
      <c r="Q90" s="318">
        <v>1358.0</v>
      </c>
      <c r="R90" s="141">
        <f t="shared" si="101"/>
        <v>0</v>
      </c>
      <c r="S90" s="304">
        <v>67.02</v>
      </c>
      <c r="T90" s="85" t="str">
        <f t="shared" si="102"/>
        <v/>
      </c>
      <c r="U90" s="139">
        <v>1520.0</v>
      </c>
      <c r="V90" s="141">
        <f t="shared" si="103"/>
        <v>0.1192930781</v>
      </c>
      <c r="W90" s="15"/>
    </row>
    <row r="91" ht="15.75" customHeight="1">
      <c r="A91" s="34"/>
      <c r="B91" s="327">
        <v>5.0</v>
      </c>
      <c r="C91" s="328" t="s">
        <v>84</v>
      </c>
      <c r="D91" s="333" t="s">
        <v>760</v>
      </c>
      <c r="E91" s="330" t="s">
        <v>1331</v>
      </c>
      <c r="F91" s="331">
        <v>1388.0</v>
      </c>
      <c r="H91" s="243"/>
      <c r="I91" s="332" t="s">
        <v>722</v>
      </c>
      <c r="J91" s="243"/>
      <c r="K91" s="85"/>
      <c r="L91" s="85"/>
      <c r="M91" s="85"/>
      <c r="N91" s="29"/>
      <c r="O91" s="307"/>
      <c r="P91" s="85" t="str">
        <f t="shared" si="100"/>
        <v/>
      </c>
      <c r="Q91" s="318">
        <v>1388.0</v>
      </c>
      <c r="R91" s="141">
        <f t="shared" si="101"/>
        <v>0</v>
      </c>
      <c r="S91" s="304">
        <v>67.02</v>
      </c>
      <c r="T91" s="85" t="str">
        <f t="shared" si="102"/>
        <v/>
      </c>
      <c r="U91" s="139">
        <v>1560.0</v>
      </c>
      <c r="V91" s="141">
        <f t="shared" si="103"/>
        <v>0.1239193084</v>
      </c>
      <c r="W91" s="15"/>
    </row>
    <row r="92" ht="15.75" customHeight="1">
      <c r="A92" s="34"/>
      <c r="B92" s="327">
        <v>6.0</v>
      </c>
      <c r="C92" s="328" t="s">
        <v>84</v>
      </c>
      <c r="D92" s="334" t="s">
        <v>729</v>
      </c>
      <c r="E92" s="330" t="s">
        <v>1332</v>
      </c>
      <c r="F92" s="331">
        <v>1280.0</v>
      </c>
      <c r="H92" s="243"/>
      <c r="I92" s="332" t="s">
        <v>722</v>
      </c>
      <c r="J92" s="243"/>
      <c r="K92" s="85"/>
      <c r="L92" s="85"/>
      <c r="M92" s="85"/>
      <c r="N92" s="29"/>
      <c r="O92" s="307"/>
      <c r="P92" s="85" t="str">
        <f t="shared" si="100"/>
        <v/>
      </c>
      <c r="Q92" s="318">
        <v>1280.0</v>
      </c>
      <c r="R92" s="141">
        <f t="shared" si="101"/>
        <v>0</v>
      </c>
      <c r="S92" s="304">
        <v>67.02</v>
      </c>
      <c r="T92" s="85" t="str">
        <f t="shared" si="102"/>
        <v/>
      </c>
      <c r="U92" s="139">
        <v>1440.0</v>
      </c>
      <c r="V92" s="141">
        <f t="shared" si="103"/>
        <v>0.125</v>
      </c>
      <c r="W92" s="15"/>
    </row>
    <row r="93">
      <c r="A93" s="34"/>
      <c r="B93" s="325" t="s">
        <v>11</v>
      </c>
      <c r="C93" s="45"/>
      <c r="D93" s="45"/>
      <c r="E93" s="46"/>
      <c r="F93" s="337">
        <f>SUM(F87:F92)</f>
        <v>7944</v>
      </c>
      <c r="G93" s="326"/>
      <c r="H93" s="243"/>
      <c r="I93" s="243"/>
      <c r="J93" s="243"/>
      <c r="K93" s="85"/>
      <c r="L93" s="85"/>
      <c r="M93" s="85"/>
      <c r="N93" s="29"/>
      <c r="O93" s="307"/>
      <c r="P93" s="29"/>
      <c r="Q93" s="15"/>
      <c r="R93" s="15"/>
      <c r="S93" s="15"/>
      <c r="T93" s="15"/>
      <c r="U93" s="15"/>
      <c r="V93" s="243"/>
      <c r="W93" s="15"/>
    </row>
    <row r="94">
      <c r="A94" s="34"/>
      <c r="B94" s="15"/>
      <c r="C94" s="15"/>
      <c r="D94" s="15"/>
      <c r="E94" s="17"/>
      <c r="F94" s="15"/>
      <c r="G94" s="250"/>
      <c r="H94" s="243"/>
      <c r="I94" s="243"/>
      <c r="J94" s="243"/>
      <c r="K94" s="85"/>
      <c r="L94" s="85"/>
      <c r="M94" s="85"/>
      <c r="N94" s="29"/>
      <c r="O94" s="307"/>
      <c r="P94" s="29"/>
      <c r="Q94" s="15"/>
      <c r="R94" s="15"/>
      <c r="S94" s="15"/>
      <c r="T94" s="15"/>
      <c r="U94" s="15"/>
      <c r="V94" s="243"/>
      <c r="W94" s="15"/>
    </row>
    <row r="95">
      <c r="A95" s="34"/>
      <c r="B95" s="15"/>
      <c r="C95" s="15"/>
      <c r="D95" s="15"/>
      <c r="E95" s="17"/>
      <c r="F95" s="15"/>
      <c r="G95" s="250"/>
      <c r="H95" s="243"/>
      <c r="I95" s="243"/>
      <c r="J95" s="243"/>
      <c r="K95" s="85"/>
      <c r="L95" s="85"/>
      <c r="M95" s="85"/>
      <c r="N95" s="29"/>
      <c r="O95" s="307"/>
      <c r="P95" s="29"/>
      <c r="Q95" s="15"/>
      <c r="R95" s="15"/>
      <c r="S95" s="15"/>
      <c r="T95" s="15"/>
      <c r="U95" s="15"/>
      <c r="V95" s="243"/>
      <c r="W95" s="15"/>
    </row>
    <row r="96">
      <c r="A96" s="34"/>
      <c r="B96" s="15"/>
      <c r="C96" s="15"/>
      <c r="D96" s="15"/>
      <c r="E96" s="17"/>
      <c r="F96" s="15"/>
      <c r="G96" s="250"/>
      <c r="H96" s="243"/>
      <c r="I96" s="243"/>
      <c r="J96" s="243"/>
      <c r="K96" s="85"/>
      <c r="L96" s="85"/>
      <c r="M96" s="85"/>
      <c r="N96" s="29"/>
      <c r="O96" s="307"/>
      <c r="P96" s="29"/>
      <c r="Q96" s="15"/>
      <c r="R96" s="15"/>
      <c r="S96" s="15"/>
      <c r="T96" s="15"/>
      <c r="U96" s="15"/>
      <c r="V96" s="243"/>
      <c r="W96" s="15"/>
    </row>
    <row r="97">
      <c r="A97" s="34"/>
      <c r="B97" s="15"/>
      <c r="C97" s="15"/>
      <c r="D97" s="15"/>
      <c r="E97" s="17"/>
      <c r="F97" s="15"/>
      <c r="G97" s="250"/>
      <c r="H97" s="243"/>
      <c r="I97" s="243"/>
      <c r="J97" s="243"/>
      <c r="K97" s="85"/>
      <c r="L97" s="85"/>
      <c r="M97" s="85"/>
      <c r="N97" s="29"/>
      <c r="O97" s="307"/>
      <c r="P97" s="29"/>
      <c r="Q97" s="15"/>
      <c r="R97" s="15"/>
      <c r="S97" s="15"/>
      <c r="T97" s="15"/>
      <c r="U97" s="15"/>
      <c r="V97" s="243"/>
      <c r="W97" s="15"/>
    </row>
    <row r="98">
      <c r="A98" s="34"/>
      <c r="B98" s="15"/>
      <c r="C98" s="15"/>
      <c r="D98" s="15"/>
      <c r="E98" s="17"/>
      <c r="F98" s="15"/>
      <c r="G98" s="250"/>
      <c r="H98" s="243"/>
      <c r="I98" s="243"/>
      <c r="J98" s="243"/>
      <c r="K98" s="85"/>
      <c r="L98" s="85"/>
      <c r="M98" s="85"/>
      <c r="N98" s="29"/>
      <c r="O98" s="307"/>
      <c r="P98" s="29"/>
      <c r="Q98" s="15"/>
      <c r="R98" s="15"/>
      <c r="S98" s="15"/>
      <c r="T98" s="15"/>
      <c r="U98" s="15"/>
      <c r="V98" s="243"/>
      <c r="W98" s="15"/>
    </row>
    <row r="99">
      <c r="A99" s="34"/>
      <c r="B99" s="15"/>
      <c r="C99" s="15"/>
      <c r="D99" s="15"/>
      <c r="E99" s="17"/>
      <c r="F99" s="15"/>
      <c r="G99" s="250"/>
      <c r="H99" s="243"/>
      <c r="I99" s="243"/>
      <c r="J99" s="243"/>
      <c r="K99" s="85"/>
      <c r="L99" s="85"/>
      <c r="M99" s="85"/>
      <c r="N99" s="29"/>
      <c r="O99" s="307"/>
      <c r="P99" s="29"/>
      <c r="Q99" s="15"/>
      <c r="R99" s="15"/>
      <c r="S99" s="15"/>
      <c r="T99" s="15"/>
      <c r="U99" s="15"/>
      <c r="V99" s="243"/>
      <c r="W99" s="15"/>
    </row>
    <row r="100">
      <c r="A100" s="34"/>
      <c r="B100" s="15"/>
      <c r="C100" s="15"/>
      <c r="D100" s="15"/>
      <c r="E100" s="17"/>
      <c r="F100" s="15"/>
      <c r="G100" s="250"/>
      <c r="H100" s="243"/>
      <c r="I100" s="243"/>
      <c r="J100" s="243"/>
      <c r="K100" s="85"/>
      <c r="L100" s="85"/>
      <c r="M100" s="85"/>
      <c r="N100" s="29"/>
      <c r="O100" s="307"/>
      <c r="P100" s="29"/>
      <c r="Q100" s="15"/>
      <c r="R100" s="15"/>
      <c r="S100" s="15"/>
      <c r="T100" s="15"/>
      <c r="U100" s="15"/>
      <c r="V100" s="243"/>
      <c r="W100" s="15"/>
    </row>
    <row r="101">
      <c r="A101" s="34"/>
      <c r="B101" s="15"/>
      <c r="C101" s="15"/>
      <c r="D101" s="15"/>
      <c r="E101" s="17"/>
      <c r="F101" s="15"/>
      <c r="G101" s="250"/>
      <c r="H101" s="243"/>
      <c r="I101" s="243"/>
      <c r="J101" s="243"/>
      <c r="K101" s="85"/>
      <c r="L101" s="85"/>
      <c r="M101" s="85"/>
      <c r="N101" s="29"/>
      <c r="O101" s="307"/>
      <c r="P101" s="29"/>
      <c r="Q101" s="15"/>
      <c r="R101" s="15"/>
      <c r="S101" s="15"/>
      <c r="T101" s="15"/>
      <c r="U101" s="15"/>
      <c r="V101" s="243"/>
      <c r="W101" s="15"/>
    </row>
    <row r="102">
      <c r="A102" s="34"/>
      <c r="B102" s="15"/>
      <c r="C102" s="15"/>
      <c r="D102" s="15"/>
      <c r="E102" s="17"/>
      <c r="F102" s="15"/>
      <c r="G102" s="250"/>
      <c r="H102" s="243"/>
      <c r="I102" s="243"/>
      <c r="J102" s="243"/>
      <c r="K102" s="85"/>
      <c r="L102" s="85"/>
      <c r="M102" s="85"/>
      <c r="N102" s="29"/>
      <c r="O102" s="307"/>
      <c r="P102" s="29"/>
      <c r="Q102" s="15"/>
      <c r="R102" s="15"/>
      <c r="S102" s="15"/>
      <c r="T102" s="15"/>
      <c r="U102" s="15"/>
      <c r="V102" s="243"/>
      <c r="W102" s="15"/>
    </row>
    <row r="103">
      <c r="A103" s="34"/>
      <c r="B103" s="15"/>
      <c r="C103" s="15"/>
      <c r="D103" s="15"/>
      <c r="E103" s="17"/>
      <c r="F103" s="15"/>
      <c r="G103" s="250"/>
      <c r="H103" s="243"/>
      <c r="I103" s="243"/>
      <c r="J103" s="243"/>
      <c r="K103" s="85"/>
      <c r="L103" s="85"/>
      <c r="M103" s="85"/>
      <c r="N103" s="29"/>
      <c r="O103" s="307"/>
      <c r="P103" s="29"/>
      <c r="Q103" s="15"/>
      <c r="R103" s="15"/>
      <c r="S103" s="15"/>
      <c r="T103" s="15"/>
      <c r="U103" s="15"/>
      <c r="V103" s="243"/>
      <c r="W103" s="15"/>
    </row>
    <row r="104">
      <c r="A104" s="34"/>
      <c r="B104" s="15"/>
      <c r="C104" s="15"/>
      <c r="D104" s="15"/>
      <c r="E104" s="17"/>
      <c r="F104" s="15"/>
      <c r="G104" s="250"/>
      <c r="H104" s="243"/>
      <c r="I104" s="243"/>
      <c r="J104" s="243"/>
      <c r="K104" s="85"/>
      <c r="L104" s="85"/>
      <c r="M104" s="85"/>
      <c r="N104" s="29"/>
      <c r="O104" s="307"/>
      <c r="P104" s="29"/>
      <c r="Q104" s="15"/>
      <c r="R104" s="15"/>
      <c r="S104" s="15"/>
      <c r="T104" s="15"/>
      <c r="U104" s="15"/>
      <c r="V104" s="243"/>
      <c r="W104" s="15"/>
    </row>
    <row r="105">
      <c r="A105" s="34"/>
      <c r="B105" s="15"/>
      <c r="C105" s="15"/>
      <c r="D105" s="15"/>
      <c r="E105" s="17"/>
      <c r="F105" s="15"/>
      <c r="G105" s="250"/>
      <c r="H105" s="243"/>
      <c r="I105" s="243"/>
      <c r="J105" s="243"/>
      <c r="K105" s="85"/>
      <c r="L105" s="85"/>
      <c r="M105" s="85"/>
      <c r="N105" s="29"/>
      <c r="O105" s="307"/>
      <c r="P105" s="29"/>
      <c r="Q105" s="15"/>
      <c r="R105" s="15"/>
      <c r="S105" s="15"/>
      <c r="T105" s="15"/>
      <c r="U105" s="15"/>
      <c r="V105" s="243"/>
      <c r="W105" s="15"/>
    </row>
    <row r="106">
      <c r="A106" s="34"/>
      <c r="B106" s="15"/>
      <c r="C106" s="15"/>
      <c r="D106" s="15"/>
      <c r="E106" s="17"/>
      <c r="F106" s="15"/>
      <c r="G106" s="250"/>
      <c r="H106" s="243"/>
      <c r="I106" s="243"/>
      <c r="J106" s="243"/>
      <c r="K106" s="85"/>
      <c r="L106" s="85"/>
      <c r="M106" s="85"/>
      <c r="N106" s="29"/>
      <c r="O106" s="307"/>
      <c r="P106" s="29"/>
      <c r="Q106" s="15"/>
      <c r="R106" s="15"/>
      <c r="S106" s="15"/>
      <c r="T106" s="15"/>
      <c r="U106" s="15"/>
      <c r="V106" s="243"/>
      <c r="W106" s="15"/>
    </row>
    <row r="107">
      <c r="A107" s="34"/>
      <c r="B107" s="15"/>
      <c r="C107" s="15"/>
      <c r="D107" s="15"/>
      <c r="E107" s="17"/>
      <c r="F107" s="15"/>
      <c r="G107" s="250"/>
      <c r="H107" s="243"/>
      <c r="I107" s="243"/>
      <c r="J107" s="243"/>
      <c r="K107" s="85"/>
      <c r="L107" s="85"/>
      <c r="M107" s="85"/>
      <c r="N107" s="29"/>
      <c r="O107" s="307"/>
      <c r="P107" s="29"/>
      <c r="Q107" s="15"/>
      <c r="R107" s="15"/>
      <c r="S107" s="15"/>
      <c r="T107" s="15"/>
      <c r="U107" s="15"/>
      <c r="V107" s="243"/>
      <c r="W107" s="15"/>
    </row>
    <row r="108">
      <c r="A108" s="34"/>
      <c r="B108" s="15"/>
      <c r="C108" s="15"/>
      <c r="D108" s="15"/>
      <c r="E108" s="17"/>
      <c r="F108" s="15"/>
      <c r="G108" s="250"/>
      <c r="H108" s="243"/>
      <c r="I108" s="243"/>
      <c r="J108" s="243"/>
      <c r="K108" s="85"/>
      <c r="L108" s="85"/>
      <c r="M108" s="85"/>
      <c r="N108" s="29"/>
      <c r="O108" s="307"/>
      <c r="P108" s="29"/>
      <c r="Q108" s="15"/>
      <c r="R108" s="15"/>
      <c r="S108" s="15"/>
      <c r="T108" s="15"/>
      <c r="U108" s="15"/>
      <c r="V108" s="243"/>
      <c r="W108" s="15"/>
    </row>
    <row r="109">
      <c r="A109" s="34"/>
      <c r="B109" s="15"/>
      <c r="C109" s="15"/>
      <c r="D109" s="15"/>
      <c r="E109" s="17"/>
      <c r="F109" s="15"/>
      <c r="G109" s="250"/>
      <c r="H109" s="243"/>
      <c r="I109" s="243"/>
      <c r="J109" s="243"/>
      <c r="K109" s="85"/>
      <c r="L109" s="85"/>
      <c r="M109" s="85"/>
      <c r="N109" s="29"/>
      <c r="O109" s="307"/>
      <c r="P109" s="29"/>
      <c r="Q109" s="15"/>
      <c r="R109" s="15"/>
      <c r="S109" s="15"/>
      <c r="T109" s="15"/>
      <c r="U109" s="15"/>
      <c r="V109" s="243"/>
      <c r="W109" s="15"/>
    </row>
    <row r="110">
      <c r="A110" s="34"/>
      <c r="B110" s="15"/>
      <c r="C110" s="15"/>
      <c r="D110" s="15"/>
      <c r="E110" s="17"/>
      <c r="F110" s="15"/>
      <c r="G110" s="250"/>
      <c r="H110" s="243"/>
      <c r="I110" s="243"/>
      <c r="J110" s="243"/>
      <c r="K110" s="85"/>
      <c r="L110" s="85"/>
      <c r="M110" s="85"/>
      <c r="N110" s="29"/>
      <c r="O110" s="307"/>
      <c r="P110" s="29"/>
      <c r="Q110" s="15"/>
      <c r="R110" s="15"/>
      <c r="S110" s="15"/>
      <c r="T110" s="15"/>
      <c r="U110" s="15"/>
      <c r="V110" s="243"/>
      <c r="W110" s="15"/>
    </row>
    <row r="111">
      <c r="A111" s="34"/>
      <c r="B111" s="15"/>
      <c r="C111" s="15"/>
      <c r="D111" s="15"/>
      <c r="E111" s="17"/>
      <c r="F111" s="15"/>
      <c r="G111" s="250"/>
      <c r="H111" s="243"/>
      <c r="I111" s="243"/>
      <c r="J111" s="243"/>
      <c r="K111" s="85"/>
      <c r="L111" s="85"/>
      <c r="M111" s="85"/>
      <c r="N111" s="29"/>
      <c r="O111" s="307"/>
      <c r="P111" s="29"/>
      <c r="Q111" s="15"/>
      <c r="R111" s="15"/>
      <c r="S111" s="15"/>
      <c r="T111" s="15"/>
      <c r="U111" s="15"/>
      <c r="V111" s="243"/>
      <c r="W111" s="15"/>
    </row>
    <row r="112">
      <c r="A112" s="34"/>
      <c r="B112" s="15"/>
      <c r="C112" s="15"/>
      <c r="D112" s="15"/>
      <c r="E112" s="17"/>
      <c r="F112" s="15"/>
      <c r="G112" s="250"/>
      <c r="H112" s="243"/>
      <c r="I112" s="243"/>
      <c r="J112" s="243"/>
      <c r="K112" s="85"/>
      <c r="L112" s="85"/>
      <c r="M112" s="85"/>
      <c r="N112" s="29"/>
      <c r="O112" s="307"/>
      <c r="P112" s="29"/>
      <c r="Q112" s="15"/>
      <c r="R112" s="15"/>
      <c r="S112" s="15"/>
      <c r="T112" s="15"/>
      <c r="U112" s="15"/>
      <c r="V112" s="243"/>
      <c r="W112" s="15"/>
    </row>
    <row r="113">
      <c r="A113" s="34"/>
      <c r="B113" s="15"/>
      <c r="C113" s="15"/>
      <c r="D113" s="15"/>
      <c r="E113" s="17"/>
      <c r="F113" s="15"/>
      <c r="G113" s="250"/>
      <c r="H113" s="243"/>
      <c r="I113" s="243"/>
      <c r="J113" s="243"/>
      <c r="K113" s="85"/>
      <c r="L113" s="85"/>
      <c r="M113" s="85"/>
      <c r="N113" s="29"/>
      <c r="O113" s="307"/>
      <c r="P113" s="29"/>
      <c r="Q113" s="15"/>
      <c r="R113" s="15"/>
      <c r="S113" s="15"/>
      <c r="T113" s="15"/>
      <c r="U113" s="15"/>
      <c r="V113" s="243"/>
      <c r="W113" s="15"/>
    </row>
    <row r="114">
      <c r="A114" s="34"/>
      <c r="B114" s="15"/>
      <c r="C114" s="15"/>
      <c r="D114" s="15"/>
      <c r="E114" s="17"/>
      <c r="F114" s="15"/>
      <c r="G114" s="250"/>
      <c r="H114" s="243"/>
      <c r="I114" s="243"/>
      <c r="J114" s="243"/>
      <c r="K114" s="85"/>
      <c r="L114" s="85"/>
      <c r="M114" s="85"/>
      <c r="N114" s="29"/>
      <c r="O114" s="307"/>
      <c r="P114" s="29"/>
      <c r="Q114" s="15"/>
      <c r="R114" s="15"/>
      <c r="S114" s="15"/>
      <c r="T114" s="15"/>
      <c r="U114" s="15"/>
      <c r="V114" s="243"/>
      <c r="W114" s="15"/>
    </row>
    <row r="115">
      <c r="A115" s="34"/>
      <c r="B115" s="15"/>
      <c r="C115" s="15"/>
      <c r="D115" s="15"/>
      <c r="E115" s="17"/>
      <c r="F115" s="15"/>
      <c r="G115" s="250"/>
      <c r="H115" s="243"/>
      <c r="I115" s="243"/>
      <c r="J115" s="243"/>
      <c r="K115" s="85"/>
      <c r="L115" s="85"/>
      <c r="M115" s="85"/>
      <c r="N115" s="29"/>
      <c r="O115" s="307"/>
      <c r="P115" s="29"/>
      <c r="Q115" s="15"/>
      <c r="R115" s="15"/>
      <c r="S115" s="15"/>
      <c r="T115" s="15"/>
      <c r="U115" s="15"/>
      <c r="V115" s="243"/>
      <c r="W115" s="15"/>
    </row>
    <row r="116">
      <c r="A116" s="34"/>
      <c r="B116" s="15"/>
      <c r="C116" s="15"/>
      <c r="D116" s="15"/>
      <c r="E116" s="17"/>
      <c r="F116" s="15"/>
      <c r="G116" s="250"/>
      <c r="H116" s="243"/>
      <c r="I116" s="243"/>
      <c r="J116" s="243"/>
      <c r="K116" s="85"/>
      <c r="L116" s="85"/>
      <c r="M116" s="85"/>
      <c r="N116" s="29"/>
      <c r="O116" s="307"/>
      <c r="P116" s="29"/>
      <c r="Q116" s="15"/>
      <c r="R116" s="15"/>
      <c r="S116" s="15"/>
      <c r="T116" s="15"/>
      <c r="U116" s="15"/>
      <c r="V116" s="243"/>
      <c r="W116" s="15"/>
    </row>
    <row r="117">
      <c r="A117" s="34"/>
      <c r="B117" s="15"/>
      <c r="C117" s="15"/>
      <c r="D117" s="15"/>
      <c r="E117" s="17"/>
      <c r="F117" s="15"/>
      <c r="G117" s="250"/>
      <c r="H117" s="243"/>
      <c r="I117" s="243"/>
      <c r="J117" s="243"/>
      <c r="K117" s="85"/>
      <c r="L117" s="85"/>
      <c r="M117" s="85"/>
      <c r="N117" s="29"/>
      <c r="O117" s="307"/>
      <c r="P117" s="29"/>
      <c r="Q117" s="15"/>
      <c r="R117" s="15"/>
      <c r="S117" s="15"/>
      <c r="T117" s="15"/>
      <c r="U117" s="15"/>
      <c r="V117" s="243"/>
      <c r="W117" s="15"/>
    </row>
    <row r="118">
      <c r="A118" s="34"/>
      <c r="B118" s="15"/>
      <c r="C118" s="15"/>
      <c r="D118" s="15"/>
      <c r="E118" s="17"/>
      <c r="F118" s="15"/>
      <c r="G118" s="250"/>
      <c r="H118" s="243"/>
      <c r="I118" s="243"/>
      <c r="J118" s="243"/>
      <c r="K118" s="85"/>
      <c r="L118" s="85"/>
      <c r="M118" s="85"/>
      <c r="N118" s="29"/>
      <c r="O118" s="307"/>
      <c r="P118" s="29"/>
      <c r="Q118" s="15"/>
      <c r="R118" s="15"/>
      <c r="S118" s="15"/>
      <c r="T118" s="15"/>
      <c r="U118" s="15"/>
      <c r="V118" s="243"/>
      <c r="W118" s="15"/>
    </row>
    <row r="119">
      <c r="A119" s="34"/>
      <c r="B119" s="15"/>
      <c r="C119" s="15"/>
      <c r="D119" s="15"/>
      <c r="E119" s="17"/>
      <c r="F119" s="15"/>
      <c r="G119" s="250"/>
      <c r="H119" s="243"/>
      <c r="I119" s="243"/>
      <c r="J119" s="243"/>
      <c r="K119" s="85"/>
      <c r="L119" s="85"/>
      <c r="M119" s="85"/>
      <c r="N119" s="29"/>
      <c r="O119" s="307"/>
      <c r="P119" s="29"/>
      <c r="Q119" s="15"/>
      <c r="R119" s="15"/>
      <c r="S119" s="15"/>
      <c r="T119" s="15"/>
      <c r="U119" s="15"/>
      <c r="V119" s="243"/>
      <c r="W119" s="15"/>
    </row>
    <row r="120">
      <c r="A120" s="34"/>
      <c r="B120" s="15"/>
      <c r="C120" s="15"/>
      <c r="D120" s="15"/>
      <c r="E120" s="17"/>
      <c r="F120" s="15"/>
      <c r="G120" s="250"/>
      <c r="H120" s="243"/>
      <c r="I120" s="243"/>
      <c r="J120" s="243"/>
      <c r="K120" s="85"/>
      <c r="L120" s="85"/>
      <c r="M120" s="85"/>
      <c r="N120" s="29"/>
      <c r="O120" s="307"/>
      <c r="P120" s="29"/>
      <c r="Q120" s="15"/>
      <c r="R120" s="15"/>
      <c r="S120" s="15"/>
      <c r="T120" s="15"/>
      <c r="U120" s="15"/>
      <c r="V120" s="243"/>
      <c r="W120" s="15"/>
    </row>
    <row r="121">
      <c r="A121" s="34"/>
      <c r="B121" s="15"/>
      <c r="C121" s="15"/>
      <c r="D121" s="15"/>
      <c r="E121" s="17"/>
      <c r="F121" s="15"/>
      <c r="G121" s="250"/>
      <c r="H121" s="243"/>
      <c r="I121" s="243"/>
      <c r="J121" s="243"/>
      <c r="K121" s="85"/>
      <c r="L121" s="85"/>
      <c r="M121" s="85"/>
      <c r="N121" s="29"/>
      <c r="O121" s="307"/>
      <c r="P121" s="29"/>
      <c r="Q121" s="15"/>
      <c r="R121" s="15"/>
      <c r="S121" s="15"/>
      <c r="T121" s="15"/>
      <c r="U121" s="15"/>
      <c r="V121" s="243"/>
      <c r="W121" s="15"/>
    </row>
    <row r="122">
      <c r="A122" s="34"/>
      <c r="B122" s="15"/>
      <c r="C122" s="15"/>
      <c r="D122" s="15"/>
      <c r="E122" s="17"/>
      <c r="F122" s="15"/>
      <c r="G122" s="250"/>
      <c r="H122" s="243"/>
      <c r="I122" s="243"/>
      <c r="J122" s="243"/>
      <c r="K122" s="85"/>
      <c r="L122" s="85"/>
      <c r="M122" s="85"/>
      <c r="N122" s="29"/>
      <c r="O122" s="307"/>
      <c r="P122" s="29"/>
      <c r="Q122" s="15"/>
      <c r="R122" s="15"/>
      <c r="S122" s="15"/>
      <c r="T122" s="15"/>
      <c r="U122" s="15"/>
      <c r="V122" s="243"/>
      <c r="W122" s="15"/>
    </row>
    <row r="123">
      <c r="A123" s="34"/>
      <c r="B123" s="15"/>
      <c r="C123" s="15"/>
      <c r="D123" s="15"/>
      <c r="E123" s="17"/>
      <c r="F123" s="15"/>
      <c r="G123" s="250"/>
      <c r="H123" s="243"/>
      <c r="I123" s="243"/>
      <c r="J123" s="243"/>
      <c r="K123" s="85"/>
      <c r="L123" s="85"/>
      <c r="M123" s="85"/>
      <c r="N123" s="29"/>
      <c r="O123" s="307"/>
      <c r="P123" s="29"/>
      <c r="Q123" s="15"/>
      <c r="R123" s="15"/>
      <c r="S123" s="15"/>
      <c r="T123" s="15"/>
      <c r="U123" s="15"/>
      <c r="V123" s="243"/>
      <c r="W123" s="15"/>
    </row>
    <row r="124">
      <c r="A124" s="34"/>
      <c r="B124" s="15"/>
      <c r="C124" s="15"/>
      <c r="D124" s="15"/>
      <c r="E124" s="17"/>
      <c r="F124" s="15"/>
      <c r="G124" s="250"/>
      <c r="H124" s="243"/>
      <c r="I124" s="243"/>
      <c r="J124" s="243"/>
      <c r="K124" s="85"/>
      <c r="L124" s="85"/>
      <c r="M124" s="85"/>
      <c r="N124" s="29"/>
      <c r="O124" s="307"/>
      <c r="P124" s="29"/>
      <c r="Q124" s="15"/>
      <c r="R124" s="15"/>
      <c r="S124" s="15"/>
      <c r="T124" s="15"/>
      <c r="U124" s="15"/>
      <c r="V124" s="243"/>
      <c r="W124" s="15"/>
    </row>
    <row r="125">
      <c r="A125" s="34"/>
      <c r="B125" s="15"/>
      <c r="C125" s="15"/>
      <c r="D125" s="15"/>
      <c r="E125" s="17"/>
      <c r="F125" s="15"/>
      <c r="G125" s="250"/>
      <c r="H125" s="243"/>
      <c r="I125" s="243"/>
      <c r="J125" s="243"/>
      <c r="K125" s="85"/>
      <c r="L125" s="85"/>
      <c r="M125" s="85"/>
      <c r="N125" s="29"/>
      <c r="O125" s="307"/>
      <c r="P125" s="29"/>
      <c r="Q125" s="15"/>
      <c r="R125" s="15"/>
      <c r="S125" s="15"/>
      <c r="T125" s="15"/>
      <c r="U125" s="15"/>
      <c r="V125" s="243"/>
      <c r="W125" s="15"/>
    </row>
    <row r="126">
      <c r="A126" s="34"/>
      <c r="B126" s="15"/>
      <c r="C126" s="15"/>
      <c r="D126" s="15"/>
      <c r="E126" s="17"/>
      <c r="F126" s="15"/>
      <c r="G126" s="250"/>
      <c r="H126" s="243"/>
      <c r="I126" s="243"/>
      <c r="J126" s="243"/>
      <c r="K126" s="85"/>
      <c r="L126" s="85"/>
      <c r="M126" s="85"/>
      <c r="N126" s="29"/>
      <c r="O126" s="307"/>
      <c r="P126" s="29"/>
      <c r="Q126" s="15"/>
      <c r="R126" s="15"/>
      <c r="S126" s="15"/>
      <c r="T126" s="15"/>
      <c r="U126" s="15"/>
      <c r="V126" s="243"/>
      <c r="W126" s="15"/>
    </row>
    <row r="127">
      <c r="A127" s="34"/>
      <c r="B127" s="15"/>
      <c r="C127" s="15"/>
      <c r="D127" s="15"/>
      <c r="E127" s="17"/>
      <c r="F127" s="15"/>
      <c r="G127" s="250"/>
      <c r="H127" s="243"/>
      <c r="I127" s="243"/>
      <c r="J127" s="243"/>
      <c r="K127" s="85"/>
      <c r="L127" s="85"/>
      <c r="M127" s="85"/>
      <c r="N127" s="29"/>
      <c r="O127" s="307"/>
      <c r="P127" s="29"/>
      <c r="Q127" s="15"/>
      <c r="R127" s="15"/>
      <c r="S127" s="15"/>
      <c r="T127" s="15"/>
      <c r="U127" s="15"/>
      <c r="V127" s="243"/>
      <c r="W127" s="15"/>
    </row>
    <row r="128">
      <c r="A128" s="34"/>
      <c r="B128" s="15"/>
      <c r="C128" s="15"/>
      <c r="D128" s="15"/>
      <c r="E128" s="17"/>
      <c r="F128" s="15"/>
      <c r="G128" s="250"/>
      <c r="H128" s="243"/>
      <c r="I128" s="243"/>
      <c r="J128" s="243"/>
      <c r="K128" s="85"/>
      <c r="L128" s="85"/>
      <c r="M128" s="85"/>
      <c r="N128" s="29"/>
      <c r="O128" s="307"/>
      <c r="P128" s="29"/>
      <c r="Q128" s="15"/>
      <c r="R128" s="15"/>
      <c r="S128" s="15"/>
      <c r="T128" s="15"/>
      <c r="U128" s="15"/>
      <c r="V128" s="243"/>
      <c r="W128" s="15"/>
    </row>
    <row r="129">
      <c r="A129" s="34"/>
      <c r="B129" s="15"/>
      <c r="C129" s="15"/>
      <c r="D129" s="15"/>
      <c r="E129" s="17"/>
      <c r="F129" s="15"/>
      <c r="G129" s="250"/>
      <c r="H129" s="243"/>
      <c r="I129" s="243"/>
      <c r="J129" s="243"/>
      <c r="K129" s="85"/>
      <c r="L129" s="85"/>
      <c r="M129" s="85"/>
      <c r="N129" s="29"/>
      <c r="O129" s="307"/>
      <c r="P129" s="29"/>
      <c r="Q129" s="15"/>
      <c r="R129" s="15"/>
      <c r="S129" s="15"/>
      <c r="T129" s="15"/>
      <c r="U129" s="15"/>
      <c r="V129" s="243"/>
      <c r="W129" s="15"/>
    </row>
    <row r="130">
      <c r="A130" s="34"/>
      <c r="B130" s="15"/>
      <c r="C130" s="15"/>
      <c r="D130" s="15"/>
      <c r="E130" s="17"/>
      <c r="F130" s="15"/>
      <c r="G130" s="250"/>
      <c r="H130" s="243"/>
      <c r="I130" s="243"/>
      <c r="J130" s="243"/>
      <c r="K130" s="85"/>
      <c r="L130" s="85"/>
      <c r="M130" s="85"/>
      <c r="N130" s="29"/>
      <c r="O130" s="307"/>
      <c r="P130" s="29"/>
      <c r="Q130" s="15"/>
      <c r="R130" s="15"/>
      <c r="S130" s="15"/>
      <c r="T130" s="15"/>
      <c r="U130" s="15"/>
      <c r="V130" s="243"/>
      <c r="W130" s="15"/>
    </row>
    <row r="131">
      <c r="A131" s="34"/>
      <c r="B131" s="15"/>
      <c r="C131" s="15"/>
      <c r="D131" s="15"/>
      <c r="E131" s="17"/>
      <c r="F131" s="15"/>
      <c r="G131" s="250"/>
      <c r="H131" s="243"/>
      <c r="I131" s="243"/>
      <c r="J131" s="243"/>
      <c r="K131" s="85"/>
      <c r="L131" s="85"/>
      <c r="M131" s="85"/>
      <c r="N131" s="29"/>
      <c r="O131" s="307"/>
      <c r="P131" s="29"/>
      <c r="Q131" s="15"/>
      <c r="R131" s="15"/>
      <c r="S131" s="15"/>
      <c r="T131" s="15"/>
      <c r="U131" s="15"/>
      <c r="V131" s="243"/>
      <c r="W131" s="15"/>
    </row>
    <row r="132">
      <c r="A132" s="34"/>
      <c r="B132" s="15"/>
      <c r="C132" s="15"/>
      <c r="D132" s="15"/>
      <c r="E132" s="17"/>
      <c r="F132" s="15"/>
      <c r="G132" s="250"/>
      <c r="H132" s="243"/>
      <c r="I132" s="243"/>
      <c r="J132" s="243"/>
      <c r="K132" s="85"/>
      <c r="L132" s="85"/>
      <c r="M132" s="85"/>
      <c r="N132" s="29"/>
      <c r="O132" s="307"/>
      <c r="P132" s="29"/>
      <c r="Q132" s="15"/>
      <c r="R132" s="15"/>
      <c r="S132" s="15"/>
      <c r="T132" s="15"/>
      <c r="U132" s="15"/>
      <c r="V132" s="243"/>
      <c r="W132" s="15"/>
    </row>
    <row r="133">
      <c r="A133" s="34"/>
      <c r="B133" s="15"/>
      <c r="C133" s="15"/>
      <c r="D133" s="15"/>
      <c r="E133" s="17"/>
      <c r="F133" s="15"/>
      <c r="G133" s="250"/>
      <c r="H133" s="243"/>
      <c r="I133" s="243"/>
      <c r="J133" s="243"/>
      <c r="K133" s="85"/>
      <c r="L133" s="85"/>
      <c r="M133" s="85"/>
      <c r="N133" s="29"/>
      <c r="O133" s="307"/>
      <c r="P133" s="29"/>
      <c r="Q133" s="15"/>
      <c r="R133" s="15"/>
      <c r="S133" s="15"/>
      <c r="T133" s="15"/>
      <c r="U133" s="15"/>
      <c r="V133" s="243"/>
      <c r="W133" s="15"/>
    </row>
    <row r="134">
      <c r="A134" s="34"/>
      <c r="B134" s="15"/>
      <c r="C134" s="15"/>
      <c r="D134" s="15"/>
      <c r="E134" s="17"/>
      <c r="F134" s="15"/>
      <c r="G134" s="250"/>
      <c r="H134" s="243"/>
      <c r="I134" s="243"/>
      <c r="J134" s="243"/>
      <c r="K134" s="85"/>
      <c r="L134" s="85"/>
      <c r="M134" s="85"/>
      <c r="N134" s="29"/>
      <c r="O134" s="307"/>
      <c r="P134" s="29"/>
      <c r="Q134" s="15"/>
      <c r="R134" s="15"/>
      <c r="S134" s="15"/>
      <c r="T134" s="15"/>
      <c r="U134" s="15"/>
      <c r="V134" s="243"/>
      <c r="W134" s="15"/>
    </row>
    <row r="135">
      <c r="A135" s="34"/>
      <c r="B135" s="15"/>
      <c r="C135" s="15"/>
      <c r="D135" s="15"/>
      <c r="E135" s="17"/>
      <c r="F135" s="15"/>
      <c r="G135" s="250"/>
      <c r="H135" s="243"/>
      <c r="I135" s="243"/>
      <c r="J135" s="243"/>
      <c r="K135" s="85"/>
      <c r="L135" s="85"/>
      <c r="M135" s="85"/>
      <c r="N135" s="29"/>
      <c r="O135" s="307"/>
      <c r="P135" s="29"/>
      <c r="Q135" s="15"/>
      <c r="R135" s="15"/>
      <c r="S135" s="15"/>
      <c r="T135" s="15"/>
      <c r="U135" s="15"/>
      <c r="V135" s="243"/>
      <c r="W135" s="15"/>
    </row>
    <row r="136">
      <c r="A136" s="34"/>
      <c r="B136" s="15"/>
      <c r="C136" s="15"/>
      <c r="D136" s="15"/>
      <c r="E136" s="17"/>
      <c r="F136" s="15"/>
      <c r="G136" s="250"/>
      <c r="H136" s="243"/>
      <c r="I136" s="243"/>
      <c r="J136" s="243"/>
      <c r="K136" s="85"/>
      <c r="L136" s="85"/>
      <c r="M136" s="85"/>
      <c r="N136" s="29"/>
      <c r="O136" s="307"/>
      <c r="P136" s="29"/>
      <c r="Q136" s="15"/>
      <c r="R136" s="15"/>
      <c r="S136" s="15"/>
      <c r="T136" s="15"/>
      <c r="U136" s="15"/>
      <c r="V136" s="243"/>
      <c r="W136" s="15"/>
    </row>
    <row r="137">
      <c r="A137" s="34"/>
      <c r="B137" s="15"/>
      <c r="C137" s="15"/>
      <c r="D137" s="15"/>
      <c r="E137" s="17"/>
      <c r="F137" s="15"/>
      <c r="G137" s="250"/>
      <c r="H137" s="243"/>
      <c r="I137" s="243"/>
      <c r="J137" s="243"/>
      <c r="K137" s="85"/>
      <c r="L137" s="85"/>
      <c r="M137" s="85"/>
      <c r="N137" s="29"/>
      <c r="O137" s="307"/>
      <c r="P137" s="29"/>
      <c r="Q137" s="15"/>
      <c r="R137" s="15"/>
      <c r="S137" s="15"/>
      <c r="T137" s="15"/>
      <c r="U137" s="15"/>
      <c r="V137" s="243"/>
      <c r="W137" s="15"/>
    </row>
    <row r="138">
      <c r="A138" s="34"/>
      <c r="B138" s="15"/>
      <c r="C138" s="15"/>
      <c r="D138" s="15"/>
      <c r="E138" s="17"/>
      <c r="F138" s="15"/>
      <c r="G138" s="250"/>
      <c r="H138" s="243"/>
      <c r="I138" s="243"/>
      <c r="J138" s="243"/>
      <c r="K138" s="85"/>
      <c r="L138" s="85"/>
      <c r="M138" s="85"/>
      <c r="N138" s="29"/>
      <c r="O138" s="307"/>
      <c r="P138" s="29"/>
      <c r="Q138" s="15"/>
      <c r="R138" s="15"/>
      <c r="S138" s="15"/>
      <c r="T138" s="15"/>
      <c r="U138" s="15"/>
      <c r="V138" s="243"/>
      <c r="W138" s="15"/>
    </row>
    <row r="139">
      <c r="A139" s="34"/>
      <c r="B139" s="15"/>
      <c r="C139" s="15"/>
      <c r="D139" s="15"/>
      <c r="E139" s="17"/>
      <c r="F139" s="15"/>
      <c r="G139" s="250"/>
      <c r="H139" s="243"/>
      <c r="I139" s="243"/>
      <c r="J139" s="243"/>
      <c r="K139" s="85"/>
      <c r="L139" s="85"/>
      <c r="M139" s="85"/>
      <c r="N139" s="29"/>
      <c r="O139" s="307"/>
      <c r="P139" s="29"/>
      <c r="Q139" s="15"/>
      <c r="R139" s="15"/>
      <c r="S139" s="15"/>
      <c r="T139" s="15"/>
      <c r="U139" s="15"/>
      <c r="V139" s="243"/>
      <c r="W139" s="15"/>
    </row>
    <row r="140">
      <c r="A140" s="34"/>
      <c r="B140" s="15"/>
      <c r="C140" s="15"/>
      <c r="D140" s="15"/>
      <c r="E140" s="17"/>
      <c r="F140" s="15"/>
      <c r="G140" s="250"/>
      <c r="H140" s="243"/>
      <c r="I140" s="243"/>
      <c r="J140" s="243"/>
      <c r="K140" s="85"/>
      <c r="L140" s="85"/>
      <c r="M140" s="85"/>
      <c r="N140" s="29"/>
      <c r="O140" s="307"/>
      <c r="P140" s="29"/>
      <c r="Q140" s="15"/>
      <c r="R140" s="15"/>
      <c r="S140" s="15"/>
      <c r="T140" s="15"/>
      <c r="U140" s="15"/>
      <c r="V140" s="243"/>
      <c r="W140" s="15"/>
    </row>
    <row r="141">
      <c r="A141" s="34"/>
      <c r="B141" s="15"/>
      <c r="C141" s="15"/>
      <c r="D141" s="15"/>
      <c r="E141" s="17"/>
      <c r="F141" s="15"/>
      <c r="G141" s="250"/>
      <c r="H141" s="243"/>
      <c r="I141" s="243"/>
      <c r="J141" s="243"/>
      <c r="K141" s="85"/>
      <c r="L141" s="85"/>
      <c r="M141" s="85"/>
      <c r="N141" s="29"/>
      <c r="O141" s="307"/>
      <c r="P141" s="29"/>
      <c r="Q141" s="15"/>
      <c r="R141" s="15"/>
      <c r="S141" s="15"/>
      <c r="T141" s="15"/>
      <c r="U141" s="15"/>
      <c r="V141" s="243"/>
      <c r="W141" s="15"/>
    </row>
    <row r="142">
      <c r="A142" s="34"/>
      <c r="B142" s="15"/>
      <c r="C142" s="15"/>
      <c r="D142" s="15"/>
      <c r="E142" s="17"/>
      <c r="F142" s="15"/>
      <c r="G142" s="250"/>
      <c r="H142" s="243"/>
      <c r="I142" s="243"/>
      <c r="J142" s="243"/>
      <c r="K142" s="85"/>
      <c r="L142" s="85"/>
      <c r="M142" s="85"/>
      <c r="N142" s="29"/>
      <c r="O142" s="307"/>
      <c r="P142" s="29"/>
      <c r="Q142" s="15"/>
      <c r="R142" s="15"/>
      <c r="S142" s="15"/>
      <c r="T142" s="15"/>
      <c r="U142" s="15"/>
      <c r="V142" s="243"/>
      <c r="W142" s="15"/>
    </row>
    <row r="143">
      <c r="A143" s="34"/>
      <c r="B143" s="15"/>
      <c r="C143" s="15"/>
      <c r="D143" s="15"/>
      <c r="E143" s="17"/>
      <c r="F143" s="15"/>
      <c r="G143" s="250"/>
      <c r="H143" s="243"/>
      <c r="I143" s="243"/>
      <c r="J143" s="243"/>
      <c r="K143" s="85"/>
      <c r="L143" s="85"/>
      <c r="M143" s="85"/>
      <c r="N143" s="29"/>
      <c r="O143" s="307"/>
      <c r="P143" s="29"/>
      <c r="Q143" s="15"/>
      <c r="R143" s="15"/>
      <c r="S143" s="15"/>
      <c r="T143" s="15"/>
      <c r="U143" s="15"/>
      <c r="V143" s="243"/>
      <c r="W143" s="15"/>
    </row>
    <row r="144">
      <c r="A144" s="34"/>
      <c r="B144" s="15"/>
      <c r="C144" s="15"/>
      <c r="D144" s="15"/>
      <c r="E144" s="17"/>
      <c r="F144" s="15"/>
      <c r="G144" s="250"/>
      <c r="H144" s="243"/>
      <c r="I144" s="243"/>
      <c r="J144" s="243"/>
      <c r="K144" s="85"/>
      <c r="L144" s="85"/>
      <c r="M144" s="85"/>
      <c r="N144" s="29"/>
      <c r="O144" s="307"/>
      <c r="P144" s="29"/>
      <c r="Q144" s="15"/>
      <c r="R144" s="15"/>
      <c r="S144" s="15"/>
      <c r="T144" s="15"/>
      <c r="U144" s="15"/>
      <c r="V144" s="243"/>
      <c r="W144" s="15"/>
    </row>
    <row r="145">
      <c r="A145" s="34"/>
      <c r="B145" s="15"/>
      <c r="C145" s="15"/>
      <c r="D145" s="15"/>
      <c r="E145" s="17"/>
      <c r="F145" s="15"/>
      <c r="G145" s="250"/>
      <c r="H145" s="243"/>
      <c r="I145" s="243"/>
      <c r="J145" s="243"/>
      <c r="K145" s="85"/>
      <c r="L145" s="85"/>
      <c r="M145" s="85"/>
      <c r="N145" s="29"/>
      <c r="O145" s="307"/>
      <c r="P145" s="29"/>
      <c r="Q145" s="15"/>
      <c r="R145" s="15"/>
      <c r="S145" s="15"/>
      <c r="T145" s="15"/>
      <c r="U145" s="15"/>
      <c r="V145" s="243"/>
      <c r="W145" s="15"/>
    </row>
    <row r="146">
      <c r="A146" s="34"/>
      <c r="B146" s="15"/>
      <c r="C146" s="15"/>
      <c r="D146" s="15"/>
      <c r="E146" s="17"/>
      <c r="F146" s="15"/>
      <c r="G146" s="250"/>
      <c r="H146" s="243"/>
      <c r="I146" s="243"/>
      <c r="J146" s="243"/>
      <c r="K146" s="85"/>
      <c r="L146" s="85"/>
      <c r="M146" s="85"/>
      <c r="N146" s="29"/>
      <c r="O146" s="307"/>
      <c r="P146" s="29"/>
      <c r="Q146" s="15"/>
      <c r="R146" s="15"/>
      <c r="S146" s="15"/>
      <c r="T146" s="15"/>
      <c r="U146" s="15"/>
      <c r="V146" s="243"/>
      <c r="W146" s="15"/>
    </row>
    <row r="147">
      <c r="A147" s="34"/>
      <c r="B147" s="15"/>
      <c r="C147" s="15"/>
      <c r="D147" s="15"/>
      <c r="E147" s="17"/>
      <c r="F147" s="15"/>
      <c r="G147" s="250"/>
      <c r="H147" s="243"/>
      <c r="I147" s="243"/>
      <c r="J147" s="243"/>
      <c r="K147" s="85"/>
      <c r="L147" s="85"/>
      <c r="M147" s="85"/>
      <c r="N147" s="29"/>
      <c r="O147" s="307"/>
      <c r="P147" s="29"/>
      <c r="Q147" s="15"/>
      <c r="R147" s="15"/>
      <c r="S147" s="15"/>
      <c r="T147" s="15"/>
      <c r="U147" s="15"/>
      <c r="V147" s="243"/>
      <c r="W147" s="15"/>
    </row>
    <row r="148">
      <c r="A148" s="34"/>
      <c r="B148" s="15"/>
      <c r="C148" s="15"/>
      <c r="D148" s="15"/>
      <c r="E148" s="17"/>
      <c r="F148" s="15"/>
      <c r="G148" s="250"/>
      <c r="H148" s="243"/>
      <c r="I148" s="243"/>
      <c r="J148" s="243"/>
      <c r="K148" s="85"/>
      <c r="L148" s="85"/>
      <c r="M148" s="85"/>
      <c r="N148" s="29"/>
      <c r="O148" s="307"/>
      <c r="P148" s="29"/>
      <c r="Q148" s="15"/>
      <c r="R148" s="15"/>
      <c r="S148" s="15"/>
      <c r="T148" s="15"/>
      <c r="U148" s="15"/>
      <c r="V148" s="243"/>
      <c r="W148" s="15"/>
    </row>
    <row r="149">
      <c r="A149" s="34"/>
      <c r="B149" s="15"/>
      <c r="C149" s="15"/>
      <c r="D149" s="15"/>
      <c r="E149" s="17"/>
      <c r="F149" s="15"/>
      <c r="G149" s="250"/>
      <c r="H149" s="243"/>
      <c r="I149" s="243"/>
      <c r="J149" s="243"/>
      <c r="K149" s="85"/>
      <c r="L149" s="85"/>
      <c r="M149" s="85"/>
      <c r="N149" s="29"/>
      <c r="O149" s="307"/>
      <c r="P149" s="29"/>
      <c r="Q149" s="15"/>
      <c r="R149" s="15"/>
      <c r="S149" s="15"/>
      <c r="T149" s="15"/>
      <c r="U149" s="15"/>
      <c r="V149" s="243"/>
      <c r="W149" s="15"/>
    </row>
    <row r="150">
      <c r="A150" s="34"/>
      <c r="B150" s="15"/>
      <c r="C150" s="15"/>
      <c r="D150" s="15"/>
      <c r="E150" s="17"/>
      <c r="F150" s="15"/>
      <c r="G150" s="250"/>
      <c r="H150" s="243"/>
      <c r="I150" s="243"/>
      <c r="J150" s="243"/>
      <c r="K150" s="85"/>
      <c r="L150" s="85"/>
      <c r="M150" s="85"/>
      <c r="N150" s="29"/>
      <c r="O150" s="307"/>
      <c r="P150" s="29"/>
      <c r="Q150" s="15"/>
      <c r="R150" s="15"/>
      <c r="S150" s="15"/>
      <c r="T150" s="15"/>
      <c r="U150" s="15"/>
      <c r="V150" s="243"/>
      <c r="W150" s="15"/>
    </row>
    <row r="151">
      <c r="A151" s="34"/>
      <c r="B151" s="15"/>
      <c r="C151" s="15"/>
      <c r="D151" s="15"/>
      <c r="E151" s="17"/>
      <c r="F151" s="15"/>
      <c r="G151" s="250"/>
      <c r="H151" s="243"/>
      <c r="I151" s="243"/>
      <c r="J151" s="243"/>
      <c r="K151" s="85"/>
      <c r="L151" s="85"/>
      <c r="M151" s="85"/>
      <c r="N151" s="29"/>
      <c r="O151" s="307"/>
      <c r="P151" s="29"/>
      <c r="Q151" s="15"/>
      <c r="R151" s="15"/>
      <c r="S151" s="15"/>
      <c r="T151" s="15"/>
      <c r="U151" s="15"/>
      <c r="V151" s="243"/>
      <c r="W151" s="15"/>
    </row>
    <row r="152">
      <c r="A152" s="34"/>
      <c r="B152" s="15"/>
      <c r="C152" s="15"/>
      <c r="D152" s="15"/>
      <c r="E152" s="17"/>
      <c r="F152" s="15"/>
      <c r="G152" s="250"/>
      <c r="H152" s="243"/>
      <c r="I152" s="243"/>
      <c r="J152" s="243"/>
      <c r="K152" s="85"/>
      <c r="L152" s="85"/>
      <c r="M152" s="85"/>
      <c r="N152" s="29"/>
      <c r="O152" s="307"/>
      <c r="P152" s="29"/>
      <c r="Q152" s="15"/>
      <c r="R152" s="15"/>
      <c r="S152" s="15"/>
      <c r="T152" s="15"/>
      <c r="U152" s="15"/>
      <c r="V152" s="243"/>
      <c r="W152" s="15"/>
    </row>
    <row r="153">
      <c r="A153" s="34"/>
      <c r="B153" s="15"/>
      <c r="C153" s="15"/>
      <c r="D153" s="15"/>
      <c r="E153" s="17"/>
      <c r="F153" s="15"/>
      <c r="G153" s="250"/>
      <c r="H153" s="243"/>
      <c r="I153" s="243"/>
      <c r="J153" s="243"/>
      <c r="K153" s="85"/>
      <c r="L153" s="85"/>
      <c r="M153" s="85"/>
      <c r="N153" s="29"/>
      <c r="O153" s="307"/>
      <c r="P153" s="29"/>
      <c r="Q153" s="15"/>
      <c r="R153" s="15"/>
      <c r="S153" s="15"/>
      <c r="T153" s="15"/>
      <c r="U153" s="15"/>
      <c r="V153" s="243"/>
      <c r="W153" s="15"/>
    </row>
    <row r="154">
      <c r="A154" s="34"/>
      <c r="B154" s="15"/>
      <c r="C154" s="15"/>
      <c r="D154" s="15"/>
      <c r="E154" s="17"/>
      <c r="F154" s="15"/>
      <c r="G154" s="250"/>
      <c r="H154" s="243"/>
      <c r="I154" s="243"/>
      <c r="J154" s="243"/>
      <c r="K154" s="85"/>
      <c r="L154" s="85"/>
      <c r="M154" s="85"/>
      <c r="N154" s="29"/>
      <c r="O154" s="307"/>
      <c r="P154" s="29"/>
      <c r="Q154" s="15"/>
      <c r="R154" s="15"/>
      <c r="S154" s="15"/>
      <c r="T154" s="15"/>
      <c r="U154" s="15"/>
      <c r="V154" s="243"/>
      <c r="W154" s="15"/>
    </row>
    <row r="155">
      <c r="A155" s="34"/>
      <c r="B155" s="15"/>
      <c r="C155" s="15"/>
      <c r="D155" s="15"/>
      <c r="E155" s="17"/>
      <c r="F155" s="15"/>
      <c r="G155" s="250"/>
      <c r="H155" s="243"/>
      <c r="I155" s="243"/>
      <c r="J155" s="243"/>
      <c r="K155" s="85"/>
      <c r="L155" s="85"/>
      <c r="M155" s="85"/>
      <c r="N155" s="29"/>
      <c r="O155" s="307"/>
      <c r="P155" s="29"/>
      <c r="Q155" s="15"/>
      <c r="R155" s="15"/>
      <c r="S155" s="15"/>
      <c r="T155" s="15"/>
      <c r="U155" s="15"/>
      <c r="V155" s="243"/>
      <c r="W155" s="15"/>
    </row>
    <row r="156">
      <c r="A156" s="34"/>
      <c r="B156" s="15"/>
      <c r="C156" s="15"/>
      <c r="D156" s="15"/>
      <c r="E156" s="17"/>
      <c r="F156" s="15"/>
      <c r="G156" s="250"/>
      <c r="H156" s="243"/>
      <c r="I156" s="243"/>
      <c r="J156" s="243"/>
      <c r="K156" s="85"/>
      <c r="L156" s="85"/>
      <c r="M156" s="85"/>
      <c r="N156" s="29"/>
      <c r="O156" s="307"/>
      <c r="P156" s="29"/>
      <c r="Q156" s="15"/>
      <c r="R156" s="15"/>
      <c r="S156" s="15"/>
      <c r="T156" s="15"/>
      <c r="U156" s="15"/>
      <c r="V156" s="243"/>
      <c r="W156" s="15"/>
    </row>
    <row r="157">
      <c r="A157" s="34"/>
      <c r="B157" s="15"/>
      <c r="C157" s="15"/>
      <c r="D157" s="15"/>
      <c r="E157" s="17"/>
      <c r="F157" s="15"/>
      <c r="G157" s="250"/>
      <c r="H157" s="243"/>
      <c r="I157" s="243"/>
      <c r="J157" s="243"/>
      <c r="K157" s="85"/>
      <c r="L157" s="85"/>
      <c r="M157" s="85"/>
      <c r="N157" s="29"/>
      <c r="O157" s="307"/>
      <c r="P157" s="29"/>
      <c r="Q157" s="15"/>
      <c r="R157" s="15"/>
      <c r="S157" s="15"/>
      <c r="T157" s="15"/>
      <c r="U157" s="15"/>
      <c r="V157" s="243"/>
      <c r="W157" s="15"/>
    </row>
    <row r="158">
      <c r="A158" s="34"/>
      <c r="B158" s="15"/>
      <c r="C158" s="15"/>
      <c r="D158" s="15"/>
      <c r="E158" s="17"/>
      <c r="F158" s="15"/>
      <c r="G158" s="250"/>
      <c r="H158" s="243"/>
      <c r="I158" s="243"/>
      <c r="J158" s="243"/>
      <c r="K158" s="85"/>
      <c r="L158" s="85"/>
      <c r="M158" s="85"/>
      <c r="N158" s="29"/>
      <c r="O158" s="307"/>
      <c r="P158" s="29"/>
      <c r="Q158" s="15"/>
      <c r="R158" s="15"/>
      <c r="S158" s="15"/>
      <c r="T158" s="15"/>
      <c r="U158" s="15"/>
      <c r="V158" s="243"/>
      <c r="W158" s="15"/>
    </row>
    <row r="159">
      <c r="A159" s="34"/>
      <c r="B159" s="15"/>
      <c r="C159" s="15"/>
      <c r="D159" s="15"/>
      <c r="E159" s="17"/>
      <c r="F159" s="15"/>
      <c r="G159" s="250"/>
      <c r="H159" s="243"/>
      <c r="I159" s="243"/>
      <c r="J159" s="243"/>
      <c r="K159" s="85"/>
      <c r="L159" s="85"/>
      <c r="M159" s="85"/>
      <c r="N159" s="29"/>
      <c r="O159" s="307"/>
      <c r="P159" s="29"/>
      <c r="Q159" s="15"/>
      <c r="R159" s="15"/>
      <c r="S159" s="15"/>
      <c r="T159" s="15"/>
      <c r="U159" s="15"/>
      <c r="V159" s="243"/>
      <c r="W159" s="15"/>
    </row>
    <row r="160">
      <c r="A160" s="34"/>
      <c r="B160" s="15"/>
      <c r="C160" s="15"/>
      <c r="D160" s="15"/>
      <c r="E160" s="17"/>
      <c r="F160" s="15"/>
      <c r="G160" s="250"/>
      <c r="H160" s="243"/>
      <c r="I160" s="243"/>
      <c r="J160" s="243"/>
      <c r="K160" s="85"/>
      <c r="L160" s="85"/>
      <c r="M160" s="85"/>
      <c r="N160" s="29"/>
      <c r="O160" s="307"/>
      <c r="P160" s="29"/>
      <c r="Q160" s="15"/>
      <c r="R160" s="15"/>
      <c r="S160" s="15"/>
      <c r="T160" s="15"/>
      <c r="U160" s="15"/>
      <c r="V160" s="243"/>
      <c r="W160" s="15"/>
    </row>
    <row r="161">
      <c r="A161" s="34"/>
      <c r="B161" s="15"/>
      <c r="C161" s="15"/>
      <c r="D161" s="15"/>
      <c r="E161" s="17"/>
      <c r="F161" s="15"/>
      <c r="G161" s="250"/>
      <c r="H161" s="243"/>
      <c r="I161" s="243"/>
      <c r="J161" s="243"/>
      <c r="K161" s="85"/>
      <c r="L161" s="85"/>
      <c r="M161" s="85"/>
      <c r="N161" s="29"/>
      <c r="O161" s="307"/>
      <c r="P161" s="29"/>
      <c r="Q161" s="15"/>
      <c r="R161" s="15"/>
      <c r="S161" s="15"/>
      <c r="T161" s="15"/>
      <c r="U161" s="15"/>
      <c r="V161" s="243"/>
      <c r="W161" s="15"/>
    </row>
    <row r="162">
      <c r="A162" s="34"/>
      <c r="B162" s="15"/>
      <c r="C162" s="15"/>
      <c r="D162" s="15"/>
      <c r="E162" s="17"/>
      <c r="F162" s="15"/>
      <c r="G162" s="250"/>
      <c r="H162" s="243"/>
      <c r="I162" s="243"/>
      <c r="J162" s="243"/>
      <c r="K162" s="85"/>
      <c r="L162" s="85"/>
      <c r="M162" s="85"/>
      <c r="N162" s="29"/>
      <c r="O162" s="307"/>
      <c r="P162" s="29"/>
      <c r="Q162" s="15"/>
      <c r="R162" s="15"/>
      <c r="S162" s="15"/>
      <c r="T162" s="15"/>
      <c r="U162" s="15"/>
      <c r="V162" s="243"/>
      <c r="W162" s="15"/>
    </row>
    <row r="163">
      <c r="A163" s="34"/>
      <c r="B163" s="15"/>
      <c r="C163" s="15"/>
      <c r="D163" s="15"/>
      <c r="E163" s="17"/>
      <c r="F163" s="15"/>
      <c r="G163" s="250"/>
      <c r="H163" s="243"/>
      <c r="I163" s="243"/>
      <c r="J163" s="243"/>
      <c r="K163" s="85"/>
      <c r="L163" s="85"/>
      <c r="M163" s="85"/>
      <c r="N163" s="29"/>
      <c r="O163" s="307"/>
      <c r="P163" s="29"/>
      <c r="Q163" s="15"/>
      <c r="R163" s="15"/>
      <c r="S163" s="15"/>
      <c r="T163" s="15"/>
      <c r="U163" s="15"/>
      <c r="V163" s="243"/>
      <c r="W163" s="15"/>
    </row>
    <row r="164">
      <c r="A164" s="34"/>
      <c r="B164" s="15"/>
      <c r="C164" s="15"/>
      <c r="D164" s="15"/>
      <c r="E164" s="17"/>
      <c r="F164" s="15"/>
      <c r="G164" s="250"/>
      <c r="H164" s="243"/>
      <c r="I164" s="243"/>
      <c r="J164" s="243"/>
      <c r="K164" s="85"/>
      <c r="L164" s="85"/>
      <c r="M164" s="85"/>
      <c r="N164" s="29"/>
      <c r="O164" s="307"/>
      <c r="P164" s="29"/>
      <c r="Q164" s="15"/>
      <c r="R164" s="15"/>
      <c r="S164" s="15"/>
      <c r="T164" s="15"/>
      <c r="U164" s="15"/>
      <c r="V164" s="243"/>
      <c r="W164" s="15"/>
    </row>
    <row r="165">
      <c r="A165" s="34"/>
      <c r="B165" s="15"/>
      <c r="C165" s="15"/>
      <c r="D165" s="15"/>
      <c r="E165" s="17"/>
      <c r="F165" s="15"/>
      <c r="G165" s="250"/>
      <c r="H165" s="243"/>
      <c r="I165" s="243"/>
      <c r="J165" s="243"/>
      <c r="K165" s="85"/>
      <c r="L165" s="85"/>
      <c r="M165" s="85"/>
      <c r="N165" s="29"/>
      <c r="O165" s="307"/>
      <c r="P165" s="29"/>
      <c r="Q165" s="15"/>
      <c r="R165" s="15"/>
      <c r="S165" s="15"/>
      <c r="T165" s="15"/>
      <c r="U165" s="15"/>
      <c r="V165" s="243"/>
      <c r="W165" s="15"/>
    </row>
    <row r="166">
      <c r="A166" s="34"/>
      <c r="B166" s="15"/>
      <c r="C166" s="15"/>
      <c r="D166" s="15"/>
      <c r="E166" s="17"/>
      <c r="F166" s="15"/>
      <c r="G166" s="250"/>
      <c r="H166" s="243"/>
      <c r="I166" s="243"/>
      <c r="J166" s="243"/>
      <c r="K166" s="85"/>
      <c r="L166" s="85"/>
      <c r="M166" s="85"/>
      <c r="N166" s="29"/>
      <c r="O166" s="307"/>
      <c r="P166" s="29"/>
      <c r="Q166" s="15"/>
      <c r="R166" s="15"/>
      <c r="S166" s="15"/>
      <c r="T166" s="15"/>
      <c r="U166" s="15"/>
      <c r="V166" s="243"/>
      <c r="W166" s="15"/>
    </row>
    <row r="167">
      <c r="A167" s="34"/>
      <c r="B167" s="15"/>
      <c r="C167" s="15"/>
      <c r="D167" s="15"/>
      <c r="E167" s="17"/>
      <c r="F167" s="15"/>
      <c r="G167" s="250"/>
      <c r="H167" s="243"/>
      <c r="I167" s="243"/>
      <c r="J167" s="243"/>
      <c r="K167" s="85"/>
      <c r="L167" s="85"/>
      <c r="M167" s="85"/>
      <c r="N167" s="29"/>
      <c r="O167" s="307"/>
      <c r="P167" s="29"/>
      <c r="Q167" s="15"/>
      <c r="R167" s="15"/>
      <c r="S167" s="15"/>
      <c r="T167" s="15"/>
      <c r="U167" s="15"/>
      <c r="V167" s="243"/>
      <c r="W167" s="15"/>
    </row>
    <row r="168">
      <c r="A168" s="34"/>
      <c r="B168" s="15"/>
      <c r="C168" s="15"/>
      <c r="D168" s="15"/>
      <c r="E168" s="17"/>
      <c r="F168" s="15"/>
      <c r="G168" s="250"/>
      <c r="H168" s="243"/>
      <c r="I168" s="243"/>
      <c r="J168" s="243"/>
      <c r="K168" s="85"/>
      <c r="L168" s="85"/>
      <c r="M168" s="85"/>
      <c r="N168" s="29"/>
      <c r="O168" s="307"/>
      <c r="P168" s="29"/>
      <c r="Q168" s="15"/>
      <c r="R168" s="15"/>
      <c r="S168" s="15"/>
      <c r="T168" s="15"/>
      <c r="U168" s="15"/>
      <c r="V168" s="243"/>
      <c r="W168" s="15"/>
    </row>
    <row r="169">
      <c r="A169" s="34"/>
      <c r="B169" s="15"/>
      <c r="C169" s="15"/>
      <c r="D169" s="15"/>
      <c r="E169" s="17"/>
      <c r="F169" s="15"/>
      <c r="G169" s="250"/>
      <c r="H169" s="243"/>
      <c r="I169" s="243"/>
      <c r="J169" s="243"/>
      <c r="K169" s="85"/>
      <c r="L169" s="85"/>
      <c r="M169" s="85"/>
      <c r="N169" s="29"/>
      <c r="O169" s="307"/>
      <c r="P169" s="29"/>
      <c r="Q169" s="15"/>
      <c r="R169" s="15"/>
      <c r="S169" s="15"/>
      <c r="T169" s="15"/>
      <c r="U169" s="15"/>
      <c r="V169" s="243"/>
      <c r="W169" s="15"/>
    </row>
    <row r="170">
      <c r="A170" s="34"/>
      <c r="B170" s="15"/>
      <c r="C170" s="15"/>
      <c r="D170" s="15"/>
      <c r="E170" s="17"/>
      <c r="F170" s="15"/>
      <c r="G170" s="250"/>
      <c r="H170" s="243"/>
      <c r="I170" s="243"/>
      <c r="J170" s="243"/>
      <c r="K170" s="85"/>
      <c r="L170" s="85"/>
      <c r="M170" s="85"/>
      <c r="N170" s="29"/>
      <c r="O170" s="307"/>
      <c r="P170" s="29"/>
      <c r="Q170" s="15"/>
      <c r="R170" s="15"/>
      <c r="S170" s="15"/>
      <c r="T170" s="15"/>
      <c r="U170" s="15"/>
      <c r="V170" s="243"/>
      <c r="W170" s="15"/>
    </row>
    <row r="171">
      <c r="A171" s="34"/>
      <c r="B171" s="15"/>
      <c r="C171" s="15"/>
      <c r="D171" s="15"/>
      <c r="E171" s="17"/>
      <c r="F171" s="15"/>
      <c r="G171" s="250"/>
      <c r="H171" s="243"/>
      <c r="I171" s="243"/>
      <c r="J171" s="243"/>
      <c r="K171" s="85"/>
      <c r="L171" s="85"/>
      <c r="M171" s="85"/>
      <c r="N171" s="29"/>
      <c r="O171" s="307"/>
      <c r="P171" s="29"/>
      <c r="Q171" s="15"/>
      <c r="R171" s="15"/>
      <c r="S171" s="15"/>
      <c r="T171" s="15"/>
      <c r="U171" s="15"/>
      <c r="V171" s="243"/>
      <c r="W171" s="15"/>
    </row>
    <row r="172">
      <c r="A172" s="34"/>
      <c r="B172" s="15"/>
      <c r="C172" s="15"/>
      <c r="D172" s="15"/>
      <c r="E172" s="17"/>
      <c r="F172" s="15"/>
      <c r="G172" s="250"/>
      <c r="H172" s="243"/>
      <c r="I172" s="243"/>
      <c r="J172" s="243"/>
      <c r="K172" s="85"/>
      <c r="L172" s="85"/>
      <c r="M172" s="85"/>
      <c r="N172" s="29"/>
      <c r="O172" s="307"/>
      <c r="P172" s="29"/>
      <c r="Q172" s="15"/>
      <c r="R172" s="15"/>
      <c r="S172" s="15"/>
      <c r="T172" s="15"/>
      <c r="U172" s="15"/>
      <c r="V172" s="243"/>
      <c r="W172" s="15"/>
    </row>
    <row r="173">
      <c r="A173" s="34"/>
      <c r="B173" s="15"/>
      <c r="C173" s="15"/>
      <c r="D173" s="15"/>
      <c r="E173" s="17"/>
      <c r="F173" s="15"/>
      <c r="G173" s="250"/>
      <c r="H173" s="243"/>
      <c r="I173" s="243"/>
      <c r="J173" s="243"/>
      <c r="K173" s="85"/>
      <c r="L173" s="85"/>
      <c r="M173" s="85"/>
      <c r="N173" s="29"/>
      <c r="O173" s="307"/>
      <c r="P173" s="29"/>
      <c r="Q173" s="15"/>
      <c r="R173" s="15"/>
      <c r="S173" s="15"/>
      <c r="T173" s="15"/>
      <c r="U173" s="15"/>
      <c r="V173" s="243"/>
      <c r="W173" s="15"/>
    </row>
    <row r="174">
      <c r="A174" s="34"/>
      <c r="B174" s="15"/>
      <c r="C174" s="15"/>
      <c r="D174" s="15"/>
      <c r="E174" s="17"/>
      <c r="F174" s="15"/>
      <c r="G174" s="250"/>
      <c r="H174" s="243"/>
      <c r="I174" s="243"/>
      <c r="J174" s="243"/>
      <c r="K174" s="85"/>
      <c r="L174" s="85"/>
      <c r="M174" s="85"/>
      <c r="N174" s="29"/>
      <c r="O174" s="307"/>
      <c r="P174" s="29"/>
      <c r="Q174" s="15"/>
      <c r="R174" s="15"/>
      <c r="S174" s="15"/>
      <c r="T174" s="15"/>
      <c r="U174" s="15"/>
      <c r="V174" s="243"/>
      <c r="W174" s="15"/>
    </row>
    <row r="175">
      <c r="A175" s="34"/>
      <c r="B175" s="15"/>
      <c r="C175" s="15"/>
      <c r="D175" s="15"/>
      <c r="E175" s="17"/>
      <c r="F175" s="15"/>
      <c r="G175" s="250"/>
      <c r="H175" s="243"/>
      <c r="I175" s="243"/>
      <c r="J175" s="243"/>
      <c r="K175" s="85"/>
      <c r="L175" s="85"/>
      <c r="M175" s="85"/>
      <c r="N175" s="29"/>
      <c r="O175" s="307"/>
      <c r="P175" s="29"/>
      <c r="Q175" s="15"/>
      <c r="R175" s="15"/>
      <c r="S175" s="15"/>
      <c r="T175" s="15"/>
      <c r="U175" s="15"/>
      <c r="V175" s="243"/>
      <c r="W175" s="15"/>
    </row>
    <row r="176">
      <c r="A176" s="34"/>
      <c r="B176" s="15"/>
      <c r="C176" s="15"/>
      <c r="D176" s="15"/>
      <c r="E176" s="17"/>
      <c r="F176" s="15"/>
      <c r="G176" s="250"/>
      <c r="H176" s="243"/>
      <c r="I176" s="243"/>
      <c r="J176" s="243"/>
      <c r="K176" s="85"/>
      <c r="L176" s="85"/>
      <c r="M176" s="85"/>
      <c r="N176" s="29"/>
      <c r="O176" s="307"/>
      <c r="P176" s="29"/>
      <c r="Q176" s="15"/>
      <c r="R176" s="15"/>
      <c r="S176" s="15"/>
      <c r="T176" s="15"/>
      <c r="U176" s="15"/>
      <c r="V176" s="243"/>
      <c r="W176" s="15"/>
    </row>
    <row r="177">
      <c r="A177" s="34"/>
      <c r="B177" s="15"/>
      <c r="C177" s="15"/>
      <c r="D177" s="15"/>
      <c r="E177" s="17"/>
      <c r="F177" s="15"/>
      <c r="G177" s="250"/>
      <c r="H177" s="243"/>
      <c r="I177" s="243"/>
      <c r="J177" s="243"/>
      <c r="K177" s="85"/>
      <c r="L177" s="85"/>
      <c r="M177" s="85"/>
      <c r="N177" s="29"/>
      <c r="O177" s="307"/>
      <c r="P177" s="29"/>
      <c r="Q177" s="15"/>
      <c r="R177" s="15"/>
      <c r="S177" s="15"/>
      <c r="T177" s="15"/>
      <c r="U177" s="15"/>
      <c r="V177" s="243"/>
      <c r="W177" s="15"/>
    </row>
    <row r="178">
      <c r="A178" s="34"/>
      <c r="B178" s="15"/>
      <c r="C178" s="15"/>
      <c r="D178" s="15"/>
      <c r="E178" s="17"/>
      <c r="F178" s="15"/>
      <c r="G178" s="250"/>
      <c r="H178" s="243"/>
      <c r="I178" s="243"/>
      <c r="J178" s="243"/>
      <c r="K178" s="85"/>
      <c r="L178" s="85"/>
      <c r="M178" s="85"/>
      <c r="N178" s="29"/>
      <c r="O178" s="307"/>
      <c r="P178" s="29"/>
      <c r="Q178" s="15"/>
      <c r="R178" s="15"/>
      <c r="S178" s="15"/>
      <c r="T178" s="15"/>
      <c r="U178" s="15"/>
      <c r="V178" s="243"/>
      <c r="W178" s="15"/>
    </row>
    <row r="179">
      <c r="A179" s="34"/>
      <c r="B179" s="15"/>
      <c r="C179" s="15"/>
      <c r="D179" s="15"/>
      <c r="E179" s="17"/>
      <c r="F179" s="15"/>
      <c r="G179" s="250"/>
      <c r="H179" s="243"/>
      <c r="I179" s="243"/>
      <c r="J179" s="243"/>
      <c r="K179" s="85"/>
      <c r="L179" s="85"/>
      <c r="M179" s="85"/>
      <c r="N179" s="29"/>
      <c r="O179" s="307"/>
      <c r="P179" s="29"/>
      <c r="Q179" s="15"/>
      <c r="R179" s="15"/>
      <c r="S179" s="15"/>
      <c r="T179" s="15"/>
      <c r="U179" s="15"/>
      <c r="V179" s="243"/>
      <c r="W179" s="15"/>
    </row>
    <row r="180">
      <c r="A180" s="34"/>
      <c r="B180" s="15"/>
      <c r="C180" s="15"/>
      <c r="D180" s="15"/>
      <c r="E180" s="17"/>
      <c r="F180" s="15"/>
      <c r="G180" s="250"/>
      <c r="H180" s="243"/>
      <c r="I180" s="243"/>
      <c r="J180" s="243"/>
      <c r="K180" s="85"/>
      <c r="L180" s="85"/>
      <c r="M180" s="85"/>
      <c r="N180" s="29"/>
      <c r="O180" s="307"/>
      <c r="P180" s="29"/>
      <c r="Q180" s="15"/>
      <c r="R180" s="15"/>
      <c r="S180" s="15"/>
      <c r="T180" s="15"/>
      <c r="U180" s="15"/>
      <c r="V180" s="243"/>
      <c r="W180" s="15"/>
    </row>
    <row r="181">
      <c r="A181" s="34"/>
      <c r="B181" s="15"/>
      <c r="C181" s="15"/>
      <c r="D181" s="15"/>
      <c r="E181" s="17"/>
      <c r="F181" s="15"/>
      <c r="G181" s="250"/>
      <c r="H181" s="243"/>
      <c r="I181" s="243"/>
      <c r="J181" s="243"/>
      <c r="K181" s="85"/>
      <c r="L181" s="85"/>
      <c r="M181" s="85"/>
      <c r="N181" s="29"/>
      <c r="O181" s="307"/>
      <c r="P181" s="29"/>
      <c r="Q181" s="15"/>
      <c r="R181" s="15"/>
      <c r="S181" s="15"/>
      <c r="T181" s="15"/>
      <c r="U181" s="15"/>
      <c r="V181" s="243"/>
      <c r="W181" s="15"/>
    </row>
    <row r="182">
      <c r="A182" s="34"/>
      <c r="B182" s="15"/>
      <c r="C182" s="15"/>
      <c r="D182" s="15"/>
      <c r="E182" s="17"/>
      <c r="F182" s="15"/>
      <c r="G182" s="250"/>
      <c r="H182" s="243"/>
      <c r="I182" s="243"/>
      <c r="J182" s="243"/>
      <c r="K182" s="85"/>
      <c r="L182" s="85"/>
      <c r="M182" s="85"/>
      <c r="N182" s="29"/>
      <c r="O182" s="307"/>
      <c r="P182" s="29"/>
      <c r="Q182" s="15"/>
      <c r="R182" s="15"/>
      <c r="S182" s="15"/>
      <c r="T182" s="15"/>
      <c r="U182" s="15"/>
      <c r="V182" s="243"/>
      <c r="W182" s="15"/>
    </row>
    <row r="183">
      <c r="A183" s="34"/>
      <c r="B183" s="15"/>
      <c r="C183" s="15"/>
      <c r="D183" s="15"/>
      <c r="E183" s="17"/>
      <c r="F183" s="15"/>
      <c r="G183" s="250"/>
      <c r="H183" s="243"/>
      <c r="I183" s="243"/>
      <c r="J183" s="243"/>
      <c r="K183" s="85"/>
      <c r="L183" s="85"/>
      <c r="M183" s="85"/>
      <c r="N183" s="29"/>
      <c r="O183" s="307"/>
      <c r="P183" s="29"/>
      <c r="Q183" s="15"/>
      <c r="R183" s="15"/>
      <c r="S183" s="15"/>
      <c r="T183" s="15"/>
      <c r="U183" s="15"/>
      <c r="V183" s="243"/>
      <c r="W183" s="15"/>
    </row>
    <row r="184">
      <c r="A184" s="34"/>
      <c r="B184" s="15"/>
      <c r="C184" s="15"/>
      <c r="D184" s="15"/>
      <c r="E184" s="17"/>
      <c r="F184" s="15"/>
      <c r="G184" s="250"/>
      <c r="H184" s="243"/>
      <c r="I184" s="243"/>
      <c r="J184" s="243"/>
      <c r="K184" s="85"/>
      <c r="L184" s="85"/>
      <c r="M184" s="85"/>
      <c r="N184" s="29"/>
      <c r="O184" s="307"/>
      <c r="P184" s="29"/>
      <c r="Q184" s="15"/>
      <c r="R184" s="15"/>
      <c r="S184" s="15"/>
      <c r="T184" s="15"/>
      <c r="U184" s="15"/>
      <c r="V184" s="243"/>
      <c r="W184" s="15"/>
    </row>
    <row r="185">
      <c r="A185" s="34"/>
      <c r="B185" s="15"/>
      <c r="C185" s="15"/>
      <c r="D185" s="15"/>
      <c r="E185" s="17"/>
      <c r="F185" s="15"/>
      <c r="G185" s="250"/>
      <c r="H185" s="243"/>
      <c r="I185" s="243"/>
      <c r="J185" s="243"/>
      <c r="K185" s="85"/>
      <c r="L185" s="85"/>
      <c r="M185" s="85"/>
      <c r="N185" s="29"/>
      <c r="O185" s="307"/>
      <c r="P185" s="29"/>
      <c r="Q185" s="15"/>
      <c r="R185" s="15"/>
      <c r="S185" s="15"/>
      <c r="T185" s="15"/>
      <c r="U185" s="15"/>
      <c r="V185" s="243"/>
      <c r="W185" s="15"/>
    </row>
    <row r="186">
      <c r="A186" s="34"/>
      <c r="B186" s="15"/>
      <c r="C186" s="15"/>
      <c r="D186" s="15"/>
      <c r="E186" s="17"/>
      <c r="F186" s="15"/>
      <c r="G186" s="250"/>
      <c r="H186" s="243"/>
      <c r="I186" s="243"/>
      <c r="J186" s="243"/>
      <c r="K186" s="85"/>
      <c r="L186" s="85"/>
      <c r="M186" s="85"/>
      <c r="N186" s="29"/>
      <c r="O186" s="307"/>
      <c r="P186" s="29"/>
      <c r="Q186" s="15"/>
      <c r="R186" s="15"/>
      <c r="S186" s="15"/>
      <c r="T186" s="15"/>
      <c r="U186" s="15"/>
      <c r="V186" s="243"/>
      <c r="W186" s="15"/>
    </row>
    <row r="187">
      <c r="A187" s="34"/>
      <c r="B187" s="15"/>
      <c r="C187" s="15"/>
      <c r="D187" s="15"/>
      <c r="E187" s="17"/>
      <c r="F187" s="15"/>
      <c r="G187" s="250"/>
      <c r="H187" s="243"/>
      <c r="I187" s="243"/>
      <c r="J187" s="243"/>
      <c r="K187" s="85"/>
      <c r="L187" s="85"/>
      <c r="M187" s="85"/>
      <c r="N187" s="29"/>
      <c r="O187" s="307"/>
      <c r="P187" s="29"/>
      <c r="Q187" s="15"/>
      <c r="R187" s="15"/>
      <c r="S187" s="15"/>
      <c r="T187" s="15"/>
      <c r="U187" s="15"/>
      <c r="V187" s="243"/>
      <c r="W187" s="15"/>
    </row>
    <row r="188">
      <c r="A188" s="34"/>
      <c r="B188" s="15"/>
      <c r="C188" s="15"/>
      <c r="D188" s="15"/>
      <c r="E188" s="17"/>
      <c r="F188" s="15"/>
      <c r="G188" s="250"/>
      <c r="H188" s="243"/>
      <c r="I188" s="243"/>
      <c r="J188" s="243"/>
      <c r="K188" s="85"/>
      <c r="L188" s="85"/>
      <c r="M188" s="85"/>
      <c r="N188" s="29"/>
      <c r="O188" s="307"/>
      <c r="P188" s="29"/>
      <c r="Q188" s="15"/>
      <c r="R188" s="15"/>
      <c r="S188" s="15"/>
      <c r="T188" s="15"/>
      <c r="U188" s="15"/>
      <c r="V188" s="243"/>
      <c r="W188" s="15"/>
    </row>
    <row r="189">
      <c r="A189" s="34"/>
      <c r="B189" s="15"/>
      <c r="C189" s="15"/>
      <c r="D189" s="15"/>
      <c r="E189" s="17"/>
      <c r="F189" s="15"/>
      <c r="G189" s="250"/>
      <c r="H189" s="243"/>
      <c r="I189" s="243"/>
      <c r="J189" s="243"/>
      <c r="K189" s="85"/>
      <c r="L189" s="85"/>
      <c r="M189" s="85"/>
      <c r="N189" s="29"/>
      <c r="O189" s="307"/>
      <c r="P189" s="29"/>
      <c r="Q189" s="15"/>
      <c r="R189" s="15"/>
      <c r="S189" s="15"/>
      <c r="T189" s="15"/>
      <c r="U189" s="15"/>
      <c r="V189" s="243"/>
      <c r="W189" s="15"/>
    </row>
    <row r="190">
      <c r="A190" s="34"/>
      <c r="B190" s="15"/>
      <c r="C190" s="15"/>
      <c r="D190" s="15"/>
      <c r="E190" s="17"/>
      <c r="F190" s="15"/>
      <c r="G190" s="250"/>
      <c r="H190" s="243"/>
      <c r="I190" s="243"/>
      <c r="J190" s="243"/>
      <c r="K190" s="85"/>
      <c r="L190" s="85"/>
      <c r="M190" s="85"/>
      <c r="N190" s="29"/>
      <c r="O190" s="307"/>
      <c r="P190" s="29"/>
      <c r="Q190" s="15"/>
      <c r="R190" s="15"/>
      <c r="S190" s="15"/>
      <c r="T190" s="15"/>
      <c r="U190" s="15"/>
      <c r="V190" s="243"/>
      <c r="W190" s="15"/>
    </row>
    <row r="191">
      <c r="A191" s="34"/>
      <c r="B191" s="15"/>
      <c r="C191" s="15"/>
      <c r="D191" s="15"/>
      <c r="E191" s="17"/>
      <c r="F191" s="15"/>
      <c r="G191" s="250"/>
      <c r="H191" s="243"/>
      <c r="I191" s="243"/>
      <c r="J191" s="243"/>
      <c r="K191" s="85"/>
      <c r="L191" s="85"/>
      <c r="M191" s="85"/>
      <c r="N191" s="29"/>
      <c r="O191" s="307"/>
      <c r="P191" s="29"/>
      <c r="Q191" s="15"/>
      <c r="R191" s="15"/>
      <c r="S191" s="15"/>
      <c r="T191" s="15"/>
      <c r="U191" s="15"/>
      <c r="V191" s="243"/>
      <c r="W191" s="15"/>
    </row>
    <row r="192">
      <c r="A192" s="34"/>
      <c r="B192" s="15"/>
      <c r="C192" s="15"/>
      <c r="D192" s="15"/>
      <c r="E192" s="17"/>
      <c r="F192" s="15"/>
      <c r="G192" s="250"/>
      <c r="H192" s="243"/>
      <c r="I192" s="243"/>
      <c r="J192" s="243"/>
      <c r="K192" s="85"/>
      <c r="L192" s="85"/>
      <c r="M192" s="85"/>
      <c r="N192" s="29"/>
      <c r="O192" s="307"/>
      <c r="P192" s="29"/>
      <c r="Q192" s="15"/>
      <c r="R192" s="15"/>
      <c r="S192" s="15"/>
      <c r="T192" s="15"/>
      <c r="U192" s="15"/>
      <c r="V192" s="243"/>
      <c r="W192" s="15"/>
    </row>
    <row r="193">
      <c r="A193" s="34"/>
      <c r="B193" s="15"/>
      <c r="C193" s="15"/>
      <c r="D193" s="15"/>
      <c r="E193" s="17"/>
      <c r="F193" s="15"/>
      <c r="G193" s="250"/>
      <c r="H193" s="243"/>
      <c r="I193" s="243"/>
      <c r="J193" s="243"/>
      <c r="K193" s="85"/>
      <c r="L193" s="85"/>
      <c r="M193" s="85"/>
      <c r="N193" s="29"/>
      <c r="O193" s="307"/>
      <c r="P193" s="29"/>
      <c r="Q193" s="15"/>
      <c r="R193" s="15"/>
      <c r="S193" s="15"/>
      <c r="T193" s="15"/>
      <c r="U193" s="15"/>
      <c r="V193" s="243"/>
      <c r="W193" s="15"/>
    </row>
    <row r="194">
      <c r="A194" s="34"/>
      <c r="B194" s="15"/>
      <c r="C194" s="15"/>
      <c r="D194" s="15"/>
      <c r="E194" s="17"/>
      <c r="F194" s="15"/>
      <c r="G194" s="250"/>
      <c r="H194" s="243"/>
      <c r="I194" s="243"/>
      <c r="J194" s="243"/>
      <c r="K194" s="85"/>
      <c r="L194" s="85"/>
      <c r="M194" s="85"/>
      <c r="N194" s="29"/>
      <c r="O194" s="307"/>
      <c r="P194" s="29"/>
      <c r="Q194" s="15"/>
      <c r="R194" s="15"/>
      <c r="S194" s="15"/>
      <c r="T194" s="15"/>
      <c r="U194" s="15"/>
      <c r="V194" s="243"/>
      <c r="W194" s="15"/>
    </row>
    <row r="195">
      <c r="A195" s="34"/>
      <c r="B195" s="15"/>
      <c r="C195" s="15"/>
      <c r="D195" s="15"/>
      <c r="E195" s="17"/>
      <c r="F195" s="15"/>
      <c r="G195" s="250"/>
      <c r="H195" s="243"/>
      <c r="I195" s="243"/>
      <c r="J195" s="243"/>
      <c r="K195" s="85"/>
      <c r="L195" s="85"/>
      <c r="M195" s="85"/>
      <c r="N195" s="29"/>
      <c r="O195" s="307"/>
      <c r="P195" s="29"/>
      <c r="Q195" s="15"/>
      <c r="R195" s="15"/>
      <c r="S195" s="15"/>
      <c r="T195" s="15"/>
      <c r="U195" s="15"/>
      <c r="V195" s="243"/>
      <c r="W195" s="15"/>
    </row>
    <row r="196">
      <c r="A196" s="34"/>
      <c r="B196" s="15"/>
      <c r="C196" s="15"/>
      <c r="D196" s="15"/>
      <c r="E196" s="17"/>
      <c r="F196" s="15"/>
      <c r="G196" s="250"/>
      <c r="H196" s="243"/>
      <c r="I196" s="243"/>
      <c r="J196" s="243"/>
      <c r="K196" s="85"/>
      <c r="L196" s="85"/>
      <c r="M196" s="85"/>
      <c r="N196" s="29"/>
      <c r="O196" s="307"/>
      <c r="P196" s="29"/>
      <c r="Q196" s="15"/>
      <c r="R196" s="15"/>
      <c r="S196" s="15"/>
      <c r="T196" s="15"/>
      <c r="U196" s="15"/>
      <c r="V196" s="243"/>
      <c r="W196" s="15"/>
    </row>
    <row r="197">
      <c r="A197" s="34"/>
      <c r="B197" s="15"/>
      <c r="C197" s="15"/>
      <c r="D197" s="15"/>
      <c r="E197" s="17"/>
      <c r="F197" s="15"/>
      <c r="G197" s="250"/>
      <c r="H197" s="243"/>
      <c r="I197" s="243"/>
      <c r="J197" s="243"/>
      <c r="K197" s="85"/>
      <c r="L197" s="85"/>
      <c r="M197" s="85"/>
      <c r="N197" s="29"/>
      <c r="O197" s="307"/>
      <c r="P197" s="29"/>
      <c r="Q197" s="15"/>
      <c r="R197" s="15"/>
      <c r="S197" s="15"/>
      <c r="T197" s="15"/>
      <c r="U197" s="15"/>
      <c r="V197" s="243"/>
      <c r="W197" s="15"/>
    </row>
    <row r="198">
      <c r="A198" s="34"/>
      <c r="B198" s="15"/>
      <c r="C198" s="15"/>
      <c r="D198" s="15"/>
      <c r="E198" s="17"/>
      <c r="F198" s="15"/>
      <c r="G198" s="250"/>
      <c r="H198" s="243"/>
      <c r="I198" s="243"/>
      <c r="J198" s="243"/>
      <c r="K198" s="85"/>
      <c r="L198" s="85"/>
      <c r="M198" s="85"/>
      <c r="N198" s="29"/>
      <c r="O198" s="307"/>
      <c r="P198" s="29"/>
      <c r="Q198" s="15"/>
      <c r="R198" s="15"/>
      <c r="S198" s="15"/>
      <c r="T198" s="15"/>
      <c r="U198" s="15"/>
      <c r="V198" s="243"/>
      <c r="W198" s="15"/>
    </row>
    <row r="199">
      <c r="A199" s="34"/>
      <c r="B199" s="15"/>
      <c r="C199" s="15"/>
      <c r="D199" s="15"/>
      <c r="E199" s="17"/>
      <c r="F199" s="15"/>
      <c r="G199" s="250"/>
      <c r="H199" s="243"/>
      <c r="I199" s="243"/>
      <c r="J199" s="243"/>
      <c r="K199" s="85"/>
      <c r="L199" s="85"/>
      <c r="M199" s="85"/>
      <c r="N199" s="29"/>
      <c r="O199" s="307"/>
      <c r="P199" s="29"/>
      <c r="Q199" s="15"/>
      <c r="R199" s="15"/>
      <c r="S199" s="15"/>
      <c r="T199" s="15"/>
      <c r="U199" s="15"/>
      <c r="V199" s="243"/>
      <c r="W199" s="15"/>
    </row>
    <row r="200">
      <c r="A200" s="34"/>
      <c r="B200" s="15"/>
      <c r="C200" s="15"/>
      <c r="D200" s="15"/>
      <c r="E200" s="17"/>
      <c r="F200" s="15"/>
      <c r="G200" s="250"/>
      <c r="H200" s="243"/>
      <c r="I200" s="243"/>
      <c r="J200" s="243"/>
      <c r="K200" s="85"/>
      <c r="L200" s="85"/>
      <c r="M200" s="85"/>
      <c r="N200" s="29"/>
      <c r="O200" s="307"/>
      <c r="P200" s="29"/>
      <c r="Q200" s="15"/>
      <c r="R200" s="15"/>
      <c r="S200" s="15"/>
      <c r="T200" s="15"/>
      <c r="U200" s="15"/>
      <c r="V200" s="243"/>
      <c r="W200" s="15"/>
    </row>
    <row r="201">
      <c r="A201" s="34"/>
      <c r="B201" s="15"/>
      <c r="C201" s="15"/>
      <c r="D201" s="15"/>
      <c r="E201" s="17"/>
      <c r="F201" s="15"/>
      <c r="G201" s="250"/>
      <c r="H201" s="243"/>
      <c r="I201" s="243"/>
      <c r="J201" s="243"/>
      <c r="K201" s="85"/>
      <c r="L201" s="85"/>
      <c r="M201" s="85"/>
      <c r="N201" s="29"/>
      <c r="O201" s="307"/>
      <c r="P201" s="29"/>
      <c r="Q201" s="15"/>
      <c r="R201" s="15"/>
      <c r="S201" s="15"/>
      <c r="T201" s="15"/>
      <c r="U201" s="15"/>
      <c r="V201" s="243"/>
      <c r="W201" s="15"/>
    </row>
    <row r="202">
      <c r="A202" s="34"/>
      <c r="B202" s="15"/>
      <c r="C202" s="15"/>
      <c r="D202" s="15"/>
      <c r="E202" s="17"/>
      <c r="F202" s="15"/>
      <c r="G202" s="250"/>
      <c r="H202" s="243"/>
      <c r="I202" s="243"/>
      <c r="J202" s="243"/>
      <c r="K202" s="85"/>
      <c r="L202" s="85"/>
      <c r="M202" s="85"/>
      <c r="N202" s="29"/>
      <c r="O202" s="307"/>
      <c r="P202" s="29"/>
      <c r="Q202" s="15"/>
      <c r="R202" s="15"/>
      <c r="S202" s="15"/>
      <c r="T202" s="15"/>
      <c r="U202" s="15"/>
      <c r="V202" s="243"/>
      <c r="W202" s="15"/>
    </row>
    <row r="203">
      <c r="A203" s="34"/>
      <c r="B203" s="15"/>
      <c r="C203" s="15"/>
      <c r="D203" s="15"/>
      <c r="E203" s="17"/>
      <c r="F203" s="15"/>
      <c r="G203" s="250"/>
      <c r="H203" s="243"/>
      <c r="I203" s="243"/>
      <c r="J203" s="243"/>
      <c r="K203" s="85"/>
      <c r="L203" s="85"/>
      <c r="M203" s="85"/>
      <c r="N203" s="29"/>
      <c r="O203" s="307"/>
      <c r="P203" s="29"/>
      <c r="Q203" s="15"/>
      <c r="R203" s="15"/>
      <c r="S203" s="15"/>
      <c r="T203" s="15"/>
      <c r="U203" s="15"/>
      <c r="V203" s="243"/>
      <c r="W203" s="15"/>
    </row>
    <row r="204">
      <c r="A204" s="34"/>
      <c r="B204" s="15"/>
      <c r="C204" s="15"/>
      <c r="D204" s="15"/>
      <c r="E204" s="17"/>
      <c r="F204" s="15"/>
      <c r="G204" s="250"/>
      <c r="H204" s="243"/>
      <c r="I204" s="243"/>
      <c r="J204" s="243"/>
      <c r="K204" s="85"/>
      <c r="L204" s="85"/>
      <c r="M204" s="85"/>
      <c r="N204" s="29"/>
      <c r="O204" s="307"/>
      <c r="P204" s="29"/>
      <c r="Q204" s="15"/>
      <c r="R204" s="15"/>
      <c r="S204" s="15"/>
      <c r="T204" s="15"/>
      <c r="U204" s="15"/>
      <c r="V204" s="243"/>
      <c r="W204" s="15"/>
    </row>
    <row r="205">
      <c r="A205" s="34"/>
      <c r="B205" s="15"/>
      <c r="C205" s="15"/>
      <c r="D205" s="15"/>
      <c r="E205" s="17"/>
      <c r="F205" s="15"/>
      <c r="G205" s="250"/>
      <c r="H205" s="243"/>
      <c r="I205" s="243"/>
      <c r="J205" s="243"/>
      <c r="K205" s="85"/>
      <c r="L205" s="85"/>
      <c r="M205" s="85"/>
      <c r="N205" s="29"/>
      <c r="O205" s="307"/>
      <c r="P205" s="29"/>
      <c r="Q205" s="15"/>
      <c r="R205" s="15"/>
      <c r="S205" s="15"/>
      <c r="T205" s="15"/>
      <c r="U205" s="15"/>
      <c r="V205" s="243"/>
      <c r="W205" s="15"/>
    </row>
    <row r="206">
      <c r="A206" s="34"/>
      <c r="B206" s="15"/>
      <c r="C206" s="15"/>
      <c r="D206" s="15"/>
      <c r="E206" s="17"/>
      <c r="F206" s="15"/>
      <c r="G206" s="250"/>
      <c r="H206" s="243"/>
      <c r="I206" s="243"/>
      <c r="J206" s="243"/>
      <c r="K206" s="85"/>
      <c r="L206" s="85"/>
      <c r="M206" s="85"/>
      <c r="N206" s="29"/>
      <c r="O206" s="307"/>
      <c r="P206" s="29"/>
      <c r="Q206" s="15"/>
      <c r="R206" s="15"/>
      <c r="S206" s="15"/>
      <c r="T206" s="15"/>
      <c r="U206" s="15"/>
      <c r="V206" s="243"/>
      <c r="W206" s="15"/>
    </row>
    <row r="207">
      <c r="A207" s="34"/>
      <c r="B207" s="15"/>
      <c r="C207" s="15"/>
      <c r="D207" s="15"/>
      <c r="E207" s="17"/>
      <c r="F207" s="15"/>
      <c r="G207" s="250"/>
      <c r="H207" s="243"/>
      <c r="I207" s="243"/>
      <c r="J207" s="243"/>
      <c r="K207" s="85"/>
      <c r="L207" s="85"/>
      <c r="M207" s="85"/>
      <c r="N207" s="29"/>
      <c r="O207" s="307"/>
      <c r="P207" s="29"/>
      <c r="Q207" s="15"/>
      <c r="R207" s="15"/>
      <c r="S207" s="15"/>
      <c r="T207" s="15"/>
      <c r="U207" s="15"/>
      <c r="V207" s="243"/>
      <c r="W207" s="15"/>
    </row>
    <row r="208">
      <c r="A208" s="34"/>
      <c r="B208" s="15"/>
      <c r="C208" s="15"/>
      <c r="D208" s="15"/>
      <c r="E208" s="17"/>
      <c r="F208" s="15"/>
      <c r="G208" s="250"/>
      <c r="H208" s="243"/>
      <c r="I208" s="243"/>
      <c r="J208" s="243"/>
      <c r="K208" s="85"/>
      <c r="L208" s="85"/>
      <c r="M208" s="85"/>
      <c r="N208" s="29"/>
      <c r="O208" s="307"/>
      <c r="P208" s="29"/>
      <c r="Q208" s="15"/>
      <c r="R208" s="15"/>
      <c r="S208" s="15"/>
      <c r="T208" s="15"/>
      <c r="U208" s="15"/>
      <c r="V208" s="243"/>
      <c r="W208" s="15"/>
    </row>
    <row r="209">
      <c r="A209" s="34"/>
      <c r="B209" s="15"/>
      <c r="C209" s="15"/>
      <c r="D209" s="15"/>
      <c r="E209" s="17"/>
      <c r="F209" s="15"/>
      <c r="G209" s="250"/>
      <c r="H209" s="243"/>
      <c r="I209" s="243"/>
      <c r="J209" s="243"/>
      <c r="K209" s="85"/>
      <c r="L209" s="85"/>
      <c r="M209" s="85"/>
      <c r="N209" s="29"/>
      <c r="O209" s="307"/>
      <c r="P209" s="29"/>
      <c r="Q209" s="15"/>
      <c r="R209" s="15"/>
      <c r="S209" s="15"/>
      <c r="T209" s="15"/>
      <c r="U209" s="15"/>
      <c r="V209" s="243"/>
      <c r="W209" s="15"/>
    </row>
    <row r="210">
      <c r="A210" s="34"/>
      <c r="B210" s="15"/>
      <c r="C210" s="15"/>
      <c r="D210" s="15"/>
      <c r="E210" s="17"/>
      <c r="F210" s="15"/>
      <c r="G210" s="250"/>
      <c r="H210" s="243"/>
      <c r="I210" s="243"/>
      <c r="J210" s="243"/>
      <c r="K210" s="85"/>
      <c r="L210" s="85"/>
      <c r="M210" s="85"/>
      <c r="N210" s="29"/>
      <c r="O210" s="307"/>
      <c r="P210" s="29"/>
      <c r="Q210" s="15"/>
      <c r="R210" s="15"/>
      <c r="S210" s="15"/>
      <c r="T210" s="15"/>
      <c r="U210" s="15"/>
      <c r="V210" s="243"/>
      <c r="W210" s="15"/>
    </row>
    <row r="211">
      <c r="A211" s="34"/>
      <c r="B211" s="15"/>
      <c r="C211" s="15"/>
      <c r="D211" s="15"/>
      <c r="E211" s="17"/>
      <c r="F211" s="15"/>
      <c r="G211" s="250"/>
      <c r="H211" s="243"/>
      <c r="I211" s="243"/>
      <c r="J211" s="243"/>
      <c r="K211" s="85"/>
      <c r="L211" s="85"/>
      <c r="M211" s="85"/>
      <c r="N211" s="29"/>
      <c r="O211" s="307"/>
      <c r="P211" s="29"/>
      <c r="Q211" s="15"/>
      <c r="R211" s="15"/>
      <c r="S211" s="15"/>
      <c r="T211" s="15"/>
      <c r="U211" s="15"/>
      <c r="V211" s="243"/>
      <c r="W211" s="15"/>
    </row>
    <row r="212">
      <c r="A212" s="34"/>
      <c r="B212" s="15"/>
      <c r="C212" s="15"/>
      <c r="D212" s="15"/>
      <c r="E212" s="17"/>
      <c r="F212" s="15"/>
      <c r="G212" s="250"/>
      <c r="H212" s="243"/>
      <c r="I212" s="243"/>
      <c r="J212" s="243"/>
      <c r="K212" s="85"/>
      <c r="L212" s="85"/>
      <c r="M212" s="85"/>
      <c r="N212" s="29"/>
      <c r="O212" s="307"/>
      <c r="P212" s="29"/>
      <c r="Q212" s="15"/>
      <c r="R212" s="15"/>
      <c r="S212" s="15"/>
      <c r="T212" s="15"/>
      <c r="U212" s="15"/>
      <c r="V212" s="243"/>
      <c r="W212" s="15"/>
    </row>
    <row r="213">
      <c r="A213" s="34"/>
      <c r="B213" s="15"/>
      <c r="C213" s="15"/>
      <c r="D213" s="15"/>
      <c r="E213" s="17"/>
      <c r="F213" s="15"/>
      <c r="G213" s="250"/>
      <c r="H213" s="243"/>
      <c r="I213" s="243"/>
      <c r="J213" s="243"/>
      <c r="K213" s="85"/>
      <c r="L213" s="85"/>
      <c r="M213" s="85"/>
      <c r="N213" s="29"/>
      <c r="O213" s="307"/>
      <c r="P213" s="29"/>
      <c r="Q213" s="15"/>
      <c r="R213" s="15"/>
      <c r="S213" s="15"/>
      <c r="T213" s="15"/>
      <c r="U213" s="15"/>
      <c r="V213" s="243"/>
      <c r="W213" s="15"/>
    </row>
    <row r="214">
      <c r="A214" s="34"/>
      <c r="B214" s="15"/>
      <c r="C214" s="15"/>
      <c r="D214" s="15"/>
      <c r="E214" s="17"/>
      <c r="F214" s="15"/>
      <c r="G214" s="250"/>
      <c r="H214" s="243"/>
      <c r="I214" s="243"/>
      <c r="J214" s="243"/>
      <c r="K214" s="85"/>
      <c r="L214" s="85"/>
      <c r="M214" s="85"/>
      <c r="N214" s="29"/>
      <c r="O214" s="307"/>
      <c r="P214" s="29"/>
      <c r="Q214" s="15"/>
      <c r="R214" s="15"/>
      <c r="S214" s="15"/>
      <c r="T214" s="15"/>
      <c r="U214" s="15"/>
      <c r="V214" s="243"/>
      <c r="W214" s="15"/>
    </row>
    <row r="215">
      <c r="A215" s="34"/>
      <c r="B215" s="15"/>
      <c r="C215" s="15"/>
      <c r="D215" s="15"/>
      <c r="E215" s="17"/>
      <c r="F215" s="15"/>
      <c r="G215" s="250"/>
      <c r="H215" s="243"/>
      <c r="I215" s="243"/>
      <c r="J215" s="243"/>
      <c r="K215" s="85"/>
      <c r="L215" s="85"/>
      <c r="M215" s="85"/>
      <c r="N215" s="29"/>
      <c r="O215" s="307"/>
      <c r="P215" s="29"/>
      <c r="Q215" s="15"/>
      <c r="R215" s="15"/>
      <c r="S215" s="15"/>
      <c r="T215" s="15"/>
      <c r="U215" s="15"/>
      <c r="V215" s="243"/>
      <c r="W215" s="15"/>
    </row>
    <row r="216">
      <c r="A216" s="34"/>
      <c r="B216" s="15"/>
      <c r="C216" s="15"/>
      <c r="D216" s="15"/>
      <c r="E216" s="17"/>
      <c r="F216" s="15"/>
      <c r="G216" s="250"/>
      <c r="H216" s="243"/>
      <c r="I216" s="243"/>
      <c r="J216" s="243"/>
      <c r="K216" s="85"/>
      <c r="L216" s="85"/>
      <c r="M216" s="85"/>
      <c r="N216" s="29"/>
      <c r="O216" s="307"/>
      <c r="P216" s="29"/>
      <c r="Q216" s="15"/>
      <c r="R216" s="15"/>
      <c r="S216" s="15"/>
      <c r="T216" s="15"/>
      <c r="U216" s="15"/>
      <c r="V216" s="243"/>
      <c r="W216" s="15"/>
    </row>
    <row r="217">
      <c r="A217" s="34"/>
      <c r="B217" s="15"/>
      <c r="C217" s="15"/>
      <c r="D217" s="15"/>
      <c r="E217" s="17"/>
      <c r="F217" s="15"/>
      <c r="G217" s="250"/>
      <c r="H217" s="243"/>
      <c r="I217" s="243"/>
      <c r="J217" s="243"/>
      <c r="K217" s="85"/>
      <c r="L217" s="85"/>
      <c r="M217" s="85"/>
      <c r="N217" s="29"/>
      <c r="O217" s="307"/>
      <c r="P217" s="29"/>
      <c r="Q217" s="15"/>
      <c r="R217" s="15"/>
      <c r="S217" s="15"/>
      <c r="T217" s="15"/>
      <c r="U217" s="15"/>
      <c r="V217" s="243"/>
      <c r="W217" s="15"/>
    </row>
    <row r="218">
      <c r="A218" s="34"/>
      <c r="B218" s="15"/>
      <c r="C218" s="15"/>
      <c r="D218" s="15"/>
      <c r="E218" s="17"/>
      <c r="F218" s="15"/>
      <c r="G218" s="250"/>
      <c r="H218" s="243"/>
      <c r="I218" s="243"/>
      <c r="J218" s="243"/>
      <c r="K218" s="85"/>
      <c r="L218" s="85"/>
      <c r="M218" s="85"/>
      <c r="N218" s="29"/>
      <c r="O218" s="307"/>
      <c r="P218" s="29"/>
      <c r="Q218" s="15"/>
      <c r="R218" s="15"/>
      <c r="S218" s="15"/>
      <c r="T218" s="15"/>
      <c r="U218" s="15"/>
      <c r="V218" s="243"/>
      <c r="W218" s="15"/>
    </row>
    <row r="219">
      <c r="A219" s="34"/>
      <c r="B219" s="15"/>
      <c r="C219" s="15"/>
      <c r="D219" s="15"/>
      <c r="E219" s="17"/>
      <c r="F219" s="15"/>
      <c r="G219" s="250"/>
      <c r="H219" s="243"/>
      <c r="I219" s="243"/>
      <c r="J219" s="243"/>
      <c r="K219" s="85"/>
      <c r="L219" s="85"/>
      <c r="M219" s="85"/>
      <c r="N219" s="29"/>
      <c r="O219" s="307"/>
      <c r="P219" s="29"/>
      <c r="Q219" s="15"/>
      <c r="R219" s="15"/>
      <c r="S219" s="15"/>
      <c r="T219" s="15"/>
      <c r="U219" s="15"/>
      <c r="V219" s="243"/>
      <c r="W219" s="15"/>
    </row>
    <row r="220">
      <c r="A220" s="34"/>
      <c r="B220" s="15"/>
      <c r="C220" s="15"/>
      <c r="D220" s="15"/>
      <c r="E220" s="17"/>
      <c r="F220" s="15"/>
      <c r="G220" s="250"/>
      <c r="H220" s="243"/>
      <c r="I220" s="243"/>
      <c r="J220" s="243"/>
      <c r="K220" s="85"/>
      <c r="L220" s="85"/>
      <c r="M220" s="85"/>
      <c r="N220" s="29"/>
      <c r="O220" s="307"/>
      <c r="P220" s="29"/>
      <c r="Q220" s="15"/>
      <c r="R220" s="15"/>
      <c r="S220" s="15"/>
      <c r="T220" s="15"/>
      <c r="U220" s="15"/>
      <c r="V220" s="243"/>
      <c r="W220" s="15"/>
    </row>
    <row r="221">
      <c r="A221" s="34"/>
      <c r="B221" s="15"/>
      <c r="C221" s="15"/>
      <c r="D221" s="15"/>
      <c r="E221" s="17"/>
      <c r="F221" s="15"/>
      <c r="G221" s="250"/>
      <c r="H221" s="243"/>
      <c r="I221" s="243"/>
      <c r="J221" s="243"/>
      <c r="K221" s="85"/>
      <c r="L221" s="85"/>
      <c r="M221" s="85"/>
      <c r="N221" s="29"/>
      <c r="O221" s="307"/>
      <c r="P221" s="29"/>
      <c r="Q221" s="15"/>
      <c r="R221" s="15"/>
      <c r="S221" s="15"/>
      <c r="T221" s="15"/>
      <c r="U221" s="15"/>
      <c r="V221" s="243"/>
      <c r="W221" s="15"/>
    </row>
    <row r="222">
      <c r="A222" s="34"/>
      <c r="B222" s="15"/>
      <c r="C222" s="15"/>
      <c r="D222" s="15"/>
      <c r="E222" s="17"/>
      <c r="F222" s="15"/>
      <c r="G222" s="250"/>
      <c r="H222" s="243"/>
      <c r="I222" s="243"/>
      <c r="J222" s="243"/>
      <c r="K222" s="85"/>
      <c r="L222" s="85"/>
      <c r="M222" s="85"/>
      <c r="N222" s="29"/>
      <c r="O222" s="307"/>
      <c r="P222" s="29"/>
      <c r="Q222" s="15"/>
      <c r="R222" s="15"/>
      <c r="S222" s="15"/>
      <c r="T222" s="15"/>
      <c r="U222" s="15"/>
      <c r="V222" s="243"/>
      <c r="W222" s="15"/>
    </row>
    <row r="223">
      <c r="A223" s="34"/>
      <c r="B223" s="15"/>
      <c r="C223" s="15"/>
      <c r="D223" s="15"/>
      <c r="E223" s="17"/>
      <c r="F223" s="15"/>
      <c r="G223" s="250"/>
      <c r="H223" s="243"/>
      <c r="I223" s="243"/>
      <c r="J223" s="243"/>
      <c r="K223" s="85"/>
      <c r="L223" s="85"/>
      <c r="M223" s="85"/>
      <c r="N223" s="29"/>
      <c r="O223" s="307"/>
      <c r="P223" s="29"/>
      <c r="Q223" s="15"/>
      <c r="R223" s="15"/>
      <c r="S223" s="15"/>
      <c r="T223" s="15"/>
      <c r="U223" s="15"/>
      <c r="V223" s="243"/>
      <c r="W223" s="15"/>
    </row>
    <row r="224">
      <c r="A224" s="34"/>
      <c r="B224" s="15"/>
      <c r="C224" s="15"/>
      <c r="D224" s="15"/>
      <c r="E224" s="17"/>
      <c r="F224" s="15"/>
      <c r="G224" s="250"/>
      <c r="H224" s="243"/>
      <c r="I224" s="243"/>
      <c r="J224" s="243"/>
      <c r="K224" s="85"/>
      <c r="L224" s="85"/>
      <c r="M224" s="85"/>
      <c r="N224" s="29"/>
      <c r="O224" s="307"/>
      <c r="P224" s="29"/>
      <c r="Q224" s="15"/>
      <c r="R224" s="15"/>
      <c r="S224" s="15"/>
      <c r="T224" s="15"/>
      <c r="U224" s="15"/>
      <c r="V224" s="243"/>
      <c r="W224" s="15"/>
    </row>
    <row r="225">
      <c r="A225" s="34"/>
      <c r="B225" s="15"/>
      <c r="C225" s="15"/>
      <c r="D225" s="15"/>
      <c r="E225" s="17"/>
      <c r="F225" s="15"/>
      <c r="G225" s="250"/>
      <c r="H225" s="243"/>
      <c r="I225" s="243"/>
      <c r="J225" s="243"/>
      <c r="K225" s="85"/>
      <c r="L225" s="85"/>
      <c r="M225" s="85"/>
      <c r="N225" s="29"/>
      <c r="O225" s="307"/>
      <c r="P225" s="29"/>
      <c r="Q225" s="15"/>
      <c r="R225" s="15"/>
      <c r="S225" s="15"/>
      <c r="T225" s="15"/>
      <c r="U225" s="15"/>
      <c r="V225" s="243"/>
      <c r="W225" s="15"/>
    </row>
    <row r="226">
      <c r="A226" s="34"/>
      <c r="B226" s="15"/>
      <c r="C226" s="15"/>
      <c r="D226" s="15"/>
      <c r="E226" s="17"/>
      <c r="F226" s="15"/>
      <c r="G226" s="250"/>
      <c r="H226" s="243"/>
      <c r="I226" s="243"/>
      <c r="J226" s="243"/>
      <c r="K226" s="85"/>
      <c r="L226" s="85"/>
      <c r="M226" s="85"/>
      <c r="N226" s="29"/>
      <c r="O226" s="307"/>
      <c r="P226" s="29"/>
      <c r="Q226" s="15"/>
      <c r="R226" s="15"/>
      <c r="S226" s="15"/>
      <c r="T226" s="15"/>
      <c r="U226" s="15"/>
      <c r="V226" s="243"/>
      <c r="W226" s="15"/>
    </row>
    <row r="227">
      <c r="A227" s="34"/>
      <c r="B227" s="15"/>
      <c r="C227" s="15"/>
      <c r="D227" s="15"/>
      <c r="E227" s="17"/>
      <c r="F227" s="15"/>
      <c r="G227" s="250"/>
      <c r="H227" s="243"/>
      <c r="I227" s="243"/>
      <c r="J227" s="243"/>
      <c r="K227" s="85"/>
      <c r="L227" s="85"/>
      <c r="M227" s="85"/>
      <c r="N227" s="29"/>
      <c r="O227" s="307"/>
      <c r="P227" s="29"/>
      <c r="Q227" s="15"/>
      <c r="R227" s="15"/>
      <c r="S227" s="15"/>
      <c r="T227" s="15"/>
      <c r="U227" s="15"/>
      <c r="V227" s="243"/>
      <c r="W227" s="15"/>
    </row>
    <row r="228">
      <c r="A228" s="34"/>
      <c r="B228" s="15"/>
      <c r="C228" s="15"/>
      <c r="D228" s="15"/>
      <c r="E228" s="17"/>
      <c r="F228" s="15"/>
      <c r="G228" s="250"/>
      <c r="H228" s="243"/>
      <c r="I228" s="243"/>
      <c r="J228" s="243"/>
      <c r="K228" s="85"/>
      <c r="L228" s="85"/>
      <c r="M228" s="85"/>
      <c r="N228" s="29"/>
      <c r="O228" s="307"/>
      <c r="P228" s="29"/>
      <c r="Q228" s="15"/>
      <c r="R228" s="15"/>
      <c r="S228" s="15"/>
      <c r="T228" s="15"/>
      <c r="U228" s="15"/>
      <c r="V228" s="243"/>
      <c r="W228" s="15"/>
    </row>
    <row r="229">
      <c r="A229" s="34"/>
      <c r="B229" s="15"/>
      <c r="C229" s="15"/>
      <c r="D229" s="15"/>
      <c r="E229" s="17"/>
      <c r="F229" s="15"/>
      <c r="G229" s="250"/>
      <c r="H229" s="243"/>
      <c r="I229" s="243"/>
      <c r="J229" s="243"/>
      <c r="K229" s="85"/>
      <c r="L229" s="85"/>
      <c r="M229" s="85"/>
      <c r="N229" s="29"/>
      <c r="O229" s="307"/>
      <c r="P229" s="29"/>
      <c r="Q229" s="15"/>
      <c r="R229" s="15"/>
      <c r="S229" s="15"/>
      <c r="T229" s="15"/>
      <c r="U229" s="15"/>
      <c r="V229" s="243"/>
      <c r="W229" s="15"/>
    </row>
    <row r="230">
      <c r="A230" s="34"/>
      <c r="B230" s="15"/>
      <c r="C230" s="15"/>
      <c r="D230" s="15"/>
      <c r="E230" s="17"/>
      <c r="F230" s="15"/>
      <c r="G230" s="250"/>
      <c r="H230" s="243"/>
      <c r="I230" s="243"/>
      <c r="J230" s="243"/>
      <c r="K230" s="85"/>
      <c r="L230" s="85"/>
      <c r="M230" s="85"/>
      <c r="N230" s="29"/>
      <c r="O230" s="307"/>
      <c r="P230" s="29"/>
      <c r="Q230" s="15"/>
      <c r="R230" s="15"/>
      <c r="S230" s="15"/>
      <c r="T230" s="15"/>
      <c r="U230" s="15"/>
      <c r="V230" s="243"/>
      <c r="W230" s="15"/>
    </row>
    <row r="231">
      <c r="A231" s="34"/>
      <c r="B231" s="15"/>
      <c r="C231" s="15"/>
      <c r="D231" s="15"/>
      <c r="E231" s="17"/>
      <c r="F231" s="15"/>
      <c r="G231" s="250"/>
      <c r="H231" s="243"/>
      <c r="I231" s="243"/>
      <c r="J231" s="243"/>
      <c r="K231" s="85"/>
      <c r="L231" s="85"/>
      <c r="M231" s="85"/>
      <c r="N231" s="29"/>
      <c r="O231" s="307"/>
      <c r="P231" s="29"/>
      <c r="Q231" s="15"/>
      <c r="R231" s="15"/>
      <c r="S231" s="15"/>
      <c r="T231" s="15"/>
      <c r="U231" s="15"/>
      <c r="V231" s="243"/>
      <c r="W231" s="15"/>
    </row>
    <row r="232">
      <c r="A232" s="34"/>
      <c r="B232" s="15"/>
      <c r="C232" s="15"/>
      <c r="D232" s="15"/>
      <c r="E232" s="17"/>
      <c r="F232" s="15"/>
      <c r="G232" s="250"/>
      <c r="H232" s="243"/>
      <c r="I232" s="243"/>
      <c r="J232" s="243"/>
      <c r="K232" s="85"/>
      <c r="L232" s="85"/>
      <c r="M232" s="85"/>
      <c r="N232" s="29"/>
      <c r="O232" s="307"/>
      <c r="P232" s="29"/>
      <c r="Q232" s="15"/>
      <c r="R232" s="15"/>
      <c r="S232" s="15"/>
      <c r="T232" s="15"/>
      <c r="U232" s="15"/>
      <c r="V232" s="243"/>
      <c r="W232" s="15"/>
    </row>
    <row r="233">
      <c r="A233" s="34"/>
      <c r="B233" s="15"/>
      <c r="C233" s="15"/>
      <c r="D233" s="15"/>
      <c r="E233" s="17"/>
      <c r="F233" s="15"/>
      <c r="G233" s="250"/>
      <c r="H233" s="243"/>
      <c r="I233" s="243"/>
      <c r="J233" s="243"/>
      <c r="K233" s="85"/>
      <c r="L233" s="85"/>
      <c r="M233" s="85"/>
      <c r="N233" s="29"/>
      <c r="O233" s="307"/>
      <c r="P233" s="29"/>
      <c r="Q233" s="15"/>
      <c r="R233" s="15"/>
      <c r="S233" s="15"/>
      <c r="T233" s="15"/>
      <c r="U233" s="15"/>
      <c r="V233" s="243"/>
      <c r="W233" s="15"/>
    </row>
    <row r="234">
      <c r="A234" s="34"/>
      <c r="B234" s="15"/>
      <c r="C234" s="15"/>
      <c r="D234" s="15"/>
      <c r="E234" s="17"/>
      <c r="F234" s="15"/>
      <c r="G234" s="250"/>
      <c r="H234" s="243"/>
      <c r="I234" s="243"/>
      <c r="J234" s="243"/>
      <c r="K234" s="85"/>
      <c r="L234" s="85"/>
      <c r="M234" s="85"/>
      <c r="N234" s="29"/>
      <c r="O234" s="307"/>
      <c r="P234" s="29"/>
      <c r="Q234" s="15"/>
      <c r="R234" s="15"/>
      <c r="S234" s="15"/>
      <c r="T234" s="15"/>
      <c r="U234" s="15"/>
      <c r="V234" s="243"/>
      <c r="W234" s="15"/>
    </row>
    <row r="235">
      <c r="A235" s="34"/>
      <c r="B235" s="15"/>
      <c r="C235" s="15"/>
      <c r="D235" s="15"/>
      <c r="E235" s="17"/>
      <c r="F235" s="15"/>
      <c r="G235" s="250"/>
      <c r="H235" s="243"/>
      <c r="I235" s="243"/>
      <c r="J235" s="243"/>
      <c r="K235" s="85"/>
      <c r="L235" s="85"/>
      <c r="M235" s="85"/>
      <c r="N235" s="29"/>
      <c r="O235" s="307"/>
      <c r="P235" s="29"/>
      <c r="Q235" s="15"/>
      <c r="R235" s="15"/>
      <c r="S235" s="15"/>
      <c r="T235" s="15"/>
      <c r="U235" s="15"/>
      <c r="V235" s="243"/>
      <c r="W235" s="15"/>
    </row>
    <row r="236">
      <c r="A236" s="34"/>
      <c r="B236" s="15"/>
      <c r="C236" s="15"/>
      <c r="D236" s="15"/>
      <c r="E236" s="17"/>
      <c r="F236" s="15"/>
      <c r="G236" s="250"/>
      <c r="H236" s="243"/>
      <c r="I236" s="243"/>
      <c r="J236" s="243"/>
      <c r="K236" s="85"/>
      <c r="L236" s="85"/>
      <c r="M236" s="85"/>
      <c r="N236" s="29"/>
      <c r="O236" s="307"/>
      <c r="P236" s="29"/>
      <c r="Q236" s="15"/>
      <c r="R236" s="15"/>
      <c r="S236" s="15"/>
      <c r="T236" s="15"/>
      <c r="U236" s="15"/>
      <c r="V236" s="243"/>
      <c r="W236" s="15"/>
    </row>
    <row r="237">
      <c r="A237" s="34"/>
      <c r="B237" s="15"/>
      <c r="C237" s="15"/>
      <c r="D237" s="15"/>
      <c r="E237" s="17"/>
      <c r="F237" s="15"/>
      <c r="G237" s="250"/>
      <c r="H237" s="243"/>
      <c r="I237" s="243"/>
      <c r="J237" s="243"/>
      <c r="K237" s="85"/>
      <c r="L237" s="85"/>
      <c r="M237" s="85"/>
      <c r="N237" s="29"/>
      <c r="O237" s="307"/>
      <c r="P237" s="29"/>
      <c r="Q237" s="15"/>
      <c r="R237" s="15"/>
      <c r="S237" s="15"/>
      <c r="T237" s="15"/>
      <c r="U237" s="15"/>
      <c r="V237" s="243"/>
      <c r="W237" s="15"/>
    </row>
    <row r="238">
      <c r="A238" s="34"/>
      <c r="B238" s="15"/>
      <c r="C238" s="15"/>
      <c r="D238" s="15"/>
      <c r="E238" s="17"/>
      <c r="F238" s="15"/>
      <c r="G238" s="250"/>
      <c r="H238" s="243"/>
      <c r="I238" s="243"/>
      <c r="J238" s="243"/>
      <c r="K238" s="85"/>
      <c r="L238" s="85"/>
      <c r="M238" s="85"/>
      <c r="N238" s="29"/>
      <c r="O238" s="307"/>
      <c r="P238" s="29"/>
      <c r="Q238" s="15"/>
      <c r="R238" s="15"/>
      <c r="S238" s="15"/>
      <c r="T238" s="15"/>
      <c r="U238" s="15"/>
      <c r="V238" s="243"/>
      <c r="W238" s="15"/>
    </row>
    <row r="239">
      <c r="A239" s="34"/>
      <c r="B239" s="15"/>
      <c r="C239" s="15"/>
      <c r="D239" s="15"/>
      <c r="E239" s="17"/>
      <c r="F239" s="15"/>
      <c r="G239" s="250"/>
      <c r="H239" s="243"/>
      <c r="I239" s="243"/>
      <c r="J239" s="243"/>
      <c r="K239" s="85"/>
      <c r="L239" s="85"/>
      <c r="M239" s="85"/>
      <c r="N239" s="29"/>
      <c r="O239" s="307"/>
      <c r="P239" s="29"/>
      <c r="Q239" s="15"/>
      <c r="R239" s="15"/>
      <c r="S239" s="15"/>
      <c r="T239" s="15"/>
      <c r="U239" s="15"/>
      <c r="V239" s="243"/>
      <c r="W239" s="15"/>
    </row>
    <row r="240">
      <c r="A240" s="34"/>
      <c r="B240" s="15"/>
      <c r="C240" s="15"/>
      <c r="D240" s="15"/>
      <c r="E240" s="17"/>
      <c r="F240" s="15"/>
      <c r="G240" s="250"/>
      <c r="H240" s="243"/>
      <c r="I240" s="243"/>
      <c r="J240" s="243"/>
      <c r="K240" s="85"/>
      <c r="L240" s="85"/>
      <c r="M240" s="85"/>
      <c r="N240" s="29"/>
      <c r="O240" s="307"/>
      <c r="P240" s="29"/>
      <c r="Q240" s="15"/>
      <c r="R240" s="15"/>
      <c r="S240" s="15"/>
      <c r="T240" s="15"/>
      <c r="U240" s="15"/>
      <c r="V240" s="243"/>
      <c r="W240" s="15"/>
    </row>
    <row r="241">
      <c r="A241" s="34"/>
      <c r="B241" s="15"/>
      <c r="C241" s="15"/>
      <c r="D241" s="15"/>
      <c r="E241" s="17"/>
      <c r="F241" s="15"/>
      <c r="G241" s="250"/>
      <c r="H241" s="243"/>
      <c r="I241" s="243"/>
      <c r="J241" s="243"/>
      <c r="K241" s="85"/>
      <c r="L241" s="85"/>
      <c r="M241" s="85"/>
      <c r="N241" s="29"/>
      <c r="O241" s="307"/>
      <c r="P241" s="29"/>
      <c r="Q241" s="15"/>
      <c r="R241" s="15"/>
      <c r="S241" s="15"/>
      <c r="T241" s="15"/>
      <c r="U241" s="15"/>
      <c r="V241" s="243"/>
      <c r="W241" s="15"/>
    </row>
    <row r="242">
      <c r="A242" s="34"/>
      <c r="B242" s="15"/>
      <c r="C242" s="15"/>
      <c r="D242" s="15"/>
      <c r="E242" s="17"/>
      <c r="F242" s="15"/>
      <c r="G242" s="250"/>
      <c r="H242" s="243"/>
      <c r="I242" s="243"/>
      <c r="J242" s="243"/>
      <c r="K242" s="85"/>
      <c r="L242" s="85"/>
      <c r="M242" s="85"/>
      <c r="N242" s="29"/>
      <c r="O242" s="307"/>
      <c r="P242" s="29"/>
      <c r="Q242" s="15"/>
      <c r="R242" s="15"/>
      <c r="S242" s="15"/>
      <c r="T242" s="15"/>
      <c r="U242" s="15"/>
      <c r="V242" s="243"/>
      <c r="W242" s="15"/>
    </row>
    <row r="243">
      <c r="A243" s="34"/>
      <c r="B243" s="15"/>
      <c r="C243" s="15"/>
      <c r="D243" s="15"/>
      <c r="E243" s="17"/>
      <c r="F243" s="15"/>
      <c r="G243" s="250"/>
      <c r="H243" s="243"/>
      <c r="I243" s="243"/>
      <c r="J243" s="243"/>
      <c r="K243" s="85"/>
      <c r="L243" s="85"/>
      <c r="M243" s="85"/>
      <c r="N243" s="29"/>
      <c r="O243" s="307"/>
      <c r="P243" s="29"/>
      <c r="Q243" s="15"/>
      <c r="R243" s="15"/>
      <c r="S243" s="15"/>
      <c r="T243" s="15"/>
      <c r="U243" s="15"/>
      <c r="V243" s="243"/>
      <c r="W243" s="15"/>
    </row>
    <row r="244">
      <c r="A244" s="34"/>
      <c r="B244" s="15"/>
      <c r="C244" s="15"/>
      <c r="D244" s="15"/>
      <c r="E244" s="17"/>
      <c r="F244" s="15"/>
      <c r="G244" s="250"/>
      <c r="H244" s="243"/>
      <c r="I244" s="243"/>
      <c r="J244" s="243"/>
      <c r="K244" s="85"/>
      <c r="L244" s="85"/>
      <c r="M244" s="85"/>
      <c r="N244" s="29"/>
      <c r="O244" s="307"/>
      <c r="P244" s="29"/>
      <c r="Q244" s="15"/>
      <c r="R244" s="15"/>
      <c r="S244" s="15"/>
      <c r="T244" s="15"/>
      <c r="U244" s="15"/>
      <c r="V244" s="243"/>
      <c r="W244" s="15"/>
    </row>
    <row r="245">
      <c r="A245" s="34"/>
      <c r="B245" s="15"/>
      <c r="C245" s="15"/>
      <c r="D245" s="15"/>
      <c r="E245" s="17"/>
      <c r="F245" s="15"/>
      <c r="G245" s="250"/>
      <c r="H245" s="243"/>
      <c r="I245" s="243"/>
      <c r="J245" s="243"/>
      <c r="K245" s="85"/>
      <c r="L245" s="85"/>
      <c r="M245" s="85"/>
      <c r="N245" s="29"/>
      <c r="O245" s="307"/>
      <c r="P245" s="29"/>
      <c r="Q245" s="15"/>
      <c r="R245" s="15"/>
      <c r="S245" s="15"/>
      <c r="T245" s="15"/>
      <c r="U245" s="15"/>
      <c r="V245" s="243"/>
      <c r="W245" s="15"/>
    </row>
    <row r="246">
      <c r="A246" s="34"/>
      <c r="B246" s="15"/>
      <c r="C246" s="15"/>
      <c r="D246" s="15"/>
      <c r="E246" s="17"/>
      <c r="F246" s="15"/>
      <c r="G246" s="250"/>
      <c r="H246" s="243"/>
      <c r="I246" s="243"/>
      <c r="J246" s="243"/>
      <c r="K246" s="85"/>
      <c r="L246" s="85"/>
      <c r="M246" s="85"/>
      <c r="N246" s="29"/>
      <c r="O246" s="307"/>
      <c r="P246" s="29"/>
      <c r="Q246" s="15"/>
      <c r="R246" s="15"/>
      <c r="S246" s="15"/>
      <c r="T246" s="15"/>
      <c r="U246" s="15"/>
      <c r="V246" s="243"/>
      <c r="W246" s="15"/>
    </row>
    <row r="247">
      <c r="A247" s="34"/>
      <c r="B247" s="15"/>
      <c r="C247" s="15"/>
      <c r="D247" s="15"/>
      <c r="E247" s="17"/>
      <c r="F247" s="15"/>
      <c r="G247" s="250"/>
      <c r="H247" s="243"/>
      <c r="I247" s="243"/>
      <c r="J247" s="243"/>
      <c r="K247" s="85"/>
      <c r="L247" s="85"/>
      <c r="M247" s="85"/>
      <c r="N247" s="29"/>
      <c r="O247" s="307"/>
      <c r="P247" s="29"/>
      <c r="Q247" s="15"/>
      <c r="R247" s="15"/>
      <c r="S247" s="15"/>
      <c r="T247" s="15"/>
      <c r="U247" s="15"/>
      <c r="V247" s="243"/>
      <c r="W247" s="15"/>
    </row>
    <row r="248">
      <c r="A248" s="34"/>
      <c r="B248" s="15"/>
      <c r="C248" s="15"/>
      <c r="D248" s="15"/>
      <c r="E248" s="17"/>
      <c r="F248" s="15"/>
      <c r="G248" s="250"/>
      <c r="H248" s="243"/>
      <c r="I248" s="243"/>
      <c r="J248" s="243"/>
      <c r="K248" s="85"/>
      <c r="L248" s="85"/>
      <c r="M248" s="85"/>
      <c r="N248" s="29"/>
      <c r="O248" s="307"/>
      <c r="P248" s="29"/>
      <c r="Q248" s="15"/>
      <c r="R248" s="15"/>
      <c r="S248" s="15"/>
      <c r="T248" s="15"/>
      <c r="U248" s="15"/>
      <c r="V248" s="243"/>
      <c r="W248" s="15"/>
    </row>
    <row r="249">
      <c r="A249" s="34"/>
      <c r="B249" s="15"/>
      <c r="C249" s="15"/>
      <c r="D249" s="15"/>
      <c r="E249" s="17"/>
      <c r="F249" s="15"/>
      <c r="G249" s="250"/>
      <c r="H249" s="243"/>
      <c r="I249" s="243"/>
      <c r="J249" s="243"/>
      <c r="K249" s="85"/>
      <c r="L249" s="85"/>
      <c r="M249" s="85"/>
      <c r="N249" s="29"/>
      <c r="O249" s="307"/>
      <c r="P249" s="29"/>
      <c r="Q249" s="15"/>
      <c r="R249" s="15"/>
      <c r="S249" s="15"/>
      <c r="T249" s="15"/>
      <c r="U249" s="15"/>
      <c r="V249" s="243"/>
      <c r="W249" s="15"/>
    </row>
    <row r="250">
      <c r="A250" s="34"/>
      <c r="B250" s="15"/>
      <c r="C250" s="15"/>
      <c r="D250" s="15"/>
      <c r="E250" s="17"/>
      <c r="F250" s="15"/>
      <c r="G250" s="250"/>
      <c r="H250" s="243"/>
      <c r="I250" s="243"/>
      <c r="J250" s="243"/>
      <c r="K250" s="85"/>
      <c r="L250" s="85"/>
      <c r="M250" s="85"/>
      <c r="N250" s="29"/>
      <c r="O250" s="307"/>
      <c r="P250" s="29"/>
      <c r="Q250" s="15"/>
      <c r="R250" s="15"/>
      <c r="S250" s="15"/>
      <c r="T250" s="15"/>
      <c r="U250" s="15"/>
      <c r="V250" s="243"/>
      <c r="W250" s="15"/>
    </row>
    <row r="251">
      <c r="A251" s="34"/>
      <c r="B251" s="15"/>
      <c r="C251" s="15"/>
      <c r="D251" s="15"/>
      <c r="E251" s="17"/>
      <c r="F251" s="15"/>
      <c r="G251" s="250"/>
      <c r="H251" s="243"/>
      <c r="I251" s="243"/>
      <c r="J251" s="243"/>
      <c r="K251" s="85"/>
      <c r="L251" s="85"/>
      <c r="M251" s="85"/>
      <c r="N251" s="29"/>
      <c r="O251" s="307"/>
      <c r="P251" s="29"/>
      <c r="Q251" s="15"/>
      <c r="R251" s="15"/>
      <c r="S251" s="15"/>
      <c r="T251" s="15"/>
      <c r="U251" s="15"/>
      <c r="V251" s="243"/>
      <c r="W251" s="15"/>
    </row>
    <row r="252">
      <c r="A252" s="34"/>
      <c r="B252" s="15"/>
      <c r="C252" s="15"/>
      <c r="D252" s="15"/>
      <c r="E252" s="17"/>
      <c r="F252" s="15"/>
      <c r="G252" s="250"/>
      <c r="H252" s="243"/>
      <c r="I252" s="243"/>
      <c r="J252" s="243"/>
      <c r="K252" s="85"/>
      <c r="L252" s="85"/>
      <c r="M252" s="85"/>
      <c r="N252" s="29"/>
      <c r="O252" s="307"/>
      <c r="P252" s="29"/>
      <c r="Q252" s="15"/>
      <c r="R252" s="15"/>
      <c r="S252" s="15"/>
      <c r="T252" s="15"/>
      <c r="U252" s="15"/>
      <c r="V252" s="243"/>
      <c r="W252" s="15"/>
    </row>
    <row r="253">
      <c r="A253" s="34"/>
      <c r="B253" s="15"/>
      <c r="C253" s="15"/>
      <c r="D253" s="15"/>
      <c r="E253" s="17"/>
      <c r="F253" s="15"/>
      <c r="G253" s="250"/>
      <c r="H253" s="243"/>
      <c r="I253" s="243"/>
      <c r="J253" s="243"/>
      <c r="K253" s="85"/>
      <c r="L253" s="85"/>
      <c r="M253" s="85"/>
      <c r="N253" s="29"/>
      <c r="O253" s="307"/>
      <c r="P253" s="29"/>
      <c r="Q253" s="15"/>
      <c r="R253" s="15"/>
      <c r="S253" s="15"/>
      <c r="T253" s="15"/>
      <c r="U253" s="15"/>
      <c r="V253" s="243"/>
      <c r="W253" s="15"/>
    </row>
    <row r="254">
      <c r="A254" s="34"/>
      <c r="B254" s="15"/>
      <c r="C254" s="15"/>
      <c r="D254" s="15"/>
      <c r="E254" s="17"/>
      <c r="F254" s="15"/>
      <c r="G254" s="250"/>
      <c r="H254" s="243"/>
      <c r="I254" s="243"/>
      <c r="J254" s="243"/>
      <c r="K254" s="85"/>
      <c r="L254" s="85"/>
      <c r="M254" s="85"/>
      <c r="N254" s="29"/>
      <c r="O254" s="307"/>
      <c r="P254" s="29"/>
      <c r="Q254" s="15"/>
      <c r="R254" s="15"/>
      <c r="S254" s="15"/>
      <c r="T254" s="15"/>
      <c r="U254" s="15"/>
      <c r="V254" s="243"/>
      <c r="W254" s="15"/>
    </row>
    <row r="255">
      <c r="A255" s="34"/>
      <c r="B255" s="15"/>
      <c r="C255" s="15"/>
      <c r="D255" s="15"/>
      <c r="E255" s="17"/>
      <c r="F255" s="15"/>
      <c r="G255" s="250"/>
      <c r="H255" s="243"/>
      <c r="I255" s="243"/>
      <c r="J255" s="243"/>
      <c r="K255" s="85"/>
      <c r="L255" s="85"/>
      <c r="M255" s="85"/>
      <c r="N255" s="29"/>
      <c r="O255" s="307"/>
      <c r="P255" s="29"/>
      <c r="Q255" s="15"/>
      <c r="R255" s="15"/>
      <c r="S255" s="15"/>
      <c r="T255" s="15"/>
      <c r="U255" s="15"/>
      <c r="V255" s="243"/>
      <c r="W255" s="15"/>
    </row>
    <row r="256">
      <c r="A256" s="34"/>
      <c r="B256" s="15"/>
      <c r="C256" s="15"/>
      <c r="D256" s="15"/>
      <c r="E256" s="17"/>
      <c r="F256" s="15"/>
      <c r="G256" s="250"/>
      <c r="H256" s="243"/>
      <c r="I256" s="243"/>
      <c r="J256" s="243"/>
      <c r="K256" s="85"/>
      <c r="L256" s="85"/>
      <c r="M256" s="85"/>
      <c r="N256" s="29"/>
      <c r="O256" s="307"/>
      <c r="P256" s="29"/>
      <c r="Q256" s="15"/>
      <c r="R256" s="15"/>
      <c r="S256" s="15"/>
      <c r="T256" s="15"/>
      <c r="U256" s="15"/>
      <c r="V256" s="243"/>
      <c r="W256" s="15"/>
    </row>
    <row r="257">
      <c r="A257" s="34"/>
      <c r="B257" s="15"/>
      <c r="C257" s="15"/>
      <c r="D257" s="15"/>
      <c r="E257" s="17"/>
      <c r="F257" s="15"/>
      <c r="G257" s="250"/>
      <c r="H257" s="243"/>
      <c r="I257" s="243"/>
      <c r="J257" s="243"/>
      <c r="K257" s="85"/>
      <c r="L257" s="85"/>
      <c r="M257" s="85"/>
      <c r="N257" s="29"/>
      <c r="O257" s="307"/>
      <c r="P257" s="29"/>
      <c r="Q257" s="15"/>
      <c r="R257" s="15"/>
      <c r="S257" s="15"/>
      <c r="T257" s="15"/>
      <c r="U257" s="15"/>
      <c r="V257" s="243"/>
      <c r="W257" s="15"/>
    </row>
    <row r="258">
      <c r="A258" s="34"/>
      <c r="B258" s="15"/>
      <c r="C258" s="15"/>
      <c r="D258" s="15"/>
      <c r="E258" s="17"/>
      <c r="F258" s="15"/>
      <c r="G258" s="250"/>
      <c r="H258" s="243"/>
      <c r="I258" s="243"/>
      <c r="J258" s="243"/>
      <c r="K258" s="85"/>
      <c r="L258" s="85"/>
      <c r="M258" s="85"/>
      <c r="N258" s="29"/>
      <c r="O258" s="307"/>
      <c r="P258" s="29"/>
      <c r="Q258" s="15"/>
      <c r="R258" s="15"/>
      <c r="S258" s="15"/>
      <c r="T258" s="15"/>
      <c r="U258" s="15"/>
      <c r="V258" s="243"/>
      <c r="W258" s="15"/>
    </row>
    <row r="259">
      <c r="A259" s="34"/>
      <c r="B259" s="15"/>
      <c r="C259" s="15"/>
      <c r="D259" s="15"/>
      <c r="E259" s="17"/>
      <c r="F259" s="15"/>
      <c r="G259" s="250"/>
      <c r="H259" s="243"/>
      <c r="I259" s="243"/>
      <c r="J259" s="243"/>
      <c r="K259" s="85"/>
      <c r="L259" s="85"/>
      <c r="M259" s="85"/>
      <c r="N259" s="29"/>
      <c r="O259" s="307"/>
      <c r="P259" s="29"/>
      <c r="Q259" s="15"/>
      <c r="R259" s="15"/>
      <c r="S259" s="15"/>
      <c r="T259" s="15"/>
      <c r="U259" s="15"/>
      <c r="V259" s="243"/>
      <c r="W259" s="15"/>
    </row>
    <row r="260">
      <c r="A260" s="34"/>
      <c r="B260" s="15"/>
      <c r="C260" s="15"/>
      <c r="D260" s="15"/>
      <c r="E260" s="17"/>
      <c r="F260" s="15"/>
      <c r="G260" s="250"/>
      <c r="H260" s="243"/>
      <c r="I260" s="243"/>
      <c r="J260" s="243"/>
      <c r="K260" s="85"/>
      <c r="L260" s="85"/>
      <c r="M260" s="85"/>
      <c r="N260" s="29"/>
      <c r="O260" s="307"/>
      <c r="P260" s="29"/>
      <c r="Q260" s="15"/>
      <c r="R260" s="15"/>
      <c r="S260" s="15"/>
      <c r="T260" s="15"/>
      <c r="U260" s="15"/>
      <c r="V260" s="243"/>
      <c r="W260" s="15"/>
    </row>
    <row r="261">
      <c r="A261" s="34"/>
      <c r="B261" s="15"/>
      <c r="C261" s="15"/>
      <c r="D261" s="15"/>
      <c r="E261" s="17"/>
      <c r="F261" s="15"/>
      <c r="G261" s="250"/>
      <c r="H261" s="243"/>
      <c r="I261" s="243"/>
      <c r="J261" s="243"/>
      <c r="K261" s="85"/>
      <c r="L261" s="85"/>
      <c r="M261" s="85"/>
      <c r="N261" s="29"/>
      <c r="O261" s="307"/>
      <c r="P261" s="29"/>
      <c r="Q261" s="15"/>
      <c r="R261" s="15"/>
      <c r="S261" s="15"/>
      <c r="T261" s="15"/>
      <c r="U261" s="15"/>
      <c r="V261" s="243"/>
      <c r="W261" s="15"/>
    </row>
    <row r="262">
      <c r="A262" s="34"/>
      <c r="B262" s="15"/>
      <c r="C262" s="15"/>
      <c r="D262" s="15"/>
      <c r="E262" s="17"/>
      <c r="F262" s="15"/>
      <c r="G262" s="250"/>
      <c r="H262" s="243"/>
      <c r="I262" s="243"/>
      <c r="J262" s="243"/>
      <c r="K262" s="85"/>
      <c r="L262" s="85"/>
      <c r="M262" s="85"/>
      <c r="N262" s="29"/>
      <c r="O262" s="307"/>
      <c r="P262" s="29"/>
      <c r="Q262" s="15"/>
      <c r="R262" s="15"/>
      <c r="S262" s="15"/>
      <c r="T262" s="15"/>
      <c r="U262" s="15"/>
      <c r="V262" s="243"/>
      <c r="W262" s="15"/>
    </row>
    <row r="263">
      <c r="A263" s="34"/>
      <c r="B263" s="15"/>
      <c r="C263" s="15"/>
      <c r="D263" s="15"/>
      <c r="E263" s="17"/>
      <c r="F263" s="15"/>
      <c r="G263" s="250"/>
      <c r="H263" s="243"/>
      <c r="I263" s="243"/>
      <c r="J263" s="243"/>
      <c r="K263" s="85"/>
      <c r="L263" s="85"/>
      <c r="M263" s="85"/>
      <c r="N263" s="29"/>
      <c r="O263" s="307"/>
      <c r="P263" s="29"/>
      <c r="Q263" s="15"/>
      <c r="R263" s="15"/>
      <c r="S263" s="15"/>
      <c r="T263" s="15"/>
      <c r="U263" s="15"/>
      <c r="V263" s="243"/>
      <c r="W263" s="15"/>
    </row>
    <row r="264">
      <c r="A264" s="34"/>
      <c r="B264" s="15"/>
      <c r="C264" s="15"/>
      <c r="D264" s="15"/>
      <c r="E264" s="17"/>
      <c r="F264" s="15"/>
      <c r="G264" s="250"/>
      <c r="H264" s="243"/>
      <c r="I264" s="243"/>
      <c r="J264" s="243"/>
      <c r="K264" s="85"/>
      <c r="L264" s="85"/>
      <c r="M264" s="85"/>
      <c r="N264" s="29"/>
      <c r="O264" s="307"/>
      <c r="P264" s="29"/>
      <c r="Q264" s="15"/>
      <c r="R264" s="15"/>
      <c r="S264" s="15"/>
      <c r="T264" s="15"/>
      <c r="U264" s="15"/>
      <c r="V264" s="243"/>
      <c r="W264" s="15"/>
    </row>
    <row r="265">
      <c r="A265" s="34"/>
      <c r="B265" s="15"/>
      <c r="C265" s="15"/>
      <c r="D265" s="15"/>
      <c r="E265" s="17"/>
      <c r="F265" s="15"/>
      <c r="G265" s="250"/>
      <c r="H265" s="243"/>
      <c r="I265" s="243"/>
      <c r="J265" s="243"/>
      <c r="K265" s="85"/>
      <c r="L265" s="85"/>
      <c r="M265" s="85"/>
      <c r="N265" s="29"/>
      <c r="O265" s="307"/>
      <c r="P265" s="29"/>
      <c r="Q265" s="15"/>
      <c r="R265" s="15"/>
      <c r="S265" s="15"/>
      <c r="T265" s="15"/>
      <c r="U265" s="15"/>
      <c r="V265" s="243"/>
      <c r="W265" s="15"/>
    </row>
    <row r="266">
      <c r="A266" s="34"/>
      <c r="B266" s="15"/>
      <c r="C266" s="15"/>
      <c r="D266" s="15"/>
      <c r="E266" s="17"/>
      <c r="F266" s="15"/>
      <c r="G266" s="250"/>
      <c r="H266" s="243"/>
      <c r="I266" s="243"/>
      <c r="J266" s="243"/>
      <c r="K266" s="85"/>
      <c r="L266" s="85"/>
      <c r="M266" s="85"/>
      <c r="N266" s="29"/>
      <c r="O266" s="307"/>
      <c r="P266" s="29"/>
      <c r="Q266" s="15"/>
      <c r="R266" s="15"/>
      <c r="S266" s="15"/>
      <c r="T266" s="15"/>
      <c r="U266" s="15"/>
      <c r="V266" s="243"/>
      <c r="W266" s="15"/>
    </row>
    <row r="267">
      <c r="A267" s="34"/>
      <c r="B267" s="15"/>
      <c r="C267" s="15"/>
      <c r="D267" s="15"/>
      <c r="E267" s="17"/>
      <c r="F267" s="15"/>
      <c r="G267" s="250"/>
      <c r="H267" s="243"/>
      <c r="I267" s="243"/>
      <c r="J267" s="243"/>
      <c r="K267" s="85"/>
      <c r="L267" s="85"/>
      <c r="M267" s="85"/>
      <c r="N267" s="29"/>
      <c r="O267" s="307"/>
      <c r="P267" s="29"/>
      <c r="Q267" s="15"/>
      <c r="R267" s="15"/>
      <c r="S267" s="15"/>
      <c r="T267" s="15"/>
      <c r="U267" s="15"/>
      <c r="V267" s="243"/>
      <c r="W267" s="15"/>
    </row>
    <row r="268">
      <c r="A268" s="34"/>
      <c r="B268" s="15"/>
      <c r="C268" s="15"/>
      <c r="D268" s="15"/>
      <c r="E268" s="17"/>
      <c r="F268" s="15"/>
      <c r="G268" s="250"/>
      <c r="H268" s="243"/>
      <c r="I268" s="243"/>
      <c r="J268" s="243"/>
      <c r="K268" s="85"/>
      <c r="L268" s="85"/>
      <c r="M268" s="85"/>
      <c r="N268" s="29"/>
      <c r="O268" s="307"/>
      <c r="P268" s="29"/>
      <c r="Q268" s="15"/>
      <c r="R268" s="15"/>
      <c r="S268" s="15"/>
      <c r="T268" s="15"/>
      <c r="U268" s="15"/>
      <c r="V268" s="243"/>
      <c r="W268" s="15"/>
    </row>
    <row r="269">
      <c r="A269" s="34"/>
      <c r="B269" s="15"/>
      <c r="C269" s="15"/>
      <c r="D269" s="15"/>
      <c r="E269" s="17"/>
      <c r="F269" s="15"/>
      <c r="G269" s="250"/>
      <c r="H269" s="243"/>
      <c r="I269" s="243"/>
      <c r="J269" s="243"/>
      <c r="K269" s="85"/>
      <c r="L269" s="85"/>
      <c r="M269" s="85"/>
      <c r="N269" s="29"/>
      <c r="O269" s="307"/>
      <c r="P269" s="29"/>
      <c r="Q269" s="15"/>
      <c r="R269" s="15"/>
      <c r="S269" s="15"/>
      <c r="T269" s="15"/>
      <c r="U269" s="15"/>
      <c r="V269" s="243"/>
      <c r="W269" s="15"/>
    </row>
    <row r="270">
      <c r="A270" s="34"/>
      <c r="B270" s="15"/>
      <c r="C270" s="15"/>
      <c r="D270" s="15"/>
      <c r="E270" s="17"/>
      <c r="F270" s="15"/>
      <c r="G270" s="250"/>
      <c r="H270" s="243"/>
      <c r="I270" s="243"/>
      <c r="J270" s="243"/>
      <c r="K270" s="85"/>
      <c r="L270" s="85"/>
      <c r="M270" s="85"/>
      <c r="N270" s="29"/>
      <c r="O270" s="307"/>
      <c r="P270" s="29"/>
      <c r="Q270" s="15"/>
      <c r="R270" s="15"/>
      <c r="S270" s="15"/>
      <c r="T270" s="15"/>
      <c r="U270" s="15"/>
      <c r="V270" s="243"/>
      <c r="W270" s="15"/>
    </row>
    <row r="271">
      <c r="A271" s="34"/>
      <c r="B271" s="15"/>
      <c r="C271" s="15"/>
      <c r="D271" s="15"/>
      <c r="E271" s="17"/>
      <c r="F271" s="15"/>
      <c r="G271" s="250"/>
      <c r="H271" s="243"/>
      <c r="I271" s="243"/>
      <c r="J271" s="243"/>
      <c r="K271" s="85"/>
      <c r="L271" s="85"/>
      <c r="M271" s="85"/>
      <c r="N271" s="29"/>
      <c r="O271" s="307"/>
      <c r="P271" s="29"/>
      <c r="Q271" s="15"/>
      <c r="R271" s="15"/>
      <c r="S271" s="15"/>
      <c r="T271" s="15"/>
      <c r="U271" s="15"/>
      <c r="V271" s="243"/>
      <c r="W271" s="15"/>
    </row>
    <row r="272">
      <c r="A272" s="34"/>
      <c r="B272" s="15"/>
      <c r="C272" s="15"/>
      <c r="D272" s="15"/>
      <c r="E272" s="17"/>
      <c r="F272" s="15"/>
      <c r="G272" s="250"/>
      <c r="H272" s="243"/>
      <c r="I272" s="243"/>
      <c r="J272" s="243"/>
      <c r="K272" s="85"/>
      <c r="L272" s="85"/>
      <c r="M272" s="85"/>
      <c r="N272" s="29"/>
      <c r="O272" s="307"/>
      <c r="P272" s="29"/>
      <c r="Q272" s="15"/>
      <c r="R272" s="15"/>
      <c r="S272" s="15"/>
      <c r="T272" s="15"/>
      <c r="U272" s="15"/>
      <c r="V272" s="243"/>
      <c r="W272" s="15"/>
    </row>
    <row r="273">
      <c r="A273" s="34"/>
      <c r="B273" s="15"/>
      <c r="C273" s="15"/>
      <c r="D273" s="15"/>
      <c r="E273" s="17"/>
      <c r="F273" s="15"/>
      <c r="G273" s="250"/>
      <c r="H273" s="243"/>
      <c r="I273" s="243"/>
      <c r="J273" s="243"/>
      <c r="K273" s="85"/>
      <c r="L273" s="85"/>
      <c r="M273" s="85"/>
      <c r="N273" s="29"/>
      <c r="O273" s="307"/>
      <c r="P273" s="29"/>
      <c r="Q273" s="15"/>
      <c r="R273" s="15"/>
      <c r="S273" s="15"/>
      <c r="T273" s="15"/>
      <c r="U273" s="15"/>
      <c r="V273" s="243"/>
      <c r="W273" s="15"/>
    </row>
    <row r="274">
      <c r="A274" s="34"/>
      <c r="B274" s="15"/>
      <c r="C274" s="15"/>
      <c r="D274" s="15"/>
      <c r="E274" s="17"/>
      <c r="F274" s="15"/>
      <c r="G274" s="250"/>
      <c r="H274" s="243"/>
      <c r="I274" s="243"/>
      <c r="J274" s="243"/>
      <c r="K274" s="85"/>
      <c r="L274" s="85"/>
      <c r="M274" s="85"/>
      <c r="N274" s="29"/>
      <c r="O274" s="307"/>
      <c r="P274" s="29"/>
      <c r="Q274" s="15"/>
      <c r="R274" s="15"/>
      <c r="S274" s="15"/>
      <c r="T274" s="15"/>
      <c r="U274" s="15"/>
      <c r="V274" s="243"/>
      <c r="W274" s="15"/>
    </row>
    <row r="275">
      <c r="A275" s="34"/>
      <c r="B275" s="15"/>
      <c r="C275" s="15"/>
      <c r="D275" s="15"/>
      <c r="E275" s="17"/>
      <c r="F275" s="15"/>
      <c r="G275" s="250"/>
      <c r="H275" s="243"/>
      <c r="I275" s="243"/>
      <c r="J275" s="243"/>
      <c r="K275" s="85"/>
      <c r="L275" s="85"/>
      <c r="M275" s="85"/>
      <c r="N275" s="29"/>
      <c r="O275" s="307"/>
      <c r="P275" s="29"/>
      <c r="Q275" s="15"/>
      <c r="R275" s="15"/>
      <c r="S275" s="15"/>
      <c r="T275" s="15"/>
      <c r="U275" s="15"/>
      <c r="V275" s="243"/>
      <c r="W275" s="15"/>
    </row>
    <row r="276">
      <c r="A276" s="34"/>
      <c r="B276" s="15"/>
      <c r="C276" s="15"/>
      <c r="D276" s="15"/>
      <c r="E276" s="17"/>
      <c r="F276" s="15"/>
      <c r="G276" s="250"/>
      <c r="H276" s="243"/>
      <c r="I276" s="243"/>
      <c r="J276" s="243"/>
      <c r="K276" s="85"/>
      <c r="L276" s="85"/>
      <c r="M276" s="85"/>
      <c r="N276" s="29"/>
      <c r="O276" s="307"/>
      <c r="P276" s="29"/>
      <c r="Q276" s="15"/>
      <c r="R276" s="15"/>
      <c r="S276" s="15"/>
      <c r="T276" s="15"/>
      <c r="U276" s="15"/>
      <c r="V276" s="243"/>
      <c r="W276" s="15"/>
    </row>
    <row r="277">
      <c r="A277" s="34"/>
      <c r="B277" s="15"/>
      <c r="C277" s="15"/>
      <c r="D277" s="15"/>
      <c r="E277" s="17"/>
      <c r="F277" s="15"/>
      <c r="G277" s="250"/>
      <c r="H277" s="243"/>
      <c r="I277" s="243"/>
      <c r="J277" s="243"/>
      <c r="K277" s="85"/>
      <c r="L277" s="85"/>
      <c r="M277" s="85"/>
      <c r="N277" s="29"/>
      <c r="O277" s="307"/>
      <c r="P277" s="29"/>
      <c r="Q277" s="15"/>
      <c r="R277" s="15"/>
      <c r="S277" s="15"/>
      <c r="T277" s="15"/>
      <c r="U277" s="15"/>
      <c r="V277" s="243"/>
      <c r="W277" s="15"/>
    </row>
    <row r="278">
      <c r="A278" s="34"/>
      <c r="B278" s="15"/>
      <c r="C278" s="15"/>
      <c r="D278" s="15"/>
      <c r="E278" s="17"/>
      <c r="F278" s="15"/>
      <c r="G278" s="250"/>
      <c r="H278" s="243"/>
      <c r="I278" s="243"/>
      <c r="J278" s="243"/>
      <c r="K278" s="85"/>
      <c r="L278" s="85"/>
      <c r="M278" s="85"/>
      <c r="N278" s="29"/>
      <c r="O278" s="307"/>
      <c r="P278" s="29"/>
      <c r="Q278" s="15"/>
      <c r="R278" s="15"/>
      <c r="S278" s="15"/>
      <c r="T278" s="15"/>
      <c r="U278" s="15"/>
      <c r="V278" s="243"/>
      <c r="W278" s="15"/>
    </row>
    <row r="279">
      <c r="A279" s="34"/>
      <c r="B279" s="15"/>
      <c r="C279" s="15"/>
      <c r="D279" s="15"/>
      <c r="E279" s="17"/>
      <c r="F279" s="15"/>
      <c r="G279" s="250"/>
      <c r="H279" s="243"/>
      <c r="I279" s="243"/>
      <c r="J279" s="243"/>
      <c r="K279" s="85"/>
      <c r="L279" s="85"/>
      <c r="M279" s="85"/>
      <c r="N279" s="29"/>
      <c r="O279" s="307"/>
      <c r="P279" s="29"/>
      <c r="Q279" s="15"/>
      <c r="R279" s="15"/>
      <c r="S279" s="15"/>
      <c r="T279" s="15"/>
      <c r="U279" s="15"/>
      <c r="V279" s="243"/>
      <c r="W279" s="15"/>
    </row>
    <row r="280">
      <c r="A280" s="34"/>
      <c r="B280" s="15"/>
      <c r="C280" s="15"/>
      <c r="D280" s="15"/>
      <c r="E280" s="17"/>
      <c r="F280" s="15"/>
      <c r="G280" s="250"/>
      <c r="H280" s="243"/>
      <c r="I280" s="243"/>
      <c r="J280" s="243"/>
      <c r="K280" s="85"/>
      <c r="L280" s="85"/>
      <c r="M280" s="85"/>
      <c r="N280" s="29"/>
      <c r="O280" s="307"/>
      <c r="P280" s="29"/>
      <c r="Q280" s="15"/>
      <c r="R280" s="15"/>
      <c r="S280" s="15"/>
      <c r="T280" s="15"/>
      <c r="U280" s="15"/>
      <c r="V280" s="243"/>
      <c r="W280" s="15"/>
    </row>
    <row r="281">
      <c r="A281" s="34"/>
      <c r="B281" s="15"/>
      <c r="C281" s="15"/>
      <c r="D281" s="15"/>
      <c r="E281" s="17"/>
      <c r="F281" s="15"/>
      <c r="G281" s="250"/>
      <c r="H281" s="243"/>
      <c r="I281" s="243"/>
      <c r="J281" s="243"/>
      <c r="K281" s="85"/>
      <c r="L281" s="85"/>
      <c r="M281" s="85"/>
      <c r="N281" s="29"/>
      <c r="O281" s="307"/>
      <c r="P281" s="29"/>
      <c r="Q281" s="15"/>
      <c r="R281" s="15"/>
      <c r="S281" s="15"/>
      <c r="T281" s="15"/>
      <c r="U281" s="15"/>
      <c r="V281" s="243"/>
      <c r="W281" s="15"/>
    </row>
    <row r="282">
      <c r="A282" s="34"/>
      <c r="B282" s="15"/>
      <c r="C282" s="15"/>
      <c r="D282" s="15"/>
      <c r="E282" s="17"/>
      <c r="F282" s="15"/>
      <c r="G282" s="250"/>
      <c r="H282" s="243"/>
      <c r="I282" s="243"/>
      <c r="J282" s="243"/>
      <c r="K282" s="85"/>
      <c r="L282" s="85"/>
      <c r="M282" s="85"/>
      <c r="N282" s="29"/>
      <c r="O282" s="307"/>
      <c r="P282" s="29"/>
      <c r="Q282" s="15"/>
      <c r="R282" s="15"/>
      <c r="S282" s="15"/>
      <c r="T282" s="15"/>
      <c r="U282" s="15"/>
      <c r="V282" s="243"/>
      <c r="W282" s="15"/>
    </row>
    <row r="283">
      <c r="A283" s="34"/>
      <c r="B283" s="15"/>
      <c r="C283" s="15"/>
      <c r="D283" s="15"/>
      <c r="E283" s="17"/>
      <c r="F283" s="15"/>
      <c r="G283" s="250"/>
      <c r="H283" s="243"/>
      <c r="I283" s="243"/>
      <c r="J283" s="243"/>
      <c r="K283" s="85"/>
      <c r="L283" s="85"/>
      <c r="M283" s="85"/>
      <c r="N283" s="29"/>
      <c r="O283" s="307"/>
      <c r="P283" s="29"/>
      <c r="Q283" s="15"/>
      <c r="R283" s="15"/>
      <c r="S283" s="15"/>
      <c r="T283" s="15"/>
      <c r="U283" s="15"/>
      <c r="V283" s="243"/>
      <c r="W283" s="15"/>
    </row>
    <row r="284">
      <c r="A284" s="34"/>
      <c r="B284" s="15"/>
      <c r="C284" s="15"/>
      <c r="D284" s="15"/>
      <c r="E284" s="17"/>
      <c r="F284" s="15"/>
      <c r="G284" s="250"/>
      <c r="H284" s="243"/>
      <c r="I284" s="243"/>
      <c r="J284" s="243"/>
      <c r="K284" s="85"/>
      <c r="L284" s="85"/>
      <c r="M284" s="85"/>
      <c r="N284" s="29"/>
      <c r="O284" s="307"/>
      <c r="P284" s="29"/>
      <c r="Q284" s="15"/>
      <c r="R284" s="15"/>
      <c r="S284" s="15"/>
      <c r="T284" s="15"/>
      <c r="U284" s="15"/>
      <c r="V284" s="243"/>
      <c r="W284" s="15"/>
    </row>
    <row r="285">
      <c r="A285" s="34"/>
      <c r="B285" s="15"/>
      <c r="C285" s="15"/>
      <c r="D285" s="15"/>
      <c r="E285" s="17"/>
      <c r="F285" s="15"/>
      <c r="G285" s="250"/>
      <c r="H285" s="243"/>
      <c r="I285" s="243"/>
      <c r="J285" s="243"/>
      <c r="K285" s="85"/>
      <c r="L285" s="85"/>
      <c r="M285" s="85"/>
      <c r="N285" s="29"/>
      <c r="O285" s="307"/>
      <c r="P285" s="29"/>
      <c r="Q285" s="15"/>
      <c r="R285" s="15"/>
      <c r="S285" s="15"/>
      <c r="T285" s="15"/>
      <c r="U285" s="15"/>
      <c r="V285" s="243"/>
      <c r="W285" s="15"/>
    </row>
    <row r="286">
      <c r="A286" s="34"/>
      <c r="B286" s="15"/>
      <c r="C286" s="15"/>
      <c r="D286" s="15"/>
      <c r="E286" s="17"/>
      <c r="F286" s="15"/>
      <c r="G286" s="250"/>
      <c r="H286" s="243"/>
      <c r="I286" s="243"/>
      <c r="J286" s="243"/>
      <c r="K286" s="85"/>
      <c r="L286" s="85"/>
      <c r="M286" s="85"/>
      <c r="N286" s="29"/>
      <c r="O286" s="307"/>
      <c r="P286" s="29"/>
      <c r="Q286" s="15"/>
      <c r="R286" s="15"/>
      <c r="S286" s="15"/>
      <c r="T286" s="15"/>
      <c r="U286" s="15"/>
      <c r="V286" s="243"/>
      <c r="W286" s="15"/>
    </row>
    <row r="287">
      <c r="A287" s="34"/>
      <c r="B287" s="15"/>
      <c r="C287" s="15"/>
      <c r="D287" s="15"/>
      <c r="E287" s="17"/>
      <c r="F287" s="15"/>
      <c r="G287" s="250"/>
      <c r="H287" s="243"/>
      <c r="I287" s="243"/>
      <c r="J287" s="243"/>
      <c r="K287" s="85"/>
      <c r="L287" s="85"/>
      <c r="M287" s="85"/>
      <c r="N287" s="29"/>
      <c r="O287" s="307"/>
      <c r="P287" s="29"/>
      <c r="Q287" s="15"/>
      <c r="R287" s="15"/>
      <c r="S287" s="15"/>
      <c r="T287" s="15"/>
      <c r="U287" s="15"/>
      <c r="V287" s="243"/>
      <c r="W287" s="15"/>
    </row>
    <row r="288">
      <c r="A288" s="34"/>
      <c r="B288" s="15"/>
      <c r="C288" s="15"/>
      <c r="D288" s="15"/>
      <c r="E288" s="17"/>
      <c r="F288" s="15"/>
      <c r="G288" s="250"/>
      <c r="H288" s="243"/>
      <c r="I288" s="243"/>
      <c r="J288" s="243"/>
      <c r="K288" s="85"/>
      <c r="L288" s="85"/>
      <c r="M288" s="85"/>
      <c r="N288" s="29"/>
      <c r="O288" s="307"/>
      <c r="P288" s="29"/>
      <c r="Q288" s="15"/>
      <c r="R288" s="15"/>
      <c r="S288" s="15"/>
      <c r="T288" s="15"/>
      <c r="U288" s="15"/>
      <c r="V288" s="243"/>
      <c r="W288" s="15"/>
    </row>
    <row r="289">
      <c r="A289" s="34"/>
      <c r="B289" s="15"/>
      <c r="C289" s="15"/>
      <c r="D289" s="15"/>
      <c r="E289" s="17"/>
      <c r="F289" s="15"/>
      <c r="G289" s="250"/>
      <c r="H289" s="243"/>
      <c r="I289" s="243"/>
      <c r="J289" s="243"/>
      <c r="K289" s="85"/>
      <c r="L289" s="85"/>
      <c r="M289" s="85"/>
      <c r="N289" s="29"/>
      <c r="O289" s="307"/>
      <c r="P289" s="29"/>
      <c r="Q289" s="15"/>
      <c r="R289" s="15"/>
      <c r="S289" s="15"/>
      <c r="T289" s="15"/>
      <c r="U289" s="15"/>
      <c r="V289" s="243"/>
      <c r="W289" s="15"/>
    </row>
    <row r="290">
      <c r="A290" s="34"/>
      <c r="B290" s="15"/>
      <c r="C290" s="15"/>
      <c r="D290" s="15"/>
      <c r="E290" s="17"/>
      <c r="F290" s="15"/>
      <c r="G290" s="250"/>
      <c r="H290" s="243"/>
      <c r="I290" s="243"/>
      <c r="J290" s="243"/>
      <c r="K290" s="85"/>
      <c r="L290" s="85"/>
      <c r="M290" s="85"/>
      <c r="N290" s="29"/>
      <c r="O290" s="307"/>
      <c r="P290" s="29"/>
      <c r="Q290" s="15"/>
      <c r="R290" s="15"/>
      <c r="S290" s="15"/>
      <c r="T290" s="15"/>
      <c r="U290" s="15"/>
      <c r="V290" s="243"/>
      <c r="W290" s="15"/>
    </row>
    <row r="291">
      <c r="A291" s="34"/>
      <c r="B291" s="15"/>
      <c r="C291" s="15"/>
      <c r="D291" s="15"/>
      <c r="E291" s="17"/>
      <c r="F291" s="15"/>
      <c r="G291" s="250"/>
      <c r="H291" s="243"/>
      <c r="I291" s="243"/>
      <c r="J291" s="243"/>
      <c r="K291" s="85"/>
      <c r="L291" s="85"/>
      <c r="M291" s="85"/>
      <c r="N291" s="29"/>
      <c r="O291" s="307"/>
      <c r="P291" s="29"/>
      <c r="Q291" s="15"/>
      <c r="R291" s="15"/>
      <c r="S291" s="15"/>
      <c r="T291" s="15"/>
      <c r="U291" s="15"/>
      <c r="V291" s="243"/>
      <c r="W291" s="15"/>
    </row>
    <row r="292">
      <c r="A292" s="34"/>
      <c r="B292" s="15"/>
      <c r="C292" s="15"/>
      <c r="D292" s="15"/>
      <c r="E292" s="17"/>
      <c r="F292" s="15"/>
      <c r="G292" s="250"/>
      <c r="H292" s="243"/>
      <c r="I292" s="243"/>
      <c r="J292" s="243"/>
      <c r="K292" s="85"/>
      <c r="L292" s="85"/>
      <c r="M292" s="85"/>
      <c r="N292" s="29"/>
      <c r="O292" s="307"/>
      <c r="P292" s="29"/>
      <c r="Q292" s="15"/>
      <c r="R292" s="15"/>
      <c r="S292" s="15"/>
      <c r="T292" s="15"/>
      <c r="U292" s="15"/>
      <c r="V292" s="243"/>
      <c r="W292" s="15"/>
    </row>
    <row r="293">
      <c r="A293" s="34"/>
      <c r="B293" s="15"/>
      <c r="C293" s="15"/>
      <c r="D293" s="15"/>
      <c r="E293" s="17"/>
      <c r="F293" s="15"/>
      <c r="G293" s="250"/>
      <c r="H293" s="243"/>
      <c r="I293" s="243"/>
      <c r="J293" s="243"/>
      <c r="K293" s="85"/>
      <c r="L293" s="85"/>
      <c r="M293" s="85"/>
      <c r="N293" s="29"/>
      <c r="O293" s="307"/>
      <c r="P293" s="29"/>
      <c r="Q293" s="15"/>
      <c r="R293" s="15"/>
      <c r="S293" s="15"/>
      <c r="T293" s="15"/>
      <c r="U293" s="15"/>
      <c r="V293" s="243"/>
      <c r="W293" s="15"/>
    </row>
    <row r="294">
      <c r="A294" s="34"/>
      <c r="B294" s="15"/>
      <c r="C294" s="15"/>
      <c r="D294" s="15"/>
      <c r="E294" s="17"/>
      <c r="F294" s="15"/>
      <c r="G294" s="250"/>
      <c r="H294" s="243"/>
      <c r="I294" s="243"/>
      <c r="J294" s="243"/>
      <c r="K294" s="85"/>
      <c r="L294" s="85"/>
      <c r="M294" s="85"/>
      <c r="N294" s="29"/>
      <c r="O294" s="307"/>
      <c r="P294" s="29"/>
      <c r="Q294" s="15"/>
      <c r="R294" s="15"/>
      <c r="S294" s="15"/>
      <c r="T294" s="15"/>
      <c r="U294" s="15"/>
      <c r="V294" s="243"/>
      <c r="W294" s="15"/>
    </row>
    <row r="295">
      <c r="A295" s="34"/>
      <c r="B295" s="15"/>
      <c r="C295" s="15"/>
      <c r="D295" s="15"/>
      <c r="E295" s="17"/>
      <c r="F295" s="15"/>
      <c r="G295" s="250"/>
      <c r="H295" s="243"/>
      <c r="I295" s="243"/>
      <c r="J295" s="243"/>
      <c r="K295" s="85"/>
      <c r="L295" s="85"/>
      <c r="M295" s="85"/>
      <c r="N295" s="29"/>
      <c r="O295" s="307"/>
      <c r="P295" s="29"/>
      <c r="Q295" s="15"/>
      <c r="R295" s="15"/>
      <c r="S295" s="15"/>
      <c r="T295" s="15"/>
      <c r="U295" s="15"/>
      <c r="V295" s="243"/>
      <c r="W295" s="15"/>
    </row>
    <row r="296">
      <c r="A296" s="34"/>
      <c r="B296" s="15"/>
      <c r="C296" s="15"/>
      <c r="D296" s="15"/>
      <c r="E296" s="17"/>
      <c r="F296" s="15"/>
      <c r="G296" s="250"/>
      <c r="H296" s="243"/>
      <c r="I296" s="243"/>
      <c r="J296" s="243"/>
      <c r="K296" s="85"/>
      <c r="L296" s="85"/>
      <c r="M296" s="85"/>
      <c r="N296" s="29"/>
      <c r="O296" s="307"/>
      <c r="P296" s="29"/>
      <c r="Q296" s="15"/>
      <c r="R296" s="15"/>
      <c r="S296" s="15"/>
      <c r="T296" s="15"/>
      <c r="U296" s="15"/>
      <c r="V296" s="243"/>
      <c r="W296" s="15"/>
    </row>
    <row r="297">
      <c r="A297" s="34"/>
      <c r="B297" s="15"/>
      <c r="C297" s="15"/>
      <c r="D297" s="15"/>
      <c r="E297" s="17"/>
      <c r="F297" s="15"/>
      <c r="G297" s="250"/>
      <c r="H297" s="243"/>
      <c r="I297" s="243"/>
      <c r="J297" s="243"/>
      <c r="K297" s="85"/>
      <c r="L297" s="85"/>
      <c r="M297" s="85"/>
      <c r="N297" s="29"/>
      <c r="O297" s="307"/>
      <c r="P297" s="29"/>
      <c r="Q297" s="15"/>
      <c r="R297" s="15"/>
      <c r="S297" s="15"/>
      <c r="T297" s="15"/>
      <c r="U297" s="15"/>
      <c r="V297" s="243"/>
      <c r="W297" s="15"/>
    </row>
    <row r="298">
      <c r="A298" s="34"/>
      <c r="B298" s="15"/>
      <c r="C298" s="15"/>
      <c r="D298" s="15"/>
      <c r="E298" s="17"/>
      <c r="F298" s="15"/>
      <c r="G298" s="250"/>
      <c r="H298" s="243"/>
      <c r="I298" s="243"/>
      <c r="J298" s="243"/>
      <c r="K298" s="85"/>
      <c r="L298" s="85"/>
      <c r="M298" s="85"/>
      <c r="N298" s="29"/>
      <c r="O298" s="307"/>
      <c r="P298" s="29"/>
      <c r="Q298" s="15"/>
      <c r="R298" s="15"/>
      <c r="S298" s="15"/>
      <c r="T298" s="15"/>
      <c r="U298" s="15"/>
      <c r="V298" s="243"/>
      <c r="W298" s="15"/>
    </row>
    <row r="299">
      <c r="A299" s="34"/>
      <c r="B299" s="15"/>
      <c r="C299" s="15"/>
      <c r="D299" s="15"/>
      <c r="E299" s="17"/>
      <c r="F299" s="15"/>
      <c r="G299" s="250"/>
      <c r="H299" s="243"/>
      <c r="I299" s="243"/>
      <c r="J299" s="243"/>
      <c r="K299" s="85"/>
      <c r="L299" s="85"/>
      <c r="M299" s="85"/>
      <c r="N299" s="29"/>
      <c r="O299" s="307"/>
      <c r="P299" s="29"/>
      <c r="Q299" s="15"/>
      <c r="R299" s="15"/>
      <c r="S299" s="15"/>
      <c r="T299" s="15"/>
      <c r="U299" s="15"/>
      <c r="V299" s="243"/>
      <c r="W299" s="15"/>
    </row>
    <row r="300">
      <c r="A300" s="34"/>
      <c r="B300" s="15"/>
      <c r="C300" s="15"/>
      <c r="D300" s="15"/>
      <c r="E300" s="17"/>
      <c r="F300" s="15"/>
      <c r="G300" s="250"/>
      <c r="H300" s="243"/>
      <c r="I300" s="243"/>
      <c r="J300" s="243"/>
      <c r="K300" s="85"/>
      <c r="L300" s="85"/>
      <c r="M300" s="85"/>
      <c r="N300" s="29"/>
      <c r="O300" s="307"/>
      <c r="P300" s="29"/>
      <c r="Q300" s="15"/>
      <c r="R300" s="15"/>
      <c r="S300" s="15"/>
      <c r="T300" s="15"/>
      <c r="U300" s="15"/>
      <c r="V300" s="243"/>
      <c r="W300" s="15"/>
    </row>
    <row r="301">
      <c r="A301" s="34"/>
      <c r="B301" s="15"/>
      <c r="C301" s="15"/>
      <c r="D301" s="15"/>
      <c r="E301" s="17"/>
      <c r="F301" s="15"/>
      <c r="G301" s="250"/>
      <c r="H301" s="243"/>
      <c r="I301" s="243"/>
      <c r="J301" s="243"/>
      <c r="K301" s="85"/>
      <c r="L301" s="85"/>
      <c r="M301" s="85"/>
      <c r="N301" s="29"/>
      <c r="O301" s="307"/>
      <c r="P301" s="29"/>
      <c r="Q301" s="15"/>
      <c r="R301" s="15"/>
      <c r="S301" s="15"/>
      <c r="T301" s="15"/>
      <c r="U301" s="15"/>
      <c r="V301" s="243"/>
      <c r="W301" s="15"/>
    </row>
    <row r="302">
      <c r="A302" s="34"/>
      <c r="B302" s="15"/>
      <c r="C302" s="15"/>
      <c r="D302" s="15"/>
      <c r="E302" s="17"/>
      <c r="F302" s="15"/>
      <c r="G302" s="250"/>
      <c r="H302" s="243"/>
      <c r="I302" s="243"/>
      <c r="J302" s="243"/>
      <c r="K302" s="85"/>
      <c r="L302" s="85"/>
      <c r="M302" s="85"/>
      <c r="N302" s="29"/>
      <c r="O302" s="307"/>
      <c r="P302" s="29"/>
      <c r="Q302" s="15"/>
      <c r="R302" s="15"/>
      <c r="S302" s="15"/>
      <c r="T302" s="15"/>
      <c r="U302" s="15"/>
      <c r="V302" s="243"/>
      <c r="W302" s="15"/>
    </row>
    <row r="303">
      <c r="A303" s="34"/>
      <c r="B303" s="15"/>
      <c r="C303" s="15"/>
      <c r="D303" s="15"/>
      <c r="E303" s="17"/>
      <c r="F303" s="15"/>
      <c r="G303" s="250"/>
      <c r="H303" s="243"/>
      <c r="I303" s="243"/>
      <c r="J303" s="243"/>
      <c r="K303" s="85"/>
      <c r="L303" s="85"/>
      <c r="M303" s="85"/>
      <c r="N303" s="29"/>
      <c r="O303" s="307"/>
      <c r="P303" s="29"/>
      <c r="Q303" s="15"/>
      <c r="R303" s="15"/>
      <c r="S303" s="15"/>
      <c r="T303" s="15"/>
      <c r="U303" s="15"/>
      <c r="V303" s="243"/>
      <c r="W303" s="15"/>
    </row>
    <row r="304">
      <c r="A304" s="34"/>
      <c r="B304" s="15"/>
      <c r="C304" s="15"/>
      <c r="D304" s="15"/>
      <c r="E304" s="17"/>
      <c r="F304" s="15"/>
      <c r="G304" s="250"/>
      <c r="H304" s="243"/>
      <c r="I304" s="243"/>
      <c r="J304" s="243"/>
      <c r="K304" s="85"/>
      <c r="L304" s="85"/>
      <c r="M304" s="85"/>
      <c r="N304" s="29"/>
      <c r="O304" s="307"/>
      <c r="P304" s="29"/>
      <c r="Q304" s="15"/>
      <c r="R304" s="15"/>
      <c r="S304" s="15"/>
      <c r="T304" s="15"/>
      <c r="U304" s="15"/>
      <c r="V304" s="243"/>
      <c r="W304" s="15"/>
    </row>
    <row r="305">
      <c r="A305" s="34"/>
      <c r="B305" s="15"/>
      <c r="C305" s="15"/>
      <c r="D305" s="15"/>
      <c r="E305" s="17"/>
      <c r="F305" s="15"/>
      <c r="G305" s="250"/>
      <c r="H305" s="243"/>
      <c r="I305" s="243"/>
      <c r="J305" s="243"/>
      <c r="K305" s="85"/>
      <c r="L305" s="85"/>
      <c r="M305" s="85"/>
      <c r="N305" s="29"/>
      <c r="O305" s="307"/>
      <c r="P305" s="29"/>
      <c r="Q305" s="15"/>
      <c r="R305" s="15"/>
      <c r="S305" s="15"/>
      <c r="T305" s="15"/>
      <c r="U305" s="15"/>
      <c r="V305" s="243"/>
      <c r="W305" s="15"/>
    </row>
    <row r="306">
      <c r="A306" s="34"/>
      <c r="B306" s="15"/>
      <c r="C306" s="15"/>
      <c r="D306" s="15"/>
      <c r="E306" s="17"/>
      <c r="F306" s="15"/>
      <c r="G306" s="250"/>
      <c r="H306" s="243"/>
      <c r="I306" s="243"/>
      <c r="J306" s="243"/>
      <c r="K306" s="85"/>
      <c r="L306" s="85"/>
      <c r="M306" s="85"/>
      <c r="N306" s="29"/>
      <c r="O306" s="307"/>
      <c r="P306" s="29"/>
      <c r="Q306" s="15"/>
      <c r="R306" s="15"/>
      <c r="S306" s="15"/>
      <c r="T306" s="15"/>
      <c r="U306" s="15"/>
      <c r="V306" s="243"/>
      <c r="W306" s="15"/>
    </row>
    <row r="307">
      <c r="A307" s="34"/>
      <c r="B307" s="15"/>
      <c r="C307" s="15"/>
      <c r="D307" s="15"/>
      <c r="E307" s="17"/>
      <c r="F307" s="15"/>
      <c r="G307" s="250"/>
      <c r="H307" s="243"/>
      <c r="I307" s="243"/>
      <c r="J307" s="243"/>
      <c r="K307" s="85"/>
      <c r="L307" s="85"/>
      <c r="M307" s="85"/>
      <c r="N307" s="29"/>
      <c r="O307" s="307"/>
      <c r="P307" s="29"/>
      <c r="Q307" s="15"/>
      <c r="R307" s="15"/>
      <c r="S307" s="15"/>
      <c r="T307" s="15"/>
      <c r="U307" s="15"/>
      <c r="V307" s="243"/>
      <c r="W307" s="15"/>
    </row>
    <row r="308">
      <c r="A308" s="34"/>
      <c r="B308" s="15"/>
      <c r="C308" s="15"/>
      <c r="D308" s="15"/>
      <c r="E308" s="17"/>
      <c r="F308" s="15"/>
      <c r="G308" s="250"/>
      <c r="H308" s="243"/>
      <c r="I308" s="243"/>
      <c r="J308" s="243"/>
      <c r="K308" s="85"/>
      <c r="L308" s="85"/>
      <c r="M308" s="85"/>
      <c r="N308" s="29"/>
      <c r="O308" s="307"/>
      <c r="P308" s="29"/>
      <c r="Q308" s="15"/>
      <c r="R308" s="15"/>
      <c r="S308" s="15"/>
      <c r="T308" s="15"/>
      <c r="U308" s="15"/>
      <c r="V308" s="243"/>
      <c r="W308" s="15"/>
    </row>
    <row r="309">
      <c r="A309" s="34"/>
      <c r="B309" s="15"/>
      <c r="C309" s="15"/>
      <c r="D309" s="15"/>
      <c r="E309" s="17"/>
      <c r="F309" s="15"/>
      <c r="G309" s="250"/>
      <c r="H309" s="243"/>
      <c r="I309" s="243"/>
      <c r="J309" s="243"/>
      <c r="K309" s="85"/>
      <c r="L309" s="85"/>
      <c r="M309" s="85"/>
      <c r="N309" s="29"/>
      <c r="O309" s="307"/>
      <c r="P309" s="29"/>
      <c r="Q309" s="15"/>
      <c r="R309" s="15"/>
      <c r="S309" s="15"/>
      <c r="T309" s="15"/>
      <c r="U309" s="15"/>
      <c r="V309" s="243"/>
      <c r="W309" s="15"/>
    </row>
    <row r="310">
      <c r="A310" s="34"/>
      <c r="B310" s="15"/>
      <c r="C310" s="15"/>
      <c r="D310" s="15"/>
      <c r="E310" s="17"/>
      <c r="F310" s="15"/>
      <c r="G310" s="250"/>
      <c r="H310" s="243"/>
      <c r="I310" s="243"/>
      <c r="J310" s="243"/>
      <c r="K310" s="85"/>
      <c r="L310" s="85"/>
      <c r="M310" s="85"/>
      <c r="N310" s="29"/>
      <c r="O310" s="307"/>
      <c r="P310" s="29"/>
      <c r="Q310" s="15"/>
      <c r="R310" s="15"/>
      <c r="S310" s="15"/>
      <c r="T310" s="15"/>
      <c r="U310" s="15"/>
      <c r="V310" s="243"/>
      <c r="W310" s="15"/>
    </row>
    <row r="311">
      <c r="A311" s="34"/>
      <c r="B311" s="15"/>
      <c r="C311" s="15"/>
      <c r="D311" s="15"/>
      <c r="E311" s="17"/>
      <c r="F311" s="15"/>
      <c r="G311" s="250"/>
      <c r="H311" s="243"/>
      <c r="I311" s="243"/>
      <c r="J311" s="243"/>
      <c r="K311" s="85"/>
      <c r="L311" s="85"/>
      <c r="M311" s="85"/>
      <c r="N311" s="29"/>
      <c r="O311" s="307"/>
      <c r="P311" s="29"/>
      <c r="Q311" s="15"/>
      <c r="R311" s="15"/>
      <c r="S311" s="15"/>
      <c r="T311" s="15"/>
      <c r="U311" s="15"/>
      <c r="V311" s="243"/>
      <c r="W311" s="15"/>
    </row>
    <row r="312">
      <c r="A312" s="34"/>
      <c r="B312" s="15"/>
      <c r="C312" s="15"/>
      <c r="D312" s="15"/>
      <c r="E312" s="17"/>
      <c r="F312" s="15"/>
      <c r="G312" s="250"/>
      <c r="H312" s="243"/>
      <c r="I312" s="243"/>
      <c r="J312" s="243"/>
      <c r="K312" s="85"/>
      <c r="L312" s="85"/>
      <c r="M312" s="85"/>
      <c r="N312" s="29"/>
      <c r="O312" s="307"/>
      <c r="P312" s="29"/>
      <c r="Q312" s="15"/>
      <c r="R312" s="15"/>
      <c r="S312" s="15"/>
      <c r="T312" s="15"/>
      <c r="U312" s="15"/>
      <c r="V312" s="243"/>
      <c r="W312" s="15"/>
    </row>
    <row r="313">
      <c r="A313" s="34"/>
      <c r="B313" s="15"/>
      <c r="C313" s="15"/>
      <c r="D313" s="15"/>
      <c r="E313" s="17"/>
      <c r="F313" s="15"/>
      <c r="G313" s="250"/>
      <c r="H313" s="243"/>
      <c r="I313" s="243"/>
      <c r="J313" s="243"/>
      <c r="K313" s="85"/>
      <c r="L313" s="85"/>
      <c r="M313" s="85"/>
      <c r="N313" s="29"/>
      <c r="O313" s="307"/>
      <c r="P313" s="29"/>
      <c r="Q313" s="15"/>
      <c r="R313" s="15"/>
      <c r="S313" s="15"/>
      <c r="T313" s="15"/>
      <c r="U313" s="15"/>
      <c r="V313" s="243"/>
      <c r="W313" s="15"/>
    </row>
    <row r="314">
      <c r="A314" s="34"/>
      <c r="B314" s="15"/>
      <c r="C314" s="15"/>
      <c r="D314" s="15"/>
      <c r="E314" s="17"/>
      <c r="F314" s="15"/>
      <c r="G314" s="250"/>
      <c r="H314" s="243"/>
      <c r="I314" s="243"/>
      <c r="J314" s="243"/>
      <c r="K314" s="85"/>
      <c r="L314" s="85"/>
      <c r="M314" s="85"/>
      <c r="N314" s="29"/>
      <c r="O314" s="307"/>
      <c r="P314" s="29"/>
      <c r="Q314" s="15"/>
      <c r="R314" s="15"/>
      <c r="S314" s="15"/>
      <c r="T314" s="15"/>
      <c r="U314" s="15"/>
      <c r="V314" s="243"/>
      <c r="W314" s="15"/>
    </row>
    <row r="315">
      <c r="A315" s="34"/>
      <c r="B315" s="15"/>
      <c r="C315" s="15"/>
      <c r="D315" s="15"/>
      <c r="E315" s="17"/>
      <c r="F315" s="15"/>
      <c r="G315" s="250"/>
      <c r="H315" s="243"/>
      <c r="I315" s="243"/>
      <c r="J315" s="243"/>
      <c r="K315" s="85"/>
      <c r="L315" s="85"/>
      <c r="M315" s="85"/>
      <c r="N315" s="29"/>
      <c r="O315" s="307"/>
      <c r="P315" s="29"/>
      <c r="Q315" s="15"/>
      <c r="R315" s="15"/>
      <c r="S315" s="15"/>
      <c r="T315" s="15"/>
      <c r="U315" s="15"/>
      <c r="V315" s="243"/>
      <c r="W315" s="15"/>
    </row>
    <row r="316">
      <c r="A316" s="34"/>
      <c r="B316" s="15"/>
      <c r="C316" s="15"/>
      <c r="D316" s="15"/>
      <c r="E316" s="17"/>
      <c r="F316" s="15"/>
      <c r="G316" s="250"/>
      <c r="H316" s="243"/>
      <c r="I316" s="243"/>
      <c r="J316" s="243"/>
      <c r="K316" s="85"/>
      <c r="L316" s="85"/>
      <c r="M316" s="85"/>
      <c r="N316" s="29"/>
      <c r="O316" s="307"/>
      <c r="P316" s="29"/>
      <c r="Q316" s="15"/>
      <c r="R316" s="15"/>
      <c r="S316" s="15"/>
      <c r="T316" s="15"/>
      <c r="U316" s="15"/>
      <c r="V316" s="243"/>
      <c r="W316" s="15"/>
    </row>
    <row r="317">
      <c r="A317" s="34"/>
      <c r="B317" s="15"/>
      <c r="C317" s="15"/>
      <c r="D317" s="15"/>
      <c r="E317" s="17"/>
      <c r="F317" s="15"/>
      <c r="G317" s="250"/>
      <c r="H317" s="243"/>
      <c r="I317" s="243"/>
      <c r="J317" s="243"/>
      <c r="K317" s="85"/>
      <c r="L317" s="85"/>
      <c r="M317" s="85"/>
      <c r="N317" s="29"/>
      <c r="O317" s="307"/>
      <c r="P317" s="29"/>
      <c r="Q317" s="15"/>
      <c r="R317" s="15"/>
      <c r="S317" s="15"/>
      <c r="T317" s="15"/>
      <c r="U317" s="15"/>
      <c r="V317" s="243"/>
      <c r="W317" s="15"/>
    </row>
    <row r="318">
      <c r="A318" s="34"/>
      <c r="B318" s="15"/>
      <c r="C318" s="15"/>
      <c r="D318" s="15"/>
      <c r="E318" s="17"/>
      <c r="F318" s="15"/>
      <c r="G318" s="250"/>
      <c r="H318" s="243"/>
      <c r="I318" s="243"/>
      <c r="J318" s="243"/>
      <c r="K318" s="85"/>
      <c r="L318" s="85"/>
      <c r="M318" s="85"/>
      <c r="N318" s="29"/>
      <c r="O318" s="307"/>
      <c r="P318" s="29"/>
      <c r="Q318" s="15"/>
      <c r="R318" s="15"/>
      <c r="S318" s="15"/>
      <c r="T318" s="15"/>
      <c r="U318" s="15"/>
      <c r="V318" s="243"/>
      <c r="W318" s="15"/>
    </row>
    <row r="319">
      <c r="A319" s="34"/>
      <c r="B319" s="15"/>
      <c r="C319" s="15"/>
      <c r="D319" s="15"/>
      <c r="E319" s="17"/>
      <c r="F319" s="15"/>
      <c r="G319" s="250"/>
      <c r="H319" s="243"/>
      <c r="I319" s="243"/>
      <c r="J319" s="243"/>
      <c r="K319" s="85"/>
      <c r="L319" s="85"/>
      <c r="M319" s="85"/>
      <c r="N319" s="29"/>
      <c r="O319" s="307"/>
      <c r="P319" s="29"/>
      <c r="Q319" s="15"/>
      <c r="R319" s="15"/>
      <c r="S319" s="15"/>
      <c r="T319" s="15"/>
      <c r="U319" s="15"/>
      <c r="V319" s="243"/>
      <c r="W319" s="15"/>
    </row>
    <row r="320">
      <c r="A320" s="34"/>
      <c r="B320" s="15"/>
      <c r="C320" s="15"/>
      <c r="D320" s="15"/>
      <c r="E320" s="17"/>
      <c r="F320" s="15"/>
      <c r="G320" s="250"/>
      <c r="H320" s="243"/>
      <c r="I320" s="243"/>
      <c r="J320" s="243"/>
      <c r="K320" s="85"/>
      <c r="L320" s="85"/>
      <c r="M320" s="85"/>
      <c r="N320" s="29"/>
      <c r="O320" s="307"/>
      <c r="P320" s="29"/>
      <c r="Q320" s="15"/>
      <c r="R320" s="15"/>
      <c r="S320" s="15"/>
      <c r="T320" s="15"/>
      <c r="U320" s="15"/>
      <c r="V320" s="243"/>
      <c r="W320" s="15"/>
    </row>
    <row r="321">
      <c r="A321" s="34"/>
      <c r="B321" s="15"/>
      <c r="C321" s="15"/>
      <c r="D321" s="15"/>
      <c r="E321" s="17"/>
      <c r="F321" s="15"/>
      <c r="G321" s="250"/>
      <c r="H321" s="243"/>
      <c r="I321" s="243"/>
      <c r="J321" s="243"/>
      <c r="K321" s="85"/>
      <c r="L321" s="85"/>
      <c r="M321" s="85"/>
      <c r="N321" s="29"/>
      <c r="O321" s="307"/>
      <c r="P321" s="29"/>
      <c r="Q321" s="15"/>
      <c r="R321" s="15"/>
      <c r="S321" s="15"/>
      <c r="T321" s="15"/>
      <c r="U321" s="15"/>
      <c r="V321" s="243"/>
      <c r="W321" s="15"/>
    </row>
    <row r="322">
      <c r="A322" s="34"/>
      <c r="B322" s="15"/>
      <c r="C322" s="15"/>
      <c r="D322" s="15"/>
      <c r="E322" s="17"/>
      <c r="F322" s="15"/>
      <c r="G322" s="250"/>
      <c r="H322" s="243"/>
      <c r="I322" s="243"/>
      <c r="J322" s="243"/>
      <c r="K322" s="85"/>
      <c r="L322" s="85"/>
      <c r="M322" s="85"/>
      <c r="N322" s="29"/>
      <c r="O322" s="307"/>
      <c r="P322" s="29"/>
      <c r="Q322" s="15"/>
      <c r="R322" s="15"/>
      <c r="S322" s="15"/>
      <c r="T322" s="15"/>
      <c r="U322" s="15"/>
      <c r="V322" s="243"/>
      <c r="W322" s="15"/>
    </row>
    <row r="323">
      <c r="A323" s="34"/>
      <c r="B323" s="15"/>
      <c r="C323" s="15"/>
      <c r="D323" s="15"/>
      <c r="E323" s="17"/>
      <c r="F323" s="15"/>
      <c r="G323" s="250"/>
      <c r="H323" s="243"/>
      <c r="I323" s="243"/>
      <c r="J323" s="243"/>
      <c r="K323" s="85"/>
      <c r="L323" s="85"/>
      <c r="M323" s="85"/>
      <c r="N323" s="29"/>
      <c r="O323" s="307"/>
      <c r="P323" s="29"/>
      <c r="Q323" s="15"/>
      <c r="R323" s="15"/>
      <c r="S323" s="15"/>
      <c r="T323" s="15"/>
      <c r="U323" s="15"/>
      <c r="V323" s="243"/>
      <c r="W323" s="15"/>
    </row>
    <row r="324">
      <c r="A324" s="34"/>
      <c r="B324" s="15"/>
      <c r="C324" s="15"/>
      <c r="D324" s="15"/>
      <c r="E324" s="17"/>
      <c r="F324" s="15"/>
      <c r="G324" s="250"/>
      <c r="H324" s="243"/>
      <c r="I324" s="243"/>
      <c r="J324" s="243"/>
      <c r="K324" s="85"/>
      <c r="L324" s="85"/>
      <c r="M324" s="85"/>
      <c r="N324" s="29"/>
      <c r="O324" s="307"/>
      <c r="P324" s="29"/>
      <c r="Q324" s="15"/>
      <c r="R324" s="15"/>
      <c r="S324" s="15"/>
      <c r="T324" s="15"/>
      <c r="U324" s="15"/>
      <c r="V324" s="243"/>
      <c r="W324" s="15"/>
    </row>
    <row r="325">
      <c r="A325" s="34"/>
      <c r="B325" s="15"/>
      <c r="C325" s="15"/>
      <c r="D325" s="15"/>
      <c r="E325" s="17"/>
      <c r="F325" s="15"/>
      <c r="G325" s="250"/>
      <c r="H325" s="243"/>
      <c r="I325" s="243"/>
      <c r="J325" s="243"/>
      <c r="K325" s="85"/>
      <c r="L325" s="85"/>
      <c r="M325" s="85"/>
      <c r="N325" s="29"/>
      <c r="O325" s="307"/>
      <c r="P325" s="29"/>
      <c r="Q325" s="15"/>
      <c r="R325" s="15"/>
      <c r="S325" s="15"/>
      <c r="T325" s="15"/>
      <c r="U325" s="15"/>
      <c r="V325" s="243"/>
      <c r="W325" s="15"/>
    </row>
    <row r="326">
      <c r="A326" s="34"/>
      <c r="B326" s="15"/>
      <c r="C326" s="15"/>
      <c r="D326" s="15"/>
      <c r="E326" s="17"/>
      <c r="F326" s="15"/>
      <c r="G326" s="250"/>
      <c r="H326" s="243"/>
      <c r="I326" s="243"/>
      <c r="J326" s="243"/>
      <c r="K326" s="85"/>
      <c r="L326" s="85"/>
      <c r="M326" s="85"/>
      <c r="N326" s="29"/>
      <c r="O326" s="307"/>
      <c r="P326" s="29"/>
      <c r="Q326" s="15"/>
      <c r="R326" s="15"/>
      <c r="S326" s="15"/>
      <c r="T326" s="15"/>
      <c r="U326" s="15"/>
      <c r="V326" s="243"/>
      <c r="W326" s="15"/>
    </row>
    <row r="327">
      <c r="A327" s="34"/>
      <c r="B327" s="15"/>
      <c r="C327" s="15"/>
      <c r="D327" s="15"/>
      <c r="E327" s="17"/>
      <c r="F327" s="15"/>
      <c r="G327" s="250"/>
      <c r="H327" s="243"/>
      <c r="I327" s="243"/>
      <c r="J327" s="243"/>
      <c r="K327" s="85"/>
      <c r="L327" s="85"/>
      <c r="M327" s="85"/>
      <c r="N327" s="29"/>
      <c r="O327" s="307"/>
      <c r="P327" s="29"/>
      <c r="Q327" s="15"/>
      <c r="R327" s="15"/>
      <c r="S327" s="15"/>
      <c r="T327" s="15"/>
      <c r="U327" s="15"/>
      <c r="V327" s="243"/>
      <c r="W327" s="15"/>
    </row>
    <row r="328">
      <c r="A328" s="34"/>
      <c r="B328" s="15"/>
      <c r="C328" s="15"/>
      <c r="D328" s="15"/>
      <c r="E328" s="17"/>
      <c r="F328" s="15"/>
      <c r="G328" s="250"/>
      <c r="H328" s="243"/>
      <c r="I328" s="243"/>
      <c r="J328" s="243"/>
      <c r="K328" s="85"/>
      <c r="L328" s="85"/>
      <c r="M328" s="85"/>
      <c r="N328" s="29"/>
      <c r="O328" s="307"/>
      <c r="P328" s="29"/>
      <c r="Q328" s="15"/>
      <c r="R328" s="15"/>
      <c r="S328" s="15"/>
      <c r="T328" s="15"/>
      <c r="U328" s="15"/>
      <c r="V328" s="243"/>
      <c r="W328" s="15"/>
    </row>
    <row r="329">
      <c r="A329" s="34"/>
      <c r="B329" s="15"/>
      <c r="C329" s="15"/>
      <c r="D329" s="15"/>
      <c r="E329" s="17"/>
      <c r="F329" s="15"/>
      <c r="G329" s="250"/>
      <c r="H329" s="243"/>
      <c r="I329" s="243"/>
      <c r="J329" s="243"/>
      <c r="K329" s="85"/>
      <c r="L329" s="85"/>
      <c r="M329" s="85"/>
      <c r="N329" s="29"/>
      <c r="O329" s="307"/>
      <c r="P329" s="29"/>
      <c r="Q329" s="15"/>
      <c r="R329" s="15"/>
      <c r="S329" s="15"/>
      <c r="T329" s="15"/>
      <c r="U329" s="15"/>
      <c r="V329" s="243"/>
      <c r="W329" s="15"/>
    </row>
    <row r="330">
      <c r="A330" s="34"/>
      <c r="B330" s="15"/>
      <c r="C330" s="15"/>
      <c r="D330" s="15"/>
      <c r="E330" s="17"/>
      <c r="F330" s="15"/>
      <c r="G330" s="250"/>
      <c r="H330" s="243"/>
      <c r="I330" s="243"/>
      <c r="J330" s="243"/>
      <c r="K330" s="85"/>
      <c r="L330" s="85"/>
      <c r="M330" s="85"/>
      <c r="N330" s="29"/>
      <c r="O330" s="307"/>
      <c r="P330" s="29"/>
      <c r="Q330" s="15"/>
      <c r="R330" s="15"/>
      <c r="S330" s="15"/>
      <c r="T330" s="15"/>
      <c r="U330" s="15"/>
      <c r="V330" s="243"/>
      <c r="W330" s="15"/>
    </row>
    <row r="331">
      <c r="A331" s="34"/>
      <c r="B331" s="15"/>
      <c r="C331" s="15"/>
      <c r="D331" s="15"/>
      <c r="E331" s="17"/>
      <c r="F331" s="15"/>
      <c r="G331" s="250"/>
      <c r="H331" s="243"/>
      <c r="I331" s="243"/>
      <c r="J331" s="243"/>
      <c r="K331" s="85"/>
      <c r="L331" s="85"/>
      <c r="M331" s="85"/>
      <c r="N331" s="29"/>
      <c r="O331" s="307"/>
      <c r="P331" s="29"/>
      <c r="Q331" s="15"/>
      <c r="R331" s="15"/>
      <c r="S331" s="15"/>
      <c r="T331" s="15"/>
      <c r="U331" s="15"/>
      <c r="V331" s="243"/>
      <c r="W331" s="15"/>
    </row>
    <row r="332">
      <c r="A332" s="34"/>
      <c r="B332" s="15"/>
      <c r="C332" s="15"/>
      <c r="D332" s="15"/>
      <c r="E332" s="17"/>
      <c r="F332" s="15"/>
      <c r="G332" s="250"/>
      <c r="H332" s="243"/>
      <c r="I332" s="243"/>
      <c r="J332" s="243"/>
      <c r="K332" s="85"/>
      <c r="L332" s="85"/>
      <c r="M332" s="85"/>
      <c r="N332" s="29"/>
      <c r="O332" s="307"/>
      <c r="P332" s="29"/>
      <c r="Q332" s="15"/>
      <c r="R332" s="15"/>
      <c r="S332" s="15"/>
      <c r="T332" s="15"/>
      <c r="U332" s="15"/>
      <c r="V332" s="243"/>
      <c r="W332" s="15"/>
    </row>
    <row r="333">
      <c r="A333" s="34"/>
      <c r="B333" s="15"/>
      <c r="C333" s="15"/>
      <c r="D333" s="15"/>
      <c r="E333" s="17"/>
      <c r="F333" s="15"/>
      <c r="G333" s="250"/>
      <c r="H333" s="243"/>
      <c r="I333" s="243"/>
      <c r="J333" s="243"/>
      <c r="K333" s="85"/>
      <c r="L333" s="85"/>
      <c r="M333" s="85"/>
      <c r="N333" s="29"/>
      <c r="O333" s="307"/>
      <c r="P333" s="29"/>
      <c r="Q333" s="15"/>
      <c r="R333" s="15"/>
      <c r="S333" s="15"/>
      <c r="T333" s="15"/>
      <c r="U333" s="15"/>
      <c r="V333" s="243"/>
      <c r="W333" s="15"/>
    </row>
    <row r="334">
      <c r="A334" s="34"/>
      <c r="B334" s="15"/>
      <c r="C334" s="15"/>
      <c r="D334" s="15"/>
      <c r="E334" s="17"/>
      <c r="F334" s="15"/>
      <c r="G334" s="250"/>
      <c r="H334" s="243"/>
      <c r="I334" s="243"/>
      <c r="J334" s="243"/>
      <c r="K334" s="85"/>
      <c r="L334" s="85"/>
      <c r="M334" s="85"/>
      <c r="N334" s="29"/>
      <c r="O334" s="307"/>
      <c r="P334" s="29"/>
      <c r="Q334" s="15"/>
      <c r="R334" s="15"/>
      <c r="S334" s="15"/>
      <c r="T334" s="15"/>
      <c r="U334" s="15"/>
      <c r="V334" s="243"/>
      <c r="W334" s="15"/>
    </row>
    <row r="335">
      <c r="A335" s="34"/>
      <c r="B335" s="15"/>
      <c r="C335" s="15"/>
      <c r="D335" s="15"/>
      <c r="E335" s="17"/>
      <c r="F335" s="15"/>
      <c r="G335" s="250"/>
      <c r="H335" s="243"/>
      <c r="I335" s="243"/>
      <c r="J335" s="243"/>
      <c r="K335" s="85"/>
      <c r="L335" s="85"/>
      <c r="M335" s="85"/>
      <c r="N335" s="29"/>
      <c r="O335" s="307"/>
      <c r="P335" s="29"/>
      <c r="Q335" s="15"/>
      <c r="R335" s="15"/>
      <c r="S335" s="15"/>
      <c r="T335" s="15"/>
      <c r="U335" s="15"/>
      <c r="V335" s="243"/>
      <c r="W335" s="15"/>
    </row>
    <row r="336">
      <c r="A336" s="34"/>
      <c r="B336" s="15"/>
      <c r="C336" s="15"/>
      <c r="D336" s="15"/>
      <c r="E336" s="17"/>
      <c r="F336" s="15"/>
      <c r="G336" s="250"/>
      <c r="H336" s="243"/>
      <c r="I336" s="243"/>
      <c r="J336" s="243"/>
      <c r="K336" s="85"/>
      <c r="L336" s="85"/>
      <c r="M336" s="85"/>
      <c r="N336" s="29"/>
      <c r="O336" s="307"/>
      <c r="P336" s="29"/>
      <c r="Q336" s="15"/>
      <c r="R336" s="15"/>
      <c r="S336" s="15"/>
      <c r="T336" s="15"/>
      <c r="U336" s="15"/>
      <c r="V336" s="243"/>
      <c r="W336" s="15"/>
    </row>
    <row r="337">
      <c r="A337" s="34"/>
      <c r="B337" s="15"/>
      <c r="C337" s="15"/>
      <c r="D337" s="15"/>
      <c r="E337" s="17"/>
      <c r="F337" s="15"/>
      <c r="G337" s="250"/>
      <c r="H337" s="243"/>
      <c r="I337" s="243"/>
      <c r="J337" s="243"/>
      <c r="K337" s="85"/>
      <c r="L337" s="85"/>
      <c r="M337" s="85"/>
      <c r="N337" s="29"/>
      <c r="O337" s="307"/>
      <c r="P337" s="29"/>
      <c r="Q337" s="15"/>
      <c r="R337" s="15"/>
      <c r="S337" s="15"/>
      <c r="T337" s="15"/>
      <c r="U337" s="15"/>
      <c r="V337" s="243"/>
      <c r="W337" s="15"/>
    </row>
    <row r="338">
      <c r="A338" s="34"/>
      <c r="B338" s="15"/>
      <c r="C338" s="15"/>
      <c r="D338" s="15"/>
      <c r="E338" s="17"/>
      <c r="F338" s="15"/>
      <c r="G338" s="250"/>
      <c r="H338" s="243"/>
      <c r="I338" s="243"/>
      <c r="J338" s="243"/>
      <c r="K338" s="85"/>
      <c r="L338" s="85"/>
      <c r="M338" s="85"/>
      <c r="N338" s="29"/>
      <c r="O338" s="307"/>
      <c r="P338" s="29"/>
      <c r="Q338" s="15"/>
      <c r="R338" s="15"/>
      <c r="S338" s="15"/>
      <c r="T338" s="15"/>
      <c r="U338" s="15"/>
      <c r="V338" s="243"/>
      <c r="W338" s="15"/>
    </row>
    <row r="339">
      <c r="A339" s="34"/>
      <c r="B339" s="15"/>
      <c r="C339" s="15"/>
      <c r="D339" s="15"/>
      <c r="E339" s="17"/>
      <c r="F339" s="15"/>
      <c r="G339" s="250"/>
      <c r="H339" s="243"/>
      <c r="I339" s="243"/>
      <c r="J339" s="243"/>
      <c r="K339" s="85"/>
      <c r="L339" s="85"/>
      <c r="M339" s="85"/>
      <c r="N339" s="29"/>
      <c r="O339" s="307"/>
      <c r="P339" s="29"/>
      <c r="Q339" s="15"/>
      <c r="R339" s="15"/>
      <c r="S339" s="15"/>
      <c r="T339" s="15"/>
      <c r="U339" s="15"/>
      <c r="V339" s="243"/>
      <c r="W339" s="15"/>
    </row>
    <row r="340">
      <c r="A340" s="34"/>
      <c r="B340" s="15"/>
      <c r="C340" s="15"/>
      <c r="D340" s="15"/>
      <c r="E340" s="17"/>
      <c r="F340" s="15"/>
      <c r="G340" s="250"/>
      <c r="H340" s="243"/>
      <c r="I340" s="243"/>
      <c r="J340" s="243"/>
      <c r="K340" s="85"/>
      <c r="L340" s="85"/>
      <c r="M340" s="85"/>
      <c r="N340" s="29"/>
      <c r="O340" s="307"/>
      <c r="P340" s="29"/>
      <c r="Q340" s="15"/>
      <c r="R340" s="15"/>
      <c r="S340" s="15"/>
      <c r="T340" s="15"/>
      <c r="U340" s="15"/>
      <c r="V340" s="243"/>
      <c r="W340" s="15"/>
    </row>
    <row r="341">
      <c r="A341" s="34"/>
      <c r="B341" s="15"/>
      <c r="C341" s="15"/>
      <c r="D341" s="15"/>
      <c r="E341" s="17"/>
      <c r="F341" s="15"/>
      <c r="G341" s="250"/>
      <c r="H341" s="243"/>
      <c r="I341" s="243"/>
      <c r="J341" s="243"/>
      <c r="K341" s="85"/>
      <c r="L341" s="85"/>
      <c r="M341" s="85"/>
      <c r="N341" s="29"/>
      <c r="O341" s="307"/>
      <c r="P341" s="29"/>
      <c r="Q341" s="15"/>
      <c r="R341" s="15"/>
      <c r="S341" s="15"/>
      <c r="T341" s="15"/>
      <c r="U341" s="15"/>
      <c r="V341" s="243"/>
      <c r="W341" s="15"/>
    </row>
    <row r="342">
      <c r="A342" s="34"/>
      <c r="B342" s="15"/>
      <c r="C342" s="15"/>
      <c r="D342" s="15"/>
      <c r="E342" s="17"/>
      <c r="F342" s="15"/>
      <c r="G342" s="250"/>
      <c r="H342" s="243"/>
      <c r="I342" s="243"/>
      <c r="J342" s="243"/>
      <c r="K342" s="85"/>
      <c r="L342" s="85"/>
      <c r="M342" s="85"/>
      <c r="N342" s="29"/>
      <c r="O342" s="307"/>
      <c r="P342" s="29"/>
      <c r="Q342" s="15"/>
      <c r="R342" s="15"/>
      <c r="S342" s="15"/>
      <c r="T342" s="15"/>
      <c r="U342" s="15"/>
      <c r="V342" s="243"/>
      <c r="W342" s="15"/>
    </row>
    <row r="343">
      <c r="A343" s="34"/>
      <c r="B343" s="15"/>
      <c r="C343" s="15"/>
      <c r="D343" s="15"/>
      <c r="E343" s="17"/>
      <c r="F343" s="15"/>
      <c r="G343" s="250"/>
      <c r="H343" s="243"/>
      <c r="I343" s="243"/>
      <c r="J343" s="243"/>
      <c r="K343" s="85"/>
      <c r="L343" s="85"/>
      <c r="M343" s="85"/>
      <c r="N343" s="29"/>
      <c r="O343" s="307"/>
      <c r="P343" s="29"/>
      <c r="Q343" s="15"/>
      <c r="R343" s="15"/>
      <c r="S343" s="15"/>
      <c r="T343" s="15"/>
      <c r="U343" s="15"/>
      <c r="V343" s="243"/>
      <c r="W343" s="15"/>
    </row>
    <row r="344">
      <c r="A344" s="34"/>
      <c r="B344" s="15"/>
      <c r="C344" s="15"/>
      <c r="D344" s="15"/>
      <c r="E344" s="17"/>
      <c r="F344" s="15"/>
      <c r="G344" s="250"/>
      <c r="H344" s="243"/>
      <c r="I344" s="243"/>
      <c r="J344" s="243"/>
      <c r="K344" s="85"/>
      <c r="L344" s="85"/>
      <c r="M344" s="85"/>
      <c r="N344" s="29"/>
      <c r="O344" s="307"/>
      <c r="P344" s="29"/>
      <c r="Q344" s="15"/>
      <c r="R344" s="15"/>
      <c r="S344" s="15"/>
      <c r="T344" s="15"/>
      <c r="U344" s="15"/>
      <c r="V344" s="243"/>
      <c r="W344" s="15"/>
    </row>
    <row r="345">
      <c r="A345" s="34"/>
      <c r="B345" s="15"/>
      <c r="C345" s="15"/>
      <c r="D345" s="15"/>
      <c r="E345" s="17"/>
      <c r="F345" s="15"/>
      <c r="G345" s="250"/>
      <c r="H345" s="243"/>
      <c r="I345" s="243"/>
      <c r="J345" s="243"/>
      <c r="K345" s="85"/>
      <c r="L345" s="85"/>
      <c r="M345" s="85"/>
      <c r="N345" s="29"/>
      <c r="O345" s="307"/>
      <c r="P345" s="29"/>
      <c r="Q345" s="15"/>
      <c r="R345" s="15"/>
      <c r="S345" s="15"/>
      <c r="T345" s="15"/>
      <c r="U345" s="15"/>
      <c r="V345" s="243"/>
      <c r="W345" s="15"/>
    </row>
    <row r="346">
      <c r="A346" s="34"/>
      <c r="B346" s="15"/>
      <c r="C346" s="15"/>
      <c r="D346" s="15"/>
      <c r="E346" s="17"/>
      <c r="F346" s="15"/>
      <c r="G346" s="250"/>
      <c r="H346" s="243"/>
      <c r="I346" s="243"/>
      <c r="J346" s="243"/>
      <c r="K346" s="85"/>
      <c r="L346" s="85"/>
      <c r="M346" s="85"/>
      <c r="N346" s="29"/>
      <c r="O346" s="307"/>
      <c r="P346" s="29"/>
      <c r="Q346" s="15"/>
      <c r="R346" s="15"/>
      <c r="S346" s="15"/>
      <c r="T346" s="15"/>
      <c r="U346" s="15"/>
      <c r="V346" s="243"/>
      <c r="W346" s="15"/>
    </row>
    <row r="347">
      <c r="A347" s="34"/>
      <c r="B347" s="15"/>
      <c r="C347" s="15"/>
      <c r="D347" s="15"/>
      <c r="E347" s="17"/>
      <c r="F347" s="15"/>
      <c r="G347" s="250"/>
      <c r="H347" s="243"/>
      <c r="I347" s="243"/>
      <c r="J347" s="243"/>
      <c r="K347" s="85"/>
      <c r="L347" s="85"/>
      <c r="M347" s="85"/>
      <c r="N347" s="29"/>
      <c r="O347" s="307"/>
      <c r="P347" s="29"/>
      <c r="Q347" s="15"/>
      <c r="R347" s="15"/>
      <c r="S347" s="15"/>
      <c r="T347" s="15"/>
      <c r="U347" s="15"/>
      <c r="V347" s="243"/>
      <c r="W347" s="15"/>
    </row>
    <row r="348">
      <c r="A348" s="34"/>
      <c r="B348" s="15"/>
      <c r="C348" s="15"/>
      <c r="D348" s="15"/>
      <c r="E348" s="17"/>
      <c r="F348" s="15"/>
      <c r="G348" s="250"/>
      <c r="H348" s="243"/>
      <c r="I348" s="243"/>
      <c r="J348" s="243"/>
      <c r="K348" s="85"/>
      <c r="L348" s="85"/>
      <c r="M348" s="85"/>
      <c r="N348" s="29"/>
      <c r="O348" s="307"/>
      <c r="P348" s="29"/>
      <c r="Q348" s="15"/>
      <c r="R348" s="15"/>
      <c r="S348" s="15"/>
      <c r="T348" s="15"/>
      <c r="U348" s="15"/>
      <c r="V348" s="243"/>
      <c r="W348" s="15"/>
    </row>
    <row r="349">
      <c r="A349" s="34"/>
      <c r="B349" s="15"/>
      <c r="C349" s="15"/>
      <c r="D349" s="15"/>
      <c r="E349" s="17"/>
      <c r="F349" s="15"/>
      <c r="G349" s="250"/>
      <c r="H349" s="243"/>
      <c r="I349" s="243"/>
      <c r="J349" s="243"/>
      <c r="K349" s="85"/>
      <c r="L349" s="85"/>
      <c r="M349" s="85"/>
      <c r="N349" s="29"/>
      <c r="O349" s="307"/>
      <c r="P349" s="29"/>
      <c r="Q349" s="15"/>
      <c r="R349" s="15"/>
      <c r="S349" s="15"/>
      <c r="T349" s="15"/>
      <c r="U349" s="15"/>
      <c r="V349" s="243"/>
      <c r="W349" s="15"/>
    </row>
    <row r="350">
      <c r="A350" s="34"/>
      <c r="B350" s="15"/>
      <c r="C350" s="15"/>
      <c r="D350" s="15"/>
      <c r="E350" s="17"/>
      <c r="F350" s="15"/>
      <c r="G350" s="250"/>
      <c r="H350" s="243"/>
      <c r="I350" s="243"/>
      <c r="J350" s="243"/>
      <c r="K350" s="85"/>
      <c r="L350" s="85"/>
      <c r="M350" s="85"/>
      <c r="N350" s="29"/>
      <c r="O350" s="307"/>
      <c r="P350" s="29"/>
      <c r="Q350" s="15"/>
      <c r="R350" s="15"/>
      <c r="S350" s="15"/>
      <c r="T350" s="15"/>
      <c r="U350" s="15"/>
      <c r="V350" s="243"/>
      <c r="W350" s="15"/>
    </row>
    <row r="351">
      <c r="A351" s="34"/>
      <c r="B351" s="15"/>
      <c r="C351" s="15"/>
      <c r="D351" s="15"/>
      <c r="E351" s="17"/>
      <c r="F351" s="15"/>
      <c r="G351" s="250"/>
      <c r="H351" s="243"/>
      <c r="I351" s="243"/>
      <c r="J351" s="243"/>
      <c r="K351" s="85"/>
      <c r="L351" s="85"/>
      <c r="M351" s="85"/>
      <c r="N351" s="29"/>
      <c r="O351" s="307"/>
      <c r="P351" s="29"/>
      <c r="Q351" s="15"/>
      <c r="R351" s="15"/>
      <c r="S351" s="15"/>
      <c r="T351" s="15"/>
      <c r="U351" s="15"/>
      <c r="V351" s="243"/>
      <c r="W351" s="15"/>
    </row>
    <row r="352">
      <c r="A352" s="34"/>
      <c r="B352" s="15"/>
      <c r="C352" s="15"/>
      <c r="D352" s="15"/>
      <c r="E352" s="17"/>
      <c r="F352" s="15"/>
      <c r="G352" s="250"/>
      <c r="H352" s="243"/>
      <c r="I352" s="243"/>
      <c r="J352" s="243"/>
      <c r="K352" s="85"/>
      <c r="L352" s="85"/>
      <c r="M352" s="85"/>
      <c r="N352" s="29"/>
      <c r="O352" s="307"/>
      <c r="P352" s="29"/>
      <c r="Q352" s="15"/>
      <c r="R352" s="15"/>
      <c r="S352" s="15"/>
      <c r="T352" s="15"/>
      <c r="U352" s="15"/>
      <c r="V352" s="243"/>
      <c r="W352" s="15"/>
    </row>
    <row r="353">
      <c r="A353" s="34"/>
      <c r="B353" s="15"/>
      <c r="C353" s="15"/>
      <c r="D353" s="15"/>
      <c r="E353" s="17"/>
      <c r="F353" s="15"/>
      <c r="G353" s="250"/>
      <c r="H353" s="243"/>
      <c r="I353" s="243"/>
      <c r="J353" s="243"/>
      <c r="K353" s="85"/>
      <c r="L353" s="85"/>
      <c r="M353" s="85"/>
      <c r="N353" s="29"/>
      <c r="O353" s="307"/>
      <c r="P353" s="29"/>
      <c r="Q353" s="15"/>
      <c r="R353" s="15"/>
      <c r="S353" s="15"/>
      <c r="T353" s="15"/>
      <c r="U353" s="15"/>
      <c r="V353" s="243"/>
      <c r="W353" s="15"/>
    </row>
    <row r="354">
      <c r="A354" s="34"/>
      <c r="B354" s="15"/>
      <c r="C354" s="15"/>
      <c r="D354" s="15"/>
      <c r="E354" s="17"/>
      <c r="F354" s="15"/>
      <c r="G354" s="250"/>
      <c r="H354" s="243"/>
      <c r="I354" s="243"/>
      <c r="J354" s="243"/>
      <c r="K354" s="85"/>
      <c r="L354" s="85"/>
      <c r="M354" s="85"/>
      <c r="N354" s="29"/>
      <c r="O354" s="307"/>
      <c r="P354" s="29"/>
      <c r="Q354" s="15"/>
      <c r="R354" s="15"/>
      <c r="S354" s="15"/>
      <c r="T354" s="15"/>
      <c r="U354" s="15"/>
      <c r="V354" s="243"/>
      <c r="W354" s="15"/>
    </row>
    <row r="355">
      <c r="A355" s="34"/>
      <c r="B355" s="15"/>
      <c r="C355" s="15"/>
      <c r="D355" s="15"/>
      <c r="E355" s="17"/>
      <c r="F355" s="15"/>
      <c r="G355" s="250"/>
      <c r="H355" s="243"/>
      <c r="I355" s="243"/>
      <c r="J355" s="243"/>
      <c r="K355" s="85"/>
      <c r="L355" s="85"/>
      <c r="M355" s="85"/>
      <c r="N355" s="29"/>
      <c r="O355" s="307"/>
      <c r="P355" s="29"/>
      <c r="Q355" s="15"/>
      <c r="R355" s="15"/>
      <c r="S355" s="15"/>
      <c r="T355" s="15"/>
      <c r="U355" s="15"/>
      <c r="V355" s="243"/>
      <c r="W355" s="15"/>
    </row>
    <row r="356">
      <c r="A356" s="34"/>
      <c r="B356" s="15"/>
      <c r="C356" s="15"/>
      <c r="D356" s="15"/>
      <c r="E356" s="17"/>
      <c r="F356" s="15"/>
      <c r="G356" s="250"/>
      <c r="H356" s="243"/>
      <c r="I356" s="243"/>
      <c r="J356" s="243"/>
      <c r="K356" s="85"/>
      <c r="L356" s="85"/>
      <c r="M356" s="85"/>
      <c r="N356" s="29"/>
      <c r="O356" s="307"/>
      <c r="P356" s="29"/>
      <c r="Q356" s="15"/>
      <c r="R356" s="15"/>
      <c r="S356" s="15"/>
      <c r="T356" s="15"/>
      <c r="U356" s="15"/>
      <c r="V356" s="243"/>
      <c r="W356" s="15"/>
    </row>
    <row r="357">
      <c r="A357" s="34"/>
      <c r="B357" s="15"/>
      <c r="C357" s="15"/>
      <c r="D357" s="15"/>
      <c r="E357" s="17"/>
      <c r="F357" s="15"/>
      <c r="G357" s="250"/>
      <c r="H357" s="243"/>
      <c r="I357" s="243"/>
      <c r="J357" s="243"/>
      <c r="K357" s="85"/>
      <c r="L357" s="85"/>
      <c r="M357" s="85"/>
      <c r="N357" s="29"/>
      <c r="O357" s="307"/>
      <c r="P357" s="29"/>
      <c r="Q357" s="15"/>
      <c r="R357" s="15"/>
      <c r="S357" s="15"/>
      <c r="T357" s="15"/>
      <c r="U357" s="15"/>
      <c r="V357" s="243"/>
      <c r="W357" s="15"/>
    </row>
    <row r="358">
      <c r="A358" s="34"/>
      <c r="B358" s="15"/>
      <c r="C358" s="15"/>
      <c r="D358" s="15"/>
      <c r="E358" s="17"/>
      <c r="F358" s="15"/>
      <c r="G358" s="250"/>
      <c r="H358" s="243"/>
      <c r="I358" s="243"/>
      <c r="J358" s="243"/>
      <c r="K358" s="85"/>
      <c r="L358" s="85"/>
      <c r="M358" s="85"/>
      <c r="N358" s="29"/>
      <c r="O358" s="307"/>
      <c r="P358" s="29"/>
      <c r="Q358" s="15"/>
      <c r="R358" s="15"/>
      <c r="S358" s="15"/>
      <c r="T358" s="15"/>
      <c r="U358" s="15"/>
      <c r="V358" s="243"/>
      <c r="W358" s="15"/>
    </row>
    <row r="359">
      <c r="A359" s="34"/>
      <c r="B359" s="15"/>
      <c r="C359" s="15"/>
      <c r="D359" s="15"/>
      <c r="E359" s="17"/>
      <c r="F359" s="15"/>
      <c r="G359" s="250"/>
      <c r="H359" s="243"/>
      <c r="I359" s="243"/>
      <c r="J359" s="243"/>
      <c r="K359" s="85"/>
      <c r="L359" s="85"/>
      <c r="M359" s="85"/>
      <c r="N359" s="29"/>
      <c r="O359" s="307"/>
      <c r="P359" s="29"/>
      <c r="Q359" s="15"/>
      <c r="R359" s="15"/>
      <c r="S359" s="15"/>
      <c r="T359" s="15"/>
      <c r="U359" s="15"/>
      <c r="V359" s="243"/>
      <c r="W359" s="15"/>
    </row>
    <row r="360">
      <c r="A360" s="34"/>
      <c r="B360" s="15"/>
      <c r="C360" s="15"/>
      <c r="D360" s="15"/>
      <c r="E360" s="17"/>
      <c r="F360" s="15"/>
      <c r="G360" s="250"/>
      <c r="H360" s="243"/>
      <c r="I360" s="243"/>
      <c r="J360" s="243"/>
      <c r="K360" s="85"/>
      <c r="L360" s="85"/>
      <c r="M360" s="85"/>
      <c r="N360" s="29"/>
      <c r="O360" s="307"/>
      <c r="P360" s="29"/>
      <c r="Q360" s="15"/>
      <c r="R360" s="15"/>
      <c r="S360" s="15"/>
      <c r="T360" s="15"/>
      <c r="U360" s="15"/>
      <c r="V360" s="243"/>
      <c r="W360" s="15"/>
    </row>
    <row r="361">
      <c r="A361" s="34"/>
      <c r="B361" s="15"/>
      <c r="C361" s="15"/>
      <c r="D361" s="15"/>
      <c r="E361" s="17"/>
      <c r="F361" s="15"/>
      <c r="G361" s="250"/>
      <c r="H361" s="243"/>
      <c r="I361" s="243"/>
      <c r="J361" s="243"/>
      <c r="K361" s="85"/>
      <c r="L361" s="85"/>
      <c r="M361" s="85"/>
      <c r="N361" s="29"/>
      <c r="O361" s="307"/>
      <c r="P361" s="29"/>
      <c r="Q361" s="15"/>
      <c r="R361" s="15"/>
      <c r="S361" s="15"/>
      <c r="T361" s="15"/>
      <c r="U361" s="15"/>
      <c r="V361" s="243"/>
      <c r="W361" s="15"/>
    </row>
    <row r="362">
      <c r="A362" s="34"/>
      <c r="B362" s="15"/>
      <c r="C362" s="15"/>
      <c r="D362" s="15"/>
      <c r="E362" s="17"/>
      <c r="F362" s="15"/>
      <c r="G362" s="250"/>
      <c r="H362" s="243"/>
      <c r="I362" s="243"/>
      <c r="J362" s="243"/>
      <c r="K362" s="85"/>
      <c r="L362" s="85"/>
      <c r="M362" s="85"/>
      <c r="N362" s="29"/>
      <c r="O362" s="307"/>
      <c r="P362" s="29"/>
      <c r="Q362" s="15"/>
      <c r="R362" s="15"/>
      <c r="S362" s="15"/>
      <c r="T362" s="15"/>
      <c r="U362" s="15"/>
      <c r="V362" s="243"/>
      <c r="W362" s="15"/>
    </row>
    <row r="363">
      <c r="A363" s="34"/>
      <c r="B363" s="15"/>
      <c r="C363" s="15"/>
      <c r="D363" s="15"/>
      <c r="E363" s="17"/>
      <c r="F363" s="15"/>
      <c r="G363" s="250"/>
      <c r="H363" s="243"/>
      <c r="I363" s="243"/>
      <c r="J363" s="243"/>
      <c r="K363" s="85"/>
      <c r="L363" s="85"/>
      <c r="M363" s="85"/>
      <c r="N363" s="29"/>
      <c r="O363" s="307"/>
      <c r="P363" s="29"/>
      <c r="Q363" s="15"/>
      <c r="R363" s="15"/>
      <c r="S363" s="15"/>
      <c r="T363" s="15"/>
      <c r="U363" s="15"/>
      <c r="V363" s="243"/>
      <c r="W363" s="15"/>
    </row>
    <row r="364">
      <c r="A364" s="34"/>
      <c r="B364" s="15"/>
      <c r="C364" s="15"/>
      <c r="D364" s="15"/>
      <c r="E364" s="17"/>
      <c r="F364" s="15"/>
      <c r="G364" s="250"/>
      <c r="H364" s="243"/>
      <c r="I364" s="243"/>
      <c r="J364" s="243"/>
      <c r="K364" s="85"/>
      <c r="L364" s="85"/>
      <c r="M364" s="85"/>
      <c r="N364" s="29"/>
      <c r="O364" s="307"/>
      <c r="P364" s="29"/>
      <c r="Q364" s="15"/>
      <c r="R364" s="15"/>
      <c r="S364" s="15"/>
      <c r="T364" s="15"/>
      <c r="U364" s="15"/>
      <c r="V364" s="243"/>
      <c r="W364" s="15"/>
    </row>
    <row r="365">
      <c r="A365" s="34"/>
      <c r="B365" s="15"/>
      <c r="C365" s="15"/>
      <c r="D365" s="15"/>
      <c r="E365" s="17"/>
      <c r="F365" s="15"/>
      <c r="G365" s="250"/>
      <c r="H365" s="243"/>
      <c r="I365" s="243"/>
      <c r="J365" s="243"/>
      <c r="K365" s="85"/>
      <c r="L365" s="85"/>
      <c r="M365" s="85"/>
      <c r="N365" s="29"/>
      <c r="O365" s="307"/>
      <c r="P365" s="29"/>
      <c r="Q365" s="15"/>
      <c r="R365" s="15"/>
      <c r="S365" s="15"/>
      <c r="T365" s="15"/>
      <c r="U365" s="15"/>
      <c r="V365" s="243"/>
      <c r="W365" s="15"/>
    </row>
    <row r="366">
      <c r="A366" s="34"/>
      <c r="B366" s="15"/>
      <c r="C366" s="15"/>
      <c r="D366" s="15"/>
      <c r="E366" s="17"/>
      <c r="F366" s="15"/>
      <c r="G366" s="250"/>
      <c r="H366" s="243"/>
      <c r="I366" s="243"/>
      <c r="J366" s="243"/>
      <c r="K366" s="85"/>
      <c r="L366" s="85"/>
      <c r="M366" s="85"/>
      <c r="N366" s="29"/>
      <c r="O366" s="307"/>
      <c r="P366" s="29"/>
      <c r="Q366" s="15"/>
      <c r="R366" s="15"/>
      <c r="S366" s="15"/>
      <c r="T366" s="15"/>
      <c r="U366" s="15"/>
      <c r="V366" s="243"/>
      <c r="W366" s="15"/>
    </row>
    <row r="367">
      <c r="A367" s="34"/>
      <c r="B367" s="15"/>
      <c r="C367" s="15"/>
      <c r="D367" s="15"/>
      <c r="E367" s="17"/>
      <c r="F367" s="15"/>
      <c r="G367" s="250"/>
      <c r="H367" s="243"/>
      <c r="I367" s="243"/>
      <c r="J367" s="243"/>
      <c r="K367" s="85"/>
      <c r="L367" s="85"/>
      <c r="M367" s="85"/>
      <c r="N367" s="29"/>
      <c r="O367" s="307"/>
      <c r="P367" s="29"/>
      <c r="Q367" s="15"/>
      <c r="R367" s="15"/>
      <c r="S367" s="15"/>
      <c r="T367" s="15"/>
      <c r="U367" s="15"/>
      <c r="V367" s="243"/>
      <c r="W367" s="15"/>
    </row>
    <row r="368">
      <c r="A368" s="34"/>
      <c r="B368" s="15"/>
      <c r="C368" s="15"/>
      <c r="D368" s="15"/>
      <c r="E368" s="17"/>
      <c r="F368" s="15"/>
      <c r="G368" s="250"/>
      <c r="H368" s="243"/>
      <c r="I368" s="243"/>
      <c r="J368" s="243"/>
      <c r="K368" s="85"/>
      <c r="L368" s="85"/>
      <c r="M368" s="85"/>
      <c r="N368" s="29"/>
      <c r="O368" s="307"/>
      <c r="P368" s="29"/>
      <c r="Q368" s="15"/>
      <c r="R368" s="15"/>
      <c r="S368" s="15"/>
      <c r="T368" s="15"/>
      <c r="U368" s="15"/>
      <c r="V368" s="243"/>
      <c r="W368" s="15"/>
    </row>
    <row r="369">
      <c r="A369" s="34"/>
      <c r="B369" s="15"/>
      <c r="C369" s="15"/>
      <c r="D369" s="15"/>
      <c r="E369" s="17"/>
      <c r="F369" s="15"/>
      <c r="G369" s="250"/>
      <c r="H369" s="243"/>
      <c r="I369" s="243"/>
      <c r="J369" s="243"/>
      <c r="K369" s="85"/>
      <c r="L369" s="85"/>
      <c r="M369" s="85"/>
      <c r="N369" s="29"/>
      <c r="O369" s="307"/>
      <c r="P369" s="29"/>
      <c r="Q369" s="15"/>
      <c r="R369" s="15"/>
      <c r="S369" s="15"/>
      <c r="T369" s="15"/>
      <c r="U369" s="15"/>
      <c r="V369" s="243"/>
      <c r="W369" s="15"/>
    </row>
    <row r="370">
      <c r="A370" s="34"/>
      <c r="B370" s="15"/>
      <c r="C370" s="15"/>
      <c r="D370" s="15"/>
      <c r="E370" s="17"/>
      <c r="F370" s="15"/>
      <c r="G370" s="250"/>
      <c r="H370" s="243"/>
      <c r="I370" s="243"/>
      <c r="J370" s="243"/>
      <c r="K370" s="85"/>
      <c r="L370" s="85"/>
      <c r="M370" s="85"/>
      <c r="N370" s="29"/>
      <c r="O370" s="307"/>
      <c r="P370" s="29"/>
      <c r="Q370" s="15"/>
      <c r="R370" s="15"/>
      <c r="S370" s="15"/>
      <c r="T370" s="15"/>
      <c r="U370" s="15"/>
      <c r="V370" s="243"/>
      <c r="W370" s="15"/>
    </row>
    <row r="371">
      <c r="A371" s="34"/>
      <c r="B371" s="15"/>
      <c r="C371" s="15"/>
      <c r="D371" s="15"/>
      <c r="E371" s="17"/>
      <c r="F371" s="15"/>
      <c r="G371" s="250"/>
      <c r="H371" s="243"/>
      <c r="I371" s="243"/>
      <c r="J371" s="243"/>
      <c r="K371" s="85"/>
      <c r="L371" s="85"/>
      <c r="M371" s="85"/>
      <c r="N371" s="29"/>
      <c r="O371" s="307"/>
      <c r="P371" s="29"/>
      <c r="Q371" s="15"/>
      <c r="R371" s="15"/>
      <c r="S371" s="15"/>
      <c r="T371" s="15"/>
      <c r="U371" s="15"/>
      <c r="V371" s="243"/>
      <c r="W371" s="15"/>
    </row>
    <row r="372">
      <c r="A372" s="34"/>
      <c r="B372" s="15"/>
      <c r="C372" s="15"/>
      <c r="D372" s="15"/>
      <c r="E372" s="17"/>
      <c r="F372" s="15"/>
      <c r="G372" s="250"/>
      <c r="H372" s="243"/>
      <c r="I372" s="243"/>
      <c r="J372" s="243"/>
      <c r="K372" s="85"/>
      <c r="L372" s="85"/>
      <c r="M372" s="85"/>
      <c r="N372" s="29"/>
      <c r="O372" s="307"/>
      <c r="P372" s="29"/>
      <c r="Q372" s="15"/>
      <c r="R372" s="15"/>
      <c r="S372" s="15"/>
      <c r="T372" s="15"/>
      <c r="U372" s="15"/>
      <c r="V372" s="243"/>
      <c r="W372" s="15"/>
    </row>
    <row r="373">
      <c r="A373" s="34"/>
      <c r="B373" s="15"/>
      <c r="C373" s="15"/>
      <c r="D373" s="15"/>
      <c r="E373" s="17"/>
      <c r="F373" s="15"/>
      <c r="G373" s="250"/>
      <c r="H373" s="243"/>
      <c r="I373" s="243"/>
      <c r="J373" s="243"/>
      <c r="K373" s="85"/>
      <c r="L373" s="85"/>
      <c r="M373" s="85"/>
      <c r="N373" s="29"/>
      <c r="O373" s="307"/>
      <c r="P373" s="29"/>
      <c r="Q373" s="15"/>
      <c r="R373" s="15"/>
      <c r="S373" s="15"/>
      <c r="T373" s="15"/>
      <c r="U373" s="15"/>
      <c r="V373" s="243"/>
      <c r="W373" s="15"/>
    </row>
    <row r="374">
      <c r="A374" s="34"/>
      <c r="B374" s="15"/>
      <c r="C374" s="15"/>
      <c r="D374" s="15"/>
      <c r="E374" s="17"/>
      <c r="F374" s="15"/>
      <c r="G374" s="250"/>
      <c r="H374" s="243"/>
      <c r="I374" s="243"/>
      <c r="J374" s="243"/>
      <c r="K374" s="85"/>
      <c r="L374" s="85"/>
      <c r="M374" s="85"/>
      <c r="N374" s="29"/>
      <c r="O374" s="307"/>
      <c r="P374" s="29"/>
      <c r="Q374" s="15"/>
      <c r="R374" s="15"/>
      <c r="S374" s="15"/>
      <c r="T374" s="15"/>
      <c r="U374" s="15"/>
      <c r="V374" s="243"/>
      <c r="W374" s="15"/>
    </row>
    <row r="375">
      <c r="A375" s="34"/>
      <c r="B375" s="15"/>
      <c r="C375" s="15"/>
      <c r="D375" s="15"/>
      <c r="E375" s="17"/>
      <c r="F375" s="15"/>
      <c r="G375" s="250"/>
      <c r="H375" s="243"/>
      <c r="I375" s="243"/>
      <c r="J375" s="243"/>
      <c r="K375" s="85"/>
      <c r="L375" s="85"/>
      <c r="M375" s="85"/>
      <c r="N375" s="29"/>
      <c r="O375" s="307"/>
      <c r="P375" s="29"/>
      <c r="Q375" s="15"/>
      <c r="R375" s="15"/>
      <c r="S375" s="15"/>
      <c r="T375" s="15"/>
      <c r="U375" s="15"/>
      <c r="V375" s="243"/>
      <c r="W375" s="15"/>
    </row>
    <row r="376">
      <c r="A376" s="34"/>
      <c r="B376" s="15"/>
      <c r="C376" s="15"/>
      <c r="D376" s="15"/>
      <c r="E376" s="17"/>
      <c r="F376" s="15"/>
      <c r="G376" s="250"/>
      <c r="H376" s="243"/>
      <c r="I376" s="243"/>
      <c r="J376" s="243"/>
      <c r="K376" s="85"/>
      <c r="L376" s="85"/>
      <c r="M376" s="85"/>
      <c r="N376" s="29"/>
      <c r="O376" s="307"/>
      <c r="P376" s="29"/>
      <c r="Q376" s="15"/>
      <c r="R376" s="15"/>
      <c r="S376" s="15"/>
      <c r="T376" s="15"/>
      <c r="U376" s="15"/>
      <c r="V376" s="243"/>
      <c r="W376" s="15"/>
    </row>
    <row r="377">
      <c r="A377" s="34"/>
      <c r="B377" s="15"/>
      <c r="C377" s="15"/>
      <c r="D377" s="15"/>
      <c r="E377" s="17"/>
      <c r="F377" s="15"/>
      <c r="G377" s="250"/>
      <c r="H377" s="243"/>
      <c r="I377" s="243"/>
      <c r="J377" s="243"/>
      <c r="K377" s="85"/>
      <c r="L377" s="85"/>
      <c r="M377" s="85"/>
      <c r="N377" s="29"/>
      <c r="O377" s="307"/>
      <c r="P377" s="29"/>
      <c r="Q377" s="15"/>
      <c r="R377" s="15"/>
      <c r="S377" s="15"/>
      <c r="T377" s="15"/>
      <c r="U377" s="15"/>
      <c r="V377" s="243"/>
      <c r="W377" s="15"/>
    </row>
    <row r="378">
      <c r="A378" s="34"/>
      <c r="B378" s="15"/>
      <c r="C378" s="15"/>
      <c r="D378" s="15"/>
      <c r="E378" s="17"/>
      <c r="F378" s="15"/>
      <c r="G378" s="250"/>
      <c r="H378" s="243"/>
      <c r="I378" s="243"/>
      <c r="J378" s="243"/>
      <c r="K378" s="85"/>
      <c r="L378" s="85"/>
      <c r="M378" s="85"/>
      <c r="N378" s="29"/>
      <c r="O378" s="307"/>
      <c r="P378" s="29"/>
      <c r="Q378" s="15"/>
      <c r="R378" s="15"/>
      <c r="S378" s="15"/>
      <c r="T378" s="15"/>
      <c r="U378" s="15"/>
      <c r="V378" s="243"/>
      <c r="W378" s="15"/>
    </row>
    <row r="379">
      <c r="A379" s="34"/>
      <c r="B379" s="15"/>
      <c r="C379" s="15"/>
      <c r="D379" s="15"/>
      <c r="E379" s="17"/>
      <c r="F379" s="15"/>
      <c r="G379" s="250"/>
      <c r="H379" s="243"/>
      <c r="I379" s="243"/>
      <c r="J379" s="243"/>
      <c r="K379" s="85"/>
      <c r="L379" s="85"/>
      <c r="M379" s="85"/>
      <c r="N379" s="29"/>
      <c r="O379" s="307"/>
      <c r="P379" s="29"/>
      <c r="Q379" s="15"/>
      <c r="R379" s="15"/>
      <c r="S379" s="15"/>
      <c r="T379" s="15"/>
      <c r="U379" s="15"/>
      <c r="V379" s="243"/>
      <c r="W379" s="15"/>
    </row>
    <row r="380">
      <c r="A380" s="34"/>
      <c r="B380" s="15"/>
      <c r="C380" s="15"/>
      <c r="D380" s="15"/>
      <c r="E380" s="17"/>
      <c r="F380" s="15"/>
      <c r="G380" s="250"/>
      <c r="H380" s="243"/>
      <c r="I380" s="243"/>
      <c r="J380" s="243"/>
      <c r="K380" s="85"/>
      <c r="L380" s="85"/>
      <c r="M380" s="85"/>
      <c r="N380" s="29"/>
      <c r="O380" s="307"/>
      <c r="P380" s="29"/>
      <c r="Q380" s="15"/>
      <c r="R380" s="15"/>
      <c r="S380" s="15"/>
      <c r="T380" s="15"/>
      <c r="U380" s="15"/>
      <c r="V380" s="243"/>
      <c r="W380" s="15"/>
    </row>
    <row r="381">
      <c r="A381" s="34"/>
      <c r="B381" s="15"/>
      <c r="C381" s="15"/>
      <c r="D381" s="15"/>
      <c r="E381" s="17"/>
      <c r="F381" s="15"/>
      <c r="G381" s="250"/>
      <c r="H381" s="243"/>
      <c r="I381" s="243"/>
      <c r="J381" s="243"/>
      <c r="K381" s="85"/>
      <c r="L381" s="85"/>
      <c r="M381" s="85"/>
      <c r="N381" s="29"/>
      <c r="O381" s="307"/>
      <c r="P381" s="29"/>
      <c r="Q381" s="15"/>
      <c r="R381" s="15"/>
      <c r="S381" s="15"/>
      <c r="T381" s="15"/>
      <c r="U381" s="15"/>
      <c r="V381" s="243"/>
      <c r="W381" s="15"/>
    </row>
    <row r="382">
      <c r="A382" s="34"/>
      <c r="B382" s="15"/>
      <c r="C382" s="15"/>
      <c r="D382" s="15"/>
      <c r="E382" s="17"/>
      <c r="F382" s="15"/>
      <c r="G382" s="250"/>
      <c r="H382" s="243"/>
      <c r="I382" s="243"/>
      <c r="J382" s="243"/>
      <c r="K382" s="85"/>
      <c r="L382" s="85"/>
      <c r="M382" s="85"/>
      <c r="N382" s="29"/>
      <c r="O382" s="307"/>
      <c r="P382" s="29"/>
      <c r="Q382" s="15"/>
      <c r="R382" s="15"/>
      <c r="S382" s="15"/>
      <c r="T382" s="15"/>
      <c r="U382" s="15"/>
      <c r="V382" s="243"/>
      <c r="W382" s="15"/>
    </row>
    <row r="383">
      <c r="A383" s="34"/>
      <c r="B383" s="15"/>
      <c r="C383" s="15"/>
      <c r="D383" s="15"/>
      <c r="E383" s="17"/>
      <c r="F383" s="15"/>
      <c r="G383" s="250"/>
      <c r="H383" s="243"/>
      <c r="I383" s="243"/>
      <c r="J383" s="243"/>
      <c r="K383" s="85"/>
      <c r="L383" s="85"/>
      <c r="M383" s="85"/>
      <c r="N383" s="29"/>
      <c r="O383" s="307"/>
      <c r="P383" s="29"/>
      <c r="Q383" s="15"/>
      <c r="R383" s="15"/>
      <c r="S383" s="15"/>
      <c r="T383" s="15"/>
      <c r="U383" s="15"/>
      <c r="V383" s="243"/>
      <c r="W383" s="15"/>
    </row>
    <row r="384">
      <c r="A384" s="34"/>
      <c r="B384" s="15"/>
      <c r="C384" s="15"/>
      <c r="D384" s="15"/>
      <c r="E384" s="17"/>
      <c r="F384" s="15"/>
      <c r="G384" s="250"/>
      <c r="H384" s="243"/>
      <c r="I384" s="243"/>
      <c r="J384" s="243"/>
      <c r="K384" s="85"/>
      <c r="L384" s="85"/>
      <c r="M384" s="85"/>
      <c r="N384" s="29"/>
      <c r="O384" s="307"/>
      <c r="P384" s="29"/>
      <c r="Q384" s="15"/>
      <c r="R384" s="15"/>
      <c r="S384" s="15"/>
      <c r="T384" s="15"/>
      <c r="U384" s="15"/>
      <c r="V384" s="243"/>
      <c r="W384" s="15"/>
    </row>
    <row r="385">
      <c r="A385" s="34"/>
      <c r="B385" s="15"/>
      <c r="C385" s="15"/>
      <c r="D385" s="15"/>
      <c r="E385" s="17"/>
      <c r="F385" s="15"/>
      <c r="G385" s="250"/>
      <c r="H385" s="243"/>
      <c r="I385" s="243"/>
      <c r="J385" s="243"/>
      <c r="K385" s="85"/>
      <c r="L385" s="85"/>
      <c r="M385" s="85"/>
      <c r="N385" s="29"/>
      <c r="O385" s="307"/>
      <c r="P385" s="29"/>
      <c r="Q385" s="15"/>
      <c r="R385" s="15"/>
      <c r="S385" s="15"/>
      <c r="T385" s="15"/>
      <c r="U385" s="15"/>
      <c r="V385" s="243"/>
      <c r="W385" s="15"/>
    </row>
    <row r="386">
      <c r="A386" s="34"/>
      <c r="B386" s="15"/>
      <c r="C386" s="15"/>
      <c r="D386" s="15"/>
      <c r="E386" s="17"/>
      <c r="F386" s="15"/>
      <c r="G386" s="250"/>
      <c r="H386" s="243"/>
      <c r="I386" s="243"/>
      <c r="J386" s="243"/>
      <c r="K386" s="85"/>
      <c r="L386" s="85"/>
      <c r="M386" s="85"/>
      <c r="N386" s="29"/>
      <c r="O386" s="307"/>
      <c r="P386" s="29"/>
      <c r="Q386" s="15"/>
      <c r="R386" s="15"/>
      <c r="S386" s="15"/>
      <c r="T386" s="15"/>
      <c r="U386" s="15"/>
      <c r="V386" s="243"/>
      <c r="W386" s="15"/>
    </row>
    <row r="387">
      <c r="A387" s="34"/>
      <c r="B387" s="15"/>
      <c r="C387" s="15"/>
      <c r="D387" s="15"/>
      <c r="E387" s="17"/>
      <c r="F387" s="15"/>
      <c r="G387" s="250"/>
      <c r="H387" s="243"/>
      <c r="I387" s="243"/>
      <c r="J387" s="243"/>
      <c r="K387" s="85"/>
      <c r="L387" s="85"/>
      <c r="M387" s="85"/>
      <c r="N387" s="29"/>
      <c r="O387" s="307"/>
      <c r="P387" s="29"/>
      <c r="Q387" s="15"/>
      <c r="R387" s="15"/>
      <c r="S387" s="15"/>
      <c r="T387" s="15"/>
      <c r="U387" s="15"/>
      <c r="V387" s="243"/>
      <c r="W387" s="15"/>
    </row>
    <row r="388">
      <c r="A388" s="34"/>
      <c r="B388" s="15"/>
      <c r="C388" s="15"/>
      <c r="D388" s="15"/>
      <c r="E388" s="17"/>
      <c r="F388" s="15"/>
      <c r="G388" s="250"/>
      <c r="H388" s="243"/>
      <c r="I388" s="243"/>
      <c r="J388" s="243"/>
      <c r="K388" s="85"/>
      <c r="L388" s="85"/>
      <c r="M388" s="85"/>
      <c r="N388" s="29"/>
      <c r="O388" s="307"/>
      <c r="P388" s="29"/>
      <c r="Q388" s="15"/>
      <c r="R388" s="15"/>
      <c r="S388" s="15"/>
      <c r="T388" s="15"/>
      <c r="U388" s="15"/>
      <c r="V388" s="243"/>
      <c r="W388" s="15"/>
    </row>
    <row r="389">
      <c r="A389" s="34"/>
      <c r="B389" s="15"/>
      <c r="C389" s="15"/>
      <c r="D389" s="15"/>
      <c r="E389" s="17"/>
      <c r="F389" s="15"/>
      <c r="G389" s="250"/>
      <c r="H389" s="243"/>
      <c r="I389" s="243"/>
      <c r="J389" s="243"/>
      <c r="K389" s="85"/>
      <c r="L389" s="85"/>
      <c r="M389" s="85"/>
      <c r="N389" s="29"/>
      <c r="O389" s="307"/>
      <c r="P389" s="29"/>
      <c r="Q389" s="15"/>
      <c r="R389" s="15"/>
      <c r="S389" s="15"/>
      <c r="T389" s="15"/>
      <c r="U389" s="15"/>
      <c r="V389" s="243"/>
      <c r="W389" s="15"/>
    </row>
    <row r="390">
      <c r="A390" s="34"/>
      <c r="B390" s="15"/>
      <c r="C390" s="15"/>
      <c r="D390" s="15"/>
      <c r="E390" s="17"/>
      <c r="F390" s="15"/>
      <c r="G390" s="250"/>
      <c r="H390" s="243"/>
      <c r="I390" s="243"/>
      <c r="J390" s="243"/>
      <c r="K390" s="85"/>
      <c r="L390" s="85"/>
      <c r="M390" s="85"/>
      <c r="N390" s="29"/>
      <c r="O390" s="307"/>
      <c r="P390" s="29"/>
      <c r="Q390" s="15"/>
      <c r="R390" s="15"/>
      <c r="S390" s="15"/>
      <c r="T390" s="15"/>
      <c r="U390" s="15"/>
      <c r="V390" s="243"/>
      <c r="W390" s="15"/>
    </row>
    <row r="391">
      <c r="A391" s="34"/>
      <c r="B391" s="15"/>
      <c r="C391" s="15"/>
      <c r="D391" s="15"/>
      <c r="E391" s="17"/>
      <c r="F391" s="15"/>
      <c r="G391" s="250"/>
      <c r="H391" s="243"/>
      <c r="I391" s="243"/>
      <c r="J391" s="243"/>
      <c r="K391" s="85"/>
      <c r="L391" s="85"/>
      <c r="M391" s="85"/>
      <c r="N391" s="29"/>
      <c r="O391" s="307"/>
      <c r="P391" s="29"/>
      <c r="Q391" s="15"/>
      <c r="R391" s="15"/>
      <c r="S391" s="15"/>
      <c r="T391" s="15"/>
      <c r="U391" s="15"/>
      <c r="V391" s="243"/>
      <c r="W391" s="15"/>
    </row>
    <row r="392">
      <c r="A392" s="34"/>
      <c r="B392" s="15"/>
      <c r="C392" s="15"/>
      <c r="D392" s="15"/>
      <c r="E392" s="17"/>
      <c r="F392" s="15"/>
      <c r="G392" s="250"/>
      <c r="H392" s="243"/>
      <c r="I392" s="243"/>
      <c r="J392" s="243"/>
      <c r="K392" s="85"/>
      <c r="L392" s="85"/>
      <c r="M392" s="85"/>
      <c r="N392" s="29"/>
      <c r="O392" s="307"/>
      <c r="P392" s="29"/>
      <c r="Q392" s="15"/>
      <c r="R392" s="15"/>
      <c r="S392" s="15"/>
      <c r="T392" s="15"/>
      <c r="U392" s="15"/>
      <c r="V392" s="243"/>
      <c r="W392" s="15"/>
    </row>
    <row r="393">
      <c r="A393" s="34"/>
      <c r="B393" s="15"/>
      <c r="C393" s="15"/>
      <c r="D393" s="15"/>
      <c r="E393" s="17"/>
      <c r="F393" s="15"/>
      <c r="G393" s="250"/>
      <c r="H393" s="243"/>
      <c r="I393" s="243"/>
      <c r="J393" s="243"/>
      <c r="K393" s="85"/>
      <c r="L393" s="85"/>
      <c r="M393" s="85"/>
      <c r="N393" s="29"/>
      <c r="O393" s="307"/>
      <c r="P393" s="29"/>
      <c r="Q393" s="15"/>
      <c r="R393" s="15"/>
      <c r="S393" s="15"/>
      <c r="T393" s="15"/>
      <c r="U393" s="15"/>
      <c r="V393" s="243"/>
      <c r="W393" s="15"/>
    </row>
    <row r="394">
      <c r="A394" s="34"/>
      <c r="B394" s="15"/>
      <c r="C394" s="15"/>
      <c r="D394" s="15"/>
      <c r="E394" s="17"/>
      <c r="F394" s="15"/>
      <c r="G394" s="250"/>
      <c r="H394" s="243"/>
      <c r="I394" s="243"/>
      <c r="J394" s="243"/>
      <c r="K394" s="85"/>
      <c r="L394" s="85"/>
      <c r="M394" s="85"/>
      <c r="N394" s="29"/>
      <c r="O394" s="307"/>
      <c r="P394" s="29"/>
      <c r="Q394" s="15"/>
      <c r="R394" s="15"/>
      <c r="S394" s="15"/>
      <c r="T394" s="15"/>
      <c r="U394" s="15"/>
      <c r="V394" s="243"/>
      <c r="W394" s="15"/>
    </row>
    <row r="395">
      <c r="A395" s="34"/>
      <c r="B395" s="15"/>
      <c r="C395" s="15"/>
      <c r="D395" s="15"/>
      <c r="E395" s="17"/>
      <c r="F395" s="15"/>
      <c r="G395" s="250"/>
      <c r="H395" s="243"/>
      <c r="I395" s="243"/>
      <c r="J395" s="243"/>
      <c r="K395" s="85"/>
      <c r="L395" s="85"/>
      <c r="M395" s="85"/>
      <c r="N395" s="29"/>
      <c r="O395" s="307"/>
      <c r="P395" s="29"/>
      <c r="Q395" s="15"/>
      <c r="R395" s="15"/>
      <c r="S395" s="15"/>
      <c r="T395" s="15"/>
      <c r="U395" s="15"/>
      <c r="V395" s="243"/>
      <c r="W395" s="15"/>
    </row>
    <row r="396">
      <c r="A396" s="34"/>
      <c r="B396" s="15"/>
      <c r="C396" s="15"/>
      <c r="D396" s="15"/>
      <c r="E396" s="17"/>
      <c r="F396" s="15"/>
      <c r="G396" s="250"/>
      <c r="H396" s="243"/>
      <c r="I396" s="243"/>
      <c r="J396" s="243"/>
      <c r="K396" s="85"/>
      <c r="L396" s="85"/>
      <c r="M396" s="85"/>
      <c r="N396" s="29"/>
      <c r="O396" s="307"/>
      <c r="P396" s="29"/>
      <c r="Q396" s="15"/>
      <c r="R396" s="15"/>
      <c r="S396" s="15"/>
      <c r="T396" s="15"/>
      <c r="U396" s="15"/>
      <c r="V396" s="243"/>
      <c r="W396" s="15"/>
    </row>
    <row r="397">
      <c r="A397" s="34"/>
      <c r="B397" s="15"/>
      <c r="C397" s="15"/>
      <c r="D397" s="15"/>
      <c r="E397" s="17"/>
      <c r="F397" s="15"/>
      <c r="G397" s="250"/>
      <c r="H397" s="243"/>
      <c r="I397" s="243"/>
      <c r="J397" s="243"/>
      <c r="K397" s="85"/>
      <c r="L397" s="85"/>
      <c r="M397" s="85"/>
      <c r="N397" s="29"/>
      <c r="O397" s="307"/>
      <c r="P397" s="29"/>
      <c r="Q397" s="15"/>
      <c r="R397" s="15"/>
      <c r="S397" s="15"/>
      <c r="T397" s="15"/>
      <c r="U397" s="15"/>
      <c r="V397" s="243"/>
      <c r="W397" s="15"/>
    </row>
    <row r="398">
      <c r="A398" s="34"/>
      <c r="B398" s="15"/>
      <c r="C398" s="15"/>
      <c r="D398" s="15"/>
      <c r="E398" s="17"/>
      <c r="F398" s="15"/>
      <c r="G398" s="250"/>
      <c r="H398" s="243"/>
      <c r="I398" s="243"/>
      <c r="J398" s="243"/>
      <c r="K398" s="85"/>
      <c r="L398" s="85"/>
      <c r="M398" s="85"/>
      <c r="N398" s="29"/>
      <c r="O398" s="307"/>
      <c r="P398" s="29"/>
      <c r="Q398" s="15"/>
      <c r="R398" s="15"/>
      <c r="S398" s="15"/>
      <c r="T398" s="15"/>
      <c r="U398" s="15"/>
      <c r="V398" s="243"/>
      <c r="W398" s="15"/>
    </row>
    <row r="399">
      <c r="A399" s="34"/>
      <c r="B399" s="15"/>
      <c r="C399" s="15"/>
      <c r="D399" s="15"/>
      <c r="E399" s="17"/>
      <c r="F399" s="15"/>
      <c r="G399" s="250"/>
      <c r="H399" s="243"/>
      <c r="I399" s="243"/>
      <c r="J399" s="243"/>
      <c r="K399" s="85"/>
      <c r="L399" s="85"/>
      <c r="M399" s="85"/>
      <c r="N399" s="29"/>
      <c r="O399" s="307"/>
      <c r="P399" s="29"/>
      <c r="Q399" s="15"/>
      <c r="R399" s="15"/>
      <c r="S399" s="15"/>
      <c r="T399" s="15"/>
      <c r="U399" s="15"/>
      <c r="V399" s="243"/>
      <c r="W399" s="15"/>
    </row>
    <row r="400">
      <c r="A400" s="34"/>
      <c r="B400" s="15"/>
      <c r="C400" s="15"/>
      <c r="D400" s="15"/>
      <c r="E400" s="17"/>
      <c r="F400" s="15"/>
      <c r="G400" s="250"/>
      <c r="H400" s="243"/>
      <c r="I400" s="243"/>
      <c r="J400" s="243"/>
      <c r="K400" s="85"/>
      <c r="L400" s="85"/>
      <c r="M400" s="85"/>
      <c r="N400" s="29"/>
      <c r="O400" s="307"/>
      <c r="P400" s="29"/>
      <c r="Q400" s="15"/>
      <c r="R400" s="15"/>
      <c r="S400" s="15"/>
      <c r="T400" s="15"/>
      <c r="U400" s="15"/>
      <c r="V400" s="243"/>
      <c r="W400" s="15"/>
    </row>
    <row r="401">
      <c r="A401" s="34"/>
      <c r="B401" s="15"/>
      <c r="C401" s="15"/>
      <c r="D401" s="15"/>
      <c r="E401" s="17"/>
      <c r="F401" s="15"/>
      <c r="G401" s="250"/>
      <c r="H401" s="243"/>
      <c r="I401" s="243"/>
      <c r="J401" s="243"/>
      <c r="K401" s="85"/>
      <c r="L401" s="85"/>
      <c r="M401" s="85"/>
      <c r="N401" s="29"/>
      <c r="O401" s="307"/>
      <c r="P401" s="29"/>
      <c r="Q401" s="15"/>
      <c r="R401" s="15"/>
      <c r="S401" s="15"/>
      <c r="T401" s="15"/>
      <c r="U401" s="15"/>
      <c r="V401" s="243"/>
      <c r="W401" s="15"/>
    </row>
    <row r="402">
      <c r="A402" s="34"/>
      <c r="B402" s="15"/>
      <c r="C402" s="15"/>
      <c r="D402" s="15"/>
      <c r="E402" s="17"/>
      <c r="F402" s="15"/>
      <c r="G402" s="250"/>
      <c r="H402" s="243"/>
      <c r="I402" s="243"/>
      <c r="J402" s="243"/>
      <c r="K402" s="85"/>
      <c r="L402" s="85"/>
      <c r="M402" s="85"/>
      <c r="N402" s="29"/>
      <c r="O402" s="307"/>
      <c r="P402" s="29"/>
      <c r="Q402" s="15"/>
      <c r="R402" s="15"/>
      <c r="S402" s="15"/>
      <c r="T402" s="15"/>
      <c r="U402" s="15"/>
      <c r="V402" s="243"/>
      <c r="W402" s="15"/>
    </row>
    <row r="403">
      <c r="A403" s="34"/>
      <c r="B403" s="15"/>
      <c r="C403" s="15"/>
      <c r="D403" s="15"/>
      <c r="E403" s="17"/>
      <c r="F403" s="15"/>
      <c r="G403" s="250"/>
      <c r="H403" s="243"/>
      <c r="I403" s="243"/>
      <c r="J403" s="243"/>
      <c r="K403" s="85"/>
      <c r="L403" s="85"/>
      <c r="M403" s="85"/>
      <c r="N403" s="29"/>
      <c r="O403" s="307"/>
      <c r="P403" s="29"/>
      <c r="Q403" s="15"/>
      <c r="R403" s="15"/>
      <c r="S403" s="15"/>
      <c r="T403" s="15"/>
      <c r="U403" s="15"/>
      <c r="V403" s="243"/>
      <c r="W403" s="15"/>
    </row>
    <row r="404">
      <c r="A404" s="34"/>
      <c r="B404" s="15"/>
      <c r="C404" s="15"/>
      <c r="D404" s="15"/>
      <c r="E404" s="17"/>
      <c r="F404" s="15"/>
      <c r="G404" s="250"/>
      <c r="H404" s="243"/>
      <c r="I404" s="243"/>
      <c r="J404" s="243"/>
      <c r="K404" s="85"/>
      <c r="L404" s="85"/>
      <c r="M404" s="85"/>
      <c r="N404" s="29"/>
      <c r="O404" s="307"/>
      <c r="P404" s="29"/>
      <c r="Q404" s="15"/>
      <c r="R404" s="15"/>
      <c r="S404" s="15"/>
      <c r="T404" s="15"/>
      <c r="U404" s="15"/>
      <c r="V404" s="243"/>
      <c r="W404" s="15"/>
    </row>
    <row r="405">
      <c r="A405" s="34"/>
      <c r="B405" s="15"/>
      <c r="C405" s="15"/>
      <c r="D405" s="15"/>
      <c r="E405" s="17"/>
      <c r="F405" s="15"/>
      <c r="G405" s="250"/>
      <c r="H405" s="243"/>
      <c r="I405" s="243"/>
      <c r="J405" s="243"/>
      <c r="K405" s="85"/>
      <c r="L405" s="85"/>
      <c r="M405" s="85"/>
      <c r="N405" s="29"/>
      <c r="O405" s="307"/>
      <c r="P405" s="29"/>
      <c r="Q405" s="15"/>
      <c r="R405" s="15"/>
      <c r="S405" s="15"/>
      <c r="T405" s="15"/>
      <c r="U405" s="15"/>
      <c r="V405" s="243"/>
      <c r="W405" s="15"/>
    </row>
    <row r="406">
      <c r="A406" s="34"/>
      <c r="B406" s="15"/>
      <c r="C406" s="15"/>
      <c r="D406" s="15"/>
      <c r="E406" s="17"/>
      <c r="F406" s="15"/>
      <c r="G406" s="250"/>
      <c r="H406" s="243"/>
      <c r="I406" s="243"/>
      <c r="J406" s="243"/>
      <c r="K406" s="85"/>
      <c r="L406" s="85"/>
      <c r="M406" s="85"/>
      <c r="N406" s="29"/>
      <c r="O406" s="307"/>
      <c r="P406" s="29"/>
      <c r="Q406" s="15"/>
      <c r="R406" s="15"/>
      <c r="S406" s="15"/>
      <c r="T406" s="15"/>
      <c r="U406" s="15"/>
      <c r="V406" s="243"/>
      <c r="W406" s="15"/>
    </row>
    <row r="407">
      <c r="A407" s="34"/>
      <c r="B407" s="15"/>
      <c r="C407" s="15"/>
      <c r="D407" s="15"/>
      <c r="E407" s="17"/>
      <c r="F407" s="15"/>
      <c r="G407" s="250"/>
      <c r="H407" s="243"/>
      <c r="I407" s="243"/>
      <c r="J407" s="243"/>
      <c r="K407" s="85"/>
      <c r="L407" s="85"/>
      <c r="M407" s="85"/>
      <c r="N407" s="29"/>
      <c r="O407" s="307"/>
      <c r="P407" s="29"/>
      <c r="Q407" s="15"/>
      <c r="R407" s="15"/>
      <c r="S407" s="15"/>
      <c r="T407" s="15"/>
      <c r="U407" s="15"/>
      <c r="V407" s="243"/>
      <c r="W407" s="15"/>
    </row>
    <row r="408">
      <c r="A408" s="34"/>
      <c r="B408" s="15"/>
      <c r="C408" s="15"/>
      <c r="D408" s="15"/>
      <c r="E408" s="17"/>
      <c r="F408" s="15"/>
      <c r="G408" s="250"/>
      <c r="H408" s="243"/>
      <c r="I408" s="243"/>
      <c r="J408" s="243"/>
      <c r="K408" s="85"/>
      <c r="L408" s="85"/>
      <c r="M408" s="85"/>
      <c r="N408" s="29"/>
      <c r="O408" s="307"/>
      <c r="P408" s="29"/>
      <c r="Q408" s="15"/>
      <c r="R408" s="15"/>
      <c r="S408" s="15"/>
      <c r="T408" s="15"/>
      <c r="U408" s="15"/>
      <c r="V408" s="243"/>
      <c r="W408" s="15"/>
    </row>
    <row r="409">
      <c r="A409" s="34"/>
      <c r="B409" s="15"/>
      <c r="C409" s="15"/>
      <c r="D409" s="15"/>
      <c r="E409" s="17"/>
      <c r="F409" s="15"/>
      <c r="G409" s="250"/>
      <c r="H409" s="243"/>
      <c r="I409" s="243"/>
      <c r="J409" s="243"/>
      <c r="K409" s="85"/>
      <c r="L409" s="85"/>
      <c r="M409" s="85"/>
      <c r="N409" s="29"/>
      <c r="O409" s="307"/>
      <c r="P409" s="29"/>
      <c r="Q409" s="15"/>
      <c r="R409" s="15"/>
      <c r="S409" s="15"/>
      <c r="T409" s="15"/>
      <c r="U409" s="15"/>
      <c r="V409" s="243"/>
      <c r="W409" s="15"/>
    </row>
    <row r="410">
      <c r="A410" s="34"/>
      <c r="B410" s="15"/>
      <c r="C410" s="15"/>
      <c r="D410" s="15"/>
      <c r="E410" s="17"/>
      <c r="F410" s="15"/>
      <c r="G410" s="250"/>
      <c r="H410" s="243"/>
      <c r="I410" s="243"/>
      <c r="J410" s="243"/>
      <c r="K410" s="85"/>
      <c r="L410" s="85"/>
      <c r="M410" s="85"/>
      <c r="N410" s="29"/>
      <c r="O410" s="307"/>
      <c r="P410" s="29"/>
      <c r="Q410" s="15"/>
      <c r="R410" s="15"/>
      <c r="S410" s="15"/>
      <c r="T410" s="15"/>
      <c r="U410" s="15"/>
      <c r="V410" s="243"/>
      <c r="W410" s="15"/>
    </row>
    <row r="411">
      <c r="A411" s="34"/>
      <c r="B411" s="15"/>
      <c r="C411" s="15"/>
      <c r="D411" s="15"/>
      <c r="E411" s="17"/>
      <c r="F411" s="15"/>
      <c r="G411" s="250"/>
      <c r="H411" s="243"/>
      <c r="I411" s="243"/>
      <c r="J411" s="243"/>
      <c r="K411" s="85"/>
      <c r="L411" s="85"/>
      <c r="M411" s="85"/>
      <c r="N411" s="29"/>
      <c r="O411" s="307"/>
      <c r="P411" s="29"/>
      <c r="Q411" s="15"/>
      <c r="R411" s="15"/>
      <c r="S411" s="15"/>
      <c r="T411" s="15"/>
      <c r="U411" s="15"/>
      <c r="V411" s="243"/>
      <c r="W411" s="15"/>
    </row>
    <row r="412">
      <c r="A412" s="34"/>
      <c r="B412" s="15"/>
      <c r="C412" s="15"/>
      <c r="D412" s="15"/>
      <c r="E412" s="17"/>
      <c r="F412" s="15"/>
      <c r="G412" s="250"/>
      <c r="H412" s="243"/>
      <c r="I412" s="243"/>
      <c r="J412" s="243"/>
      <c r="K412" s="85"/>
      <c r="L412" s="85"/>
      <c r="M412" s="85"/>
      <c r="N412" s="29"/>
      <c r="O412" s="307"/>
      <c r="P412" s="29"/>
      <c r="Q412" s="15"/>
      <c r="R412" s="15"/>
      <c r="S412" s="15"/>
      <c r="T412" s="15"/>
      <c r="U412" s="15"/>
      <c r="V412" s="243"/>
      <c r="W412" s="15"/>
    </row>
    <row r="413">
      <c r="A413" s="34"/>
      <c r="B413" s="15"/>
      <c r="C413" s="15"/>
      <c r="D413" s="15"/>
      <c r="E413" s="17"/>
      <c r="F413" s="15"/>
      <c r="G413" s="250"/>
      <c r="H413" s="243"/>
      <c r="I413" s="243"/>
      <c r="J413" s="243"/>
      <c r="K413" s="85"/>
      <c r="L413" s="85"/>
      <c r="M413" s="85"/>
      <c r="N413" s="29"/>
      <c r="O413" s="307"/>
      <c r="P413" s="29"/>
      <c r="Q413" s="15"/>
      <c r="R413" s="15"/>
      <c r="S413" s="15"/>
      <c r="T413" s="15"/>
      <c r="U413" s="15"/>
      <c r="V413" s="243"/>
      <c r="W413" s="15"/>
    </row>
    <row r="414">
      <c r="A414" s="34"/>
      <c r="B414" s="15"/>
      <c r="C414" s="15"/>
      <c r="D414" s="15"/>
      <c r="E414" s="17"/>
      <c r="F414" s="15"/>
      <c r="G414" s="250"/>
      <c r="H414" s="243"/>
      <c r="I414" s="243"/>
      <c r="J414" s="243"/>
      <c r="K414" s="85"/>
      <c r="L414" s="85"/>
      <c r="M414" s="85"/>
      <c r="N414" s="29"/>
      <c r="O414" s="307"/>
      <c r="P414" s="29"/>
      <c r="Q414" s="15"/>
      <c r="R414" s="15"/>
      <c r="S414" s="15"/>
      <c r="T414" s="15"/>
      <c r="U414" s="15"/>
      <c r="V414" s="243"/>
      <c r="W414" s="15"/>
    </row>
    <row r="415">
      <c r="A415" s="34"/>
      <c r="B415" s="15"/>
      <c r="C415" s="15"/>
      <c r="D415" s="15"/>
      <c r="E415" s="17"/>
      <c r="F415" s="15"/>
      <c r="G415" s="250"/>
      <c r="H415" s="243"/>
      <c r="I415" s="243"/>
      <c r="J415" s="243"/>
      <c r="K415" s="85"/>
      <c r="L415" s="85"/>
      <c r="M415" s="85"/>
      <c r="N415" s="29"/>
      <c r="O415" s="307"/>
      <c r="P415" s="29"/>
      <c r="Q415" s="15"/>
      <c r="R415" s="15"/>
      <c r="S415" s="15"/>
      <c r="T415" s="15"/>
      <c r="U415" s="15"/>
      <c r="V415" s="243"/>
      <c r="W415" s="15"/>
    </row>
    <row r="416">
      <c r="A416" s="34"/>
      <c r="B416" s="15"/>
      <c r="C416" s="15"/>
      <c r="D416" s="15"/>
      <c r="E416" s="17"/>
      <c r="F416" s="15"/>
      <c r="G416" s="250"/>
      <c r="H416" s="243"/>
      <c r="I416" s="243"/>
      <c r="J416" s="243"/>
      <c r="K416" s="85"/>
      <c r="L416" s="85"/>
      <c r="M416" s="85"/>
      <c r="N416" s="29"/>
      <c r="O416" s="307"/>
      <c r="P416" s="29"/>
      <c r="Q416" s="15"/>
      <c r="R416" s="15"/>
      <c r="S416" s="15"/>
      <c r="T416" s="15"/>
      <c r="U416" s="15"/>
      <c r="V416" s="243"/>
      <c r="W416" s="15"/>
    </row>
    <row r="417">
      <c r="A417" s="34"/>
      <c r="B417" s="15"/>
      <c r="C417" s="15"/>
      <c r="D417" s="15"/>
      <c r="E417" s="17"/>
      <c r="F417" s="15"/>
      <c r="G417" s="250"/>
      <c r="H417" s="243"/>
      <c r="I417" s="243"/>
      <c r="J417" s="243"/>
      <c r="K417" s="85"/>
      <c r="L417" s="85"/>
      <c r="M417" s="85"/>
      <c r="N417" s="29"/>
      <c r="O417" s="307"/>
      <c r="P417" s="29"/>
      <c r="Q417" s="15"/>
      <c r="R417" s="15"/>
      <c r="S417" s="15"/>
      <c r="T417" s="15"/>
      <c r="U417" s="15"/>
      <c r="V417" s="243"/>
      <c r="W417" s="15"/>
    </row>
    <row r="418">
      <c r="A418" s="34"/>
      <c r="B418" s="15"/>
      <c r="C418" s="15"/>
      <c r="D418" s="15"/>
      <c r="E418" s="17"/>
      <c r="F418" s="15"/>
      <c r="G418" s="250"/>
      <c r="H418" s="243"/>
      <c r="I418" s="243"/>
      <c r="J418" s="243"/>
      <c r="K418" s="85"/>
      <c r="L418" s="85"/>
      <c r="M418" s="85"/>
      <c r="N418" s="29"/>
      <c r="O418" s="307"/>
      <c r="P418" s="29"/>
      <c r="Q418" s="15"/>
      <c r="R418" s="15"/>
      <c r="S418" s="15"/>
      <c r="T418" s="15"/>
      <c r="U418" s="15"/>
      <c r="V418" s="243"/>
      <c r="W418" s="15"/>
    </row>
    <row r="419">
      <c r="A419" s="34"/>
      <c r="B419" s="15"/>
      <c r="C419" s="15"/>
      <c r="D419" s="15"/>
      <c r="E419" s="17"/>
      <c r="F419" s="15"/>
      <c r="G419" s="250"/>
      <c r="H419" s="243"/>
      <c r="I419" s="243"/>
      <c r="J419" s="243"/>
      <c r="K419" s="85"/>
      <c r="L419" s="85"/>
      <c r="M419" s="85"/>
      <c r="N419" s="29"/>
      <c r="O419" s="307"/>
      <c r="P419" s="29"/>
      <c r="Q419" s="15"/>
      <c r="R419" s="15"/>
      <c r="S419" s="15"/>
      <c r="T419" s="15"/>
      <c r="U419" s="15"/>
      <c r="V419" s="243"/>
      <c r="W419" s="15"/>
    </row>
    <row r="420">
      <c r="A420" s="34"/>
      <c r="B420" s="15"/>
      <c r="C420" s="15"/>
      <c r="D420" s="15"/>
      <c r="E420" s="17"/>
      <c r="F420" s="15"/>
      <c r="G420" s="250"/>
      <c r="H420" s="243"/>
      <c r="I420" s="243"/>
      <c r="J420" s="243"/>
      <c r="K420" s="85"/>
      <c r="L420" s="85"/>
      <c r="M420" s="85"/>
      <c r="N420" s="29"/>
      <c r="O420" s="307"/>
      <c r="P420" s="29"/>
      <c r="Q420" s="15"/>
      <c r="R420" s="15"/>
      <c r="S420" s="15"/>
      <c r="T420" s="15"/>
      <c r="U420" s="15"/>
      <c r="V420" s="243"/>
      <c r="W420" s="15"/>
    </row>
    <row r="421">
      <c r="A421" s="34"/>
      <c r="B421" s="15"/>
      <c r="C421" s="15"/>
      <c r="D421" s="15"/>
      <c r="E421" s="17"/>
      <c r="F421" s="15"/>
      <c r="G421" s="250"/>
      <c r="H421" s="243"/>
      <c r="I421" s="243"/>
      <c r="J421" s="243"/>
      <c r="K421" s="85"/>
      <c r="L421" s="85"/>
      <c r="M421" s="85"/>
      <c r="N421" s="29"/>
      <c r="O421" s="307"/>
      <c r="P421" s="29"/>
      <c r="Q421" s="15"/>
      <c r="R421" s="15"/>
      <c r="S421" s="15"/>
      <c r="T421" s="15"/>
      <c r="U421" s="15"/>
      <c r="V421" s="243"/>
      <c r="W421" s="15"/>
    </row>
    <row r="422">
      <c r="A422" s="34"/>
      <c r="B422" s="15"/>
      <c r="C422" s="15"/>
      <c r="D422" s="15"/>
      <c r="E422" s="17"/>
      <c r="F422" s="15"/>
      <c r="G422" s="250"/>
      <c r="H422" s="243"/>
      <c r="I422" s="243"/>
      <c r="J422" s="243"/>
      <c r="K422" s="85"/>
      <c r="L422" s="85"/>
      <c r="M422" s="85"/>
      <c r="N422" s="29"/>
      <c r="O422" s="307"/>
      <c r="P422" s="29"/>
      <c r="Q422" s="15"/>
      <c r="R422" s="15"/>
      <c r="S422" s="15"/>
      <c r="T422" s="15"/>
      <c r="U422" s="15"/>
      <c r="V422" s="243"/>
      <c r="W422" s="15"/>
    </row>
    <row r="423">
      <c r="A423" s="34"/>
      <c r="B423" s="15"/>
      <c r="C423" s="15"/>
      <c r="D423" s="15"/>
      <c r="E423" s="17"/>
      <c r="F423" s="15"/>
      <c r="G423" s="250"/>
      <c r="H423" s="243"/>
      <c r="I423" s="243"/>
      <c r="J423" s="243"/>
      <c r="K423" s="85"/>
      <c r="L423" s="85"/>
      <c r="M423" s="85"/>
      <c r="N423" s="29"/>
      <c r="O423" s="307"/>
      <c r="P423" s="29"/>
      <c r="Q423" s="15"/>
      <c r="R423" s="15"/>
      <c r="S423" s="15"/>
      <c r="T423" s="15"/>
      <c r="U423" s="15"/>
      <c r="V423" s="243"/>
      <c r="W423" s="15"/>
    </row>
    <row r="424">
      <c r="A424" s="34"/>
      <c r="B424" s="15"/>
      <c r="C424" s="15"/>
      <c r="D424" s="15"/>
      <c r="E424" s="17"/>
      <c r="F424" s="15"/>
      <c r="G424" s="250"/>
      <c r="H424" s="243"/>
      <c r="I424" s="243"/>
      <c r="J424" s="243"/>
      <c r="K424" s="85"/>
      <c r="L424" s="85"/>
      <c r="M424" s="85"/>
      <c r="N424" s="29"/>
      <c r="O424" s="307"/>
      <c r="P424" s="29"/>
      <c r="Q424" s="15"/>
      <c r="R424" s="15"/>
      <c r="S424" s="15"/>
      <c r="T424" s="15"/>
      <c r="U424" s="15"/>
      <c r="V424" s="243"/>
      <c r="W424" s="15"/>
    </row>
    <row r="425">
      <c r="A425" s="34"/>
      <c r="B425" s="15"/>
      <c r="C425" s="15"/>
      <c r="D425" s="15"/>
      <c r="E425" s="17"/>
      <c r="F425" s="15"/>
      <c r="G425" s="250"/>
      <c r="H425" s="243"/>
      <c r="I425" s="243"/>
      <c r="J425" s="243"/>
      <c r="K425" s="85"/>
      <c r="L425" s="85"/>
      <c r="M425" s="85"/>
      <c r="N425" s="29"/>
      <c r="O425" s="307"/>
      <c r="P425" s="29"/>
      <c r="Q425" s="15"/>
      <c r="R425" s="15"/>
      <c r="S425" s="15"/>
      <c r="T425" s="15"/>
      <c r="U425" s="15"/>
      <c r="V425" s="243"/>
      <c r="W425" s="15"/>
    </row>
    <row r="426">
      <c r="A426" s="34"/>
      <c r="B426" s="15"/>
      <c r="C426" s="15"/>
      <c r="D426" s="15"/>
      <c r="E426" s="17"/>
      <c r="F426" s="15"/>
      <c r="G426" s="250"/>
      <c r="H426" s="243"/>
      <c r="I426" s="243"/>
      <c r="J426" s="243"/>
      <c r="K426" s="85"/>
      <c r="L426" s="85"/>
      <c r="M426" s="85"/>
      <c r="N426" s="29"/>
      <c r="O426" s="307"/>
      <c r="P426" s="29"/>
      <c r="Q426" s="15"/>
      <c r="R426" s="15"/>
      <c r="S426" s="15"/>
      <c r="T426" s="15"/>
      <c r="U426" s="15"/>
      <c r="V426" s="243"/>
      <c r="W426" s="15"/>
    </row>
    <row r="427">
      <c r="A427" s="34"/>
      <c r="B427" s="15"/>
      <c r="C427" s="15"/>
      <c r="D427" s="15"/>
      <c r="E427" s="17"/>
      <c r="F427" s="15"/>
      <c r="G427" s="250"/>
      <c r="H427" s="243"/>
      <c r="I427" s="243"/>
      <c r="J427" s="243"/>
      <c r="K427" s="85"/>
      <c r="L427" s="85"/>
      <c r="M427" s="85"/>
      <c r="N427" s="29"/>
      <c r="O427" s="307"/>
      <c r="P427" s="29"/>
      <c r="Q427" s="15"/>
      <c r="R427" s="15"/>
      <c r="S427" s="15"/>
      <c r="T427" s="15"/>
      <c r="U427" s="15"/>
      <c r="V427" s="243"/>
      <c r="W427" s="15"/>
    </row>
    <row r="428">
      <c r="A428" s="34"/>
      <c r="B428" s="15"/>
      <c r="C428" s="15"/>
      <c r="D428" s="15"/>
      <c r="E428" s="17"/>
      <c r="F428" s="15"/>
      <c r="G428" s="250"/>
      <c r="H428" s="243"/>
      <c r="I428" s="243"/>
      <c r="J428" s="243"/>
      <c r="K428" s="85"/>
      <c r="L428" s="85"/>
      <c r="M428" s="85"/>
      <c r="N428" s="29"/>
      <c r="O428" s="307"/>
      <c r="P428" s="29"/>
      <c r="Q428" s="15"/>
      <c r="R428" s="15"/>
      <c r="S428" s="15"/>
      <c r="T428" s="15"/>
      <c r="U428" s="15"/>
      <c r="V428" s="243"/>
      <c r="W428" s="15"/>
    </row>
    <row r="429">
      <c r="A429" s="34"/>
      <c r="B429" s="15"/>
      <c r="C429" s="15"/>
      <c r="D429" s="15"/>
      <c r="E429" s="17"/>
      <c r="F429" s="15"/>
      <c r="G429" s="250"/>
      <c r="H429" s="243"/>
      <c r="I429" s="243"/>
      <c r="J429" s="243"/>
      <c r="K429" s="85"/>
      <c r="L429" s="85"/>
      <c r="M429" s="85"/>
      <c r="N429" s="29"/>
      <c r="O429" s="307"/>
      <c r="P429" s="29"/>
      <c r="Q429" s="15"/>
      <c r="R429" s="15"/>
      <c r="S429" s="15"/>
      <c r="T429" s="15"/>
      <c r="U429" s="15"/>
      <c r="V429" s="243"/>
      <c r="W429" s="15"/>
    </row>
    <row r="430">
      <c r="A430" s="34"/>
      <c r="B430" s="15"/>
      <c r="C430" s="15"/>
      <c r="D430" s="15"/>
      <c r="E430" s="17"/>
      <c r="F430" s="15"/>
      <c r="G430" s="250"/>
      <c r="H430" s="243"/>
      <c r="I430" s="243"/>
      <c r="J430" s="243"/>
      <c r="K430" s="85"/>
      <c r="L430" s="85"/>
      <c r="M430" s="85"/>
      <c r="N430" s="29"/>
      <c r="O430" s="307"/>
      <c r="P430" s="29"/>
      <c r="Q430" s="15"/>
      <c r="R430" s="15"/>
      <c r="S430" s="15"/>
      <c r="T430" s="15"/>
      <c r="U430" s="15"/>
      <c r="V430" s="243"/>
      <c r="W430" s="15"/>
    </row>
    <row r="431">
      <c r="A431" s="34"/>
      <c r="B431" s="15"/>
      <c r="C431" s="15"/>
      <c r="D431" s="15"/>
      <c r="E431" s="17"/>
      <c r="F431" s="15"/>
      <c r="G431" s="250"/>
      <c r="H431" s="243"/>
      <c r="I431" s="243"/>
      <c r="J431" s="243"/>
      <c r="K431" s="85"/>
      <c r="L431" s="85"/>
      <c r="M431" s="85"/>
      <c r="N431" s="29"/>
      <c r="O431" s="307"/>
      <c r="P431" s="29"/>
      <c r="Q431" s="15"/>
      <c r="R431" s="15"/>
      <c r="S431" s="15"/>
      <c r="T431" s="15"/>
      <c r="U431" s="15"/>
      <c r="V431" s="243"/>
      <c r="W431" s="15"/>
    </row>
    <row r="432">
      <c r="A432" s="34"/>
      <c r="B432" s="15"/>
      <c r="C432" s="15"/>
      <c r="D432" s="15"/>
      <c r="E432" s="17"/>
      <c r="F432" s="15"/>
      <c r="G432" s="250"/>
      <c r="H432" s="243"/>
      <c r="I432" s="243"/>
      <c r="J432" s="243"/>
      <c r="K432" s="85"/>
      <c r="L432" s="85"/>
      <c r="M432" s="85"/>
      <c r="N432" s="29"/>
      <c r="O432" s="307"/>
      <c r="P432" s="29"/>
      <c r="Q432" s="15"/>
      <c r="R432" s="15"/>
      <c r="S432" s="15"/>
      <c r="T432" s="15"/>
      <c r="U432" s="15"/>
      <c r="V432" s="243"/>
      <c r="W432" s="15"/>
    </row>
    <row r="433">
      <c r="A433" s="34"/>
      <c r="B433" s="15"/>
      <c r="C433" s="15"/>
      <c r="D433" s="15"/>
      <c r="E433" s="17"/>
      <c r="F433" s="15"/>
      <c r="G433" s="250"/>
      <c r="H433" s="243"/>
      <c r="I433" s="243"/>
      <c r="J433" s="243"/>
      <c r="K433" s="85"/>
      <c r="L433" s="85"/>
      <c r="M433" s="85"/>
      <c r="N433" s="29"/>
      <c r="O433" s="307"/>
      <c r="P433" s="29"/>
      <c r="Q433" s="15"/>
      <c r="R433" s="15"/>
      <c r="S433" s="15"/>
      <c r="T433" s="15"/>
      <c r="U433" s="15"/>
      <c r="V433" s="243"/>
      <c r="W433" s="15"/>
    </row>
    <row r="434">
      <c r="A434" s="34"/>
      <c r="B434" s="15"/>
      <c r="C434" s="15"/>
      <c r="D434" s="15"/>
      <c r="E434" s="17"/>
      <c r="F434" s="15"/>
      <c r="G434" s="250"/>
      <c r="H434" s="243"/>
      <c r="I434" s="243"/>
      <c r="J434" s="243"/>
      <c r="K434" s="85"/>
      <c r="L434" s="85"/>
      <c r="M434" s="85"/>
      <c r="N434" s="29"/>
      <c r="O434" s="307"/>
      <c r="P434" s="29"/>
      <c r="Q434" s="15"/>
      <c r="R434" s="15"/>
      <c r="S434" s="15"/>
      <c r="T434" s="15"/>
      <c r="U434" s="15"/>
      <c r="V434" s="243"/>
      <c r="W434" s="15"/>
    </row>
    <row r="435">
      <c r="A435" s="34"/>
      <c r="B435" s="15"/>
      <c r="C435" s="15"/>
      <c r="D435" s="15"/>
      <c r="E435" s="17"/>
      <c r="F435" s="15"/>
      <c r="G435" s="250"/>
      <c r="H435" s="243"/>
      <c r="I435" s="243"/>
      <c r="J435" s="243"/>
      <c r="K435" s="85"/>
      <c r="L435" s="85"/>
      <c r="M435" s="85"/>
      <c r="N435" s="29"/>
      <c r="O435" s="307"/>
      <c r="P435" s="29"/>
      <c r="Q435" s="15"/>
      <c r="R435" s="15"/>
      <c r="S435" s="15"/>
      <c r="T435" s="15"/>
      <c r="U435" s="15"/>
      <c r="V435" s="243"/>
      <c r="W435" s="15"/>
    </row>
    <row r="436">
      <c r="A436" s="34"/>
      <c r="B436" s="15"/>
      <c r="C436" s="15"/>
      <c r="D436" s="15"/>
      <c r="E436" s="17"/>
      <c r="F436" s="15"/>
      <c r="G436" s="250"/>
      <c r="H436" s="243"/>
      <c r="I436" s="243"/>
      <c r="J436" s="243"/>
      <c r="K436" s="85"/>
      <c r="L436" s="85"/>
      <c r="M436" s="85"/>
      <c r="N436" s="29"/>
      <c r="O436" s="307"/>
      <c r="P436" s="29"/>
      <c r="Q436" s="15"/>
      <c r="R436" s="15"/>
      <c r="S436" s="15"/>
      <c r="T436" s="15"/>
      <c r="U436" s="15"/>
      <c r="V436" s="243"/>
      <c r="W436" s="15"/>
    </row>
    <row r="437">
      <c r="A437" s="34"/>
      <c r="B437" s="15"/>
      <c r="C437" s="15"/>
      <c r="D437" s="15"/>
      <c r="E437" s="17"/>
      <c r="F437" s="15"/>
      <c r="G437" s="250"/>
      <c r="H437" s="243"/>
      <c r="I437" s="243"/>
      <c r="J437" s="243"/>
      <c r="K437" s="85"/>
      <c r="L437" s="85"/>
      <c r="M437" s="85"/>
      <c r="N437" s="29"/>
      <c r="O437" s="307"/>
      <c r="P437" s="29"/>
      <c r="Q437" s="15"/>
      <c r="R437" s="15"/>
      <c r="S437" s="15"/>
      <c r="T437" s="15"/>
      <c r="U437" s="15"/>
      <c r="V437" s="243"/>
      <c r="W437" s="15"/>
    </row>
    <row r="438">
      <c r="A438" s="34"/>
      <c r="B438" s="15"/>
      <c r="C438" s="15"/>
      <c r="D438" s="15"/>
      <c r="E438" s="17"/>
      <c r="F438" s="15"/>
      <c r="G438" s="250"/>
      <c r="H438" s="243"/>
      <c r="I438" s="243"/>
      <c r="J438" s="243"/>
      <c r="K438" s="85"/>
      <c r="L438" s="85"/>
      <c r="M438" s="85"/>
      <c r="N438" s="29"/>
      <c r="O438" s="307"/>
      <c r="P438" s="29"/>
      <c r="Q438" s="15"/>
      <c r="R438" s="15"/>
      <c r="S438" s="15"/>
      <c r="T438" s="15"/>
      <c r="U438" s="15"/>
      <c r="V438" s="243"/>
      <c r="W438" s="15"/>
    </row>
    <row r="439">
      <c r="A439" s="34"/>
      <c r="B439" s="15"/>
      <c r="C439" s="15"/>
      <c r="D439" s="15"/>
      <c r="E439" s="17"/>
      <c r="F439" s="15"/>
      <c r="G439" s="250"/>
      <c r="H439" s="243"/>
      <c r="I439" s="243"/>
      <c r="J439" s="243"/>
      <c r="K439" s="85"/>
      <c r="L439" s="85"/>
      <c r="M439" s="85"/>
      <c r="N439" s="29"/>
      <c r="O439" s="307"/>
      <c r="P439" s="29"/>
      <c r="Q439" s="15"/>
      <c r="R439" s="15"/>
      <c r="S439" s="15"/>
      <c r="T439" s="15"/>
      <c r="U439" s="15"/>
      <c r="V439" s="243"/>
      <c r="W439" s="15"/>
    </row>
    <row r="440">
      <c r="A440" s="34"/>
      <c r="B440" s="15"/>
      <c r="C440" s="15"/>
      <c r="D440" s="15"/>
      <c r="E440" s="17"/>
      <c r="F440" s="15"/>
      <c r="G440" s="250"/>
      <c r="H440" s="243"/>
      <c r="I440" s="243"/>
      <c r="J440" s="243"/>
      <c r="K440" s="85"/>
      <c r="L440" s="85"/>
      <c r="M440" s="85"/>
      <c r="N440" s="29"/>
      <c r="O440" s="307"/>
      <c r="P440" s="29"/>
      <c r="Q440" s="15"/>
      <c r="R440" s="15"/>
      <c r="S440" s="15"/>
      <c r="T440" s="15"/>
      <c r="U440" s="15"/>
      <c r="V440" s="243"/>
      <c r="W440" s="15"/>
    </row>
    <row r="441">
      <c r="A441" s="34"/>
      <c r="B441" s="15"/>
      <c r="C441" s="15"/>
      <c r="D441" s="15"/>
      <c r="E441" s="17"/>
      <c r="F441" s="15"/>
      <c r="G441" s="250"/>
      <c r="H441" s="243"/>
      <c r="I441" s="243"/>
      <c r="J441" s="243"/>
      <c r="K441" s="85"/>
      <c r="L441" s="85"/>
      <c r="M441" s="85"/>
      <c r="N441" s="29"/>
      <c r="O441" s="307"/>
      <c r="P441" s="29"/>
      <c r="Q441" s="15"/>
      <c r="R441" s="15"/>
      <c r="S441" s="15"/>
      <c r="T441" s="15"/>
      <c r="U441" s="15"/>
      <c r="V441" s="243"/>
      <c r="W441" s="15"/>
    </row>
    <row r="442">
      <c r="A442" s="34"/>
      <c r="B442" s="15"/>
      <c r="C442" s="15"/>
      <c r="D442" s="15"/>
      <c r="E442" s="17"/>
      <c r="F442" s="15"/>
      <c r="G442" s="250"/>
      <c r="H442" s="243"/>
      <c r="I442" s="243"/>
      <c r="J442" s="243"/>
      <c r="K442" s="85"/>
      <c r="L442" s="85"/>
      <c r="M442" s="85"/>
      <c r="N442" s="29"/>
      <c r="O442" s="307"/>
      <c r="P442" s="29"/>
      <c r="Q442" s="15"/>
      <c r="R442" s="15"/>
      <c r="S442" s="15"/>
      <c r="T442" s="15"/>
      <c r="U442" s="15"/>
      <c r="V442" s="243"/>
      <c r="W442" s="15"/>
    </row>
    <row r="443">
      <c r="A443" s="34"/>
      <c r="B443" s="15"/>
      <c r="C443" s="15"/>
      <c r="D443" s="15"/>
      <c r="E443" s="17"/>
      <c r="F443" s="15"/>
      <c r="G443" s="250"/>
      <c r="H443" s="243"/>
      <c r="I443" s="243"/>
      <c r="J443" s="243"/>
      <c r="K443" s="85"/>
      <c r="L443" s="85"/>
      <c r="M443" s="85"/>
      <c r="N443" s="29"/>
      <c r="O443" s="307"/>
      <c r="P443" s="29"/>
      <c r="Q443" s="15"/>
      <c r="R443" s="15"/>
      <c r="S443" s="15"/>
      <c r="T443" s="15"/>
      <c r="U443" s="15"/>
      <c r="V443" s="243"/>
      <c r="W443" s="15"/>
    </row>
    <row r="444">
      <c r="A444" s="34"/>
      <c r="B444" s="15"/>
      <c r="C444" s="15"/>
      <c r="D444" s="15"/>
      <c r="E444" s="17"/>
      <c r="F444" s="15"/>
      <c r="G444" s="250"/>
      <c r="H444" s="243"/>
      <c r="I444" s="243"/>
      <c r="J444" s="243"/>
      <c r="K444" s="85"/>
      <c r="L444" s="85"/>
      <c r="M444" s="85"/>
      <c r="N444" s="29"/>
      <c r="O444" s="307"/>
      <c r="P444" s="29"/>
      <c r="Q444" s="15"/>
      <c r="R444" s="15"/>
      <c r="S444" s="15"/>
      <c r="T444" s="15"/>
      <c r="U444" s="15"/>
      <c r="V444" s="243"/>
      <c r="W444" s="15"/>
    </row>
    <row r="445">
      <c r="A445" s="34"/>
      <c r="B445" s="15"/>
      <c r="C445" s="15"/>
      <c r="D445" s="15"/>
      <c r="E445" s="17"/>
      <c r="F445" s="15"/>
      <c r="G445" s="250"/>
      <c r="H445" s="243"/>
      <c r="I445" s="243"/>
      <c r="J445" s="243"/>
      <c r="K445" s="85"/>
      <c r="L445" s="85"/>
      <c r="M445" s="85"/>
      <c r="N445" s="29"/>
      <c r="O445" s="307"/>
      <c r="P445" s="29"/>
      <c r="Q445" s="15"/>
      <c r="R445" s="15"/>
      <c r="S445" s="15"/>
      <c r="T445" s="15"/>
      <c r="U445" s="15"/>
      <c r="V445" s="243"/>
      <c r="W445" s="15"/>
    </row>
    <row r="446">
      <c r="A446" s="34"/>
      <c r="B446" s="15"/>
      <c r="C446" s="15"/>
      <c r="D446" s="15"/>
      <c r="E446" s="17"/>
      <c r="F446" s="15"/>
      <c r="G446" s="250"/>
      <c r="H446" s="243"/>
      <c r="I446" s="243"/>
      <c r="J446" s="243"/>
      <c r="K446" s="85"/>
      <c r="L446" s="85"/>
      <c r="M446" s="85"/>
      <c r="N446" s="29"/>
      <c r="O446" s="307"/>
      <c r="P446" s="29"/>
      <c r="Q446" s="15"/>
      <c r="R446" s="15"/>
      <c r="S446" s="15"/>
      <c r="T446" s="15"/>
      <c r="U446" s="15"/>
      <c r="V446" s="243"/>
      <c r="W446" s="15"/>
    </row>
    <row r="447">
      <c r="A447" s="34"/>
      <c r="B447" s="15"/>
      <c r="C447" s="15"/>
      <c r="D447" s="15"/>
      <c r="E447" s="17"/>
      <c r="F447" s="15"/>
      <c r="G447" s="250"/>
      <c r="H447" s="243"/>
      <c r="I447" s="243"/>
      <c r="J447" s="243"/>
      <c r="K447" s="85"/>
      <c r="L447" s="85"/>
      <c r="M447" s="85"/>
      <c r="N447" s="29"/>
      <c r="O447" s="307"/>
      <c r="P447" s="29"/>
      <c r="Q447" s="15"/>
      <c r="R447" s="15"/>
      <c r="S447" s="15"/>
      <c r="T447" s="15"/>
      <c r="U447" s="15"/>
      <c r="V447" s="243"/>
      <c r="W447" s="15"/>
    </row>
    <row r="448">
      <c r="A448" s="34"/>
      <c r="B448" s="15"/>
      <c r="C448" s="15"/>
      <c r="D448" s="15"/>
      <c r="E448" s="17"/>
      <c r="F448" s="15"/>
      <c r="G448" s="250"/>
      <c r="H448" s="243"/>
      <c r="I448" s="243"/>
      <c r="J448" s="243"/>
      <c r="K448" s="85"/>
      <c r="L448" s="85"/>
      <c r="M448" s="85"/>
      <c r="N448" s="29"/>
      <c r="O448" s="307"/>
      <c r="P448" s="29"/>
      <c r="Q448" s="15"/>
      <c r="R448" s="15"/>
      <c r="S448" s="15"/>
      <c r="T448" s="15"/>
      <c r="U448" s="15"/>
      <c r="V448" s="243"/>
      <c r="W448" s="15"/>
    </row>
    <row r="449">
      <c r="A449" s="34"/>
      <c r="B449" s="15"/>
      <c r="C449" s="15"/>
      <c r="D449" s="15"/>
      <c r="E449" s="17"/>
      <c r="F449" s="15"/>
      <c r="G449" s="250"/>
      <c r="H449" s="243"/>
      <c r="I449" s="243"/>
      <c r="J449" s="243"/>
      <c r="K449" s="85"/>
      <c r="L449" s="85"/>
      <c r="M449" s="85"/>
      <c r="N449" s="29"/>
      <c r="O449" s="307"/>
      <c r="P449" s="29"/>
      <c r="Q449" s="15"/>
      <c r="R449" s="15"/>
      <c r="S449" s="15"/>
      <c r="T449" s="15"/>
      <c r="U449" s="15"/>
      <c r="V449" s="243"/>
      <c r="W449" s="15"/>
    </row>
    <row r="450">
      <c r="A450" s="34"/>
      <c r="B450" s="15"/>
      <c r="C450" s="15"/>
      <c r="D450" s="15"/>
      <c r="E450" s="17"/>
      <c r="F450" s="15"/>
      <c r="G450" s="250"/>
      <c r="H450" s="243"/>
      <c r="I450" s="243"/>
      <c r="J450" s="243"/>
      <c r="K450" s="85"/>
      <c r="L450" s="85"/>
      <c r="M450" s="85"/>
      <c r="N450" s="29"/>
      <c r="O450" s="307"/>
      <c r="P450" s="29"/>
      <c r="Q450" s="15"/>
      <c r="R450" s="15"/>
      <c r="S450" s="15"/>
      <c r="T450" s="15"/>
      <c r="U450" s="15"/>
      <c r="V450" s="243"/>
      <c r="W450" s="15"/>
    </row>
    <row r="451">
      <c r="A451" s="34"/>
      <c r="B451" s="15"/>
      <c r="C451" s="15"/>
      <c r="D451" s="15"/>
      <c r="E451" s="17"/>
      <c r="F451" s="15"/>
      <c r="G451" s="250"/>
      <c r="H451" s="243"/>
      <c r="I451" s="243"/>
      <c r="J451" s="243"/>
      <c r="K451" s="85"/>
      <c r="L451" s="85"/>
      <c r="M451" s="85"/>
      <c r="N451" s="29"/>
      <c r="O451" s="307"/>
      <c r="P451" s="29"/>
      <c r="Q451" s="15"/>
      <c r="R451" s="15"/>
      <c r="S451" s="15"/>
      <c r="T451" s="15"/>
      <c r="U451" s="15"/>
      <c r="V451" s="243"/>
      <c r="W451" s="15"/>
    </row>
    <row r="452">
      <c r="A452" s="34"/>
      <c r="B452" s="15"/>
      <c r="C452" s="15"/>
      <c r="D452" s="15"/>
      <c r="E452" s="17"/>
      <c r="F452" s="15"/>
      <c r="G452" s="250"/>
      <c r="H452" s="243"/>
      <c r="I452" s="243"/>
      <c r="J452" s="243"/>
      <c r="K452" s="85"/>
      <c r="L452" s="85"/>
      <c r="M452" s="85"/>
      <c r="N452" s="29"/>
      <c r="O452" s="307"/>
      <c r="P452" s="29"/>
      <c r="Q452" s="15"/>
      <c r="R452" s="15"/>
      <c r="S452" s="15"/>
      <c r="T452" s="15"/>
      <c r="U452" s="15"/>
      <c r="V452" s="243"/>
      <c r="W452" s="15"/>
    </row>
    <row r="453">
      <c r="A453" s="34"/>
      <c r="B453" s="15"/>
      <c r="C453" s="15"/>
      <c r="D453" s="15"/>
      <c r="E453" s="17"/>
      <c r="F453" s="15"/>
      <c r="G453" s="250"/>
      <c r="H453" s="243"/>
      <c r="I453" s="243"/>
      <c r="J453" s="243"/>
      <c r="K453" s="85"/>
      <c r="L453" s="85"/>
      <c r="M453" s="85"/>
      <c r="N453" s="29"/>
      <c r="O453" s="307"/>
      <c r="P453" s="29"/>
      <c r="Q453" s="15"/>
      <c r="R453" s="15"/>
      <c r="S453" s="15"/>
      <c r="T453" s="15"/>
      <c r="U453" s="15"/>
      <c r="V453" s="243"/>
      <c r="W453" s="15"/>
    </row>
    <row r="454">
      <c r="A454" s="34"/>
      <c r="B454" s="15"/>
      <c r="C454" s="15"/>
      <c r="D454" s="15"/>
      <c r="E454" s="17"/>
      <c r="F454" s="15"/>
      <c r="G454" s="250"/>
      <c r="H454" s="243"/>
      <c r="I454" s="243"/>
      <c r="J454" s="243"/>
      <c r="K454" s="85"/>
      <c r="L454" s="85"/>
      <c r="M454" s="85"/>
      <c r="N454" s="29"/>
      <c r="O454" s="307"/>
      <c r="P454" s="29"/>
      <c r="Q454" s="15"/>
      <c r="R454" s="15"/>
      <c r="S454" s="15"/>
      <c r="T454" s="15"/>
      <c r="U454" s="15"/>
      <c r="V454" s="243"/>
      <c r="W454" s="15"/>
    </row>
    <row r="455">
      <c r="A455" s="34"/>
      <c r="B455" s="15"/>
      <c r="C455" s="15"/>
      <c r="D455" s="15"/>
      <c r="E455" s="17"/>
      <c r="F455" s="15"/>
      <c r="G455" s="250"/>
      <c r="H455" s="243"/>
      <c r="I455" s="243"/>
      <c r="J455" s="243"/>
      <c r="K455" s="85"/>
      <c r="L455" s="85"/>
      <c r="M455" s="85"/>
      <c r="N455" s="29"/>
      <c r="O455" s="307"/>
      <c r="P455" s="29"/>
      <c r="Q455" s="15"/>
      <c r="R455" s="15"/>
      <c r="S455" s="15"/>
      <c r="T455" s="15"/>
      <c r="U455" s="15"/>
      <c r="V455" s="243"/>
      <c r="W455" s="15"/>
    </row>
    <row r="456">
      <c r="A456" s="34"/>
      <c r="B456" s="15"/>
      <c r="C456" s="15"/>
      <c r="D456" s="15"/>
      <c r="E456" s="17"/>
      <c r="F456" s="15"/>
      <c r="G456" s="250"/>
      <c r="H456" s="243"/>
      <c r="I456" s="243"/>
      <c r="J456" s="243"/>
      <c r="K456" s="85"/>
      <c r="L456" s="85"/>
      <c r="M456" s="85"/>
      <c r="N456" s="29"/>
      <c r="O456" s="307"/>
      <c r="P456" s="29"/>
      <c r="Q456" s="15"/>
      <c r="R456" s="15"/>
      <c r="S456" s="15"/>
      <c r="T456" s="15"/>
      <c r="U456" s="15"/>
      <c r="V456" s="243"/>
      <c r="W456" s="15"/>
    </row>
    <row r="457">
      <c r="A457" s="34"/>
      <c r="B457" s="15"/>
      <c r="C457" s="15"/>
      <c r="D457" s="15"/>
      <c r="E457" s="17"/>
      <c r="F457" s="15"/>
      <c r="G457" s="250"/>
      <c r="H457" s="243"/>
      <c r="I457" s="243"/>
      <c r="J457" s="243"/>
      <c r="K457" s="85"/>
      <c r="L457" s="85"/>
      <c r="M457" s="85"/>
      <c r="N457" s="29"/>
      <c r="O457" s="307"/>
      <c r="P457" s="29"/>
      <c r="Q457" s="15"/>
      <c r="R457" s="15"/>
      <c r="S457" s="15"/>
      <c r="T457" s="15"/>
      <c r="U457" s="15"/>
      <c r="V457" s="243"/>
      <c r="W457" s="15"/>
    </row>
    <row r="458">
      <c r="A458" s="34"/>
      <c r="B458" s="15"/>
      <c r="C458" s="15"/>
      <c r="D458" s="15"/>
      <c r="E458" s="17"/>
      <c r="F458" s="15"/>
      <c r="G458" s="250"/>
      <c r="H458" s="243"/>
      <c r="I458" s="243"/>
      <c r="J458" s="243"/>
      <c r="K458" s="85"/>
      <c r="L458" s="85"/>
      <c r="M458" s="85"/>
      <c r="N458" s="29"/>
      <c r="O458" s="307"/>
      <c r="P458" s="29"/>
      <c r="Q458" s="15"/>
      <c r="R458" s="15"/>
      <c r="S458" s="15"/>
      <c r="T458" s="15"/>
      <c r="U458" s="15"/>
      <c r="V458" s="243"/>
      <c r="W458" s="15"/>
    </row>
    <row r="459">
      <c r="A459" s="34"/>
      <c r="B459" s="15"/>
      <c r="C459" s="15"/>
      <c r="D459" s="15"/>
      <c r="E459" s="17"/>
      <c r="F459" s="15"/>
      <c r="G459" s="250"/>
      <c r="H459" s="243"/>
      <c r="I459" s="243"/>
      <c r="J459" s="243"/>
      <c r="K459" s="85"/>
      <c r="L459" s="85"/>
      <c r="M459" s="85"/>
      <c r="N459" s="29"/>
      <c r="O459" s="307"/>
      <c r="P459" s="29"/>
      <c r="Q459" s="15"/>
      <c r="R459" s="15"/>
      <c r="S459" s="15"/>
      <c r="T459" s="15"/>
      <c r="U459" s="15"/>
      <c r="V459" s="243"/>
      <c r="W459" s="15"/>
    </row>
    <row r="460">
      <c r="A460" s="34"/>
      <c r="B460" s="15"/>
      <c r="C460" s="15"/>
      <c r="D460" s="15"/>
      <c r="E460" s="17"/>
      <c r="F460" s="15"/>
      <c r="G460" s="250"/>
      <c r="H460" s="243"/>
      <c r="I460" s="243"/>
      <c r="J460" s="243"/>
      <c r="K460" s="85"/>
      <c r="L460" s="85"/>
      <c r="M460" s="85"/>
      <c r="N460" s="29"/>
      <c r="O460" s="307"/>
      <c r="P460" s="29"/>
      <c r="Q460" s="15"/>
      <c r="R460" s="15"/>
      <c r="S460" s="15"/>
      <c r="T460" s="15"/>
      <c r="U460" s="15"/>
      <c r="V460" s="243"/>
      <c r="W460" s="15"/>
    </row>
    <row r="461">
      <c r="A461" s="34"/>
      <c r="B461" s="15"/>
      <c r="C461" s="15"/>
      <c r="D461" s="15"/>
      <c r="E461" s="17"/>
      <c r="F461" s="15"/>
      <c r="G461" s="250"/>
      <c r="H461" s="243"/>
      <c r="I461" s="243"/>
      <c r="J461" s="243"/>
      <c r="K461" s="85"/>
      <c r="L461" s="85"/>
      <c r="M461" s="85"/>
      <c r="N461" s="29"/>
      <c r="O461" s="307"/>
      <c r="P461" s="29"/>
      <c r="Q461" s="15"/>
      <c r="R461" s="15"/>
      <c r="S461" s="15"/>
      <c r="T461" s="15"/>
      <c r="U461" s="15"/>
      <c r="V461" s="243"/>
      <c r="W461" s="15"/>
    </row>
    <row r="462">
      <c r="A462" s="34"/>
      <c r="B462" s="15"/>
      <c r="C462" s="15"/>
      <c r="D462" s="15"/>
      <c r="E462" s="17"/>
      <c r="F462" s="15"/>
      <c r="G462" s="250"/>
      <c r="H462" s="243"/>
      <c r="I462" s="243"/>
      <c r="J462" s="243"/>
      <c r="K462" s="85"/>
      <c r="L462" s="85"/>
      <c r="M462" s="85"/>
      <c r="N462" s="29"/>
      <c r="O462" s="307"/>
      <c r="P462" s="29"/>
      <c r="Q462" s="15"/>
      <c r="R462" s="15"/>
      <c r="S462" s="15"/>
      <c r="T462" s="15"/>
      <c r="U462" s="15"/>
      <c r="V462" s="243"/>
      <c r="W462" s="15"/>
    </row>
    <row r="463">
      <c r="A463" s="34"/>
      <c r="B463" s="15"/>
      <c r="C463" s="15"/>
      <c r="D463" s="15"/>
      <c r="E463" s="17"/>
      <c r="F463" s="15"/>
      <c r="G463" s="250"/>
      <c r="H463" s="243"/>
      <c r="I463" s="243"/>
      <c r="J463" s="243"/>
      <c r="K463" s="85"/>
      <c r="L463" s="85"/>
      <c r="M463" s="85"/>
      <c r="N463" s="29"/>
      <c r="O463" s="307"/>
      <c r="P463" s="29"/>
      <c r="Q463" s="15"/>
      <c r="R463" s="15"/>
      <c r="S463" s="15"/>
      <c r="T463" s="15"/>
      <c r="U463" s="15"/>
      <c r="V463" s="243"/>
      <c r="W463" s="15"/>
    </row>
    <row r="464">
      <c r="A464" s="34"/>
      <c r="B464" s="15"/>
      <c r="C464" s="15"/>
      <c r="D464" s="15"/>
      <c r="E464" s="17"/>
      <c r="F464" s="15"/>
      <c r="G464" s="250"/>
      <c r="H464" s="243"/>
      <c r="I464" s="243"/>
      <c r="J464" s="243"/>
      <c r="K464" s="85"/>
      <c r="L464" s="85"/>
      <c r="M464" s="85"/>
      <c r="N464" s="29"/>
      <c r="O464" s="307"/>
      <c r="P464" s="29"/>
      <c r="Q464" s="15"/>
      <c r="R464" s="15"/>
      <c r="S464" s="15"/>
      <c r="T464" s="15"/>
      <c r="U464" s="15"/>
      <c r="V464" s="243"/>
      <c r="W464" s="15"/>
    </row>
    <row r="465">
      <c r="A465" s="34"/>
      <c r="B465" s="15"/>
      <c r="C465" s="15"/>
      <c r="D465" s="15"/>
      <c r="E465" s="17"/>
      <c r="F465" s="15"/>
      <c r="G465" s="250"/>
      <c r="H465" s="243"/>
      <c r="I465" s="243"/>
      <c r="J465" s="243"/>
      <c r="K465" s="85"/>
      <c r="L465" s="85"/>
      <c r="M465" s="85"/>
      <c r="N465" s="29"/>
      <c r="O465" s="307"/>
      <c r="P465" s="29"/>
      <c r="Q465" s="15"/>
      <c r="R465" s="15"/>
      <c r="S465" s="15"/>
      <c r="T465" s="15"/>
      <c r="U465" s="15"/>
      <c r="V465" s="243"/>
      <c r="W465" s="15"/>
    </row>
    <row r="466">
      <c r="A466" s="34"/>
      <c r="B466" s="15"/>
      <c r="C466" s="15"/>
      <c r="D466" s="15"/>
      <c r="E466" s="17"/>
      <c r="F466" s="15"/>
      <c r="G466" s="250"/>
      <c r="H466" s="243"/>
      <c r="I466" s="243"/>
      <c r="J466" s="243"/>
      <c r="K466" s="85"/>
      <c r="L466" s="85"/>
      <c r="M466" s="85"/>
      <c r="N466" s="29"/>
      <c r="O466" s="307"/>
      <c r="P466" s="29"/>
      <c r="Q466" s="15"/>
      <c r="R466" s="15"/>
      <c r="S466" s="15"/>
      <c r="T466" s="15"/>
      <c r="U466" s="15"/>
      <c r="V466" s="243"/>
      <c r="W466" s="15"/>
    </row>
    <row r="467">
      <c r="A467" s="34"/>
      <c r="B467" s="15"/>
      <c r="C467" s="15"/>
      <c r="D467" s="15"/>
      <c r="E467" s="17"/>
      <c r="F467" s="15"/>
      <c r="G467" s="250"/>
      <c r="H467" s="243"/>
      <c r="I467" s="243"/>
      <c r="J467" s="243"/>
      <c r="K467" s="85"/>
      <c r="L467" s="85"/>
      <c r="M467" s="85"/>
      <c r="N467" s="29"/>
      <c r="O467" s="307"/>
      <c r="P467" s="29"/>
      <c r="Q467" s="15"/>
      <c r="R467" s="15"/>
      <c r="S467" s="15"/>
      <c r="T467" s="15"/>
      <c r="U467" s="15"/>
      <c r="V467" s="243"/>
      <c r="W467" s="15"/>
    </row>
    <row r="468">
      <c r="A468" s="34"/>
      <c r="B468" s="15"/>
      <c r="C468" s="15"/>
      <c r="D468" s="15"/>
      <c r="E468" s="17"/>
      <c r="F468" s="15"/>
      <c r="G468" s="250"/>
      <c r="H468" s="243"/>
      <c r="I468" s="243"/>
      <c r="J468" s="243"/>
      <c r="K468" s="85"/>
      <c r="L468" s="85"/>
      <c r="M468" s="85"/>
      <c r="N468" s="29"/>
      <c r="O468" s="307"/>
      <c r="P468" s="29"/>
      <c r="Q468" s="15"/>
      <c r="R468" s="15"/>
      <c r="S468" s="15"/>
      <c r="T468" s="15"/>
      <c r="U468" s="15"/>
      <c r="V468" s="243"/>
      <c r="W468" s="15"/>
    </row>
    <row r="469">
      <c r="A469" s="34"/>
      <c r="B469" s="15"/>
      <c r="C469" s="15"/>
      <c r="D469" s="15"/>
      <c r="E469" s="17"/>
      <c r="F469" s="15"/>
      <c r="G469" s="250"/>
      <c r="H469" s="243"/>
      <c r="I469" s="243"/>
      <c r="J469" s="243"/>
      <c r="K469" s="85"/>
      <c r="L469" s="85"/>
      <c r="M469" s="85"/>
      <c r="N469" s="29"/>
      <c r="O469" s="307"/>
      <c r="P469" s="29"/>
      <c r="Q469" s="15"/>
      <c r="R469" s="15"/>
      <c r="S469" s="15"/>
      <c r="T469" s="15"/>
      <c r="U469" s="15"/>
      <c r="V469" s="243"/>
      <c r="W469" s="15"/>
    </row>
    <row r="470">
      <c r="A470" s="34"/>
      <c r="B470" s="15"/>
      <c r="C470" s="15"/>
      <c r="D470" s="15"/>
      <c r="E470" s="17"/>
      <c r="F470" s="15"/>
      <c r="G470" s="250"/>
      <c r="H470" s="243"/>
      <c r="I470" s="243"/>
      <c r="J470" s="243"/>
      <c r="K470" s="85"/>
      <c r="L470" s="85"/>
      <c r="M470" s="85"/>
      <c r="N470" s="29"/>
      <c r="O470" s="307"/>
      <c r="P470" s="29"/>
      <c r="Q470" s="15"/>
      <c r="R470" s="15"/>
      <c r="S470" s="15"/>
      <c r="T470" s="15"/>
      <c r="U470" s="15"/>
      <c r="V470" s="243"/>
      <c r="W470" s="15"/>
    </row>
    <row r="471">
      <c r="A471" s="34"/>
      <c r="B471" s="15"/>
      <c r="C471" s="15"/>
      <c r="D471" s="15"/>
      <c r="E471" s="17"/>
      <c r="F471" s="15"/>
      <c r="G471" s="250"/>
      <c r="H471" s="243"/>
      <c r="I471" s="243"/>
      <c r="J471" s="243"/>
      <c r="K471" s="85"/>
      <c r="L471" s="85"/>
      <c r="M471" s="85"/>
      <c r="N471" s="29"/>
      <c r="O471" s="307"/>
      <c r="P471" s="29"/>
      <c r="Q471" s="15"/>
      <c r="R471" s="15"/>
      <c r="S471" s="15"/>
      <c r="T471" s="15"/>
      <c r="U471" s="15"/>
      <c r="V471" s="243"/>
      <c r="W471" s="15"/>
    </row>
    <row r="472">
      <c r="A472" s="34"/>
      <c r="B472" s="15"/>
      <c r="C472" s="15"/>
      <c r="D472" s="15"/>
      <c r="E472" s="17"/>
      <c r="F472" s="15"/>
      <c r="G472" s="250"/>
      <c r="H472" s="243"/>
      <c r="I472" s="243"/>
      <c r="J472" s="243"/>
      <c r="K472" s="85"/>
      <c r="L472" s="85"/>
      <c r="M472" s="85"/>
      <c r="N472" s="29"/>
      <c r="O472" s="307"/>
      <c r="P472" s="29"/>
      <c r="Q472" s="15"/>
      <c r="R472" s="15"/>
      <c r="S472" s="15"/>
      <c r="T472" s="15"/>
      <c r="U472" s="15"/>
      <c r="V472" s="243"/>
      <c r="W472" s="15"/>
    </row>
    <row r="473">
      <c r="A473" s="34"/>
      <c r="B473" s="15"/>
      <c r="C473" s="15"/>
      <c r="D473" s="15"/>
      <c r="E473" s="17"/>
      <c r="F473" s="15"/>
      <c r="G473" s="250"/>
      <c r="H473" s="243"/>
      <c r="I473" s="243"/>
      <c r="J473" s="243"/>
      <c r="K473" s="85"/>
      <c r="L473" s="85"/>
      <c r="M473" s="85"/>
      <c r="N473" s="29"/>
      <c r="O473" s="307"/>
      <c r="P473" s="29"/>
      <c r="Q473" s="15"/>
      <c r="R473" s="15"/>
      <c r="S473" s="15"/>
      <c r="T473" s="15"/>
      <c r="U473" s="15"/>
      <c r="V473" s="243"/>
      <c r="W473" s="15"/>
    </row>
    <row r="474">
      <c r="A474" s="34"/>
      <c r="B474" s="15"/>
      <c r="C474" s="15"/>
      <c r="D474" s="15"/>
      <c r="E474" s="17"/>
      <c r="F474" s="15"/>
      <c r="G474" s="250"/>
      <c r="H474" s="243"/>
      <c r="I474" s="243"/>
      <c r="J474" s="243"/>
      <c r="K474" s="85"/>
      <c r="L474" s="85"/>
      <c r="M474" s="85"/>
      <c r="N474" s="29"/>
      <c r="O474" s="307"/>
      <c r="P474" s="29"/>
      <c r="Q474" s="15"/>
      <c r="R474" s="15"/>
      <c r="S474" s="15"/>
      <c r="T474" s="15"/>
      <c r="U474" s="15"/>
      <c r="V474" s="243"/>
      <c r="W474" s="15"/>
    </row>
    <row r="475">
      <c r="A475" s="34"/>
      <c r="B475" s="15"/>
      <c r="C475" s="15"/>
      <c r="D475" s="15"/>
      <c r="E475" s="17"/>
      <c r="F475" s="15"/>
      <c r="G475" s="250"/>
      <c r="H475" s="243"/>
      <c r="I475" s="243"/>
      <c r="J475" s="243"/>
      <c r="K475" s="85"/>
      <c r="L475" s="85"/>
      <c r="M475" s="85"/>
      <c r="N475" s="29"/>
      <c r="O475" s="307"/>
      <c r="P475" s="29"/>
      <c r="Q475" s="15"/>
      <c r="R475" s="15"/>
      <c r="S475" s="15"/>
      <c r="T475" s="15"/>
      <c r="U475" s="15"/>
      <c r="V475" s="243"/>
      <c r="W475" s="15"/>
    </row>
    <row r="476">
      <c r="A476" s="34"/>
      <c r="B476" s="15"/>
      <c r="C476" s="15"/>
      <c r="D476" s="15"/>
      <c r="E476" s="17"/>
      <c r="F476" s="15"/>
      <c r="G476" s="250"/>
      <c r="H476" s="243"/>
      <c r="I476" s="243"/>
      <c r="J476" s="243"/>
      <c r="K476" s="85"/>
      <c r="L476" s="85"/>
      <c r="M476" s="85"/>
      <c r="N476" s="29"/>
      <c r="O476" s="307"/>
      <c r="P476" s="29"/>
      <c r="Q476" s="15"/>
      <c r="R476" s="15"/>
      <c r="S476" s="15"/>
      <c r="T476" s="15"/>
      <c r="U476" s="15"/>
      <c r="V476" s="243"/>
      <c r="W476" s="15"/>
    </row>
    <row r="477">
      <c r="A477" s="34"/>
      <c r="B477" s="15"/>
      <c r="C477" s="15"/>
      <c r="D477" s="15"/>
      <c r="E477" s="17"/>
      <c r="F477" s="15"/>
      <c r="G477" s="250"/>
      <c r="H477" s="243"/>
      <c r="I477" s="243"/>
      <c r="J477" s="243"/>
      <c r="K477" s="85"/>
      <c r="L477" s="85"/>
      <c r="M477" s="85"/>
      <c r="N477" s="29"/>
      <c r="O477" s="307"/>
      <c r="P477" s="29"/>
      <c r="Q477" s="15"/>
      <c r="R477" s="15"/>
      <c r="S477" s="15"/>
      <c r="T477" s="15"/>
      <c r="U477" s="15"/>
      <c r="V477" s="243"/>
      <c r="W477" s="15"/>
    </row>
    <row r="478">
      <c r="A478" s="34"/>
      <c r="B478" s="15"/>
      <c r="C478" s="15"/>
      <c r="D478" s="15"/>
      <c r="E478" s="17"/>
      <c r="F478" s="15"/>
      <c r="G478" s="250"/>
      <c r="H478" s="243"/>
      <c r="I478" s="243"/>
      <c r="J478" s="243"/>
      <c r="K478" s="85"/>
      <c r="L478" s="85"/>
      <c r="M478" s="85"/>
      <c r="N478" s="29"/>
      <c r="O478" s="307"/>
      <c r="P478" s="29"/>
      <c r="Q478" s="15"/>
      <c r="R478" s="15"/>
      <c r="S478" s="15"/>
      <c r="T478" s="15"/>
      <c r="U478" s="15"/>
      <c r="V478" s="243"/>
      <c r="W478" s="15"/>
    </row>
    <row r="479">
      <c r="A479" s="34"/>
      <c r="B479" s="15"/>
      <c r="C479" s="15"/>
      <c r="D479" s="15"/>
      <c r="E479" s="17"/>
      <c r="F479" s="15"/>
      <c r="G479" s="250"/>
      <c r="H479" s="243"/>
      <c r="I479" s="243"/>
      <c r="J479" s="243"/>
      <c r="K479" s="85"/>
      <c r="L479" s="85"/>
      <c r="M479" s="85"/>
      <c r="N479" s="29"/>
      <c r="O479" s="307"/>
      <c r="P479" s="29"/>
      <c r="Q479" s="15"/>
      <c r="R479" s="15"/>
      <c r="S479" s="15"/>
      <c r="T479" s="15"/>
      <c r="U479" s="15"/>
      <c r="V479" s="243"/>
      <c r="W479" s="15"/>
    </row>
    <row r="480">
      <c r="A480" s="34"/>
      <c r="B480" s="15"/>
      <c r="C480" s="15"/>
      <c r="D480" s="15"/>
      <c r="E480" s="17"/>
      <c r="F480" s="15"/>
      <c r="G480" s="250"/>
      <c r="H480" s="243"/>
      <c r="I480" s="243"/>
      <c r="J480" s="243"/>
      <c r="K480" s="85"/>
      <c r="L480" s="85"/>
      <c r="M480" s="85"/>
      <c r="N480" s="29"/>
      <c r="O480" s="307"/>
      <c r="P480" s="29"/>
      <c r="Q480" s="15"/>
      <c r="R480" s="15"/>
      <c r="S480" s="15"/>
      <c r="T480" s="15"/>
      <c r="U480" s="15"/>
      <c r="V480" s="243"/>
      <c r="W480" s="15"/>
    </row>
    <row r="481">
      <c r="A481" s="34"/>
      <c r="B481" s="15"/>
      <c r="C481" s="15"/>
      <c r="D481" s="15"/>
      <c r="E481" s="17"/>
      <c r="F481" s="15"/>
      <c r="G481" s="250"/>
      <c r="H481" s="243"/>
      <c r="I481" s="243"/>
      <c r="J481" s="243"/>
      <c r="K481" s="85"/>
      <c r="L481" s="85"/>
      <c r="M481" s="85"/>
      <c r="N481" s="29"/>
      <c r="O481" s="307"/>
      <c r="P481" s="29"/>
      <c r="Q481" s="15"/>
      <c r="R481" s="15"/>
      <c r="S481" s="15"/>
      <c r="T481" s="15"/>
      <c r="U481" s="15"/>
      <c r="V481" s="243"/>
      <c r="W481" s="15"/>
    </row>
    <row r="482">
      <c r="A482" s="34"/>
      <c r="B482" s="15"/>
      <c r="C482" s="15"/>
      <c r="D482" s="15"/>
      <c r="E482" s="17"/>
      <c r="F482" s="15"/>
      <c r="G482" s="250"/>
      <c r="H482" s="243"/>
      <c r="I482" s="243"/>
      <c r="J482" s="243"/>
      <c r="K482" s="85"/>
      <c r="L482" s="85"/>
      <c r="M482" s="85"/>
      <c r="N482" s="29"/>
      <c r="O482" s="307"/>
      <c r="P482" s="29"/>
      <c r="Q482" s="15"/>
      <c r="R482" s="15"/>
      <c r="S482" s="15"/>
      <c r="T482" s="15"/>
      <c r="U482" s="15"/>
      <c r="V482" s="243"/>
      <c r="W482" s="15"/>
    </row>
    <row r="483">
      <c r="A483" s="34"/>
      <c r="B483" s="15"/>
      <c r="C483" s="15"/>
      <c r="D483" s="15"/>
      <c r="E483" s="17"/>
      <c r="F483" s="15"/>
      <c r="G483" s="250"/>
      <c r="H483" s="243"/>
      <c r="I483" s="243"/>
      <c r="J483" s="243"/>
      <c r="K483" s="85"/>
      <c r="L483" s="85"/>
      <c r="M483" s="85"/>
      <c r="N483" s="29"/>
      <c r="O483" s="307"/>
      <c r="P483" s="29"/>
      <c r="Q483" s="15"/>
      <c r="R483" s="15"/>
      <c r="S483" s="15"/>
      <c r="T483" s="15"/>
      <c r="U483" s="15"/>
      <c r="V483" s="243"/>
      <c r="W483" s="15"/>
    </row>
    <row r="484">
      <c r="A484" s="34"/>
      <c r="B484" s="15"/>
      <c r="C484" s="15"/>
      <c r="D484" s="15"/>
      <c r="E484" s="17"/>
      <c r="F484" s="15"/>
      <c r="G484" s="250"/>
      <c r="H484" s="243"/>
      <c r="I484" s="243"/>
      <c r="J484" s="243"/>
      <c r="K484" s="85"/>
      <c r="L484" s="85"/>
      <c r="M484" s="85"/>
      <c r="N484" s="29"/>
      <c r="O484" s="307"/>
      <c r="P484" s="29"/>
      <c r="Q484" s="15"/>
      <c r="R484" s="15"/>
      <c r="S484" s="15"/>
      <c r="T484" s="15"/>
      <c r="U484" s="15"/>
      <c r="V484" s="243"/>
      <c r="W484" s="15"/>
    </row>
    <row r="485">
      <c r="A485" s="34"/>
      <c r="B485" s="15"/>
      <c r="C485" s="15"/>
      <c r="D485" s="15"/>
      <c r="E485" s="17"/>
      <c r="F485" s="15"/>
      <c r="G485" s="250"/>
      <c r="H485" s="243"/>
      <c r="I485" s="243"/>
      <c r="J485" s="243"/>
      <c r="K485" s="85"/>
      <c r="L485" s="85"/>
      <c r="M485" s="85"/>
      <c r="N485" s="29"/>
      <c r="O485" s="307"/>
      <c r="P485" s="29"/>
      <c r="Q485" s="15"/>
      <c r="R485" s="15"/>
      <c r="S485" s="15"/>
      <c r="T485" s="15"/>
      <c r="U485" s="15"/>
      <c r="V485" s="243"/>
      <c r="W485" s="15"/>
    </row>
    <row r="486">
      <c r="A486" s="34"/>
      <c r="B486" s="15"/>
      <c r="C486" s="15"/>
      <c r="D486" s="15"/>
      <c r="E486" s="17"/>
      <c r="F486" s="15"/>
      <c r="G486" s="250"/>
      <c r="H486" s="243"/>
      <c r="I486" s="243"/>
      <c r="J486" s="243"/>
      <c r="K486" s="85"/>
      <c r="L486" s="85"/>
      <c r="M486" s="85"/>
      <c r="N486" s="29"/>
      <c r="O486" s="307"/>
      <c r="P486" s="29"/>
      <c r="Q486" s="15"/>
      <c r="R486" s="15"/>
      <c r="S486" s="15"/>
      <c r="T486" s="15"/>
      <c r="U486" s="15"/>
      <c r="V486" s="243"/>
      <c r="W486" s="15"/>
    </row>
    <row r="487">
      <c r="A487" s="34"/>
      <c r="B487" s="15"/>
      <c r="C487" s="15"/>
      <c r="D487" s="15"/>
      <c r="E487" s="17"/>
      <c r="F487" s="15"/>
      <c r="G487" s="250"/>
      <c r="H487" s="243"/>
      <c r="I487" s="243"/>
      <c r="J487" s="243"/>
      <c r="K487" s="85"/>
      <c r="L487" s="85"/>
      <c r="M487" s="85"/>
      <c r="N487" s="29"/>
      <c r="O487" s="307"/>
      <c r="P487" s="29"/>
      <c r="Q487" s="15"/>
      <c r="R487" s="15"/>
      <c r="S487" s="15"/>
      <c r="T487" s="15"/>
      <c r="U487" s="15"/>
      <c r="V487" s="243"/>
      <c r="W487" s="15"/>
    </row>
    <row r="488">
      <c r="A488" s="34"/>
      <c r="B488" s="15"/>
      <c r="C488" s="15"/>
      <c r="D488" s="15"/>
      <c r="E488" s="17"/>
      <c r="F488" s="15"/>
      <c r="G488" s="250"/>
      <c r="H488" s="243"/>
      <c r="I488" s="243"/>
      <c r="J488" s="243"/>
      <c r="K488" s="85"/>
      <c r="L488" s="85"/>
      <c r="M488" s="85"/>
      <c r="N488" s="29"/>
      <c r="O488" s="307"/>
      <c r="P488" s="29"/>
      <c r="Q488" s="15"/>
      <c r="R488" s="15"/>
      <c r="S488" s="15"/>
      <c r="T488" s="15"/>
      <c r="U488" s="15"/>
      <c r="V488" s="243"/>
      <c r="W488" s="15"/>
    </row>
    <row r="489">
      <c r="A489" s="34"/>
      <c r="B489" s="15"/>
      <c r="C489" s="15"/>
      <c r="D489" s="15"/>
      <c r="E489" s="17"/>
      <c r="F489" s="15"/>
      <c r="G489" s="250"/>
      <c r="H489" s="243"/>
      <c r="I489" s="243"/>
      <c r="J489" s="243"/>
      <c r="K489" s="85"/>
      <c r="L489" s="85"/>
      <c r="M489" s="85"/>
      <c r="N489" s="29"/>
      <c r="O489" s="307"/>
      <c r="P489" s="29"/>
      <c r="Q489" s="15"/>
      <c r="R489" s="15"/>
      <c r="S489" s="15"/>
      <c r="T489" s="15"/>
      <c r="U489" s="15"/>
      <c r="V489" s="243"/>
      <c r="W489" s="15"/>
    </row>
    <row r="490">
      <c r="A490" s="34"/>
      <c r="B490" s="15"/>
      <c r="C490" s="15"/>
      <c r="D490" s="15"/>
      <c r="E490" s="17"/>
      <c r="F490" s="15"/>
      <c r="G490" s="250"/>
      <c r="H490" s="243"/>
      <c r="I490" s="243"/>
      <c r="J490" s="243"/>
      <c r="K490" s="85"/>
      <c r="L490" s="85"/>
      <c r="M490" s="85"/>
      <c r="N490" s="29"/>
      <c r="O490" s="307"/>
      <c r="P490" s="29"/>
      <c r="Q490" s="15"/>
      <c r="R490" s="15"/>
      <c r="S490" s="15"/>
      <c r="T490" s="15"/>
      <c r="U490" s="15"/>
      <c r="V490" s="243"/>
      <c r="W490" s="15"/>
    </row>
    <row r="491">
      <c r="A491" s="34"/>
      <c r="B491" s="15"/>
      <c r="C491" s="15"/>
      <c r="D491" s="15"/>
      <c r="E491" s="17"/>
      <c r="F491" s="15"/>
      <c r="G491" s="250"/>
      <c r="H491" s="243"/>
      <c r="I491" s="243"/>
      <c r="J491" s="243"/>
      <c r="K491" s="85"/>
      <c r="L491" s="85"/>
      <c r="M491" s="85"/>
      <c r="N491" s="29"/>
      <c r="O491" s="307"/>
      <c r="P491" s="29"/>
      <c r="Q491" s="15"/>
      <c r="R491" s="15"/>
      <c r="S491" s="15"/>
      <c r="T491" s="15"/>
      <c r="U491" s="15"/>
      <c r="V491" s="243"/>
      <c r="W491" s="15"/>
    </row>
    <row r="492">
      <c r="A492" s="34"/>
      <c r="B492" s="15"/>
      <c r="C492" s="15"/>
      <c r="D492" s="15"/>
      <c r="E492" s="17"/>
      <c r="F492" s="15"/>
      <c r="G492" s="250"/>
      <c r="H492" s="243"/>
      <c r="I492" s="243"/>
      <c r="J492" s="243"/>
      <c r="K492" s="85"/>
      <c r="L492" s="85"/>
      <c r="M492" s="85"/>
      <c r="N492" s="29"/>
      <c r="O492" s="307"/>
      <c r="P492" s="29"/>
      <c r="Q492" s="15"/>
      <c r="R492" s="15"/>
      <c r="S492" s="15"/>
      <c r="T492" s="15"/>
      <c r="U492" s="15"/>
      <c r="V492" s="243"/>
      <c r="W492" s="15"/>
    </row>
    <row r="493">
      <c r="A493" s="34"/>
      <c r="B493" s="15"/>
      <c r="C493" s="15"/>
      <c r="D493" s="15"/>
      <c r="E493" s="17"/>
      <c r="F493" s="15"/>
      <c r="G493" s="250"/>
      <c r="H493" s="243"/>
      <c r="I493" s="243"/>
      <c r="J493" s="243"/>
      <c r="K493" s="85"/>
      <c r="L493" s="85"/>
      <c r="M493" s="85"/>
      <c r="N493" s="29"/>
      <c r="O493" s="307"/>
      <c r="P493" s="29"/>
      <c r="Q493" s="15"/>
      <c r="R493" s="15"/>
      <c r="S493" s="15"/>
      <c r="T493" s="15"/>
      <c r="U493" s="15"/>
      <c r="V493" s="243"/>
      <c r="W493" s="15"/>
    </row>
    <row r="494">
      <c r="A494" s="34"/>
      <c r="B494" s="15"/>
      <c r="C494" s="15"/>
      <c r="D494" s="15"/>
      <c r="E494" s="17"/>
      <c r="F494" s="15"/>
      <c r="G494" s="250"/>
      <c r="H494" s="243"/>
      <c r="I494" s="243"/>
      <c r="J494" s="243"/>
      <c r="K494" s="85"/>
      <c r="L494" s="85"/>
      <c r="M494" s="85"/>
      <c r="N494" s="29"/>
      <c r="O494" s="307"/>
      <c r="P494" s="29"/>
      <c r="Q494" s="15"/>
      <c r="R494" s="15"/>
      <c r="S494" s="15"/>
      <c r="T494" s="15"/>
      <c r="U494" s="15"/>
      <c r="V494" s="243"/>
      <c r="W494" s="15"/>
    </row>
    <row r="495">
      <c r="A495" s="34"/>
      <c r="B495" s="15"/>
      <c r="C495" s="15"/>
      <c r="D495" s="15"/>
      <c r="E495" s="17"/>
      <c r="F495" s="15"/>
      <c r="G495" s="250"/>
      <c r="H495" s="243"/>
      <c r="I495" s="243"/>
      <c r="J495" s="243"/>
      <c r="K495" s="85"/>
      <c r="L495" s="85"/>
      <c r="M495" s="85"/>
      <c r="N495" s="29"/>
      <c r="O495" s="307"/>
      <c r="P495" s="29"/>
      <c r="Q495" s="15"/>
      <c r="R495" s="15"/>
      <c r="S495" s="15"/>
      <c r="T495" s="15"/>
      <c r="U495" s="15"/>
      <c r="V495" s="243"/>
      <c r="W495" s="15"/>
    </row>
    <row r="496">
      <c r="A496" s="34"/>
      <c r="B496" s="15"/>
      <c r="C496" s="15"/>
      <c r="D496" s="15"/>
      <c r="E496" s="17"/>
      <c r="F496" s="15"/>
      <c r="G496" s="250"/>
      <c r="H496" s="243"/>
      <c r="I496" s="243"/>
      <c r="J496" s="243"/>
      <c r="K496" s="85"/>
      <c r="L496" s="85"/>
      <c r="M496" s="85"/>
      <c r="N496" s="29"/>
      <c r="O496" s="307"/>
      <c r="P496" s="29"/>
      <c r="Q496" s="15"/>
      <c r="R496" s="15"/>
      <c r="S496" s="15"/>
      <c r="T496" s="15"/>
      <c r="U496" s="15"/>
      <c r="V496" s="243"/>
      <c r="W496" s="15"/>
    </row>
    <row r="497">
      <c r="A497" s="34"/>
      <c r="B497" s="15"/>
      <c r="C497" s="15"/>
      <c r="D497" s="15"/>
      <c r="E497" s="17"/>
      <c r="F497" s="15"/>
      <c r="G497" s="250"/>
      <c r="H497" s="243"/>
      <c r="I497" s="243"/>
      <c r="J497" s="243"/>
      <c r="K497" s="85"/>
      <c r="L497" s="85"/>
      <c r="M497" s="85"/>
      <c r="N497" s="29"/>
      <c r="O497" s="307"/>
      <c r="P497" s="29"/>
      <c r="Q497" s="15"/>
      <c r="R497" s="15"/>
      <c r="S497" s="15"/>
      <c r="T497" s="15"/>
      <c r="U497" s="15"/>
      <c r="V497" s="243"/>
      <c r="W497" s="15"/>
    </row>
    <row r="498">
      <c r="A498" s="34"/>
      <c r="B498" s="15"/>
      <c r="C498" s="15"/>
      <c r="D498" s="15"/>
      <c r="E498" s="17"/>
      <c r="F498" s="15"/>
      <c r="G498" s="250"/>
      <c r="H498" s="243"/>
      <c r="I498" s="243"/>
      <c r="J498" s="243"/>
      <c r="K498" s="85"/>
      <c r="L498" s="85"/>
      <c r="M498" s="85"/>
      <c r="N498" s="29"/>
      <c r="O498" s="307"/>
      <c r="P498" s="29"/>
      <c r="Q498" s="15"/>
      <c r="R498" s="15"/>
      <c r="S498" s="15"/>
      <c r="T498" s="15"/>
      <c r="U498" s="15"/>
      <c r="V498" s="243"/>
      <c r="W498" s="15"/>
    </row>
    <row r="499">
      <c r="A499" s="34"/>
      <c r="B499" s="15"/>
      <c r="C499" s="15"/>
      <c r="D499" s="15"/>
      <c r="E499" s="17"/>
      <c r="F499" s="15"/>
      <c r="G499" s="250"/>
      <c r="H499" s="243"/>
      <c r="I499" s="243"/>
      <c r="J499" s="243"/>
      <c r="K499" s="85"/>
      <c r="L499" s="85"/>
      <c r="M499" s="85"/>
      <c r="N499" s="29"/>
      <c r="O499" s="307"/>
      <c r="P499" s="29"/>
      <c r="Q499" s="15"/>
      <c r="R499" s="15"/>
      <c r="S499" s="15"/>
      <c r="T499" s="15"/>
      <c r="U499" s="15"/>
      <c r="V499" s="243"/>
      <c r="W499" s="15"/>
    </row>
    <row r="500">
      <c r="A500" s="34"/>
      <c r="B500" s="15"/>
      <c r="C500" s="15"/>
      <c r="D500" s="15"/>
      <c r="E500" s="17"/>
      <c r="F500" s="15"/>
      <c r="G500" s="250"/>
      <c r="H500" s="243"/>
      <c r="I500" s="243"/>
      <c r="J500" s="243"/>
      <c r="K500" s="85"/>
      <c r="L500" s="85"/>
      <c r="M500" s="85"/>
      <c r="N500" s="29"/>
      <c r="O500" s="307"/>
      <c r="P500" s="29"/>
      <c r="Q500" s="15"/>
      <c r="R500" s="15"/>
      <c r="S500" s="15"/>
      <c r="T500" s="15"/>
      <c r="U500" s="15"/>
      <c r="V500" s="243"/>
      <c r="W500" s="15"/>
    </row>
    <row r="501">
      <c r="A501" s="34"/>
      <c r="B501" s="15"/>
      <c r="C501" s="15"/>
      <c r="D501" s="15"/>
      <c r="E501" s="17"/>
      <c r="F501" s="15"/>
      <c r="G501" s="250"/>
      <c r="H501" s="243"/>
      <c r="I501" s="243"/>
      <c r="J501" s="243"/>
      <c r="K501" s="85"/>
      <c r="L501" s="85"/>
      <c r="M501" s="85"/>
      <c r="N501" s="29"/>
      <c r="O501" s="307"/>
      <c r="P501" s="29"/>
      <c r="Q501" s="15"/>
      <c r="R501" s="15"/>
      <c r="S501" s="15"/>
      <c r="T501" s="15"/>
      <c r="U501" s="15"/>
      <c r="V501" s="243"/>
      <c r="W501" s="15"/>
    </row>
    <row r="502">
      <c r="A502" s="34"/>
      <c r="B502" s="15"/>
      <c r="C502" s="15"/>
      <c r="D502" s="15"/>
      <c r="E502" s="17"/>
      <c r="F502" s="15"/>
      <c r="G502" s="250"/>
      <c r="H502" s="243"/>
      <c r="I502" s="243"/>
      <c r="J502" s="243"/>
      <c r="K502" s="85"/>
      <c r="L502" s="85"/>
      <c r="M502" s="85"/>
      <c r="N502" s="29"/>
      <c r="O502" s="307"/>
      <c r="P502" s="29"/>
      <c r="Q502" s="15"/>
      <c r="R502" s="15"/>
      <c r="S502" s="15"/>
      <c r="T502" s="15"/>
      <c r="U502" s="15"/>
      <c r="V502" s="243"/>
      <c r="W502" s="15"/>
    </row>
    <row r="503">
      <c r="A503" s="34"/>
      <c r="B503" s="15"/>
      <c r="C503" s="15"/>
      <c r="D503" s="15"/>
      <c r="E503" s="17"/>
      <c r="F503" s="15"/>
      <c r="G503" s="250"/>
      <c r="H503" s="243"/>
      <c r="I503" s="243"/>
      <c r="J503" s="243"/>
      <c r="K503" s="85"/>
      <c r="L503" s="85"/>
      <c r="M503" s="85"/>
      <c r="N503" s="29"/>
      <c r="O503" s="307"/>
      <c r="P503" s="29"/>
      <c r="Q503" s="15"/>
      <c r="R503" s="15"/>
      <c r="S503" s="15"/>
      <c r="T503" s="15"/>
      <c r="U503" s="15"/>
      <c r="V503" s="243"/>
      <c r="W503" s="15"/>
    </row>
    <row r="504">
      <c r="A504" s="34"/>
      <c r="B504" s="15"/>
      <c r="C504" s="15"/>
      <c r="D504" s="15"/>
      <c r="E504" s="17"/>
      <c r="F504" s="15"/>
      <c r="G504" s="250"/>
      <c r="H504" s="243"/>
      <c r="I504" s="243"/>
      <c r="J504" s="243"/>
      <c r="K504" s="85"/>
      <c r="L504" s="85"/>
      <c r="M504" s="85"/>
      <c r="N504" s="29"/>
      <c r="O504" s="307"/>
      <c r="P504" s="29"/>
      <c r="Q504" s="15"/>
      <c r="R504" s="15"/>
      <c r="S504" s="15"/>
      <c r="T504" s="15"/>
      <c r="U504" s="15"/>
      <c r="V504" s="243"/>
      <c r="W504" s="15"/>
    </row>
    <row r="505">
      <c r="A505" s="34"/>
      <c r="B505" s="15"/>
      <c r="C505" s="15"/>
      <c r="D505" s="15"/>
      <c r="E505" s="17"/>
      <c r="F505" s="15"/>
      <c r="G505" s="250"/>
      <c r="H505" s="243"/>
      <c r="I505" s="243"/>
      <c r="J505" s="243"/>
      <c r="K505" s="85"/>
      <c r="L505" s="85"/>
      <c r="M505" s="85"/>
      <c r="N505" s="29"/>
      <c r="O505" s="307"/>
      <c r="P505" s="29"/>
      <c r="Q505" s="15"/>
      <c r="R505" s="15"/>
      <c r="S505" s="15"/>
      <c r="T505" s="15"/>
      <c r="U505" s="15"/>
      <c r="V505" s="243"/>
      <c r="W505" s="15"/>
    </row>
    <row r="506">
      <c r="A506" s="34"/>
      <c r="B506" s="15"/>
      <c r="C506" s="15"/>
      <c r="D506" s="15"/>
      <c r="E506" s="17"/>
      <c r="F506" s="15"/>
      <c r="G506" s="250"/>
      <c r="H506" s="243"/>
      <c r="I506" s="243"/>
      <c r="J506" s="243"/>
      <c r="K506" s="85"/>
      <c r="L506" s="85"/>
      <c r="M506" s="85"/>
      <c r="N506" s="29"/>
      <c r="O506" s="307"/>
      <c r="P506" s="29"/>
      <c r="Q506" s="15"/>
      <c r="R506" s="15"/>
      <c r="S506" s="15"/>
      <c r="T506" s="15"/>
      <c r="U506" s="15"/>
      <c r="V506" s="243"/>
      <c r="W506" s="15"/>
    </row>
    <row r="507">
      <c r="A507" s="34"/>
      <c r="B507" s="15"/>
      <c r="C507" s="15"/>
      <c r="D507" s="15"/>
      <c r="E507" s="17"/>
      <c r="F507" s="15"/>
      <c r="G507" s="250"/>
      <c r="H507" s="243"/>
      <c r="I507" s="243"/>
      <c r="J507" s="243"/>
      <c r="K507" s="85"/>
      <c r="L507" s="85"/>
      <c r="M507" s="85"/>
      <c r="N507" s="29"/>
      <c r="O507" s="307"/>
      <c r="P507" s="29"/>
      <c r="Q507" s="15"/>
      <c r="R507" s="15"/>
      <c r="S507" s="15"/>
      <c r="T507" s="15"/>
      <c r="U507" s="15"/>
      <c r="V507" s="243"/>
      <c r="W507" s="15"/>
    </row>
    <row r="508">
      <c r="A508" s="34"/>
      <c r="B508" s="15"/>
      <c r="C508" s="15"/>
      <c r="D508" s="15"/>
      <c r="E508" s="17"/>
      <c r="F508" s="15"/>
      <c r="G508" s="250"/>
      <c r="H508" s="243"/>
      <c r="I508" s="243"/>
      <c r="J508" s="243"/>
      <c r="K508" s="85"/>
      <c r="L508" s="85"/>
      <c r="M508" s="85"/>
      <c r="N508" s="29"/>
      <c r="O508" s="307"/>
      <c r="P508" s="29"/>
      <c r="Q508" s="15"/>
      <c r="R508" s="15"/>
      <c r="S508" s="15"/>
      <c r="T508" s="15"/>
      <c r="U508" s="15"/>
      <c r="V508" s="243"/>
      <c r="W508" s="15"/>
    </row>
    <row r="509">
      <c r="A509" s="34"/>
      <c r="B509" s="15"/>
      <c r="C509" s="15"/>
      <c r="D509" s="15"/>
      <c r="E509" s="17"/>
      <c r="F509" s="15"/>
      <c r="G509" s="250"/>
      <c r="H509" s="243"/>
      <c r="I509" s="243"/>
      <c r="J509" s="243"/>
      <c r="K509" s="85"/>
      <c r="L509" s="85"/>
      <c r="M509" s="85"/>
      <c r="N509" s="29"/>
      <c r="O509" s="307"/>
      <c r="P509" s="29"/>
      <c r="Q509" s="15"/>
      <c r="R509" s="15"/>
      <c r="S509" s="15"/>
      <c r="T509" s="15"/>
      <c r="U509" s="15"/>
      <c r="V509" s="243"/>
      <c r="W509" s="15"/>
    </row>
    <row r="510">
      <c r="A510" s="34"/>
      <c r="B510" s="15"/>
      <c r="C510" s="15"/>
      <c r="D510" s="15"/>
      <c r="E510" s="17"/>
      <c r="F510" s="15"/>
      <c r="G510" s="250"/>
      <c r="H510" s="243"/>
      <c r="I510" s="243"/>
      <c r="J510" s="243"/>
      <c r="K510" s="85"/>
      <c r="L510" s="85"/>
      <c r="M510" s="85"/>
      <c r="N510" s="29"/>
      <c r="O510" s="307"/>
      <c r="P510" s="29"/>
      <c r="Q510" s="15"/>
      <c r="R510" s="15"/>
      <c r="S510" s="15"/>
      <c r="T510" s="15"/>
      <c r="U510" s="15"/>
      <c r="V510" s="243"/>
      <c r="W510" s="15"/>
    </row>
    <row r="511">
      <c r="A511" s="34"/>
      <c r="B511" s="15"/>
      <c r="C511" s="15"/>
      <c r="D511" s="15"/>
      <c r="E511" s="17"/>
      <c r="F511" s="15"/>
      <c r="G511" s="250"/>
      <c r="H511" s="243"/>
      <c r="I511" s="243"/>
      <c r="J511" s="243"/>
      <c r="K511" s="85"/>
      <c r="L511" s="85"/>
      <c r="M511" s="85"/>
      <c r="N511" s="29"/>
      <c r="O511" s="307"/>
      <c r="P511" s="29"/>
      <c r="Q511" s="15"/>
      <c r="R511" s="15"/>
      <c r="S511" s="15"/>
      <c r="T511" s="15"/>
      <c r="U511" s="15"/>
      <c r="V511" s="243"/>
      <c r="W511" s="15"/>
    </row>
    <row r="512">
      <c r="A512" s="34"/>
      <c r="B512" s="15"/>
      <c r="C512" s="15"/>
      <c r="D512" s="15"/>
      <c r="E512" s="17"/>
      <c r="F512" s="15"/>
      <c r="G512" s="250"/>
      <c r="H512" s="243"/>
      <c r="I512" s="243"/>
      <c r="J512" s="243"/>
      <c r="K512" s="85"/>
      <c r="L512" s="85"/>
      <c r="M512" s="85"/>
      <c r="N512" s="29"/>
      <c r="O512" s="307"/>
      <c r="P512" s="29"/>
      <c r="Q512" s="15"/>
      <c r="R512" s="15"/>
      <c r="S512" s="15"/>
      <c r="T512" s="15"/>
      <c r="U512" s="15"/>
      <c r="V512" s="243"/>
      <c r="W512" s="15"/>
    </row>
    <row r="513">
      <c r="A513" s="34"/>
      <c r="B513" s="15"/>
      <c r="C513" s="15"/>
      <c r="D513" s="15"/>
      <c r="E513" s="17"/>
      <c r="F513" s="15"/>
      <c r="G513" s="250"/>
      <c r="H513" s="243"/>
      <c r="I513" s="243"/>
      <c r="J513" s="243"/>
      <c r="K513" s="85"/>
      <c r="L513" s="85"/>
      <c r="M513" s="85"/>
      <c r="N513" s="29"/>
      <c r="O513" s="307"/>
      <c r="P513" s="29"/>
      <c r="Q513" s="15"/>
      <c r="R513" s="15"/>
      <c r="S513" s="15"/>
      <c r="T513" s="15"/>
      <c r="U513" s="15"/>
      <c r="V513" s="243"/>
      <c r="W513" s="15"/>
    </row>
    <row r="514">
      <c r="A514" s="34"/>
      <c r="B514" s="15"/>
      <c r="C514" s="15"/>
      <c r="D514" s="15"/>
      <c r="E514" s="17"/>
      <c r="F514" s="15"/>
      <c r="G514" s="250"/>
      <c r="H514" s="243"/>
      <c r="I514" s="243"/>
      <c r="J514" s="243"/>
      <c r="K514" s="85"/>
      <c r="L514" s="85"/>
      <c r="M514" s="85"/>
      <c r="N514" s="29"/>
      <c r="O514" s="307"/>
      <c r="P514" s="29"/>
      <c r="Q514" s="15"/>
      <c r="R514" s="15"/>
      <c r="S514" s="15"/>
      <c r="T514" s="15"/>
      <c r="U514" s="15"/>
      <c r="V514" s="243"/>
      <c r="W514" s="15"/>
    </row>
    <row r="515">
      <c r="A515" s="34"/>
      <c r="B515" s="15"/>
      <c r="C515" s="15"/>
      <c r="D515" s="15"/>
      <c r="E515" s="17"/>
      <c r="F515" s="15"/>
      <c r="G515" s="250"/>
      <c r="H515" s="243"/>
      <c r="I515" s="243"/>
      <c r="J515" s="243"/>
      <c r="K515" s="85"/>
      <c r="L515" s="85"/>
      <c r="M515" s="85"/>
      <c r="N515" s="29"/>
      <c r="O515" s="307"/>
      <c r="P515" s="29"/>
      <c r="Q515" s="15"/>
      <c r="R515" s="15"/>
      <c r="S515" s="15"/>
      <c r="T515" s="15"/>
      <c r="U515" s="15"/>
      <c r="V515" s="243"/>
      <c r="W515" s="15"/>
    </row>
    <row r="516">
      <c r="A516" s="34"/>
      <c r="B516" s="15"/>
      <c r="C516" s="15"/>
      <c r="D516" s="15"/>
      <c r="E516" s="17"/>
      <c r="F516" s="15"/>
      <c r="G516" s="250"/>
      <c r="H516" s="243"/>
      <c r="I516" s="243"/>
      <c r="J516" s="243"/>
      <c r="K516" s="85"/>
      <c r="L516" s="85"/>
      <c r="M516" s="85"/>
      <c r="N516" s="29"/>
      <c r="O516" s="307"/>
      <c r="P516" s="29"/>
      <c r="Q516" s="15"/>
      <c r="R516" s="15"/>
      <c r="S516" s="15"/>
      <c r="T516" s="15"/>
      <c r="U516" s="15"/>
      <c r="V516" s="243"/>
      <c r="W516" s="15"/>
    </row>
    <row r="517">
      <c r="A517" s="34"/>
      <c r="B517" s="15"/>
      <c r="C517" s="15"/>
      <c r="D517" s="15"/>
      <c r="E517" s="17"/>
      <c r="F517" s="15"/>
      <c r="G517" s="250"/>
      <c r="H517" s="243"/>
      <c r="I517" s="243"/>
      <c r="J517" s="243"/>
      <c r="K517" s="85"/>
      <c r="L517" s="85"/>
      <c r="M517" s="85"/>
      <c r="N517" s="29"/>
      <c r="O517" s="307"/>
      <c r="P517" s="29"/>
      <c r="Q517" s="15"/>
      <c r="R517" s="15"/>
      <c r="S517" s="15"/>
      <c r="T517" s="15"/>
      <c r="U517" s="15"/>
      <c r="V517" s="243"/>
      <c r="W517" s="15"/>
    </row>
    <row r="518">
      <c r="A518" s="34"/>
      <c r="B518" s="15"/>
      <c r="C518" s="15"/>
      <c r="D518" s="15"/>
      <c r="E518" s="17"/>
      <c r="F518" s="15"/>
      <c r="G518" s="250"/>
      <c r="H518" s="243"/>
      <c r="I518" s="243"/>
      <c r="J518" s="243"/>
      <c r="K518" s="85"/>
      <c r="L518" s="85"/>
      <c r="M518" s="85"/>
      <c r="N518" s="29"/>
      <c r="O518" s="307"/>
      <c r="P518" s="29"/>
      <c r="Q518" s="15"/>
      <c r="R518" s="15"/>
      <c r="S518" s="15"/>
      <c r="T518" s="15"/>
      <c r="U518" s="15"/>
      <c r="V518" s="243"/>
      <c r="W518" s="15"/>
    </row>
    <row r="519">
      <c r="A519" s="34"/>
      <c r="B519" s="15"/>
      <c r="C519" s="15"/>
      <c r="D519" s="15"/>
      <c r="E519" s="17"/>
      <c r="F519" s="15"/>
      <c r="G519" s="250"/>
      <c r="H519" s="243"/>
      <c r="I519" s="243"/>
      <c r="J519" s="243"/>
      <c r="K519" s="85"/>
      <c r="L519" s="85"/>
      <c r="M519" s="85"/>
      <c r="N519" s="29"/>
      <c r="O519" s="307"/>
      <c r="P519" s="29"/>
      <c r="Q519" s="15"/>
      <c r="R519" s="15"/>
      <c r="S519" s="15"/>
      <c r="T519" s="15"/>
      <c r="U519" s="15"/>
      <c r="V519" s="243"/>
      <c r="W519" s="15"/>
    </row>
    <row r="520">
      <c r="A520" s="34"/>
      <c r="B520" s="15"/>
      <c r="C520" s="15"/>
      <c r="D520" s="15"/>
      <c r="E520" s="17"/>
      <c r="F520" s="15"/>
      <c r="G520" s="250"/>
      <c r="H520" s="243"/>
      <c r="I520" s="243"/>
      <c r="J520" s="243"/>
      <c r="K520" s="85"/>
      <c r="L520" s="85"/>
      <c r="M520" s="85"/>
      <c r="N520" s="29"/>
      <c r="O520" s="307"/>
      <c r="P520" s="29"/>
      <c r="Q520" s="15"/>
      <c r="R520" s="15"/>
      <c r="S520" s="15"/>
      <c r="T520" s="15"/>
      <c r="U520" s="15"/>
      <c r="V520" s="243"/>
      <c r="W520" s="15"/>
    </row>
    <row r="521">
      <c r="A521" s="34"/>
      <c r="B521" s="15"/>
      <c r="C521" s="15"/>
      <c r="D521" s="15"/>
      <c r="E521" s="17"/>
      <c r="F521" s="15"/>
      <c r="G521" s="250"/>
      <c r="H521" s="243"/>
      <c r="I521" s="243"/>
      <c r="J521" s="243"/>
      <c r="K521" s="85"/>
      <c r="L521" s="85"/>
      <c r="M521" s="85"/>
      <c r="N521" s="29"/>
      <c r="O521" s="307"/>
      <c r="P521" s="29"/>
      <c r="Q521" s="15"/>
      <c r="R521" s="15"/>
      <c r="S521" s="15"/>
      <c r="T521" s="15"/>
      <c r="U521" s="15"/>
      <c r="V521" s="243"/>
      <c r="W521" s="15"/>
    </row>
    <row r="522">
      <c r="A522" s="34"/>
      <c r="B522" s="15"/>
      <c r="C522" s="15"/>
      <c r="D522" s="15"/>
      <c r="E522" s="17"/>
      <c r="F522" s="15"/>
      <c r="G522" s="250"/>
      <c r="H522" s="243"/>
      <c r="I522" s="243"/>
      <c r="J522" s="243"/>
      <c r="K522" s="85"/>
      <c r="L522" s="85"/>
      <c r="M522" s="85"/>
      <c r="N522" s="29"/>
      <c r="O522" s="307"/>
      <c r="P522" s="29"/>
      <c r="Q522" s="15"/>
      <c r="R522" s="15"/>
      <c r="S522" s="15"/>
      <c r="T522" s="15"/>
      <c r="U522" s="15"/>
      <c r="V522" s="243"/>
      <c r="W522" s="15"/>
    </row>
    <row r="523">
      <c r="A523" s="34"/>
      <c r="B523" s="15"/>
      <c r="C523" s="15"/>
      <c r="D523" s="15"/>
      <c r="E523" s="17"/>
      <c r="F523" s="15"/>
      <c r="G523" s="250"/>
      <c r="H523" s="243"/>
      <c r="I523" s="243"/>
      <c r="J523" s="243"/>
      <c r="K523" s="85"/>
      <c r="L523" s="85"/>
      <c r="M523" s="85"/>
      <c r="N523" s="29"/>
      <c r="O523" s="307"/>
      <c r="P523" s="29"/>
      <c r="Q523" s="15"/>
      <c r="R523" s="15"/>
      <c r="S523" s="15"/>
      <c r="T523" s="15"/>
      <c r="U523" s="15"/>
      <c r="V523" s="243"/>
      <c r="W523" s="15"/>
    </row>
    <row r="524">
      <c r="A524" s="34"/>
      <c r="B524" s="15"/>
      <c r="C524" s="15"/>
      <c r="D524" s="15"/>
      <c r="E524" s="17"/>
      <c r="F524" s="15"/>
      <c r="G524" s="250"/>
      <c r="H524" s="243"/>
      <c r="I524" s="243"/>
      <c r="J524" s="243"/>
      <c r="K524" s="85"/>
      <c r="L524" s="85"/>
      <c r="M524" s="85"/>
      <c r="N524" s="29"/>
      <c r="O524" s="307"/>
      <c r="P524" s="29"/>
      <c r="Q524" s="15"/>
      <c r="R524" s="15"/>
      <c r="S524" s="15"/>
      <c r="T524" s="15"/>
      <c r="U524" s="15"/>
      <c r="V524" s="243"/>
      <c r="W524" s="15"/>
    </row>
    <row r="525">
      <c r="A525" s="34"/>
      <c r="B525" s="15"/>
      <c r="C525" s="15"/>
      <c r="D525" s="15"/>
      <c r="E525" s="17"/>
      <c r="F525" s="15"/>
      <c r="G525" s="250"/>
      <c r="H525" s="243"/>
      <c r="I525" s="243"/>
      <c r="J525" s="243"/>
      <c r="K525" s="85"/>
      <c r="L525" s="85"/>
      <c r="M525" s="85"/>
      <c r="N525" s="29"/>
      <c r="O525" s="307"/>
      <c r="P525" s="29"/>
      <c r="Q525" s="15"/>
      <c r="R525" s="15"/>
      <c r="S525" s="15"/>
      <c r="T525" s="15"/>
      <c r="U525" s="15"/>
      <c r="V525" s="243"/>
      <c r="W525" s="15"/>
    </row>
    <row r="526">
      <c r="A526" s="34"/>
      <c r="B526" s="15"/>
      <c r="C526" s="15"/>
      <c r="D526" s="15"/>
      <c r="E526" s="17"/>
      <c r="F526" s="15"/>
      <c r="G526" s="250"/>
      <c r="H526" s="243"/>
      <c r="I526" s="243"/>
      <c r="J526" s="243"/>
      <c r="K526" s="85"/>
      <c r="L526" s="85"/>
      <c r="M526" s="85"/>
      <c r="N526" s="29"/>
      <c r="O526" s="307"/>
      <c r="P526" s="29"/>
      <c r="Q526" s="15"/>
      <c r="R526" s="15"/>
      <c r="S526" s="15"/>
      <c r="T526" s="15"/>
      <c r="U526" s="15"/>
      <c r="V526" s="243"/>
      <c r="W526" s="15"/>
    </row>
    <row r="527">
      <c r="A527" s="34"/>
      <c r="B527" s="15"/>
      <c r="C527" s="15"/>
      <c r="D527" s="15"/>
      <c r="E527" s="17"/>
      <c r="F527" s="15"/>
      <c r="G527" s="250"/>
      <c r="H527" s="243"/>
      <c r="I527" s="243"/>
      <c r="J527" s="243"/>
      <c r="K527" s="85"/>
      <c r="L527" s="85"/>
      <c r="M527" s="85"/>
      <c r="N527" s="29"/>
      <c r="O527" s="307"/>
      <c r="P527" s="29"/>
      <c r="Q527" s="15"/>
      <c r="R527" s="15"/>
      <c r="S527" s="15"/>
      <c r="T527" s="15"/>
      <c r="U527" s="15"/>
      <c r="V527" s="243"/>
      <c r="W527" s="15"/>
    </row>
    <row r="528">
      <c r="A528" s="34"/>
      <c r="B528" s="15"/>
      <c r="C528" s="15"/>
      <c r="D528" s="15"/>
      <c r="E528" s="17"/>
      <c r="F528" s="15"/>
      <c r="G528" s="250"/>
      <c r="H528" s="243"/>
      <c r="I528" s="243"/>
      <c r="J528" s="243"/>
      <c r="K528" s="85"/>
      <c r="L528" s="85"/>
      <c r="M528" s="85"/>
      <c r="N528" s="29"/>
      <c r="O528" s="307"/>
      <c r="P528" s="29"/>
      <c r="Q528" s="15"/>
      <c r="R528" s="15"/>
      <c r="S528" s="15"/>
      <c r="T528" s="15"/>
      <c r="U528" s="15"/>
      <c r="V528" s="243"/>
      <c r="W528" s="15"/>
    </row>
    <row r="529">
      <c r="A529" s="34"/>
      <c r="B529" s="15"/>
      <c r="C529" s="15"/>
      <c r="D529" s="15"/>
      <c r="E529" s="17"/>
      <c r="F529" s="15"/>
      <c r="G529" s="250"/>
      <c r="H529" s="243"/>
      <c r="I529" s="243"/>
      <c r="J529" s="243"/>
      <c r="K529" s="85"/>
      <c r="L529" s="85"/>
      <c r="M529" s="85"/>
      <c r="N529" s="29"/>
      <c r="O529" s="307"/>
      <c r="P529" s="29"/>
      <c r="Q529" s="15"/>
      <c r="R529" s="15"/>
      <c r="S529" s="15"/>
      <c r="T529" s="15"/>
      <c r="U529" s="15"/>
      <c r="V529" s="243"/>
      <c r="W529" s="15"/>
    </row>
    <row r="530">
      <c r="A530" s="34"/>
      <c r="B530" s="15"/>
      <c r="C530" s="15"/>
      <c r="D530" s="15"/>
      <c r="E530" s="17"/>
      <c r="F530" s="15"/>
      <c r="G530" s="250"/>
      <c r="H530" s="243"/>
      <c r="I530" s="243"/>
      <c r="J530" s="243"/>
      <c r="K530" s="85"/>
      <c r="L530" s="85"/>
      <c r="M530" s="85"/>
      <c r="N530" s="29"/>
      <c r="O530" s="307"/>
      <c r="P530" s="29"/>
      <c r="Q530" s="15"/>
      <c r="R530" s="15"/>
      <c r="S530" s="15"/>
      <c r="T530" s="15"/>
      <c r="U530" s="15"/>
      <c r="V530" s="243"/>
      <c r="W530" s="15"/>
    </row>
    <row r="531">
      <c r="A531" s="34"/>
      <c r="B531" s="15"/>
      <c r="C531" s="15"/>
      <c r="D531" s="15"/>
      <c r="E531" s="17"/>
      <c r="F531" s="15"/>
      <c r="G531" s="250"/>
      <c r="H531" s="243"/>
      <c r="I531" s="243"/>
      <c r="J531" s="243"/>
      <c r="K531" s="85"/>
      <c r="L531" s="85"/>
      <c r="M531" s="85"/>
      <c r="N531" s="29"/>
      <c r="O531" s="307"/>
      <c r="P531" s="29"/>
      <c r="Q531" s="15"/>
      <c r="R531" s="15"/>
      <c r="S531" s="15"/>
      <c r="T531" s="15"/>
      <c r="U531" s="15"/>
      <c r="V531" s="243"/>
      <c r="W531" s="15"/>
    </row>
    <row r="532">
      <c r="A532" s="34"/>
      <c r="B532" s="15"/>
      <c r="C532" s="15"/>
      <c r="D532" s="15"/>
      <c r="E532" s="17"/>
      <c r="F532" s="15"/>
      <c r="G532" s="250"/>
      <c r="H532" s="243"/>
      <c r="I532" s="243"/>
      <c r="J532" s="243"/>
      <c r="K532" s="85"/>
      <c r="L532" s="85"/>
      <c r="M532" s="85"/>
      <c r="N532" s="29"/>
      <c r="O532" s="307"/>
      <c r="P532" s="29"/>
      <c r="Q532" s="15"/>
      <c r="R532" s="15"/>
      <c r="S532" s="15"/>
      <c r="T532" s="15"/>
      <c r="U532" s="15"/>
      <c r="V532" s="243"/>
      <c r="W532" s="15"/>
    </row>
    <row r="533">
      <c r="A533" s="34"/>
      <c r="B533" s="15"/>
      <c r="C533" s="15"/>
      <c r="D533" s="15"/>
      <c r="E533" s="17"/>
      <c r="F533" s="15"/>
      <c r="G533" s="250"/>
      <c r="H533" s="243"/>
      <c r="I533" s="243"/>
      <c r="J533" s="243"/>
      <c r="K533" s="85"/>
      <c r="L533" s="85"/>
      <c r="M533" s="85"/>
      <c r="N533" s="29"/>
      <c r="O533" s="307"/>
      <c r="P533" s="29"/>
      <c r="Q533" s="15"/>
      <c r="R533" s="15"/>
      <c r="S533" s="15"/>
      <c r="T533" s="15"/>
      <c r="U533" s="15"/>
      <c r="V533" s="243"/>
      <c r="W533" s="15"/>
    </row>
    <row r="534">
      <c r="A534" s="34"/>
      <c r="B534" s="15"/>
      <c r="C534" s="15"/>
      <c r="D534" s="15"/>
      <c r="E534" s="17"/>
      <c r="F534" s="15"/>
      <c r="G534" s="250"/>
      <c r="H534" s="243"/>
      <c r="I534" s="243"/>
      <c r="J534" s="243"/>
      <c r="K534" s="85"/>
      <c r="L534" s="85"/>
      <c r="M534" s="85"/>
      <c r="N534" s="29"/>
      <c r="O534" s="307"/>
      <c r="P534" s="29"/>
      <c r="Q534" s="15"/>
      <c r="R534" s="15"/>
      <c r="S534" s="15"/>
      <c r="T534" s="15"/>
      <c r="U534" s="15"/>
      <c r="V534" s="243"/>
      <c r="W534" s="15"/>
    </row>
    <row r="535">
      <c r="A535" s="34"/>
      <c r="B535" s="15"/>
      <c r="C535" s="15"/>
      <c r="D535" s="15"/>
      <c r="E535" s="17"/>
      <c r="F535" s="15"/>
      <c r="G535" s="250"/>
      <c r="H535" s="243"/>
      <c r="I535" s="243"/>
      <c r="J535" s="243"/>
      <c r="K535" s="85"/>
      <c r="L535" s="85"/>
      <c r="M535" s="85"/>
      <c r="N535" s="29"/>
      <c r="O535" s="307"/>
      <c r="P535" s="29"/>
      <c r="Q535" s="15"/>
      <c r="R535" s="15"/>
      <c r="S535" s="15"/>
      <c r="T535" s="15"/>
      <c r="U535" s="15"/>
      <c r="V535" s="243"/>
      <c r="W535" s="15"/>
    </row>
    <row r="536">
      <c r="A536" s="34"/>
      <c r="B536" s="15"/>
      <c r="C536" s="15"/>
      <c r="D536" s="15"/>
      <c r="E536" s="17"/>
      <c r="F536" s="15"/>
      <c r="G536" s="250"/>
      <c r="H536" s="243"/>
      <c r="I536" s="243"/>
      <c r="J536" s="243"/>
      <c r="K536" s="85"/>
      <c r="L536" s="85"/>
      <c r="M536" s="85"/>
      <c r="N536" s="29"/>
      <c r="O536" s="307"/>
      <c r="P536" s="29"/>
      <c r="Q536" s="15"/>
      <c r="R536" s="15"/>
      <c r="S536" s="15"/>
      <c r="T536" s="15"/>
      <c r="U536" s="15"/>
      <c r="V536" s="243"/>
      <c r="W536" s="15"/>
    </row>
    <row r="537">
      <c r="A537" s="34"/>
      <c r="B537" s="15"/>
      <c r="C537" s="15"/>
      <c r="D537" s="15"/>
      <c r="E537" s="17"/>
      <c r="F537" s="15"/>
      <c r="G537" s="250"/>
      <c r="H537" s="243"/>
      <c r="I537" s="243"/>
      <c r="J537" s="243"/>
      <c r="K537" s="85"/>
      <c r="L537" s="85"/>
      <c r="M537" s="85"/>
      <c r="N537" s="29"/>
      <c r="O537" s="307"/>
      <c r="P537" s="29"/>
      <c r="Q537" s="15"/>
      <c r="R537" s="15"/>
      <c r="S537" s="15"/>
      <c r="T537" s="15"/>
      <c r="U537" s="15"/>
      <c r="V537" s="243"/>
      <c r="W537" s="15"/>
    </row>
    <row r="538">
      <c r="A538" s="34"/>
      <c r="B538" s="15"/>
      <c r="C538" s="15"/>
      <c r="D538" s="15"/>
      <c r="E538" s="17"/>
      <c r="F538" s="15"/>
      <c r="G538" s="250"/>
      <c r="H538" s="243"/>
      <c r="I538" s="243"/>
      <c r="J538" s="243"/>
      <c r="K538" s="85"/>
      <c r="L538" s="85"/>
      <c r="M538" s="85"/>
      <c r="N538" s="29"/>
      <c r="O538" s="307"/>
      <c r="P538" s="29"/>
      <c r="Q538" s="15"/>
      <c r="R538" s="15"/>
      <c r="S538" s="15"/>
      <c r="T538" s="15"/>
      <c r="U538" s="15"/>
      <c r="V538" s="243"/>
      <c r="W538" s="15"/>
    </row>
    <row r="539">
      <c r="A539" s="34"/>
      <c r="B539" s="15"/>
      <c r="C539" s="15"/>
      <c r="D539" s="15"/>
      <c r="E539" s="17"/>
      <c r="F539" s="15"/>
      <c r="G539" s="250"/>
      <c r="H539" s="243"/>
      <c r="I539" s="243"/>
      <c r="J539" s="243"/>
      <c r="K539" s="85"/>
      <c r="L539" s="85"/>
      <c r="M539" s="85"/>
      <c r="N539" s="29"/>
      <c r="O539" s="307"/>
      <c r="P539" s="29"/>
      <c r="Q539" s="15"/>
      <c r="R539" s="15"/>
      <c r="S539" s="15"/>
      <c r="T539" s="15"/>
      <c r="U539" s="15"/>
      <c r="V539" s="243"/>
      <c r="W539" s="15"/>
    </row>
    <row r="540">
      <c r="A540" s="34"/>
      <c r="B540" s="15"/>
      <c r="C540" s="15"/>
      <c r="D540" s="15"/>
      <c r="E540" s="17"/>
      <c r="F540" s="15"/>
      <c r="G540" s="250"/>
      <c r="H540" s="243"/>
      <c r="I540" s="243"/>
      <c r="J540" s="243"/>
      <c r="K540" s="85"/>
      <c r="L540" s="85"/>
      <c r="M540" s="85"/>
      <c r="N540" s="29"/>
      <c r="O540" s="307"/>
      <c r="P540" s="29"/>
      <c r="Q540" s="15"/>
      <c r="R540" s="15"/>
      <c r="S540" s="15"/>
      <c r="T540" s="15"/>
      <c r="U540" s="15"/>
      <c r="V540" s="243"/>
      <c r="W540" s="15"/>
    </row>
    <row r="541">
      <c r="A541" s="34"/>
      <c r="B541" s="15"/>
      <c r="C541" s="15"/>
      <c r="D541" s="15"/>
      <c r="E541" s="17"/>
      <c r="F541" s="15"/>
      <c r="G541" s="250"/>
      <c r="H541" s="243"/>
      <c r="I541" s="243"/>
      <c r="J541" s="243"/>
      <c r="K541" s="85"/>
      <c r="L541" s="85"/>
      <c r="M541" s="85"/>
      <c r="N541" s="29"/>
      <c r="O541" s="307"/>
      <c r="P541" s="29"/>
      <c r="Q541" s="15"/>
      <c r="R541" s="15"/>
      <c r="S541" s="15"/>
      <c r="T541" s="15"/>
      <c r="U541" s="15"/>
      <c r="V541" s="243"/>
      <c r="W541" s="15"/>
    </row>
    <row r="542">
      <c r="A542" s="34"/>
      <c r="B542" s="15"/>
      <c r="C542" s="15"/>
      <c r="D542" s="15"/>
      <c r="E542" s="17"/>
      <c r="F542" s="15"/>
      <c r="G542" s="250"/>
      <c r="H542" s="243"/>
      <c r="I542" s="243"/>
      <c r="J542" s="243"/>
      <c r="K542" s="85"/>
      <c r="L542" s="85"/>
      <c r="M542" s="85"/>
      <c r="N542" s="29"/>
      <c r="O542" s="307"/>
      <c r="P542" s="29"/>
      <c r="Q542" s="15"/>
      <c r="R542" s="15"/>
      <c r="S542" s="15"/>
      <c r="T542" s="15"/>
      <c r="U542" s="15"/>
      <c r="V542" s="243"/>
      <c r="W542" s="15"/>
    </row>
    <row r="543">
      <c r="A543" s="34"/>
      <c r="B543" s="15"/>
      <c r="C543" s="15"/>
      <c r="D543" s="15"/>
      <c r="E543" s="17"/>
      <c r="F543" s="15"/>
      <c r="G543" s="250"/>
      <c r="H543" s="243"/>
      <c r="I543" s="243"/>
      <c r="J543" s="243"/>
      <c r="K543" s="85"/>
      <c r="L543" s="85"/>
      <c r="M543" s="85"/>
      <c r="N543" s="29"/>
      <c r="O543" s="307"/>
      <c r="P543" s="29"/>
      <c r="Q543" s="15"/>
      <c r="R543" s="15"/>
      <c r="S543" s="15"/>
      <c r="T543" s="15"/>
      <c r="U543" s="15"/>
      <c r="V543" s="243"/>
      <c r="W543" s="15"/>
    </row>
    <row r="544">
      <c r="A544" s="34"/>
      <c r="B544" s="15"/>
      <c r="C544" s="15"/>
      <c r="D544" s="15"/>
      <c r="E544" s="17"/>
      <c r="F544" s="15"/>
      <c r="G544" s="250"/>
      <c r="H544" s="243"/>
      <c r="I544" s="243"/>
      <c r="J544" s="243"/>
      <c r="K544" s="85"/>
      <c r="L544" s="85"/>
      <c r="M544" s="85"/>
      <c r="N544" s="29"/>
      <c r="O544" s="307"/>
      <c r="P544" s="29"/>
      <c r="Q544" s="15"/>
      <c r="R544" s="15"/>
      <c r="S544" s="15"/>
      <c r="T544" s="15"/>
      <c r="U544" s="15"/>
      <c r="V544" s="243"/>
      <c r="W544" s="15"/>
    </row>
    <row r="545">
      <c r="A545" s="34"/>
      <c r="B545" s="15"/>
      <c r="C545" s="15"/>
      <c r="D545" s="15"/>
      <c r="E545" s="17"/>
      <c r="F545" s="15"/>
      <c r="G545" s="250"/>
      <c r="H545" s="243"/>
      <c r="I545" s="243"/>
      <c r="J545" s="243"/>
      <c r="K545" s="85"/>
      <c r="L545" s="85"/>
      <c r="M545" s="85"/>
      <c r="N545" s="29"/>
      <c r="O545" s="307"/>
      <c r="P545" s="29"/>
      <c r="Q545" s="15"/>
      <c r="R545" s="15"/>
      <c r="S545" s="15"/>
      <c r="T545" s="15"/>
      <c r="U545" s="15"/>
      <c r="V545" s="243"/>
      <c r="W545" s="15"/>
    </row>
    <row r="546">
      <c r="A546" s="34"/>
      <c r="B546" s="15"/>
      <c r="C546" s="15"/>
      <c r="D546" s="15"/>
      <c r="E546" s="17"/>
      <c r="F546" s="15"/>
      <c r="G546" s="250"/>
      <c r="H546" s="243"/>
      <c r="I546" s="243"/>
      <c r="J546" s="243"/>
      <c r="K546" s="85"/>
      <c r="L546" s="85"/>
      <c r="M546" s="85"/>
      <c r="N546" s="29"/>
      <c r="O546" s="307"/>
      <c r="P546" s="29"/>
      <c r="Q546" s="15"/>
      <c r="R546" s="15"/>
      <c r="S546" s="15"/>
      <c r="T546" s="15"/>
      <c r="U546" s="15"/>
      <c r="V546" s="243"/>
      <c r="W546" s="15"/>
    </row>
    <row r="547">
      <c r="A547" s="34"/>
      <c r="B547" s="15"/>
      <c r="C547" s="15"/>
      <c r="D547" s="15"/>
      <c r="E547" s="17"/>
      <c r="F547" s="15"/>
      <c r="G547" s="250"/>
      <c r="H547" s="243"/>
      <c r="I547" s="243"/>
      <c r="J547" s="243"/>
      <c r="K547" s="85"/>
      <c r="L547" s="85"/>
      <c r="M547" s="85"/>
      <c r="N547" s="29"/>
      <c r="O547" s="307"/>
      <c r="P547" s="29"/>
      <c r="Q547" s="15"/>
      <c r="R547" s="15"/>
      <c r="S547" s="15"/>
      <c r="T547" s="15"/>
      <c r="U547" s="15"/>
      <c r="V547" s="243"/>
      <c r="W547" s="15"/>
    </row>
    <row r="548">
      <c r="A548" s="34"/>
      <c r="B548" s="15"/>
      <c r="C548" s="15"/>
      <c r="D548" s="15"/>
      <c r="E548" s="17"/>
      <c r="F548" s="15"/>
      <c r="G548" s="250"/>
      <c r="H548" s="243"/>
      <c r="I548" s="243"/>
      <c r="J548" s="243"/>
      <c r="K548" s="85"/>
      <c r="L548" s="85"/>
      <c r="M548" s="85"/>
      <c r="N548" s="29"/>
      <c r="O548" s="307"/>
      <c r="P548" s="29"/>
      <c r="Q548" s="15"/>
      <c r="R548" s="15"/>
      <c r="S548" s="15"/>
      <c r="T548" s="15"/>
      <c r="U548" s="15"/>
      <c r="V548" s="243"/>
      <c r="W548" s="15"/>
    </row>
    <row r="549">
      <c r="A549" s="34"/>
      <c r="B549" s="15"/>
      <c r="C549" s="15"/>
      <c r="D549" s="15"/>
      <c r="E549" s="17"/>
      <c r="F549" s="15"/>
      <c r="G549" s="250"/>
      <c r="H549" s="243"/>
      <c r="I549" s="243"/>
      <c r="J549" s="243"/>
      <c r="K549" s="85"/>
      <c r="L549" s="85"/>
      <c r="M549" s="85"/>
      <c r="N549" s="29"/>
      <c r="O549" s="307"/>
      <c r="P549" s="29"/>
      <c r="Q549" s="15"/>
      <c r="R549" s="15"/>
      <c r="S549" s="15"/>
      <c r="T549" s="15"/>
      <c r="U549" s="15"/>
      <c r="V549" s="243"/>
      <c r="W549" s="15"/>
    </row>
    <row r="550">
      <c r="A550" s="34"/>
      <c r="B550" s="15"/>
      <c r="C550" s="15"/>
      <c r="D550" s="15"/>
      <c r="E550" s="17"/>
      <c r="F550" s="15"/>
      <c r="G550" s="250"/>
      <c r="H550" s="243"/>
      <c r="I550" s="243"/>
      <c r="J550" s="243"/>
      <c r="K550" s="85"/>
      <c r="L550" s="85"/>
      <c r="M550" s="85"/>
      <c r="N550" s="29"/>
      <c r="O550" s="307"/>
      <c r="P550" s="29"/>
      <c r="Q550" s="15"/>
      <c r="R550" s="15"/>
      <c r="S550" s="15"/>
      <c r="T550" s="15"/>
      <c r="U550" s="15"/>
      <c r="V550" s="243"/>
      <c r="W550" s="15"/>
    </row>
    <row r="551">
      <c r="A551" s="34"/>
      <c r="B551" s="15"/>
      <c r="C551" s="15"/>
      <c r="D551" s="15"/>
      <c r="E551" s="17"/>
      <c r="F551" s="15"/>
      <c r="G551" s="250"/>
      <c r="H551" s="243"/>
      <c r="I551" s="243"/>
      <c r="J551" s="243"/>
      <c r="K551" s="85"/>
      <c r="L551" s="85"/>
      <c r="M551" s="85"/>
      <c r="N551" s="29"/>
      <c r="O551" s="307"/>
      <c r="P551" s="29"/>
      <c r="Q551" s="15"/>
      <c r="R551" s="15"/>
      <c r="S551" s="15"/>
      <c r="T551" s="15"/>
      <c r="U551" s="15"/>
      <c r="V551" s="243"/>
      <c r="W551" s="15"/>
    </row>
    <row r="552">
      <c r="A552" s="34"/>
      <c r="B552" s="15"/>
      <c r="C552" s="15"/>
      <c r="D552" s="15"/>
      <c r="E552" s="17"/>
      <c r="F552" s="15"/>
      <c r="G552" s="250"/>
      <c r="H552" s="243"/>
      <c r="I552" s="243"/>
      <c r="J552" s="243"/>
      <c r="K552" s="85"/>
      <c r="L552" s="85"/>
      <c r="M552" s="85"/>
      <c r="N552" s="29"/>
      <c r="O552" s="307"/>
      <c r="P552" s="29"/>
      <c r="Q552" s="15"/>
      <c r="R552" s="15"/>
      <c r="S552" s="15"/>
      <c r="T552" s="15"/>
      <c r="U552" s="15"/>
      <c r="V552" s="243"/>
      <c r="W552" s="15"/>
    </row>
    <row r="553">
      <c r="A553" s="34"/>
      <c r="B553" s="15"/>
      <c r="C553" s="15"/>
      <c r="D553" s="15"/>
      <c r="E553" s="17"/>
      <c r="F553" s="15"/>
      <c r="G553" s="250"/>
      <c r="H553" s="243"/>
      <c r="I553" s="243"/>
      <c r="J553" s="243"/>
      <c r="K553" s="85"/>
      <c r="L553" s="85"/>
      <c r="M553" s="85"/>
      <c r="N553" s="29"/>
      <c r="O553" s="307"/>
      <c r="P553" s="29"/>
      <c r="Q553" s="15"/>
      <c r="R553" s="15"/>
      <c r="S553" s="15"/>
      <c r="T553" s="15"/>
      <c r="U553" s="15"/>
      <c r="V553" s="243"/>
      <c r="W553" s="15"/>
    </row>
    <row r="554">
      <c r="A554" s="34"/>
      <c r="B554" s="15"/>
      <c r="C554" s="15"/>
      <c r="D554" s="15"/>
      <c r="E554" s="17"/>
      <c r="F554" s="15"/>
      <c r="G554" s="250"/>
      <c r="H554" s="243"/>
      <c r="I554" s="243"/>
      <c r="J554" s="243"/>
      <c r="K554" s="85"/>
      <c r="L554" s="85"/>
      <c r="M554" s="85"/>
      <c r="N554" s="29"/>
      <c r="O554" s="307"/>
      <c r="P554" s="29"/>
      <c r="Q554" s="15"/>
      <c r="R554" s="15"/>
      <c r="S554" s="15"/>
      <c r="T554" s="15"/>
      <c r="U554" s="15"/>
      <c r="V554" s="243"/>
      <c r="W554" s="15"/>
    </row>
    <row r="555">
      <c r="A555" s="34"/>
      <c r="B555" s="15"/>
      <c r="C555" s="15"/>
      <c r="D555" s="15"/>
      <c r="E555" s="17"/>
      <c r="F555" s="15"/>
      <c r="G555" s="250"/>
      <c r="H555" s="243"/>
      <c r="I555" s="243"/>
      <c r="J555" s="243"/>
      <c r="K555" s="85"/>
      <c r="L555" s="85"/>
      <c r="M555" s="85"/>
      <c r="N555" s="29"/>
      <c r="O555" s="307"/>
      <c r="P555" s="29"/>
      <c r="Q555" s="15"/>
      <c r="R555" s="15"/>
      <c r="S555" s="15"/>
      <c r="T555" s="15"/>
      <c r="U555" s="15"/>
      <c r="V555" s="243"/>
      <c r="W555" s="15"/>
    </row>
    <row r="556">
      <c r="A556" s="34"/>
      <c r="B556" s="15"/>
      <c r="C556" s="15"/>
      <c r="D556" s="15"/>
      <c r="E556" s="17"/>
      <c r="F556" s="15"/>
      <c r="G556" s="250"/>
      <c r="H556" s="243"/>
      <c r="I556" s="243"/>
      <c r="J556" s="243"/>
      <c r="K556" s="85"/>
      <c r="L556" s="85"/>
      <c r="M556" s="85"/>
      <c r="N556" s="29"/>
      <c r="O556" s="307"/>
      <c r="P556" s="29"/>
      <c r="Q556" s="15"/>
      <c r="R556" s="15"/>
      <c r="S556" s="15"/>
      <c r="T556" s="15"/>
      <c r="U556" s="15"/>
      <c r="V556" s="243"/>
      <c r="W556" s="15"/>
    </row>
    <row r="557">
      <c r="A557" s="34"/>
      <c r="B557" s="15"/>
      <c r="C557" s="15"/>
      <c r="D557" s="15"/>
      <c r="E557" s="17"/>
      <c r="F557" s="15"/>
      <c r="G557" s="250"/>
      <c r="H557" s="243"/>
      <c r="I557" s="243"/>
      <c r="J557" s="243"/>
      <c r="K557" s="85"/>
      <c r="L557" s="85"/>
      <c r="M557" s="85"/>
      <c r="N557" s="29"/>
      <c r="O557" s="307"/>
      <c r="P557" s="29"/>
      <c r="Q557" s="15"/>
      <c r="R557" s="15"/>
      <c r="S557" s="15"/>
      <c r="T557" s="15"/>
      <c r="U557" s="15"/>
      <c r="V557" s="243"/>
      <c r="W557" s="15"/>
    </row>
    <row r="558">
      <c r="A558" s="34"/>
      <c r="B558" s="15"/>
      <c r="C558" s="15"/>
      <c r="D558" s="15"/>
      <c r="E558" s="17"/>
      <c r="F558" s="15"/>
      <c r="G558" s="250"/>
      <c r="H558" s="243"/>
      <c r="I558" s="243"/>
      <c r="J558" s="243"/>
      <c r="K558" s="85"/>
      <c r="L558" s="85"/>
      <c r="M558" s="85"/>
      <c r="N558" s="29"/>
      <c r="O558" s="307"/>
      <c r="P558" s="29"/>
      <c r="Q558" s="15"/>
      <c r="R558" s="15"/>
      <c r="S558" s="15"/>
      <c r="T558" s="15"/>
      <c r="U558" s="15"/>
      <c r="V558" s="243"/>
      <c r="W558" s="15"/>
    </row>
    <row r="559">
      <c r="A559" s="34"/>
      <c r="B559" s="15"/>
      <c r="C559" s="15"/>
      <c r="D559" s="15"/>
      <c r="E559" s="17"/>
      <c r="F559" s="15"/>
      <c r="G559" s="250"/>
      <c r="H559" s="243"/>
      <c r="I559" s="243"/>
      <c r="J559" s="243"/>
      <c r="K559" s="85"/>
      <c r="L559" s="85"/>
      <c r="M559" s="85"/>
      <c r="N559" s="29"/>
      <c r="O559" s="307"/>
      <c r="P559" s="29"/>
      <c r="Q559" s="15"/>
      <c r="R559" s="15"/>
      <c r="S559" s="15"/>
      <c r="T559" s="15"/>
      <c r="U559" s="15"/>
      <c r="V559" s="243"/>
      <c r="W559" s="15"/>
    </row>
    <row r="560">
      <c r="A560" s="34"/>
      <c r="B560" s="15"/>
      <c r="C560" s="15"/>
      <c r="D560" s="15"/>
      <c r="E560" s="17"/>
      <c r="F560" s="15"/>
      <c r="G560" s="250"/>
      <c r="H560" s="243"/>
      <c r="I560" s="243"/>
      <c r="J560" s="243"/>
      <c r="K560" s="85"/>
      <c r="L560" s="85"/>
      <c r="M560" s="85"/>
      <c r="N560" s="29"/>
      <c r="O560" s="307"/>
      <c r="P560" s="29"/>
      <c r="Q560" s="15"/>
      <c r="R560" s="15"/>
      <c r="S560" s="15"/>
      <c r="T560" s="15"/>
      <c r="U560" s="15"/>
      <c r="V560" s="243"/>
      <c r="W560" s="15"/>
    </row>
    <row r="561">
      <c r="A561" s="34"/>
      <c r="B561" s="15"/>
      <c r="C561" s="15"/>
      <c r="D561" s="15"/>
      <c r="E561" s="17"/>
      <c r="F561" s="15"/>
      <c r="G561" s="250"/>
      <c r="H561" s="243"/>
      <c r="I561" s="243"/>
      <c r="J561" s="243"/>
      <c r="K561" s="85"/>
      <c r="L561" s="85"/>
      <c r="M561" s="85"/>
      <c r="N561" s="29"/>
      <c r="O561" s="307"/>
      <c r="P561" s="29"/>
      <c r="Q561" s="15"/>
      <c r="R561" s="15"/>
      <c r="S561" s="15"/>
      <c r="T561" s="15"/>
      <c r="U561" s="15"/>
      <c r="V561" s="243"/>
      <c r="W561" s="15"/>
    </row>
    <row r="562">
      <c r="A562" s="34"/>
      <c r="B562" s="15"/>
      <c r="C562" s="15"/>
      <c r="D562" s="15"/>
      <c r="E562" s="17"/>
      <c r="F562" s="15"/>
      <c r="G562" s="250"/>
      <c r="H562" s="243"/>
      <c r="I562" s="243"/>
      <c r="J562" s="243"/>
      <c r="K562" s="85"/>
      <c r="L562" s="85"/>
      <c r="M562" s="85"/>
      <c r="N562" s="29"/>
      <c r="O562" s="307"/>
      <c r="P562" s="29"/>
      <c r="Q562" s="15"/>
      <c r="R562" s="15"/>
      <c r="S562" s="15"/>
      <c r="T562" s="15"/>
      <c r="U562" s="15"/>
      <c r="V562" s="243"/>
      <c r="W562" s="15"/>
    </row>
    <row r="563">
      <c r="A563" s="34"/>
      <c r="B563" s="15"/>
      <c r="C563" s="15"/>
      <c r="D563" s="15"/>
      <c r="E563" s="17"/>
      <c r="F563" s="15"/>
      <c r="G563" s="250"/>
      <c r="H563" s="243"/>
      <c r="I563" s="243"/>
      <c r="J563" s="243"/>
      <c r="K563" s="85"/>
      <c r="L563" s="85"/>
      <c r="M563" s="85"/>
      <c r="N563" s="29"/>
      <c r="O563" s="307"/>
      <c r="P563" s="29"/>
      <c r="Q563" s="15"/>
      <c r="R563" s="15"/>
      <c r="S563" s="15"/>
      <c r="T563" s="15"/>
      <c r="U563" s="15"/>
      <c r="V563" s="243"/>
      <c r="W563" s="15"/>
    </row>
    <row r="564">
      <c r="A564" s="34"/>
      <c r="B564" s="15"/>
      <c r="C564" s="15"/>
      <c r="D564" s="15"/>
      <c r="E564" s="17"/>
      <c r="F564" s="15"/>
      <c r="G564" s="250"/>
      <c r="H564" s="243"/>
      <c r="I564" s="243"/>
      <c r="J564" s="243"/>
      <c r="K564" s="85"/>
      <c r="L564" s="85"/>
      <c r="M564" s="85"/>
      <c r="N564" s="29"/>
      <c r="O564" s="307"/>
      <c r="P564" s="29"/>
      <c r="Q564" s="15"/>
      <c r="R564" s="15"/>
      <c r="S564" s="15"/>
      <c r="T564" s="15"/>
      <c r="U564" s="15"/>
      <c r="V564" s="243"/>
      <c r="W564" s="15"/>
    </row>
    <row r="565">
      <c r="A565" s="34"/>
      <c r="B565" s="15"/>
      <c r="C565" s="15"/>
      <c r="D565" s="15"/>
      <c r="E565" s="17"/>
      <c r="F565" s="15"/>
      <c r="G565" s="250"/>
      <c r="H565" s="243"/>
      <c r="I565" s="243"/>
      <c r="J565" s="243"/>
      <c r="K565" s="85"/>
      <c r="L565" s="85"/>
      <c r="M565" s="85"/>
      <c r="N565" s="29"/>
      <c r="O565" s="307"/>
      <c r="P565" s="29"/>
      <c r="Q565" s="15"/>
      <c r="R565" s="15"/>
      <c r="S565" s="15"/>
      <c r="T565" s="15"/>
      <c r="U565" s="15"/>
      <c r="V565" s="243"/>
      <c r="W565" s="15"/>
    </row>
    <row r="566">
      <c r="A566" s="34"/>
      <c r="B566" s="15"/>
      <c r="C566" s="15"/>
      <c r="D566" s="15"/>
      <c r="E566" s="17"/>
      <c r="F566" s="15"/>
      <c r="G566" s="250"/>
      <c r="H566" s="243"/>
      <c r="I566" s="243"/>
      <c r="J566" s="243"/>
      <c r="K566" s="85"/>
      <c r="L566" s="85"/>
      <c r="M566" s="85"/>
      <c r="N566" s="29"/>
      <c r="O566" s="307"/>
      <c r="P566" s="29"/>
      <c r="Q566" s="15"/>
      <c r="R566" s="15"/>
      <c r="S566" s="15"/>
      <c r="T566" s="15"/>
      <c r="U566" s="15"/>
      <c r="V566" s="243"/>
      <c r="W566" s="15"/>
    </row>
    <row r="567">
      <c r="A567" s="34"/>
      <c r="B567" s="15"/>
      <c r="C567" s="15"/>
      <c r="D567" s="15"/>
      <c r="E567" s="17"/>
      <c r="F567" s="15"/>
      <c r="G567" s="250"/>
      <c r="H567" s="243"/>
      <c r="I567" s="243"/>
      <c r="J567" s="243"/>
      <c r="K567" s="85"/>
      <c r="L567" s="85"/>
      <c r="M567" s="85"/>
      <c r="N567" s="29"/>
      <c r="O567" s="307"/>
      <c r="P567" s="29"/>
      <c r="Q567" s="15"/>
      <c r="R567" s="15"/>
      <c r="S567" s="15"/>
      <c r="T567" s="15"/>
      <c r="U567" s="15"/>
      <c r="V567" s="243"/>
      <c r="W567" s="15"/>
    </row>
    <row r="568">
      <c r="A568" s="34"/>
      <c r="B568" s="15"/>
      <c r="C568" s="15"/>
      <c r="D568" s="15"/>
      <c r="E568" s="17"/>
      <c r="F568" s="15"/>
      <c r="G568" s="250"/>
      <c r="H568" s="243"/>
      <c r="I568" s="243"/>
      <c r="J568" s="243"/>
      <c r="K568" s="85"/>
      <c r="L568" s="85"/>
      <c r="M568" s="85"/>
      <c r="N568" s="29"/>
      <c r="O568" s="307"/>
      <c r="P568" s="29"/>
      <c r="Q568" s="15"/>
      <c r="R568" s="15"/>
      <c r="S568" s="15"/>
      <c r="T568" s="15"/>
      <c r="U568" s="15"/>
      <c r="V568" s="243"/>
      <c r="W568" s="15"/>
    </row>
    <row r="569">
      <c r="A569" s="34"/>
      <c r="B569" s="15"/>
      <c r="C569" s="15"/>
      <c r="D569" s="15"/>
      <c r="E569" s="17"/>
      <c r="F569" s="15"/>
      <c r="G569" s="250"/>
      <c r="H569" s="243"/>
      <c r="I569" s="243"/>
      <c r="J569" s="243"/>
      <c r="K569" s="85"/>
      <c r="L569" s="85"/>
      <c r="M569" s="85"/>
      <c r="N569" s="29"/>
      <c r="O569" s="307"/>
      <c r="P569" s="29"/>
      <c r="Q569" s="15"/>
      <c r="R569" s="15"/>
      <c r="S569" s="15"/>
      <c r="T569" s="15"/>
      <c r="U569" s="15"/>
      <c r="V569" s="243"/>
      <c r="W569" s="15"/>
    </row>
    <row r="570">
      <c r="A570" s="34"/>
      <c r="B570" s="15"/>
      <c r="C570" s="15"/>
      <c r="D570" s="15"/>
      <c r="E570" s="17"/>
      <c r="F570" s="15"/>
      <c r="G570" s="250"/>
      <c r="H570" s="243"/>
      <c r="I570" s="243"/>
      <c r="J570" s="243"/>
      <c r="K570" s="85"/>
      <c r="L570" s="85"/>
      <c r="M570" s="85"/>
      <c r="N570" s="29"/>
      <c r="O570" s="307"/>
      <c r="P570" s="29"/>
      <c r="Q570" s="15"/>
      <c r="R570" s="15"/>
      <c r="S570" s="15"/>
      <c r="T570" s="15"/>
      <c r="U570" s="15"/>
      <c r="V570" s="243"/>
      <c r="W570" s="15"/>
    </row>
    <row r="571">
      <c r="A571" s="34"/>
      <c r="B571" s="15"/>
      <c r="C571" s="15"/>
      <c r="D571" s="15"/>
      <c r="E571" s="17"/>
      <c r="F571" s="15"/>
      <c r="G571" s="250"/>
      <c r="H571" s="243"/>
      <c r="I571" s="243"/>
      <c r="J571" s="243"/>
      <c r="K571" s="85"/>
      <c r="L571" s="85"/>
      <c r="M571" s="85"/>
      <c r="N571" s="29"/>
      <c r="O571" s="307"/>
      <c r="P571" s="29"/>
      <c r="Q571" s="15"/>
      <c r="R571" s="15"/>
      <c r="S571" s="15"/>
      <c r="T571" s="15"/>
      <c r="U571" s="15"/>
      <c r="V571" s="243"/>
      <c r="W571" s="15"/>
    </row>
    <row r="572">
      <c r="A572" s="34"/>
      <c r="B572" s="15"/>
      <c r="C572" s="15"/>
      <c r="D572" s="15"/>
      <c r="E572" s="17"/>
      <c r="F572" s="15"/>
      <c r="G572" s="250"/>
      <c r="H572" s="243"/>
      <c r="I572" s="243"/>
      <c r="J572" s="243"/>
      <c r="K572" s="85"/>
      <c r="L572" s="85"/>
      <c r="M572" s="85"/>
      <c r="N572" s="29"/>
      <c r="O572" s="307"/>
      <c r="P572" s="29"/>
      <c r="Q572" s="15"/>
      <c r="R572" s="15"/>
      <c r="S572" s="15"/>
      <c r="T572" s="15"/>
      <c r="U572" s="15"/>
      <c r="V572" s="243"/>
      <c r="W572" s="15"/>
    </row>
    <row r="573">
      <c r="A573" s="34"/>
      <c r="B573" s="15"/>
      <c r="C573" s="15"/>
      <c r="D573" s="15"/>
      <c r="E573" s="17"/>
      <c r="F573" s="15"/>
      <c r="G573" s="250"/>
      <c r="H573" s="243"/>
      <c r="I573" s="243"/>
      <c r="J573" s="243"/>
      <c r="K573" s="85"/>
      <c r="L573" s="85"/>
      <c r="M573" s="85"/>
      <c r="N573" s="29"/>
      <c r="O573" s="307"/>
      <c r="P573" s="29"/>
      <c r="Q573" s="15"/>
      <c r="R573" s="15"/>
      <c r="S573" s="15"/>
      <c r="T573" s="15"/>
      <c r="U573" s="15"/>
      <c r="V573" s="243"/>
      <c r="W573" s="15"/>
    </row>
    <row r="574">
      <c r="A574" s="34"/>
      <c r="B574" s="15"/>
      <c r="C574" s="15"/>
      <c r="D574" s="15"/>
      <c r="E574" s="17"/>
      <c r="F574" s="15"/>
      <c r="G574" s="250"/>
      <c r="H574" s="243"/>
      <c r="I574" s="243"/>
      <c r="J574" s="243"/>
      <c r="K574" s="85"/>
      <c r="L574" s="85"/>
      <c r="M574" s="85"/>
      <c r="N574" s="29"/>
      <c r="O574" s="307"/>
      <c r="P574" s="29"/>
      <c r="Q574" s="15"/>
      <c r="R574" s="15"/>
      <c r="S574" s="15"/>
      <c r="T574" s="15"/>
      <c r="U574" s="15"/>
      <c r="V574" s="243"/>
      <c r="W574" s="15"/>
    </row>
    <row r="575">
      <c r="A575" s="34"/>
      <c r="B575" s="15"/>
      <c r="C575" s="15"/>
      <c r="D575" s="15"/>
      <c r="E575" s="17"/>
      <c r="F575" s="15"/>
      <c r="G575" s="250"/>
      <c r="H575" s="243"/>
      <c r="I575" s="243"/>
      <c r="J575" s="243"/>
      <c r="K575" s="85"/>
      <c r="L575" s="85"/>
      <c r="M575" s="85"/>
      <c r="N575" s="29"/>
      <c r="O575" s="307"/>
      <c r="P575" s="29"/>
      <c r="Q575" s="15"/>
      <c r="R575" s="15"/>
      <c r="S575" s="15"/>
      <c r="T575" s="15"/>
      <c r="U575" s="15"/>
      <c r="V575" s="243"/>
      <c r="W575" s="15"/>
    </row>
    <row r="576">
      <c r="A576" s="34"/>
      <c r="B576" s="15"/>
      <c r="C576" s="15"/>
      <c r="D576" s="15"/>
      <c r="E576" s="17"/>
      <c r="F576" s="15"/>
      <c r="G576" s="250"/>
      <c r="H576" s="243"/>
      <c r="I576" s="243"/>
      <c r="J576" s="243"/>
      <c r="K576" s="85"/>
      <c r="L576" s="85"/>
      <c r="M576" s="85"/>
      <c r="N576" s="29"/>
      <c r="O576" s="307"/>
      <c r="P576" s="29"/>
      <c r="Q576" s="15"/>
      <c r="R576" s="15"/>
      <c r="S576" s="15"/>
      <c r="T576" s="15"/>
      <c r="U576" s="15"/>
      <c r="V576" s="243"/>
      <c r="W576" s="15"/>
    </row>
    <row r="577">
      <c r="A577" s="34"/>
      <c r="B577" s="15"/>
      <c r="C577" s="15"/>
      <c r="D577" s="15"/>
      <c r="E577" s="17"/>
      <c r="F577" s="15"/>
      <c r="G577" s="250"/>
      <c r="H577" s="243"/>
      <c r="I577" s="243"/>
      <c r="J577" s="243"/>
      <c r="K577" s="85"/>
      <c r="L577" s="85"/>
      <c r="M577" s="85"/>
      <c r="N577" s="29"/>
      <c r="O577" s="307"/>
      <c r="P577" s="29"/>
      <c r="Q577" s="15"/>
      <c r="R577" s="15"/>
      <c r="S577" s="15"/>
      <c r="T577" s="15"/>
      <c r="U577" s="15"/>
      <c r="V577" s="243"/>
      <c r="W577" s="15"/>
    </row>
    <row r="578">
      <c r="A578" s="34"/>
      <c r="B578" s="15"/>
      <c r="C578" s="15"/>
      <c r="D578" s="15"/>
      <c r="E578" s="17"/>
      <c r="F578" s="15"/>
      <c r="G578" s="250"/>
      <c r="H578" s="243"/>
      <c r="I578" s="243"/>
      <c r="J578" s="243"/>
      <c r="K578" s="85"/>
      <c r="L578" s="85"/>
      <c r="M578" s="85"/>
      <c r="N578" s="29"/>
      <c r="O578" s="307"/>
      <c r="P578" s="29"/>
      <c r="Q578" s="15"/>
      <c r="R578" s="15"/>
      <c r="S578" s="15"/>
      <c r="T578" s="15"/>
      <c r="U578" s="15"/>
      <c r="V578" s="243"/>
      <c r="W578" s="15"/>
    </row>
    <row r="579">
      <c r="A579" s="34"/>
      <c r="B579" s="15"/>
      <c r="C579" s="15"/>
      <c r="D579" s="15"/>
      <c r="E579" s="17"/>
      <c r="F579" s="15"/>
      <c r="G579" s="250"/>
      <c r="H579" s="243"/>
      <c r="I579" s="243"/>
      <c r="J579" s="243"/>
      <c r="K579" s="85"/>
      <c r="L579" s="85"/>
      <c r="M579" s="85"/>
      <c r="N579" s="29"/>
      <c r="O579" s="307"/>
      <c r="P579" s="29"/>
      <c r="Q579" s="15"/>
      <c r="R579" s="15"/>
      <c r="S579" s="15"/>
      <c r="T579" s="15"/>
      <c r="U579" s="15"/>
      <c r="V579" s="243"/>
      <c r="W579" s="15"/>
    </row>
    <row r="580">
      <c r="A580" s="34"/>
      <c r="B580" s="15"/>
      <c r="C580" s="15"/>
      <c r="D580" s="15"/>
      <c r="E580" s="17"/>
      <c r="F580" s="15"/>
      <c r="G580" s="250"/>
      <c r="H580" s="243"/>
      <c r="I580" s="243"/>
      <c r="J580" s="243"/>
      <c r="K580" s="85"/>
      <c r="L580" s="85"/>
      <c r="M580" s="85"/>
      <c r="N580" s="29"/>
      <c r="O580" s="307"/>
      <c r="P580" s="29"/>
      <c r="Q580" s="15"/>
      <c r="R580" s="15"/>
      <c r="S580" s="15"/>
      <c r="T580" s="15"/>
      <c r="U580" s="15"/>
      <c r="V580" s="243"/>
      <c r="W580" s="15"/>
    </row>
    <row r="581">
      <c r="A581" s="34"/>
      <c r="B581" s="15"/>
      <c r="C581" s="15"/>
      <c r="D581" s="15"/>
      <c r="E581" s="17"/>
      <c r="F581" s="15"/>
      <c r="G581" s="250"/>
      <c r="H581" s="243"/>
      <c r="I581" s="243"/>
      <c r="J581" s="243"/>
      <c r="K581" s="85"/>
      <c r="L581" s="85"/>
      <c r="M581" s="85"/>
      <c r="N581" s="29"/>
      <c r="O581" s="307"/>
      <c r="P581" s="29"/>
      <c r="Q581" s="15"/>
      <c r="R581" s="15"/>
      <c r="S581" s="15"/>
      <c r="T581" s="15"/>
      <c r="U581" s="15"/>
      <c r="V581" s="243"/>
      <c r="W581" s="15"/>
    </row>
    <row r="582">
      <c r="A582" s="34"/>
      <c r="B582" s="15"/>
      <c r="C582" s="15"/>
      <c r="D582" s="15"/>
      <c r="E582" s="17"/>
      <c r="F582" s="15"/>
      <c r="G582" s="250"/>
      <c r="H582" s="243"/>
      <c r="I582" s="243"/>
      <c r="J582" s="243"/>
      <c r="K582" s="85"/>
      <c r="L582" s="85"/>
      <c r="M582" s="85"/>
      <c r="N582" s="29"/>
      <c r="O582" s="307"/>
      <c r="P582" s="29"/>
      <c r="Q582" s="15"/>
      <c r="R582" s="15"/>
      <c r="S582" s="15"/>
      <c r="T582" s="15"/>
      <c r="U582" s="15"/>
      <c r="V582" s="243"/>
      <c r="W582" s="15"/>
    </row>
    <row r="583">
      <c r="A583" s="34"/>
      <c r="B583" s="15"/>
      <c r="C583" s="15"/>
      <c r="D583" s="15"/>
      <c r="E583" s="17"/>
      <c r="F583" s="15"/>
      <c r="G583" s="250"/>
      <c r="H583" s="243"/>
      <c r="I583" s="243"/>
      <c r="J583" s="243"/>
      <c r="K583" s="85"/>
      <c r="L583" s="85"/>
      <c r="M583" s="85"/>
      <c r="N583" s="29"/>
      <c r="O583" s="307"/>
      <c r="P583" s="29"/>
      <c r="Q583" s="15"/>
      <c r="R583" s="15"/>
      <c r="S583" s="15"/>
      <c r="T583" s="15"/>
      <c r="U583" s="15"/>
      <c r="V583" s="243"/>
      <c r="W583" s="15"/>
    </row>
    <row r="584">
      <c r="A584" s="34"/>
      <c r="B584" s="15"/>
      <c r="C584" s="15"/>
      <c r="D584" s="15"/>
      <c r="E584" s="17"/>
      <c r="F584" s="15"/>
      <c r="G584" s="250"/>
      <c r="H584" s="243"/>
      <c r="I584" s="243"/>
      <c r="J584" s="243"/>
      <c r="K584" s="85"/>
      <c r="L584" s="85"/>
      <c r="M584" s="85"/>
      <c r="N584" s="29"/>
      <c r="O584" s="307"/>
      <c r="P584" s="29"/>
      <c r="Q584" s="15"/>
      <c r="R584" s="15"/>
      <c r="S584" s="15"/>
      <c r="T584" s="15"/>
      <c r="U584" s="15"/>
      <c r="V584" s="243"/>
      <c r="W584" s="15"/>
    </row>
    <row r="585">
      <c r="A585" s="34"/>
      <c r="B585" s="15"/>
      <c r="C585" s="15"/>
      <c r="D585" s="15"/>
      <c r="E585" s="17"/>
      <c r="F585" s="15"/>
      <c r="G585" s="250"/>
      <c r="H585" s="243"/>
      <c r="I585" s="243"/>
      <c r="J585" s="243"/>
      <c r="K585" s="85"/>
      <c r="L585" s="85"/>
      <c r="M585" s="85"/>
      <c r="N585" s="29"/>
      <c r="O585" s="307"/>
      <c r="P585" s="29"/>
      <c r="Q585" s="15"/>
      <c r="R585" s="15"/>
      <c r="S585" s="15"/>
      <c r="T585" s="15"/>
      <c r="U585" s="15"/>
      <c r="V585" s="243"/>
      <c r="W585" s="15"/>
    </row>
    <row r="586">
      <c r="A586" s="34"/>
      <c r="B586" s="15"/>
      <c r="C586" s="15"/>
      <c r="D586" s="15"/>
      <c r="E586" s="17"/>
      <c r="F586" s="15"/>
      <c r="G586" s="250"/>
      <c r="H586" s="243"/>
      <c r="I586" s="243"/>
      <c r="J586" s="243"/>
      <c r="K586" s="85"/>
      <c r="L586" s="85"/>
      <c r="M586" s="85"/>
      <c r="N586" s="29"/>
      <c r="O586" s="307"/>
      <c r="P586" s="29"/>
      <c r="Q586" s="15"/>
      <c r="R586" s="15"/>
      <c r="S586" s="15"/>
      <c r="T586" s="15"/>
      <c r="U586" s="15"/>
      <c r="V586" s="243"/>
      <c r="W586" s="15"/>
    </row>
    <row r="587">
      <c r="A587" s="34"/>
      <c r="B587" s="15"/>
      <c r="C587" s="15"/>
      <c r="D587" s="15"/>
      <c r="E587" s="17"/>
      <c r="F587" s="15"/>
      <c r="G587" s="250"/>
      <c r="H587" s="243"/>
      <c r="I587" s="243"/>
      <c r="J587" s="243"/>
      <c r="K587" s="85"/>
      <c r="L587" s="85"/>
      <c r="M587" s="85"/>
      <c r="N587" s="29"/>
      <c r="O587" s="307"/>
      <c r="P587" s="29"/>
      <c r="Q587" s="15"/>
      <c r="R587" s="15"/>
      <c r="S587" s="15"/>
      <c r="T587" s="15"/>
      <c r="U587" s="15"/>
      <c r="V587" s="243"/>
      <c r="W587" s="15"/>
    </row>
    <row r="588">
      <c r="A588" s="34"/>
      <c r="B588" s="15"/>
      <c r="C588" s="15"/>
      <c r="D588" s="15"/>
      <c r="E588" s="17"/>
      <c r="F588" s="15"/>
      <c r="G588" s="250"/>
      <c r="H588" s="243"/>
      <c r="I588" s="243"/>
      <c r="J588" s="243"/>
      <c r="K588" s="85"/>
      <c r="L588" s="85"/>
      <c r="M588" s="85"/>
      <c r="N588" s="29"/>
      <c r="O588" s="307"/>
      <c r="P588" s="29"/>
      <c r="Q588" s="15"/>
      <c r="R588" s="15"/>
      <c r="S588" s="15"/>
      <c r="T588" s="15"/>
      <c r="U588" s="15"/>
      <c r="V588" s="243"/>
      <c r="W588" s="15"/>
    </row>
    <row r="589">
      <c r="A589" s="34"/>
      <c r="B589" s="15"/>
      <c r="C589" s="15"/>
      <c r="D589" s="15"/>
      <c r="E589" s="17"/>
      <c r="F589" s="15"/>
      <c r="G589" s="250"/>
      <c r="H589" s="243"/>
      <c r="I589" s="243"/>
      <c r="J589" s="243"/>
      <c r="K589" s="85"/>
      <c r="L589" s="85"/>
      <c r="M589" s="85"/>
      <c r="N589" s="29"/>
      <c r="O589" s="307"/>
      <c r="P589" s="29"/>
      <c r="Q589" s="15"/>
      <c r="R589" s="15"/>
      <c r="S589" s="15"/>
      <c r="T589" s="15"/>
      <c r="U589" s="15"/>
      <c r="V589" s="243"/>
      <c r="W589" s="15"/>
    </row>
    <row r="590">
      <c r="A590" s="34"/>
      <c r="B590" s="15"/>
      <c r="C590" s="15"/>
      <c r="D590" s="15"/>
      <c r="E590" s="17"/>
      <c r="F590" s="15"/>
      <c r="G590" s="250"/>
      <c r="H590" s="243"/>
      <c r="I590" s="243"/>
      <c r="J590" s="243"/>
      <c r="K590" s="85"/>
      <c r="L590" s="85"/>
      <c r="M590" s="85"/>
      <c r="N590" s="29"/>
      <c r="O590" s="307"/>
      <c r="P590" s="29"/>
      <c r="Q590" s="15"/>
      <c r="R590" s="15"/>
      <c r="S590" s="15"/>
      <c r="T590" s="15"/>
      <c r="U590" s="15"/>
      <c r="V590" s="243"/>
      <c r="W590" s="15"/>
    </row>
    <row r="591">
      <c r="A591" s="34"/>
      <c r="B591" s="15"/>
      <c r="C591" s="15"/>
      <c r="D591" s="15"/>
      <c r="E591" s="17"/>
      <c r="F591" s="15"/>
      <c r="G591" s="250"/>
      <c r="H591" s="243"/>
      <c r="I591" s="243"/>
      <c r="J591" s="243"/>
      <c r="K591" s="85"/>
      <c r="L591" s="85"/>
      <c r="M591" s="85"/>
      <c r="N591" s="29"/>
      <c r="O591" s="307"/>
      <c r="P591" s="29"/>
      <c r="Q591" s="15"/>
      <c r="R591" s="15"/>
      <c r="S591" s="15"/>
      <c r="T591" s="15"/>
      <c r="U591" s="15"/>
      <c r="V591" s="243"/>
      <c r="W591" s="15"/>
    </row>
    <row r="592">
      <c r="A592" s="34"/>
      <c r="B592" s="15"/>
      <c r="C592" s="15"/>
      <c r="D592" s="15"/>
      <c r="E592" s="17"/>
      <c r="F592" s="15"/>
      <c r="G592" s="250"/>
      <c r="H592" s="243"/>
      <c r="I592" s="243"/>
      <c r="J592" s="243"/>
      <c r="K592" s="85"/>
      <c r="L592" s="85"/>
      <c r="M592" s="85"/>
      <c r="N592" s="29"/>
      <c r="O592" s="307"/>
      <c r="P592" s="29"/>
      <c r="Q592" s="15"/>
      <c r="R592" s="15"/>
      <c r="S592" s="15"/>
      <c r="T592" s="15"/>
      <c r="U592" s="15"/>
      <c r="V592" s="243"/>
      <c r="W592" s="15"/>
    </row>
    <row r="593">
      <c r="A593" s="34"/>
      <c r="B593" s="15"/>
      <c r="C593" s="15"/>
      <c r="D593" s="15"/>
      <c r="E593" s="17"/>
      <c r="F593" s="15"/>
      <c r="G593" s="250"/>
      <c r="H593" s="243"/>
      <c r="I593" s="243"/>
      <c r="J593" s="243"/>
      <c r="K593" s="85"/>
      <c r="L593" s="85"/>
      <c r="M593" s="85"/>
      <c r="N593" s="29"/>
      <c r="O593" s="307"/>
      <c r="P593" s="29"/>
      <c r="Q593" s="15"/>
      <c r="R593" s="15"/>
      <c r="S593" s="15"/>
      <c r="T593" s="15"/>
      <c r="U593" s="15"/>
      <c r="V593" s="243"/>
      <c r="W593" s="15"/>
    </row>
    <row r="594">
      <c r="A594" s="34"/>
      <c r="B594" s="15"/>
      <c r="C594" s="15"/>
      <c r="D594" s="15"/>
      <c r="E594" s="17"/>
      <c r="F594" s="15"/>
      <c r="G594" s="250"/>
      <c r="H594" s="243"/>
      <c r="I594" s="243"/>
      <c r="J594" s="243"/>
      <c r="K594" s="85"/>
      <c r="L594" s="85"/>
      <c r="M594" s="85"/>
      <c r="N594" s="29"/>
      <c r="O594" s="307"/>
      <c r="P594" s="29"/>
      <c r="Q594" s="15"/>
      <c r="R594" s="15"/>
      <c r="S594" s="15"/>
      <c r="T594" s="15"/>
      <c r="U594" s="15"/>
      <c r="V594" s="243"/>
      <c r="W594" s="15"/>
    </row>
    <row r="595">
      <c r="A595" s="34"/>
      <c r="B595" s="15"/>
      <c r="C595" s="15"/>
      <c r="D595" s="15"/>
      <c r="E595" s="17"/>
      <c r="F595" s="15"/>
      <c r="G595" s="250"/>
      <c r="H595" s="243"/>
      <c r="I595" s="243"/>
      <c r="J595" s="243"/>
      <c r="K595" s="85"/>
      <c r="L595" s="85"/>
      <c r="M595" s="85"/>
      <c r="N595" s="29"/>
      <c r="O595" s="307"/>
      <c r="P595" s="29"/>
      <c r="Q595" s="15"/>
      <c r="R595" s="15"/>
      <c r="S595" s="15"/>
      <c r="T595" s="15"/>
      <c r="U595" s="15"/>
      <c r="V595" s="243"/>
      <c r="W595" s="15"/>
    </row>
    <row r="596">
      <c r="A596" s="34"/>
      <c r="B596" s="15"/>
      <c r="C596" s="15"/>
      <c r="D596" s="15"/>
      <c r="E596" s="17"/>
      <c r="F596" s="15"/>
      <c r="G596" s="250"/>
      <c r="H596" s="243"/>
      <c r="I596" s="243"/>
      <c r="J596" s="243"/>
      <c r="K596" s="85"/>
      <c r="L596" s="85"/>
      <c r="M596" s="85"/>
      <c r="N596" s="29"/>
      <c r="O596" s="307"/>
      <c r="P596" s="29"/>
      <c r="Q596" s="15"/>
      <c r="R596" s="15"/>
      <c r="S596" s="15"/>
      <c r="T596" s="15"/>
      <c r="U596" s="15"/>
      <c r="V596" s="243"/>
      <c r="W596" s="15"/>
    </row>
    <row r="597">
      <c r="A597" s="34"/>
      <c r="B597" s="15"/>
      <c r="C597" s="15"/>
      <c r="D597" s="15"/>
      <c r="E597" s="17"/>
      <c r="F597" s="15"/>
      <c r="G597" s="250"/>
      <c r="H597" s="243"/>
      <c r="I597" s="243"/>
      <c r="J597" s="243"/>
      <c r="K597" s="85"/>
      <c r="L597" s="85"/>
      <c r="M597" s="85"/>
      <c r="N597" s="29"/>
      <c r="O597" s="307"/>
      <c r="P597" s="29"/>
      <c r="Q597" s="15"/>
      <c r="R597" s="15"/>
      <c r="S597" s="15"/>
      <c r="T597" s="15"/>
      <c r="U597" s="15"/>
      <c r="V597" s="243"/>
      <c r="W597" s="15"/>
    </row>
    <row r="598">
      <c r="A598" s="34"/>
      <c r="B598" s="15"/>
      <c r="C598" s="15"/>
      <c r="D598" s="15"/>
      <c r="E598" s="17"/>
      <c r="F598" s="15"/>
      <c r="G598" s="250"/>
      <c r="H598" s="243"/>
      <c r="I598" s="243"/>
      <c r="J598" s="243"/>
      <c r="K598" s="85"/>
      <c r="L598" s="85"/>
      <c r="M598" s="85"/>
      <c r="N598" s="29"/>
      <c r="O598" s="307"/>
      <c r="P598" s="29"/>
      <c r="Q598" s="15"/>
      <c r="R598" s="15"/>
      <c r="S598" s="15"/>
      <c r="T598" s="15"/>
      <c r="U598" s="15"/>
      <c r="V598" s="243"/>
      <c r="W598" s="15"/>
    </row>
    <row r="599">
      <c r="A599" s="34"/>
      <c r="B599" s="15"/>
      <c r="C599" s="15"/>
      <c r="D599" s="15"/>
      <c r="E599" s="17"/>
      <c r="F599" s="15"/>
      <c r="G599" s="250"/>
      <c r="H599" s="243"/>
      <c r="I599" s="243"/>
      <c r="J599" s="243"/>
      <c r="K599" s="85"/>
      <c r="L599" s="85"/>
      <c r="M599" s="85"/>
      <c r="N599" s="29"/>
      <c r="O599" s="307"/>
      <c r="P599" s="29"/>
      <c r="Q599" s="15"/>
      <c r="R599" s="15"/>
      <c r="S599" s="15"/>
      <c r="T599" s="15"/>
      <c r="U599" s="15"/>
      <c r="V599" s="243"/>
      <c r="W599" s="15"/>
    </row>
    <row r="600">
      <c r="A600" s="34"/>
      <c r="B600" s="15"/>
      <c r="C600" s="15"/>
      <c r="D600" s="15"/>
      <c r="E600" s="17"/>
      <c r="F600" s="15"/>
      <c r="G600" s="250"/>
      <c r="H600" s="243"/>
      <c r="I600" s="243"/>
      <c r="J600" s="243"/>
      <c r="K600" s="85"/>
      <c r="L600" s="85"/>
      <c r="M600" s="85"/>
      <c r="N600" s="29"/>
      <c r="O600" s="307"/>
      <c r="P600" s="29"/>
      <c r="Q600" s="15"/>
      <c r="R600" s="15"/>
      <c r="S600" s="15"/>
      <c r="T600" s="15"/>
      <c r="U600" s="15"/>
      <c r="V600" s="243"/>
      <c r="W600" s="15"/>
    </row>
    <row r="601">
      <c r="A601" s="34"/>
      <c r="B601" s="15"/>
      <c r="C601" s="15"/>
      <c r="D601" s="15"/>
      <c r="E601" s="17"/>
      <c r="F601" s="15"/>
      <c r="G601" s="250"/>
      <c r="H601" s="243"/>
      <c r="I601" s="243"/>
      <c r="J601" s="243"/>
      <c r="K601" s="85"/>
      <c r="L601" s="85"/>
      <c r="M601" s="85"/>
      <c r="N601" s="29"/>
      <c r="O601" s="307"/>
      <c r="P601" s="29"/>
      <c r="Q601" s="15"/>
      <c r="R601" s="15"/>
      <c r="S601" s="15"/>
      <c r="T601" s="15"/>
      <c r="U601" s="15"/>
      <c r="V601" s="243"/>
      <c r="W601" s="15"/>
    </row>
    <row r="602">
      <c r="A602" s="34"/>
      <c r="B602" s="15"/>
      <c r="C602" s="15"/>
      <c r="D602" s="15"/>
      <c r="E602" s="17"/>
      <c r="F602" s="15"/>
      <c r="G602" s="250"/>
      <c r="H602" s="243"/>
      <c r="I602" s="243"/>
      <c r="J602" s="243"/>
      <c r="K602" s="85"/>
      <c r="L602" s="85"/>
      <c r="M602" s="85"/>
      <c r="N602" s="29"/>
      <c r="O602" s="307"/>
      <c r="P602" s="29"/>
      <c r="Q602" s="15"/>
      <c r="R602" s="15"/>
      <c r="S602" s="15"/>
      <c r="T602" s="15"/>
      <c r="U602" s="15"/>
      <c r="V602" s="243"/>
      <c r="W602" s="15"/>
    </row>
    <row r="603">
      <c r="A603" s="34"/>
      <c r="B603" s="15"/>
      <c r="C603" s="15"/>
      <c r="D603" s="15"/>
      <c r="E603" s="17"/>
      <c r="F603" s="15"/>
      <c r="G603" s="250"/>
      <c r="H603" s="243"/>
      <c r="I603" s="243"/>
      <c r="J603" s="243"/>
      <c r="K603" s="85"/>
      <c r="L603" s="85"/>
      <c r="M603" s="85"/>
      <c r="N603" s="29"/>
      <c r="O603" s="307"/>
      <c r="P603" s="29"/>
      <c r="Q603" s="15"/>
      <c r="R603" s="15"/>
      <c r="S603" s="15"/>
      <c r="T603" s="15"/>
      <c r="U603" s="15"/>
      <c r="V603" s="243"/>
      <c r="W603" s="15"/>
    </row>
    <row r="604">
      <c r="A604" s="34"/>
      <c r="B604" s="15"/>
      <c r="C604" s="15"/>
      <c r="D604" s="15"/>
      <c r="E604" s="17"/>
      <c r="F604" s="15"/>
      <c r="G604" s="250"/>
      <c r="H604" s="243"/>
      <c r="I604" s="243"/>
      <c r="J604" s="243"/>
      <c r="K604" s="85"/>
      <c r="L604" s="85"/>
      <c r="M604" s="85"/>
      <c r="N604" s="29"/>
      <c r="O604" s="307"/>
      <c r="P604" s="29"/>
      <c r="Q604" s="15"/>
      <c r="R604" s="15"/>
      <c r="S604" s="15"/>
      <c r="T604" s="15"/>
      <c r="U604" s="15"/>
      <c r="V604" s="243"/>
      <c r="W604" s="15"/>
    </row>
    <row r="605">
      <c r="A605" s="34"/>
      <c r="B605" s="15"/>
      <c r="C605" s="15"/>
      <c r="D605" s="15"/>
      <c r="E605" s="17"/>
      <c r="F605" s="15"/>
      <c r="G605" s="250"/>
      <c r="H605" s="243"/>
      <c r="I605" s="243"/>
      <c r="J605" s="243"/>
      <c r="K605" s="85"/>
      <c r="L605" s="85"/>
      <c r="M605" s="85"/>
      <c r="N605" s="29"/>
      <c r="O605" s="307"/>
      <c r="P605" s="29"/>
      <c r="Q605" s="15"/>
      <c r="R605" s="15"/>
      <c r="S605" s="15"/>
      <c r="T605" s="15"/>
      <c r="U605" s="15"/>
      <c r="V605" s="243"/>
      <c r="W605" s="15"/>
    </row>
    <row r="606">
      <c r="A606" s="34"/>
      <c r="B606" s="15"/>
      <c r="C606" s="15"/>
      <c r="D606" s="15"/>
      <c r="E606" s="17"/>
      <c r="F606" s="15"/>
      <c r="G606" s="250"/>
      <c r="H606" s="243"/>
      <c r="I606" s="243"/>
      <c r="J606" s="243"/>
      <c r="K606" s="85"/>
      <c r="L606" s="85"/>
      <c r="M606" s="85"/>
      <c r="N606" s="29"/>
      <c r="O606" s="307"/>
      <c r="P606" s="29"/>
      <c r="Q606" s="15"/>
      <c r="R606" s="15"/>
      <c r="S606" s="15"/>
      <c r="T606" s="15"/>
      <c r="U606" s="15"/>
      <c r="V606" s="243"/>
      <c r="W606" s="15"/>
    </row>
    <row r="607">
      <c r="A607" s="34"/>
      <c r="B607" s="15"/>
      <c r="C607" s="15"/>
      <c r="D607" s="15"/>
      <c r="E607" s="17"/>
      <c r="F607" s="15"/>
      <c r="G607" s="250"/>
      <c r="H607" s="243"/>
      <c r="I607" s="243"/>
      <c r="J607" s="243"/>
      <c r="K607" s="85"/>
      <c r="L607" s="85"/>
      <c r="M607" s="85"/>
      <c r="N607" s="29"/>
      <c r="O607" s="307"/>
      <c r="P607" s="29"/>
      <c r="Q607" s="15"/>
      <c r="R607" s="15"/>
      <c r="S607" s="15"/>
      <c r="T607" s="15"/>
      <c r="U607" s="15"/>
      <c r="V607" s="243"/>
      <c r="W607" s="15"/>
    </row>
    <row r="608">
      <c r="A608" s="34"/>
      <c r="B608" s="15"/>
      <c r="C608" s="15"/>
      <c r="D608" s="15"/>
      <c r="E608" s="17"/>
      <c r="F608" s="15"/>
      <c r="G608" s="250"/>
      <c r="H608" s="243"/>
      <c r="I608" s="243"/>
      <c r="J608" s="243"/>
      <c r="K608" s="85"/>
      <c r="L608" s="85"/>
      <c r="M608" s="85"/>
      <c r="N608" s="29"/>
      <c r="O608" s="307"/>
      <c r="P608" s="29"/>
      <c r="Q608" s="15"/>
      <c r="R608" s="15"/>
      <c r="S608" s="15"/>
      <c r="T608" s="15"/>
      <c r="U608" s="15"/>
      <c r="V608" s="243"/>
      <c r="W608" s="15"/>
    </row>
    <row r="609">
      <c r="A609" s="34"/>
      <c r="B609" s="15"/>
      <c r="C609" s="15"/>
      <c r="D609" s="15"/>
      <c r="E609" s="17"/>
      <c r="F609" s="15"/>
      <c r="G609" s="250"/>
      <c r="H609" s="243"/>
      <c r="I609" s="243"/>
      <c r="J609" s="243"/>
      <c r="K609" s="85"/>
      <c r="L609" s="85"/>
      <c r="M609" s="85"/>
      <c r="N609" s="29"/>
      <c r="O609" s="307"/>
      <c r="P609" s="29"/>
      <c r="Q609" s="15"/>
      <c r="R609" s="15"/>
      <c r="S609" s="15"/>
      <c r="T609" s="15"/>
      <c r="U609" s="15"/>
      <c r="V609" s="243"/>
      <c r="W609" s="15"/>
    </row>
    <row r="610">
      <c r="A610" s="34"/>
      <c r="B610" s="15"/>
      <c r="C610" s="15"/>
      <c r="D610" s="15"/>
      <c r="E610" s="17"/>
      <c r="F610" s="15"/>
      <c r="G610" s="250"/>
      <c r="H610" s="243"/>
      <c r="I610" s="243"/>
      <c r="J610" s="243"/>
      <c r="K610" s="85"/>
      <c r="L610" s="85"/>
      <c r="M610" s="85"/>
      <c r="N610" s="29"/>
      <c r="O610" s="307"/>
      <c r="P610" s="29"/>
      <c r="Q610" s="15"/>
      <c r="R610" s="15"/>
      <c r="S610" s="15"/>
      <c r="T610" s="15"/>
      <c r="U610" s="15"/>
      <c r="V610" s="243"/>
      <c r="W610" s="15"/>
    </row>
    <row r="611">
      <c r="A611" s="34"/>
      <c r="B611" s="15"/>
      <c r="C611" s="15"/>
      <c r="D611" s="15"/>
      <c r="E611" s="17"/>
      <c r="F611" s="15"/>
      <c r="G611" s="250"/>
      <c r="H611" s="243"/>
      <c r="I611" s="243"/>
      <c r="J611" s="243"/>
      <c r="K611" s="85"/>
      <c r="L611" s="85"/>
      <c r="M611" s="85"/>
      <c r="N611" s="29"/>
      <c r="O611" s="307"/>
      <c r="P611" s="29"/>
      <c r="Q611" s="15"/>
      <c r="R611" s="15"/>
      <c r="S611" s="15"/>
      <c r="T611" s="15"/>
      <c r="U611" s="15"/>
      <c r="V611" s="243"/>
      <c r="W611" s="15"/>
    </row>
    <row r="612">
      <c r="A612" s="34"/>
      <c r="B612" s="15"/>
      <c r="C612" s="15"/>
      <c r="D612" s="15"/>
      <c r="E612" s="17"/>
      <c r="F612" s="15"/>
      <c r="G612" s="250"/>
      <c r="H612" s="243"/>
      <c r="I612" s="243"/>
      <c r="J612" s="243"/>
      <c r="K612" s="85"/>
      <c r="L612" s="85"/>
      <c r="M612" s="85"/>
      <c r="N612" s="29"/>
      <c r="O612" s="307"/>
      <c r="P612" s="29"/>
      <c r="Q612" s="15"/>
      <c r="R612" s="15"/>
      <c r="S612" s="15"/>
      <c r="T612" s="15"/>
      <c r="U612" s="15"/>
      <c r="V612" s="243"/>
      <c r="W612" s="15"/>
    </row>
    <row r="613">
      <c r="A613" s="34"/>
      <c r="B613" s="15"/>
      <c r="C613" s="15"/>
      <c r="D613" s="15"/>
      <c r="E613" s="17"/>
      <c r="F613" s="15"/>
      <c r="G613" s="250"/>
      <c r="H613" s="243"/>
      <c r="I613" s="243"/>
      <c r="J613" s="243"/>
      <c r="K613" s="85"/>
      <c r="L613" s="85"/>
      <c r="M613" s="85"/>
      <c r="N613" s="29"/>
      <c r="O613" s="307"/>
      <c r="P613" s="29"/>
      <c r="Q613" s="15"/>
      <c r="R613" s="15"/>
      <c r="S613" s="15"/>
      <c r="T613" s="15"/>
      <c r="U613" s="15"/>
      <c r="V613" s="243"/>
      <c r="W613" s="15"/>
    </row>
    <row r="614">
      <c r="A614" s="34"/>
      <c r="B614" s="15"/>
      <c r="C614" s="15"/>
      <c r="D614" s="15"/>
      <c r="E614" s="17"/>
      <c r="F614" s="15"/>
      <c r="G614" s="250"/>
      <c r="H614" s="243"/>
      <c r="I614" s="243"/>
      <c r="J614" s="243"/>
      <c r="K614" s="85"/>
      <c r="L614" s="85"/>
      <c r="M614" s="85"/>
      <c r="N614" s="29"/>
      <c r="O614" s="307"/>
      <c r="P614" s="29"/>
      <c r="Q614" s="15"/>
      <c r="R614" s="15"/>
      <c r="S614" s="15"/>
      <c r="T614" s="15"/>
      <c r="U614" s="15"/>
      <c r="V614" s="243"/>
      <c r="W614" s="15"/>
    </row>
    <row r="615">
      <c r="A615" s="34"/>
      <c r="B615" s="15"/>
      <c r="C615" s="15"/>
      <c r="D615" s="15"/>
      <c r="E615" s="17"/>
      <c r="F615" s="15"/>
      <c r="G615" s="250"/>
      <c r="H615" s="243"/>
      <c r="I615" s="243"/>
      <c r="J615" s="243"/>
      <c r="K615" s="85"/>
      <c r="L615" s="85"/>
      <c r="M615" s="85"/>
      <c r="N615" s="29"/>
      <c r="O615" s="307"/>
      <c r="P615" s="29"/>
      <c r="Q615" s="15"/>
      <c r="R615" s="15"/>
      <c r="S615" s="15"/>
      <c r="T615" s="15"/>
      <c r="U615" s="15"/>
      <c r="V615" s="243"/>
      <c r="W615" s="15"/>
    </row>
    <row r="616">
      <c r="A616" s="34"/>
      <c r="B616" s="15"/>
      <c r="C616" s="15"/>
      <c r="D616" s="15"/>
      <c r="E616" s="17"/>
      <c r="F616" s="15"/>
      <c r="G616" s="250"/>
      <c r="H616" s="243"/>
      <c r="I616" s="243"/>
      <c r="J616" s="243"/>
      <c r="K616" s="85"/>
      <c r="L616" s="85"/>
      <c r="M616" s="85"/>
      <c r="N616" s="29"/>
      <c r="O616" s="307"/>
      <c r="P616" s="29"/>
      <c r="Q616" s="15"/>
      <c r="R616" s="15"/>
      <c r="S616" s="15"/>
      <c r="T616" s="15"/>
      <c r="U616" s="15"/>
      <c r="V616" s="243"/>
      <c r="W616" s="15"/>
    </row>
    <row r="617">
      <c r="A617" s="34"/>
      <c r="B617" s="15"/>
      <c r="C617" s="15"/>
      <c r="D617" s="15"/>
      <c r="E617" s="17"/>
      <c r="F617" s="15"/>
      <c r="G617" s="250"/>
      <c r="H617" s="243"/>
      <c r="I617" s="243"/>
      <c r="J617" s="243"/>
      <c r="K617" s="85"/>
      <c r="L617" s="85"/>
      <c r="M617" s="85"/>
      <c r="N617" s="29"/>
      <c r="O617" s="307"/>
      <c r="P617" s="29"/>
      <c r="Q617" s="15"/>
      <c r="R617" s="15"/>
      <c r="S617" s="15"/>
      <c r="T617" s="15"/>
      <c r="U617" s="15"/>
      <c r="V617" s="243"/>
      <c r="W617" s="15"/>
    </row>
    <row r="618">
      <c r="A618" s="34"/>
      <c r="B618" s="15"/>
      <c r="C618" s="15"/>
      <c r="D618" s="15"/>
      <c r="E618" s="17"/>
      <c r="F618" s="15"/>
      <c r="G618" s="250"/>
      <c r="H618" s="243"/>
      <c r="I618" s="243"/>
      <c r="J618" s="243"/>
      <c r="K618" s="85"/>
      <c r="L618" s="85"/>
      <c r="M618" s="85"/>
      <c r="N618" s="29"/>
      <c r="O618" s="307"/>
      <c r="P618" s="29"/>
      <c r="Q618" s="15"/>
      <c r="R618" s="15"/>
      <c r="S618" s="15"/>
      <c r="T618" s="15"/>
      <c r="U618" s="15"/>
      <c r="V618" s="243"/>
      <c r="W618" s="15"/>
    </row>
    <row r="619">
      <c r="A619" s="34"/>
      <c r="B619" s="15"/>
      <c r="C619" s="15"/>
      <c r="D619" s="15"/>
      <c r="E619" s="17"/>
      <c r="F619" s="15"/>
      <c r="G619" s="250"/>
      <c r="H619" s="243"/>
      <c r="I619" s="243"/>
      <c r="J619" s="243"/>
      <c r="K619" s="85"/>
      <c r="L619" s="85"/>
      <c r="M619" s="85"/>
      <c r="N619" s="29"/>
      <c r="O619" s="307"/>
      <c r="P619" s="29"/>
      <c r="Q619" s="15"/>
      <c r="R619" s="15"/>
      <c r="S619" s="15"/>
      <c r="T619" s="15"/>
      <c r="U619" s="15"/>
      <c r="V619" s="243"/>
      <c r="W619" s="15"/>
    </row>
    <row r="620">
      <c r="A620" s="34"/>
      <c r="B620" s="15"/>
      <c r="C620" s="15"/>
      <c r="D620" s="15"/>
      <c r="E620" s="17"/>
      <c r="F620" s="15"/>
      <c r="G620" s="250"/>
      <c r="H620" s="243"/>
      <c r="I620" s="243"/>
      <c r="J620" s="243"/>
      <c r="K620" s="85"/>
      <c r="L620" s="85"/>
      <c r="M620" s="85"/>
      <c r="N620" s="29"/>
      <c r="O620" s="307"/>
      <c r="P620" s="29"/>
      <c r="Q620" s="15"/>
      <c r="R620" s="15"/>
      <c r="S620" s="15"/>
      <c r="T620" s="15"/>
      <c r="U620" s="15"/>
      <c r="V620" s="243"/>
      <c r="W620" s="15"/>
    </row>
    <row r="621">
      <c r="A621" s="34"/>
      <c r="B621" s="15"/>
      <c r="C621" s="15"/>
      <c r="D621" s="15"/>
      <c r="E621" s="17"/>
      <c r="F621" s="15"/>
      <c r="G621" s="250"/>
      <c r="H621" s="243"/>
      <c r="I621" s="243"/>
      <c r="J621" s="243"/>
      <c r="K621" s="85"/>
      <c r="L621" s="85"/>
      <c r="M621" s="85"/>
      <c r="N621" s="29"/>
      <c r="O621" s="307"/>
      <c r="P621" s="29"/>
      <c r="Q621" s="15"/>
      <c r="R621" s="15"/>
      <c r="S621" s="15"/>
      <c r="T621" s="15"/>
      <c r="U621" s="15"/>
      <c r="V621" s="243"/>
      <c r="W621" s="15"/>
    </row>
    <row r="622">
      <c r="A622" s="34"/>
      <c r="B622" s="15"/>
      <c r="C622" s="15"/>
      <c r="D622" s="15"/>
      <c r="E622" s="17"/>
      <c r="F622" s="15"/>
      <c r="G622" s="250"/>
      <c r="H622" s="243"/>
      <c r="I622" s="243"/>
      <c r="J622" s="243"/>
      <c r="K622" s="85"/>
      <c r="L622" s="85"/>
      <c r="M622" s="85"/>
      <c r="N622" s="29"/>
      <c r="O622" s="307"/>
      <c r="P622" s="29"/>
      <c r="Q622" s="15"/>
      <c r="R622" s="15"/>
      <c r="S622" s="15"/>
      <c r="T622" s="15"/>
      <c r="U622" s="15"/>
      <c r="V622" s="243"/>
      <c r="W622" s="15"/>
    </row>
    <row r="623">
      <c r="A623" s="34"/>
      <c r="B623" s="15"/>
      <c r="C623" s="15"/>
      <c r="D623" s="15"/>
      <c r="E623" s="17"/>
      <c r="F623" s="15"/>
      <c r="G623" s="250"/>
      <c r="H623" s="243"/>
      <c r="I623" s="243"/>
      <c r="J623" s="243"/>
      <c r="K623" s="85"/>
      <c r="L623" s="85"/>
      <c r="M623" s="85"/>
      <c r="N623" s="29"/>
      <c r="O623" s="307"/>
      <c r="P623" s="29"/>
      <c r="Q623" s="15"/>
      <c r="R623" s="15"/>
      <c r="S623" s="15"/>
      <c r="T623" s="15"/>
      <c r="U623" s="15"/>
      <c r="V623" s="243"/>
      <c r="W623" s="15"/>
    </row>
    <row r="624">
      <c r="A624" s="34"/>
      <c r="B624" s="15"/>
      <c r="C624" s="15"/>
      <c r="D624" s="15"/>
      <c r="E624" s="17"/>
      <c r="F624" s="15"/>
      <c r="G624" s="250"/>
      <c r="H624" s="243"/>
      <c r="I624" s="243"/>
      <c r="J624" s="243"/>
      <c r="K624" s="85"/>
      <c r="L624" s="85"/>
      <c r="M624" s="85"/>
      <c r="N624" s="29"/>
      <c r="O624" s="307"/>
      <c r="P624" s="29"/>
      <c r="Q624" s="15"/>
      <c r="R624" s="15"/>
      <c r="S624" s="15"/>
      <c r="T624" s="15"/>
      <c r="U624" s="15"/>
      <c r="V624" s="243"/>
      <c r="W624" s="15"/>
    </row>
    <row r="625">
      <c r="A625" s="34"/>
      <c r="B625" s="15"/>
      <c r="C625" s="15"/>
      <c r="D625" s="15"/>
      <c r="E625" s="17"/>
      <c r="F625" s="15"/>
      <c r="G625" s="250"/>
      <c r="H625" s="243"/>
      <c r="I625" s="243"/>
      <c r="J625" s="243"/>
      <c r="K625" s="85"/>
      <c r="L625" s="85"/>
      <c r="M625" s="85"/>
      <c r="N625" s="29"/>
      <c r="O625" s="307"/>
      <c r="P625" s="29"/>
      <c r="Q625" s="15"/>
      <c r="R625" s="15"/>
      <c r="S625" s="15"/>
      <c r="T625" s="15"/>
      <c r="U625" s="15"/>
      <c r="V625" s="243"/>
      <c r="W625" s="15"/>
    </row>
    <row r="626">
      <c r="A626" s="34"/>
      <c r="B626" s="15"/>
      <c r="C626" s="15"/>
      <c r="D626" s="15"/>
      <c r="E626" s="17"/>
      <c r="F626" s="15"/>
      <c r="G626" s="250"/>
      <c r="H626" s="243"/>
      <c r="I626" s="243"/>
      <c r="J626" s="243"/>
      <c r="K626" s="85"/>
      <c r="L626" s="85"/>
      <c r="M626" s="85"/>
      <c r="N626" s="29"/>
      <c r="O626" s="307"/>
      <c r="P626" s="29"/>
      <c r="Q626" s="15"/>
      <c r="R626" s="15"/>
      <c r="S626" s="15"/>
      <c r="T626" s="15"/>
      <c r="U626" s="15"/>
      <c r="V626" s="243"/>
      <c r="W626" s="15"/>
    </row>
    <row r="627">
      <c r="A627" s="34"/>
      <c r="B627" s="15"/>
      <c r="C627" s="15"/>
      <c r="D627" s="15"/>
      <c r="E627" s="17"/>
      <c r="F627" s="15"/>
      <c r="G627" s="250"/>
      <c r="H627" s="243"/>
      <c r="I627" s="243"/>
      <c r="J627" s="243"/>
      <c r="K627" s="85"/>
      <c r="L627" s="85"/>
      <c r="M627" s="85"/>
      <c r="N627" s="29"/>
      <c r="O627" s="307"/>
      <c r="P627" s="29"/>
      <c r="Q627" s="15"/>
      <c r="R627" s="15"/>
      <c r="S627" s="15"/>
      <c r="T627" s="15"/>
      <c r="U627" s="15"/>
      <c r="V627" s="243"/>
      <c r="W627" s="15"/>
    </row>
    <row r="628">
      <c r="A628" s="34"/>
      <c r="B628" s="15"/>
      <c r="C628" s="15"/>
      <c r="D628" s="15"/>
      <c r="E628" s="17"/>
      <c r="F628" s="15"/>
      <c r="G628" s="250"/>
      <c r="H628" s="243"/>
      <c r="I628" s="243"/>
      <c r="J628" s="243"/>
      <c r="K628" s="85"/>
      <c r="L628" s="85"/>
      <c r="M628" s="85"/>
      <c r="N628" s="29"/>
      <c r="O628" s="307"/>
      <c r="P628" s="29"/>
      <c r="Q628" s="15"/>
      <c r="R628" s="15"/>
      <c r="S628" s="15"/>
      <c r="T628" s="15"/>
      <c r="U628" s="15"/>
      <c r="V628" s="243"/>
      <c r="W628" s="15"/>
    </row>
    <row r="629">
      <c r="A629" s="34"/>
      <c r="B629" s="15"/>
      <c r="C629" s="15"/>
      <c r="D629" s="15"/>
      <c r="E629" s="17"/>
      <c r="F629" s="15"/>
      <c r="G629" s="250"/>
      <c r="H629" s="243"/>
      <c r="I629" s="243"/>
      <c r="J629" s="243"/>
      <c r="K629" s="85"/>
      <c r="L629" s="85"/>
      <c r="M629" s="85"/>
      <c r="N629" s="29"/>
      <c r="O629" s="307"/>
      <c r="P629" s="29"/>
      <c r="Q629" s="15"/>
      <c r="R629" s="15"/>
      <c r="S629" s="15"/>
      <c r="T629" s="15"/>
      <c r="U629" s="15"/>
      <c r="V629" s="243"/>
      <c r="W629" s="15"/>
    </row>
    <row r="630">
      <c r="A630" s="34"/>
      <c r="B630" s="15"/>
      <c r="C630" s="15"/>
      <c r="D630" s="15"/>
      <c r="E630" s="17"/>
      <c r="F630" s="15"/>
      <c r="G630" s="250"/>
      <c r="H630" s="243"/>
      <c r="I630" s="243"/>
      <c r="J630" s="243"/>
      <c r="K630" s="85"/>
      <c r="L630" s="85"/>
      <c r="M630" s="85"/>
      <c r="N630" s="29"/>
      <c r="O630" s="307"/>
      <c r="P630" s="29"/>
      <c r="Q630" s="15"/>
      <c r="R630" s="15"/>
      <c r="S630" s="15"/>
      <c r="T630" s="15"/>
      <c r="U630" s="15"/>
      <c r="V630" s="243"/>
      <c r="W630" s="15"/>
    </row>
    <row r="631">
      <c r="A631" s="34"/>
      <c r="B631" s="15"/>
      <c r="C631" s="15"/>
      <c r="D631" s="15"/>
      <c r="E631" s="17"/>
      <c r="F631" s="15"/>
      <c r="G631" s="250"/>
      <c r="H631" s="243"/>
      <c r="I631" s="243"/>
      <c r="J631" s="243"/>
      <c r="K631" s="85"/>
      <c r="L631" s="85"/>
      <c r="M631" s="85"/>
      <c r="N631" s="29"/>
      <c r="O631" s="307"/>
      <c r="P631" s="29"/>
      <c r="Q631" s="15"/>
      <c r="R631" s="15"/>
      <c r="S631" s="15"/>
      <c r="T631" s="15"/>
      <c r="U631" s="15"/>
      <c r="V631" s="243"/>
      <c r="W631" s="15"/>
    </row>
    <row r="632">
      <c r="A632" s="34"/>
      <c r="B632" s="15"/>
      <c r="C632" s="15"/>
      <c r="D632" s="15"/>
      <c r="E632" s="17"/>
      <c r="F632" s="15"/>
      <c r="G632" s="250"/>
      <c r="H632" s="243"/>
      <c r="I632" s="243"/>
      <c r="J632" s="243"/>
      <c r="K632" s="85"/>
      <c r="L632" s="85"/>
      <c r="M632" s="85"/>
      <c r="N632" s="29"/>
      <c r="O632" s="307"/>
      <c r="P632" s="29"/>
      <c r="Q632" s="15"/>
      <c r="R632" s="15"/>
      <c r="S632" s="15"/>
      <c r="T632" s="15"/>
      <c r="U632" s="15"/>
      <c r="V632" s="243"/>
      <c r="W632" s="15"/>
    </row>
    <row r="633">
      <c r="A633" s="34"/>
      <c r="B633" s="15"/>
      <c r="C633" s="15"/>
      <c r="D633" s="15"/>
      <c r="E633" s="17"/>
      <c r="F633" s="15"/>
      <c r="G633" s="250"/>
      <c r="H633" s="243"/>
      <c r="I633" s="243"/>
      <c r="J633" s="243"/>
      <c r="K633" s="85"/>
      <c r="L633" s="85"/>
      <c r="M633" s="85"/>
      <c r="N633" s="29"/>
      <c r="O633" s="307"/>
      <c r="P633" s="29"/>
      <c r="Q633" s="15"/>
      <c r="R633" s="15"/>
      <c r="S633" s="15"/>
      <c r="T633" s="15"/>
      <c r="U633" s="15"/>
      <c r="V633" s="243"/>
      <c r="W633" s="15"/>
    </row>
    <row r="634">
      <c r="A634" s="34"/>
      <c r="B634" s="15"/>
      <c r="C634" s="15"/>
      <c r="D634" s="15"/>
      <c r="E634" s="17"/>
      <c r="F634" s="15"/>
      <c r="G634" s="250"/>
      <c r="H634" s="243"/>
      <c r="I634" s="243"/>
      <c r="J634" s="243"/>
      <c r="K634" s="85"/>
      <c r="L634" s="85"/>
      <c r="M634" s="85"/>
      <c r="N634" s="29"/>
      <c r="O634" s="307"/>
      <c r="P634" s="29"/>
      <c r="Q634" s="15"/>
      <c r="R634" s="15"/>
      <c r="S634" s="15"/>
      <c r="T634" s="15"/>
      <c r="U634" s="15"/>
      <c r="V634" s="243"/>
      <c r="W634" s="15"/>
    </row>
    <row r="635">
      <c r="A635" s="34"/>
      <c r="B635" s="15"/>
      <c r="C635" s="15"/>
      <c r="D635" s="15"/>
      <c r="E635" s="17"/>
      <c r="F635" s="15"/>
      <c r="G635" s="250"/>
      <c r="H635" s="243"/>
      <c r="I635" s="243"/>
      <c r="J635" s="243"/>
      <c r="K635" s="85"/>
      <c r="L635" s="85"/>
      <c r="M635" s="85"/>
      <c r="N635" s="29"/>
      <c r="O635" s="307"/>
      <c r="P635" s="29"/>
      <c r="Q635" s="15"/>
      <c r="R635" s="15"/>
      <c r="S635" s="15"/>
      <c r="T635" s="15"/>
      <c r="U635" s="15"/>
      <c r="V635" s="243"/>
      <c r="W635" s="15"/>
    </row>
    <row r="636">
      <c r="A636" s="34"/>
      <c r="B636" s="15"/>
      <c r="C636" s="15"/>
      <c r="D636" s="15"/>
      <c r="E636" s="17"/>
      <c r="F636" s="15"/>
      <c r="G636" s="250"/>
      <c r="H636" s="243"/>
      <c r="I636" s="243"/>
      <c r="J636" s="243"/>
      <c r="K636" s="85"/>
      <c r="L636" s="85"/>
      <c r="M636" s="85"/>
      <c r="N636" s="29"/>
      <c r="O636" s="307"/>
      <c r="P636" s="29"/>
      <c r="Q636" s="15"/>
      <c r="R636" s="15"/>
      <c r="S636" s="15"/>
      <c r="T636" s="15"/>
      <c r="U636" s="15"/>
      <c r="V636" s="243"/>
      <c r="W636" s="15"/>
    </row>
    <row r="637">
      <c r="A637" s="34"/>
      <c r="B637" s="15"/>
      <c r="C637" s="15"/>
      <c r="D637" s="15"/>
      <c r="E637" s="17"/>
      <c r="F637" s="15"/>
      <c r="G637" s="250"/>
      <c r="H637" s="243"/>
      <c r="I637" s="243"/>
      <c r="J637" s="243"/>
      <c r="K637" s="85"/>
      <c r="L637" s="85"/>
      <c r="M637" s="85"/>
      <c r="N637" s="29"/>
      <c r="O637" s="307"/>
      <c r="P637" s="29"/>
      <c r="Q637" s="15"/>
      <c r="R637" s="15"/>
      <c r="S637" s="15"/>
      <c r="T637" s="15"/>
      <c r="U637" s="15"/>
      <c r="V637" s="243"/>
      <c r="W637" s="15"/>
    </row>
    <row r="638">
      <c r="A638" s="34"/>
      <c r="B638" s="15"/>
      <c r="C638" s="15"/>
      <c r="D638" s="15"/>
      <c r="E638" s="17"/>
      <c r="F638" s="15"/>
      <c r="G638" s="250"/>
      <c r="H638" s="243"/>
      <c r="I638" s="243"/>
      <c r="J638" s="243"/>
      <c r="K638" s="85"/>
      <c r="L638" s="85"/>
      <c r="M638" s="85"/>
      <c r="N638" s="29"/>
      <c r="O638" s="307"/>
      <c r="P638" s="29"/>
      <c r="Q638" s="15"/>
      <c r="R638" s="15"/>
      <c r="S638" s="15"/>
      <c r="T638" s="15"/>
      <c r="U638" s="15"/>
      <c r="V638" s="243"/>
      <c r="W638" s="15"/>
    </row>
    <row r="639">
      <c r="A639" s="34"/>
      <c r="B639" s="15"/>
      <c r="C639" s="15"/>
      <c r="D639" s="15"/>
      <c r="E639" s="17"/>
      <c r="F639" s="15"/>
      <c r="G639" s="250"/>
      <c r="H639" s="243"/>
      <c r="I639" s="243"/>
      <c r="J639" s="243"/>
      <c r="K639" s="85"/>
      <c r="L639" s="85"/>
      <c r="M639" s="85"/>
      <c r="N639" s="29"/>
      <c r="O639" s="307"/>
      <c r="P639" s="29"/>
      <c r="Q639" s="15"/>
      <c r="R639" s="15"/>
      <c r="S639" s="15"/>
      <c r="T639" s="15"/>
      <c r="U639" s="15"/>
      <c r="V639" s="243"/>
      <c r="W639" s="15"/>
    </row>
    <row r="640">
      <c r="A640" s="34"/>
      <c r="B640" s="15"/>
      <c r="C640" s="15"/>
      <c r="D640" s="15"/>
      <c r="E640" s="17"/>
      <c r="F640" s="15"/>
      <c r="G640" s="250"/>
      <c r="H640" s="243"/>
      <c r="I640" s="243"/>
      <c r="J640" s="243"/>
      <c r="K640" s="85"/>
      <c r="L640" s="85"/>
      <c r="M640" s="85"/>
      <c r="N640" s="29"/>
      <c r="O640" s="307"/>
      <c r="P640" s="29"/>
      <c r="Q640" s="15"/>
      <c r="R640" s="15"/>
      <c r="S640" s="15"/>
      <c r="T640" s="15"/>
      <c r="U640" s="15"/>
      <c r="V640" s="243"/>
      <c r="W640" s="15"/>
    </row>
    <row r="641">
      <c r="A641" s="34"/>
      <c r="B641" s="15"/>
      <c r="C641" s="15"/>
      <c r="D641" s="15"/>
      <c r="E641" s="17"/>
      <c r="F641" s="15"/>
      <c r="G641" s="250"/>
      <c r="H641" s="243"/>
      <c r="I641" s="243"/>
      <c r="J641" s="243"/>
      <c r="K641" s="85"/>
      <c r="L641" s="85"/>
      <c r="M641" s="85"/>
      <c r="N641" s="29"/>
      <c r="O641" s="307"/>
      <c r="P641" s="29"/>
      <c r="Q641" s="15"/>
      <c r="R641" s="15"/>
      <c r="S641" s="15"/>
      <c r="T641" s="15"/>
      <c r="U641" s="15"/>
      <c r="V641" s="243"/>
      <c r="W641" s="15"/>
    </row>
    <row r="642">
      <c r="A642" s="34"/>
      <c r="B642" s="15"/>
      <c r="C642" s="15"/>
      <c r="D642" s="15"/>
      <c r="E642" s="17"/>
      <c r="F642" s="15"/>
      <c r="G642" s="250"/>
      <c r="H642" s="243"/>
      <c r="I642" s="243"/>
      <c r="J642" s="243"/>
      <c r="K642" s="85"/>
      <c r="L642" s="85"/>
      <c r="M642" s="85"/>
      <c r="N642" s="29"/>
      <c r="O642" s="307"/>
      <c r="P642" s="29"/>
      <c r="Q642" s="15"/>
      <c r="R642" s="15"/>
      <c r="S642" s="15"/>
      <c r="T642" s="15"/>
      <c r="U642" s="15"/>
      <c r="V642" s="243"/>
      <c r="W642" s="15"/>
    </row>
    <row r="643">
      <c r="A643" s="34"/>
      <c r="B643" s="15"/>
      <c r="C643" s="15"/>
      <c r="D643" s="15"/>
      <c r="E643" s="17"/>
      <c r="F643" s="15"/>
      <c r="G643" s="250"/>
      <c r="H643" s="243"/>
      <c r="I643" s="243"/>
      <c r="J643" s="243"/>
      <c r="K643" s="85"/>
      <c r="L643" s="85"/>
      <c r="M643" s="85"/>
      <c r="N643" s="29"/>
      <c r="O643" s="307"/>
      <c r="P643" s="29"/>
      <c r="Q643" s="15"/>
      <c r="R643" s="15"/>
      <c r="S643" s="15"/>
      <c r="T643" s="15"/>
      <c r="U643" s="15"/>
      <c r="V643" s="243"/>
      <c r="W643" s="15"/>
    </row>
    <row r="644">
      <c r="A644" s="34"/>
      <c r="B644" s="15"/>
      <c r="C644" s="15"/>
      <c r="D644" s="15"/>
      <c r="E644" s="17"/>
      <c r="F644" s="15"/>
      <c r="G644" s="250"/>
      <c r="H644" s="243"/>
      <c r="I644" s="243"/>
      <c r="J644" s="243"/>
      <c r="K644" s="85"/>
      <c r="L644" s="85"/>
      <c r="M644" s="85"/>
      <c r="N644" s="29"/>
      <c r="O644" s="307"/>
      <c r="P644" s="29"/>
      <c r="Q644" s="15"/>
      <c r="R644" s="15"/>
      <c r="S644" s="15"/>
      <c r="T644" s="15"/>
      <c r="U644" s="15"/>
      <c r="V644" s="243"/>
      <c r="W644" s="15"/>
    </row>
    <row r="645">
      <c r="A645" s="34"/>
      <c r="B645" s="15"/>
      <c r="C645" s="15"/>
      <c r="D645" s="15"/>
      <c r="E645" s="17"/>
      <c r="F645" s="15"/>
      <c r="G645" s="250"/>
      <c r="H645" s="243"/>
      <c r="I645" s="243"/>
      <c r="J645" s="243"/>
      <c r="K645" s="85"/>
      <c r="L645" s="85"/>
      <c r="M645" s="85"/>
      <c r="N645" s="29"/>
      <c r="O645" s="307"/>
      <c r="P645" s="29"/>
      <c r="Q645" s="15"/>
      <c r="R645" s="15"/>
      <c r="S645" s="15"/>
      <c r="T645" s="15"/>
      <c r="U645" s="15"/>
      <c r="V645" s="243"/>
      <c r="W645" s="15"/>
    </row>
    <row r="646">
      <c r="A646" s="34"/>
      <c r="B646" s="15"/>
      <c r="C646" s="15"/>
      <c r="D646" s="15"/>
      <c r="E646" s="17"/>
      <c r="F646" s="15"/>
      <c r="G646" s="250"/>
      <c r="H646" s="243"/>
      <c r="I646" s="243"/>
      <c r="J646" s="243"/>
      <c r="K646" s="85"/>
      <c r="L646" s="85"/>
      <c r="M646" s="85"/>
      <c r="N646" s="29"/>
      <c r="O646" s="307"/>
      <c r="P646" s="29"/>
      <c r="Q646" s="15"/>
      <c r="R646" s="15"/>
      <c r="S646" s="15"/>
      <c r="T646" s="15"/>
      <c r="U646" s="15"/>
      <c r="V646" s="243"/>
      <c r="W646" s="15"/>
    </row>
    <row r="647">
      <c r="A647" s="34"/>
      <c r="B647" s="15"/>
      <c r="C647" s="15"/>
      <c r="D647" s="15"/>
      <c r="E647" s="17"/>
      <c r="F647" s="15"/>
      <c r="G647" s="250"/>
      <c r="H647" s="243"/>
      <c r="I647" s="243"/>
      <c r="J647" s="243"/>
      <c r="K647" s="85"/>
      <c r="L647" s="85"/>
      <c r="M647" s="85"/>
      <c r="N647" s="29"/>
      <c r="O647" s="307"/>
      <c r="P647" s="29"/>
      <c r="Q647" s="15"/>
      <c r="R647" s="15"/>
      <c r="S647" s="15"/>
      <c r="T647" s="15"/>
      <c r="U647" s="15"/>
      <c r="V647" s="243"/>
      <c r="W647" s="15"/>
    </row>
    <row r="648">
      <c r="A648" s="34"/>
      <c r="B648" s="15"/>
      <c r="C648" s="15"/>
      <c r="D648" s="15"/>
      <c r="E648" s="17"/>
      <c r="F648" s="15"/>
      <c r="G648" s="250"/>
      <c r="H648" s="243"/>
      <c r="I648" s="243"/>
      <c r="J648" s="243"/>
      <c r="K648" s="85"/>
      <c r="L648" s="85"/>
      <c r="M648" s="85"/>
      <c r="N648" s="29"/>
      <c r="O648" s="307"/>
      <c r="P648" s="29"/>
      <c r="Q648" s="15"/>
      <c r="R648" s="15"/>
      <c r="S648" s="15"/>
      <c r="T648" s="15"/>
      <c r="U648" s="15"/>
      <c r="V648" s="243"/>
      <c r="W648" s="15"/>
    </row>
    <row r="649">
      <c r="A649" s="34"/>
      <c r="B649" s="15"/>
      <c r="C649" s="15"/>
      <c r="D649" s="15"/>
      <c r="E649" s="17"/>
      <c r="F649" s="15"/>
      <c r="G649" s="250"/>
      <c r="H649" s="243"/>
      <c r="I649" s="243"/>
      <c r="J649" s="243"/>
      <c r="K649" s="85"/>
      <c r="L649" s="85"/>
      <c r="M649" s="85"/>
      <c r="N649" s="29"/>
      <c r="O649" s="307"/>
      <c r="P649" s="29"/>
      <c r="Q649" s="15"/>
      <c r="R649" s="15"/>
      <c r="S649" s="15"/>
      <c r="T649" s="15"/>
      <c r="U649" s="15"/>
      <c r="V649" s="243"/>
      <c r="W649" s="15"/>
    </row>
    <row r="650">
      <c r="A650" s="34"/>
      <c r="B650" s="15"/>
      <c r="C650" s="15"/>
      <c r="D650" s="15"/>
      <c r="E650" s="17"/>
      <c r="F650" s="15"/>
      <c r="G650" s="250"/>
      <c r="H650" s="243"/>
      <c r="I650" s="243"/>
      <c r="J650" s="243"/>
      <c r="K650" s="85"/>
      <c r="L650" s="85"/>
      <c r="M650" s="85"/>
      <c r="N650" s="29"/>
      <c r="O650" s="307"/>
      <c r="P650" s="29"/>
      <c r="Q650" s="15"/>
      <c r="R650" s="15"/>
      <c r="S650" s="15"/>
      <c r="T650" s="15"/>
      <c r="U650" s="15"/>
      <c r="V650" s="243"/>
      <c r="W650" s="15"/>
    </row>
    <row r="651">
      <c r="A651" s="34"/>
      <c r="B651" s="15"/>
      <c r="C651" s="15"/>
      <c r="D651" s="15"/>
      <c r="E651" s="17"/>
      <c r="F651" s="15"/>
      <c r="G651" s="250"/>
      <c r="H651" s="243"/>
      <c r="I651" s="243"/>
      <c r="J651" s="243"/>
      <c r="K651" s="85"/>
      <c r="L651" s="85"/>
      <c r="M651" s="85"/>
      <c r="N651" s="29"/>
      <c r="O651" s="307"/>
      <c r="P651" s="29"/>
      <c r="Q651" s="15"/>
      <c r="R651" s="15"/>
      <c r="S651" s="15"/>
      <c r="T651" s="15"/>
      <c r="U651" s="15"/>
      <c r="V651" s="243"/>
      <c r="W651" s="15"/>
    </row>
    <row r="652">
      <c r="A652" s="34"/>
      <c r="B652" s="15"/>
      <c r="C652" s="15"/>
      <c r="D652" s="15"/>
      <c r="E652" s="17"/>
      <c r="F652" s="15"/>
      <c r="G652" s="250"/>
      <c r="H652" s="243"/>
      <c r="I652" s="243"/>
      <c r="J652" s="243"/>
      <c r="K652" s="85"/>
      <c r="L652" s="85"/>
      <c r="M652" s="85"/>
      <c r="N652" s="29"/>
      <c r="O652" s="307"/>
      <c r="P652" s="29"/>
      <c r="Q652" s="15"/>
      <c r="R652" s="15"/>
      <c r="S652" s="15"/>
      <c r="T652" s="15"/>
      <c r="U652" s="15"/>
      <c r="V652" s="243"/>
      <c r="W652" s="15"/>
    </row>
    <row r="653">
      <c r="A653" s="34"/>
      <c r="B653" s="15"/>
      <c r="C653" s="15"/>
      <c r="D653" s="15"/>
      <c r="E653" s="17"/>
      <c r="F653" s="15"/>
      <c r="G653" s="250"/>
      <c r="H653" s="243"/>
      <c r="I653" s="243"/>
      <c r="J653" s="243"/>
      <c r="K653" s="85"/>
      <c r="L653" s="85"/>
      <c r="M653" s="85"/>
      <c r="N653" s="29"/>
      <c r="O653" s="307"/>
      <c r="P653" s="29"/>
      <c r="Q653" s="15"/>
      <c r="R653" s="15"/>
      <c r="S653" s="15"/>
      <c r="T653" s="15"/>
      <c r="U653" s="15"/>
      <c r="V653" s="243"/>
      <c r="W653" s="15"/>
    </row>
    <row r="654">
      <c r="A654" s="34"/>
      <c r="B654" s="15"/>
      <c r="C654" s="15"/>
      <c r="D654" s="15"/>
      <c r="E654" s="17"/>
      <c r="F654" s="15"/>
      <c r="G654" s="250"/>
      <c r="H654" s="243"/>
      <c r="I654" s="243"/>
      <c r="J654" s="243"/>
      <c r="K654" s="85"/>
      <c r="L654" s="85"/>
      <c r="M654" s="85"/>
      <c r="N654" s="29"/>
      <c r="O654" s="307"/>
      <c r="P654" s="29"/>
      <c r="Q654" s="15"/>
      <c r="R654" s="15"/>
      <c r="S654" s="15"/>
      <c r="T654" s="15"/>
      <c r="U654" s="15"/>
      <c r="V654" s="243"/>
      <c r="W654" s="15"/>
    </row>
    <row r="655">
      <c r="A655" s="34"/>
      <c r="B655" s="15"/>
      <c r="C655" s="15"/>
      <c r="D655" s="15"/>
      <c r="E655" s="17"/>
      <c r="F655" s="15"/>
      <c r="G655" s="250"/>
      <c r="H655" s="243"/>
      <c r="I655" s="243"/>
      <c r="J655" s="243"/>
      <c r="K655" s="85"/>
      <c r="L655" s="85"/>
      <c r="M655" s="85"/>
      <c r="N655" s="29"/>
      <c r="O655" s="307"/>
      <c r="P655" s="29"/>
      <c r="Q655" s="15"/>
      <c r="R655" s="15"/>
      <c r="S655" s="15"/>
      <c r="T655" s="15"/>
      <c r="U655" s="15"/>
      <c r="V655" s="243"/>
      <c r="W655" s="15"/>
    </row>
    <row r="656">
      <c r="A656" s="34"/>
      <c r="B656" s="15"/>
      <c r="C656" s="15"/>
      <c r="D656" s="15"/>
      <c r="E656" s="17"/>
      <c r="F656" s="15"/>
      <c r="G656" s="250"/>
      <c r="H656" s="243"/>
      <c r="I656" s="243"/>
      <c r="J656" s="243"/>
      <c r="K656" s="85"/>
      <c r="L656" s="85"/>
      <c r="M656" s="85"/>
      <c r="N656" s="29"/>
      <c r="O656" s="307"/>
      <c r="P656" s="29"/>
      <c r="Q656" s="15"/>
      <c r="R656" s="15"/>
      <c r="S656" s="15"/>
      <c r="T656" s="15"/>
      <c r="U656" s="15"/>
      <c r="V656" s="243"/>
      <c r="W656" s="15"/>
    </row>
    <row r="657">
      <c r="A657" s="34"/>
      <c r="B657" s="15"/>
      <c r="C657" s="15"/>
      <c r="D657" s="15"/>
      <c r="E657" s="17"/>
      <c r="F657" s="15"/>
      <c r="G657" s="250"/>
      <c r="H657" s="243"/>
      <c r="I657" s="243"/>
      <c r="J657" s="243"/>
      <c r="K657" s="85"/>
      <c r="L657" s="85"/>
      <c r="M657" s="85"/>
      <c r="N657" s="29"/>
      <c r="O657" s="307"/>
      <c r="P657" s="29"/>
      <c r="Q657" s="15"/>
      <c r="R657" s="15"/>
      <c r="S657" s="15"/>
      <c r="T657" s="15"/>
      <c r="U657" s="15"/>
      <c r="V657" s="243"/>
      <c r="W657" s="15"/>
    </row>
    <row r="658">
      <c r="A658" s="34"/>
      <c r="B658" s="15"/>
      <c r="C658" s="15"/>
      <c r="D658" s="15"/>
      <c r="E658" s="17"/>
      <c r="F658" s="15"/>
      <c r="G658" s="250"/>
      <c r="H658" s="243"/>
      <c r="I658" s="243"/>
      <c r="J658" s="243"/>
      <c r="K658" s="85"/>
      <c r="L658" s="85"/>
      <c r="M658" s="85"/>
      <c r="N658" s="29"/>
      <c r="O658" s="307"/>
      <c r="P658" s="29"/>
      <c r="Q658" s="15"/>
      <c r="R658" s="15"/>
      <c r="S658" s="15"/>
      <c r="T658" s="15"/>
      <c r="U658" s="15"/>
      <c r="V658" s="243"/>
      <c r="W658" s="15"/>
    </row>
    <row r="659">
      <c r="A659" s="34"/>
      <c r="B659" s="15"/>
      <c r="C659" s="15"/>
      <c r="D659" s="15"/>
      <c r="E659" s="17"/>
      <c r="F659" s="15"/>
      <c r="G659" s="250"/>
      <c r="H659" s="243"/>
      <c r="I659" s="243"/>
      <c r="J659" s="243"/>
      <c r="K659" s="85"/>
      <c r="L659" s="85"/>
      <c r="M659" s="85"/>
      <c r="N659" s="29"/>
      <c r="O659" s="307"/>
      <c r="P659" s="29"/>
      <c r="Q659" s="15"/>
      <c r="R659" s="15"/>
      <c r="S659" s="15"/>
      <c r="T659" s="15"/>
      <c r="U659" s="15"/>
      <c r="V659" s="243"/>
      <c r="W659" s="15"/>
    </row>
    <row r="660">
      <c r="A660" s="34"/>
      <c r="B660" s="15"/>
      <c r="C660" s="15"/>
      <c r="D660" s="15"/>
      <c r="E660" s="17"/>
      <c r="F660" s="15"/>
      <c r="G660" s="250"/>
      <c r="H660" s="243"/>
      <c r="I660" s="243"/>
      <c r="J660" s="243"/>
      <c r="K660" s="85"/>
      <c r="L660" s="85"/>
      <c r="M660" s="85"/>
      <c r="N660" s="29"/>
      <c r="O660" s="307"/>
      <c r="P660" s="29"/>
      <c r="Q660" s="15"/>
      <c r="R660" s="15"/>
      <c r="S660" s="15"/>
      <c r="T660" s="15"/>
      <c r="U660" s="15"/>
      <c r="V660" s="243"/>
      <c r="W660" s="15"/>
    </row>
    <row r="661">
      <c r="A661" s="34"/>
      <c r="B661" s="15"/>
      <c r="C661" s="15"/>
      <c r="D661" s="15"/>
      <c r="E661" s="17"/>
      <c r="F661" s="15"/>
      <c r="G661" s="250"/>
      <c r="H661" s="243"/>
      <c r="I661" s="243"/>
      <c r="J661" s="243"/>
      <c r="K661" s="85"/>
      <c r="L661" s="85"/>
      <c r="M661" s="85"/>
      <c r="N661" s="29"/>
      <c r="O661" s="307"/>
      <c r="P661" s="29"/>
      <c r="Q661" s="15"/>
      <c r="R661" s="15"/>
      <c r="S661" s="15"/>
      <c r="T661" s="15"/>
      <c r="U661" s="15"/>
      <c r="V661" s="243"/>
      <c r="W661" s="15"/>
    </row>
    <row r="662">
      <c r="A662" s="34"/>
      <c r="B662" s="15"/>
      <c r="C662" s="15"/>
      <c r="D662" s="15"/>
      <c r="E662" s="17"/>
      <c r="F662" s="15"/>
      <c r="G662" s="250"/>
      <c r="H662" s="243"/>
      <c r="I662" s="243"/>
      <c r="J662" s="243"/>
      <c r="K662" s="85"/>
      <c r="L662" s="85"/>
      <c r="M662" s="85"/>
      <c r="N662" s="29"/>
      <c r="O662" s="307"/>
      <c r="P662" s="29"/>
      <c r="Q662" s="15"/>
      <c r="R662" s="15"/>
      <c r="S662" s="15"/>
      <c r="T662" s="15"/>
      <c r="U662" s="15"/>
      <c r="V662" s="243"/>
      <c r="W662" s="15"/>
    </row>
    <row r="663">
      <c r="A663" s="34"/>
      <c r="B663" s="15"/>
      <c r="C663" s="15"/>
      <c r="D663" s="15"/>
      <c r="E663" s="17"/>
      <c r="F663" s="15"/>
      <c r="G663" s="250"/>
      <c r="H663" s="243"/>
      <c r="I663" s="243"/>
      <c r="J663" s="243"/>
      <c r="K663" s="85"/>
      <c r="L663" s="85"/>
      <c r="M663" s="85"/>
      <c r="N663" s="29"/>
      <c r="O663" s="307"/>
      <c r="P663" s="29"/>
      <c r="Q663" s="15"/>
      <c r="R663" s="15"/>
      <c r="S663" s="15"/>
      <c r="T663" s="15"/>
      <c r="U663" s="15"/>
      <c r="V663" s="243"/>
      <c r="W663" s="15"/>
    </row>
    <row r="664">
      <c r="A664" s="34"/>
      <c r="B664" s="15"/>
      <c r="C664" s="15"/>
      <c r="D664" s="15"/>
      <c r="E664" s="17"/>
      <c r="F664" s="15"/>
      <c r="G664" s="250"/>
      <c r="H664" s="243"/>
      <c r="I664" s="243"/>
      <c r="J664" s="243"/>
      <c r="K664" s="85"/>
      <c r="L664" s="85"/>
      <c r="M664" s="85"/>
      <c r="N664" s="29"/>
      <c r="O664" s="307"/>
      <c r="P664" s="29"/>
      <c r="Q664" s="15"/>
      <c r="R664" s="15"/>
      <c r="S664" s="15"/>
      <c r="T664" s="15"/>
      <c r="U664" s="15"/>
      <c r="V664" s="243"/>
      <c r="W664" s="15"/>
    </row>
    <row r="665">
      <c r="A665" s="34"/>
      <c r="B665" s="15"/>
      <c r="C665" s="15"/>
      <c r="D665" s="15"/>
      <c r="E665" s="17"/>
      <c r="F665" s="15"/>
      <c r="G665" s="250"/>
      <c r="H665" s="243"/>
      <c r="I665" s="243"/>
      <c r="J665" s="243"/>
      <c r="K665" s="85"/>
      <c r="L665" s="85"/>
      <c r="M665" s="85"/>
      <c r="N665" s="29"/>
      <c r="O665" s="307"/>
      <c r="P665" s="29"/>
      <c r="Q665" s="15"/>
      <c r="R665" s="15"/>
      <c r="S665" s="15"/>
      <c r="T665" s="15"/>
      <c r="U665" s="15"/>
      <c r="V665" s="243"/>
      <c r="W665" s="15"/>
    </row>
    <row r="666">
      <c r="A666" s="34"/>
      <c r="B666" s="15"/>
      <c r="C666" s="15"/>
      <c r="D666" s="15"/>
      <c r="E666" s="17"/>
      <c r="F666" s="15"/>
      <c r="G666" s="250"/>
      <c r="H666" s="243"/>
      <c r="I666" s="243"/>
      <c r="J666" s="243"/>
      <c r="K666" s="85"/>
      <c r="L666" s="85"/>
      <c r="M666" s="85"/>
      <c r="N666" s="29"/>
      <c r="O666" s="307"/>
      <c r="P666" s="29"/>
      <c r="Q666" s="15"/>
      <c r="R666" s="15"/>
      <c r="S666" s="15"/>
      <c r="T666" s="15"/>
      <c r="U666" s="15"/>
      <c r="V666" s="243"/>
      <c r="W666" s="15"/>
    </row>
    <row r="667">
      <c r="A667" s="34"/>
      <c r="B667" s="15"/>
      <c r="C667" s="15"/>
      <c r="D667" s="15"/>
      <c r="E667" s="17"/>
      <c r="F667" s="15"/>
      <c r="G667" s="250"/>
      <c r="H667" s="243"/>
      <c r="I667" s="243"/>
      <c r="J667" s="243"/>
      <c r="K667" s="85"/>
      <c r="L667" s="85"/>
      <c r="M667" s="85"/>
      <c r="N667" s="29"/>
      <c r="O667" s="307"/>
      <c r="P667" s="29"/>
      <c r="Q667" s="15"/>
      <c r="R667" s="15"/>
      <c r="S667" s="15"/>
      <c r="T667" s="15"/>
      <c r="U667" s="15"/>
      <c r="V667" s="243"/>
      <c r="W667" s="15"/>
    </row>
    <row r="668">
      <c r="A668" s="34"/>
      <c r="B668" s="15"/>
      <c r="C668" s="15"/>
      <c r="D668" s="15"/>
      <c r="E668" s="17"/>
      <c r="F668" s="15"/>
      <c r="G668" s="250"/>
      <c r="H668" s="243"/>
      <c r="I668" s="243"/>
      <c r="J668" s="243"/>
      <c r="K668" s="85"/>
      <c r="L668" s="85"/>
      <c r="M668" s="85"/>
      <c r="N668" s="29"/>
      <c r="O668" s="307"/>
      <c r="P668" s="29"/>
      <c r="Q668" s="15"/>
      <c r="R668" s="15"/>
      <c r="S668" s="15"/>
      <c r="T668" s="15"/>
      <c r="U668" s="15"/>
      <c r="V668" s="243"/>
      <c r="W668" s="15"/>
    </row>
    <row r="669">
      <c r="A669" s="34"/>
      <c r="B669" s="15"/>
      <c r="C669" s="15"/>
      <c r="D669" s="15"/>
      <c r="E669" s="17"/>
      <c r="F669" s="15"/>
      <c r="G669" s="250"/>
      <c r="H669" s="243"/>
      <c r="I669" s="243"/>
      <c r="J669" s="243"/>
      <c r="K669" s="85"/>
      <c r="L669" s="85"/>
      <c r="M669" s="85"/>
      <c r="N669" s="29"/>
      <c r="O669" s="307"/>
      <c r="P669" s="29"/>
      <c r="Q669" s="15"/>
      <c r="R669" s="15"/>
      <c r="S669" s="15"/>
      <c r="T669" s="15"/>
      <c r="U669" s="15"/>
      <c r="V669" s="243"/>
      <c r="W669" s="15"/>
    </row>
    <row r="670">
      <c r="A670" s="34"/>
      <c r="B670" s="15"/>
      <c r="C670" s="15"/>
      <c r="D670" s="15"/>
      <c r="E670" s="17"/>
      <c r="F670" s="15"/>
      <c r="G670" s="250"/>
      <c r="H670" s="243"/>
      <c r="I670" s="243"/>
      <c r="J670" s="243"/>
      <c r="K670" s="85"/>
      <c r="L670" s="85"/>
      <c r="M670" s="85"/>
      <c r="N670" s="29"/>
      <c r="O670" s="307"/>
      <c r="P670" s="29"/>
      <c r="Q670" s="15"/>
      <c r="R670" s="15"/>
      <c r="S670" s="15"/>
      <c r="T670" s="15"/>
      <c r="U670" s="15"/>
      <c r="V670" s="243"/>
      <c r="W670" s="15"/>
    </row>
    <row r="671">
      <c r="A671" s="34"/>
      <c r="B671" s="15"/>
      <c r="C671" s="15"/>
      <c r="D671" s="15"/>
      <c r="E671" s="17"/>
      <c r="F671" s="15"/>
      <c r="G671" s="250"/>
      <c r="H671" s="243"/>
      <c r="I671" s="243"/>
      <c r="J671" s="243"/>
      <c r="K671" s="85"/>
      <c r="L671" s="85"/>
      <c r="M671" s="85"/>
      <c r="N671" s="29"/>
      <c r="O671" s="307"/>
      <c r="P671" s="29"/>
      <c r="Q671" s="15"/>
      <c r="R671" s="15"/>
      <c r="S671" s="15"/>
      <c r="T671" s="15"/>
      <c r="U671" s="15"/>
      <c r="V671" s="243"/>
      <c r="W671" s="15"/>
    </row>
    <row r="672">
      <c r="A672" s="34"/>
      <c r="B672" s="15"/>
      <c r="C672" s="15"/>
      <c r="D672" s="15"/>
      <c r="E672" s="17"/>
      <c r="F672" s="15"/>
      <c r="G672" s="250"/>
      <c r="H672" s="243"/>
      <c r="I672" s="243"/>
      <c r="J672" s="243"/>
      <c r="K672" s="85"/>
      <c r="L672" s="85"/>
      <c r="M672" s="85"/>
      <c r="N672" s="29"/>
      <c r="O672" s="307"/>
      <c r="P672" s="29"/>
      <c r="Q672" s="15"/>
      <c r="R672" s="15"/>
      <c r="S672" s="15"/>
      <c r="T672" s="15"/>
      <c r="U672" s="15"/>
      <c r="V672" s="243"/>
      <c r="W672" s="15"/>
    </row>
    <row r="673">
      <c r="A673" s="34"/>
      <c r="B673" s="15"/>
      <c r="C673" s="15"/>
      <c r="D673" s="15"/>
      <c r="E673" s="17"/>
      <c r="F673" s="15"/>
      <c r="G673" s="250"/>
      <c r="H673" s="243"/>
      <c r="I673" s="243"/>
      <c r="J673" s="243"/>
      <c r="K673" s="85"/>
      <c r="L673" s="85"/>
      <c r="M673" s="85"/>
      <c r="N673" s="29"/>
      <c r="O673" s="307"/>
      <c r="P673" s="29"/>
      <c r="Q673" s="15"/>
      <c r="R673" s="15"/>
      <c r="S673" s="15"/>
      <c r="T673" s="15"/>
      <c r="U673" s="15"/>
      <c r="V673" s="243"/>
      <c r="W673" s="15"/>
    </row>
    <row r="674">
      <c r="A674" s="34"/>
      <c r="B674" s="15"/>
      <c r="C674" s="15"/>
      <c r="D674" s="15"/>
      <c r="E674" s="17"/>
      <c r="F674" s="15"/>
      <c r="G674" s="250"/>
      <c r="H674" s="243"/>
      <c r="I674" s="243"/>
      <c r="J674" s="243"/>
      <c r="K674" s="85"/>
      <c r="L674" s="85"/>
      <c r="M674" s="85"/>
      <c r="N674" s="29"/>
      <c r="O674" s="307"/>
      <c r="P674" s="29"/>
      <c r="Q674" s="15"/>
      <c r="R674" s="15"/>
      <c r="S674" s="15"/>
      <c r="T674" s="15"/>
      <c r="U674" s="15"/>
      <c r="V674" s="243"/>
      <c r="W674" s="15"/>
    </row>
    <row r="675">
      <c r="A675" s="34"/>
      <c r="B675" s="15"/>
      <c r="C675" s="15"/>
      <c r="D675" s="15"/>
      <c r="E675" s="17"/>
      <c r="F675" s="15"/>
      <c r="G675" s="250"/>
      <c r="H675" s="243"/>
      <c r="I675" s="243"/>
      <c r="J675" s="243"/>
      <c r="K675" s="85"/>
      <c r="L675" s="85"/>
      <c r="M675" s="85"/>
      <c r="N675" s="29"/>
      <c r="O675" s="307"/>
      <c r="P675" s="29"/>
      <c r="Q675" s="15"/>
      <c r="R675" s="15"/>
      <c r="S675" s="15"/>
      <c r="T675" s="15"/>
      <c r="U675" s="15"/>
      <c r="V675" s="243"/>
      <c r="W675" s="15"/>
    </row>
    <row r="676">
      <c r="A676" s="34"/>
      <c r="B676" s="15"/>
      <c r="C676" s="15"/>
      <c r="D676" s="15"/>
      <c r="E676" s="17"/>
      <c r="F676" s="15"/>
      <c r="G676" s="250"/>
      <c r="H676" s="243"/>
      <c r="I676" s="243"/>
      <c r="J676" s="243"/>
      <c r="K676" s="85"/>
      <c r="L676" s="85"/>
      <c r="M676" s="85"/>
      <c r="N676" s="29"/>
      <c r="O676" s="307"/>
      <c r="P676" s="29"/>
      <c r="Q676" s="15"/>
      <c r="R676" s="15"/>
      <c r="S676" s="15"/>
      <c r="T676" s="15"/>
      <c r="U676" s="15"/>
      <c r="V676" s="243"/>
      <c r="W676" s="15"/>
    </row>
    <row r="677">
      <c r="A677" s="34"/>
      <c r="B677" s="15"/>
      <c r="C677" s="15"/>
      <c r="D677" s="15"/>
      <c r="E677" s="17"/>
      <c r="F677" s="15"/>
      <c r="G677" s="250"/>
      <c r="H677" s="243"/>
      <c r="I677" s="243"/>
      <c r="J677" s="243"/>
      <c r="K677" s="85"/>
      <c r="L677" s="85"/>
      <c r="M677" s="85"/>
      <c r="N677" s="29"/>
      <c r="O677" s="307"/>
      <c r="P677" s="29"/>
      <c r="Q677" s="15"/>
      <c r="R677" s="15"/>
      <c r="S677" s="15"/>
      <c r="T677" s="15"/>
      <c r="U677" s="15"/>
      <c r="V677" s="243"/>
      <c r="W677" s="15"/>
    </row>
    <row r="678">
      <c r="A678" s="34"/>
      <c r="B678" s="15"/>
      <c r="C678" s="15"/>
      <c r="D678" s="15"/>
      <c r="E678" s="17"/>
      <c r="F678" s="15"/>
      <c r="G678" s="250"/>
      <c r="H678" s="243"/>
      <c r="I678" s="243"/>
      <c r="J678" s="243"/>
      <c r="K678" s="85"/>
      <c r="L678" s="85"/>
      <c r="M678" s="85"/>
      <c r="N678" s="29"/>
      <c r="O678" s="307"/>
      <c r="P678" s="29"/>
      <c r="Q678" s="15"/>
      <c r="R678" s="15"/>
      <c r="S678" s="15"/>
      <c r="T678" s="15"/>
      <c r="U678" s="15"/>
      <c r="V678" s="243"/>
      <c r="W678" s="15"/>
    </row>
    <row r="679">
      <c r="A679" s="34"/>
      <c r="B679" s="15"/>
      <c r="C679" s="15"/>
      <c r="D679" s="15"/>
      <c r="E679" s="17"/>
      <c r="F679" s="15"/>
      <c r="G679" s="250"/>
      <c r="H679" s="243"/>
      <c r="I679" s="243"/>
      <c r="J679" s="243"/>
      <c r="K679" s="85"/>
      <c r="L679" s="85"/>
      <c r="M679" s="85"/>
      <c r="N679" s="29"/>
      <c r="O679" s="307"/>
      <c r="P679" s="29"/>
      <c r="Q679" s="15"/>
      <c r="R679" s="15"/>
      <c r="S679" s="15"/>
      <c r="T679" s="15"/>
      <c r="U679" s="15"/>
      <c r="V679" s="243"/>
      <c r="W679" s="15"/>
    </row>
    <row r="680">
      <c r="A680" s="34"/>
      <c r="B680" s="15"/>
      <c r="C680" s="15"/>
      <c r="D680" s="15"/>
      <c r="E680" s="17"/>
      <c r="F680" s="15"/>
      <c r="G680" s="250"/>
      <c r="H680" s="243"/>
      <c r="I680" s="243"/>
      <c r="J680" s="243"/>
      <c r="K680" s="85"/>
      <c r="L680" s="85"/>
      <c r="M680" s="85"/>
      <c r="N680" s="29"/>
      <c r="O680" s="307"/>
      <c r="P680" s="29"/>
      <c r="Q680" s="15"/>
      <c r="R680" s="15"/>
      <c r="S680" s="15"/>
      <c r="T680" s="15"/>
      <c r="U680" s="15"/>
      <c r="V680" s="243"/>
      <c r="W680" s="15"/>
    </row>
    <row r="681">
      <c r="A681" s="34"/>
      <c r="B681" s="15"/>
      <c r="C681" s="15"/>
      <c r="D681" s="15"/>
      <c r="E681" s="17"/>
      <c r="F681" s="15"/>
      <c r="G681" s="250"/>
      <c r="H681" s="243"/>
      <c r="I681" s="243"/>
      <c r="J681" s="243"/>
      <c r="K681" s="85"/>
      <c r="L681" s="85"/>
      <c r="M681" s="85"/>
      <c r="N681" s="29"/>
      <c r="O681" s="307"/>
      <c r="P681" s="29"/>
      <c r="Q681" s="15"/>
      <c r="R681" s="15"/>
      <c r="S681" s="15"/>
      <c r="T681" s="15"/>
      <c r="U681" s="15"/>
      <c r="V681" s="243"/>
      <c r="W681" s="15"/>
    </row>
    <row r="682">
      <c r="A682" s="34"/>
      <c r="B682" s="15"/>
      <c r="C682" s="15"/>
      <c r="D682" s="15"/>
      <c r="E682" s="17"/>
      <c r="F682" s="15"/>
      <c r="G682" s="250"/>
      <c r="H682" s="243"/>
      <c r="I682" s="243"/>
      <c r="J682" s="243"/>
      <c r="K682" s="85"/>
      <c r="L682" s="85"/>
      <c r="M682" s="85"/>
      <c r="N682" s="29"/>
      <c r="O682" s="307"/>
      <c r="P682" s="29"/>
      <c r="Q682" s="15"/>
      <c r="R682" s="15"/>
      <c r="S682" s="15"/>
      <c r="T682" s="15"/>
      <c r="U682" s="15"/>
      <c r="V682" s="243"/>
      <c r="W682" s="15"/>
    </row>
    <row r="683">
      <c r="A683" s="34"/>
      <c r="B683" s="15"/>
      <c r="C683" s="15"/>
      <c r="D683" s="15"/>
      <c r="E683" s="17"/>
      <c r="F683" s="15"/>
      <c r="G683" s="250"/>
      <c r="H683" s="243"/>
      <c r="I683" s="243"/>
      <c r="J683" s="243"/>
      <c r="K683" s="85"/>
      <c r="L683" s="85"/>
      <c r="M683" s="85"/>
      <c r="N683" s="29"/>
      <c r="O683" s="307"/>
      <c r="P683" s="29"/>
      <c r="Q683" s="15"/>
      <c r="R683" s="15"/>
      <c r="S683" s="15"/>
      <c r="T683" s="15"/>
      <c r="U683" s="15"/>
      <c r="V683" s="243"/>
      <c r="W683" s="15"/>
    </row>
    <row r="684">
      <c r="A684" s="34"/>
      <c r="B684" s="15"/>
      <c r="C684" s="15"/>
      <c r="D684" s="15"/>
      <c r="E684" s="17"/>
      <c r="F684" s="15"/>
      <c r="G684" s="250"/>
      <c r="H684" s="243"/>
      <c r="I684" s="243"/>
      <c r="J684" s="243"/>
      <c r="K684" s="85"/>
      <c r="L684" s="85"/>
      <c r="M684" s="85"/>
      <c r="N684" s="29"/>
      <c r="O684" s="307"/>
      <c r="P684" s="29"/>
      <c r="Q684" s="15"/>
      <c r="R684" s="15"/>
      <c r="S684" s="15"/>
      <c r="T684" s="15"/>
      <c r="U684" s="15"/>
      <c r="V684" s="243"/>
      <c r="W684" s="15"/>
    </row>
    <row r="685">
      <c r="A685" s="34"/>
      <c r="B685" s="15"/>
      <c r="C685" s="15"/>
      <c r="D685" s="15"/>
      <c r="E685" s="17"/>
      <c r="F685" s="15"/>
      <c r="G685" s="250"/>
      <c r="H685" s="243"/>
      <c r="I685" s="243"/>
      <c r="J685" s="243"/>
      <c r="K685" s="85"/>
      <c r="L685" s="85"/>
      <c r="M685" s="85"/>
      <c r="N685" s="29"/>
      <c r="O685" s="307"/>
      <c r="P685" s="29"/>
      <c r="Q685" s="15"/>
      <c r="R685" s="15"/>
      <c r="S685" s="15"/>
      <c r="T685" s="15"/>
      <c r="U685" s="15"/>
      <c r="V685" s="243"/>
      <c r="W685" s="15"/>
    </row>
    <row r="686">
      <c r="A686" s="34"/>
      <c r="B686" s="15"/>
      <c r="C686" s="15"/>
      <c r="D686" s="15"/>
      <c r="E686" s="17"/>
      <c r="F686" s="15"/>
      <c r="G686" s="250"/>
      <c r="H686" s="243"/>
      <c r="I686" s="243"/>
      <c r="J686" s="243"/>
      <c r="K686" s="85"/>
      <c r="L686" s="85"/>
      <c r="M686" s="85"/>
      <c r="N686" s="29"/>
      <c r="O686" s="307"/>
      <c r="P686" s="29"/>
      <c r="Q686" s="15"/>
      <c r="R686" s="15"/>
      <c r="S686" s="15"/>
      <c r="T686" s="15"/>
      <c r="U686" s="15"/>
      <c r="V686" s="243"/>
      <c r="W686" s="15"/>
    </row>
    <row r="687">
      <c r="A687" s="34"/>
      <c r="B687" s="15"/>
      <c r="C687" s="15"/>
      <c r="D687" s="15"/>
      <c r="E687" s="17"/>
      <c r="F687" s="15"/>
      <c r="G687" s="250"/>
      <c r="H687" s="243"/>
      <c r="I687" s="243"/>
      <c r="J687" s="243"/>
      <c r="K687" s="85"/>
      <c r="L687" s="85"/>
      <c r="M687" s="85"/>
      <c r="N687" s="29"/>
      <c r="O687" s="307"/>
      <c r="P687" s="29"/>
      <c r="Q687" s="15"/>
      <c r="R687" s="15"/>
      <c r="S687" s="15"/>
      <c r="T687" s="15"/>
      <c r="U687" s="15"/>
      <c r="V687" s="243"/>
      <c r="W687" s="15"/>
    </row>
    <row r="688">
      <c r="A688" s="34"/>
      <c r="B688" s="15"/>
      <c r="C688" s="15"/>
      <c r="D688" s="15"/>
      <c r="E688" s="17"/>
      <c r="F688" s="15"/>
      <c r="G688" s="250"/>
      <c r="H688" s="243"/>
      <c r="I688" s="243"/>
      <c r="J688" s="243"/>
      <c r="K688" s="85"/>
      <c r="L688" s="85"/>
      <c r="M688" s="85"/>
      <c r="N688" s="29"/>
      <c r="O688" s="307"/>
      <c r="P688" s="29"/>
      <c r="Q688" s="15"/>
      <c r="R688" s="15"/>
      <c r="S688" s="15"/>
      <c r="T688" s="15"/>
      <c r="U688" s="15"/>
      <c r="V688" s="243"/>
      <c r="W688" s="15"/>
    </row>
    <row r="689">
      <c r="A689" s="34"/>
      <c r="B689" s="15"/>
      <c r="C689" s="15"/>
      <c r="D689" s="15"/>
      <c r="E689" s="17"/>
      <c r="F689" s="15"/>
      <c r="G689" s="250"/>
      <c r="H689" s="243"/>
      <c r="I689" s="243"/>
      <c r="J689" s="243"/>
      <c r="K689" s="85"/>
      <c r="L689" s="85"/>
      <c r="M689" s="85"/>
      <c r="N689" s="29"/>
      <c r="O689" s="307"/>
      <c r="P689" s="29"/>
      <c r="Q689" s="15"/>
      <c r="R689" s="15"/>
      <c r="S689" s="15"/>
      <c r="T689" s="15"/>
      <c r="U689" s="15"/>
      <c r="V689" s="243"/>
      <c r="W689" s="15"/>
    </row>
    <row r="690">
      <c r="A690" s="34"/>
      <c r="B690" s="15"/>
      <c r="C690" s="15"/>
      <c r="D690" s="15"/>
      <c r="E690" s="17"/>
      <c r="F690" s="15"/>
      <c r="G690" s="250"/>
      <c r="H690" s="243"/>
      <c r="I690" s="243"/>
      <c r="J690" s="243"/>
      <c r="K690" s="85"/>
      <c r="L690" s="85"/>
      <c r="M690" s="85"/>
      <c r="N690" s="29"/>
      <c r="O690" s="307"/>
      <c r="P690" s="29"/>
      <c r="Q690" s="15"/>
      <c r="R690" s="15"/>
      <c r="S690" s="15"/>
      <c r="T690" s="15"/>
      <c r="U690" s="15"/>
      <c r="V690" s="243"/>
      <c r="W690" s="15"/>
    </row>
    <row r="691">
      <c r="A691" s="34"/>
      <c r="B691" s="15"/>
      <c r="C691" s="15"/>
      <c r="D691" s="15"/>
      <c r="E691" s="17"/>
      <c r="F691" s="15"/>
      <c r="G691" s="250"/>
      <c r="H691" s="243"/>
      <c r="I691" s="243"/>
      <c r="J691" s="243"/>
      <c r="K691" s="85"/>
      <c r="L691" s="85"/>
      <c r="M691" s="85"/>
      <c r="N691" s="29"/>
      <c r="O691" s="307"/>
      <c r="P691" s="29"/>
      <c r="Q691" s="15"/>
      <c r="R691" s="15"/>
      <c r="S691" s="15"/>
      <c r="T691" s="15"/>
      <c r="U691" s="15"/>
      <c r="V691" s="243"/>
      <c r="W691" s="15"/>
    </row>
    <row r="692">
      <c r="A692" s="34"/>
      <c r="B692" s="15"/>
      <c r="C692" s="15"/>
      <c r="D692" s="15"/>
      <c r="E692" s="17"/>
      <c r="F692" s="15"/>
      <c r="G692" s="250"/>
      <c r="H692" s="243"/>
      <c r="I692" s="243"/>
      <c r="J692" s="243"/>
      <c r="K692" s="85"/>
      <c r="L692" s="85"/>
      <c r="M692" s="85"/>
      <c r="N692" s="29"/>
      <c r="O692" s="307"/>
      <c r="P692" s="29"/>
      <c r="Q692" s="15"/>
      <c r="R692" s="15"/>
      <c r="S692" s="15"/>
      <c r="T692" s="15"/>
      <c r="U692" s="15"/>
      <c r="V692" s="243"/>
      <c r="W692" s="15"/>
    </row>
    <row r="693">
      <c r="A693" s="34"/>
      <c r="B693" s="15"/>
      <c r="C693" s="15"/>
      <c r="D693" s="15"/>
      <c r="E693" s="17"/>
      <c r="F693" s="15"/>
      <c r="G693" s="250"/>
      <c r="H693" s="243"/>
      <c r="I693" s="243"/>
      <c r="J693" s="243"/>
      <c r="K693" s="85"/>
      <c r="L693" s="85"/>
      <c r="M693" s="85"/>
      <c r="N693" s="29"/>
      <c r="O693" s="307"/>
      <c r="P693" s="29"/>
      <c r="Q693" s="15"/>
      <c r="R693" s="15"/>
      <c r="S693" s="15"/>
      <c r="T693" s="15"/>
      <c r="U693" s="15"/>
      <c r="V693" s="243"/>
      <c r="W693" s="15"/>
    </row>
    <row r="694">
      <c r="A694" s="34"/>
      <c r="B694" s="15"/>
      <c r="C694" s="15"/>
      <c r="D694" s="15"/>
      <c r="E694" s="17"/>
      <c r="F694" s="15"/>
      <c r="G694" s="250"/>
      <c r="H694" s="243"/>
      <c r="I694" s="243"/>
      <c r="J694" s="243"/>
      <c r="K694" s="85"/>
      <c r="L694" s="85"/>
      <c r="M694" s="85"/>
      <c r="N694" s="29"/>
      <c r="O694" s="307"/>
      <c r="P694" s="29"/>
      <c r="Q694" s="15"/>
      <c r="R694" s="15"/>
      <c r="S694" s="15"/>
      <c r="T694" s="15"/>
      <c r="U694" s="15"/>
      <c r="V694" s="243"/>
      <c r="W694" s="15"/>
    </row>
    <row r="695">
      <c r="A695" s="34"/>
      <c r="B695" s="15"/>
      <c r="C695" s="15"/>
      <c r="D695" s="15"/>
      <c r="E695" s="17"/>
      <c r="F695" s="15"/>
      <c r="G695" s="250"/>
      <c r="H695" s="243"/>
      <c r="I695" s="243"/>
      <c r="J695" s="243"/>
      <c r="K695" s="85"/>
      <c r="L695" s="85"/>
      <c r="M695" s="85"/>
      <c r="N695" s="29"/>
      <c r="O695" s="307"/>
      <c r="P695" s="29"/>
      <c r="Q695" s="15"/>
      <c r="R695" s="15"/>
      <c r="S695" s="15"/>
      <c r="T695" s="15"/>
      <c r="U695" s="15"/>
      <c r="V695" s="243"/>
      <c r="W695" s="15"/>
    </row>
    <row r="696">
      <c r="A696" s="34"/>
      <c r="B696" s="15"/>
      <c r="C696" s="15"/>
      <c r="D696" s="15"/>
      <c r="E696" s="17"/>
      <c r="F696" s="15"/>
      <c r="G696" s="250"/>
      <c r="H696" s="243"/>
      <c r="I696" s="243"/>
      <c r="J696" s="243"/>
      <c r="K696" s="85"/>
      <c r="L696" s="85"/>
      <c r="M696" s="85"/>
      <c r="N696" s="29"/>
      <c r="O696" s="307"/>
      <c r="P696" s="29"/>
      <c r="Q696" s="15"/>
      <c r="R696" s="15"/>
      <c r="S696" s="15"/>
      <c r="T696" s="15"/>
      <c r="U696" s="15"/>
      <c r="V696" s="243"/>
      <c r="W696" s="15"/>
    </row>
    <row r="697">
      <c r="A697" s="34"/>
      <c r="B697" s="15"/>
      <c r="C697" s="15"/>
      <c r="D697" s="15"/>
      <c r="E697" s="17"/>
      <c r="F697" s="15"/>
      <c r="G697" s="250"/>
      <c r="H697" s="243"/>
      <c r="I697" s="243"/>
      <c r="J697" s="243"/>
      <c r="K697" s="85"/>
      <c r="L697" s="85"/>
      <c r="M697" s="85"/>
      <c r="N697" s="29"/>
      <c r="O697" s="307"/>
      <c r="P697" s="29"/>
      <c r="Q697" s="15"/>
      <c r="R697" s="15"/>
      <c r="S697" s="15"/>
      <c r="T697" s="15"/>
      <c r="U697" s="15"/>
      <c r="V697" s="243"/>
      <c r="W697" s="15"/>
    </row>
    <row r="698">
      <c r="A698" s="34"/>
      <c r="B698" s="15"/>
      <c r="C698" s="15"/>
      <c r="D698" s="15"/>
      <c r="E698" s="17"/>
      <c r="F698" s="15"/>
      <c r="G698" s="250"/>
      <c r="H698" s="243"/>
      <c r="I698" s="243"/>
      <c r="J698" s="243"/>
      <c r="K698" s="85"/>
      <c r="L698" s="85"/>
      <c r="M698" s="85"/>
      <c r="N698" s="29"/>
      <c r="O698" s="307"/>
      <c r="P698" s="29"/>
      <c r="Q698" s="15"/>
      <c r="R698" s="15"/>
      <c r="S698" s="15"/>
      <c r="T698" s="15"/>
      <c r="U698" s="15"/>
      <c r="V698" s="243"/>
      <c r="W698" s="15"/>
    </row>
    <row r="699">
      <c r="A699" s="34"/>
      <c r="B699" s="15"/>
      <c r="C699" s="15"/>
      <c r="D699" s="15"/>
      <c r="E699" s="17"/>
      <c r="F699" s="15"/>
      <c r="G699" s="250"/>
      <c r="H699" s="243"/>
      <c r="I699" s="243"/>
      <c r="J699" s="243"/>
      <c r="K699" s="85"/>
      <c r="L699" s="85"/>
      <c r="M699" s="85"/>
      <c r="N699" s="29"/>
      <c r="O699" s="307"/>
      <c r="P699" s="29"/>
      <c r="Q699" s="15"/>
      <c r="R699" s="15"/>
      <c r="S699" s="15"/>
      <c r="T699" s="15"/>
      <c r="U699" s="15"/>
      <c r="V699" s="243"/>
      <c r="W699" s="15"/>
    </row>
    <row r="700">
      <c r="A700" s="34"/>
      <c r="B700" s="15"/>
      <c r="C700" s="15"/>
      <c r="D700" s="15"/>
      <c r="E700" s="17"/>
      <c r="F700" s="15"/>
      <c r="G700" s="250"/>
      <c r="H700" s="243"/>
      <c r="I700" s="243"/>
      <c r="J700" s="243"/>
      <c r="K700" s="85"/>
      <c r="L700" s="85"/>
      <c r="M700" s="85"/>
      <c r="N700" s="29"/>
      <c r="O700" s="307"/>
      <c r="P700" s="29"/>
      <c r="Q700" s="15"/>
      <c r="R700" s="15"/>
      <c r="S700" s="15"/>
      <c r="T700" s="15"/>
      <c r="U700" s="15"/>
      <c r="V700" s="243"/>
      <c r="W700" s="15"/>
    </row>
    <row r="701">
      <c r="A701" s="34"/>
      <c r="B701" s="15"/>
      <c r="C701" s="15"/>
      <c r="D701" s="15"/>
      <c r="E701" s="17"/>
      <c r="F701" s="15"/>
      <c r="G701" s="250"/>
      <c r="H701" s="243"/>
      <c r="I701" s="243"/>
      <c r="J701" s="243"/>
      <c r="K701" s="85"/>
      <c r="L701" s="85"/>
      <c r="M701" s="85"/>
      <c r="N701" s="29"/>
      <c r="O701" s="307"/>
      <c r="P701" s="29"/>
      <c r="Q701" s="15"/>
      <c r="R701" s="15"/>
      <c r="S701" s="15"/>
      <c r="T701" s="15"/>
      <c r="U701" s="15"/>
      <c r="V701" s="243"/>
      <c r="W701" s="15"/>
    </row>
    <row r="702">
      <c r="A702" s="34"/>
      <c r="B702" s="15"/>
      <c r="C702" s="15"/>
      <c r="D702" s="15"/>
      <c r="E702" s="17"/>
      <c r="F702" s="15"/>
      <c r="G702" s="250"/>
      <c r="H702" s="243"/>
      <c r="I702" s="243"/>
      <c r="J702" s="243"/>
      <c r="K702" s="85"/>
      <c r="L702" s="85"/>
      <c r="M702" s="85"/>
      <c r="N702" s="29"/>
      <c r="O702" s="307"/>
      <c r="P702" s="29"/>
      <c r="Q702" s="15"/>
      <c r="R702" s="15"/>
      <c r="S702" s="15"/>
      <c r="T702" s="15"/>
      <c r="U702" s="15"/>
      <c r="V702" s="243"/>
      <c r="W702" s="15"/>
    </row>
    <row r="703">
      <c r="A703" s="34"/>
      <c r="B703" s="15"/>
      <c r="C703" s="15"/>
      <c r="D703" s="15"/>
      <c r="E703" s="17"/>
      <c r="F703" s="15"/>
      <c r="G703" s="250"/>
      <c r="H703" s="243"/>
      <c r="I703" s="243"/>
      <c r="J703" s="243"/>
      <c r="K703" s="85"/>
      <c r="L703" s="85"/>
      <c r="M703" s="85"/>
      <c r="N703" s="29"/>
      <c r="O703" s="307"/>
      <c r="P703" s="29"/>
      <c r="Q703" s="15"/>
      <c r="R703" s="15"/>
      <c r="S703" s="15"/>
      <c r="T703" s="15"/>
      <c r="U703" s="15"/>
      <c r="V703" s="243"/>
      <c r="W703" s="15"/>
    </row>
    <row r="704">
      <c r="A704" s="34"/>
      <c r="B704" s="15"/>
      <c r="C704" s="15"/>
      <c r="D704" s="15"/>
      <c r="E704" s="17"/>
      <c r="F704" s="15"/>
      <c r="G704" s="250"/>
      <c r="H704" s="243"/>
      <c r="I704" s="243"/>
      <c r="J704" s="243"/>
      <c r="K704" s="85"/>
      <c r="L704" s="85"/>
      <c r="M704" s="85"/>
      <c r="N704" s="29"/>
      <c r="O704" s="307"/>
      <c r="P704" s="29"/>
      <c r="Q704" s="15"/>
      <c r="R704" s="15"/>
      <c r="S704" s="15"/>
      <c r="T704" s="15"/>
      <c r="U704" s="15"/>
      <c r="V704" s="243"/>
      <c r="W704" s="15"/>
    </row>
    <row r="705">
      <c r="A705" s="34"/>
      <c r="B705" s="15"/>
      <c r="C705" s="15"/>
      <c r="D705" s="15"/>
      <c r="E705" s="17"/>
      <c r="F705" s="15"/>
      <c r="G705" s="250"/>
      <c r="H705" s="243"/>
      <c r="I705" s="243"/>
      <c r="J705" s="243"/>
      <c r="K705" s="85"/>
      <c r="L705" s="85"/>
      <c r="M705" s="85"/>
      <c r="N705" s="29"/>
      <c r="O705" s="307"/>
      <c r="P705" s="29"/>
      <c r="Q705" s="15"/>
      <c r="R705" s="15"/>
      <c r="S705" s="15"/>
      <c r="T705" s="15"/>
      <c r="U705" s="15"/>
      <c r="V705" s="243"/>
      <c r="W705" s="15"/>
    </row>
    <row r="706">
      <c r="A706" s="34"/>
      <c r="B706" s="15"/>
      <c r="C706" s="15"/>
      <c r="D706" s="15"/>
      <c r="E706" s="17"/>
      <c r="F706" s="15"/>
      <c r="G706" s="250"/>
      <c r="H706" s="243"/>
      <c r="I706" s="243"/>
      <c r="J706" s="243"/>
      <c r="K706" s="85"/>
      <c r="L706" s="85"/>
      <c r="M706" s="85"/>
      <c r="N706" s="29"/>
      <c r="O706" s="307"/>
      <c r="P706" s="29"/>
      <c r="Q706" s="15"/>
      <c r="R706" s="15"/>
      <c r="S706" s="15"/>
      <c r="T706" s="15"/>
      <c r="U706" s="15"/>
      <c r="V706" s="243"/>
      <c r="W706" s="15"/>
    </row>
    <row r="707">
      <c r="A707" s="34"/>
      <c r="B707" s="15"/>
      <c r="C707" s="15"/>
      <c r="D707" s="15"/>
      <c r="E707" s="17"/>
      <c r="F707" s="15"/>
      <c r="G707" s="250"/>
      <c r="H707" s="243"/>
      <c r="I707" s="243"/>
      <c r="J707" s="243"/>
      <c r="K707" s="85"/>
      <c r="L707" s="85"/>
      <c r="M707" s="85"/>
      <c r="N707" s="29"/>
      <c r="O707" s="307"/>
      <c r="P707" s="29"/>
      <c r="Q707" s="15"/>
      <c r="R707" s="15"/>
      <c r="S707" s="15"/>
      <c r="T707" s="15"/>
      <c r="U707" s="15"/>
      <c r="V707" s="243"/>
      <c r="W707" s="15"/>
    </row>
    <row r="708">
      <c r="A708" s="34"/>
      <c r="B708" s="15"/>
      <c r="C708" s="15"/>
      <c r="D708" s="15"/>
      <c r="E708" s="17"/>
      <c r="F708" s="15"/>
      <c r="G708" s="250"/>
      <c r="H708" s="243"/>
      <c r="I708" s="243"/>
      <c r="J708" s="243"/>
      <c r="K708" s="85"/>
      <c r="L708" s="85"/>
      <c r="M708" s="85"/>
      <c r="N708" s="29"/>
      <c r="O708" s="307"/>
      <c r="P708" s="29"/>
      <c r="Q708" s="15"/>
      <c r="R708" s="15"/>
      <c r="S708" s="15"/>
      <c r="T708" s="15"/>
      <c r="U708" s="15"/>
      <c r="V708" s="243"/>
      <c r="W708" s="15"/>
    </row>
    <row r="709">
      <c r="A709" s="34"/>
      <c r="B709" s="15"/>
      <c r="C709" s="15"/>
      <c r="D709" s="15"/>
      <c r="E709" s="17"/>
      <c r="F709" s="15"/>
      <c r="G709" s="250"/>
      <c r="H709" s="243"/>
      <c r="I709" s="243"/>
      <c r="J709" s="243"/>
      <c r="K709" s="85"/>
      <c r="L709" s="85"/>
      <c r="M709" s="85"/>
      <c r="N709" s="29"/>
      <c r="O709" s="307"/>
      <c r="P709" s="29"/>
      <c r="Q709" s="15"/>
      <c r="R709" s="15"/>
      <c r="S709" s="15"/>
      <c r="T709" s="15"/>
      <c r="U709" s="15"/>
      <c r="V709" s="243"/>
      <c r="W709" s="15"/>
    </row>
    <row r="710">
      <c r="A710" s="34"/>
      <c r="B710" s="15"/>
      <c r="C710" s="15"/>
      <c r="D710" s="15"/>
      <c r="E710" s="17"/>
      <c r="F710" s="15"/>
      <c r="G710" s="250"/>
      <c r="H710" s="243"/>
      <c r="I710" s="243"/>
      <c r="J710" s="243"/>
      <c r="K710" s="85"/>
      <c r="L710" s="85"/>
      <c r="M710" s="85"/>
      <c r="N710" s="29"/>
      <c r="O710" s="307"/>
      <c r="P710" s="29"/>
      <c r="Q710" s="15"/>
      <c r="R710" s="15"/>
      <c r="S710" s="15"/>
      <c r="T710" s="15"/>
      <c r="U710" s="15"/>
      <c r="V710" s="243"/>
      <c r="W710" s="15"/>
    </row>
    <row r="711">
      <c r="A711" s="34"/>
      <c r="B711" s="15"/>
      <c r="C711" s="15"/>
      <c r="D711" s="15"/>
      <c r="E711" s="17"/>
      <c r="F711" s="15"/>
      <c r="G711" s="250"/>
      <c r="H711" s="243"/>
      <c r="I711" s="243"/>
      <c r="J711" s="243"/>
      <c r="K711" s="85"/>
      <c r="L711" s="85"/>
      <c r="M711" s="85"/>
      <c r="N711" s="29"/>
      <c r="O711" s="307"/>
      <c r="P711" s="29"/>
      <c r="Q711" s="15"/>
      <c r="R711" s="15"/>
      <c r="S711" s="15"/>
      <c r="T711" s="15"/>
      <c r="U711" s="15"/>
      <c r="V711" s="243"/>
      <c r="W711" s="15"/>
    </row>
    <row r="712">
      <c r="A712" s="34"/>
      <c r="B712" s="15"/>
      <c r="C712" s="15"/>
      <c r="D712" s="15"/>
      <c r="E712" s="17"/>
      <c r="F712" s="15"/>
      <c r="G712" s="250"/>
      <c r="H712" s="243"/>
      <c r="I712" s="243"/>
      <c r="J712" s="243"/>
      <c r="K712" s="85"/>
      <c r="L712" s="85"/>
      <c r="M712" s="85"/>
      <c r="N712" s="29"/>
      <c r="O712" s="307"/>
      <c r="P712" s="29"/>
      <c r="Q712" s="15"/>
      <c r="R712" s="15"/>
      <c r="S712" s="15"/>
      <c r="T712" s="15"/>
      <c r="U712" s="15"/>
      <c r="V712" s="243"/>
      <c r="W712" s="15"/>
    </row>
    <row r="713">
      <c r="A713" s="34"/>
      <c r="B713" s="15"/>
      <c r="C713" s="15"/>
      <c r="D713" s="15"/>
      <c r="E713" s="17"/>
      <c r="F713" s="15"/>
      <c r="G713" s="250"/>
      <c r="H713" s="243"/>
      <c r="I713" s="243"/>
      <c r="J713" s="243"/>
      <c r="K713" s="85"/>
      <c r="L713" s="85"/>
      <c r="M713" s="85"/>
      <c r="N713" s="29"/>
      <c r="O713" s="307"/>
      <c r="P713" s="29"/>
      <c r="Q713" s="15"/>
      <c r="R713" s="15"/>
      <c r="S713" s="15"/>
      <c r="T713" s="15"/>
      <c r="U713" s="15"/>
      <c r="V713" s="243"/>
      <c r="W713" s="15"/>
    </row>
    <row r="714">
      <c r="A714" s="34"/>
      <c r="B714" s="15"/>
      <c r="C714" s="15"/>
      <c r="D714" s="15"/>
      <c r="E714" s="17"/>
      <c r="F714" s="15"/>
      <c r="G714" s="250"/>
      <c r="H714" s="243"/>
      <c r="I714" s="243"/>
      <c r="J714" s="243"/>
      <c r="K714" s="85"/>
      <c r="L714" s="85"/>
      <c r="M714" s="85"/>
      <c r="N714" s="29"/>
      <c r="O714" s="307"/>
      <c r="P714" s="29"/>
      <c r="Q714" s="15"/>
      <c r="R714" s="15"/>
      <c r="S714" s="15"/>
      <c r="T714" s="15"/>
      <c r="U714" s="15"/>
      <c r="V714" s="243"/>
      <c r="W714" s="15"/>
    </row>
    <row r="715">
      <c r="A715" s="34"/>
      <c r="B715" s="15"/>
      <c r="C715" s="15"/>
      <c r="D715" s="15"/>
      <c r="E715" s="17"/>
      <c r="F715" s="15"/>
      <c r="G715" s="250"/>
      <c r="H715" s="243"/>
      <c r="I715" s="243"/>
      <c r="J715" s="243"/>
      <c r="K715" s="85"/>
      <c r="L715" s="85"/>
      <c r="M715" s="85"/>
      <c r="N715" s="29"/>
      <c r="O715" s="307"/>
      <c r="P715" s="29"/>
      <c r="Q715" s="15"/>
      <c r="R715" s="15"/>
      <c r="S715" s="15"/>
      <c r="T715" s="15"/>
      <c r="U715" s="15"/>
      <c r="V715" s="243"/>
      <c r="W715" s="15"/>
    </row>
    <row r="716">
      <c r="A716" s="34"/>
      <c r="B716" s="15"/>
      <c r="C716" s="15"/>
      <c r="D716" s="15"/>
      <c r="E716" s="17"/>
      <c r="F716" s="15"/>
      <c r="G716" s="250"/>
      <c r="H716" s="243"/>
      <c r="I716" s="243"/>
      <c r="J716" s="243"/>
      <c r="K716" s="85"/>
      <c r="L716" s="85"/>
      <c r="M716" s="85"/>
      <c r="N716" s="29"/>
      <c r="O716" s="307"/>
      <c r="P716" s="29"/>
      <c r="Q716" s="15"/>
      <c r="R716" s="15"/>
      <c r="S716" s="15"/>
      <c r="T716" s="15"/>
      <c r="U716" s="15"/>
      <c r="V716" s="243"/>
      <c r="W716" s="15"/>
    </row>
    <row r="717">
      <c r="A717" s="34"/>
      <c r="B717" s="15"/>
      <c r="C717" s="15"/>
      <c r="D717" s="15"/>
      <c r="E717" s="17"/>
      <c r="F717" s="15"/>
      <c r="G717" s="250"/>
      <c r="H717" s="243"/>
      <c r="I717" s="243"/>
      <c r="J717" s="243"/>
      <c r="K717" s="85"/>
      <c r="L717" s="85"/>
      <c r="M717" s="85"/>
      <c r="N717" s="29"/>
      <c r="O717" s="307"/>
      <c r="P717" s="29"/>
      <c r="Q717" s="15"/>
      <c r="R717" s="15"/>
      <c r="S717" s="15"/>
      <c r="T717" s="15"/>
      <c r="U717" s="15"/>
      <c r="V717" s="243"/>
      <c r="W717" s="15"/>
    </row>
    <row r="718">
      <c r="A718" s="34"/>
      <c r="B718" s="15"/>
      <c r="C718" s="15"/>
      <c r="D718" s="15"/>
      <c r="E718" s="17"/>
      <c r="F718" s="15"/>
      <c r="G718" s="250"/>
      <c r="H718" s="243"/>
      <c r="I718" s="243"/>
      <c r="J718" s="243"/>
      <c r="K718" s="85"/>
      <c r="L718" s="85"/>
      <c r="M718" s="85"/>
      <c r="N718" s="29"/>
      <c r="O718" s="307"/>
      <c r="P718" s="29"/>
      <c r="Q718" s="15"/>
      <c r="R718" s="15"/>
      <c r="S718" s="15"/>
      <c r="T718" s="15"/>
      <c r="U718" s="15"/>
      <c r="V718" s="243"/>
      <c r="W718" s="15"/>
    </row>
    <row r="719">
      <c r="A719" s="34"/>
      <c r="B719" s="15"/>
      <c r="C719" s="15"/>
      <c r="D719" s="15"/>
      <c r="E719" s="17"/>
      <c r="F719" s="15"/>
      <c r="G719" s="250"/>
      <c r="H719" s="243"/>
      <c r="I719" s="243"/>
      <c r="J719" s="243"/>
      <c r="K719" s="85"/>
      <c r="L719" s="85"/>
      <c r="M719" s="85"/>
      <c r="N719" s="29"/>
      <c r="O719" s="307"/>
      <c r="P719" s="29"/>
      <c r="Q719" s="15"/>
      <c r="R719" s="15"/>
      <c r="S719" s="15"/>
      <c r="T719" s="15"/>
      <c r="U719" s="15"/>
      <c r="V719" s="243"/>
      <c r="W719" s="15"/>
    </row>
    <row r="720">
      <c r="A720" s="34"/>
      <c r="B720" s="15"/>
      <c r="C720" s="15"/>
      <c r="D720" s="15"/>
      <c r="E720" s="17"/>
      <c r="F720" s="15"/>
      <c r="G720" s="250"/>
      <c r="H720" s="243"/>
      <c r="I720" s="243"/>
      <c r="J720" s="243"/>
      <c r="K720" s="85"/>
      <c r="L720" s="85"/>
      <c r="M720" s="85"/>
      <c r="N720" s="29"/>
      <c r="O720" s="307"/>
      <c r="P720" s="29"/>
      <c r="Q720" s="15"/>
      <c r="R720" s="15"/>
      <c r="S720" s="15"/>
      <c r="T720" s="15"/>
      <c r="U720" s="15"/>
      <c r="V720" s="243"/>
      <c r="W720" s="15"/>
    </row>
    <row r="721">
      <c r="A721" s="34"/>
      <c r="B721" s="15"/>
      <c r="C721" s="15"/>
      <c r="D721" s="15"/>
      <c r="E721" s="17"/>
      <c r="F721" s="15"/>
      <c r="G721" s="250"/>
      <c r="H721" s="243"/>
      <c r="I721" s="243"/>
      <c r="J721" s="243"/>
      <c r="K721" s="85"/>
      <c r="L721" s="85"/>
      <c r="M721" s="85"/>
      <c r="N721" s="29"/>
      <c r="O721" s="307"/>
      <c r="P721" s="29"/>
      <c r="Q721" s="15"/>
      <c r="R721" s="15"/>
      <c r="S721" s="15"/>
      <c r="T721" s="15"/>
      <c r="U721" s="15"/>
      <c r="V721" s="243"/>
      <c r="W721" s="15"/>
    </row>
    <row r="722">
      <c r="A722" s="34"/>
      <c r="B722" s="15"/>
      <c r="C722" s="15"/>
      <c r="D722" s="15"/>
      <c r="E722" s="17"/>
      <c r="F722" s="15"/>
      <c r="G722" s="250"/>
      <c r="H722" s="243"/>
      <c r="I722" s="243"/>
      <c r="J722" s="243"/>
      <c r="K722" s="85"/>
      <c r="L722" s="85"/>
      <c r="M722" s="85"/>
      <c r="N722" s="29"/>
      <c r="O722" s="307"/>
      <c r="P722" s="29"/>
      <c r="Q722" s="15"/>
      <c r="R722" s="15"/>
      <c r="S722" s="15"/>
      <c r="T722" s="15"/>
      <c r="U722" s="15"/>
      <c r="V722" s="243"/>
      <c r="W722" s="15"/>
    </row>
    <row r="723">
      <c r="A723" s="34"/>
      <c r="B723" s="15"/>
      <c r="C723" s="15"/>
      <c r="D723" s="15"/>
      <c r="E723" s="17"/>
      <c r="F723" s="15"/>
      <c r="G723" s="250"/>
      <c r="H723" s="243"/>
      <c r="I723" s="243"/>
      <c r="J723" s="243"/>
      <c r="K723" s="85"/>
      <c r="L723" s="85"/>
      <c r="M723" s="85"/>
      <c r="N723" s="29"/>
      <c r="O723" s="307"/>
      <c r="P723" s="29"/>
      <c r="Q723" s="15"/>
      <c r="R723" s="15"/>
      <c r="S723" s="15"/>
      <c r="T723" s="15"/>
      <c r="U723" s="15"/>
      <c r="V723" s="243"/>
      <c r="W723" s="15"/>
    </row>
    <row r="724">
      <c r="A724" s="34"/>
      <c r="B724" s="15"/>
      <c r="C724" s="15"/>
      <c r="D724" s="15"/>
      <c r="E724" s="17"/>
      <c r="F724" s="15"/>
      <c r="G724" s="250"/>
      <c r="H724" s="243"/>
      <c r="I724" s="243"/>
      <c r="J724" s="243"/>
      <c r="K724" s="85"/>
      <c r="L724" s="85"/>
      <c r="M724" s="85"/>
      <c r="N724" s="29"/>
      <c r="O724" s="307"/>
      <c r="P724" s="29"/>
      <c r="Q724" s="15"/>
      <c r="R724" s="15"/>
      <c r="S724" s="15"/>
      <c r="T724" s="15"/>
      <c r="U724" s="15"/>
      <c r="V724" s="243"/>
      <c r="W724" s="15"/>
    </row>
    <row r="725">
      <c r="A725" s="34"/>
      <c r="B725" s="15"/>
      <c r="C725" s="15"/>
      <c r="D725" s="15"/>
      <c r="E725" s="17"/>
      <c r="F725" s="15"/>
      <c r="G725" s="250"/>
      <c r="H725" s="243"/>
      <c r="I725" s="243"/>
      <c r="J725" s="243"/>
      <c r="K725" s="85"/>
      <c r="L725" s="85"/>
      <c r="M725" s="85"/>
      <c r="N725" s="29"/>
      <c r="O725" s="307"/>
      <c r="P725" s="29"/>
      <c r="Q725" s="15"/>
      <c r="R725" s="15"/>
      <c r="S725" s="15"/>
      <c r="T725" s="15"/>
      <c r="U725" s="15"/>
      <c r="V725" s="243"/>
      <c r="W725" s="15"/>
    </row>
    <row r="726">
      <c r="A726" s="34"/>
      <c r="B726" s="15"/>
      <c r="C726" s="15"/>
      <c r="D726" s="15"/>
      <c r="E726" s="17"/>
      <c r="F726" s="15"/>
      <c r="G726" s="250"/>
      <c r="H726" s="243"/>
      <c r="I726" s="243"/>
      <c r="J726" s="243"/>
      <c r="K726" s="85"/>
      <c r="L726" s="85"/>
      <c r="M726" s="85"/>
      <c r="N726" s="29"/>
      <c r="O726" s="307"/>
      <c r="P726" s="29"/>
      <c r="Q726" s="15"/>
      <c r="R726" s="15"/>
      <c r="S726" s="15"/>
      <c r="T726" s="15"/>
      <c r="U726" s="15"/>
      <c r="V726" s="243"/>
      <c r="W726" s="15"/>
    </row>
    <row r="727">
      <c r="A727" s="34"/>
      <c r="B727" s="15"/>
      <c r="C727" s="15"/>
      <c r="D727" s="15"/>
      <c r="E727" s="17"/>
      <c r="F727" s="15"/>
      <c r="G727" s="250"/>
      <c r="H727" s="243"/>
      <c r="I727" s="243"/>
      <c r="J727" s="243"/>
      <c r="K727" s="85"/>
      <c r="L727" s="85"/>
      <c r="M727" s="85"/>
      <c r="N727" s="29"/>
      <c r="O727" s="307"/>
      <c r="P727" s="29"/>
      <c r="Q727" s="15"/>
      <c r="R727" s="15"/>
      <c r="S727" s="15"/>
      <c r="T727" s="15"/>
      <c r="U727" s="15"/>
      <c r="V727" s="243"/>
      <c r="W727" s="15"/>
    </row>
    <row r="728">
      <c r="A728" s="34"/>
      <c r="B728" s="15"/>
      <c r="C728" s="15"/>
      <c r="D728" s="15"/>
      <c r="E728" s="17"/>
      <c r="F728" s="15"/>
      <c r="G728" s="250"/>
      <c r="H728" s="243"/>
      <c r="I728" s="243"/>
      <c r="J728" s="243"/>
      <c r="K728" s="85"/>
      <c r="L728" s="85"/>
      <c r="M728" s="85"/>
      <c r="N728" s="29"/>
      <c r="O728" s="307"/>
      <c r="P728" s="29"/>
      <c r="Q728" s="15"/>
      <c r="R728" s="15"/>
      <c r="S728" s="15"/>
      <c r="T728" s="15"/>
      <c r="U728" s="15"/>
      <c r="V728" s="243"/>
      <c r="W728" s="15"/>
    </row>
    <row r="729">
      <c r="A729" s="34"/>
      <c r="B729" s="15"/>
      <c r="C729" s="15"/>
      <c r="D729" s="15"/>
      <c r="E729" s="17"/>
      <c r="F729" s="15"/>
      <c r="G729" s="250"/>
      <c r="H729" s="243"/>
      <c r="I729" s="243"/>
      <c r="J729" s="243"/>
      <c r="K729" s="85"/>
      <c r="L729" s="85"/>
      <c r="M729" s="85"/>
      <c r="N729" s="29"/>
      <c r="O729" s="307"/>
      <c r="P729" s="29"/>
      <c r="Q729" s="15"/>
      <c r="R729" s="15"/>
      <c r="S729" s="15"/>
      <c r="T729" s="15"/>
      <c r="U729" s="15"/>
      <c r="V729" s="243"/>
      <c r="W729" s="15"/>
    </row>
    <row r="730">
      <c r="A730" s="34"/>
      <c r="B730" s="15"/>
      <c r="C730" s="15"/>
      <c r="D730" s="15"/>
      <c r="E730" s="17"/>
      <c r="F730" s="15"/>
      <c r="G730" s="250"/>
      <c r="H730" s="243"/>
      <c r="I730" s="243"/>
      <c r="J730" s="243"/>
      <c r="K730" s="85"/>
      <c r="L730" s="85"/>
      <c r="M730" s="85"/>
      <c r="N730" s="29"/>
      <c r="O730" s="307"/>
      <c r="P730" s="29"/>
      <c r="Q730" s="15"/>
      <c r="R730" s="15"/>
      <c r="S730" s="15"/>
      <c r="T730" s="15"/>
      <c r="U730" s="15"/>
      <c r="V730" s="243"/>
      <c r="W730" s="15"/>
    </row>
    <row r="731">
      <c r="A731" s="34"/>
      <c r="B731" s="15"/>
      <c r="C731" s="15"/>
      <c r="D731" s="15"/>
      <c r="E731" s="17"/>
      <c r="F731" s="15"/>
      <c r="G731" s="250"/>
      <c r="H731" s="243"/>
      <c r="I731" s="243"/>
      <c r="J731" s="243"/>
      <c r="K731" s="85"/>
      <c r="L731" s="85"/>
      <c r="M731" s="85"/>
      <c r="N731" s="29"/>
      <c r="O731" s="307"/>
      <c r="P731" s="29"/>
      <c r="Q731" s="15"/>
      <c r="R731" s="15"/>
      <c r="S731" s="15"/>
      <c r="T731" s="15"/>
      <c r="U731" s="15"/>
      <c r="V731" s="243"/>
      <c r="W731" s="15"/>
    </row>
    <row r="732">
      <c r="A732" s="34"/>
      <c r="B732" s="15"/>
      <c r="C732" s="15"/>
      <c r="D732" s="15"/>
      <c r="E732" s="17"/>
      <c r="F732" s="15"/>
      <c r="G732" s="250"/>
      <c r="H732" s="243"/>
      <c r="I732" s="243"/>
      <c r="J732" s="243"/>
      <c r="K732" s="85"/>
      <c r="L732" s="85"/>
      <c r="M732" s="85"/>
      <c r="N732" s="29"/>
      <c r="O732" s="307"/>
      <c r="P732" s="29"/>
      <c r="Q732" s="15"/>
      <c r="R732" s="15"/>
      <c r="S732" s="15"/>
      <c r="T732" s="15"/>
      <c r="U732" s="15"/>
      <c r="V732" s="243"/>
      <c r="W732" s="15"/>
    </row>
    <row r="733">
      <c r="A733" s="34"/>
      <c r="B733" s="15"/>
      <c r="C733" s="15"/>
      <c r="D733" s="15"/>
      <c r="E733" s="17"/>
      <c r="F733" s="15"/>
      <c r="G733" s="250"/>
      <c r="H733" s="243"/>
      <c r="I733" s="243"/>
      <c r="J733" s="243"/>
      <c r="K733" s="85"/>
      <c r="L733" s="85"/>
      <c r="M733" s="85"/>
      <c r="N733" s="29"/>
      <c r="O733" s="307"/>
      <c r="P733" s="29"/>
      <c r="Q733" s="15"/>
      <c r="R733" s="15"/>
      <c r="S733" s="15"/>
      <c r="T733" s="15"/>
      <c r="U733" s="15"/>
      <c r="V733" s="243"/>
      <c r="W733" s="15"/>
    </row>
    <row r="734">
      <c r="A734" s="34"/>
      <c r="B734" s="15"/>
      <c r="C734" s="15"/>
      <c r="D734" s="15"/>
      <c r="E734" s="17"/>
      <c r="F734" s="15"/>
      <c r="G734" s="250"/>
      <c r="H734" s="243"/>
      <c r="I734" s="243"/>
      <c r="J734" s="243"/>
      <c r="K734" s="85"/>
      <c r="L734" s="85"/>
      <c r="M734" s="85"/>
      <c r="N734" s="29"/>
      <c r="O734" s="307"/>
      <c r="P734" s="29"/>
      <c r="Q734" s="15"/>
      <c r="R734" s="15"/>
      <c r="S734" s="15"/>
      <c r="T734" s="15"/>
      <c r="U734" s="15"/>
      <c r="V734" s="243"/>
      <c r="W734" s="15"/>
    </row>
    <row r="735">
      <c r="A735" s="34"/>
      <c r="B735" s="15"/>
      <c r="C735" s="15"/>
      <c r="D735" s="15"/>
      <c r="E735" s="17"/>
      <c r="F735" s="15"/>
      <c r="G735" s="250"/>
      <c r="H735" s="243"/>
      <c r="I735" s="243"/>
      <c r="J735" s="243"/>
      <c r="K735" s="85"/>
      <c r="L735" s="85"/>
      <c r="M735" s="85"/>
      <c r="N735" s="29"/>
      <c r="O735" s="307"/>
      <c r="P735" s="29"/>
      <c r="Q735" s="15"/>
      <c r="R735" s="15"/>
      <c r="S735" s="15"/>
      <c r="T735" s="15"/>
      <c r="U735" s="15"/>
      <c r="V735" s="243"/>
      <c r="W735" s="15"/>
    </row>
    <row r="736">
      <c r="A736" s="34"/>
      <c r="B736" s="15"/>
      <c r="C736" s="15"/>
      <c r="D736" s="15"/>
      <c r="E736" s="17"/>
      <c r="F736" s="15"/>
      <c r="G736" s="250"/>
      <c r="H736" s="243"/>
      <c r="I736" s="243"/>
      <c r="J736" s="243"/>
      <c r="K736" s="85"/>
      <c r="L736" s="85"/>
      <c r="M736" s="85"/>
      <c r="N736" s="29"/>
      <c r="O736" s="307"/>
      <c r="P736" s="29"/>
      <c r="Q736" s="15"/>
      <c r="R736" s="15"/>
      <c r="S736" s="15"/>
      <c r="T736" s="15"/>
      <c r="U736" s="15"/>
      <c r="V736" s="243"/>
      <c r="W736" s="15"/>
    </row>
    <row r="737">
      <c r="A737" s="34"/>
      <c r="B737" s="15"/>
      <c r="C737" s="15"/>
      <c r="D737" s="15"/>
      <c r="E737" s="17"/>
      <c r="F737" s="15"/>
      <c r="G737" s="250"/>
      <c r="H737" s="243"/>
      <c r="I737" s="243"/>
      <c r="J737" s="243"/>
      <c r="K737" s="85"/>
      <c r="L737" s="85"/>
      <c r="M737" s="85"/>
      <c r="N737" s="29"/>
      <c r="O737" s="307"/>
      <c r="P737" s="29"/>
      <c r="Q737" s="15"/>
      <c r="R737" s="15"/>
      <c r="S737" s="15"/>
      <c r="T737" s="15"/>
      <c r="U737" s="15"/>
      <c r="V737" s="243"/>
      <c r="W737" s="15"/>
    </row>
    <row r="738">
      <c r="A738" s="34"/>
      <c r="B738" s="15"/>
      <c r="C738" s="15"/>
      <c r="D738" s="15"/>
      <c r="E738" s="17"/>
      <c r="F738" s="15"/>
      <c r="G738" s="250"/>
      <c r="H738" s="243"/>
      <c r="I738" s="243"/>
      <c r="J738" s="243"/>
      <c r="K738" s="85"/>
      <c r="L738" s="85"/>
      <c r="M738" s="85"/>
      <c r="N738" s="29"/>
      <c r="O738" s="307"/>
      <c r="P738" s="29"/>
      <c r="Q738" s="15"/>
      <c r="R738" s="15"/>
      <c r="S738" s="15"/>
      <c r="T738" s="15"/>
      <c r="U738" s="15"/>
      <c r="V738" s="243"/>
      <c r="W738" s="15"/>
    </row>
    <row r="739">
      <c r="A739" s="34"/>
      <c r="B739" s="15"/>
      <c r="C739" s="15"/>
      <c r="D739" s="15"/>
      <c r="E739" s="17"/>
      <c r="F739" s="15"/>
      <c r="G739" s="250"/>
      <c r="H739" s="243"/>
      <c r="I739" s="243"/>
      <c r="J739" s="243"/>
      <c r="K739" s="85"/>
      <c r="L739" s="85"/>
      <c r="M739" s="85"/>
      <c r="N739" s="29"/>
      <c r="O739" s="307"/>
      <c r="P739" s="29"/>
      <c r="Q739" s="15"/>
      <c r="R739" s="15"/>
      <c r="S739" s="15"/>
      <c r="T739" s="15"/>
      <c r="U739" s="15"/>
      <c r="V739" s="243"/>
      <c r="W739" s="15"/>
    </row>
    <row r="740">
      <c r="A740" s="34"/>
      <c r="B740" s="15"/>
      <c r="C740" s="15"/>
      <c r="D740" s="15"/>
      <c r="E740" s="17"/>
      <c r="F740" s="15"/>
      <c r="G740" s="250"/>
      <c r="H740" s="243"/>
      <c r="I740" s="243"/>
      <c r="J740" s="243"/>
      <c r="K740" s="85"/>
      <c r="L740" s="85"/>
      <c r="M740" s="85"/>
      <c r="N740" s="29"/>
      <c r="O740" s="307"/>
      <c r="P740" s="29"/>
      <c r="Q740" s="15"/>
      <c r="R740" s="15"/>
      <c r="S740" s="15"/>
      <c r="T740" s="15"/>
      <c r="U740" s="15"/>
      <c r="V740" s="243"/>
      <c r="W740" s="15"/>
    </row>
    <row r="741">
      <c r="A741" s="34"/>
      <c r="B741" s="15"/>
      <c r="C741" s="15"/>
      <c r="D741" s="15"/>
      <c r="E741" s="17"/>
      <c r="F741" s="15"/>
      <c r="G741" s="250"/>
      <c r="H741" s="243"/>
      <c r="I741" s="243"/>
      <c r="J741" s="243"/>
      <c r="K741" s="85"/>
      <c r="L741" s="85"/>
      <c r="M741" s="85"/>
      <c r="N741" s="29"/>
      <c r="O741" s="307"/>
      <c r="P741" s="29"/>
      <c r="Q741" s="15"/>
      <c r="R741" s="15"/>
      <c r="S741" s="15"/>
      <c r="T741" s="15"/>
      <c r="U741" s="15"/>
      <c r="V741" s="243"/>
      <c r="W741" s="15"/>
    </row>
    <row r="742">
      <c r="A742" s="34"/>
      <c r="B742" s="15"/>
      <c r="C742" s="15"/>
      <c r="D742" s="15"/>
      <c r="E742" s="17"/>
      <c r="F742" s="15"/>
      <c r="G742" s="250"/>
      <c r="H742" s="243"/>
      <c r="I742" s="243"/>
      <c r="J742" s="243"/>
      <c r="K742" s="85"/>
      <c r="L742" s="85"/>
      <c r="M742" s="85"/>
      <c r="N742" s="29"/>
      <c r="O742" s="307"/>
      <c r="P742" s="29"/>
      <c r="Q742" s="15"/>
      <c r="R742" s="15"/>
      <c r="S742" s="15"/>
      <c r="T742" s="15"/>
      <c r="U742" s="15"/>
      <c r="V742" s="243"/>
      <c r="W742" s="15"/>
    </row>
    <row r="743">
      <c r="A743" s="34"/>
      <c r="B743" s="15"/>
      <c r="C743" s="15"/>
      <c r="D743" s="15"/>
      <c r="E743" s="17"/>
      <c r="F743" s="15"/>
      <c r="G743" s="250"/>
      <c r="H743" s="243"/>
      <c r="I743" s="243"/>
      <c r="J743" s="243"/>
      <c r="K743" s="85"/>
      <c r="L743" s="85"/>
      <c r="M743" s="85"/>
      <c r="N743" s="29"/>
      <c r="O743" s="307"/>
      <c r="P743" s="29"/>
      <c r="Q743" s="15"/>
      <c r="R743" s="15"/>
      <c r="S743" s="15"/>
      <c r="T743" s="15"/>
      <c r="U743" s="15"/>
      <c r="V743" s="243"/>
      <c r="W743" s="15"/>
    </row>
    <row r="744">
      <c r="A744" s="34"/>
      <c r="B744" s="15"/>
      <c r="C744" s="15"/>
      <c r="D744" s="15"/>
      <c r="E744" s="17"/>
      <c r="F744" s="15"/>
      <c r="G744" s="250"/>
      <c r="H744" s="243"/>
      <c r="I744" s="243"/>
      <c r="J744" s="243"/>
      <c r="K744" s="85"/>
      <c r="L744" s="85"/>
      <c r="M744" s="85"/>
      <c r="N744" s="29"/>
      <c r="O744" s="307"/>
      <c r="P744" s="29"/>
      <c r="Q744" s="15"/>
      <c r="R744" s="15"/>
      <c r="S744" s="15"/>
      <c r="T744" s="15"/>
      <c r="U744" s="15"/>
      <c r="V744" s="243"/>
      <c r="W744" s="15"/>
    </row>
    <row r="745">
      <c r="A745" s="34"/>
      <c r="B745" s="15"/>
      <c r="C745" s="15"/>
      <c r="D745" s="15"/>
      <c r="E745" s="17"/>
      <c r="F745" s="15"/>
      <c r="G745" s="250"/>
      <c r="H745" s="243"/>
      <c r="I745" s="243"/>
      <c r="J745" s="243"/>
      <c r="K745" s="85"/>
      <c r="L745" s="85"/>
      <c r="M745" s="85"/>
      <c r="N745" s="29"/>
      <c r="O745" s="307"/>
      <c r="P745" s="29"/>
      <c r="Q745" s="15"/>
      <c r="R745" s="15"/>
      <c r="S745" s="15"/>
      <c r="T745" s="15"/>
      <c r="U745" s="15"/>
      <c r="V745" s="243"/>
      <c r="W745" s="15"/>
    </row>
    <row r="746">
      <c r="A746" s="34"/>
      <c r="B746" s="15"/>
      <c r="C746" s="15"/>
      <c r="D746" s="15"/>
      <c r="E746" s="17"/>
      <c r="F746" s="15"/>
      <c r="G746" s="250"/>
      <c r="H746" s="243"/>
      <c r="I746" s="243"/>
      <c r="J746" s="243"/>
      <c r="K746" s="85"/>
      <c r="L746" s="85"/>
      <c r="M746" s="85"/>
      <c r="N746" s="29"/>
      <c r="O746" s="307"/>
      <c r="P746" s="29"/>
      <c r="Q746" s="15"/>
      <c r="R746" s="15"/>
      <c r="S746" s="15"/>
      <c r="T746" s="15"/>
      <c r="U746" s="15"/>
      <c r="V746" s="243"/>
      <c r="W746" s="15"/>
    </row>
    <row r="747">
      <c r="A747" s="34"/>
      <c r="B747" s="15"/>
      <c r="C747" s="15"/>
      <c r="D747" s="15"/>
      <c r="E747" s="17"/>
      <c r="F747" s="15"/>
      <c r="G747" s="250"/>
      <c r="H747" s="243"/>
      <c r="I747" s="243"/>
      <c r="J747" s="243"/>
      <c r="K747" s="85"/>
      <c r="L747" s="85"/>
      <c r="M747" s="85"/>
      <c r="N747" s="29"/>
      <c r="O747" s="307"/>
      <c r="P747" s="29"/>
      <c r="Q747" s="15"/>
      <c r="R747" s="15"/>
      <c r="S747" s="15"/>
      <c r="T747" s="15"/>
      <c r="U747" s="15"/>
      <c r="V747" s="243"/>
      <c r="W747" s="15"/>
    </row>
    <row r="748">
      <c r="A748" s="34"/>
      <c r="B748" s="15"/>
      <c r="C748" s="15"/>
      <c r="D748" s="15"/>
      <c r="E748" s="17"/>
      <c r="F748" s="15"/>
      <c r="G748" s="250"/>
      <c r="H748" s="243"/>
      <c r="I748" s="243"/>
      <c r="J748" s="243"/>
      <c r="K748" s="85"/>
      <c r="L748" s="85"/>
      <c r="M748" s="85"/>
      <c r="N748" s="29"/>
      <c r="O748" s="307"/>
      <c r="P748" s="29"/>
      <c r="Q748" s="15"/>
      <c r="R748" s="15"/>
      <c r="S748" s="15"/>
      <c r="T748" s="15"/>
      <c r="U748" s="15"/>
      <c r="V748" s="243"/>
      <c r="W748" s="15"/>
    </row>
    <row r="749">
      <c r="A749" s="34"/>
      <c r="B749" s="15"/>
      <c r="C749" s="15"/>
      <c r="D749" s="15"/>
      <c r="E749" s="17"/>
      <c r="F749" s="15"/>
      <c r="G749" s="250"/>
      <c r="H749" s="243"/>
      <c r="I749" s="243"/>
      <c r="J749" s="243"/>
      <c r="K749" s="85"/>
      <c r="L749" s="85"/>
      <c r="M749" s="85"/>
      <c r="N749" s="29"/>
      <c r="O749" s="307"/>
      <c r="P749" s="29"/>
      <c r="Q749" s="15"/>
      <c r="R749" s="15"/>
      <c r="S749" s="15"/>
      <c r="T749" s="15"/>
      <c r="U749" s="15"/>
      <c r="V749" s="243"/>
      <c r="W749" s="15"/>
    </row>
    <row r="750">
      <c r="A750" s="34"/>
      <c r="B750" s="15"/>
      <c r="C750" s="15"/>
      <c r="D750" s="15"/>
      <c r="E750" s="17"/>
      <c r="F750" s="15"/>
      <c r="G750" s="250"/>
      <c r="H750" s="243"/>
      <c r="I750" s="243"/>
      <c r="J750" s="243"/>
      <c r="K750" s="85"/>
      <c r="L750" s="85"/>
      <c r="M750" s="85"/>
      <c r="N750" s="29"/>
      <c r="O750" s="307"/>
      <c r="P750" s="29"/>
      <c r="Q750" s="15"/>
      <c r="R750" s="15"/>
      <c r="S750" s="15"/>
      <c r="T750" s="15"/>
      <c r="U750" s="15"/>
      <c r="V750" s="243"/>
      <c r="W750" s="15"/>
    </row>
    <row r="751">
      <c r="A751" s="34"/>
      <c r="B751" s="15"/>
      <c r="C751" s="15"/>
      <c r="D751" s="15"/>
      <c r="E751" s="17"/>
      <c r="F751" s="15"/>
      <c r="G751" s="250"/>
      <c r="H751" s="243"/>
      <c r="I751" s="243"/>
      <c r="J751" s="243"/>
      <c r="K751" s="85"/>
      <c r="L751" s="85"/>
      <c r="M751" s="85"/>
      <c r="N751" s="29"/>
      <c r="O751" s="307"/>
      <c r="P751" s="29"/>
      <c r="Q751" s="15"/>
      <c r="R751" s="15"/>
      <c r="S751" s="15"/>
      <c r="T751" s="15"/>
      <c r="U751" s="15"/>
      <c r="V751" s="243"/>
      <c r="W751" s="15"/>
    </row>
    <row r="752">
      <c r="A752" s="34"/>
      <c r="B752" s="15"/>
      <c r="C752" s="15"/>
      <c r="D752" s="15"/>
      <c r="E752" s="17"/>
      <c r="F752" s="15"/>
      <c r="G752" s="250"/>
      <c r="H752" s="243"/>
      <c r="I752" s="243"/>
      <c r="J752" s="243"/>
      <c r="K752" s="85"/>
      <c r="L752" s="85"/>
      <c r="M752" s="85"/>
      <c r="N752" s="29"/>
      <c r="O752" s="307"/>
      <c r="P752" s="29"/>
      <c r="Q752" s="15"/>
      <c r="R752" s="15"/>
      <c r="S752" s="15"/>
      <c r="T752" s="15"/>
      <c r="U752" s="15"/>
      <c r="V752" s="243"/>
      <c r="W752" s="15"/>
    </row>
    <row r="753">
      <c r="A753" s="34"/>
      <c r="B753" s="15"/>
      <c r="C753" s="15"/>
      <c r="D753" s="15"/>
      <c r="E753" s="17"/>
      <c r="F753" s="15"/>
      <c r="G753" s="250"/>
      <c r="H753" s="243"/>
      <c r="I753" s="243"/>
      <c r="J753" s="243"/>
      <c r="K753" s="85"/>
      <c r="L753" s="85"/>
      <c r="M753" s="85"/>
      <c r="N753" s="29"/>
      <c r="O753" s="307"/>
      <c r="P753" s="29"/>
      <c r="Q753" s="15"/>
      <c r="R753" s="15"/>
      <c r="S753" s="15"/>
      <c r="T753" s="15"/>
      <c r="U753" s="15"/>
      <c r="V753" s="243"/>
      <c r="W753" s="15"/>
    </row>
    <row r="754">
      <c r="A754" s="34"/>
      <c r="B754" s="15"/>
      <c r="C754" s="15"/>
      <c r="D754" s="15"/>
      <c r="E754" s="17"/>
      <c r="F754" s="15"/>
      <c r="G754" s="250"/>
      <c r="H754" s="243"/>
      <c r="I754" s="243"/>
      <c r="J754" s="243"/>
      <c r="K754" s="85"/>
      <c r="L754" s="85"/>
      <c r="M754" s="85"/>
      <c r="N754" s="29"/>
      <c r="O754" s="307"/>
      <c r="P754" s="29"/>
      <c r="Q754" s="15"/>
      <c r="R754" s="15"/>
      <c r="S754" s="15"/>
      <c r="T754" s="15"/>
      <c r="U754" s="15"/>
      <c r="V754" s="243"/>
      <c r="W754" s="15"/>
    </row>
    <row r="755">
      <c r="A755" s="34"/>
      <c r="B755" s="15"/>
      <c r="C755" s="15"/>
      <c r="D755" s="15"/>
      <c r="E755" s="17"/>
      <c r="F755" s="15"/>
      <c r="G755" s="250"/>
      <c r="H755" s="243"/>
      <c r="I755" s="243"/>
      <c r="J755" s="243"/>
      <c r="K755" s="85"/>
      <c r="L755" s="85"/>
      <c r="M755" s="85"/>
      <c r="N755" s="29"/>
      <c r="O755" s="307"/>
      <c r="P755" s="29"/>
      <c r="Q755" s="15"/>
      <c r="R755" s="15"/>
      <c r="S755" s="15"/>
      <c r="T755" s="15"/>
      <c r="U755" s="15"/>
      <c r="V755" s="243"/>
      <c r="W755" s="15"/>
    </row>
    <row r="756">
      <c r="A756" s="34"/>
      <c r="B756" s="15"/>
      <c r="C756" s="15"/>
      <c r="D756" s="15"/>
      <c r="E756" s="17"/>
      <c r="F756" s="15"/>
      <c r="G756" s="250"/>
      <c r="H756" s="243"/>
      <c r="I756" s="243"/>
      <c r="J756" s="243"/>
      <c r="K756" s="85"/>
      <c r="L756" s="85"/>
      <c r="M756" s="85"/>
      <c r="N756" s="29"/>
      <c r="O756" s="307"/>
      <c r="P756" s="29"/>
      <c r="Q756" s="15"/>
      <c r="R756" s="15"/>
      <c r="S756" s="15"/>
      <c r="T756" s="15"/>
      <c r="U756" s="15"/>
      <c r="V756" s="243"/>
      <c r="W756" s="15"/>
    </row>
    <row r="757">
      <c r="A757" s="34"/>
      <c r="B757" s="15"/>
      <c r="C757" s="15"/>
      <c r="D757" s="15"/>
      <c r="E757" s="17"/>
      <c r="F757" s="15"/>
      <c r="G757" s="250"/>
      <c r="H757" s="243"/>
      <c r="I757" s="243"/>
      <c r="J757" s="243"/>
      <c r="K757" s="85"/>
      <c r="L757" s="85"/>
      <c r="M757" s="85"/>
      <c r="N757" s="29"/>
      <c r="O757" s="307"/>
      <c r="P757" s="29"/>
      <c r="Q757" s="15"/>
      <c r="R757" s="15"/>
      <c r="S757" s="15"/>
      <c r="T757" s="15"/>
      <c r="U757" s="15"/>
      <c r="V757" s="243"/>
      <c r="W757" s="15"/>
    </row>
    <row r="758">
      <c r="A758" s="34"/>
      <c r="B758" s="15"/>
      <c r="C758" s="15"/>
      <c r="D758" s="15"/>
      <c r="E758" s="17"/>
      <c r="F758" s="15"/>
      <c r="G758" s="250"/>
      <c r="H758" s="243"/>
      <c r="I758" s="243"/>
      <c r="J758" s="243"/>
      <c r="K758" s="85"/>
      <c r="L758" s="85"/>
      <c r="M758" s="85"/>
      <c r="N758" s="29"/>
      <c r="O758" s="307"/>
      <c r="P758" s="29"/>
      <c r="Q758" s="15"/>
      <c r="R758" s="15"/>
      <c r="S758" s="15"/>
      <c r="T758" s="15"/>
      <c r="U758" s="15"/>
      <c r="V758" s="243"/>
      <c r="W758" s="15"/>
    </row>
    <row r="759">
      <c r="A759" s="34"/>
      <c r="B759" s="15"/>
      <c r="C759" s="15"/>
      <c r="D759" s="15"/>
      <c r="E759" s="17"/>
      <c r="F759" s="15"/>
      <c r="G759" s="250"/>
      <c r="H759" s="243"/>
      <c r="I759" s="243"/>
      <c r="J759" s="243"/>
      <c r="K759" s="85"/>
      <c r="L759" s="85"/>
      <c r="M759" s="85"/>
      <c r="N759" s="29"/>
      <c r="O759" s="307"/>
      <c r="P759" s="29"/>
      <c r="Q759" s="15"/>
      <c r="R759" s="15"/>
      <c r="S759" s="15"/>
      <c r="T759" s="15"/>
      <c r="U759" s="15"/>
      <c r="V759" s="243"/>
      <c r="W759" s="15"/>
    </row>
    <row r="760">
      <c r="A760" s="34"/>
      <c r="B760" s="15"/>
      <c r="C760" s="15"/>
      <c r="D760" s="15"/>
      <c r="E760" s="17"/>
      <c r="F760" s="15"/>
      <c r="G760" s="250"/>
      <c r="H760" s="243"/>
      <c r="I760" s="243"/>
      <c r="J760" s="243"/>
      <c r="K760" s="85"/>
      <c r="L760" s="85"/>
      <c r="M760" s="85"/>
      <c r="N760" s="29"/>
      <c r="O760" s="307"/>
      <c r="P760" s="29"/>
      <c r="Q760" s="15"/>
      <c r="R760" s="15"/>
      <c r="S760" s="15"/>
      <c r="T760" s="15"/>
      <c r="U760" s="15"/>
      <c r="V760" s="243"/>
      <c r="W760" s="15"/>
    </row>
    <row r="761">
      <c r="A761" s="34"/>
      <c r="B761" s="15"/>
      <c r="C761" s="15"/>
      <c r="D761" s="15"/>
      <c r="E761" s="17"/>
      <c r="F761" s="15"/>
      <c r="G761" s="250"/>
      <c r="H761" s="243"/>
      <c r="I761" s="243"/>
      <c r="J761" s="243"/>
      <c r="K761" s="85"/>
      <c r="L761" s="85"/>
      <c r="M761" s="85"/>
      <c r="N761" s="29"/>
      <c r="O761" s="307"/>
      <c r="P761" s="29"/>
      <c r="Q761" s="15"/>
      <c r="R761" s="15"/>
      <c r="S761" s="15"/>
      <c r="T761" s="15"/>
      <c r="U761" s="15"/>
      <c r="V761" s="243"/>
      <c r="W761" s="15"/>
    </row>
    <row r="762">
      <c r="A762" s="34"/>
      <c r="B762" s="15"/>
      <c r="C762" s="15"/>
      <c r="D762" s="15"/>
      <c r="E762" s="17"/>
      <c r="F762" s="15"/>
      <c r="G762" s="250"/>
      <c r="H762" s="243"/>
      <c r="I762" s="243"/>
      <c r="J762" s="243"/>
      <c r="K762" s="85"/>
      <c r="L762" s="85"/>
      <c r="M762" s="85"/>
      <c r="N762" s="29"/>
      <c r="O762" s="307"/>
      <c r="P762" s="29"/>
      <c r="Q762" s="15"/>
      <c r="R762" s="15"/>
      <c r="S762" s="15"/>
      <c r="T762" s="15"/>
      <c r="U762" s="15"/>
      <c r="V762" s="243"/>
      <c r="W762" s="15"/>
    </row>
    <row r="763">
      <c r="A763" s="34"/>
      <c r="B763" s="15"/>
      <c r="C763" s="15"/>
      <c r="D763" s="15"/>
      <c r="E763" s="17"/>
      <c r="F763" s="15"/>
      <c r="G763" s="250"/>
      <c r="H763" s="243"/>
      <c r="I763" s="243"/>
      <c r="J763" s="243"/>
      <c r="K763" s="85"/>
      <c r="L763" s="85"/>
      <c r="M763" s="85"/>
      <c r="N763" s="29"/>
      <c r="O763" s="307"/>
      <c r="P763" s="29"/>
      <c r="Q763" s="15"/>
      <c r="R763" s="15"/>
      <c r="S763" s="15"/>
      <c r="T763" s="15"/>
      <c r="U763" s="15"/>
      <c r="V763" s="243"/>
      <c r="W763" s="15"/>
    </row>
    <row r="764">
      <c r="A764" s="34"/>
      <c r="B764" s="15"/>
      <c r="C764" s="15"/>
      <c r="D764" s="15"/>
      <c r="E764" s="17"/>
      <c r="F764" s="15"/>
      <c r="G764" s="250"/>
      <c r="H764" s="243"/>
      <c r="I764" s="243"/>
      <c r="J764" s="243"/>
      <c r="K764" s="85"/>
      <c r="L764" s="85"/>
      <c r="M764" s="85"/>
      <c r="N764" s="29"/>
      <c r="O764" s="307"/>
      <c r="P764" s="29"/>
      <c r="Q764" s="15"/>
      <c r="R764" s="15"/>
      <c r="S764" s="15"/>
      <c r="T764" s="15"/>
      <c r="U764" s="15"/>
      <c r="V764" s="243"/>
      <c r="W764" s="15"/>
    </row>
    <row r="765">
      <c r="A765" s="34"/>
      <c r="B765" s="15"/>
      <c r="C765" s="15"/>
      <c r="D765" s="15"/>
      <c r="E765" s="17"/>
      <c r="F765" s="15"/>
      <c r="G765" s="250"/>
      <c r="H765" s="243"/>
      <c r="I765" s="243"/>
      <c r="J765" s="243"/>
      <c r="K765" s="85"/>
      <c r="L765" s="85"/>
      <c r="M765" s="85"/>
      <c r="N765" s="29"/>
      <c r="O765" s="307"/>
      <c r="P765" s="29"/>
      <c r="Q765" s="15"/>
      <c r="R765" s="15"/>
      <c r="S765" s="15"/>
      <c r="T765" s="15"/>
      <c r="U765" s="15"/>
      <c r="V765" s="243"/>
      <c r="W765" s="15"/>
    </row>
    <row r="766">
      <c r="A766" s="34"/>
      <c r="B766" s="15"/>
      <c r="C766" s="15"/>
      <c r="D766" s="15"/>
      <c r="E766" s="17"/>
      <c r="F766" s="15"/>
      <c r="G766" s="250"/>
      <c r="H766" s="243"/>
      <c r="I766" s="243"/>
      <c r="J766" s="243"/>
      <c r="K766" s="85"/>
      <c r="L766" s="85"/>
      <c r="M766" s="85"/>
      <c r="N766" s="29"/>
      <c r="O766" s="307"/>
      <c r="P766" s="29"/>
      <c r="Q766" s="15"/>
      <c r="R766" s="15"/>
      <c r="S766" s="15"/>
      <c r="T766" s="15"/>
      <c r="U766" s="15"/>
      <c r="V766" s="243"/>
      <c r="W766" s="15"/>
    </row>
  </sheetData>
  <mergeCells count="36">
    <mergeCell ref="V2:V3"/>
    <mergeCell ref="W2:W3"/>
    <mergeCell ref="I2:I3"/>
    <mergeCell ref="J2:J3"/>
    <mergeCell ref="O2:O3"/>
    <mergeCell ref="Q2:Q3"/>
    <mergeCell ref="R2:R3"/>
    <mergeCell ref="S2:S3"/>
    <mergeCell ref="U2:U3"/>
    <mergeCell ref="B2:B3"/>
    <mergeCell ref="C2:C3"/>
    <mergeCell ref="D2:D3"/>
    <mergeCell ref="E2:E3"/>
    <mergeCell ref="F2:F3"/>
    <mergeCell ref="G2:G3"/>
    <mergeCell ref="H2:H3"/>
    <mergeCell ref="B4:F4"/>
    <mergeCell ref="B10:E10"/>
    <mergeCell ref="B12:F12"/>
    <mergeCell ref="B21:E21"/>
    <mergeCell ref="B23:F23"/>
    <mergeCell ref="B32:E32"/>
    <mergeCell ref="B34:F34"/>
    <mergeCell ref="B68:F68"/>
    <mergeCell ref="B75:E75"/>
    <mergeCell ref="B77:F77"/>
    <mergeCell ref="B84:E84"/>
    <mergeCell ref="B86:F86"/>
    <mergeCell ref="B93:E93"/>
    <mergeCell ref="B39:E39"/>
    <mergeCell ref="B41:F41"/>
    <mergeCell ref="B48:E48"/>
    <mergeCell ref="B50:F50"/>
    <mergeCell ref="B57:E57"/>
    <mergeCell ref="B59:F59"/>
    <mergeCell ref="B66:E66"/>
  </mergeCells>
  <printOptions horizontalCentered="1"/>
  <pageMargins bottom="0.75" footer="0.0" header="0.0" left="0.25" right="0.25" top="0.75"/>
  <pageSetup fitToHeight="0" paperSize="9" cellComments="atEnd"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
    <col customWidth="1" min="2" max="2" width="6.38"/>
    <col customWidth="1" min="3" max="3" width="13.25"/>
    <col customWidth="1" min="4" max="4" width="13.75"/>
    <col customWidth="1" min="5" max="5" width="7.0"/>
    <col customWidth="1" min="6" max="6" width="8.25"/>
    <col customWidth="1" min="7" max="7" width="7.75"/>
    <col customWidth="1" min="8" max="8" width="6.13"/>
    <col customWidth="1" min="9" max="9" width="7.75"/>
    <col customWidth="1" min="10" max="10" width="7.63"/>
    <col customWidth="1" min="11" max="13" width="6.5"/>
    <col customWidth="1" min="14" max="15" width="7.5"/>
    <col customWidth="1" min="16" max="16" width="8.25"/>
    <col customWidth="1" min="17" max="17" width="9.38"/>
    <col customWidth="1" min="18" max="18" width="8.25"/>
    <col customWidth="1" min="19" max="23" width="8.75"/>
  </cols>
  <sheetData>
    <row r="1" ht="6.75" customHeight="1">
      <c r="A1" s="34"/>
      <c r="B1" s="15"/>
      <c r="C1" s="15"/>
      <c r="D1" s="15"/>
      <c r="E1" s="17"/>
      <c r="F1" s="15"/>
      <c r="G1" s="244">
        <v>0.05</v>
      </c>
      <c r="H1" s="243"/>
      <c r="I1" s="243"/>
      <c r="J1" s="243"/>
      <c r="K1" s="29"/>
      <c r="L1" s="29"/>
      <c r="M1" s="29"/>
      <c r="N1" s="29"/>
      <c r="O1" s="29"/>
      <c r="P1" s="307"/>
      <c r="Q1" s="15"/>
      <c r="R1" s="15"/>
      <c r="S1" s="15"/>
      <c r="T1" s="15"/>
      <c r="U1" s="243"/>
      <c r="V1" s="243"/>
      <c r="W1" s="243"/>
    </row>
    <row r="2" ht="31.5" customHeight="1">
      <c r="A2" s="34"/>
      <c r="B2" s="308" t="s">
        <v>0</v>
      </c>
      <c r="C2" s="37" t="s">
        <v>21</v>
      </c>
      <c r="D2" s="37" t="s">
        <v>24</v>
      </c>
      <c r="E2" s="40" t="s">
        <v>18</v>
      </c>
      <c r="F2" s="247" t="str">
        <f>' CPVC PIPE'!F2</f>
        <v>MRP as on 1st May, 2024</v>
      </c>
      <c r="G2" s="42" t="s">
        <v>6</v>
      </c>
      <c r="H2" s="47" t="s">
        <v>32</v>
      </c>
      <c r="I2" s="47" t="s">
        <v>35</v>
      </c>
      <c r="J2" s="50" t="s">
        <v>26</v>
      </c>
      <c r="K2" s="52"/>
      <c r="L2" s="52"/>
      <c r="M2" s="52"/>
      <c r="N2" s="52"/>
      <c r="O2" s="309"/>
      <c r="P2" s="135"/>
      <c r="Q2" s="15"/>
      <c r="R2" s="15"/>
      <c r="S2" s="15"/>
      <c r="T2" s="15"/>
      <c r="U2" s="243"/>
      <c r="V2" s="243"/>
      <c r="W2" s="243"/>
    </row>
    <row r="3" ht="32.25" customHeight="1">
      <c r="A3" s="34"/>
      <c r="B3" s="41"/>
      <c r="C3" s="41"/>
      <c r="D3" s="41"/>
      <c r="E3" s="41"/>
      <c r="F3" s="41"/>
      <c r="G3" s="41"/>
      <c r="H3" s="41"/>
      <c r="I3" s="41"/>
      <c r="J3" s="41"/>
      <c r="K3" s="29"/>
      <c r="L3" s="29"/>
      <c r="M3" s="29"/>
      <c r="N3" s="29"/>
      <c r="O3" s="309"/>
      <c r="P3" s="323"/>
      <c r="Q3" s="324"/>
      <c r="R3" s="57"/>
      <c r="S3" s="15"/>
      <c r="T3" s="15"/>
      <c r="U3" s="243"/>
      <c r="V3" s="243"/>
      <c r="W3" s="243"/>
    </row>
    <row r="4" ht="22.5" customHeight="1">
      <c r="A4" s="34"/>
      <c r="B4" s="62" t="s">
        <v>121</v>
      </c>
      <c r="C4" s="45"/>
      <c r="D4" s="45"/>
      <c r="E4" s="45"/>
      <c r="F4" s="46"/>
      <c r="G4" s="250"/>
      <c r="H4" s="243"/>
      <c r="I4" s="243"/>
      <c r="J4" s="243"/>
      <c r="K4" s="29"/>
      <c r="L4" s="29"/>
      <c r="M4" s="29"/>
      <c r="N4" s="29"/>
      <c r="O4" s="29"/>
      <c r="P4" s="307"/>
      <c r="Q4" s="15"/>
      <c r="R4" s="15"/>
      <c r="S4" s="15"/>
      <c r="T4" s="15"/>
      <c r="U4" s="243"/>
      <c r="V4" s="243"/>
      <c r="W4" s="243"/>
    </row>
    <row r="5" ht="15.75" customHeight="1">
      <c r="A5" s="67" t="str">
        <f t="shared" ref="A5:A14" si="1">$B$4&amp;C5</f>
        <v>Elbow 90⁰ (SCH-80)3⁄4 x 1⁄2</v>
      </c>
      <c r="B5" s="68">
        <v>1.0</v>
      </c>
      <c r="C5" s="110" t="s">
        <v>144</v>
      </c>
      <c r="D5" s="110" t="s">
        <v>145</v>
      </c>
      <c r="E5" s="111" t="s">
        <v>1125</v>
      </c>
      <c r="F5" s="56">
        <v>19.9</v>
      </c>
      <c r="G5" s="76">
        <f>IFERROR(__xludf.DUMMYFUNCTION("ArrayFormula(IFERROR(VLOOKUP(E5,IMPORTRANGE(""https://docs.google.com/spreadsheets/d/1xZyKy-UzMmtPDLpV5jQdYum1LtbR8XKDuasLSjmBRMI/edit#gid=1241094406"",""COMBINED DATA!E3:L""),{7,8},0)))"),0.040299999999999996)</f>
        <v>0.0403</v>
      </c>
      <c r="H5" s="76">
        <f>IFERROR(__xludf.DUMMYFUNCTION("""COMPUTED_VALUE"""),0.0)</f>
        <v>0</v>
      </c>
      <c r="I5" s="76">
        <f t="shared" ref="I5:I14" si="2">G5+H5</f>
        <v>0.0403</v>
      </c>
      <c r="J5" s="84">
        <f t="shared" ref="J5:J14" si="3">IFERROR(F5/I5,"")</f>
        <v>493.7965261</v>
      </c>
      <c r="K5" s="85"/>
      <c r="L5" s="85"/>
      <c r="M5" s="85"/>
      <c r="N5" s="85"/>
      <c r="O5" s="316"/>
      <c r="P5" s="75"/>
      <c r="Q5" s="113"/>
      <c r="R5" s="20"/>
      <c r="S5" s="20"/>
      <c r="T5" s="20"/>
      <c r="U5" s="16"/>
      <c r="V5" s="16"/>
      <c r="W5" s="16"/>
    </row>
    <row r="6" ht="15.75" customHeight="1">
      <c r="A6" s="67" t="str">
        <f t="shared" si="1"/>
        <v>Elbow 90⁰ (SCH-80)1⁄2</v>
      </c>
      <c r="B6" s="90">
        <v>2.0</v>
      </c>
      <c r="C6" s="92" t="s">
        <v>43</v>
      </c>
      <c r="D6" s="92">
        <v>15.0</v>
      </c>
      <c r="E6" s="94" t="s">
        <v>1128</v>
      </c>
      <c r="F6" s="56">
        <v>13.9</v>
      </c>
      <c r="G6" s="76">
        <f>IFERROR(__xludf.DUMMYFUNCTION("ArrayFormula(IFERROR(VLOOKUP(E6,IMPORTRANGE(""https://docs.google.com/spreadsheets/d/1xZyKy-UzMmtPDLpV5jQdYum1LtbR8XKDuasLSjmBRMI/edit#gid=1241094406"",""COMBINED DATA!E3:L""),{7,8},0)))"),0.0295)</f>
        <v>0.0295</v>
      </c>
      <c r="H6" s="76">
        <f>IFERROR(__xludf.DUMMYFUNCTION("""COMPUTED_VALUE"""),0.0)</f>
        <v>0</v>
      </c>
      <c r="I6" s="76">
        <f t="shared" si="2"/>
        <v>0.0295</v>
      </c>
      <c r="J6" s="84">
        <f t="shared" si="3"/>
        <v>471.1864407</v>
      </c>
      <c r="K6" s="85"/>
      <c r="L6" s="85"/>
      <c r="M6" s="85"/>
      <c r="N6" s="85"/>
      <c r="O6" s="316"/>
      <c r="P6" s="286"/>
      <c r="Q6" s="113"/>
      <c r="R6" s="20"/>
      <c r="S6" s="20"/>
      <c r="T6" s="20"/>
      <c r="U6" s="16"/>
      <c r="V6" s="16"/>
      <c r="W6" s="16"/>
    </row>
    <row r="7" ht="15.75" customHeight="1">
      <c r="A7" s="67" t="str">
        <f t="shared" si="1"/>
        <v>Elbow 90⁰ (SCH-80)3⁄4</v>
      </c>
      <c r="B7" s="90">
        <v>3.0</v>
      </c>
      <c r="C7" s="92" t="s">
        <v>51</v>
      </c>
      <c r="D7" s="92">
        <v>20.0</v>
      </c>
      <c r="E7" s="94" t="s">
        <v>1130</v>
      </c>
      <c r="F7" s="56">
        <v>19.6</v>
      </c>
      <c r="G7" s="76">
        <f>IFERROR(__xludf.DUMMYFUNCTION("ArrayFormula(IFERROR(VLOOKUP(E7,IMPORTRANGE(""https://docs.google.com/spreadsheets/d/1xZyKy-UzMmtPDLpV5jQdYum1LtbR8XKDuasLSjmBRMI/edit#gid=1241094406"",""COMBINED DATA!E3:L""),{7,8},0)))"),0.043)</f>
        <v>0.043</v>
      </c>
      <c r="H7" s="76">
        <f>IFERROR(__xludf.DUMMYFUNCTION("""COMPUTED_VALUE"""),0.0)</f>
        <v>0</v>
      </c>
      <c r="I7" s="76">
        <f t="shared" si="2"/>
        <v>0.043</v>
      </c>
      <c r="J7" s="84">
        <f t="shared" si="3"/>
        <v>455.8139535</v>
      </c>
      <c r="K7" s="85"/>
      <c r="L7" s="85"/>
      <c r="M7" s="85"/>
      <c r="N7" s="85"/>
      <c r="O7" s="316"/>
      <c r="P7" s="286"/>
      <c r="Q7" s="113"/>
      <c r="R7" s="20"/>
      <c r="S7" s="20"/>
      <c r="T7" s="20"/>
      <c r="U7" s="16"/>
      <c r="V7" s="16"/>
      <c r="W7" s="16"/>
    </row>
    <row r="8" ht="15.75" customHeight="1">
      <c r="A8" s="67" t="str">
        <f t="shared" si="1"/>
        <v>Elbow 90⁰ (SCH-80)1</v>
      </c>
      <c r="B8" s="90">
        <v>4.0</v>
      </c>
      <c r="C8" s="92" t="s">
        <v>84</v>
      </c>
      <c r="D8" s="92">
        <v>25.0</v>
      </c>
      <c r="E8" s="94" t="s">
        <v>1131</v>
      </c>
      <c r="F8" s="56">
        <v>34.4</v>
      </c>
      <c r="G8" s="76">
        <f>IFERROR(__xludf.DUMMYFUNCTION("ArrayFormula(IFERROR(VLOOKUP(E8,IMPORTRANGE(""https://docs.google.com/spreadsheets/d/1xZyKy-UzMmtPDLpV5jQdYum1LtbR8XKDuasLSjmBRMI/edit#gid=1241094406"",""COMBINED DATA!E3:L""),{7,8},0)))"),0.074)</f>
        <v>0.074</v>
      </c>
      <c r="H8" s="76">
        <f>IFERROR(__xludf.DUMMYFUNCTION("""COMPUTED_VALUE"""),0.0)</f>
        <v>0</v>
      </c>
      <c r="I8" s="76">
        <f t="shared" si="2"/>
        <v>0.074</v>
      </c>
      <c r="J8" s="84">
        <f t="shared" si="3"/>
        <v>464.8648649</v>
      </c>
      <c r="K8" s="85"/>
      <c r="L8" s="85"/>
      <c r="M8" s="85"/>
      <c r="N8" s="85"/>
      <c r="O8" s="316"/>
      <c r="P8" s="286"/>
      <c r="Q8" s="113"/>
      <c r="R8" s="20"/>
      <c r="S8" s="20"/>
      <c r="T8" s="20"/>
      <c r="U8" s="16"/>
      <c r="V8" s="16"/>
      <c r="W8" s="16"/>
    </row>
    <row r="9" ht="15.75" customHeight="1">
      <c r="A9" s="67" t="str">
        <f t="shared" si="1"/>
        <v>Elbow 90⁰ (SCH-80)1 1⁄4</v>
      </c>
      <c r="B9" s="90">
        <v>5.0</v>
      </c>
      <c r="C9" s="92" t="s">
        <v>55</v>
      </c>
      <c r="D9" s="92">
        <v>32.0</v>
      </c>
      <c r="E9" s="94" t="s">
        <v>1133</v>
      </c>
      <c r="F9" s="56">
        <v>52.9</v>
      </c>
      <c r="G9" s="76">
        <f>IFERROR(__xludf.DUMMYFUNCTION("ArrayFormula(IFERROR(VLOOKUP(E9,IMPORTRANGE(""https://docs.google.com/spreadsheets/d/1xZyKy-UzMmtPDLpV5jQdYum1LtbR8XKDuasLSjmBRMI/edit#gid=1241094406"",""COMBINED DATA!E3:L""),{7,8},0)))"),0.113)</f>
        <v>0.113</v>
      </c>
      <c r="H9" s="76">
        <f>IFERROR(__xludf.DUMMYFUNCTION("""COMPUTED_VALUE"""),0.0)</f>
        <v>0</v>
      </c>
      <c r="I9" s="76">
        <f t="shared" si="2"/>
        <v>0.113</v>
      </c>
      <c r="J9" s="84">
        <f t="shared" si="3"/>
        <v>468.1415929</v>
      </c>
      <c r="K9" s="85"/>
      <c r="L9" s="85"/>
      <c r="M9" s="85"/>
      <c r="N9" s="85"/>
      <c r="O9" s="316"/>
      <c r="P9" s="286"/>
      <c r="Q9" s="113"/>
      <c r="R9" s="20"/>
      <c r="S9" s="20"/>
      <c r="T9" s="20"/>
      <c r="U9" s="16"/>
      <c r="V9" s="16"/>
      <c r="W9" s="16"/>
    </row>
    <row r="10" ht="15.75" customHeight="1">
      <c r="A10" s="67" t="str">
        <f t="shared" si="1"/>
        <v>Elbow 90⁰ (SCH-80)1 1⁄2</v>
      </c>
      <c r="B10" s="90">
        <v>6.0</v>
      </c>
      <c r="C10" s="92" t="s">
        <v>56</v>
      </c>
      <c r="D10" s="92">
        <v>40.0</v>
      </c>
      <c r="E10" s="94" t="s">
        <v>1135</v>
      </c>
      <c r="F10" s="56">
        <v>68.8</v>
      </c>
      <c r="G10" s="76">
        <f>IFERROR(__xludf.DUMMYFUNCTION("ArrayFormula(IFERROR(VLOOKUP(E10,IMPORTRANGE(""https://docs.google.com/spreadsheets/d/1xZyKy-UzMmtPDLpV5jQdYum1LtbR8XKDuasLSjmBRMI/edit#gid=1241094406"",""COMBINED DATA!E3:L""),{7,8},0)))"),0.148)</f>
        <v>0.148</v>
      </c>
      <c r="H10" s="76">
        <f>IFERROR(__xludf.DUMMYFUNCTION("""COMPUTED_VALUE"""),0.0)</f>
        <v>0</v>
      </c>
      <c r="I10" s="76">
        <f t="shared" si="2"/>
        <v>0.148</v>
      </c>
      <c r="J10" s="84">
        <f t="shared" si="3"/>
        <v>464.8648649</v>
      </c>
      <c r="K10" s="85"/>
      <c r="L10" s="85"/>
      <c r="M10" s="85"/>
      <c r="N10" s="85"/>
      <c r="O10" s="316"/>
      <c r="P10" s="286"/>
      <c r="Q10" s="113"/>
      <c r="R10" s="20"/>
      <c r="S10" s="20"/>
      <c r="T10" s="20"/>
      <c r="U10" s="16"/>
      <c r="V10" s="16"/>
      <c r="W10" s="16"/>
    </row>
    <row r="11" ht="15.75" customHeight="1">
      <c r="A11" s="67" t="str">
        <f t="shared" si="1"/>
        <v>Elbow 90⁰ (SCH-80)2</v>
      </c>
      <c r="B11" s="90">
        <v>7.0</v>
      </c>
      <c r="C11" s="92" t="s">
        <v>107</v>
      </c>
      <c r="D11" s="92">
        <v>50.0</v>
      </c>
      <c r="E11" s="94" t="s">
        <v>1136</v>
      </c>
      <c r="F11" s="56">
        <v>103.4</v>
      </c>
      <c r="G11" s="76">
        <f>IFERROR(__xludf.DUMMYFUNCTION("ArrayFormula(IFERROR(VLOOKUP(E11,IMPORTRANGE(""https://docs.google.com/spreadsheets/d/1xZyKy-UzMmtPDLpV5jQdYum1LtbR8XKDuasLSjmBRMI/edit#gid=1241094406"",""COMBINED DATA!E3:L""),{7,8},0)))"),0.222)</f>
        <v>0.222</v>
      </c>
      <c r="H11" s="76">
        <f>IFERROR(__xludf.DUMMYFUNCTION("""COMPUTED_VALUE"""),0.0)</f>
        <v>0</v>
      </c>
      <c r="I11" s="76">
        <f t="shared" si="2"/>
        <v>0.222</v>
      </c>
      <c r="J11" s="84">
        <f t="shared" si="3"/>
        <v>465.7657658</v>
      </c>
      <c r="K11" s="85"/>
      <c r="L11" s="85"/>
      <c r="M11" s="85"/>
      <c r="N11" s="85"/>
      <c r="O11" s="316"/>
      <c r="P11" s="286"/>
      <c r="Q11" s="113"/>
      <c r="R11" s="20"/>
      <c r="S11" s="20"/>
      <c r="T11" s="20"/>
      <c r="U11" s="16"/>
      <c r="V11" s="16"/>
      <c r="W11" s="16"/>
    </row>
    <row r="12" ht="15.75" customHeight="1">
      <c r="A12" s="67" t="str">
        <f t="shared" si="1"/>
        <v>Elbow 90⁰ (SCH-80)2 1⁄2</v>
      </c>
      <c r="B12" s="90">
        <v>8.0</v>
      </c>
      <c r="C12" s="127" t="s">
        <v>69</v>
      </c>
      <c r="D12" s="127">
        <v>65.0</v>
      </c>
      <c r="E12" s="112" t="s">
        <v>1138</v>
      </c>
      <c r="F12" s="181">
        <v>254.0</v>
      </c>
      <c r="G12" s="76">
        <f>IFERROR(__xludf.DUMMYFUNCTION("ArrayFormula(IFERROR(VLOOKUP(E12,IMPORTRANGE(""https://docs.google.com/spreadsheets/d/1xZyKy-UzMmtPDLpV5jQdYum1LtbR8XKDuasLSjmBRMI/edit#gid=1241094406"",""COMBINED DATA!E3:L""),{7,8},0)))"),0.4915)</f>
        <v>0.4915</v>
      </c>
      <c r="H12" s="76">
        <f>IFERROR(__xludf.DUMMYFUNCTION("""COMPUTED_VALUE"""),0.0)</f>
        <v>0</v>
      </c>
      <c r="I12" s="76">
        <f t="shared" si="2"/>
        <v>0.4915</v>
      </c>
      <c r="J12" s="84">
        <f t="shared" si="3"/>
        <v>516.785351</v>
      </c>
      <c r="K12" s="85"/>
      <c r="L12" s="85"/>
      <c r="M12" s="85"/>
      <c r="N12" s="85"/>
      <c r="O12" s="316"/>
      <c r="P12" s="75"/>
      <c r="Q12" s="113"/>
      <c r="R12" s="20"/>
      <c r="S12" s="20"/>
      <c r="T12" s="20"/>
      <c r="U12" s="16"/>
      <c r="V12" s="16"/>
      <c r="W12" s="16"/>
    </row>
    <row r="13" ht="15.75" customHeight="1">
      <c r="A13" s="67" t="str">
        <f t="shared" si="1"/>
        <v>Elbow 90⁰ (SCH-80)3</v>
      </c>
      <c r="B13" s="90">
        <v>9.0</v>
      </c>
      <c r="C13" s="127">
        <v>3.0</v>
      </c>
      <c r="D13" s="127">
        <v>80.0</v>
      </c>
      <c r="E13" s="112" t="s">
        <v>1140</v>
      </c>
      <c r="F13" s="56">
        <v>398.0</v>
      </c>
      <c r="G13" s="76">
        <f>IFERROR(__xludf.DUMMYFUNCTION("ArrayFormula(IFERROR(VLOOKUP(E13,IMPORTRANGE(""https://docs.google.com/spreadsheets/d/1xZyKy-UzMmtPDLpV5jQdYum1LtbR8XKDuasLSjmBRMI/edit#gid=1241094406"",""COMBINED DATA!E3:L""),{7,8},0)))"),0.7857999999999999)</f>
        <v>0.7858</v>
      </c>
      <c r="H13" s="76">
        <f>IFERROR(__xludf.DUMMYFUNCTION("""COMPUTED_VALUE"""),0.0)</f>
        <v>0</v>
      </c>
      <c r="I13" s="76">
        <f t="shared" si="2"/>
        <v>0.7858</v>
      </c>
      <c r="J13" s="84">
        <f t="shared" si="3"/>
        <v>506.4902011</v>
      </c>
      <c r="K13" s="85"/>
      <c r="L13" s="85"/>
      <c r="M13" s="85"/>
      <c r="N13" s="85"/>
      <c r="O13" s="316"/>
      <c r="P13" s="75"/>
      <c r="Q13" s="113"/>
      <c r="R13" s="20"/>
      <c r="S13" s="20"/>
      <c r="T13" s="20"/>
      <c r="U13" s="16"/>
      <c r="V13" s="16"/>
      <c r="W13" s="16"/>
    </row>
    <row r="14" ht="15.75" customHeight="1">
      <c r="A14" s="67" t="str">
        <f t="shared" si="1"/>
        <v>Elbow 90⁰ (SCH-80)4</v>
      </c>
      <c r="B14" s="90">
        <v>10.0</v>
      </c>
      <c r="C14" s="127">
        <v>4.0</v>
      </c>
      <c r="D14" s="127">
        <v>100.0</v>
      </c>
      <c r="E14" s="112" t="s">
        <v>1141</v>
      </c>
      <c r="F14" s="181">
        <v>664.0</v>
      </c>
      <c r="G14" s="76">
        <f>IFERROR(__xludf.DUMMYFUNCTION("ArrayFormula(IFERROR(VLOOKUP(E14,IMPORTRANGE(""https://docs.google.com/spreadsheets/d/1xZyKy-UzMmtPDLpV5jQdYum1LtbR8XKDuasLSjmBRMI/edit#gid=1241094406"",""COMBINED DATA!E3:L""),{7,8},0)))"),1.285)</f>
        <v>1.285</v>
      </c>
      <c r="H14" s="76">
        <f>IFERROR(__xludf.DUMMYFUNCTION("""COMPUTED_VALUE"""),0.0)</f>
        <v>0</v>
      </c>
      <c r="I14" s="76">
        <f t="shared" si="2"/>
        <v>1.285</v>
      </c>
      <c r="J14" s="84">
        <f t="shared" si="3"/>
        <v>516.7315175</v>
      </c>
      <c r="K14" s="85"/>
      <c r="L14" s="85"/>
      <c r="M14" s="85"/>
      <c r="N14" s="85"/>
      <c r="O14" s="316"/>
      <c r="P14" s="75"/>
      <c r="Q14" s="113"/>
      <c r="R14" s="20"/>
      <c r="S14" s="20"/>
      <c r="T14" s="20"/>
      <c r="U14" s="16"/>
      <c r="V14" s="16"/>
      <c r="W14" s="16"/>
    </row>
    <row r="15">
      <c r="A15" s="34"/>
      <c r="B15" s="237" t="s">
        <v>11</v>
      </c>
      <c r="C15" s="45"/>
      <c r="D15" s="45"/>
      <c r="E15" s="45"/>
      <c r="F15" s="103">
        <f>SUM(F5:F14)</f>
        <v>1628.9</v>
      </c>
      <c r="G15" s="250"/>
      <c r="H15" s="243"/>
      <c r="I15" s="243"/>
      <c r="J15" s="243"/>
      <c r="K15" s="85"/>
      <c r="L15" s="85"/>
      <c r="M15" s="85"/>
      <c r="N15" s="85"/>
      <c r="O15" s="29"/>
      <c r="P15" s="307"/>
      <c r="Q15" s="85"/>
      <c r="R15" s="15"/>
      <c r="S15" s="15"/>
      <c r="T15" s="15"/>
      <c r="U15" s="243"/>
      <c r="V15" s="243"/>
      <c r="W15" s="243"/>
    </row>
    <row r="16" ht="5.25" customHeight="1">
      <c r="A16" s="34"/>
      <c r="B16" s="15"/>
      <c r="C16" s="15"/>
      <c r="D16" s="15"/>
      <c r="E16" s="17"/>
      <c r="F16" s="15"/>
      <c r="G16" s="250"/>
      <c r="H16" s="243"/>
      <c r="I16" s="243"/>
      <c r="J16" s="243"/>
      <c r="K16" s="85"/>
      <c r="L16" s="85"/>
      <c r="M16" s="85"/>
      <c r="N16" s="85"/>
      <c r="O16" s="29"/>
      <c r="P16" s="307"/>
      <c r="Q16" s="85"/>
      <c r="R16" s="15"/>
      <c r="S16" s="15"/>
      <c r="T16" s="15"/>
      <c r="U16" s="243"/>
      <c r="V16" s="243"/>
      <c r="W16" s="243"/>
    </row>
    <row r="17" ht="22.5" customHeight="1">
      <c r="A17" s="34"/>
      <c r="B17" s="62" t="s">
        <v>132</v>
      </c>
      <c r="C17" s="45"/>
      <c r="D17" s="45"/>
      <c r="E17" s="45"/>
      <c r="F17" s="46"/>
      <c r="G17" s="250"/>
      <c r="H17" s="243"/>
      <c r="I17" s="243"/>
      <c r="J17" s="243"/>
      <c r="K17" s="85"/>
      <c r="L17" s="85"/>
      <c r="M17" s="85"/>
      <c r="N17" s="85"/>
      <c r="O17" s="29"/>
      <c r="P17" s="307"/>
      <c r="Q17" s="85"/>
      <c r="R17" s="15"/>
      <c r="S17" s="15"/>
      <c r="T17" s="15"/>
      <c r="U17" s="243"/>
      <c r="V17" s="243"/>
      <c r="W17" s="243"/>
    </row>
    <row r="18" ht="15.75" customHeight="1">
      <c r="A18" s="67" t="str">
        <f>$B$17&amp;C18</f>
        <v>Elbow 90⁰ (SCH-40)6</v>
      </c>
      <c r="B18" s="68">
        <v>1.0</v>
      </c>
      <c r="C18" s="110">
        <v>6.0</v>
      </c>
      <c r="D18" s="110">
        <v>150.0</v>
      </c>
      <c r="E18" s="111" t="s">
        <v>1145</v>
      </c>
      <c r="F18" s="56">
        <v>1090.0</v>
      </c>
      <c r="G18" s="76">
        <f>IFERROR(__xludf.DUMMYFUNCTION("IFERROR(VLOOKUP(E18,IMPORTRANGE(""https://docs.google.com/spreadsheets/d/16zJorHwLPgwY8YVZEbD_cbTMf-XiJq_EjdFyr8LAUDg/edit#gid=0"",""All!A2:C""),3,0))"),0.00189)</f>
        <v>0.00189</v>
      </c>
      <c r="H18" s="76" t="str">
        <f>IFERROR(__xludf.DUMMYFUNCTION("IFERROR(VLOOKUP(E18,IMPORTRANGE(""https://docs.google.com/spreadsheets/d/1xZyKy-UzMmtPDLpV5jQdYum1LtbR8XKDuasLSjmBRMI/edit#gid=1241094406"",""COMBINED DATA!E3:L""),8,0))"),"")</f>
        <v/>
      </c>
      <c r="I18" s="76">
        <f>G18+H18</f>
        <v>0.00189</v>
      </c>
      <c r="J18" s="84"/>
      <c r="K18" s="85"/>
      <c r="L18" s="85"/>
      <c r="M18" s="85"/>
      <c r="N18" s="85"/>
      <c r="O18" s="316"/>
      <c r="P18" s="75"/>
      <c r="Q18" s="113"/>
      <c r="R18" s="20"/>
      <c r="S18" s="20"/>
      <c r="T18" s="20"/>
      <c r="U18" s="16"/>
      <c r="V18" s="16"/>
      <c r="W18" s="16"/>
    </row>
    <row r="19" ht="4.5" customHeight="1">
      <c r="A19" s="34"/>
      <c r="B19" s="15"/>
      <c r="C19" s="15"/>
      <c r="D19" s="15"/>
      <c r="E19" s="17"/>
      <c r="F19" s="15"/>
      <c r="G19" s="250"/>
      <c r="H19" s="243"/>
      <c r="I19" s="243"/>
      <c r="J19" s="243"/>
      <c r="K19" s="85"/>
      <c r="L19" s="85"/>
      <c r="M19" s="85"/>
      <c r="N19" s="85"/>
      <c r="O19" s="29"/>
      <c r="P19" s="307"/>
      <c r="Q19" s="85"/>
      <c r="R19" s="15"/>
      <c r="S19" s="15"/>
      <c r="T19" s="15"/>
      <c r="U19" s="243"/>
      <c r="V19" s="243"/>
      <c r="W19" s="243"/>
    </row>
    <row r="20" ht="22.5" customHeight="1">
      <c r="A20" s="34"/>
      <c r="B20" s="62" t="s">
        <v>1147</v>
      </c>
      <c r="C20" s="45"/>
      <c r="D20" s="45"/>
      <c r="E20" s="45"/>
      <c r="F20" s="46"/>
      <c r="G20" s="250"/>
      <c r="H20" s="243"/>
      <c r="I20" s="243"/>
      <c r="J20" s="243"/>
      <c r="K20" s="85"/>
      <c r="L20" s="85"/>
      <c r="M20" s="85"/>
      <c r="N20" s="85"/>
      <c r="O20" s="29"/>
      <c r="P20" s="307"/>
      <c r="Q20" s="85"/>
      <c r="R20" s="15"/>
      <c r="S20" s="15"/>
      <c r="T20" s="15"/>
      <c r="U20" s="243"/>
      <c r="V20" s="243"/>
      <c r="W20" s="243"/>
    </row>
    <row r="21" ht="15.75" customHeight="1">
      <c r="A21" s="67" t="str">
        <f t="shared" ref="A21:A29" si="4">$B$20&amp;C21</f>
        <v>Reducer Elbow 90⁰ (SCH-80)1 x 1⁄2</v>
      </c>
      <c r="B21" s="68">
        <v>1.0</v>
      </c>
      <c r="C21" s="110" t="s">
        <v>352</v>
      </c>
      <c r="D21" s="110" t="s">
        <v>353</v>
      </c>
      <c r="E21" s="111" t="s">
        <v>1148</v>
      </c>
      <c r="F21" s="56">
        <v>31.8</v>
      </c>
      <c r="G21" s="76">
        <f>IFERROR(__xludf.DUMMYFUNCTION("ArrayFormula(IFERROR(VLOOKUP(E21,IMPORTRANGE(""https://docs.google.com/spreadsheets/d/1xZyKy-UzMmtPDLpV5jQdYum1LtbR8XKDuasLSjmBRMI/edit#gid=1241094406"",""COMBINED DATA!E3:L""),{7,8},0)))"),0.0613)</f>
        <v>0.0613</v>
      </c>
      <c r="H21" s="76">
        <f>IFERROR(__xludf.DUMMYFUNCTION("""COMPUTED_VALUE"""),0.0)</f>
        <v>0</v>
      </c>
      <c r="I21" s="76">
        <f t="shared" ref="I21:I29" si="5">G21+H21</f>
        <v>0.0613</v>
      </c>
      <c r="J21" s="84">
        <f t="shared" ref="J21:J29" si="6">IFERROR(F21/I21,"")</f>
        <v>518.7601958</v>
      </c>
      <c r="K21" s="85"/>
      <c r="L21" s="85"/>
      <c r="M21" s="85"/>
      <c r="N21" s="85"/>
      <c r="O21" s="316"/>
      <c r="P21" s="75"/>
      <c r="Q21" s="113"/>
      <c r="R21" s="20"/>
      <c r="S21" s="20"/>
      <c r="T21" s="20"/>
      <c r="U21" s="16"/>
      <c r="V21" s="16"/>
      <c r="W21" s="16"/>
    </row>
    <row r="22" ht="15.75" customHeight="1">
      <c r="A22" s="67" t="str">
        <f t="shared" si="4"/>
        <v>Reducer Elbow 90⁰ (SCH-80)1 x 3⁄4</v>
      </c>
      <c r="B22" s="90">
        <v>2.0</v>
      </c>
      <c r="C22" s="127" t="s">
        <v>153</v>
      </c>
      <c r="D22" s="127" t="s">
        <v>155</v>
      </c>
      <c r="E22" s="112" t="s">
        <v>1151</v>
      </c>
      <c r="F22" s="56">
        <v>34.4</v>
      </c>
      <c r="G22" s="76">
        <f>IFERROR(__xludf.DUMMYFUNCTION("ArrayFormula(IFERROR(VLOOKUP(E22,IMPORTRANGE(""https://docs.google.com/spreadsheets/d/1xZyKy-UzMmtPDLpV5jQdYum1LtbR8XKDuasLSjmBRMI/edit#gid=1241094406"",""COMBINED DATA!E3:L""),{7,8},0)))"),0.068)</f>
        <v>0.068</v>
      </c>
      <c r="H22" s="76">
        <f>IFERROR(__xludf.DUMMYFUNCTION("""COMPUTED_VALUE"""),0.0)</f>
        <v>0</v>
      </c>
      <c r="I22" s="76">
        <f t="shared" si="5"/>
        <v>0.068</v>
      </c>
      <c r="J22" s="84">
        <f t="shared" si="6"/>
        <v>505.8823529</v>
      </c>
      <c r="K22" s="85"/>
      <c r="L22" s="85"/>
      <c r="M22" s="85"/>
      <c r="N22" s="85"/>
      <c r="O22" s="316"/>
      <c r="P22" s="75"/>
      <c r="Q22" s="113"/>
      <c r="R22" s="20"/>
      <c r="S22" s="20"/>
      <c r="T22" s="20"/>
      <c r="U22" s="16"/>
      <c r="V22" s="16"/>
      <c r="W22" s="16"/>
    </row>
    <row r="23" ht="15.75" customHeight="1">
      <c r="A23" s="67" t="str">
        <f t="shared" si="4"/>
        <v>Reducer Elbow 90⁰ (SCH-80)1 1⁄4 x 1⁄2</v>
      </c>
      <c r="B23" s="90">
        <v>3.0</v>
      </c>
      <c r="C23" s="127" t="s">
        <v>401</v>
      </c>
      <c r="D23" s="127" t="s">
        <v>402</v>
      </c>
      <c r="E23" s="112" t="s">
        <v>1152</v>
      </c>
      <c r="F23" s="56">
        <v>42.4</v>
      </c>
      <c r="G23" s="76">
        <f>IFERROR(__xludf.DUMMYFUNCTION("ArrayFormula(IFERROR(VLOOKUP(E23,IMPORTRANGE(""https://docs.google.com/spreadsheets/d/1xZyKy-UzMmtPDLpV5jQdYum1LtbR8XKDuasLSjmBRMI/edit#gid=1241094406"",""COMBINED DATA!E3:L""),{7,8},0)))"),0.08)</f>
        <v>0.08</v>
      </c>
      <c r="H23" s="76">
        <f>IFERROR(__xludf.DUMMYFUNCTION("""COMPUTED_VALUE"""),0.0)</f>
        <v>0</v>
      </c>
      <c r="I23" s="76">
        <f t="shared" si="5"/>
        <v>0.08</v>
      </c>
      <c r="J23" s="84">
        <f t="shared" si="6"/>
        <v>530</v>
      </c>
      <c r="K23" s="85"/>
      <c r="L23" s="85"/>
      <c r="M23" s="85"/>
      <c r="N23" s="85"/>
      <c r="O23" s="316"/>
      <c r="P23" s="75"/>
      <c r="Q23" s="113"/>
      <c r="R23" s="20"/>
      <c r="S23" s="20"/>
      <c r="T23" s="20"/>
      <c r="U23" s="16"/>
      <c r="V23" s="16"/>
      <c r="W23" s="16"/>
    </row>
    <row r="24" ht="15.75" customHeight="1">
      <c r="A24" s="67" t="str">
        <f t="shared" si="4"/>
        <v>Reducer Elbow 90⁰ (SCH-80)1 1⁄4 x 3⁄4</v>
      </c>
      <c r="B24" s="90">
        <v>4.0</v>
      </c>
      <c r="C24" s="127" t="s">
        <v>303</v>
      </c>
      <c r="D24" s="127" t="s">
        <v>304</v>
      </c>
      <c r="E24" s="112" t="s">
        <v>1154</v>
      </c>
      <c r="F24" s="56">
        <v>44.9</v>
      </c>
      <c r="G24" s="76">
        <f>IFERROR(__xludf.DUMMYFUNCTION("ArrayFormula(IFERROR(VLOOKUP(E24,IMPORTRANGE(""https://docs.google.com/spreadsheets/d/1xZyKy-UzMmtPDLpV5jQdYum1LtbR8XKDuasLSjmBRMI/edit#gid=1241094406"",""COMBINED DATA!E3:L""),{7,8},0)))"),0.085)</f>
        <v>0.085</v>
      </c>
      <c r="H24" s="76">
        <f>IFERROR(__xludf.DUMMYFUNCTION("""COMPUTED_VALUE"""),0.0)</f>
        <v>0</v>
      </c>
      <c r="I24" s="76">
        <f t="shared" si="5"/>
        <v>0.085</v>
      </c>
      <c r="J24" s="84">
        <f t="shared" si="6"/>
        <v>528.2352941</v>
      </c>
      <c r="K24" s="85"/>
      <c r="L24" s="85"/>
      <c r="M24" s="85"/>
      <c r="N24" s="85"/>
      <c r="O24" s="316"/>
      <c r="P24" s="75"/>
      <c r="Q24" s="113"/>
      <c r="R24" s="20"/>
      <c r="S24" s="20"/>
      <c r="T24" s="20"/>
      <c r="U24" s="16"/>
      <c r="V24" s="16"/>
      <c r="W24" s="16"/>
    </row>
    <row r="25" ht="15.75" customHeight="1">
      <c r="A25" s="67" t="str">
        <f t="shared" si="4"/>
        <v>Reducer Elbow 90⁰ (SCH-80)1 1⁄4 x 1</v>
      </c>
      <c r="B25" s="90">
        <v>5.0</v>
      </c>
      <c r="C25" s="127" t="s">
        <v>306</v>
      </c>
      <c r="D25" s="127" t="s">
        <v>307</v>
      </c>
      <c r="E25" s="112" t="s">
        <v>1156</v>
      </c>
      <c r="F25" s="56">
        <v>58.0</v>
      </c>
      <c r="G25" s="76">
        <f>IFERROR(__xludf.DUMMYFUNCTION("ArrayFormula(IFERROR(VLOOKUP(E25,IMPORTRANGE(""https://docs.google.com/spreadsheets/d/1xZyKy-UzMmtPDLpV5jQdYum1LtbR8XKDuasLSjmBRMI/edit#gid=1241094406"",""COMBINED DATA!E3:L""),{7,8},0)))"),0.10479999999999999)</f>
        <v>0.1048</v>
      </c>
      <c r="H25" s="76">
        <f>IFERROR(__xludf.DUMMYFUNCTION("""COMPUTED_VALUE"""),0.0)</f>
        <v>0</v>
      </c>
      <c r="I25" s="76">
        <f t="shared" si="5"/>
        <v>0.1048</v>
      </c>
      <c r="J25" s="84">
        <f t="shared" si="6"/>
        <v>553.4351145</v>
      </c>
      <c r="K25" s="85"/>
      <c r="L25" s="85"/>
      <c r="M25" s="85"/>
      <c r="N25" s="85"/>
      <c r="O25" s="316"/>
      <c r="P25" s="75"/>
      <c r="Q25" s="113"/>
      <c r="R25" s="20"/>
      <c r="S25" s="20"/>
      <c r="T25" s="20"/>
      <c r="U25" s="16"/>
      <c r="V25" s="16"/>
      <c r="W25" s="16"/>
    </row>
    <row r="26" ht="15.75" customHeight="1">
      <c r="A26" s="67" t="str">
        <f t="shared" si="4"/>
        <v>Reducer Elbow 90⁰ (SCH-80)1 1⁄2 x 1⁄2</v>
      </c>
      <c r="B26" s="90">
        <v>6.0</v>
      </c>
      <c r="C26" s="127" t="s">
        <v>414</v>
      </c>
      <c r="D26" s="127" t="s">
        <v>415</v>
      </c>
      <c r="E26" s="112" t="s">
        <v>1157</v>
      </c>
      <c r="F26" s="56">
        <v>64.0</v>
      </c>
      <c r="G26" s="76">
        <f>IFERROR(__xludf.DUMMYFUNCTION("ArrayFormula(IFERROR(VLOOKUP(E26,IMPORTRANGE(""https://docs.google.com/spreadsheets/d/1xZyKy-UzMmtPDLpV5jQdYum1LtbR8XKDuasLSjmBRMI/edit#gid=1241094406"",""COMBINED DATA!E3:L""),{7,8},0)))"),0.097)</f>
        <v>0.097</v>
      </c>
      <c r="H26" s="76">
        <f>IFERROR(__xludf.DUMMYFUNCTION("""COMPUTED_VALUE"""),0.0)</f>
        <v>0</v>
      </c>
      <c r="I26" s="76">
        <f t="shared" si="5"/>
        <v>0.097</v>
      </c>
      <c r="J26" s="84">
        <f t="shared" si="6"/>
        <v>659.7938144</v>
      </c>
      <c r="K26" s="85"/>
      <c r="L26" s="85"/>
      <c r="M26" s="85"/>
      <c r="N26" s="85"/>
      <c r="O26" s="316"/>
      <c r="P26" s="75"/>
      <c r="Q26" s="113"/>
      <c r="R26" s="20"/>
      <c r="S26" s="20"/>
      <c r="T26" s="20"/>
      <c r="U26" s="16"/>
      <c r="V26" s="16"/>
      <c r="W26" s="16"/>
    </row>
    <row r="27" ht="15.75" customHeight="1">
      <c r="A27" s="67" t="str">
        <f t="shared" si="4"/>
        <v>Reducer Elbow 90⁰ (SCH-80)1 1⁄2 x 3⁄4</v>
      </c>
      <c r="B27" s="90">
        <v>7.0</v>
      </c>
      <c r="C27" s="127" t="s">
        <v>310</v>
      </c>
      <c r="D27" s="127" t="s">
        <v>311</v>
      </c>
      <c r="E27" s="112" t="s">
        <v>1159</v>
      </c>
      <c r="F27" s="56">
        <v>62.0</v>
      </c>
      <c r="G27" s="76">
        <f>IFERROR(__xludf.DUMMYFUNCTION("ArrayFormula(IFERROR(VLOOKUP(E27,IMPORTRANGE(""https://docs.google.com/spreadsheets/d/1xZyKy-UzMmtPDLpV5jQdYum1LtbR8XKDuasLSjmBRMI/edit#gid=1241094406"",""COMBINED DATA!E3:L""),{7,8},0)))"),0.108)</f>
        <v>0.108</v>
      </c>
      <c r="H27" s="76">
        <f>IFERROR(__xludf.DUMMYFUNCTION("""COMPUTED_VALUE"""),0.0)</f>
        <v>0</v>
      </c>
      <c r="I27" s="76">
        <f t="shared" si="5"/>
        <v>0.108</v>
      </c>
      <c r="J27" s="84">
        <f t="shared" si="6"/>
        <v>574.0740741</v>
      </c>
      <c r="K27" s="85"/>
      <c r="L27" s="85"/>
      <c r="M27" s="85"/>
      <c r="N27" s="85"/>
      <c r="O27" s="316"/>
      <c r="P27" s="75"/>
      <c r="Q27" s="113"/>
      <c r="R27" s="20"/>
      <c r="S27" s="20"/>
      <c r="T27" s="20"/>
      <c r="U27" s="16"/>
      <c r="V27" s="16"/>
      <c r="W27" s="16"/>
    </row>
    <row r="28" ht="15.75" customHeight="1">
      <c r="A28" s="67" t="str">
        <f t="shared" si="4"/>
        <v>Reducer Elbow 90⁰ (SCH-80)1 1⁄2 x 1</v>
      </c>
      <c r="B28" s="90">
        <v>8.0</v>
      </c>
      <c r="C28" s="127" t="s">
        <v>313</v>
      </c>
      <c r="D28" s="127" t="s">
        <v>314</v>
      </c>
      <c r="E28" s="112" t="s">
        <v>1161</v>
      </c>
      <c r="F28" s="56">
        <v>72.0</v>
      </c>
      <c r="G28" s="76">
        <f>IFERROR(__xludf.DUMMYFUNCTION("ArrayFormula(IFERROR(VLOOKUP(E28,IMPORTRANGE(""https://docs.google.com/spreadsheets/d/1xZyKy-UzMmtPDLpV5jQdYum1LtbR8XKDuasLSjmBRMI/edit#gid=1241094406"",""COMBINED DATA!E3:L""),{7,8},0)))"),0.128)</f>
        <v>0.128</v>
      </c>
      <c r="H28" s="76">
        <f>IFERROR(__xludf.DUMMYFUNCTION("""COMPUTED_VALUE"""),0.0)</f>
        <v>0</v>
      </c>
      <c r="I28" s="76">
        <f t="shared" si="5"/>
        <v>0.128</v>
      </c>
      <c r="J28" s="84">
        <f t="shared" si="6"/>
        <v>562.5</v>
      </c>
      <c r="K28" s="85"/>
      <c r="L28" s="85"/>
      <c r="M28" s="85"/>
      <c r="N28" s="85"/>
      <c r="O28" s="316"/>
      <c r="P28" s="75"/>
      <c r="Q28" s="113"/>
      <c r="R28" s="20"/>
      <c r="S28" s="20"/>
      <c r="T28" s="20"/>
      <c r="U28" s="16"/>
      <c r="V28" s="16"/>
      <c r="W28" s="16"/>
    </row>
    <row r="29" ht="15.75" customHeight="1">
      <c r="A29" s="67" t="str">
        <f t="shared" si="4"/>
        <v>Reducer Elbow 90⁰ (SCH-80)1 1⁄2 x 1 1⁄4</v>
      </c>
      <c r="B29" s="90">
        <v>9.0</v>
      </c>
      <c r="C29" s="127" t="s">
        <v>317</v>
      </c>
      <c r="D29" s="127" t="s">
        <v>318</v>
      </c>
      <c r="E29" s="112" t="s">
        <v>1162</v>
      </c>
      <c r="F29" s="56">
        <v>88.0</v>
      </c>
      <c r="G29" s="76">
        <f>IFERROR(__xludf.DUMMYFUNCTION("ArrayFormula(IFERROR(VLOOKUP(E29,IMPORTRANGE(""https://docs.google.com/spreadsheets/d/1xZyKy-UzMmtPDLpV5jQdYum1LtbR8XKDuasLSjmBRMI/edit#gid=1241094406"",""COMBINED DATA!E3:L""),{7,8},0)))"),0.153)</f>
        <v>0.153</v>
      </c>
      <c r="H29" s="76">
        <f>IFERROR(__xludf.DUMMYFUNCTION("""COMPUTED_VALUE"""),0.0)</f>
        <v>0</v>
      </c>
      <c r="I29" s="76">
        <f t="shared" si="5"/>
        <v>0.153</v>
      </c>
      <c r="J29" s="84">
        <f t="shared" si="6"/>
        <v>575.1633987</v>
      </c>
      <c r="K29" s="85"/>
      <c r="L29" s="85"/>
      <c r="M29" s="85"/>
      <c r="N29" s="85"/>
      <c r="O29" s="316"/>
      <c r="P29" s="75"/>
      <c r="Q29" s="113"/>
      <c r="R29" s="20"/>
      <c r="S29" s="20"/>
      <c r="T29" s="20"/>
      <c r="U29" s="16"/>
      <c r="V29" s="16"/>
      <c r="W29" s="16"/>
    </row>
    <row r="30">
      <c r="A30" s="34"/>
      <c r="B30" s="237" t="s">
        <v>11</v>
      </c>
      <c r="C30" s="45"/>
      <c r="D30" s="45"/>
      <c r="E30" s="46"/>
      <c r="F30" s="103">
        <f>SUM(F21:F29)</f>
        <v>497.5</v>
      </c>
      <c r="G30" s="250"/>
      <c r="H30" s="243"/>
      <c r="I30" s="243"/>
      <c r="J30" s="243"/>
      <c r="K30" s="85"/>
      <c r="L30" s="85"/>
      <c r="M30" s="85"/>
      <c r="N30" s="85"/>
      <c r="O30" s="29"/>
      <c r="P30" s="307"/>
      <c r="Q30" s="85"/>
      <c r="R30" s="15"/>
      <c r="S30" s="15"/>
      <c r="T30" s="15"/>
      <c r="U30" s="243"/>
      <c r="V30" s="243"/>
      <c r="W30" s="243"/>
    </row>
    <row r="31" ht="4.5" customHeight="1">
      <c r="A31" s="34"/>
      <c r="B31" s="15"/>
      <c r="C31" s="15"/>
      <c r="D31" s="15"/>
      <c r="E31" s="17"/>
      <c r="F31" s="15"/>
      <c r="G31" s="250"/>
      <c r="H31" s="243"/>
      <c r="I31" s="243"/>
      <c r="J31" s="243"/>
      <c r="K31" s="85"/>
      <c r="L31" s="85"/>
      <c r="M31" s="85"/>
      <c r="N31" s="85"/>
      <c r="O31" s="29"/>
      <c r="P31" s="307"/>
      <c r="Q31" s="85"/>
      <c r="R31" s="15"/>
      <c r="S31" s="15"/>
      <c r="T31" s="15"/>
      <c r="U31" s="243"/>
      <c r="V31" s="243"/>
      <c r="W31" s="243"/>
    </row>
    <row r="32" ht="22.5" customHeight="1">
      <c r="A32" s="34"/>
      <c r="B32" s="62" t="s">
        <v>1172</v>
      </c>
      <c r="C32" s="45"/>
      <c r="D32" s="45"/>
      <c r="E32" s="45"/>
      <c r="F32" s="46"/>
      <c r="G32" s="250"/>
      <c r="H32" s="243"/>
      <c r="I32" s="243"/>
      <c r="J32" s="243"/>
      <c r="K32" s="85"/>
      <c r="L32" s="85"/>
      <c r="M32" s="85"/>
      <c r="N32" s="85"/>
      <c r="O32" s="29"/>
      <c r="P32" s="307"/>
      <c r="Q32" s="85"/>
      <c r="R32" s="15"/>
      <c r="S32" s="15"/>
      <c r="T32" s="15"/>
      <c r="U32" s="243"/>
      <c r="V32" s="243"/>
      <c r="W32" s="243"/>
    </row>
    <row r="33" ht="15.75" customHeight="1">
      <c r="A33" s="67" t="str">
        <f t="shared" ref="A33:A37" si="7">$B$32&amp;C33</f>
        <v>Elbow 45⁰ (SCH-80)3⁄4</v>
      </c>
      <c r="B33" s="68">
        <v>1.0</v>
      </c>
      <c r="C33" s="70" t="s">
        <v>51</v>
      </c>
      <c r="D33" s="70">
        <v>20.0</v>
      </c>
      <c r="E33" s="111" t="s">
        <v>1174</v>
      </c>
      <c r="F33" s="56">
        <v>19.6</v>
      </c>
      <c r="G33" s="76">
        <f>IFERROR(__xludf.DUMMYFUNCTION("ArrayFormula(IFERROR(VLOOKUP(E33,IMPORTRANGE(""https://docs.google.com/spreadsheets/d/1xZyKy-UzMmtPDLpV5jQdYum1LtbR8XKDuasLSjmBRMI/edit#gid=1241094406"",""COMBINED DATA!E3:L""),{7,8},0)))"),0.038950000000000005)</f>
        <v>0.03895</v>
      </c>
      <c r="H33" s="76">
        <f>IFERROR(__xludf.DUMMYFUNCTION("""COMPUTED_VALUE"""),0.0)</f>
        <v>0</v>
      </c>
      <c r="I33" s="76">
        <f t="shared" ref="I33:I37" si="8">G33+H33</f>
        <v>0.03895</v>
      </c>
      <c r="J33" s="84">
        <f t="shared" ref="J33:J37" si="9">IFERROR(F33/I33,"")</f>
        <v>503.2092426</v>
      </c>
      <c r="K33" s="85"/>
      <c r="L33" s="85"/>
      <c r="M33" s="85"/>
      <c r="N33" s="85"/>
      <c r="O33" s="316"/>
      <c r="P33" s="317"/>
      <c r="Q33" s="113"/>
      <c r="R33" s="20"/>
      <c r="S33" s="20"/>
      <c r="T33" s="20"/>
      <c r="U33" s="16"/>
      <c r="V33" s="16"/>
      <c r="W33" s="16"/>
    </row>
    <row r="34" ht="15.75" customHeight="1">
      <c r="A34" s="67" t="str">
        <f t="shared" si="7"/>
        <v>Elbow 45⁰ (SCH-80)1</v>
      </c>
      <c r="B34" s="90">
        <v>2.0</v>
      </c>
      <c r="C34" s="92" t="s">
        <v>84</v>
      </c>
      <c r="D34" s="92">
        <v>25.0</v>
      </c>
      <c r="E34" s="112" t="s">
        <v>1176</v>
      </c>
      <c r="F34" s="56">
        <v>31.0</v>
      </c>
      <c r="G34" s="76">
        <f>IFERROR(__xludf.DUMMYFUNCTION("ArrayFormula(IFERROR(VLOOKUP(E34,IMPORTRANGE(""https://docs.google.com/spreadsheets/d/1xZyKy-UzMmtPDLpV5jQdYum1LtbR8XKDuasLSjmBRMI/edit#gid=1241094406"",""COMBINED DATA!E3:L""),{7,8},0)))"),0.062)</f>
        <v>0.062</v>
      </c>
      <c r="H34" s="76">
        <f>IFERROR(__xludf.DUMMYFUNCTION("""COMPUTED_VALUE"""),0.0)</f>
        <v>0</v>
      </c>
      <c r="I34" s="76">
        <f t="shared" si="8"/>
        <v>0.062</v>
      </c>
      <c r="J34" s="84">
        <f t="shared" si="9"/>
        <v>500</v>
      </c>
      <c r="K34" s="85"/>
      <c r="L34" s="85"/>
      <c r="M34" s="85"/>
      <c r="N34" s="85"/>
      <c r="O34" s="316"/>
      <c r="P34" s="317"/>
      <c r="Q34" s="113"/>
      <c r="R34" s="20"/>
      <c r="S34" s="20"/>
      <c r="T34" s="20"/>
      <c r="U34" s="16"/>
      <c r="V34" s="16"/>
      <c r="W34" s="16"/>
    </row>
    <row r="35" ht="15.75" customHeight="1">
      <c r="A35" s="67" t="str">
        <f t="shared" si="7"/>
        <v>Elbow 45⁰ (SCH-80)1 1⁄4</v>
      </c>
      <c r="B35" s="90">
        <v>3.0</v>
      </c>
      <c r="C35" s="92" t="s">
        <v>55</v>
      </c>
      <c r="D35" s="92">
        <v>32.0</v>
      </c>
      <c r="E35" s="112" t="s">
        <v>1177</v>
      </c>
      <c r="F35" s="56">
        <v>50.4</v>
      </c>
      <c r="G35" s="76">
        <f>IFERROR(__xludf.DUMMYFUNCTION("ArrayFormula(IFERROR(VLOOKUP(E35,IMPORTRANGE(""https://docs.google.com/spreadsheets/d/1xZyKy-UzMmtPDLpV5jQdYum1LtbR8XKDuasLSjmBRMI/edit#gid=1241094406"",""COMBINED DATA!E3:L""),{7,8},0)))"),0.099)</f>
        <v>0.099</v>
      </c>
      <c r="H35" s="76">
        <f>IFERROR(__xludf.DUMMYFUNCTION("""COMPUTED_VALUE"""),0.0)</f>
        <v>0</v>
      </c>
      <c r="I35" s="76">
        <f t="shared" si="8"/>
        <v>0.099</v>
      </c>
      <c r="J35" s="84">
        <f t="shared" si="9"/>
        <v>509.0909091</v>
      </c>
      <c r="K35" s="85"/>
      <c r="L35" s="85"/>
      <c r="M35" s="85"/>
      <c r="N35" s="85"/>
      <c r="O35" s="316"/>
      <c r="P35" s="317"/>
      <c r="Q35" s="113"/>
      <c r="R35" s="20"/>
      <c r="S35" s="20"/>
      <c r="T35" s="20"/>
      <c r="U35" s="16"/>
      <c r="V35" s="16"/>
      <c r="W35" s="16"/>
    </row>
    <row r="36" ht="15.75" customHeight="1">
      <c r="A36" s="67" t="str">
        <f t="shared" si="7"/>
        <v>Elbow 45⁰ (SCH-80)1 1⁄2</v>
      </c>
      <c r="B36" s="90">
        <v>4.0</v>
      </c>
      <c r="C36" s="92" t="s">
        <v>56</v>
      </c>
      <c r="D36" s="92">
        <v>40.0</v>
      </c>
      <c r="E36" s="112" t="s">
        <v>1179</v>
      </c>
      <c r="F36" s="56">
        <v>66.9</v>
      </c>
      <c r="G36" s="76">
        <f>IFERROR(__xludf.DUMMYFUNCTION("ArrayFormula(IFERROR(VLOOKUP(E36,IMPORTRANGE(""https://docs.google.com/spreadsheets/d/1xZyKy-UzMmtPDLpV5jQdYum1LtbR8XKDuasLSjmBRMI/edit#gid=1241094406"",""COMBINED DATA!E3:L""),{7,8},0)))"),0.1295)</f>
        <v>0.1295</v>
      </c>
      <c r="H36" s="76">
        <f>IFERROR(__xludf.DUMMYFUNCTION("""COMPUTED_VALUE"""),0.0)</f>
        <v>0</v>
      </c>
      <c r="I36" s="76">
        <f t="shared" si="8"/>
        <v>0.1295</v>
      </c>
      <c r="J36" s="84">
        <f t="shared" si="9"/>
        <v>516.6023166</v>
      </c>
      <c r="K36" s="85"/>
      <c r="L36" s="85"/>
      <c r="M36" s="85"/>
      <c r="N36" s="85"/>
      <c r="O36" s="316"/>
      <c r="P36" s="317"/>
      <c r="Q36" s="113"/>
      <c r="R36" s="20"/>
      <c r="S36" s="20"/>
      <c r="T36" s="20"/>
      <c r="U36" s="16"/>
      <c r="V36" s="16"/>
      <c r="W36" s="16"/>
    </row>
    <row r="37" ht="15.75" customHeight="1">
      <c r="A37" s="67" t="str">
        <f t="shared" si="7"/>
        <v>Elbow 45⁰ (SCH-80)2</v>
      </c>
      <c r="B37" s="90">
        <v>5.0</v>
      </c>
      <c r="C37" s="92" t="s">
        <v>107</v>
      </c>
      <c r="D37" s="92">
        <v>50.0</v>
      </c>
      <c r="E37" s="112" t="s">
        <v>1180</v>
      </c>
      <c r="F37" s="56">
        <v>97.4</v>
      </c>
      <c r="G37" s="76">
        <f>IFERROR(__xludf.DUMMYFUNCTION("ArrayFormula(IFERROR(VLOOKUP(E37,IMPORTRANGE(""https://docs.google.com/spreadsheets/d/1xZyKy-UzMmtPDLpV5jQdYum1LtbR8XKDuasLSjmBRMI/edit#gid=1241094406"",""COMBINED DATA!E3:L""),{7,8},0)))"),0.192)</f>
        <v>0.192</v>
      </c>
      <c r="H37" s="76">
        <f>IFERROR(__xludf.DUMMYFUNCTION("""COMPUTED_VALUE"""),0.0)</f>
        <v>0</v>
      </c>
      <c r="I37" s="76">
        <f t="shared" si="8"/>
        <v>0.192</v>
      </c>
      <c r="J37" s="84">
        <f t="shared" si="9"/>
        <v>507.2916667</v>
      </c>
      <c r="K37" s="85"/>
      <c r="L37" s="85"/>
      <c r="M37" s="85"/>
      <c r="N37" s="85"/>
      <c r="O37" s="316"/>
      <c r="P37" s="317"/>
      <c r="Q37" s="113"/>
      <c r="R37" s="20"/>
      <c r="S37" s="20"/>
      <c r="T37" s="20"/>
      <c r="U37" s="16"/>
      <c r="V37" s="16"/>
      <c r="W37" s="16"/>
    </row>
    <row r="38">
      <c r="A38" s="34"/>
      <c r="B38" s="237" t="s">
        <v>11</v>
      </c>
      <c r="C38" s="45"/>
      <c r="D38" s="45"/>
      <c r="E38" s="45"/>
      <c r="F38" s="103">
        <f>SUM(F33:F37)</f>
        <v>265.3</v>
      </c>
      <c r="G38" s="250"/>
      <c r="H38" s="243"/>
      <c r="I38" s="243"/>
      <c r="J38" s="243"/>
      <c r="K38" s="85"/>
      <c r="L38" s="85"/>
      <c r="M38" s="85"/>
      <c r="N38" s="85"/>
      <c r="O38" s="29"/>
      <c r="P38" s="307"/>
      <c r="Q38" s="85"/>
      <c r="R38" s="15"/>
      <c r="S38" s="15"/>
      <c r="T38" s="15"/>
      <c r="U38" s="243"/>
      <c r="V38" s="243"/>
      <c r="W38" s="243"/>
    </row>
    <row r="39" ht="5.25" customHeight="1">
      <c r="A39" s="34"/>
      <c r="B39" s="15"/>
      <c r="C39" s="15"/>
      <c r="D39" s="15"/>
      <c r="E39" s="17"/>
      <c r="F39" s="15"/>
      <c r="G39" s="250"/>
      <c r="H39" s="243"/>
      <c r="I39" s="243"/>
      <c r="J39" s="243"/>
      <c r="K39" s="85"/>
      <c r="L39" s="85"/>
      <c r="M39" s="85"/>
      <c r="N39" s="85"/>
      <c r="O39" s="29"/>
      <c r="P39" s="307"/>
      <c r="Q39" s="85"/>
      <c r="R39" s="15"/>
      <c r="S39" s="15"/>
      <c r="T39" s="15"/>
      <c r="U39" s="243"/>
      <c r="V39" s="243"/>
      <c r="W39" s="243"/>
    </row>
    <row r="40" ht="22.5" customHeight="1">
      <c r="A40" s="34"/>
      <c r="B40" s="62" t="s">
        <v>187</v>
      </c>
      <c r="C40" s="45"/>
      <c r="D40" s="45"/>
      <c r="E40" s="45"/>
      <c r="F40" s="46"/>
      <c r="G40" s="250"/>
      <c r="H40" s="243"/>
      <c r="I40" s="243"/>
      <c r="J40" s="243"/>
      <c r="K40" s="85"/>
      <c r="L40" s="85"/>
      <c r="M40" s="85"/>
      <c r="N40" s="85"/>
      <c r="O40" s="29"/>
      <c r="P40" s="307"/>
      <c r="Q40" s="85"/>
      <c r="R40" s="15"/>
      <c r="S40" s="15"/>
      <c r="T40" s="15"/>
      <c r="U40" s="243"/>
      <c r="V40" s="243"/>
      <c r="W40" s="243"/>
    </row>
    <row r="41" ht="15.75" customHeight="1">
      <c r="A41" s="67" t="str">
        <f t="shared" ref="A41:A46" si="10">$B$40&amp;C41</f>
        <v>Tee (SCH-80)1⁄2</v>
      </c>
      <c r="B41" s="68">
        <v>1.0</v>
      </c>
      <c r="C41" s="110" t="s">
        <v>43</v>
      </c>
      <c r="D41" s="110">
        <v>15.0</v>
      </c>
      <c r="E41" s="111" t="s">
        <v>1184</v>
      </c>
      <c r="F41" s="56">
        <v>19.6</v>
      </c>
      <c r="G41" s="76">
        <f>IFERROR(__xludf.DUMMYFUNCTION("ArrayFormula(IFERROR(VLOOKUP(E41,IMPORTRANGE(""https://docs.google.com/spreadsheets/d/1xZyKy-UzMmtPDLpV5jQdYum1LtbR8XKDuasLSjmBRMI/edit#gid=1241094406"",""COMBINED DATA!E3:L""),{7,8},0)))"),0.0417)</f>
        <v>0.0417</v>
      </c>
      <c r="H41" s="76">
        <f>IFERROR(__xludf.DUMMYFUNCTION("""COMPUTED_VALUE"""),0.0)</f>
        <v>0</v>
      </c>
      <c r="I41" s="76">
        <f t="shared" ref="I41:I46" si="11">G41+H41</f>
        <v>0.0417</v>
      </c>
      <c r="J41" s="84">
        <f t="shared" ref="J41:J46" si="12">IFERROR(F41/I41,"")</f>
        <v>470.0239808</v>
      </c>
      <c r="K41" s="85"/>
      <c r="L41" s="85"/>
      <c r="M41" s="85"/>
      <c r="N41" s="85"/>
      <c r="O41" s="316"/>
      <c r="P41" s="317"/>
      <c r="Q41" s="113"/>
      <c r="R41" s="20"/>
      <c r="S41" s="20"/>
      <c r="T41" s="20"/>
      <c r="U41" s="16"/>
      <c r="V41" s="16"/>
      <c r="W41" s="16"/>
    </row>
    <row r="42" ht="15.75" customHeight="1">
      <c r="A42" s="67" t="str">
        <f t="shared" si="10"/>
        <v>Tee (SCH-80)3⁄4</v>
      </c>
      <c r="B42" s="90">
        <v>2.0</v>
      </c>
      <c r="C42" s="127" t="s">
        <v>51</v>
      </c>
      <c r="D42" s="127">
        <v>20.0</v>
      </c>
      <c r="E42" s="112" t="s">
        <v>1186</v>
      </c>
      <c r="F42" s="56">
        <v>29.4</v>
      </c>
      <c r="G42" s="76">
        <f>IFERROR(__xludf.DUMMYFUNCTION("ArrayFormula(IFERROR(VLOOKUP(E42,IMPORTRANGE(""https://docs.google.com/spreadsheets/d/1xZyKy-UzMmtPDLpV5jQdYum1LtbR8XKDuasLSjmBRMI/edit#gid=1241094406"",""COMBINED DATA!E3:L""),{7,8},0)))"),0.059)</f>
        <v>0.059</v>
      </c>
      <c r="H42" s="76">
        <f>IFERROR(__xludf.DUMMYFUNCTION("""COMPUTED_VALUE"""),0.0)</f>
        <v>0</v>
      </c>
      <c r="I42" s="76">
        <f t="shared" si="11"/>
        <v>0.059</v>
      </c>
      <c r="J42" s="84">
        <f t="shared" si="12"/>
        <v>498.3050847</v>
      </c>
      <c r="K42" s="85"/>
      <c r="L42" s="85"/>
      <c r="M42" s="85"/>
      <c r="N42" s="85"/>
      <c r="O42" s="316"/>
      <c r="P42" s="317"/>
      <c r="Q42" s="113"/>
      <c r="R42" s="20"/>
      <c r="S42" s="20"/>
      <c r="T42" s="20"/>
      <c r="U42" s="16"/>
      <c r="V42" s="16"/>
      <c r="W42" s="16"/>
    </row>
    <row r="43" ht="15.75" customHeight="1">
      <c r="A43" s="67" t="str">
        <f t="shared" si="10"/>
        <v>Tee (SCH-80)1</v>
      </c>
      <c r="B43" s="90">
        <v>3.0</v>
      </c>
      <c r="C43" s="127" t="s">
        <v>84</v>
      </c>
      <c r="D43" s="127">
        <v>25.0</v>
      </c>
      <c r="E43" s="112" t="s">
        <v>1188</v>
      </c>
      <c r="F43" s="56">
        <v>45.8</v>
      </c>
      <c r="G43" s="76">
        <f>IFERROR(__xludf.DUMMYFUNCTION("ArrayFormula(IFERROR(VLOOKUP(E43,IMPORTRANGE(""https://docs.google.com/spreadsheets/d/1xZyKy-UzMmtPDLpV5jQdYum1LtbR8XKDuasLSjmBRMI/edit#gid=1241094406"",""COMBINED DATA!E3:L""),{7,8},0)))"),0.094)</f>
        <v>0.094</v>
      </c>
      <c r="H43" s="76">
        <f>IFERROR(__xludf.DUMMYFUNCTION("""COMPUTED_VALUE"""),0.0)</f>
        <v>0</v>
      </c>
      <c r="I43" s="76">
        <f t="shared" si="11"/>
        <v>0.094</v>
      </c>
      <c r="J43" s="84">
        <f t="shared" si="12"/>
        <v>487.2340426</v>
      </c>
      <c r="K43" s="85"/>
      <c r="L43" s="85"/>
      <c r="M43" s="85"/>
      <c r="N43" s="85"/>
      <c r="O43" s="316"/>
      <c r="P43" s="317"/>
      <c r="Q43" s="113"/>
      <c r="R43" s="20"/>
      <c r="S43" s="20"/>
      <c r="T43" s="20"/>
      <c r="U43" s="16"/>
      <c r="V43" s="16"/>
      <c r="W43" s="16"/>
    </row>
    <row r="44" ht="15.75" customHeight="1">
      <c r="A44" s="67" t="str">
        <f t="shared" si="10"/>
        <v>Tee (SCH-80)1 1⁄4</v>
      </c>
      <c r="B44" s="90">
        <v>4.0</v>
      </c>
      <c r="C44" s="127" t="s">
        <v>55</v>
      </c>
      <c r="D44" s="127">
        <v>32.0</v>
      </c>
      <c r="E44" s="112" t="s">
        <v>1190</v>
      </c>
      <c r="F44" s="56">
        <v>69.9</v>
      </c>
      <c r="G44" s="76">
        <f>IFERROR(__xludf.DUMMYFUNCTION("ArrayFormula(IFERROR(VLOOKUP(E44,IMPORTRANGE(""https://docs.google.com/spreadsheets/d/1xZyKy-UzMmtPDLpV5jQdYum1LtbR8XKDuasLSjmBRMI/edit#gid=1241094406"",""COMBINED DATA!E3:L""),{7,8},0)))"),0.151)</f>
        <v>0.151</v>
      </c>
      <c r="H44" s="76">
        <f>IFERROR(__xludf.DUMMYFUNCTION("""COMPUTED_VALUE"""),0.0)</f>
        <v>0</v>
      </c>
      <c r="I44" s="76">
        <f t="shared" si="11"/>
        <v>0.151</v>
      </c>
      <c r="J44" s="84">
        <f t="shared" si="12"/>
        <v>462.9139073</v>
      </c>
      <c r="K44" s="85"/>
      <c r="L44" s="85"/>
      <c r="M44" s="85"/>
      <c r="N44" s="85"/>
      <c r="O44" s="316"/>
      <c r="P44" s="317"/>
      <c r="Q44" s="113"/>
      <c r="R44" s="20"/>
      <c r="S44" s="20"/>
      <c r="T44" s="20"/>
      <c r="U44" s="16"/>
      <c r="V44" s="16"/>
      <c r="W44" s="16"/>
    </row>
    <row r="45" ht="15.75" customHeight="1">
      <c r="A45" s="67" t="str">
        <f t="shared" si="10"/>
        <v>Tee (SCH-80)1 1⁄2</v>
      </c>
      <c r="B45" s="90">
        <v>5.0</v>
      </c>
      <c r="C45" s="127" t="s">
        <v>56</v>
      </c>
      <c r="D45" s="127">
        <v>40.0</v>
      </c>
      <c r="E45" s="112" t="s">
        <v>1191</v>
      </c>
      <c r="F45" s="56">
        <v>91.8</v>
      </c>
      <c r="G45" s="76">
        <f>IFERROR(__xludf.DUMMYFUNCTION("ArrayFormula(IFERROR(VLOOKUP(E45,IMPORTRANGE(""https://docs.google.com/spreadsheets/d/1xZyKy-UzMmtPDLpV5jQdYum1LtbR8XKDuasLSjmBRMI/edit#gid=1241094406"",""COMBINED DATA!E3:L""),{7,8},0)))"),0.198)</f>
        <v>0.198</v>
      </c>
      <c r="H45" s="76">
        <f>IFERROR(__xludf.DUMMYFUNCTION("""COMPUTED_VALUE"""),0.0)</f>
        <v>0</v>
      </c>
      <c r="I45" s="76">
        <f t="shared" si="11"/>
        <v>0.198</v>
      </c>
      <c r="J45" s="84">
        <f t="shared" si="12"/>
        <v>463.6363636</v>
      </c>
      <c r="K45" s="85"/>
      <c r="L45" s="85"/>
      <c r="M45" s="85"/>
      <c r="N45" s="85"/>
      <c r="O45" s="316"/>
      <c r="P45" s="317"/>
      <c r="Q45" s="113"/>
      <c r="R45" s="20"/>
      <c r="S45" s="20"/>
      <c r="T45" s="20"/>
      <c r="U45" s="16"/>
      <c r="V45" s="16"/>
      <c r="W45" s="16"/>
    </row>
    <row r="46" ht="15.75" customHeight="1">
      <c r="A46" s="67" t="str">
        <f t="shared" si="10"/>
        <v>Tee (SCH-80)2</v>
      </c>
      <c r="B46" s="90">
        <v>6.0</v>
      </c>
      <c r="C46" s="127" t="s">
        <v>107</v>
      </c>
      <c r="D46" s="127">
        <v>50.0</v>
      </c>
      <c r="E46" s="112" t="s">
        <v>1192</v>
      </c>
      <c r="F46" s="56">
        <v>141.6</v>
      </c>
      <c r="G46" s="76">
        <f>IFERROR(__xludf.DUMMYFUNCTION("ArrayFormula(IFERROR(VLOOKUP(E46,IMPORTRANGE(""https://docs.google.com/spreadsheets/d/1xZyKy-UzMmtPDLpV5jQdYum1LtbR8XKDuasLSjmBRMI/edit#gid=1241094406"",""COMBINED DATA!E3:L""),{7,8},0)))"),0.2948)</f>
        <v>0.2948</v>
      </c>
      <c r="H46" s="76">
        <f>IFERROR(__xludf.DUMMYFUNCTION("""COMPUTED_VALUE"""),0.0)</f>
        <v>0</v>
      </c>
      <c r="I46" s="76">
        <f t="shared" si="11"/>
        <v>0.2948</v>
      </c>
      <c r="J46" s="84">
        <f t="shared" si="12"/>
        <v>480.3256445</v>
      </c>
      <c r="K46" s="85"/>
      <c r="L46" s="85"/>
      <c r="M46" s="85"/>
      <c r="N46" s="85"/>
      <c r="O46" s="316"/>
      <c r="P46" s="317"/>
      <c r="Q46" s="113"/>
      <c r="R46" s="20"/>
      <c r="S46" s="20"/>
      <c r="T46" s="20"/>
      <c r="U46" s="16"/>
      <c r="V46" s="16"/>
      <c r="W46" s="16"/>
    </row>
    <row r="47">
      <c r="A47" s="34"/>
      <c r="B47" s="237" t="s">
        <v>11</v>
      </c>
      <c r="C47" s="45"/>
      <c r="D47" s="45"/>
      <c r="E47" s="46"/>
      <c r="F47" s="103">
        <f>SUM(F41:F46)</f>
        <v>398.1</v>
      </c>
      <c r="G47" s="250"/>
      <c r="H47" s="243"/>
      <c r="I47" s="243"/>
      <c r="J47" s="243"/>
      <c r="K47" s="85"/>
      <c r="L47" s="85"/>
      <c r="M47" s="85"/>
      <c r="N47" s="85"/>
      <c r="O47" s="29"/>
      <c r="P47" s="307"/>
      <c r="Q47" s="85"/>
      <c r="R47" s="15"/>
      <c r="S47" s="15"/>
      <c r="T47" s="15"/>
      <c r="U47" s="243"/>
      <c r="V47" s="243"/>
      <c r="W47" s="243"/>
    </row>
    <row r="48" ht="5.25" customHeight="1">
      <c r="A48" s="34"/>
      <c r="B48" s="15"/>
      <c r="C48" s="15"/>
      <c r="D48" s="15"/>
      <c r="E48" s="17"/>
      <c r="F48" s="15"/>
      <c r="G48" s="250"/>
      <c r="H48" s="243"/>
      <c r="I48" s="243"/>
      <c r="J48" s="243"/>
      <c r="K48" s="85"/>
      <c r="L48" s="85"/>
      <c r="M48" s="85"/>
      <c r="N48" s="85"/>
      <c r="O48" s="29"/>
      <c r="P48" s="307"/>
      <c r="Q48" s="85"/>
      <c r="R48" s="15"/>
      <c r="S48" s="15"/>
      <c r="T48" s="15"/>
      <c r="U48" s="243"/>
      <c r="V48" s="243"/>
      <c r="W48" s="243"/>
    </row>
    <row r="49" ht="22.5" customHeight="1">
      <c r="A49" s="34"/>
      <c r="B49" s="62" t="s">
        <v>187</v>
      </c>
      <c r="C49" s="45"/>
      <c r="D49" s="45"/>
      <c r="E49" s="45"/>
      <c r="F49" s="46"/>
      <c r="G49" s="250"/>
      <c r="H49" s="243"/>
      <c r="I49" s="243"/>
      <c r="J49" s="243"/>
      <c r="K49" s="85"/>
      <c r="L49" s="85"/>
      <c r="M49" s="85"/>
      <c r="N49" s="85"/>
      <c r="O49" s="29"/>
      <c r="P49" s="307"/>
      <c r="Q49" s="85"/>
      <c r="R49" s="15"/>
      <c r="S49" s="15"/>
      <c r="T49" s="15"/>
      <c r="U49" s="243"/>
      <c r="V49" s="243"/>
      <c r="W49" s="243"/>
    </row>
    <row r="50" ht="15.75" customHeight="1">
      <c r="A50" s="67" t="str">
        <f t="shared" ref="A50:A52" si="13">$B$49&amp;C50</f>
        <v>Tee (SCH-80)2 1⁄2</v>
      </c>
      <c r="B50" s="68">
        <v>1.0</v>
      </c>
      <c r="C50" s="110" t="s">
        <v>69</v>
      </c>
      <c r="D50" s="110">
        <v>65.0</v>
      </c>
      <c r="E50" s="111" t="s">
        <v>1196</v>
      </c>
      <c r="F50" s="56">
        <v>338.0</v>
      </c>
      <c r="G50" s="76">
        <f>IFERROR(__xludf.DUMMYFUNCTION("ArrayFormula(IFERROR(VLOOKUP(E50,IMPORTRANGE(""https://docs.google.com/spreadsheets/d/1xZyKy-UzMmtPDLpV5jQdYum1LtbR8XKDuasLSjmBRMI/edit#gid=1241094406"",""COMBINED DATA!E3:L""),{7,8},0)))"),0.6472)</f>
        <v>0.6472</v>
      </c>
      <c r="H50" s="76">
        <f>IFERROR(__xludf.DUMMYFUNCTION("""COMPUTED_VALUE"""),0.0)</f>
        <v>0</v>
      </c>
      <c r="I50" s="76">
        <f t="shared" ref="I50:I52" si="14">G50+H50</f>
        <v>0.6472</v>
      </c>
      <c r="J50" s="84">
        <f t="shared" ref="J50:J52" si="15">IFERROR(F50/I50,"")</f>
        <v>522.249691</v>
      </c>
      <c r="K50" s="85"/>
      <c r="L50" s="85"/>
      <c r="M50" s="85"/>
      <c r="N50" s="85"/>
      <c r="O50" s="316"/>
      <c r="P50" s="75"/>
      <c r="Q50" s="113"/>
      <c r="R50" s="20"/>
      <c r="S50" s="20"/>
      <c r="T50" s="20"/>
      <c r="U50" s="16"/>
      <c r="V50" s="16"/>
      <c r="W50" s="16"/>
    </row>
    <row r="51" ht="15.75" customHeight="1">
      <c r="A51" s="67" t="str">
        <f t="shared" si="13"/>
        <v>Tee (SCH-80)3</v>
      </c>
      <c r="B51" s="90">
        <v>2.0</v>
      </c>
      <c r="C51" s="127">
        <v>3.0</v>
      </c>
      <c r="D51" s="127">
        <v>80.0</v>
      </c>
      <c r="E51" s="112" t="s">
        <v>1197</v>
      </c>
      <c r="F51" s="56">
        <v>548.0</v>
      </c>
      <c r="G51" s="76">
        <f>IFERROR(__xludf.DUMMYFUNCTION("ArrayFormula(IFERROR(VLOOKUP(E51,IMPORTRANGE(""https://docs.google.com/spreadsheets/d/1xZyKy-UzMmtPDLpV5jQdYum1LtbR8XKDuasLSjmBRMI/edit#gid=1241094406"",""COMBINED DATA!E3:L""),{7,8},0)))"),1.003)</f>
        <v>1.003</v>
      </c>
      <c r="H51" s="76">
        <f>IFERROR(__xludf.DUMMYFUNCTION("""COMPUTED_VALUE"""),0.0)</f>
        <v>0</v>
      </c>
      <c r="I51" s="76">
        <f t="shared" si="14"/>
        <v>1.003</v>
      </c>
      <c r="J51" s="84">
        <f t="shared" si="15"/>
        <v>546.3609172</v>
      </c>
      <c r="K51" s="85"/>
      <c r="L51" s="85"/>
      <c r="M51" s="85"/>
      <c r="N51" s="85"/>
      <c r="O51" s="316"/>
      <c r="P51" s="75"/>
      <c r="Q51" s="113"/>
      <c r="R51" s="20"/>
      <c r="S51" s="20"/>
      <c r="T51" s="20"/>
      <c r="U51" s="16"/>
      <c r="V51" s="16"/>
      <c r="W51" s="16"/>
    </row>
    <row r="52" ht="15.75" customHeight="1">
      <c r="A52" s="67" t="str">
        <f t="shared" si="13"/>
        <v>Tee (SCH-80)4</v>
      </c>
      <c r="B52" s="90">
        <v>3.0</v>
      </c>
      <c r="C52" s="127">
        <v>4.0</v>
      </c>
      <c r="D52" s="127">
        <v>100.0</v>
      </c>
      <c r="E52" s="112" t="s">
        <v>1198</v>
      </c>
      <c r="F52" s="56">
        <v>888.0</v>
      </c>
      <c r="G52" s="76">
        <f>IFERROR(__xludf.DUMMYFUNCTION("ArrayFormula(IFERROR(VLOOKUP(E52,IMPORTRANGE(""https://docs.google.com/spreadsheets/d/1xZyKy-UzMmtPDLpV5jQdYum1LtbR8XKDuasLSjmBRMI/edit#gid=1241094406"",""COMBINED DATA!E3:L""),{7,8},0)))"),1.605)</f>
        <v>1.605</v>
      </c>
      <c r="H52" s="76">
        <f>IFERROR(__xludf.DUMMYFUNCTION("""COMPUTED_VALUE"""),0.0)</f>
        <v>0</v>
      </c>
      <c r="I52" s="76">
        <f t="shared" si="14"/>
        <v>1.605</v>
      </c>
      <c r="J52" s="84">
        <f t="shared" si="15"/>
        <v>553.271028</v>
      </c>
      <c r="K52" s="85"/>
      <c r="L52" s="85"/>
      <c r="M52" s="85"/>
      <c r="N52" s="85"/>
      <c r="O52" s="316"/>
      <c r="P52" s="75"/>
      <c r="Q52" s="113"/>
      <c r="R52" s="20"/>
      <c r="S52" s="20"/>
      <c r="T52" s="20"/>
      <c r="U52" s="16"/>
      <c r="V52" s="16"/>
      <c r="W52" s="16"/>
    </row>
    <row r="53">
      <c r="A53" s="34"/>
      <c r="B53" s="237" t="s">
        <v>11</v>
      </c>
      <c r="C53" s="45"/>
      <c r="D53" s="45"/>
      <c r="E53" s="46"/>
      <c r="F53" s="103">
        <f>sum(F50:F52)</f>
        <v>1774</v>
      </c>
      <c r="G53" s="250"/>
      <c r="H53" s="243"/>
      <c r="I53" s="243"/>
      <c r="J53" s="243"/>
      <c r="K53" s="85"/>
      <c r="L53" s="85"/>
      <c r="M53" s="85"/>
      <c r="N53" s="85"/>
      <c r="O53" s="29"/>
      <c r="P53" s="307"/>
      <c r="Q53" s="113"/>
      <c r="R53" s="15"/>
      <c r="S53" s="15"/>
      <c r="T53" s="15"/>
      <c r="U53" s="243"/>
      <c r="V53" s="243"/>
      <c r="W53" s="243"/>
    </row>
    <row r="54" ht="6.0" customHeight="1">
      <c r="A54" s="34"/>
      <c r="B54" s="15"/>
      <c r="C54" s="15"/>
      <c r="D54" s="15"/>
      <c r="E54" s="17"/>
      <c r="F54" s="15"/>
      <c r="G54" s="250"/>
      <c r="H54" s="243"/>
      <c r="I54" s="243"/>
      <c r="J54" s="243"/>
      <c r="K54" s="85"/>
      <c r="L54" s="85"/>
      <c r="M54" s="85"/>
      <c r="N54" s="85"/>
      <c r="O54" s="29"/>
      <c r="P54" s="307"/>
      <c r="Q54" s="85"/>
      <c r="R54" s="15"/>
      <c r="S54" s="15"/>
      <c r="T54" s="15"/>
      <c r="U54" s="243"/>
      <c r="V54" s="243"/>
      <c r="W54" s="243"/>
    </row>
    <row r="55" ht="22.5" customHeight="1">
      <c r="A55" s="34"/>
      <c r="B55" s="62" t="s">
        <v>198</v>
      </c>
      <c r="C55" s="45"/>
      <c r="D55" s="45"/>
      <c r="E55" s="45"/>
      <c r="F55" s="46"/>
      <c r="G55" s="250"/>
      <c r="H55" s="243"/>
      <c r="I55" s="243"/>
      <c r="J55" s="243"/>
      <c r="K55" s="85"/>
      <c r="L55" s="85"/>
      <c r="M55" s="85"/>
      <c r="N55" s="85"/>
      <c r="O55" s="29"/>
      <c r="P55" s="307"/>
      <c r="Q55" s="85"/>
      <c r="R55" s="15"/>
      <c r="S55" s="15"/>
      <c r="T55" s="15"/>
      <c r="U55" s="243"/>
      <c r="V55" s="243"/>
      <c r="W55" s="243"/>
    </row>
    <row r="56" ht="15.75" customHeight="1">
      <c r="A56" s="67" t="str">
        <f>$B$55&amp;C56</f>
        <v>Tee (SCH-40)6</v>
      </c>
      <c r="B56" s="68">
        <v>1.0</v>
      </c>
      <c r="C56" s="110">
        <v>6.0</v>
      </c>
      <c r="D56" s="110">
        <v>150.0</v>
      </c>
      <c r="E56" s="111" t="s">
        <v>1200</v>
      </c>
      <c r="F56" s="56">
        <v>1248.0</v>
      </c>
      <c r="G56" s="76">
        <f>IFERROR(__xludf.DUMMYFUNCTION("ArrayFormula(IFERROR(VLOOKUP(E56,IMPORTRANGE(""https://docs.google.com/spreadsheets/d/1xZyKy-UzMmtPDLpV5jQdYum1LtbR8XKDuasLSjmBRMI/edit#gid=1241094406"",""COMBINED DATA!E3:L""),{7,8},0)))"),2.384)</f>
        <v>2.384</v>
      </c>
      <c r="H56" s="76">
        <f>IFERROR(__xludf.DUMMYFUNCTION("""COMPUTED_VALUE"""),0.0)</f>
        <v>0</v>
      </c>
      <c r="I56" s="76">
        <f>G56+H56</f>
        <v>2.384</v>
      </c>
      <c r="J56" s="84">
        <f>IFERROR(F56/I56,"")</f>
        <v>523.4899329</v>
      </c>
      <c r="K56" s="85"/>
      <c r="L56" s="85"/>
      <c r="M56" s="85"/>
      <c r="N56" s="85"/>
      <c r="O56" s="316"/>
      <c r="P56" s="75"/>
      <c r="Q56" s="113"/>
      <c r="R56" s="20"/>
      <c r="S56" s="20"/>
      <c r="T56" s="20"/>
      <c r="U56" s="16"/>
      <c r="V56" s="16"/>
      <c r="W56" s="16"/>
    </row>
    <row r="57" ht="6.0" customHeight="1">
      <c r="A57" s="34"/>
      <c r="B57" s="15"/>
      <c r="C57" s="15"/>
      <c r="D57" s="15"/>
      <c r="E57" s="17"/>
      <c r="F57" s="15"/>
      <c r="G57" s="250"/>
      <c r="H57" s="243"/>
      <c r="I57" s="243"/>
      <c r="J57" s="243"/>
      <c r="K57" s="85"/>
      <c r="L57" s="85"/>
      <c r="M57" s="85"/>
      <c r="N57" s="85"/>
      <c r="O57" s="29"/>
      <c r="P57" s="307"/>
      <c r="Q57" s="85"/>
      <c r="R57" s="15"/>
      <c r="S57" s="15"/>
      <c r="T57" s="15"/>
      <c r="U57" s="243"/>
      <c r="V57" s="243"/>
      <c r="W57" s="243"/>
    </row>
    <row r="58" ht="22.5" customHeight="1">
      <c r="A58" s="34"/>
      <c r="B58" s="62" t="s">
        <v>1203</v>
      </c>
      <c r="C58" s="45"/>
      <c r="D58" s="45"/>
      <c r="E58" s="45"/>
      <c r="F58" s="46"/>
      <c r="G58" s="250"/>
      <c r="H58" s="243"/>
      <c r="I58" s="243"/>
      <c r="J58" s="243"/>
      <c r="K58" s="85"/>
      <c r="L58" s="85"/>
      <c r="M58" s="85"/>
      <c r="N58" s="85"/>
      <c r="O58" s="29"/>
      <c r="P58" s="307"/>
      <c r="Q58" s="85"/>
      <c r="R58" s="15"/>
      <c r="S58" s="15"/>
      <c r="T58" s="15"/>
      <c r="U58" s="243"/>
      <c r="V58" s="243"/>
      <c r="W58" s="243"/>
    </row>
    <row r="59" ht="15.75" customHeight="1">
      <c r="A59" s="67" t="str">
        <f t="shared" ref="A59:A73" si="16">$B$58&amp;C59</f>
        <v>Reducer Tee (SCH-80)3⁄4 x 3⁄4 x 1⁄2</v>
      </c>
      <c r="B59" s="68">
        <v>1.0</v>
      </c>
      <c r="C59" s="321" t="s">
        <v>204</v>
      </c>
      <c r="D59" s="321" t="s">
        <v>205</v>
      </c>
      <c r="E59" s="111" t="s">
        <v>1205</v>
      </c>
      <c r="F59" s="56">
        <v>28.8</v>
      </c>
      <c r="G59" s="76">
        <f>IFERROR(__xludf.DUMMYFUNCTION("ArrayFormula(IFERROR(VLOOKUP(E59,IMPORTRANGE(""https://docs.google.com/spreadsheets/d/1xZyKy-UzMmtPDLpV5jQdYum1LtbR8XKDuasLSjmBRMI/edit#gid=1241094406"",""COMBINED DATA!E3:L""),{7,8},0)))"),0.0545)</f>
        <v>0.0545</v>
      </c>
      <c r="H59" s="76">
        <f>IFERROR(__xludf.DUMMYFUNCTION("""COMPUTED_VALUE"""),0.0)</f>
        <v>0</v>
      </c>
      <c r="I59" s="76">
        <f t="shared" ref="I59:I73" si="17">G59+H59</f>
        <v>0.0545</v>
      </c>
      <c r="J59" s="84">
        <f t="shared" ref="J59:J73" si="18">IFERROR(F59/I59,"")</f>
        <v>528.440367</v>
      </c>
      <c r="K59" s="85"/>
      <c r="L59" s="85"/>
      <c r="M59" s="85"/>
      <c r="N59" s="85"/>
      <c r="O59" s="316"/>
      <c r="P59" s="75"/>
      <c r="Q59" s="113"/>
      <c r="R59" s="20"/>
      <c r="S59" s="20"/>
      <c r="T59" s="20"/>
      <c r="U59" s="16"/>
      <c r="V59" s="16"/>
      <c r="W59" s="16"/>
    </row>
    <row r="60" ht="15.75" customHeight="1">
      <c r="A60" s="67" t="str">
        <f t="shared" si="16"/>
        <v>Reducer Tee (SCH-80)1 x 1 x 1⁄2</v>
      </c>
      <c r="B60" s="90">
        <v>2.0</v>
      </c>
      <c r="C60" s="152" t="s">
        <v>439</v>
      </c>
      <c r="D60" s="152" t="s">
        <v>440</v>
      </c>
      <c r="E60" s="112" t="s">
        <v>1207</v>
      </c>
      <c r="F60" s="56">
        <v>43.8</v>
      </c>
      <c r="G60" s="76">
        <f>IFERROR(__xludf.DUMMYFUNCTION("ArrayFormula(IFERROR(VLOOKUP(E60,IMPORTRANGE(""https://docs.google.com/spreadsheets/d/1xZyKy-UzMmtPDLpV5jQdYum1LtbR8XKDuasLSjmBRMI/edit#gid=1241094406"",""COMBINED DATA!E3:L""),{7,8},0)))"),0.08525)</f>
        <v>0.08525</v>
      </c>
      <c r="H60" s="76">
        <f>IFERROR(__xludf.DUMMYFUNCTION("""COMPUTED_VALUE"""),0.0)</f>
        <v>0</v>
      </c>
      <c r="I60" s="76">
        <f t="shared" si="17"/>
        <v>0.08525</v>
      </c>
      <c r="J60" s="84">
        <f t="shared" si="18"/>
        <v>513.7829912</v>
      </c>
      <c r="K60" s="85"/>
      <c r="L60" s="85"/>
      <c r="M60" s="85"/>
      <c r="N60" s="85"/>
      <c r="O60" s="316"/>
      <c r="P60" s="75"/>
      <c r="Q60" s="113"/>
      <c r="R60" s="20"/>
      <c r="S60" s="20"/>
      <c r="T60" s="20"/>
      <c r="U60" s="16"/>
      <c r="V60" s="16"/>
      <c r="W60" s="16"/>
    </row>
    <row r="61" ht="15.75" customHeight="1">
      <c r="A61" s="67" t="str">
        <f t="shared" si="16"/>
        <v>Reducer Tee (SCH-80)1 1⁄4 x 1 1⁄4 x 1⁄2</v>
      </c>
      <c r="B61" s="90">
        <v>3.0</v>
      </c>
      <c r="C61" s="152" t="s">
        <v>458</v>
      </c>
      <c r="D61" s="152" t="s">
        <v>459</v>
      </c>
      <c r="E61" s="112" t="s">
        <v>1209</v>
      </c>
      <c r="F61" s="56">
        <v>74.4</v>
      </c>
      <c r="G61" s="76">
        <f>IFERROR(__xludf.DUMMYFUNCTION("ArrayFormula(IFERROR(VLOOKUP(E61,IMPORTRANGE(""https://docs.google.com/spreadsheets/d/1xZyKy-UzMmtPDLpV5jQdYum1LtbR8XKDuasLSjmBRMI/edit#gid=1241094406"",""COMBINED DATA!E3:L""),{7,8},0)))"),0.12885)</f>
        <v>0.12885</v>
      </c>
      <c r="H61" s="76">
        <f>IFERROR(__xludf.DUMMYFUNCTION("""COMPUTED_VALUE"""),0.0)</f>
        <v>0</v>
      </c>
      <c r="I61" s="76">
        <f t="shared" si="17"/>
        <v>0.12885</v>
      </c>
      <c r="J61" s="84">
        <f t="shared" si="18"/>
        <v>577.4155995</v>
      </c>
      <c r="K61" s="85"/>
      <c r="L61" s="85"/>
      <c r="M61" s="85"/>
      <c r="N61" s="85"/>
      <c r="O61" s="316"/>
      <c r="P61" s="75"/>
      <c r="Q61" s="113"/>
      <c r="R61" s="20"/>
      <c r="S61" s="20"/>
      <c r="T61" s="20"/>
      <c r="U61" s="16"/>
      <c r="V61" s="16"/>
      <c r="W61" s="16"/>
    </row>
    <row r="62" ht="15.75" customHeight="1">
      <c r="A62" s="67" t="str">
        <f t="shared" si="16"/>
        <v>Reducer Tee (SCH-80)1 1⁄4 x 1 1⁄4 x 3⁄4</v>
      </c>
      <c r="B62" s="90">
        <v>4.0</v>
      </c>
      <c r="C62" s="152" t="s">
        <v>213</v>
      </c>
      <c r="D62" s="152" t="s">
        <v>214</v>
      </c>
      <c r="E62" s="112" t="s">
        <v>1210</v>
      </c>
      <c r="F62" s="56">
        <v>74.4</v>
      </c>
      <c r="G62" s="76">
        <f>IFERROR(__xludf.DUMMYFUNCTION("ArrayFormula(IFERROR(VLOOKUP(E62,IMPORTRANGE(""https://docs.google.com/spreadsheets/d/1xZyKy-UzMmtPDLpV5jQdYum1LtbR8XKDuasLSjmBRMI/edit#gid=1241094406"",""COMBINED DATA!E3:L""),{7,8},0)))"),0.1308)</f>
        <v>0.1308</v>
      </c>
      <c r="H62" s="76">
        <f>IFERROR(__xludf.DUMMYFUNCTION("""COMPUTED_VALUE"""),0.0)</f>
        <v>0</v>
      </c>
      <c r="I62" s="76">
        <f t="shared" si="17"/>
        <v>0.1308</v>
      </c>
      <c r="J62" s="84">
        <f t="shared" si="18"/>
        <v>568.8073394</v>
      </c>
      <c r="K62" s="85"/>
      <c r="L62" s="85"/>
      <c r="M62" s="85"/>
      <c r="N62" s="85"/>
      <c r="O62" s="316"/>
      <c r="P62" s="75"/>
      <c r="Q62" s="113"/>
      <c r="R62" s="20"/>
      <c r="S62" s="20"/>
      <c r="T62" s="20"/>
      <c r="U62" s="16"/>
      <c r="V62" s="16"/>
      <c r="W62" s="16"/>
    </row>
    <row r="63" ht="15.75" customHeight="1">
      <c r="A63" s="67" t="str">
        <f t="shared" si="16"/>
        <v>Reducer Tee (SCH-80)1 1⁄4 x 1 1⁄4 x 1</v>
      </c>
      <c r="B63" s="90">
        <v>5.0</v>
      </c>
      <c r="C63" s="152" t="s">
        <v>216</v>
      </c>
      <c r="D63" s="152" t="s">
        <v>217</v>
      </c>
      <c r="E63" s="112" t="s">
        <v>1212</v>
      </c>
      <c r="F63" s="56">
        <v>78.0</v>
      </c>
      <c r="G63" s="76">
        <f>IFERROR(__xludf.DUMMYFUNCTION("ArrayFormula(IFERROR(VLOOKUP(E63,IMPORTRANGE(""https://docs.google.com/spreadsheets/d/1xZyKy-UzMmtPDLpV5jQdYum1LtbR8XKDuasLSjmBRMI/edit#gid=1241094406"",""COMBINED DATA!E3:L""),{7,8},0)))"),0.13525)</f>
        <v>0.13525</v>
      </c>
      <c r="H63" s="76">
        <f>IFERROR(__xludf.DUMMYFUNCTION("""COMPUTED_VALUE"""),0.0)</f>
        <v>0</v>
      </c>
      <c r="I63" s="76">
        <f t="shared" si="17"/>
        <v>0.13525</v>
      </c>
      <c r="J63" s="84">
        <f t="shared" si="18"/>
        <v>576.7097967</v>
      </c>
      <c r="K63" s="85"/>
      <c r="L63" s="85"/>
      <c r="M63" s="85"/>
      <c r="N63" s="85"/>
      <c r="O63" s="316"/>
      <c r="P63" s="75"/>
      <c r="Q63" s="113"/>
      <c r="R63" s="20"/>
      <c r="S63" s="20"/>
      <c r="T63" s="20"/>
      <c r="U63" s="16"/>
      <c r="V63" s="16"/>
      <c r="W63" s="16"/>
    </row>
    <row r="64" ht="15.75" customHeight="1">
      <c r="A64" s="67" t="str">
        <f t="shared" si="16"/>
        <v>Reducer Tee (SCH-80)1 x 1 x 3⁄4</v>
      </c>
      <c r="B64" s="90">
        <v>6.0</v>
      </c>
      <c r="C64" s="152" t="s">
        <v>209</v>
      </c>
      <c r="D64" s="152" t="s">
        <v>210</v>
      </c>
      <c r="E64" s="112" t="s">
        <v>1214</v>
      </c>
      <c r="F64" s="56">
        <v>46.0</v>
      </c>
      <c r="G64" s="76">
        <f>IFERROR(__xludf.DUMMYFUNCTION("ArrayFormula(IFERROR(VLOOKUP(E64,IMPORTRANGE(""https://docs.google.com/spreadsheets/d/1xZyKy-UzMmtPDLpV5jQdYum1LtbR8XKDuasLSjmBRMI/edit#gid=1241094406"",""COMBINED DATA!E3:L""),{7,8},0)))"),0.09)</f>
        <v>0.09</v>
      </c>
      <c r="H64" s="76">
        <f>IFERROR(__xludf.DUMMYFUNCTION("""COMPUTED_VALUE"""),0.0)</f>
        <v>0</v>
      </c>
      <c r="I64" s="76">
        <f t="shared" si="17"/>
        <v>0.09</v>
      </c>
      <c r="J64" s="84">
        <f t="shared" si="18"/>
        <v>511.1111111</v>
      </c>
      <c r="K64" s="85"/>
      <c r="L64" s="85"/>
      <c r="M64" s="85"/>
      <c r="N64" s="85"/>
      <c r="O64" s="316"/>
      <c r="P64" s="75"/>
      <c r="Q64" s="113"/>
      <c r="R64" s="20"/>
      <c r="S64" s="20"/>
      <c r="T64" s="20"/>
      <c r="U64" s="16"/>
      <c r="V64" s="16"/>
      <c r="W64" s="16"/>
    </row>
    <row r="65" ht="15.75" customHeight="1">
      <c r="A65" s="67" t="str">
        <f t="shared" si="16"/>
        <v>Reducer Tee (SCH-80)1 1⁄2 x 1 1⁄2 x 1⁄2</v>
      </c>
      <c r="B65" s="90">
        <v>7.0</v>
      </c>
      <c r="C65" s="152" t="s">
        <v>1215</v>
      </c>
      <c r="D65" s="152" t="s">
        <v>1216</v>
      </c>
      <c r="E65" s="112" t="s">
        <v>1217</v>
      </c>
      <c r="F65" s="56">
        <v>89.4</v>
      </c>
      <c r="G65" s="76">
        <f>IFERROR(__xludf.DUMMYFUNCTION("ArrayFormula(IFERROR(VLOOKUP(E65,IMPORTRANGE(""https://docs.google.com/spreadsheets/d/1xZyKy-UzMmtPDLpV5jQdYum1LtbR8XKDuasLSjmBRMI/edit#gid=1241094406"",""COMBINED DATA!E3:L""),{7,8},0)))"),0.165)</f>
        <v>0.165</v>
      </c>
      <c r="H65" s="76">
        <f>IFERROR(__xludf.DUMMYFUNCTION("""COMPUTED_VALUE"""),0.0)</f>
        <v>0</v>
      </c>
      <c r="I65" s="76">
        <f t="shared" si="17"/>
        <v>0.165</v>
      </c>
      <c r="J65" s="84">
        <f t="shared" si="18"/>
        <v>541.8181818</v>
      </c>
      <c r="K65" s="85"/>
      <c r="L65" s="85"/>
      <c r="M65" s="85"/>
      <c r="N65" s="85"/>
      <c r="O65" s="316"/>
      <c r="P65" s="75"/>
      <c r="Q65" s="113"/>
      <c r="R65" s="20"/>
      <c r="S65" s="20"/>
      <c r="T65" s="20"/>
      <c r="U65" s="16"/>
      <c r="V65" s="16"/>
      <c r="W65" s="16"/>
    </row>
    <row r="66" ht="15.75" customHeight="1">
      <c r="A66" s="67" t="str">
        <f t="shared" si="16"/>
        <v>Reducer Tee (SCH-80)1 1⁄2 x 1 1⁄2 x 3⁄4</v>
      </c>
      <c r="B66" s="90">
        <v>8.0</v>
      </c>
      <c r="C66" s="152" t="s">
        <v>220</v>
      </c>
      <c r="D66" s="152" t="s">
        <v>221</v>
      </c>
      <c r="E66" s="112" t="s">
        <v>1218</v>
      </c>
      <c r="F66" s="56">
        <v>94.0</v>
      </c>
      <c r="G66" s="76">
        <f>IFERROR(__xludf.DUMMYFUNCTION("ArrayFormula(IFERROR(VLOOKUP(E66,IMPORTRANGE(""https://docs.google.com/spreadsheets/d/1xZyKy-UzMmtPDLpV5jQdYum1LtbR8XKDuasLSjmBRMI/edit#gid=1241094406"",""COMBINED DATA!E3:L""),{7,8},0)))"),0.145)</f>
        <v>0.145</v>
      </c>
      <c r="H66" s="76">
        <f>IFERROR(__xludf.DUMMYFUNCTION("""COMPUTED_VALUE"""),0.0)</f>
        <v>0</v>
      </c>
      <c r="I66" s="76">
        <f t="shared" si="17"/>
        <v>0.145</v>
      </c>
      <c r="J66" s="84">
        <f t="shared" si="18"/>
        <v>648.2758621</v>
      </c>
      <c r="K66" s="85"/>
      <c r="L66" s="85"/>
      <c r="M66" s="85"/>
      <c r="N66" s="85"/>
      <c r="O66" s="316"/>
      <c r="P66" s="75"/>
      <c r="Q66" s="113"/>
      <c r="R66" s="20"/>
      <c r="S66" s="20"/>
      <c r="T66" s="20"/>
      <c r="U66" s="16"/>
      <c r="V66" s="16"/>
      <c r="W66" s="16"/>
    </row>
    <row r="67" ht="15.75" customHeight="1">
      <c r="A67" s="67" t="str">
        <f t="shared" si="16"/>
        <v>Reducer Tee (SCH-80)1 1⁄2 x 1 1⁄2 x 1</v>
      </c>
      <c r="B67" s="90">
        <v>9.0</v>
      </c>
      <c r="C67" s="152" t="s">
        <v>224</v>
      </c>
      <c r="D67" s="152" t="s">
        <v>225</v>
      </c>
      <c r="E67" s="112" t="s">
        <v>1220</v>
      </c>
      <c r="F67" s="56">
        <v>96.0</v>
      </c>
      <c r="G67" s="76">
        <f>IFERROR(__xludf.DUMMYFUNCTION("ArrayFormula(IFERROR(VLOOKUP(E67,IMPORTRANGE(""https://docs.google.com/spreadsheets/d/1xZyKy-UzMmtPDLpV5jQdYum1LtbR8XKDuasLSjmBRMI/edit#gid=1241094406"",""COMBINED DATA!E3:L""),{7,8},0)))"),0.1698)</f>
        <v>0.1698</v>
      </c>
      <c r="H67" s="76">
        <f>IFERROR(__xludf.DUMMYFUNCTION("""COMPUTED_VALUE"""),0.0)</f>
        <v>0</v>
      </c>
      <c r="I67" s="76">
        <f t="shared" si="17"/>
        <v>0.1698</v>
      </c>
      <c r="J67" s="84">
        <f t="shared" si="18"/>
        <v>565.3710247</v>
      </c>
      <c r="K67" s="85"/>
      <c r="L67" s="85"/>
      <c r="M67" s="85"/>
      <c r="N67" s="85"/>
      <c r="O67" s="316"/>
      <c r="P67" s="75"/>
      <c r="Q67" s="113"/>
      <c r="R67" s="20"/>
      <c r="S67" s="20"/>
      <c r="T67" s="20"/>
      <c r="U67" s="16"/>
      <c r="V67" s="16"/>
      <c r="W67" s="16"/>
    </row>
    <row r="68" ht="15.75" customHeight="1">
      <c r="A68" s="67" t="str">
        <f t="shared" si="16"/>
        <v>Reducer Tee (SCH-80)1 1⁄2 x 1 1⁄2 x 1 1⁄4</v>
      </c>
      <c r="B68" s="90">
        <v>10.0</v>
      </c>
      <c r="C68" s="152" t="s">
        <v>227</v>
      </c>
      <c r="D68" s="152" t="s">
        <v>228</v>
      </c>
      <c r="E68" s="112" t="s">
        <v>1221</v>
      </c>
      <c r="F68" s="56">
        <v>118.0</v>
      </c>
      <c r="G68" s="76">
        <f>IFERROR(__xludf.DUMMYFUNCTION("ArrayFormula(IFERROR(VLOOKUP(E68,IMPORTRANGE(""https://docs.google.com/spreadsheets/d/1xZyKy-UzMmtPDLpV5jQdYum1LtbR8XKDuasLSjmBRMI/edit#gid=1241094406"",""COMBINED DATA!E3:L""),{7,8},0)))"),0.2248)</f>
        <v>0.2248</v>
      </c>
      <c r="H68" s="76">
        <f>IFERROR(__xludf.DUMMYFUNCTION("""COMPUTED_VALUE"""),0.0)</f>
        <v>0</v>
      </c>
      <c r="I68" s="76">
        <f t="shared" si="17"/>
        <v>0.2248</v>
      </c>
      <c r="J68" s="84">
        <f t="shared" si="18"/>
        <v>524.911032</v>
      </c>
      <c r="K68" s="85"/>
      <c r="L68" s="85"/>
      <c r="M68" s="85"/>
      <c r="N68" s="85"/>
      <c r="O68" s="316"/>
      <c r="P68" s="75"/>
      <c r="Q68" s="113"/>
      <c r="R68" s="20"/>
      <c r="S68" s="20"/>
      <c r="T68" s="20"/>
      <c r="U68" s="16"/>
      <c r="V68" s="16"/>
      <c r="W68" s="16"/>
    </row>
    <row r="69" ht="15.75" customHeight="1">
      <c r="A69" s="67" t="str">
        <f t="shared" si="16"/>
        <v>Reducer Tee (SCH-80)2 x 2 x 1⁄2</v>
      </c>
      <c r="B69" s="90">
        <v>11.0</v>
      </c>
      <c r="C69" s="152" t="s">
        <v>1223</v>
      </c>
      <c r="D69" s="152" t="s">
        <v>1224</v>
      </c>
      <c r="E69" s="112" t="s">
        <v>1225</v>
      </c>
      <c r="F69" s="56">
        <v>138.0</v>
      </c>
      <c r="G69" s="76">
        <f>IFERROR(__xludf.DUMMYFUNCTION("ArrayFormula(IFERROR(VLOOKUP(E69,IMPORTRANGE(""https://docs.google.com/spreadsheets/d/1xZyKy-UzMmtPDLpV5jQdYum1LtbR8XKDuasLSjmBRMI/edit#gid=1241094406"",""COMBINED DATA!E3:L""),{7,8},0)))"),0.24280000000000002)</f>
        <v>0.2428</v>
      </c>
      <c r="H69" s="76">
        <f>IFERROR(__xludf.DUMMYFUNCTION("""COMPUTED_VALUE"""),0.0)</f>
        <v>0</v>
      </c>
      <c r="I69" s="76">
        <f t="shared" si="17"/>
        <v>0.2428</v>
      </c>
      <c r="J69" s="84">
        <f t="shared" si="18"/>
        <v>568.369028</v>
      </c>
      <c r="K69" s="85"/>
      <c r="L69" s="85"/>
      <c r="M69" s="85"/>
      <c r="N69" s="85"/>
      <c r="O69" s="316"/>
      <c r="P69" s="75"/>
      <c r="Q69" s="113"/>
      <c r="R69" s="20"/>
      <c r="S69" s="20"/>
      <c r="T69" s="20"/>
      <c r="U69" s="16"/>
      <c r="V69" s="16"/>
      <c r="W69" s="16"/>
    </row>
    <row r="70" ht="15.75" customHeight="1">
      <c r="A70" s="67" t="str">
        <f t="shared" si="16"/>
        <v>Reducer Tee (SCH-80)2 x 2 x 3⁄4</v>
      </c>
      <c r="B70" s="90">
        <v>12.0</v>
      </c>
      <c r="C70" s="152" t="s">
        <v>231</v>
      </c>
      <c r="D70" s="152" t="s">
        <v>232</v>
      </c>
      <c r="E70" s="112" t="s">
        <v>1227</v>
      </c>
      <c r="F70" s="56">
        <v>198.0</v>
      </c>
      <c r="G70" s="76">
        <f>IFERROR(__xludf.DUMMYFUNCTION("ArrayFormula(IFERROR(VLOOKUP(E70,IMPORTRANGE(""https://docs.google.com/spreadsheets/d/1xZyKy-UzMmtPDLpV5jQdYum1LtbR8XKDuasLSjmBRMI/edit#gid=1241094406"",""COMBINED DATA!E3:L""),{7,8},0)))"),0.38680000000000003)</f>
        <v>0.3868</v>
      </c>
      <c r="H70" s="76">
        <f>IFERROR(__xludf.DUMMYFUNCTION("""COMPUTED_VALUE"""),0.0)</f>
        <v>0</v>
      </c>
      <c r="I70" s="76">
        <f t="shared" si="17"/>
        <v>0.3868</v>
      </c>
      <c r="J70" s="84">
        <f t="shared" si="18"/>
        <v>511.8924509</v>
      </c>
      <c r="K70" s="85"/>
      <c r="L70" s="85"/>
      <c r="M70" s="85"/>
      <c r="N70" s="85"/>
      <c r="O70" s="316"/>
      <c r="P70" s="75"/>
      <c r="Q70" s="113"/>
      <c r="R70" s="20"/>
      <c r="S70" s="20"/>
      <c r="T70" s="20"/>
      <c r="U70" s="16"/>
      <c r="V70" s="16"/>
      <c r="W70" s="16"/>
    </row>
    <row r="71" ht="15.75" customHeight="1">
      <c r="A71" s="67" t="str">
        <f t="shared" si="16"/>
        <v>Reducer Tee (SCH-80)2 x 2 x 1</v>
      </c>
      <c r="B71" s="90">
        <v>13.0</v>
      </c>
      <c r="C71" s="152" t="s">
        <v>235</v>
      </c>
      <c r="D71" s="152" t="s">
        <v>236</v>
      </c>
      <c r="E71" s="112" t="s">
        <v>1228</v>
      </c>
      <c r="F71" s="56">
        <v>208.0</v>
      </c>
      <c r="G71" s="76">
        <f>IFERROR(__xludf.DUMMYFUNCTION("ArrayFormula(IFERROR(VLOOKUP(E71,IMPORTRANGE(""https://docs.google.com/spreadsheets/d/1xZyKy-UzMmtPDLpV5jQdYum1LtbR8XKDuasLSjmBRMI/edit#gid=1241094406"",""COMBINED DATA!E3:L""),{7,8},0)))"),0.39947000000000005)</f>
        <v>0.39947</v>
      </c>
      <c r="H71" s="76">
        <f>IFERROR(__xludf.DUMMYFUNCTION("""COMPUTED_VALUE"""),0.0)</f>
        <v>0</v>
      </c>
      <c r="I71" s="76">
        <f t="shared" si="17"/>
        <v>0.39947</v>
      </c>
      <c r="J71" s="84">
        <f t="shared" si="18"/>
        <v>520.6899141</v>
      </c>
      <c r="K71" s="85"/>
      <c r="L71" s="85"/>
      <c r="M71" s="85"/>
      <c r="N71" s="85"/>
      <c r="O71" s="316"/>
      <c r="P71" s="75"/>
      <c r="Q71" s="113"/>
      <c r="R71" s="20"/>
      <c r="S71" s="20"/>
      <c r="T71" s="20"/>
      <c r="U71" s="16"/>
      <c r="V71" s="16"/>
      <c r="W71" s="16"/>
    </row>
    <row r="72" ht="15.75" customHeight="1">
      <c r="A72" s="67" t="str">
        <f t="shared" si="16"/>
        <v>Reducer Tee (SCH-80)2 x 2 x 1 1⁄4</v>
      </c>
      <c r="B72" s="90">
        <v>14.0</v>
      </c>
      <c r="C72" s="152" t="s">
        <v>238</v>
      </c>
      <c r="D72" s="152" t="s">
        <v>239</v>
      </c>
      <c r="E72" s="112" t="s">
        <v>1230</v>
      </c>
      <c r="F72" s="56">
        <v>196.0</v>
      </c>
      <c r="G72" s="76">
        <f>IFERROR(__xludf.DUMMYFUNCTION("ArrayFormula(IFERROR(VLOOKUP(E72,IMPORTRANGE(""https://docs.google.com/spreadsheets/d/1xZyKy-UzMmtPDLpV5jQdYum1LtbR8XKDuasLSjmBRMI/edit#gid=1241094406"",""COMBINED DATA!E3:L""),{7,8},0)))"),0.38239999999999996)</f>
        <v>0.3824</v>
      </c>
      <c r="H72" s="76">
        <f>IFERROR(__xludf.DUMMYFUNCTION("""COMPUTED_VALUE"""),0.0)</f>
        <v>0</v>
      </c>
      <c r="I72" s="76">
        <f t="shared" si="17"/>
        <v>0.3824</v>
      </c>
      <c r="J72" s="84">
        <f t="shared" si="18"/>
        <v>512.5523013</v>
      </c>
      <c r="K72" s="85"/>
      <c r="L72" s="85"/>
      <c r="M72" s="85"/>
      <c r="N72" s="85"/>
      <c r="O72" s="316"/>
      <c r="P72" s="75"/>
      <c r="Q72" s="113"/>
      <c r="R72" s="20"/>
      <c r="S72" s="20"/>
      <c r="T72" s="20"/>
      <c r="U72" s="16"/>
      <c r="V72" s="16"/>
      <c r="W72" s="16"/>
    </row>
    <row r="73" ht="15.75" customHeight="1">
      <c r="A73" s="67" t="str">
        <f t="shared" si="16"/>
        <v>Reducer Tee (SCH-80)2 x 1 1⁄2 x 2</v>
      </c>
      <c r="B73" s="90">
        <v>15.0</v>
      </c>
      <c r="C73" s="152" t="s">
        <v>1231</v>
      </c>
      <c r="D73" s="152" t="s">
        <v>243</v>
      </c>
      <c r="E73" s="112" t="s">
        <v>1232</v>
      </c>
      <c r="F73" s="56">
        <v>152.0</v>
      </c>
      <c r="G73" s="76">
        <f>IFERROR(__xludf.DUMMYFUNCTION("ArrayFormula(IFERROR(VLOOKUP(E73,IMPORTRANGE(""https://docs.google.com/spreadsheets/d/1xZyKy-UzMmtPDLpV5jQdYum1LtbR8XKDuasLSjmBRMI/edit#gid=1241094406"",""COMBINED DATA!E3:L""),{7,8},0)))"),0.277)</f>
        <v>0.277</v>
      </c>
      <c r="H73" s="76">
        <f>IFERROR(__xludf.DUMMYFUNCTION("""COMPUTED_VALUE"""),0.0)</f>
        <v>0</v>
      </c>
      <c r="I73" s="76">
        <f t="shared" si="17"/>
        <v>0.277</v>
      </c>
      <c r="J73" s="84">
        <f t="shared" si="18"/>
        <v>548.7364621</v>
      </c>
      <c r="K73" s="85"/>
      <c r="L73" s="85"/>
      <c r="M73" s="85"/>
      <c r="N73" s="85"/>
      <c r="O73" s="316"/>
      <c r="P73" s="75"/>
      <c r="Q73" s="113"/>
      <c r="R73" s="20"/>
      <c r="S73" s="20"/>
      <c r="T73" s="20"/>
      <c r="U73" s="16"/>
      <c r="V73" s="16"/>
      <c r="W73" s="16"/>
    </row>
    <row r="74">
      <c r="A74" s="34"/>
      <c r="B74" s="237" t="s">
        <v>11</v>
      </c>
      <c r="C74" s="45"/>
      <c r="D74" s="45"/>
      <c r="E74" s="46"/>
      <c r="F74" s="103">
        <f>SUM(F59:F73)</f>
        <v>1634.8</v>
      </c>
      <c r="G74" s="250"/>
      <c r="H74" s="243"/>
      <c r="I74" s="243"/>
      <c r="J74" s="243"/>
      <c r="K74" s="85"/>
      <c r="L74" s="85"/>
      <c r="M74" s="85"/>
      <c r="N74" s="85"/>
      <c r="O74" s="29"/>
      <c r="P74" s="307"/>
      <c r="Q74" s="85"/>
      <c r="R74" s="15"/>
      <c r="S74" s="15"/>
      <c r="T74" s="15"/>
      <c r="U74" s="243"/>
      <c r="V74" s="243"/>
      <c r="W74" s="243"/>
    </row>
    <row r="75" ht="6.0" customHeight="1">
      <c r="A75" s="34"/>
      <c r="B75" s="15"/>
      <c r="C75" s="15"/>
      <c r="D75" s="15"/>
      <c r="E75" s="17"/>
      <c r="F75" s="15"/>
      <c r="G75" s="250"/>
      <c r="H75" s="243"/>
      <c r="I75" s="243"/>
      <c r="J75" s="243"/>
      <c r="K75" s="85"/>
      <c r="L75" s="85"/>
      <c r="M75" s="85"/>
      <c r="N75" s="85"/>
      <c r="O75" s="29"/>
      <c r="P75" s="307"/>
      <c r="Q75" s="85"/>
      <c r="R75" s="15"/>
      <c r="S75" s="15"/>
      <c r="T75" s="15"/>
      <c r="U75" s="243"/>
      <c r="V75" s="243"/>
      <c r="W75" s="243"/>
    </row>
    <row r="76" ht="15.75" customHeight="1">
      <c r="A76" s="34"/>
      <c r="B76" s="62" t="s">
        <v>1234</v>
      </c>
      <c r="C76" s="45"/>
      <c r="D76" s="45"/>
      <c r="E76" s="45"/>
      <c r="F76" s="46"/>
      <c r="G76" s="250"/>
      <c r="H76" s="243"/>
      <c r="I76" s="243"/>
      <c r="J76" s="243"/>
      <c r="K76" s="85"/>
      <c r="L76" s="85"/>
      <c r="M76" s="85"/>
      <c r="N76" s="85"/>
      <c r="O76" s="29"/>
      <c r="P76" s="307"/>
      <c r="Q76" s="85"/>
      <c r="R76" s="15"/>
      <c r="S76" s="15"/>
      <c r="T76" s="15"/>
      <c r="U76" s="243"/>
      <c r="V76" s="243"/>
      <c r="W76" s="243"/>
    </row>
    <row r="77" ht="15.75" customHeight="1">
      <c r="A77" s="34"/>
      <c r="B77" s="68">
        <v>1.0</v>
      </c>
      <c r="C77" s="70" t="s">
        <v>43</v>
      </c>
      <c r="D77" s="70">
        <v>15.0</v>
      </c>
      <c r="E77" s="129" t="s">
        <v>1235</v>
      </c>
      <c r="F77" s="56">
        <v>30.2</v>
      </c>
      <c r="G77" s="76">
        <f>IFERROR(__xludf.DUMMYFUNCTION("ArrayFormula(IFERROR(VLOOKUP(E77,IMPORTRANGE(""https://docs.google.com/spreadsheets/d/1xZyKy-UzMmtPDLpV5jQdYum1LtbR8XKDuasLSjmBRMI/edit#gid=1241094406"",""COMBINED DATA!E3:L""),{7,8},0)))"),0.05695)</f>
        <v>0.05695</v>
      </c>
      <c r="H77" s="76">
        <f>IFERROR(__xludf.DUMMYFUNCTION("""COMPUTED_VALUE"""),4.0E-4)</f>
        <v>0.0004</v>
      </c>
      <c r="I77" s="76">
        <f t="shared" ref="I77:I85" si="19">G77+H77</f>
        <v>0.05735</v>
      </c>
      <c r="J77" s="84">
        <f t="shared" ref="J77:J85" si="20">IFERROR(F77/I77,"")</f>
        <v>526.5911072</v>
      </c>
      <c r="K77" s="85"/>
      <c r="L77" s="85"/>
      <c r="M77" s="85"/>
      <c r="N77" s="85"/>
      <c r="O77" s="29"/>
      <c r="P77" s="307"/>
      <c r="Q77" s="85"/>
      <c r="R77" s="15"/>
      <c r="S77" s="15"/>
      <c r="T77" s="15"/>
      <c r="U77" s="243"/>
      <c r="V77" s="243"/>
      <c r="W77" s="243"/>
    </row>
    <row r="78" ht="15.75" customHeight="1">
      <c r="A78" s="34"/>
      <c r="B78" s="90">
        <v>2.0</v>
      </c>
      <c r="C78" s="92" t="s">
        <v>51</v>
      </c>
      <c r="D78" s="92">
        <v>20.0</v>
      </c>
      <c r="E78" s="94" t="s">
        <v>1236</v>
      </c>
      <c r="F78" s="56">
        <v>40.6</v>
      </c>
      <c r="G78" s="76">
        <f>IFERROR(__xludf.DUMMYFUNCTION("ArrayFormula(IFERROR(VLOOKUP(E78,IMPORTRANGE(""https://docs.google.com/spreadsheets/d/1xZyKy-UzMmtPDLpV5jQdYum1LtbR8XKDuasLSjmBRMI/edit#gid=1241094406"",""COMBINED DATA!E3:L""),{7,8},0)))"),0.07684999999999999)</f>
        <v>0.07685</v>
      </c>
      <c r="H78" s="76">
        <f>IFERROR(__xludf.DUMMYFUNCTION("""COMPUTED_VALUE"""),0.0016)</f>
        <v>0.0016</v>
      </c>
      <c r="I78" s="76">
        <f t="shared" si="19"/>
        <v>0.07845</v>
      </c>
      <c r="J78" s="84">
        <f t="shared" si="20"/>
        <v>517.5270873</v>
      </c>
      <c r="K78" s="85"/>
      <c r="L78" s="85"/>
      <c r="M78" s="85"/>
      <c r="N78" s="85"/>
      <c r="O78" s="29"/>
      <c r="P78" s="307"/>
      <c r="Q78" s="85"/>
      <c r="R78" s="15"/>
      <c r="S78" s="15"/>
      <c r="T78" s="15"/>
      <c r="U78" s="243"/>
      <c r="V78" s="243"/>
      <c r="W78" s="243"/>
    </row>
    <row r="79" ht="15.75" customHeight="1">
      <c r="A79" s="34"/>
      <c r="B79" s="90">
        <v>3.0</v>
      </c>
      <c r="C79" s="92">
        <v>1.0</v>
      </c>
      <c r="D79" s="92">
        <v>25.0</v>
      </c>
      <c r="E79" s="94" t="s">
        <v>1237</v>
      </c>
      <c r="F79" s="56">
        <v>56.8</v>
      </c>
      <c r="G79" s="76">
        <f>IFERROR(__xludf.DUMMYFUNCTION("ArrayFormula(IFERROR(VLOOKUP(E79,IMPORTRANGE(""https://docs.google.com/spreadsheets/d/1xZyKy-UzMmtPDLpV5jQdYum1LtbR8XKDuasLSjmBRMI/edit#gid=1241094406"",""COMBINED DATA!E3:L""),{7,8},0)))"),0.10765000000000001)</f>
        <v>0.10765</v>
      </c>
      <c r="H79" s="76">
        <f>IFERROR(__xludf.DUMMYFUNCTION("""COMPUTED_VALUE"""),0.0019)</f>
        <v>0.0019</v>
      </c>
      <c r="I79" s="76">
        <f t="shared" si="19"/>
        <v>0.10955</v>
      </c>
      <c r="J79" s="84">
        <f t="shared" si="20"/>
        <v>518.4847102</v>
      </c>
      <c r="K79" s="85"/>
      <c r="L79" s="85"/>
      <c r="M79" s="85"/>
      <c r="N79" s="85"/>
      <c r="O79" s="29"/>
      <c r="P79" s="307"/>
      <c r="Q79" s="85"/>
      <c r="R79" s="15"/>
      <c r="S79" s="15"/>
      <c r="T79" s="15"/>
      <c r="U79" s="243"/>
      <c r="V79" s="243"/>
      <c r="W79" s="243"/>
    </row>
    <row r="80" ht="15.75" customHeight="1">
      <c r="A80" s="34"/>
      <c r="B80" s="90">
        <v>4.0</v>
      </c>
      <c r="C80" s="92" t="s">
        <v>55</v>
      </c>
      <c r="D80" s="92">
        <v>32.0</v>
      </c>
      <c r="E80" s="94" t="s">
        <v>1238</v>
      </c>
      <c r="F80" s="56">
        <v>87.2</v>
      </c>
      <c r="G80" s="76">
        <f>IFERROR(__xludf.DUMMYFUNCTION("ArrayFormula(IFERROR(VLOOKUP(E80,IMPORTRANGE(""https://docs.google.com/spreadsheets/d/1xZyKy-UzMmtPDLpV5jQdYum1LtbR8XKDuasLSjmBRMI/edit#gid=1241094406"",""COMBINED DATA!E3:L""),{7,8},0)))"),0.164)</f>
        <v>0.164</v>
      </c>
      <c r="H80" s="76">
        <f>IFERROR(__xludf.DUMMYFUNCTION("""COMPUTED_VALUE"""),0.0036)</f>
        <v>0.0036</v>
      </c>
      <c r="I80" s="76">
        <f t="shared" si="19"/>
        <v>0.1676</v>
      </c>
      <c r="J80" s="84">
        <f t="shared" si="20"/>
        <v>520.2863962</v>
      </c>
      <c r="K80" s="85"/>
      <c r="L80" s="85"/>
      <c r="M80" s="85"/>
      <c r="N80" s="85"/>
      <c r="O80" s="29"/>
      <c r="P80" s="307"/>
      <c r="Q80" s="85"/>
      <c r="R80" s="15"/>
      <c r="S80" s="15"/>
      <c r="T80" s="15"/>
      <c r="U80" s="243"/>
      <c r="V80" s="243"/>
      <c r="W80" s="243"/>
    </row>
    <row r="81" ht="15.75" customHeight="1">
      <c r="A81" s="34"/>
      <c r="B81" s="90">
        <v>5.0</v>
      </c>
      <c r="C81" s="92" t="s">
        <v>56</v>
      </c>
      <c r="D81" s="92">
        <v>40.0</v>
      </c>
      <c r="E81" s="94" t="s">
        <v>1239</v>
      </c>
      <c r="F81" s="56">
        <v>150.8</v>
      </c>
      <c r="G81" s="76">
        <f>IFERROR(__xludf.DUMMYFUNCTION("ArrayFormula(IFERROR(VLOOKUP(E81,IMPORTRANGE(""https://docs.google.com/spreadsheets/d/1xZyKy-UzMmtPDLpV5jQdYum1LtbR8XKDuasLSjmBRMI/edit#gid=1241094406"",""COMBINED DATA!E3:L""),{7,8},0)))"),0.2865)</f>
        <v>0.2865</v>
      </c>
      <c r="H81" s="76">
        <f>IFERROR(__xludf.DUMMYFUNCTION("""COMPUTED_VALUE"""),0.0033)</f>
        <v>0.0033</v>
      </c>
      <c r="I81" s="76">
        <f t="shared" si="19"/>
        <v>0.2898</v>
      </c>
      <c r="J81" s="84">
        <f t="shared" si="20"/>
        <v>520.3588682</v>
      </c>
      <c r="K81" s="85"/>
      <c r="L81" s="85"/>
      <c r="M81" s="85"/>
      <c r="N81" s="85"/>
      <c r="O81" s="29"/>
      <c r="P81" s="307"/>
      <c r="Q81" s="85"/>
      <c r="R81" s="15"/>
      <c r="S81" s="15"/>
      <c r="T81" s="15"/>
      <c r="U81" s="243"/>
      <c r="V81" s="243"/>
      <c r="W81" s="243"/>
    </row>
    <row r="82" ht="15.75" customHeight="1">
      <c r="A82" s="34"/>
      <c r="B82" s="90">
        <v>6.0</v>
      </c>
      <c r="C82" s="127">
        <v>2.0</v>
      </c>
      <c r="D82" s="127">
        <v>50.0</v>
      </c>
      <c r="E82" s="112" t="s">
        <v>1241</v>
      </c>
      <c r="F82" s="56">
        <v>261.2</v>
      </c>
      <c r="G82" s="76">
        <f>IFERROR(__xludf.DUMMYFUNCTION("ArrayFormula(IFERROR(VLOOKUP(E82,IMPORTRANGE(""https://docs.google.com/spreadsheets/d/1xZyKy-UzMmtPDLpV5jQdYum1LtbR8XKDuasLSjmBRMI/edit#gid=1241094406"",""COMBINED DATA!E3:L""),{7,8},0)))"),0.5009)</f>
        <v>0.5009</v>
      </c>
      <c r="H82" s="76">
        <f>IFERROR(__xludf.DUMMYFUNCTION("""COMPUTED_VALUE"""),0.0043)</f>
        <v>0.0043</v>
      </c>
      <c r="I82" s="76">
        <f t="shared" si="19"/>
        <v>0.5052</v>
      </c>
      <c r="J82" s="84">
        <f t="shared" si="20"/>
        <v>517.0229612</v>
      </c>
      <c r="K82" s="85"/>
      <c r="L82" s="85"/>
      <c r="M82" s="85"/>
      <c r="N82" s="85"/>
      <c r="O82" s="29"/>
      <c r="P82" s="307"/>
      <c r="Q82" s="85"/>
      <c r="R82" s="15"/>
      <c r="S82" s="15"/>
      <c r="T82" s="15"/>
      <c r="U82" s="243"/>
      <c r="V82" s="243"/>
      <c r="W82" s="243"/>
    </row>
    <row r="83" ht="15.75" customHeight="1">
      <c r="A83" s="34"/>
      <c r="B83" s="90">
        <v>7.0</v>
      </c>
      <c r="C83" s="127" t="s">
        <v>69</v>
      </c>
      <c r="D83" s="127">
        <v>65.0</v>
      </c>
      <c r="E83" s="112" t="s">
        <v>1242</v>
      </c>
      <c r="F83" s="181">
        <v>498.0</v>
      </c>
      <c r="G83" s="76">
        <f>IFERROR(__xludf.DUMMYFUNCTION("ArrayFormula(IFERROR(VLOOKUP(E83,IMPORTRANGE(""https://docs.google.com/spreadsheets/d/1xZyKy-UzMmtPDLpV5jQdYum1LtbR8XKDuasLSjmBRMI/edit#gid=1241094406"",""COMBINED DATA!E3:L""),{7,8},0)))"),0.873)</f>
        <v>0.873</v>
      </c>
      <c r="H83" s="76">
        <f>IFERROR(__xludf.DUMMYFUNCTION("""COMPUTED_VALUE"""),0.006)</f>
        <v>0.006</v>
      </c>
      <c r="I83" s="76">
        <f t="shared" si="19"/>
        <v>0.879</v>
      </c>
      <c r="J83" s="84">
        <f t="shared" si="20"/>
        <v>566.552901</v>
      </c>
      <c r="K83" s="85"/>
      <c r="L83" s="85"/>
      <c r="M83" s="85"/>
      <c r="N83" s="85"/>
      <c r="O83" s="29"/>
      <c r="P83" s="307"/>
      <c r="Q83" s="85"/>
      <c r="R83" s="15"/>
      <c r="S83" s="15"/>
      <c r="T83" s="15"/>
      <c r="U83" s="243"/>
      <c r="V83" s="243"/>
      <c r="W83" s="243"/>
    </row>
    <row r="84" ht="15.75" customHeight="1">
      <c r="A84" s="34"/>
      <c r="B84" s="90">
        <v>8.0</v>
      </c>
      <c r="C84" s="127">
        <v>3.0</v>
      </c>
      <c r="D84" s="127">
        <v>80.0</v>
      </c>
      <c r="E84" s="112" t="s">
        <v>1244</v>
      </c>
      <c r="F84" s="181">
        <v>768.0</v>
      </c>
      <c r="G84" s="76">
        <f>IFERROR(__xludf.DUMMYFUNCTION("ArrayFormula(IFERROR(VLOOKUP(E84,IMPORTRANGE(""https://docs.google.com/spreadsheets/d/1xZyKy-UzMmtPDLpV5jQdYum1LtbR8XKDuasLSjmBRMI/edit#gid=1241094406"",""COMBINED DATA!E3:L""),{7,8},0)))"),1.3399)</f>
        <v>1.3399</v>
      </c>
      <c r="H84" s="76">
        <f>IFERROR(__xludf.DUMMYFUNCTION("""COMPUTED_VALUE"""),0.0068)</f>
        <v>0.0068</v>
      </c>
      <c r="I84" s="76">
        <f t="shared" si="19"/>
        <v>1.3467</v>
      </c>
      <c r="J84" s="84">
        <f t="shared" si="20"/>
        <v>570.2829138</v>
      </c>
      <c r="K84" s="85"/>
      <c r="L84" s="85"/>
      <c r="M84" s="85"/>
      <c r="N84" s="85"/>
      <c r="O84" s="29"/>
      <c r="P84" s="307"/>
      <c r="Q84" s="85"/>
      <c r="R84" s="15"/>
      <c r="S84" s="15"/>
      <c r="T84" s="15"/>
      <c r="U84" s="243"/>
      <c r="V84" s="243"/>
      <c r="W84" s="243"/>
    </row>
    <row r="85" ht="15.75" customHeight="1">
      <c r="A85" s="34"/>
      <c r="B85" s="90">
        <v>9.0</v>
      </c>
      <c r="C85" s="127">
        <v>4.0</v>
      </c>
      <c r="D85" s="127">
        <v>100.0</v>
      </c>
      <c r="E85" s="112" t="s">
        <v>1246</v>
      </c>
      <c r="F85" s="181">
        <v>1340.0</v>
      </c>
      <c r="G85" s="76">
        <f>IFERROR(__xludf.DUMMYFUNCTION("ArrayFormula(IFERROR(VLOOKUP(E85,IMPORTRANGE(""https://docs.google.com/spreadsheets/d/1xZyKy-UzMmtPDLpV5jQdYum1LtbR8XKDuasLSjmBRMI/edit#gid=1241094406"",""COMBINED DATA!E3:L""),{7,8},0)))"),2.271)</f>
        <v>2.271</v>
      </c>
      <c r="H85" s="76">
        <f>IFERROR(__xludf.DUMMYFUNCTION("""COMPUTED_VALUE"""),0.009)</f>
        <v>0.009</v>
      </c>
      <c r="I85" s="76">
        <f t="shared" si="19"/>
        <v>2.28</v>
      </c>
      <c r="J85" s="84">
        <f t="shared" si="20"/>
        <v>587.7192982</v>
      </c>
      <c r="K85" s="85"/>
      <c r="L85" s="85"/>
      <c r="M85" s="85"/>
      <c r="N85" s="85"/>
      <c r="O85" s="29"/>
      <c r="P85" s="307"/>
      <c r="Q85" s="85"/>
      <c r="R85" s="15"/>
      <c r="S85" s="15"/>
      <c r="T85" s="15"/>
      <c r="U85" s="243"/>
      <c r="V85" s="243"/>
      <c r="W85" s="243"/>
    </row>
    <row r="86" ht="15.75" customHeight="1">
      <c r="A86" s="34"/>
      <c r="B86" s="237" t="s">
        <v>11</v>
      </c>
      <c r="C86" s="45"/>
      <c r="D86" s="45"/>
      <c r="E86" s="46"/>
      <c r="F86" s="103">
        <f>sum(F77:F85)</f>
        <v>3232.8</v>
      </c>
      <c r="G86" s="250"/>
      <c r="H86" s="243"/>
      <c r="I86" s="243"/>
      <c r="J86" s="243"/>
      <c r="K86" s="85"/>
      <c r="L86" s="85"/>
      <c r="M86" s="85"/>
      <c r="N86" s="85"/>
      <c r="O86" s="29"/>
      <c r="P86" s="307"/>
      <c r="Q86" s="85"/>
      <c r="R86" s="15"/>
      <c r="S86" s="15"/>
      <c r="T86" s="15"/>
      <c r="U86" s="243"/>
      <c r="V86" s="243"/>
      <c r="W86" s="243"/>
    </row>
    <row r="87" ht="6.0" customHeight="1">
      <c r="A87" s="34"/>
      <c r="B87" s="15"/>
      <c r="C87" s="15"/>
      <c r="D87" s="15"/>
      <c r="E87" s="17"/>
      <c r="F87" s="15"/>
      <c r="G87" s="250"/>
      <c r="H87" s="243"/>
      <c r="I87" s="243"/>
      <c r="J87" s="243"/>
      <c r="K87" s="85"/>
      <c r="L87" s="85"/>
      <c r="M87" s="85"/>
      <c r="N87" s="85"/>
      <c r="O87" s="29"/>
      <c r="P87" s="307"/>
      <c r="Q87" s="85"/>
      <c r="R87" s="15"/>
      <c r="S87" s="15"/>
      <c r="T87" s="15"/>
      <c r="U87" s="243"/>
      <c r="V87" s="243"/>
      <c r="W87" s="243"/>
    </row>
    <row r="88" ht="22.5" customHeight="1">
      <c r="A88" s="34"/>
      <c r="B88" s="62" t="s">
        <v>443</v>
      </c>
      <c r="C88" s="45"/>
      <c r="D88" s="45"/>
      <c r="E88" s="45"/>
      <c r="F88" s="46"/>
      <c r="G88" s="250"/>
      <c r="H88" s="243"/>
      <c r="I88" s="243"/>
      <c r="J88" s="243"/>
      <c r="K88" s="85"/>
      <c r="L88" s="85"/>
      <c r="M88" s="85"/>
      <c r="N88" s="85"/>
      <c r="O88" s="29"/>
      <c r="P88" s="307"/>
      <c r="Q88" s="85"/>
      <c r="R88" s="15"/>
      <c r="S88" s="15"/>
      <c r="T88" s="15"/>
      <c r="U88" s="243"/>
      <c r="V88" s="243"/>
      <c r="W88" s="243"/>
    </row>
    <row r="89" ht="15.75" customHeight="1">
      <c r="A89" s="67" t="str">
        <f t="shared" ref="A89:A103" si="21">$B$88&amp;C89</f>
        <v>Reducer Bushing (SCH-80)3⁄4 x 3⁄4 x 1⁄2</v>
      </c>
      <c r="B89" s="68">
        <v>1.0</v>
      </c>
      <c r="C89" s="321" t="s">
        <v>204</v>
      </c>
      <c r="D89" s="321" t="s">
        <v>205</v>
      </c>
      <c r="E89" s="129" t="s">
        <v>793</v>
      </c>
      <c r="F89" s="56">
        <v>5.9</v>
      </c>
      <c r="G89" s="76">
        <f>IFERROR(__xludf.DUMMYFUNCTION("ArrayFormula(IFERROR(VLOOKUP(E89,IMPORTRANGE(""https://docs.google.com/spreadsheets/d/1xZyKy-UzMmtPDLpV5jQdYum1LtbR8XKDuasLSjmBRMI/edit#gid=1241094406"",""COMBINED DATA!E3:L""),{7,8},0)))"),0.01)</f>
        <v>0.01</v>
      </c>
      <c r="H89" s="76">
        <f>IFERROR(__xludf.DUMMYFUNCTION("""COMPUTED_VALUE"""),0.0)</f>
        <v>0</v>
      </c>
      <c r="I89" s="76">
        <f t="shared" ref="I89:I103" si="22">G89+H89</f>
        <v>0.01</v>
      </c>
      <c r="J89" s="84">
        <f t="shared" ref="J89:J103" si="23">IFERROR(F89/I89,"")</f>
        <v>590</v>
      </c>
      <c r="K89" s="85"/>
      <c r="L89" s="85"/>
      <c r="M89" s="85"/>
      <c r="N89" s="85"/>
      <c r="O89" s="316"/>
      <c r="P89" s="75"/>
      <c r="Q89" s="113"/>
      <c r="R89" s="20"/>
      <c r="S89" s="20"/>
      <c r="T89" s="20"/>
      <c r="U89" s="16"/>
      <c r="V89" s="16"/>
      <c r="W89" s="16"/>
    </row>
    <row r="90" ht="15.75" customHeight="1">
      <c r="A90" s="67" t="str">
        <f t="shared" si="21"/>
        <v>Reducer Bushing (SCH-80)1 x 1 x 1⁄2</v>
      </c>
      <c r="B90" s="90">
        <v>2.0</v>
      </c>
      <c r="C90" s="152" t="s">
        <v>439</v>
      </c>
      <c r="D90" s="152" t="s">
        <v>440</v>
      </c>
      <c r="E90" s="94" t="s">
        <v>1251</v>
      </c>
      <c r="F90" s="56">
        <v>13.9</v>
      </c>
      <c r="G90" s="76">
        <f>IFERROR(__xludf.DUMMYFUNCTION("ArrayFormula(IFERROR(VLOOKUP(E90,IMPORTRANGE(""https://docs.google.com/spreadsheets/d/1xZyKy-UzMmtPDLpV5jQdYum1LtbR8XKDuasLSjmBRMI/edit#gid=1241094406"",""COMBINED DATA!E3:L""),{7,8},0)))"),0.0237)</f>
        <v>0.0237</v>
      </c>
      <c r="H90" s="76">
        <f>IFERROR(__xludf.DUMMYFUNCTION("""COMPUTED_VALUE"""),0.0)</f>
        <v>0</v>
      </c>
      <c r="I90" s="76">
        <f t="shared" si="22"/>
        <v>0.0237</v>
      </c>
      <c r="J90" s="84">
        <f t="shared" si="23"/>
        <v>586.4978903</v>
      </c>
      <c r="K90" s="85"/>
      <c r="L90" s="85"/>
      <c r="M90" s="85"/>
      <c r="N90" s="85"/>
      <c r="O90" s="316"/>
      <c r="P90" s="75"/>
      <c r="Q90" s="113"/>
      <c r="R90" s="20"/>
      <c r="S90" s="20"/>
      <c r="T90" s="20"/>
      <c r="U90" s="16"/>
      <c r="V90" s="16"/>
      <c r="W90" s="16"/>
    </row>
    <row r="91" ht="15.75" customHeight="1">
      <c r="A91" s="67" t="str">
        <f t="shared" si="21"/>
        <v>Reducer Bushing (SCH-80)1 1⁄4 x 1 1⁄4 x 1⁄2</v>
      </c>
      <c r="B91" s="90">
        <v>3.0</v>
      </c>
      <c r="C91" s="152" t="s">
        <v>458</v>
      </c>
      <c r="D91" s="152" t="s">
        <v>459</v>
      </c>
      <c r="E91" s="94" t="s">
        <v>1252</v>
      </c>
      <c r="F91" s="56">
        <v>24.0</v>
      </c>
      <c r="G91" s="58">
        <v>0.038</v>
      </c>
      <c r="H91" s="76"/>
      <c r="I91" s="76">
        <f t="shared" si="22"/>
        <v>0.038</v>
      </c>
      <c r="J91" s="84">
        <f t="shared" si="23"/>
        <v>631.5789474</v>
      </c>
      <c r="K91" s="85"/>
      <c r="L91" s="85"/>
      <c r="M91" s="85"/>
      <c r="N91" s="85"/>
      <c r="O91" s="316"/>
      <c r="P91" s="75"/>
      <c r="Q91" s="113"/>
      <c r="R91" s="20"/>
      <c r="S91" s="20"/>
      <c r="T91" s="20"/>
      <c r="U91" s="16"/>
      <c r="V91" s="16"/>
      <c r="W91" s="16"/>
    </row>
    <row r="92" ht="15.75" customHeight="1">
      <c r="A92" s="67" t="str">
        <f t="shared" si="21"/>
        <v>Reducer Bushing (SCH-80)1 1⁄4 x 1 1⁄4 x 3⁄4</v>
      </c>
      <c r="B92" s="90">
        <v>4.0</v>
      </c>
      <c r="C92" s="152" t="s">
        <v>213</v>
      </c>
      <c r="D92" s="152" t="s">
        <v>214</v>
      </c>
      <c r="E92" s="94" t="s">
        <v>1254</v>
      </c>
      <c r="F92" s="56">
        <v>25.8</v>
      </c>
      <c r="G92" s="76">
        <f>IFERROR(__xludf.DUMMYFUNCTION("ArrayFormula(IFERROR(VLOOKUP(E92,IMPORTRANGE(""https://docs.google.com/spreadsheets/d/1xZyKy-UzMmtPDLpV5jQdYum1LtbR8XKDuasLSjmBRMI/edit#gid=1241094406"",""COMBINED DATA!E3:L""),{7,8},0)))"),0.0426)</f>
        <v>0.0426</v>
      </c>
      <c r="H92" s="76">
        <f>IFERROR(__xludf.DUMMYFUNCTION("""COMPUTED_VALUE"""),0.0)</f>
        <v>0</v>
      </c>
      <c r="I92" s="76">
        <f t="shared" si="22"/>
        <v>0.0426</v>
      </c>
      <c r="J92" s="84">
        <f t="shared" si="23"/>
        <v>605.6338028</v>
      </c>
      <c r="K92" s="85"/>
      <c r="L92" s="85"/>
      <c r="M92" s="85"/>
      <c r="N92" s="85"/>
      <c r="O92" s="316"/>
      <c r="P92" s="75"/>
      <c r="Q92" s="113"/>
      <c r="R92" s="20"/>
      <c r="S92" s="20"/>
      <c r="T92" s="20"/>
      <c r="U92" s="16"/>
      <c r="V92" s="16"/>
      <c r="W92" s="16"/>
    </row>
    <row r="93" ht="15.75" customHeight="1">
      <c r="A93" s="67" t="str">
        <f t="shared" si="21"/>
        <v>Reducer Bushing (SCH-80)1 1⁄4 x 1 1⁄4 x 1</v>
      </c>
      <c r="B93" s="90">
        <v>5.0</v>
      </c>
      <c r="C93" s="152" t="s">
        <v>216</v>
      </c>
      <c r="D93" s="152" t="s">
        <v>217</v>
      </c>
      <c r="E93" s="94" t="s">
        <v>1256</v>
      </c>
      <c r="F93" s="56">
        <v>22.9</v>
      </c>
      <c r="G93" s="76">
        <f>IFERROR(__xludf.DUMMYFUNCTION("ArrayFormula(IFERROR(VLOOKUP(E93,IMPORTRANGE(""https://docs.google.com/spreadsheets/d/1xZyKy-UzMmtPDLpV5jQdYum1LtbR8XKDuasLSjmBRMI/edit#gid=1241094406"",""COMBINED DATA!E3:L""),{7,8},0)))"),0.0402)</f>
        <v>0.0402</v>
      </c>
      <c r="H93" s="76">
        <f>IFERROR(__xludf.DUMMYFUNCTION("""COMPUTED_VALUE"""),0.0)</f>
        <v>0</v>
      </c>
      <c r="I93" s="76">
        <f t="shared" si="22"/>
        <v>0.0402</v>
      </c>
      <c r="J93" s="84">
        <f t="shared" si="23"/>
        <v>569.6517413</v>
      </c>
      <c r="K93" s="85"/>
      <c r="L93" s="85"/>
      <c r="M93" s="85"/>
      <c r="N93" s="85"/>
      <c r="O93" s="316"/>
      <c r="P93" s="75"/>
      <c r="Q93" s="113"/>
      <c r="R93" s="20"/>
      <c r="S93" s="20"/>
      <c r="T93" s="20"/>
      <c r="U93" s="16"/>
      <c r="V93" s="16"/>
      <c r="W93" s="16"/>
    </row>
    <row r="94" ht="15.75" customHeight="1">
      <c r="A94" s="67" t="str">
        <f t="shared" si="21"/>
        <v>Reducer Bushing (SCH-80)1 x 3⁄4 x 1</v>
      </c>
      <c r="B94" s="90">
        <v>6.0</v>
      </c>
      <c r="C94" s="152" t="s">
        <v>1257</v>
      </c>
      <c r="D94" s="152" t="s">
        <v>210</v>
      </c>
      <c r="E94" s="94" t="s">
        <v>1258</v>
      </c>
      <c r="F94" s="56">
        <v>14.8</v>
      </c>
      <c r="G94" s="76">
        <f>IFERROR(__xludf.DUMMYFUNCTION("ArrayFormula(IFERROR(VLOOKUP(E94,IMPORTRANGE(""https://docs.google.com/spreadsheets/d/1xZyKy-UzMmtPDLpV5jQdYum1LtbR8XKDuasLSjmBRMI/edit#gid=1241094406"",""COMBINED DATA!E3:L""),{7,8},0)))"),0.029)</f>
        <v>0.029</v>
      </c>
      <c r="H94" s="76">
        <f>IFERROR(__xludf.DUMMYFUNCTION("""COMPUTED_VALUE"""),0.0)</f>
        <v>0</v>
      </c>
      <c r="I94" s="76">
        <f t="shared" si="22"/>
        <v>0.029</v>
      </c>
      <c r="J94" s="84">
        <f t="shared" si="23"/>
        <v>510.3448276</v>
      </c>
      <c r="K94" s="85"/>
      <c r="L94" s="85"/>
      <c r="M94" s="85"/>
      <c r="N94" s="85"/>
      <c r="O94" s="316"/>
      <c r="P94" s="75"/>
      <c r="Q94" s="113"/>
      <c r="R94" s="20"/>
      <c r="S94" s="20"/>
      <c r="T94" s="20"/>
      <c r="U94" s="16"/>
      <c r="V94" s="16"/>
      <c r="W94" s="16"/>
    </row>
    <row r="95" ht="15.75" customHeight="1">
      <c r="A95" s="67" t="str">
        <f t="shared" si="21"/>
        <v>Reducer Bushing (SCH-80)1 1⁄2 x 1 1⁄2 x 1⁄2</v>
      </c>
      <c r="B95" s="90">
        <v>7.0</v>
      </c>
      <c r="C95" s="152" t="s">
        <v>1215</v>
      </c>
      <c r="D95" s="152" t="s">
        <v>1216</v>
      </c>
      <c r="E95" s="94" t="s">
        <v>1260</v>
      </c>
      <c r="F95" s="56">
        <v>34.2</v>
      </c>
      <c r="G95" s="76">
        <f>IFERROR(__xludf.DUMMYFUNCTION("ArrayFormula(IFERROR(VLOOKUP(E95,IMPORTRANGE(""https://docs.google.com/spreadsheets/d/1xZyKy-UzMmtPDLpV5jQdYum1LtbR8XKDuasLSjmBRMI/edit#gid=1241094406"",""COMBINED DATA!E3:L""),{7,8},0)))"),0.056)</f>
        <v>0.056</v>
      </c>
      <c r="H95" s="76">
        <f>IFERROR(__xludf.DUMMYFUNCTION("""COMPUTED_VALUE"""),0.0)</f>
        <v>0</v>
      </c>
      <c r="I95" s="76">
        <f t="shared" si="22"/>
        <v>0.056</v>
      </c>
      <c r="J95" s="84">
        <f t="shared" si="23"/>
        <v>610.7142857</v>
      </c>
      <c r="K95" s="85"/>
      <c r="L95" s="85"/>
      <c r="M95" s="85"/>
      <c r="N95" s="85"/>
      <c r="O95" s="316"/>
      <c r="P95" s="75"/>
      <c r="Q95" s="113"/>
      <c r="R95" s="20"/>
      <c r="S95" s="20"/>
      <c r="T95" s="20"/>
      <c r="U95" s="16"/>
      <c r="V95" s="16"/>
      <c r="W95" s="16"/>
    </row>
    <row r="96" ht="15.75" customHeight="1">
      <c r="A96" s="67" t="str">
        <f t="shared" si="21"/>
        <v>Reducer Bushing (SCH-80)1 1⁄2 x 1 1⁄2 x 3⁄4</v>
      </c>
      <c r="B96" s="90">
        <v>8.0</v>
      </c>
      <c r="C96" s="152" t="s">
        <v>220</v>
      </c>
      <c r="D96" s="152" t="s">
        <v>221</v>
      </c>
      <c r="E96" s="94" t="s">
        <v>1261</v>
      </c>
      <c r="F96" s="56">
        <v>30.6</v>
      </c>
      <c r="G96" s="76">
        <f>IFERROR(__xludf.DUMMYFUNCTION("ArrayFormula(IFERROR(VLOOKUP(E96,IMPORTRANGE(""https://docs.google.com/spreadsheets/d/1xZyKy-UzMmtPDLpV5jQdYum1LtbR8XKDuasLSjmBRMI/edit#gid=1241094406"",""COMBINED DATA!E3:L""),{7,8},0)))"),0.0522)</f>
        <v>0.0522</v>
      </c>
      <c r="H96" s="76">
        <f>IFERROR(__xludf.DUMMYFUNCTION("""COMPUTED_VALUE"""),0.0)</f>
        <v>0</v>
      </c>
      <c r="I96" s="76">
        <f t="shared" si="22"/>
        <v>0.0522</v>
      </c>
      <c r="J96" s="84">
        <f t="shared" si="23"/>
        <v>586.2068966</v>
      </c>
      <c r="K96" s="85"/>
      <c r="L96" s="85"/>
      <c r="M96" s="85"/>
      <c r="N96" s="85"/>
      <c r="O96" s="316"/>
      <c r="P96" s="75"/>
      <c r="Q96" s="113"/>
      <c r="R96" s="20"/>
      <c r="S96" s="20"/>
      <c r="T96" s="20"/>
      <c r="U96" s="16"/>
      <c r="V96" s="16"/>
      <c r="W96" s="16"/>
    </row>
    <row r="97" ht="15.75" customHeight="1">
      <c r="A97" s="67" t="str">
        <f t="shared" si="21"/>
        <v>Reducer Bushing (SCH-80)1 1⁄2 x 1 1⁄2 x 1</v>
      </c>
      <c r="B97" s="90">
        <v>9.0</v>
      </c>
      <c r="C97" s="152" t="s">
        <v>224</v>
      </c>
      <c r="D97" s="152" t="s">
        <v>225</v>
      </c>
      <c r="E97" s="94" t="s">
        <v>1263</v>
      </c>
      <c r="F97" s="56">
        <v>30.6</v>
      </c>
      <c r="G97" s="76">
        <f>IFERROR(__xludf.DUMMYFUNCTION("ArrayFormula(IFERROR(VLOOKUP(E97,IMPORTRANGE(""https://docs.google.com/spreadsheets/d/1xZyKy-UzMmtPDLpV5jQdYum1LtbR8XKDuasLSjmBRMI/edit#gid=1241094406"",""COMBINED DATA!E3:L""),{7,8},0)))"),0.0509)</f>
        <v>0.0509</v>
      </c>
      <c r="H97" s="76">
        <f>IFERROR(__xludf.DUMMYFUNCTION("""COMPUTED_VALUE"""),0.0)</f>
        <v>0</v>
      </c>
      <c r="I97" s="76">
        <f t="shared" si="22"/>
        <v>0.0509</v>
      </c>
      <c r="J97" s="84">
        <f t="shared" si="23"/>
        <v>601.1787819</v>
      </c>
      <c r="K97" s="85"/>
      <c r="L97" s="85"/>
      <c r="M97" s="85"/>
      <c r="N97" s="85"/>
      <c r="O97" s="316"/>
      <c r="P97" s="75"/>
      <c r="Q97" s="113"/>
      <c r="R97" s="20"/>
      <c r="S97" s="20"/>
      <c r="T97" s="20"/>
      <c r="U97" s="16"/>
      <c r="V97" s="16"/>
      <c r="W97" s="16"/>
    </row>
    <row r="98" ht="15.75" customHeight="1">
      <c r="A98" s="67" t="str">
        <f t="shared" si="21"/>
        <v>Reducer Bushing (SCH-80)1 1⁄2 x 1 1⁄2 x 1 1⁄4</v>
      </c>
      <c r="B98" s="90">
        <v>10.0</v>
      </c>
      <c r="C98" s="152" t="s">
        <v>227</v>
      </c>
      <c r="D98" s="152" t="s">
        <v>228</v>
      </c>
      <c r="E98" s="94" t="s">
        <v>1265</v>
      </c>
      <c r="F98" s="56">
        <v>40.6</v>
      </c>
      <c r="G98" s="58">
        <v>0.051</v>
      </c>
      <c r="H98" s="76"/>
      <c r="I98" s="76">
        <f t="shared" si="22"/>
        <v>0.051</v>
      </c>
      <c r="J98" s="84">
        <f t="shared" si="23"/>
        <v>796.0784314</v>
      </c>
      <c r="K98" s="85"/>
      <c r="L98" s="85"/>
      <c r="M98" s="85"/>
      <c r="N98" s="85"/>
      <c r="O98" s="316"/>
      <c r="P98" s="75"/>
      <c r="Q98" s="113"/>
      <c r="R98" s="20"/>
      <c r="S98" s="20"/>
      <c r="T98" s="20"/>
      <c r="U98" s="16"/>
      <c r="V98" s="16"/>
      <c r="W98" s="16"/>
    </row>
    <row r="99" ht="15.75" customHeight="1">
      <c r="A99" s="67" t="str">
        <f t="shared" si="21"/>
        <v>Reducer Bushing (SCH-80)2 x 2 x 1⁄2</v>
      </c>
      <c r="B99" s="90">
        <v>11.0</v>
      </c>
      <c r="C99" s="152" t="s">
        <v>1223</v>
      </c>
      <c r="D99" s="152" t="s">
        <v>1224</v>
      </c>
      <c r="E99" s="94" t="s">
        <v>1266</v>
      </c>
      <c r="F99" s="56">
        <v>60.2</v>
      </c>
      <c r="G99" s="76">
        <f>IFERROR(__xludf.DUMMYFUNCTION("ArrayFormula(IFERROR(VLOOKUP(E99,IMPORTRANGE(""https://docs.google.com/spreadsheets/d/1xZyKy-UzMmtPDLpV5jQdYum1LtbR8XKDuasLSjmBRMI/edit#gid=1241094406"",""COMBINED DATA!E3:L""),{7,8},0)))"),0.0916)</f>
        <v>0.0916</v>
      </c>
      <c r="H99" s="76">
        <f>IFERROR(__xludf.DUMMYFUNCTION("""COMPUTED_VALUE"""),0.0)</f>
        <v>0</v>
      </c>
      <c r="I99" s="76">
        <f t="shared" si="22"/>
        <v>0.0916</v>
      </c>
      <c r="J99" s="84">
        <f t="shared" si="23"/>
        <v>657.2052402</v>
      </c>
      <c r="K99" s="85"/>
      <c r="L99" s="85"/>
      <c r="M99" s="85"/>
      <c r="N99" s="85"/>
      <c r="O99" s="316"/>
      <c r="P99" s="75"/>
      <c r="Q99" s="113"/>
      <c r="R99" s="20"/>
      <c r="S99" s="20"/>
      <c r="T99" s="20"/>
      <c r="U99" s="16"/>
      <c r="V99" s="16"/>
      <c r="W99" s="16"/>
    </row>
    <row r="100" ht="15.75" customHeight="1">
      <c r="A100" s="67" t="str">
        <f t="shared" si="21"/>
        <v>Reducer Bushing (SCH-80)2 x 2 x 3⁄4</v>
      </c>
      <c r="B100" s="90">
        <v>12.0</v>
      </c>
      <c r="C100" s="152" t="s">
        <v>231</v>
      </c>
      <c r="D100" s="152" t="s">
        <v>232</v>
      </c>
      <c r="E100" s="94" t="s">
        <v>1267</v>
      </c>
      <c r="F100" s="56">
        <v>54.3</v>
      </c>
      <c r="G100" s="76">
        <f>IFERROR(__xludf.DUMMYFUNCTION("ArrayFormula(IFERROR(VLOOKUP(E100,IMPORTRANGE(""https://docs.google.com/spreadsheets/d/1xZyKy-UzMmtPDLpV5jQdYum1LtbR8XKDuasLSjmBRMI/edit#gid=1241094406"",""COMBINED DATA!E3:L""),{7,8},0)))"),0.092)</f>
        <v>0.092</v>
      </c>
      <c r="H100" s="76">
        <f>IFERROR(__xludf.DUMMYFUNCTION("""COMPUTED_VALUE"""),0.0)</f>
        <v>0</v>
      </c>
      <c r="I100" s="76">
        <f t="shared" si="22"/>
        <v>0.092</v>
      </c>
      <c r="J100" s="84">
        <f t="shared" si="23"/>
        <v>590.2173913</v>
      </c>
      <c r="K100" s="85"/>
      <c r="L100" s="85"/>
      <c r="M100" s="85"/>
      <c r="N100" s="85"/>
      <c r="O100" s="316"/>
      <c r="P100" s="75"/>
      <c r="Q100" s="113"/>
      <c r="R100" s="20"/>
      <c r="S100" s="20"/>
      <c r="T100" s="20"/>
      <c r="U100" s="16"/>
      <c r="V100" s="16"/>
      <c r="W100" s="16"/>
    </row>
    <row r="101" ht="15.75" customHeight="1">
      <c r="A101" s="67" t="str">
        <f t="shared" si="21"/>
        <v>Reducer Bushing (SCH-80)2 x 2 x 1</v>
      </c>
      <c r="B101" s="90">
        <v>13.0</v>
      </c>
      <c r="C101" s="152" t="s">
        <v>235</v>
      </c>
      <c r="D101" s="152" t="s">
        <v>236</v>
      </c>
      <c r="E101" s="94" t="s">
        <v>1269</v>
      </c>
      <c r="F101" s="56">
        <v>61.9</v>
      </c>
      <c r="G101" s="76">
        <f>IFERROR(__xludf.DUMMYFUNCTION("ArrayFormula(IFERROR(VLOOKUP(E101,IMPORTRANGE(""https://docs.google.com/spreadsheets/d/1xZyKy-UzMmtPDLpV5jQdYum1LtbR8XKDuasLSjmBRMI/edit#gid=1241094406"",""COMBINED DATA!E3:L""),{7,8},0)))"),0.10467499999999999)</f>
        <v>0.104675</v>
      </c>
      <c r="H101" s="76">
        <f>IFERROR(__xludf.DUMMYFUNCTION("""COMPUTED_VALUE"""),0.0)</f>
        <v>0</v>
      </c>
      <c r="I101" s="76">
        <f t="shared" si="22"/>
        <v>0.104675</v>
      </c>
      <c r="J101" s="84">
        <f t="shared" si="23"/>
        <v>591.3541915</v>
      </c>
      <c r="K101" s="85"/>
      <c r="L101" s="85"/>
      <c r="M101" s="85"/>
      <c r="N101" s="85"/>
      <c r="O101" s="316"/>
      <c r="P101" s="75"/>
      <c r="Q101" s="113"/>
      <c r="R101" s="20"/>
      <c r="S101" s="20"/>
      <c r="T101" s="20"/>
      <c r="U101" s="16"/>
      <c r="V101" s="16"/>
      <c r="W101" s="16"/>
    </row>
    <row r="102" ht="15.75" customHeight="1">
      <c r="A102" s="67" t="str">
        <f t="shared" si="21"/>
        <v>Reducer Bushing (SCH-80)2 x 2 x 1 1⁄4</v>
      </c>
      <c r="B102" s="90">
        <v>14.0</v>
      </c>
      <c r="C102" s="152" t="s">
        <v>238</v>
      </c>
      <c r="D102" s="152" t="s">
        <v>239</v>
      </c>
      <c r="E102" s="94" t="s">
        <v>1271</v>
      </c>
      <c r="F102" s="56">
        <v>54.3</v>
      </c>
      <c r="G102" s="76">
        <f>IFERROR(__xludf.DUMMYFUNCTION("ArrayFormula(IFERROR(VLOOKUP(E102,IMPORTRANGE(""https://docs.google.com/spreadsheets/d/1xZyKy-UzMmtPDLpV5jQdYum1LtbR8XKDuasLSjmBRMI/edit#gid=1241094406"",""COMBINED DATA!E3:L""),{7,8},0)))"),0.094)</f>
        <v>0.094</v>
      </c>
      <c r="H102" s="76">
        <f>IFERROR(__xludf.DUMMYFUNCTION("""COMPUTED_VALUE"""),0.0)</f>
        <v>0</v>
      </c>
      <c r="I102" s="76">
        <f t="shared" si="22"/>
        <v>0.094</v>
      </c>
      <c r="J102" s="84">
        <f t="shared" si="23"/>
        <v>577.6595745</v>
      </c>
      <c r="K102" s="85"/>
      <c r="L102" s="85"/>
      <c r="M102" s="85"/>
      <c r="N102" s="85"/>
      <c r="O102" s="316"/>
      <c r="P102" s="75"/>
      <c r="Q102" s="113"/>
      <c r="R102" s="20"/>
      <c r="S102" s="20"/>
      <c r="T102" s="20"/>
      <c r="U102" s="16"/>
      <c r="V102" s="16"/>
      <c r="W102" s="16"/>
    </row>
    <row r="103" ht="15.75" customHeight="1">
      <c r="A103" s="67" t="str">
        <f t="shared" si="21"/>
        <v>Reducer Bushing (SCH-80)2 x 2 x 1 1⁄2</v>
      </c>
      <c r="B103" s="90">
        <v>15.0</v>
      </c>
      <c r="C103" s="152" t="s">
        <v>242</v>
      </c>
      <c r="D103" s="152" t="s">
        <v>243</v>
      </c>
      <c r="E103" s="94" t="s">
        <v>1272</v>
      </c>
      <c r="F103" s="56">
        <v>52.0</v>
      </c>
      <c r="G103" s="76">
        <f>IFERROR(__xludf.DUMMYFUNCTION("ArrayFormula(IFERROR(VLOOKUP(E103,IMPORTRANGE(""https://docs.google.com/spreadsheets/d/1xZyKy-UzMmtPDLpV5jQdYum1LtbR8XKDuasLSjmBRMI/edit#gid=1241094406"",""COMBINED DATA!E3:L""),{7,8},0)))"),0.0714)</f>
        <v>0.0714</v>
      </c>
      <c r="H103" s="76">
        <f>IFERROR(__xludf.DUMMYFUNCTION("""COMPUTED_VALUE"""),0.0)</f>
        <v>0</v>
      </c>
      <c r="I103" s="76">
        <f t="shared" si="22"/>
        <v>0.0714</v>
      </c>
      <c r="J103" s="84">
        <f t="shared" si="23"/>
        <v>728.2913165</v>
      </c>
      <c r="K103" s="85"/>
      <c r="L103" s="85"/>
      <c r="M103" s="85"/>
      <c r="N103" s="85"/>
      <c r="O103" s="316"/>
      <c r="P103" s="75"/>
      <c r="Q103" s="113"/>
      <c r="R103" s="20"/>
      <c r="S103" s="20"/>
      <c r="T103" s="20"/>
      <c r="U103" s="16"/>
      <c r="V103" s="16"/>
      <c r="W103" s="16"/>
    </row>
    <row r="104">
      <c r="A104" s="34"/>
      <c r="B104" s="237" t="s">
        <v>11</v>
      </c>
      <c r="C104" s="45"/>
      <c r="D104" s="45"/>
      <c r="E104" s="46"/>
      <c r="F104" s="103">
        <f>SUM(F89:F103)</f>
        <v>526</v>
      </c>
      <c r="G104" s="250"/>
      <c r="H104" s="243"/>
      <c r="I104" s="243"/>
      <c r="J104" s="243"/>
      <c r="K104" s="85"/>
      <c r="L104" s="85"/>
      <c r="M104" s="85"/>
      <c r="N104" s="85"/>
      <c r="O104" s="29"/>
      <c r="P104" s="307"/>
      <c r="Q104" s="85"/>
      <c r="R104" s="15"/>
      <c r="S104" s="15"/>
      <c r="T104" s="15"/>
      <c r="U104" s="243"/>
      <c r="V104" s="243"/>
      <c r="W104" s="243"/>
    </row>
    <row r="105" ht="6.0" customHeight="1">
      <c r="A105" s="34"/>
      <c r="B105" s="15"/>
      <c r="C105" s="15"/>
      <c r="D105" s="15"/>
      <c r="E105" s="17"/>
      <c r="F105" s="15"/>
      <c r="G105" s="250"/>
      <c r="H105" s="243"/>
      <c r="I105" s="243"/>
      <c r="J105" s="243"/>
      <c r="K105" s="85"/>
      <c r="L105" s="85"/>
      <c r="M105" s="85"/>
      <c r="N105" s="85"/>
      <c r="O105" s="29"/>
      <c r="P105" s="307"/>
      <c r="Q105" s="85"/>
      <c r="R105" s="15"/>
      <c r="S105" s="15"/>
      <c r="T105" s="15"/>
      <c r="U105" s="243"/>
      <c r="V105" s="243"/>
      <c r="W105" s="243"/>
    </row>
    <row r="106" ht="22.5" customHeight="1">
      <c r="A106" s="34"/>
      <c r="B106" s="62" t="s">
        <v>443</v>
      </c>
      <c r="C106" s="45"/>
      <c r="D106" s="45"/>
      <c r="E106" s="45"/>
      <c r="F106" s="46"/>
      <c r="G106" s="250"/>
      <c r="H106" s="243"/>
      <c r="I106" s="243"/>
      <c r="J106" s="243"/>
      <c r="K106" s="85"/>
      <c r="L106" s="85"/>
      <c r="M106" s="85"/>
      <c r="N106" s="85"/>
      <c r="O106" s="29"/>
      <c r="P106" s="307"/>
      <c r="Q106" s="85"/>
      <c r="R106" s="15"/>
      <c r="S106" s="15"/>
      <c r="T106" s="15"/>
      <c r="U106" s="243"/>
      <c r="V106" s="243"/>
      <c r="W106" s="243"/>
    </row>
    <row r="107" ht="15.75" customHeight="1">
      <c r="A107" s="67" t="str">
        <f t="shared" ref="A107:A113" si="24">$B$106&amp;C107</f>
        <v>Reducer Bushing (SCH-80)2 1⁄2 x 1 1⁄2</v>
      </c>
      <c r="B107" s="68">
        <v>1.0</v>
      </c>
      <c r="C107" s="110" t="s">
        <v>447</v>
      </c>
      <c r="D107" s="110" t="s">
        <v>448</v>
      </c>
      <c r="E107" s="129" t="s">
        <v>1274</v>
      </c>
      <c r="F107" s="56">
        <v>88.0</v>
      </c>
      <c r="G107" s="76">
        <f>IFERROR(__xludf.DUMMYFUNCTION("ArrayFormula(IFERROR(VLOOKUP(E107,IMPORTRANGE(""https://docs.google.com/spreadsheets/d/1xZyKy-UzMmtPDLpV5jQdYum1LtbR8XKDuasLSjmBRMI/edit#gid=1241094406"",""COMBINED DATA!E3:L""),{7,8},0)))"),0.15919999999999998)</f>
        <v>0.1592</v>
      </c>
      <c r="H107" s="76">
        <f>IFERROR(__xludf.DUMMYFUNCTION("""COMPUTED_VALUE"""),0.0)</f>
        <v>0</v>
      </c>
      <c r="I107" s="76">
        <f t="shared" ref="I107:I113" si="25">G107+H107</f>
        <v>0.1592</v>
      </c>
      <c r="J107" s="84">
        <f t="shared" ref="J107:J113" si="26">IFERROR(F107/I107,"")</f>
        <v>552.7638191</v>
      </c>
      <c r="K107" s="85"/>
      <c r="L107" s="85"/>
      <c r="M107" s="85"/>
      <c r="N107" s="85"/>
      <c r="O107" s="316"/>
      <c r="P107" s="75"/>
      <c r="Q107" s="113"/>
      <c r="R107" s="20"/>
      <c r="S107" s="20"/>
      <c r="T107" s="20"/>
      <c r="U107" s="16"/>
      <c r="V107" s="16"/>
      <c r="W107" s="16"/>
    </row>
    <row r="108" ht="15.75" customHeight="1">
      <c r="A108" s="67" t="str">
        <f t="shared" si="24"/>
        <v>Reducer Bushing (SCH-80)2 1⁄2 x 2</v>
      </c>
      <c r="B108" s="90">
        <v>2.0</v>
      </c>
      <c r="C108" s="127" t="s">
        <v>455</v>
      </c>
      <c r="D108" s="127" t="s">
        <v>456</v>
      </c>
      <c r="E108" s="94" t="s">
        <v>1275</v>
      </c>
      <c r="F108" s="56">
        <v>62.0</v>
      </c>
      <c r="G108" s="76">
        <f>IFERROR(__xludf.DUMMYFUNCTION("ArrayFormula(IFERROR(VLOOKUP(E108,IMPORTRANGE(""https://docs.google.com/spreadsheets/d/1xZyKy-UzMmtPDLpV5jQdYum1LtbR8XKDuasLSjmBRMI/edit#gid=1241094406"",""COMBINED DATA!E3:L""),{7,8},0)))"),0.1103)</f>
        <v>0.1103</v>
      </c>
      <c r="H108" s="76">
        <f>IFERROR(__xludf.DUMMYFUNCTION("""COMPUTED_VALUE"""),0.0)</f>
        <v>0</v>
      </c>
      <c r="I108" s="76">
        <f t="shared" si="25"/>
        <v>0.1103</v>
      </c>
      <c r="J108" s="84">
        <f t="shared" si="26"/>
        <v>562.1033545</v>
      </c>
      <c r="K108" s="85"/>
      <c r="L108" s="85"/>
      <c r="M108" s="85"/>
      <c r="N108" s="85"/>
      <c r="O108" s="316"/>
      <c r="P108" s="75"/>
      <c r="Q108" s="113"/>
      <c r="R108" s="20"/>
      <c r="S108" s="20"/>
      <c r="T108" s="20"/>
      <c r="U108" s="16"/>
      <c r="V108" s="16"/>
      <c r="W108" s="16"/>
    </row>
    <row r="109" ht="15.75" customHeight="1">
      <c r="A109" s="67" t="str">
        <f t="shared" si="24"/>
        <v>Reducer Bushing (SCH-80)3 x 2</v>
      </c>
      <c r="B109" s="90">
        <v>3.0</v>
      </c>
      <c r="C109" s="127" t="s">
        <v>461</v>
      </c>
      <c r="D109" s="127" t="s">
        <v>462</v>
      </c>
      <c r="E109" s="94" t="s">
        <v>1277</v>
      </c>
      <c r="F109" s="56">
        <v>154.0</v>
      </c>
      <c r="G109" s="76">
        <f>IFERROR(__xludf.DUMMYFUNCTION("ArrayFormula(IFERROR(VLOOKUP(E109,IMPORTRANGE(""https://docs.google.com/spreadsheets/d/1xZyKy-UzMmtPDLpV5jQdYum1LtbR8XKDuasLSjmBRMI/edit#gid=1241094406"",""COMBINED DATA!E3:L""),{7,8},0)))"),0.2925)</f>
        <v>0.2925</v>
      </c>
      <c r="H109" s="76">
        <f>IFERROR(__xludf.DUMMYFUNCTION("""COMPUTED_VALUE"""),0.0)</f>
        <v>0</v>
      </c>
      <c r="I109" s="76">
        <f t="shared" si="25"/>
        <v>0.2925</v>
      </c>
      <c r="J109" s="84">
        <f t="shared" si="26"/>
        <v>526.4957265</v>
      </c>
      <c r="K109" s="85"/>
      <c r="L109" s="85"/>
      <c r="M109" s="85"/>
      <c r="N109" s="85"/>
      <c r="O109" s="316"/>
      <c r="P109" s="75"/>
      <c r="Q109" s="113"/>
      <c r="R109" s="20"/>
      <c r="S109" s="20"/>
      <c r="T109" s="20"/>
      <c r="U109" s="16"/>
      <c r="V109" s="16"/>
      <c r="W109" s="16"/>
    </row>
    <row r="110" ht="15.75" customHeight="1">
      <c r="A110" s="67" t="str">
        <f t="shared" si="24"/>
        <v>Reducer Bushing (SCH-80)3 x 2 1⁄2</v>
      </c>
      <c r="B110" s="90">
        <v>4.0</v>
      </c>
      <c r="C110" s="127" t="s">
        <v>469</v>
      </c>
      <c r="D110" s="127" t="s">
        <v>1278</v>
      </c>
      <c r="E110" s="94" t="s">
        <v>1279</v>
      </c>
      <c r="F110" s="56">
        <v>126.0</v>
      </c>
      <c r="G110" s="76">
        <f>IFERROR(__xludf.DUMMYFUNCTION("ArrayFormula(IFERROR(VLOOKUP(E110,IMPORTRANGE(""https://docs.google.com/spreadsheets/d/1xZyKy-UzMmtPDLpV5jQdYum1LtbR8XKDuasLSjmBRMI/edit#gid=1241094406"",""COMBINED DATA!E3:L""),{7,8},0)))"),0.228)</f>
        <v>0.228</v>
      </c>
      <c r="H110" s="76">
        <f>IFERROR(__xludf.DUMMYFUNCTION("""COMPUTED_VALUE"""),0.0)</f>
        <v>0</v>
      </c>
      <c r="I110" s="76">
        <f t="shared" si="25"/>
        <v>0.228</v>
      </c>
      <c r="J110" s="84">
        <f t="shared" si="26"/>
        <v>552.6315789</v>
      </c>
      <c r="K110" s="85"/>
      <c r="L110" s="85"/>
      <c r="M110" s="85"/>
      <c r="N110" s="85"/>
      <c r="O110" s="316"/>
      <c r="P110" s="75"/>
      <c r="Q110" s="113"/>
      <c r="R110" s="20"/>
      <c r="S110" s="20"/>
      <c r="T110" s="20"/>
      <c r="U110" s="16"/>
      <c r="V110" s="16"/>
      <c r="W110" s="16"/>
    </row>
    <row r="111" ht="15.75" customHeight="1">
      <c r="A111" s="67" t="str">
        <f t="shared" si="24"/>
        <v>Reducer Bushing (SCH-80)4 x 2</v>
      </c>
      <c r="B111" s="90">
        <v>5.0</v>
      </c>
      <c r="C111" s="127" t="s">
        <v>475</v>
      </c>
      <c r="D111" s="127" t="s">
        <v>477</v>
      </c>
      <c r="E111" s="94" t="s">
        <v>1282</v>
      </c>
      <c r="F111" s="56">
        <v>248.0</v>
      </c>
      <c r="G111" s="76">
        <f>IFERROR(__xludf.DUMMYFUNCTION("ArrayFormula(IFERROR(VLOOKUP(E111,IMPORTRANGE(""https://docs.google.com/spreadsheets/d/1xZyKy-UzMmtPDLpV5jQdYum1LtbR8XKDuasLSjmBRMI/edit#gid=1241094406"",""COMBINED DATA!E3:L""),{7,8},0)))"),0.43560000000000004)</f>
        <v>0.4356</v>
      </c>
      <c r="H111" s="76">
        <f>IFERROR(__xludf.DUMMYFUNCTION("""COMPUTED_VALUE"""),0.0)</f>
        <v>0</v>
      </c>
      <c r="I111" s="76">
        <f t="shared" si="25"/>
        <v>0.4356</v>
      </c>
      <c r="J111" s="84">
        <f t="shared" si="26"/>
        <v>569.3296602</v>
      </c>
      <c r="K111" s="85"/>
      <c r="L111" s="85"/>
      <c r="M111" s="85"/>
      <c r="N111" s="85"/>
      <c r="O111" s="316"/>
      <c r="P111" s="75"/>
      <c r="Q111" s="113"/>
      <c r="R111" s="20"/>
      <c r="S111" s="20"/>
      <c r="T111" s="20"/>
      <c r="U111" s="16"/>
      <c r="V111" s="16"/>
      <c r="W111" s="16"/>
    </row>
    <row r="112" ht="15.75" customHeight="1">
      <c r="A112" s="67" t="str">
        <f t="shared" si="24"/>
        <v>Reducer Bushing (SCH-80)4 x 3</v>
      </c>
      <c r="B112" s="90">
        <v>6.0</v>
      </c>
      <c r="C112" s="127" t="s">
        <v>481</v>
      </c>
      <c r="D112" s="127" t="s">
        <v>482</v>
      </c>
      <c r="E112" s="94" t="s">
        <v>1283</v>
      </c>
      <c r="F112" s="56">
        <v>216.0</v>
      </c>
      <c r="G112" s="76">
        <f>IFERROR(__xludf.DUMMYFUNCTION("ArrayFormula(IFERROR(VLOOKUP(E112,IMPORTRANGE(""https://docs.google.com/spreadsheets/d/1xZyKy-UzMmtPDLpV5jQdYum1LtbR8XKDuasLSjmBRMI/edit#gid=1241094406"",""COMBINED DATA!E3:L""),{7,8},0)))"),0.404)</f>
        <v>0.404</v>
      </c>
      <c r="H112" s="76">
        <f>IFERROR(__xludf.DUMMYFUNCTION("""COMPUTED_VALUE"""),0.0)</f>
        <v>0</v>
      </c>
      <c r="I112" s="76">
        <f t="shared" si="25"/>
        <v>0.404</v>
      </c>
      <c r="J112" s="84">
        <f t="shared" si="26"/>
        <v>534.6534653</v>
      </c>
      <c r="K112" s="85"/>
      <c r="L112" s="85"/>
      <c r="M112" s="85"/>
      <c r="N112" s="85"/>
      <c r="O112" s="316"/>
      <c r="P112" s="75"/>
      <c r="Q112" s="113"/>
      <c r="R112" s="20"/>
      <c r="S112" s="20"/>
      <c r="T112" s="20"/>
      <c r="U112" s="16"/>
      <c r="V112" s="16"/>
      <c r="W112" s="16"/>
    </row>
    <row r="113" ht="15.75" customHeight="1">
      <c r="A113" s="67" t="str">
        <f t="shared" si="24"/>
        <v>Reducer Bushing (SCH-80)4 x 2 1⁄2</v>
      </c>
      <c r="B113" s="90">
        <v>7.0</v>
      </c>
      <c r="C113" s="127" t="s">
        <v>490</v>
      </c>
      <c r="D113" s="127" t="s">
        <v>491</v>
      </c>
      <c r="E113" s="94" t="s">
        <v>1285</v>
      </c>
      <c r="F113" s="56">
        <v>278.0</v>
      </c>
      <c r="G113" s="76">
        <f>IFERROR(__xludf.DUMMYFUNCTION("ArrayFormula(IFERROR(VLOOKUP(E113,IMPORTRANGE(""https://docs.google.com/spreadsheets/d/1xZyKy-UzMmtPDLpV5jQdYum1LtbR8XKDuasLSjmBRMI/edit#gid=1241094406"",""COMBINED DATA!E3:L""),{7,8},0)))"),0.546)</f>
        <v>0.546</v>
      </c>
      <c r="H113" s="76">
        <f>IFERROR(__xludf.DUMMYFUNCTION("""COMPUTED_VALUE"""),0.0)</f>
        <v>0</v>
      </c>
      <c r="I113" s="76">
        <f t="shared" si="25"/>
        <v>0.546</v>
      </c>
      <c r="J113" s="84">
        <f t="shared" si="26"/>
        <v>509.1575092</v>
      </c>
      <c r="K113" s="85"/>
      <c r="L113" s="85"/>
      <c r="M113" s="85"/>
      <c r="N113" s="85"/>
      <c r="O113" s="316"/>
      <c r="P113" s="75"/>
      <c r="Q113" s="113"/>
      <c r="R113" s="20"/>
      <c r="S113" s="20"/>
      <c r="T113" s="20"/>
      <c r="U113" s="16"/>
      <c r="V113" s="16"/>
      <c r="W113" s="16"/>
    </row>
    <row r="114" ht="15.0" customHeight="1">
      <c r="A114" s="34"/>
      <c r="B114" s="237" t="s">
        <v>11</v>
      </c>
      <c r="C114" s="45"/>
      <c r="D114" s="45"/>
      <c r="E114" s="46"/>
      <c r="F114" s="103">
        <f>sum(F107:F113)</f>
        <v>1172</v>
      </c>
      <c r="G114" s="250"/>
      <c r="H114" s="243"/>
      <c r="I114" s="243"/>
      <c r="J114" s="243"/>
      <c r="K114" s="85"/>
      <c r="L114" s="85"/>
      <c r="M114" s="85"/>
      <c r="N114" s="85"/>
      <c r="O114" s="29"/>
      <c r="P114" s="307"/>
      <c r="Q114" s="85"/>
      <c r="R114" s="15"/>
      <c r="S114" s="15"/>
      <c r="T114" s="15"/>
      <c r="U114" s="243"/>
      <c r="V114" s="243"/>
      <c r="W114" s="243"/>
    </row>
    <row r="115" ht="5.25" customHeight="1">
      <c r="A115" s="34"/>
      <c r="B115" s="15"/>
      <c r="C115" s="15"/>
      <c r="D115" s="15"/>
      <c r="E115" s="17"/>
      <c r="F115" s="15"/>
      <c r="G115" s="250"/>
      <c r="H115" s="243"/>
      <c r="I115" s="243"/>
      <c r="J115" s="243"/>
      <c r="K115" s="85"/>
      <c r="L115" s="85"/>
      <c r="M115" s="85"/>
      <c r="N115" s="85"/>
      <c r="O115" s="29"/>
      <c r="P115" s="307"/>
      <c r="Q115" s="85"/>
      <c r="R115" s="15"/>
      <c r="S115" s="15"/>
      <c r="T115" s="15"/>
      <c r="U115" s="243"/>
      <c r="V115" s="243"/>
      <c r="W115" s="243"/>
    </row>
    <row r="116" ht="22.5" customHeight="1">
      <c r="A116" s="34"/>
      <c r="B116" s="62" t="s">
        <v>1287</v>
      </c>
      <c r="C116" s="45"/>
      <c r="D116" s="45"/>
      <c r="E116" s="45"/>
      <c r="F116" s="46"/>
      <c r="G116" s="250"/>
      <c r="H116" s="243"/>
      <c r="I116" s="243"/>
      <c r="J116" s="243"/>
      <c r="K116" s="85"/>
      <c r="L116" s="85"/>
      <c r="M116" s="85"/>
      <c r="N116" s="85"/>
      <c r="O116" s="29"/>
      <c r="P116" s="307"/>
      <c r="Q116" s="85"/>
      <c r="R116" s="15"/>
      <c r="S116" s="15"/>
      <c r="T116" s="15"/>
      <c r="U116" s="243"/>
      <c r="V116" s="243"/>
      <c r="W116" s="243"/>
    </row>
    <row r="117" ht="15.75" customHeight="1">
      <c r="A117" s="67" t="str">
        <f t="shared" ref="A117:A131" si="27">$B$116&amp;C117</f>
        <v>Reducer Coupling (SCH-80)3⁄4 x 1⁄2</v>
      </c>
      <c r="B117" s="68">
        <v>1.0</v>
      </c>
      <c r="C117" s="110" t="s">
        <v>144</v>
      </c>
      <c r="D117" s="110" t="s">
        <v>145</v>
      </c>
      <c r="E117" s="129" t="s">
        <v>1289</v>
      </c>
      <c r="F117" s="56">
        <v>15.5</v>
      </c>
      <c r="G117" s="76">
        <f>IFERROR(__xludf.DUMMYFUNCTION("ArrayFormula(IFERROR(VLOOKUP(E117,IMPORTRANGE(""https://docs.google.com/spreadsheets/d/1xZyKy-UzMmtPDLpV5jQdYum1LtbR8XKDuasLSjmBRMI/edit#gid=1241094406"",""COMBINED DATA!E3:L""),{7,8},0)))"),0.027024999999999997)</f>
        <v>0.027025</v>
      </c>
      <c r="H117" s="76">
        <f>IFERROR(__xludf.DUMMYFUNCTION("""COMPUTED_VALUE"""),0.0)</f>
        <v>0</v>
      </c>
      <c r="I117" s="76">
        <f t="shared" ref="I117:I131" si="28">G117+H117</f>
        <v>0.027025</v>
      </c>
      <c r="J117" s="84">
        <f t="shared" ref="J117:J131" si="29">IFERROR(F117/I117,"")</f>
        <v>573.5430157</v>
      </c>
      <c r="K117" s="85"/>
      <c r="L117" s="85"/>
      <c r="M117" s="85"/>
      <c r="N117" s="85"/>
      <c r="O117" s="316"/>
      <c r="P117" s="75"/>
      <c r="Q117" s="113"/>
      <c r="R117" s="20"/>
      <c r="S117" s="20"/>
      <c r="T117" s="20"/>
      <c r="U117" s="16"/>
      <c r="V117" s="16"/>
      <c r="W117" s="16"/>
    </row>
    <row r="118" ht="15.75" customHeight="1">
      <c r="A118" s="67" t="str">
        <f t="shared" si="27"/>
        <v>Reducer Coupling (SCH-80)1 x 1⁄2</v>
      </c>
      <c r="B118" s="90">
        <v>2.0</v>
      </c>
      <c r="C118" s="127" t="s">
        <v>352</v>
      </c>
      <c r="D118" s="127" t="s">
        <v>353</v>
      </c>
      <c r="E118" s="94" t="s">
        <v>1291</v>
      </c>
      <c r="F118" s="56">
        <v>23.8</v>
      </c>
      <c r="G118" s="76">
        <f>IFERROR(__xludf.DUMMYFUNCTION("ArrayFormula(IFERROR(VLOOKUP(E118,IMPORTRANGE(""https://docs.google.com/spreadsheets/d/1xZyKy-UzMmtPDLpV5jQdYum1LtbR8XKDuasLSjmBRMI/edit#gid=1241094406"",""COMBINED DATA!E3:L""),{7,8},0)))"),0.04325)</f>
        <v>0.04325</v>
      </c>
      <c r="H118" s="76">
        <f>IFERROR(__xludf.DUMMYFUNCTION("""COMPUTED_VALUE"""),0.0)</f>
        <v>0</v>
      </c>
      <c r="I118" s="76">
        <f t="shared" si="28"/>
        <v>0.04325</v>
      </c>
      <c r="J118" s="84">
        <f t="shared" si="29"/>
        <v>550.2890173</v>
      </c>
      <c r="K118" s="85"/>
      <c r="L118" s="85"/>
      <c r="M118" s="85"/>
      <c r="N118" s="85"/>
      <c r="O118" s="316"/>
      <c r="P118" s="75"/>
      <c r="Q118" s="113"/>
      <c r="R118" s="20"/>
      <c r="S118" s="20"/>
      <c r="T118" s="20"/>
      <c r="U118" s="16"/>
      <c r="V118" s="16"/>
      <c r="W118" s="16"/>
    </row>
    <row r="119" ht="15.75" customHeight="1">
      <c r="A119" s="67" t="str">
        <f t="shared" si="27"/>
        <v>Reducer Coupling (SCH-80)1 x 3⁄4</v>
      </c>
      <c r="B119" s="90">
        <v>3.0</v>
      </c>
      <c r="C119" s="127" t="s">
        <v>153</v>
      </c>
      <c r="D119" s="127" t="s">
        <v>155</v>
      </c>
      <c r="E119" s="94" t="s">
        <v>1293</v>
      </c>
      <c r="F119" s="56">
        <v>25.2</v>
      </c>
      <c r="G119" s="76">
        <f>IFERROR(__xludf.DUMMYFUNCTION("ArrayFormula(IFERROR(VLOOKUP(E119,IMPORTRANGE(""https://docs.google.com/spreadsheets/d/1xZyKy-UzMmtPDLpV5jQdYum1LtbR8XKDuasLSjmBRMI/edit#gid=1241094406"",""COMBINED DATA!E3:L""),{7,8},0)))"),0.0446)</f>
        <v>0.0446</v>
      </c>
      <c r="H119" s="76">
        <f>IFERROR(__xludf.DUMMYFUNCTION("""COMPUTED_VALUE"""),0.0)</f>
        <v>0</v>
      </c>
      <c r="I119" s="76">
        <f t="shared" si="28"/>
        <v>0.0446</v>
      </c>
      <c r="J119" s="84">
        <f t="shared" si="29"/>
        <v>565.0224215</v>
      </c>
      <c r="K119" s="85"/>
      <c r="L119" s="85"/>
      <c r="M119" s="85"/>
      <c r="N119" s="85"/>
      <c r="O119" s="316"/>
      <c r="P119" s="75"/>
      <c r="Q119" s="113"/>
      <c r="R119" s="20"/>
      <c r="S119" s="20"/>
      <c r="T119" s="20"/>
      <c r="U119" s="16"/>
      <c r="V119" s="16"/>
      <c r="W119" s="16"/>
    </row>
    <row r="120" ht="15.75" customHeight="1">
      <c r="A120" s="67" t="str">
        <f t="shared" si="27"/>
        <v>Reducer Coupling (SCH-80)1 1⁄4 x 1⁄2</v>
      </c>
      <c r="B120" s="90">
        <v>4.0</v>
      </c>
      <c r="C120" s="127" t="s">
        <v>401</v>
      </c>
      <c r="D120" s="127" t="s">
        <v>402</v>
      </c>
      <c r="E120" s="94" t="s">
        <v>1294</v>
      </c>
      <c r="F120" s="56">
        <v>31.2</v>
      </c>
      <c r="G120" s="76">
        <f>IFERROR(__xludf.DUMMYFUNCTION("ArrayFormula(IFERROR(VLOOKUP(E120,IMPORTRANGE(""https://docs.google.com/spreadsheets/d/1xZyKy-UzMmtPDLpV5jQdYum1LtbR8XKDuasLSjmBRMI/edit#gid=1241094406"",""COMBINED DATA!E3:L""),{7,8},0)))"),0.05425)</f>
        <v>0.05425</v>
      </c>
      <c r="H120" s="76">
        <f>IFERROR(__xludf.DUMMYFUNCTION("""COMPUTED_VALUE"""),0.0)</f>
        <v>0</v>
      </c>
      <c r="I120" s="76">
        <f t="shared" si="28"/>
        <v>0.05425</v>
      </c>
      <c r="J120" s="84">
        <f t="shared" si="29"/>
        <v>575.1152074</v>
      </c>
      <c r="K120" s="85"/>
      <c r="L120" s="85"/>
      <c r="M120" s="85"/>
      <c r="N120" s="85"/>
      <c r="O120" s="316"/>
      <c r="P120" s="75"/>
      <c r="Q120" s="113"/>
      <c r="R120" s="20"/>
      <c r="S120" s="20"/>
      <c r="T120" s="20"/>
      <c r="U120" s="16"/>
      <c r="V120" s="16"/>
      <c r="W120" s="16"/>
    </row>
    <row r="121" ht="15.75" customHeight="1">
      <c r="A121" s="67" t="str">
        <f t="shared" si="27"/>
        <v>Reducer Coupling (SCH-80)1 1⁄4 x 3⁄4</v>
      </c>
      <c r="B121" s="90">
        <v>5.0</v>
      </c>
      <c r="C121" s="127" t="s">
        <v>303</v>
      </c>
      <c r="D121" s="127" t="s">
        <v>304</v>
      </c>
      <c r="E121" s="94" t="s">
        <v>1296</v>
      </c>
      <c r="F121" s="56">
        <v>32.0</v>
      </c>
      <c r="G121" s="76">
        <f>IFERROR(__xludf.DUMMYFUNCTION("ArrayFormula(IFERROR(VLOOKUP(E121,IMPORTRANGE(""https://docs.google.com/spreadsheets/d/1xZyKy-UzMmtPDLpV5jQdYum1LtbR8XKDuasLSjmBRMI/edit#gid=1241094406"",""COMBINED DATA!E3:L""),{7,8},0)))"),0.056)</f>
        <v>0.056</v>
      </c>
      <c r="H121" s="76">
        <f>IFERROR(__xludf.DUMMYFUNCTION("""COMPUTED_VALUE"""),0.0)</f>
        <v>0</v>
      </c>
      <c r="I121" s="76">
        <f t="shared" si="28"/>
        <v>0.056</v>
      </c>
      <c r="J121" s="84">
        <f t="shared" si="29"/>
        <v>571.4285714</v>
      </c>
      <c r="K121" s="85"/>
      <c r="L121" s="85"/>
      <c r="M121" s="85"/>
      <c r="N121" s="85"/>
      <c r="O121" s="316"/>
      <c r="P121" s="75"/>
      <c r="Q121" s="113"/>
      <c r="R121" s="20"/>
      <c r="S121" s="20"/>
      <c r="T121" s="20"/>
      <c r="U121" s="16"/>
      <c r="V121" s="16"/>
      <c r="W121" s="16"/>
    </row>
    <row r="122" ht="15.75" customHeight="1">
      <c r="A122" s="67" t="str">
        <f t="shared" si="27"/>
        <v>Reducer Coupling (SCH-80)1 1⁄4 x 1</v>
      </c>
      <c r="B122" s="90">
        <v>6.0</v>
      </c>
      <c r="C122" s="127" t="s">
        <v>306</v>
      </c>
      <c r="D122" s="127" t="s">
        <v>307</v>
      </c>
      <c r="E122" s="94" t="s">
        <v>1298</v>
      </c>
      <c r="F122" s="56">
        <v>35.7</v>
      </c>
      <c r="G122" s="76">
        <f>IFERROR(__xludf.DUMMYFUNCTION("ArrayFormula(IFERROR(VLOOKUP(E122,IMPORTRANGE(""https://docs.google.com/spreadsheets/d/1xZyKy-UzMmtPDLpV5jQdYum1LtbR8XKDuasLSjmBRMI/edit#gid=1241094406"",""COMBINED DATA!E3:L""),{7,8},0)))"),0.063)</f>
        <v>0.063</v>
      </c>
      <c r="H122" s="76">
        <f>IFERROR(__xludf.DUMMYFUNCTION("""COMPUTED_VALUE"""),0.0)</f>
        <v>0</v>
      </c>
      <c r="I122" s="76">
        <f t="shared" si="28"/>
        <v>0.063</v>
      </c>
      <c r="J122" s="84">
        <f t="shared" si="29"/>
        <v>566.6666667</v>
      </c>
      <c r="K122" s="85"/>
      <c r="L122" s="85"/>
      <c r="M122" s="85"/>
      <c r="N122" s="85"/>
      <c r="O122" s="316"/>
      <c r="P122" s="75"/>
      <c r="Q122" s="113"/>
      <c r="R122" s="20"/>
      <c r="S122" s="20"/>
      <c r="T122" s="20"/>
      <c r="U122" s="16"/>
      <c r="V122" s="16"/>
      <c r="W122" s="16"/>
    </row>
    <row r="123" ht="15.75" customHeight="1">
      <c r="A123" s="67" t="str">
        <f t="shared" si="27"/>
        <v>Reducer Coupling (SCH-80)1 1⁄2 x 1⁄2</v>
      </c>
      <c r="B123" s="90">
        <v>7.0</v>
      </c>
      <c r="C123" s="127" t="s">
        <v>414</v>
      </c>
      <c r="D123" s="127" t="s">
        <v>415</v>
      </c>
      <c r="E123" s="94" t="s">
        <v>1299</v>
      </c>
      <c r="F123" s="56">
        <v>80.6</v>
      </c>
      <c r="G123" s="76">
        <f>IFERROR(__xludf.DUMMYFUNCTION("ArrayFormula(IFERROR(VLOOKUP(E123,IMPORTRANGE(""https://docs.google.com/spreadsheets/d/1xZyKy-UzMmtPDLpV5jQdYum1LtbR8XKDuasLSjmBRMI/edit#gid=1241094406"",""COMBINED DATA!E3:L""),{7,8},0)))"),0.147)</f>
        <v>0.147</v>
      </c>
      <c r="H123" s="76">
        <f>IFERROR(__xludf.DUMMYFUNCTION("""COMPUTED_VALUE"""),0.0)</f>
        <v>0</v>
      </c>
      <c r="I123" s="76">
        <f t="shared" si="28"/>
        <v>0.147</v>
      </c>
      <c r="J123" s="84">
        <f t="shared" si="29"/>
        <v>548.2993197</v>
      </c>
      <c r="K123" s="85"/>
      <c r="L123" s="85"/>
      <c r="M123" s="85"/>
      <c r="N123" s="85"/>
      <c r="O123" s="316"/>
      <c r="P123" s="75"/>
      <c r="Q123" s="113"/>
      <c r="R123" s="20"/>
      <c r="S123" s="20"/>
      <c r="T123" s="20"/>
      <c r="U123" s="16"/>
      <c r="V123" s="16"/>
      <c r="W123" s="16"/>
    </row>
    <row r="124" ht="15.75" customHeight="1">
      <c r="A124" s="67" t="str">
        <f t="shared" si="27"/>
        <v>Reducer Coupling (SCH-80)1 1⁄2 x 3⁄4</v>
      </c>
      <c r="B124" s="90">
        <v>8.0</v>
      </c>
      <c r="C124" s="127" t="s">
        <v>310</v>
      </c>
      <c r="D124" s="127" t="s">
        <v>311</v>
      </c>
      <c r="E124" s="94" t="s">
        <v>1301</v>
      </c>
      <c r="F124" s="56">
        <v>42.6</v>
      </c>
      <c r="G124" s="76">
        <f>IFERROR(__xludf.DUMMYFUNCTION("ArrayFormula(IFERROR(VLOOKUP(E124,IMPORTRANGE(""https://docs.google.com/spreadsheets/d/1xZyKy-UzMmtPDLpV5jQdYum1LtbR8XKDuasLSjmBRMI/edit#gid=1241094406"",""COMBINED DATA!E3:L""),{7,8},0)))"),0.0756)</f>
        <v>0.0756</v>
      </c>
      <c r="H124" s="76">
        <f>IFERROR(__xludf.DUMMYFUNCTION("""COMPUTED_VALUE"""),0.0)</f>
        <v>0</v>
      </c>
      <c r="I124" s="76">
        <f t="shared" si="28"/>
        <v>0.0756</v>
      </c>
      <c r="J124" s="84">
        <f t="shared" si="29"/>
        <v>563.4920635</v>
      </c>
      <c r="K124" s="85"/>
      <c r="L124" s="85"/>
      <c r="M124" s="85"/>
      <c r="N124" s="85"/>
      <c r="O124" s="316"/>
      <c r="P124" s="75"/>
      <c r="Q124" s="113"/>
      <c r="R124" s="20"/>
      <c r="S124" s="20"/>
      <c r="T124" s="20"/>
      <c r="U124" s="16"/>
      <c r="V124" s="16"/>
      <c r="W124" s="16"/>
    </row>
    <row r="125" ht="15.75" customHeight="1">
      <c r="A125" s="67" t="str">
        <f t="shared" si="27"/>
        <v>Reducer Coupling (SCH-80)1 1⁄2 x 1</v>
      </c>
      <c r="B125" s="90">
        <v>9.0</v>
      </c>
      <c r="C125" s="127" t="s">
        <v>313</v>
      </c>
      <c r="D125" s="127" t="s">
        <v>314</v>
      </c>
      <c r="E125" s="94" t="s">
        <v>1303</v>
      </c>
      <c r="F125" s="56">
        <v>47.0</v>
      </c>
      <c r="G125" s="76">
        <f>IFERROR(__xludf.DUMMYFUNCTION("ArrayFormula(IFERROR(VLOOKUP(E125,IMPORTRANGE(""https://docs.google.com/spreadsheets/d/1xZyKy-UzMmtPDLpV5jQdYum1LtbR8XKDuasLSjmBRMI/edit#gid=1241094406"",""COMBINED DATA!E3:L""),{7,8},0)))"),0.08225)</f>
        <v>0.08225</v>
      </c>
      <c r="H125" s="76">
        <f>IFERROR(__xludf.DUMMYFUNCTION("""COMPUTED_VALUE"""),0.0)</f>
        <v>0</v>
      </c>
      <c r="I125" s="76">
        <f t="shared" si="28"/>
        <v>0.08225</v>
      </c>
      <c r="J125" s="84">
        <f t="shared" si="29"/>
        <v>571.4285714</v>
      </c>
      <c r="K125" s="85"/>
      <c r="L125" s="85"/>
      <c r="M125" s="85"/>
      <c r="N125" s="85"/>
      <c r="O125" s="316"/>
      <c r="P125" s="75"/>
      <c r="Q125" s="113"/>
      <c r="R125" s="20"/>
      <c r="S125" s="20"/>
      <c r="T125" s="20"/>
      <c r="U125" s="16"/>
      <c r="V125" s="16"/>
      <c r="W125" s="16"/>
    </row>
    <row r="126" ht="15.75" customHeight="1">
      <c r="A126" s="67" t="str">
        <f t="shared" si="27"/>
        <v>Reducer Coupling (SCH-80)1 1⁄2 x 1 1⁄4</v>
      </c>
      <c r="B126" s="90">
        <v>10.0</v>
      </c>
      <c r="C126" s="127" t="s">
        <v>317</v>
      </c>
      <c r="D126" s="127" t="s">
        <v>318</v>
      </c>
      <c r="E126" s="94" t="s">
        <v>1305</v>
      </c>
      <c r="F126" s="56">
        <v>63.0</v>
      </c>
      <c r="G126" s="76">
        <f>IFERROR(__xludf.DUMMYFUNCTION("ArrayFormula(IFERROR(VLOOKUP(E126,IMPORTRANGE(""https://docs.google.com/spreadsheets/d/1xZyKy-UzMmtPDLpV5jQdYum1LtbR8XKDuasLSjmBRMI/edit#gid=1241094406"",""COMBINED DATA!E3:L""),{7,8},0)))"),0.12140000000000001)</f>
        <v>0.1214</v>
      </c>
      <c r="H126" s="76">
        <f>IFERROR(__xludf.DUMMYFUNCTION("""COMPUTED_VALUE"""),0.0)</f>
        <v>0</v>
      </c>
      <c r="I126" s="76">
        <f t="shared" si="28"/>
        <v>0.1214</v>
      </c>
      <c r="J126" s="84">
        <f t="shared" si="29"/>
        <v>518.9456343</v>
      </c>
      <c r="K126" s="85"/>
      <c r="L126" s="85"/>
      <c r="M126" s="85"/>
      <c r="N126" s="85"/>
      <c r="O126" s="316"/>
      <c r="P126" s="75"/>
      <c r="Q126" s="113"/>
      <c r="R126" s="20"/>
      <c r="S126" s="20"/>
      <c r="T126" s="20"/>
      <c r="U126" s="16"/>
      <c r="V126" s="16"/>
      <c r="W126" s="16"/>
    </row>
    <row r="127" ht="15.75" customHeight="1">
      <c r="A127" s="67" t="str">
        <f t="shared" si="27"/>
        <v>Reducer Coupling (SCH-80)2 x 1⁄2</v>
      </c>
      <c r="B127" s="90">
        <v>11.0</v>
      </c>
      <c r="C127" s="127" t="s">
        <v>1308</v>
      </c>
      <c r="D127" s="127" t="s">
        <v>1309</v>
      </c>
      <c r="E127" s="94" t="s">
        <v>1310</v>
      </c>
      <c r="F127" s="56">
        <v>123.6</v>
      </c>
      <c r="G127" s="76">
        <f>IFERROR(__xludf.DUMMYFUNCTION("ArrayFormula(IFERROR(VLOOKUP(E127,IMPORTRANGE(""https://docs.google.com/spreadsheets/d/1xZyKy-UzMmtPDLpV5jQdYum1LtbR8XKDuasLSjmBRMI/edit#gid=1241094406"",""COMBINED DATA!E3:L""),{7,8},0)))"),0.22685)</f>
        <v>0.22685</v>
      </c>
      <c r="H127" s="76">
        <f>IFERROR(__xludf.DUMMYFUNCTION("""COMPUTED_VALUE"""),0.0)</f>
        <v>0</v>
      </c>
      <c r="I127" s="76">
        <f t="shared" si="28"/>
        <v>0.22685</v>
      </c>
      <c r="J127" s="84">
        <f t="shared" si="29"/>
        <v>544.8534274</v>
      </c>
      <c r="K127" s="85"/>
      <c r="L127" s="85"/>
      <c r="M127" s="85"/>
      <c r="N127" s="85"/>
      <c r="O127" s="316"/>
      <c r="P127" s="75"/>
      <c r="Q127" s="113"/>
      <c r="R127" s="20"/>
      <c r="S127" s="20"/>
      <c r="T127" s="20"/>
      <c r="U127" s="16"/>
      <c r="V127" s="16"/>
      <c r="W127" s="16"/>
    </row>
    <row r="128" ht="15.75" customHeight="1">
      <c r="A128" s="67" t="str">
        <f t="shared" si="27"/>
        <v>Reducer Coupling (SCH-80)2 x 3⁄4</v>
      </c>
      <c r="B128" s="90">
        <v>12.0</v>
      </c>
      <c r="C128" s="127" t="s">
        <v>320</v>
      </c>
      <c r="D128" s="127" t="s">
        <v>321</v>
      </c>
      <c r="E128" s="94" t="s">
        <v>1312</v>
      </c>
      <c r="F128" s="56">
        <v>122.6</v>
      </c>
      <c r="G128" s="76">
        <f>IFERROR(__xludf.DUMMYFUNCTION("ArrayFormula(IFERROR(VLOOKUP(E128,IMPORTRANGE(""https://docs.google.com/spreadsheets/d/1xZyKy-UzMmtPDLpV5jQdYum1LtbR8XKDuasLSjmBRMI/edit#gid=1241094406"",""COMBINED DATA!E3:L""),{7,8},0)))"),0.22585)</f>
        <v>0.22585</v>
      </c>
      <c r="H128" s="76">
        <f>IFERROR(__xludf.DUMMYFUNCTION("""COMPUTED_VALUE"""),0.0)</f>
        <v>0</v>
      </c>
      <c r="I128" s="76">
        <f t="shared" si="28"/>
        <v>0.22585</v>
      </c>
      <c r="J128" s="84">
        <f t="shared" si="29"/>
        <v>542.8381669</v>
      </c>
      <c r="K128" s="85"/>
      <c r="L128" s="85"/>
      <c r="M128" s="85"/>
      <c r="N128" s="85"/>
      <c r="O128" s="316"/>
      <c r="P128" s="75"/>
      <c r="Q128" s="113"/>
      <c r="R128" s="20"/>
      <c r="S128" s="20"/>
      <c r="T128" s="20"/>
      <c r="U128" s="16"/>
      <c r="V128" s="16"/>
      <c r="W128" s="16"/>
    </row>
    <row r="129" ht="15.75" customHeight="1">
      <c r="A129" s="67" t="str">
        <f t="shared" si="27"/>
        <v>Reducer Coupling (SCH-80)2 x 1</v>
      </c>
      <c r="B129" s="90">
        <v>13.0</v>
      </c>
      <c r="C129" s="127" t="s">
        <v>324</v>
      </c>
      <c r="D129" s="127" t="s">
        <v>325</v>
      </c>
      <c r="E129" s="94" t="s">
        <v>1316</v>
      </c>
      <c r="F129" s="56">
        <v>124.8</v>
      </c>
      <c r="G129" s="76">
        <f>IFERROR(__xludf.DUMMYFUNCTION("ArrayFormula(IFERROR(VLOOKUP(E129,IMPORTRANGE(""https://docs.google.com/spreadsheets/d/1xZyKy-UzMmtPDLpV5jQdYum1LtbR8XKDuasLSjmBRMI/edit#gid=1241094406"",""COMBINED DATA!E3:L""),{7,8},0)))"),0.23852)</f>
        <v>0.23852</v>
      </c>
      <c r="H129" s="76">
        <f>IFERROR(__xludf.DUMMYFUNCTION("""COMPUTED_VALUE"""),0.0)</f>
        <v>0</v>
      </c>
      <c r="I129" s="76">
        <f t="shared" si="28"/>
        <v>0.23852</v>
      </c>
      <c r="J129" s="84">
        <f t="shared" si="29"/>
        <v>523.2265638</v>
      </c>
      <c r="K129" s="85"/>
      <c r="L129" s="85"/>
      <c r="M129" s="85"/>
      <c r="N129" s="85"/>
      <c r="O129" s="316"/>
      <c r="P129" s="75"/>
      <c r="Q129" s="113"/>
      <c r="R129" s="20"/>
      <c r="S129" s="20"/>
      <c r="T129" s="20"/>
      <c r="U129" s="16"/>
      <c r="V129" s="16"/>
      <c r="W129" s="16"/>
    </row>
    <row r="130" ht="15.75" customHeight="1">
      <c r="A130" s="67" t="str">
        <f t="shared" si="27"/>
        <v>Reducer Coupling (SCH-80)2 x 1 1⁄4</v>
      </c>
      <c r="B130" s="90">
        <v>14.0</v>
      </c>
      <c r="C130" s="127" t="s">
        <v>327</v>
      </c>
      <c r="D130" s="127" t="s">
        <v>328</v>
      </c>
      <c r="E130" s="94" t="s">
        <v>1318</v>
      </c>
      <c r="F130" s="56">
        <v>121.1</v>
      </c>
      <c r="G130" s="76">
        <f>IFERROR(__xludf.DUMMYFUNCTION("ArrayFormula(IFERROR(VLOOKUP(E130,IMPORTRANGE(""https://docs.google.com/spreadsheets/d/1xZyKy-UzMmtPDLpV5jQdYum1LtbR8XKDuasLSjmBRMI/edit#gid=1241094406"",""COMBINED DATA!E3:L""),{7,8},0)))"),0.22144999999999998)</f>
        <v>0.22145</v>
      </c>
      <c r="H130" s="76">
        <f>IFERROR(__xludf.DUMMYFUNCTION("""COMPUTED_VALUE"""),0.0)</f>
        <v>0</v>
      </c>
      <c r="I130" s="76">
        <f t="shared" si="28"/>
        <v>0.22145</v>
      </c>
      <c r="J130" s="84">
        <f t="shared" si="29"/>
        <v>546.8503048</v>
      </c>
      <c r="K130" s="85"/>
      <c r="L130" s="85"/>
      <c r="M130" s="85"/>
      <c r="N130" s="85"/>
      <c r="O130" s="316"/>
      <c r="P130" s="75"/>
      <c r="Q130" s="113"/>
      <c r="R130" s="20"/>
      <c r="S130" s="20"/>
      <c r="T130" s="20"/>
      <c r="U130" s="16"/>
      <c r="V130" s="16"/>
      <c r="W130" s="16"/>
    </row>
    <row r="131" ht="15.75" customHeight="1">
      <c r="A131" s="67" t="str">
        <f t="shared" si="27"/>
        <v>Reducer Coupling (SCH-80)2 x 1 1⁄2</v>
      </c>
      <c r="B131" s="90">
        <v>15.0</v>
      </c>
      <c r="C131" s="127" t="s">
        <v>331</v>
      </c>
      <c r="D131" s="127" t="s">
        <v>332</v>
      </c>
      <c r="E131" s="94" t="s">
        <v>1320</v>
      </c>
      <c r="F131" s="56">
        <v>111.9</v>
      </c>
      <c r="G131" s="76">
        <f>IFERROR(__xludf.DUMMYFUNCTION("ArrayFormula(IFERROR(VLOOKUP(E131,IMPORTRANGE(""https://docs.google.com/spreadsheets/d/1xZyKy-UzMmtPDLpV5jQdYum1LtbR8XKDuasLSjmBRMI/edit#gid=1241094406"",""COMBINED DATA!E3:L""),{7,8},0)))"),0.20525)</f>
        <v>0.20525</v>
      </c>
      <c r="H131" s="76">
        <f>IFERROR(__xludf.DUMMYFUNCTION("""COMPUTED_VALUE"""),0.0)</f>
        <v>0</v>
      </c>
      <c r="I131" s="76">
        <f t="shared" si="28"/>
        <v>0.20525</v>
      </c>
      <c r="J131" s="84">
        <f t="shared" si="29"/>
        <v>545.1887942</v>
      </c>
      <c r="K131" s="85"/>
      <c r="L131" s="85"/>
      <c r="M131" s="85"/>
      <c r="N131" s="85"/>
      <c r="O131" s="316"/>
      <c r="P131" s="75"/>
      <c r="Q131" s="113"/>
      <c r="R131" s="20"/>
      <c r="S131" s="20"/>
      <c r="T131" s="20"/>
      <c r="U131" s="16"/>
      <c r="V131" s="16"/>
      <c r="W131" s="16"/>
    </row>
    <row r="132">
      <c r="A132" s="34"/>
      <c r="B132" s="237" t="s">
        <v>11</v>
      </c>
      <c r="C132" s="45"/>
      <c r="D132" s="45"/>
      <c r="E132" s="46"/>
      <c r="F132" s="103">
        <f>SUM(F117:F131)</f>
        <v>1000.6</v>
      </c>
      <c r="G132" s="250"/>
      <c r="H132" s="243"/>
      <c r="I132" s="243"/>
      <c r="J132" s="243"/>
      <c r="K132" s="85"/>
      <c r="L132" s="85"/>
      <c r="M132" s="85"/>
      <c r="N132" s="85"/>
      <c r="O132" s="85"/>
      <c r="P132" s="75"/>
      <c r="Q132" s="85"/>
      <c r="R132" s="15"/>
      <c r="S132" s="15"/>
      <c r="T132" s="15"/>
      <c r="U132" s="243"/>
      <c r="V132" s="243"/>
      <c r="W132" s="243"/>
    </row>
    <row r="133" ht="5.25" customHeight="1">
      <c r="A133" s="34"/>
      <c r="B133" s="15"/>
      <c r="C133" s="15"/>
      <c r="D133" s="15"/>
      <c r="E133" s="17"/>
      <c r="F133" s="15"/>
      <c r="G133" s="250"/>
      <c r="H133" s="243"/>
      <c r="I133" s="243"/>
      <c r="J133" s="243"/>
      <c r="K133" s="85"/>
      <c r="L133" s="85"/>
      <c r="M133" s="85"/>
      <c r="N133" s="85"/>
      <c r="O133" s="29"/>
      <c r="P133" s="307"/>
      <c r="Q133" s="85"/>
      <c r="R133" s="15"/>
      <c r="S133" s="15"/>
      <c r="T133" s="15"/>
      <c r="U133" s="243"/>
      <c r="V133" s="243"/>
      <c r="W133" s="243"/>
    </row>
    <row r="134" ht="22.5" customHeight="1">
      <c r="A134" s="34"/>
      <c r="B134" s="62" t="s">
        <v>1323</v>
      </c>
      <c r="C134" s="45"/>
      <c r="D134" s="45"/>
      <c r="E134" s="45"/>
      <c r="F134" s="46"/>
      <c r="G134" s="250"/>
      <c r="H134" s="243"/>
      <c r="I134" s="243"/>
      <c r="J134" s="243"/>
      <c r="K134" s="85"/>
      <c r="L134" s="85"/>
      <c r="M134" s="85"/>
      <c r="N134" s="85"/>
      <c r="O134" s="29"/>
      <c r="P134" s="307"/>
      <c r="Q134" s="85"/>
      <c r="R134" s="15"/>
      <c r="S134" s="15"/>
      <c r="T134" s="15"/>
      <c r="U134" s="243"/>
      <c r="V134" s="243"/>
      <c r="W134" s="243"/>
    </row>
    <row r="135" ht="15.75" customHeight="1">
      <c r="A135" s="67" t="str">
        <f t="shared" ref="A135:A140" si="30">$B$134&amp;C135</f>
        <v>Coupling (SCH-80)1⁄2</v>
      </c>
      <c r="B135" s="68">
        <v>1.0</v>
      </c>
      <c r="C135" s="70" t="s">
        <v>43</v>
      </c>
      <c r="D135" s="70">
        <v>15.0</v>
      </c>
      <c r="E135" s="129" t="s">
        <v>1325</v>
      </c>
      <c r="F135" s="336">
        <v>10.5</v>
      </c>
      <c r="G135" s="76">
        <f>IFERROR(__xludf.DUMMYFUNCTION("ArrayFormula(IFERROR(VLOOKUP(E135,IMPORTRANGE(""https://docs.google.com/spreadsheets/d/1xZyKy-UzMmtPDLpV5jQdYum1LtbR8XKDuasLSjmBRMI/edit#gid=1241094406"",""COMBINED DATA!E3:L""),{7,8},0)))"),0.021)</f>
        <v>0.021</v>
      </c>
      <c r="H135" s="76">
        <f>IFERROR(__xludf.DUMMYFUNCTION("""COMPUTED_VALUE"""),0.0)</f>
        <v>0</v>
      </c>
      <c r="I135" s="76">
        <f t="shared" ref="I135:I140" si="31">G135+H135</f>
        <v>0.021</v>
      </c>
      <c r="J135" s="84">
        <f t="shared" ref="J135:J140" si="32">IFERROR(F135/I135,"")</f>
        <v>500</v>
      </c>
      <c r="K135" s="85"/>
      <c r="L135" s="85"/>
      <c r="M135" s="85"/>
      <c r="N135" s="85"/>
      <c r="O135" s="316"/>
      <c r="P135" s="317"/>
      <c r="Q135" s="113"/>
      <c r="R135" s="20"/>
      <c r="S135" s="20"/>
      <c r="T135" s="20"/>
      <c r="U135" s="16"/>
      <c r="V135" s="16"/>
      <c r="W135" s="16"/>
    </row>
    <row r="136" ht="15.75" customHeight="1">
      <c r="A136" s="67" t="str">
        <f t="shared" si="30"/>
        <v>Coupling (SCH-80)3⁄4</v>
      </c>
      <c r="B136" s="90">
        <v>2.0</v>
      </c>
      <c r="C136" s="92" t="s">
        <v>51</v>
      </c>
      <c r="D136" s="92">
        <v>20.0</v>
      </c>
      <c r="E136" s="94" t="s">
        <v>1333</v>
      </c>
      <c r="F136" s="336">
        <v>15.6</v>
      </c>
      <c r="G136" s="76">
        <f>IFERROR(__xludf.DUMMYFUNCTION("ArrayFormula(IFERROR(VLOOKUP(E136,IMPORTRANGE(""https://docs.google.com/spreadsheets/d/1xZyKy-UzMmtPDLpV5jQdYum1LtbR8XKDuasLSjmBRMI/edit#gid=1241094406"",""COMBINED DATA!E3:L""),{7,8},0)))"),0.031)</f>
        <v>0.031</v>
      </c>
      <c r="H136" s="76">
        <f>IFERROR(__xludf.DUMMYFUNCTION("""COMPUTED_VALUE"""),0.0)</f>
        <v>0</v>
      </c>
      <c r="I136" s="76">
        <f t="shared" si="31"/>
        <v>0.031</v>
      </c>
      <c r="J136" s="84">
        <f t="shared" si="32"/>
        <v>503.2258065</v>
      </c>
      <c r="K136" s="85"/>
      <c r="L136" s="85"/>
      <c r="M136" s="85"/>
      <c r="N136" s="85"/>
      <c r="O136" s="316"/>
      <c r="P136" s="317"/>
      <c r="Q136" s="113"/>
      <c r="R136" s="20"/>
      <c r="S136" s="20"/>
      <c r="T136" s="20"/>
      <c r="U136" s="16"/>
      <c r="V136" s="16"/>
      <c r="W136" s="16"/>
    </row>
    <row r="137" ht="15.75" customHeight="1">
      <c r="A137" s="67" t="str">
        <f t="shared" si="30"/>
        <v>Coupling (SCH-80)1</v>
      </c>
      <c r="B137" s="90">
        <v>3.0</v>
      </c>
      <c r="C137" s="92">
        <v>1.0</v>
      </c>
      <c r="D137" s="92">
        <v>25.0</v>
      </c>
      <c r="E137" s="94" t="s">
        <v>1335</v>
      </c>
      <c r="F137" s="336">
        <v>24.8</v>
      </c>
      <c r="G137" s="76">
        <f>IFERROR(__xludf.DUMMYFUNCTION("ArrayFormula(IFERROR(VLOOKUP(E137,IMPORTRANGE(""https://docs.google.com/spreadsheets/d/1xZyKy-UzMmtPDLpV5jQdYum1LtbR8XKDuasLSjmBRMI/edit#gid=1241094406"",""COMBINED DATA!E3:L""),{7,8},0)))"),0.048)</f>
        <v>0.048</v>
      </c>
      <c r="H137" s="76">
        <f>IFERROR(__xludf.DUMMYFUNCTION("""COMPUTED_VALUE"""),0.0)</f>
        <v>0</v>
      </c>
      <c r="I137" s="76">
        <f t="shared" si="31"/>
        <v>0.048</v>
      </c>
      <c r="J137" s="84">
        <f t="shared" si="32"/>
        <v>516.6666667</v>
      </c>
      <c r="K137" s="85"/>
      <c r="L137" s="85"/>
      <c r="M137" s="85"/>
      <c r="N137" s="85"/>
      <c r="O137" s="316"/>
      <c r="P137" s="317"/>
      <c r="Q137" s="113"/>
      <c r="R137" s="20"/>
      <c r="S137" s="20"/>
      <c r="T137" s="20"/>
      <c r="U137" s="16"/>
      <c r="V137" s="16"/>
      <c r="W137" s="16"/>
    </row>
    <row r="138" ht="15.75" customHeight="1">
      <c r="A138" s="67" t="str">
        <f t="shared" si="30"/>
        <v>Coupling (SCH-80)1 1⁄4</v>
      </c>
      <c r="B138" s="90">
        <v>4.0</v>
      </c>
      <c r="C138" s="92" t="s">
        <v>55</v>
      </c>
      <c r="D138" s="92">
        <v>32.0</v>
      </c>
      <c r="E138" s="94" t="s">
        <v>1336</v>
      </c>
      <c r="F138" s="336">
        <v>36.1</v>
      </c>
      <c r="G138" s="76">
        <f>IFERROR(__xludf.DUMMYFUNCTION("ArrayFormula(IFERROR(VLOOKUP(E138,IMPORTRANGE(""https://docs.google.com/spreadsheets/d/1xZyKy-UzMmtPDLpV5jQdYum1LtbR8XKDuasLSjmBRMI/edit#gid=1241094406"",""COMBINED DATA!E3:L""),{7,8},0)))"),0.072)</f>
        <v>0.072</v>
      </c>
      <c r="H138" s="76">
        <f>IFERROR(__xludf.DUMMYFUNCTION("""COMPUTED_VALUE"""),0.0)</f>
        <v>0</v>
      </c>
      <c r="I138" s="76">
        <f t="shared" si="31"/>
        <v>0.072</v>
      </c>
      <c r="J138" s="84">
        <f t="shared" si="32"/>
        <v>501.3888889</v>
      </c>
      <c r="K138" s="85"/>
      <c r="L138" s="85"/>
      <c r="M138" s="85"/>
      <c r="N138" s="85"/>
      <c r="O138" s="316"/>
      <c r="P138" s="317"/>
      <c r="Q138" s="113"/>
      <c r="R138" s="20"/>
      <c r="S138" s="20"/>
      <c r="T138" s="20"/>
      <c r="U138" s="16"/>
      <c r="V138" s="16"/>
      <c r="W138" s="16"/>
    </row>
    <row r="139" ht="15.75" customHeight="1">
      <c r="A139" s="67" t="str">
        <f t="shared" si="30"/>
        <v>Coupling (SCH-80)1 1⁄2</v>
      </c>
      <c r="B139" s="90">
        <v>5.0</v>
      </c>
      <c r="C139" s="92" t="s">
        <v>56</v>
      </c>
      <c r="D139" s="92">
        <v>40.0</v>
      </c>
      <c r="E139" s="94" t="s">
        <v>1338</v>
      </c>
      <c r="F139" s="336">
        <v>45.5</v>
      </c>
      <c r="G139" s="76">
        <f>IFERROR(__xludf.DUMMYFUNCTION("ArrayFormula(IFERROR(VLOOKUP(E139,IMPORTRANGE(""https://docs.google.com/spreadsheets/d/1xZyKy-UzMmtPDLpV5jQdYum1LtbR8XKDuasLSjmBRMI/edit#gid=1241094406"",""COMBINED DATA!E3:L""),{7,8},0)))"),0.092)</f>
        <v>0.092</v>
      </c>
      <c r="H139" s="76">
        <f>IFERROR(__xludf.DUMMYFUNCTION("""COMPUTED_VALUE"""),0.0)</f>
        <v>0</v>
      </c>
      <c r="I139" s="76">
        <f t="shared" si="31"/>
        <v>0.092</v>
      </c>
      <c r="J139" s="84">
        <f t="shared" si="32"/>
        <v>494.5652174</v>
      </c>
      <c r="K139" s="85"/>
      <c r="L139" s="85"/>
      <c r="M139" s="85"/>
      <c r="N139" s="85"/>
      <c r="O139" s="316"/>
      <c r="P139" s="317"/>
      <c r="Q139" s="113"/>
      <c r="R139" s="20"/>
      <c r="S139" s="20"/>
      <c r="T139" s="20"/>
      <c r="U139" s="16"/>
      <c r="V139" s="16"/>
      <c r="W139" s="16"/>
    </row>
    <row r="140" ht="15.75" customHeight="1">
      <c r="A140" s="67" t="str">
        <f t="shared" si="30"/>
        <v>Coupling (SCH-80)2</v>
      </c>
      <c r="B140" s="90">
        <v>6.0</v>
      </c>
      <c r="C140" s="92">
        <v>2.0</v>
      </c>
      <c r="D140" s="92">
        <v>50.0</v>
      </c>
      <c r="E140" s="94" t="s">
        <v>1340</v>
      </c>
      <c r="F140" s="336">
        <v>68.4</v>
      </c>
      <c r="G140" s="76">
        <f>IFERROR(__xludf.DUMMYFUNCTION("ArrayFormula(IFERROR(VLOOKUP(E140,IMPORTRANGE(""https://docs.google.com/spreadsheets/d/1xZyKy-UzMmtPDLpV5jQdYum1LtbR8XKDuasLSjmBRMI/edit#gid=1241094406"",""COMBINED DATA!E3:L""),{7,8},0)))"),0.13385)</f>
        <v>0.13385</v>
      </c>
      <c r="H140" s="76">
        <f>IFERROR(__xludf.DUMMYFUNCTION("""COMPUTED_VALUE"""),0.0)</f>
        <v>0</v>
      </c>
      <c r="I140" s="76">
        <f t="shared" si="31"/>
        <v>0.13385</v>
      </c>
      <c r="J140" s="84">
        <f t="shared" si="32"/>
        <v>511.0197983</v>
      </c>
      <c r="K140" s="85"/>
      <c r="L140" s="85"/>
      <c r="M140" s="85"/>
      <c r="N140" s="85"/>
      <c r="O140" s="316"/>
      <c r="P140" s="317"/>
      <c r="Q140" s="113"/>
      <c r="R140" s="20"/>
      <c r="S140" s="20"/>
      <c r="T140" s="20"/>
      <c r="U140" s="16"/>
      <c r="V140" s="16"/>
      <c r="W140" s="16"/>
    </row>
    <row r="141" ht="15.0" customHeight="1">
      <c r="A141" s="34"/>
      <c r="B141" s="237" t="s">
        <v>11</v>
      </c>
      <c r="C141" s="45"/>
      <c r="D141" s="45"/>
      <c r="E141" s="46"/>
      <c r="F141" s="103">
        <f>sum(F135:F140)</f>
        <v>200.9</v>
      </c>
      <c r="G141" s="250"/>
      <c r="H141" s="243"/>
      <c r="I141" s="243"/>
      <c r="J141" s="243"/>
      <c r="K141" s="85"/>
      <c r="L141" s="85"/>
      <c r="M141" s="85"/>
      <c r="N141" s="85"/>
      <c r="O141" s="29"/>
      <c r="P141" s="307"/>
      <c r="Q141" s="85"/>
      <c r="R141" s="15"/>
      <c r="S141" s="15"/>
      <c r="T141" s="15"/>
      <c r="U141" s="243"/>
      <c r="V141" s="243"/>
      <c r="W141" s="243"/>
    </row>
    <row r="142" ht="6.0" customHeight="1">
      <c r="A142" s="34"/>
      <c r="B142" s="15"/>
      <c r="C142" s="15"/>
      <c r="D142" s="15"/>
      <c r="E142" s="17"/>
      <c r="F142" s="15"/>
      <c r="G142" s="250"/>
      <c r="H142" s="243"/>
      <c r="I142" s="243"/>
      <c r="J142" s="243"/>
      <c r="K142" s="85"/>
      <c r="L142" s="85"/>
      <c r="M142" s="85"/>
      <c r="N142" s="85"/>
      <c r="O142" s="29"/>
      <c r="P142" s="307"/>
      <c r="Q142" s="85"/>
      <c r="R142" s="15"/>
      <c r="S142" s="15"/>
      <c r="T142" s="15"/>
      <c r="U142" s="243"/>
      <c r="V142" s="243"/>
      <c r="W142" s="243"/>
    </row>
    <row r="143" ht="22.5" customHeight="1">
      <c r="A143" s="34"/>
      <c r="B143" s="62" t="s">
        <v>1323</v>
      </c>
      <c r="C143" s="45"/>
      <c r="D143" s="45"/>
      <c r="E143" s="45"/>
      <c r="F143" s="46"/>
      <c r="G143" s="250"/>
      <c r="H143" s="243"/>
      <c r="I143" s="243"/>
      <c r="J143" s="243"/>
      <c r="K143" s="85"/>
      <c r="L143" s="85"/>
      <c r="M143" s="85"/>
      <c r="N143" s="85"/>
      <c r="O143" s="29"/>
      <c r="P143" s="307"/>
      <c r="Q143" s="85"/>
      <c r="R143" s="15"/>
      <c r="S143" s="15"/>
      <c r="T143" s="15"/>
      <c r="U143" s="243"/>
      <c r="V143" s="243"/>
      <c r="W143" s="243"/>
    </row>
    <row r="144" ht="15.75" customHeight="1">
      <c r="A144" s="67" t="str">
        <f t="shared" ref="A144:A146" si="33">$B$143&amp;C144</f>
        <v>Coupling (SCH-80)2 1⁄2</v>
      </c>
      <c r="B144" s="68">
        <v>1.0</v>
      </c>
      <c r="C144" s="110" t="s">
        <v>69</v>
      </c>
      <c r="D144" s="110">
        <v>65.0</v>
      </c>
      <c r="E144" s="111" t="s">
        <v>1343</v>
      </c>
      <c r="F144" s="181">
        <v>168.0</v>
      </c>
      <c r="G144" s="76">
        <f>IFERROR(__xludf.DUMMYFUNCTION("ArrayFormula(IFERROR(VLOOKUP(E144,IMPORTRANGE(""https://docs.google.com/spreadsheets/d/1xZyKy-UzMmtPDLpV5jQdYum1LtbR8XKDuasLSjmBRMI/edit#gid=1241094406"",""COMBINED DATA!E3:L""),{7,8},0)))"),0.29)</f>
        <v>0.29</v>
      </c>
      <c r="H144" s="76">
        <f>IFERROR(__xludf.DUMMYFUNCTION("""COMPUTED_VALUE"""),0.0)</f>
        <v>0</v>
      </c>
      <c r="I144" s="76">
        <f t="shared" ref="I144:I146" si="34">G144+H144</f>
        <v>0.29</v>
      </c>
      <c r="J144" s="84">
        <f t="shared" ref="J144:J146" si="35">IFERROR(F144/I144,"")</f>
        <v>579.3103448</v>
      </c>
      <c r="K144" s="85"/>
      <c r="L144" s="85"/>
      <c r="M144" s="85"/>
      <c r="N144" s="85"/>
      <c r="O144" s="316"/>
      <c r="P144" s="75"/>
      <c r="Q144" s="113"/>
      <c r="R144" s="20"/>
      <c r="S144" s="20"/>
      <c r="T144" s="20"/>
      <c r="U144" s="16"/>
      <c r="V144" s="16"/>
      <c r="W144" s="16"/>
    </row>
    <row r="145" ht="15.75" customHeight="1">
      <c r="A145" s="67" t="str">
        <f t="shared" si="33"/>
        <v>Coupling (SCH-80)3</v>
      </c>
      <c r="B145" s="90">
        <v>2.0</v>
      </c>
      <c r="C145" s="127">
        <v>3.0</v>
      </c>
      <c r="D145" s="127">
        <v>80.0</v>
      </c>
      <c r="E145" s="112" t="s">
        <v>1345</v>
      </c>
      <c r="F145" s="181">
        <v>228.0</v>
      </c>
      <c r="G145" s="76">
        <f>IFERROR(__xludf.DUMMYFUNCTION("ArrayFormula(IFERROR(VLOOKUP(E145,IMPORTRANGE(""https://docs.google.com/spreadsheets/d/1xZyKy-UzMmtPDLpV5jQdYum1LtbR8XKDuasLSjmBRMI/edit#gid=1241094406"",""COMBINED DATA!E3:L""),{7,8},0)))"),0.417)</f>
        <v>0.417</v>
      </c>
      <c r="H145" s="76">
        <f>IFERROR(__xludf.DUMMYFUNCTION("""COMPUTED_VALUE"""),0.0)</f>
        <v>0</v>
      </c>
      <c r="I145" s="76">
        <f t="shared" si="34"/>
        <v>0.417</v>
      </c>
      <c r="J145" s="84">
        <f t="shared" si="35"/>
        <v>546.7625899</v>
      </c>
      <c r="K145" s="85"/>
      <c r="L145" s="85"/>
      <c r="M145" s="85"/>
      <c r="N145" s="85"/>
      <c r="O145" s="316"/>
      <c r="P145" s="75"/>
      <c r="Q145" s="113"/>
      <c r="R145" s="20"/>
      <c r="S145" s="20"/>
      <c r="T145" s="20"/>
      <c r="U145" s="16"/>
      <c r="V145" s="16"/>
      <c r="W145" s="16"/>
    </row>
    <row r="146" ht="15.75" customHeight="1">
      <c r="A146" s="67" t="str">
        <f t="shared" si="33"/>
        <v>Coupling (SCH-80)4</v>
      </c>
      <c r="B146" s="90">
        <v>3.0</v>
      </c>
      <c r="C146" s="127">
        <v>4.0</v>
      </c>
      <c r="D146" s="127">
        <v>100.0</v>
      </c>
      <c r="E146" s="112" t="s">
        <v>1347</v>
      </c>
      <c r="F146" s="181">
        <v>362.0</v>
      </c>
      <c r="G146" s="76">
        <f>IFERROR(__xludf.DUMMYFUNCTION("ArrayFormula(IFERROR(VLOOKUP(E146,IMPORTRANGE(""https://docs.google.com/spreadsheets/d/1xZyKy-UzMmtPDLpV5jQdYum1LtbR8XKDuasLSjmBRMI/edit#gid=1241094406"",""COMBINED DATA!E3:L""),{7,8},0)))"),0.645)</f>
        <v>0.645</v>
      </c>
      <c r="H146" s="76">
        <f>IFERROR(__xludf.DUMMYFUNCTION("""COMPUTED_VALUE"""),0.0)</f>
        <v>0</v>
      </c>
      <c r="I146" s="76">
        <f t="shared" si="34"/>
        <v>0.645</v>
      </c>
      <c r="J146" s="84">
        <f t="shared" si="35"/>
        <v>561.2403101</v>
      </c>
      <c r="K146" s="85"/>
      <c r="L146" s="85"/>
      <c r="M146" s="85"/>
      <c r="N146" s="85"/>
      <c r="O146" s="316"/>
      <c r="P146" s="75"/>
      <c r="Q146" s="113"/>
      <c r="R146" s="20"/>
      <c r="S146" s="20"/>
      <c r="T146" s="20"/>
      <c r="U146" s="16"/>
      <c r="V146" s="16"/>
      <c r="W146" s="16"/>
    </row>
    <row r="147" ht="15.0" customHeight="1">
      <c r="A147" s="34"/>
      <c r="B147" s="237" t="s">
        <v>11</v>
      </c>
      <c r="C147" s="45"/>
      <c r="D147" s="45"/>
      <c r="E147" s="46"/>
      <c r="F147" s="103">
        <f>sum(F144:F146)</f>
        <v>758</v>
      </c>
      <c r="G147" s="250"/>
      <c r="H147" s="243"/>
      <c r="I147" s="243"/>
      <c r="J147" s="243"/>
      <c r="K147" s="85"/>
      <c r="L147" s="85"/>
      <c r="M147" s="85"/>
      <c r="N147" s="85"/>
      <c r="O147" s="29"/>
      <c r="P147" s="307"/>
      <c r="Q147" s="85"/>
      <c r="R147" s="15"/>
      <c r="S147" s="15"/>
      <c r="T147" s="15"/>
      <c r="U147" s="243"/>
      <c r="V147" s="243"/>
      <c r="W147" s="243"/>
    </row>
    <row r="148" ht="6.0" customHeight="1">
      <c r="A148" s="34"/>
      <c r="B148" s="15"/>
      <c r="C148" s="15"/>
      <c r="D148" s="15"/>
      <c r="E148" s="17"/>
      <c r="F148" s="15"/>
      <c r="G148" s="250"/>
      <c r="H148" s="243"/>
      <c r="I148" s="243"/>
      <c r="J148" s="243"/>
      <c r="K148" s="85"/>
      <c r="L148" s="85"/>
      <c r="M148" s="85"/>
      <c r="N148" s="85"/>
      <c r="O148" s="29"/>
      <c r="P148" s="307"/>
      <c r="Q148" s="85"/>
      <c r="R148" s="15"/>
      <c r="S148" s="15"/>
      <c r="T148" s="15"/>
      <c r="U148" s="243"/>
      <c r="V148" s="243"/>
      <c r="W148" s="243"/>
    </row>
    <row r="149" ht="22.5" customHeight="1">
      <c r="A149" s="34"/>
      <c r="B149" s="62" t="s">
        <v>1349</v>
      </c>
      <c r="C149" s="45"/>
      <c r="D149" s="45"/>
      <c r="E149" s="45"/>
      <c r="F149" s="46"/>
      <c r="G149" s="250"/>
      <c r="H149" s="243"/>
      <c r="I149" s="243"/>
      <c r="J149" s="243"/>
      <c r="K149" s="85"/>
      <c r="L149" s="85"/>
      <c r="M149" s="85"/>
      <c r="N149" s="85"/>
      <c r="O149" s="29"/>
      <c r="P149" s="307"/>
      <c r="Q149" s="85"/>
      <c r="R149" s="15"/>
      <c r="S149" s="15"/>
      <c r="T149" s="15"/>
      <c r="U149" s="243"/>
      <c r="V149" s="243"/>
      <c r="W149" s="243"/>
    </row>
    <row r="150" ht="15.75" customHeight="1">
      <c r="A150" s="67" t="str">
        <f>$B$149&amp;C150</f>
        <v>Coupling (SCH-40)6</v>
      </c>
      <c r="B150" s="68">
        <v>1.0</v>
      </c>
      <c r="C150" s="110">
        <v>6.0</v>
      </c>
      <c r="D150" s="110">
        <v>150.0</v>
      </c>
      <c r="E150" s="111" t="s">
        <v>1351</v>
      </c>
      <c r="F150" s="56">
        <v>534.0</v>
      </c>
      <c r="G150" s="76">
        <f>IFERROR(__xludf.DUMMYFUNCTION("ArrayFormula(IFERROR(VLOOKUP(E150,IMPORTRANGE(""https://docs.google.com/spreadsheets/d/1xZyKy-UzMmtPDLpV5jQdYum1LtbR8XKDuasLSjmBRMI/edit#gid=1241094406"",""COMBINED DATA!E3:L""),{7,8},0)))"),0.923)</f>
        <v>0.923</v>
      </c>
      <c r="H150" s="76">
        <f>IFERROR(__xludf.DUMMYFUNCTION("""COMPUTED_VALUE"""),0.0)</f>
        <v>0</v>
      </c>
      <c r="I150" s="76">
        <f>G150+H150</f>
        <v>0.923</v>
      </c>
      <c r="J150" s="84">
        <f>IFERROR(F150/I150,"")</f>
        <v>578.5482124</v>
      </c>
      <c r="K150" s="85"/>
      <c r="L150" s="85"/>
      <c r="M150" s="85"/>
      <c r="N150" s="85"/>
      <c r="O150" s="316"/>
      <c r="P150" s="75"/>
      <c r="Q150" s="113"/>
      <c r="R150" s="20"/>
      <c r="S150" s="20"/>
      <c r="T150" s="20"/>
      <c r="U150" s="16"/>
      <c r="V150" s="16"/>
      <c r="W150" s="16"/>
    </row>
    <row r="151" ht="4.5" customHeight="1">
      <c r="A151" s="34"/>
      <c r="B151" s="15"/>
      <c r="C151" s="15"/>
      <c r="D151" s="15"/>
      <c r="E151" s="17"/>
      <c r="F151" s="15"/>
      <c r="G151" s="250"/>
      <c r="H151" s="243"/>
      <c r="I151" s="243"/>
      <c r="J151" s="243"/>
      <c r="K151" s="85"/>
      <c r="L151" s="85"/>
      <c r="M151" s="85"/>
      <c r="N151" s="85"/>
      <c r="O151" s="29"/>
      <c r="P151" s="307"/>
      <c r="Q151" s="85"/>
      <c r="R151" s="15"/>
      <c r="S151" s="15"/>
      <c r="T151" s="15"/>
      <c r="U151" s="243"/>
      <c r="V151" s="243"/>
      <c r="W151" s="243"/>
    </row>
    <row r="152" ht="22.5" customHeight="1">
      <c r="A152" s="34"/>
      <c r="B152" s="322" t="s">
        <v>1353</v>
      </c>
      <c r="C152" s="45"/>
      <c r="D152" s="45"/>
      <c r="E152" s="45"/>
      <c r="F152" s="46"/>
      <c r="G152" s="250"/>
      <c r="H152" s="243"/>
      <c r="I152" s="243"/>
      <c r="J152" s="243"/>
      <c r="K152" s="85"/>
      <c r="L152" s="85"/>
      <c r="M152" s="85"/>
      <c r="N152" s="85"/>
      <c r="O152" s="29"/>
      <c r="P152" s="307"/>
      <c r="Q152" s="85"/>
      <c r="R152" s="15"/>
      <c r="S152" s="15"/>
      <c r="T152" s="15"/>
      <c r="U152" s="243"/>
      <c r="V152" s="243"/>
      <c r="W152" s="243"/>
    </row>
    <row r="153" ht="15.75" customHeight="1">
      <c r="A153" s="67" t="str">
        <f t="shared" ref="A153:A158" si="36">$B$152&amp;C153</f>
        <v>End Cap (SCH-80)1⁄2</v>
      </c>
      <c r="B153" s="51">
        <v>1.0</v>
      </c>
      <c r="C153" s="70" t="s">
        <v>43</v>
      </c>
      <c r="D153" s="70">
        <v>15.0</v>
      </c>
      <c r="E153" s="129" t="s">
        <v>1355</v>
      </c>
      <c r="F153" s="56">
        <v>6.6</v>
      </c>
      <c r="G153" s="76">
        <f>IFERROR(__xludf.DUMMYFUNCTION("ArrayFormula(IFERROR(VLOOKUP(E153,IMPORTRANGE(""https://docs.google.com/spreadsheets/d/1xZyKy-UzMmtPDLpV5jQdYum1LtbR8XKDuasLSjmBRMI/edit#gid=1241094406"",""COMBINED DATA!E3:L""),{7,8},0)))"),0.0129)</f>
        <v>0.0129</v>
      </c>
      <c r="H153" s="76">
        <f>IFERROR(__xludf.DUMMYFUNCTION("""COMPUTED_VALUE"""),0.0)</f>
        <v>0</v>
      </c>
      <c r="I153" s="76">
        <f t="shared" ref="I153:I158" si="37">G153+H153</f>
        <v>0.0129</v>
      </c>
      <c r="J153" s="84">
        <f t="shared" ref="J153:J158" si="38">IFERROR(F153/I153,"")</f>
        <v>511.627907</v>
      </c>
      <c r="K153" s="85"/>
      <c r="L153" s="85"/>
      <c r="M153" s="85"/>
      <c r="N153" s="85"/>
      <c r="O153" s="316"/>
      <c r="P153" s="75"/>
      <c r="Q153" s="113"/>
      <c r="R153" s="20"/>
      <c r="S153" s="20"/>
      <c r="T153" s="20"/>
      <c r="U153" s="16"/>
      <c r="V153" s="16"/>
      <c r="W153" s="16"/>
    </row>
    <row r="154" ht="15.75" customHeight="1">
      <c r="A154" s="67" t="str">
        <f t="shared" si="36"/>
        <v>End Cap (SCH-80)3⁄4</v>
      </c>
      <c r="B154" s="150">
        <v>2.0</v>
      </c>
      <c r="C154" s="92" t="s">
        <v>51</v>
      </c>
      <c r="D154" s="92">
        <v>20.0</v>
      </c>
      <c r="E154" s="94" t="s">
        <v>1357</v>
      </c>
      <c r="F154" s="56">
        <v>9.2</v>
      </c>
      <c r="G154" s="76">
        <f>IFERROR(__xludf.DUMMYFUNCTION("ArrayFormula(IFERROR(VLOOKUP(E154,IMPORTRANGE(""https://docs.google.com/spreadsheets/d/1xZyKy-UzMmtPDLpV5jQdYum1LtbR8XKDuasLSjmBRMI/edit#gid=1241094406"",""COMBINED DATA!E3:L""),{7,8},0)))"),0.018)</f>
        <v>0.018</v>
      </c>
      <c r="H154" s="76">
        <f>IFERROR(__xludf.DUMMYFUNCTION("""COMPUTED_VALUE"""),0.0)</f>
        <v>0</v>
      </c>
      <c r="I154" s="76">
        <f t="shared" si="37"/>
        <v>0.018</v>
      </c>
      <c r="J154" s="84">
        <f t="shared" si="38"/>
        <v>511.1111111</v>
      </c>
      <c r="K154" s="85"/>
      <c r="L154" s="85"/>
      <c r="M154" s="85"/>
      <c r="N154" s="85"/>
      <c r="O154" s="316"/>
      <c r="P154" s="75"/>
      <c r="Q154" s="113"/>
      <c r="R154" s="20"/>
      <c r="S154" s="20"/>
      <c r="T154" s="20"/>
      <c r="U154" s="16"/>
      <c r="V154" s="16"/>
      <c r="W154" s="16"/>
    </row>
    <row r="155" ht="15.75" customHeight="1">
      <c r="A155" s="67" t="str">
        <f t="shared" si="36"/>
        <v>End Cap (SCH-80)1</v>
      </c>
      <c r="B155" s="150">
        <v>3.0</v>
      </c>
      <c r="C155" s="92" t="s">
        <v>84</v>
      </c>
      <c r="D155" s="92">
        <v>25.0</v>
      </c>
      <c r="E155" s="94" t="s">
        <v>1359</v>
      </c>
      <c r="F155" s="56">
        <v>15.2</v>
      </c>
      <c r="G155" s="76">
        <f>IFERROR(__xludf.DUMMYFUNCTION("ArrayFormula(IFERROR(VLOOKUP(E155,IMPORTRANGE(""https://docs.google.com/spreadsheets/d/1xZyKy-UzMmtPDLpV5jQdYum1LtbR8XKDuasLSjmBRMI/edit#gid=1241094406"",""COMBINED DATA!E3:L""),{7,8},0)))"),0.0298)</f>
        <v>0.0298</v>
      </c>
      <c r="H155" s="76">
        <f>IFERROR(__xludf.DUMMYFUNCTION("""COMPUTED_VALUE"""),0.0)</f>
        <v>0</v>
      </c>
      <c r="I155" s="76">
        <f t="shared" si="37"/>
        <v>0.0298</v>
      </c>
      <c r="J155" s="84">
        <f t="shared" si="38"/>
        <v>510.0671141</v>
      </c>
      <c r="K155" s="85"/>
      <c r="L155" s="85"/>
      <c r="M155" s="85"/>
      <c r="N155" s="85"/>
      <c r="O155" s="316"/>
      <c r="P155" s="75"/>
      <c r="Q155" s="113"/>
      <c r="R155" s="20"/>
      <c r="S155" s="20"/>
      <c r="T155" s="20"/>
      <c r="U155" s="16"/>
      <c r="V155" s="16"/>
      <c r="W155" s="16"/>
    </row>
    <row r="156" ht="15.75" customHeight="1">
      <c r="A156" s="67" t="str">
        <f t="shared" si="36"/>
        <v>End Cap (SCH-80)1 1⁄4</v>
      </c>
      <c r="B156" s="150">
        <v>4.0</v>
      </c>
      <c r="C156" s="92" t="s">
        <v>55</v>
      </c>
      <c r="D156" s="92">
        <v>32.0</v>
      </c>
      <c r="E156" s="94" t="s">
        <v>1361</v>
      </c>
      <c r="F156" s="56">
        <v>24.8</v>
      </c>
      <c r="G156" s="76">
        <f>IFERROR(__xludf.DUMMYFUNCTION("ArrayFormula(IFERROR(VLOOKUP(E156,IMPORTRANGE(""https://docs.google.com/spreadsheets/d/1xZyKy-UzMmtPDLpV5jQdYum1LtbR8XKDuasLSjmBRMI/edit#gid=1241094406"",""COMBINED DATA!E3:L""),{7,8},0)))"),0.047799999999999995)</f>
        <v>0.0478</v>
      </c>
      <c r="H156" s="76">
        <f>IFERROR(__xludf.DUMMYFUNCTION("""COMPUTED_VALUE"""),0.0)</f>
        <v>0</v>
      </c>
      <c r="I156" s="76">
        <f t="shared" si="37"/>
        <v>0.0478</v>
      </c>
      <c r="J156" s="84">
        <f t="shared" si="38"/>
        <v>518.8284519</v>
      </c>
      <c r="K156" s="85"/>
      <c r="L156" s="85"/>
      <c r="M156" s="85"/>
      <c r="N156" s="85"/>
      <c r="O156" s="316"/>
      <c r="P156" s="75"/>
      <c r="Q156" s="113"/>
      <c r="R156" s="20"/>
      <c r="S156" s="20"/>
      <c r="T156" s="20"/>
      <c r="U156" s="16"/>
      <c r="V156" s="16"/>
      <c r="W156" s="16"/>
    </row>
    <row r="157" ht="15.75" customHeight="1">
      <c r="A157" s="67" t="str">
        <f t="shared" si="36"/>
        <v>End Cap (SCH-80)1 1⁄2</v>
      </c>
      <c r="B157" s="150">
        <v>5.0</v>
      </c>
      <c r="C157" s="92" t="s">
        <v>56</v>
      </c>
      <c r="D157" s="92">
        <v>40.0</v>
      </c>
      <c r="E157" s="94" t="s">
        <v>1362</v>
      </c>
      <c r="F157" s="56">
        <v>30.8</v>
      </c>
      <c r="G157" s="76">
        <f>IFERROR(__xludf.DUMMYFUNCTION("ArrayFormula(IFERROR(VLOOKUP(E157,IMPORTRANGE(""https://docs.google.com/spreadsheets/d/1xZyKy-UzMmtPDLpV5jQdYum1LtbR8XKDuasLSjmBRMI/edit#gid=1241094406"",""COMBINED DATA!E3:L""),{7,8},0)))"),0.0601)</f>
        <v>0.0601</v>
      </c>
      <c r="H157" s="76">
        <f>IFERROR(__xludf.DUMMYFUNCTION("""COMPUTED_VALUE"""),0.0)</f>
        <v>0</v>
      </c>
      <c r="I157" s="76">
        <f t="shared" si="37"/>
        <v>0.0601</v>
      </c>
      <c r="J157" s="84">
        <f t="shared" si="38"/>
        <v>512.4792013</v>
      </c>
      <c r="K157" s="85"/>
      <c r="L157" s="85"/>
      <c r="M157" s="85"/>
      <c r="N157" s="85"/>
      <c r="O157" s="316"/>
      <c r="P157" s="75"/>
      <c r="Q157" s="113"/>
      <c r="R157" s="20"/>
      <c r="S157" s="20"/>
      <c r="T157" s="20"/>
      <c r="U157" s="16"/>
      <c r="V157" s="16"/>
      <c r="W157" s="16"/>
    </row>
    <row r="158" ht="15.75" customHeight="1">
      <c r="A158" s="67" t="str">
        <f t="shared" si="36"/>
        <v>End Cap (SCH-80)2</v>
      </c>
      <c r="B158" s="150">
        <v>6.0</v>
      </c>
      <c r="C158" s="92" t="s">
        <v>107</v>
      </c>
      <c r="D158" s="92">
        <v>50.0</v>
      </c>
      <c r="E158" s="94" t="s">
        <v>1364</v>
      </c>
      <c r="F158" s="56">
        <v>49.8</v>
      </c>
      <c r="G158" s="76">
        <f>IFERROR(__xludf.DUMMYFUNCTION("ArrayFormula(IFERROR(VLOOKUP(E158,IMPORTRANGE(""https://docs.google.com/spreadsheets/d/1xZyKy-UzMmtPDLpV5jQdYum1LtbR8XKDuasLSjmBRMI/edit#gid=1241094406"",""COMBINED DATA!E3:L""),{7,8},0)))"),0.094)</f>
        <v>0.094</v>
      </c>
      <c r="H158" s="76">
        <f>IFERROR(__xludf.DUMMYFUNCTION("""COMPUTED_VALUE"""),0.0)</f>
        <v>0</v>
      </c>
      <c r="I158" s="76">
        <f t="shared" si="37"/>
        <v>0.094</v>
      </c>
      <c r="J158" s="84">
        <f t="shared" si="38"/>
        <v>529.787234</v>
      </c>
      <c r="K158" s="85"/>
      <c r="L158" s="85"/>
      <c r="M158" s="85"/>
      <c r="N158" s="85"/>
      <c r="O158" s="316"/>
      <c r="P158" s="75"/>
      <c r="Q158" s="113"/>
      <c r="R158" s="20"/>
      <c r="S158" s="20"/>
      <c r="T158" s="20"/>
      <c r="U158" s="16"/>
      <c r="V158" s="16"/>
      <c r="W158" s="16"/>
    </row>
    <row r="159">
      <c r="A159" s="34"/>
      <c r="B159" s="314" t="s">
        <v>11</v>
      </c>
      <c r="C159" s="273"/>
      <c r="D159" s="273"/>
      <c r="E159" s="180"/>
      <c r="F159" s="315">
        <f>SUM(F153:F158)</f>
        <v>136.4</v>
      </c>
      <c r="G159" s="250"/>
      <c r="H159" s="243"/>
      <c r="I159" s="243"/>
      <c r="J159" s="243"/>
      <c r="K159" s="85"/>
      <c r="L159" s="85"/>
      <c r="M159" s="85"/>
      <c r="N159" s="85"/>
      <c r="O159" s="29"/>
      <c r="P159" s="307"/>
      <c r="Q159" s="85"/>
      <c r="R159" s="15"/>
      <c r="S159" s="15"/>
      <c r="T159" s="15"/>
      <c r="U159" s="243"/>
      <c r="V159" s="243"/>
      <c r="W159" s="243"/>
    </row>
    <row r="160" ht="6.0" customHeight="1">
      <c r="A160" s="34"/>
      <c r="B160" s="15"/>
      <c r="C160" s="15"/>
      <c r="D160" s="15"/>
      <c r="E160" s="17"/>
      <c r="F160" s="15"/>
      <c r="G160" s="250"/>
      <c r="H160" s="243"/>
      <c r="I160" s="243"/>
      <c r="J160" s="243"/>
      <c r="K160" s="85"/>
      <c r="L160" s="85"/>
      <c r="M160" s="85"/>
      <c r="N160" s="85"/>
      <c r="O160" s="29"/>
      <c r="P160" s="307"/>
      <c r="Q160" s="85"/>
      <c r="R160" s="15"/>
      <c r="S160" s="15"/>
      <c r="T160" s="15"/>
      <c r="U160" s="243"/>
      <c r="V160" s="243"/>
      <c r="W160" s="243"/>
    </row>
    <row r="161" ht="22.5" customHeight="1">
      <c r="A161" s="34"/>
      <c r="B161" s="322" t="s">
        <v>1353</v>
      </c>
      <c r="C161" s="45"/>
      <c r="D161" s="45"/>
      <c r="E161" s="45"/>
      <c r="F161" s="46"/>
      <c r="G161" s="250"/>
      <c r="H161" s="243"/>
      <c r="I161" s="243"/>
      <c r="J161" s="243"/>
      <c r="K161" s="85"/>
      <c r="L161" s="85"/>
      <c r="M161" s="85"/>
      <c r="N161" s="85"/>
      <c r="O161" s="29"/>
      <c r="P161" s="307"/>
      <c r="Q161" s="85"/>
      <c r="R161" s="15"/>
      <c r="S161" s="15"/>
      <c r="T161" s="15"/>
      <c r="U161" s="243"/>
      <c r="V161" s="243"/>
      <c r="W161" s="243"/>
    </row>
    <row r="162" ht="15.75" customHeight="1">
      <c r="A162" s="67" t="str">
        <f t="shared" ref="A162:A164" si="39">$B$161&amp;C162</f>
        <v>End Cap (SCH-80)2 1⁄2</v>
      </c>
      <c r="B162" s="68">
        <v>1.0</v>
      </c>
      <c r="C162" s="110" t="s">
        <v>69</v>
      </c>
      <c r="D162" s="110">
        <v>65.0</v>
      </c>
      <c r="E162" s="129" t="s">
        <v>1367</v>
      </c>
      <c r="F162" s="181">
        <v>99.4</v>
      </c>
      <c r="G162" s="76">
        <f>IFERROR(__xludf.DUMMYFUNCTION("ArrayFormula(IFERROR(VLOOKUP(E162,IMPORTRANGE(""https://docs.google.com/spreadsheets/d/1xZyKy-UzMmtPDLpV5jQdYum1LtbR8XKDuasLSjmBRMI/edit#gid=1241094406"",""COMBINED DATA!E3:L""),{7,8},0)))"),0.18980000000000002)</f>
        <v>0.1898</v>
      </c>
      <c r="H162" s="76">
        <f>IFERROR(__xludf.DUMMYFUNCTION("""COMPUTED_VALUE"""),0.0)</f>
        <v>0</v>
      </c>
      <c r="I162" s="76">
        <f t="shared" ref="I162:I164" si="40">G162+H162</f>
        <v>0.1898</v>
      </c>
      <c r="J162" s="84">
        <f t="shared" ref="J162:J164" si="41">IFERROR(F162/I162,"")</f>
        <v>523.7091675</v>
      </c>
      <c r="K162" s="85"/>
      <c r="L162" s="85"/>
      <c r="M162" s="85"/>
      <c r="N162" s="85"/>
      <c r="O162" s="316"/>
      <c r="P162" s="75"/>
      <c r="Q162" s="113"/>
      <c r="R162" s="20"/>
      <c r="S162" s="20"/>
      <c r="T162" s="20"/>
      <c r="U162" s="16"/>
      <c r="V162" s="16"/>
      <c r="W162" s="16"/>
    </row>
    <row r="163" ht="15.75" customHeight="1">
      <c r="A163" s="67" t="str">
        <f t="shared" si="39"/>
        <v>End Cap (SCH-80)3</v>
      </c>
      <c r="B163" s="90">
        <v>2.0</v>
      </c>
      <c r="C163" s="127">
        <v>3.0</v>
      </c>
      <c r="D163" s="127">
        <v>80.0</v>
      </c>
      <c r="E163" s="94" t="s">
        <v>1370</v>
      </c>
      <c r="F163" s="181">
        <v>148.0</v>
      </c>
      <c r="G163" s="76">
        <f>IFERROR(__xludf.DUMMYFUNCTION("ArrayFormula(IFERROR(VLOOKUP(E163,IMPORTRANGE(""https://docs.google.com/spreadsheets/d/1xZyKy-UzMmtPDLpV5jQdYum1LtbR8XKDuasLSjmBRMI/edit#gid=1241094406"",""COMBINED DATA!E3:L""),{7,8},0)))"),0.277)</f>
        <v>0.277</v>
      </c>
      <c r="H163" s="76">
        <f>IFERROR(__xludf.DUMMYFUNCTION("""COMPUTED_VALUE"""),0.0)</f>
        <v>0</v>
      </c>
      <c r="I163" s="76">
        <f t="shared" si="40"/>
        <v>0.277</v>
      </c>
      <c r="J163" s="84">
        <f t="shared" si="41"/>
        <v>534.2960289</v>
      </c>
      <c r="K163" s="85"/>
      <c r="L163" s="85"/>
      <c r="M163" s="85"/>
      <c r="N163" s="85"/>
      <c r="O163" s="316"/>
      <c r="P163" s="75"/>
      <c r="Q163" s="113"/>
      <c r="R163" s="20"/>
      <c r="S163" s="20"/>
      <c r="T163" s="20"/>
      <c r="U163" s="16"/>
      <c r="V163" s="16"/>
      <c r="W163" s="16"/>
    </row>
    <row r="164" ht="15.75" customHeight="1">
      <c r="A164" s="67" t="str">
        <f t="shared" si="39"/>
        <v>End Cap (SCH-80)4</v>
      </c>
      <c r="B164" s="90">
        <v>3.0</v>
      </c>
      <c r="C164" s="127">
        <v>4.0</v>
      </c>
      <c r="D164" s="127">
        <v>100.0</v>
      </c>
      <c r="E164" s="94" t="s">
        <v>1371</v>
      </c>
      <c r="F164" s="181">
        <v>248.0</v>
      </c>
      <c r="G164" s="76">
        <f>IFERROR(__xludf.DUMMYFUNCTION("ArrayFormula(IFERROR(VLOOKUP(E164,IMPORTRANGE(""https://docs.google.com/spreadsheets/d/1xZyKy-UzMmtPDLpV5jQdYum1LtbR8XKDuasLSjmBRMI/edit#gid=1241094406"",""COMBINED DATA!E3:L""),{7,8},0)))"),0.476)</f>
        <v>0.476</v>
      </c>
      <c r="H164" s="76">
        <f>IFERROR(__xludf.DUMMYFUNCTION("""COMPUTED_VALUE"""),0.0)</f>
        <v>0</v>
      </c>
      <c r="I164" s="76">
        <f t="shared" si="40"/>
        <v>0.476</v>
      </c>
      <c r="J164" s="84">
        <f t="shared" si="41"/>
        <v>521.0084034</v>
      </c>
      <c r="K164" s="85"/>
      <c r="L164" s="85"/>
      <c r="M164" s="85"/>
      <c r="N164" s="85"/>
      <c r="O164" s="316"/>
      <c r="P164" s="75"/>
      <c r="Q164" s="113"/>
      <c r="R164" s="20"/>
      <c r="S164" s="20"/>
      <c r="T164" s="20"/>
      <c r="U164" s="16"/>
      <c r="V164" s="16"/>
      <c r="W164" s="16"/>
    </row>
    <row r="165">
      <c r="A165" s="34"/>
      <c r="B165" s="237" t="s">
        <v>11</v>
      </c>
      <c r="C165" s="45"/>
      <c r="D165" s="45"/>
      <c r="E165" s="46"/>
      <c r="F165" s="103">
        <f>sum(F162:F164)</f>
        <v>495.4</v>
      </c>
      <c r="G165" s="250"/>
      <c r="H165" s="243"/>
      <c r="I165" s="243"/>
      <c r="J165" s="243"/>
      <c r="K165" s="85"/>
      <c r="L165" s="85"/>
      <c r="M165" s="85"/>
      <c r="N165" s="85"/>
      <c r="O165" s="29"/>
      <c r="P165" s="307"/>
      <c r="Q165" s="85"/>
      <c r="R165" s="15"/>
      <c r="S165" s="15"/>
      <c r="T165" s="15"/>
      <c r="U165" s="243"/>
      <c r="V165" s="243"/>
      <c r="W165" s="243"/>
    </row>
    <row r="166" ht="6.0" customHeight="1">
      <c r="A166" s="34"/>
      <c r="B166" s="15"/>
      <c r="C166" s="15"/>
      <c r="D166" s="15"/>
      <c r="E166" s="17"/>
      <c r="F166" s="15"/>
      <c r="G166" s="250"/>
      <c r="H166" s="243"/>
      <c r="I166" s="243"/>
      <c r="J166" s="243"/>
      <c r="K166" s="85"/>
      <c r="L166" s="85"/>
      <c r="M166" s="85"/>
      <c r="N166" s="85"/>
      <c r="O166" s="29"/>
      <c r="P166" s="307"/>
      <c r="Q166" s="85"/>
      <c r="R166" s="15"/>
      <c r="S166" s="15"/>
      <c r="T166" s="15"/>
      <c r="U166" s="243"/>
      <c r="V166" s="243"/>
      <c r="W166" s="243"/>
    </row>
    <row r="167" ht="22.5" customHeight="1">
      <c r="A167" s="34"/>
      <c r="B167" s="62" t="s">
        <v>593</v>
      </c>
      <c r="C167" s="45"/>
      <c r="D167" s="45"/>
      <c r="E167" s="45"/>
      <c r="F167" s="46"/>
      <c r="G167" s="250"/>
      <c r="H167" s="243"/>
      <c r="I167" s="243"/>
      <c r="J167" s="243"/>
      <c r="K167" s="85"/>
      <c r="L167" s="85"/>
      <c r="M167" s="85"/>
      <c r="N167" s="85"/>
      <c r="O167" s="29"/>
      <c r="P167" s="307"/>
      <c r="Q167" s="85"/>
      <c r="R167" s="15"/>
      <c r="S167" s="15"/>
      <c r="T167" s="15"/>
      <c r="U167" s="243"/>
      <c r="V167" s="243"/>
      <c r="W167" s="243"/>
    </row>
    <row r="168" ht="15.75" customHeight="1">
      <c r="A168" s="67" t="str">
        <f t="shared" ref="A168:A173" si="42">$B$167&amp;C168</f>
        <v>Male Adapter Plastic Threads (SCH-80)1⁄2</v>
      </c>
      <c r="B168" s="68">
        <v>1.0</v>
      </c>
      <c r="C168" s="70" t="s">
        <v>43</v>
      </c>
      <c r="D168" s="70">
        <v>15.0</v>
      </c>
      <c r="E168" s="129" t="s">
        <v>1375</v>
      </c>
      <c r="F168" s="56">
        <v>7.5</v>
      </c>
      <c r="G168" s="76">
        <f>IFERROR(__xludf.DUMMYFUNCTION("ArrayFormula(IFERROR(VLOOKUP(E168,IMPORTRANGE(""https://docs.google.com/spreadsheets/d/1xZyKy-UzMmtPDLpV5jQdYum1LtbR8XKDuasLSjmBRMI/edit#gid=1241094406"",""COMBINED DATA!E3:L""),{7,8},0)))"),0.01492)</f>
        <v>0.01492</v>
      </c>
      <c r="H168" s="76">
        <f>IFERROR(__xludf.DUMMYFUNCTION("""COMPUTED_VALUE"""),0.0)</f>
        <v>0</v>
      </c>
      <c r="I168" s="76">
        <f t="shared" ref="I168:I173" si="43">G168+H168</f>
        <v>0.01492</v>
      </c>
      <c r="J168" s="84">
        <f t="shared" ref="J168:J173" si="44">IFERROR(F168/I168,"")</f>
        <v>502.6809651</v>
      </c>
      <c r="K168" s="85"/>
      <c r="L168" s="85"/>
      <c r="M168" s="85"/>
      <c r="N168" s="85"/>
      <c r="O168" s="316"/>
      <c r="P168" s="317"/>
      <c r="Q168" s="113"/>
      <c r="R168" s="20"/>
      <c r="S168" s="20"/>
      <c r="T168" s="20"/>
      <c r="U168" s="16"/>
      <c r="V168" s="16"/>
      <c r="W168" s="16"/>
    </row>
    <row r="169" ht="15.75" customHeight="1">
      <c r="A169" s="67" t="str">
        <f t="shared" si="42"/>
        <v>Male Adapter Plastic Threads (SCH-80)3⁄4</v>
      </c>
      <c r="B169" s="90">
        <v>2.0</v>
      </c>
      <c r="C169" s="92" t="s">
        <v>51</v>
      </c>
      <c r="D169" s="92">
        <v>20.0</v>
      </c>
      <c r="E169" s="94" t="s">
        <v>1377</v>
      </c>
      <c r="F169" s="56">
        <v>10.9</v>
      </c>
      <c r="G169" s="76">
        <f>IFERROR(__xludf.DUMMYFUNCTION("ArrayFormula(IFERROR(VLOOKUP(E169,IMPORTRANGE(""https://docs.google.com/spreadsheets/d/1xZyKy-UzMmtPDLpV5jQdYum1LtbR8XKDuasLSjmBRMI/edit#gid=1241094406"",""COMBINED DATA!E3:L""),{7,8},0)))"),0.023)</f>
        <v>0.023</v>
      </c>
      <c r="H169" s="76">
        <f>IFERROR(__xludf.DUMMYFUNCTION("""COMPUTED_VALUE"""),0.0)</f>
        <v>0</v>
      </c>
      <c r="I169" s="76">
        <f t="shared" si="43"/>
        <v>0.023</v>
      </c>
      <c r="J169" s="84">
        <f t="shared" si="44"/>
        <v>473.9130435</v>
      </c>
      <c r="K169" s="85"/>
      <c r="L169" s="85"/>
      <c r="M169" s="85"/>
      <c r="N169" s="85"/>
      <c r="O169" s="316"/>
      <c r="P169" s="317"/>
      <c r="Q169" s="113"/>
      <c r="R169" s="20"/>
      <c r="S169" s="20"/>
      <c r="T169" s="20"/>
      <c r="U169" s="16"/>
      <c r="V169" s="16"/>
      <c r="W169" s="16"/>
    </row>
    <row r="170" ht="15.75" customHeight="1">
      <c r="A170" s="67" t="str">
        <f t="shared" si="42"/>
        <v>Male Adapter Plastic Threads (SCH-80)1</v>
      </c>
      <c r="B170" s="90">
        <v>3.0</v>
      </c>
      <c r="C170" s="92" t="s">
        <v>84</v>
      </c>
      <c r="D170" s="92">
        <v>25.0</v>
      </c>
      <c r="E170" s="94" t="s">
        <v>1378</v>
      </c>
      <c r="F170" s="56">
        <v>20.4</v>
      </c>
      <c r="G170" s="76">
        <f>IFERROR(__xludf.DUMMYFUNCTION("ArrayFormula(IFERROR(VLOOKUP(E170,IMPORTRANGE(""https://docs.google.com/spreadsheets/d/1xZyKy-UzMmtPDLpV5jQdYum1LtbR8XKDuasLSjmBRMI/edit#gid=1241094406"",""COMBINED DATA!E3:L""),{7,8},0)))"),0.0425)</f>
        <v>0.0425</v>
      </c>
      <c r="H170" s="76">
        <f>IFERROR(__xludf.DUMMYFUNCTION("""COMPUTED_VALUE"""),0.0)</f>
        <v>0</v>
      </c>
      <c r="I170" s="76">
        <f t="shared" si="43"/>
        <v>0.0425</v>
      </c>
      <c r="J170" s="84">
        <f t="shared" si="44"/>
        <v>480</v>
      </c>
      <c r="K170" s="85"/>
      <c r="L170" s="85"/>
      <c r="M170" s="85"/>
      <c r="N170" s="85"/>
      <c r="O170" s="316"/>
      <c r="P170" s="317"/>
      <c r="Q170" s="113"/>
      <c r="R170" s="20"/>
      <c r="S170" s="20"/>
      <c r="T170" s="20"/>
      <c r="U170" s="16"/>
      <c r="V170" s="16"/>
      <c r="W170" s="16"/>
    </row>
    <row r="171" ht="15.75" customHeight="1">
      <c r="A171" s="67" t="str">
        <f t="shared" si="42"/>
        <v>Male Adapter Plastic Threads (SCH-80)1 1⁄4</v>
      </c>
      <c r="B171" s="90">
        <v>4.0</v>
      </c>
      <c r="C171" s="92" t="s">
        <v>55</v>
      </c>
      <c r="D171" s="92">
        <v>32.0</v>
      </c>
      <c r="E171" s="94" t="s">
        <v>1379</v>
      </c>
      <c r="F171" s="56">
        <v>29.2</v>
      </c>
      <c r="G171" s="76">
        <f>IFERROR(__xludf.DUMMYFUNCTION("ArrayFormula(IFERROR(VLOOKUP(E171,IMPORTRANGE(""https://docs.google.com/spreadsheets/d/1xZyKy-UzMmtPDLpV5jQdYum1LtbR8XKDuasLSjmBRMI/edit#gid=1241094406"",""COMBINED DATA!E3:L""),{7,8},0)))"),0.05975)</f>
        <v>0.05975</v>
      </c>
      <c r="H171" s="76">
        <f>IFERROR(__xludf.DUMMYFUNCTION("""COMPUTED_VALUE"""),0.0)</f>
        <v>0</v>
      </c>
      <c r="I171" s="76">
        <f t="shared" si="43"/>
        <v>0.05975</v>
      </c>
      <c r="J171" s="84">
        <f t="shared" si="44"/>
        <v>488.7029289</v>
      </c>
      <c r="K171" s="85"/>
      <c r="L171" s="85"/>
      <c r="M171" s="85"/>
      <c r="N171" s="85"/>
      <c r="O171" s="316"/>
      <c r="P171" s="317"/>
      <c r="Q171" s="113"/>
      <c r="R171" s="20"/>
      <c r="S171" s="20"/>
      <c r="T171" s="20"/>
      <c r="U171" s="16"/>
      <c r="V171" s="16"/>
      <c r="W171" s="16"/>
    </row>
    <row r="172" ht="15.75" customHeight="1">
      <c r="A172" s="67" t="str">
        <f t="shared" si="42"/>
        <v>Male Adapter Plastic Threads (SCH-80)1 1⁄2</v>
      </c>
      <c r="B172" s="90">
        <v>5.0</v>
      </c>
      <c r="C172" s="92" t="s">
        <v>56</v>
      </c>
      <c r="D172" s="92">
        <v>40.0</v>
      </c>
      <c r="E172" s="94" t="s">
        <v>1380</v>
      </c>
      <c r="F172" s="56">
        <v>36.2</v>
      </c>
      <c r="G172" s="76">
        <f>IFERROR(__xludf.DUMMYFUNCTION("ArrayFormula(IFERROR(VLOOKUP(E172,IMPORTRANGE(""https://docs.google.com/spreadsheets/d/1xZyKy-UzMmtPDLpV5jQdYum1LtbR8XKDuasLSjmBRMI/edit#gid=1241094406"",""COMBINED DATA!E3:L""),{7,8},0)))"),0.0752)</f>
        <v>0.0752</v>
      </c>
      <c r="H172" s="76">
        <f>IFERROR(__xludf.DUMMYFUNCTION("""COMPUTED_VALUE"""),0.0)</f>
        <v>0</v>
      </c>
      <c r="I172" s="76">
        <f t="shared" si="43"/>
        <v>0.0752</v>
      </c>
      <c r="J172" s="84">
        <f t="shared" si="44"/>
        <v>481.3829787</v>
      </c>
      <c r="K172" s="85"/>
      <c r="L172" s="85"/>
      <c r="M172" s="85"/>
      <c r="N172" s="85"/>
      <c r="O172" s="316"/>
      <c r="P172" s="317"/>
      <c r="Q172" s="113"/>
      <c r="R172" s="20"/>
      <c r="S172" s="20"/>
      <c r="T172" s="20"/>
      <c r="U172" s="16"/>
      <c r="V172" s="16"/>
      <c r="W172" s="16"/>
    </row>
    <row r="173" ht="15.75" customHeight="1">
      <c r="A173" s="67" t="str">
        <f t="shared" si="42"/>
        <v>Male Adapter Plastic Threads (SCH-80)2</v>
      </c>
      <c r="B173" s="90">
        <v>6.0</v>
      </c>
      <c r="C173" s="92" t="s">
        <v>107</v>
      </c>
      <c r="D173" s="92">
        <v>50.0</v>
      </c>
      <c r="E173" s="94" t="s">
        <v>1381</v>
      </c>
      <c r="F173" s="56">
        <v>54.6</v>
      </c>
      <c r="G173" s="76">
        <f>IFERROR(__xludf.DUMMYFUNCTION("ArrayFormula(IFERROR(VLOOKUP(E173,IMPORTRANGE(""https://docs.google.com/spreadsheets/d/1xZyKy-UzMmtPDLpV5jQdYum1LtbR8XKDuasLSjmBRMI/edit#gid=1241094406"",""COMBINED DATA!E3:L""),{7,8},0)))"),0.1092)</f>
        <v>0.1092</v>
      </c>
      <c r="H173" s="76">
        <f>IFERROR(__xludf.DUMMYFUNCTION("""COMPUTED_VALUE"""),0.0)</f>
        <v>0</v>
      </c>
      <c r="I173" s="76">
        <f t="shared" si="43"/>
        <v>0.1092</v>
      </c>
      <c r="J173" s="84">
        <f t="shared" si="44"/>
        <v>500</v>
      </c>
      <c r="K173" s="85"/>
      <c r="L173" s="85"/>
      <c r="M173" s="85"/>
      <c r="N173" s="85"/>
      <c r="O173" s="316"/>
      <c r="P173" s="317"/>
      <c r="Q173" s="113"/>
      <c r="R173" s="20"/>
      <c r="S173" s="20"/>
      <c r="T173" s="20"/>
      <c r="U173" s="16"/>
      <c r="V173" s="16"/>
      <c r="W173" s="16"/>
    </row>
    <row r="174">
      <c r="A174" s="34"/>
      <c r="B174" s="237" t="s">
        <v>11</v>
      </c>
      <c r="C174" s="45"/>
      <c r="D174" s="45"/>
      <c r="E174" s="46"/>
      <c r="F174" s="103">
        <f>SUM(F168:F173)</f>
        <v>158.8</v>
      </c>
      <c r="G174" s="250"/>
      <c r="H174" s="243"/>
      <c r="I174" s="243"/>
      <c r="J174" s="243"/>
      <c r="K174" s="85"/>
      <c r="L174" s="85"/>
      <c r="M174" s="85"/>
      <c r="N174" s="85"/>
      <c r="O174" s="29"/>
      <c r="P174" s="307"/>
      <c r="Q174" s="85"/>
      <c r="R174" s="15"/>
      <c r="S174" s="15"/>
      <c r="T174" s="15"/>
      <c r="U174" s="243"/>
      <c r="V174" s="243"/>
      <c r="W174" s="243"/>
    </row>
    <row r="175" ht="6.0" customHeight="1">
      <c r="A175" s="34"/>
      <c r="B175" s="15"/>
      <c r="C175" s="15"/>
      <c r="D175" s="15"/>
      <c r="E175" s="17"/>
      <c r="F175" s="15"/>
      <c r="G175" s="250"/>
      <c r="H175" s="243"/>
      <c r="I175" s="243"/>
      <c r="J175" s="243"/>
      <c r="K175" s="85"/>
      <c r="L175" s="85"/>
      <c r="M175" s="85"/>
      <c r="N175" s="85"/>
      <c r="O175" s="29"/>
      <c r="P175" s="307"/>
      <c r="Q175" s="85"/>
      <c r="R175" s="15"/>
      <c r="S175" s="15"/>
      <c r="T175" s="15"/>
      <c r="U175" s="243"/>
      <c r="V175" s="243"/>
      <c r="W175" s="243"/>
    </row>
    <row r="176" ht="22.5" customHeight="1">
      <c r="A176" s="34"/>
      <c r="B176" s="62" t="s">
        <v>593</v>
      </c>
      <c r="C176" s="45"/>
      <c r="D176" s="45"/>
      <c r="E176" s="45"/>
      <c r="F176" s="46"/>
      <c r="G176" s="250"/>
      <c r="H176" s="243"/>
      <c r="I176" s="243"/>
      <c r="J176" s="243"/>
      <c r="K176" s="85"/>
      <c r="L176" s="85"/>
      <c r="M176" s="85"/>
      <c r="N176" s="85"/>
      <c r="O176" s="29"/>
      <c r="P176" s="307"/>
      <c r="Q176" s="85"/>
      <c r="R176" s="15"/>
      <c r="S176" s="15"/>
      <c r="T176" s="15"/>
      <c r="U176" s="243"/>
      <c r="V176" s="243"/>
      <c r="W176" s="243"/>
    </row>
    <row r="177" ht="15.75" customHeight="1">
      <c r="A177" s="67" t="str">
        <f t="shared" ref="A177:A179" si="45">$B$176&amp;C177</f>
        <v>Male Adapter Plastic Threads (SCH-80)2 1⁄2</v>
      </c>
      <c r="B177" s="68">
        <v>1.0</v>
      </c>
      <c r="C177" s="110" t="s">
        <v>69</v>
      </c>
      <c r="D177" s="110">
        <v>65.0</v>
      </c>
      <c r="E177" s="111" t="s">
        <v>1383</v>
      </c>
      <c r="F177" s="56">
        <v>109.0</v>
      </c>
      <c r="G177" s="76">
        <f>IFERROR(__xludf.DUMMYFUNCTION("ArrayFormula(IFERROR(VLOOKUP(E177,IMPORTRANGE(""https://docs.google.com/spreadsheets/d/1xZyKy-UzMmtPDLpV5jQdYum1LtbR8XKDuasLSjmBRMI/edit#gid=1241094406"",""COMBINED DATA!E3:L""),{7,8},0)))"),0.2015)</f>
        <v>0.2015</v>
      </c>
      <c r="H177" s="76">
        <f>IFERROR(__xludf.DUMMYFUNCTION("""COMPUTED_VALUE"""),0.0)</f>
        <v>0</v>
      </c>
      <c r="I177" s="76">
        <f t="shared" ref="I177:I179" si="46">G177+H177</f>
        <v>0.2015</v>
      </c>
      <c r="J177" s="84">
        <f t="shared" ref="J177:J179" si="47">IFERROR(F177/I177,"")</f>
        <v>540.942928</v>
      </c>
      <c r="K177" s="85"/>
      <c r="L177" s="85"/>
      <c r="M177" s="85"/>
      <c r="N177" s="85"/>
      <c r="O177" s="316"/>
      <c r="P177" s="75"/>
      <c r="Q177" s="113"/>
      <c r="R177" s="20"/>
      <c r="S177" s="20"/>
      <c r="T177" s="20"/>
      <c r="U177" s="16"/>
      <c r="V177" s="16"/>
      <c r="W177" s="16"/>
    </row>
    <row r="178" ht="15.75" customHeight="1">
      <c r="A178" s="67" t="str">
        <f t="shared" si="45"/>
        <v>Male Adapter Plastic Threads (SCH-80)3</v>
      </c>
      <c r="B178" s="90">
        <v>2.0</v>
      </c>
      <c r="C178" s="127">
        <v>3.0</v>
      </c>
      <c r="D178" s="127">
        <v>80.0</v>
      </c>
      <c r="E178" s="112" t="s">
        <v>1384</v>
      </c>
      <c r="F178" s="56">
        <v>154.0</v>
      </c>
      <c r="G178" s="76">
        <f>IFERROR(__xludf.DUMMYFUNCTION("ArrayFormula(IFERROR(VLOOKUP(E178,IMPORTRANGE(""https://docs.google.com/spreadsheets/d/1xZyKy-UzMmtPDLpV5jQdYum1LtbR8XKDuasLSjmBRMI/edit#gid=1241094406"",""COMBINED DATA!E3:L""),{7,8},0)))"),0.2743)</f>
        <v>0.2743</v>
      </c>
      <c r="H178" s="76">
        <f>IFERROR(__xludf.DUMMYFUNCTION("""COMPUTED_VALUE"""),0.0)</f>
        <v>0</v>
      </c>
      <c r="I178" s="76">
        <f t="shared" si="46"/>
        <v>0.2743</v>
      </c>
      <c r="J178" s="84">
        <f t="shared" si="47"/>
        <v>561.4290922</v>
      </c>
      <c r="K178" s="85"/>
      <c r="L178" s="85"/>
      <c r="M178" s="85"/>
      <c r="N178" s="85"/>
      <c r="O178" s="316"/>
      <c r="P178" s="75"/>
      <c r="Q178" s="113"/>
      <c r="R178" s="20"/>
      <c r="S178" s="20"/>
      <c r="T178" s="20"/>
      <c r="U178" s="16"/>
      <c r="V178" s="16"/>
      <c r="W178" s="16"/>
    </row>
    <row r="179" ht="15.75" customHeight="1">
      <c r="A179" s="67" t="str">
        <f t="shared" si="45"/>
        <v>Male Adapter Plastic Threads (SCH-80)4</v>
      </c>
      <c r="B179" s="90">
        <v>3.0</v>
      </c>
      <c r="C179" s="127">
        <v>4.0</v>
      </c>
      <c r="D179" s="127">
        <v>100.0</v>
      </c>
      <c r="E179" s="112" t="s">
        <v>1385</v>
      </c>
      <c r="F179" s="56">
        <v>298.0</v>
      </c>
      <c r="G179" s="76">
        <f>IFERROR(__xludf.DUMMYFUNCTION("ArrayFormula(IFERROR(VLOOKUP(E179,IMPORTRANGE(""https://docs.google.com/spreadsheets/d/1xZyKy-UzMmtPDLpV5jQdYum1LtbR8XKDuasLSjmBRMI/edit#gid=1241094406"",""COMBINED DATA!E3:L""),{7,8},0)))"),0.5515)</f>
        <v>0.5515</v>
      </c>
      <c r="H179" s="76">
        <f>IFERROR(__xludf.DUMMYFUNCTION("""COMPUTED_VALUE"""),0.0)</f>
        <v>0</v>
      </c>
      <c r="I179" s="76">
        <f t="shared" si="46"/>
        <v>0.5515</v>
      </c>
      <c r="J179" s="84">
        <f t="shared" si="47"/>
        <v>540.344515</v>
      </c>
      <c r="K179" s="85"/>
      <c r="L179" s="85"/>
      <c r="M179" s="85"/>
      <c r="N179" s="85"/>
      <c r="O179" s="316"/>
      <c r="P179" s="75"/>
      <c r="Q179" s="113"/>
      <c r="R179" s="20"/>
      <c r="S179" s="20"/>
      <c r="T179" s="20"/>
      <c r="U179" s="16"/>
      <c r="V179" s="16"/>
      <c r="W179" s="16"/>
    </row>
    <row r="180">
      <c r="A180" s="34"/>
      <c r="B180" s="237" t="s">
        <v>11</v>
      </c>
      <c r="C180" s="45"/>
      <c r="D180" s="45"/>
      <c r="E180" s="46"/>
      <c r="F180" s="103">
        <f>sum(F177:F179)</f>
        <v>561</v>
      </c>
      <c r="G180" s="250"/>
      <c r="H180" s="243"/>
      <c r="I180" s="243"/>
      <c r="J180" s="243"/>
      <c r="K180" s="85"/>
      <c r="L180" s="85"/>
      <c r="M180" s="85"/>
      <c r="N180" s="85"/>
      <c r="O180" s="88"/>
      <c r="P180" s="307"/>
      <c r="Q180" s="85"/>
      <c r="R180" s="15"/>
      <c r="S180" s="15"/>
      <c r="T180" s="15"/>
      <c r="U180" s="243"/>
      <c r="V180" s="243"/>
      <c r="W180" s="243"/>
    </row>
    <row r="181" ht="6.75" customHeight="1">
      <c r="A181" s="34"/>
      <c r="B181" s="15"/>
      <c r="C181" s="15"/>
      <c r="D181" s="15"/>
      <c r="E181" s="17"/>
      <c r="F181" s="15"/>
      <c r="G181" s="250"/>
      <c r="H181" s="243"/>
      <c r="I181" s="243"/>
      <c r="J181" s="243"/>
      <c r="K181" s="85"/>
      <c r="L181" s="85"/>
      <c r="M181" s="85"/>
      <c r="N181" s="85"/>
      <c r="O181" s="29"/>
      <c r="P181" s="307"/>
      <c r="Q181" s="85"/>
      <c r="R181" s="15"/>
      <c r="S181" s="15"/>
      <c r="T181" s="15"/>
      <c r="U181" s="243"/>
      <c r="V181" s="243"/>
      <c r="W181" s="243"/>
    </row>
    <row r="182" ht="22.5" customHeight="1">
      <c r="A182" s="34"/>
      <c r="B182" s="62" t="s">
        <v>668</v>
      </c>
      <c r="C182" s="45"/>
      <c r="D182" s="45"/>
      <c r="E182" s="45"/>
      <c r="F182" s="46"/>
      <c r="G182" s="250"/>
      <c r="H182" s="243"/>
      <c r="I182" s="243"/>
      <c r="J182" s="243"/>
      <c r="K182" s="85"/>
      <c r="L182" s="85"/>
      <c r="M182" s="85"/>
      <c r="N182" s="85"/>
      <c r="O182" s="29"/>
      <c r="P182" s="307"/>
      <c r="Q182" s="85"/>
      <c r="R182" s="15"/>
      <c r="S182" s="15"/>
      <c r="T182" s="15"/>
      <c r="U182" s="243"/>
      <c r="V182" s="243"/>
      <c r="W182" s="243"/>
    </row>
    <row r="183" ht="15.75" customHeight="1">
      <c r="A183" s="67" t="str">
        <f t="shared" ref="A183:A190" si="48">$B$182&amp;C183</f>
        <v>Female Adapter Plastic Threads (SCH-80)3⁄4 x 1⁄2</v>
      </c>
      <c r="B183" s="68">
        <v>1.0</v>
      </c>
      <c r="C183" s="110" t="s">
        <v>144</v>
      </c>
      <c r="D183" s="110" t="s">
        <v>145</v>
      </c>
      <c r="E183" s="111" t="s">
        <v>1388</v>
      </c>
      <c r="F183" s="338">
        <v>15.8</v>
      </c>
      <c r="G183" s="76">
        <f>IFERROR(__xludf.DUMMYFUNCTION("ArrayFormula(IFERROR(VLOOKUP(E183,IMPORTRANGE(""https://docs.google.com/spreadsheets/d/1xZyKy-UzMmtPDLpV5jQdYum1LtbR8XKDuasLSjmBRMI/edit#gid=1241094406"",""COMBINED DATA!E3:L""),{7,8},0)))"),0.03225)</f>
        <v>0.03225</v>
      </c>
      <c r="H183" s="76">
        <f>IFERROR(__xludf.DUMMYFUNCTION("""COMPUTED_VALUE"""),0.0)</f>
        <v>0</v>
      </c>
      <c r="I183" s="76">
        <f t="shared" ref="I183:I190" si="49">G183+H183</f>
        <v>0.03225</v>
      </c>
      <c r="J183" s="84">
        <f t="shared" ref="J183:J190" si="50">IFERROR(F183/I183,"")</f>
        <v>489.9224806</v>
      </c>
      <c r="K183" s="85"/>
      <c r="L183" s="85"/>
      <c r="M183" s="85"/>
      <c r="N183" s="85"/>
      <c r="O183" s="316"/>
      <c r="P183" s="317"/>
      <c r="Q183" s="113"/>
      <c r="R183" s="20"/>
      <c r="S183" s="20"/>
      <c r="T183" s="20"/>
      <c r="U183" s="16"/>
      <c r="V183" s="16"/>
      <c r="W183" s="16"/>
    </row>
    <row r="184" ht="15.75" customHeight="1">
      <c r="A184" s="67" t="str">
        <f t="shared" si="48"/>
        <v>Female Adapter Plastic Threads (SCH-80)1 x 1⁄2</v>
      </c>
      <c r="B184" s="90">
        <v>2.0</v>
      </c>
      <c r="C184" s="127" t="s">
        <v>352</v>
      </c>
      <c r="D184" s="127" t="s">
        <v>353</v>
      </c>
      <c r="E184" s="112" t="s">
        <v>1391</v>
      </c>
      <c r="F184" s="338">
        <v>29.6</v>
      </c>
      <c r="G184" s="76">
        <f>IFERROR(__xludf.DUMMYFUNCTION("ArrayFormula(IFERROR(VLOOKUP(E184,IMPORTRANGE(""https://docs.google.com/spreadsheets/d/1xZyKy-UzMmtPDLpV5jQdYum1LtbR8XKDuasLSjmBRMI/edit#gid=1241094406"",""COMBINED DATA!E3:L""),{7,8},0)))"),0.05775)</f>
        <v>0.05775</v>
      </c>
      <c r="H184" s="76">
        <f>IFERROR(__xludf.DUMMYFUNCTION("""COMPUTED_VALUE"""),0.0)</f>
        <v>0</v>
      </c>
      <c r="I184" s="76">
        <f t="shared" si="49"/>
        <v>0.05775</v>
      </c>
      <c r="J184" s="84">
        <f t="shared" si="50"/>
        <v>512.5541126</v>
      </c>
      <c r="K184" s="85"/>
      <c r="L184" s="85"/>
      <c r="M184" s="85"/>
      <c r="N184" s="85"/>
      <c r="O184" s="316"/>
      <c r="P184" s="317"/>
      <c r="Q184" s="113"/>
      <c r="R184" s="20"/>
      <c r="S184" s="20"/>
      <c r="T184" s="20"/>
      <c r="U184" s="16"/>
      <c r="V184" s="16"/>
      <c r="W184" s="16"/>
    </row>
    <row r="185" ht="15.75" customHeight="1">
      <c r="A185" s="67" t="str">
        <f t="shared" si="48"/>
        <v>Female Adapter Plastic Threads (SCH-80)1⁄2</v>
      </c>
      <c r="B185" s="90">
        <v>3.0</v>
      </c>
      <c r="C185" s="92" t="s">
        <v>43</v>
      </c>
      <c r="D185" s="92">
        <v>15.0</v>
      </c>
      <c r="E185" s="112" t="s">
        <v>1393</v>
      </c>
      <c r="F185" s="338">
        <v>9.6</v>
      </c>
      <c r="G185" s="76">
        <f>IFERROR(__xludf.DUMMYFUNCTION("ArrayFormula(IFERROR(VLOOKUP(E185,IMPORTRANGE(""https://docs.google.com/spreadsheets/d/1xZyKy-UzMmtPDLpV5jQdYum1LtbR8XKDuasLSjmBRMI/edit#gid=1241094406"",""COMBINED DATA!E3:L""),{7,8},0)))"),0.020550000000000002)</f>
        <v>0.02055</v>
      </c>
      <c r="H185" s="76">
        <f>IFERROR(__xludf.DUMMYFUNCTION("""COMPUTED_VALUE"""),0.0)</f>
        <v>0</v>
      </c>
      <c r="I185" s="76">
        <f t="shared" si="49"/>
        <v>0.02055</v>
      </c>
      <c r="J185" s="84">
        <f t="shared" si="50"/>
        <v>467.1532847</v>
      </c>
      <c r="K185" s="85"/>
      <c r="L185" s="85"/>
      <c r="M185" s="85"/>
      <c r="N185" s="85"/>
      <c r="O185" s="316"/>
      <c r="P185" s="317"/>
      <c r="Q185" s="113"/>
      <c r="R185" s="20"/>
      <c r="S185" s="20"/>
      <c r="T185" s="20"/>
      <c r="U185" s="16"/>
      <c r="V185" s="16"/>
      <c r="W185" s="16"/>
    </row>
    <row r="186" ht="15.75" customHeight="1">
      <c r="A186" s="67" t="str">
        <f t="shared" si="48"/>
        <v>Female Adapter Plastic Threads (SCH-80)3⁄4</v>
      </c>
      <c r="B186" s="90">
        <v>4.0</v>
      </c>
      <c r="C186" s="92" t="s">
        <v>51</v>
      </c>
      <c r="D186" s="92">
        <v>20.0</v>
      </c>
      <c r="E186" s="112" t="s">
        <v>1395</v>
      </c>
      <c r="F186" s="338">
        <v>14.5</v>
      </c>
      <c r="G186" s="76">
        <f>IFERROR(__xludf.DUMMYFUNCTION("ArrayFormula(IFERROR(VLOOKUP(E186,IMPORTRANGE(""https://docs.google.com/spreadsheets/d/1xZyKy-UzMmtPDLpV5jQdYum1LtbR8XKDuasLSjmBRMI/edit#gid=1241094406"",""COMBINED DATA!E3:L""),{7,8},0)))"),0.0296)</f>
        <v>0.0296</v>
      </c>
      <c r="H186" s="76">
        <f>IFERROR(__xludf.DUMMYFUNCTION("""COMPUTED_VALUE"""),0.0)</f>
        <v>0</v>
      </c>
      <c r="I186" s="76">
        <f t="shared" si="49"/>
        <v>0.0296</v>
      </c>
      <c r="J186" s="84">
        <f t="shared" si="50"/>
        <v>489.8648649</v>
      </c>
      <c r="K186" s="85"/>
      <c r="L186" s="85"/>
      <c r="M186" s="85"/>
      <c r="N186" s="85"/>
      <c r="O186" s="316"/>
      <c r="P186" s="317"/>
      <c r="Q186" s="113"/>
      <c r="R186" s="20"/>
      <c r="S186" s="20"/>
      <c r="T186" s="20"/>
      <c r="U186" s="16"/>
      <c r="V186" s="16"/>
      <c r="W186" s="16"/>
    </row>
    <row r="187" ht="15.75" customHeight="1">
      <c r="A187" s="67" t="str">
        <f t="shared" si="48"/>
        <v>Female Adapter Plastic Threads (SCH-80)1</v>
      </c>
      <c r="B187" s="90">
        <v>5.0</v>
      </c>
      <c r="C187" s="92" t="s">
        <v>84</v>
      </c>
      <c r="D187" s="92">
        <v>25.0</v>
      </c>
      <c r="E187" s="112" t="s">
        <v>1396</v>
      </c>
      <c r="F187" s="338">
        <v>23.8</v>
      </c>
      <c r="G187" s="76">
        <f>IFERROR(__xludf.DUMMYFUNCTION("ArrayFormula(IFERROR(VLOOKUP(E187,IMPORTRANGE(""https://docs.google.com/spreadsheets/d/1xZyKy-UzMmtPDLpV5jQdYum1LtbR8XKDuasLSjmBRMI/edit#gid=1241094406"",""COMBINED DATA!E3:L""),{7,8},0)))"),0.051)</f>
        <v>0.051</v>
      </c>
      <c r="H187" s="76">
        <f>IFERROR(__xludf.DUMMYFUNCTION("""COMPUTED_VALUE"""),0.0)</f>
        <v>0</v>
      </c>
      <c r="I187" s="76">
        <f t="shared" si="49"/>
        <v>0.051</v>
      </c>
      <c r="J187" s="84">
        <f t="shared" si="50"/>
        <v>466.6666667</v>
      </c>
      <c r="K187" s="85"/>
      <c r="L187" s="85"/>
      <c r="M187" s="85"/>
      <c r="N187" s="85"/>
      <c r="O187" s="316"/>
      <c r="P187" s="317"/>
      <c r="Q187" s="113"/>
      <c r="R187" s="20"/>
      <c r="S187" s="20"/>
      <c r="T187" s="20"/>
      <c r="U187" s="16"/>
      <c r="V187" s="16"/>
      <c r="W187" s="16"/>
    </row>
    <row r="188" ht="15.75" customHeight="1">
      <c r="A188" s="67" t="str">
        <f t="shared" si="48"/>
        <v>Female Adapter Plastic Threads (SCH-80)1 1⁄4</v>
      </c>
      <c r="B188" s="90">
        <v>6.0</v>
      </c>
      <c r="C188" s="92" t="s">
        <v>55</v>
      </c>
      <c r="D188" s="92">
        <v>32.0</v>
      </c>
      <c r="E188" s="112" t="s">
        <v>1398</v>
      </c>
      <c r="F188" s="338">
        <v>32.6</v>
      </c>
      <c r="G188" s="76">
        <f>IFERROR(__xludf.DUMMYFUNCTION("ArrayFormula(IFERROR(VLOOKUP(E188,IMPORTRANGE(""https://docs.google.com/spreadsheets/d/1xZyKy-UzMmtPDLpV5jQdYum1LtbR8XKDuasLSjmBRMI/edit#gid=1241094406"",""COMBINED DATA!E3:L""),{7,8},0)))"),0.069)</f>
        <v>0.069</v>
      </c>
      <c r="H188" s="76">
        <f>IFERROR(__xludf.DUMMYFUNCTION("""COMPUTED_VALUE"""),0.0)</f>
        <v>0</v>
      </c>
      <c r="I188" s="76">
        <f t="shared" si="49"/>
        <v>0.069</v>
      </c>
      <c r="J188" s="84">
        <f t="shared" si="50"/>
        <v>472.4637681</v>
      </c>
      <c r="K188" s="85"/>
      <c r="L188" s="85"/>
      <c r="M188" s="85"/>
      <c r="N188" s="85"/>
      <c r="O188" s="316"/>
      <c r="P188" s="317"/>
      <c r="Q188" s="113"/>
      <c r="R188" s="20"/>
      <c r="S188" s="20"/>
      <c r="T188" s="20"/>
      <c r="U188" s="16"/>
      <c r="V188" s="16"/>
      <c r="W188" s="16"/>
    </row>
    <row r="189" ht="15.75" customHeight="1">
      <c r="A189" s="67" t="str">
        <f t="shared" si="48"/>
        <v>Female Adapter Plastic Threads (SCH-80)1 1⁄2</v>
      </c>
      <c r="B189" s="90">
        <v>7.0</v>
      </c>
      <c r="C189" s="92" t="s">
        <v>56</v>
      </c>
      <c r="D189" s="92">
        <v>40.0</v>
      </c>
      <c r="E189" s="112" t="s">
        <v>1400</v>
      </c>
      <c r="F189" s="338">
        <v>44.4</v>
      </c>
      <c r="G189" s="76">
        <f>IFERROR(__xludf.DUMMYFUNCTION("ArrayFormula(IFERROR(VLOOKUP(E189,IMPORTRANGE(""https://docs.google.com/spreadsheets/d/1xZyKy-UzMmtPDLpV5jQdYum1LtbR8XKDuasLSjmBRMI/edit#gid=1241094406"",""COMBINED DATA!E3:L""),{7,8},0)))"),0.094)</f>
        <v>0.094</v>
      </c>
      <c r="H189" s="76">
        <f>IFERROR(__xludf.DUMMYFUNCTION("""COMPUTED_VALUE"""),0.0)</f>
        <v>0</v>
      </c>
      <c r="I189" s="76">
        <f t="shared" si="49"/>
        <v>0.094</v>
      </c>
      <c r="J189" s="84">
        <f t="shared" si="50"/>
        <v>472.3404255</v>
      </c>
      <c r="K189" s="85"/>
      <c r="L189" s="85"/>
      <c r="M189" s="85"/>
      <c r="N189" s="85"/>
      <c r="O189" s="316"/>
      <c r="P189" s="317"/>
      <c r="Q189" s="113"/>
      <c r="R189" s="20"/>
      <c r="S189" s="20"/>
      <c r="T189" s="20"/>
      <c r="U189" s="16"/>
      <c r="V189" s="16"/>
      <c r="W189" s="16"/>
    </row>
    <row r="190" ht="15.75" customHeight="1">
      <c r="A190" s="67" t="str">
        <f t="shared" si="48"/>
        <v>Female Adapter Plastic Threads (SCH-80)2</v>
      </c>
      <c r="B190" s="90">
        <v>8.0</v>
      </c>
      <c r="C190" s="92" t="s">
        <v>107</v>
      </c>
      <c r="D190" s="92">
        <v>50.0</v>
      </c>
      <c r="E190" s="112" t="s">
        <v>1401</v>
      </c>
      <c r="F190" s="338">
        <v>62.0</v>
      </c>
      <c r="G190" s="76">
        <f>IFERROR(__xludf.DUMMYFUNCTION("ArrayFormula(IFERROR(VLOOKUP(E190,IMPORTRANGE(""https://docs.google.com/spreadsheets/d/1xZyKy-UzMmtPDLpV5jQdYum1LtbR8XKDuasLSjmBRMI/edit#gid=1241094406"",""COMBINED DATA!E3:L""),{7,8},0)))"),0.132)</f>
        <v>0.132</v>
      </c>
      <c r="H190" s="76">
        <f>IFERROR(__xludf.DUMMYFUNCTION("""COMPUTED_VALUE"""),0.0)</f>
        <v>0</v>
      </c>
      <c r="I190" s="76">
        <f t="shared" si="49"/>
        <v>0.132</v>
      </c>
      <c r="J190" s="84">
        <f t="shared" si="50"/>
        <v>469.6969697</v>
      </c>
      <c r="K190" s="85"/>
      <c r="L190" s="85"/>
      <c r="M190" s="85"/>
      <c r="N190" s="85"/>
      <c r="O190" s="316"/>
      <c r="P190" s="317"/>
      <c r="Q190" s="113"/>
      <c r="R190" s="20"/>
      <c r="S190" s="20"/>
      <c r="T190" s="20"/>
      <c r="U190" s="16"/>
      <c r="V190" s="16"/>
      <c r="W190" s="16"/>
    </row>
    <row r="191">
      <c r="A191" s="34"/>
      <c r="B191" s="237" t="s">
        <v>11</v>
      </c>
      <c r="C191" s="45"/>
      <c r="D191" s="45"/>
      <c r="E191" s="46"/>
      <c r="F191" s="103">
        <f>SUM(F183:F190)</f>
        <v>232.3</v>
      </c>
      <c r="G191" s="250"/>
      <c r="H191" s="243"/>
      <c r="I191" s="243"/>
      <c r="J191" s="243"/>
      <c r="K191" s="85"/>
      <c r="L191" s="85"/>
      <c r="M191" s="85"/>
      <c r="N191" s="85"/>
      <c r="O191" s="29"/>
      <c r="P191" s="307"/>
      <c r="Q191" s="85"/>
      <c r="R191" s="15"/>
      <c r="S191" s="15"/>
      <c r="T191" s="15"/>
      <c r="U191" s="243"/>
      <c r="V191" s="243"/>
      <c r="W191" s="243"/>
    </row>
    <row r="192" ht="6.0" customHeight="1">
      <c r="A192" s="34"/>
      <c r="B192" s="15"/>
      <c r="C192" s="15"/>
      <c r="D192" s="15"/>
      <c r="E192" s="17"/>
      <c r="F192" s="15"/>
      <c r="G192" s="250"/>
      <c r="H192" s="243"/>
      <c r="I192" s="243"/>
      <c r="J192" s="243"/>
      <c r="K192" s="85"/>
      <c r="L192" s="85"/>
      <c r="M192" s="85"/>
      <c r="N192" s="85"/>
      <c r="O192" s="29"/>
      <c r="P192" s="307"/>
      <c r="Q192" s="85"/>
      <c r="R192" s="15"/>
      <c r="S192" s="15"/>
      <c r="T192" s="15"/>
      <c r="U192" s="243"/>
      <c r="V192" s="243"/>
      <c r="W192" s="243"/>
    </row>
    <row r="193" ht="22.5" customHeight="1">
      <c r="A193" s="34"/>
      <c r="B193" s="62" t="s">
        <v>668</v>
      </c>
      <c r="C193" s="45"/>
      <c r="D193" s="45"/>
      <c r="E193" s="45"/>
      <c r="F193" s="46"/>
      <c r="G193" s="250"/>
      <c r="H193" s="243"/>
      <c r="I193" s="243"/>
      <c r="J193" s="243"/>
      <c r="K193" s="85"/>
      <c r="L193" s="85"/>
      <c r="M193" s="85"/>
      <c r="N193" s="85"/>
      <c r="O193" s="29"/>
      <c r="P193" s="307"/>
      <c r="Q193" s="85"/>
      <c r="R193" s="15"/>
      <c r="S193" s="15"/>
      <c r="T193" s="15"/>
      <c r="U193" s="243"/>
      <c r="V193" s="243"/>
      <c r="W193" s="243"/>
    </row>
    <row r="194" ht="15.75" customHeight="1">
      <c r="A194" s="67" t="str">
        <f t="shared" ref="A194:A196" si="51">$B$193&amp;C194</f>
        <v>Female Adapter Plastic Threads (SCH-80)2 1⁄2</v>
      </c>
      <c r="B194" s="68">
        <v>1.0</v>
      </c>
      <c r="C194" s="110" t="s">
        <v>69</v>
      </c>
      <c r="D194" s="110">
        <v>65.0</v>
      </c>
      <c r="E194" s="111" t="s">
        <v>1404</v>
      </c>
      <c r="F194" s="56">
        <v>106.8</v>
      </c>
      <c r="G194" s="76">
        <f>IFERROR(__xludf.DUMMYFUNCTION("ArrayFormula(IFERROR(VLOOKUP(E194,IMPORTRANGE(""https://docs.google.com/spreadsheets/d/1xZyKy-UzMmtPDLpV5jQdYum1LtbR8XKDuasLSjmBRMI/edit#gid=1241094406"",""COMBINED DATA!E3:L""),{7,8},0)))"),0.19490000000000002)</f>
        <v>0.1949</v>
      </c>
      <c r="H194" s="76">
        <f>IFERROR(__xludf.DUMMYFUNCTION("""COMPUTED_VALUE"""),0.0)</f>
        <v>0</v>
      </c>
      <c r="I194" s="76">
        <f t="shared" ref="I194:I196" si="52">G194+H194</f>
        <v>0.1949</v>
      </c>
      <c r="J194" s="84">
        <f t="shared" ref="J194:J196" si="53">IFERROR(F194/I194,"")</f>
        <v>547.9733197</v>
      </c>
      <c r="K194" s="85"/>
      <c r="L194" s="85"/>
      <c r="M194" s="85"/>
      <c r="N194" s="85"/>
      <c r="O194" s="316"/>
      <c r="P194" s="75"/>
      <c r="Q194" s="113"/>
      <c r="R194" s="20"/>
      <c r="S194" s="20"/>
      <c r="T194" s="20"/>
      <c r="U194" s="16"/>
      <c r="V194" s="16"/>
      <c r="W194" s="16"/>
    </row>
    <row r="195" ht="15.75" customHeight="1">
      <c r="A195" s="67" t="str">
        <f t="shared" si="51"/>
        <v>Female Adapter Plastic Threads (SCH-80)3</v>
      </c>
      <c r="B195" s="90">
        <v>2.0</v>
      </c>
      <c r="C195" s="127">
        <v>3.0</v>
      </c>
      <c r="D195" s="127">
        <v>80.0</v>
      </c>
      <c r="E195" s="112" t="s">
        <v>1407</v>
      </c>
      <c r="F195" s="56">
        <v>178.0</v>
      </c>
      <c r="G195" s="76">
        <f>IFERROR(__xludf.DUMMYFUNCTION("ArrayFormula(IFERROR(VLOOKUP(E195,IMPORTRANGE(""https://docs.google.com/spreadsheets/d/1xZyKy-UzMmtPDLpV5jQdYum1LtbR8XKDuasLSjmBRMI/edit#gid=1241094406"",""COMBINED DATA!E3:L""),{7,8},0)))"),0.3335)</f>
        <v>0.3335</v>
      </c>
      <c r="H195" s="76">
        <f>IFERROR(__xludf.DUMMYFUNCTION("""COMPUTED_VALUE"""),0.0)</f>
        <v>0</v>
      </c>
      <c r="I195" s="76">
        <f t="shared" si="52"/>
        <v>0.3335</v>
      </c>
      <c r="J195" s="84">
        <f t="shared" si="53"/>
        <v>533.7331334</v>
      </c>
      <c r="K195" s="85"/>
      <c r="L195" s="85"/>
      <c r="M195" s="85"/>
      <c r="N195" s="85"/>
      <c r="O195" s="316"/>
      <c r="P195" s="75"/>
      <c r="Q195" s="113"/>
      <c r="R195" s="20"/>
      <c r="S195" s="20"/>
      <c r="T195" s="20"/>
      <c r="U195" s="16"/>
      <c r="V195" s="16"/>
      <c r="W195" s="16"/>
    </row>
    <row r="196" ht="15.75" customHeight="1">
      <c r="A196" s="67" t="str">
        <f t="shared" si="51"/>
        <v>Female Adapter Plastic Threads (SCH-80)4</v>
      </c>
      <c r="B196" s="90">
        <v>3.0</v>
      </c>
      <c r="C196" s="127">
        <v>4.0</v>
      </c>
      <c r="D196" s="127">
        <v>100.0</v>
      </c>
      <c r="E196" s="112" t="s">
        <v>1409</v>
      </c>
      <c r="F196" s="56">
        <v>299.2</v>
      </c>
      <c r="G196" s="76">
        <f>IFERROR(__xludf.DUMMYFUNCTION("ArrayFormula(IFERROR(VLOOKUP(E196,IMPORTRANGE(""https://docs.google.com/spreadsheets/d/1xZyKy-UzMmtPDLpV5jQdYum1LtbR8XKDuasLSjmBRMI/edit#gid=1241094406"",""COMBINED DATA!E3:L""),{7,8},0)))"),0.5625)</f>
        <v>0.5625</v>
      </c>
      <c r="H196" s="76">
        <f>IFERROR(__xludf.DUMMYFUNCTION("""COMPUTED_VALUE"""),0.0)</f>
        <v>0</v>
      </c>
      <c r="I196" s="76">
        <f t="shared" si="52"/>
        <v>0.5625</v>
      </c>
      <c r="J196" s="84">
        <f t="shared" si="53"/>
        <v>531.9111111</v>
      </c>
      <c r="K196" s="85"/>
      <c r="L196" s="85"/>
      <c r="M196" s="85"/>
      <c r="N196" s="85"/>
      <c r="O196" s="316"/>
      <c r="P196" s="75"/>
      <c r="Q196" s="113"/>
      <c r="R196" s="20"/>
      <c r="S196" s="20"/>
      <c r="T196" s="20"/>
      <c r="U196" s="16"/>
      <c r="V196" s="16"/>
      <c r="W196" s="16"/>
    </row>
    <row r="197">
      <c r="A197" s="34"/>
      <c r="B197" s="237" t="s">
        <v>11</v>
      </c>
      <c r="C197" s="45"/>
      <c r="D197" s="45"/>
      <c r="E197" s="46"/>
      <c r="F197" s="103">
        <f>SUM(F194:F196)</f>
        <v>584</v>
      </c>
      <c r="G197" s="250"/>
      <c r="H197" s="243"/>
      <c r="I197" s="243"/>
      <c r="J197" s="243"/>
      <c r="K197" s="85"/>
      <c r="L197" s="85"/>
      <c r="M197" s="85"/>
      <c r="N197" s="85"/>
      <c r="O197" s="29"/>
      <c r="P197" s="307"/>
      <c r="Q197" s="85"/>
      <c r="R197" s="15"/>
      <c r="S197" s="15"/>
      <c r="T197" s="15"/>
      <c r="U197" s="243"/>
      <c r="V197" s="243"/>
      <c r="W197" s="243"/>
    </row>
    <row r="198" ht="5.25" customHeight="1">
      <c r="A198" s="34"/>
      <c r="B198" s="15"/>
      <c r="C198" s="15"/>
      <c r="D198" s="15"/>
      <c r="E198" s="17"/>
      <c r="F198" s="15"/>
      <c r="G198" s="250"/>
      <c r="H198" s="243"/>
      <c r="I198" s="243"/>
      <c r="J198" s="243"/>
      <c r="K198" s="85"/>
      <c r="L198" s="85"/>
      <c r="M198" s="85"/>
      <c r="N198" s="85"/>
      <c r="O198" s="29"/>
      <c r="P198" s="307"/>
      <c r="Q198" s="85"/>
      <c r="R198" s="15"/>
      <c r="S198" s="15"/>
      <c r="T198" s="15"/>
      <c r="U198" s="243"/>
      <c r="V198" s="243"/>
      <c r="W198" s="243"/>
    </row>
    <row r="199" ht="26.25" customHeight="1">
      <c r="A199" s="34"/>
      <c r="B199" s="62" t="s">
        <v>1422</v>
      </c>
      <c r="C199" s="45"/>
      <c r="D199" s="45"/>
      <c r="E199" s="45"/>
      <c r="F199" s="46"/>
      <c r="G199" s="250"/>
      <c r="H199" s="243"/>
      <c r="I199" s="243"/>
      <c r="J199" s="243"/>
      <c r="K199" s="85"/>
      <c r="L199" s="85"/>
      <c r="M199" s="85"/>
      <c r="N199" s="85"/>
      <c r="O199" s="29"/>
      <c r="P199" s="307"/>
      <c r="Q199" s="85"/>
      <c r="R199" s="15"/>
      <c r="S199" s="15"/>
      <c r="T199" s="15"/>
      <c r="U199" s="243"/>
      <c r="V199" s="243"/>
      <c r="W199" s="243"/>
    </row>
    <row r="200" ht="15.75" customHeight="1">
      <c r="A200" s="67" t="str">
        <f t="shared" ref="A200:A203" si="54">$B$199&amp;C200</f>
        <v>Cross Tee (SCH-80)1⁄2</v>
      </c>
      <c r="B200" s="68">
        <v>1.0</v>
      </c>
      <c r="C200" s="70" t="s">
        <v>43</v>
      </c>
      <c r="D200" s="70">
        <v>15.0</v>
      </c>
      <c r="E200" s="111" t="s">
        <v>1424</v>
      </c>
      <c r="F200" s="56">
        <v>27.2</v>
      </c>
      <c r="G200" s="76">
        <f>IFERROR(__xludf.DUMMYFUNCTION("ArrayFormula(IFERROR(VLOOKUP(E200,IMPORTRANGE(""https://docs.google.com/spreadsheets/d/1xZyKy-UzMmtPDLpV5jQdYum1LtbR8XKDuasLSjmBRMI/edit#gid=1241094406"",""COMBINED DATA!E3:L""),{7,8},0)))"),0.04977)</f>
        <v>0.04977</v>
      </c>
      <c r="H200" s="76">
        <f>IFERROR(__xludf.DUMMYFUNCTION("""COMPUTED_VALUE"""),0.0)</f>
        <v>0</v>
      </c>
      <c r="I200" s="76">
        <f t="shared" ref="I200:I203" si="55">G200+H200</f>
        <v>0.04977</v>
      </c>
      <c r="J200" s="84">
        <f t="shared" ref="J200:J203" si="56">IFERROR(F200/I200,"")</f>
        <v>546.5139642</v>
      </c>
      <c r="K200" s="85"/>
      <c r="L200" s="85"/>
      <c r="M200" s="85"/>
      <c r="N200" s="85"/>
      <c r="O200" s="316"/>
      <c r="P200" s="75"/>
      <c r="Q200" s="113"/>
      <c r="R200" s="20"/>
      <c r="S200" s="20"/>
      <c r="T200" s="20"/>
      <c r="U200" s="16"/>
      <c r="V200" s="16"/>
      <c r="W200" s="16"/>
    </row>
    <row r="201" ht="15.75" customHeight="1">
      <c r="A201" s="67" t="str">
        <f t="shared" si="54"/>
        <v>Cross Tee (SCH-80)3⁄4</v>
      </c>
      <c r="B201" s="90">
        <v>2.0</v>
      </c>
      <c r="C201" s="92" t="s">
        <v>51</v>
      </c>
      <c r="D201" s="92">
        <v>20.0</v>
      </c>
      <c r="E201" s="112" t="s">
        <v>1427</v>
      </c>
      <c r="F201" s="56">
        <v>35.4</v>
      </c>
      <c r="G201" s="76">
        <f>IFERROR(__xludf.DUMMYFUNCTION("ArrayFormula(IFERROR(VLOOKUP(E201,IMPORTRANGE(""https://docs.google.com/spreadsheets/d/1xZyKy-UzMmtPDLpV5jQdYum1LtbR8XKDuasLSjmBRMI/edit#gid=1241094406"",""COMBINED DATA!E3:L""),{7,8},0)))"),0.06715)</f>
        <v>0.06715</v>
      </c>
      <c r="H201" s="76">
        <f>IFERROR(__xludf.DUMMYFUNCTION("""COMPUTED_VALUE"""),0.0)</f>
        <v>0</v>
      </c>
      <c r="I201" s="76">
        <f t="shared" si="55"/>
        <v>0.06715</v>
      </c>
      <c r="J201" s="84">
        <f t="shared" si="56"/>
        <v>527.1779598</v>
      </c>
      <c r="K201" s="85"/>
      <c r="L201" s="85"/>
      <c r="M201" s="85"/>
      <c r="N201" s="85"/>
      <c r="O201" s="316"/>
      <c r="P201" s="75"/>
      <c r="Q201" s="113"/>
      <c r="R201" s="20"/>
      <c r="S201" s="20"/>
      <c r="T201" s="20"/>
      <c r="U201" s="16"/>
      <c r="V201" s="16"/>
      <c r="W201" s="16"/>
    </row>
    <row r="202" ht="15.75" customHeight="1">
      <c r="A202" s="67" t="str">
        <f t="shared" si="54"/>
        <v>Cross Tee (SCH-80)1</v>
      </c>
      <c r="B202" s="90">
        <v>3.0</v>
      </c>
      <c r="C202" s="92" t="s">
        <v>84</v>
      </c>
      <c r="D202" s="92">
        <v>25.0</v>
      </c>
      <c r="E202" s="112" t="s">
        <v>1428</v>
      </c>
      <c r="F202" s="56">
        <v>59.8</v>
      </c>
      <c r="G202" s="76">
        <f>IFERROR(__xludf.DUMMYFUNCTION("ArrayFormula(IFERROR(VLOOKUP(E202,IMPORTRANGE(""https://docs.google.com/spreadsheets/d/1xZyKy-UzMmtPDLpV5jQdYum1LtbR8XKDuasLSjmBRMI/edit#gid=1241094406"",""COMBINED DATA!E3:L""),{7,8},0)))"),0.1095)</f>
        <v>0.1095</v>
      </c>
      <c r="H202" s="76">
        <f>IFERROR(__xludf.DUMMYFUNCTION("""COMPUTED_VALUE"""),0.0)</f>
        <v>0</v>
      </c>
      <c r="I202" s="76">
        <f t="shared" si="55"/>
        <v>0.1095</v>
      </c>
      <c r="J202" s="84">
        <f t="shared" si="56"/>
        <v>546.1187215</v>
      </c>
      <c r="K202" s="85"/>
      <c r="L202" s="85"/>
      <c r="M202" s="85"/>
      <c r="N202" s="85"/>
      <c r="O202" s="316"/>
      <c r="P202" s="75"/>
      <c r="Q202" s="113"/>
      <c r="R202" s="20"/>
      <c r="S202" s="20"/>
      <c r="T202" s="20"/>
      <c r="U202" s="16"/>
      <c r="V202" s="16"/>
      <c r="W202" s="16"/>
    </row>
    <row r="203" ht="15.75" customHeight="1">
      <c r="A203" s="67" t="str">
        <f t="shared" si="54"/>
        <v>Cross Tee (SCH-80)1 1⁄4</v>
      </c>
      <c r="B203" s="90">
        <v>4.0</v>
      </c>
      <c r="C203" s="92" t="s">
        <v>55</v>
      </c>
      <c r="D203" s="92">
        <v>32.0</v>
      </c>
      <c r="E203" s="112" t="s">
        <v>1430</v>
      </c>
      <c r="F203" s="56">
        <v>96.8</v>
      </c>
      <c r="G203" s="76">
        <f>IFERROR(__xludf.DUMMYFUNCTION("ArrayFormula(IFERROR(VLOOKUP(E203,IMPORTRANGE(""https://docs.google.com/spreadsheets/d/1xZyKy-UzMmtPDLpV5jQdYum1LtbR8XKDuasLSjmBRMI/edit#gid=1241094406"",""COMBINED DATA!E3:L""),{7,8},0)))"),0.1865)</f>
        <v>0.1865</v>
      </c>
      <c r="H203" s="76">
        <f>IFERROR(__xludf.DUMMYFUNCTION("""COMPUTED_VALUE"""),0.0)</f>
        <v>0</v>
      </c>
      <c r="I203" s="76">
        <f t="shared" si="55"/>
        <v>0.1865</v>
      </c>
      <c r="J203" s="84">
        <f t="shared" si="56"/>
        <v>519.0348525</v>
      </c>
      <c r="K203" s="85"/>
      <c r="L203" s="85"/>
      <c r="M203" s="85"/>
      <c r="N203" s="85"/>
      <c r="O203" s="316"/>
      <c r="P203" s="75"/>
      <c r="Q203" s="113"/>
      <c r="R203" s="20"/>
      <c r="S203" s="20"/>
      <c r="T203" s="20"/>
      <c r="U203" s="16"/>
      <c r="V203" s="16"/>
      <c r="W203" s="16"/>
    </row>
    <row r="204">
      <c r="A204" s="34"/>
      <c r="B204" s="237" t="s">
        <v>11</v>
      </c>
      <c r="C204" s="45"/>
      <c r="D204" s="45"/>
      <c r="E204" s="46"/>
      <c r="F204" s="103">
        <f>SUM(F200:F203)</f>
        <v>219.2</v>
      </c>
      <c r="G204" s="250"/>
      <c r="H204" s="243"/>
      <c r="I204" s="243"/>
      <c r="J204" s="243"/>
      <c r="K204" s="85"/>
      <c r="L204" s="85"/>
      <c r="M204" s="85"/>
      <c r="N204" s="85"/>
      <c r="O204" s="29"/>
      <c r="P204" s="307"/>
      <c r="Q204" s="85"/>
      <c r="R204" s="15"/>
      <c r="S204" s="15"/>
      <c r="T204" s="15"/>
      <c r="U204" s="243"/>
      <c r="V204" s="243"/>
      <c r="W204" s="243"/>
    </row>
    <row r="205" ht="5.25" customHeight="1">
      <c r="A205" s="34"/>
      <c r="B205" s="15"/>
      <c r="C205" s="15"/>
      <c r="D205" s="15"/>
      <c r="E205" s="17"/>
      <c r="F205" s="15"/>
      <c r="G205" s="250"/>
      <c r="H205" s="243"/>
      <c r="I205" s="243"/>
      <c r="J205" s="243"/>
      <c r="K205" s="85"/>
      <c r="L205" s="85"/>
      <c r="M205" s="85"/>
      <c r="N205" s="85"/>
      <c r="O205" s="29"/>
      <c r="P205" s="307"/>
      <c r="Q205" s="85"/>
      <c r="R205" s="15"/>
      <c r="S205" s="15"/>
      <c r="T205" s="15"/>
      <c r="U205" s="243"/>
      <c r="V205" s="243"/>
      <c r="W205" s="243"/>
    </row>
    <row r="206" ht="24.75" customHeight="1">
      <c r="A206" s="34"/>
      <c r="B206" s="62" t="s">
        <v>1432</v>
      </c>
      <c r="C206" s="45"/>
      <c r="D206" s="45"/>
      <c r="E206" s="45"/>
      <c r="F206" s="46"/>
      <c r="G206" s="250"/>
      <c r="H206" s="243"/>
      <c r="I206" s="243"/>
      <c r="J206" s="243"/>
      <c r="K206" s="85"/>
      <c r="L206" s="85"/>
      <c r="M206" s="85"/>
      <c r="N206" s="85"/>
      <c r="O206" s="29"/>
      <c r="P206" s="307"/>
      <c r="Q206" s="85"/>
      <c r="R206" s="15"/>
      <c r="S206" s="15"/>
      <c r="T206" s="15"/>
      <c r="U206" s="243"/>
      <c r="V206" s="243"/>
      <c r="W206" s="243"/>
    </row>
    <row r="207" ht="15.75" customHeight="1">
      <c r="A207" s="67" t="str">
        <f t="shared" ref="A207:A212" si="57">$B$206&amp;C207</f>
        <v>Ball Valve Butterfly Handle (SCH-80)1⁄2</v>
      </c>
      <c r="B207" s="68">
        <v>1.0</v>
      </c>
      <c r="C207" s="70" t="s">
        <v>43</v>
      </c>
      <c r="D207" s="70">
        <v>15.0</v>
      </c>
      <c r="E207" s="129" t="s">
        <v>1434</v>
      </c>
      <c r="F207" s="56">
        <v>78.0</v>
      </c>
      <c r="G207" s="76">
        <f>IFERROR(__xludf.DUMMYFUNCTION("ArrayFormula(IFERROR(VLOOKUP(E207,IMPORTRANGE(""https://docs.google.com/spreadsheets/d/1xZyKy-UzMmtPDLpV5jQdYum1LtbR8XKDuasLSjmBRMI/edit#gid=1241094406"",""COMBINED DATA!E3:L""),{7,8},0)))"),0.07428)</f>
        <v>0.07428</v>
      </c>
      <c r="H207" s="76">
        <f>IFERROR(__xludf.DUMMYFUNCTION("""COMPUTED_VALUE"""),0.0)</f>
        <v>0</v>
      </c>
      <c r="I207" s="76">
        <f t="shared" ref="I207:I212" si="58">G207+H207</f>
        <v>0.07428</v>
      </c>
      <c r="J207" s="84">
        <f t="shared" ref="J207:J212" si="59">IFERROR(F207/I207,"")</f>
        <v>1050.080775</v>
      </c>
      <c r="K207" s="85"/>
      <c r="L207" s="85"/>
      <c r="M207" s="85"/>
      <c r="N207" s="85"/>
      <c r="O207" s="316"/>
      <c r="P207" s="75"/>
      <c r="Q207" s="113"/>
      <c r="R207" s="20"/>
      <c r="S207" s="20"/>
      <c r="T207" s="20"/>
      <c r="U207" s="16"/>
      <c r="V207" s="16"/>
      <c r="W207" s="16"/>
    </row>
    <row r="208" ht="15.75" customHeight="1">
      <c r="A208" s="67" t="str">
        <f t="shared" si="57"/>
        <v>Ball Valve Butterfly Handle (SCH-80)3⁄4</v>
      </c>
      <c r="B208" s="90">
        <v>2.0</v>
      </c>
      <c r="C208" s="92" t="s">
        <v>51</v>
      </c>
      <c r="D208" s="92">
        <v>20.0</v>
      </c>
      <c r="E208" s="94" t="s">
        <v>1436</v>
      </c>
      <c r="F208" s="56">
        <v>120.0</v>
      </c>
      <c r="G208" s="76">
        <f>IFERROR(__xludf.DUMMYFUNCTION("ArrayFormula(IFERROR(VLOOKUP(E208,IMPORTRANGE(""https://docs.google.com/spreadsheets/d/1xZyKy-UzMmtPDLpV5jQdYum1LtbR8XKDuasLSjmBRMI/edit#gid=1241094406"",""COMBINED DATA!E3:L""),{7,8},0)))"),0.1114)</f>
        <v>0.1114</v>
      </c>
      <c r="H208" s="76">
        <f>IFERROR(__xludf.DUMMYFUNCTION("""COMPUTED_VALUE"""),0.0)</f>
        <v>0</v>
      </c>
      <c r="I208" s="76">
        <f t="shared" si="58"/>
        <v>0.1114</v>
      </c>
      <c r="J208" s="84">
        <f t="shared" si="59"/>
        <v>1077.199282</v>
      </c>
      <c r="K208" s="85"/>
      <c r="L208" s="85"/>
      <c r="M208" s="85"/>
      <c r="N208" s="85"/>
      <c r="O208" s="316"/>
      <c r="P208" s="75"/>
      <c r="Q208" s="113"/>
      <c r="R208" s="20"/>
      <c r="S208" s="20"/>
      <c r="T208" s="20"/>
      <c r="U208" s="16"/>
      <c r="V208" s="16"/>
      <c r="W208" s="16"/>
    </row>
    <row r="209" ht="15.75" customHeight="1">
      <c r="A209" s="67" t="str">
        <f t="shared" si="57"/>
        <v>Ball Valve Butterfly Handle (SCH-80)1</v>
      </c>
      <c r="B209" s="90">
        <v>3.0</v>
      </c>
      <c r="C209" s="92">
        <v>1.0</v>
      </c>
      <c r="D209" s="92">
        <v>25.0</v>
      </c>
      <c r="E209" s="94" t="s">
        <v>1438</v>
      </c>
      <c r="F209" s="56">
        <v>224.0</v>
      </c>
      <c r="G209" s="76">
        <f>IFERROR(__xludf.DUMMYFUNCTION("ArrayFormula(IFERROR(VLOOKUP(E209,IMPORTRANGE(""https://docs.google.com/spreadsheets/d/1xZyKy-UzMmtPDLpV5jQdYum1LtbR8XKDuasLSjmBRMI/edit#gid=1241094406"",""COMBINED DATA!E3:L""),{7,8},0)))"),0.18419999999999997)</f>
        <v>0.1842</v>
      </c>
      <c r="H209" s="76">
        <f>IFERROR(__xludf.DUMMYFUNCTION("""COMPUTED_VALUE"""),0.0)</f>
        <v>0</v>
      </c>
      <c r="I209" s="76">
        <f t="shared" si="58"/>
        <v>0.1842</v>
      </c>
      <c r="J209" s="84">
        <f t="shared" si="59"/>
        <v>1216.06949</v>
      </c>
      <c r="K209" s="85"/>
      <c r="L209" s="85"/>
      <c r="M209" s="85"/>
      <c r="N209" s="85"/>
      <c r="O209" s="316"/>
      <c r="P209" s="75"/>
      <c r="Q209" s="113"/>
      <c r="R209" s="20"/>
      <c r="S209" s="20"/>
      <c r="T209" s="20"/>
      <c r="U209" s="16"/>
      <c r="V209" s="16"/>
      <c r="W209" s="16"/>
    </row>
    <row r="210" ht="15.75" customHeight="1">
      <c r="A210" s="67" t="str">
        <f t="shared" si="57"/>
        <v>Ball Valve Butterfly Handle (SCH-80)1 1⁄4</v>
      </c>
      <c r="B210" s="90">
        <v>4.0</v>
      </c>
      <c r="C210" s="92" t="s">
        <v>55</v>
      </c>
      <c r="D210" s="92">
        <v>32.0</v>
      </c>
      <c r="E210" s="94" t="s">
        <v>1440</v>
      </c>
      <c r="F210" s="56">
        <v>296.0</v>
      </c>
      <c r="G210" s="76">
        <f>IFERROR(__xludf.DUMMYFUNCTION("ArrayFormula(IFERROR(VLOOKUP(E210,IMPORTRANGE(""https://docs.google.com/spreadsheets/d/1xZyKy-UzMmtPDLpV5jQdYum1LtbR8XKDuasLSjmBRMI/edit#gid=1241094406"",""COMBINED DATA!E3:L""),{7,8},0)))"),0.26869)</f>
        <v>0.26869</v>
      </c>
      <c r="H210" s="76">
        <f>IFERROR(__xludf.DUMMYFUNCTION("""COMPUTED_VALUE"""),0.0)</f>
        <v>0</v>
      </c>
      <c r="I210" s="76">
        <f t="shared" si="58"/>
        <v>0.26869</v>
      </c>
      <c r="J210" s="84">
        <f t="shared" si="59"/>
        <v>1101.641297</v>
      </c>
      <c r="K210" s="85"/>
      <c r="L210" s="85"/>
      <c r="M210" s="85"/>
      <c r="N210" s="85"/>
      <c r="O210" s="316"/>
      <c r="P210" s="75"/>
      <c r="Q210" s="113"/>
      <c r="R210" s="20"/>
      <c r="S210" s="20"/>
      <c r="T210" s="20"/>
      <c r="U210" s="16"/>
      <c r="V210" s="16"/>
      <c r="W210" s="16"/>
    </row>
    <row r="211" ht="15.75" customHeight="1">
      <c r="A211" s="67" t="str">
        <f t="shared" si="57"/>
        <v>Ball Valve Butterfly Handle (SCH-80)1 1⁄2</v>
      </c>
      <c r="B211" s="90">
        <v>5.0</v>
      </c>
      <c r="C211" s="92" t="s">
        <v>56</v>
      </c>
      <c r="D211" s="92">
        <v>40.0</v>
      </c>
      <c r="E211" s="94" t="s">
        <v>1441</v>
      </c>
      <c r="F211" s="56">
        <v>438.0</v>
      </c>
      <c r="G211" s="76">
        <f>IFERROR(__xludf.DUMMYFUNCTION("ArrayFormula(IFERROR(VLOOKUP(E211,IMPORTRANGE(""https://docs.google.com/spreadsheets/d/1xZyKy-UzMmtPDLpV5jQdYum1LtbR8XKDuasLSjmBRMI/edit#gid=1241094406"",""COMBINED DATA!E3:L""),{7,8},0)))"),0.36604000000000003)</f>
        <v>0.36604</v>
      </c>
      <c r="H211" s="76">
        <f>IFERROR(__xludf.DUMMYFUNCTION("""COMPUTED_VALUE"""),0.0)</f>
        <v>0</v>
      </c>
      <c r="I211" s="76">
        <f t="shared" si="58"/>
        <v>0.36604</v>
      </c>
      <c r="J211" s="84">
        <f t="shared" si="59"/>
        <v>1196.590537</v>
      </c>
      <c r="K211" s="85"/>
      <c r="L211" s="85"/>
      <c r="M211" s="85"/>
      <c r="N211" s="85"/>
      <c r="O211" s="316"/>
      <c r="P211" s="75"/>
      <c r="Q211" s="113"/>
      <c r="R211" s="20"/>
      <c r="S211" s="20"/>
      <c r="T211" s="20"/>
      <c r="U211" s="16"/>
      <c r="V211" s="16"/>
      <c r="W211" s="16"/>
    </row>
    <row r="212" ht="15.75" customHeight="1">
      <c r="A212" s="67" t="str">
        <f t="shared" si="57"/>
        <v>Ball Valve Butterfly Handle (SCH-80)2</v>
      </c>
      <c r="B212" s="90">
        <v>6.0</v>
      </c>
      <c r="C212" s="92">
        <v>2.0</v>
      </c>
      <c r="D212" s="92">
        <v>50.0</v>
      </c>
      <c r="E212" s="94" t="s">
        <v>1442</v>
      </c>
      <c r="F212" s="56">
        <v>668.0</v>
      </c>
      <c r="G212" s="76">
        <f>IFERROR(__xludf.DUMMYFUNCTION("ArrayFormula(IFERROR(VLOOKUP(E212,IMPORTRANGE(""https://docs.google.com/spreadsheets/d/1xZyKy-UzMmtPDLpV5jQdYum1LtbR8XKDuasLSjmBRMI/edit#gid=1241094406"",""COMBINED DATA!E3:L""),{7,8},0)))"),0.6015)</f>
        <v>0.6015</v>
      </c>
      <c r="H212" s="76">
        <f>IFERROR(__xludf.DUMMYFUNCTION("""COMPUTED_VALUE"""),0.0)</f>
        <v>0</v>
      </c>
      <c r="I212" s="76">
        <f t="shared" si="58"/>
        <v>0.6015</v>
      </c>
      <c r="J212" s="84">
        <f t="shared" si="59"/>
        <v>1110.556941</v>
      </c>
      <c r="K212" s="85"/>
      <c r="L212" s="85"/>
      <c r="M212" s="85"/>
      <c r="N212" s="85"/>
      <c r="O212" s="316"/>
      <c r="P212" s="75"/>
      <c r="Q212" s="113"/>
      <c r="R212" s="20"/>
      <c r="S212" s="20"/>
      <c r="T212" s="20"/>
      <c r="U212" s="16"/>
      <c r="V212" s="16"/>
      <c r="W212" s="16"/>
    </row>
    <row r="213">
      <c r="A213" s="34"/>
      <c r="B213" s="237" t="s">
        <v>11</v>
      </c>
      <c r="C213" s="45"/>
      <c r="D213" s="45"/>
      <c r="E213" s="46"/>
      <c r="F213" s="103">
        <f>sum(F207:F212)</f>
        <v>1824</v>
      </c>
      <c r="G213" s="250"/>
      <c r="H213" s="243"/>
      <c r="I213" s="243"/>
      <c r="J213" s="243"/>
      <c r="K213" s="85"/>
      <c r="L213" s="85"/>
      <c r="M213" s="85"/>
      <c r="N213" s="85"/>
      <c r="O213" s="29"/>
      <c r="P213" s="307"/>
      <c r="Q213" s="85"/>
      <c r="R213" s="15"/>
      <c r="S213" s="15"/>
      <c r="T213" s="15"/>
      <c r="U213" s="243"/>
      <c r="V213" s="243"/>
      <c r="W213" s="243"/>
    </row>
    <row r="214" ht="6.0" customHeight="1">
      <c r="A214" s="34"/>
      <c r="B214" s="15"/>
      <c r="C214" s="15"/>
      <c r="D214" s="15"/>
      <c r="E214" s="17"/>
      <c r="F214" s="15"/>
      <c r="G214" s="250"/>
      <c r="H214" s="243"/>
      <c r="I214" s="243"/>
      <c r="J214" s="243"/>
      <c r="K214" s="85"/>
      <c r="L214" s="85"/>
      <c r="M214" s="85"/>
      <c r="N214" s="85"/>
      <c r="O214" s="29"/>
      <c r="P214" s="307"/>
      <c r="Q214" s="85"/>
      <c r="R214" s="15"/>
      <c r="S214" s="15"/>
      <c r="T214" s="15"/>
      <c r="U214" s="243"/>
      <c r="V214" s="243"/>
      <c r="W214" s="243"/>
    </row>
    <row r="215" ht="22.5" customHeight="1">
      <c r="A215" s="34"/>
      <c r="B215" s="339" t="s">
        <v>1445</v>
      </c>
      <c r="C215" s="45"/>
      <c r="D215" s="45"/>
      <c r="E215" s="45"/>
      <c r="F215" s="46"/>
      <c r="G215" s="250"/>
      <c r="H215" s="243"/>
      <c r="I215" s="243"/>
      <c r="J215" s="243"/>
      <c r="K215" s="85"/>
      <c r="L215" s="85"/>
      <c r="M215" s="85"/>
      <c r="N215" s="85"/>
      <c r="O215" s="29"/>
      <c r="P215" s="307"/>
      <c r="Q215" s="85"/>
      <c r="R215" s="15"/>
      <c r="S215" s="15"/>
      <c r="T215" s="15"/>
      <c r="U215" s="243"/>
      <c r="V215" s="243"/>
      <c r="W215" s="243"/>
    </row>
    <row r="216" ht="15.75" customHeight="1">
      <c r="A216" s="67" t="str">
        <f t="shared" ref="A216:A221" si="60">$B$215&amp;C216</f>
        <v>Ball Valve Threaded Butterfly Handle (SCH-80)1⁄2</v>
      </c>
      <c r="B216" s="51">
        <v>1.0</v>
      </c>
      <c r="C216" s="70" t="s">
        <v>43</v>
      </c>
      <c r="D216" s="70">
        <v>15.0</v>
      </c>
      <c r="E216" s="111" t="s">
        <v>1447</v>
      </c>
      <c r="F216" s="56">
        <v>84.0</v>
      </c>
      <c r="G216" s="76">
        <f>IFERROR(__xludf.DUMMYFUNCTION("ArrayFormula(IFERROR(VLOOKUP(E216,IMPORTRANGE(""https://docs.google.com/spreadsheets/d/1xZyKy-UzMmtPDLpV5jQdYum1LtbR8XKDuasLSjmBRMI/edit#gid=1241094406"",""COMBINED DATA!E3:L""),{7,8},0)))"),0.0712)</f>
        <v>0.0712</v>
      </c>
      <c r="H216" s="76">
        <f>IFERROR(__xludf.DUMMYFUNCTION("""COMPUTED_VALUE"""),0.0)</f>
        <v>0</v>
      </c>
      <c r="I216" s="76">
        <f t="shared" ref="I216:I221" si="61">G216+H216</f>
        <v>0.0712</v>
      </c>
      <c r="J216" s="84">
        <f t="shared" ref="J216:J221" si="62">IFERROR(F216/I216,"")</f>
        <v>1179.775281</v>
      </c>
      <c r="K216" s="85"/>
      <c r="L216" s="85"/>
      <c r="M216" s="85"/>
      <c r="N216" s="85"/>
      <c r="O216" s="316"/>
      <c r="P216" s="75"/>
      <c r="Q216" s="113"/>
      <c r="R216" s="20"/>
      <c r="S216" s="20"/>
      <c r="T216" s="20"/>
      <c r="U216" s="16"/>
      <c r="V216" s="16"/>
      <c r="W216" s="16"/>
    </row>
    <row r="217" ht="15.75" customHeight="1">
      <c r="A217" s="67" t="str">
        <f t="shared" si="60"/>
        <v>Ball Valve Threaded Butterfly Handle (SCH-80)3⁄4</v>
      </c>
      <c r="B217" s="150">
        <v>2.0</v>
      </c>
      <c r="C217" s="92" t="s">
        <v>51</v>
      </c>
      <c r="D217" s="92">
        <v>20.0</v>
      </c>
      <c r="E217" s="112" t="s">
        <v>1449</v>
      </c>
      <c r="F217" s="56">
        <v>130.0</v>
      </c>
      <c r="G217" s="76">
        <f>IFERROR(__xludf.DUMMYFUNCTION("ArrayFormula(IFERROR(VLOOKUP(E217,IMPORTRANGE(""https://docs.google.com/spreadsheets/d/1xZyKy-UzMmtPDLpV5jQdYum1LtbR8XKDuasLSjmBRMI/edit#gid=1241094406"",""COMBINED DATA!E3:L""),{7,8},0)))"),0.11456000000000001)</f>
        <v>0.11456</v>
      </c>
      <c r="H217" s="76">
        <f>IFERROR(__xludf.DUMMYFUNCTION("""COMPUTED_VALUE"""),0.0)</f>
        <v>0</v>
      </c>
      <c r="I217" s="76">
        <f t="shared" si="61"/>
        <v>0.11456</v>
      </c>
      <c r="J217" s="84">
        <f t="shared" si="62"/>
        <v>1134.776536</v>
      </c>
      <c r="K217" s="85"/>
      <c r="L217" s="85"/>
      <c r="M217" s="85"/>
      <c r="N217" s="85"/>
      <c r="O217" s="316"/>
      <c r="P217" s="75"/>
      <c r="Q217" s="113"/>
      <c r="R217" s="20"/>
      <c r="S217" s="20"/>
      <c r="T217" s="20"/>
      <c r="U217" s="16"/>
      <c r="V217" s="16"/>
      <c r="W217" s="16"/>
    </row>
    <row r="218" ht="15.75" customHeight="1">
      <c r="A218" s="67" t="str">
        <f t="shared" si="60"/>
        <v>Ball Valve Threaded Butterfly Handle (SCH-80)1</v>
      </c>
      <c r="B218" s="150">
        <v>3.0</v>
      </c>
      <c r="C218" s="92">
        <v>1.0</v>
      </c>
      <c r="D218" s="92">
        <v>25.0</v>
      </c>
      <c r="E218" s="112" t="s">
        <v>1451</v>
      </c>
      <c r="F218" s="56">
        <v>236.0</v>
      </c>
      <c r="G218" s="76">
        <f>IFERROR(__xludf.DUMMYFUNCTION("ArrayFormula(IFERROR(VLOOKUP(E218,IMPORTRANGE(""https://docs.google.com/spreadsheets/d/1xZyKy-UzMmtPDLpV5jQdYum1LtbR8XKDuasLSjmBRMI/edit#gid=1241094406"",""COMBINED DATA!E3:L""),{7,8},0)))"),0.18159999999999998)</f>
        <v>0.1816</v>
      </c>
      <c r="H218" s="76">
        <f>IFERROR(__xludf.DUMMYFUNCTION("""COMPUTED_VALUE"""),0.0)</f>
        <v>0</v>
      </c>
      <c r="I218" s="76">
        <f t="shared" si="61"/>
        <v>0.1816</v>
      </c>
      <c r="J218" s="84">
        <f t="shared" si="62"/>
        <v>1299.559471</v>
      </c>
      <c r="K218" s="85"/>
      <c r="L218" s="85"/>
      <c r="M218" s="85"/>
      <c r="N218" s="85"/>
      <c r="O218" s="316"/>
      <c r="P218" s="75"/>
      <c r="Q218" s="113"/>
      <c r="R218" s="20"/>
      <c r="S218" s="20"/>
      <c r="T218" s="20"/>
      <c r="U218" s="16"/>
      <c r="V218" s="16"/>
      <c r="W218" s="16"/>
    </row>
    <row r="219" ht="15.75" customHeight="1">
      <c r="A219" s="67" t="str">
        <f t="shared" si="60"/>
        <v>Ball Valve Threaded Butterfly Handle (SCH-80)1 1⁄4</v>
      </c>
      <c r="B219" s="150">
        <v>4.0</v>
      </c>
      <c r="C219" s="92" t="s">
        <v>55</v>
      </c>
      <c r="D219" s="92">
        <v>32.0</v>
      </c>
      <c r="E219" s="112" t="s">
        <v>1453</v>
      </c>
      <c r="F219" s="56">
        <v>308.0</v>
      </c>
      <c r="G219" s="76">
        <f>IFERROR(__xludf.DUMMYFUNCTION("ArrayFormula(IFERROR(VLOOKUP(E219,IMPORTRANGE(""https://docs.google.com/spreadsheets/d/1xZyKy-UzMmtPDLpV5jQdYum1LtbR8XKDuasLSjmBRMI/edit#gid=1241094406"",""COMBINED DATA!E3:L""),{7,8},0)))"),0.26)</f>
        <v>0.26</v>
      </c>
      <c r="H219" s="76">
        <f>IFERROR(__xludf.DUMMYFUNCTION("""COMPUTED_VALUE"""),0.0)</f>
        <v>0</v>
      </c>
      <c r="I219" s="76">
        <f t="shared" si="61"/>
        <v>0.26</v>
      </c>
      <c r="J219" s="84">
        <f t="shared" si="62"/>
        <v>1184.615385</v>
      </c>
      <c r="K219" s="85"/>
      <c r="L219" s="85"/>
      <c r="M219" s="85"/>
      <c r="N219" s="85"/>
      <c r="O219" s="316"/>
      <c r="P219" s="75"/>
      <c r="Q219" s="113"/>
      <c r="R219" s="20"/>
      <c r="S219" s="20"/>
      <c r="T219" s="20"/>
      <c r="U219" s="16"/>
      <c r="V219" s="16"/>
      <c r="W219" s="16"/>
    </row>
    <row r="220" ht="15.75" customHeight="1">
      <c r="A220" s="67" t="str">
        <f t="shared" si="60"/>
        <v>Ball Valve Threaded Butterfly Handle (SCH-80)1 1⁄2</v>
      </c>
      <c r="B220" s="150">
        <v>5.0</v>
      </c>
      <c r="C220" s="92" t="s">
        <v>56</v>
      </c>
      <c r="D220" s="92">
        <v>40.0</v>
      </c>
      <c r="E220" s="112" t="s">
        <v>1454</v>
      </c>
      <c r="F220" s="56">
        <v>454.0</v>
      </c>
      <c r="G220" s="76">
        <f>IFERROR(__xludf.DUMMYFUNCTION("ArrayFormula(IFERROR(VLOOKUP(E220,IMPORTRANGE(""https://docs.google.com/spreadsheets/d/1xZyKy-UzMmtPDLpV5jQdYum1LtbR8XKDuasLSjmBRMI/edit#gid=1241094406"",""COMBINED DATA!E3:L""),{7,8},0)))"),0.39986)</f>
        <v>0.39986</v>
      </c>
      <c r="H220" s="76">
        <f>IFERROR(__xludf.DUMMYFUNCTION("""COMPUTED_VALUE"""),0.0)</f>
        <v>0</v>
      </c>
      <c r="I220" s="76">
        <f t="shared" si="61"/>
        <v>0.39986</v>
      </c>
      <c r="J220" s="84">
        <f t="shared" si="62"/>
        <v>1135.397389</v>
      </c>
      <c r="K220" s="85"/>
      <c r="L220" s="85"/>
      <c r="M220" s="85"/>
      <c r="N220" s="85"/>
      <c r="O220" s="316"/>
      <c r="P220" s="75"/>
      <c r="Q220" s="113"/>
      <c r="R220" s="20"/>
      <c r="S220" s="20"/>
      <c r="T220" s="20"/>
      <c r="U220" s="16"/>
      <c r="V220" s="16"/>
      <c r="W220" s="16"/>
    </row>
    <row r="221" ht="15.75" customHeight="1">
      <c r="A221" s="67" t="str">
        <f t="shared" si="60"/>
        <v>Ball Valve Threaded Butterfly Handle (SCH-80)2</v>
      </c>
      <c r="B221" s="150">
        <v>6.0</v>
      </c>
      <c r="C221" s="92">
        <v>2.0</v>
      </c>
      <c r="D221" s="92">
        <v>50.0</v>
      </c>
      <c r="E221" s="112" t="s">
        <v>1455</v>
      </c>
      <c r="F221" s="56">
        <v>684.0</v>
      </c>
      <c r="G221" s="76">
        <f>IFERROR(__xludf.DUMMYFUNCTION("ArrayFormula(IFERROR(VLOOKUP(E221,IMPORTRANGE(""https://docs.google.com/spreadsheets/d/1xZyKy-UzMmtPDLpV5jQdYum1LtbR8XKDuasLSjmBRMI/edit#gid=1241094406"",""COMBINED DATA!E3:L""),{7,8},0)))"),0.6015)</f>
        <v>0.6015</v>
      </c>
      <c r="H221" s="76">
        <f>IFERROR(__xludf.DUMMYFUNCTION("""COMPUTED_VALUE"""),0.0)</f>
        <v>0</v>
      </c>
      <c r="I221" s="76">
        <f t="shared" si="61"/>
        <v>0.6015</v>
      </c>
      <c r="J221" s="84">
        <f t="shared" si="62"/>
        <v>1137.157107</v>
      </c>
      <c r="K221" s="85"/>
      <c r="L221" s="85"/>
      <c r="M221" s="85"/>
      <c r="N221" s="85"/>
      <c r="O221" s="316"/>
      <c r="P221" s="75"/>
      <c r="Q221" s="113"/>
      <c r="R221" s="20"/>
      <c r="S221" s="20"/>
      <c r="T221" s="20"/>
      <c r="U221" s="16"/>
      <c r="V221" s="16"/>
      <c r="W221" s="16"/>
    </row>
    <row r="222">
      <c r="A222" s="34"/>
      <c r="B222" s="314" t="s">
        <v>11</v>
      </c>
      <c r="C222" s="273"/>
      <c r="D222" s="273"/>
      <c r="E222" s="180"/>
      <c r="F222" s="315">
        <f>sum(F216:F221)</f>
        <v>1896</v>
      </c>
      <c r="G222" s="250"/>
      <c r="H222" s="243"/>
      <c r="I222" s="243"/>
      <c r="J222" s="243"/>
      <c r="K222" s="85"/>
      <c r="L222" s="85"/>
      <c r="M222" s="85"/>
      <c r="N222" s="85"/>
      <c r="O222" s="29"/>
      <c r="P222" s="307"/>
      <c r="Q222" s="85"/>
      <c r="R222" s="15"/>
      <c r="S222" s="15"/>
      <c r="T222" s="15"/>
      <c r="U222" s="243"/>
      <c r="V222" s="243"/>
      <c r="W222" s="243"/>
    </row>
    <row r="223" ht="6.0" customHeight="1">
      <c r="A223" s="34"/>
      <c r="B223" s="15"/>
      <c r="C223" s="15"/>
      <c r="D223" s="15"/>
      <c r="E223" s="17"/>
      <c r="F223" s="15"/>
      <c r="G223" s="250"/>
      <c r="H223" s="243"/>
      <c r="I223" s="243"/>
      <c r="J223" s="243"/>
      <c r="K223" s="85"/>
      <c r="L223" s="85"/>
      <c r="M223" s="85"/>
      <c r="N223" s="85"/>
      <c r="O223" s="29"/>
      <c r="P223" s="307"/>
      <c r="Q223" s="85"/>
      <c r="R223" s="15"/>
      <c r="S223" s="15"/>
      <c r="T223" s="15"/>
      <c r="U223" s="243"/>
      <c r="V223" s="243"/>
      <c r="W223" s="243"/>
    </row>
    <row r="224" ht="22.5" customHeight="1">
      <c r="A224" s="34"/>
      <c r="B224" s="339" t="s">
        <v>1456</v>
      </c>
      <c r="C224" s="45"/>
      <c r="D224" s="45"/>
      <c r="E224" s="45"/>
      <c r="F224" s="46"/>
      <c r="G224" s="250"/>
      <c r="H224" s="243"/>
      <c r="I224" s="243"/>
      <c r="J224" s="243"/>
      <c r="K224" s="85"/>
      <c r="L224" s="85"/>
      <c r="M224" s="85"/>
      <c r="N224" s="85"/>
      <c r="O224" s="29"/>
      <c r="P224" s="307"/>
      <c r="Q224" s="85"/>
      <c r="R224" s="15"/>
      <c r="S224" s="15"/>
      <c r="T224" s="15"/>
      <c r="U224" s="243"/>
      <c r="V224" s="243"/>
      <c r="W224" s="243"/>
    </row>
    <row r="225" ht="15.75" customHeight="1">
      <c r="A225" s="67" t="str">
        <f t="shared" ref="A225:A230" si="63">$B$224&amp;C225</f>
        <v>Ball Valve Long Lever Handle (SCH-80)1⁄2</v>
      </c>
      <c r="B225" s="150">
        <v>1.0</v>
      </c>
      <c r="C225" s="92" t="s">
        <v>43</v>
      </c>
      <c r="D225" s="92">
        <v>15.0</v>
      </c>
      <c r="E225" s="153" t="s">
        <v>1457</v>
      </c>
      <c r="F225" s="56">
        <v>78.0</v>
      </c>
      <c r="G225" s="76">
        <f>IFERROR(__xludf.DUMMYFUNCTION("ArrayFormula(IFERROR(VLOOKUP(E225,IMPORTRANGE(""https://docs.google.com/spreadsheets/d/1xZyKy-UzMmtPDLpV5jQdYum1LtbR8XKDuasLSjmBRMI/edit#gid=1241094406"",""COMBINED DATA!E3:L""),{7,8},0)))"),0.07354000000000001)</f>
        <v>0.07354</v>
      </c>
      <c r="H225" s="76">
        <f>IFERROR(__xludf.DUMMYFUNCTION("""COMPUTED_VALUE"""),0.0)</f>
        <v>0</v>
      </c>
      <c r="I225" s="76">
        <f t="shared" ref="I225:I230" si="64">G225+H225</f>
        <v>0.07354</v>
      </c>
      <c r="J225" s="84">
        <f t="shared" ref="J225:J230" si="65">IFERROR(F225/I225,"")</f>
        <v>1060.647267</v>
      </c>
      <c r="K225" s="85"/>
      <c r="L225" s="85"/>
      <c r="M225" s="85"/>
      <c r="N225" s="85"/>
      <c r="O225" s="316"/>
      <c r="P225" s="75"/>
      <c r="Q225" s="113"/>
      <c r="R225" s="20"/>
      <c r="S225" s="20"/>
      <c r="T225" s="20"/>
      <c r="U225" s="16"/>
      <c r="V225" s="16"/>
      <c r="W225" s="16"/>
    </row>
    <row r="226" ht="15.75" customHeight="1">
      <c r="A226" s="67" t="str">
        <f t="shared" si="63"/>
        <v>Ball Valve Long Lever Handle (SCH-80)3⁄4</v>
      </c>
      <c r="B226" s="150">
        <v>2.0</v>
      </c>
      <c r="C226" s="92" t="s">
        <v>51</v>
      </c>
      <c r="D226" s="92">
        <v>20.0</v>
      </c>
      <c r="E226" s="153" t="s">
        <v>1460</v>
      </c>
      <c r="F226" s="56">
        <v>120.0</v>
      </c>
      <c r="G226" s="76">
        <f>IFERROR(__xludf.DUMMYFUNCTION("ArrayFormula(IFERROR(VLOOKUP(E226,IMPORTRANGE(""https://docs.google.com/spreadsheets/d/1xZyKy-UzMmtPDLpV5jQdYum1LtbR8XKDuasLSjmBRMI/edit#gid=1241094406"",""COMBINED DATA!E3:L""),{7,8},0)))"),0.11699)</f>
        <v>0.11699</v>
      </c>
      <c r="H226" s="76">
        <f>IFERROR(__xludf.DUMMYFUNCTION("""COMPUTED_VALUE"""),0.0)</f>
        <v>0</v>
      </c>
      <c r="I226" s="76">
        <f t="shared" si="64"/>
        <v>0.11699</v>
      </c>
      <c r="J226" s="84">
        <f t="shared" si="65"/>
        <v>1025.728695</v>
      </c>
      <c r="K226" s="85"/>
      <c r="L226" s="85"/>
      <c r="M226" s="85"/>
      <c r="N226" s="85"/>
      <c r="O226" s="316"/>
      <c r="P226" s="75"/>
      <c r="Q226" s="113"/>
      <c r="R226" s="20"/>
      <c r="S226" s="20"/>
      <c r="T226" s="20"/>
      <c r="U226" s="16"/>
      <c r="V226" s="16"/>
      <c r="W226" s="16"/>
    </row>
    <row r="227" ht="15.75" customHeight="1">
      <c r="A227" s="67" t="str">
        <f t="shared" si="63"/>
        <v>Ball Valve Long Lever Handle (SCH-80)1</v>
      </c>
      <c r="B227" s="150">
        <v>3.0</v>
      </c>
      <c r="C227" s="92">
        <v>1.0</v>
      </c>
      <c r="D227" s="92">
        <v>25.0</v>
      </c>
      <c r="E227" s="153" t="s">
        <v>1461</v>
      </c>
      <c r="F227" s="56">
        <v>224.0</v>
      </c>
      <c r="G227" s="76">
        <f>IFERROR(__xludf.DUMMYFUNCTION("ArrayFormula(IFERROR(VLOOKUP(E227,IMPORTRANGE(""https://docs.google.com/spreadsheets/d/1xZyKy-UzMmtPDLpV5jQdYum1LtbR8XKDuasLSjmBRMI/edit#gid=1241094406"",""COMBINED DATA!E3:L""),{7,8},0)))"),0.19097)</f>
        <v>0.19097</v>
      </c>
      <c r="H227" s="76">
        <f>IFERROR(__xludf.DUMMYFUNCTION("""COMPUTED_VALUE"""),0.0)</f>
        <v>0</v>
      </c>
      <c r="I227" s="76">
        <f t="shared" si="64"/>
        <v>0.19097</v>
      </c>
      <c r="J227" s="84">
        <f t="shared" si="65"/>
        <v>1172.959104</v>
      </c>
      <c r="K227" s="85"/>
      <c r="L227" s="85"/>
      <c r="M227" s="85"/>
      <c r="N227" s="85"/>
      <c r="O227" s="316"/>
      <c r="P227" s="75"/>
      <c r="Q227" s="113"/>
      <c r="R227" s="20"/>
      <c r="S227" s="20"/>
      <c r="T227" s="20"/>
      <c r="U227" s="16"/>
      <c r="V227" s="16"/>
      <c r="W227" s="16"/>
    </row>
    <row r="228" ht="15.75" customHeight="1">
      <c r="A228" s="67" t="str">
        <f t="shared" si="63"/>
        <v>Ball Valve Long Lever Handle (SCH-80)1 1⁄4</v>
      </c>
      <c r="B228" s="150">
        <v>4.0</v>
      </c>
      <c r="C228" s="92" t="s">
        <v>55</v>
      </c>
      <c r="D228" s="92">
        <v>32.0</v>
      </c>
      <c r="E228" s="153" t="s">
        <v>1463</v>
      </c>
      <c r="F228" s="56">
        <v>296.0</v>
      </c>
      <c r="G228" s="76">
        <f>IFERROR(__xludf.DUMMYFUNCTION("ArrayFormula(IFERROR(VLOOKUP(E228,IMPORTRANGE(""https://docs.google.com/spreadsheets/d/1xZyKy-UzMmtPDLpV5jQdYum1LtbR8XKDuasLSjmBRMI/edit#gid=1241094406"",""COMBINED DATA!E3:L""),{7,8},0)))"),0.27331)</f>
        <v>0.27331</v>
      </c>
      <c r="H228" s="76">
        <f>IFERROR(__xludf.DUMMYFUNCTION("""COMPUTED_VALUE"""),0.0)</f>
        <v>0</v>
      </c>
      <c r="I228" s="76">
        <f t="shared" si="64"/>
        <v>0.27331</v>
      </c>
      <c r="J228" s="84">
        <f t="shared" si="65"/>
        <v>1083.019282</v>
      </c>
      <c r="K228" s="85"/>
      <c r="L228" s="85"/>
      <c r="M228" s="85"/>
      <c r="N228" s="85"/>
      <c r="O228" s="316"/>
      <c r="P228" s="75"/>
      <c r="Q228" s="113"/>
      <c r="R228" s="20"/>
      <c r="S228" s="20"/>
      <c r="T228" s="20"/>
      <c r="U228" s="16"/>
      <c r="V228" s="16"/>
      <c r="W228" s="16"/>
    </row>
    <row r="229" ht="15.75" customHeight="1">
      <c r="A229" s="67" t="str">
        <f t="shared" si="63"/>
        <v>Ball Valve Long Lever Handle (SCH-80)1 1⁄2</v>
      </c>
      <c r="B229" s="150">
        <v>5.0</v>
      </c>
      <c r="C229" s="92" t="s">
        <v>56</v>
      </c>
      <c r="D229" s="92">
        <v>40.0</v>
      </c>
      <c r="E229" s="153" t="s">
        <v>1465</v>
      </c>
      <c r="F229" s="56">
        <v>438.0</v>
      </c>
      <c r="G229" s="76">
        <f>IFERROR(__xludf.DUMMYFUNCTION("ArrayFormula(IFERROR(VLOOKUP(E229,IMPORTRANGE(""https://docs.google.com/spreadsheets/d/1xZyKy-UzMmtPDLpV5jQdYum1LtbR8XKDuasLSjmBRMI/edit#gid=1241094406"",""COMBINED DATA!E3:L""),{7,8},0)))"),0.37495999999999996)</f>
        <v>0.37496</v>
      </c>
      <c r="H229" s="76">
        <f>IFERROR(__xludf.DUMMYFUNCTION("""COMPUTED_VALUE"""),0.0)</f>
        <v>0</v>
      </c>
      <c r="I229" s="76">
        <f t="shared" si="64"/>
        <v>0.37496</v>
      </c>
      <c r="J229" s="84">
        <f t="shared" si="65"/>
        <v>1168.1246</v>
      </c>
      <c r="K229" s="85"/>
      <c r="L229" s="85"/>
      <c r="M229" s="85"/>
      <c r="N229" s="85"/>
      <c r="O229" s="316"/>
      <c r="P229" s="75"/>
      <c r="Q229" s="113"/>
      <c r="R229" s="20"/>
      <c r="S229" s="20"/>
      <c r="T229" s="20"/>
      <c r="U229" s="16"/>
      <c r="V229" s="16"/>
      <c r="W229" s="16"/>
    </row>
    <row r="230" ht="15.75" customHeight="1">
      <c r="A230" s="67" t="str">
        <f t="shared" si="63"/>
        <v>Ball Valve Long Lever Handle (SCH-80)2</v>
      </c>
      <c r="B230" s="150">
        <v>6.0</v>
      </c>
      <c r="C230" s="92">
        <v>2.0</v>
      </c>
      <c r="D230" s="92">
        <v>50.0</v>
      </c>
      <c r="E230" s="153" t="s">
        <v>1466</v>
      </c>
      <c r="F230" s="56">
        <v>668.0</v>
      </c>
      <c r="G230" s="76">
        <f>IFERROR(__xludf.DUMMYFUNCTION("ArrayFormula(IFERROR(VLOOKUP(E230,IMPORTRANGE(""https://docs.google.com/spreadsheets/d/1xZyKy-UzMmtPDLpV5jQdYum1LtbR8XKDuasLSjmBRMI/edit#gid=1241094406"",""COMBINED DATA!E3:L""),{7,8},0)))"),0.6015)</f>
        <v>0.6015</v>
      </c>
      <c r="H230" s="76">
        <f>IFERROR(__xludf.DUMMYFUNCTION("""COMPUTED_VALUE"""),0.0)</f>
        <v>0</v>
      </c>
      <c r="I230" s="76">
        <f t="shared" si="64"/>
        <v>0.6015</v>
      </c>
      <c r="J230" s="84">
        <f t="shared" si="65"/>
        <v>1110.556941</v>
      </c>
      <c r="K230" s="85"/>
      <c r="L230" s="85"/>
      <c r="M230" s="85"/>
      <c r="N230" s="85"/>
      <c r="O230" s="316"/>
      <c r="P230" s="75"/>
      <c r="Q230" s="113"/>
      <c r="R230" s="20"/>
      <c r="S230" s="20"/>
      <c r="T230" s="20"/>
      <c r="U230" s="16"/>
      <c r="V230" s="16"/>
      <c r="W230" s="16"/>
    </row>
    <row r="231">
      <c r="A231" s="34"/>
      <c r="B231" s="314" t="s">
        <v>11</v>
      </c>
      <c r="C231" s="273"/>
      <c r="D231" s="273"/>
      <c r="E231" s="180"/>
      <c r="F231" s="315">
        <f>sum(F225:F230)</f>
        <v>1824</v>
      </c>
      <c r="G231" s="250"/>
      <c r="H231" s="243"/>
      <c r="I231" s="243"/>
      <c r="J231" s="243"/>
      <c r="K231" s="85"/>
      <c r="L231" s="85"/>
      <c r="M231" s="85"/>
      <c r="N231" s="85"/>
      <c r="O231" s="29"/>
      <c r="P231" s="307"/>
      <c r="Q231" s="85"/>
      <c r="R231" s="15"/>
      <c r="S231" s="15"/>
      <c r="T231" s="15"/>
      <c r="U231" s="243"/>
      <c r="V231" s="243"/>
      <c r="W231" s="243"/>
    </row>
    <row r="232" ht="6.0" customHeight="1">
      <c r="A232" s="34"/>
      <c r="B232" s="15"/>
      <c r="C232" s="15"/>
      <c r="D232" s="15"/>
      <c r="E232" s="17"/>
      <c r="F232" s="15"/>
      <c r="G232" s="250"/>
      <c r="H232" s="243"/>
      <c r="I232" s="243"/>
      <c r="J232" s="243"/>
      <c r="K232" s="85"/>
      <c r="L232" s="85"/>
      <c r="M232" s="85"/>
      <c r="N232" s="85"/>
      <c r="O232" s="29"/>
      <c r="P232" s="307"/>
      <c r="Q232" s="85"/>
      <c r="R232" s="15"/>
      <c r="S232" s="15"/>
      <c r="T232" s="15"/>
      <c r="U232" s="243"/>
      <c r="V232" s="243"/>
      <c r="W232" s="243"/>
    </row>
    <row r="233" ht="22.5" customHeight="1">
      <c r="A233" s="34"/>
      <c r="B233" s="62" t="s">
        <v>1432</v>
      </c>
      <c r="C233" s="45"/>
      <c r="D233" s="45"/>
      <c r="E233" s="45"/>
      <c r="F233" s="46"/>
      <c r="G233" s="250"/>
      <c r="H233" s="243"/>
      <c r="I233" s="243"/>
      <c r="J233" s="243"/>
      <c r="K233" s="85"/>
      <c r="L233" s="85"/>
      <c r="M233" s="85"/>
      <c r="N233" s="85"/>
      <c r="O233" s="29"/>
      <c r="P233" s="307"/>
      <c r="Q233" s="85"/>
      <c r="R233" s="15"/>
      <c r="S233" s="15"/>
      <c r="T233" s="15"/>
      <c r="U233" s="243"/>
      <c r="V233" s="243"/>
      <c r="W233" s="243"/>
    </row>
    <row r="234" ht="15.75" customHeight="1">
      <c r="A234" s="67" t="str">
        <f t="shared" ref="A234:A238" si="66">$B$233&amp;C234</f>
        <v>Ball Valve Butterfly Handle (SCH-80)3⁄4</v>
      </c>
      <c r="B234" s="68">
        <v>1.0</v>
      </c>
      <c r="C234" s="70" t="s">
        <v>51</v>
      </c>
      <c r="D234" s="70">
        <v>20.0</v>
      </c>
      <c r="E234" s="111" t="s">
        <v>1470</v>
      </c>
      <c r="F234" s="56">
        <v>132.0</v>
      </c>
      <c r="G234" s="76">
        <f>IFERROR(__xludf.DUMMYFUNCTION("ArrayFormula(IFERROR(VLOOKUP(E234,IMPORTRANGE(""https://docs.google.com/spreadsheets/d/1xZyKy-UzMmtPDLpV5jQdYum1LtbR8XKDuasLSjmBRMI/edit#gid=1241094406"",""COMBINED DATA!E3:L""),{7,8},0)))"),0.11225)</f>
        <v>0.11225</v>
      </c>
      <c r="H234" s="76">
        <f>IFERROR(__xludf.DUMMYFUNCTION("""COMPUTED_VALUE"""),0.0)</f>
        <v>0</v>
      </c>
      <c r="I234" s="76">
        <f t="shared" ref="I234:I238" si="67">G234+H234</f>
        <v>0.11225</v>
      </c>
      <c r="J234" s="84">
        <f t="shared" ref="J234:J238" si="68">IFERROR(F234/I234,"")</f>
        <v>1175.946548</v>
      </c>
      <c r="K234" s="85"/>
      <c r="L234" s="85"/>
      <c r="M234" s="85"/>
      <c r="N234" s="85"/>
      <c r="O234" s="316"/>
      <c r="P234" s="75"/>
      <c r="Q234" s="113"/>
      <c r="R234" s="20"/>
      <c r="S234" s="20"/>
      <c r="T234" s="20"/>
      <c r="U234" s="16"/>
      <c r="V234" s="16"/>
      <c r="W234" s="16"/>
    </row>
    <row r="235" ht="15.75" customHeight="1">
      <c r="A235" s="67" t="str">
        <f t="shared" si="66"/>
        <v>Ball Valve Butterfly Handle (SCH-80)1</v>
      </c>
      <c r="B235" s="90">
        <v>2.0</v>
      </c>
      <c r="C235" s="92">
        <v>1.0</v>
      </c>
      <c r="D235" s="92">
        <v>25.0</v>
      </c>
      <c r="E235" s="112" t="s">
        <v>1472</v>
      </c>
      <c r="F235" s="56">
        <v>234.0</v>
      </c>
      <c r="G235" s="76">
        <f>IFERROR(__xludf.DUMMYFUNCTION("ArrayFormula(IFERROR(VLOOKUP(E235,IMPORTRANGE(""https://docs.google.com/spreadsheets/d/1xZyKy-UzMmtPDLpV5jQdYum1LtbR8XKDuasLSjmBRMI/edit#gid=1241094406"",""COMBINED DATA!E3:L""),{7,8},0)))"),0.173)</f>
        <v>0.173</v>
      </c>
      <c r="H235" s="76">
        <f>IFERROR(__xludf.DUMMYFUNCTION("""COMPUTED_VALUE"""),0.0)</f>
        <v>0</v>
      </c>
      <c r="I235" s="76">
        <f t="shared" si="67"/>
        <v>0.173</v>
      </c>
      <c r="J235" s="84">
        <f t="shared" si="68"/>
        <v>1352.601156</v>
      </c>
      <c r="K235" s="85"/>
      <c r="L235" s="85"/>
      <c r="M235" s="85"/>
      <c r="N235" s="85"/>
      <c r="O235" s="316"/>
      <c r="P235" s="75"/>
      <c r="Q235" s="113"/>
      <c r="R235" s="20"/>
      <c r="S235" s="20"/>
      <c r="T235" s="20"/>
      <c r="U235" s="16"/>
      <c r="V235" s="16"/>
      <c r="W235" s="16"/>
    </row>
    <row r="236" ht="15.75" customHeight="1">
      <c r="A236" s="67" t="str">
        <f t="shared" si="66"/>
        <v>Ball Valve Butterfly Handle (SCH-80)1 1⁄4</v>
      </c>
      <c r="B236" s="90">
        <v>3.0</v>
      </c>
      <c r="C236" s="92" t="s">
        <v>55</v>
      </c>
      <c r="D236" s="92">
        <v>32.0</v>
      </c>
      <c r="E236" s="112" t="s">
        <v>1473</v>
      </c>
      <c r="F236" s="56">
        <v>308.0</v>
      </c>
      <c r="G236" s="76">
        <f>IFERROR(__xludf.DUMMYFUNCTION("ArrayFormula(IFERROR(VLOOKUP(E236,IMPORTRANGE(""https://docs.google.com/spreadsheets/d/1xZyKy-UzMmtPDLpV5jQdYum1LtbR8XKDuasLSjmBRMI/edit#gid=1241094406"",""COMBINED DATA!E3:L""),{7,8},0)))"),0.27825)</f>
        <v>0.27825</v>
      </c>
      <c r="H236" s="76">
        <f>IFERROR(__xludf.DUMMYFUNCTION("""COMPUTED_VALUE"""),0.0)</f>
        <v>0</v>
      </c>
      <c r="I236" s="76">
        <f t="shared" si="67"/>
        <v>0.27825</v>
      </c>
      <c r="J236" s="84">
        <f t="shared" si="68"/>
        <v>1106.918239</v>
      </c>
      <c r="K236" s="85"/>
      <c r="L236" s="85"/>
      <c r="M236" s="85"/>
      <c r="N236" s="85"/>
      <c r="O236" s="316"/>
      <c r="P236" s="75"/>
      <c r="Q236" s="113"/>
      <c r="R236" s="20"/>
      <c r="S236" s="20"/>
      <c r="T236" s="20"/>
      <c r="U236" s="16"/>
      <c r="V236" s="16"/>
      <c r="W236" s="16"/>
    </row>
    <row r="237" ht="15.75" customHeight="1">
      <c r="A237" s="67" t="str">
        <f t="shared" si="66"/>
        <v>Ball Valve Butterfly Handle (SCH-80)1 1⁄2</v>
      </c>
      <c r="B237" s="90">
        <v>4.0</v>
      </c>
      <c r="C237" s="92" t="s">
        <v>56</v>
      </c>
      <c r="D237" s="92">
        <v>40.0</v>
      </c>
      <c r="E237" s="112" t="s">
        <v>1474</v>
      </c>
      <c r="F237" s="56">
        <v>454.0</v>
      </c>
      <c r="G237" s="76">
        <f>IFERROR(__xludf.DUMMYFUNCTION("ArrayFormula(IFERROR(VLOOKUP(E237,IMPORTRANGE(""https://docs.google.com/spreadsheets/d/1xZyKy-UzMmtPDLpV5jQdYum1LtbR8XKDuasLSjmBRMI/edit#gid=1241094406"",""COMBINED DATA!E3:L""),{7,8},0)))"),0.44675)</f>
        <v>0.44675</v>
      </c>
      <c r="H237" s="76">
        <f>IFERROR(__xludf.DUMMYFUNCTION("""COMPUTED_VALUE"""),0.0)</f>
        <v>0</v>
      </c>
      <c r="I237" s="76">
        <f t="shared" si="67"/>
        <v>0.44675</v>
      </c>
      <c r="J237" s="84">
        <f t="shared" si="68"/>
        <v>1016.228316</v>
      </c>
      <c r="K237" s="85"/>
      <c r="L237" s="85"/>
      <c r="M237" s="85"/>
      <c r="N237" s="85"/>
      <c r="O237" s="316"/>
      <c r="P237" s="75"/>
      <c r="Q237" s="113"/>
      <c r="R237" s="20"/>
      <c r="S237" s="20"/>
      <c r="T237" s="20"/>
      <c r="U237" s="16"/>
      <c r="V237" s="16"/>
      <c r="W237" s="16"/>
    </row>
    <row r="238" ht="15.75" customHeight="1">
      <c r="A238" s="67" t="str">
        <f t="shared" si="66"/>
        <v>Ball Valve Butterfly Handle (SCH-80)2</v>
      </c>
      <c r="B238" s="90">
        <v>5.0</v>
      </c>
      <c r="C238" s="92">
        <v>2.0</v>
      </c>
      <c r="D238" s="92">
        <v>50.0</v>
      </c>
      <c r="E238" s="112" t="s">
        <v>1475</v>
      </c>
      <c r="F238" s="56">
        <v>684.0</v>
      </c>
      <c r="G238" s="76">
        <f>IFERROR(__xludf.DUMMYFUNCTION("ArrayFormula(IFERROR(VLOOKUP(E238,IMPORTRANGE(""https://docs.google.com/spreadsheets/d/1xZyKy-UzMmtPDLpV5jQdYum1LtbR8XKDuasLSjmBRMI/edit#gid=1241094406"",""COMBINED DATA!E3:L""),{7,8},0)))"),0.0)</f>
        <v>0</v>
      </c>
      <c r="H238" s="76">
        <f>IFERROR(__xludf.DUMMYFUNCTION("""COMPUTED_VALUE"""),0.0)</f>
        <v>0</v>
      </c>
      <c r="I238" s="76">
        <f t="shared" si="67"/>
        <v>0</v>
      </c>
      <c r="J238" s="84" t="str">
        <f t="shared" si="68"/>
        <v/>
      </c>
      <c r="K238" s="85"/>
      <c r="L238" s="85"/>
      <c r="M238" s="85"/>
      <c r="N238" s="85"/>
      <c r="O238" s="316"/>
      <c r="P238" s="75"/>
      <c r="Q238" s="113"/>
      <c r="R238" s="20"/>
      <c r="S238" s="20"/>
      <c r="T238" s="20"/>
      <c r="U238" s="16"/>
      <c r="V238" s="16"/>
      <c r="W238" s="16"/>
    </row>
    <row r="239">
      <c r="A239" s="34"/>
      <c r="B239" s="237" t="s">
        <v>11</v>
      </c>
      <c r="C239" s="45"/>
      <c r="D239" s="45"/>
      <c r="E239" s="46"/>
      <c r="F239" s="103">
        <f>sum(F234:F238)</f>
        <v>1812</v>
      </c>
      <c r="G239" s="250"/>
      <c r="H239" s="243"/>
      <c r="I239" s="243"/>
      <c r="J239" s="243"/>
      <c r="K239" s="85"/>
      <c r="L239" s="85"/>
      <c r="M239" s="85"/>
      <c r="N239" s="85"/>
      <c r="O239" s="29"/>
      <c r="P239" s="307"/>
      <c r="Q239" s="85"/>
      <c r="R239" s="15"/>
      <c r="S239" s="15"/>
      <c r="T239" s="15"/>
      <c r="U239" s="243"/>
      <c r="V239" s="243"/>
      <c r="W239" s="243"/>
    </row>
    <row r="240" ht="6.75" customHeight="1">
      <c r="A240" s="34"/>
      <c r="B240" s="15"/>
      <c r="C240" s="15"/>
      <c r="D240" s="15"/>
      <c r="E240" s="17"/>
      <c r="F240" s="15"/>
      <c r="G240" s="250"/>
      <c r="H240" s="243"/>
      <c r="I240" s="243"/>
      <c r="J240" s="243"/>
      <c r="K240" s="85"/>
      <c r="L240" s="85"/>
      <c r="M240" s="85"/>
      <c r="N240" s="85"/>
      <c r="O240" s="29"/>
      <c r="P240" s="307"/>
      <c r="Q240" s="85"/>
      <c r="R240" s="15"/>
      <c r="S240" s="15"/>
      <c r="T240" s="15"/>
      <c r="U240" s="243"/>
      <c r="V240" s="243"/>
      <c r="W240" s="243"/>
    </row>
    <row r="241" ht="22.5" customHeight="1">
      <c r="A241" s="34"/>
      <c r="B241" s="62" t="s">
        <v>1456</v>
      </c>
      <c r="C241" s="45"/>
      <c r="D241" s="45"/>
      <c r="E241" s="45"/>
      <c r="F241" s="46"/>
      <c r="G241" s="250"/>
      <c r="H241" s="243"/>
      <c r="I241" s="243"/>
      <c r="J241" s="243"/>
      <c r="K241" s="85"/>
      <c r="L241" s="85"/>
      <c r="M241" s="85"/>
      <c r="N241" s="85"/>
      <c r="O241" s="29"/>
      <c r="P241" s="307"/>
      <c r="Q241" s="85"/>
      <c r="R241" s="15"/>
      <c r="S241" s="15"/>
      <c r="T241" s="15"/>
      <c r="U241" s="243"/>
      <c r="V241" s="243"/>
      <c r="W241" s="243"/>
    </row>
    <row r="242" ht="15.75" customHeight="1">
      <c r="A242" s="67" t="str">
        <f t="shared" ref="A242:A246" si="69">$B$241&amp;C242</f>
        <v>Ball Valve Long Lever Handle (SCH-80)3⁄4</v>
      </c>
      <c r="B242" s="68">
        <v>1.0</v>
      </c>
      <c r="C242" s="70" t="s">
        <v>51</v>
      </c>
      <c r="D242" s="70">
        <v>20.0</v>
      </c>
      <c r="E242" s="111" t="s">
        <v>1476</v>
      </c>
      <c r="F242" s="56">
        <v>132.0</v>
      </c>
      <c r="G242" s="76">
        <f>IFERROR(__xludf.DUMMYFUNCTION("ArrayFormula(IFERROR(VLOOKUP(E242,IMPORTRANGE(""https://docs.google.com/spreadsheets/d/1xZyKy-UzMmtPDLpV5jQdYum1LtbR8XKDuasLSjmBRMI/edit#gid=1241094406"",""COMBINED DATA!E3:L""),{7,8},0)))"),0.112)</f>
        <v>0.112</v>
      </c>
      <c r="H242" s="76">
        <f>IFERROR(__xludf.DUMMYFUNCTION("""COMPUTED_VALUE"""),0.0)</f>
        <v>0</v>
      </c>
      <c r="I242" s="76">
        <f t="shared" ref="I242:I246" si="70">G242+H242</f>
        <v>0.112</v>
      </c>
      <c r="J242" s="84">
        <f t="shared" ref="J242:J246" si="71">IFERROR(F242/I242,"")</f>
        <v>1178.571429</v>
      </c>
      <c r="K242" s="85"/>
      <c r="L242" s="85"/>
      <c r="M242" s="85"/>
      <c r="N242" s="85"/>
      <c r="O242" s="316"/>
      <c r="P242" s="75"/>
      <c r="Q242" s="113"/>
      <c r="R242" s="20"/>
      <c r="S242" s="20"/>
      <c r="T242" s="20"/>
      <c r="U242" s="16"/>
      <c r="V242" s="16"/>
      <c r="W242" s="16"/>
    </row>
    <row r="243" ht="15.75" customHeight="1">
      <c r="A243" s="67" t="str">
        <f t="shared" si="69"/>
        <v>Ball Valve Long Lever Handle (SCH-80)1</v>
      </c>
      <c r="B243" s="90">
        <v>2.0</v>
      </c>
      <c r="C243" s="92">
        <v>1.0</v>
      </c>
      <c r="D243" s="92">
        <v>25.0</v>
      </c>
      <c r="E243" s="112" t="s">
        <v>1479</v>
      </c>
      <c r="F243" s="56">
        <v>234.0</v>
      </c>
      <c r="G243" s="76">
        <f>IFERROR(__xludf.DUMMYFUNCTION("ArrayFormula(IFERROR(VLOOKUP(E243,IMPORTRANGE(""https://docs.google.com/spreadsheets/d/1xZyKy-UzMmtPDLpV5jQdYum1LtbR8XKDuasLSjmBRMI/edit#gid=1241094406"",""COMBINED DATA!E3:L""),{7,8},0)))"),0.1728)</f>
        <v>0.1728</v>
      </c>
      <c r="H243" s="76">
        <f>IFERROR(__xludf.DUMMYFUNCTION("""COMPUTED_VALUE"""),0.0)</f>
        <v>0</v>
      </c>
      <c r="I243" s="76">
        <f t="shared" si="70"/>
        <v>0.1728</v>
      </c>
      <c r="J243" s="84">
        <f t="shared" si="71"/>
        <v>1354.166667</v>
      </c>
      <c r="K243" s="85"/>
      <c r="L243" s="85"/>
      <c r="M243" s="85"/>
      <c r="N243" s="85"/>
      <c r="O243" s="316"/>
      <c r="P243" s="75"/>
      <c r="Q243" s="113"/>
      <c r="R243" s="20"/>
      <c r="S243" s="20"/>
      <c r="T243" s="20"/>
      <c r="U243" s="16"/>
      <c r="V243" s="16"/>
      <c r="W243" s="16"/>
    </row>
    <row r="244" ht="15.75" customHeight="1">
      <c r="A244" s="67" t="str">
        <f t="shared" si="69"/>
        <v>Ball Valve Long Lever Handle (SCH-80)1 1⁄4</v>
      </c>
      <c r="B244" s="90">
        <v>3.0</v>
      </c>
      <c r="C244" s="92" t="s">
        <v>55</v>
      </c>
      <c r="D244" s="92">
        <v>32.0</v>
      </c>
      <c r="E244" s="112" t="s">
        <v>1481</v>
      </c>
      <c r="F244" s="56">
        <v>308.0</v>
      </c>
      <c r="G244" s="76">
        <f>IFERROR(__xludf.DUMMYFUNCTION("ArrayFormula(IFERROR(VLOOKUP(E244,IMPORTRANGE(""https://docs.google.com/spreadsheets/d/1xZyKy-UzMmtPDLpV5jQdYum1LtbR8XKDuasLSjmBRMI/edit#gid=1241094406"",""COMBINED DATA!E3:L""),{7,8},0)))"),0.2769)</f>
        <v>0.2769</v>
      </c>
      <c r="H244" s="76">
        <f>IFERROR(__xludf.DUMMYFUNCTION("""COMPUTED_VALUE"""),0.0)</f>
        <v>0</v>
      </c>
      <c r="I244" s="76">
        <f t="shared" si="70"/>
        <v>0.2769</v>
      </c>
      <c r="J244" s="84">
        <f t="shared" si="71"/>
        <v>1112.314915</v>
      </c>
      <c r="K244" s="85"/>
      <c r="L244" s="85"/>
      <c r="M244" s="85"/>
      <c r="N244" s="85"/>
      <c r="O244" s="316"/>
      <c r="P244" s="75"/>
      <c r="Q244" s="113"/>
      <c r="R244" s="20"/>
      <c r="S244" s="20"/>
      <c r="T244" s="20"/>
      <c r="U244" s="16"/>
      <c r="V244" s="16"/>
      <c r="W244" s="16"/>
    </row>
    <row r="245" ht="15.75" customHeight="1">
      <c r="A245" s="67" t="str">
        <f t="shared" si="69"/>
        <v>Ball Valve Long Lever Handle (SCH-80)1 1⁄2</v>
      </c>
      <c r="B245" s="90">
        <v>4.0</v>
      </c>
      <c r="C245" s="92" t="s">
        <v>56</v>
      </c>
      <c r="D245" s="92">
        <v>40.0</v>
      </c>
      <c r="E245" s="112" t="s">
        <v>1482</v>
      </c>
      <c r="F245" s="56">
        <v>454.0</v>
      </c>
      <c r="G245" s="76">
        <f>IFERROR(__xludf.DUMMYFUNCTION("ArrayFormula(IFERROR(VLOOKUP(E245,IMPORTRANGE(""https://docs.google.com/spreadsheets/d/1xZyKy-UzMmtPDLpV5jQdYum1LtbR8XKDuasLSjmBRMI/edit#gid=1241094406"",""COMBINED DATA!E3:L""),{7,8},0)))"),0.4465)</f>
        <v>0.4465</v>
      </c>
      <c r="H245" s="76">
        <f>IFERROR(__xludf.DUMMYFUNCTION("""COMPUTED_VALUE"""),0.0)</f>
        <v>0</v>
      </c>
      <c r="I245" s="76">
        <f t="shared" si="70"/>
        <v>0.4465</v>
      </c>
      <c r="J245" s="84">
        <f t="shared" si="71"/>
        <v>1016.797312</v>
      </c>
      <c r="K245" s="85"/>
      <c r="L245" s="85"/>
      <c r="M245" s="85"/>
      <c r="N245" s="85"/>
      <c r="O245" s="316"/>
      <c r="P245" s="75"/>
      <c r="Q245" s="113"/>
      <c r="R245" s="20"/>
      <c r="S245" s="20"/>
      <c r="T245" s="20"/>
      <c r="U245" s="16"/>
      <c r="V245" s="16"/>
      <c r="W245" s="16"/>
    </row>
    <row r="246" ht="15.75" customHeight="1">
      <c r="A246" s="67" t="str">
        <f t="shared" si="69"/>
        <v>Ball Valve Long Lever Handle (SCH-80)2</v>
      </c>
      <c r="B246" s="90">
        <v>5.0</v>
      </c>
      <c r="C246" s="92">
        <v>2.0</v>
      </c>
      <c r="D246" s="92">
        <v>50.0</v>
      </c>
      <c r="E246" s="112" t="s">
        <v>1484</v>
      </c>
      <c r="F246" s="56">
        <v>684.0</v>
      </c>
      <c r="G246" s="76">
        <f>IFERROR(__xludf.DUMMYFUNCTION("ArrayFormula(IFERROR(VLOOKUP(E246,IMPORTRANGE(""https://docs.google.com/spreadsheets/d/1xZyKy-UzMmtPDLpV5jQdYum1LtbR8XKDuasLSjmBRMI/edit#gid=1241094406"",""COMBINED DATA!E3:L""),{7,8},0)))"),0.0)</f>
        <v>0</v>
      </c>
      <c r="H246" s="76">
        <f>IFERROR(__xludf.DUMMYFUNCTION("""COMPUTED_VALUE"""),0.0)</f>
        <v>0</v>
      </c>
      <c r="I246" s="76">
        <f t="shared" si="70"/>
        <v>0</v>
      </c>
      <c r="J246" s="84" t="str">
        <f t="shared" si="71"/>
        <v/>
      </c>
      <c r="K246" s="85"/>
      <c r="L246" s="85"/>
      <c r="M246" s="85"/>
      <c r="N246" s="85"/>
      <c r="O246" s="316"/>
      <c r="P246" s="75"/>
      <c r="Q246" s="113"/>
      <c r="R246" s="20"/>
      <c r="S246" s="20"/>
      <c r="T246" s="20"/>
      <c r="U246" s="16"/>
      <c r="V246" s="16"/>
      <c r="W246" s="16"/>
    </row>
    <row r="247">
      <c r="A247" s="34"/>
      <c r="B247" s="237" t="s">
        <v>11</v>
      </c>
      <c r="C247" s="45"/>
      <c r="D247" s="45"/>
      <c r="E247" s="46"/>
      <c r="F247" s="103">
        <f>sum(F242:F246)</f>
        <v>1812</v>
      </c>
      <c r="G247" s="250"/>
      <c r="H247" s="243"/>
      <c r="I247" s="243"/>
      <c r="J247" s="243"/>
      <c r="K247" s="85"/>
      <c r="L247" s="85"/>
      <c r="M247" s="85"/>
      <c r="N247" s="85"/>
      <c r="O247" s="29"/>
      <c r="P247" s="307"/>
      <c r="Q247" s="85"/>
      <c r="R247" s="15"/>
      <c r="S247" s="15"/>
      <c r="T247" s="15"/>
      <c r="U247" s="243"/>
      <c r="V247" s="243"/>
      <c r="W247" s="243"/>
    </row>
    <row r="248" ht="6.0" customHeight="1">
      <c r="A248" s="34"/>
      <c r="B248" s="15"/>
      <c r="C248" s="15"/>
      <c r="D248" s="15"/>
      <c r="E248" s="17"/>
      <c r="F248" s="15"/>
      <c r="G248" s="250"/>
      <c r="H248" s="243"/>
      <c r="I248" s="243"/>
      <c r="J248" s="243"/>
      <c r="K248" s="85"/>
      <c r="L248" s="85"/>
      <c r="M248" s="85"/>
      <c r="N248" s="85"/>
      <c r="O248" s="29"/>
      <c r="P248" s="307"/>
      <c r="Q248" s="85"/>
      <c r="R248" s="15"/>
      <c r="S248" s="15"/>
      <c r="T248" s="15"/>
      <c r="U248" s="243"/>
      <c r="V248" s="243"/>
      <c r="W248" s="243"/>
    </row>
    <row r="249" ht="22.5" customHeight="1">
      <c r="A249" s="34"/>
      <c r="B249" s="62" t="s">
        <v>1551</v>
      </c>
      <c r="C249" s="45"/>
      <c r="D249" s="45"/>
      <c r="E249" s="45"/>
      <c r="F249" s="46"/>
      <c r="G249" s="250"/>
      <c r="H249" s="243"/>
      <c r="I249" s="243"/>
      <c r="J249" s="243"/>
      <c r="K249" s="85"/>
      <c r="L249" s="85"/>
      <c r="M249" s="85"/>
      <c r="N249" s="85"/>
      <c r="O249" s="29"/>
      <c r="P249" s="88"/>
      <c r="Q249" s="85"/>
      <c r="R249" s="15"/>
      <c r="S249" s="15"/>
      <c r="T249" s="15"/>
      <c r="U249" s="243"/>
      <c r="V249" s="243"/>
      <c r="W249" s="243"/>
    </row>
    <row r="250" ht="15.75" customHeight="1">
      <c r="A250" s="67" t="str">
        <f t="shared" ref="A250:A254" si="72">$B$249&amp;C250</f>
        <v>Step Over Bend (SCH-80)1⁄2</v>
      </c>
      <c r="B250" s="68">
        <v>1.0</v>
      </c>
      <c r="C250" s="70" t="s">
        <v>43</v>
      </c>
      <c r="D250" s="70">
        <v>15.0</v>
      </c>
      <c r="E250" s="111" t="s">
        <v>1553</v>
      </c>
      <c r="F250" s="181">
        <v>34.0</v>
      </c>
      <c r="G250" s="76">
        <f>IFERROR(__xludf.DUMMYFUNCTION("ArrayFormula(IFERROR(VLOOKUP(E250,IMPORTRANGE(""https://docs.google.com/spreadsheets/d/1xZyKy-UzMmtPDLpV5jQdYum1LtbR8XKDuasLSjmBRMI/edit#gid=1241094406"",""COMBINED DATA!E3:L""),{7,8},0)))"),0.0588)</f>
        <v>0.0588</v>
      </c>
      <c r="H250" s="76">
        <f>IFERROR(__xludf.DUMMYFUNCTION("""COMPUTED_VALUE"""),0.0)</f>
        <v>0</v>
      </c>
      <c r="I250" s="76">
        <f t="shared" ref="I250:I254" si="73">G250+H250</f>
        <v>0.0588</v>
      </c>
      <c r="J250" s="84">
        <f t="shared" ref="J250:J254" si="74">IFERROR(F250/I250,"")</f>
        <v>578.2312925</v>
      </c>
      <c r="K250" s="85"/>
      <c r="L250" s="85"/>
      <c r="M250" s="85"/>
      <c r="N250" s="85"/>
      <c r="O250" s="316"/>
      <c r="P250" s="88"/>
      <c r="Q250" s="113"/>
      <c r="R250" s="20"/>
      <c r="S250" s="20"/>
      <c r="T250" s="20"/>
      <c r="U250" s="16"/>
      <c r="V250" s="16"/>
      <c r="W250" s="16"/>
    </row>
    <row r="251" ht="15.75" customHeight="1">
      <c r="A251" s="67" t="str">
        <f t="shared" si="72"/>
        <v>Step Over Bend (SCH-80)3⁄4</v>
      </c>
      <c r="B251" s="90">
        <v>2.0</v>
      </c>
      <c r="C251" s="92" t="s">
        <v>51</v>
      </c>
      <c r="D251" s="92">
        <v>20.0</v>
      </c>
      <c r="E251" s="112" t="s">
        <v>1563</v>
      </c>
      <c r="F251" s="181">
        <v>58.0</v>
      </c>
      <c r="G251" s="76">
        <f>IFERROR(__xludf.DUMMYFUNCTION("ArrayFormula(IFERROR(VLOOKUP(E251,IMPORTRANGE(""https://docs.google.com/spreadsheets/d/1xZyKy-UzMmtPDLpV5jQdYum1LtbR8XKDuasLSjmBRMI/edit#gid=1241094406"",""COMBINED DATA!E3:L""),{7,8},0)))"),0.1035)</f>
        <v>0.1035</v>
      </c>
      <c r="H251" s="76">
        <f>IFERROR(__xludf.DUMMYFUNCTION("""COMPUTED_VALUE"""),0.0)</f>
        <v>0</v>
      </c>
      <c r="I251" s="76">
        <f t="shared" si="73"/>
        <v>0.1035</v>
      </c>
      <c r="J251" s="84">
        <f t="shared" si="74"/>
        <v>560.3864734</v>
      </c>
      <c r="K251" s="85"/>
      <c r="L251" s="85"/>
      <c r="M251" s="85"/>
      <c r="N251" s="85"/>
      <c r="O251" s="316"/>
      <c r="P251" s="75"/>
      <c r="Q251" s="113"/>
      <c r="R251" s="20"/>
      <c r="S251" s="20"/>
      <c r="T251" s="20"/>
      <c r="U251" s="16"/>
      <c r="V251" s="16"/>
      <c r="W251" s="16"/>
    </row>
    <row r="252" ht="15.75" customHeight="1">
      <c r="A252" s="67" t="str">
        <f t="shared" si="72"/>
        <v>Step Over Bend (SCH-80)1</v>
      </c>
      <c r="B252" s="90">
        <v>3.0</v>
      </c>
      <c r="C252" s="92">
        <v>1.0</v>
      </c>
      <c r="D252" s="92">
        <v>25.0</v>
      </c>
      <c r="E252" s="112" t="s">
        <v>1569</v>
      </c>
      <c r="F252" s="181">
        <v>114.0</v>
      </c>
      <c r="G252" s="76">
        <f>IFERROR(__xludf.DUMMYFUNCTION("ArrayFormula(IFERROR(VLOOKUP(E252,IMPORTRANGE(""https://docs.google.com/spreadsheets/d/1xZyKy-UzMmtPDLpV5jQdYum1LtbR8XKDuasLSjmBRMI/edit#gid=1241094406"",""COMBINED DATA!E3:L""),{7,8},0)))"),0.1993)</f>
        <v>0.1993</v>
      </c>
      <c r="H252" s="76">
        <f>IFERROR(__xludf.DUMMYFUNCTION("""COMPUTED_VALUE"""),0.0)</f>
        <v>0</v>
      </c>
      <c r="I252" s="76">
        <f t="shared" si="73"/>
        <v>0.1993</v>
      </c>
      <c r="J252" s="84">
        <f t="shared" si="74"/>
        <v>572.002007</v>
      </c>
      <c r="K252" s="85"/>
      <c r="L252" s="85"/>
      <c r="M252" s="85"/>
      <c r="N252" s="85"/>
      <c r="O252" s="316"/>
      <c r="P252" s="75"/>
      <c r="Q252" s="113"/>
      <c r="R252" s="20"/>
      <c r="S252" s="20"/>
      <c r="T252" s="20"/>
      <c r="U252" s="16"/>
      <c r="V252" s="16"/>
      <c r="W252" s="16"/>
    </row>
    <row r="253" ht="15.75" customHeight="1">
      <c r="A253" s="67" t="str">
        <f t="shared" si="72"/>
        <v>Step Over Bend (SCH-80)1 1⁄4</v>
      </c>
      <c r="B253" s="90">
        <v>4.0</v>
      </c>
      <c r="C253" s="92" t="s">
        <v>55</v>
      </c>
      <c r="D253" s="92">
        <v>32.0</v>
      </c>
      <c r="E253" s="112" t="s">
        <v>1576</v>
      </c>
      <c r="F253" s="181">
        <v>148.0</v>
      </c>
      <c r="G253" s="76">
        <f>IFERROR(__xludf.DUMMYFUNCTION("ArrayFormula(IFERROR(VLOOKUP(E253,IMPORTRANGE(""https://docs.google.com/spreadsheets/d/1xZyKy-UzMmtPDLpV5jQdYum1LtbR8XKDuasLSjmBRMI/edit#gid=1241094406"",""COMBINED DATA!E3:L""),{7,8},0)))"),0.267)</f>
        <v>0.267</v>
      </c>
      <c r="H253" s="76">
        <f>IFERROR(__xludf.DUMMYFUNCTION("""COMPUTED_VALUE"""),0.0)</f>
        <v>0</v>
      </c>
      <c r="I253" s="76">
        <f t="shared" si="73"/>
        <v>0.267</v>
      </c>
      <c r="J253" s="84">
        <f t="shared" si="74"/>
        <v>554.3071161</v>
      </c>
      <c r="K253" s="85"/>
      <c r="L253" s="85"/>
      <c r="M253" s="85"/>
      <c r="N253" s="85"/>
      <c r="O253" s="316"/>
      <c r="P253" s="75"/>
      <c r="Q253" s="113"/>
      <c r="R253" s="20"/>
      <c r="S253" s="20"/>
      <c r="T253" s="20"/>
      <c r="U253" s="16"/>
      <c r="V253" s="16"/>
      <c r="W253" s="16"/>
    </row>
    <row r="254" ht="15.75" customHeight="1">
      <c r="A254" s="67" t="str">
        <f t="shared" si="72"/>
        <v>Step Over Bend (SCH-80)1 1⁄2</v>
      </c>
      <c r="B254" s="90">
        <v>5.0</v>
      </c>
      <c r="C254" s="92" t="s">
        <v>56</v>
      </c>
      <c r="D254" s="92">
        <v>40.0</v>
      </c>
      <c r="E254" s="112" t="s">
        <v>1581</v>
      </c>
      <c r="F254" s="181">
        <v>258.0</v>
      </c>
      <c r="G254" s="76">
        <f>IFERROR(__xludf.DUMMYFUNCTION("ArrayFormula(IFERROR(VLOOKUP(E254,IMPORTRANGE(""https://docs.google.com/spreadsheets/d/1xZyKy-UzMmtPDLpV5jQdYum1LtbR8XKDuasLSjmBRMI/edit#gid=1241094406"",""COMBINED DATA!E3:L""),{7,8},0)))"),0.463)</f>
        <v>0.463</v>
      </c>
      <c r="H254" s="76">
        <f>IFERROR(__xludf.DUMMYFUNCTION("""COMPUTED_VALUE"""),0.0)</f>
        <v>0</v>
      </c>
      <c r="I254" s="76">
        <f t="shared" si="73"/>
        <v>0.463</v>
      </c>
      <c r="J254" s="84">
        <f t="shared" si="74"/>
        <v>557.2354212</v>
      </c>
      <c r="K254" s="85"/>
      <c r="L254" s="85"/>
      <c r="M254" s="85"/>
      <c r="N254" s="85"/>
      <c r="O254" s="316"/>
      <c r="P254" s="75"/>
      <c r="Q254" s="113"/>
      <c r="R254" s="20"/>
      <c r="S254" s="20"/>
      <c r="T254" s="20"/>
      <c r="U254" s="16"/>
      <c r="V254" s="16"/>
      <c r="W254" s="16"/>
    </row>
    <row r="255">
      <c r="A255" s="34"/>
      <c r="B255" s="237" t="s">
        <v>11</v>
      </c>
      <c r="C255" s="45"/>
      <c r="D255" s="45"/>
      <c r="E255" s="46"/>
      <c r="F255" s="103">
        <f>sum(F250:F254)</f>
        <v>612</v>
      </c>
      <c r="G255" s="250"/>
      <c r="H255" s="243"/>
      <c r="I255" s="243"/>
      <c r="J255" s="243"/>
      <c r="K255" s="85"/>
      <c r="L255" s="85"/>
      <c r="M255" s="85"/>
      <c r="N255" s="85"/>
      <c r="O255" s="29"/>
      <c r="P255" s="307"/>
      <c r="Q255" s="85"/>
      <c r="R255" s="15"/>
      <c r="S255" s="15"/>
      <c r="T255" s="15"/>
      <c r="U255" s="243"/>
      <c r="V255" s="243"/>
      <c r="W255" s="243"/>
    </row>
    <row r="256" ht="6.0" customHeight="1">
      <c r="A256" s="34"/>
      <c r="B256" s="15"/>
      <c r="C256" s="15"/>
      <c r="D256" s="15"/>
      <c r="E256" s="17"/>
      <c r="F256" s="15"/>
      <c r="G256" s="250"/>
      <c r="H256" s="243"/>
      <c r="I256" s="243"/>
      <c r="J256" s="243"/>
      <c r="K256" s="85"/>
      <c r="L256" s="85"/>
      <c r="M256" s="85"/>
      <c r="N256" s="85"/>
      <c r="O256" s="29"/>
      <c r="P256" s="307"/>
      <c r="Q256" s="85"/>
      <c r="R256" s="15"/>
      <c r="S256" s="15"/>
      <c r="T256" s="15"/>
      <c r="U256" s="243"/>
      <c r="V256" s="243"/>
      <c r="W256" s="243"/>
    </row>
    <row r="257" ht="22.5" customHeight="1">
      <c r="A257" s="34"/>
      <c r="B257" s="62" t="s">
        <v>1023</v>
      </c>
      <c r="C257" s="45"/>
      <c r="D257" s="45"/>
      <c r="E257" s="45"/>
      <c r="F257" s="46"/>
      <c r="G257" s="250"/>
      <c r="H257" s="243"/>
      <c r="I257" s="243"/>
      <c r="J257" s="243"/>
      <c r="K257" s="85"/>
      <c r="L257" s="85"/>
      <c r="M257" s="85"/>
      <c r="N257" s="85"/>
      <c r="O257" s="29"/>
      <c r="P257" s="307"/>
      <c r="Q257" s="85"/>
      <c r="R257" s="15"/>
      <c r="S257" s="15"/>
      <c r="T257" s="15"/>
      <c r="U257" s="243"/>
      <c r="V257" s="243"/>
      <c r="W257" s="243"/>
    </row>
    <row r="258" ht="15.75" customHeight="1">
      <c r="A258" s="67" t="str">
        <f t="shared" ref="A258:A260" si="75">$B$257&amp;C258</f>
        <v>Flange2 1⁄2</v>
      </c>
      <c r="B258" s="68">
        <v>1.0</v>
      </c>
      <c r="C258" s="110" t="s">
        <v>69</v>
      </c>
      <c r="D258" s="110">
        <v>65.0</v>
      </c>
      <c r="E258" s="111" t="s">
        <v>1595</v>
      </c>
      <c r="F258" s="56">
        <v>228.0</v>
      </c>
      <c r="G258" s="76">
        <f>IFERROR(__xludf.DUMMYFUNCTION("ArrayFormula(IFERROR(VLOOKUP(E258,IMPORTRANGE(""https://docs.google.com/spreadsheets/d/1xZyKy-UzMmtPDLpV5jQdYum1LtbR8XKDuasLSjmBRMI/edit#gid=1241094406"",""COMBINED DATA!E3:L""),{7,8},0)))"),0.406)</f>
        <v>0.406</v>
      </c>
      <c r="H258" s="76">
        <f>IFERROR(__xludf.DUMMYFUNCTION("""COMPUTED_VALUE"""),0.0)</f>
        <v>0</v>
      </c>
      <c r="I258" s="76">
        <f t="shared" ref="I258:I260" si="76">G258+H258</f>
        <v>0.406</v>
      </c>
      <c r="J258" s="84">
        <f t="shared" ref="J258:J260" si="77">IFERROR(F258/I258,"")</f>
        <v>561.5763547</v>
      </c>
      <c r="K258" s="85"/>
      <c r="L258" s="85"/>
      <c r="M258" s="85"/>
      <c r="N258" s="85"/>
      <c r="O258" s="316"/>
      <c r="P258" s="75"/>
      <c r="Q258" s="113"/>
      <c r="R258" s="20"/>
      <c r="S258" s="20"/>
      <c r="T258" s="20"/>
      <c r="U258" s="16"/>
      <c r="V258" s="16"/>
      <c r="W258" s="16"/>
    </row>
    <row r="259" ht="15.75" customHeight="1">
      <c r="A259" s="67" t="str">
        <f t="shared" si="75"/>
        <v>Flange3</v>
      </c>
      <c r="B259" s="90">
        <v>2.0</v>
      </c>
      <c r="C259" s="127">
        <v>3.0</v>
      </c>
      <c r="D259" s="127">
        <v>80.0</v>
      </c>
      <c r="E259" s="112" t="s">
        <v>1604</v>
      </c>
      <c r="F259" s="56">
        <v>378.0</v>
      </c>
      <c r="G259" s="76">
        <f>IFERROR(__xludf.DUMMYFUNCTION("ArrayFormula(IFERROR(VLOOKUP(E259,IMPORTRANGE(""https://docs.google.com/spreadsheets/d/1xZyKy-UzMmtPDLpV5jQdYum1LtbR8XKDuasLSjmBRMI/edit#gid=1241094406"",""COMBINED DATA!E3:L""),{7,8},0)))"),0.655)</f>
        <v>0.655</v>
      </c>
      <c r="H259" s="76">
        <f>IFERROR(__xludf.DUMMYFUNCTION("""COMPUTED_VALUE"""),0.0)</f>
        <v>0</v>
      </c>
      <c r="I259" s="76">
        <f t="shared" si="76"/>
        <v>0.655</v>
      </c>
      <c r="J259" s="84">
        <f t="shared" si="77"/>
        <v>577.0992366</v>
      </c>
      <c r="K259" s="85"/>
      <c r="L259" s="85"/>
      <c r="M259" s="85"/>
      <c r="N259" s="85"/>
      <c r="O259" s="316"/>
      <c r="P259" s="75"/>
      <c r="Q259" s="113"/>
      <c r="R259" s="20"/>
      <c r="S259" s="20"/>
      <c r="T259" s="20"/>
      <c r="U259" s="16"/>
      <c r="V259" s="16"/>
      <c r="W259" s="16"/>
    </row>
    <row r="260" ht="15.75" customHeight="1">
      <c r="A260" s="67" t="str">
        <f t="shared" si="75"/>
        <v>Flange4</v>
      </c>
      <c r="B260" s="90">
        <v>3.0</v>
      </c>
      <c r="C260" s="127">
        <v>4.0</v>
      </c>
      <c r="D260" s="127">
        <v>100.0</v>
      </c>
      <c r="E260" s="112" t="s">
        <v>1609</v>
      </c>
      <c r="F260" s="56">
        <v>668.0</v>
      </c>
      <c r="G260" s="76">
        <f>IFERROR(__xludf.DUMMYFUNCTION("ArrayFormula(IFERROR(VLOOKUP(E260,IMPORTRANGE(""https://docs.google.com/spreadsheets/d/1xZyKy-UzMmtPDLpV5jQdYum1LtbR8XKDuasLSjmBRMI/edit#gid=1241094406"",""COMBINED DATA!E3:L""),{7,8},0)))"),1.185)</f>
        <v>1.185</v>
      </c>
      <c r="H260" s="76">
        <f>IFERROR(__xludf.DUMMYFUNCTION("""COMPUTED_VALUE"""),0.0)</f>
        <v>0</v>
      </c>
      <c r="I260" s="76">
        <f t="shared" si="76"/>
        <v>1.185</v>
      </c>
      <c r="J260" s="84">
        <f t="shared" si="77"/>
        <v>563.7130802</v>
      </c>
      <c r="K260" s="85"/>
      <c r="L260" s="85"/>
      <c r="M260" s="85"/>
      <c r="N260" s="85"/>
      <c r="O260" s="316"/>
      <c r="P260" s="75"/>
      <c r="Q260" s="113"/>
      <c r="R260" s="20"/>
      <c r="S260" s="20"/>
      <c r="T260" s="20"/>
      <c r="U260" s="16"/>
      <c r="V260" s="16"/>
      <c r="W260" s="16"/>
    </row>
    <row r="261">
      <c r="A261" s="34"/>
      <c r="B261" s="237" t="s">
        <v>11</v>
      </c>
      <c r="C261" s="45"/>
      <c r="D261" s="45"/>
      <c r="E261" s="46"/>
      <c r="F261" s="103">
        <f>sum(F258:F260)</f>
        <v>1274</v>
      </c>
      <c r="G261" s="250"/>
      <c r="H261" s="243"/>
      <c r="I261" s="243"/>
      <c r="J261" s="243"/>
      <c r="K261" s="85"/>
      <c r="L261" s="85"/>
      <c r="M261" s="85"/>
      <c r="N261" s="85"/>
      <c r="O261" s="29"/>
      <c r="P261" s="307"/>
      <c r="Q261" s="85"/>
      <c r="R261" s="15"/>
      <c r="S261" s="15"/>
      <c r="T261" s="15"/>
      <c r="U261" s="243"/>
      <c r="V261" s="243"/>
      <c r="W261" s="243"/>
    </row>
    <row r="262" ht="6.0" customHeight="1">
      <c r="A262" s="34"/>
      <c r="B262" s="15"/>
      <c r="C262" s="15"/>
      <c r="D262" s="15"/>
      <c r="E262" s="17"/>
      <c r="F262" s="15"/>
      <c r="G262" s="250"/>
      <c r="H262" s="243"/>
      <c r="I262" s="243"/>
      <c r="J262" s="243"/>
      <c r="K262" s="85"/>
      <c r="L262" s="85"/>
      <c r="M262" s="85"/>
      <c r="N262" s="85"/>
      <c r="O262" s="29"/>
      <c r="P262" s="307"/>
      <c r="Q262" s="85"/>
      <c r="R262" s="15"/>
      <c r="S262" s="15"/>
      <c r="T262" s="15"/>
      <c r="U262" s="243"/>
      <c r="V262" s="243"/>
      <c r="W262" s="243"/>
    </row>
    <row r="263" ht="22.5" customHeight="1">
      <c r="A263" s="34"/>
      <c r="B263" s="62" t="s">
        <v>1770</v>
      </c>
      <c r="C263" s="45"/>
      <c r="D263" s="45"/>
      <c r="E263" s="45"/>
      <c r="F263" s="46"/>
      <c r="G263" s="250"/>
      <c r="H263" s="243"/>
      <c r="I263" s="243"/>
      <c r="J263" s="243"/>
      <c r="K263" s="85"/>
      <c r="L263" s="85"/>
      <c r="M263" s="85"/>
      <c r="N263" s="85"/>
      <c r="O263" s="29"/>
      <c r="P263" s="307"/>
      <c r="Q263" s="85"/>
      <c r="R263" s="15"/>
      <c r="S263" s="15"/>
      <c r="T263" s="15"/>
      <c r="U263" s="243"/>
      <c r="V263" s="243"/>
      <c r="W263" s="243"/>
    </row>
    <row r="264" ht="15.75" customHeight="1">
      <c r="A264" s="376" t="s">
        <v>1772</v>
      </c>
      <c r="B264" s="68">
        <v>1.0</v>
      </c>
      <c r="C264" s="70" t="s">
        <v>43</v>
      </c>
      <c r="D264" s="70">
        <v>15.0</v>
      </c>
      <c r="E264" s="111" t="s">
        <v>1773</v>
      </c>
      <c r="F264" s="56">
        <v>32.9</v>
      </c>
      <c r="G264" s="76">
        <f>IFERROR(__xludf.DUMMYFUNCTION("ArrayFormula(IFERROR(VLOOKUP(E264,IMPORTRANGE(""https://docs.google.com/spreadsheets/d/1xZyKy-UzMmtPDLpV5jQdYum1LtbR8XKDuasLSjmBRMI/edit#gid=1241094406"",""COMBINED DATA!E3:L""),{7,8},0)))"),0.052)</f>
        <v>0.052</v>
      </c>
      <c r="H264" s="76">
        <f>IFERROR(__xludf.DUMMYFUNCTION("""COMPUTED_VALUE"""),0.0)</f>
        <v>0</v>
      </c>
      <c r="I264" s="76">
        <f t="shared" ref="I264:I269" si="78">G264+H264</f>
        <v>0.052</v>
      </c>
      <c r="J264" s="84">
        <f t="shared" ref="J264:J269" si="79">IFERROR(F264/I264,"")</f>
        <v>632.6923077</v>
      </c>
      <c r="K264" s="85"/>
      <c r="L264" s="85"/>
      <c r="M264" s="85"/>
      <c r="N264" s="85"/>
      <c r="O264" s="316"/>
      <c r="P264" s="75"/>
      <c r="Q264" s="113"/>
      <c r="R264" s="20"/>
      <c r="S264" s="20"/>
      <c r="T264" s="20"/>
      <c r="U264" s="16"/>
      <c r="V264" s="16"/>
      <c r="W264" s="16"/>
    </row>
    <row r="265" ht="15.75" customHeight="1">
      <c r="A265" s="67" t="str">
        <f t="shared" ref="A265:A269" si="80">$B$263&amp;C265</f>
        <v>Short Bend (SCH-80)3⁄4</v>
      </c>
      <c r="B265" s="90">
        <v>2.0</v>
      </c>
      <c r="C265" s="92" t="s">
        <v>51</v>
      </c>
      <c r="D265" s="92">
        <v>20.0</v>
      </c>
      <c r="E265" s="112" t="s">
        <v>1776</v>
      </c>
      <c r="F265" s="56">
        <v>43.6</v>
      </c>
      <c r="G265" s="76">
        <f>IFERROR(__xludf.DUMMYFUNCTION("ArrayFormula(IFERROR(VLOOKUP(E265,IMPORTRANGE(""https://docs.google.com/spreadsheets/d/1xZyKy-UzMmtPDLpV5jQdYum1LtbR8XKDuasLSjmBRMI/edit#gid=1241094406"",""COMBINED DATA!E3:L""),{7,8},0)))"),0.0704)</f>
        <v>0.0704</v>
      </c>
      <c r="H265" s="76">
        <f>IFERROR(__xludf.DUMMYFUNCTION("""COMPUTED_VALUE"""),0.0)</f>
        <v>0</v>
      </c>
      <c r="I265" s="76">
        <f t="shared" si="78"/>
        <v>0.0704</v>
      </c>
      <c r="J265" s="84">
        <f t="shared" si="79"/>
        <v>619.3181818</v>
      </c>
      <c r="K265" s="85"/>
      <c r="L265" s="85"/>
      <c r="M265" s="85"/>
      <c r="N265" s="85"/>
      <c r="O265" s="316"/>
      <c r="P265" s="75"/>
      <c r="Q265" s="113"/>
      <c r="R265" s="20"/>
      <c r="S265" s="20"/>
      <c r="T265" s="20"/>
      <c r="U265" s="16"/>
      <c r="V265" s="16"/>
      <c r="W265" s="16"/>
    </row>
    <row r="266" ht="15.75" customHeight="1">
      <c r="A266" s="67" t="str">
        <f t="shared" si="80"/>
        <v>Short Bend (SCH-80)1</v>
      </c>
      <c r="B266" s="90">
        <v>3.0</v>
      </c>
      <c r="C266" s="92">
        <v>1.0</v>
      </c>
      <c r="D266" s="92">
        <v>25.0</v>
      </c>
      <c r="E266" s="112" t="s">
        <v>1777</v>
      </c>
      <c r="F266" s="56">
        <v>76.8</v>
      </c>
      <c r="G266" s="76">
        <f>IFERROR(__xludf.DUMMYFUNCTION("ArrayFormula(IFERROR(VLOOKUP(E266,IMPORTRANGE(""https://docs.google.com/spreadsheets/d/1xZyKy-UzMmtPDLpV5jQdYum1LtbR8XKDuasLSjmBRMI/edit#gid=1241094406"",""COMBINED DATA!E3:L""),{7,8},0)))"),0.124)</f>
        <v>0.124</v>
      </c>
      <c r="H266" s="76">
        <f>IFERROR(__xludf.DUMMYFUNCTION("""COMPUTED_VALUE"""),0.0)</f>
        <v>0</v>
      </c>
      <c r="I266" s="76">
        <f t="shared" si="78"/>
        <v>0.124</v>
      </c>
      <c r="J266" s="84">
        <f t="shared" si="79"/>
        <v>619.3548387</v>
      </c>
      <c r="K266" s="85"/>
      <c r="L266" s="85"/>
      <c r="M266" s="85"/>
      <c r="N266" s="85"/>
      <c r="O266" s="316"/>
      <c r="P266" s="75"/>
      <c r="Q266" s="113"/>
      <c r="R266" s="20"/>
      <c r="S266" s="20"/>
      <c r="T266" s="20"/>
      <c r="U266" s="16"/>
      <c r="V266" s="16"/>
      <c r="W266" s="16"/>
    </row>
    <row r="267" ht="15.75" customHeight="1">
      <c r="A267" s="67" t="str">
        <f t="shared" si="80"/>
        <v>Short Bend (SCH-80)1 1⁄4</v>
      </c>
      <c r="B267" s="90">
        <v>4.0</v>
      </c>
      <c r="C267" s="92" t="s">
        <v>55</v>
      </c>
      <c r="D267" s="92">
        <v>32.0</v>
      </c>
      <c r="E267" s="112" t="s">
        <v>1779</v>
      </c>
      <c r="F267" s="56">
        <v>125.49499999999999</v>
      </c>
      <c r="G267" s="76">
        <f>IFERROR(__xludf.DUMMYFUNCTION("ArrayFormula(IFERROR(VLOOKUP(E267,IMPORTRANGE(""https://docs.google.com/spreadsheets/d/1xZyKy-UzMmtPDLpV5jQdYum1LtbR8XKDuasLSjmBRMI/edit#gid=1241094406"",""COMBINED DATA!E3:L""),{7,8},0)))"),0.0)</f>
        <v>0</v>
      </c>
      <c r="H267" s="76">
        <f>IFERROR(__xludf.DUMMYFUNCTION("""COMPUTED_VALUE"""),0.0)</f>
        <v>0</v>
      </c>
      <c r="I267" s="76">
        <f t="shared" si="78"/>
        <v>0</v>
      </c>
      <c r="J267" s="84" t="str">
        <f t="shared" si="79"/>
        <v/>
      </c>
      <c r="K267" s="85"/>
      <c r="L267" s="85"/>
      <c r="M267" s="85"/>
      <c r="N267" s="85"/>
      <c r="O267" s="316"/>
      <c r="P267" s="75"/>
      <c r="Q267" s="113"/>
      <c r="R267" s="20"/>
      <c r="S267" s="20"/>
      <c r="T267" s="20"/>
      <c r="U267" s="16"/>
      <c r="V267" s="16"/>
      <c r="W267" s="16"/>
    </row>
    <row r="268" ht="15.75" customHeight="1">
      <c r="A268" s="67" t="str">
        <f t="shared" si="80"/>
        <v>Short Bend (SCH-80)1 1⁄2</v>
      </c>
      <c r="B268" s="90">
        <v>5.0</v>
      </c>
      <c r="C268" s="92" t="s">
        <v>56</v>
      </c>
      <c r="D268" s="92">
        <v>40.0</v>
      </c>
      <c r="E268" s="112" t="s">
        <v>1781</v>
      </c>
      <c r="F268" s="56">
        <v>158.7</v>
      </c>
      <c r="G268" s="76">
        <f>IFERROR(__xludf.DUMMYFUNCTION("ArrayFormula(IFERROR(VLOOKUP(E268,IMPORTRANGE(""https://docs.google.com/spreadsheets/d/1xZyKy-UzMmtPDLpV5jQdYum1LtbR8XKDuasLSjmBRMI/edit#gid=1241094406"",""COMBINED DATA!E3:L""),{7,8},0)))"),0.0)</f>
        <v>0</v>
      </c>
      <c r="H268" s="76">
        <f>IFERROR(__xludf.DUMMYFUNCTION("""COMPUTED_VALUE"""),0.0)</f>
        <v>0</v>
      </c>
      <c r="I268" s="76">
        <f t="shared" si="78"/>
        <v>0</v>
      </c>
      <c r="J268" s="84" t="str">
        <f t="shared" si="79"/>
        <v/>
      </c>
      <c r="K268" s="85"/>
      <c r="L268" s="85"/>
      <c r="M268" s="85"/>
      <c r="N268" s="85"/>
      <c r="O268" s="316"/>
      <c r="P268" s="75"/>
      <c r="Q268" s="113"/>
      <c r="R268" s="20"/>
      <c r="S268" s="20"/>
      <c r="T268" s="20"/>
      <c r="U268" s="16"/>
      <c r="V268" s="16"/>
      <c r="W268" s="16"/>
    </row>
    <row r="269" ht="15.75" customHeight="1">
      <c r="A269" s="67" t="str">
        <f t="shared" si="80"/>
        <v>Short Bend (SCH-80)2</v>
      </c>
      <c r="B269" s="90">
        <v>6.0</v>
      </c>
      <c r="C269" s="127">
        <v>2.0</v>
      </c>
      <c r="D269" s="127">
        <v>50.0</v>
      </c>
      <c r="E269" s="112" t="s">
        <v>1782</v>
      </c>
      <c r="F269" s="56">
        <v>243.1</v>
      </c>
      <c r="G269" s="76">
        <f>IFERROR(__xludf.DUMMYFUNCTION("ArrayFormula(IFERROR(VLOOKUP(E269,IMPORTRANGE(""https://docs.google.com/spreadsheets/d/1xZyKy-UzMmtPDLpV5jQdYum1LtbR8XKDuasLSjmBRMI/edit#gid=1241094406"",""COMBINED DATA!E3:L""),{7,8},0)))"),0.0)</f>
        <v>0</v>
      </c>
      <c r="H269" s="76">
        <f>IFERROR(__xludf.DUMMYFUNCTION("""COMPUTED_VALUE"""),0.0)</f>
        <v>0</v>
      </c>
      <c r="I269" s="76">
        <f t="shared" si="78"/>
        <v>0</v>
      </c>
      <c r="J269" s="84" t="str">
        <f t="shared" si="79"/>
        <v/>
      </c>
      <c r="K269" s="85"/>
      <c r="L269" s="85"/>
      <c r="M269" s="85"/>
      <c r="N269" s="85"/>
      <c r="O269" s="316"/>
      <c r="P269" s="75"/>
      <c r="Q269" s="113"/>
      <c r="R269" s="20"/>
      <c r="S269" s="20"/>
      <c r="T269" s="20"/>
      <c r="U269" s="16"/>
      <c r="V269" s="16"/>
      <c r="W269" s="16"/>
    </row>
    <row r="270">
      <c r="A270" s="34"/>
      <c r="B270" s="237" t="s">
        <v>11</v>
      </c>
      <c r="C270" s="45"/>
      <c r="D270" s="45"/>
      <c r="E270" s="46"/>
      <c r="F270" s="103">
        <f>SUM(F264:F269)</f>
        <v>680.595</v>
      </c>
      <c r="G270" s="250"/>
      <c r="H270" s="243"/>
      <c r="I270" s="243"/>
      <c r="J270" s="243"/>
      <c r="K270" s="85"/>
      <c r="L270" s="85"/>
      <c r="M270" s="85"/>
      <c r="N270" s="85"/>
      <c r="O270" s="29"/>
      <c r="P270" s="307"/>
      <c r="Q270" s="85"/>
      <c r="R270" s="15"/>
      <c r="S270" s="15"/>
      <c r="T270" s="15"/>
      <c r="U270" s="243"/>
      <c r="V270" s="243"/>
      <c r="W270" s="243"/>
    </row>
    <row r="271" ht="6.75" customHeight="1">
      <c r="A271" s="34"/>
      <c r="B271" s="15"/>
      <c r="C271" s="15"/>
      <c r="D271" s="15"/>
      <c r="E271" s="17"/>
      <c r="F271" s="15"/>
      <c r="G271" s="250"/>
      <c r="H271" s="243"/>
      <c r="I271" s="243"/>
      <c r="J271" s="243"/>
      <c r="K271" s="85"/>
      <c r="L271" s="85"/>
      <c r="M271" s="85"/>
      <c r="N271" s="85"/>
      <c r="O271" s="29"/>
      <c r="P271" s="307"/>
      <c r="Q271" s="85"/>
      <c r="R271" s="15"/>
      <c r="S271" s="15"/>
      <c r="T271" s="15"/>
      <c r="U271" s="243"/>
      <c r="V271" s="243"/>
      <c r="W271" s="243"/>
    </row>
    <row r="272" ht="30.75" customHeight="1">
      <c r="A272" s="34"/>
      <c r="B272" s="363" t="s">
        <v>1640</v>
      </c>
      <c r="C272" s="45"/>
      <c r="D272" s="45"/>
      <c r="E272" s="45"/>
      <c r="F272" s="46"/>
      <c r="G272" s="250"/>
      <c r="H272" s="243"/>
      <c r="I272" s="243"/>
      <c r="J272" s="243"/>
      <c r="K272" s="85"/>
      <c r="L272" s="85"/>
      <c r="M272" s="85"/>
      <c r="N272" s="85"/>
      <c r="O272" s="29"/>
      <c r="P272" s="307"/>
      <c r="Q272" s="85"/>
      <c r="R272" s="15"/>
      <c r="S272" s="15"/>
      <c r="T272" s="15"/>
      <c r="U272" s="243"/>
      <c r="V272" s="243"/>
      <c r="W272" s="243"/>
    </row>
    <row r="273" ht="15.75" customHeight="1">
      <c r="A273" s="67" t="str">
        <f t="shared" ref="A273:A278" si="81">$B$272&amp;C273</f>
        <v>Pipe Clamp (Heavy Saddle with Powder Coating) (SCH-80)1⁄2</v>
      </c>
      <c r="B273" s="68">
        <v>1.0</v>
      </c>
      <c r="C273" s="70" t="s">
        <v>43</v>
      </c>
      <c r="D273" s="70">
        <v>15.0</v>
      </c>
      <c r="E273" s="111" t="s">
        <v>1643</v>
      </c>
      <c r="F273" s="56">
        <v>14.9</v>
      </c>
      <c r="G273" s="76">
        <f>IFERROR(__xludf.DUMMYFUNCTION("ArrayFormula(IFERROR(VLOOKUP(E273,IMPORTRANGE(""https://docs.google.com/spreadsheets/d/1xZyKy-UzMmtPDLpV5jQdYum1LtbR8XKDuasLSjmBRMI/edit#gid=1241094406"",""COMBINED DATA!E3:L""),{7,8},0)))"),0.01)</f>
        <v>0.01</v>
      </c>
      <c r="H273" s="76">
        <f>IFERROR(__xludf.DUMMYFUNCTION("""COMPUTED_VALUE"""),0.0)</f>
        <v>0</v>
      </c>
      <c r="I273" s="76">
        <f t="shared" ref="I273:I278" si="82">G273+H273</f>
        <v>0.01</v>
      </c>
      <c r="J273" s="84">
        <f t="shared" ref="J273:J278" si="83">IFERROR(F273/I273,"")</f>
        <v>1490</v>
      </c>
      <c r="K273" s="85"/>
      <c r="L273" s="85"/>
      <c r="M273" s="286"/>
      <c r="N273" s="85"/>
      <c r="O273" s="316"/>
      <c r="P273" s="75"/>
      <c r="Q273" s="113"/>
      <c r="R273" s="20"/>
      <c r="S273" s="20"/>
      <c r="T273" s="20"/>
      <c r="U273" s="16"/>
      <c r="V273" s="16"/>
      <c r="W273" s="16"/>
    </row>
    <row r="274" ht="15.75" customHeight="1">
      <c r="A274" s="67" t="str">
        <f t="shared" si="81"/>
        <v>Pipe Clamp (Heavy Saddle with Powder Coating) (SCH-80)3⁄4</v>
      </c>
      <c r="B274" s="90">
        <v>2.0</v>
      </c>
      <c r="C274" s="92" t="s">
        <v>51</v>
      </c>
      <c r="D274" s="92">
        <v>20.0</v>
      </c>
      <c r="E274" s="112" t="s">
        <v>1646</v>
      </c>
      <c r="F274" s="56">
        <v>16.6</v>
      </c>
      <c r="G274" s="76">
        <f>IFERROR(__xludf.DUMMYFUNCTION("ArrayFormula(IFERROR(VLOOKUP(E274,IMPORTRANGE(""https://docs.google.com/spreadsheets/d/1xZyKy-UzMmtPDLpV5jQdYum1LtbR8XKDuasLSjmBRMI/edit#gid=1241094406"",""COMBINED DATA!E3:L""),{7,8},0)))"),0.011)</f>
        <v>0.011</v>
      </c>
      <c r="H274" s="76">
        <f>IFERROR(__xludf.DUMMYFUNCTION("""COMPUTED_VALUE"""),0.0)</f>
        <v>0</v>
      </c>
      <c r="I274" s="76">
        <f t="shared" si="82"/>
        <v>0.011</v>
      </c>
      <c r="J274" s="84">
        <f t="shared" si="83"/>
        <v>1509.090909</v>
      </c>
      <c r="K274" s="85"/>
      <c r="L274" s="85"/>
      <c r="M274" s="286"/>
      <c r="N274" s="85"/>
      <c r="O274" s="316"/>
      <c r="P274" s="75"/>
      <c r="Q274" s="113"/>
      <c r="R274" s="20"/>
      <c r="S274" s="20"/>
      <c r="T274" s="20"/>
      <c r="U274" s="16"/>
      <c r="V274" s="16"/>
      <c r="W274" s="16"/>
    </row>
    <row r="275" ht="15.75" customHeight="1">
      <c r="A275" s="67" t="str">
        <f t="shared" si="81"/>
        <v>Pipe Clamp (Heavy Saddle with Powder Coating) (SCH-80)1</v>
      </c>
      <c r="B275" s="90">
        <v>3.0</v>
      </c>
      <c r="C275" s="92">
        <v>1.0</v>
      </c>
      <c r="D275" s="92">
        <v>25.0</v>
      </c>
      <c r="E275" s="112" t="s">
        <v>1649</v>
      </c>
      <c r="F275" s="56">
        <v>17.9</v>
      </c>
      <c r="G275" s="76">
        <f>IFERROR(__xludf.DUMMYFUNCTION("ArrayFormula(IFERROR(VLOOKUP(E275,IMPORTRANGE(""https://docs.google.com/spreadsheets/d/1xZyKy-UzMmtPDLpV5jQdYum1LtbR8XKDuasLSjmBRMI/edit#gid=1241094406"",""COMBINED DATA!E3:L""),{7,8},0)))"),0.013)</f>
        <v>0.013</v>
      </c>
      <c r="H275" s="76">
        <f>IFERROR(__xludf.DUMMYFUNCTION("""COMPUTED_VALUE"""),0.0)</f>
        <v>0</v>
      </c>
      <c r="I275" s="76">
        <f t="shared" si="82"/>
        <v>0.013</v>
      </c>
      <c r="J275" s="84">
        <f t="shared" si="83"/>
        <v>1376.923077</v>
      </c>
      <c r="K275" s="85"/>
      <c r="L275" s="85"/>
      <c r="M275" s="286"/>
      <c r="N275" s="85"/>
      <c r="O275" s="316"/>
      <c r="P275" s="75"/>
      <c r="Q275" s="113"/>
      <c r="R275" s="20"/>
      <c r="S275" s="20"/>
      <c r="T275" s="20"/>
      <c r="U275" s="16"/>
      <c r="V275" s="16"/>
      <c r="W275" s="16"/>
    </row>
    <row r="276" ht="15.75" customHeight="1">
      <c r="A276" s="67" t="str">
        <f t="shared" si="81"/>
        <v>Pipe Clamp (Heavy Saddle with Powder Coating) (SCH-80)1 1⁄4</v>
      </c>
      <c r="B276" s="90">
        <v>4.0</v>
      </c>
      <c r="C276" s="92" t="s">
        <v>55</v>
      </c>
      <c r="D276" s="92">
        <v>32.0</v>
      </c>
      <c r="E276" s="112" t="s">
        <v>1653</v>
      </c>
      <c r="F276" s="56">
        <v>22.8</v>
      </c>
      <c r="G276" s="76">
        <f>IFERROR(__xludf.DUMMYFUNCTION("ArrayFormula(IFERROR(VLOOKUP(E276,IMPORTRANGE(""https://docs.google.com/spreadsheets/d/1xZyKy-UzMmtPDLpV5jQdYum1LtbR8XKDuasLSjmBRMI/edit#gid=1241094406"",""COMBINED DATA!E3:L""),{7,8},0)))"),0.018)</f>
        <v>0.018</v>
      </c>
      <c r="H276" s="76">
        <f>IFERROR(__xludf.DUMMYFUNCTION("""COMPUTED_VALUE"""),0.0)</f>
        <v>0</v>
      </c>
      <c r="I276" s="76">
        <f t="shared" si="82"/>
        <v>0.018</v>
      </c>
      <c r="J276" s="84">
        <f t="shared" si="83"/>
        <v>1266.666667</v>
      </c>
      <c r="K276" s="85"/>
      <c r="L276" s="85"/>
      <c r="M276" s="286"/>
      <c r="N276" s="85"/>
      <c r="O276" s="316"/>
      <c r="P276" s="75"/>
      <c r="Q276" s="113"/>
      <c r="R276" s="20"/>
      <c r="S276" s="20"/>
      <c r="T276" s="20"/>
      <c r="U276" s="16"/>
      <c r="V276" s="16"/>
      <c r="W276" s="16"/>
    </row>
    <row r="277" ht="15.75" customHeight="1">
      <c r="A277" s="67" t="str">
        <f t="shared" si="81"/>
        <v>Pipe Clamp (Heavy Saddle with Powder Coating) (SCH-80)1 1⁄2</v>
      </c>
      <c r="B277" s="90">
        <v>5.0</v>
      </c>
      <c r="C277" s="92" t="s">
        <v>56</v>
      </c>
      <c r="D277" s="92">
        <v>40.0</v>
      </c>
      <c r="E277" s="112" t="s">
        <v>1658</v>
      </c>
      <c r="F277" s="56">
        <v>24.8</v>
      </c>
      <c r="G277" s="76">
        <f>IFERROR(__xludf.DUMMYFUNCTION("ArrayFormula(IFERROR(VLOOKUP(E277,IMPORTRANGE(""https://docs.google.com/spreadsheets/d/1xZyKy-UzMmtPDLpV5jQdYum1LtbR8XKDuasLSjmBRMI/edit#gid=1241094406"",""COMBINED DATA!E3:L""),{7,8},0)))"),0.02)</f>
        <v>0.02</v>
      </c>
      <c r="H277" s="76">
        <f>IFERROR(__xludf.DUMMYFUNCTION("""COMPUTED_VALUE"""),0.0)</f>
        <v>0</v>
      </c>
      <c r="I277" s="76">
        <f t="shared" si="82"/>
        <v>0.02</v>
      </c>
      <c r="J277" s="84">
        <f t="shared" si="83"/>
        <v>1240</v>
      </c>
      <c r="K277" s="85"/>
      <c r="L277" s="85"/>
      <c r="M277" s="286"/>
      <c r="N277" s="85"/>
      <c r="O277" s="316"/>
      <c r="P277" s="75"/>
      <c r="Q277" s="113"/>
      <c r="R277" s="20"/>
      <c r="S277" s="20"/>
      <c r="T277" s="20"/>
      <c r="U277" s="16"/>
      <c r="V277" s="16"/>
      <c r="W277" s="16"/>
    </row>
    <row r="278" ht="15.75" customHeight="1">
      <c r="A278" s="67" t="str">
        <f t="shared" si="81"/>
        <v>Pipe Clamp (Heavy Saddle with Powder Coating) (SCH-80)2</v>
      </c>
      <c r="B278" s="90">
        <v>6.0</v>
      </c>
      <c r="C278" s="127">
        <v>2.0</v>
      </c>
      <c r="D278" s="127">
        <v>50.0</v>
      </c>
      <c r="E278" s="112" t="s">
        <v>1661</v>
      </c>
      <c r="F278" s="56">
        <v>28.8</v>
      </c>
      <c r="G278" s="76">
        <f>IFERROR(__xludf.DUMMYFUNCTION("ArrayFormula(IFERROR(VLOOKUP(E278,IMPORTRANGE(""https://docs.google.com/spreadsheets/d/1xZyKy-UzMmtPDLpV5jQdYum1LtbR8XKDuasLSjmBRMI/edit#gid=1241094406"",""COMBINED DATA!E3:L""),{7,8},0)))"),0.035)</f>
        <v>0.035</v>
      </c>
      <c r="H278" s="76">
        <f>IFERROR(__xludf.DUMMYFUNCTION("""COMPUTED_VALUE"""),0.0)</f>
        <v>0</v>
      </c>
      <c r="I278" s="76">
        <f t="shared" si="82"/>
        <v>0.035</v>
      </c>
      <c r="J278" s="84">
        <f t="shared" si="83"/>
        <v>822.8571429</v>
      </c>
      <c r="K278" s="85"/>
      <c r="L278" s="85"/>
      <c r="M278" s="286"/>
      <c r="N278" s="85"/>
      <c r="O278" s="316"/>
      <c r="P278" s="75"/>
      <c r="Q278" s="113"/>
      <c r="R278" s="20"/>
      <c r="S278" s="20"/>
      <c r="T278" s="20"/>
      <c r="U278" s="16"/>
      <c r="V278" s="16"/>
      <c r="W278" s="16"/>
    </row>
    <row r="279">
      <c r="A279" s="34"/>
      <c r="B279" s="237" t="s">
        <v>11</v>
      </c>
      <c r="C279" s="45"/>
      <c r="D279" s="45"/>
      <c r="E279" s="46"/>
      <c r="F279" s="103">
        <f>SUM(F273:F278)</f>
        <v>125.8</v>
      </c>
      <c r="G279" s="250"/>
      <c r="H279" s="243"/>
      <c r="I279" s="243"/>
      <c r="J279" s="243"/>
      <c r="K279" s="85"/>
      <c r="L279" s="85"/>
      <c r="M279" s="85"/>
      <c r="N279" s="85"/>
      <c r="O279" s="29"/>
      <c r="P279" s="307"/>
      <c r="Q279" s="85"/>
      <c r="R279" s="15"/>
      <c r="S279" s="15"/>
      <c r="T279" s="15"/>
      <c r="U279" s="243"/>
      <c r="V279" s="243"/>
      <c r="W279" s="243"/>
    </row>
    <row r="280" ht="6.0" customHeight="1">
      <c r="A280" s="34"/>
      <c r="B280" s="15"/>
      <c r="C280" s="15"/>
      <c r="D280" s="15"/>
      <c r="E280" s="17"/>
      <c r="F280" s="15"/>
      <c r="G280" s="250"/>
      <c r="H280" s="243"/>
      <c r="I280" s="243"/>
      <c r="J280" s="243"/>
      <c r="K280" s="85"/>
      <c r="L280" s="85"/>
      <c r="M280" s="85"/>
      <c r="N280" s="85"/>
      <c r="O280" s="29"/>
      <c r="P280" s="307"/>
      <c r="Q280" s="85"/>
      <c r="R280" s="15"/>
      <c r="S280" s="15"/>
      <c r="T280" s="15"/>
      <c r="U280" s="243"/>
      <c r="V280" s="243"/>
      <c r="W280" s="243"/>
    </row>
    <row r="281" ht="31.5" customHeight="1">
      <c r="A281" s="34"/>
      <c r="B281" s="363" t="s">
        <v>1669</v>
      </c>
      <c r="C281" s="45"/>
      <c r="D281" s="45"/>
      <c r="E281" s="45"/>
      <c r="F281" s="46"/>
      <c r="G281" s="250"/>
      <c r="H281" s="243"/>
      <c r="I281" s="243"/>
      <c r="J281" s="243"/>
      <c r="K281" s="85"/>
      <c r="L281" s="85"/>
      <c r="M281" s="85"/>
      <c r="N281" s="85"/>
      <c r="O281" s="29"/>
      <c r="P281" s="307"/>
      <c r="Q281" s="85"/>
      <c r="R281" s="15"/>
      <c r="S281" s="15"/>
      <c r="T281" s="15"/>
      <c r="U281" s="243"/>
      <c r="V281" s="243"/>
      <c r="W281" s="243"/>
    </row>
    <row r="282" ht="15.75" customHeight="1">
      <c r="A282" s="67" t="str">
        <f t="shared" ref="A282:A287" si="84">$B$281&amp;C282</f>
        <v>Pipe Clamp (Heavy Saddle without Powder Coating) Zinc Plated (SCH-80)1⁄2</v>
      </c>
      <c r="B282" s="68">
        <v>1.0</v>
      </c>
      <c r="C282" s="70" t="s">
        <v>43</v>
      </c>
      <c r="D282" s="70">
        <v>15.0</v>
      </c>
      <c r="E282" s="111" t="s">
        <v>1672</v>
      </c>
      <c r="F282" s="56">
        <v>14.8</v>
      </c>
      <c r="G282" s="76">
        <f>IFERROR(__xludf.DUMMYFUNCTION("ArrayFormula(IFERROR(VLOOKUP(E282,IMPORTRANGE(""https://docs.google.com/spreadsheets/d/1xZyKy-UzMmtPDLpV5jQdYum1LtbR8XKDuasLSjmBRMI/edit#gid=1241094406"",""COMBINED DATA!E3:L""),{7,8},0)))"),0.009)</f>
        <v>0.009</v>
      </c>
      <c r="H282" s="76">
        <f>IFERROR(__xludf.DUMMYFUNCTION("""COMPUTED_VALUE"""),0.0)</f>
        <v>0</v>
      </c>
      <c r="I282" s="76">
        <f t="shared" ref="I282:I287" si="85">G282+H282</f>
        <v>0.009</v>
      </c>
      <c r="J282" s="84">
        <f t="shared" ref="J282:J287" si="86">IFERROR(F282/I282,"")</f>
        <v>1644.444444</v>
      </c>
      <c r="K282" s="85"/>
      <c r="L282" s="85"/>
      <c r="M282" s="85"/>
      <c r="N282" s="85"/>
      <c r="O282" s="316"/>
      <c r="P282" s="75"/>
      <c r="Q282" s="113"/>
      <c r="R282" s="20"/>
      <c r="S282" s="20"/>
      <c r="T282" s="20"/>
      <c r="U282" s="16"/>
      <c r="V282" s="16"/>
      <c r="W282" s="16"/>
    </row>
    <row r="283" ht="15.75" customHeight="1">
      <c r="A283" s="67" t="str">
        <f t="shared" si="84"/>
        <v>Pipe Clamp (Heavy Saddle without Powder Coating) Zinc Plated (SCH-80)3⁄4</v>
      </c>
      <c r="B283" s="90">
        <v>2.0</v>
      </c>
      <c r="C283" s="92" t="s">
        <v>51</v>
      </c>
      <c r="D283" s="92">
        <v>20.0</v>
      </c>
      <c r="E283" s="112" t="s">
        <v>1681</v>
      </c>
      <c r="F283" s="56">
        <v>12.9</v>
      </c>
      <c r="G283" s="76">
        <f>IFERROR(__xludf.DUMMYFUNCTION("ArrayFormula(IFERROR(VLOOKUP(E283,IMPORTRANGE(""https://docs.google.com/spreadsheets/d/1xZyKy-UzMmtPDLpV5jQdYum1LtbR8XKDuasLSjmBRMI/edit#gid=1241094406"",""COMBINED DATA!E3:L""),{7,8},0)))"),0.011)</f>
        <v>0.011</v>
      </c>
      <c r="H283" s="76">
        <f>IFERROR(__xludf.DUMMYFUNCTION("""COMPUTED_VALUE"""),0.0)</f>
        <v>0</v>
      </c>
      <c r="I283" s="76">
        <f t="shared" si="85"/>
        <v>0.011</v>
      </c>
      <c r="J283" s="84">
        <f t="shared" si="86"/>
        <v>1172.727273</v>
      </c>
      <c r="K283" s="85"/>
      <c r="L283" s="85"/>
      <c r="M283" s="286"/>
      <c r="N283" s="85"/>
      <c r="O283" s="316"/>
      <c r="P283" s="75"/>
      <c r="Q283" s="113"/>
      <c r="R283" s="20"/>
      <c r="S283" s="20"/>
      <c r="T283" s="20"/>
      <c r="U283" s="16"/>
      <c r="V283" s="16"/>
      <c r="W283" s="16"/>
    </row>
    <row r="284" ht="15.75" customHeight="1">
      <c r="A284" s="67" t="str">
        <f t="shared" si="84"/>
        <v>Pipe Clamp (Heavy Saddle without Powder Coating) Zinc Plated (SCH-80)1</v>
      </c>
      <c r="B284" s="90">
        <v>3.0</v>
      </c>
      <c r="C284" s="92">
        <v>1.0</v>
      </c>
      <c r="D284" s="92">
        <v>25.0</v>
      </c>
      <c r="E284" s="112" t="s">
        <v>1688</v>
      </c>
      <c r="F284" s="56">
        <v>14.9</v>
      </c>
      <c r="G284" s="76">
        <f>IFERROR(__xludf.DUMMYFUNCTION("ArrayFormula(IFERROR(VLOOKUP(E284,IMPORTRANGE(""https://docs.google.com/spreadsheets/d/1xZyKy-UzMmtPDLpV5jQdYum1LtbR8XKDuasLSjmBRMI/edit#gid=1241094406"",""COMBINED DATA!E3:L""),{7,8},0)))"),0.013)</f>
        <v>0.013</v>
      </c>
      <c r="H284" s="76">
        <f>IFERROR(__xludf.DUMMYFUNCTION("""COMPUTED_VALUE"""),0.0)</f>
        <v>0</v>
      </c>
      <c r="I284" s="76">
        <f t="shared" si="85"/>
        <v>0.013</v>
      </c>
      <c r="J284" s="84">
        <f t="shared" si="86"/>
        <v>1146.153846</v>
      </c>
      <c r="K284" s="85"/>
      <c r="L284" s="85"/>
      <c r="M284" s="286"/>
      <c r="N284" s="85"/>
      <c r="O284" s="316"/>
      <c r="P284" s="75"/>
      <c r="Q284" s="113"/>
      <c r="R284" s="20"/>
      <c r="S284" s="20"/>
      <c r="T284" s="20"/>
      <c r="U284" s="16"/>
      <c r="V284" s="16"/>
      <c r="W284" s="16"/>
    </row>
    <row r="285" ht="15.75" customHeight="1">
      <c r="A285" s="67" t="str">
        <f t="shared" si="84"/>
        <v>Pipe Clamp (Heavy Saddle without Powder Coating) Zinc Plated (SCH-80)1 1⁄4</v>
      </c>
      <c r="B285" s="90">
        <v>4.0</v>
      </c>
      <c r="C285" s="92" t="s">
        <v>55</v>
      </c>
      <c r="D285" s="92">
        <v>32.0</v>
      </c>
      <c r="E285" s="112" t="s">
        <v>1693</v>
      </c>
      <c r="F285" s="56">
        <v>22.9</v>
      </c>
      <c r="G285" s="76">
        <f>IFERROR(__xludf.DUMMYFUNCTION("ArrayFormula(IFERROR(VLOOKUP(E285,IMPORTRANGE(""https://docs.google.com/spreadsheets/d/1xZyKy-UzMmtPDLpV5jQdYum1LtbR8XKDuasLSjmBRMI/edit#gid=1241094406"",""COMBINED DATA!E3:L""),{7,8},0)))"),0.015)</f>
        <v>0.015</v>
      </c>
      <c r="H285" s="76">
        <f>IFERROR(__xludf.DUMMYFUNCTION("""COMPUTED_VALUE"""),0.0)</f>
        <v>0</v>
      </c>
      <c r="I285" s="76">
        <f t="shared" si="85"/>
        <v>0.015</v>
      </c>
      <c r="J285" s="84">
        <f t="shared" si="86"/>
        <v>1526.666667</v>
      </c>
      <c r="K285" s="85"/>
      <c r="L285" s="85"/>
      <c r="M285" s="85"/>
      <c r="N285" s="85"/>
      <c r="O285" s="316"/>
      <c r="P285" s="75"/>
      <c r="Q285" s="113"/>
      <c r="R285" s="20"/>
      <c r="S285" s="20"/>
      <c r="T285" s="20"/>
      <c r="U285" s="16"/>
      <c r="V285" s="16"/>
      <c r="W285" s="16"/>
    </row>
    <row r="286" ht="15.75" customHeight="1">
      <c r="A286" s="67" t="str">
        <f t="shared" si="84"/>
        <v>Pipe Clamp (Heavy Saddle without Powder Coating) Zinc Plated (SCH-80)1 1⁄2</v>
      </c>
      <c r="B286" s="90">
        <v>5.0</v>
      </c>
      <c r="C286" s="92" t="s">
        <v>56</v>
      </c>
      <c r="D286" s="92">
        <v>40.0</v>
      </c>
      <c r="E286" s="112" t="s">
        <v>1698</v>
      </c>
      <c r="F286" s="56">
        <v>25.9</v>
      </c>
      <c r="G286" s="76">
        <f>IFERROR(__xludf.DUMMYFUNCTION("ArrayFormula(IFERROR(VLOOKUP(E286,IMPORTRANGE(""https://docs.google.com/spreadsheets/d/1xZyKy-UzMmtPDLpV5jQdYum1LtbR8XKDuasLSjmBRMI/edit#gid=1241094406"",""COMBINED DATA!E3:L""),{7,8},0)))"),0.016)</f>
        <v>0.016</v>
      </c>
      <c r="H286" s="76">
        <f>IFERROR(__xludf.DUMMYFUNCTION("""COMPUTED_VALUE"""),0.0)</f>
        <v>0</v>
      </c>
      <c r="I286" s="76">
        <f t="shared" si="85"/>
        <v>0.016</v>
      </c>
      <c r="J286" s="84">
        <f t="shared" si="86"/>
        <v>1618.75</v>
      </c>
      <c r="K286" s="85"/>
      <c r="L286" s="85"/>
      <c r="M286" s="85"/>
      <c r="N286" s="85"/>
      <c r="O286" s="316"/>
      <c r="P286" s="75"/>
      <c r="Q286" s="113"/>
      <c r="R286" s="20"/>
      <c r="S286" s="20"/>
      <c r="T286" s="20"/>
      <c r="U286" s="16"/>
      <c r="V286" s="16"/>
      <c r="W286" s="16"/>
    </row>
    <row r="287" ht="15.75" customHeight="1">
      <c r="A287" s="67" t="str">
        <f t="shared" si="84"/>
        <v>Pipe Clamp (Heavy Saddle without Powder Coating) Zinc Plated (SCH-80)2</v>
      </c>
      <c r="B287" s="90">
        <v>6.0</v>
      </c>
      <c r="C287" s="127">
        <v>2.0</v>
      </c>
      <c r="D287" s="127">
        <v>50.0</v>
      </c>
      <c r="E287" s="112" t="s">
        <v>1704</v>
      </c>
      <c r="F287" s="56">
        <v>49.9</v>
      </c>
      <c r="G287" s="76">
        <f>IFERROR(__xludf.DUMMYFUNCTION("ArrayFormula(IFERROR(VLOOKUP(E287,IMPORTRANGE(""https://docs.google.com/spreadsheets/d/1xZyKy-UzMmtPDLpV5jQdYum1LtbR8XKDuasLSjmBRMI/edit#gid=1241094406"",""COMBINED DATA!E3:L""),{7,8},0)))"),0.034)</f>
        <v>0.034</v>
      </c>
      <c r="H287" s="76">
        <f>IFERROR(__xludf.DUMMYFUNCTION("""COMPUTED_VALUE"""),0.0)</f>
        <v>0</v>
      </c>
      <c r="I287" s="76">
        <f t="shared" si="85"/>
        <v>0.034</v>
      </c>
      <c r="J287" s="84">
        <f t="shared" si="86"/>
        <v>1467.647059</v>
      </c>
      <c r="K287" s="85"/>
      <c r="L287" s="85"/>
      <c r="M287" s="85"/>
      <c r="N287" s="85"/>
      <c r="O287" s="316"/>
      <c r="P287" s="75"/>
      <c r="Q287" s="113"/>
      <c r="R287" s="20"/>
      <c r="S287" s="20"/>
      <c r="T287" s="20"/>
      <c r="U287" s="16"/>
      <c r="V287" s="16"/>
      <c r="W287" s="16"/>
    </row>
    <row r="288">
      <c r="A288" s="34"/>
      <c r="B288" s="237" t="s">
        <v>11</v>
      </c>
      <c r="C288" s="45"/>
      <c r="D288" s="45"/>
      <c r="E288" s="46"/>
      <c r="F288" s="103">
        <f>SUM(F282:F287)</f>
        <v>141.3</v>
      </c>
      <c r="G288" s="250"/>
      <c r="H288" s="243"/>
      <c r="I288" s="243"/>
      <c r="J288" s="243"/>
      <c r="K288" s="85"/>
      <c r="L288" s="85"/>
      <c r="M288" s="85"/>
      <c r="N288" s="85"/>
      <c r="O288" s="29"/>
      <c r="P288" s="307"/>
      <c r="Q288" s="85"/>
      <c r="R288" s="15"/>
      <c r="S288" s="15"/>
      <c r="T288" s="15"/>
      <c r="U288" s="243"/>
      <c r="V288" s="243"/>
      <c r="W288" s="243"/>
    </row>
    <row r="289" ht="6.0" customHeight="1">
      <c r="A289" s="34"/>
      <c r="B289" s="15"/>
      <c r="C289" s="15"/>
      <c r="D289" s="15"/>
      <c r="E289" s="17"/>
      <c r="F289" s="15"/>
      <c r="G289" s="250"/>
      <c r="H289" s="243"/>
      <c r="I289" s="243"/>
      <c r="J289" s="243"/>
      <c r="K289" s="85"/>
      <c r="L289" s="85"/>
      <c r="M289" s="85"/>
      <c r="N289" s="85"/>
      <c r="O289" s="29"/>
      <c r="P289" s="307"/>
      <c r="Q289" s="85"/>
      <c r="R289" s="15"/>
      <c r="S289" s="15"/>
      <c r="T289" s="15"/>
      <c r="U289" s="243"/>
      <c r="V289" s="243"/>
      <c r="W289" s="243"/>
    </row>
    <row r="290" ht="22.5" customHeight="1">
      <c r="A290" s="34"/>
      <c r="B290" s="62" t="s">
        <v>1715</v>
      </c>
      <c r="C290" s="45"/>
      <c r="D290" s="45"/>
      <c r="E290" s="45"/>
      <c r="F290" s="46"/>
      <c r="G290" s="250"/>
      <c r="H290" s="243"/>
      <c r="I290" s="243"/>
      <c r="J290" s="243"/>
      <c r="K290" s="85"/>
      <c r="L290" s="85"/>
      <c r="M290" s="85"/>
      <c r="N290" s="85"/>
      <c r="O290" s="29"/>
      <c r="P290" s="307"/>
      <c r="Q290" s="85"/>
      <c r="R290" s="15"/>
      <c r="S290" s="15"/>
      <c r="T290" s="15"/>
      <c r="U290" s="243"/>
      <c r="V290" s="243"/>
      <c r="W290" s="243"/>
    </row>
    <row r="291" ht="15.75" customHeight="1">
      <c r="A291" s="67" t="str">
        <f t="shared" ref="A291:A295" si="87">$B$290&amp;C291</f>
        <v>Solvent Aqua Clear59 ML Tin</v>
      </c>
      <c r="B291" s="151">
        <v>1.0</v>
      </c>
      <c r="C291" s="372" t="s">
        <v>1719</v>
      </c>
      <c r="D291" s="180"/>
      <c r="E291" s="112" t="s">
        <v>1723</v>
      </c>
      <c r="F291" s="56">
        <v>98.0</v>
      </c>
      <c r="G291" s="76" t="str">
        <f>IFERROR(__xludf.DUMMYFUNCTION("ArrayFormula(IFERROR(VLOOKUP(E291,IMPORTRANGE(""https://docs.google.com/spreadsheets/d/1xZyKy-UzMmtPDLpV5jQdYum1LtbR8XKDuasLSjmBRMI/edit#gid=1241094406"",""COMBINED DATA!E3:L""),{7,8},0)))"),"")</f>
        <v/>
      </c>
      <c r="H291" s="76"/>
      <c r="I291" s="16"/>
      <c r="J291" s="16"/>
      <c r="K291" s="85"/>
      <c r="L291" s="85"/>
      <c r="M291" s="286"/>
      <c r="N291" s="85"/>
      <c r="O291" s="316"/>
      <c r="P291" s="75"/>
      <c r="Q291" s="113"/>
      <c r="R291" s="20"/>
      <c r="S291" s="20"/>
      <c r="T291" s="20"/>
      <c r="U291" s="16"/>
      <c r="V291" s="16"/>
      <c r="W291" s="16"/>
    </row>
    <row r="292" ht="15.75" customHeight="1">
      <c r="A292" s="67" t="str">
        <f t="shared" si="87"/>
        <v>Solvent Aqua Clear04 OZ/118 Tin</v>
      </c>
      <c r="B292" s="151">
        <v>2.0</v>
      </c>
      <c r="C292" s="372" t="s">
        <v>1728</v>
      </c>
      <c r="D292" s="180"/>
      <c r="E292" s="112" t="s">
        <v>1730</v>
      </c>
      <c r="F292" s="56">
        <v>168.0</v>
      </c>
      <c r="G292" s="76" t="str">
        <f>IFERROR(__xludf.DUMMYFUNCTION("ArrayFormula(IFERROR(VLOOKUP(E292,IMPORTRANGE(""https://docs.google.com/spreadsheets/d/1xZyKy-UzMmtPDLpV5jQdYum1LtbR8XKDuasLSjmBRMI/edit#gid=1241094406"",""COMBINED DATA!E3:L""),{7,8},0)))"),"")</f>
        <v/>
      </c>
      <c r="H292" s="76"/>
      <c r="I292" s="16"/>
      <c r="J292" s="16"/>
      <c r="K292" s="85"/>
      <c r="L292" s="85"/>
      <c r="M292" s="286"/>
      <c r="N292" s="85"/>
      <c r="O292" s="316"/>
      <c r="P292" s="75"/>
      <c r="Q292" s="113"/>
      <c r="R292" s="20"/>
      <c r="S292" s="20"/>
      <c r="T292" s="20"/>
      <c r="U292" s="16"/>
      <c r="V292" s="16"/>
      <c r="W292" s="16"/>
    </row>
    <row r="293" ht="15.75" customHeight="1">
      <c r="A293" s="67" t="str">
        <f t="shared" si="87"/>
        <v>Solvent Aqua Clear08 OZ/237 Tin</v>
      </c>
      <c r="B293" s="151">
        <v>3.0</v>
      </c>
      <c r="C293" s="372" t="s">
        <v>1733</v>
      </c>
      <c r="D293" s="180"/>
      <c r="E293" s="112" t="s">
        <v>1734</v>
      </c>
      <c r="F293" s="56">
        <v>248.0</v>
      </c>
      <c r="G293" s="76" t="str">
        <f>IFERROR(__xludf.DUMMYFUNCTION("ArrayFormula(IFERROR(VLOOKUP(E293,IMPORTRANGE(""https://docs.google.com/spreadsheets/d/1xZyKy-UzMmtPDLpV5jQdYum1LtbR8XKDuasLSjmBRMI/edit#gid=1241094406"",""COMBINED DATA!E3:L""),{7,8},0)))"),"")</f>
        <v/>
      </c>
      <c r="H293" s="76"/>
      <c r="I293" s="16"/>
      <c r="J293" s="16"/>
      <c r="K293" s="85"/>
      <c r="L293" s="85"/>
      <c r="M293" s="286"/>
      <c r="N293" s="85"/>
      <c r="O293" s="316"/>
      <c r="P293" s="75"/>
      <c r="Q293" s="113"/>
      <c r="R293" s="20"/>
      <c r="S293" s="20"/>
      <c r="T293" s="20"/>
      <c r="U293" s="16"/>
      <c r="V293" s="16"/>
      <c r="W293" s="16"/>
    </row>
    <row r="294" ht="15.75" customHeight="1">
      <c r="A294" s="67" t="str">
        <f t="shared" si="87"/>
        <v>Solvent Aqua Clear16 OZ/437 Tin</v>
      </c>
      <c r="B294" s="151">
        <v>4.0</v>
      </c>
      <c r="C294" s="372" t="s">
        <v>1738</v>
      </c>
      <c r="D294" s="180"/>
      <c r="E294" s="112" t="s">
        <v>1740</v>
      </c>
      <c r="F294" s="56">
        <v>448.0</v>
      </c>
      <c r="G294" s="76" t="str">
        <f>IFERROR(__xludf.DUMMYFUNCTION("ArrayFormula(IFERROR(VLOOKUP(E294,IMPORTRANGE(""https://docs.google.com/spreadsheets/d/1xZyKy-UzMmtPDLpV5jQdYum1LtbR8XKDuasLSjmBRMI/edit#gid=1241094406"",""COMBINED DATA!E3:L""),{7,8},0)))"),"")</f>
        <v/>
      </c>
      <c r="H294" s="76"/>
      <c r="I294" s="16"/>
      <c r="J294" s="16"/>
      <c r="K294" s="85"/>
      <c r="L294" s="85"/>
      <c r="M294" s="286"/>
      <c r="N294" s="85"/>
      <c r="O294" s="316"/>
      <c r="P294" s="75"/>
      <c r="Q294" s="113"/>
      <c r="R294" s="20"/>
      <c r="S294" s="20"/>
      <c r="T294" s="20"/>
      <c r="U294" s="16"/>
      <c r="V294" s="16"/>
      <c r="W294" s="16"/>
    </row>
    <row r="295" ht="15.75" customHeight="1">
      <c r="A295" s="67" t="str">
        <f t="shared" si="87"/>
        <v>Solvent Aqua Clear32 OZ/946 Tin</v>
      </c>
      <c r="B295" s="151">
        <v>5.0</v>
      </c>
      <c r="C295" s="372" t="s">
        <v>1742</v>
      </c>
      <c r="D295" s="180"/>
      <c r="E295" s="112" t="s">
        <v>1744</v>
      </c>
      <c r="F295" s="56">
        <v>828.0</v>
      </c>
      <c r="G295" s="76" t="str">
        <f>IFERROR(__xludf.DUMMYFUNCTION("ArrayFormula(IFERROR(VLOOKUP(E295,IMPORTRANGE(""https://docs.google.com/spreadsheets/d/1xZyKy-UzMmtPDLpV5jQdYum1LtbR8XKDuasLSjmBRMI/edit#gid=1241094406"",""COMBINED DATA!E3:L""),{7,8},0)))"),"")</f>
        <v/>
      </c>
      <c r="H295" s="76"/>
      <c r="I295" s="16"/>
      <c r="J295" s="16"/>
      <c r="K295" s="85"/>
      <c r="L295" s="85"/>
      <c r="M295" s="286"/>
      <c r="N295" s="85"/>
      <c r="O295" s="316"/>
      <c r="P295" s="75"/>
      <c r="Q295" s="113"/>
      <c r="R295" s="20"/>
      <c r="S295" s="20"/>
      <c r="T295" s="20"/>
      <c r="U295" s="16"/>
      <c r="V295" s="16"/>
      <c r="W295" s="16"/>
    </row>
    <row r="296">
      <c r="A296" s="34"/>
      <c r="B296" s="237" t="s">
        <v>11</v>
      </c>
      <c r="C296" s="45"/>
      <c r="D296" s="45"/>
      <c r="E296" s="46"/>
      <c r="F296" s="103">
        <f>SUM(F291:F295)</f>
        <v>1790</v>
      </c>
      <c r="G296" s="250"/>
      <c r="H296" s="243"/>
      <c r="I296" s="243"/>
      <c r="J296" s="243"/>
      <c r="K296" s="85"/>
      <c r="L296" s="85"/>
      <c r="M296" s="85"/>
      <c r="N296" s="85"/>
      <c r="O296" s="29"/>
      <c r="P296" s="307"/>
      <c r="Q296" s="85"/>
      <c r="R296" s="15"/>
      <c r="S296" s="15"/>
      <c r="T296" s="15"/>
      <c r="U296" s="243"/>
      <c r="V296" s="243"/>
      <c r="W296" s="243"/>
    </row>
    <row r="297">
      <c r="A297" s="34"/>
      <c r="B297" s="15"/>
      <c r="C297" s="15"/>
      <c r="D297" s="15"/>
      <c r="E297" s="17"/>
      <c r="F297" s="15"/>
      <c r="G297" s="250"/>
      <c r="H297" s="243"/>
      <c r="I297" s="243"/>
      <c r="J297" s="243"/>
      <c r="K297" s="85"/>
      <c r="L297" s="85"/>
      <c r="M297" s="85"/>
      <c r="N297" s="85"/>
      <c r="O297" s="29"/>
      <c r="P297" s="307"/>
      <c r="Q297" s="15"/>
      <c r="R297" s="15"/>
      <c r="S297" s="15"/>
      <c r="T297" s="15"/>
      <c r="U297" s="243"/>
      <c r="V297" s="243"/>
      <c r="W297" s="243"/>
    </row>
    <row r="298">
      <c r="A298" s="34"/>
      <c r="B298" s="15"/>
      <c r="C298" s="15"/>
      <c r="D298" s="15"/>
      <c r="E298" s="17"/>
      <c r="F298" s="15"/>
      <c r="G298" s="250"/>
      <c r="H298" s="243"/>
      <c r="I298" s="243"/>
      <c r="J298" s="243"/>
      <c r="K298" s="85"/>
      <c r="L298" s="85"/>
      <c r="M298" s="85"/>
      <c r="N298" s="85"/>
      <c r="O298" s="29"/>
      <c r="P298" s="307"/>
      <c r="Q298" s="15"/>
      <c r="R298" s="15"/>
      <c r="S298" s="15"/>
      <c r="T298" s="15"/>
      <c r="U298" s="243"/>
      <c r="V298" s="243"/>
      <c r="W298" s="243"/>
    </row>
    <row r="299">
      <c r="A299" s="34"/>
      <c r="B299" s="15"/>
      <c r="C299" s="15"/>
      <c r="D299" s="15"/>
      <c r="E299" s="17"/>
      <c r="F299" s="15"/>
      <c r="G299" s="250"/>
      <c r="H299" s="243"/>
      <c r="I299" s="243"/>
      <c r="J299" s="243"/>
      <c r="K299" s="85"/>
      <c r="L299" s="85"/>
      <c r="M299" s="85"/>
      <c r="N299" s="85"/>
      <c r="O299" s="29"/>
      <c r="P299" s="307"/>
      <c r="Q299" s="15"/>
      <c r="R299" s="15"/>
      <c r="S299" s="15"/>
      <c r="T299" s="15"/>
      <c r="U299" s="243"/>
      <c r="V299" s="243"/>
      <c r="W299" s="243"/>
    </row>
    <row r="300">
      <c r="A300" s="34"/>
      <c r="B300" s="15"/>
      <c r="C300" s="15"/>
      <c r="D300" s="15"/>
      <c r="E300" s="17"/>
      <c r="F300" s="15"/>
      <c r="G300" s="250"/>
      <c r="H300" s="243"/>
      <c r="I300" s="243"/>
      <c r="J300" s="243"/>
      <c r="K300" s="85"/>
      <c r="L300" s="85"/>
      <c r="M300" s="85"/>
      <c r="N300" s="85"/>
      <c r="O300" s="29"/>
      <c r="P300" s="307"/>
      <c r="Q300" s="15"/>
      <c r="R300" s="15"/>
      <c r="S300" s="15"/>
      <c r="T300" s="15"/>
      <c r="U300" s="243"/>
      <c r="V300" s="243"/>
      <c r="W300" s="243"/>
    </row>
    <row r="301">
      <c r="A301" s="34"/>
      <c r="B301" s="15"/>
      <c r="C301" s="15"/>
      <c r="D301" s="15"/>
      <c r="E301" s="17"/>
      <c r="F301" s="15"/>
      <c r="G301" s="250"/>
      <c r="H301" s="243"/>
      <c r="I301" s="243"/>
      <c r="J301" s="243"/>
      <c r="K301" s="85"/>
      <c r="L301" s="85"/>
      <c r="M301" s="85"/>
      <c r="N301" s="85"/>
      <c r="O301" s="29"/>
      <c r="P301" s="307"/>
      <c r="Q301" s="15"/>
      <c r="R301" s="15"/>
      <c r="S301" s="15"/>
      <c r="T301" s="15"/>
      <c r="U301" s="243"/>
      <c r="V301" s="243"/>
      <c r="W301" s="243"/>
    </row>
    <row r="302">
      <c r="A302" s="34"/>
      <c r="B302" s="15"/>
      <c r="C302" s="15"/>
      <c r="D302" s="15"/>
      <c r="E302" s="17"/>
      <c r="F302" s="15"/>
      <c r="G302" s="250"/>
      <c r="H302" s="243"/>
      <c r="I302" s="243"/>
      <c r="J302" s="243"/>
      <c r="K302" s="85"/>
      <c r="L302" s="85"/>
      <c r="M302" s="85"/>
      <c r="N302" s="85"/>
      <c r="O302" s="29"/>
      <c r="P302" s="307"/>
      <c r="Q302" s="15"/>
      <c r="R302" s="15"/>
      <c r="S302" s="15"/>
      <c r="T302" s="15"/>
      <c r="U302" s="243"/>
      <c r="V302" s="243"/>
      <c r="W302" s="243"/>
    </row>
    <row r="303">
      <c r="A303" s="34"/>
      <c r="B303" s="15"/>
      <c r="C303" s="15"/>
      <c r="D303" s="15"/>
      <c r="E303" s="17"/>
      <c r="F303" s="15"/>
      <c r="G303" s="250"/>
      <c r="H303" s="243"/>
      <c r="I303" s="243"/>
      <c r="J303" s="243"/>
      <c r="K303" s="85"/>
      <c r="L303" s="85"/>
      <c r="M303" s="85"/>
      <c r="N303" s="85"/>
      <c r="O303" s="29"/>
      <c r="P303" s="307"/>
      <c r="Q303" s="15"/>
      <c r="R303" s="15"/>
      <c r="S303" s="15"/>
      <c r="T303" s="15"/>
      <c r="U303" s="243"/>
      <c r="V303" s="243"/>
      <c r="W303" s="243"/>
    </row>
    <row r="304">
      <c r="A304" s="34"/>
      <c r="B304" s="15"/>
      <c r="C304" s="15"/>
      <c r="D304" s="15"/>
      <c r="E304" s="17"/>
      <c r="F304" s="15"/>
      <c r="G304" s="250"/>
      <c r="H304" s="243"/>
      <c r="I304" s="243"/>
      <c r="J304" s="243"/>
      <c r="K304" s="85"/>
      <c r="L304" s="85"/>
      <c r="M304" s="85"/>
      <c r="N304" s="85"/>
      <c r="O304" s="29"/>
      <c r="P304" s="307"/>
      <c r="Q304" s="15"/>
      <c r="R304" s="15"/>
      <c r="S304" s="15"/>
      <c r="T304" s="15"/>
      <c r="U304" s="243"/>
      <c r="V304" s="243"/>
      <c r="W304" s="243"/>
    </row>
    <row r="305">
      <c r="A305" s="34"/>
      <c r="B305" s="15"/>
      <c r="C305" s="15"/>
      <c r="D305" s="15"/>
      <c r="E305" s="17"/>
      <c r="F305" s="15"/>
      <c r="G305" s="250"/>
      <c r="H305" s="243"/>
      <c r="I305" s="243"/>
      <c r="J305" s="243"/>
      <c r="K305" s="85"/>
      <c r="L305" s="85"/>
      <c r="M305" s="85"/>
      <c r="N305" s="85"/>
      <c r="O305" s="29"/>
      <c r="P305" s="307"/>
      <c r="Q305" s="15"/>
      <c r="R305" s="15"/>
      <c r="S305" s="15"/>
      <c r="T305" s="15"/>
      <c r="U305" s="243"/>
      <c r="V305" s="243"/>
      <c r="W305" s="243"/>
    </row>
    <row r="306">
      <c r="A306" s="34"/>
      <c r="B306" s="15"/>
      <c r="C306" s="15"/>
      <c r="D306" s="15"/>
      <c r="E306" s="17"/>
      <c r="F306" s="15"/>
      <c r="G306" s="250"/>
      <c r="H306" s="243"/>
      <c r="I306" s="243"/>
      <c r="J306" s="243"/>
      <c r="K306" s="85"/>
      <c r="L306" s="85"/>
      <c r="M306" s="85"/>
      <c r="N306" s="85"/>
      <c r="O306" s="29"/>
      <c r="P306" s="307"/>
      <c r="Q306" s="15"/>
      <c r="R306" s="15"/>
      <c r="S306" s="15"/>
      <c r="T306" s="15"/>
      <c r="U306" s="243"/>
      <c r="V306" s="243"/>
      <c r="W306" s="243"/>
    </row>
    <row r="307">
      <c r="A307" s="34"/>
      <c r="B307" s="15"/>
      <c r="C307" s="15"/>
      <c r="D307" s="15"/>
      <c r="E307" s="17"/>
      <c r="F307" s="15"/>
      <c r="G307" s="250"/>
      <c r="H307" s="243"/>
      <c r="I307" s="243"/>
      <c r="J307" s="243"/>
      <c r="K307" s="85"/>
      <c r="L307" s="85"/>
      <c r="M307" s="85"/>
      <c r="N307" s="85"/>
      <c r="O307" s="29"/>
      <c r="P307" s="307"/>
      <c r="Q307" s="15"/>
      <c r="R307" s="15"/>
      <c r="S307" s="15"/>
      <c r="T307" s="15"/>
      <c r="U307" s="243"/>
      <c r="V307" s="243"/>
      <c r="W307" s="243"/>
    </row>
    <row r="308">
      <c r="A308" s="34"/>
      <c r="B308" s="15"/>
      <c r="C308" s="15"/>
      <c r="D308" s="15"/>
      <c r="E308" s="17"/>
      <c r="F308" s="15"/>
      <c r="G308" s="250"/>
      <c r="H308" s="243"/>
      <c r="I308" s="243"/>
      <c r="J308" s="243"/>
      <c r="K308" s="85"/>
      <c r="L308" s="85"/>
      <c r="M308" s="85"/>
      <c r="N308" s="85"/>
      <c r="O308" s="29"/>
      <c r="P308" s="307"/>
      <c r="Q308" s="15"/>
      <c r="R308" s="15"/>
      <c r="S308" s="15"/>
      <c r="T308" s="15"/>
      <c r="U308" s="243"/>
      <c r="V308" s="243"/>
      <c r="W308" s="243"/>
    </row>
    <row r="309">
      <c r="A309" s="34"/>
      <c r="B309" s="15"/>
      <c r="C309" s="15"/>
      <c r="D309" s="15"/>
      <c r="E309" s="17"/>
      <c r="F309" s="15"/>
      <c r="G309" s="250"/>
      <c r="H309" s="243"/>
      <c r="I309" s="243"/>
      <c r="J309" s="243"/>
      <c r="K309" s="85"/>
      <c r="L309" s="85"/>
      <c r="M309" s="85"/>
      <c r="N309" s="85"/>
      <c r="O309" s="29"/>
      <c r="P309" s="307"/>
      <c r="Q309" s="15"/>
      <c r="R309" s="15"/>
      <c r="S309" s="15"/>
      <c r="T309" s="15"/>
      <c r="U309" s="243"/>
      <c r="V309" s="243"/>
      <c r="W309" s="243"/>
    </row>
    <row r="310">
      <c r="A310" s="34"/>
      <c r="B310" s="15"/>
      <c r="C310" s="15"/>
      <c r="D310" s="15"/>
      <c r="E310" s="17"/>
      <c r="F310" s="15"/>
      <c r="G310" s="250"/>
      <c r="H310" s="243"/>
      <c r="I310" s="243"/>
      <c r="J310" s="243"/>
      <c r="K310" s="85"/>
      <c r="L310" s="85"/>
      <c r="M310" s="85"/>
      <c r="N310" s="85"/>
      <c r="O310" s="29"/>
      <c r="P310" s="307"/>
      <c r="Q310" s="15"/>
      <c r="R310" s="15"/>
      <c r="S310" s="15"/>
      <c r="T310" s="15"/>
      <c r="U310" s="243"/>
      <c r="V310" s="243"/>
      <c r="W310" s="243"/>
    </row>
    <row r="311">
      <c r="A311" s="34"/>
      <c r="B311" s="15"/>
      <c r="C311" s="15"/>
      <c r="D311" s="15"/>
      <c r="E311" s="17"/>
      <c r="F311" s="15"/>
      <c r="G311" s="250"/>
      <c r="H311" s="243"/>
      <c r="I311" s="243"/>
      <c r="J311" s="243"/>
      <c r="K311" s="85"/>
      <c r="L311" s="85"/>
      <c r="M311" s="85"/>
      <c r="N311" s="85"/>
      <c r="O311" s="29"/>
      <c r="P311" s="307"/>
      <c r="Q311" s="15"/>
      <c r="R311" s="15"/>
      <c r="S311" s="15"/>
      <c r="T311" s="15"/>
      <c r="U311" s="243"/>
      <c r="V311" s="243"/>
      <c r="W311" s="243"/>
    </row>
    <row r="312">
      <c r="A312" s="34"/>
      <c r="B312" s="15"/>
      <c r="C312" s="15"/>
      <c r="D312" s="15"/>
      <c r="E312" s="17"/>
      <c r="F312" s="15"/>
      <c r="G312" s="250"/>
      <c r="H312" s="243"/>
      <c r="I312" s="243"/>
      <c r="J312" s="243"/>
      <c r="K312" s="85"/>
      <c r="L312" s="85"/>
      <c r="M312" s="85"/>
      <c r="N312" s="85"/>
      <c r="O312" s="29"/>
      <c r="P312" s="307"/>
      <c r="Q312" s="15"/>
      <c r="R312" s="15"/>
      <c r="S312" s="15"/>
      <c r="T312" s="15"/>
      <c r="U312" s="243"/>
      <c r="V312" s="243"/>
      <c r="W312" s="243"/>
    </row>
    <row r="313">
      <c r="A313" s="34"/>
      <c r="B313" s="15"/>
      <c r="C313" s="15"/>
      <c r="D313" s="15"/>
      <c r="E313" s="17"/>
      <c r="F313" s="15"/>
      <c r="G313" s="250"/>
      <c r="H313" s="243"/>
      <c r="I313" s="243"/>
      <c r="J313" s="243"/>
      <c r="K313" s="85"/>
      <c r="L313" s="85"/>
      <c r="M313" s="85"/>
      <c r="N313" s="85"/>
      <c r="O313" s="29"/>
      <c r="P313" s="307"/>
      <c r="Q313" s="15"/>
      <c r="R313" s="15"/>
      <c r="S313" s="15"/>
      <c r="T313" s="15"/>
      <c r="U313" s="243"/>
      <c r="V313" s="243"/>
      <c r="W313" s="243"/>
    </row>
    <row r="314">
      <c r="A314" s="34"/>
      <c r="B314" s="15"/>
      <c r="C314" s="15"/>
      <c r="D314" s="15"/>
      <c r="E314" s="17"/>
      <c r="F314" s="15"/>
      <c r="G314" s="250"/>
      <c r="H314" s="243"/>
      <c r="I314" s="243"/>
      <c r="J314" s="243"/>
      <c r="K314" s="85"/>
      <c r="L314" s="85"/>
      <c r="M314" s="85"/>
      <c r="N314" s="85"/>
      <c r="O314" s="29"/>
      <c r="P314" s="307"/>
      <c r="Q314" s="15"/>
      <c r="R314" s="15"/>
      <c r="S314" s="15"/>
      <c r="T314" s="15"/>
      <c r="U314" s="243"/>
      <c r="V314" s="243"/>
      <c r="W314" s="243"/>
    </row>
    <row r="315">
      <c r="A315" s="34"/>
      <c r="B315" s="15"/>
      <c r="C315" s="15"/>
      <c r="D315" s="15"/>
      <c r="E315" s="17"/>
      <c r="F315" s="15"/>
      <c r="G315" s="250"/>
      <c r="H315" s="243"/>
      <c r="I315" s="243"/>
      <c r="J315" s="243"/>
      <c r="K315" s="85"/>
      <c r="L315" s="85"/>
      <c r="M315" s="85"/>
      <c r="N315" s="85"/>
      <c r="O315" s="29"/>
      <c r="P315" s="307"/>
      <c r="Q315" s="15"/>
      <c r="R315" s="15"/>
      <c r="S315" s="15"/>
      <c r="T315" s="15"/>
      <c r="U315" s="243"/>
      <c r="V315" s="243"/>
      <c r="W315" s="243"/>
    </row>
    <row r="316">
      <c r="A316" s="34"/>
      <c r="B316" s="15"/>
      <c r="C316" s="15"/>
      <c r="D316" s="15"/>
      <c r="E316" s="17"/>
      <c r="F316" s="15"/>
      <c r="G316" s="250"/>
      <c r="H316" s="243"/>
      <c r="I316" s="243"/>
      <c r="J316" s="243"/>
      <c r="K316" s="85"/>
      <c r="L316" s="85"/>
      <c r="M316" s="85"/>
      <c r="N316" s="85"/>
      <c r="O316" s="29"/>
      <c r="P316" s="307"/>
      <c r="Q316" s="15"/>
      <c r="R316" s="15"/>
      <c r="S316" s="15"/>
      <c r="T316" s="15"/>
      <c r="U316" s="243"/>
      <c r="V316" s="243"/>
      <c r="W316" s="243"/>
    </row>
    <row r="317">
      <c r="A317" s="34"/>
      <c r="B317" s="15"/>
      <c r="C317" s="15"/>
      <c r="D317" s="15"/>
      <c r="E317" s="17"/>
      <c r="F317" s="15"/>
      <c r="G317" s="250"/>
      <c r="H317" s="243"/>
      <c r="I317" s="243"/>
      <c r="J317" s="243"/>
      <c r="K317" s="85"/>
      <c r="L317" s="85"/>
      <c r="M317" s="85"/>
      <c r="N317" s="85"/>
      <c r="O317" s="29"/>
      <c r="P317" s="307"/>
      <c r="Q317" s="15"/>
      <c r="R317" s="15"/>
      <c r="S317" s="15"/>
      <c r="T317" s="15"/>
      <c r="U317" s="243"/>
      <c r="V317" s="243"/>
      <c r="W317" s="243"/>
    </row>
    <row r="318">
      <c r="A318" s="34"/>
      <c r="B318" s="15"/>
      <c r="C318" s="15"/>
      <c r="D318" s="15"/>
      <c r="E318" s="17"/>
      <c r="F318" s="15"/>
      <c r="G318" s="250"/>
      <c r="H318" s="243"/>
      <c r="I318" s="243"/>
      <c r="J318" s="243"/>
      <c r="K318" s="85"/>
      <c r="L318" s="85"/>
      <c r="M318" s="85"/>
      <c r="N318" s="85"/>
      <c r="O318" s="29"/>
      <c r="P318" s="307"/>
      <c r="Q318" s="15"/>
      <c r="R318" s="15"/>
      <c r="S318" s="15"/>
      <c r="T318" s="15"/>
      <c r="U318" s="243"/>
      <c r="V318" s="243"/>
      <c r="W318" s="243"/>
    </row>
    <row r="319">
      <c r="A319" s="34"/>
      <c r="B319" s="15"/>
      <c r="C319" s="15"/>
      <c r="D319" s="15"/>
      <c r="E319" s="17"/>
      <c r="F319" s="15"/>
      <c r="G319" s="250"/>
      <c r="H319" s="243"/>
      <c r="I319" s="243"/>
      <c r="J319" s="243"/>
      <c r="K319" s="85"/>
      <c r="L319" s="85"/>
      <c r="M319" s="85"/>
      <c r="N319" s="85"/>
      <c r="O319" s="29"/>
      <c r="P319" s="307"/>
      <c r="Q319" s="15"/>
      <c r="R319" s="15"/>
      <c r="S319" s="15"/>
      <c r="T319" s="15"/>
      <c r="U319" s="243"/>
      <c r="V319" s="243"/>
      <c r="W319" s="243"/>
    </row>
    <row r="320">
      <c r="A320" s="34"/>
      <c r="B320" s="15"/>
      <c r="C320" s="15"/>
      <c r="D320" s="15"/>
      <c r="E320" s="17"/>
      <c r="F320" s="15"/>
      <c r="G320" s="250"/>
      <c r="H320" s="243"/>
      <c r="I320" s="243"/>
      <c r="J320" s="243"/>
      <c r="K320" s="85"/>
      <c r="L320" s="85"/>
      <c r="M320" s="85"/>
      <c r="N320" s="85"/>
      <c r="O320" s="29"/>
      <c r="P320" s="307"/>
      <c r="Q320" s="15"/>
      <c r="R320" s="15"/>
      <c r="S320" s="15"/>
      <c r="T320" s="15"/>
      <c r="U320" s="243"/>
      <c r="V320" s="243"/>
      <c r="W320" s="243"/>
    </row>
    <row r="321">
      <c r="A321" s="34"/>
      <c r="B321" s="15"/>
      <c r="C321" s="15"/>
      <c r="D321" s="15"/>
      <c r="E321" s="17"/>
      <c r="F321" s="15"/>
      <c r="G321" s="250"/>
      <c r="H321" s="243"/>
      <c r="I321" s="243"/>
      <c r="J321" s="243"/>
      <c r="K321" s="85"/>
      <c r="L321" s="85"/>
      <c r="M321" s="85"/>
      <c r="N321" s="85"/>
      <c r="O321" s="29"/>
      <c r="P321" s="307"/>
      <c r="Q321" s="15"/>
      <c r="R321" s="15"/>
      <c r="S321" s="15"/>
      <c r="T321" s="15"/>
      <c r="U321" s="243"/>
      <c r="V321" s="243"/>
      <c r="W321" s="243"/>
    </row>
    <row r="322">
      <c r="A322" s="34"/>
      <c r="B322" s="15"/>
      <c r="C322" s="15"/>
      <c r="D322" s="15"/>
      <c r="E322" s="17"/>
      <c r="F322" s="15"/>
      <c r="G322" s="250"/>
      <c r="H322" s="243"/>
      <c r="I322" s="243"/>
      <c r="J322" s="243"/>
      <c r="K322" s="85"/>
      <c r="L322" s="85"/>
      <c r="M322" s="85"/>
      <c r="N322" s="85"/>
      <c r="O322" s="29"/>
      <c r="P322" s="307"/>
      <c r="Q322" s="15"/>
      <c r="R322" s="15"/>
      <c r="S322" s="15"/>
      <c r="T322" s="15"/>
      <c r="U322" s="243"/>
      <c r="V322" s="243"/>
      <c r="W322" s="243"/>
    </row>
    <row r="323">
      <c r="A323" s="34"/>
      <c r="B323" s="15"/>
      <c r="C323" s="15"/>
      <c r="D323" s="15"/>
      <c r="E323" s="17"/>
      <c r="F323" s="15"/>
      <c r="G323" s="250"/>
      <c r="H323" s="243"/>
      <c r="I323" s="243"/>
      <c r="J323" s="243"/>
      <c r="K323" s="85"/>
      <c r="L323" s="85"/>
      <c r="M323" s="85"/>
      <c r="N323" s="85"/>
      <c r="O323" s="29"/>
      <c r="P323" s="307"/>
      <c r="Q323" s="15"/>
      <c r="R323" s="15"/>
      <c r="S323" s="15"/>
      <c r="T323" s="15"/>
      <c r="U323" s="243"/>
      <c r="V323" s="243"/>
      <c r="W323" s="243"/>
    </row>
    <row r="324">
      <c r="A324" s="34"/>
      <c r="B324" s="15"/>
      <c r="C324" s="15"/>
      <c r="D324" s="15"/>
      <c r="E324" s="17"/>
      <c r="F324" s="15"/>
      <c r="G324" s="250"/>
      <c r="H324" s="243"/>
      <c r="I324" s="243"/>
      <c r="J324" s="243"/>
      <c r="K324" s="85"/>
      <c r="L324" s="85"/>
      <c r="M324" s="85"/>
      <c r="N324" s="85"/>
      <c r="O324" s="29"/>
      <c r="P324" s="307"/>
      <c r="Q324" s="15"/>
      <c r="R324" s="15"/>
      <c r="S324" s="15"/>
      <c r="T324" s="15"/>
      <c r="U324" s="243"/>
      <c r="V324" s="243"/>
      <c r="W324" s="243"/>
    </row>
    <row r="325">
      <c r="A325" s="34"/>
      <c r="B325" s="15"/>
      <c r="C325" s="15"/>
      <c r="D325" s="15"/>
      <c r="E325" s="17"/>
      <c r="F325" s="15"/>
      <c r="G325" s="250"/>
      <c r="H325" s="243"/>
      <c r="I325" s="243"/>
      <c r="J325" s="243"/>
      <c r="K325" s="85"/>
      <c r="L325" s="85"/>
      <c r="M325" s="85"/>
      <c r="N325" s="85"/>
      <c r="O325" s="29"/>
      <c r="P325" s="307"/>
      <c r="Q325" s="15"/>
      <c r="R325" s="15"/>
      <c r="S325" s="15"/>
      <c r="T325" s="15"/>
      <c r="U325" s="243"/>
      <c r="V325" s="243"/>
      <c r="W325" s="243"/>
    </row>
    <row r="326">
      <c r="A326" s="34"/>
      <c r="B326" s="15"/>
      <c r="C326" s="15"/>
      <c r="D326" s="15"/>
      <c r="E326" s="17"/>
      <c r="F326" s="15"/>
      <c r="G326" s="250"/>
      <c r="H326" s="243"/>
      <c r="I326" s="243"/>
      <c r="J326" s="243"/>
      <c r="K326" s="85"/>
      <c r="L326" s="85"/>
      <c r="M326" s="85"/>
      <c r="N326" s="85"/>
      <c r="O326" s="29"/>
      <c r="P326" s="307"/>
      <c r="Q326" s="15"/>
      <c r="R326" s="15"/>
      <c r="S326" s="15"/>
      <c r="T326" s="15"/>
      <c r="U326" s="243"/>
      <c r="V326" s="243"/>
      <c r="W326" s="243"/>
    </row>
    <row r="327">
      <c r="A327" s="34"/>
      <c r="B327" s="15"/>
      <c r="C327" s="15"/>
      <c r="D327" s="15"/>
      <c r="E327" s="17"/>
      <c r="F327" s="15"/>
      <c r="G327" s="250"/>
      <c r="H327" s="243"/>
      <c r="I327" s="243"/>
      <c r="J327" s="243"/>
      <c r="K327" s="85"/>
      <c r="L327" s="85"/>
      <c r="M327" s="85"/>
      <c r="N327" s="85"/>
      <c r="O327" s="29"/>
      <c r="P327" s="307"/>
      <c r="Q327" s="15"/>
      <c r="R327" s="15"/>
      <c r="S327" s="15"/>
      <c r="T327" s="15"/>
      <c r="U327" s="243"/>
      <c r="V327" s="243"/>
      <c r="W327" s="243"/>
    </row>
    <row r="328">
      <c r="A328" s="34"/>
      <c r="B328" s="15"/>
      <c r="C328" s="15"/>
      <c r="D328" s="15"/>
      <c r="E328" s="17"/>
      <c r="F328" s="15"/>
      <c r="G328" s="250"/>
      <c r="H328" s="243"/>
      <c r="I328" s="243"/>
      <c r="J328" s="243"/>
      <c r="K328" s="85"/>
      <c r="L328" s="85"/>
      <c r="M328" s="85"/>
      <c r="N328" s="85"/>
      <c r="O328" s="29"/>
      <c r="P328" s="307"/>
      <c r="Q328" s="15"/>
      <c r="R328" s="15"/>
      <c r="S328" s="15"/>
      <c r="T328" s="15"/>
      <c r="U328" s="243"/>
      <c r="V328" s="243"/>
      <c r="W328" s="243"/>
    </row>
    <row r="329">
      <c r="A329" s="34"/>
      <c r="B329" s="15"/>
      <c r="C329" s="15"/>
      <c r="D329" s="15"/>
      <c r="E329" s="17"/>
      <c r="F329" s="15"/>
      <c r="G329" s="250"/>
      <c r="H329" s="243"/>
      <c r="I329" s="243"/>
      <c r="J329" s="243"/>
      <c r="K329" s="85"/>
      <c r="L329" s="85"/>
      <c r="M329" s="85"/>
      <c r="N329" s="85"/>
      <c r="O329" s="29"/>
      <c r="P329" s="307"/>
      <c r="Q329" s="15"/>
      <c r="R329" s="15"/>
      <c r="S329" s="15"/>
      <c r="T329" s="15"/>
      <c r="U329" s="243"/>
      <c r="V329" s="243"/>
      <c r="W329" s="243"/>
    </row>
    <row r="330">
      <c r="A330" s="34"/>
      <c r="B330" s="15"/>
      <c r="C330" s="15"/>
      <c r="D330" s="15"/>
      <c r="E330" s="17"/>
      <c r="F330" s="15"/>
      <c r="G330" s="250"/>
      <c r="H330" s="243"/>
      <c r="I330" s="243"/>
      <c r="J330" s="243"/>
      <c r="K330" s="85"/>
      <c r="L330" s="85"/>
      <c r="M330" s="85"/>
      <c r="N330" s="85"/>
      <c r="O330" s="29"/>
      <c r="P330" s="307"/>
      <c r="Q330" s="15"/>
      <c r="R330" s="15"/>
      <c r="S330" s="15"/>
      <c r="T330" s="15"/>
      <c r="U330" s="243"/>
      <c r="V330" s="243"/>
      <c r="W330" s="243"/>
    </row>
    <row r="331">
      <c r="A331" s="34"/>
      <c r="B331" s="15"/>
      <c r="C331" s="15"/>
      <c r="D331" s="15"/>
      <c r="E331" s="17"/>
      <c r="F331" s="15"/>
      <c r="G331" s="250"/>
      <c r="H331" s="243"/>
      <c r="I331" s="243"/>
      <c r="J331" s="243"/>
      <c r="K331" s="85"/>
      <c r="L331" s="85"/>
      <c r="M331" s="85"/>
      <c r="N331" s="85"/>
      <c r="O331" s="29"/>
      <c r="P331" s="307"/>
      <c r="Q331" s="15"/>
      <c r="R331" s="15"/>
      <c r="S331" s="15"/>
      <c r="T331" s="15"/>
      <c r="U331" s="243"/>
      <c r="V331" s="243"/>
      <c r="W331" s="243"/>
    </row>
    <row r="332">
      <c r="A332" s="34"/>
      <c r="B332" s="15"/>
      <c r="C332" s="15"/>
      <c r="D332" s="15"/>
      <c r="E332" s="17"/>
      <c r="F332" s="15"/>
      <c r="G332" s="250"/>
      <c r="H332" s="243"/>
      <c r="I332" s="243"/>
      <c r="J332" s="243"/>
      <c r="K332" s="85"/>
      <c r="L332" s="85"/>
      <c r="M332" s="85"/>
      <c r="N332" s="85"/>
      <c r="O332" s="29"/>
      <c r="P332" s="307"/>
      <c r="Q332" s="15"/>
      <c r="R332" s="15"/>
      <c r="S332" s="15"/>
      <c r="T332" s="15"/>
      <c r="U332" s="243"/>
      <c r="V332" s="243"/>
      <c r="W332" s="243"/>
    </row>
    <row r="333">
      <c r="A333" s="34"/>
      <c r="B333" s="15"/>
      <c r="C333" s="15"/>
      <c r="D333" s="15"/>
      <c r="E333" s="17"/>
      <c r="F333" s="15"/>
      <c r="G333" s="250"/>
      <c r="H333" s="243"/>
      <c r="I333" s="243"/>
      <c r="J333" s="243"/>
      <c r="K333" s="85"/>
      <c r="L333" s="85"/>
      <c r="M333" s="85"/>
      <c r="N333" s="85"/>
      <c r="O333" s="29"/>
      <c r="P333" s="307"/>
      <c r="Q333" s="15"/>
      <c r="R333" s="15"/>
      <c r="S333" s="15"/>
      <c r="T333" s="15"/>
      <c r="U333" s="243"/>
      <c r="V333" s="243"/>
      <c r="W333" s="243"/>
    </row>
    <row r="334">
      <c r="A334" s="34"/>
      <c r="B334" s="15"/>
      <c r="C334" s="15"/>
      <c r="D334" s="15"/>
      <c r="E334" s="17"/>
      <c r="F334" s="15"/>
      <c r="G334" s="250"/>
      <c r="H334" s="243"/>
      <c r="I334" s="243"/>
      <c r="J334" s="243"/>
      <c r="K334" s="85"/>
      <c r="L334" s="85"/>
      <c r="M334" s="85"/>
      <c r="N334" s="85"/>
      <c r="O334" s="29"/>
      <c r="P334" s="307"/>
      <c r="Q334" s="15"/>
      <c r="R334" s="15"/>
      <c r="S334" s="15"/>
      <c r="T334" s="15"/>
      <c r="U334" s="243"/>
      <c r="V334" s="243"/>
      <c r="W334" s="243"/>
    </row>
    <row r="335">
      <c r="A335" s="34"/>
      <c r="B335" s="15"/>
      <c r="C335" s="15"/>
      <c r="D335" s="15"/>
      <c r="E335" s="17"/>
      <c r="F335" s="15"/>
      <c r="G335" s="250"/>
      <c r="H335" s="243"/>
      <c r="I335" s="243"/>
      <c r="J335" s="243"/>
      <c r="K335" s="85"/>
      <c r="L335" s="85"/>
      <c r="M335" s="85"/>
      <c r="N335" s="85"/>
      <c r="O335" s="29"/>
      <c r="P335" s="307"/>
      <c r="Q335" s="15"/>
      <c r="R335" s="15"/>
      <c r="S335" s="15"/>
      <c r="T335" s="15"/>
      <c r="U335" s="243"/>
      <c r="V335" s="243"/>
      <c r="W335" s="243"/>
    </row>
    <row r="336">
      <c r="A336" s="34"/>
      <c r="B336" s="15"/>
      <c r="C336" s="15"/>
      <c r="D336" s="15"/>
      <c r="E336" s="17"/>
      <c r="F336" s="15"/>
      <c r="G336" s="250"/>
      <c r="H336" s="243"/>
      <c r="I336" s="243"/>
      <c r="J336" s="243"/>
      <c r="K336" s="85"/>
      <c r="L336" s="85"/>
      <c r="M336" s="85"/>
      <c r="N336" s="85"/>
      <c r="O336" s="29"/>
      <c r="P336" s="307"/>
      <c r="Q336" s="15"/>
      <c r="R336" s="15"/>
      <c r="S336" s="15"/>
      <c r="T336" s="15"/>
      <c r="U336" s="243"/>
      <c r="V336" s="243"/>
      <c r="W336" s="243"/>
    </row>
    <row r="337">
      <c r="A337" s="34"/>
      <c r="B337" s="15"/>
      <c r="C337" s="15"/>
      <c r="D337" s="15"/>
      <c r="E337" s="17"/>
      <c r="F337" s="15"/>
      <c r="G337" s="250"/>
      <c r="H337" s="243"/>
      <c r="I337" s="243"/>
      <c r="J337" s="243"/>
      <c r="K337" s="85"/>
      <c r="L337" s="85"/>
      <c r="M337" s="85"/>
      <c r="N337" s="85"/>
      <c r="O337" s="29"/>
      <c r="P337" s="307"/>
      <c r="Q337" s="15"/>
      <c r="R337" s="15"/>
      <c r="S337" s="15"/>
      <c r="T337" s="15"/>
      <c r="U337" s="243"/>
      <c r="V337" s="243"/>
      <c r="W337" s="243"/>
    </row>
    <row r="338">
      <c r="A338" s="34"/>
      <c r="B338" s="15"/>
      <c r="C338" s="15"/>
      <c r="D338" s="15"/>
      <c r="E338" s="17"/>
      <c r="F338" s="15"/>
      <c r="G338" s="250"/>
      <c r="H338" s="243"/>
      <c r="I338" s="243"/>
      <c r="J338" s="243"/>
      <c r="K338" s="85"/>
      <c r="L338" s="85"/>
      <c r="M338" s="85"/>
      <c r="N338" s="85"/>
      <c r="O338" s="29"/>
      <c r="P338" s="307"/>
      <c r="Q338" s="15"/>
      <c r="R338" s="15"/>
      <c r="S338" s="15"/>
      <c r="T338" s="15"/>
      <c r="U338" s="243"/>
      <c r="V338" s="243"/>
      <c r="W338" s="243"/>
    </row>
    <row r="339">
      <c r="A339" s="34"/>
      <c r="B339" s="15"/>
      <c r="C339" s="15"/>
      <c r="D339" s="15"/>
      <c r="E339" s="17"/>
      <c r="F339" s="15"/>
      <c r="G339" s="250"/>
      <c r="H339" s="243"/>
      <c r="I339" s="243"/>
      <c r="J339" s="243"/>
      <c r="K339" s="85"/>
      <c r="L339" s="85"/>
      <c r="M339" s="85"/>
      <c r="N339" s="85"/>
      <c r="O339" s="29"/>
      <c r="P339" s="307"/>
      <c r="Q339" s="15"/>
      <c r="R339" s="15"/>
      <c r="S339" s="15"/>
      <c r="T339" s="15"/>
      <c r="U339" s="243"/>
      <c r="V339" s="243"/>
      <c r="W339" s="243"/>
    </row>
    <row r="340">
      <c r="A340" s="34"/>
      <c r="B340" s="15"/>
      <c r="C340" s="15"/>
      <c r="D340" s="15"/>
      <c r="E340" s="17"/>
      <c r="F340" s="15"/>
      <c r="G340" s="250"/>
      <c r="H340" s="243"/>
      <c r="I340" s="243"/>
      <c r="J340" s="243"/>
      <c r="K340" s="85"/>
      <c r="L340" s="85"/>
      <c r="M340" s="85"/>
      <c r="N340" s="85"/>
      <c r="O340" s="29"/>
      <c r="P340" s="307"/>
      <c r="Q340" s="15"/>
      <c r="R340" s="15"/>
      <c r="S340" s="15"/>
      <c r="T340" s="15"/>
      <c r="U340" s="243"/>
      <c r="V340" s="243"/>
      <c r="W340" s="243"/>
    </row>
    <row r="341">
      <c r="A341" s="34"/>
      <c r="B341" s="15"/>
      <c r="C341" s="15"/>
      <c r="D341" s="15"/>
      <c r="E341" s="17"/>
      <c r="F341" s="15"/>
      <c r="G341" s="250"/>
      <c r="H341" s="243"/>
      <c r="I341" s="243"/>
      <c r="J341" s="243"/>
      <c r="K341" s="85"/>
      <c r="L341" s="85"/>
      <c r="M341" s="85"/>
      <c r="N341" s="85"/>
      <c r="O341" s="29"/>
      <c r="P341" s="307"/>
      <c r="Q341" s="15"/>
      <c r="R341" s="15"/>
      <c r="S341" s="15"/>
      <c r="T341" s="15"/>
      <c r="U341" s="243"/>
      <c r="V341" s="243"/>
      <c r="W341" s="243"/>
    </row>
    <row r="342">
      <c r="A342" s="34"/>
      <c r="B342" s="15"/>
      <c r="C342" s="15"/>
      <c r="D342" s="15"/>
      <c r="E342" s="17"/>
      <c r="F342" s="15"/>
      <c r="G342" s="250"/>
      <c r="H342" s="243"/>
      <c r="I342" s="243"/>
      <c r="J342" s="243"/>
      <c r="K342" s="85"/>
      <c r="L342" s="85"/>
      <c r="M342" s="85"/>
      <c r="N342" s="85"/>
      <c r="O342" s="29"/>
      <c r="P342" s="307"/>
      <c r="Q342" s="15"/>
      <c r="R342" s="15"/>
      <c r="S342" s="15"/>
      <c r="T342" s="15"/>
      <c r="U342" s="243"/>
      <c r="V342" s="243"/>
      <c r="W342" s="243"/>
    </row>
    <row r="343">
      <c r="A343" s="34"/>
      <c r="B343" s="15"/>
      <c r="C343" s="15"/>
      <c r="D343" s="15"/>
      <c r="E343" s="17"/>
      <c r="F343" s="15"/>
      <c r="G343" s="250"/>
      <c r="H343" s="243"/>
      <c r="I343" s="243"/>
      <c r="J343" s="243"/>
      <c r="K343" s="85"/>
      <c r="L343" s="85"/>
      <c r="M343" s="85"/>
      <c r="N343" s="85"/>
      <c r="O343" s="29"/>
      <c r="P343" s="307"/>
      <c r="Q343" s="15"/>
      <c r="R343" s="15"/>
      <c r="S343" s="15"/>
      <c r="T343" s="15"/>
      <c r="U343" s="243"/>
      <c r="V343" s="243"/>
      <c r="W343" s="243"/>
    </row>
    <row r="344">
      <c r="A344" s="34"/>
      <c r="B344" s="15"/>
      <c r="C344" s="15"/>
      <c r="D344" s="15"/>
      <c r="E344" s="17"/>
      <c r="F344" s="15"/>
      <c r="G344" s="250"/>
      <c r="H344" s="243"/>
      <c r="I344" s="243"/>
      <c r="J344" s="243"/>
      <c r="K344" s="85"/>
      <c r="L344" s="85"/>
      <c r="M344" s="85"/>
      <c r="N344" s="85"/>
      <c r="O344" s="29"/>
      <c r="P344" s="307"/>
      <c r="Q344" s="15"/>
      <c r="R344" s="15"/>
      <c r="S344" s="15"/>
      <c r="T344" s="15"/>
      <c r="U344" s="243"/>
      <c r="V344" s="243"/>
      <c r="W344" s="243"/>
    </row>
    <row r="345">
      <c r="A345" s="34"/>
      <c r="B345" s="15"/>
      <c r="C345" s="15"/>
      <c r="D345" s="15"/>
      <c r="E345" s="17"/>
      <c r="F345" s="15"/>
      <c r="G345" s="250"/>
      <c r="H345" s="243"/>
      <c r="I345" s="243"/>
      <c r="J345" s="243"/>
      <c r="K345" s="85"/>
      <c r="L345" s="85"/>
      <c r="M345" s="85"/>
      <c r="N345" s="85"/>
      <c r="O345" s="29"/>
      <c r="P345" s="307"/>
      <c r="Q345" s="15"/>
      <c r="R345" s="15"/>
      <c r="S345" s="15"/>
      <c r="T345" s="15"/>
      <c r="U345" s="243"/>
      <c r="V345" s="243"/>
      <c r="W345" s="243"/>
    </row>
    <row r="346">
      <c r="A346" s="34"/>
      <c r="B346" s="15"/>
      <c r="C346" s="15"/>
      <c r="D346" s="15"/>
      <c r="E346" s="17"/>
      <c r="F346" s="15"/>
      <c r="G346" s="250"/>
      <c r="H346" s="243"/>
      <c r="I346" s="243"/>
      <c r="J346" s="243"/>
      <c r="K346" s="85"/>
      <c r="L346" s="85"/>
      <c r="M346" s="85"/>
      <c r="N346" s="85"/>
      <c r="O346" s="29"/>
      <c r="P346" s="307"/>
      <c r="Q346" s="15"/>
      <c r="R346" s="15"/>
      <c r="S346" s="15"/>
      <c r="T346" s="15"/>
      <c r="U346" s="243"/>
      <c r="V346" s="243"/>
      <c r="W346" s="243"/>
    </row>
    <row r="347">
      <c r="A347" s="34"/>
      <c r="B347" s="15"/>
      <c r="C347" s="15"/>
      <c r="D347" s="15"/>
      <c r="E347" s="17"/>
      <c r="F347" s="15"/>
      <c r="G347" s="250"/>
      <c r="H347" s="243"/>
      <c r="I347" s="243"/>
      <c r="J347" s="243"/>
      <c r="K347" s="85"/>
      <c r="L347" s="85"/>
      <c r="M347" s="85"/>
      <c r="N347" s="85"/>
      <c r="O347" s="29"/>
      <c r="P347" s="307"/>
      <c r="Q347" s="15"/>
      <c r="R347" s="15"/>
      <c r="S347" s="15"/>
      <c r="T347" s="15"/>
      <c r="U347" s="243"/>
      <c r="V347" s="243"/>
      <c r="W347" s="243"/>
    </row>
    <row r="348">
      <c r="A348" s="34"/>
      <c r="B348" s="15"/>
      <c r="C348" s="15"/>
      <c r="D348" s="15"/>
      <c r="E348" s="17"/>
      <c r="F348" s="15"/>
      <c r="G348" s="250"/>
      <c r="H348" s="243"/>
      <c r="I348" s="243"/>
      <c r="J348" s="243"/>
      <c r="K348" s="85"/>
      <c r="L348" s="85"/>
      <c r="M348" s="85"/>
      <c r="N348" s="85"/>
      <c r="O348" s="29"/>
      <c r="P348" s="307"/>
      <c r="Q348" s="15"/>
      <c r="R348" s="15"/>
      <c r="S348" s="15"/>
      <c r="T348" s="15"/>
      <c r="U348" s="243"/>
      <c r="V348" s="243"/>
      <c r="W348" s="243"/>
    </row>
    <row r="349">
      <c r="A349" s="34"/>
      <c r="B349" s="15"/>
      <c r="C349" s="15"/>
      <c r="D349" s="15"/>
      <c r="E349" s="17"/>
      <c r="F349" s="15"/>
      <c r="G349" s="250"/>
      <c r="H349" s="243"/>
      <c r="I349" s="243"/>
      <c r="J349" s="243"/>
      <c r="K349" s="85"/>
      <c r="L349" s="85"/>
      <c r="M349" s="85"/>
      <c r="N349" s="85"/>
      <c r="O349" s="29"/>
      <c r="P349" s="307"/>
      <c r="Q349" s="15"/>
      <c r="R349" s="15"/>
      <c r="S349" s="15"/>
      <c r="T349" s="15"/>
      <c r="U349" s="243"/>
      <c r="V349" s="243"/>
      <c r="W349" s="243"/>
    </row>
    <row r="350">
      <c r="A350" s="34"/>
      <c r="B350" s="15"/>
      <c r="C350" s="15"/>
      <c r="D350" s="15"/>
      <c r="E350" s="17"/>
      <c r="F350" s="15"/>
      <c r="G350" s="250"/>
      <c r="H350" s="243"/>
      <c r="I350" s="243"/>
      <c r="J350" s="243"/>
      <c r="K350" s="85"/>
      <c r="L350" s="85"/>
      <c r="M350" s="85"/>
      <c r="N350" s="85"/>
      <c r="O350" s="29"/>
      <c r="P350" s="307"/>
      <c r="Q350" s="15"/>
      <c r="R350" s="15"/>
      <c r="S350" s="15"/>
      <c r="T350" s="15"/>
      <c r="U350" s="243"/>
      <c r="V350" s="243"/>
      <c r="W350" s="243"/>
    </row>
    <row r="351">
      <c r="A351" s="34"/>
      <c r="B351" s="15"/>
      <c r="C351" s="15"/>
      <c r="D351" s="15"/>
      <c r="E351" s="17"/>
      <c r="F351" s="15"/>
      <c r="G351" s="250"/>
      <c r="H351" s="243"/>
      <c r="I351" s="243"/>
      <c r="J351" s="243"/>
      <c r="K351" s="85"/>
      <c r="L351" s="85"/>
      <c r="M351" s="85"/>
      <c r="N351" s="85"/>
      <c r="O351" s="29"/>
      <c r="P351" s="307"/>
      <c r="Q351" s="15"/>
      <c r="R351" s="15"/>
      <c r="S351" s="15"/>
      <c r="T351" s="15"/>
      <c r="U351" s="243"/>
      <c r="V351" s="243"/>
      <c r="W351" s="243"/>
    </row>
    <row r="352">
      <c r="A352" s="34"/>
      <c r="B352" s="15"/>
      <c r="C352" s="15"/>
      <c r="D352" s="15"/>
      <c r="E352" s="17"/>
      <c r="F352" s="15"/>
      <c r="G352" s="250"/>
      <c r="H352" s="243"/>
      <c r="I352" s="243"/>
      <c r="J352" s="243"/>
      <c r="K352" s="85"/>
      <c r="L352" s="85"/>
      <c r="M352" s="85"/>
      <c r="N352" s="85"/>
      <c r="O352" s="29"/>
      <c r="P352" s="307"/>
      <c r="Q352" s="15"/>
      <c r="R352" s="15"/>
      <c r="S352" s="15"/>
      <c r="T352" s="15"/>
      <c r="U352" s="243"/>
      <c r="V352" s="243"/>
      <c r="W352" s="243"/>
    </row>
    <row r="353">
      <c r="A353" s="34"/>
      <c r="B353" s="15"/>
      <c r="C353" s="15"/>
      <c r="D353" s="15"/>
      <c r="E353" s="17"/>
      <c r="F353" s="15"/>
      <c r="G353" s="250"/>
      <c r="H353" s="243"/>
      <c r="I353" s="243"/>
      <c r="J353" s="243"/>
      <c r="K353" s="85"/>
      <c r="L353" s="85"/>
      <c r="M353" s="85"/>
      <c r="N353" s="85"/>
      <c r="O353" s="29"/>
      <c r="P353" s="307"/>
      <c r="Q353" s="15"/>
      <c r="R353" s="15"/>
      <c r="S353" s="15"/>
      <c r="T353" s="15"/>
      <c r="U353" s="243"/>
      <c r="V353" s="243"/>
      <c r="W353" s="243"/>
    </row>
    <row r="354">
      <c r="A354" s="34"/>
      <c r="B354" s="15"/>
      <c r="C354" s="15"/>
      <c r="D354" s="15"/>
      <c r="E354" s="17"/>
      <c r="F354" s="15"/>
      <c r="G354" s="250"/>
      <c r="H354" s="243"/>
      <c r="I354" s="243"/>
      <c r="J354" s="243"/>
      <c r="K354" s="85"/>
      <c r="L354" s="85"/>
      <c r="M354" s="85"/>
      <c r="N354" s="85"/>
      <c r="O354" s="29"/>
      <c r="P354" s="307"/>
      <c r="Q354" s="15"/>
      <c r="R354" s="15"/>
      <c r="S354" s="15"/>
      <c r="T354" s="15"/>
      <c r="U354" s="243"/>
      <c r="V354" s="243"/>
      <c r="W354" s="243"/>
    </row>
    <row r="355">
      <c r="A355" s="34"/>
      <c r="B355" s="15"/>
      <c r="C355" s="15"/>
      <c r="D355" s="15"/>
      <c r="E355" s="17"/>
      <c r="F355" s="15"/>
      <c r="G355" s="250"/>
      <c r="H355" s="243"/>
      <c r="I355" s="243"/>
      <c r="J355" s="243"/>
      <c r="K355" s="85"/>
      <c r="L355" s="85"/>
      <c r="M355" s="85"/>
      <c r="N355" s="85"/>
      <c r="O355" s="29"/>
      <c r="P355" s="307"/>
      <c r="Q355" s="15"/>
      <c r="R355" s="15"/>
      <c r="S355" s="15"/>
      <c r="T355" s="15"/>
      <c r="U355" s="243"/>
      <c r="V355" s="243"/>
      <c r="W355" s="243"/>
    </row>
    <row r="356">
      <c r="A356" s="34"/>
      <c r="B356" s="15"/>
      <c r="C356" s="15"/>
      <c r="D356" s="15"/>
      <c r="E356" s="17"/>
      <c r="F356" s="15"/>
      <c r="G356" s="250"/>
      <c r="H356" s="243"/>
      <c r="I356" s="243"/>
      <c r="J356" s="243"/>
      <c r="K356" s="85"/>
      <c r="L356" s="85"/>
      <c r="M356" s="85"/>
      <c r="N356" s="85"/>
      <c r="O356" s="29"/>
      <c r="P356" s="307"/>
      <c r="Q356" s="15"/>
      <c r="R356" s="15"/>
      <c r="S356" s="15"/>
      <c r="T356" s="15"/>
      <c r="U356" s="243"/>
      <c r="V356" s="243"/>
      <c r="W356" s="243"/>
    </row>
    <row r="357">
      <c r="A357" s="34"/>
      <c r="B357" s="15"/>
      <c r="C357" s="15"/>
      <c r="D357" s="15"/>
      <c r="E357" s="17"/>
      <c r="F357" s="15"/>
      <c r="G357" s="250"/>
      <c r="H357" s="243"/>
      <c r="I357" s="243"/>
      <c r="J357" s="243"/>
      <c r="K357" s="85"/>
      <c r="L357" s="85"/>
      <c r="M357" s="85"/>
      <c r="N357" s="85"/>
      <c r="O357" s="29"/>
      <c r="P357" s="307"/>
      <c r="Q357" s="15"/>
      <c r="R357" s="15"/>
      <c r="S357" s="15"/>
      <c r="T357" s="15"/>
      <c r="U357" s="243"/>
      <c r="V357" s="243"/>
      <c r="W357" s="243"/>
    </row>
    <row r="358">
      <c r="A358" s="34"/>
      <c r="B358" s="15"/>
      <c r="C358" s="15"/>
      <c r="D358" s="15"/>
      <c r="E358" s="17"/>
      <c r="F358" s="15"/>
      <c r="G358" s="250"/>
      <c r="H358" s="243"/>
      <c r="I358" s="243"/>
      <c r="J358" s="243"/>
      <c r="K358" s="85"/>
      <c r="L358" s="85"/>
      <c r="M358" s="85"/>
      <c r="N358" s="85"/>
      <c r="O358" s="29"/>
      <c r="P358" s="307"/>
      <c r="Q358" s="15"/>
      <c r="R358" s="15"/>
      <c r="S358" s="15"/>
      <c r="T358" s="15"/>
      <c r="U358" s="243"/>
      <c r="V358" s="243"/>
      <c r="W358" s="243"/>
    </row>
    <row r="359">
      <c r="A359" s="34"/>
      <c r="B359" s="15"/>
      <c r="C359" s="15"/>
      <c r="D359" s="15"/>
      <c r="E359" s="17"/>
      <c r="F359" s="15"/>
      <c r="G359" s="250"/>
      <c r="H359" s="243"/>
      <c r="I359" s="243"/>
      <c r="J359" s="243"/>
      <c r="K359" s="85"/>
      <c r="L359" s="85"/>
      <c r="M359" s="85"/>
      <c r="N359" s="85"/>
      <c r="O359" s="29"/>
      <c r="P359" s="307"/>
      <c r="Q359" s="15"/>
      <c r="R359" s="15"/>
      <c r="S359" s="15"/>
      <c r="T359" s="15"/>
      <c r="U359" s="243"/>
      <c r="V359" s="243"/>
      <c r="W359" s="243"/>
    </row>
    <row r="360">
      <c r="A360" s="34"/>
      <c r="B360" s="15"/>
      <c r="C360" s="15"/>
      <c r="D360" s="15"/>
      <c r="E360" s="17"/>
      <c r="F360" s="15"/>
      <c r="G360" s="250"/>
      <c r="H360" s="243"/>
      <c r="I360" s="243"/>
      <c r="J360" s="243"/>
      <c r="K360" s="85"/>
      <c r="L360" s="85"/>
      <c r="M360" s="85"/>
      <c r="N360" s="85"/>
      <c r="O360" s="29"/>
      <c r="P360" s="307"/>
      <c r="Q360" s="15"/>
      <c r="R360" s="15"/>
      <c r="S360" s="15"/>
      <c r="T360" s="15"/>
      <c r="U360" s="243"/>
      <c r="V360" s="243"/>
      <c r="W360" s="243"/>
    </row>
    <row r="361">
      <c r="A361" s="34"/>
      <c r="B361" s="15"/>
      <c r="C361" s="15"/>
      <c r="D361" s="15"/>
      <c r="E361" s="17"/>
      <c r="F361" s="15"/>
      <c r="G361" s="250"/>
      <c r="H361" s="243"/>
      <c r="I361" s="243"/>
      <c r="J361" s="243"/>
      <c r="K361" s="85"/>
      <c r="L361" s="85"/>
      <c r="M361" s="85"/>
      <c r="N361" s="85"/>
      <c r="O361" s="29"/>
      <c r="P361" s="307"/>
      <c r="Q361" s="15"/>
      <c r="R361" s="15"/>
      <c r="S361" s="15"/>
      <c r="T361" s="15"/>
      <c r="U361" s="243"/>
      <c r="V361" s="243"/>
      <c r="W361" s="243"/>
    </row>
    <row r="362">
      <c r="A362" s="34"/>
      <c r="B362" s="15"/>
      <c r="C362" s="15"/>
      <c r="D362" s="15"/>
      <c r="E362" s="17"/>
      <c r="F362" s="15"/>
      <c r="G362" s="250"/>
      <c r="H362" s="243"/>
      <c r="I362" s="243"/>
      <c r="J362" s="243"/>
      <c r="K362" s="85"/>
      <c r="L362" s="85"/>
      <c r="M362" s="85"/>
      <c r="N362" s="85"/>
      <c r="O362" s="29"/>
      <c r="P362" s="307"/>
      <c r="Q362" s="15"/>
      <c r="R362" s="15"/>
      <c r="S362" s="15"/>
      <c r="T362" s="15"/>
      <c r="U362" s="243"/>
      <c r="V362" s="243"/>
      <c r="W362" s="243"/>
    </row>
    <row r="363">
      <c r="A363" s="34"/>
      <c r="B363" s="15"/>
      <c r="C363" s="15"/>
      <c r="D363" s="15"/>
      <c r="E363" s="17"/>
      <c r="F363" s="15"/>
      <c r="G363" s="250"/>
      <c r="H363" s="243"/>
      <c r="I363" s="243"/>
      <c r="J363" s="243"/>
      <c r="K363" s="85"/>
      <c r="L363" s="85"/>
      <c r="M363" s="85"/>
      <c r="N363" s="85"/>
      <c r="O363" s="29"/>
      <c r="P363" s="307"/>
      <c r="Q363" s="15"/>
      <c r="R363" s="15"/>
      <c r="S363" s="15"/>
      <c r="T363" s="15"/>
      <c r="U363" s="243"/>
      <c r="V363" s="243"/>
      <c r="W363" s="243"/>
    </row>
    <row r="364">
      <c r="A364" s="34"/>
      <c r="B364" s="15"/>
      <c r="C364" s="15"/>
      <c r="D364" s="15"/>
      <c r="E364" s="17"/>
      <c r="F364" s="15"/>
      <c r="G364" s="250"/>
      <c r="H364" s="243"/>
      <c r="I364" s="243"/>
      <c r="J364" s="243"/>
      <c r="K364" s="85"/>
      <c r="L364" s="85"/>
      <c r="M364" s="85"/>
      <c r="N364" s="85"/>
      <c r="O364" s="29"/>
      <c r="P364" s="307"/>
      <c r="Q364" s="15"/>
      <c r="R364" s="15"/>
      <c r="S364" s="15"/>
      <c r="T364" s="15"/>
      <c r="U364" s="243"/>
      <c r="V364" s="243"/>
      <c r="W364" s="243"/>
    </row>
    <row r="365">
      <c r="A365" s="34"/>
      <c r="B365" s="15"/>
      <c r="C365" s="15"/>
      <c r="D365" s="15"/>
      <c r="E365" s="17"/>
      <c r="F365" s="15"/>
      <c r="G365" s="250"/>
      <c r="H365" s="243"/>
      <c r="I365" s="243"/>
      <c r="J365" s="243"/>
      <c r="K365" s="85"/>
      <c r="L365" s="85"/>
      <c r="M365" s="85"/>
      <c r="N365" s="85"/>
      <c r="O365" s="29"/>
      <c r="P365" s="307"/>
      <c r="Q365" s="15"/>
      <c r="R365" s="15"/>
      <c r="S365" s="15"/>
      <c r="T365" s="15"/>
      <c r="U365" s="243"/>
      <c r="V365" s="243"/>
      <c r="W365" s="243"/>
    </row>
    <row r="366">
      <c r="A366" s="34"/>
      <c r="B366" s="15"/>
      <c r="C366" s="15"/>
      <c r="D366" s="15"/>
      <c r="E366" s="17"/>
      <c r="F366" s="15"/>
      <c r="G366" s="250"/>
      <c r="H366" s="243"/>
      <c r="I366" s="243"/>
      <c r="J366" s="243"/>
      <c r="K366" s="85"/>
      <c r="L366" s="85"/>
      <c r="M366" s="85"/>
      <c r="N366" s="85"/>
      <c r="O366" s="29"/>
      <c r="P366" s="307"/>
      <c r="Q366" s="15"/>
      <c r="R366" s="15"/>
      <c r="S366" s="15"/>
      <c r="T366" s="15"/>
      <c r="U366" s="243"/>
      <c r="V366" s="243"/>
      <c r="W366" s="243"/>
    </row>
    <row r="367">
      <c r="A367" s="34"/>
      <c r="B367" s="15"/>
      <c r="C367" s="15"/>
      <c r="D367" s="15"/>
      <c r="E367" s="17"/>
      <c r="F367" s="15"/>
      <c r="G367" s="250"/>
      <c r="H367" s="243"/>
      <c r="I367" s="243"/>
      <c r="J367" s="243"/>
      <c r="K367" s="85"/>
      <c r="L367" s="85"/>
      <c r="M367" s="85"/>
      <c r="N367" s="85"/>
      <c r="O367" s="29"/>
      <c r="P367" s="307"/>
      <c r="Q367" s="15"/>
      <c r="R367" s="15"/>
      <c r="S367" s="15"/>
      <c r="T367" s="15"/>
      <c r="U367" s="243"/>
      <c r="V367" s="243"/>
      <c r="W367" s="243"/>
    </row>
    <row r="368">
      <c r="A368" s="34"/>
      <c r="B368" s="15"/>
      <c r="C368" s="15"/>
      <c r="D368" s="15"/>
      <c r="E368" s="17"/>
      <c r="F368" s="15"/>
      <c r="G368" s="250"/>
      <c r="H368" s="243"/>
      <c r="I368" s="243"/>
      <c r="J368" s="243"/>
      <c r="K368" s="85"/>
      <c r="L368" s="85"/>
      <c r="M368" s="85"/>
      <c r="N368" s="85"/>
      <c r="O368" s="29"/>
      <c r="P368" s="307"/>
      <c r="Q368" s="15"/>
      <c r="R368" s="15"/>
      <c r="S368" s="15"/>
      <c r="T368" s="15"/>
      <c r="U368" s="243"/>
      <c r="V368" s="243"/>
      <c r="W368" s="243"/>
    </row>
    <row r="369">
      <c r="A369" s="34"/>
      <c r="B369" s="15"/>
      <c r="C369" s="15"/>
      <c r="D369" s="15"/>
      <c r="E369" s="17"/>
      <c r="F369" s="15"/>
      <c r="G369" s="250"/>
      <c r="H369" s="243"/>
      <c r="I369" s="243"/>
      <c r="J369" s="243"/>
      <c r="K369" s="85"/>
      <c r="L369" s="85"/>
      <c r="M369" s="85"/>
      <c r="N369" s="85"/>
      <c r="O369" s="29"/>
      <c r="P369" s="307"/>
      <c r="Q369" s="15"/>
      <c r="R369" s="15"/>
      <c r="S369" s="15"/>
      <c r="T369" s="15"/>
      <c r="U369" s="243"/>
      <c r="V369" s="243"/>
      <c r="W369" s="243"/>
    </row>
    <row r="370">
      <c r="A370" s="34"/>
      <c r="B370" s="15"/>
      <c r="C370" s="15"/>
      <c r="D370" s="15"/>
      <c r="E370" s="17"/>
      <c r="F370" s="15"/>
      <c r="G370" s="250"/>
      <c r="H370" s="243"/>
      <c r="I370" s="243"/>
      <c r="J370" s="243"/>
      <c r="K370" s="85"/>
      <c r="L370" s="85"/>
      <c r="M370" s="85"/>
      <c r="N370" s="85"/>
      <c r="O370" s="29"/>
      <c r="P370" s="307"/>
      <c r="Q370" s="15"/>
      <c r="R370" s="15"/>
      <c r="S370" s="15"/>
      <c r="T370" s="15"/>
      <c r="U370" s="243"/>
      <c r="V370" s="243"/>
      <c r="W370" s="243"/>
    </row>
    <row r="371">
      <c r="A371" s="34"/>
      <c r="B371" s="15"/>
      <c r="C371" s="15"/>
      <c r="D371" s="15"/>
      <c r="E371" s="17"/>
      <c r="F371" s="15"/>
      <c r="G371" s="250"/>
      <c r="H371" s="243"/>
      <c r="I371" s="243"/>
      <c r="J371" s="243"/>
      <c r="K371" s="85"/>
      <c r="L371" s="85"/>
      <c r="M371" s="85"/>
      <c r="N371" s="85"/>
      <c r="O371" s="29"/>
      <c r="P371" s="307"/>
      <c r="Q371" s="15"/>
      <c r="R371" s="15"/>
      <c r="S371" s="15"/>
      <c r="T371" s="15"/>
      <c r="U371" s="243"/>
      <c r="V371" s="243"/>
      <c r="W371" s="243"/>
    </row>
    <row r="372">
      <c r="A372" s="34"/>
      <c r="B372" s="15"/>
      <c r="C372" s="15"/>
      <c r="D372" s="15"/>
      <c r="E372" s="17"/>
      <c r="F372" s="15"/>
      <c r="G372" s="250"/>
      <c r="H372" s="243"/>
      <c r="I372" s="243"/>
      <c r="J372" s="243"/>
      <c r="K372" s="85"/>
      <c r="L372" s="85"/>
      <c r="M372" s="85"/>
      <c r="N372" s="85"/>
      <c r="O372" s="29"/>
      <c r="P372" s="307"/>
      <c r="Q372" s="15"/>
      <c r="R372" s="15"/>
      <c r="S372" s="15"/>
      <c r="T372" s="15"/>
      <c r="U372" s="243"/>
      <c r="V372" s="243"/>
      <c r="W372" s="243"/>
    </row>
    <row r="373">
      <c r="A373" s="34"/>
      <c r="B373" s="15"/>
      <c r="C373" s="15"/>
      <c r="D373" s="15"/>
      <c r="E373" s="17"/>
      <c r="F373" s="15"/>
      <c r="G373" s="250"/>
      <c r="H373" s="243"/>
      <c r="I373" s="243"/>
      <c r="J373" s="243"/>
      <c r="K373" s="85"/>
      <c r="L373" s="85"/>
      <c r="M373" s="85"/>
      <c r="N373" s="85"/>
      <c r="O373" s="29"/>
      <c r="P373" s="307"/>
      <c r="Q373" s="15"/>
      <c r="R373" s="15"/>
      <c r="S373" s="15"/>
      <c r="T373" s="15"/>
      <c r="U373" s="243"/>
      <c r="V373" s="243"/>
      <c r="W373" s="243"/>
    </row>
    <row r="374">
      <c r="A374" s="34"/>
      <c r="B374" s="15"/>
      <c r="C374" s="15"/>
      <c r="D374" s="15"/>
      <c r="E374" s="17"/>
      <c r="F374" s="15"/>
      <c r="G374" s="250"/>
      <c r="H374" s="243"/>
      <c r="I374" s="243"/>
      <c r="J374" s="243"/>
      <c r="K374" s="85"/>
      <c r="L374" s="85"/>
      <c r="M374" s="85"/>
      <c r="N374" s="85"/>
      <c r="O374" s="29"/>
      <c r="P374" s="307"/>
      <c r="Q374" s="15"/>
      <c r="R374" s="15"/>
      <c r="S374" s="15"/>
      <c r="T374" s="15"/>
      <c r="U374" s="243"/>
      <c r="V374" s="243"/>
      <c r="W374" s="243"/>
    </row>
    <row r="375">
      <c r="A375" s="34"/>
      <c r="B375" s="15"/>
      <c r="C375" s="15"/>
      <c r="D375" s="15"/>
      <c r="E375" s="17"/>
      <c r="F375" s="15"/>
      <c r="G375" s="250"/>
      <c r="H375" s="243"/>
      <c r="I375" s="243"/>
      <c r="J375" s="243"/>
      <c r="K375" s="85"/>
      <c r="L375" s="85"/>
      <c r="M375" s="85"/>
      <c r="N375" s="85"/>
      <c r="O375" s="29"/>
      <c r="P375" s="307"/>
      <c r="Q375" s="15"/>
      <c r="R375" s="15"/>
      <c r="S375" s="15"/>
      <c r="T375" s="15"/>
      <c r="U375" s="243"/>
      <c r="V375" s="243"/>
      <c r="W375" s="243"/>
    </row>
    <row r="376">
      <c r="A376" s="34"/>
      <c r="B376" s="15"/>
      <c r="C376" s="15"/>
      <c r="D376" s="15"/>
      <c r="E376" s="17"/>
      <c r="F376" s="15"/>
      <c r="G376" s="250"/>
      <c r="H376" s="243"/>
      <c r="I376" s="243"/>
      <c r="J376" s="243"/>
      <c r="K376" s="85"/>
      <c r="L376" s="85"/>
      <c r="M376" s="85"/>
      <c r="N376" s="85"/>
      <c r="O376" s="29"/>
      <c r="P376" s="307"/>
      <c r="Q376" s="15"/>
      <c r="R376" s="15"/>
      <c r="S376" s="15"/>
      <c r="T376" s="15"/>
      <c r="U376" s="243"/>
      <c r="V376" s="243"/>
      <c r="W376" s="243"/>
    </row>
    <row r="377">
      <c r="A377" s="34"/>
      <c r="B377" s="15"/>
      <c r="C377" s="15"/>
      <c r="D377" s="15"/>
      <c r="E377" s="17"/>
      <c r="F377" s="15"/>
      <c r="G377" s="250"/>
      <c r="H377" s="243"/>
      <c r="I377" s="243"/>
      <c r="J377" s="243"/>
      <c r="K377" s="85"/>
      <c r="L377" s="85"/>
      <c r="M377" s="85"/>
      <c r="N377" s="85"/>
      <c r="O377" s="29"/>
      <c r="P377" s="307"/>
      <c r="Q377" s="15"/>
      <c r="R377" s="15"/>
      <c r="S377" s="15"/>
      <c r="T377" s="15"/>
      <c r="U377" s="243"/>
      <c r="V377" s="243"/>
      <c r="W377" s="243"/>
    </row>
    <row r="378">
      <c r="A378" s="34"/>
      <c r="B378" s="15"/>
      <c r="C378" s="15"/>
      <c r="D378" s="15"/>
      <c r="E378" s="17"/>
      <c r="F378" s="15"/>
      <c r="G378" s="250"/>
      <c r="H378" s="243"/>
      <c r="I378" s="243"/>
      <c r="J378" s="243"/>
      <c r="K378" s="85"/>
      <c r="L378" s="85"/>
      <c r="M378" s="85"/>
      <c r="N378" s="85"/>
      <c r="O378" s="29"/>
      <c r="P378" s="307"/>
      <c r="Q378" s="15"/>
      <c r="R378" s="15"/>
      <c r="S378" s="15"/>
      <c r="T378" s="15"/>
      <c r="U378" s="243"/>
      <c r="V378" s="243"/>
      <c r="W378" s="243"/>
    </row>
    <row r="379">
      <c r="A379" s="34"/>
      <c r="B379" s="15"/>
      <c r="C379" s="15"/>
      <c r="D379" s="15"/>
      <c r="E379" s="17"/>
      <c r="F379" s="15"/>
      <c r="G379" s="250"/>
      <c r="H379" s="243"/>
      <c r="I379" s="243"/>
      <c r="J379" s="243"/>
      <c r="K379" s="85"/>
      <c r="L379" s="85"/>
      <c r="M379" s="85"/>
      <c r="N379" s="85"/>
      <c r="O379" s="29"/>
      <c r="P379" s="307"/>
      <c r="Q379" s="15"/>
      <c r="R379" s="15"/>
      <c r="S379" s="15"/>
      <c r="T379" s="15"/>
      <c r="U379" s="243"/>
      <c r="V379" s="243"/>
      <c r="W379" s="243"/>
    </row>
    <row r="380">
      <c r="A380" s="34"/>
      <c r="B380" s="15"/>
      <c r="C380" s="15"/>
      <c r="D380" s="15"/>
      <c r="E380" s="17"/>
      <c r="F380" s="15"/>
      <c r="G380" s="250"/>
      <c r="H380" s="243"/>
      <c r="I380" s="243"/>
      <c r="J380" s="243"/>
      <c r="K380" s="85"/>
      <c r="L380" s="85"/>
      <c r="M380" s="85"/>
      <c r="N380" s="85"/>
      <c r="O380" s="29"/>
      <c r="P380" s="307"/>
      <c r="Q380" s="15"/>
      <c r="R380" s="15"/>
      <c r="S380" s="15"/>
      <c r="T380" s="15"/>
      <c r="U380" s="243"/>
      <c r="V380" s="243"/>
      <c r="W380" s="243"/>
    </row>
    <row r="381">
      <c r="A381" s="34"/>
      <c r="B381" s="15"/>
      <c r="C381" s="15"/>
      <c r="D381" s="15"/>
      <c r="E381" s="17"/>
      <c r="F381" s="15"/>
      <c r="G381" s="250"/>
      <c r="H381" s="243"/>
      <c r="I381" s="243"/>
      <c r="J381" s="243"/>
      <c r="K381" s="85"/>
      <c r="L381" s="85"/>
      <c r="M381" s="85"/>
      <c r="N381" s="85"/>
      <c r="O381" s="29"/>
      <c r="P381" s="307"/>
      <c r="Q381" s="15"/>
      <c r="R381" s="15"/>
      <c r="S381" s="15"/>
      <c r="T381" s="15"/>
      <c r="U381" s="243"/>
      <c r="V381" s="243"/>
      <c r="W381" s="243"/>
    </row>
    <row r="382">
      <c r="A382" s="34"/>
      <c r="B382" s="15"/>
      <c r="C382" s="15"/>
      <c r="D382" s="15"/>
      <c r="E382" s="17"/>
      <c r="F382" s="15"/>
      <c r="G382" s="250"/>
      <c r="H382" s="243"/>
      <c r="I382" s="243"/>
      <c r="J382" s="243"/>
      <c r="K382" s="85"/>
      <c r="L382" s="85"/>
      <c r="M382" s="85"/>
      <c r="N382" s="85"/>
      <c r="O382" s="29"/>
      <c r="P382" s="307"/>
      <c r="Q382" s="15"/>
      <c r="R382" s="15"/>
      <c r="S382" s="15"/>
      <c r="T382" s="15"/>
      <c r="U382" s="243"/>
      <c r="V382" s="243"/>
      <c r="W382" s="243"/>
    </row>
    <row r="383">
      <c r="A383" s="34"/>
      <c r="B383" s="15"/>
      <c r="C383" s="15"/>
      <c r="D383" s="15"/>
      <c r="E383" s="17"/>
      <c r="F383" s="15"/>
      <c r="G383" s="250"/>
      <c r="H383" s="243"/>
      <c r="I383" s="243"/>
      <c r="J383" s="243"/>
      <c r="K383" s="85"/>
      <c r="L383" s="85"/>
      <c r="M383" s="85"/>
      <c r="N383" s="85"/>
      <c r="O383" s="29"/>
      <c r="P383" s="307"/>
      <c r="Q383" s="15"/>
      <c r="R383" s="15"/>
      <c r="S383" s="15"/>
      <c r="T383" s="15"/>
      <c r="U383" s="243"/>
      <c r="V383" s="243"/>
      <c r="W383" s="243"/>
    </row>
    <row r="384">
      <c r="A384" s="34"/>
      <c r="B384" s="15"/>
      <c r="C384" s="15"/>
      <c r="D384" s="15"/>
      <c r="E384" s="17"/>
      <c r="F384" s="15"/>
      <c r="G384" s="250"/>
      <c r="H384" s="243"/>
      <c r="I384" s="243"/>
      <c r="J384" s="243"/>
      <c r="K384" s="85"/>
      <c r="L384" s="85"/>
      <c r="M384" s="85"/>
      <c r="N384" s="85"/>
      <c r="O384" s="29"/>
      <c r="P384" s="307"/>
      <c r="Q384" s="15"/>
      <c r="R384" s="15"/>
      <c r="S384" s="15"/>
      <c r="T384" s="15"/>
      <c r="U384" s="243"/>
      <c r="V384" s="243"/>
      <c r="W384" s="243"/>
    </row>
    <row r="385">
      <c r="A385" s="34"/>
      <c r="B385" s="15"/>
      <c r="C385" s="15"/>
      <c r="D385" s="15"/>
      <c r="E385" s="17"/>
      <c r="F385" s="15"/>
      <c r="G385" s="250"/>
      <c r="H385" s="243"/>
      <c r="I385" s="243"/>
      <c r="J385" s="243"/>
      <c r="K385" s="85"/>
      <c r="L385" s="85"/>
      <c r="M385" s="85"/>
      <c r="N385" s="85"/>
      <c r="O385" s="29"/>
      <c r="P385" s="307"/>
      <c r="Q385" s="15"/>
      <c r="R385" s="15"/>
      <c r="S385" s="15"/>
      <c r="T385" s="15"/>
      <c r="U385" s="243"/>
      <c r="V385" s="243"/>
      <c r="W385" s="243"/>
    </row>
    <row r="386">
      <c r="A386" s="34"/>
      <c r="B386" s="15"/>
      <c r="C386" s="15"/>
      <c r="D386" s="15"/>
      <c r="E386" s="17"/>
      <c r="F386" s="15"/>
      <c r="G386" s="250"/>
      <c r="H386" s="243"/>
      <c r="I386" s="243"/>
      <c r="J386" s="243"/>
      <c r="K386" s="85"/>
      <c r="L386" s="85"/>
      <c r="M386" s="85"/>
      <c r="N386" s="85"/>
      <c r="O386" s="29"/>
      <c r="P386" s="307"/>
      <c r="Q386" s="15"/>
      <c r="R386" s="15"/>
      <c r="S386" s="15"/>
      <c r="T386" s="15"/>
      <c r="U386" s="243"/>
      <c r="V386" s="243"/>
      <c r="W386" s="243"/>
    </row>
    <row r="387">
      <c r="A387" s="34"/>
      <c r="B387" s="15"/>
      <c r="C387" s="15"/>
      <c r="D387" s="15"/>
      <c r="E387" s="17"/>
      <c r="F387" s="15"/>
      <c r="G387" s="250"/>
      <c r="H387" s="243"/>
      <c r="I387" s="243"/>
      <c r="J387" s="243"/>
      <c r="K387" s="85"/>
      <c r="L387" s="85"/>
      <c r="M387" s="85"/>
      <c r="N387" s="85"/>
      <c r="O387" s="29"/>
      <c r="P387" s="307"/>
      <c r="Q387" s="15"/>
      <c r="R387" s="15"/>
      <c r="S387" s="15"/>
      <c r="T387" s="15"/>
      <c r="U387" s="243"/>
      <c r="V387" s="243"/>
      <c r="W387" s="243"/>
    </row>
    <row r="388">
      <c r="A388" s="34"/>
      <c r="B388" s="15"/>
      <c r="C388" s="15"/>
      <c r="D388" s="15"/>
      <c r="E388" s="17"/>
      <c r="F388" s="15"/>
      <c r="G388" s="250"/>
      <c r="H388" s="243"/>
      <c r="I388" s="243"/>
      <c r="J388" s="243"/>
      <c r="K388" s="85"/>
      <c r="L388" s="85"/>
      <c r="M388" s="85"/>
      <c r="N388" s="85"/>
      <c r="O388" s="29"/>
      <c r="P388" s="307"/>
      <c r="Q388" s="15"/>
      <c r="R388" s="15"/>
      <c r="S388" s="15"/>
      <c r="T388" s="15"/>
      <c r="U388" s="243"/>
      <c r="V388" s="243"/>
      <c r="W388" s="243"/>
    </row>
    <row r="389">
      <c r="A389" s="34"/>
      <c r="B389" s="15"/>
      <c r="C389" s="15"/>
      <c r="D389" s="15"/>
      <c r="E389" s="17"/>
      <c r="F389" s="15"/>
      <c r="G389" s="250"/>
      <c r="H389" s="243"/>
      <c r="I389" s="243"/>
      <c r="J389" s="243"/>
      <c r="K389" s="85"/>
      <c r="L389" s="85"/>
      <c r="M389" s="85"/>
      <c r="N389" s="85"/>
      <c r="O389" s="29"/>
      <c r="P389" s="307"/>
      <c r="Q389" s="15"/>
      <c r="R389" s="15"/>
      <c r="S389" s="15"/>
      <c r="T389" s="15"/>
      <c r="U389" s="243"/>
      <c r="V389" s="243"/>
      <c r="W389" s="243"/>
    </row>
    <row r="390">
      <c r="A390" s="34"/>
      <c r="B390" s="15"/>
      <c r="C390" s="15"/>
      <c r="D390" s="15"/>
      <c r="E390" s="17"/>
      <c r="F390" s="15"/>
      <c r="G390" s="250"/>
      <c r="H390" s="243"/>
      <c r="I390" s="243"/>
      <c r="J390" s="243"/>
      <c r="K390" s="85"/>
      <c r="L390" s="85"/>
      <c r="M390" s="85"/>
      <c r="N390" s="85"/>
      <c r="O390" s="29"/>
      <c r="P390" s="307"/>
      <c r="Q390" s="15"/>
      <c r="R390" s="15"/>
      <c r="S390" s="15"/>
      <c r="T390" s="15"/>
      <c r="U390" s="243"/>
      <c r="V390" s="243"/>
      <c r="W390" s="243"/>
    </row>
    <row r="391">
      <c r="A391" s="34"/>
      <c r="B391" s="15"/>
      <c r="C391" s="15"/>
      <c r="D391" s="15"/>
      <c r="E391" s="17"/>
      <c r="F391" s="15"/>
      <c r="G391" s="250"/>
      <c r="H391" s="243"/>
      <c r="I391" s="243"/>
      <c r="J391" s="243"/>
      <c r="K391" s="85"/>
      <c r="L391" s="85"/>
      <c r="M391" s="85"/>
      <c r="N391" s="85"/>
      <c r="O391" s="29"/>
      <c r="P391" s="307"/>
      <c r="Q391" s="15"/>
      <c r="R391" s="15"/>
      <c r="S391" s="15"/>
      <c r="T391" s="15"/>
      <c r="U391" s="243"/>
      <c r="V391" s="243"/>
      <c r="W391" s="243"/>
    </row>
    <row r="392">
      <c r="A392" s="34"/>
      <c r="B392" s="15"/>
      <c r="C392" s="15"/>
      <c r="D392" s="15"/>
      <c r="E392" s="17"/>
      <c r="F392" s="15"/>
      <c r="G392" s="250"/>
      <c r="H392" s="243"/>
      <c r="I392" s="243"/>
      <c r="J392" s="243"/>
      <c r="K392" s="85"/>
      <c r="L392" s="85"/>
      <c r="M392" s="85"/>
      <c r="N392" s="85"/>
      <c r="O392" s="29"/>
      <c r="P392" s="307"/>
      <c r="Q392" s="15"/>
      <c r="R392" s="15"/>
      <c r="S392" s="15"/>
      <c r="T392" s="15"/>
      <c r="U392" s="243"/>
      <c r="V392" s="243"/>
      <c r="W392" s="243"/>
    </row>
    <row r="393">
      <c r="A393" s="34"/>
      <c r="B393" s="15"/>
      <c r="C393" s="15"/>
      <c r="D393" s="15"/>
      <c r="E393" s="17"/>
      <c r="F393" s="15"/>
      <c r="G393" s="250"/>
      <c r="H393" s="243"/>
      <c r="I393" s="243"/>
      <c r="J393" s="243"/>
      <c r="K393" s="85"/>
      <c r="L393" s="85"/>
      <c r="M393" s="85"/>
      <c r="N393" s="85"/>
      <c r="O393" s="29"/>
      <c r="P393" s="307"/>
      <c r="Q393" s="15"/>
      <c r="R393" s="15"/>
      <c r="S393" s="15"/>
      <c r="T393" s="15"/>
      <c r="U393" s="243"/>
      <c r="V393" s="243"/>
      <c r="W393" s="243"/>
    </row>
    <row r="394">
      <c r="A394" s="34"/>
      <c r="B394" s="15"/>
      <c r="C394" s="15"/>
      <c r="D394" s="15"/>
      <c r="E394" s="17"/>
      <c r="F394" s="15"/>
      <c r="G394" s="250"/>
      <c r="H394" s="243"/>
      <c r="I394" s="243"/>
      <c r="J394" s="243"/>
      <c r="K394" s="85"/>
      <c r="L394" s="85"/>
      <c r="M394" s="85"/>
      <c r="N394" s="85"/>
      <c r="O394" s="29"/>
      <c r="P394" s="307"/>
      <c r="Q394" s="15"/>
      <c r="R394" s="15"/>
      <c r="S394" s="15"/>
      <c r="T394" s="15"/>
      <c r="U394" s="243"/>
      <c r="V394" s="243"/>
      <c r="W394" s="243"/>
    </row>
    <row r="395">
      <c r="A395" s="34"/>
      <c r="B395" s="15"/>
      <c r="C395" s="15"/>
      <c r="D395" s="15"/>
      <c r="E395" s="17"/>
      <c r="F395" s="15"/>
      <c r="G395" s="250"/>
      <c r="H395" s="243"/>
      <c r="I395" s="243"/>
      <c r="J395" s="243"/>
      <c r="K395" s="85"/>
      <c r="L395" s="85"/>
      <c r="M395" s="85"/>
      <c r="N395" s="85"/>
      <c r="O395" s="29"/>
      <c r="P395" s="307"/>
      <c r="Q395" s="15"/>
      <c r="R395" s="15"/>
      <c r="S395" s="15"/>
      <c r="T395" s="15"/>
      <c r="U395" s="243"/>
      <c r="V395" s="243"/>
      <c r="W395" s="243"/>
    </row>
    <row r="396">
      <c r="A396" s="34"/>
      <c r="B396" s="15"/>
      <c r="C396" s="15"/>
      <c r="D396" s="15"/>
      <c r="E396" s="17"/>
      <c r="F396" s="15"/>
      <c r="G396" s="250"/>
      <c r="H396" s="243"/>
      <c r="I396" s="243"/>
      <c r="J396" s="243"/>
      <c r="K396" s="85"/>
      <c r="L396" s="85"/>
      <c r="M396" s="85"/>
      <c r="N396" s="85"/>
      <c r="O396" s="29"/>
      <c r="P396" s="307"/>
      <c r="Q396" s="15"/>
      <c r="R396" s="15"/>
      <c r="S396" s="15"/>
      <c r="T396" s="15"/>
      <c r="U396" s="243"/>
      <c r="V396" s="243"/>
      <c r="W396" s="243"/>
    </row>
    <row r="397">
      <c r="A397" s="34"/>
      <c r="B397" s="15"/>
      <c r="C397" s="15"/>
      <c r="D397" s="15"/>
      <c r="E397" s="17"/>
      <c r="F397" s="15"/>
      <c r="G397" s="250"/>
      <c r="H397" s="243"/>
      <c r="I397" s="243"/>
      <c r="J397" s="243"/>
      <c r="K397" s="85"/>
      <c r="L397" s="85"/>
      <c r="M397" s="85"/>
      <c r="N397" s="85"/>
      <c r="O397" s="29"/>
      <c r="P397" s="307"/>
      <c r="Q397" s="15"/>
      <c r="R397" s="15"/>
      <c r="S397" s="15"/>
      <c r="T397" s="15"/>
      <c r="U397" s="243"/>
      <c r="V397" s="243"/>
      <c r="W397" s="243"/>
    </row>
    <row r="398">
      <c r="A398" s="34"/>
      <c r="B398" s="15"/>
      <c r="C398" s="15"/>
      <c r="D398" s="15"/>
      <c r="E398" s="17"/>
      <c r="F398" s="15"/>
      <c r="G398" s="250"/>
      <c r="H398" s="243"/>
      <c r="I398" s="243"/>
      <c r="J398" s="243"/>
      <c r="K398" s="85"/>
      <c r="L398" s="85"/>
      <c r="M398" s="85"/>
      <c r="N398" s="85"/>
      <c r="O398" s="29"/>
      <c r="P398" s="307"/>
      <c r="Q398" s="15"/>
      <c r="R398" s="15"/>
      <c r="S398" s="15"/>
      <c r="T398" s="15"/>
      <c r="U398" s="243"/>
      <c r="V398" s="243"/>
      <c r="W398" s="243"/>
    </row>
    <row r="399">
      <c r="A399" s="34"/>
      <c r="B399" s="15"/>
      <c r="C399" s="15"/>
      <c r="D399" s="15"/>
      <c r="E399" s="17"/>
      <c r="F399" s="15"/>
      <c r="G399" s="250"/>
      <c r="H399" s="243"/>
      <c r="I399" s="243"/>
      <c r="J399" s="243"/>
      <c r="K399" s="85"/>
      <c r="L399" s="85"/>
      <c r="M399" s="85"/>
      <c r="N399" s="85"/>
      <c r="O399" s="29"/>
      <c r="P399" s="307"/>
      <c r="Q399" s="15"/>
      <c r="R399" s="15"/>
      <c r="S399" s="15"/>
      <c r="T399" s="15"/>
      <c r="U399" s="243"/>
      <c r="V399" s="243"/>
      <c r="W399" s="243"/>
    </row>
    <row r="400">
      <c r="A400" s="34"/>
      <c r="B400" s="15"/>
      <c r="C400" s="15"/>
      <c r="D400" s="15"/>
      <c r="E400" s="17"/>
      <c r="F400" s="15"/>
      <c r="G400" s="250"/>
      <c r="H400" s="243"/>
      <c r="I400" s="243"/>
      <c r="J400" s="243"/>
      <c r="K400" s="85"/>
      <c r="L400" s="85"/>
      <c r="M400" s="85"/>
      <c r="N400" s="85"/>
      <c r="O400" s="29"/>
      <c r="P400" s="307"/>
      <c r="Q400" s="15"/>
      <c r="R400" s="15"/>
      <c r="S400" s="15"/>
      <c r="T400" s="15"/>
      <c r="U400" s="243"/>
      <c r="V400" s="243"/>
      <c r="W400" s="243"/>
    </row>
    <row r="401">
      <c r="A401" s="34"/>
      <c r="B401" s="15"/>
      <c r="C401" s="15"/>
      <c r="D401" s="15"/>
      <c r="E401" s="17"/>
      <c r="F401" s="15"/>
      <c r="G401" s="250"/>
      <c r="H401" s="243"/>
      <c r="I401" s="243"/>
      <c r="J401" s="243"/>
      <c r="K401" s="85"/>
      <c r="L401" s="85"/>
      <c r="M401" s="85"/>
      <c r="N401" s="85"/>
      <c r="O401" s="29"/>
      <c r="P401" s="307"/>
      <c r="Q401" s="15"/>
      <c r="R401" s="15"/>
      <c r="S401" s="15"/>
      <c r="T401" s="15"/>
      <c r="U401" s="243"/>
      <c r="V401" s="243"/>
      <c r="W401" s="243"/>
    </row>
    <row r="402">
      <c r="A402" s="34"/>
      <c r="B402" s="15"/>
      <c r="C402" s="15"/>
      <c r="D402" s="15"/>
      <c r="E402" s="17"/>
      <c r="F402" s="15"/>
      <c r="G402" s="250"/>
      <c r="H402" s="243"/>
      <c r="I402" s="243"/>
      <c r="J402" s="243"/>
      <c r="K402" s="85"/>
      <c r="L402" s="85"/>
      <c r="M402" s="85"/>
      <c r="N402" s="85"/>
      <c r="O402" s="29"/>
      <c r="P402" s="307"/>
      <c r="Q402" s="15"/>
      <c r="R402" s="15"/>
      <c r="S402" s="15"/>
      <c r="T402" s="15"/>
      <c r="U402" s="243"/>
      <c r="V402" s="243"/>
      <c r="W402" s="243"/>
    </row>
    <row r="403">
      <c r="A403" s="34"/>
      <c r="B403" s="15"/>
      <c r="C403" s="15"/>
      <c r="D403" s="15"/>
      <c r="E403" s="17"/>
      <c r="F403" s="15"/>
      <c r="G403" s="250"/>
      <c r="H403" s="243"/>
      <c r="I403" s="243"/>
      <c r="J403" s="243"/>
      <c r="K403" s="85"/>
      <c r="L403" s="85"/>
      <c r="M403" s="85"/>
      <c r="N403" s="85"/>
      <c r="O403" s="29"/>
      <c r="P403" s="307"/>
      <c r="Q403" s="15"/>
      <c r="R403" s="15"/>
      <c r="S403" s="15"/>
      <c r="T403" s="15"/>
      <c r="U403" s="243"/>
      <c r="V403" s="243"/>
      <c r="W403" s="243"/>
    </row>
    <row r="404">
      <c r="A404" s="34"/>
      <c r="B404" s="15"/>
      <c r="C404" s="15"/>
      <c r="D404" s="15"/>
      <c r="E404" s="17"/>
      <c r="F404" s="15"/>
      <c r="G404" s="250"/>
      <c r="H404" s="243"/>
      <c r="I404" s="243"/>
      <c r="J404" s="243"/>
      <c r="K404" s="85"/>
      <c r="L404" s="85"/>
      <c r="M404" s="85"/>
      <c r="N404" s="85"/>
      <c r="O404" s="29"/>
      <c r="P404" s="307"/>
      <c r="Q404" s="15"/>
      <c r="R404" s="15"/>
      <c r="S404" s="15"/>
      <c r="T404" s="15"/>
      <c r="U404" s="243"/>
      <c r="V404" s="243"/>
      <c r="W404" s="243"/>
    </row>
    <row r="405">
      <c r="A405" s="34"/>
      <c r="B405" s="15"/>
      <c r="C405" s="15"/>
      <c r="D405" s="15"/>
      <c r="E405" s="17"/>
      <c r="F405" s="15"/>
      <c r="G405" s="250"/>
      <c r="H405" s="243"/>
      <c r="I405" s="243"/>
      <c r="J405" s="243"/>
      <c r="K405" s="85"/>
      <c r="L405" s="85"/>
      <c r="M405" s="85"/>
      <c r="N405" s="85"/>
      <c r="O405" s="29"/>
      <c r="P405" s="307"/>
      <c r="Q405" s="15"/>
      <c r="R405" s="15"/>
      <c r="S405" s="15"/>
      <c r="T405" s="15"/>
      <c r="U405" s="243"/>
      <c r="V405" s="243"/>
      <c r="W405" s="243"/>
    </row>
    <row r="406">
      <c r="A406" s="34"/>
      <c r="B406" s="15"/>
      <c r="C406" s="15"/>
      <c r="D406" s="15"/>
      <c r="E406" s="17"/>
      <c r="F406" s="15"/>
      <c r="G406" s="250"/>
      <c r="H406" s="243"/>
      <c r="I406" s="243"/>
      <c r="J406" s="243"/>
      <c r="K406" s="85"/>
      <c r="L406" s="85"/>
      <c r="M406" s="85"/>
      <c r="N406" s="85"/>
      <c r="O406" s="29"/>
      <c r="P406" s="307"/>
      <c r="Q406" s="15"/>
      <c r="R406" s="15"/>
      <c r="S406" s="15"/>
      <c r="T406" s="15"/>
      <c r="U406" s="243"/>
      <c r="V406" s="243"/>
      <c r="W406" s="243"/>
    </row>
    <row r="407">
      <c r="A407" s="34"/>
      <c r="B407" s="15"/>
      <c r="C407" s="15"/>
      <c r="D407" s="15"/>
      <c r="E407" s="17"/>
      <c r="F407" s="15"/>
      <c r="G407" s="250"/>
      <c r="H407" s="243"/>
      <c r="I407" s="243"/>
      <c r="J407" s="243"/>
      <c r="K407" s="85"/>
      <c r="L407" s="85"/>
      <c r="M407" s="85"/>
      <c r="N407" s="85"/>
      <c r="O407" s="29"/>
      <c r="P407" s="307"/>
      <c r="Q407" s="15"/>
      <c r="R407" s="15"/>
      <c r="S407" s="15"/>
      <c r="T407" s="15"/>
      <c r="U407" s="243"/>
      <c r="V407" s="243"/>
      <c r="W407" s="243"/>
    </row>
    <row r="408">
      <c r="A408" s="34"/>
      <c r="B408" s="15"/>
      <c r="C408" s="15"/>
      <c r="D408" s="15"/>
      <c r="E408" s="17"/>
      <c r="F408" s="15"/>
      <c r="G408" s="250"/>
      <c r="H408" s="243"/>
      <c r="I408" s="243"/>
      <c r="J408" s="243"/>
      <c r="K408" s="85"/>
      <c r="L408" s="85"/>
      <c r="M408" s="85"/>
      <c r="N408" s="85"/>
      <c r="O408" s="29"/>
      <c r="P408" s="307"/>
      <c r="Q408" s="15"/>
      <c r="R408" s="15"/>
      <c r="S408" s="15"/>
      <c r="T408" s="15"/>
      <c r="U408" s="243"/>
      <c r="V408" s="243"/>
      <c r="W408" s="243"/>
    </row>
    <row r="409">
      <c r="A409" s="34"/>
      <c r="B409" s="15"/>
      <c r="C409" s="15"/>
      <c r="D409" s="15"/>
      <c r="E409" s="17"/>
      <c r="F409" s="15"/>
      <c r="G409" s="250"/>
      <c r="H409" s="243"/>
      <c r="I409" s="243"/>
      <c r="J409" s="243"/>
      <c r="K409" s="85"/>
      <c r="L409" s="85"/>
      <c r="M409" s="85"/>
      <c r="N409" s="85"/>
      <c r="O409" s="29"/>
      <c r="P409" s="307"/>
      <c r="Q409" s="15"/>
      <c r="R409" s="15"/>
      <c r="S409" s="15"/>
      <c r="T409" s="15"/>
      <c r="U409" s="243"/>
      <c r="V409" s="243"/>
      <c r="W409" s="243"/>
    </row>
    <row r="410">
      <c r="A410" s="34"/>
      <c r="B410" s="15"/>
      <c r="C410" s="15"/>
      <c r="D410" s="15"/>
      <c r="E410" s="17"/>
      <c r="F410" s="15"/>
      <c r="G410" s="250"/>
      <c r="H410" s="243"/>
      <c r="I410" s="243"/>
      <c r="J410" s="243"/>
      <c r="K410" s="85"/>
      <c r="L410" s="85"/>
      <c r="M410" s="85"/>
      <c r="N410" s="85"/>
      <c r="O410" s="29"/>
      <c r="P410" s="307"/>
      <c r="Q410" s="15"/>
      <c r="R410" s="15"/>
      <c r="S410" s="15"/>
      <c r="T410" s="15"/>
      <c r="U410" s="243"/>
      <c r="V410" s="243"/>
      <c r="W410" s="243"/>
    </row>
    <row r="411">
      <c r="A411" s="34"/>
      <c r="B411" s="15"/>
      <c r="C411" s="15"/>
      <c r="D411" s="15"/>
      <c r="E411" s="17"/>
      <c r="F411" s="15"/>
      <c r="G411" s="250"/>
      <c r="H411" s="243"/>
      <c r="I411" s="243"/>
      <c r="J411" s="243"/>
      <c r="K411" s="85"/>
      <c r="L411" s="85"/>
      <c r="M411" s="85"/>
      <c r="N411" s="85"/>
      <c r="O411" s="29"/>
      <c r="P411" s="307"/>
      <c r="Q411" s="15"/>
      <c r="R411" s="15"/>
      <c r="S411" s="15"/>
      <c r="T411" s="15"/>
      <c r="U411" s="243"/>
      <c r="V411" s="243"/>
      <c r="W411" s="243"/>
    </row>
    <row r="412">
      <c r="A412" s="34"/>
      <c r="B412" s="15"/>
      <c r="C412" s="15"/>
      <c r="D412" s="15"/>
      <c r="E412" s="17"/>
      <c r="F412" s="15"/>
      <c r="G412" s="250"/>
      <c r="H412" s="243"/>
      <c r="I412" s="243"/>
      <c r="J412" s="243"/>
      <c r="K412" s="85"/>
      <c r="L412" s="85"/>
      <c r="M412" s="85"/>
      <c r="N412" s="85"/>
      <c r="O412" s="29"/>
      <c r="P412" s="307"/>
      <c r="Q412" s="15"/>
      <c r="R412" s="15"/>
      <c r="S412" s="15"/>
      <c r="T412" s="15"/>
      <c r="U412" s="243"/>
      <c r="V412" s="243"/>
      <c r="W412" s="243"/>
    </row>
    <row r="413">
      <c r="A413" s="34"/>
      <c r="B413" s="15"/>
      <c r="C413" s="15"/>
      <c r="D413" s="15"/>
      <c r="E413" s="17"/>
      <c r="F413" s="15"/>
      <c r="G413" s="250"/>
      <c r="H413" s="243"/>
      <c r="I413" s="243"/>
      <c r="J413" s="243"/>
      <c r="K413" s="85"/>
      <c r="L413" s="85"/>
      <c r="M413" s="85"/>
      <c r="N413" s="85"/>
      <c r="O413" s="29"/>
      <c r="P413" s="307"/>
      <c r="Q413" s="15"/>
      <c r="R413" s="15"/>
      <c r="S413" s="15"/>
      <c r="T413" s="15"/>
      <c r="U413" s="243"/>
      <c r="V413" s="243"/>
      <c r="W413" s="243"/>
    </row>
    <row r="414">
      <c r="A414" s="34"/>
      <c r="B414" s="15"/>
      <c r="C414" s="15"/>
      <c r="D414" s="15"/>
      <c r="E414" s="17"/>
      <c r="F414" s="15"/>
      <c r="G414" s="250"/>
      <c r="H414" s="243"/>
      <c r="I414" s="243"/>
      <c r="J414" s="243"/>
      <c r="K414" s="85"/>
      <c r="L414" s="85"/>
      <c r="M414" s="85"/>
      <c r="N414" s="85"/>
      <c r="O414" s="29"/>
      <c r="P414" s="307"/>
      <c r="Q414" s="15"/>
      <c r="R414" s="15"/>
      <c r="S414" s="15"/>
      <c r="T414" s="15"/>
      <c r="U414" s="243"/>
      <c r="V414" s="243"/>
      <c r="W414" s="243"/>
    </row>
    <row r="415">
      <c r="A415" s="34"/>
      <c r="B415" s="15"/>
      <c r="C415" s="15"/>
      <c r="D415" s="15"/>
      <c r="E415" s="17"/>
      <c r="F415" s="15"/>
      <c r="G415" s="250"/>
      <c r="H415" s="243"/>
      <c r="I415" s="243"/>
      <c r="J415" s="243"/>
      <c r="K415" s="85"/>
      <c r="L415" s="85"/>
      <c r="M415" s="85"/>
      <c r="N415" s="85"/>
      <c r="O415" s="29"/>
      <c r="P415" s="307"/>
      <c r="Q415" s="15"/>
      <c r="R415" s="15"/>
      <c r="S415" s="15"/>
      <c r="T415" s="15"/>
      <c r="U415" s="243"/>
      <c r="V415" s="243"/>
      <c r="W415" s="243"/>
    </row>
    <row r="416">
      <c r="A416" s="34"/>
      <c r="B416" s="15"/>
      <c r="C416" s="15"/>
      <c r="D416" s="15"/>
      <c r="E416" s="17"/>
      <c r="F416" s="15"/>
      <c r="G416" s="250"/>
      <c r="H416" s="243"/>
      <c r="I416" s="243"/>
      <c r="J416" s="243"/>
      <c r="K416" s="85"/>
      <c r="L416" s="85"/>
      <c r="M416" s="85"/>
      <c r="N416" s="85"/>
      <c r="O416" s="29"/>
      <c r="P416" s="307"/>
      <c r="Q416" s="15"/>
      <c r="R416" s="15"/>
      <c r="S416" s="15"/>
      <c r="T416" s="15"/>
      <c r="U416" s="243"/>
      <c r="V416" s="243"/>
      <c r="W416" s="243"/>
    </row>
    <row r="417">
      <c r="A417" s="34"/>
      <c r="B417" s="15"/>
      <c r="C417" s="15"/>
      <c r="D417" s="15"/>
      <c r="E417" s="17"/>
      <c r="F417" s="15"/>
      <c r="G417" s="250"/>
      <c r="H417" s="243"/>
      <c r="I417" s="243"/>
      <c r="J417" s="243"/>
      <c r="K417" s="85"/>
      <c r="L417" s="85"/>
      <c r="M417" s="85"/>
      <c r="N417" s="85"/>
      <c r="O417" s="29"/>
      <c r="P417" s="307"/>
      <c r="Q417" s="15"/>
      <c r="R417" s="15"/>
      <c r="S417" s="15"/>
      <c r="T417" s="15"/>
      <c r="U417" s="243"/>
      <c r="V417" s="243"/>
      <c r="W417" s="243"/>
    </row>
    <row r="418">
      <c r="A418" s="34"/>
      <c r="B418" s="15"/>
      <c r="C418" s="15"/>
      <c r="D418" s="15"/>
      <c r="E418" s="17"/>
      <c r="F418" s="15"/>
      <c r="G418" s="250"/>
      <c r="H418" s="243"/>
      <c r="I418" s="243"/>
      <c r="J418" s="243"/>
      <c r="K418" s="85"/>
      <c r="L418" s="85"/>
      <c r="M418" s="85"/>
      <c r="N418" s="85"/>
      <c r="O418" s="29"/>
      <c r="P418" s="307"/>
      <c r="Q418" s="15"/>
      <c r="R418" s="15"/>
      <c r="S418" s="15"/>
      <c r="T418" s="15"/>
      <c r="U418" s="243"/>
      <c r="V418" s="243"/>
      <c r="W418" s="243"/>
    </row>
    <row r="419">
      <c r="A419" s="34"/>
      <c r="B419" s="15"/>
      <c r="C419" s="15"/>
      <c r="D419" s="15"/>
      <c r="E419" s="17"/>
      <c r="F419" s="15"/>
      <c r="G419" s="250"/>
      <c r="H419" s="243"/>
      <c r="I419" s="243"/>
      <c r="J419" s="243"/>
      <c r="K419" s="85"/>
      <c r="L419" s="85"/>
      <c r="M419" s="85"/>
      <c r="N419" s="85"/>
      <c r="O419" s="29"/>
      <c r="P419" s="307"/>
      <c r="Q419" s="15"/>
      <c r="R419" s="15"/>
      <c r="S419" s="15"/>
      <c r="T419" s="15"/>
      <c r="U419" s="243"/>
      <c r="V419" s="243"/>
      <c r="W419" s="243"/>
    </row>
    <row r="420">
      <c r="A420" s="34"/>
      <c r="B420" s="15"/>
      <c r="C420" s="15"/>
      <c r="D420" s="15"/>
      <c r="E420" s="17"/>
      <c r="F420" s="15"/>
      <c r="G420" s="250"/>
      <c r="H420" s="243"/>
      <c r="I420" s="243"/>
      <c r="J420" s="243"/>
      <c r="K420" s="85"/>
      <c r="L420" s="85"/>
      <c r="M420" s="85"/>
      <c r="N420" s="85"/>
      <c r="O420" s="29"/>
      <c r="P420" s="307"/>
      <c r="Q420" s="15"/>
      <c r="R420" s="15"/>
      <c r="S420" s="15"/>
      <c r="T420" s="15"/>
      <c r="U420" s="243"/>
      <c r="V420" s="243"/>
      <c r="W420" s="243"/>
    </row>
    <row r="421">
      <c r="A421" s="34"/>
      <c r="B421" s="15"/>
      <c r="C421" s="15"/>
      <c r="D421" s="15"/>
      <c r="E421" s="17"/>
      <c r="F421" s="15"/>
      <c r="G421" s="250"/>
      <c r="H421" s="243"/>
      <c r="I421" s="243"/>
      <c r="J421" s="243"/>
      <c r="K421" s="85"/>
      <c r="L421" s="85"/>
      <c r="M421" s="85"/>
      <c r="N421" s="85"/>
      <c r="O421" s="29"/>
      <c r="P421" s="307"/>
      <c r="Q421" s="15"/>
      <c r="R421" s="15"/>
      <c r="S421" s="15"/>
      <c r="T421" s="15"/>
      <c r="U421" s="243"/>
      <c r="V421" s="243"/>
      <c r="W421" s="243"/>
    </row>
    <row r="422">
      <c r="A422" s="34"/>
      <c r="B422" s="15"/>
      <c r="C422" s="15"/>
      <c r="D422" s="15"/>
      <c r="E422" s="17"/>
      <c r="F422" s="15"/>
      <c r="G422" s="250"/>
      <c r="H422" s="243"/>
      <c r="I422" s="243"/>
      <c r="J422" s="243"/>
      <c r="K422" s="85"/>
      <c r="L422" s="85"/>
      <c r="M422" s="85"/>
      <c r="N422" s="85"/>
      <c r="O422" s="29"/>
      <c r="P422" s="307"/>
      <c r="Q422" s="15"/>
      <c r="R422" s="15"/>
      <c r="S422" s="15"/>
      <c r="T422" s="15"/>
      <c r="U422" s="243"/>
      <c r="V422" s="243"/>
      <c r="W422" s="243"/>
    </row>
    <row r="423">
      <c r="A423" s="34"/>
      <c r="B423" s="15"/>
      <c r="C423" s="15"/>
      <c r="D423" s="15"/>
      <c r="E423" s="17"/>
      <c r="F423" s="15"/>
      <c r="G423" s="250"/>
      <c r="H423" s="243"/>
      <c r="I423" s="243"/>
      <c r="J423" s="243"/>
      <c r="K423" s="85"/>
      <c r="L423" s="85"/>
      <c r="M423" s="85"/>
      <c r="N423" s="85"/>
      <c r="O423" s="29"/>
      <c r="P423" s="307"/>
      <c r="Q423" s="15"/>
      <c r="R423" s="15"/>
      <c r="S423" s="15"/>
      <c r="T423" s="15"/>
      <c r="U423" s="243"/>
      <c r="V423" s="243"/>
      <c r="W423" s="243"/>
    </row>
    <row r="424">
      <c r="A424" s="34"/>
      <c r="B424" s="15"/>
      <c r="C424" s="15"/>
      <c r="D424" s="15"/>
      <c r="E424" s="17"/>
      <c r="F424" s="15"/>
      <c r="G424" s="250"/>
      <c r="H424" s="243"/>
      <c r="I424" s="243"/>
      <c r="J424" s="243"/>
      <c r="K424" s="85"/>
      <c r="L424" s="85"/>
      <c r="M424" s="85"/>
      <c r="N424" s="85"/>
      <c r="O424" s="29"/>
      <c r="P424" s="307"/>
      <c r="Q424" s="15"/>
      <c r="R424" s="15"/>
      <c r="S424" s="15"/>
      <c r="T424" s="15"/>
      <c r="U424" s="243"/>
      <c r="V424" s="243"/>
      <c r="W424" s="243"/>
    </row>
    <row r="425">
      <c r="A425" s="34"/>
      <c r="B425" s="15"/>
      <c r="C425" s="15"/>
      <c r="D425" s="15"/>
      <c r="E425" s="17"/>
      <c r="F425" s="15"/>
      <c r="G425" s="250"/>
      <c r="H425" s="243"/>
      <c r="I425" s="243"/>
      <c r="J425" s="243"/>
      <c r="K425" s="85"/>
      <c r="L425" s="85"/>
      <c r="M425" s="85"/>
      <c r="N425" s="85"/>
      <c r="O425" s="29"/>
      <c r="P425" s="307"/>
      <c r="Q425" s="15"/>
      <c r="R425" s="15"/>
      <c r="S425" s="15"/>
      <c r="T425" s="15"/>
      <c r="U425" s="243"/>
      <c r="V425" s="243"/>
      <c r="W425" s="243"/>
    </row>
    <row r="426">
      <c r="A426" s="34"/>
      <c r="B426" s="15"/>
      <c r="C426" s="15"/>
      <c r="D426" s="15"/>
      <c r="E426" s="17"/>
      <c r="F426" s="15"/>
      <c r="G426" s="250"/>
      <c r="H426" s="243"/>
      <c r="I426" s="243"/>
      <c r="J426" s="243"/>
      <c r="K426" s="85"/>
      <c r="L426" s="85"/>
      <c r="M426" s="85"/>
      <c r="N426" s="85"/>
      <c r="O426" s="29"/>
      <c r="P426" s="307"/>
      <c r="Q426" s="15"/>
      <c r="R426" s="15"/>
      <c r="S426" s="15"/>
      <c r="T426" s="15"/>
      <c r="U426" s="243"/>
      <c r="V426" s="243"/>
      <c r="W426" s="243"/>
    </row>
    <row r="427">
      <c r="A427" s="34"/>
      <c r="B427" s="15"/>
      <c r="C427" s="15"/>
      <c r="D427" s="15"/>
      <c r="E427" s="17"/>
      <c r="F427" s="15"/>
      <c r="G427" s="250"/>
      <c r="H427" s="243"/>
      <c r="I427" s="243"/>
      <c r="J427" s="243"/>
      <c r="K427" s="85"/>
      <c r="L427" s="85"/>
      <c r="M427" s="85"/>
      <c r="N427" s="85"/>
      <c r="O427" s="29"/>
      <c r="P427" s="307"/>
      <c r="Q427" s="15"/>
      <c r="R427" s="15"/>
      <c r="S427" s="15"/>
      <c r="T427" s="15"/>
      <c r="U427" s="243"/>
      <c r="V427" s="243"/>
      <c r="W427" s="243"/>
    </row>
    <row r="428">
      <c r="A428" s="34"/>
      <c r="B428" s="15"/>
      <c r="C428" s="15"/>
      <c r="D428" s="15"/>
      <c r="E428" s="17"/>
      <c r="F428" s="15"/>
      <c r="G428" s="250"/>
      <c r="H428" s="243"/>
      <c r="I428" s="243"/>
      <c r="J428" s="243"/>
      <c r="K428" s="85"/>
      <c r="L428" s="85"/>
      <c r="M428" s="85"/>
      <c r="N428" s="85"/>
      <c r="O428" s="29"/>
      <c r="P428" s="307"/>
      <c r="Q428" s="15"/>
      <c r="R428" s="15"/>
      <c r="S428" s="15"/>
      <c r="T428" s="15"/>
      <c r="U428" s="243"/>
      <c r="V428" s="243"/>
      <c r="W428" s="243"/>
    </row>
    <row r="429">
      <c r="A429" s="34"/>
      <c r="B429" s="15"/>
      <c r="C429" s="15"/>
      <c r="D429" s="15"/>
      <c r="E429" s="17"/>
      <c r="F429" s="15"/>
      <c r="G429" s="250"/>
      <c r="H429" s="243"/>
      <c r="I429" s="243"/>
      <c r="J429" s="243"/>
      <c r="K429" s="85"/>
      <c r="L429" s="85"/>
      <c r="M429" s="85"/>
      <c r="N429" s="85"/>
      <c r="O429" s="29"/>
      <c r="P429" s="307"/>
      <c r="Q429" s="15"/>
      <c r="R429" s="15"/>
      <c r="S429" s="15"/>
      <c r="T429" s="15"/>
      <c r="U429" s="243"/>
      <c r="V429" s="243"/>
      <c r="W429" s="243"/>
    </row>
    <row r="430">
      <c r="A430" s="34"/>
      <c r="B430" s="15"/>
      <c r="C430" s="15"/>
      <c r="D430" s="15"/>
      <c r="E430" s="17"/>
      <c r="F430" s="15"/>
      <c r="G430" s="250"/>
      <c r="H430" s="243"/>
      <c r="I430" s="243"/>
      <c r="J430" s="243"/>
      <c r="K430" s="85"/>
      <c r="L430" s="85"/>
      <c r="M430" s="85"/>
      <c r="N430" s="85"/>
      <c r="O430" s="29"/>
      <c r="P430" s="307"/>
      <c r="Q430" s="15"/>
      <c r="R430" s="15"/>
      <c r="S430" s="15"/>
      <c r="T430" s="15"/>
      <c r="U430" s="243"/>
      <c r="V430" s="243"/>
      <c r="W430" s="243"/>
    </row>
    <row r="431">
      <c r="A431" s="34"/>
      <c r="B431" s="15"/>
      <c r="C431" s="15"/>
      <c r="D431" s="15"/>
      <c r="E431" s="17"/>
      <c r="F431" s="15"/>
      <c r="G431" s="250"/>
      <c r="H431" s="243"/>
      <c r="I431" s="243"/>
      <c r="J431" s="243"/>
      <c r="K431" s="85"/>
      <c r="L431" s="85"/>
      <c r="M431" s="85"/>
      <c r="N431" s="85"/>
      <c r="O431" s="29"/>
      <c r="P431" s="307"/>
      <c r="Q431" s="15"/>
      <c r="R431" s="15"/>
      <c r="S431" s="15"/>
      <c r="T431" s="15"/>
      <c r="U431" s="243"/>
      <c r="V431" s="243"/>
      <c r="W431" s="243"/>
    </row>
    <row r="432">
      <c r="A432" s="34"/>
      <c r="B432" s="15"/>
      <c r="C432" s="15"/>
      <c r="D432" s="15"/>
      <c r="E432" s="17"/>
      <c r="F432" s="15"/>
      <c r="G432" s="250"/>
      <c r="H432" s="243"/>
      <c r="I432" s="243"/>
      <c r="J432" s="243"/>
      <c r="K432" s="85"/>
      <c r="L432" s="85"/>
      <c r="M432" s="85"/>
      <c r="N432" s="85"/>
      <c r="O432" s="29"/>
      <c r="P432" s="307"/>
      <c r="Q432" s="15"/>
      <c r="R432" s="15"/>
      <c r="S432" s="15"/>
      <c r="T432" s="15"/>
      <c r="U432" s="243"/>
      <c r="V432" s="243"/>
      <c r="W432" s="243"/>
    </row>
    <row r="433">
      <c r="A433" s="34"/>
      <c r="B433" s="15"/>
      <c r="C433" s="15"/>
      <c r="D433" s="15"/>
      <c r="E433" s="17"/>
      <c r="F433" s="15"/>
      <c r="G433" s="250"/>
      <c r="H433" s="243"/>
      <c r="I433" s="243"/>
      <c r="J433" s="243"/>
      <c r="K433" s="85"/>
      <c r="L433" s="85"/>
      <c r="M433" s="85"/>
      <c r="N433" s="85"/>
      <c r="O433" s="29"/>
      <c r="P433" s="307"/>
      <c r="Q433" s="15"/>
      <c r="R433" s="15"/>
      <c r="S433" s="15"/>
      <c r="T433" s="15"/>
      <c r="U433" s="243"/>
      <c r="V433" s="243"/>
      <c r="W433" s="243"/>
    </row>
    <row r="434">
      <c r="A434" s="34"/>
      <c r="B434" s="15"/>
      <c r="C434" s="15"/>
      <c r="D434" s="15"/>
      <c r="E434" s="17"/>
      <c r="F434" s="15"/>
      <c r="G434" s="250"/>
      <c r="H434" s="243"/>
      <c r="I434" s="243"/>
      <c r="J434" s="243"/>
      <c r="K434" s="85"/>
      <c r="L434" s="85"/>
      <c r="M434" s="85"/>
      <c r="N434" s="85"/>
      <c r="O434" s="29"/>
      <c r="P434" s="307"/>
      <c r="Q434" s="15"/>
      <c r="R434" s="15"/>
      <c r="S434" s="15"/>
      <c r="T434" s="15"/>
      <c r="U434" s="243"/>
      <c r="V434" s="243"/>
      <c r="W434" s="243"/>
    </row>
    <row r="435">
      <c r="A435" s="34"/>
      <c r="B435" s="15"/>
      <c r="C435" s="15"/>
      <c r="D435" s="15"/>
      <c r="E435" s="17"/>
      <c r="F435" s="15"/>
      <c r="G435" s="250"/>
      <c r="H435" s="243"/>
      <c r="I435" s="243"/>
      <c r="J435" s="243"/>
      <c r="K435" s="85"/>
      <c r="L435" s="85"/>
      <c r="M435" s="85"/>
      <c r="N435" s="85"/>
      <c r="O435" s="29"/>
      <c r="P435" s="307"/>
      <c r="Q435" s="15"/>
      <c r="R435" s="15"/>
      <c r="S435" s="15"/>
      <c r="T435" s="15"/>
      <c r="U435" s="243"/>
      <c r="V435" s="243"/>
      <c r="W435" s="243"/>
    </row>
    <row r="436">
      <c r="A436" s="34"/>
      <c r="B436" s="15"/>
      <c r="C436" s="15"/>
      <c r="D436" s="15"/>
      <c r="E436" s="17"/>
      <c r="F436" s="15"/>
      <c r="G436" s="250"/>
      <c r="H436" s="243"/>
      <c r="I436" s="243"/>
      <c r="J436" s="243"/>
      <c r="K436" s="85"/>
      <c r="L436" s="85"/>
      <c r="M436" s="85"/>
      <c r="N436" s="85"/>
      <c r="O436" s="29"/>
      <c r="P436" s="307"/>
      <c r="Q436" s="15"/>
      <c r="R436" s="15"/>
      <c r="S436" s="15"/>
      <c r="T436" s="15"/>
      <c r="U436" s="243"/>
      <c r="V436" s="243"/>
      <c r="W436" s="243"/>
    </row>
    <row r="437">
      <c r="A437" s="34"/>
      <c r="B437" s="15"/>
      <c r="C437" s="15"/>
      <c r="D437" s="15"/>
      <c r="E437" s="17"/>
      <c r="F437" s="15"/>
      <c r="G437" s="250"/>
      <c r="H437" s="243"/>
      <c r="I437" s="243"/>
      <c r="J437" s="243"/>
      <c r="K437" s="85"/>
      <c r="L437" s="85"/>
      <c r="M437" s="85"/>
      <c r="N437" s="85"/>
      <c r="O437" s="29"/>
      <c r="P437" s="307"/>
      <c r="Q437" s="15"/>
      <c r="R437" s="15"/>
      <c r="S437" s="15"/>
      <c r="T437" s="15"/>
      <c r="U437" s="243"/>
      <c r="V437" s="243"/>
      <c r="W437" s="243"/>
    </row>
    <row r="438">
      <c r="A438" s="34"/>
      <c r="B438" s="15"/>
      <c r="C438" s="15"/>
      <c r="D438" s="15"/>
      <c r="E438" s="17"/>
      <c r="F438" s="15"/>
      <c r="G438" s="250"/>
      <c r="H438" s="243"/>
      <c r="I438" s="243"/>
      <c r="J438" s="243"/>
      <c r="K438" s="85"/>
      <c r="L438" s="85"/>
      <c r="M438" s="85"/>
      <c r="N438" s="85"/>
      <c r="O438" s="29"/>
      <c r="P438" s="307"/>
      <c r="Q438" s="15"/>
      <c r="R438" s="15"/>
      <c r="S438" s="15"/>
      <c r="T438" s="15"/>
      <c r="U438" s="243"/>
      <c r="V438" s="243"/>
      <c r="W438" s="243"/>
    </row>
    <row r="439">
      <c r="A439" s="34"/>
      <c r="B439" s="15"/>
      <c r="C439" s="15"/>
      <c r="D439" s="15"/>
      <c r="E439" s="17"/>
      <c r="F439" s="15"/>
      <c r="G439" s="250"/>
      <c r="H439" s="243"/>
      <c r="I439" s="243"/>
      <c r="J439" s="243"/>
      <c r="K439" s="85"/>
      <c r="L439" s="85"/>
      <c r="M439" s="85"/>
      <c r="N439" s="85"/>
      <c r="O439" s="29"/>
      <c r="P439" s="307"/>
      <c r="Q439" s="15"/>
      <c r="R439" s="15"/>
      <c r="S439" s="15"/>
      <c r="T439" s="15"/>
      <c r="U439" s="243"/>
      <c r="V439" s="243"/>
      <c r="W439" s="243"/>
    </row>
    <row r="440">
      <c r="A440" s="34"/>
      <c r="B440" s="15"/>
      <c r="C440" s="15"/>
      <c r="D440" s="15"/>
      <c r="E440" s="17"/>
      <c r="F440" s="15"/>
      <c r="G440" s="250"/>
      <c r="H440" s="243"/>
      <c r="I440" s="243"/>
      <c r="J440" s="243"/>
      <c r="K440" s="85"/>
      <c r="L440" s="85"/>
      <c r="M440" s="85"/>
      <c r="N440" s="85"/>
      <c r="O440" s="29"/>
      <c r="P440" s="307"/>
      <c r="Q440" s="15"/>
      <c r="R440" s="15"/>
      <c r="S440" s="15"/>
      <c r="T440" s="15"/>
      <c r="U440" s="243"/>
      <c r="V440" s="243"/>
      <c r="W440" s="243"/>
    </row>
    <row r="441">
      <c r="A441" s="34"/>
      <c r="B441" s="15"/>
      <c r="C441" s="15"/>
      <c r="D441" s="15"/>
      <c r="E441" s="17"/>
      <c r="F441" s="15"/>
      <c r="G441" s="250"/>
      <c r="H441" s="243"/>
      <c r="I441" s="243"/>
      <c r="J441" s="243"/>
      <c r="K441" s="85"/>
      <c r="L441" s="85"/>
      <c r="M441" s="85"/>
      <c r="N441" s="85"/>
      <c r="O441" s="29"/>
      <c r="P441" s="307"/>
      <c r="Q441" s="15"/>
      <c r="R441" s="15"/>
      <c r="S441" s="15"/>
      <c r="T441" s="15"/>
      <c r="U441" s="243"/>
      <c r="V441" s="243"/>
      <c r="W441" s="243"/>
    </row>
    <row r="442">
      <c r="A442" s="34"/>
      <c r="B442" s="15"/>
      <c r="C442" s="15"/>
      <c r="D442" s="15"/>
      <c r="E442" s="17"/>
      <c r="F442" s="15"/>
      <c r="G442" s="250"/>
      <c r="H442" s="243"/>
      <c r="I442" s="243"/>
      <c r="J442" s="243"/>
      <c r="K442" s="85"/>
      <c r="L442" s="85"/>
      <c r="M442" s="85"/>
      <c r="N442" s="85"/>
      <c r="O442" s="29"/>
      <c r="P442" s="307"/>
      <c r="Q442" s="15"/>
      <c r="R442" s="15"/>
      <c r="S442" s="15"/>
      <c r="T442" s="15"/>
      <c r="U442" s="243"/>
      <c r="V442" s="243"/>
      <c r="W442" s="243"/>
    </row>
    <row r="443">
      <c r="A443" s="34"/>
      <c r="B443" s="15"/>
      <c r="C443" s="15"/>
      <c r="D443" s="15"/>
      <c r="E443" s="17"/>
      <c r="F443" s="15"/>
      <c r="G443" s="250"/>
      <c r="H443" s="243"/>
      <c r="I443" s="243"/>
      <c r="J443" s="243"/>
      <c r="K443" s="85"/>
      <c r="L443" s="85"/>
      <c r="M443" s="85"/>
      <c r="N443" s="85"/>
      <c r="O443" s="29"/>
      <c r="P443" s="307"/>
      <c r="Q443" s="15"/>
      <c r="R443" s="15"/>
      <c r="S443" s="15"/>
      <c r="T443" s="15"/>
      <c r="U443" s="243"/>
      <c r="V443" s="243"/>
      <c r="W443" s="243"/>
    </row>
    <row r="444">
      <c r="A444" s="34"/>
      <c r="B444" s="15"/>
      <c r="C444" s="15"/>
      <c r="D444" s="15"/>
      <c r="E444" s="17"/>
      <c r="F444" s="15"/>
      <c r="G444" s="250"/>
      <c r="H444" s="243"/>
      <c r="I444" s="243"/>
      <c r="J444" s="243"/>
      <c r="K444" s="85"/>
      <c r="L444" s="85"/>
      <c r="M444" s="85"/>
      <c r="N444" s="85"/>
      <c r="O444" s="29"/>
      <c r="P444" s="307"/>
      <c r="Q444" s="15"/>
      <c r="R444" s="15"/>
      <c r="S444" s="15"/>
      <c r="T444" s="15"/>
      <c r="U444" s="243"/>
      <c r="V444" s="243"/>
      <c r="W444" s="243"/>
    </row>
    <row r="445">
      <c r="A445" s="34"/>
      <c r="B445" s="15"/>
      <c r="C445" s="15"/>
      <c r="D445" s="15"/>
      <c r="E445" s="17"/>
      <c r="F445" s="15"/>
      <c r="G445" s="250"/>
      <c r="H445" s="243"/>
      <c r="I445" s="243"/>
      <c r="J445" s="243"/>
      <c r="K445" s="85"/>
      <c r="L445" s="85"/>
      <c r="M445" s="85"/>
      <c r="N445" s="85"/>
      <c r="O445" s="29"/>
      <c r="P445" s="307"/>
      <c r="Q445" s="15"/>
      <c r="R445" s="15"/>
      <c r="S445" s="15"/>
      <c r="T445" s="15"/>
      <c r="U445" s="243"/>
      <c r="V445" s="243"/>
      <c r="W445" s="243"/>
    </row>
    <row r="446">
      <c r="A446" s="34"/>
      <c r="B446" s="15"/>
      <c r="C446" s="15"/>
      <c r="D446" s="15"/>
      <c r="E446" s="17"/>
      <c r="F446" s="15"/>
      <c r="G446" s="250"/>
      <c r="H446" s="243"/>
      <c r="I446" s="243"/>
      <c r="J446" s="243"/>
      <c r="K446" s="85"/>
      <c r="L446" s="85"/>
      <c r="M446" s="85"/>
      <c r="N446" s="85"/>
      <c r="O446" s="29"/>
      <c r="P446" s="307"/>
      <c r="Q446" s="15"/>
      <c r="R446" s="15"/>
      <c r="S446" s="15"/>
      <c r="T446" s="15"/>
      <c r="U446" s="243"/>
      <c r="V446" s="243"/>
      <c r="W446" s="243"/>
    </row>
    <row r="447">
      <c r="A447" s="34"/>
      <c r="B447" s="15"/>
      <c r="C447" s="15"/>
      <c r="D447" s="15"/>
      <c r="E447" s="17"/>
      <c r="F447" s="15"/>
      <c r="G447" s="250"/>
      <c r="H447" s="243"/>
      <c r="I447" s="243"/>
      <c r="J447" s="243"/>
      <c r="K447" s="85"/>
      <c r="L447" s="85"/>
      <c r="M447" s="85"/>
      <c r="N447" s="85"/>
      <c r="O447" s="29"/>
      <c r="P447" s="307"/>
      <c r="Q447" s="15"/>
      <c r="R447" s="15"/>
      <c r="S447" s="15"/>
      <c r="T447" s="15"/>
      <c r="U447" s="243"/>
      <c r="V447" s="243"/>
      <c r="W447" s="243"/>
    </row>
    <row r="448">
      <c r="A448" s="34"/>
      <c r="B448" s="15"/>
      <c r="C448" s="15"/>
      <c r="D448" s="15"/>
      <c r="E448" s="17"/>
      <c r="F448" s="15"/>
      <c r="G448" s="250"/>
      <c r="H448" s="243"/>
      <c r="I448" s="243"/>
      <c r="J448" s="243"/>
      <c r="K448" s="85"/>
      <c r="L448" s="85"/>
      <c r="M448" s="85"/>
      <c r="N448" s="85"/>
      <c r="O448" s="29"/>
      <c r="P448" s="307"/>
      <c r="Q448" s="15"/>
      <c r="R448" s="15"/>
      <c r="S448" s="15"/>
      <c r="T448" s="15"/>
      <c r="U448" s="243"/>
      <c r="V448" s="243"/>
      <c r="W448" s="243"/>
    </row>
    <row r="449">
      <c r="A449" s="34"/>
      <c r="B449" s="15"/>
      <c r="C449" s="15"/>
      <c r="D449" s="15"/>
      <c r="E449" s="17"/>
      <c r="F449" s="15"/>
      <c r="G449" s="250"/>
      <c r="H449" s="243"/>
      <c r="I449" s="243"/>
      <c r="J449" s="243"/>
      <c r="K449" s="85"/>
      <c r="L449" s="85"/>
      <c r="M449" s="85"/>
      <c r="N449" s="85"/>
      <c r="O449" s="29"/>
      <c r="P449" s="307"/>
      <c r="Q449" s="15"/>
      <c r="R449" s="15"/>
      <c r="S449" s="15"/>
      <c r="T449" s="15"/>
      <c r="U449" s="243"/>
      <c r="V449" s="243"/>
      <c r="W449" s="243"/>
    </row>
    <row r="450">
      <c r="A450" s="34"/>
      <c r="B450" s="15"/>
      <c r="C450" s="15"/>
      <c r="D450" s="15"/>
      <c r="E450" s="17"/>
      <c r="F450" s="15"/>
      <c r="G450" s="250"/>
      <c r="H450" s="243"/>
      <c r="I450" s="243"/>
      <c r="J450" s="243"/>
      <c r="K450" s="85"/>
      <c r="L450" s="85"/>
      <c r="M450" s="85"/>
      <c r="N450" s="85"/>
      <c r="O450" s="29"/>
      <c r="P450" s="307"/>
      <c r="Q450" s="15"/>
      <c r="R450" s="15"/>
      <c r="S450" s="15"/>
      <c r="T450" s="15"/>
      <c r="U450" s="243"/>
      <c r="V450" s="243"/>
      <c r="W450" s="243"/>
    </row>
    <row r="451">
      <c r="A451" s="34"/>
      <c r="B451" s="15"/>
      <c r="C451" s="15"/>
      <c r="D451" s="15"/>
      <c r="E451" s="17"/>
      <c r="F451" s="15"/>
      <c r="G451" s="250"/>
      <c r="H451" s="243"/>
      <c r="I451" s="243"/>
      <c r="J451" s="243"/>
      <c r="K451" s="85"/>
      <c r="L451" s="85"/>
      <c r="M451" s="85"/>
      <c r="N451" s="85"/>
      <c r="O451" s="29"/>
      <c r="P451" s="307"/>
      <c r="Q451" s="15"/>
      <c r="R451" s="15"/>
      <c r="S451" s="15"/>
      <c r="T451" s="15"/>
      <c r="U451" s="243"/>
      <c r="V451" s="243"/>
      <c r="W451" s="243"/>
    </row>
    <row r="452">
      <c r="A452" s="34"/>
      <c r="B452" s="15"/>
      <c r="C452" s="15"/>
      <c r="D452" s="15"/>
      <c r="E452" s="17"/>
      <c r="F452" s="15"/>
      <c r="G452" s="250"/>
      <c r="H452" s="243"/>
      <c r="I452" s="243"/>
      <c r="J452" s="243"/>
      <c r="K452" s="85"/>
      <c r="L452" s="85"/>
      <c r="M452" s="85"/>
      <c r="N452" s="85"/>
      <c r="O452" s="29"/>
      <c r="P452" s="307"/>
      <c r="Q452" s="15"/>
      <c r="R452" s="15"/>
      <c r="S452" s="15"/>
      <c r="T452" s="15"/>
      <c r="U452" s="243"/>
      <c r="V452" s="243"/>
      <c r="W452" s="243"/>
    </row>
    <row r="453">
      <c r="A453" s="34"/>
      <c r="B453" s="15"/>
      <c r="C453" s="15"/>
      <c r="D453" s="15"/>
      <c r="E453" s="17"/>
      <c r="F453" s="15"/>
      <c r="G453" s="250"/>
      <c r="H453" s="243"/>
      <c r="I453" s="243"/>
      <c r="J453" s="243"/>
      <c r="K453" s="85"/>
      <c r="L453" s="85"/>
      <c r="M453" s="85"/>
      <c r="N453" s="85"/>
      <c r="O453" s="29"/>
      <c r="P453" s="307"/>
      <c r="Q453" s="15"/>
      <c r="R453" s="15"/>
      <c r="S453" s="15"/>
      <c r="T453" s="15"/>
      <c r="U453" s="243"/>
      <c r="V453" s="243"/>
      <c r="W453" s="243"/>
    </row>
    <row r="454">
      <c r="A454" s="34"/>
      <c r="B454" s="15"/>
      <c r="C454" s="15"/>
      <c r="D454" s="15"/>
      <c r="E454" s="17"/>
      <c r="F454" s="15"/>
      <c r="G454" s="250"/>
      <c r="H454" s="243"/>
      <c r="I454" s="243"/>
      <c r="J454" s="243"/>
      <c r="K454" s="85"/>
      <c r="L454" s="85"/>
      <c r="M454" s="85"/>
      <c r="N454" s="85"/>
      <c r="O454" s="29"/>
      <c r="P454" s="307"/>
      <c r="Q454" s="15"/>
      <c r="R454" s="15"/>
      <c r="S454" s="15"/>
      <c r="T454" s="15"/>
      <c r="U454" s="243"/>
      <c r="V454" s="243"/>
      <c r="W454" s="243"/>
    </row>
    <row r="455">
      <c r="A455" s="34"/>
      <c r="B455" s="15"/>
      <c r="C455" s="15"/>
      <c r="D455" s="15"/>
      <c r="E455" s="17"/>
      <c r="F455" s="15"/>
      <c r="G455" s="250"/>
      <c r="H455" s="243"/>
      <c r="I455" s="243"/>
      <c r="J455" s="243"/>
      <c r="K455" s="85"/>
      <c r="L455" s="85"/>
      <c r="M455" s="85"/>
      <c r="N455" s="85"/>
      <c r="O455" s="29"/>
      <c r="P455" s="307"/>
      <c r="Q455" s="15"/>
      <c r="R455" s="15"/>
      <c r="S455" s="15"/>
      <c r="T455" s="15"/>
      <c r="U455" s="243"/>
      <c r="V455" s="243"/>
      <c r="W455" s="243"/>
    </row>
    <row r="456">
      <c r="A456" s="34"/>
      <c r="B456" s="15"/>
      <c r="C456" s="15"/>
      <c r="D456" s="15"/>
      <c r="E456" s="17"/>
      <c r="F456" s="15"/>
      <c r="G456" s="250"/>
      <c r="H456" s="243"/>
      <c r="I456" s="243"/>
      <c r="J456" s="243"/>
      <c r="K456" s="85"/>
      <c r="L456" s="85"/>
      <c r="M456" s="85"/>
      <c r="N456" s="85"/>
      <c r="O456" s="29"/>
      <c r="P456" s="307"/>
      <c r="Q456" s="15"/>
      <c r="R456" s="15"/>
      <c r="S456" s="15"/>
      <c r="T456" s="15"/>
      <c r="U456" s="243"/>
      <c r="V456" s="243"/>
      <c r="W456" s="243"/>
    </row>
    <row r="457">
      <c r="A457" s="34"/>
      <c r="B457" s="15"/>
      <c r="C457" s="15"/>
      <c r="D457" s="15"/>
      <c r="E457" s="17"/>
      <c r="F457" s="15"/>
      <c r="G457" s="250"/>
      <c r="H457" s="243"/>
      <c r="I457" s="243"/>
      <c r="J457" s="243"/>
      <c r="K457" s="85"/>
      <c r="L457" s="85"/>
      <c r="M457" s="85"/>
      <c r="N457" s="85"/>
      <c r="O457" s="29"/>
      <c r="P457" s="307"/>
      <c r="Q457" s="15"/>
      <c r="R457" s="15"/>
      <c r="S457" s="15"/>
      <c r="T457" s="15"/>
      <c r="U457" s="243"/>
      <c r="V457" s="243"/>
      <c r="W457" s="243"/>
    </row>
    <row r="458">
      <c r="A458" s="34"/>
      <c r="B458" s="15"/>
      <c r="C458" s="15"/>
      <c r="D458" s="15"/>
      <c r="E458" s="17"/>
      <c r="F458" s="15"/>
      <c r="G458" s="250"/>
      <c r="H458" s="243"/>
      <c r="I458" s="243"/>
      <c r="J458" s="243"/>
      <c r="K458" s="85"/>
      <c r="L458" s="85"/>
      <c r="M458" s="85"/>
      <c r="N458" s="85"/>
      <c r="O458" s="29"/>
      <c r="P458" s="307"/>
      <c r="Q458" s="15"/>
      <c r="R458" s="15"/>
      <c r="S458" s="15"/>
      <c r="T458" s="15"/>
      <c r="U458" s="243"/>
      <c r="V458" s="243"/>
      <c r="W458" s="243"/>
    </row>
    <row r="459">
      <c r="A459" s="34"/>
      <c r="B459" s="15"/>
      <c r="C459" s="15"/>
      <c r="D459" s="15"/>
      <c r="E459" s="17"/>
      <c r="F459" s="15"/>
      <c r="G459" s="250"/>
      <c r="H459" s="243"/>
      <c r="I459" s="243"/>
      <c r="J459" s="243"/>
      <c r="K459" s="85"/>
      <c r="L459" s="85"/>
      <c r="M459" s="85"/>
      <c r="N459" s="85"/>
      <c r="O459" s="29"/>
      <c r="P459" s="307"/>
      <c r="Q459" s="15"/>
      <c r="R459" s="15"/>
      <c r="S459" s="15"/>
      <c r="T459" s="15"/>
      <c r="U459" s="243"/>
      <c r="V459" s="243"/>
      <c r="W459" s="243"/>
    </row>
    <row r="460">
      <c r="A460" s="34"/>
      <c r="B460" s="15"/>
      <c r="C460" s="15"/>
      <c r="D460" s="15"/>
      <c r="E460" s="17"/>
      <c r="F460" s="15"/>
      <c r="G460" s="250"/>
      <c r="H460" s="243"/>
      <c r="I460" s="243"/>
      <c r="J460" s="243"/>
      <c r="K460" s="85"/>
      <c r="L460" s="85"/>
      <c r="M460" s="85"/>
      <c r="N460" s="85"/>
      <c r="O460" s="29"/>
      <c r="P460" s="307"/>
      <c r="Q460" s="15"/>
      <c r="R460" s="15"/>
      <c r="S460" s="15"/>
      <c r="T460" s="15"/>
      <c r="U460" s="243"/>
      <c r="V460" s="243"/>
      <c r="W460" s="243"/>
    </row>
    <row r="461">
      <c r="A461" s="34"/>
      <c r="B461" s="15"/>
      <c r="C461" s="15"/>
      <c r="D461" s="15"/>
      <c r="E461" s="17"/>
      <c r="F461" s="15"/>
      <c r="G461" s="250"/>
      <c r="H461" s="243"/>
      <c r="I461" s="243"/>
      <c r="J461" s="243"/>
      <c r="K461" s="85"/>
      <c r="L461" s="85"/>
      <c r="M461" s="85"/>
      <c r="N461" s="85"/>
      <c r="O461" s="29"/>
      <c r="P461" s="307"/>
      <c r="Q461" s="15"/>
      <c r="R461" s="15"/>
      <c r="S461" s="15"/>
      <c r="T461" s="15"/>
      <c r="U461" s="243"/>
      <c r="V461" s="243"/>
      <c r="W461" s="243"/>
    </row>
    <row r="462">
      <c r="A462" s="34"/>
      <c r="B462" s="15"/>
      <c r="C462" s="15"/>
      <c r="D462" s="15"/>
      <c r="E462" s="17"/>
      <c r="F462" s="15"/>
      <c r="G462" s="250"/>
      <c r="H462" s="243"/>
      <c r="I462" s="243"/>
      <c r="J462" s="243"/>
      <c r="K462" s="85"/>
      <c r="L462" s="85"/>
      <c r="M462" s="85"/>
      <c r="N462" s="85"/>
      <c r="O462" s="29"/>
      <c r="P462" s="307"/>
      <c r="Q462" s="15"/>
      <c r="R462" s="15"/>
      <c r="S462" s="15"/>
      <c r="T462" s="15"/>
      <c r="U462" s="243"/>
      <c r="V462" s="243"/>
      <c r="W462" s="243"/>
    </row>
    <row r="463">
      <c r="A463" s="34"/>
      <c r="B463" s="15"/>
      <c r="C463" s="15"/>
      <c r="D463" s="15"/>
      <c r="E463" s="17"/>
      <c r="F463" s="15"/>
      <c r="G463" s="250"/>
      <c r="H463" s="243"/>
      <c r="I463" s="243"/>
      <c r="J463" s="243"/>
      <c r="K463" s="85"/>
      <c r="L463" s="85"/>
      <c r="M463" s="85"/>
      <c r="N463" s="85"/>
      <c r="O463" s="29"/>
      <c r="P463" s="307"/>
      <c r="Q463" s="15"/>
      <c r="R463" s="15"/>
      <c r="S463" s="15"/>
      <c r="T463" s="15"/>
      <c r="U463" s="243"/>
      <c r="V463" s="243"/>
      <c r="W463" s="243"/>
    </row>
    <row r="464">
      <c r="A464" s="34"/>
      <c r="B464" s="15"/>
      <c r="C464" s="15"/>
      <c r="D464" s="15"/>
      <c r="E464" s="17"/>
      <c r="F464" s="15"/>
      <c r="G464" s="250"/>
      <c r="H464" s="243"/>
      <c r="I464" s="243"/>
      <c r="J464" s="243"/>
      <c r="K464" s="85"/>
      <c r="L464" s="85"/>
      <c r="M464" s="85"/>
      <c r="N464" s="85"/>
      <c r="O464" s="29"/>
      <c r="P464" s="307"/>
      <c r="Q464" s="15"/>
      <c r="R464" s="15"/>
      <c r="S464" s="15"/>
      <c r="T464" s="15"/>
      <c r="U464" s="243"/>
      <c r="V464" s="243"/>
      <c r="W464" s="243"/>
    </row>
    <row r="465">
      <c r="A465" s="34"/>
      <c r="B465" s="15"/>
      <c r="C465" s="15"/>
      <c r="D465" s="15"/>
      <c r="E465" s="17"/>
      <c r="F465" s="15"/>
      <c r="G465" s="250"/>
      <c r="H465" s="243"/>
      <c r="I465" s="243"/>
      <c r="J465" s="243"/>
      <c r="K465" s="85"/>
      <c r="L465" s="85"/>
      <c r="M465" s="85"/>
      <c r="N465" s="85"/>
      <c r="O465" s="29"/>
      <c r="P465" s="307"/>
      <c r="Q465" s="15"/>
      <c r="R465" s="15"/>
      <c r="S465" s="15"/>
      <c r="T465" s="15"/>
      <c r="U465" s="243"/>
      <c r="V465" s="243"/>
      <c r="W465" s="243"/>
    </row>
    <row r="466">
      <c r="A466" s="34"/>
      <c r="B466" s="15"/>
      <c r="C466" s="15"/>
      <c r="D466" s="15"/>
      <c r="E466" s="17"/>
      <c r="F466" s="15"/>
      <c r="G466" s="250"/>
      <c r="H466" s="243"/>
      <c r="I466" s="243"/>
      <c r="J466" s="243"/>
      <c r="K466" s="85"/>
      <c r="L466" s="85"/>
      <c r="M466" s="85"/>
      <c r="N466" s="85"/>
      <c r="O466" s="29"/>
      <c r="P466" s="307"/>
      <c r="Q466" s="15"/>
      <c r="R466" s="15"/>
      <c r="S466" s="15"/>
      <c r="T466" s="15"/>
      <c r="U466" s="243"/>
      <c r="V466" s="243"/>
      <c r="W466" s="243"/>
    </row>
    <row r="467">
      <c r="A467" s="34"/>
      <c r="B467" s="15"/>
      <c r="C467" s="15"/>
      <c r="D467" s="15"/>
      <c r="E467" s="17"/>
      <c r="F467" s="15"/>
      <c r="G467" s="250"/>
      <c r="H467" s="243"/>
      <c r="I467" s="243"/>
      <c r="J467" s="243"/>
      <c r="K467" s="85"/>
      <c r="L467" s="85"/>
      <c r="M467" s="85"/>
      <c r="N467" s="85"/>
      <c r="O467" s="29"/>
      <c r="P467" s="307"/>
      <c r="Q467" s="15"/>
      <c r="R467" s="15"/>
      <c r="S467" s="15"/>
      <c r="T467" s="15"/>
      <c r="U467" s="243"/>
      <c r="V467" s="243"/>
      <c r="W467" s="243"/>
    </row>
    <row r="468">
      <c r="A468" s="34"/>
      <c r="B468" s="15"/>
      <c r="C468" s="15"/>
      <c r="D468" s="15"/>
      <c r="E468" s="17"/>
      <c r="F468" s="15"/>
      <c r="G468" s="250"/>
      <c r="H468" s="243"/>
      <c r="I468" s="243"/>
      <c r="J468" s="243"/>
      <c r="K468" s="85"/>
      <c r="L468" s="85"/>
      <c r="M468" s="85"/>
      <c r="N468" s="85"/>
      <c r="O468" s="29"/>
      <c r="P468" s="307"/>
      <c r="Q468" s="15"/>
      <c r="R468" s="15"/>
      <c r="S468" s="15"/>
      <c r="T468" s="15"/>
      <c r="U468" s="243"/>
      <c r="V468" s="243"/>
      <c r="W468" s="243"/>
    </row>
    <row r="469">
      <c r="A469" s="34"/>
      <c r="B469" s="15"/>
      <c r="C469" s="15"/>
      <c r="D469" s="15"/>
      <c r="E469" s="17"/>
      <c r="F469" s="15"/>
      <c r="G469" s="250"/>
      <c r="H469" s="243"/>
      <c r="I469" s="243"/>
      <c r="J469" s="243"/>
      <c r="K469" s="85"/>
      <c r="L469" s="85"/>
      <c r="M469" s="85"/>
      <c r="N469" s="85"/>
      <c r="O469" s="29"/>
      <c r="P469" s="307"/>
      <c r="Q469" s="15"/>
      <c r="R469" s="15"/>
      <c r="S469" s="15"/>
      <c r="T469" s="15"/>
      <c r="U469" s="243"/>
      <c r="V469" s="243"/>
      <c r="W469" s="243"/>
    </row>
    <row r="470">
      <c r="A470" s="34"/>
      <c r="B470" s="15"/>
      <c r="C470" s="15"/>
      <c r="D470" s="15"/>
      <c r="E470" s="17"/>
      <c r="F470" s="15"/>
      <c r="G470" s="250"/>
      <c r="H470" s="243"/>
      <c r="I470" s="243"/>
      <c r="J470" s="243"/>
      <c r="K470" s="85"/>
      <c r="L470" s="85"/>
      <c r="M470" s="85"/>
      <c r="N470" s="85"/>
      <c r="O470" s="29"/>
      <c r="P470" s="307"/>
      <c r="Q470" s="15"/>
      <c r="R470" s="15"/>
      <c r="S470" s="15"/>
      <c r="T470" s="15"/>
      <c r="U470" s="243"/>
      <c r="V470" s="243"/>
      <c r="W470" s="243"/>
    </row>
    <row r="471">
      <c r="A471" s="34"/>
      <c r="B471" s="15"/>
      <c r="C471" s="15"/>
      <c r="D471" s="15"/>
      <c r="E471" s="17"/>
      <c r="F471" s="15"/>
      <c r="G471" s="250"/>
      <c r="H471" s="243"/>
      <c r="I471" s="243"/>
      <c r="J471" s="243"/>
      <c r="K471" s="85"/>
      <c r="L471" s="85"/>
      <c r="M471" s="85"/>
      <c r="N471" s="85"/>
      <c r="O471" s="29"/>
      <c r="P471" s="307"/>
      <c r="Q471" s="15"/>
      <c r="R471" s="15"/>
      <c r="S471" s="15"/>
      <c r="T471" s="15"/>
      <c r="U471" s="243"/>
      <c r="V471" s="243"/>
      <c r="W471" s="243"/>
    </row>
    <row r="472">
      <c r="A472" s="34"/>
      <c r="B472" s="15"/>
      <c r="C472" s="15"/>
      <c r="D472" s="15"/>
      <c r="E472" s="17"/>
      <c r="F472" s="15"/>
      <c r="G472" s="250"/>
      <c r="H472" s="243"/>
      <c r="I472" s="243"/>
      <c r="J472" s="243"/>
      <c r="K472" s="85"/>
      <c r="L472" s="85"/>
      <c r="M472" s="85"/>
      <c r="N472" s="85"/>
      <c r="O472" s="29"/>
      <c r="P472" s="307"/>
      <c r="Q472" s="15"/>
      <c r="R472" s="15"/>
      <c r="S472" s="15"/>
      <c r="T472" s="15"/>
      <c r="U472" s="243"/>
      <c r="V472" s="243"/>
      <c r="W472" s="243"/>
    </row>
    <row r="473">
      <c r="A473" s="34"/>
      <c r="B473" s="15"/>
      <c r="C473" s="15"/>
      <c r="D473" s="15"/>
      <c r="E473" s="17"/>
      <c r="F473" s="15"/>
      <c r="G473" s="250"/>
      <c r="H473" s="243"/>
      <c r="I473" s="243"/>
      <c r="J473" s="243"/>
      <c r="K473" s="85"/>
      <c r="L473" s="85"/>
      <c r="M473" s="85"/>
      <c r="N473" s="85"/>
      <c r="O473" s="29"/>
      <c r="P473" s="307"/>
      <c r="Q473" s="15"/>
      <c r="R473" s="15"/>
      <c r="S473" s="15"/>
      <c r="T473" s="15"/>
      <c r="U473" s="243"/>
      <c r="V473" s="243"/>
      <c r="W473" s="243"/>
    </row>
    <row r="474">
      <c r="A474" s="34"/>
      <c r="B474" s="15"/>
      <c r="C474" s="15"/>
      <c r="D474" s="15"/>
      <c r="E474" s="17"/>
      <c r="F474" s="15"/>
      <c r="G474" s="250"/>
      <c r="H474" s="243"/>
      <c r="I474" s="243"/>
      <c r="J474" s="243"/>
      <c r="K474" s="85"/>
      <c r="L474" s="85"/>
      <c r="M474" s="85"/>
      <c r="N474" s="85"/>
      <c r="O474" s="29"/>
      <c r="P474" s="307"/>
      <c r="Q474" s="15"/>
      <c r="R474" s="15"/>
      <c r="S474" s="15"/>
      <c r="T474" s="15"/>
      <c r="U474" s="243"/>
      <c r="V474" s="243"/>
      <c r="W474" s="243"/>
    </row>
    <row r="475">
      <c r="A475" s="34"/>
      <c r="B475" s="15"/>
      <c r="C475" s="15"/>
      <c r="D475" s="15"/>
      <c r="E475" s="17"/>
      <c r="F475" s="15"/>
      <c r="G475" s="250"/>
      <c r="H475" s="243"/>
      <c r="I475" s="243"/>
      <c r="J475" s="243"/>
      <c r="K475" s="85"/>
      <c r="L475" s="85"/>
      <c r="M475" s="85"/>
      <c r="N475" s="85"/>
      <c r="O475" s="29"/>
      <c r="P475" s="307"/>
      <c r="Q475" s="15"/>
      <c r="R475" s="15"/>
      <c r="S475" s="15"/>
      <c r="T475" s="15"/>
      <c r="U475" s="243"/>
      <c r="V475" s="243"/>
      <c r="W475" s="243"/>
    </row>
    <row r="476">
      <c r="A476" s="34"/>
      <c r="B476" s="15"/>
      <c r="C476" s="15"/>
      <c r="D476" s="15"/>
      <c r="E476" s="17"/>
      <c r="F476" s="15"/>
      <c r="G476" s="250"/>
      <c r="H476" s="243"/>
      <c r="I476" s="243"/>
      <c r="J476" s="243"/>
      <c r="K476" s="85"/>
      <c r="L476" s="85"/>
      <c r="M476" s="85"/>
      <c r="N476" s="85"/>
      <c r="O476" s="29"/>
      <c r="P476" s="307"/>
      <c r="Q476" s="15"/>
      <c r="R476" s="15"/>
      <c r="S476" s="15"/>
      <c r="T476" s="15"/>
      <c r="U476" s="243"/>
      <c r="V476" s="243"/>
      <c r="W476" s="243"/>
    </row>
    <row r="477">
      <c r="A477" s="34"/>
      <c r="B477" s="15"/>
      <c r="C477" s="15"/>
      <c r="D477" s="15"/>
      <c r="E477" s="17"/>
      <c r="F477" s="15"/>
      <c r="G477" s="250"/>
      <c r="H477" s="243"/>
      <c r="I477" s="243"/>
      <c r="J477" s="243"/>
      <c r="K477" s="85"/>
      <c r="L477" s="85"/>
      <c r="M477" s="85"/>
      <c r="N477" s="85"/>
      <c r="O477" s="29"/>
      <c r="P477" s="307"/>
      <c r="Q477" s="15"/>
      <c r="R477" s="15"/>
      <c r="S477" s="15"/>
      <c r="T477" s="15"/>
      <c r="U477" s="243"/>
      <c r="V477" s="243"/>
      <c r="W477" s="243"/>
    </row>
    <row r="478">
      <c r="A478" s="34"/>
      <c r="B478" s="15"/>
      <c r="C478" s="15"/>
      <c r="D478" s="15"/>
      <c r="E478" s="17"/>
      <c r="F478" s="15"/>
      <c r="G478" s="250"/>
      <c r="H478" s="243"/>
      <c r="I478" s="243"/>
      <c r="J478" s="243"/>
      <c r="K478" s="85"/>
      <c r="L478" s="85"/>
      <c r="M478" s="85"/>
      <c r="N478" s="85"/>
      <c r="O478" s="29"/>
      <c r="P478" s="307"/>
      <c r="Q478" s="15"/>
      <c r="R478" s="15"/>
      <c r="S478" s="15"/>
      <c r="T478" s="15"/>
      <c r="U478" s="243"/>
      <c r="V478" s="243"/>
      <c r="W478" s="243"/>
    </row>
    <row r="479">
      <c r="A479" s="34"/>
      <c r="B479" s="15"/>
      <c r="C479" s="15"/>
      <c r="D479" s="15"/>
      <c r="E479" s="17"/>
      <c r="F479" s="15"/>
      <c r="G479" s="250"/>
      <c r="H479" s="243"/>
      <c r="I479" s="243"/>
      <c r="J479" s="243"/>
      <c r="K479" s="85"/>
      <c r="L479" s="85"/>
      <c r="M479" s="85"/>
      <c r="N479" s="85"/>
      <c r="O479" s="29"/>
      <c r="P479" s="307"/>
      <c r="Q479" s="15"/>
      <c r="R479" s="15"/>
      <c r="S479" s="15"/>
      <c r="T479" s="15"/>
      <c r="U479" s="243"/>
      <c r="V479" s="243"/>
      <c r="W479" s="243"/>
    </row>
    <row r="480">
      <c r="A480" s="34"/>
      <c r="B480" s="15"/>
      <c r="C480" s="15"/>
      <c r="D480" s="15"/>
      <c r="E480" s="17"/>
      <c r="F480" s="15"/>
      <c r="G480" s="250"/>
      <c r="H480" s="243"/>
      <c r="I480" s="243"/>
      <c r="J480" s="243"/>
      <c r="K480" s="85"/>
      <c r="L480" s="85"/>
      <c r="M480" s="85"/>
      <c r="N480" s="85"/>
      <c r="O480" s="29"/>
      <c r="P480" s="307"/>
      <c r="Q480" s="15"/>
      <c r="R480" s="15"/>
      <c r="S480" s="15"/>
      <c r="T480" s="15"/>
      <c r="U480" s="243"/>
      <c r="V480" s="243"/>
      <c r="W480" s="243"/>
    </row>
    <row r="481">
      <c r="A481" s="34"/>
      <c r="B481" s="15"/>
      <c r="C481" s="15"/>
      <c r="D481" s="15"/>
      <c r="E481" s="17"/>
      <c r="F481" s="15"/>
      <c r="G481" s="250"/>
      <c r="H481" s="243"/>
      <c r="I481" s="243"/>
      <c r="J481" s="243"/>
      <c r="K481" s="85"/>
      <c r="L481" s="85"/>
      <c r="M481" s="85"/>
      <c r="N481" s="85"/>
      <c r="O481" s="29"/>
      <c r="P481" s="307"/>
      <c r="Q481" s="15"/>
      <c r="R481" s="15"/>
      <c r="S481" s="15"/>
      <c r="T481" s="15"/>
      <c r="U481" s="243"/>
      <c r="V481" s="243"/>
      <c r="W481" s="243"/>
    </row>
    <row r="482">
      <c r="A482" s="34"/>
      <c r="B482" s="15"/>
      <c r="C482" s="15"/>
      <c r="D482" s="15"/>
      <c r="E482" s="17"/>
      <c r="F482" s="15"/>
      <c r="G482" s="250"/>
      <c r="H482" s="243"/>
      <c r="I482" s="243"/>
      <c r="J482" s="243"/>
      <c r="K482" s="85"/>
      <c r="L482" s="85"/>
      <c r="M482" s="85"/>
      <c r="N482" s="85"/>
      <c r="O482" s="29"/>
      <c r="P482" s="307"/>
      <c r="Q482" s="15"/>
      <c r="R482" s="15"/>
      <c r="S482" s="15"/>
      <c r="T482" s="15"/>
      <c r="U482" s="243"/>
      <c r="V482" s="243"/>
      <c r="W482" s="243"/>
    </row>
    <row r="483">
      <c r="A483" s="34"/>
      <c r="B483" s="15"/>
      <c r="C483" s="15"/>
      <c r="D483" s="15"/>
      <c r="E483" s="17"/>
      <c r="F483" s="15"/>
      <c r="G483" s="250"/>
      <c r="H483" s="243"/>
      <c r="I483" s="243"/>
      <c r="J483" s="243"/>
      <c r="K483" s="85"/>
      <c r="L483" s="85"/>
      <c r="M483" s="85"/>
      <c r="N483" s="85"/>
      <c r="O483" s="29"/>
      <c r="P483" s="307"/>
      <c r="Q483" s="15"/>
      <c r="R483" s="15"/>
      <c r="S483" s="15"/>
      <c r="T483" s="15"/>
      <c r="U483" s="243"/>
      <c r="V483" s="243"/>
      <c r="W483" s="243"/>
    </row>
    <row r="484">
      <c r="A484" s="34"/>
      <c r="B484" s="15"/>
      <c r="C484" s="15"/>
      <c r="D484" s="15"/>
      <c r="E484" s="17"/>
      <c r="F484" s="15"/>
      <c r="G484" s="250"/>
      <c r="H484" s="243"/>
      <c r="I484" s="243"/>
      <c r="J484" s="243"/>
      <c r="K484" s="85"/>
      <c r="L484" s="85"/>
      <c r="M484" s="85"/>
      <c r="N484" s="85"/>
      <c r="O484" s="29"/>
      <c r="P484" s="307"/>
      <c r="Q484" s="15"/>
      <c r="R484" s="15"/>
      <c r="S484" s="15"/>
      <c r="T484" s="15"/>
      <c r="U484" s="243"/>
      <c r="V484" s="243"/>
      <c r="W484" s="243"/>
    </row>
    <row r="485">
      <c r="A485" s="34"/>
      <c r="B485" s="15"/>
      <c r="C485" s="15"/>
      <c r="D485" s="15"/>
      <c r="E485" s="17"/>
      <c r="F485" s="15"/>
      <c r="G485" s="250"/>
      <c r="H485" s="243"/>
      <c r="I485" s="243"/>
      <c r="J485" s="243"/>
      <c r="K485" s="85"/>
      <c r="L485" s="85"/>
      <c r="M485" s="85"/>
      <c r="N485" s="85"/>
      <c r="O485" s="29"/>
      <c r="P485" s="307"/>
      <c r="Q485" s="15"/>
      <c r="R485" s="15"/>
      <c r="S485" s="15"/>
      <c r="T485" s="15"/>
      <c r="U485" s="243"/>
      <c r="V485" s="243"/>
      <c r="W485" s="243"/>
    </row>
    <row r="486">
      <c r="A486" s="34"/>
      <c r="B486" s="15"/>
      <c r="C486" s="15"/>
      <c r="D486" s="15"/>
      <c r="E486" s="17"/>
      <c r="F486" s="15"/>
      <c r="G486" s="250"/>
      <c r="H486" s="243"/>
      <c r="I486" s="243"/>
      <c r="J486" s="243"/>
      <c r="K486" s="85"/>
      <c r="L486" s="85"/>
      <c r="M486" s="85"/>
      <c r="N486" s="85"/>
      <c r="O486" s="29"/>
      <c r="P486" s="307"/>
      <c r="Q486" s="15"/>
      <c r="R486" s="15"/>
      <c r="S486" s="15"/>
      <c r="T486" s="15"/>
      <c r="U486" s="243"/>
      <c r="V486" s="243"/>
      <c r="W486" s="243"/>
    </row>
    <row r="487">
      <c r="A487" s="34"/>
      <c r="B487" s="15"/>
      <c r="C487" s="15"/>
      <c r="D487" s="15"/>
      <c r="E487" s="17"/>
      <c r="F487" s="15"/>
      <c r="G487" s="250"/>
      <c r="H487" s="243"/>
      <c r="I487" s="243"/>
      <c r="J487" s="243"/>
      <c r="K487" s="85"/>
      <c r="L487" s="85"/>
      <c r="M487" s="85"/>
      <c r="N487" s="85"/>
      <c r="O487" s="29"/>
      <c r="P487" s="307"/>
      <c r="Q487" s="15"/>
      <c r="R487" s="15"/>
      <c r="S487" s="15"/>
      <c r="T487" s="15"/>
      <c r="U487" s="243"/>
      <c r="V487" s="243"/>
      <c r="W487" s="243"/>
    </row>
    <row r="488">
      <c r="A488" s="34"/>
      <c r="B488" s="15"/>
      <c r="C488" s="15"/>
      <c r="D488" s="15"/>
      <c r="E488" s="17"/>
      <c r="F488" s="15"/>
      <c r="G488" s="250"/>
      <c r="H488" s="243"/>
      <c r="I488" s="243"/>
      <c r="J488" s="243"/>
      <c r="K488" s="85"/>
      <c r="L488" s="85"/>
      <c r="M488" s="85"/>
      <c r="N488" s="85"/>
      <c r="O488" s="29"/>
      <c r="P488" s="307"/>
      <c r="Q488" s="15"/>
      <c r="R488" s="15"/>
      <c r="S488" s="15"/>
      <c r="T488" s="15"/>
      <c r="U488" s="243"/>
      <c r="V488" s="243"/>
      <c r="W488" s="243"/>
    </row>
    <row r="489">
      <c r="A489" s="34"/>
      <c r="B489" s="15"/>
      <c r="C489" s="15"/>
      <c r="D489" s="15"/>
      <c r="E489" s="17"/>
      <c r="F489" s="15"/>
      <c r="G489" s="250"/>
      <c r="H489" s="243"/>
      <c r="I489" s="243"/>
      <c r="J489" s="243"/>
      <c r="K489" s="85"/>
      <c r="L489" s="85"/>
      <c r="M489" s="85"/>
      <c r="N489" s="85"/>
      <c r="O489" s="29"/>
      <c r="P489" s="307"/>
      <c r="Q489" s="15"/>
      <c r="R489" s="15"/>
      <c r="S489" s="15"/>
      <c r="T489" s="15"/>
      <c r="U489" s="243"/>
      <c r="V489" s="243"/>
      <c r="W489" s="243"/>
    </row>
    <row r="490">
      <c r="A490" s="34"/>
      <c r="B490" s="15"/>
      <c r="C490" s="15"/>
      <c r="D490" s="15"/>
      <c r="E490" s="17"/>
      <c r="F490" s="15"/>
      <c r="G490" s="250"/>
      <c r="H490" s="243"/>
      <c r="I490" s="243"/>
      <c r="J490" s="243"/>
      <c r="K490" s="85"/>
      <c r="L490" s="85"/>
      <c r="M490" s="85"/>
      <c r="N490" s="85"/>
      <c r="O490" s="29"/>
      <c r="P490" s="307"/>
      <c r="Q490" s="15"/>
      <c r="R490" s="15"/>
      <c r="S490" s="15"/>
      <c r="T490" s="15"/>
      <c r="U490" s="243"/>
      <c r="V490" s="243"/>
      <c r="W490" s="243"/>
    </row>
    <row r="491">
      <c r="A491" s="34"/>
      <c r="B491" s="15"/>
      <c r="C491" s="15"/>
      <c r="D491" s="15"/>
      <c r="E491" s="17"/>
      <c r="F491" s="15"/>
      <c r="G491" s="250"/>
      <c r="H491" s="243"/>
      <c r="I491" s="243"/>
      <c r="J491" s="243"/>
      <c r="K491" s="85"/>
      <c r="L491" s="85"/>
      <c r="M491" s="85"/>
      <c r="N491" s="85"/>
      <c r="O491" s="29"/>
      <c r="P491" s="307"/>
      <c r="Q491" s="15"/>
      <c r="R491" s="15"/>
      <c r="S491" s="15"/>
      <c r="T491" s="15"/>
      <c r="U491" s="243"/>
      <c r="V491" s="243"/>
      <c r="W491" s="243"/>
    </row>
    <row r="492">
      <c r="A492" s="34"/>
      <c r="B492" s="15"/>
      <c r="C492" s="15"/>
      <c r="D492" s="15"/>
      <c r="E492" s="17"/>
      <c r="F492" s="15"/>
      <c r="G492" s="250"/>
      <c r="H492" s="243"/>
      <c r="I492" s="243"/>
      <c r="J492" s="243"/>
      <c r="K492" s="85"/>
      <c r="L492" s="85"/>
      <c r="M492" s="85"/>
      <c r="N492" s="85"/>
      <c r="O492" s="29"/>
      <c r="P492" s="307"/>
      <c r="Q492" s="15"/>
      <c r="R492" s="15"/>
      <c r="S492" s="15"/>
      <c r="T492" s="15"/>
      <c r="U492" s="243"/>
      <c r="V492" s="243"/>
      <c r="W492" s="243"/>
    </row>
    <row r="493">
      <c r="A493" s="34"/>
      <c r="B493" s="15"/>
      <c r="C493" s="15"/>
      <c r="D493" s="15"/>
      <c r="E493" s="17"/>
      <c r="F493" s="15"/>
      <c r="G493" s="250"/>
      <c r="H493" s="243"/>
      <c r="I493" s="243"/>
      <c r="J493" s="243"/>
      <c r="K493" s="85"/>
      <c r="L493" s="85"/>
      <c r="M493" s="85"/>
      <c r="N493" s="85"/>
      <c r="O493" s="29"/>
      <c r="P493" s="307"/>
      <c r="Q493" s="15"/>
      <c r="R493" s="15"/>
      <c r="S493" s="15"/>
      <c r="T493" s="15"/>
      <c r="U493" s="243"/>
      <c r="V493" s="243"/>
      <c r="W493" s="243"/>
    </row>
    <row r="494">
      <c r="A494" s="34"/>
      <c r="B494" s="15"/>
      <c r="C494" s="15"/>
      <c r="D494" s="15"/>
      <c r="E494" s="17"/>
      <c r="F494" s="15"/>
      <c r="G494" s="250"/>
      <c r="H494" s="243"/>
      <c r="I494" s="243"/>
      <c r="J494" s="243"/>
      <c r="K494" s="85"/>
      <c r="L494" s="85"/>
      <c r="M494" s="85"/>
      <c r="N494" s="85"/>
      <c r="O494" s="29"/>
      <c r="P494" s="307"/>
      <c r="Q494" s="15"/>
      <c r="R494" s="15"/>
      <c r="S494" s="15"/>
      <c r="T494" s="15"/>
      <c r="U494" s="243"/>
      <c r="V494" s="243"/>
      <c r="W494" s="243"/>
    </row>
    <row r="495">
      <c r="A495" s="34"/>
      <c r="B495" s="15"/>
      <c r="C495" s="15"/>
      <c r="D495" s="15"/>
      <c r="E495" s="17"/>
      <c r="F495" s="15"/>
      <c r="G495" s="250"/>
      <c r="H495" s="243"/>
      <c r="I495" s="243"/>
      <c r="J495" s="243"/>
      <c r="K495" s="85"/>
      <c r="L495" s="85"/>
      <c r="M495" s="85"/>
      <c r="N495" s="85"/>
      <c r="O495" s="29"/>
      <c r="P495" s="307"/>
      <c r="Q495" s="15"/>
      <c r="R495" s="15"/>
      <c r="S495" s="15"/>
      <c r="T495" s="15"/>
      <c r="U495" s="243"/>
      <c r="V495" s="243"/>
      <c r="W495" s="243"/>
    </row>
    <row r="496">
      <c r="A496" s="34"/>
      <c r="B496" s="15"/>
      <c r="C496" s="15"/>
      <c r="D496" s="15"/>
      <c r="E496" s="17"/>
      <c r="F496" s="15"/>
      <c r="G496" s="250"/>
      <c r="H496" s="243"/>
      <c r="I496" s="243"/>
      <c r="J496" s="243"/>
      <c r="K496" s="85"/>
      <c r="L496" s="85"/>
      <c r="M496" s="85"/>
      <c r="N496" s="85"/>
      <c r="O496" s="29"/>
      <c r="P496" s="307"/>
      <c r="Q496" s="15"/>
      <c r="R496" s="15"/>
      <c r="S496" s="15"/>
      <c r="T496" s="15"/>
      <c r="U496" s="243"/>
      <c r="V496" s="243"/>
      <c r="W496" s="243"/>
    </row>
    <row r="497">
      <c r="A497" s="34"/>
      <c r="B497" s="15"/>
      <c r="C497" s="15"/>
      <c r="D497" s="15"/>
      <c r="E497" s="17"/>
      <c r="F497" s="15"/>
      <c r="G497" s="250"/>
      <c r="H497" s="243"/>
      <c r="I497" s="243"/>
      <c r="J497" s="243"/>
      <c r="K497" s="85"/>
      <c r="L497" s="85"/>
      <c r="M497" s="85"/>
      <c r="N497" s="85"/>
      <c r="O497" s="29"/>
      <c r="P497" s="307"/>
      <c r="Q497" s="15"/>
      <c r="R497" s="15"/>
      <c r="S497" s="15"/>
      <c r="T497" s="15"/>
      <c r="U497" s="243"/>
      <c r="V497" s="243"/>
      <c r="W497" s="243"/>
    </row>
    <row r="498">
      <c r="A498" s="34"/>
      <c r="B498" s="15"/>
      <c r="C498" s="15"/>
      <c r="D498" s="15"/>
      <c r="E498" s="17"/>
      <c r="F498" s="15"/>
      <c r="G498" s="250"/>
      <c r="H498" s="243"/>
      <c r="I498" s="243"/>
      <c r="J498" s="243"/>
      <c r="K498" s="85"/>
      <c r="L498" s="85"/>
      <c r="M498" s="85"/>
      <c r="N498" s="85"/>
      <c r="O498" s="29"/>
      <c r="P498" s="307"/>
      <c r="Q498" s="15"/>
      <c r="R498" s="15"/>
      <c r="S498" s="15"/>
      <c r="T498" s="15"/>
      <c r="U498" s="243"/>
      <c r="V498" s="243"/>
      <c r="W498" s="243"/>
    </row>
    <row r="499">
      <c r="A499" s="34"/>
      <c r="B499" s="15"/>
      <c r="C499" s="15"/>
      <c r="D499" s="15"/>
      <c r="E499" s="17"/>
      <c r="F499" s="15"/>
      <c r="G499" s="250"/>
      <c r="H499" s="243"/>
      <c r="I499" s="243"/>
      <c r="J499" s="243"/>
      <c r="K499" s="85"/>
      <c r="L499" s="85"/>
      <c r="M499" s="85"/>
      <c r="N499" s="85"/>
      <c r="O499" s="29"/>
      <c r="P499" s="307"/>
      <c r="Q499" s="15"/>
      <c r="R499" s="15"/>
      <c r="S499" s="15"/>
      <c r="T499" s="15"/>
      <c r="U499" s="243"/>
      <c r="V499" s="243"/>
      <c r="W499" s="243"/>
    </row>
    <row r="500">
      <c r="A500" s="34"/>
      <c r="B500" s="15"/>
      <c r="C500" s="15"/>
      <c r="D500" s="15"/>
      <c r="E500" s="17"/>
      <c r="F500" s="15"/>
      <c r="G500" s="250"/>
      <c r="H500" s="243"/>
      <c r="I500" s="243"/>
      <c r="J500" s="243"/>
      <c r="K500" s="85"/>
      <c r="L500" s="85"/>
      <c r="M500" s="85"/>
      <c r="N500" s="85"/>
      <c r="O500" s="29"/>
      <c r="P500" s="307"/>
      <c r="Q500" s="15"/>
      <c r="R500" s="15"/>
      <c r="S500" s="15"/>
      <c r="T500" s="15"/>
      <c r="U500" s="243"/>
      <c r="V500" s="243"/>
      <c r="W500" s="243"/>
    </row>
    <row r="501">
      <c r="A501" s="34"/>
      <c r="B501" s="15"/>
      <c r="C501" s="15"/>
      <c r="D501" s="15"/>
      <c r="E501" s="17"/>
      <c r="F501" s="15"/>
      <c r="G501" s="250"/>
      <c r="H501" s="243"/>
      <c r="I501" s="243"/>
      <c r="J501" s="243"/>
      <c r="K501" s="85"/>
      <c r="L501" s="85"/>
      <c r="M501" s="85"/>
      <c r="N501" s="85"/>
      <c r="O501" s="29"/>
      <c r="P501" s="307"/>
      <c r="Q501" s="15"/>
      <c r="R501" s="15"/>
      <c r="S501" s="15"/>
      <c r="T501" s="15"/>
      <c r="U501" s="243"/>
      <c r="V501" s="243"/>
      <c r="W501" s="243"/>
    </row>
    <row r="502">
      <c r="A502" s="34"/>
      <c r="B502" s="15"/>
      <c r="C502" s="15"/>
      <c r="D502" s="15"/>
      <c r="E502" s="17"/>
      <c r="F502" s="15"/>
      <c r="G502" s="250"/>
      <c r="H502" s="243"/>
      <c r="I502" s="243"/>
      <c r="J502" s="243"/>
      <c r="K502" s="85"/>
      <c r="L502" s="85"/>
      <c r="M502" s="85"/>
      <c r="N502" s="85"/>
      <c r="O502" s="29"/>
      <c r="P502" s="307"/>
      <c r="Q502" s="15"/>
      <c r="R502" s="15"/>
      <c r="S502" s="15"/>
      <c r="T502" s="15"/>
      <c r="U502" s="243"/>
      <c r="V502" s="243"/>
      <c r="W502" s="243"/>
    </row>
    <row r="503">
      <c r="A503" s="34"/>
      <c r="B503" s="15"/>
      <c r="C503" s="15"/>
      <c r="D503" s="15"/>
      <c r="E503" s="17"/>
      <c r="F503" s="15"/>
      <c r="G503" s="250"/>
      <c r="H503" s="243"/>
      <c r="I503" s="243"/>
      <c r="J503" s="243"/>
      <c r="K503" s="85"/>
      <c r="L503" s="85"/>
      <c r="M503" s="85"/>
      <c r="N503" s="85"/>
      <c r="O503" s="29"/>
      <c r="P503" s="307"/>
      <c r="Q503" s="15"/>
      <c r="R503" s="15"/>
      <c r="S503" s="15"/>
      <c r="T503" s="15"/>
      <c r="U503" s="243"/>
      <c r="V503" s="243"/>
      <c r="W503" s="243"/>
    </row>
    <row r="504">
      <c r="A504" s="34"/>
      <c r="B504" s="15"/>
      <c r="C504" s="15"/>
      <c r="D504" s="15"/>
      <c r="E504" s="17"/>
      <c r="F504" s="15"/>
      <c r="G504" s="250"/>
      <c r="H504" s="243"/>
      <c r="I504" s="243"/>
      <c r="J504" s="243"/>
      <c r="K504" s="85"/>
      <c r="L504" s="85"/>
      <c r="M504" s="85"/>
      <c r="N504" s="85"/>
      <c r="O504" s="29"/>
      <c r="P504" s="307"/>
      <c r="Q504" s="15"/>
      <c r="R504" s="15"/>
      <c r="S504" s="15"/>
      <c r="T504" s="15"/>
      <c r="U504" s="243"/>
      <c r="V504" s="243"/>
      <c r="W504" s="243"/>
    </row>
    <row r="505">
      <c r="A505" s="34"/>
      <c r="B505" s="15"/>
      <c r="C505" s="15"/>
      <c r="D505" s="15"/>
      <c r="E505" s="17"/>
      <c r="F505" s="15"/>
      <c r="G505" s="250"/>
      <c r="H505" s="243"/>
      <c r="I505" s="243"/>
      <c r="J505" s="243"/>
      <c r="K505" s="85"/>
      <c r="L505" s="85"/>
      <c r="M505" s="85"/>
      <c r="N505" s="85"/>
      <c r="O505" s="29"/>
      <c r="P505" s="307"/>
      <c r="Q505" s="15"/>
      <c r="R505" s="15"/>
      <c r="S505" s="15"/>
      <c r="T505" s="15"/>
      <c r="U505" s="243"/>
      <c r="V505" s="243"/>
      <c r="W505" s="243"/>
    </row>
    <row r="506">
      <c r="A506" s="34"/>
      <c r="B506" s="15"/>
      <c r="C506" s="15"/>
      <c r="D506" s="15"/>
      <c r="E506" s="17"/>
      <c r="F506" s="15"/>
      <c r="G506" s="250"/>
      <c r="H506" s="243"/>
      <c r="I506" s="243"/>
      <c r="J506" s="243"/>
      <c r="K506" s="85"/>
      <c r="L506" s="85"/>
      <c r="M506" s="85"/>
      <c r="N506" s="85"/>
      <c r="O506" s="29"/>
      <c r="P506" s="307"/>
      <c r="Q506" s="15"/>
      <c r="R506" s="15"/>
      <c r="S506" s="15"/>
      <c r="T506" s="15"/>
      <c r="U506" s="243"/>
      <c r="V506" s="243"/>
      <c r="W506" s="243"/>
    </row>
    <row r="507">
      <c r="A507" s="34"/>
      <c r="B507" s="15"/>
      <c r="C507" s="15"/>
      <c r="D507" s="15"/>
      <c r="E507" s="17"/>
      <c r="F507" s="15"/>
      <c r="G507" s="250"/>
      <c r="H507" s="243"/>
      <c r="I507" s="243"/>
      <c r="J507" s="243"/>
      <c r="K507" s="85"/>
      <c r="L507" s="85"/>
      <c r="M507" s="85"/>
      <c r="N507" s="85"/>
      <c r="O507" s="29"/>
      <c r="P507" s="307"/>
      <c r="Q507" s="15"/>
      <c r="R507" s="15"/>
      <c r="S507" s="15"/>
      <c r="T507" s="15"/>
      <c r="U507" s="243"/>
      <c r="V507" s="243"/>
      <c r="W507" s="243"/>
    </row>
    <row r="508">
      <c r="A508" s="34"/>
      <c r="B508" s="15"/>
      <c r="C508" s="15"/>
      <c r="D508" s="15"/>
      <c r="E508" s="17"/>
      <c r="F508" s="15"/>
      <c r="G508" s="250"/>
      <c r="H508" s="243"/>
      <c r="I508" s="243"/>
      <c r="J508" s="243"/>
      <c r="K508" s="85"/>
      <c r="L508" s="85"/>
      <c r="M508" s="85"/>
      <c r="N508" s="85"/>
      <c r="O508" s="29"/>
      <c r="P508" s="307"/>
      <c r="Q508" s="15"/>
      <c r="R508" s="15"/>
      <c r="S508" s="15"/>
      <c r="T508" s="15"/>
      <c r="U508" s="243"/>
      <c r="V508" s="243"/>
      <c r="W508" s="243"/>
    </row>
    <row r="509">
      <c r="A509" s="34"/>
      <c r="B509" s="15"/>
      <c r="C509" s="15"/>
      <c r="D509" s="15"/>
      <c r="E509" s="17"/>
      <c r="F509" s="15"/>
      <c r="G509" s="250"/>
      <c r="H509" s="243"/>
      <c r="I509" s="243"/>
      <c r="J509" s="243"/>
      <c r="K509" s="85"/>
      <c r="L509" s="85"/>
      <c r="M509" s="85"/>
      <c r="N509" s="85"/>
      <c r="O509" s="29"/>
      <c r="P509" s="307"/>
      <c r="Q509" s="15"/>
      <c r="R509" s="15"/>
      <c r="S509" s="15"/>
      <c r="T509" s="15"/>
      <c r="U509" s="243"/>
      <c r="V509" s="243"/>
      <c r="W509" s="243"/>
    </row>
    <row r="510">
      <c r="A510" s="34"/>
      <c r="B510" s="15"/>
      <c r="C510" s="15"/>
      <c r="D510" s="15"/>
      <c r="E510" s="17"/>
      <c r="F510" s="15"/>
      <c r="G510" s="250"/>
      <c r="H510" s="243"/>
      <c r="I510" s="243"/>
      <c r="J510" s="243"/>
      <c r="K510" s="85"/>
      <c r="L510" s="85"/>
      <c r="M510" s="85"/>
      <c r="N510" s="85"/>
      <c r="O510" s="29"/>
      <c r="P510" s="307"/>
      <c r="Q510" s="15"/>
      <c r="R510" s="15"/>
      <c r="S510" s="15"/>
      <c r="T510" s="15"/>
      <c r="U510" s="243"/>
      <c r="V510" s="243"/>
      <c r="W510" s="243"/>
    </row>
    <row r="511">
      <c r="A511" s="34"/>
      <c r="B511" s="15"/>
      <c r="C511" s="15"/>
      <c r="D511" s="15"/>
      <c r="E511" s="17"/>
      <c r="F511" s="15"/>
      <c r="G511" s="250"/>
      <c r="H511" s="243"/>
      <c r="I511" s="243"/>
      <c r="J511" s="243"/>
      <c r="K511" s="85"/>
      <c r="L511" s="85"/>
      <c r="M511" s="85"/>
      <c r="N511" s="85"/>
      <c r="O511" s="29"/>
      <c r="P511" s="307"/>
      <c r="Q511" s="15"/>
      <c r="R511" s="15"/>
      <c r="S511" s="15"/>
      <c r="T511" s="15"/>
      <c r="U511" s="243"/>
      <c r="V511" s="243"/>
      <c r="W511" s="243"/>
    </row>
    <row r="512">
      <c r="A512" s="34"/>
      <c r="B512" s="15"/>
      <c r="C512" s="15"/>
      <c r="D512" s="15"/>
      <c r="E512" s="17"/>
      <c r="F512" s="15"/>
      <c r="G512" s="250"/>
      <c r="H512" s="243"/>
      <c r="I512" s="243"/>
      <c r="J512" s="243"/>
      <c r="K512" s="85"/>
      <c r="L512" s="85"/>
      <c r="M512" s="85"/>
      <c r="N512" s="85"/>
      <c r="O512" s="29"/>
      <c r="P512" s="307"/>
      <c r="Q512" s="15"/>
      <c r="R512" s="15"/>
      <c r="S512" s="15"/>
      <c r="T512" s="15"/>
      <c r="U512" s="243"/>
      <c r="V512" s="243"/>
      <c r="W512" s="243"/>
    </row>
    <row r="513">
      <c r="A513" s="34"/>
      <c r="B513" s="15"/>
      <c r="C513" s="15"/>
      <c r="D513" s="15"/>
      <c r="E513" s="17"/>
      <c r="F513" s="15"/>
      <c r="G513" s="250"/>
      <c r="H513" s="243"/>
      <c r="I513" s="243"/>
      <c r="J513" s="243"/>
      <c r="K513" s="85"/>
      <c r="L513" s="85"/>
      <c r="M513" s="85"/>
      <c r="N513" s="85"/>
      <c r="O513" s="29"/>
      <c r="P513" s="307"/>
      <c r="Q513" s="15"/>
      <c r="R513" s="15"/>
      <c r="S513" s="15"/>
      <c r="T513" s="15"/>
      <c r="U513" s="243"/>
      <c r="V513" s="243"/>
      <c r="W513" s="243"/>
    </row>
    <row r="514">
      <c r="A514" s="34"/>
      <c r="B514" s="15"/>
      <c r="C514" s="15"/>
      <c r="D514" s="15"/>
      <c r="E514" s="17"/>
      <c r="F514" s="15"/>
      <c r="G514" s="250"/>
      <c r="H514" s="243"/>
      <c r="I514" s="243"/>
      <c r="J514" s="243"/>
      <c r="K514" s="85"/>
      <c r="L514" s="85"/>
      <c r="M514" s="85"/>
      <c r="N514" s="85"/>
      <c r="O514" s="29"/>
      <c r="P514" s="307"/>
      <c r="Q514" s="15"/>
      <c r="R514" s="15"/>
      <c r="S514" s="15"/>
      <c r="T514" s="15"/>
      <c r="U514" s="243"/>
      <c r="V514" s="243"/>
      <c r="W514" s="243"/>
    </row>
    <row r="515">
      <c r="A515" s="34"/>
      <c r="B515" s="15"/>
      <c r="C515" s="15"/>
      <c r="D515" s="15"/>
      <c r="E515" s="17"/>
      <c r="F515" s="15"/>
      <c r="G515" s="250"/>
      <c r="H515" s="243"/>
      <c r="I515" s="243"/>
      <c r="J515" s="243"/>
      <c r="K515" s="85"/>
      <c r="L515" s="85"/>
      <c r="M515" s="85"/>
      <c r="N515" s="85"/>
      <c r="O515" s="29"/>
      <c r="P515" s="307"/>
      <c r="Q515" s="15"/>
      <c r="R515" s="15"/>
      <c r="S515" s="15"/>
      <c r="T515" s="15"/>
      <c r="U515" s="243"/>
      <c r="V515" s="243"/>
      <c r="W515" s="243"/>
    </row>
    <row r="516">
      <c r="A516" s="34"/>
      <c r="B516" s="15"/>
      <c r="C516" s="15"/>
      <c r="D516" s="15"/>
      <c r="E516" s="17"/>
      <c r="F516" s="15"/>
      <c r="G516" s="250"/>
      <c r="H516" s="243"/>
      <c r="I516" s="243"/>
      <c r="J516" s="243"/>
      <c r="K516" s="85"/>
      <c r="L516" s="85"/>
      <c r="M516" s="85"/>
      <c r="N516" s="85"/>
      <c r="O516" s="29"/>
      <c r="P516" s="307"/>
      <c r="Q516" s="15"/>
      <c r="R516" s="15"/>
      <c r="S516" s="15"/>
      <c r="T516" s="15"/>
      <c r="U516" s="243"/>
      <c r="V516" s="243"/>
      <c r="W516" s="243"/>
    </row>
    <row r="517">
      <c r="A517" s="34"/>
      <c r="B517" s="15"/>
      <c r="C517" s="15"/>
      <c r="D517" s="15"/>
      <c r="E517" s="17"/>
      <c r="F517" s="15"/>
      <c r="G517" s="250"/>
      <c r="H517" s="243"/>
      <c r="I517" s="243"/>
      <c r="J517" s="243"/>
      <c r="K517" s="85"/>
      <c r="L517" s="85"/>
      <c r="M517" s="85"/>
      <c r="N517" s="85"/>
      <c r="O517" s="29"/>
      <c r="P517" s="307"/>
      <c r="Q517" s="15"/>
      <c r="R517" s="15"/>
      <c r="S517" s="15"/>
      <c r="T517" s="15"/>
      <c r="U517" s="243"/>
      <c r="V517" s="243"/>
      <c r="W517" s="243"/>
    </row>
    <row r="518">
      <c r="A518" s="34"/>
      <c r="B518" s="15"/>
      <c r="C518" s="15"/>
      <c r="D518" s="15"/>
      <c r="E518" s="17"/>
      <c r="F518" s="15"/>
      <c r="G518" s="250"/>
      <c r="H518" s="243"/>
      <c r="I518" s="243"/>
      <c r="J518" s="243"/>
      <c r="K518" s="85"/>
      <c r="L518" s="85"/>
      <c r="M518" s="85"/>
      <c r="N518" s="85"/>
      <c r="O518" s="29"/>
      <c r="P518" s="307"/>
      <c r="Q518" s="15"/>
      <c r="R518" s="15"/>
      <c r="S518" s="15"/>
      <c r="T518" s="15"/>
      <c r="U518" s="243"/>
      <c r="V518" s="243"/>
      <c r="W518" s="243"/>
    </row>
    <row r="519">
      <c r="A519" s="34"/>
      <c r="B519" s="15"/>
      <c r="C519" s="15"/>
      <c r="D519" s="15"/>
      <c r="E519" s="17"/>
      <c r="F519" s="15"/>
      <c r="G519" s="250"/>
      <c r="H519" s="243"/>
      <c r="I519" s="243"/>
      <c r="J519" s="243"/>
      <c r="K519" s="85"/>
      <c r="L519" s="85"/>
      <c r="M519" s="85"/>
      <c r="N519" s="85"/>
      <c r="O519" s="29"/>
      <c r="P519" s="307"/>
      <c r="Q519" s="15"/>
      <c r="R519" s="15"/>
      <c r="S519" s="15"/>
      <c r="T519" s="15"/>
      <c r="U519" s="243"/>
      <c r="V519" s="243"/>
      <c r="W519" s="243"/>
    </row>
    <row r="520">
      <c r="A520" s="34"/>
      <c r="B520" s="15"/>
      <c r="C520" s="15"/>
      <c r="D520" s="15"/>
      <c r="E520" s="17"/>
      <c r="F520" s="15"/>
      <c r="G520" s="250"/>
      <c r="H520" s="243"/>
      <c r="I520" s="243"/>
      <c r="J520" s="243"/>
      <c r="K520" s="85"/>
      <c r="L520" s="85"/>
      <c r="M520" s="85"/>
      <c r="N520" s="85"/>
      <c r="O520" s="29"/>
      <c r="P520" s="307"/>
      <c r="Q520" s="15"/>
      <c r="R520" s="15"/>
      <c r="S520" s="15"/>
      <c r="T520" s="15"/>
      <c r="U520" s="243"/>
      <c r="V520" s="243"/>
      <c r="W520" s="243"/>
    </row>
    <row r="521">
      <c r="A521" s="34"/>
      <c r="B521" s="15"/>
      <c r="C521" s="15"/>
      <c r="D521" s="15"/>
      <c r="E521" s="17"/>
      <c r="F521" s="15"/>
      <c r="G521" s="250"/>
      <c r="H521" s="243"/>
      <c r="I521" s="243"/>
      <c r="J521" s="243"/>
      <c r="K521" s="85"/>
      <c r="L521" s="85"/>
      <c r="M521" s="85"/>
      <c r="N521" s="85"/>
      <c r="O521" s="29"/>
      <c r="P521" s="307"/>
      <c r="Q521" s="15"/>
      <c r="R521" s="15"/>
      <c r="S521" s="15"/>
      <c r="T521" s="15"/>
      <c r="U521" s="243"/>
      <c r="V521" s="243"/>
      <c r="W521" s="243"/>
    </row>
    <row r="522">
      <c r="A522" s="34"/>
      <c r="B522" s="15"/>
      <c r="C522" s="15"/>
      <c r="D522" s="15"/>
      <c r="E522" s="17"/>
      <c r="F522" s="15"/>
      <c r="G522" s="250"/>
      <c r="H522" s="243"/>
      <c r="I522" s="243"/>
      <c r="J522" s="243"/>
      <c r="K522" s="85"/>
      <c r="L522" s="85"/>
      <c r="M522" s="85"/>
      <c r="N522" s="85"/>
      <c r="O522" s="29"/>
      <c r="P522" s="307"/>
      <c r="Q522" s="15"/>
      <c r="R522" s="15"/>
      <c r="S522" s="15"/>
      <c r="T522" s="15"/>
      <c r="U522" s="243"/>
      <c r="V522" s="243"/>
      <c r="W522" s="243"/>
    </row>
    <row r="523">
      <c r="A523" s="34"/>
      <c r="B523" s="15"/>
      <c r="C523" s="15"/>
      <c r="D523" s="15"/>
      <c r="E523" s="17"/>
      <c r="F523" s="15"/>
      <c r="G523" s="250"/>
      <c r="H523" s="243"/>
      <c r="I523" s="243"/>
      <c r="J523" s="243"/>
      <c r="K523" s="85"/>
      <c r="L523" s="85"/>
      <c r="M523" s="85"/>
      <c r="N523" s="85"/>
      <c r="O523" s="29"/>
      <c r="P523" s="307"/>
      <c r="Q523" s="15"/>
      <c r="R523" s="15"/>
      <c r="S523" s="15"/>
      <c r="T523" s="15"/>
      <c r="U523" s="243"/>
      <c r="V523" s="243"/>
      <c r="W523" s="243"/>
    </row>
    <row r="524">
      <c r="A524" s="34"/>
      <c r="B524" s="15"/>
      <c r="C524" s="15"/>
      <c r="D524" s="15"/>
      <c r="E524" s="17"/>
      <c r="F524" s="15"/>
      <c r="G524" s="250"/>
      <c r="H524" s="243"/>
      <c r="I524" s="243"/>
      <c r="J524" s="243"/>
      <c r="K524" s="85"/>
      <c r="L524" s="85"/>
      <c r="M524" s="85"/>
      <c r="N524" s="85"/>
      <c r="O524" s="29"/>
      <c r="P524" s="307"/>
      <c r="Q524" s="15"/>
      <c r="R524" s="15"/>
      <c r="S524" s="15"/>
      <c r="T524" s="15"/>
      <c r="U524" s="243"/>
      <c r="V524" s="243"/>
      <c r="W524" s="243"/>
    </row>
    <row r="525">
      <c r="A525" s="34"/>
      <c r="B525" s="15"/>
      <c r="C525" s="15"/>
      <c r="D525" s="15"/>
      <c r="E525" s="17"/>
      <c r="F525" s="15"/>
      <c r="G525" s="250"/>
      <c r="H525" s="243"/>
      <c r="I525" s="243"/>
      <c r="J525" s="243"/>
      <c r="K525" s="85"/>
      <c r="L525" s="85"/>
      <c r="M525" s="85"/>
      <c r="N525" s="85"/>
      <c r="O525" s="29"/>
      <c r="P525" s="307"/>
      <c r="Q525" s="15"/>
      <c r="R525" s="15"/>
      <c r="S525" s="15"/>
      <c r="T525" s="15"/>
      <c r="U525" s="243"/>
      <c r="V525" s="243"/>
      <c r="W525" s="243"/>
    </row>
    <row r="526">
      <c r="A526" s="34"/>
      <c r="B526" s="15"/>
      <c r="C526" s="15"/>
      <c r="D526" s="15"/>
      <c r="E526" s="17"/>
      <c r="F526" s="15"/>
      <c r="G526" s="250"/>
      <c r="H526" s="243"/>
      <c r="I526" s="243"/>
      <c r="J526" s="243"/>
      <c r="K526" s="85"/>
      <c r="L526" s="85"/>
      <c r="M526" s="85"/>
      <c r="N526" s="85"/>
      <c r="O526" s="29"/>
      <c r="P526" s="307"/>
      <c r="Q526" s="15"/>
      <c r="R526" s="15"/>
      <c r="S526" s="15"/>
      <c r="T526" s="15"/>
      <c r="U526" s="243"/>
      <c r="V526" s="243"/>
      <c r="W526" s="243"/>
    </row>
    <row r="527">
      <c r="A527" s="34"/>
      <c r="B527" s="15"/>
      <c r="C527" s="15"/>
      <c r="D527" s="15"/>
      <c r="E527" s="17"/>
      <c r="F527" s="15"/>
      <c r="G527" s="250"/>
      <c r="H527" s="243"/>
      <c r="I527" s="243"/>
      <c r="J527" s="243"/>
      <c r="K527" s="85"/>
      <c r="L527" s="85"/>
      <c r="M527" s="85"/>
      <c r="N527" s="85"/>
      <c r="O527" s="29"/>
      <c r="P527" s="307"/>
      <c r="Q527" s="15"/>
      <c r="R527" s="15"/>
      <c r="S527" s="15"/>
      <c r="T527" s="15"/>
      <c r="U527" s="243"/>
      <c r="V527" s="243"/>
      <c r="W527" s="243"/>
    </row>
    <row r="528">
      <c r="A528" s="34"/>
      <c r="B528" s="15"/>
      <c r="C528" s="15"/>
      <c r="D528" s="15"/>
      <c r="E528" s="17"/>
      <c r="F528" s="15"/>
      <c r="G528" s="250"/>
      <c r="H528" s="243"/>
      <c r="I528" s="243"/>
      <c r="J528" s="243"/>
      <c r="K528" s="85"/>
      <c r="L528" s="85"/>
      <c r="M528" s="85"/>
      <c r="N528" s="85"/>
      <c r="O528" s="29"/>
      <c r="P528" s="307"/>
      <c r="Q528" s="15"/>
      <c r="R528" s="15"/>
      <c r="S528" s="15"/>
      <c r="T528" s="15"/>
      <c r="U528" s="243"/>
      <c r="V528" s="243"/>
      <c r="W528" s="243"/>
    </row>
    <row r="529">
      <c r="A529" s="34"/>
      <c r="B529" s="15"/>
      <c r="C529" s="15"/>
      <c r="D529" s="15"/>
      <c r="E529" s="17"/>
      <c r="F529" s="15"/>
      <c r="G529" s="250"/>
      <c r="H529" s="243"/>
      <c r="I529" s="243"/>
      <c r="J529" s="243"/>
      <c r="K529" s="85"/>
      <c r="L529" s="85"/>
      <c r="M529" s="85"/>
      <c r="N529" s="85"/>
      <c r="O529" s="29"/>
      <c r="P529" s="307"/>
      <c r="Q529" s="15"/>
      <c r="R529" s="15"/>
      <c r="S529" s="15"/>
      <c r="T529" s="15"/>
      <c r="U529" s="243"/>
      <c r="V529" s="243"/>
      <c r="W529" s="243"/>
    </row>
    <row r="530">
      <c r="A530" s="34"/>
      <c r="B530" s="15"/>
      <c r="C530" s="15"/>
      <c r="D530" s="15"/>
      <c r="E530" s="17"/>
      <c r="F530" s="15"/>
      <c r="G530" s="250"/>
      <c r="H530" s="243"/>
      <c r="I530" s="243"/>
      <c r="J530" s="243"/>
      <c r="K530" s="85"/>
      <c r="L530" s="85"/>
      <c r="M530" s="85"/>
      <c r="N530" s="85"/>
      <c r="O530" s="29"/>
      <c r="P530" s="307"/>
      <c r="Q530" s="15"/>
      <c r="R530" s="15"/>
      <c r="S530" s="15"/>
      <c r="T530" s="15"/>
      <c r="U530" s="243"/>
      <c r="V530" s="243"/>
      <c r="W530" s="243"/>
    </row>
    <row r="531">
      <c r="A531" s="34"/>
      <c r="B531" s="15"/>
      <c r="C531" s="15"/>
      <c r="D531" s="15"/>
      <c r="E531" s="17"/>
      <c r="F531" s="15"/>
      <c r="G531" s="250"/>
      <c r="H531" s="243"/>
      <c r="I531" s="243"/>
      <c r="J531" s="243"/>
      <c r="K531" s="85"/>
      <c r="L531" s="85"/>
      <c r="M531" s="85"/>
      <c r="N531" s="85"/>
      <c r="O531" s="29"/>
      <c r="P531" s="307"/>
      <c r="Q531" s="15"/>
      <c r="R531" s="15"/>
      <c r="S531" s="15"/>
      <c r="T531" s="15"/>
      <c r="U531" s="243"/>
      <c r="V531" s="243"/>
      <c r="W531" s="243"/>
    </row>
    <row r="532">
      <c r="A532" s="34"/>
      <c r="B532" s="15"/>
      <c r="C532" s="15"/>
      <c r="D532" s="15"/>
      <c r="E532" s="17"/>
      <c r="F532" s="15"/>
      <c r="G532" s="250"/>
      <c r="H532" s="243"/>
      <c r="I532" s="243"/>
      <c r="J532" s="243"/>
      <c r="K532" s="85"/>
      <c r="L532" s="85"/>
      <c r="M532" s="85"/>
      <c r="N532" s="85"/>
      <c r="O532" s="29"/>
      <c r="P532" s="307"/>
      <c r="Q532" s="15"/>
      <c r="R532" s="15"/>
      <c r="S532" s="15"/>
      <c r="T532" s="15"/>
      <c r="U532" s="243"/>
      <c r="V532" s="243"/>
      <c r="W532" s="243"/>
    </row>
    <row r="533">
      <c r="A533" s="34"/>
      <c r="B533" s="15"/>
      <c r="C533" s="15"/>
      <c r="D533" s="15"/>
      <c r="E533" s="17"/>
      <c r="F533" s="15"/>
      <c r="G533" s="250"/>
      <c r="H533" s="243"/>
      <c r="I533" s="243"/>
      <c r="J533" s="243"/>
      <c r="K533" s="85"/>
      <c r="L533" s="85"/>
      <c r="M533" s="85"/>
      <c r="N533" s="85"/>
      <c r="O533" s="29"/>
      <c r="P533" s="307"/>
      <c r="Q533" s="15"/>
      <c r="R533" s="15"/>
      <c r="S533" s="15"/>
      <c r="T533" s="15"/>
      <c r="U533" s="243"/>
      <c r="V533" s="243"/>
      <c r="W533" s="243"/>
    </row>
    <row r="534">
      <c r="A534" s="34"/>
      <c r="B534" s="15"/>
      <c r="C534" s="15"/>
      <c r="D534" s="15"/>
      <c r="E534" s="17"/>
      <c r="F534" s="15"/>
      <c r="G534" s="250"/>
      <c r="H534" s="243"/>
      <c r="I534" s="243"/>
      <c r="J534" s="243"/>
      <c r="K534" s="85"/>
      <c r="L534" s="85"/>
      <c r="M534" s="85"/>
      <c r="N534" s="85"/>
      <c r="O534" s="29"/>
      <c r="P534" s="307"/>
      <c r="Q534" s="15"/>
      <c r="R534" s="15"/>
      <c r="S534" s="15"/>
      <c r="T534" s="15"/>
      <c r="U534" s="243"/>
      <c r="V534" s="243"/>
      <c r="W534" s="243"/>
    </row>
    <row r="535">
      <c r="A535" s="34"/>
      <c r="B535" s="15"/>
      <c r="C535" s="15"/>
      <c r="D535" s="15"/>
      <c r="E535" s="17"/>
      <c r="F535" s="15"/>
      <c r="G535" s="250"/>
      <c r="H535" s="243"/>
      <c r="I535" s="243"/>
      <c r="J535" s="243"/>
      <c r="K535" s="85"/>
      <c r="L535" s="85"/>
      <c r="M535" s="85"/>
      <c r="N535" s="85"/>
      <c r="O535" s="29"/>
      <c r="P535" s="307"/>
      <c r="Q535" s="15"/>
      <c r="R535" s="15"/>
      <c r="S535" s="15"/>
      <c r="T535" s="15"/>
      <c r="U535" s="243"/>
      <c r="V535" s="243"/>
      <c r="W535" s="243"/>
    </row>
    <row r="536">
      <c r="A536" s="34"/>
      <c r="B536" s="15"/>
      <c r="C536" s="15"/>
      <c r="D536" s="15"/>
      <c r="E536" s="17"/>
      <c r="F536" s="15"/>
      <c r="G536" s="250"/>
      <c r="H536" s="243"/>
      <c r="I536" s="243"/>
      <c r="J536" s="243"/>
      <c r="K536" s="85"/>
      <c r="L536" s="85"/>
      <c r="M536" s="85"/>
      <c r="N536" s="85"/>
      <c r="O536" s="29"/>
      <c r="P536" s="307"/>
      <c r="Q536" s="15"/>
      <c r="R536" s="15"/>
      <c r="S536" s="15"/>
      <c r="T536" s="15"/>
      <c r="U536" s="243"/>
      <c r="V536" s="243"/>
      <c r="W536" s="243"/>
    </row>
    <row r="537">
      <c r="A537" s="34"/>
      <c r="B537" s="15"/>
      <c r="C537" s="15"/>
      <c r="D537" s="15"/>
      <c r="E537" s="17"/>
      <c r="F537" s="15"/>
      <c r="G537" s="250"/>
      <c r="H537" s="243"/>
      <c r="I537" s="243"/>
      <c r="J537" s="243"/>
      <c r="K537" s="85"/>
      <c r="L537" s="85"/>
      <c r="M537" s="85"/>
      <c r="N537" s="85"/>
      <c r="O537" s="29"/>
      <c r="P537" s="307"/>
      <c r="Q537" s="15"/>
      <c r="R537" s="15"/>
      <c r="S537" s="15"/>
      <c r="T537" s="15"/>
      <c r="U537" s="243"/>
      <c r="V537" s="243"/>
      <c r="W537" s="243"/>
    </row>
    <row r="538">
      <c r="A538" s="34"/>
      <c r="B538" s="15"/>
      <c r="C538" s="15"/>
      <c r="D538" s="15"/>
      <c r="E538" s="17"/>
      <c r="F538" s="15"/>
      <c r="G538" s="250"/>
      <c r="H538" s="243"/>
      <c r="I538" s="243"/>
      <c r="J538" s="243"/>
      <c r="K538" s="85"/>
      <c r="L538" s="85"/>
      <c r="M538" s="85"/>
      <c r="N538" s="85"/>
      <c r="O538" s="29"/>
      <c r="P538" s="307"/>
      <c r="Q538" s="15"/>
      <c r="R538" s="15"/>
      <c r="S538" s="15"/>
      <c r="T538" s="15"/>
      <c r="U538" s="243"/>
      <c r="V538" s="243"/>
      <c r="W538" s="243"/>
    </row>
    <row r="539">
      <c r="A539" s="34"/>
      <c r="B539" s="15"/>
      <c r="C539" s="15"/>
      <c r="D539" s="15"/>
      <c r="E539" s="17"/>
      <c r="F539" s="15"/>
      <c r="G539" s="250"/>
      <c r="H539" s="243"/>
      <c r="I539" s="243"/>
      <c r="J539" s="243"/>
      <c r="K539" s="85"/>
      <c r="L539" s="85"/>
      <c r="M539" s="85"/>
      <c r="N539" s="85"/>
      <c r="O539" s="29"/>
      <c r="P539" s="307"/>
      <c r="Q539" s="15"/>
      <c r="R539" s="15"/>
      <c r="S539" s="15"/>
      <c r="T539" s="15"/>
      <c r="U539" s="243"/>
      <c r="V539" s="243"/>
      <c r="W539" s="243"/>
    </row>
    <row r="540">
      <c r="A540" s="34"/>
      <c r="B540" s="15"/>
      <c r="C540" s="15"/>
      <c r="D540" s="15"/>
      <c r="E540" s="17"/>
      <c r="F540" s="15"/>
      <c r="G540" s="250"/>
      <c r="H540" s="243"/>
      <c r="I540" s="243"/>
      <c r="J540" s="243"/>
      <c r="K540" s="85"/>
      <c r="L540" s="85"/>
      <c r="M540" s="85"/>
      <c r="N540" s="85"/>
      <c r="O540" s="29"/>
      <c r="P540" s="307"/>
      <c r="Q540" s="15"/>
      <c r="R540" s="15"/>
      <c r="S540" s="15"/>
      <c r="T540" s="15"/>
      <c r="U540" s="243"/>
      <c r="V540" s="243"/>
      <c r="W540" s="243"/>
    </row>
    <row r="541">
      <c r="A541" s="34"/>
      <c r="B541" s="15"/>
      <c r="C541" s="15"/>
      <c r="D541" s="15"/>
      <c r="E541" s="17"/>
      <c r="F541" s="15"/>
      <c r="G541" s="250"/>
      <c r="H541" s="243"/>
      <c r="I541" s="243"/>
      <c r="J541" s="243"/>
      <c r="K541" s="85"/>
      <c r="L541" s="85"/>
      <c r="M541" s="85"/>
      <c r="N541" s="85"/>
      <c r="O541" s="29"/>
      <c r="P541" s="307"/>
      <c r="Q541" s="15"/>
      <c r="R541" s="15"/>
      <c r="S541" s="15"/>
      <c r="T541" s="15"/>
      <c r="U541" s="243"/>
      <c r="V541" s="243"/>
      <c r="W541" s="243"/>
    </row>
    <row r="542">
      <c r="A542" s="34"/>
      <c r="B542" s="15"/>
      <c r="C542" s="15"/>
      <c r="D542" s="15"/>
      <c r="E542" s="17"/>
      <c r="F542" s="15"/>
      <c r="G542" s="250"/>
      <c r="H542" s="243"/>
      <c r="I542" s="243"/>
      <c r="J542" s="243"/>
      <c r="K542" s="85"/>
      <c r="L542" s="85"/>
      <c r="M542" s="85"/>
      <c r="N542" s="85"/>
      <c r="O542" s="29"/>
      <c r="P542" s="307"/>
      <c r="Q542" s="15"/>
      <c r="R542" s="15"/>
      <c r="S542" s="15"/>
      <c r="T542" s="15"/>
      <c r="U542" s="243"/>
      <c r="V542" s="243"/>
      <c r="W542" s="243"/>
    </row>
    <row r="543">
      <c r="A543" s="34"/>
      <c r="B543" s="15"/>
      <c r="C543" s="15"/>
      <c r="D543" s="15"/>
      <c r="E543" s="17"/>
      <c r="F543" s="15"/>
      <c r="G543" s="250"/>
      <c r="H543" s="243"/>
      <c r="I543" s="243"/>
      <c r="J543" s="243"/>
      <c r="K543" s="85"/>
      <c r="L543" s="85"/>
      <c r="M543" s="85"/>
      <c r="N543" s="85"/>
      <c r="O543" s="29"/>
      <c r="P543" s="307"/>
      <c r="Q543" s="15"/>
      <c r="R543" s="15"/>
      <c r="S543" s="15"/>
      <c r="T543" s="15"/>
      <c r="U543" s="243"/>
      <c r="V543" s="243"/>
      <c r="W543" s="243"/>
    </row>
    <row r="544">
      <c r="A544" s="34"/>
      <c r="B544" s="15"/>
      <c r="C544" s="15"/>
      <c r="D544" s="15"/>
      <c r="E544" s="17"/>
      <c r="F544" s="15"/>
      <c r="G544" s="250"/>
      <c r="H544" s="243"/>
      <c r="I544" s="243"/>
      <c r="J544" s="243"/>
      <c r="K544" s="85"/>
      <c r="L544" s="85"/>
      <c r="M544" s="85"/>
      <c r="N544" s="85"/>
      <c r="O544" s="29"/>
      <c r="P544" s="307"/>
      <c r="Q544" s="15"/>
      <c r="R544" s="15"/>
      <c r="S544" s="15"/>
      <c r="T544" s="15"/>
      <c r="U544" s="243"/>
      <c r="V544" s="243"/>
      <c r="W544" s="243"/>
    </row>
    <row r="545">
      <c r="A545" s="34"/>
      <c r="B545" s="15"/>
      <c r="C545" s="15"/>
      <c r="D545" s="15"/>
      <c r="E545" s="17"/>
      <c r="F545" s="15"/>
      <c r="G545" s="250"/>
      <c r="H545" s="243"/>
      <c r="I545" s="243"/>
      <c r="J545" s="243"/>
      <c r="K545" s="85"/>
      <c r="L545" s="85"/>
      <c r="M545" s="85"/>
      <c r="N545" s="85"/>
      <c r="O545" s="29"/>
      <c r="P545" s="307"/>
      <c r="Q545" s="15"/>
      <c r="R545" s="15"/>
      <c r="S545" s="15"/>
      <c r="T545" s="15"/>
      <c r="U545" s="243"/>
      <c r="V545" s="243"/>
      <c r="W545" s="243"/>
    </row>
    <row r="546">
      <c r="A546" s="34"/>
      <c r="B546" s="15"/>
      <c r="C546" s="15"/>
      <c r="D546" s="15"/>
      <c r="E546" s="17"/>
      <c r="F546" s="15"/>
      <c r="G546" s="250"/>
      <c r="H546" s="243"/>
      <c r="I546" s="243"/>
      <c r="J546" s="243"/>
      <c r="K546" s="85"/>
      <c r="L546" s="85"/>
      <c r="M546" s="85"/>
      <c r="N546" s="85"/>
      <c r="O546" s="29"/>
      <c r="P546" s="307"/>
      <c r="Q546" s="15"/>
      <c r="R546" s="15"/>
      <c r="S546" s="15"/>
      <c r="T546" s="15"/>
      <c r="U546" s="243"/>
      <c r="V546" s="243"/>
      <c r="W546" s="243"/>
    </row>
    <row r="547">
      <c r="A547" s="34"/>
      <c r="B547" s="15"/>
      <c r="C547" s="15"/>
      <c r="D547" s="15"/>
      <c r="E547" s="17"/>
      <c r="F547" s="15"/>
      <c r="G547" s="250"/>
      <c r="H547" s="243"/>
      <c r="I547" s="243"/>
      <c r="J547" s="243"/>
      <c r="K547" s="85"/>
      <c r="L547" s="85"/>
      <c r="M547" s="85"/>
      <c r="N547" s="85"/>
      <c r="O547" s="29"/>
      <c r="P547" s="307"/>
      <c r="Q547" s="15"/>
      <c r="R547" s="15"/>
      <c r="S547" s="15"/>
      <c r="T547" s="15"/>
      <c r="U547" s="243"/>
      <c r="V547" s="243"/>
      <c r="W547" s="243"/>
    </row>
    <row r="548">
      <c r="A548" s="34"/>
      <c r="B548" s="15"/>
      <c r="C548" s="15"/>
      <c r="D548" s="15"/>
      <c r="E548" s="17"/>
      <c r="F548" s="15"/>
      <c r="G548" s="250"/>
      <c r="H548" s="243"/>
      <c r="I548" s="243"/>
      <c r="J548" s="243"/>
      <c r="K548" s="85"/>
      <c r="L548" s="85"/>
      <c r="M548" s="85"/>
      <c r="N548" s="85"/>
      <c r="O548" s="29"/>
      <c r="P548" s="307"/>
      <c r="Q548" s="15"/>
      <c r="R548" s="15"/>
      <c r="S548" s="15"/>
      <c r="T548" s="15"/>
      <c r="U548" s="243"/>
      <c r="V548" s="243"/>
      <c r="W548" s="243"/>
    </row>
    <row r="549">
      <c r="A549" s="34"/>
      <c r="B549" s="15"/>
      <c r="C549" s="15"/>
      <c r="D549" s="15"/>
      <c r="E549" s="17"/>
      <c r="F549" s="15"/>
      <c r="G549" s="250"/>
      <c r="H549" s="243"/>
      <c r="I549" s="243"/>
      <c r="J549" s="243"/>
      <c r="K549" s="85"/>
      <c r="L549" s="85"/>
      <c r="M549" s="85"/>
      <c r="N549" s="85"/>
      <c r="O549" s="29"/>
      <c r="P549" s="307"/>
      <c r="Q549" s="15"/>
      <c r="R549" s="15"/>
      <c r="S549" s="15"/>
      <c r="T549" s="15"/>
      <c r="U549" s="243"/>
      <c r="V549" s="243"/>
      <c r="W549" s="243"/>
    </row>
    <row r="550">
      <c r="A550" s="34"/>
      <c r="B550" s="15"/>
      <c r="C550" s="15"/>
      <c r="D550" s="15"/>
      <c r="E550" s="17"/>
      <c r="F550" s="15"/>
      <c r="G550" s="250"/>
      <c r="H550" s="243"/>
      <c r="I550" s="243"/>
      <c r="J550" s="243"/>
      <c r="K550" s="85"/>
      <c r="L550" s="85"/>
      <c r="M550" s="85"/>
      <c r="N550" s="85"/>
      <c r="O550" s="29"/>
      <c r="P550" s="307"/>
      <c r="Q550" s="15"/>
      <c r="R550" s="15"/>
      <c r="S550" s="15"/>
      <c r="T550" s="15"/>
      <c r="U550" s="243"/>
      <c r="V550" s="243"/>
      <c r="W550" s="243"/>
    </row>
    <row r="551">
      <c r="A551" s="34"/>
      <c r="B551" s="15"/>
      <c r="C551" s="15"/>
      <c r="D551" s="15"/>
      <c r="E551" s="17"/>
      <c r="F551" s="15"/>
      <c r="G551" s="250"/>
      <c r="H551" s="243"/>
      <c r="I551" s="243"/>
      <c r="J551" s="243"/>
      <c r="K551" s="85"/>
      <c r="L551" s="85"/>
      <c r="M551" s="85"/>
      <c r="N551" s="85"/>
      <c r="O551" s="29"/>
      <c r="P551" s="307"/>
      <c r="Q551" s="15"/>
      <c r="R551" s="15"/>
      <c r="S551" s="15"/>
      <c r="T551" s="15"/>
      <c r="U551" s="243"/>
      <c r="V551" s="243"/>
      <c r="W551" s="243"/>
    </row>
    <row r="552">
      <c r="A552" s="34"/>
      <c r="B552" s="15"/>
      <c r="C552" s="15"/>
      <c r="D552" s="15"/>
      <c r="E552" s="17"/>
      <c r="F552" s="15"/>
      <c r="G552" s="250"/>
      <c r="H552" s="243"/>
      <c r="I552" s="243"/>
      <c r="J552" s="243"/>
      <c r="K552" s="85"/>
      <c r="L552" s="85"/>
      <c r="M552" s="85"/>
      <c r="N552" s="85"/>
      <c r="O552" s="29"/>
      <c r="P552" s="307"/>
      <c r="Q552" s="15"/>
      <c r="R552" s="15"/>
      <c r="S552" s="15"/>
      <c r="T552" s="15"/>
      <c r="U552" s="243"/>
      <c r="V552" s="243"/>
      <c r="W552" s="243"/>
    </row>
    <row r="553">
      <c r="A553" s="34"/>
      <c r="B553" s="15"/>
      <c r="C553" s="15"/>
      <c r="D553" s="15"/>
      <c r="E553" s="17"/>
      <c r="F553" s="15"/>
      <c r="G553" s="250"/>
      <c r="H553" s="243"/>
      <c r="I553" s="243"/>
      <c r="J553" s="243"/>
      <c r="K553" s="85"/>
      <c r="L553" s="85"/>
      <c r="M553" s="85"/>
      <c r="N553" s="85"/>
      <c r="O553" s="29"/>
      <c r="P553" s="307"/>
      <c r="Q553" s="15"/>
      <c r="R553" s="15"/>
      <c r="S553" s="15"/>
      <c r="T553" s="15"/>
      <c r="U553" s="243"/>
      <c r="V553" s="243"/>
      <c r="W553" s="243"/>
    </row>
    <row r="554">
      <c r="A554" s="34"/>
      <c r="B554" s="15"/>
      <c r="C554" s="15"/>
      <c r="D554" s="15"/>
      <c r="E554" s="17"/>
      <c r="F554" s="15"/>
      <c r="G554" s="250"/>
      <c r="H554" s="243"/>
      <c r="I554" s="243"/>
      <c r="J554" s="243"/>
      <c r="K554" s="85"/>
      <c r="L554" s="85"/>
      <c r="M554" s="85"/>
      <c r="N554" s="85"/>
      <c r="O554" s="29"/>
      <c r="P554" s="307"/>
      <c r="Q554" s="15"/>
      <c r="R554" s="15"/>
      <c r="S554" s="15"/>
      <c r="T554" s="15"/>
      <c r="U554" s="243"/>
      <c r="V554" s="243"/>
      <c r="W554" s="243"/>
    </row>
    <row r="555">
      <c r="A555" s="34"/>
      <c r="B555" s="15"/>
      <c r="C555" s="15"/>
      <c r="D555" s="15"/>
      <c r="E555" s="17"/>
      <c r="F555" s="15"/>
      <c r="G555" s="250"/>
      <c r="H555" s="243"/>
      <c r="I555" s="243"/>
      <c r="J555" s="243"/>
      <c r="K555" s="85"/>
      <c r="L555" s="85"/>
      <c r="M555" s="85"/>
      <c r="N555" s="85"/>
      <c r="O555" s="29"/>
      <c r="P555" s="307"/>
      <c r="Q555" s="15"/>
      <c r="R555" s="15"/>
      <c r="S555" s="15"/>
      <c r="T555" s="15"/>
      <c r="U555" s="243"/>
      <c r="V555" s="243"/>
      <c r="W555" s="243"/>
    </row>
    <row r="556">
      <c r="A556" s="34"/>
      <c r="B556" s="15"/>
      <c r="C556" s="15"/>
      <c r="D556" s="15"/>
      <c r="E556" s="17"/>
      <c r="F556" s="15"/>
      <c r="G556" s="250"/>
      <c r="H556" s="243"/>
      <c r="I556" s="243"/>
      <c r="J556" s="243"/>
      <c r="K556" s="85"/>
      <c r="L556" s="85"/>
      <c r="M556" s="85"/>
      <c r="N556" s="85"/>
      <c r="O556" s="29"/>
      <c r="P556" s="307"/>
      <c r="Q556" s="15"/>
      <c r="R556" s="15"/>
      <c r="S556" s="15"/>
      <c r="T556" s="15"/>
      <c r="U556" s="243"/>
      <c r="V556" s="243"/>
      <c r="W556" s="243"/>
    </row>
    <row r="557">
      <c r="A557" s="34"/>
      <c r="B557" s="15"/>
      <c r="C557" s="15"/>
      <c r="D557" s="15"/>
      <c r="E557" s="17"/>
      <c r="F557" s="15"/>
      <c r="G557" s="250"/>
      <c r="H557" s="243"/>
      <c r="I557" s="243"/>
      <c r="J557" s="243"/>
      <c r="K557" s="85"/>
      <c r="L557" s="85"/>
      <c r="M557" s="85"/>
      <c r="N557" s="85"/>
      <c r="O557" s="29"/>
      <c r="P557" s="307"/>
      <c r="Q557" s="15"/>
      <c r="R557" s="15"/>
      <c r="S557" s="15"/>
      <c r="T557" s="15"/>
      <c r="U557" s="243"/>
      <c r="V557" s="243"/>
      <c r="W557" s="243"/>
    </row>
    <row r="558">
      <c r="A558" s="34"/>
      <c r="B558" s="15"/>
      <c r="C558" s="15"/>
      <c r="D558" s="15"/>
      <c r="E558" s="17"/>
      <c r="F558" s="15"/>
      <c r="G558" s="250"/>
      <c r="H558" s="243"/>
      <c r="I558" s="243"/>
      <c r="J558" s="243"/>
      <c r="K558" s="85"/>
      <c r="L558" s="85"/>
      <c r="M558" s="85"/>
      <c r="N558" s="85"/>
      <c r="O558" s="29"/>
      <c r="P558" s="307"/>
      <c r="Q558" s="15"/>
      <c r="R558" s="15"/>
      <c r="S558" s="15"/>
      <c r="T558" s="15"/>
      <c r="U558" s="243"/>
      <c r="V558" s="243"/>
      <c r="W558" s="243"/>
    </row>
    <row r="559">
      <c r="A559" s="34"/>
      <c r="B559" s="15"/>
      <c r="C559" s="15"/>
      <c r="D559" s="15"/>
      <c r="E559" s="17"/>
      <c r="F559" s="15"/>
      <c r="G559" s="250"/>
      <c r="H559" s="243"/>
      <c r="I559" s="243"/>
      <c r="J559" s="243"/>
      <c r="K559" s="85"/>
      <c r="L559" s="85"/>
      <c r="M559" s="85"/>
      <c r="N559" s="85"/>
      <c r="O559" s="29"/>
      <c r="P559" s="307"/>
      <c r="Q559" s="15"/>
      <c r="R559" s="15"/>
      <c r="S559" s="15"/>
      <c r="T559" s="15"/>
      <c r="U559" s="243"/>
      <c r="V559" s="243"/>
      <c r="W559" s="243"/>
    </row>
    <row r="560">
      <c r="A560" s="34"/>
      <c r="B560" s="15"/>
      <c r="C560" s="15"/>
      <c r="D560" s="15"/>
      <c r="E560" s="17"/>
      <c r="F560" s="15"/>
      <c r="G560" s="250"/>
      <c r="H560" s="243"/>
      <c r="I560" s="243"/>
      <c r="J560" s="243"/>
      <c r="K560" s="85"/>
      <c r="L560" s="85"/>
      <c r="M560" s="85"/>
      <c r="N560" s="85"/>
      <c r="O560" s="29"/>
      <c r="P560" s="307"/>
      <c r="Q560" s="15"/>
      <c r="R560" s="15"/>
      <c r="S560" s="15"/>
      <c r="T560" s="15"/>
      <c r="U560" s="243"/>
      <c r="V560" s="243"/>
      <c r="W560" s="243"/>
    </row>
    <row r="561">
      <c r="A561" s="34"/>
      <c r="B561" s="15"/>
      <c r="C561" s="15"/>
      <c r="D561" s="15"/>
      <c r="E561" s="17"/>
      <c r="F561" s="15"/>
      <c r="G561" s="250"/>
      <c r="H561" s="243"/>
      <c r="I561" s="243"/>
      <c r="J561" s="243"/>
      <c r="K561" s="85"/>
      <c r="L561" s="85"/>
      <c r="M561" s="85"/>
      <c r="N561" s="85"/>
      <c r="O561" s="29"/>
      <c r="P561" s="307"/>
      <c r="Q561" s="15"/>
      <c r="R561" s="15"/>
      <c r="S561" s="15"/>
      <c r="T561" s="15"/>
      <c r="U561" s="243"/>
      <c r="V561" s="243"/>
      <c r="W561" s="243"/>
    </row>
    <row r="562">
      <c r="A562" s="34"/>
      <c r="B562" s="15"/>
      <c r="C562" s="15"/>
      <c r="D562" s="15"/>
      <c r="E562" s="17"/>
      <c r="F562" s="15"/>
      <c r="G562" s="250"/>
      <c r="H562" s="243"/>
      <c r="I562" s="243"/>
      <c r="J562" s="243"/>
      <c r="K562" s="85"/>
      <c r="L562" s="85"/>
      <c r="M562" s="85"/>
      <c r="N562" s="85"/>
      <c r="O562" s="29"/>
      <c r="P562" s="307"/>
      <c r="Q562" s="15"/>
      <c r="R562" s="15"/>
      <c r="S562" s="15"/>
      <c r="T562" s="15"/>
      <c r="U562" s="243"/>
      <c r="V562" s="243"/>
      <c r="W562" s="243"/>
    </row>
    <row r="563">
      <c r="A563" s="34"/>
      <c r="B563" s="15"/>
      <c r="C563" s="15"/>
      <c r="D563" s="15"/>
      <c r="E563" s="17"/>
      <c r="F563" s="15"/>
      <c r="G563" s="250"/>
      <c r="H563" s="243"/>
      <c r="I563" s="243"/>
      <c r="J563" s="243"/>
      <c r="K563" s="85"/>
      <c r="L563" s="85"/>
      <c r="M563" s="85"/>
      <c r="N563" s="85"/>
      <c r="O563" s="29"/>
      <c r="P563" s="307"/>
      <c r="Q563" s="15"/>
      <c r="R563" s="15"/>
      <c r="S563" s="15"/>
      <c r="T563" s="15"/>
      <c r="U563" s="243"/>
      <c r="V563" s="243"/>
      <c r="W563" s="243"/>
    </row>
    <row r="564">
      <c r="A564" s="34"/>
      <c r="B564" s="15"/>
      <c r="C564" s="15"/>
      <c r="D564" s="15"/>
      <c r="E564" s="17"/>
      <c r="F564" s="15"/>
      <c r="G564" s="250"/>
      <c r="H564" s="243"/>
      <c r="I564" s="243"/>
      <c r="J564" s="243"/>
      <c r="K564" s="85"/>
      <c r="L564" s="85"/>
      <c r="M564" s="85"/>
      <c r="N564" s="85"/>
      <c r="O564" s="29"/>
      <c r="P564" s="307"/>
      <c r="Q564" s="15"/>
      <c r="R564" s="15"/>
      <c r="S564" s="15"/>
      <c r="T564" s="15"/>
      <c r="U564" s="243"/>
      <c r="V564" s="243"/>
      <c r="W564" s="243"/>
    </row>
    <row r="565">
      <c r="A565" s="34"/>
      <c r="B565" s="15"/>
      <c r="C565" s="15"/>
      <c r="D565" s="15"/>
      <c r="E565" s="17"/>
      <c r="F565" s="15"/>
      <c r="G565" s="250"/>
      <c r="H565" s="243"/>
      <c r="I565" s="243"/>
      <c r="J565" s="243"/>
      <c r="K565" s="85"/>
      <c r="L565" s="85"/>
      <c r="M565" s="85"/>
      <c r="N565" s="85"/>
      <c r="O565" s="29"/>
      <c r="P565" s="307"/>
      <c r="Q565" s="15"/>
      <c r="R565" s="15"/>
      <c r="S565" s="15"/>
      <c r="T565" s="15"/>
      <c r="U565" s="243"/>
      <c r="V565" s="243"/>
      <c r="W565" s="243"/>
    </row>
    <row r="566">
      <c r="A566" s="34"/>
      <c r="B566" s="15"/>
      <c r="C566" s="15"/>
      <c r="D566" s="15"/>
      <c r="E566" s="17"/>
      <c r="F566" s="15"/>
      <c r="G566" s="250"/>
      <c r="H566" s="243"/>
      <c r="I566" s="243"/>
      <c r="J566" s="243"/>
      <c r="K566" s="85"/>
      <c r="L566" s="85"/>
      <c r="M566" s="85"/>
      <c r="N566" s="85"/>
      <c r="O566" s="29"/>
      <c r="P566" s="307"/>
      <c r="Q566" s="15"/>
      <c r="R566" s="15"/>
      <c r="S566" s="15"/>
      <c r="T566" s="15"/>
      <c r="U566" s="243"/>
      <c r="V566" s="243"/>
      <c r="W566" s="243"/>
    </row>
    <row r="567">
      <c r="A567" s="34"/>
      <c r="B567" s="15"/>
      <c r="C567" s="15"/>
      <c r="D567" s="15"/>
      <c r="E567" s="17"/>
      <c r="F567" s="15"/>
      <c r="G567" s="250"/>
      <c r="H567" s="243"/>
      <c r="I567" s="243"/>
      <c r="J567" s="243"/>
      <c r="K567" s="85"/>
      <c r="L567" s="85"/>
      <c r="M567" s="85"/>
      <c r="N567" s="85"/>
      <c r="O567" s="29"/>
      <c r="P567" s="307"/>
      <c r="Q567" s="15"/>
      <c r="R567" s="15"/>
      <c r="S567" s="15"/>
      <c r="T567" s="15"/>
      <c r="U567" s="243"/>
      <c r="V567" s="243"/>
      <c r="W567" s="243"/>
    </row>
    <row r="568">
      <c r="A568" s="34"/>
      <c r="B568" s="15"/>
      <c r="C568" s="15"/>
      <c r="D568" s="15"/>
      <c r="E568" s="17"/>
      <c r="F568" s="15"/>
      <c r="G568" s="250"/>
      <c r="H568" s="243"/>
      <c r="I568" s="243"/>
      <c r="J568" s="243"/>
      <c r="K568" s="85"/>
      <c r="L568" s="85"/>
      <c r="M568" s="85"/>
      <c r="N568" s="85"/>
      <c r="O568" s="29"/>
      <c r="P568" s="307"/>
      <c r="Q568" s="15"/>
      <c r="R568" s="15"/>
      <c r="S568" s="15"/>
      <c r="T568" s="15"/>
      <c r="U568" s="243"/>
      <c r="V568" s="243"/>
      <c r="W568" s="243"/>
    </row>
    <row r="569">
      <c r="A569" s="34"/>
      <c r="B569" s="15"/>
      <c r="C569" s="15"/>
      <c r="D569" s="15"/>
      <c r="E569" s="17"/>
      <c r="F569" s="15"/>
      <c r="G569" s="250"/>
      <c r="H569" s="243"/>
      <c r="I569" s="243"/>
      <c r="J569" s="243"/>
      <c r="K569" s="85"/>
      <c r="L569" s="85"/>
      <c r="M569" s="85"/>
      <c r="N569" s="85"/>
      <c r="O569" s="29"/>
      <c r="P569" s="307"/>
      <c r="Q569" s="15"/>
      <c r="R569" s="15"/>
      <c r="S569" s="15"/>
      <c r="T569" s="15"/>
      <c r="U569" s="243"/>
      <c r="V569" s="243"/>
      <c r="W569" s="243"/>
    </row>
    <row r="570">
      <c r="A570" s="34"/>
      <c r="B570" s="15"/>
      <c r="C570" s="15"/>
      <c r="D570" s="15"/>
      <c r="E570" s="17"/>
      <c r="F570" s="15"/>
      <c r="G570" s="250"/>
      <c r="H570" s="243"/>
      <c r="I570" s="243"/>
      <c r="J570" s="243"/>
      <c r="K570" s="85"/>
      <c r="L570" s="85"/>
      <c r="M570" s="85"/>
      <c r="N570" s="85"/>
      <c r="O570" s="29"/>
      <c r="P570" s="307"/>
      <c r="Q570" s="15"/>
      <c r="R570" s="15"/>
      <c r="S570" s="15"/>
      <c r="T570" s="15"/>
      <c r="U570" s="243"/>
      <c r="V570" s="243"/>
      <c r="W570" s="243"/>
    </row>
    <row r="571">
      <c r="A571" s="34"/>
      <c r="B571" s="15"/>
      <c r="C571" s="15"/>
      <c r="D571" s="15"/>
      <c r="E571" s="17"/>
      <c r="F571" s="15"/>
      <c r="G571" s="250"/>
      <c r="H571" s="243"/>
      <c r="I571" s="243"/>
      <c r="J571" s="243"/>
      <c r="K571" s="85"/>
      <c r="L571" s="85"/>
      <c r="M571" s="85"/>
      <c r="N571" s="85"/>
      <c r="O571" s="29"/>
      <c r="P571" s="307"/>
      <c r="Q571" s="15"/>
      <c r="R571" s="15"/>
      <c r="S571" s="15"/>
      <c r="T571" s="15"/>
      <c r="U571" s="243"/>
      <c r="V571" s="243"/>
      <c r="W571" s="243"/>
    </row>
    <row r="572">
      <c r="A572" s="34"/>
      <c r="B572" s="15"/>
      <c r="C572" s="15"/>
      <c r="D572" s="15"/>
      <c r="E572" s="17"/>
      <c r="F572" s="15"/>
      <c r="G572" s="250"/>
      <c r="H572" s="243"/>
      <c r="I572" s="243"/>
      <c r="J572" s="243"/>
      <c r="K572" s="85"/>
      <c r="L572" s="85"/>
      <c r="M572" s="85"/>
      <c r="N572" s="85"/>
      <c r="O572" s="29"/>
      <c r="P572" s="307"/>
      <c r="Q572" s="15"/>
      <c r="R572" s="15"/>
      <c r="S572" s="15"/>
      <c r="T572" s="15"/>
      <c r="U572" s="243"/>
      <c r="V572" s="243"/>
      <c r="W572" s="243"/>
    </row>
    <row r="573">
      <c r="A573" s="34"/>
      <c r="B573" s="15"/>
      <c r="C573" s="15"/>
      <c r="D573" s="15"/>
      <c r="E573" s="17"/>
      <c r="F573" s="15"/>
      <c r="G573" s="250"/>
      <c r="H573" s="243"/>
      <c r="I573" s="243"/>
      <c r="J573" s="243"/>
      <c r="K573" s="85"/>
      <c r="L573" s="85"/>
      <c r="M573" s="85"/>
      <c r="N573" s="85"/>
      <c r="O573" s="29"/>
      <c r="P573" s="307"/>
      <c r="Q573" s="15"/>
      <c r="R573" s="15"/>
      <c r="S573" s="15"/>
      <c r="T573" s="15"/>
      <c r="U573" s="243"/>
      <c r="V573" s="243"/>
      <c r="W573" s="243"/>
    </row>
    <row r="574">
      <c r="A574" s="34"/>
      <c r="B574" s="15"/>
      <c r="C574" s="15"/>
      <c r="D574" s="15"/>
      <c r="E574" s="17"/>
      <c r="F574" s="15"/>
      <c r="G574" s="250"/>
      <c r="H574" s="243"/>
      <c r="I574" s="243"/>
      <c r="J574" s="243"/>
      <c r="K574" s="85"/>
      <c r="L574" s="85"/>
      <c r="M574" s="85"/>
      <c r="N574" s="85"/>
      <c r="O574" s="29"/>
      <c r="P574" s="307"/>
      <c r="Q574" s="15"/>
      <c r="R574" s="15"/>
      <c r="S574" s="15"/>
      <c r="T574" s="15"/>
      <c r="U574" s="243"/>
      <c r="V574" s="243"/>
      <c r="W574" s="243"/>
    </row>
    <row r="575">
      <c r="A575" s="34"/>
      <c r="B575" s="15"/>
      <c r="C575" s="15"/>
      <c r="D575" s="15"/>
      <c r="E575" s="17"/>
      <c r="F575" s="15"/>
      <c r="G575" s="250"/>
      <c r="H575" s="243"/>
      <c r="I575" s="243"/>
      <c r="J575" s="243"/>
      <c r="K575" s="85"/>
      <c r="L575" s="85"/>
      <c r="M575" s="85"/>
      <c r="N575" s="85"/>
      <c r="O575" s="29"/>
      <c r="P575" s="307"/>
      <c r="Q575" s="15"/>
      <c r="R575" s="15"/>
      <c r="S575" s="15"/>
      <c r="T575" s="15"/>
      <c r="U575" s="243"/>
      <c r="V575" s="243"/>
      <c r="W575" s="243"/>
    </row>
    <row r="576">
      <c r="A576" s="34"/>
      <c r="B576" s="15"/>
      <c r="C576" s="15"/>
      <c r="D576" s="15"/>
      <c r="E576" s="17"/>
      <c r="F576" s="15"/>
      <c r="G576" s="250"/>
      <c r="H576" s="243"/>
      <c r="I576" s="243"/>
      <c r="J576" s="243"/>
      <c r="K576" s="85"/>
      <c r="L576" s="85"/>
      <c r="M576" s="85"/>
      <c r="N576" s="85"/>
      <c r="O576" s="29"/>
      <c r="P576" s="307"/>
      <c r="Q576" s="15"/>
      <c r="R576" s="15"/>
      <c r="S576" s="15"/>
      <c r="T576" s="15"/>
      <c r="U576" s="243"/>
      <c r="V576" s="243"/>
      <c r="W576" s="243"/>
    </row>
    <row r="577">
      <c r="A577" s="34"/>
      <c r="B577" s="15"/>
      <c r="C577" s="15"/>
      <c r="D577" s="15"/>
      <c r="E577" s="17"/>
      <c r="F577" s="15"/>
      <c r="G577" s="250"/>
      <c r="H577" s="243"/>
      <c r="I577" s="243"/>
      <c r="J577" s="243"/>
      <c r="K577" s="85"/>
      <c r="L577" s="85"/>
      <c r="M577" s="85"/>
      <c r="N577" s="85"/>
      <c r="O577" s="29"/>
      <c r="P577" s="307"/>
      <c r="Q577" s="15"/>
      <c r="R577" s="15"/>
      <c r="S577" s="15"/>
      <c r="T577" s="15"/>
      <c r="U577" s="243"/>
      <c r="V577" s="243"/>
      <c r="W577" s="243"/>
    </row>
    <row r="578">
      <c r="A578" s="34"/>
      <c r="B578" s="15"/>
      <c r="C578" s="15"/>
      <c r="D578" s="15"/>
      <c r="E578" s="17"/>
      <c r="F578" s="15"/>
      <c r="G578" s="250"/>
      <c r="H578" s="243"/>
      <c r="I578" s="243"/>
      <c r="J578" s="243"/>
      <c r="K578" s="85"/>
      <c r="L578" s="85"/>
      <c r="M578" s="85"/>
      <c r="N578" s="85"/>
      <c r="O578" s="29"/>
      <c r="P578" s="307"/>
      <c r="Q578" s="15"/>
      <c r="R578" s="15"/>
      <c r="S578" s="15"/>
      <c r="T578" s="15"/>
      <c r="U578" s="243"/>
      <c r="V578" s="243"/>
      <c r="W578" s="243"/>
    </row>
    <row r="579">
      <c r="A579" s="34"/>
      <c r="B579" s="15"/>
      <c r="C579" s="15"/>
      <c r="D579" s="15"/>
      <c r="E579" s="17"/>
      <c r="F579" s="15"/>
      <c r="G579" s="250"/>
      <c r="H579" s="243"/>
      <c r="I579" s="243"/>
      <c r="J579" s="243"/>
      <c r="K579" s="85"/>
      <c r="L579" s="85"/>
      <c r="M579" s="85"/>
      <c r="N579" s="85"/>
      <c r="O579" s="29"/>
      <c r="P579" s="307"/>
      <c r="Q579" s="15"/>
      <c r="R579" s="15"/>
      <c r="S579" s="15"/>
      <c r="T579" s="15"/>
      <c r="U579" s="243"/>
      <c r="V579" s="243"/>
      <c r="W579" s="243"/>
    </row>
    <row r="580">
      <c r="A580" s="34"/>
      <c r="B580" s="15"/>
      <c r="C580" s="15"/>
      <c r="D580" s="15"/>
      <c r="E580" s="17"/>
      <c r="F580" s="15"/>
      <c r="G580" s="250"/>
      <c r="H580" s="243"/>
      <c r="I580" s="243"/>
      <c r="J580" s="243"/>
      <c r="K580" s="85"/>
      <c r="L580" s="85"/>
      <c r="M580" s="85"/>
      <c r="N580" s="85"/>
      <c r="O580" s="29"/>
      <c r="P580" s="307"/>
      <c r="Q580" s="15"/>
      <c r="R580" s="15"/>
      <c r="S580" s="15"/>
      <c r="T580" s="15"/>
      <c r="U580" s="243"/>
      <c r="V580" s="243"/>
      <c r="W580" s="243"/>
    </row>
    <row r="581">
      <c r="A581" s="34"/>
      <c r="B581" s="15"/>
      <c r="C581" s="15"/>
      <c r="D581" s="15"/>
      <c r="E581" s="17"/>
      <c r="F581" s="15"/>
      <c r="G581" s="250"/>
      <c r="H581" s="243"/>
      <c r="I581" s="243"/>
      <c r="J581" s="243"/>
      <c r="K581" s="85"/>
      <c r="L581" s="85"/>
      <c r="M581" s="85"/>
      <c r="N581" s="85"/>
      <c r="O581" s="29"/>
      <c r="P581" s="307"/>
      <c r="Q581" s="15"/>
      <c r="R581" s="15"/>
      <c r="S581" s="15"/>
      <c r="T581" s="15"/>
      <c r="U581" s="243"/>
      <c r="V581" s="243"/>
      <c r="W581" s="243"/>
    </row>
    <row r="582">
      <c r="A582" s="34"/>
      <c r="B582" s="15"/>
      <c r="C582" s="15"/>
      <c r="D582" s="15"/>
      <c r="E582" s="17"/>
      <c r="F582" s="15"/>
      <c r="G582" s="250"/>
      <c r="H582" s="243"/>
      <c r="I582" s="243"/>
      <c r="J582" s="243"/>
      <c r="K582" s="85"/>
      <c r="L582" s="85"/>
      <c r="M582" s="85"/>
      <c r="N582" s="85"/>
      <c r="O582" s="29"/>
      <c r="P582" s="307"/>
      <c r="Q582" s="15"/>
      <c r="R582" s="15"/>
      <c r="S582" s="15"/>
      <c r="T582" s="15"/>
      <c r="U582" s="243"/>
      <c r="V582" s="243"/>
      <c r="W582" s="243"/>
    </row>
    <row r="583">
      <c r="A583" s="34"/>
      <c r="B583" s="15"/>
      <c r="C583" s="15"/>
      <c r="D583" s="15"/>
      <c r="E583" s="17"/>
      <c r="F583" s="15"/>
      <c r="G583" s="250"/>
      <c r="H583" s="243"/>
      <c r="I583" s="243"/>
      <c r="J583" s="243"/>
      <c r="K583" s="85"/>
      <c r="L583" s="85"/>
      <c r="M583" s="85"/>
      <c r="N583" s="85"/>
      <c r="O583" s="29"/>
      <c r="P583" s="307"/>
      <c r="Q583" s="15"/>
      <c r="R583" s="15"/>
      <c r="S583" s="15"/>
      <c r="T583" s="15"/>
      <c r="U583" s="243"/>
      <c r="V583" s="243"/>
      <c r="W583" s="243"/>
    </row>
    <row r="584">
      <c r="A584" s="34"/>
      <c r="B584" s="15"/>
      <c r="C584" s="15"/>
      <c r="D584" s="15"/>
      <c r="E584" s="17"/>
      <c r="F584" s="15"/>
      <c r="G584" s="250"/>
      <c r="H584" s="243"/>
      <c r="I584" s="243"/>
      <c r="J584" s="243"/>
      <c r="K584" s="85"/>
      <c r="L584" s="85"/>
      <c r="M584" s="85"/>
      <c r="N584" s="85"/>
      <c r="O584" s="29"/>
      <c r="P584" s="307"/>
      <c r="Q584" s="15"/>
      <c r="R584" s="15"/>
      <c r="S584" s="15"/>
      <c r="T584" s="15"/>
      <c r="U584" s="243"/>
      <c r="V584" s="243"/>
      <c r="W584" s="243"/>
    </row>
    <row r="585">
      <c r="A585" s="34"/>
      <c r="B585" s="15"/>
      <c r="C585" s="15"/>
      <c r="D585" s="15"/>
      <c r="E585" s="17"/>
      <c r="F585" s="15"/>
      <c r="G585" s="250"/>
      <c r="H585" s="243"/>
      <c r="I585" s="243"/>
      <c r="J585" s="243"/>
      <c r="K585" s="85"/>
      <c r="L585" s="85"/>
      <c r="M585" s="85"/>
      <c r="N585" s="85"/>
      <c r="O585" s="29"/>
      <c r="P585" s="307"/>
      <c r="Q585" s="15"/>
      <c r="R585" s="15"/>
      <c r="S585" s="15"/>
      <c r="T585" s="15"/>
      <c r="U585" s="243"/>
      <c r="V585" s="243"/>
      <c r="W585" s="243"/>
    </row>
    <row r="586">
      <c r="A586" s="34"/>
      <c r="B586" s="15"/>
      <c r="C586" s="15"/>
      <c r="D586" s="15"/>
      <c r="E586" s="17"/>
      <c r="F586" s="15"/>
      <c r="G586" s="250"/>
      <c r="H586" s="243"/>
      <c r="I586" s="243"/>
      <c r="J586" s="243"/>
      <c r="K586" s="85"/>
      <c r="L586" s="85"/>
      <c r="M586" s="85"/>
      <c r="N586" s="85"/>
      <c r="O586" s="29"/>
      <c r="P586" s="307"/>
      <c r="Q586" s="15"/>
      <c r="R586" s="15"/>
      <c r="S586" s="15"/>
      <c r="T586" s="15"/>
      <c r="U586" s="243"/>
      <c r="V586" s="243"/>
      <c r="W586" s="243"/>
    </row>
    <row r="587">
      <c r="A587" s="34"/>
      <c r="B587" s="15"/>
      <c r="C587" s="15"/>
      <c r="D587" s="15"/>
      <c r="E587" s="17"/>
      <c r="F587" s="15"/>
      <c r="G587" s="250"/>
      <c r="H587" s="243"/>
      <c r="I587" s="243"/>
      <c r="J587" s="243"/>
      <c r="K587" s="85"/>
      <c r="L587" s="85"/>
      <c r="M587" s="85"/>
      <c r="N587" s="85"/>
      <c r="O587" s="29"/>
      <c r="P587" s="307"/>
      <c r="Q587" s="15"/>
      <c r="R587" s="15"/>
      <c r="S587" s="15"/>
      <c r="T587" s="15"/>
      <c r="U587" s="243"/>
      <c r="V587" s="243"/>
      <c r="W587" s="243"/>
    </row>
    <row r="588">
      <c r="A588" s="34"/>
      <c r="B588" s="15"/>
      <c r="C588" s="15"/>
      <c r="D588" s="15"/>
      <c r="E588" s="17"/>
      <c r="F588" s="15"/>
      <c r="G588" s="250"/>
      <c r="H588" s="243"/>
      <c r="I588" s="243"/>
      <c r="J588" s="243"/>
      <c r="K588" s="85"/>
      <c r="L588" s="85"/>
      <c r="M588" s="85"/>
      <c r="N588" s="85"/>
      <c r="O588" s="29"/>
      <c r="P588" s="307"/>
      <c r="Q588" s="15"/>
      <c r="R588" s="15"/>
      <c r="S588" s="15"/>
      <c r="T588" s="15"/>
      <c r="U588" s="243"/>
      <c r="V588" s="243"/>
      <c r="W588" s="243"/>
    </row>
    <row r="589">
      <c r="A589" s="34"/>
      <c r="B589" s="15"/>
      <c r="C589" s="15"/>
      <c r="D589" s="15"/>
      <c r="E589" s="17"/>
      <c r="F589" s="15"/>
      <c r="G589" s="250"/>
      <c r="H589" s="243"/>
      <c r="I589" s="243"/>
      <c r="J589" s="243"/>
      <c r="K589" s="85"/>
      <c r="L589" s="85"/>
      <c r="M589" s="85"/>
      <c r="N589" s="85"/>
      <c r="O589" s="29"/>
      <c r="P589" s="307"/>
      <c r="Q589" s="15"/>
      <c r="R589" s="15"/>
      <c r="S589" s="15"/>
      <c r="T589" s="15"/>
      <c r="U589" s="243"/>
      <c r="V589" s="243"/>
      <c r="W589" s="243"/>
    </row>
    <row r="590">
      <c r="A590" s="34"/>
      <c r="B590" s="15"/>
      <c r="C590" s="15"/>
      <c r="D590" s="15"/>
      <c r="E590" s="17"/>
      <c r="F590" s="15"/>
      <c r="G590" s="250"/>
      <c r="H590" s="243"/>
      <c r="I590" s="243"/>
      <c r="J590" s="243"/>
      <c r="K590" s="85"/>
      <c r="L590" s="85"/>
      <c r="M590" s="85"/>
      <c r="N590" s="85"/>
      <c r="O590" s="29"/>
      <c r="P590" s="307"/>
      <c r="Q590" s="15"/>
      <c r="R590" s="15"/>
      <c r="S590" s="15"/>
      <c r="T590" s="15"/>
      <c r="U590" s="243"/>
      <c r="V590" s="243"/>
      <c r="W590" s="243"/>
    </row>
    <row r="591">
      <c r="A591" s="34"/>
      <c r="B591" s="15"/>
      <c r="C591" s="15"/>
      <c r="D591" s="15"/>
      <c r="E591" s="17"/>
      <c r="F591" s="15"/>
      <c r="G591" s="250"/>
      <c r="H591" s="243"/>
      <c r="I591" s="243"/>
      <c r="J591" s="243"/>
      <c r="K591" s="85"/>
      <c r="L591" s="85"/>
      <c r="M591" s="85"/>
      <c r="N591" s="85"/>
      <c r="O591" s="29"/>
      <c r="P591" s="307"/>
      <c r="Q591" s="15"/>
      <c r="R591" s="15"/>
      <c r="S591" s="15"/>
      <c r="T591" s="15"/>
      <c r="U591" s="243"/>
      <c r="V591" s="243"/>
      <c r="W591" s="243"/>
    </row>
    <row r="592">
      <c r="A592" s="34"/>
      <c r="B592" s="15"/>
      <c r="C592" s="15"/>
      <c r="D592" s="15"/>
      <c r="E592" s="17"/>
      <c r="F592" s="15"/>
      <c r="G592" s="250"/>
      <c r="H592" s="243"/>
      <c r="I592" s="243"/>
      <c r="J592" s="243"/>
      <c r="K592" s="85"/>
      <c r="L592" s="85"/>
      <c r="M592" s="85"/>
      <c r="N592" s="85"/>
      <c r="O592" s="29"/>
      <c r="P592" s="307"/>
      <c r="Q592" s="15"/>
      <c r="R592" s="15"/>
      <c r="S592" s="15"/>
      <c r="T592" s="15"/>
      <c r="U592" s="243"/>
      <c r="V592" s="243"/>
      <c r="W592" s="243"/>
    </row>
    <row r="593">
      <c r="A593" s="34"/>
      <c r="B593" s="15"/>
      <c r="C593" s="15"/>
      <c r="D593" s="15"/>
      <c r="E593" s="17"/>
      <c r="F593" s="15"/>
      <c r="G593" s="250"/>
      <c r="H593" s="243"/>
      <c r="I593" s="243"/>
      <c r="J593" s="243"/>
      <c r="K593" s="85"/>
      <c r="L593" s="85"/>
      <c r="M593" s="85"/>
      <c r="N593" s="85"/>
      <c r="O593" s="29"/>
      <c r="P593" s="307"/>
      <c r="Q593" s="15"/>
      <c r="R593" s="15"/>
      <c r="S593" s="15"/>
      <c r="T593" s="15"/>
      <c r="U593" s="243"/>
      <c r="V593" s="243"/>
      <c r="W593" s="243"/>
    </row>
    <row r="594">
      <c r="A594" s="34"/>
      <c r="B594" s="15"/>
      <c r="C594" s="15"/>
      <c r="D594" s="15"/>
      <c r="E594" s="17"/>
      <c r="F594" s="15"/>
      <c r="G594" s="250"/>
      <c r="H594" s="243"/>
      <c r="I594" s="243"/>
      <c r="J594" s="243"/>
      <c r="K594" s="85"/>
      <c r="L594" s="85"/>
      <c r="M594" s="85"/>
      <c r="N594" s="85"/>
      <c r="O594" s="29"/>
      <c r="P594" s="307"/>
      <c r="Q594" s="15"/>
      <c r="R594" s="15"/>
      <c r="S594" s="15"/>
      <c r="T594" s="15"/>
      <c r="U594" s="243"/>
      <c r="V594" s="243"/>
      <c r="W594" s="243"/>
    </row>
    <row r="595">
      <c r="A595" s="34"/>
      <c r="B595" s="15"/>
      <c r="C595" s="15"/>
      <c r="D595" s="15"/>
      <c r="E595" s="17"/>
      <c r="F595" s="15"/>
      <c r="G595" s="250"/>
      <c r="H595" s="243"/>
      <c r="I595" s="243"/>
      <c r="J595" s="243"/>
      <c r="K595" s="85"/>
      <c r="L595" s="85"/>
      <c r="M595" s="85"/>
      <c r="N595" s="85"/>
      <c r="O595" s="29"/>
      <c r="P595" s="307"/>
      <c r="Q595" s="15"/>
      <c r="R595" s="15"/>
      <c r="S595" s="15"/>
      <c r="T595" s="15"/>
      <c r="U595" s="243"/>
      <c r="V595" s="243"/>
      <c r="W595" s="243"/>
    </row>
    <row r="596">
      <c r="A596" s="34"/>
      <c r="B596" s="15"/>
      <c r="C596" s="15"/>
      <c r="D596" s="15"/>
      <c r="E596" s="17"/>
      <c r="F596" s="15"/>
      <c r="G596" s="250"/>
      <c r="H596" s="243"/>
      <c r="I596" s="243"/>
      <c r="J596" s="243"/>
      <c r="K596" s="85"/>
      <c r="L596" s="85"/>
      <c r="M596" s="85"/>
      <c r="N596" s="85"/>
      <c r="O596" s="29"/>
      <c r="P596" s="307"/>
      <c r="Q596" s="15"/>
      <c r="R596" s="15"/>
      <c r="S596" s="15"/>
      <c r="T596" s="15"/>
      <c r="U596" s="243"/>
      <c r="V596" s="243"/>
      <c r="W596" s="243"/>
    </row>
    <row r="597">
      <c r="A597" s="34"/>
      <c r="B597" s="15"/>
      <c r="C597" s="15"/>
      <c r="D597" s="15"/>
      <c r="E597" s="17"/>
      <c r="F597" s="15"/>
      <c r="G597" s="250"/>
      <c r="H597" s="243"/>
      <c r="I597" s="243"/>
      <c r="J597" s="243"/>
      <c r="K597" s="85"/>
      <c r="L597" s="85"/>
      <c r="M597" s="85"/>
      <c r="N597" s="85"/>
      <c r="O597" s="29"/>
      <c r="P597" s="307"/>
      <c r="Q597" s="15"/>
      <c r="R597" s="15"/>
      <c r="S597" s="15"/>
      <c r="T597" s="15"/>
      <c r="U597" s="243"/>
      <c r="V597" s="243"/>
      <c r="W597" s="243"/>
    </row>
    <row r="598">
      <c r="A598" s="34"/>
      <c r="B598" s="15"/>
      <c r="C598" s="15"/>
      <c r="D598" s="15"/>
      <c r="E598" s="17"/>
      <c r="F598" s="15"/>
      <c r="G598" s="250"/>
      <c r="H598" s="243"/>
      <c r="I598" s="243"/>
      <c r="J598" s="243"/>
      <c r="K598" s="85"/>
      <c r="L598" s="85"/>
      <c r="M598" s="85"/>
      <c r="N598" s="85"/>
      <c r="O598" s="29"/>
      <c r="P598" s="307"/>
      <c r="Q598" s="15"/>
      <c r="R598" s="15"/>
      <c r="S598" s="15"/>
      <c r="T598" s="15"/>
      <c r="U598" s="243"/>
      <c r="V598" s="243"/>
      <c r="W598" s="243"/>
    </row>
    <row r="599">
      <c r="A599" s="34"/>
      <c r="B599" s="15"/>
      <c r="C599" s="15"/>
      <c r="D599" s="15"/>
      <c r="E599" s="17"/>
      <c r="F599" s="15"/>
      <c r="G599" s="250"/>
      <c r="H599" s="243"/>
      <c r="I599" s="243"/>
      <c r="J599" s="243"/>
      <c r="K599" s="85"/>
      <c r="L599" s="85"/>
      <c r="M599" s="85"/>
      <c r="N599" s="85"/>
      <c r="O599" s="29"/>
      <c r="P599" s="307"/>
      <c r="Q599" s="15"/>
      <c r="R599" s="15"/>
      <c r="S599" s="15"/>
      <c r="T599" s="15"/>
      <c r="U599" s="243"/>
      <c r="V599" s="243"/>
      <c r="W599" s="243"/>
    </row>
    <row r="600">
      <c r="A600" s="34"/>
      <c r="B600" s="15"/>
      <c r="C600" s="15"/>
      <c r="D600" s="15"/>
      <c r="E600" s="17"/>
      <c r="F600" s="15"/>
      <c r="G600" s="250"/>
      <c r="H600" s="243"/>
      <c r="I600" s="243"/>
      <c r="J600" s="243"/>
      <c r="K600" s="85"/>
      <c r="L600" s="85"/>
      <c r="M600" s="85"/>
      <c r="N600" s="85"/>
      <c r="O600" s="29"/>
      <c r="P600" s="307"/>
      <c r="Q600" s="15"/>
      <c r="R600" s="15"/>
      <c r="S600" s="15"/>
      <c r="T600" s="15"/>
      <c r="U600" s="243"/>
      <c r="V600" s="243"/>
      <c r="W600" s="243"/>
    </row>
    <row r="601">
      <c r="A601" s="34"/>
      <c r="B601" s="15"/>
      <c r="C601" s="15"/>
      <c r="D601" s="15"/>
      <c r="E601" s="17"/>
      <c r="F601" s="15"/>
      <c r="G601" s="250"/>
      <c r="H601" s="243"/>
      <c r="I601" s="243"/>
      <c r="J601" s="243"/>
      <c r="K601" s="85"/>
      <c r="L601" s="85"/>
      <c r="M601" s="85"/>
      <c r="N601" s="85"/>
      <c r="O601" s="29"/>
      <c r="P601" s="307"/>
      <c r="Q601" s="15"/>
      <c r="R601" s="15"/>
      <c r="S601" s="15"/>
      <c r="T601" s="15"/>
      <c r="U601" s="243"/>
      <c r="V601" s="243"/>
      <c r="W601" s="243"/>
    </row>
    <row r="602">
      <c r="A602" s="34"/>
      <c r="B602" s="15"/>
      <c r="C602" s="15"/>
      <c r="D602" s="15"/>
      <c r="E602" s="17"/>
      <c r="F602" s="15"/>
      <c r="G602" s="250"/>
      <c r="H602" s="243"/>
      <c r="I602" s="243"/>
      <c r="J602" s="243"/>
      <c r="K602" s="85"/>
      <c r="L602" s="85"/>
      <c r="M602" s="85"/>
      <c r="N602" s="85"/>
      <c r="O602" s="29"/>
      <c r="P602" s="307"/>
      <c r="Q602" s="15"/>
      <c r="R602" s="15"/>
      <c r="S602" s="15"/>
      <c r="T602" s="15"/>
      <c r="U602" s="243"/>
      <c r="V602" s="243"/>
      <c r="W602" s="243"/>
    </row>
    <row r="603">
      <c r="A603" s="34"/>
      <c r="B603" s="15"/>
      <c r="C603" s="15"/>
      <c r="D603" s="15"/>
      <c r="E603" s="17"/>
      <c r="F603" s="15"/>
      <c r="G603" s="250"/>
      <c r="H603" s="243"/>
      <c r="I603" s="243"/>
      <c r="J603" s="243"/>
      <c r="K603" s="85"/>
      <c r="L603" s="85"/>
      <c r="M603" s="85"/>
      <c r="N603" s="85"/>
      <c r="O603" s="29"/>
      <c r="P603" s="307"/>
      <c r="Q603" s="15"/>
      <c r="R603" s="15"/>
      <c r="S603" s="15"/>
      <c r="T603" s="15"/>
      <c r="U603" s="243"/>
      <c r="V603" s="243"/>
      <c r="W603" s="243"/>
    </row>
    <row r="604">
      <c r="A604" s="34"/>
      <c r="B604" s="15"/>
      <c r="C604" s="15"/>
      <c r="D604" s="15"/>
      <c r="E604" s="17"/>
      <c r="F604" s="15"/>
      <c r="G604" s="250"/>
      <c r="H604" s="243"/>
      <c r="I604" s="243"/>
      <c r="J604" s="243"/>
      <c r="K604" s="85"/>
      <c r="L604" s="85"/>
      <c r="M604" s="85"/>
      <c r="N604" s="85"/>
      <c r="O604" s="29"/>
      <c r="P604" s="307"/>
      <c r="Q604" s="15"/>
      <c r="R604" s="15"/>
      <c r="S604" s="15"/>
      <c r="T604" s="15"/>
      <c r="U604" s="243"/>
      <c r="V604" s="243"/>
      <c r="W604" s="243"/>
    </row>
    <row r="605">
      <c r="A605" s="34"/>
      <c r="B605" s="15"/>
      <c r="C605" s="15"/>
      <c r="D605" s="15"/>
      <c r="E605" s="17"/>
      <c r="F605" s="15"/>
      <c r="G605" s="250"/>
      <c r="H605" s="243"/>
      <c r="I605" s="243"/>
      <c r="J605" s="243"/>
      <c r="K605" s="85"/>
      <c r="L605" s="85"/>
      <c r="M605" s="85"/>
      <c r="N605" s="85"/>
      <c r="O605" s="29"/>
      <c r="P605" s="307"/>
      <c r="Q605" s="15"/>
      <c r="R605" s="15"/>
      <c r="S605" s="15"/>
      <c r="T605" s="15"/>
      <c r="U605" s="243"/>
      <c r="V605" s="243"/>
      <c r="W605" s="243"/>
    </row>
    <row r="606">
      <c r="A606" s="34"/>
      <c r="B606" s="15"/>
      <c r="C606" s="15"/>
      <c r="D606" s="15"/>
      <c r="E606" s="17"/>
      <c r="F606" s="15"/>
      <c r="G606" s="250"/>
      <c r="H606" s="243"/>
      <c r="I606" s="243"/>
      <c r="J606" s="243"/>
      <c r="K606" s="85"/>
      <c r="L606" s="85"/>
      <c r="M606" s="85"/>
      <c r="N606" s="85"/>
      <c r="O606" s="29"/>
      <c r="P606" s="307"/>
      <c r="Q606" s="15"/>
      <c r="R606" s="15"/>
      <c r="S606" s="15"/>
      <c r="T606" s="15"/>
      <c r="U606" s="243"/>
      <c r="V606" s="243"/>
      <c r="W606" s="243"/>
    </row>
    <row r="607">
      <c r="A607" s="34"/>
      <c r="B607" s="15"/>
      <c r="C607" s="15"/>
      <c r="D607" s="15"/>
      <c r="E607" s="17"/>
      <c r="F607" s="15"/>
      <c r="G607" s="250"/>
      <c r="H607" s="243"/>
      <c r="I607" s="243"/>
      <c r="J607" s="243"/>
      <c r="K607" s="85"/>
      <c r="L607" s="85"/>
      <c r="M607" s="85"/>
      <c r="N607" s="85"/>
      <c r="O607" s="29"/>
      <c r="P607" s="307"/>
      <c r="Q607" s="15"/>
      <c r="R607" s="15"/>
      <c r="S607" s="15"/>
      <c r="T607" s="15"/>
      <c r="U607" s="243"/>
      <c r="V607" s="243"/>
      <c r="W607" s="243"/>
    </row>
    <row r="608">
      <c r="A608" s="34"/>
      <c r="B608" s="15"/>
      <c r="C608" s="15"/>
      <c r="D608" s="15"/>
      <c r="E608" s="17"/>
      <c r="F608" s="15"/>
      <c r="G608" s="250"/>
      <c r="H608" s="243"/>
      <c r="I608" s="243"/>
      <c r="J608" s="243"/>
      <c r="K608" s="85"/>
      <c r="L608" s="85"/>
      <c r="M608" s="85"/>
      <c r="N608" s="85"/>
      <c r="O608" s="29"/>
      <c r="P608" s="307"/>
      <c r="Q608" s="15"/>
      <c r="R608" s="15"/>
      <c r="S608" s="15"/>
      <c r="T608" s="15"/>
      <c r="U608" s="243"/>
      <c r="V608" s="243"/>
      <c r="W608" s="243"/>
    </row>
    <row r="609">
      <c r="A609" s="34"/>
      <c r="B609" s="15"/>
      <c r="C609" s="15"/>
      <c r="D609" s="15"/>
      <c r="E609" s="17"/>
      <c r="F609" s="15"/>
      <c r="G609" s="250"/>
      <c r="H609" s="243"/>
      <c r="I609" s="243"/>
      <c r="J609" s="243"/>
      <c r="K609" s="85"/>
      <c r="L609" s="85"/>
      <c r="M609" s="85"/>
      <c r="N609" s="85"/>
      <c r="O609" s="29"/>
      <c r="P609" s="307"/>
      <c r="Q609" s="15"/>
      <c r="R609" s="15"/>
      <c r="S609" s="15"/>
      <c r="T609" s="15"/>
      <c r="U609" s="243"/>
      <c r="V609" s="243"/>
      <c r="W609" s="243"/>
    </row>
    <row r="610">
      <c r="A610" s="34"/>
      <c r="B610" s="15"/>
      <c r="C610" s="15"/>
      <c r="D610" s="15"/>
      <c r="E610" s="17"/>
      <c r="F610" s="15"/>
      <c r="G610" s="250"/>
      <c r="H610" s="243"/>
      <c r="I610" s="243"/>
      <c r="J610" s="243"/>
      <c r="K610" s="85"/>
      <c r="L610" s="85"/>
      <c r="M610" s="85"/>
      <c r="N610" s="85"/>
      <c r="O610" s="29"/>
      <c r="P610" s="307"/>
      <c r="Q610" s="15"/>
      <c r="R610" s="15"/>
      <c r="S610" s="15"/>
      <c r="T610" s="15"/>
      <c r="U610" s="243"/>
      <c r="V610" s="243"/>
      <c r="W610" s="243"/>
    </row>
    <row r="611">
      <c r="A611" s="34"/>
      <c r="B611" s="15"/>
      <c r="C611" s="15"/>
      <c r="D611" s="15"/>
      <c r="E611" s="17"/>
      <c r="F611" s="15"/>
      <c r="G611" s="250"/>
      <c r="H611" s="243"/>
      <c r="I611" s="243"/>
      <c r="J611" s="243"/>
      <c r="K611" s="85"/>
      <c r="L611" s="85"/>
      <c r="M611" s="85"/>
      <c r="N611" s="85"/>
      <c r="O611" s="29"/>
      <c r="P611" s="307"/>
      <c r="Q611" s="15"/>
      <c r="R611" s="15"/>
      <c r="S611" s="15"/>
      <c r="T611" s="15"/>
      <c r="U611" s="243"/>
      <c r="V611" s="243"/>
      <c r="W611" s="243"/>
    </row>
    <row r="612">
      <c r="A612" s="34"/>
      <c r="B612" s="15"/>
      <c r="C612" s="15"/>
      <c r="D612" s="15"/>
      <c r="E612" s="17"/>
      <c r="F612" s="15"/>
      <c r="G612" s="250"/>
      <c r="H612" s="243"/>
      <c r="I612" s="243"/>
      <c r="J612" s="243"/>
      <c r="K612" s="85"/>
      <c r="L612" s="85"/>
      <c r="M612" s="85"/>
      <c r="N612" s="85"/>
      <c r="O612" s="29"/>
      <c r="P612" s="307"/>
      <c r="Q612" s="15"/>
      <c r="R612" s="15"/>
      <c r="S612" s="15"/>
      <c r="T612" s="15"/>
      <c r="U612" s="243"/>
      <c r="V612" s="243"/>
      <c r="W612" s="243"/>
    </row>
    <row r="613">
      <c r="A613" s="34"/>
      <c r="B613" s="15"/>
      <c r="C613" s="15"/>
      <c r="D613" s="15"/>
      <c r="E613" s="17"/>
      <c r="F613" s="15"/>
      <c r="G613" s="250"/>
      <c r="H613" s="243"/>
      <c r="I613" s="243"/>
      <c r="J613" s="243"/>
      <c r="K613" s="85"/>
      <c r="L613" s="85"/>
      <c r="M613" s="85"/>
      <c r="N613" s="85"/>
      <c r="O613" s="29"/>
      <c r="P613" s="307"/>
      <c r="Q613" s="15"/>
      <c r="R613" s="15"/>
      <c r="S613" s="15"/>
      <c r="T613" s="15"/>
      <c r="U613" s="243"/>
      <c r="V613" s="243"/>
      <c r="W613" s="243"/>
    </row>
    <row r="614">
      <c r="A614" s="34"/>
      <c r="B614" s="15"/>
      <c r="C614" s="15"/>
      <c r="D614" s="15"/>
      <c r="E614" s="17"/>
      <c r="F614" s="15"/>
      <c r="G614" s="250"/>
      <c r="H614" s="243"/>
      <c r="I614" s="243"/>
      <c r="J614" s="243"/>
      <c r="K614" s="85"/>
      <c r="L614" s="85"/>
      <c r="M614" s="85"/>
      <c r="N614" s="85"/>
      <c r="O614" s="29"/>
      <c r="P614" s="307"/>
      <c r="Q614" s="15"/>
      <c r="R614" s="15"/>
      <c r="S614" s="15"/>
      <c r="T614" s="15"/>
      <c r="U614" s="243"/>
      <c r="V614" s="243"/>
      <c r="W614" s="243"/>
    </row>
    <row r="615">
      <c r="A615" s="34"/>
      <c r="B615" s="15"/>
      <c r="C615" s="15"/>
      <c r="D615" s="15"/>
      <c r="E615" s="17"/>
      <c r="F615" s="15"/>
      <c r="G615" s="250"/>
      <c r="H615" s="243"/>
      <c r="I615" s="243"/>
      <c r="J615" s="243"/>
      <c r="K615" s="85"/>
      <c r="L615" s="85"/>
      <c r="M615" s="85"/>
      <c r="N615" s="85"/>
      <c r="O615" s="29"/>
      <c r="P615" s="307"/>
      <c r="Q615" s="15"/>
      <c r="R615" s="15"/>
      <c r="S615" s="15"/>
      <c r="T615" s="15"/>
      <c r="U615" s="243"/>
      <c r="V615" s="243"/>
      <c r="W615" s="243"/>
    </row>
    <row r="616">
      <c r="A616" s="34"/>
      <c r="B616" s="15"/>
      <c r="C616" s="15"/>
      <c r="D616" s="15"/>
      <c r="E616" s="17"/>
      <c r="F616" s="15"/>
      <c r="G616" s="250"/>
      <c r="H616" s="243"/>
      <c r="I616" s="243"/>
      <c r="J616" s="243"/>
      <c r="K616" s="85"/>
      <c r="L616" s="85"/>
      <c r="M616" s="85"/>
      <c r="N616" s="85"/>
      <c r="O616" s="29"/>
      <c r="P616" s="307"/>
      <c r="Q616" s="15"/>
      <c r="R616" s="15"/>
      <c r="S616" s="15"/>
      <c r="T616" s="15"/>
      <c r="U616" s="243"/>
      <c r="V616" s="243"/>
      <c r="W616" s="243"/>
    </row>
    <row r="617">
      <c r="A617" s="34"/>
      <c r="B617" s="15"/>
      <c r="C617" s="15"/>
      <c r="D617" s="15"/>
      <c r="E617" s="17"/>
      <c r="F617" s="15"/>
      <c r="G617" s="250"/>
      <c r="H617" s="243"/>
      <c r="I617" s="243"/>
      <c r="J617" s="243"/>
      <c r="K617" s="85"/>
      <c r="L617" s="85"/>
      <c r="M617" s="85"/>
      <c r="N617" s="85"/>
      <c r="O617" s="29"/>
      <c r="P617" s="307"/>
      <c r="Q617" s="15"/>
      <c r="R617" s="15"/>
      <c r="S617" s="15"/>
      <c r="T617" s="15"/>
      <c r="U617" s="243"/>
      <c r="V617" s="243"/>
      <c r="W617" s="243"/>
    </row>
    <row r="618">
      <c r="A618" s="34"/>
      <c r="B618" s="15"/>
      <c r="C618" s="15"/>
      <c r="D618" s="15"/>
      <c r="E618" s="17"/>
      <c r="F618" s="15"/>
      <c r="G618" s="250"/>
      <c r="H618" s="243"/>
      <c r="I618" s="243"/>
      <c r="J618" s="243"/>
      <c r="K618" s="85"/>
      <c r="L618" s="85"/>
      <c r="M618" s="85"/>
      <c r="N618" s="85"/>
      <c r="O618" s="29"/>
      <c r="P618" s="307"/>
      <c r="Q618" s="15"/>
      <c r="R618" s="15"/>
      <c r="S618" s="15"/>
      <c r="T618" s="15"/>
      <c r="U618" s="243"/>
      <c r="V618" s="243"/>
      <c r="W618" s="243"/>
    </row>
    <row r="619">
      <c r="A619" s="34"/>
      <c r="B619" s="15"/>
      <c r="C619" s="15"/>
      <c r="D619" s="15"/>
      <c r="E619" s="17"/>
      <c r="F619" s="15"/>
      <c r="G619" s="250"/>
      <c r="H619" s="243"/>
      <c r="I619" s="243"/>
      <c r="J619" s="243"/>
      <c r="K619" s="85"/>
      <c r="L619" s="85"/>
      <c r="M619" s="85"/>
      <c r="N619" s="85"/>
      <c r="O619" s="29"/>
      <c r="P619" s="307"/>
      <c r="Q619" s="15"/>
      <c r="R619" s="15"/>
      <c r="S619" s="15"/>
      <c r="T619" s="15"/>
      <c r="U619" s="243"/>
      <c r="V619" s="243"/>
      <c r="W619" s="243"/>
    </row>
    <row r="620">
      <c r="A620" s="34"/>
      <c r="B620" s="15"/>
      <c r="C620" s="15"/>
      <c r="D620" s="15"/>
      <c r="E620" s="17"/>
      <c r="F620" s="15"/>
      <c r="G620" s="250"/>
      <c r="H620" s="243"/>
      <c r="I620" s="243"/>
      <c r="J620" s="243"/>
      <c r="K620" s="85"/>
      <c r="L620" s="85"/>
      <c r="M620" s="85"/>
      <c r="N620" s="85"/>
      <c r="O620" s="29"/>
      <c r="P620" s="307"/>
      <c r="Q620" s="15"/>
      <c r="R620" s="15"/>
      <c r="S620" s="15"/>
      <c r="T620" s="15"/>
      <c r="U620" s="243"/>
      <c r="V620" s="243"/>
      <c r="W620" s="243"/>
    </row>
    <row r="621">
      <c r="A621" s="34"/>
      <c r="B621" s="15"/>
      <c r="C621" s="15"/>
      <c r="D621" s="15"/>
      <c r="E621" s="17"/>
      <c r="F621" s="15"/>
      <c r="G621" s="250"/>
      <c r="H621" s="243"/>
      <c r="I621" s="243"/>
      <c r="J621" s="243"/>
      <c r="K621" s="85"/>
      <c r="L621" s="85"/>
      <c r="M621" s="85"/>
      <c r="N621" s="85"/>
      <c r="O621" s="29"/>
      <c r="P621" s="307"/>
      <c r="Q621" s="15"/>
      <c r="R621" s="15"/>
      <c r="S621" s="15"/>
      <c r="T621" s="15"/>
      <c r="U621" s="243"/>
      <c r="V621" s="243"/>
      <c r="W621" s="243"/>
    </row>
    <row r="622">
      <c r="A622" s="34"/>
      <c r="B622" s="15"/>
      <c r="C622" s="15"/>
      <c r="D622" s="15"/>
      <c r="E622" s="17"/>
      <c r="F622" s="15"/>
      <c r="G622" s="250"/>
      <c r="H622" s="243"/>
      <c r="I622" s="243"/>
      <c r="J622" s="243"/>
      <c r="K622" s="85"/>
      <c r="L622" s="85"/>
      <c r="M622" s="85"/>
      <c r="N622" s="85"/>
      <c r="O622" s="29"/>
      <c r="P622" s="307"/>
      <c r="Q622" s="15"/>
      <c r="R622" s="15"/>
      <c r="S622" s="15"/>
      <c r="T622" s="15"/>
      <c r="U622" s="243"/>
      <c r="V622" s="243"/>
      <c r="W622" s="243"/>
    </row>
    <row r="623">
      <c r="A623" s="34"/>
      <c r="B623" s="15"/>
      <c r="C623" s="15"/>
      <c r="D623" s="15"/>
      <c r="E623" s="17"/>
      <c r="F623" s="15"/>
      <c r="G623" s="250"/>
      <c r="H623" s="243"/>
      <c r="I623" s="243"/>
      <c r="J623" s="243"/>
      <c r="K623" s="85"/>
      <c r="L623" s="85"/>
      <c r="M623" s="85"/>
      <c r="N623" s="85"/>
      <c r="O623" s="29"/>
      <c r="P623" s="307"/>
      <c r="Q623" s="15"/>
      <c r="R623" s="15"/>
      <c r="S623" s="15"/>
      <c r="T623" s="15"/>
      <c r="U623" s="243"/>
      <c r="V623" s="243"/>
      <c r="W623" s="243"/>
    </row>
    <row r="624">
      <c r="A624" s="34"/>
      <c r="B624" s="15"/>
      <c r="C624" s="15"/>
      <c r="D624" s="15"/>
      <c r="E624" s="17"/>
      <c r="F624" s="15"/>
      <c r="G624" s="250"/>
      <c r="H624" s="243"/>
      <c r="I624" s="243"/>
      <c r="J624" s="243"/>
      <c r="K624" s="85"/>
      <c r="L624" s="85"/>
      <c r="M624" s="85"/>
      <c r="N624" s="85"/>
      <c r="O624" s="29"/>
      <c r="P624" s="307"/>
      <c r="Q624" s="15"/>
      <c r="R624" s="15"/>
      <c r="S624" s="15"/>
      <c r="T624" s="15"/>
      <c r="U624" s="243"/>
      <c r="V624" s="243"/>
      <c r="W624" s="243"/>
    </row>
    <row r="625">
      <c r="A625" s="34"/>
      <c r="B625" s="15"/>
      <c r="C625" s="15"/>
      <c r="D625" s="15"/>
      <c r="E625" s="17"/>
      <c r="F625" s="15"/>
      <c r="G625" s="250"/>
      <c r="H625" s="243"/>
      <c r="I625" s="243"/>
      <c r="J625" s="243"/>
      <c r="K625" s="85"/>
      <c r="L625" s="85"/>
      <c r="M625" s="85"/>
      <c r="N625" s="85"/>
      <c r="O625" s="29"/>
      <c r="P625" s="307"/>
      <c r="Q625" s="15"/>
      <c r="R625" s="15"/>
      <c r="S625" s="15"/>
      <c r="T625" s="15"/>
      <c r="U625" s="243"/>
      <c r="V625" s="243"/>
      <c r="W625" s="243"/>
    </row>
    <row r="626">
      <c r="A626" s="34"/>
      <c r="B626" s="15"/>
      <c r="C626" s="15"/>
      <c r="D626" s="15"/>
      <c r="E626" s="17"/>
      <c r="F626" s="15"/>
      <c r="G626" s="250"/>
      <c r="H626" s="243"/>
      <c r="I626" s="243"/>
      <c r="J626" s="243"/>
      <c r="K626" s="85"/>
      <c r="L626" s="85"/>
      <c r="M626" s="85"/>
      <c r="N626" s="85"/>
      <c r="O626" s="29"/>
      <c r="P626" s="307"/>
      <c r="Q626" s="15"/>
      <c r="R626" s="15"/>
      <c r="S626" s="15"/>
      <c r="T626" s="15"/>
      <c r="U626" s="243"/>
      <c r="V626" s="243"/>
      <c r="W626" s="243"/>
    </row>
    <row r="627">
      <c r="A627" s="34"/>
      <c r="B627" s="15"/>
      <c r="C627" s="15"/>
      <c r="D627" s="15"/>
      <c r="E627" s="17"/>
      <c r="F627" s="15"/>
      <c r="G627" s="250"/>
      <c r="H627" s="243"/>
      <c r="I627" s="243"/>
      <c r="J627" s="243"/>
      <c r="K627" s="85"/>
      <c r="L627" s="85"/>
      <c r="M627" s="85"/>
      <c r="N627" s="85"/>
      <c r="O627" s="29"/>
      <c r="P627" s="307"/>
      <c r="Q627" s="15"/>
      <c r="R627" s="15"/>
      <c r="S627" s="15"/>
      <c r="T627" s="15"/>
      <c r="U627" s="243"/>
      <c r="V627" s="243"/>
      <c r="W627" s="243"/>
    </row>
    <row r="628">
      <c r="A628" s="34"/>
      <c r="B628" s="15"/>
      <c r="C628" s="15"/>
      <c r="D628" s="15"/>
      <c r="E628" s="17"/>
      <c r="F628" s="15"/>
      <c r="G628" s="250"/>
      <c r="H628" s="243"/>
      <c r="I628" s="243"/>
      <c r="J628" s="243"/>
      <c r="K628" s="85"/>
      <c r="L628" s="85"/>
      <c r="M628" s="85"/>
      <c r="N628" s="85"/>
      <c r="O628" s="29"/>
      <c r="P628" s="307"/>
      <c r="Q628" s="15"/>
      <c r="R628" s="15"/>
      <c r="S628" s="15"/>
      <c r="T628" s="15"/>
      <c r="U628" s="243"/>
      <c r="V628" s="243"/>
      <c r="W628" s="243"/>
    </row>
    <row r="629">
      <c r="A629" s="34"/>
      <c r="B629" s="15"/>
      <c r="C629" s="15"/>
      <c r="D629" s="15"/>
      <c r="E629" s="17"/>
      <c r="F629" s="15"/>
      <c r="G629" s="250"/>
      <c r="H629" s="243"/>
      <c r="I629" s="243"/>
      <c r="J629" s="243"/>
      <c r="K629" s="85"/>
      <c r="L629" s="85"/>
      <c r="M629" s="85"/>
      <c r="N629" s="85"/>
      <c r="O629" s="29"/>
      <c r="P629" s="307"/>
      <c r="Q629" s="15"/>
      <c r="R629" s="15"/>
      <c r="S629" s="15"/>
      <c r="T629" s="15"/>
      <c r="U629" s="243"/>
      <c r="V629" s="243"/>
      <c r="W629" s="243"/>
    </row>
    <row r="630">
      <c r="A630" s="34"/>
      <c r="B630" s="15"/>
      <c r="C630" s="15"/>
      <c r="D630" s="15"/>
      <c r="E630" s="17"/>
      <c r="F630" s="15"/>
      <c r="G630" s="250"/>
      <c r="H630" s="243"/>
      <c r="I630" s="243"/>
      <c r="J630" s="243"/>
      <c r="K630" s="85"/>
      <c r="L630" s="85"/>
      <c r="M630" s="85"/>
      <c r="N630" s="85"/>
      <c r="O630" s="29"/>
      <c r="P630" s="307"/>
      <c r="Q630" s="15"/>
      <c r="R630" s="15"/>
      <c r="S630" s="15"/>
      <c r="T630" s="15"/>
      <c r="U630" s="243"/>
      <c r="V630" s="243"/>
      <c r="W630" s="243"/>
    </row>
    <row r="631">
      <c r="A631" s="34"/>
      <c r="B631" s="15"/>
      <c r="C631" s="15"/>
      <c r="D631" s="15"/>
      <c r="E631" s="17"/>
      <c r="F631" s="15"/>
      <c r="G631" s="250"/>
      <c r="H631" s="243"/>
      <c r="I631" s="243"/>
      <c r="J631" s="243"/>
      <c r="K631" s="85"/>
      <c r="L631" s="85"/>
      <c r="M631" s="85"/>
      <c r="N631" s="85"/>
      <c r="O631" s="29"/>
      <c r="P631" s="307"/>
      <c r="Q631" s="15"/>
      <c r="R631" s="15"/>
      <c r="S631" s="15"/>
      <c r="T631" s="15"/>
      <c r="U631" s="243"/>
      <c r="V631" s="243"/>
      <c r="W631" s="243"/>
    </row>
    <row r="632">
      <c r="A632" s="34"/>
      <c r="B632" s="15"/>
      <c r="C632" s="15"/>
      <c r="D632" s="15"/>
      <c r="E632" s="17"/>
      <c r="F632" s="15"/>
      <c r="G632" s="250"/>
      <c r="H632" s="243"/>
      <c r="I632" s="243"/>
      <c r="J632" s="243"/>
      <c r="K632" s="85"/>
      <c r="L632" s="85"/>
      <c r="M632" s="85"/>
      <c r="N632" s="85"/>
      <c r="O632" s="29"/>
      <c r="P632" s="307"/>
      <c r="Q632" s="15"/>
      <c r="R632" s="15"/>
      <c r="S632" s="15"/>
      <c r="T632" s="15"/>
      <c r="U632" s="243"/>
      <c r="V632" s="243"/>
      <c r="W632" s="243"/>
    </row>
    <row r="633">
      <c r="A633" s="34"/>
      <c r="B633" s="15"/>
      <c r="C633" s="15"/>
      <c r="D633" s="15"/>
      <c r="E633" s="17"/>
      <c r="F633" s="15"/>
      <c r="G633" s="250"/>
      <c r="H633" s="243"/>
      <c r="I633" s="243"/>
      <c r="J633" s="243"/>
      <c r="K633" s="85"/>
      <c r="L633" s="85"/>
      <c r="M633" s="85"/>
      <c r="N633" s="85"/>
      <c r="O633" s="29"/>
      <c r="P633" s="307"/>
      <c r="Q633" s="15"/>
      <c r="R633" s="15"/>
      <c r="S633" s="15"/>
      <c r="T633" s="15"/>
      <c r="U633" s="243"/>
      <c r="V633" s="243"/>
      <c r="W633" s="243"/>
    </row>
    <row r="634">
      <c r="A634" s="34"/>
      <c r="B634" s="15"/>
      <c r="C634" s="15"/>
      <c r="D634" s="15"/>
      <c r="E634" s="17"/>
      <c r="F634" s="15"/>
      <c r="G634" s="250"/>
      <c r="H634" s="243"/>
      <c r="I634" s="243"/>
      <c r="J634" s="243"/>
      <c r="K634" s="85"/>
      <c r="L634" s="85"/>
      <c r="M634" s="85"/>
      <c r="N634" s="85"/>
      <c r="O634" s="29"/>
      <c r="P634" s="307"/>
      <c r="Q634" s="15"/>
      <c r="R634" s="15"/>
      <c r="S634" s="15"/>
      <c r="T634" s="15"/>
      <c r="U634" s="243"/>
      <c r="V634" s="243"/>
      <c r="W634" s="243"/>
    </row>
    <row r="635">
      <c r="A635" s="34"/>
      <c r="B635" s="15"/>
      <c r="C635" s="15"/>
      <c r="D635" s="15"/>
      <c r="E635" s="17"/>
      <c r="F635" s="15"/>
      <c r="G635" s="250"/>
      <c r="H635" s="243"/>
      <c r="I635" s="243"/>
      <c r="J635" s="243"/>
      <c r="K635" s="85"/>
      <c r="L635" s="85"/>
      <c r="M635" s="85"/>
      <c r="N635" s="85"/>
      <c r="O635" s="29"/>
      <c r="P635" s="307"/>
      <c r="Q635" s="15"/>
      <c r="R635" s="15"/>
      <c r="S635" s="15"/>
      <c r="T635" s="15"/>
      <c r="U635" s="243"/>
      <c r="V635" s="243"/>
      <c r="W635" s="243"/>
    </row>
    <row r="636">
      <c r="A636" s="34"/>
      <c r="B636" s="15"/>
      <c r="C636" s="15"/>
      <c r="D636" s="15"/>
      <c r="E636" s="17"/>
      <c r="F636" s="15"/>
      <c r="G636" s="250"/>
      <c r="H636" s="243"/>
      <c r="I636" s="243"/>
      <c r="J636" s="243"/>
      <c r="K636" s="85"/>
      <c r="L636" s="85"/>
      <c r="M636" s="85"/>
      <c r="N636" s="85"/>
      <c r="O636" s="29"/>
      <c r="P636" s="307"/>
      <c r="Q636" s="15"/>
      <c r="R636" s="15"/>
      <c r="S636" s="15"/>
      <c r="T636" s="15"/>
      <c r="U636" s="243"/>
      <c r="V636" s="243"/>
      <c r="W636" s="243"/>
    </row>
    <row r="637">
      <c r="A637" s="34"/>
      <c r="B637" s="15"/>
      <c r="C637" s="15"/>
      <c r="D637" s="15"/>
      <c r="E637" s="17"/>
      <c r="F637" s="15"/>
      <c r="G637" s="250"/>
      <c r="H637" s="243"/>
      <c r="I637" s="243"/>
      <c r="J637" s="243"/>
      <c r="K637" s="85"/>
      <c r="L637" s="85"/>
      <c r="M637" s="85"/>
      <c r="N637" s="85"/>
      <c r="O637" s="29"/>
      <c r="P637" s="307"/>
      <c r="Q637" s="15"/>
      <c r="R637" s="15"/>
      <c r="S637" s="15"/>
      <c r="T637" s="15"/>
      <c r="U637" s="243"/>
      <c r="V637" s="243"/>
      <c r="W637" s="243"/>
    </row>
    <row r="638">
      <c r="A638" s="34"/>
      <c r="B638" s="15"/>
      <c r="C638" s="15"/>
      <c r="D638" s="15"/>
      <c r="E638" s="17"/>
      <c r="F638" s="15"/>
      <c r="G638" s="250"/>
      <c r="H638" s="243"/>
      <c r="I638" s="243"/>
      <c r="J638" s="243"/>
      <c r="K638" s="85"/>
      <c r="L638" s="85"/>
      <c r="M638" s="85"/>
      <c r="N638" s="85"/>
      <c r="O638" s="29"/>
      <c r="P638" s="307"/>
      <c r="Q638" s="15"/>
      <c r="R638" s="15"/>
      <c r="S638" s="15"/>
      <c r="T638" s="15"/>
      <c r="U638" s="243"/>
      <c r="V638" s="243"/>
      <c r="W638" s="243"/>
    </row>
    <row r="639">
      <c r="A639" s="34"/>
      <c r="B639" s="15"/>
      <c r="C639" s="15"/>
      <c r="D639" s="15"/>
      <c r="E639" s="17"/>
      <c r="F639" s="15"/>
      <c r="G639" s="250"/>
      <c r="H639" s="243"/>
      <c r="I639" s="243"/>
      <c r="J639" s="243"/>
      <c r="K639" s="85"/>
      <c r="L639" s="85"/>
      <c r="M639" s="85"/>
      <c r="N639" s="85"/>
      <c r="O639" s="29"/>
      <c r="P639" s="307"/>
      <c r="Q639" s="15"/>
      <c r="R639" s="15"/>
      <c r="S639" s="15"/>
      <c r="T639" s="15"/>
      <c r="U639" s="243"/>
      <c r="V639" s="243"/>
      <c r="W639" s="243"/>
    </row>
    <row r="640">
      <c r="A640" s="34"/>
      <c r="B640" s="15"/>
      <c r="C640" s="15"/>
      <c r="D640" s="15"/>
      <c r="E640" s="17"/>
      <c r="F640" s="15"/>
      <c r="G640" s="250"/>
      <c r="H640" s="243"/>
      <c r="I640" s="243"/>
      <c r="J640" s="243"/>
      <c r="K640" s="85"/>
      <c r="L640" s="85"/>
      <c r="M640" s="85"/>
      <c r="N640" s="85"/>
      <c r="O640" s="29"/>
      <c r="P640" s="307"/>
      <c r="Q640" s="15"/>
      <c r="R640" s="15"/>
      <c r="S640" s="15"/>
      <c r="T640" s="15"/>
      <c r="U640" s="243"/>
      <c r="V640" s="243"/>
      <c r="W640" s="243"/>
    </row>
    <row r="641">
      <c r="A641" s="34"/>
      <c r="B641" s="15"/>
      <c r="C641" s="15"/>
      <c r="D641" s="15"/>
      <c r="E641" s="17"/>
      <c r="F641" s="15"/>
      <c r="G641" s="250"/>
      <c r="H641" s="243"/>
      <c r="I641" s="243"/>
      <c r="J641" s="243"/>
      <c r="K641" s="85"/>
      <c r="L641" s="85"/>
      <c r="M641" s="85"/>
      <c r="N641" s="85"/>
      <c r="O641" s="29"/>
      <c r="P641" s="307"/>
      <c r="Q641" s="15"/>
      <c r="R641" s="15"/>
      <c r="S641" s="15"/>
      <c r="T641" s="15"/>
      <c r="U641" s="243"/>
      <c r="V641" s="243"/>
      <c r="W641" s="243"/>
    </row>
    <row r="642">
      <c r="A642" s="34"/>
      <c r="B642" s="15"/>
      <c r="C642" s="15"/>
      <c r="D642" s="15"/>
      <c r="E642" s="17"/>
      <c r="F642" s="15"/>
      <c r="G642" s="250"/>
      <c r="H642" s="243"/>
      <c r="I642" s="243"/>
      <c r="J642" s="243"/>
      <c r="K642" s="85"/>
      <c r="L642" s="85"/>
      <c r="M642" s="85"/>
      <c r="N642" s="85"/>
      <c r="O642" s="29"/>
      <c r="P642" s="307"/>
      <c r="Q642" s="15"/>
      <c r="R642" s="15"/>
      <c r="S642" s="15"/>
      <c r="T642" s="15"/>
      <c r="U642" s="243"/>
      <c r="V642" s="243"/>
      <c r="W642" s="243"/>
    </row>
    <row r="643">
      <c r="A643" s="34"/>
      <c r="B643" s="15"/>
      <c r="C643" s="15"/>
      <c r="D643" s="15"/>
      <c r="E643" s="17"/>
      <c r="F643" s="15"/>
      <c r="G643" s="250"/>
      <c r="H643" s="243"/>
      <c r="I643" s="243"/>
      <c r="J643" s="243"/>
      <c r="K643" s="85"/>
      <c r="L643" s="85"/>
      <c r="M643" s="85"/>
      <c r="N643" s="85"/>
      <c r="O643" s="29"/>
      <c r="P643" s="307"/>
      <c r="Q643" s="15"/>
      <c r="R643" s="15"/>
      <c r="S643" s="15"/>
      <c r="T643" s="15"/>
      <c r="U643" s="243"/>
      <c r="V643" s="243"/>
      <c r="W643" s="243"/>
    </row>
    <row r="644">
      <c r="A644" s="34"/>
      <c r="B644" s="15"/>
      <c r="C644" s="15"/>
      <c r="D644" s="15"/>
      <c r="E644" s="17"/>
      <c r="F644" s="15"/>
      <c r="G644" s="250"/>
      <c r="H644" s="243"/>
      <c r="I644" s="243"/>
      <c r="J644" s="243"/>
      <c r="K644" s="85"/>
      <c r="L644" s="85"/>
      <c r="M644" s="85"/>
      <c r="N644" s="85"/>
      <c r="O644" s="29"/>
      <c r="P644" s="307"/>
      <c r="Q644" s="15"/>
      <c r="R644" s="15"/>
      <c r="S644" s="15"/>
      <c r="T644" s="15"/>
      <c r="U644" s="243"/>
      <c r="V644" s="243"/>
      <c r="W644" s="243"/>
    </row>
    <row r="645">
      <c r="A645" s="34"/>
      <c r="B645" s="15"/>
      <c r="C645" s="15"/>
      <c r="D645" s="15"/>
      <c r="E645" s="17"/>
      <c r="F645" s="15"/>
      <c r="G645" s="250"/>
      <c r="H645" s="243"/>
      <c r="I645" s="243"/>
      <c r="J645" s="243"/>
      <c r="K645" s="85"/>
      <c r="L645" s="85"/>
      <c r="M645" s="85"/>
      <c r="N645" s="85"/>
      <c r="O645" s="29"/>
      <c r="P645" s="307"/>
      <c r="Q645" s="15"/>
      <c r="R645" s="15"/>
      <c r="S645" s="15"/>
      <c r="T645" s="15"/>
      <c r="U645" s="243"/>
      <c r="V645" s="243"/>
      <c r="W645" s="243"/>
    </row>
    <row r="646">
      <c r="A646" s="34"/>
      <c r="B646" s="15"/>
      <c r="C646" s="15"/>
      <c r="D646" s="15"/>
      <c r="E646" s="17"/>
      <c r="F646" s="15"/>
      <c r="G646" s="250"/>
      <c r="H646" s="243"/>
      <c r="I646" s="243"/>
      <c r="J646" s="243"/>
      <c r="K646" s="85"/>
      <c r="L646" s="85"/>
      <c r="M646" s="85"/>
      <c r="N646" s="85"/>
      <c r="O646" s="29"/>
      <c r="P646" s="307"/>
      <c r="Q646" s="15"/>
      <c r="R646" s="15"/>
      <c r="S646" s="15"/>
      <c r="T646" s="15"/>
      <c r="U646" s="243"/>
      <c r="V646" s="243"/>
      <c r="W646" s="243"/>
    </row>
    <row r="647">
      <c r="A647" s="34"/>
      <c r="B647" s="15"/>
      <c r="C647" s="15"/>
      <c r="D647" s="15"/>
      <c r="E647" s="17"/>
      <c r="F647" s="15"/>
      <c r="G647" s="250"/>
      <c r="H647" s="243"/>
      <c r="I647" s="243"/>
      <c r="J647" s="243"/>
      <c r="K647" s="85"/>
      <c r="L647" s="85"/>
      <c r="M647" s="85"/>
      <c r="N647" s="85"/>
      <c r="O647" s="29"/>
      <c r="P647" s="307"/>
      <c r="Q647" s="15"/>
      <c r="R647" s="15"/>
      <c r="S647" s="15"/>
      <c r="T647" s="15"/>
      <c r="U647" s="243"/>
      <c r="V647" s="243"/>
      <c r="W647" s="243"/>
    </row>
    <row r="648">
      <c r="A648" s="34"/>
      <c r="B648" s="15"/>
      <c r="C648" s="15"/>
      <c r="D648" s="15"/>
      <c r="E648" s="17"/>
      <c r="F648" s="15"/>
      <c r="G648" s="250"/>
      <c r="H648" s="243"/>
      <c r="I648" s="243"/>
      <c r="J648" s="243"/>
      <c r="K648" s="85"/>
      <c r="L648" s="85"/>
      <c r="M648" s="85"/>
      <c r="N648" s="85"/>
      <c r="O648" s="29"/>
      <c r="P648" s="307"/>
      <c r="Q648" s="15"/>
      <c r="R648" s="15"/>
      <c r="S648" s="15"/>
      <c r="T648" s="15"/>
      <c r="U648" s="243"/>
      <c r="V648" s="243"/>
      <c r="W648" s="243"/>
    </row>
    <row r="649">
      <c r="A649" s="34"/>
      <c r="B649" s="15"/>
      <c r="C649" s="15"/>
      <c r="D649" s="15"/>
      <c r="E649" s="17"/>
      <c r="F649" s="15"/>
      <c r="G649" s="250"/>
      <c r="H649" s="243"/>
      <c r="I649" s="243"/>
      <c r="J649" s="243"/>
      <c r="K649" s="85"/>
      <c r="L649" s="85"/>
      <c r="M649" s="85"/>
      <c r="N649" s="85"/>
      <c r="O649" s="29"/>
      <c r="P649" s="307"/>
      <c r="Q649" s="15"/>
      <c r="R649" s="15"/>
      <c r="S649" s="15"/>
      <c r="T649" s="15"/>
      <c r="U649" s="243"/>
      <c r="V649" s="243"/>
      <c r="W649" s="243"/>
    </row>
    <row r="650">
      <c r="A650" s="34"/>
      <c r="B650" s="15"/>
      <c r="C650" s="15"/>
      <c r="D650" s="15"/>
      <c r="E650" s="17"/>
      <c r="F650" s="15"/>
      <c r="G650" s="250"/>
      <c r="H650" s="243"/>
      <c r="I650" s="243"/>
      <c r="J650" s="243"/>
      <c r="K650" s="85"/>
      <c r="L650" s="85"/>
      <c r="M650" s="85"/>
      <c r="N650" s="85"/>
      <c r="O650" s="29"/>
      <c r="P650" s="307"/>
      <c r="Q650" s="15"/>
      <c r="R650" s="15"/>
      <c r="S650" s="15"/>
      <c r="T650" s="15"/>
      <c r="U650" s="243"/>
      <c r="V650" s="243"/>
      <c r="W650" s="243"/>
    </row>
    <row r="651">
      <c r="A651" s="34"/>
      <c r="B651" s="15"/>
      <c r="C651" s="15"/>
      <c r="D651" s="15"/>
      <c r="E651" s="17"/>
      <c r="F651" s="15"/>
      <c r="G651" s="250"/>
      <c r="H651" s="243"/>
      <c r="I651" s="243"/>
      <c r="J651" s="243"/>
      <c r="K651" s="85"/>
      <c r="L651" s="85"/>
      <c r="M651" s="85"/>
      <c r="N651" s="85"/>
      <c r="O651" s="29"/>
      <c r="P651" s="307"/>
      <c r="Q651" s="15"/>
      <c r="R651" s="15"/>
      <c r="S651" s="15"/>
      <c r="T651" s="15"/>
      <c r="U651" s="243"/>
      <c r="V651" s="243"/>
      <c r="W651" s="243"/>
    </row>
    <row r="652">
      <c r="A652" s="34"/>
      <c r="B652" s="15"/>
      <c r="C652" s="15"/>
      <c r="D652" s="15"/>
      <c r="E652" s="17"/>
      <c r="F652" s="15"/>
      <c r="G652" s="250"/>
      <c r="H652" s="243"/>
      <c r="I652" s="243"/>
      <c r="J652" s="243"/>
      <c r="K652" s="85"/>
      <c r="L652" s="85"/>
      <c r="M652" s="85"/>
      <c r="N652" s="85"/>
      <c r="O652" s="29"/>
      <c r="P652" s="307"/>
      <c r="Q652" s="15"/>
      <c r="R652" s="15"/>
      <c r="S652" s="15"/>
      <c r="T652" s="15"/>
      <c r="U652" s="243"/>
      <c r="V652" s="243"/>
      <c r="W652" s="243"/>
    </row>
    <row r="653">
      <c r="A653" s="34"/>
      <c r="B653" s="15"/>
      <c r="C653" s="15"/>
      <c r="D653" s="15"/>
      <c r="E653" s="17"/>
      <c r="F653" s="15"/>
      <c r="G653" s="250"/>
      <c r="H653" s="243"/>
      <c r="I653" s="243"/>
      <c r="J653" s="243"/>
      <c r="K653" s="85"/>
      <c r="L653" s="85"/>
      <c r="M653" s="85"/>
      <c r="N653" s="85"/>
      <c r="O653" s="29"/>
      <c r="P653" s="307"/>
      <c r="Q653" s="15"/>
      <c r="R653" s="15"/>
      <c r="S653" s="15"/>
      <c r="T653" s="15"/>
      <c r="U653" s="243"/>
      <c r="V653" s="243"/>
      <c r="W653" s="243"/>
    </row>
    <row r="654">
      <c r="A654" s="34"/>
      <c r="B654" s="15"/>
      <c r="C654" s="15"/>
      <c r="D654" s="15"/>
      <c r="E654" s="17"/>
      <c r="F654" s="15"/>
      <c r="G654" s="250"/>
      <c r="H654" s="243"/>
      <c r="I654" s="243"/>
      <c r="J654" s="243"/>
      <c r="K654" s="85"/>
      <c r="L654" s="85"/>
      <c r="M654" s="85"/>
      <c r="N654" s="85"/>
      <c r="O654" s="29"/>
      <c r="P654" s="307"/>
      <c r="Q654" s="15"/>
      <c r="R654" s="15"/>
      <c r="S654" s="15"/>
      <c r="T654" s="15"/>
      <c r="U654" s="243"/>
      <c r="V654" s="243"/>
      <c r="W654" s="243"/>
    </row>
    <row r="655">
      <c r="A655" s="34"/>
      <c r="B655" s="15"/>
      <c r="C655" s="15"/>
      <c r="D655" s="15"/>
      <c r="E655" s="17"/>
      <c r="F655" s="15"/>
      <c r="G655" s="250"/>
      <c r="H655" s="243"/>
      <c r="I655" s="243"/>
      <c r="J655" s="243"/>
      <c r="K655" s="85"/>
      <c r="L655" s="85"/>
      <c r="M655" s="85"/>
      <c r="N655" s="85"/>
      <c r="O655" s="29"/>
      <c r="P655" s="307"/>
      <c r="Q655" s="15"/>
      <c r="R655" s="15"/>
      <c r="S655" s="15"/>
      <c r="T655" s="15"/>
      <c r="U655" s="243"/>
      <c r="V655" s="243"/>
      <c r="W655" s="243"/>
    </row>
    <row r="656">
      <c r="A656" s="34"/>
      <c r="B656" s="15"/>
      <c r="C656" s="15"/>
      <c r="D656" s="15"/>
      <c r="E656" s="17"/>
      <c r="F656" s="15"/>
      <c r="G656" s="250"/>
      <c r="H656" s="243"/>
      <c r="I656" s="243"/>
      <c r="J656" s="243"/>
      <c r="K656" s="85"/>
      <c r="L656" s="85"/>
      <c r="M656" s="85"/>
      <c r="N656" s="85"/>
      <c r="O656" s="29"/>
      <c r="P656" s="307"/>
      <c r="Q656" s="15"/>
      <c r="R656" s="15"/>
      <c r="S656" s="15"/>
      <c r="T656" s="15"/>
      <c r="U656" s="243"/>
      <c r="V656" s="243"/>
      <c r="W656" s="243"/>
    </row>
    <row r="657">
      <c r="A657" s="34"/>
      <c r="B657" s="15"/>
      <c r="C657" s="15"/>
      <c r="D657" s="15"/>
      <c r="E657" s="17"/>
      <c r="F657" s="15"/>
      <c r="G657" s="250"/>
      <c r="H657" s="243"/>
      <c r="I657" s="243"/>
      <c r="J657" s="243"/>
      <c r="K657" s="85"/>
      <c r="L657" s="85"/>
      <c r="M657" s="85"/>
      <c r="N657" s="85"/>
      <c r="O657" s="29"/>
      <c r="P657" s="307"/>
      <c r="Q657" s="15"/>
      <c r="R657" s="15"/>
      <c r="S657" s="15"/>
      <c r="T657" s="15"/>
      <c r="U657" s="243"/>
      <c r="V657" s="243"/>
      <c r="W657" s="243"/>
    </row>
    <row r="658">
      <c r="A658" s="34"/>
      <c r="B658" s="15"/>
      <c r="C658" s="15"/>
      <c r="D658" s="15"/>
      <c r="E658" s="17"/>
      <c r="F658" s="15"/>
      <c r="G658" s="250"/>
      <c r="H658" s="243"/>
      <c r="I658" s="243"/>
      <c r="J658" s="243"/>
      <c r="K658" s="85"/>
      <c r="L658" s="85"/>
      <c r="M658" s="85"/>
      <c r="N658" s="85"/>
      <c r="O658" s="29"/>
      <c r="P658" s="307"/>
      <c r="Q658" s="15"/>
      <c r="R658" s="15"/>
      <c r="S658" s="15"/>
      <c r="T658" s="15"/>
      <c r="U658" s="243"/>
      <c r="V658" s="243"/>
      <c r="W658" s="243"/>
    </row>
    <row r="659">
      <c r="A659" s="34"/>
      <c r="B659" s="15"/>
      <c r="C659" s="15"/>
      <c r="D659" s="15"/>
      <c r="E659" s="17"/>
      <c r="F659" s="15"/>
      <c r="G659" s="250"/>
      <c r="H659" s="243"/>
      <c r="I659" s="243"/>
      <c r="J659" s="243"/>
      <c r="K659" s="85"/>
      <c r="L659" s="85"/>
      <c r="M659" s="85"/>
      <c r="N659" s="85"/>
      <c r="O659" s="29"/>
      <c r="P659" s="307"/>
      <c r="Q659" s="15"/>
      <c r="R659" s="15"/>
      <c r="S659" s="15"/>
      <c r="T659" s="15"/>
      <c r="U659" s="243"/>
      <c r="V659" s="243"/>
      <c r="W659" s="243"/>
    </row>
    <row r="660">
      <c r="A660" s="34"/>
      <c r="B660" s="15"/>
      <c r="C660" s="15"/>
      <c r="D660" s="15"/>
      <c r="E660" s="17"/>
      <c r="F660" s="15"/>
      <c r="G660" s="250"/>
      <c r="H660" s="243"/>
      <c r="I660" s="243"/>
      <c r="J660" s="243"/>
      <c r="K660" s="85"/>
      <c r="L660" s="85"/>
      <c r="M660" s="85"/>
      <c r="N660" s="85"/>
      <c r="O660" s="29"/>
      <c r="P660" s="307"/>
      <c r="Q660" s="15"/>
      <c r="R660" s="15"/>
      <c r="S660" s="15"/>
      <c r="T660" s="15"/>
      <c r="U660" s="243"/>
      <c r="V660" s="243"/>
      <c r="W660" s="243"/>
    </row>
    <row r="661">
      <c r="A661" s="34"/>
      <c r="B661" s="15"/>
      <c r="C661" s="15"/>
      <c r="D661" s="15"/>
      <c r="E661" s="17"/>
      <c r="F661" s="15"/>
      <c r="G661" s="250"/>
      <c r="H661" s="243"/>
      <c r="I661" s="243"/>
      <c r="J661" s="243"/>
      <c r="K661" s="85"/>
      <c r="L661" s="85"/>
      <c r="M661" s="85"/>
      <c r="N661" s="85"/>
      <c r="O661" s="29"/>
      <c r="P661" s="307"/>
      <c r="Q661" s="15"/>
      <c r="R661" s="15"/>
      <c r="S661" s="15"/>
      <c r="T661" s="15"/>
      <c r="U661" s="243"/>
      <c r="V661" s="243"/>
      <c r="W661" s="243"/>
    </row>
    <row r="662">
      <c r="A662" s="34"/>
      <c r="B662" s="15"/>
      <c r="C662" s="15"/>
      <c r="D662" s="15"/>
      <c r="E662" s="17"/>
      <c r="F662" s="15"/>
      <c r="G662" s="250"/>
      <c r="H662" s="243"/>
      <c r="I662" s="243"/>
      <c r="J662" s="243"/>
      <c r="K662" s="85"/>
      <c r="L662" s="85"/>
      <c r="M662" s="85"/>
      <c r="N662" s="85"/>
      <c r="O662" s="29"/>
      <c r="P662" s="307"/>
      <c r="Q662" s="15"/>
      <c r="R662" s="15"/>
      <c r="S662" s="15"/>
      <c r="T662" s="15"/>
      <c r="U662" s="243"/>
      <c r="V662" s="243"/>
      <c r="W662" s="243"/>
    </row>
    <row r="663">
      <c r="A663" s="34"/>
      <c r="B663" s="15"/>
      <c r="C663" s="15"/>
      <c r="D663" s="15"/>
      <c r="E663" s="17"/>
      <c r="F663" s="15"/>
      <c r="G663" s="250"/>
      <c r="H663" s="243"/>
      <c r="I663" s="243"/>
      <c r="J663" s="243"/>
      <c r="K663" s="85"/>
      <c r="L663" s="85"/>
      <c r="M663" s="85"/>
      <c r="N663" s="85"/>
      <c r="O663" s="29"/>
      <c r="P663" s="307"/>
      <c r="Q663" s="15"/>
      <c r="R663" s="15"/>
      <c r="S663" s="15"/>
      <c r="T663" s="15"/>
      <c r="U663" s="243"/>
      <c r="V663" s="243"/>
      <c r="W663" s="243"/>
    </row>
    <row r="664">
      <c r="A664" s="34"/>
      <c r="B664" s="15"/>
      <c r="C664" s="15"/>
      <c r="D664" s="15"/>
      <c r="E664" s="17"/>
      <c r="F664" s="15"/>
      <c r="G664" s="250"/>
      <c r="H664" s="243"/>
      <c r="I664" s="243"/>
      <c r="J664" s="243"/>
      <c r="K664" s="85"/>
      <c r="L664" s="85"/>
      <c r="M664" s="85"/>
      <c r="N664" s="85"/>
      <c r="O664" s="29"/>
      <c r="P664" s="307"/>
      <c r="Q664" s="15"/>
      <c r="R664" s="15"/>
      <c r="S664" s="15"/>
      <c r="T664" s="15"/>
      <c r="U664" s="243"/>
      <c r="V664" s="243"/>
      <c r="W664" s="243"/>
    </row>
    <row r="665">
      <c r="A665" s="34"/>
      <c r="B665" s="15"/>
      <c r="C665" s="15"/>
      <c r="D665" s="15"/>
      <c r="E665" s="17"/>
      <c r="F665" s="15"/>
      <c r="G665" s="250"/>
      <c r="H665" s="243"/>
      <c r="I665" s="243"/>
      <c r="J665" s="243"/>
      <c r="K665" s="85"/>
      <c r="L665" s="85"/>
      <c r="M665" s="85"/>
      <c r="N665" s="85"/>
      <c r="O665" s="29"/>
      <c r="P665" s="307"/>
      <c r="Q665" s="15"/>
      <c r="R665" s="15"/>
      <c r="S665" s="15"/>
      <c r="T665" s="15"/>
      <c r="U665" s="243"/>
      <c r="V665" s="243"/>
      <c r="W665" s="243"/>
    </row>
    <row r="666">
      <c r="A666" s="34"/>
      <c r="B666" s="15"/>
      <c r="C666" s="15"/>
      <c r="D666" s="15"/>
      <c r="E666" s="17"/>
      <c r="F666" s="15"/>
      <c r="G666" s="250"/>
      <c r="H666" s="243"/>
      <c r="I666" s="243"/>
      <c r="J666" s="243"/>
      <c r="K666" s="85"/>
      <c r="L666" s="85"/>
      <c r="M666" s="85"/>
      <c r="N666" s="85"/>
      <c r="O666" s="29"/>
      <c r="P666" s="307"/>
      <c r="Q666" s="15"/>
      <c r="R666" s="15"/>
      <c r="S666" s="15"/>
      <c r="T666" s="15"/>
      <c r="U666" s="243"/>
      <c r="V666" s="243"/>
      <c r="W666" s="243"/>
    </row>
    <row r="667">
      <c r="A667" s="34"/>
      <c r="B667" s="15"/>
      <c r="C667" s="15"/>
      <c r="D667" s="15"/>
      <c r="E667" s="17"/>
      <c r="F667" s="15"/>
      <c r="G667" s="250"/>
      <c r="H667" s="243"/>
      <c r="I667" s="243"/>
      <c r="J667" s="243"/>
      <c r="K667" s="85"/>
      <c r="L667" s="85"/>
      <c r="M667" s="85"/>
      <c r="N667" s="85"/>
      <c r="O667" s="29"/>
      <c r="P667" s="307"/>
      <c r="Q667" s="15"/>
      <c r="R667" s="15"/>
      <c r="S667" s="15"/>
      <c r="T667" s="15"/>
      <c r="U667" s="243"/>
      <c r="V667" s="243"/>
      <c r="W667" s="243"/>
    </row>
    <row r="668">
      <c r="A668" s="34"/>
      <c r="B668" s="15"/>
      <c r="C668" s="15"/>
      <c r="D668" s="15"/>
      <c r="E668" s="17"/>
      <c r="F668" s="15"/>
      <c r="G668" s="250"/>
      <c r="H668" s="243"/>
      <c r="I668" s="243"/>
      <c r="J668" s="243"/>
      <c r="K668" s="85"/>
      <c r="L668" s="85"/>
      <c r="M668" s="85"/>
      <c r="N668" s="85"/>
      <c r="O668" s="29"/>
      <c r="P668" s="307"/>
      <c r="Q668" s="15"/>
      <c r="R668" s="15"/>
      <c r="S668" s="15"/>
      <c r="T668" s="15"/>
      <c r="U668" s="243"/>
      <c r="V668" s="243"/>
      <c r="W668" s="243"/>
    </row>
    <row r="669">
      <c r="A669" s="34"/>
      <c r="B669" s="15"/>
      <c r="C669" s="15"/>
      <c r="D669" s="15"/>
      <c r="E669" s="17"/>
      <c r="F669" s="15"/>
      <c r="G669" s="250"/>
      <c r="H669" s="243"/>
      <c r="I669" s="243"/>
      <c r="J669" s="243"/>
      <c r="K669" s="85"/>
      <c r="L669" s="85"/>
      <c r="M669" s="85"/>
      <c r="N669" s="85"/>
      <c r="O669" s="29"/>
      <c r="P669" s="307"/>
      <c r="Q669" s="15"/>
      <c r="R669" s="15"/>
      <c r="S669" s="15"/>
      <c r="T669" s="15"/>
      <c r="U669" s="243"/>
      <c r="V669" s="243"/>
      <c r="W669" s="243"/>
    </row>
    <row r="670">
      <c r="A670" s="34"/>
      <c r="B670" s="15"/>
      <c r="C670" s="15"/>
      <c r="D670" s="15"/>
      <c r="E670" s="17"/>
      <c r="F670" s="15"/>
      <c r="G670" s="250"/>
      <c r="H670" s="243"/>
      <c r="I670" s="243"/>
      <c r="J670" s="243"/>
      <c r="K670" s="85"/>
      <c r="L670" s="85"/>
      <c r="M670" s="85"/>
      <c r="N670" s="85"/>
      <c r="O670" s="29"/>
      <c r="P670" s="307"/>
      <c r="Q670" s="15"/>
      <c r="R670" s="15"/>
      <c r="S670" s="15"/>
      <c r="T670" s="15"/>
      <c r="U670" s="243"/>
      <c r="V670" s="243"/>
      <c r="W670" s="243"/>
    </row>
    <row r="671">
      <c r="A671" s="34"/>
      <c r="B671" s="15"/>
      <c r="C671" s="15"/>
      <c r="D671" s="15"/>
      <c r="E671" s="17"/>
      <c r="F671" s="15"/>
      <c r="G671" s="250"/>
      <c r="H671" s="243"/>
      <c r="I671" s="243"/>
      <c r="J671" s="243"/>
      <c r="K671" s="85"/>
      <c r="L671" s="85"/>
      <c r="M671" s="85"/>
      <c r="N671" s="85"/>
      <c r="O671" s="29"/>
      <c r="P671" s="307"/>
      <c r="Q671" s="15"/>
      <c r="R671" s="15"/>
      <c r="S671" s="15"/>
      <c r="T671" s="15"/>
      <c r="U671" s="243"/>
      <c r="V671" s="243"/>
      <c r="W671" s="243"/>
    </row>
    <row r="672">
      <c r="A672" s="34"/>
      <c r="B672" s="15"/>
      <c r="C672" s="15"/>
      <c r="D672" s="15"/>
      <c r="E672" s="17"/>
      <c r="F672" s="15"/>
      <c r="G672" s="250"/>
      <c r="H672" s="243"/>
      <c r="I672" s="243"/>
      <c r="J672" s="243"/>
      <c r="K672" s="85"/>
      <c r="L672" s="85"/>
      <c r="M672" s="85"/>
      <c r="N672" s="85"/>
      <c r="O672" s="29"/>
      <c r="P672" s="307"/>
      <c r="Q672" s="15"/>
      <c r="R672" s="15"/>
      <c r="S672" s="15"/>
      <c r="T672" s="15"/>
      <c r="U672" s="243"/>
      <c r="V672" s="243"/>
      <c r="W672" s="243"/>
    </row>
    <row r="673">
      <c r="A673" s="34"/>
      <c r="B673" s="15"/>
      <c r="C673" s="15"/>
      <c r="D673" s="15"/>
      <c r="E673" s="17"/>
      <c r="F673" s="15"/>
      <c r="G673" s="250"/>
      <c r="H673" s="243"/>
      <c r="I673" s="243"/>
      <c r="J673" s="243"/>
      <c r="K673" s="85"/>
      <c r="L673" s="85"/>
      <c r="M673" s="85"/>
      <c r="N673" s="85"/>
      <c r="O673" s="29"/>
      <c r="P673" s="307"/>
      <c r="Q673" s="15"/>
      <c r="R673" s="15"/>
      <c r="S673" s="15"/>
      <c r="T673" s="15"/>
      <c r="U673" s="243"/>
      <c r="V673" s="243"/>
      <c r="W673" s="243"/>
    </row>
    <row r="674">
      <c r="A674" s="34"/>
      <c r="B674" s="15"/>
      <c r="C674" s="15"/>
      <c r="D674" s="15"/>
      <c r="E674" s="17"/>
      <c r="F674" s="15"/>
      <c r="G674" s="250"/>
      <c r="H674" s="243"/>
      <c r="I674" s="243"/>
      <c r="J674" s="243"/>
      <c r="K674" s="85"/>
      <c r="L674" s="85"/>
      <c r="M674" s="85"/>
      <c r="N674" s="85"/>
      <c r="O674" s="29"/>
      <c r="P674" s="307"/>
      <c r="Q674" s="15"/>
      <c r="R674" s="15"/>
      <c r="S674" s="15"/>
      <c r="T674" s="15"/>
      <c r="U674" s="243"/>
      <c r="V674" s="243"/>
      <c r="W674" s="243"/>
    </row>
    <row r="675">
      <c r="A675" s="34"/>
      <c r="B675" s="15"/>
      <c r="C675" s="15"/>
      <c r="D675" s="15"/>
      <c r="E675" s="17"/>
      <c r="F675" s="15"/>
      <c r="G675" s="250"/>
      <c r="H675" s="243"/>
      <c r="I675" s="243"/>
      <c r="J675" s="243"/>
      <c r="K675" s="85"/>
      <c r="L675" s="85"/>
      <c r="M675" s="85"/>
      <c r="N675" s="85"/>
      <c r="O675" s="29"/>
      <c r="P675" s="307"/>
      <c r="Q675" s="15"/>
      <c r="R675" s="15"/>
      <c r="S675" s="15"/>
      <c r="T675" s="15"/>
      <c r="U675" s="243"/>
      <c r="V675" s="243"/>
      <c r="W675" s="243"/>
    </row>
    <row r="676">
      <c r="A676" s="34"/>
      <c r="B676" s="15"/>
      <c r="C676" s="15"/>
      <c r="D676" s="15"/>
      <c r="E676" s="17"/>
      <c r="F676" s="15"/>
      <c r="G676" s="250"/>
      <c r="H676" s="243"/>
      <c r="I676" s="243"/>
      <c r="J676" s="243"/>
      <c r="K676" s="85"/>
      <c r="L676" s="85"/>
      <c r="M676" s="85"/>
      <c r="N676" s="85"/>
      <c r="O676" s="29"/>
      <c r="P676" s="307"/>
      <c r="Q676" s="15"/>
      <c r="R676" s="15"/>
      <c r="S676" s="15"/>
      <c r="T676" s="15"/>
      <c r="U676" s="243"/>
      <c r="V676" s="243"/>
      <c r="W676" s="243"/>
    </row>
    <row r="677">
      <c r="A677" s="34"/>
      <c r="B677" s="15"/>
      <c r="C677" s="15"/>
      <c r="D677" s="15"/>
      <c r="E677" s="17"/>
      <c r="F677" s="15"/>
      <c r="G677" s="250"/>
      <c r="H677" s="243"/>
      <c r="I677" s="243"/>
      <c r="J677" s="243"/>
      <c r="K677" s="85"/>
      <c r="L677" s="85"/>
      <c r="M677" s="85"/>
      <c r="N677" s="85"/>
      <c r="O677" s="29"/>
      <c r="P677" s="307"/>
      <c r="Q677" s="15"/>
      <c r="R677" s="15"/>
      <c r="S677" s="15"/>
      <c r="T677" s="15"/>
      <c r="U677" s="243"/>
      <c r="V677" s="243"/>
      <c r="W677" s="243"/>
    </row>
    <row r="678">
      <c r="A678" s="34"/>
      <c r="B678" s="15"/>
      <c r="C678" s="15"/>
      <c r="D678" s="15"/>
      <c r="E678" s="17"/>
      <c r="F678" s="15"/>
      <c r="G678" s="250"/>
      <c r="H678" s="243"/>
      <c r="I678" s="243"/>
      <c r="J678" s="243"/>
      <c r="K678" s="85"/>
      <c r="L678" s="85"/>
      <c r="M678" s="85"/>
      <c r="N678" s="85"/>
      <c r="O678" s="29"/>
      <c r="P678" s="307"/>
      <c r="Q678" s="15"/>
      <c r="R678" s="15"/>
      <c r="S678" s="15"/>
      <c r="T678" s="15"/>
      <c r="U678" s="243"/>
      <c r="V678" s="243"/>
      <c r="W678" s="243"/>
    </row>
    <row r="679">
      <c r="A679" s="34"/>
      <c r="B679" s="15"/>
      <c r="C679" s="15"/>
      <c r="D679" s="15"/>
      <c r="E679" s="17"/>
      <c r="F679" s="15"/>
      <c r="G679" s="250"/>
      <c r="H679" s="243"/>
      <c r="I679" s="243"/>
      <c r="J679" s="243"/>
      <c r="K679" s="85"/>
      <c r="L679" s="85"/>
      <c r="M679" s="85"/>
      <c r="N679" s="85"/>
      <c r="O679" s="29"/>
      <c r="P679" s="307"/>
      <c r="Q679" s="15"/>
      <c r="R679" s="15"/>
      <c r="S679" s="15"/>
      <c r="T679" s="15"/>
      <c r="U679" s="243"/>
      <c r="V679" s="243"/>
      <c r="W679" s="243"/>
    </row>
    <row r="680">
      <c r="A680" s="34"/>
      <c r="B680" s="15"/>
      <c r="C680" s="15"/>
      <c r="D680" s="15"/>
      <c r="E680" s="17"/>
      <c r="F680" s="15"/>
      <c r="G680" s="250"/>
      <c r="H680" s="243"/>
      <c r="I680" s="243"/>
      <c r="J680" s="243"/>
      <c r="K680" s="85"/>
      <c r="L680" s="85"/>
      <c r="M680" s="85"/>
      <c r="N680" s="85"/>
      <c r="O680" s="29"/>
      <c r="P680" s="307"/>
      <c r="Q680" s="15"/>
      <c r="R680" s="15"/>
      <c r="S680" s="15"/>
      <c r="T680" s="15"/>
      <c r="U680" s="243"/>
      <c r="V680" s="243"/>
      <c r="W680" s="243"/>
    </row>
    <row r="681">
      <c r="A681" s="34"/>
      <c r="B681" s="15"/>
      <c r="C681" s="15"/>
      <c r="D681" s="15"/>
      <c r="E681" s="17"/>
      <c r="F681" s="15"/>
      <c r="G681" s="250"/>
      <c r="H681" s="243"/>
      <c r="I681" s="243"/>
      <c r="J681" s="243"/>
      <c r="K681" s="85"/>
      <c r="L681" s="85"/>
      <c r="M681" s="85"/>
      <c r="N681" s="85"/>
      <c r="O681" s="29"/>
      <c r="P681" s="307"/>
      <c r="Q681" s="15"/>
      <c r="R681" s="15"/>
      <c r="S681" s="15"/>
      <c r="T681" s="15"/>
      <c r="U681" s="243"/>
      <c r="V681" s="243"/>
      <c r="W681" s="243"/>
    </row>
    <row r="682">
      <c r="A682" s="34"/>
      <c r="B682" s="15"/>
      <c r="C682" s="15"/>
      <c r="D682" s="15"/>
      <c r="E682" s="17"/>
      <c r="F682" s="15"/>
      <c r="G682" s="250"/>
      <c r="H682" s="243"/>
      <c r="I682" s="243"/>
      <c r="J682" s="243"/>
      <c r="K682" s="85"/>
      <c r="L682" s="85"/>
      <c r="M682" s="85"/>
      <c r="N682" s="85"/>
      <c r="O682" s="29"/>
      <c r="P682" s="307"/>
      <c r="Q682" s="15"/>
      <c r="R682" s="15"/>
      <c r="S682" s="15"/>
      <c r="T682" s="15"/>
      <c r="U682" s="243"/>
      <c r="V682" s="243"/>
      <c r="W682" s="243"/>
    </row>
    <row r="683">
      <c r="A683" s="34"/>
      <c r="B683" s="15"/>
      <c r="C683" s="15"/>
      <c r="D683" s="15"/>
      <c r="E683" s="17"/>
      <c r="F683" s="15"/>
      <c r="G683" s="250"/>
      <c r="H683" s="243"/>
      <c r="I683" s="243"/>
      <c r="J683" s="243"/>
      <c r="K683" s="85"/>
      <c r="L683" s="85"/>
      <c r="M683" s="85"/>
      <c r="N683" s="85"/>
      <c r="O683" s="29"/>
      <c r="P683" s="307"/>
      <c r="Q683" s="15"/>
      <c r="R683" s="15"/>
      <c r="S683" s="15"/>
      <c r="T683" s="15"/>
      <c r="U683" s="243"/>
      <c r="V683" s="243"/>
      <c r="W683" s="243"/>
    </row>
    <row r="684">
      <c r="A684" s="34"/>
      <c r="B684" s="15"/>
      <c r="C684" s="15"/>
      <c r="D684" s="15"/>
      <c r="E684" s="17"/>
      <c r="F684" s="15"/>
      <c r="G684" s="250"/>
      <c r="H684" s="243"/>
      <c r="I684" s="243"/>
      <c r="J684" s="243"/>
      <c r="K684" s="85"/>
      <c r="L684" s="85"/>
      <c r="M684" s="85"/>
      <c r="N684" s="85"/>
      <c r="O684" s="29"/>
      <c r="P684" s="307"/>
      <c r="Q684" s="15"/>
      <c r="R684" s="15"/>
      <c r="S684" s="15"/>
      <c r="T684" s="15"/>
      <c r="U684" s="243"/>
      <c r="V684" s="243"/>
      <c r="W684" s="243"/>
    </row>
    <row r="685">
      <c r="A685" s="34"/>
      <c r="B685" s="15"/>
      <c r="C685" s="15"/>
      <c r="D685" s="15"/>
      <c r="E685" s="17"/>
      <c r="F685" s="15"/>
      <c r="G685" s="250"/>
      <c r="H685" s="243"/>
      <c r="I685" s="243"/>
      <c r="J685" s="243"/>
      <c r="K685" s="85"/>
      <c r="L685" s="85"/>
      <c r="M685" s="85"/>
      <c r="N685" s="85"/>
      <c r="O685" s="29"/>
      <c r="P685" s="307"/>
      <c r="Q685" s="15"/>
      <c r="R685" s="15"/>
      <c r="S685" s="15"/>
      <c r="T685" s="15"/>
      <c r="U685" s="243"/>
      <c r="V685" s="243"/>
      <c r="W685" s="243"/>
    </row>
    <row r="686">
      <c r="A686" s="34"/>
      <c r="B686" s="15"/>
      <c r="C686" s="15"/>
      <c r="D686" s="15"/>
      <c r="E686" s="17"/>
      <c r="F686" s="15"/>
      <c r="G686" s="250"/>
      <c r="H686" s="243"/>
      <c r="I686" s="243"/>
      <c r="J686" s="243"/>
      <c r="K686" s="85"/>
      <c r="L686" s="85"/>
      <c r="M686" s="85"/>
      <c r="N686" s="85"/>
      <c r="O686" s="29"/>
      <c r="P686" s="307"/>
      <c r="Q686" s="15"/>
      <c r="R686" s="15"/>
      <c r="S686" s="15"/>
      <c r="T686" s="15"/>
      <c r="U686" s="243"/>
      <c r="V686" s="243"/>
      <c r="W686" s="243"/>
    </row>
    <row r="687">
      <c r="A687" s="34"/>
      <c r="B687" s="15"/>
      <c r="C687" s="15"/>
      <c r="D687" s="15"/>
      <c r="E687" s="17"/>
      <c r="F687" s="15"/>
      <c r="G687" s="250"/>
      <c r="H687" s="243"/>
      <c r="I687" s="243"/>
      <c r="J687" s="243"/>
      <c r="K687" s="85"/>
      <c r="L687" s="85"/>
      <c r="M687" s="85"/>
      <c r="N687" s="85"/>
      <c r="O687" s="29"/>
      <c r="P687" s="307"/>
      <c r="Q687" s="15"/>
      <c r="R687" s="15"/>
      <c r="S687" s="15"/>
      <c r="T687" s="15"/>
      <c r="U687" s="243"/>
      <c r="V687" s="243"/>
      <c r="W687" s="243"/>
    </row>
    <row r="688">
      <c r="A688" s="34"/>
      <c r="B688" s="15"/>
      <c r="C688" s="15"/>
      <c r="D688" s="15"/>
      <c r="E688" s="17"/>
      <c r="F688" s="15"/>
      <c r="G688" s="250"/>
      <c r="H688" s="243"/>
      <c r="I688" s="243"/>
      <c r="J688" s="243"/>
      <c r="K688" s="85"/>
      <c r="L688" s="85"/>
      <c r="M688" s="85"/>
      <c r="N688" s="85"/>
      <c r="O688" s="29"/>
      <c r="P688" s="307"/>
      <c r="Q688" s="15"/>
      <c r="R688" s="15"/>
      <c r="S688" s="15"/>
      <c r="T688" s="15"/>
      <c r="U688" s="243"/>
      <c r="V688" s="243"/>
      <c r="W688" s="243"/>
    </row>
    <row r="689">
      <c r="A689" s="34"/>
      <c r="B689" s="15"/>
      <c r="C689" s="15"/>
      <c r="D689" s="15"/>
      <c r="E689" s="17"/>
      <c r="F689" s="15"/>
      <c r="G689" s="250"/>
      <c r="H689" s="243"/>
      <c r="I689" s="243"/>
      <c r="J689" s="243"/>
      <c r="K689" s="85"/>
      <c r="L689" s="85"/>
      <c r="M689" s="85"/>
      <c r="N689" s="85"/>
      <c r="O689" s="29"/>
      <c r="P689" s="307"/>
      <c r="Q689" s="15"/>
      <c r="R689" s="15"/>
      <c r="S689" s="15"/>
      <c r="T689" s="15"/>
      <c r="U689" s="243"/>
      <c r="V689" s="243"/>
      <c r="W689" s="243"/>
    </row>
    <row r="690">
      <c r="A690" s="34"/>
      <c r="B690" s="15"/>
      <c r="C690" s="15"/>
      <c r="D690" s="15"/>
      <c r="E690" s="17"/>
      <c r="F690" s="15"/>
      <c r="G690" s="250"/>
      <c r="H690" s="243"/>
      <c r="I690" s="243"/>
      <c r="J690" s="243"/>
      <c r="K690" s="85"/>
      <c r="L690" s="85"/>
      <c r="M690" s="85"/>
      <c r="N690" s="85"/>
      <c r="O690" s="29"/>
      <c r="P690" s="307"/>
      <c r="Q690" s="15"/>
      <c r="R690" s="15"/>
      <c r="S690" s="15"/>
      <c r="T690" s="15"/>
      <c r="U690" s="243"/>
      <c r="V690" s="243"/>
      <c r="W690" s="243"/>
    </row>
    <row r="691">
      <c r="A691" s="34"/>
      <c r="B691" s="15"/>
      <c r="C691" s="15"/>
      <c r="D691" s="15"/>
      <c r="E691" s="17"/>
      <c r="F691" s="15"/>
      <c r="G691" s="250"/>
      <c r="H691" s="243"/>
      <c r="I691" s="243"/>
      <c r="J691" s="243"/>
      <c r="K691" s="85"/>
      <c r="L691" s="85"/>
      <c r="M691" s="85"/>
      <c r="N691" s="85"/>
      <c r="O691" s="29"/>
      <c r="P691" s="307"/>
      <c r="Q691" s="15"/>
      <c r="R691" s="15"/>
      <c r="S691" s="15"/>
      <c r="T691" s="15"/>
      <c r="U691" s="243"/>
      <c r="V691" s="243"/>
      <c r="W691" s="243"/>
    </row>
    <row r="692">
      <c r="A692" s="34"/>
      <c r="B692" s="15"/>
      <c r="C692" s="15"/>
      <c r="D692" s="15"/>
      <c r="E692" s="17"/>
      <c r="F692" s="15"/>
      <c r="G692" s="250"/>
      <c r="H692" s="243"/>
      <c r="I692" s="243"/>
      <c r="J692" s="243"/>
      <c r="K692" s="85"/>
      <c r="L692" s="85"/>
      <c r="M692" s="85"/>
      <c r="N692" s="85"/>
      <c r="O692" s="29"/>
      <c r="P692" s="307"/>
      <c r="Q692" s="15"/>
      <c r="R692" s="15"/>
      <c r="S692" s="15"/>
      <c r="T692" s="15"/>
      <c r="U692" s="243"/>
      <c r="V692" s="243"/>
      <c r="W692" s="243"/>
    </row>
    <row r="693">
      <c r="A693" s="34"/>
      <c r="B693" s="15"/>
      <c r="C693" s="15"/>
      <c r="D693" s="15"/>
      <c r="E693" s="17"/>
      <c r="F693" s="15"/>
      <c r="G693" s="250"/>
      <c r="H693" s="243"/>
      <c r="I693" s="243"/>
      <c r="J693" s="243"/>
      <c r="K693" s="85"/>
      <c r="L693" s="85"/>
      <c r="M693" s="85"/>
      <c r="N693" s="85"/>
      <c r="O693" s="29"/>
      <c r="P693" s="307"/>
      <c r="Q693" s="15"/>
      <c r="R693" s="15"/>
      <c r="S693" s="15"/>
      <c r="T693" s="15"/>
      <c r="U693" s="243"/>
      <c r="V693" s="243"/>
      <c r="W693" s="243"/>
    </row>
    <row r="694">
      <c r="A694" s="34"/>
      <c r="B694" s="15"/>
      <c r="C694" s="15"/>
      <c r="D694" s="15"/>
      <c r="E694" s="17"/>
      <c r="F694" s="15"/>
      <c r="G694" s="250"/>
      <c r="H694" s="243"/>
      <c r="I694" s="243"/>
      <c r="J694" s="243"/>
      <c r="K694" s="85"/>
      <c r="L694" s="85"/>
      <c r="M694" s="85"/>
      <c r="N694" s="85"/>
      <c r="O694" s="29"/>
      <c r="P694" s="307"/>
      <c r="Q694" s="15"/>
      <c r="R694" s="15"/>
      <c r="S694" s="15"/>
      <c r="T694" s="15"/>
      <c r="U694" s="243"/>
      <c r="V694" s="243"/>
      <c r="W694" s="243"/>
    </row>
    <row r="695">
      <c r="A695" s="34"/>
      <c r="B695" s="15"/>
      <c r="C695" s="15"/>
      <c r="D695" s="15"/>
      <c r="E695" s="17"/>
      <c r="F695" s="15"/>
      <c r="G695" s="250"/>
      <c r="H695" s="243"/>
      <c r="I695" s="243"/>
      <c r="J695" s="243"/>
      <c r="K695" s="85"/>
      <c r="L695" s="85"/>
      <c r="M695" s="85"/>
      <c r="N695" s="85"/>
      <c r="O695" s="29"/>
      <c r="P695" s="307"/>
      <c r="Q695" s="15"/>
      <c r="R695" s="15"/>
      <c r="S695" s="15"/>
      <c r="T695" s="15"/>
      <c r="U695" s="243"/>
      <c r="V695" s="243"/>
      <c r="W695" s="243"/>
    </row>
    <row r="696">
      <c r="A696" s="34"/>
      <c r="B696" s="15"/>
      <c r="C696" s="15"/>
      <c r="D696" s="15"/>
      <c r="E696" s="17"/>
      <c r="F696" s="15"/>
      <c r="G696" s="250"/>
      <c r="H696" s="243"/>
      <c r="I696" s="243"/>
      <c r="J696" s="243"/>
      <c r="K696" s="85"/>
      <c r="L696" s="85"/>
      <c r="M696" s="85"/>
      <c r="N696" s="85"/>
      <c r="O696" s="29"/>
      <c r="P696" s="307"/>
      <c r="Q696" s="15"/>
      <c r="R696" s="15"/>
      <c r="S696" s="15"/>
      <c r="T696" s="15"/>
      <c r="U696" s="243"/>
      <c r="V696" s="243"/>
      <c r="W696" s="243"/>
    </row>
    <row r="697">
      <c r="A697" s="34"/>
      <c r="B697" s="15"/>
      <c r="C697" s="15"/>
      <c r="D697" s="15"/>
      <c r="E697" s="17"/>
      <c r="F697" s="15"/>
      <c r="G697" s="250"/>
      <c r="H697" s="243"/>
      <c r="I697" s="243"/>
      <c r="J697" s="243"/>
      <c r="K697" s="85"/>
      <c r="L697" s="85"/>
      <c r="M697" s="85"/>
      <c r="N697" s="85"/>
      <c r="O697" s="29"/>
      <c r="P697" s="307"/>
      <c r="Q697" s="15"/>
      <c r="R697" s="15"/>
      <c r="S697" s="15"/>
      <c r="T697" s="15"/>
      <c r="U697" s="243"/>
      <c r="V697" s="243"/>
      <c r="W697" s="243"/>
    </row>
    <row r="698">
      <c r="A698" s="34"/>
      <c r="B698" s="15"/>
      <c r="C698" s="15"/>
      <c r="D698" s="15"/>
      <c r="E698" s="17"/>
      <c r="F698" s="15"/>
      <c r="G698" s="250"/>
      <c r="H698" s="243"/>
      <c r="I698" s="243"/>
      <c r="J698" s="243"/>
      <c r="K698" s="85"/>
      <c r="L698" s="85"/>
      <c r="M698" s="85"/>
      <c r="N698" s="85"/>
      <c r="O698" s="29"/>
      <c r="P698" s="307"/>
      <c r="Q698" s="15"/>
      <c r="R698" s="15"/>
      <c r="S698" s="15"/>
      <c r="T698" s="15"/>
      <c r="U698" s="243"/>
      <c r="V698" s="243"/>
      <c r="W698" s="243"/>
    </row>
    <row r="699">
      <c r="A699" s="34"/>
      <c r="B699" s="15"/>
      <c r="C699" s="15"/>
      <c r="D699" s="15"/>
      <c r="E699" s="17"/>
      <c r="F699" s="15"/>
      <c r="G699" s="250"/>
      <c r="H699" s="243"/>
      <c r="I699" s="243"/>
      <c r="J699" s="243"/>
      <c r="K699" s="85"/>
      <c r="L699" s="85"/>
      <c r="M699" s="85"/>
      <c r="N699" s="85"/>
      <c r="O699" s="29"/>
      <c r="P699" s="307"/>
      <c r="Q699" s="15"/>
      <c r="R699" s="15"/>
      <c r="S699" s="15"/>
      <c r="T699" s="15"/>
      <c r="U699" s="243"/>
      <c r="V699" s="243"/>
      <c r="W699" s="243"/>
    </row>
    <row r="700">
      <c r="A700" s="34"/>
      <c r="B700" s="15"/>
      <c r="C700" s="15"/>
      <c r="D700" s="15"/>
      <c r="E700" s="17"/>
      <c r="F700" s="15"/>
      <c r="G700" s="250"/>
      <c r="H700" s="243"/>
      <c r="I700" s="243"/>
      <c r="J700" s="243"/>
      <c r="K700" s="85"/>
      <c r="L700" s="85"/>
      <c r="M700" s="85"/>
      <c r="N700" s="85"/>
      <c r="O700" s="29"/>
      <c r="P700" s="307"/>
      <c r="Q700" s="15"/>
      <c r="R700" s="15"/>
      <c r="S700" s="15"/>
      <c r="T700" s="15"/>
      <c r="U700" s="243"/>
      <c r="V700" s="243"/>
      <c r="W700" s="243"/>
    </row>
    <row r="701">
      <c r="A701" s="34"/>
      <c r="B701" s="15"/>
      <c r="C701" s="15"/>
      <c r="D701" s="15"/>
      <c r="E701" s="17"/>
      <c r="F701" s="15"/>
      <c r="G701" s="250"/>
      <c r="H701" s="243"/>
      <c r="I701" s="243"/>
      <c r="J701" s="243"/>
      <c r="K701" s="85"/>
      <c r="L701" s="85"/>
      <c r="M701" s="85"/>
      <c r="N701" s="85"/>
      <c r="O701" s="29"/>
      <c r="P701" s="307"/>
      <c r="Q701" s="15"/>
      <c r="R701" s="15"/>
      <c r="S701" s="15"/>
      <c r="T701" s="15"/>
      <c r="U701" s="243"/>
      <c r="V701" s="243"/>
      <c r="W701" s="243"/>
    </row>
    <row r="702">
      <c r="A702" s="34"/>
      <c r="B702" s="15"/>
      <c r="C702" s="15"/>
      <c r="D702" s="15"/>
      <c r="E702" s="17"/>
      <c r="F702" s="15"/>
      <c r="G702" s="250"/>
      <c r="H702" s="243"/>
      <c r="I702" s="243"/>
      <c r="J702" s="243"/>
      <c r="K702" s="85"/>
      <c r="L702" s="85"/>
      <c r="M702" s="85"/>
      <c r="N702" s="85"/>
      <c r="O702" s="29"/>
      <c r="P702" s="307"/>
      <c r="Q702" s="15"/>
      <c r="R702" s="15"/>
      <c r="S702" s="15"/>
      <c r="T702" s="15"/>
      <c r="U702" s="243"/>
      <c r="V702" s="243"/>
      <c r="W702" s="243"/>
    </row>
    <row r="703">
      <c r="A703" s="34"/>
      <c r="B703" s="15"/>
      <c r="C703" s="15"/>
      <c r="D703" s="15"/>
      <c r="E703" s="17"/>
      <c r="F703" s="15"/>
      <c r="G703" s="250"/>
      <c r="H703" s="243"/>
      <c r="I703" s="243"/>
      <c r="J703" s="243"/>
      <c r="K703" s="85"/>
      <c r="L703" s="85"/>
      <c r="M703" s="85"/>
      <c r="N703" s="85"/>
      <c r="O703" s="29"/>
      <c r="P703" s="307"/>
      <c r="Q703" s="15"/>
      <c r="R703" s="15"/>
      <c r="S703" s="15"/>
      <c r="T703" s="15"/>
      <c r="U703" s="243"/>
      <c r="V703" s="243"/>
      <c r="W703" s="243"/>
    </row>
    <row r="704">
      <c r="A704" s="34"/>
      <c r="B704" s="15"/>
      <c r="C704" s="15"/>
      <c r="D704" s="15"/>
      <c r="E704" s="17"/>
      <c r="F704" s="15"/>
      <c r="G704" s="250"/>
      <c r="H704" s="243"/>
      <c r="I704" s="243"/>
      <c r="J704" s="243"/>
      <c r="K704" s="85"/>
      <c r="L704" s="85"/>
      <c r="M704" s="85"/>
      <c r="N704" s="85"/>
      <c r="O704" s="29"/>
      <c r="P704" s="307"/>
      <c r="Q704" s="15"/>
      <c r="R704" s="15"/>
      <c r="S704" s="15"/>
      <c r="T704" s="15"/>
      <c r="U704" s="243"/>
      <c r="V704" s="243"/>
      <c r="W704" s="243"/>
    </row>
    <row r="705">
      <c r="A705" s="34"/>
      <c r="B705" s="15"/>
      <c r="C705" s="15"/>
      <c r="D705" s="15"/>
      <c r="E705" s="17"/>
      <c r="F705" s="15"/>
      <c r="G705" s="250"/>
      <c r="H705" s="243"/>
      <c r="I705" s="243"/>
      <c r="J705" s="243"/>
      <c r="K705" s="85"/>
      <c r="L705" s="85"/>
      <c r="M705" s="85"/>
      <c r="N705" s="85"/>
      <c r="O705" s="29"/>
      <c r="P705" s="307"/>
      <c r="Q705" s="15"/>
      <c r="R705" s="15"/>
      <c r="S705" s="15"/>
      <c r="T705" s="15"/>
      <c r="U705" s="243"/>
      <c r="V705" s="243"/>
      <c r="W705" s="243"/>
    </row>
    <row r="706">
      <c r="A706" s="34"/>
      <c r="B706" s="15"/>
      <c r="C706" s="15"/>
      <c r="D706" s="15"/>
      <c r="E706" s="17"/>
      <c r="F706" s="15"/>
      <c r="G706" s="250"/>
      <c r="H706" s="243"/>
      <c r="I706" s="243"/>
      <c r="J706" s="243"/>
      <c r="K706" s="85"/>
      <c r="L706" s="85"/>
      <c r="M706" s="85"/>
      <c r="N706" s="85"/>
      <c r="O706" s="29"/>
      <c r="P706" s="307"/>
      <c r="Q706" s="15"/>
      <c r="R706" s="15"/>
      <c r="S706" s="15"/>
      <c r="T706" s="15"/>
      <c r="U706" s="243"/>
      <c r="V706" s="243"/>
      <c r="W706" s="243"/>
    </row>
    <row r="707">
      <c r="A707" s="34"/>
      <c r="B707" s="15"/>
      <c r="C707" s="15"/>
      <c r="D707" s="15"/>
      <c r="E707" s="17"/>
      <c r="F707" s="15"/>
      <c r="G707" s="250"/>
      <c r="H707" s="243"/>
      <c r="I707" s="243"/>
      <c r="J707" s="243"/>
      <c r="K707" s="85"/>
      <c r="L707" s="85"/>
      <c r="M707" s="85"/>
      <c r="N707" s="85"/>
      <c r="O707" s="29"/>
      <c r="P707" s="307"/>
      <c r="Q707" s="15"/>
      <c r="R707" s="15"/>
      <c r="S707" s="15"/>
      <c r="T707" s="15"/>
      <c r="U707" s="243"/>
      <c r="V707" s="243"/>
      <c r="W707" s="243"/>
    </row>
    <row r="708">
      <c r="A708" s="34"/>
      <c r="B708" s="15"/>
      <c r="C708" s="15"/>
      <c r="D708" s="15"/>
      <c r="E708" s="17"/>
      <c r="F708" s="15"/>
      <c r="G708" s="250"/>
      <c r="H708" s="243"/>
      <c r="I708" s="243"/>
      <c r="J708" s="243"/>
      <c r="K708" s="85"/>
      <c r="L708" s="85"/>
      <c r="M708" s="85"/>
      <c r="N708" s="85"/>
      <c r="O708" s="29"/>
      <c r="P708" s="307"/>
      <c r="Q708" s="15"/>
      <c r="R708" s="15"/>
      <c r="S708" s="15"/>
      <c r="T708" s="15"/>
      <c r="U708" s="243"/>
      <c r="V708" s="243"/>
      <c r="W708" s="243"/>
    </row>
    <row r="709">
      <c r="A709" s="34"/>
      <c r="B709" s="15"/>
      <c r="C709" s="15"/>
      <c r="D709" s="15"/>
      <c r="E709" s="17"/>
      <c r="F709" s="15"/>
      <c r="G709" s="250"/>
      <c r="H709" s="243"/>
      <c r="I709" s="243"/>
      <c r="J709" s="243"/>
      <c r="K709" s="85"/>
      <c r="L709" s="85"/>
      <c r="M709" s="85"/>
      <c r="N709" s="85"/>
      <c r="O709" s="29"/>
      <c r="P709" s="307"/>
      <c r="Q709" s="15"/>
      <c r="R709" s="15"/>
      <c r="S709" s="15"/>
      <c r="T709" s="15"/>
      <c r="U709" s="243"/>
      <c r="V709" s="243"/>
      <c r="W709" s="243"/>
    </row>
    <row r="710">
      <c r="A710" s="34"/>
      <c r="B710" s="15"/>
      <c r="C710" s="15"/>
      <c r="D710" s="15"/>
      <c r="E710" s="17"/>
      <c r="F710" s="15"/>
      <c r="G710" s="250"/>
      <c r="H710" s="243"/>
      <c r="I710" s="243"/>
      <c r="J710" s="243"/>
      <c r="K710" s="85"/>
      <c r="L710" s="85"/>
      <c r="M710" s="85"/>
      <c r="N710" s="85"/>
      <c r="O710" s="29"/>
      <c r="P710" s="307"/>
      <c r="Q710" s="15"/>
      <c r="R710" s="15"/>
      <c r="S710" s="15"/>
      <c r="T710" s="15"/>
      <c r="U710" s="243"/>
      <c r="V710" s="243"/>
      <c r="W710" s="243"/>
    </row>
    <row r="711">
      <c r="A711" s="34"/>
      <c r="B711" s="15"/>
      <c r="C711" s="15"/>
      <c r="D711" s="15"/>
      <c r="E711" s="17"/>
      <c r="F711" s="15"/>
      <c r="G711" s="250"/>
      <c r="H711" s="243"/>
      <c r="I711" s="243"/>
      <c r="J711" s="243"/>
      <c r="K711" s="85"/>
      <c r="L711" s="85"/>
      <c r="M711" s="85"/>
      <c r="N711" s="85"/>
      <c r="O711" s="29"/>
      <c r="P711" s="307"/>
      <c r="Q711" s="15"/>
      <c r="R711" s="15"/>
      <c r="S711" s="15"/>
      <c r="T711" s="15"/>
      <c r="U711" s="243"/>
      <c r="V711" s="243"/>
      <c r="W711" s="243"/>
    </row>
    <row r="712">
      <c r="A712" s="34"/>
      <c r="B712" s="15"/>
      <c r="C712" s="15"/>
      <c r="D712" s="15"/>
      <c r="E712" s="17"/>
      <c r="F712" s="15"/>
      <c r="G712" s="250"/>
      <c r="H712" s="243"/>
      <c r="I712" s="243"/>
      <c r="J712" s="243"/>
      <c r="K712" s="85"/>
      <c r="L712" s="85"/>
      <c r="M712" s="85"/>
      <c r="N712" s="85"/>
      <c r="O712" s="29"/>
      <c r="P712" s="307"/>
      <c r="Q712" s="15"/>
      <c r="R712" s="15"/>
      <c r="S712" s="15"/>
      <c r="T712" s="15"/>
      <c r="U712" s="243"/>
      <c r="V712" s="243"/>
      <c r="W712" s="243"/>
    </row>
    <row r="713">
      <c r="A713" s="34"/>
      <c r="B713" s="15"/>
      <c r="C713" s="15"/>
      <c r="D713" s="15"/>
      <c r="E713" s="17"/>
      <c r="F713" s="15"/>
      <c r="G713" s="250"/>
      <c r="H713" s="243"/>
      <c r="I713" s="243"/>
      <c r="J713" s="243"/>
      <c r="K713" s="85"/>
      <c r="L713" s="85"/>
      <c r="M713" s="85"/>
      <c r="N713" s="85"/>
      <c r="O713" s="29"/>
      <c r="P713" s="307"/>
      <c r="Q713" s="15"/>
      <c r="R713" s="15"/>
      <c r="S713" s="15"/>
      <c r="T713" s="15"/>
      <c r="U713" s="243"/>
      <c r="V713" s="243"/>
      <c r="W713" s="243"/>
    </row>
    <row r="714">
      <c r="A714" s="34"/>
      <c r="B714" s="15"/>
      <c r="C714" s="15"/>
      <c r="D714" s="15"/>
      <c r="E714" s="17"/>
      <c r="F714" s="15"/>
      <c r="G714" s="250"/>
      <c r="H714" s="243"/>
      <c r="I714" s="243"/>
      <c r="J714" s="243"/>
      <c r="K714" s="85"/>
      <c r="L714" s="85"/>
      <c r="M714" s="85"/>
      <c r="N714" s="85"/>
      <c r="O714" s="29"/>
      <c r="P714" s="307"/>
      <c r="Q714" s="15"/>
      <c r="R714" s="15"/>
      <c r="S714" s="15"/>
      <c r="T714" s="15"/>
      <c r="U714" s="243"/>
      <c r="V714" s="243"/>
      <c r="W714" s="243"/>
    </row>
    <row r="715">
      <c r="A715" s="34"/>
      <c r="B715" s="15"/>
      <c r="C715" s="15"/>
      <c r="D715" s="15"/>
      <c r="E715" s="17"/>
      <c r="F715" s="15"/>
      <c r="G715" s="250"/>
      <c r="H715" s="243"/>
      <c r="I715" s="243"/>
      <c r="J715" s="243"/>
      <c r="K715" s="85"/>
      <c r="L715" s="85"/>
      <c r="M715" s="85"/>
      <c r="N715" s="85"/>
      <c r="O715" s="29"/>
      <c r="P715" s="307"/>
      <c r="Q715" s="15"/>
      <c r="R715" s="15"/>
      <c r="S715" s="15"/>
      <c r="T715" s="15"/>
      <c r="U715" s="243"/>
      <c r="V715" s="243"/>
      <c r="W715" s="243"/>
    </row>
    <row r="716">
      <c r="A716" s="34"/>
      <c r="B716" s="15"/>
      <c r="C716" s="15"/>
      <c r="D716" s="15"/>
      <c r="E716" s="17"/>
      <c r="F716" s="15"/>
      <c r="G716" s="250"/>
      <c r="H716" s="243"/>
      <c r="I716" s="243"/>
      <c r="J716" s="243"/>
      <c r="K716" s="85"/>
      <c r="L716" s="85"/>
      <c r="M716" s="85"/>
      <c r="N716" s="85"/>
      <c r="O716" s="29"/>
      <c r="P716" s="307"/>
      <c r="Q716" s="15"/>
      <c r="R716" s="15"/>
      <c r="S716" s="15"/>
      <c r="T716" s="15"/>
      <c r="U716" s="243"/>
      <c r="V716" s="243"/>
      <c r="W716" s="243"/>
    </row>
    <row r="717">
      <c r="A717" s="34"/>
      <c r="B717" s="15"/>
      <c r="C717" s="15"/>
      <c r="D717" s="15"/>
      <c r="E717" s="17"/>
      <c r="F717" s="15"/>
      <c r="G717" s="250"/>
      <c r="H717" s="243"/>
      <c r="I717" s="243"/>
      <c r="J717" s="243"/>
      <c r="K717" s="85"/>
      <c r="L717" s="85"/>
      <c r="M717" s="85"/>
      <c r="N717" s="85"/>
      <c r="O717" s="29"/>
      <c r="P717" s="307"/>
      <c r="Q717" s="15"/>
      <c r="R717" s="15"/>
      <c r="S717" s="15"/>
      <c r="T717" s="15"/>
      <c r="U717" s="243"/>
      <c r="V717" s="243"/>
      <c r="W717" s="243"/>
    </row>
    <row r="718">
      <c r="A718" s="34"/>
      <c r="B718" s="15"/>
      <c r="C718" s="15"/>
      <c r="D718" s="15"/>
      <c r="E718" s="17"/>
      <c r="F718" s="15"/>
      <c r="G718" s="250"/>
      <c r="H718" s="243"/>
      <c r="I718" s="243"/>
      <c r="J718" s="243"/>
      <c r="K718" s="85"/>
      <c r="L718" s="85"/>
      <c r="M718" s="85"/>
      <c r="N718" s="85"/>
      <c r="O718" s="29"/>
      <c r="P718" s="307"/>
      <c r="Q718" s="15"/>
      <c r="R718" s="15"/>
      <c r="S718" s="15"/>
      <c r="T718" s="15"/>
      <c r="U718" s="243"/>
      <c r="V718" s="243"/>
      <c r="W718" s="243"/>
    </row>
    <row r="719">
      <c r="A719" s="34"/>
      <c r="B719" s="15"/>
      <c r="C719" s="15"/>
      <c r="D719" s="15"/>
      <c r="E719" s="17"/>
      <c r="F719" s="15"/>
      <c r="G719" s="250"/>
      <c r="H719" s="243"/>
      <c r="I719" s="243"/>
      <c r="J719" s="243"/>
      <c r="K719" s="85"/>
      <c r="L719" s="85"/>
      <c r="M719" s="85"/>
      <c r="N719" s="85"/>
      <c r="O719" s="29"/>
      <c r="P719" s="307"/>
      <c r="Q719" s="15"/>
      <c r="R719" s="15"/>
      <c r="S719" s="15"/>
      <c r="T719" s="15"/>
      <c r="U719" s="243"/>
      <c r="V719" s="243"/>
      <c r="W719" s="243"/>
    </row>
    <row r="720">
      <c r="A720" s="34"/>
      <c r="B720" s="15"/>
      <c r="C720" s="15"/>
      <c r="D720" s="15"/>
      <c r="E720" s="17"/>
      <c r="F720" s="15"/>
      <c r="G720" s="250"/>
      <c r="H720" s="243"/>
      <c r="I720" s="243"/>
      <c r="J720" s="243"/>
      <c r="K720" s="85"/>
      <c r="L720" s="85"/>
      <c r="M720" s="85"/>
      <c r="N720" s="85"/>
      <c r="O720" s="29"/>
      <c r="P720" s="307"/>
      <c r="Q720" s="15"/>
      <c r="R720" s="15"/>
      <c r="S720" s="15"/>
      <c r="T720" s="15"/>
      <c r="U720" s="243"/>
      <c r="V720" s="243"/>
      <c r="W720" s="243"/>
    </row>
    <row r="721">
      <c r="A721" s="34"/>
      <c r="B721" s="15"/>
      <c r="C721" s="15"/>
      <c r="D721" s="15"/>
      <c r="E721" s="17"/>
      <c r="F721" s="15"/>
      <c r="G721" s="250"/>
      <c r="H721" s="243"/>
      <c r="I721" s="243"/>
      <c r="J721" s="243"/>
      <c r="K721" s="85"/>
      <c r="L721" s="85"/>
      <c r="M721" s="85"/>
      <c r="N721" s="85"/>
      <c r="O721" s="29"/>
      <c r="P721" s="307"/>
      <c r="Q721" s="15"/>
      <c r="R721" s="15"/>
      <c r="S721" s="15"/>
      <c r="T721" s="15"/>
      <c r="U721" s="243"/>
      <c r="V721" s="243"/>
      <c r="W721" s="243"/>
    </row>
    <row r="722">
      <c r="A722" s="34"/>
      <c r="B722" s="15"/>
      <c r="C722" s="15"/>
      <c r="D722" s="15"/>
      <c r="E722" s="17"/>
      <c r="F722" s="15"/>
      <c r="G722" s="250"/>
      <c r="H722" s="243"/>
      <c r="I722" s="243"/>
      <c r="J722" s="243"/>
      <c r="K722" s="85"/>
      <c r="L722" s="85"/>
      <c r="M722" s="85"/>
      <c r="N722" s="85"/>
      <c r="O722" s="29"/>
      <c r="P722" s="307"/>
      <c r="Q722" s="15"/>
      <c r="R722" s="15"/>
      <c r="S722" s="15"/>
      <c r="T722" s="15"/>
      <c r="U722" s="243"/>
      <c r="V722" s="243"/>
      <c r="W722" s="243"/>
    </row>
    <row r="723">
      <c r="A723" s="34"/>
      <c r="B723" s="15"/>
      <c r="C723" s="15"/>
      <c r="D723" s="15"/>
      <c r="E723" s="17"/>
      <c r="F723" s="15"/>
      <c r="G723" s="250"/>
      <c r="H723" s="243"/>
      <c r="I723" s="243"/>
      <c r="J723" s="243"/>
      <c r="K723" s="85"/>
      <c r="L723" s="85"/>
      <c r="M723" s="85"/>
      <c r="N723" s="85"/>
      <c r="O723" s="29"/>
      <c r="P723" s="307"/>
      <c r="Q723" s="15"/>
      <c r="R723" s="15"/>
      <c r="S723" s="15"/>
      <c r="T723" s="15"/>
      <c r="U723" s="243"/>
      <c r="V723" s="243"/>
      <c r="W723" s="243"/>
    </row>
    <row r="724">
      <c r="A724" s="34"/>
      <c r="B724" s="15"/>
      <c r="C724" s="15"/>
      <c r="D724" s="15"/>
      <c r="E724" s="17"/>
      <c r="F724" s="15"/>
      <c r="G724" s="250"/>
      <c r="H724" s="243"/>
      <c r="I724" s="243"/>
      <c r="J724" s="243"/>
      <c r="K724" s="85"/>
      <c r="L724" s="85"/>
      <c r="M724" s="85"/>
      <c r="N724" s="85"/>
      <c r="O724" s="29"/>
      <c r="P724" s="307"/>
      <c r="Q724" s="15"/>
      <c r="R724" s="15"/>
      <c r="S724" s="15"/>
      <c r="T724" s="15"/>
      <c r="U724" s="243"/>
      <c r="V724" s="243"/>
      <c r="W724" s="243"/>
    </row>
    <row r="725">
      <c r="A725" s="34"/>
      <c r="B725" s="15"/>
      <c r="C725" s="15"/>
      <c r="D725" s="15"/>
      <c r="E725" s="17"/>
      <c r="F725" s="15"/>
      <c r="G725" s="250"/>
      <c r="H725" s="243"/>
      <c r="I725" s="243"/>
      <c r="J725" s="243"/>
      <c r="K725" s="85"/>
      <c r="L725" s="85"/>
      <c r="M725" s="85"/>
      <c r="N725" s="85"/>
      <c r="O725" s="29"/>
      <c r="P725" s="307"/>
      <c r="Q725" s="15"/>
      <c r="R725" s="15"/>
      <c r="S725" s="15"/>
      <c r="T725" s="15"/>
      <c r="U725" s="243"/>
      <c r="V725" s="243"/>
      <c r="W725" s="243"/>
    </row>
    <row r="726">
      <c r="A726" s="34"/>
      <c r="B726" s="15"/>
      <c r="C726" s="15"/>
      <c r="D726" s="15"/>
      <c r="E726" s="17"/>
      <c r="F726" s="15"/>
      <c r="G726" s="250"/>
      <c r="H726" s="243"/>
      <c r="I726" s="243"/>
      <c r="J726" s="243"/>
      <c r="K726" s="85"/>
      <c r="L726" s="85"/>
      <c r="M726" s="85"/>
      <c r="N726" s="85"/>
      <c r="O726" s="29"/>
      <c r="P726" s="307"/>
      <c r="Q726" s="15"/>
      <c r="R726" s="15"/>
      <c r="S726" s="15"/>
      <c r="T726" s="15"/>
      <c r="U726" s="243"/>
      <c r="V726" s="243"/>
      <c r="W726" s="243"/>
    </row>
    <row r="727">
      <c r="A727" s="34"/>
      <c r="B727" s="15"/>
      <c r="C727" s="15"/>
      <c r="D727" s="15"/>
      <c r="E727" s="17"/>
      <c r="F727" s="15"/>
      <c r="G727" s="250"/>
      <c r="H727" s="243"/>
      <c r="I727" s="243"/>
      <c r="J727" s="243"/>
      <c r="K727" s="85"/>
      <c r="L727" s="85"/>
      <c r="M727" s="85"/>
      <c r="N727" s="85"/>
      <c r="O727" s="29"/>
      <c r="P727" s="307"/>
      <c r="Q727" s="15"/>
      <c r="R727" s="15"/>
      <c r="S727" s="15"/>
      <c r="T727" s="15"/>
      <c r="U727" s="243"/>
      <c r="V727" s="243"/>
      <c r="W727" s="243"/>
    </row>
    <row r="728">
      <c r="A728" s="34"/>
      <c r="B728" s="15"/>
      <c r="C728" s="15"/>
      <c r="D728" s="15"/>
      <c r="E728" s="17"/>
      <c r="F728" s="15"/>
      <c r="G728" s="250"/>
      <c r="H728" s="243"/>
      <c r="I728" s="243"/>
      <c r="J728" s="243"/>
      <c r="K728" s="85"/>
      <c r="L728" s="85"/>
      <c r="M728" s="85"/>
      <c r="N728" s="85"/>
      <c r="O728" s="29"/>
      <c r="P728" s="307"/>
      <c r="Q728" s="15"/>
      <c r="R728" s="15"/>
      <c r="S728" s="15"/>
      <c r="T728" s="15"/>
      <c r="U728" s="243"/>
      <c r="V728" s="243"/>
      <c r="W728" s="243"/>
    </row>
    <row r="729">
      <c r="A729" s="34"/>
      <c r="B729" s="15"/>
      <c r="C729" s="15"/>
      <c r="D729" s="15"/>
      <c r="E729" s="17"/>
      <c r="F729" s="15"/>
      <c r="G729" s="250"/>
      <c r="H729" s="243"/>
      <c r="I729" s="243"/>
      <c r="J729" s="243"/>
      <c r="K729" s="85"/>
      <c r="L729" s="85"/>
      <c r="M729" s="85"/>
      <c r="N729" s="85"/>
      <c r="O729" s="29"/>
      <c r="P729" s="307"/>
      <c r="Q729" s="15"/>
      <c r="R729" s="15"/>
      <c r="S729" s="15"/>
      <c r="T729" s="15"/>
      <c r="U729" s="243"/>
      <c r="V729" s="243"/>
      <c r="W729" s="243"/>
    </row>
    <row r="730">
      <c r="A730" s="34"/>
      <c r="B730" s="15"/>
      <c r="C730" s="15"/>
      <c r="D730" s="15"/>
      <c r="E730" s="17"/>
      <c r="F730" s="15"/>
      <c r="G730" s="250"/>
      <c r="H730" s="243"/>
      <c r="I730" s="243"/>
      <c r="J730" s="243"/>
      <c r="K730" s="85"/>
      <c r="L730" s="85"/>
      <c r="M730" s="85"/>
      <c r="N730" s="85"/>
      <c r="O730" s="29"/>
      <c r="P730" s="307"/>
      <c r="Q730" s="15"/>
      <c r="R730" s="15"/>
      <c r="S730" s="15"/>
      <c r="T730" s="15"/>
      <c r="U730" s="243"/>
      <c r="V730" s="243"/>
      <c r="W730" s="243"/>
    </row>
    <row r="731">
      <c r="A731" s="34"/>
      <c r="B731" s="15"/>
      <c r="C731" s="15"/>
      <c r="D731" s="15"/>
      <c r="E731" s="17"/>
      <c r="F731" s="15"/>
      <c r="G731" s="250"/>
      <c r="H731" s="243"/>
      <c r="I731" s="243"/>
      <c r="J731" s="243"/>
      <c r="K731" s="85"/>
      <c r="L731" s="85"/>
      <c r="M731" s="85"/>
      <c r="N731" s="85"/>
      <c r="O731" s="29"/>
      <c r="P731" s="307"/>
      <c r="Q731" s="15"/>
      <c r="R731" s="15"/>
      <c r="S731" s="15"/>
      <c r="T731" s="15"/>
      <c r="U731" s="243"/>
      <c r="V731" s="243"/>
      <c r="W731" s="243"/>
    </row>
    <row r="732">
      <c r="A732" s="34"/>
      <c r="B732" s="15"/>
      <c r="C732" s="15"/>
      <c r="D732" s="15"/>
      <c r="E732" s="17"/>
      <c r="F732" s="15"/>
      <c r="G732" s="250"/>
      <c r="H732" s="243"/>
      <c r="I732" s="243"/>
      <c r="J732" s="243"/>
      <c r="K732" s="85"/>
      <c r="L732" s="85"/>
      <c r="M732" s="85"/>
      <c r="N732" s="85"/>
      <c r="O732" s="29"/>
      <c r="P732" s="307"/>
      <c r="Q732" s="15"/>
      <c r="R732" s="15"/>
      <c r="S732" s="15"/>
      <c r="T732" s="15"/>
      <c r="U732" s="243"/>
      <c r="V732" s="243"/>
      <c r="W732" s="243"/>
    </row>
    <row r="733">
      <c r="A733" s="34"/>
      <c r="B733" s="15"/>
      <c r="C733" s="15"/>
      <c r="D733" s="15"/>
      <c r="E733" s="17"/>
      <c r="F733" s="15"/>
      <c r="G733" s="250"/>
      <c r="H733" s="243"/>
      <c r="I733" s="243"/>
      <c r="J733" s="243"/>
      <c r="K733" s="85"/>
      <c r="L733" s="85"/>
      <c r="M733" s="85"/>
      <c r="N733" s="85"/>
      <c r="O733" s="29"/>
      <c r="P733" s="307"/>
      <c r="Q733" s="15"/>
      <c r="R733" s="15"/>
      <c r="S733" s="15"/>
      <c r="T733" s="15"/>
      <c r="U733" s="243"/>
      <c r="V733" s="243"/>
      <c r="W733" s="243"/>
    </row>
    <row r="734">
      <c r="A734" s="34"/>
      <c r="B734" s="15"/>
      <c r="C734" s="15"/>
      <c r="D734" s="15"/>
      <c r="E734" s="17"/>
      <c r="F734" s="15"/>
      <c r="G734" s="250"/>
      <c r="H734" s="243"/>
      <c r="I734" s="243"/>
      <c r="J734" s="243"/>
      <c r="K734" s="85"/>
      <c r="L734" s="85"/>
      <c r="M734" s="85"/>
      <c r="N734" s="85"/>
      <c r="O734" s="29"/>
      <c r="P734" s="307"/>
      <c r="Q734" s="15"/>
      <c r="R734" s="15"/>
      <c r="S734" s="15"/>
      <c r="T734" s="15"/>
      <c r="U734" s="243"/>
      <c r="V734" s="243"/>
      <c r="W734" s="243"/>
    </row>
    <row r="735">
      <c r="A735" s="34"/>
      <c r="B735" s="15"/>
      <c r="C735" s="15"/>
      <c r="D735" s="15"/>
      <c r="E735" s="17"/>
      <c r="F735" s="15"/>
      <c r="G735" s="250"/>
      <c r="H735" s="243"/>
      <c r="I735" s="243"/>
      <c r="J735" s="243"/>
      <c r="K735" s="85"/>
      <c r="L735" s="85"/>
      <c r="M735" s="85"/>
      <c r="N735" s="85"/>
      <c r="O735" s="29"/>
      <c r="P735" s="307"/>
      <c r="Q735" s="15"/>
      <c r="R735" s="15"/>
      <c r="S735" s="15"/>
      <c r="T735" s="15"/>
      <c r="U735" s="243"/>
      <c r="V735" s="243"/>
      <c r="W735" s="243"/>
    </row>
    <row r="736">
      <c r="A736" s="34"/>
      <c r="B736" s="15"/>
      <c r="C736" s="15"/>
      <c r="D736" s="15"/>
      <c r="E736" s="17"/>
      <c r="F736" s="15"/>
      <c r="G736" s="250"/>
      <c r="H736" s="243"/>
      <c r="I736" s="243"/>
      <c r="J736" s="243"/>
      <c r="K736" s="85"/>
      <c r="L736" s="85"/>
      <c r="M736" s="85"/>
      <c r="N736" s="85"/>
      <c r="O736" s="29"/>
      <c r="P736" s="307"/>
      <c r="Q736" s="15"/>
      <c r="R736" s="15"/>
      <c r="S736" s="15"/>
      <c r="T736" s="15"/>
      <c r="U736" s="243"/>
      <c r="V736" s="243"/>
      <c r="W736" s="243"/>
    </row>
    <row r="737">
      <c r="A737" s="34"/>
      <c r="B737" s="15"/>
      <c r="C737" s="15"/>
      <c r="D737" s="15"/>
      <c r="E737" s="17"/>
      <c r="F737" s="15"/>
      <c r="G737" s="250"/>
      <c r="H737" s="243"/>
      <c r="I737" s="243"/>
      <c r="J737" s="243"/>
      <c r="K737" s="85"/>
      <c r="L737" s="85"/>
      <c r="M737" s="85"/>
      <c r="N737" s="85"/>
      <c r="O737" s="29"/>
      <c r="P737" s="307"/>
      <c r="Q737" s="15"/>
      <c r="R737" s="15"/>
      <c r="S737" s="15"/>
      <c r="T737" s="15"/>
      <c r="U737" s="243"/>
      <c r="V737" s="243"/>
      <c r="W737" s="243"/>
    </row>
    <row r="738">
      <c r="A738" s="34"/>
      <c r="B738" s="15"/>
      <c r="C738" s="15"/>
      <c r="D738" s="15"/>
      <c r="E738" s="17"/>
      <c r="F738" s="15"/>
      <c r="G738" s="250"/>
      <c r="H738" s="243"/>
      <c r="I738" s="243"/>
      <c r="J738" s="243"/>
      <c r="K738" s="85"/>
      <c r="L738" s="85"/>
      <c r="M738" s="85"/>
      <c r="N738" s="85"/>
      <c r="O738" s="29"/>
      <c r="P738" s="307"/>
      <c r="Q738" s="15"/>
      <c r="R738" s="15"/>
      <c r="S738" s="15"/>
      <c r="T738" s="15"/>
      <c r="U738" s="243"/>
      <c r="V738" s="243"/>
      <c r="W738" s="243"/>
    </row>
    <row r="739">
      <c r="A739" s="34"/>
      <c r="B739" s="15"/>
      <c r="C739" s="15"/>
      <c r="D739" s="15"/>
      <c r="E739" s="17"/>
      <c r="F739" s="15"/>
      <c r="G739" s="250"/>
      <c r="H739" s="243"/>
      <c r="I739" s="243"/>
      <c r="J739" s="243"/>
      <c r="K739" s="85"/>
      <c r="L739" s="85"/>
      <c r="M739" s="85"/>
      <c r="N739" s="85"/>
      <c r="O739" s="29"/>
      <c r="P739" s="307"/>
      <c r="Q739" s="15"/>
      <c r="R739" s="15"/>
      <c r="S739" s="15"/>
      <c r="T739" s="15"/>
      <c r="U739" s="243"/>
      <c r="V739" s="243"/>
      <c r="W739" s="243"/>
    </row>
    <row r="740">
      <c r="A740" s="34"/>
      <c r="B740" s="15"/>
      <c r="C740" s="15"/>
      <c r="D740" s="15"/>
      <c r="E740" s="17"/>
      <c r="F740" s="15"/>
      <c r="G740" s="250"/>
      <c r="H740" s="243"/>
      <c r="I740" s="243"/>
      <c r="J740" s="243"/>
      <c r="K740" s="85"/>
      <c r="L740" s="85"/>
      <c r="M740" s="85"/>
      <c r="N740" s="85"/>
      <c r="O740" s="29"/>
      <c r="P740" s="307"/>
      <c r="Q740" s="15"/>
      <c r="R740" s="15"/>
      <c r="S740" s="15"/>
      <c r="T740" s="15"/>
      <c r="U740" s="243"/>
      <c r="V740" s="243"/>
      <c r="W740" s="243"/>
    </row>
    <row r="741">
      <c r="A741" s="34"/>
      <c r="B741" s="15"/>
      <c r="C741" s="15"/>
      <c r="D741" s="15"/>
      <c r="E741" s="17"/>
      <c r="F741" s="15"/>
      <c r="G741" s="250"/>
      <c r="H741" s="243"/>
      <c r="I741" s="243"/>
      <c r="J741" s="243"/>
      <c r="K741" s="85"/>
      <c r="L741" s="85"/>
      <c r="M741" s="85"/>
      <c r="N741" s="85"/>
      <c r="O741" s="29"/>
      <c r="P741" s="307"/>
      <c r="Q741" s="15"/>
      <c r="R741" s="15"/>
      <c r="S741" s="15"/>
      <c r="T741" s="15"/>
      <c r="U741" s="243"/>
      <c r="V741" s="243"/>
      <c r="W741" s="243"/>
    </row>
    <row r="742">
      <c r="A742" s="34"/>
      <c r="B742" s="15"/>
      <c r="C742" s="15"/>
      <c r="D742" s="15"/>
      <c r="E742" s="17"/>
      <c r="F742" s="15"/>
      <c r="G742" s="250"/>
      <c r="H742" s="243"/>
      <c r="I742" s="243"/>
      <c r="J742" s="243"/>
      <c r="K742" s="85"/>
      <c r="L742" s="85"/>
      <c r="M742" s="85"/>
      <c r="N742" s="85"/>
      <c r="O742" s="29"/>
      <c r="P742" s="307"/>
      <c r="Q742" s="15"/>
      <c r="R742" s="15"/>
      <c r="S742" s="15"/>
      <c r="T742" s="15"/>
      <c r="U742" s="243"/>
      <c r="V742" s="243"/>
      <c r="W742" s="243"/>
    </row>
    <row r="743">
      <c r="A743" s="34"/>
      <c r="B743" s="15"/>
      <c r="C743" s="15"/>
      <c r="D743" s="15"/>
      <c r="E743" s="17"/>
      <c r="F743" s="15"/>
      <c r="G743" s="250"/>
      <c r="H743" s="243"/>
      <c r="I743" s="243"/>
      <c r="J743" s="243"/>
      <c r="K743" s="85"/>
      <c r="L743" s="85"/>
      <c r="M743" s="85"/>
      <c r="N743" s="85"/>
      <c r="O743" s="29"/>
      <c r="P743" s="307"/>
      <c r="Q743" s="15"/>
      <c r="R743" s="15"/>
      <c r="S743" s="15"/>
      <c r="T743" s="15"/>
      <c r="U743" s="243"/>
      <c r="V743" s="243"/>
      <c r="W743" s="243"/>
    </row>
    <row r="744">
      <c r="A744" s="34"/>
      <c r="B744" s="15"/>
      <c r="C744" s="15"/>
      <c r="D744" s="15"/>
      <c r="E744" s="17"/>
      <c r="F744" s="15"/>
      <c r="G744" s="250"/>
      <c r="H744" s="243"/>
      <c r="I744" s="243"/>
      <c r="J744" s="243"/>
      <c r="K744" s="85"/>
      <c r="L744" s="85"/>
      <c r="M744" s="85"/>
      <c r="N744" s="85"/>
      <c r="O744" s="29"/>
      <c r="P744" s="307"/>
      <c r="Q744" s="15"/>
      <c r="R744" s="15"/>
      <c r="S744" s="15"/>
      <c r="T744" s="15"/>
      <c r="U744" s="243"/>
      <c r="V744" s="243"/>
      <c r="W744" s="243"/>
    </row>
    <row r="745">
      <c r="A745" s="34"/>
      <c r="B745" s="15"/>
      <c r="C745" s="15"/>
      <c r="D745" s="15"/>
      <c r="E745" s="17"/>
      <c r="F745" s="15"/>
      <c r="G745" s="250"/>
      <c r="H745" s="243"/>
      <c r="I745" s="243"/>
      <c r="J745" s="243"/>
      <c r="K745" s="85"/>
      <c r="L745" s="85"/>
      <c r="M745" s="85"/>
      <c r="N745" s="85"/>
      <c r="O745" s="29"/>
      <c r="P745" s="307"/>
      <c r="Q745" s="15"/>
      <c r="R745" s="15"/>
      <c r="S745" s="15"/>
      <c r="T745" s="15"/>
      <c r="U745" s="243"/>
      <c r="V745" s="243"/>
      <c r="W745" s="243"/>
    </row>
    <row r="746">
      <c r="A746" s="34"/>
      <c r="B746" s="15"/>
      <c r="C746" s="15"/>
      <c r="D746" s="15"/>
      <c r="E746" s="17"/>
      <c r="F746" s="15"/>
      <c r="G746" s="250"/>
      <c r="H746" s="243"/>
      <c r="I746" s="243"/>
      <c r="J746" s="243"/>
      <c r="K746" s="85"/>
      <c r="L746" s="85"/>
      <c r="M746" s="85"/>
      <c r="N746" s="85"/>
      <c r="O746" s="29"/>
      <c r="P746" s="307"/>
      <c r="Q746" s="15"/>
      <c r="R746" s="15"/>
      <c r="S746" s="15"/>
      <c r="T746" s="15"/>
      <c r="U746" s="243"/>
      <c r="V746" s="243"/>
      <c r="W746" s="243"/>
    </row>
    <row r="747">
      <c r="A747" s="34"/>
      <c r="B747" s="15"/>
      <c r="C747" s="15"/>
      <c r="D747" s="15"/>
      <c r="E747" s="17"/>
      <c r="F747" s="15"/>
      <c r="G747" s="250"/>
      <c r="H747" s="243"/>
      <c r="I747" s="243"/>
      <c r="J747" s="243"/>
      <c r="K747" s="85"/>
      <c r="L747" s="85"/>
      <c r="M747" s="85"/>
      <c r="N747" s="85"/>
      <c r="O747" s="29"/>
      <c r="P747" s="307"/>
      <c r="Q747" s="15"/>
      <c r="R747" s="15"/>
      <c r="S747" s="15"/>
      <c r="T747" s="15"/>
      <c r="U747" s="243"/>
      <c r="V747" s="243"/>
      <c r="W747" s="243"/>
    </row>
    <row r="748">
      <c r="A748" s="34"/>
      <c r="B748" s="15"/>
      <c r="C748" s="15"/>
      <c r="D748" s="15"/>
      <c r="E748" s="17"/>
      <c r="F748" s="15"/>
      <c r="G748" s="250"/>
      <c r="H748" s="243"/>
      <c r="I748" s="243"/>
      <c r="J748" s="243"/>
      <c r="K748" s="85"/>
      <c r="L748" s="85"/>
      <c r="M748" s="85"/>
      <c r="N748" s="85"/>
      <c r="O748" s="29"/>
      <c r="P748" s="307"/>
      <c r="Q748" s="15"/>
      <c r="R748" s="15"/>
      <c r="S748" s="15"/>
      <c r="T748" s="15"/>
      <c r="U748" s="243"/>
      <c r="V748" s="243"/>
      <c r="W748" s="243"/>
    </row>
    <row r="749">
      <c r="A749" s="34"/>
      <c r="B749" s="15"/>
      <c r="C749" s="15"/>
      <c r="D749" s="15"/>
      <c r="E749" s="17"/>
      <c r="F749" s="15"/>
      <c r="G749" s="250"/>
      <c r="H749" s="243"/>
      <c r="I749" s="243"/>
      <c r="J749" s="243"/>
      <c r="K749" s="85"/>
      <c r="L749" s="85"/>
      <c r="M749" s="85"/>
      <c r="N749" s="85"/>
      <c r="O749" s="29"/>
      <c r="P749" s="307"/>
      <c r="Q749" s="15"/>
      <c r="R749" s="15"/>
      <c r="S749" s="15"/>
      <c r="T749" s="15"/>
      <c r="U749" s="243"/>
      <c r="V749" s="243"/>
      <c r="W749" s="243"/>
    </row>
    <row r="750">
      <c r="A750" s="34"/>
      <c r="B750" s="15"/>
      <c r="C750" s="15"/>
      <c r="D750" s="15"/>
      <c r="E750" s="17"/>
      <c r="F750" s="15"/>
      <c r="G750" s="250"/>
      <c r="H750" s="243"/>
      <c r="I750" s="243"/>
      <c r="J750" s="243"/>
      <c r="K750" s="85"/>
      <c r="L750" s="85"/>
      <c r="M750" s="85"/>
      <c r="N750" s="85"/>
      <c r="O750" s="29"/>
      <c r="P750" s="307"/>
      <c r="Q750" s="15"/>
      <c r="R750" s="15"/>
      <c r="S750" s="15"/>
      <c r="T750" s="15"/>
      <c r="U750" s="243"/>
      <c r="V750" s="243"/>
      <c r="W750" s="243"/>
    </row>
    <row r="751">
      <c r="A751" s="34"/>
      <c r="B751" s="15"/>
      <c r="C751" s="15"/>
      <c r="D751" s="15"/>
      <c r="E751" s="17"/>
      <c r="F751" s="15"/>
      <c r="G751" s="250"/>
      <c r="H751" s="243"/>
      <c r="I751" s="243"/>
      <c r="J751" s="243"/>
      <c r="K751" s="85"/>
      <c r="L751" s="85"/>
      <c r="M751" s="85"/>
      <c r="N751" s="85"/>
      <c r="O751" s="29"/>
      <c r="P751" s="307"/>
      <c r="Q751" s="15"/>
      <c r="R751" s="15"/>
      <c r="S751" s="15"/>
      <c r="T751" s="15"/>
      <c r="U751" s="243"/>
      <c r="V751" s="243"/>
      <c r="W751" s="243"/>
    </row>
    <row r="752">
      <c r="A752" s="34"/>
      <c r="B752" s="15"/>
      <c r="C752" s="15"/>
      <c r="D752" s="15"/>
      <c r="E752" s="17"/>
      <c r="F752" s="15"/>
      <c r="G752" s="250"/>
      <c r="H752" s="243"/>
      <c r="I752" s="243"/>
      <c r="J752" s="243"/>
      <c r="K752" s="85"/>
      <c r="L752" s="85"/>
      <c r="M752" s="85"/>
      <c r="N752" s="85"/>
      <c r="O752" s="29"/>
      <c r="P752" s="307"/>
      <c r="Q752" s="15"/>
      <c r="R752" s="15"/>
      <c r="S752" s="15"/>
      <c r="T752" s="15"/>
      <c r="U752" s="243"/>
      <c r="V752" s="243"/>
      <c r="W752" s="243"/>
    </row>
    <row r="753">
      <c r="A753" s="34"/>
      <c r="B753" s="15"/>
      <c r="C753" s="15"/>
      <c r="D753" s="15"/>
      <c r="E753" s="17"/>
      <c r="F753" s="15"/>
      <c r="G753" s="250"/>
      <c r="H753" s="243"/>
      <c r="I753" s="243"/>
      <c r="J753" s="243"/>
      <c r="K753" s="85"/>
      <c r="L753" s="85"/>
      <c r="M753" s="85"/>
      <c r="N753" s="85"/>
      <c r="O753" s="29"/>
      <c r="P753" s="307"/>
      <c r="Q753" s="15"/>
      <c r="R753" s="15"/>
      <c r="S753" s="15"/>
      <c r="T753" s="15"/>
      <c r="U753" s="243"/>
      <c r="V753" s="243"/>
      <c r="W753" s="243"/>
    </row>
    <row r="754">
      <c r="A754" s="34"/>
      <c r="B754" s="15"/>
      <c r="C754" s="15"/>
      <c r="D754" s="15"/>
      <c r="E754" s="17"/>
      <c r="F754" s="15"/>
      <c r="G754" s="250"/>
      <c r="H754" s="243"/>
      <c r="I754" s="243"/>
      <c r="J754" s="243"/>
      <c r="K754" s="85"/>
      <c r="L754" s="85"/>
      <c r="M754" s="85"/>
      <c r="N754" s="85"/>
      <c r="O754" s="29"/>
      <c r="P754" s="307"/>
      <c r="Q754" s="15"/>
      <c r="R754" s="15"/>
      <c r="S754" s="15"/>
      <c r="T754" s="15"/>
      <c r="U754" s="243"/>
      <c r="V754" s="243"/>
      <c r="W754" s="243"/>
    </row>
    <row r="755">
      <c r="A755" s="34"/>
      <c r="B755" s="15"/>
      <c r="C755" s="15"/>
      <c r="D755" s="15"/>
      <c r="E755" s="17"/>
      <c r="F755" s="15"/>
      <c r="G755" s="250"/>
      <c r="H755" s="243"/>
      <c r="I755" s="243"/>
      <c r="J755" s="243"/>
      <c r="K755" s="85"/>
      <c r="L755" s="85"/>
      <c r="M755" s="85"/>
      <c r="N755" s="85"/>
      <c r="O755" s="29"/>
      <c r="P755" s="307"/>
      <c r="Q755" s="15"/>
      <c r="R755" s="15"/>
      <c r="S755" s="15"/>
      <c r="T755" s="15"/>
      <c r="U755" s="243"/>
      <c r="V755" s="243"/>
      <c r="W755" s="243"/>
    </row>
    <row r="756">
      <c r="A756" s="34"/>
      <c r="B756" s="15"/>
      <c r="C756" s="15"/>
      <c r="D756" s="15"/>
      <c r="E756" s="17"/>
      <c r="F756" s="15"/>
      <c r="G756" s="250"/>
      <c r="H756" s="243"/>
      <c r="I756" s="243"/>
      <c r="J756" s="243"/>
      <c r="K756" s="85"/>
      <c r="L756" s="85"/>
      <c r="M756" s="85"/>
      <c r="N756" s="85"/>
      <c r="O756" s="29"/>
      <c r="P756" s="307"/>
      <c r="Q756" s="15"/>
      <c r="R756" s="15"/>
      <c r="S756" s="15"/>
      <c r="T756" s="15"/>
      <c r="U756" s="243"/>
      <c r="V756" s="243"/>
      <c r="W756" s="243"/>
    </row>
    <row r="757">
      <c r="A757" s="34"/>
      <c r="B757" s="15"/>
      <c r="C757" s="15"/>
      <c r="D757" s="15"/>
      <c r="E757" s="17"/>
      <c r="F757" s="15"/>
      <c r="G757" s="250"/>
      <c r="H757" s="243"/>
      <c r="I757" s="243"/>
      <c r="J757" s="243"/>
      <c r="K757" s="85"/>
      <c r="L757" s="85"/>
      <c r="M757" s="85"/>
      <c r="N757" s="85"/>
      <c r="O757" s="29"/>
      <c r="P757" s="307"/>
      <c r="Q757" s="15"/>
      <c r="R757" s="15"/>
      <c r="S757" s="15"/>
      <c r="T757" s="15"/>
      <c r="U757" s="243"/>
      <c r="V757" s="243"/>
      <c r="W757" s="243"/>
    </row>
    <row r="758">
      <c r="A758" s="34"/>
      <c r="B758" s="15"/>
      <c r="C758" s="15"/>
      <c r="D758" s="15"/>
      <c r="E758" s="17"/>
      <c r="F758" s="15"/>
      <c r="G758" s="250"/>
      <c r="H758" s="243"/>
      <c r="I758" s="243"/>
      <c r="J758" s="243"/>
      <c r="K758" s="85"/>
      <c r="L758" s="85"/>
      <c r="M758" s="85"/>
      <c r="N758" s="85"/>
      <c r="O758" s="29"/>
      <c r="P758" s="307"/>
      <c r="Q758" s="15"/>
      <c r="R758" s="15"/>
      <c r="S758" s="15"/>
      <c r="T758" s="15"/>
      <c r="U758" s="243"/>
      <c r="V758" s="243"/>
      <c r="W758" s="243"/>
    </row>
    <row r="759">
      <c r="A759" s="34"/>
      <c r="B759" s="15"/>
      <c r="C759" s="15"/>
      <c r="D759" s="15"/>
      <c r="E759" s="17"/>
      <c r="F759" s="15"/>
      <c r="G759" s="250"/>
      <c r="H759" s="243"/>
      <c r="I759" s="243"/>
      <c r="J759" s="243"/>
      <c r="K759" s="85"/>
      <c r="L759" s="85"/>
      <c r="M759" s="85"/>
      <c r="N759" s="85"/>
      <c r="O759" s="29"/>
      <c r="P759" s="307"/>
      <c r="Q759" s="15"/>
      <c r="R759" s="15"/>
      <c r="S759" s="15"/>
      <c r="T759" s="15"/>
      <c r="U759" s="243"/>
      <c r="V759" s="243"/>
      <c r="W759" s="243"/>
    </row>
    <row r="760">
      <c r="A760" s="34"/>
      <c r="B760" s="15"/>
      <c r="C760" s="15"/>
      <c r="D760" s="15"/>
      <c r="E760" s="17"/>
      <c r="F760" s="15"/>
      <c r="G760" s="250"/>
      <c r="H760" s="243"/>
      <c r="I760" s="243"/>
      <c r="J760" s="243"/>
      <c r="K760" s="85"/>
      <c r="L760" s="85"/>
      <c r="M760" s="85"/>
      <c r="N760" s="85"/>
      <c r="O760" s="29"/>
      <c r="P760" s="307"/>
      <c r="Q760" s="15"/>
      <c r="R760" s="15"/>
      <c r="S760" s="15"/>
      <c r="T760" s="15"/>
      <c r="U760" s="243"/>
      <c r="V760" s="243"/>
      <c r="W760" s="243"/>
    </row>
    <row r="761">
      <c r="A761" s="34"/>
      <c r="B761" s="15"/>
      <c r="C761" s="15"/>
      <c r="D761" s="15"/>
      <c r="E761" s="17"/>
      <c r="F761" s="15"/>
      <c r="G761" s="250"/>
      <c r="H761" s="243"/>
      <c r="I761" s="243"/>
      <c r="J761" s="243"/>
      <c r="K761" s="85"/>
      <c r="L761" s="85"/>
      <c r="M761" s="85"/>
      <c r="N761" s="85"/>
      <c r="O761" s="29"/>
      <c r="P761" s="307"/>
      <c r="Q761" s="15"/>
      <c r="R761" s="15"/>
      <c r="S761" s="15"/>
      <c r="T761" s="15"/>
      <c r="U761" s="243"/>
      <c r="V761" s="243"/>
      <c r="W761" s="243"/>
    </row>
    <row r="762">
      <c r="A762" s="34"/>
      <c r="B762" s="15"/>
      <c r="C762" s="15"/>
      <c r="D762" s="15"/>
      <c r="E762" s="17"/>
      <c r="F762" s="15"/>
      <c r="G762" s="250"/>
      <c r="H762" s="243"/>
      <c r="I762" s="243"/>
      <c r="J762" s="243"/>
      <c r="K762" s="85"/>
      <c r="L762" s="85"/>
      <c r="M762" s="85"/>
      <c r="N762" s="85"/>
      <c r="O762" s="29"/>
      <c r="P762" s="307"/>
      <c r="Q762" s="15"/>
      <c r="R762" s="15"/>
      <c r="S762" s="15"/>
      <c r="T762" s="15"/>
      <c r="U762" s="243"/>
      <c r="V762" s="243"/>
      <c r="W762" s="243"/>
    </row>
    <row r="763">
      <c r="A763" s="34"/>
      <c r="B763" s="15"/>
      <c r="C763" s="15"/>
      <c r="D763" s="15"/>
      <c r="E763" s="17"/>
      <c r="F763" s="15"/>
      <c r="G763" s="250"/>
      <c r="H763" s="243"/>
      <c r="I763" s="243"/>
      <c r="J763" s="243"/>
      <c r="K763" s="85"/>
      <c r="L763" s="85"/>
      <c r="M763" s="85"/>
      <c r="N763" s="85"/>
      <c r="O763" s="29"/>
      <c r="P763" s="307"/>
      <c r="Q763" s="15"/>
      <c r="R763" s="15"/>
      <c r="S763" s="15"/>
      <c r="T763" s="15"/>
      <c r="U763" s="243"/>
      <c r="V763" s="243"/>
      <c r="W763" s="243"/>
    </row>
    <row r="764">
      <c r="A764" s="34"/>
      <c r="B764" s="15"/>
      <c r="C764" s="15"/>
      <c r="D764" s="15"/>
      <c r="E764" s="17"/>
      <c r="F764" s="15"/>
      <c r="G764" s="250"/>
      <c r="H764" s="243"/>
      <c r="I764" s="243"/>
      <c r="J764" s="243"/>
      <c r="K764" s="85"/>
      <c r="L764" s="85"/>
      <c r="M764" s="85"/>
      <c r="N764" s="85"/>
      <c r="O764" s="29"/>
      <c r="P764" s="307"/>
      <c r="Q764" s="15"/>
      <c r="R764" s="15"/>
      <c r="S764" s="15"/>
      <c r="T764" s="15"/>
      <c r="U764" s="243"/>
      <c r="V764" s="243"/>
      <c r="W764" s="243"/>
    </row>
    <row r="765">
      <c r="A765" s="34"/>
      <c r="B765" s="15"/>
      <c r="C765" s="15"/>
      <c r="D765" s="15"/>
      <c r="E765" s="17"/>
      <c r="F765" s="15"/>
      <c r="G765" s="250"/>
      <c r="H765" s="243"/>
      <c r="I765" s="243"/>
      <c r="J765" s="243"/>
      <c r="K765" s="85"/>
      <c r="L765" s="85"/>
      <c r="M765" s="85"/>
      <c r="N765" s="85"/>
      <c r="O765" s="29"/>
      <c r="P765" s="307"/>
      <c r="Q765" s="15"/>
      <c r="R765" s="15"/>
      <c r="S765" s="15"/>
      <c r="T765" s="15"/>
      <c r="U765" s="243"/>
      <c r="V765" s="243"/>
      <c r="W765" s="243"/>
    </row>
    <row r="766">
      <c r="A766" s="34"/>
      <c r="B766" s="15"/>
      <c r="C766" s="15"/>
      <c r="D766" s="15"/>
      <c r="E766" s="17"/>
      <c r="F766" s="15"/>
      <c r="G766" s="250"/>
      <c r="H766" s="243"/>
      <c r="I766" s="243"/>
      <c r="J766" s="243"/>
      <c r="K766" s="85"/>
      <c r="L766" s="85"/>
      <c r="M766" s="85"/>
      <c r="N766" s="85"/>
      <c r="O766" s="29"/>
      <c r="P766" s="307"/>
      <c r="Q766" s="15"/>
      <c r="R766" s="15"/>
      <c r="S766" s="15"/>
      <c r="T766" s="15"/>
      <c r="U766" s="243"/>
      <c r="V766" s="243"/>
      <c r="W766" s="243"/>
    </row>
    <row r="767">
      <c r="A767" s="34"/>
      <c r="B767" s="15"/>
      <c r="C767" s="15"/>
      <c r="D767" s="15"/>
      <c r="E767" s="17"/>
      <c r="F767" s="15"/>
      <c r="G767" s="250"/>
      <c r="H767" s="243"/>
      <c r="I767" s="243"/>
      <c r="J767" s="243"/>
      <c r="K767" s="85"/>
      <c r="L767" s="85"/>
      <c r="M767" s="85"/>
      <c r="N767" s="85"/>
      <c r="O767" s="29"/>
      <c r="P767" s="307"/>
      <c r="Q767" s="15"/>
      <c r="R767" s="15"/>
      <c r="S767" s="15"/>
      <c r="T767" s="15"/>
      <c r="U767" s="243"/>
      <c r="V767" s="243"/>
      <c r="W767" s="243"/>
    </row>
    <row r="768">
      <c r="A768" s="34"/>
      <c r="B768" s="15"/>
      <c r="C768" s="15"/>
      <c r="D768" s="15"/>
      <c r="E768" s="17"/>
      <c r="F768" s="15"/>
      <c r="G768" s="250"/>
      <c r="H768" s="243"/>
      <c r="I768" s="243"/>
      <c r="J768" s="243"/>
      <c r="K768" s="85"/>
      <c r="L768" s="85"/>
      <c r="M768" s="85"/>
      <c r="N768" s="85"/>
      <c r="O768" s="29"/>
      <c r="P768" s="307"/>
      <c r="Q768" s="15"/>
      <c r="R768" s="15"/>
      <c r="S768" s="15"/>
      <c r="T768" s="15"/>
      <c r="U768" s="243"/>
      <c r="V768" s="243"/>
      <c r="W768" s="243"/>
    </row>
    <row r="769">
      <c r="A769" s="34"/>
      <c r="B769" s="15"/>
      <c r="C769" s="15"/>
      <c r="D769" s="15"/>
      <c r="E769" s="17"/>
      <c r="F769" s="15"/>
      <c r="G769" s="250"/>
      <c r="H769" s="243"/>
      <c r="I769" s="243"/>
      <c r="J769" s="243"/>
      <c r="K769" s="85"/>
      <c r="L769" s="85"/>
      <c r="M769" s="85"/>
      <c r="N769" s="85"/>
      <c r="O769" s="29"/>
      <c r="P769" s="307"/>
      <c r="Q769" s="15"/>
      <c r="R769" s="15"/>
      <c r="S769" s="15"/>
      <c r="T769" s="15"/>
      <c r="U769" s="243"/>
      <c r="V769" s="243"/>
      <c r="W769" s="243"/>
    </row>
    <row r="770">
      <c r="A770" s="34"/>
      <c r="B770" s="15"/>
      <c r="C770" s="15"/>
      <c r="D770" s="15"/>
      <c r="E770" s="17"/>
      <c r="F770" s="15"/>
      <c r="G770" s="250"/>
      <c r="H770" s="243"/>
      <c r="I770" s="243"/>
      <c r="J770" s="243"/>
      <c r="K770" s="85"/>
      <c r="L770" s="85"/>
      <c r="M770" s="85"/>
      <c r="N770" s="85"/>
      <c r="O770" s="29"/>
      <c r="P770" s="307"/>
      <c r="Q770" s="15"/>
      <c r="R770" s="15"/>
      <c r="S770" s="15"/>
      <c r="T770" s="15"/>
      <c r="U770" s="243"/>
      <c r="V770" s="243"/>
      <c r="W770" s="243"/>
    </row>
    <row r="771">
      <c r="A771" s="34"/>
      <c r="B771" s="15"/>
      <c r="C771" s="15"/>
      <c r="D771" s="15"/>
      <c r="E771" s="17"/>
      <c r="F771" s="15"/>
      <c r="G771" s="250"/>
      <c r="H771" s="243"/>
      <c r="I771" s="243"/>
      <c r="J771" s="243"/>
      <c r="K771" s="85"/>
      <c r="L771" s="85"/>
      <c r="M771" s="85"/>
      <c r="N771" s="85"/>
      <c r="O771" s="29"/>
      <c r="P771" s="307"/>
      <c r="Q771" s="15"/>
      <c r="R771" s="15"/>
      <c r="S771" s="15"/>
      <c r="T771" s="15"/>
      <c r="U771" s="243"/>
      <c r="V771" s="243"/>
      <c r="W771" s="243"/>
    </row>
    <row r="772">
      <c r="A772" s="34"/>
      <c r="B772" s="15"/>
      <c r="C772" s="15"/>
      <c r="D772" s="15"/>
      <c r="E772" s="17"/>
      <c r="F772" s="15"/>
      <c r="G772" s="250"/>
      <c r="H772" s="243"/>
      <c r="I772" s="243"/>
      <c r="J772" s="243"/>
      <c r="K772" s="85"/>
      <c r="L772" s="85"/>
      <c r="M772" s="85"/>
      <c r="N772" s="85"/>
      <c r="O772" s="29"/>
      <c r="P772" s="307"/>
      <c r="Q772" s="15"/>
      <c r="R772" s="15"/>
      <c r="S772" s="15"/>
      <c r="T772" s="15"/>
      <c r="U772" s="243"/>
      <c r="V772" s="243"/>
      <c r="W772" s="243"/>
    </row>
    <row r="773">
      <c r="A773" s="34"/>
      <c r="B773" s="15"/>
      <c r="C773" s="15"/>
      <c r="D773" s="15"/>
      <c r="E773" s="17"/>
      <c r="F773" s="15"/>
      <c r="G773" s="250"/>
      <c r="H773" s="243"/>
      <c r="I773" s="243"/>
      <c r="J773" s="243"/>
      <c r="K773" s="85"/>
      <c r="L773" s="85"/>
      <c r="M773" s="85"/>
      <c r="N773" s="85"/>
      <c r="O773" s="29"/>
      <c r="P773" s="307"/>
      <c r="Q773" s="15"/>
      <c r="R773" s="15"/>
      <c r="S773" s="15"/>
      <c r="T773" s="15"/>
      <c r="U773" s="243"/>
      <c r="V773" s="243"/>
      <c r="W773" s="243"/>
    </row>
    <row r="774">
      <c r="A774" s="34"/>
      <c r="B774" s="15"/>
      <c r="C774" s="15"/>
      <c r="D774" s="15"/>
      <c r="E774" s="17"/>
      <c r="F774" s="15"/>
      <c r="G774" s="250"/>
      <c r="H774" s="243"/>
      <c r="I774" s="243"/>
      <c r="J774" s="243"/>
      <c r="K774" s="85"/>
      <c r="L774" s="85"/>
      <c r="M774" s="85"/>
      <c r="N774" s="85"/>
      <c r="O774" s="29"/>
      <c r="P774" s="307"/>
      <c r="Q774" s="15"/>
      <c r="R774" s="15"/>
      <c r="S774" s="15"/>
      <c r="T774" s="15"/>
      <c r="U774" s="243"/>
      <c r="V774" s="243"/>
      <c r="W774" s="243"/>
    </row>
    <row r="775">
      <c r="A775" s="34"/>
      <c r="B775" s="15"/>
      <c r="C775" s="15"/>
      <c r="D775" s="15"/>
      <c r="E775" s="17"/>
      <c r="F775" s="15"/>
      <c r="G775" s="250"/>
      <c r="H775" s="243"/>
      <c r="I775" s="243"/>
      <c r="J775" s="243"/>
      <c r="K775" s="85"/>
      <c r="L775" s="85"/>
      <c r="M775" s="85"/>
      <c r="N775" s="85"/>
      <c r="O775" s="29"/>
      <c r="P775" s="307"/>
      <c r="Q775" s="15"/>
      <c r="R775" s="15"/>
      <c r="S775" s="15"/>
      <c r="T775" s="15"/>
      <c r="U775" s="243"/>
      <c r="V775" s="243"/>
      <c r="W775" s="243"/>
    </row>
    <row r="776">
      <c r="A776" s="34"/>
      <c r="B776" s="15"/>
      <c r="C776" s="15"/>
      <c r="D776" s="15"/>
      <c r="E776" s="17"/>
      <c r="F776" s="15"/>
      <c r="G776" s="250"/>
      <c r="H776" s="243"/>
      <c r="I776" s="243"/>
      <c r="J776" s="243"/>
      <c r="K776" s="85"/>
      <c r="L776" s="85"/>
      <c r="M776" s="85"/>
      <c r="N776" s="85"/>
      <c r="O776" s="29"/>
      <c r="P776" s="307"/>
      <c r="Q776" s="15"/>
      <c r="R776" s="15"/>
      <c r="S776" s="15"/>
      <c r="T776" s="15"/>
      <c r="U776" s="243"/>
      <c r="V776" s="243"/>
      <c r="W776" s="243"/>
    </row>
    <row r="777">
      <c r="A777" s="34"/>
      <c r="B777" s="15"/>
      <c r="C777" s="15"/>
      <c r="D777" s="15"/>
      <c r="E777" s="17"/>
      <c r="F777" s="15"/>
      <c r="G777" s="250"/>
      <c r="H777" s="243"/>
      <c r="I777" s="243"/>
      <c r="J777" s="243"/>
      <c r="K777" s="85"/>
      <c r="L777" s="85"/>
      <c r="M777" s="85"/>
      <c r="N777" s="85"/>
      <c r="O777" s="29"/>
      <c r="P777" s="307"/>
      <c r="Q777" s="15"/>
      <c r="R777" s="15"/>
      <c r="S777" s="15"/>
      <c r="T777" s="15"/>
      <c r="U777" s="243"/>
      <c r="V777" s="243"/>
      <c r="W777" s="243"/>
    </row>
    <row r="778">
      <c r="A778" s="34"/>
      <c r="B778" s="15"/>
      <c r="C778" s="15"/>
      <c r="D778" s="15"/>
      <c r="E778" s="17"/>
      <c r="F778" s="15"/>
      <c r="G778" s="250"/>
      <c r="H778" s="243"/>
      <c r="I778" s="243"/>
      <c r="J778" s="243"/>
      <c r="K778" s="85"/>
      <c r="L778" s="85"/>
      <c r="M778" s="85"/>
      <c r="N778" s="85"/>
      <c r="O778" s="29"/>
      <c r="P778" s="307"/>
      <c r="Q778" s="15"/>
      <c r="R778" s="15"/>
      <c r="S778" s="15"/>
      <c r="T778" s="15"/>
      <c r="U778" s="243"/>
      <c r="V778" s="243"/>
      <c r="W778" s="243"/>
    </row>
    <row r="779">
      <c r="A779" s="34"/>
      <c r="B779" s="15"/>
      <c r="C779" s="15"/>
      <c r="D779" s="15"/>
      <c r="E779" s="17"/>
      <c r="F779" s="15"/>
      <c r="G779" s="250"/>
      <c r="H779" s="243"/>
      <c r="I779" s="243"/>
      <c r="J779" s="243"/>
      <c r="K779" s="85"/>
      <c r="L779" s="85"/>
      <c r="M779" s="85"/>
      <c r="N779" s="85"/>
      <c r="O779" s="29"/>
      <c r="P779" s="307"/>
      <c r="Q779" s="15"/>
      <c r="R779" s="15"/>
      <c r="S779" s="15"/>
      <c r="T779" s="15"/>
      <c r="U779" s="243"/>
      <c r="V779" s="243"/>
      <c r="W779" s="243"/>
    </row>
    <row r="780">
      <c r="A780" s="34"/>
      <c r="B780" s="15"/>
      <c r="C780" s="15"/>
      <c r="D780" s="15"/>
      <c r="E780" s="17"/>
      <c r="F780" s="15"/>
      <c r="G780" s="250"/>
      <c r="H780" s="243"/>
      <c r="I780" s="243"/>
      <c r="J780" s="243"/>
      <c r="K780" s="85"/>
      <c r="L780" s="85"/>
      <c r="M780" s="85"/>
      <c r="N780" s="85"/>
      <c r="O780" s="29"/>
      <c r="P780" s="307"/>
      <c r="Q780" s="15"/>
      <c r="R780" s="15"/>
      <c r="S780" s="15"/>
      <c r="T780" s="15"/>
      <c r="U780" s="243"/>
      <c r="V780" s="243"/>
      <c r="W780" s="243"/>
    </row>
    <row r="781">
      <c r="A781" s="34"/>
      <c r="B781" s="15"/>
      <c r="C781" s="15"/>
      <c r="D781" s="15"/>
      <c r="E781" s="17"/>
      <c r="F781" s="15"/>
      <c r="G781" s="250"/>
      <c r="H781" s="243"/>
      <c r="I781" s="243"/>
      <c r="J781" s="243"/>
      <c r="K781" s="85"/>
      <c r="L781" s="85"/>
      <c r="M781" s="85"/>
      <c r="N781" s="85"/>
      <c r="O781" s="29"/>
      <c r="P781" s="307"/>
      <c r="Q781" s="15"/>
      <c r="R781" s="15"/>
      <c r="S781" s="15"/>
      <c r="T781" s="15"/>
      <c r="U781" s="243"/>
      <c r="V781" s="243"/>
      <c r="W781" s="243"/>
    </row>
    <row r="782">
      <c r="A782" s="34"/>
      <c r="B782" s="15"/>
      <c r="C782" s="15"/>
      <c r="D782" s="15"/>
      <c r="E782" s="17"/>
      <c r="F782" s="15"/>
      <c r="G782" s="250"/>
      <c r="H782" s="243"/>
      <c r="I782" s="243"/>
      <c r="J782" s="243"/>
      <c r="K782" s="85"/>
      <c r="L782" s="85"/>
      <c r="M782" s="85"/>
      <c r="N782" s="85"/>
      <c r="O782" s="29"/>
      <c r="P782" s="307"/>
      <c r="Q782" s="15"/>
      <c r="R782" s="15"/>
      <c r="S782" s="15"/>
      <c r="T782" s="15"/>
      <c r="U782" s="243"/>
      <c r="V782" s="243"/>
      <c r="W782" s="243"/>
    </row>
    <row r="783">
      <c r="A783" s="34"/>
      <c r="B783" s="15"/>
      <c r="C783" s="15"/>
      <c r="D783" s="15"/>
      <c r="E783" s="17"/>
      <c r="F783" s="15"/>
      <c r="G783" s="250"/>
      <c r="H783" s="243"/>
      <c r="I783" s="243"/>
      <c r="J783" s="243"/>
      <c r="K783" s="85"/>
      <c r="L783" s="85"/>
      <c r="M783" s="85"/>
      <c r="N783" s="85"/>
      <c r="O783" s="29"/>
      <c r="P783" s="307"/>
      <c r="Q783" s="15"/>
      <c r="R783" s="15"/>
      <c r="S783" s="15"/>
      <c r="T783" s="15"/>
      <c r="U783" s="243"/>
      <c r="V783" s="243"/>
      <c r="W783" s="243"/>
    </row>
    <row r="784">
      <c r="A784" s="34"/>
      <c r="B784" s="15"/>
      <c r="C784" s="15"/>
      <c r="D784" s="15"/>
      <c r="E784" s="17"/>
      <c r="F784" s="15"/>
      <c r="G784" s="250"/>
      <c r="H784" s="243"/>
      <c r="I784" s="243"/>
      <c r="J784" s="243"/>
      <c r="K784" s="85"/>
      <c r="L784" s="85"/>
      <c r="M784" s="85"/>
      <c r="N784" s="85"/>
      <c r="O784" s="29"/>
      <c r="P784" s="307"/>
      <c r="Q784" s="15"/>
      <c r="R784" s="15"/>
      <c r="S784" s="15"/>
      <c r="T784" s="15"/>
      <c r="U784" s="243"/>
      <c r="V784" s="243"/>
      <c r="W784" s="243"/>
    </row>
    <row r="785">
      <c r="A785" s="34"/>
      <c r="B785" s="15"/>
      <c r="C785" s="15"/>
      <c r="D785" s="15"/>
      <c r="E785" s="17"/>
      <c r="F785" s="15"/>
      <c r="G785" s="250"/>
      <c r="H785" s="243"/>
      <c r="I785" s="243"/>
      <c r="J785" s="243"/>
      <c r="K785" s="85"/>
      <c r="L785" s="85"/>
      <c r="M785" s="85"/>
      <c r="N785" s="85"/>
      <c r="O785" s="29"/>
      <c r="P785" s="307"/>
      <c r="Q785" s="15"/>
      <c r="R785" s="15"/>
      <c r="S785" s="15"/>
      <c r="T785" s="15"/>
      <c r="U785" s="243"/>
      <c r="V785" s="243"/>
      <c r="W785" s="243"/>
    </row>
    <row r="786">
      <c r="A786" s="34"/>
      <c r="B786" s="15"/>
      <c r="C786" s="15"/>
      <c r="D786" s="15"/>
      <c r="E786" s="17"/>
      <c r="F786" s="15"/>
      <c r="G786" s="250"/>
      <c r="H786" s="243"/>
      <c r="I786" s="243"/>
      <c r="J786" s="243"/>
      <c r="K786" s="85"/>
      <c r="L786" s="85"/>
      <c r="M786" s="85"/>
      <c r="N786" s="85"/>
      <c r="O786" s="29"/>
      <c r="P786" s="307"/>
      <c r="Q786" s="15"/>
      <c r="R786" s="15"/>
      <c r="S786" s="15"/>
      <c r="T786" s="15"/>
      <c r="U786" s="243"/>
      <c r="V786" s="243"/>
      <c r="W786" s="243"/>
    </row>
    <row r="787">
      <c r="A787" s="34"/>
      <c r="B787" s="15"/>
      <c r="C787" s="15"/>
      <c r="D787" s="15"/>
      <c r="E787" s="17"/>
      <c r="F787" s="15"/>
      <c r="G787" s="250"/>
      <c r="H787" s="243"/>
      <c r="I787" s="243"/>
      <c r="J787" s="243"/>
      <c r="K787" s="85"/>
      <c r="L787" s="85"/>
      <c r="M787" s="85"/>
      <c r="N787" s="85"/>
      <c r="O787" s="29"/>
      <c r="P787" s="307"/>
      <c r="Q787" s="15"/>
      <c r="R787" s="15"/>
      <c r="S787" s="15"/>
      <c r="T787" s="15"/>
      <c r="U787" s="243"/>
      <c r="V787" s="243"/>
      <c r="W787" s="243"/>
    </row>
    <row r="788">
      <c r="A788" s="34"/>
      <c r="B788" s="15"/>
      <c r="C788" s="15"/>
      <c r="D788" s="15"/>
      <c r="E788" s="17"/>
      <c r="F788" s="15"/>
      <c r="G788" s="250"/>
      <c r="H788" s="243"/>
      <c r="I788" s="243"/>
      <c r="J788" s="243"/>
      <c r="K788" s="85"/>
      <c r="L788" s="85"/>
      <c r="M788" s="85"/>
      <c r="N788" s="85"/>
      <c r="O788" s="29"/>
      <c r="P788" s="307"/>
      <c r="Q788" s="15"/>
      <c r="R788" s="15"/>
      <c r="S788" s="15"/>
      <c r="T788" s="15"/>
      <c r="U788" s="243"/>
      <c r="V788" s="243"/>
      <c r="W788" s="243"/>
    </row>
    <row r="789">
      <c r="A789" s="34"/>
      <c r="B789" s="15"/>
      <c r="C789" s="15"/>
      <c r="D789" s="15"/>
      <c r="E789" s="17"/>
      <c r="F789" s="15"/>
      <c r="G789" s="250"/>
      <c r="H789" s="243"/>
      <c r="I789" s="243"/>
      <c r="J789" s="243"/>
      <c r="K789" s="85"/>
      <c r="L789" s="85"/>
      <c r="M789" s="85"/>
      <c r="N789" s="85"/>
      <c r="O789" s="29"/>
      <c r="P789" s="307"/>
      <c r="Q789" s="15"/>
      <c r="R789" s="15"/>
      <c r="S789" s="15"/>
      <c r="T789" s="15"/>
      <c r="U789" s="243"/>
      <c r="V789" s="243"/>
      <c r="W789" s="243"/>
    </row>
    <row r="790">
      <c r="A790" s="34"/>
      <c r="B790" s="15"/>
      <c r="C790" s="15"/>
      <c r="D790" s="15"/>
      <c r="E790" s="17"/>
      <c r="F790" s="15"/>
      <c r="G790" s="250"/>
      <c r="H790" s="243"/>
      <c r="I790" s="243"/>
      <c r="J790" s="243"/>
      <c r="K790" s="85"/>
      <c r="L790" s="85"/>
      <c r="M790" s="85"/>
      <c r="N790" s="85"/>
      <c r="O790" s="29"/>
      <c r="P790" s="307"/>
      <c r="Q790" s="15"/>
      <c r="R790" s="15"/>
      <c r="S790" s="15"/>
      <c r="T790" s="15"/>
      <c r="U790" s="243"/>
      <c r="V790" s="243"/>
      <c r="W790" s="243"/>
    </row>
    <row r="791">
      <c r="A791" s="34"/>
      <c r="B791" s="15"/>
      <c r="C791" s="15"/>
      <c r="D791" s="15"/>
      <c r="E791" s="17"/>
      <c r="F791" s="15"/>
      <c r="G791" s="250"/>
      <c r="H791" s="243"/>
      <c r="I791" s="243"/>
      <c r="J791" s="243"/>
      <c r="K791" s="85"/>
      <c r="L791" s="85"/>
      <c r="M791" s="85"/>
      <c r="N791" s="85"/>
      <c r="O791" s="29"/>
      <c r="P791" s="307"/>
      <c r="Q791" s="15"/>
      <c r="R791" s="15"/>
      <c r="S791" s="15"/>
      <c r="T791" s="15"/>
      <c r="U791" s="243"/>
      <c r="V791" s="243"/>
      <c r="W791" s="243"/>
    </row>
    <row r="792">
      <c r="A792" s="34"/>
      <c r="B792" s="15"/>
      <c r="C792" s="15"/>
      <c r="D792" s="15"/>
      <c r="E792" s="17"/>
      <c r="F792" s="15"/>
      <c r="G792" s="250"/>
      <c r="H792" s="243"/>
      <c r="I792" s="243"/>
      <c r="J792" s="243"/>
      <c r="K792" s="85"/>
      <c r="L792" s="85"/>
      <c r="M792" s="85"/>
      <c r="N792" s="85"/>
      <c r="O792" s="29"/>
      <c r="P792" s="307"/>
      <c r="Q792" s="15"/>
      <c r="R792" s="15"/>
      <c r="S792" s="15"/>
      <c r="T792" s="15"/>
      <c r="U792" s="243"/>
      <c r="V792" s="243"/>
      <c r="W792" s="243"/>
    </row>
    <row r="793">
      <c r="A793" s="34"/>
      <c r="B793" s="15"/>
      <c r="C793" s="15"/>
      <c r="D793" s="15"/>
      <c r="E793" s="17"/>
      <c r="F793" s="15"/>
      <c r="G793" s="250"/>
      <c r="H793" s="243"/>
      <c r="I793" s="243"/>
      <c r="J793" s="243"/>
      <c r="K793" s="85"/>
      <c r="L793" s="85"/>
      <c r="M793" s="85"/>
      <c r="N793" s="85"/>
      <c r="O793" s="29"/>
      <c r="P793" s="307"/>
      <c r="Q793" s="15"/>
      <c r="R793" s="15"/>
      <c r="S793" s="15"/>
      <c r="T793" s="15"/>
      <c r="U793" s="243"/>
      <c r="V793" s="243"/>
      <c r="W793" s="243"/>
    </row>
    <row r="794">
      <c r="A794" s="34"/>
      <c r="B794" s="15"/>
      <c r="C794" s="15"/>
      <c r="D794" s="15"/>
      <c r="E794" s="17"/>
      <c r="F794" s="15"/>
      <c r="G794" s="250"/>
      <c r="H794" s="243"/>
      <c r="I794" s="243"/>
      <c r="J794" s="243"/>
      <c r="K794" s="85"/>
      <c r="L794" s="85"/>
      <c r="M794" s="85"/>
      <c r="N794" s="85"/>
      <c r="O794" s="29"/>
      <c r="P794" s="307"/>
      <c r="Q794" s="15"/>
      <c r="R794" s="15"/>
      <c r="S794" s="15"/>
      <c r="T794" s="15"/>
      <c r="U794" s="243"/>
      <c r="V794" s="243"/>
      <c r="W794" s="243"/>
    </row>
    <row r="795">
      <c r="A795" s="34"/>
      <c r="B795" s="15"/>
      <c r="C795" s="15"/>
      <c r="D795" s="15"/>
      <c r="E795" s="17"/>
      <c r="F795" s="15"/>
      <c r="G795" s="250"/>
      <c r="H795" s="243"/>
      <c r="I795" s="243"/>
      <c r="J795" s="243"/>
      <c r="K795" s="85"/>
      <c r="L795" s="85"/>
      <c r="M795" s="85"/>
      <c r="N795" s="85"/>
      <c r="O795" s="29"/>
      <c r="P795" s="307"/>
      <c r="Q795" s="15"/>
      <c r="R795" s="15"/>
      <c r="S795" s="15"/>
      <c r="T795" s="15"/>
      <c r="U795" s="243"/>
      <c r="V795" s="243"/>
      <c r="W795" s="243"/>
    </row>
    <row r="796">
      <c r="A796" s="34"/>
      <c r="B796" s="15"/>
      <c r="C796" s="15"/>
      <c r="D796" s="15"/>
      <c r="E796" s="17"/>
      <c r="F796" s="15"/>
      <c r="G796" s="250"/>
      <c r="H796" s="243"/>
      <c r="I796" s="243"/>
      <c r="J796" s="243"/>
      <c r="K796" s="85"/>
      <c r="L796" s="85"/>
      <c r="M796" s="85"/>
      <c r="N796" s="85"/>
      <c r="O796" s="29"/>
      <c r="P796" s="307"/>
      <c r="Q796" s="15"/>
      <c r="R796" s="15"/>
      <c r="S796" s="15"/>
      <c r="T796" s="15"/>
      <c r="U796" s="243"/>
      <c r="V796" s="243"/>
      <c r="W796" s="243"/>
    </row>
    <row r="797">
      <c r="A797" s="34"/>
      <c r="B797" s="15"/>
      <c r="C797" s="15"/>
      <c r="D797" s="15"/>
      <c r="E797" s="17"/>
      <c r="F797" s="15"/>
      <c r="G797" s="250"/>
      <c r="H797" s="243"/>
      <c r="I797" s="243"/>
      <c r="J797" s="243"/>
      <c r="K797" s="85"/>
      <c r="L797" s="85"/>
      <c r="M797" s="85"/>
      <c r="N797" s="85"/>
      <c r="O797" s="29"/>
      <c r="P797" s="307"/>
      <c r="Q797" s="15"/>
      <c r="R797" s="15"/>
      <c r="S797" s="15"/>
      <c r="T797" s="15"/>
      <c r="U797" s="243"/>
      <c r="V797" s="243"/>
      <c r="W797" s="243"/>
    </row>
    <row r="798">
      <c r="A798" s="34"/>
      <c r="B798" s="15"/>
      <c r="C798" s="15"/>
      <c r="D798" s="15"/>
      <c r="E798" s="17"/>
      <c r="F798" s="15"/>
      <c r="G798" s="250"/>
      <c r="H798" s="243"/>
      <c r="I798" s="243"/>
      <c r="J798" s="243"/>
      <c r="K798" s="85"/>
      <c r="L798" s="85"/>
      <c r="M798" s="85"/>
      <c r="N798" s="85"/>
      <c r="O798" s="29"/>
      <c r="P798" s="307"/>
      <c r="Q798" s="15"/>
      <c r="R798" s="15"/>
      <c r="S798" s="15"/>
      <c r="T798" s="15"/>
      <c r="U798" s="243"/>
      <c r="V798" s="243"/>
      <c r="W798" s="243"/>
    </row>
    <row r="799">
      <c r="A799" s="34"/>
      <c r="B799" s="15"/>
      <c r="C799" s="15"/>
      <c r="D799" s="15"/>
      <c r="E799" s="17"/>
      <c r="F799" s="15"/>
      <c r="G799" s="250"/>
      <c r="H799" s="243"/>
      <c r="I799" s="243"/>
      <c r="J799" s="243"/>
      <c r="K799" s="85"/>
      <c r="L799" s="85"/>
      <c r="M799" s="85"/>
      <c r="N799" s="85"/>
      <c r="O799" s="29"/>
      <c r="P799" s="307"/>
      <c r="Q799" s="15"/>
      <c r="R799" s="15"/>
      <c r="S799" s="15"/>
      <c r="T799" s="15"/>
      <c r="U799" s="243"/>
      <c r="V799" s="243"/>
      <c r="W799" s="243"/>
    </row>
    <row r="800">
      <c r="A800" s="34"/>
      <c r="B800" s="15"/>
      <c r="C800" s="15"/>
      <c r="D800" s="15"/>
      <c r="E800" s="17"/>
      <c r="F800" s="15"/>
      <c r="G800" s="250"/>
      <c r="H800" s="243"/>
      <c r="I800" s="243"/>
      <c r="J800" s="243"/>
      <c r="K800" s="85"/>
      <c r="L800" s="85"/>
      <c r="M800" s="85"/>
      <c r="N800" s="85"/>
      <c r="O800" s="29"/>
      <c r="P800" s="307"/>
      <c r="Q800" s="15"/>
      <c r="R800" s="15"/>
      <c r="S800" s="15"/>
      <c r="T800" s="15"/>
      <c r="U800" s="243"/>
      <c r="V800" s="243"/>
      <c r="W800" s="243"/>
    </row>
    <row r="801">
      <c r="A801" s="34"/>
      <c r="B801" s="15"/>
      <c r="C801" s="15"/>
      <c r="D801" s="15"/>
      <c r="E801" s="17"/>
      <c r="F801" s="15"/>
      <c r="G801" s="250"/>
      <c r="H801" s="243"/>
      <c r="I801" s="243"/>
      <c r="J801" s="243"/>
      <c r="K801" s="85"/>
      <c r="L801" s="85"/>
      <c r="M801" s="85"/>
      <c r="N801" s="85"/>
      <c r="O801" s="29"/>
      <c r="P801" s="307"/>
      <c r="Q801" s="15"/>
      <c r="R801" s="15"/>
      <c r="S801" s="15"/>
      <c r="T801" s="15"/>
      <c r="U801" s="243"/>
      <c r="V801" s="243"/>
      <c r="W801" s="243"/>
    </row>
    <row r="802">
      <c r="A802" s="34"/>
      <c r="B802" s="15"/>
      <c r="C802" s="15"/>
      <c r="D802" s="15"/>
      <c r="E802" s="17"/>
      <c r="F802" s="15"/>
      <c r="G802" s="250"/>
      <c r="H802" s="243"/>
      <c r="I802" s="243"/>
      <c r="J802" s="243"/>
      <c r="K802" s="85"/>
      <c r="L802" s="85"/>
      <c r="M802" s="85"/>
      <c r="N802" s="85"/>
      <c r="O802" s="29"/>
      <c r="P802" s="307"/>
      <c r="Q802" s="15"/>
      <c r="R802" s="15"/>
      <c r="S802" s="15"/>
      <c r="T802" s="15"/>
      <c r="U802" s="243"/>
      <c r="V802" s="243"/>
      <c r="W802" s="243"/>
    </row>
    <row r="803">
      <c r="A803" s="34"/>
      <c r="B803" s="15"/>
      <c r="C803" s="15"/>
      <c r="D803" s="15"/>
      <c r="E803" s="17"/>
      <c r="F803" s="15"/>
      <c r="G803" s="250"/>
      <c r="H803" s="243"/>
      <c r="I803" s="243"/>
      <c r="J803" s="243"/>
      <c r="K803" s="85"/>
      <c r="L803" s="85"/>
      <c r="M803" s="85"/>
      <c r="N803" s="85"/>
      <c r="O803" s="29"/>
      <c r="P803" s="307"/>
      <c r="Q803" s="15"/>
      <c r="R803" s="15"/>
      <c r="S803" s="15"/>
      <c r="T803" s="15"/>
      <c r="U803" s="243"/>
      <c r="V803" s="243"/>
      <c r="W803" s="243"/>
    </row>
    <row r="804">
      <c r="A804" s="34"/>
      <c r="B804" s="15"/>
      <c r="C804" s="15"/>
      <c r="D804" s="15"/>
      <c r="E804" s="17"/>
      <c r="F804" s="15"/>
      <c r="G804" s="250"/>
      <c r="H804" s="243"/>
      <c r="I804" s="243"/>
      <c r="J804" s="243"/>
      <c r="K804" s="85"/>
      <c r="L804" s="85"/>
      <c r="M804" s="85"/>
      <c r="N804" s="85"/>
      <c r="O804" s="29"/>
      <c r="P804" s="307"/>
      <c r="Q804" s="15"/>
      <c r="R804" s="15"/>
      <c r="S804" s="15"/>
      <c r="T804" s="15"/>
      <c r="U804" s="243"/>
      <c r="V804" s="243"/>
      <c r="W804" s="243"/>
    </row>
    <row r="805">
      <c r="A805" s="34"/>
      <c r="B805" s="15"/>
      <c r="C805" s="15"/>
      <c r="D805" s="15"/>
      <c r="E805" s="17"/>
      <c r="F805" s="15"/>
      <c r="G805" s="250"/>
      <c r="H805" s="243"/>
      <c r="I805" s="243"/>
      <c r="J805" s="243"/>
      <c r="K805" s="85"/>
      <c r="L805" s="85"/>
      <c r="M805" s="85"/>
      <c r="N805" s="85"/>
      <c r="O805" s="29"/>
      <c r="P805" s="307"/>
      <c r="Q805" s="15"/>
      <c r="R805" s="15"/>
      <c r="S805" s="15"/>
      <c r="T805" s="15"/>
      <c r="U805" s="243"/>
      <c r="V805" s="243"/>
      <c r="W805" s="243"/>
    </row>
    <row r="806">
      <c r="A806" s="34"/>
      <c r="B806" s="15"/>
      <c r="C806" s="15"/>
      <c r="D806" s="15"/>
      <c r="E806" s="17"/>
      <c r="F806" s="15"/>
      <c r="G806" s="250"/>
      <c r="H806" s="243"/>
      <c r="I806" s="243"/>
      <c r="J806" s="243"/>
      <c r="K806" s="85"/>
      <c r="L806" s="85"/>
      <c r="M806" s="85"/>
      <c r="N806" s="85"/>
      <c r="O806" s="29"/>
      <c r="P806" s="307"/>
      <c r="Q806" s="15"/>
      <c r="R806" s="15"/>
      <c r="S806" s="15"/>
      <c r="T806" s="15"/>
      <c r="U806" s="243"/>
      <c r="V806" s="243"/>
      <c r="W806" s="243"/>
    </row>
    <row r="807">
      <c r="A807" s="34"/>
      <c r="B807" s="15"/>
      <c r="C807" s="15"/>
      <c r="D807" s="15"/>
      <c r="E807" s="17"/>
      <c r="F807" s="15"/>
      <c r="G807" s="250"/>
      <c r="H807" s="243"/>
      <c r="I807" s="243"/>
      <c r="J807" s="243"/>
      <c r="K807" s="85"/>
      <c r="L807" s="85"/>
      <c r="M807" s="85"/>
      <c r="N807" s="85"/>
      <c r="O807" s="29"/>
      <c r="P807" s="307"/>
      <c r="Q807" s="15"/>
      <c r="R807" s="15"/>
      <c r="S807" s="15"/>
      <c r="T807" s="15"/>
      <c r="U807" s="243"/>
      <c r="V807" s="243"/>
      <c r="W807" s="243"/>
    </row>
    <row r="808">
      <c r="A808" s="34"/>
      <c r="B808" s="15"/>
      <c r="C808" s="15"/>
      <c r="D808" s="15"/>
      <c r="E808" s="17"/>
      <c r="F808" s="15"/>
      <c r="G808" s="250"/>
      <c r="H808" s="243"/>
      <c r="I808" s="243"/>
      <c r="J808" s="243"/>
      <c r="K808" s="85"/>
      <c r="L808" s="85"/>
      <c r="M808" s="85"/>
      <c r="N808" s="85"/>
      <c r="O808" s="29"/>
      <c r="P808" s="307"/>
      <c r="Q808" s="15"/>
      <c r="R808" s="15"/>
      <c r="S808" s="15"/>
      <c r="T808" s="15"/>
      <c r="U808" s="243"/>
      <c r="V808" s="243"/>
      <c r="W808" s="243"/>
    </row>
    <row r="809">
      <c r="A809" s="34"/>
      <c r="B809" s="15"/>
      <c r="C809" s="15"/>
      <c r="D809" s="15"/>
      <c r="E809" s="17"/>
      <c r="F809" s="15"/>
      <c r="G809" s="250"/>
      <c r="H809" s="243"/>
      <c r="I809" s="243"/>
      <c r="J809" s="243"/>
      <c r="K809" s="85"/>
      <c r="L809" s="85"/>
      <c r="M809" s="85"/>
      <c r="N809" s="85"/>
      <c r="O809" s="29"/>
      <c r="P809" s="307"/>
      <c r="Q809" s="15"/>
      <c r="R809" s="15"/>
      <c r="S809" s="15"/>
      <c r="T809" s="15"/>
      <c r="U809" s="243"/>
      <c r="V809" s="243"/>
      <c r="W809" s="243"/>
    </row>
    <row r="810">
      <c r="A810" s="34"/>
      <c r="B810" s="15"/>
      <c r="C810" s="15"/>
      <c r="D810" s="15"/>
      <c r="E810" s="17"/>
      <c r="F810" s="15"/>
      <c r="G810" s="250"/>
      <c r="H810" s="243"/>
      <c r="I810" s="243"/>
      <c r="J810" s="243"/>
      <c r="K810" s="85"/>
      <c r="L810" s="85"/>
      <c r="M810" s="85"/>
      <c r="N810" s="85"/>
      <c r="O810" s="29"/>
      <c r="P810" s="307"/>
      <c r="Q810" s="15"/>
      <c r="R810" s="15"/>
      <c r="S810" s="15"/>
      <c r="T810" s="15"/>
      <c r="U810" s="243"/>
      <c r="V810" s="243"/>
      <c r="W810" s="243"/>
    </row>
    <row r="811">
      <c r="A811" s="34"/>
      <c r="B811" s="15"/>
      <c r="C811" s="15"/>
      <c r="D811" s="15"/>
      <c r="E811" s="17"/>
      <c r="F811" s="15"/>
      <c r="G811" s="250"/>
      <c r="H811" s="243"/>
      <c r="I811" s="243"/>
      <c r="J811" s="243"/>
      <c r="K811" s="85"/>
      <c r="L811" s="85"/>
      <c r="M811" s="85"/>
      <c r="N811" s="85"/>
      <c r="O811" s="29"/>
      <c r="P811" s="307"/>
      <c r="Q811" s="15"/>
      <c r="R811" s="15"/>
      <c r="S811" s="15"/>
      <c r="T811" s="15"/>
      <c r="U811" s="243"/>
      <c r="V811" s="243"/>
      <c r="W811" s="243"/>
    </row>
    <row r="812">
      <c r="A812" s="34"/>
      <c r="B812" s="15"/>
      <c r="C812" s="15"/>
      <c r="D812" s="15"/>
      <c r="E812" s="17"/>
      <c r="F812" s="15"/>
      <c r="G812" s="250"/>
      <c r="H812" s="243"/>
      <c r="I812" s="243"/>
      <c r="J812" s="243"/>
      <c r="K812" s="85"/>
      <c r="L812" s="85"/>
      <c r="M812" s="85"/>
      <c r="N812" s="85"/>
      <c r="O812" s="29"/>
      <c r="P812" s="307"/>
      <c r="Q812" s="15"/>
      <c r="R812" s="15"/>
      <c r="S812" s="15"/>
      <c r="T812" s="15"/>
      <c r="U812" s="243"/>
      <c r="V812" s="243"/>
      <c r="W812" s="243"/>
    </row>
    <row r="813">
      <c r="A813" s="34"/>
      <c r="B813" s="15"/>
      <c r="C813" s="15"/>
      <c r="D813" s="15"/>
      <c r="E813" s="17"/>
      <c r="F813" s="15"/>
      <c r="G813" s="250"/>
      <c r="H813" s="243"/>
      <c r="I813" s="243"/>
      <c r="J813" s="243"/>
      <c r="K813" s="85"/>
      <c r="L813" s="85"/>
      <c r="M813" s="85"/>
      <c r="N813" s="85"/>
      <c r="O813" s="29"/>
      <c r="P813" s="307"/>
      <c r="Q813" s="15"/>
      <c r="R813" s="15"/>
      <c r="S813" s="15"/>
      <c r="T813" s="15"/>
      <c r="U813" s="243"/>
      <c r="V813" s="243"/>
      <c r="W813" s="243"/>
    </row>
    <row r="814">
      <c r="A814" s="34"/>
      <c r="B814" s="15"/>
      <c r="C814" s="15"/>
      <c r="D814" s="15"/>
      <c r="E814" s="17"/>
      <c r="F814" s="15"/>
      <c r="G814" s="250"/>
      <c r="H814" s="243"/>
      <c r="I814" s="243"/>
      <c r="J814" s="243"/>
      <c r="K814" s="85"/>
      <c r="L814" s="85"/>
      <c r="M814" s="85"/>
      <c r="N814" s="85"/>
      <c r="O814" s="29"/>
      <c r="P814" s="307"/>
      <c r="Q814" s="15"/>
      <c r="R814" s="15"/>
      <c r="S814" s="15"/>
      <c r="T814" s="15"/>
      <c r="U814" s="243"/>
      <c r="V814" s="243"/>
      <c r="W814" s="243"/>
    </row>
    <row r="815">
      <c r="A815" s="34"/>
      <c r="B815" s="15"/>
      <c r="C815" s="15"/>
      <c r="D815" s="15"/>
      <c r="E815" s="17"/>
      <c r="F815" s="15"/>
      <c r="G815" s="250"/>
      <c r="H815" s="243"/>
      <c r="I815" s="243"/>
      <c r="J815" s="243"/>
      <c r="K815" s="85"/>
      <c r="L815" s="85"/>
      <c r="M815" s="85"/>
      <c r="N815" s="85"/>
      <c r="O815" s="29"/>
      <c r="P815" s="307"/>
      <c r="Q815" s="15"/>
      <c r="R815" s="15"/>
      <c r="S815" s="15"/>
      <c r="T815" s="15"/>
      <c r="U815" s="243"/>
      <c r="V815" s="243"/>
      <c r="W815" s="243"/>
    </row>
    <row r="816">
      <c r="A816" s="34"/>
      <c r="B816" s="15"/>
      <c r="C816" s="15"/>
      <c r="D816" s="15"/>
      <c r="E816" s="17"/>
      <c r="F816" s="15"/>
      <c r="G816" s="250"/>
      <c r="H816" s="243"/>
      <c r="I816" s="243"/>
      <c r="J816" s="243"/>
      <c r="K816" s="85"/>
      <c r="L816" s="85"/>
      <c r="M816" s="85"/>
      <c r="N816" s="85"/>
      <c r="O816" s="29"/>
      <c r="P816" s="307"/>
      <c r="Q816" s="15"/>
      <c r="R816" s="15"/>
      <c r="S816" s="15"/>
      <c r="T816" s="15"/>
      <c r="U816" s="243"/>
      <c r="V816" s="243"/>
      <c r="W816" s="243"/>
    </row>
    <row r="817">
      <c r="A817" s="34"/>
      <c r="B817" s="15"/>
      <c r="C817" s="15"/>
      <c r="D817" s="15"/>
      <c r="E817" s="17"/>
      <c r="F817" s="15"/>
      <c r="G817" s="250"/>
      <c r="H817" s="243"/>
      <c r="I817" s="243"/>
      <c r="J817" s="243"/>
      <c r="K817" s="85"/>
      <c r="L817" s="85"/>
      <c r="M817" s="85"/>
      <c r="N817" s="85"/>
      <c r="O817" s="29"/>
      <c r="P817" s="307"/>
      <c r="Q817" s="15"/>
      <c r="R817" s="15"/>
      <c r="S817" s="15"/>
      <c r="T817" s="15"/>
      <c r="U817" s="243"/>
      <c r="V817" s="243"/>
      <c r="W817" s="243"/>
    </row>
    <row r="818">
      <c r="A818" s="34"/>
      <c r="B818" s="15"/>
      <c r="C818" s="15"/>
      <c r="D818" s="15"/>
      <c r="E818" s="17"/>
      <c r="F818" s="15"/>
      <c r="G818" s="250"/>
      <c r="H818" s="243"/>
      <c r="I818" s="243"/>
      <c r="J818" s="243"/>
      <c r="K818" s="85"/>
      <c r="L818" s="85"/>
      <c r="M818" s="85"/>
      <c r="N818" s="85"/>
      <c r="O818" s="29"/>
      <c r="P818" s="307"/>
      <c r="Q818" s="15"/>
      <c r="R818" s="15"/>
      <c r="S818" s="15"/>
      <c r="T818" s="15"/>
      <c r="U818" s="243"/>
      <c r="V818" s="243"/>
      <c r="W818" s="243"/>
    </row>
    <row r="819">
      <c r="A819" s="34"/>
      <c r="B819" s="15"/>
      <c r="C819" s="15"/>
      <c r="D819" s="15"/>
      <c r="E819" s="17"/>
      <c r="F819" s="15"/>
      <c r="G819" s="250"/>
      <c r="H819" s="243"/>
      <c r="I819" s="243"/>
      <c r="J819" s="243"/>
      <c r="K819" s="85"/>
      <c r="L819" s="85"/>
      <c r="M819" s="85"/>
      <c r="N819" s="85"/>
      <c r="O819" s="29"/>
      <c r="P819" s="307"/>
      <c r="Q819" s="15"/>
      <c r="R819" s="15"/>
      <c r="S819" s="15"/>
      <c r="T819" s="15"/>
      <c r="U819" s="243"/>
      <c r="V819" s="243"/>
      <c r="W819" s="243"/>
    </row>
    <row r="820">
      <c r="A820" s="34"/>
      <c r="B820" s="15"/>
      <c r="C820" s="15"/>
      <c r="D820" s="15"/>
      <c r="E820" s="17"/>
      <c r="F820" s="15"/>
      <c r="G820" s="250"/>
      <c r="H820" s="243"/>
      <c r="I820" s="243"/>
      <c r="J820" s="243"/>
      <c r="K820" s="85"/>
      <c r="L820" s="85"/>
      <c r="M820" s="85"/>
      <c r="N820" s="85"/>
      <c r="O820" s="29"/>
      <c r="P820" s="307"/>
      <c r="Q820" s="15"/>
      <c r="R820" s="15"/>
      <c r="S820" s="15"/>
      <c r="T820" s="15"/>
      <c r="U820" s="243"/>
      <c r="V820" s="243"/>
      <c r="W820" s="243"/>
    </row>
    <row r="821">
      <c r="A821" s="34"/>
      <c r="B821" s="15"/>
      <c r="C821" s="15"/>
      <c r="D821" s="15"/>
      <c r="E821" s="17"/>
      <c r="F821" s="15"/>
      <c r="G821" s="250"/>
      <c r="H821" s="243"/>
      <c r="I821" s="243"/>
      <c r="J821" s="243"/>
      <c r="K821" s="85"/>
      <c r="L821" s="85"/>
      <c r="M821" s="85"/>
      <c r="N821" s="85"/>
      <c r="O821" s="29"/>
      <c r="P821" s="307"/>
      <c r="Q821" s="15"/>
      <c r="R821" s="15"/>
      <c r="S821" s="15"/>
      <c r="T821" s="15"/>
      <c r="U821" s="243"/>
      <c r="V821" s="243"/>
      <c r="W821" s="243"/>
    </row>
    <row r="822">
      <c r="A822" s="34"/>
      <c r="B822" s="15"/>
      <c r="C822" s="15"/>
      <c r="D822" s="15"/>
      <c r="E822" s="17"/>
      <c r="F822" s="15"/>
      <c r="G822" s="250"/>
      <c r="H822" s="243"/>
      <c r="I822" s="243"/>
      <c r="J822" s="243"/>
      <c r="K822" s="85"/>
      <c r="L822" s="85"/>
      <c r="M822" s="85"/>
      <c r="N822" s="85"/>
      <c r="O822" s="29"/>
      <c r="P822" s="307"/>
      <c r="Q822" s="15"/>
      <c r="R822" s="15"/>
      <c r="S822" s="15"/>
      <c r="T822" s="15"/>
      <c r="U822" s="243"/>
      <c r="V822" s="243"/>
      <c r="W822" s="243"/>
    </row>
    <row r="823">
      <c r="A823" s="34"/>
      <c r="B823" s="15"/>
      <c r="C823" s="15"/>
      <c r="D823" s="15"/>
      <c r="E823" s="17"/>
      <c r="F823" s="15"/>
      <c r="G823" s="250"/>
      <c r="H823" s="243"/>
      <c r="I823" s="243"/>
      <c r="J823" s="243"/>
      <c r="K823" s="85"/>
      <c r="L823" s="85"/>
      <c r="M823" s="85"/>
      <c r="N823" s="85"/>
      <c r="O823" s="29"/>
      <c r="P823" s="307"/>
      <c r="Q823" s="15"/>
      <c r="R823" s="15"/>
      <c r="S823" s="15"/>
      <c r="T823" s="15"/>
      <c r="U823" s="243"/>
      <c r="V823" s="243"/>
      <c r="W823" s="243"/>
    </row>
    <row r="824">
      <c r="A824" s="34"/>
      <c r="B824" s="15"/>
      <c r="C824" s="15"/>
      <c r="D824" s="15"/>
      <c r="E824" s="17"/>
      <c r="F824" s="15"/>
      <c r="G824" s="250"/>
      <c r="H824" s="243"/>
      <c r="I824" s="243"/>
      <c r="J824" s="243"/>
      <c r="K824" s="85"/>
      <c r="L824" s="85"/>
      <c r="M824" s="85"/>
      <c r="N824" s="85"/>
      <c r="O824" s="29"/>
      <c r="P824" s="307"/>
      <c r="Q824" s="15"/>
      <c r="R824" s="15"/>
      <c r="S824" s="15"/>
      <c r="T824" s="15"/>
      <c r="U824" s="243"/>
      <c r="V824" s="243"/>
      <c r="W824" s="243"/>
    </row>
    <row r="825">
      <c r="A825" s="34"/>
      <c r="B825" s="15"/>
      <c r="C825" s="15"/>
      <c r="D825" s="15"/>
      <c r="E825" s="17"/>
      <c r="F825" s="15"/>
      <c r="G825" s="250"/>
      <c r="H825" s="243"/>
      <c r="I825" s="243"/>
      <c r="J825" s="243"/>
      <c r="K825" s="85"/>
      <c r="L825" s="85"/>
      <c r="M825" s="85"/>
      <c r="N825" s="85"/>
      <c r="O825" s="29"/>
      <c r="P825" s="307"/>
      <c r="Q825" s="15"/>
      <c r="R825" s="15"/>
      <c r="S825" s="15"/>
      <c r="T825" s="15"/>
      <c r="U825" s="243"/>
      <c r="V825" s="243"/>
      <c r="W825" s="243"/>
    </row>
    <row r="826">
      <c r="A826" s="34"/>
      <c r="B826" s="15"/>
      <c r="C826" s="15"/>
      <c r="D826" s="15"/>
      <c r="E826" s="17"/>
      <c r="F826" s="15"/>
      <c r="G826" s="250"/>
      <c r="H826" s="243"/>
      <c r="I826" s="243"/>
      <c r="J826" s="243"/>
      <c r="K826" s="85"/>
      <c r="L826" s="85"/>
      <c r="M826" s="85"/>
      <c r="N826" s="85"/>
      <c r="O826" s="29"/>
      <c r="P826" s="307"/>
      <c r="Q826" s="15"/>
      <c r="R826" s="15"/>
      <c r="S826" s="15"/>
      <c r="T826" s="15"/>
      <c r="U826" s="243"/>
      <c r="V826" s="243"/>
      <c r="W826" s="243"/>
    </row>
    <row r="827">
      <c r="A827" s="34"/>
      <c r="B827" s="15"/>
      <c r="C827" s="15"/>
      <c r="D827" s="15"/>
      <c r="E827" s="17"/>
      <c r="F827" s="15"/>
      <c r="G827" s="250"/>
      <c r="H827" s="243"/>
      <c r="I827" s="243"/>
      <c r="J827" s="243"/>
      <c r="K827" s="85"/>
      <c r="L827" s="85"/>
      <c r="M827" s="85"/>
      <c r="N827" s="85"/>
      <c r="O827" s="29"/>
      <c r="P827" s="307"/>
      <c r="Q827" s="15"/>
      <c r="R827" s="15"/>
      <c r="S827" s="15"/>
      <c r="T827" s="15"/>
      <c r="U827" s="243"/>
      <c r="V827" s="243"/>
      <c r="W827" s="243"/>
    </row>
    <row r="828">
      <c r="A828" s="34"/>
      <c r="B828" s="15"/>
      <c r="C828" s="15"/>
      <c r="D828" s="15"/>
      <c r="E828" s="17"/>
      <c r="F828" s="15"/>
      <c r="G828" s="250"/>
      <c r="H828" s="243"/>
      <c r="I828" s="243"/>
      <c r="J828" s="243"/>
      <c r="K828" s="85"/>
      <c r="L828" s="85"/>
      <c r="M828" s="85"/>
      <c r="N828" s="85"/>
      <c r="O828" s="29"/>
      <c r="P828" s="307"/>
      <c r="Q828" s="15"/>
      <c r="R828" s="15"/>
      <c r="S828" s="15"/>
      <c r="T828" s="15"/>
      <c r="U828" s="243"/>
      <c r="V828" s="243"/>
      <c r="W828" s="243"/>
    </row>
    <row r="829">
      <c r="A829" s="34"/>
      <c r="B829" s="15"/>
      <c r="C829" s="15"/>
      <c r="D829" s="15"/>
      <c r="E829" s="17"/>
      <c r="F829" s="15"/>
      <c r="G829" s="250"/>
      <c r="H829" s="243"/>
      <c r="I829" s="243"/>
      <c r="J829" s="243"/>
      <c r="K829" s="85"/>
      <c r="L829" s="85"/>
      <c r="M829" s="85"/>
      <c r="N829" s="85"/>
      <c r="O829" s="29"/>
      <c r="P829" s="307"/>
      <c r="Q829" s="15"/>
      <c r="R829" s="15"/>
      <c r="S829" s="15"/>
      <c r="T829" s="15"/>
      <c r="U829" s="243"/>
      <c r="V829" s="243"/>
      <c r="W829" s="243"/>
    </row>
    <row r="830">
      <c r="A830" s="34"/>
      <c r="B830" s="15"/>
      <c r="C830" s="15"/>
      <c r="D830" s="15"/>
      <c r="E830" s="17"/>
      <c r="F830" s="15"/>
      <c r="G830" s="250"/>
      <c r="H830" s="243"/>
      <c r="I830" s="243"/>
      <c r="J830" s="243"/>
      <c r="K830" s="85"/>
      <c r="L830" s="85"/>
      <c r="M830" s="85"/>
      <c r="N830" s="85"/>
      <c r="O830" s="29"/>
      <c r="P830" s="307"/>
      <c r="Q830" s="15"/>
      <c r="R830" s="15"/>
      <c r="S830" s="15"/>
      <c r="T830" s="15"/>
      <c r="U830" s="243"/>
      <c r="V830" s="243"/>
      <c r="W830" s="243"/>
    </row>
    <row r="831">
      <c r="A831" s="34"/>
      <c r="B831" s="15"/>
      <c r="C831" s="15"/>
      <c r="D831" s="15"/>
      <c r="E831" s="17"/>
      <c r="F831" s="15"/>
      <c r="G831" s="250"/>
      <c r="H831" s="243"/>
      <c r="I831" s="243"/>
      <c r="J831" s="243"/>
      <c r="K831" s="85"/>
      <c r="L831" s="85"/>
      <c r="M831" s="85"/>
      <c r="N831" s="85"/>
      <c r="O831" s="29"/>
      <c r="P831" s="307"/>
      <c r="Q831" s="15"/>
      <c r="R831" s="15"/>
      <c r="S831" s="15"/>
      <c r="T831" s="15"/>
      <c r="U831" s="243"/>
      <c r="V831" s="243"/>
      <c r="W831" s="243"/>
    </row>
    <row r="832">
      <c r="A832" s="34"/>
      <c r="B832" s="15"/>
      <c r="C832" s="15"/>
      <c r="D832" s="15"/>
      <c r="E832" s="17"/>
      <c r="F832" s="15"/>
      <c r="G832" s="250"/>
      <c r="H832" s="243"/>
      <c r="I832" s="243"/>
      <c r="J832" s="243"/>
      <c r="K832" s="85"/>
      <c r="L832" s="85"/>
      <c r="M832" s="85"/>
      <c r="N832" s="85"/>
      <c r="O832" s="29"/>
      <c r="P832" s="307"/>
      <c r="Q832" s="15"/>
      <c r="R832" s="15"/>
      <c r="S832" s="15"/>
      <c r="T832" s="15"/>
      <c r="U832" s="243"/>
      <c r="V832" s="243"/>
      <c r="W832" s="243"/>
    </row>
    <row r="833">
      <c r="A833" s="34"/>
      <c r="B833" s="15"/>
      <c r="C833" s="15"/>
      <c r="D833" s="15"/>
      <c r="E833" s="17"/>
      <c r="F833" s="15"/>
      <c r="G833" s="250"/>
      <c r="H833" s="243"/>
      <c r="I833" s="243"/>
      <c r="J833" s="243"/>
      <c r="K833" s="85"/>
      <c r="L833" s="85"/>
      <c r="M833" s="85"/>
      <c r="N833" s="85"/>
      <c r="O833" s="29"/>
      <c r="P833" s="307"/>
      <c r="Q833" s="15"/>
      <c r="R833" s="15"/>
      <c r="S833" s="15"/>
      <c r="T833" s="15"/>
      <c r="U833" s="243"/>
      <c r="V833" s="243"/>
      <c r="W833" s="243"/>
    </row>
    <row r="834">
      <c r="A834" s="34"/>
      <c r="B834" s="15"/>
      <c r="C834" s="15"/>
      <c r="D834" s="15"/>
      <c r="E834" s="17"/>
      <c r="F834" s="15"/>
      <c r="G834" s="250"/>
      <c r="H834" s="243"/>
      <c r="I834" s="243"/>
      <c r="J834" s="243"/>
      <c r="K834" s="85"/>
      <c r="L834" s="85"/>
      <c r="M834" s="85"/>
      <c r="N834" s="85"/>
      <c r="O834" s="29"/>
      <c r="P834" s="307"/>
      <c r="Q834" s="15"/>
      <c r="R834" s="15"/>
      <c r="S834" s="15"/>
      <c r="T834" s="15"/>
      <c r="U834" s="243"/>
      <c r="V834" s="243"/>
      <c r="W834" s="243"/>
    </row>
    <row r="835">
      <c r="A835" s="34"/>
      <c r="B835" s="15"/>
      <c r="C835" s="15"/>
      <c r="D835" s="15"/>
      <c r="E835" s="17"/>
      <c r="F835" s="15"/>
      <c r="G835" s="250"/>
      <c r="H835" s="243"/>
      <c r="I835" s="243"/>
      <c r="J835" s="243"/>
      <c r="K835" s="85"/>
      <c r="L835" s="85"/>
      <c r="M835" s="85"/>
      <c r="N835" s="85"/>
      <c r="O835" s="29"/>
      <c r="P835" s="307"/>
      <c r="Q835" s="15"/>
      <c r="R835" s="15"/>
      <c r="S835" s="15"/>
      <c r="T835" s="15"/>
      <c r="U835" s="243"/>
      <c r="V835" s="243"/>
      <c r="W835" s="243"/>
    </row>
    <row r="836">
      <c r="A836" s="34"/>
      <c r="B836" s="15"/>
      <c r="C836" s="15"/>
      <c r="D836" s="15"/>
      <c r="E836" s="17"/>
      <c r="F836" s="15"/>
      <c r="G836" s="250"/>
      <c r="H836" s="243"/>
      <c r="I836" s="243"/>
      <c r="J836" s="243"/>
      <c r="K836" s="85"/>
      <c r="L836" s="85"/>
      <c r="M836" s="85"/>
      <c r="N836" s="85"/>
      <c r="O836" s="29"/>
      <c r="P836" s="307"/>
      <c r="Q836" s="15"/>
      <c r="R836" s="15"/>
      <c r="S836" s="15"/>
      <c r="T836" s="15"/>
      <c r="U836" s="243"/>
      <c r="V836" s="243"/>
      <c r="W836" s="243"/>
    </row>
    <row r="837">
      <c r="A837" s="34"/>
      <c r="B837" s="15"/>
      <c r="C837" s="15"/>
      <c r="D837" s="15"/>
      <c r="E837" s="17"/>
      <c r="F837" s="15"/>
      <c r="G837" s="250"/>
      <c r="H837" s="243"/>
      <c r="I837" s="243"/>
      <c r="J837" s="243"/>
      <c r="K837" s="85"/>
      <c r="L837" s="85"/>
      <c r="M837" s="85"/>
      <c r="N837" s="85"/>
      <c r="O837" s="29"/>
      <c r="P837" s="307"/>
      <c r="Q837" s="15"/>
      <c r="R837" s="15"/>
      <c r="S837" s="15"/>
      <c r="T837" s="15"/>
      <c r="U837" s="243"/>
      <c r="V837" s="243"/>
      <c r="W837" s="243"/>
    </row>
    <row r="838">
      <c r="A838" s="34"/>
      <c r="B838" s="15"/>
      <c r="C838" s="15"/>
      <c r="D838" s="15"/>
      <c r="E838" s="17"/>
      <c r="F838" s="15"/>
      <c r="G838" s="250"/>
      <c r="H838" s="243"/>
      <c r="I838" s="243"/>
      <c r="J838" s="243"/>
      <c r="K838" s="85"/>
      <c r="L838" s="85"/>
      <c r="M838" s="85"/>
      <c r="N838" s="85"/>
      <c r="O838" s="29"/>
      <c r="P838" s="307"/>
      <c r="Q838" s="15"/>
      <c r="R838" s="15"/>
      <c r="S838" s="15"/>
      <c r="T838" s="15"/>
      <c r="U838" s="243"/>
      <c r="V838" s="243"/>
      <c r="W838" s="243"/>
    </row>
    <row r="839">
      <c r="A839" s="34"/>
      <c r="B839" s="15"/>
      <c r="C839" s="15"/>
      <c r="D839" s="15"/>
      <c r="E839" s="17"/>
      <c r="F839" s="15"/>
      <c r="G839" s="250"/>
      <c r="H839" s="243"/>
      <c r="I839" s="243"/>
      <c r="J839" s="243"/>
      <c r="K839" s="85"/>
      <c r="L839" s="85"/>
      <c r="M839" s="85"/>
      <c r="N839" s="85"/>
      <c r="O839" s="29"/>
      <c r="P839" s="307"/>
      <c r="Q839" s="15"/>
      <c r="R839" s="15"/>
      <c r="S839" s="15"/>
      <c r="T839" s="15"/>
      <c r="U839" s="243"/>
      <c r="V839" s="243"/>
      <c r="W839" s="243"/>
    </row>
    <row r="840">
      <c r="A840" s="34"/>
      <c r="B840" s="15"/>
      <c r="C840" s="15"/>
      <c r="D840" s="15"/>
      <c r="E840" s="17"/>
      <c r="F840" s="15"/>
      <c r="G840" s="250"/>
      <c r="H840" s="243"/>
      <c r="I840" s="243"/>
      <c r="J840" s="243"/>
      <c r="K840" s="85"/>
      <c r="L840" s="85"/>
      <c r="M840" s="85"/>
      <c r="N840" s="85"/>
      <c r="O840" s="29"/>
      <c r="P840" s="307"/>
      <c r="Q840" s="15"/>
      <c r="R840" s="15"/>
      <c r="S840" s="15"/>
      <c r="T840" s="15"/>
      <c r="U840" s="243"/>
      <c r="V840" s="243"/>
      <c r="W840" s="243"/>
    </row>
    <row r="841">
      <c r="A841" s="34"/>
      <c r="B841" s="15"/>
      <c r="C841" s="15"/>
      <c r="D841" s="15"/>
      <c r="E841" s="17"/>
      <c r="F841" s="15"/>
      <c r="G841" s="250"/>
      <c r="H841" s="243"/>
      <c r="I841" s="243"/>
      <c r="J841" s="243"/>
      <c r="K841" s="85"/>
      <c r="L841" s="85"/>
      <c r="M841" s="85"/>
      <c r="N841" s="85"/>
      <c r="O841" s="29"/>
      <c r="P841" s="307"/>
      <c r="Q841" s="15"/>
      <c r="R841" s="15"/>
      <c r="S841" s="15"/>
      <c r="T841" s="15"/>
      <c r="U841" s="243"/>
      <c r="V841" s="243"/>
      <c r="W841" s="243"/>
    </row>
    <row r="842">
      <c r="A842" s="34"/>
      <c r="B842" s="15"/>
      <c r="C842" s="15"/>
      <c r="D842" s="15"/>
      <c r="E842" s="17"/>
      <c r="F842" s="15"/>
      <c r="G842" s="250"/>
      <c r="H842" s="243"/>
      <c r="I842" s="243"/>
      <c r="J842" s="243"/>
      <c r="K842" s="85"/>
      <c r="L842" s="85"/>
      <c r="M842" s="85"/>
      <c r="N842" s="85"/>
      <c r="O842" s="29"/>
      <c r="P842" s="307"/>
      <c r="Q842" s="15"/>
      <c r="R842" s="15"/>
      <c r="S842" s="15"/>
      <c r="T842" s="15"/>
      <c r="U842" s="243"/>
      <c r="V842" s="243"/>
      <c r="W842" s="243"/>
    </row>
    <row r="843">
      <c r="A843" s="34"/>
      <c r="B843" s="15"/>
      <c r="C843" s="15"/>
      <c r="D843" s="15"/>
      <c r="E843" s="17"/>
      <c r="F843" s="15"/>
      <c r="G843" s="250"/>
      <c r="H843" s="243"/>
      <c r="I843" s="243"/>
      <c r="J843" s="243"/>
      <c r="K843" s="85"/>
      <c r="L843" s="85"/>
      <c r="M843" s="85"/>
      <c r="N843" s="85"/>
      <c r="O843" s="29"/>
      <c r="P843" s="307"/>
      <c r="Q843" s="15"/>
      <c r="R843" s="15"/>
      <c r="S843" s="15"/>
      <c r="T843" s="15"/>
      <c r="U843" s="243"/>
      <c r="V843" s="243"/>
      <c r="W843" s="243"/>
    </row>
    <row r="844">
      <c r="A844" s="34"/>
      <c r="B844" s="15"/>
      <c r="C844" s="15"/>
      <c r="D844" s="15"/>
      <c r="E844" s="17"/>
      <c r="F844" s="15"/>
      <c r="G844" s="250"/>
      <c r="H844" s="243"/>
      <c r="I844" s="243"/>
      <c r="J844" s="243"/>
      <c r="K844" s="85"/>
      <c r="L844" s="85"/>
      <c r="M844" s="85"/>
      <c r="N844" s="85"/>
      <c r="O844" s="29"/>
      <c r="P844" s="307"/>
      <c r="Q844" s="15"/>
      <c r="R844" s="15"/>
      <c r="S844" s="15"/>
      <c r="T844" s="15"/>
      <c r="U844" s="243"/>
      <c r="V844" s="243"/>
      <c r="W844" s="243"/>
    </row>
    <row r="845">
      <c r="A845" s="34"/>
      <c r="B845" s="15"/>
      <c r="C845" s="15"/>
      <c r="D845" s="15"/>
      <c r="E845" s="17"/>
      <c r="F845" s="15"/>
      <c r="G845" s="250"/>
      <c r="H845" s="243"/>
      <c r="I845" s="243"/>
      <c r="J845" s="243"/>
      <c r="K845" s="85"/>
      <c r="L845" s="85"/>
      <c r="M845" s="85"/>
      <c r="N845" s="85"/>
      <c r="O845" s="29"/>
      <c r="P845" s="307"/>
      <c r="Q845" s="15"/>
      <c r="R845" s="15"/>
      <c r="S845" s="15"/>
      <c r="T845" s="15"/>
      <c r="U845" s="243"/>
      <c r="V845" s="243"/>
      <c r="W845" s="243"/>
    </row>
    <row r="846">
      <c r="A846" s="34"/>
      <c r="B846" s="15"/>
      <c r="C846" s="15"/>
      <c r="D846" s="15"/>
      <c r="E846" s="17"/>
      <c r="F846" s="15"/>
      <c r="G846" s="250"/>
      <c r="H846" s="243"/>
      <c r="I846" s="243"/>
      <c r="J846" s="243"/>
      <c r="K846" s="85"/>
      <c r="L846" s="85"/>
      <c r="M846" s="85"/>
      <c r="N846" s="85"/>
      <c r="O846" s="29"/>
      <c r="P846" s="307"/>
      <c r="Q846" s="15"/>
      <c r="R846" s="15"/>
      <c r="S846" s="15"/>
      <c r="T846" s="15"/>
      <c r="U846" s="243"/>
      <c r="V846" s="243"/>
      <c r="W846" s="243"/>
    </row>
    <row r="847">
      <c r="A847" s="34"/>
      <c r="B847" s="15"/>
      <c r="C847" s="15"/>
      <c r="D847" s="15"/>
      <c r="E847" s="17"/>
      <c r="F847" s="15"/>
      <c r="G847" s="250"/>
      <c r="H847" s="243"/>
      <c r="I847" s="243"/>
      <c r="J847" s="243"/>
      <c r="K847" s="85"/>
      <c r="L847" s="85"/>
      <c r="M847" s="85"/>
      <c r="N847" s="85"/>
      <c r="O847" s="29"/>
      <c r="P847" s="307"/>
      <c r="Q847" s="15"/>
      <c r="R847" s="15"/>
      <c r="S847" s="15"/>
      <c r="T847" s="15"/>
      <c r="U847" s="243"/>
      <c r="V847" s="243"/>
      <c r="W847" s="243"/>
    </row>
    <row r="848">
      <c r="A848" s="34"/>
      <c r="B848" s="15"/>
      <c r="C848" s="15"/>
      <c r="D848" s="15"/>
      <c r="E848" s="17"/>
      <c r="F848" s="15"/>
      <c r="G848" s="250"/>
      <c r="H848" s="243"/>
      <c r="I848" s="243"/>
      <c r="J848" s="243"/>
      <c r="K848" s="85"/>
      <c r="L848" s="85"/>
      <c r="M848" s="85"/>
      <c r="N848" s="85"/>
      <c r="O848" s="29"/>
      <c r="P848" s="307"/>
      <c r="Q848" s="15"/>
      <c r="R848" s="15"/>
      <c r="S848" s="15"/>
      <c r="T848" s="15"/>
      <c r="U848" s="243"/>
      <c r="V848" s="243"/>
      <c r="W848" s="243"/>
    </row>
    <row r="849">
      <c r="A849" s="34"/>
      <c r="B849" s="15"/>
      <c r="C849" s="15"/>
      <c r="D849" s="15"/>
      <c r="E849" s="17"/>
      <c r="F849" s="15"/>
      <c r="G849" s="250"/>
      <c r="H849" s="243"/>
      <c r="I849" s="243"/>
      <c r="J849" s="243"/>
      <c r="K849" s="85"/>
      <c r="L849" s="85"/>
      <c r="M849" s="85"/>
      <c r="N849" s="85"/>
      <c r="O849" s="29"/>
      <c r="P849" s="307"/>
      <c r="Q849" s="15"/>
      <c r="R849" s="15"/>
      <c r="S849" s="15"/>
      <c r="T849" s="15"/>
      <c r="U849" s="243"/>
      <c r="V849" s="243"/>
      <c r="W849" s="243"/>
    </row>
    <row r="850">
      <c r="A850" s="34"/>
      <c r="B850" s="15"/>
      <c r="C850" s="15"/>
      <c r="D850" s="15"/>
      <c r="E850" s="17"/>
      <c r="F850" s="15"/>
      <c r="G850" s="250"/>
      <c r="H850" s="243"/>
      <c r="I850" s="243"/>
      <c r="J850" s="243"/>
      <c r="K850" s="85"/>
      <c r="L850" s="85"/>
      <c r="M850" s="85"/>
      <c r="N850" s="85"/>
      <c r="O850" s="29"/>
      <c r="P850" s="307"/>
      <c r="Q850" s="15"/>
      <c r="R850" s="15"/>
      <c r="S850" s="15"/>
      <c r="T850" s="15"/>
      <c r="U850" s="243"/>
      <c r="V850" s="243"/>
      <c r="W850" s="243"/>
    </row>
    <row r="851">
      <c r="A851" s="34"/>
      <c r="B851" s="15"/>
      <c r="C851" s="15"/>
      <c r="D851" s="15"/>
      <c r="E851" s="17"/>
      <c r="F851" s="15"/>
      <c r="G851" s="250"/>
      <c r="H851" s="243"/>
      <c r="I851" s="243"/>
      <c r="J851" s="243"/>
      <c r="K851" s="85"/>
      <c r="L851" s="85"/>
      <c r="M851" s="85"/>
      <c r="N851" s="85"/>
      <c r="O851" s="29"/>
      <c r="P851" s="307"/>
      <c r="Q851" s="15"/>
      <c r="R851" s="15"/>
      <c r="S851" s="15"/>
      <c r="T851" s="15"/>
      <c r="U851" s="243"/>
      <c r="V851" s="243"/>
      <c r="W851" s="243"/>
    </row>
    <row r="852">
      <c r="A852" s="34"/>
      <c r="B852" s="15"/>
      <c r="C852" s="15"/>
      <c r="D852" s="15"/>
      <c r="E852" s="17"/>
      <c r="F852" s="15"/>
      <c r="G852" s="250"/>
      <c r="H852" s="243"/>
      <c r="I852" s="243"/>
      <c r="J852" s="243"/>
      <c r="K852" s="85"/>
      <c r="L852" s="85"/>
      <c r="M852" s="85"/>
      <c r="N852" s="85"/>
      <c r="O852" s="29"/>
      <c r="P852" s="307"/>
      <c r="Q852" s="15"/>
      <c r="R852" s="15"/>
      <c r="S852" s="15"/>
      <c r="T852" s="15"/>
      <c r="U852" s="243"/>
      <c r="V852" s="243"/>
      <c r="W852" s="243"/>
    </row>
    <row r="853">
      <c r="A853" s="34"/>
      <c r="B853" s="15"/>
      <c r="C853" s="15"/>
      <c r="D853" s="15"/>
      <c r="E853" s="17"/>
      <c r="F853" s="15"/>
      <c r="G853" s="250"/>
      <c r="H853" s="243"/>
      <c r="I853" s="243"/>
      <c r="J853" s="243"/>
      <c r="K853" s="85"/>
      <c r="L853" s="85"/>
      <c r="M853" s="85"/>
      <c r="N853" s="85"/>
      <c r="O853" s="29"/>
      <c r="P853" s="307"/>
      <c r="Q853" s="15"/>
      <c r="R853" s="15"/>
      <c r="S853" s="15"/>
      <c r="T853" s="15"/>
      <c r="U853" s="243"/>
      <c r="V853" s="243"/>
      <c r="W853" s="243"/>
    </row>
    <row r="854">
      <c r="A854" s="34"/>
      <c r="B854" s="15"/>
      <c r="C854" s="15"/>
      <c r="D854" s="15"/>
      <c r="E854" s="17"/>
      <c r="F854" s="15"/>
      <c r="G854" s="250"/>
      <c r="H854" s="243"/>
      <c r="I854" s="243"/>
      <c r="J854" s="243"/>
      <c r="K854" s="85"/>
      <c r="L854" s="85"/>
      <c r="M854" s="85"/>
      <c r="N854" s="85"/>
      <c r="O854" s="29"/>
      <c r="P854" s="307"/>
      <c r="Q854" s="15"/>
      <c r="R854" s="15"/>
      <c r="S854" s="15"/>
      <c r="T854" s="15"/>
      <c r="U854" s="243"/>
      <c r="V854" s="243"/>
      <c r="W854" s="243"/>
    </row>
    <row r="855">
      <c r="A855" s="34"/>
      <c r="B855" s="15"/>
      <c r="C855" s="15"/>
      <c r="D855" s="15"/>
      <c r="E855" s="17"/>
      <c r="F855" s="15"/>
      <c r="G855" s="250"/>
      <c r="H855" s="243"/>
      <c r="I855" s="243"/>
      <c r="J855" s="243"/>
      <c r="K855" s="85"/>
      <c r="L855" s="85"/>
      <c r="M855" s="85"/>
      <c r="N855" s="85"/>
      <c r="O855" s="29"/>
      <c r="P855" s="307"/>
      <c r="Q855" s="15"/>
      <c r="R855" s="15"/>
      <c r="S855" s="15"/>
      <c r="T855" s="15"/>
      <c r="U855" s="243"/>
      <c r="V855" s="243"/>
      <c r="W855" s="243"/>
    </row>
    <row r="856">
      <c r="A856" s="34"/>
      <c r="B856" s="15"/>
      <c r="C856" s="15"/>
      <c r="D856" s="15"/>
      <c r="E856" s="17"/>
      <c r="F856" s="15"/>
      <c r="G856" s="250"/>
      <c r="H856" s="243"/>
      <c r="I856" s="243"/>
      <c r="J856" s="243"/>
      <c r="K856" s="85"/>
      <c r="L856" s="85"/>
      <c r="M856" s="85"/>
      <c r="N856" s="85"/>
      <c r="O856" s="29"/>
      <c r="P856" s="307"/>
      <c r="Q856" s="15"/>
      <c r="R856" s="15"/>
      <c r="S856" s="15"/>
      <c r="T856" s="15"/>
      <c r="U856" s="243"/>
      <c r="V856" s="243"/>
      <c r="W856" s="243"/>
    </row>
    <row r="857">
      <c r="A857" s="34"/>
      <c r="B857" s="15"/>
      <c r="C857" s="15"/>
      <c r="D857" s="15"/>
      <c r="E857" s="17"/>
      <c r="F857" s="15"/>
      <c r="G857" s="250"/>
      <c r="H857" s="243"/>
      <c r="I857" s="243"/>
      <c r="J857" s="243"/>
      <c r="K857" s="85"/>
      <c r="L857" s="85"/>
      <c r="M857" s="85"/>
      <c r="N857" s="85"/>
      <c r="O857" s="29"/>
      <c r="P857" s="307"/>
      <c r="Q857" s="15"/>
      <c r="R857" s="15"/>
      <c r="S857" s="15"/>
      <c r="T857" s="15"/>
      <c r="U857" s="243"/>
      <c r="V857" s="243"/>
      <c r="W857" s="243"/>
    </row>
    <row r="858">
      <c r="A858" s="34"/>
      <c r="B858" s="15"/>
      <c r="C858" s="15"/>
      <c r="D858" s="15"/>
      <c r="E858" s="17"/>
      <c r="F858" s="15"/>
      <c r="G858" s="250"/>
      <c r="H858" s="243"/>
      <c r="I858" s="243"/>
      <c r="J858" s="243"/>
      <c r="K858" s="85"/>
      <c r="L858" s="85"/>
      <c r="M858" s="85"/>
      <c r="N858" s="85"/>
      <c r="O858" s="29"/>
      <c r="P858" s="307"/>
      <c r="Q858" s="15"/>
      <c r="R858" s="15"/>
      <c r="S858" s="15"/>
      <c r="T858" s="15"/>
      <c r="U858" s="243"/>
      <c r="V858" s="243"/>
      <c r="W858" s="243"/>
    </row>
    <row r="859">
      <c r="A859" s="34"/>
      <c r="B859" s="15"/>
      <c r="C859" s="15"/>
      <c r="D859" s="15"/>
      <c r="E859" s="17"/>
      <c r="F859" s="15"/>
      <c r="G859" s="250"/>
      <c r="H859" s="243"/>
      <c r="I859" s="243"/>
      <c r="J859" s="243"/>
      <c r="K859" s="85"/>
      <c r="L859" s="85"/>
      <c r="M859" s="85"/>
      <c r="N859" s="85"/>
      <c r="O859" s="29"/>
      <c r="P859" s="307"/>
      <c r="Q859" s="15"/>
      <c r="R859" s="15"/>
      <c r="S859" s="15"/>
      <c r="T859" s="15"/>
      <c r="U859" s="243"/>
      <c r="V859" s="243"/>
      <c r="W859" s="243"/>
    </row>
    <row r="860">
      <c r="A860" s="34"/>
      <c r="B860" s="15"/>
      <c r="C860" s="15"/>
      <c r="D860" s="15"/>
      <c r="E860" s="17"/>
      <c r="F860" s="15"/>
      <c r="G860" s="250"/>
      <c r="H860" s="243"/>
      <c r="I860" s="243"/>
      <c r="J860" s="243"/>
      <c r="K860" s="85"/>
      <c r="L860" s="85"/>
      <c r="M860" s="85"/>
      <c r="N860" s="85"/>
      <c r="O860" s="29"/>
      <c r="P860" s="307"/>
      <c r="Q860" s="15"/>
      <c r="R860" s="15"/>
      <c r="S860" s="15"/>
      <c r="T860" s="15"/>
      <c r="U860" s="243"/>
      <c r="V860" s="243"/>
      <c r="W860" s="243"/>
    </row>
    <row r="861">
      <c r="A861" s="34"/>
      <c r="B861" s="15"/>
      <c r="C861" s="15"/>
      <c r="D861" s="15"/>
      <c r="E861" s="17"/>
      <c r="F861" s="15"/>
      <c r="G861" s="250"/>
      <c r="H861" s="243"/>
      <c r="I861" s="243"/>
      <c r="J861" s="243"/>
      <c r="K861" s="85"/>
      <c r="L861" s="85"/>
      <c r="M861" s="85"/>
      <c r="N861" s="85"/>
      <c r="O861" s="29"/>
      <c r="P861" s="307"/>
      <c r="Q861" s="15"/>
      <c r="R861" s="15"/>
      <c r="S861" s="15"/>
      <c r="T861" s="15"/>
      <c r="U861" s="243"/>
      <c r="V861" s="243"/>
      <c r="W861" s="243"/>
    </row>
    <row r="862">
      <c r="A862" s="34"/>
      <c r="B862" s="15"/>
      <c r="C862" s="15"/>
      <c r="D862" s="15"/>
      <c r="E862" s="17"/>
      <c r="F862" s="15"/>
      <c r="G862" s="250"/>
      <c r="H862" s="243"/>
      <c r="I862" s="243"/>
      <c r="J862" s="243"/>
      <c r="K862" s="85"/>
      <c r="L862" s="85"/>
      <c r="M862" s="85"/>
      <c r="N862" s="85"/>
      <c r="O862" s="29"/>
      <c r="P862" s="307"/>
      <c r="Q862" s="15"/>
      <c r="R862" s="15"/>
      <c r="S862" s="15"/>
      <c r="T862" s="15"/>
      <c r="U862" s="243"/>
      <c r="V862" s="243"/>
      <c r="W862" s="243"/>
    </row>
    <row r="863">
      <c r="A863" s="34"/>
      <c r="B863" s="15"/>
      <c r="C863" s="15"/>
      <c r="D863" s="15"/>
      <c r="E863" s="17"/>
      <c r="F863" s="15"/>
      <c r="G863" s="250"/>
      <c r="H863" s="243"/>
      <c r="I863" s="243"/>
      <c r="J863" s="243"/>
      <c r="K863" s="85"/>
      <c r="L863" s="85"/>
      <c r="M863" s="85"/>
      <c r="N863" s="85"/>
      <c r="O863" s="29"/>
      <c r="P863" s="307"/>
      <c r="Q863" s="15"/>
      <c r="R863" s="15"/>
      <c r="S863" s="15"/>
      <c r="T863" s="15"/>
      <c r="U863" s="243"/>
      <c r="V863" s="243"/>
      <c r="W863" s="243"/>
    </row>
    <row r="864">
      <c r="A864" s="34"/>
      <c r="B864" s="15"/>
      <c r="C864" s="15"/>
      <c r="D864" s="15"/>
      <c r="E864" s="17"/>
      <c r="F864" s="15"/>
      <c r="G864" s="250"/>
      <c r="H864" s="243"/>
      <c r="I864" s="243"/>
      <c r="J864" s="243"/>
      <c r="K864" s="85"/>
      <c r="L864" s="85"/>
      <c r="M864" s="85"/>
      <c r="N864" s="85"/>
      <c r="O864" s="29"/>
      <c r="P864" s="307"/>
      <c r="Q864" s="15"/>
      <c r="R864" s="15"/>
      <c r="S864" s="15"/>
      <c r="T864" s="15"/>
      <c r="U864" s="243"/>
      <c r="V864" s="243"/>
      <c r="W864" s="243"/>
    </row>
    <row r="865">
      <c r="A865" s="34"/>
      <c r="B865" s="15"/>
      <c r="C865" s="15"/>
      <c r="D865" s="15"/>
      <c r="E865" s="17"/>
      <c r="F865" s="15"/>
      <c r="G865" s="250"/>
      <c r="H865" s="243"/>
      <c r="I865" s="243"/>
      <c r="J865" s="243"/>
      <c r="K865" s="85"/>
      <c r="L865" s="85"/>
      <c r="M865" s="85"/>
      <c r="N865" s="85"/>
      <c r="O865" s="29"/>
      <c r="P865" s="307"/>
      <c r="Q865" s="15"/>
      <c r="R865" s="15"/>
      <c r="S865" s="15"/>
      <c r="T865" s="15"/>
      <c r="U865" s="243"/>
      <c r="V865" s="243"/>
      <c r="W865" s="243"/>
    </row>
    <row r="866">
      <c r="A866" s="34"/>
      <c r="B866" s="15"/>
      <c r="C866" s="15"/>
      <c r="D866" s="15"/>
      <c r="E866" s="17"/>
      <c r="F866" s="15"/>
      <c r="G866" s="250"/>
      <c r="H866" s="243"/>
      <c r="I866" s="243"/>
      <c r="J866" s="243"/>
      <c r="K866" s="85"/>
      <c r="L866" s="85"/>
      <c r="M866" s="85"/>
      <c r="N866" s="85"/>
      <c r="O866" s="29"/>
      <c r="P866" s="307"/>
      <c r="Q866" s="15"/>
      <c r="R866" s="15"/>
      <c r="S866" s="15"/>
      <c r="T866" s="15"/>
      <c r="U866" s="243"/>
      <c r="V866" s="243"/>
      <c r="W866" s="243"/>
    </row>
    <row r="867">
      <c r="A867" s="34"/>
      <c r="B867" s="15"/>
      <c r="C867" s="15"/>
      <c r="D867" s="15"/>
      <c r="E867" s="17"/>
      <c r="F867" s="15"/>
      <c r="G867" s="250"/>
      <c r="H867" s="243"/>
      <c r="I867" s="243"/>
      <c r="J867" s="243"/>
      <c r="K867" s="85"/>
      <c r="L867" s="85"/>
      <c r="M867" s="85"/>
      <c r="N867" s="85"/>
      <c r="O867" s="29"/>
      <c r="P867" s="307"/>
      <c r="Q867" s="15"/>
      <c r="R867" s="15"/>
      <c r="S867" s="15"/>
      <c r="T867" s="15"/>
      <c r="U867" s="243"/>
      <c r="V867" s="243"/>
      <c r="W867" s="243"/>
    </row>
    <row r="868">
      <c r="A868" s="34"/>
      <c r="B868" s="15"/>
      <c r="C868" s="15"/>
      <c r="D868" s="15"/>
      <c r="E868" s="17"/>
      <c r="F868" s="15"/>
      <c r="G868" s="250"/>
      <c r="H868" s="243"/>
      <c r="I868" s="243"/>
      <c r="J868" s="243"/>
      <c r="K868" s="85"/>
      <c r="L868" s="85"/>
      <c r="M868" s="85"/>
      <c r="N868" s="85"/>
      <c r="O868" s="29"/>
      <c r="P868" s="307"/>
      <c r="Q868" s="15"/>
      <c r="R868" s="15"/>
      <c r="S868" s="15"/>
      <c r="T868" s="15"/>
      <c r="U868" s="243"/>
      <c r="V868" s="243"/>
      <c r="W868" s="243"/>
    </row>
    <row r="869">
      <c r="A869" s="34"/>
      <c r="B869" s="15"/>
      <c r="C869" s="15"/>
      <c r="D869" s="15"/>
      <c r="E869" s="17"/>
      <c r="F869" s="15"/>
      <c r="G869" s="250"/>
      <c r="H869" s="243"/>
      <c r="I869" s="243"/>
      <c r="J869" s="243"/>
      <c r="K869" s="85"/>
      <c r="L869" s="85"/>
      <c r="M869" s="85"/>
      <c r="N869" s="85"/>
      <c r="O869" s="29"/>
      <c r="P869" s="307"/>
      <c r="Q869" s="15"/>
      <c r="R869" s="15"/>
      <c r="S869" s="15"/>
      <c r="T869" s="15"/>
      <c r="U869" s="243"/>
      <c r="V869" s="243"/>
      <c r="W869" s="243"/>
    </row>
    <row r="870">
      <c r="A870" s="34"/>
      <c r="B870" s="15"/>
      <c r="C870" s="15"/>
      <c r="D870" s="15"/>
      <c r="E870" s="17"/>
      <c r="F870" s="15"/>
      <c r="G870" s="250"/>
      <c r="H870" s="243"/>
      <c r="I870" s="243"/>
      <c r="J870" s="243"/>
      <c r="K870" s="85"/>
      <c r="L870" s="85"/>
      <c r="M870" s="85"/>
      <c r="N870" s="85"/>
      <c r="O870" s="29"/>
      <c r="P870" s="307"/>
      <c r="Q870" s="15"/>
      <c r="R870" s="15"/>
      <c r="S870" s="15"/>
      <c r="T870" s="15"/>
      <c r="U870" s="243"/>
      <c r="V870" s="243"/>
      <c r="W870" s="243"/>
    </row>
    <row r="871">
      <c r="A871" s="34"/>
      <c r="B871" s="15"/>
      <c r="C871" s="15"/>
      <c r="D871" s="15"/>
      <c r="E871" s="17"/>
      <c r="F871" s="15"/>
      <c r="G871" s="250"/>
      <c r="H871" s="243"/>
      <c r="I871" s="243"/>
      <c r="J871" s="243"/>
      <c r="K871" s="85"/>
      <c r="L871" s="85"/>
      <c r="M871" s="85"/>
      <c r="N871" s="85"/>
      <c r="O871" s="29"/>
      <c r="P871" s="307"/>
      <c r="Q871" s="15"/>
      <c r="R871" s="15"/>
      <c r="S871" s="15"/>
      <c r="T871" s="15"/>
      <c r="U871" s="243"/>
      <c r="V871" s="243"/>
      <c r="W871" s="243"/>
    </row>
    <row r="872">
      <c r="A872" s="34"/>
      <c r="B872" s="15"/>
      <c r="C872" s="15"/>
      <c r="D872" s="15"/>
      <c r="E872" s="17"/>
      <c r="F872" s="15"/>
      <c r="G872" s="250"/>
      <c r="H872" s="243"/>
      <c r="I872" s="243"/>
      <c r="J872" s="243"/>
      <c r="K872" s="85"/>
      <c r="L872" s="85"/>
      <c r="M872" s="85"/>
      <c r="N872" s="85"/>
      <c r="O872" s="29"/>
      <c r="P872" s="307"/>
      <c r="Q872" s="15"/>
      <c r="R872" s="15"/>
      <c r="S872" s="15"/>
      <c r="T872" s="15"/>
      <c r="U872" s="243"/>
      <c r="V872" s="243"/>
      <c r="W872" s="243"/>
    </row>
    <row r="873">
      <c r="A873" s="34"/>
      <c r="B873" s="15"/>
      <c r="C873" s="15"/>
      <c r="D873" s="15"/>
      <c r="E873" s="17"/>
      <c r="F873" s="15"/>
      <c r="G873" s="250"/>
      <c r="H873" s="243"/>
      <c r="I873" s="243"/>
      <c r="J873" s="243"/>
      <c r="K873" s="85"/>
      <c r="L873" s="85"/>
      <c r="M873" s="85"/>
      <c r="N873" s="85"/>
      <c r="O873" s="29"/>
      <c r="P873" s="307"/>
      <c r="Q873" s="15"/>
      <c r="R873" s="15"/>
      <c r="S873" s="15"/>
      <c r="T873" s="15"/>
      <c r="U873" s="243"/>
      <c r="V873" s="243"/>
      <c r="W873" s="243"/>
    </row>
    <row r="874">
      <c r="A874" s="34"/>
      <c r="B874" s="15"/>
      <c r="C874" s="15"/>
      <c r="D874" s="15"/>
      <c r="E874" s="17"/>
      <c r="F874" s="15"/>
      <c r="G874" s="250"/>
      <c r="H874" s="243"/>
      <c r="I874" s="243"/>
      <c r="J874" s="243"/>
      <c r="K874" s="85"/>
      <c r="L874" s="85"/>
      <c r="M874" s="85"/>
      <c r="N874" s="85"/>
      <c r="O874" s="29"/>
      <c r="P874" s="307"/>
      <c r="Q874" s="15"/>
      <c r="R874" s="15"/>
      <c r="S874" s="15"/>
      <c r="T874" s="15"/>
      <c r="U874" s="243"/>
      <c r="V874" s="243"/>
      <c r="W874" s="243"/>
    </row>
    <row r="875">
      <c r="A875" s="34"/>
      <c r="B875" s="15"/>
      <c r="C875" s="15"/>
      <c r="D875" s="15"/>
      <c r="E875" s="17"/>
      <c r="F875" s="15"/>
      <c r="G875" s="250"/>
      <c r="H875" s="243"/>
      <c r="I875" s="243"/>
      <c r="J875" s="243"/>
      <c r="K875" s="85"/>
      <c r="L875" s="85"/>
      <c r="M875" s="85"/>
      <c r="N875" s="85"/>
      <c r="O875" s="29"/>
      <c r="P875" s="307"/>
      <c r="Q875" s="15"/>
      <c r="R875" s="15"/>
      <c r="S875" s="15"/>
      <c r="T875" s="15"/>
      <c r="U875" s="243"/>
      <c r="V875" s="243"/>
      <c r="W875" s="243"/>
    </row>
    <row r="876">
      <c r="A876" s="34"/>
      <c r="B876" s="15"/>
      <c r="C876" s="15"/>
      <c r="D876" s="15"/>
      <c r="E876" s="17"/>
      <c r="F876" s="15"/>
      <c r="G876" s="250"/>
      <c r="H876" s="243"/>
      <c r="I876" s="243"/>
      <c r="J876" s="243"/>
      <c r="K876" s="85"/>
      <c r="L876" s="85"/>
      <c r="M876" s="85"/>
      <c r="N876" s="85"/>
      <c r="O876" s="29"/>
      <c r="P876" s="307"/>
      <c r="Q876" s="15"/>
      <c r="R876" s="15"/>
      <c r="S876" s="15"/>
      <c r="T876" s="15"/>
      <c r="U876" s="243"/>
      <c r="V876" s="243"/>
      <c r="W876" s="243"/>
    </row>
    <row r="877">
      <c r="A877" s="34"/>
      <c r="B877" s="15"/>
      <c r="C877" s="15"/>
      <c r="D877" s="15"/>
      <c r="E877" s="17"/>
      <c r="F877" s="15"/>
      <c r="G877" s="250"/>
      <c r="H877" s="243"/>
      <c r="I877" s="243"/>
      <c r="J877" s="243"/>
      <c r="K877" s="85"/>
      <c r="L877" s="85"/>
      <c r="M877" s="85"/>
      <c r="N877" s="85"/>
      <c r="O877" s="29"/>
      <c r="P877" s="307"/>
      <c r="Q877" s="15"/>
      <c r="R877" s="15"/>
      <c r="S877" s="15"/>
      <c r="T877" s="15"/>
      <c r="U877" s="243"/>
      <c r="V877" s="243"/>
      <c r="W877" s="243"/>
    </row>
    <row r="878">
      <c r="A878" s="34"/>
      <c r="B878" s="15"/>
      <c r="C878" s="15"/>
      <c r="D878" s="15"/>
      <c r="E878" s="17"/>
      <c r="F878" s="15"/>
      <c r="G878" s="250"/>
      <c r="H878" s="243"/>
      <c r="I878" s="243"/>
      <c r="J878" s="243"/>
      <c r="K878" s="85"/>
      <c r="L878" s="85"/>
      <c r="M878" s="85"/>
      <c r="N878" s="85"/>
      <c r="O878" s="29"/>
      <c r="P878" s="307"/>
      <c r="Q878" s="15"/>
      <c r="R878" s="15"/>
      <c r="S878" s="15"/>
      <c r="T878" s="15"/>
      <c r="U878" s="243"/>
      <c r="V878" s="243"/>
      <c r="W878" s="243"/>
    </row>
    <row r="879">
      <c r="A879" s="34"/>
      <c r="B879" s="15"/>
      <c r="C879" s="15"/>
      <c r="D879" s="15"/>
      <c r="E879" s="17"/>
      <c r="F879" s="15"/>
      <c r="G879" s="250"/>
      <c r="H879" s="243"/>
      <c r="I879" s="243"/>
      <c r="J879" s="243"/>
      <c r="K879" s="85"/>
      <c r="L879" s="85"/>
      <c r="M879" s="85"/>
      <c r="N879" s="85"/>
      <c r="O879" s="29"/>
      <c r="P879" s="307"/>
      <c r="Q879" s="15"/>
      <c r="R879" s="15"/>
      <c r="S879" s="15"/>
      <c r="T879" s="15"/>
      <c r="U879" s="243"/>
      <c r="V879" s="243"/>
      <c r="W879" s="243"/>
    </row>
    <row r="880">
      <c r="A880" s="34"/>
      <c r="B880" s="15"/>
      <c r="C880" s="15"/>
      <c r="D880" s="15"/>
      <c r="E880" s="17"/>
      <c r="F880" s="15"/>
      <c r="G880" s="250"/>
      <c r="H880" s="243"/>
      <c r="I880" s="243"/>
      <c r="J880" s="243"/>
      <c r="K880" s="85"/>
      <c r="L880" s="85"/>
      <c r="M880" s="85"/>
      <c r="N880" s="85"/>
      <c r="O880" s="29"/>
      <c r="P880" s="307"/>
      <c r="Q880" s="15"/>
      <c r="R880" s="15"/>
      <c r="S880" s="15"/>
      <c r="T880" s="15"/>
      <c r="U880" s="243"/>
      <c r="V880" s="243"/>
      <c r="W880" s="243"/>
    </row>
    <row r="881">
      <c r="A881" s="34"/>
      <c r="B881" s="15"/>
      <c r="C881" s="15"/>
      <c r="D881" s="15"/>
      <c r="E881" s="17"/>
      <c r="F881" s="15"/>
      <c r="G881" s="250"/>
      <c r="H881" s="243"/>
      <c r="I881" s="243"/>
      <c r="J881" s="243"/>
      <c r="K881" s="85"/>
      <c r="L881" s="85"/>
      <c r="M881" s="85"/>
      <c r="N881" s="85"/>
      <c r="O881" s="29"/>
      <c r="P881" s="307"/>
      <c r="Q881" s="15"/>
      <c r="R881" s="15"/>
      <c r="S881" s="15"/>
      <c r="T881" s="15"/>
      <c r="U881" s="243"/>
      <c r="V881" s="243"/>
      <c r="W881" s="243"/>
    </row>
    <row r="882">
      <c r="A882" s="34"/>
      <c r="B882" s="15"/>
      <c r="C882" s="15"/>
      <c r="D882" s="15"/>
      <c r="E882" s="17"/>
      <c r="F882" s="15"/>
      <c r="G882" s="250"/>
      <c r="H882" s="243"/>
      <c r="I882" s="243"/>
      <c r="J882" s="243"/>
      <c r="K882" s="85"/>
      <c r="L882" s="85"/>
      <c r="M882" s="85"/>
      <c r="N882" s="85"/>
      <c r="O882" s="29"/>
      <c r="P882" s="307"/>
      <c r="Q882" s="15"/>
      <c r="R882" s="15"/>
      <c r="S882" s="15"/>
      <c r="T882" s="15"/>
      <c r="U882" s="243"/>
      <c r="V882" s="243"/>
      <c r="W882" s="243"/>
    </row>
    <row r="883">
      <c r="A883" s="34"/>
      <c r="B883" s="15"/>
      <c r="C883" s="15"/>
      <c r="D883" s="15"/>
      <c r="E883" s="17"/>
      <c r="F883" s="15"/>
      <c r="G883" s="250"/>
      <c r="H883" s="243"/>
      <c r="I883" s="243"/>
      <c r="J883" s="243"/>
      <c r="K883" s="85"/>
      <c r="L883" s="85"/>
      <c r="M883" s="85"/>
      <c r="N883" s="85"/>
      <c r="O883" s="29"/>
      <c r="P883" s="307"/>
      <c r="Q883" s="15"/>
      <c r="R883" s="15"/>
      <c r="S883" s="15"/>
      <c r="T883" s="15"/>
      <c r="U883" s="243"/>
      <c r="V883" s="243"/>
      <c r="W883" s="243"/>
    </row>
    <row r="884">
      <c r="A884" s="34"/>
      <c r="B884" s="15"/>
      <c r="C884" s="15"/>
      <c r="D884" s="15"/>
      <c r="E884" s="17"/>
      <c r="F884" s="15"/>
      <c r="G884" s="250"/>
      <c r="H884" s="243"/>
      <c r="I884" s="243"/>
      <c r="J884" s="243"/>
      <c r="K884" s="85"/>
      <c r="L884" s="85"/>
      <c r="M884" s="85"/>
      <c r="N884" s="85"/>
      <c r="O884" s="29"/>
      <c r="P884" s="307"/>
      <c r="Q884" s="15"/>
      <c r="R884" s="15"/>
      <c r="S884" s="15"/>
      <c r="T884" s="15"/>
      <c r="U884" s="243"/>
      <c r="V884" s="243"/>
      <c r="W884" s="243"/>
    </row>
    <row r="885">
      <c r="A885" s="34"/>
      <c r="B885" s="15"/>
      <c r="C885" s="15"/>
      <c r="D885" s="15"/>
      <c r="E885" s="17"/>
      <c r="F885" s="15"/>
      <c r="G885" s="250"/>
      <c r="H885" s="243"/>
      <c r="I885" s="243"/>
      <c r="J885" s="243"/>
      <c r="K885" s="85"/>
      <c r="L885" s="85"/>
      <c r="M885" s="85"/>
      <c r="N885" s="85"/>
      <c r="O885" s="29"/>
      <c r="P885" s="307"/>
      <c r="Q885" s="15"/>
      <c r="R885" s="15"/>
      <c r="S885" s="15"/>
      <c r="T885" s="15"/>
      <c r="U885" s="243"/>
      <c r="V885" s="243"/>
      <c r="W885" s="243"/>
    </row>
    <row r="886">
      <c r="A886" s="34"/>
      <c r="B886" s="15"/>
      <c r="C886" s="15"/>
      <c r="D886" s="15"/>
      <c r="E886" s="17"/>
      <c r="F886" s="15"/>
      <c r="G886" s="250"/>
      <c r="H886" s="243"/>
      <c r="I886" s="243"/>
      <c r="J886" s="243"/>
      <c r="K886" s="85"/>
      <c r="L886" s="85"/>
      <c r="M886" s="85"/>
      <c r="N886" s="85"/>
      <c r="O886" s="29"/>
      <c r="P886" s="307"/>
      <c r="Q886" s="15"/>
      <c r="R886" s="15"/>
      <c r="S886" s="15"/>
      <c r="T886" s="15"/>
      <c r="U886" s="243"/>
      <c r="V886" s="243"/>
      <c r="W886" s="243"/>
    </row>
    <row r="887">
      <c r="A887" s="34"/>
      <c r="B887" s="15"/>
      <c r="C887" s="15"/>
      <c r="D887" s="15"/>
      <c r="E887" s="17"/>
      <c r="F887" s="15"/>
      <c r="G887" s="250"/>
      <c r="H887" s="243"/>
      <c r="I887" s="243"/>
      <c r="J887" s="243"/>
      <c r="K887" s="85"/>
      <c r="L887" s="85"/>
      <c r="M887" s="85"/>
      <c r="N887" s="85"/>
      <c r="O887" s="29"/>
      <c r="P887" s="307"/>
      <c r="Q887" s="15"/>
      <c r="R887" s="15"/>
      <c r="S887" s="15"/>
      <c r="T887" s="15"/>
      <c r="U887" s="243"/>
      <c r="V887" s="243"/>
      <c r="W887" s="243"/>
    </row>
    <row r="888">
      <c r="A888" s="34"/>
      <c r="B888" s="15"/>
      <c r="C888" s="15"/>
      <c r="D888" s="15"/>
      <c r="E888" s="17"/>
      <c r="F888" s="15"/>
      <c r="G888" s="250"/>
      <c r="H888" s="243"/>
      <c r="I888" s="243"/>
      <c r="J888" s="243"/>
      <c r="K888" s="85"/>
      <c r="L888" s="85"/>
      <c r="M888" s="85"/>
      <c r="N888" s="85"/>
      <c r="O888" s="29"/>
      <c r="P888" s="307"/>
      <c r="Q888" s="15"/>
      <c r="R888" s="15"/>
      <c r="S888" s="15"/>
      <c r="T888" s="15"/>
      <c r="U888" s="243"/>
      <c r="V888" s="243"/>
      <c r="W888" s="243"/>
    </row>
    <row r="889">
      <c r="A889" s="34"/>
      <c r="B889" s="15"/>
      <c r="C889" s="15"/>
      <c r="D889" s="15"/>
      <c r="E889" s="17"/>
      <c r="F889" s="15"/>
      <c r="G889" s="250"/>
      <c r="H889" s="243"/>
      <c r="I889" s="243"/>
      <c r="J889" s="243"/>
      <c r="K889" s="85"/>
      <c r="L889" s="85"/>
      <c r="M889" s="85"/>
      <c r="N889" s="85"/>
      <c r="O889" s="29"/>
      <c r="P889" s="307"/>
      <c r="Q889" s="15"/>
      <c r="R889" s="15"/>
      <c r="S889" s="15"/>
      <c r="T889" s="15"/>
      <c r="U889" s="243"/>
      <c r="V889" s="243"/>
      <c r="W889" s="243"/>
    </row>
    <row r="890">
      <c r="A890" s="34"/>
      <c r="B890" s="15"/>
      <c r="C890" s="15"/>
      <c r="D890" s="15"/>
      <c r="E890" s="17"/>
      <c r="F890" s="15"/>
      <c r="G890" s="250"/>
      <c r="H890" s="243"/>
      <c r="I890" s="243"/>
      <c r="J890" s="243"/>
      <c r="K890" s="85"/>
      <c r="L890" s="85"/>
      <c r="M890" s="85"/>
      <c r="N890" s="85"/>
      <c r="O890" s="29"/>
      <c r="P890" s="307"/>
      <c r="Q890" s="15"/>
      <c r="R890" s="15"/>
      <c r="S890" s="15"/>
      <c r="T890" s="15"/>
      <c r="U890" s="243"/>
      <c r="V890" s="243"/>
      <c r="W890" s="243"/>
    </row>
    <row r="891">
      <c r="A891" s="34"/>
      <c r="B891" s="15"/>
      <c r="C891" s="15"/>
      <c r="D891" s="15"/>
      <c r="E891" s="17"/>
      <c r="F891" s="15"/>
      <c r="G891" s="250"/>
      <c r="H891" s="243"/>
      <c r="I891" s="243"/>
      <c r="J891" s="243"/>
      <c r="K891" s="85"/>
      <c r="L891" s="85"/>
      <c r="M891" s="85"/>
      <c r="N891" s="85"/>
      <c r="O891" s="29"/>
      <c r="P891" s="307"/>
      <c r="Q891" s="15"/>
      <c r="R891" s="15"/>
      <c r="S891" s="15"/>
      <c r="T891" s="15"/>
      <c r="U891" s="243"/>
      <c r="V891" s="243"/>
      <c r="W891" s="243"/>
    </row>
    <row r="892">
      <c r="A892" s="34"/>
      <c r="B892" s="15"/>
      <c r="C892" s="15"/>
      <c r="D892" s="15"/>
      <c r="E892" s="17"/>
      <c r="F892" s="15"/>
      <c r="G892" s="250"/>
      <c r="H892" s="243"/>
      <c r="I892" s="243"/>
      <c r="J892" s="243"/>
      <c r="K892" s="85"/>
      <c r="L892" s="85"/>
      <c r="M892" s="85"/>
      <c r="N892" s="85"/>
      <c r="O892" s="29"/>
      <c r="P892" s="307"/>
      <c r="Q892" s="15"/>
      <c r="R892" s="15"/>
      <c r="S892" s="15"/>
      <c r="T892" s="15"/>
      <c r="U892" s="243"/>
      <c r="V892" s="243"/>
      <c r="W892" s="243"/>
    </row>
    <row r="893">
      <c r="A893" s="34"/>
      <c r="B893" s="15"/>
      <c r="C893" s="15"/>
      <c r="D893" s="15"/>
      <c r="E893" s="17"/>
      <c r="F893" s="15"/>
      <c r="G893" s="250"/>
      <c r="H893" s="243"/>
      <c r="I893" s="243"/>
      <c r="J893" s="243"/>
      <c r="K893" s="85"/>
      <c r="L893" s="85"/>
      <c r="M893" s="85"/>
      <c r="N893" s="85"/>
      <c r="O893" s="29"/>
      <c r="P893" s="307"/>
      <c r="Q893" s="15"/>
      <c r="R893" s="15"/>
      <c r="S893" s="15"/>
      <c r="T893" s="15"/>
      <c r="U893" s="243"/>
      <c r="V893" s="243"/>
      <c r="W893" s="243"/>
    </row>
    <row r="894">
      <c r="A894" s="34"/>
      <c r="B894" s="15"/>
      <c r="C894" s="15"/>
      <c r="D894" s="15"/>
      <c r="E894" s="17"/>
      <c r="F894" s="15"/>
      <c r="G894" s="250"/>
      <c r="H894" s="243"/>
      <c r="I894" s="243"/>
      <c r="J894" s="243"/>
      <c r="K894" s="85"/>
      <c r="L894" s="85"/>
      <c r="M894" s="85"/>
      <c r="N894" s="85"/>
      <c r="O894" s="29"/>
      <c r="P894" s="307"/>
      <c r="Q894" s="15"/>
      <c r="R894" s="15"/>
      <c r="S894" s="15"/>
      <c r="T894" s="15"/>
      <c r="U894" s="243"/>
      <c r="V894" s="243"/>
      <c r="W894" s="243"/>
    </row>
    <row r="895">
      <c r="A895" s="34"/>
      <c r="B895" s="15"/>
      <c r="C895" s="15"/>
      <c r="D895" s="15"/>
      <c r="E895" s="17"/>
      <c r="F895" s="15"/>
      <c r="G895" s="250"/>
      <c r="H895" s="243"/>
      <c r="I895" s="243"/>
      <c r="J895" s="243"/>
      <c r="K895" s="85"/>
      <c r="L895" s="85"/>
      <c r="M895" s="85"/>
      <c r="N895" s="85"/>
      <c r="O895" s="29"/>
      <c r="P895" s="307"/>
      <c r="Q895" s="15"/>
      <c r="R895" s="15"/>
      <c r="S895" s="15"/>
      <c r="T895" s="15"/>
      <c r="U895" s="243"/>
      <c r="V895" s="243"/>
      <c r="W895" s="243"/>
    </row>
    <row r="896">
      <c r="A896" s="34"/>
      <c r="B896" s="15"/>
      <c r="C896" s="15"/>
      <c r="D896" s="15"/>
      <c r="E896" s="17"/>
      <c r="F896" s="15"/>
      <c r="G896" s="250"/>
      <c r="H896" s="243"/>
      <c r="I896" s="243"/>
      <c r="J896" s="243"/>
      <c r="K896" s="85"/>
      <c r="L896" s="85"/>
      <c r="M896" s="85"/>
      <c r="N896" s="85"/>
      <c r="O896" s="29"/>
      <c r="P896" s="307"/>
      <c r="Q896" s="15"/>
      <c r="R896" s="15"/>
      <c r="S896" s="15"/>
      <c r="T896" s="15"/>
      <c r="U896" s="243"/>
      <c r="V896" s="243"/>
      <c r="W896" s="243"/>
    </row>
    <row r="897">
      <c r="A897" s="34"/>
      <c r="B897" s="15"/>
      <c r="C897" s="15"/>
      <c r="D897" s="15"/>
      <c r="E897" s="17"/>
      <c r="F897" s="15"/>
      <c r="G897" s="250"/>
      <c r="H897" s="243"/>
      <c r="I897" s="243"/>
      <c r="J897" s="243"/>
      <c r="K897" s="85"/>
      <c r="L897" s="85"/>
      <c r="M897" s="85"/>
      <c r="N897" s="85"/>
      <c r="O897" s="29"/>
      <c r="P897" s="307"/>
      <c r="Q897" s="15"/>
      <c r="R897" s="15"/>
      <c r="S897" s="15"/>
      <c r="T897" s="15"/>
      <c r="U897" s="243"/>
      <c r="V897" s="243"/>
      <c r="W897" s="243"/>
    </row>
    <row r="898">
      <c r="A898" s="34"/>
      <c r="B898" s="15"/>
      <c r="C898" s="15"/>
      <c r="D898" s="15"/>
      <c r="E898" s="17"/>
      <c r="F898" s="15"/>
      <c r="G898" s="250"/>
      <c r="H898" s="243"/>
      <c r="I898" s="243"/>
      <c r="J898" s="243"/>
      <c r="K898" s="85"/>
      <c r="L898" s="85"/>
      <c r="M898" s="85"/>
      <c r="N898" s="85"/>
      <c r="O898" s="29"/>
      <c r="P898" s="307"/>
      <c r="Q898" s="15"/>
      <c r="R898" s="15"/>
      <c r="S898" s="15"/>
      <c r="T898" s="15"/>
      <c r="U898" s="243"/>
      <c r="V898" s="243"/>
      <c r="W898" s="243"/>
    </row>
    <row r="899">
      <c r="A899" s="34"/>
      <c r="B899" s="15"/>
      <c r="C899" s="15"/>
      <c r="D899" s="15"/>
      <c r="E899" s="17"/>
      <c r="F899" s="15"/>
      <c r="G899" s="250"/>
      <c r="H899" s="243"/>
      <c r="I899" s="243"/>
      <c r="J899" s="243"/>
      <c r="K899" s="85"/>
      <c r="L899" s="85"/>
      <c r="M899" s="85"/>
      <c r="N899" s="85"/>
      <c r="O899" s="29"/>
      <c r="P899" s="307"/>
      <c r="Q899" s="15"/>
      <c r="R899" s="15"/>
      <c r="S899" s="15"/>
      <c r="T899" s="15"/>
      <c r="U899" s="243"/>
      <c r="V899" s="243"/>
      <c r="W899" s="243"/>
    </row>
    <row r="900">
      <c r="A900" s="34"/>
      <c r="B900" s="15"/>
      <c r="C900" s="15"/>
      <c r="D900" s="15"/>
      <c r="E900" s="17"/>
      <c r="F900" s="15"/>
      <c r="G900" s="250"/>
      <c r="H900" s="243"/>
      <c r="I900" s="243"/>
      <c r="J900" s="243"/>
      <c r="K900" s="85"/>
      <c r="L900" s="85"/>
      <c r="M900" s="85"/>
      <c r="N900" s="85"/>
      <c r="O900" s="29"/>
      <c r="P900" s="307"/>
      <c r="Q900" s="15"/>
      <c r="R900" s="15"/>
      <c r="S900" s="15"/>
      <c r="T900" s="15"/>
      <c r="U900" s="243"/>
      <c r="V900" s="243"/>
      <c r="W900" s="243"/>
    </row>
    <row r="901">
      <c r="A901" s="34"/>
      <c r="B901" s="15"/>
      <c r="C901" s="15"/>
      <c r="D901" s="15"/>
      <c r="E901" s="17"/>
      <c r="F901" s="15"/>
      <c r="G901" s="250"/>
      <c r="H901" s="243"/>
      <c r="I901" s="243"/>
      <c r="J901" s="243"/>
      <c r="K901" s="85"/>
      <c r="L901" s="85"/>
      <c r="M901" s="85"/>
      <c r="N901" s="85"/>
      <c r="O901" s="29"/>
      <c r="P901" s="307"/>
      <c r="Q901" s="15"/>
      <c r="R901" s="15"/>
      <c r="S901" s="15"/>
      <c r="T901" s="15"/>
      <c r="U901" s="243"/>
      <c r="V901" s="243"/>
      <c r="W901" s="243"/>
    </row>
    <row r="902">
      <c r="A902" s="34"/>
      <c r="B902" s="15"/>
      <c r="C902" s="15"/>
      <c r="D902" s="15"/>
      <c r="E902" s="17"/>
      <c r="F902" s="15"/>
      <c r="G902" s="250"/>
      <c r="H902" s="243"/>
      <c r="I902" s="243"/>
      <c r="J902" s="243"/>
      <c r="K902" s="85"/>
      <c r="L902" s="85"/>
      <c r="M902" s="85"/>
      <c r="N902" s="85"/>
      <c r="O902" s="29"/>
      <c r="P902" s="307"/>
      <c r="Q902" s="15"/>
      <c r="R902" s="15"/>
      <c r="S902" s="15"/>
      <c r="T902" s="15"/>
      <c r="U902" s="243"/>
      <c r="V902" s="243"/>
      <c r="W902" s="243"/>
    </row>
    <row r="903">
      <c r="A903" s="34"/>
      <c r="B903" s="15"/>
      <c r="C903" s="15"/>
      <c r="D903" s="15"/>
      <c r="E903" s="17"/>
      <c r="F903" s="15"/>
      <c r="G903" s="250"/>
      <c r="H903" s="243"/>
      <c r="I903" s="243"/>
      <c r="J903" s="243"/>
      <c r="K903" s="85"/>
      <c r="L903" s="85"/>
      <c r="M903" s="85"/>
      <c r="N903" s="85"/>
      <c r="O903" s="29"/>
      <c r="P903" s="307"/>
      <c r="Q903" s="15"/>
      <c r="R903" s="15"/>
      <c r="S903" s="15"/>
      <c r="T903" s="15"/>
      <c r="U903" s="243"/>
      <c r="V903" s="243"/>
      <c r="W903" s="243"/>
    </row>
    <row r="904">
      <c r="A904" s="34"/>
      <c r="B904" s="15"/>
      <c r="C904" s="15"/>
      <c r="D904" s="15"/>
      <c r="E904" s="17"/>
      <c r="F904" s="15"/>
      <c r="G904" s="250"/>
      <c r="H904" s="243"/>
      <c r="I904" s="243"/>
      <c r="J904" s="243"/>
      <c r="K904" s="85"/>
      <c r="L904" s="85"/>
      <c r="M904" s="85"/>
      <c r="N904" s="85"/>
      <c r="O904" s="29"/>
      <c r="P904" s="307"/>
      <c r="Q904" s="15"/>
      <c r="R904" s="15"/>
      <c r="S904" s="15"/>
      <c r="T904" s="15"/>
      <c r="U904" s="243"/>
      <c r="V904" s="243"/>
      <c r="W904" s="243"/>
    </row>
    <row r="905">
      <c r="A905" s="34"/>
      <c r="B905" s="15"/>
      <c r="C905" s="15"/>
      <c r="D905" s="15"/>
      <c r="E905" s="17"/>
      <c r="F905" s="15"/>
      <c r="G905" s="250"/>
      <c r="H905" s="243"/>
      <c r="I905" s="243"/>
      <c r="J905" s="243"/>
      <c r="K905" s="85"/>
      <c r="L905" s="85"/>
      <c r="M905" s="85"/>
      <c r="N905" s="85"/>
      <c r="O905" s="29"/>
      <c r="P905" s="307"/>
      <c r="Q905" s="15"/>
      <c r="R905" s="15"/>
      <c r="S905" s="15"/>
      <c r="T905" s="15"/>
      <c r="U905" s="243"/>
      <c r="V905" s="243"/>
      <c r="W905" s="243"/>
    </row>
    <row r="906">
      <c r="A906" s="34"/>
      <c r="B906" s="15"/>
      <c r="C906" s="15"/>
      <c r="D906" s="15"/>
      <c r="E906" s="17"/>
      <c r="F906" s="15"/>
      <c r="G906" s="250"/>
      <c r="H906" s="243"/>
      <c r="I906" s="243"/>
      <c r="J906" s="243"/>
      <c r="K906" s="85"/>
      <c r="L906" s="85"/>
      <c r="M906" s="85"/>
      <c r="N906" s="85"/>
      <c r="O906" s="29"/>
      <c r="P906" s="307"/>
      <c r="Q906" s="15"/>
      <c r="R906" s="15"/>
      <c r="S906" s="15"/>
      <c r="T906" s="15"/>
      <c r="U906" s="243"/>
      <c r="V906" s="243"/>
      <c r="W906" s="243"/>
    </row>
    <row r="907">
      <c r="A907" s="34"/>
      <c r="B907" s="15"/>
      <c r="C907" s="15"/>
      <c r="D907" s="15"/>
      <c r="E907" s="17"/>
      <c r="F907" s="15"/>
      <c r="G907" s="250"/>
      <c r="H907" s="243"/>
      <c r="I907" s="243"/>
      <c r="J907" s="243"/>
      <c r="K907" s="85"/>
      <c r="L907" s="85"/>
      <c r="M907" s="85"/>
      <c r="N907" s="85"/>
      <c r="O907" s="29"/>
      <c r="P907" s="307"/>
      <c r="Q907" s="15"/>
      <c r="R907" s="15"/>
      <c r="S907" s="15"/>
      <c r="T907" s="15"/>
      <c r="U907" s="243"/>
      <c r="V907" s="243"/>
      <c r="W907" s="243"/>
    </row>
    <row r="908">
      <c r="A908" s="34"/>
      <c r="B908" s="15"/>
      <c r="C908" s="15"/>
      <c r="D908" s="15"/>
      <c r="E908" s="17"/>
      <c r="F908" s="15"/>
      <c r="G908" s="250"/>
      <c r="H908" s="243"/>
      <c r="I908" s="243"/>
      <c r="J908" s="243"/>
      <c r="K908" s="85"/>
      <c r="L908" s="85"/>
      <c r="M908" s="85"/>
      <c r="N908" s="85"/>
      <c r="O908" s="29"/>
      <c r="P908" s="307"/>
      <c r="Q908" s="15"/>
      <c r="R908" s="15"/>
      <c r="S908" s="15"/>
      <c r="T908" s="15"/>
      <c r="U908" s="243"/>
      <c r="V908" s="243"/>
      <c r="W908" s="243"/>
    </row>
    <row r="909">
      <c r="A909" s="34"/>
      <c r="B909" s="15"/>
      <c r="C909" s="15"/>
      <c r="D909" s="15"/>
      <c r="E909" s="17"/>
      <c r="F909" s="15"/>
      <c r="G909" s="250"/>
      <c r="H909" s="243"/>
      <c r="I909" s="243"/>
      <c r="J909" s="243"/>
      <c r="K909" s="85"/>
      <c r="L909" s="85"/>
      <c r="M909" s="85"/>
      <c r="N909" s="85"/>
      <c r="O909" s="29"/>
      <c r="P909" s="307"/>
      <c r="Q909" s="15"/>
      <c r="R909" s="15"/>
      <c r="S909" s="15"/>
      <c r="T909" s="15"/>
      <c r="U909" s="243"/>
      <c r="V909" s="243"/>
      <c r="W909" s="243"/>
    </row>
    <row r="910">
      <c r="A910" s="34"/>
      <c r="B910" s="15"/>
      <c r="C910" s="15"/>
      <c r="D910" s="15"/>
      <c r="E910" s="17"/>
      <c r="F910" s="15"/>
      <c r="G910" s="250"/>
      <c r="H910" s="243"/>
      <c r="I910" s="243"/>
      <c r="J910" s="243"/>
      <c r="K910" s="85"/>
      <c r="L910" s="85"/>
      <c r="M910" s="85"/>
      <c r="N910" s="85"/>
      <c r="O910" s="29"/>
      <c r="P910" s="307"/>
      <c r="Q910" s="15"/>
      <c r="R910" s="15"/>
      <c r="S910" s="15"/>
      <c r="T910" s="15"/>
      <c r="U910" s="243"/>
      <c r="V910" s="243"/>
      <c r="W910" s="243"/>
    </row>
    <row r="911">
      <c r="A911" s="34"/>
      <c r="B911" s="15"/>
      <c r="C911" s="15"/>
      <c r="D911" s="15"/>
      <c r="E911" s="17"/>
      <c r="F911" s="15"/>
      <c r="G911" s="250"/>
      <c r="H911" s="243"/>
      <c r="I911" s="243"/>
      <c r="J911" s="243"/>
      <c r="K911" s="85"/>
      <c r="L911" s="85"/>
      <c r="M911" s="85"/>
      <c r="N911" s="85"/>
      <c r="O911" s="29"/>
      <c r="P911" s="307"/>
      <c r="Q911" s="15"/>
      <c r="R911" s="15"/>
      <c r="S911" s="15"/>
      <c r="T911" s="15"/>
      <c r="U911" s="243"/>
      <c r="V911" s="243"/>
      <c r="W911" s="243"/>
    </row>
    <row r="912">
      <c r="A912" s="34"/>
      <c r="B912" s="15"/>
      <c r="C912" s="15"/>
      <c r="D912" s="15"/>
      <c r="E912" s="17"/>
      <c r="F912" s="15"/>
      <c r="G912" s="250"/>
      <c r="H912" s="243"/>
      <c r="I912" s="243"/>
      <c r="J912" s="243"/>
      <c r="K912" s="85"/>
      <c r="L912" s="85"/>
      <c r="M912" s="85"/>
      <c r="N912" s="85"/>
      <c r="O912" s="29"/>
      <c r="P912" s="307"/>
      <c r="Q912" s="15"/>
      <c r="R912" s="15"/>
      <c r="S912" s="15"/>
      <c r="T912" s="15"/>
      <c r="U912" s="243"/>
      <c r="V912" s="243"/>
      <c r="W912" s="243"/>
    </row>
    <row r="913">
      <c r="A913" s="34"/>
      <c r="B913" s="15"/>
      <c r="C913" s="15"/>
      <c r="D913" s="15"/>
      <c r="E913" s="17"/>
      <c r="F913" s="15"/>
      <c r="G913" s="250"/>
      <c r="H913" s="243"/>
      <c r="I913" s="243"/>
      <c r="J913" s="243"/>
      <c r="K913" s="85"/>
      <c r="L913" s="85"/>
      <c r="M913" s="85"/>
      <c r="N913" s="85"/>
      <c r="O913" s="29"/>
      <c r="P913" s="307"/>
      <c r="Q913" s="15"/>
      <c r="R913" s="15"/>
      <c r="S913" s="15"/>
      <c r="T913" s="15"/>
      <c r="U913" s="243"/>
      <c r="V913" s="243"/>
      <c r="W913" s="243"/>
    </row>
    <row r="914">
      <c r="A914" s="34"/>
      <c r="B914" s="15"/>
      <c r="C914" s="15"/>
      <c r="D914" s="15"/>
      <c r="E914" s="17"/>
      <c r="F914" s="15"/>
      <c r="G914" s="250"/>
      <c r="H914" s="243"/>
      <c r="I914" s="243"/>
      <c r="J914" s="243"/>
      <c r="K914" s="85"/>
      <c r="L914" s="85"/>
      <c r="M914" s="85"/>
      <c r="N914" s="85"/>
      <c r="O914" s="29"/>
      <c r="P914" s="307"/>
      <c r="Q914" s="15"/>
      <c r="R914" s="15"/>
      <c r="S914" s="15"/>
      <c r="T914" s="15"/>
      <c r="U914" s="243"/>
      <c r="V914" s="243"/>
      <c r="W914" s="243"/>
    </row>
    <row r="915">
      <c r="A915" s="34"/>
      <c r="B915" s="15"/>
      <c r="C915" s="15"/>
      <c r="D915" s="15"/>
      <c r="E915" s="17"/>
      <c r="F915" s="15"/>
      <c r="G915" s="250"/>
      <c r="H915" s="243"/>
      <c r="I915" s="243"/>
      <c r="J915" s="243"/>
      <c r="K915" s="85"/>
      <c r="L915" s="85"/>
      <c r="M915" s="85"/>
      <c r="N915" s="85"/>
      <c r="O915" s="29"/>
      <c r="P915" s="307"/>
      <c r="Q915" s="15"/>
      <c r="R915" s="15"/>
      <c r="S915" s="15"/>
      <c r="T915" s="15"/>
      <c r="U915" s="243"/>
      <c r="V915" s="243"/>
      <c r="W915" s="243"/>
    </row>
    <row r="916">
      <c r="A916" s="34"/>
      <c r="B916" s="15"/>
      <c r="C916" s="15"/>
      <c r="D916" s="15"/>
      <c r="E916" s="17"/>
      <c r="F916" s="15"/>
      <c r="G916" s="250"/>
      <c r="H916" s="243"/>
      <c r="I916" s="243"/>
      <c r="J916" s="243"/>
      <c r="K916" s="85"/>
      <c r="L916" s="85"/>
      <c r="M916" s="85"/>
      <c r="N916" s="85"/>
      <c r="O916" s="29"/>
      <c r="P916" s="307"/>
      <c r="Q916" s="15"/>
      <c r="R916" s="15"/>
      <c r="S916" s="15"/>
      <c r="T916" s="15"/>
      <c r="U916" s="243"/>
      <c r="V916" s="243"/>
      <c r="W916" s="243"/>
    </row>
    <row r="917">
      <c r="A917" s="34"/>
      <c r="B917" s="15"/>
      <c r="C917" s="15"/>
      <c r="D917" s="15"/>
      <c r="E917" s="17"/>
      <c r="F917" s="15"/>
      <c r="G917" s="250"/>
      <c r="H917" s="243"/>
      <c r="I917" s="243"/>
      <c r="J917" s="243"/>
      <c r="K917" s="85"/>
      <c r="L917" s="85"/>
      <c r="M917" s="85"/>
      <c r="N917" s="85"/>
      <c r="O917" s="29"/>
      <c r="P917" s="307"/>
      <c r="Q917" s="15"/>
      <c r="R917" s="15"/>
      <c r="S917" s="15"/>
      <c r="T917" s="15"/>
      <c r="U917" s="243"/>
      <c r="V917" s="243"/>
      <c r="W917" s="243"/>
    </row>
    <row r="918">
      <c r="A918" s="34"/>
      <c r="B918" s="15"/>
      <c r="C918" s="15"/>
      <c r="D918" s="15"/>
      <c r="E918" s="17"/>
      <c r="F918" s="15"/>
      <c r="G918" s="250"/>
      <c r="H918" s="243"/>
      <c r="I918" s="243"/>
      <c r="J918" s="243"/>
      <c r="K918" s="85"/>
      <c r="L918" s="85"/>
      <c r="M918" s="85"/>
      <c r="N918" s="85"/>
      <c r="O918" s="29"/>
      <c r="P918" s="307"/>
      <c r="Q918" s="15"/>
      <c r="R918" s="15"/>
      <c r="S918" s="15"/>
      <c r="T918" s="15"/>
      <c r="U918" s="243"/>
      <c r="V918" s="243"/>
      <c r="W918" s="243"/>
    </row>
    <row r="919">
      <c r="A919" s="34"/>
      <c r="B919" s="15"/>
      <c r="C919" s="15"/>
      <c r="D919" s="15"/>
      <c r="E919" s="17"/>
      <c r="F919" s="15"/>
      <c r="G919" s="250"/>
      <c r="H919" s="243"/>
      <c r="I919" s="243"/>
      <c r="J919" s="243"/>
      <c r="K919" s="85"/>
      <c r="L919" s="85"/>
      <c r="M919" s="85"/>
      <c r="N919" s="85"/>
      <c r="O919" s="29"/>
      <c r="P919" s="307"/>
      <c r="Q919" s="15"/>
      <c r="R919" s="15"/>
      <c r="S919" s="15"/>
      <c r="T919" s="15"/>
      <c r="U919" s="243"/>
      <c r="V919" s="243"/>
      <c r="W919" s="243"/>
    </row>
    <row r="920">
      <c r="A920" s="34"/>
      <c r="B920" s="15"/>
      <c r="C920" s="15"/>
      <c r="D920" s="15"/>
      <c r="E920" s="17"/>
      <c r="F920" s="15"/>
      <c r="G920" s="250"/>
      <c r="H920" s="243"/>
      <c r="I920" s="243"/>
      <c r="J920" s="243"/>
      <c r="K920" s="85"/>
      <c r="L920" s="85"/>
      <c r="M920" s="85"/>
      <c r="N920" s="85"/>
      <c r="O920" s="29"/>
      <c r="P920" s="307"/>
      <c r="Q920" s="15"/>
      <c r="R920" s="15"/>
      <c r="S920" s="15"/>
      <c r="T920" s="15"/>
      <c r="U920" s="243"/>
      <c r="V920" s="243"/>
      <c r="W920" s="243"/>
    </row>
    <row r="921">
      <c r="A921" s="34"/>
      <c r="B921" s="15"/>
      <c r="C921" s="15"/>
      <c r="D921" s="15"/>
      <c r="E921" s="17"/>
      <c r="F921" s="15"/>
      <c r="G921" s="250"/>
      <c r="H921" s="243"/>
      <c r="I921" s="243"/>
      <c r="J921" s="243"/>
      <c r="K921" s="85"/>
      <c r="L921" s="85"/>
      <c r="M921" s="85"/>
      <c r="N921" s="85"/>
      <c r="O921" s="29"/>
      <c r="P921" s="307"/>
      <c r="Q921" s="15"/>
      <c r="R921" s="15"/>
      <c r="S921" s="15"/>
      <c r="T921" s="15"/>
      <c r="U921" s="243"/>
      <c r="V921" s="243"/>
      <c r="W921" s="243"/>
    </row>
    <row r="922">
      <c r="A922" s="34"/>
      <c r="B922" s="15"/>
      <c r="C922" s="15"/>
      <c r="D922" s="15"/>
      <c r="E922" s="17"/>
      <c r="F922" s="15"/>
      <c r="G922" s="250"/>
      <c r="H922" s="243"/>
      <c r="I922" s="243"/>
      <c r="J922" s="243"/>
      <c r="K922" s="85"/>
      <c r="L922" s="85"/>
      <c r="M922" s="85"/>
      <c r="N922" s="85"/>
      <c r="O922" s="29"/>
      <c r="P922" s="307"/>
      <c r="Q922" s="15"/>
      <c r="R922" s="15"/>
      <c r="S922" s="15"/>
      <c r="T922" s="15"/>
      <c r="U922" s="243"/>
      <c r="V922" s="243"/>
      <c r="W922" s="243"/>
    </row>
    <row r="923">
      <c r="A923" s="34"/>
      <c r="B923" s="15"/>
      <c r="C923" s="15"/>
      <c r="D923" s="15"/>
      <c r="E923" s="17"/>
      <c r="F923" s="15"/>
      <c r="G923" s="250"/>
      <c r="H923" s="243"/>
      <c r="I923" s="243"/>
      <c r="J923" s="243"/>
      <c r="K923" s="85"/>
      <c r="L923" s="85"/>
      <c r="M923" s="85"/>
      <c r="N923" s="85"/>
      <c r="O923" s="29"/>
      <c r="P923" s="307"/>
      <c r="Q923" s="15"/>
      <c r="R923" s="15"/>
      <c r="S923" s="15"/>
      <c r="T923" s="15"/>
      <c r="U923" s="243"/>
      <c r="V923" s="243"/>
      <c r="W923" s="243"/>
    </row>
    <row r="924">
      <c r="A924" s="34"/>
      <c r="B924" s="15"/>
      <c r="C924" s="15"/>
      <c r="D924" s="15"/>
      <c r="E924" s="17"/>
      <c r="F924" s="15"/>
      <c r="G924" s="250"/>
      <c r="H924" s="243"/>
      <c r="I924" s="243"/>
      <c r="J924" s="243"/>
      <c r="K924" s="85"/>
      <c r="L924" s="85"/>
      <c r="M924" s="85"/>
      <c r="N924" s="85"/>
      <c r="O924" s="29"/>
      <c r="P924" s="307"/>
      <c r="Q924" s="15"/>
      <c r="R924" s="15"/>
      <c r="S924" s="15"/>
      <c r="T924" s="15"/>
      <c r="U924" s="243"/>
      <c r="V924" s="243"/>
      <c r="W924" s="243"/>
    </row>
    <row r="925">
      <c r="A925" s="34"/>
      <c r="B925" s="15"/>
      <c r="C925" s="15"/>
      <c r="D925" s="15"/>
      <c r="E925" s="17"/>
      <c r="F925" s="15"/>
      <c r="G925" s="250"/>
      <c r="H925" s="243"/>
      <c r="I925" s="243"/>
      <c r="J925" s="243"/>
      <c r="K925" s="85"/>
      <c r="L925" s="85"/>
      <c r="M925" s="85"/>
      <c r="N925" s="85"/>
      <c r="O925" s="29"/>
      <c r="P925" s="307"/>
      <c r="Q925" s="15"/>
      <c r="R925" s="15"/>
      <c r="S925" s="15"/>
      <c r="T925" s="15"/>
      <c r="U925" s="243"/>
      <c r="V925" s="243"/>
      <c r="W925" s="243"/>
    </row>
    <row r="926">
      <c r="A926" s="34"/>
      <c r="B926" s="15"/>
      <c r="C926" s="15"/>
      <c r="D926" s="15"/>
      <c r="E926" s="17"/>
      <c r="F926" s="15"/>
      <c r="G926" s="250"/>
      <c r="H926" s="243"/>
      <c r="I926" s="243"/>
      <c r="J926" s="243"/>
      <c r="K926" s="85"/>
      <c r="L926" s="85"/>
      <c r="M926" s="85"/>
      <c r="N926" s="85"/>
      <c r="O926" s="29"/>
      <c r="P926" s="307"/>
      <c r="Q926" s="15"/>
      <c r="R926" s="15"/>
      <c r="S926" s="15"/>
      <c r="T926" s="15"/>
      <c r="U926" s="243"/>
      <c r="V926" s="243"/>
      <c r="W926" s="243"/>
    </row>
    <row r="927">
      <c r="A927" s="34"/>
      <c r="B927" s="15"/>
      <c r="C927" s="15"/>
      <c r="D927" s="15"/>
      <c r="E927" s="17"/>
      <c r="F927" s="15"/>
      <c r="G927" s="250"/>
      <c r="H927" s="243"/>
      <c r="I927" s="243"/>
      <c r="J927" s="243"/>
      <c r="K927" s="85"/>
      <c r="L927" s="85"/>
      <c r="M927" s="85"/>
      <c r="N927" s="85"/>
      <c r="O927" s="29"/>
      <c r="P927" s="307"/>
      <c r="Q927" s="15"/>
      <c r="R927" s="15"/>
      <c r="S927" s="15"/>
      <c r="T927" s="15"/>
      <c r="U927" s="243"/>
      <c r="V927" s="243"/>
      <c r="W927" s="243"/>
    </row>
    <row r="928">
      <c r="A928" s="34"/>
      <c r="B928" s="15"/>
      <c r="C928" s="15"/>
      <c r="D928" s="15"/>
      <c r="E928" s="17"/>
      <c r="F928" s="15"/>
      <c r="G928" s="250"/>
      <c r="H928" s="243"/>
      <c r="I928" s="243"/>
      <c r="J928" s="243"/>
      <c r="K928" s="85"/>
      <c r="L928" s="85"/>
      <c r="M928" s="85"/>
      <c r="N928" s="85"/>
      <c r="O928" s="29"/>
      <c r="P928" s="307"/>
      <c r="Q928" s="15"/>
      <c r="R928" s="15"/>
      <c r="S928" s="15"/>
      <c r="T928" s="15"/>
      <c r="U928" s="243"/>
      <c r="V928" s="243"/>
      <c r="W928" s="243"/>
    </row>
    <row r="929">
      <c r="A929" s="34"/>
      <c r="B929" s="15"/>
      <c r="C929" s="15"/>
      <c r="D929" s="15"/>
      <c r="E929" s="17"/>
      <c r="F929" s="15"/>
      <c r="G929" s="250"/>
      <c r="H929" s="243"/>
      <c r="I929" s="243"/>
      <c r="J929" s="243"/>
      <c r="K929" s="85"/>
      <c r="L929" s="85"/>
      <c r="M929" s="85"/>
      <c r="N929" s="85"/>
      <c r="O929" s="29"/>
      <c r="P929" s="307"/>
      <c r="Q929" s="15"/>
      <c r="R929" s="15"/>
      <c r="S929" s="15"/>
      <c r="T929" s="15"/>
      <c r="U929" s="243"/>
      <c r="V929" s="243"/>
      <c r="W929" s="243"/>
    </row>
    <row r="930">
      <c r="A930" s="34"/>
      <c r="B930" s="15"/>
      <c r="C930" s="15"/>
      <c r="D930" s="15"/>
      <c r="E930" s="17"/>
      <c r="F930" s="15"/>
      <c r="G930" s="250"/>
      <c r="H930" s="243"/>
      <c r="I930" s="243"/>
      <c r="J930" s="243"/>
      <c r="K930" s="85"/>
      <c r="L930" s="85"/>
      <c r="M930" s="85"/>
      <c r="N930" s="85"/>
      <c r="O930" s="29"/>
      <c r="P930" s="307"/>
      <c r="Q930" s="15"/>
      <c r="R930" s="15"/>
      <c r="S930" s="15"/>
      <c r="T930" s="15"/>
      <c r="U930" s="243"/>
      <c r="V930" s="243"/>
      <c r="W930" s="243"/>
    </row>
    <row r="931">
      <c r="A931" s="34"/>
      <c r="B931" s="15"/>
      <c r="C931" s="15"/>
      <c r="D931" s="15"/>
      <c r="E931" s="17"/>
      <c r="F931" s="15"/>
      <c r="G931" s="250"/>
      <c r="H931" s="243"/>
      <c r="I931" s="243"/>
      <c r="J931" s="243"/>
      <c r="K931" s="85"/>
      <c r="L931" s="85"/>
      <c r="M931" s="85"/>
      <c r="N931" s="85"/>
      <c r="O931" s="29"/>
      <c r="P931" s="307"/>
      <c r="Q931" s="15"/>
      <c r="R931" s="15"/>
      <c r="S931" s="15"/>
      <c r="T931" s="15"/>
      <c r="U931" s="243"/>
      <c r="V931" s="243"/>
      <c r="W931" s="243"/>
    </row>
    <row r="932">
      <c r="A932" s="34"/>
      <c r="B932" s="15"/>
      <c r="C932" s="15"/>
      <c r="D932" s="15"/>
      <c r="E932" s="17"/>
      <c r="F932" s="15"/>
      <c r="G932" s="250"/>
      <c r="H932" s="243"/>
      <c r="I932" s="243"/>
      <c r="J932" s="243"/>
      <c r="K932" s="85"/>
      <c r="L932" s="85"/>
      <c r="M932" s="85"/>
      <c r="N932" s="85"/>
      <c r="O932" s="29"/>
      <c r="P932" s="307"/>
      <c r="Q932" s="15"/>
      <c r="R932" s="15"/>
      <c r="S932" s="15"/>
      <c r="T932" s="15"/>
      <c r="U932" s="243"/>
      <c r="V932" s="243"/>
      <c r="W932" s="243"/>
    </row>
    <row r="933">
      <c r="A933" s="34"/>
      <c r="B933" s="15"/>
      <c r="C933" s="15"/>
      <c r="D933" s="15"/>
      <c r="E933" s="17"/>
      <c r="F933" s="15"/>
      <c r="G933" s="250"/>
      <c r="H933" s="243"/>
      <c r="I933" s="243"/>
      <c r="J933" s="243"/>
      <c r="K933" s="85"/>
      <c r="L933" s="85"/>
      <c r="M933" s="85"/>
      <c r="N933" s="85"/>
      <c r="O933" s="29"/>
      <c r="P933" s="307"/>
      <c r="Q933" s="15"/>
      <c r="R933" s="15"/>
      <c r="S933" s="15"/>
      <c r="T933" s="15"/>
      <c r="U933" s="243"/>
      <c r="V933" s="243"/>
      <c r="W933" s="243"/>
    </row>
    <row r="934">
      <c r="A934" s="34"/>
      <c r="B934" s="15"/>
      <c r="C934" s="15"/>
      <c r="D934" s="15"/>
      <c r="E934" s="17"/>
      <c r="F934" s="15"/>
      <c r="G934" s="250"/>
      <c r="H934" s="243"/>
      <c r="I934" s="243"/>
      <c r="J934" s="243"/>
      <c r="K934" s="85"/>
      <c r="L934" s="85"/>
      <c r="M934" s="85"/>
      <c r="N934" s="85"/>
      <c r="O934" s="29"/>
      <c r="P934" s="307"/>
      <c r="Q934" s="15"/>
      <c r="R934" s="15"/>
      <c r="S934" s="15"/>
      <c r="T934" s="15"/>
      <c r="U934" s="243"/>
      <c r="V934" s="243"/>
      <c r="W934" s="243"/>
    </row>
    <row r="935">
      <c r="A935" s="34"/>
      <c r="B935" s="15"/>
      <c r="C935" s="15"/>
      <c r="D935" s="15"/>
      <c r="E935" s="17"/>
      <c r="F935" s="15"/>
      <c r="G935" s="250"/>
      <c r="H935" s="243"/>
      <c r="I935" s="243"/>
      <c r="J935" s="243"/>
      <c r="K935" s="85"/>
      <c r="L935" s="85"/>
      <c r="M935" s="85"/>
      <c r="N935" s="85"/>
      <c r="O935" s="29"/>
      <c r="P935" s="307"/>
      <c r="Q935" s="15"/>
      <c r="R935" s="15"/>
      <c r="S935" s="15"/>
      <c r="T935" s="15"/>
      <c r="U935" s="243"/>
      <c r="V935" s="243"/>
      <c r="W935" s="243"/>
    </row>
    <row r="936">
      <c r="A936" s="34"/>
      <c r="B936" s="15"/>
      <c r="C936" s="15"/>
      <c r="D936" s="15"/>
      <c r="E936" s="17"/>
      <c r="F936" s="15"/>
      <c r="G936" s="250"/>
      <c r="H936" s="243"/>
      <c r="I936" s="243"/>
      <c r="J936" s="243"/>
      <c r="K936" s="85"/>
      <c r="L936" s="85"/>
      <c r="M936" s="85"/>
      <c r="N936" s="85"/>
      <c r="O936" s="29"/>
      <c r="P936" s="307"/>
      <c r="Q936" s="15"/>
      <c r="R936" s="15"/>
      <c r="S936" s="15"/>
      <c r="T936" s="15"/>
      <c r="U936" s="243"/>
      <c r="V936" s="243"/>
      <c r="W936" s="243"/>
    </row>
    <row r="937">
      <c r="A937" s="34"/>
      <c r="B937" s="15"/>
      <c r="C937" s="15"/>
      <c r="D937" s="15"/>
      <c r="E937" s="17"/>
      <c r="F937" s="15"/>
      <c r="G937" s="250"/>
      <c r="H937" s="243"/>
      <c r="I937" s="243"/>
      <c r="J937" s="243"/>
      <c r="K937" s="85"/>
      <c r="L937" s="85"/>
      <c r="M937" s="85"/>
      <c r="N937" s="85"/>
      <c r="O937" s="29"/>
      <c r="P937" s="307"/>
      <c r="Q937" s="15"/>
      <c r="R937" s="15"/>
      <c r="S937" s="15"/>
      <c r="T937" s="15"/>
      <c r="U937" s="243"/>
      <c r="V937" s="243"/>
      <c r="W937" s="243"/>
    </row>
    <row r="938">
      <c r="A938" s="34"/>
      <c r="B938" s="15"/>
      <c r="C938" s="15"/>
      <c r="D938" s="15"/>
      <c r="E938" s="17"/>
      <c r="F938" s="15"/>
      <c r="G938" s="250"/>
      <c r="H938" s="243"/>
      <c r="I938" s="243"/>
      <c r="J938" s="243"/>
      <c r="K938" s="85"/>
      <c r="L938" s="85"/>
      <c r="M938" s="85"/>
      <c r="N938" s="85"/>
      <c r="O938" s="29"/>
      <c r="P938" s="307"/>
      <c r="Q938" s="15"/>
      <c r="R938" s="15"/>
      <c r="S938" s="15"/>
      <c r="T938" s="15"/>
      <c r="U938" s="243"/>
      <c r="V938" s="243"/>
      <c r="W938" s="243"/>
    </row>
    <row r="939">
      <c r="A939" s="34"/>
      <c r="B939" s="15"/>
      <c r="C939" s="15"/>
      <c r="D939" s="15"/>
      <c r="E939" s="17"/>
      <c r="F939" s="15"/>
      <c r="G939" s="250"/>
      <c r="H939" s="243"/>
      <c r="I939" s="243"/>
      <c r="J939" s="243"/>
      <c r="K939" s="85"/>
      <c r="L939" s="85"/>
      <c r="M939" s="85"/>
      <c r="N939" s="85"/>
      <c r="O939" s="29"/>
      <c r="P939" s="307"/>
      <c r="Q939" s="15"/>
      <c r="R939" s="15"/>
      <c r="S939" s="15"/>
      <c r="T939" s="15"/>
      <c r="U939" s="243"/>
      <c r="V939" s="243"/>
      <c r="W939" s="243"/>
    </row>
    <row r="940">
      <c r="A940" s="34"/>
      <c r="B940" s="15"/>
      <c r="C940" s="15"/>
      <c r="D940" s="15"/>
      <c r="E940" s="17"/>
      <c r="F940" s="15"/>
      <c r="G940" s="250"/>
      <c r="H940" s="243"/>
      <c r="I940" s="243"/>
      <c r="J940" s="243"/>
      <c r="K940" s="85"/>
      <c r="L940" s="85"/>
      <c r="M940" s="85"/>
      <c r="N940" s="85"/>
      <c r="O940" s="29"/>
      <c r="P940" s="307"/>
      <c r="Q940" s="15"/>
      <c r="R940" s="15"/>
      <c r="S940" s="15"/>
      <c r="T940" s="15"/>
      <c r="U940" s="243"/>
      <c r="V940" s="243"/>
      <c r="W940" s="243"/>
    </row>
    <row r="941">
      <c r="A941" s="34"/>
      <c r="B941" s="15"/>
      <c r="C941" s="15"/>
      <c r="D941" s="15"/>
      <c r="E941" s="17"/>
      <c r="F941" s="15"/>
      <c r="G941" s="250"/>
      <c r="H941" s="243"/>
      <c r="I941" s="243"/>
      <c r="J941" s="243"/>
      <c r="K941" s="85"/>
      <c r="L941" s="85"/>
      <c r="M941" s="85"/>
      <c r="N941" s="85"/>
      <c r="O941" s="29"/>
      <c r="P941" s="307"/>
      <c r="Q941" s="15"/>
      <c r="R941" s="15"/>
      <c r="S941" s="15"/>
      <c r="T941" s="15"/>
      <c r="U941" s="243"/>
      <c r="V941" s="243"/>
      <c r="W941" s="243"/>
    </row>
    <row r="942">
      <c r="A942" s="34"/>
      <c r="B942" s="15"/>
      <c r="C942" s="15"/>
      <c r="D942" s="15"/>
      <c r="E942" s="17"/>
      <c r="F942" s="15"/>
      <c r="G942" s="250"/>
      <c r="H942" s="243"/>
      <c r="I942" s="243"/>
      <c r="J942" s="243"/>
      <c r="K942" s="85"/>
      <c r="L942" s="85"/>
      <c r="M942" s="85"/>
      <c r="N942" s="85"/>
      <c r="O942" s="29"/>
      <c r="P942" s="307"/>
      <c r="Q942" s="15"/>
      <c r="R942" s="15"/>
      <c r="S942" s="15"/>
      <c r="T942" s="15"/>
      <c r="U942" s="243"/>
      <c r="V942" s="243"/>
      <c r="W942" s="243"/>
    </row>
    <row r="943">
      <c r="A943" s="34"/>
      <c r="B943" s="15"/>
      <c r="C943" s="15"/>
      <c r="D943" s="15"/>
      <c r="E943" s="17"/>
      <c r="F943" s="15"/>
      <c r="G943" s="250"/>
      <c r="H943" s="243"/>
      <c r="I943" s="243"/>
      <c r="J943" s="243"/>
      <c r="K943" s="85"/>
      <c r="L943" s="85"/>
      <c r="M943" s="85"/>
      <c r="N943" s="85"/>
      <c r="O943" s="29"/>
      <c r="P943" s="307"/>
      <c r="Q943" s="15"/>
      <c r="R943" s="15"/>
      <c r="S943" s="15"/>
      <c r="T943" s="15"/>
      <c r="U943" s="243"/>
      <c r="V943" s="243"/>
      <c r="W943" s="243"/>
    </row>
    <row r="944">
      <c r="A944" s="34"/>
      <c r="B944" s="15"/>
      <c r="C944" s="15"/>
      <c r="D944" s="15"/>
      <c r="E944" s="17"/>
      <c r="F944" s="15"/>
      <c r="G944" s="250"/>
      <c r="H944" s="243"/>
      <c r="I944" s="243"/>
      <c r="J944" s="243"/>
      <c r="K944" s="85"/>
      <c r="L944" s="85"/>
      <c r="M944" s="85"/>
      <c r="N944" s="85"/>
      <c r="O944" s="29"/>
      <c r="P944" s="307"/>
      <c r="Q944" s="15"/>
      <c r="R944" s="15"/>
      <c r="S944" s="15"/>
      <c r="T944" s="15"/>
      <c r="U944" s="243"/>
      <c r="V944" s="243"/>
      <c r="W944" s="243"/>
    </row>
    <row r="945">
      <c r="A945" s="34"/>
      <c r="B945" s="15"/>
      <c r="C945" s="15"/>
      <c r="D945" s="15"/>
      <c r="E945" s="17"/>
      <c r="F945" s="15"/>
      <c r="G945" s="250"/>
      <c r="H945" s="243"/>
      <c r="I945" s="243"/>
      <c r="J945" s="243"/>
      <c r="K945" s="85"/>
      <c r="L945" s="85"/>
      <c r="M945" s="85"/>
      <c r="N945" s="85"/>
      <c r="O945" s="29"/>
      <c r="P945" s="307"/>
      <c r="Q945" s="15"/>
      <c r="R945" s="15"/>
      <c r="S945" s="15"/>
      <c r="T945" s="15"/>
      <c r="U945" s="243"/>
      <c r="V945" s="243"/>
      <c r="W945" s="243"/>
    </row>
    <row r="946">
      <c r="A946" s="34"/>
      <c r="B946" s="15"/>
      <c r="C946" s="15"/>
      <c r="D946" s="15"/>
      <c r="E946" s="17"/>
      <c r="F946" s="15"/>
      <c r="G946" s="250"/>
      <c r="H946" s="243"/>
      <c r="I946" s="243"/>
      <c r="J946" s="243"/>
      <c r="K946" s="85"/>
      <c r="L946" s="85"/>
      <c r="M946" s="85"/>
      <c r="N946" s="85"/>
      <c r="O946" s="29"/>
      <c r="P946" s="307"/>
      <c r="Q946" s="15"/>
      <c r="R946" s="15"/>
      <c r="S946" s="15"/>
      <c r="T946" s="15"/>
      <c r="U946" s="243"/>
      <c r="V946" s="243"/>
      <c r="W946" s="243"/>
    </row>
    <row r="947">
      <c r="A947" s="34"/>
      <c r="B947" s="15"/>
      <c r="C947" s="15"/>
      <c r="D947" s="15"/>
      <c r="E947" s="17"/>
      <c r="F947" s="15"/>
      <c r="G947" s="250"/>
      <c r="H947" s="243"/>
      <c r="I947" s="243"/>
      <c r="J947" s="243"/>
      <c r="K947" s="85"/>
      <c r="L947" s="85"/>
      <c r="M947" s="85"/>
      <c r="N947" s="85"/>
      <c r="O947" s="29"/>
      <c r="P947" s="307"/>
      <c r="Q947" s="15"/>
      <c r="R947" s="15"/>
      <c r="S947" s="15"/>
      <c r="T947" s="15"/>
      <c r="U947" s="243"/>
      <c r="V947" s="243"/>
      <c r="W947" s="243"/>
    </row>
    <row r="948">
      <c r="A948" s="34"/>
      <c r="B948" s="15"/>
      <c r="C948" s="15"/>
      <c r="D948" s="15"/>
      <c r="E948" s="17"/>
      <c r="F948" s="15"/>
      <c r="G948" s="250"/>
      <c r="H948" s="243"/>
      <c r="I948" s="243"/>
      <c r="J948" s="243"/>
      <c r="K948" s="85"/>
      <c r="L948" s="85"/>
      <c r="M948" s="85"/>
      <c r="N948" s="85"/>
      <c r="O948" s="29"/>
      <c r="P948" s="307"/>
      <c r="Q948" s="15"/>
      <c r="R948" s="15"/>
      <c r="S948" s="15"/>
      <c r="T948" s="15"/>
      <c r="U948" s="243"/>
      <c r="V948" s="243"/>
      <c r="W948" s="243"/>
    </row>
    <row r="949">
      <c r="A949" s="34"/>
      <c r="B949" s="15"/>
      <c r="C949" s="15"/>
      <c r="D949" s="15"/>
      <c r="E949" s="17"/>
      <c r="F949" s="15"/>
      <c r="G949" s="250"/>
      <c r="H949" s="243"/>
      <c r="I949" s="243"/>
      <c r="J949" s="243"/>
      <c r="K949" s="85"/>
      <c r="L949" s="85"/>
      <c r="M949" s="85"/>
      <c r="N949" s="85"/>
      <c r="O949" s="29"/>
      <c r="P949" s="307"/>
      <c r="Q949" s="15"/>
      <c r="R949" s="15"/>
      <c r="S949" s="15"/>
      <c r="T949" s="15"/>
      <c r="U949" s="243"/>
      <c r="V949" s="243"/>
      <c r="W949" s="243"/>
    </row>
    <row r="950">
      <c r="A950" s="34"/>
      <c r="B950" s="15"/>
      <c r="C950" s="15"/>
      <c r="D950" s="15"/>
      <c r="E950" s="17"/>
      <c r="F950" s="15"/>
      <c r="G950" s="250"/>
      <c r="H950" s="243"/>
      <c r="I950" s="243"/>
      <c r="J950" s="243"/>
      <c r="K950" s="85"/>
      <c r="L950" s="85"/>
      <c r="M950" s="85"/>
      <c r="N950" s="85"/>
      <c r="O950" s="29"/>
      <c r="P950" s="307"/>
      <c r="Q950" s="15"/>
      <c r="R950" s="15"/>
      <c r="S950" s="15"/>
      <c r="T950" s="15"/>
      <c r="U950" s="243"/>
      <c r="V950" s="243"/>
      <c r="W950" s="243"/>
    </row>
    <row r="951">
      <c r="A951" s="34"/>
      <c r="B951" s="15"/>
      <c r="C951" s="15"/>
      <c r="D951" s="15"/>
      <c r="E951" s="17"/>
      <c r="F951" s="15"/>
      <c r="G951" s="250"/>
      <c r="H951" s="243"/>
      <c r="I951" s="243"/>
      <c r="J951" s="243"/>
      <c r="K951" s="85"/>
      <c r="L951" s="85"/>
      <c r="M951" s="85"/>
      <c r="N951" s="85"/>
      <c r="O951" s="29"/>
      <c r="P951" s="307"/>
      <c r="Q951" s="15"/>
      <c r="R951" s="15"/>
      <c r="S951" s="15"/>
      <c r="T951" s="15"/>
      <c r="U951" s="243"/>
      <c r="V951" s="243"/>
      <c r="W951" s="243"/>
    </row>
    <row r="952">
      <c r="A952" s="34"/>
      <c r="B952" s="15"/>
      <c r="C952" s="15"/>
      <c r="D952" s="15"/>
      <c r="E952" s="17"/>
      <c r="F952" s="15"/>
      <c r="G952" s="250"/>
      <c r="H952" s="243"/>
      <c r="I952" s="243"/>
      <c r="J952" s="243"/>
      <c r="K952" s="85"/>
      <c r="L952" s="85"/>
      <c r="M952" s="85"/>
      <c r="N952" s="85"/>
      <c r="O952" s="29"/>
      <c r="P952" s="307"/>
      <c r="Q952" s="15"/>
      <c r="R952" s="15"/>
      <c r="S952" s="15"/>
      <c r="T952" s="15"/>
      <c r="U952" s="243"/>
      <c r="V952" s="243"/>
      <c r="W952" s="243"/>
    </row>
    <row r="953">
      <c r="A953" s="34"/>
      <c r="B953" s="15"/>
      <c r="C953" s="15"/>
      <c r="D953" s="15"/>
      <c r="E953" s="17"/>
      <c r="F953" s="15"/>
      <c r="G953" s="250"/>
      <c r="H953" s="243"/>
      <c r="I953" s="243"/>
      <c r="J953" s="243"/>
      <c r="K953" s="85"/>
      <c r="L953" s="85"/>
      <c r="M953" s="85"/>
      <c r="N953" s="85"/>
      <c r="O953" s="29"/>
      <c r="P953" s="307"/>
      <c r="Q953" s="15"/>
      <c r="R953" s="15"/>
      <c r="S953" s="15"/>
      <c r="T953" s="15"/>
      <c r="U953" s="243"/>
      <c r="V953" s="243"/>
      <c r="W953" s="243"/>
    </row>
    <row r="954">
      <c r="A954" s="34"/>
      <c r="B954" s="15"/>
      <c r="C954" s="15"/>
      <c r="D954" s="15"/>
      <c r="E954" s="17"/>
      <c r="F954" s="15"/>
      <c r="G954" s="250"/>
      <c r="H954" s="243"/>
      <c r="I954" s="243"/>
      <c r="J954" s="243"/>
      <c r="K954" s="85"/>
      <c r="L954" s="85"/>
      <c r="M954" s="85"/>
      <c r="N954" s="85"/>
      <c r="O954" s="29"/>
      <c r="P954" s="307"/>
      <c r="Q954" s="15"/>
      <c r="R954" s="15"/>
      <c r="S954" s="15"/>
      <c r="T954" s="15"/>
      <c r="U954" s="243"/>
      <c r="V954" s="243"/>
      <c r="W954" s="243"/>
    </row>
    <row r="955">
      <c r="A955" s="34"/>
      <c r="B955" s="15"/>
      <c r="C955" s="15"/>
      <c r="D955" s="15"/>
      <c r="E955" s="17"/>
      <c r="F955" s="15"/>
      <c r="G955" s="250"/>
      <c r="H955" s="243"/>
      <c r="I955" s="243"/>
      <c r="J955" s="243"/>
      <c r="K955" s="85"/>
      <c r="L955" s="85"/>
      <c r="M955" s="85"/>
      <c r="N955" s="85"/>
      <c r="O955" s="29"/>
      <c r="P955" s="307"/>
      <c r="Q955" s="15"/>
      <c r="R955" s="15"/>
      <c r="S955" s="15"/>
      <c r="T955" s="15"/>
      <c r="U955" s="243"/>
      <c r="V955" s="243"/>
      <c r="W955" s="243"/>
    </row>
    <row r="956">
      <c r="A956" s="34"/>
      <c r="B956" s="15"/>
      <c r="C956" s="15"/>
      <c r="D956" s="15"/>
      <c r="E956" s="17"/>
      <c r="F956" s="15"/>
      <c r="G956" s="250"/>
      <c r="H956" s="243"/>
      <c r="I956" s="243"/>
      <c r="J956" s="243"/>
      <c r="K956" s="85"/>
      <c r="L956" s="85"/>
      <c r="M956" s="85"/>
      <c r="N956" s="85"/>
      <c r="O956" s="29"/>
      <c r="P956" s="307"/>
      <c r="Q956" s="15"/>
      <c r="R956" s="15"/>
      <c r="S956" s="15"/>
      <c r="T956" s="15"/>
      <c r="U956" s="243"/>
      <c r="V956" s="243"/>
      <c r="W956" s="243"/>
    </row>
    <row r="957">
      <c r="A957" s="34"/>
      <c r="B957" s="15"/>
      <c r="C957" s="15"/>
      <c r="D957" s="15"/>
      <c r="E957" s="17"/>
      <c r="F957" s="15"/>
      <c r="G957" s="250"/>
      <c r="H957" s="243"/>
      <c r="I957" s="243"/>
      <c r="J957" s="243"/>
      <c r="K957" s="85"/>
      <c r="L957" s="85"/>
      <c r="M957" s="85"/>
      <c r="N957" s="85"/>
      <c r="O957" s="29"/>
      <c r="P957" s="307"/>
      <c r="Q957" s="15"/>
      <c r="R957" s="15"/>
      <c r="S957" s="15"/>
      <c r="T957" s="15"/>
      <c r="U957" s="243"/>
      <c r="V957" s="243"/>
      <c r="W957" s="243"/>
    </row>
    <row r="958">
      <c r="A958" s="34"/>
      <c r="B958" s="15"/>
      <c r="C958" s="15"/>
      <c r="D958" s="15"/>
      <c r="E958" s="17"/>
      <c r="F958" s="15"/>
      <c r="G958" s="250"/>
      <c r="H958" s="243"/>
      <c r="I958" s="243"/>
      <c r="J958" s="243"/>
      <c r="K958" s="85"/>
      <c r="L958" s="85"/>
      <c r="M958" s="85"/>
      <c r="N958" s="85"/>
      <c r="O958" s="29"/>
      <c r="P958" s="307"/>
      <c r="Q958" s="15"/>
      <c r="R958" s="15"/>
      <c r="S958" s="15"/>
      <c r="T958" s="15"/>
      <c r="U958" s="243"/>
      <c r="V958" s="243"/>
      <c r="W958" s="243"/>
    </row>
    <row r="959">
      <c r="A959" s="34"/>
      <c r="B959" s="15"/>
      <c r="C959" s="15"/>
      <c r="D959" s="15"/>
      <c r="E959" s="17"/>
      <c r="F959" s="15"/>
      <c r="G959" s="250"/>
      <c r="H959" s="243"/>
      <c r="I959" s="243"/>
      <c r="J959" s="243"/>
      <c r="K959" s="85"/>
      <c r="L959" s="85"/>
      <c r="M959" s="85"/>
      <c r="N959" s="85"/>
      <c r="O959" s="29"/>
      <c r="P959" s="307"/>
      <c r="Q959" s="15"/>
      <c r="R959" s="15"/>
      <c r="S959" s="15"/>
      <c r="T959" s="15"/>
      <c r="U959" s="243"/>
      <c r="V959" s="243"/>
      <c r="W959" s="243"/>
    </row>
    <row r="960">
      <c r="A960" s="34"/>
      <c r="B960" s="15"/>
      <c r="C960" s="15"/>
      <c r="D960" s="15"/>
      <c r="E960" s="17"/>
      <c r="F960" s="15"/>
      <c r="G960" s="250"/>
      <c r="H960" s="243"/>
      <c r="I960" s="243"/>
      <c r="J960" s="243"/>
      <c r="K960" s="85"/>
      <c r="L960" s="85"/>
      <c r="M960" s="85"/>
      <c r="N960" s="85"/>
      <c r="O960" s="29"/>
      <c r="P960" s="307"/>
      <c r="Q960" s="15"/>
      <c r="R960" s="15"/>
      <c r="S960" s="15"/>
      <c r="T960" s="15"/>
      <c r="U960" s="243"/>
      <c r="V960" s="243"/>
      <c r="W960" s="243"/>
    </row>
    <row r="961">
      <c r="A961" s="34"/>
      <c r="B961" s="15"/>
      <c r="C961" s="15"/>
      <c r="D961" s="15"/>
      <c r="E961" s="17"/>
      <c r="F961" s="15"/>
      <c r="G961" s="250"/>
      <c r="H961" s="243"/>
      <c r="I961" s="243"/>
      <c r="J961" s="243"/>
      <c r="K961" s="85"/>
      <c r="L961" s="85"/>
      <c r="M961" s="85"/>
      <c r="N961" s="85"/>
      <c r="O961" s="29"/>
      <c r="P961" s="307"/>
      <c r="Q961" s="15"/>
      <c r="R961" s="15"/>
      <c r="S961" s="15"/>
      <c r="T961" s="15"/>
      <c r="U961" s="243"/>
      <c r="V961" s="243"/>
      <c r="W961" s="243"/>
    </row>
    <row r="962">
      <c r="A962" s="34"/>
      <c r="B962" s="15"/>
      <c r="C962" s="15"/>
      <c r="D962" s="15"/>
      <c r="E962" s="17"/>
      <c r="F962" s="15"/>
      <c r="G962" s="250"/>
      <c r="H962" s="243"/>
      <c r="I962" s="243"/>
      <c r="J962" s="243"/>
      <c r="K962" s="85"/>
      <c r="L962" s="85"/>
      <c r="M962" s="85"/>
      <c r="N962" s="85"/>
      <c r="O962" s="29"/>
      <c r="P962" s="307"/>
      <c r="Q962" s="15"/>
      <c r="R962" s="15"/>
      <c r="S962" s="15"/>
      <c r="T962" s="15"/>
      <c r="U962" s="243"/>
      <c r="V962" s="243"/>
      <c r="W962" s="243"/>
    </row>
    <row r="963">
      <c r="A963" s="34"/>
      <c r="B963" s="15"/>
      <c r="C963" s="15"/>
      <c r="D963" s="15"/>
      <c r="E963" s="17"/>
      <c r="F963" s="15"/>
      <c r="G963" s="250"/>
      <c r="H963" s="243"/>
      <c r="I963" s="243"/>
      <c r="J963" s="243"/>
      <c r="K963" s="85"/>
      <c r="L963" s="85"/>
      <c r="M963" s="85"/>
      <c r="N963" s="85"/>
      <c r="O963" s="29"/>
      <c r="P963" s="307"/>
      <c r="Q963" s="15"/>
      <c r="R963" s="15"/>
      <c r="S963" s="15"/>
      <c r="T963" s="15"/>
      <c r="U963" s="243"/>
      <c r="V963" s="243"/>
      <c r="W963" s="243"/>
    </row>
    <row r="964">
      <c r="A964" s="34"/>
      <c r="B964" s="15"/>
      <c r="C964" s="15"/>
      <c r="D964" s="15"/>
      <c r="E964" s="17"/>
      <c r="F964" s="15"/>
      <c r="G964" s="250"/>
      <c r="H964" s="243"/>
      <c r="I964" s="243"/>
      <c r="J964" s="243"/>
      <c r="K964" s="85"/>
      <c r="L964" s="85"/>
      <c r="M964" s="85"/>
      <c r="N964" s="85"/>
      <c r="O964" s="29"/>
      <c r="P964" s="307"/>
      <c r="Q964" s="15"/>
      <c r="R964" s="15"/>
      <c r="S964" s="15"/>
      <c r="T964" s="15"/>
      <c r="U964" s="243"/>
      <c r="V964" s="243"/>
      <c r="W964" s="243"/>
    </row>
    <row r="965">
      <c r="A965" s="34"/>
      <c r="B965" s="15"/>
      <c r="C965" s="15"/>
      <c r="D965" s="15"/>
      <c r="E965" s="17"/>
      <c r="F965" s="15"/>
      <c r="G965" s="250"/>
      <c r="H965" s="243"/>
      <c r="I965" s="243"/>
      <c r="J965" s="243"/>
      <c r="K965" s="85"/>
      <c r="L965" s="85"/>
      <c r="M965" s="85"/>
      <c r="N965" s="85"/>
      <c r="O965" s="29"/>
      <c r="P965" s="307"/>
      <c r="Q965" s="15"/>
      <c r="R965" s="15"/>
      <c r="S965" s="15"/>
      <c r="T965" s="15"/>
      <c r="U965" s="243"/>
      <c r="V965" s="243"/>
      <c r="W965" s="243"/>
    </row>
    <row r="966">
      <c r="A966" s="34"/>
      <c r="B966" s="15"/>
      <c r="C966" s="15"/>
      <c r="D966" s="15"/>
      <c r="E966" s="17"/>
      <c r="F966" s="15"/>
      <c r="G966" s="250"/>
      <c r="H966" s="243"/>
      <c r="I966" s="243"/>
      <c r="J966" s="243"/>
      <c r="K966" s="85"/>
      <c r="L966" s="85"/>
      <c r="M966" s="85"/>
      <c r="N966" s="85"/>
      <c r="O966" s="29"/>
      <c r="P966" s="307"/>
      <c r="Q966" s="15"/>
      <c r="R966" s="15"/>
      <c r="S966" s="15"/>
      <c r="T966" s="15"/>
      <c r="U966" s="243"/>
      <c r="V966" s="243"/>
      <c r="W966" s="243"/>
    </row>
    <row r="967">
      <c r="A967" s="34"/>
      <c r="B967" s="15"/>
      <c r="C967" s="15"/>
      <c r="D967" s="15"/>
      <c r="E967" s="17"/>
      <c r="F967" s="15"/>
      <c r="G967" s="250"/>
      <c r="H967" s="243"/>
      <c r="I967" s="243"/>
      <c r="J967" s="243"/>
      <c r="K967" s="85"/>
      <c r="L967" s="85"/>
      <c r="M967" s="85"/>
      <c r="N967" s="85"/>
      <c r="O967" s="29"/>
      <c r="P967" s="307"/>
      <c r="Q967" s="15"/>
      <c r="R967" s="15"/>
      <c r="S967" s="15"/>
      <c r="T967" s="15"/>
      <c r="U967" s="243"/>
      <c r="V967" s="243"/>
      <c r="W967" s="243"/>
    </row>
    <row r="968">
      <c r="A968" s="34"/>
      <c r="B968" s="15"/>
      <c r="C968" s="15"/>
      <c r="D968" s="15"/>
      <c r="E968" s="17"/>
      <c r="F968" s="15"/>
      <c r="G968" s="250"/>
      <c r="H968" s="243"/>
      <c r="I968" s="243"/>
      <c r="J968" s="243"/>
      <c r="K968" s="85"/>
      <c r="L968" s="85"/>
      <c r="M968" s="85"/>
      <c r="N968" s="85"/>
      <c r="O968" s="29"/>
      <c r="P968" s="307"/>
      <c r="Q968" s="15"/>
      <c r="R968" s="15"/>
      <c r="S968" s="15"/>
      <c r="T968" s="15"/>
      <c r="U968" s="243"/>
      <c r="V968" s="243"/>
      <c r="W968" s="243"/>
    </row>
    <row r="969">
      <c r="A969" s="34"/>
      <c r="B969" s="15"/>
      <c r="C969" s="15"/>
      <c r="D969" s="15"/>
      <c r="E969" s="17"/>
      <c r="F969" s="15"/>
      <c r="G969" s="250"/>
      <c r="H969" s="243"/>
      <c r="I969" s="243"/>
      <c r="J969" s="243"/>
      <c r="K969" s="85"/>
      <c r="L969" s="85"/>
      <c r="M969" s="85"/>
      <c r="N969" s="85"/>
      <c r="O969" s="29"/>
      <c r="P969" s="307"/>
      <c r="Q969" s="15"/>
      <c r="R969" s="15"/>
      <c r="S969" s="15"/>
      <c r="T969" s="15"/>
      <c r="U969" s="243"/>
      <c r="V969" s="243"/>
      <c r="W969" s="243"/>
    </row>
    <row r="970">
      <c r="A970" s="34"/>
      <c r="B970" s="15"/>
      <c r="C970" s="15"/>
      <c r="D970" s="15"/>
      <c r="E970" s="17"/>
      <c r="F970" s="15"/>
      <c r="G970" s="250"/>
      <c r="H970" s="243"/>
      <c r="I970" s="243"/>
      <c r="J970" s="243"/>
      <c r="K970" s="85"/>
      <c r="L970" s="85"/>
      <c r="M970" s="85"/>
      <c r="N970" s="85"/>
      <c r="O970" s="29"/>
      <c r="P970" s="307"/>
      <c r="Q970" s="15"/>
      <c r="R970" s="15"/>
      <c r="S970" s="15"/>
      <c r="T970" s="15"/>
      <c r="U970" s="243"/>
      <c r="V970" s="243"/>
      <c r="W970" s="243"/>
    </row>
    <row r="971">
      <c r="A971" s="34"/>
      <c r="B971" s="15"/>
      <c r="C971" s="15"/>
      <c r="D971" s="15"/>
      <c r="E971" s="17"/>
      <c r="F971" s="15"/>
      <c r="G971" s="250"/>
      <c r="H971" s="243"/>
      <c r="I971" s="243"/>
      <c r="J971" s="243"/>
      <c r="K971" s="85"/>
      <c r="L971" s="85"/>
      <c r="M971" s="85"/>
      <c r="N971" s="85"/>
      <c r="O971" s="29"/>
      <c r="P971" s="307"/>
      <c r="Q971" s="15"/>
      <c r="R971" s="15"/>
      <c r="S971" s="15"/>
      <c r="T971" s="15"/>
      <c r="U971" s="243"/>
      <c r="V971" s="243"/>
      <c r="W971" s="243"/>
    </row>
    <row r="972">
      <c r="A972" s="34"/>
      <c r="B972" s="15"/>
      <c r="C972" s="15"/>
      <c r="D972" s="15"/>
      <c r="E972" s="17"/>
      <c r="F972" s="15"/>
      <c r="G972" s="250"/>
      <c r="H972" s="243"/>
      <c r="I972" s="243"/>
      <c r="J972" s="243"/>
      <c r="K972" s="85"/>
      <c r="L972" s="85"/>
      <c r="M972" s="85"/>
      <c r="N972" s="85"/>
      <c r="O972" s="29"/>
      <c r="P972" s="307"/>
      <c r="Q972" s="15"/>
      <c r="R972" s="15"/>
      <c r="S972" s="15"/>
      <c r="T972" s="15"/>
      <c r="U972" s="243"/>
      <c r="V972" s="243"/>
      <c r="W972" s="243"/>
    </row>
    <row r="973">
      <c r="A973" s="34"/>
      <c r="B973" s="15"/>
      <c r="C973" s="15"/>
      <c r="D973" s="15"/>
      <c r="E973" s="17"/>
      <c r="F973" s="15"/>
      <c r="G973" s="250"/>
      <c r="H973" s="243"/>
      <c r="I973" s="243"/>
      <c r="J973" s="243"/>
      <c r="K973" s="85"/>
      <c r="L973" s="85"/>
      <c r="M973" s="85"/>
      <c r="N973" s="85"/>
      <c r="O973" s="29"/>
      <c r="P973" s="307"/>
      <c r="Q973" s="15"/>
      <c r="R973" s="15"/>
      <c r="S973" s="15"/>
      <c r="T973" s="15"/>
      <c r="U973" s="243"/>
      <c r="V973" s="243"/>
      <c r="W973" s="243"/>
    </row>
    <row r="974">
      <c r="A974" s="34"/>
      <c r="B974" s="15"/>
      <c r="C974" s="15"/>
      <c r="D974" s="15"/>
      <c r="E974" s="17"/>
      <c r="F974" s="15"/>
      <c r="G974" s="250"/>
      <c r="H974" s="243"/>
      <c r="I974" s="243"/>
      <c r="J974" s="243"/>
      <c r="K974" s="85"/>
      <c r="L974" s="85"/>
      <c r="M974" s="85"/>
      <c r="N974" s="85"/>
      <c r="O974" s="29"/>
      <c r="P974" s="307"/>
      <c r="Q974" s="15"/>
      <c r="R974" s="15"/>
      <c r="S974" s="15"/>
      <c r="T974" s="15"/>
      <c r="U974" s="243"/>
      <c r="V974" s="243"/>
      <c r="W974" s="243"/>
    </row>
    <row r="975">
      <c r="A975" s="34"/>
      <c r="B975" s="15"/>
      <c r="C975" s="15"/>
      <c r="D975" s="15"/>
      <c r="E975" s="17"/>
      <c r="F975" s="15"/>
      <c r="G975" s="250"/>
      <c r="H975" s="243"/>
      <c r="I975" s="243"/>
      <c r="J975" s="243"/>
      <c r="K975" s="85"/>
      <c r="L975" s="85"/>
      <c r="M975" s="85"/>
      <c r="N975" s="85"/>
      <c r="O975" s="29"/>
      <c r="P975" s="307"/>
      <c r="Q975" s="15"/>
      <c r="R975" s="15"/>
      <c r="S975" s="15"/>
      <c r="T975" s="15"/>
      <c r="U975" s="243"/>
      <c r="V975" s="243"/>
      <c r="W975" s="243"/>
    </row>
    <row r="976">
      <c r="A976" s="34"/>
      <c r="B976" s="15"/>
      <c r="C976" s="15"/>
      <c r="D976" s="15"/>
      <c r="E976" s="17"/>
      <c r="F976" s="15"/>
      <c r="G976" s="250"/>
      <c r="H976" s="243"/>
      <c r="I976" s="243"/>
      <c r="J976" s="243"/>
      <c r="K976" s="85"/>
      <c r="L976" s="85"/>
      <c r="M976" s="85"/>
      <c r="N976" s="85"/>
      <c r="O976" s="29"/>
      <c r="P976" s="307"/>
      <c r="Q976" s="15"/>
      <c r="R976" s="15"/>
      <c r="S976" s="15"/>
      <c r="T976" s="15"/>
      <c r="U976" s="243"/>
      <c r="V976" s="243"/>
      <c r="W976" s="243"/>
    </row>
    <row r="977">
      <c r="A977" s="34"/>
      <c r="B977" s="15"/>
      <c r="C977" s="15"/>
      <c r="D977" s="15"/>
      <c r="E977" s="17"/>
      <c r="F977" s="15"/>
      <c r="G977" s="250"/>
      <c r="H977" s="243"/>
      <c r="I977" s="243"/>
      <c r="J977" s="243"/>
      <c r="K977" s="85"/>
      <c r="L977" s="85"/>
      <c r="M977" s="85"/>
      <c r="N977" s="85"/>
      <c r="O977" s="29"/>
      <c r="P977" s="307"/>
      <c r="Q977" s="15"/>
      <c r="R977" s="15"/>
      <c r="S977" s="15"/>
      <c r="T977" s="15"/>
      <c r="U977" s="243"/>
      <c r="V977" s="243"/>
      <c r="W977" s="243"/>
    </row>
    <row r="978">
      <c r="A978" s="34"/>
      <c r="B978" s="15"/>
      <c r="C978" s="15"/>
      <c r="D978" s="15"/>
      <c r="E978" s="17"/>
      <c r="F978" s="15"/>
      <c r="G978" s="250"/>
      <c r="H978" s="243"/>
      <c r="I978" s="243"/>
      <c r="J978" s="243"/>
      <c r="K978" s="85"/>
      <c r="L978" s="85"/>
      <c r="M978" s="85"/>
      <c r="N978" s="85"/>
      <c r="O978" s="29"/>
      <c r="P978" s="307"/>
      <c r="Q978" s="15"/>
      <c r="R978" s="15"/>
      <c r="S978" s="15"/>
      <c r="T978" s="15"/>
      <c r="U978" s="243"/>
      <c r="V978" s="243"/>
      <c r="W978" s="243"/>
    </row>
    <row r="979">
      <c r="A979" s="34"/>
      <c r="B979" s="15"/>
      <c r="C979" s="15"/>
      <c r="D979" s="15"/>
      <c r="E979" s="17"/>
      <c r="F979" s="15"/>
      <c r="G979" s="250"/>
      <c r="H979" s="243"/>
      <c r="I979" s="243"/>
      <c r="J979" s="243"/>
      <c r="K979" s="85"/>
      <c r="L979" s="85"/>
      <c r="M979" s="85"/>
      <c r="N979" s="85"/>
      <c r="O979" s="29"/>
      <c r="P979" s="307"/>
      <c r="Q979" s="15"/>
      <c r="R979" s="15"/>
      <c r="S979" s="15"/>
      <c r="T979" s="15"/>
      <c r="U979" s="243"/>
      <c r="V979" s="243"/>
      <c r="W979" s="243"/>
    </row>
    <row r="980">
      <c r="A980" s="34"/>
      <c r="B980" s="15"/>
      <c r="C980" s="15"/>
      <c r="D980" s="15"/>
      <c r="E980" s="17"/>
      <c r="F980" s="15"/>
      <c r="G980" s="250"/>
      <c r="H980" s="243"/>
      <c r="I980" s="243"/>
      <c r="J980" s="243"/>
      <c r="K980" s="85"/>
      <c r="L980" s="85"/>
      <c r="M980" s="85"/>
      <c r="N980" s="85"/>
      <c r="O980" s="29"/>
      <c r="P980" s="307"/>
      <c r="Q980" s="15"/>
      <c r="R980" s="15"/>
      <c r="S980" s="15"/>
      <c r="T980" s="15"/>
      <c r="U980" s="243"/>
      <c r="V980" s="243"/>
      <c r="W980" s="243"/>
    </row>
    <row r="981">
      <c r="A981" s="34"/>
      <c r="B981" s="15"/>
      <c r="C981" s="15"/>
      <c r="D981" s="15"/>
      <c r="E981" s="17"/>
      <c r="F981" s="15"/>
      <c r="G981" s="250"/>
      <c r="H981" s="243"/>
      <c r="I981" s="243"/>
      <c r="J981" s="243"/>
      <c r="K981" s="85"/>
      <c r="L981" s="85"/>
      <c r="M981" s="85"/>
      <c r="N981" s="85"/>
      <c r="O981" s="29"/>
      <c r="P981" s="307"/>
      <c r="Q981" s="15"/>
      <c r="R981" s="15"/>
      <c r="S981" s="15"/>
      <c r="T981" s="15"/>
      <c r="U981" s="243"/>
      <c r="V981" s="243"/>
      <c r="W981" s="243"/>
    </row>
    <row r="982">
      <c r="A982" s="34"/>
      <c r="B982" s="15"/>
      <c r="C982" s="15"/>
      <c r="D982" s="15"/>
      <c r="E982" s="17"/>
      <c r="F982" s="15"/>
      <c r="G982" s="250"/>
      <c r="H982" s="243"/>
      <c r="I982" s="243"/>
      <c r="J982" s="243"/>
      <c r="K982" s="85"/>
      <c r="L982" s="85"/>
      <c r="M982" s="85"/>
      <c r="N982" s="85"/>
      <c r="O982" s="29"/>
      <c r="P982" s="307"/>
      <c r="Q982" s="15"/>
      <c r="R982" s="15"/>
      <c r="S982" s="15"/>
      <c r="T982" s="15"/>
      <c r="U982" s="243"/>
      <c r="V982" s="243"/>
      <c r="W982" s="243"/>
    </row>
    <row r="983">
      <c r="A983" s="34"/>
      <c r="B983" s="15"/>
      <c r="C983" s="15"/>
      <c r="D983" s="15"/>
      <c r="E983" s="17"/>
      <c r="F983" s="15"/>
      <c r="G983" s="250"/>
      <c r="H983" s="243"/>
      <c r="I983" s="243"/>
      <c r="J983" s="243"/>
      <c r="K983" s="85"/>
      <c r="L983" s="85"/>
      <c r="M983" s="85"/>
      <c r="N983" s="85"/>
      <c r="O983" s="29"/>
      <c r="P983" s="307"/>
      <c r="Q983" s="15"/>
      <c r="R983" s="15"/>
      <c r="S983" s="15"/>
      <c r="T983" s="15"/>
      <c r="U983" s="243"/>
      <c r="V983" s="243"/>
      <c r="W983" s="243"/>
    </row>
    <row r="984">
      <c r="A984" s="34"/>
      <c r="B984" s="15"/>
      <c r="C984" s="15"/>
      <c r="D984" s="15"/>
      <c r="E984" s="17"/>
      <c r="F984" s="15"/>
      <c r="G984" s="250"/>
      <c r="H984" s="243"/>
      <c r="I984" s="243"/>
      <c r="J984" s="243"/>
      <c r="K984" s="85"/>
      <c r="L984" s="85"/>
      <c r="M984" s="85"/>
      <c r="N984" s="85"/>
      <c r="O984" s="29"/>
      <c r="P984" s="307"/>
      <c r="Q984" s="15"/>
      <c r="R984" s="15"/>
      <c r="S984" s="15"/>
      <c r="T984" s="15"/>
      <c r="U984" s="243"/>
      <c r="V984" s="243"/>
      <c r="W984" s="243"/>
    </row>
    <row r="985">
      <c r="A985" s="34"/>
      <c r="B985" s="15"/>
      <c r="C985" s="15"/>
      <c r="D985" s="15"/>
      <c r="E985" s="17"/>
      <c r="F985" s="15"/>
      <c r="G985" s="250"/>
      <c r="H985" s="243"/>
      <c r="I985" s="243"/>
      <c r="J985" s="243"/>
      <c r="K985" s="85"/>
      <c r="L985" s="85"/>
      <c r="M985" s="85"/>
      <c r="N985" s="85"/>
      <c r="O985" s="29"/>
      <c r="P985" s="307"/>
      <c r="Q985" s="15"/>
      <c r="R985" s="15"/>
      <c r="S985" s="15"/>
      <c r="T985" s="15"/>
      <c r="U985" s="243"/>
      <c r="V985" s="243"/>
      <c r="W985" s="243"/>
    </row>
    <row r="986">
      <c r="A986" s="34"/>
      <c r="B986" s="15"/>
      <c r="C986" s="15"/>
      <c r="D986" s="15"/>
      <c r="E986" s="17"/>
      <c r="F986" s="15"/>
      <c r="G986" s="250"/>
      <c r="H986" s="243"/>
      <c r="I986" s="243"/>
      <c r="J986" s="243"/>
      <c r="K986" s="85"/>
      <c r="L986" s="85"/>
      <c r="M986" s="85"/>
      <c r="N986" s="85"/>
      <c r="O986" s="29"/>
      <c r="P986" s="307"/>
      <c r="Q986" s="15"/>
      <c r="R986" s="15"/>
      <c r="S986" s="15"/>
      <c r="T986" s="15"/>
      <c r="U986" s="243"/>
      <c r="V986" s="243"/>
      <c r="W986" s="243"/>
    </row>
  </sheetData>
  <mergeCells count="77">
    <mergeCell ref="B159:E159"/>
    <mergeCell ref="B161:F161"/>
    <mergeCell ref="B165:E165"/>
    <mergeCell ref="B167:F167"/>
    <mergeCell ref="B174:E174"/>
    <mergeCell ref="B176:F176"/>
    <mergeCell ref="B182:F182"/>
    <mergeCell ref="B180:E180"/>
    <mergeCell ref="B191:E191"/>
    <mergeCell ref="B193:F193"/>
    <mergeCell ref="B197:E197"/>
    <mergeCell ref="B199:F199"/>
    <mergeCell ref="B204:E204"/>
    <mergeCell ref="B206:F206"/>
    <mergeCell ref="B213:E213"/>
    <mergeCell ref="B215:F215"/>
    <mergeCell ref="B222:E222"/>
    <mergeCell ref="B224:F224"/>
    <mergeCell ref="B231:E231"/>
    <mergeCell ref="B233:F233"/>
    <mergeCell ref="B239:E239"/>
    <mergeCell ref="B241:F241"/>
    <mergeCell ref="B247:E247"/>
    <mergeCell ref="B249:F249"/>
    <mergeCell ref="B255:E255"/>
    <mergeCell ref="B257:F257"/>
    <mergeCell ref="B261:E261"/>
    <mergeCell ref="B263:F263"/>
    <mergeCell ref="I2:I3"/>
    <mergeCell ref="J2:J3"/>
    <mergeCell ref="B2:B3"/>
    <mergeCell ref="C2:C3"/>
    <mergeCell ref="D2:D3"/>
    <mergeCell ref="F2:F3"/>
    <mergeCell ref="G2:G3"/>
    <mergeCell ref="H2:H3"/>
    <mergeCell ref="B4:F4"/>
    <mergeCell ref="E2:E3"/>
    <mergeCell ref="B15:E15"/>
    <mergeCell ref="B17:F17"/>
    <mergeCell ref="B20:F20"/>
    <mergeCell ref="B30:E30"/>
    <mergeCell ref="B32:F32"/>
    <mergeCell ref="B38:E38"/>
    <mergeCell ref="B40:F40"/>
    <mergeCell ref="B47:E47"/>
    <mergeCell ref="B49:F49"/>
    <mergeCell ref="B53:E53"/>
    <mergeCell ref="B55:F55"/>
    <mergeCell ref="B58:F58"/>
    <mergeCell ref="B76:F76"/>
    <mergeCell ref="B74:E74"/>
    <mergeCell ref="B86:E86"/>
    <mergeCell ref="B88:F88"/>
    <mergeCell ref="B104:E104"/>
    <mergeCell ref="B106:F106"/>
    <mergeCell ref="B114:E114"/>
    <mergeCell ref="B116:F116"/>
    <mergeCell ref="B132:E132"/>
    <mergeCell ref="B134:F134"/>
    <mergeCell ref="B141:E141"/>
    <mergeCell ref="B143:F143"/>
    <mergeCell ref="B147:E147"/>
    <mergeCell ref="B149:F149"/>
    <mergeCell ref="B152:F152"/>
    <mergeCell ref="C292:D292"/>
    <mergeCell ref="C293:D293"/>
    <mergeCell ref="C294:D294"/>
    <mergeCell ref="C295:D295"/>
    <mergeCell ref="B296:E296"/>
    <mergeCell ref="B270:E270"/>
    <mergeCell ref="B272:F272"/>
    <mergeCell ref="B279:E279"/>
    <mergeCell ref="B281:F281"/>
    <mergeCell ref="B288:E288"/>
    <mergeCell ref="B290:F290"/>
    <mergeCell ref="C291:D291"/>
  </mergeCells>
  <printOptions horizontalCentered="1"/>
  <pageMargins bottom="0.75" footer="0.0" header="0.0" left="0.25" right="0.25" top="0.75"/>
  <pageSetup fitToHeight="0" paperSize="9" cellComments="atEnd"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
    <col customWidth="1" min="2" max="2" width="3.0"/>
    <col customWidth="1" min="3" max="3" width="8.13"/>
    <col customWidth="1" min="4" max="4" width="6.5"/>
    <col customWidth="1" min="5" max="5" width="6.38"/>
    <col customWidth="1" min="6" max="6" width="5.38"/>
    <col customWidth="1" min="7" max="7" width="7.75"/>
    <col customWidth="1" min="8" max="8" width="9.38"/>
    <col customWidth="1" min="9" max="9" width="7.88"/>
    <col customWidth="1" min="10" max="10" width="6.63"/>
    <col customWidth="1" min="11" max="11" width="10.88"/>
    <col customWidth="1" min="12" max="12" width="2.0"/>
    <col customWidth="1" min="13" max="13" width="3.13"/>
    <col customWidth="1" min="14" max="14" width="7.5"/>
    <col customWidth="1" min="15" max="15" width="6.5"/>
    <col customWidth="1" min="16" max="16" width="6.88"/>
    <col customWidth="1" min="17" max="17" width="5.75"/>
    <col customWidth="1" min="18" max="18" width="6.88"/>
    <col customWidth="1" min="19" max="19" width="9.13"/>
    <col customWidth="1" min="20" max="20" width="7.75"/>
    <col customWidth="1" min="21" max="21" width="6.63"/>
    <col customWidth="1" min="22" max="22" width="10.25"/>
  </cols>
  <sheetData>
    <row r="1" ht="9.75" customHeight="1">
      <c r="A1" s="340"/>
      <c r="B1" s="242"/>
      <c r="C1" s="242"/>
      <c r="D1" s="242"/>
      <c r="E1" s="242"/>
      <c r="F1" s="242"/>
      <c r="G1" s="243"/>
      <c r="H1" s="242"/>
      <c r="I1" s="244"/>
      <c r="J1" s="245"/>
      <c r="K1" s="245"/>
      <c r="L1" s="242"/>
      <c r="M1" s="242"/>
      <c r="N1" s="242"/>
      <c r="O1" s="242"/>
      <c r="P1" s="242"/>
      <c r="Q1" s="242"/>
      <c r="R1" s="242"/>
      <c r="S1" s="243"/>
      <c r="T1" s="280"/>
      <c r="U1" s="341"/>
      <c r="V1" s="13"/>
      <c r="W1" s="242"/>
      <c r="X1" s="242"/>
      <c r="Y1" s="242"/>
    </row>
    <row r="2" ht="36.75" customHeight="1">
      <c r="A2" s="324"/>
      <c r="B2" s="246" t="s">
        <v>0</v>
      </c>
      <c r="C2" s="33" t="s">
        <v>1502</v>
      </c>
      <c r="D2" s="342" t="s">
        <v>1503</v>
      </c>
      <c r="E2" s="33" t="s">
        <v>1504</v>
      </c>
      <c r="F2" s="33" t="s">
        <v>24</v>
      </c>
      <c r="G2" s="28" t="s">
        <v>18</v>
      </c>
      <c r="H2" s="247" t="str">
        <f>' CPVC PIPE'!F2</f>
        <v>MRP as on 1st May, 2024</v>
      </c>
      <c r="I2" s="343" t="s">
        <v>6</v>
      </c>
      <c r="J2" s="248" t="s">
        <v>26</v>
      </c>
      <c r="K2" s="38" t="s">
        <v>8</v>
      </c>
      <c r="L2" s="344"/>
      <c r="M2" s="246" t="s">
        <v>0</v>
      </c>
      <c r="N2" s="33" t="s">
        <v>1502</v>
      </c>
      <c r="O2" s="342" t="s">
        <v>1503</v>
      </c>
      <c r="P2" s="33" t="s">
        <v>1504</v>
      </c>
      <c r="Q2" s="33" t="s">
        <v>24</v>
      </c>
      <c r="R2" s="28" t="s">
        <v>18</v>
      </c>
      <c r="S2" s="36" t="str">
        <f>' CPVC PIPE'!F2</f>
        <v>MRP as on 1st May, 2024</v>
      </c>
      <c r="T2" s="343" t="s">
        <v>6</v>
      </c>
      <c r="U2" s="248" t="s">
        <v>26</v>
      </c>
      <c r="V2" s="38" t="s">
        <v>8</v>
      </c>
      <c r="W2" s="252"/>
      <c r="X2" s="252"/>
      <c r="Y2" s="252"/>
    </row>
    <row r="3" ht="28.5" customHeight="1">
      <c r="A3" s="345"/>
      <c r="B3" s="41"/>
      <c r="C3" s="41"/>
      <c r="D3" s="41"/>
      <c r="E3" s="41"/>
      <c r="F3" s="41"/>
      <c r="G3" s="41"/>
      <c r="H3" s="41"/>
      <c r="I3" s="41"/>
      <c r="J3" s="41"/>
      <c r="K3" s="41"/>
      <c r="L3" s="344"/>
      <c r="M3" s="41"/>
      <c r="N3" s="41"/>
      <c r="O3" s="41"/>
      <c r="P3" s="41"/>
      <c r="Q3" s="41"/>
      <c r="R3" s="41"/>
      <c r="S3" s="41"/>
      <c r="T3" s="41"/>
      <c r="U3" s="41"/>
      <c r="V3" s="41"/>
      <c r="W3" s="252"/>
      <c r="X3" s="252"/>
      <c r="Y3" s="252"/>
    </row>
    <row r="4" ht="27.0" customHeight="1">
      <c r="A4" s="340"/>
      <c r="B4" s="249" t="s">
        <v>1514</v>
      </c>
      <c r="C4" s="45"/>
      <c r="D4" s="45"/>
      <c r="E4" s="45"/>
      <c r="F4" s="45"/>
      <c r="G4" s="45"/>
      <c r="H4" s="46"/>
      <c r="I4" s="346"/>
      <c r="J4" s="347"/>
      <c r="K4" s="347"/>
      <c r="L4" s="242"/>
      <c r="M4" s="249" t="s">
        <v>1515</v>
      </c>
      <c r="N4" s="45"/>
      <c r="O4" s="45"/>
      <c r="P4" s="45"/>
      <c r="Q4" s="45"/>
      <c r="R4" s="45"/>
      <c r="S4" s="46"/>
      <c r="T4" s="280"/>
      <c r="U4" s="341"/>
      <c r="V4" s="13"/>
      <c r="W4" s="242"/>
      <c r="X4" s="242"/>
      <c r="Y4" s="242"/>
    </row>
    <row r="5">
      <c r="A5" s="67" t="str">
        <f t="shared" ref="A5:A14" si="1">$F$5&amp;C5&amp;E5</f>
        <v>753 MeterS/S</v>
      </c>
      <c r="B5" s="51">
        <v>1.0</v>
      </c>
      <c r="C5" s="348" t="s">
        <v>1518</v>
      </c>
      <c r="D5" s="349">
        <v>3.0</v>
      </c>
      <c r="E5" s="348" t="s">
        <v>1519</v>
      </c>
      <c r="F5" s="350">
        <v>75.0</v>
      </c>
      <c r="G5" s="129" t="s">
        <v>1521</v>
      </c>
      <c r="H5" s="56">
        <v>578.0</v>
      </c>
      <c r="I5" s="58">
        <v>2.2</v>
      </c>
      <c r="J5" s="59">
        <f t="shared" ref="J5:J44" si="2">IFERROR(H5/I5,"")</f>
        <v>262.7272727</v>
      </c>
      <c r="K5" s="318">
        <v>578.0</v>
      </c>
      <c r="L5" s="351"/>
      <c r="M5" s="51">
        <v>1.0</v>
      </c>
      <c r="N5" s="348" t="s">
        <v>1518</v>
      </c>
      <c r="O5" s="349">
        <v>3.0</v>
      </c>
      <c r="P5" s="348" t="s">
        <v>1519</v>
      </c>
      <c r="Q5" s="352">
        <v>75.0</v>
      </c>
      <c r="R5" s="53" t="s">
        <v>1522</v>
      </c>
      <c r="S5" s="56">
        <v>918.0</v>
      </c>
      <c r="T5" s="58">
        <v>3.4</v>
      </c>
      <c r="U5" s="59">
        <f t="shared" ref="U5:U44" si="3">IFERROR(S5/T5,"")</f>
        <v>270</v>
      </c>
      <c r="V5" s="318">
        <v>918.0</v>
      </c>
      <c r="W5" s="85"/>
      <c r="X5" s="16"/>
      <c r="Y5" s="16"/>
    </row>
    <row r="6">
      <c r="A6" s="67" t="str">
        <f t="shared" si="1"/>
        <v>753 MeterD/S</v>
      </c>
      <c r="B6" s="81">
        <v>2.0</v>
      </c>
      <c r="C6" s="353" t="s">
        <v>1518</v>
      </c>
      <c r="D6" s="349">
        <v>3.0</v>
      </c>
      <c r="E6" s="353" t="s">
        <v>1524</v>
      </c>
      <c r="F6" s="354"/>
      <c r="G6" s="94" t="s">
        <v>1525</v>
      </c>
      <c r="H6" s="61">
        <v>598.0</v>
      </c>
      <c r="I6" s="58">
        <v>2.2</v>
      </c>
      <c r="J6" s="59">
        <f t="shared" si="2"/>
        <v>271.8181818</v>
      </c>
      <c r="K6" s="318">
        <v>598.0</v>
      </c>
      <c r="L6" s="351"/>
      <c r="M6" s="81">
        <v>2.0</v>
      </c>
      <c r="N6" s="348" t="s">
        <v>1518</v>
      </c>
      <c r="O6" s="349">
        <v>3.0</v>
      </c>
      <c r="P6" s="353" t="s">
        <v>1524</v>
      </c>
      <c r="Q6" s="176"/>
      <c r="R6" s="355" t="s">
        <v>1526</v>
      </c>
      <c r="S6" s="61">
        <v>928.0</v>
      </c>
      <c r="T6" s="58">
        <v>3.4</v>
      </c>
      <c r="U6" s="59">
        <f t="shared" si="3"/>
        <v>272.9411765</v>
      </c>
      <c r="V6" s="318">
        <v>928.0</v>
      </c>
      <c r="W6" s="85"/>
      <c r="X6" s="16"/>
      <c r="Y6" s="16"/>
    </row>
    <row r="7">
      <c r="A7" s="67" t="str">
        <f t="shared" si="1"/>
        <v>756 MeterS/S</v>
      </c>
      <c r="B7" s="81">
        <v>3.0</v>
      </c>
      <c r="C7" s="353" t="s">
        <v>1528</v>
      </c>
      <c r="D7" s="349">
        <v>6.0</v>
      </c>
      <c r="E7" s="353" t="s">
        <v>1519</v>
      </c>
      <c r="F7" s="354"/>
      <c r="G7" s="94" t="s">
        <v>1529</v>
      </c>
      <c r="H7" s="61">
        <v>1196.0</v>
      </c>
      <c r="I7" s="58">
        <v>4.4</v>
      </c>
      <c r="J7" s="59">
        <f t="shared" si="2"/>
        <v>271.8181818</v>
      </c>
      <c r="K7" s="318">
        <v>1196.0</v>
      </c>
      <c r="L7" s="351"/>
      <c r="M7" s="81">
        <v>3.0</v>
      </c>
      <c r="N7" s="348" t="s">
        <v>1528</v>
      </c>
      <c r="O7" s="349">
        <v>6.0</v>
      </c>
      <c r="P7" s="353" t="s">
        <v>1519</v>
      </c>
      <c r="Q7" s="176"/>
      <c r="R7" s="53" t="s">
        <v>1530</v>
      </c>
      <c r="S7" s="61">
        <v>1836.0</v>
      </c>
      <c r="T7" s="58">
        <v>6.8</v>
      </c>
      <c r="U7" s="59">
        <f t="shared" si="3"/>
        <v>270</v>
      </c>
      <c r="V7" s="318">
        <v>1836.0</v>
      </c>
      <c r="W7" s="85"/>
      <c r="X7" s="16"/>
      <c r="Y7" s="16"/>
    </row>
    <row r="8">
      <c r="A8" s="67" t="str">
        <f t="shared" si="1"/>
        <v>756 MeterD/S</v>
      </c>
      <c r="B8" s="81">
        <v>4.0</v>
      </c>
      <c r="C8" s="353" t="s">
        <v>1528</v>
      </c>
      <c r="D8" s="349">
        <v>6.0</v>
      </c>
      <c r="E8" s="353" t="s">
        <v>1524</v>
      </c>
      <c r="F8" s="354"/>
      <c r="G8" s="94" t="s">
        <v>1531</v>
      </c>
      <c r="H8" s="61">
        <v>1209.0</v>
      </c>
      <c r="I8" s="58">
        <v>4.4</v>
      </c>
      <c r="J8" s="59">
        <f t="shared" si="2"/>
        <v>274.7727273</v>
      </c>
      <c r="K8" s="318">
        <v>1209.0</v>
      </c>
      <c r="L8" s="351"/>
      <c r="M8" s="81">
        <v>4.0</v>
      </c>
      <c r="N8" s="348" t="s">
        <v>1528</v>
      </c>
      <c r="O8" s="349">
        <v>6.0</v>
      </c>
      <c r="P8" s="353" t="s">
        <v>1524</v>
      </c>
      <c r="Q8" s="176"/>
      <c r="R8" s="355" t="s">
        <v>1532</v>
      </c>
      <c r="S8" s="61">
        <v>1846.0</v>
      </c>
      <c r="T8" s="58">
        <v>6.8</v>
      </c>
      <c r="U8" s="59">
        <f t="shared" si="3"/>
        <v>271.4705882</v>
      </c>
      <c r="V8" s="318">
        <v>1846.0</v>
      </c>
      <c r="W8" s="85"/>
      <c r="X8" s="16"/>
      <c r="Y8" s="16"/>
    </row>
    <row r="9">
      <c r="A9" s="67" t="str">
        <f t="shared" si="1"/>
        <v>752 FeetD/S</v>
      </c>
      <c r="B9" s="81">
        <v>5.0</v>
      </c>
      <c r="C9" s="353" t="s">
        <v>1533</v>
      </c>
      <c r="D9" s="349">
        <v>0.61</v>
      </c>
      <c r="E9" s="353" t="s">
        <v>1524</v>
      </c>
      <c r="F9" s="354"/>
      <c r="G9" s="129" t="s">
        <v>1535</v>
      </c>
      <c r="H9" s="61">
        <v>148.0</v>
      </c>
      <c r="I9" s="58">
        <v>0.44</v>
      </c>
      <c r="J9" s="59">
        <f t="shared" si="2"/>
        <v>336.3636364</v>
      </c>
      <c r="K9" s="318">
        <v>148.0</v>
      </c>
      <c r="L9" s="351"/>
      <c r="M9" s="81">
        <v>5.0</v>
      </c>
      <c r="N9" s="356" t="s">
        <v>1533</v>
      </c>
      <c r="O9" s="349">
        <v>0.61</v>
      </c>
      <c r="P9" s="353" t="s">
        <v>1524</v>
      </c>
      <c r="Q9" s="176"/>
      <c r="R9" s="355" t="s">
        <v>1536</v>
      </c>
      <c r="S9" s="61">
        <v>248.0</v>
      </c>
      <c r="T9" s="58">
        <v>0.685</v>
      </c>
      <c r="U9" s="59">
        <f t="shared" si="3"/>
        <v>362.0437956</v>
      </c>
      <c r="V9" s="318">
        <v>248.0</v>
      </c>
      <c r="W9" s="85"/>
      <c r="X9" s="16"/>
      <c r="Y9" s="16"/>
    </row>
    <row r="10">
      <c r="A10" s="67" t="str">
        <f t="shared" si="1"/>
        <v>753 FeetD/S</v>
      </c>
      <c r="B10" s="51">
        <v>6.0</v>
      </c>
      <c r="C10" s="353" t="s">
        <v>1537</v>
      </c>
      <c r="D10" s="349">
        <v>0.92</v>
      </c>
      <c r="E10" s="353" t="s">
        <v>1524</v>
      </c>
      <c r="F10" s="354"/>
      <c r="G10" s="129" t="s">
        <v>1538</v>
      </c>
      <c r="H10" s="61">
        <v>222.0</v>
      </c>
      <c r="I10" s="58">
        <v>0.68</v>
      </c>
      <c r="J10" s="59">
        <f t="shared" si="2"/>
        <v>326.4705882</v>
      </c>
      <c r="K10" s="318">
        <v>222.0</v>
      </c>
      <c r="L10" s="351"/>
      <c r="M10" s="51">
        <v>6.0</v>
      </c>
      <c r="N10" s="356" t="s">
        <v>1537</v>
      </c>
      <c r="O10" s="349">
        <v>0.92</v>
      </c>
      <c r="P10" s="353" t="s">
        <v>1524</v>
      </c>
      <c r="Q10" s="176"/>
      <c r="R10" s="355" t="s">
        <v>1540</v>
      </c>
      <c r="S10" s="61">
        <v>368.0</v>
      </c>
      <c r="T10" s="58">
        <v>1.03</v>
      </c>
      <c r="U10" s="59">
        <f t="shared" si="3"/>
        <v>357.2815534</v>
      </c>
      <c r="V10" s="318">
        <v>368.0</v>
      </c>
      <c r="W10" s="85"/>
      <c r="X10" s="16"/>
      <c r="Y10" s="16"/>
    </row>
    <row r="11">
      <c r="A11" s="67" t="str">
        <f t="shared" si="1"/>
        <v>754 FeetD/S</v>
      </c>
      <c r="B11" s="81">
        <v>7.0</v>
      </c>
      <c r="C11" s="353" t="s">
        <v>1541</v>
      </c>
      <c r="D11" s="349">
        <v>1.22</v>
      </c>
      <c r="E11" s="353" t="s">
        <v>1524</v>
      </c>
      <c r="F11" s="354"/>
      <c r="G11" s="129" t="s">
        <v>1542</v>
      </c>
      <c r="H11" s="61">
        <v>296.0</v>
      </c>
      <c r="I11" s="58">
        <v>0.9</v>
      </c>
      <c r="J11" s="59">
        <f t="shared" si="2"/>
        <v>328.8888889</v>
      </c>
      <c r="K11" s="318">
        <v>296.0</v>
      </c>
      <c r="L11" s="351"/>
      <c r="M11" s="81">
        <v>7.0</v>
      </c>
      <c r="N11" s="356" t="s">
        <v>1541</v>
      </c>
      <c r="O11" s="349">
        <v>1.22</v>
      </c>
      <c r="P11" s="353" t="s">
        <v>1524</v>
      </c>
      <c r="Q11" s="176"/>
      <c r="R11" s="355" t="s">
        <v>1543</v>
      </c>
      <c r="S11" s="61">
        <v>482.0</v>
      </c>
      <c r="T11" s="58">
        <v>1.37</v>
      </c>
      <c r="U11" s="59">
        <f t="shared" si="3"/>
        <v>351.8248175</v>
      </c>
      <c r="V11" s="318">
        <v>482.0</v>
      </c>
      <c r="W11" s="85"/>
      <c r="X11" s="16"/>
      <c r="Y11" s="16"/>
    </row>
    <row r="12">
      <c r="A12" s="67" t="str">
        <f t="shared" si="1"/>
        <v>756 FeetD/S</v>
      </c>
      <c r="B12" s="81">
        <v>8.0</v>
      </c>
      <c r="C12" s="353" t="s">
        <v>1544</v>
      </c>
      <c r="D12" s="349">
        <v>1.83</v>
      </c>
      <c r="E12" s="353" t="s">
        <v>1524</v>
      </c>
      <c r="F12" s="354"/>
      <c r="G12" s="129" t="s">
        <v>1545</v>
      </c>
      <c r="H12" s="61">
        <v>444.0</v>
      </c>
      <c r="I12" s="58">
        <v>1.33</v>
      </c>
      <c r="J12" s="59">
        <f t="shared" si="2"/>
        <v>333.8345865</v>
      </c>
      <c r="K12" s="318">
        <v>444.0</v>
      </c>
      <c r="L12" s="351"/>
      <c r="M12" s="81">
        <v>8.0</v>
      </c>
      <c r="N12" s="356" t="s">
        <v>1544</v>
      </c>
      <c r="O12" s="349">
        <v>1.83</v>
      </c>
      <c r="P12" s="353" t="s">
        <v>1524</v>
      </c>
      <c r="Q12" s="176"/>
      <c r="R12" s="355" t="s">
        <v>1546</v>
      </c>
      <c r="S12" s="61">
        <v>712.0</v>
      </c>
      <c r="T12" s="58">
        <v>2.055</v>
      </c>
      <c r="U12" s="59">
        <f t="shared" si="3"/>
        <v>346.4720195</v>
      </c>
      <c r="V12" s="318">
        <v>712.0</v>
      </c>
      <c r="W12" s="85"/>
      <c r="X12" s="16"/>
      <c r="Y12" s="16"/>
    </row>
    <row r="13">
      <c r="A13" s="67" t="str">
        <f t="shared" si="1"/>
        <v>756 FeetS/S</v>
      </c>
      <c r="B13" s="81">
        <v>9.0</v>
      </c>
      <c r="C13" s="353" t="s">
        <v>1544</v>
      </c>
      <c r="D13" s="349">
        <v>1.83</v>
      </c>
      <c r="E13" s="353" t="s">
        <v>1519</v>
      </c>
      <c r="F13" s="354"/>
      <c r="G13" s="129" t="s">
        <v>1547</v>
      </c>
      <c r="H13" s="61">
        <v>434.0</v>
      </c>
      <c r="I13" s="58">
        <v>1.33</v>
      </c>
      <c r="J13" s="59">
        <f t="shared" si="2"/>
        <v>326.3157895</v>
      </c>
      <c r="K13" s="318">
        <v>434.0</v>
      </c>
      <c r="L13" s="351"/>
      <c r="M13" s="81">
        <v>9.0</v>
      </c>
      <c r="N13" s="356" t="s">
        <v>1544</v>
      </c>
      <c r="O13" s="349">
        <v>1.83</v>
      </c>
      <c r="P13" s="353" t="s">
        <v>1519</v>
      </c>
      <c r="Q13" s="176"/>
      <c r="R13" s="355" t="s">
        <v>1548</v>
      </c>
      <c r="S13" s="61">
        <v>692.0</v>
      </c>
      <c r="T13" s="58">
        <v>2.055</v>
      </c>
      <c r="U13" s="59">
        <f t="shared" si="3"/>
        <v>336.7396594</v>
      </c>
      <c r="V13" s="318">
        <v>692.0</v>
      </c>
      <c r="W13" s="85"/>
      <c r="X13" s="16"/>
      <c r="Y13" s="16"/>
    </row>
    <row r="14">
      <c r="A14" s="67" t="str">
        <f t="shared" si="1"/>
        <v>754 FeetS/S</v>
      </c>
      <c r="B14" s="81">
        <v>10.0</v>
      </c>
      <c r="C14" s="353" t="s">
        <v>1541</v>
      </c>
      <c r="D14" s="349">
        <v>1.22</v>
      </c>
      <c r="E14" s="353" t="s">
        <v>1519</v>
      </c>
      <c r="F14" s="354"/>
      <c r="G14" s="129" t="s">
        <v>1550</v>
      </c>
      <c r="H14" s="61">
        <v>286.0</v>
      </c>
      <c r="I14" s="58">
        <v>0.9</v>
      </c>
      <c r="J14" s="59">
        <f t="shared" si="2"/>
        <v>317.7777778</v>
      </c>
      <c r="K14" s="318">
        <v>286.0</v>
      </c>
      <c r="L14" s="351"/>
      <c r="M14" s="81">
        <v>10.0</v>
      </c>
      <c r="N14" s="356" t="s">
        <v>1541</v>
      </c>
      <c r="O14" s="349">
        <v>1.22</v>
      </c>
      <c r="P14" s="353" t="s">
        <v>1519</v>
      </c>
      <c r="Q14" s="41"/>
      <c r="R14" s="355" t="s">
        <v>1552</v>
      </c>
      <c r="S14" s="61">
        <v>468.0</v>
      </c>
      <c r="T14" s="58">
        <v>1.4</v>
      </c>
      <c r="U14" s="59">
        <f t="shared" si="3"/>
        <v>334.2857143</v>
      </c>
      <c r="V14" s="318">
        <v>468.0</v>
      </c>
      <c r="W14" s="85"/>
      <c r="X14" s="16"/>
      <c r="Y14" s="16"/>
    </row>
    <row r="15">
      <c r="A15" s="67" t="str">
        <f t="shared" ref="A15:A24" si="4">$F$15&amp;C15&amp;E15</f>
        <v>903 MeterS/S</v>
      </c>
      <c r="B15" s="51">
        <v>11.0</v>
      </c>
      <c r="C15" s="348" t="s">
        <v>1518</v>
      </c>
      <c r="D15" s="349">
        <v>3.0</v>
      </c>
      <c r="E15" s="353" t="s">
        <v>1519</v>
      </c>
      <c r="F15" s="350">
        <v>90.0</v>
      </c>
      <c r="G15" s="129" t="s">
        <v>1554</v>
      </c>
      <c r="H15" s="61">
        <v>698.0</v>
      </c>
      <c r="I15" s="58">
        <v>2.6</v>
      </c>
      <c r="J15" s="59">
        <f t="shared" si="2"/>
        <v>268.4615385</v>
      </c>
      <c r="K15" s="318">
        <v>698.0</v>
      </c>
      <c r="L15" s="351"/>
      <c r="M15" s="51">
        <v>11.0</v>
      </c>
      <c r="N15" s="348" t="s">
        <v>1518</v>
      </c>
      <c r="O15" s="349">
        <v>3.0</v>
      </c>
      <c r="P15" s="353" t="s">
        <v>1519</v>
      </c>
      <c r="Q15" s="352">
        <v>90.0</v>
      </c>
      <c r="R15" s="53" t="s">
        <v>1556</v>
      </c>
      <c r="S15" s="61">
        <v>1122.0</v>
      </c>
      <c r="T15" s="58">
        <v>4.25</v>
      </c>
      <c r="U15" s="59">
        <f t="shared" si="3"/>
        <v>264</v>
      </c>
      <c r="V15" s="318">
        <v>1122.0</v>
      </c>
      <c r="W15" s="85"/>
      <c r="X15" s="16"/>
      <c r="Y15" s="16"/>
    </row>
    <row r="16">
      <c r="A16" s="67" t="str">
        <f t="shared" si="4"/>
        <v>903 MeterD/S</v>
      </c>
      <c r="B16" s="81">
        <v>12.0</v>
      </c>
      <c r="C16" s="353" t="s">
        <v>1518</v>
      </c>
      <c r="D16" s="349">
        <v>3.0</v>
      </c>
      <c r="E16" s="353" t="s">
        <v>1524</v>
      </c>
      <c r="F16" s="354"/>
      <c r="G16" s="129" t="s">
        <v>1557</v>
      </c>
      <c r="H16" s="61">
        <v>710.0</v>
      </c>
      <c r="I16" s="58">
        <v>2.6</v>
      </c>
      <c r="J16" s="59">
        <f t="shared" si="2"/>
        <v>273.0769231</v>
      </c>
      <c r="K16" s="318">
        <v>710.0</v>
      </c>
      <c r="L16" s="351"/>
      <c r="M16" s="81">
        <v>12.0</v>
      </c>
      <c r="N16" s="348" t="s">
        <v>1518</v>
      </c>
      <c r="O16" s="349">
        <v>3.0</v>
      </c>
      <c r="P16" s="353" t="s">
        <v>1524</v>
      </c>
      <c r="Q16" s="176"/>
      <c r="R16" s="355" t="s">
        <v>1558</v>
      </c>
      <c r="S16" s="61">
        <v>1134.0</v>
      </c>
      <c r="T16" s="58">
        <v>4.25</v>
      </c>
      <c r="U16" s="59">
        <f t="shared" si="3"/>
        <v>266.8235294</v>
      </c>
      <c r="V16" s="318">
        <v>1134.0</v>
      </c>
      <c r="W16" s="85"/>
      <c r="X16" s="16"/>
      <c r="Y16" s="16"/>
    </row>
    <row r="17">
      <c r="A17" s="67" t="str">
        <f t="shared" si="4"/>
        <v>906 MeterS/S</v>
      </c>
      <c r="B17" s="81">
        <v>13.0</v>
      </c>
      <c r="C17" s="353" t="s">
        <v>1528</v>
      </c>
      <c r="D17" s="349">
        <v>6.0</v>
      </c>
      <c r="E17" s="353" t="s">
        <v>1519</v>
      </c>
      <c r="F17" s="354"/>
      <c r="G17" s="129" t="s">
        <v>1559</v>
      </c>
      <c r="H17" s="61">
        <v>1396.0</v>
      </c>
      <c r="I17" s="58">
        <v>5.2</v>
      </c>
      <c r="J17" s="59">
        <f t="shared" si="2"/>
        <v>268.4615385</v>
      </c>
      <c r="K17" s="318">
        <v>1396.0</v>
      </c>
      <c r="L17" s="351"/>
      <c r="M17" s="81">
        <v>13.0</v>
      </c>
      <c r="N17" s="348" t="s">
        <v>1528</v>
      </c>
      <c r="O17" s="349">
        <v>6.0</v>
      </c>
      <c r="P17" s="353" t="s">
        <v>1519</v>
      </c>
      <c r="Q17" s="176"/>
      <c r="R17" s="53" t="s">
        <v>1561</v>
      </c>
      <c r="S17" s="61">
        <v>2244.0</v>
      </c>
      <c r="T17" s="58">
        <v>8.5</v>
      </c>
      <c r="U17" s="59">
        <f t="shared" si="3"/>
        <v>264</v>
      </c>
      <c r="V17" s="318">
        <v>2244.0</v>
      </c>
      <c r="W17" s="85"/>
      <c r="X17" s="16"/>
      <c r="Y17" s="16"/>
    </row>
    <row r="18">
      <c r="A18" s="67" t="str">
        <f t="shared" si="4"/>
        <v>906 MeterD/S</v>
      </c>
      <c r="B18" s="81">
        <v>14.0</v>
      </c>
      <c r="C18" s="353" t="s">
        <v>1528</v>
      </c>
      <c r="D18" s="349">
        <v>6.0</v>
      </c>
      <c r="E18" s="353" t="s">
        <v>1524</v>
      </c>
      <c r="F18" s="354"/>
      <c r="G18" s="129" t="s">
        <v>1562</v>
      </c>
      <c r="H18" s="61">
        <v>1408.0</v>
      </c>
      <c r="I18" s="58">
        <v>5.2</v>
      </c>
      <c r="J18" s="59">
        <f t="shared" si="2"/>
        <v>270.7692308</v>
      </c>
      <c r="K18" s="318">
        <v>1408.0</v>
      </c>
      <c r="L18" s="351"/>
      <c r="M18" s="81">
        <v>14.0</v>
      </c>
      <c r="N18" s="348" t="s">
        <v>1528</v>
      </c>
      <c r="O18" s="349">
        <v>6.0</v>
      </c>
      <c r="P18" s="353" t="s">
        <v>1524</v>
      </c>
      <c r="Q18" s="176"/>
      <c r="R18" s="355" t="s">
        <v>1564</v>
      </c>
      <c r="S18" s="61">
        <v>2256.0</v>
      </c>
      <c r="T18" s="58">
        <v>8.5</v>
      </c>
      <c r="U18" s="59">
        <f t="shared" si="3"/>
        <v>265.4117647</v>
      </c>
      <c r="V18" s="318">
        <v>2256.0</v>
      </c>
      <c r="W18" s="85"/>
      <c r="X18" s="16"/>
      <c r="Y18" s="16"/>
    </row>
    <row r="19">
      <c r="A19" s="67" t="str">
        <f t="shared" si="4"/>
        <v>902 FeetD/S</v>
      </c>
      <c r="B19" s="81">
        <v>15.0</v>
      </c>
      <c r="C19" s="353" t="s">
        <v>1533</v>
      </c>
      <c r="D19" s="349">
        <v>0.61</v>
      </c>
      <c r="E19" s="353" t="s">
        <v>1524</v>
      </c>
      <c r="F19" s="354"/>
      <c r="G19" s="94" t="s">
        <v>1565</v>
      </c>
      <c r="H19" s="61">
        <v>188.0</v>
      </c>
      <c r="I19" s="58">
        <v>0.52</v>
      </c>
      <c r="J19" s="59">
        <f t="shared" si="2"/>
        <v>361.5384615</v>
      </c>
      <c r="K19" s="318">
        <v>188.0</v>
      </c>
      <c r="L19" s="351"/>
      <c r="M19" s="81">
        <v>15.0</v>
      </c>
      <c r="N19" s="356" t="s">
        <v>1533</v>
      </c>
      <c r="O19" s="349">
        <v>0.61</v>
      </c>
      <c r="P19" s="353" t="s">
        <v>1524</v>
      </c>
      <c r="Q19" s="176"/>
      <c r="R19" s="355" t="s">
        <v>1566</v>
      </c>
      <c r="S19" s="61">
        <v>298.0</v>
      </c>
      <c r="T19" s="58">
        <v>0.85</v>
      </c>
      <c r="U19" s="59">
        <f t="shared" si="3"/>
        <v>350.5882353</v>
      </c>
      <c r="V19" s="318">
        <v>298.0</v>
      </c>
      <c r="W19" s="85"/>
      <c r="X19" s="16"/>
      <c r="Y19" s="16"/>
    </row>
    <row r="20">
      <c r="A20" s="67" t="str">
        <f t="shared" si="4"/>
        <v>903 FeetD/S</v>
      </c>
      <c r="B20" s="51">
        <v>16.0</v>
      </c>
      <c r="C20" s="353" t="s">
        <v>1537</v>
      </c>
      <c r="D20" s="349">
        <v>0.92</v>
      </c>
      <c r="E20" s="353" t="s">
        <v>1524</v>
      </c>
      <c r="F20" s="354"/>
      <c r="G20" s="94" t="s">
        <v>1567</v>
      </c>
      <c r="H20" s="61">
        <v>268.0</v>
      </c>
      <c r="I20" s="58">
        <v>0.78</v>
      </c>
      <c r="J20" s="59">
        <f t="shared" si="2"/>
        <v>343.5897436</v>
      </c>
      <c r="K20" s="318">
        <v>268.0</v>
      </c>
      <c r="L20" s="351"/>
      <c r="M20" s="51">
        <v>16.0</v>
      </c>
      <c r="N20" s="356" t="s">
        <v>1537</v>
      </c>
      <c r="O20" s="349">
        <v>0.92</v>
      </c>
      <c r="P20" s="353" t="s">
        <v>1524</v>
      </c>
      <c r="Q20" s="176"/>
      <c r="R20" s="355" t="s">
        <v>1568</v>
      </c>
      <c r="S20" s="61">
        <v>444.0</v>
      </c>
      <c r="T20" s="58">
        <v>1.27</v>
      </c>
      <c r="U20" s="59">
        <f t="shared" si="3"/>
        <v>349.6062992</v>
      </c>
      <c r="V20" s="318">
        <v>444.0</v>
      </c>
      <c r="W20" s="85"/>
      <c r="X20" s="16"/>
      <c r="Y20" s="16"/>
    </row>
    <row r="21">
      <c r="A21" s="67" t="str">
        <f t="shared" si="4"/>
        <v>904 FeetD/S</v>
      </c>
      <c r="B21" s="81">
        <v>17.0</v>
      </c>
      <c r="C21" s="353" t="s">
        <v>1541</v>
      </c>
      <c r="D21" s="349">
        <v>1.22</v>
      </c>
      <c r="E21" s="353" t="s">
        <v>1524</v>
      </c>
      <c r="F21" s="354"/>
      <c r="G21" s="94" t="s">
        <v>1571</v>
      </c>
      <c r="H21" s="61">
        <v>368.0</v>
      </c>
      <c r="I21" s="58">
        <v>1.04</v>
      </c>
      <c r="J21" s="59">
        <f t="shared" si="2"/>
        <v>353.8461538</v>
      </c>
      <c r="K21" s="318">
        <v>368.0</v>
      </c>
      <c r="L21" s="351"/>
      <c r="M21" s="81">
        <v>17.0</v>
      </c>
      <c r="N21" s="356" t="s">
        <v>1541</v>
      </c>
      <c r="O21" s="349">
        <v>1.22</v>
      </c>
      <c r="P21" s="353" t="s">
        <v>1524</v>
      </c>
      <c r="Q21" s="176"/>
      <c r="R21" s="355" t="s">
        <v>1572</v>
      </c>
      <c r="S21" s="61">
        <v>584.0</v>
      </c>
      <c r="T21" s="58">
        <v>1.7</v>
      </c>
      <c r="U21" s="59">
        <f t="shared" si="3"/>
        <v>343.5294118</v>
      </c>
      <c r="V21" s="318">
        <v>584.0</v>
      </c>
      <c r="W21" s="85"/>
      <c r="X21" s="16"/>
      <c r="Y21" s="16"/>
    </row>
    <row r="22">
      <c r="A22" s="67" t="str">
        <f t="shared" si="4"/>
        <v>906 FeetD/S</v>
      </c>
      <c r="B22" s="81">
        <v>18.0</v>
      </c>
      <c r="C22" s="353" t="s">
        <v>1544</v>
      </c>
      <c r="D22" s="349">
        <v>1.83</v>
      </c>
      <c r="E22" s="353" t="s">
        <v>1524</v>
      </c>
      <c r="F22" s="354"/>
      <c r="G22" s="94" t="s">
        <v>1573</v>
      </c>
      <c r="H22" s="61">
        <v>554.0</v>
      </c>
      <c r="I22" s="58">
        <v>1.56</v>
      </c>
      <c r="J22" s="59">
        <f t="shared" si="2"/>
        <v>355.1282051</v>
      </c>
      <c r="K22" s="318">
        <v>554.0</v>
      </c>
      <c r="L22" s="351"/>
      <c r="M22" s="81">
        <v>18.0</v>
      </c>
      <c r="N22" s="356" t="s">
        <v>1544</v>
      </c>
      <c r="O22" s="349">
        <v>1.83</v>
      </c>
      <c r="P22" s="353" t="s">
        <v>1524</v>
      </c>
      <c r="Q22" s="176"/>
      <c r="R22" s="355" t="s">
        <v>1574</v>
      </c>
      <c r="S22" s="61">
        <v>858.0</v>
      </c>
      <c r="T22" s="58">
        <v>2.55</v>
      </c>
      <c r="U22" s="59">
        <f t="shared" si="3"/>
        <v>336.4705882</v>
      </c>
      <c r="V22" s="318">
        <v>858.0</v>
      </c>
      <c r="W22" s="85"/>
      <c r="X22" s="16"/>
      <c r="Y22" s="16"/>
    </row>
    <row r="23">
      <c r="A23" s="67" t="str">
        <f t="shared" si="4"/>
        <v>906 FeetS/S</v>
      </c>
      <c r="B23" s="81">
        <v>19.0</v>
      </c>
      <c r="C23" s="353" t="s">
        <v>1544</v>
      </c>
      <c r="D23" s="349">
        <v>1.83</v>
      </c>
      <c r="E23" s="353" t="s">
        <v>1519</v>
      </c>
      <c r="F23" s="354"/>
      <c r="G23" s="94" t="s">
        <v>1577</v>
      </c>
      <c r="H23" s="61">
        <v>540.0</v>
      </c>
      <c r="I23" s="58">
        <v>1.56</v>
      </c>
      <c r="J23" s="59">
        <f t="shared" si="2"/>
        <v>346.1538462</v>
      </c>
      <c r="K23" s="318">
        <v>540.0</v>
      </c>
      <c r="L23" s="351"/>
      <c r="M23" s="81">
        <v>19.0</v>
      </c>
      <c r="N23" s="356" t="s">
        <v>1544</v>
      </c>
      <c r="O23" s="349">
        <v>1.83</v>
      </c>
      <c r="P23" s="353" t="s">
        <v>1519</v>
      </c>
      <c r="Q23" s="176"/>
      <c r="R23" s="355" t="s">
        <v>1578</v>
      </c>
      <c r="S23" s="61">
        <v>840.0</v>
      </c>
      <c r="T23" s="58">
        <v>2.55</v>
      </c>
      <c r="U23" s="59">
        <f t="shared" si="3"/>
        <v>329.4117647</v>
      </c>
      <c r="V23" s="318">
        <v>840.0</v>
      </c>
      <c r="W23" s="85"/>
      <c r="X23" s="16"/>
      <c r="Y23" s="16"/>
    </row>
    <row r="24">
      <c r="A24" s="67" t="str">
        <f t="shared" si="4"/>
        <v>904 FeetS/S</v>
      </c>
      <c r="B24" s="81">
        <v>20.0</v>
      </c>
      <c r="C24" s="353" t="s">
        <v>1541</v>
      </c>
      <c r="D24" s="349">
        <v>1.22</v>
      </c>
      <c r="E24" s="353" t="s">
        <v>1519</v>
      </c>
      <c r="F24" s="354"/>
      <c r="G24" s="94" t="s">
        <v>1579</v>
      </c>
      <c r="H24" s="61">
        <v>354.0</v>
      </c>
      <c r="I24" s="58">
        <v>1.18</v>
      </c>
      <c r="J24" s="59">
        <f t="shared" si="2"/>
        <v>300</v>
      </c>
      <c r="K24" s="318">
        <v>354.0</v>
      </c>
      <c r="L24" s="351"/>
      <c r="M24" s="81">
        <v>20.0</v>
      </c>
      <c r="N24" s="356" t="s">
        <v>1541</v>
      </c>
      <c r="O24" s="349">
        <v>1.22</v>
      </c>
      <c r="P24" s="353" t="s">
        <v>1519</v>
      </c>
      <c r="Q24" s="41"/>
      <c r="R24" s="355" t="s">
        <v>1580</v>
      </c>
      <c r="S24" s="61">
        <v>568.0</v>
      </c>
      <c r="T24" s="58">
        <v>1.84</v>
      </c>
      <c r="U24" s="59">
        <f t="shared" si="3"/>
        <v>308.6956522</v>
      </c>
      <c r="V24" s="318">
        <v>568.0</v>
      </c>
      <c r="W24" s="85"/>
      <c r="X24" s="16"/>
      <c r="Y24" s="16"/>
    </row>
    <row r="25">
      <c r="A25" s="67" t="str">
        <f t="shared" ref="A25:A34" si="5">$F$25&amp;C25&amp;E25</f>
        <v>1103 MeterS/S</v>
      </c>
      <c r="B25" s="51">
        <v>21.0</v>
      </c>
      <c r="C25" s="348" t="s">
        <v>1518</v>
      </c>
      <c r="D25" s="349">
        <v>3.0</v>
      </c>
      <c r="E25" s="353" t="s">
        <v>1519</v>
      </c>
      <c r="F25" s="350">
        <v>110.0</v>
      </c>
      <c r="G25" s="129" t="s">
        <v>1583</v>
      </c>
      <c r="H25" s="61">
        <v>970.0</v>
      </c>
      <c r="I25" s="58">
        <v>3.65</v>
      </c>
      <c r="J25" s="59">
        <f t="shared" si="2"/>
        <v>265.7534247</v>
      </c>
      <c r="K25" s="318">
        <v>970.0</v>
      </c>
      <c r="L25" s="351"/>
      <c r="M25" s="51">
        <v>21.0</v>
      </c>
      <c r="N25" s="348" t="s">
        <v>1518</v>
      </c>
      <c r="O25" s="349">
        <v>3.0</v>
      </c>
      <c r="P25" s="353" t="s">
        <v>1519</v>
      </c>
      <c r="Q25" s="352">
        <v>110.0</v>
      </c>
      <c r="R25" s="53" t="s">
        <v>1584</v>
      </c>
      <c r="S25" s="61">
        <v>1398.0</v>
      </c>
      <c r="T25" s="58">
        <v>5.3</v>
      </c>
      <c r="U25" s="59">
        <f t="shared" si="3"/>
        <v>263.7735849</v>
      </c>
      <c r="V25" s="318">
        <v>1398.0</v>
      </c>
      <c r="W25" s="85"/>
      <c r="X25" s="16"/>
      <c r="Y25" s="16"/>
    </row>
    <row r="26">
      <c r="A26" s="67" t="str">
        <f t="shared" si="5"/>
        <v>1103 MeterD/S</v>
      </c>
      <c r="B26" s="81">
        <v>22.0</v>
      </c>
      <c r="C26" s="353" t="s">
        <v>1518</v>
      </c>
      <c r="D26" s="349">
        <v>3.0</v>
      </c>
      <c r="E26" s="353" t="s">
        <v>1524</v>
      </c>
      <c r="F26" s="354"/>
      <c r="G26" s="129" t="s">
        <v>1585</v>
      </c>
      <c r="H26" s="61">
        <v>987.0</v>
      </c>
      <c r="I26" s="58">
        <v>3.65</v>
      </c>
      <c r="J26" s="59">
        <f t="shared" si="2"/>
        <v>270.4109589</v>
      </c>
      <c r="K26" s="318">
        <v>987.0</v>
      </c>
      <c r="L26" s="351"/>
      <c r="M26" s="81">
        <v>22.0</v>
      </c>
      <c r="N26" s="348" t="s">
        <v>1518</v>
      </c>
      <c r="O26" s="349">
        <v>3.0</v>
      </c>
      <c r="P26" s="353" t="s">
        <v>1524</v>
      </c>
      <c r="Q26" s="176"/>
      <c r="R26" s="355" t="s">
        <v>1587</v>
      </c>
      <c r="S26" s="61">
        <v>1414.0</v>
      </c>
      <c r="T26" s="58">
        <v>5.3</v>
      </c>
      <c r="U26" s="59">
        <f t="shared" si="3"/>
        <v>266.7924528</v>
      </c>
      <c r="V26" s="318">
        <v>1414.0</v>
      </c>
      <c r="W26" s="85"/>
      <c r="X26" s="16"/>
      <c r="Y26" s="16"/>
    </row>
    <row r="27">
      <c r="A27" s="67" t="str">
        <f t="shared" si="5"/>
        <v>1106 MeterS/S</v>
      </c>
      <c r="B27" s="81">
        <v>23.0</v>
      </c>
      <c r="C27" s="353" t="s">
        <v>1528</v>
      </c>
      <c r="D27" s="349">
        <v>6.0</v>
      </c>
      <c r="E27" s="353" t="s">
        <v>1519</v>
      </c>
      <c r="F27" s="354"/>
      <c r="G27" s="129" t="s">
        <v>1588</v>
      </c>
      <c r="H27" s="61">
        <v>1940.0</v>
      </c>
      <c r="I27" s="58">
        <v>7.6</v>
      </c>
      <c r="J27" s="59">
        <f t="shared" si="2"/>
        <v>255.2631579</v>
      </c>
      <c r="K27" s="318">
        <v>1940.0</v>
      </c>
      <c r="L27" s="351"/>
      <c r="M27" s="81">
        <v>23.0</v>
      </c>
      <c r="N27" s="348" t="s">
        <v>1528</v>
      </c>
      <c r="O27" s="349">
        <v>6.0</v>
      </c>
      <c r="P27" s="353" t="s">
        <v>1519</v>
      </c>
      <c r="Q27" s="176"/>
      <c r="R27" s="53" t="s">
        <v>1589</v>
      </c>
      <c r="S27" s="61">
        <v>2798.0</v>
      </c>
      <c r="T27" s="58">
        <v>10.6</v>
      </c>
      <c r="U27" s="59">
        <f t="shared" si="3"/>
        <v>263.9622642</v>
      </c>
      <c r="V27" s="318">
        <v>2798.0</v>
      </c>
      <c r="W27" s="85"/>
      <c r="X27" s="16"/>
      <c r="Y27" s="16"/>
    </row>
    <row r="28">
      <c r="A28" s="67" t="str">
        <f t="shared" si="5"/>
        <v>1106 MeterD/S</v>
      </c>
      <c r="B28" s="81">
        <v>24.0</v>
      </c>
      <c r="C28" s="353" t="s">
        <v>1528</v>
      </c>
      <c r="D28" s="349">
        <v>6.0</v>
      </c>
      <c r="E28" s="353" t="s">
        <v>1524</v>
      </c>
      <c r="F28" s="354"/>
      <c r="G28" s="129" t="s">
        <v>1590</v>
      </c>
      <c r="H28" s="61">
        <v>1960.0</v>
      </c>
      <c r="I28" s="58">
        <v>7.6</v>
      </c>
      <c r="J28" s="59">
        <f t="shared" si="2"/>
        <v>257.8947368</v>
      </c>
      <c r="K28" s="318">
        <v>1960.0</v>
      </c>
      <c r="L28" s="351"/>
      <c r="M28" s="81">
        <v>24.0</v>
      </c>
      <c r="N28" s="348" t="s">
        <v>1528</v>
      </c>
      <c r="O28" s="349">
        <v>6.0</v>
      </c>
      <c r="P28" s="353" t="s">
        <v>1524</v>
      </c>
      <c r="Q28" s="176"/>
      <c r="R28" s="355" t="s">
        <v>1591</v>
      </c>
      <c r="S28" s="61">
        <v>2812.0</v>
      </c>
      <c r="T28" s="58">
        <v>10.6</v>
      </c>
      <c r="U28" s="59">
        <f t="shared" si="3"/>
        <v>265.2830189</v>
      </c>
      <c r="V28" s="318">
        <v>2812.0</v>
      </c>
      <c r="W28" s="85"/>
      <c r="X28" s="16"/>
      <c r="Y28" s="16"/>
    </row>
    <row r="29">
      <c r="A29" s="67" t="str">
        <f t="shared" si="5"/>
        <v>1102 FeetD/S</v>
      </c>
      <c r="B29" s="81">
        <v>25.0</v>
      </c>
      <c r="C29" s="353" t="s">
        <v>1533</v>
      </c>
      <c r="D29" s="349">
        <v>0.61</v>
      </c>
      <c r="E29" s="353" t="s">
        <v>1524</v>
      </c>
      <c r="F29" s="354"/>
      <c r="G29" s="94" t="s">
        <v>1593</v>
      </c>
      <c r="H29" s="61">
        <v>258.0</v>
      </c>
      <c r="I29" s="58">
        <v>0.76</v>
      </c>
      <c r="J29" s="59">
        <f t="shared" si="2"/>
        <v>339.4736842</v>
      </c>
      <c r="K29" s="318">
        <v>258.0</v>
      </c>
      <c r="L29" s="351"/>
      <c r="M29" s="81">
        <v>25.0</v>
      </c>
      <c r="N29" s="356" t="s">
        <v>1533</v>
      </c>
      <c r="O29" s="349">
        <v>0.61</v>
      </c>
      <c r="P29" s="353" t="s">
        <v>1524</v>
      </c>
      <c r="Q29" s="176"/>
      <c r="R29" s="355" t="s">
        <v>1594</v>
      </c>
      <c r="S29" s="61">
        <v>378.0</v>
      </c>
      <c r="T29" s="58">
        <v>1.06</v>
      </c>
      <c r="U29" s="59">
        <f t="shared" si="3"/>
        <v>356.6037736</v>
      </c>
      <c r="V29" s="318">
        <v>378.0</v>
      </c>
      <c r="W29" s="85"/>
      <c r="X29" s="16"/>
      <c r="Y29" s="16"/>
    </row>
    <row r="30">
      <c r="A30" s="67" t="str">
        <f t="shared" si="5"/>
        <v>1103 FeetD/S</v>
      </c>
      <c r="B30" s="51">
        <v>26.0</v>
      </c>
      <c r="C30" s="353" t="s">
        <v>1537</v>
      </c>
      <c r="D30" s="349">
        <v>0.92</v>
      </c>
      <c r="E30" s="353" t="s">
        <v>1524</v>
      </c>
      <c r="F30" s="354"/>
      <c r="G30" s="94" t="s">
        <v>1596</v>
      </c>
      <c r="H30" s="61">
        <v>378.0</v>
      </c>
      <c r="I30" s="58">
        <v>1.14</v>
      </c>
      <c r="J30" s="59">
        <f t="shared" si="2"/>
        <v>331.5789474</v>
      </c>
      <c r="K30" s="318">
        <v>378.0</v>
      </c>
      <c r="L30" s="351"/>
      <c r="M30" s="51">
        <v>26.0</v>
      </c>
      <c r="N30" s="356" t="s">
        <v>1537</v>
      </c>
      <c r="O30" s="349">
        <v>0.92</v>
      </c>
      <c r="P30" s="353" t="s">
        <v>1524</v>
      </c>
      <c r="Q30" s="176"/>
      <c r="R30" s="355" t="s">
        <v>1597</v>
      </c>
      <c r="S30" s="61">
        <v>536.0</v>
      </c>
      <c r="T30" s="58">
        <v>1.59</v>
      </c>
      <c r="U30" s="59">
        <f t="shared" si="3"/>
        <v>337.1069182</v>
      </c>
      <c r="V30" s="318">
        <v>536.0</v>
      </c>
      <c r="W30" s="85"/>
      <c r="X30" s="16"/>
      <c r="Y30" s="16"/>
    </row>
    <row r="31">
      <c r="A31" s="67" t="str">
        <f t="shared" si="5"/>
        <v>1104 FeetD/S</v>
      </c>
      <c r="B31" s="81">
        <v>27.0</v>
      </c>
      <c r="C31" s="353" t="s">
        <v>1541</v>
      </c>
      <c r="D31" s="349">
        <v>1.22</v>
      </c>
      <c r="E31" s="353" t="s">
        <v>1524</v>
      </c>
      <c r="F31" s="354"/>
      <c r="G31" s="94" t="s">
        <v>1599</v>
      </c>
      <c r="H31" s="61">
        <v>494.0</v>
      </c>
      <c r="I31" s="58">
        <v>1.52</v>
      </c>
      <c r="J31" s="59">
        <f t="shared" si="2"/>
        <v>325</v>
      </c>
      <c r="K31" s="318">
        <v>494.0</v>
      </c>
      <c r="L31" s="351"/>
      <c r="M31" s="81">
        <v>27.0</v>
      </c>
      <c r="N31" s="356" t="s">
        <v>1541</v>
      </c>
      <c r="O31" s="349">
        <v>1.22</v>
      </c>
      <c r="P31" s="353" t="s">
        <v>1524</v>
      </c>
      <c r="Q31" s="176"/>
      <c r="R31" s="355" t="s">
        <v>1600</v>
      </c>
      <c r="S31" s="61">
        <v>724.0</v>
      </c>
      <c r="T31" s="58">
        <v>2.12</v>
      </c>
      <c r="U31" s="59">
        <f t="shared" si="3"/>
        <v>341.509434</v>
      </c>
      <c r="V31" s="318">
        <v>724.0</v>
      </c>
      <c r="W31" s="85"/>
      <c r="X31" s="16"/>
      <c r="Y31" s="16"/>
    </row>
    <row r="32">
      <c r="A32" s="67" t="str">
        <f t="shared" si="5"/>
        <v>1106 FeetD/S</v>
      </c>
      <c r="B32" s="81">
        <v>28.0</v>
      </c>
      <c r="C32" s="353" t="s">
        <v>1544</v>
      </c>
      <c r="D32" s="349">
        <v>1.83</v>
      </c>
      <c r="E32" s="353" t="s">
        <v>1524</v>
      </c>
      <c r="F32" s="354"/>
      <c r="G32" s="94" t="s">
        <v>1601</v>
      </c>
      <c r="H32" s="61">
        <v>734.0</v>
      </c>
      <c r="I32" s="58">
        <v>2.28</v>
      </c>
      <c r="J32" s="59">
        <f t="shared" si="2"/>
        <v>321.9298246</v>
      </c>
      <c r="K32" s="318">
        <v>734.0</v>
      </c>
      <c r="L32" s="351"/>
      <c r="M32" s="81">
        <v>28.0</v>
      </c>
      <c r="N32" s="356" t="s">
        <v>1544</v>
      </c>
      <c r="O32" s="349">
        <v>1.83</v>
      </c>
      <c r="P32" s="353" t="s">
        <v>1524</v>
      </c>
      <c r="Q32" s="176"/>
      <c r="R32" s="355" t="s">
        <v>1602</v>
      </c>
      <c r="S32" s="61">
        <v>1058.0</v>
      </c>
      <c r="T32" s="58">
        <v>3.18</v>
      </c>
      <c r="U32" s="59">
        <f t="shared" si="3"/>
        <v>332.7044025</v>
      </c>
      <c r="V32" s="318">
        <v>1058.0</v>
      </c>
      <c r="W32" s="85"/>
      <c r="X32" s="16"/>
      <c r="Y32" s="16"/>
    </row>
    <row r="33">
      <c r="A33" s="67" t="str">
        <f t="shared" si="5"/>
        <v>1106 FeetS/S</v>
      </c>
      <c r="B33" s="81">
        <v>29.0</v>
      </c>
      <c r="C33" s="353" t="s">
        <v>1544</v>
      </c>
      <c r="D33" s="349">
        <v>1.83</v>
      </c>
      <c r="E33" s="353" t="s">
        <v>1519</v>
      </c>
      <c r="F33" s="354"/>
      <c r="G33" s="94" t="s">
        <v>1603</v>
      </c>
      <c r="H33" s="61">
        <v>720.0</v>
      </c>
      <c r="I33" s="58">
        <v>2.28</v>
      </c>
      <c r="J33" s="59">
        <f t="shared" si="2"/>
        <v>315.7894737</v>
      </c>
      <c r="K33" s="318">
        <v>720.0</v>
      </c>
      <c r="L33" s="351"/>
      <c r="M33" s="81">
        <v>29.0</v>
      </c>
      <c r="N33" s="356" t="s">
        <v>1544</v>
      </c>
      <c r="O33" s="349">
        <v>1.83</v>
      </c>
      <c r="P33" s="353" t="s">
        <v>1519</v>
      </c>
      <c r="Q33" s="176"/>
      <c r="R33" s="355" t="s">
        <v>1605</v>
      </c>
      <c r="S33" s="61">
        <v>1038.0</v>
      </c>
      <c r="T33" s="58">
        <v>3.18</v>
      </c>
      <c r="U33" s="59">
        <f t="shared" si="3"/>
        <v>326.4150943</v>
      </c>
      <c r="V33" s="318">
        <v>1038.0</v>
      </c>
      <c r="W33" s="85"/>
      <c r="X33" s="16"/>
      <c r="Y33" s="16"/>
    </row>
    <row r="34">
      <c r="A34" s="67" t="str">
        <f t="shared" si="5"/>
        <v>1104 FeetS/S</v>
      </c>
      <c r="B34" s="81">
        <v>30.0</v>
      </c>
      <c r="C34" s="353" t="s">
        <v>1541</v>
      </c>
      <c r="D34" s="349">
        <v>1.22</v>
      </c>
      <c r="E34" s="353" t="s">
        <v>1519</v>
      </c>
      <c r="F34" s="354"/>
      <c r="G34" s="94" t="s">
        <v>1607</v>
      </c>
      <c r="H34" s="61">
        <v>478.0</v>
      </c>
      <c r="I34" s="58">
        <v>1.61</v>
      </c>
      <c r="J34" s="59">
        <f t="shared" si="2"/>
        <v>296.8944099</v>
      </c>
      <c r="K34" s="318">
        <v>478.0</v>
      </c>
      <c r="L34" s="351"/>
      <c r="M34" s="81">
        <v>30.0</v>
      </c>
      <c r="N34" s="356" t="s">
        <v>1541</v>
      </c>
      <c r="O34" s="349">
        <v>1.22</v>
      </c>
      <c r="P34" s="353" t="s">
        <v>1519</v>
      </c>
      <c r="Q34" s="41"/>
      <c r="R34" s="355" t="s">
        <v>1608</v>
      </c>
      <c r="S34" s="61">
        <v>708.0</v>
      </c>
      <c r="T34" s="58">
        <v>2.27</v>
      </c>
      <c r="U34" s="59">
        <f t="shared" si="3"/>
        <v>311.8942731</v>
      </c>
      <c r="V34" s="318">
        <v>708.0</v>
      </c>
      <c r="W34" s="85"/>
      <c r="X34" s="16"/>
      <c r="Y34" s="16"/>
    </row>
    <row r="35">
      <c r="A35" s="67" t="str">
        <f t="shared" ref="A35:A44" si="6">$F$35&amp;C35&amp;E35</f>
        <v>1603 MeterS/S</v>
      </c>
      <c r="B35" s="51">
        <v>31.0</v>
      </c>
      <c r="C35" s="348" t="s">
        <v>1518</v>
      </c>
      <c r="D35" s="349">
        <v>3.0</v>
      </c>
      <c r="E35" s="353" t="s">
        <v>1519</v>
      </c>
      <c r="F35" s="350">
        <v>160.0</v>
      </c>
      <c r="G35" s="129" t="s">
        <v>1611</v>
      </c>
      <c r="H35" s="61">
        <v>2070.0</v>
      </c>
      <c r="I35" s="58">
        <v>7.8</v>
      </c>
      <c r="J35" s="59">
        <f t="shared" si="2"/>
        <v>265.3846154</v>
      </c>
      <c r="K35" s="318">
        <v>2070.0</v>
      </c>
      <c r="L35" s="351"/>
      <c r="M35" s="51">
        <v>31.0</v>
      </c>
      <c r="N35" s="348" t="s">
        <v>1518</v>
      </c>
      <c r="O35" s="349">
        <v>3.0</v>
      </c>
      <c r="P35" s="353" t="s">
        <v>1519</v>
      </c>
      <c r="Q35" s="352">
        <v>160.0</v>
      </c>
      <c r="R35" s="53" t="s">
        <v>1612</v>
      </c>
      <c r="S35" s="61">
        <v>2498.0</v>
      </c>
      <c r="T35" s="58">
        <v>10.4</v>
      </c>
      <c r="U35" s="59">
        <f t="shared" si="3"/>
        <v>240.1923077</v>
      </c>
      <c r="V35" s="318">
        <v>2498.0</v>
      </c>
      <c r="W35" s="85"/>
      <c r="X35" s="16"/>
      <c r="Y35" s="16"/>
    </row>
    <row r="36">
      <c r="A36" s="67" t="str">
        <f t="shared" si="6"/>
        <v>1603 MeterD/S</v>
      </c>
      <c r="B36" s="81">
        <v>32.0</v>
      </c>
      <c r="C36" s="353" t="s">
        <v>1518</v>
      </c>
      <c r="D36" s="349">
        <v>3.0</v>
      </c>
      <c r="E36" s="353" t="s">
        <v>1524</v>
      </c>
      <c r="F36" s="354"/>
      <c r="G36" s="129" t="s">
        <v>1613</v>
      </c>
      <c r="H36" s="61">
        <v>2090.0</v>
      </c>
      <c r="I36" s="58">
        <v>7.8</v>
      </c>
      <c r="J36" s="59">
        <f t="shared" si="2"/>
        <v>267.9487179</v>
      </c>
      <c r="K36" s="318">
        <v>2090.0</v>
      </c>
      <c r="L36" s="351"/>
      <c r="M36" s="81">
        <v>32.0</v>
      </c>
      <c r="N36" s="348" t="s">
        <v>1518</v>
      </c>
      <c r="O36" s="349">
        <v>3.0</v>
      </c>
      <c r="P36" s="353" t="s">
        <v>1524</v>
      </c>
      <c r="Q36" s="176"/>
      <c r="R36" s="355" t="s">
        <v>1614</v>
      </c>
      <c r="S36" s="61">
        <v>2524.0</v>
      </c>
      <c r="T36" s="58">
        <v>10.4</v>
      </c>
      <c r="U36" s="59">
        <f t="shared" si="3"/>
        <v>242.6923077</v>
      </c>
      <c r="V36" s="318">
        <v>2524.0</v>
      </c>
      <c r="W36" s="85"/>
      <c r="X36" s="16"/>
      <c r="Y36" s="16"/>
    </row>
    <row r="37">
      <c r="A37" s="67" t="str">
        <f t="shared" si="6"/>
        <v>1606 MeterS/S</v>
      </c>
      <c r="B37" s="81">
        <v>33.0</v>
      </c>
      <c r="C37" s="353" t="s">
        <v>1528</v>
      </c>
      <c r="D37" s="349">
        <v>6.0</v>
      </c>
      <c r="E37" s="353" t="s">
        <v>1519</v>
      </c>
      <c r="F37" s="354"/>
      <c r="G37" s="129" t="s">
        <v>1616</v>
      </c>
      <c r="H37" s="61">
        <v>4140.0</v>
      </c>
      <c r="I37" s="58">
        <v>15.6</v>
      </c>
      <c r="J37" s="59">
        <f t="shared" si="2"/>
        <v>265.3846154</v>
      </c>
      <c r="K37" s="318">
        <v>4140.0</v>
      </c>
      <c r="L37" s="351"/>
      <c r="M37" s="81">
        <v>33.0</v>
      </c>
      <c r="N37" s="348" t="s">
        <v>1528</v>
      </c>
      <c r="O37" s="349">
        <v>6.0</v>
      </c>
      <c r="P37" s="353" t="s">
        <v>1519</v>
      </c>
      <c r="Q37" s="176"/>
      <c r="R37" s="355" t="s">
        <v>1617</v>
      </c>
      <c r="S37" s="61">
        <v>4996.0</v>
      </c>
      <c r="T37" s="58">
        <v>20.8</v>
      </c>
      <c r="U37" s="59">
        <f t="shared" si="3"/>
        <v>240.1923077</v>
      </c>
      <c r="V37" s="318">
        <v>4996.0</v>
      </c>
      <c r="W37" s="85"/>
      <c r="X37" s="16"/>
      <c r="Y37" s="16"/>
    </row>
    <row r="38">
      <c r="A38" s="67" t="str">
        <f t="shared" si="6"/>
        <v>1606 MeterD/S</v>
      </c>
      <c r="B38" s="81">
        <v>34.0</v>
      </c>
      <c r="C38" s="353" t="s">
        <v>1528</v>
      </c>
      <c r="D38" s="349">
        <v>6.0</v>
      </c>
      <c r="E38" s="353" t="s">
        <v>1524</v>
      </c>
      <c r="F38" s="354"/>
      <c r="G38" s="129" t="s">
        <v>1618</v>
      </c>
      <c r="H38" s="61">
        <v>4160.0</v>
      </c>
      <c r="I38" s="58">
        <v>15.6</v>
      </c>
      <c r="J38" s="59">
        <f t="shared" si="2"/>
        <v>266.6666667</v>
      </c>
      <c r="K38" s="318">
        <v>4160.0</v>
      </c>
      <c r="L38" s="351"/>
      <c r="M38" s="81">
        <v>34.0</v>
      </c>
      <c r="N38" s="348" t="s">
        <v>1528</v>
      </c>
      <c r="O38" s="349">
        <v>6.0</v>
      </c>
      <c r="P38" s="353" t="s">
        <v>1524</v>
      </c>
      <c r="Q38" s="176"/>
      <c r="R38" s="355" t="s">
        <v>1619</v>
      </c>
      <c r="S38" s="61">
        <v>5020.0</v>
      </c>
      <c r="T38" s="58">
        <v>20.8</v>
      </c>
      <c r="U38" s="59">
        <f t="shared" si="3"/>
        <v>241.3461538</v>
      </c>
      <c r="V38" s="318">
        <v>5020.0</v>
      </c>
      <c r="W38" s="85"/>
      <c r="X38" s="16"/>
      <c r="Y38" s="16"/>
    </row>
    <row r="39">
      <c r="A39" s="67" t="str">
        <f t="shared" si="6"/>
        <v>1602 FeetD/S</v>
      </c>
      <c r="B39" s="81">
        <v>35.0</v>
      </c>
      <c r="C39" s="353" t="s">
        <v>1533</v>
      </c>
      <c r="D39" s="349">
        <v>0.61</v>
      </c>
      <c r="E39" s="353" t="s">
        <v>1524</v>
      </c>
      <c r="F39" s="354"/>
      <c r="G39" s="94" t="s">
        <v>1621</v>
      </c>
      <c r="H39" s="61">
        <v>498.0</v>
      </c>
      <c r="I39" s="58">
        <v>1.56</v>
      </c>
      <c r="J39" s="59">
        <f t="shared" si="2"/>
        <v>319.2307692</v>
      </c>
      <c r="K39" s="318">
        <v>498.0</v>
      </c>
      <c r="L39" s="351"/>
      <c r="M39" s="81">
        <v>35.0</v>
      </c>
      <c r="N39" s="356" t="s">
        <v>1533</v>
      </c>
      <c r="O39" s="349">
        <v>0.61</v>
      </c>
      <c r="P39" s="353" t="s">
        <v>1524</v>
      </c>
      <c r="Q39" s="176"/>
      <c r="R39" s="355" t="s">
        <v>1623</v>
      </c>
      <c r="S39" s="61">
        <v>692.0</v>
      </c>
      <c r="T39" s="58">
        <v>2.08</v>
      </c>
      <c r="U39" s="59">
        <f t="shared" si="3"/>
        <v>332.6923077</v>
      </c>
      <c r="V39" s="318">
        <v>692.0</v>
      </c>
      <c r="W39" s="85"/>
      <c r="X39" s="16"/>
      <c r="Y39" s="16"/>
    </row>
    <row r="40">
      <c r="A40" s="67" t="str">
        <f t="shared" si="6"/>
        <v>1603 FeetD/S</v>
      </c>
      <c r="B40" s="51">
        <v>36.0</v>
      </c>
      <c r="C40" s="353" t="s">
        <v>1537</v>
      </c>
      <c r="D40" s="349">
        <v>0.92</v>
      </c>
      <c r="E40" s="353" t="s">
        <v>1524</v>
      </c>
      <c r="F40" s="354"/>
      <c r="G40" s="94" t="s">
        <v>1624</v>
      </c>
      <c r="H40" s="61">
        <v>742.0</v>
      </c>
      <c r="I40" s="58">
        <v>2.31</v>
      </c>
      <c r="J40" s="59">
        <f t="shared" si="2"/>
        <v>321.2121212</v>
      </c>
      <c r="K40" s="318">
        <v>742.0</v>
      </c>
      <c r="L40" s="351"/>
      <c r="M40" s="51">
        <v>36.0</v>
      </c>
      <c r="N40" s="356" t="s">
        <v>1537</v>
      </c>
      <c r="O40" s="349">
        <v>0.92</v>
      </c>
      <c r="P40" s="353" t="s">
        <v>1524</v>
      </c>
      <c r="Q40" s="176"/>
      <c r="R40" s="355" t="s">
        <v>1625</v>
      </c>
      <c r="S40" s="61">
        <v>998.0</v>
      </c>
      <c r="T40" s="58">
        <v>3.12</v>
      </c>
      <c r="U40" s="59">
        <f t="shared" si="3"/>
        <v>319.8717949</v>
      </c>
      <c r="V40" s="318">
        <v>998.0</v>
      </c>
      <c r="W40" s="85"/>
      <c r="X40" s="16"/>
      <c r="Y40" s="16"/>
    </row>
    <row r="41">
      <c r="A41" s="67" t="str">
        <f t="shared" si="6"/>
        <v>1604 FeetD/S</v>
      </c>
      <c r="B41" s="81">
        <v>37.0</v>
      </c>
      <c r="C41" s="353" t="s">
        <v>1541</v>
      </c>
      <c r="D41" s="349">
        <v>1.22</v>
      </c>
      <c r="E41" s="353" t="s">
        <v>1524</v>
      </c>
      <c r="F41" s="354"/>
      <c r="G41" s="94" t="s">
        <v>1627</v>
      </c>
      <c r="H41" s="61">
        <v>978.0</v>
      </c>
      <c r="I41" s="58">
        <v>3.12</v>
      </c>
      <c r="J41" s="59">
        <f t="shared" si="2"/>
        <v>313.4615385</v>
      </c>
      <c r="K41" s="318">
        <v>978.0</v>
      </c>
      <c r="L41" s="351"/>
      <c r="M41" s="81">
        <v>37.0</v>
      </c>
      <c r="N41" s="356" t="s">
        <v>1541</v>
      </c>
      <c r="O41" s="349">
        <v>1.22</v>
      </c>
      <c r="P41" s="353" t="s">
        <v>1524</v>
      </c>
      <c r="Q41" s="176"/>
      <c r="R41" s="355" t="s">
        <v>1628</v>
      </c>
      <c r="S41" s="61">
        <v>1298.0</v>
      </c>
      <c r="T41" s="58">
        <v>4.16</v>
      </c>
      <c r="U41" s="59">
        <f t="shared" si="3"/>
        <v>312.0192308</v>
      </c>
      <c r="V41" s="318">
        <v>1298.0</v>
      </c>
      <c r="W41" s="85"/>
      <c r="X41" s="16"/>
      <c r="Y41" s="16"/>
    </row>
    <row r="42">
      <c r="A42" s="67" t="str">
        <f t="shared" si="6"/>
        <v>1606 FeetD/S</v>
      </c>
      <c r="B42" s="81">
        <v>38.0</v>
      </c>
      <c r="C42" s="353" t="s">
        <v>1544</v>
      </c>
      <c r="D42" s="349">
        <v>1.83</v>
      </c>
      <c r="E42" s="353" t="s">
        <v>1524</v>
      </c>
      <c r="F42" s="354"/>
      <c r="G42" s="94" t="s">
        <v>1630</v>
      </c>
      <c r="H42" s="61">
        <v>1472.0</v>
      </c>
      <c r="I42" s="58">
        <v>4.68</v>
      </c>
      <c r="J42" s="59">
        <f t="shared" si="2"/>
        <v>314.5299145</v>
      </c>
      <c r="K42" s="318">
        <v>1472.0</v>
      </c>
      <c r="L42" s="351"/>
      <c r="M42" s="81">
        <v>38.0</v>
      </c>
      <c r="N42" s="356" t="s">
        <v>1544</v>
      </c>
      <c r="O42" s="349">
        <v>1.83</v>
      </c>
      <c r="P42" s="353" t="s">
        <v>1524</v>
      </c>
      <c r="Q42" s="176"/>
      <c r="R42" s="355" t="s">
        <v>1631</v>
      </c>
      <c r="S42" s="61">
        <v>1884.0</v>
      </c>
      <c r="T42" s="58">
        <v>6.24</v>
      </c>
      <c r="U42" s="59">
        <f t="shared" si="3"/>
        <v>301.9230769</v>
      </c>
      <c r="V42" s="318">
        <v>1884.0</v>
      </c>
      <c r="W42" s="85"/>
      <c r="X42" s="16"/>
      <c r="Y42" s="16"/>
    </row>
    <row r="43">
      <c r="A43" s="67" t="str">
        <f t="shared" si="6"/>
        <v>1606 FeetS/S</v>
      </c>
      <c r="B43" s="81">
        <v>39.0</v>
      </c>
      <c r="C43" s="353" t="s">
        <v>1544</v>
      </c>
      <c r="D43" s="349">
        <v>1.83</v>
      </c>
      <c r="E43" s="353" t="s">
        <v>1519</v>
      </c>
      <c r="F43" s="354"/>
      <c r="G43" s="94" t="s">
        <v>1632</v>
      </c>
      <c r="H43" s="61">
        <v>1446.0</v>
      </c>
      <c r="I43" s="58">
        <v>4.68</v>
      </c>
      <c r="J43" s="59">
        <f t="shared" si="2"/>
        <v>308.974359</v>
      </c>
      <c r="K43" s="318">
        <v>1446.0</v>
      </c>
      <c r="L43" s="351"/>
      <c r="M43" s="81">
        <v>39.0</v>
      </c>
      <c r="N43" s="356" t="s">
        <v>1544</v>
      </c>
      <c r="O43" s="349">
        <v>1.83</v>
      </c>
      <c r="P43" s="353" t="s">
        <v>1519</v>
      </c>
      <c r="Q43" s="176"/>
      <c r="R43" s="355" t="s">
        <v>1633</v>
      </c>
      <c r="S43" s="61">
        <v>1860.0</v>
      </c>
      <c r="T43" s="58">
        <v>6.24</v>
      </c>
      <c r="U43" s="59">
        <f t="shared" si="3"/>
        <v>298.0769231</v>
      </c>
      <c r="V43" s="318">
        <v>1860.0</v>
      </c>
      <c r="W43" s="85"/>
      <c r="X43" s="16"/>
      <c r="Y43" s="16"/>
    </row>
    <row r="44">
      <c r="A44" s="67" t="str">
        <f t="shared" si="6"/>
        <v>1604 FeetS/S</v>
      </c>
      <c r="B44" s="81">
        <v>40.0</v>
      </c>
      <c r="C44" s="353" t="s">
        <v>1541</v>
      </c>
      <c r="D44" s="349">
        <v>1.22</v>
      </c>
      <c r="E44" s="353" t="s">
        <v>1519</v>
      </c>
      <c r="F44" s="354"/>
      <c r="G44" s="94" t="s">
        <v>1635</v>
      </c>
      <c r="H44" s="61">
        <v>954.0</v>
      </c>
      <c r="I44" s="58">
        <v>3.2</v>
      </c>
      <c r="J44" s="59">
        <f t="shared" si="2"/>
        <v>298.125</v>
      </c>
      <c r="K44" s="318">
        <v>954.0</v>
      </c>
      <c r="L44" s="351"/>
      <c r="M44" s="81">
        <v>40.0</v>
      </c>
      <c r="N44" s="356" t="s">
        <v>1541</v>
      </c>
      <c r="O44" s="349">
        <v>1.22</v>
      </c>
      <c r="P44" s="353" t="s">
        <v>1519</v>
      </c>
      <c r="Q44" s="41"/>
      <c r="R44" s="355" t="s">
        <v>1636</v>
      </c>
      <c r="S44" s="61">
        <v>1264.0</v>
      </c>
      <c r="T44" s="58">
        <v>4.14</v>
      </c>
      <c r="U44" s="59">
        <f t="shared" si="3"/>
        <v>305.3140097</v>
      </c>
      <c r="V44" s="318">
        <v>1264.0</v>
      </c>
      <c r="W44" s="85"/>
      <c r="X44" s="16"/>
      <c r="Y44" s="16"/>
    </row>
    <row r="45">
      <c r="A45" s="34"/>
      <c r="B45" s="237" t="s">
        <v>11</v>
      </c>
      <c r="C45" s="45"/>
      <c r="D45" s="45"/>
      <c r="E45" s="45"/>
      <c r="F45" s="45"/>
      <c r="G45" s="46"/>
      <c r="H45" s="240">
        <f>SUM(H5:H44)</f>
        <v>39364</v>
      </c>
      <c r="I45" s="357"/>
      <c r="J45" s="358"/>
      <c r="K45" s="240">
        <f>SUM(K5:K44)</f>
        <v>39364</v>
      </c>
      <c r="L45" s="243"/>
      <c r="M45" s="237" t="s">
        <v>11</v>
      </c>
      <c r="N45" s="45"/>
      <c r="O45" s="45"/>
      <c r="P45" s="45"/>
      <c r="Q45" s="45"/>
      <c r="R45" s="46"/>
      <c r="S45" s="240">
        <f>SUM(S5:S44)</f>
        <v>54744</v>
      </c>
      <c r="T45" s="359"/>
      <c r="U45" s="360"/>
      <c r="V45" s="240">
        <f>SUM(V5:V44)</f>
        <v>54744</v>
      </c>
      <c r="W45" s="85"/>
      <c r="X45" s="243"/>
      <c r="Y45" s="243"/>
    </row>
    <row r="46" ht="6.0" customHeight="1">
      <c r="A46" s="34"/>
      <c r="B46" s="243"/>
      <c r="C46" s="243"/>
      <c r="D46" s="243"/>
      <c r="E46" s="243"/>
      <c r="F46" s="243"/>
      <c r="G46" s="243"/>
      <c r="H46" s="243"/>
      <c r="I46" s="267"/>
      <c r="J46" s="361"/>
      <c r="K46" s="361"/>
      <c r="L46" s="243"/>
      <c r="M46" s="243"/>
      <c r="N46" s="243"/>
      <c r="O46" s="243"/>
      <c r="P46" s="243"/>
      <c r="Q46" s="243"/>
      <c r="R46" s="243"/>
      <c r="S46" s="243"/>
      <c r="T46" s="359"/>
      <c r="U46" s="362"/>
      <c r="V46" s="15"/>
      <c r="W46" s="85"/>
      <c r="X46" s="360"/>
      <c r="Y46" s="243"/>
    </row>
    <row r="47" ht="28.5" customHeight="1">
      <c r="A47" s="34"/>
      <c r="B47" s="62" t="s">
        <v>1641</v>
      </c>
      <c r="C47" s="45"/>
      <c r="D47" s="45"/>
      <c r="E47" s="45"/>
      <c r="F47" s="45"/>
      <c r="G47" s="45"/>
      <c r="H47" s="46"/>
      <c r="I47" s="364"/>
      <c r="J47" s="365"/>
      <c r="K47" s="365"/>
      <c r="L47" s="243"/>
      <c r="M47" s="62" t="s">
        <v>1642</v>
      </c>
      <c r="N47" s="45"/>
      <c r="O47" s="45"/>
      <c r="P47" s="45"/>
      <c r="Q47" s="45"/>
      <c r="R47" s="45"/>
      <c r="S47" s="46"/>
      <c r="T47" s="359"/>
      <c r="U47" s="360"/>
      <c r="V47" s="15"/>
      <c r="W47" s="85"/>
      <c r="X47" s="243"/>
      <c r="Y47" s="243"/>
    </row>
    <row r="48">
      <c r="A48" s="67" t="str">
        <f t="shared" ref="A48:A57" si="7">$F$48&amp;C48&amp;E48</f>
        <v>753 MeterS/S</v>
      </c>
      <c r="B48" s="51">
        <v>1.0</v>
      </c>
      <c r="C48" s="348" t="s">
        <v>1518</v>
      </c>
      <c r="D48" s="349">
        <v>3.0</v>
      </c>
      <c r="E48" s="366" t="s">
        <v>1519</v>
      </c>
      <c r="F48" s="367">
        <v>75.0</v>
      </c>
      <c r="G48" s="368" t="s">
        <v>1644</v>
      </c>
      <c r="H48" s="56">
        <v>566.0</v>
      </c>
      <c r="I48" s="58">
        <v>2.13</v>
      </c>
      <c r="J48" s="59">
        <f t="shared" ref="J48:J87" si="8">IFERROR(H48/I48,"")</f>
        <v>265.7276995</v>
      </c>
      <c r="K48" s="318">
        <v>566.0</v>
      </c>
      <c r="L48" s="351"/>
      <c r="M48" s="51">
        <v>1.0</v>
      </c>
      <c r="N48" s="348" t="s">
        <v>1518</v>
      </c>
      <c r="O48" s="349">
        <v>3.0</v>
      </c>
      <c r="P48" s="366" t="s">
        <v>1519</v>
      </c>
      <c r="Q48" s="367">
        <v>75.0</v>
      </c>
      <c r="R48" s="368" t="s">
        <v>1645</v>
      </c>
      <c r="S48" s="56">
        <v>921.0</v>
      </c>
      <c r="T48" s="58">
        <v>3.581</v>
      </c>
      <c r="U48" s="59">
        <f t="shared" ref="U48:U87" si="9">IFERROR(S48/T48,"")</f>
        <v>257.1907288</v>
      </c>
      <c r="V48" s="318">
        <v>921.0</v>
      </c>
      <c r="W48" s="85"/>
      <c r="X48" s="243"/>
      <c r="Y48" s="243"/>
    </row>
    <row r="49">
      <c r="A49" s="67" t="str">
        <f t="shared" si="7"/>
        <v>753 MeterD/S</v>
      </c>
      <c r="B49" s="81">
        <v>2.0</v>
      </c>
      <c r="C49" s="353" t="s">
        <v>1518</v>
      </c>
      <c r="D49" s="349">
        <v>3.0</v>
      </c>
      <c r="E49" s="369" t="s">
        <v>1524</v>
      </c>
      <c r="F49" s="354"/>
      <c r="G49" s="370" t="s">
        <v>1647</v>
      </c>
      <c r="H49" s="61">
        <v>572.0</v>
      </c>
      <c r="I49" s="58">
        <v>2.13</v>
      </c>
      <c r="J49" s="59">
        <f t="shared" si="8"/>
        <v>268.5446009</v>
      </c>
      <c r="K49" s="318">
        <v>572.0</v>
      </c>
      <c r="L49" s="351"/>
      <c r="M49" s="81">
        <v>2.0</v>
      </c>
      <c r="N49" s="353" t="s">
        <v>1518</v>
      </c>
      <c r="O49" s="349">
        <v>3.0</v>
      </c>
      <c r="P49" s="369" t="s">
        <v>1524</v>
      </c>
      <c r="Q49" s="354"/>
      <c r="R49" s="370" t="s">
        <v>1648</v>
      </c>
      <c r="S49" s="61">
        <v>927.0</v>
      </c>
      <c r="T49" s="58">
        <v>3.581</v>
      </c>
      <c r="U49" s="59">
        <f t="shared" si="9"/>
        <v>258.8662385</v>
      </c>
      <c r="V49" s="318">
        <v>927.0</v>
      </c>
      <c r="W49" s="85"/>
      <c r="X49" s="243"/>
      <c r="Y49" s="243"/>
    </row>
    <row r="50">
      <c r="A50" s="67" t="str">
        <f t="shared" si="7"/>
        <v>756 MeterS/S</v>
      </c>
      <c r="B50" s="81">
        <v>3.0</v>
      </c>
      <c r="C50" s="353" t="s">
        <v>1528</v>
      </c>
      <c r="D50" s="349">
        <v>6.0</v>
      </c>
      <c r="E50" s="369" t="s">
        <v>1519</v>
      </c>
      <c r="F50" s="354"/>
      <c r="G50" s="370" t="s">
        <v>1650</v>
      </c>
      <c r="H50" s="61">
        <v>1132.0</v>
      </c>
      <c r="I50" s="58">
        <v>4.222</v>
      </c>
      <c r="J50" s="59">
        <f t="shared" si="8"/>
        <v>268.1193747</v>
      </c>
      <c r="K50" s="318">
        <v>1132.0</v>
      </c>
      <c r="L50" s="351"/>
      <c r="M50" s="81">
        <v>3.0</v>
      </c>
      <c r="N50" s="353" t="s">
        <v>1528</v>
      </c>
      <c r="O50" s="349">
        <v>6.0</v>
      </c>
      <c r="P50" s="369" t="s">
        <v>1519</v>
      </c>
      <c r="Q50" s="354"/>
      <c r="R50" s="370" t="s">
        <v>1651</v>
      </c>
      <c r="S50" s="61">
        <v>1842.0</v>
      </c>
      <c r="T50" s="58">
        <v>7.106</v>
      </c>
      <c r="U50" s="59">
        <f t="shared" si="9"/>
        <v>259.2175626</v>
      </c>
      <c r="V50" s="318">
        <v>1842.0</v>
      </c>
      <c r="W50" s="85"/>
      <c r="X50" s="243"/>
      <c r="Y50" s="243"/>
    </row>
    <row r="51">
      <c r="A51" s="67" t="str">
        <f t="shared" si="7"/>
        <v>756 MeterD/S</v>
      </c>
      <c r="B51" s="81">
        <v>4.0</v>
      </c>
      <c r="C51" s="353" t="s">
        <v>1528</v>
      </c>
      <c r="D51" s="349">
        <v>6.0</v>
      </c>
      <c r="E51" s="369" t="s">
        <v>1524</v>
      </c>
      <c r="F51" s="354"/>
      <c r="G51" s="370" t="s">
        <v>1652</v>
      </c>
      <c r="H51" s="61">
        <v>1138.0</v>
      </c>
      <c r="I51" s="58">
        <v>4.222</v>
      </c>
      <c r="J51" s="59">
        <f t="shared" si="8"/>
        <v>269.5405021</v>
      </c>
      <c r="K51" s="318">
        <v>1138.0</v>
      </c>
      <c r="L51" s="351"/>
      <c r="M51" s="81">
        <v>4.0</v>
      </c>
      <c r="N51" s="353" t="s">
        <v>1528</v>
      </c>
      <c r="O51" s="349">
        <v>6.0</v>
      </c>
      <c r="P51" s="369" t="s">
        <v>1524</v>
      </c>
      <c r="Q51" s="354"/>
      <c r="R51" s="370" t="s">
        <v>1654</v>
      </c>
      <c r="S51" s="61">
        <v>1848.0</v>
      </c>
      <c r="T51" s="58">
        <v>7.106</v>
      </c>
      <c r="U51" s="59">
        <f t="shared" si="9"/>
        <v>260.0619195</v>
      </c>
      <c r="V51" s="318">
        <v>1848.0</v>
      </c>
      <c r="W51" s="85"/>
      <c r="X51" s="243"/>
      <c r="Y51" s="243"/>
    </row>
    <row r="52">
      <c r="A52" s="67" t="str">
        <f t="shared" si="7"/>
        <v>752 FeetD/S</v>
      </c>
      <c r="B52" s="81">
        <v>5.0</v>
      </c>
      <c r="C52" s="353" t="s">
        <v>1533</v>
      </c>
      <c r="D52" s="349">
        <v>0.61</v>
      </c>
      <c r="E52" s="369" t="s">
        <v>1524</v>
      </c>
      <c r="F52" s="354"/>
      <c r="G52" s="370" t="s">
        <v>1655</v>
      </c>
      <c r="H52" s="61">
        <v>130.815</v>
      </c>
      <c r="I52" s="58">
        <v>0.463</v>
      </c>
      <c r="J52" s="59">
        <f t="shared" si="8"/>
        <v>282.537797</v>
      </c>
      <c r="K52" s="318">
        <v>131.0</v>
      </c>
      <c r="L52" s="351"/>
      <c r="M52" s="81">
        <v>5.0</v>
      </c>
      <c r="N52" s="353" t="s">
        <v>1533</v>
      </c>
      <c r="O52" s="349">
        <v>0.61</v>
      </c>
      <c r="P52" s="369" t="s">
        <v>1524</v>
      </c>
      <c r="Q52" s="354"/>
      <c r="R52" s="370" t="s">
        <v>1656</v>
      </c>
      <c r="S52" s="61">
        <v>222.3</v>
      </c>
      <c r="T52" s="58">
        <v>0.773</v>
      </c>
      <c r="U52" s="59">
        <f t="shared" si="9"/>
        <v>287.5808538</v>
      </c>
      <c r="V52" s="318">
        <v>222.0</v>
      </c>
      <c r="W52" s="85"/>
      <c r="X52" s="243"/>
      <c r="Y52" s="243"/>
    </row>
    <row r="53">
      <c r="A53" s="67" t="str">
        <f t="shared" si="7"/>
        <v>753 FeetD/S</v>
      </c>
      <c r="B53" s="51">
        <v>6.0</v>
      </c>
      <c r="C53" s="353" t="s">
        <v>1537</v>
      </c>
      <c r="D53" s="349">
        <v>0.92</v>
      </c>
      <c r="E53" s="369" t="s">
        <v>1524</v>
      </c>
      <c r="F53" s="354"/>
      <c r="G53" s="370" t="s">
        <v>1657</v>
      </c>
      <c r="H53" s="61">
        <v>191.235</v>
      </c>
      <c r="I53" s="58">
        <v>0.676</v>
      </c>
      <c r="J53" s="59">
        <f t="shared" si="8"/>
        <v>282.8920118</v>
      </c>
      <c r="K53" s="318">
        <v>191.0</v>
      </c>
      <c r="L53" s="351"/>
      <c r="M53" s="51">
        <v>6.0</v>
      </c>
      <c r="N53" s="353" t="s">
        <v>1537</v>
      </c>
      <c r="O53" s="349">
        <v>0.92</v>
      </c>
      <c r="P53" s="369" t="s">
        <v>1524</v>
      </c>
      <c r="Q53" s="354"/>
      <c r="R53" s="370" t="s">
        <v>1659</v>
      </c>
      <c r="S53" s="61">
        <v>325.46999999999997</v>
      </c>
      <c r="T53" s="58">
        <v>1.131</v>
      </c>
      <c r="U53" s="59">
        <f t="shared" si="9"/>
        <v>287.7718833</v>
      </c>
      <c r="V53" s="318">
        <v>325.0</v>
      </c>
      <c r="W53" s="85"/>
      <c r="X53" s="243"/>
      <c r="Y53" s="243"/>
    </row>
    <row r="54">
      <c r="A54" s="67" t="str">
        <f t="shared" si="7"/>
        <v>754 FeetD/S</v>
      </c>
      <c r="B54" s="81">
        <v>7.0</v>
      </c>
      <c r="C54" s="353" t="s">
        <v>1541</v>
      </c>
      <c r="D54" s="349">
        <v>1.22</v>
      </c>
      <c r="E54" s="369" t="s">
        <v>1524</v>
      </c>
      <c r="F54" s="354"/>
      <c r="G54" s="370" t="s">
        <v>1660</v>
      </c>
      <c r="H54" s="61">
        <v>251.37</v>
      </c>
      <c r="I54" s="58">
        <v>0.888</v>
      </c>
      <c r="J54" s="59">
        <f t="shared" si="8"/>
        <v>283.0743243</v>
      </c>
      <c r="K54" s="318">
        <v>251.0</v>
      </c>
      <c r="L54" s="351"/>
      <c r="M54" s="81">
        <v>7.0</v>
      </c>
      <c r="N54" s="353" t="s">
        <v>1541</v>
      </c>
      <c r="O54" s="349">
        <v>1.22</v>
      </c>
      <c r="P54" s="369" t="s">
        <v>1524</v>
      </c>
      <c r="Q54" s="354"/>
      <c r="R54" s="370" t="s">
        <v>1662</v>
      </c>
      <c r="S54" s="61">
        <v>428.92499999999995</v>
      </c>
      <c r="T54" s="58">
        <v>1.49</v>
      </c>
      <c r="U54" s="59">
        <f t="shared" si="9"/>
        <v>287.8691275</v>
      </c>
      <c r="V54" s="318">
        <v>429.0</v>
      </c>
      <c r="W54" s="85"/>
      <c r="X54" s="243"/>
      <c r="Y54" s="243"/>
    </row>
    <row r="55">
      <c r="A55" s="67" t="str">
        <f t="shared" si="7"/>
        <v>756 FeetD/S</v>
      </c>
      <c r="B55" s="81">
        <v>8.0</v>
      </c>
      <c r="C55" s="353" t="s">
        <v>1544</v>
      </c>
      <c r="D55" s="349">
        <v>1.83</v>
      </c>
      <c r="E55" s="369" t="s">
        <v>1524</v>
      </c>
      <c r="F55" s="354"/>
      <c r="G55" s="370" t="s">
        <v>1663</v>
      </c>
      <c r="H55" s="61">
        <v>372.21000000000004</v>
      </c>
      <c r="I55" s="58">
        <v>1.314</v>
      </c>
      <c r="J55" s="59">
        <f t="shared" si="8"/>
        <v>283.2648402</v>
      </c>
      <c r="K55" s="318">
        <v>372.0</v>
      </c>
      <c r="L55" s="351"/>
      <c r="M55" s="81">
        <v>8.0</v>
      </c>
      <c r="N55" s="353" t="s">
        <v>1544</v>
      </c>
      <c r="O55" s="349">
        <v>1.83</v>
      </c>
      <c r="P55" s="369" t="s">
        <v>1524</v>
      </c>
      <c r="Q55" s="354"/>
      <c r="R55" s="370" t="s">
        <v>1664</v>
      </c>
      <c r="S55" s="61">
        <v>635.8349999999999</v>
      </c>
      <c r="T55" s="58">
        <v>2.206</v>
      </c>
      <c r="U55" s="59">
        <f t="shared" si="9"/>
        <v>288.2298277</v>
      </c>
      <c r="V55" s="318">
        <v>636.0</v>
      </c>
      <c r="W55" s="85"/>
      <c r="X55" s="243"/>
      <c r="Y55" s="243"/>
    </row>
    <row r="56">
      <c r="A56" s="67" t="str">
        <f t="shared" si="7"/>
        <v>756 FeetS/S</v>
      </c>
      <c r="B56" s="81">
        <v>9.0</v>
      </c>
      <c r="C56" s="353" t="s">
        <v>1544</v>
      </c>
      <c r="D56" s="349">
        <v>1.83</v>
      </c>
      <c r="E56" s="369" t="s">
        <v>1519</v>
      </c>
      <c r="F56" s="354"/>
      <c r="G56" s="370" t="s">
        <v>1665</v>
      </c>
      <c r="H56" s="61">
        <v>368.0</v>
      </c>
      <c r="I56" s="58">
        <v>1.314</v>
      </c>
      <c r="J56" s="59">
        <f t="shared" si="8"/>
        <v>280.0608828</v>
      </c>
      <c r="K56" s="318">
        <v>368.0</v>
      </c>
      <c r="L56" s="351"/>
      <c r="M56" s="81">
        <v>9.0</v>
      </c>
      <c r="N56" s="353" t="s">
        <v>1544</v>
      </c>
      <c r="O56" s="349">
        <v>1.83</v>
      </c>
      <c r="P56" s="369" t="s">
        <v>1519</v>
      </c>
      <c r="Q56" s="354"/>
      <c r="R56" s="370" t="s">
        <v>1666</v>
      </c>
      <c r="S56" s="61">
        <v>630.0</v>
      </c>
      <c r="T56" s="58">
        <v>2.206</v>
      </c>
      <c r="U56" s="59">
        <f t="shared" si="9"/>
        <v>285.5847688</v>
      </c>
      <c r="V56" s="318">
        <v>630.0</v>
      </c>
      <c r="W56" s="85"/>
      <c r="X56" s="243"/>
      <c r="Y56" s="243"/>
    </row>
    <row r="57">
      <c r="A57" s="67" t="str">
        <f t="shared" si="7"/>
        <v>754 FeetS/S</v>
      </c>
      <c r="B57" s="81">
        <v>10.0</v>
      </c>
      <c r="C57" s="353" t="s">
        <v>1541</v>
      </c>
      <c r="D57" s="349">
        <v>1.22</v>
      </c>
      <c r="E57" s="369" t="s">
        <v>1519</v>
      </c>
      <c r="F57" s="180"/>
      <c r="G57" s="370" t="s">
        <v>1667</v>
      </c>
      <c r="H57" s="61">
        <v>246.0</v>
      </c>
      <c r="I57" s="58">
        <v>0.888</v>
      </c>
      <c r="J57" s="59">
        <f t="shared" si="8"/>
        <v>277.027027</v>
      </c>
      <c r="K57" s="318">
        <v>246.0</v>
      </c>
      <c r="L57" s="351"/>
      <c r="M57" s="81">
        <v>10.0</v>
      </c>
      <c r="N57" s="353" t="s">
        <v>1541</v>
      </c>
      <c r="O57" s="349">
        <v>1.22</v>
      </c>
      <c r="P57" s="369" t="s">
        <v>1519</v>
      </c>
      <c r="Q57" s="180"/>
      <c r="R57" s="370" t="s">
        <v>1668</v>
      </c>
      <c r="S57" s="61">
        <v>424.0</v>
      </c>
      <c r="T57" s="58">
        <v>1.49</v>
      </c>
      <c r="U57" s="59">
        <f t="shared" si="9"/>
        <v>284.5637584</v>
      </c>
      <c r="V57" s="318">
        <v>424.0</v>
      </c>
      <c r="W57" s="85"/>
      <c r="X57" s="243"/>
      <c r="Y57" s="243"/>
    </row>
    <row r="58">
      <c r="A58" s="67" t="str">
        <f t="shared" ref="A58:A67" si="10">$F$58&amp;C58&amp;E58</f>
        <v>903 MeterS/S</v>
      </c>
      <c r="B58" s="51">
        <v>11.0</v>
      </c>
      <c r="C58" s="353" t="s">
        <v>1518</v>
      </c>
      <c r="D58" s="349">
        <v>3.0</v>
      </c>
      <c r="E58" s="369" t="s">
        <v>1519</v>
      </c>
      <c r="F58" s="371">
        <v>90.0</v>
      </c>
      <c r="G58" s="370" t="s">
        <v>1670</v>
      </c>
      <c r="H58" s="61">
        <v>688.0</v>
      </c>
      <c r="I58" s="58">
        <v>2.696</v>
      </c>
      <c r="J58" s="59">
        <f t="shared" si="8"/>
        <v>255.1928783</v>
      </c>
      <c r="K58" s="318">
        <v>688.0</v>
      </c>
      <c r="L58" s="351"/>
      <c r="M58" s="51">
        <v>11.0</v>
      </c>
      <c r="N58" s="353" t="s">
        <v>1518</v>
      </c>
      <c r="O58" s="349">
        <v>3.0</v>
      </c>
      <c r="P58" s="369" t="s">
        <v>1519</v>
      </c>
      <c r="Q58" s="371">
        <v>90.0</v>
      </c>
      <c r="R58" s="370" t="s">
        <v>1671</v>
      </c>
      <c r="S58" s="61">
        <v>1098.0</v>
      </c>
      <c r="T58" s="58">
        <v>4.346</v>
      </c>
      <c r="U58" s="59">
        <f t="shared" si="9"/>
        <v>252.6461114</v>
      </c>
      <c r="V58" s="318">
        <v>1098.0</v>
      </c>
      <c r="W58" s="85"/>
      <c r="X58" s="243"/>
      <c r="Y58" s="243"/>
    </row>
    <row r="59">
      <c r="A59" s="67" t="str">
        <f t="shared" si="10"/>
        <v>903 MeterD/S</v>
      </c>
      <c r="B59" s="81">
        <v>12.0</v>
      </c>
      <c r="C59" s="353" t="s">
        <v>1518</v>
      </c>
      <c r="D59" s="349">
        <v>3.0</v>
      </c>
      <c r="E59" s="369" t="s">
        <v>1524</v>
      </c>
      <c r="F59" s="354"/>
      <c r="G59" s="370" t="s">
        <v>1673</v>
      </c>
      <c r="H59" s="61">
        <v>694.0</v>
      </c>
      <c r="I59" s="58">
        <v>2.696</v>
      </c>
      <c r="J59" s="59">
        <f t="shared" si="8"/>
        <v>257.4183976</v>
      </c>
      <c r="K59" s="318">
        <v>694.0</v>
      </c>
      <c r="L59" s="351"/>
      <c r="M59" s="81">
        <v>12.0</v>
      </c>
      <c r="N59" s="353" t="s">
        <v>1518</v>
      </c>
      <c r="O59" s="349">
        <v>3.0</v>
      </c>
      <c r="P59" s="369" t="s">
        <v>1524</v>
      </c>
      <c r="Q59" s="354"/>
      <c r="R59" s="370" t="s">
        <v>1674</v>
      </c>
      <c r="S59" s="61">
        <v>1108.0</v>
      </c>
      <c r="T59" s="58">
        <v>4.346</v>
      </c>
      <c r="U59" s="59">
        <f t="shared" si="9"/>
        <v>254.9470778</v>
      </c>
      <c r="V59" s="318">
        <v>1108.0</v>
      </c>
      <c r="W59" s="85"/>
      <c r="X59" s="243"/>
      <c r="Y59" s="243"/>
    </row>
    <row r="60">
      <c r="A60" s="67" t="str">
        <f t="shared" si="10"/>
        <v>906 MeterS/S</v>
      </c>
      <c r="B60" s="81">
        <v>13.0</v>
      </c>
      <c r="C60" s="353" t="s">
        <v>1528</v>
      </c>
      <c r="D60" s="349">
        <v>6.0</v>
      </c>
      <c r="E60" s="369" t="s">
        <v>1519</v>
      </c>
      <c r="F60" s="354"/>
      <c r="G60" s="370" t="s">
        <v>1675</v>
      </c>
      <c r="H60" s="61">
        <v>1376.0</v>
      </c>
      <c r="I60" s="58">
        <v>5.34</v>
      </c>
      <c r="J60" s="59">
        <f t="shared" si="8"/>
        <v>257.6779026</v>
      </c>
      <c r="K60" s="318">
        <v>1376.0</v>
      </c>
      <c r="L60" s="351"/>
      <c r="M60" s="81">
        <v>13.0</v>
      </c>
      <c r="N60" s="353" t="s">
        <v>1528</v>
      </c>
      <c r="O60" s="349">
        <v>6.0</v>
      </c>
      <c r="P60" s="369" t="s">
        <v>1519</v>
      </c>
      <c r="Q60" s="354"/>
      <c r="R60" s="370" t="s">
        <v>1676</v>
      </c>
      <c r="S60" s="61">
        <v>2196.0</v>
      </c>
      <c r="T60" s="58">
        <v>8.608</v>
      </c>
      <c r="U60" s="59">
        <f t="shared" si="9"/>
        <v>255.1115242</v>
      </c>
      <c r="V60" s="318">
        <v>2196.0</v>
      </c>
      <c r="W60" s="85"/>
      <c r="X60" s="243"/>
      <c r="Y60" s="243"/>
    </row>
    <row r="61">
      <c r="A61" s="67" t="str">
        <f t="shared" si="10"/>
        <v>906 MeterD/S</v>
      </c>
      <c r="B61" s="81">
        <v>14.0</v>
      </c>
      <c r="C61" s="353" t="s">
        <v>1528</v>
      </c>
      <c r="D61" s="349">
        <v>6.0</v>
      </c>
      <c r="E61" s="369" t="s">
        <v>1524</v>
      </c>
      <c r="F61" s="354"/>
      <c r="G61" s="370" t="s">
        <v>1677</v>
      </c>
      <c r="H61" s="61">
        <v>1382.0</v>
      </c>
      <c r="I61" s="58">
        <v>5.34</v>
      </c>
      <c r="J61" s="59">
        <f t="shared" si="8"/>
        <v>258.8014981</v>
      </c>
      <c r="K61" s="318">
        <v>1382.0</v>
      </c>
      <c r="L61" s="351"/>
      <c r="M61" s="81">
        <v>14.0</v>
      </c>
      <c r="N61" s="353" t="s">
        <v>1528</v>
      </c>
      <c r="O61" s="349">
        <v>6.0</v>
      </c>
      <c r="P61" s="369" t="s">
        <v>1524</v>
      </c>
      <c r="Q61" s="354"/>
      <c r="R61" s="370" t="s">
        <v>1678</v>
      </c>
      <c r="S61" s="61">
        <v>2208.0</v>
      </c>
      <c r="T61" s="58">
        <v>8.608</v>
      </c>
      <c r="U61" s="59">
        <f t="shared" si="9"/>
        <v>256.5055762</v>
      </c>
      <c r="V61" s="318">
        <v>2208.0</v>
      </c>
      <c r="W61" s="85"/>
      <c r="X61" s="243"/>
      <c r="Y61" s="243"/>
    </row>
    <row r="62">
      <c r="A62" s="67" t="str">
        <f t="shared" si="10"/>
        <v>902 FeetD/S</v>
      </c>
      <c r="B62" s="81">
        <v>15.0</v>
      </c>
      <c r="C62" s="353" t="s">
        <v>1533</v>
      </c>
      <c r="D62" s="349">
        <v>0.61</v>
      </c>
      <c r="E62" s="369" t="s">
        <v>1524</v>
      </c>
      <c r="F62" s="354"/>
      <c r="G62" s="370" t="s">
        <v>1679</v>
      </c>
      <c r="H62" s="61">
        <v>167.01</v>
      </c>
      <c r="I62" s="58">
        <v>0.59</v>
      </c>
      <c r="J62" s="59">
        <f t="shared" si="8"/>
        <v>283.0677966</v>
      </c>
      <c r="K62" s="318">
        <v>167.0</v>
      </c>
      <c r="L62" s="351"/>
      <c r="M62" s="81">
        <v>15.0</v>
      </c>
      <c r="N62" s="353" t="s">
        <v>1533</v>
      </c>
      <c r="O62" s="349">
        <v>0.61</v>
      </c>
      <c r="P62" s="369" t="s">
        <v>1524</v>
      </c>
      <c r="Q62" s="354"/>
      <c r="R62" s="370" t="s">
        <v>1680</v>
      </c>
      <c r="S62" s="61">
        <v>273.59999999999997</v>
      </c>
      <c r="T62" s="58">
        <v>0.951</v>
      </c>
      <c r="U62" s="59">
        <f t="shared" si="9"/>
        <v>287.6971609</v>
      </c>
      <c r="V62" s="318">
        <v>274.0</v>
      </c>
      <c r="W62" s="85"/>
      <c r="X62" s="243"/>
      <c r="Y62" s="243"/>
    </row>
    <row r="63">
      <c r="A63" s="67" t="str">
        <f t="shared" si="10"/>
        <v>903 FeetD/S</v>
      </c>
      <c r="B63" s="51">
        <v>16.0</v>
      </c>
      <c r="C63" s="353" t="s">
        <v>1537</v>
      </c>
      <c r="D63" s="349">
        <v>0.92</v>
      </c>
      <c r="E63" s="369" t="s">
        <v>1524</v>
      </c>
      <c r="F63" s="354"/>
      <c r="G63" s="370" t="s">
        <v>1682</v>
      </c>
      <c r="H63" s="61">
        <v>243.105</v>
      </c>
      <c r="I63" s="58">
        <v>0.859</v>
      </c>
      <c r="J63" s="59">
        <f t="shared" si="8"/>
        <v>283.0093132</v>
      </c>
      <c r="K63" s="318">
        <v>243.0</v>
      </c>
      <c r="L63" s="351"/>
      <c r="M63" s="51">
        <v>16.0</v>
      </c>
      <c r="N63" s="353" t="s">
        <v>1537</v>
      </c>
      <c r="O63" s="349">
        <v>0.92</v>
      </c>
      <c r="P63" s="369" t="s">
        <v>1524</v>
      </c>
      <c r="Q63" s="354"/>
      <c r="R63" s="370" t="s">
        <v>1683</v>
      </c>
      <c r="S63" s="61">
        <v>398.71500000000003</v>
      </c>
      <c r="T63" s="58">
        <v>1.384</v>
      </c>
      <c r="U63" s="59">
        <f t="shared" si="9"/>
        <v>288.0888728</v>
      </c>
      <c r="V63" s="318">
        <v>399.0</v>
      </c>
      <c r="W63" s="85"/>
      <c r="X63" s="243"/>
      <c r="Y63" s="243"/>
    </row>
    <row r="64">
      <c r="A64" s="67" t="str">
        <f t="shared" si="10"/>
        <v>904 FeetD/S</v>
      </c>
      <c r="B64" s="81">
        <v>17.0</v>
      </c>
      <c r="C64" s="353" t="s">
        <v>1541</v>
      </c>
      <c r="D64" s="349">
        <v>1.22</v>
      </c>
      <c r="E64" s="369" t="s">
        <v>1524</v>
      </c>
      <c r="F64" s="354"/>
      <c r="G64" s="370" t="s">
        <v>1685</v>
      </c>
      <c r="H64" s="61">
        <v>318.0</v>
      </c>
      <c r="I64" s="58">
        <v>1.128</v>
      </c>
      <c r="J64" s="59">
        <f t="shared" si="8"/>
        <v>281.9148936</v>
      </c>
      <c r="K64" s="318">
        <v>318.0</v>
      </c>
      <c r="L64" s="351"/>
      <c r="M64" s="81">
        <v>17.0</v>
      </c>
      <c r="N64" s="353" t="s">
        <v>1541</v>
      </c>
      <c r="O64" s="349">
        <v>1.22</v>
      </c>
      <c r="P64" s="369" t="s">
        <v>1524</v>
      </c>
      <c r="Q64" s="354"/>
      <c r="R64" s="370" t="s">
        <v>1686</v>
      </c>
      <c r="S64" s="61">
        <v>523.83</v>
      </c>
      <c r="T64" s="58">
        <v>1.818</v>
      </c>
      <c r="U64" s="59">
        <f t="shared" si="9"/>
        <v>288.1353135</v>
      </c>
      <c r="V64" s="318">
        <v>524.0</v>
      </c>
      <c r="W64" s="85"/>
      <c r="X64" s="243"/>
      <c r="Y64" s="243"/>
    </row>
    <row r="65">
      <c r="A65" s="67" t="str">
        <f t="shared" si="10"/>
        <v>906 FeetD/S</v>
      </c>
      <c r="B65" s="81">
        <v>18.0</v>
      </c>
      <c r="C65" s="353" t="s">
        <v>1544</v>
      </c>
      <c r="D65" s="349">
        <v>1.83</v>
      </c>
      <c r="E65" s="369" t="s">
        <v>1524</v>
      </c>
      <c r="F65" s="354"/>
      <c r="G65" s="370" t="s">
        <v>1687</v>
      </c>
      <c r="H65" s="61">
        <v>471.96</v>
      </c>
      <c r="I65" s="58">
        <v>1.665</v>
      </c>
      <c r="J65" s="59">
        <f t="shared" si="8"/>
        <v>283.4594595</v>
      </c>
      <c r="K65" s="318">
        <v>472.0</v>
      </c>
      <c r="L65" s="351"/>
      <c r="M65" s="81">
        <v>18.0</v>
      </c>
      <c r="N65" s="353" t="s">
        <v>1544</v>
      </c>
      <c r="O65" s="349">
        <v>1.83</v>
      </c>
      <c r="P65" s="369" t="s">
        <v>1524</v>
      </c>
      <c r="Q65" s="354"/>
      <c r="R65" s="370" t="s">
        <v>1689</v>
      </c>
      <c r="S65" s="61">
        <v>773.775</v>
      </c>
      <c r="T65" s="58">
        <v>2.684</v>
      </c>
      <c r="U65" s="59">
        <f t="shared" si="9"/>
        <v>288.2917288</v>
      </c>
      <c r="V65" s="318">
        <v>774.0</v>
      </c>
      <c r="W65" s="85"/>
      <c r="X65" s="243"/>
      <c r="Y65" s="243"/>
    </row>
    <row r="66">
      <c r="A66" s="67" t="str">
        <f t="shared" si="10"/>
        <v>906 FeetS/S</v>
      </c>
      <c r="B66" s="81">
        <v>19.0</v>
      </c>
      <c r="C66" s="353" t="s">
        <v>1544</v>
      </c>
      <c r="D66" s="349">
        <v>1.83</v>
      </c>
      <c r="E66" s="369" t="s">
        <v>1519</v>
      </c>
      <c r="F66" s="354"/>
      <c r="G66" s="370" t="s">
        <v>1690</v>
      </c>
      <c r="H66" s="61">
        <v>466.0</v>
      </c>
      <c r="I66" s="58">
        <v>1.665</v>
      </c>
      <c r="J66" s="59">
        <f t="shared" si="8"/>
        <v>279.8798799</v>
      </c>
      <c r="K66" s="318">
        <v>466.0</v>
      </c>
      <c r="L66" s="351"/>
      <c r="M66" s="81">
        <v>19.0</v>
      </c>
      <c r="N66" s="353" t="s">
        <v>1544</v>
      </c>
      <c r="O66" s="349">
        <v>1.83</v>
      </c>
      <c r="P66" s="369" t="s">
        <v>1519</v>
      </c>
      <c r="Q66" s="354"/>
      <c r="R66" s="370" t="s">
        <v>1691</v>
      </c>
      <c r="S66" s="61">
        <v>773.775</v>
      </c>
      <c r="T66" s="58">
        <v>2.684</v>
      </c>
      <c r="U66" s="59">
        <f t="shared" si="9"/>
        <v>288.2917288</v>
      </c>
      <c r="V66" s="318">
        <v>774.0</v>
      </c>
      <c r="W66" s="85"/>
      <c r="X66" s="243"/>
      <c r="Y66" s="243"/>
    </row>
    <row r="67">
      <c r="A67" s="67" t="str">
        <f t="shared" si="10"/>
        <v>904 FeetS/S</v>
      </c>
      <c r="B67" s="81">
        <v>20.0</v>
      </c>
      <c r="C67" s="353" t="s">
        <v>1541</v>
      </c>
      <c r="D67" s="349">
        <v>1.22</v>
      </c>
      <c r="E67" s="369" t="s">
        <v>1519</v>
      </c>
      <c r="F67" s="180"/>
      <c r="G67" s="370" t="s">
        <v>1694</v>
      </c>
      <c r="H67" s="61">
        <v>312.0</v>
      </c>
      <c r="I67" s="58">
        <v>1.128</v>
      </c>
      <c r="J67" s="59">
        <f t="shared" si="8"/>
        <v>276.5957447</v>
      </c>
      <c r="K67" s="318">
        <v>312.0</v>
      </c>
      <c r="L67" s="351"/>
      <c r="M67" s="81">
        <v>20.0</v>
      </c>
      <c r="N67" s="353" t="s">
        <v>1541</v>
      </c>
      <c r="O67" s="349">
        <v>1.22</v>
      </c>
      <c r="P67" s="369" t="s">
        <v>1519</v>
      </c>
      <c r="Q67" s="180"/>
      <c r="R67" s="370" t="s">
        <v>1695</v>
      </c>
      <c r="S67" s="61">
        <v>523.83</v>
      </c>
      <c r="T67" s="58">
        <v>1.818</v>
      </c>
      <c r="U67" s="59">
        <f t="shared" si="9"/>
        <v>288.1353135</v>
      </c>
      <c r="V67" s="318">
        <v>524.0</v>
      </c>
      <c r="W67" s="85"/>
      <c r="X67" s="243"/>
      <c r="Y67" s="243"/>
    </row>
    <row r="68">
      <c r="A68" s="67" t="str">
        <f t="shared" ref="A68:A77" si="11">$F$68&amp;C68&amp;E68</f>
        <v>1103 MeterS/S</v>
      </c>
      <c r="B68" s="51">
        <v>21.0</v>
      </c>
      <c r="C68" s="353" t="s">
        <v>1518</v>
      </c>
      <c r="D68" s="349">
        <v>3.0</v>
      </c>
      <c r="E68" s="369" t="s">
        <v>1519</v>
      </c>
      <c r="F68" s="371">
        <v>110.0</v>
      </c>
      <c r="G68" s="370" t="s">
        <v>1696</v>
      </c>
      <c r="H68" s="61">
        <v>966.0</v>
      </c>
      <c r="I68" s="58">
        <v>3.779</v>
      </c>
      <c r="J68" s="59">
        <f t="shared" si="8"/>
        <v>255.6231807</v>
      </c>
      <c r="K68" s="318">
        <v>966.0</v>
      </c>
      <c r="L68" s="351"/>
      <c r="M68" s="51">
        <v>21.0</v>
      </c>
      <c r="N68" s="353" t="s">
        <v>1518</v>
      </c>
      <c r="O68" s="349">
        <v>3.0</v>
      </c>
      <c r="P68" s="369" t="s">
        <v>1519</v>
      </c>
      <c r="Q68" s="371">
        <v>110.0</v>
      </c>
      <c r="R68" s="370" t="s">
        <v>1697</v>
      </c>
      <c r="S68" s="61">
        <v>1378.0</v>
      </c>
      <c r="T68" s="58">
        <v>5.36</v>
      </c>
      <c r="U68" s="59">
        <f t="shared" si="9"/>
        <v>257.0895522</v>
      </c>
      <c r="V68" s="318">
        <v>1378.0</v>
      </c>
      <c r="W68" s="85"/>
      <c r="X68" s="243"/>
      <c r="Y68" s="243"/>
    </row>
    <row r="69">
      <c r="A69" s="67" t="str">
        <f t="shared" si="11"/>
        <v>1103 MeterD/S</v>
      </c>
      <c r="B69" s="81">
        <v>22.0</v>
      </c>
      <c r="C69" s="353" t="s">
        <v>1518</v>
      </c>
      <c r="D69" s="349">
        <v>3.0</v>
      </c>
      <c r="E69" s="369" t="s">
        <v>1524</v>
      </c>
      <c r="F69" s="354"/>
      <c r="G69" s="370" t="s">
        <v>1699</v>
      </c>
      <c r="H69" s="61">
        <v>972.0</v>
      </c>
      <c r="I69" s="58">
        <v>3.779</v>
      </c>
      <c r="J69" s="59">
        <f t="shared" si="8"/>
        <v>257.2109024</v>
      </c>
      <c r="K69" s="318">
        <v>972.0</v>
      </c>
      <c r="L69" s="351"/>
      <c r="M69" s="81">
        <v>22.0</v>
      </c>
      <c r="N69" s="353" t="s">
        <v>1518</v>
      </c>
      <c r="O69" s="349">
        <v>3.0</v>
      </c>
      <c r="P69" s="369" t="s">
        <v>1524</v>
      </c>
      <c r="Q69" s="354"/>
      <c r="R69" s="370" t="s">
        <v>1700</v>
      </c>
      <c r="S69" s="61">
        <v>1384.0</v>
      </c>
      <c r="T69" s="58">
        <v>5.36</v>
      </c>
      <c r="U69" s="59">
        <f t="shared" si="9"/>
        <v>258.2089552</v>
      </c>
      <c r="V69" s="318">
        <v>1384.0</v>
      </c>
      <c r="W69" s="85"/>
      <c r="X69" s="243"/>
      <c r="Y69" s="243"/>
    </row>
    <row r="70">
      <c r="A70" s="67" t="str">
        <f t="shared" si="11"/>
        <v>1106 MeterS/S</v>
      </c>
      <c r="B70" s="81">
        <v>23.0</v>
      </c>
      <c r="C70" s="353" t="s">
        <v>1528</v>
      </c>
      <c r="D70" s="349">
        <v>6.0</v>
      </c>
      <c r="E70" s="369" t="s">
        <v>1519</v>
      </c>
      <c r="F70" s="354"/>
      <c r="G70" s="370" t="s">
        <v>1702</v>
      </c>
      <c r="H70" s="61">
        <v>1932.0</v>
      </c>
      <c r="I70" s="58">
        <v>7.476</v>
      </c>
      <c r="J70" s="59">
        <f t="shared" si="8"/>
        <v>258.4269663</v>
      </c>
      <c r="K70" s="318">
        <v>1932.0</v>
      </c>
      <c r="L70" s="351"/>
      <c r="M70" s="81">
        <v>23.0</v>
      </c>
      <c r="N70" s="353" t="s">
        <v>1528</v>
      </c>
      <c r="O70" s="349">
        <v>6.0</v>
      </c>
      <c r="P70" s="369" t="s">
        <v>1519</v>
      </c>
      <c r="Q70" s="354"/>
      <c r="R70" s="370" t="s">
        <v>1703</v>
      </c>
      <c r="S70" s="61">
        <v>2756.0</v>
      </c>
      <c r="T70" s="58">
        <v>10.605</v>
      </c>
      <c r="U70" s="59">
        <f t="shared" si="9"/>
        <v>259.8774163</v>
      </c>
      <c r="V70" s="318">
        <v>2756.0</v>
      </c>
      <c r="W70" s="85"/>
      <c r="X70" s="243"/>
      <c r="Y70" s="243"/>
    </row>
    <row r="71">
      <c r="A71" s="67" t="str">
        <f t="shared" si="11"/>
        <v>1106 MeterD/S</v>
      </c>
      <c r="B71" s="81">
        <v>24.0</v>
      </c>
      <c r="C71" s="353" t="s">
        <v>1528</v>
      </c>
      <c r="D71" s="349">
        <v>6.0</v>
      </c>
      <c r="E71" s="369" t="s">
        <v>1524</v>
      </c>
      <c r="F71" s="354"/>
      <c r="G71" s="370" t="s">
        <v>1705</v>
      </c>
      <c r="H71" s="61">
        <v>1938.0</v>
      </c>
      <c r="I71" s="58">
        <v>7.476</v>
      </c>
      <c r="J71" s="59">
        <f t="shared" si="8"/>
        <v>259.2295345</v>
      </c>
      <c r="K71" s="318">
        <v>1938.0</v>
      </c>
      <c r="L71" s="351"/>
      <c r="M71" s="81">
        <v>24.0</v>
      </c>
      <c r="N71" s="353" t="s">
        <v>1528</v>
      </c>
      <c r="O71" s="349">
        <v>6.0</v>
      </c>
      <c r="P71" s="369" t="s">
        <v>1524</v>
      </c>
      <c r="Q71" s="354"/>
      <c r="R71" s="370" t="s">
        <v>1706</v>
      </c>
      <c r="S71" s="61">
        <v>2762.0</v>
      </c>
      <c r="T71" s="58">
        <v>10.605</v>
      </c>
      <c r="U71" s="59">
        <f t="shared" si="9"/>
        <v>260.4431872</v>
      </c>
      <c r="V71" s="318">
        <v>2762.0</v>
      </c>
      <c r="W71" s="85"/>
      <c r="X71" s="243"/>
      <c r="Y71" s="243"/>
    </row>
    <row r="72">
      <c r="A72" s="67" t="str">
        <f t="shared" si="11"/>
        <v>1102 FeetD/S</v>
      </c>
      <c r="B72" s="81">
        <v>25.0</v>
      </c>
      <c r="C72" s="353" t="s">
        <v>1533</v>
      </c>
      <c r="D72" s="349">
        <v>0.61</v>
      </c>
      <c r="E72" s="369" t="s">
        <v>1524</v>
      </c>
      <c r="F72" s="354"/>
      <c r="G72" s="370" t="s">
        <v>1707</v>
      </c>
      <c r="H72" s="61">
        <v>240.54</v>
      </c>
      <c r="I72" s="58">
        <v>0.833</v>
      </c>
      <c r="J72" s="59">
        <f t="shared" si="8"/>
        <v>288.7635054</v>
      </c>
      <c r="K72" s="318">
        <v>241.0</v>
      </c>
      <c r="L72" s="351"/>
      <c r="M72" s="81">
        <v>25.0</v>
      </c>
      <c r="N72" s="353" t="s">
        <v>1533</v>
      </c>
      <c r="O72" s="349">
        <v>0.61</v>
      </c>
      <c r="P72" s="369" t="s">
        <v>1524</v>
      </c>
      <c r="Q72" s="354"/>
      <c r="R72" s="370" t="s">
        <v>1708</v>
      </c>
      <c r="S72" s="61">
        <v>336.0</v>
      </c>
      <c r="T72" s="58">
        <v>1.181</v>
      </c>
      <c r="U72" s="59">
        <f t="shared" si="9"/>
        <v>284.5046571</v>
      </c>
      <c r="V72" s="318">
        <v>336.0</v>
      </c>
      <c r="W72" s="85"/>
      <c r="X72" s="243"/>
      <c r="Y72" s="243"/>
    </row>
    <row r="73">
      <c r="A73" s="67" t="str">
        <f t="shared" si="11"/>
        <v>1103 FeetD/S</v>
      </c>
      <c r="B73" s="51">
        <v>26.0</v>
      </c>
      <c r="C73" s="353" t="s">
        <v>1537</v>
      </c>
      <c r="D73" s="349">
        <v>0.92</v>
      </c>
      <c r="E73" s="369" t="s">
        <v>1524</v>
      </c>
      <c r="F73" s="354"/>
      <c r="G73" s="370" t="s">
        <v>1710</v>
      </c>
      <c r="H73" s="61">
        <v>349.125</v>
      </c>
      <c r="I73" s="58">
        <v>1.209</v>
      </c>
      <c r="J73" s="59">
        <f t="shared" si="8"/>
        <v>288.7717122</v>
      </c>
      <c r="K73" s="318">
        <v>349.0</v>
      </c>
      <c r="L73" s="351"/>
      <c r="M73" s="51">
        <v>26.0</v>
      </c>
      <c r="N73" s="353" t="s">
        <v>1537</v>
      </c>
      <c r="O73" s="349">
        <v>0.92</v>
      </c>
      <c r="P73" s="369" t="s">
        <v>1524</v>
      </c>
      <c r="Q73" s="354"/>
      <c r="R73" s="370" t="s">
        <v>1711</v>
      </c>
      <c r="S73" s="61">
        <v>488.0</v>
      </c>
      <c r="T73" s="58">
        <v>1.715</v>
      </c>
      <c r="U73" s="59">
        <f t="shared" si="9"/>
        <v>284.548105</v>
      </c>
      <c r="V73" s="318">
        <v>488.0</v>
      </c>
      <c r="W73" s="85"/>
      <c r="X73" s="243"/>
      <c r="Y73" s="243"/>
    </row>
    <row r="74">
      <c r="A74" s="67" t="str">
        <f t="shared" si="11"/>
        <v>1104 FeetD/S</v>
      </c>
      <c r="B74" s="81">
        <v>27.0</v>
      </c>
      <c r="C74" s="353" t="s">
        <v>1541</v>
      </c>
      <c r="D74" s="349">
        <v>1.22</v>
      </c>
      <c r="E74" s="369" t="s">
        <v>1524</v>
      </c>
      <c r="F74" s="354"/>
      <c r="G74" s="370" t="s">
        <v>1712</v>
      </c>
      <c r="H74" s="61">
        <v>457.995</v>
      </c>
      <c r="I74" s="58">
        <v>1.585</v>
      </c>
      <c r="J74" s="59">
        <f t="shared" si="8"/>
        <v>288.955836</v>
      </c>
      <c r="K74" s="318">
        <v>457.995</v>
      </c>
      <c r="L74" s="351"/>
      <c r="M74" s="81">
        <v>27.0</v>
      </c>
      <c r="N74" s="353" t="s">
        <v>1541</v>
      </c>
      <c r="O74" s="349">
        <v>1.22</v>
      </c>
      <c r="P74" s="369" t="s">
        <v>1524</v>
      </c>
      <c r="Q74" s="354"/>
      <c r="R74" s="370" t="s">
        <v>1713</v>
      </c>
      <c r="S74" s="61">
        <v>648.0</v>
      </c>
      <c r="T74" s="58">
        <v>2.248</v>
      </c>
      <c r="U74" s="59">
        <f t="shared" si="9"/>
        <v>288.2562278</v>
      </c>
      <c r="V74" s="318">
        <v>648.0</v>
      </c>
      <c r="W74" s="85"/>
      <c r="X74" s="243"/>
      <c r="Y74" s="243"/>
    </row>
    <row r="75">
      <c r="A75" s="67" t="str">
        <f t="shared" si="11"/>
        <v>1106 FeetD/S</v>
      </c>
      <c r="B75" s="81">
        <v>28.0</v>
      </c>
      <c r="C75" s="353" t="s">
        <v>1544</v>
      </c>
      <c r="D75" s="349">
        <v>1.83</v>
      </c>
      <c r="E75" s="369" t="s">
        <v>1524</v>
      </c>
      <c r="F75" s="354"/>
      <c r="G75" s="370" t="s">
        <v>1714</v>
      </c>
      <c r="H75" s="61">
        <v>675.735</v>
      </c>
      <c r="I75" s="58">
        <v>2.336</v>
      </c>
      <c r="J75" s="59">
        <f t="shared" si="8"/>
        <v>289.2701199</v>
      </c>
      <c r="K75" s="318">
        <v>676.0</v>
      </c>
      <c r="L75" s="351"/>
      <c r="M75" s="81">
        <v>28.0</v>
      </c>
      <c r="N75" s="353" t="s">
        <v>1544</v>
      </c>
      <c r="O75" s="349">
        <v>1.83</v>
      </c>
      <c r="P75" s="369" t="s">
        <v>1524</v>
      </c>
      <c r="Q75" s="354"/>
      <c r="R75" s="370" t="s">
        <v>1716</v>
      </c>
      <c r="S75" s="61">
        <v>938.0</v>
      </c>
      <c r="T75" s="58">
        <v>3.314</v>
      </c>
      <c r="U75" s="59">
        <f t="shared" si="9"/>
        <v>283.0416415</v>
      </c>
      <c r="V75" s="318">
        <v>938.0</v>
      </c>
      <c r="W75" s="85"/>
      <c r="X75" s="243"/>
      <c r="Y75" s="243"/>
    </row>
    <row r="76">
      <c r="A76" s="67" t="str">
        <f t="shared" si="11"/>
        <v>1106 FeetS/S</v>
      </c>
      <c r="B76" s="81">
        <v>29.0</v>
      </c>
      <c r="C76" s="353" t="s">
        <v>1544</v>
      </c>
      <c r="D76" s="349">
        <v>1.83</v>
      </c>
      <c r="E76" s="369" t="s">
        <v>1519</v>
      </c>
      <c r="F76" s="354"/>
      <c r="G76" s="370" t="s">
        <v>1717</v>
      </c>
      <c r="H76" s="61">
        <v>670.0</v>
      </c>
      <c r="I76" s="58">
        <v>2.336</v>
      </c>
      <c r="J76" s="59">
        <f t="shared" si="8"/>
        <v>286.8150685</v>
      </c>
      <c r="K76" s="318">
        <v>670.0</v>
      </c>
      <c r="L76" s="351"/>
      <c r="M76" s="81">
        <v>29.0</v>
      </c>
      <c r="N76" s="353" t="s">
        <v>1544</v>
      </c>
      <c r="O76" s="349">
        <v>1.83</v>
      </c>
      <c r="P76" s="369" t="s">
        <v>1519</v>
      </c>
      <c r="Q76" s="354"/>
      <c r="R76" s="370" t="s">
        <v>1718</v>
      </c>
      <c r="S76" s="61">
        <v>930.0</v>
      </c>
      <c r="T76" s="58">
        <v>3.314</v>
      </c>
      <c r="U76" s="59">
        <f t="shared" si="9"/>
        <v>280.6276403</v>
      </c>
      <c r="V76" s="318">
        <v>930.0</v>
      </c>
      <c r="W76" s="85"/>
      <c r="X76" s="243"/>
      <c r="Y76" s="243"/>
    </row>
    <row r="77">
      <c r="A77" s="67" t="str">
        <f t="shared" si="11"/>
        <v>1104 FeetS/S</v>
      </c>
      <c r="B77" s="81">
        <v>30.0</v>
      </c>
      <c r="C77" s="353" t="s">
        <v>1541</v>
      </c>
      <c r="D77" s="349">
        <v>1.22</v>
      </c>
      <c r="E77" s="369" t="s">
        <v>1519</v>
      </c>
      <c r="F77" s="180"/>
      <c r="G77" s="370" t="s">
        <v>1721</v>
      </c>
      <c r="H77" s="61">
        <v>452.0</v>
      </c>
      <c r="I77" s="58">
        <v>1.585</v>
      </c>
      <c r="J77" s="59">
        <f t="shared" si="8"/>
        <v>285.1735016</v>
      </c>
      <c r="K77" s="318">
        <v>452.0</v>
      </c>
      <c r="L77" s="351"/>
      <c r="M77" s="81">
        <v>30.0</v>
      </c>
      <c r="N77" s="353" t="s">
        <v>1541</v>
      </c>
      <c r="O77" s="349">
        <v>1.22</v>
      </c>
      <c r="P77" s="369" t="s">
        <v>1519</v>
      </c>
      <c r="Q77" s="180"/>
      <c r="R77" s="370" t="s">
        <v>1722</v>
      </c>
      <c r="S77" s="61">
        <v>640.0</v>
      </c>
      <c r="T77" s="58">
        <v>2.248</v>
      </c>
      <c r="U77" s="59">
        <f t="shared" si="9"/>
        <v>284.6975089</v>
      </c>
      <c r="V77" s="318">
        <v>640.0</v>
      </c>
      <c r="W77" s="85"/>
      <c r="X77" s="243"/>
      <c r="Y77" s="243"/>
    </row>
    <row r="78">
      <c r="A78" s="67" t="str">
        <f t="shared" ref="A78:A87" si="12">$F$78&amp;C78&amp;E78</f>
        <v>1603 MeterS/S</v>
      </c>
      <c r="B78" s="51">
        <v>31.0</v>
      </c>
      <c r="C78" s="353" t="s">
        <v>1518</v>
      </c>
      <c r="D78" s="349">
        <v>3.0</v>
      </c>
      <c r="E78" s="369" t="s">
        <v>1519</v>
      </c>
      <c r="F78" s="371">
        <v>160.0</v>
      </c>
      <c r="G78" s="370" t="s">
        <v>1724</v>
      </c>
      <c r="H78" s="61">
        <v>2038.0</v>
      </c>
      <c r="I78" s="58">
        <v>7.919</v>
      </c>
      <c r="J78" s="59">
        <f t="shared" si="8"/>
        <v>257.3557267</v>
      </c>
      <c r="K78" s="318">
        <v>2038.0</v>
      </c>
      <c r="L78" s="351"/>
      <c r="M78" s="51">
        <v>31.0</v>
      </c>
      <c r="N78" s="353" t="s">
        <v>1518</v>
      </c>
      <c r="O78" s="349">
        <v>3.0</v>
      </c>
      <c r="P78" s="369" t="s">
        <v>1519</v>
      </c>
      <c r="Q78" s="371">
        <v>160.0</v>
      </c>
      <c r="R78" s="370" t="s">
        <v>1726</v>
      </c>
      <c r="S78" s="61">
        <v>2488.0</v>
      </c>
      <c r="T78" s="58">
        <v>9.712</v>
      </c>
      <c r="U78" s="59">
        <f t="shared" si="9"/>
        <v>256.1779242</v>
      </c>
      <c r="V78" s="318">
        <v>2488.0</v>
      </c>
      <c r="W78" s="85"/>
      <c r="X78" s="243"/>
      <c r="Y78" s="243"/>
    </row>
    <row r="79">
      <c r="A79" s="67" t="str">
        <f t="shared" si="12"/>
        <v>1603 MeterD/S</v>
      </c>
      <c r="B79" s="81">
        <v>32.0</v>
      </c>
      <c r="C79" s="353" t="s">
        <v>1518</v>
      </c>
      <c r="D79" s="349">
        <v>3.0</v>
      </c>
      <c r="E79" s="369" t="s">
        <v>1524</v>
      </c>
      <c r="F79" s="354"/>
      <c r="G79" s="370" t="s">
        <v>1727</v>
      </c>
      <c r="H79" s="61">
        <v>2048.0</v>
      </c>
      <c r="I79" s="58">
        <v>7.919</v>
      </c>
      <c r="J79" s="59">
        <f t="shared" si="8"/>
        <v>258.6185124</v>
      </c>
      <c r="K79" s="318">
        <v>2048.0</v>
      </c>
      <c r="L79" s="351"/>
      <c r="M79" s="81">
        <v>32.0</v>
      </c>
      <c r="N79" s="353" t="s">
        <v>1518</v>
      </c>
      <c r="O79" s="349">
        <v>3.0</v>
      </c>
      <c r="P79" s="369" t="s">
        <v>1524</v>
      </c>
      <c r="Q79" s="354"/>
      <c r="R79" s="370" t="s">
        <v>1729</v>
      </c>
      <c r="S79" s="61">
        <v>2498.0</v>
      </c>
      <c r="T79" s="58">
        <v>9.712</v>
      </c>
      <c r="U79" s="59">
        <f t="shared" si="9"/>
        <v>257.2075783</v>
      </c>
      <c r="V79" s="318">
        <v>2498.0</v>
      </c>
      <c r="W79" s="85"/>
      <c r="X79" s="243"/>
      <c r="Y79" s="243"/>
    </row>
    <row r="80">
      <c r="A80" s="67" t="str">
        <f t="shared" si="12"/>
        <v>1606 MeterS/S</v>
      </c>
      <c r="B80" s="81">
        <v>33.0</v>
      </c>
      <c r="C80" s="353" t="s">
        <v>1528</v>
      </c>
      <c r="D80" s="349">
        <v>6.0</v>
      </c>
      <c r="E80" s="369" t="s">
        <v>1519</v>
      </c>
      <c r="F80" s="354"/>
      <c r="G80" s="370" t="s">
        <v>1731</v>
      </c>
      <c r="H80" s="61">
        <v>4076.0</v>
      </c>
      <c r="I80" s="58">
        <v>15.62</v>
      </c>
      <c r="J80" s="59">
        <f t="shared" si="8"/>
        <v>260.9475032</v>
      </c>
      <c r="K80" s="318">
        <v>4076.0</v>
      </c>
      <c r="L80" s="351"/>
      <c r="M80" s="81">
        <v>33.0</v>
      </c>
      <c r="N80" s="353" t="s">
        <v>1528</v>
      </c>
      <c r="O80" s="349">
        <v>6.0</v>
      </c>
      <c r="P80" s="369" t="s">
        <v>1519</v>
      </c>
      <c r="Q80" s="354"/>
      <c r="R80" s="370" t="s">
        <v>1732</v>
      </c>
      <c r="S80" s="61">
        <v>4976.0</v>
      </c>
      <c r="T80" s="58">
        <v>19.157</v>
      </c>
      <c r="U80" s="59">
        <f t="shared" si="9"/>
        <v>259.7483948</v>
      </c>
      <c r="V80" s="318">
        <v>4976.0</v>
      </c>
      <c r="W80" s="85"/>
      <c r="X80" s="243"/>
      <c r="Y80" s="243"/>
    </row>
    <row r="81">
      <c r="A81" s="67" t="str">
        <f t="shared" si="12"/>
        <v>1606 MeterD/S</v>
      </c>
      <c r="B81" s="81">
        <v>34.0</v>
      </c>
      <c r="C81" s="353" t="s">
        <v>1528</v>
      </c>
      <c r="D81" s="349">
        <v>6.0</v>
      </c>
      <c r="E81" s="369" t="s">
        <v>1524</v>
      </c>
      <c r="F81" s="354"/>
      <c r="G81" s="370" t="s">
        <v>1735</v>
      </c>
      <c r="H81" s="61">
        <v>4086.0</v>
      </c>
      <c r="I81" s="58">
        <v>15.62</v>
      </c>
      <c r="J81" s="59">
        <f t="shared" si="8"/>
        <v>261.5877081</v>
      </c>
      <c r="K81" s="318">
        <v>4086.0</v>
      </c>
      <c r="L81" s="351"/>
      <c r="M81" s="81">
        <v>34.0</v>
      </c>
      <c r="N81" s="353" t="s">
        <v>1528</v>
      </c>
      <c r="O81" s="349">
        <v>6.0</v>
      </c>
      <c r="P81" s="369" t="s">
        <v>1524</v>
      </c>
      <c r="Q81" s="354"/>
      <c r="R81" s="370" t="s">
        <v>1736</v>
      </c>
      <c r="S81" s="61">
        <v>4986.0</v>
      </c>
      <c r="T81" s="58">
        <v>19.157</v>
      </c>
      <c r="U81" s="59">
        <f t="shared" si="9"/>
        <v>260.2703972</v>
      </c>
      <c r="V81" s="318">
        <v>4986.0</v>
      </c>
      <c r="W81" s="85"/>
      <c r="X81" s="243"/>
      <c r="Y81" s="243"/>
    </row>
    <row r="82">
      <c r="A82" s="67" t="str">
        <f t="shared" si="12"/>
        <v>1602 FeetD/S</v>
      </c>
      <c r="B82" s="81">
        <v>35.0</v>
      </c>
      <c r="C82" s="353" t="s">
        <v>1533</v>
      </c>
      <c r="D82" s="349">
        <v>0.61</v>
      </c>
      <c r="E82" s="369" t="s">
        <v>1524</v>
      </c>
      <c r="F82" s="354"/>
      <c r="G82" s="370" t="s">
        <v>1739</v>
      </c>
      <c r="H82" s="61">
        <v>512.0</v>
      </c>
      <c r="I82" s="58">
        <v>1.783</v>
      </c>
      <c r="J82" s="59">
        <f t="shared" si="8"/>
        <v>287.1564778</v>
      </c>
      <c r="K82" s="318">
        <v>512.0</v>
      </c>
      <c r="L82" s="351"/>
      <c r="M82" s="81">
        <v>35.0</v>
      </c>
      <c r="N82" s="353" t="s">
        <v>1533</v>
      </c>
      <c r="O82" s="349">
        <v>0.61</v>
      </c>
      <c r="P82" s="369" t="s">
        <v>1524</v>
      </c>
      <c r="Q82" s="354"/>
      <c r="R82" s="370" t="s">
        <v>1741</v>
      </c>
      <c r="S82" s="61">
        <v>588.0</v>
      </c>
      <c r="T82" s="58">
        <v>2.187</v>
      </c>
      <c r="U82" s="59">
        <f t="shared" si="9"/>
        <v>268.861454</v>
      </c>
      <c r="V82" s="318">
        <v>588.0</v>
      </c>
      <c r="W82" s="85"/>
      <c r="X82" s="243"/>
      <c r="Y82" s="243"/>
    </row>
    <row r="83">
      <c r="A83" s="67" t="str">
        <f t="shared" si="12"/>
        <v>1603 FeetD/S</v>
      </c>
      <c r="B83" s="51">
        <v>36.0</v>
      </c>
      <c r="C83" s="353" t="s">
        <v>1537</v>
      </c>
      <c r="D83" s="349">
        <v>0.92</v>
      </c>
      <c r="E83" s="369" t="s">
        <v>1524</v>
      </c>
      <c r="F83" s="354"/>
      <c r="G83" s="370" t="s">
        <v>1743</v>
      </c>
      <c r="H83" s="61">
        <v>732.0</v>
      </c>
      <c r="I83" s="58">
        <v>2.566</v>
      </c>
      <c r="J83" s="59">
        <f t="shared" si="8"/>
        <v>285.268901</v>
      </c>
      <c r="K83" s="318">
        <v>732.0</v>
      </c>
      <c r="L83" s="351"/>
      <c r="M83" s="51">
        <v>36.0</v>
      </c>
      <c r="N83" s="353" t="s">
        <v>1537</v>
      </c>
      <c r="O83" s="349">
        <v>0.92</v>
      </c>
      <c r="P83" s="369" t="s">
        <v>1524</v>
      </c>
      <c r="Q83" s="354"/>
      <c r="R83" s="370" t="s">
        <v>1745</v>
      </c>
      <c r="S83" s="61">
        <v>882.0</v>
      </c>
      <c r="T83" s="58">
        <v>3.147</v>
      </c>
      <c r="U83" s="59">
        <f t="shared" si="9"/>
        <v>280.2669209</v>
      </c>
      <c r="V83" s="318">
        <v>882.0</v>
      </c>
      <c r="W83" s="85"/>
      <c r="X83" s="243"/>
      <c r="Y83" s="243"/>
    </row>
    <row r="84">
      <c r="A84" s="67" t="str">
        <f t="shared" si="12"/>
        <v>1604 FeetD/S</v>
      </c>
      <c r="B84" s="81">
        <v>37.0</v>
      </c>
      <c r="C84" s="353" t="s">
        <v>1541</v>
      </c>
      <c r="D84" s="349">
        <v>1.22</v>
      </c>
      <c r="E84" s="369" t="s">
        <v>1524</v>
      </c>
      <c r="F84" s="354"/>
      <c r="G84" s="370" t="s">
        <v>1746</v>
      </c>
      <c r="H84" s="61">
        <v>978.0</v>
      </c>
      <c r="I84" s="58">
        <v>3.349</v>
      </c>
      <c r="J84" s="59">
        <f t="shared" si="8"/>
        <v>292.0274709</v>
      </c>
      <c r="K84" s="318">
        <v>978.0</v>
      </c>
      <c r="L84" s="351"/>
      <c r="M84" s="81">
        <v>37.0</v>
      </c>
      <c r="N84" s="353" t="s">
        <v>1541</v>
      </c>
      <c r="O84" s="349">
        <v>1.22</v>
      </c>
      <c r="P84" s="369" t="s">
        <v>1524</v>
      </c>
      <c r="Q84" s="354"/>
      <c r="R84" s="370" t="s">
        <v>1747</v>
      </c>
      <c r="S84" s="61">
        <v>1176.0</v>
      </c>
      <c r="T84" s="58">
        <v>4.108</v>
      </c>
      <c r="U84" s="59">
        <f t="shared" si="9"/>
        <v>286.2706913</v>
      </c>
      <c r="V84" s="318">
        <v>1176.0</v>
      </c>
      <c r="W84" s="85"/>
      <c r="X84" s="243"/>
      <c r="Y84" s="243"/>
    </row>
    <row r="85">
      <c r="A85" s="67" t="str">
        <f t="shared" si="12"/>
        <v>1606 FeetD/S</v>
      </c>
      <c r="B85" s="81">
        <v>38.0</v>
      </c>
      <c r="C85" s="353" t="s">
        <v>1544</v>
      </c>
      <c r="D85" s="349">
        <v>1.83</v>
      </c>
      <c r="E85" s="369" t="s">
        <v>1524</v>
      </c>
      <c r="F85" s="354"/>
      <c r="G85" s="370" t="s">
        <v>1749</v>
      </c>
      <c r="H85" s="61">
        <v>1398.0</v>
      </c>
      <c r="I85" s="58">
        <v>4.915</v>
      </c>
      <c r="J85" s="59">
        <f t="shared" si="8"/>
        <v>284.4354018</v>
      </c>
      <c r="K85" s="318">
        <v>1398.0</v>
      </c>
      <c r="L85" s="351"/>
      <c r="M85" s="81">
        <v>38.0</v>
      </c>
      <c r="N85" s="353" t="s">
        <v>1544</v>
      </c>
      <c r="O85" s="349">
        <v>1.83</v>
      </c>
      <c r="P85" s="369" t="s">
        <v>1524</v>
      </c>
      <c r="Q85" s="354"/>
      <c r="R85" s="370" t="s">
        <v>1750</v>
      </c>
      <c r="S85" s="61">
        <v>1764.0</v>
      </c>
      <c r="T85" s="58">
        <v>6.028</v>
      </c>
      <c r="U85" s="59">
        <f t="shared" si="9"/>
        <v>292.6343729</v>
      </c>
      <c r="V85" s="318">
        <v>1764.0</v>
      </c>
      <c r="W85" s="85"/>
      <c r="X85" s="243"/>
      <c r="Y85" s="243"/>
    </row>
    <row r="86">
      <c r="A86" s="67" t="str">
        <f t="shared" si="12"/>
        <v>1606 FeetS/S</v>
      </c>
      <c r="B86" s="81">
        <v>39.0</v>
      </c>
      <c r="C86" s="353" t="s">
        <v>1544</v>
      </c>
      <c r="D86" s="349">
        <v>1.83</v>
      </c>
      <c r="E86" s="369" t="s">
        <v>1519</v>
      </c>
      <c r="F86" s="354"/>
      <c r="G86" s="370" t="s">
        <v>1751</v>
      </c>
      <c r="H86" s="61">
        <v>1388.0</v>
      </c>
      <c r="I86" s="58">
        <v>4.915</v>
      </c>
      <c r="J86" s="59">
        <f t="shared" si="8"/>
        <v>282.4008138</v>
      </c>
      <c r="K86" s="318">
        <v>1388.0</v>
      </c>
      <c r="L86" s="351"/>
      <c r="M86" s="81">
        <v>39.0</v>
      </c>
      <c r="N86" s="353" t="s">
        <v>1544</v>
      </c>
      <c r="O86" s="349">
        <v>1.83</v>
      </c>
      <c r="P86" s="369" t="s">
        <v>1519</v>
      </c>
      <c r="Q86" s="354"/>
      <c r="R86" s="370" t="s">
        <v>1752</v>
      </c>
      <c r="S86" s="61">
        <v>1748.0</v>
      </c>
      <c r="T86" s="58">
        <v>6.028</v>
      </c>
      <c r="U86" s="59">
        <f t="shared" si="9"/>
        <v>289.9800929</v>
      </c>
      <c r="V86" s="318">
        <v>1748.0</v>
      </c>
      <c r="W86" s="85"/>
      <c r="X86" s="243"/>
      <c r="Y86" s="243"/>
    </row>
    <row r="87">
      <c r="A87" s="373" t="str">
        <f t="shared" si="12"/>
        <v>1604 FeetS/S</v>
      </c>
      <c r="B87" s="81">
        <v>40.0</v>
      </c>
      <c r="C87" s="353" t="s">
        <v>1541</v>
      </c>
      <c r="D87" s="349">
        <v>1.22</v>
      </c>
      <c r="E87" s="369" t="s">
        <v>1519</v>
      </c>
      <c r="F87" s="180"/>
      <c r="G87" s="370" t="s">
        <v>1753</v>
      </c>
      <c r="H87" s="61">
        <v>968.0</v>
      </c>
      <c r="I87" s="58">
        <v>3.349</v>
      </c>
      <c r="J87" s="59">
        <f t="shared" si="8"/>
        <v>289.0415049</v>
      </c>
      <c r="K87" s="318">
        <v>968.0</v>
      </c>
      <c r="L87" s="374"/>
      <c r="M87" s="81">
        <v>40.0</v>
      </c>
      <c r="N87" s="353" t="s">
        <v>1541</v>
      </c>
      <c r="O87" s="349">
        <v>1.22</v>
      </c>
      <c r="P87" s="369" t="s">
        <v>1519</v>
      </c>
      <c r="Q87" s="180"/>
      <c r="R87" s="370" t="s">
        <v>1755</v>
      </c>
      <c r="S87" s="61">
        <v>1160.0</v>
      </c>
      <c r="T87" s="58">
        <v>4.108</v>
      </c>
      <c r="U87" s="256">
        <f t="shared" si="9"/>
        <v>282.375852</v>
      </c>
      <c r="V87" s="318">
        <v>1160.0</v>
      </c>
      <c r="W87" s="85"/>
      <c r="X87" s="242"/>
      <c r="Y87" s="242"/>
    </row>
    <row r="88">
      <c r="A88" s="340"/>
      <c r="B88" s="262" t="s">
        <v>11</v>
      </c>
      <c r="C88" s="45"/>
      <c r="D88" s="45"/>
      <c r="E88" s="45"/>
      <c r="F88" s="45"/>
      <c r="G88" s="46"/>
      <c r="H88" s="240">
        <f>SUM(H48:H87)</f>
        <v>37963.1</v>
      </c>
      <c r="I88" s="357"/>
      <c r="J88" s="375"/>
      <c r="K88" s="240">
        <f>SUM(K48:K87)</f>
        <v>37962.995</v>
      </c>
      <c r="L88" s="242"/>
      <c r="M88" s="262" t="s">
        <v>11</v>
      </c>
      <c r="N88" s="45"/>
      <c r="O88" s="45"/>
      <c r="P88" s="45"/>
      <c r="Q88" s="45"/>
      <c r="R88" s="46"/>
      <c r="S88" s="240">
        <f>SUM(S48:S87)</f>
        <v>52608.055</v>
      </c>
      <c r="T88" s="280"/>
      <c r="U88" s="341"/>
      <c r="V88" s="240">
        <f>SUM(V48:V87)</f>
        <v>52609</v>
      </c>
      <c r="W88" s="85"/>
      <c r="X88" s="242"/>
      <c r="Y88" s="242"/>
    </row>
    <row r="89">
      <c r="A89" s="340"/>
      <c r="B89" s="242"/>
      <c r="C89" s="242"/>
      <c r="D89" s="242"/>
      <c r="E89" s="242"/>
      <c r="F89" s="242"/>
      <c r="G89" s="243"/>
      <c r="H89" s="242"/>
      <c r="I89" s="264"/>
      <c r="J89" s="251"/>
      <c r="K89" s="251"/>
      <c r="L89" s="242"/>
      <c r="M89" s="242"/>
      <c r="N89" s="242"/>
      <c r="O89" s="242"/>
      <c r="P89" s="242"/>
      <c r="Q89" s="242"/>
      <c r="R89" s="242"/>
      <c r="S89" s="243"/>
      <c r="T89" s="280"/>
      <c r="U89" s="341"/>
      <c r="V89" s="13"/>
      <c r="W89" s="242"/>
      <c r="X89" s="242"/>
      <c r="Y89" s="242"/>
    </row>
    <row r="90">
      <c r="A90" s="340"/>
      <c r="B90" s="242"/>
      <c r="C90" s="242"/>
      <c r="D90" s="242"/>
      <c r="E90" s="242"/>
      <c r="F90" s="242"/>
      <c r="G90" s="243"/>
      <c r="H90" s="242"/>
      <c r="I90" s="264"/>
      <c r="J90" s="251"/>
      <c r="K90" s="251"/>
      <c r="L90" s="242"/>
      <c r="M90" s="242"/>
      <c r="N90" s="242"/>
      <c r="O90" s="242"/>
      <c r="P90" s="242"/>
      <c r="Q90" s="242"/>
      <c r="R90" s="242"/>
      <c r="S90" s="243"/>
      <c r="T90" s="280"/>
      <c r="U90" s="341"/>
      <c r="V90" s="13"/>
      <c r="W90" s="242"/>
      <c r="X90" s="242"/>
      <c r="Y90" s="242"/>
    </row>
    <row r="91">
      <c r="A91" s="340"/>
      <c r="B91" s="242"/>
      <c r="C91" s="242"/>
      <c r="D91" s="242"/>
      <c r="E91" s="242"/>
      <c r="F91" s="242"/>
      <c r="G91" s="243"/>
      <c r="H91" s="242"/>
      <c r="I91" s="264"/>
      <c r="J91" s="251"/>
      <c r="K91" s="251"/>
      <c r="L91" s="242"/>
      <c r="M91" s="242"/>
      <c r="N91" s="242"/>
      <c r="O91" s="242"/>
      <c r="P91" s="242"/>
      <c r="Q91" s="242"/>
      <c r="R91" s="242"/>
      <c r="S91" s="243"/>
      <c r="T91" s="280"/>
      <c r="U91" s="341"/>
      <c r="V91" s="13"/>
      <c r="W91" s="242"/>
      <c r="X91" s="242"/>
      <c r="Y91" s="242"/>
    </row>
    <row r="92">
      <c r="A92" s="340"/>
      <c r="B92" s="242"/>
      <c r="C92" s="242"/>
      <c r="D92" s="242"/>
      <c r="E92" s="242"/>
      <c r="F92" s="242"/>
      <c r="G92" s="243"/>
      <c r="H92" s="242"/>
      <c r="I92" s="264"/>
      <c r="J92" s="251"/>
      <c r="K92" s="251"/>
      <c r="L92" s="242"/>
      <c r="M92" s="242"/>
      <c r="N92" s="242"/>
      <c r="O92" s="242"/>
      <c r="P92" s="242"/>
      <c r="Q92" s="242"/>
      <c r="R92" s="242"/>
      <c r="S92" s="243"/>
      <c r="T92" s="280"/>
      <c r="U92" s="341"/>
      <c r="V92" s="13"/>
      <c r="W92" s="242"/>
      <c r="X92" s="242"/>
      <c r="Y92" s="242"/>
    </row>
    <row r="93">
      <c r="A93" s="340"/>
      <c r="B93" s="242"/>
      <c r="C93" s="242"/>
      <c r="D93" s="242"/>
      <c r="E93" s="242"/>
      <c r="F93" s="242"/>
      <c r="G93" s="243"/>
      <c r="H93" s="242"/>
      <c r="I93" s="264"/>
      <c r="J93" s="251"/>
      <c r="K93" s="251"/>
      <c r="L93" s="242"/>
      <c r="M93" s="242"/>
      <c r="N93" s="242"/>
      <c r="O93" s="242"/>
      <c r="P93" s="242"/>
      <c r="Q93" s="242"/>
      <c r="R93" s="242"/>
      <c r="S93" s="243"/>
      <c r="T93" s="280"/>
      <c r="U93" s="341"/>
      <c r="V93" s="13"/>
      <c r="W93" s="242"/>
      <c r="X93" s="242"/>
      <c r="Y93" s="242"/>
    </row>
    <row r="94">
      <c r="A94" s="340"/>
      <c r="B94" s="242"/>
      <c r="C94" s="242"/>
      <c r="D94" s="242"/>
      <c r="E94" s="242"/>
      <c r="F94" s="242"/>
      <c r="G94" s="243"/>
      <c r="H94" s="242"/>
      <c r="I94" s="264"/>
      <c r="J94" s="251"/>
      <c r="K94" s="251"/>
      <c r="L94" s="242"/>
      <c r="M94" s="242"/>
      <c r="N94" s="242"/>
      <c r="O94" s="242"/>
      <c r="P94" s="242"/>
      <c r="Q94" s="242"/>
      <c r="R94" s="242"/>
      <c r="S94" s="243"/>
      <c r="T94" s="280"/>
      <c r="U94" s="341"/>
      <c r="V94" s="13"/>
      <c r="W94" s="242"/>
      <c r="X94" s="242"/>
      <c r="Y94" s="242"/>
    </row>
    <row r="95">
      <c r="A95" s="340"/>
      <c r="B95" s="242"/>
      <c r="C95" s="242"/>
      <c r="D95" s="242"/>
      <c r="E95" s="242"/>
      <c r="F95" s="242"/>
      <c r="G95" s="243"/>
      <c r="H95" s="242"/>
      <c r="I95" s="264"/>
      <c r="J95" s="251"/>
      <c r="K95" s="251"/>
      <c r="L95" s="242"/>
      <c r="M95" s="242"/>
      <c r="N95" s="242"/>
      <c r="O95" s="242"/>
      <c r="P95" s="242"/>
      <c r="Q95" s="242"/>
      <c r="R95" s="242"/>
      <c r="S95" s="243"/>
      <c r="T95" s="280"/>
      <c r="U95" s="341"/>
      <c r="V95" s="13"/>
      <c r="W95" s="242"/>
      <c r="X95" s="242"/>
      <c r="Y95" s="242"/>
    </row>
    <row r="96">
      <c r="A96" s="340"/>
      <c r="B96" s="242"/>
      <c r="C96" s="242"/>
      <c r="D96" s="242"/>
      <c r="E96" s="242"/>
      <c r="F96" s="242"/>
      <c r="G96" s="243"/>
      <c r="H96" s="242"/>
      <c r="I96" s="264"/>
      <c r="J96" s="251"/>
      <c r="K96" s="251"/>
      <c r="L96" s="242"/>
      <c r="M96" s="242"/>
      <c r="N96" s="242"/>
      <c r="O96" s="242"/>
      <c r="P96" s="242"/>
      <c r="Q96" s="242"/>
      <c r="R96" s="242"/>
      <c r="S96" s="243"/>
      <c r="T96" s="280"/>
      <c r="U96" s="341"/>
      <c r="V96" s="13"/>
      <c r="W96" s="242"/>
      <c r="X96" s="242"/>
      <c r="Y96" s="242"/>
    </row>
    <row r="97">
      <c r="A97" s="340"/>
      <c r="B97" s="242"/>
      <c r="C97" s="242"/>
      <c r="D97" s="242"/>
      <c r="E97" s="242"/>
      <c r="F97" s="242"/>
      <c r="G97" s="243"/>
      <c r="H97" s="242"/>
      <c r="I97" s="264"/>
      <c r="J97" s="251"/>
      <c r="K97" s="251"/>
      <c r="L97" s="242"/>
      <c r="M97" s="242"/>
      <c r="N97" s="242"/>
      <c r="O97" s="242"/>
      <c r="P97" s="242"/>
      <c r="Q97" s="242"/>
      <c r="R97" s="242"/>
      <c r="S97" s="243"/>
      <c r="T97" s="280"/>
      <c r="U97" s="341"/>
      <c r="V97" s="13"/>
      <c r="W97" s="242"/>
      <c r="X97" s="242"/>
      <c r="Y97" s="242"/>
    </row>
    <row r="98">
      <c r="A98" s="340"/>
      <c r="B98" s="242"/>
      <c r="C98" s="242"/>
      <c r="D98" s="242"/>
      <c r="E98" s="242"/>
      <c r="F98" s="242"/>
      <c r="G98" s="243"/>
      <c r="H98" s="242"/>
      <c r="I98" s="264"/>
      <c r="J98" s="251"/>
      <c r="K98" s="251"/>
      <c r="L98" s="242"/>
      <c r="M98" s="242"/>
      <c r="N98" s="242"/>
      <c r="O98" s="242"/>
      <c r="P98" s="242"/>
      <c r="Q98" s="242"/>
      <c r="R98" s="242"/>
      <c r="S98" s="243"/>
      <c r="T98" s="280"/>
      <c r="U98" s="341"/>
      <c r="V98" s="13"/>
      <c r="W98" s="242"/>
      <c r="X98" s="242"/>
      <c r="Y98" s="242"/>
    </row>
    <row r="99">
      <c r="A99" s="340"/>
      <c r="B99" s="242"/>
      <c r="C99" s="242"/>
      <c r="D99" s="242"/>
      <c r="E99" s="242"/>
      <c r="F99" s="242"/>
      <c r="G99" s="243"/>
      <c r="H99" s="242"/>
      <c r="I99" s="264"/>
      <c r="J99" s="251"/>
      <c r="K99" s="251"/>
      <c r="L99" s="242"/>
      <c r="M99" s="242"/>
      <c r="N99" s="242"/>
      <c r="O99" s="242"/>
      <c r="P99" s="242"/>
      <c r="Q99" s="242"/>
      <c r="R99" s="242"/>
      <c r="S99" s="243"/>
      <c r="T99" s="280"/>
      <c r="U99" s="341"/>
      <c r="V99" s="13"/>
      <c r="W99" s="242"/>
      <c r="X99" s="242"/>
      <c r="Y99" s="242"/>
    </row>
    <row r="100">
      <c r="A100" s="340"/>
      <c r="B100" s="242"/>
      <c r="C100" s="242"/>
      <c r="D100" s="242"/>
      <c r="E100" s="242"/>
      <c r="F100" s="242"/>
      <c r="G100" s="243"/>
      <c r="H100" s="242"/>
      <c r="I100" s="264"/>
      <c r="J100" s="251"/>
      <c r="K100" s="251"/>
      <c r="L100" s="242"/>
      <c r="M100" s="242"/>
      <c r="N100" s="242"/>
      <c r="O100" s="242"/>
      <c r="P100" s="242"/>
      <c r="Q100" s="242"/>
      <c r="R100" s="242"/>
      <c r="S100" s="243"/>
      <c r="T100" s="280"/>
      <c r="U100" s="341"/>
      <c r="V100" s="13"/>
      <c r="W100" s="242"/>
      <c r="X100" s="242"/>
      <c r="Y100" s="242"/>
    </row>
    <row r="101">
      <c r="A101" s="340"/>
      <c r="B101" s="242"/>
      <c r="C101" s="242"/>
      <c r="D101" s="242"/>
      <c r="E101" s="242"/>
      <c r="F101" s="242"/>
      <c r="G101" s="243"/>
      <c r="H101" s="242"/>
      <c r="I101" s="264"/>
      <c r="J101" s="251"/>
      <c r="K101" s="251"/>
      <c r="L101" s="242"/>
      <c r="M101" s="242"/>
      <c r="N101" s="242"/>
      <c r="O101" s="242"/>
      <c r="P101" s="242"/>
      <c r="Q101" s="242"/>
      <c r="R101" s="242"/>
      <c r="S101" s="243"/>
      <c r="T101" s="280"/>
      <c r="U101" s="341"/>
      <c r="V101" s="13"/>
      <c r="W101" s="242"/>
      <c r="X101" s="242"/>
      <c r="Y101" s="242"/>
    </row>
    <row r="102">
      <c r="A102" s="340"/>
      <c r="B102" s="242"/>
      <c r="C102" s="242"/>
      <c r="D102" s="242"/>
      <c r="E102" s="242"/>
      <c r="F102" s="242"/>
      <c r="G102" s="243"/>
      <c r="H102" s="242"/>
      <c r="I102" s="264"/>
      <c r="J102" s="251"/>
      <c r="K102" s="251"/>
      <c r="L102" s="242"/>
      <c r="M102" s="242"/>
      <c r="N102" s="242"/>
      <c r="O102" s="242"/>
      <c r="P102" s="242"/>
      <c r="Q102" s="242"/>
      <c r="R102" s="242"/>
      <c r="S102" s="243"/>
      <c r="T102" s="280"/>
      <c r="U102" s="341"/>
      <c r="V102" s="13"/>
      <c r="W102" s="242"/>
      <c r="X102" s="242"/>
      <c r="Y102" s="242"/>
    </row>
    <row r="103">
      <c r="A103" s="340"/>
      <c r="B103" s="242"/>
      <c r="C103" s="242"/>
      <c r="D103" s="242"/>
      <c r="E103" s="242"/>
      <c r="F103" s="242"/>
      <c r="G103" s="243"/>
      <c r="H103" s="242"/>
      <c r="I103" s="264"/>
      <c r="J103" s="251"/>
      <c r="K103" s="251"/>
      <c r="L103" s="242"/>
      <c r="M103" s="242"/>
      <c r="N103" s="242"/>
      <c r="O103" s="242"/>
      <c r="P103" s="242"/>
      <c r="Q103" s="242"/>
      <c r="R103" s="242"/>
      <c r="S103" s="243"/>
      <c r="T103" s="280"/>
      <c r="U103" s="341"/>
      <c r="V103" s="13"/>
      <c r="W103" s="242"/>
      <c r="X103" s="242"/>
      <c r="Y103" s="242"/>
    </row>
    <row r="104">
      <c r="A104" s="340"/>
      <c r="B104" s="242"/>
      <c r="C104" s="242"/>
      <c r="D104" s="242"/>
      <c r="E104" s="242"/>
      <c r="F104" s="242"/>
      <c r="G104" s="243"/>
      <c r="H104" s="242"/>
      <c r="I104" s="264"/>
      <c r="J104" s="251"/>
      <c r="K104" s="251"/>
      <c r="L104" s="242"/>
      <c r="M104" s="242"/>
      <c r="N104" s="242"/>
      <c r="O104" s="242"/>
      <c r="P104" s="242"/>
      <c r="Q104" s="242"/>
      <c r="R104" s="242"/>
      <c r="S104" s="243"/>
      <c r="T104" s="280"/>
      <c r="U104" s="341"/>
      <c r="V104" s="13"/>
      <c r="W104" s="242"/>
      <c r="X104" s="242"/>
      <c r="Y104" s="242"/>
    </row>
    <row r="105">
      <c r="A105" s="340"/>
      <c r="B105" s="242"/>
      <c r="C105" s="242"/>
      <c r="D105" s="242"/>
      <c r="E105" s="242"/>
      <c r="F105" s="242"/>
      <c r="G105" s="243"/>
      <c r="H105" s="242"/>
      <c r="I105" s="264"/>
      <c r="J105" s="251"/>
      <c r="K105" s="251"/>
      <c r="L105" s="242"/>
      <c r="M105" s="242"/>
      <c r="N105" s="242"/>
      <c r="O105" s="242"/>
      <c r="P105" s="242"/>
      <c r="Q105" s="242"/>
      <c r="R105" s="242"/>
      <c r="S105" s="243"/>
      <c r="T105" s="280"/>
      <c r="U105" s="341"/>
      <c r="V105" s="13"/>
      <c r="W105" s="242"/>
      <c r="X105" s="242"/>
      <c r="Y105" s="242"/>
    </row>
    <row r="106">
      <c r="A106" s="340"/>
      <c r="B106" s="242"/>
      <c r="C106" s="242"/>
      <c r="D106" s="242"/>
      <c r="E106" s="242"/>
      <c r="F106" s="242"/>
      <c r="G106" s="243"/>
      <c r="H106" s="242"/>
      <c r="I106" s="264"/>
      <c r="J106" s="251"/>
      <c r="K106" s="251"/>
      <c r="L106" s="242"/>
      <c r="M106" s="242"/>
      <c r="N106" s="242"/>
      <c r="O106" s="242"/>
      <c r="P106" s="242"/>
      <c r="Q106" s="242"/>
      <c r="R106" s="242"/>
      <c r="S106" s="243"/>
      <c r="T106" s="280"/>
      <c r="U106" s="341"/>
      <c r="V106" s="13"/>
      <c r="W106" s="242"/>
      <c r="X106" s="242"/>
      <c r="Y106" s="242"/>
    </row>
    <row r="107">
      <c r="A107" s="340"/>
      <c r="B107" s="242"/>
      <c r="C107" s="242"/>
      <c r="D107" s="242"/>
      <c r="E107" s="242"/>
      <c r="F107" s="242"/>
      <c r="G107" s="243"/>
      <c r="H107" s="242"/>
      <c r="I107" s="264"/>
      <c r="J107" s="251"/>
      <c r="K107" s="251"/>
      <c r="L107" s="242"/>
      <c r="M107" s="242"/>
      <c r="N107" s="242"/>
      <c r="O107" s="242"/>
      <c r="P107" s="242"/>
      <c r="Q107" s="242"/>
      <c r="R107" s="242"/>
      <c r="S107" s="243"/>
      <c r="T107" s="280"/>
      <c r="U107" s="341"/>
      <c r="V107" s="13"/>
      <c r="W107" s="242"/>
      <c r="X107" s="242"/>
      <c r="Y107" s="242"/>
    </row>
    <row r="108">
      <c r="A108" s="340"/>
      <c r="B108" s="242"/>
      <c r="C108" s="242"/>
      <c r="D108" s="242"/>
      <c r="E108" s="242"/>
      <c r="F108" s="242"/>
      <c r="G108" s="243"/>
      <c r="H108" s="242"/>
      <c r="I108" s="264"/>
      <c r="J108" s="251"/>
      <c r="K108" s="251"/>
      <c r="L108" s="242"/>
      <c r="M108" s="242"/>
      <c r="N108" s="242"/>
      <c r="O108" s="242"/>
      <c r="P108" s="242"/>
      <c r="Q108" s="242"/>
      <c r="R108" s="242"/>
      <c r="S108" s="243"/>
      <c r="T108" s="280"/>
      <c r="U108" s="341"/>
      <c r="V108" s="13"/>
      <c r="W108" s="242"/>
      <c r="X108" s="242"/>
      <c r="Y108" s="242"/>
    </row>
    <row r="109">
      <c r="A109" s="340"/>
      <c r="B109" s="242"/>
      <c r="C109" s="242"/>
      <c r="D109" s="242"/>
      <c r="E109" s="242"/>
      <c r="F109" s="242"/>
      <c r="G109" s="243"/>
      <c r="H109" s="242"/>
      <c r="I109" s="264"/>
      <c r="J109" s="251"/>
      <c r="K109" s="251"/>
      <c r="L109" s="242"/>
      <c r="M109" s="242"/>
      <c r="N109" s="242"/>
      <c r="O109" s="242"/>
      <c r="P109" s="242"/>
      <c r="Q109" s="242"/>
      <c r="R109" s="242"/>
      <c r="S109" s="243"/>
      <c r="T109" s="280"/>
      <c r="U109" s="341"/>
      <c r="V109" s="13"/>
      <c r="W109" s="242"/>
      <c r="X109" s="242"/>
      <c r="Y109" s="242"/>
    </row>
    <row r="110">
      <c r="A110" s="340"/>
      <c r="B110" s="242"/>
      <c r="C110" s="242"/>
      <c r="D110" s="242"/>
      <c r="E110" s="242"/>
      <c r="F110" s="242"/>
      <c r="G110" s="243"/>
      <c r="H110" s="242"/>
      <c r="I110" s="264"/>
      <c r="J110" s="251"/>
      <c r="K110" s="251"/>
      <c r="L110" s="242"/>
      <c r="M110" s="242"/>
      <c r="N110" s="242"/>
      <c r="O110" s="242"/>
      <c r="P110" s="242"/>
      <c r="Q110" s="242"/>
      <c r="R110" s="242"/>
      <c r="S110" s="243"/>
      <c r="T110" s="280"/>
      <c r="U110" s="341"/>
      <c r="V110" s="13"/>
      <c r="W110" s="242"/>
      <c r="X110" s="242"/>
      <c r="Y110" s="242"/>
    </row>
    <row r="111">
      <c r="A111" s="340"/>
      <c r="B111" s="242"/>
      <c r="C111" s="242"/>
      <c r="D111" s="242"/>
      <c r="E111" s="242"/>
      <c r="F111" s="242"/>
      <c r="G111" s="243"/>
      <c r="H111" s="242"/>
      <c r="I111" s="264"/>
      <c r="J111" s="251"/>
      <c r="K111" s="251"/>
      <c r="L111" s="242"/>
      <c r="M111" s="242"/>
      <c r="N111" s="242"/>
      <c r="O111" s="242"/>
      <c r="P111" s="242"/>
      <c r="Q111" s="242"/>
      <c r="R111" s="242"/>
      <c r="S111" s="243"/>
      <c r="T111" s="280"/>
      <c r="U111" s="341"/>
      <c r="V111" s="13"/>
      <c r="W111" s="242"/>
      <c r="X111" s="242"/>
      <c r="Y111" s="242"/>
    </row>
    <row r="112">
      <c r="A112" s="340"/>
      <c r="B112" s="242"/>
      <c r="C112" s="242"/>
      <c r="D112" s="242"/>
      <c r="E112" s="242"/>
      <c r="F112" s="242"/>
      <c r="G112" s="243"/>
      <c r="H112" s="242"/>
      <c r="I112" s="264"/>
      <c r="J112" s="251"/>
      <c r="K112" s="251"/>
      <c r="L112" s="242"/>
      <c r="M112" s="242"/>
      <c r="N112" s="242"/>
      <c r="O112" s="242"/>
      <c r="P112" s="242"/>
      <c r="Q112" s="242"/>
      <c r="R112" s="242"/>
      <c r="S112" s="243"/>
      <c r="T112" s="280"/>
      <c r="U112" s="341"/>
      <c r="V112" s="13"/>
      <c r="W112" s="242"/>
      <c r="X112" s="242"/>
      <c r="Y112" s="242"/>
    </row>
    <row r="113">
      <c r="A113" s="340"/>
      <c r="B113" s="242"/>
      <c r="C113" s="242"/>
      <c r="D113" s="242"/>
      <c r="E113" s="242"/>
      <c r="F113" s="242"/>
      <c r="G113" s="243"/>
      <c r="H113" s="242"/>
      <c r="I113" s="264"/>
      <c r="J113" s="251"/>
      <c r="K113" s="251"/>
      <c r="L113" s="242"/>
      <c r="M113" s="242"/>
      <c r="N113" s="242"/>
      <c r="O113" s="242"/>
      <c r="P113" s="242"/>
      <c r="Q113" s="242"/>
      <c r="R113" s="242"/>
      <c r="S113" s="243"/>
      <c r="T113" s="280"/>
      <c r="U113" s="341"/>
      <c r="V113" s="13"/>
      <c r="W113" s="242"/>
      <c r="X113" s="242"/>
      <c r="Y113" s="242"/>
    </row>
    <row r="114">
      <c r="A114" s="340"/>
      <c r="B114" s="242"/>
      <c r="C114" s="242"/>
      <c r="D114" s="242"/>
      <c r="E114" s="242"/>
      <c r="F114" s="242"/>
      <c r="G114" s="243"/>
      <c r="H114" s="242"/>
      <c r="I114" s="264"/>
      <c r="J114" s="251"/>
      <c r="K114" s="251"/>
      <c r="L114" s="242"/>
      <c r="M114" s="242"/>
      <c r="N114" s="242"/>
      <c r="O114" s="242"/>
      <c r="P114" s="242"/>
      <c r="Q114" s="242"/>
      <c r="R114" s="242"/>
      <c r="S114" s="243"/>
      <c r="T114" s="280"/>
      <c r="U114" s="341"/>
      <c r="V114" s="13"/>
      <c r="W114" s="242"/>
      <c r="X114" s="242"/>
      <c r="Y114" s="242"/>
    </row>
    <row r="115">
      <c r="A115" s="340"/>
      <c r="B115" s="242"/>
      <c r="C115" s="242"/>
      <c r="D115" s="242"/>
      <c r="E115" s="242"/>
      <c r="F115" s="242"/>
      <c r="G115" s="243"/>
      <c r="H115" s="242"/>
      <c r="I115" s="264"/>
      <c r="J115" s="251"/>
      <c r="K115" s="251"/>
      <c r="L115" s="242"/>
      <c r="M115" s="242"/>
      <c r="N115" s="242"/>
      <c r="O115" s="242"/>
      <c r="P115" s="242"/>
      <c r="Q115" s="242"/>
      <c r="R115" s="242"/>
      <c r="S115" s="243"/>
      <c r="T115" s="280"/>
      <c r="U115" s="341"/>
      <c r="V115" s="13"/>
      <c r="W115" s="242"/>
      <c r="X115" s="242"/>
      <c r="Y115" s="242"/>
    </row>
    <row r="116">
      <c r="A116" s="340"/>
      <c r="B116" s="242"/>
      <c r="C116" s="242"/>
      <c r="D116" s="242"/>
      <c r="E116" s="242"/>
      <c r="F116" s="242"/>
      <c r="G116" s="243"/>
      <c r="H116" s="242"/>
      <c r="I116" s="264"/>
      <c r="J116" s="251"/>
      <c r="K116" s="251"/>
      <c r="L116" s="242"/>
      <c r="M116" s="242"/>
      <c r="N116" s="242"/>
      <c r="O116" s="242"/>
      <c r="P116" s="242"/>
      <c r="Q116" s="242"/>
      <c r="R116" s="242"/>
      <c r="S116" s="243"/>
      <c r="T116" s="280"/>
      <c r="U116" s="341"/>
      <c r="V116" s="13"/>
      <c r="W116" s="242"/>
      <c r="X116" s="242"/>
      <c r="Y116" s="242"/>
    </row>
    <row r="117">
      <c r="A117" s="340"/>
      <c r="B117" s="242"/>
      <c r="C117" s="242"/>
      <c r="D117" s="242"/>
      <c r="E117" s="242"/>
      <c r="F117" s="242"/>
      <c r="G117" s="243"/>
      <c r="H117" s="242"/>
      <c r="I117" s="264"/>
      <c r="J117" s="251"/>
      <c r="K117" s="251"/>
      <c r="L117" s="242"/>
      <c r="M117" s="242"/>
      <c r="N117" s="242"/>
      <c r="O117" s="242"/>
      <c r="P117" s="242"/>
      <c r="Q117" s="242"/>
      <c r="R117" s="242"/>
      <c r="S117" s="243"/>
      <c r="T117" s="280"/>
      <c r="U117" s="341"/>
      <c r="V117" s="13"/>
      <c r="W117" s="242"/>
      <c r="X117" s="242"/>
      <c r="Y117" s="242"/>
    </row>
    <row r="118">
      <c r="A118" s="340"/>
      <c r="B118" s="242"/>
      <c r="C118" s="242"/>
      <c r="D118" s="242"/>
      <c r="E118" s="242"/>
      <c r="F118" s="242"/>
      <c r="G118" s="243"/>
      <c r="H118" s="242"/>
      <c r="I118" s="264"/>
      <c r="J118" s="251"/>
      <c r="K118" s="251"/>
      <c r="L118" s="242"/>
      <c r="M118" s="242"/>
      <c r="N118" s="242"/>
      <c r="O118" s="242"/>
      <c r="P118" s="242"/>
      <c r="Q118" s="242"/>
      <c r="R118" s="242"/>
      <c r="S118" s="243"/>
      <c r="T118" s="280"/>
      <c r="U118" s="341"/>
      <c r="V118" s="13"/>
      <c r="W118" s="242"/>
      <c r="X118" s="242"/>
      <c r="Y118" s="242"/>
    </row>
    <row r="119">
      <c r="A119" s="340"/>
      <c r="B119" s="242"/>
      <c r="C119" s="242"/>
      <c r="D119" s="242"/>
      <c r="E119" s="242"/>
      <c r="F119" s="242"/>
      <c r="G119" s="243"/>
      <c r="H119" s="242"/>
      <c r="I119" s="264"/>
      <c r="J119" s="251"/>
      <c r="K119" s="251"/>
      <c r="L119" s="242"/>
      <c r="M119" s="242"/>
      <c r="N119" s="242"/>
      <c r="O119" s="242"/>
      <c r="P119" s="242"/>
      <c r="Q119" s="242"/>
      <c r="R119" s="242"/>
      <c r="S119" s="243"/>
      <c r="T119" s="280"/>
      <c r="U119" s="341"/>
      <c r="V119" s="13"/>
      <c r="W119" s="242"/>
      <c r="X119" s="242"/>
      <c r="Y119" s="242"/>
    </row>
    <row r="120">
      <c r="A120" s="340"/>
      <c r="B120" s="242"/>
      <c r="C120" s="242"/>
      <c r="D120" s="242"/>
      <c r="E120" s="242"/>
      <c r="F120" s="242"/>
      <c r="G120" s="243"/>
      <c r="H120" s="242"/>
      <c r="I120" s="264"/>
      <c r="J120" s="251"/>
      <c r="K120" s="251"/>
      <c r="L120" s="242"/>
      <c r="M120" s="242"/>
      <c r="N120" s="242"/>
      <c r="O120" s="242"/>
      <c r="P120" s="242"/>
      <c r="Q120" s="242"/>
      <c r="R120" s="242"/>
      <c r="S120" s="243"/>
      <c r="T120" s="280"/>
      <c r="U120" s="341"/>
      <c r="V120" s="13"/>
      <c r="W120" s="242"/>
      <c r="X120" s="242"/>
      <c r="Y120" s="242"/>
    </row>
    <row r="121">
      <c r="A121" s="340"/>
      <c r="B121" s="242"/>
      <c r="C121" s="242"/>
      <c r="D121" s="242"/>
      <c r="E121" s="242"/>
      <c r="F121" s="242"/>
      <c r="G121" s="243"/>
      <c r="H121" s="242"/>
      <c r="I121" s="264"/>
      <c r="J121" s="251"/>
      <c r="K121" s="251"/>
      <c r="L121" s="242"/>
      <c r="M121" s="242"/>
      <c r="N121" s="242"/>
      <c r="O121" s="242"/>
      <c r="P121" s="242"/>
      <c r="Q121" s="242"/>
      <c r="R121" s="242"/>
      <c r="S121" s="243"/>
      <c r="T121" s="280"/>
      <c r="U121" s="341"/>
      <c r="V121" s="13"/>
      <c r="W121" s="242"/>
      <c r="X121" s="242"/>
      <c r="Y121" s="242"/>
    </row>
    <row r="122">
      <c r="A122" s="340"/>
      <c r="B122" s="242"/>
      <c r="C122" s="242"/>
      <c r="D122" s="242"/>
      <c r="E122" s="242"/>
      <c r="F122" s="242"/>
      <c r="G122" s="243"/>
      <c r="H122" s="242"/>
      <c r="I122" s="264"/>
      <c r="J122" s="251"/>
      <c r="K122" s="251"/>
      <c r="L122" s="242"/>
      <c r="M122" s="242"/>
      <c r="N122" s="242"/>
      <c r="O122" s="242"/>
      <c r="P122" s="242"/>
      <c r="Q122" s="242"/>
      <c r="R122" s="242"/>
      <c r="S122" s="243"/>
      <c r="T122" s="280"/>
      <c r="U122" s="341"/>
      <c r="V122" s="13"/>
      <c r="W122" s="242"/>
      <c r="X122" s="242"/>
      <c r="Y122" s="242"/>
    </row>
    <row r="123">
      <c r="A123" s="340"/>
      <c r="B123" s="242"/>
      <c r="C123" s="242"/>
      <c r="D123" s="242"/>
      <c r="E123" s="242"/>
      <c r="F123" s="242"/>
      <c r="G123" s="243"/>
      <c r="H123" s="242"/>
      <c r="I123" s="264"/>
      <c r="J123" s="251"/>
      <c r="K123" s="251"/>
      <c r="L123" s="242"/>
      <c r="M123" s="242"/>
      <c r="N123" s="242"/>
      <c r="O123" s="242"/>
      <c r="P123" s="242"/>
      <c r="Q123" s="242"/>
      <c r="R123" s="242"/>
      <c r="S123" s="243"/>
      <c r="T123" s="280"/>
      <c r="U123" s="341"/>
      <c r="V123" s="13"/>
      <c r="W123" s="242"/>
      <c r="X123" s="242"/>
      <c r="Y123" s="242"/>
    </row>
    <row r="124">
      <c r="A124" s="340"/>
      <c r="B124" s="242"/>
      <c r="C124" s="242"/>
      <c r="D124" s="242"/>
      <c r="E124" s="242"/>
      <c r="F124" s="242"/>
      <c r="G124" s="243"/>
      <c r="H124" s="242"/>
      <c r="I124" s="264"/>
      <c r="J124" s="251"/>
      <c r="K124" s="251"/>
      <c r="L124" s="242"/>
      <c r="M124" s="242"/>
      <c r="N124" s="242"/>
      <c r="O124" s="242"/>
      <c r="P124" s="242"/>
      <c r="Q124" s="242"/>
      <c r="R124" s="242"/>
      <c r="S124" s="243"/>
      <c r="T124" s="280"/>
      <c r="U124" s="341"/>
      <c r="V124" s="13"/>
      <c r="W124" s="242"/>
      <c r="X124" s="242"/>
      <c r="Y124" s="242"/>
    </row>
    <row r="125">
      <c r="A125" s="340"/>
      <c r="B125" s="242"/>
      <c r="C125" s="242"/>
      <c r="D125" s="242"/>
      <c r="E125" s="242"/>
      <c r="F125" s="242"/>
      <c r="G125" s="243"/>
      <c r="H125" s="242"/>
      <c r="I125" s="264"/>
      <c r="J125" s="251"/>
      <c r="K125" s="251"/>
      <c r="L125" s="242"/>
      <c r="M125" s="242"/>
      <c r="N125" s="242"/>
      <c r="O125" s="242"/>
      <c r="P125" s="242"/>
      <c r="Q125" s="242"/>
      <c r="R125" s="242"/>
      <c r="S125" s="243"/>
      <c r="T125" s="280"/>
      <c r="U125" s="341"/>
      <c r="V125" s="13"/>
      <c r="W125" s="242"/>
      <c r="X125" s="242"/>
      <c r="Y125" s="242"/>
    </row>
    <row r="126">
      <c r="A126" s="340"/>
      <c r="B126" s="242"/>
      <c r="C126" s="242"/>
      <c r="D126" s="242"/>
      <c r="E126" s="242"/>
      <c r="F126" s="242"/>
      <c r="G126" s="243"/>
      <c r="H126" s="242"/>
      <c r="I126" s="264"/>
      <c r="J126" s="251"/>
      <c r="K126" s="251"/>
      <c r="L126" s="242"/>
      <c r="M126" s="242"/>
      <c r="N126" s="242"/>
      <c r="O126" s="242"/>
      <c r="P126" s="242"/>
      <c r="Q126" s="242"/>
      <c r="R126" s="242"/>
      <c r="S126" s="243"/>
      <c r="T126" s="280"/>
      <c r="U126" s="341"/>
      <c r="V126" s="13"/>
      <c r="W126" s="242"/>
      <c r="X126" s="242"/>
      <c r="Y126" s="242"/>
    </row>
    <row r="127">
      <c r="A127" s="340"/>
      <c r="B127" s="242"/>
      <c r="C127" s="242"/>
      <c r="D127" s="242"/>
      <c r="E127" s="242"/>
      <c r="F127" s="242"/>
      <c r="G127" s="243"/>
      <c r="H127" s="242"/>
      <c r="I127" s="264"/>
      <c r="J127" s="251"/>
      <c r="K127" s="251"/>
      <c r="L127" s="242"/>
      <c r="M127" s="242"/>
      <c r="N127" s="242"/>
      <c r="O127" s="242"/>
      <c r="P127" s="242"/>
      <c r="Q127" s="242"/>
      <c r="R127" s="242"/>
      <c r="S127" s="243"/>
      <c r="T127" s="280"/>
      <c r="U127" s="341"/>
      <c r="V127" s="13"/>
      <c r="W127" s="242"/>
      <c r="X127" s="242"/>
      <c r="Y127" s="242"/>
    </row>
    <row r="128">
      <c r="A128" s="340"/>
      <c r="B128" s="242"/>
      <c r="C128" s="242"/>
      <c r="D128" s="242"/>
      <c r="E128" s="242"/>
      <c r="F128" s="242"/>
      <c r="G128" s="243"/>
      <c r="H128" s="242"/>
      <c r="I128" s="264"/>
      <c r="J128" s="251"/>
      <c r="K128" s="251"/>
      <c r="L128" s="242"/>
      <c r="M128" s="242"/>
      <c r="N128" s="242"/>
      <c r="O128" s="242"/>
      <c r="P128" s="242"/>
      <c r="Q128" s="242"/>
      <c r="R128" s="242"/>
      <c r="S128" s="243"/>
      <c r="T128" s="280"/>
      <c r="U128" s="341"/>
      <c r="V128" s="13"/>
      <c r="W128" s="242"/>
      <c r="X128" s="242"/>
      <c r="Y128" s="242"/>
    </row>
    <row r="129">
      <c r="A129" s="340"/>
      <c r="B129" s="242"/>
      <c r="C129" s="242"/>
      <c r="D129" s="242"/>
      <c r="E129" s="242"/>
      <c r="F129" s="242"/>
      <c r="G129" s="243"/>
      <c r="H129" s="242"/>
      <c r="I129" s="264"/>
      <c r="J129" s="251"/>
      <c r="K129" s="251"/>
      <c r="L129" s="242"/>
      <c r="M129" s="242"/>
      <c r="N129" s="242"/>
      <c r="O129" s="242"/>
      <c r="P129" s="242"/>
      <c r="Q129" s="242"/>
      <c r="R129" s="242"/>
      <c r="S129" s="243"/>
      <c r="T129" s="280"/>
      <c r="U129" s="341"/>
      <c r="V129" s="13"/>
      <c r="W129" s="242"/>
      <c r="X129" s="242"/>
      <c r="Y129" s="242"/>
    </row>
    <row r="130">
      <c r="A130" s="340"/>
      <c r="B130" s="242"/>
      <c r="C130" s="242"/>
      <c r="D130" s="242"/>
      <c r="E130" s="242"/>
      <c r="F130" s="242"/>
      <c r="G130" s="243"/>
      <c r="H130" s="242"/>
      <c r="I130" s="264"/>
      <c r="J130" s="251"/>
      <c r="K130" s="251"/>
      <c r="L130" s="242"/>
      <c r="M130" s="242"/>
      <c r="N130" s="242"/>
      <c r="O130" s="242"/>
      <c r="P130" s="242"/>
      <c r="Q130" s="242"/>
      <c r="R130" s="242"/>
      <c r="S130" s="243"/>
      <c r="T130" s="280"/>
      <c r="U130" s="341"/>
      <c r="V130" s="13"/>
      <c r="W130" s="242"/>
      <c r="X130" s="242"/>
      <c r="Y130" s="242"/>
    </row>
    <row r="131">
      <c r="A131" s="340"/>
      <c r="B131" s="242"/>
      <c r="C131" s="242"/>
      <c r="D131" s="242"/>
      <c r="E131" s="242"/>
      <c r="F131" s="242"/>
      <c r="G131" s="243"/>
      <c r="H131" s="242"/>
      <c r="I131" s="264"/>
      <c r="J131" s="251"/>
      <c r="K131" s="251"/>
      <c r="L131" s="242"/>
      <c r="M131" s="242"/>
      <c r="N131" s="242"/>
      <c r="O131" s="242"/>
      <c r="P131" s="242"/>
      <c r="Q131" s="242"/>
      <c r="R131" s="242"/>
      <c r="S131" s="243"/>
      <c r="T131" s="280"/>
      <c r="U131" s="341"/>
      <c r="V131" s="13"/>
      <c r="W131" s="242"/>
      <c r="X131" s="242"/>
      <c r="Y131" s="242"/>
    </row>
    <row r="132">
      <c r="A132" s="340"/>
      <c r="B132" s="242"/>
      <c r="C132" s="242"/>
      <c r="D132" s="242"/>
      <c r="E132" s="242"/>
      <c r="F132" s="242"/>
      <c r="G132" s="243"/>
      <c r="H132" s="242"/>
      <c r="I132" s="264"/>
      <c r="J132" s="251"/>
      <c r="K132" s="251"/>
      <c r="L132" s="242"/>
      <c r="M132" s="242"/>
      <c r="N132" s="242"/>
      <c r="O132" s="242"/>
      <c r="P132" s="242"/>
      <c r="Q132" s="242"/>
      <c r="R132" s="242"/>
      <c r="S132" s="243"/>
      <c r="T132" s="280"/>
      <c r="U132" s="341"/>
      <c r="V132" s="13"/>
      <c r="W132" s="242"/>
      <c r="X132" s="242"/>
      <c r="Y132" s="242"/>
    </row>
    <row r="133">
      <c r="A133" s="340"/>
      <c r="B133" s="242"/>
      <c r="C133" s="242"/>
      <c r="D133" s="242"/>
      <c r="E133" s="242"/>
      <c r="F133" s="242"/>
      <c r="G133" s="243"/>
      <c r="H133" s="242"/>
      <c r="I133" s="264"/>
      <c r="J133" s="251"/>
      <c r="K133" s="251"/>
      <c r="L133" s="242"/>
      <c r="M133" s="242"/>
      <c r="N133" s="242"/>
      <c r="O133" s="242"/>
      <c r="P133" s="242"/>
      <c r="Q133" s="242"/>
      <c r="R133" s="242"/>
      <c r="S133" s="243"/>
      <c r="T133" s="280"/>
      <c r="U133" s="341"/>
      <c r="V133" s="13"/>
      <c r="W133" s="242"/>
      <c r="X133" s="242"/>
      <c r="Y133" s="242"/>
    </row>
    <row r="134">
      <c r="A134" s="340"/>
      <c r="B134" s="242"/>
      <c r="C134" s="242"/>
      <c r="D134" s="242"/>
      <c r="E134" s="242"/>
      <c r="F134" s="242"/>
      <c r="G134" s="243"/>
      <c r="H134" s="242"/>
      <c r="I134" s="264"/>
      <c r="J134" s="251"/>
      <c r="K134" s="251"/>
      <c r="L134" s="242"/>
      <c r="M134" s="242"/>
      <c r="N134" s="242"/>
      <c r="O134" s="242"/>
      <c r="P134" s="242"/>
      <c r="Q134" s="242"/>
      <c r="R134" s="242"/>
      <c r="S134" s="243"/>
      <c r="T134" s="280"/>
      <c r="U134" s="341"/>
      <c r="V134" s="13"/>
      <c r="W134" s="242"/>
      <c r="X134" s="242"/>
      <c r="Y134" s="242"/>
    </row>
    <row r="135">
      <c r="A135" s="340"/>
      <c r="B135" s="242"/>
      <c r="C135" s="242"/>
      <c r="D135" s="242"/>
      <c r="E135" s="242"/>
      <c r="F135" s="242"/>
      <c r="G135" s="243"/>
      <c r="H135" s="242"/>
      <c r="I135" s="264"/>
      <c r="J135" s="251"/>
      <c r="K135" s="251"/>
      <c r="L135" s="242"/>
      <c r="M135" s="242"/>
      <c r="N135" s="242"/>
      <c r="O135" s="242"/>
      <c r="P135" s="242"/>
      <c r="Q135" s="242"/>
      <c r="R135" s="242"/>
      <c r="S135" s="243"/>
      <c r="T135" s="280"/>
      <c r="U135" s="341"/>
      <c r="V135" s="13"/>
      <c r="W135" s="242"/>
      <c r="X135" s="242"/>
      <c r="Y135" s="242"/>
    </row>
    <row r="136">
      <c r="A136" s="340"/>
      <c r="B136" s="242"/>
      <c r="C136" s="242"/>
      <c r="D136" s="242"/>
      <c r="E136" s="242"/>
      <c r="F136" s="242"/>
      <c r="G136" s="243"/>
      <c r="H136" s="242"/>
      <c r="I136" s="264"/>
      <c r="J136" s="251"/>
      <c r="K136" s="251"/>
      <c r="L136" s="242"/>
      <c r="M136" s="242"/>
      <c r="N136" s="242"/>
      <c r="O136" s="242"/>
      <c r="P136" s="242"/>
      <c r="Q136" s="242"/>
      <c r="R136" s="242"/>
      <c r="S136" s="243"/>
      <c r="T136" s="280"/>
      <c r="U136" s="341"/>
      <c r="V136" s="13"/>
      <c r="W136" s="242"/>
      <c r="X136" s="242"/>
      <c r="Y136" s="242"/>
    </row>
    <row r="137">
      <c r="A137" s="340"/>
      <c r="B137" s="242"/>
      <c r="C137" s="242"/>
      <c r="D137" s="242"/>
      <c r="E137" s="242"/>
      <c r="F137" s="242"/>
      <c r="G137" s="243"/>
      <c r="H137" s="242"/>
      <c r="I137" s="264"/>
      <c r="J137" s="251"/>
      <c r="K137" s="251"/>
      <c r="L137" s="242"/>
      <c r="M137" s="242"/>
      <c r="N137" s="242"/>
      <c r="O137" s="242"/>
      <c r="P137" s="242"/>
      <c r="Q137" s="242"/>
      <c r="R137" s="242"/>
      <c r="S137" s="243"/>
      <c r="T137" s="280"/>
      <c r="U137" s="341"/>
      <c r="V137" s="13"/>
      <c r="W137" s="242"/>
      <c r="X137" s="242"/>
      <c r="Y137" s="242"/>
    </row>
    <row r="138">
      <c r="A138" s="340"/>
      <c r="B138" s="242"/>
      <c r="C138" s="242"/>
      <c r="D138" s="242"/>
      <c r="E138" s="242"/>
      <c r="F138" s="242"/>
      <c r="G138" s="243"/>
      <c r="H138" s="242"/>
      <c r="I138" s="264"/>
      <c r="J138" s="251"/>
      <c r="K138" s="251"/>
      <c r="L138" s="242"/>
      <c r="M138" s="242"/>
      <c r="N138" s="242"/>
      <c r="O138" s="242"/>
      <c r="P138" s="242"/>
      <c r="Q138" s="242"/>
      <c r="R138" s="242"/>
      <c r="S138" s="243"/>
      <c r="T138" s="280"/>
      <c r="U138" s="341"/>
      <c r="V138" s="13"/>
      <c r="W138" s="242"/>
      <c r="X138" s="242"/>
      <c r="Y138" s="242"/>
    </row>
    <row r="139">
      <c r="A139" s="340"/>
      <c r="B139" s="242"/>
      <c r="C139" s="242"/>
      <c r="D139" s="242"/>
      <c r="E139" s="242"/>
      <c r="F139" s="242"/>
      <c r="G139" s="243"/>
      <c r="H139" s="242"/>
      <c r="I139" s="264"/>
      <c r="J139" s="251"/>
      <c r="K139" s="251"/>
      <c r="L139" s="242"/>
      <c r="M139" s="242"/>
      <c r="N139" s="242"/>
      <c r="O139" s="242"/>
      <c r="P139" s="242"/>
      <c r="Q139" s="242"/>
      <c r="R139" s="242"/>
      <c r="S139" s="243"/>
      <c r="T139" s="280"/>
      <c r="U139" s="341"/>
      <c r="V139" s="13"/>
      <c r="W139" s="242"/>
      <c r="X139" s="242"/>
      <c r="Y139" s="242"/>
    </row>
    <row r="140">
      <c r="A140" s="340"/>
      <c r="B140" s="242"/>
      <c r="C140" s="242"/>
      <c r="D140" s="242"/>
      <c r="E140" s="242"/>
      <c r="F140" s="242"/>
      <c r="G140" s="243"/>
      <c r="H140" s="242"/>
      <c r="I140" s="264"/>
      <c r="J140" s="251"/>
      <c r="K140" s="251"/>
      <c r="L140" s="242"/>
      <c r="M140" s="242"/>
      <c r="N140" s="242"/>
      <c r="O140" s="242"/>
      <c r="P140" s="242"/>
      <c r="Q140" s="242"/>
      <c r="R140" s="242"/>
      <c r="S140" s="243"/>
      <c r="T140" s="280"/>
      <c r="U140" s="341"/>
      <c r="V140" s="13"/>
      <c r="W140" s="242"/>
      <c r="X140" s="242"/>
      <c r="Y140" s="242"/>
    </row>
    <row r="141">
      <c r="A141" s="340"/>
      <c r="B141" s="242"/>
      <c r="C141" s="242"/>
      <c r="D141" s="242"/>
      <c r="E141" s="242"/>
      <c r="F141" s="242"/>
      <c r="G141" s="243"/>
      <c r="H141" s="242"/>
      <c r="I141" s="264"/>
      <c r="J141" s="251"/>
      <c r="K141" s="251"/>
      <c r="L141" s="242"/>
      <c r="M141" s="242"/>
      <c r="N141" s="242"/>
      <c r="O141" s="242"/>
      <c r="P141" s="242"/>
      <c r="Q141" s="242"/>
      <c r="R141" s="242"/>
      <c r="S141" s="243"/>
      <c r="T141" s="280"/>
      <c r="U141" s="341"/>
      <c r="V141" s="13"/>
      <c r="W141" s="242"/>
      <c r="X141" s="242"/>
      <c r="Y141" s="242"/>
    </row>
    <row r="142">
      <c r="A142" s="340"/>
      <c r="B142" s="242"/>
      <c r="C142" s="242"/>
      <c r="D142" s="242"/>
      <c r="E142" s="242"/>
      <c r="F142" s="242"/>
      <c r="G142" s="243"/>
      <c r="H142" s="242"/>
      <c r="I142" s="264"/>
      <c r="J142" s="251"/>
      <c r="K142" s="251"/>
      <c r="L142" s="242"/>
      <c r="M142" s="242"/>
      <c r="N142" s="242"/>
      <c r="O142" s="242"/>
      <c r="P142" s="242"/>
      <c r="Q142" s="242"/>
      <c r="R142" s="242"/>
      <c r="S142" s="243"/>
      <c r="T142" s="280"/>
      <c r="U142" s="341"/>
      <c r="V142" s="13"/>
      <c r="W142" s="242"/>
      <c r="X142" s="242"/>
      <c r="Y142" s="242"/>
    </row>
    <row r="143">
      <c r="A143" s="340"/>
      <c r="B143" s="242"/>
      <c r="C143" s="242"/>
      <c r="D143" s="242"/>
      <c r="E143" s="242"/>
      <c r="F143" s="242"/>
      <c r="G143" s="243"/>
      <c r="H143" s="242"/>
      <c r="I143" s="264"/>
      <c r="J143" s="251"/>
      <c r="K143" s="251"/>
      <c r="L143" s="242"/>
      <c r="M143" s="242"/>
      <c r="N143" s="242"/>
      <c r="O143" s="242"/>
      <c r="P143" s="242"/>
      <c r="Q143" s="242"/>
      <c r="R143" s="242"/>
      <c r="S143" s="243"/>
      <c r="T143" s="280"/>
      <c r="U143" s="341"/>
      <c r="V143" s="13"/>
      <c r="W143" s="242"/>
      <c r="X143" s="242"/>
      <c r="Y143" s="242"/>
    </row>
    <row r="144">
      <c r="A144" s="340"/>
      <c r="B144" s="242"/>
      <c r="C144" s="242"/>
      <c r="D144" s="242"/>
      <c r="E144" s="242"/>
      <c r="F144" s="242"/>
      <c r="G144" s="243"/>
      <c r="H144" s="242"/>
      <c r="I144" s="264"/>
      <c r="J144" s="251"/>
      <c r="K144" s="251"/>
      <c r="L144" s="242"/>
      <c r="M144" s="242"/>
      <c r="N144" s="242"/>
      <c r="O144" s="242"/>
      <c r="P144" s="242"/>
      <c r="Q144" s="242"/>
      <c r="R144" s="242"/>
      <c r="S144" s="243"/>
      <c r="T144" s="280"/>
      <c r="U144" s="341"/>
      <c r="V144" s="13"/>
      <c r="W144" s="242"/>
      <c r="X144" s="242"/>
      <c r="Y144" s="242"/>
    </row>
    <row r="145">
      <c r="A145" s="340"/>
      <c r="B145" s="242"/>
      <c r="C145" s="242"/>
      <c r="D145" s="242"/>
      <c r="E145" s="242"/>
      <c r="F145" s="242"/>
      <c r="G145" s="243"/>
      <c r="H145" s="242"/>
      <c r="I145" s="264"/>
      <c r="J145" s="251"/>
      <c r="K145" s="251"/>
      <c r="L145" s="242"/>
      <c r="M145" s="242"/>
      <c r="N145" s="242"/>
      <c r="O145" s="242"/>
      <c r="P145" s="242"/>
      <c r="Q145" s="242"/>
      <c r="R145" s="242"/>
      <c r="S145" s="243"/>
      <c r="T145" s="280"/>
      <c r="U145" s="341"/>
      <c r="V145" s="13"/>
      <c r="W145" s="242"/>
      <c r="X145" s="242"/>
      <c r="Y145" s="242"/>
    </row>
    <row r="146">
      <c r="A146" s="340"/>
      <c r="B146" s="242"/>
      <c r="C146" s="242"/>
      <c r="D146" s="242"/>
      <c r="E146" s="242"/>
      <c r="F146" s="242"/>
      <c r="G146" s="243"/>
      <c r="H146" s="242"/>
      <c r="I146" s="264"/>
      <c r="J146" s="251"/>
      <c r="K146" s="251"/>
      <c r="L146" s="242"/>
      <c r="M146" s="242"/>
      <c r="N146" s="242"/>
      <c r="O146" s="242"/>
      <c r="P146" s="242"/>
      <c r="Q146" s="242"/>
      <c r="R146" s="242"/>
      <c r="S146" s="243"/>
      <c r="T146" s="280"/>
      <c r="U146" s="341"/>
      <c r="V146" s="13"/>
      <c r="W146" s="242"/>
      <c r="X146" s="242"/>
      <c r="Y146" s="242"/>
    </row>
    <row r="147">
      <c r="A147" s="340"/>
      <c r="B147" s="242"/>
      <c r="C147" s="242"/>
      <c r="D147" s="242"/>
      <c r="E147" s="242"/>
      <c r="F147" s="242"/>
      <c r="G147" s="243"/>
      <c r="H147" s="242"/>
      <c r="I147" s="264"/>
      <c r="J147" s="251"/>
      <c r="K147" s="251"/>
      <c r="L147" s="242"/>
      <c r="M147" s="242"/>
      <c r="N147" s="242"/>
      <c r="O147" s="242"/>
      <c r="P147" s="242"/>
      <c r="Q147" s="242"/>
      <c r="R147" s="242"/>
      <c r="S147" s="243"/>
      <c r="T147" s="280"/>
      <c r="U147" s="341"/>
      <c r="V147" s="13"/>
      <c r="W147" s="242"/>
      <c r="X147" s="242"/>
      <c r="Y147" s="242"/>
    </row>
    <row r="148">
      <c r="A148" s="340"/>
      <c r="B148" s="242"/>
      <c r="C148" s="242"/>
      <c r="D148" s="242"/>
      <c r="E148" s="242"/>
      <c r="F148" s="242"/>
      <c r="G148" s="243"/>
      <c r="H148" s="242"/>
      <c r="I148" s="264"/>
      <c r="J148" s="251"/>
      <c r="K148" s="251"/>
      <c r="L148" s="242"/>
      <c r="M148" s="242"/>
      <c r="N148" s="242"/>
      <c r="O148" s="242"/>
      <c r="P148" s="242"/>
      <c r="Q148" s="242"/>
      <c r="R148" s="242"/>
      <c r="S148" s="243"/>
      <c r="T148" s="280"/>
      <c r="U148" s="341"/>
      <c r="V148" s="13"/>
      <c r="W148" s="242"/>
      <c r="X148" s="242"/>
      <c r="Y148" s="242"/>
    </row>
    <row r="149">
      <c r="A149" s="340"/>
      <c r="B149" s="242"/>
      <c r="C149" s="242"/>
      <c r="D149" s="242"/>
      <c r="E149" s="242"/>
      <c r="F149" s="242"/>
      <c r="G149" s="243"/>
      <c r="H149" s="242"/>
      <c r="I149" s="264"/>
      <c r="J149" s="251"/>
      <c r="K149" s="251"/>
      <c r="L149" s="242"/>
      <c r="M149" s="242"/>
      <c r="N149" s="242"/>
      <c r="O149" s="242"/>
      <c r="P149" s="242"/>
      <c r="Q149" s="242"/>
      <c r="R149" s="242"/>
      <c r="S149" s="243"/>
      <c r="T149" s="280"/>
      <c r="U149" s="341"/>
      <c r="V149" s="13"/>
      <c r="W149" s="242"/>
      <c r="X149" s="242"/>
      <c r="Y149" s="242"/>
    </row>
    <row r="150">
      <c r="A150" s="340"/>
      <c r="B150" s="242"/>
      <c r="C150" s="242"/>
      <c r="D150" s="242"/>
      <c r="E150" s="242"/>
      <c r="F150" s="242"/>
      <c r="G150" s="243"/>
      <c r="H150" s="242"/>
      <c r="I150" s="264"/>
      <c r="J150" s="251"/>
      <c r="K150" s="251"/>
      <c r="L150" s="242"/>
      <c r="M150" s="242"/>
      <c r="N150" s="242"/>
      <c r="O150" s="242"/>
      <c r="P150" s="242"/>
      <c r="Q150" s="242"/>
      <c r="R150" s="242"/>
      <c r="S150" s="243"/>
      <c r="T150" s="280"/>
      <c r="U150" s="341"/>
      <c r="V150" s="13"/>
      <c r="W150" s="242"/>
      <c r="X150" s="242"/>
      <c r="Y150" s="242"/>
    </row>
    <row r="151">
      <c r="A151" s="340"/>
      <c r="B151" s="242"/>
      <c r="C151" s="242"/>
      <c r="D151" s="242"/>
      <c r="E151" s="242"/>
      <c r="F151" s="242"/>
      <c r="G151" s="243"/>
      <c r="H151" s="242"/>
      <c r="I151" s="264"/>
      <c r="J151" s="251"/>
      <c r="K151" s="251"/>
      <c r="L151" s="242"/>
      <c r="M151" s="242"/>
      <c r="N151" s="242"/>
      <c r="O151" s="242"/>
      <c r="P151" s="242"/>
      <c r="Q151" s="242"/>
      <c r="R151" s="242"/>
      <c r="S151" s="243"/>
      <c r="T151" s="280"/>
      <c r="U151" s="341"/>
      <c r="V151" s="13"/>
      <c r="W151" s="242"/>
      <c r="X151" s="242"/>
      <c r="Y151" s="242"/>
    </row>
    <row r="152">
      <c r="A152" s="340"/>
      <c r="B152" s="242"/>
      <c r="C152" s="242"/>
      <c r="D152" s="242"/>
      <c r="E152" s="242"/>
      <c r="F152" s="242"/>
      <c r="G152" s="243"/>
      <c r="H152" s="242"/>
      <c r="I152" s="264"/>
      <c r="J152" s="251"/>
      <c r="K152" s="251"/>
      <c r="L152" s="242"/>
      <c r="M152" s="242"/>
      <c r="N152" s="242"/>
      <c r="O152" s="242"/>
      <c r="P152" s="242"/>
      <c r="Q152" s="242"/>
      <c r="R152" s="242"/>
      <c r="S152" s="243"/>
      <c r="T152" s="280"/>
      <c r="U152" s="341"/>
      <c r="V152" s="13"/>
      <c r="W152" s="242"/>
      <c r="X152" s="242"/>
      <c r="Y152" s="242"/>
    </row>
    <row r="153">
      <c r="A153" s="340"/>
      <c r="B153" s="242"/>
      <c r="C153" s="242"/>
      <c r="D153" s="242"/>
      <c r="E153" s="242"/>
      <c r="F153" s="242"/>
      <c r="G153" s="243"/>
      <c r="H153" s="242"/>
      <c r="I153" s="264"/>
      <c r="J153" s="251"/>
      <c r="K153" s="251"/>
      <c r="L153" s="242"/>
      <c r="M153" s="242"/>
      <c r="N153" s="242"/>
      <c r="O153" s="242"/>
      <c r="P153" s="242"/>
      <c r="Q153" s="242"/>
      <c r="R153" s="242"/>
      <c r="S153" s="243"/>
      <c r="T153" s="280"/>
      <c r="U153" s="341"/>
      <c r="V153" s="13"/>
      <c r="W153" s="242"/>
      <c r="X153" s="242"/>
      <c r="Y153" s="242"/>
    </row>
    <row r="154">
      <c r="A154" s="340"/>
      <c r="B154" s="242"/>
      <c r="C154" s="242"/>
      <c r="D154" s="242"/>
      <c r="E154" s="242"/>
      <c r="F154" s="242"/>
      <c r="G154" s="243"/>
      <c r="H154" s="242"/>
      <c r="I154" s="264"/>
      <c r="J154" s="251"/>
      <c r="K154" s="251"/>
      <c r="L154" s="242"/>
      <c r="M154" s="242"/>
      <c r="N154" s="242"/>
      <c r="O154" s="242"/>
      <c r="P154" s="242"/>
      <c r="Q154" s="242"/>
      <c r="R154" s="242"/>
      <c r="S154" s="243"/>
      <c r="T154" s="280"/>
      <c r="U154" s="341"/>
      <c r="V154" s="13"/>
      <c r="W154" s="242"/>
      <c r="X154" s="242"/>
      <c r="Y154" s="242"/>
    </row>
    <row r="155">
      <c r="A155" s="340"/>
      <c r="B155" s="242"/>
      <c r="C155" s="242"/>
      <c r="D155" s="242"/>
      <c r="E155" s="242"/>
      <c r="F155" s="242"/>
      <c r="G155" s="243"/>
      <c r="H155" s="242"/>
      <c r="I155" s="264"/>
      <c r="J155" s="251"/>
      <c r="K155" s="251"/>
      <c r="L155" s="242"/>
      <c r="M155" s="242"/>
      <c r="N155" s="242"/>
      <c r="O155" s="242"/>
      <c r="P155" s="242"/>
      <c r="Q155" s="242"/>
      <c r="R155" s="242"/>
      <c r="S155" s="243"/>
      <c r="T155" s="280"/>
      <c r="U155" s="341"/>
      <c r="V155" s="13"/>
      <c r="W155" s="242"/>
      <c r="X155" s="242"/>
      <c r="Y155" s="242"/>
    </row>
    <row r="156">
      <c r="A156" s="340"/>
      <c r="B156" s="242"/>
      <c r="C156" s="242"/>
      <c r="D156" s="242"/>
      <c r="E156" s="242"/>
      <c r="F156" s="242"/>
      <c r="G156" s="243"/>
      <c r="H156" s="242"/>
      <c r="I156" s="264"/>
      <c r="J156" s="251"/>
      <c r="K156" s="251"/>
      <c r="L156" s="242"/>
      <c r="M156" s="242"/>
      <c r="N156" s="242"/>
      <c r="O156" s="242"/>
      <c r="P156" s="242"/>
      <c r="Q156" s="242"/>
      <c r="R156" s="242"/>
      <c r="S156" s="243"/>
      <c r="T156" s="280"/>
      <c r="U156" s="341"/>
      <c r="V156" s="13"/>
      <c r="W156" s="242"/>
      <c r="X156" s="242"/>
      <c r="Y156" s="242"/>
    </row>
    <row r="157">
      <c r="A157" s="340"/>
      <c r="B157" s="242"/>
      <c r="C157" s="242"/>
      <c r="D157" s="242"/>
      <c r="E157" s="242"/>
      <c r="F157" s="242"/>
      <c r="G157" s="243"/>
      <c r="H157" s="242"/>
      <c r="I157" s="264"/>
      <c r="J157" s="251"/>
      <c r="K157" s="251"/>
      <c r="L157" s="242"/>
      <c r="M157" s="242"/>
      <c r="N157" s="242"/>
      <c r="O157" s="242"/>
      <c r="P157" s="242"/>
      <c r="Q157" s="242"/>
      <c r="R157" s="242"/>
      <c r="S157" s="243"/>
      <c r="T157" s="280"/>
      <c r="U157" s="341"/>
      <c r="V157" s="13"/>
      <c r="W157" s="242"/>
      <c r="X157" s="242"/>
      <c r="Y157" s="242"/>
    </row>
    <row r="158">
      <c r="A158" s="340"/>
      <c r="B158" s="242"/>
      <c r="C158" s="242"/>
      <c r="D158" s="242"/>
      <c r="E158" s="242"/>
      <c r="F158" s="242"/>
      <c r="G158" s="243"/>
      <c r="H158" s="242"/>
      <c r="I158" s="264"/>
      <c r="J158" s="251"/>
      <c r="K158" s="251"/>
      <c r="L158" s="242"/>
      <c r="M158" s="242"/>
      <c r="N158" s="242"/>
      <c r="O158" s="242"/>
      <c r="P158" s="242"/>
      <c r="Q158" s="242"/>
      <c r="R158" s="242"/>
      <c r="S158" s="243"/>
      <c r="T158" s="280"/>
      <c r="U158" s="341"/>
      <c r="V158" s="13"/>
      <c r="W158" s="242"/>
      <c r="X158" s="242"/>
      <c r="Y158" s="242"/>
    </row>
    <row r="159">
      <c r="A159" s="340"/>
      <c r="B159" s="242"/>
      <c r="C159" s="242"/>
      <c r="D159" s="242"/>
      <c r="E159" s="242"/>
      <c r="F159" s="242"/>
      <c r="G159" s="243"/>
      <c r="H159" s="242"/>
      <c r="I159" s="264"/>
      <c r="J159" s="251"/>
      <c r="K159" s="251"/>
      <c r="L159" s="242"/>
      <c r="M159" s="242"/>
      <c r="N159" s="242"/>
      <c r="O159" s="242"/>
      <c r="P159" s="242"/>
      <c r="Q159" s="242"/>
      <c r="R159" s="242"/>
      <c r="S159" s="243"/>
      <c r="T159" s="280"/>
      <c r="U159" s="341"/>
      <c r="V159" s="13"/>
      <c r="W159" s="242"/>
      <c r="X159" s="242"/>
      <c r="Y159" s="242"/>
    </row>
    <row r="160">
      <c r="A160" s="340"/>
      <c r="B160" s="242"/>
      <c r="C160" s="242"/>
      <c r="D160" s="242"/>
      <c r="E160" s="242"/>
      <c r="F160" s="242"/>
      <c r="G160" s="243"/>
      <c r="H160" s="242"/>
      <c r="I160" s="264"/>
      <c r="J160" s="251"/>
      <c r="K160" s="251"/>
      <c r="L160" s="242"/>
      <c r="M160" s="242"/>
      <c r="N160" s="242"/>
      <c r="O160" s="242"/>
      <c r="P160" s="242"/>
      <c r="Q160" s="242"/>
      <c r="R160" s="242"/>
      <c r="S160" s="243"/>
      <c r="T160" s="280"/>
      <c r="U160" s="341"/>
      <c r="V160" s="13"/>
      <c r="W160" s="242"/>
      <c r="X160" s="242"/>
      <c r="Y160" s="242"/>
    </row>
    <row r="161">
      <c r="A161" s="340"/>
      <c r="B161" s="242"/>
      <c r="C161" s="242"/>
      <c r="D161" s="242"/>
      <c r="E161" s="242"/>
      <c r="F161" s="242"/>
      <c r="G161" s="243"/>
      <c r="H161" s="242"/>
      <c r="I161" s="264"/>
      <c r="J161" s="251"/>
      <c r="K161" s="251"/>
      <c r="L161" s="242"/>
      <c r="M161" s="242"/>
      <c r="N161" s="242"/>
      <c r="O161" s="242"/>
      <c r="P161" s="242"/>
      <c r="Q161" s="242"/>
      <c r="R161" s="242"/>
      <c r="S161" s="243"/>
      <c r="T161" s="280"/>
      <c r="U161" s="341"/>
      <c r="V161" s="13"/>
      <c r="W161" s="242"/>
      <c r="X161" s="242"/>
      <c r="Y161" s="242"/>
    </row>
    <row r="162">
      <c r="A162" s="340"/>
      <c r="B162" s="242"/>
      <c r="C162" s="242"/>
      <c r="D162" s="242"/>
      <c r="E162" s="242"/>
      <c r="F162" s="242"/>
      <c r="G162" s="243"/>
      <c r="H162" s="242"/>
      <c r="I162" s="264"/>
      <c r="J162" s="251"/>
      <c r="K162" s="251"/>
      <c r="L162" s="242"/>
      <c r="M162" s="242"/>
      <c r="N162" s="242"/>
      <c r="O162" s="242"/>
      <c r="P162" s="242"/>
      <c r="Q162" s="242"/>
      <c r="R162" s="242"/>
      <c r="S162" s="243"/>
      <c r="T162" s="280"/>
      <c r="U162" s="341"/>
      <c r="V162" s="13"/>
      <c r="W162" s="242"/>
      <c r="X162" s="242"/>
      <c r="Y162" s="242"/>
    </row>
    <row r="163">
      <c r="A163" s="340"/>
      <c r="B163" s="242"/>
      <c r="C163" s="242"/>
      <c r="D163" s="242"/>
      <c r="E163" s="242"/>
      <c r="F163" s="242"/>
      <c r="G163" s="243"/>
      <c r="H163" s="242"/>
      <c r="I163" s="264"/>
      <c r="J163" s="251"/>
      <c r="K163" s="251"/>
      <c r="L163" s="242"/>
      <c r="M163" s="242"/>
      <c r="N163" s="242"/>
      <c r="O163" s="242"/>
      <c r="P163" s="242"/>
      <c r="Q163" s="242"/>
      <c r="R163" s="242"/>
      <c r="S163" s="243"/>
      <c r="T163" s="280"/>
      <c r="U163" s="341"/>
      <c r="V163" s="13"/>
      <c r="W163" s="242"/>
      <c r="X163" s="242"/>
      <c r="Y163" s="242"/>
    </row>
    <row r="164">
      <c r="A164" s="340"/>
      <c r="B164" s="242"/>
      <c r="C164" s="242"/>
      <c r="D164" s="242"/>
      <c r="E164" s="242"/>
      <c r="F164" s="242"/>
      <c r="G164" s="243"/>
      <c r="H164" s="242"/>
      <c r="I164" s="264"/>
      <c r="J164" s="251"/>
      <c r="K164" s="251"/>
      <c r="L164" s="242"/>
      <c r="M164" s="242"/>
      <c r="N164" s="242"/>
      <c r="O164" s="242"/>
      <c r="P164" s="242"/>
      <c r="Q164" s="242"/>
      <c r="R164" s="242"/>
      <c r="S164" s="243"/>
      <c r="T164" s="280"/>
      <c r="U164" s="341"/>
      <c r="V164" s="13"/>
      <c r="W164" s="242"/>
      <c r="X164" s="242"/>
      <c r="Y164" s="242"/>
    </row>
    <row r="165">
      <c r="A165" s="340"/>
      <c r="B165" s="242"/>
      <c r="C165" s="242"/>
      <c r="D165" s="242"/>
      <c r="E165" s="242"/>
      <c r="F165" s="242"/>
      <c r="G165" s="243"/>
      <c r="H165" s="242"/>
      <c r="I165" s="264"/>
      <c r="J165" s="251"/>
      <c r="K165" s="251"/>
      <c r="L165" s="242"/>
      <c r="M165" s="242"/>
      <c r="N165" s="242"/>
      <c r="O165" s="242"/>
      <c r="P165" s="242"/>
      <c r="Q165" s="242"/>
      <c r="R165" s="242"/>
      <c r="S165" s="243"/>
      <c r="T165" s="280"/>
      <c r="U165" s="341"/>
      <c r="V165" s="13"/>
      <c r="W165" s="242"/>
      <c r="X165" s="242"/>
      <c r="Y165" s="242"/>
    </row>
    <row r="166">
      <c r="A166" s="340"/>
      <c r="B166" s="242"/>
      <c r="C166" s="242"/>
      <c r="D166" s="242"/>
      <c r="E166" s="242"/>
      <c r="F166" s="242"/>
      <c r="G166" s="243"/>
      <c r="H166" s="242"/>
      <c r="I166" s="264"/>
      <c r="J166" s="251"/>
      <c r="K166" s="251"/>
      <c r="L166" s="242"/>
      <c r="M166" s="242"/>
      <c r="N166" s="242"/>
      <c r="O166" s="242"/>
      <c r="P166" s="242"/>
      <c r="Q166" s="242"/>
      <c r="R166" s="242"/>
      <c r="S166" s="243"/>
      <c r="T166" s="280"/>
      <c r="U166" s="341"/>
      <c r="V166" s="13"/>
      <c r="W166" s="242"/>
      <c r="X166" s="242"/>
      <c r="Y166" s="242"/>
    </row>
    <row r="167">
      <c r="A167" s="340"/>
      <c r="B167" s="242"/>
      <c r="C167" s="242"/>
      <c r="D167" s="242"/>
      <c r="E167" s="242"/>
      <c r="F167" s="242"/>
      <c r="G167" s="243"/>
      <c r="H167" s="242"/>
      <c r="I167" s="264"/>
      <c r="J167" s="251"/>
      <c r="K167" s="251"/>
      <c r="L167" s="242"/>
      <c r="M167" s="242"/>
      <c r="N167" s="242"/>
      <c r="O167" s="242"/>
      <c r="P167" s="242"/>
      <c r="Q167" s="242"/>
      <c r="R167" s="242"/>
      <c r="S167" s="243"/>
      <c r="T167" s="280"/>
      <c r="U167" s="341"/>
      <c r="V167" s="13"/>
      <c r="W167" s="242"/>
      <c r="X167" s="242"/>
      <c r="Y167" s="242"/>
    </row>
    <row r="168">
      <c r="A168" s="340"/>
      <c r="B168" s="242"/>
      <c r="C168" s="242"/>
      <c r="D168" s="242"/>
      <c r="E168" s="242"/>
      <c r="F168" s="242"/>
      <c r="G168" s="243"/>
      <c r="H168" s="242"/>
      <c r="I168" s="264"/>
      <c r="J168" s="251"/>
      <c r="K168" s="251"/>
      <c r="L168" s="242"/>
      <c r="M168" s="242"/>
      <c r="N168" s="242"/>
      <c r="O168" s="242"/>
      <c r="P168" s="242"/>
      <c r="Q168" s="242"/>
      <c r="R168" s="242"/>
      <c r="S168" s="243"/>
      <c r="T168" s="280"/>
      <c r="U168" s="341"/>
      <c r="V168" s="13"/>
      <c r="W168" s="242"/>
      <c r="X168" s="242"/>
      <c r="Y168" s="242"/>
    </row>
    <row r="169">
      <c r="A169" s="340"/>
      <c r="B169" s="242"/>
      <c r="C169" s="242"/>
      <c r="D169" s="242"/>
      <c r="E169" s="242"/>
      <c r="F169" s="242"/>
      <c r="G169" s="243"/>
      <c r="H169" s="242"/>
      <c r="I169" s="264"/>
      <c r="J169" s="251"/>
      <c r="K169" s="251"/>
      <c r="L169" s="242"/>
      <c r="M169" s="242"/>
      <c r="N169" s="242"/>
      <c r="O169" s="242"/>
      <c r="P169" s="242"/>
      <c r="Q169" s="242"/>
      <c r="R169" s="242"/>
      <c r="S169" s="243"/>
      <c r="T169" s="280"/>
      <c r="U169" s="341"/>
      <c r="V169" s="13"/>
      <c r="W169" s="242"/>
      <c r="X169" s="242"/>
      <c r="Y169" s="242"/>
    </row>
    <row r="170">
      <c r="A170" s="340"/>
      <c r="B170" s="242"/>
      <c r="C170" s="242"/>
      <c r="D170" s="242"/>
      <c r="E170" s="242"/>
      <c r="F170" s="242"/>
      <c r="G170" s="243"/>
      <c r="H170" s="242"/>
      <c r="I170" s="264"/>
      <c r="J170" s="251"/>
      <c r="K170" s="251"/>
      <c r="L170" s="242"/>
      <c r="M170" s="242"/>
      <c r="N170" s="242"/>
      <c r="O170" s="242"/>
      <c r="P170" s="242"/>
      <c r="Q170" s="242"/>
      <c r="R170" s="242"/>
      <c r="S170" s="243"/>
      <c r="T170" s="280"/>
      <c r="U170" s="341"/>
      <c r="V170" s="13"/>
      <c r="W170" s="242"/>
      <c r="X170" s="242"/>
      <c r="Y170" s="242"/>
    </row>
    <row r="171">
      <c r="A171" s="340"/>
      <c r="B171" s="242"/>
      <c r="C171" s="242"/>
      <c r="D171" s="242"/>
      <c r="E171" s="242"/>
      <c r="F171" s="242"/>
      <c r="G171" s="243"/>
      <c r="H171" s="242"/>
      <c r="I171" s="264"/>
      <c r="J171" s="251"/>
      <c r="K171" s="251"/>
      <c r="L171" s="242"/>
      <c r="M171" s="242"/>
      <c r="N171" s="242"/>
      <c r="O171" s="242"/>
      <c r="P171" s="242"/>
      <c r="Q171" s="242"/>
      <c r="R171" s="242"/>
      <c r="S171" s="243"/>
      <c r="T171" s="280"/>
      <c r="U171" s="341"/>
      <c r="V171" s="13"/>
      <c r="W171" s="242"/>
      <c r="X171" s="242"/>
      <c r="Y171" s="242"/>
    </row>
    <row r="172">
      <c r="A172" s="340"/>
      <c r="B172" s="242"/>
      <c r="C172" s="242"/>
      <c r="D172" s="242"/>
      <c r="E172" s="242"/>
      <c r="F172" s="242"/>
      <c r="G172" s="243"/>
      <c r="H172" s="242"/>
      <c r="I172" s="264"/>
      <c r="J172" s="251"/>
      <c r="K172" s="251"/>
      <c r="L172" s="242"/>
      <c r="M172" s="242"/>
      <c r="N172" s="242"/>
      <c r="O172" s="242"/>
      <c r="P172" s="242"/>
      <c r="Q172" s="242"/>
      <c r="R172" s="242"/>
      <c r="S172" s="243"/>
      <c r="T172" s="280"/>
      <c r="U172" s="341"/>
      <c r="V172" s="13"/>
      <c r="W172" s="242"/>
      <c r="X172" s="242"/>
      <c r="Y172" s="242"/>
    </row>
    <row r="173">
      <c r="A173" s="340"/>
      <c r="B173" s="242"/>
      <c r="C173" s="242"/>
      <c r="D173" s="242"/>
      <c r="E173" s="242"/>
      <c r="F173" s="242"/>
      <c r="G173" s="243"/>
      <c r="H173" s="242"/>
      <c r="I173" s="264"/>
      <c r="J173" s="251"/>
      <c r="K173" s="251"/>
      <c r="L173" s="242"/>
      <c r="M173" s="242"/>
      <c r="N173" s="242"/>
      <c r="O173" s="242"/>
      <c r="P173" s="242"/>
      <c r="Q173" s="242"/>
      <c r="R173" s="242"/>
      <c r="S173" s="243"/>
      <c r="T173" s="280"/>
      <c r="U173" s="341"/>
      <c r="V173" s="13"/>
      <c r="W173" s="242"/>
      <c r="X173" s="242"/>
      <c r="Y173" s="242"/>
    </row>
    <row r="174">
      <c r="A174" s="340"/>
      <c r="B174" s="242"/>
      <c r="C174" s="242"/>
      <c r="D174" s="242"/>
      <c r="E174" s="242"/>
      <c r="F174" s="242"/>
      <c r="G174" s="243"/>
      <c r="H174" s="242"/>
      <c r="I174" s="264"/>
      <c r="J174" s="251"/>
      <c r="K174" s="251"/>
      <c r="L174" s="242"/>
      <c r="M174" s="242"/>
      <c r="N174" s="242"/>
      <c r="O174" s="242"/>
      <c r="P174" s="242"/>
      <c r="Q174" s="242"/>
      <c r="R174" s="242"/>
      <c r="S174" s="243"/>
      <c r="T174" s="280"/>
      <c r="U174" s="341"/>
      <c r="V174" s="13"/>
      <c r="W174" s="242"/>
      <c r="X174" s="242"/>
      <c r="Y174" s="242"/>
    </row>
    <row r="175">
      <c r="A175" s="340"/>
      <c r="B175" s="242"/>
      <c r="C175" s="242"/>
      <c r="D175" s="242"/>
      <c r="E175" s="242"/>
      <c r="F175" s="242"/>
      <c r="G175" s="243"/>
      <c r="H175" s="242"/>
      <c r="I175" s="264"/>
      <c r="J175" s="251"/>
      <c r="K175" s="251"/>
      <c r="L175" s="242"/>
      <c r="M175" s="242"/>
      <c r="N175" s="242"/>
      <c r="O175" s="242"/>
      <c r="P175" s="242"/>
      <c r="Q175" s="242"/>
      <c r="R175" s="242"/>
      <c r="S175" s="243"/>
      <c r="T175" s="280"/>
      <c r="U175" s="341"/>
      <c r="V175" s="13"/>
      <c r="W175" s="242"/>
      <c r="X175" s="242"/>
      <c r="Y175" s="242"/>
    </row>
    <row r="176">
      <c r="A176" s="340"/>
      <c r="B176" s="242"/>
      <c r="C176" s="242"/>
      <c r="D176" s="242"/>
      <c r="E176" s="242"/>
      <c r="F176" s="242"/>
      <c r="G176" s="243"/>
      <c r="H176" s="242"/>
      <c r="I176" s="264"/>
      <c r="J176" s="251"/>
      <c r="K176" s="251"/>
      <c r="L176" s="242"/>
      <c r="M176" s="242"/>
      <c r="N176" s="242"/>
      <c r="O176" s="242"/>
      <c r="P176" s="242"/>
      <c r="Q176" s="242"/>
      <c r="R176" s="242"/>
      <c r="S176" s="243"/>
      <c r="T176" s="280"/>
      <c r="U176" s="341"/>
      <c r="V176" s="13"/>
      <c r="W176" s="242"/>
      <c r="X176" s="242"/>
      <c r="Y176" s="242"/>
    </row>
    <row r="177">
      <c r="A177" s="340"/>
      <c r="B177" s="242"/>
      <c r="C177" s="242"/>
      <c r="D177" s="242"/>
      <c r="E177" s="242"/>
      <c r="F177" s="242"/>
      <c r="G177" s="243"/>
      <c r="H177" s="242"/>
      <c r="I177" s="264"/>
      <c r="J177" s="251"/>
      <c r="K177" s="251"/>
      <c r="L177" s="242"/>
      <c r="M177" s="242"/>
      <c r="N177" s="242"/>
      <c r="O177" s="242"/>
      <c r="P177" s="242"/>
      <c r="Q177" s="242"/>
      <c r="R177" s="242"/>
      <c r="S177" s="243"/>
      <c r="T177" s="280"/>
      <c r="U177" s="341"/>
      <c r="V177" s="13"/>
      <c r="W177" s="242"/>
      <c r="X177" s="242"/>
      <c r="Y177" s="242"/>
    </row>
    <row r="178">
      <c r="A178" s="340"/>
      <c r="B178" s="242"/>
      <c r="C178" s="242"/>
      <c r="D178" s="242"/>
      <c r="E178" s="242"/>
      <c r="F178" s="242"/>
      <c r="G178" s="243"/>
      <c r="H178" s="242"/>
      <c r="I178" s="264"/>
      <c r="J178" s="251"/>
      <c r="K178" s="251"/>
      <c r="L178" s="242"/>
      <c r="M178" s="242"/>
      <c r="N178" s="242"/>
      <c r="O178" s="242"/>
      <c r="P178" s="242"/>
      <c r="Q178" s="242"/>
      <c r="R178" s="242"/>
      <c r="S178" s="243"/>
      <c r="T178" s="280"/>
      <c r="U178" s="341"/>
      <c r="V178" s="13"/>
      <c r="W178" s="242"/>
      <c r="X178" s="242"/>
      <c r="Y178" s="242"/>
    </row>
    <row r="179">
      <c r="A179" s="340"/>
      <c r="B179" s="242"/>
      <c r="C179" s="242"/>
      <c r="D179" s="242"/>
      <c r="E179" s="242"/>
      <c r="F179" s="242"/>
      <c r="G179" s="243"/>
      <c r="H179" s="242"/>
      <c r="I179" s="264"/>
      <c r="J179" s="251"/>
      <c r="K179" s="251"/>
      <c r="L179" s="242"/>
      <c r="M179" s="242"/>
      <c r="N179" s="242"/>
      <c r="O179" s="242"/>
      <c r="P179" s="242"/>
      <c r="Q179" s="242"/>
      <c r="R179" s="242"/>
      <c r="S179" s="243"/>
      <c r="T179" s="280"/>
      <c r="U179" s="341"/>
      <c r="V179" s="13"/>
      <c r="W179" s="242"/>
      <c r="X179" s="242"/>
      <c r="Y179" s="242"/>
    </row>
    <row r="180">
      <c r="A180" s="340"/>
      <c r="B180" s="242"/>
      <c r="C180" s="242"/>
      <c r="D180" s="242"/>
      <c r="E180" s="242"/>
      <c r="F180" s="242"/>
      <c r="G180" s="243"/>
      <c r="H180" s="242"/>
      <c r="I180" s="264"/>
      <c r="J180" s="251"/>
      <c r="K180" s="251"/>
      <c r="L180" s="242"/>
      <c r="M180" s="242"/>
      <c r="N180" s="242"/>
      <c r="O180" s="242"/>
      <c r="P180" s="242"/>
      <c r="Q180" s="242"/>
      <c r="R180" s="242"/>
      <c r="S180" s="243"/>
      <c r="T180" s="280"/>
      <c r="U180" s="341"/>
      <c r="V180" s="13"/>
      <c r="W180" s="242"/>
      <c r="X180" s="242"/>
      <c r="Y180" s="242"/>
    </row>
    <row r="181">
      <c r="A181" s="340"/>
      <c r="B181" s="242"/>
      <c r="C181" s="242"/>
      <c r="D181" s="242"/>
      <c r="E181" s="242"/>
      <c r="F181" s="242"/>
      <c r="G181" s="243"/>
      <c r="H181" s="242"/>
      <c r="I181" s="264"/>
      <c r="J181" s="251"/>
      <c r="K181" s="251"/>
      <c r="L181" s="242"/>
      <c r="M181" s="242"/>
      <c r="N181" s="242"/>
      <c r="O181" s="242"/>
      <c r="P181" s="242"/>
      <c r="Q181" s="242"/>
      <c r="R181" s="242"/>
      <c r="S181" s="243"/>
      <c r="T181" s="280"/>
      <c r="U181" s="341"/>
      <c r="V181" s="13"/>
      <c r="W181" s="242"/>
      <c r="X181" s="242"/>
      <c r="Y181" s="242"/>
    </row>
    <row r="182">
      <c r="A182" s="340"/>
      <c r="B182" s="242"/>
      <c r="C182" s="242"/>
      <c r="D182" s="242"/>
      <c r="E182" s="242"/>
      <c r="F182" s="242"/>
      <c r="G182" s="243"/>
      <c r="H182" s="242"/>
      <c r="I182" s="264"/>
      <c r="J182" s="251"/>
      <c r="K182" s="251"/>
      <c r="L182" s="242"/>
      <c r="M182" s="242"/>
      <c r="N182" s="242"/>
      <c r="O182" s="242"/>
      <c r="P182" s="242"/>
      <c r="Q182" s="242"/>
      <c r="R182" s="242"/>
      <c r="S182" s="243"/>
      <c r="T182" s="280"/>
      <c r="U182" s="341"/>
      <c r="V182" s="13"/>
      <c r="W182" s="242"/>
      <c r="X182" s="242"/>
      <c r="Y182" s="242"/>
    </row>
    <row r="183">
      <c r="A183" s="340"/>
      <c r="B183" s="242"/>
      <c r="C183" s="242"/>
      <c r="D183" s="242"/>
      <c r="E183" s="242"/>
      <c r="F183" s="242"/>
      <c r="G183" s="243"/>
      <c r="H183" s="242"/>
      <c r="I183" s="264"/>
      <c r="J183" s="251"/>
      <c r="K183" s="251"/>
      <c r="L183" s="242"/>
      <c r="M183" s="242"/>
      <c r="N183" s="242"/>
      <c r="O183" s="242"/>
      <c r="P183" s="242"/>
      <c r="Q183" s="242"/>
      <c r="R183" s="242"/>
      <c r="S183" s="243"/>
      <c r="T183" s="280"/>
      <c r="U183" s="341"/>
      <c r="V183" s="13"/>
      <c r="W183" s="242"/>
      <c r="X183" s="242"/>
      <c r="Y183" s="242"/>
    </row>
    <row r="184">
      <c r="A184" s="340"/>
      <c r="B184" s="242"/>
      <c r="C184" s="242"/>
      <c r="D184" s="242"/>
      <c r="E184" s="242"/>
      <c r="F184" s="242"/>
      <c r="G184" s="243"/>
      <c r="H184" s="242"/>
      <c r="I184" s="264"/>
      <c r="J184" s="251"/>
      <c r="K184" s="251"/>
      <c r="L184" s="242"/>
      <c r="M184" s="242"/>
      <c r="N184" s="242"/>
      <c r="O184" s="242"/>
      <c r="P184" s="242"/>
      <c r="Q184" s="242"/>
      <c r="R184" s="242"/>
      <c r="S184" s="243"/>
      <c r="T184" s="280"/>
      <c r="U184" s="341"/>
      <c r="V184" s="13"/>
      <c r="W184" s="242"/>
      <c r="X184" s="242"/>
      <c r="Y184" s="242"/>
    </row>
    <row r="185">
      <c r="A185" s="340"/>
      <c r="B185" s="242"/>
      <c r="C185" s="242"/>
      <c r="D185" s="242"/>
      <c r="E185" s="242"/>
      <c r="F185" s="242"/>
      <c r="G185" s="243"/>
      <c r="H185" s="242"/>
      <c r="I185" s="264"/>
      <c r="J185" s="251"/>
      <c r="K185" s="251"/>
      <c r="L185" s="242"/>
      <c r="M185" s="242"/>
      <c r="N185" s="242"/>
      <c r="O185" s="242"/>
      <c r="P185" s="242"/>
      <c r="Q185" s="242"/>
      <c r="R185" s="242"/>
      <c r="S185" s="243"/>
      <c r="T185" s="280"/>
      <c r="U185" s="341"/>
      <c r="V185" s="13"/>
      <c r="W185" s="242"/>
      <c r="X185" s="242"/>
      <c r="Y185" s="242"/>
    </row>
    <row r="186">
      <c r="A186" s="340"/>
      <c r="B186" s="242"/>
      <c r="C186" s="242"/>
      <c r="D186" s="242"/>
      <c r="E186" s="242"/>
      <c r="F186" s="242"/>
      <c r="G186" s="243"/>
      <c r="H186" s="242"/>
      <c r="I186" s="264"/>
      <c r="J186" s="251"/>
      <c r="K186" s="251"/>
      <c r="L186" s="242"/>
      <c r="M186" s="242"/>
      <c r="N186" s="242"/>
      <c r="O186" s="242"/>
      <c r="P186" s="242"/>
      <c r="Q186" s="242"/>
      <c r="R186" s="242"/>
      <c r="S186" s="243"/>
      <c r="T186" s="280"/>
      <c r="U186" s="341"/>
      <c r="V186" s="13"/>
      <c r="W186" s="242"/>
      <c r="X186" s="242"/>
      <c r="Y186" s="242"/>
    </row>
    <row r="187">
      <c r="A187" s="340"/>
      <c r="B187" s="242"/>
      <c r="C187" s="242"/>
      <c r="D187" s="242"/>
      <c r="E187" s="242"/>
      <c r="F187" s="242"/>
      <c r="G187" s="243"/>
      <c r="H187" s="242"/>
      <c r="I187" s="264"/>
      <c r="J187" s="251"/>
      <c r="K187" s="251"/>
      <c r="L187" s="242"/>
      <c r="M187" s="242"/>
      <c r="N187" s="242"/>
      <c r="O187" s="242"/>
      <c r="P187" s="242"/>
      <c r="Q187" s="242"/>
      <c r="R187" s="242"/>
      <c r="S187" s="243"/>
      <c r="T187" s="280"/>
      <c r="U187" s="341"/>
      <c r="V187" s="13"/>
      <c r="W187" s="242"/>
      <c r="X187" s="242"/>
      <c r="Y187" s="242"/>
    </row>
    <row r="188">
      <c r="A188" s="340"/>
      <c r="B188" s="242"/>
      <c r="C188" s="242"/>
      <c r="D188" s="242"/>
      <c r="E188" s="242"/>
      <c r="F188" s="242"/>
      <c r="G188" s="243"/>
      <c r="H188" s="242"/>
      <c r="I188" s="264"/>
      <c r="J188" s="251"/>
      <c r="K188" s="251"/>
      <c r="L188" s="242"/>
      <c r="M188" s="242"/>
      <c r="N188" s="242"/>
      <c r="O188" s="242"/>
      <c r="P188" s="242"/>
      <c r="Q188" s="242"/>
      <c r="R188" s="242"/>
      <c r="S188" s="243"/>
      <c r="T188" s="280"/>
      <c r="U188" s="341"/>
      <c r="V188" s="13"/>
      <c r="W188" s="242"/>
      <c r="X188" s="242"/>
      <c r="Y188" s="242"/>
    </row>
    <row r="189">
      <c r="A189" s="340"/>
      <c r="B189" s="242"/>
      <c r="C189" s="242"/>
      <c r="D189" s="242"/>
      <c r="E189" s="242"/>
      <c r="F189" s="242"/>
      <c r="G189" s="243"/>
      <c r="H189" s="242"/>
      <c r="I189" s="264"/>
      <c r="J189" s="251"/>
      <c r="K189" s="251"/>
      <c r="L189" s="242"/>
      <c r="M189" s="242"/>
      <c r="N189" s="242"/>
      <c r="O189" s="242"/>
      <c r="P189" s="242"/>
      <c r="Q189" s="242"/>
      <c r="R189" s="242"/>
      <c r="S189" s="243"/>
      <c r="T189" s="280"/>
      <c r="U189" s="341"/>
      <c r="V189" s="13"/>
      <c r="W189" s="242"/>
      <c r="X189" s="242"/>
      <c r="Y189" s="242"/>
    </row>
    <row r="190">
      <c r="A190" s="340"/>
      <c r="B190" s="242"/>
      <c r="C190" s="242"/>
      <c r="D190" s="242"/>
      <c r="E190" s="242"/>
      <c r="F190" s="242"/>
      <c r="G190" s="243"/>
      <c r="H190" s="242"/>
      <c r="I190" s="264"/>
      <c r="J190" s="251"/>
      <c r="K190" s="251"/>
      <c r="L190" s="242"/>
      <c r="M190" s="242"/>
      <c r="N190" s="242"/>
      <c r="O190" s="242"/>
      <c r="P190" s="242"/>
      <c r="Q190" s="242"/>
      <c r="R190" s="242"/>
      <c r="S190" s="243"/>
      <c r="T190" s="280"/>
      <c r="U190" s="341"/>
      <c r="V190" s="13"/>
      <c r="W190" s="242"/>
      <c r="X190" s="242"/>
      <c r="Y190" s="242"/>
    </row>
    <row r="191">
      <c r="A191" s="340"/>
      <c r="B191" s="242"/>
      <c r="C191" s="242"/>
      <c r="D191" s="242"/>
      <c r="E191" s="242"/>
      <c r="F191" s="242"/>
      <c r="G191" s="243"/>
      <c r="H191" s="242"/>
      <c r="I191" s="264"/>
      <c r="J191" s="251"/>
      <c r="K191" s="251"/>
      <c r="L191" s="242"/>
      <c r="M191" s="242"/>
      <c r="N191" s="242"/>
      <c r="O191" s="242"/>
      <c r="P191" s="242"/>
      <c r="Q191" s="242"/>
      <c r="R191" s="242"/>
      <c r="S191" s="243"/>
      <c r="T191" s="280"/>
      <c r="U191" s="341"/>
      <c r="V191" s="13"/>
      <c r="W191" s="242"/>
      <c r="X191" s="242"/>
      <c r="Y191" s="242"/>
    </row>
    <row r="192">
      <c r="A192" s="340"/>
      <c r="B192" s="242"/>
      <c r="C192" s="242"/>
      <c r="D192" s="242"/>
      <c r="E192" s="242"/>
      <c r="F192" s="242"/>
      <c r="G192" s="243"/>
      <c r="H192" s="242"/>
      <c r="I192" s="264"/>
      <c r="J192" s="251"/>
      <c r="K192" s="251"/>
      <c r="L192" s="242"/>
      <c r="M192" s="242"/>
      <c r="N192" s="242"/>
      <c r="O192" s="242"/>
      <c r="P192" s="242"/>
      <c r="Q192" s="242"/>
      <c r="R192" s="242"/>
      <c r="S192" s="243"/>
      <c r="T192" s="280"/>
      <c r="U192" s="341"/>
      <c r="V192" s="13"/>
      <c r="W192" s="242"/>
      <c r="X192" s="242"/>
      <c r="Y192" s="242"/>
    </row>
    <row r="193">
      <c r="A193" s="340"/>
      <c r="B193" s="242"/>
      <c r="C193" s="242"/>
      <c r="D193" s="242"/>
      <c r="E193" s="242"/>
      <c r="F193" s="242"/>
      <c r="G193" s="243"/>
      <c r="H193" s="242"/>
      <c r="I193" s="264"/>
      <c r="J193" s="251"/>
      <c r="K193" s="251"/>
      <c r="L193" s="242"/>
      <c r="M193" s="242"/>
      <c r="N193" s="242"/>
      <c r="O193" s="242"/>
      <c r="P193" s="242"/>
      <c r="Q193" s="242"/>
      <c r="R193" s="242"/>
      <c r="S193" s="243"/>
      <c r="T193" s="280"/>
      <c r="U193" s="341"/>
      <c r="V193" s="13"/>
      <c r="W193" s="242"/>
      <c r="X193" s="242"/>
      <c r="Y193" s="242"/>
    </row>
    <row r="194">
      <c r="A194" s="340"/>
      <c r="B194" s="242"/>
      <c r="C194" s="242"/>
      <c r="D194" s="242"/>
      <c r="E194" s="242"/>
      <c r="F194" s="242"/>
      <c r="G194" s="243"/>
      <c r="H194" s="242"/>
      <c r="I194" s="264"/>
      <c r="J194" s="251"/>
      <c r="K194" s="251"/>
      <c r="L194" s="242"/>
      <c r="M194" s="242"/>
      <c r="N194" s="242"/>
      <c r="O194" s="242"/>
      <c r="P194" s="242"/>
      <c r="Q194" s="242"/>
      <c r="R194" s="242"/>
      <c r="S194" s="243"/>
      <c r="T194" s="280"/>
      <c r="U194" s="341"/>
      <c r="V194" s="13"/>
      <c r="W194" s="242"/>
      <c r="X194" s="242"/>
      <c r="Y194" s="242"/>
    </row>
    <row r="195">
      <c r="A195" s="340"/>
      <c r="B195" s="242"/>
      <c r="C195" s="242"/>
      <c r="D195" s="242"/>
      <c r="E195" s="242"/>
      <c r="F195" s="242"/>
      <c r="G195" s="243"/>
      <c r="H195" s="242"/>
      <c r="I195" s="264"/>
      <c r="J195" s="251"/>
      <c r="K195" s="251"/>
      <c r="L195" s="242"/>
      <c r="M195" s="242"/>
      <c r="N195" s="242"/>
      <c r="O195" s="242"/>
      <c r="P195" s="242"/>
      <c r="Q195" s="242"/>
      <c r="R195" s="242"/>
      <c r="S195" s="243"/>
      <c r="T195" s="280"/>
      <c r="U195" s="341"/>
      <c r="V195" s="13"/>
      <c r="W195" s="242"/>
      <c r="X195" s="242"/>
      <c r="Y195" s="242"/>
    </row>
    <row r="196">
      <c r="A196" s="340"/>
      <c r="B196" s="242"/>
      <c r="C196" s="242"/>
      <c r="D196" s="242"/>
      <c r="E196" s="242"/>
      <c r="F196" s="242"/>
      <c r="G196" s="243"/>
      <c r="H196" s="242"/>
      <c r="I196" s="264"/>
      <c r="J196" s="251"/>
      <c r="K196" s="251"/>
      <c r="L196" s="242"/>
      <c r="M196" s="242"/>
      <c r="N196" s="242"/>
      <c r="O196" s="242"/>
      <c r="P196" s="242"/>
      <c r="Q196" s="242"/>
      <c r="R196" s="242"/>
      <c r="S196" s="243"/>
      <c r="T196" s="280"/>
      <c r="U196" s="341"/>
      <c r="V196" s="13"/>
      <c r="W196" s="242"/>
      <c r="X196" s="242"/>
      <c r="Y196" s="242"/>
    </row>
    <row r="197">
      <c r="A197" s="340"/>
      <c r="B197" s="242"/>
      <c r="C197" s="242"/>
      <c r="D197" s="242"/>
      <c r="E197" s="242"/>
      <c r="F197" s="242"/>
      <c r="G197" s="243"/>
      <c r="H197" s="242"/>
      <c r="I197" s="264"/>
      <c r="J197" s="251"/>
      <c r="K197" s="251"/>
      <c r="L197" s="242"/>
      <c r="M197" s="242"/>
      <c r="N197" s="242"/>
      <c r="O197" s="242"/>
      <c r="P197" s="242"/>
      <c r="Q197" s="242"/>
      <c r="R197" s="242"/>
      <c r="S197" s="243"/>
      <c r="T197" s="280"/>
      <c r="U197" s="341"/>
      <c r="V197" s="13"/>
      <c r="W197" s="242"/>
      <c r="X197" s="242"/>
      <c r="Y197" s="242"/>
    </row>
    <row r="198">
      <c r="A198" s="340"/>
      <c r="B198" s="242"/>
      <c r="C198" s="242"/>
      <c r="D198" s="242"/>
      <c r="E198" s="242"/>
      <c r="F198" s="242"/>
      <c r="G198" s="243"/>
      <c r="H198" s="242"/>
      <c r="I198" s="264"/>
      <c r="J198" s="251"/>
      <c r="K198" s="251"/>
      <c r="L198" s="242"/>
      <c r="M198" s="242"/>
      <c r="N198" s="242"/>
      <c r="O198" s="242"/>
      <c r="P198" s="242"/>
      <c r="Q198" s="242"/>
      <c r="R198" s="242"/>
      <c r="S198" s="243"/>
      <c r="T198" s="280"/>
      <c r="U198" s="341"/>
      <c r="V198" s="13"/>
      <c r="W198" s="242"/>
      <c r="X198" s="242"/>
      <c r="Y198" s="242"/>
    </row>
    <row r="199">
      <c r="A199" s="340"/>
      <c r="B199" s="242"/>
      <c r="C199" s="242"/>
      <c r="D199" s="242"/>
      <c r="E199" s="242"/>
      <c r="F199" s="242"/>
      <c r="G199" s="243"/>
      <c r="H199" s="242"/>
      <c r="I199" s="264"/>
      <c r="J199" s="251"/>
      <c r="K199" s="251"/>
      <c r="L199" s="242"/>
      <c r="M199" s="242"/>
      <c r="N199" s="242"/>
      <c r="O199" s="242"/>
      <c r="P199" s="242"/>
      <c r="Q199" s="242"/>
      <c r="R199" s="242"/>
      <c r="S199" s="243"/>
      <c r="T199" s="280"/>
      <c r="U199" s="341"/>
      <c r="V199" s="13"/>
      <c r="W199" s="242"/>
      <c r="X199" s="242"/>
      <c r="Y199" s="242"/>
    </row>
    <row r="200">
      <c r="A200" s="340"/>
      <c r="B200" s="242"/>
      <c r="C200" s="242"/>
      <c r="D200" s="242"/>
      <c r="E200" s="242"/>
      <c r="F200" s="242"/>
      <c r="G200" s="243"/>
      <c r="H200" s="242"/>
      <c r="I200" s="264"/>
      <c r="J200" s="251"/>
      <c r="K200" s="251"/>
      <c r="L200" s="242"/>
      <c r="M200" s="242"/>
      <c r="N200" s="242"/>
      <c r="O200" s="242"/>
      <c r="P200" s="242"/>
      <c r="Q200" s="242"/>
      <c r="R200" s="242"/>
      <c r="S200" s="243"/>
      <c r="T200" s="280"/>
      <c r="U200" s="341"/>
      <c r="V200" s="13"/>
      <c r="W200" s="242"/>
      <c r="X200" s="242"/>
      <c r="Y200" s="242"/>
    </row>
    <row r="201">
      <c r="A201" s="340"/>
      <c r="B201" s="242"/>
      <c r="C201" s="242"/>
      <c r="D201" s="242"/>
      <c r="E201" s="242"/>
      <c r="F201" s="242"/>
      <c r="G201" s="243"/>
      <c r="H201" s="242"/>
      <c r="I201" s="264"/>
      <c r="J201" s="251"/>
      <c r="K201" s="251"/>
      <c r="L201" s="242"/>
      <c r="M201" s="242"/>
      <c r="N201" s="242"/>
      <c r="O201" s="242"/>
      <c r="P201" s="242"/>
      <c r="Q201" s="242"/>
      <c r="R201" s="242"/>
      <c r="S201" s="243"/>
      <c r="T201" s="280"/>
      <c r="U201" s="341"/>
      <c r="V201" s="13"/>
      <c r="W201" s="242"/>
      <c r="X201" s="242"/>
      <c r="Y201" s="242"/>
    </row>
    <row r="202">
      <c r="A202" s="340"/>
      <c r="B202" s="242"/>
      <c r="C202" s="242"/>
      <c r="D202" s="242"/>
      <c r="E202" s="242"/>
      <c r="F202" s="242"/>
      <c r="G202" s="243"/>
      <c r="H202" s="242"/>
      <c r="I202" s="264"/>
      <c r="J202" s="251"/>
      <c r="K202" s="251"/>
      <c r="L202" s="242"/>
      <c r="M202" s="242"/>
      <c r="N202" s="242"/>
      <c r="O202" s="242"/>
      <c r="P202" s="242"/>
      <c r="Q202" s="242"/>
      <c r="R202" s="242"/>
      <c r="S202" s="243"/>
      <c r="T202" s="280"/>
      <c r="U202" s="341"/>
      <c r="V202" s="13"/>
      <c r="W202" s="242"/>
      <c r="X202" s="242"/>
      <c r="Y202" s="242"/>
    </row>
    <row r="203">
      <c r="A203" s="340"/>
      <c r="B203" s="242"/>
      <c r="C203" s="242"/>
      <c r="D203" s="242"/>
      <c r="E203" s="242"/>
      <c r="F203" s="242"/>
      <c r="G203" s="243"/>
      <c r="H203" s="242"/>
      <c r="I203" s="264"/>
      <c r="J203" s="251"/>
      <c r="K203" s="251"/>
      <c r="L203" s="242"/>
      <c r="M203" s="242"/>
      <c r="N203" s="242"/>
      <c r="O203" s="242"/>
      <c r="P203" s="242"/>
      <c r="Q203" s="242"/>
      <c r="R203" s="242"/>
      <c r="S203" s="243"/>
      <c r="T203" s="280"/>
      <c r="U203" s="341"/>
      <c r="V203" s="13"/>
      <c r="W203" s="242"/>
      <c r="X203" s="242"/>
      <c r="Y203" s="242"/>
    </row>
    <row r="204">
      <c r="A204" s="340"/>
      <c r="B204" s="242"/>
      <c r="C204" s="242"/>
      <c r="D204" s="242"/>
      <c r="E204" s="242"/>
      <c r="F204" s="242"/>
      <c r="G204" s="243"/>
      <c r="H204" s="242"/>
      <c r="I204" s="264"/>
      <c r="J204" s="251"/>
      <c r="K204" s="251"/>
      <c r="L204" s="242"/>
      <c r="M204" s="242"/>
      <c r="N204" s="242"/>
      <c r="O204" s="242"/>
      <c r="P204" s="242"/>
      <c r="Q204" s="242"/>
      <c r="R204" s="242"/>
      <c r="S204" s="243"/>
      <c r="T204" s="280"/>
      <c r="U204" s="341"/>
      <c r="V204" s="13"/>
      <c r="W204" s="242"/>
      <c r="X204" s="242"/>
      <c r="Y204" s="242"/>
    </row>
    <row r="205">
      <c r="A205" s="340"/>
      <c r="B205" s="242"/>
      <c r="C205" s="242"/>
      <c r="D205" s="242"/>
      <c r="E205" s="242"/>
      <c r="F205" s="242"/>
      <c r="G205" s="243"/>
      <c r="H205" s="242"/>
      <c r="I205" s="264"/>
      <c r="J205" s="251"/>
      <c r="K205" s="251"/>
      <c r="L205" s="242"/>
      <c r="M205" s="242"/>
      <c r="N205" s="242"/>
      <c r="O205" s="242"/>
      <c r="P205" s="242"/>
      <c r="Q205" s="242"/>
      <c r="R205" s="242"/>
      <c r="S205" s="243"/>
      <c r="T205" s="280"/>
      <c r="U205" s="341"/>
      <c r="V205" s="13"/>
      <c r="W205" s="242"/>
      <c r="X205" s="242"/>
      <c r="Y205" s="242"/>
    </row>
    <row r="206">
      <c r="A206" s="340"/>
      <c r="B206" s="242"/>
      <c r="C206" s="242"/>
      <c r="D206" s="242"/>
      <c r="E206" s="242"/>
      <c r="F206" s="242"/>
      <c r="G206" s="243"/>
      <c r="H206" s="242"/>
      <c r="I206" s="264"/>
      <c r="J206" s="251"/>
      <c r="K206" s="251"/>
      <c r="L206" s="242"/>
      <c r="M206" s="242"/>
      <c r="N206" s="242"/>
      <c r="O206" s="242"/>
      <c r="P206" s="242"/>
      <c r="Q206" s="242"/>
      <c r="R206" s="242"/>
      <c r="S206" s="243"/>
      <c r="T206" s="280"/>
      <c r="U206" s="341"/>
      <c r="V206" s="13"/>
      <c r="W206" s="242"/>
      <c r="X206" s="242"/>
      <c r="Y206" s="242"/>
    </row>
    <row r="207">
      <c r="A207" s="340"/>
      <c r="B207" s="242"/>
      <c r="C207" s="242"/>
      <c r="D207" s="242"/>
      <c r="E207" s="242"/>
      <c r="F207" s="242"/>
      <c r="G207" s="243"/>
      <c r="H207" s="242"/>
      <c r="I207" s="264"/>
      <c r="J207" s="251"/>
      <c r="K207" s="251"/>
      <c r="L207" s="242"/>
      <c r="M207" s="242"/>
      <c r="N207" s="242"/>
      <c r="O207" s="242"/>
      <c r="P207" s="242"/>
      <c r="Q207" s="242"/>
      <c r="R207" s="242"/>
      <c r="S207" s="243"/>
      <c r="T207" s="280"/>
      <c r="U207" s="341"/>
      <c r="V207" s="13"/>
      <c r="W207" s="242"/>
      <c r="X207" s="242"/>
      <c r="Y207" s="242"/>
    </row>
    <row r="208">
      <c r="A208" s="340"/>
      <c r="B208" s="242"/>
      <c r="C208" s="242"/>
      <c r="D208" s="242"/>
      <c r="E208" s="242"/>
      <c r="F208" s="242"/>
      <c r="G208" s="243"/>
      <c r="H208" s="242"/>
      <c r="I208" s="264"/>
      <c r="J208" s="251"/>
      <c r="K208" s="251"/>
      <c r="L208" s="242"/>
      <c r="M208" s="242"/>
      <c r="N208" s="242"/>
      <c r="O208" s="242"/>
      <c r="P208" s="242"/>
      <c r="Q208" s="242"/>
      <c r="R208" s="242"/>
      <c r="S208" s="243"/>
      <c r="T208" s="280"/>
      <c r="U208" s="341"/>
      <c r="V208" s="13"/>
      <c r="W208" s="242"/>
      <c r="X208" s="242"/>
      <c r="Y208" s="242"/>
    </row>
    <row r="209">
      <c r="A209" s="340"/>
      <c r="B209" s="242"/>
      <c r="C209" s="242"/>
      <c r="D209" s="242"/>
      <c r="E209" s="242"/>
      <c r="F209" s="242"/>
      <c r="G209" s="243"/>
      <c r="H209" s="242"/>
      <c r="I209" s="264"/>
      <c r="J209" s="251"/>
      <c r="K209" s="251"/>
      <c r="L209" s="242"/>
      <c r="M209" s="242"/>
      <c r="N209" s="242"/>
      <c r="O209" s="242"/>
      <c r="P209" s="242"/>
      <c r="Q209" s="242"/>
      <c r="R209" s="242"/>
      <c r="S209" s="243"/>
      <c r="T209" s="280"/>
      <c r="U209" s="341"/>
      <c r="V209" s="13"/>
      <c r="W209" s="242"/>
      <c r="X209" s="242"/>
      <c r="Y209" s="242"/>
    </row>
    <row r="210">
      <c r="A210" s="340"/>
      <c r="B210" s="242"/>
      <c r="C210" s="242"/>
      <c r="D210" s="242"/>
      <c r="E210" s="242"/>
      <c r="F210" s="242"/>
      <c r="G210" s="243"/>
      <c r="H210" s="242"/>
      <c r="I210" s="264"/>
      <c r="J210" s="251"/>
      <c r="K210" s="251"/>
      <c r="L210" s="242"/>
      <c r="M210" s="242"/>
      <c r="N210" s="242"/>
      <c r="O210" s="242"/>
      <c r="P210" s="242"/>
      <c r="Q210" s="242"/>
      <c r="R210" s="242"/>
      <c r="S210" s="243"/>
      <c r="T210" s="280"/>
      <c r="U210" s="341"/>
      <c r="V210" s="13"/>
      <c r="W210" s="242"/>
      <c r="X210" s="242"/>
      <c r="Y210" s="242"/>
    </row>
    <row r="211">
      <c r="A211" s="340"/>
      <c r="B211" s="242"/>
      <c r="C211" s="242"/>
      <c r="D211" s="242"/>
      <c r="E211" s="242"/>
      <c r="F211" s="242"/>
      <c r="G211" s="243"/>
      <c r="H211" s="242"/>
      <c r="I211" s="264"/>
      <c r="J211" s="251"/>
      <c r="K211" s="251"/>
      <c r="L211" s="242"/>
      <c r="M211" s="242"/>
      <c r="N211" s="242"/>
      <c r="O211" s="242"/>
      <c r="P211" s="242"/>
      <c r="Q211" s="242"/>
      <c r="R211" s="242"/>
      <c r="S211" s="243"/>
      <c r="T211" s="280"/>
      <c r="U211" s="341"/>
      <c r="V211" s="13"/>
      <c r="W211" s="242"/>
      <c r="X211" s="242"/>
      <c r="Y211" s="242"/>
    </row>
    <row r="212">
      <c r="A212" s="340"/>
      <c r="B212" s="242"/>
      <c r="C212" s="242"/>
      <c r="D212" s="242"/>
      <c r="E212" s="242"/>
      <c r="F212" s="242"/>
      <c r="G212" s="243"/>
      <c r="H212" s="242"/>
      <c r="I212" s="264"/>
      <c r="J212" s="251"/>
      <c r="K212" s="251"/>
      <c r="L212" s="242"/>
      <c r="M212" s="242"/>
      <c r="N212" s="242"/>
      <c r="O212" s="242"/>
      <c r="P212" s="242"/>
      <c r="Q212" s="242"/>
      <c r="R212" s="242"/>
      <c r="S212" s="243"/>
      <c r="T212" s="280"/>
      <c r="U212" s="341"/>
      <c r="V212" s="13"/>
      <c r="W212" s="242"/>
      <c r="X212" s="242"/>
      <c r="Y212" s="242"/>
    </row>
    <row r="213">
      <c r="A213" s="340"/>
      <c r="B213" s="242"/>
      <c r="C213" s="242"/>
      <c r="D213" s="242"/>
      <c r="E213" s="242"/>
      <c r="F213" s="242"/>
      <c r="G213" s="243"/>
      <c r="H213" s="242"/>
      <c r="I213" s="264"/>
      <c r="J213" s="251"/>
      <c r="K213" s="251"/>
      <c r="L213" s="242"/>
      <c r="M213" s="242"/>
      <c r="N213" s="242"/>
      <c r="O213" s="242"/>
      <c r="P213" s="242"/>
      <c r="Q213" s="242"/>
      <c r="R213" s="242"/>
      <c r="S213" s="243"/>
      <c r="T213" s="280"/>
      <c r="U213" s="341"/>
      <c r="V213" s="13"/>
      <c r="W213" s="242"/>
      <c r="X213" s="242"/>
      <c r="Y213" s="242"/>
    </row>
    <row r="214">
      <c r="A214" s="340"/>
      <c r="B214" s="242"/>
      <c r="C214" s="242"/>
      <c r="D214" s="242"/>
      <c r="E214" s="242"/>
      <c r="F214" s="242"/>
      <c r="G214" s="243"/>
      <c r="H214" s="242"/>
      <c r="I214" s="264"/>
      <c r="J214" s="251"/>
      <c r="K214" s="251"/>
      <c r="L214" s="242"/>
      <c r="M214" s="242"/>
      <c r="N214" s="242"/>
      <c r="O214" s="242"/>
      <c r="P214" s="242"/>
      <c r="Q214" s="242"/>
      <c r="R214" s="242"/>
      <c r="S214" s="243"/>
      <c r="T214" s="280"/>
      <c r="U214" s="341"/>
      <c r="V214" s="13"/>
      <c r="W214" s="242"/>
      <c r="X214" s="242"/>
      <c r="Y214" s="242"/>
    </row>
    <row r="215">
      <c r="A215" s="340"/>
      <c r="B215" s="242"/>
      <c r="C215" s="242"/>
      <c r="D215" s="242"/>
      <c r="E215" s="242"/>
      <c r="F215" s="242"/>
      <c r="G215" s="243"/>
      <c r="H215" s="242"/>
      <c r="I215" s="264"/>
      <c r="J215" s="251"/>
      <c r="K215" s="251"/>
      <c r="L215" s="242"/>
      <c r="M215" s="242"/>
      <c r="N215" s="242"/>
      <c r="O215" s="242"/>
      <c r="P215" s="242"/>
      <c r="Q215" s="242"/>
      <c r="R215" s="242"/>
      <c r="S215" s="243"/>
      <c r="T215" s="280"/>
      <c r="U215" s="341"/>
      <c r="V215" s="13"/>
      <c r="W215" s="242"/>
      <c r="X215" s="242"/>
      <c r="Y215" s="242"/>
    </row>
    <row r="216">
      <c r="A216" s="340"/>
      <c r="B216" s="242"/>
      <c r="C216" s="242"/>
      <c r="D216" s="242"/>
      <c r="E216" s="242"/>
      <c r="F216" s="242"/>
      <c r="G216" s="243"/>
      <c r="H216" s="242"/>
      <c r="I216" s="264"/>
      <c r="J216" s="251"/>
      <c r="K216" s="251"/>
      <c r="L216" s="242"/>
      <c r="M216" s="242"/>
      <c r="N216" s="242"/>
      <c r="O216" s="242"/>
      <c r="P216" s="242"/>
      <c r="Q216" s="242"/>
      <c r="R216" s="242"/>
      <c r="S216" s="243"/>
      <c r="T216" s="280"/>
      <c r="U216" s="341"/>
      <c r="V216" s="13"/>
      <c r="W216" s="242"/>
      <c r="X216" s="242"/>
      <c r="Y216" s="242"/>
    </row>
    <row r="217">
      <c r="A217" s="340"/>
      <c r="B217" s="242"/>
      <c r="C217" s="242"/>
      <c r="D217" s="242"/>
      <c r="E217" s="242"/>
      <c r="F217" s="242"/>
      <c r="G217" s="243"/>
      <c r="H217" s="242"/>
      <c r="I217" s="264"/>
      <c r="J217" s="251"/>
      <c r="K217" s="251"/>
      <c r="L217" s="242"/>
      <c r="M217" s="242"/>
      <c r="N217" s="242"/>
      <c r="O217" s="242"/>
      <c r="P217" s="242"/>
      <c r="Q217" s="242"/>
      <c r="R217" s="242"/>
      <c r="S217" s="243"/>
      <c r="T217" s="280"/>
      <c r="U217" s="341"/>
      <c r="V217" s="13"/>
      <c r="W217" s="242"/>
      <c r="X217" s="242"/>
      <c r="Y217" s="242"/>
    </row>
    <row r="218">
      <c r="A218" s="340"/>
      <c r="B218" s="242"/>
      <c r="C218" s="242"/>
      <c r="D218" s="242"/>
      <c r="E218" s="242"/>
      <c r="F218" s="242"/>
      <c r="G218" s="243"/>
      <c r="H218" s="242"/>
      <c r="I218" s="264"/>
      <c r="J218" s="251"/>
      <c r="K218" s="251"/>
      <c r="L218" s="242"/>
      <c r="M218" s="242"/>
      <c r="N218" s="242"/>
      <c r="O218" s="242"/>
      <c r="P218" s="242"/>
      <c r="Q218" s="242"/>
      <c r="R218" s="242"/>
      <c r="S218" s="243"/>
      <c r="T218" s="280"/>
      <c r="U218" s="341"/>
      <c r="V218" s="13"/>
      <c r="W218" s="242"/>
      <c r="X218" s="242"/>
      <c r="Y218" s="242"/>
    </row>
    <row r="219">
      <c r="A219" s="340"/>
      <c r="B219" s="242"/>
      <c r="C219" s="242"/>
      <c r="D219" s="242"/>
      <c r="E219" s="242"/>
      <c r="F219" s="242"/>
      <c r="G219" s="243"/>
      <c r="H219" s="242"/>
      <c r="I219" s="264"/>
      <c r="J219" s="251"/>
      <c r="K219" s="251"/>
      <c r="L219" s="242"/>
      <c r="M219" s="242"/>
      <c r="N219" s="242"/>
      <c r="O219" s="242"/>
      <c r="P219" s="242"/>
      <c r="Q219" s="242"/>
      <c r="R219" s="242"/>
      <c r="S219" s="243"/>
      <c r="T219" s="280"/>
      <c r="U219" s="341"/>
      <c r="V219" s="13"/>
      <c r="W219" s="242"/>
      <c r="X219" s="242"/>
      <c r="Y219" s="242"/>
    </row>
    <row r="220">
      <c r="A220" s="340"/>
      <c r="B220" s="242"/>
      <c r="C220" s="242"/>
      <c r="D220" s="242"/>
      <c r="E220" s="242"/>
      <c r="F220" s="242"/>
      <c r="G220" s="243"/>
      <c r="H220" s="242"/>
      <c r="I220" s="264"/>
      <c r="J220" s="251"/>
      <c r="K220" s="251"/>
      <c r="L220" s="242"/>
      <c r="M220" s="242"/>
      <c r="N220" s="242"/>
      <c r="O220" s="242"/>
      <c r="P220" s="242"/>
      <c r="Q220" s="242"/>
      <c r="R220" s="242"/>
      <c r="S220" s="243"/>
      <c r="T220" s="280"/>
      <c r="U220" s="341"/>
      <c r="V220" s="13"/>
      <c r="W220" s="242"/>
      <c r="X220" s="242"/>
      <c r="Y220" s="242"/>
    </row>
    <row r="221">
      <c r="A221" s="340"/>
      <c r="B221" s="242"/>
      <c r="C221" s="242"/>
      <c r="D221" s="242"/>
      <c r="E221" s="242"/>
      <c r="F221" s="242"/>
      <c r="G221" s="243"/>
      <c r="H221" s="242"/>
      <c r="I221" s="264"/>
      <c r="J221" s="251"/>
      <c r="K221" s="251"/>
      <c r="L221" s="242"/>
      <c r="M221" s="242"/>
      <c r="N221" s="242"/>
      <c r="O221" s="242"/>
      <c r="P221" s="242"/>
      <c r="Q221" s="242"/>
      <c r="R221" s="242"/>
      <c r="S221" s="243"/>
      <c r="T221" s="280"/>
      <c r="U221" s="341"/>
      <c r="V221" s="13"/>
      <c r="W221" s="242"/>
      <c r="X221" s="242"/>
      <c r="Y221" s="242"/>
    </row>
    <row r="222">
      <c r="A222" s="340"/>
      <c r="B222" s="242"/>
      <c r="C222" s="242"/>
      <c r="D222" s="242"/>
      <c r="E222" s="242"/>
      <c r="F222" s="242"/>
      <c r="G222" s="243"/>
      <c r="H222" s="242"/>
      <c r="I222" s="264"/>
      <c r="J222" s="251"/>
      <c r="K222" s="251"/>
      <c r="L222" s="242"/>
      <c r="M222" s="242"/>
      <c r="N222" s="242"/>
      <c r="O222" s="242"/>
      <c r="P222" s="242"/>
      <c r="Q222" s="242"/>
      <c r="R222" s="242"/>
      <c r="S222" s="243"/>
      <c r="T222" s="280"/>
      <c r="U222" s="341"/>
      <c r="V222" s="13"/>
      <c r="W222" s="242"/>
      <c r="X222" s="242"/>
      <c r="Y222" s="242"/>
    </row>
    <row r="223">
      <c r="A223" s="340"/>
      <c r="B223" s="242"/>
      <c r="C223" s="242"/>
      <c r="D223" s="242"/>
      <c r="E223" s="242"/>
      <c r="F223" s="242"/>
      <c r="G223" s="243"/>
      <c r="H223" s="242"/>
      <c r="I223" s="264"/>
      <c r="J223" s="251"/>
      <c r="K223" s="251"/>
      <c r="L223" s="242"/>
      <c r="M223" s="242"/>
      <c r="N223" s="242"/>
      <c r="O223" s="242"/>
      <c r="P223" s="242"/>
      <c r="Q223" s="242"/>
      <c r="R223" s="242"/>
      <c r="S223" s="243"/>
      <c r="T223" s="280"/>
      <c r="U223" s="341"/>
      <c r="V223" s="13"/>
      <c r="W223" s="242"/>
      <c r="X223" s="242"/>
      <c r="Y223" s="242"/>
    </row>
    <row r="224">
      <c r="A224" s="340"/>
      <c r="B224" s="242"/>
      <c r="C224" s="242"/>
      <c r="D224" s="242"/>
      <c r="E224" s="242"/>
      <c r="F224" s="242"/>
      <c r="G224" s="243"/>
      <c r="H224" s="242"/>
      <c r="I224" s="264"/>
      <c r="J224" s="251"/>
      <c r="K224" s="251"/>
      <c r="L224" s="242"/>
      <c r="M224" s="242"/>
      <c r="N224" s="242"/>
      <c r="O224" s="242"/>
      <c r="P224" s="242"/>
      <c r="Q224" s="242"/>
      <c r="R224" s="242"/>
      <c r="S224" s="243"/>
      <c r="T224" s="280"/>
      <c r="U224" s="341"/>
      <c r="V224" s="13"/>
      <c r="W224" s="242"/>
      <c r="X224" s="242"/>
      <c r="Y224" s="242"/>
    </row>
    <row r="225">
      <c r="A225" s="340"/>
      <c r="B225" s="242"/>
      <c r="C225" s="242"/>
      <c r="D225" s="242"/>
      <c r="E225" s="242"/>
      <c r="F225" s="242"/>
      <c r="G225" s="243"/>
      <c r="H225" s="242"/>
      <c r="I225" s="264"/>
      <c r="J225" s="251"/>
      <c r="K225" s="251"/>
      <c r="L225" s="242"/>
      <c r="M225" s="242"/>
      <c r="N225" s="242"/>
      <c r="O225" s="242"/>
      <c r="P225" s="242"/>
      <c r="Q225" s="242"/>
      <c r="R225" s="242"/>
      <c r="S225" s="243"/>
      <c r="T225" s="280"/>
      <c r="U225" s="341"/>
      <c r="V225" s="13"/>
      <c r="W225" s="242"/>
      <c r="X225" s="242"/>
      <c r="Y225" s="242"/>
    </row>
    <row r="226">
      <c r="A226" s="340"/>
      <c r="B226" s="242"/>
      <c r="C226" s="242"/>
      <c r="D226" s="242"/>
      <c r="E226" s="242"/>
      <c r="F226" s="242"/>
      <c r="G226" s="243"/>
      <c r="H226" s="242"/>
      <c r="I226" s="264"/>
      <c r="J226" s="251"/>
      <c r="K226" s="251"/>
      <c r="L226" s="242"/>
      <c r="M226" s="242"/>
      <c r="N226" s="242"/>
      <c r="O226" s="242"/>
      <c r="P226" s="242"/>
      <c r="Q226" s="242"/>
      <c r="R226" s="242"/>
      <c r="S226" s="243"/>
      <c r="T226" s="280"/>
      <c r="U226" s="341"/>
      <c r="V226" s="13"/>
      <c r="W226" s="242"/>
      <c r="X226" s="242"/>
      <c r="Y226" s="242"/>
    </row>
    <row r="227">
      <c r="A227" s="340"/>
      <c r="B227" s="242"/>
      <c r="C227" s="242"/>
      <c r="D227" s="242"/>
      <c r="E227" s="242"/>
      <c r="F227" s="242"/>
      <c r="G227" s="243"/>
      <c r="H227" s="242"/>
      <c r="I227" s="264"/>
      <c r="J227" s="251"/>
      <c r="K227" s="251"/>
      <c r="L227" s="242"/>
      <c r="M227" s="242"/>
      <c r="N227" s="242"/>
      <c r="O227" s="242"/>
      <c r="P227" s="242"/>
      <c r="Q227" s="242"/>
      <c r="R227" s="242"/>
      <c r="S227" s="243"/>
      <c r="T227" s="280"/>
      <c r="U227" s="341"/>
      <c r="V227" s="13"/>
      <c r="W227" s="242"/>
      <c r="X227" s="242"/>
      <c r="Y227" s="242"/>
    </row>
    <row r="228">
      <c r="A228" s="340"/>
      <c r="B228" s="242"/>
      <c r="C228" s="242"/>
      <c r="D228" s="242"/>
      <c r="E228" s="242"/>
      <c r="F228" s="242"/>
      <c r="G228" s="243"/>
      <c r="H228" s="242"/>
      <c r="I228" s="264"/>
      <c r="J228" s="251"/>
      <c r="K228" s="251"/>
      <c r="L228" s="242"/>
      <c r="M228" s="242"/>
      <c r="N228" s="242"/>
      <c r="O228" s="242"/>
      <c r="P228" s="242"/>
      <c r="Q228" s="242"/>
      <c r="R228" s="242"/>
      <c r="S228" s="243"/>
      <c r="T228" s="280"/>
      <c r="U228" s="341"/>
      <c r="V228" s="13"/>
      <c r="W228" s="242"/>
      <c r="X228" s="242"/>
      <c r="Y228" s="242"/>
    </row>
    <row r="229">
      <c r="A229" s="340"/>
      <c r="B229" s="242"/>
      <c r="C229" s="242"/>
      <c r="D229" s="242"/>
      <c r="E229" s="242"/>
      <c r="F229" s="242"/>
      <c r="G229" s="243"/>
      <c r="H229" s="242"/>
      <c r="I229" s="264"/>
      <c r="J229" s="251"/>
      <c r="K229" s="251"/>
      <c r="L229" s="242"/>
      <c r="M229" s="242"/>
      <c r="N229" s="242"/>
      <c r="O229" s="242"/>
      <c r="P229" s="242"/>
      <c r="Q229" s="242"/>
      <c r="R229" s="242"/>
      <c r="S229" s="243"/>
      <c r="T229" s="280"/>
      <c r="U229" s="341"/>
      <c r="V229" s="13"/>
      <c r="W229" s="242"/>
      <c r="X229" s="242"/>
      <c r="Y229" s="242"/>
    </row>
    <row r="230">
      <c r="A230" s="340"/>
      <c r="B230" s="242"/>
      <c r="C230" s="242"/>
      <c r="D230" s="242"/>
      <c r="E230" s="242"/>
      <c r="F230" s="242"/>
      <c r="G230" s="243"/>
      <c r="H230" s="242"/>
      <c r="I230" s="264"/>
      <c r="J230" s="251"/>
      <c r="K230" s="251"/>
      <c r="L230" s="242"/>
      <c r="M230" s="242"/>
      <c r="N230" s="242"/>
      <c r="O230" s="242"/>
      <c r="P230" s="242"/>
      <c r="Q230" s="242"/>
      <c r="R230" s="242"/>
      <c r="S230" s="243"/>
      <c r="T230" s="280"/>
      <c r="U230" s="341"/>
      <c r="V230" s="13"/>
      <c r="W230" s="242"/>
      <c r="X230" s="242"/>
      <c r="Y230" s="242"/>
    </row>
    <row r="231">
      <c r="A231" s="340"/>
      <c r="B231" s="242"/>
      <c r="C231" s="242"/>
      <c r="D231" s="242"/>
      <c r="E231" s="242"/>
      <c r="F231" s="242"/>
      <c r="G231" s="243"/>
      <c r="H231" s="242"/>
      <c r="I231" s="264"/>
      <c r="J231" s="251"/>
      <c r="K231" s="251"/>
      <c r="L231" s="242"/>
      <c r="M231" s="242"/>
      <c r="N231" s="242"/>
      <c r="O231" s="242"/>
      <c r="P231" s="242"/>
      <c r="Q231" s="242"/>
      <c r="R231" s="242"/>
      <c r="S231" s="243"/>
      <c r="T231" s="280"/>
      <c r="U231" s="341"/>
      <c r="V231" s="13"/>
      <c r="W231" s="242"/>
      <c r="X231" s="242"/>
      <c r="Y231" s="242"/>
    </row>
    <row r="232">
      <c r="A232" s="340"/>
      <c r="B232" s="242"/>
      <c r="C232" s="242"/>
      <c r="D232" s="242"/>
      <c r="E232" s="242"/>
      <c r="F232" s="242"/>
      <c r="G232" s="243"/>
      <c r="H232" s="242"/>
      <c r="I232" s="264"/>
      <c r="J232" s="251"/>
      <c r="K232" s="251"/>
      <c r="L232" s="242"/>
      <c r="M232" s="242"/>
      <c r="N232" s="242"/>
      <c r="O232" s="242"/>
      <c r="P232" s="242"/>
      <c r="Q232" s="242"/>
      <c r="R232" s="242"/>
      <c r="S232" s="243"/>
      <c r="T232" s="280"/>
      <c r="U232" s="341"/>
      <c r="V232" s="13"/>
      <c r="W232" s="242"/>
      <c r="X232" s="242"/>
      <c r="Y232" s="242"/>
    </row>
    <row r="233">
      <c r="A233" s="340"/>
      <c r="B233" s="242"/>
      <c r="C233" s="242"/>
      <c r="D233" s="242"/>
      <c r="E233" s="242"/>
      <c r="F233" s="242"/>
      <c r="G233" s="243"/>
      <c r="H233" s="242"/>
      <c r="I233" s="264"/>
      <c r="J233" s="251"/>
      <c r="K233" s="251"/>
      <c r="L233" s="242"/>
      <c r="M233" s="242"/>
      <c r="N233" s="242"/>
      <c r="O233" s="242"/>
      <c r="P233" s="242"/>
      <c r="Q233" s="242"/>
      <c r="R233" s="242"/>
      <c r="S233" s="243"/>
      <c r="T233" s="280"/>
      <c r="U233" s="341"/>
      <c r="V233" s="13"/>
      <c r="W233" s="242"/>
      <c r="X233" s="242"/>
      <c r="Y233" s="242"/>
    </row>
    <row r="234">
      <c r="A234" s="340"/>
      <c r="B234" s="242"/>
      <c r="C234" s="242"/>
      <c r="D234" s="242"/>
      <c r="E234" s="242"/>
      <c r="F234" s="242"/>
      <c r="G234" s="243"/>
      <c r="H234" s="242"/>
      <c r="I234" s="264"/>
      <c r="J234" s="251"/>
      <c r="K234" s="251"/>
      <c r="L234" s="242"/>
      <c r="M234" s="242"/>
      <c r="N234" s="242"/>
      <c r="O234" s="242"/>
      <c r="P234" s="242"/>
      <c r="Q234" s="242"/>
      <c r="R234" s="242"/>
      <c r="S234" s="243"/>
      <c r="T234" s="280"/>
      <c r="U234" s="341"/>
      <c r="V234" s="13"/>
      <c r="W234" s="242"/>
      <c r="X234" s="242"/>
      <c r="Y234" s="242"/>
    </row>
    <row r="235">
      <c r="A235" s="340"/>
      <c r="B235" s="242"/>
      <c r="C235" s="242"/>
      <c r="D235" s="242"/>
      <c r="E235" s="242"/>
      <c r="F235" s="242"/>
      <c r="G235" s="243"/>
      <c r="H235" s="242"/>
      <c r="I235" s="264"/>
      <c r="J235" s="251"/>
      <c r="K235" s="251"/>
      <c r="L235" s="242"/>
      <c r="M235" s="242"/>
      <c r="N235" s="242"/>
      <c r="O235" s="242"/>
      <c r="P235" s="242"/>
      <c r="Q235" s="242"/>
      <c r="R235" s="242"/>
      <c r="S235" s="243"/>
      <c r="T235" s="280"/>
      <c r="U235" s="341"/>
      <c r="V235" s="13"/>
      <c r="W235" s="242"/>
      <c r="X235" s="242"/>
      <c r="Y235" s="242"/>
    </row>
    <row r="236">
      <c r="A236" s="340"/>
      <c r="B236" s="242"/>
      <c r="C236" s="242"/>
      <c r="D236" s="242"/>
      <c r="E236" s="242"/>
      <c r="F236" s="242"/>
      <c r="G236" s="243"/>
      <c r="H236" s="242"/>
      <c r="I236" s="264"/>
      <c r="J236" s="251"/>
      <c r="K236" s="251"/>
      <c r="L236" s="242"/>
      <c r="M236" s="242"/>
      <c r="N236" s="242"/>
      <c r="O236" s="242"/>
      <c r="P236" s="242"/>
      <c r="Q236" s="242"/>
      <c r="R236" s="242"/>
      <c r="S236" s="243"/>
      <c r="T236" s="280"/>
      <c r="U236" s="341"/>
      <c r="V236" s="13"/>
      <c r="W236" s="242"/>
      <c r="X236" s="242"/>
      <c r="Y236" s="242"/>
    </row>
    <row r="237">
      <c r="A237" s="340"/>
      <c r="B237" s="242"/>
      <c r="C237" s="242"/>
      <c r="D237" s="242"/>
      <c r="E237" s="242"/>
      <c r="F237" s="242"/>
      <c r="G237" s="243"/>
      <c r="H237" s="242"/>
      <c r="I237" s="264"/>
      <c r="J237" s="251"/>
      <c r="K237" s="251"/>
      <c r="L237" s="242"/>
      <c r="M237" s="242"/>
      <c r="N237" s="242"/>
      <c r="O237" s="242"/>
      <c r="P237" s="242"/>
      <c r="Q237" s="242"/>
      <c r="R237" s="242"/>
      <c r="S237" s="243"/>
      <c r="T237" s="280"/>
      <c r="U237" s="341"/>
      <c r="V237" s="13"/>
      <c r="W237" s="242"/>
      <c r="X237" s="242"/>
      <c r="Y237" s="242"/>
    </row>
    <row r="238">
      <c r="A238" s="340"/>
      <c r="B238" s="242"/>
      <c r="C238" s="242"/>
      <c r="D238" s="242"/>
      <c r="E238" s="242"/>
      <c r="F238" s="242"/>
      <c r="G238" s="243"/>
      <c r="H238" s="242"/>
      <c r="I238" s="264"/>
      <c r="J238" s="251"/>
      <c r="K238" s="251"/>
      <c r="L238" s="242"/>
      <c r="M238" s="242"/>
      <c r="N238" s="242"/>
      <c r="O238" s="242"/>
      <c r="P238" s="242"/>
      <c r="Q238" s="242"/>
      <c r="R238" s="242"/>
      <c r="S238" s="243"/>
      <c r="T238" s="280"/>
      <c r="U238" s="341"/>
      <c r="V238" s="13"/>
      <c r="W238" s="242"/>
      <c r="X238" s="242"/>
      <c r="Y238" s="242"/>
    </row>
    <row r="239">
      <c r="A239" s="340"/>
      <c r="B239" s="242"/>
      <c r="C239" s="242"/>
      <c r="D239" s="242"/>
      <c r="E239" s="242"/>
      <c r="F239" s="242"/>
      <c r="G239" s="243"/>
      <c r="H239" s="242"/>
      <c r="I239" s="264"/>
      <c r="J239" s="251"/>
      <c r="K239" s="251"/>
      <c r="L239" s="242"/>
      <c r="M239" s="242"/>
      <c r="N239" s="242"/>
      <c r="O239" s="242"/>
      <c r="P239" s="242"/>
      <c r="Q239" s="242"/>
      <c r="R239" s="242"/>
      <c r="S239" s="243"/>
      <c r="T239" s="280"/>
      <c r="U239" s="341"/>
      <c r="V239" s="13"/>
      <c r="W239" s="242"/>
      <c r="X239" s="242"/>
      <c r="Y239" s="242"/>
    </row>
    <row r="240">
      <c r="A240" s="340"/>
      <c r="B240" s="242"/>
      <c r="C240" s="242"/>
      <c r="D240" s="242"/>
      <c r="E240" s="242"/>
      <c r="F240" s="242"/>
      <c r="G240" s="243"/>
      <c r="H240" s="242"/>
      <c r="I240" s="264"/>
      <c r="J240" s="251"/>
      <c r="K240" s="251"/>
      <c r="L240" s="242"/>
      <c r="M240" s="242"/>
      <c r="N240" s="242"/>
      <c r="O240" s="242"/>
      <c r="P240" s="242"/>
      <c r="Q240" s="242"/>
      <c r="R240" s="242"/>
      <c r="S240" s="243"/>
      <c r="T240" s="280"/>
      <c r="U240" s="341"/>
      <c r="V240" s="13"/>
      <c r="W240" s="242"/>
      <c r="X240" s="242"/>
      <c r="Y240" s="242"/>
    </row>
    <row r="241">
      <c r="A241" s="340"/>
      <c r="B241" s="242"/>
      <c r="C241" s="242"/>
      <c r="D241" s="242"/>
      <c r="E241" s="242"/>
      <c r="F241" s="242"/>
      <c r="G241" s="243"/>
      <c r="H241" s="242"/>
      <c r="I241" s="264"/>
      <c r="J241" s="251"/>
      <c r="K241" s="251"/>
      <c r="L241" s="242"/>
      <c r="M241" s="242"/>
      <c r="N241" s="242"/>
      <c r="O241" s="242"/>
      <c r="P241" s="242"/>
      <c r="Q241" s="242"/>
      <c r="R241" s="242"/>
      <c r="S241" s="243"/>
      <c r="T241" s="280"/>
      <c r="U241" s="341"/>
      <c r="V241" s="13"/>
      <c r="W241" s="242"/>
      <c r="X241" s="242"/>
      <c r="Y241" s="242"/>
    </row>
    <row r="242">
      <c r="A242" s="340"/>
      <c r="B242" s="242"/>
      <c r="C242" s="242"/>
      <c r="D242" s="242"/>
      <c r="E242" s="242"/>
      <c r="F242" s="242"/>
      <c r="G242" s="243"/>
      <c r="H242" s="242"/>
      <c r="I242" s="264"/>
      <c r="J242" s="251"/>
      <c r="K242" s="251"/>
      <c r="L242" s="242"/>
      <c r="M242" s="242"/>
      <c r="N242" s="242"/>
      <c r="O242" s="242"/>
      <c r="P242" s="242"/>
      <c r="Q242" s="242"/>
      <c r="R242" s="242"/>
      <c r="S242" s="243"/>
      <c r="T242" s="280"/>
      <c r="U242" s="341"/>
      <c r="V242" s="13"/>
      <c r="W242" s="242"/>
      <c r="X242" s="242"/>
      <c r="Y242" s="242"/>
    </row>
    <row r="243">
      <c r="A243" s="340"/>
      <c r="B243" s="242"/>
      <c r="C243" s="242"/>
      <c r="D243" s="242"/>
      <c r="E243" s="242"/>
      <c r="F243" s="242"/>
      <c r="G243" s="243"/>
      <c r="H243" s="242"/>
      <c r="I243" s="264"/>
      <c r="J243" s="251"/>
      <c r="K243" s="251"/>
      <c r="L243" s="242"/>
      <c r="M243" s="242"/>
      <c r="N243" s="242"/>
      <c r="O243" s="242"/>
      <c r="P243" s="242"/>
      <c r="Q243" s="242"/>
      <c r="R243" s="242"/>
      <c r="S243" s="243"/>
      <c r="T243" s="280"/>
      <c r="U243" s="341"/>
      <c r="V243" s="13"/>
      <c r="W243" s="242"/>
      <c r="X243" s="242"/>
      <c r="Y243" s="242"/>
    </row>
    <row r="244">
      <c r="A244" s="340"/>
      <c r="B244" s="242"/>
      <c r="C244" s="242"/>
      <c r="D244" s="242"/>
      <c r="E244" s="242"/>
      <c r="F244" s="242"/>
      <c r="G244" s="243"/>
      <c r="H244" s="242"/>
      <c r="I244" s="264"/>
      <c r="J244" s="251"/>
      <c r="K244" s="251"/>
      <c r="L244" s="242"/>
      <c r="M244" s="242"/>
      <c r="N244" s="242"/>
      <c r="O244" s="242"/>
      <c r="P244" s="242"/>
      <c r="Q244" s="242"/>
      <c r="R244" s="242"/>
      <c r="S244" s="243"/>
      <c r="T244" s="280"/>
      <c r="U244" s="341"/>
      <c r="V244" s="13"/>
      <c r="W244" s="242"/>
      <c r="X244" s="242"/>
      <c r="Y244" s="242"/>
    </row>
    <row r="245">
      <c r="A245" s="340"/>
      <c r="B245" s="242"/>
      <c r="C245" s="242"/>
      <c r="D245" s="242"/>
      <c r="E245" s="242"/>
      <c r="F245" s="242"/>
      <c r="G245" s="243"/>
      <c r="H245" s="242"/>
      <c r="I245" s="264"/>
      <c r="J245" s="251"/>
      <c r="K245" s="251"/>
      <c r="L245" s="242"/>
      <c r="M245" s="242"/>
      <c r="N245" s="242"/>
      <c r="O245" s="242"/>
      <c r="P245" s="242"/>
      <c r="Q245" s="242"/>
      <c r="R245" s="242"/>
      <c r="S245" s="243"/>
      <c r="T245" s="280"/>
      <c r="U245" s="341"/>
      <c r="V245" s="13"/>
      <c r="W245" s="242"/>
      <c r="X245" s="242"/>
      <c r="Y245" s="242"/>
    </row>
    <row r="246">
      <c r="A246" s="340"/>
      <c r="B246" s="242"/>
      <c r="C246" s="242"/>
      <c r="D246" s="242"/>
      <c r="E246" s="242"/>
      <c r="F246" s="242"/>
      <c r="G246" s="243"/>
      <c r="H246" s="242"/>
      <c r="I246" s="264"/>
      <c r="J246" s="251"/>
      <c r="K246" s="251"/>
      <c r="L246" s="242"/>
      <c r="M246" s="242"/>
      <c r="N246" s="242"/>
      <c r="O246" s="242"/>
      <c r="P246" s="242"/>
      <c r="Q246" s="242"/>
      <c r="R246" s="242"/>
      <c r="S246" s="243"/>
      <c r="T246" s="280"/>
      <c r="U246" s="341"/>
      <c r="V246" s="13"/>
      <c r="W246" s="242"/>
      <c r="X246" s="242"/>
      <c r="Y246" s="242"/>
    </row>
    <row r="247">
      <c r="A247" s="340"/>
      <c r="B247" s="242"/>
      <c r="C247" s="242"/>
      <c r="D247" s="242"/>
      <c r="E247" s="242"/>
      <c r="F247" s="242"/>
      <c r="G247" s="243"/>
      <c r="H247" s="242"/>
      <c r="I247" s="264"/>
      <c r="J247" s="251"/>
      <c r="K247" s="251"/>
      <c r="L247" s="242"/>
      <c r="M247" s="242"/>
      <c r="N247" s="242"/>
      <c r="O247" s="242"/>
      <c r="P247" s="242"/>
      <c r="Q247" s="242"/>
      <c r="R247" s="242"/>
      <c r="S247" s="243"/>
      <c r="T247" s="280"/>
      <c r="U247" s="341"/>
      <c r="V247" s="13"/>
      <c r="W247" s="242"/>
      <c r="X247" s="242"/>
      <c r="Y247" s="242"/>
    </row>
    <row r="248">
      <c r="A248" s="340"/>
      <c r="B248" s="242"/>
      <c r="C248" s="242"/>
      <c r="D248" s="242"/>
      <c r="E248" s="242"/>
      <c r="F248" s="242"/>
      <c r="G248" s="243"/>
      <c r="H248" s="242"/>
      <c r="I248" s="264"/>
      <c r="J248" s="251"/>
      <c r="K248" s="251"/>
      <c r="L248" s="242"/>
      <c r="M248" s="242"/>
      <c r="N248" s="242"/>
      <c r="O248" s="242"/>
      <c r="P248" s="242"/>
      <c r="Q248" s="242"/>
      <c r="R248" s="242"/>
      <c r="S248" s="243"/>
      <c r="T248" s="280"/>
      <c r="U248" s="341"/>
      <c r="V248" s="13"/>
      <c r="W248" s="242"/>
      <c r="X248" s="242"/>
      <c r="Y248" s="242"/>
    </row>
    <row r="249">
      <c r="A249" s="340"/>
      <c r="B249" s="242"/>
      <c r="C249" s="242"/>
      <c r="D249" s="242"/>
      <c r="E249" s="242"/>
      <c r="F249" s="242"/>
      <c r="G249" s="243"/>
      <c r="H249" s="242"/>
      <c r="I249" s="264"/>
      <c r="J249" s="251"/>
      <c r="K249" s="251"/>
      <c r="L249" s="242"/>
      <c r="M249" s="242"/>
      <c r="N249" s="242"/>
      <c r="O249" s="242"/>
      <c r="P249" s="242"/>
      <c r="Q249" s="242"/>
      <c r="R249" s="242"/>
      <c r="S249" s="243"/>
      <c r="T249" s="280"/>
      <c r="U249" s="341"/>
      <c r="V249" s="13"/>
      <c r="W249" s="242"/>
      <c r="X249" s="242"/>
      <c r="Y249" s="242"/>
    </row>
    <row r="250">
      <c r="A250" s="340"/>
      <c r="B250" s="242"/>
      <c r="C250" s="242"/>
      <c r="D250" s="242"/>
      <c r="E250" s="242"/>
      <c r="F250" s="242"/>
      <c r="G250" s="243"/>
      <c r="H250" s="242"/>
      <c r="I250" s="264"/>
      <c r="J250" s="251"/>
      <c r="K250" s="251"/>
      <c r="L250" s="242"/>
      <c r="M250" s="242"/>
      <c r="N250" s="242"/>
      <c r="O250" s="242"/>
      <c r="P250" s="242"/>
      <c r="Q250" s="242"/>
      <c r="R250" s="242"/>
      <c r="S250" s="243"/>
      <c r="T250" s="280"/>
      <c r="U250" s="341"/>
      <c r="V250" s="13"/>
      <c r="W250" s="242"/>
      <c r="X250" s="242"/>
      <c r="Y250" s="242"/>
    </row>
    <row r="251">
      <c r="A251" s="340"/>
      <c r="B251" s="242"/>
      <c r="C251" s="242"/>
      <c r="D251" s="242"/>
      <c r="E251" s="242"/>
      <c r="F251" s="242"/>
      <c r="G251" s="243"/>
      <c r="H251" s="242"/>
      <c r="I251" s="264"/>
      <c r="J251" s="251"/>
      <c r="K251" s="251"/>
      <c r="L251" s="242"/>
      <c r="M251" s="242"/>
      <c r="N251" s="242"/>
      <c r="O251" s="242"/>
      <c r="P251" s="242"/>
      <c r="Q251" s="242"/>
      <c r="R251" s="242"/>
      <c r="S251" s="243"/>
      <c r="T251" s="280"/>
      <c r="U251" s="341"/>
      <c r="V251" s="13"/>
      <c r="W251" s="242"/>
      <c r="X251" s="242"/>
      <c r="Y251" s="242"/>
    </row>
    <row r="252">
      <c r="A252" s="340"/>
      <c r="B252" s="242"/>
      <c r="C252" s="242"/>
      <c r="D252" s="242"/>
      <c r="E252" s="242"/>
      <c r="F252" s="242"/>
      <c r="G252" s="243"/>
      <c r="H252" s="242"/>
      <c r="I252" s="264"/>
      <c r="J252" s="251"/>
      <c r="K252" s="251"/>
      <c r="L252" s="242"/>
      <c r="M252" s="242"/>
      <c r="N252" s="242"/>
      <c r="O252" s="242"/>
      <c r="P252" s="242"/>
      <c r="Q252" s="242"/>
      <c r="R252" s="242"/>
      <c r="S252" s="243"/>
      <c r="T252" s="280"/>
      <c r="U252" s="341"/>
      <c r="V252" s="13"/>
      <c r="W252" s="242"/>
      <c r="X252" s="242"/>
      <c r="Y252" s="242"/>
    </row>
    <row r="253">
      <c r="A253" s="340"/>
      <c r="B253" s="242"/>
      <c r="C253" s="242"/>
      <c r="D253" s="242"/>
      <c r="E253" s="242"/>
      <c r="F253" s="242"/>
      <c r="G253" s="243"/>
      <c r="H253" s="242"/>
      <c r="I253" s="264"/>
      <c r="J253" s="251"/>
      <c r="K253" s="251"/>
      <c r="L253" s="242"/>
      <c r="M253" s="242"/>
      <c r="N253" s="242"/>
      <c r="O253" s="242"/>
      <c r="P253" s="242"/>
      <c r="Q253" s="242"/>
      <c r="R253" s="242"/>
      <c r="S253" s="243"/>
      <c r="T253" s="280"/>
      <c r="U253" s="341"/>
      <c r="V253" s="13"/>
      <c r="W253" s="242"/>
      <c r="X253" s="242"/>
      <c r="Y253" s="242"/>
    </row>
    <row r="254">
      <c r="A254" s="340"/>
      <c r="B254" s="242"/>
      <c r="C254" s="242"/>
      <c r="D254" s="242"/>
      <c r="E254" s="242"/>
      <c r="F254" s="242"/>
      <c r="G254" s="243"/>
      <c r="H254" s="242"/>
      <c r="I254" s="264"/>
      <c r="J254" s="251"/>
      <c r="K254" s="251"/>
      <c r="L254" s="242"/>
      <c r="M254" s="242"/>
      <c r="N254" s="242"/>
      <c r="O254" s="242"/>
      <c r="P254" s="242"/>
      <c r="Q254" s="242"/>
      <c r="R254" s="242"/>
      <c r="S254" s="243"/>
      <c r="T254" s="280"/>
      <c r="U254" s="341"/>
      <c r="V254" s="13"/>
      <c r="W254" s="242"/>
      <c r="X254" s="242"/>
      <c r="Y254" s="242"/>
    </row>
    <row r="255">
      <c r="A255" s="340"/>
      <c r="B255" s="242"/>
      <c r="C255" s="242"/>
      <c r="D255" s="242"/>
      <c r="E255" s="242"/>
      <c r="F255" s="242"/>
      <c r="G255" s="243"/>
      <c r="H255" s="242"/>
      <c r="I255" s="264"/>
      <c r="J255" s="251"/>
      <c r="K255" s="251"/>
      <c r="L255" s="242"/>
      <c r="M255" s="242"/>
      <c r="N255" s="242"/>
      <c r="O255" s="242"/>
      <c r="P255" s="242"/>
      <c r="Q255" s="242"/>
      <c r="R255" s="242"/>
      <c r="S255" s="243"/>
      <c r="T255" s="280"/>
      <c r="U255" s="341"/>
      <c r="V255" s="13"/>
      <c r="W255" s="242"/>
      <c r="X255" s="242"/>
      <c r="Y255" s="242"/>
    </row>
    <row r="256">
      <c r="A256" s="340"/>
      <c r="B256" s="242"/>
      <c r="C256" s="242"/>
      <c r="D256" s="242"/>
      <c r="E256" s="242"/>
      <c r="F256" s="242"/>
      <c r="G256" s="243"/>
      <c r="H256" s="242"/>
      <c r="I256" s="264"/>
      <c r="J256" s="251"/>
      <c r="K256" s="251"/>
      <c r="L256" s="242"/>
      <c r="M256" s="242"/>
      <c r="N256" s="242"/>
      <c r="O256" s="242"/>
      <c r="P256" s="242"/>
      <c r="Q256" s="242"/>
      <c r="R256" s="242"/>
      <c r="S256" s="243"/>
      <c r="T256" s="280"/>
      <c r="U256" s="341"/>
      <c r="V256" s="13"/>
      <c r="W256" s="242"/>
      <c r="X256" s="242"/>
      <c r="Y256" s="242"/>
    </row>
    <row r="257">
      <c r="A257" s="340"/>
      <c r="B257" s="242"/>
      <c r="C257" s="242"/>
      <c r="D257" s="242"/>
      <c r="E257" s="242"/>
      <c r="F257" s="242"/>
      <c r="G257" s="243"/>
      <c r="H257" s="242"/>
      <c r="I257" s="264"/>
      <c r="J257" s="251"/>
      <c r="K257" s="251"/>
      <c r="L257" s="242"/>
      <c r="M257" s="242"/>
      <c r="N257" s="242"/>
      <c r="O257" s="242"/>
      <c r="P257" s="242"/>
      <c r="Q257" s="242"/>
      <c r="R257" s="242"/>
      <c r="S257" s="243"/>
      <c r="T257" s="280"/>
      <c r="U257" s="341"/>
      <c r="V257" s="13"/>
      <c r="W257" s="242"/>
      <c r="X257" s="242"/>
      <c r="Y257" s="242"/>
    </row>
    <row r="258">
      <c r="A258" s="340"/>
      <c r="B258" s="242"/>
      <c r="C258" s="242"/>
      <c r="D258" s="242"/>
      <c r="E258" s="242"/>
      <c r="F258" s="242"/>
      <c r="G258" s="243"/>
      <c r="H258" s="242"/>
      <c r="I258" s="264"/>
      <c r="J258" s="251"/>
      <c r="K258" s="251"/>
      <c r="L258" s="242"/>
      <c r="M258" s="242"/>
      <c r="N258" s="242"/>
      <c r="O258" s="242"/>
      <c r="P258" s="242"/>
      <c r="Q258" s="242"/>
      <c r="R258" s="242"/>
      <c r="S258" s="243"/>
      <c r="T258" s="280"/>
      <c r="U258" s="341"/>
      <c r="V258" s="13"/>
      <c r="W258" s="242"/>
      <c r="X258" s="242"/>
      <c r="Y258" s="242"/>
    </row>
    <row r="259">
      <c r="A259" s="340"/>
      <c r="B259" s="242"/>
      <c r="C259" s="242"/>
      <c r="D259" s="242"/>
      <c r="E259" s="242"/>
      <c r="F259" s="242"/>
      <c r="G259" s="243"/>
      <c r="H259" s="242"/>
      <c r="I259" s="264"/>
      <c r="J259" s="251"/>
      <c r="K259" s="251"/>
      <c r="L259" s="242"/>
      <c r="M259" s="242"/>
      <c r="N259" s="242"/>
      <c r="O259" s="242"/>
      <c r="P259" s="242"/>
      <c r="Q259" s="242"/>
      <c r="R259" s="242"/>
      <c r="S259" s="243"/>
      <c r="T259" s="280"/>
      <c r="U259" s="341"/>
      <c r="V259" s="13"/>
      <c r="W259" s="242"/>
      <c r="X259" s="242"/>
      <c r="Y259" s="242"/>
    </row>
    <row r="260">
      <c r="A260" s="340"/>
      <c r="B260" s="242"/>
      <c r="C260" s="242"/>
      <c r="D260" s="242"/>
      <c r="E260" s="242"/>
      <c r="F260" s="242"/>
      <c r="G260" s="243"/>
      <c r="H260" s="242"/>
      <c r="I260" s="264"/>
      <c r="J260" s="251"/>
      <c r="K260" s="251"/>
      <c r="L260" s="242"/>
      <c r="M260" s="242"/>
      <c r="N260" s="242"/>
      <c r="O260" s="242"/>
      <c r="P260" s="242"/>
      <c r="Q260" s="242"/>
      <c r="R260" s="242"/>
      <c r="S260" s="243"/>
      <c r="T260" s="280"/>
      <c r="U260" s="341"/>
      <c r="V260" s="13"/>
      <c r="W260" s="242"/>
      <c r="X260" s="242"/>
      <c r="Y260" s="242"/>
    </row>
    <row r="261">
      <c r="A261" s="340"/>
      <c r="B261" s="242"/>
      <c r="C261" s="242"/>
      <c r="D261" s="242"/>
      <c r="E261" s="242"/>
      <c r="F261" s="242"/>
      <c r="G261" s="243"/>
      <c r="H261" s="242"/>
      <c r="I261" s="264"/>
      <c r="J261" s="251"/>
      <c r="K261" s="251"/>
      <c r="L261" s="242"/>
      <c r="M261" s="242"/>
      <c r="N261" s="242"/>
      <c r="O261" s="242"/>
      <c r="P261" s="242"/>
      <c r="Q261" s="242"/>
      <c r="R261" s="242"/>
      <c r="S261" s="243"/>
      <c r="T261" s="280"/>
      <c r="U261" s="341"/>
      <c r="V261" s="13"/>
      <c r="W261" s="242"/>
      <c r="X261" s="242"/>
      <c r="Y261" s="242"/>
    </row>
    <row r="262">
      <c r="A262" s="340"/>
      <c r="B262" s="242"/>
      <c r="C262" s="242"/>
      <c r="D262" s="242"/>
      <c r="E262" s="242"/>
      <c r="F262" s="242"/>
      <c r="G262" s="243"/>
      <c r="H262" s="242"/>
      <c r="I262" s="264"/>
      <c r="J262" s="251"/>
      <c r="K262" s="251"/>
      <c r="L262" s="242"/>
      <c r="M262" s="242"/>
      <c r="N262" s="242"/>
      <c r="O262" s="242"/>
      <c r="P262" s="242"/>
      <c r="Q262" s="242"/>
      <c r="R262" s="242"/>
      <c r="S262" s="243"/>
      <c r="T262" s="280"/>
      <c r="U262" s="341"/>
      <c r="V262" s="13"/>
      <c r="W262" s="242"/>
      <c r="X262" s="242"/>
      <c r="Y262" s="242"/>
    </row>
    <row r="263">
      <c r="A263" s="340"/>
      <c r="B263" s="242"/>
      <c r="C263" s="242"/>
      <c r="D263" s="242"/>
      <c r="E263" s="242"/>
      <c r="F263" s="242"/>
      <c r="G263" s="243"/>
      <c r="H263" s="242"/>
      <c r="I263" s="264"/>
      <c r="J263" s="251"/>
      <c r="K263" s="251"/>
      <c r="L263" s="242"/>
      <c r="M263" s="242"/>
      <c r="N263" s="242"/>
      <c r="O263" s="242"/>
      <c r="P263" s="242"/>
      <c r="Q263" s="242"/>
      <c r="R263" s="242"/>
      <c r="S263" s="243"/>
      <c r="T263" s="280"/>
      <c r="U263" s="341"/>
      <c r="V263" s="13"/>
      <c r="W263" s="242"/>
      <c r="X263" s="242"/>
      <c r="Y263" s="242"/>
    </row>
    <row r="264">
      <c r="A264" s="340"/>
      <c r="B264" s="242"/>
      <c r="C264" s="242"/>
      <c r="D264" s="242"/>
      <c r="E264" s="242"/>
      <c r="F264" s="242"/>
      <c r="G264" s="243"/>
      <c r="H264" s="242"/>
      <c r="I264" s="264"/>
      <c r="J264" s="251"/>
      <c r="K264" s="251"/>
      <c r="L264" s="242"/>
      <c r="M264" s="242"/>
      <c r="N264" s="242"/>
      <c r="O264" s="242"/>
      <c r="P264" s="242"/>
      <c r="Q264" s="242"/>
      <c r="R264" s="242"/>
      <c r="S264" s="243"/>
      <c r="T264" s="280"/>
      <c r="U264" s="341"/>
      <c r="V264" s="13"/>
      <c r="W264" s="242"/>
      <c r="X264" s="242"/>
      <c r="Y264" s="242"/>
    </row>
    <row r="265">
      <c r="A265" s="340"/>
      <c r="B265" s="242"/>
      <c r="C265" s="242"/>
      <c r="D265" s="242"/>
      <c r="E265" s="242"/>
      <c r="F265" s="242"/>
      <c r="G265" s="243"/>
      <c r="H265" s="242"/>
      <c r="I265" s="264"/>
      <c r="J265" s="251"/>
      <c r="K265" s="251"/>
      <c r="L265" s="242"/>
      <c r="M265" s="242"/>
      <c r="N265" s="242"/>
      <c r="O265" s="242"/>
      <c r="P265" s="242"/>
      <c r="Q265" s="242"/>
      <c r="R265" s="242"/>
      <c r="S265" s="243"/>
      <c r="T265" s="280"/>
      <c r="U265" s="341"/>
      <c r="V265" s="13"/>
      <c r="W265" s="242"/>
      <c r="X265" s="242"/>
      <c r="Y265" s="242"/>
    </row>
    <row r="266">
      <c r="A266" s="340"/>
      <c r="B266" s="242"/>
      <c r="C266" s="242"/>
      <c r="D266" s="242"/>
      <c r="E266" s="242"/>
      <c r="F266" s="242"/>
      <c r="G266" s="243"/>
      <c r="H266" s="242"/>
      <c r="I266" s="264"/>
      <c r="J266" s="251"/>
      <c r="K266" s="251"/>
      <c r="L266" s="242"/>
      <c r="M266" s="242"/>
      <c r="N266" s="242"/>
      <c r="O266" s="242"/>
      <c r="P266" s="242"/>
      <c r="Q266" s="242"/>
      <c r="R266" s="242"/>
      <c r="S266" s="243"/>
      <c r="T266" s="280"/>
      <c r="U266" s="341"/>
      <c r="V266" s="13"/>
      <c r="W266" s="242"/>
      <c r="X266" s="242"/>
      <c r="Y266" s="242"/>
    </row>
    <row r="267">
      <c r="A267" s="340"/>
      <c r="B267" s="242"/>
      <c r="C267" s="242"/>
      <c r="D267" s="242"/>
      <c r="E267" s="242"/>
      <c r="F267" s="242"/>
      <c r="G267" s="243"/>
      <c r="H267" s="242"/>
      <c r="I267" s="264"/>
      <c r="J267" s="251"/>
      <c r="K267" s="251"/>
      <c r="L267" s="242"/>
      <c r="M267" s="242"/>
      <c r="N267" s="242"/>
      <c r="O267" s="242"/>
      <c r="P267" s="242"/>
      <c r="Q267" s="242"/>
      <c r="R267" s="242"/>
      <c r="S267" s="243"/>
      <c r="T267" s="280"/>
      <c r="U267" s="341"/>
      <c r="V267" s="13"/>
      <c r="W267" s="242"/>
      <c r="X267" s="242"/>
      <c r="Y267" s="242"/>
    </row>
    <row r="268">
      <c r="A268" s="340"/>
      <c r="B268" s="242"/>
      <c r="C268" s="242"/>
      <c r="D268" s="242"/>
      <c r="E268" s="242"/>
      <c r="F268" s="242"/>
      <c r="G268" s="243"/>
      <c r="H268" s="242"/>
      <c r="I268" s="264"/>
      <c r="J268" s="251"/>
      <c r="K268" s="251"/>
      <c r="L268" s="242"/>
      <c r="M268" s="242"/>
      <c r="N268" s="242"/>
      <c r="O268" s="242"/>
      <c r="P268" s="242"/>
      <c r="Q268" s="242"/>
      <c r="R268" s="242"/>
      <c r="S268" s="243"/>
      <c r="T268" s="280"/>
      <c r="U268" s="341"/>
      <c r="V268" s="13"/>
      <c r="W268" s="242"/>
      <c r="X268" s="242"/>
      <c r="Y268" s="242"/>
    </row>
    <row r="269">
      <c r="A269" s="340"/>
      <c r="B269" s="242"/>
      <c r="C269" s="242"/>
      <c r="D269" s="242"/>
      <c r="E269" s="242"/>
      <c r="F269" s="242"/>
      <c r="G269" s="243"/>
      <c r="H269" s="242"/>
      <c r="I269" s="264"/>
      <c r="J269" s="251"/>
      <c r="K269" s="251"/>
      <c r="L269" s="242"/>
      <c r="M269" s="242"/>
      <c r="N269" s="242"/>
      <c r="O269" s="242"/>
      <c r="P269" s="242"/>
      <c r="Q269" s="242"/>
      <c r="R269" s="242"/>
      <c r="S269" s="243"/>
      <c r="T269" s="280"/>
      <c r="U269" s="341"/>
      <c r="V269" s="13"/>
      <c r="W269" s="242"/>
      <c r="X269" s="242"/>
      <c r="Y269" s="242"/>
    </row>
    <row r="270">
      <c r="A270" s="340"/>
      <c r="B270" s="242"/>
      <c r="C270" s="242"/>
      <c r="D270" s="242"/>
      <c r="E270" s="242"/>
      <c r="F270" s="242"/>
      <c r="G270" s="243"/>
      <c r="H270" s="242"/>
      <c r="I270" s="264"/>
      <c r="J270" s="251"/>
      <c r="K270" s="251"/>
      <c r="L270" s="242"/>
      <c r="M270" s="242"/>
      <c r="N270" s="242"/>
      <c r="O270" s="242"/>
      <c r="P270" s="242"/>
      <c r="Q270" s="242"/>
      <c r="R270" s="242"/>
      <c r="S270" s="243"/>
      <c r="T270" s="280"/>
      <c r="U270" s="341"/>
      <c r="V270" s="13"/>
      <c r="W270" s="242"/>
      <c r="X270" s="242"/>
      <c r="Y270" s="242"/>
    </row>
    <row r="271">
      <c r="A271" s="340"/>
      <c r="B271" s="242"/>
      <c r="C271" s="242"/>
      <c r="D271" s="242"/>
      <c r="E271" s="242"/>
      <c r="F271" s="242"/>
      <c r="G271" s="243"/>
      <c r="H271" s="242"/>
      <c r="I271" s="264"/>
      <c r="J271" s="251"/>
      <c r="K271" s="251"/>
      <c r="L271" s="242"/>
      <c r="M271" s="242"/>
      <c r="N271" s="242"/>
      <c r="O271" s="242"/>
      <c r="P271" s="242"/>
      <c r="Q271" s="242"/>
      <c r="R271" s="242"/>
      <c r="S271" s="243"/>
      <c r="T271" s="280"/>
      <c r="U271" s="341"/>
      <c r="V271" s="13"/>
      <c r="W271" s="242"/>
      <c r="X271" s="242"/>
      <c r="Y271" s="242"/>
    </row>
    <row r="272">
      <c r="A272" s="340"/>
      <c r="B272" s="242"/>
      <c r="C272" s="242"/>
      <c r="D272" s="242"/>
      <c r="E272" s="242"/>
      <c r="F272" s="242"/>
      <c r="G272" s="243"/>
      <c r="H272" s="242"/>
      <c r="I272" s="264"/>
      <c r="J272" s="251"/>
      <c r="K272" s="251"/>
      <c r="L272" s="242"/>
      <c r="M272" s="242"/>
      <c r="N272" s="242"/>
      <c r="O272" s="242"/>
      <c r="P272" s="242"/>
      <c r="Q272" s="242"/>
      <c r="R272" s="242"/>
      <c r="S272" s="243"/>
      <c r="T272" s="280"/>
      <c r="U272" s="341"/>
      <c r="V272" s="13"/>
      <c r="W272" s="242"/>
      <c r="X272" s="242"/>
      <c r="Y272" s="242"/>
    </row>
    <row r="273">
      <c r="A273" s="340"/>
      <c r="B273" s="242"/>
      <c r="C273" s="242"/>
      <c r="D273" s="242"/>
      <c r="E273" s="242"/>
      <c r="F273" s="242"/>
      <c r="G273" s="243"/>
      <c r="H273" s="242"/>
      <c r="I273" s="264"/>
      <c r="J273" s="251"/>
      <c r="K273" s="251"/>
      <c r="L273" s="242"/>
      <c r="M273" s="242"/>
      <c r="N273" s="242"/>
      <c r="O273" s="242"/>
      <c r="P273" s="242"/>
      <c r="Q273" s="242"/>
      <c r="R273" s="242"/>
      <c r="S273" s="243"/>
      <c r="T273" s="280"/>
      <c r="U273" s="341"/>
      <c r="V273" s="13"/>
      <c r="W273" s="242"/>
      <c r="X273" s="242"/>
      <c r="Y273" s="242"/>
    </row>
    <row r="274">
      <c r="A274" s="340"/>
      <c r="B274" s="242"/>
      <c r="C274" s="242"/>
      <c r="D274" s="242"/>
      <c r="E274" s="242"/>
      <c r="F274" s="242"/>
      <c r="G274" s="243"/>
      <c r="H274" s="242"/>
      <c r="I274" s="264"/>
      <c r="J274" s="251"/>
      <c r="K274" s="251"/>
      <c r="L274" s="242"/>
      <c r="M274" s="242"/>
      <c r="N274" s="242"/>
      <c r="O274" s="242"/>
      <c r="P274" s="242"/>
      <c r="Q274" s="242"/>
      <c r="R274" s="242"/>
      <c r="S274" s="243"/>
      <c r="T274" s="280"/>
      <c r="U274" s="341"/>
      <c r="V274" s="13"/>
      <c r="W274" s="242"/>
      <c r="X274" s="242"/>
      <c r="Y274" s="242"/>
    </row>
    <row r="275">
      <c r="A275" s="340"/>
      <c r="B275" s="242"/>
      <c r="C275" s="242"/>
      <c r="D275" s="242"/>
      <c r="E275" s="242"/>
      <c r="F275" s="242"/>
      <c r="G275" s="243"/>
      <c r="H275" s="242"/>
      <c r="I275" s="264"/>
      <c r="J275" s="251"/>
      <c r="K275" s="251"/>
      <c r="L275" s="242"/>
      <c r="M275" s="242"/>
      <c r="N275" s="242"/>
      <c r="O275" s="242"/>
      <c r="P275" s="242"/>
      <c r="Q275" s="242"/>
      <c r="R275" s="242"/>
      <c r="S275" s="243"/>
      <c r="T275" s="280"/>
      <c r="U275" s="341"/>
      <c r="V275" s="13"/>
      <c r="W275" s="242"/>
      <c r="X275" s="242"/>
      <c r="Y275" s="242"/>
    </row>
    <row r="276">
      <c r="A276" s="340"/>
      <c r="B276" s="242"/>
      <c r="C276" s="242"/>
      <c r="D276" s="242"/>
      <c r="E276" s="242"/>
      <c r="F276" s="242"/>
      <c r="G276" s="243"/>
      <c r="H276" s="242"/>
      <c r="I276" s="264"/>
      <c r="J276" s="251"/>
      <c r="K276" s="251"/>
      <c r="L276" s="242"/>
      <c r="M276" s="242"/>
      <c r="N276" s="242"/>
      <c r="O276" s="242"/>
      <c r="P276" s="242"/>
      <c r="Q276" s="242"/>
      <c r="R276" s="242"/>
      <c r="S276" s="243"/>
      <c r="T276" s="280"/>
      <c r="U276" s="341"/>
      <c r="V276" s="13"/>
      <c r="W276" s="242"/>
      <c r="X276" s="242"/>
      <c r="Y276" s="242"/>
    </row>
    <row r="277">
      <c r="A277" s="340"/>
      <c r="B277" s="242"/>
      <c r="C277" s="242"/>
      <c r="D277" s="242"/>
      <c r="E277" s="242"/>
      <c r="F277" s="242"/>
      <c r="G277" s="243"/>
      <c r="H277" s="242"/>
      <c r="I277" s="264"/>
      <c r="J277" s="251"/>
      <c r="K277" s="251"/>
      <c r="L277" s="242"/>
      <c r="M277" s="242"/>
      <c r="N277" s="242"/>
      <c r="O277" s="242"/>
      <c r="P277" s="242"/>
      <c r="Q277" s="242"/>
      <c r="R277" s="242"/>
      <c r="S277" s="243"/>
      <c r="T277" s="280"/>
      <c r="U277" s="341"/>
      <c r="V277" s="13"/>
      <c r="W277" s="242"/>
      <c r="X277" s="242"/>
      <c r="Y277" s="242"/>
    </row>
    <row r="278">
      <c r="A278" s="340"/>
      <c r="B278" s="242"/>
      <c r="C278" s="242"/>
      <c r="D278" s="242"/>
      <c r="E278" s="242"/>
      <c r="F278" s="242"/>
      <c r="G278" s="243"/>
      <c r="H278" s="242"/>
      <c r="I278" s="264"/>
      <c r="J278" s="251"/>
      <c r="K278" s="251"/>
      <c r="L278" s="242"/>
      <c r="M278" s="242"/>
      <c r="N278" s="242"/>
      <c r="O278" s="242"/>
      <c r="P278" s="242"/>
      <c r="Q278" s="242"/>
      <c r="R278" s="242"/>
      <c r="S278" s="243"/>
      <c r="T278" s="280"/>
      <c r="U278" s="341"/>
      <c r="V278" s="13"/>
      <c r="W278" s="242"/>
      <c r="X278" s="242"/>
      <c r="Y278" s="242"/>
    </row>
    <row r="279">
      <c r="A279" s="340"/>
      <c r="B279" s="242"/>
      <c r="C279" s="242"/>
      <c r="D279" s="242"/>
      <c r="E279" s="242"/>
      <c r="F279" s="242"/>
      <c r="G279" s="243"/>
      <c r="H279" s="242"/>
      <c r="I279" s="264"/>
      <c r="J279" s="251"/>
      <c r="K279" s="251"/>
      <c r="L279" s="242"/>
      <c r="M279" s="242"/>
      <c r="N279" s="242"/>
      <c r="O279" s="242"/>
      <c r="P279" s="242"/>
      <c r="Q279" s="242"/>
      <c r="R279" s="242"/>
      <c r="S279" s="243"/>
      <c r="T279" s="280"/>
      <c r="U279" s="341"/>
      <c r="V279" s="13"/>
      <c r="W279" s="242"/>
      <c r="X279" s="242"/>
      <c r="Y279" s="242"/>
    </row>
    <row r="280">
      <c r="A280" s="340"/>
      <c r="B280" s="242"/>
      <c r="C280" s="242"/>
      <c r="D280" s="242"/>
      <c r="E280" s="242"/>
      <c r="F280" s="242"/>
      <c r="G280" s="243"/>
      <c r="H280" s="242"/>
      <c r="I280" s="264"/>
      <c r="J280" s="251"/>
      <c r="K280" s="251"/>
      <c r="L280" s="242"/>
      <c r="M280" s="242"/>
      <c r="N280" s="242"/>
      <c r="O280" s="242"/>
      <c r="P280" s="242"/>
      <c r="Q280" s="242"/>
      <c r="R280" s="242"/>
      <c r="S280" s="243"/>
      <c r="T280" s="280"/>
      <c r="U280" s="341"/>
      <c r="V280" s="13"/>
      <c r="W280" s="242"/>
      <c r="X280" s="242"/>
      <c r="Y280" s="242"/>
    </row>
    <row r="281">
      <c r="A281" s="340"/>
      <c r="B281" s="242"/>
      <c r="C281" s="242"/>
      <c r="D281" s="242"/>
      <c r="E281" s="242"/>
      <c r="F281" s="242"/>
      <c r="G281" s="243"/>
      <c r="H281" s="242"/>
      <c r="I281" s="264"/>
      <c r="J281" s="251"/>
      <c r="K281" s="251"/>
      <c r="L281" s="242"/>
      <c r="M281" s="242"/>
      <c r="N281" s="242"/>
      <c r="O281" s="242"/>
      <c r="P281" s="242"/>
      <c r="Q281" s="242"/>
      <c r="R281" s="242"/>
      <c r="S281" s="243"/>
      <c r="T281" s="280"/>
      <c r="U281" s="341"/>
      <c r="V281" s="13"/>
      <c r="W281" s="242"/>
      <c r="X281" s="242"/>
      <c r="Y281" s="242"/>
    </row>
    <row r="282">
      <c r="A282" s="340"/>
      <c r="B282" s="242"/>
      <c r="C282" s="242"/>
      <c r="D282" s="242"/>
      <c r="E282" s="242"/>
      <c r="F282" s="242"/>
      <c r="G282" s="243"/>
      <c r="H282" s="242"/>
      <c r="I282" s="264"/>
      <c r="J282" s="251"/>
      <c r="K282" s="251"/>
      <c r="L282" s="242"/>
      <c r="M282" s="242"/>
      <c r="N282" s="242"/>
      <c r="O282" s="242"/>
      <c r="P282" s="242"/>
      <c r="Q282" s="242"/>
      <c r="R282" s="242"/>
      <c r="S282" s="243"/>
      <c r="T282" s="280"/>
      <c r="U282" s="341"/>
      <c r="V282" s="13"/>
      <c r="W282" s="242"/>
      <c r="X282" s="242"/>
      <c r="Y282" s="242"/>
    </row>
    <row r="283">
      <c r="A283" s="340"/>
      <c r="B283" s="242"/>
      <c r="C283" s="242"/>
      <c r="D283" s="242"/>
      <c r="E283" s="242"/>
      <c r="F283" s="242"/>
      <c r="G283" s="243"/>
      <c r="H283" s="242"/>
      <c r="I283" s="264"/>
      <c r="J283" s="251"/>
      <c r="K283" s="251"/>
      <c r="L283" s="242"/>
      <c r="M283" s="242"/>
      <c r="N283" s="242"/>
      <c r="O283" s="242"/>
      <c r="P283" s="242"/>
      <c r="Q283" s="242"/>
      <c r="R283" s="242"/>
      <c r="S283" s="243"/>
      <c r="T283" s="280"/>
      <c r="U283" s="341"/>
      <c r="V283" s="13"/>
      <c r="W283" s="242"/>
      <c r="X283" s="242"/>
      <c r="Y283" s="242"/>
    </row>
    <row r="284">
      <c r="A284" s="340"/>
      <c r="B284" s="242"/>
      <c r="C284" s="242"/>
      <c r="D284" s="242"/>
      <c r="E284" s="242"/>
      <c r="F284" s="242"/>
      <c r="G284" s="243"/>
      <c r="H284" s="242"/>
      <c r="I284" s="264"/>
      <c r="J284" s="251"/>
      <c r="K284" s="251"/>
      <c r="L284" s="242"/>
      <c r="M284" s="242"/>
      <c r="N284" s="242"/>
      <c r="O284" s="242"/>
      <c r="P284" s="242"/>
      <c r="Q284" s="242"/>
      <c r="R284" s="242"/>
      <c r="S284" s="243"/>
      <c r="T284" s="280"/>
      <c r="U284" s="341"/>
      <c r="V284" s="13"/>
      <c r="W284" s="242"/>
      <c r="X284" s="242"/>
      <c r="Y284" s="242"/>
    </row>
    <row r="285">
      <c r="A285" s="340"/>
      <c r="B285" s="242"/>
      <c r="C285" s="242"/>
      <c r="D285" s="242"/>
      <c r="E285" s="242"/>
      <c r="F285" s="242"/>
      <c r="G285" s="243"/>
      <c r="H285" s="242"/>
      <c r="I285" s="264"/>
      <c r="J285" s="251"/>
      <c r="K285" s="251"/>
      <c r="L285" s="242"/>
      <c r="M285" s="242"/>
      <c r="N285" s="242"/>
      <c r="O285" s="242"/>
      <c r="P285" s="242"/>
      <c r="Q285" s="242"/>
      <c r="R285" s="242"/>
      <c r="S285" s="243"/>
      <c r="T285" s="280"/>
      <c r="U285" s="341"/>
      <c r="V285" s="13"/>
      <c r="W285" s="242"/>
      <c r="X285" s="242"/>
      <c r="Y285" s="242"/>
    </row>
    <row r="286">
      <c r="A286" s="340"/>
      <c r="B286" s="242"/>
      <c r="C286" s="242"/>
      <c r="D286" s="242"/>
      <c r="E286" s="242"/>
      <c r="F286" s="242"/>
      <c r="G286" s="243"/>
      <c r="H286" s="242"/>
      <c r="I286" s="264"/>
      <c r="J286" s="251"/>
      <c r="K286" s="251"/>
      <c r="L286" s="242"/>
      <c r="M286" s="242"/>
      <c r="N286" s="242"/>
      <c r="O286" s="242"/>
      <c r="P286" s="242"/>
      <c r="Q286" s="242"/>
      <c r="R286" s="242"/>
      <c r="S286" s="243"/>
      <c r="T286" s="280"/>
      <c r="U286" s="341"/>
      <c r="V286" s="13"/>
      <c r="W286" s="242"/>
      <c r="X286" s="242"/>
      <c r="Y286" s="242"/>
    </row>
    <row r="287">
      <c r="A287" s="340"/>
      <c r="B287" s="242"/>
      <c r="C287" s="242"/>
      <c r="D287" s="242"/>
      <c r="E287" s="242"/>
      <c r="F287" s="242"/>
      <c r="G287" s="243"/>
      <c r="H287" s="242"/>
      <c r="I287" s="264"/>
      <c r="J287" s="251"/>
      <c r="K287" s="251"/>
      <c r="L287" s="242"/>
      <c r="M287" s="242"/>
      <c r="N287" s="242"/>
      <c r="O287" s="242"/>
      <c r="P287" s="242"/>
      <c r="Q287" s="242"/>
      <c r="R287" s="242"/>
      <c r="S287" s="243"/>
      <c r="T287" s="280"/>
      <c r="U287" s="341"/>
      <c r="V287" s="13"/>
      <c r="W287" s="242"/>
      <c r="X287" s="242"/>
      <c r="Y287" s="242"/>
    </row>
    <row r="288">
      <c r="A288" s="340"/>
      <c r="B288" s="242"/>
      <c r="C288" s="242"/>
      <c r="D288" s="242"/>
      <c r="E288" s="242"/>
      <c r="F288" s="242"/>
      <c r="G288" s="243"/>
      <c r="H288" s="242"/>
      <c r="I288" s="264"/>
      <c r="J288" s="251"/>
      <c r="K288" s="251"/>
      <c r="L288" s="242"/>
      <c r="M288" s="242"/>
      <c r="N288" s="242"/>
      <c r="O288" s="242"/>
      <c r="P288" s="242"/>
      <c r="Q288" s="242"/>
      <c r="R288" s="242"/>
      <c r="S288" s="243"/>
      <c r="T288" s="280"/>
      <c r="U288" s="341"/>
      <c r="V288" s="13"/>
      <c r="W288" s="242"/>
      <c r="X288" s="242"/>
      <c r="Y288" s="242"/>
    </row>
    <row r="289">
      <c r="A289" s="340"/>
      <c r="B289" s="242"/>
      <c r="C289" s="242"/>
      <c r="D289" s="242"/>
      <c r="E289" s="242"/>
      <c r="F289" s="242"/>
      <c r="G289" s="243"/>
      <c r="H289" s="242"/>
      <c r="I289" s="264"/>
      <c r="J289" s="251"/>
      <c r="K289" s="251"/>
      <c r="L289" s="242"/>
      <c r="M289" s="242"/>
      <c r="N289" s="242"/>
      <c r="O289" s="242"/>
      <c r="P289" s="242"/>
      <c r="Q289" s="242"/>
      <c r="R289" s="242"/>
      <c r="S289" s="243"/>
      <c r="T289" s="280"/>
      <c r="U289" s="341"/>
      <c r="V289" s="13"/>
      <c r="W289" s="242"/>
      <c r="X289" s="242"/>
      <c r="Y289" s="242"/>
    </row>
    <row r="290">
      <c r="A290" s="340"/>
      <c r="B290" s="242"/>
      <c r="C290" s="242"/>
      <c r="D290" s="242"/>
      <c r="E290" s="242"/>
      <c r="F290" s="242"/>
      <c r="G290" s="243"/>
      <c r="H290" s="242"/>
      <c r="I290" s="264"/>
      <c r="J290" s="251"/>
      <c r="K290" s="251"/>
      <c r="L290" s="242"/>
      <c r="M290" s="242"/>
      <c r="N290" s="242"/>
      <c r="O290" s="242"/>
      <c r="P290" s="242"/>
      <c r="Q290" s="242"/>
      <c r="R290" s="242"/>
      <c r="S290" s="243"/>
      <c r="T290" s="280"/>
      <c r="U290" s="341"/>
      <c r="V290" s="13"/>
      <c r="W290" s="242"/>
      <c r="X290" s="242"/>
      <c r="Y290" s="242"/>
    </row>
    <row r="291">
      <c r="A291" s="340"/>
      <c r="B291" s="242"/>
      <c r="C291" s="242"/>
      <c r="D291" s="242"/>
      <c r="E291" s="242"/>
      <c r="F291" s="242"/>
      <c r="G291" s="243"/>
      <c r="H291" s="242"/>
      <c r="I291" s="264"/>
      <c r="J291" s="251"/>
      <c r="K291" s="251"/>
      <c r="L291" s="242"/>
      <c r="M291" s="242"/>
      <c r="N291" s="242"/>
      <c r="O291" s="242"/>
      <c r="P291" s="242"/>
      <c r="Q291" s="242"/>
      <c r="R291" s="242"/>
      <c r="S291" s="243"/>
      <c r="T291" s="280"/>
      <c r="U291" s="341"/>
      <c r="V291" s="13"/>
      <c r="W291" s="242"/>
      <c r="X291" s="242"/>
      <c r="Y291" s="242"/>
    </row>
    <row r="292">
      <c r="A292" s="340"/>
      <c r="B292" s="242"/>
      <c r="C292" s="242"/>
      <c r="D292" s="242"/>
      <c r="E292" s="242"/>
      <c r="F292" s="242"/>
      <c r="G292" s="243"/>
      <c r="H292" s="242"/>
      <c r="I292" s="264"/>
      <c r="J292" s="251"/>
      <c r="K292" s="251"/>
      <c r="L292" s="242"/>
      <c r="M292" s="242"/>
      <c r="N292" s="242"/>
      <c r="O292" s="242"/>
      <c r="P292" s="242"/>
      <c r="Q292" s="242"/>
      <c r="R292" s="242"/>
      <c r="S292" s="243"/>
      <c r="T292" s="280"/>
      <c r="U292" s="341"/>
      <c r="V292" s="13"/>
      <c r="W292" s="242"/>
      <c r="X292" s="242"/>
      <c r="Y292" s="242"/>
    </row>
    <row r="293">
      <c r="A293" s="340"/>
      <c r="B293" s="242"/>
      <c r="C293" s="242"/>
      <c r="D293" s="242"/>
      <c r="E293" s="242"/>
      <c r="F293" s="242"/>
      <c r="G293" s="243"/>
      <c r="H293" s="242"/>
      <c r="I293" s="264"/>
      <c r="J293" s="251"/>
      <c r="K293" s="251"/>
      <c r="L293" s="242"/>
      <c r="M293" s="242"/>
      <c r="N293" s="242"/>
      <c r="O293" s="242"/>
      <c r="P293" s="242"/>
      <c r="Q293" s="242"/>
      <c r="R293" s="242"/>
      <c r="S293" s="243"/>
      <c r="T293" s="280"/>
      <c r="U293" s="341"/>
      <c r="V293" s="13"/>
      <c r="W293" s="242"/>
      <c r="X293" s="242"/>
      <c r="Y293" s="242"/>
    </row>
    <row r="294">
      <c r="A294" s="340"/>
      <c r="B294" s="242"/>
      <c r="C294" s="242"/>
      <c r="D294" s="242"/>
      <c r="E294" s="242"/>
      <c r="F294" s="242"/>
      <c r="G294" s="243"/>
      <c r="H294" s="242"/>
      <c r="I294" s="264"/>
      <c r="J294" s="251"/>
      <c r="K294" s="251"/>
      <c r="L294" s="242"/>
      <c r="M294" s="242"/>
      <c r="N294" s="242"/>
      <c r="O294" s="242"/>
      <c r="P294" s="242"/>
      <c r="Q294" s="242"/>
      <c r="R294" s="242"/>
      <c r="S294" s="243"/>
      <c r="T294" s="280"/>
      <c r="U294" s="341"/>
      <c r="V294" s="13"/>
      <c r="W294" s="242"/>
      <c r="X294" s="242"/>
      <c r="Y294" s="242"/>
    </row>
    <row r="295">
      <c r="A295" s="340"/>
      <c r="B295" s="242"/>
      <c r="C295" s="242"/>
      <c r="D295" s="242"/>
      <c r="E295" s="242"/>
      <c r="F295" s="242"/>
      <c r="G295" s="243"/>
      <c r="H295" s="242"/>
      <c r="I295" s="264"/>
      <c r="J295" s="251"/>
      <c r="K295" s="251"/>
      <c r="L295" s="242"/>
      <c r="M295" s="242"/>
      <c r="N295" s="242"/>
      <c r="O295" s="242"/>
      <c r="P295" s="242"/>
      <c r="Q295" s="242"/>
      <c r="R295" s="242"/>
      <c r="S295" s="243"/>
      <c r="T295" s="280"/>
      <c r="U295" s="341"/>
      <c r="V295" s="13"/>
      <c r="W295" s="242"/>
      <c r="X295" s="242"/>
      <c r="Y295" s="242"/>
    </row>
    <row r="296">
      <c r="A296" s="340"/>
      <c r="B296" s="242"/>
      <c r="C296" s="242"/>
      <c r="D296" s="242"/>
      <c r="E296" s="242"/>
      <c r="F296" s="242"/>
      <c r="G296" s="243"/>
      <c r="H296" s="242"/>
      <c r="I296" s="264"/>
      <c r="J296" s="251"/>
      <c r="K296" s="251"/>
      <c r="L296" s="242"/>
      <c r="M296" s="242"/>
      <c r="N296" s="242"/>
      <c r="O296" s="242"/>
      <c r="P296" s="242"/>
      <c r="Q296" s="242"/>
      <c r="R296" s="242"/>
      <c r="S296" s="243"/>
      <c r="T296" s="280"/>
      <c r="U296" s="341"/>
      <c r="V296" s="13"/>
      <c r="W296" s="242"/>
      <c r="X296" s="242"/>
      <c r="Y296" s="242"/>
    </row>
    <row r="297">
      <c r="A297" s="340"/>
      <c r="B297" s="242"/>
      <c r="C297" s="242"/>
      <c r="D297" s="242"/>
      <c r="E297" s="242"/>
      <c r="F297" s="242"/>
      <c r="G297" s="243"/>
      <c r="H297" s="242"/>
      <c r="I297" s="264"/>
      <c r="J297" s="251"/>
      <c r="K297" s="251"/>
      <c r="L297" s="242"/>
      <c r="M297" s="242"/>
      <c r="N297" s="242"/>
      <c r="O297" s="242"/>
      <c r="P297" s="242"/>
      <c r="Q297" s="242"/>
      <c r="R297" s="242"/>
      <c r="S297" s="243"/>
      <c r="T297" s="280"/>
      <c r="U297" s="341"/>
      <c r="V297" s="13"/>
      <c r="W297" s="242"/>
      <c r="X297" s="242"/>
      <c r="Y297" s="242"/>
    </row>
    <row r="298">
      <c r="A298" s="340"/>
      <c r="B298" s="242"/>
      <c r="C298" s="242"/>
      <c r="D298" s="242"/>
      <c r="E298" s="242"/>
      <c r="F298" s="242"/>
      <c r="G298" s="243"/>
      <c r="H298" s="242"/>
      <c r="I298" s="264"/>
      <c r="J298" s="251"/>
      <c r="K298" s="251"/>
      <c r="L298" s="242"/>
      <c r="M298" s="242"/>
      <c r="N298" s="242"/>
      <c r="O298" s="242"/>
      <c r="P298" s="242"/>
      <c r="Q298" s="242"/>
      <c r="R298" s="242"/>
      <c r="S298" s="243"/>
      <c r="T298" s="280"/>
      <c r="U298" s="341"/>
      <c r="V298" s="13"/>
      <c r="W298" s="242"/>
      <c r="X298" s="242"/>
      <c r="Y298" s="242"/>
    </row>
    <row r="299">
      <c r="A299" s="340"/>
      <c r="B299" s="242"/>
      <c r="C299" s="242"/>
      <c r="D299" s="242"/>
      <c r="E299" s="242"/>
      <c r="F299" s="242"/>
      <c r="G299" s="243"/>
      <c r="H299" s="242"/>
      <c r="I299" s="264"/>
      <c r="J299" s="251"/>
      <c r="K299" s="251"/>
      <c r="L299" s="242"/>
      <c r="M299" s="242"/>
      <c r="N299" s="242"/>
      <c r="O299" s="242"/>
      <c r="P299" s="242"/>
      <c r="Q299" s="242"/>
      <c r="R299" s="242"/>
      <c r="S299" s="243"/>
      <c r="T299" s="280"/>
      <c r="U299" s="341"/>
      <c r="V299" s="13"/>
      <c r="W299" s="242"/>
      <c r="X299" s="242"/>
      <c r="Y299" s="242"/>
    </row>
    <row r="300">
      <c r="A300" s="340"/>
      <c r="B300" s="242"/>
      <c r="C300" s="242"/>
      <c r="D300" s="242"/>
      <c r="E300" s="242"/>
      <c r="F300" s="242"/>
      <c r="G300" s="243"/>
      <c r="H300" s="242"/>
      <c r="I300" s="264"/>
      <c r="J300" s="251"/>
      <c r="K300" s="251"/>
      <c r="L300" s="242"/>
      <c r="M300" s="242"/>
      <c r="N300" s="242"/>
      <c r="O300" s="242"/>
      <c r="P300" s="242"/>
      <c r="Q300" s="242"/>
      <c r="R300" s="242"/>
      <c r="S300" s="243"/>
      <c r="T300" s="280"/>
      <c r="U300" s="341"/>
      <c r="V300" s="13"/>
      <c r="W300" s="242"/>
      <c r="X300" s="242"/>
      <c r="Y300" s="242"/>
    </row>
    <row r="301">
      <c r="A301" s="340"/>
      <c r="B301" s="242"/>
      <c r="C301" s="242"/>
      <c r="D301" s="242"/>
      <c r="E301" s="242"/>
      <c r="F301" s="242"/>
      <c r="G301" s="243"/>
      <c r="H301" s="242"/>
      <c r="I301" s="264"/>
      <c r="J301" s="251"/>
      <c r="K301" s="251"/>
      <c r="L301" s="242"/>
      <c r="M301" s="242"/>
      <c r="N301" s="242"/>
      <c r="O301" s="242"/>
      <c r="P301" s="242"/>
      <c r="Q301" s="242"/>
      <c r="R301" s="242"/>
      <c r="S301" s="243"/>
      <c r="T301" s="280"/>
      <c r="U301" s="341"/>
      <c r="V301" s="13"/>
      <c r="W301" s="242"/>
      <c r="X301" s="242"/>
      <c r="Y301" s="242"/>
    </row>
    <row r="302">
      <c r="A302" s="340"/>
      <c r="B302" s="242"/>
      <c r="C302" s="242"/>
      <c r="D302" s="242"/>
      <c r="E302" s="242"/>
      <c r="F302" s="242"/>
      <c r="G302" s="243"/>
      <c r="H302" s="242"/>
      <c r="I302" s="264"/>
      <c r="J302" s="251"/>
      <c r="K302" s="251"/>
      <c r="L302" s="242"/>
      <c r="M302" s="242"/>
      <c r="N302" s="242"/>
      <c r="O302" s="242"/>
      <c r="P302" s="242"/>
      <c r="Q302" s="242"/>
      <c r="R302" s="242"/>
      <c r="S302" s="243"/>
      <c r="T302" s="280"/>
      <c r="U302" s="341"/>
      <c r="V302" s="13"/>
      <c r="W302" s="242"/>
      <c r="X302" s="242"/>
      <c r="Y302" s="242"/>
    </row>
    <row r="303">
      <c r="A303" s="340"/>
      <c r="B303" s="242"/>
      <c r="C303" s="242"/>
      <c r="D303" s="242"/>
      <c r="E303" s="242"/>
      <c r="F303" s="242"/>
      <c r="G303" s="243"/>
      <c r="H303" s="242"/>
      <c r="I303" s="264"/>
      <c r="J303" s="251"/>
      <c r="K303" s="251"/>
      <c r="L303" s="242"/>
      <c r="M303" s="242"/>
      <c r="N303" s="242"/>
      <c r="O303" s="242"/>
      <c r="P303" s="242"/>
      <c r="Q303" s="242"/>
      <c r="R303" s="242"/>
      <c r="S303" s="243"/>
      <c r="T303" s="280"/>
      <c r="U303" s="341"/>
      <c r="V303" s="13"/>
      <c r="W303" s="242"/>
      <c r="X303" s="242"/>
      <c r="Y303" s="242"/>
    </row>
    <row r="304">
      <c r="A304" s="340"/>
      <c r="B304" s="242"/>
      <c r="C304" s="242"/>
      <c r="D304" s="242"/>
      <c r="E304" s="242"/>
      <c r="F304" s="242"/>
      <c r="G304" s="243"/>
      <c r="H304" s="242"/>
      <c r="I304" s="264"/>
      <c r="J304" s="251"/>
      <c r="K304" s="251"/>
      <c r="L304" s="242"/>
      <c r="M304" s="242"/>
      <c r="N304" s="242"/>
      <c r="O304" s="242"/>
      <c r="P304" s="242"/>
      <c r="Q304" s="242"/>
      <c r="R304" s="242"/>
      <c r="S304" s="243"/>
      <c r="T304" s="280"/>
      <c r="U304" s="341"/>
      <c r="V304" s="13"/>
      <c r="W304" s="242"/>
      <c r="X304" s="242"/>
      <c r="Y304" s="242"/>
    </row>
    <row r="305">
      <c r="A305" s="340"/>
      <c r="B305" s="242"/>
      <c r="C305" s="242"/>
      <c r="D305" s="242"/>
      <c r="E305" s="242"/>
      <c r="F305" s="242"/>
      <c r="G305" s="243"/>
      <c r="H305" s="242"/>
      <c r="I305" s="264"/>
      <c r="J305" s="251"/>
      <c r="K305" s="251"/>
      <c r="L305" s="242"/>
      <c r="M305" s="242"/>
      <c r="N305" s="242"/>
      <c r="O305" s="242"/>
      <c r="P305" s="242"/>
      <c r="Q305" s="242"/>
      <c r="R305" s="242"/>
      <c r="S305" s="243"/>
      <c r="T305" s="280"/>
      <c r="U305" s="341"/>
      <c r="V305" s="13"/>
      <c r="W305" s="242"/>
      <c r="X305" s="242"/>
      <c r="Y305" s="242"/>
    </row>
    <row r="306">
      <c r="A306" s="340"/>
      <c r="B306" s="242"/>
      <c r="C306" s="242"/>
      <c r="D306" s="242"/>
      <c r="E306" s="242"/>
      <c r="F306" s="242"/>
      <c r="G306" s="243"/>
      <c r="H306" s="242"/>
      <c r="I306" s="264"/>
      <c r="J306" s="251"/>
      <c r="K306" s="251"/>
      <c r="L306" s="242"/>
      <c r="M306" s="242"/>
      <c r="N306" s="242"/>
      <c r="O306" s="242"/>
      <c r="P306" s="242"/>
      <c r="Q306" s="242"/>
      <c r="R306" s="242"/>
      <c r="S306" s="243"/>
      <c r="T306" s="280"/>
      <c r="U306" s="341"/>
      <c r="V306" s="13"/>
      <c r="W306" s="242"/>
      <c r="X306" s="242"/>
      <c r="Y306" s="242"/>
    </row>
    <row r="307">
      <c r="A307" s="340"/>
      <c r="B307" s="242"/>
      <c r="C307" s="242"/>
      <c r="D307" s="242"/>
      <c r="E307" s="242"/>
      <c r="F307" s="242"/>
      <c r="G307" s="243"/>
      <c r="H307" s="242"/>
      <c r="I307" s="264"/>
      <c r="J307" s="251"/>
      <c r="K307" s="251"/>
      <c r="L307" s="242"/>
      <c r="M307" s="242"/>
      <c r="N307" s="242"/>
      <c r="O307" s="242"/>
      <c r="P307" s="242"/>
      <c r="Q307" s="242"/>
      <c r="R307" s="242"/>
      <c r="S307" s="243"/>
      <c r="T307" s="280"/>
      <c r="U307" s="341"/>
      <c r="V307" s="13"/>
      <c r="W307" s="242"/>
      <c r="X307" s="242"/>
      <c r="Y307" s="242"/>
    </row>
    <row r="308">
      <c r="A308" s="340"/>
      <c r="B308" s="242"/>
      <c r="C308" s="242"/>
      <c r="D308" s="242"/>
      <c r="E308" s="242"/>
      <c r="F308" s="242"/>
      <c r="G308" s="243"/>
      <c r="H308" s="242"/>
      <c r="I308" s="264"/>
      <c r="J308" s="251"/>
      <c r="K308" s="251"/>
      <c r="L308" s="242"/>
      <c r="M308" s="242"/>
      <c r="N308" s="242"/>
      <c r="O308" s="242"/>
      <c r="P308" s="242"/>
      <c r="Q308" s="242"/>
      <c r="R308" s="242"/>
      <c r="S308" s="243"/>
      <c r="T308" s="280"/>
      <c r="U308" s="341"/>
      <c r="V308" s="13"/>
      <c r="W308" s="242"/>
      <c r="X308" s="242"/>
      <c r="Y308" s="242"/>
    </row>
    <row r="309">
      <c r="A309" s="340"/>
      <c r="B309" s="242"/>
      <c r="C309" s="242"/>
      <c r="D309" s="242"/>
      <c r="E309" s="242"/>
      <c r="F309" s="242"/>
      <c r="G309" s="243"/>
      <c r="H309" s="242"/>
      <c r="I309" s="264"/>
      <c r="J309" s="251"/>
      <c r="K309" s="251"/>
      <c r="L309" s="242"/>
      <c r="M309" s="242"/>
      <c r="N309" s="242"/>
      <c r="O309" s="242"/>
      <c r="P309" s="242"/>
      <c r="Q309" s="242"/>
      <c r="R309" s="242"/>
      <c r="S309" s="243"/>
      <c r="T309" s="280"/>
      <c r="U309" s="341"/>
      <c r="V309" s="13"/>
      <c r="W309" s="242"/>
      <c r="X309" s="242"/>
      <c r="Y309" s="242"/>
    </row>
    <row r="310">
      <c r="A310" s="340"/>
      <c r="B310" s="242"/>
      <c r="C310" s="242"/>
      <c r="D310" s="242"/>
      <c r="E310" s="242"/>
      <c r="F310" s="242"/>
      <c r="G310" s="243"/>
      <c r="H310" s="242"/>
      <c r="I310" s="264"/>
      <c r="J310" s="251"/>
      <c r="K310" s="251"/>
      <c r="L310" s="242"/>
      <c r="M310" s="242"/>
      <c r="N310" s="242"/>
      <c r="O310" s="242"/>
      <c r="P310" s="242"/>
      <c r="Q310" s="242"/>
      <c r="R310" s="242"/>
      <c r="S310" s="243"/>
      <c r="T310" s="280"/>
      <c r="U310" s="341"/>
      <c r="V310" s="13"/>
      <c r="W310" s="242"/>
      <c r="X310" s="242"/>
      <c r="Y310" s="242"/>
    </row>
    <row r="311">
      <c r="A311" s="340"/>
      <c r="B311" s="242"/>
      <c r="C311" s="242"/>
      <c r="D311" s="242"/>
      <c r="E311" s="242"/>
      <c r="F311" s="242"/>
      <c r="G311" s="243"/>
      <c r="H311" s="242"/>
      <c r="I311" s="264"/>
      <c r="J311" s="251"/>
      <c r="K311" s="251"/>
      <c r="L311" s="242"/>
      <c r="M311" s="242"/>
      <c r="N311" s="242"/>
      <c r="O311" s="242"/>
      <c r="P311" s="242"/>
      <c r="Q311" s="242"/>
      <c r="R311" s="242"/>
      <c r="S311" s="243"/>
      <c r="T311" s="280"/>
      <c r="U311" s="341"/>
      <c r="V311" s="13"/>
      <c r="W311" s="242"/>
      <c r="X311" s="242"/>
      <c r="Y311" s="242"/>
    </row>
    <row r="312">
      <c r="A312" s="340"/>
      <c r="B312" s="242"/>
      <c r="C312" s="242"/>
      <c r="D312" s="242"/>
      <c r="E312" s="242"/>
      <c r="F312" s="242"/>
      <c r="G312" s="243"/>
      <c r="H312" s="242"/>
      <c r="I312" s="264"/>
      <c r="J312" s="251"/>
      <c r="K312" s="251"/>
      <c r="L312" s="242"/>
      <c r="M312" s="242"/>
      <c r="N312" s="242"/>
      <c r="O312" s="242"/>
      <c r="P312" s="242"/>
      <c r="Q312" s="242"/>
      <c r="R312" s="242"/>
      <c r="S312" s="243"/>
      <c r="T312" s="280"/>
      <c r="U312" s="341"/>
      <c r="V312" s="13"/>
      <c r="W312" s="242"/>
      <c r="X312" s="242"/>
      <c r="Y312" s="242"/>
    </row>
    <row r="313">
      <c r="A313" s="340"/>
      <c r="B313" s="242"/>
      <c r="C313" s="242"/>
      <c r="D313" s="242"/>
      <c r="E313" s="242"/>
      <c r="F313" s="242"/>
      <c r="G313" s="243"/>
      <c r="H313" s="242"/>
      <c r="I313" s="264"/>
      <c r="J313" s="251"/>
      <c r="K313" s="251"/>
      <c r="L313" s="242"/>
      <c r="M313" s="242"/>
      <c r="N313" s="242"/>
      <c r="O313" s="242"/>
      <c r="P313" s="242"/>
      <c r="Q313" s="242"/>
      <c r="R313" s="242"/>
      <c r="S313" s="243"/>
      <c r="T313" s="280"/>
      <c r="U313" s="341"/>
      <c r="V313" s="13"/>
      <c r="W313" s="242"/>
      <c r="X313" s="242"/>
      <c r="Y313" s="242"/>
    </row>
    <row r="314">
      <c r="A314" s="340"/>
      <c r="B314" s="242"/>
      <c r="C314" s="242"/>
      <c r="D314" s="242"/>
      <c r="E314" s="242"/>
      <c r="F314" s="242"/>
      <c r="G314" s="243"/>
      <c r="H314" s="242"/>
      <c r="I314" s="264"/>
      <c r="J314" s="251"/>
      <c r="K314" s="251"/>
      <c r="L314" s="242"/>
      <c r="M314" s="242"/>
      <c r="N314" s="242"/>
      <c r="O314" s="242"/>
      <c r="P314" s="242"/>
      <c r="Q314" s="242"/>
      <c r="R314" s="242"/>
      <c r="S314" s="243"/>
      <c r="T314" s="280"/>
      <c r="U314" s="341"/>
      <c r="V314" s="13"/>
      <c r="W314" s="242"/>
      <c r="X314" s="242"/>
      <c r="Y314" s="242"/>
    </row>
    <row r="315">
      <c r="A315" s="340"/>
      <c r="B315" s="242"/>
      <c r="C315" s="242"/>
      <c r="D315" s="242"/>
      <c r="E315" s="242"/>
      <c r="F315" s="242"/>
      <c r="G315" s="243"/>
      <c r="H315" s="242"/>
      <c r="I315" s="264"/>
      <c r="J315" s="251"/>
      <c r="K315" s="251"/>
      <c r="L315" s="242"/>
      <c r="M315" s="242"/>
      <c r="N315" s="242"/>
      <c r="O315" s="242"/>
      <c r="P315" s="242"/>
      <c r="Q315" s="242"/>
      <c r="R315" s="242"/>
      <c r="S315" s="243"/>
      <c r="T315" s="280"/>
      <c r="U315" s="341"/>
      <c r="V315" s="13"/>
      <c r="W315" s="242"/>
      <c r="X315" s="242"/>
      <c r="Y315" s="242"/>
    </row>
    <row r="316">
      <c r="A316" s="340"/>
      <c r="B316" s="242"/>
      <c r="C316" s="242"/>
      <c r="D316" s="242"/>
      <c r="E316" s="242"/>
      <c r="F316" s="242"/>
      <c r="G316" s="243"/>
      <c r="H316" s="242"/>
      <c r="I316" s="264"/>
      <c r="J316" s="251"/>
      <c r="K316" s="251"/>
      <c r="L316" s="242"/>
      <c r="M316" s="242"/>
      <c r="N316" s="242"/>
      <c r="O316" s="242"/>
      <c r="P316" s="242"/>
      <c r="Q316" s="242"/>
      <c r="R316" s="242"/>
      <c r="S316" s="243"/>
      <c r="T316" s="280"/>
      <c r="U316" s="341"/>
      <c r="V316" s="13"/>
      <c r="W316" s="242"/>
      <c r="X316" s="242"/>
      <c r="Y316" s="242"/>
    </row>
    <row r="317">
      <c r="A317" s="340"/>
      <c r="B317" s="242"/>
      <c r="C317" s="242"/>
      <c r="D317" s="242"/>
      <c r="E317" s="242"/>
      <c r="F317" s="242"/>
      <c r="G317" s="243"/>
      <c r="H317" s="242"/>
      <c r="I317" s="264"/>
      <c r="J317" s="251"/>
      <c r="K317" s="251"/>
      <c r="L317" s="242"/>
      <c r="M317" s="242"/>
      <c r="N317" s="242"/>
      <c r="O317" s="242"/>
      <c r="P317" s="242"/>
      <c r="Q317" s="242"/>
      <c r="R317" s="242"/>
      <c r="S317" s="243"/>
      <c r="T317" s="280"/>
      <c r="U317" s="341"/>
      <c r="V317" s="13"/>
      <c r="W317" s="242"/>
      <c r="X317" s="242"/>
      <c r="Y317" s="242"/>
    </row>
    <row r="318">
      <c r="A318" s="340"/>
      <c r="B318" s="242"/>
      <c r="C318" s="242"/>
      <c r="D318" s="242"/>
      <c r="E318" s="242"/>
      <c r="F318" s="242"/>
      <c r="G318" s="243"/>
      <c r="H318" s="242"/>
      <c r="I318" s="264"/>
      <c r="J318" s="251"/>
      <c r="K318" s="251"/>
      <c r="L318" s="242"/>
      <c r="M318" s="242"/>
      <c r="N318" s="242"/>
      <c r="O318" s="242"/>
      <c r="P318" s="242"/>
      <c r="Q318" s="242"/>
      <c r="R318" s="242"/>
      <c r="S318" s="243"/>
      <c r="T318" s="280"/>
      <c r="U318" s="341"/>
      <c r="V318" s="13"/>
      <c r="W318" s="242"/>
      <c r="X318" s="242"/>
      <c r="Y318" s="242"/>
    </row>
    <row r="319">
      <c r="A319" s="340"/>
      <c r="B319" s="242"/>
      <c r="C319" s="242"/>
      <c r="D319" s="242"/>
      <c r="E319" s="242"/>
      <c r="F319" s="242"/>
      <c r="G319" s="243"/>
      <c r="H319" s="242"/>
      <c r="I319" s="264"/>
      <c r="J319" s="251"/>
      <c r="K319" s="251"/>
      <c r="L319" s="242"/>
      <c r="M319" s="242"/>
      <c r="N319" s="242"/>
      <c r="O319" s="242"/>
      <c r="P319" s="242"/>
      <c r="Q319" s="242"/>
      <c r="R319" s="242"/>
      <c r="S319" s="243"/>
      <c r="T319" s="280"/>
      <c r="U319" s="341"/>
      <c r="V319" s="13"/>
      <c r="W319" s="242"/>
      <c r="X319" s="242"/>
      <c r="Y319" s="242"/>
    </row>
    <row r="320">
      <c r="A320" s="340"/>
      <c r="B320" s="242"/>
      <c r="C320" s="242"/>
      <c r="D320" s="242"/>
      <c r="E320" s="242"/>
      <c r="F320" s="242"/>
      <c r="G320" s="243"/>
      <c r="H320" s="242"/>
      <c r="I320" s="264"/>
      <c r="J320" s="251"/>
      <c r="K320" s="251"/>
      <c r="L320" s="242"/>
      <c r="M320" s="242"/>
      <c r="N320" s="242"/>
      <c r="O320" s="242"/>
      <c r="P320" s="242"/>
      <c r="Q320" s="242"/>
      <c r="R320" s="242"/>
      <c r="S320" s="243"/>
      <c r="T320" s="280"/>
      <c r="U320" s="341"/>
      <c r="V320" s="13"/>
      <c r="W320" s="242"/>
      <c r="X320" s="242"/>
      <c r="Y320" s="242"/>
    </row>
    <row r="321">
      <c r="A321" s="340"/>
      <c r="B321" s="242"/>
      <c r="C321" s="242"/>
      <c r="D321" s="242"/>
      <c r="E321" s="242"/>
      <c r="F321" s="242"/>
      <c r="G321" s="243"/>
      <c r="H321" s="242"/>
      <c r="I321" s="264"/>
      <c r="J321" s="251"/>
      <c r="K321" s="251"/>
      <c r="L321" s="242"/>
      <c r="M321" s="242"/>
      <c r="N321" s="242"/>
      <c r="O321" s="242"/>
      <c r="P321" s="242"/>
      <c r="Q321" s="242"/>
      <c r="R321" s="242"/>
      <c r="S321" s="243"/>
      <c r="T321" s="280"/>
      <c r="U321" s="341"/>
      <c r="V321" s="13"/>
      <c r="W321" s="242"/>
      <c r="X321" s="242"/>
      <c r="Y321" s="242"/>
    </row>
    <row r="322">
      <c r="A322" s="340"/>
      <c r="B322" s="242"/>
      <c r="C322" s="242"/>
      <c r="D322" s="242"/>
      <c r="E322" s="242"/>
      <c r="F322" s="242"/>
      <c r="G322" s="243"/>
      <c r="H322" s="242"/>
      <c r="I322" s="264"/>
      <c r="J322" s="251"/>
      <c r="K322" s="251"/>
      <c r="L322" s="242"/>
      <c r="M322" s="242"/>
      <c r="N322" s="242"/>
      <c r="O322" s="242"/>
      <c r="P322" s="242"/>
      <c r="Q322" s="242"/>
      <c r="R322" s="242"/>
      <c r="S322" s="243"/>
      <c r="T322" s="280"/>
      <c r="U322" s="341"/>
      <c r="V322" s="13"/>
      <c r="W322" s="242"/>
      <c r="X322" s="242"/>
      <c r="Y322" s="242"/>
    </row>
    <row r="323">
      <c r="A323" s="340"/>
      <c r="B323" s="242"/>
      <c r="C323" s="242"/>
      <c r="D323" s="242"/>
      <c r="E323" s="242"/>
      <c r="F323" s="242"/>
      <c r="G323" s="243"/>
      <c r="H323" s="242"/>
      <c r="I323" s="264"/>
      <c r="J323" s="251"/>
      <c r="K323" s="251"/>
      <c r="L323" s="242"/>
      <c r="M323" s="242"/>
      <c r="N323" s="242"/>
      <c r="O323" s="242"/>
      <c r="P323" s="242"/>
      <c r="Q323" s="242"/>
      <c r="R323" s="242"/>
      <c r="S323" s="243"/>
      <c r="T323" s="280"/>
      <c r="U323" s="341"/>
      <c r="V323" s="13"/>
      <c r="W323" s="242"/>
      <c r="X323" s="242"/>
      <c r="Y323" s="242"/>
    </row>
    <row r="324">
      <c r="A324" s="340"/>
      <c r="B324" s="242"/>
      <c r="C324" s="242"/>
      <c r="D324" s="242"/>
      <c r="E324" s="242"/>
      <c r="F324" s="242"/>
      <c r="G324" s="243"/>
      <c r="H324" s="242"/>
      <c r="I324" s="264"/>
      <c r="J324" s="251"/>
      <c r="K324" s="251"/>
      <c r="L324" s="242"/>
      <c r="M324" s="242"/>
      <c r="N324" s="242"/>
      <c r="O324" s="242"/>
      <c r="P324" s="242"/>
      <c r="Q324" s="242"/>
      <c r="R324" s="242"/>
      <c r="S324" s="243"/>
      <c r="T324" s="280"/>
      <c r="U324" s="341"/>
      <c r="V324" s="13"/>
      <c r="W324" s="242"/>
      <c r="X324" s="242"/>
      <c r="Y324" s="242"/>
    </row>
    <row r="325">
      <c r="A325" s="340"/>
      <c r="B325" s="242"/>
      <c r="C325" s="242"/>
      <c r="D325" s="242"/>
      <c r="E325" s="242"/>
      <c r="F325" s="242"/>
      <c r="G325" s="243"/>
      <c r="H325" s="242"/>
      <c r="I325" s="264"/>
      <c r="J325" s="251"/>
      <c r="K325" s="251"/>
      <c r="L325" s="242"/>
      <c r="M325" s="242"/>
      <c r="N325" s="242"/>
      <c r="O325" s="242"/>
      <c r="P325" s="242"/>
      <c r="Q325" s="242"/>
      <c r="R325" s="242"/>
      <c r="S325" s="243"/>
      <c r="T325" s="280"/>
      <c r="U325" s="341"/>
      <c r="V325" s="13"/>
      <c r="W325" s="242"/>
      <c r="X325" s="242"/>
      <c r="Y325" s="242"/>
    </row>
    <row r="326">
      <c r="A326" s="340"/>
      <c r="B326" s="242"/>
      <c r="C326" s="242"/>
      <c r="D326" s="242"/>
      <c r="E326" s="242"/>
      <c r="F326" s="242"/>
      <c r="G326" s="243"/>
      <c r="H326" s="242"/>
      <c r="I326" s="264"/>
      <c r="J326" s="251"/>
      <c r="K326" s="251"/>
      <c r="L326" s="242"/>
      <c r="M326" s="242"/>
      <c r="N326" s="242"/>
      <c r="O326" s="242"/>
      <c r="P326" s="242"/>
      <c r="Q326" s="242"/>
      <c r="R326" s="242"/>
      <c r="S326" s="243"/>
      <c r="T326" s="280"/>
      <c r="U326" s="341"/>
      <c r="V326" s="13"/>
      <c r="W326" s="242"/>
      <c r="X326" s="242"/>
      <c r="Y326" s="242"/>
    </row>
    <row r="327">
      <c r="A327" s="340"/>
      <c r="B327" s="242"/>
      <c r="C327" s="242"/>
      <c r="D327" s="242"/>
      <c r="E327" s="242"/>
      <c r="F327" s="242"/>
      <c r="G327" s="243"/>
      <c r="H327" s="242"/>
      <c r="I327" s="264"/>
      <c r="J327" s="251"/>
      <c r="K327" s="251"/>
      <c r="L327" s="242"/>
      <c r="M327" s="242"/>
      <c r="N327" s="242"/>
      <c r="O327" s="242"/>
      <c r="P327" s="242"/>
      <c r="Q327" s="242"/>
      <c r="R327" s="242"/>
      <c r="S327" s="243"/>
      <c r="T327" s="280"/>
      <c r="U327" s="341"/>
      <c r="V327" s="13"/>
      <c r="W327" s="242"/>
      <c r="X327" s="242"/>
      <c r="Y327" s="242"/>
    </row>
    <row r="328">
      <c r="A328" s="340"/>
      <c r="B328" s="242"/>
      <c r="C328" s="242"/>
      <c r="D328" s="242"/>
      <c r="E328" s="242"/>
      <c r="F328" s="242"/>
      <c r="G328" s="243"/>
      <c r="H328" s="242"/>
      <c r="I328" s="264"/>
      <c r="J328" s="251"/>
      <c r="K328" s="251"/>
      <c r="L328" s="242"/>
      <c r="M328" s="242"/>
      <c r="N328" s="242"/>
      <c r="O328" s="242"/>
      <c r="P328" s="242"/>
      <c r="Q328" s="242"/>
      <c r="R328" s="242"/>
      <c r="S328" s="243"/>
      <c r="T328" s="280"/>
      <c r="U328" s="341"/>
      <c r="V328" s="13"/>
      <c r="W328" s="242"/>
      <c r="X328" s="242"/>
      <c r="Y328" s="242"/>
    </row>
    <row r="329">
      <c r="A329" s="340"/>
      <c r="B329" s="242"/>
      <c r="C329" s="242"/>
      <c r="D329" s="242"/>
      <c r="E329" s="242"/>
      <c r="F329" s="242"/>
      <c r="G329" s="243"/>
      <c r="H329" s="242"/>
      <c r="I329" s="264"/>
      <c r="J329" s="251"/>
      <c r="K329" s="251"/>
      <c r="L329" s="242"/>
      <c r="M329" s="242"/>
      <c r="N329" s="242"/>
      <c r="O329" s="242"/>
      <c r="P329" s="242"/>
      <c r="Q329" s="242"/>
      <c r="R329" s="242"/>
      <c r="S329" s="243"/>
      <c r="T329" s="280"/>
      <c r="U329" s="341"/>
      <c r="V329" s="13"/>
      <c r="W329" s="242"/>
      <c r="X329" s="242"/>
      <c r="Y329" s="242"/>
    </row>
    <row r="330">
      <c r="A330" s="340"/>
      <c r="B330" s="242"/>
      <c r="C330" s="242"/>
      <c r="D330" s="242"/>
      <c r="E330" s="242"/>
      <c r="F330" s="242"/>
      <c r="G330" s="243"/>
      <c r="H330" s="242"/>
      <c r="I330" s="264"/>
      <c r="J330" s="251"/>
      <c r="K330" s="251"/>
      <c r="L330" s="242"/>
      <c r="M330" s="242"/>
      <c r="N330" s="242"/>
      <c r="O330" s="242"/>
      <c r="P330" s="242"/>
      <c r="Q330" s="242"/>
      <c r="R330" s="242"/>
      <c r="S330" s="243"/>
      <c r="T330" s="280"/>
      <c r="U330" s="341"/>
      <c r="V330" s="13"/>
      <c r="W330" s="242"/>
      <c r="X330" s="242"/>
      <c r="Y330" s="242"/>
    </row>
    <row r="331">
      <c r="A331" s="340"/>
      <c r="B331" s="242"/>
      <c r="C331" s="242"/>
      <c r="D331" s="242"/>
      <c r="E331" s="242"/>
      <c r="F331" s="242"/>
      <c r="G331" s="243"/>
      <c r="H331" s="242"/>
      <c r="I331" s="264"/>
      <c r="J331" s="251"/>
      <c r="K331" s="251"/>
      <c r="L331" s="242"/>
      <c r="M331" s="242"/>
      <c r="N331" s="242"/>
      <c r="O331" s="242"/>
      <c r="P331" s="242"/>
      <c r="Q331" s="242"/>
      <c r="R331" s="242"/>
      <c r="S331" s="243"/>
      <c r="T331" s="280"/>
      <c r="U331" s="341"/>
      <c r="V331" s="13"/>
      <c r="W331" s="242"/>
      <c r="X331" s="242"/>
      <c r="Y331" s="242"/>
    </row>
    <row r="332">
      <c r="A332" s="340"/>
      <c r="B332" s="242"/>
      <c r="C332" s="242"/>
      <c r="D332" s="242"/>
      <c r="E332" s="242"/>
      <c r="F332" s="242"/>
      <c r="G332" s="243"/>
      <c r="H332" s="242"/>
      <c r="I332" s="264"/>
      <c r="J332" s="251"/>
      <c r="K332" s="251"/>
      <c r="L332" s="242"/>
      <c r="M332" s="242"/>
      <c r="N332" s="242"/>
      <c r="O332" s="242"/>
      <c r="P332" s="242"/>
      <c r="Q332" s="242"/>
      <c r="R332" s="242"/>
      <c r="S332" s="243"/>
      <c r="T332" s="280"/>
      <c r="U332" s="341"/>
      <c r="V332" s="13"/>
      <c r="W332" s="242"/>
      <c r="X332" s="242"/>
      <c r="Y332" s="242"/>
    </row>
    <row r="333">
      <c r="A333" s="340"/>
      <c r="B333" s="242"/>
      <c r="C333" s="242"/>
      <c r="D333" s="242"/>
      <c r="E333" s="242"/>
      <c r="F333" s="242"/>
      <c r="G333" s="243"/>
      <c r="H333" s="242"/>
      <c r="I333" s="264"/>
      <c r="J333" s="251"/>
      <c r="K333" s="251"/>
      <c r="L333" s="242"/>
      <c r="M333" s="242"/>
      <c r="N333" s="242"/>
      <c r="O333" s="242"/>
      <c r="P333" s="242"/>
      <c r="Q333" s="242"/>
      <c r="R333" s="242"/>
      <c r="S333" s="243"/>
      <c r="T333" s="280"/>
      <c r="U333" s="341"/>
      <c r="V333" s="13"/>
      <c r="W333" s="242"/>
      <c r="X333" s="242"/>
      <c r="Y333" s="242"/>
    </row>
    <row r="334">
      <c r="A334" s="340"/>
      <c r="B334" s="242"/>
      <c r="C334" s="242"/>
      <c r="D334" s="242"/>
      <c r="E334" s="242"/>
      <c r="F334" s="242"/>
      <c r="G334" s="243"/>
      <c r="H334" s="242"/>
      <c r="I334" s="264"/>
      <c r="J334" s="251"/>
      <c r="K334" s="251"/>
      <c r="L334" s="242"/>
      <c r="M334" s="242"/>
      <c r="N334" s="242"/>
      <c r="O334" s="242"/>
      <c r="P334" s="242"/>
      <c r="Q334" s="242"/>
      <c r="R334" s="242"/>
      <c r="S334" s="243"/>
      <c r="T334" s="280"/>
      <c r="U334" s="341"/>
      <c r="V334" s="13"/>
      <c r="W334" s="242"/>
      <c r="X334" s="242"/>
      <c r="Y334" s="242"/>
    </row>
    <row r="335">
      <c r="A335" s="340"/>
      <c r="B335" s="242"/>
      <c r="C335" s="242"/>
      <c r="D335" s="242"/>
      <c r="E335" s="242"/>
      <c r="F335" s="242"/>
      <c r="G335" s="243"/>
      <c r="H335" s="242"/>
      <c r="I335" s="264"/>
      <c r="J335" s="251"/>
      <c r="K335" s="251"/>
      <c r="L335" s="242"/>
      <c r="M335" s="242"/>
      <c r="N335" s="242"/>
      <c r="O335" s="242"/>
      <c r="P335" s="242"/>
      <c r="Q335" s="242"/>
      <c r="R335" s="242"/>
      <c r="S335" s="243"/>
      <c r="T335" s="280"/>
      <c r="U335" s="341"/>
      <c r="V335" s="13"/>
      <c r="W335" s="242"/>
      <c r="X335" s="242"/>
      <c r="Y335" s="242"/>
    </row>
    <row r="336">
      <c r="A336" s="340"/>
      <c r="B336" s="242"/>
      <c r="C336" s="242"/>
      <c r="D336" s="242"/>
      <c r="E336" s="242"/>
      <c r="F336" s="242"/>
      <c r="G336" s="243"/>
      <c r="H336" s="242"/>
      <c r="I336" s="264"/>
      <c r="J336" s="251"/>
      <c r="K336" s="251"/>
      <c r="L336" s="242"/>
      <c r="M336" s="242"/>
      <c r="N336" s="242"/>
      <c r="O336" s="242"/>
      <c r="P336" s="242"/>
      <c r="Q336" s="242"/>
      <c r="R336" s="242"/>
      <c r="S336" s="243"/>
      <c r="T336" s="280"/>
      <c r="U336" s="341"/>
      <c r="V336" s="13"/>
      <c r="W336" s="242"/>
      <c r="X336" s="242"/>
      <c r="Y336" s="242"/>
    </row>
    <row r="337">
      <c r="A337" s="340"/>
      <c r="B337" s="242"/>
      <c r="C337" s="242"/>
      <c r="D337" s="242"/>
      <c r="E337" s="242"/>
      <c r="F337" s="242"/>
      <c r="G337" s="243"/>
      <c r="H337" s="242"/>
      <c r="I337" s="264"/>
      <c r="J337" s="251"/>
      <c r="K337" s="251"/>
      <c r="L337" s="242"/>
      <c r="M337" s="242"/>
      <c r="N337" s="242"/>
      <c r="O337" s="242"/>
      <c r="P337" s="242"/>
      <c r="Q337" s="242"/>
      <c r="R337" s="242"/>
      <c r="S337" s="243"/>
      <c r="T337" s="280"/>
      <c r="U337" s="341"/>
      <c r="V337" s="13"/>
      <c r="W337" s="242"/>
      <c r="X337" s="242"/>
      <c r="Y337" s="242"/>
    </row>
    <row r="338">
      <c r="A338" s="340"/>
      <c r="B338" s="242"/>
      <c r="C338" s="242"/>
      <c r="D338" s="242"/>
      <c r="E338" s="242"/>
      <c r="F338" s="242"/>
      <c r="G338" s="243"/>
      <c r="H338" s="242"/>
      <c r="I338" s="264"/>
      <c r="J338" s="251"/>
      <c r="K338" s="251"/>
      <c r="L338" s="242"/>
      <c r="M338" s="242"/>
      <c r="N338" s="242"/>
      <c r="O338" s="242"/>
      <c r="P338" s="242"/>
      <c r="Q338" s="242"/>
      <c r="R338" s="242"/>
      <c r="S338" s="243"/>
      <c r="T338" s="280"/>
      <c r="U338" s="341"/>
      <c r="V338" s="13"/>
      <c r="W338" s="242"/>
      <c r="X338" s="242"/>
      <c r="Y338" s="242"/>
    </row>
    <row r="339">
      <c r="A339" s="340"/>
      <c r="B339" s="242"/>
      <c r="C339" s="242"/>
      <c r="D339" s="242"/>
      <c r="E339" s="242"/>
      <c r="F339" s="242"/>
      <c r="G339" s="243"/>
      <c r="H339" s="242"/>
      <c r="I339" s="264"/>
      <c r="J339" s="251"/>
      <c r="K339" s="251"/>
      <c r="L339" s="242"/>
      <c r="M339" s="242"/>
      <c r="N339" s="242"/>
      <c r="O339" s="242"/>
      <c r="P339" s="242"/>
      <c r="Q339" s="242"/>
      <c r="R339" s="242"/>
      <c r="S339" s="243"/>
      <c r="T339" s="280"/>
      <c r="U339" s="341"/>
      <c r="V339" s="13"/>
      <c r="W339" s="242"/>
      <c r="X339" s="242"/>
      <c r="Y339" s="242"/>
    </row>
    <row r="340">
      <c r="A340" s="340"/>
      <c r="B340" s="242"/>
      <c r="C340" s="242"/>
      <c r="D340" s="242"/>
      <c r="E340" s="242"/>
      <c r="F340" s="242"/>
      <c r="G340" s="243"/>
      <c r="H340" s="242"/>
      <c r="I340" s="264"/>
      <c r="J340" s="251"/>
      <c r="K340" s="251"/>
      <c r="L340" s="242"/>
      <c r="M340" s="242"/>
      <c r="N340" s="242"/>
      <c r="O340" s="242"/>
      <c r="P340" s="242"/>
      <c r="Q340" s="242"/>
      <c r="R340" s="242"/>
      <c r="S340" s="243"/>
      <c r="T340" s="280"/>
      <c r="U340" s="341"/>
      <c r="V340" s="13"/>
      <c r="W340" s="242"/>
      <c r="X340" s="242"/>
      <c r="Y340" s="242"/>
    </row>
    <row r="341">
      <c r="A341" s="340"/>
      <c r="B341" s="242"/>
      <c r="C341" s="242"/>
      <c r="D341" s="242"/>
      <c r="E341" s="242"/>
      <c r="F341" s="242"/>
      <c r="G341" s="243"/>
      <c r="H341" s="242"/>
      <c r="I341" s="264"/>
      <c r="J341" s="251"/>
      <c r="K341" s="251"/>
      <c r="L341" s="242"/>
      <c r="M341" s="242"/>
      <c r="N341" s="242"/>
      <c r="O341" s="242"/>
      <c r="P341" s="242"/>
      <c r="Q341" s="242"/>
      <c r="R341" s="242"/>
      <c r="S341" s="243"/>
      <c r="T341" s="280"/>
      <c r="U341" s="341"/>
      <c r="V341" s="13"/>
      <c r="W341" s="242"/>
      <c r="X341" s="242"/>
      <c r="Y341" s="242"/>
    </row>
    <row r="342">
      <c r="A342" s="340"/>
      <c r="B342" s="242"/>
      <c r="C342" s="242"/>
      <c r="D342" s="242"/>
      <c r="E342" s="242"/>
      <c r="F342" s="242"/>
      <c r="G342" s="243"/>
      <c r="H342" s="242"/>
      <c r="I342" s="264"/>
      <c r="J342" s="251"/>
      <c r="K342" s="251"/>
      <c r="L342" s="242"/>
      <c r="M342" s="242"/>
      <c r="N342" s="242"/>
      <c r="O342" s="242"/>
      <c r="P342" s="242"/>
      <c r="Q342" s="242"/>
      <c r="R342" s="242"/>
      <c r="S342" s="243"/>
      <c r="T342" s="280"/>
      <c r="U342" s="341"/>
      <c r="V342" s="13"/>
      <c r="W342" s="242"/>
      <c r="X342" s="242"/>
      <c r="Y342" s="242"/>
    </row>
    <row r="343">
      <c r="A343" s="340"/>
      <c r="B343" s="242"/>
      <c r="C343" s="242"/>
      <c r="D343" s="242"/>
      <c r="E343" s="242"/>
      <c r="F343" s="242"/>
      <c r="G343" s="243"/>
      <c r="H343" s="242"/>
      <c r="I343" s="264"/>
      <c r="J343" s="251"/>
      <c r="K343" s="251"/>
      <c r="L343" s="242"/>
      <c r="M343" s="242"/>
      <c r="N343" s="242"/>
      <c r="O343" s="242"/>
      <c r="P343" s="242"/>
      <c r="Q343" s="242"/>
      <c r="R343" s="242"/>
      <c r="S343" s="243"/>
      <c r="T343" s="280"/>
      <c r="U343" s="341"/>
      <c r="V343" s="13"/>
      <c r="W343" s="242"/>
      <c r="X343" s="242"/>
      <c r="Y343" s="242"/>
    </row>
    <row r="344">
      <c r="A344" s="340"/>
      <c r="B344" s="242"/>
      <c r="C344" s="242"/>
      <c r="D344" s="242"/>
      <c r="E344" s="242"/>
      <c r="F344" s="242"/>
      <c r="G344" s="243"/>
      <c r="H344" s="242"/>
      <c r="I344" s="264"/>
      <c r="J344" s="251"/>
      <c r="K344" s="251"/>
      <c r="L344" s="242"/>
      <c r="M344" s="242"/>
      <c r="N344" s="242"/>
      <c r="O344" s="242"/>
      <c r="P344" s="242"/>
      <c r="Q344" s="242"/>
      <c r="R344" s="242"/>
      <c r="S344" s="243"/>
      <c r="T344" s="280"/>
      <c r="U344" s="341"/>
      <c r="V344" s="13"/>
      <c r="W344" s="242"/>
      <c r="X344" s="242"/>
      <c r="Y344" s="242"/>
    </row>
    <row r="345">
      <c r="A345" s="340"/>
      <c r="B345" s="242"/>
      <c r="C345" s="242"/>
      <c r="D345" s="242"/>
      <c r="E345" s="242"/>
      <c r="F345" s="242"/>
      <c r="G345" s="243"/>
      <c r="H345" s="242"/>
      <c r="I345" s="264"/>
      <c r="J345" s="251"/>
      <c r="K345" s="251"/>
      <c r="L345" s="242"/>
      <c r="M345" s="242"/>
      <c r="N345" s="242"/>
      <c r="O345" s="242"/>
      <c r="P345" s="242"/>
      <c r="Q345" s="242"/>
      <c r="R345" s="242"/>
      <c r="S345" s="243"/>
      <c r="T345" s="280"/>
      <c r="U345" s="341"/>
      <c r="V345" s="13"/>
      <c r="W345" s="242"/>
      <c r="X345" s="242"/>
      <c r="Y345" s="242"/>
    </row>
    <row r="346">
      <c r="A346" s="340"/>
      <c r="B346" s="242"/>
      <c r="C346" s="242"/>
      <c r="D346" s="242"/>
      <c r="E346" s="242"/>
      <c r="F346" s="242"/>
      <c r="G346" s="243"/>
      <c r="H346" s="242"/>
      <c r="I346" s="264"/>
      <c r="J346" s="251"/>
      <c r="K346" s="251"/>
      <c r="L346" s="242"/>
      <c r="M346" s="242"/>
      <c r="N346" s="242"/>
      <c r="O346" s="242"/>
      <c r="P346" s="242"/>
      <c r="Q346" s="242"/>
      <c r="R346" s="242"/>
      <c r="S346" s="243"/>
      <c r="T346" s="280"/>
      <c r="U346" s="341"/>
      <c r="V346" s="13"/>
      <c r="W346" s="242"/>
      <c r="X346" s="242"/>
      <c r="Y346" s="242"/>
    </row>
    <row r="347">
      <c r="A347" s="340"/>
      <c r="B347" s="242"/>
      <c r="C347" s="242"/>
      <c r="D347" s="242"/>
      <c r="E347" s="242"/>
      <c r="F347" s="242"/>
      <c r="G347" s="243"/>
      <c r="H347" s="242"/>
      <c r="I347" s="264"/>
      <c r="J347" s="251"/>
      <c r="K347" s="251"/>
      <c r="L347" s="242"/>
      <c r="M347" s="242"/>
      <c r="N347" s="242"/>
      <c r="O347" s="242"/>
      <c r="P347" s="242"/>
      <c r="Q347" s="242"/>
      <c r="R347" s="242"/>
      <c r="S347" s="243"/>
      <c r="T347" s="280"/>
      <c r="U347" s="341"/>
      <c r="V347" s="13"/>
      <c r="W347" s="242"/>
      <c r="X347" s="242"/>
      <c r="Y347" s="242"/>
    </row>
    <row r="348">
      <c r="A348" s="340"/>
      <c r="B348" s="242"/>
      <c r="C348" s="242"/>
      <c r="D348" s="242"/>
      <c r="E348" s="242"/>
      <c r="F348" s="242"/>
      <c r="G348" s="243"/>
      <c r="H348" s="242"/>
      <c r="I348" s="264"/>
      <c r="J348" s="251"/>
      <c r="K348" s="251"/>
      <c r="L348" s="242"/>
      <c r="M348" s="242"/>
      <c r="N348" s="242"/>
      <c r="O348" s="242"/>
      <c r="P348" s="242"/>
      <c r="Q348" s="242"/>
      <c r="R348" s="242"/>
      <c r="S348" s="243"/>
      <c r="T348" s="280"/>
      <c r="U348" s="341"/>
      <c r="V348" s="13"/>
      <c r="W348" s="242"/>
      <c r="X348" s="242"/>
      <c r="Y348" s="242"/>
    </row>
    <row r="349">
      <c r="A349" s="340"/>
      <c r="B349" s="242"/>
      <c r="C349" s="242"/>
      <c r="D349" s="242"/>
      <c r="E349" s="242"/>
      <c r="F349" s="242"/>
      <c r="G349" s="243"/>
      <c r="H349" s="242"/>
      <c r="I349" s="264"/>
      <c r="J349" s="251"/>
      <c r="K349" s="251"/>
      <c r="L349" s="242"/>
      <c r="M349" s="242"/>
      <c r="N349" s="242"/>
      <c r="O349" s="242"/>
      <c r="P349" s="242"/>
      <c r="Q349" s="242"/>
      <c r="R349" s="242"/>
      <c r="S349" s="243"/>
      <c r="T349" s="280"/>
      <c r="U349" s="341"/>
      <c r="V349" s="13"/>
      <c r="W349" s="242"/>
      <c r="X349" s="242"/>
      <c r="Y349" s="242"/>
    </row>
    <row r="350">
      <c r="A350" s="340"/>
      <c r="B350" s="242"/>
      <c r="C350" s="242"/>
      <c r="D350" s="242"/>
      <c r="E350" s="242"/>
      <c r="F350" s="242"/>
      <c r="G350" s="243"/>
      <c r="H350" s="242"/>
      <c r="I350" s="264"/>
      <c r="J350" s="251"/>
      <c r="K350" s="251"/>
      <c r="L350" s="242"/>
      <c r="M350" s="242"/>
      <c r="N350" s="242"/>
      <c r="O350" s="242"/>
      <c r="P350" s="242"/>
      <c r="Q350" s="242"/>
      <c r="R350" s="242"/>
      <c r="S350" s="243"/>
      <c r="T350" s="280"/>
      <c r="U350" s="341"/>
      <c r="V350" s="13"/>
      <c r="W350" s="242"/>
      <c r="X350" s="242"/>
      <c r="Y350" s="242"/>
    </row>
    <row r="351">
      <c r="A351" s="340"/>
      <c r="B351" s="242"/>
      <c r="C351" s="242"/>
      <c r="D351" s="242"/>
      <c r="E351" s="242"/>
      <c r="F351" s="242"/>
      <c r="G351" s="243"/>
      <c r="H351" s="242"/>
      <c r="I351" s="264"/>
      <c r="J351" s="251"/>
      <c r="K351" s="251"/>
      <c r="L351" s="242"/>
      <c r="M351" s="242"/>
      <c r="N351" s="242"/>
      <c r="O351" s="242"/>
      <c r="P351" s="242"/>
      <c r="Q351" s="242"/>
      <c r="R351" s="242"/>
      <c r="S351" s="243"/>
      <c r="T351" s="280"/>
      <c r="U351" s="341"/>
      <c r="V351" s="13"/>
      <c r="W351" s="242"/>
      <c r="X351" s="242"/>
      <c r="Y351" s="242"/>
    </row>
    <row r="352">
      <c r="A352" s="340"/>
      <c r="B352" s="242"/>
      <c r="C352" s="242"/>
      <c r="D352" s="242"/>
      <c r="E352" s="242"/>
      <c r="F352" s="242"/>
      <c r="G352" s="243"/>
      <c r="H352" s="242"/>
      <c r="I352" s="264"/>
      <c r="J352" s="251"/>
      <c r="K352" s="251"/>
      <c r="L352" s="242"/>
      <c r="M352" s="242"/>
      <c r="N352" s="242"/>
      <c r="O352" s="242"/>
      <c r="P352" s="242"/>
      <c r="Q352" s="242"/>
      <c r="R352" s="242"/>
      <c r="S352" s="243"/>
      <c r="T352" s="280"/>
      <c r="U352" s="341"/>
      <c r="V352" s="13"/>
      <c r="W352" s="242"/>
      <c r="X352" s="242"/>
      <c r="Y352" s="242"/>
    </row>
    <row r="353">
      <c r="A353" s="340"/>
      <c r="B353" s="242"/>
      <c r="C353" s="242"/>
      <c r="D353" s="242"/>
      <c r="E353" s="242"/>
      <c r="F353" s="242"/>
      <c r="G353" s="243"/>
      <c r="H353" s="242"/>
      <c r="I353" s="264"/>
      <c r="J353" s="251"/>
      <c r="K353" s="251"/>
      <c r="L353" s="242"/>
      <c r="M353" s="242"/>
      <c r="N353" s="242"/>
      <c r="O353" s="242"/>
      <c r="P353" s="242"/>
      <c r="Q353" s="242"/>
      <c r="R353" s="242"/>
      <c r="S353" s="243"/>
      <c r="T353" s="280"/>
      <c r="U353" s="341"/>
      <c r="V353" s="13"/>
      <c r="W353" s="242"/>
      <c r="X353" s="242"/>
      <c r="Y353" s="242"/>
    </row>
    <row r="354">
      <c r="A354" s="340"/>
      <c r="B354" s="242"/>
      <c r="C354" s="242"/>
      <c r="D354" s="242"/>
      <c r="E354" s="242"/>
      <c r="F354" s="242"/>
      <c r="G354" s="243"/>
      <c r="H354" s="242"/>
      <c r="I354" s="264"/>
      <c r="J354" s="251"/>
      <c r="K354" s="251"/>
      <c r="L354" s="242"/>
      <c r="M354" s="242"/>
      <c r="N354" s="242"/>
      <c r="O354" s="242"/>
      <c r="P354" s="242"/>
      <c r="Q354" s="242"/>
      <c r="R354" s="242"/>
      <c r="S354" s="243"/>
      <c r="T354" s="280"/>
      <c r="U354" s="341"/>
      <c r="V354" s="13"/>
      <c r="W354" s="242"/>
      <c r="X354" s="242"/>
      <c r="Y354" s="242"/>
    </row>
    <row r="355">
      <c r="A355" s="340"/>
      <c r="B355" s="242"/>
      <c r="C355" s="242"/>
      <c r="D355" s="242"/>
      <c r="E355" s="242"/>
      <c r="F355" s="242"/>
      <c r="G355" s="243"/>
      <c r="H355" s="242"/>
      <c r="I355" s="264"/>
      <c r="J355" s="251"/>
      <c r="K355" s="251"/>
      <c r="L355" s="242"/>
      <c r="M355" s="242"/>
      <c r="N355" s="242"/>
      <c r="O355" s="242"/>
      <c r="P355" s="242"/>
      <c r="Q355" s="242"/>
      <c r="R355" s="242"/>
      <c r="S355" s="243"/>
      <c r="T355" s="280"/>
      <c r="U355" s="341"/>
      <c r="V355" s="13"/>
      <c r="W355" s="242"/>
      <c r="X355" s="242"/>
      <c r="Y355" s="242"/>
    </row>
    <row r="356">
      <c r="A356" s="340"/>
      <c r="B356" s="242"/>
      <c r="C356" s="242"/>
      <c r="D356" s="242"/>
      <c r="E356" s="242"/>
      <c r="F356" s="242"/>
      <c r="G356" s="243"/>
      <c r="H356" s="242"/>
      <c r="I356" s="264"/>
      <c r="J356" s="251"/>
      <c r="K356" s="251"/>
      <c r="L356" s="242"/>
      <c r="M356" s="242"/>
      <c r="N356" s="242"/>
      <c r="O356" s="242"/>
      <c r="P356" s="242"/>
      <c r="Q356" s="242"/>
      <c r="R356" s="242"/>
      <c r="S356" s="243"/>
      <c r="T356" s="280"/>
      <c r="U356" s="341"/>
      <c r="V356" s="13"/>
      <c r="W356" s="242"/>
      <c r="X356" s="242"/>
      <c r="Y356" s="242"/>
    </row>
    <row r="357">
      <c r="A357" s="340"/>
      <c r="B357" s="242"/>
      <c r="C357" s="242"/>
      <c r="D357" s="242"/>
      <c r="E357" s="242"/>
      <c r="F357" s="242"/>
      <c r="G357" s="243"/>
      <c r="H357" s="242"/>
      <c r="I357" s="264"/>
      <c r="J357" s="251"/>
      <c r="K357" s="251"/>
      <c r="L357" s="242"/>
      <c r="M357" s="242"/>
      <c r="N357" s="242"/>
      <c r="O357" s="242"/>
      <c r="P357" s="242"/>
      <c r="Q357" s="242"/>
      <c r="R357" s="242"/>
      <c r="S357" s="243"/>
      <c r="T357" s="280"/>
      <c r="U357" s="341"/>
      <c r="V357" s="13"/>
      <c r="W357" s="242"/>
      <c r="X357" s="242"/>
      <c r="Y357" s="242"/>
    </row>
    <row r="358">
      <c r="A358" s="340"/>
      <c r="B358" s="242"/>
      <c r="C358" s="242"/>
      <c r="D358" s="242"/>
      <c r="E358" s="242"/>
      <c r="F358" s="242"/>
      <c r="G358" s="243"/>
      <c r="H358" s="242"/>
      <c r="I358" s="264"/>
      <c r="J358" s="251"/>
      <c r="K358" s="251"/>
      <c r="L358" s="242"/>
      <c r="M358" s="242"/>
      <c r="N358" s="242"/>
      <c r="O358" s="242"/>
      <c r="P358" s="242"/>
      <c r="Q358" s="242"/>
      <c r="R358" s="242"/>
      <c r="S358" s="243"/>
      <c r="T358" s="280"/>
      <c r="U358" s="341"/>
      <c r="V358" s="13"/>
      <c r="W358" s="242"/>
      <c r="X358" s="242"/>
      <c r="Y358" s="242"/>
    </row>
    <row r="359">
      <c r="A359" s="340"/>
      <c r="B359" s="242"/>
      <c r="C359" s="242"/>
      <c r="D359" s="242"/>
      <c r="E359" s="242"/>
      <c r="F359" s="242"/>
      <c r="G359" s="243"/>
      <c r="H359" s="242"/>
      <c r="I359" s="264"/>
      <c r="J359" s="251"/>
      <c r="K359" s="251"/>
      <c r="L359" s="242"/>
      <c r="M359" s="242"/>
      <c r="N359" s="242"/>
      <c r="O359" s="242"/>
      <c r="P359" s="242"/>
      <c r="Q359" s="242"/>
      <c r="R359" s="242"/>
      <c r="S359" s="243"/>
      <c r="T359" s="280"/>
      <c r="U359" s="341"/>
      <c r="V359" s="13"/>
      <c r="W359" s="242"/>
      <c r="X359" s="242"/>
      <c r="Y359" s="242"/>
    </row>
    <row r="360">
      <c r="A360" s="340"/>
      <c r="B360" s="242"/>
      <c r="C360" s="242"/>
      <c r="D360" s="242"/>
      <c r="E360" s="242"/>
      <c r="F360" s="242"/>
      <c r="G360" s="243"/>
      <c r="H360" s="242"/>
      <c r="I360" s="264"/>
      <c r="J360" s="251"/>
      <c r="K360" s="251"/>
      <c r="L360" s="242"/>
      <c r="M360" s="242"/>
      <c r="N360" s="242"/>
      <c r="O360" s="242"/>
      <c r="P360" s="242"/>
      <c r="Q360" s="242"/>
      <c r="R360" s="242"/>
      <c r="S360" s="243"/>
      <c r="T360" s="280"/>
      <c r="U360" s="341"/>
      <c r="V360" s="13"/>
      <c r="W360" s="242"/>
      <c r="X360" s="242"/>
      <c r="Y360" s="242"/>
    </row>
    <row r="361">
      <c r="A361" s="340"/>
      <c r="B361" s="242"/>
      <c r="C361" s="242"/>
      <c r="D361" s="242"/>
      <c r="E361" s="242"/>
      <c r="F361" s="242"/>
      <c r="G361" s="243"/>
      <c r="H361" s="242"/>
      <c r="I361" s="264"/>
      <c r="J361" s="251"/>
      <c r="K361" s="251"/>
      <c r="L361" s="242"/>
      <c r="M361" s="242"/>
      <c r="N361" s="242"/>
      <c r="O361" s="242"/>
      <c r="P361" s="242"/>
      <c r="Q361" s="242"/>
      <c r="R361" s="242"/>
      <c r="S361" s="243"/>
      <c r="T361" s="280"/>
      <c r="U361" s="341"/>
      <c r="V361" s="13"/>
      <c r="W361" s="242"/>
      <c r="X361" s="242"/>
      <c r="Y361" s="242"/>
    </row>
    <row r="362">
      <c r="A362" s="340"/>
      <c r="B362" s="242"/>
      <c r="C362" s="242"/>
      <c r="D362" s="242"/>
      <c r="E362" s="242"/>
      <c r="F362" s="242"/>
      <c r="G362" s="243"/>
      <c r="H362" s="242"/>
      <c r="I362" s="264"/>
      <c r="J362" s="251"/>
      <c r="K362" s="251"/>
      <c r="L362" s="242"/>
      <c r="M362" s="242"/>
      <c r="N362" s="242"/>
      <c r="O362" s="242"/>
      <c r="P362" s="242"/>
      <c r="Q362" s="242"/>
      <c r="R362" s="242"/>
      <c r="S362" s="243"/>
      <c r="T362" s="280"/>
      <c r="U362" s="341"/>
      <c r="V362" s="13"/>
      <c r="W362" s="242"/>
      <c r="X362" s="242"/>
      <c r="Y362" s="242"/>
    </row>
    <row r="363">
      <c r="A363" s="340"/>
      <c r="B363" s="242"/>
      <c r="C363" s="242"/>
      <c r="D363" s="242"/>
      <c r="E363" s="242"/>
      <c r="F363" s="242"/>
      <c r="G363" s="243"/>
      <c r="H363" s="242"/>
      <c r="I363" s="264"/>
      <c r="J363" s="251"/>
      <c r="K363" s="251"/>
      <c r="L363" s="242"/>
      <c r="M363" s="242"/>
      <c r="N363" s="242"/>
      <c r="O363" s="242"/>
      <c r="P363" s="242"/>
      <c r="Q363" s="242"/>
      <c r="R363" s="242"/>
      <c r="S363" s="243"/>
      <c r="T363" s="280"/>
      <c r="U363" s="341"/>
      <c r="V363" s="13"/>
      <c r="W363" s="242"/>
      <c r="X363" s="242"/>
      <c r="Y363" s="242"/>
    </row>
    <row r="364">
      <c r="A364" s="340"/>
      <c r="B364" s="242"/>
      <c r="C364" s="242"/>
      <c r="D364" s="242"/>
      <c r="E364" s="242"/>
      <c r="F364" s="242"/>
      <c r="G364" s="243"/>
      <c r="H364" s="242"/>
      <c r="I364" s="264"/>
      <c r="J364" s="251"/>
      <c r="K364" s="251"/>
      <c r="L364" s="242"/>
      <c r="M364" s="242"/>
      <c r="N364" s="242"/>
      <c r="O364" s="242"/>
      <c r="P364" s="242"/>
      <c r="Q364" s="242"/>
      <c r="R364" s="242"/>
      <c r="S364" s="243"/>
      <c r="T364" s="280"/>
      <c r="U364" s="341"/>
      <c r="V364" s="13"/>
      <c r="W364" s="242"/>
      <c r="X364" s="242"/>
      <c r="Y364" s="242"/>
    </row>
    <row r="365">
      <c r="A365" s="340"/>
      <c r="B365" s="242"/>
      <c r="C365" s="242"/>
      <c r="D365" s="242"/>
      <c r="E365" s="242"/>
      <c r="F365" s="242"/>
      <c r="G365" s="243"/>
      <c r="H365" s="242"/>
      <c r="I365" s="264"/>
      <c r="J365" s="251"/>
      <c r="K365" s="251"/>
      <c r="L365" s="242"/>
      <c r="M365" s="242"/>
      <c r="N365" s="242"/>
      <c r="O365" s="242"/>
      <c r="P365" s="242"/>
      <c r="Q365" s="242"/>
      <c r="R365" s="242"/>
      <c r="S365" s="243"/>
      <c r="T365" s="280"/>
      <c r="U365" s="341"/>
      <c r="V365" s="13"/>
      <c r="W365" s="242"/>
      <c r="X365" s="242"/>
      <c r="Y365" s="242"/>
    </row>
    <row r="366">
      <c r="A366" s="340"/>
      <c r="B366" s="242"/>
      <c r="C366" s="242"/>
      <c r="D366" s="242"/>
      <c r="E366" s="242"/>
      <c r="F366" s="242"/>
      <c r="G366" s="243"/>
      <c r="H366" s="242"/>
      <c r="I366" s="264"/>
      <c r="J366" s="251"/>
      <c r="K366" s="251"/>
      <c r="L366" s="242"/>
      <c r="M366" s="242"/>
      <c r="N366" s="242"/>
      <c r="O366" s="242"/>
      <c r="P366" s="242"/>
      <c r="Q366" s="242"/>
      <c r="R366" s="242"/>
      <c r="S366" s="243"/>
      <c r="T366" s="280"/>
      <c r="U366" s="341"/>
      <c r="V366" s="13"/>
      <c r="W366" s="242"/>
      <c r="X366" s="242"/>
      <c r="Y366" s="242"/>
    </row>
    <row r="367">
      <c r="A367" s="340"/>
      <c r="B367" s="242"/>
      <c r="C367" s="242"/>
      <c r="D367" s="242"/>
      <c r="E367" s="242"/>
      <c r="F367" s="242"/>
      <c r="G367" s="243"/>
      <c r="H367" s="242"/>
      <c r="I367" s="264"/>
      <c r="J367" s="251"/>
      <c r="K367" s="251"/>
      <c r="L367" s="242"/>
      <c r="M367" s="242"/>
      <c r="N367" s="242"/>
      <c r="O367" s="242"/>
      <c r="P367" s="242"/>
      <c r="Q367" s="242"/>
      <c r="R367" s="242"/>
      <c r="S367" s="243"/>
      <c r="T367" s="280"/>
      <c r="U367" s="341"/>
      <c r="V367" s="13"/>
      <c r="W367" s="242"/>
      <c r="X367" s="242"/>
      <c r="Y367" s="242"/>
    </row>
    <row r="368">
      <c r="A368" s="340"/>
      <c r="B368" s="242"/>
      <c r="C368" s="242"/>
      <c r="D368" s="242"/>
      <c r="E368" s="242"/>
      <c r="F368" s="242"/>
      <c r="G368" s="243"/>
      <c r="H368" s="242"/>
      <c r="I368" s="264"/>
      <c r="J368" s="251"/>
      <c r="K368" s="251"/>
      <c r="L368" s="242"/>
      <c r="M368" s="242"/>
      <c r="N368" s="242"/>
      <c r="O368" s="242"/>
      <c r="P368" s="242"/>
      <c r="Q368" s="242"/>
      <c r="R368" s="242"/>
      <c r="S368" s="243"/>
      <c r="T368" s="280"/>
      <c r="U368" s="341"/>
      <c r="V368" s="13"/>
      <c r="W368" s="242"/>
      <c r="X368" s="242"/>
      <c r="Y368" s="242"/>
    </row>
    <row r="369">
      <c r="A369" s="340"/>
      <c r="B369" s="242"/>
      <c r="C369" s="242"/>
      <c r="D369" s="242"/>
      <c r="E369" s="242"/>
      <c r="F369" s="242"/>
      <c r="G369" s="243"/>
      <c r="H369" s="242"/>
      <c r="I369" s="264"/>
      <c r="J369" s="251"/>
      <c r="K369" s="251"/>
      <c r="L369" s="242"/>
      <c r="M369" s="242"/>
      <c r="N369" s="242"/>
      <c r="O369" s="242"/>
      <c r="P369" s="242"/>
      <c r="Q369" s="242"/>
      <c r="R369" s="242"/>
      <c r="S369" s="243"/>
      <c r="T369" s="280"/>
      <c r="U369" s="341"/>
      <c r="V369" s="13"/>
      <c r="W369" s="242"/>
      <c r="X369" s="242"/>
      <c r="Y369" s="242"/>
    </row>
    <row r="370">
      <c r="A370" s="340"/>
      <c r="B370" s="242"/>
      <c r="C370" s="242"/>
      <c r="D370" s="242"/>
      <c r="E370" s="242"/>
      <c r="F370" s="242"/>
      <c r="G370" s="243"/>
      <c r="H370" s="242"/>
      <c r="I370" s="264"/>
      <c r="J370" s="251"/>
      <c r="K370" s="251"/>
      <c r="L370" s="242"/>
      <c r="M370" s="242"/>
      <c r="N370" s="242"/>
      <c r="O370" s="242"/>
      <c r="P370" s="242"/>
      <c r="Q370" s="242"/>
      <c r="R370" s="242"/>
      <c r="S370" s="243"/>
      <c r="T370" s="280"/>
      <c r="U370" s="341"/>
      <c r="V370" s="13"/>
      <c r="W370" s="242"/>
      <c r="X370" s="242"/>
      <c r="Y370" s="242"/>
    </row>
    <row r="371">
      <c r="A371" s="340"/>
      <c r="B371" s="242"/>
      <c r="C371" s="242"/>
      <c r="D371" s="242"/>
      <c r="E371" s="242"/>
      <c r="F371" s="242"/>
      <c r="G371" s="243"/>
      <c r="H371" s="242"/>
      <c r="I371" s="264"/>
      <c r="J371" s="251"/>
      <c r="K371" s="251"/>
      <c r="L371" s="242"/>
      <c r="M371" s="242"/>
      <c r="N371" s="242"/>
      <c r="O371" s="242"/>
      <c r="P371" s="242"/>
      <c r="Q371" s="242"/>
      <c r="R371" s="242"/>
      <c r="S371" s="243"/>
      <c r="T371" s="280"/>
      <c r="U371" s="341"/>
      <c r="V371" s="13"/>
      <c r="W371" s="242"/>
      <c r="X371" s="242"/>
      <c r="Y371" s="242"/>
    </row>
    <row r="372">
      <c r="A372" s="340"/>
      <c r="B372" s="242"/>
      <c r="C372" s="242"/>
      <c r="D372" s="242"/>
      <c r="E372" s="242"/>
      <c r="F372" s="242"/>
      <c r="G372" s="243"/>
      <c r="H372" s="242"/>
      <c r="I372" s="264"/>
      <c r="J372" s="251"/>
      <c r="K372" s="251"/>
      <c r="L372" s="242"/>
      <c r="M372" s="242"/>
      <c r="N372" s="242"/>
      <c r="O372" s="242"/>
      <c r="P372" s="242"/>
      <c r="Q372" s="242"/>
      <c r="R372" s="242"/>
      <c r="S372" s="243"/>
      <c r="T372" s="280"/>
      <c r="U372" s="341"/>
      <c r="V372" s="13"/>
      <c r="W372" s="242"/>
      <c r="X372" s="242"/>
      <c r="Y372" s="242"/>
    </row>
    <row r="373">
      <c r="A373" s="340"/>
      <c r="B373" s="242"/>
      <c r="C373" s="242"/>
      <c r="D373" s="242"/>
      <c r="E373" s="242"/>
      <c r="F373" s="242"/>
      <c r="G373" s="243"/>
      <c r="H373" s="242"/>
      <c r="I373" s="264"/>
      <c r="J373" s="251"/>
      <c r="K373" s="251"/>
      <c r="L373" s="242"/>
      <c r="M373" s="242"/>
      <c r="N373" s="242"/>
      <c r="O373" s="242"/>
      <c r="P373" s="242"/>
      <c r="Q373" s="242"/>
      <c r="R373" s="242"/>
      <c r="S373" s="243"/>
      <c r="T373" s="280"/>
      <c r="U373" s="341"/>
      <c r="V373" s="13"/>
      <c r="W373" s="242"/>
      <c r="X373" s="242"/>
      <c r="Y373" s="242"/>
    </row>
    <row r="374">
      <c r="A374" s="340"/>
      <c r="B374" s="242"/>
      <c r="C374" s="242"/>
      <c r="D374" s="242"/>
      <c r="E374" s="242"/>
      <c r="F374" s="242"/>
      <c r="G374" s="243"/>
      <c r="H374" s="242"/>
      <c r="I374" s="264"/>
      <c r="J374" s="251"/>
      <c r="K374" s="251"/>
      <c r="L374" s="242"/>
      <c r="M374" s="242"/>
      <c r="N374" s="242"/>
      <c r="O374" s="242"/>
      <c r="P374" s="242"/>
      <c r="Q374" s="242"/>
      <c r="R374" s="242"/>
      <c r="S374" s="243"/>
      <c r="T374" s="280"/>
      <c r="U374" s="341"/>
      <c r="V374" s="13"/>
      <c r="W374" s="242"/>
      <c r="X374" s="242"/>
      <c r="Y374" s="242"/>
    </row>
    <row r="375">
      <c r="A375" s="340"/>
      <c r="B375" s="242"/>
      <c r="C375" s="242"/>
      <c r="D375" s="242"/>
      <c r="E375" s="242"/>
      <c r="F375" s="242"/>
      <c r="G375" s="243"/>
      <c r="H375" s="242"/>
      <c r="I375" s="264"/>
      <c r="J375" s="251"/>
      <c r="K375" s="251"/>
      <c r="L375" s="242"/>
      <c r="M375" s="242"/>
      <c r="N375" s="242"/>
      <c r="O375" s="242"/>
      <c r="P375" s="242"/>
      <c r="Q375" s="242"/>
      <c r="R375" s="242"/>
      <c r="S375" s="243"/>
      <c r="T375" s="280"/>
      <c r="U375" s="341"/>
      <c r="V375" s="13"/>
      <c r="W375" s="242"/>
      <c r="X375" s="242"/>
      <c r="Y375" s="242"/>
    </row>
    <row r="376">
      <c r="A376" s="340"/>
      <c r="B376" s="242"/>
      <c r="C376" s="242"/>
      <c r="D376" s="242"/>
      <c r="E376" s="242"/>
      <c r="F376" s="242"/>
      <c r="G376" s="243"/>
      <c r="H376" s="242"/>
      <c r="I376" s="264"/>
      <c r="J376" s="251"/>
      <c r="K376" s="251"/>
      <c r="L376" s="242"/>
      <c r="M376" s="242"/>
      <c r="N376" s="242"/>
      <c r="O376" s="242"/>
      <c r="P376" s="242"/>
      <c r="Q376" s="242"/>
      <c r="R376" s="242"/>
      <c r="S376" s="243"/>
      <c r="T376" s="280"/>
      <c r="U376" s="341"/>
      <c r="V376" s="13"/>
      <c r="W376" s="242"/>
      <c r="X376" s="242"/>
      <c r="Y376" s="242"/>
    </row>
    <row r="377">
      <c r="A377" s="340"/>
      <c r="B377" s="242"/>
      <c r="C377" s="242"/>
      <c r="D377" s="242"/>
      <c r="E377" s="242"/>
      <c r="F377" s="242"/>
      <c r="G377" s="243"/>
      <c r="H377" s="242"/>
      <c r="I377" s="264"/>
      <c r="J377" s="251"/>
      <c r="K377" s="251"/>
      <c r="L377" s="242"/>
      <c r="M377" s="242"/>
      <c r="N377" s="242"/>
      <c r="O377" s="242"/>
      <c r="P377" s="242"/>
      <c r="Q377" s="242"/>
      <c r="R377" s="242"/>
      <c r="S377" s="243"/>
      <c r="T377" s="280"/>
      <c r="U377" s="341"/>
      <c r="V377" s="13"/>
      <c r="W377" s="242"/>
      <c r="X377" s="242"/>
      <c r="Y377" s="242"/>
    </row>
    <row r="378">
      <c r="A378" s="340"/>
      <c r="B378" s="242"/>
      <c r="C378" s="242"/>
      <c r="D378" s="242"/>
      <c r="E378" s="242"/>
      <c r="F378" s="242"/>
      <c r="G378" s="243"/>
      <c r="H378" s="242"/>
      <c r="I378" s="264"/>
      <c r="J378" s="251"/>
      <c r="K378" s="251"/>
      <c r="L378" s="242"/>
      <c r="M378" s="242"/>
      <c r="N378" s="242"/>
      <c r="O378" s="242"/>
      <c r="P378" s="242"/>
      <c r="Q378" s="242"/>
      <c r="R378" s="242"/>
      <c r="S378" s="243"/>
      <c r="T378" s="280"/>
      <c r="U378" s="341"/>
      <c r="V378" s="13"/>
      <c r="W378" s="242"/>
      <c r="X378" s="242"/>
      <c r="Y378" s="242"/>
    </row>
    <row r="379">
      <c r="A379" s="340"/>
      <c r="B379" s="242"/>
      <c r="C379" s="242"/>
      <c r="D379" s="242"/>
      <c r="E379" s="242"/>
      <c r="F379" s="242"/>
      <c r="G379" s="243"/>
      <c r="H379" s="242"/>
      <c r="I379" s="264"/>
      <c r="J379" s="251"/>
      <c r="K379" s="251"/>
      <c r="L379" s="242"/>
      <c r="M379" s="242"/>
      <c r="N379" s="242"/>
      <c r="O379" s="242"/>
      <c r="P379" s="242"/>
      <c r="Q379" s="242"/>
      <c r="R379" s="242"/>
      <c r="S379" s="243"/>
      <c r="T379" s="280"/>
      <c r="U379" s="341"/>
      <c r="V379" s="13"/>
      <c r="W379" s="242"/>
      <c r="X379" s="242"/>
      <c r="Y379" s="242"/>
    </row>
    <row r="380">
      <c r="A380" s="340"/>
      <c r="B380" s="242"/>
      <c r="C380" s="242"/>
      <c r="D380" s="242"/>
      <c r="E380" s="242"/>
      <c r="F380" s="242"/>
      <c r="G380" s="243"/>
      <c r="H380" s="242"/>
      <c r="I380" s="264"/>
      <c r="J380" s="251"/>
      <c r="K380" s="251"/>
      <c r="L380" s="242"/>
      <c r="M380" s="242"/>
      <c r="N380" s="242"/>
      <c r="O380" s="242"/>
      <c r="P380" s="242"/>
      <c r="Q380" s="242"/>
      <c r="R380" s="242"/>
      <c r="S380" s="243"/>
      <c r="T380" s="280"/>
      <c r="U380" s="341"/>
      <c r="V380" s="13"/>
      <c r="W380" s="242"/>
      <c r="X380" s="242"/>
      <c r="Y380" s="242"/>
    </row>
    <row r="381">
      <c r="A381" s="340"/>
      <c r="B381" s="242"/>
      <c r="C381" s="242"/>
      <c r="D381" s="242"/>
      <c r="E381" s="242"/>
      <c r="F381" s="242"/>
      <c r="G381" s="243"/>
      <c r="H381" s="242"/>
      <c r="I381" s="264"/>
      <c r="J381" s="251"/>
      <c r="K381" s="251"/>
      <c r="L381" s="242"/>
      <c r="M381" s="242"/>
      <c r="N381" s="242"/>
      <c r="O381" s="242"/>
      <c r="P381" s="242"/>
      <c r="Q381" s="242"/>
      <c r="R381" s="242"/>
      <c r="S381" s="243"/>
      <c r="T381" s="280"/>
      <c r="U381" s="341"/>
      <c r="V381" s="13"/>
      <c r="W381" s="242"/>
      <c r="X381" s="242"/>
      <c r="Y381" s="242"/>
    </row>
    <row r="382">
      <c r="A382" s="340"/>
      <c r="B382" s="242"/>
      <c r="C382" s="242"/>
      <c r="D382" s="242"/>
      <c r="E382" s="242"/>
      <c r="F382" s="242"/>
      <c r="G382" s="243"/>
      <c r="H382" s="242"/>
      <c r="I382" s="264"/>
      <c r="J382" s="251"/>
      <c r="K382" s="251"/>
      <c r="L382" s="242"/>
      <c r="M382" s="242"/>
      <c r="N382" s="242"/>
      <c r="O382" s="242"/>
      <c r="P382" s="242"/>
      <c r="Q382" s="242"/>
      <c r="R382" s="242"/>
      <c r="S382" s="243"/>
      <c r="T382" s="280"/>
      <c r="U382" s="341"/>
      <c r="V382" s="13"/>
      <c r="W382" s="242"/>
      <c r="X382" s="242"/>
      <c r="Y382" s="242"/>
    </row>
    <row r="383">
      <c r="A383" s="340"/>
      <c r="B383" s="242"/>
      <c r="C383" s="242"/>
      <c r="D383" s="242"/>
      <c r="E383" s="242"/>
      <c r="F383" s="242"/>
      <c r="G383" s="243"/>
      <c r="H383" s="242"/>
      <c r="I383" s="264"/>
      <c r="J383" s="251"/>
      <c r="K383" s="251"/>
      <c r="L383" s="242"/>
      <c r="M383" s="242"/>
      <c r="N383" s="242"/>
      <c r="O383" s="242"/>
      <c r="P383" s="242"/>
      <c r="Q383" s="242"/>
      <c r="R383" s="242"/>
      <c r="S383" s="243"/>
      <c r="T383" s="280"/>
      <c r="U383" s="341"/>
      <c r="V383" s="13"/>
      <c r="W383" s="242"/>
      <c r="X383" s="242"/>
      <c r="Y383" s="242"/>
    </row>
    <row r="384">
      <c r="A384" s="340"/>
      <c r="B384" s="242"/>
      <c r="C384" s="242"/>
      <c r="D384" s="242"/>
      <c r="E384" s="242"/>
      <c r="F384" s="242"/>
      <c r="G384" s="243"/>
      <c r="H384" s="242"/>
      <c r="I384" s="264"/>
      <c r="J384" s="251"/>
      <c r="K384" s="251"/>
      <c r="L384" s="242"/>
      <c r="M384" s="242"/>
      <c r="N384" s="242"/>
      <c r="O384" s="242"/>
      <c r="P384" s="242"/>
      <c r="Q384" s="242"/>
      <c r="R384" s="242"/>
      <c r="S384" s="243"/>
      <c r="T384" s="280"/>
      <c r="U384" s="341"/>
      <c r="V384" s="13"/>
      <c r="W384" s="242"/>
      <c r="X384" s="242"/>
      <c r="Y384" s="242"/>
    </row>
    <row r="385">
      <c r="A385" s="340"/>
      <c r="B385" s="242"/>
      <c r="C385" s="242"/>
      <c r="D385" s="242"/>
      <c r="E385" s="242"/>
      <c r="F385" s="242"/>
      <c r="G385" s="243"/>
      <c r="H385" s="242"/>
      <c r="I385" s="264"/>
      <c r="J385" s="251"/>
      <c r="K385" s="251"/>
      <c r="L385" s="242"/>
      <c r="M385" s="242"/>
      <c r="N385" s="242"/>
      <c r="O385" s="242"/>
      <c r="P385" s="242"/>
      <c r="Q385" s="242"/>
      <c r="R385" s="242"/>
      <c r="S385" s="243"/>
      <c r="T385" s="280"/>
      <c r="U385" s="341"/>
      <c r="V385" s="13"/>
      <c r="W385" s="242"/>
      <c r="X385" s="242"/>
      <c r="Y385" s="242"/>
    </row>
    <row r="386">
      <c r="A386" s="340"/>
      <c r="B386" s="242"/>
      <c r="C386" s="242"/>
      <c r="D386" s="242"/>
      <c r="E386" s="242"/>
      <c r="F386" s="242"/>
      <c r="G386" s="243"/>
      <c r="H386" s="242"/>
      <c r="I386" s="264"/>
      <c r="J386" s="251"/>
      <c r="K386" s="251"/>
      <c r="L386" s="242"/>
      <c r="M386" s="242"/>
      <c r="N386" s="242"/>
      <c r="O386" s="242"/>
      <c r="P386" s="242"/>
      <c r="Q386" s="242"/>
      <c r="R386" s="242"/>
      <c r="S386" s="243"/>
      <c r="T386" s="280"/>
      <c r="U386" s="341"/>
      <c r="V386" s="13"/>
      <c r="W386" s="242"/>
      <c r="X386" s="242"/>
      <c r="Y386" s="242"/>
    </row>
    <row r="387">
      <c r="A387" s="340"/>
      <c r="B387" s="242"/>
      <c r="C387" s="242"/>
      <c r="D387" s="242"/>
      <c r="E387" s="242"/>
      <c r="F387" s="242"/>
      <c r="G387" s="243"/>
      <c r="H387" s="242"/>
      <c r="I387" s="264"/>
      <c r="J387" s="251"/>
      <c r="K387" s="251"/>
      <c r="L387" s="242"/>
      <c r="M387" s="242"/>
      <c r="N387" s="242"/>
      <c r="O387" s="242"/>
      <c r="P387" s="242"/>
      <c r="Q387" s="242"/>
      <c r="R387" s="242"/>
      <c r="S387" s="243"/>
      <c r="T387" s="280"/>
      <c r="U387" s="341"/>
      <c r="V387" s="13"/>
      <c r="W387" s="242"/>
      <c r="X387" s="242"/>
      <c r="Y387" s="242"/>
    </row>
    <row r="388">
      <c r="A388" s="340"/>
      <c r="B388" s="242"/>
      <c r="C388" s="242"/>
      <c r="D388" s="242"/>
      <c r="E388" s="242"/>
      <c r="F388" s="242"/>
      <c r="G388" s="243"/>
      <c r="H388" s="242"/>
      <c r="I388" s="264"/>
      <c r="J388" s="251"/>
      <c r="K388" s="251"/>
      <c r="L388" s="242"/>
      <c r="M388" s="242"/>
      <c r="N388" s="242"/>
      <c r="O388" s="242"/>
      <c r="P388" s="242"/>
      <c r="Q388" s="242"/>
      <c r="R388" s="242"/>
      <c r="S388" s="243"/>
      <c r="T388" s="280"/>
      <c r="U388" s="341"/>
      <c r="V388" s="13"/>
      <c r="W388" s="242"/>
      <c r="X388" s="242"/>
      <c r="Y388" s="242"/>
    </row>
    <row r="389">
      <c r="A389" s="340"/>
      <c r="B389" s="242"/>
      <c r="C389" s="242"/>
      <c r="D389" s="242"/>
      <c r="E389" s="242"/>
      <c r="F389" s="242"/>
      <c r="G389" s="243"/>
      <c r="H389" s="242"/>
      <c r="I389" s="264"/>
      <c r="J389" s="251"/>
      <c r="K389" s="251"/>
      <c r="L389" s="242"/>
      <c r="M389" s="242"/>
      <c r="N389" s="242"/>
      <c r="O389" s="242"/>
      <c r="P389" s="242"/>
      <c r="Q389" s="242"/>
      <c r="R389" s="242"/>
      <c r="S389" s="243"/>
      <c r="T389" s="280"/>
      <c r="U389" s="341"/>
      <c r="V389" s="13"/>
      <c r="W389" s="242"/>
      <c r="X389" s="242"/>
      <c r="Y389" s="242"/>
    </row>
    <row r="390">
      <c r="A390" s="340"/>
      <c r="B390" s="242"/>
      <c r="C390" s="242"/>
      <c r="D390" s="242"/>
      <c r="E390" s="242"/>
      <c r="F390" s="242"/>
      <c r="G390" s="243"/>
      <c r="H390" s="242"/>
      <c r="I390" s="264"/>
      <c r="J390" s="251"/>
      <c r="K390" s="251"/>
      <c r="L390" s="242"/>
      <c r="M390" s="242"/>
      <c r="N390" s="242"/>
      <c r="O390" s="242"/>
      <c r="P390" s="242"/>
      <c r="Q390" s="242"/>
      <c r="R390" s="242"/>
      <c r="S390" s="243"/>
      <c r="T390" s="280"/>
      <c r="U390" s="341"/>
      <c r="V390" s="13"/>
      <c r="W390" s="242"/>
      <c r="X390" s="242"/>
      <c r="Y390" s="242"/>
    </row>
    <row r="391">
      <c r="A391" s="340"/>
      <c r="B391" s="242"/>
      <c r="C391" s="242"/>
      <c r="D391" s="242"/>
      <c r="E391" s="242"/>
      <c r="F391" s="242"/>
      <c r="G391" s="243"/>
      <c r="H391" s="242"/>
      <c r="I391" s="264"/>
      <c r="J391" s="251"/>
      <c r="K391" s="251"/>
      <c r="L391" s="242"/>
      <c r="M391" s="242"/>
      <c r="N391" s="242"/>
      <c r="O391" s="242"/>
      <c r="P391" s="242"/>
      <c r="Q391" s="242"/>
      <c r="R391" s="242"/>
      <c r="S391" s="243"/>
      <c r="T391" s="280"/>
      <c r="U391" s="341"/>
      <c r="V391" s="13"/>
      <c r="W391" s="242"/>
      <c r="X391" s="242"/>
      <c r="Y391" s="242"/>
    </row>
    <row r="392">
      <c r="A392" s="340"/>
      <c r="B392" s="242"/>
      <c r="C392" s="242"/>
      <c r="D392" s="242"/>
      <c r="E392" s="242"/>
      <c r="F392" s="242"/>
      <c r="G392" s="243"/>
      <c r="H392" s="242"/>
      <c r="I392" s="264"/>
      <c r="J392" s="251"/>
      <c r="K392" s="251"/>
      <c r="L392" s="242"/>
      <c r="M392" s="242"/>
      <c r="N392" s="242"/>
      <c r="O392" s="242"/>
      <c r="P392" s="242"/>
      <c r="Q392" s="242"/>
      <c r="R392" s="242"/>
      <c r="S392" s="243"/>
      <c r="T392" s="280"/>
      <c r="U392" s="341"/>
      <c r="V392" s="13"/>
      <c r="W392" s="242"/>
      <c r="X392" s="242"/>
      <c r="Y392" s="242"/>
    </row>
    <row r="393">
      <c r="A393" s="340"/>
      <c r="B393" s="242"/>
      <c r="C393" s="242"/>
      <c r="D393" s="242"/>
      <c r="E393" s="242"/>
      <c r="F393" s="242"/>
      <c r="G393" s="243"/>
      <c r="H393" s="242"/>
      <c r="I393" s="264"/>
      <c r="J393" s="251"/>
      <c r="K393" s="251"/>
      <c r="L393" s="242"/>
      <c r="M393" s="242"/>
      <c r="N393" s="242"/>
      <c r="O393" s="242"/>
      <c r="P393" s="242"/>
      <c r="Q393" s="242"/>
      <c r="R393" s="242"/>
      <c r="S393" s="243"/>
      <c r="T393" s="280"/>
      <c r="U393" s="341"/>
      <c r="V393" s="13"/>
      <c r="W393" s="242"/>
      <c r="X393" s="242"/>
      <c r="Y393" s="242"/>
    </row>
    <row r="394">
      <c r="A394" s="340"/>
      <c r="B394" s="242"/>
      <c r="C394" s="242"/>
      <c r="D394" s="242"/>
      <c r="E394" s="242"/>
      <c r="F394" s="242"/>
      <c r="G394" s="243"/>
      <c r="H394" s="242"/>
      <c r="I394" s="264"/>
      <c r="J394" s="251"/>
      <c r="K394" s="251"/>
      <c r="L394" s="242"/>
      <c r="M394" s="242"/>
      <c r="N394" s="242"/>
      <c r="O394" s="242"/>
      <c r="P394" s="242"/>
      <c r="Q394" s="242"/>
      <c r="R394" s="242"/>
      <c r="S394" s="243"/>
      <c r="T394" s="280"/>
      <c r="U394" s="341"/>
      <c r="V394" s="13"/>
      <c r="W394" s="242"/>
      <c r="X394" s="242"/>
      <c r="Y394" s="242"/>
    </row>
    <row r="395">
      <c r="A395" s="340"/>
      <c r="B395" s="242"/>
      <c r="C395" s="242"/>
      <c r="D395" s="242"/>
      <c r="E395" s="242"/>
      <c r="F395" s="242"/>
      <c r="G395" s="243"/>
      <c r="H395" s="242"/>
      <c r="I395" s="264"/>
      <c r="J395" s="251"/>
      <c r="K395" s="251"/>
      <c r="L395" s="242"/>
      <c r="M395" s="242"/>
      <c r="N395" s="242"/>
      <c r="O395" s="242"/>
      <c r="P395" s="242"/>
      <c r="Q395" s="242"/>
      <c r="R395" s="242"/>
      <c r="S395" s="243"/>
      <c r="T395" s="280"/>
      <c r="U395" s="341"/>
      <c r="V395" s="13"/>
      <c r="W395" s="242"/>
      <c r="X395" s="242"/>
      <c r="Y395" s="242"/>
    </row>
    <row r="396">
      <c r="A396" s="340"/>
      <c r="B396" s="242"/>
      <c r="C396" s="242"/>
      <c r="D396" s="242"/>
      <c r="E396" s="242"/>
      <c r="F396" s="242"/>
      <c r="G396" s="243"/>
      <c r="H396" s="242"/>
      <c r="I396" s="264"/>
      <c r="J396" s="251"/>
      <c r="K396" s="251"/>
      <c r="L396" s="242"/>
      <c r="M396" s="242"/>
      <c r="N396" s="242"/>
      <c r="O396" s="242"/>
      <c r="P396" s="242"/>
      <c r="Q396" s="242"/>
      <c r="R396" s="242"/>
      <c r="S396" s="243"/>
      <c r="T396" s="280"/>
      <c r="U396" s="341"/>
      <c r="V396" s="13"/>
      <c r="W396" s="242"/>
      <c r="X396" s="242"/>
      <c r="Y396" s="242"/>
    </row>
    <row r="397">
      <c r="A397" s="340"/>
      <c r="B397" s="242"/>
      <c r="C397" s="242"/>
      <c r="D397" s="242"/>
      <c r="E397" s="242"/>
      <c r="F397" s="242"/>
      <c r="G397" s="243"/>
      <c r="H397" s="242"/>
      <c r="I397" s="264"/>
      <c r="J397" s="251"/>
      <c r="K397" s="251"/>
      <c r="L397" s="242"/>
      <c r="M397" s="242"/>
      <c r="N397" s="242"/>
      <c r="O397" s="242"/>
      <c r="P397" s="242"/>
      <c r="Q397" s="242"/>
      <c r="R397" s="242"/>
      <c r="S397" s="243"/>
      <c r="T397" s="280"/>
      <c r="U397" s="341"/>
      <c r="V397" s="13"/>
      <c r="W397" s="242"/>
      <c r="X397" s="242"/>
      <c r="Y397" s="242"/>
    </row>
    <row r="398">
      <c r="A398" s="340"/>
      <c r="B398" s="242"/>
      <c r="C398" s="242"/>
      <c r="D398" s="242"/>
      <c r="E398" s="242"/>
      <c r="F398" s="242"/>
      <c r="G398" s="243"/>
      <c r="H398" s="242"/>
      <c r="I398" s="264"/>
      <c r="J398" s="251"/>
      <c r="K398" s="251"/>
      <c r="L398" s="242"/>
      <c r="M398" s="242"/>
      <c r="N398" s="242"/>
      <c r="O398" s="242"/>
      <c r="P398" s="242"/>
      <c r="Q398" s="242"/>
      <c r="R398" s="242"/>
      <c r="S398" s="243"/>
      <c r="T398" s="280"/>
      <c r="U398" s="341"/>
      <c r="V398" s="13"/>
      <c r="W398" s="242"/>
      <c r="X398" s="242"/>
      <c r="Y398" s="242"/>
    </row>
    <row r="399">
      <c r="A399" s="340"/>
      <c r="B399" s="242"/>
      <c r="C399" s="242"/>
      <c r="D399" s="242"/>
      <c r="E399" s="242"/>
      <c r="F399" s="242"/>
      <c r="G399" s="243"/>
      <c r="H399" s="242"/>
      <c r="I399" s="264"/>
      <c r="J399" s="251"/>
      <c r="K399" s="251"/>
      <c r="L399" s="242"/>
      <c r="M399" s="242"/>
      <c r="N399" s="242"/>
      <c r="O399" s="242"/>
      <c r="P399" s="242"/>
      <c r="Q399" s="242"/>
      <c r="R399" s="242"/>
      <c r="S399" s="243"/>
      <c r="T399" s="280"/>
      <c r="U399" s="341"/>
      <c r="V399" s="13"/>
      <c r="W399" s="242"/>
      <c r="X399" s="242"/>
      <c r="Y399" s="242"/>
    </row>
    <row r="400">
      <c r="A400" s="340"/>
      <c r="B400" s="242"/>
      <c r="C400" s="242"/>
      <c r="D400" s="242"/>
      <c r="E400" s="242"/>
      <c r="F400" s="242"/>
      <c r="G400" s="243"/>
      <c r="H400" s="242"/>
      <c r="I400" s="264"/>
      <c r="J400" s="251"/>
      <c r="K400" s="251"/>
      <c r="L400" s="242"/>
      <c r="M400" s="242"/>
      <c r="N400" s="242"/>
      <c r="O400" s="242"/>
      <c r="P400" s="242"/>
      <c r="Q400" s="242"/>
      <c r="R400" s="242"/>
      <c r="S400" s="243"/>
      <c r="T400" s="280"/>
      <c r="U400" s="341"/>
      <c r="V400" s="13"/>
      <c r="W400" s="242"/>
      <c r="X400" s="242"/>
      <c r="Y400" s="242"/>
    </row>
    <row r="401">
      <c r="A401" s="340"/>
      <c r="B401" s="242"/>
      <c r="C401" s="242"/>
      <c r="D401" s="242"/>
      <c r="E401" s="242"/>
      <c r="F401" s="242"/>
      <c r="G401" s="243"/>
      <c r="H401" s="242"/>
      <c r="I401" s="264"/>
      <c r="J401" s="251"/>
      <c r="K401" s="251"/>
      <c r="L401" s="242"/>
      <c r="M401" s="242"/>
      <c r="N401" s="242"/>
      <c r="O401" s="242"/>
      <c r="P401" s="242"/>
      <c r="Q401" s="242"/>
      <c r="R401" s="242"/>
      <c r="S401" s="243"/>
      <c r="T401" s="280"/>
      <c r="U401" s="341"/>
      <c r="V401" s="13"/>
      <c r="W401" s="242"/>
      <c r="X401" s="242"/>
      <c r="Y401" s="242"/>
    </row>
    <row r="402">
      <c r="A402" s="340"/>
      <c r="B402" s="242"/>
      <c r="C402" s="242"/>
      <c r="D402" s="242"/>
      <c r="E402" s="242"/>
      <c r="F402" s="242"/>
      <c r="G402" s="243"/>
      <c r="H402" s="242"/>
      <c r="I402" s="264"/>
      <c r="J402" s="251"/>
      <c r="K402" s="251"/>
      <c r="L402" s="242"/>
      <c r="M402" s="242"/>
      <c r="N402" s="242"/>
      <c r="O402" s="242"/>
      <c r="P402" s="242"/>
      <c r="Q402" s="242"/>
      <c r="R402" s="242"/>
      <c r="S402" s="243"/>
      <c r="T402" s="280"/>
      <c r="U402" s="341"/>
      <c r="V402" s="13"/>
      <c r="W402" s="242"/>
      <c r="X402" s="242"/>
      <c r="Y402" s="242"/>
    </row>
    <row r="403">
      <c r="A403" s="340"/>
      <c r="B403" s="242"/>
      <c r="C403" s="242"/>
      <c r="D403" s="242"/>
      <c r="E403" s="242"/>
      <c r="F403" s="242"/>
      <c r="G403" s="243"/>
      <c r="H403" s="242"/>
      <c r="I403" s="264"/>
      <c r="J403" s="251"/>
      <c r="K403" s="251"/>
      <c r="L403" s="242"/>
      <c r="M403" s="242"/>
      <c r="N403" s="242"/>
      <c r="O403" s="242"/>
      <c r="P403" s="242"/>
      <c r="Q403" s="242"/>
      <c r="R403" s="242"/>
      <c r="S403" s="243"/>
      <c r="T403" s="280"/>
      <c r="U403" s="341"/>
      <c r="V403" s="13"/>
      <c r="W403" s="242"/>
      <c r="X403" s="242"/>
      <c r="Y403" s="242"/>
    </row>
    <row r="404">
      <c r="A404" s="340"/>
      <c r="B404" s="242"/>
      <c r="C404" s="242"/>
      <c r="D404" s="242"/>
      <c r="E404" s="242"/>
      <c r="F404" s="242"/>
      <c r="G404" s="243"/>
      <c r="H404" s="242"/>
      <c r="I404" s="264"/>
      <c r="J404" s="251"/>
      <c r="K404" s="251"/>
      <c r="L404" s="242"/>
      <c r="M404" s="242"/>
      <c r="N404" s="242"/>
      <c r="O404" s="242"/>
      <c r="P404" s="242"/>
      <c r="Q404" s="242"/>
      <c r="R404" s="242"/>
      <c r="S404" s="243"/>
      <c r="T404" s="280"/>
      <c r="U404" s="341"/>
      <c r="V404" s="13"/>
      <c r="W404" s="242"/>
      <c r="X404" s="242"/>
      <c r="Y404" s="242"/>
    </row>
    <row r="405">
      <c r="A405" s="340"/>
      <c r="B405" s="242"/>
      <c r="C405" s="242"/>
      <c r="D405" s="242"/>
      <c r="E405" s="242"/>
      <c r="F405" s="242"/>
      <c r="G405" s="243"/>
      <c r="H405" s="242"/>
      <c r="I405" s="264"/>
      <c r="J405" s="251"/>
      <c r="K405" s="251"/>
      <c r="L405" s="242"/>
      <c r="M405" s="242"/>
      <c r="N405" s="242"/>
      <c r="O405" s="242"/>
      <c r="P405" s="242"/>
      <c r="Q405" s="242"/>
      <c r="R405" s="242"/>
      <c r="S405" s="243"/>
      <c r="T405" s="280"/>
      <c r="U405" s="341"/>
      <c r="V405" s="13"/>
      <c r="W405" s="242"/>
      <c r="X405" s="242"/>
      <c r="Y405" s="242"/>
    </row>
    <row r="406">
      <c r="A406" s="340"/>
      <c r="B406" s="242"/>
      <c r="C406" s="242"/>
      <c r="D406" s="242"/>
      <c r="E406" s="242"/>
      <c r="F406" s="242"/>
      <c r="G406" s="243"/>
      <c r="H406" s="242"/>
      <c r="I406" s="264"/>
      <c r="J406" s="251"/>
      <c r="K406" s="251"/>
      <c r="L406" s="242"/>
      <c r="M406" s="242"/>
      <c r="N406" s="242"/>
      <c r="O406" s="242"/>
      <c r="P406" s="242"/>
      <c r="Q406" s="242"/>
      <c r="R406" s="242"/>
      <c r="S406" s="243"/>
      <c r="T406" s="280"/>
      <c r="U406" s="341"/>
      <c r="V406" s="13"/>
      <c r="W406" s="242"/>
      <c r="X406" s="242"/>
      <c r="Y406" s="242"/>
    </row>
    <row r="407">
      <c r="A407" s="340"/>
      <c r="B407" s="242"/>
      <c r="C407" s="242"/>
      <c r="D407" s="242"/>
      <c r="E407" s="242"/>
      <c r="F407" s="242"/>
      <c r="G407" s="243"/>
      <c r="H407" s="242"/>
      <c r="I407" s="264"/>
      <c r="J407" s="251"/>
      <c r="K407" s="251"/>
      <c r="L407" s="242"/>
      <c r="M407" s="242"/>
      <c r="N407" s="242"/>
      <c r="O407" s="242"/>
      <c r="P407" s="242"/>
      <c r="Q407" s="242"/>
      <c r="R407" s="242"/>
      <c r="S407" s="243"/>
      <c r="T407" s="280"/>
      <c r="U407" s="341"/>
      <c r="V407" s="13"/>
      <c r="W407" s="242"/>
      <c r="X407" s="242"/>
      <c r="Y407" s="242"/>
    </row>
    <row r="408">
      <c r="A408" s="340"/>
      <c r="B408" s="242"/>
      <c r="C408" s="242"/>
      <c r="D408" s="242"/>
      <c r="E408" s="242"/>
      <c r="F408" s="242"/>
      <c r="G408" s="243"/>
      <c r="H408" s="242"/>
      <c r="I408" s="264"/>
      <c r="J408" s="251"/>
      <c r="K408" s="251"/>
      <c r="L408" s="242"/>
      <c r="M408" s="242"/>
      <c r="N408" s="242"/>
      <c r="O408" s="242"/>
      <c r="P408" s="242"/>
      <c r="Q408" s="242"/>
      <c r="R408" s="242"/>
      <c r="S408" s="243"/>
      <c r="T408" s="280"/>
      <c r="U408" s="341"/>
      <c r="V408" s="13"/>
      <c r="W408" s="242"/>
      <c r="X408" s="242"/>
      <c r="Y408" s="242"/>
    </row>
    <row r="409">
      <c r="A409" s="340"/>
      <c r="B409" s="242"/>
      <c r="C409" s="242"/>
      <c r="D409" s="242"/>
      <c r="E409" s="242"/>
      <c r="F409" s="242"/>
      <c r="G409" s="243"/>
      <c r="H409" s="242"/>
      <c r="I409" s="264"/>
      <c r="J409" s="251"/>
      <c r="K409" s="251"/>
      <c r="L409" s="242"/>
      <c r="M409" s="242"/>
      <c r="N409" s="242"/>
      <c r="O409" s="242"/>
      <c r="P409" s="242"/>
      <c r="Q409" s="242"/>
      <c r="R409" s="242"/>
      <c r="S409" s="243"/>
      <c r="T409" s="280"/>
      <c r="U409" s="341"/>
      <c r="V409" s="13"/>
      <c r="W409" s="242"/>
      <c r="X409" s="242"/>
      <c r="Y409" s="242"/>
    </row>
    <row r="410">
      <c r="A410" s="340"/>
      <c r="B410" s="242"/>
      <c r="C410" s="242"/>
      <c r="D410" s="242"/>
      <c r="E410" s="242"/>
      <c r="F410" s="242"/>
      <c r="G410" s="243"/>
      <c r="H410" s="242"/>
      <c r="I410" s="264"/>
      <c r="J410" s="251"/>
      <c r="K410" s="251"/>
      <c r="L410" s="242"/>
      <c r="M410" s="242"/>
      <c r="N410" s="242"/>
      <c r="O410" s="242"/>
      <c r="P410" s="242"/>
      <c r="Q410" s="242"/>
      <c r="R410" s="242"/>
      <c r="S410" s="243"/>
      <c r="T410" s="280"/>
      <c r="U410" s="341"/>
      <c r="V410" s="13"/>
      <c r="W410" s="242"/>
      <c r="X410" s="242"/>
      <c r="Y410" s="242"/>
    </row>
    <row r="411">
      <c r="A411" s="340"/>
      <c r="B411" s="242"/>
      <c r="C411" s="242"/>
      <c r="D411" s="242"/>
      <c r="E411" s="242"/>
      <c r="F411" s="242"/>
      <c r="G411" s="243"/>
      <c r="H411" s="242"/>
      <c r="I411" s="264"/>
      <c r="J411" s="251"/>
      <c r="K411" s="251"/>
      <c r="L411" s="242"/>
      <c r="M411" s="242"/>
      <c r="N411" s="242"/>
      <c r="O411" s="242"/>
      <c r="P411" s="242"/>
      <c r="Q411" s="242"/>
      <c r="R411" s="242"/>
      <c r="S411" s="243"/>
      <c r="T411" s="280"/>
      <c r="U411" s="341"/>
      <c r="V411" s="13"/>
      <c r="W411" s="242"/>
      <c r="X411" s="242"/>
      <c r="Y411" s="242"/>
    </row>
    <row r="412">
      <c r="A412" s="340"/>
      <c r="B412" s="242"/>
      <c r="C412" s="242"/>
      <c r="D412" s="242"/>
      <c r="E412" s="242"/>
      <c r="F412" s="242"/>
      <c r="G412" s="243"/>
      <c r="H412" s="242"/>
      <c r="I412" s="264"/>
      <c r="J412" s="251"/>
      <c r="K412" s="251"/>
      <c r="L412" s="242"/>
      <c r="M412" s="242"/>
      <c r="N412" s="242"/>
      <c r="O412" s="242"/>
      <c r="P412" s="242"/>
      <c r="Q412" s="242"/>
      <c r="R412" s="242"/>
      <c r="S412" s="243"/>
      <c r="T412" s="280"/>
      <c r="U412" s="341"/>
      <c r="V412" s="13"/>
      <c r="W412" s="242"/>
      <c r="X412" s="242"/>
      <c r="Y412" s="242"/>
    </row>
    <row r="413">
      <c r="A413" s="340"/>
      <c r="B413" s="242"/>
      <c r="C413" s="242"/>
      <c r="D413" s="242"/>
      <c r="E413" s="242"/>
      <c r="F413" s="242"/>
      <c r="G413" s="243"/>
      <c r="H413" s="242"/>
      <c r="I413" s="264"/>
      <c r="J413" s="251"/>
      <c r="K413" s="251"/>
      <c r="L413" s="242"/>
      <c r="M413" s="242"/>
      <c r="N413" s="242"/>
      <c r="O413" s="242"/>
      <c r="P413" s="242"/>
      <c r="Q413" s="242"/>
      <c r="R413" s="242"/>
      <c r="S413" s="243"/>
      <c r="T413" s="280"/>
      <c r="U413" s="341"/>
      <c r="V413" s="13"/>
      <c r="W413" s="242"/>
      <c r="X413" s="242"/>
      <c r="Y413" s="242"/>
    </row>
    <row r="414">
      <c r="A414" s="340"/>
      <c r="B414" s="242"/>
      <c r="C414" s="242"/>
      <c r="D414" s="242"/>
      <c r="E414" s="242"/>
      <c r="F414" s="242"/>
      <c r="G414" s="243"/>
      <c r="H414" s="242"/>
      <c r="I414" s="264"/>
      <c r="J414" s="251"/>
      <c r="K414" s="251"/>
      <c r="L414" s="242"/>
      <c r="M414" s="242"/>
      <c r="N414" s="242"/>
      <c r="O414" s="242"/>
      <c r="P414" s="242"/>
      <c r="Q414" s="242"/>
      <c r="R414" s="242"/>
      <c r="S414" s="243"/>
      <c r="T414" s="280"/>
      <c r="U414" s="341"/>
      <c r="V414" s="13"/>
      <c r="W414" s="242"/>
      <c r="X414" s="242"/>
      <c r="Y414" s="242"/>
    </row>
    <row r="415">
      <c r="A415" s="340"/>
      <c r="B415" s="242"/>
      <c r="C415" s="242"/>
      <c r="D415" s="242"/>
      <c r="E415" s="242"/>
      <c r="F415" s="242"/>
      <c r="G415" s="243"/>
      <c r="H415" s="242"/>
      <c r="I415" s="264"/>
      <c r="J415" s="251"/>
      <c r="K415" s="251"/>
      <c r="L415" s="242"/>
      <c r="M415" s="242"/>
      <c r="N415" s="242"/>
      <c r="O415" s="242"/>
      <c r="P415" s="242"/>
      <c r="Q415" s="242"/>
      <c r="R415" s="242"/>
      <c r="S415" s="243"/>
      <c r="T415" s="280"/>
      <c r="U415" s="341"/>
      <c r="V415" s="13"/>
      <c r="W415" s="242"/>
      <c r="X415" s="242"/>
      <c r="Y415" s="242"/>
    </row>
    <row r="416">
      <c r="A416" s="340"/>
      <c r="B416" s="242"/>
      <c r="C416" s="242"/>
      <c r="D416" s="242"/>
      <c r="E416" s="242"/>
      <c r="F416" s="242"/>
      <c r="G416" s="243"/>
      <c r="H416" s="242"/>
      <c r="I416" s="264"/>
      <c r="J416" s="251"/>
      <c r="K416" s="251"/>
      <c r="L416" s="242"/>
      <c r="M416" s="242"/>
      <c r="N416" s="242"/>
      <c r="O416" s="242"/>
      <c r="P416" s="242"/>
      <c r="Q416" s="242"/>
      <c r="R416" s="242"/>
      <c r="S416" s="243"/>
      <c r="T416" s="280"/>
      <c r="U416" s="341"/>
      <c r="V416" s="13"/>
      <c r="W416" s="242"/>
      <c r="X416" s="242"/>
      <c r="Y416" s="242"/>
    </row>
    <row r="417">
      <c r="A417" s="340"/>
      <c r="B417" s="242"/>
      <c r="C417" s="242"/>
      <c r="D417" s="242"/>
      <c r="E417" s="242"/>
      <c r="F417" s="242"/>
      <c r="G417" s="243"/>
      <c r="H417" s="242"/>
      <c r="I417" s="264"/>
      <c r="J417" s="251"/>
      <c r="K417" s="251"/>
      <c r="L417" s="242"/>
      <c r="M417" s="242"/>
      <c r="N417" s="242"/>
      <c r="O417" s="242"/>
      <c r="P417" s="242"/>
      <c r="Q417" s="242"/>
      <c r="R417" s="242"/>
      <c r="S417" s="243"/>
      <c r="T417" s="280"/>
      <c r="U417" s="341"/>
      <c r="V417" s="13"/>
      <c r="W417" s="242"/>
      <c r="X417" s="242"/>
      <c r="Y417" s="242"/>
    </row>
    <row r="418">
      <c r="A418" s="340"/>
      <c r="B418" s="242"/>
      <c r="C418" s="242"/>
      <c r="D418" s="242"/>
      <c r="E418" s="242"/>
      <c r="F418" s="242"/>
      <c r="G418" s="243"/>
      <c r="H418" s="242"/>
      <c r="I418" s="264"/>
      <c r="J418" s="251"/>
      <c r="K418" s="251"/>
      <c r="L418" s="242"/>
      <c r="M418" s="242"/>
      <c r="N418" s="242"/>
      <c r="O418" s="242"/>
      <c r="P418" s="242"/>
      <c r="Q418" s="242"/>
      <c r="R418" s="242"/>
      <c r="S418" s="243"/>
      <c r="T418" s="280"/>
      <c r="U418" s="341"/>
      <c r="V418" s="13"/>
      <c r="W418" s="242"/>
      <c r="X418" s="242"/>
      <c r="Y418" s="242"/>
    </row>
    <row r="419">
      <c r="A419" s="340"/>
      <c r="B419" s="242"/>
      <c r="C419" s="242"/>
      <c r="D419" s="242"/>
      <c r="E419" s="242"/>
      <c r="F419" s="242"/>
      <c r="G419" s="243"/>
      <c r="H419" s="242"/>
      <c r="I419" s="264"/>
      <c r="J419" s="251"/>
      <c r="K419" s="251"/>
      <c r="L419" s="242"/>
      <c r="M419" s="242"/>
      <c r="N419" s="242"/>
      <c r="O419" s="242"/>
      <c r="P419" s="242"/>
      <c r="Q419" s="242"/>
      <c r="R419" s="242"/>
      <c r="S419" s="243"/>
      <c r="T419" s="280"/>
      <c r="U419" s="341"/>
      <c r="V419" s="13"/>
      <c r="W419" s="242"/>
      <c r="X419" s="242"/>
      <c r="Y419" s="242"/>
    </row>
    <row r="420">
      <c r="A420" s="340"/>
      <c r="B420" s="242"/>
      <c r="C420" s="242"/>
      <c r="D420" s="242"/>
      <c r="E420" s="242"/>
      <c r="F420" s="242"/>
      <c r="G420" s="243"/>
      <c r="H420" s="242"/>
      <c r="I420" s="264"/>
      <c r="J420" s="251"/>
      <c r="K420" s="251"/>
      <c r="L420" s="242"/>
      <c r="M420" s="242"/>
      <c r="N420" s="242"/>
      <c r="O420" s="242"/>
      <c r="P420" s="242"/>
      <c r="Q420" s="242"/>
      <c r="R420" s="242"/>
      <c r="S420" s="243"/>
      <c r="T420" s="280"/>
      <c r="U420" s="341"/>
      <c r="V420" s="13"/>
      <c r="W420" s="242"/>
      <c r="X420" s="242"/>
      <c r="Y420" s="242"/>
    </row>
    <row r="421">
      <c r="A421" s="340"/>
      <c r="B421" s="242"/>
      <c r="C421" s="242"/>
      <c r="D421" s="242"/>
      <c r="E421" s="242"/>
      <c r="F421" s="242"/>
      <c r="G421" s="243"/>
      <c r="H421" s="242"/>
      <c r="I421" s="264"/>
      <c r="J421" s="251"/>
      <c r="K421" s="251"/>
      <c r="L421" s="242"/>
      <c r="M421" s="242"/>
      <c r="N421" s="242"/>
      <c r="O421" s="242"/>
      <c r="P421" s="242"/>
      <c r="Q421" s="242"/>
      <c r="R421" s="242"/>
      <c r="S421" s="243"/>
      <c r="T421" s="280"/>
      <c r="U421" s="341"/>
      <c r="V421" s="13"/>
      <c r="W421" s="242"/>
      <c r="X421" s="242"/>
      <c r="Y421" s="242"/>
    </row>
    <row r="422">
      <c r="A422" s="340"/>
      <c r="B422" s="242"/>
      <c r="C422" s="242"/>
      <c r="D422" s="242"/>
      <c r="E422" s="242"/>
      <c r="F422" s="242"/>
      <c r="G422" s="243"/>
      <c r="H422" s="242"/>
      <c r="I422" s="264"/>
      <c r="J422" s="251"/>
      <c r="K422" s="251"/>
      <c r="L422" s="242"/>
      <c r="M422" s="242"/>
      <c r="N422" s="242"/>
      <c r="O422" s="242"/>
      <c r="P422" s="242"/>
      <c r="Q422" s="242"/>
      <c r="R422" s="242"/>
      <c r="S422" s="243"/>
      <c r="T422" s="280"/>
      <c r="U422" s="341"/>
      <c r="V422" s="13"/>
      <c r="W422" s="242"/>
      <c r="X422" s="242"/>
      <c r="Y422" s="242"/>
    </row>
    <row r="423">
      <c r="A423" s="340"/>
      <c r="B423" s="242"/>
      <c r="C423" s="242"/>
      <c r="D423" s="242"/>
      <c r="E423" s="242"/>
      <c r="F423" s="242"/>
      <c r="G423" s="243"/>
      <c r="H423" s="242"/>
      <c r="I423" s="264"/>
      <c r="J423" s="251"/>
      <c r="K423" s="251"/>
      <c r="L423" s="242"/>
      <c r="M423" s="242"/>
      <c r="N423" s="242"/>
      <c r="O423" s="242"/>
      <c r="P423" s="242"/>
      <c r="Q423" s="242"/>
      <c r="R423" s="242"/>
      <c r="S423" s="243"/>
      <c r="T423" s="280"/>
      <c r="U423" s="341"/>
      <c r="V423" s="13"/>
      <c r="W423" s="242"/>
      <c r="X423" s="242"/>
      <c r="Y423" s="242"/>
    </row>
    <row r="424">
      <c r="A424" s="340"/>
      <c r="B424" s="242"/>
      <c r="C424" s="242"/>
      <c r="D424" s="242"/>
      <c r="E424" s="242"/>
      <c r="F424" s="242"/>
      <c r="G424" s="243"/>
      <c r="H424" s="242"/>
      <c r="I424" s="264"/>
      <c r="J424" s="251"/>
      <c r="K424" s="251"/>
      <c r="L424" s="242"/>
      <c r="M424" s="242"/>
      <c r="N424" s="242"/>
      <c r="O424" s="242"/>
      <c r="P424" s="242"/>
      <c r="Q424" s="242"/>
      <c r="R424" s="242"/>
      <c r="S424" s="243"/>
      <c r="T424" s="280"/>
      <c r="U424" s="341"/>
      <c r="V424" s="13"/>
      <c r="W424" s="242"/>
      <c r="X424" s="242"/>
      <c r="Y424" s="242"/>
    </row>
    <row r="425">
      <c r="A425" s="340"/>
      <c r="B425" s="242"/>
      <c r="C425" s="242"/>
      <c r="D425" s="242"/>
      <c r="E425" s="242"/>
      <c r="F425" s="242"/>
      <c r="G425" s="243"/>
      <c r="H425" s="242"/>
      <c r="I425" s="264"/>
      <c r="J425" s="251"/>
      <c r="K425" s="251"/>
      <c r="L425" s="242"/>
      <c r="M425" s="242"/>
      <c r="N425" s="242"/>
      <c r="O425" s="242"/>
      <c r="P425" s="242"/>
      <c r="Q425" s="242"/>
      <c r="R425" s="242"/>
      <c r="S425" s="243"/>
      <c r="T425" s="280"/>
      <c r="U425" s="341"/>
      <c r="V425" s="13"/>
      <c r="W425" s="242"/>
      <c r="X425" s="242"/>
      <c r="Y425" s="242"/>
    </row>
    <row r="426">
      <c r="A426" s="340"/>
      <c r="B426" s="242"/>
      <c r="C426" s="242"/>
      <c r="D426" s="242"/>
      <c r="E426" s="242"/>
      <c r="F426" s="242"/>
      <c r="G426" s="243"/>
      <c r="H426" s="242"/>
      <c r="I426" s="264"/>
      <c r="J426" s="251"/>
      <c r="K426" s="251"/>
      <c r="L426" s="242"/>
      <c r="M426" s="242"/>
      <c r="N426" s="242"/>
      <c r="O426" s="242"/>
      <c r="P426" s="242"/>
      <c r="Q426" s="242"/>
      <c r="R426" s="242"/>
      <c r="S426" s="243"/>
      <c r="T426" s="280"/>
      <c r="U426" s="341"/>
      <c r="V426" s="13"/>
      <c r="W426" s="242"/>
      <c r="X426" s="242"/>
      <c r="Y426" s="242"/>
    </row>
    <row r="427">
      <c r="A427" s="340"/>
      <c r="B427" s="242"/>
      <c r="C427" s="242"/>
      <c r="D427" s="242"/>
      <c r="E427" s="242"/>
      <c r="F427" s="242"/>
      <c r="G427" s="243"/>
      <c r="H427" s="242"/>
      <c r="I427" s="264"/>
      <c r="J427" s="251"/>
      <c r="K427" s="251"/>
      <c r="L427" s="242"/>
      <c r="M427" s="242"/>
      <c r="N427" s="242"/>
      <c r="O427" s="242"/>
      <c r="P427" s="242"/>
      <c r="Q427" s="242"/>
      <c r="R427" s="242"/>
      <c r="S427" s="243"/>
      <c r="T427" s="280"/>
      <c r="U427" s="341"/>
      <c r="V427" s="13"/>
      <c r="W427" s="242"/>
      <c r="X427" s="242"/>
      <c r="Y427" s="242"/>
    </row>
    <row r="428">
      <c r="A428" s="340"/>
      <c r="B428" s="242"/>
      <c r="C428" s="242"/>
      <c r="D428" s="242"/>
      <c r="E428" s="242"/>
      <c r="F428" s="242"/>
      <c r="G428" s="243"/>
      <c r="H428" s="242"/>
      <c r="I428" s="264"/>
      <c r="J428" s="251"/>
      <c r="K428" s="251"/>
      <c r="L428" s="242"/>
      <c r="M428" s="242"/>
      <c r="N428" s="242"/>
      <c r="O428" s="242"/>
      <c r="P428" s="242"/>
      <c r="Q428" s="242"/>
      <c r="R428" s="242"/>
      <c r="S428" s="243"/>
      <c r="T428" s="280"/>
      <c r="U428" s="341"/>
      <c r="V428" s="13"/>
      <c r="W428" s="242"/>
      <c r="X428" s="242"/>
      <c r="Y428" s="242"/>
    </row>
    <row r="429">
      <c r="A429" s="340"/>
      <c r="B429" s="242"/>
      <c r="C429" s="242"/>
      <c r="D429" s="242"/>
      <c r="E429" s="242"/>
      <c r="F429" s="242"/>
      <c r="G429" s="243"/>
      <c r="H429" s="242"/>
      <c r="I429" s="264"/>
      <c r="J429" s="251"/>
      <c r="K429" s="251"/>
      <c r="L429" s="242"/>
      <c r="M429" s="242"/>
      <c r="N429" s="242"/>
      <c r="O429" s="242"/>
      <c r="P429" s="242"/>
      <c r="Q429" s="242"/>
      <c r="R429" s="242"/>
      <c r="S429" s="243"/>
      <c r="T429" s="280"/>
      <c r="U429" s="341"/>
      <c r="V429" s="13"/>
      <c r="W429" s="242"/>
      <c r="X429" s="242"/>
      <c r="Y429" s="242"/>
    </row>
    <row r="430">
      <c r="A430" s="340"/>
      <c r="B430" s="242"/>
      <c r="C430" s="242"/>
      <c r="D430" s="242"/>
      <c r="E430" s="242"/>
      <c r="F430" s="242"/>
      <c r="G430" s="243"/>
      <c r="H430" s="242"/>
      <c r="I430" s="264"/>
      <c r="J430" s="251"/>
      <c r="K430" s="251"/>
      <c r="L430" s="242"/>
      <c r="M430" s="242"/>
      <c r="N430" s="242"/>
      <c r="O430" s="242"/>
      <c r="P430" s="242"/>
      <c r="Q430" s="242"/>
      <c r="R430" s="242"/>
      <c r="S430" s="243"/>
      <c r="T430" s="280"/>
      <c r="U430" s="341"/>
      <c r="V430" s="13"/>
      <c r="W430" s="242"/>
      <c r="X430" s="242"/>
      <c r="Y430" s="242"/>
    </row>
    <row r="431">
      <c r="A431" s="340"/>
      <c r="B431" s="242"/>
      <c r="C431" s="242"/>
      <c r="D431" s="242"/>
      <c r="E431" s="242"/>
      <c r="F431" s="242"/>
      <c r="G431" s="243"/>
      <c r="H431" s="242"/>
      <c r="I431" s="264"/>
      <c r="J431" s="251"/>
      <c r="K431" s="251"/>
      <c r="L431" s="242"/>
      <c r="M431" s="242"/>
      <c r="N431" s="242"/>
      <c r="O431" s="242"/>
      <c r="P431" s="242"/>
      <c r="Q431" s="242"/>
      <c r="R431" s="242"/>
      <c r="S431" s="243"/>
      <c r="T431" s="280"/>
      <c r="U431" s="341"/>
      <c r="V431" s="13"/>
      <c r="W431" s="242"/>
      <c r="X431" s="242"/>
      <c r="Y431" s="242"/>
    </row>
    <row r="432">
      <c r="A432" s="340"/>
      <c r="B432" s="242"/>
      <c r="C432" s="242"/>
      <c r="D432" s="242"/>
      <c r="E432" s="242"/>
      <c r="F432" s="242"/>
      <c r="G432" s="243"/>
      <c r="H432" s="242"/>
      <c r="I432" s="264"/>
      <c r="J432" s="251"/>
      <c r="K432" s="251"/>
      <c r="L432" s="242"/>
      <c r="M432" s="242"/>
      <c r="N432" s="242"/>
      <c r="O432" s="242"/>
      <c r="P432" s="242"/>
      <c r="Q432" s="242"/>
      <c r="R432" s="242"/>
      <c r="S432" s="243"/>
      <c r="T432" s="280"/>
      <c r="U432" s="341"/>
      <c r="V432" s="13"/>
      <c r="W432" s="242"/>
      <c r="X432" s="242"/>
      <c r="Y432" s="242"/>
    </row>
    <row r="433">
      <c r="A433" s="340"/>
      <c r="B433" s="242"/>
      <c r="C433" s="242"/>
      <c r="D433" s="242"/>
      <c r="E433" s="242"/>
      <c r="F433" s="242"/>
      <c r="G433" s="243"/>
      <c r="H433" s="242"/>
      <c r="I433" s="264"/>
      <c r="J433" s="251"/>
      <c r="K433" s="251"/>
      <c r="L433" s="242"/>
      <c r="M433" s="242"/>
      <c r="N433" s="242"/>
      <c r="O433" s="242"/>
      <c r="P433" s="242"/>
      <c r="Q433" s="242"/>
      <c r="R433" s="242"/>
      <c r="S433" s="243"/>
      <c r="T433" s="280"/>
      <c r="U433" s="341"/>
      <c r="V433" s="13"/>
      <c r="W433" s="242"/>
      <c r="X433" s="242"/>
      <c r="Y433" s="242"/>
    </row>
    <row r="434">
      <c r="A434" s="340"/>
      <c r="B434" s="242"/>
      <c r="C434" s="242"/>
      <c r="D434" s="242"/>
      <c r="E434" s="242"/>
      <c r="F434" s="242"/>
      <c r="G434" s="243"/>
      <c r="H434" s="242"/>
      <c r="I434" s="264"/>
      <c r="J434" s="251"/>
      <c r="K434" s="251"/>
      <c r="L434" s="242"/>
      <c r="M434" s="242"/>
      <c r="N434" s="242"/>
      <c r="O434" s="242"/>
      <c r="P434" s="242"/>
      <c r="Q434" s="242"/>
      <c r="R434" s="242"/>
      <c r="S434" s="243"/>
      <c r="T434" s="280"/>
      <c r="U434" s="341"/>
      <c r="V434" s="13"/>
      <c r="W434" s="242"/>
      <c r="X434" s="242"/>
      <c r="Y434" s="242"/>
    </row>
    <row r="435">
      <c r="A435" s="340"/>
      <c r="B435" s="242"/>
      <c r="C435" s="242"/>
      <c r="D435" s="242"/>
      <c r="E435" s="242"/>
      <c r="F435" s="242"/>
      <c r="G435" s="243"/>
      <c r="H435" s="242"/>
      <c r="I435" s="264"/>
      <c r="J435" s="251"/>
      <c r="K435" s="251"/>
      <c r="L435" s="242"/>
      <c r="M435" s="242"/>
      <c r="N435" s="242"/>
      <c r="O435" s="242"/>
      <c r="P435" s="242"/>
      <c r="Q435" s="242"/>
      <c r="R435" s="242"/>
      <c r="S435" s="243"/>
      <c r="T435" s="280"/>
      <c r="U435" s="341"/>
      <c r="V435" s="13"/>
      <c r="W435" s="242"/>
      <c r="X435" s="242"/>
      <c r="Y435" s="242"/>
    </row>
    <row r="436">
      <c r="A436" s="340"/>
      <c r="B436" s="242"/>
      <c r="C436" s="242"/>
      <c r="D436" s="242"/>
      <c r="E436" s="242"/>
      <c r="F436" s="242"/>
      <c r="G436" s="243"/>
      <c r="H436" s="242"/>
      <c r="I436" s="264"/>
      <c r="J436" s="251"/>
      <c r="K436" s="251"/>
      <c r="L436" s="242"/>
      <c r="M436" s="242"/>
      <c r="N436" s="242"/>
      <c r="O436" s="242"/>
      <c r="P436" s="242"/>
      <c r="Q436" s="242"/>
      <c r="R436" s="242"/>
      <c r="S436" s="243"/>
      <c r="T436" s="280"/>
      <c r="U436" s="341"/>
      <c r="V436" s="13"/>
      <c r="W436" s="242"/>
      <c r="X436" s="242"/>
      <c r="Y436" s="242"/>
    </row>
    <row r="437">
      <c r="A437" s="340"/>
      <c r="B437" s="242"/>
      <c r="C437" s="242"/>
      <c r="D437" s="242"/>
      <c r="E437" s="242"/>
      <c r="F437" s="242"/>
      <c r="G437" s="243"/>
      <c r="H437" s="242"/>
      <c r="I437" s="264"/>
      <c r="J437" s="251"/>
      <c r="K437" s="251"/>
      <c r="L437" s="242"/>
      <c r="M437" s="242"/>
      <c r="N437" s="242"/>
      <c r="O437" s="242"/>
      <c r="P437" s="242"/>
      <c r="Q437" s="242"/>
      <c r="R437" s="242"/>
      <c r="S437" s="243"/>
      <c r="T437" s="280"/>
      <c r="U437" s="341"/>
      <c r="V437" s="13"/>
      <c r="W437" s="242"/>
      <c r="X437" s="242"/>
      <c r="Y437" s="242"/>
    </row>
    <row r="438">
      <c r="A438" s="340"/>
      <c r="B438" s="242"/>
      <c r="C438" s="242"/>
      <c r="D438" s="242"/>
      <c r="E438" s="242"/>
      <c r="F438" s="242"/>
      <c r="G438" s="243"/>
      <c r="H438" s="242"/>
      <c r="I438" s="264"/>
      <c r="J438" s="251"/>
      <c r="K438" s="251"/>
      <c r="L438" s="242"/>
      <c r="M438" s="242"/>
      <c r="N438" s="242"/>
      <c r="O438" s="242"/>
      <c r="P438" s="242"/>
      <c r="Q438" s="242"/>
      <c r="R438" s="242"/>
      <c r="S438" s="243"/>
      <c r="T438" s="280"/>
      <c r="U438" s="341"/>
      <c r="V438" s="13"/>
      <c r="W438" s="242"/>
      <c r="X438" s="242"/>
      <c r="Y438" s="242"/>
    </row>
    <row r="439">
      <c r="A439" s="340"/>
      <c r="B439" s="242"/>
      <c r="C439" s="242"/>
      <c r="D439" s="242"/>
      <c r="E439" s="242"/>
      <c r="F439" s="242"/>
      <c r="G439" s="243"/>
      <c r="H439" s="242"/>
      <c r="I439" s="264"/>
      <c r="J439" s="251"/>
      <c r="K439" s="251"/>
      <c r="L439" s="242"/>
      <c r="M439" s="242"/>
      <c r="N439" s="242"/>
      <c r="O439" s="242"/>
      <c r="P439" s="242"/>
      <c r="Q439" s="242"/>
      <c r="R439" s="242"/>
      <c r="S439" s="243"/>
      <c r="T439" s="280"/>
      <c r="U439" s="341"/>
      <c r="V439" s="13"/>
      <c r="W439" s="242"/>
      <c r="X439" s="242"/>
      <c r="Y439" s="242"/>
    </row>
    <row r="440">
      <c r="A440" s="340"/>
      <c r="B440" s="242"/>
      <c r="C440" s="242"/>
      <c r="D440" s="242"/>
      <c r="E440" s="242"/>
      <c r="F440" s="242"/>
      <c r="G440" s="243"/>
      <c r="H440" s="242"/>
      <c r="I440" s="264"/>
      <c r="J440" s="251"/>
      <c r="K440" s="251"/>
      <c r="L440" s="242"/>
      <c r="M440" s="242"/>
      <c r="N440" s="242"/>
      <c r="O440" s="242"/>
      <c r="P440" s="242"/>
      <c r="Q440" s="242"/>
      <c r="R440" s="242"/>
      <c r="S440" s="243"/>
      <c r="T440" s="280"/>
      <c r="U440" s="341"/>
      <c r="V440" s="13"/>
      <c r="W440" s="242"/>
      <c r="X440" s="242"/>
      <c r="Y440" s="242"/>
    </row>
    <row r="441">
      <c r="A441" s="340"/>
      <c r="B441" s="242"/>
      <c r="C441" s="242"/>
      <c r="D441" s="242"/>
      <c r="E441" s="242"/>
      <c r="F441" s="242"/>
      <c r="G441" s="243"/>
      <c r="H441" s="242"/>
      <c r="I441" s="264"/>
      <c r="J441" s="251"/>
      <c r="K441" s="251"/>
      <c r="L441" s="242"/>
      <c r="M441" s="242"/>
      <c r="N441" s="242"/>
      <c r="O441" s="242"/>
      <c r="P441" s="242"/>
      <c r="Q441" s="242"/>
      <c r="R441" s="242"/>
      <c r="S441" s="243"/>
      <c r="T441" s="280"/>
      <c r="U441" s="341"/>
      <c r="V441" s="13"/>
      <c r="W441" s="242"/>
      <c r="X441" s="242"/>
      <c r="Y441" s="242"/>
    </row>
    <row r="442">
      <c r="A442" s="340"/>
      <c r="B442" s="242"/>
      <c r="C442" s="242"/>
      <c r="D442" s="242"/>
      <c r="E442" s="242"/>
      <c r="F442" s="242"/>
      <c r="G442" s="243"/>
      <c r="H442" s="242"/>
      <c r="I442" s="264"/>
      <c r="J442" s="251"/>
      <c r="K442" s="251"/>
      <c r="L442" s="242"/>
      <c r="M442" s="242"/>
      <c r="N442" s="242"/>
      <c r="O442" s="242"/>
      <c r="P442" s="242"/>
      <c r="Q442" s="242"/>
      <c r="R442" s="242"/>
      <c r="S442" s="243"/>
      <c r="T442" s="280"/>
      <c r="U442" s="341"/>
      <c r="V442" s="13"/>
      <c r="W442" s="242"/>
      <c r="X442" s="242"/>
      <c r="Y442" s="242"/>
    </row>
    <row r="443">
      <c r="A443" s="340"/>
      <c r="B443" s="242"/>
      <c r="C443" s="242"/>
      <c r="D443" s="242"/>
      <c r="E443" s="242"/>
      <c r="F443" s="242"/>
      <c r="G443" s="243"/>
      <c r="H443" s="242"/>
      <c r="I443" s="264"/>
      <c r="J443" s="251"/>
      <c r="K443" s="251"/>
      <c r="L443" s="242"/>
      <c r="M443" s="242"/>
      <c r="N443" s="242"/>
      <c r="O443" s="242"/>
      <c r="P443" s="242"/>
      <c r="Q443" s="242"/>
      <c r="R443" s="242"/>
      <c r="S443" s="243"/>
      <c r="T443" s="280"/>
      <c r="U443" s="341"/>
      <c r="V443" s="13"/>
      <c r="W443" s="242"/>
      <c r="X443" s="242"/>
      <c r="Y443" s="242"/>
    </row>
    <row r="444">
      <c r="A444" s="340"/>
      <c r="B444" s="242"/>
      <c r="C444" s="242"/>
      <c r="D444" s="242"/>
      <c r="E444" s="242"/>
      <c r="F444" s="242"/>
      <c r="G444" s="243"/>
      <c r="H444" s="242"/>
      <c r="I444" s="264"/>
      <c r="J444" s="251"/>
      <c r="K444" s="251"/>
      <c r="L444" s="242"/>
      <c r="M444" s="242"/>
      <c r="N444" s="242"/>
      <c r="O444" s="242"/>
      <c r="P444" s="242"/>
      <c r="Q444" s="242"/>
      <c r="R444" s="242"/>
      <c r="S444" s="243"/>
      <c r="T444" s="280"/>
      <c r="U444" s="341"/>
      <c r="V444" s="13"/>
      <c r="W444" s="242"/>
      <c r="X444" s="242"/>
      <c r="Y444" s="242"/>
    </row>
    <row r="445">
      <c r="A445" s="340"/>
      <c r="B445" s="242"/>
      <c r="C445" s="242"/>
      <c r="D445" s="242"/>
      <c r="E445" s="242"/>
      <c r="F445" s="242"/>
      <c r="G445" s="243"/>
      <c r="H445" s="242"/>
      <c r="I445" s="264"/>
      <c r="J445" s="251"/>
      <c r="K445" s="251"/>
      <c r="L445" s="242"/>
      <c r="M445" s="242"/>
      <c r="N445" s="242"/>
      <c r="O445" s="242"/>
      <c r="P445" s="242"/>
      <c r="Q445" s="242"/>
      <c r="R445" s="242"/>
      <c r="S445" s="243"/>
      <c r="T445" s="280"/>
      <c r="U445" s="341"/>
      <c r="V445" s="13"/>
      <c r="W445" s="242"/>
      <c r="X445" s="242"/>
      <c r="Y445" s="242"/>
    </row>
    <row r="446">
      <c r="A446" s="340"/>
      <c r="B446" s="242"/>
      <c r="C446" s="242"/>
      <c r="D446" s="242"/>
      <c r="E446" s="242"/>
      <c r="F446" s="242"/>
      <c r="G446" s="243"/>
      <c r="H446" s="242"/>
      <c r="I446" s="264"/>
      <c r="J446" s="251"/>
      <c r="K446" s="251"/>
      <c r="L446" s="242"/>
      <c r="M446" s="242"/>
      <c r="N446" s="242"/>
      <c r="O446" s="242"/>
      <c r="P446" s="242"/>
      <c r="Q446" s="242"/>
      <c r="R446" s="242"/>
      <c r="S446" s="243"/>
      <c r="T446" s="280"/>
      <c r="U446" s="341"/>
      <c r="V446" s="13"/>
      <c r="W446" s="242"/>
      <c r="X446" s="242"/>
      <c r="Y446" s="242"/>
    </row>
    <row r="447">
      <c r="A447" s="340"/>
      <c r="B447" s="242"/>
      <c r="C447" s="242"/>
      <c r="D447" s="242"/>
      <c r="E447" s="242"/>
      <c r="F447" s="242"/>
      <c r="G447" s="243"/>
      <c r="H447" s="242"/>
      <c r="I447" s="264"/>
      <c r="J447" s="251"/>
      <c r="K447" s="251"/>
      <c r="L447" s="242"/>
      <c r="M447" s="242"/>
      <c r="N447" s="242"/>
      <c r="O447" s="242"/>
      <c r="P447" s="242"/>
      <c r="Q447" s="242"/>
      <c r="R447" s="242"/>
      <c r="S447" s="243"/>
      <c r="T447" s="280"/>
      <c r="U447" s="341"/>
      <c r="V447" s="13"/>
      <c r="W447" s="242"/>
      <c r="X447" s="242"/>
      <c r="Y447" s="242"/>
    </row>
    <row r="448">
      <c r="A448" s="340"/>
      <c r="B448" s="242"/>
      <c r="C448" s="242"/>
      <c r="D448" s="242"/>
      <c r="E448" s="242"/>
      <c r="F448" s="242"/>
      <c r="G448" s="243"/>
      <c r="H448" s="242"/>
      <c r="I448" s="264"/>
      <c r="J448" s="251"/>
      <c r="K448" s="251"/>
      <c r="L448" s="242"/>
      <c r="M448" s="242"/>
      <c r="N448" s="242"/>
      <c r="O448" s="242"/>
      <c r="P448" s="242"/>
      <c r="Q448" s="242"/>
      <c r="R448" s="242"/>
      <c r="S448" s="243"/>
      <c r="T448" s="280"/>
      <c r="U448" s="341"/>
      <c r="V448" s="13"/>
      <c r="W448" s="242"/>
      <c r="X448" s="242"/>
      <c r="Y448" s="242"/>
    </row>
    <row r="449">
      <c r="A449" s="340"/>
      <c r="B449" s="242"/>
      <c r="C449" s="242"/>
      <c r="D449" s="242"/>
      <c r="E449" s="242"/>
      <c r="F449" s="242"/>
      <c r="G449" s="243"/>
      <c r="H449" s="242"/>
      <c r="I449" s="264"/>
      <c r="J449" s="251"/>
      <c r="K449" s="251"/>
      <c r="L449" s="242"/>
      <c r="M449" s="242"/>
      <c r="N449" s="242"/>
      <c r="O449" s="242"/>
      <c r="P449" s="242"/>
      <c r="Q449" s="242"/>
      <c r="R449" s="242"/>
      <c r="S449" s="243"/>
      <c r="T449" s="280"/>
      <c r="U449" s="341"/>
      <c r="V449" s="13"/>
      <c r="W449" s="242"/>
      <c r="X449" s="242"/>
      <c r="Y449" s="242"/>
    </row>
    <row r="450">
      <c r="A450" s="340"/>
      <c r="B450" s="242"/>
      <c r="C450" s="242"/>
      <c r="D450" s="242"/>
      <c r="E450" s="242"/>
      <c r="F450" s="242"/>
      <c r="G450" s="243"/>
      <c r="H450" s="242"/>
      <c r="I450" s="264"/>
      <c r="J450" s="251"/>
      <c r="K450" s="251"/>
      <c r="L450" s="242"/>
      <c r="M450" s="242"/>
      <c r="N450" s="242"/>
      <c r="O450" s="242"/>
      <c r="P450" s="242"/>
      <c r="Q450" s="242"/>
      <c r="R450" s="242"/>
      <c r="S450" s="243"/>
      <c r="T450" s="280"/>
      <c r="U450" s="341"/>
      <c r="V450" s="13"/>
      <c r="W450" s="242"/>
      <c r="X450" s="242"/>
      <c r="Y450" s="242"/>
    </row>
    <row r="451">
      <c r="A451" s="340"/>
      <c r="B451" s="242"/>
      <c r="C451" s="242"/>
      <c r="D451" s="242"/>
      <c r="E451" s="242"/>
      <c r="F451" s="242"/>
      <c r="G451" s="243"/>
      <c r="H451" s="242"/>
      <c r="I451" s="264"/>
      <c r="J451" s="251"/>
      <c r="K451" s="251"/>
      <c r="L451" s="242"/>
      <c r="M451" s="242"/>
      <c r="N451" s="242"/>
      <c r="O451" s="242"/>
      <c r="P451" s="242"/>
      <c r="Q451" s="242"/>
      <c r="R451" s="242"/>
      <c r="S451" s="243"/>
      <c r="T451" s="280"/>
      <c r="U451" s="341"/>
      <c r="V451" s="13"/>
      <c r="W451" s="242"/>
      <c r="X451" s="242"/>
      <c r="Y451" s="242"/>
    </row>
    <row r="452">
      <c r="A452" s="340"/>
      <c r="B452" s="242"/>
      <c r="C452" s="242"/>
      <c r="D452" s="242"/>
      <c r="E452" s="242"/>
      <c r="F452" s="242"/>
      <c r="G452" s="243"/>
      <c r="H452" s="242"/>
      <c r="I452" s="264"/>
      <c r="J452" s="251"/>
      <c r="K452" s="251"/>
      <c r="L452" s="242"/>
      <c r="M452" s="242"/>
      <c r="N452" s="242"/>
      <c r="O452" s="242"/>
      <c r="P452" s="242"/>
      <c r="Q452" s="242"/>
      <c r="R452" s="242"/>
      <c r="S452" s="243"/>
      <c r="T452" s="280"/>
      <c r="U452" s="341"/>
      <c r="V452" s="13"/>
      <c r="W452" s="242"/>
      <c r="X452" s="242"/>
      <c r="Y452" s="242"/>
    </row>
    <row r="453">
      <c r="A453" s="340"/>
      <c r="B453" s="242"/>
      <c r="C453" s="242"/>
      <c r="D453" s="242"/>
      <c r="E453" s="242"/>
      <c r="F453" s="242"/>
      <c r="G453" s="243"/>
      <c r="H453" s="242"/>
      <c r="I453" s="264"/>
      <c r="J453" s="251"/>
      <c r="K453" s="251"/>
      <c r="L453" s="242"/>
      <c r="M453" s="242"/>
      <c r="N453" s="242"/>
      <c r="O453" s="242"/>
      <c r="P453" s="242"/>
      <c r="Q453" s="242"/>
      <c r="R453" s="242"/>
      <c r="S453" s="243"/>
      <c r="T453" s="280"/>
      <c r="U453" s="341"/>
      <c r="V453" s="13"/>
      <c r="W453" s="242"/>
      <c r="X453" s="242"/>
      <c r="Y453" s="242"/>
    </row>
    <row r="454">
      <c r="A454" s="340"/>
      <c r="B454" s="242"/>
      <c r="C454" s="242"/>
      <c r="D454" s="242"/>
      <c r="E454" s="242"/>
      <c r="F454" s="242"/>
      <c r="G454" s="243"/>
      <c r="H454" s="242"/>
      <c r="I454" s="264"/>
      <c r="J454" s="251"/>
      <c r="K454" s="251"/>
      <c r="L454" s="242"/>
      <c r="M454" s="242"/>
      <c r="N454" s="242"/>
      <c r="O454" s="242"/>
      <c r="P454" s="242"/>
      <c r="Q454" s="242"/>
      <c r="R454" s="242"/>
      <c r="S454" s="243"/>
      <c r="T454" s="280"/>
      <c r="U454" s="341"/>
      <c r="V454" s="13"/>
      <c r="W454" s="242"/>
      <c r="X454" s="242"/>
      <c r="Y454" s="242"/>
    </row>
    <row r="455">
      <c r="A455" s="340"/>
      <c r="B455" s="242"/>
      <c r="C455" s="242"/>
      <c r="D455" s="242"/>
      <c r="E455" s="242"/>
      <c r="F455" s="242"/>
      <c r="G455" s="243"/>
      <c r="H455" s="242"/>
      <c r="I455" s="264"/>
      <c r="J455" s="251"/>
      <c r="K455" s="251"/>
      <c r="L455" s="242"/>
      <c r="M455" s="242"/>
      <c r="N455" s="242"/>
      <c r="O455" s="242"/>
      <c r="P455" s="242"/>
      <c r="Q455" s="242"/>
      <c r="R455" s="242"/>
      <c r="S455" s="243"/>
      <c r="T455" s="280"/>
      <c r="U455" s="341"/>
      <c r="V455" s="13"/>
      <c r="W455" s="242"/>
      <c r="X455" s="242"/>
      <c r="Y455" s="242"/>
    </row>
    <row r="456">
      <c r="A456" s="340"/>
      <c r="B456" s="242"/>
      <c r="C456" s="242"/>
      <c r="D456" s="242"/>
      <c r="E456" s="242"/>
      <c r="F456" s="242"/>
      <c r="G456" s="243"/>
      <c r="H456" s="242"/>
      <c r="I456" s="264"/>
      <c r="J456" s="251"/>
      <c r="K456" s="251"/>
      <c r="L456" s="242"/>
      <c r="M456" s="242"/>
      <c r="N456" s="242"/>
      <c r="O456" s="242"/>
      <c r="P456" s="242"/>
      <c r="Q456" s="242"/>
      <c r="R456" s="242"/>
      <c r="S456" s="243"/>
      <c r="T456" s="280"/>
      <c r="U456" s="341"/>
      <c r="V456" s="13"/>
      <c r="W456" s="242"/>
      <c r="X456" s="242"/>
      <c r="Y456" s="242"/>
    </row>
    <row r="457">
      <c r="A457" s="340"/>
      <c r="B457" s="242"/>
      <c r="C457" s="242"/>
      <c r="D457" s="242"/>
      <c r="E457" s="242"/>
      <c r="F457" s="242"/>
      <c r="G457" s="243"/>
      <c r="H457" s="242"/>
      <c r="I457" s="264"/>
      <c r="J457" s="251"/>
      <c r="K457" s="251"/>
      <c r="L457" s="242"/>
      <c r="M457" s="242"/>
      <c r="N457" s="242"/>
      <c r="O457" s="242"/>
      <c r="P457" s="242"/>
      <c r="Q457" s="242"/>
      <c r="R457" s="242"/>
      <c r="S457" s="243"/>
      <c r="T457" s="280"/>
      <c r="U457" s="341"/>
      <c r="V457" s="13"/>
      <c r="W457" s="242"/>
      <c r="X457" s="242"/>
      <c r="Y457" s="242"/>
    </row>
    <row r="458">
      <c r="A458" s="340"/>
      <c r="B458" s="242"/>
      <c r="C458" s="242"/>
      <c r="D458" s="242"/>
      <c r="E458" s="242"/>
      <c r="F458" s="242"/>
      <c r="G458" s="243"/>
      <c r="H458" s="242"/>
      <c r="I458" s="264"/>
      <c r="J458" s="251"/>
      <c r="K458" s="251"/>
      <c r="L458" s="242"/>
      <c r="M458" s="242"/>
      <c r="N458" s="242"/>
      <c r="O458" s="242"/>
      <c r="P458" s="242"/>
      <c r="Q458" s="242"/>
      <c r="R458" s="242"/>
      <c r="S458" s="243"/>
      <c r="T458" s="280"/>
      <c r="U458" s="341"/>
      <c r="V458" s="13"/>
      <c r="W458" s="242"/>
      <c r="X458" s="242"/>
      <c r="Y458" s="242"/>
    </row>
    <row r="459">
      <c r="A459" s="340"/>
      <c r="B459" s="242"/>
      <c r="C459" s="242"/>
      <c r="D459" s="242"/>
      <c r="E459" s="242"/>
      <c r="F459" s="242"/>
      <c r="G459" s="243"/>
      <c r="H459" s="242"/>
      <c r="I459" s="264"/>
      <c r="J459" s="251"/>
      <c r="K459" s="251"/>
      <c r="L459" s="242"/>
      <c r="M459" s="242"/>
      <c r="N459" s="242"/>
      <c r="O459" s="242"/>
      <c r="P459" s="242"/>
      <c r="Q459" s="242"/>
      <c r="R459" s="242"/>
      <c r="S459" s="243"/>
      <c r="T459" s="280"/>
      <c r="U459" s="341"/>
      <c r="V459" s="13"/>
      <c r="W459" s="242"/>
      <c r="X459" s="242"/>
      <c r="Y459" s="242"/>
    </row>
    <row r="460">
      <c r="A460" s="340"/>
      <c r="B460" s="242"/>
      <c r="C460" s="242"/>
      <c r="D460" s="242"/>
      <c r="E460" s="242"/>
      <c r="F460" s="242"/>
      <c r="G460" s="243"/>
      <c r="H460" s="242"/>
      <c r="I460" s="264"/>
      <c r="J460" s="251"/>
      <c r="K460" s="251"/>
      <c r="L460" s="242"/>
      <c r="M460" s="242"/>
      <c r="N460" s="242"/>
      <c r="O460" s="242"/>
      <c r="P460" s="242"/>
      <c r="Q460" s="242"/>
      <c r="R460" s="242"/>
      <c r="S460" s="243"/>
      <c r="T460" s="280"/>
      <c r="U460" s="341"/>
      <c r="V460" s="13"/>
      <c r="W460" s="242"/>
      <c r="X460" s="242"/>
      <c r="Y460" s="242"/>
    </row>
    <row r="461">
      <c r="A461" s="340"/>
      <c r="B461" s="242"/>
      <c r="C461" s="242"/>
      <c r="D461" s="242"/>
      <c r="E461" s="242"/>
      <c r="F461" s="242"/>
      <c r="G461" s="243"/>
      <c r="H461" s="242"/>
      <c r="I461" s="264"/>
      <c r="J461" s="251"/>
      <c r="K461" s="251"/>
      <c r="L461" s="242"/>
      <c r="M461" s="242"/>
      <c r="N461" s="242"/>
      <c r="O461" s="242"/>
      <c r="P461" s="242"/>
      <c r="Q461" s="242"/>
      <c r="R461" s="242"/>
      <c r="S461" s="243"/>
      <c r="T461" s="280"/>
      <c r="U461" s="341"/>
      <c r="V461" s="13"/>
      <c r="W461" s="242"/>
      <c r="X461" s="242"/>
      <c r="Y461" s="242"/>
    </row>
    <row r="462">
      <c r="A462" s="340"/>
      <c r="B462" s="242"/>
      <c r="C462" s="242"/>
      <c r="D462" s="242"/>
      <c r="E462" s="242"/>
      <c r="F462" s="242"/>
      <c r="G462" s="243"/>
      <c r="H462" s="242"/>
      <c r="I462" s="264"/>
      <c r="J462" s="251"/>
      <c r="K462" s="251"/>
      <c r="L462" s="242"/>
      <c r="M462" s="242"/>
      <c r="N462" s="242"/>
      <c r="O462" s="242"/>
      <c r="P462" s="242"/>
      <c r="Q462" s="242"/>
      <c r="R462" s="242"/>
      <c r="S462" s="243"/>
      <c r="T462" s="280"/>
      <c r="U462" s="341"/>
      <c r="V462" s="13"/>
      <c r="W462" s="242"/>
      <c r="X462" s="242"/>
      <c r="Y462" s="242"/>
    </row>
    <row r="463">
      <c r="A463" s="340"/>
      <c r="B463" s="242"/>
      <c r="C463" s="242"/>
      <c r="D463" s="242"/>
      <c r="E463" s="242"/>
      <c r="F463" s="242"/>
      <c r="G463" s="243"/>
      <c r="H463" s="242"/>
      <c r="I463" s="264"/>
      <c r="J463" s="251"/>
      <c r="K463" s="251"/>
      <c r="L463" s="242"/>
      <c r="M463" s="242"/>
      <c r="N463" s="242"/>
      <c r="O463" s="242"/>
      <c r="P463" s="242"/>
      <c r="Q463" s="242"/>
      <c r="R463" s="242"/>
      <c r="S463" s="243"/>
      <c r="T463" s="280"/>
      <c r="U463" s="341"/>
      <c r="V463" s="13"/>
      <c r="W463" s="242"/>
      <c r="X463" s="242"/>
      <c r="Y463" s="242"/>
    </row>
    <row r="464">
      <c r="A464" s="340"/>
      <c r="B464" s="242"/>
      <c r="C464" s="242"/>
      <c r="D464" s="242"/>
      <c r="E464" s="242"/>
      <c r="F464" s="242"/>
      <c r="G464" s="243"/>
      <c r="H464" s="242"/>
      <c r="I464" s="264"/>
      <c r="J464" s="251"/>
      <c r="K464" s="251"/>
      <c r="L464" s="242"/>
      <c r="M464" s="242"/>
      <c r="N464" s="242"/>
      <c r="O464" s="242"/>
      <c r="P464" s="242"/>
      <c r="Q464" s="242"/>
      <c r="R464" s="242"/>
      <c r="S464" s="243"/>
      <c r="T464" s="280"/>
      <c r="U464" s="341"/>
      <c r="V464" s="13"/>
      <c r="W464" s="242"/>
      <c r="X464" s="242"/>
      <c r="Y464" s="242"/>
    </row>
    <row r="465">
      <c r="A465" s="340"/>
      <c r="B465" s="242"/>
      <c r="C465" s="242"/>
      <c r="D465" s="242"/>
      <c r="E465" s="242"/>
      <c r="F465" s="242"/>
      <c r="G465" s="243"/>
      <c r="H465" s="242"/>
      <c r="I465" s="264"/>
      <c r="J465" s="251"/>
      <c r="K465" s="251"/>
      <c r="L465" s="242"/>
      <c r="M465" s="242"/>
      <c r="N465" s="242"/>
      <c r="O465" s="242"/>
      <c r="P465" s="242"/>
      <c r="Q465" s="242"/>
      <c r="R465" s="242"/>
      <c r="S465" s="243"/>
      <c r="T465" s="280"/>
      <c r="U465" s="341"/>
      <c r="V465" s="13"/>
      <c r="W465" s="242"/>
      <c r="X465" s="242"/>
      <c r="Y465" s="242"/>
    </row>
    <row r="466">
      <c r="A466" s="340"/>
      <c r="B466" s="242"/>
      <c r="C466" s="242"/>
      <c r="D466" s="242"/>
      <c r="E466" s="242"/>
      <c r="F466" s="242"/>
      <c r="G466" s="243"/>
      <c r="H466" s="242"/>
      <c r="I466" s="264"/>
      <c r="J466" s="251"/>
      <c r="K466" s="251"/>
      <c r="L466" s="242"/>
      <c r="M466" s="242"/>
      <c r="N466" s="242"/>
      <c r="O466" s="242"/>
      <c r="P466" s="242"/>
      <c r="Q466" s="242"/>
      <c r="R466" s="242"/>
      <c r="S466" s="243"/>
      <c r="T466" s="280"/>
      <c r="U466" s="341"/>
      <c r="V466" s="13"/>
      <c r="W466" s="242"/>
      <c r="X466" s="242"/>
      <c r="Y466" s="242"/>
    </row>
    <row r="467">
      <c r="A467" s="340"/>
      <c r="B467" s="242"/>
      <c r="C467" s="242"/>
      <c r="D467" s="242"/>
      <c r="E467" s="242"/>
      <c r="F467" s="242"/>
      <c r="G467" s="243"/>
      <c r="H467" s="242"/>
      <c r="I467" s="264"/>
      <c r="J467" s="251"/>
      <c r="K467" s="251"/>
      <c r="L467" s="242"/>
      <c r="M467" s="242"/>
      <c r="N467" s="242"/>
      <c r="O467" s="242"/>
      <c r="P467" s="242"/>
      <c r="Q467" s="242"/>
      <c r="R467" s="242"/>
      <c r="S467" s="243"/>
      <c r="T467" s="280"/>
      <c r="U467" s="341"/>
      <c r="V467" s="13"/>
      <c r="W467" s="242"/>
      <c r="X467" s="242"/>
      <c r="Y467" s="242"/>
    </row>
    <row r="468">
      <c r="A468" s="340"/>
      <c r="B468" s="242"/>
      <c r="C468" s="242"/>
      <c r="D468" s="242"/>
      <c r="E468" s="242"/>
      <c r="F468" s="242"/>
      <c r="G468" s="243"/>
      <c r="H468" s="242"/>
      <c r="I468" s="264"/>
      <c r="J468" s="251"/>
      <c r="K468" s="251"/>
      <c r="L468" s="242"/>
      <c r="M468" s="242"/>
      <c r="N468" s="242"/>
      <c r="O468" s="242"/>
      <c r="P468" s="242"/>
      <c r="Q468" s="242"/>
      <c r="R468" s="242"/>
      <c r="S468" s="243"/>
      <c r="T468" s="280"/>
      <c r="U468" s="341"/>
      <c r="V468" s="13"/>
      <c r="W468" s="242"/>
      <c r="X468" s="242"/>
      <c r="Y468" s="242"/>
    </row>
    <row r="469">
      <c r="A469" s="340"/>
      <c r="B469" s="242"/>
      <c r="C469" s="242"/>
      <c r="D469" s="242"/>
      <c r="E469" s="242"/>
      <c r="F469" s="242"/>
      <c r="G469" s="243"/>
      <c r="H469" s="242"/>
      <c r="I469" s="264"/>
      <c r="J469" s="251"/>
      <c r="K469" s="251"/>
      <c r="L469" s="242"/>
      <c r="M469" s="242"/>
      <c r="N469" s="242"/>
      <c r="O469" s="242"/>
      <c r="P469" s="242"/>
      <c r="Q469" s="242"/>
      <c r="R469" s="242"/>
      <c r="S469" s="243"/>
      <c r="T469" s="280"/>
      <c r="U469" s="341"/>
      <c r="V469" s="13"/>
      <c r="W469" s="242"/>
      <c r="X469" s="242"/>
      <c r="Y469" s="242"/>
    </row>
    <row r="470">
      <c r="A470" s="340"/>
      <c r="B470" s="242"/>
      <c r="C470" s="242"/>
      <c r="D470" s="242"/>
      <c r="E470" s="242"/>
      <c r="F470" s="242"/>
      <c r="G470" s="243"/>
      <c r="H470" s="242"/>
      <c r="I470" s="264"/>
      <c r="J470" s="251"/>
      <c r="K470" s="251"/>
      <c r="L470" s="242"/>
      <c r="M470" s="242"/>
      <c r="N470" s="242"/>
      <c r="O470" s="242"/>
      <c r="P470" s="242"/>
      <c r="Q470" s="242"/>
      <c r="R470" s="242"/>
      <c r="S470" s="243"/>
      <c r="T470" s="280"/>
      <c r="U470" s="341"/>
      <c r="V470" s="13"/>
      <c r="W470" s="242"/>
      <c r="X470" s="242"/>
      <c r="Y470" s="242"/>
    </row>
    <row r="471">
      <c r="A471" s="340"/>
      <c r="B471" s="242"/>
      <c r="C471" s="242"/>
      <c r="D471" s="242"/>
      <c r="E471" s="242"/>
      <c r="F471" s="242"/>
      <c r="G471" s="243"/>
      <c r="H471" s="242"/>
      <c r="I471" s="264"/>
      <c r="J471" s="251"/>
      <c r="K471" s="251"/>
      <c r="L471" s="242"/>
      <c r="M471" s="242"/>
      <c r="N471" s="242"/>
      <c r="O471" s="242"/>
      <c r="P471" s="242"/>
      <c r="Q471" s="242"/>
      <c r="R471" s="242"/>
      <c r="S471" s="243"/>
      <c r="T471" s="280"/>
      <c r="U471" s="341"/>
      <c r="V471" s="13"/>
      <c r="W471" s="242"/>
      <c r="X471" s="242"/>
      <c r="Y471" s="242"/>
    </row>
    <row r="472">
      <c r="A472" s="340"/>
      <c r="B472" s="242"/>
      <c r="C472" s="242"/>
      <c r="D472" s="242"/>
      <c r="E472" s="242"/>
      <c r="F472" s="242"/>
      <c r="G472" s="243"/>
      <c r="H472" s="242"/>
      <c r="I472" s="264"/>
      <c r="J472" s="251"/>
      <c r="K472" s="251"/>
      <c r="L472" s="242"/>
      <c r="M472" s="242"/>
      <c r="N472" s="242"/>
      <c r="O472" s="242"/>
      <c r="P472" s="242"/>
      <c r="Q472" s="242"/>
      <c r="R472" s="242"/>
      <c r="S472" s="243"/>
      <c r="T472" s="280"/>
      <c r="U472" s="341"/>
      <c r="V472" s="13"/>
      <c r="W472" s="242"/>
      <c r="X472" s="242"/>
      <c r="Y472" s="242"/>
    </row>
    <row r="473">
      <c r="A473" s="340"/>
      <c r="B473" s="242"/>
      <c r="C473" s="242"/>
      <c r="D473" s="242"/>
      <c r="E473" s="242"/>
      <c r="F473" s="242"/>
      <c r="G473" s="243"/>
      <c r="H473" s="242"/>
      <c r="I473" s="264"/>
      <c r="J473" s="251"/>
      <c r="K473" s="251"/>
      <c r="L473" s="242"/>
      <c r="M473" s="242"/>
      <c r="N473" s="242"/>
      <c r="O473" s="242"/>
      <c r="P473" s="242"/>
      <c r="Q473" s="242"/>
      <c r="R473" s="242"/>
      <c r="S473" s="243"/>
      <c r="T473" s="280"/>
      <c r="U473" s="341"/>
      <c r="V473" s="13"/>
      <c r="W473" s="242"/>
      <c r="X473" s="242"/>
      <c r="Y473" s="242"/>
    </row>
    <row r="474">
      <c r="A474" s="340"/>
      <c r="B474" s="242"/>
      <c r="C474" s="242"/>
      <c r="D474" s="242"/>
      <c r="E474" s="242"/>
      <c r="F474" s="242"/>
      <c r="G474" s="243"/>
      <c r="H474" s="242"/>
      <c r="I474" s="264"/>
      <c r="J474" s="251"/>
      <c r="K474" s="251"/>
      <c r="L474" s="242"/>
      <c r="M474" s="242"/>
      <c r="N474" s="242"/>
      <c r="O474" s="242"/>
      <c r="P474" s="242"/>
      <c r="Q474" s="242"/>
      <c r="R474" s="242"/>
      <c r="S474" s="243"/>
      <c r="T474" s="280"/>
      <c r="U474" s="341"/>
      <c r="V474" s="13"/>
      <c r="W474" s="242"/>
      <c r="X474" s="242"/>
      <c r="Y474" s="242"/>
    </row>
    <row r="475">
      <c r="A475" s="340"/>
      <c r="B475" s="242"/>
      <c r="C475" s="242"/>
      <c r="D475" s="242"/>
      <c r="E475" s="242"/>
      <c r="F475" s="242"/>
      <c r="G475" s="243"/>
      <c r="H475" s="242"/>
      <c r="I475" s="264"/>
      <c r="J475" s="251"/>
      <c r="K475" s="251"/>
      <c r="L475" s="242"/>
      <c r="M475" s="242"/>
      <c r="N475" s="242"/>
      <c r="O475" s="242"/>
      <c r="P475" s="242"/>
      <c r="Q475" s="242"/>
      <c r="R475" s="242"/>
      <c r="S475" s="243"/>
      <c r="T475" s="280"/>
      <c r="U475" s="341"/>
      <c r="V475" s="13"/>
      <c r="W475" s="242"/>
      <c r="X475" s="242"/>
      <c r="Y475" s="242"/>
    </row>
    <row r="476">
      <c r="A476" s="340"/>
      <c r="B476" s="242"/>
      <c r="C476" s="242"/>
      <c r="D476" s="242"/>
      <c r="E476" s="242"/>
      <c r="F476" s="242"/>
      <c r="G476" s="243"/>
      <c r="H476" s="242"/>
      <c r="I476" s="264"/>
      <c r="J476" s="251"/>
      <c r="K476" s="251"/>
      <c r="L476" s="242"/>
      <c r="M476" s="242"/>
      <c r="N476" s="242"/>
      <c r="O476" s="242"/>
      <c r="P476" s="242"/>
      <c r="Q476" s="242"/>
      <c r="R476" s="242"/>
      <c r="S476" s="243"/>
      <c r="T476" s="280"/>
      <c r="U476" s="341"/>
      <c r="V476" s="13"/>
      <c r="W476" s="242"/>
      <c r="X476" s="242"/>
      <c r="Y476" s="242"/>
    </row>
    <row r="477">
      <c r="A477" s="340"/>
      <c r="B477" s="242"/>
      <c r="C477" s="242"/>
      <c r="D477" s="242"/>
      <c r="E477" s="242"/>
      <c r="F477" s="242"/>
      <c r="G477" s="243"/>
      <c r="H477" s="242"/>
      <c r="I477" s="264"/>
      <c r="J477" s="251"/>
      <c r="K477" s="251"/>
      <c r="L477" s="242"/>
      <c r="M477" s="242"/>
      <c r="N477" s="242"/>
      <c r="O477" s="242"/>
      <c r="P477" s="242"/>
      <c r="Q477" s="242"/>
      <c r="R477" s="242"/>
      <c r="S477" s="243"/>
      <c r="T477" s="280"/>
      <c r="U477" s="341"/>
      <c r="V477" s="13"/>
      <c r="W477" s="242"/>
      <c r="X477" s="242"/>
      <c r="Y477" s="242"/>
    </row>
    <row r="478">
      <c r="A478" s="340"/>
      <c r="B478" s="242"/>
      <c r="C478" s="242"/>
      <c r="D478" s="242"/>
      <c r="E478" s="242"/>
      <c r="F478" s="242"/>
      <c r="G478" s="243"/>
      <c r="H478" s="242"/>
      <c r="I478" s="264"/>
      <c r="J478" s="251"/>
      <c r="K478" s="251"/>
      <c r="L478" s="242"/>
      <c r="M478" s="242"/>
      <c r="N478" s="242"/>
      <c r="O478" s="242"/>
      <c r="P478" s="242"/>
      <c r="Q478" s="242"/>
      <c r="R478" s="242"/>
      <c r="S478" s="243"/>
      <c r="T478" s="280"/>
      <c r="U478" s="341"/>
      <c r="V478" s="13"/>
      <c r="W478" s="242"/>
      <c r="X478" s="242"/>
      <c r="Y478" s="242"/>
    </row>
    <row r="479">
      <c r="A479" s="340"/>
      <c r="B479" s="242"/>
      <c r="C479" s="242"/>
      <c r="D479" s="242"/>
      <c r="E479" s="242"/>
      <c r="F479" s="242"/>
      <c r="G479" s="243"/>
      <c r="H479" s="242"/>
      <c r="I479" s="264"/>
      <c r="J479" s="251"/>
      <c r="K479" s="251"/>
      <c r="L479" s="242"/>
      <c r="M479" s="242"/>
      <c r="N479" s="242"/>
      <c r="O479" s="242"/>
      <c r="P479" s="242"/>
      <c r="Q479" s="242"/>
      <c r="R479" s="242"/>
      <c r="S479" s="243"/>
      <c r="T479" s="280"/>
      <c r="U479" s="341"/>
      <c r="V479" s="13"/>
      <c r="W479" s="242"/>
      <c r="X479" s="242"/>
      <c r="Y479" s="242"/>
    </row>
    <row r="480">
      <c r="A480" s="340"/>
      <c r="B480" s="242"/>
      <c r="C480" s="242"/>
      <c r="D480" s="242"/>
      <c r="E480" s="242"/>
      <c r="F480" s="242"/>
      <c r="G480" s="243"/>
      <c r="H480" s="242"/>
      <c r="I480" s="264"/>
      <c r="J480" s="251"/>
      <c r="K480" s="251"/>
      <c r="L480" s="242"/>
      <c r="M480" s="242"/>
      <c r="N480" s="242"/>
      <c r="O480" s="242"/>
      <c r="P480" s="242"/>
      <c r="Q480" s="242"/>
      <c r="R480" s="242"/>
      <c r="S480" s="243"/>
      <c r="T480" s="280"/>
      <c r="U480" s="341"/>
      <c r="V480" s="13"/>
      <c r="W480" s="242"/>
      <c r="X480" s="242"/>
      <c r="Y480" s="242"/>
    </row>
    <row r="481">
      <c r="A481" s="340"/>
      <c r="B481" s="242"/>
      <c r="C481" s="242"/>
      <c r="D481" s="242"/>
      <c r="E481" s="242"/>
      <c r="F481" s="242"/>
      <c r="G481" s="243"/>
      <c r="H481" s="242"/>
      <c r="I481" s="264"/>
      <c r="J481" s="251"/>
      <c r="K481" s="251"/>
      <c r="L481" s="242"/>
      <c r="M481" s="242"/>
      <c r="N481" s="242"/>
      <c r="O481" s="242"/>
      <c r="P481" s="242"/>
      <c r="Q481" s="242"/>
      <c r="R481" s="242"/>
      <c r="S481" s="243"/>
      <c r="T481" s="280"/>
      <c r="U481" s="341"/>
      <c r="V481" s="13"/>
      <c r="W481" s="242"/>
      <c r="X481" s="242"/>
      <c r="Y481" s="242"/>
    </row>
    <row r="482">
      <c r="A482" s="340"/>
      <c r="B482" s="242"/>
      <c r="C482" s="242"/>
      <c r="D482" s="242"/>
      <c r="E482" s="242"/>
      <c r="F482" s="242"/>
      <c r="G482" s="243"/>
      <c r="H482" s="242"/>
      <c r="I482" s="264"/>
      <c r="J482" s="251"/>
      <c r="K482" s="251"/>
      <c r="L482" s="242"/>
      <c r="M482" s="242"/>
      <c r="N482" s="242"/>
      <c r="O482" s="242"/>
      <c r="P482" s="242"/>
      <c r="Q482" s="242"/>
      <c r="R482" s="242"/>
      <c r="S482" s="243"/>
      <c r="T482" s="280"/>
      <c r="U482" s="341"/>
      <c r="V482" s="13"/>
      <c r="W482" s="242"/>
      <c r="X482" s="242"/>
      <c r="Y482" s="242"/>
    </row>
    <row r="483">
      <c r="A483" s="340"/>
      <c r="B483" s="242"/>
      <c r="C483" s="242"/>
      <c r="D483" s="242"/>
      <c r="E483" s="242"/>
      <c r="F483" s="242"/>
      <c r="G483" s="243"/>
      <c r="H483" s="242"/>
      <c r="I483" s="264"/>
      <c r="J483" s="251"/>
      <c r="K483" s="251"/>
      <c r="L483" s="242"/>
      <c r="M483" s="242"/>
      <c r="N483" s="242"/>
      <c r="O483" s="242"/>
      <c r="P483" s="242"/>
      <c r="Q483" s="242"/>
      <c r="R483" s="242"/>
      <c r="S483" s="243"/>
      <c r="T483" s="280"/>
      <c r="U483" s="341"/>
      <c r="V483" s="13"/>
      <c r="W483" s="242"/>
      <c r="X483" s="242"/>
      <c r="Y483" s="242"/>
    </row>
    <row r="484">
      <c r="A484" s="340"/>
      <c r="B484" s="242"/>
      <c r="C484" s="242"/>
      <c r="D484" s="242"/>
      <c r="E484" s="242"/>
      <c r="F484" s="242"/>
      <c r="G484" s="243"/>
      <c r="H484" s="242"/>
      <c r="I484" s="264"/>
      <c r="J484" s="251"/>
      <c r="K484" s="251"/>
      <c r="L484" s="242"/>
      <c r="M484" s="242"/>
      <c r="N484" s="242"/>
      <c r="O484" s="242"/>
      <c r="P484" s="242"/>
      <c r="Q484" s="242"/>
      <c r="R484" s="242"/>
      <c r="S484" s="243"/>
      <c r="T484" s="280"/>
      <c r="U484" s="341"/>
      <c r="V484" s="13"/>
      <c r="W484" s="242"/>
      <c r="X484" s="242"/>
      <c r="Y484" s="242"/>
    </row>
    <row r="485">
      <c r="A485" s="340"/>
      <c r="B485" s="242"/>
      <c r="C485" s="242"/>
      <c r="D485" s="242"/>
      <c r="E485" s="242"/>
      <c r="F485" s="242"/>
      <c r="G485" s="243"/>
      <c r="H485" s="242"/>
      <c r="I485" s="264"/>
      <c r="J485" s="251"/>
      <c r="K485" s="251"/>
      <c r="L485" s="242"/>
      <c r="M485" s="242"/>
      <c r="N485" s="242"/>
      <c r="O485" s="242"/>
      <c r="P485" s="242"/>
      <c r="Q485" s="242"/>
      <c r="R485" s="242"/>
      <c r="S485" s="243"/>
      <c r="T485" s="280"/>
      <c r="U485" s="341"/>
      <c r="V485" s="13"/>
      <c r="W485" s="242"/>
      <c r="X485" s="242"/>
      <c r="Y485" s="242"/>
    </row>
    <row r="486">
      <c r="A486" s="340"/>
      <c r="B486" s="242"/>
      <c r="C486" s="242"/>
      <c r="D486" s="242"/>
      <c r="E486" s="242"/>
      <c r="F486" s="242"/>
      <c r="G486" s="243"/>
      <c r="H486" s="242"/>
      <c r="I486" s="264"/>
      <c r="J486" s="251"/>
      <c r="K486" s="251"/>
      <c r="L486" s="242"/>
      <c r="M486" s="242"/>
      <c r="N486" s="242"/>
      <c r="O486" s="242"/>
      <c r="P486" s="242"/>
      <c r="Q486" s="242"/>
      <c r="R486" s="242"/>
      <c r="S486" s="243"/>
      <c r="T486" s="280"/>
      <c r="U486" s="341"/>
      <c r="V486" s="13"/>
      <c r="W486" s="242"/>
      <c r="X486" s="242"/>
      <c r="Y486" s="242"/>
    </row>
    <row r="487">
      <c r="A487" s="340"/>
      <c r="B487" s="242"/>
      <c r="C487" s="242"/>
      <c r="D487" s="242"/>
      <c r="E487" s="242"/>
      <c r="F487" s="242"/>
      <c r="G487" s="243"/>
      <c r="H487" s="242"/>
      <c r="I487" s="264"/>
      <c r="J487" s="251"/>
      <c r="K487" s="251"/>
      <c r="L487" s="242"/>
      <c r="M487" s="242"/>
      <c r="N487" s="242"/>
      <c r="O487" s="242"/>
      <c r="P487" s="242"/>
      <c r="Q487" s="242"/>
      <c r="R487" s="242"/>
      <c r="S487" s="243"/>
      <c r="T487" s="280"/>
      <c r="U487" s="341"/>
      <c r="V487" s="13"/>
      <c r="W487" s="242"/>
      <c r="X487" s="242"/>
      <c r="Y487" s="242"/>
    </row>
    <row r="488">
      <c r="A488" s="340"/>
      <c r="B488" s="242"/>
      <c r="C488" s="242"/>
      <c r="D488" s="242"/>
      <c r="E488" s="242"/>
      <c r="F488" s="242"/>
      <c r="G488" s="243"/>
      <c r="H488" s="242"/>
      <c r="I488" s="264"/>
      <c r="J488" s="251"/>
      <c r="K488" s="251"/>
      <c r="L488" s="242"/>
      <c r="M488" s="242"/>
      <c r="N488" s="242"/>
      <c r="O488" s="242"/>
      <c r="P488" s="242"/>
      <c r="Q488" s="242"/>
      <c r="R488" s="242"/>
      <c r="S488" s="243"/>
      <c r="T488" s="280"/>
      <c r="U488" s="341"/>
      <c r="V488" s="13"/>
      <c r="W488" s="242"/>
      <c r="X488" s="242"/>
      <c r="Y488" s="242"/>
    </row>
    <row r="489">
      <c r="A489" s="340"/>
      <c r="B489" s="242"/>
      <c r="C489" s="242"/>
      <c r="D489" s="242"/>
      <c r="E489" s="242"/>
      <c r="F489" s="242"/>
      <c r="G489" s="243"/>
      <c r="H489" s="242"/>
      <c r="I489" s="264"/>
      <c r="J489" s="251"/>
      <c r="K489" s="251"/>
      <c r="L489" s="242"/>
      <c r="M489" s="242"/>
      <c r="N489" s="242"/>
      <c r="O489" s="242"/>
      <c r="P489" s="242"/>
      <c r="Q489" s="242"/>
      <c r="R489" s="242"/>
      <c r="S489" s="243"/>
      <c r="T489" s="280"/>
      <c r="U489" s="341"/>
      <c r="V489" s="13"/>
      <c r="W489" s="242"/>
      <c r="X489" s="242"/>
      <c r="Y489" s="242"/>
    </row>
    <row r="490">
      <c r="A490" s="340"/>
      <c r="B490" s="242"/>
      <c r="C490" s="242"/>
      <c r="D490" s="242"/>
      <c r="E490" s="242"/>
      <c r="F490" s="242"/>
      <c r="G490" s="243"/>
      <c r="H490" s="242"/>
      <c r="I490" s="264"/>
      <c r="J490" s="251"/>
      <c r="K490" s="251"/>
      <c r="L490" s="242"/>
      <c r="M490" s="242"/>
      <c r="N490" s="242"/>
      <c r="O490" s="242"/>
      <c r="P490" s="242"/>
      <c r="Q490" s="242"/>
      <c r="R490" s="242"/>
      <c r="S490" s="243"/>
      <c r="T490" s="280"/>
      <c r="U490" s="341"/>
      <c r="V490" s="13"/>
      <c r="W490" s="242"/>
      <c r="X490" s="242"/>
      <c r="Y490" s="242"/>
    </row>
    <row r="491">
      <c r="A491" s="340"/>
      <c r="B491" s="242"/>
      <c r="C491" s="242"/>
      <c r="D491" s="242"/>
      <c r="E491" s="242"/>
      <c r="F491" s="242"/>
      <c r="G491" s="243"/>
      <c r="H491" s="242"/>
      <c r="I491" s="264"/>
      <c r="J491" s="251"/>
      <c r="K491" s="251"/>
      <c r="L491" s="242"/>
      <c r="M491" s="242"/>
      <c r="N491" s="242"/>
      <c r="O491" s="242"/>
      <c r="P491" s="242"/>
      <c r="Q491" s="242"/>
      <c r="R491" s="242"/>
      <c r="S491" s="243"/>
      <c r="T491" s="280"/>
      <c r="U491" s="341"/>
      <c r="V491" s="13"/>
      <c r="W491" s="242"/>
      <c r="X491" s="242"/>
      <c r="Y491" s="242"/>
    </row>
    <row r="492">
      <c r="A492" s="340"/>
      <c r="B492" s="242"/>
      <c r="C492" s="242"/>
      <c r="D492" s="242"/>
      <c r="E492" s="242"/>
      <c r="F492" s="242"/>
      <c r="G492" s="243"/>
      <c r="H492" s="242"/>
      <c r="I492" s="264"/>
      <c r="J492" s="251"/>
      <c r="K492" s="251"/>
      <c r="L492" s="242"/>
      <c r="M492" s="242"/>
      <c r="N492" s="242"/>
      <c r="O492" s="242"/>
      <c r="P492" s="242"/>
      <c r="Q492" s="242"/>
      <c r="R492" s="242"/>
      <c r="S492" s="243"/>
      <c r="T492" s="280"/>
      <c r="U492" s="341"/>
      <c r="V492" s="13"/>
      <c r="W492" s="242"/>
      <c r="X492" s="242"/>
      <c r="Y492" s="242"/>
    </row>
    <row r="493">
      <c r="A493" s="340"/>
      <c r="B493" s="242"/>
      <c r="C493" s="242"/>
      <c r="D493" s="242"/>
      <c r="E493" s="242"/>
      <c r="F493" s="242"/>
      <c r="G493" s="243"/>
      <c r="H493" s="242"/>
      <c r="I493" s="264"/>
      <c r="J493" s="251"/>
      <c r="K493" s="251"/>
      <c r="L493" s="242"/>
      <c r="M493" s="242"/>
      <c r="N493" s="242"/>
      <c r="O493" s="242"/>
      <c r="P493" s="242"/>
      <c r="Q493" s="242"/>
      <c r="R493" s="242"/>
      <c r="S493" s="243"/>
      <c r="T493" s="280"/>
      <c r="U493" s="341"/>
      <c r="V493" s="13"/>
      <c r="W493" s="242"/>
      <c r="X493" s="242"/>
      <c r="Y493" s="242"/>
    </row>
    <row r="494">
      <c r="A494" s="340"/>
      <c r="B494" s="242"/>
      <c r="C494" s="242"/>
      <c r="D494" s="242"/>
      <c r="E494" s="242"/>
      <c r="F494" s="242"/>
      <c r="G494" s="243"/>
      <c r="H494" s="242"/>
      <c r="I494" s="264"/>
      <c r="J494" s="251"/>
      <c r="K494" s="251"/>
      <c r="L494" s="242"/>
      <c r="M494" s="242"/>
      <c r="N494" s="242"/>
      <c r="O494" s="242"/>
      <c r="P494" s="242"/>
      <c r="Q494" s="242"/>
      <c r="R494" s="242"/>
      <c r="S494" s="243"/>
      <c r="T494" s="280"/>
      <c r="U494" s="341"/>
      <c r="V494" s="13"/>
      <c r="W494" s="242"/>
      <c r="X494" s="242"/>
      <c r="Y494" s="242"/>
    </row>
    <row r="495">
      <c r="A495" s="340"/>
      <c r="B495" s="242"/>
      <c r="C495" s="242"/>
      <c r="D495" s="242"/>
      <c r="E495" s="242"/>
      <c r="F495" s="242"/>
      <c r="G495" s="243"/>
      <c r="H495" s="242"/>
      <c r="I495" s="264"/>
      <c r="J495" s="251"/>
      <c r="K495" s="251"/>
      <c r="L495" s="242"/>
      <c r="M495" s="242"/>
      <c r="N495" s="242"/>
      <c r="O495" s="242"/>
      <c r="P495" s="242"/>
      <c r="Q495" s="242"/>
      <c r="R495" s="242"/>
      <c r="S495" s="243"/>
      <c r="T495" s="280"/>
      <c r="U495" s="341"/>
      <c r="V495" s="13"/>
      <c r="W495" s="242"/>
      <c r="X495" s="242"/>
      <c r="Y495" s="242"/>
    </row>
    <row r="496">
      <c r="A496" s="340"/>
      <c r="B496" s="242"/>
      <c r="C496" s="242"/>
      <c r="D496" s="242"/>
      <c r="E496" s="242"/>
      <c r="F496" s="242"/>
      <c r="G496" s="243"/>
      <c r="H496" s="242"/>
      <c r="I496" s="264"/>
      <c r="J496" s="251"/>
      <c r="K496" s="251"/>
      <c r="L496" s="242"/>
      <c r="M496" s="242"/>
      <c r="N496" s="242"/>
      <c r="O496" s="242"/>
      <c r="P496" s="242"/>
      <c r="Q496" s="242"/>
      <c r="R496" s="242"/>
      <c r="S496" s="243"/>
      <c r="T496" s="280"/>
      <c r="U496" s="341"/>
      <c r="V496" s="13"/>
      <c r="W496" s="242"/>
      <c r="X496" s="242"/>
      <c r="Y496" s="242"/>
    </row>
    <row r="497">
      <c r="A497" s="340"/>
      <c r="B497" s="242"/>
      <c r="C497" s="242"/>
      <c r="D497" s="242"/>
      <c r="E497" s="242"/>
      <c r="F497" s="242"/>
      <c r="G497" s="243"/>
      <c r="H497" s="242"/>
      <c r="I497" s="264"/>
      <c r="J497" s="251"/>
      <c r="K497" s="251"/>
      <c r="L497" s="242"/>
      <c r="M497" s="242"/>
      <c r="N497" s="242"/>
      <c r="O497" s="242"/>
      <c r="P497" s="242"/>
      <c r="Q497" s="242"/>
      <c r="R497" s="242"/>
      <c r="S497" s="243"/>
      <c r="T497" s="280"/>
      <c r="U497" s="341"/>
      <c r="V497" s="13"/>
      <c r="W497" s="242"/>
      <c r="X497" s="242"/>
      <c r="Y497" s="242"/>
    </row>
    <row r="498">
      <c r="A498" s="340"/>
      <c r="B498" s="242"/>
      <c r="C498" s="242"/>
      <c r="D498" s="242"/>
      <c r="E498" s="242"/>
      <c r="F498" s="242"/>
      <c r="G498" s="243"/>
      <c r="H498" s="242"/>
      <c r="I498" s="264"/>
      <c r="J498" s="251"/>
      <c r="K498" s="251"/>
      <c r="L498" s="242"/>
      <c r="M498" s="242"/>
      <c r="N498" s="242"/>
      <c r="O498" s="242"/>
      <c r="P498" s="242"/>
      <c r="Q498" s="242"/>
      <c r="R498" s="242"/>
      <c r="S498" s="243"/>
      <c r="T498" s="280"/>
      <c r="U498" s="341"/>
      <c r="V498" s="13"/>
      <c r="W498" s="242"/>
      <c r="X498" s="242"/>
      <c r="Y498" s="242"/>
    </row>
    <row r="499">
      <c r="A499" s="340"/>
      <c r="B499" s="242"/>
      <c r="C499" s="242"/>
      <c r="D499" s="242"/>
      <c r="E499" s="242"/>
      <c r="F499" s="242"/>
      <c r="G499" s="243"/>
      <c r="H499" s="242"/>
      <c r="I499" s="264"/>
      <c r="J499" s="251"/>
      <c r="K499" s="251"/>
      <c r="L499" s="242"/>
      <c r="M499" s="242"/>
      <c r="N499" s="242"/>
      <c r="O499" s="242"/>
      <c r="P499" s="242"/>
      <c r="Q499" s="242"/>
      <c r="R499" s="242"/>
      <c r="S499" s="243"/>
      <c r="T499" s="280"/>
      <c r="U499" s="341"/>
      <c r="V499" s="13"/>
      <c r="W499" s="242"/>
      <c r="X499" s="242"/>
      <c r="Y499" s="242"/>
    </row>
    <row r="500">
      <c r="A500" s="340"/>
      <c r="B500" s="242"/>
      <c r="C500" s="242"/>
      <c r="D500" s="242"/>
      <c r="E500" s="242"/>
      <c r="F500" s="242"/>
      <c r="G500" s="243"/>
      <c r="H500" s="242"/>
      <c r="I500" s="264"/>
      <c r="J500" s="251"/>
      <c r="K500" s="251"/>
      <c r="L500" s="242"/>
      <c r="M500" s="242"/>
      <c r="N500" s="242"/>
      <c r="O500" s="242"/>
      <c r="P500" s="242"/>
      <c r="Q500" s="242"/>
      <c r="R500" s="242"/>
      <c r="S500" s="243"/>
      <c r="T500" s="280"/>
      <c r="U500" s="341"/>
      <c r="V500" s="13"/>
      <c r="W500" s="242"/>
      <c r="X500" s="242"/>
      <c r="Y500" s="242"/>
    </row>
    <row r="501">
      <c r="A501" s="340"/>
      <c r="B501" s="242"/>
      <c r="C501" s="242"/>
      <c r="D501" s="242"/>
      <c r="E501" s="242"/>
      <c r="F501" s="242"/>
      <c r="G501" s="243"/>
      <c r="H501" s="242"/>
      <c r="I501" s="264"/>
      <c r="J501" s="251"/>
      <c r="K501" s="251"/>
      <c r="L501" s="242"/>
      <c r="M501" s="242"/>
      <c r="N501" s="242"/>
      <c r="O501" s="242"/>
      <c r="P501" s="242"/>
      <c r="Q501" s="242"/>
      <c r="R501" s="242"/>
      <c r="S501" s="243"/>
      <c r="T501" s="280"/>
      <c r="U501" s="341"/>
      <c r="V501" s="13"/>
      <c r="W501" s="242"/>
      <c r="X501" s="242"/>
      <c r="Y501" s="242"/>
    </row>
    <row r="502">
      <c r="A502" s="340"/>
      <c r="B502" s="242"/>
      <c r="C502" s="242"/>
      <c r="D502" s="242"/>
      <c r="E502" s="242"/>
      <c r="F502" s="242"/>
      <c r="G502" s="243"/>
      <c r="H502" s="242"/>
      <c r="I502" s="264"/>
      <c r="J502" s="251"/>
      <c r="K502" s="251"/>
      <c r="L502" s="242"/>
      <c r="M502" s="242"/>
      <c r="N502" s="242"/>
      <c r="O502" s="242"/>
      <c r="P502" s="242"/>
      <c r="Q502" s="242"/>
      <c r="R502" s="242"/>
      <c r="S502" s="243"/>
      <c r="T502" s="280"/>
      <c r="U502" s="341"/>
      <c r="V502" s="13"/>
      <c r="W502" s="242"/>
      <c r="X502" s="242"/>
      <c r="Y502" s="242"/>
    </row>
    <row r="503">
      <c r="A503" s="340"/>
      <c r="B503" s="242"/>
      <c r="C503" s="242"/>
      <c r="D503" s="242"/>
      <c r="E503" s="242"/>
      <c r="F503" s="242"/>
      <c r="G503" s="243"/>
      <c r="H503" s="242"/>
      <c r="I503" s="264"/>
      <c r="J503" s="251"/>
      <c r="K503" s="251"/>
      <c r="L503" s="242"/>
      <c r="M503" s="242"/>
      <c r="N503" s="242"/>
      <c r="O503" s="242"/>
      <c r="P503" s="242"/>
      <c r="Q503" s="242"/>
      <c r="R503" s="242"/>
      <c r="S503" s="243"/>
      <c r="T503" s="280"/>
      <c r="U503" s="341"/>
      <c r="V503" s="13"/>
      <c r="W503" s="242"/>
      <c r="X503" s="242"/>
      <c r="Y503" s="242"/>
    </row>
    <row r="504">
      <c r="A504" s="340"/>
      <c r="B504" s="242"/>
      <c r="C504" s="242"/>
      <c r="D504" s="242"/>
      <c r="E504" s="242"/>
      <c r="F504" s="242"/>
      <c r="G504" s="243"/>
      <c r="H504" s="242"/>
      <c r="I504" s="264"/>
      <c r="J504" s="251"/>
      <c r="K504" s="251"/>
      <c r="L504" s="242"/>
      <c r="M504" s="242"/>
      <c r="N504" s="242"/>
      <c r="O504" s="242"/>
      <c r="P504" s="242"/>
      <c r="Q504" s="242"/>
      <c r="R504" s="242"/>
      <c r="S504" s="243"/>
      <c r="T504" s="280"/>
      <c r="U504" s="341"/>
      <c r="V504" s="13"/>
      <c r="W504" s="242"/>
      <c r="X504" s="242"/>
      <c r="Y504" s="242"/>
    </row>
    <row r="505">
      <c r="A505" s="340"/>
      <c r="B505" s="242"/>
      <c r="C505" s="242"/>
      <c r="D505" s="242"/>
      <c r="E505" s="242"/>
      <c r="F505" s="242"/>
      <c r="G505" s="243"/>
      <c r="H505" s="242"/>
      <c r="I505" s="264"/>
      <c r="J505" s="251"/>
      <c r="K505" s="251"/>
      <c r="L505" s="242"/>
      <c r="M505" s="242"/>
      <c r="N505" s="242"/>
      <c r="O505" s="242"/>
      <c r="P505" s="242"/>
      <c r="Q505" s="242"/>
      <c r="R505" s="242"/>
      <c r="S505" s="243"/>
      <c r="T505" s="280"/>
      <c r="U505" s="341"/>
      <c r="V505" s="13"/>
      <c r="W505" s="242"/>
      <c r="X505" s="242"/>
      <c r="Y505" s="242"/>
    </row>
    <row r="506">
      <c r="A506" s="340"/>
      <c r="B506" s="242"/>
      <c r="C506" s="242"/>
      <c r="D506" s="242"/>
      <c r="E506" s="242"/>
      <c r="F506" s="242"/>
      <c r="G506" s="243"/>
      <c r="H506" s="242"/>
      <c r="I506" s="264"/>
      <c r="J506" s="251"/>
      <c r="K506" s="251"/>
      <c r="L506" s="242"/>
      <c r="M506" s="242"/>
      <c r="N506" s="242"/>
      <c r="O506" s="242"/>
      <c r="P506" s="242"/>
      <c r="Q506" s="242"/>
      <c r="R506" s="242"/>
      <c r="S506" s="243"/>
      <c r="T506" s="280"/>
      <c r="U506" s="341"/>
      <c r="V506" s="13"/>
      <c r="W506" s="242"/>
      <c r="X506" s="242"/>
      <c r="Y506" s="242"/>
    </row>
    <row r="507">
      <c r="A507" s="340"/>
      <c r="B507" s="242"/>
      <c r="C507" s="242"/>
      <c r="D507" s="242"/>
      <c r="E507" s="242"/>
      <c r="F507" s="242"/>
      <c r="G507" s="243"/>
      <c r="H507" s="242"/>
      <c r="I507" s="264"/>
      <c r="J507" s="251"/>
      <c r="K507" s="251"/>
      <c r="L507" s="242"/>
      <c r="M507" s="242"/>
      <c r="N507" s="242"/>
      <c r="O507" s="242"/>
      <c r="P507" s="242"/>
      <c r="Q507" s="242"/>
      <c r="R507" s="242"/>
      <c r="S507" s="243"/>
      <c r="T507" s="280"/>
      <c r="U507" s="341"/>
      <c r="V507" s="13"/>
      <c r="W507" s="242"/>
      <c r="X507" s="242"/>
      <c r="Y507" s="242"/>
    </row>
    <row r="508">
      <c r="A508" s="340"/>
      <c r="B508" s="242"/>
      <c r="C508" s="242"/>
      <c r="D508" s="242"/>
      <c r="E508" s="242"/>
      <c r="F508" s="242"/>
      <c r="G508" s="243"/>
      <c r="H508" s="242"/>
      <c r="I508" s="264"/>
      <c r="J508" s="251"/>
      <c r="K508" s="251"/>
      <c r="L508" s="242"/>
      <c r="M508" s="242"/>
      <c r="N508" s="242"/>
      <c r="O508" s="242"/>
      <c r="P508" s="242"/>
      <c r="Q508" s="242"/>
      <c r="R508" s="242"/>
      <c r="S508" s="243"/>
      <c r="T508" s="280"/>
      <c r="U508" s="341"/>
      <c r="V508" s="13"/>
      <c r="W508" s="242"/>
      <c r="X508" s="242"/>
      <c r="Y508" s="242"/>
    </row>
    <row r="509">
      <c r="A509" s="340"/>
      <c r="B509" s="242"/>
      <c r="C509" s="242"/>
      <c r="D509" s="242"/>
      <c r="E509" s="242"/>
      <c r="F509" s="242"/>
      <c r="G509" s="243"/>
      <c r="H509" s="242"/>
      <c r="I509" s="264"/>
      <c r="J509" s="251"/>
      <c r="K509" s="251"/>
      <c r="L509" s="242"/>
      <c r="M509" s="242"/>
      <c r="N509" s="242"/>
      <c r="O509" s="242"/>
      <c r="P509" s="242"/>
      <c r="Q509" s="242"/>
      <c r="R509" s="242"/>
      <c r="S509" s="243"/>
      <c r="T509" s="280"/>
      <c r="U509" s="341"/>
      <c r="V509" s="13"/>
      <c r="W509" s="242"/>
      <c r="X509" s="242"/>
      <c r="Y509" s="242"/>
    </row>
    <row r="510">
      <c r="A510" s="340"/>
      <c r="B510" s="242"/>
      <c r="C510" s="242"/>
      <c r="D510" s="242"/>
      <c r="E510" s="242"/>
      <c r="F510" s="242"/>
      <c r="G510" s="243"/>
      <c r="H510" s="242"/>
      <c r="I510" s="264"/>
      <c r="J510" s="251"/>
      <c r="K510" s="251"/>
      <c r="L510" s="242"/>
      <c r="M510" s="242"/>
      <c r="N510" s="242"/>
      <c r="O510" s="242"/>
      <c r="P510" s="242"/>
      <c r="Q510" s="242"/>
      <c r="R510" s="242"/>
      <c r="S510" s="243"/>
      <c r="T510" s="280"/>
      <c r="U510" s="341"/>
      <c r="V510" s="13"/>
      <c r="W510" s="242"/>
      <c r="X510" s="242"/>
      <c r="Y510" s="242"/>
    </row>
    <row r="511">
      <c r="A511" s="340"/>
      <c r="B511" s="242"/>
      <c r="C511" s="242"/>
      <c r="D511" s="242"/>
      <c r="E511" s="242"/>
      <c r="F511" s="242"/>
      <c r="G511" s="243"/>
      <c r="H511" s="242"/>
      <c r="I511" s="264"/>
      <c r="J511" s="251"/>
      <c r="K511" s="251"/>
      <c r="L511" s="242"/>
      <c r="M511" s="242"/>
      <c r="N511" s="242"/>
      <c r="O511" s="242"/>
      <c r="P511" s="242"/>
      <c r="Q511" s="242"/>
      <c r="R511" s="242"/>
      <c r="S511" s="243"/>
      <c r="T511" s="280"/>
      <c r="U511" s="341"/>
      <c r="V511" s="13"/>
      <c r="W511" s="242"/>
      <c r="X511" s="242"/>
      <c r="Y511" s="242"/>
    </row>
    <row r="512">
      <c r="A512" s="340"/>
      <c r="B512" s="242"/>
      <c r="C512" s="242"/>
      <c r="D512" s="242"/>
      <c r="E512" s="242"/>
      <c r="F512" s="242"/>
      <c r="G512" s="243"/>
      <c r="H512" s="242"/>
      <c r="I512" s="264"/>
      <c r="J512" s="251"/>
      <c r="K512" s="251"/>
      <c r="L512" s="242"/>
      <c r="M512" s="242"/>
      <c r="N512" s="242"/>
      <c r="O512" s="242"/>
      <c r="P512" s="242"/>
      <c r="Q512" s="242"/>
      <c r="R512" s="242"/>
      <c r="S512" s="243"/>
      <c r="T512" s="280"/>
      <c r="U512" s="341"/>
      <c r="V512" s="13"/>
      <c r="W512" s="242"/>
      <c r="X512" s="242"/>
      <c r="Y512" s="242"/>
    </row>
    <row r="513">
      <c r="A513" s="340"/>
      <c r="B513" s="242"/>
      <c r="C513" s="242"/>
      <c r="D513" s="242"/>
      <c r="E513" s="242"/>
      <c r="F513" s="242"/>
      <c r="G513" s="243"/>
      <c r="H513" s="242"/>
      <c r="I513" s="264"/>
      <c r="J513" s="251"/>
      <c r="K513" s="251"/>
      <c r="L513" s="242"/>
      <c r="M513" s="242"/>
      <c r="N513" s="242"/>
      <c r="O513" s="242"/>
      <c r="P513" s="242"/>
      <c r="Q513" s="242"/>
      <c r="R513" s="242"/>
      <c r="S513" s="243"/>
      <c r="T513" s="280"/>
      <c r="U513" s="341"/>
      <c r="V513" s="13"/>
      <c r="W513" s="242"/>
      <c r="X513" s="242"/>
      <c r="Y513" s="242"/>
    </row>
    <row r="514">
      <c r="A514" s="340"/>
      <c r="B514" s="242"/>
      <c r="C514" s="242"/>
      <c r="D514" s="242"/>
      <c r="E514" s="242"/>
      <c r="F514" s="242"/>
      <c r="G514" s="243"/>
      <c r="H514" s="242"/>
      <c r="I514" s="264"/>
      <c r="J514" s="251"/>
      <c r="K514" s="251"/>
      <c r="L514" s="242"/>
      <c r="M514" s="242"/>
      <c r="N514" s="242"/>
      <c r="O514" s="242"/>
      <c r="P514" s="242"/>
      <c r="Q514" s="242"/>
      <c r="R514" s="242"/>
      <c r="S514" s="243"/>
      <c r="T514" s="280"/>
      <c r="U514" s="341"/>
      <c r="V514" s="13"/>
      <c r="W514" s="242"/>
      <c r="X514" s="242"/>
      <c r="Y514" s="242"/>
    </row>
    <row r="515">
      <c r="A515" s="340"/>
      <c r="B515" s="242"/>
      <c r="C515" s="242"/>
      <c r="D515" s="242"/>
      <c r="E515" s="242"/>
      <c r="F515" s="242"/>
      <c r="G515" s="243"/>
      <c r="H515" s="242"/>
      <c r="I515" s="264"/>
      <c r="J515" s="251"/>
      <c r="K515" s="251"/>
      <c r="L515" s="242"/>
      <c r="M515" s="242"/>
      <c r="N515" s="242"/>
      <c r="O515" s="242"/>
      <c r="P515" s="242"/>
      <c r="Q515" s="242"/>
      <c r="R515" s="242"/>
      <c r="S515" s="243"/>
      <c r="T515" s="280"/>
      <c r="U515" s="341"/>
      <c r="V515" s="13"/>
      <c r="W515" s="242"/>
      <c r="X515" s="242"/>
      <c r="Y515" s="242"/>
    </row>
    <row r="516">
      <c r="A516" s="340"/>
      <c r="B516" s="242"/>
      <c r="C516" s="242"/>
      <c r="D516" s="242"/>
      <c r="E516" s="242"/>
      <c r="F516" s="242"/>
      <c r="G516" s="243"/>
      <c r="H516" s="242"/>
      <c r="I516" s="264"/>
      <c r="J516" s="251"/>
      <c r="K516" s="251"/>
      <c r="L516" s="242"/>
      <c r="M516" s="242"/>
      <c r="N516" s="242"/>
      <c r="O516" s="242"/>
      <c r="P516" s="242"/>
      <c r="Q516" s="242"/>
      <c r="R516" s="242"/>
      <c r="S516" s="243"/>
      <c r="T516" s="280"/>
      <c r="U516" s="341"/>
      <c r="V516" s="13"/>
      <c r="W516" s="242"/>
      <c r="X516" s="242"/>
      <c r="Y516" s="242"/>
    </row>
    <row r="517">
      <c r="A517" s="340"/>
      <c r="B517" s="242"/>
      <c r="C517" s="242"/>
      <c r="D517" s="242"/>
      <c r="E517" s="242"/>
      <c r="F517" s="242"/>
      <c r="G517" s="243"/>
      <c r="H517" s="242"/>
      <c r="I517" s="264"/>
      <c r="J517" s="251"/>
      <c r="K517" s="251"/>
      <c r="L517" s="242"/>
      <c r="M517" s="242"/>
      <c r="N517" s="242"/>
      <c r="O517" s="242"/>
      <c r="P517" s="242"/>
      <c r="Q517" s="242"/>
      <c r="R517" s="242"/>
      <c r="S517" s="243"/>
      <c r="T517" s="280"/>
      <c r="U517" s="341"/>
      <c r="V517" s="13"/>
      <c r="W517" s="242"/>
      <c r="X517" s="242"/>
      <c r="Y517" s="242"/>
    </row>
    <row r="518">
      <c r="A518" s="340"/>
      <c r="B518" s="242"/>
      <c r="C518" s="242"/>
      <c r="D518" s="242"/>
      <c r="E518" s="242"/>
      <c r="F518" s="242"/>
      <c r="G518" s="243"/>
      <c r="H518" s="242"/>
      <c r="I518" s="264"/>
      <c r="J518" s="251"/>
      <c r="K518" s="251"/>
      <c r="L518" s="242"/>
      <c r="M518" s="242"/>
      <c r="N518" s="242"/>
      <c r="O518" s="242"/>
      <c r="P518" s="242"/>
      <c r="Q518" s="242"/>
      <c r="R518" s="242"/>
      <c r="S518" s="243"/>
      <c r="T518" s="280"/>
      <c r="U518" s="341"/>
      <c r="V518" s="13"/>
      <c r="W518" s="242"/>
      <c r="X518" s="242"/>
      <c r="Y518" s="242"/>
    </row>
    <row r="519">
      <c r="A519" s="340"/>
      <c r="B519" s="242"/>
      <c r="C519" s="242"/>
      <c r="D519" s="242"/>
      <c r="E519" s="242"/>
      <c r="F519" s="242"/>
      <c r="G519" s="243"/>
      <c r="H519" s="242"/>
      <c r="I519" s="264"/>
      <c r="J519" s="251"/>
      <c r="K519" s="251"/>
      <c r="L519" s="242"/>
      <c r="M519" s="242"/>
      <c r="N519" s="242"/>
      <c r="O519" s="242"/>
      <c r="P519" s="242"/>
      <c r="Q519" s="242"/>
      <c r="R519" s="242"/>
      <c r="S519" s="243"/>
      <c r="T519" s="280"/>
      <c r="U519" s="341"/>
      <c r="V519" s="13"/>
      <c r="W519" s="242"/>
      <c r="X519" s="242"/>
      <c r="Y519" s="242"/>
    </row>
    <row r="520">
      <c r="A520" s="340"/>
      <c r="B520" s="242"/>
      <c r="C520" s="242"/>
      <c r="D520" s="242"/>
      <c r="E520" s="242"/>
      <c r="F520" s="242"/>
      <c r="G520" s="243"/>
      <c r="H520" s="242"/>
      <c r="I520" s="264"/>
      <c r="J520" s="251"/>
      <c r="K520" s="251"/>
      <c r="L520" s="242"/>
      <c r="M520" s="242"/>
      <c r="N520" s="242"/>
      <c r="O520" s="242"/>
      <c r="P520" s="242"/>
      <c r="Q520" s="242"/>
      <c r="R520" s="242"/>
      <c r="S520" s="243"/>
      <c r="T520" s="280"/>
      <c r="U520" s="341"/>
      <c r="V520" s="13"/>
      <c r="W520" s="242"/>
      <c r="X520" s="242"/>
      <c r="Y520" s="242"/>
    </row>
    <row r="521">
      <c r="A521" s="340"/>
      <c r="B521" s="242"/>
      <c r="C521" s="242"/>
      <c r="D521" s="242"/>
      <c r="E521" s="242"/>
      <c r="F521" s="242"/>
      <c r="G521" s="243"/>
      <c r="H521" s="242"/>
      <c r="I521" s="264"/>
      <c r="J521" s="251"/>
      <c r="K521" s="251"/>
      <c r="L521" s="242"/>
      <c r="M521" s="242"/>
      <c r="N521" s="242"/>
      <c r="O521" s="242"/>
      <c r="P521" s="242"/>
      <c r="Q521" s="242"/>
      <c r="R521" s="242"/>
      <c r="S521" s="243"/>
      <c r="T521" s="280"/>
      <c r="U521" s="341"/>
      <c r="V521" s="13"/>
      <c r="W521" s="242"/>
      <c r="X521" s="242"/>
      <c r="Y521" s="242"/>
    </row>
    <row r="522">
      <c r="A522" s="340"/>
      <c r="B522" s="242"/>
      <c r="C522" s="242"/>
      <c r="D522" s="242"/>
      <c r="E522" s="242"/>
      <c r="F522" s="242"/>
      <c r="G522" s="243"/>
      <c r="H522" s="242"/>
      <c r="I522" s="264"/>
      <c r="J522" s="251"/>
      <c r="K522" s="251"/>
      <c r="L522" s="242"/>
      <c r="M522" s="242"/>
      <c r="N522" s="242"/>
      <c r="O522" s="242"/>
      <c r="P522" s="242"/>
      <c r="Q522" s="242"/>
      <c r="R522" s="242"/>
      <c r="S522" s="243"/>
      <c r="T522" s="280"/>
      <c r="U522" s="341"/>
      <c r="V522" s="13"/>
      <c r="W522" s="242"/>
      <c r="X522" s="242"/>
      <c r="Y522" s="242"/>
    </row>
    <row r="523">
      <c r="A523" s="340"/>
      <c r="B523" s="242"/>
      <c r="C523" s="242"/>
      <c r="D523" s="242"/>
      <c r="E523" s="242"/>
      <c r="F523" s="242"/>
      <c r="G523" s="243"/>
      <c r="H523" s="242"/>
      <c r="I523" s="264"/>
      <c r="J523" s="251"/>
      <c r="K523" s="251"/>
      <c r="L523" s="242"/>
      <c r="M523" s="242"/>
      <c r="N523" s="242"/>
      <c r="O523" s="242"/>
      <c r="P523" s="242"/>
      <c r="Q523" s="242"/>
      <c r="R523" s="242"/>
      <c r="S523" s="243"/>
      <c r="T523" s="280"/>
      <c r="U523" s="341"/>
      <c r="V523" s="13"/>
      <c r="W523" s="242"/>
      <c r="X523" s="242"/>
      <c r="Y523" s="242"/>
    </row>
    <row r="524">
      <c r="A524" s="340"/>
      <c r="B524" s="242"/>
      <c r="C524" s="242"/>
      <c r="D524" s="242"/>
      <c r="E524" s="242"/>
      <c r="F524" s="242"/>
      <c r="G524" s="243"/>
      <c r="H524" s="242"/>
      <c r="I524" s="264"/>
      <c r="J524" s="251"/>
      <c r="K524" s="251"/>
      <c r="L524" s="242"/>
      <c r="M524" s="242"/>
      <c r="N524" s="242"/>
      <c r="O524" s="242"/>
      <c r="P524" s="242"/>
      <c r="Q524" s="242"/>
      <c r="R524" s="242"/>
      <c r="S524" s="243"/>
      <c r="T524" s="280"/>
      <c r="U524" s="341"/>
      <c r="V524" s="13"/>
      <c r="W524" s="242"/>
      <c r="X524" s="242"/>
      <c r="Y524" s="242"/>
    </row>
    <row r="525">
      <c r="A525" s="340"/>
      <c r="B525" s="242"/>
      <c r="C525" s="242"/>
      <c r="D525" s="242"/>
      <c r="E525" s="242"/>
      <c r="F525" s="242"/>
      <c r="G525" s="243"/>
      <c r="H525" s="242"/>
      <c r="I525" s="264"/>
      <c r="J525" s="251"/>
      <c r="K525" s="251"/>
      <c r="L525" s="242"/>
      <c r="M525" s="242"/>
      <c r="N525" s="242"/>
      <c r="O525" s="242"/>
      <c r="P525" s="242"/>
      <c r="Q525" s="242"/>
      <c r="R525" s="242"/>
      <c r="S525" s="243"/>
      <c r="T525" s="280"/>
      <c r="U525" s="341"/>
      <c r="V525" s="13"/>
      <c r="W525" s="242"/>
      <c r="X525" s="242"/>
      <c r="Y525" s="242"/>
    </row>
    <row r="526">
      <c r="A526" s="340"/>
      <c r="B526" s="242"/>
      <c r="C526" s="242"/>
      <c r="D526" s="242"/>
      <c r="E526" s="242"/>
      <c r="F526" s="242"/>
      <c r="G526" s="243"/>
      <c r="H526" s="242"/>
      <c r="I526" s="264"/>
      <c r="J526" s="251"/>
      <c r="K526" s="251"/>
      <c r="L526" s="242"/>
      <c r="M526" s="242"/>
      <c r="N526" s="242"/>
      <c r="O526" s="242"/>
      <c r="P526" s="242"/>
      <c r="Q526" s="242"/>
      <c r="R526" s="242"/>
      <c r="S526" s="243"/>
      <c r="T526" s="280"/>
      <c r="U526" s="341"/>
      <c r="V526" s="13"/>
      <c r="W526" s="242"/>
      <c r="X526" s="242"/>
      <c r="Y526" s="242"/>
    </row>
    <row r="527">
      <c r="A527" s="340"/>
      <c r="B527" s="242"/>
      <c r="C527" s="242"/>
      <c r="D527" s="242"/>
      <c r="E527" s="242"/>
      <c r="F527" s="242"/>
      <c r="G527" s="243"/>
      <c r="H527" s="242"/>
      <c r="I527" s="264"/>
      <c r="J527" s="251"/>
      <c r="K527" s="251"/>
      <c r="L527" s="242"/>
      <c r="M527" s="242"/>
      <c r="N527" s="242"/>
      <c r="O527" s="242"/>
      <c r="P527" s="242"/>
      <c r="Q527" s="242"/>
      <c r="R527" s="242"/>
      <c r="S527" s="243"/>
      <c r="T527" s="280"/>
      <c r="U527" s="341"/>
      <c r="V527" s="13"/>
      <c r="W527" s="242"/>
      <c r="X527" s="242"/>
      <c r="Y527" s="242"/>
    </row>
    <row r="528">
      <c r="A528" s="340"/>
      <c r="B528" s="242"/>
      <c r="C528" s="242"/>
      <c r="D528" s="242"/>
      <c r="E528" s="242"/>
      <c r="F528" s="242"/>
      <c r="G528" s="243"/>
      <c r="H528" s="242"/>
      <c r="I528" s="264"/>
      <c r="J528" s="251"/>
      <c r="K528" s="251"/>
      <c r="L528" s="242"/>
      <c r="M528" s="242"/>
      <c r="N528" s="242"/>
      <c r="O528" s="242"/>
      <c r="P528" s="242"/>
      <c r="Q528" s="242"/>
      <c r="R528" s="242"/>
      <c r="S528" s="243"/>
      <c r="T528" s="280"/>
      <c r="U528" s="341"/>
      <c r="V528" s="13"/>
      <c r="W528" s="242"/>
      <c r="X528" s="242"/>
      <c r="Y528" s="242"/>
    </row>
    <row r="529">
      <c r="A529" s="340"/>
      <c r="B529" s="242"/>
      <c r="C529" s="242"/>
      <c r="D529" s="242"/>
      <c r="E529" s="242"/>
      <c r="F529" s="242"/>
      <c r="G529" s="243"/>
      <c r="H529" s="242"/>
      <c r="I529" s="264"/>
      <c r="J529" s="251"/>
      <c r="K529" s="251"/>
      <c r="L529" s="242"/>
      <c r="M529" s="242"/>
      <c r="N529" s="242"/>
      <c r="O529" s="242"/>
      <c r="P529" s="242"/>
      <c r="Q529" s="242"/>
      <c r="R529" s="242"/>
      <c r="S529" s="243"/>
      <c r="T529" s="280"/>
      <c r="U529" s="341"/>
      <c r="V529" s="13"/>
      <c r="W529" s="242"/>
      <c r="X529" s="242"/>
      <c r="Y529" s="242"/>
    </row>
    <row r="530">
      <c r="A530" s="340"/>
      <c r="B530" s="242"/>
      <c r="C530" s="242"/>
      <c r="D530" s="242"/>
      <c r="E530" s="242"/>
      <c r="F530" s="242"/>
      <c r="G530" s="243"/>
      <c r="H530" s="242"/>
      <c r="I530" s="264"/>
      <c r="J530" s="251"/>
      <c r="K530" s="251"/>
      <c r="L530" s="242"/>
      <c r="M530" s="242"/>
      <c r="N530" s="242"/>
      <c r="O530" s="242"/>
      <c r="P530" s="242"/>
      <c r="Q530" s="242"/>
      <c r="R530" s="242"/>
      <c r="S530" s="243"/>
      <c r="T530" s="280"/>
      <c r="U530" s="341"/>
      <c r="V530" s="13"/>
      <c r="W530" s="242"/>
      <c r="X530" s="242"/>
      <c r="Y530" s="242"/>
    </row>
    <row r="531">
      <c r="A531" s="340"/>
      <c r="B531" s="242"/>
      <c r="C531" s="242"/>
      <c r="D531" s="242"/>
      <c r="E531" s="242"/>
      <c r="F531" s="242"/>
      <c r="G531" s="243"/>
      <c r="H531" s="242"/>
      <c r="I531" s="264"/>
      <c r="J531" s="251"/>
      <c r="K531" s="251"/>
      <c r="L531" s="242"/>
      <c r="M531" s="242"/>
      <c r="N531" s="242"/>
      <c r="O531" s="242"/>
      <c r="P531" s="242"/>
      <c r="Q531" s="242"/>
      <c r="R531" s="242"/>
      <c r="S531" s="243"/>
      <c r="T531" s="280"/>
      <c r="U531" s="341"/>
      <c r="V531" s="13"/>
      <c r="W531" s="242"/>
      <c r="X531" s="242"/>
      <c r="Y531" s="242"/>
    </row>
    <row r="532">
      <c r="A532" s="340"/>
      <c r="B532" s="242"/>
      <c r="C532" s="242"/>
      <c r="D532" s="242"/>
      <c r="E532" s="242"/>
      <c r="F532" s="242"/>
      <c r="G532" s="243"/>
      <c r="H532" s="242"/>
      <c r="I532" s="264"/>
      <c r="J532" s="251"/>
      <c r="K532" s="251"/>
      <c r="L532" s="242"/>
      <c r="M532" s="242"/>
      <c r="N532" s="242"/>
      <c r="O532" s="242"/>
      <c r="P532" s="242"/>
      <c r="Q532" s="242"/>
      <c r="R532" s="242"/>
      <c r="S532" s="243"/>
      <c r="T532" s="280"/>
      <c r="U532" s="341"/>
      <c r="V532" s="13"/>
      <c r="W532" s="242"/>
      <c r="X532" s="242"/>
      <c r="Y532" s="242"/>
    </row>
    <row r="533">
      <c r="A533" s="340"/>
      <c r="B533" s="242"/>
      <c r="C533" s="242"/>
      <c r="D533" s="242"/>
      <c r="E533" s="242"/>
      <c r="F533" s="242"/>
      <c r="G533" s="243"/>
      <c r="H533" s="242"/>
      <c r="I533" s="264"/>
      <c r="J533" s="251"/>
      <c r="K533" s="251"/>
      <c r="L533" s="242"/>
      <c r="M533" s="242"/>
      <c r="N533" s="242"/>
      <c r="O533" s="242"/>
      <c r="P533" s="242"/>
      <c r="Q533" s="242"/>
      <c r="R533" s="242"/>
      <c r="S533" s="243"/>
      <c r="T533" s="280"/>
      <c r="U533" s="341"/>
      <c r="V533" s="13"/>
      <c r="W533" s="242"/>
      <c r="X533" s="242"/>
      <c r="Y533" s="242"/>
    </row>
    <row r="534">
      <c r="A534" s="340"/>
      <c r="B534" s="242"/>
      <c r="C534" s="242"/>
      <c r="D534" s="242"/>
      <c r="E534" s="242"/>
      <c r="F534" s="242"/>
      <c r="G534" s="243"/>
      <c r="H534" s="242"/>
      <c r="I534" s="264"/>
      <c r="J534" s="251"/>
      <c r="K534" s="251"/>
      <c r="L534" s="242"/>
      <c r="M534" s="242"/>
      <c r="N534" s="242"/>
      <c r="O534" s="242"/>
      <c r="P534" s="242"/>
      <c r="Q534" s="242"/>
      <c r="R534" s="242"/>
      <c r="S534" s="243"/>
      <c r="T534" s="280"/>
      <c r="U534" s="341"/>
      <c r="V534" s="13"/>
      <c r="W534" s="242"/>
      <c r="X534" s="242"/>
      <c r="Y534" s="242"/>
    </row>
    <row r="535">
      <c r="A535" s="340"/>
      <c r="B535" s="242"/>
      <c r="C535" s="242"/>
      <c r="D535" s="242"/>
      <c r="E535" s="242"/>
      <c r="F535" s="242"/>
      <c r="G535" s="243"/>
      <c r="H535" s="242"/>
      <c r="I535" s="264"/>
      <c r="J535" s="251"/>
      <c r="K535" s="251"/>
      <c r="L535" s="242"/>
      <c r="M535" s="242"/>
      <c r="N535" s="242"/>
      <c r="O535" s="242"/>
      <c r="P535" s="242"/>
      <c r="Q535" s="242"/>
      <c r="R535" s="242"/>
      <c r="S535" s="243"/>
      <c r="T535" s="280"/>
      <c r="U535" s="341"/>
      <c r="V535" s="13"/>
      <c r="W535" s="242"/>
      <c r="X535" s="242"/>
      <c r="Y535" s="242"/>
    </row>
    <row r="536">
      <c r="A536" s="340"/>
      <c r="B536" s="242"/>
      <c r="C536" s="242"/>
      <c r="D536" s="242"/>
      <c r="E536" s="242"/>
      <c r="F536" s="242"/>
      <c r="G536" s="243"/>
      <c r="H536" s="242"/>
      <c r="I536" s="264"/>
      <c r="J536" s="251"/>
      <c r="K536" s="251"/>
      <c r="L536" s="242"/>
      <c r="M536" s="242"/>
      <c r="N536" s="242"/>
      <c r="O536" s="242"/>
      <c r="P536" s="242"/>
      <c r="Q536" s="242"/>
      <c r="R536" s="242"/>
      <c r="S536" s="243"/>
      <c r="T536" s="280"/>
      <c r="U536" s="341"/>
      <c r="V536" s="13"/>
      <c r="W536" s="242"/>
      <c r="X536" s="242"/>
      <c r="Y536" s="242"/>
    </row>
    <row r="537">
      <c r="A537" s="340"/>
      <c r="B537" s="242"/>
      <c r="C537" s="242"/>
      <c r="D537" s="242"/>
      <c r="E537" s="242"/>
      <c r="F537" s="242"/>
      <c r="G537" s="243"/>
      <c r="H537" s="242"/>
      <c r="I537" s="264"/>
      <c r="J537" s="251"/>
      <c r="K537" s="251"/>
      <c r="L537" s="242"/>
      <c r="M537" s="242"/>
      <c r="N537" s="242"/>
      <c r="O537" s="242"/>
      <c r="P537" s="242"/>
      <c r="Q537" s="242"/>
      <c r="R537" s="242"/>
      <c r="S537" s="243"/>
      <c r="T537" s="280"/>
      <c r="U537" s="341"/>
      <c r="V537" s="13"/>
      <c r="W537" s="242"/>
      <c r="X537" s="242"/>
      <c r="Y537" s="242"/>
    </row>
    <row r="538">
      <c r="A538" s="340"/>
      <c r="B538" s="242"/>
      <c r="C538" s="242"/>
      <c r="D538" s="242"/>
      <c r="E538" s="242"/>
      <c r="F538" s="242"/>
      <c r="G538" s="243"/>
      <c r="H538" s="242"/>
      <c r="I538" s="264"/>
      <c r="J538" s="251"/>
      <c r="K538" s="251"/>
      <c r="L538" s="242"/>
      <c r="M538" s="242"/>
      <c r="N538" s="242"/>
      <c r="O538" s="242"/>
      <c r="P538" s="242"/>
      <c r="Q538" s="242"/>
      <c r="R538" s="242"/>
      <c r="S538" s="243"/>
      <c r="T538" s="280"/>
      <c r="U538" s="341"/>
      <c r="V538" s="13"/>
      <c r="W538" s="242"/>
      <c r="X538" s="242"/>
      <c r="Y538" s="242"/>
    </row>
    <row r="539">
      <c r="A539" s="340"/>
      <c r="B539" s="242"/>
      <c r="C539" s="242"/>
      <c r="D539" s="242"/>
      <c r="E539" s="242"/>
      <c r="F539" s="242"/>
      <c r="G539" s="243"/>
      <c r="H539" s="242"/>
      <c r="I539" s="264"/>
      <c r="J539" s="251"/>
      <c r="K539" s="251"/>
      <c r="L539" s="242"/>
      <c r="M539" s="242"/>
      <c r="N539" s="242"/>
      <c r="O539" s="242"/>
      <c r="P539" s="242"/>
      <c r="Q539" s="242"/>
      <c r="R539" s="242"/>
      <c r="S539" s="243"/>
      <c r="T539" s="280"/>
      <c r="U539" s="341"/>
      <c r="V539" s="13"/>
      <c r="W539" s="242"/>
      <c r="X539" s="242"/>
      <c r="Y539" s="242"/>
    </row>
    <row r="540">
      <c r="A540" s="340"/>
      <c r="B540" s="242"/>
      <c r="C540" s="242"/>
      <c r="D540" s="242"/>
      <c r="E540" s="242"/>
      <c r="F540" s="242"/>
      <c r="G540" s="243"/>
      <c r="H540" s="242"/>
      <c r="I540" s="264"/>
      <c r="J540" s="251"/>
      <c r="K540" s="251"/>
      <c r="L540" s="242"/>
      <c r="M540" s="242"/>
      <c r="N540" s="242"/>
      <c r="O540" s="242"/>
      <c r="P540" s="242"/>
      <c r="Q540" s="242"/>
      <c r="R540" s="242"/>
      <c r="S540" s="243"/>
      <c r="T540" s="280"/>
      <c r="U540" s="341"/>
      <c r="V540" s="13"/>
      <c r="W540" s="242"/>
      <c r="X540" s="242"/>
      <c r="Y540" s="242"/>
    </row>
    <row r="541">
      <c r="A541" s="340"/>
      <c r="B541" s="242"/>
      <c r="C541" s="242"/>
      <c r="D541" s="242"/>
      <c r="E541" s="242"/>
      <c r="F541" s="242"/>
      <c r="G541" s="243"/>
      <c r="H541" s="242"/>
      <c r="I541" s="264"/>
      <c r="J541" s="251"/>
      <c r="K541" s="251"/>
      <c r="L541" s="242"/>
      <c r="M541" s="242"/>
      <c r="N541" s="242"/>
      <c r="O541" s="242"/>
      <c r="P541" s="242"/>
      <c r="Q541" s="242"/>
      <c r="R541" s="242"/>
      <c r="S541" s="243"/>
      <c r="T541" s="280"/>
      <c r="U541" s="341"/>
      <c r="V541" s="13"/>
      <c r="W541" s="242"/>
      <c r="X541" s="242"/>
      <c r="Y541" s="242"/>
    </row>
    <row r="542">
      <c r="A542" s="340"/>
      <c r="B542" s="242"/>
      <c r="C542" s="242"/>
      <c r="D542" s="242"/>
      <c r="E542" s="242"/>
      <c r="F542" s="242"/>
      <c r="G542" s="243"/>
      <c r="H542" s="242"/>
      <c r="I542" s="264"/>
      <c r="J542" s="251"/>
      <c r="K542" s="251"/>
      <c r="L542" s="242"/>
      <c r="M542" s="242"/>
      <c r="N542" s="242"/>
      <c r="O542" s="242"/>
      <c r="P542" s="242"/>
      <c r="Q542" s="242"/>
      <c r="R542" s="242"/>
      <c r="S542" s="243"/>
      <c r="T542" s="280"/>
      <c r="U542" s="341"/>
      <c r="V542" s="13"/>
      <c r="W542" s="242"/>
      <c r="X542" s="242"/>
      <c r="Y542" s="242"/>
    </row>
    <row r="543">
      <c r="A543" s="340"/>
      <c r="B543" s="242"/>
      <c r="C543" s="242"/>
      <c r="D543" s="242"/>
      <c r="E543" s="242"/>
      <c r="F543" s="242"/>
      <c r="G543" s="243"/>
      <c r="H543" s="242"/>
      <c r="I543" s="264"/>
      <c r="J543" s="251"/>
      <c r="K543" s="251"/>
      <c r="L543" s="242"/>
      <c r="M543" s="242"/>
      <c r="N543" s="242"/>
      <c r="O543" s="242"/>
      <c r="P543" s="242"/>
      <c r="Q543" s="242"/>
      <c r="R543" s="242"/>
      <c r="S543" s="243"/>
      <c r="T543" s="280"/>
      <c r="U543" s="341"/>
      <c r="V543" s="13"/>
      <c r="W543" s="242"/>
      <c r="X543" s="242"/>
      <c r="Y543" s="242"/>
    </row>
    <row r="544">
      <c r="A544" s="340"/>
      <c r="B544" s="242"/>
      <c r="C544" s="242"/>
      <c r="D544" s="242"/>
      <c r="E544" s="242"/>
      <c r="F544" s="242"/>
      <c r="G544" s="243"/>
      <c r="H544" s="242"/>
      <c r="I544" s="264"/>
      <c r="J544" s="251"/>
      <c r="K544" s="251"/>
      <c r="L544" s="242"/>
      <c r="M544" s="242"/>
      <c r="N544" s="242"/>
      <c r="O544" s="242"/>
      <c r="P544" s="242"/>
      <c r="Q544" s="242"/>
      <c r="R544" s="242"/>
      <c r="S544" s="243"/>
      <c r="T544" s="280"/>
      <c r="U544" s="341"/>
      <c r="V544" s="13"/>
      <c r="W544" s="242"/>
      <c r="X544" s="242"/>
      <c r="Y544" s="242"/>
    </row>
    <row r="545">
      <c r="A545" s="340"/>
      <c r="B545" s="242"/>
      <c r="C545" s="242"/>
      <c r="D545" s="242"/>
      <c r="E545" s="242"/>
      <c r="F545" s="242"/>
      <c r="G545" s="243"/>
      <c r="H545" s="242"/>
      <c r="I545" s="264"/>
      <c r="J545" s="251"/>
      <c r="K545" s="251"/>
      <c r="L545" s="242"/>
      <c r="M545" s="242"/>
      <c r="N545" s="242"/>
      <c r="O545" s="242"/>
      <c r="P545" s="242"/>
      <c r="Q545" s="242"/>
      <c r="R545" s="242"/>
      <c r="S545" s="243"/>
      <c r="T545" s="280"/>
      <c r="U545" s="341"/>
      <c r="V545" s="13"/>
      <c r="W545" s="242"/>
      <c r="X545" s="242"/>
      <c r="Y545" s="242"/>
    </row>
    <row r="546">
      <c r="A546" s="340"/>
      <c r="B546" s="242"/>
      <c r="C546" s="242"/>
      <c r="D546" s="242"/>
      <c r="E546" s="242"/>
      <c r="F546" s="242"/>
      <c r="G546" s="243"/>
      <c r="H546" s="242"/>
      <c r="I546" s="264"/>
      <c r="J546" s="251"/>
      <c r="K546" s="251"/>
      <c r="L546" s="242"/>
      <c r="M546" s="242"/>
      <c r="N546" s="242"/>
      <c r="O546" s="242"/>
      <c r="P546" s="242"/>
      <c r="Q546" s="242"/>
      <c r="R546" s="242"/>
      <c r="S546" s="243"/>
      <c r="T546" s="280"/>
      <c r="U546" s="341"/>
      <c r="V546" s="13"/>
      <c r="W546" s="242"/>
      <c r="X546" s="242"/>
      <c r="Y546" s="242"/>
    </row>
    <row r="547">
      <c r="A547" s="340"/>
      <c r="B547" s="242"/>
      <c r="C547" s="242"/>
      <c r="D547" s="242"/>
      <c r="E547" s="242"/>
      <c r="F547" s="242"/>
      <c r="G547" s="243"/>
      <c r="H547" s="242"/>
      <c r="I547" s="264"/>
      <c r="J547" s="251"/>
      <c r="K547" s="251"/>
      <c r="L547" s="242"/>
      <c r="M547" s="242"/>
      <c r="N547" s="242"/>
      <c r="O547" s="242"/>
      <c r="P547" s="242"/>
      <c r="Q547" s="242"/>
      <c r="R547" s="242"/>
      <c r="S547" s="243"/>
      <c r="T547" s="280"/>
      <c r="U547" s="341"/>
      <c r="V547" s="13"/>
      <c r="W547" s="242"/>
      <c r="X547" s="242"/>
      <c r="Y547" s="242"/>
    </row>
    <row r="548">
      <c r="A548" s="340"/>
      <c r="B548" s="242"/>
      <c r="C548" s="242"/>
      <c r="D548" s="242"/>
      <c r="E548" s="242"/>
      <c r="F548" s="242"/>
      <c r="G548" s="243"/>
      <c r="H548" s="242"/>
      <c r="I548" s="264"/>
      <c r="J548" s="251"/>
      <c r="K548" s="251"/>
      <c r="L548" s="242"/>
      <c r="M548" s="242"/>
      <c r="N548" s="242"/>
      <c r="O548" s="242"/>
      <c r="P548" s="242"/>
      <c r="Q548" s="242"/>
      <c r="R548" s="242"/>
      <c r="S548" s="243"/>
      <c r="T548" s="280"/>
      <c r="U548" s="341"/>
      <c r="V548" s="13"/>
      <c r="W548" s="242"/>
      <c r="X548" s="242"/>
      <c r="Y548" s="242"/>
    </row>
    <row r="549">
      <c r="A549" s="340"/>
      <c r="B549" s="242"/>
      <c r="C549" s="242"/>
      <c r="D549" s="242"/>
      <c r="E549" s="242"/>
      <c r="F549" s="242"/>
      <c r="G549" s="243"/>
      <c r="H549" s="242"/>
      <c r="I549" s="264"/>
      <c r="J549" s="251"/>
      <c r="K549" s="251"/>
      <c r="L549" s="242"/>
      <c r="M549" s="242"/>
      <c r="N549" s="242"/>
      <c r="O549" s="242"/>
      <c r="P549" s="242"/>
      <c r="Q549" s="242"/>
      <c r="R549" s="242"/>
      <c r="S549" s="243"/>
      <c r="T549" s="280"/>
      <c r="U549" s="341"/>
      <c r="V549" s="13"/>
      <c r="W549" s="242"/>
      <c r="X549" s="242"/>
      <c r="Y549" s="242"/>
    </row>
    <row r="550">
      <c r="A550" s="340"/>
      <c r="B550" s="242"/>
      <c r="C550" s="242"/>
      <c r="D550" s="242"/>
      <c r="E550" s="242"/>
      <c r="F550" s="242"/>
      <c r="G550" s="243"/>
      <c r="H550" s="242"/>
      <c r="I550" s="264"/>
      <c r="J550" s="251"/>
      <c r="K550" s="251"/>
      <c r="L550" s="242"/>
      <c r="M550" s="242"/>
      <c r="N550" s="242"/>
      <c r="O550" s="242"/>
      <c r="P550" s="242"/>
      <c r="Q550" s="242"/>
      <c r="R550" s="242"/>
      <c r="S550" s="243"/>
      <c r="T550" s="280"/>
      <c r="U550" s="341"/>
      <c r="V550" s="13"/>
      <c r="W550" s="242"/>
      <c r="X550" s="242"/>
      <c r="Y550" s="242"/>
    </row>
    <row r="551">
      <c r="A551" s="340"/>
      <c r="B551" s="242"/>
      <c r="C551" s="242"/>
      <c r="D551" s="242"/>
      <c r="E551" s="242"/>
      <c r="F551" s="242"/>
      <c r="G551" s="243"/>
      <c r="H551" s="242"/>
      <c r="I551" s="264"/>
      <c r="J551" s="251"/>
      <c r="K551" s="251"/>
      <c r="L551" s="242"/>
      <c r="M551" s="242"/>
      <c r="N551" s="242"/>
      <c r="O551" s="242"/>
      <c r="P551" s="242"/>
      <c r="Q551" s="242"/>
      <c r="R551" s="242"/>
      <c r="S551" s="243"/>
      <c r="T551" s="280"/>
      <c r="U551" s="341"/>
      <c r="V551" s="13"/>
      <c r="W551" s="242"/>
      <c r="X551" s="242"/>
      <c r="Y551" s="242"/>
    </row>
    <row r="552">
      <c r="A552" s="340"/>
      <c r="B552" s="242"/>
      <c r="C552" s="242"/>
      <c r="D552" s="242"/>
      <c r="E552" s="242"/>
      <c r="F552" s="242"/>
      <c r="G552" s="243"/>
      <c r="H552" s="242"/>
      <c r="I552" s="264"/>
      <c r="J552" s="251"/>
      <c r="K552" s="251"/>
      <c r="L552" s="242"/>
      <c r="M552" s="242"/>
      <c r="N552" s="242"/>
      <c r="O552" s="242"/>
      <c r="P552" s="242"/>
      <c r="Q552" s="242"/>
      <c r="R552" s="242"/>
      <c r="S552" s="243"/>
      <c r="T552" s="280"/>
      <c r="U552" s="341"/>
      <c r="V552" s="13"/>
      <c r="W552" s="242"/>
      <c r="X552" s="242"/>
      <c r="Y552" s="242"/>
    </row>
    <row r="553">
      <c r="A553" s="340"/>
      <c r="B553" s="242"/>
      <c r="C553" s="242"/>
      <c r="D553" s="242"/>
      <c r="E553" s="242"/>
      <c r="F553" s="242"/>
      <c r="G553" s="243"/>
      <c r="H553" s="242"/>
      <c r="I553" s="264"/>
      <c r="J553" s="251"/>
      <c r="K553" s="251"/>
      <c r="L553" s="242"/>
      <c r="M553" s="242"/>
      <c r="N553" s="242"/>
      <c r="O553" s="242"/>
      <c r="P553" s="242"/>
      <c r="Q553" s="242"/>
      <c r="R553" s="242"/>
      <c r="S553" s="243"/>
      <c r="T553" s="280"/>
      <c r="U553" s="341"/>
      <c r="V553" s="13"/>
      <c r="W553" s="242"/>
      <c r="X553" s="242"/>
      <c r="Y553" s="242"/>
    </row>
    <row r="554">
      <c r="A554" s="340"/>
      <c r="B554" s="242"/>
      <c r="C554" s="242"/>
      <c r="D554" s="242"/>
      <c r="E554" s="242"/>
      <c r="F554" s="242"/>
      <c r="G554" s="243"/>
      <c r="H554" s="242"/>
      <c r="I554" s="264"/>
      <c r="J554" s="251"/>
      <c r="K554" s="251"/>
      <c r="L554" s="242"/>
      <c r="M554" s="242"/>
      <c r="N554" s="242"/>
      <c r="O554" s="242"/>
      <c r="P554" s="242"/>
      <c r="Q554" s="242"/>
      <c r="R554" s="242"/>
      <c r="S554" s="243"/>
      <c r="T554" s="280"/>
      <c r="U554" s="341"/>
      <c r="V554" s="13"/>
      <c r="W554" s="242"/>
      <c r="X554" s="242"/>
      <c r="Y554" s="242"/>
    </row>
    <row r="555">
      <c r="A555" s="340"/>
      <c r="B555" s="242"/>
      <c r="C555" s="242"/>
      <c r="D555" s="242"/>
      <c r="E555" s="242"/>
      <c r="F555" s="242"/>
      <c r="G555" s="243"/>
      <c r="H555" s="242"/>
      <c r="I555" s="264"/>
      <c r="J555" s="251"/>
      <c r="K555" s="251"/>
      <c r="L555" s="242"/>
      <c r="M555" s="242"/>
      <c r="N555" s="242"/>
      <c r="O555" s="242"/>
      <c r="P555" s="242"/>
      <c r="Q555" s="242"/>
      <c r="R555" s="242"/>
      <c r="S555" s="243"/>
      <c r="T555" s="280"/>
      <c r="U555" s="341"/>
      <c r="V555" s="13"/>
      <c r="W555" s="242"/>
      <c r="X555" s="242"/>
      <c r="Y555" s="242"/>
    </row>
    <row r="556">
      <c r="A556" s="340"/>
      <c r="B556" s="242"/>
      <c r="C556" s="242"/>
      <c r="D556" s="242"/>
      <c r="E556" s="242"/>
      <c r="F556" s="242"/>
      <c r="G556" s="243"/>
      <c r="H556" s="242"/>
      <c r="I556" s="264"/>
      <c r="J556" s="251"/>
      <c r="K556" s="251"/>
      <c r="L556" s="242"/>
      <c r="M556" s="242"/>
      <c r="N556" s="242"/>
      <c r="O556" s="242"/>
      <c r="P556" s="242"/>
      <c r="Q556" s="242"/>
      <c r="R556" s="242"/>
      <c r="S556" s="243"/>
      <c r="T556" s="280"/>
      <c r="U556" s="341"/>
      <c r="V556" s="13"/>
      <c r="W556" s="242"/>
      <c r="X556" s="242"/>
      <c r="Y556" s="242"/>
    </row>
    <row r="557">
      <c r="A557" s="340"/>
      <c r="B557" s="242"/>
      <c r="C557" s="242"/>
      <c r="D557" s="242"/>
      <c r="E557" s="242"/>
      <c r="F557" s="242"/>
      <c r="G557" s="243"/>
      <c r="H557" s="242"/>
      <c r="I557" s="264"/>
      <c r="J557" s="251"/>
      <c r="K557" s="251"/>
      <c r="L557" s="242"/>
      <c r="M557" s="242"/>
      <c r="N557" s="242"/>
      <c r="O557" s="242"/>
      <c r="P557" s="242"/>
      <c r="Q557" s="242"/>
      <c r="R557" s="242"/>
      <c r="S557" s="243"/>
      <c r="T557" s="280"/>
      <c r="U557" s="341"/>
      <c r="V557" s="13"/>
      <c r="W557" s="242"/>
      <c r="X557" s="242"/>
      <c r="Y557" s="242"/>
    </row>
    <row r="558">
      <c r="A558" s="340"/>
      <c r="B558" s="242"/>
      <c r="C558" s="242"/>
      <c r="D558" s="242"/>
      <c r="E558" s="242"/>
      <c r="F558" s="242"/>
      <c r="G558" s="243"/>
      <c r="H558" s="242"/>
      <c r="I558" s="264"/>
      <c r="J558" s="251"/>
      <c r="K558" s="251"/>
      <c r="L558" s="242"/>
      <c r="M558" s="242"/>
      <c r="N558" s="242"/>
      <c r="O558" s="242"/>
      <c r="P558" s="242"/>
      <c r="Q558" s="242"/>
      <c r="R558" s="242"/>
      <c r="S558" s="243"/>
      <c r="T558" s="280"/>
      <c r="U558" s="341"/>
      <c r="V558" s="13"/>
      <c r="W558" s="242"/>
      <c r="X558" s="242"/>
      <c r="Y558" s="242"/>
    </row>
    <row r="559">
      <c r="A559" s="340"/>
      <c r="B559" s="242"/>
      <c r="C559" s="242"/>
      <c r="D559" s="242"/>
      <c r="E559" s="242"/>
      <c r="F559" s="242"/>
      <c r="G559" s="243"/>
      <c r="H559" s="242"/>
      <c r="I559" s="264"/>
      <c r="J559" s="251"/>
      <c r="K559" s="251"/>
      <c r="L559" s="242"/>
      <c r="M559" s="242"/>
      <c r="N559" s="242"/>
      <c r="O559" s="242"/>
      <c r="P559" s="242"/>
      <c r="Q559" s="242"/>
      <c r="R559" s="242"/>
      <c r="S559" s="243"/>
      <c r="T559" s="280"/>
      <c r="U559" s="341"/>
      <c r="V559" s="13"/>
      <c r="W559" s="242"/>
      <c r="X559" s="242"/>
      <c r="Y559" s="242"/>
    </row>
    <row r="560">
      <c r="A560" s="340"/>
      <c r="B560" s="242"/>
      <c r="C560" s="242"/>
      <c r="D560" s="242"/>
      <c r="E560" s="242"/>
      <c r="F560" s="242"/>
      <c r="G560" s="243"/>
      <c r="H560" s="242"/>
      <c r="I560" s="264"/>
      <c r="J560" s="251"/>
      <c r="K560" s="251"/>
      <c r="L560" s="242"/>
      <c r="M560" s="242"/>
      <c r="N560" s="242"/>
      <c r="O560" s="242"/>
      <c r="P560" s="242"/>
      <c r="Q560" s="242"/>
      <c r="R560" s="242"/>
      <c r="S560" s="243"/>
      <c r="T560" s="280"/>
      <c r="U560" s="341"/>
      <c r="V560" s="13"/>
      <c r="W560" s="242"/>
      <c r="X560" s="242"/>
      <c r="Y560" s="242"/>
    </row>
    <row r="561">
      <c r="A561" s="340"/>
      <c r="B561" s="242"/>
      <c r="C561" s="242"/>
      <c r="D561" s="242"/>
      <c r="E561" s="242"/>
      <c r="F561" s="242"/>
      <c r="G561" s="243"/>
      <c r="H561" s="242"/>
      <c r="I561" s="264"/>
      <c r="J561" s="251"/>
      <c r="K561" s="251"/>
      <c r="L561" s="242"/>
      <c r="M561" s="242"/>
      <c r="N561" s="242"/>
      <c r="O561" s="242"/>
      <c r="P561" s="242"/>
      <c r="Q561" s="242"/>
      <c r="R561" s="242"/>
      <c r="S561" s="243"/>
      <c r="T561" s="280"/>
      <c r="U561" s="341"/>
      <c r="V561" s="13"/>
      <c r="W561" s="242"/>
      <c r="X561" s="242"/>
      <c r="Y561" s="242"/>
    </row>
    <row r="562">
      <c r="A562" s="340"/>
      <c r="B562" s="242"/>
      <c r="C562" s="242"/>
      <c r="D562" s="242"/>
      <c r="E562" s="242"/>
      <c r="F562" s="242"/>
      <c r="G562" s="243"/>
      <c r="H562" s="242"/>
      <c r="I562" s="264"/>
      <c r="J562" s="251"/>
      <c r="K562" s="251"/>
      <c r="L562" s="242"/>
      <c r="M562" s="242"/>
      <c r="N562" s="242"/>
      <c r="O562" s="242"/>
      <c r="P562" s="242"/>
      <c r="Q562" s="242"/>
      <c r="R562" s="242"/>
      <c r="S562" s="243"/>
      <c r="T562" s="280"/>
      <c r="U562" s="341"/>
      <c r="V562" s="13"/>
      <c r="W562" s="242"/>
      <c r="X562" s="242"/>
      <c r="Y562" s="242"/>
    </row>
    <row r="563">
      <c r="A563" s="340"/>
      <c r="B563" s="242"/>
      <c r="C563" s="242"/>
      <c r="D563" s="242"/>
      <c r="E563" s="242"/>
      <c r="F563" s="242"/>
      <c r="G563" s="243"/>
      <c r="H563" s="242"/>
      <c r="I563" s="264"/>
      <c r="J563" s="251"/>
      <c r="K563" s="251"/>
      <c r="L563" s="242"/>
      <c r="M563" s="242"/>
      <c r="N563" s="242"/>
      <c r="O563" s="242"/>
      <c r="P563" s="242"/>
      <c r="Q563" s="242"/>
      <c r="R563" s="242"/>
      <c r="S563" s="243"/>
      <c r="T563" s="280"/>
      <c r="U563" s="341"/>
      <c r="V563" s="13"/>
      <c r="W563" s="242"/>
      <c r="X563" s="242"/>
      <c r="Y563" s="242"/>
    </row>
    <row r="564">
      <c r="A564" s="340"/>
      <c r="B564" s="242"/>
      <c r="C564" s="242"/>
      <c r="D564" s="242"/>
      <c r="E564" s="242"/>
      <c r="F564" s="242"/>
      <c r="G564" s="243"/>
      <c r="H564" s="242"/>
      <c r="I564" s="264"/>
      <c r="J564" s="251"/>
      <c r="K564" s="251"/>
      <c r="L564" s="242"/>
      <c r="M564" s="242"/>
      <c r="N564" s="242"/>
      <c r="O564" s="242"/>
      <c r="P564" s="242"/>
      <c r="Q564" s="242"/>
      <c r="R564" s="242"/>
      <c r="S564" s="243"/>
      <c r="T564" s="280"/>
      <c r="U564" s="341"/>
      <c r="V564" s="13"/>
      <c r="W564" s="242"/>
      <c r="X564" s="242"/>
      <c r="Y564" s="242"/>
    </row>
    <row r="565">
      <c r="A565" s="340"/>
      <c r="B565" s="242"/>
      <c r="C565" s="242"/>
      <c r="D565" s="242"/>
      <c r="E565" s="242"/>
      <c r="F565" s="242"/>
      <c r="G565" s="243"/>
      <c r="H565" s="242"/>
      <c r="I565" s="264"/>
      <c r="J565" s="251"/>
      <c r="K565" s="251"/>
      <c r="L565" s="242"/>
      <c r="M565" s="242"/>
      <c r="N565" s="242"/>
      <c r="O565" s="242"/>
      <c r="P565" s="242"/>
      <c r="Q565" s="242"/>
      <c r="R565" s="242"/>
      <c r="S565" s="243"/>
      <c r="T565" s="280"/>
      <c r="U565" s="341"/>
      <c r="V565" s="13"/>
      <c r="W565" s="242"/>
      <c r="X565" s="242"/>
      <c r="Y565" s="242"/>
    </row>
    <row r="566">
      <c r="A566" s="340"/>
      <c r="B566" s="242"/>
      <c r="C566" s="242"/>
      <c r="D566" s="242"/>
      <c r="E566" s="242"/>
      <c r="F566" s="242"/>
      <c r="G566" s="243"/>
      <c r="H566" s="242"/>
      <c r="I566" s="264"/>
      <c r="J566" s="251"/>
      <c r="K566" s="251"/>
      <c r="L566" s="242"/>
      <c r="M566" s="242"/>
      <c r="N566" s="242"/>
      <c r="O566" s="242"/>
      <c r="P566" s="242"/>
      <c r="Q566" s="242"/>
      <c r="R566" s="242"/>
      <c r="S566" s="243"/>
      <c r="T566" s="280"/>
      <c r="U566" s="341"/>
      <c r="V566" s="13"/>
      <c r="W566" s="242"/>
      <c r="X566" s="242"/>
      <c r="Y566" s="242"/>
    </row>
    <row r="567">
      <c r="A567" s="340"/>
      <c r="B567" s="242"/>
      <c r="C567" s="242"/>
      <c r="D567" s="242"/>
      <c r="E567" s="242"/>
      <c r="F567" s="242"/>
      <c r="G567" s="243"/>
      <c r="H567" s="242"/>
      <c r="I567" s="264"/>
      <c r="J567" s="251"/>
      <c r="K567" s="251"/>
      <c r="L567" s="242"/>
      <c r="M567" s="242"/>
      <c r="N567" s="242"/>
      <c r="O567" s="242"/>
      <c r="P567" s="242"/>
      <c r="Q567" s="242"/>
      <c r="R567" s="242"/>
      <c r="S567" s="243"/>
      <c r="T567" s="280"/>
      <c r="U567" s="341"/>
      <c r="V567" s="13"/>
      <c r="W567" s="242"/>
      <c r="X567" s="242"/>
      <c r="Y567" s="242"/>
    </row>
    <row r="568">
      <c r="A568" s="340"/>
      <c r="B568" s="242"/>
      <c r="C568" s="242"/>
      <c r="D568" s="242"/>
      <c r="E568" s="242"/>
      <c r="F568" s="242"/>
      <c r="G568" s="243"/>
      <c r="H568" s="242"/>
      <c r="I568" s="264"/>
      <c r="J568" s="251"/>
      <c r="K568" s="251"/>
      <c r="L568" s="242"/>
      <c r="M568" s="242"/>
      <c r="N568" s="242"/>
      <c r="O568" s="242"/>
      <c r="P568" s="242"/>
      <c r="Q568" s="242"/>
      <c r="R568" s="242"/>
      <c r="S568" s="243"/>
      <c r="T568" s="280"/>
      <c r="U568" s="341"/>
      <c r="V568" s="13"/>
      <c r="W568" s="242"/>
      <c r="X568" s="242"/>
      <c r="Y568" s="242"/>
    </row>
    <row r="569">
      <c r="A569" s="340"/>
      <c r="B569" s="242"/>
      <c r="C569" s="242"/>
      <c r="D569" s="242"/>
      <c r="E569" s="242"/>
      <c r="F569" s="242"/>
      <c r="G569" s="243"/>
      <c r="H569" s="242"/>
      <c r="I569" s="264"/>
      <c r="J569" s="251"/>
      <c r="K569" s="251"/>
      <c r="L569" s="242"/>
      <c r="M569" s="242"/>
      <c r="N569" s="242"/>
      <c r="O569" s="242"/>
      <c r="P569" s="242"/>
      <c r="Q569" s="242"/>
      <c r="R569" s="242"/>
      <c r="S569" s="243"/>
      <c r="T569" s="280"/>
      <c r="U569" s="341"/>
      <c r="V569" s="13"/>
      <c r="W569" s="242"/>
      <c r="X569" s="242"/>
      <c r="Y569" s="242"/>
    </row>
    <row r="570">
      <c r="A570" s="340"/>
      <c r="B570" s="242"/>
      <c r="C570" s="242"/>
      <c r="D570" s="242"/>
      <c r="E570" s="242"/>
      <c r="F570" s="242"/>
      <c r="G570" s="243"/>
      <c r="H570" s="242"/>
      <c r="I570" s="264"/>
      <c r="J570" s="251"/>
      <c r="K570" s="251"/>
      <c r="L570" s="242"/>
      <c r="M570" s="242"/>
      <c r="N570" s="242"/>
      <c r="O570" s="242"/>
      <c r="P570" s="242"/>
      <c r="Q570" s="242"/>
      <c r="R570" s="242"/>
      <c r="S570" s="243"/>
      <c r="T570" s="280"/>
      <c r="U570" s="341"/>
      <c r="V570" s="13"/>
      <c r="W570" s="242"/>
      <c r="X570" s="242"/>
      <c r="Y570" s="242"/>
    </row>
    <row r="571">
      <c r="A571" s="340"/>
      <c r="B571" s="242"/>
      <c r="C571" s="242"/>
      <c r="D571" s="242"/>
      <c r="E571" s="242"/>
      <c r="F571" s="242"/>
      <c r="G571" s="243"/>
      <c r="H571" s="242"/>
      <c r="I571" s="264"/>
      <c r="J571" s="251"/>
      <c r="K571" s="251"/>
      <c r="L571" s="242"/>
      <c r="M571" s="242"/>
      <c r="N571" s="242"/>
      <c r="O571" s="242"/>
      <c r="P571" s="242"/>
      <c r="Q571" s="242"/>
      <c r="R571" s="242"/>
      <c r="S571" s="243"/>
      <c r="T571" s="280"/>
      <c r="U571" s="341"/>
      <c r="V571" s="13"/>
      <c r="W571" s="242"/>
      <c r="X571" s="242"/>
      <c r="Y571" s="242"/>
    </row>
    <row r="572">
      <c r="A572" s="340"/>
      <c r="B572" s="242"/>
      <c r="C572" s="242"/>
      <c r="D572" s="242"/>
      <c r="E572" s="242"/>
      <c r="F572" s="242"/>
      <c r="G572" s="243"/>
      <c r="H572" s="242"/>
      <c r="I572" s="264"/>
      <c r="J572" s="251"/>
      <c r="K572" s="251"/>
      <c r="L572" s="242"/>
      <c r="M572" s="242"/>
      <c r="N572" s="242"/>
      <c r="O572" s="242"/>
      <c r="P572" s="242"/>
      <c r="Q572" s="242"/>
      <c r="R572" s="242"/>
      <c r="S572" s="243"/>
      <c r="T572" s="280"/>
      <c r="U572" s="341"/>
      <c r="V572" s="13"/>
      <c r="W572" s="242"/>
      <c r="X572" s="242"/>
      <c r="Y572" s="242"/>
    </row>
    <row r="573">
      <c r="A573" s="340"/>
      <c r="B573" s="242"/>
      <c r="C573" s="242"/>
      <c r="D573" s="242"/>
      <c r="E573" s="242"/>
      <c r="F573" s="242"/>
      <c r="G573" s="243"/>
      <c r="H573" s="242"/>
      <c r="I573" s="264"/>
      <c r="J573" s="251"/>
      <c r="K573" s="251"/>
      <c r="L573" s="242"/>
      <c r="M573" s="242"/>
      <c r="N573" s="242"/>
      <c r="O573" s="242"/>
      <c r="P573" s="242"/>
      <c r="Q573" s="242"/>
      <c r="R573" s="242"/>
      <c r="S573" s="243"/>
      <c r="T573" s="280"/>
      <c r="U573" s="341"/>
      <c r="V573" s="13"/>
      <c r="W573" s="242"/>
      <c r="X573" s="242"/>
      <c r="Y573" s="242"/>
    </row>
    <row r="574">
      <c r="A574" s="340"/>
      <c r="B574" s="242"/>
      <c r="C574" s="242"/>
      <c r="D574" s="242"/>
      <c r="E574" s="242"/>
      <c r="F574" s="242"/>
      <c r="G574" s="243"/>
      <c r="H574" s="242"/>
      <c r="I574" s="264"/>
      <c r="J574" s="251"/>
      <c r="K574" s="251"/>
      <c r="L574" s="242"/>
      <c r="M574" s="242"/>
      <c r="N574" s="242"/>
      <c r="O574" s="242"/>
      <c r="P574" s="242"/>
      <c r="Q574" s="242"/>
      <c r="R574" s="242"/>
      <c r="S574" s="243"/>
      <c r="T574" s="280"/>
      <c r="U574" s="341"/>
      <c r="V574" s="13"/>
      <c r="W574" s="242"/>
      <c r="X574" s="242"/>
      <c r="Y574" s="242"/>
    </row>
    <row r="575">
      <c r="A575" s="340"/>
      <c r="B575" s="242"/>
      <c r="C575" s="242"/>
      <c r="D575" s="242"/>
      <c r="E575" s="242"/>
      <c r="F575" s="242"/>
      <c r="G575" s="243"/>
      <c r="H575" s="242"/>
      <c r="I575" s="264"/>
      <c r="J575" s="251"/>
      <c r="K575" s="251"/>
      <c r="L575" s="242"/>
      <c r="M575" s="242"/>
      <c r="N575" s="242"/>
      <c r="O575" s="242"/>
      <c r="P575" s="242"/>
      <c r="Q575" s="242"/>
      <c r="R575" s="242"/>
      <c r="S575" s="243"/>
      <c r="T575" s="280"/>
      <c r="U575" s="341"/>
      <c r="V575" s="13"/>
      <c r="W575" s="242"/>
      <c r="X575" s="242"/>
      <c r="Y575" s="242"/>
    </row>
    <row r="576">
      <c r="A576" s="340"/>
      <c r="B576" s="242"/>
      <c r="C576" s="242"/>
      <c r="D576" s="242"/>
      <c r="E576" s="242"/>
      <c r="F576" s="242"/>
      <c r="G576" s="243"/>
      <c r="H576" s="242"/>
      <c r="I576" s="264"/>
      <c r="J576" s="251"/>
      <c r="K576" s="251"/>
      <c r="L576" s="242"/>
      <c r="M576" s="242"/>
      <c r="N576" s="242"/>
      <c r="O576" s="242"/>
      <c r="P576" s="242"/>
      <c r="Q576" s="242"/>
      <c r="R576" s="242"/>
      <c r="S576" s="243"/>
      <c r="T576" s="280"/>
      <c r="U576" s="341"/>
      <c r="V576" s="13"/>
      <c r="W576" s="242"/>
      <c r="X576" s="242"/>
      <c r="Y576" s="242"/>
    </row>
    <row r="577">
      <c r="A577" s="340"/>
      <c r="B577" s="242"/>
      <c r="C577" s="242"/>
      <c r="D577" s="242"/>
      <c r="E577" s="242"/>
      <c r="F577" s="242"/>
      <c r="G577" s="243"/>
      <c r="H577" s="242"/>
      <c r="I577" s="264"/>
      <c r="J577" s="251"/>
      <c r="K577" s="251"/>
      <c r="L577" s="242"/>
      <c r="M577" s="242"/>
      <c r="N577" s="242"/>
      <c r="O577" s="242"/>
      <c r="P577" s="242"/>
      <c r="Q577" s="242"/>
      <c r="R577" s="242"/>
      <c r="S577" s="243"/>
      <c r="T577" s="280"/>
      <c r="U577" s="341"/>
      <c r="V577" s="13"/>
      <c r="W577" s="242"/>
      <c r="X577" s="242"/>
      <c r="Y577" s="242"/>
    </row>
    <row r="578">
      <c r="A578" s="340"/>
      <c r="B578" s="242"/>
      <c r="C578" s="242"/>
      <c r="D578" s="242"/>
      <c r="E578" s="242"/>
      <c r="F578" s="242"/>
      <c r="G578" s="243"/>
      <c r="H578" s="242"/>
      <c r="I578" s="264"/>
      <c r="J578" s="251"/>
      <c r="K578" s="251"/>
      <c r="L578" s="242"/>
      <c r="M578" s="242"/>
      <c r="N578" s="242"/>
      <c r="O578" s="242"/>
      <c r="P578" s="242"/>
      <c r="Q578" s="242"/>
      <c r="R578" s="242"/>
      <c r="S578" s="243"/>
      <c r="T578" s="280"/>
      <c r="U578" s="341"/>
      <c r="V578" s="13"/>
      <c r="W578" s="242"/>
      <c r="X578" s="242"/>
      <c r="Y578" s="242"/>
    </row>
    <row r="579">
      <c r="A579" s="340"/>
      <c r="B579" s="242"/>
      <c r="C579" s="242"/>
      <c r="D579" s="242"/>
      <c r="E579" s="242"/>
      <c r="F579" s="242"/>
      <c r="G579" s="243"/>
      <c r="H579" s="242"/>
      <c r="I579" s="264"/>
      <c r="J579" s="251"/>
      <c r="K579" s="251"/>
      <c r="L579" s="242"/>
      <c r="M579" s="242"/>
      <c r="N579" s="242"/>
      <c r="O579" s="242"/>
      <c r="P579" s="242"/>
      <c r="Q579" s="242"/>
      <c r="R579" s="242"/>
      <c r="S579" s="243"/>
      <c r="T579" s="280"/>
      <c r="U579" s="341"/>
      <c r="V579" s="13"/>
      <c r="W579" s="242"/>
      <c r="X579" s="242"/>
      <c r="Y579" s="242"/>
    </row>
    <row r="580">
      <c r="A580" s="340"/>
      <c r="B580" s="242"/>
      <c r="C580" s="242"/>
      <c r="D580" s="242"/>
      <c r="E580" s="242"/>
      <c r="F580" s="242"/>
      <c r="G580" s="243"/>
      <c r="H580" s="242"/>
      <c r="I580" s="264"/>
      <c r="J580" s="251"/>
      <c r="K580" s="251"/>
      <c r="L580" s="242"/>
      <c r="M580" s="242"/>
      <c r="N580" s="242"/>
      <c r="O580" s="242"/>
      <c r="P580" s="242"/>
      <c r="Q580" s="242"/>
      <c r="R580" s="242"/>
      <c r="S580" s="243"/>
      <c r="T580" s="280"/>
      <c r="U580" s="341"/>
      <c r="V580" s="13"/>
      <c r="W580" s="242"/>
      <c r="X580" s="242"/>
      <c r="Y580" s="242"/>
    </row>
    <row r="581">
      <c r="A581" s="340"/>
      <c r="B581" s="242"/>
      <c r="C581" s="242"/>
      <c r="D581" s="242"/>
      <c r="E581" s="242"/>
      <c r="F581" s="242"/>
      <c r="G581" s="243"/>
      <c r="H581" s="242"/>
      <c r="I581" s="264"/>
      <c r="J581" s="251"/>
      <c r="K581" s="251"/>
      <c r="L581" s="242"/>
      <c r="M581" s="242"/>
      <c r="N581" s="242"/>
      <c r="O581" s="242"/>
      <c r="P581" s="242"/>
      <c r="Q581" s="242"/>
      <c r="R581" s="242"/>
      <c r="S581" s="243"/>
      <c r="T581" s="280"/>
      <c r="U581" s="341"/>
      <c r="V581" s="13"/>
      <c r="W581" s="242"/>
      <c r="X581" s="242"/>
      <c r="Y581" s="242"/>
    </row>
    <row r="582">
      <c r="A582" s="340"/>
      <c r="B582" s="242"/>
      <c r="C582" s="242"/>
      <c r="D582" s="242"/>
      <c r="E582" s="242"/>
      <c r="F582" s="242"/>
      <c r="G582" s="243"/>
      <c r="H582" s="242"/>
      <c r="I582" s="264"/>
      <c r="J582" s="251"/>
      <c r="K582" s="251"/>
      <c r="L582" s="242"/>
      <c r="M582" s="242"/>
      <c r="N582" s="242"/>
      <c r="O582" s="242"/>
      <c r="P582" s="242"/>
      <c r="Q582" s="242"/>
      <c r="R582" s="242"/>
      <c r="S582" s="243"/>
      <c r="T582" s="280"/>
      <c r="U582" s="341"/>
      <c r="V582" s="13"/>
      <c r="W582" s="242"/>
      <c r="X582" s="242"/>
      <c r="Y582" s="242"/>
    </row>
    <row r="583">
      <c r="A583" s="340"/>
      <c r="B583" s="242"/>
      <c r="C583" s="242"/>
      <c r="D583" s="242"/>
      <c r="E583" s="242"/>
      <c r="F583" s="242"/>
      <c r="G583" s="243"/>
      <c r="H583" s="242"/>
      <c r="I583" s="264"/>
      <c r="J583" s="251"/>
      <c r="K583" s="251"/>
      <c r="L583" s="242"/>
      <c r="M583" s="242"/>
      <c r="N583" s="242"/>
      <c r="O583" s="242"/>
      <c r="P583" s="242"/>
      <c r="Q583" s="242"/>
      <c r="R583" s="242"/>
      <c r="S583" s="243"/>
      <c r="T583" s="280"/>
      <c r="U583" s="341"/>
      <c r="V583" s="13"/>
      <c r="W583" s="242"/>
      <c r="X583" s="242"/>
      <c r="Y583" s="242"/>
    </row>
    <row r="584">
      <c r="A584" s="340"/>
      <c r="B584" s="242"/>
      <c r="C584" s="242"/>
      <c r="D584" s="242"/>
      <c r="E584" s="242"/>
      <c r="F584" s="242"/>
      <c r="G584" s="243"/>
      <c r="H584" s="242"/>
      <c r="I584" s="264"/>
      <c r="J584" s="251"/>
      <c r="K584" s="251"/>
      <c r="L584" s="242"/>
      <c r="M584" s="242"/>
      <c r="N584" s="242"/>
      <c r="O584" s="242"/>
      <c r="P584" s="242"/>
      <c r="Q584" s="242"/>
      <c r="R584" s="242"/>
      <c r="S584" s="243"/>
      <c r="T584" s="280"/>
      <c r="U584" s="341"/>
      <c r="V584" s="13"/>
      <c r="W584" s="242"/>
      <c r="X584" s="242"/>
      <c r="Y584" s="242"/>
    </row>
    <row r="585">
      <c r="A585" s="340"/>
      <c r="B585" s="242"/>
      <c r="C585" s="242"/>
      <c r="D585" s="242"/>
      <c r="E585" s="242"/>
      <c r="F585" s="242"/>
      <c r="G585" s="243"/>
      <c r="H585" s="242"/>
      <c r="I585" s="264"/>
      <c r="J585" s="251"/>
      <c r="K585" s="251"/>
      <c r="L585" s="242"/>
      <c r="M585" s="242"/>
      <c r="N585" s="242"/>
      <c r="O585" s="242"/>
      <c r="P585" s="242"/>
      <c r="Q585" s="242"/>
      <c r="R585" s="242"/>
      <c r="S585" s="243"/>
      <c r="T585" s="280"/>
      <c r="U585" s="341"/>
      <c r="V585" s="13"/>
      <c r="W585" s="242"/>
      <c r="X585" s="242"/>
      <c r="Y585" s="242"/>
    </row>
    <row r="586">
      <c r="A586" s="340"/>
      <c r="B586" s="242"/>
      <c r="C586" s="242"/>
      <c r="D586" s="242"/>
      <c r="E586" s="242"/>
      <c r="F586" s="242"/>
      <c r="G586" s="243"/>
      <c r="H586" s="242"/>
      <c r="I586" s="264"/>
      <c r="J586" s="251"/>
      <c r="K586" s="251"/>
      <c r="L586" s="242"/>
      <c r="M586" s="242"/>
      <c r="N586" s="242"/>
      <c r="O586" s="242"/>
      <c r="P586" s="242"/>
      <c r="Q586" s="242"/>
      <c r="R586" s="242"/>
      <c r="S586" s="243"/>
      <c r="T586" s="280"/>
      <c r="U586" s="341"/>
      <c r="V586" s="13"/>
      <c r="W586" s="242"/>
      <c r="X586" s="242"/>
      <c r="Y586" s="242"/>
    </row>
    <row r="587">
      <c r="A587" s="340"/>
      <c r="B587" s="242"/>
      <c r="C587" s="242"/>
      <c r="D587" s="242"/>
      <c r="E587" s="242"/>
      <c r="F587" s="242"/>
      <c r="G587" s="243"/>
      <c r="H587" s="242"/>
      <c r="I587" s="264"/>
      <c r="J587" s="251"/>
      <c r="K587" s="251"/>
      <c r="L587" s="242"/>
      <c r="M587" s="242"/>
      <c r="N587" s="242"/>
      <c r="O587" s="242"/>
      <c r="P587" s="242"/>
      <c r="Q587" s="242"/>
      <c r="R587" s="242"/>
      <c r="S587" s="243"/>
      <c r="T587" s="280"/>
      <c r="U587" s="341"/>
      <c r="V587" s="13"/>
      <c r="W587" s="242"/>
      <c r="X587" s="242"/>
      <c r="Y587" s="242"/>
    </row>
    <row r="588">
      <c r="A588" s="340"/>
      <c r="B588" s="242"/>
      <c r="C588" s="242"/>
      <c r="D588" s="242"/>
      <c r="E588" s="242"/>
      <c r="F588" s="242"/>
      <c r="G588" s="243"/>
      <c r="H588" s="242"/>
      <c r="I588" s="264"/>
      <c r="J588" s="251"/>
      <c r="K588" s="251"/>
      <c r="L588" s="242"/>
      <c r="M588" s="242"/>
      <c r="N588" s="242"/>
      <c r="O588" s="242"/>
      <c r="P588" s="242"/>
      <c r="Q588" s="242"/>
      <c r="R588" s="242"/>
      <c r="S588" s="243"/>
      <c r="T588" s="280"/>
      <c r="U588" s="341"/>
      <c r="V588" s="13"/>
      <c r="W588" s="242"/>
      <c r="X588" s="242"/>
      <c r="Y588" s="242"/>
    </row>
    <row r="589">
      <c r="A589" s="340"/>
      <c r="B589" s="242"/>
      <c r="C589" s="242"/>
      <c r="D589" s="242"/>
      <c r="E589" s="242"/>
      <c r="F589" s="242"/>
      <c r="G589" s="243"/>
      <c r="H589" s="242"/>
      <c r="I589" s="264"/>
      <c r="J589" s="251"/>
      <c r="K589" s="251"/>
      <c r="L589" s="242"/>
      <c r="M589" s="242"/>
      <c r="N589" s="242"/>
      <c r="O589" s="242"/>
      <c r="P589" s="242"/>
      <c r="Q589" s="242"/>
      <c r="R589" s="242"/>
      <c r="S589" s="243"/>
      <c r="T589" s="280"/>
      <c r="U589" s="341"/>
      <c r="V589" s="13"/>
      <c r="W589" s="242"/>
      <c r="X589" s="242"/>
      <c r="Y589" s="242"/>
    </row>
    <row r="590">
      <c r="A590" s="340"/>
      <c r="B590" s="242"/>
      <c r="C590" s="242"/>
      <c r="D590" s="242"/>
      <c r="E590" s="242"/>
      <c r="F590" s="242"/>
      <c r="G590" s="243"/>
      <c r="H590" s="242"/>
      <c r="I590" s="264"/>
      <c r="J590" s="251"/>
      <c r="K590" s="251"/>
      <c r="L590" s="242"/>
      <c r="M590" s="242"/>
      <c r="N590" s="242"/>
      <c r="O590" s="242"/>
      <c r="P590" s="242"/>
      <c r="Q590" s="242"/>
      <c r="R590" s="242"/>
      <c r="S590" s="243"/>
      <c r="T590" s="280"/>
      <c r="U590" s="341"/>
      <c r="V590" s="13"/>
      <c r="W590" s="242"/>
      <c r="X590" s="242"/>
      <c r="Y590" s="242"/>
    </row>
    <row r="591">
      <c r="A591" s="340"/>
      <c r="B591" s="242"/>
      <c r="C591" s="242"/>
      <c r="D591" s="242"/>
      <c r="E591" s="242"/>
      <c r="F591" s="242"/>
      <c r="G591" s="243"/>
      <c r="H591" s="242"/>
      <c r="I591" s="264"/>
      <c r="J591" s="251"/>
      <c r="K591" s="251"/>
      <c r="L591" s="242"/>
      <c r="M591" s="242"/>
      <c r="N591" s="242"/>
      <c r="O591" s="242"/>
      <c r="P591" s="242"/>
      <c r="Q591" s="242"/>
      <c r="R591" s="242"/>
      <c r="S591" s="243"/>
      <c r="T591" s="280"/>
      <c r="U591" s="341"/>
      <c r="V591" s="13"/>
      <c r="W591" s="242"/>
      <c r="X591" s="242"/>
      <c r="Y591" s="242"/>
    </row>
    <row r="592">
      <c r="A592" s="340"/>
      <c r="B592" s="242"/>
      <c r="C592" s="242"/>
      <c r="D592" s="242"/>
      <c r="E592" s="242"/>
      <c r="F592" s="242"/>
      <c r="G592" s="243"/>
      <c r="H592" s="242"/>
      <c r="I592" s="264"/>
      <c r="J592" s="251"/>
      <c r="K592" s="251"/>
      <c r="L592" s="242"/>
      <c r="M592" s="242"/>
      <c r="N592" s="242"/>
      <c r="O592" s="242"/>
      <c r="P592" s="242"/>
      <c r="Q592" s="242"/>
      <c r="R592" s="242"/>
      <c r="S592" s="243"/>
      <c r="T592" s="280"/>
      <c r="U592" s="341"/>
      <c r="V592" s="13"/>
      <c r="W592" s="242"/>
      <c r="X592" s="242"/>
      <c r="Y592" s="242"/>
    </row>
    <row r="593">
      <c r="A593" s="340"/>
      <c r="B593" s="242"/>
      <c r="C593" s="242"/>
      <c r="D593" s="242"/>
      <c r="E593" s="242"/>
      <c r="F593" s="242"/>
      <c r="G593" s="243"/>
      <c r="H593" s="242"/>
      <c r="I593" s="264"/>
      <c r="J593" s="251"/>
      <c r="K593" s="251"/>
      <c r="L593" s="242"/>
      <c r="M593" s="242"/>
      <c r="N593" s="242"/>
      <c r="O593" s="242"/>
      <c r="P593" s="242"/>
      <c r="Q593" s="242"/>
      <c r="R593" s="242"/>
      <c r="S593" s="243"/>
      <c r="T593" s="280"/>
      <c r="U593" s="341"/>
      <c r="V593" s="13"/>
      <c r="W593" s="242"/>
      <c r="X593" s="242"/>
      <c r="Y593" s="242"/>
    </row>
    <row r="594">
      <c r="A594" s="340"/>
      <c r="B594" s="242"/>
      <c r="C594" s="242"/>
      <c r="D594" s="242"/>
      <c r="E594" s="242"/>
      <c r="F594" s="242"/>
      <c r="G594" s="243"/>
      <c r="H594" s="242"/>
      <c r="I594" s="264"/>
      <c r="J594" s="251"/>
      <c r="K594" s="251"/>
      <c r="L594" s="242"/>
      <c r="M594" s="242"/>
      <c r="N594" s="242"/>
      <c r="O594" s="242"/>
      <c r="P594" s="242"/>
      <c r="Q594" s="242"/>
      <c r="R594" s="242"/>
      <c r="S594" s="243"/>
      <c r="T594" s="280"/>
      <c r="U594" s="341"/>
      <c r="V594" s="13"/>
      <c r="W594" s="242"/>
      <c r="X594" s="242"/>
      <c r="Y594" s="242"/>
    </row>
    <row r="595">
      <c r="A595" s="340"/>
      <c r="B595" s="242"/>
      <c r="C595" s="242"/>
      <c r="D595" s="242"/>
      <c r="E595" s="242"/>
      <c r="F595" s="242"/>
      <c r="G595" s="243"/>
      <c r="H595" s="242"/>
      <c r="I595" s="264"/>
      <c r="J595" s="251"/>
      <c r="K595" s="251"/>
      <c r="L595" s="242"/>
      <c r="M595" s="242"/>
      <c r="N595" s="242"/>
      <c r="O595" s="242"/>
      <c r="P595" s="242"/>
      <c r="Q595" s="242"/>
      <c r="R595" s="242"/>
      <c r="S595" s="243"/>
      <c r="T595" s="280"/>
      <c r="U595" s="341"/>
      <c r="V595" s="13"/>
      <c r="W595" s="242"/>
      <c r="X595" s="242"/>
      <c r="Y595" s="242"/>
    </row>
    <row r="596">
      <c r="A596" s="340"/>
      <c r="B596" s="242"/>
      <c r="C596" s="242"/>
      <c r="D596" s="242"/>
      <c r="E596" s="242"/>
      <c r="F596" s="242"/>
      <c r="G596" s="243"/>
      <c r="H596" s="242"/>
      <c r="I596" s="264"/>
      <c r="J596" s="251"/>
      <c r="K596" s="251"/>
      <c r="L596" s="242"/>
      <c r="M596" s="242"/>
      <c r="N596" s="242"/>
      <c r="O596" s="242"/>
      <c r="P596" s="242"/>
      <c r="Q596" s="242"/>
      <c r="R596" s="242"/>
      <c r="S596" s="243"/>
      <c r="T596" s="280"/>
      <c r="U596" s="341"/>
      <c r="V596" s="13"/>
      <c r="W596" s="242"/>
      <c r="X596" s="242"/>
      <c r="Y596" s="242"/>
    </row>
    <row r="597">
      <c r="A597" s="340"/>
      <c r="B597" s="242"/>
      <c r="C597" s="242"/>
      <c r="D597" s="242"/>
      <c r="E597" s="242"/>
      <c r="F597" s="242"/>
      <c r="G597" s="243"/>
      <c r="H597" s="242"/>
      <c r="I597" s="264"/>
      <c r="J597" s="251"/>
      <c r="K597" s="251"/>
      <c r="L597" s="242"/>
      <c r="M597" s="242"/>
      <c r="N597" s="242"/>
      <c r="O597" s="242"/>
      <c r="P597" s="242"/>
      <c r="Q597" s="242"/>
      <c r="R597" s="242"/>
      <c r="S597" s="243"/>
      <c r="T597" s="280"/>
      <c r="U597" s="341"/>
      <c r="V597" s="13"/>
      <c r="W597" s="242"/>
      <c r="X597" s="242"/>
      <c r="Y597" s="242"/>
    </row>
    <row r="598">
      <c r="A598" s="340"/>
      <c r="B598" s="242"/>
      <c r="C598" s="242"/>
      <c r="D598" s="242"/>
      <c r="E598" s="242"/>
      <c r="F598" s="242"/>
      <c r="G598" s="243"/>
      <c r="H598" s="242"/>
      <c r="I598" s="264"/>
      <c r="J598" s="251"/>
      <c r="K598" s="251"/>
      <c r="L598" s="242"/>
      <c r="M598" s="242"/>
      <c r="N598" s="242"/>
      <c r="O598" s="242"/>
      <c r="P598" s="242"/>
      <c r="Q598" s="242"/>
      <c r="R598" s="242"/>
      <c r="S598" s="243"/>
      <c r="T598" s="280"/>
      <c r="U598" s="341"/>
      <c r="V598" s="13"/>
      <c r="W598" s="242"/>
      <c r="X598" s="242"/>
      <c r="Y598" s="242"/>
    </row>
    <row r="599">
      <c r="A599" s="340"/>
      <c r="B599" s="242"/>
      <c r="C599" s="242"/>
      <c r="D599" s="242"/>
      <c r="E599" s="242"/>
      <c r="F599" s="242"/>
      <c r="G599" s="243"/>
      <c r="H599" s="242"/>
      <c r="I599" s="264"/>
      <c r="J599" s="251"/>
      <c r="K599" s="251"/>
      <c r="L599" s="242"/>
      <c r="M599" s="242"/>
      <c r="N599" s="242"/>
      <c r="O599" s="242"/>
      <c r="P599" s="242"/>
      <c r="Q599" s="242"/>
      <c r="R599" s="242"/>
      <c r="S599" s="243"/>
      <c r="T599" s="280"/>
      <c r="U599" s="341"/>
      <c r="V599" s="13"/>
      <c r="W599" s="242"/>
      <c r="X599" s="242"/>
      <c r="Y599" s="242"/>
    </row>
    <row r="600">
      <c r="A600" s="340"/>
      <c r="B600" s="242"/>
      <c r="C600" s="242"/>
      <c r="D600" s="242"/>
      <c r="E600" s="242"/>
      <c r="F600" s="242"/>
      <c r="G600" s="243"/>
      <c r="H600" s="242"/>
      <c r="I600" s="264"/>
      <c r="J600" s="251"/>
      <c r="K600" s="251"/>
      <c r="L600" s="242"/>
      <c r="M600" s="242"/>
      <c r="N600" s="242"/>
      <c r="O600" s="242"/>
      <c r="P600" s="242"/>
      <c r="Q600" s="242"/>
      <c r="R600" s="242"/>
      <c r="S600" s="243"/>
      <c r="T600" s="280"/>
      <c r="U600" s="341"/>
      <c r="V600" s="13"/>
      <c r="W600" s="242"/>
      <c r="X600" s="242"/>
      <c r="Y600" s="242"/>
    </row>
    <row r="601">
      <c r="A601" s="340"/>
      <c r="B601" s="242"/>
      <c r="C601" s="242"/>
      <c r="D601" s="242"/>
      <c r="E601" s="242"/>
      <c r="F601" s="242"/>
      <c r="G601" s="243"/>
      <c r="H601" s="242"/>
      <c r="I601" s="264"/>
      <c r="J601" s="251"/>
      <c r="K601" s="251"/>
      <c r="L601" s="242"/>
      <c r="M601" s="242"/>
      <c r="N601" s="242"/>
      <c r="O601" s="242"/>
      <c r="P601" s="242"/>
      <c r="Q601" s="242"/>
      <c r="R601" s="242"/>
      <c r="S601" s="243"/>
      <c r="T601" s="280"/>
      <c r="U601" s="341"/>
      <c r="V601" s="13"/>
      <c r="W601" s="242"/>
      <c r="X601" s="242"/>
      <c r="Y601" s="242"/>
    </row>
    <row r="602">
      <c r="A602" s="340"/>
      <c r="B602" s="242"/>
      <c r="C602" s="242"/>
      <c r="D602" s="242"/>
      <c r="E602" s="242"/>
      <c r="F602" s="242"/>
      <c r="G602" s="243"/>
      <c r="H602" s="242"/>
      <c r="I602" s="264"/>
      <c r="J602" s="251"/>
      <c r="K602" s="251"/>
      <c r="L602" s="242"/>
      <c r="M602" s="242"/>
      <c r="N602" s="242"/>
      <c r="O602" s="242"/>
      <c r="P602" s="242"/>
      <c r="Q602" s="242"/>
      <c r="R602" s="242"/>
      <c r="S602" s="243"/>
      <c r="T602" s="280"/>
      <c r="U602" s="341"/>
      <c r="V602" s="13"/>
      <c r="W602" s="242"/>
      <c r="X602" s="242"/>
      <c r="Y602" s="242"/>
    </row>
    <row r="603">
      <c r="A603" s="340"/>
      <c r="B603" s="242"/>
      <c r="C603" s="242"/>
      <c r="D603" s="242"/>
      <c r="E603" s="242"/>
      <c r="F603" s="242"/>
      <c r="G603" s="243"/>
      <c r="H603" s="242"/>
      <c r="I603" s="264"/>
      <c r="J603" s="251"/>
      <c r="K603" s="251"/>
      <c r="L603" s="242"/>
      <c r="M603" s="242"/>
      <c r="N603" s="242"/>
      <c r="O603" s="242"/>
      <c r="P603" s="242"/>
      <c r="Q603" s="242"/>
      <c r="R603" s="242"/>
      <c r="S603" s="243"/>
      <c r="T603" s="280"/>
      <c r="U603" s="341"/>
      <c r="V603" s="13"/>
      <c r="W603" s="242"/>
      <c r="X603" s="242"/>
      <c r="Y603" s="242"/>
    </row>
    <row r="604">
      <c r="A604" s="340"/>
      <c r="B604" s="242"/>
      <c r="C604" s="242"/>
      <c r="D604" s="242"/>
      <c r="E604" s="242"/>
      <c r="F604" s="242"/>
      <c r="G604" s="243"/>
      <c r="H604" s="242"/>
      <c r="I604" s="264"/>
      <c r="J604" s="251"/>
      <c r="K604" s="251"/>
      <c r="L604" s="242"/>
      <c r="M604" s="242"/>
      <c r="N604" s="242"/>
      <c r="O604" s="242"/>
      <c r="P604" s="242"/>
      <c r="Q604" s="242"/>
      <c r="R604" s="242"/>
      <c r="S604" s="243"/>
      <c r="T604" s="280"/>
      <c r="U604" s="341"/>
      <c r="V604" s="13"/>
      <c r="W604" s="242"/>
      <c r="X604" s="242"/>
      <c r="Y604" s="242"/>
    </row>
    <row r="605">
      <c r="A605" s="340"/>
      <c r="B605" s="242"/>
      <c r="C605" s="242"/>
      <c r="D605" s="242"/>
      <c r="E605" s="242"/>
      <c r="F605" s="242"/>
      <c r="G605" s="243"/>
      <c r="H605" s="242"/>
      <c r="I605" s="264"/>
      <c r="J605" s="251"/>
      <c r="K605" s="251"/>
      <c r="L605" s="242"/>
      <c r="M605" s="242"/>
      <c r="N605" s="242"/>
      <c r="O605" s="242"/>
      <c r="P605" s="242"/>
      <c r="Q605" s="242"/>
      <c r="R605" s="242"/>
      <c r="S605" s="243"/>
      <c r="T605" s="280"/>
      <c r="U605" s="341"/>
      <c r="V605" s="13"/>
      <c r="W605" s="242"/>
      <c r="X605" s="242"/>
      <c r="Y605" s="242"/>
    </row>
    <row r="606">
      <c r="A606" s="340"/>
      <c r="B606" s="242"/>
      <c r="C606" s="242"/>
      <c r="D606" s="242"/>
      <c r="E606" s="242"/>
      <c r="F606" s="242"/>
      <c r="G606" s="243"/>
      <c r="H606" s="242"/>
      <c r="I606" s="264"/>
      <c r="J606" s="251"/>
      <c r="K606" s="251"/>
      <c r="L606" s="242"/>
      <c r="M606" s="242"/>
      <c r="N606" s="242"/>
      <c r="O606" s="242"/>
      <c r="P606" s="242"/>
      <c r="Q606" s="242"/>
      <c r="R606" s="242"/>
      <c r="S606" s="243"/>
      <c r="T606" s="280"/>
      <c r="U606" s="341"/>
      <c r="V606" s="13"/>
      <c r="W606" s="242"/>
      <c r="X606" s="242"/>
      <c r="Y606" s="242"/>
    </row>
    <row r="607">
      <c r="A607" s="340"/>
      <c r="B607" s="242"/>
      <c r="C607" s="242"/>
      <c r="D607" s="242"/>
      <c r="E607" s="242"/>
      <c r="F607" s="242"/>
      <c r="G607" s="243"/>
      <c r="H607" s="242"/>
      <c r="I607" s="264"/>
      <c r="J607" s="251"/>
      <c r="K607" s="251"/>
      <c r="L607" s="242"/>
      <c r="M607" s="242"/>
      <c r="N607" s="242"/>
      <c r="O607" s="242"/>
      <c r="P607" s="242"/>
      <c r="Q607" s="242"/>
      <c r="R607" s="242"/>
      <c r="S607" s="243"/>
      <c r="T607" s="280"/>
      <c r="U607" s="341"/>
      <c r="V607" s="13"/>
      <c r="W607" s="242"/>
      <c r="X607" s="242"/>
      <c r="Y607" s="242"/>
    </row>
    <row r="608">
      <c r="A608" s="340"/>
      <c r="B608" s="242"/>
      <c r="C608" s="242"/>
      <c r="D608" s="242"/>
      <c r="E608" s="242"/>
      <c r="F608" s="242"/>
      <c r="G608" s="243"/>
      <c r="H608" s="242"/>
      <c r="I608" s="264"/>
      <c r="J608" s="251"/>
      <c r="K608" s="251"/>
      <c r="L608" s="242"/>
      <c r="M608" s="242"/>
      <c r="N608" s="242"/>
      <c r="O608" s="242"/>
      <c r="P608" s="242"/>
      <c r="Q608" s="242"/>
      <c r="R608" s="242"/>
      <c r="S608" s="243"/>
      <c r="T608" s="280"/>
      <c r="U608" s="341"/>
      <c r="V608" s="13"/>
      <c r="W608" s="242"/>
      <c r="X608" s="242"/>
      <c r="Y608" s="242"/>
    </row>
    <row r="609">
      <c r="A609" s="340"/>
      <c r="B609" s="242"/>
      <c r="C609" s="242"/>
      <c r="D609" s="242"/>
      <c r="E609" s="242"/>
      <c r="F609" s="242"/>
      <c r="G609" s="243"/>
      <c r="H609" s="242"/>
      <c r="I609" s="264"/>
      <c r="J609" s="251"/>
      <c r="K609" s="251"/>
      <c r="L609" s="242"/>
      <c r="M609" s="242"/>
      <c r="N609" s="242"/>
      <c r="O609" s="242"/>
      <c r="P609" s="242"/>
      <c r="Q609" s="242"/>
      <c r="R609" s="242"/>
      <c r="S609" s="243"/>
      <c r="T609" s="280"/>
      <c r="U609" s="341"/>
      <c r="V609" s="13"/>
      <c r="W609" s="242"/>
      <c r="X609" s="242"/>
      <c r="Y609" s="242"/>
    </row>
    <row r="610">
      <c r="A610" s="340"/>
      <c r="B610" s="242"/>
      <c r="C610" s="242"/>
      <c r="D610" s="242"/>
      <c r="E610" s="242"/>
      <c r="F610" s="242"/>
      <c r="G610" s="243"/>
      <c r="H610" s="242"/>
      <c r="I610" s="264"/>
      <c r="J610" s="251"/>
      <c r="K610" s="251"/>
      <c r="L610" s="242"/>
      <c r="M610" s="242"/>
      <c r="N610" s="242"/>
      <c r="O610" s="242"/>
      <c r="P610" s="242"/>
      <c r="Q610" s="242"/>
      <c r="R610" s="242"/>
      <c r="S610" s="243"/>
      <c r="T610" s="280"/>
      <c r="U610" s="341"/>
      <c r="V610" s="13"/>
      <c r="W610" s="242"/>
      <c r="X610" s="242"/>
      <c r="Y610" s="242"/>
    </row>
    <row r="611">
      <c r="A611" s="340"/>
      <c r="B611" s="242"/>
      <c r="C611" s="242"/>
      <c r="D611" s="242"/>
      <c r="E611" s="242"/>
      <c r="F611" s="242"/>
      <c r="G611" s="243"/>
      <c r="H611" s="242"/>
      <c r="I611" s="264"/>
      <c r="J611" s="251"/>
      <c r="K611" s="251"/>
      <c r="L611" s="242"/>
      <c r="M611" s="242"/>
      <c r="N611" s="242"/>
      <c r="O611" s="242"/>
      <c r="P611" s="242"/>
      <c r="Q611" s="242"/>
      <c r="R611" s="242"/>
      <c r="S611" s="243"/>
      <c r="T611" s="280"/>
      <c r="U611" s="341"/>
      <c r="V611" s="13"/>
      <c r="W611" s="242"/>
      <c r="X611" s="242"/>
      <c r="Y611" s="242"/>
    </row>
    <row r="612">
      <c r="A612" s="340"/>
      <c r="B612" s="242"/>
      <c r="C612" s="242"/>
      <c r="D612" s="242"/>
      <c r="E612" s="242"/>
      <c r="F612" s="242"/>
      <c r="G612" s="243"/>
      <c r="H612" s="242"/>
      <c r="I612" s="264"/>
      <c r="J612" s="251"/>
      <c r="K612" s="251"/>
      <c r="L612" s="242"/>
      <c r="M612" s="242"/>
      <c r="N612" s="242"/>
      <c r="O612" s="242"/>
      <c r="P612" s="242"/>
      <c r="Q612" s="242"/>
      <c r="R612" s="242"/>
      <c r="S612" s="243"/>
      <c r="T612" s="280"/>
      <c r="U612" s="341"/>
      <c r="V612" s="13"/>
      <c r="W612" s="242"/>
      <c r="X612" s="242"/>
      <c r="Y612" s="242"/>
    </row>
    <row r="613">
      <c r="A613" s="340"/>
      <c r="B613" s="242"/>
      <c r="C613" s="242"/>
      <c r="D613" s="242"/>
      <c r="E613" s="242"/>
      <c r="F613" s="242"/>
      <c r="G613" s="243"/>
      <c r="H613" s="242"/>
      <c r="I613" s="264"/>
      <c r="J613" s="251"/>
      <c r="K613" s="251"/>
      <c r="L613" s="242"/>
      <c r="M613" s="242"/>
      <c r="N613" s="242"/>
      <c r="O613" s="242"/>
      <c r="P613" s="242"/>
      <c r="Q613" s="242"/>
      <c r="R613" s="242"/>
      <c r="S613" s="243"/>
      <c r="T613" s="280"/>
      <c r="U613" s="341"/>
      <c r="V613" s="13"/>
      <c r="W613" s="242"/>
      <c r="X613" s="242"/>
      <c r="Y613" s="242"/>
    </row>
    <row r="614">
      <c r="A614" s="340"/>
      <c r="B614" s="242"/>
      <c r="C614" s="242"/>
      <c r="D614" s="242"/>
      <c r="E614" s="242"/>
      <c r="F614" s="242"/>
      <c r="G614" s="243"/>
      <c r="H614" s="242"/>
      <c r="I614" s="264"/>
      <c r="J614" s="251"/>
      <c r="K614" s="251"/>
      <c r="L614" s="242"/>
      <c r="M614" s="242"/>
      <c r="N614" s="242"/>
      <c r="O614" s="242"/>
      <c r="P614" s="242"/>
      <c r="Q614" s="242"/>
      <c r="R614" s="242"/>
      <c r="S614" s="243"/>
      <c r="T614" s="280"/>
      <c r="U614" s="341"/>
      <c r="V614" s="13"/>
      <c r="W614" s="242"/>
      <c r="X614" s="242"/>
      <c r="Y614" s="242"/>
    </row>
    <row r="615">
      <c r="A615" s="340"/>
      <c r="B615" s="242"/>
      <c r="C615" s="242"/>
      <c r="D615" s="242"/>
      <c r="E615" s="242"/>
      <c r="F615" s="242"/>
      <c r="G615" s="243"/>
      <c r="H615" s="242"/>
      <c r="I615" s="264"/>
      <c r="J615" s="251"/>
      <c r="K615" s="251"/>
      <c r="L615" s="242"/>
      <c r="M615" s="242"/>
      <c r="N615" s="242"/>
      <c r="O615" s="242"/>
      <c r="P615" s="242"/>
      <c r="Q615" s="242"/>
      <c r="R615" s="242"/>
      <c r="S615" s="243"/>
      <c r="T615" s="280"/>
      <c r="U615" s="341"/>
      <c r="V615" s="13"/>
      <c r="W615" s="242"/>
      <c r="X615" s="242"/>
      <c r="Y615" s="242"/>
    </row>
    <row r="616">
      <c r="A616" s="340"/>
      <c r="B616" s="242"/>
      <c r="C616" s="242"/>
      <c r="D616" s="242"/>
      <c r="E616" s="242"/>
      <c r="F616" s="242"/>
      <c r="G616" s="243"/>
      <c r="H616" s="242"/>
      <c r="I616" s="264"/>
      <c r="J616" s="251"/>
      <c r="K616" s="251"/>
      <c r="L616" s="242"/>
      <c r="M616" s="242"/>
      <c r="N616" s="242"/>
      <c r="O616" s="242"/>
      <c r="P616" s="242"/>
      <c r="Q616" s="242"/>
      <c r="R616" s="242"/>
      <c r="S616" s="243"/>
      <c r="T616" s="280"/>
      <c r="U616" s="341"/>
      <c r="V616" s="13"/>
      <c r="W616" s="242"/>
      <c r="X616" s="242"/>
      <c r="Y616" s="242"/>
    </row>
    <row r="617">
      <c r="A617" s="340"/>
      <c r="B617" s="242"/>
      <c r="C617" s="242"/>
      <c r="D617" s="242"/>
      <c r="E617" s="242"/>
      <c r="F617" s="242"/>
      <c r="G617" s="243"/>
      <c r="H617" s="242"/>
      <c r="I617" s="264"/>
      <c r="J617" s="251"/>
      <c r="K617" s="251"/>
      <c r="L617" s="242"/>
      <c r="M617" s="242"/>
      <c r="N617" s="242"/>
      <c r="O617" s="242"/>
      <c r="P617" s="242"/>
      <c r="Q617" s="242"/>
      <c r="R617" s="242"/>
      <c r="S617" s="243"/>
      <c r="T617" s="280"/>
      <c r="U617" s="341"/>
      <c r="V617" s="13"/>
      <c r="W617" s="242"/>
      <c r="X617" s="242"/>
      <c r="Y617" s="242"/>
    </row>
    <row r="618">
      <c r="A618" s="340"/>
      <c r="B618" s="242"/>
      <c r="C618" s="242"/>
      <c r="D618" s="242"/>
      <c r="E618" s="242"/>
      <c r="F618" s="242"/>
      <c r="G618" s="243"/>
      <c r="H618" s="242"/>
      <c r="I618" s="264"/>
      <c r="J618" s="251"/>
      <c r="K618" s="251"/>
      <c r="L618" s="242"/>
      <c r="M618" s="242"/>
      <c r="N618" s="242"/>
      <c r="O618" s="242"/>
      <c r="P618" s="242"/>
      <c r="Q618" s="242"/>
      <c r="R618" s="242"/>
      <c r="S618" s="243"/>
      <c r="T618" s="280"/>
      <c r="U618" s="341"/>
      <c r="V618" s="13"/>
      <c r="W618" s="242"/>
      <c r="X618" s="242"/>
      <c r="Y618" s="242"/>
    </row>
    <row r="619">
      <c r="A619" s="340"/>
      <c r="B619" s="242"/>
      <c r="C619" s="242"/>
      <c r="D619" s="242"/>
      <c r="E619" s="242"/>
      <c r="F619" s="242"/>
      <c r="G619" s="243"/>
      <c r="H619" s="242"/>
      <c r="I619" s="264"/>
      <c r="J619" s="251"/>
      <c r="K619" s="251"/>
      <c r="L619" s="242"/>
      <c r="M619" s="242"/>
      <c r="N619" s="242"/>
      <c r="O619" s="242"/>
      <c r="P619" s="242"/>
      <c r="Q619" s="242"/>
      <c r="R619" s="242"/>
      <c r="S619" s="243"/>
      <c r="T619" s="280"/>
      <c r="U619" s="341"/>
      <c r="V619" s="13"/>
      <c r="W619" s="242"/>
      <c r="X619" s="242"/>
      <c r="Y619" s="242"/>
    </row>
    <row r="620">
      <c r="A620" s="340"/>
      <c r="B620" s="242"/>
      <c r="C620" s="242"/>
      <c r="D620" s="242"/>
      <c r="E620" s="242"/>
      <c r="F620" s="242"/>
      <c r="G620" s="243"/>
      <c r="H620" s="242"/>
      <c r="I620" s="264"/>
      <c r="J620" s="251"/>
      <c r="K620" s="251"/>
      <c r="L620" s="242"/>
      <c r="M620" s="242"/>
      <c r="N620" s="242"/>
      <c r="O620" s="242"/>
      <c r="P620" s="242"/>
      <c r="Q620" s="242"/>
      <c r="R620" s="242"/>
      <c r="S620" s="243"/>
      <c r="T620" s="280"/>
      <c r="U620" s="341"/>
      <c r="V620" s="13"/>
      <c r="W620" s="242"/>
      <c r="X620" s="242"/>
      <c r="Y620" s="242"/>
    </row>
    <row r="621">
      <c r="A621" s="340"/>
      <c r="B621" s="242"/>
      <c r="C621" s="242"/>
      <c r="D621" s="242"/>
      <c r="E621" s="242"/>
      <c r="F621" s="242"/>
      <c r="G621" s="243"/>
      <c r="H621" s="242"/>
      <c r="I621" s="264"/>
      <c r="J621" s="251"/>
      <c r="K621" s="251"/>
      <c r="L621" s="242"/>
      <c r="M621" s="242"/>
      <c r="N621" s="242"/>
      <c r="O621" s="242"/>
      <c r="P621" s="242"/>
      <c r="Q621" s="242"/>
      <c r="R621" s="242"/>
      <c r="S621" s="243"/>
      <c r="T621" s="280"/>
      <c r="U621" s="341"/>
      <c r="V621" s="13"/>
      <c r="W621" s="242"/>
      <c r="X621" s="242"/>
      <c r="Y621" s="242"/>
    </row>
    <row r="622">
      <c r="A622" s="340"/>
      <c r="B622" s="242"/>
      <c r="C622" s="242"/>
      <c r="D622" s="242"/>
      <c r="E622" s="242"/>
      <c r="F622" s="242"/>
      <c r="G622" s="243"/>
      <c r="H622" s="242"/>
      <c r="I622" s="264"/>
      <c r="J622" s="251"/>
      <c r="K622" s="251"/>
      <c r="L622" s="242"/>
      <c r="M622" s="242"/>
      <c r="N622" s="242"/>
      <c r="O622" s="242"/>
      <c r="P622" s="242"/>
      <c r="Q622" s="242"/>
      <c r="R622" s="242"/>
      <c r="S622" s="243"/>
      <c r="T622" s="280"/>
      <c r="U622" s="341"/>
      <c r="V622" s="13"/>
      <c r="W622" s="242"/>
      <c r="X622" s="242"/>
      <c r="Y622" s="242"/>
    </row>
    <row r="623">
      <c r="A623" s="340"/>
      <c r="B623" s="242"/>
      <c r="C623" s="242"/>
      <c r="D623" s="242"/>
      <c r="E623" s="242"/>
      <c r="F623" s="242"/>
      <c r="G623" s="243"/>
      <c r="H623" s="242"/>
      <c r="I623" s="264"/>
      <c r="J623" s="251"/>
      <c r="K623" s="251"/>
      <c r="L623" s="242"/>
      <c r="M623" s="242"/>
      <c r="N623" s="242"/>
      <c r="O623" s="242"/>
      <c r="P623" s="242"/>
      <c r="Q623" s="242"/>
      <c r="R623" s="242"/>
      <c r="S623" s="243"/>
      <c r="T623" s="280"/>
      <c r="U623" s="341"/>
      <c r="V623" s="13"/>
      <c r="W623" s="242"/>
      <c r="X623" s="242"/>
      <c r="Y623" s="242"/>
    </row>
    <row r="624">
      <c r="A624" s="340"/>
      <c r="B624" s="242"/>
      <c r="C624" s="242"/>
      <c r="D624" s="242"/>
      <c r="E624" s="242"/>
      <c r="F624" s="242"/>
      <c r="G624" s="243"/>
      <c r="H624" s="242"/>
      <c r="I624" s="264"/>
      <c r="J624" s="251"/>
      <c r="K624" s="251"/>
      <c r="L624" s="242"/>
      <c r="M624" s="242"/>
      <c r="N624" s="242"/>
      <c r="O624" s="242"/>
      <c r="P624" s="242"/>
      <c r="Q624" s="242"/>
      <c r="R624" s="242"/>
      <c r="S624" s="243"/>
      <c r="T624" s="280"/>
      <c r="U624" s="341"/>
      <c r="V624" s="13"/>
      <c r="W624" s="242"/>
      <c r="X624" s="242"/>
      <c r="Y624" s="242"/>
    </row>
    <row r="625">
      <c r="A625" s="340"/>
      <c r="B625" s="242"/>
      <c r="C625" s="242"/>
      <c r="D625" s="242"/>
      <c r="E625" s="242"/>
      <c r="F625" s="242"/>
      <c r="G625" s="243"/>
      <c r="H625" s="242"/>
      <c r="I625" s="264"/>
      <c r="J625" s="251"/>
      <c r="K625" s="251"/>
      <c r="L625" s="242"/>
      <c r="M625" s="242"/>
      <c r="N625" s="242"/>
      <c r="O625" s="242"/>
      <c r="P625" s="242"/>
      <c r="Q625" s="242"/>
      <c r="R625" s="242"/>
      <c r="S625" s="243"/>
      <c r="T625" s="280"/>
      <c r="U625" s="341"/>
      <c r="V625" s="13"/>
      <c r="W625" s="242"/>
      <c r="X625" s="242"/>
      <c r="Y625" s="242"/>
    </row>
    <row r="626">
      <c r="A626" s="340"/>
      <c r="B626" s="242"/>
      <c r="C626" s="242"/>
      <c r="D626" s="242"/>
      <c r="E626" s="242"/>
      <c r="F626" s="242"/>
      <c r="G626" s="243"/>
      <c r="H626" s="242"/>
      <c r="I626" s="264"/>
      <c r="J626" s="251"/>
      <c r="K626" s="251"/>
      <c r="L626" s="242"/>
      <c r="M626" s="242"/>
      <c r="N626" s="242"/>
      <c r="O626" s="242"/>
      <c r="P626" s="242"/>
      <c r="Q626" s="242"/>
      <c r="R626" s="242"/>
      <c r="S626" s="243"/>
      <c r="T626" s="280"/>
      <c r="U626" s="341"/>
      <c r="V626" s="13"/>
      <c r="W626" s="242"/>
      <c r="X626" s="242"/>
      <c r="Y626" s="242"/>
    </row>
    <row r="627">
      <c r="A627" s="340"/>
      <c r="B627" s="242"/>
      <c r="C627" s="242"/>
      <c r="D627" s="242"/>
      <c r="E627" s="242"/>
      <c r="F627" s="242"/>
      <c r="G627" s="243"/>
      <c r="H627" s="242"/>
      <c r="I627" s="264"/>
      <c r="J627" s="251"/>
      <c r="K627" s="251"/>
      <c r="L627" s="242"/>
      <c r="M627" s="242"/>
      <c r="N627" s="242"/>
      <c r="O627" s="242"/>
      <c r="P627" s="242"/>
      <c r="Q627" s="242"/>
      <c r="R627" s="242"/>
      <c r="S627" s="243"/>
      <c r="T627" s="280"/>
      <c r="U627" s="341"/>
      <c r="V627" s="13"/>
      <c r="W627" s="242"/>
      <c r="X627" s="242"/>
      <c r="Y627" s="242"/>
    </row>
    <row r="628">
      <c r="A628" s="340"/>
      <c r="B628" s="242"/>
      <c r="C628" s="242"/>
      <c r="D628" s="242"/>
      <c r="E628" s="242"/>
      <c r="F628" s="242"/>
      <c r="G628" s="243"/>
      <c r="H628" s="242"/>
      <c r="I628" s="264"/>
      <c r="J628" s="251"/>
      <c r="K628" s="251"/>
      <c r="L628" s="242"/>
      <c r="M628" s="242"/>
      <c r="N628" s="242"/>
      <c r="O628" s="242"/>
      <c r="P628" s="242"/>
      <c r="Q628" s="242"/>
      <c r="R628" s="242"/>
      <c r="S628" s="243"/>
      <c r="T628" s="280"/>
      <c r="U628" s="341"/>
      <c r="V628" s="13"/>
      <c r="W628" s="242"/>
      <c r="X628" s="242"/>
      <c r="Y628" s="242"/>
    </row>
    <row r="629">
      <c r="A629" s="340"/>
      <c r="B629" s="242"/>
      <c r="C629" s="242"/>
      <c r="D629" s="242"/>
      <c r="E629" s="242"/>
      <c r="F629" s="242"/>
      <c r="G629" s="243"/>
      <c r="H629" s="242"/>
      <c r="I629" s="264"/>
      <c r="J629" s="251"/>
      <c r="K629" s="251"/>
      <c r="L629" s="242"/>
      <c r="M629" s="242"/>
      <c r="N629" s="242"/>
      <c r="O629" s="242"/>
      <c r="P629" s="242"/>
      <c r="Q629" s="242"/>
      <c r="R629" s="242"/>
      <c r="S629" s="243"/>
      <c r="T629" s="280"/>
      <c r="U629" s="341"/>
      <c r="V629" s="13"/>
      <c r="W629" s="242"/>
      <c r="X629" s="242"/>
      <c r="Y629" s="242"/>
    </row>
    <row r="630">
      <c r="A630" s="340"/>
      <c r="B630" s="242"/>
      <c r="C630" s="242"/>
      <c r="D630" s="242"/>
      <c r="E630" s="242"/>
      <c r="F630" s="242"/>
      <c r="G630" s="243"/>
      <c r="H630" s="242"/>
      <c r="I630" s="264"/>
      <c r="J630" s="251"/>
      <c r="K630" s="251"/>
      <c r="L630" s="242"/>
      <c r="M630" s="242"/>
      <c r="N630" s="242"/>
      <c r="O630" s="242"/>
      <c r="P630" s="242"/>
      <c r="Q630" s="242"/>
      <c r="R630" s="242"/>
      <c r="S630" s="243"/>
      <c r="T630" s="280"/>
      <c r="U630" s="341"/>
      <c r="V630" s="13"/>
      <c r="W630" s="242"/>
      <c r="X630" s="242"/>
      <c r="Y630" s="242"/>
    </row>
    <row r="631">
      <c r="A631" s="340"/>
      <c r="B631" s="242"/>
      <c r="C631" s="242"/>
      <c r="D631" s="242"/>
      <c r="E631" s="242"/>
      <c r="F631" s="242"/>
      <c r="G631" s="243"/>
      <c r="H631" s="242"/>
      <c r="I631" s="264"/>
      <c r="J631" s="251"/>
      <c r="K631" s="251"/>
      <c r="L631" s="242"/>
      <c r="M631" s="242"/>
      <c r="N631" s="242"/>
      <c r="O631" s="242"/>
      <c r="P631" s="242"/>
      <c r="Q631" s="242"/>
      <c r="R631" s="242"/>
      <c r="S631" s="243"/>
      <c r="T631" s="280"/>
      <c r="U631" s="341"/>
      <c r="V631" s="13"/>
      <c r="W631" s="242"/>
      <c r="X631" s="242"/>
      <c r="Y631" s="242"/>
    </row>
    <row r="632">
      <c r="A632" s="340"/>
      <c r="B632" s="242"/>
      <c r="C632" s="242"/>
      <c r="D632" s="242"/>
      <c r="E632" s="242"/>
      <c r="F632" s="242"/>
      <c r="G632" s="243"/>
      <c r="H632" s="242"/>
      <c r="I632" s="264"/>
      <c r="J632" s="251"/>
      <c r="K632" s="251"/>
      <c r="L632" s="242"/>
      <c r="M632" s="242"/>
      <c r="N632" s="242"/>
      <c r="O632" s="242"/>
      <c r="P632" s="242"/>
      <c r="Q632" s="242"/>
      <c r="R632" s="242"/>
      <c r="S632" s="243"/>
      <c r="T632" s="280"/>
      <c r="U632" s="341"/>
      <c r="V632" s="13"/>
      <c r="W632" s="242"/>
      <c r="X632" s="242"/>
      <c r="Y632" s="242"/>
    </row>
    <row r="633">
      <c r="A633" s="340"/>
      <c r="B633" s="242"/>
      <c r="C633" s="242"/>
      <c r="D633" s="242"/>
      <c r="E633" s="242"/>
      <c r="F633" s="242"/>
      <c r="G633" s="243"/>
      <c r="H633" s="242"/>
      <c r="I633" s="264"/>
      <c r="J633" s="251"/>
      <c r="K633" s="251"/>
      <c r="L633" s="242"/>
      <c r="M633" s="242"/>
      <c r="N633" s="242"/>
      <c r="O633" s="242"/>
      <c r="P633" s="242"/>
      <c r="Q633" s="242"/>
      <c r="R633" s="242"/>
      <c r="S633" s="243"/>
      <c r="T633" s="280"/>
      <c r="U633" s="341"/>
      <c r="V633" s="13"/>
      <c r="W633" s="242"/>
      <c r="X633" s="242"/>
      <c r="Y633" s="242"/>
    </row>
    <row r="634">
      <c r="A634" s="340"/>
      <c r="B634" s="242"/>
      <c r="C634" s="242"/>
      <c r="D634" s="242"/>
      <c r="E634" s="242"/>
      <c r="F634" s="242"/>
      <c r="G634" s="243"/>
      <c r="H634" s="242"/>
      <c r="I634" s="264"/>
      <c r="J634" s="251"/>
      <c r="K634" s="251"/>
      <c r="L634" s="242"/>
      <c r="M634" s="242"/>
      <c r="N634" s="242"/>
      <c r="O634" s="242"/>
      <c r="P634" s="242"/>
      <c r="Q634" s="242"/>
      <c r="R634" s="242"/>
      <c r="S634" s="243"/>
      <c r="T634" s="280"/>
      <c r="U634" s="341"/>
      <c r="V634" s="13"/>
      <c r="W634" s="242"/>
      <c r="X634" s="242"/>
      <c r="Y634" s="242"/>
    </row>
    <row r="635">
      <c r="A635" s="340"/>
      <c r="B635" s="242"/>
      <c r="C635" s="242"/>
      <c r="D635" s="242"/>
      <c r="E635" s="242"/>
      <c r="F635" s="242"/>
      <c r="G635" s="243"/>
      <c r="H635" s="242"/>
      <c r="I635" s="264"/>
      <c r="J635" s="251"/>
      <c r="K635" s="251"/>
      <c r="L635" s="242"/>
      <c r="M635" s="242"/>
      <c r="N635" s="242"/>
      <c r="O635" s="242"/>
      <c r="P635" s="242"/>
      <c r="Q635" s="242"/>
      <c r="R635" s="242"/>
      <c r="S635" s="243"/>
      <c r="T635" s="280"/>
      <c r="U635" s="341"/>
      <c r="V635" s="13"/>
      <c r="W635" s="242"/>
      <c r="X635" s="242"/>
      <c r="Y635" s="242"/>
    </row>
    <row r="636">
      <c r="A636" s="340"/>
      <c r="B636" s="242"/>
      <c r="C636" s="242"/>
      <c r="D636" s="242"/>
      <c r="E636" s="242"/>
      <c r="F636" s="242"/>
      <c r="G636" s="243"/>
      <c r="H636" s="242"/>
      <c r="I636" s="264"/>
      <c r="J636" s="251"/>
      <c r="K636" s="251"/>
      <c r="L636" s="242"/>
      <c r="M636" s="242"/>
      <c r="N636" s="242"/>
      <c r="O636" s="242"/>
      <c r="P636" s="242"/>
      <c r="Q636" s="242"/>
      <c r="R636" s="242"/>
      <c r="S636" s="243"/>
      <c r="T636" s="280"/>
      <c r="U636" s="341"/>
      <c r="V636" s="13"/>
      <c r="W636" s="242"/>
      <c r="X636" s="242"/>
      <c r="Y636" s="242"/>
    </row>
    <row r="637">
      <c r="A637" s="340"/>
      <c r="B637" s="242"/>
      <c r="C637" s="242"/>
      <c r="D637" s="242"/>
      <c r="E637" s="242"/>
      <c r="F637" s="242"/>
      <c r="G637" s="243"/>
      <c r="H637" s="242"/>
      <c r="I637" s="264"/>
      <c r="J637" s="251"/>
      <c r="K637" s="251"/>
      <c r="L637" s="242"/>
      <c r="M637" s="242"/>
      <c r="N637" s="242"/>
      <c r="O637" s="242"/>
      <c r="P637" s="242"/>
      <c r="Q637" s="242"/>
      <c r="R637" s="242"/>
      <c r="S637" s="243"/>
      <c r="T637" s="280"/>
      <c r="U637" s="341"/>
      <c r="V637" s="13"/>
      <c r="W637" s="242"/>
      <c r="X637" s="242"/>
      <c r="Y637" s="242"/>
    </row>
    <row r="638">
      <c r="A638" s="340"/>
      <c r="B638" s="242"/>
      <c r="C638" s="242"/>
      <c r="D638" s="242"/>
      <c r="E638" s="242"/>
      <c r="F638" s="242"/>
      <c r="G638" s="243"/>
      <c r="H638" s="242"/>
      <c r="I638" s="264"/>
      <c r="J638" s="251"/>
      <c r="K638" s="251"/>
      <c r="L638" s="242"/>
      <c r="M638" s="242"/>
      <c r="N638" s="242"/>
      <c r="O638" s="242"/>
      <c r="P638" s="242"/>
      <c r="Q638" s="242"/>
      <c r="R638" s="242"/>
      <c r="S638" s="243"/>
      <c r="T638" s="280"/>
      <c r="U638" s="341"/>
      <c r="V638" s="13"/>
      <c r="W638" s="242"/>
      <c r="X638" s="242"/>
      <c r="Y638" s="242"/>
    </row>
    <row r="639">
      <c r="A639" s="340"/>
      <c r="B639" s="242"/>
      <c r="C639" s="242"/>
      <c r="D639" s="242"/>
      <c r="E639" s="242"/>
      <c r="F639" s="242"/>
      <c r="G639" s="243"/>
      <c r="H639" s="242"/>
      <c r="I639" s="264"/>
      <c r="J639" s="251"/>
      <c r="K639" s="251"/>
      <c r="L639" s="242"/>
      <c r="M639" s="242"/>
      <c r="N639" s="242"/>
      <c r="O639" s="242"/>
      <c r="P639" s="242"/>
      <c r="Q639" s="242"/>
      <c r="R639" s="242"/>
      <c r="S639" s="243"/>
      <c r="T639" s="280"/>
      <c r="U639" s="341"/>
      <c r="V639" s="13"/>
      <c r="W639" s="242"/>
      <c r="X639" s="242"/>
      <c r="Y639" s="242"/>
    </row>
    <row r="640">
      <c r="A640" s="340"/>
      <c r="B640" s="242"/>
      <c r="C640" s="242"/>
      <c r="D640" s="242"/>
      <c r="E640" s="242"/>
      <c r="F640" s="242"/>
      <c r="G640" s="243"/>
      <c r="H640" s="242"/>
      <c r="I640" s="264"/>
      <c r="J640" s="251"/>
      <c r="K640" s="251"/>
      <c r="L640" s="242"/>
      <c r="M640" s="242"/>
      <c r="N640" s="242"/>
      <c r="O640" s="242"/>
      <c r="P640" s="242"/>
      <c r="Q640" s="242"/>
      <c r="R640" s="242"/>
      <c r="S640" s="243"/>
      <c r="T640" s="280"/>
      <c r="U640" s="341"/>
      <c r="V640" s="13"/>
      <c r="W640" s="242"/>
      <c r="X640" s="242"/>
      <c r="Y640" s="242"/>
    </row>
    <row r="641">
      <c r="A641" s="340"/>
      <c r="B641" s="242"/>
      <c r="C641" s="242"/>
      <c r="D641" s="242"/>
      <c r="E641" s="242"/>
      <c r="F641" s="242"/>
      <c r="G641" s="243"/>
      <c r="H641" s="242"/>
      <c r="I641" s="264"/>
      <c r="J641" s="251"/>
      <c r="K641" s="251"/>
      <c r="L641" s="242"/>
      <c r="M641" s="242"/>
      <c r="N641" s="242"/>
      <c r="O641" s="242"/>
      <c r="P641" s="242"/>
      <c r="Q641" s="242"/>
      <c r="R641" s="242"/>
      <c r="S641" s="243"/>
      <c r="T641" s="280"/>
      <c r="U641" s="341"/>
      <c r="V641" s="13"/>
      <c r="W641" s="242"/>
      <c r="X641" s="242"/>
      <c r="Y641" s="242"/>
    </row>
    <row r="642">
      <c r="A642" s="340"/>
      <c r="B642" s="242"/>
      <c r="C642" s="242"/>
      <c r="D642" s="242"/>
      <c r="E642" s="242"/>
      <c r="F642" s="242"/>
      <c r="G642" s="243"/>
      <c r="H642" s="242"/>
      <c r="I642" s="264"/>
      <c r="J642" s="251"/>
      <c r="K642" s="251"/>
      <c r="L642" s="242"/>
      <c r="M642" s="242"/>
      <c r="N642" s="242"/>
      <c r="O642" s="242"/>
      <c r="P642" s="242"/>
      <c r="Q642" s="242"/>
      <c r="R642" s="242"/>
      <c r="S642" s="243"/>
      <c r="T642" s="280"/>
      <c r="U642" s="341"/>
      <c r="V642" s="13"/>
      <c r="W642" s="242"/>
      <c r="X642" s="242"/>
      <c r="Y642" s="242"/>
    </row>
    <row r="643">
      <c r="A643" s="340"/>
      <c r="B643" s="242"/>
      <c r="C643" s="242"/>
      <c r="D643" s="242"/>
      <c r="E643" s="242"/>
      <c r="F643" s="242"/>
      <c r="G643" s="243"/>
      <c r="H643" s="242"/>
      <c r="I643" s="264"/>
      <c r="J643" s="251"/>
      <c r="K643" s="251"/>
      <c r="L643" s="242"/>
      <c r="M643" s="242"/>
      <c r="N643" s="242"/>
      <c r="O643" s="242"/>
      <c r="P643" s="242"/>
      <c r="Q643" s="242"/>
      <c r="R643" s="242"/>
      <c r="S643" s="243"/>
      <c r="T643" s="280"/>
      <c r="U643" s="341"/>
      <c r="V643" s="13"/>
      <c r="W643" s="242"/>
      <c r="X643" s="242"/>
      <c r="Y643" s="242"/>
    </row>
    <row r="644">
      <c r="A644" s="340"/>
      <c r="B644" s="242"/>
      <c r="C644" s="242"/>
      <c r="D644" s="242"/>
      <c r="E644" s="242"/>
      <c r="F644" s="242"/>
      <c r="G644" s="243"/>
      <c r="H644" s="242"/>
      <c r="I644" s="264"/>
      <c r="J644" s="251"/>
      <c r="K644" s="251"/>
      <c r="L644" s="242"/>
      <c r="M644" s="242"/>
      <c r="N644" s="242"/>
      <c r="O644" s="242"/>
      <c r="P644" s="242"/>
      <c r="Q644" s="242"/>
      <c r="R644" s="242"/>
      <c r="S644" s="243"/>
      <c r="T644" s="280"/>
      <c r="U644" s="341"/>
      <c r="V644" s="13"/>
      <c r="W644" s="242"/>
      <c r="X644" s="242"/>
      <c r="Y644" s="242"/>
    </row>
    <row r="645">
      <c r="A645" s="340"/>
      <c r="B645" s="242"/>
      <c r="C645" s="242"/>
      <c r="D645" s="242"/>
      <c r="E645" s="242"/>
      <c r="F645" s="242"/>
      <c r="G645" s="243"/>
      <c r="H645" s="242"/>
      <c r="I645" s="264"/>
      <c r="J645" s="251"/>
      <c r="K645" s="251"/>
      <c r="L645" s="242"/>
      <c r="M645" s="242"/>
      <c r="N645" s="242"/>
      <c r="O645" s="242"/>
      <c r="P645" s="242"/>
      <c r="Q645" s="242"/>
      <c r="R645" s="242"/>
      <c r="S645" s="243"/>
      <c r="T645" s="280"/>
      <c r="U645" s="341"/>
      <c r="V645" s="13"/>
      <c r="W645" s="242"/>
      <c r="X645" s="242"/>
      <c r="Y645" s="242"/>
    </row>
    <row r="646">
      <c r="A646" s="340"/>
      <c r="B646" s="242"/>
      <c r="C646" s="242"/>
      <c r="D646" s="242"/>
      <c r="E646" s="242"/>
      <c r="F646" s="242"/>
      <c r="G646" s="243"/>
      <c r="H646" s="242"/>
      <c r="I646" s="264"/>
      <c r="J646" s="251"/>
      <c r="K646" s="251"/>
      <c r="L646" s="242"/>
      <c r="M646" s="242"/>
      <c r="N646" s="242"/>
      <c r="O646" s="242"/>
      <c r="P646" s="242"/>
      <c r="Q646" s="242"/>
      <c r="R646" s="242"/>
      <c r="S646" s="243"/>
      <c r="T646" s="280"/>
      <c r="U646" s="341"/>
      <c r="V646" s="13"/>
      <c r="W646" s="242"/>
      <c r="X646" s="242"/>
      <c r="Y646" s="242"/>
    </row>
    <row r="647">
      <c r="A647" s="340"/>
      <c r="B647" s="242"/>
      <c r="C647" s="242"/>
      <c r="D647" s="242"/>
      <c r="E647" s="242"/>
      <c r="F647" s="242"/>
      <c r="G647" s="243"/>
      <c r="H647" s="242"/>
      <c r="I647" s="264"/>
      <c r="J647" s="251"/>
      <c r="K647" s="251"/>
      <c r="L647" s="242"/>
      <c r="M647" s="242"/>
      <c r="N647" s="242"/>
      <c r="O647" s="242"/>
      <c r="P647" s="242"/>
      <c r="Q647" s="242"/>
      <c r="R647" s="242"/>
      <c r="S647" s="243"/>
      <c r="T647" s="280"/>
      <c r="U647" s="341"/>
      <c r="V647" s="13"/>
      <c r="W647" s="242"/>
      <c r="X647" s="242"/>
      <c r="Y647" s="242"/>
    </row>
    <row r="648">
      <c r="A648" s="340"/>
      <c r="B648" s="242"/>
      <c r="C648" s="242"/>
      <c r="D648" s="242"/>
      <c r="E648" s="242"/>
      <c r="F648" s="242"/>
      <c r="G648" s="243"/>
      <c r="H648" s="242"/>
      <c r="I648" s="264"/>
      <c r="J648" s="251"/>
      <c r="K648" s="251"/>
      <c r="L648" s="242"/>
      <c r="M648" s="242"/>
      <c r="N648" s="242"/>
      <c r="O648" s="242"/>
      <c r="P648" s="242"/>
      <c r="Q648" s="242"/>
      <c r="R648" s="242"/>
      <c r="S648" s="243"/>
      <c r="T648" s="280"/>
      <c r="U648" s="341"/>
      <c r="V648" s="13"/>
      <c r="W648" s="242"/>
      <c r="X648" s="242"/>
      <c r="Y648" s="242"/>
    </row>
    <row r="649">
      <c r="A649" s="340"/>
      <c r="B649" s="242"/>
      <c r="C649" s="242"/>
      <c r="D649" s="242"/>
      <c r="E649" s="242"/>
      <c r="F649" s="242"/>
      <c r="G649" s="243"/>
      <c r="H649" s="242"/>
      <c r="I649" s="264"/>
      <c r="J649" s="251"/>
      <c r="K649" s="251"/>
      <c r="L649" s="242"/>
      <c r="M649" s="242"/>
      <c r="N649" s="242"/>
      <c r="O649" s="242"/>
      <c r="P649" s="242"/>
      <c r="Q649" s="242"/>
      <c r="R649" s="242"/>
      <c r="S649" s="243"/>
      <c r="T649" s="280"/>
      <c r="U649" s="341"/>
      <c r="V649" s="13"/>
      <c r="W649" s="242"/>
      <c r="X649" s="242"/>
      <c r="Y649" s="242"/>
    </row>
    <row r="650">
      <c r="A650" s="340"/>
      <c r="B650" s="242"/>
      <c r="C650" s="242"/>
      <c r="D650" s="242"/>
      <c r="E650" s="242"/>
      <c r="F650" s="242"/>
      <c r="G650" s="243"/>
      <c r="H650" s="242"/>
      <c r="I650" s="264"/>
      <c r="J650" s="251"/>
      <c r="K650" s="251"/>
      <c r="L650" s="242"/>
      <c r="M650" s="242"/>
      <c r="N650" s="242"/>
      <c r="O650" s="242"/>
      <c r="P650" s="242"/>
      <c r="Q650" s="242"/>
      <c r="R650" s="242"/>
      <c r="S650" s="243"/>
      <c r="T650" s="280"/>
      <c r="U650" s="341"/>
      <c r="V650" s="13"/>
      <c r="W650" s="242"/>
      <c r="X650" s="242"/>
      <c r="Y650" s="242"/>
    </row>
    <row r="651">
      <c r="A651" s="340"/>
      <c r="B651" s="242"/>
      <c r="C651" s="242"/>
      <c r="D651" s="242"/>
      <c r="E651" s="242"/>
      <c r="F651" s="242"/>
      <c r="G651" s="243"/>
      <c r="H651" s="242"/>
      <c r="I651" s="264"/>
      <c r="J651" s="251"/>
      <c r="K651" s="251"/>
      <c r="L651" s="242"/>
      <c r="M651" s="242"/>
      <c r="N651" s="242"/>
      <c r="O651" s="242"/>
      <c r="P651" s="242"/>
      <c r="Q651" s="242"/>
      <c r="R651" s="242"/>
      <c r="S651" s="243"/>
      <c r="T651" s="280"/>
      <c r="U651" s="341"/>
      <c r="V651" s="13"/>
      <c r="W651" s="242"/>
      <c r="X651" s="242"/>
      <c r="Y651" s="242"/>
    </row>
    <row r="652">
      <c r="A652" s="340"/>
      <c r="B652" s="242"/>
      <c r="C652" s="242"/>
      <c r="D652" s="242"/>
      <c r="E652" s="242"/>
      <c r="F652" s="242"/>
      <c r="G652" s="243"/>
      <c r="H652" s="242"/>
      <c r="I652" s="264"/>
      <c r="J652" s="251"/>
      <c r="K652" s="251"/>
      <c r="L652" s="242"/>
      <c r="M652" s="242"/>
      <c r="N652" s="242"/>
      <c r="O652" s="242"/>
      <c r="P652" s="242"/>
      <c r="Q652" s="242"/>
      <c r="R652" s="242"/>
      <c r="S652" s="243"/>
      <c r="T652" s="280"/>
      <c r="U652" s="341"/>
      <c r="V652" s="13"/>
      <c r="W652" s="242"/>
      <c r="X652" s="242"/>
      <c r="Y652" s="242"/>
    </row>
    <row r="653">
      <c r="A653" s="340"/>
      <c r="B653" s="242"/>
      <c r="C653" s="242"/>
      <c r="D653" s="242"/>
      <c r="E653" s="242"/>
      <c r="F653" s="242"/>
      <c r="G653" s="243"/>
      <c r="H653" s="242"/>
      <c r="I653" s="264"/>
      <c r="J653" s="251"/>
      <c r="K653" s="251"/>
      <c r="L653" s="242"/>
      <c r="M653" s="242"/>
      <c r="N653" s="242"/>
      <c r="O653" s="242"/>
      <c r="P653" s="242"/>
      <c r="Q653" s="242"/>
      <c r="R653" s="242"/>
      <c r="S653" s="243"/>
      <c r="T653" s="280"/>
      <c r="U653" s="341"/>
      <c r="V653" s="13"/>
      <c r="W653" s="242"/>
      <c r="X653" s="242"/>
      <c r="Y653" s="242"/>
    </row>
    <row r="654">
      <c r="A654" s="340"/>
      <c r="B654" s="242"/>
      <c r="C654" s="242"/>
      <c r="D654" s="242"/>
      <c r="E654" s="242"/>
      <c r="F654" s="242"/>
      <c r="G654" s="243"/>
      <c r="H654" s="242"/>
      <c r="I654" s="264"/>
      <c r="J654" s="251"/>
      <c r="K654" s="251"/>
      <c r="L654" s="242"/>
      <c r="M654" s="242"/>
      <c r="N654" s="242"/>
      <c r="O654" s="242"/>
      <c r="P654" s="242"/>
      <c r="Q654" s="242"/>
      <c r="R654" s="242"/>
      <c r="S654" s="243"/>
      <c r="T654" s="280"/>
      <c r="U654" s="341"/>
      <c r="V654" s="13"/>
      <c r="W654" s="242"/>
      <c r="X654" s="242"/>
      <c r="Y654" s="242"/>
    </row>
    <row r="655">
      <c r="A655" s="340"/>
      <c r="B655" s="242"/>
      <c r="C655" s="242"/>
      <c r="D655" s="242"/>
      <c r="E655" s="242"/>
      <c r="F655" s="242"/>
      <c r="G655" s="243"/>
      <c r="H655" s="242"/>
      <c r="I655" s="264"/>
      <c r="J655" s="251"/>
      <c r="K655" s="251"/>
      <c r="L655" s="242"/>
      <c r="M655" s="242"/>
      <c r="N655" s="242"/>
      <c r="O655" s="242"/>
      <c r="P655" s="242"/>
      <c r="Q655" s="242"/>
      <c r="R655" s="242"/>
      <c r="S655" s="243"/>
      <c r="T655" s="280"/>
      <c r="U655" s="341"/>
      <c r="V655" s="13"/>
      <c r="W655" s="242"/>
      <c r="X655" s="242"/>
      <c r="Y655" s="242"/>
    </row>
    <row r="656">
      <c r="A656" s="340"/>
      <c r="B656" s="242"/>
      <c r="C656" s="242"/>
      <c r="D656" s="242"/>
      <c r="E656" s="242"/>
      <c r="F656" s="242"/>
      <c r="G656" s="243"/>
      <c r="H656" s="242"/>
      <c r="I656" s="264"/>
      <c r="J656" s="251"/>
      <c r="K656" s="251"/>
      <c r="L656" s="242"/>
      <c r="M656" s="242"/>
      <c r="N656" s="242"/>
      <c r="O656" s="242"/>
      <c r="P656" s="242"/>
      <c r="Q656" s="242"/>
      <c r="R656" s="242"/>
      <c r="S656" s="243"/>
      <c r="T656" s="280"/>
      <c r="U656" s="341"/>
      <c r="V656" s="13"/>
      <c r="W656" s="242"/>
      <c r="X656" s="242"/>
      <c r="Y656" s="242"/>
    </row>
    <row r="657">
      <c r="A657" s="340"/>
      <c r="B657" s="242"/>
      <c r="C657" s="242"/>
      <c r="D657" s="242"/>
      <c r="E657" s="242"/>
      <c r="F657" s="242"/>
      <c r="G657" s="243"/>
      <c r="H657" s="242"/>
      <c r="I657" s="264"/>
      <c r="J657" s="251"/>
      <c r="K657" s="251"/>
      <c r="L657" s="242"/>
      <c r="M657" s="242"/>
      <c r="N657" s="242"/>
      <c r="O657" s="242"/>
      <c r="P657" s="242"/>
      <c r="Q657" s="242"/>
      <c r="R657" s="242"/>
      <c r="S657" s="243"/>
      <c r="T657" s="280"/>
      <c r="U657" s="341"/>
      <c r="V657" s="13"/>
      <c r="W657" s="242"/>
      <c r="X657" s="242"/>
      <c r="Y657" s="242"/>
    </row>
    <row r="658">
      <c r="A658" s="340"/>
      <c r="B658" s="242"/>
      <c r="C658" s="242"/>
      <c r="D658" s="242"/>
      <c r="E658" s="242"/>
      <c r="F658" s="242"/>
      <c r="G658" s="243"/>
      <c r="H658" s="242"/>
      <c r="I658" s="264"/>
      <c r="J658" s="251"/>
      <c r="K658" s="251"/>
      <c r="L658" s="242"/>
      <c r="M658" s="242"/>
      <c r="N658" s="242"/>
      <c r="O658" s="242"/>
      <c r="P658" s="242"/>
      <c r="Q658" s="242"/>
      <c r="R658" s="242"/>
      <c r="S658" s="243"/>
      <c r="T658" s="280"/>
      <c r="U658" s="341"/>
      <c r="V658" s="13"/>
      <c r="W658" s="242"/>
      <c r="X658" s="242"/>
      <c r="Y658" s="242"/>
    </row>
    <row r="659">
      <c r="A659" s="340"/>
      <c r="B659" s="242"/>
      <c r="C659" s="242"/>
      <c r="D659" s="242"/>
      <c r="E659" s="242"/>
      <c r="F659" s="242"/>
      <c r="G659" s="243"/>
      <c r="H659" s="242"/>
      <c r="I659" s="264"/>
      <c r="J659" s="251"/>
      <c r="K659" s="251"/>
      <c r="L659" s="242"/>
      <c r="M659" s="242"/>
      <c r="N659" s="242"/>
      <c r="O659" s="242"/>
      <c r="P659" s="242"/>
      <c r="Q659" s="242"/>
      <c r="R659" s="242"/>
      <c r="S659" s="243"/>
      <c r="T659" s="280"/>
      <c r="U659" s="341"/>
      <c r="V659" s="13"/>
      <c r="W659" s="242"/>
      <c r="X659" s="242"/>
      <c r="Y659" s="242"/>
    </row>
    <row r="660">
      <c r="A660" s="340"/>
      <c r="B660" s="242"/>
      <c r="C660" s="242"/>
      <c r="D660" s="242"/>
      <c r="E660" s="242"/>
      <c r="F660" s="242"/>
      <c r="G660" s="243"/>
      <c r="H660" s="242"/>
      <c r="I660" s="264"/>
      <c r="J660" s="251"/>
      <c r="K660" s="251"/>
      <c r="L660" s="242"/>
      <c r="M660" s="242"/>
      <c r="N660" s="242"/>
      <c r="O660" s="242"/>
      <c r="P660" s="242"/>
      <c r="Q660" s="242"/>
      <c r="R660" s="242"/>
      <c r="S660" s="243"/>
      <c r="T660" s="280"/>
      <c r="U660" s="341"/>
      <c r="V660" s="13"/>
      <c r="W660" s="242"/>
      <c r="X660" s="242"/>
      <c r="Y660" s="242"/>
    </row>
    <row r="661">
      <c r="A661" s="340"/>
      <c r="B661" s="242"/>
      <c r="C661" s="242"/>
      <c r="D661" s="242"/>
      <c r="E661" s="242"/>
      <c r="F661" s="242"/>
      <c r="G661" s="243"/>
      <c r="H661" s="242"/>
      <c r="I661" s="264"/>
      <c r="J661" s="251"/>
      <c r="K661" s="251"/>
      <c r="L661" s="242"/>
      <c r="M661" s="242"/>
      <c r="N661" s="242"/>
      <c r="O661" s="242"/>
      <c r="P661" s="242"/>
      <c r="Q661" s="242"/>
      <c r="R661" s="242"/>
      <c r="S661" s="243"/>
      <c r="T661" s="280"/>
      <c r="U661" s="341"/>
      <c r="V661" s="13"/>
      <c r="W661" s="242"/>
      <c r="X661" s="242"/>
      <c r="Y661" s="242"/>
    </row>
    <row r="662">
      <c r="A662" s="340"/>
      <c r="B662" s="242"/>
      <c r="C662" s="242"/>
      <c r="D662" s="242"/>
      <c r="E662" s="242"/>
      <c r="F662" s="242"/>
      <c r="G662" s="243"/>
      <c r="H662" s="242"/>
      <c r="I662" s="264"/>
      <c r="J662" s="251"/>
      <c r="K662" s="251"/>
      <c r="L662" s="242"/>
      <c r="M662" s="242"/>
      <c r="N662" s="242"/>
      <c r="O662" s="242"/>
      <c r="P662" s="242"/>
      <c r="Q662" s="242"/>
      <c r="R662" s="242"/>
      <c r="S662" s="243"/>
      <c r="T662" s="280"/>
      <c r="U662" s="341"/>
      <c r="V662" s="13"/>
      <c r="W662" s="242"/>
      <c r="X662" s="242"/>
      <c r="Y662" s="242"/>
    </row>
    <row r="663">
      <c r="A663" s="340"/>
      <c r="B663" s="242"/>
      <c r="C663" s="242"/>
      <c r="D663" s="242"/>
      <c r="E663" s="242"/>
      <c r="F663" s="242"/>
      <c r="G663" s="243"/>
      <c r="H663" s="242"/>
      <c r="I663" s="264"/>
      <c r="J663" s="251"/>
      <c r="K663" s="251"/>
      <c r="L663" s="242"/>
      <c r="M663" s="242"/>
      <c r="N663" s="242"/>
      <c r="O663" s="242"/>
      <c r="P663" s="242"/>
      <c r="Q663" s="242"/>
      <c r="R663" s="242"/>
      <c r="S663" s="243"/>
      <c r="T663" s="280"/>
      <c r="U663" s="341"/>
      <c r="V663" s="13"/>
      <c r="W663" s="242"/>
      <c r="X663" s="242"/>
      <c r="Y663" s="242"/>
    </row>
    <row r="664">
      <c r="A664" s="340"/>
      <c r="B664" s="242"/>
      <c r="C664" s="242"/>
      <c r="D664" s="242"/>
      <c r="E664" s="242"/>
      <c r="F664" s="242"/>
      <c r="G664" s="243"/>
      <c r="H664" s="242"/>
      <c r="I664" s="264"/>
      <c r="J664" s="251"/>
      <c r="K664" s="251"/>
      <c r="L664" s="242"/>
      <c r="M664" s="242"/>
      <c r="N664" s="242"/>
      <c r="O664" s="242"/>
      <c r="P664" s="242"/>
      <c r="Q664" s="242"/>
      <c r="R664" s="242"/>
      <c r="S664" s="243"/>
      <c r="T664" s="280"/>
      <c r="U664" s="341"/>
      <c r="V664" s="13"/>
      <c r="W664" s="242"/>
      <c r="X664" s="242"/>
      <c r="Y664" s="242"/>
    </row>
    <row r="665">
      <c r="A665" s="340"/>
      <c r="B665" s="242"/>
      <c r="C665" s="242"/>
      <c r="D665" s="242"/>
      <c r="E665" s="242"/>
      <c r="F665" s="242"/>
      <c r="G665" s="243"/>
      <c r="H665" s="242"/>
      <c r="I665" s="264"/>
      <c r="J665" s="251"/>
      <c r="K665" s="251"/>
      <c r="L665" s="242"/>
      <c r="M665" s="242"/>
      <c r="N665" s="242"/>
      <c r="O665" s="242"/>
      <c r="P665" s="242"/>
      <c r="Q665" s="242"/>
      <c r="R665" s="242"/>
      <c r="S665" s="243"/>
      <c r="T665" s="280"/>
      <c r="U665" s="341"/>
      <c r="V665" s="13"/>
      <c r="W665" s="242"/>
      <c r="X665" s="242"/>
      <c r="Y665" s="242"/>
    </row>
    <row r="666">
      <c r="A666" s="340"/>
      <c r="B666" s="242"/>
      <c r="C666" s="242"/>
      <c r="D666" s="242"/>
      <c r="E666" s="242"/>
      <c r="F666" s="242"/>
      <c r="G666" s="243"/>
      <c r="H666" s="242"/>
      <c r="I666" s="264"/>
      <c r="J666" s="251"/>
      <c r="K666" s="251"/>
      <c r="L666" s="242"/>
      <c r="M666" s="242"/>
      <c r="N666" s="242"/>
      <c r="O666" s="242"/>
      <c r="P666" s="242"/>
      <c r="Q666" s="242"/>
      <c r="R666" s="242"/>
      <c r="S666" s="243"/>
      <c r="T666" s="280"/>
      <c r="U666" s="341"/>
      <c r="V666" s="13"/>
      <c r="W666" s="242"/>
      <c r="X666" s="242"/>
      <c r="Y666" s="242"/>
    </row>
    <row r="667">
      <c r="A667" s="340"/>
      <c r="B667" s="242"/>
      <c r="C667" s="242"/>
      <c r="D667" s="242"/>
      <c r="E667" s="242"/>
      <c r="F667" s="242"/>
      <c r="G667" s="243"/>
      <c r="H667" s="242"/>
      <c r="I667" s="264"/>
      <c r="J667" s="251"/>
      <c r="K667" s="251"/>
      <c r="L667" s="242"/>
      <c r="M667" s="242"/>
      <c r="N667" s="242"/>
      <c r="O667" s="242"/>
      <c r="P667" s="242"/>
      <c r="Q667" s="242"/>
      <c r="R667" s="242"/>
      <c r="S667" s="243"/>
      <c r="T667" s="280"/>
      <c r="U667" s="341"/>
      <c r="V667" s="13"/>
      <c r="W667" s="242"/>
      <c r="X667" s="242"/>
      <c r="Y667" s="242"/>
    </row>
    <row r="668">
      <c r="A668" s="340"/>
      <c r="B668" s="242"/>
      <c r="C668" s="242"/>
      <c r="D668" s="242"/>
      <c r="E668" s="242"/>
      <c r="F668" s="242"/>
      <c r="G668" s="243"/>
      <c r="H668" s="242"/>
      <c r="I668" s="264"/>
      <c r="J668" s="251"/>
      <c r="K668" s="251"/>
      <c r="L668" s="242"/>
      <c r="M668" s="242"/>
      <c r="N668" s="242"/>
      <c r="O668" s="242"/>
      <c r="P668" s="242"/>
      <c r="Q668" s="242"/>
      <c r="R668" s="242"/>
      <c r="S668" s="243"/>
      <c r="T668" s="280"/>
      <c r="U668" s="341"/>
      <c r="V668" s="13"/>
      <c r="W668" s="242"/>
      <c r="X668" s="242"/>
      <c r="Y668" s="242"/>
    </row>
    <row r="669">
      <c r="A669" s="340"/>
      <c r="B669" s="242"/>
      <c r="C669" s="242"/>
      <c r="D669" s="242"/>
      <c r="E669" s="242"/>
      <c r="F669" s="242"/>
      <c r="G669" s="243"/>
      <c r="H669" s="242"/>
      <c r="I669" s="264"/>
      <c r="J669" s="251"/>
      <c r="K669" s="251"/>
      <c r="L669" s="242"/>
      <c r="M669" s="242"/>
      <c r="N669" s="242"/>
      <c r="O669" s="242"/>
      <c r="P669" s="242"/>
      <c r="Q669" s="242"/>
      <c r="R669" s="242"/>
      <c r="S669" s="243"/>
      <c r="T669" s="280"/>
      <c r="U669" s="341"/>
      <c r="V669" s="13"/>
      <c r="W669" s="242"/>
      <c r="X669" s="242"/>
      <c r="Y669" s="242"/>
    </row>
    <row r="670">
      <c r="A670" s="340"/>
      <c r="B670" s="242"/>
      <c r="C670" s="242"/>
      <c r="D670" s="242"/>
      <c r="E670" s="242"/>
      <c r="F670" s="242"/>
      <c r="G670" s="243"/>
      <c r="H670" s="242"/>
      <c r="I670" s="264"/>
      <c r="J670" s="251"/>
      <c r="K670" s="251"/>
      <c r="L670" s="242"/>
      <c r="M670" s="242"/>
      <c r="N670" s="242"/>
      <c r="O670" s="242"/>
      <c r="P670" s="242"/>
      <c r="Q670" s="242"/>
      <c r="R670" s="242"/>
      <c r="S670" s="243"/>
      <c r="T670" s="280"/>
      <c r="U670" s="341"/>
      <c r="V670" s="13"/>
      <c r="W670" s="242"/>
      <c r="X670" s="242"/>
      <c r="Y670" s="242"/>
    </row>
    <row r="671">
      <c r="A671" s="340"/>
      <c r="B671" s="242"/>
      <c r="C671" s="242"/>
      <c r="D671" s="242"/>
      <c r="E671" s="242"/>
      <c r="F671" s="242"/>
      <c r="G671" s="243"/>
      <c r="H671" s="242"/>
      <c r="I671" s="264"/>
      <c r="J671" s="251"/>
      <c r="K671" s="251"/>
      <c r="L671" s="242"/>
      <c r="M671" s="242"/>
      <c r="N671" s="242"/>
      <c r="O671" s="242"/>
      <c r="P671" s="242"/>
      <c r="Q671" s="242"/>
      <c r="R671" s="242"/>
      <c r="S671" s="243"/>
      <c r="T671" s="280"/>
      <c r="U671" s="341"/>
      <c r="V671" s="13"/>
      <c r="W671" s="242"/>
      <c r="X671" s="242"/>
      <c r="Y671" s="242"/>
    </row>
    <row r="672">
      <c r="A672" s="340"/>
      <c r="B672" s="242"/>
      <c r="C672" s="242"/>
      <c r="D672" s="242"/>
      <c r="E672" s="242"/>
      <c r="F672" s="242"/>
      <c r="G672" s="243"/>
      <c r="H672" s="242"/>
      <c r="I672" s="264"/>
      <c r="J672" s="251"/>
      <c r="K672" s="251"/>
      <c r="L672" s="242"/>
      <c r="M672" s="242"/>
      <c r="N672" s="242"/>
      <c r="O672" s="242"/>
      <c r="P672" s="242"/>
      <c r="Q672" s="242"/>
      <c r="R672" s="242"/>
      <c r="S672" s="243"/>
      <c r="T672" s="280"/>
      <c r="U672" s="341"/>
      <c r="V672" s="13"/>
      <c r="W672" s="242"/>
      <c r="X672" s="242"/>
      <c r="Y672" s="242"/>
    </row>
    <row r="673">
      <c r="A673" s="340"/>
      <c r="B673" s="242"/>
      <c r="C673" s="242"/>
      <c r="D673" s="242"/>
      <c r="E673" s="242"/>
      <c r="F673" s="242"/>
      <c r="G673" s="243"/>
      <c r="H673" s="242"/>
      <c r="I673" s="264"/>
      <c r="J673" s="251"/>
      <c r="K673" s="251"/>
      <c r="L673" s="242"/>
      <c r="M673" s="242"/>
      <c r="N673" s="242"/>
      <c r="O673" s="242"/>
      <c r="P673" s="242"/>
      <c r="Q673" s="242"/>
      <c r="R673" s="242"/>
      <c r="S673" s="243"/>
      <c r="T673" s="280"/>
      <c r="U673" s="341"/>
      <c r="V673" s="13"/>
      <c r="W673" s="242"/>
      <c r="X673" s="242"/>
      <c r="Y673" s="242"/>
    </row>
    <row r="674">
      <c r="A674" s="340"/>
      <c r="B674" s="242"/>
      <c r="C674" s="242"/>
      <c r="D674" s="242"/>
      <c r="E674" s="242"/>
      <c r="F674" s="242"/>
      <c r="G674" s="243"/>
      <c r="H674" s="242"/>
      <c r="I674" s="264"/>
      <c r="J674" s="251"/>
      <c r="K674" s="251"/>
      <c r="L674" s="242"/>
      <c r="M674" s="242"/>
      <c r="N674" s="242"/>
      <c r="O674" s="242"/>
      <c r="P674" s="242"/>
      <c r="Q674" s="242"/>
      <c r="R674" s="242"/>
      <c r="S674" s="243"/>
      <c r="T674" s="280"/>
      <c r="U674" s="341"/>
      <c r="V674" s="13"/>
      <c r="W674" s="242"/>
      <c r="X674" s="242"/>
      <c r="Y674" s="242"/>
    </row>
    <row r="675">
      <c r="A675" s="340"/>
      <c r="B675" s="242"/>
      <c r="C675" s="242"/>
      <c r="D675" s="242"/>
      <c r="E675" s="242"/>
      <c r="F675" s="242"/>
      <c r="G675" s="243"/>
      <c r="H675" s="242"/>
      <c r="I675" s="264"/>
      <c r="J675" s="251"/>
      <c r="K675" s="251"/>
      <c r="L675" s="242"/>
      <c r="M675" s="242"/>
      <c r="N675" s="242"/>
      <c r="O675" s="242"/>
      <c r="P675" s="242"/>
      <c r="Q675" s="242"/>
      <c r="R675" s="242"/>
      <c r="S675" s="243"/>
      <c r="T675" s="280"/>
      <c r="U675" s="341"/>
      <c r="V675" s="13"/>
      <c r="W675" s="242"/>
      <c r="X675" s="242"/>
      <c r="Y675" s="242"/>
    </row>
    <row r="676">
      <c r="A676" s="340"/>
      <c r="B676" s="242"/>
      <c r="C676" s="242"/>
      <c r="D676" s="242"/>
      <c r="E676" s="242"/>
      <c r="F676" s="242"/>
      <c r="G676" s="243"/>
      <c r="H676" s="242"/>
      <c r="I676" s="264"/>
      <c r="J676" s="251"/>
      <c r="K676" s="251"/>
      <c r="L676" s="242"/>
      <c r="M676" s="242"/>
      <c r="N676" s="242"/>
      <c r="O676" s="242"/>
      <c r="P676" s="242"/>
      <c r="Q676" s="242"/>
      <c r="R676" s="242"/>
      <c r="S676" s="243"/>
      <c r="T676" s="280"/>
      <c r="U676" s="341"/>
      <c r="V676" s="13"/>
      <c r="W676" s="242"/>
      <c r="X676" s="242"/>
      <c r="Y676" s="242"/>
    </row>
    <row r="677">
      <c r="A677" s="340"/>
      <c r="B677" s="242"/>
      <c r="C677" s="242"/>
      <c r="D677" s="242"/>
      <c r="E677" s="242"/>
      <c r="F677" s="242"/>
      <c r="G677" s="243"/>
      <c r="H677" s="242"/>
      <c r="I677" s="264"/>
      <c r="J677" s="251"/>
      <c r="K677" s="251"/>
      <c r="L677" s="242"/>
      <c r="M677" s="242"/>
      <c r="N677" s="242"/>
      <c r="O677" s="242"/>
      <c r="P677" s="242"/>
      <c r="Q677" s="242"/>
      <c r="R677" s="242"/>
      <c r="S677" s="243"/>
      <c r="T677" s="280"/>
      <c r="U677" s="341"/>
      <c r="V677" s="13"/>
      <c r="W677" s="242"/>
      <c r="X677" s="242"/>
      <c r="Y677" s="242"/>
    </row>
    <row r="678">
      <c r="A678" s="340"/>
      <c r="B678" s="242"/>
      <c r="C678" s="242"/>
      <c r="D678" s="242"/>
      <c r="E678" s="242"/>
      <c r="F678" s="242"/>
      <c r="G678" s="243"/>
      <c r="H678" s="242"/>
      <c r="I678" s="264"/>
      <c r="J678" s="251"/>
      <c r="K678" s="251"/>
      <c r="L678" s="242"/>
      <c r="M678" s="242"/>
      <c r="N678" s="242"/>
      <c r="O678" s="242"/>
      <c r="P678" s="242"/>
      <c r="Q678" s="242"/>
      <c r="R678" s="242"/>
      <c r="S678" s="243"/>
      <c r="T678" s="280"/>
      <c r="U678" s="341"/>
      <c r="V678" s="13"/>
      <c r="W678" s="242"/>
      <c r="X678" s="242"/>
      <c r="Y678" s="242"/>
    </row>
    <row r="679">
      <c r="A679" s="340"/>
      <c r="B679" s="242"/>
      <c r="C679" s="242"/>
      <c r="D679" s="242"/>
      <c r="E679" s="242"/>
      <c r="F679" s="242"/>
      <c r="G679" s="243"/>
      <c r="H679" s="242"/>
      <c r="I679" s="264"/>
      <c r="J679" s="251"/>
      <c r="K679" s="251"/>
      <c r="L679" s="242"/>
      <c r="M679" s="242"/>
      <c r="N679" s="242"/>
      <c r="O679" s="242"/>
      <c r="P679" s="242"/>
      <c r="Q679" s="242"/>
      <c r="R679" s="242"/>
      <c r="S679" s="243"/>
      <c r="T679" s="280"/>
      <c r="U679" s="341"/>
      <c r="V679" s="13"/>
      <c r="W679" s="242"/>
      <c r="X679" s="242"/>
      <c r="Y679" s="242"/>
    </row>
    <row r="680">
      <c r="A680" s="340"/>
      <c r="B680" s="242"/>
      <c r="C680" s="242"/>
      <c r="D680" s="242"/>
      <c r="E680" s="242"/>
      <c r="F680" s="242"/>
      <c r="G680" s="243"/>
      <c r="H680" s="242"/>
      <c r="I680" s="264"/>
      <c r="J680" s="251"/>
      <c r="K680" s="251"/>
      <c r="L680" s="242"/>
      <c r="M680" s="242"/>
      <c r="N680" s="242"/>
      <c r="O680" s="242"/>
      <c r="P680" s="242"/>
      <c r="Q680" s="242"/>
      <c r="R680" s="242"/>
      <c r="S680" s="243"/>
      <c r="T680" s="280"/>
      <c r="U680" s="341"/>
      <c r="V680" s="13"/>
      <c r="W680" s="242"/>
      <c r="X680" s="242"/>
      <c r="Y680" s="242"/>
    </row>
    <row r="681">
      <c r="A681" s="340"/>
      <c r="B681" s="242"/>
      <c r="C681" s="242"/>
      <c r="D681" s="242"/>
      <c r="E681" s="242"/>
      <c r="F681" s="242"/>
      <c r="G681" s="243"/>
      <c r="H681" s="242"/>
      <c r="I681" s="264"/>
      <c r="J681" s="251"/>
      <c r="K681" s="251"/>
      <c r="L681" s="242"/>
      <c r="M681" s="242"/>
      <c r="N681" s="242"/>
      <c r="O681" s="242"/>
      <c r="P681" s="242"/>
      <c r="Q681" s="242"/>
      <c r="R681" s="242"/>
      <c r="S681" s="243"/>
      <c r="T681" s="280"/>
      <c r="U681" s="341"/>
      <c r="V681" s="13"/>
      <c r="W681" s="242"/>
      <c r="X681" s="242"/>
      <c r="Y681" s="242"/>
    </row>
    <row r="682">
      <c r="A682" s="340"/>
      <c r="B682" s="242"/>
      <c r="C682" s="242"/>
      <c r="D682" s="242"/>
      <c r="E682" s="242"/>
      <c r="F682" s="242"/>
      <c r="G682" s="243"/>
      <c r="H682" s="242"/>
      <c r="I682" s="264"/>
      <c r="J682" s="251"/>
      <c r="K682" s="251"/>
      <c r="L682" s="242"/>
      <c r="M682" s="242"/>
      <c r="N682" s="242"/>
      <c r="O682" s="242"/>
      <c r="P682" s="242"/>
      <c r="Q682" s="242"/>
      <c r="R682" s="242"/>
      <c r="S682" s="243"/>
      <c r="T682" s="280"/>
      <c r="U682" s="341"/>
      <c r="V682" s="13"/>
      <c r="W682" s="242"/>
      <c r="X682" s="242"/>
      <c r="Y682" s="242"/>
    </row>
    <row r="683">
      <c r="A683" s="340"/>
      <c r="B683" s="242"/>
      <c r="C683" s="242"/>
      <c r="D683" s="242"/>
      <c r="E683" s="242"/>
      <c r="F683" s="242"/>
      <c r="G683" s="243"/>
      <c r="H683" s="242"/>
      <c r="I683" s="264"/>
      <c r="J683" s="251"/>
      <c r="K683" s="251"/>
      <c r="L683" s="242"/>
      <c r="M683" s="242"/>
      <c r="N683" s="242"/>
      <c r="O683" s="242"/>
      <c r="P683" s="242"/>
      <c r="Q683" s="242"/>
      <c r="R683" s="242"/>
      <c r="S683" s="243"/>
      <c r="T683" s="280"/>
      <c r="U683" s="341"/>
      <c r="V683" s="13"/>
      <c r="W683" s="242"/>
      <c r="X683" s="242"/>
      <c r="Y683" s="242"/>
    </row>
    <row r="684">
      <c r="A684" s="340"/>
      <c r="B684" s="242"/>
      <c r="C684" s="242"/>
      <c r="D684" s="242"/>
      <c r="E684" s="242"/>
      <c r="F684" s="242"/>
      <c r="G684" s="243"/>
      <c r="H684" s="242"/>
      <c r="I684" s="264"/>
      <c r="J684" s="251"/>
      <c r="K684" s="251"/>
      <c r="L684" s="242"/>
      <c r="M684" s="242"/>
      <c r="N684" s="242"/>
      <c r="O684" s="242"/>
      <c r="P684" s="242"/>
      <c r="Q684" s="242"/>
      <c r="R684" s="242"/>
      <c r="S684" s="243"/>
      <c r="T684" s="280"/>
      <c r="U684" s="341"/>
      <c r="V684" s="13"/>
      <c r="W684" s="242"/>
      <c r="X684" s="242"/>
      <c r="Y684" s="242"/>
    </row>
    <row r="685">
      <c r="A685" s="340"/>
      <c r="B685" s="242"/>
      <c r="C685" s="242"/>
      <c r="D685" s="242"/>
      <c r="E685" s="242"/>
      <c r="F685" s="242"/>
      <c r="G685" s="243"/>
      <c r="H685" s="242"/>
      <c r="I685" s="264"/>
      <c r="J685" s="251"/>
      <c r="K685" s="251"/>
      <c r="L685" s="242"/>
      <c r="M685" s="242"/>
      <c r="N685" s="242"/>
      <c r="O685" s="242"/>
      <c r="P685" s="242"/>
      <c r="Q685" s="242"/>
      <c r="R685" s="242"/>
      <c r="S685" s="243"/>
      <c r="T685" s="280"/>
      <c r="U685" s="341"/>
      <c r="V685" s="13"/>
      <c r="W685" s="242"/>
      <c r="X685" s="242"/>
      <c r="Y685" s="242"/>
    </row>
    <row r="686">
      <c r="A686" s="340"/>
      <c r="B686" s="242"/>
      <c r="C686" s="242"/>
      <c r="D686" s="242"/>
      <c r="E686" s="242"/>
      <c r="F686" s="242"/>
      <c r="G686" s="243"/>
      <c r="H686" s="242"/>
      <c r="I686" s="264"/>
      <c r="J686" s="251"/>
      <c r="K686" s="251"/>
      <c r="L686" s="242"/>
      <c r="M686" s="242"/>
      <c r="N686" s="242"/>
      <c r="O686" s="242"/>
      <c r="P686" s="242"/>
      <c r="Q686" s="242"/>
      <c r="R686" s="242"/>
      <c r="S686" s="243"/>
      <c r="T686" s="280"/>
      <c r="U686" s="341"/>
      <c r="V686" s="13"/>
      <c r="W686" s="242"/>
      <c r="X686" s="242"/>
      <c r="Y686" s="242"/>
    </row>
    <row r="687">
      <c r="A687" s="340"/>
      <c r="B687" s="242"/>
      <c r="C687" s="242"/>
      <c r="D687" s="242"/>
      <c r="E687" s="242"/>
      <c r="F687" s="242"/>
      <c r="G687" s="243"/>
      <c r="H687" s="242"/>
      <c r="I687" s="264"/>
      <c r="J687" s="251"/>
      <c r="K687" s="251"/>
      <c r="L687" s="242"/>
      <c r="M687" s="242"/>
      <c r="N687" s="242"/>
      <c r="O687" s="242"/>
      <c r="P687" s="242"/>
      <c r="Q687" s="242"/>
      <c r="R687" s="242"/>
      <c r="S687" s="243"/>
      <c r="T687" s="280"/>
      <c r="U687" s="341"/>
      <c r="V687" s="13"/>
      <c r="W687" s="242"/>
      <c r="X687" s="242"/>
      <c r="Y687" s="242"/>
    </row>
    <row r="688">
      <c r="A688" s="340"/>
      <c r="B688" s="242"/>
      <c r="C688" s="242"/>
      <c r="D688" s="242"/>
      <c r="E688" s="242"/>
      <c r="F688" s="242"/>
      <c r="G688" s="243"/>
      <c r="H688" s="242"/>
      <c r="I688" s="264"/>
      <c r="J688" s="251"/>
      <c r="K688" s="251"/>
      <c r="L688" s="242"/>
      <c r="M688" s="242"/>
      <c r="N688" s="242"/>
      <c r="O688" s="242"/>
      <c r="P688" s="242"/>
      <c r="Q688" s="242"/>
      <c r="R688" s="242"/>
      <c r="S688" s="243"/>
      <c r="T688" s="280"/>
      <c r="U688" s="341"/>
      <c r="V688" s="13"/>
      <c r="W688" s="242"/>
      <c r="X688" s="242"/>
      <c r="Y688" s="242"/>
    </row>
    <row r="689">
      <c r="A689" s="340"/>
      <c r="B689" s="242"/>
      <c r="C689" s="242"/>
      <c r="D689" s="242"/>
      <c r="E689" s="242"/>
      <c r="F689" s="242"/>
      <c r="G689" s="243"/>
      <c r="H689" s="242"/>
      <c r="I689" s="264"/>
      <c r="J689" s="251"/>
      <c r="K689" s="251"/>
      <c r="L689" s="242"/>
      <c r="M689" s="242"/>
      <c r="N689" s="242"/>
      <c r="O689" s="242"/>
      <c r="P689" s="242"/>
      <c r="Q689" s="242"/>
      <c r="R689" s="242"/>
      <c r="S689" s="243"/>
      <c r="T689" s="280"/>
      <c r="U689" s="341"/>
      <c r="V689" s="13"/>
      <c r="W689" s="242"/>
      <c r="X689" s="242"/>
      <c r="Y689" s="242"/>
    </row>
    <row r="690">
      <c r="A690" s="340"/>
      <c r="B690" s="242"/>
      <c r="C690" s="242"/>
      <c r="D690" s="242"/>
      <c r="E690" s="242"/>
      <c r="F690" s="242"/>
      <c r="G690" s="243"/>
      <c r="H690" s="242"/>
      <c r="I690" s="264"/>
      <c r="J690" s="251"/>
      <c r="K690" s="251"/>
      <c r="L690" s="242"/>
      <c r="M690" s="242"/>
      <c r="N690" s="242"/>
      <c r="O690" s="242"/>
      <c r="P690" s="242"/>
      <c r="Q690" s="242"/>
      <c r="R690" s="242"/>
      <c r="S690" s="243"/>
      <c r="T690" s="280"/>
      <c r="U690" s="341"/>
      <c r="V690" s="13"/>
      <c r="W690" s="242"/>
      <c r="X690" s="242"/>
      <c r="Y690" s="242"/>
    </row>
    <row r="691">
      <c r="A691" s="340"/>
      <c r="B691" s="242"/>
      <c r="C691" s="242"/>
      <c r="D691" s="242"/>
      <c r="E691" s="242"/>
      <c r="F691" s="242"/>
      <c r="G691" s="243"/>
      <c r="H691" s="242"/>
      <c r="I691" s="264"/>
      <c r="J691" s="251"/>
      <c r="K691" s="251"/>
      <c r="L691" s="242"/>
      <c r="M691" s="242"/>
      <c r="N691" s="242"/>
      <c r="O691" s="242"/>
      <c r="P691" s="242"/>
      <c r="Q691" s="242"/>
      <c r="R691" s="242"/>
      <c r="S691" s="243"/>
      <c r="T691" s="280"/>
      <c r="U691" s="341"/>
      <c r="V691" s="13"/>
      <c r="W691" s="242"/>
      <c r="X691" s="242"/>
      <c r="Y691" s="242"/>
    </row>
    <row r="692">
      <c r="A692" s="340"/>
      <c r="B692" s="242"/>
      <c r="C692" s="242"/>
      <c r="D692" s="242"/>
      <c r="E692" s="242"/>
      <c r="F692" s="242"/>
      <c r="G692" s="243"/>
      <c r="H692" s="242"/>
      <c r="I692" s="264"/>
      <c r="J692" s="251"/>
      <c r="K692" s="251"/>
      <c r="L692" s="242"/>
      <c r="M692" s="242"/>
      <c r="N692" s="242"/>
      <c r="O692" s="242"/>
      <c r="P692" s="242"/>
      <c r="Q692" s="242"/>
      <c r="R692" s="242"/>
      <c r="S692" s="243"/>
      <c r="T692" s="280"/>
      <c r="U692" s="341"/>
      <c r="V692" s="13"/>
      <c r="W692" s="242"/>
      <c r="X692" s="242"/>
      <c r="Y692" s="242"/>
    </row>
    <row r="693">
      <c r="A693" s="340"/>
      <c r="B693" s="242"/>
      <c r="C693" s="242"/>
      <c r="D693" s="242"/>
      <c r="E693" s="242"/>
      <c r="F693" s="242"/>
      <c r="G693" s="243"/>
      <c r="H693" s="242"/>
      <c r="I693" s="264"/>
      <c r="J693" s="251"/>
      <c r="K693" s="251"/>
      <c r="L693" s="242"/>
      <c r="M693" s="242"/>
      <c r="N693" s="242"/>
      <c r="O693" s="242"/>
      <c r="P693" s="242"/>
      <c r="Q693" s="242"/>
      <c r="R693" s="242"/>
      <c r="S693" s="243"/>
      <c r="T693" s="280"/>
      <c r="U693" s="341"/>
      <c r="V693" s="13"/>
      <c r="W693" s="242"/>
      <c r="X693" s="242"/>
      <c r="Y693" s="242"/>
    </row>
    <row r="694">
      <c r="A694" s="340"/>
      <c r="B694" s="242"/>
      <c r="C694" s="242"/>
      <c r="D694" s="242"/>
      <c r="E694" s="242"/>
      <c r="F694" s="242"/>
      <c r="G694" s="243"/>
      <c r="H694" s="242"/>
      <c r="I694" s="264"/>
      <c r="J694" s="251"/>
      <c r="K694" s="251"/>
      <c r="L694" s="242"/>
      <c r="M694" s="242"/>
      <c r="N694" s="242"/>
      <c r="O694" s="242"/>
      <c r="P694" s="242"/>
      <c r="Q694" s="242"/>
      <c r="R694" s="242"/>
      <c r="S694" s="243"/>
      <c r="T694" s="280"/>
      <c r="U694" s="341"/>
      <c r="V694" s="13"/>
      <c r="W694" s="242"/>
      <c r="X694" s="242"/>
      <c r="Y694" s="242"/>
    </row>
    <row r="695">
      <c r="A695" s="340"/>
      <c r="B695" s="242"/>
      <c r="C695" s="242"/>
      <c r="D695" s="242"/>
      <c r="E695" s="242"/>
      <c r="F695" s="242"/>
      <c r="G695" s="243"/>
      <c r="H695" s="242"/>
      <c r="I695" s="264"/>
      <c r="J695" s="251"/>
      <c r="K695" s="251"/>
      <c r="L695" s="242"/>
      <c r="M695" s="242"/>
      <c r="N695" s="242"/>
      <c r="O695" s="242"/>
      <c r="P695" s="242"/>
      <c r="Q695" s="242"/>
      <c r="R695" s="242"/>
      <c r="S695" s="243"/>
      <c r="T695" s="280"/>
      <c r="U695" s="341"/>
      <c r="V695" s="13"/>
      <c r="W695" s="242"/>
      <c r="X695" s="242"/>
      <c r="Y695" s="242"/>
    </row>
    <row r="696">
      <c r="A696" s="340"/>
      <c r="B696" s="242"/>
      <c r="C696" s="242"/>
      <c r="D696" s="242"/>
      <c r="E696" s="242"/>
      <c r="F696" s="242"/>
      <c r="G696" s="243"/>
      <c r="H696" s="242"/>
      <c r="I696" s="264"/>
      <c r="J696" s="251"/>
      <c r="K696" s="251"/>
      <c r="L696" s="242"/>
      <c r="M696" s="242"/>
      <c r="N696" s="242"/>
      <c r="O696" s="242"/>
      <c r="P696" s="242"/>
      <c r="Q696" s="242"/>
      <c r="R696" s="242"/>
      <c r="S696" s="243"/>
      <c r="T696" s="280"/>
      <c r="U696" s="341"/>
      <c r="V696" s="13"/>
      <c r="W696" s="242"/>
      <c r="X696" s="242"/>
      <c r="Y696" s="242"/>
    </row>
    <row r="697">
      <c r="A697" s="340"/>
      <c r="B697" s="242"/>
      <c r="C697" s="242"/>
      <c r="D697" s="242"/>
      <c r="E697" s="242"/>
      <c r="F697" s="242"/>
      <c r="G697" s="243"/>
      <c r="H697" s="242"/>
      <c r="I697" s="264"/>
      <c r="J697" s="251"/>
      <c r="K697" s="251"/>
      <c r="L697" s="242"/>
      <c r="M697" s="242"/>
      <c r="N697" s="242"/>
      <c r="O697" s="242"/>
      <c r="P697" s="242"/>
      <c r="Q697" s="242"/>
      <c r="R697" s="242"/>
      <c r="S697" s="243"/>
      <c r="T697" s="280"/>
      <c r="U697" s="341"/>
      <c r="V697" s="13"/>
      <c r="W697" s="242"/>
      <c r="X697" s="242"/>
      <c r="Y697" s="242"/>
    </row>
    <row r="698">
      <c r="A698" s="340"/>
      <c r="B698" s="242"/>
      <c r="C698" s="242"/>
      <c r="D698" s="242"/>
      <c r="E698" s="242"/>
      <c r="F698" s="242"/>
      <c r="G698" s="243"/>
      <c r="H698" s="242"/>
      <c r="I698" s="264"/>
      <c r="J698" s="251"/>
      <c r="K698" s="251"/>
      <c r="L698" s="242"/>
      <c r="M698" s="242"/>
      <c r="N698" s="242"/>
      <c r="O698" s="242"/>
      <c r="P698" s="242"/>
      <c r="Q698" s="242"/>
      <c r="R698" s="242"/>
      <c r="S698" s="243"/>
      <c r="T698" s="280"/>
      <c r="U698" s="341"/>
      <c r="V698" s="13"/>
      <c r="W698" s="242"/>
      <c r="X698" s="242"/>
      <c r="Y698" s="242"/>
    </row>
    <row r="699">
      <c r="A699" s="340"/>
      <c r="B699" s="242"/>
      <c r="C699" s="242"/>
      <c r="D699" s="242"/>
      <c r="E699" s="242"/>
      <c r="F699" s="242"/>
      <c r="G699" s="243"/>
      <c r="H699" s="242"/>
      <c r="I699" s="264"/>
      <c r="J699" s="251"/>
      <c r="K699" s="251"/>
      <c r="L699" s="242"/>
      <c r="M699" s="242"/>
      <c r="N699" s="242"/>
      <c r="O699" s="242"/>
      <c r="P699" s="242"/>
      <c r="Q699" s="242"/>
      <c r="R699" s="242"/>
      <c r="S699" s="243"/>
      <c r="T699" s="280"/>
      <c r="U699" s="341"/>
      <c r="V699" s="13"/>
      <c r="W699" s="242"/>
      <c r="X699" s="242"/>
      <c r="Y699" s="242"/>
    </row>
    <row r="700">
      <c r="A700" s="340"/>
      <c r="B700" s="242"/>
      <c r="C700" s="242"/>
      <c r="D700" s="242"/>
      <c r="E700" s="242"/>
      <c r="F700" s="242"/>
      <c r="G700" s="243"/>
      <c r="H700" s="242"/>
      <c r="I700" s="264"/>
      <c r="J700" s="251"/>
      <c r="K700" s="251"/>
      <c r="L700" s="242"/>
      <c r="M700" s="242"/>
      <c r="N700" s="242"/>
      <c r="O700" s="242"/>
      <c r="P700" s="242"/>
      <c r="Q700" s="242"/>
      <c r="R700" s="242"/>
      <c r="S700" s="243"/>
      <c r="T700" s="280"/>
      <c r="U700" s="341"/>
      <c r="V700" s="13"/>
      <c r="W700" s="242"/>
      <c r="X700" s="242"/>
      <c r="Y700" s="242"/>
    </row>
    <row r="701">
      <c r="A701" s="340"/>
      <c r="B701" s="242"/>
      <c r="C701" s="242"/>
      <c r="D701" s="242"/>
      <c r="E701" s="242"/>
      <c r="F701" s="242"/>
      <c r="G701" s="243"/>
      <c r="H701" s="242"/>
      <c r="I701" s="264"/>
      <c r="J701" s="251"/>
      <c r="K701" s="251"/>
      <c r="L701" s="242"/>
      <c r="M701" s="242"/>
      <c r="N701" s="242"/>
      <c r="O701" s="242"/>
      <c r="P701" s="242"/>
      <c r="Q701" s="242"/>
      <c r="R701" s="242"/>
      <c r="S701" s="243"/>
      <c r="T701" s="280"/>
      <c r="U701" s="341"/>
      <c r="V701" s="13"/>
      <c r="W701" s="242"/>
      <c r="X701" s="242"/>
      <c r="Y701" s="242"/>
    </row>
    <row r="702">
      <c r="A702" s="340"/>
      <c r="B702" s="242"/>
      <c r="C702" s="242"/>
      <c r="D702" s="242"/>
      <c r="E702" s="242"/>
      <c r="F702" s="242"/>
      <c r="G702" s="243"/>
      <c r="H702" s="242"/>
      <c r="I702" s="264"/>
      <c r="J702" s="251"/>
      <c r="K702" s="251"/>
      <c r="L702" s="242"/>
      <c r="M702" s="242"/>
      <c r="N702" s="242"/>
      <c r="O702" s="242"/>
      <c r="P702" s="242"/>
      <c r="Q702" s="242"/>
      <c r="R702" s="242"/>
      <c r="S702" s="243"/>
      <c r="T702" s="280"/>
      <c r="U702" s="341"/>
      <c r="V702" s="13"/>
      <c r="W702" s="242"/>
      <c r="X702" s="242"/>
      <c r="Y702" s="242"/>
    </row>
    <row r="703">
      <c r="A703" s="340"/>
      <c r="B703" s="242"/>
      <c r="C703" s="242"/>
      <c r="D703" s="242"/>
      <c r="E703" s="242"/>
      <c r="F703" s="242"/>
      <c r="G703" s="243"/>
      <c r="H703" s="242"/>
      <c r="I703" s="264"/>
      <c r="J703" s="251"/>
      <c r="K703" s="251"/>
      <c r="L703" s="242"/>
      <c r="M703" s="242"/>
      <c r="N703" s="242"/>
      <c r="O703" s="242"/>
      <c r="P703" s="242"/>
      <c r="Q703" s="242"/>
      <c r="R703" s="242"/>
      <c r="S703" s="243"/>
      <c r="T703" s="280"/>
      <c r="U703" s="341"/>
      <c r="V703" s="13"/>
      <c r="W703" s="242"/>
      <c r="X703" s="242"/>
      <c r="Y703" s="242"/>
    </row>
    <row r="704">
      <c r="A704" s="340"/>
      <c r="B704" s="242"/>
      <c r="C704" s="242"/>
      <c r="D704" s="242"/>
      <c r="E704" s="242"/>
      <c r="F704" s="242"/>
      <c r="G704" s="243"/>
      <c r="H704" s="242"/>
      <c r="I704" s="264"/>
      <c r="J704" s="251"/>
      <c r="K704" s="251"/>
      <c r="L704" s="242"/>
      <c r="M704" s="242"/>
      <c r="N704" s="242"/>
      <c r="O704" s="242"/>
      <c r="P704" s="242"/>
      <c r="Q704" s="242"/>
      <c r="R704" s="242"/>
      <c r="S704" s="243"/>
      <c r="T704" s="280"/>
      <c r="U704" s="341"/>
      <c r="V704" s="13"/>
      <c r="W704" s="242"/>
      <c r="X704" s="242"/>
      <c r="Y704" s="242"/>
    </row>
    <row r="705">
      <c r="A705" s="340"/>
      <c r="B705" s="242"/>
      <c r="C705" s="242"/>
      <c r="D705" s="242"/>
      <c r="E705" s="242"/>
      <c r="F705" s="242"/>
      <c r="G705" s="243"/>
      <c r="H705" s="242"/>
      <c r="I705" s="264"/>
      <c r="J705" s="251"/>
      <c r="K705" s="251"/>
      <c r="L705" s="242"/>
      <c r="M705" s="242"/>
      <c r="N705" s="242"/>
      <c r="O705" s="242"/>
      <c r="P705" s="242"/>
      <c r="Q705" s="242"/>
      <c r="R705" s="242"/>
      <c r="S705" s="243"/>
      <c r="T705" s="280"/>
      <c r="U705" s="341"/>
      <c r="V705" s="13"/>
      <c r="W705" s="242"/>
      <c r="X705" s="242"/>
      <c r="Y705" s="242"/>
    </row>
    <row r="706">
      <c r="A706" s="340"/>
      <c r="B706" s="242"/>
      <c r="C706" s="242"/>
      <c r="D706" s="242"/>
      <c r="E706" s="242"/>
      <c r="F706" s="242"/>
      <c r="G706" s="243"/>
      <c r="H706" s="242"/>
      <c r="I706" s="264"/>
      <c r="J706" s="251"/>
      <c r="K706" s="251"/>
      <c r="L706" s="242"/>
      <c r="M706" s="242"/>
      <c r="N706" s="242"/>
      <c r="O706" s="242"/>
      <c r="P706" s="242"/>
      <c r="Q706" s="242"/>
      <c r="R706" s="242"/>
      <c r="S706" s="243"/>
      <c r="T706" s="280"/>
      <c r="U706" s="341"/>
      <c r="V706" s="13"/>
      <c r="W706" s="242"/>
      <c r="X706" s="242"/>
      <c r="Y706" s="242"/>
    </row>
    <row r="707">
      <c r="A707" s="340"/>
      <c r="B707" s="242"/>
      <c r="C707" s="242"/>
      <c r="D707" s="242"/>
      <c r="E707" s="242"/>
      <c r="F707" s="242"/>
      <c r="G707" s="243"/>
      <c r="H707" s="242"/>
      <c r="I707" s="264"/>
      <c r="J707" s="251"/>
      <c r="K707" s="251"/>
      <c r="L707" s="242"/>
      <c r="M707" s="242"/>
      <c r="N707" s="242"/>
      <c r="O707" s="242"/>
      <c r="P707" s="242"/>
      <c r="Q707" s="242"/>
      <c r="R707" s="242"/>
      <c r="S707" s="243"/>
      <c r="T707" s="280"/>
      <c r="U707" s="341"/>
      <c r="V707" s="13"/>
      <c r="W707" s="242"/>
      <c r="X707" s="242"/>
      <c r="Y707" s="242"/>
    </row>
    <row r="708">
      <c r="A708" s="340"/>
      <c r="B708" s="242"/>
      <c r="C708" s="242"/>
      <c r="D708" s="242"/>
      <c r="E708" s="242"/>
      <c r="F708" s="242"/>
      <c r="G708" s="243"/>
      <c r="H708" s="242"/>
      <c r="I708" s="264"/>
      <c r="J708" s="251"/>
      <c r="K708" s="251"/>
      <c r="L708" s="242"/>
      <c r="M708" s="242"/>
      <c r="N708" s="242"/>
      <c r="O708" s="242"/>
      <c r="P708" s="242"/>
      <c r="Q708" s="242"/>
      <c r="R708" s="242"/>
      <c r="S708" s="243"/>
      <c r="T708" s="280"/>
      <c r="U708" s="341"/>
      <c r="V708" s="13"/>
      <c r="W708" s="242"/>
      <c r="X708" s="242"/>
      <c r="Y708" s="242"/>
    </row>
    <row r="709">
      <c r="A709" s="340"/>
      <c r="B709" s="242"/>
      <c r="C709" s="242"/>
      <c r="D709" s="242"/>
      <c r="E709" s="242"/>
      <c r="F709" s="242"/>
      <c r="G709" s="243"/>
      <c r="H709" s="242"/>
      <c r="I709" s="264"/>
      <c r="J709" s="251"/>
      <c r="K709" s="251"/>
      <c r="L709" s="242"/>
      <c r="M709" s="242"/>
      <c r="N709" s="242"/>
      <c r="O709" s="242"/>
      <c r="P709" s="242"/>
      <c r="Q709" s="242"/>
      <c r="R709" s="242"/>
      <c r="S709" s="243"/>
      <c r="T709" s="280"/>
      <c r="U709" s="341"/>
      <c r="V709" s="13"/>
      <c r="W709" s="242"/>
      <c r="X709" s="242"/>
      <c r="Y709" s="242"/>
    </row>
    <row r="710">
      <c r="A710" s="340"/>
      <c r="B710" s="242"/>
      <c r="C710" s="242"/>
      <c r="D710" s="242"/>
      <c r="E710" s="242"/>
      <c r="F710" s="242"/>
      <c r="G710" s="243"/>
      <c r="H710" s="242"/>
      <c r="I710" s="264"/>
      <c r="J710" s="251"/>
      <c r="K710" s="251"/>
      <c r="L710" s="242"/>
      <c r="M710" s="242"/>
      <c r="N710" s="242"/>
      <c r="O710" s="242"/>
      <c r="P710" s="242"/>
      <c r="Q710" s="242"/>
      <c r="R710" s="242"/>
      <c r="S710" s="243"/>
      <c r="T710" s="280"/>
      <c r="U710" s="341"/>
      <c r="V710" s="13"/>
      <c r="W710" s="242"/>
      <c r="X710" s="242"/>
      <c r="Y710" s="242"/>
    </row>
    <row r="711">
      <c r="A711" s="340"/>
      <c r="B711" s="242"/>
      <c r="C711" s="242"/>
      <c r="D711" s="242"/>
      <c r="E711" s="242"/>
      <c r="F711" s="242"/>
      <c r="G711" s="243"/>
      <c r="H711" s="242"/>
      <c r="I711" s="264"/>
      <c r="J711" s="251"/>
      <c r="K711" s="251"/>
      <c r="L711" s="242"/>
      <c r="M711" s="242"/>
      <c r="N711" s="242"/>
      <c r="O711" s="242"/>
      <c r="P711" s="242"/>
      <c r="Q711" s="242"/>
      <c r="R711" s="242"/>
      <c r="S711" s="243"/>
      <c r="T711" s="280"/>
      <c r="U711" s="341"/>
      <c r="V711" s="13"/>
      <c r="W711" s="242"/>
      <c r="X711" s="242"/>
      <c r="Y711" s="242"/>
    </row>
    <row r="712">
      <c r="A712" s="340"/>
      <c r="B712" s="242"/>
      <c r="C712" s="242"/>
      <c r="D712" s="242"/>
      <c r="E712" s="242"/>
      <c r="F712" s="242"/>
      <c r="G712" s="243"/>
      <c r="H712" s="242"/>
      <c r="I712" s="264"/>
      <c r="J712" s="251"/>
      <c r="K712" s="251"/>
      <c r="L712" s="242"/>
      <c r="M712" s="242"/>
      <c r="N712" s="242"/>
      <c r="O712" s="242"/>
      <c r="P712" s="242"/>
      <c r="Q712" s="242"/>
      <c r="R712" s="242"/>
      <c r="S712" s="243"/>
      <c r="T712" s="280"/>
      <c r="U712" s="341"/>
      <c r="V712" s="13"/>
      <c r="W712" s="242"/>
      <c r="X712" s="242"/>
      <c r="Y712" s="242"/>
    </row>
    <row r="713">
      <c r="A713" s="340"/>
      <c r="B713" s="242"/>
      <c r="C713" s="242"/>
      <c r="D713" s="242"/>
      <c r="E713" s="242"/>
      <c r="F713" s="242"/>
      <c r="G713" s="243"/>
      <c r="H713" s="242"/>
      <c r="I713" s="264"/>
      <c r="J713" s="251"/>
      <c r="K713" s="251"/>
      <c r="L713" s="242"/>
      <c r="M713" s="242"/>
      <c r="N713" s="242"/>
      <c r="O713" s="242"/>
      <c r="P713" s="242"/>
      <c r="Q713" s="242"/>
      <c r="R713" s="242"/>
      <c r="S713" s="243"/>
      <c r="T713" s="280"/>
      <c r="U713" s="341"/>
      <c r="V713" s="13"/>
      <c r="W713" s="242"/>
      <c r="X713" s="242"/>
      <c r="Y713" s="242"/>
    </row>
    <row r="714">
      <c r="A714" s="340"/>
      <c r="B714" s="242"/>
      <c r="C714" s="242"/>
      <c r="D714" s="242"/>
      <c r="E714" s="242"/>
      <c r="F714" s="242"/>
      <c r="G714" s="243"/>
      <c r="H714" s="242"/>
      <c r="I714" s="264"/>
      <c r="J714" s="251"/>
      <c r="K714" s="251"/>
      <c r="L714" s="242"/>
      <c r="M714" s="242"/>
      <c r="N714" s="242"/>
      <c r="O714" s="242"/>
      <c r="P714" s="242"/>
      <c r="Q714" s="242"/>
      <c r="R714" s="242"/>
      <c r="S714" s="243"/>
      <c r="T714" s="280"/>
      <c r="U714" s="341"/>
      <c r="V714" s="13"/>
      <c r="W714" s="242"/>
      <c r="X714" s="242"/>
      <c r="Y714" s="242"/>
    </row>
    <row r="715">
      <c r="A715" s="340"/>
      <c r="B715" s="242"/>
      <c r="C715" s="242"/>
      <c r="D715" s="242"/>
      <c r="E715" s="242"/>
      <c r="F715" s="242"/>
      <c r="G715" s="243"/>
      <c r="H715" s="242"/>
      <c r="I715" s="264"/>
      <c r="J715" s="251"/>
      <c r="K715" s="251"/>
      <c r="L715" s="242"/>
      <c r="M715" s="242"/>
      <c r="N715" s="242"/>
      <c r="O715" s="242"/>
      <c r="P715" s="242"/>
      <c r="Q715" s="242"/>
      <c r="R715" s="242"/>
      <c r="S715" s="243"/>
      <c r="T715" s="280"/>
      <c r="U715" s="341"/>
      <c r="V715" s="13"/>
      <c r="W715" s="242"/>
      <c r="X715" s="242"/>
      <c r="Y715" s="242"/>
    </row>
    <row r="716">
      <c r="A716" s="340"/>
      <c r="B716" s="242"/>
      <c r="C716" s="242"/>
      <c r="D716" s="242"/>
      <c r="E716" s="242"/>
      <c r="F716" s="242"/>
      <c r="G716" s="243"/>
      <c r="H716" s="242"/>
      <c r="I716" s="264"/>
      <c r="J716" s="251"/>
      <c r="K716" s="251"/>
      <c r="L716" s="242"/>
      <c r="M716" s="242"/>
      <c r="N716" s="242"/>
      <c r="O716" s="242"/>
      <c r="P716" s="242"/>
      <c r="Q716" s="242"/>
      <c r="R716" s="242"/>
      <c r="S716" s="243"/>
      <c r="T716" s="280"/>
      <c r="U716" s="341"/>
      <c r="V716" s="13"/>
      <c r="W716" s="242"/>
      <c r="X716" s="242"/>
      <c r="Y716" s="242"/>
    </row>
    <row r="717">
      <c r="A717" s="340"/>
      <c r="B717" s="242"/>
      <c r="C717" s="242"/>
      <c r="D717" s="242"/>
      <c r="E717" s="242"/>
      <c r="F717" s="242"/>
      <c r="G717" s="243"/>
      <c r="H717" s="242"/>
      <c r="I717" s="264"/>
      <c r="J717" s="251"/>
      <c r="K717" s="251"/>
      <c r="L717" s="242"/>
      <c r="M717" s="242"/>
      <c r="N717" s="242"/>
      <c r="O717" s="242"/>
      <c r="P717" s="242"/>
      <c r="Q717" s="242"/>
      <c r="R717" s="242"/>
      <c r="S717" s="243"/>
      <c r="T717" s="280"/>
      <c r="U717" s="341"/>
      <c r="V717" s="13"/>
      <c r="W717" s="242"/>
      <c r="X717" s="242"/>
      <c r="Y717" s="242"/>
    </row>
    <row r="718">
      <c r="A718" s="340"/>
      <c r="B718" s="242"/>
      <c r="C718" s="242"/>
      <c r="D718" s="242"/>
      <c r="E718" s="242"/>
      <c r="F718" s="242"/>
      <c r="G718" s="243"/>
      <c r="H718" s="242"/>
      <c r="I718" s="264"/>
      <c r="J718" s="251"/>
      <c r="K718" s="251"/>
      <c r="L718" s="242"/>
      <c r="M718" s="242"/>
      <c r="N718" s="242"/>
      <c r="O718" s="242"/>
      <c r="P718" s="242"/>
      <c r="Q718" s="242"/>
      <c r="R718" s="242"/>
      <c r="S718" s="243"/>
      <c r="T718" s="280"/>
      <c r="U718" s="341"/>
      <c r="V718" s="13"/>
      <c r="W718" s="242"/>
      <c r="X718" s="242"/>
      <c r="Y718" s="242"/>
    </row>
    <row r="719">
      <c r="A719" s="340"/>
      <c r="B719" s="242"/>
      <c r="C719" s="242"/>
      <c r="D719" s="242"/>
      <c r="E719" s="242"/>
      <c r="F719" s="242"/>
      <c r="G719" s="243"/>
      <c r="H719" s="242"/>
      <c r="I719" s="264"/>
      <c r="J719" s="251"/>
      <c r="K719" s="251"/>
      <c r="L719" s="242"/>
      <c r="M719" s="242"/>
      <c r="N719" s="242"/>
      <c r="O719" s="242"/>
      <c r="P719" s="242"/>
      <c r="Q719" s="242"/>
      <c r="R719" s="242"/>
      <c r="S719" s="243"/>
      <c r="T719" s="280"/>
      <c r="U719" s="341"/>
      <c r="V719" s="13"/>
      <c r="W719" s="242"/>
      <c r="X719" s="242"/>
      <c r="Y719" s="242"/>
    </row>
    <row r="720">
      <c r="A720" s="340"/>
      <c r="B720" s="242"/>
      <c r="C720" s="242"/>
      <c r="D720" s="242"/>
      <c r="E720" s="242"/>
      <c r="F720" s="242"/>
      <c r="G720" s="243"/>
      <c r="H720" s="242"/>
      <c r="I720" s="264"/>
      <c r="J720" s="251"/>
      <c r="K720" s="251"/>
      <c r="L720" s="242"/>
      <c r="M720" s="242"/>
      <c r="N720" s="242"/>
      <c r="O720" s="242"/>
      <c r="P720" s="242"/>
      <c r="Q720" s="242"/>
      <c r="R720" s="242"/>
      <c r="S720" s="243"/>
      <c r="T720" s="280"/>
      <c r="U720" s="341"/>
      <c r="V720" s="13"/>
      <c r="W720" s="242"/>
      <c r="X720" s="242"/>
      <c r="Y720" s="242"/>
    </row>
    <row r="721">
      <c r="A721" s="340"/>
      <c r="B721" s="242"/>
      <c r="C721" s="242"/>
      <c r="D721" s="242"/>
      <c r="E721" s="242"/>
      <c r="F721" s="242"/>
      <c r="G721" s="243"/>
      <c r="H721" s="242"/>
      <c r="I721" s="264"/>
      <c r="J721" s="251"/>
      <c r="K721" s="251"/>
      <c r="L721" s="242"/>
      <c r="M721" s="242"/>
      <c r="N721" s="242"/>
      <c r="O721" s="242"/>
      <c r="P721" s="242"/>
      <c r="Q721" s="242"/>
      <c r="R721" s="242"/>
      <c r="S721" s="243"/>
      <c r="T721" s="280"/>
      <c r="U721" s="341"/>
      <c r="V721" s="13"/>
      <c r="W721" s="242"/>
      <c r="X721" s="242"/>
      <c r="Y721" s="242"/>
    </row>
    <row r="722">
      <c r="A722" s="340"/>
      <c r="B722" s="242"/>
      <c r="C722" s="242"/>
      <c r="D722" s="242"/>
      <c r="E722" s="242"/>
      <c r="F722" s="242"/>
      <c r="G722" s="243"/>
      <c r="H722" s="242"/>
      <c r="I722" s="264"/>
      <c r="J722" s="251"/>
      <c r="K722" s="251"/>
      <c r="L722" s="242"/>
      <c r="M722" s="242"/>
      <c r="N722" s="242"/>
      <c r="O722" s="242"/>
      <c r="P722" s="242"/>
      <c r="Q722" s="242"/>
      <c r="R722" s="242"/>
      <c r="S722" s="243"/>
      <c r="T722" s="280"/>
      <c r="U722" s="341"/>
      <c r="V722" s="13"/>
      <c r="W722" s="242"/>
      <c r="X722" s="242"/>
      <c r="Y722" s="242"/>
    </row>
    <row r="723">
      <c r="A723" s="340"/>
      <c r="B723" s="242"/>
      <c r="C723" s="242"/>
      <c r="D723" s="242"/>
      <c r="E723" s="242"/>
      <c r="F723" s="242"/>
      <c r="G723" s="243"/>
      <c r="H723" s="242"/>
      <c r="I723" s="264"/>
      <c r="J723" s="251"/>
      <c r="K723" s="251"/>
      <c r="L723" s="242"/>
      <c r="M723" s="242"/>
      <c r="N723" s="242"/>
      <c r="O723" s="242"/>
      <c r="P723" s="242"/>
      <c r="Q723" s="242"/>
      <c r="R723" s="242"/>
      <c r="S723" s="243"/>
      <c r="T723" s="280"/>
      <c r="U723" s="341"/>
      <c r="V723" s="13"/>
      <c r="W723" s="242"/>
      <c r="X723" s="242"/>
      <c r="Y723" s="242"/>
    </row>
    <row r="724">
      <c r="A724" s="340"/>
      <c r="B724" s="242"/>
      <c r="C724" s="242"/>
      <c r="D724" s="242"/>
      <c r="E724" s="242"/>
      <c r="F724" s="242"/>
      <c r="G724" s="243"/>
      <c r="H724" s="242"/>
      <c r="I724" s="264"/>
      <c r="J724" s="251"/>
      <c r="K724" s="251"/>
      <c r="L724" s="242"/>
      <c r="M724" s="242"/>
      <c r="N724" s="242"/>
      <c r="O724" s="242"/>
      <c r="P724" s="242"/>
      <c r="Q724" s="242"/>
      <c r="R724" s="242"/>
      <c r="S724" s="243"/>
      <c r="T724" s="280"/>
      <c r="U724" s="341"/>
      <c r="V724" s="13"/>
      <c r="W724" s="242"/>
      <c r="X724" s="242"/>
      <c r="Y724" s="242"/>
    </row>
    <row r="725">
      <c r="A725" s="340"/>
      <c r="B725" s="242"/>
      <c r="C725" s="242"/>
      <c r="D725" s="242"/>
      <c r="E725" s="242"/>
      <c r="F725" s="242"/>
      <c r="G725" s="243"/>
      <c r="H725" s="242"/>
      <c r="I725" s="264"/>
      <c r="J725" s="251"/>
      <c r="K725" s="251"/>
      <c r="L725" s="242"/>
      <c r="M725" s="242"/>
      <c r="N725" s="242"/>
      <c r="O725" s="242"/>
      <c r="P725" s="242"/>
      <c r="Q725" s="242"/>
      <c r="R725" s="242"/>
      <c r="S725" s="243"/>
      <c r="T725" s="280"/>
      <c r="U725" s="341"/>
      <c r="V725" s="13"/>
      <c r="W725" s="242"/>
      <c r="X725" s="242"/>
      <c r="Y725" s="242"/>
    </row>
    <row r="726">
      <c r="A726" s="340"/>
      <c r="B726" s="242"/>
      <c r="C726" s="242"/>
      <c r="D726" s="242"/>
      <c r="E726" s="242"/>
      <c r="F726" s="242"/>
      <c r="G726" s="243"/>
      <c r="H726" s="242"/>
      <c r="I726" s="264"/>
      <c r="J726" s="251"/>
      <c r="K726" s="251"/>
      <c r="L726" s="242"/>
      <c r="M726" s="242"/>
      <c r="N726" s="242"/>
      <c r="O726" s="242"/>
      <c r="P726" s="242"/>
      <c r="Q726" s="242"/>
      <c r="R726" s="242"/>
      <c r="S726" s="243"/>
      <c r="T726" s="280"/>
      <c r="U726" s="341"/>
      <c r="V726" s="13"/>
      <c r="W726" s="242"/>
      <c r="X726" s="242"/>
      <c r="Y726" s="242"/>
    </row>
    <row r="727">
      <c r="A727" s="340"/>
      <c r="B727" s="242"/>
      <c r="C727" s="242"/>
      <c r="D727" s="242"/>
      <c r="E727" s="242"/>
      <c r="F727" s="242"/>
      <c r="G727" s="243"/>
      <c r="H727" s="242"/>
      <c r="I727" s="264"/>
      <c r="J727" s="251"/>
      <c r="K727" s="251"/>
      <c r="L727" s="242"/>
      <c r="M727" s="242"/>
      <c r="N727" s="242"/>
      <c r="O727" s="242"/>
      <c r="P727" s="242"/>
      <c r="Q727" s="242"/>
      <c r="R727" s="242"/>
      <c r="S727" s="243"/>
      <c r="T727" s="280"/>
      <c r="U727" s="341"/>
      <c r="V727" s="13"/>
      <c r="W727" s="242"/>
      <c r="X727" s="242"/>
      <c r="Y727" s="242"/>
    </row>
    <row r="728">
      <c r="A728" s="340"/>
      <c r="B728" s="242"/>
      <c r="C728" s="242"/>
      <c r="D728" s="242"/>
      <c r="E728" s="242"/>
      <c r="F728" s="242"/>
      <c r="G728" s="243"/>
      <c r="H728" s="242"/>
      <c r="I728" s="264"/>
      <c r="J728" s="251"/>
      <c r="K728" s="251"/>
      <c r="L728" s="242"/>
      <c r="M728" s="242"/>
      <c r="N728" s="242"/>
      <c r="O728" s="242"/>
      <c r="P728" s="242"/>
      <c r="Q728" s="242"/>
      <c r="R728" s="242"/>
      <c r="S728" s="243"/>
      <c r="T728" s="280"/>
      <c r="U728" s="341"/>
      <c r="V728" s="13"/>
      <c r="W728" s="242"/>
      <c r="X728" s="242"/>
      <c r="Y728" s="242"/>
    </row>
    <row r="729">
      <c r="A729" s="340"/>
      <c r="B729" s="242"/>
      <c r="C729" s="242"/>
      <c r="D729" s="242"/>
      <c r="E729" s="242"/>
      <c r="F729" s="242"/>
      <c r="G729" s="243"/>
      <c r="H729" s="242"/>
      <c r="I729" s="264"/>
      <c r="J729" s="251"/>
      <c r="K729" s="251"/>
      <c r="L729" s="242"/>
      <c r="M729" s="242"/>
      <c r="N729" s="242"/>
      <c r="O729" s="242"/>
      <c r="P729" s="242"/>
      <c r="Q729" s="242"/>
      <c r="R729" s="242"/>
      <c r="S729" s="243"/>
      <c r="T729" s="280"/>
      <c r="U729" s="341"/>
      <c r="V729" s="13"/>
      <c r="W729" s="242"/>
      <c r="X729" s="242"/>
      <c r="Y729" s="242"/>
    </row>
    <row r="730">
      <c r="A730" s="340"/>
      <c r="B730" s="242"/>
      <c r="C730" s="242"/>
      <c r="D730" s="242"/>
      <c r="E730" s="242"/>
      <c r="F730" s="242"/>
      <c r="G730" s="243"/>
      <c r="H730" s="242"/>
      <c r="I730" s="264"/>
      <c r="J730" s="251"/>
      <c r="K730" s="251"/>
      <c r="L730" s="242"/>
      <c r="M730" s="242"/>
      <c r="N730" s="242"/>
      <c r="O730" s="242"/>
      <c r="P730" s="242"/>
      <c r="Q730" s="242"/>
      <c r="R730" s="242"/>
      <c r="S730" s="243"/>
      <c r="T730" s="280"/>
      <c r="U730" s="341"/>
      <c r="V730" s="13"/>
      <c r="W730" s="242"/>
      <c r="X730" s="242"/>
      <c r="Y730" s="242"/>
    </row>
    <row r="731">
      <c r="A731" s="340"/>
      <c r="B731" s="242"/>
      <c r="C731" s="242"/>
      <c r="D731" s="242"/>
      <c r="E731" s="242"/>
      <c r="F731" s="242"/>
      <c r="G731" s="243"/>
      <c r="H731" s="242"/>
      <c r="I731" s="264"/>
      <c r="J731" s="251"/>
      <c r="K731" s="251"/>
      <c r="L731" s="242"/>
      <c r="M731" s="242"/>
      <c r="N731" s="242"/>
      <c r="O731" s="242"/>
      <c r="P731" s="242"/>
      <c r="Q731" s="242"/>
      <c r="R731" s="242"/>
      <c r="S731" s="243"/>
      <c r="T731" s="280"/>
      <c r="U731" s="341"/>
      <c r="V731" s="13"/>
      <c r="W731" s="242"/>
      <c r="X731" s="242"/>
      <c r="Y731" s="242"/>
    </row>
    <row r="732">
      <c r="A732" s="340"/>
      <c r="B732" s="242"/>
      <c r="C732" s="242"/>
      <c r="D732" s="242"/>
      <c r="E732" s="242"/>
      <c r="F732" s="242"/>
      <c r="G732" s="243"/>
      <c r="H732" s="242"/>
      <c r="I732" s="264"/>
      <c r="J732" s="251"/>
      <c r="K732" s="251"/>
      <c r="L732" s="242"/>
      <c r="M732" s="242"/>
      <c r="N732" s="242"/>
      <c r="O732" s="242"/>
      <c r="P732" s="242"/>
      <c r="Q732" s="242"/>
      <c r="R732" s="242"/>
      <c r="S732" s="243"/>
      <c r="T732" s="280"/>
      <c r="U732" s="341"/>
      <c r="V732" s="13"/>
      <c r="W732" s="242"/>
      <c r="X732" s="242"/>
      <c r="Y732" s="242"/>
    </row>
    <row r="733">
      <c r="A733" s="340"/>
      <c r="B733" s="242"/>
      <c r="C733" s="242"/>
      <c r="D733" s="242"/>
      <c r="E733" s="242"/>
      <c r="F733" s="242"/>
      <c r="G733" s="243"/>
      <c r="H733" s="242"/>
      <c r="I733" s="264"/>
      <c r="J733" s="251"/>
      <c r="K733" s="251"/>
      <c r="L733" s="242"/>
      <c r="M733" s="242"/>
      <c r="N733" s="242"/>
      <c r="O733" s="242"/>
      <c r="P733" s="242"/>
      <c r="Q733" s="242"/>
      <c r="R733" s="242"/>
      <c r="S733" s="243"/>
      <c r="T733" s="280"/>
      <c r="U733" s="341"/>
      <c r="V733" s="13"/>
      <c r="W733" s="242"/>
      <c r="X733" s="242"/>
      <c r="Y733" s="242"/>
    </row>
    <row r="734">
      <c r="A734" s="340"/>
      <c r="B734" s="242"/>
      <c r="C734" s="242"/>
      <c r="D734" s="242"/>
      <c r="E734" s="242"/>
      <c r="F734" s="242"/>
      <c r="G734" s="243"/>
      <c r="H734" s="242"/>
      <c r="I734" s="264"/>
      <c r="J734" s="251"/>
      <c r="K734" s="251"/>
      <c r="L734" s="242"/>
      <c r="M734" s="242"/>
      <c r="N734" s="242"/>
      <c r="O734" s="242"/>
      <c r="P734" s="242"/>
      <c r="Q734" s="242"/>
      <c r="R734" s="242"/>
      <c r="S734" s="243"/>
      <c r="T734" s="280"/>
      <c r="U734" s="341"/>
      <c r="V734" s="13"/>
      <c r="W734" s="242"/>
      <c r="X734" s="242"/>
      <c r="Y734" s="242"/>
    </row>
    <row r="735">
      <c r="A735" s="340"/>
      <c r="B735" s="242"/>
      <c r="C735" s="242"/>
      <c r="D735" s="242"/>
      <c r="E735" s="242"/>
      <c r="F735" s="242"/>
      <c r="G735" s="243"/>
      <c r="H735" s="242"/>
      <c r="I735" s="264"/>
      <c r="J735" s="251"/>
      <c r="K735" s="251"/>
      <c r="L735" s="242"/>
      <c r="M735" s="242"/>
      <c r="N735" s="242"/>
      <c r="O735" s="242"/>
      <c r="P735" s="242"/>
      <c r="Q735" s="242"/>
      <c r="R735" s="242"/>
      <c r="S735" s="243"/>
      <c r="T735" s="280"/>
      <c r="U735" s="341"/>
      <c r="V735" s="13"/>
      <c r="W735" s="242"/>
      <c r="X735" s="242"/>
      <c r="Y735" s="242"/>
    </row>
    <row r="736">
      <c r="A736" s="340"/>
      <c r="B736" s="242"/>
      <c r="C736" s="242"/>
      <c r="D736" s="242"/>
      <c r="E736" s="242"/>
      <c r="F736" s="242"/>
      <c r="G736" s="243"/>
      <c r="H736" s="242"/>
      <c r="I736" s="264"/>
      <c r="J736" s="251"/>
      <c r="K736" s="251"/>
      <c r="L736" s="242"/>
      <c r="M736" s="242"/>
      <c r="N736" s="242"/>
      <c r="O736" s="242"/>
      <c r="P736" s="242"/>
      <c r="Q736" s="242"/>
      <c r="R736" s="242"/>
      <c r="S736" s="243"/>
      <c r="T736" s="280"/>
      <c r="U736" s="341"/>
      <c r="V736" s="13"/>
      <c r="W736" s="242"/>
      <c r="X736" s="242"/>
      <c r="Y736" s="242"/>
    </row>
    <row r="737">
      <c r="A737" s="340"/>
      <c r="B737" s="242"/>
      <c r="C737" s="242"/>
      <c r="D737" s="242"/>
      <c r="E737" s="242"/>
      <c r="F737" s="242"/>
      <c r="G737" s="243"/>
      <c r="H737" s="242"/>
      <c r="I737" s="264"/>
      <c r="J737" s="251"/>
      <c r="K737" s="251"/>
      <c r="L737" s="242"/>
      <c r="M737" s="242"/>
      <c r="N737" s="242"/>
      <c r="O737" s="242"/>
      <c r="P737" s="242"/>
      <c r="Q737" s="242"/>
      <c r="R737" s="242"/>
      <c r="S737" s="243"/>
      <c r="T737" s="280"/>
      <c r="U737" s="341"/>
      <c r="V737" s="13"/>
      <c r="W737" s="242"/>
      <c r="X737" s="242"/>
      <c r="Y737" s="242"/>
    </row>
    <row r="738">
      <c r="A738" s="340"/>
      <c r="B738" s="242"/>
      <c r="C738" s="242"/>
      <c r="D738" s="242"/>
      <c r="E738" s="242"/>
      <c r="F738" s="242"/>
      <c r="G738" s="243"/>
      <c r="H738" s="242"/>
      <c r="I738" s="264"/>
      <c r="J738" s="251"/>
      <c r="K738" s="251"/>
      <c r="L738" s="242"/>
      <c r="M738" s="242"/>
      <c r="N738" s="242"/>
      <c r="O738" s="242"/>
      <c r="P738" s="242"/>
      <c r="Q738" s="242"/>
      <c r="R738" s="242"/>
      <c r="S738" s="243"/>
      <c r="T738" s="280"/>
      <c r="U738" s="341"/>
      <c r="V738" s="13"/>
      <c r="W738" s="242"/>
      <c r="X738" s="242"/>
      <c r="Y738" s="242"/>
    </row>
    <row r="739">
      <c r="A739" s="340"/>
      <c r="B739" s="242"/>
      <c r="C739" s="242"/>
      <c r="D739" s="242"/>
      <c r="E739" s="242"/>
      <c r="F739" s="242"/>
      <c r="G739" s="243"/>
      <c r="H739" s="242"/>
      <c r="I739" s="264"/>
      <c r="J739" s="251"/>
      <c r="K739" s="251"/>
      <c r="L739" s="242"/>
      <c r="M739" s="242"/>
      <c r="N739" s="242"/>
      <c r="O739" s="242"/>
      <c r="P739" s="242"/>
      <c r="Q739" s="242"/>
      <c r="R739" s="242"/>
      <c r="S739" s="243"/>
      <c r="T739" s="280"/>
      <c r="U739" s="341"/>
      <c r="V739" s="13"/>
      <c r="W739" s="242"/>
      <c r="X739" s="242"/>
      <c r="Y739" s="242"/>
    </row>
    <row r="740">
      <c r="A740" s="340"/>
      <c r="B740" s="242"/>
      <c r="C740" s="242"/>
      <c r="D740" s="242"/>
      <c r="E740" s="242"/>
      <c r="F740" s="242"/>
      <c r="G740" s="243"/>
      <c r="H740" s="242"/>
      <c r="I740" s="264"/>
      <c r="J740" s="251"/>
      <c r="K740" s="251"/>
      <c r="L740" s="242"/>
      <c r="M740" s="242"/>
      <c r="N740" s="242"/>
      <c r="O740" s="242"/>
      <c r="P740" s="242"/>
      <c r="Q740" s="242"/>
      <c r="R740" s="242"/>
      <c r="S740" s="243"/>
      <c r="T740" s="280"/>
      <c r="U740" s="341"/>
      <c r="V740" s="13"/>
      <c r="W740" s="242"/>
      <c r="X740" s="242"/>
      <c r="Y740" s="242"/>
    </row>
    <row r="741">
      <c r="A741" s="340"/>
      <c r="B741" s="242"/>
      <c r="C741" s="242"/>
      <c r="D741" s="242"/>
      <c r="E741" s="242"/>
      <c r="F741" s="242"/>
      <c r="G741" s="243"/>
      <c r="H741" s="242"/>
      <c r="I741" s="264"/>
      <c r="J741" s="251"/>
      <c r="K741" s="251"/>
      <c r="L741" s="242"/>
      <c r="M741" s="242"/>
      <c r="N741" s="242"/>
      <c r="O741" s="242"/>
      <c r="P741" s="242"/>
      <c r="Q741" s="242"/>
      <c r="R741" s="242"/>
      <c r="S741" s="243"/>
      <c r="T741" s="280"/>
      <c r="U741" s="341"/>
      <c r="V741" s="13"/>
      <c r="W741" s="242"/>
      <c r="X741" s="242"/>
      <c r="Y741" s="242"/>
    </row>
    <row r="742">
      <c r="A742" s="340"/>
      <c r="B742" s="242"/>
      <c r="C742" s="242"/>
      <c r="D742" s="242"/>
      <c r="E742" s="242"/>
      <c r="F742" s="242"/>
      <c r="G742" s="243"/>
      <c r="H742" s="242"/>
      <c r="I742" s="264"/>
      <c r="J742" s="251"/>
      <c r="K742" s="251"/>
      <c r="L742" s="242"/>
      <c r="M742" s="242"/>
      <c r="N742" s="242"/>
      <c r="O742" s="242"/>
      <c r="P742" s="242"/>
      <c r="Q742" s="242"/>
      <c r="R742" s="242"/>
      <c r="S742" s="243"/>
      <c r="T742" s="280"/>
      <c r="U742" s="341"/>
      <c r="V742" s="13"/>
      <c r="W742" s="242"/>
      <c r="X742" s="242"/>
      <c r="Y742" s="242"/>
    </row>
    <row r="743">
      <c r="A743" s="340"/>
      <c r="B743" s="242"/>
      <c r="C743" s="242"/>
      <c r="D743" s="242"/>
      <c r="E743" s="242"/>
      <c r="F743" s="242"/>
      <c r="G743" s="243"/>
      <c r="H743" s="242"/>
      <c r="I743" s="264"/>
      <c r="J743" s="251"/>
      <c r="K743" s="251"/>
      <c r="L743" s="242"/>
      <c r="M743" s="242"/>
      <c r="N743" s="242"/>
      <c r="O743" s="242"/>
      <c r="P743" s="242"/>
      <c r="Q743" s="242"/>
      <c r="R743" s="242"/>
      <c r="S743" s="243"/>
      <c r="T743" s="280"/>
      <c r="U743" s="341"/>
      <c r="V743" s="13"/>
      <c r="W743" s="242"/>
      <c r="X743" s="242"/>
      <c r="Y743" s="242"/>
    </row>
    <row r="744">
      <c r="A744" s="340"/>
      <c r="B744" s="242"/>
      <c r="C744" s="242"/>
      <c r="D744" s="242"/>
      <c r="E744" s="242"/>
      <c r="F744" s="242"/>
      <c r="G744" s="243"/>
      <c r="H744" s="242"/>
      <c r="I744" s="264"/>
      <c r="J744" s="251"/>
      <c r="K744" s="251"/>
      <c r="L744" s="242"/>
      <c r="M744" s="242"/>
      <c r="N744" s="242"/>
      <c r="O744" s="242"/>
      <c r="P744" s="242"/>
      <c r="Q744" s="242"/>
      <c r="R744" s="242"/>
      <c r="S744" s="243"/>
      <c r="T744" s="280"/>
      <c r="U744" s="341"/>
      <c r="V744" s="13"/>
      <c r="W744" s="242"/>
      <c r="X744" s="242"/>
      <c r="Y744" s="242"/>
    </row>
    <row r="745">
      <c r="A745" s="340"/>
      <c r="B745" s="242"/>
      <c r="C745" s="242"/>
      <c r="D745" s="242"/>
      <c r="E745" s="242"/>
      <c r="F745" s="242"/>
      <c r="G745" s="243"/>
      <c r="H745" s="242"/>
      <c r="I745" s="264"/>
      <c r="J745" s="251"/>
      <c r="K745" s="251"/>
      <c r="L745" s="242"/>
      <c r="M745" s="242"/>
      <c r="N745" s="242"/>
      <c r="O745" s="242"/>
      <c r="P745" s="242"/>
      <c r="Q745" s="242"/>
      <c r="R745" s="242"/>
      <c r="S745" s="243"/>
      <c r="T745" s="280"/>
      <c r="U745" s="341"/>
      <c r="V745" s="13"/>
      <c r="W745" s="242"/>
      <c r="X745" s="242"/>
      <c r="Y745" s="242"/>
    </row>
    <row r="746">
      <c r="A746" s="340"/>
      <c r="B746" s="242"/>
      <c r="C746" s="242"/>
      <c r="D746" s="242"/>
      <c r="E746" s="242"/>
      <c r="F746" s="242"/>
      <c r="G746" s="243"/>
      <c r="H746" s="242"/>
      <c r="I746" s="264"/>
      <c r="J746" s="251"/>
      <c r="K746" s="251"/>
      <c r="L746" s="242"/>
      <c r="M746" s="242"/>
      <c r="N746" s="242"/>
      <c r="O746" s="242"/>
      <c r="P746" s="242"/>
      <c r="Q746" s="242"/>
      <c r="R746" s="242"/>
      <c r="S746" s="243"/>
      <c r="T746" s="280"/>
      <c r="U746" s="341"/>
      <c r="V746" s="13"/>
      <c r="W746" s="242"/>
      <c r="X746" s="242"/>
      <c r="Y746" s="242"/>
    </row>
    <row r="747">
      <c r="A747" s="340"/>
      <c r="B747" s="242"/>
      <c r="C747" s="242"/>
      <c r="D747" s="242"/>
      <c r="E747" s="242"/>
      <c r="F747" s="242"/>
      <c r="G747" s="243"/>
      <c r="H747" s="242"/>
      <c r="I747" s="264"/>
      <c r="J747" s="251"/>
      <c r="K747" s="251"/>
      <c r="L747" s="242"/>
      <c r="M747" s="242"/>
      <c r="N747" s="242"/>
      <c r="O747" s="242"/>
      <c r="P747" s="242"/>
      <c r="Q747" s="242"/>
      <c r="R747" s="242"/>
      <c r="S747" s="243"/>
      <c r="T747" s="280"/>
      <c r="U747" s="341"/>
      <c r="V747" s="13"/>
      <c r="W747" s="242"/>
      <c r="X747" s="242"/>
      <c r="Y747" s="242"/>
    </row>
    <row r="748">
      <c r="A748" s="340"/>
      <c r="B748" s="242"/>
      <c r="C748" s="242"/>
      <c r="D748" s="242"/>
      <c r="E748" s="242"/>
      <c r="F748" s="242"/>
      <c r="G748" s="243"/>
      <c r="H748" s="242"/>
      <c r="I748" s="264"/>
      <c r="J748" s="251"/>
      <c r="K748" s="251"/>
      <c r="L748" s="242"/>
      <c r="M748" s="242"/>
      <c r="N748" s="242"/>
      <c r="O748" s="242"/>
      <c r="P748" s="242"/>
      <c r="Q748" s="242"/>
      <c r="R748" s="242"/>
      <c r="S748" s="243"/>
      <c r="T748" s="280"/>
      <c r="U748" s="341"/>
      <c r="V748" s="13"/>
      <c r="W748" s="242"/>
      <c r="X748" s="242"/>
      <c r="Y748" s="242"/>
    </row>
    <row r="749">
      <c r="A749" s="340"/>
      <c r="B749" s="242"/>
      <c r="C749" s="242"/>
      <c r="D749" s="242"/>
      <c r="E749" s="242"/>
      <c r="F749" s="242"/>
      <c r="G749" s="243"/>
      <c r="H749" s="242"/>
      <c r="I749" s="264"/>
      <c r="J749" s="251"/>
      <c r="K749" s="251"/>
      <c r="L749" s="242"/>
      <c r="M749" s="242"/>
      <c r="N749" s="242"/>
      <c r="O749" s="242"/>
      <c r="P749" s="242"/>
      <c r="Q749" s="242"/>
      <c r="R749" s="242"/>
      <c r="S749" s="243"/>
      <c r="T749" s="280"/>
      <c r="U749" s="341"/>
      <c r="V749" s="13"/>
      <c r="W749" s="242"/>
      <c r="X749" s="242"/>
      <c r="Y749" s="242"/>
    </row>
    <row r="750">
      <c r="A750" s="340"/>
      <c r="B750" s="242"/>
      <c r="C750" s="242"/>
      <c r="D750" s="242"/>
      <c r="E750" s="242"/>
      <c r="F750" s="242"/>
      <c r="G750" s="243"/>
      <c r="H750" s="242"/>
      <c r="I750" s="264"/>
      <c r="J750" s="251"/>
      <c r="K750" s="251"/>
      <c r="L750" s="242"/>
      <c r="M750" s="242"/>
      <c r="N750" s="242"/>
      <c r="O750" s="242"/>
      <c r="P750" s="242"/>
      <c r="Q750" s="242"/>
      <c r="R750" s="242"/>
      <c r="S750" s="243"/>
      <c r="T750" s="280"/>
      <c r="U750" s="341"/>
      <c r="V750" s="13"/>
      <c r="W750" s="242"/>
      <c r="X750" s="242"/>
      <c r="Y750" s="242"/>
    </row>
    <row r="751">
      <c r="A751" s="340"/>
      <c r="B751" s="242"/>
      <c r="C751" s="242"/>
      <c r="D751" s="242"/>
      <c r="E751" s="242"/>
      <c r="F751" s="242"/>
      <c r="G751" s="243"/>
      <c r="H751" s="242"/>
      <c r="I751" s="264"/>
      <c r="J751" s="251"/>
      <c r="K751" s="251"/>
      <c r="L751" s="242"/>
      <c r="M751" s="242"/>
      <c r="N751" s="242"/>
      <c r="O751" s="242"/>
      <c r="P751" s="242"/>
      <c r="Q751" s="242"/>
      <c r="R751" s="242"/>
      <c r="S751" s="243"/>
      <c r="T751" s="280"/>
      <c r="U751" s="341"/>
      <c r="V751" s="13"/>
      <c r="W751" s="242"/>
      <c r="X751" s="242"/>
      <c r="Y751" s="242"/>
    </row>
    <row r="752">
      <c r="A752" s="340"/>
      <c r="B752" s="242"/>
      <c r="C752" s="242"/>
      <c r="D752" s="242"/>
      <c r="E752" s="242"/>
      <c r="F752" s="242"/>
      <c r="G752" s="243"/>
      <c r="H752" s="242"/>
      <c r="I752" s="264"/>
      <c r="J752" s="251"/>
      <c r="K752" s="251"/>
      <c r="L752" s="242"/>
      <c r="M752" s="242"/>
      <c r="N752" s="242"/>
      <c r="O752" s="242"/>
      <c r="P752" s="242"/>
      <c r="Q752" s="242"/>
      <c r="R752" s="242"/>
      <c r="S752" s="243"/>
      <c r="T752" s="280"/>
      <c r="U752" s="341"/>
      <c r="V752" s="13"/>
      <c r="W752" s="242"/>
      <c r="X752" s="242"/>
      <c r="Y752" s="242"/>
    </row>
    <row r="753">
      <c r="A753" s="340"/>
      <c r="B753" s="242"/>
      <c r="C753" s="242"/>
      <c r="D753" s="242"/>
      <c r="E753" s="242"/>
      <c r="F753" s="242"/>
      <c r="G753" s="243"/>
      <c r="H753" s="242"/>
      <c r="I753" s="264"/>
      <c r="J753" s="251"/>
      <c r="K753" s="251"/>
      <c r="L753" s="242"/>
      <c r="M753" s="242"/>
      <c r="N753" s="242"/>
      <c r="O753" s="242"/>
      <c r="P753" s="242"/>
      <c r="Q753" s="242"/>
      <c r="R753" s="242"/>
      <c r="S753" s="243"/>
      <c r="T753" s="280"/>
      <c r="U753" s="341"/>
      <c r="V753" s="13"/>
      <c r="W753" s="242"/>
      <c r="X753" s="242"/>
      <c r="Y753" s="242"/>
    </row>
    <row r="754">
      <c r="A754" s="340"/>
      <c r="B754" s="242"/>
      <c r="C754" s="242"/>
      <c r="D754" s="242"/>
      <c r="E754" s="242"/>
      <c r="F754" s="242"/>
      <c r="G754" s="243"/>
      <c r="H754" s="242"/>
      <c r="I754" s="264"/>
      <c r="J754" s="251"/>
      <c r="K754" s="251"/>
      <c r="L754" s="242"/>
      <c r="M754" s="242"/>
      <c r="N754" s="242"/>
      <c r="O754" s="242"/>
      <c r="P754" s="242"/>
      <c r="Q754" s="242"/>
      <c r="R754" s="242"/>
      <c r="S754" s="243"/>
      <c r="T754" s="280"/>
      <c r="U754" s="341"/>
      <c r="V754" s="13"/>
      <c r="W754" s="242"/>
      <c r="X754" s="242"/>
      <c r="Y754" s="242"/>
    </row>
    <row r="755">
      <c r="A755" s="340"/>
      <c r="B755" s="242"/>
      <c r="C755" s="242"/>
      <c r="D755" s="242"/>
      <c r="E755" s="242"/>
      <c r="F755" s="242"/>
      <c r="G755" s="243"/>
      <c r="H755" s="242"/>
      <c r="I755" s="264"/>
      <c r="J755" s="251"/>
      <c r="K755" s="251"/>
      <c r="L755" s="242"/>
      <c r="M755" s="242"/>
      <c r="N755" s="242"/>
      <c r="O755" s="242"/>
      <c r="P755" s="242"/>
      <c r="Q755" s="242"/>
      <c r="R755" s="242"/>
      <c r="S755" s="243"/>
      <c r="T755" s="280"/>
      <c r="U755" s="341"/>
      <c r="V755" s="13"/>
      <c r="W755" s="242"/>
      <c r="X755" s="242"/>
      <c r="Y755" s="242"/>
    </row>
    <row r="756">
      <c r="A756" s="340"/>
      <c r="B756" s="242"/>
      <c r="C756" s="242"/>
      <c r="D756" s="242"/>
      <c r="E756" s="242"/>
      <c r="F756" s="242"/>
      <c r="G756" s="243"/>
      <c r="H756" s="242"/>
      <c r="I756" s="264"/>
      <c r="J756" s="251"/>
      <c r="K756" s="251"/>
      <c r="L756" s="242"/>
      <c r="M756" s="242"/>
      <c r="N756" s="242"/>
      <c r="O756" s="242"/>
      <c r="P756" s="242"/>
      <c r="Q756" s="242"/>
      <c r="R756" s="242"/>
      <c r="S756" s="243"/>
      <c r="T756" s="280"/>
      <c r="U756" s="341"/>
      <c r="V756" s="13"/>
      <c r="W756" s="242"/>
      <c r="X756" s="242"/>
      <c r="Y756" s="242"/>
    </row>
    <row r="757">
      <c r="A757" s="340"/>
      <c r="B757" s="242"/>
      <c r="C757" s="242"/>
      <c r="D757" s="242"/>
      <c r="E757" s="242"/>
      <c r="F757" s="242"/>
      <c r="G757" s="243"/>
      <c r="H757" s="242"/>
      <c r="I757" s="264"/>
      <c r="J757" s="251"/>
      <c r="K757" s="251"/>
      <c r="L757" s="242"/>
      <c r="M757" s="242"/>
      <c r="N757" s="242"/>
      <c r="O757" s="242"/>
      <c r="P757" s="242"/>
      <c r="Q757" s="242"/>
      <c r="R757" s="242"/>
      <c r="S757" s="243"/>
      <c r="T757" s="280"/>
      <c r="U757" s="341"/>
      <c r="V757" s="13"/>
      <c r="W757" s="242"/>
      <c r="X757" s="242"/>
      <c r="Y757" s="242"/>
    </row>
    <row r="758">
      <c r="A758" s="340"/>
      <c r="B758" s="242"/>
      <c r="C758" s="242"/>
      <c r="D758" s="242"/>
      <c r="E758" s="242"/>
      <c r="F758" s="242"/>
      <c r="G758" s="243"/>
      <c r="H758" s="242"/>
      <c r="I758" s="264"/>
      <c r="J758" s="251"/>
      <c r="K758" s="251"/>
      <c r="L758" s="242"/>
      <c r="M758" s="242"/>
      <c r="N758" s="242"/>
      <c r="O758" s="242"/>
      <c r="P758" s="242"/>
      <c r="Q758" s="242"/>
      <c r="R758" s="242"/>
      <c r="S758" s="243"/>
      <c r="T758" s="280"/>
      <c r="U758" s="341"/>
      <c r="V758" s="13"/>
      <c r="W758" s="242"/>
      <c r="X758" s="242"/>
      <c r="Y758" s="242"/>
    </row>
    <row r="759">
      <c r="A759" s="340"/>
      <c r="B759" s="242"/>
      <c r="C759" s="242"/>
      <c r="D759" s="242"/>
      <c r="E759" s="242"/>
      <c r="F759" s="242"/>
      <c r="G759" s="243"/>
      <c r="H759" s="242"/>
      <c r="I759" s="264"/>
      <c r="J759" s="251"/>
      <c r="K759" s="251"/>
      <c r="L759" s="242"/>
      <c r="M759" s="242"/>
      <c r="N759" s="242"/>
      <c r="O759" s="242"/>
      <c r="P759" s="242"/>
      <c r="Q759" s="242"/>
      <c r="R759" s="242"/>
      <c r="S759" s="243"/>
      <c r="T759" s="280"/>
      <c r="U759" s="341"/>
      <c r="V759" s="13"/>
      <c r="W759" s="242"/>
      <c r="X759" s="242"/>
      <c r="Y759" s="242"/>
    </row>
    <row r="760">
      <c r="A760" s="340"/>
      <c r="B760" s="242"/>
      <c r="C760" s="242"/>
      <c r="D760" s="242"/>
      <c r="E760" s="242"/>
      <c r="F760" s="242"/>
      <c r="G760" s="243"/>
      <c r="H760" s="242"/>
      <c r="I760" s="264"/>
      <c r="J760" s="251"/>
      <c r="K760" s="251"/>
      <c r="L760" s="242"/>
      <c r="M760" s="242"/>
      <c r="N760" s="242"/>
      <c r="O760" s="242"/>
      <c r="P760" s="242"/>
      <c r="Q760" s="242"/>
      <c r="R760" s="242"/>
      <c r="S760" s="243"/>
      <c r="T760" s="280"/>
      <c r="U760" s="341"/>
      <c r="V760" s="13"/>
      <c r="W760" s="242"/>
      <c r="X760" s="242"/>
      <c r="Y760" s="242"/>
    </row>
    <row r="761">
      <c r="A761" s="340"/>
      <c r="B761" s="242"/>
      <c r="C761" s="242"/>
      <c r="D761" s="242"/>
      <c r="E761" s="242"/>
      <c r="F761" s="242"/>
      <c r="G761" s="243"/>
      <c r="H761" s="242"/>
      <c r="I761" s="264"/>
      <c r="J761" s="251"/>
      <c r="K761" s="251"/>
      <c r="L761" s="242"/>
      <c r="M761" s="242"/>
      <c r="N761" s="242"/>
      <c r="O761" s="242"/>
      <c r="P761" s="242"/>
      <c r="Q761" s="242"/>
      <c r="R761" s="242"/>
      <c r="S761" s="243"/>
      <c r="T761" s="280"/>
      <c r="U761" s="341"/>
      <c r="V761" s="13"/>
      <c r="W761" s="242"/>
      <c r="X761" s="242"/>
      <c r="Y761" s="242"/>
    </row>
    <row r="762">
      <c r="A762" s="340"/>
      <c r="B762" s="242"/>
      <c r="C762" s="242"/>
      <c r="D762" s="242"/>
      <c r="E762" s="242"/>
      <c r="F762" s="242"/>
      <c r="G762" s="243"/>
      <c r="H762" s="242"/>
      <c r="I762" s="264"/>
      <c r="J762" s="251"/>
      <c r="K762" s="251"/>
      <c r="L762" s="242"/>
      <c r="M762" s="242"/>
      <c r="N762" s="242"/>
      <c r="O762" s="242"/>
      <c r="P762" s="242"/>
      <c r="Q762" s="242"/>
      <c r="R762" s="242"/>
      <c r="S762" s="243"/>
      <c r="T762" s="280"/>
      <c r="U762" s="341"/>
      <c r="V762" s="13"/>
      <c r="W762" s="242"/>
      <c r="X762" s="242"/>
      <c r="Y762" s="242"/>
    </row>
    <row r="763">
      <c r="A763" s="340"/>
      <c r="B763" s="242"/>
      <c r="C763" s="242"/>
      <c r="D763" s="242"/>
      <c r="E763" s="242"/>
      <c r="F763" s="242"/>
      <c r="G763" s="243"/>
      <c r="H763" s="242"/>
      <c r="I763" s="264"/>
      <c r="J763" s="251"/>
      <c r="K763" s="251"/>
      <c r="L763" s="242"/>
      <c r="M763" s="242"/>
      <c r="N763" s="242"/>
      <c r="O763" s="242"/>
      <c r="P763" s="242"/>
      <c r="Q763" s="242"/>
      <c r="R763" s="242"/>
      <c r="S763" s="243"/>
      <c r="T763" s="280"/>
      <c r="U763" s="341"/>
      <c r="V763" s="13"/>
      <c r="W763" s="242"/>
      <c r="X763" s="242"/>
      <c r="Y763" s="242"/>
    </row>
    <row r="764">
      <c r="A764" s="340"/>
      <c r="B764" s="242"/>
      <c r="C764" s="242"/>
      <c r="D764" s="242"/>
      <c r="E764" s="242"/>
      <c r="F764" s="242"/>
      <c r="G764" s="243"/>
      <c r="H764" s="242"/>
      <c r="I764" s="264"/>
      <c r="J764" s="251"/>
      <c r="K764" s="251"/>
      <c r="L764" s="242"/>
      <c r="M764" s="242"/>
      <c r="N764" s="242"/>
      <c r="O764" s="242"/>
      <c r="P764" s="242"/>
      <c r="Q764" s="242"/>
      <c r="R764" s="242"/>
      <c r="S764" s="243"/>
      <c r="T764" s="280"/>
      <c r="U764" s="341"/>
      <c r="V764" s="13"/>
      <c r="W764" s="242"/>
      <c r="X764" s="242"/>
      <c r="Y764" s="242"/>
    </row>
    <row r="765">
      <c r="A765" s="340"/>
      <c r="B765" s="242"/>
      <c r="C765" s="242"/>
      <c r="D765" s="242"/>
      <c r="E765" s="242"/>
      <c r="F765" s="242"/>
      <c r="G765" s="243"/>
      <c r="H765" s="242"/>
      <c r="I765" s="264"/>
      <c r="J765" s="251"/>
      <c r="K765" s="251"/>
      <c r="L765" s="242"/>
      <c r="M765" s="242"/>
      <c r="N765" s="242"/>
      <c r="O765" s="242"/>
      <c r="P765" s="242"/>
      <c r="Q765" s="242"/>
      <c r="R765" s="242"/>
      <c r="S765" s="243"/>
      <c r="T765" s="280"/>
      <c r="U765" s="341"/>
      <c r="V765" s="13"/>
      <c r="W765" s="242"/>
      <c r="X765" s="242"/>
      <c r="Y765" s="242"/>
    </row>
    <row r="766">
      <c r="A766" s="340"/>
      <c r="B766" s="242"/>
      <c r="C766" s="242"/>
      <c r="D766" s="242"/>
      <c r="E766" s="242"/>
      <c r="F766" s="242"/>
      <c r="G766" s="243"/>
      <c r="H766" s="242"/>
      <c r="I766" s="264"/>
      <c r="J766" s="251"/>
      <c r="K766" s="251"/>
      <c r="L766" s="242"/>
      <c r="M766" s="242"/>
      <c r="N766" s="242"/>
      <c r="O766" s="242"/>
      <c r="P766" s="242"/>
      <c r="Q766" s="242"/>
      <c r="R766" s="242"/>
      <c r="S766" s="243"/>
      <c r="T766" s="280"/>
      <c r="U766" s="341"/>
      <c r="V766" s="13"/>
      <c r="W766" s="242"/>
      <c r="X766" s="242"/>
      <c r="Y766" s="242"/>
    </row>
    <row r="767">
      <c r="A767" s="340"/>
      <c r="B767" s="242"/>
      <c r="C767" s="242"/>
      <c r="D767" s="242"/>
      <c r="E767" s="242"/>
      <c r="F767" s="242"/>
      <c r="G767" s="243"/>
      <c r="H767" s="242"/>
      <c r="I767" s="264"/>
      <c r="J767" s="251"/>
      <c r="K767" s="251"/>
      <c r="L767" s="242"/>
      <c r="M767" s="242"/>
      <c r="N767" s="242"/>
      <c r="O767" s="242"/>
      <c r="P767" s="242"/>
      <c r="Q767" s="242"/>
      <c r="R767" s="242"/>
      <c r="S767" s="243"/>
      <c r="T767" s="280"/>
      <c r="U767" s="341"/>
      <c r="V767" s="13"/>
      <c r="W767" s="242"/>
      <c r="X767" s="242"/>
      <c r="Y767" s="242"/>
    </row>
    <row r="768">
      <c r="A768" s="340"/>
      <c r="B768" s="242"/>
      <c r="C768" s="242"/>
      <c r="D768" s="242"/>
      <c r="E768" s="242"/>
      <c r="F768" s="242"/>
      <c r="G768" s="243"/>
      <c r="H768" s="242"/>
      <c r="I768" s="264"/>
      <c r="J768" s="251"/>
      <c r="K768" s="251"/>
      <c r="L768" s="242"/>
      <c r="M768" s="242"/>
      <c r="N768" s="242"/>
      <c r="O768" s="242"/>
      <c r="P768" s="242"/>
      <c r="Q768" s="242"/>
      <c r="R768" s="242"/>
      <c r="S768" s="243"/>
      <c r="T768" s="280"/>
      <c r="U768" s="341"/>
      <c r="V768" s="13"/>
      <c r="W768" s="242"/>
      <c r="X768" s="242"/>
      <c r="Y768" s="242"/>
    </row>
    <row r="769">
      <c r="A769" s="340"/>
      <c r="B769" s="242"/>
      <c r="C769" s="242"/>
      <c r="D769" s="242"/>
      <c r="E769" s="242"/>
      <c r="F769" s="242"/>
      <c r="G769" s="243"/>
      <c r="H769" s="242"/>
      <c r="I769" s="264"/>
      <c r="J769" s="251"/>
      <c r="K769" s="251"/>
      <c r="L769" s="242"/>
      <c r="M769" s="242"/>
      <c r="N769" s="242"/>
      <c r="O769" s="242"/>
      <c r="P769" s="242"/>
      <c r="Q769" s="242"/>
      <c r="R769" s="242"/>
      <c r="S769" s="243"/>
      <c r="T769" s="280"/>
      <c r="U769" s="341"/>
      <c r="V769" s="13"/>
      <c r="W769" s="242"/>
      <c r="X769" s="242"/>
      <c r="Y769" s="242"/>
    </row>
    <row r="770">
      <c r="A770" s="340"/>
      <c r="B770" s="242"/>
      <c r="C770" s="242"/>
      <c r="D770" s="242"/>
      <c r="E770" s="242"/>
      <c r="F770" s="242"/>
      <c r="G770" s="243"/>
      <c r="H770" s="242"/>
      <c r="I770" s="264"/>
      <c r="J770" s="251"/>
      <c r="K770" s="251"/>
      <c r="L770" s="242"/>
      <c r="M770" s="242"/>
      <c r="N770" s="242"/>
      <c r="O770" s="242"/>
      <c r="P770" s="242"/>
      <c r="Q770" s="242"/>
      <c r="R770" s="242"/>
      <c r="S770" s="243"/>
      <c r="T770" s="280"/>
      <c r="U770" s="341"/>
      <c r="V770" s="13"/>
      <c r="W770" s="242"/>
      <c r="X770" s="242"/>
      <c r="Y770" s="242"/>
    </row>
    <row r="771">
      <c r="A771" s="340"/>
      <c r="B771" s="242"/>
      <c r="C771" s="242"/>
      <c r="D771" s="242"/>
      <c r="E771" s="242"/>
      <c r="F771" s="242"/>
      <c r="G771" s="243"/>
      <c r="H771" s="242"/>
      <c r="I771" s="264"/>
      <c r="J771" s="251"/>
      <c r="K771" s="251"/>
      <c r="L771" s="242"/>
      <c r="M771" s="242"/>
      <c r="N771" s="242"/>
      <c r="O771" s="242"/>
      <c r="P771" s="242"/>
      <c r="Q771" s="242"/>
      <c r="R771" s="242"/>
      <c r="S771" s="243"/>
      <c r="T771" s="280"/>
      <c r="U771" s="341"/>
      <c r="V771" s="13"/>
      <c r="W771" s="242"/>
      <c r="X771" s="242"/>
      <c r="Y771" s="242"/>
    </row>
    <row r="772">
      <c r="A772" s="340"/>
      <c r="B772" s="242"/>
      <c r="C772" s="242"/>
      <c r="D772" s="242"/>
      <c r="E772" s="242"/>
      <c r="F772" s="242"/>
      <c r="G772" s="243"/>
      <c r="H772" s="242"/>
      <c r="I772" s="264"/>
      <c r="J772" s="251"/>
      <c r="K772" s="251"/>
      <c r="L772" s="242"/>
      <c r="M772" s="242"/>
      <c r="N772" s="242"/>
      <c r="O772" s="242"/>
      <c r="P772" s="242"/>
      <c r="Q772" s="242"/>
      <c r="R772" s="242"/>
      <c r="S772" s="243"/>
      <c r="T772" s="280"/>
      <c r="U772" s="341"/>
      <c r="V772" s="13"/>
      <c r="W772" s="242"/>
      <c r="X772" s="242"/>
      <c r="Y772" s="242"/>
    </row>
    <row r="773">
      <c r="A773" s="340"/>
      <c r="B773" s="242"/>
      <c r="C773" s="242"/>
      <c r="D773" s="242"/>
      <c r="E773" s="242"/>
      <c r="F773" s="242"/>
      <c r="G773" s="243"/>
      <c r="H773" s="242"/>
      <c r="I773" s="264"/>
      <c r="J773" s="251"/>
      <c r="K773" s="251"/>
      <c r="L773" s="242"/>
      <c r="M773" s="242"/>
      <c r="N773" s="242"/>
      <c r="O773" s="242"/>
      <c r="P773" s="242"/>
      <c r="Q773" s="242"/>
      <c r="R773" s="242"/>
      <c r="S773" s="243"/>
      <c r="T773" s="280"/>
      <c r="U773" s="341"/>
      <c r="V773" s="13"/>
      <c r="W773" s="242"/>
      <c r="X773" s="242"/>
      <c r="Y773" s="242"/>
    </row>
    <row r="774">
      <c r="A774" s="340"/>
      <c r="B774" s="242"/>
      <c r="C774" s="242"/>
      <c r="D774" s="242"/>
      <c r="E774" s="242"/>
      <c r="F774" s="242"/>
      <c r="G774" s="243"/>
      <c r="H774" s="242"/>
      <c r="I774" s="264"/>
      <c r="J774" s="251"/>
      <c r="K774" s="251"/>
      <c r="L774" s="242"/>
      <c r="M774" s="242"/>
      <c r="N774" s="242"/>
      <c r="O774" s="242"/>
      <c r="P774" s="242"/>
      <c r="Q774" s="242"/>
      <c r="R774" s="242"/>
      <c r="S774" s="243"/>
      <c r="T774" s="280"/>
      <c r="U774" s="341"/>
      <c r="V774" s="13"/>
      <c r="W774" s="242"/>
      <c r="X774" s="242"/>
      <c r="Y774" s="242"/>
    </row>
    <row r="775">
      <c r="A775" s="340"/>
      <c r="B775" s="242"/>
      <c r="C775" s="242"/>
      <c r="D775" s="242"/>
      <c r="E775" s="242"/>
      <c r="F775" s="242"/>
      <c r="G775" s="243"/>
      <c r="H775" s="242"/>
      <c r="I775" s="264"/>
      <c r="J775" s="251"/>
      <c r="K775" s="251"/>
      <c r="L775" s="242"/>
      <c r="M775" s="242"/>
      <c r="N775" s="242"/>
      <c r="O775" s="242"/>
      <c r="P775" s="242"/>
      <c r="Q775" s="242"/>
      <c r="R775" s="242"/>
      <c r="S775" s="243"/>
      <c r="T775" s="280"/>
      <c r="U775" s="341"/>
      <c r="V775" s="13"/>
      <c r="W775" s="242"/>
      <c r="X775" s="242"/>
      <c r="Y775" s="242"/>
    </row>
    <row r="776">
      <c r="A776" s="340"/>
      <c r="B776" s="242"/>
      <c r="C776" s="242"/>
      <c r="D776" s="242"/>
      <c r="E776" s="242"/>
      <c r="F776" s="242"/>
      <c r="G776" s="243"/>
      <c r="H776" s="242"/>
      <c r="I776" s="264"/>
      <c r="J776" s="251"/>
      <c r="K776" s="251"/>
      <c r="L776" s="242"/>
      <c r="M776" s="242"/>
      <c r="N776" s="242"/>
      <c r="O776" s="242"/>
      <c r="P776" s="242"/>
      <c r="Q776" s="242"/>
      <c r="R776" s="242"/>
      <c r="S776" s="243"/>
      <c r="T776" s="280"/>
      <c r="U776" s="341"/>
      <c r="V776" s="13"/>
      <c r="W776" s="242"/>
      <c r="X776" s="242"/>
      <c r="Y776" s="242"/>
    </row>
    <row r="777">
      <c r="A777" s="340"/>
      <c r="B777" s="242"/>
      <c r="C777" s="242"/>
      <c r="D777" s="242"/>
      <c r="E777" s="242"/>
      <c r="F777" s="242"/>
      <c r="G777" s="243"/>
      <c r="H777" s="242"/>
      <c r="I777" s="264"/>
      <c r="J777" s="251"/>
      <c r="K777" s="251"/>
      <c r="L777" s="242"/>
      <c r="M777" s="242"/>
      <c r="N777" s="242"/>
      <c r="O777" s="242"/>
      <c r="P777" s="242"/>
      <c r="Q777" s="242"/>
      <c r="R777" s="242"/>
      <c r="S777" s="243"/>
      <c r="T777" s="280"/>
      <c r="U777" s="341"/>
      <c r="V777" s="13"/>
      <c r="W777" s="242"/>
      <c r="X777" s="242"/>
      <c r="Y777" s="242"/>
    </row>
    <row r="778">
      <c r="A778" s="340"/>
      <c r="B778" s="242"/>
      <c r="C778" s="242"/>
      <c r="D778" s="242"/>
      <c r="E778" s="242"/>
      <c r="F778" s="242"/>
      <c r="G778" s="243"/>
      <c r="H778" s="242"/>
      <c r="I778" s="264"/>
      <c r="J778" s="251"/>
      <c r="K778" s="251"/>
      <c r="L778" s="242"/>
      <c r="M778" s="242"/>
      <c r="N778" s="242"/>
      <c r="O778" s="242"/>
      <c r="P778" s="242"/>
      <c r="Q778" s="242"/>
      <c r="R778" s="242"/>
      <c r="S778" s="243"/>
      <c r="T778" s="280"/>
      <c r="U778" s="341"/>
      <c r="V778" s="13"/>
      <c r="W778" s="242"/>
      <c r="X778" s="242"/>
      <c r="Y778" s="242"/>
    </row>
    <row r="779">
      <c r="A779" s="340"/>
      <c r="B779" s="242"/>
      <c r="C779" s="242"/>
      <c r="D779" s="242"/>
      <c r="E779" s="242"/>
      <c r="F779" s="242"/>
      <c r="G779" s="243"/>
      <c r="H779" s="242"/>
      <c r="I779" s="264"/>
      <c r="J779" s="251"/>
      <c r="K779" s="251"/>
      <c r="L779" s="242"/>
      <c r="M779" s="242"/>
      <c r="N779" s="242"/>
      <c r="O779" s="242"/>
      <c r="P779" s="242"/>
      <c r="Q779" s="242"/>
      <c r="R779" s="242"/>
      <c r="S779" s="243"/>
      <c r="T779" s="280"/>
      <c r="U779" s="341"/>
      <c r="V779" s="13"/>
      <c r="W779" s="242"/>
      <c r="X779" s="242"/>
      <c r="Y779" s="242"/>
    </row>
    <row r="780">
      <c r="A780" s="340"/>
      <c r="B780" s="242"/>
      <c r="C780" s="242"/>
      <c r="D780" s="242"/>
      <c r="E780" s="242"/>
      <c r="F780" s="242"/>
      <c r="G780" s="243"/>
      <c r="H780" s="242"/>
      <c r="I780" s="264"/>
      <c r="J780" s="251"/>
      <c r="K780" s="251"/>
      <c r="L780" s="242"/>
      <c r="M780" s="242"/>
      <c r="N780" s="242"/>
      <c r="O780" s="242"/>
      <c r="P780" s="242"/>
      <c r="Q780" s="242"/>
      <c r="R780" s="242"/>
      <c r="S780" s="243"/>
      <c r="T780" s="280"/>
      <c r="U780" s="341"/>
      <c r="V780" s="13"/>
      <c r="W780" s="242"/>
      <c r="X780" s="242"/>
      <c r="Y780" s="242"/>
    </row>
    <row r="781">
      <c r="A781" s="340"/>
      <c r="B781" s="242"/>
      <c r="C781" s="242"/>
      <c r="D781" s="242"/>
      <c r="E781" s="242"/>
      <c r="F781" s="242"/>
      <c r="G781" s="243"/>
      <c r="H781" s="242"/>
      <c r="I781" s="264"/>
      <c r="J781" s="251"/>
      <c r="K781" s="251"/>
      <c r="L781" s="242"/>
      <c r="M781" s="242"/>
      <c r="N781" s="242"/>
      <c r="O781" s="242"/>
      <c r="P781" s="242"/>
      <c r="Q781" s="242"/>
      <c r="R781" s="242"/>
      <c r="S781" s="243"/>
      <c r="T781" s="280"/>
      <c r="U781" s="341"/>
      <c r="V781" s="13"/>
      <c r="W781" s="242"/>
      <c r="X781" s="242"/>
      <c r="Y781" s="242"/>
    </row>
    <row r="782">
      <c r="A782" s="340"/>
      <c r="B782" s="242"/>
      <c r="C782" s="242"/>
      <c r="D782" s="242"/>
      <c r="E782" s="242"/>
      <c r="F782" s="242"/>
      <c r="G782" s="243"/>
      <c r="H782" s="242"/>
      <c r="I782" s="264"/>
      <c r="J782" s="251"/>
      <c r="K782" s="251"/>
      <c r="L782" s="242"/>
      <c r="M782" s="242"/>
      <c r="N782" s="242"/>
      <c r="O782" s="242"/>
      <c r="P782" s="242"/>
      <c r="Q782" s="242"/>
      <c r="R782" s="242"/>
      <c r="S782" s="243"/>
      <c r="T782" s="280"/>
      <c r="U782" s="341"/>
      <c r="V782" s="13"/>
      <c r="W782" s="242"/>
      <c r="X782" s="242"/>
      <c r="Y782" s="242"/>
    </row>
    <row r="783">
      <c r="A783" s="340"/>
      <c r="B783" s="242"/>
      <c r="C783" s="242"/>
      <c r="D783" s="242"/>
      <c r="E783" s="242"/>
      <c r="F783" s="242"/>
      <c r="G783" s="243"/>
      <c r="H783" s="242"/>
      <c r="I783" s="264"/>
      <c r="J783" s="251"/>
      <c r="K783" s="251"/>
      <c r="L783" s="242"/>
      <c r="M783" s="242"/>
      <c r="N783" s="242"/>
      <c r="O783" s="242"/>
      <c r="P783" s="242"/>
      <c r="Q783" s="242"/>
      <c r="R783" s="242"/>
      <c r="S783" s="243"/>
      <c r="T783" s="280"/>
      <c r="U783" s="341"/>
      <c r="V783" s="13"/>
      <c r="W783" s="242"/>
      <c r="X783" s="242"/>
      <c r="Y783" s="242"/>
    </row>
    <row r="784">
      <c r="A784" s="340"/>
      <c r="B784" s="242"/>
      <c r="C784" s="242"/>
      <c r="D784" s="242"/>
      <c r="E784" s="242"/>
      <c r="F784" s="242"/>
      <c r="G784" s="243"/>
      <c r="H784" s="242"/>
      <c r="I784" s="264"/>
      <c r="J784" s="251"/>
      <c r="K784" s="251"/>
      <c r="L784" s="242"/>
      <c r="M784" s="242"/>
      <c r="N784" s="242"/>
      <c r="O784" s="242"/>
      <c r="P784" s="242"/>
      <c r="Q784" s="242"/>
      <c r="R784" s="242"/>
      <c r="S784" s="243"/>
      <c r="T784" s="280"/>
      <c r="U784" s="341"/>
      <c r="V784" s="13"/>
      <c r="W784" s="242"/>
      <c r="X784" s="242"/>
      <c r="Y784" s="242"/>
    </row>
    <row r="785">
      <c r="A785" s="340"/>
      <c r="B785" s="242"/>
      <c r="C785" s="242"/>
      <c r="D785" s="242"/>
      <c r="E785" s="242"/>
      <c r="F785" s="242"/>
      <c r="G785" s="243"/>
      <c r="H785" s="242"/>
      <c r="I785" s="264"/>
      <c r="J785" s="251"/>
      <c r="K785" s="251"/>
      <c r="L785" s="242"/>
      <c r="M785" s="242"/>
      <c r="N785" s="242"/>
      <c r="O785" s="242"/>
      <c r="P785" s="242"/>
      <c r="Q785" s="242"/>
      <c r="R785" s="242"/>
      <c r="S785" s="243"/>
      <c r="T785" s="280"/>
      <c r="U785" s="341"/>
      <c r="V785" s="13"/>
      <c r="W785" s="242"/>
      <c r="X785" s="242"/>
      <c r="Y785" s="242"/>
    </row>
    <row r="786">
      <c r="A786" s="340"/>
      <c r="B786" s="242"/>
      <c r="C786" s="242"/>
      <c r="D786" s="242"/>
      <c r="E786" s="242"/>
      <c r="F786" s="242"/>
      <c r="G786" s="243"/>
      <c r="H786" s="242"/>
      <c r="I786" s="264"/>
      <c r="J786" s="251"/>
      <c r="K786" s="251"/>
      <c r="L786" s="242"/>
      <c r="M786" s="242"/>
      <c r="N786" s="242"/>
      <c r="O786" s="242"/>
      <c r="P786" s="242"/>
      <c r="Q786" s="242"/>
      <c r="R786" s="242"/>
      <c r="S786" s="243"/>
      <c r="T786" s="280"/>
      <c r="U786" s="341"/>
      <c r="V786" s="13"/>
      <c r="W786" s="242"/>
      <c r="X786" s="242"/>
      <c r="Y786" s="242"/>
    </row>
    <row r="787">
      <c r="A787" s="340"/>
      <c r="B787" s="242"/>
      <c r="C787" s="242"/>
      <c r="D787" s="242"/>
      <c r="E787" s="242"/>
      <c r="F787" s="242"/>
      <c r="G787" s="243"/>
      <c r="H787" s="242"/>
      <c r="I787" s="264"/>
      <c r="J787" s="251"/>
      <c r="K787" s="251"/>
      <c r="L787" s="242"/>
      <c r="M787" s="242"/>
      <c r="N787" s="242"/>
      <c r="O787" s="242"/>
      <c r="P787" s="242"/>
      <c r="Q787" s="242"/>
      <c r="R787" s="242"/>
      <c r="S787" s="243"/>
      <c r="T787" s="280"/>
      <c r="U787" s="341"/>
      <c r="V787" s="13"/>
      <c r="W787" s="242"/>
      <c r="X787" s="242"/>
      <c r="Y787" s="242"/>
    </row>
    <row r="788">
      <c r="A788" s="340"/>
      <c r="B788" s="242"/>
      <c r="C788" s="242"/>
      <c r="D788" s="242"/>
      <c r="E788" s="242"/>
      <c r="F788" s="242"/>
      <c r="G788" s="243"/>
      <c r="H788" s="242"/>
      <c r="I788" s="264"/>
      <c r="J788" s="251"/>
      <c r="K788" s="251"/>
      <c r="L788" s="242"/>
      <c r="M788" s="242"/>
      <c r="N788" s="242"/>
      <c r="O788" s="242"/>
      <c r="P788" s="242"/>
      <c r="Q788" s="242"/>
      <c r="R788" s="242"/>
      <c r="S788" s="243"/>
      <c r="T788" s="280"/>
      <c r="U788" s="341"/>
      <c r="V788" s="13"/>
      <c r="W788" s="242"/>
      <c r="X788" s="242"/>
      <c r="Y788" s="242"/>
    </row>
    <row r="789">
      <c r="A789" s="340"/>
      <c r="B789" s="242"/>
      <c r="C789" s="242"/>
      <c r="D789" s="242"/>
      <c r="E789" s="242"/>
      <c r="F789" s="242"/>
      <c r="G789" s="243"/>
      <c r="H789" s="242"/>
      <c r="I789" s="264"/>
      <c r="J789" s="251"/>
      <c r="K789" s="251"/>
      <c r="L789" s="242"/>
      <c r="M789" s="242"/>
      <c r="N789" s="242"/>
      <c r="O789" s="242"/>
      <c r="P789" s="242"/>
      <c r="Q789" s="242"/>
      <c r="R789" s="242"/>
      <c r="S789" s="243"/>
      <c r="T789" s="280"/>
      <c r="U789" s="341"/>
      <c r="V789" s="13"/>
      <c r="W789" s="242"/>
      <c r="X789" s="242"/>
      <c r="Y789" s="242"/>
    </row>
    <row r="790">
      <c r="A790" s="340"/>
      <c r="B790" s="242"/>
      <c r="C790" s="242"/>
      <c r="D790" s="242"/>
      <c r="E790" s="242"/>
      <c r="F790" s="242"/>
      <c r="G790" s="243"/>
      <c r="H790" s="242"/>
      <c r="I790" s="264"/>
      <c r="J790" s="251"/>
      <c r="K790" s="251"/>
      <c r="L790" s="242"/>
      <c r="M790" s="242"/>
      <c r="N790" s="242"/>
      <c r="O790" s="242"/>
      <c r="P790" s="242"/>
      <c r="Q790" s="242"/>
      <c r="R790" s="242"/>
      <c r="S790" s="243"/>
      <c r="T790" s="280"/>
      <c r="U790" s="341"/>
      <c r="V790" s="13"/>
      <c r="W790" s="242"/>
      <c r="X790" s="242"/>
      <c r="Y790" s="242"/>
    </row>
    <row r="791">
      <c r="A791" s="340"/>
      <c r="B791" s="242"/>
      <c r="C791" s="242"/>
      <c r="D791" s="242"/>
      <c r="E791" s="242"/>
      <c r="F791" s="242"/>
      <c r="G791" s="243"/>
      <c r="H791" s="242"/>
      <c r="I791" s="264"/>
      <c r="J791" s="251"/>
      <c r="K791" s="251"/>
      <c r="L791" s="242"/>
      <c r="M791" s="242"/>
      <c r="N791" s="242"/>
      <c r="O791" s="242"/>
      <c r="P791" s="242"/>
      <c r="Q791" s="242"/>
      <c r="R791" s="242"/>
      <c r="S791" s="243"/>
      <c r="T791" s="280"/>
      <c r="U791" s="341"/>
      <c r="V791" s="13"/>
      <c r="W791" s="242"/>
      <c r="X791" s="242"/>
      <c r="Y791" s="242"/>
    </row>
    <row r="792">
      <c r="A792" s="340"/>
      <c r="B792" s="242"/>
      <c r="C792" s="242"/>
      <c r="D792" s="242"/>
      <c r="E792" s="242"/>
      <c r="F792" s="242"/>
      <c r="G792" s="243"/>
      <c r="H792" s="242"/>
      <c r="I792" s="264"/>
      <c r="J792" s="251"/>
      <c r="K792" s="251"/>
      <c r="L792" s="242"/>
      <c r="M792" s="242"/>
      <c r="N792" s="242"/>
      <c r="O792" s="242"/>
      <c r="P792" s="242"/>
      <c r="Q792" s="242"/>
      <c r="R792" s="242"/>
      <c r="S792" s="243"/>
      <c r="T792" s="280"/>
      <c r="U792" s="341"/>
      <c r="V792" s="13"/>
      <c r="W792" s="242"/>
      <c r="X792" s="242"/>
      <c r="Y792" s="242"/>
    </row>
    <row r="793">
      <c r="A793" s="340"/>
      <c r="B793" s="242"/>
      <c r="C793" s="242"/>
      <c r="D793" s="242"/>
      <c r="E793" s="242"/>
      <c r="F793" s="242"/>
      <c r="G793" s="243"/>
      <c r="H793" s="242"/>
      <c r="I793" s="264"/>
      <c r="J793" s="251"/>
      <c r="K793" s="251"/>
      <c r="L793" s="242"/>
      <c r="M793" s="242"/>
      <c r="N793" s="242"/>
      <c r="O793" s="242"/>
      <c r="P793" s="242"/>
      <c r="Q793" s="242"/>
      <c r="R793" s="242"/>
      <c r="S793" s="243"/>
      <c r="T793" s="280"/>
      <c r="U793" s="341"/>
      <c r="V793" s="13"/>
      <c r="W793" s="242"/>
      <c r="X793" s="242"/>
      <c r="Y793" s="242"/>
    </row>
    <row r="794">
      <c r="A794" s="340"/>
      <c r="B794" s="242"/>
      <c r="C794" s="242"/>
      <c r="D794" s="242"/>
      <c r="E794" s="242"/>
      <c r="F794" s="242"/>
      <c r="G794" s="243"/>
      <c r="H794" s="242"/>
      <c r="I794" s="264"/>
      <c r="J794" s="251"/>
      <c r="K794" s="251"/>
      <c r="L794" s="242"/>
      <c r="M794" s="242"/>
      <c r="N794" s="242"/>
      <c r="O794" s="242"/>
      <c r="P794" s="242"/>
      <c r="Q794" s="242"/>
      <c r="R794" s="242"/>
      <c r="S794" s="243"/>
      <c r="T794" s="280"/>
      <c r="U794" s="341"/>
      <c r="V794" s="13"/>
      <c r="W794" s="242"/>
      <c r="X794" s="242"/>
      <c r="Y794" s="242"/>
    </row>
    <row r="795">
      <c r="A795" s="340"/>
      <c r="B795" s="242"/>
      <c r="C795" s="242"/>
      <c r="D795" s="242"/>
      <c r="E795" s="242"/>
      <c r="F795" s="242"/>
      <c r="G795" s="243"/>
      <c r="H795" s="242"/>
      <c r="I795" s="264"/>
      <c r="J795" s="251"/>
      <c r="K795" s="251"/>
      <c r="L795" s="242"/>
      <c r="M795" s="242"/>
      <c r="N795" s="242"/>
      <c r="O795" s="242"/>
      <c r="P795" s="242"/>
      <c r="Q795" s="242"/>
      <c r="R795" s="242"/>
      <c r="S795" s="243"/>
      <c r="T795" s="280"/>
      <c r="U795" s="341"/>
      <c r="V795" s="13"/>
      <c r="W795" s="242"/>
      <c r="X795" s="242"/>
      <c r="Y795" s="242"/>
    </row>
    <row r="796">
      <c r="A796" s="340"/>
      <c r="B796" s="242"/>
      <c r="C796" s="242"/>
      <c r="D796" s="242"/>
      <c r="E796" s="242"/>
      <c r="F796" s="242"/>
      <c r="G796" s="243"/>
      <c r="H796" s="242"/>
      <c r="I796" s="264"/>
      <c r="J796" s="251"/>
      <c r="K796" s="251"/>
      <c r="L796" s="242"/>
      <c r="M796" s="242"/>
      <c r="N796" s="242"/>
      <c r="O796" s="242"/>
      <c r="P796" s="242"/>
      <c r="Q796" s="242"/>
      <c r="R796" s="242"/>
      <c r="S796" s="243"/>
      <c r="T796" s="280"/>
      <c r="U796" s="341"/>
      <c r="V796" s="13"/>
      <c r="W796" s="242"/>
      <c r="X796" s="242"/>
      <c r="Y796" s="242"/>
    </row>
    <row r="797">
      <c r="A797" s="340"/>
      <c r="B797" s="242"/>
      <c r="C797" s="242"/>
      <c r="D797" s="242"/>
      <c r="E797" s="242"/>
      <c r="F797" s="242"/>
      <c r="G797" s="243"/>
      <c r="H797" s="242"/>
      <c r="I797" s="264"/>
      <c r="J797" s="251"/>
      <c r="K797" s="251"/>
      <c r="L797" s="242"/>
      <c r="M797" s="242"/>
      <c r="N797" s="242"/>
      <c r="O797" s="242"/>
      <c r="P797" s="242"/>
      <c r="Q797" s="242"/>
      <c r="R797" s="242"/>
      <c r="S797" s="243"/>
      <c r="T797" s="280"/>
      <c r="U797" s="341"/>
      <c r="V797" s="13"/>
      <c r="W797" s="242"/>
      <c r="X797" s="242"/>
      <c r="Y797" s="242"/>
    </row>
    <row r="798">
      <c r="A798" s="340"/>
      <c r="B798" s="242"/>
      <c r="C798" s="242"/>
      <c r="D798" s="242"/>
      <c r="E798" s="242"/>
      <c r="F798" s="242"/>
      <c r="G798" s="243"/>
      <c r="H798" s="242"/>
      <c r="I798" s="264"/>
      <c r="J798" s="251"/>
      <c r="K798" s="251"/>
      <c r="L798" s="242"/>
      <c r="M798" s="242"/>
      <c r="N798" s="242"/>
      <c r="O798" s="242"/>
      <c r="P798" s="242"/>
      <c r="Q798" s="242"/>
      <c r="R798" s="242"/>
      <c r="S798" s="243"/>
      <c r="T798" s="280"/>
      <c r="U798" s="341"/>
      <c r="V798" s="13"/>
      <c r="W798" s="242"/>
      <c r="X798" s="242"/>
      <c r="Y798" s="242"/>
    </row>
    <row r="799">
      <c r="A799" s="340"/>
      <c r="B799" s="242"/>
      <c r="C799" s="242"/>
      <c r="D799" s="242"/>
      <c r="E799" s="242"/>
      <c r="F799" s="242"/>
      <c r="G799" s="243"/>
      <c r="H799" s="242"/>
      <c r="I799" s="264"/>
      <c r="J799" s="251"/>
      <c r="K799" s="251"/>
      <c r="L799" s="242"/>
      <c r="M799" s="242"/>
      <c r="N799" s="242"/>
      <c r="O799" s="242"/>
      <c r="P799" s="242"/>
      <c r="Q799" s="242"/>
      <c r="R799" s="242"/>
      <c r="S799" s="243"/>
      <c r="T799" s="280"/>
      <c r="U799" s="341"/>
      <c r="V799" s="13"/>
      <c r="W799" s="242"/>
      <c r="X799" s="242"/>
      <c r="Y799" s="242"/>
    </row>
    <row r="800">
      <c r="A800" s="340"/>
      <c r="B800" s="242"/>
      <c r="C800" s="242"/>
      <c r="D800" s="242"/>
      <c r="E800" s="242"/>
      <c r="F800" s="242"/>
      <c r="G800" s="243"/>
      <c r="H800" s="242"/>
      <c r="I800" s="264"/>
      <c r="J800" s="251"/>
      <c r="K800" s="251"/>
      <c r="L800" s="242"/>
      <c r="M800" s="242"/>
      <c r="N800" s="242"/>
      <c r="O800" s="242"/>
      <c r="P800" s="242"/>
      <c r="Q800" s="242"/>
      <c r="R800" s="242"/>
      <c r="S800" s="243"/>
      <c r="T800" s="280"/>
      <c r="U800" s="341"/>
      <c r="V800" s="13"/>
      <c r="W800" s="242"/>
      <c r="X800" s="242"/>
      <c r="Y800" s="242"/>
    </row>
    <row r="801">
      <c r="A801" s="340"/>
      <c r="B801" s="242"/>
      <c r="C801" s="242"/>
      <c r="D801" s="242"/>
      <c r="E801" s="242"/>
      <c r="F801" s="242"/>
      <c r="G801" s="243"/>
      <c r="H801" s="242"/>
      <c r="I801" s="264"/>
      <c r="J801" s="251"/>
      <c r="K801" s="251"/>
      <c r="L801" s="242"/>
      <c r="M801" s="242"/>
      <c r="N801" s="242"/>
      <c r="O801" s="242"/>
      <c r="P801" s="242"/>
      <c r="Q801" s="242"/>
      <c r="R801" s="242"/>
      <c r="S801" s="243"/>
      <c r="T801" s="280"/>
      <c r="U801" s="341"/>
      <c r="V801" s="13"/>
      <c r="W801" s="242"/>
      <c r="X801" s="242"/>
      <c r="Y801" s="242"/>
    </row>
    <row r="802">
      <c r="A802" s="340"/>
      <c r="B802" s="242"/>
      <c r="C802" s="242"/>
      <c r="D802" s="242"/>
      <c r="E802" s="242"/>
      <c r="F802" s="242"/>
      <c r="G802" s="243"/>
      <c r="H802" s="242"/>
      <c r="I802" s="264"/>
      <c r="J802" s="251"/>
      <c r="K802" s="251"/>
      <c r="L802" s="242"/>
      <c r="M802" s="242"/>
      <c r="N802" s="242"/>
      <c r="O802" s="242"/>
      <c r="P802" s="242"/>
      <c r="Q802" s="242"/>
      <c r="R802" s="242"/>
      <c r="S802" s="243"/>
      <c r="T802" s="280"/>
      <c r="U802" s="341"/>
      <c r="V802" s="13"/>
      <c r="W802" s="242"/>
      <c r="X802" s="242"/>
      <c r="Y802" s="242"/>
    </row>
    <row r="803">
      <c r="A803" s="340"/>
      <c r="B803" s="242"/>
      <c r="C803" s="242"/>
      <c r="D803" s="242"/>
      <c r="E803" s="242"/>
      <c r="F803" s="242"/>
      <c r="G803" s="243"/>
      <c r="H803" s="242"/>
      <c r="I803" s="264"/>
      <c r="J803" s="251"/>
      <c r="K803" s="251"/>
      <c r="L803" s="242"/>
      <c r="M803" s="242"/>
      <c r="N803" s="242"/>
      <c r="O803" s="242"/>
      <c r="P803" s="242"/>
      <c r="Q803" s="242"/>
      <c r="R803" s="242"/>
      <c r="S803" s="243"/>
      <c r="T803" s="280"/>
      <c r="U803" s="341"/>
      <c r="V803" s="13"/>
      <c r="W803" s="242"/>
      <c r="X803" s="242"/>
      <c r="Y803" s="242"/>
    </row>
    <row r="804">
      <c r="A804" s="340"/>
      <c r="B804" s="242"/>
      <c r="C804" s="242"/>
      <c r="D804" s="242"/>
      <c r="E804" s="242"/>
      <c r="F804" s="242"/>
      <c r="G804" s="243"/>
      <c r="H804" s="242"/>
      <c r="I804" s="264"/>
      <c r="J804" s="251"/>
      <c r="K804" s="251"/>
      <c r="L804" s="242"/>
      <c r="M804" s="242"/>
      <c r="N804" s="242"/>
      <c r="O804" s="242"/>
      <c r="P804" s="242"/>
      <c r="Q804" s="242"/>
      <c r="R804" s="242"/>
      <c r="S804" s="243"/>
      <c r="T804" s="280"/>
      <c r="U804" s="341"/>
      <c r="V804" s="13"/>
      <c r="W804" s="242"/>
      <c r="X804" s="242"/>
      <c r="Y804" s="242"/>
    </row>
    <row r="805">
      <c r="A805" s="340"/>
      <c r="B805" s="242"/>
      <c r="C805" s="242"/>
      <c r="D805" s="242"/>
      <c r="E805" s="242"/>
      <c r="F805" s="242"/>
      <c r="G805" s="243"/>
      <c r="H805" s="242"/>
      <c r="I805" s="264"/>
      <c r="J805" s="251"/>
      <c r="K805" s="251"/>
      <c r="L805" s="242"/>
      <c r="M805" s="242"/>
      <c r="N805" s="242"/>
      <c r="O805" s="242"/>
      <c r="P805" s="242"/>
      <c r="Q805" s="242"/>
      <c r="R805" s="242"/>
      <c r="S805" s="243"/>
      <c r="T805" s="280"/>
      <c r="U805" s="341"/>
      <c r="V805" s="13"/>
      <c r="W805" s="242"/>
      <c r="X805" s="242"/>
      <c r="Y805" s="242"/>
    </row>
    <row r="806">
      <c r="A806" s="340"/>
      <c r="B806" s="242"/>
      <c r="C806" s="242"/>
      <c r="D806" s="242"/>
      <c r="E806" s="242"/>
      <c r="F806" s="242"/>
      <c r="G806" s="243"/>
      <c r="H806" s="242"/>
      <c r="I806" s="264"/>
      <c r="J806" s="251"/>
      <c r="K806" s="251"/>
      <c r="L806" s="242"/>
      <c r="M806" s="242"/>
      <c r="N806" s="242"/>
      <c r="O806" s="242"/>
      <c r="P806" s="242"/>
      <c r="Q806" s="242"/>
      <c r="R806" s="242"/>
      <c r="S806" s="243"/>
      <c r="T806" s="280"/>
      <c r="U806" s="341"/>
      <c r="V806" s="13"/>
      <c r="W806" s="242"/>
      <c r="X806" s="242"/>
      <c r="Y806" s="242"/>
    </row>
    <row r="807">
      <c r="A807" s="340"/>
      <c r="B807" s="242"/>
      <c r="C807" s="242"/>
      <c r="D807" s="242"/>
      <c r="E807" s="242"/>
      <c r="F807" s="242"/>
      <c r="G807" s="243"/>
      <c r="H807" s="242"/>
      <c r="I807" s="264"/>
      <c r="J807" s="251"/>
      <c r="K807" s="251"/>
      <c r="L807" s="242"/>
      <c r="M807" s="242"/>
      <c r="N807" s="242"/>
      <c r="O807" s="242"/>
      <c r="P807" s="242"/>
      <c r="Q807" s="242"/>
      <c r="R807" s="242"/>
      <c r="S807" s="243"/>
      <c r="T807" s="280"/>
      <c r="U807" s="341"/>
      <c r="V807" s="13"/>
      <c r="W807" s="242"/>
      <c r="X807" s="242"/>
      <c r="Y807" s="242"/>
    </row>
    <row r="808">
      <c r="A808" s="340"/>
      <c r="B808" s="242"/>
      <c r="C808" s="242"/>
      <c r="D808" s="242"/>
      <c r="E808" s="242"/>
      <c r="F808" s="242"/>
      <c r="G808" s="243"/>
      <c r="H808" s="242"/>
      <c r="I808" s="264"/>
      <c r="J808" s="251"/>
      <c r="K808" s="251"/>
      <c r="L808" s="242"/>
      <c r="M808" s="242"/>
      <c r="N808" s="242"/>
      <c r="O808" s="242"/>
      <c r="P808" s="242"/>
      <c r="Q808" s="242"/>
      <c r="R808" s="242"/>
      <c r="S808" s="243"/>
      <c r="T808" s="280"/>
      <c r="U808" s="341"/>
      <c r="V808" s="13"/>
      <c r="W808" s="242"/>
      <c r="X808" s="242"/>
      <c r="Y808" s="242"/>
    </row>
    <row r="809">
      <c r="A809" s="340"/>
      <c r="B809" s="242"/>
      <c r="C809" s="242"/>
      <c r="D809" s="242"/>
      <c r="E809" s="242"/>
      <c r="F809" s="242"/>
      <c r="G809" s="243"/>
      <c r="H809" s="242"/>
      <c r="I809" s="264"/>
      <c r="J809" s="251"/>
      <c r="K809" s="251"/>
      <c r="L809" s="242"/>
      <c r="M809" s="242"/>
      <c r="N809" s="242"/>
      <c r="O809" s="242"/>
      <c r="P809" s="242"/>
      <c r="Q809" s="242"/>
      <c r="R809" s="242"/>
      <c r="S809" s="243"/>
      <c r="T809" s="280"/>
      <c r="U809" s="341"/>
      <c r="V809" s="13"/>
      <c r="W809" s="242"/>
      <c r="X809" s="242"/>
      <c r="Y809" s="242"/>
    </row>
    <row r="810">
      <c r="A810" s="340"/>
      <c r="B810" s="242"/>
      <c r="C810" s="242"/>
      <c r="D810" s="242"/>
      <c r="E810" s="242"/>
      <c r="F810" s="242"/>
      <c r="G810" s="243"/>
      <c r="H810" s="242"/>
      <c r="I810" s="264"/>
      <c r="J810" s="251"/>
      <c r="K810" s="251"/>
      <c r="L810" s="242"/>
      <c r="M810" s="242"/>
      <c r="N810" s="242"/>
      <c r="O810" s="242"/>
      <c r="P810" s="242"/>
      <c r="Q810" s="242"/>
      <c r="R810" s="242"/>
      <c r="S810" s="243"/>
      <c r="T810" s="280"/>
      <c r="U810" s="341"/>
      <c r="V810" s="13"/>
      <c r="W810" s="242"/>
      <c r="X810" s="242"/>
      <c r="Y810" s="242"/>
    </row>
    <row r="811">
      <c r="A811" s="340"/>
      <c r="B811" s="242"/>
      <c r="C811" s="242"/>
      <c r="D811" s="242"/>
      <c r="E811" s="242"/>
      <c r="F811" s="242"/>
      <c r="G811" s="243"/>
      <c r="H811" s="242"/>
      <c r="I811" s="264"/>
      <c r="J811" s="251"/>
      <c r="K811" s="251"/>
      <c r="L811" s="242"/>
      <c r="M811" s="242"/>
      <c r="N811" s="242"/>
      <c r="O811" s="242"/>
      <c r="P811" s="242"/>
      <c r="Q811" s="242"/>
      <c r="R811" s="242"/>
      <c r="S811" s="243"/>
      <c r="T811" s="280"/>
      <c r="U811" s="341"/>
      <c r="V811" s="13"/>
      <c r="W811" s="242"/>
      <c r="X811" s="242"/>
      <c r="Y811" s="242"/>
    </row>
    <row r="812">
      <c r="A812" s="340"/>
      <c r="B812" s="242"/>
      <c r="C812" s="242"/>
      <c r="D812" s="242"/>
      <c r="E812" s="242"/>
      <c r="F812" s="242"/>
      <c r="G812" s="243"/>
      <c r="H812" s="242"/>
      <c r="I812" s="264"/>
      <c r="J812" s="251"/>
      <c r="K812" s="251"/>
      <c r="L812" s="242"/>
      <c r="M812" s="242"/>
      <c r="N812" s="242"/>
      <c r="O812" s="242"/>
      <c r="P812" s="242"/>
      <c r="Q812" s="242"/>
      <c r="R812" s="242"/>
      <c r="S812" s="243"/>
      <c r="T812" s="280"/>
      <c r="U812" s="341"/>
      <c r="V812" s="13"/>
      <c r="W812" s="242"/>
      <c r="X812" s="242"/>
      <c r="Y812" s="242"/>
    </row>
    <row r="813">
      <c r="A813" s="340"/>
      <c r="B813" s="242"/>
      <c r="C813" s="242"/>
      <c r="D813" s="242"/>
      <c r="E813" s="242"/>
      <c r="F813" s="242"/>
      <c r="G813" s="243"/>
      <c r="H813" s="242"/>
      <c r="I813" s="264"/>
      <c r="J813" s="251"/>
      <c r="K813" s="251"/>
      <c r="L813" s="242"/>
      <c r="M813" s="242"/>
      <c r="N813" s="242"/>
      <c r="O813" s="242"/>
      <c r="P813" s="242"/>
      <c r="Q813" s="242"/>
      <c r="R813" s="242"/>
      <c r="S813" s="243"/>
      <c r="T813" s="280"/>
      <c r="U813" s="341"/>
      <c r="V813" s="13"/>
      <c r="W813" s="242"/>
      <c r="X813" s="242"/>
      <c r="Y813" s="242"/>
    </row>
    <row r="814">
      <c r="A814" s="340"/>
      <c r="B814" s="242"/>
      <c r="C814" s="242"/>
      <c r="D814" s="242"/>
      <c r="E814" s="242"/>
      <c r="F814" s="242"/>
      <c r="G814" s="243"/>
      <c r="H814" s="242"/>
      <c r="I814" s="264"/>
      <c r="J814" s="251"/>
      <c r="K814" s="251"/>
      <c r="L814" s="242"/>
      <c r="M814" s="242"/>
      <c r="N814" s="242"/>
      <c r="O814" s="242"/>
      <c r="P814" s="242"/>
      <c r="Q814" s="242"/>
      <c r="R814" s="242"/>
      <c r="S814" s="243"/>
      <c r="T814" s="280"/>
      <c r="U814" s="341"/>
      <c r="V814" s="13"/>
      <c r="W814" s="242"/>
      <c r="X814" s="242"/>
      <c r="Y814" s="242"/>
    </row>
    <row r="815">
      <c r="A815" s="340"/>
      <c r="B815" s="242"/>
      <c r="C815" s="242"/>
      <c r="D815" s="242"/>
      <c r="E815" s="242"/>
      <c r="F815" s="242"/>
      <c r="G815" s="243"/>
      <c r="H815" s="242"/>
      <c r="I815" s="264"/>
      <c r="J815" s="251"/>
      <c r="K815" s="251"/>
      <c r="L815" s="242"/>
      <c r="M815" s="242"/>
      <c r="N815" s="242"/>
      <c r="O815" s="242"/>
      <c r="P815" s="242"/>
      <c r="Q815" s="242"/>
      <c r="R815" s="242"/>
      <c r="S815" s="243"/>
      <c r="T815" s="280"/>
      <c r="U815" s="341"/>
      <c r="V815" s="13"/>
      <c r="W815" s="242"/>
      <c r="X815" s="242"/>
      <c r="Y815" s="242"/>
    </row>
    <row r="816">
      <c r="A816" s="340"/>
      <c r="B816" s="242"/>
      <c r="C816" s="242"/>
      <c r="D816" s="242"/>
      <c r="E816" s="242"/>
      <c r="F816" s="242"/>
      <c r="G816" s="243"/>
      <c r="H816" s="242"/>
      <c r="I816" s="264"/>
      <c r="J816" s="251"/>
      <c r="K816" s="251"/>
      <c r="L816" s="242"/>
      <c r="M816" s="242"/>
      <c r="N816" s="242"/>
      <c r="O816" s="242"/>
      <c r="P816" s="242"/>
      <c r="Q816" s="242"/>
      <c r="R816" s="242"/>
      <c r="S816" s="243"/>
      <c r="T816" s="280"/>
      <c r="U816" s="341"/>
      <c r="V816" s="13"/>
      <c r="W816" s="242"/>
      <c r="X816" s="242"/>
      <c r="Y816" s="242"/>
    </row>
    <row r="817">
      <c r="A817" s="340"/>
      <c r="B817" s="242"/>
      <c r="C817" s="242"/>
      <c r="D817" s="242"/>
      <c r="E817" s="242"/>
      <c r="F817" s="242"/>
      <c r="G817" s="243"/>
      <c r="H817" s="242"/>
      <c r="I817" s="264"/>
      <c r="J817" s="251"/>
      <c r="K817" s="251"/>
      <c r="L817" s="242"/>
      <c r="M817" s="242"/>
      <c r="N817" s="242"/>
      <c r="O817" s="242"/>
      <c r="P817" s="242"/>
      <c r="Q817" s="242"/>
      <c r="R817" s="242"/>
      <c r="S817" s="243"/>
      <c r="T817" s="280"/>
      <c r="U817" s="341"/>
      <c r="V817" s="13"/>
      <c r="W817" s="242"/>
      <c r="X817" s="242"/>
      <c r="Y817" s="242"/>
    </row>
    <row r="818">
      <c r="A818" s="340"/>
      <c r="B818" s="242"/>
      <c r="C818" s="242"/>
      <c r="D818" s="242"/>
      <c r="E818" s="242"/>
      <c r="F818" s="242"/>
      <c r="G818" s="243"/>
      <c r="H818" s="242"/>
      <c r="I818" s="264"/>
      <c r="J818" s="251"/>
      <c r="K818" s="251"/>
      <c r="L818" s="242"/>
      <c r="M818" s="242"/>
      <c r="N818" s="242"/>
      <c r="O818" s="242"/>
      <c r="P818" s="242"/>
      <c r="Q818" s="242"/>
      <c r="R818" s="242"/>
      <c r="S818" s="243"/>
      <c r="T818" s="280"/>
      <c r="U818" s="341"/>
      <c r="V818" s="13"/>
      <c r="W818" s="242"/>
      <c r="X818" s="242"/>
      <c r="Y818" s="242"/>
    </row>
    <row r="819">
      <c r="A819" s="340"/>
      <c r="B819" s="242"/>
      <c r="C819" s="242"/>
      <c r="D819" s="242"/>
      <c r="E819" s="242"/>
      <c r="F819" s="242"/>
      <c r="G819" s="243"/>
      <c r="H819" s="242"/>
      <c r="I819" s="264"/>
      <c r="J819" s="251"/>
      <c r="K819" s="251"/>
      <c r="L819" s="242"/>
      <c r="M819" s="242"/>
      <c r="N819" s="242"/>
      <c r="O819" s="242"/>
      <c r="P819" s="242"/>
      <c r="Q819" s="242"/>
      <c r="R819" s="242"/>
      <c r="S819" s="243"/>
      <c r="T819" s="280"/>
      <c r="U819" s="341"/>
      <c r="V819" s="13"/>
      <c r="W819" s="242"/>
      <c r="X819" s="242"/>
      <c r="Y819" s="242"/>
    </row>
    <row r="820">
      <c r="A820" s="340"/>
      <c r="B820" s="242"/>
      <c r="C820" s="242"/>
      <c r="D820" s="242"/>
      <c r="E820" s="242"/>
      <c r="F820" s="242"/>
      <c r="G820" s="243"/>
      <c r="H820" s="242"/>
      <c r="I820" s="264"/>
      <c r="J820" s="251"/>
      <c r="K820" s="251"/>
      <c r="L820" s="242"/>
      <c r="M820" s="242"/>
      <c r="N820" s="242"/>
      <c r="O820" s="242"/>
      <c r="P820" s="242"/>
      <c r="Q820" s="242"/>
      <c r="R820" s="242"/>
      <c r="S820" s="243"/>
      <c r="T820" s="280"/>
      <c r="U820" s="341"/>
      <c r="V820" s="13"/>
      <c r="W820" s="242"/>
      <c r="X820" s="242"/>
      <c r="Y820" s="242"/>
    </row>
    <row r="821">
      <c r="A821" s="340"/>
      <c r="B821" s="242"/>
      <c r="C821" s="242"/>
      <c r="D821" s="242"/>
      <c r="E821" s="242"/>
      <c r="F821" s="242"/>
      <c r="G821" s="243"/>
      <c r="H821" s="242"/>
      <c r="I821" s="264"/>
      <c r="J821" s="251"/>
      <c r="K821" s="251"/>
      <c r="L821" s="242"/>
      <c r="M821" s="242"/>
      <c r="N821" s="242"/>
      <c r="O821" s="242"/>
      <c r="P821" s="242"/>
      <c r="Q821" s="242"/>
      <c r="R821" s="242"/>
      <c r="S821" s="243"/>
      <c r="T821" s="280"/>
      <c r="U821" s="341"/>
      <c r="V821" s="13"/>
      <c r="W821" s="242"/>
      <c r="X821" s="242"/>
      <c r="Y821" s="242"/>
    </row>
    <row r="822">
      <c r="A822" s="340"/>
      <c r="B822" s="242"/>
      <c r="C822" s="242"/>
      <c r="D822" s="242"/>
      <c r="E822" s="242"/>
      <c r="F822" s="242"/>
      <c r="G822" s="243"/>
      <c r="H822" s="242"/>
      <c r="I822" s="264"/>
      <c r="J822" s="251"/>
      <c r="K822" s="251"/>
      <c r="L822" s="242"/>
      <c r="M822" s="242"/>
      <c r="N822" s="242"/>
      <c r="O822" s="242"/>
      <c r="P822" s="242"/>
      <c r="Q822" s="242"/>
      <c r="R822" s="242"/>
      <c r="S822" s="243"/>
      <c r="T822" s="280"/>
      <c r="U822" s="341"/>
      <c r="V822" s="13"/>
      <c r="W822" s="242"/>
      <c r="X822" s="242"/>
      <c r="Y822" s="242"/>
    </row>
    <row r="823">
      <c r="A823" s="340"/>
      <c r="B823" s="242"/>
      <c r="C823" s="242"/>
      <c r="D823" s="242"/>
      <c r="E823" s="242"/>
      <c r="F823" s="242"/>
      <c r="G823" s="243"/>
      <c r="H823" s="242"/>
      <c r="I823" s="264"/>
      <c r="J823" s="251"/>
      <c r="K823" s="251"/>
      <c r="L823" s="242"/>
      <c r="M823" s="242"/>
      <c r="N823" s="242"/>
      <c r="O823" s="242"/>
      <c r="P823" s="242"/>
      <c r="Q823" s="242"/>
      <c r="R823" s="242"/>
      <c r="S823" s="243"/>
      <c r="T823" s="280"/>
      <c r="U823" s="341"/>
      <c r="V823" s="13"/>
      <c r="W823" s="242"/>
      <c r="X823" s="242"/>
      <c r="Y823" s="242"/>
    </row>
    <row r="824">
      <c r="A824" s="340"/>
      <c r="B824" s="242"/>
      <c r="C824" s="242"/>
      <c r="D824" s="242"/>
      <c r="E824" s="242"/>
      <c r="F824" s="242"/>
      <c r="G824" s="243"/>
      <c r="H824" s="242"/>
      <c r="I824" s="264"/>
      <c r="J824" s="251"/>
      <c r="K824" s="251"/>
      <c r="L824" s="242"/>
      <c r="M824" s="242"/>
      <c r="N824" s="242"/>
      <c r="O824" s="242"/>
      <c r="P824" s="242"/>
      <c r="Q824" s="242"/>
      <c r="R824" s="242"/>
      <c r="S824" s="243"/>
      <c r="T824" s="280"/>
      <c r="U824" s="341"/>
      <c r="V824" s="13"/>
      <c r="W824" s="242"/>
      <c r="X824" s="242"/>
      <c r="Y824" s="242"/>
    </row>
    <row r="825">
      <c r="A825" s="340"/>
      <c r="B825" s="242"/>
      <c r="C825" s="242"/>
      <c r="D825" s="242"/>
      <c r="E825" s="242"/>
      <c r="F825" s="242"/>
      <c r="G825" s="243"/>
      <c r="H825" s="242"/>
      <c r="I825" s="264"/>
      <c r="J825" s="251"/>
      <c r="K825" s="251"/>
      <c r="L825" s="242"/>
      <c r="M825" s="242"/>
      <c r="N825" s="242"/>
      <c r="O825" s="242"/>
      <c r="P825" s="242"/>
      <c r="Q825" s="242"/>
      <c r="R825" s="242"/>
      <c r="S825" s="243"/>
      <c r="T825" s="280"/>
      <c r="U825" s="341"/>
      <c r="V825" s="13"/>
      <c r="W825" s="242"/>
      <c r="X825" s="242"/>
      <c r="Y825" s="242"/>
    </row>
    <row r="826">
      <c r="A826" s="340"/>
      <c r="B826" s="242"/>
      <c r="C826" s="242"/>
      <c r="D826" s="242"/>
      <c r="E826" s="242"/>
      <c r="F826" s="242"/>
      <c r="G826" s="243"/>
      <c r="H826" s="242"/>
      <c r="I826" s="264"/>
      <c r="J826" s="251"/>
      <c r="K826" s="251"/>
      <c r="L826" s="242"/>
      <c r="M826" s="242"/>
      <c r="N826" s="242"/>
      <c r="O826" s="242"/>
      <c r="P826" s="242"/>
      <c r="Q826" s="242"/>
      <c r="R826" s="242"/>
      <c r="S826" s="243"/>
      <c r="T826" s="280"/>
      <c r="U826" s="341"/>
      <c r="V826" s="13"/>
      <c r="W826" s="242"/>
      <c r="X826" s="242"/>
      <c r="Y826" s="242"/>
    </row>
    <row r="827">
      <c r="A827" s="340"/>
      <c r="B827" s="242"/>
      <c r="C827" s="242"/>
      <c r="D827" s="242"/>
      <c r="E827" s="242"/>
      <c r="F827" s="242"/>
      <c r="G827" s="243"/>
      <c r="H827" s="242"/>
      <c r="I827" s="264"/>
      <c r="J827" s="251"/>
      <c r="K827" s="251"/>
      <c r="L827" s="242"/>
      <c r="M827" s="242"/>
      <c r="N827" s="242"/>
      <c r="O827" s="242"/>
      <c r="P827" s="242"/>
      <c r="Q827" s="242"/>
      <c r="R827" s="242"/>
      <c r="S827" s="243"/>
      <c r="T827" s="280"/>
      <c r="U827" s="341"/>
      <c r="V827" s="13"/>
      <c r="W827" s="242"/>
      <c r="X827" s="242"/>
      <c r="Y827" s="242"/>
    </row>
    <row r="828">
      <c r="A828" s="340"/>
      <c r="B828" s="242"/>
      <c r="C828" s="242"/>
      <c r="D828" s="242"/>
      <c r="E828" s="242"/>
      <c r="F828" s="242"/>
      <c r="G828" s="243"/>
      <c r="H828" s="242"/>
      <c r="I828" s="264"/>
      <c r="J828" s="251"/>
      <c r="K828" s="251"/>
      <c r="L828" s="242"/>
      <c r="M828" s="242"/>
      <c r="N828" s="242"/>
      <c r="O828" s="242"/>
      <c r="P828" s="242"/>
      <c r="Q828" s="242"/>
      <c r="R828" s="242"/>
      <c r="S828" s="243"/>
      <c r="T828" s="280"/>
      <c r="U828" s="341"/>
      <c r="V828" s="13"/>
      <c r="W828" s="242"/>
      <c r="X828" s="242"/>
      <c r="Y828" s="242"/>
    </row>
    <row r="829">
      <c r="A829" s="340"/>
      <c r="B829" s="242"/>
      <c r="C829" s="242"/>
      <c r="D829" s="242"/>
      <c r="E829" s="242"/>
      <c r="F829" s="242"/>
      <c r="G829" s="243"/>
      <c r="H829" s="242"/>
      <c r="I829" s="264"/>
      <c r="J829" s="251"/>
      <c r="K829" s="251"/>
      <c r="L829" s="242"/>
      <c r="M829" s="242"/>
      <c r="N829" s="242"/>
      <c r="O829" s="242"/>
      <c r="P829" s="242"/>
      <c r="Q829" s="242"/>
      <c r="R829" s="242"/>
      <c r="S829" s="243"/>
      <c r="T829" s="280"/>
      <c r="U829" s="341"/>
      <c r="V829" s="13"/>
      <c r="W829" s="242"/>
      <c r="X829" s="242"/>
      <c r="Y829" s="242"/>
    </row>
    <row r="830">
      <c r="A830" s="340"/>
      <c r="B830" s="242"/>
      <c r="C830" s="242"/>
      <c r="D830" s="242"/>
      <c r="E830" s="242"/>
      <c r="F830" s="242"/>
      <c r="G830" s="243"/>
      <c r="H830" s="242"/>
      <c r="I830" s="264"/>
      <c r="J830" s="251"/>
      <c r="K830" s="251"/>
      <c r="L830" s="242"/>
      <c r="M830" s="242"/>
      <c r="N830" s="242"/>
      <c r="O830" s="242"/>
      <c r="P830" s="242"/>
      <c r="Q830" s="242"/>
      <c r="R830" s="242"/>
      <c r="S830" s="243"/>
      <c r="T830" s="280"/>
      <c r="U830" s="341"/>
      <c r="V830" s="13"/>
      <c r="W830" s="242"/>
      <c r="X830" s="242"/>
      <c r="Y830" s="242"/>
    </row>
    <row r="831">
      <c r="A831" s="340"/>
      <c r="B831" s="242"/>
      <c r="C831" s="242"/>
      <c r="D831" s="242"/>
      <c r="E831" s="242"/>
      <c r="F831" s="242"/>
      <c r="G831" s="243"/>
      <c r="H831" s="242"/>
      <c r="I831" s="264"/>
      <c r="J831" s="251"/>
      <c r="K831" s="251"/>
      <c r="L831" s="242"/>
      <c r="M831" s="242"/>
      <c r="N831" s="242"/>
      <c r="O831" s="242"/>
      <c r="P831" s="242"/>
      <c r="Q831" s="242"/>
      <c r="R831" s="242"/>
      <c r="S831" s="243"/>
      <c r="T831" s="280"/>
      <c r="U831" s="341"/>
      <c r="V831" s="13"/>
      <c r="W831" s="242"/>
      <c r="X831" s="242"/>
      <c r="Y831" s="242"/>
    </row>
    <row r="832">
      <c r="A832" s="340"/>
      <c r="B832" s="242"/>
      <c r="C832" s="242"/>
      <c r="D832" s="242"/>
      <c r="E832" s="242"/>
      <c r="F832" s="242"/>
      <c r="G832" s="243"/>
      <c r="H832" s="242"/>
      <c r="I832" s="264"/>
      <c r="J832" s="251"/>
      <c r="K832" s="251"/>
      <c r="L832" s="242"/>
      <c r="M832" s="242"/>
      <c r="N832" s="242"/>
      <c r="O832" s="242"/>
      <c r="P832" s="242"/>
      <c r="Q832" s="242"/>
      <c r="R832" s="242"/>
      <c r="S832" s="243"/>
      <c r="T832" s="280"/>
      <c r="U832" s="341"/>
      <c r="V832" s="13"/>
      <c r="W832" s="242"/>
      <c r="X832" s="242"/>
      <c r="Y832" s="242"/>
    </row>
    <row r="833">
      <c r="A833" s="340"/>
      <c r="B833" s="242"/>
      <c r="C833" s="242"/>
      <c r="D833" s="242"/>
      <c r="E833" s="242"/>
      <c r="F833" s="242"/>
      <c r="G833" s="243"/>
      <c r="H833" s="242"/>
      <c r="I833" s="264"/>
      <c r="J833" s="251"/>
      <c r="K833" s="251"/>
      <c r="L833" s="242"/>
      <c r="M833" s="242"/>
      <c r="N833" s="242"/>
      <c r="O833" s="242"/>
      <c r="P833" s="242"/>
      <c r="Q833" s="242"/>
      <c r="R833" s="242"/>
      <c r="S833" s="243"/>
      <c r="T833" s="280"/>
      <c r="U833" s="341"/>
      <c r="V833" s="13"/>
      <c r="W833" s="242"/>
      <c r="X833" s="242"/>
      <c r="Y833" s="242"/>
    </row>
    <row r="834">
      <c r="A834" s="340"/>
      <c r="B834" s="242"/>
      <c r="C834" s="242"/>
      <c r="D834" s="242"/>
      <c r="E834" s="242"/>
      <c r="F834" s="242"/>
      <c r="G834" s="243"/>
      <c r="H834" s="242"/>
      <c r="I834" s="264"/>
      <c r="J834" s="251"/>
      <c r="K834" s="251"/>
      <c r="L834" s="242"/>
      <c r="M834" s="242"/>
      <c r="N834" s="242"/>
      <c r="O834" s="242"/>
      <c r="P834" s="242"/>
      <c r="Q834" s="242"/>
      <c r="R834" s="242"/>
      <c r="S834" s="243"/>
      <c r="T834" s="280"/>
      <c r="U834" s="341"/>
      <c r="V834" s="13"/>
      <c r="W834" s="242"/>
      <c r="X834" s="242"/>
      <c r="Y834" s="242"/>
    </row>
    <row r="835">
      <c r="A835" s="340"/>
      <c r="B835" s="242"/>
      <c r="C835" s="242"/>
      <c r="D835" s="242"/>
      <c r="E835" s="242"/>
      <c r="F835" s="242"/>
      <c r="G835" s="243"/>
      <c r="H835" s="242"/>
      <c r="I835" s="264"/>
      <c r="J835" s="251"/>
      <c r="K835" s="251"/>
      <c r="L835" s="242"/>
      <c r="M835" s="242"/>
      <c r="N835" s="242"/>
      <c r="O835" s="242"/>
      <c r="P835" s="242"/>
      <c r="Q835" s="242"/>
      <c r="R835" s="242"/>
      <c r="S835" s="243"/>
      <c r="T835" s="280"/>
      <c r="U835" s="341"/>
      <c r="V835" s="13"/>
      <c r="W835" s="242"/>
      <c r="X835" s="242"/>
      <c r="Y835" s="242"/>
    </row>
    <row r="836">
      <c r="A836" s="340"/>
      <c r="B836" s="242"/>
      <c r="C836" s="242"/>
      <c r="D836" s="242"/>
      <c r="E836" s="242"/>
      <c r="F836" s="242"/>
      <c r="G836" s="243"/>
      <c r="H836" s="242"/>
      <c r="I836" s="264"/>
      <c r="J836" s="251"/>
      <c r="K836" s="251"/>
      <c r="L836" s="242"/>
      <c r="M836" s="242"/>
      <c r="N836" s="242"/>
      <c r="O836" s="242"/>
      <c r="P836" s="242"/>
      <c r="Q836" s="242"/>
      <c r="R836" s="242"/>
      <c r="S836" s="243"/>
      <c r="T836" s="280"/>
      <c r="U836" s="341"/>
      <c r="V836" s="13"/>
      <c r="W836" s="242"/>
      <c r="X836" s="242"/>
      <c r="Y836" s="242"/>
    </row>
    <row r="837">
      <c r="A837" s="340"/>
      <c r="B837" s="242"/>
      <c r="C837" s="242"/>
      <c r="D837" s="242"/>
      <c r="E837" s="242"/>
      <c r="F837" s="242"/>
      <c r="G837" s="243"/>
      <c r="H837" s="242"/>
      <c r="I837" s="264"/>
      <c r="J837" s="251"/>
      <c r="K837" s="251"/>
      <c r="L837" s="242"/>
      <c r="M837" s="242"/>
      <c r="N837" s="242"/>
      <c r="O837" s="242"/>
      <c r="P837" s="242"/>
      <c r="Q837" s="242"/>
      <c r="R837" s="242"/>
      <c r="S837" s="243"/>
      <c r="T837" s="280"/>
      <c r="U837" s="341"/>
      <c r="V837" s="13"/>
      <c r="W837" s="242"/>
      <c r="X837" s="242"/>
      <c r="Y837" s="242"/>
    </row>
    <row r="838">
      <c r="A838" s="340"/>
      <c r="B838" s="242"/>
      <c r="C838" s="242"/>
      <c r="D838" s="242"/>
      <c r="E838" s="242"/>
      <c r="F838" s="242"/>
      <c r="G838" s="243"/>
      <c r="H838" s="242"/>
      <c r="I838" s="264"/>
      <c r="J838" s="251"/>
      <c r="K838" s="251"/>
      <c r="L838" s="242"/>
      <c r="M838" s="242"/>
      <c r="N838" s="242"/>
      <c r="O838" s="242"/>
      <c r="P838" s="242"/>
      <c r="Q838" s="242"/>
      <c r="R838" s="242"/>
      <c r="S838" s="243"/>
      <c r="T838" s="280"/>
      <c r="U838" s="341"/>
      <c r="V838" s="13"/>
      <c r="W838" s="242"/>
      <c r="X838" s="242"/>
      <c r="Y838" s="242"/>
    </row>
    <row r="839">
      <c r="A839" s="340"/>
      <c r="B839" s="242"/>
      <c r="C839" s="242"/>
      <c r="D839" s="242"/>
      <c r="E839" s="242"/>
      <c r="F839" s="242"/>
      <c r="G839" s="243"/>
      <c r="H839" s="242"/>
      <c r="I839" s="264"/>
      <c r="J839" s="251"/>
      <c r="K839" s="251"/>
      <c r="L839" s="242"/>
      <c r="M839" s="242"/>
      <c r="N839" s="242"/>
      <c r="O839" s="242"/>
      <c r="P839" s="242"/>
      <c r="Q839" s="242"/>
      <c r="R839" s="242"/>
      <c r="S839" s="243"/>
      <c r="T839" s="280"/>
      <c r="U839" s="341"/>
      <c r="V839" s="13"/>
      <c r="W839" s="242"/>
      <c r="X839" s="242"/>
      <c r="Y839" s="242"/>
    </row>
    <row r="840">
      <c r="A840" s="340"/>
      <c r="B840" s="242"/>
      <c r="C840" s="242"/>
      <c r="D840" s="242"/>
      <c r="E840" s="242"/>
      <c r="F840" s="242"/>
      <c r="G840" s="243"/>
      <c r="H840" s="242"/>
      <c r="I840" s="264"/>
      <c r="J840" s="251"/>
      <c r="K840" s="251"/>
      <c r="L840" s="242"/>
      <c r="M840" s="242"/>
      <c r="N840" s="242"/>
      <c r="O840" s="242"/>
      <c r="P840" s="242"/>
      <c r="Q840" s="242"/>
      <c r="R840" s="242"/>
      <c r="S840" s="243"/>
      <c r="T840" s="280"/>
      <c r="U840" s="341"/>
      <c r="V840" s="13"/>
      <c r="W840" s="242"/>
      <c r="X840" s="242"/>
      <c r="Y840" s="242"/>
    </row>
    <row r="841">
      <c r="A841" s="340"/>
      <c r="B841" s="242"/>
      <c r="C841" s="242"/>
      <c r="D841" s="242"/>
      <c r="E841" s="242"/>
      <c r="F841" s="242"/>
      <c r="G841" s="243"/>
      <c r="H841" s="242"/>
      <c r="I841" s="264"/>
      <c r="J841" s="251"/>
      <c r="K841" s="251"/>
      <c r="L841" s="242"/>
      <c r="M841" s="242"/>
      <c r="N841" s="242"/>
      <c r="O841" s="242"/>
      <c r="P841" s="242"/>
      <c r="Q841" s="242"/>
      <c r="R841" s="242"/>
      <c r="S841" s="243"/>
      <c r="T841" s="280"/>
      <c r="U841" s="341"/>
      <c r="V841" s="13"/>
      <c r="W841" s="242"/>
      <c r="X841" s="242"/>
      <c r="Y841" s="242"/>
    </row>
    <row r="842">
      <c r="A842" s="340"/>
      <c r="B842" s="242"/>
      <c r="C842" s="242"/>
      <c r="D842" s="242"/>
      <c r="E842" s="242"/>
      <c r="F842" s="242"/>
      <c r="G842" s="243"/>
      <c r="H842" s="242"/>
      <c r="I842" s="264"/>
      <c r="J842" s="251"/>
      <c r="K842" s="251"/>
      <c r="L842" s="242"/>
      <c r="M842" s="242"/>
      <c r="N842" s="242"/>
      <c r="O842" s="242"/>
      <c r="P842" s="242"/>
      <c r="Q842" s="242"/>
      <c r="R842" s="242"/>
      <c r="S842" s="243"/>
      <c r="T842" s="280"/>
      <c r="U842" s="341"/>
      <c r="V842" s="13"/>
      <c r="W842" s="242"/>
      <c r="X842" s="242"/>
      <c r="Y842" s="242"/>
    </row>
    <row r="843">
      <c r="A843" s="340"/>
      <c r="B843" s="242"/>
      <c r="C843" s="242"/>
      <c r="D843" s="242"/>
      <c r="E843" s="242"/>
      <c r="F843" s="242"/>
      <c r="G843" s="243"/>
      <c r="H843" s="242"/>
      <c r="I843" s="264"/>
      <c r="J843" s="251"/>
      <c r="K843" s="251"/>
      <c r="L843" s="242"/>
      <c r="M843" s="242"/>
      <c r="N843" s="242"/>
      <c r="O843" s="242"/>
      <c r="P843" s="242"/>
      <c r="Q843" s="242"/>
      <c r="R843" s="242"/>
      <c r="S843" s="243"/>
      <c r="T843" s="280"/>
      <c r="U843" s="341"/>
      <c r="V843" s="13"/>
      <c r="W843" s="242"/>
      <c r="X843" s="242"/>
      <c r="Y843" s="242"/>
    </row>
    <row r="844">
      <c r="A844" s="340"/>
      <c r="B844" s="242"/>
      <c r="C844" s="242"/>
      <c r="D844" s="242"/>
      <c r="E844" s="242"/>
      <c r="F844" s="242"/>
      <c r="G844" s="243"/>
      <c r="H844" s="242"/>
      <c r="I844" s="264"/>
      <c r="J844" s="251"/>
      <c r="K844" s="251"/>
      <c r="L844" s="242"/>
      <c r="M844" s="242"/>
      <c r="N844" s="242"/>
      <c r="O844" s="242"/>
      <c r="P844" s="242"/>
      <c r="Q844" s="242"/>
      <c r="R844" s="242"/>
      <c r="S844" s="243"/>
      <c r="T844" s="280"/>
      <c r="U844" s="341"/>
      <c r="V844" s="13"/>
      <c r="W844" s="242"/>
      <c r="X844" s="242"/>
      <c r="Y844" s="242"/>
    </row>
    <row r="845">
      <c r="A845" s="340"/>
      <c r="B845" s="242"/>
      <c r="C845" s="242"/>
      <c r="D845" s="242"/>
      <c r="E845" s="242"/>
      <c r="F845" s="242"/>
      <c r="G845" s="243"/>
      <c r="H845" s="242"/>
      <c r="I845" s="264"/>
      <c r="J845" s="251"/>
      <c r="K845" s="251"/>
      <c r="L845" s="242"/>
      <c r="M845" s="242"/>
      <c r="N845" s="242"/>
      <c r="O845" s="242"/>
      <c r="P845" s="242"/>
      <c r="Q845" s="242"/>
      <c r="R845" s="242"/>
      <c r="S845" s="243"/>
      <c r="T845" s="280"/>
      <c r="U845" s="341"/>
      <c r="V845" s="13"/>
      <c r="W845" s="242"/>
      <c r="X845" s="242"/>
      <c r="Y845" s="242"/>
    </row>
    <row r="846">
      <c r="A846" s="340"/>
      <c r="B846" s="242"/>
      <c r="C846" s="242"/>
      <c r="D846" s="242"/>
      <c r="E846" s="242"/>
      <c r="F846" s="242"/>
      <c r="G846" s="243"/>
      <c r="H846" s="242"/>
      <c r="I846" s="264"/>
      <c r="J846" s="251"/>
      <c r="K846" s="251"/>
      <c r="L846" s="242"/>
      <c r="M846" s="242"/>
      <c r="N846" s="242"/>
      <c r="O846" s="242"/>
      <c r="P846" s="242"/>
      <c r="Q846" s="242"/>
      <c r="R846" s="242"/>
      <c r="S846" s="243"/>
      <c r="T846" s="280"/>
      <c r="U846" s="341"/>
      <c r="V846" s="13"/>
      <c r="W846" s="242"/>
      <c r="X846" s="242"/>
      <c r="Y846" s="242"/>
    </row>
    <row r="847">
      <c r="A847" s="340"/>
      <c r="B847" s="242"/>
      <c r="C847" s="242"/>
      <c r="D847" s="242"/>
      <c r="E847" s="242"/>
      <c r="F847" s="242"/>
      <c r="G847" s="243"/>
      <c r="H847" s="242"/>
      <c r="I847" s="264"/>
      <c r="J847" s="251"/>
      <c r="K847" s="251"/>
      <c r="L847" s="242"/>
      <c r="M847" s="242"/>
      <c r="N847" s="242"/>
      <c r="O847" s="242"/>
      <c r="P847" s="242"/>
      <c r="Q847" s="242"/>
      <c r="R847" s="242"/>
      <c r="S847" s="243"/>
      <c r="T847" s="280"/>
      <c r="U847" s="341"/>
      <c r="V847" s="13"/>
      <c r="W847" s="242"/>
      <c r="X847" s="242"/>
      <c r="Y847" s="242"/>
    </row>
    <row r="848">
      <c r="A848" s="340"/>
      <c r="B848" s="242"/>
      <c r="C848" s="242"/>
      <c r="D848" s="242"/>
      <c r="E848" s="242"/>
      <c r="F848" s="242"/>
      <c r="G848" s="243"/>
      <c r="H848" s="242"/>
      <c r="I848" s="264"/>
      <c r="J848" s="251"/>
      <c r="K848" s="251"/>
      <c r="L848" s="242"/>
      <c r="M848" s="242"/>
      <c r="N848" s="242"/>
      <c r="O848" s="242"/>
      <c r="P848" s="242"/>
      <c r="Q848" s="242"/>
      <c r="R848" s="242"/>
      <c r="S848" s="243"/>
      <c r="T848" s="280"/>
      <c r="U848" s="341"/>
      <c r="V848" s="13"/>
      <c r="W848" s="242"/>
      <c r="X848" s="242"/>
      <c r="Y848" s="242"/>
    </row>
    <row r="849">
      <c r="A849" s="340"/>
      <c r="B849" s="242"/>
      <c r="C849" s="242"/>
      <c r="D849" s="242"/>
      <c r="E849" s="242"/>
      <c r="F849" s="242"/>
      <c r="G849" s="243"/>
      <c r="H849" s="242"/>
      <c r="I849" s="264"/>
      <c r="J849" s="251"/>
      <c r="K849" s="251"/>
      <c r="L849" s="242"/>
      <c r="M849" s="242"/>
      <c r="N849" s="242"/>
      <c r="O849" s="242"/>
      <c r="P849" s="242"/>
      <c r="Q849" s="242"/>
      <c r="R849" s="242"/>
      <c r="S849" s="243"/>
      <c r="T849" s="280"/>
      <c r="U849" s="341"/>
      <c r="V849" s="13"/>
      <c r="W849" s="242"/>
      <c r="X849" s="242"/>
      <c r="Y849" s="242"/>
    </row>
    <row r="850">
      <c r="A850" s="340"/>
      <c r="B850" s="242"/>
      <c r="C850" s="242"/>
      <c r="D850" s="242"/>
      <c r="E850" s="242"/>
      <c r="F850" s="242"/>
      <c r="G850" s="243"/>
      <c r="H850" s="242"/>
      <c r="I850" s="264"/>
      <c r="J850" s="251"/>
      <c r="K850" s="251"/>
      <c r="L850" s="242"/>
      <c r="M850" s="242"/>
      <c r="N850" s="242"/>
      <c r="O850" s="242"/>
      <c r="P850" s="242"/>
      <c r="Q850" s="242"/>
      <c r="R850" s="242"/>
      <c r="S850" s="243"/>
      <c r="T850" s="280"/>
      <c r="U850" s="341"/>
      <c r="V850" s="13"/>
      <c r="W850" s="242"/>
      <c r="X850" s="242"/>
      <c r="Y850" s="242"/>
    </row>
    <row r="851">
      <c r="A851" s="340"/>
      <c r="B851" s="242"/>
      <c r="C851" s="242"/>
      <c r="D851" s="242"/>
      <c r="E851" s="242"/>
      <c r="F851" s="242"/>
      <c r="G851" s="243"/>
      <c r="H851" s="242"/>
      <c r="I851" s="264"/>
      <c r="J851" s="251"/>
      <c r="K851" s="251"/>
      <c r="L851" s="242"/>
      <c r="M851" s="242"/>
      <c r="N851" s="242"/>
      <c r="O851" s="242"/>
      <c r="P851" s="242"/>
      <c r="Q851" s="242"/>
      <c r="R851" s="242"/>
      <c r="S851" s="243"/>
      <c r="T851" s="280"/>
      <c r="U851" s="341"/>
      <c r="V851" s="13"/>
      <c r="W851" s="242"/>
      <c r="X851" s="242"/>
      <c r="Y851" s="242"/>
    </row>
    <row r="852">
      <c r="A852" s="340"/>
      <c r="B852" s="242"/>
      <c r="C852" s="242"/>
      <c r="D852" s="242"/>
      <c r="E852" s="242"/>
      <c r="F852" s="242"/>
      <c r="G852" s="243"/>
      <c r="H852" s="242"/>
      <c r="I852" s="264"/>
      <c r="J852" s="251"/>
      <c r="K852" s="251"/>
      <c r="L852" s="242"/>
      <c r="M852" s="242"/>
      <c r="N852" s="242"/>
      <c r="O852" s="242"/>
      <c r="P852" s="242"/>
      <c r="Q852" s="242"/>
      <c r="R852" s="242"/>
      <c r="S852" s="243"/>
      <c r="T852" s="280"/>
      <c r="U852" s="341"/>
      <c r="V852" s="13"/>
      <c r="W852" s="242"/>
      <c r="X852" s="242"/>
      <c r="Y852" s="242"/>
    </row>
    <row r="853">
      <c r="A853" s="340"/>
      <c r="B853" s="242"/>
      <c r="C853" s="242"/>
      <c r="D853" s="242"/>
      <c r="E853" s="242"/>
      <c r="F853" s="242"/>
      <c r="G853" s="243"/>
      <c r="H853" s="242"/>
      <c r="I853" s="264"/>
      <c r="J853" s="251"/>
      <c r="K853" s="251"/>
      <c r="L853" s="242"/>
      <c r="M853" s="242"/>
      <c r="N853" s="242"/>
      <c r="O853" s="242"/>
      <c r="P853" s="242"/>
      <c r="Q853" s="242"/>
      <c r="R853" s="242"/>
      <c r="S853" s="243"/>
      <c r="T853" s="280"/>
      <c r="U853" s="341"/>
      <c r="V853" s="13"/>
      <c r="W853" s="242"/>
      <c r="X853" s="242"/>
      <c r="Y853" s="242"/>
    </row>
    <row r="854">
      <c r="A854" s="340"/>
      <c r="B854" s="242"/>
      <c r="C854" s="242"/>
      <c r="D854" s="242"/>
      <c r="E854" s="242"/>
      <c r="F854" s="242"/>
      <c r="G854" s="243"/>
      <c r="H854" s="242"/>
      <c r="I854" s="264"/>
      <c r="J854" s="251"/>
      <c r="K854" s="251"/>
      <c r="L854" s="242"/>
      <c r="M854" s="242"/>
      <c r="N854" s="242"/>
      <c r="O854" s="242"/>
      <c r="P854" s="242"/>
      <c r="Q854" s="242"/>
      <c r="R854" s="242"/>
      <c r="S854" s="243"/>
      <c r="T854" s="280"/>
      <c r="U854" s="341"/>
      <c r="V854" s="13"/>
      <c r="W854" s="242"/>
      <c r="X854" s="242"/>
      <c r="Y854" s="242"/>
    </row>
    <row r="855">
      <c r="A855" s="340"/>
      <c r="B855" s="242"/>
      <c r="C855" s="242"/>
      <c r="D855" s="242"/>
      <c r="E855" s="242"/>
      <c r="F855" s="242"/>
      <c r="G855" s="243"/>
      <c r="H855" s="242"/>
      <c r="I855" s="264"/>
      <c r="J855" s="251"/>
      <c r="K855" s="251"/>
      <c r="L855" s="242"/>
      <c r="M855" s="242"/>
      <c r="N855" s="242"/>
      <c r="O855" s="242"/>
      <c r="P855" s="242"/>
      <c r="Q855" s="242"/>
      <c r="R855" s="242"/>
      <c r="S855" s="243"/>
      <c r="T855" s="280"/>
      <c r="U855" s="341"/>
      <c r="V855" s="13"/>
      <c r="W855" s="242"/>
      <c r="X855" s="242"/>
      <c r="Y855" s="242"/>
    </row>
    <row r="856">
      <c r="A856" s="340"/>
      <c r="B856" s="242"/>
      <c r="C856" s="242"/>
      <c r="D856" s="242"/>
      <c r="E856" s="242"/>
      <c r="F856" s="242"/>
      <c r="G856" s="243"/>
      <c r="H856" s="242"/>
      <c r="I856" s="264"/>
      <c r="J856" s="251"/>
      <c r="K856" s="251"/>
      <c r="L856" s="242"/>
      <c r="M856" s="242"/>
      <c r="N856" s="242"/>
      <c r="O856" s="242"/>
      <c r="P856" s="242"/>
      <c r="Q856" s="242"/>
      <c r="R856" s="242"/>
      <c r="S856" s="243"/>
      <c r="T856" s="280"/>
      <c r="U856" s="341"/>
      <c r="V856" s="13"/>
      <c r="W856" s="242"/>
      <c r="X856" s="242"/>
      <c r="Y856" s="242"/>
    </row>
    <row r="857">
      <c r="A857" s="340"/>
      <c r="B857" s="242"/>
      <c r="C857" s="242"/>
      <c r="D857" s="242"/>
      <c r="E857" s="242"/>
      <c r="F857" s="242"/>
      <c r="G857" s="243"/>
      <c r="H857" s="242"/>
      <c r="I857" s="264"/>
      <c r="J857" s="251"/>
      <c r="K857" s="251"/>
      <c r="L857" s="242"/>
      <c r="M857" s="242"/>
      <c r="N857" s="242"/>
      <c r="O857" s="242"/>
      <c r="P857" s="242"/>
      <c r="Q857" s="242"/>
      <c r="R857" s="242"/>
      <c r="S857" s="243"/>
      <c r="T857" s="280"/>
      <c r="U857" s="341"/>
      <c r="V857" s="13"/>
      <c r="W857" s="242"/>
      <c r="X857" s="242"/>
      <c r="Y857" s="242"/>
    </row>
    <row r="858">
      <c r="A858" s="340"/>
      <c r="B858" s="242"/>
      <c r="C858" s="242"/>
      <c r="D858" s="242"/>
      <c r="E858" s="242"/>
      <c r="F858" s="242"/>
      <c r="G858" s="243"/>
      <c r="H858" s="242"/>
      <c r="I858" s="264"/>
      <c r="J858" s="251"/>
      <c r="K858" s="251"/>
      <c r="L858" s="242"/>
      <c r="M858" s="242"/>
      <c r="N858" s="242"/>
      <c r="O858" s="242"/>
      <c r="P858" s="242"/>
      <c r="Q858" s="242"/>
      <c r="R858" s="242"/>
      <c r="S858" s="243"/>
      <c r="T858" s="280"/>
      <c r="U858" s="341"/>
      <c r="V858" s="13"/>
      <c r="W858" s="242"/>
      <c r="X858" s="242"/>
      <c r="Y858" s="242"/>
    </row>
    <row r="859">
      <c r="A859" s="340"/>
      <c r="B859" s="242"/>
      <c r="C859" s="242"/>
      <c r="D859" s="242"/>
      <c r="E859" s="242"/>
      <c r="F859" s="242"/>
      <c r="G859" s="243"/>
      <c r="H859" s="242"/>
      <c r="I859" s="264"/>
      <c r="J859" s="251"/>
      <c r="K859" s="251"/>
      <c r="L859" s="242"/>
      <c r="M859" s="242"/>
      <c r="N859" s="242"/>
      <c r="O859" s="242"/>
      <c r="P859" s="242"/>
      <c r="Q859" s="242"/>
      <c r="R859" s="242"/>
      <c r="S859" s="243"/>
      <c r="T859" s="280"/>
      <c r="U859" s="341"/>
      <c r="V859" s="13"/>
      <c r="W859" s="242"/>
      <c r="X859" s="242"/>
      <c r="Y859" s="242"/>
    </row>
    <row r="860">
      <c r="A860" s="340"/>
      <c r="B860" s="242"/>
      <c r="C860" s="242"/>
      <c r="D860" s="242"/>
      <c r="E860" s="242"/>
      <c r="F860" s="242"/>
      <c r="G860" s="243"/>
      <c r="H860" s="242"/>
      <c r="I860" s="264"/>
      <c r="J860" s="251"/>
      <c r="K860" s="251"/>
      <c r="L860" s="242"/>
      <c r="M860" s="242"/>
      <c r="N860" s="242"/>
      <c r="O860" s="242"/>
      <c r="P860" s="242"/>
      <c r="Q860" s="242"/>
      <c r="R860" s="242"/>
      <c r="S860" s="243"/>
      <c r="T860" s="280"/>
      <c r="U860" s="341"/>
      <c r="V860" s="13"/>
      <c r="W860" s="242"/>
      <c r="X860" s="242"/>
      <c r="Y860" s="242"/>
    </row>
    <row r="861">
      <c r="A861" s="340"/>
      <c r="B861" s="242"/>
      <c r="C861" s="242"/>
      <c r="D861" s="242"/>
      <c r="E861" s="242"/>
      <c r="F861" s="242"/>
      <c r="G861" s="243"/>
      <c r="H861" s="242"/>
      <c r="I861" s="264"/>
      <c r="J861" s="251"/>
      <c r="K861" s="251"/>
      <c r="L861" s="242"/>
      <c r="M861" s="242"/>
      <c r="N861" s="242"/>
      <c r="O861" s="242"/>
      <c r="P861" s="242"/>
      <c r="Q861" s="242"/>
      <c r="R861" s="242"/>
      <c r="S861" s="243"/>
      <c r="T861" s="280"/>
      <c r="U861" s="341"/>
      <c r="V861" s="13"/>
      <c r="W861" s="242"/>
      <c r="X861" s="242"/>
      <c r="Y861" s="242"/>
    </row>
    <row r="862">
      <c r="A862" s="340"/>
      <c r="B862" s="242"/>
      <c r="C862" s="242"/>
      <c r="D862" s="242"/>
      <c r="E862" s="242"/>
      <c r="F862" s="242"/>
      <c r="G862" s="243"/>
      <c r="H862" s="242"/>
      <c r="I862" s="264"/>
      <c r="J862" s="251"/>
      <c r="K862" s="251"/>
      <c r="L862" s="242"/>
      <c r="M862" s="242"/>
      <c r="N862" s="242"/>
      <c r="O862" s="242"/>
      <c r="P862" s="242"/>
      <c r="Q862" s="242"/>
      <c r="R862" s="242"/>
      <c r="S862" s="243"/>
      <c r="T862" s="280"/>
      <c r="U862" s="341"/>
      <c r="V862" s="13"/>
      <c r="W862" s="242"/>
      <c r="X862" s="242"/>
      <c r="Y862" s="242"/>
    </row>
    <row r="863">
      <c r="A863" s="340"/>
      <c r="B863" s="242"/>
      <c r="C863" s="242"/>
      <c r="D863" s="242"/>
      <c r="E863" s="242"/>
      <c r="F863" s="242"/>
      <c r="G863" s="243"/>
      <c r="H863" s="242"/>
      <c r="I863" s="264"/>
      <c r="J863" s="251"/>
      <c r="K863" s="251"/>
      <c r="L863" s="242"/>
      <c r="M863" s="242"/>
      <c r="N863" s="242"/>
      <c r="O863" s="242"/>
      <c r="P863" s="242"/>
      <c r="Q863" s="242"/>
      <c r="R863" s="242"/>
      <c r="S863" s="243"/>
      <c r="T863" s="280"/>
      <c r="U863" s="341"/>
      <c r="V863" s="13"/>
      <c r="W863" s="242"/>
      <c r="X863" s="242"/>
      <c r="Y863" s="242"/>
    </row>
    <row r="864">
      <c r="A864" s="340"/>
      <c r="B864" s="242"/>
      <c r="C864" s="242"/>
      <c r="D864" s="242"/>
      <c r="E864" s="242"/>
      <c r="F864" s="242"/>
      <c r="G864" s="243"/>
      <c r="H864" s="242"/>
      <c r="I864" s="264"/>
      <c r="J864" s="251"/>
      <c r="K864" s="251"/>
      <c r="L864" s="242"/>
      <c r="M864" s="242"/>
      <c r="N864" s="242"/>
      <c r="O864" s="242"/>
      <c r="P864" s="242"/>
      <c r="Q864" s="242"/>
      <c r="R864" s="242"/>
      <c r="S864" s="243"/>
      <c r="T864" s="280"/>
      <c r="U864" s="341"/>
      <c r="V864" s="13"/>
      <c r="W864" s="242"/>
      <c r="X864" s="242"/>
      <c r="Y864" s="242"/>
    </row>
    <row r="865">
      <c r="A865" s="340"/>
      <c r="B865" s="242"/>
      <c r="C865" s="242"/>
      <c r="D865" s="242"/>
      <c r="E865" s="242"/>
      <c r="F865" s="242"/>
      <c r="G865" s="243"/>
      <c r="H865" s="242"/>
      <c r="I865" s="264"/>
      <c r="J865" s="251"/>
      <c r="K865" s="251"/>
      <c r="L865" s="242"/>
      <c r="M865" s="242"/>
      <c r="N865" s="242"/>
      <c r="O865" s="242"/>
      <c r="P865" s="242"/>
      <c r="Q865" s="242"/>
      <c r="R865" s="242"/>
      <c r="S865" s="243"/>
      <c r="T865" s="280"/>
      <c r="U865" s="341"/>
      <c r="V865" s="13"/>
      <c r="W865" s="242"/>
      <c r="X865" s="242"/>
      <c r="Y865" s="242"/>
    </row>
    <row r="866">
      <c r="A866" s="340"/>
      <c r="B866" s="242"/>
      <c r="C866" s="242"/>
      <c r="D866" s="242"/>
      <c r="E866" s="242"/>
      <c r="F866" s="242"/>
      <c r="G866" s="243"/>
      <c r="H866" s="242"/>
      <c r="I866" s="264"/>
      <c r="J866" s="251"/>
      <c r="K866" s="251"/>
      <c r="L866" s="242"/>
      <c r="M866" s="242"/>
      <c r="N866" s="242"/>
      <c r="O866" s="242"/>
      <c r="P866" s="242"/>
      <c r="Q866" s="242"/>
      <c r="R866" s="242"/>
      <c r="S866" s="243"/>
      <c r="T866" s="280"/>
      <c r="U866" s="341"/>
      <c r="V866" s="13"/>
      <c r="W866" s="242"/>
      <c r="X866" s="242"/>
      <c r="Y866" s="242"/>
    </row>
    <row r="867">
      <c r="A867" s="340"/>
      <c r="B867" s="242"/>
      <c r="C867" s="242"/>
      <c r="D867" s="242"/>
      <c r="E867" s="242"/>
      <c r="F867" s="242"/>
      <c r="G867" s="243"/>
      <c r="H867" s="242"/>
      <c r="I867" s="264"/>
      <c r="J867" s="251"/>
      <c r="K867" s="251"/>
      <c r="L867" s="242"/>
      <c r="M867" s="242"/>
      <c r="N867" s="242"/>
      <c r="O867" s="242"/>
      <c r="P867" s="242"/>
      <c r="Q867" s="242"/>
      <c r="R867" s="242"/>
      <c r="S867" s="243"/>
      <c r="T867" s="280"/>
      <c r="U867" s="341"/>
      <c r="V867" s="13"/>
      <c r="W867" s="242"/>
      <c r="X867" s="242"/>
      <c r="Y867" s="242"/>
    </row>
    <row r="868">
      <c r="A868" s="340"/>
      <c r="B868" s="242"/>
      <c r="C868" s="242"/>
      <c r="D868" s="242"/>
      <c r="E868" s="242"/>
      <c r="F868" s="242"/>
      <c r="G868" s="243"/>
      <c r="H868" s="242"/>
      <c r="I868" s="264"/>
      <c r="J868" s="251"/>
      <c r="K868" s="251"/>
      <c r="L868" s="242"/>
      <c r="M868" s="242"/>
      <c r="N868" s="242"/>
      <c r="O868" s="242"/>
      <c r="P868" s="242"/>
      <c r="Q868" s="242"/>
      <c r="R868" s="242"/>
      <c r="S868" s="243"/>
      <c r="T868" s="280"/>
      <c r="U868" s="341"/>
      <c r="V868" s="13"/>
      <c r="W868" s="242"/>
      <c r="X868" s="242"/>
      <c r="Y868" s="242"/>
    </row>
    <row r="869">
      <c r="A869" s="340"/>
      <c r="B869" s="242"/>
      <c r="C869" s="242"/>
      <c r="D869" s="242"/>
      <c r="E869" s="242"/>
      <c r="F869" s="242"/>
      <c r="G869" s="243"/>
      <c r="H869" s="242"/>
      <c r="I869" s="264"/>
      <c r="J869" s="251"/>
      <c r="K869" s="251"/>
      <c r="L869" s="242"/>
      <c r="M869" s="242"/>
      <c r="N869" s="242"/>
      <c r="O869" s="242"/>
      <c r="P869" s="242"/>
      <c r="Q869" s="242"/>
      <c r="R869" s="242"/>
      <c r="S869" s="243"/>
      <c r="T869" s="280"/>
      <c r="U869" s="341"/>
      <c r="V869" s="13"/>
      <c r="W869" s="242"/>
      <c r="X869" s="242"/>
      <c r="Y869" s="242"/>
    </row>
    <row r="870">
      <c r="A870" s="340"/>
      <c r="B870" s="242"/>
      <c r="C870" s="242"/>
      <c r="D870" s="242"/>
      <c r="E870" s="242"/>
      <c r="F870" s="242"/>
      <c r="G870" s="243"/>
      <c r="H870" s="242"/>
      <c r="I870" s="264"/>
      <c r="J870" s="251"/>
      <c r="K870" s="251"/>
      <c r="L870" s="242"/>
      <c r="M870" s="242"/>
      <c r="N870" s="242"/>
      <c r="O870" s="242"/>
      <c r="P870" s="242"/>
      <c r="Q870" s="242"/>
      <c r="R870" s="242"/>
      <c r="S870" s="243"/>
      <c r="T870" s="280"/>
      <c r="U870" s="341"/>
      <c r="V870" s="13"/>
      <c r="W870" s="242"/>
      <c r="X870" s="242"/>
      <c r="Y870" s="242"/>
    </row>
    <row r="871">
      <c r="A871" s="340"/>
      <c r="B871" s="242"/>
      <c r="C871" s="242"/>
      <c r="D871" s="242"/>
      <c r="E871" s="242"/>
      <c r="F871" s="242"/>
      <c r="G871" s="243"/>
      <c r="H871" s="242"/>
      <c r="I871" s="264"/>
      <c r="J871" s="251"/>
      <c r="K871" s="251"/>
      <c r="L871" s="242"/>
      <c r="M871" s="242"/>
      <c r="N871" s="242"/>
      <c r="O871" s="242"/>
      <c r="P871" s="242"/>
      <c r="Q871" s="242"/>
      <c r="R871" s="242"/>
      <c r="S871" s="243"/>
      <c r="T871" s="280"/>
      <c r="U871" s="341"/>
      <c r="V871" s="13"/>
      <c r="W871" s="242"/>
      <c r="X871" s="242"/>
      <c r="Y871" s="242"/>
    </row>
    <row r="872">
      <c r="A872" s="340"/>
      <c r="B872" s="242"/>
      <c r="C872" s="242"/>
      <c r="D872" s="242"/>
      <c r="E872" s="242"/>
      <c r="F872" s="242"/>
      <c r="G872" s="243"/>
      <c r="H872" s="242"/>
      <c r="I872" s="264"/>
      <c r="J872" s="251"/>
      <c r="K872" s="251"/>
      <c r="L872" s="242"/>
      <c r="M872" s="242"/>
      <c r="N872" s="242"/>
      <c r="O872" s="242"/>
      <c r="P872" s="242"/>
      <c r="Q872" s="242"/>
      <c r="R872" s="242"/>
      <c r="S872" s="243"/>
      <c r="T872" s="280"/>
      <c r="U872" s="341"/>
      <c r="V872" s="13"/>
      <c r="W872" s="242"/>
      <c r="X872" s="242"/>
      <c r="Y872" s="242"/>
    </row>
    <row r="873">
      <c r="A873" s="340"/>
      <c r="B873" s="242"/>
      <c r="C873" s="242"/>
      <c r="D873" s="242"/>
      <c r="E873" s="242"/>
      <c r="F873" s="242"/>
      <c r="G873" s="243"/>
      <c r="H873" s="242"/>
      <c r="I873" s="264"/>
      <c r="J873" s="251"/>
      <c r="K873" s="251"/>
      <c r="L873" s="242"/>
      <c r="M873" s="242"/>
      <c r="N873" s="242"/>
      <c r="O873" s="242"/>
      <c r="P873" s="242"/>
      <c r="Q873" s="242"/>
      <c r="R873" s="242"/>
      <c r="S873" s="243"/>
      <c r="T873" s="280"/>
      <c r="U873" s="341"/>
      <c r="V873" s="13"/>
      <c r="W873" s="242"/>
      <c r="X873" s="242"/>
      <c r="Y873" s="242"/>
    </row>
    <row r="874">
      <c r="A874" s="340"/>
      <c r="B874" s="242"/>
      <c r="C874" s="242"/>
      <c r="D874" s="242"/>
      <c r="E874" s="242"/>
      <c r="F874" s="242"/>
      <c r="G874" s="243"/>
      <c r="H874" s="242"/>
      <c r="I874" s="264"/>
      <c r="J874" s="251"/>
      <c r="K874" s="251"/>
      <c r="L874" s="242"/>
      <c r="M874" s="242"/>
      <c r="N874" s="242"/>
      <c r="O874" s="242"/>
      <c r="P874" s="242"/>
      <c r="Q874" s="242"/>
      <c r="R874" s="242"/>
      <c r="S874" s="243"/>
      <c r="T874" s="280"/>
      <c r="U874" s="341"/>
      <c r="V874" s="13"/>
      <c r="W874" s="242"/>
      <c r="X874" s="242"/>
      <c r="Y874" s="242"/>
    </row>
    <row r="875">
      <c r="A875" s="340"/>
      <c r="B875" s="242"/>
      <c r="C875" s="242"/>
      <c r="D875" s="242"/>
      <c r="E875" s="242"/>
      <c r="F875" s="242"/>
      <c r="G875" s="243"/>
      <c r="H875" s="242"/>
      <c r="I875" s="264"/>
      <c r="J875" s="251"/>
      <c r="K875" s="251"/>
      <c r="L875" s="242"/>
      <c r="M875" s="242"/>
      <c r="N875" s="242"/>
      <c r="O875" s="242"/>
      <c r="P875" s="242"/>
      <c r="Q875" s="242"/>
      <c r="R875" s="242"/>
      <c r="S875" s="243"/>
      <c r="T875" s="280"/>
      <c r="U875" s="341"/>
      <c r="V875" s="13"/>
      <c r="W875" s="242"/>
      <c r="X875" s="242"/>
      <c r="Y875" s="242"/>
    </row>
    <row r="876">
      <c r="A876" s="340"/>
      <c r="B876" s="242"/>
      <c r="C876" s="242"/>
      <c r="D876" s="242"/>
      <c r="E876" s="242"/>
      <c r="F876" s="242"/>
      <c r="G876" s="243"/>
      <c r="H876" s="242"/>
      <c r="I876" s="264"/>
      <c r="J876" s="251"/>
      <c r="K876" s="251"/>
      <c r="L876" s="242"/>
      <c r="M876" s="242"/>
      <c r="N876" s="242"/>
      <c r="O876" s="242"/>
      <c r="P876" s="242"/>
      <c r="Q876" s="242"/>
      <c r="R876" s="242"/>
      <c r="S876" s="243"/>
      <c r="T876" s="280"/>
      <c r="U876" s="341"/>
      <c r="V876" s="13"/>
      <c r="W876" s="242"/>
      <c r="X876" s="242"/>
      <c r="Y876" s="242"/>
    </row>
    <row r="877">
      <c r="A877" s="340"/>
      <c r="B877" s="242"/>
      <c r="C877" s="242"/>
      <c r="D877" s="242"/>
      <c r="E877" s="242"/>
      <c r="F877" s="242"/>
      <c r="G877" s="243"/>
      <c r="H877" s="242"/>
      <c r="I877" s="264"/>
      <c r="J877" s="251"/>
      <c r="K877" s="251"/>
      <c r="L877" s="242"/>
      <c r="M877" s="242"/>
      <c r="N877" s="242"/>
      <c r="O877" s="242"/>
      <c r="P877" s="242"/>
      <c r="Q877" s="242"/>
      <c r="R877" s="242"/>
      <c r="S877" s="243"/>
      <c r="T877" s="280"/>
      <c r="U877" s="341"/>
      <c r="V877" s="13"/>
      <c r="W877" s="242"/>
      <c r="X877" s="242"/>
      <c r="Y877" s="242"/>
    </row>
    <row r="878">
      <c r="A878" s="340"/>
      <c r="B878" s="242"/>
      <c r="C878" s="242"/>
      <c r="D878" s="242"/>
      <c r="E878" s="242"/>
      <c r="F878" s="242"/>
      <c r="G878" s="243"/>
      <c r="H878" s="242"/>
      <c r="I878" s="264"/>
      <c r="J878" s="251"/>
      <c r="K878" s="251"/>
      <c r="L878" s="242"/>
      <c r="M878" s="242"/>
      <c r="N878" s="242"/>
      <c r="O878" s="242"/>
      <c r="P878" s="242"/>
      <c r="Q878" s="242"/>
      <c r="R878" s="242"/>
      <c r="S878" s="243"/>
      <c r="T878" s="280"/>
      <c r="U878" s="341"/>
      <c r="V878" s="13"/>
      <c r="W878" s="242"/>
      <c r="X878" s="242"/>
      <c r="Y878" s="242"/>
    </row>
    <row r="879">
      <c r="A879" s="340"/>
      <c r="B879" s="242"/>
      <c r="C879" s="242"/>
      <c r="D879" s="242"/>
      <c r="E879" s="242"/>
      <c r="F879" s="242"/>
      <c r="G879" s="243"/>
      <c r="H879" s="242"/>
      <c r="I879" s="264"/>
      <c r="J879" s="251"/>
      <c r="K879" s="251"/>
      <c r="L879" s="242"/>
      <c r="M879" s="242"/>
      <c r="N879" s="242"/>
      <c r="O879" s="242"/>
      <c r="P879" s="242"/>
      <c r="Q879" s="242"/>
      <c r="R879" s="242"/>
      <c r="S879" s="243"/>
      <c r="T879" s="280"/>
      <c r="U879" s="341"/>
      <c r="V879" s="13"/>
      <c r="W879" s="242"/>
      <c r="X879" s="242"/>
      <c r="Y879" s="242"/>
    </row>
    <row r="880">
      <c r="A880" s="340"/>
      <c r="B880" s="242"/>
      <c r="C880" s="242"/>
      <c r="D880" s="242"/>
      <c r="E880" s="242"/>
      <c r="F880" s="242"/>
      <c r="G880" s="243"/>
      <c r="H880" s="242"/>
      <c r="I880" s="264"/>
      <c r="J880" s="251"/>
      <c r="K880" s="251"/>
      <c r="L880" s="242"/>
      <c r="M880" s="242"/>
      <c r="N880" s="242"/>
      <c r="O880" s="242"/>
      <c r="P880" s="242"/>
      <c r="Q880" s="242"/>
      <c r="R880" s="242"/>
      <c r="S880" s="243"/>
      <c r="T880" s="280"/>
      <c r="U880" s="341"/>
      <c r="V880" s="13"/>
      <c r="W880" s="242"/>
      <c r="X880" s="242"/>
      <c r="Y880" s="242"/>
    </row>
    <row r="881">
      <c r="A881" s="340"/>
      <c r="B881" s="242"/>
      <c r="C881" s="242"/>
      <c r="D881" s="242"/>
      <c r="E881" s="242"/>
      <c r="F881" s="242"/>
      <c r="G881" s="243"/>
      <c r="H881" s="242"/>
      <c r="I881" s="264"/>
      <c r="J881" s="251"/>
      <c r="K881" s="251"/>
      <c r="L881" s="242"/>
      <c r="M881" s="242"/>
      <c r="N881" s="242"/>
      <c r="O881" s="242"/>
      <c r="P881" s="242"/>
      <c r="Q881" s="242"/>
      <c r="R881" s="242"/>
      <c r="S881" s="243"/>
      <c r="T881" s="280"/>
      <c r="U881" s="341"/>
      <c r="V881" s="13"/>
      <c r="W881" s="242"/>
      <c r="X881" s="242"/>
      <c r="Y881" s="242"/>
    </row>
    <row r="882">
      <c r="A882" s="340"/>
      <c r="B882" s="242"/>
      <c r="C882" s="242"/>
      <c r="D882" s="242"/>
      <c r="E882" s="242"/>
      <c r="F882" s="242"/>
      <c r="G882" s="243"/>
      <c r="H882" s="242"/>
      <c r="I882" s="264"/>
      <c r="J882" s="251"/>
      <c r="K882" s="251"/>
      <c r="L882" s="242"/>
      <c r="M882" s="242"/>
      <c r="N882" s="242"/>
      <c r="O882" s="242"/>
      <c r="P882" s="242"/>
      <c r="Q882" s="242"/>
      <c r="R882" s="242"/>
      <c r="S882" s="243"/>
      <c r="T882" s="280"/>
      <c r="U882" s="341"/>
      <c r="V882" s="13"/>
      <c r="W882" s="242"/>
      <c r="X882" s="242"/>
      <c r="Y882" s="242"/>
    </row>
    <row r="883">
      <c r="A883" s="340"/>
      <c r="B883" s="242"/>
      <c r="C883" s="242"/>
      <c r="D883" s="242"/>
      <c r="E883" s="242"/>
      <c r="F883" s="242"/>
      <c r="G883" s="243"/>
      <c r="H883" s="242"/>
      <c r="I883" s="264"/>
      <c r="J883" s="251"/>
      <c r="K883" s="251"/>
      <c r="L883" s="242"/>
      <c r="M883" s="242"/>
      <c r="N883" s="242"/>
      <c r="O883" s="242"/>
      <c r="P883" s="242"/>
      <c r="Q883" s="242"/>
      <c r="R883" s="242"/>
      <c r="S883" s="243"/>
      <c r="T883" s="280"/>
      <c r="U883" s="341"/>
      <c r="V883" s="13"/>
      <c r="W883" s="242"/>
      <c r="X883" s="242"/>
      <c r="Y883" s="242"/>
    </row>
    <row r="884">
      <c r="A884" s="340"/>
      <c r="B884" s="242"/>
      <c r="C884" s="242"/>
      <c r="D884" s="242"/>
      <c r="E884" s="242"/>
      <c r="F884" s="242"/>
      <c r="G884" s="243"/>
      <c r="H884" s="242"/>
      <c r="I884" s="264"/>
      <c r="J884" s="251"/>
      <c r="K884" s="251"/>
      <c r="L884" s="242"/>
      <c r="M884" s="242"/>
      <c r="N884" s="242"/>
      <c r="O884" s="242"/>
      <c r="P884" s="242"/>
      <c r="Q884" s="242"/>
      <c r="R884" s="242"/>
      <c r="S884" s="243"/>
      <c r="T884" s="280"/>
      <c r="U884" s="341"/>
      <c r="V884" s="13"/>
      <c r="W884" s="242"/>
      <c r="X884" s="242"/>
      <c r="Y884" s="242"/>
    </row>
    <row r="885">
      <c r="A885" s="340"/>
      <c r="B885" s="242"/>
      <c r="C885" s="242"/>
      <c r="D885" s="242"/>
      <c r="E885" s="242"/>
      <c r="F885" s="242"/>
      <c r="G885" s="243"/>
      <c r="H885" s="242"/>
      <c r="I885" s="264"/>
      <c r="J885" s="251"/>
      <c r="K885" s="251"/>
      <c r="L885" s="242"/>
      <c r="M885" s="242"/>
      <c r="N885" s="242"/>
      <c r="O885" s="242"/>
      <c r="P885" s="242"/>
      <c r="Q885" s="242"/>
      <c r="R885" s="242"/>
      <c r="S885" s="243"/>
      <c r="T885" s="280"/>
      <c r="U885" s="341"/>
      <c r="V885" s="13"/>
      <c r="W885" s="242"/>
      <c r="X885" s="242"/>
      <c r="Y885" s="242"/>
    </row>
    <row r="886">
      <c r="A886" s="340"/>
      <c r="B886" s="242"/>
      <c r="C886" s="242"/>
      <c r="D886" s="242"/>
      <c r="E886" s="242"/>
      <c r="F886" s="242"/>
      <c r="G886" s="243"/>
      <c r="H886" s="242"/>
      <c r="I886" s="264"/>
      <c r="J886" s="251"/>
      <c r="K886" s="251"/>
      <c r="L886" s="242"/>
      <c r="M886" s="242"/>
      <c r="N886" s="242"/>
      <c r="O886" s="242"/>
      <c r="P886" s="242"/>
      <c r="Q886" s="242"/>
      <c r="R886" s="242"/>
      <c r="S886" s="243"/>
      <c r="T886" s="280"/>
      <c r="U886" s="341"/>
      <c r="V886" s="13"/>
      <c r="W886" s="242"/>
      <c r="X886" s="242"/>
      <c r="Y886" s="242"/>
    </row>
    <row r="887">
      <c r="A887" s="340"/>
      <c r="B887" s="242"/>
      <c r="C887" s="242"/>
      <c r="D887" s="242"/>
      <c r="E887" s="242"/>
      <c r="F887" s="242"/>
      <c r="G887" s="243"/>
      <c r="H887" s="242"/>
      <c r="I887" s="264"/>
      <c r="J887" s="251"/>
      <c r="K887" s="251"/>
      <c r="L887" s="242"/>
      <c r="M887" s="242"/>
      <c r="N887" s="242"/>
      <c r="O887" s="242"/>
      <c r="P887" s="242"/>
      <c r="Q887" s="242"/>
      <c r="R887" s="242"/>
      <c r="S887" s="243"/>
      <c r="T887" s="280"/>
      <c r="U887" s="341"/>
      <c r="V887" s="13"/>
      <c r="W887" s="242"/>
      <c r="X887" s="242"/>
      <c r="Y887" s="242"/>
    </row>
    <row r="888">
      <c r="A888" s="340"/>
      <c r="B888" s="242"/>
      <c r="C888" s="242"/>
      <c r="D888" s="242"/>
      <c r="E888" s="242"/>
      <c r="F888" s="242"/>
      <c r="G888" s="243"/>
      <c r="H888" s="242"/>
      <c r="I888" s="264"/>
      <c r="J888" s="251"/>
      <c r="K888" s="251"/>
      <c r="L888" s="242"/>
      <c r="M888" s="242"/>
      <c r="N888" s="242"/>
      <c r="O888" s="242"/>
      <c r="P888" s="242"/>
      <c r="Q888" s="242"/>
      <c r="R888" s="242"/>
      <c r="S888" s="243"/>
      <c r="T888" s="280"/>
      <c r="U888" s="341"/>
      <c r="V888" s="13"/>
      <c r="W888" s="242"/>
      <c r="X888" s="242"/>
      <c r="Y888" s="242"/>
    </row>
    <row r="889">
      <c r="A889" s="340"/>
      <c r="B889" s="242"/>
      <c r="C889" s="242"/>
      <c r="D889" s="242"/>
      <c r="E889" s="242"/>
      <c r="F889" s="242"/>
      <c r="G889" s="243"/>
      <c r="H889" s="242"/>
      <c r="I889" s="264"/>
      <c r="J889" s="251"/>
      <c r="K889" s="251"/>
      <c r="L889" s="242"/>
      <c r="M889" s="242"/>
      <c r="N889" s="242"/>
      <c r="O889" s="242"/>
      <c r="P889" s="242"/>
      <c r="Q889" s="242"/>
      <c r="R889" s="242"/>
      <c r="S889" s="243"/>
      <c r="T889" s="280"/>
      <c r="U889" s="341"/>
      <c r="V889" s="13"/>
      <c r="W889" s="242"/>
      <c r="X889" s="242"/>
      <c r="Y889" s="242"/>
    </row>
    <row r="890">
      <c r="A890" s="340"/>
      <c r="B890" s="242"/>
      <c r="C890" s="242"/>
      <c r="D890" s="242"/>
      <c r="E890" s="242"/>
      <c r="F890" s="242"/>
      <c r="G890" s="243"/>
      <c r="H890" s="242"/>
      <c r="I890" s="264"/>
      <c r="J890" s="251"/>
      <c r="K890" s="251"/>
      <c r="L890" s="242"/>
      <c r="M890" s="242"/>
      <c r="N890" s="242"/>
      <c r="O890" s="242"/>
      <c r="P890" s="242"/>
      <c r="Q890" s="242"/>
      <c r="R890" s="242"/>
      <c r="S890" s="243"/>
      <c r="T890" s="280"/>
      <c r="U890" s="341"/>
      <c r="V890" s="13"/>
      <c r="W890" s="242"/>
      <c r="X890" s="242"/>
      <c r="Y890" s="242"/>
    </row>
    <row r="891">
      <c r="A891" s="340"/>
      <c r="B891" s="242"/>
      <c r="C891" s="242"/>
      <c r="D891" s="242"/>
      <c r="E891" s="242"/>
      <c r="F891" s="242"/>
      <c r="G891" s="243"/>
      <c r="H891" s="242"/>
      <c r="I891" s="264"/>
      <c r="J891" s="251"/>
      <c r="K891" s="251"/>
      <c r="L891" s="242"/>
      <c r="M891" s="242"/>
      <c r="N891" s="242"/>
      <c r="O891" s="242"/>
      <c r="P891" s="242"/>
      <c r="Q891" s="242"/>
      <c r="R891" s="242"/>
      <c r="S891" s="243"/>
      <c r="T891" s="280"/>
      <c r="U891" s="341"/>
      <c r="V891" s="13"/>
      <c r="W891" s="242"/>
      <c r="X891" s="242"/>
      <c r="Y891" s="242"/>
    </row>
    <row r="892">
      <c r="A892" s="340"/>
      <c r="B892" s="242"/>
      <c r="C892" s="242"/>
      <c r="D892" s="242"/>
      <c r="E892" s="242"/>
      <c r="F892" s="242"/>
      <c r="G892" s="243"/>
      <c r="H892" s="242"/>
      <c r="I892" s="264"/>
      <c r="J892" s="251"/>
      <c r="K892" s="251"/>
      <c r="L892" s="242"/>
      <c r="M892" s="242"/>
      <c r="N892" s="242"/>
      <c r="O892" s="242"/>
      <c r="P892" s="242"/>
      <c r="Q892" s="242"/>
      <c r="R892" s="242"/>
      <c r="S892" s="243"/>
      <c r="T892" s="280"/>
      <c r="U892" s="341"/>
      <c r="V892" s="13"/>
      <c r="W892" s="242"/>
      <c r="X892" s="242"/>
      <c r="Y892" s="242"/>
    </row>
    <row r="893">
      <c r="A893" s="340"/>
      <c r="B893" s="242"/>
      <c r="C893" s="242"/>
      <c r="D893" s="242"/>
      <c r="E893" s="242"/>
      <c r="F893" s="242"/>
      <c r="G893" s="243"/>
      <c r="H893" s="242"/>
      <c r="I893" s="264"/>
      <c r="J893" s="251"/>
      <c r="K893" s="251"/>
      <c r="L893" s="242"/>
      <c r="M893" s="242"/>
      <c r="N893" s="242"/>
      <c r="O893" s="242"/>
      <c r="P893" s="242"/>
      <c r="Q893" s="242"/>
      <c r="R893" s="242"/>
      <c r="S893" s="243"/>
      <c r="T893" s="280"/>
      <c r="U893" s="341"/>
      <c r="V893" s="13"/>
      <c r="W893" s="242"/>
      <c r="X893" s="242"/>
      <c r="Y893" s="242"/>
    </row>
    <row r="894">
      <c r="A894" s="340"/>
      <c r="B894" s="242"/>
      <c r="C894" s="242"/>
      <c r="D894" s="242"/>
      <c r="E894" s="242"/>
      <c r="F894" s="242"/>
      <c r="G894" s="243"/>
      <c r="H894" s="242"/>
      <c r="I894" s="264"/>
      <c r="J894" s="251"/>
      <c r="K894" s="251"/>
      <c r="L894" s="242"/>
      <c r="M894" s="242"/>
      <c r="N894" s="242"/>
      <c r="O894" s="242"/>
      <c r="P894" s="242"/>
      <c r="Q894" s="242"/>
      <c r="R894" s="242"/>
      <c r="S894" s="243"/>
      <c r="T894" s="280"/>
      <c r="U894" s="341"/>
      <c r="V894" s="13"/>
      <c r="W894" s="242"/>
      <c r="X894" s="242"/>
      <c r="Y894" s="242"/>
    </row>
    <row r="895">
      <c r="A895" s="340"/>
      <c r="B895" s="242"/>
      <c r="C895" s="242"/>
      <c r="D895" s="242"/>
      <c r="E895" s="242"/>
      <c r="F895" s="242"/>
      <c r="G895" s="243"/>
      <c r="H895" s="242"/>
      <c r="I895" s="264"/>
      <c r="J895" s="251"/>
      <c r="K895" s="251"/>
      <c r="L895" s="242"/>
      <c r="M895" s="242"/>
      <c r="N895" s="242"/>
      <c r="O895" s="242"/>
      <c r="P895" s="242"/>
      <c r="Q895" s="242"/>
      <c r="R895" s="242"/>
      <c r="S895" s="243"/>
      <c r="T895" s="280"/>
      <c r="U895" s="341"/>
      <c r="V895" s="13"/>
      <c r="W895" s="242"/>
      <c r="X895" s="242"/>
      <c r="Y895" s="242"/>
    </row>
    <row r="896">
      <c r="A896" s="340"/>
      <c r="B896" s="242"/>
      <c r="C896" s="242"/>
      <c r="D896" s="242"/>
      <c r="E896" s="242"/>
      <c r="F896" s="242"/>
      <c r="G896" s="243"/>
      <c r="H896" s="242"/>
      <c r="I896" s="264"/>
      <c r="J896" s="251"/>
      <c r="K896" s="251"/>
      <c r="L896" s="242"/>
      <c r="M896" s="242"/>
      <c r="N896" s="242"/>
      <c r="O896" s="242"/>
      <c r="P896" s="242"/>
      <c r="Q896" s="242"/>
      <c r="R896" s="242"/>
      <c r="S896" s="243"/>
      <c r="T896" s="280"/>
      <c r="U896" s="341"/>
      <c r="V896" s="13"/>
      <c r="W896" s="242"/>
      <c r="X896" s="242"/>
      <c r="Y896" s="242"/>
    </row>
    <row r="897">
      <c r="A897" s="340"/>
      <c r="B897" s="242"/>
      <c r="C897" s="242"/>
      <c r="D897" s="242"/>
      <c r="E897" s="242"/>
      <c r="F897" s="242"/>
      <c r="G897" s="243"/>
      <c r="H897" s="242"/>
      <c r="I897" s="264"/>
      <c r="J897" s="251"/>
      <c r="K897" s="251"/>
      <c r="L897" s="242"/>
      <c r="M897" s="242"/>
      <c r="N897" s="242"/>
      <c r="O897" s="242"/>
      <c r="P897" s="242"/>
      <c r="Q897" s="242"/>
      <c r="R897" s="242"/>
      <c r="S897" s="243"/>
      <c r="T897" s="280"/>
      <c r="U897" s="341"/>
      <c r="V897" s="13"/>
      <c r="W897" s="242"/>
      <c r="X897" s="242"/>
      <c r="Y897" s="242"/>
    </row>
    <row r="898">
      <c r="A898" s="340"/>
      <c r="B898" s="242"/>
      <c r="C898" s="242"/>
      <c r="D898" s="242"/>
      <c r="E898" s="242"/>
      <c r="F898" s="242"/>
      <c r="G898" s="243"/>
      <c r="H898" s="242"/>
      <c r="I898" s="264"/>
      <c r="J898" s="251"/>
      <c r="K898" s="251"/>
      <c r="L898" s="242"/>
      <c r="M898" s="242"/>
      <c r="N898" s="242"/>
      <c r="O898" s="242"/>
      <c r="P898" s="242"/>
      <c r="Q898" s="242"/>
      <c r="R898" s="242"/>
      <c r="S898" s="243"/>
      <c r="T898" s="280"/>
      <c r="U898" s="341"/>
      <c r="V898" s="13"/>
      <c r="W898" s="242"/>
      <c r="X898" s="242"/>
      <c r="Y898" s="242"/>
    </row>
    <row r="899">
      <c r="A899" s="340"/>
      <c r="B899" s="242"/>
      <c r="C899" s="242"/>
      <c r="D899" s="242"/>
      <c r="E899" s="242"/>
      <c r="F899" s="242"/>
      <c r="G899" s="243"/>
      <c r="H899" s="242"/>
      <c r="I899" s="264"/>
      <c r="J899" s="251"/>
      <c r="K899" s="251"/>
      <c r="L899" s="242"/>
      <c r="M899" s="242"/>
      <c r="N899" s="242"/>
      <c r="O899" s="242"/>
      <c r="P899" s="242"/>
      <c r="Q899" s="242"/>
      <c r="R899" s="242"/>
      <c r="S899" s="243"/>
      <c r="T899" s="280"/>
      <c r="U899" s="341"/>
      <c r="V899" s="13"/>
      <c r="W899" s="242"/>
      <c r="X899" s="242"/>
      <c r="Y899" s="242"/>
    </row>
    <row r="900">
      <c r="A900" s="340"/>
      <c r="B900" s="242"/>
      <c r="C900" s="242"/>
      <c r="D900" s="242"/>
      <c r="E900" s="242"/>
      <c r="F900" s="242"/>
      <c r="G900" s="243"/>
      <c r="H900" s="242"/>
      <c r="I900" s="264"/>
      <c r="J900" s="251"/>
      <c r="K900" s="251"/>
      <c r="L900" s="242"/>
      <c r="M900" s="242"/>
      <c r="N900" s="242"/>
      <c r="O900" s="242"/>
      <c r="P900" s="242"/>
      <c r="Q900" s="242"/>
      <c r="R900" s="242"/>
      <c r="S900" s="243"/>
      <c r="T900" s="280"/>
      <c r="U900" s="341"/>
      <c r="V900" s="13"/>
      <c r="W900" s="242"/>
      <c r="X900" s="242"/>
      <c r="Y900" s="242"/>
    </row>
    <row r="901">
      <c r="A901" s="340"/>
      <c r="B901" s="242"/>
      <c r="C901" s="242"/>
      <c r="D901" s="242"/>
      <c r="E901" s="242"/>
      <c r="F901" s="242"/>
      <c r="G901" s="243"/>
      <c r="H901" s="242"/>
      <c r="I901" s="264"/>
      <c r="J901" s="251"/>
      <c r="K901" s="251"/>
      <c r="L901" s="242"/>
      <c r="M901" s="242"/>
      <c r="N901" s="242"/>
      <c r="O901" s="242"/>
      <c r="P901" s="242"/>
      <c r="Q901" s="242"/>
      <c r="R901" s="242"/>
      <c r="S901" s="243"/>
      <c r="T901" s="280"/>
      <c r="U901" s="341"/>
      <c r="V901" s="13"/>
      <c r="W901" s="242"/>
      <c r="X901" s="242"/>
      <c r="Y901" s="242"/>
    </row>
    <row r="902">
      <c r="A902" s="340"/>
      <c r="B902" s="242"/>
      <c r="C902" s="242"/>
      <c r="D902" s="242"/>
      <c r="E902" s="242"/>
      <c r="F902" s="242"/>
      <c r="G902" s="243"/>
      <c r="H902" s="242"/>
      <c r="I902" s="264"/>
      <c r="J902" s="251"/>
      <c r="K902" s="251"/>
      <c r="L902" s="242"/>
      <c r="M902" s="242"/>
      <c r="N902" s="242"/>
      <c r="O902" s="242"/>
      <c r="P902" s="242"/>
      <c r="Q902" s="242"/>
      <c r="R902" s="242"/>
      <c r="S902" s="243"/>
      <c r="T902" s="280"/>
      <c r="U902" s="341"/>
      <c r="V902" s="13"/>
      <c r="W902" s="242"/>
      <c r="X902" s="242"/>
      <c r="Y902" s="242"/>
    </row>
    <row r="903">
      <c r="A903" s="340"/>
      <c r="B903" s="242"/>
      <c r="C903" s="242"/>
      <c r="D903" s="242"/>
      <c r="E903" s="242"/>
      <c r="F903" s="242"/>
      <c r="G903" s="243"/>
      <c r="H903" s="242"/>
      <c r="I903" s="264"/>
      <c r="J903" s="251"/>
      <c r="K903" s="251"/>
      <c r="L903" s="242"/>
      <c r="M903" s="242"/>
      <c r="N903" s="242"/>
      <c r="O903" s="242"/>
      <c r="P903" s="242"/>
      <c r="Q903" s="242"/>
      <c r="R903" s="242"/>
      <c r="S903" s="243"/>
      <c r="T903" s="280"/>
      <c r="U903" s="341"/>
      <c r="V903" s="13"/>
      <c r="W903" s="242"/>
      <c r="X903" s="242"/>
      <c r="Y903" s="242"/>
    </row>
    <row r="904">
      <c r="A904" s="340"/>
      <c r="B904" s="242"/>
      <c r="C904" s="242"/>
      <c r="D904" s="242"/>
      <c r="E904" s="242"/>
      <c r="F904" s="242"/>
      <c r="G904" s="243"/>
      <c r="H904" s="242"/>
      <c r="I904" s="264"/>
      <c r="J904" s="251"/>
      <c r="K904" s="251"/>
      <c r="L904" s="242"/>
      <c r="M904" s="242"/>
      <c r="N904" s="242"/>
      <c r="O904" s="242"/>
      <c r="P904" s="242"/>
      <c r="Q904" s="242"/>
      <c r="R904" s="242"/>
      <c r="S904" s="243"/>
      <c r="T904" s="280"/>
      <c r="U904" s="341"/>
      <c r="V904" s="13"/>
      <c r="W904" s="242"/>
      <c r="X904" s="242"/>
      <c r="Y904" s="242"/>
    </row>
    <row r="905">
      <c r="A905" s="340"/>
      <c r="B905" s="242"/>
      <c r="C905" s="242"/>
      <c r="D905" s="242"/>
      <c r="E905" s="242"/>
      <c r="F905" s="242"/>
      <c r="G905" s="243"/>
      <c r="H905" s="242"/>
      <c r="I905" s="264"/>
      <c r="J905" s="251"/>
      <c r="K905" s="251"/>
      <c r="L905" s="242"/>
      <c r="M905" s="242"/>
      <c r="N905" s="242"/>
      <c r="O905" s="242"/>
      <c r="P905" s="242"/>
      <c r="Q905" s="242"/>
      <c r="R905" s="242"/>
      <c r="S905" s="243"/>
      <c r="T905" s="280"/>
      <c r="U905" s="341"/>
      <c r="V905" s="13"/>
      <c r="W905" s="242"/>
      <c r="X905" s="242"/>
      <c r="Y905" s="242"/>
    </row>
    <row r="906">
      <c r="A906" s="340"/>
      <c r="B906" s="242"/>
      <c r="C906" s="242"/>
      <c r="D906" s="242"/>
      <c r="E906" s="242"/>
      <c r="F906" s="242"/>
      <c r="G906" s="243"/>
      <c r="H906" s="242"/>
      <c r="I906" s="264"/>
      <c r="J906" s="251"/>
      <c r="K906" s="251"/>
      <c r="L906" s="242"/>
      <c r="M906" s="242"/>
      <c r="N906" s="242"/>
      <c r="O906" s="242"/>
      <c r="P906" s="242"/>
      <c r="Q906" s="242"/>
      <c r="R906" s="242"/>
      <c r="S906" s="243"/>
      <c r="T906" s="280"/>
      <c r="U906" s="341"/>
      <c r="V906" s="13"/>
      <c r="W906" s="242"/>
      <c r="X906" s="242"/>
      <c r="Y906" s="242"/>
    </row>
    <row r="907">
      <c r="A907" s="340"/>
      <c r="B907" s="242"/>
      <c r="C907" s="242"/>
      <c r="D907" s="242"/>
      <c r="E907" s="242"/>
      <c r="F907" s="242"/>
      <c r="G907" s="243"/>
      <c r="H907" s="242"/>
      <c r="I907" s="264"/>
      <c r="J907" s="251"/>
      <c r="K907" s="251"/>
      <c r="L907" s="242"/>
      <c r="M907" s="242"/>
      <c r="N907" s="242"/>
      <c r="O907" s="242"/>
      <c r="P907" s="242"/>
      <c r="Q907" s="242"/>
      <c r="R907" s="242"/>
      <c r="S907" s="243"/>
      <c r="T907" s="280"/>
      <c r="U907" s="341"/>
      <c r="V907" s="13"/>
      <c r="W907" s="242"/>
      <c r="X907" s="242"/>
      <c r="Y907" s="242"/>
    </row>
    <row r="908">
      <c r="A908" s="340"/>
      <c r="B908" s="242"/>
      <c r="C908" s="242"/>
      <c r="D908" s="242"/>
      <c r="E908" s="242"/>
      <c r="F908" s="242"/>
      <c r="G908" s="243"/>
      <c r="H908" s="242"/>
      <c r="I908" s="264"/>
      <c r="J908" s="251"/>
      <c r="K908" s="251"/>
      <c r="L908" s="242"/>
      <c r="M908" s="242"/>
      <c r="N908" s="242"/>
      <c r="O908" s="242"/>
      <c r="P908" s="242"/>
      <c r="Q908" s="242"/>
      <c r="R908" s="242"/>
      <c r="S908" s="243"/>
      <c r="T908" s="280"/>
      <c r="U908" s="341"/>
      <c r="V908" s="13"/>
      <c r="W908" s="242"/>
      <c r="X908" s="242"/>
      <c r="Y908" s="242"/>
    </row>
    <row r="909">
      <c r="A909" s="340"/>
      <c r="B909" s="242"/>
      <c r="C909" s="242"/>
      <c r="D909" s="242"/>
      <c r="E909" s="242"/>
      <c r="F909" s="242"/>
      <c r="G909" s="243"/>
      <c r="H909" s="242"/>
      <c r="I909" s="264"/>
      <c r="J909" s="251"/>
      <c r="K909" s="251"/>
      <c r="L909" s="242"/>
      <c r="M909" s="242"/>
      <c r="N909" s="242"/>
      <c r="O909" s="242"/>
      <c r="P909" s="242"/>
      <c r="Q909" s="242"/>
      <c r="R909" s="242"/>
      <c r="S909" s="243"/>
      <c r="T909" s="280"/>
      <c r="U909" s="341"/>
      <c r="V909" s="13"/>
      <c r="W909" s="242"/>
      <c r="X909" s="242"/>
      <c r="Y909" s="242"/>
    </row>
    <row r="910">
      <c r="A910" s="340"/>
      <c r="B910" s="242"/>
      <c r="C910" s="242"/>
      <c r="D910" s="242"/>
      <c r="E910" s="242"/>
      <c r="F910" s="242"/>
      <c r="G910" s="243"/>
      <c r="H910" s="242"/>
      <c r="I910" s="264"/>
      <c r="J910" s="251"/>
      <c r="K910" s="251"/>
      <c r="L910" s="242"/>
      <c r="M910" s="242"/>
      <c r="N910" s="242"/>
      <c r="O910" s="242"/>
      <c r="P910" s="242"/>
      <c r="Q910" s="242"/>
      <c r="R910" s="242"/>
      <c r="S910" s="243"/>
      <c r="T910" s="280"/>
      <c r="U910" s="341"/>
      <c r="V910" s="13"/>
      <c r="W910" s="242"/>
      <c r="X910" s="242"/>
      <c r="Y910" s="242"/>
    </row>
    <row r="911">
      <c r="A911" s="340"/>
      <c r="B911" s="242"/>
      <c r="C911" s="242"/>
      <c r="D911" s="242"/>
      <c r="E911" s="242"/>
      <c r="F911" s="242"/>
      <c r="G911" s="243"/>
      <c r="H911" s="242"/>
      <c r="I911" s="264"/>
      <c r="J911" s="251"/>
      <c r="K911" s="251"/>
      <c r="L911" s="242"/>
      <c r="M911" s="242"/>
      <c r="N911" s="242"/>
      <c r="O911" s="242"/>
      <c r="P911" s="242"/>
      <c r="Q911" s="242"/>
      <c r="R911" s="242"/>
      <c r="S911" s="243"/>
      <c r="T911" s="280"/>
      <c r="U911" s="341"/>
      <c r="V911" s="13"/>
      <c r="W911" s="242"/>
      <c r="X911" s="242"/>
      <c r="Y911" s="242"/>
    </row>
    <row r="912">
      <c r="A912" s="340"/>
      <c r="B912" s="242"/>
      <c r="C912" s="242"/>
      <c r="D912" s="242"/>
      <c r="E912" s="242"/>
      <c r="F912" s="242"/>
      <c r="G912" s="243"/>
      <c r="H912" s="242"/>
      <c r="I912" s="264"/>
      <c r="J912" s="251"/>
      <c r="K912" s="251"/>
      <c r="L912" s="242"/>
      <c r="M912" s="242"/>
      <c r="N912" s="242"/>
      <c r="O912" s="242"/>
      <c r="P912" s="242"/>
      <c r="Q912" s="242"/>
      <c r="R912" s="242"/>
      <c r="S912" s="243"/>
      <c r="T912" s="280"/>
      <c r="U912" s="341"/>
      <c r="V912" s="13"/>
      <c r="W912" s="242"/>
      <c r="X912" s="242"/>
      <c r="Y912" s="242"/>
    </row>
    <row r="913">
      <c r="A913" s="340"/>
      <c r="B913" s="242"/>
      <c r="C913" s="242"/>
      <c r="D913" s="242"/>
      <c r="E913" s="242"/>
      <c r="F913" s="242"/>
      <c r="G913" s="243"/>
      <c r="H913" s="242"/>
      <c r="I913" s="264"/>
      <c r="J913" s="251"/>
      <c r="K913" s="251"/>
      <c r="L913" s="242"/>
      <c r="M913" s="242"/>
      <c r="N913" s="242"/>
      <c r="O913" s="242"/>
      <c r="P913" s="242"/>
      <c r="Q913" s="242"/>
      <c r="R913" s="242"/>
      <c r="S913" s="243"/>
      <c r="T913" s="280"/>
      <c r="U913" s="341"/>
      <c r="V913" s="13"/>
      <c r="W913" s="242"/>
      <c r="X913" s="242"/>
      <c r="Y913" s="242"/>
    </row>
    <row r="914">
      <c r="A914" s="340"/>
      <c r="B914" s="242"/>
      <c r="C914" s="242"/>
      <c r="D914" s="242"/>
      <c r="E914" s="242"/>
      <c r="F914" s="242"/>
      <c r="G914" s="243"/>
      <c r="H914" s="242"/>
      <c r="I914" s="264"/>
      <c r="J914" s="251"/>
      <c r="K914" s="251"/>
      <c r="L914" s="242"/>
      <c r="M914" s="242"/>
      <c r="N914" s="242"/>
      <c r="O914" s="242"/>
      <c r="P914" s="242"/>
      <c r="Q914" s="242"/>
      <c r="R914" s="242"/>
      <c r="S914" s="243"/>
      <c r="T914" s="280"/>
      <c r="U914" s="341"/>
      <c r="V914" s="13"/>
      <c r="W914" s="242"/>
      <c r="X914" s="242"/>
      <c r="Y914" s="242"/>
    </row>
    <row r="915">
      <c r="A915" s="340"/>
      <c r="B915" s="242"/>
      <c r="C915" s="242"/>
      <c r="D915" s="242"/>
      <c r="E915" s="242"/>
      <c r="F915" s="242"/>
      <c r="G915" s="243"/>
      <c r="H915" s="242"/>
      <c r="I915" s="264"/>
      <c r="J915" s="251"/>
      <c r="K915" s="251"/>
      <c r="L915" s="242"/>
      <c r="M915" s="242"/>
      <c r="N915" s="242"/>
      <c r="O915" s="242"/>
      <c r="P915" s="242"/>
      <c r="Q915" s="242"/>
      <c r="R915" s="242"/>
      <c r="S915" s="243"/>
      <c r="T915" s="280"/>
      <c r="U915" s="341"/>
      <c r="V915" s="13"/>
      <c r="W915" s="242"/>
      <c r="X915" s="242"/>
      <c r="Y915" s="242"/>
    </row>
    <row r="916">
      <c r="A916" s="340"/>
      <c r="B916" s="242"/>
      <c r="C916" s="242"/>
      <c r="D916" s="242"/>
      <c r="E916" s="242"/>
      <c r="F916" s="242"/>
      <c r="G916" s="243"/>
      <c r="H916" s="242"/>
      <c r="I916" s="264"/>
      <c r="J916" s="251"/>
      <c r="K916" s="251"/>
      <c r="L916" s="242"/>
      <c r="M916" s="242"/>
      <c r="N916" s="242"/>
      <c r="O916" s="242"/>
      <c r="P916" s="242"/>
      <c r="Q916" s="242"/>
      <c r="R916" s="242"/>
      <c r="S916" s="243"/>
      <c r="T916" s="280"/>
      <c r="U916" s="341"/>
      <c r="V916" s="13"/>
      <c r="W916" s="242"/>
      <c r="X916" s="242"/>
      <c r="Y916" s="242"/>
    </row>
    <row r="917">
      <c r="A917" s="340"/>
      <c r="B917" s="242"/>
      <c r="C917" s="242"/>
      <c r="D917" s="242"/>
      <c r="E917" s="242"/>
      <c r="F917" s="242"/>
      <c r="G917" s="243"/>
      <c r="H917" s="242"/>
      <c r="I917" s="264"/>
      <c r="J917" s="251"/>
      <c r="K917" s="251"/>
      <c r="L917" s="242"/>
      <c r="M917" s="242"/>
      <c r="N917" s="242"/>
      <c r="O917" s="242"/>
      <c r="P917" s="242"/>
      <c r="Q917" s="242"/>
      <c r="R917" s="242"/>
      <c r="S917" s="243"/>
      <c r="T917" s="280"/>
      <c r="U917" s="341"/>
      <c r="V917" s="13"/>
      <c r="W917" s="242"/>
      <c r="X917" s="242"/>
      <c r="Y917" s="242"/>
    </row>
    <row r="918">
      <c r="A918" s="340"/>
      <c r="B918" s="242"/>
      <c r="C918" s="242"/>
      <c r="D918" s="242"/>
      <c r="E918" s="242"/>
      <c r="F918" s="242"/>
      <c r="G918" s="243"/>
      <c r="H918" s="242"/>
      <c r="I918" s="264"/>
      <c r="J918" s="251"/>
      <c r="K918" s="251"/>
      <c r="L918" s="242"/>
      <c r="M918" s="242"/>
      <c r="N918" s="242"/>
      <c r="O918" s="242"/>
      <c r="P918" s="242"/>
      <c r="Q918" s="242"/>
      <c r="R918" s="242"/>
      <c r="S918" s="243"/>
      <c r="T918" s="280"/>
      <c r="U918" s="341"/>
      <c r="V918" s="13"/>
      <c r="W918" s="242"/>
      <c r="X918" s="242"/>
      <c r="Y918" s="242"/>
    </row>
    <row r="919">
      <c r="A919" s="340"/>
      <c r="B919" s="242"/>
      <c r="C919" s="242"/>
      <c r="D919" s="242"/>
      <c r="E919" s="242"/>
      <c r="F919" s="242"/>
      <c r="G919" s="243"/>
      <c r="H919" s="242"/>
      <c r="I919" s="264"/>
      <c r="J919" s="251"/>
      <c r="K919" s="251"/>
      <c r="L919" s="242"/>
      <c r="M919" s="242"/>
      <c r="N919" s="242"/>
      <c r="O919" s="242"/>
      <c r="P919" s="242"/>
      <c r="Q919" s="242"/>
      <c r="R919" s="242"/>
      <c r="S919" s="243"/>
      <c r="T919" s="280"/>
      <c r="U919" s="341"/>
      <c r="V919" s="13"/>
      <c r="W919" s="242"/>
      <c r="X919" s="242"/>
      <c r="Y919" s="242"/>
    </row>
    <row r="920">
      <c r="A920" s="340"/>
      <c r="B920" s="242"/>
      <c r="C920" s="242"/>
      <c r="D920" s="242"/>
      <c r="E920" s="242"/>
      <c r="F920" s="242"/>
      <c r="G920" s="243"/>
      <c r="H920" s="242"/>
      <c r="I920" s="264"/>
      <c r="J920" s="251"/>
      <c r="K920" s="251"/>
      <c r="L920" s="242"/>
      <c r="M920" s="242"/>
      <c r="N920" s="242"/>
      <c r="O920" s="242"/>
      <c r="P920" s="242"/>
      <c r="Q920" s="242"/>
      <c r="R920" s="242"/>
      <c r="S920" s="243"/>
      <c r="T920" s="280"/>
      <c r="U920" s="341"/>
      <c r="V920" s="13"/>
      <c r="W920" s="242"/>
      <c r="X920" s="242"/>
      <c r="Y920" s="242"/>
    </row>
    <row r="921">
      <c r="A921" s="340"/>
      <c r="B921" s="242"/>
      <c r="C921" s="242"/>
      <c r="D921" s="242"/>
      <c r="E921" s="242"/>
      <c r="F921" s="242"/>
      <c r="G921" s="243"/>
      <c r="H921" s="242"/>
      <c r="I921" s="264"/>
      <c r="J921" s="251"/>
      <c r="K921" s="251"/>
      <c r="L921" s="242"/>
      <c r="M921" s="242"/>
      <c r="N921" s="242"/>
      <c r="O921" s="242"/>
      <c r="P921" s="242"/>
      <c r="Q921" s="242"/>
      <c r="R921" s="242"/>
      <c r="S921" s="243"/>
      <c r="T921" s="280"/>
      <c r="U921" s="341"/>
      <c r="V921" s="13"/>
      <c r="W921" s="242"/>
      <c r="X921" s="242"/>
      <c r="Y921" s="242"/>
    </row>
    <row r="922">
      <c r="A922" s="340"/>
      <c r="B922" s="242"/>
      <c r="C922" s="242"/>
      <c r="D922" s="242"/>
      <c r="E922" s="242"/>
      <c r="F922" s="242"/>
      <c r="G922" s="243"/>
      <c r="H922" s="242"/>
      <c r="I922" s="264"/>
      <c r="J922" s="251"/>
      <c r="K922" s="251"/>
      <c r="L922" s="242"/>
      <c r="M922" s="242"/>
      <c r="N922" s="242"/>
      <c r="O922" s="242"/>
      <c r="P922" s="242"/>
      <c r="Q922" s="242"/>
      <c r="R922" s="242"/>
      <c r="S922" s="243"/>
      <c r="T922" s="280"/>
      <c r="U922" s="341"/>
      <c r="V922" s="13"/>
      <c r="W922" s="242"/>
      <c r="X922" s="242"/>
      <c r="Y922" s="242"/>
    </row>
    <row r="923">
      <c r="A923" s="340"/>
      <c r="B923" s="242"/>
      <c r="C923" s="242"/>
      <c r="D923" s="242"/>
      <c r="E923" s="242"/>
      <c r="F923" s="242"/>
      <c r="G923" s="243"/>
      <c r="H923" s="242"/>
      <c r="I923" s="264"/>
      <c r="J923" s="251"/>
      <c r="K923" s="251"/>
      <c r="L923" s="242"/>
      <c r="M923" s="242"/>
      <c r="N923" s="242"/>
      <c r="O923" s="242"/>
      <c r="P923" s="242"/>
      <c r="Q923" s="242"/>
      <c r="R923" s="242"/>
      <c r="S923" s="243"/>
      <c r="T923" s="280"/>
      <c r="U923" s="341"/>
      <c r="V923" s="13"/>
      <c r="W923" s="242"/>
      <c r="X923" s="242"/>
      <c r="Y923" s="242"/>
    </row>
    <row r="924">
      <c r="A924" s="340"/>
      <c r="B924" s="242"/>
      <c r="C924" s="242"/>
      <c r="D924" s="242"/>
      <c r="E924" s="242"/>
      <c r="F924" s="242"/>
      <c r="G924" s="243"/>
      <c r="H924" s="242"/>
      <c r="I924" s="264"/>
      <c r="J924" s="251"/>
      <c r="K924" s="251"/>
      <c r="L924" s="242"/>
      <c r="M924" s="242"/>
      <c r="N924" s="242"/>
      <c r="O924" s="242"/>
      <c r="P924" s="242"/>
      <c r="Q924" s="242"/>
      <c r="R924" s="242"/>
      <c r="S924" s="243"/>
      <c r="T924" s="280"/>
      <c r="U924" s="341"/>
      <c r="V924" s="13"/>
      <c r="W924" s="242"/>
      <c r="X924" s="242"/>
      <c r="Y924" s="242"/>
    </row>
    <row r="925">
      <c r="A925" s="340"/>
      <c r="B925" s="242"/>
      <c r="C925" s="242"/>
      <c r="D925" s="242"/>
      <c r="E925" s="242"/>
      <c r="F925" s="242"/>
      <c r="G925" s="243"/>
      <c r="H925" s="242"/>
      <c r="I925" s="264"/>
      <c r="J925" s="251"/>
      <c r="K925" s="251"/>
      <c r="L925" s="242"/>
      <c r="M925" s="242"/>
      <c r="N925" s="242"/>
      <c r="O925" s="242"/>
      <c r="P925" s="242"/>
      <c r="Q925" s="242"/>
      <c r="R925" s="242"/>
      <c r="S925" s="243"/>
      <c r="T925" s="280"/>
      <c r="U925" s="341"/>
      <c r="V925" s="13"/>
      <c r="W925" s="242"/>
      <c r="X925" s="242"/>
      <c r="Y925" s="242"/>
    </row>
    <row r="926">
      <c r="A926" s="340"/>
      <c r="B926" s="242"/>
      <c r="C926" s="242"/>
      <c r="D926" s="242"/>
      <c r="E926" s="242"/>
      <c r="F926" s="242"/>
      <c r="G926" s="243"/>
      <c r="H926" s="242"/>
      <c r="I926" s="264"/>
      <c r="J926" s="251"/>
      <c r="K926" s="251"/>
      <c r="L926" s="242"/>
      <c r="M926" s="242"/>
      <c r="N926" s="242"/>
      <c r="O926" s="242"/>
      <c r="P926" s="242"/>
      <c r="Q926" s="242"/>
      <c r="R926" s="242"/>
      <c r="S926" s="243"/>
      <c r="T926" s="280"/>
      <c r="U926" s="341"/>
      <c r="V926" s="13"/>
      <c r="W926" s="242"/>
      <c r="X926" s="242"/>
      <c r="Y926" s="242"/>
    </row>
    <row r="927">
      <c r="A927" s="340"/>
      <c r="B927" s="242"/>
      <c r="C927" s="242"/>
      <c r="D927" s="242"/>
      <c r="E927" s="242"/>
      <c r="F927" s="242"/>
      <c r="G927" s="243"/>
      <c r="H927" s="242"/>
      <c r="I927" s="264"/>
      <c r="J927" s="251"/>
      <c r="K927" s="251"/>
      <c r="L927" s="242"/>
      <c r="M927" s="242"/>
      <c r="N927" s="242"/>
      <c r="O927" s="242"/>
      <c r="P927" s="242"/>
      <c r="Q927" s="242"/>
      <c r="R927" s="242"/>
      <c r="S927" s="243"/>
      <c r="T927" s="280"/>
      <c r="U927" s="341"/>
      <c r="V927" s="13"/>
      <c r="W927" s="242"/>
      <c r="X927" s="242"/>
      <c r="Y927" s="242"/>
    </row>
    <row r="928">
      <c r="A928" s="340"/>
      <c r="B928" s="242"/>
      <c r="C928" s="242"/>
      <c r="D928" s="242"/>
      <c r="E928" s="242"/>
      <c r="F928" s="242"/>
      <c r="G928" s="243"/>
      <c r="H928" s="242"/>
      <c r="I928" s="264"/>
      <c r="J928" s="251"/>
      <c r="K928" s="251"/>
      <c r="L928" s="242"/>
      <c r="M928" s="242"/>
      <c r="N928" s="242"/>
      <c r="O928" s="242"/>
      <c r="P928" s="242"/>
      <c r="Q928" s="242"/>
      <c r="R928" s="242"/>
      <c r="S928" s="243"/>
      <c r="T928" s="280"/>
      <c r="U928" s="341"/>
      <c r="V928" s="13"/>
      <c r="W928" s="242"/>
      <c r="X928" s="242"/>
      <c r="Y928" s="242"/>
    </row>
    <row r="929">
      <c r="A929" s="340"/>
      <c r="B929" s="242"/>
      <c r="C929" s="242"/>
      <c r="D929" s="242"/>
      <c r="E929" s="242"/>
      <c r="F929" s="242"/>
      <c r="G929" s="243"/>
      <c r="H929" s="242"/>
      <c r="I929" s="264"/>
      <c r="J929" s="251"/>
      <c r="K929" s="251"/>
      <c r="L929" s="242"/>
      <c r="M929" s="242"/>
      <c r="N929" s="242"/>
      <c r="O929" s="242"/>
      <c r="P929" s="242"/>
      <c r="Q929" s="242"/>
      <c r="R929" s="242"/>
      <c r="S929" s="243"/>
      <c r="T929" s="280"/>
      <c r="U929" s="341"/>
      <c r="V929" s="13"/>
      <c r="W929" s="242"/>
      <c r="X929" s="242"/>
      <c r="Y929" s="242"/>
    </row>
    <row r="930">
      <c r="A930" s="340"/>
      <c r="B930" s="242"/>
      <c r="C930" s="242"/>
      <c r="D930" s="242"/>
      <c r="E930" s="242"/>
      <c r="F930" s="242"/>
      <c r="G930" s="243"/>
      <c r="H930" s="242"/>
      <c r="I930" s="264"/>
      <c r="J930" s="251"/>
      <c r="K930" s="251"/>
      <c r="L930" s="242"/>
      <c r="M930" s="242"/>
      <c r="N930" s="242"/>
      <c r="O930" s="242"/>
      <c r="P930" s="242"/>
      <c r="Q930" s="242"/>
      <c r="R930" s="242"/>
      <c r="S930" s="243"/>
      <c r="T930" s="280"/>
      <c r="U930" s="341"/>
      <c r="V930" s="13"/>
      <c r="W930" s="242"/>
      <c r="X930" s="242"/>
      <c r="Y930" s="242"/>
    </row>
    <row r="931">
      <c r="A931" s="340"/>
      <c r="B931" s="242"/>
      <c r="C931" s="242"/>
      <c r="D931" s="242"/>
      <c r="E931" s="242"/>
      <c r="F931" s="242"/>
      <c r="G931" s="243"/>
      <c r="H931" s="242"/>
      <c r="I931" s="264"/>
      <c r="J931" s="251"/>
      <c r="K931" s="251"/>
      <c r="L931" s="242"/>
      <c r="M931" s="242"/>
      <c r="N931" s="242"/>
      <c r="O931" s="242"/>
      <c r="P931" s="242"/>
      <c r="Q931" s="242"/>
      <c r="R931" s="242"/>
      <c r="S931" s="243"/>
      <c r="T931" s="280"/>
      <c r="U931" s="341"/>
      <c r="V931" s="13"/>
      <c r="W931" s="242"/>
      <c r="X931" s="242"/>
      <c r="Y931" s="242"/>
    </row>
    <row r="932">
      <c r="A932" s="340"/>
      <c r="B932" s="242"/>
      <c r="C932" s="242"/>
      <c r="D932" s="242"/>
      <c r="E932" s="242"/>
      <c r="F932" s="242"/>
      <c r="G932" s="243"/>
      <c r="H932" s="242"/>
      <c r="I932" s="264"/>
      <c r="J932" s="251"/>
      <c r="K932" s="251"/>
      <c r="L932" s="242"/>
      <c r="M932" s="242"/>
      <c r="N932" s="242"/>
      <c r="O932" s="242"/>
      <c r="P932" s="242"/>
      <c r="Q932" s="242"/>
      <c r="R932" s="242"/>
      <c r="S932" s="243"/>
      <c r="T932" s="280"/>
      <c r="U932" s="341"/>
      <c r="V932" s="13"/>
      <c r="W932" s="242"/>
      <c r="X932" s="242"/>
      <c r="Y932" s="242"/>
    </row>
    <row r="933">
      <c r="A933" s="340"/>
      <c r="B933" s="242"/>
      <c r="C933" s="242"/>
      <c r="D933" s="242"/>
      <c r="E933" s="242"/>
      <c r="F933" s="242"/>
      <c r="G933" s="243"/>
      <c r="H933" s="242"/>
      <c r="I933" s="264"/>
      <c r="J933" s="251"/>
      <c r="K933" s="251"/>
      <c r="L933" s="242"/>
      <c r="M933" s="242"/>
      <c r="N933" s="242"/>
      <c r="O933" s="242"/>
      <c r="P933" s="242"/>
      <c r="Q933" s="242"/>
      <c r="R933" s="242"/>
      <c r="S933" s="243"/>
      <c r="T933" s="280"/>
      <c r="U933" s="341"/>
      <c r="V933" s="13"/>
      <c r="W933" s="242"/>
      <c r="X933" s="242"/>
      <c r="Y933" s="242"/>
    </row>
    <row r="934">
      <c r="A934" s="340"/>
      <c r="B934" s="242"/>
      <c r="C934" s="242"/>
      <c r="D934" s="242"/>
      <c r="E934" s="242"/>
      <c r="F934" s="242"/>
      <c r="G934" s="243"/>
      <c r="H934" s="242"/>
      <c r="I934" s="264"/>
      <c r="J934" s="251"/>
      <c r="K934" s="251"/>
      <c r="L934" s="242"/>
      <c r="M934" s="242"/>
      <c r="N934" s="242"/>
      <c r="O934" s="242"/>
      <c r="P934" s="242"/>
      <c r="Q934" s="242"/>
      <c r="R934" s="242"/>
      <c r="S934" s="243"/>
      <c r="T934" s="280"/>
      <c r="U934" s="341"/>
      <c r="V934" s="13"/>
      <c r="W934" s="242"/>
      <c r="X934" s="242"/>
      <c r="Y934" s="242"/>
    </row>
    <row r="935">
      <c r="A935" s="340"/>
      <c r="B935" s="242"/>
      <c r="C935" s="242"/>
      <c r="D935" s="242"/>
      <c r="E935" s="242"/>
      <c r="F935" s="242"/>
      <c r="G935" s="243"/>
      <c r="H935" s="242"/>
      <c r="I935" s="264"/>
      <c r="J935" s="251"/>
      <c r="K935" s="251"/>
      <c r="L935" s="242"/>
      <c r="M935" s="242"/>
      <c r="N935" s="242"/>
      <c r="O935" s="242"/>
      <c r="P935" s="242"/>
      <c r="Q935" s="242"/>
      <c r="R935" s="242"/>
      <c r="S935" s="243"/>
      <c r="T935" s="280"/>
      <c r="U935" s="341"/>
      <c r="V935" s="13"/>
      <c r="W935" s="242"/>
      <c r="X935" s="242"/>
      <c r="Y935" s="242"/>
    </row>
    <row r="936">
      <c r="A936" s="340"/>
      <c r="B936" s="242"/>
      <c r="C936" s="242"/>
      <c r="D936" s="242"/>
      <c r="E936" s="242"/>
      <c r="F936" s="242"/>
      <c r="G936" s="243"/>
      <c r="H936" s="242"/>
      <c r="I936" s="264"/>
      <c r="J936" s="251"/>
      <c r="K936" s="251"/>
      <c r="L936" s="242"/>
      <c r="M936" s="242"/>
      <c r="N936" s="242"/>
      <c r="O936" s="242"/>
      <c r="P936" s="242"/>
      <c r="Q936" s="242"/>
      <c r="R936" s="242"/>
      <c r="S936" s="243"/>
      <c r="T936" s="280"/>
      <c r="U936" s="341"/>
      <c r="V936" s="13"/>
      <c r="W936" s="242"/>
      <c r="X936" s="242"/>
      <c r="Y936" s="242"/>
    </row>
    <row r="937">
      <c r="A937" s="340"/>
      <c r="B937" s="242"/>
      <c r="C937" s="242"/>
      <c r="D937" s="242"/>
      <c r="E937" s="242"/>
      <c r="F937" s="242"/>
      <c r="G937" s="243"/>
      <c r="H937" s="242"/>
      <c r="I937" s="264"/>
      <c r="J937" s="251"/>
      <c r="K937" s="251"/>
      <c r="L937" s="242"/>
      <c r="M937" s="242"/>
      <c r="N937" s="242"/>
      <c r="O937" s="242"/>
      <c r="P937" s="242"/>
      <c r="Q937" s="242"/>
      <c r="R937" s="242"/>
      <c r="S937" s="243"/>
      <c r="T937" s="280"/>
      <c r="U937" s="341"/>
      <c r="V937" s="13"/>
      <c r="W937" s="242"/>
      <c r="X937" s="242"/>
      <c r="Y937" s="242"/>
    </row>
    <row r="938">
      <c r="A938" s="340"/>
      <c r="B938" s="242"/>
      <c r="C938" s="242"/>
      <c r="D938" s="242"/>
      <c r="E938" s="242"/>
      <c r="F938" s="242"/>
      <c r="G938" s="243"/>
      <c r="H938" s="242"/>
      <c r="I938" s="264"/>
      <c r="J938" s="251"/>
      <c r="K938" s="251"/>
      <c r="L938" s="242"/>
      <c r="M938" s="242"/>
      <c r="N938" s="242"/>
      <c r="O938" s="242"/>
      <c r="P938" s="242"/>
      <c r="Q938" s="242"/>
      <c r="R938" s="242"/>
      <c r="S938" s="243"/>
      <c r="T938" s="280"/>
      <c r="U938" s="341"/>
      <c r="V938" s="13"/>
      <c r="W938" s="242"/>
      <c r="X938" s="242"/>
      <c r="Y938" s="242"/>
    </row>
    <row r="939">
      <c r="A939" s="340"/>
      <c r="B939" s="242"/>
      <c r="C939" s="242"/>
      <c r="D939" s="242"/>
      <c r="E939" s="242"/>
      <c r="F939" s="242"/>
      <c r="G939" s="243"/>
      <c r="H939" s="242"/>
      <c r="I939" s="264"/>
      <c r="J939" s="251"/>
      <c r="K939" s="251"/>
      <c r="L939" s="242"/>
      <c r="M939" s="242"/>
      <c r="N939" s="242"/>
      <c r="O939" s="242"/>
      <c r="P939" s="242"/>
      <c r="Q939" s="242"/>
      <c r="R939" s="242"/>
      <c r="S939" s="243"/>
      <c r="T939" s="280"/>
      <c r="U939" s="341"/>
      <c r="V939" s="13"/>
      <c r="W939" s="242"/>
      <c r="X939" s="242"/>
      <c r="Y939" s="242"/>
    </row>
    <row r="940">
      <c r="A940" s="340"/>
      <c r="B940" s="242"/>
      <c r="C940" s="242"/>
      <c r="D940" s="242"/>
      <c r="E940" s="242"/>
      <c r="F940" s="242"/>
      <c r="G940" s="243"/>
      <c r="H940" s="242"/>
      <c r="I940" s="264"/>
      <c r="J940" s="251"/>
      <c r="K940" s="251"/>
      <c r="L940" s="242"/>
      <c r="M940" s="242"/>
      <c r="N940" s="242"/>
      <c r="O940" s="242"/>
      <c r="P940" s="242"/>
      <c r="Q940" s="242"/>
      <c r="R940" s="242"/>
      <c r="S940" s="243"/>
      <c r="T940" s="280"/>
      <c r="U940" s="341"/>
      <c r="V940" s="13"/>
      <c r="W940" s="242"/>
      <c r="X940" s="242"/>
      <c r="Y940" s="242"/>
    </row>
    <row r="941">
      <c r="A941" s="340"/>
      <c r="B941" s="242"/>
      <c r="C941" s="242"/>
      <c r="D941" s="242"/>
      <c r="E941" s="242"/>
      <c r="F941" s="242"/>
      <c r="G941" s="243"/>
      <c r="H941" s="242"/>
      <c r="I941" s="264"/>
      <c r="J941" s="251"/>
      <c r="K941" s="251"/>
      <c r="L941" s="242"/>
      <c r="M941" s="242"/>
      <c r="N941" s="242"/>
      <c r="O941" s="242"/>
      <c r="P941" s="242"/>
      <c r="Q941" s="242"/>
      <c r="R941" s="242"/>
      <c r="S941" s="243"/>
      <c r="T941" s="280"/>
      <c r="U941" s="341"/>
      <c r="V941" s="13"/>
      <c r="W941" s="242"/>
      <c r="X941" s="242"/>
      <c r="Y941" s="242"/>
    </row>
    <row r="942">
      <c r="A942" s="340"/>
      <c r="B942" s="242"/>
      <c r="C942" s="242"/>
      <c r="D942" s="242"/>
      <c r="E942" s="242"/>
      <c r="F942" s="242"/>
      <c r="G942" s="243"/>
      <c r="H942" s="242"/>
      <c r="I942" s="264"/>
      <c r="J942" s="251"/>
      <c r="K942" s="251"/>
      <c r="L942" s="242"/>
      <c r="M942" s="242"/>
      <c r="N942" s="242"/>
      <c r="O942" s="242"/>
      <c r="P942" s="242"/>
      <c r="Q942" s="242"/>
      <c r="R942" s="242"/>
      <c r="S942" s="243"/>
      <c r="T942" s="280"/>
      <c r="U942" s="341"/>
      <c r="V942" s="13"/>
      <c r="W942" s="242"/>
      <c r="X942" s="242"/>
      <c r="Y942" s="242"/>
    </row>
    <row r="943">
      <c r="A943" s="340"/>
      <c r="B943" s="242"/>
      <c r="C943" s="242"/>
      <c r="D943" s="242"/>
      <c r="E943" s="242"/>
      <c r="F943" s="242"/>
      <c r="G943" s="243"/>
      <c r="H943" s="242"/>
      <c r="I943" s="264"/>
      <c r="J943" s="251"/>
      <c r="K943" s="251"/>
      <c r="L943" s="242"/>
      <c r="M943" s="242"/>
      <c r="N943" s="242"/>
      <c r="O943" s="242"/>
      <c r="P943" s="242"/>
      <c r="Q943" s="242"/>
      <c r="R943" s="242"/>
      <c r="S943" s="243"/>
      <c r="T943" s="280"/>
      <c r="U943" s="341"/>
      <c r="V943" s="13"/>
      <c r="W943" s="242"/>
      <c r="X943" s="242"/>
      <c r="Y943" s="242"/>
    </row>
    <row r="944">
      <c r="A944" s="340"/>
      <c r="B944" s="242"/>
      <c r="C944" s="242"/>
      <c r="D944" s="242"/>
      <c r="E944" s="242"/>
      <c r="F944" s="242"/>
      <c r="G944" s="243"/>
      <c r="H944" s="242"/>
      <c r="I944" s="264"/>
      <c r="J944" s="251"/>
      <c r="K944" s="251"/>
      <c r="L944" s="242"/>
      <c r="M944" s="242"/>
      <c r="N944" s="242"/>
      <c r="O944" s="242"/>
      <c r="P944" s="242"/>
      <c r="Q944" s="242"/>
      <c r="R944" s="242"/>
      <c r="S944" s="243"/>
      <c r="T944" s="280"/>
      <c r="U944" s="341"/>
      <c r="V944" s="13"/>
      <c r="W944" s="242"/>
      <c r="X944" s="242"/>
      <c r="Y944" s="242"/>
    </row>
    <row r="945">
      <c r="A945" s="340"/>
      <c r="B945" s="242"/>
      <c r="C945" s="242"/>
      <c r="D945" s="242"/>
      <c r="E945" s="242"/>
      <c r="F945" s="242"/>
      <c r="G945" s="243"/>
      <c r="H945" s="242"/>
      <c r="I945" s="264"/>
      <c r="J945" s="251"/>
      <c r="K945" s="251"/>
      <c r="L945" s="242"/>
      <c r="M945" s="242"/>
      <c r="N945" s="242"/>
      <c r="O945" s="242"/>
      <c r="P945" s="242"/>
      <c r="Q945" s="242"/>
      <c r="R945" s="242"/>
      <c r="S945" s="243"/>
      <c r="T945" s="280"/>
      <c r="U945" s="341"/>
      <c r="V945" s="13"/>
      <c r="W945" s="242"/>
      <c r="X945" s="242"/>
      <c r="Y945" s="242"/>
    </row>
    <row r="946">
      <c r="A946" s="340"/>
      <c r="B946" s="242"/>
      <c r="C946" s="242"/>
      <c r="D946" s="242"/>
      <c r="E946" s="242"/>
      <c r="F946" s="242"/>
      <c r="G946" s="243"/>
      <c r="H946" s="242"/>
      <c r="I946" s="264"/>
      <c r="J946" s="251"/>
      <c r="K946" s="251"/>
      <c r="L946" s="242"/>
      <c r="M946" s="242"/>
      <c r="N946" s="242"/>
      <c r="O946" s="242"/>
      <c r="P946" s="242"/>
      <c r="Q946" s="242"/>
      <c r="R946" s="242"/>
      <c r="S946" s="243"/>
      <c r="T946" s="280"/>
      <c r="U946" s="341"/>
      <c r="V946" s="13"/>
      <c r="W946" s="242"/>
      <c r="X946" s="242"/>
      <c r="Y946" s="242"/>
    </row>
    <row r="947">
      <c r="A947" s="340"/>
      <c r="B947" s="242"/>
      <c r="C947" s="242"/>
      <c r="D947" s="242"/>
      <c r="E947" s="242"/>
      <c r="F947" s="242"/>
      <c r="G947" s="243"/>
      <c r="H947" s="242"/>
      <c r="I947" s="264"/>
      <c r="J947" s="251"/>
      <c r="K947" s="251"/>
      <c r="L947" s="242"/>
      <c r="M947" s="242"/>
      <c r="N947" s="242"/>
      <c r="O947" s="242"/>
      <c r="P947" s="242"/>
      <c r="Q947" s="242"/>
      <c r="R947" s="242"/>
      <c r="S947" s="243"/>
      <c r="T947" s="280"/>
      <c r="U947" s="341"/>
      <c r="V947" s="13"/>
      <c r="W947" s="242"/>
      <c r="X947" s="242"/>
      <c r="Y947" s="242"/>
    </row>
    <row r="948">
      <c r="A948" s="340"/>
      <c r="B948" s="242"/>
      <c r="C948" s="242"/>
      <c r="D948" s="242"/>
      <c r="E948" s="242"/>
      <c r="F948" s="242"/>
      <c r="G948" s="243"/>
      <c r="H948" s="242"/>
      <c r="I948" s="264"/>
      <c r="J948" s="251"/>
      <c r="K948" s="251"/>
      <c r="L948" s="242"/>
      <c r="M948" s="242"/>
      <c r="N948" s="242"/>
      <c r="O948" s="242"/>
      <c r="P948" s="242"/>
      <c r="Q948" s="242"/>
      <c r="R948" s="242"/>
      <c r="S948" s="243"/>
      <c r="T948" s="280"/>
      <c r="U948" s="341"/>
      <c r="V948" s="13"/>
      <c r="W948" s="242"/>
      <c r="X948" s="242"/>
      <c r="Y948" s="242"/>
    </row>
    <row r="949">
      <c r="A949" s="340"/>
      <c r="B949" s="242"/>
      <c r="C949" s="242"/>
      <c r="D949" s="242"/>
      <c r="E949" s="242"/>
      <c r="F949" s="242"/>
      <c r="G949" s="243"/>
      <c r="H949" s="242"/>
      <c r="I949" s="264"/>
      <c r="J949" s="251"/>
      <c r="K949" s="251"/>
      <c r="L949" s="242"/>
      <c r="M949" s="242"/>
      <c r="N949" s="242"/>
      <c r="O949" s="242"/>
      <c r="P949" s="242"/>
      <c r="Q949" s="242"/>
      <c r="R949" s="242"/>
      <c r="S949" s="243"/>
      <c r="T949" s="280"/>
      <c r="U949" s="341"/>
      <c r="V949" s="13"/>
      <c r="W949" s="242"/>
      <c r="X949" s="242"/>
      <c r="Y949" s="242"/>
    </row>
    <row r="950">
      <c r="A950" s="340"/>
      <c r="B950" s="242"/>
      <c r="C950" s="242"/>
      <c r="D950" s="242"/>
      <c r="E950" s="242"/>
      <c r="F950" s="242"/>
      <c r="G950" s="243"/>
      <c r="H950" s="242"/>
      <c r="I950" s="264"/>
      <c r="J950" s="251"/>
      <c r="K950" s="251"/>
      <c r="L950" s="242"/>
      <c r="M950" s="242"/>
      <c r="N950" s="242"/>
      <c r="O950" s="242"/>
      <c r="P950" s="242"/>
      <c r="Q950" s="242"/>
      <c r="R950" s="242"/>
      <c r="S950" s="243"/>
      <c r="T950" s="280"/>
      <c r="U950" s="341"/>
      <c r="V950" s="13"/>
      <c r="W950" s="242"/>
      <c r="X950" s="242"/>
      <c r="Y950" s="242"/>
    </row>
    <row r="951">
      <c r="A951" s="340"/>
      <c r="B951" s="242"/>
      <c r="C951" s="242"/>
      <c r="D951" s="242"/>
      <c r="E951" s="242"/>
      <c r="F951" s="242"/>
      <c r="G951" s="243"/>
      <c r="H951" s="242"/>
      <c r="I951" s="264"/>
      <c r="J951" s="251"/>
      <c r="K951" s="251"/>
      <c r="L951" s="242"/>
      <c r="M951" s="242"/>
      <c r="N951" s="242"/>
      <c r="O951" s="242"/>
      <c r="P951" s="242"/>
      <c r="Q951" s="242"/>
      <c r="R951" s="242"/>
      <c r="S951" s="243"/>
      <c r="T951" s="280"/>
      <c r="U951" s="341"/>
      <c r="V951" s="13"/>
      <c r="W951" s="242"/>
      <c r="X951" s="242"/>
      <c r="Y951" s="242"/>
    </row>
    <row r="952">
      <c r="A952" s="340"/>
      <c r="B952" s="242"/>
      <c r="C952" s="242"/>
      <c r="D952" s="242"/>
      <c r="E952" s="242"/>
      <c r="F952" s="242"/>
      <c r="G952" s="243"/>
      <c r="H952" s="242"/>
      <c r="I952" s="264"/>
      <c r="J952" s="251"/>
      <c r="K952" s="251"/>
      <c r="L952" s="242"/>
      <c r="M952" s="242"/>
      <c r="N952" s="242"/>
      <c r="O952" s="242"/>
      <c r="P952" s="242"/>
      <c r="Q952" s="242"/>
      <c r="R952" s="242"/>
      <c r="S952" s="243"/>
      <c r="T952" s="280"/>
      <c r="U952" s="341"/>
      <c r="V952" s="13"/>
      <c r="W952" s="242"/>
      <c r="X952" s="242"/>
      <c r="Y952" s="242"/>
    </row>
    <row r="953">
      <c r="A953" s="340"/>
      <c r="B953" s="242"/>
      <c r="C953" s="242"/>
      <c r="D953" s="242"/>
      <c r="E953" s="242"/>
      <c r="F953" s="242"/>
      <c r="G953" s="243"/>
      <c r="H953" s="242"/>
      <c r="I953" s="264"/>
      <c r="J953" s="251"/>
      <c r="K953" s="251"/>
      <c r="L953" s="242"/>
      <c r="M953" s="242"/>
      <c r="N953" s="242"/>
      <c r="O953" s="242"/>
      <c r="P953" s="242"/>
      <c r="Q953" s="242"/>
      <c r="R953" s="242"/>
      <c r="S953" s="243"/>
      <c r="T953" s="280"/>
      <c r="U953" s="341"/>
      <c r="V953" s="13"/>
      <c r="W953" s="242"/>
      <c r="X953" s="242"/>
      <c r="Y953" s="242"/>
    </row>
    <row r="954">
      <c r="A954" s="340"/>
      <c r="B954" s="242"/>
      <c r="C954" s="242"/>
      <c r="D954" s="242"/>
      <c r="E954" s="242"/>
      <c r="F954" s="242"/>
      <c r="G954" s="243"/>
      <c r="H954" s="242"/>
      <c r="I954" s="264"/>
      <c r="J954" s="251"/>
      <c r="K954" s="251"/>
      <c r="L954" s="242"/>
      <c r="M954" s="242"/>
      <c r="N954" s="242"/>
      <c r="O954" s="242"/>
      <c r="P954" s="242"/>
      <c r="Q954" s="242"/>
      <c r="R954" s="242"/>
      <c r="S954" s="243"/>
      <c r="T954" s="280"/>
      <c r="U954" s="341"/>
      <c r="V954" s="13"/>
      <c r="W954" s="242"/>
      <c r="X954" s="242"/>
      <c r="Y954" s="242"/>
    </row>
    <row r="955">
      <c r="A955" s="340"/>
      <c r="B955" s="242"/>
      <c r="C955" s="242"/>
      <c r="D955" s="242"/>
      <c r="E955" s="242"/>
      <c r="F955" s="242"/>
      <c r="G955" s="243"/>
      <c r="H955" s="242"/>
      <c r="I955" s="264"/>
      <c r="J955" s="251"/>
      <c r="K955" s="251"/>
      <c r="L955" s="242"/>
      <c r="M955" s="242"/>
      <c r="N955" s="242"/>
      <c r="O955" s="242"/>
      <c r="P955" s="242"/>
      <c r="Q955" s="242"/>
      <c r="R955" s="242"/>
      <c r="S955" s="243"/>
      <c r="T955" s="280"/>
      <c r="U955" s="341"/>
      <c r="V955" s="13"/>
      <c r="W955" s="242"/>
      <c r="X955" s="242"/>
      <c r="Y955" s="242"/>
    </row>
    <row r="956">
      <c r="A956" s="340"/>
      <c r="B956" s="242"/>
      <c r="C956" s="242"/>
      <c r="D956" s="242"/>
      <c r="E956" s="242"/>
      <c r="F956" s="242"/>
      <c r="G956" s="243"/>
      <c r="H956" s="242"/>
      <c r="I956" s="264"/>
      <c r="J956" s="251"/>
      <c r="K956" s="251"/>
      <c r="L956" s="242"/>
      <c r="M956" s="242"/>
      <c r="N956" s="242"/>
      <c r="O956" s="242"/>
      <c r="P956" s="242"/>
      <c r="Q956" s="242"/>
      <c r="R956" s="242"/>
      <c r="S956" s="243"/>
      <c r="T956" s="280"/>
      <c r="U956" s="341"/>
      <c r="V956" s="13"/>
      <c r="W956" s="242"/>
      <c r="X956" s="242"/>
      <c r="Y956" s="242"/>
    </row>
    <row r="957">
      <c r="A957" s="340"/>
      <c r="B957" s="242"/>
      <c r="C957" s="242"/>
      <c r="D957" s="242"/>
      <c r="E957" s="242"/>
      <c r="F957" s="242"/>
      <c r="G957" s="243"/>
      <c r="H957" s="242"/>
      <c r="I957" s="264"/>
      <c r="J957" s="251"/>
      <c r="K957" s="251"/>
      <c r="L957" s="242"/>
      <c r="M957" s="242"/>
      <c r="N957" s="242"/>
      <c r="O957" s="242"/>
      <c r="P957" s="242"/>
      <c r="Q957" s="242"/>
      <c r="R957" s="242"/>
      <c r="S957" s="243"/>
      <c r="T957" s="280"/>
      <c r="U957" s="341"/>
      <c r="V957" s="13"/>
      <c r="W957" s="242"/>
      <c r="X957" s="242"/>
      <c r="Y957" s="242"/>
    </row>
    <row r="958">
      <c r="A958" s="340"/>
      <c r="B958" s="242"/>
      <c r="C958" s="242"/>
      <c r="D958" s="242"/>
      <c r="E958" s="242"/>
      <c r="F958" s="242"/>
      <c r="G958" s="243"/>
      <c r="H958" s="242"/>
      <c r="I958" s="264"/>
      <c r="J958" s="251"/>
      <c r="K958" s="251"/>
      <c r="L958" s="242"/>
      <c r="M958" s="242"/>
      <c r="N958" s="242"/>
      <c r="O958" s="242"/>
      <c r="P958" s="242"/>
      <c r="Q958" s="242"/>
      <c r="R958" s="242"/>
      <c r="S958" s="243"/>
      <c r="T958" s="280"/>
      <c r="U958" s="341"/>
      <c r="V958" s="13"/>
      <c r="W958" s="242"/>
      <c r="X958" s="242"/>
      <c r="Y958" s="242"/>
    </row>
    <row r="959">
      <c r="A959" s="340"/>
      <c r="B959" s="242"/>
      <c r="C959" s="242"/>
      <c r="D959" s="242"/>
      <c r="E959" s="242"/>
      <c r="F959" s="242"/>
      <c r="G959" s="243"/>
      <c r="H959" s="242"/>
      <c r="I959" s="264"/>
      <c r="J959" s="251"/>
      <c r="K959" s="251"/>
      <c r="L959" s="242"/>
      <c r="M959" s="242"/>
      <c r="N959" s="242"/>
      <c r="O959" s="242"/>
      <c r="P959" s="242"/>
      <c r="Q959" s="242"/>
      <c r="R959" s="242"/>
      <c r="S959" s="243"/>
      <c r="T959" s="280"/>
      <c r="U959" s="341"/>
      <c r="V959" s="13"/>
      <c r="W959" s="242"/>
      <c r="X959" s="242"/>
      <c r="Y959" s="242"/>
    </row>
    <row r="960">
      <c r="A960" s="340"/>
      <c r="B960" s="242"/>
      <c r="C960" s="242"/>
      <c r="D960" s="242"/>
      <c r="E960" s="242"/>
      <c r="F960" s="242"/>
      <c r="G960" s="243"/>
      <c r="H960" s="242"/>
      <c r="I960" s="264"/>
      <c r="J960" s="251"/>
      <c r="K960" s="251"/>
      <c r="L960" s="242"/>
      <c r="M960" s="242"/>
      <c r="N960" s="242"/>
      <c r="O960" s="242"/>
      <c r="P960" s="242"/>
      <c r="Q960" s="242"/>
      <c r="R960" s="242"/>
      <c r="S960" s="243"/>
      <c r="T960" s="280"/>
      <c r="U960" s="341"/>
      <c r="V960" s="13"/>
      <c r="W960" s="242"/>
      <c r="X960" s="242"/>
      <c r="Y960" s="242"/>
    </row>
    <row r="961">
      <c r="A961" s="340"/>
      <c r="B961" s="242"/>
      <c r="C961" s="242"/>
      <c r="D961" s="242"/>
      <c r="E961" s="242"/>
      <c r="F961" s="242"/>
      <c r="G961" s="243"/>
      <c r="H961" s="242"/>
      <c r="I961" s="264"/>
      <c r="J961" s="251"/>
      <c r="K961" s="251"/>
      <c r="L961" s="242"/>
      <c r="M961" s="242"/>
      <c r="N961" s="242"/>
      <c r="O961" s="242"/>
      <c r="P961" s="242"/>
      <c r="Q961" s="242"/>
      <c r="R961" s="242"/>
      <c r="S961" s="243"/>
      <c r="T961" s="280"/>
      <c r="U961" s="341"/>
      <c r="V961" s="13"/>
      <c r="W961" s="242"/>
      <c r="X961" s="242"/>
      <c r="Y961" s="242"/>
    </row>
    <row r="962">
      <c r="A962" s="340"/>
      <c r="B962" s="242"/>
      <c r="C962" s="242"/>
      <c r="D962" s="242"/>
      <c r="E962" s="242"/>
      <c r="F962" s="242"/>
      <c r="G962" s="243"/>
      <c r="H962" s="242"/>
      <c r="I962" s="264"/>
      <c r="J962" s="251"/>
      <c r="K962" s="251"/>
      <c r="L962" s="242"/>
      <c r="M962" s="242"/>
      <c r="N962" s="242"/>
      <c r="O962" s="242"/>
      <c r="P962" s="242"/>
      <c r="Q962" s="242"/>
      <c r="R962" s="242"/>
      <c r="S962" s="243"/>
      <c r="T962" s="280"/>
      <c r="U962" s="341"/>
      <c r="V962" s="13"/>
      <c r="W962" s="242"/>
      <c r="X962" s="242"/>
      <c r="Y962" s="242"/>
    </row>
    <row r="963">
      <c r="A963" s="340"/>
      <c r="B963" s="242"/>
      <c r="C963" s="242"/>
      <c r="D963" s="242"/>
      <c r="E963" s="242"/>
      <c r="F963" s="242"/>
      <c r="G963" s="243"/>
      <c r="H963" s="242"/>
      <c r="I963" s="264"/>
      <c r="J963" s="251"/>
      <c r="K963" s="251"/>
      <c r="L963" s="242"/>
      <c r="M963" s="242"/>
      <c r="N963" s="242"/>
      <c r="O963" s="242"/>
      <c r="P963" s="242"/>
      <c r="Q963" s="242"/>
      <c r="R963" s="242"/>
      <c r="S963" s="243"/>
      <c r="T963" s="280"/>
      <c r="U963" s="341"/>
      <c r="V963" s="13"/>
      <c r="W963" s="242"/>
      <c r="X963" s="242"/>
      <c r="Y963" s="242"/>
    </row>
    <row r="964">
      <c r="A964" s="340"/>
      <c r="B964" s="242"/>
      <c r="C964" s="242"/>
      <c r="D964" s="242"/>
      <c r="E964" s="242"/>
      <c r="F964" s="242"/>
      <c r="G964" s="243"/>
      <c r="H964" s="242"/>
      <c r="I964" s="264"/>
      <c r="J964" s="251"/>
      <c r="K964" s="251"/>
      <c r="L964" s="242"/>
      <c r="M964" s="242"/>
      <c r="N964" s="242"/>
      <c r="O964" s="242"/>
      <c r="P964" s="242"/>
      <c r="Q964" s="242"/>
      <c r="R964" s="242"/>
      <c r="S964" s="243"/>
      <c r="T964" s="280"/>
      <c r="U964" s="341"/>
      <c r="V964" s="13"/>
      <c r="W964" s="242"/>
      <c r="X964" s="242"/>
      <c r="Y964" s="242"/>
    </row>
    <row r="965">
      <c r="A965" s="340"/>
      <c r="B965" s="242"/>
      <c r="C965" s="242"/>
      <c r="D965" s="242"/>
      <c r="E965" s="242"/>
      <c r="F965" s="242"/>
      <c r="G965" s="243"/>
      <c r="H965" s="242"/>
      <c r="I965" s="264"/>
      <c r="J965" s="251"/>
      <c r="K965" s="251"/>
      <c r="L965" s="242"/>
      <c r="M965" s="242"/>
      <c r="N965" s="242"/>
      <c r="O965" s="242"/>
      <c r="P965" s="242"/>
      <c r="Q965" s="242"/>
      <c r="R965" s="242"/>
      <c r="S965" s="243"/>
      <c r="T965" s="280"/>
      <c r="U965" s="341"/>
      <c r="V965" s="13"/>
      <c r="W965" s="242"/>
      <c r="X965" s="242"/>
      <c r="Y965" s="242"/>
    </row>
    <row r="966">
      <c r="A966" s="340"/>
      <c r="B966" s="242"/>
      <c r="C966" s="242"/>
      <c r="D966" s="242"/>
      <c r="E966" s="242"/>
      <c r="F966" s="242"/>
      <c r="G966" s="243"/>
      <c r="H966" s="242"/>
      <c r="I966" s="264"/>
      <c r="J966" s="251"/>
      <c r="K966" s="251"/>
      <c r="L966" s="242"/>
      <c r="M966" s="242"/>
      <c r="N966" s="242"/>
      <c r="O966" s="242"/>
      <c r="P966" s="242"/>
      <c r="Q966" s="242"/>
      <c r="R966" s="242"/>
      <c r="S966" s="243"/>
      <c r="T966" s="280"/>
      <c r="U966" s="341"/>
      <c r="V966" s="13"/>
      <c r="W966" s="242"/>
      <c r="X966" s="242"/>
      <c r="Y966" s="242"/>
    </row>
    <row r="967">
      <c r="A967" s="340"/>
      <c r="B967" s="242"/>
      <c r="C967" s="242"/>
      <c r="D967" s="242"/>
      <c r="E967" s="242"/>
      <c r="F967" s="242"/>
      <c r="G967" s="243"/>
      <c r="H967" s="242"/>
      <c r="I967" s="264"/>
      <c r="J967" s="251"/>
      <c r="K967" s="251"/>
      <c r="L967" s="242"/>
      <c r="M967" s="242"/>
      <c r="N967" s="242"/>
      <c r="O967" s="242"/>
      <c r="P967" s="242"/>
      <c r="Q967" s="242"/>
      <c r="R967" s="242"/>
      <c r="S967" s="243"/>
      <c r="T967" s="280"/>
      <c r="U967" s="341"/>
      <c r="V967" s="13"/>
      <c r="W967" s="242"/>
      <c r="X967" s="242"/>
      <c r="Y967" s="242"/>
    </row>
    <row r="968">
      <c r="A968" s="340"/>
      <c r="B968" s="242"/>
      <c r="C968" s="242"/>
      <c r="D968" s="242"/>
      <c r="E968" s="242"/>
      <c r="F968" s="242"/>
      <c r="G968" s="243"/>
      <c r="H968" s="242"/>
      <c r="I968" s="264"/>
      <c r="J968" s="251"/>
      <c r="K968" s="251"/>
      <c r="L968" s="242"/>
      <c r="M968" s="242"/>
      <c r="N968" s="242"/>
      <c r="O968" s="242"/>
      <c r="P968" s="242"/>
      <c r="Q968" s="242"/>
      <c r="R968" s="242"/>
      <c r="S968" s="243"/>
      <c r="T968" s="280"/>
      <c r="U968" s="341"/>
      <c r="V968" s="13"/>
      <c r="W968" s="242"/>
      <c r="X968" s="242"/>
      <c r="Y968" s="242"/>
    </row>
    <row r="969">
      <c r="A969" s="340"/>
      <c r="B969" s="242"/>
      <c r="C969" s="242"/>
      <c r="D969" s="242"/>
      <c r="E969" s="242"/>
      <c r="F969" s="242"/>
      <c r="G969" s="243"/>
      <c r="H969" s="242"/>
      <c r="I969" s="264"/>
      <c r="J969" s="251"/>
      <c r="K969" s="251"/>
      <c r="L969" s="242"/>
      <c r="M969" s="242"/>
      <c r="N969" s="242"/>
      <c r="O969" s="242"/>
      <c r="P969" s="242"/>
      <c r="Q969" s="242"/>
      <c r="R969" s="242"/>
      <c r="S969" s="243"/>
      <c r="T969" s="280"/>
      <c r="U969" s="341"/>
      <c r="V969" s="13"/>
      <c r="W969" s="242"/>
      <c r="X969" s="242"/>
      <c r="Y969" s="242"/>
    </row>
    <row r="970">
      <c r="A970" s="340"/>
      <c r="B970" s="242"/>
      <c r="C970" s="242"/>
      <c r="D970" s="242"/>
      <c r="E970" s="242"/>
      <c r="F970" s="242"/>
      <c r="G970" s="243"/>
      <c r="H970" s="242"/>
      <c r="I970" s="264"/>
      <c r="J970" s="251"/>
      <c r="K970" s="251"/>
      <c r="L970" s="242"/>
      <c r="M970" s="242"/>
      <c r="N970" s="242"/>
      <c r="O970" s="242"/>
      <c r="P970" s="242"/>
      <c r="Q970" s="242"/>
      <c r="R970" s="242"/>
      <c r="S970" s="243"/>
      <c r="T970" s="280"/>
      <c r="U970" s="341"/>
      <c r="V970" s="13"/>
      <c r="W970" s="242"/>
      <c r="X970" s="242"/>
      <c r="Y970" s="242"/>
    </row>
    <row r="971">
      <c r="A971" s="340"/>
      <c r="B971" s="242"/>
      <c r="C971" s="242"/>
      <c r="D971" s="242"/>
      <c r="E971" s="242"/>
      <c r="F971" s="242"/>
      <c r="G971" s="243"/>
      <c r="H971" s="242"/>
      <c r="I971" s="264"/>
      <c r="J971" s="251"/>
      <c r="K971" s="251"/>
      <c r="L971" s="242"/>
      <c r="M971" s="242"/>
      <c r="N971" s="242"/>
      <c r="O971" s="242"/>
      <c r="P971" s="242"/>
      <c r="Q971" s="242"/>
      <c r="R971" s="242"/>
      <c r="S971" s="243"/>
      <c r="T971" s="280"/>
      <c r="U971" s="341"/>
      <c r="V971" s="13"/>
      <c r="W971" s="242"/>
      <c r="X971" s="242"/>
      <c r="Y971" s="242"/>
    </row>
    <row r="972">
      <c r="A972" s="340"/>
      <c r="B972" s="242"/>
      <c r="C972" s="242"/>
      <c r="D972" s="242"/>
      <c r="E972" s="242"/>
      <c r="F972" s="242"/>
      <c r="G972" s="243"/>
      <c r="H972" s="242"/>
      <c r="I972" s="264"/>
      <c r="J972" s="251"/>
      <c r="K972" s="251"/>
      <c r="L972" s="242"/>
      <c r="M972" s="242"/>
      <c r="N972" s="242"/>
      <c r="O972" s="242"/>
      <c r="P972" s="242"/>
      <c r="Q972" s="242"/>
      <c r="R972" s="242"/>
      <c r="S972" s="243"/>
      <c r="T972" s="280"/>
      <c r="U972" s="341"/>
      <c r="V972" s="13"/>
      <c r="W972" s="242"/>
      <c r="X972" s="242"/>
      <c r="Y972" s="242"/>
    </row>
    <row r="973">
      <c r="A973" s="340"/>
      <c r="B973" s="242"/>
      <c r="C973" s="242"/>
      <c r="D973" s="242"/>
      <c r="E973" s="242"/>
      <c r="F973" s="242"/>
      <c r="G973" s="243"/>
      <c r="H973" s="242"/>
      <c r="I973" s="264"/>
      <c r="J973" s="251"/>
      <c r="K973" s="251"/>
      <c r="L973" s="242"/>
      <c r="M973" s="242"/>
      <c r="N973" s="242"/>
      <c r="O973" s="242"/>
      <c r="P973" s="242"/>
      <c r="Q973" s="242"/>
      <c r="R973" s="242"/>
      <c r="S973" s="243"/>
      <c r="T973" s="280"/>
      <c r="U973" s="341"/>
      <c r="V973" s="13"/>
      <c r="W973" s="242"/>
      <c r="X973" s="242"/>
      <c r="Y973" s="242"/>
    </row>
    <row r="974">
      <c r="A974" s="340"/>
      <c r="B974" s="242"/>
      <c r="C974" s="242"/>
      <c r="D974" s="242"/>
      <c r="E974" s="242"/>
      <c r="F974" s="242"/>
      <c r="G974" s="243"/>
      <c r="H974" s="242"/>
      <c r="I974" s="264"/>
      <c r="J974" s="251"/>
      <c r="K974" s="251"/>
      <c r="L974" s="242"/>
      <c r="M974" s="242"/>
      <c r="N974" s="242"/>
      <c r="O974" s="242"/>
      <c r="P974" s="242"/>
      <c r="Q974" s="242"/>
      <c r="R974" s="242"/>
      <c r="S974" s="243"/>
      <c r="T974" s="280"/>
      <c r="U974" s="341"/>
      <c r="V974" s="13"/>
      <c r="W974" s="242"/>
      <c r="X974" s="242"/>
      <c r="Y974" s="242"/>
    </row>
    <row r="975">
      <c r="A975" s="340"/>
      <c r="B975" s="242"/>
      <c r="C975" s="242"/>
      <c r="D975" s="242"/>
      <c r="E975" s="242"/>
      <c r="F975" s="242"/>
      <c r="G975" s="243"/>
      <c r="H975" s="242"/>
      <c r="I975" s="264"/>
      <c r="J975" s="251"/>
      <c r="K975" s="251"/>
      <c r="L975" s="242"/>
      <c r="M975" s="242"/>
      <c r="N975" s="242"/>
      <c r="O975" s="242"/>
      <c r="P975" s="242"/>
      <c r="Q975" s="242"/>
      <c r="R975" s="242"/>
      <c r="S975" s="243"/>
      <c r="T975" s="280"/>
      <c r="U975" s="341"/>
      <c r="V975" s="13"/>
      <c r="W975" s="242"/>
      <c r="X975" s="242"/>
      <c r="Y975" s="242"/>
    </row>
    <row r="976">
      <c r="A976" s="340"/>
      <c r="B976" s="242"/>
      <c r="C976" s="242"/>
      <c r="D976" s="242"/>
      <c r="E976" s="242"/>
      <c r="F976" s="242"/>
      <c r="G976" s="243"/>
      <c r="H976" s="242"/>
      <c r="I976" s="264"/>
      <c r="J976" s="251"/>
      <c r="K976" s="251"/>
      <c r="L976" s="242"/>
      <c r="M976" s="242"/>
      <c r="N976" s="242"/>
      <c r="O976" s="242"/>
      <c r="P976" s="242"/>
      <c r="Q976" s="242"/>
      <c r="R976" s="242"/>
      <c r="S976" s="243"/>
      <c r="T976" s="280"/>
      <c r="U976" s="341"/>
      <c r="V976" s="13"/>
      <c r="W976" s="242"/>
      <c r="X976" s="242"/>
      <c r="Y976" s="242"/>
    </row>
    <row r="977">
      <c r="A977" s="340"/>
      <c r="B977" s="242"/>
      <c r="C977" s="242"/>
      <c r="D977" s="242"/>
      <c r="E977" s="242"/>
      <c r="F977" s="242"/>
      <c r="G977" s="243"/>
      <c r="H977" s="242"/>
      <c r="I977" s="264"/>
      <c r="J977" s="251"/>
      <c r="K977" s="251"/>
      <c r="L977" s="242"/>
      <c r="M977" s="242"/>
      <c r="N977" s="242"/>
      <c r="O977" s="242"/>
      <c r="P977" s="242"/>
      <c r="Q977" s="242"/>
      <c r="R977" s="242"/>
      <c r="S977" s="243"/>
      <c r="T977" s="280"/>
      <c r="U977" s="341"/>
      <c r="V977" s="13"/>
      <c r="W977" s="242"/>
      <c r="X977" s="242"/>
      <c r="Y977" s="242"/>
    </row>
    <row r="978">
      <c r="A978" s="340"/>
      <c r="B978" s="242"/>
      <c r="C978" s="242"/>
      <c r="D978" s="242"/>
      <c r="E978" s="242"/>
      <c r="F978" s="242"/>
      <c r="G978" s="243"/>
      <c r="H978" s="242"/>
      <c r="I978" s="264"/>
      <c r="J978" s="251"/>
      <c r="K978" s="251"/>
      <c r="L978" s="242"/>
      <c r="M978" s="242"/>
      <c r="N978" s="242"/>
      <c r="O978" s="242"/>
      <c r="P978" s="242"/>
      <c r="Q978" s="242"/>
      <c r="R978" s="242"/>
      <c r="S978" s="243"/>
      <c r="T978" s="280"/>
      <c r="U978" s="341"/>
      <c r="V978" s="13"/>
      <c r="W978" s="242"/>
      <c r="X978" s="242"/>
      <c r="Y978" s="242"/>
    </row>
    <row r="979">
      <c r="A979" s="340"/>
      <c r="B979" s="242"/>
      <c r="C979" s="242"/>
      <c r="D979" s="242"/>
      <c r="E979" s="242"/>
      <c r="F979" s="242"/>
      <c r="G979" s="243"/>
      <c r="H979" s="242"/>
      <c r="I979" s="264"/>
      <c r="J979" s="251"/>
      <c r="K979" s="251"/>
      <c r="L979" s="242"/>
      <c r="M979" s="242"/>
      <c r="N979" s="242"/>
      <c r="O979" s="242"/>
      <c r="P979" s="242"/>
      <c r="Q979" s="242"/>
      <c r="R979" s="242"/>
      <c r="S979" s="243"/>
      <c r="T979" s="280"/>
      <c r="U979" s="341"/>
      <c r="V979" s="13"/>
      <c r="W979" s="242"/>
      <c r="X979" s="242"/>
      <c r="Y979" s="242"/>
    </row>
    <row r="980">
      <c r="A980" s="340"/>
      <c r="B980" s="242"/>
      <c r="C980" s="242"/>
      <c r="D980" s="242"/>
      <c r="E980" s="242"/>
      <c r="F980" s="242"/>
      <c r="G980" s="243"/>
      <c r="H980" s="242"/>
      <c r="I980" s="264"/>
      <c r="J980" s="251"/>
      <c r="K980" s="251"/>
      <c r="L980" s="242"/>
      <c r="M980" s="242"/>
      <c r="N980" s="242"/>
      <c r="O980" s="242"/>
      <c r="P980" s="242"/>
      <c r="Q980" s="242"/>
      <c r="R980" s="242"/>
      <c r="S980" s="243"/>
      <c r="T980" s="280"/>
      <c r="U980" s="341"/>
      <c r="V980" s="13"/>
      <c r="W980" s="242"/>
      <c r="X980" s="242"/>
      <c r="Y980" s="242"/>
    </row>
    <row r="981">
      <c r="A981" s="340"/>
      <c r="B981" s="242"/>
      <c r="C981" s="242"/>
      <c r="D981" s="242"/>
      <c r="E981" s="242"/>
      <c r="F981" s="242"/>
      <c r="G981" s="243"/>
      <c r="H981" s="242"/>
      <c r="I981" s="264"/>
      <c r="J981" s="251"/>
      <c r="K981" s="251"/>
      <c r="L981" s="242"/>
      <c r="M981" s="242"/>
      <c r="N981" s="242"/>
      <c r="O981" s="242"/>
      <c r="P981" s="242"/>
      <c r="Q981" s="242"/>
      <c r="R981" s="242"/>
      <c r="S981" s="243"/>
      <c r="T981" s="280"/>
      <c r="U981" s="341"/>
      <c r="V981" s="13"/>
      <c r="W981" s="242"/>
      <c r="X981" s="242"/>
      <c r="Y981" s="242"/>
    </row>
    <row r="982">
      <c r="A982" s="340"/>
      <c r="B982" s="242"/>
      <c r="C982" s="242"/>
      <c r="D982" s="242"/>
      <c r="E982" s="242"/>
      <c r="F982" s="242"/>
      <c r="G982" s="243"/>
      <c r="H982" s="242"/>
      <c r="I982" s="264"/>
      <c r="J982" s="251"/>
      <c r="K982" s="251"/>
      <c r="L982" s="242"/>
      <c r="M982" s="242"/>
      <c r="N982" s="242"/>
      <c r="O982" s="242"/>
      <c r="P982" s="242"/>
      <c r="Q982" s="242"/>
      <c r="R982" s="242"/>
      <c r="S982" s="243"/>
      <c r="T982" s="280"/>
      <c r="U982" s="341"/>
      <c r="V982" s="13"/>
      <c r="W982" s="242"/>
      <c r="X982" s="242"/>
      <c r="Y982" s="242"/>
    </row>
    <row r="983">
      <c r="A983" s="340"/>
      <c r="B983" s="242"/>
      <c r="C983" s="242"/>
      <c r="D983" s="242"/>
      <c r="E983" s="242"/>
      <c r="F983" s="242"/>
      <c r="G983" s="243"/>
      <c r="H983" s="242"/>
      <c r="I983" s="264"/>
      <c r="J983" s="251"/>
      <c r="K983" s="251"/>
      <c r="L983" s="242"/>
      <c r="M983" s="242"/>
      <c r="N983" s="242"/>
      <c r="O983" s="242"/>
      <c r="P983" s="242"/>
      <c r="Q983" s="242"/>
      <c r="R983" s="242"/>
      <c r="S983" s="243"/>
      <c r="T983" s="280"/>
      <c r="U983" s="341"/>
      <c r="V983" s="13"/>
      <c r="W983" s="242"/>
      <c r="X983" s="242"/>
      <c r="Y983" s="242"/>
    </row>
    <row r="984">
      <c r="A984" s="340"/>
      <c r="B984" s="242"/>
      <c r="C984" s="242"/>
      <c r="D984" s="242"/>
      <c r="E984" s="242"/>
      <c r="F984" s="242"/>
      <c r="G984" s="243"/>
      <c r="H984" s="242"/>
      <c r="I984" s="264"/>
      <c r="J984" s="251"/>
      <c r="K984" s="251"/>
      <c r="L984" s="242"/>
      <c r="M984" s="242"/>
      <c r="N984" s="242"/>
      <c r="O984" s="242"/>
      <c r="P984" s="242"/>
      <c r="Q984" s="242"/>
      <c r="R984" s="242"/>
      <c r="S984" s="243"/>
      <c r="T984" s="280"/>
      <c r="U984" s="341"/>
      <c r="V984" s="13"/>
      <c r="W984" s="242"/>
      <c r="X984" s="242"/>
      <c r="Y984" s="242"/>
    </row>
    <row r="985">
      <c r="A985" s="340"/>
      <c r="B985" s="242"/>
      <c r="C985" s="242"/>
      <c r="D985" s="242"/>
      <c r="E985" s="242"/>
      <c r="F985" s="242"/>
      <c r="G985" s="243"/>
      <c r="H985" s="242"/>
      <c r="I985" s="264"/>
      <c r="J985" s="251"/>
      <c r="K985" s="251"/>
      <c r="L985" s="242"/>
      <c r="M985" s="242"/>
      <c r="N985" s="242"/>
      <c r="O985" s="242"/>
      <c r="P985" s="242"/>
      <c r="Q985" s="242"/>
      <c r="R985" s="242"/>
      <c r="S985" s="243"/>
      <c r="T985" s="280"/>
      <c r="U985" s="341"/>
      <c r="V985" s="13"/>
      <c r="W985" s="242"/>
      <c r="X985" s="242"/>
      <c r="Y985" s="242"/>
    </row>
    <row r="986">
      <c r="A986" s="340"/>
      <c r="B986" s="242"/>
      <c r="C986" s="242"/>
      <c r="D986" s="242"/>
      <c r="E986" s="242"/>
      <c r="F986" s="242"/>
      <c r="G986" s="243"/>
      <c r="H986" s="242"/>
      <c r="I986" s="264"/>
      <c r="J986" s="251"/>
      <c r="K986" s="251"/>
      <c r="L986" s="242"/>
      <c r="M986" s="242"/>
      <c r="N986" s="242"/>
      <c r="O986" s="242"/>
      <c r="P986" s="242"/>
      <c r="Q986" s="242"/>
      <c r="R986" s="242"/>
      <c r="S986" s="243"/>
      <c r="T986" s="280"/>
      <c r="U986" s="341"/>
      <c r="V986" s="13"/>
      <c r="W986" s="242"/>
      <c r="X986" s="242"/>
      <c r="Y986" s="242"/>
    </row>
    <row r="987">
      <c r="A987" s="340"/>
      <c r="B987" s="242"/>
      <c r="C987" s="242"/>
      <c r="D987" s="242"/>
      <c r="E987" s="242"/>
      <c r="F987" s="242"/>
      <c r="G987" s="243"/>
      <c r="H987" s="242"/>
      <c r="I987" s="264"/>
      <c r="J987" s="251"/>
      <c r="K987" s="251"/>
      <c r="L987" s="242"/>
      <c r="M987" s="242"/>
      <c r="N987" s="242"/>
      <c r="O987" s="242"/>
      <c r="P987" s="242"/>
      <c r="Q987" s="242"/>
      <c r="R987" s="242"/>
      <c r="S987" s="243"/>
      <c r="T987" s="280"/>
      <c r="U987" s="341"/>
      <c r="V987" s="13"/>
      <c r="W987" s="242"/>
      <c r="X987" s="242"/>
      <c r="Y987" s="242"/>
    </row>
    <row r="988">
      <c r="A988" s="340"/>
      <c r="B988" s="242"/>
      <c r="C988" s="242"/>
      <c r="D988" s="242"/>
      <c r="E988" s="242"/>
      <c r="F988" s="242"/>
      <c r="G988" s="243"/>
      <c r="H988" s="242"/>
      <c r="I988" s="264"/>
      <c r="J988" s="251"/>
      <c r="K988" s="251"/>
      <c r="L988" s="242"/>
      <c r="M988" s="242"/>
      <c r="N988" s="242"/>
      <c r="O988" s="242"/>
      <c r="P988" s="242"/>
      <c r="Q988" s="242"/>
      <c r="R988" s="242"/>
      <c r="S988" s="243"/>
      <c r="T988" s="280"/>
      <c r="U988" s="341"/>
      <c r="V988" s="13"/>
      <c r="W988" s="242"/>
      <c r="X988" s="242"/>
      <c r="Y988" s="242"/>
    </row>
    <row r="989">
      <c r="A989" s="340"/>
      <c r="B989" s="242"/>
      <c r="C989" s="242"/>
      <c r="D989" s="242"/>
      <c r="E989" s="242"/>
      <c r="F989" s="242"/>
      <c r="G989" s="243"/>
      <c r="H989" s="242"/>
      <c r="I989" s="264"/>
      <c r="J989" s="251"/>
      <c r="K989" s="251"/>
      <c r="L989" s="242"/>
      <c r="M989" s="242"/>
      <c r="N989" s="242"/>
      <c r="O989" s="242"/>
      <c r="P989" s="242"/>
      <c r="Q989" s="242"/>
      <c r="R989" s="242"/>
      <c r="S989" s="243"/>
      <c r="T989" s="280"/>
      <c r="U989" s="341"/>
      <c r="V989" s="13"/>
      <c r="W989" s="242"/>
      <c r="X989" s="242"/>
      <c r="Y989" s="242"/>
    </row>
    <row r="990">
      <c r="A990" s="340"/>
      <c r="B990" s="242"/>
      <c r="C990" s="242"/>
      <c r="D990" s="242"/>
      <c r="E990" s="242"/>
      <c r="F990" s="242"/>
      <c r="G990" s="243"/>
      <c r="H990" s="242"/>
      <c r="I990" s="264"/>
      <c r="J990" s="251"/>
      <c r="K990" s="251"/>
      <c r="L990" s="242"/>
      <c r="M990" s="242"/>
      <c r="N990" s="242"/>
      <c r="O990" s="242"/>
      <c r="P990" s="242"/>
      <c r="Q990" s="242"/>
      <c r="R990" s="242"/>
      <c r="S990" s="243"/>
      <c r="T990" s="280"/>
      <c r="U990" s="341"/>
      <c r="V990" s="13"/>
      <c r="W990" s="242"/>
      <c r="X990" s="242"/>
      <c r="Y990" s="242"/>
    </row>
    <row r="991">
      <c r="A991" s="340"/>
      <c r="B991" s="242"/>
      <c r="C991" s="242"/>
      <c r="D991" s="242"/>
      <c r="E991" s="242"/>
      <c r="F991" s="242"/>
      <c r="G991" s="243"/>
      <c r="H991" s="242"/>
      <c r="I991" s="264"/>
      <c r="J991" s="251"/>
      <c r="K991" s="251"/>
      <c r="L991" s="242"/>
      <c r="M991" s="242"/>
      <c r="N991" s="242"/>
      <c r="O991" s="242"/>
      <c r="P991" s="242"/>
      <c r="Q991" s="242"/>
      <c r="R991" s="242"/>
      <c r="S991" s="243"/>
      <c r="T991" s="280"/>
      <c r="U991" s="341"/>
      <c r="V991" s="13"/>
      <c r="W991" s="242"/>
      <c r="X991" s="242"/>
      <c r="Y991" s="242"/>
    </row>
    <row r="992">
      <c r="A992" s="340"/>
      <c r="B992" s="242"/>
      <c r="C992" s="242"/>
      <c r="D992" s="242"/>
      <c r="E992" s="242"/>
      <c r="F992" s="242"/>
      <c r="G992" s="243"/>
      <c r="H992" s="242"/>
      <c r="I992" s="264"/>
      <c r="J992" s="251"/>
      <c r="K992" s="251"/>
      <c r="L992" s="242"/>
      <c r="M992" s="242"/>
      <c r="N992" s="242"/>
      <c r="O992" s="242"/>
      <c r="P992" s="242"/>
      <c r="Q992" s="242"/>
      <c r="R992" s="242"/>
      <c r="S992" s="243"/>
      <c r="T992" s="280"/>
      <c r="U992" s="341"/>
      <c r="V992" s="13"/>
      <c r="W992" s="242"/>
      <c r="X992" s="242"/>
      <c r="Y992" s="242"/>
    </row>
    <row r="993">
      <c r="A993" s="340"/>
      <c r="B993" s="242"/>
      <c r="C993" s="242"/>
      <c r="D993" s="242"/>
      <c r="E993" s="242"/>
      <c r="F993" s="242"/>
      <c r="G993" s="243"/>
      <c r="H993" s="242"/>
      <c r="I993" s="264"/>
      <c r="J993" s="251"/>
      <c r="K993" s="251"/>
      <c r="L993" s="242"/>
      <c r="M993" s="242"/>
      <c r="N993" s="242"/>
      <c r="O993" s="242"/>
      <c r="P993" s="242"/>
      <c r="Q993" s="242"/>
      <c r="R993" s="242"/>
      <c r="S993" s="243"/>
      <c r="T993" s="280"/>
      <c r="U993" s="341"/>
      <c r="V993" s="13"/>
      <c r="W993" s="242"/>
      <c r="X993" s="242"/>
      <c r="Y993" s="242"/>
    </row>
    <row r="994">
      <c r="A994" s="340"/>
      <c r="B994" s="242"/>
      <c r="C994" s="242"/>
      <c r="D994" s="242"/>
      <c r="E994" s="242"/>
      <c r="F994" s="242"/>
      <c r="G994" s="243"/>
      <c r="H994" s="242"/>
      <c r="I994" s="264"/>
      <c r="J994" s="251"/>
      <c r="K994" s="251"/>
      <c r="L994" s="242"/>
      <c r="M994" s="242"/>
      <c r="N994" s="242"/>
      <c r="O994" s="242"/>
      <c r="P994" s="242"/>
      <c r="Q994" s="242"/>
      <c r="R994" s="242"/>
      <c r="S994" s="243"/>
      <c r="T994" s="280"/>
      <c r="U994" s="341"/>
      <c r="V994" s="13"/>
      <c r="W994" s="242"/>
      <c r="X994" s="242"/>
      <c r="Y994" s="242"/>
    </row>
    <row r="995">
      <c r="A995" s="340"/>
      <c r="B995" s="242"/>
      <c r="C995" s="242"/>
      <c r="D995" s="242"/>
      <c r="E995" s="242"/>
      <c r="F995" s="242"/>
      <c r="G995" s="243"/>
      <c r="H995" s="242"/>
      <c r="I995" s="264"/>
      <c r="J995" s="251"/>
      <c r="K995" s="251"/>
      <c r="L995" s="242"/>
      <c r="M995" s="242"/>
      <c r="N995" s="242"/>
      <c r="O995" s="242"/>
      <c r="P995" s="242"/>
      <c r="Q995" s="242"/>
      <c r="R995" s="242"/>
      <c r="S995" s="243"/>
      <c r="T995" s="280"/>
      <c r="U995" s="341"/>
      <c r="V995" s="13"/>
      <c r="W995" s="242"/>
      <c r="X995" s="242"/>
      <c r="Y995" s="242"/>
    </row>
    <row r="996">
      <c r="A996" s="340"/>
      <c r="B996" s="242"/>
      <c r="C996" s="242"/>
      <c r="D996" s="242"/>
      <c r="E996" s="242"/>
      <c r="F996" s="242"/>
      <c r="G996" s="243"/>
      <c r="H996" s="242"/>
      <c r="I996" s="264"/>
      <c r="J996" s="251"/>
      <c r="K996" s="251"/>
      <c r="L996" s="242"/>
      <c r="M996" s="242"/>
      <c r="N996" s="242"/>
      <c r="O996" s="242"/>
      <c r="P996" s="242"/>
      <c r="Q996" s="242"/>
      <c r="R996" s="242"/>
      <c r="S996" s="243"/>
      <c r="T996" s="280"/>
      <c r="U996" s="341"/>
      <c r="V996" s="13"/>
      <c r="W996" s="242"/>
      <c r="X996" s="242"/>
      <c r="Y996" s="242"/>
    </row>
    <row r="997">
      <c r="A997" s="340"/>
      <c r="B997" s="242"/>
      <c r="C997" s="242"/>
      <c r="D997" s="242"/>
      <c r="E997" s="242"/>
      <c r="F997" s="242"/>
      <c r="G997" s="243"/>
      <c r="H997" s="242"/>
      <c r="I997" s="264"/>
      <c r="J997" s="251"/>
      <c r="K997" s="251"/>
      <c r="L997" s="242"/>
      <c r="M997" s="242"/>
      <c r="N997" s="242"/>
      <c r="O997" s="242"/>
      <c r="P997" s="242"/>
      <c r="Q997" s="242"/>
      <c r="R997" s="242"/>
      <c r="S997" s="243"/>
      <c r="T997" s="280"/>
      <c r="U997" s="341"/>
      <c r="V997" s="13"/>
      <c r="W997" s="242"/>
      <c r="X997" s="242"/>
      <c r="Y997" s="242"/>
    </row>
    <row r="998">
      <c r="A998" s="340"/>
      <c r="B998" s="242"/>
      <c r="C998" s="242"/>
      <c r="D998" s="242"/>
      <c r="E998" s="242"/>
      <c r="F998" s="242"/>
      <c r="G998" s="243"/>
      <c r="H998" s="242"/>
      <c r="I998" s="264"/>
      <c r="J998" s="251"/>
      <c r="K998" s="251"/>
      <c r="L998" s="242"/>
      <c r="M998" s="242"/>
      <c r="N998" s="242"/>
      <c r="O998" s="242"/>
      <c r="P998" s="242"/>
      <c r="Q998" s="242"/>
      <c r="R998" s="242"/>
      <c r="S998" s="243"/>
      <c r="T998" s="280"/>
      <c r="U998" s="341"/>
      <c r="V998" s="13"/>
      <c r="W998" s="242"/>
      <c r="X998" s="242"/>
      <c r="Y998" s="242"/>
    </row>
    <row r="999">
      <c r="A999" s="340"/>
      <c r="B999" s="242"/>
      <c r="C999" s="242"/>
      <c r="D999" s="242"/>
      <c r="E999" s="242"/>
      <c r="F999" s="242"/>
      <c r="G999" s="243"/>
      <c r="H999" s="242"/>
      <c r="I999" s="264"/>
      <c r="J999" s="251"/>
      <c r="K999" s="251"/>
      <c r="L999" s="242"/>
      <c r="M999" s="242"/>
      <c r="N999" s="242"/>
      <c r="O999" s="242"/>
      <c r="P999" s="242"/>
      <c r="Q999" s="242"/>
      <c r="R999" s="242"/>
      <c r="S999" s="243"/>
      <c r="T999" s="280"/>
      <c r="U999" s="341"/>
      <c r="V999" s="13"/>
      <c r="W999" s="242"/>
      <c r="X999" s="242"/>
      <c r="Y999" s="242"/>
    </row>
    <row r="1000">
      <c r="A1000" s="340"/>
      <c r="B1000" s="242"/>
      <c r="C1000" s="242"/>
      <c r="D1000" s="242"/>
      <c r="E1000" s="242"/>
      <c r="F1000" s="242"/>
      <c r="G1000" s="243"/>
      <c r="H1000" s="242"/>
      <c r="I1000" s="264"/>
      <c r="J1000" s="251"/>
      <c r="K1000" s="251"/>
      <c r="L1000" s="242"/>
      <c r="M1000" s="242"/>
      <c r="N1000" s="242"/>
      <c r="O1000" s="242"/>
      <c r="P1000" s="242"/>
      <c r="Q1000" s="242"/>
      <c r="R1000" s="242"/>
      <c r="S1000" s="243"/>
      <c r="T1000" s="280"/>
      <c r="U1000" s="341"/>
      <c r="V1000" s="13"/>
      <c r="W1000" s="242"/>
      <c r="X1000" s="242"/>
      <c r="Y1000" s="242"/>
    </row>
    <row r="1001">
      <c r="A1001" s="340"/>
      <c r="B1001" s="242"/>
      <c r="C1001" s="242"/>
      <c r="D1001" s="242"/>
      <c r="E1001" s="242"/>
      <c r="F1001" s="242"/>
      <c r="G1001" s="243"/>
      <c r="H1001" s="242"/>
      <c r="I1001" s="264"/>
      <c r="J1001" s="251"/>
      <c r="K1001" s="251"/>
      <c r="L1001" s="242"/>
      <c r="M1001" s="242"/>
      <c r="N1001" s="242"/>
      <c r="O1001" s="242"/>
      <c r="P1001" s="242"/>
      <c r="Q1001" s="242"/>
      <c r="R1001" s="242"/>
      <c r="S1001" s="243"/>
      <c r="T1001" s="280"/>
      <c r="U1001" s="341"/>
      <c r="V1001" s="13"/>
      <c r="W1001" s="242"/>
      <c r="X1001" s="242"/>
      <c r="Y1001" s="242"/>
    </row>
    <row r="1002">
      <c r="A1002" s="340"/>
      <c r="B1002" s="242"/>
      <c r="C1002" s="242"/>
      <c r="D1002" s="242"/>
      <c r="E1002" s="242"/>
      <c r="F1002" s="242"/>
      <c r="G1002" s="243"/>
      <c r="H1002" s="242"/>
      <c r="I1002" s="264"/>
      <c r="J1002" s="251"/>
      <c r="K1002" s="251"/>
      <c r="L1002" s="242"/>
      <c r="M1002" s="242"/>
      <c r="N1002" s="242"/>
      <c r="O1002" s="242"/>
      <c r="P1002" s="242"/>
      <c r="Q1002" s="242"/>
      <c r="R1002" s="242"/>
      <c r="S1002" s="243"/>
      <c r="T1002" s="280"/>
      <c r="U1002" s="341"/>
      <c r="V1002" s="13"/>
      <c r="W1002" s="242"/>
      <c r="X1002" s="242"/>
      <c r="Y1002" s="242"/>
    </row>
    <row r="1003">
      <c r="A1003" s="340"/>
      <c r="B1003" s="242"/>
      <c r="C1003" s="242"/>
      <c r="D1003" s="242"/>
      <c r="E1003" s="242"/>
      <c r="F1003" s="242"/>
      <c r="G1003" s="243"/>
      <c r="H1003" s="242"/>
      <c r="I1003" s="264"/>
      <c r="J1003" s="251"/>
      <c r="K1003" s="251"/>
      <c r="L1003" s="242"/>
      <c r="M1003" s="242"/>
      <c r="N1003" s="242"/>
      <c r="O1003" s="242"/>
      <c r="P1003" s="242"/>
      <c r="Q1003" s="242"/>
      <c r="R1003" s="242"/>
      <c r="S1003" s="243"/>
      <c r="T1003" s="280"/>
      <c r="U1003" s="341"/>
      <c r="V1003" s="13"/>
      <c r="W1003" s="242"/>
      <c r="X1003" s="242"/>
      <c r="Y1003" s="242"/>
    </row>
    <row r="1004">
      <c r="A1004" s="340"/>
      <c r="B1004" s="242"/>
      <c r="C1004" s="242"/>
      <c r="D1004" s="242"/>
      <c r="E1004" s="242"/>
      <c r="F1004" s="242"/>
      <c r="G1004" s="243"/>
      <c r="H1004" s="242"/>
      <c r="I1004" s="264"/>
      <c r="J1004" s="251"/>
      <c r="K1004" s="251"/>
      <c r="L1004" s="242"/>
      <c r="M1004" s="242"/>
      <c r="N1004" s="242"/>
      <c r="O1004" s="242"/>
      <c r="P1004" s="242"/>
      <c r="Q1004" s="242"/>
      <c r="R1004" s="242"/>
      <c r="S1004" s="243"/>
      <c r="T1004" s="280"/>
      <c r="U1004" s="341"/>
      <c r="V1004" s="13"/>
      <c r="W1004" s="242"/>
      <c r="X1004" s="242"/>
      <c r="Y1004" s="242"/>
    </row>
    <row r="1005">
      <c r="A1005" s="340"/>
      <c r="B1005" s="242"/>
      <c r="C1005" s="242"/>
      <c r="D1005" s="242"/>
      <c r="E1005" s="242"/>
      <c r="F1005" s="242"/>
      <c r="G1005" s="243"/>
      <c r="H1005" s="242"/>
      <c r="I1005" s="264"/>
      <c r="J1005" s="251"/>
      <c r="K1005" s="251"/>
      <c r="L1005" s="242"/>
      <c r="M1005" s="242"/>
      <c r="N1005" s="242"/>
      <c r="O1005" s="242"/>
      <c r="P1005" s="242"/>
      <c r="Q1005" s="242"/>
      <c r="R1005" s="242"/>
      <c r="S1005" s="243"/>
      <c r="T1005" s="280"/>
      <c r="U1005" s="341"/>
      <c r="V1005" s="13"/>
      <c r="W1005" s="242"/>
      <c r="X1005" s="242"/>
      <c r="Y1005" s="242"/>
    </row>
    <row r="1006">
      <c r="A1006" s="340"/>
      <c r="B1006" s="242"/>
      <c r="C1006" s="242"/>
      <c r="D1006" s="242"/>
      <c r="E1006" s="242"/>
      <c r="F1006" s="242"/>
      <c r="G1006" s="243"/>
      <c r="H1006" s="242"/>
      <c r="I1006" s="264"/>
      <c r="J1006" s="251"/>
      <c r="K1006" s="251"/>
      <c r="L1006" s="242"/>
      <c r="M1006" s="242"/>
      <c r="N1006" s="242"/>
      <c r="O1006" s="242"/>
      <c r="P1006" s="242"/>
      <c r="Q1006" s="242"/>
      <c r="R1006" s="242"/>
      <c r="S1006" s="243"/>
      <c r="T1006" s="280"/>
      <c r="U1006" s="341"/>
      <c r="V1006" s="13"/>
      <c r="W1006" s="242"/>
      <c r="X1006" s="242"/>
      <c r="Y1006" s="242"/>
    </row>
    <row r="1007">
      <c r="A1007" s="340"/>
      <c r="B1007" s="242"/>
      <c r="C1007" s="242"/>
      <c r="D1007" s="242"/>
      <c r="E1007" s="242"/>
      <c r="F1007" s="242"/>
      <c r="G1007" s="243"/>
      <c r="H1007" s="242"/>
      <c r="I1007" s="264"/>
      <c r="J1007" s="251"/>
      <c r="K1007" s="251"/>
      <c r="L1007" s="242"/>
      <c r="M1007" s="242"/>
      <c r="N1007" s="242"/>
      <c r="O1007" s="242"/>
      <c r="P1007" s="242"/>
      <c r="Q1007" s="242"/>
      <c r="R1007" s="242"/>
      <c r="S1007" s="243"/>
      <c r="T1007" s="280"/>
      <c r="U1007" s="341"/>
      <c r="V1007" s="13"/>
      <c r="W1007" s="242"/>
      <c r="X1007" s="242"/>
      <c r="Y1007" s="242"/>
    </row>
    <row r="1008">
      <c r="A1008" s="340"/>
      <c r="B1008" s="242"/>
      <c r="C1008" s="242"/>
      <c r="D1008" s="242"/>
      <c r="E1008" s="242"/>
      <c r="F1008" s="242"/>
      <c r="G1008" s="243"/>
      <c r="H1008" s="242"/>
      <c r="I1008" s="264"/>
      <c r="J1008" s="251"/>
      <c r="K1008" s="251"/>
      <c r="L1008" s="242"/>
      <c r="M1008" s="242"/>
      <c r="N1008" s="242"/>
      <c r="O1008" s="242"/>
      <c r="P1008" s="242"/>
      <c r="Q1008" s="242"/>
      <c r="R1008" s="242"/>
      <c r="S1008" s="243"/>
      <c r="T1008" s="280"/>
      <c r="U1008" s="341"/>
      <c r="V1008" s="13"/>
      <c r="W1008" s="242"/>
      <c r="X1008" s="242"/>
      <c r="Y1008" s="242"/>
    </row>
    <row r="1009">
      <c r="A1009" s="340"/>
      <c r="B1009" s="242"/>
      <c r="C1009" s="242"/>
      <c r="D1009" s="242"/>
      <c r="E1009" s="242"/>
      <c r="F1009" s="242"/>
      <c r="G1009" s="243"/>
      <c r="H1009" s="242"/>
      <c r="I1009" s="264"/>
      <c r="J1009" s="251"/>
      <c r="K1009" s="251"/>
      <c r="L1009" s="242"/>
      <c r="M1009" s="242"/>
      <c r="N1009" s="242"/>
      <c r="O1009" s="242"/>
      <c r="P1009" s="242"/>
      <c r="Q1009" s="242"/>
      <c r="R1009" s="242"/>
      <c r="S1009" s="243"/>
      <c r="T1009" s="280"/>
      <c r="U1009" s="341"/>
      <c r="V1009" s="13"/>
      <c r="W1009" s="242"/>
      <c r="X1009" s="242"/>
      <c r="Y1009" s="242"/>
    </row>
    <row r="1010">
      <c r="A1010" s="340"/>
      <c r="B1010" s="242"/>
      <c r="C1010" s="242"/>
      <c r="D1010" s="242"/>
      <c r="E1010" s="242"/>
      <c r="F1010" s="242"/>
      <c r="G1010" s="243"/>
      <c r="H1010" s="242"/>
      <c r="I1010" s="264"/>
      <c r="J1010" s="251"/>
      <c r="K1010" s="251"/>
      <c r="L1010" s="242"/>
      <c r="M1010" s="242"/>
      <c r="N1010" s="242"/>
      <c r="O1010" s="242"/>
      <c r="P1010" s="242"/>
      <c r="Q1010" s="242"/>
      <c r="R1010" s="242"/>
      <c r="S1010" s="243"/>
      <c r="T1010" s="280"/>
      <c r="U1010" s="341"/>
      <c r="V1010" s="13"/>
      <c r="W1010" s="242"/>
      <c r="X1010" s="242"/>
      <c r="Y1010" s="242"/>
    </row>
    <row r="1011">
      <c r="A1011" s="340"/>
      <c r="B1011" s="242"/>
      <c r="C1011" s="242"/>
      <c r="D1011" s="242"/>
      <c r="E1011" s="242"/>
      <c r="F1011" s="242"/>
      <c r="G1011" s="243"/>
      <c r="H1011" s="242"/>
      <c r="I1011" s="264"/>
      <c r="J1011" s="251"/>
      <c r="K1011" s="251"/>
      <c r="L1011" s="242"/>
      <c r="M1011" s="242"/>
      <c r="N1011" s="242"/>
      <c r="O1011" s="242"/>
      <c r="P1011" s="242"/>
      <c r="Q1011" s="242"/>
      <c r="R1011" s="242"/>
      <c r="S1011" s="243"/>
      <c r="T1011" s="280"/>
      <c r="U1011" s="341"/>
      <c r="V1011" s="13"/>
      <c r="W1011" s="242"/>
      <c r="X1011" s="242"/>
      <c r="Y1011" s="242"/>
    </row>
    <row r="1012">
      <c r="A1012" s="340"/>
      <c r="B1012" s="242"/>
      <c r="C1012" s="242"/>
      <c r="D1012" s="242"/>
      <c r="E1012" s="242"/>
      <c r="F1012" s="242"/>
      <c r="G1012" s="243"/>
      <c r="H1012" s="242"/>
      <c r="I1012" s="264"/>
      <c r="J1012" s="251"/>
      <c r="K1012" s="251"/>
      <c r="L1012" s="242"/>
      <c r="M1012" s="242"/>
      <c r="N1012" s="242"/>
      <c r="O1012" s="242"/>
      <c r="P1012" s="242"/>
      <c r="Q1012" s="242"/>
      <c r="R1012" s="242"/>
      <c r="S1012" s="243"/>
      <c r="T1012" s="280"/>
      <c r="U1012" s="341"/>
      <c r="V1012" s="13"/>
      <c r="W1012" s="242"/>
      <c r="X1012" s="242"/>
      <c r="Y1012" s="242"/>
    </row>
    <row r="1013">
      <c r="A1013" s="340"/>
      <c r="B1013" s="242"/>
      <c r="C1013" s="242"/>
      <c r="D1013" s="242"/>
      <c r="E1013" s="242"/>
      <c r="F1013" s="242"/>
      <c r="G1013" s="243"/>
      <c r="H1013" s="242"/>
      <c r="I1013" s="264"/>
      <c r="J1013" s="251"/>
      <c r="K1013" s="251"/>
      <c r="L1013" s="242"/>
      <c r="M1013" s="242"/>
      <c r="N1013" s="242"/>
      <c r="O1013" s="242"/>
      <c r="P1013" s="242"/>
      <c r="Q1013" s="242"/>
      <c r="R1013" s="242"/>
      <c r="S1013" s="243"/>
      <c r="T1013" s="280"/>
      <c r="U1013" s="341"/>
      <c r="V1013" s="13"/>
      <c r="W1013" s="242"/>
      <c r="X1013" s="242"/>
      <c r="Y1013" s="242"/>
    </row>
    <row r="1014">
      <c r="A1014" s="340"/>
      <c r="B1014" s="242"/>
      <c r="C1014" s="242"/>
      <c r="D1014" s="242"/>
      <c r="E1014" s="242"/>
      <c r="F1014" s="242"/>
      <c r="G1014" s="243"/>
      <c r="H1014" s="242"/>
      <c r="I1014" s="264"/>
      <c r="J1014" s="251"/>
      <c r="K1014" s="251"/>
      <c r="L1014" s="242"/>
      <c r="M1014" s="242"/>
      <c r="N1014" s="242"/>
      <c r="O1014" s="242"/>
      <c r="P1014" s="242"/>
      <c r="Q1014" s="242"/>
      <c r="R1014" s="242"/>
      <c r="S1014" s="243"/>
      <c r="T1014" s="280"/>
      <c r="U1014" s="341"/>
      <c r="V1014" s="13"/>
      <c r="W1014" s="242"/>
      <c r="X1014" s="242"/>
      <c r="Y1014" s="242"/>
    </row>
    <row r="1015">
      <c r="A1015" s="340"/>
      <c r="B1015" s="242"/>
      <c r="C1015" s="242"/>
      <c r="D1015" s="242"/>
      <c r="E1015" s="242"/>
      <c r="F1015" s="242"/>
      <c r="G1015" s="243"/>
      <c r="H1015" s="242"/>
      <c r="I1015" s="264"/>
      <c r="J1015" s="251"/>
      <c r="K1015" s="251"/>
      <c r="L1015" s="242"/>
      <c r="M1015" s="242"/>
      <c r="N1015" s="242"/>
      <c r="O1015" s="242"/>
      <c r="P1015" s="242"/>
      <c r="Q1015" s="242"/>
      <c r="R1015" s="242"/>
      <c r="S1015" s="243"/>
      <c r="T1015" s="280"/>
      <c r="U1015" s="341"/>
      <c r="V1015" s="13"/>
      <c r="W1015" s="242"/>
      <c r="X1015" s="242"/>
      <c r="Y1015" s="242"/>
    </row>
    <row r="1016">
      <c r="A1016" s="340"/>
      <c r="B1016" s="242"/>
      <c r="C1016" s="242"/>
      <c r="D1016" s="242"/>
      <c r="E1016" s="242"/>
      <c r="F1016" s="242"/>
      <c r="G1016" s="243"/>
      <c r="H1016" s="242"/>
      <c r="I1016" s="264"/>
      <c r="J1016" s="251"/>
      <c r="K1016" s="251"/>
      <c r="L1016" s="242"/>
      <c r="M1016" s="242"/>
      <c r="N1016" s="242"/>
      <c r="O1016" s="242"/>
      <c r="P1016" s="242"/>
      <c r="Q1016" s="242"/>
      <c r="R1016" s="242"/>
      <c r="S1016" s="243"/>
      <c r="T1016" s="280"/>
      <c r="U1016" s="341"/>
      <c r="V1016" s="13"/>
      <c r="W1016" s="242"/>
      <c r="X1016" s="242"/>
      <c r="Y1016" s="242"/>
    </row>
    <row r="1017">
      <c r="A1017" s="340"/>
      <c r="B1017" s="242"/>
      <c r="C1017" s="242"/>
      <c r="D1017" s="242"/>
      <c r="E1017" s="242"/>
      <c r="F1017" s="242"/>
      <c r="G1017" s="243"/>
      <c r="H1017" s="242"/>
      <c r="I1017" s="264"/>
      <c r="J1017" s="251"/>
      <c r="K1017" s="251"/>
      <c r="L1017" s="242"/>
      <c r="M1017" s="242"/>
      <c r="N1017" s="242"/>
      <c r="O1017" s="242"/>
      <c r="P1017" s="242"/>
      <c r="Q1017" s="242"/>
      <c r="R1017" s="242"/>
      <c r="S1017" s="243"/>
      <c r="T1017" s="280"/>
      <c r="U1017" s="341"/>
      <c r="V1017" s="13"/>
      <c r="W1017" s="242"/>
      <c r="X1017" s="242"/>
      <c r="Y1017" s="242"/>
    </row>
    <row r="1018">
      <c r="A1018" s="340"/>
      <c r="B1018" s="242"/>
      <c r="C1018" s="242"/>
      <c r="D1018" s="242"/>
      <c r="E1018" s="242"/>
      <c r="F1018" s="242"/>
      <c r="G1018" s="243"/>
      <c r="H1018" s="242"/>
      <c r="I1018" s="264"/>
      <c r="J1018" s="251"/>
      <c r="K1018" s="251"/>
      <c r="L1018" s="242"/>
      <c r="M1018" s="242"/>
      <c r="N1018" s="242"/>
      <c r="O1018" s="242"/>
      <c r="P1018" s="242"/>
      <c r="Q1018" s="242"/>
      <c r="R1018" s="242"/>
      <c r="S1018" s="243"/>
      <c r="T1018" s="280"/>
      <c r="U1018" s="341"/>
      <c r="V1018" s="13"/>
      <c r="W1018" s="242"/>
      <c r="X1018" s="242"/>
      <c r="Y1018" s="242"/>
    </row>
    <row r="1019">
      <c r="A1019" s="340"/>
      <c r="B1019" s="242"/>
      <c r="C1019" s="242"/>
      <c r="D1019" s="242"/>
      <c r="E1019" s="242"/>
      <c r="F1019" s="242"/>
      <c r="G1019" s="243"/>
      <c r="H1019" s="242"/>
      <c r="I1019" s="264"/>
      <c r="J1019" s="251"/>
      <c r="K1019" s="251"/>
      <c r="L1019" s="242"/>
      <c r="M1019" s="242"/>
      <c r="N1019" s="242"/>
      <c r="O1019" s="242"/>
      <c r="P1019" s="242"/>
      <c r="Q1019" s="242"/>
      <c r="R1019" s="242"/>
      <c r="S1019" s="243"/>
      <c r="T1019" s="280"/>
      <c r="U1019" s="341"/>
      <c r="V1019" s="13"/>
      <c r="W1019" s="242"/>
      <c r="X1019" s="242"/>
      <c r="Y1019" s="242"/>
    </row>
    <row r="1020">
      <c r="A1020" s="340"/>
      <c r="B1020" s="242"/>
      <c r="C1020" s="242"/>
      <c r="D1020" s="242"/>
      <c r="E1020" s="242"/>
      <c r="F1020" s="242"/>
      <c r="G1020" s="243"/>
      <c r="H1020" s="242"/>
      <c r="I1020" s="264"/>
      <c r="J1020" s="251"/>
      <c r="K1020" s="251"/>
      <c r="L1020" s="242"/>
      <c r="M1020" s="242"/>
      <c r="N1020" s="242"/>
      <c r="O1020" s="242"/>
      <c r="P1020" s="242"/>
      <c r="Q1020" s="242"/>
      <c r="R1020" s="242"/>
      <c r="S1020" s="243"/>
      <c r="T1020" s="280"/>
      <c r="U1020" s="341"/>
      <c r="V1020" s="13"/>
      <c r="W1020" s="242"/>
      <c r="X1020" s="242"/>
      <c r="Y1020" s="242"/>
    </row>
    <row r="1021">
      <c r="A1021" s="340"/>
      <c r="B1021" s="242"/>
      <c r="C1021" s="242"/>
      <c r="D1021" s="242"/>
      <c r="E1021" s="242"/>
      <c r="F1021" s="242"/>
      <c r="G1021" s="243"/>
      <c r="H1021" s="242"/>
      <c r="I1021" s="264"/>
      <c r="J1021" s="251"/>
      <c r="K1021" s="251"/>
      <c r="L1021" s="242"/>
      <c r="M1021" s="242"/>
      <c r="N1021" s="242"/>
      <c r="O1021" s="242"/>
      <c r="P1021" s="242"/>
      <c r="Q1021" s="242"/>
      <c r="R1021" s="242"/>
      <c r="S1021" s="243"/>
      <c r="T1021" s="280"/>
      <c r="U1021" s="341"/>
      <c r="V1021" s="13"/>
      <c r="W1021" s="242"/>
      <c r="X1021" s="242"/>
      <c r="Y1021" s="242"/>
    </row>
    <row r="1022">
      <c r="A1022" s="340"/>
      <c r="B1022" s="242"/>
      <c r="C1022" s="242"/>
      <c r="D1022" s="242"/>
      <c r="E1022" s="242"/>
      <c r="F1022" s="242"/>
      <c r="G1022" s="243"/>
      <c r="H1022" s="242"/>
      <c r="I1022" s="264"/>
      <c r="J1022" s="251"/>
      <c r="K1022" s="251"/>
      <c r="L1022" s="242"/>
      <c r="M1022" s="242"/>
      <c r="N1022" s="242"/>
      <c r="O1022" s="242"/>
      <c r="P1022" s="242"/>
      <c r="Q1022" s="242"/>
      <c r="R1022" s="242"/>
      <c r="S1022" s="243"/>
      <c r="T1022" s="280"/>
      <c r="U1022" s="341"/>
      <c r="V1022" s="13"/>
      <c r="W1022" s="242"/>
      <c r="X1022" s="242"/>
      <c r="Y1022" s="242"/>
    </row>
    <row r="1023">
      <c r="A1023" s="340"/>
      <c r="B1023" s="242"/>
      <c r="C1023" s="242"/>
      <c r="D1023" s="242"/>
      <c r="E1023" s="242"/>
      <c r="F1023" s="242"/>
      <c r="G1023" s="243"/>
      <c r="H1023" s="242"/>
      <c r="I1023" s="264"/>
      <c r="J1023" s="251"/>
      <c r="K1023" s="251"/>
      <c r="L1023" s="242"/>
      <c r="M1023" s="242"/>
      <c r="N1023" s="242"/>
      <c r="O1023" s="242"/>
      <c r="P1023" s="242"/>
      <c r="Q1023" s="242"/>
      <c r="R1023" s="242"/>
      <c r="S1023" s="243"/>
      <c r="T1023" s="280"/>
      <c r="U1023" s="341"/>
      <c r="V1023" s="13"/>
      <c r="W1023" s="242"/>
      <c r="X1023" s="242"/>
      <c r="Y1023" s="242"/>
    </row>
    <row r="1024">
      <c r="A1024" s="340"/>
      <c r="B1024" s="242"/>
      <c r="C1024" s="242"/>
      <c r="D1024" s="242"/>
      <c r="E1024" s="242"/>
      <c r="F1024" s="242"/>
      <c r="G1024" s="243"/>
      <c r="H1024" s="242"/>
      <c r="I1024" s="264"/>
      <c r="J1024" s="251"/>
      <c r="K1024" s="251"/>
      <c r="L1024" s="242"/>
      <c r="M1024" s="242"/>
      <c r="N1024" s="242"/>
      <c r="O1024" s="242"/>
      <c r="P1024" s="242"/>
      <c r="Q1024" s="242"/>
      <c r="R1024" s="242"/>
      <c r="S1024" s="243"/>
      <c r="T1024" s="280"/>
      <c r="U1024" s="341"/>
      <c r="V1024" s="13"/>
      <c r="W1024" s="242"/>
      <c r="X1024" s="242"/>
      <c r="Y1024" s="242"/>
    </row>
    <row r="1025">
      <c r="A1025" s="340"/>
      <c r="B1025" s="242"/>
      <c r="C1025" s="242"/>
      <c r="D1025" s="242"/>
      <c r="E1025" s="242"/>
      <c r="F1025" s="242"/>
      <c r="G1025" s="243"/>
      <c r="H1025" s="242"/>
      <c r="I1025" s="264"/>
      <c r="J1025" s="251"/>
      <c r="K1025" s="251"/>
      <c r="L1025" s="242"/>
      <c r="M1025" s="242"/>
      <c r="N1025" s="242"/>
      <c r="O1025" s="242"/>
      <c r="P1025" s="242"/>
      <c r="Q1025" s="242"/>
      <c r="R1025" s="242"/>
      <c r="S1025" s="243"/>
      <c r="T1025" s="280"/>
      <c r="U1025" s="341"/>
      <c r="V1025" s="13"/>
      <c r="W1025" s="242"/>
      <c r="X1025" s="242"/>
      <c r="Y1025" s="242"/>
    </row>
    <row r="1026">
      <c r="A1026" s="340"/>
      <c r="B1026" s="242"/>
      <c r="C1026" s="242"/>
      <c r="D1026" s="242"/>
      <c r="E1026" s="242"/>
      <c r="F1026" s="242"/>
      <c r="G1026" s="243"/>
      <c r="H1026" s="242"/>
      <c r="I1026" s="264"/>
      <c r="J1026" s="251"/>
      <c r="K1026" s="251"/>
      <c r="L1026" s="242"/>
      <c r="M1026" s="242"/>
      <c r="N1026" s="242"/>
      <c r="O1026" s="242"/>
      <c r="P1026" s="242"/>
      <c r="Q1026" s="242"/>
      <c r="R1026" s="242"/>
      <c r="S1026" s="243"/>
      <c r="T1026" s="280"/>
      <c r="U1026" s="341"/>
      <c r="V1026" s="13"/>
      <c r="W1026" s="242"/>
      <c r="X1026" s="242"/>
      <c r="Y1026" s="242"/>
    </row>
    <row r="1027">
      <c r="A1027" s="340"/>
      <c r="B1027" s="242"/>
      <c r="C1027" s="242"/>
      <c r="D1027" s="242"/>
      <c r="E1027" s="242"/>
      <c r="F1027" s="242"/>
      <c r="G1027" s="243"/>
      <c r="H1027" s="242"/>
      <c r="I1027" s="264"/>
      <c r="J1027" s="251"/>
      <c r="K1027" s="251"/>
      <c r="L1027" s="242"/>
      <c r="M1027" s="242"/>
      <c r="N1027" s="242"/>
      <c r="O1027" s="242"/>
      <c r="P1027" s="242"/>
      <c r="Q1027" s="242"/>
      <c r="R1027" s="242"/>
      <c r="S1027" s="243"/>
      <c r="T1027" s="280"/>
      <c r="U1027" s="341"/>
      <c r="V1027" s="13"/>
      <c r="W1027" s="242"/>
      <c r="X1027" s="242"/>
      <c r="Y1027" s="242"/>
    </row>
    <row r="1028">
      <c r="A1028" s="340"/>
      <c r="B1028" s="242"/>
      <c r="C1028" s="242"/>
      <c r="D1028" s="242"/>
      <c r="E1028" s="242"/>
      <c r="F1028" s="242"/>
      <c r="G1028" s="243"/>
      <c r="H1028" s="242"/>
      <c r="I1028" s="264"/>
      <c r="J1028" s="251"/>
      <c r="K1028" s="251"/>
      <c r="L1028" s="242"/>
      <c r="M1028" s="242"/>
      <c r="N1028" s="242"/>
      <c r="O1028" s="242"/>
      <c r="P1028" s="242"/>
      <c r="Q1028" s="242"/>
      <c r="R1028" s="242"/>
      <c r="S1028" s="243"/>
      <c r="T1028" s="280"/>
      <c r="U1028" s="341"/>
      <c r="V1028" s="13"/>
      <c r="W1028" s="242"/>
      <c r="X1028" s="242"/>
      <c r="Y1028" s="242"/>
    </row>
    <row r="1029">
      <c r="A1029" s="340"/>
      <c r="B1029" s="242"/>
      <c r="C1029" s="242"/>
      <c r="D1029" s="242"/>
      <c r="E1029" s="242"/>
      <c r="F1029" s="242"/>
      <c r="G1029" s="243"/>
      <c r="H1029" s="242"/>
      <c r="I1029" s="264"/>
      <c r="J1029" s="251"/>
      <c r="K1029" s="251"/>
      <c r="L1029" s="242"/>
      <c r="M1029" s="242"/>
      <c r="N1029" s="242"/>
      <c r="O1029" s="242"/>
      <c r="P1029" s="242"/>
      <c r="Q1029" s="242"/>
      <c r="R1029" s="242"/>
      <c r="S1029" s="243"/>
      <c r="T1029" s="280"/>
      <c r="U1029" s="341"/>
      <c r="V1029" s="13"/>
      <c r="W1029" s="242"/>
      <c r="X1029" s="242"/>
      <c r="Y1029" s="242"/>
    </row>
    <row r="1030">
      <c r="A1030" s="340"/>
      <c r="B1030" s="242"/>
      <c r="C1030" s="242"/>
      <c r="D1030" s="242"/>
      <c r="E1030" s="242"/>
      <c r="F1030" s="242"/>
      <c r="G1030" s="243"/>
      <c r="H1030" s="242"/>
      <c r="I1030" s="264"/>
      <c r="J1030" s="251"/>
      <c r="K1030" s="251"/>
      <c r="L1030" s="242"/>
      <c r="M1030" s="242"/>
      <c r="N1030" s="242"/>
      <c r="O1030" s="242"/>
      <c r="P1030" s="242"/>
      <c r="Q1030" s="242"/>
      <c r="R1030" s="242"/>
      <c r="S1030" s="243"/>
      <c r="T1030" s="280"/>
      <c r="U1030" s="341"/>
      <c r="V1030" s="13"/>
      <c r="W1030" s="242"/>
      <c r="X1030" s="242"/>
      <c r="Y1030" s="242"/>
    </row>
    <row r="1031">
      <c r="A1031" s="340"/>
      <c r="B1031" s="242"/>
      <c r="C1031" s="242"/>
      <c r="D1031" s="242"/>
      <c r="E1031" s="242"/>
      <c r="F1031" s="242"/>
      <c r="G1031" s="243"/>
      <c r="H1031" s="242"/>
      <c r="I1031" s="264"/>
      <c r="J1031" s="251"/>
      <c r="K1031" s="251"/>
      <c r="L1031" s="242"/>
      <c r="M1031" s="242"/>
      <c r="N1031" s="242"/>
      <c r="O1031" s="242"/>
      <c r="P1031" s="242"/>
      <c r="Q1031" s="242"/>
      <c r="R1031" s="242"/>
      <c r="S1031" s="243"/>
      <c r="T1031" s="280"/>
      <c r="U1031" s="341"/>
      <c r="V1031" s="13"/>
      <c r="W1031" s="242"/>
      <c r="X1031" s="242"/>
      <c r="Y1031" s="242"/>
    </row>
  </sheetData>
  <mergeCells count="44">
    <mergeCell ref="I2:I3"/>
    <mergeCell ref="J2:J3"/>
    <mergeCell ref="K2:K3"/>
    <mergeCell ref="M2:M3"/>
    <mergeCell ref="N2:N3"/>
    <mergeCell ref="O2:O3"/>
    <mergeCell ref="P2:P3"/>
    <mergeCell ref="M4:S4"/>
    <mergeCell ref="B2:B3"/>
    <mergeCell ref="C2:C3"/>
    <mergeCell ref="D2:D3"/>
    <mergeCell ref="E2:E3"/>
    <mergeCell ref="G2:G3"/>
    <mergeCell ref="H2:H3"/>
    <mergeCell ref="B4:H4"/>
    <mergeCell ref="Q2:Q3"/>
    <mergeCell ref="R2:R3"/>
    <mergeCell ref="S2:S3"/>
    <mergeCell ref="T2:T3"/>
    <mergeCell ref="U2:U3"/>
    <mergeCell ref="V2:V3"/>
    <mergeCell ref="Q5:Q14"/>
    <mergeCell ref="F48:F57"/>
    <mergeCell ref="F58:F67"/>
    <mergeCell ref="F68:F77"/>
    <mergeCell ref="F78:F87"/>
    <mergeCell ref="B88:G88"/>
    <mergeCell ref="F2:F3"/>
    <mergeCell ref="F5:F14"/>
    <mergeCell ref="F15:F24"/>
    <mergeCell ref="F25:F34"/>
    <mergeCell ref="F35:F44"/>
    <mergeCell ref="B45:G45"/>
    <mergeCell ref="B47:H47"/>
    <mergeCell ref="Q68:Q77"/>
    <mergeCell ref="Q78:Q87"/>
    <mergeCell ref="M88:R88"/>
    <mergeCell ref="Q15:Q24"/>
    <mergeCell ref="Q25:Q34"/>
    <mergeCell ref="Q35:Q44"/>
    <mergeCell ref="M45:R45"/>
    <mergeCell ref="M47:S47"/>
    <mergeCell ref="Q48:Q57"/>
    <mergeCell ref="Q58:Q67"/>
  </mergeCells>
  <printOptions horizontalCentered="1"/>
  <pageMargins bottom="0.75" footer="0.0" header="0.0" left="0.25" right="0.25" top="0.75"/>
  <pageSetup fitToHeight="0" paperSize="9" cellComments="atEnd"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8"/>
    <col customWidth="1" min="2" max="2" width="3.63"/>
    <col customWidth="1" min="3" max="3" width="7.88"/>
    <col customWidth="1" min="4" max="4" width="20.75"/>
    <col customWidth="1" min="5" max="5" width="9.0"/>
    <col customWidth="1" min="6" max="6" width="8.63"/>
    <col customWidth="1" min="7" max="7" width="7.75"/>
    <col customWidth="1" min="8" max="8" width="7.88"/>
    <col customWidth="1" min="9" max="9" width="8.63"/>
    <col customWidth="1" min="10" max="10" width="6.63"/>
    <col customWidth="1" min="11" max="11" width="7.63"/>
    <col customWidth="1" min="12" max="12" width="8.75"/>
    <col customWidth="1" min="13" max="13" width="7.88"/>
  </cols>
  <sheetData>
    <row r="1" ht="9.75" customHeight="1">
      <c r="A1" s="243"/>
      <c r="B1" s="15"/>
      <c r="C1" s="15"/>
      <c r="D1" s="15"/>
      <c r="E1" s="379"/>
      <c r="F1" s="15"/>
      <c r="G1" s="244">
        <v>0.05</v>
      </c>
      <c r="H1" s="380"/>
      <c r="I1" s="15"/>
      <c r="J1" s="31"/>
      <c r="K1" s="243"/>
      <c r="L1" s="15"/>
      <c r="M1" s="243"/>
      <c r="N1" s="243"/>
      <c r="O1" s="243"/>
      <c r="P1" s="243"/>
      <c r="Q1" s="243"/>
    </row>
    <row r="2" ht="30.0" customHeight="1">
      <c r="A2" s="243"/>
      <c r="B2" s="35" t="s">
        <v>0</v>
      </c>
      <c r="C2" s="37" t="s">
        <v>21</v>
      </c>
      <c r="D2" s="37" t="s">
        <v>24</v>
      </c>
      <c r="E2" s="381" t="s">
        <v>18</v>
      </c>
      <c r="F2" s="382" t="str">
        <f>' CPVC PIPE'!F2</f>
        <v>MRP as on 1st May, 2024</v>
      </c>
      <c r="G2" s="28" t="s">
        <v>6</v>
      </c>
      <c r="H2" s="33" t="s">
        <v>26</v>
      </c>
      <c r="I2" s="38" t="s">
        <v>8</v>
      </c>
      <c r="J2" s="31"/>
      <c r="K2" s="243"/>
      <c r="L2" s="39"/>
      <c r="M2" s="39"/>
      <c r="N2" s="243"/>
      <c r="O2" s="243"/>
      <c r="P2" s="243"/>
      <c r="Q2" s="243"/>
    </row>
    <row r="3" ht="24.75" customHeight="1">
      <c r="A3" s="243"/>
      <c r="B3" s="41"/>
      <c r="C3" s="41"/>
      <c r="D3" s="41"/>
      <c r="E3" s="41"/>
      <c r="F3" s="41"/>
      <c r="G3" s="41"/>
      <c r="H3" s="41"/>
      <c r="I3" s="41"/>
      <c r="J3" s="31"/>
      <c r="K3" s="243"/>
      <c r="L3" s="39"/>
      <c r="M3" s="39"/>
      <c r="N3" s="243"/>
      <c r="O3" s="243"/>
      <c r="P3" s="243"/>
      <c r="Q3" s="243"/>
    </row>
    <row r="4" ht="24.0" customHeight="1">
      <c r="A4" s="243"/>
      <c r="B4" s="62" t="s">
        <v>1882</v>
      </c>
      <c r="C4" s="45"/>
      <c r="D4" s="45"/>
      <c r="E4" s="45"/>
      <c r="F4" s="46"/>
      <c r="G4" s="346"/>
      <c r="H4" s="346"/>
      <c r="I4" s="15"/>
      <c r="J4" s="31"/>
      <c r="K4" s="243"/>
      <c r="L4" s="15"/>
      <c r="M4" s="243"/>
      <c r="N4" s="243"/>
      <c r="O4" s="243"/>
      <c r="P4" s="243"/>
      <c r="Q4" s="243"/>
    </row>
    <row r="5" ht="15.75" customHeight="1">
      <c r="A5" s="16"/>
      <c r="B5" s="81">
        <v>1.0</v>
      </c>
      <c r="C5" s="81" t="s">
        <v>69</v>
      </c>
      <c r="D5" s="81">
        <v>75.0</v>
      </c>
      <c r="E5" s="383" t="s">
        <v>1883</v>
      </c>
      <c r="F5" s="56">
        <v>72.7</v>
      </c>
      <c r="G5" s="76">
        <f>IFERROR(__xludf.DUMMYFUNCTION("IFERROR(VLOOKUP(E5,IMPORTRANGE(""https://docs.google.com/spreadsheets/d/1xZyKy-UzMmtPDLpV5jQdYum1LtbR8XKDuasLSjmBRMI/edit#gid=1241094406"",""COMBINED DATA!E3:K""),7,0))"),0.174)</f>
        <v>0.174</v>
      </c>
      <c r="H5" s="84">
        <f t="shared" ref="H5:H8" si="1">IFERROR(F5/G5,"")</f>
        <v>417.816092</v>
      </c>
      <c r="I5" s="318">
        <v>72.7</v>
      </c>
      <c r="J5" s="85"/>
      <c r="K5" s="139"/>
      <c r="L5" s="286"/>
      <c r="M5" s="16"/>
      <c r="N5" s="16"/>
      <c r="O5" s="16"/>
      <c r="P5" s="16"/>
      <c r="Q5" s="16"/>
    </row>
    <row r="6" ht="15.75" customHeight="1">
      <c r="A6" s="16"/>
      <c r="B6" s="81">
        <v>2.0</v>
      </c>
      <c r="C6" s="149">
        <v>3.0</v>
      </c>
      <c r="D6" s="81">
        <v>90.0</v>
      </c>
      <c r="E6" s="383" t="s">
        <v>1885</v>
      </c>
      <c r="F6" s="56">
        <v>106.8</v>
      </c>
      <c r="G6" s="76">
        <f>IFERROR(__xludf.DUMMYFUNCTION("IFERROR(VLOOKUP(E6,IMPORTRANGE(""https://docs.google.com/spreadsheets/d/1xZyKy-UzMmtPDLpV5jQdYum1LtbR8XKDuasLSjmBRMI/edit#gid=1241094406"",""COMBINED DATA!E3:K""),7,0))"),0.225)</f>
        <v>0.225</v>
      </c>
      <c r="H6" s="84">
        <f t="shared" si="1"/>
        <v>474.6666667</v>
      </c>
      <c r="I6" s="318">
        <v>106.8</v>
      </c>
      <c r="J6" s="85"/>
      <c r="K6" s="139"/>
      <c r="L6" s="286"/>
      <c r="M6" s="16"/>
      <c r="N6" s="16"/>
      <c r="O6" s="16"/>
      <c r="P6" s="16"/>
      <c r="Q6" s="16"/>
    </row>
    <row r="7" ht="15.75" customHeight="1">
      <c r="A7" s="16"/>
      <c r="B7" s="81">
        <v>3.0</v>
      </c>
      <c r="C7" s="149">
        <v>4.0</v>
      </c>
      <c r="D7" s="81">
        <v>110.0</v>
      </c>
      <c r="E7" s="383" t="s">
        <v>1886</v>
      </c>
      <c r="F7" s="56">
        <v>152.8</v>
      </c>
      <c r="G7" s="76">
        <f>IFERROR(__xludf.DUMMYFUNCTION("IFERROR(VLOOKUP(E7,IMPORTRANGE(""https://docs.google.com/spreadsheets/d/1xZyKy-UzMmtPDLpV5jQdYum1LtbR8XKDuasLSjmBRMI/edit#gid=1241094406"",""COMBINED DATA!E3:K""),7,0))"),0.346)</f>
        <v>0.346</v>
      </c>
      <c r="H7" s="84">
        <f t="shared" si="1"/>
        <v>441.6184971</v>
      </c>
      <c r="I7" s="318">
        <v>152.8</v>
      </c>
      <c r="J7" s="85"/>
      <c r="K7" s="139"/>
      <c r="L7" s="286"/>
      <c r="M7" s="16"/>
      <c r="N7" s="16"/>
      <c r="O7" s="16"/>
      <c r="P7" s="16"/>
      <c r="Q7" s="16"/>
    </row>
    <row r="8" ht="15.75" customHeight="1">
      <c r="A8" s="16"/>
      <c r="B8" s="81">
        <v>4.0</v>
      </c>
      <c r="C8" s="81">
        <v>6.0</v>
      </c>
      <c r="D8" s="81">
        <v>160.0</v>
      </c>
      <c r="E8" s="383" t="s">
        <v>1887</v>
      </c>
      <c r="F8" s="56">
        <v>370.0</v>
      </c>
      <c r="G8" s="76">
        <f>IFERROR(__xludf.DUMMYFUNCTION("IFERROR(VLOOKUP(E8,IMPORTRANGE(""https://docs.google.com/spreadsheets/d/1xZyKy-UzMmtPDLpV5jQdYum1LtbR8XKDuasLSjmBRMI/edit#gid=1241094406"",""COMBINED DATA!E3:K""),7,0))"),0.785)</f>
        <v>0.785</v>
      </c>
      <c r="H8" s="84">
        <f t="shared" si="1"/>
        <v>471.3375796</v>
      </c>
      <c r="I8" s="318">
        <v>370.0</v>
      </c>
      <c r="J8" s="85"/>
      <c r="K8" s="139"/>
      <c r="L8" s="286"/>
      <c r="M8" s="16"/>
      <c r="N8" s="16"/>
      <c r="O8" s="16"/>
      <c r="P8" s="16"/>
      <c r="Q8" s="16"/>
    </row>
    <row r="9">
      <c r="A9" s="384"/>
      <c r="B9" s="102" t="s">
        <v>11</v>
      </c>
      <c r="C9" s="45"/>
      <c r="D9" s="45"/>
      <c r="E9" s="45"/>
      <c r="F9" s="103">
        <f>SUM(F5:F8)</f>
        <v>702.3</v>
      </c>
      <c r="G9" s="385"/>
      <c r="H9" s="386"/>
      <c r="I9" s="103">
        <f>SUM(I5:I8)</f>
        <v>702.3</v>
      </c>
      <c r="J9" s="85"/>
      <c r="K9" s="139"/>
      <c r="L9" s="387"/>
      <c r="M9" s="384"/>
      <c r="N9" s="384"/>
      <c r="O9" s="384"/>
      <c r="P9" s="384"/>
      <c r="Q9" s="384"/>
    </row>
    <row r="10" ht="5.25" customHeight="1">
      <c r="A10" s="243"/>
      <c r="B10" s="15"/>
      <c r="C10" s="15"/>
      <c r="D10" s="15"/>
      <c r="E10" s="379"/>
      <c r="F10" s="15"/>
      <c r="G10" s="250"/>
      <c r="H10" s="380"/>
      <c r="I10" s="15"/>
      <c r="J10" s="85"/>
      <c r="K10" s="139"/>
      <c r="L10" s="15"/>
      <c r="M10" s="243"/>
      <c r="N10" s="243"/>
      <c r="O10" s="243"/>
      <c r="P10" s="243"/>
      <c r="Q10" s="243"/>
    </row>
    <row r="11" ht="22.5" customHeight="1">
      <c r="A11" s="243"/>
      <c r="B11" s="62" t="s">
        <v>1891</v>
      </c>
      <c r="C11" s="45"/>
      <c r="D11" s="45"/>
      <c r="E11" s="45"/>
      <c r="F11" s="46"/>
      <c r="G11" s="250"/>
      <c r="H11" s="380"/>
      <c r="I11" s="15"/>
      <c r="J11" s="85"/>
      <c r="K11" s="139"/>
      <c r="L11" s="15"/>
      <c r="M11" s="243"/>
      <c r="N11" s="243"/>
      <c r="O11" s="243"/>
      <c r="P11" s="243"/>
      <c r="Q11" s="243"/>
    </row>
    <row r="12" ht="15.75" customHeight="1">
      <c r="A12" s="16"/>
      <c r="B12" s="81">
        <v>1.0</v>
      </c>
      <c r="C12" s="81" t="s">
        <v>69</v>
      </c>
      <c r="D12" s="81">
        <v>75.0</v>
      </c>
      <c r="E12" s="383" t="s">
        <v>1892</v>
      </c>
      <c r="F12" s="56">
        <v>98.0</v>
      </c>
      <c r="G12" s="76">
        <f>IFERROR(__xludf.DUMMYFUNCTION("IFERROR(VLOOKUP(E12,IMPORTRANGE(""https://docs.google.com/spreadsheets/d/1xZyKy-UzMmtPDLpV5jQdYum1LtbR8XKDuasLSjmBRMI/edit#gid=1241094406"",""COMBINED DATA!E3:K""),7,0))"),0.205)</f>
        <v>0.205</v>
      </c>
      <c r="H12" s="84">
        <f t="shared" ref="H12:H15" si="2">IFERROR(F12/G12,"")</f>
        <v>478.0487805</v>
      </c>
      <c r="I12" s="318">
        <v>98.0</v>
      </c>
      <c r="J12" s="85"/>
      <c r="K12" s="139"/>
      <c r="L12" s="85"/>
      <c r="M12" s="16"/>
      <c r="N12" s="16"/>
      <c r="O12" s="16"/>
      <c r="P12" s="16"/>
      <c r="Q12" s="16"/>
    </row>
    <row r="13" ht="15.75" customHeight="1">
      <c r="A13" s="16"/>
      <c r="B13" s="81">
        <v>2.0</v>
      </c>
      <c r="C13" s="149">
        <v>3.0</v>
      </c>
      <c r="D13" s="81">
        <v>90.0</v>
      </c>
      <c r="E13" s="383" t="s">
        <v>1894</v>
      </c>
      <c r="F13" s="56">
        <v>132.0</v>
      </c>
      <c r="G13" s="76">
        <f>IFERROR(__xludf.DUMMYFUNCTION("IFERROR(VLOOKUP(E13,IMPORTRANGE(""https://docs.google.com/spreadsheets/d/1xZyKy-UzMmtPDLpV5jQdYum1LtbR8XKDuasLSjmBRMI/edit#gid=1241094406"",""COMBINED DATA!E3:K""),7,0))"),0.277)</f>
        <v>0.277</v>
      </c>
      <c r="H13" s="84">
        <f t="shared" si="2"/>
        <v>476.534296</v>
      </c>
      <c r="I13" s="318">
        <v>132.0</v>
      </c>
      <c r="J13" s="85"/>
      <c r="K13" s="139"/>
      <c r="L13" s="85"/>
      <c r="M13" s="16"/>
      <c r="N13" s="16"/>
      <c r="O13" s="16"/>
      <c r="P13" s="16"/>
      <c r="Q13" s="16"/>
    </row>
    <row r="14" ht="15.75" customHeight="1">
      <c r="A14" s="16"/>
      <c r="B14" s="81">
        <v>3.0</v>
      </c>
      <c r="C14" s="149">
        <v>4.0</v>
      </c>
      <c r="D14" s="81">
        <v>110.0</v>
      </c>
      <c r="E14" s="383" t="s">
        <v>1895</v>
      </c>
      <c r="F14" s="56">
        <v>224.0</v>
      </c>
      <c r="G14" s="76">
        <f>IFERROR(__xludf.DUMMYFUNCTION("IFERROR(VLOOKUP(E14,IMPORTRANGE(""https://docs.google.com/spreadsheets/d/1xZyKy-UzMmtPDLpV5jQdYum1LtbR8XKDuasLSjmBRMI/edit#gid=1241094406"",""COMBINED DATA!E3:K""),7,0))"),0.432)</f>
        <v>0.432</v>
      </c>
      <c r="H14" s="84">
        <f t="shared" si="2"/>
        <v>518.5185185</v>
      </c>
      <c r="I14" s="318">
        <v>224.0</v>
      </c>
      <c r="J14" s="85"/>
      <c r="K14" s="139"/>
      <c r="L14" s="85"/>
      <c r="M14" s="16"/>
      <c r="N14" s="16"/>
      <c r="O14" s="16"/>
      <c r="P14" s="16"/>
      <c r="Q14" s="16"/>
    </row>
    <row r="15" ht="15.75" customHeight="1">
      <c r="A15" s="16"/>
      <c r="B15" s="81">
        <v>4.0</v>
      </c>
      <c r="C15" s="81">
        <v>6.0</v>
      </c>
      <c r="D15" s="81">
        <v>160.0</v>
      </c>
      <c r="E15" s="383" t="s">
        <v>1896</v>
      </c>
      <c r="F15" s="56">
        <v>480.0</v>
      </c>
      <c r="G15" s="76">
        <f>IFERROR(__xludf.DUMMYFUNCTION("IFERROR(VLOOKUP(E15,IMPORTRANGE(""https://docs.google.com/spreadsheets/d/1xZyKy-UzMmtPDLpV5jQdYum1LtbR8XKDuasLSjmBRMI/edit#gid=1241094406"",""COMBINED DATA!E3:K""),7,0))"),0.983)</f>
        <v>0.983</v>
      </c>
      <c r="H15" s="84">
        <f t="shared" si="2"/>
        <v>488.301119</v>
      </c>
      <c r="I15" s="318">
        <v>480.0</v>
      </c>
      <c r="J15" s="85"/>
      <c r="K15" s="139"/>
      <c r="L15" s="85"/>
      <c r="M15" s="16"/>
      <c r="N15" s="16"/>
      <c r="O15" s="16"/>
      <c r="P15" s="16"/>
      <c r="Q15" s="16"/>
    </row>
    <row r="16">
      <c r="A16" s="384"/>
      <c r="B16" s="102" t="s">
        <v>11</v>
      </c>
      <c r="C16" s="45"/>
      <c r="D16" s="45"/>
      <c r="E16" s="45"/>
      <c r="F16" s="103">
        <f>SUM(F12:F15)</f>
        <v>934</v>
      </c>
      <c r="G16" s="385"/>
      <c r="H16" s="386"/>
      <c r="I16" s="103">
        <f>SUM(I12:I15)</f>
        <v>934</v>
      </c>
      <c r="J16" s="85"/>
      <c r="K16" s="139"/>
      <c r="L16" s="387"/>
      <c r="M16" s="384"/>
      <c r="N16" s="384"/>
      <c r="O16" s="384"/>
      <c r="P16" s="384"/>
      <c r="Q16" s="384"/>
    </row>
    <row r="17" ht="4.5" customHeight="1">
      <c r="A17" s="243"/>
      <c r="B17" s="15"/>
      <c r="C17" s="15"/>
      <c r="D17" s="15"/>
      <c r="E17" s="379"/>
      <c r="F17" s="15"/>
      <c r="G17" s="250"/>
      <c r="H17" s="380"/>
      <c r="I17" s="15"/>
      <c r="J17" s="85"/>
      <c r="K17" s="139"/>
      <c r="L17" s="15"/>
      <c r="M17" s="243"/>
      <c r="N17" s="243"/>
      <c r="O17" s="243"/>
      <c r="P17" s="243"/>
      <c r="Q17" s="243"/>
    </row>
    <row r="18" ht="22.5" customHeight="1">
      <c r="A18" s="243"/>
      <c r="B18" s="62" t="s">
        <v>1897</v>
      </c>
      <c r="C18" s="45"/>
      <c r="D18" s="45"/>
      <c r="E18" s="45"/>
      <c r="F18" s="46"/>
      <c r="G18" s="250"/>
      <c r="H18" s="380"/>
      <c r="I18" s="15"/>
      <c r="J18" s="85"/>
      <c r="K18" s="139"/>
      <c r="L18" s="15"/>
      <c r="M18" s="243"/>
      <c r="N18" s="243"/>
      <c r="O18" s="243"/>
      <c r="P18" s="243"/>
      <c r="Q18" s="243"/>
    </row>
    <row r="19" ht="15.75" customHeight="1">
      <c r="A19" s="16"/>
      <c r="B19" s="81">
        <v>1.0</v>
      </c>
      <c r="C19" s="81" t="s">
        <v>69</v>
      </c>
      <c r="D19" s="81">
        <v>75.0</v>
      </c>
      <c r="E19" s="383" t="s">
        <v>1898</v>
      </c>
      <c r="F19" s="181">
        <v>108.3</v>
      </c>
      <c r="G19" s="76">
        <f>IFERROR(__xludf.DUMMYFUNCTION("IFERROR(VLOOKUP(E19,IMPORTRANGE(""https://docs.google.com/spreadsheets/d/1xZyKy-UzMmtPDLpV5jQdYum1LtbR8XKDuasLSjmBRMI/edit#gid=1241094406"",""COMBINED DATA!E3:K""),7,0))"),0.194)</f>
        <v>0.194</v>
      </c>
      <c r="H19" s="84">
        <f t="shared" ref="H19:H20" si="3">IFERROR(F19/G19,"")</f>
        <v>558.2474227</v>
      </c>
      <c r="I19" s="388">
        <v>108.3</v>
      </c>
      <c r="J19" s="85"/>
      <c r="K19" s="139"/>
      <c r="L19" s="20"/>
      <c r="M19" s="16"/>
      <c r="N19" s="16"/>
      <c r="O19" s="16"/>
      <c r="P19" s="16"/>
      <c r="Q19" s="16"/>
    </row>
    <row r="20" ht="15.75" customHeight="1">
      <c r="A20" s="16"/>
      <c r="B20" s="81">
        <v>2.0</v>
      </c>
      <c r="C20" s="149">
        <v>4.0</v>
      </c>
      <c r="D20" s="81">
        <v>110.0</v>
      </c>
      <c r="E20" s="383" t="s">
        <v>1900</v>
      </c>
      <c r="F20" s="56">
        <v>226.0</v>
      </c>
      <c r="G20" s="76">
        <f>IFERROR(__xludf.DUMMYFUNCTION("IFERROR(VLOOKUP(E20,IMPORTRANGE(""https://docs.google.com/spreadsheets/d/1xZyKy-UzMmtPDLpV5jQdYum1LtbR8XKDuasLSjmBRMI/edit#gid=1241094406"",""COMBINED DATA!E3:K""),7,0))"),0.4018)</f>
        <v>0.4018</v>
      </c>
      <c r="H20" s="84">
        <f t="shared" si="3"/>
        <v>562.46889</v>
      </c>
      <c r="I20" s="318">
        <v>226.0</v>
      </c>
      <c r="J20" s="85"/>
      <c r="K20" s="139"/>
      <c r="L20" s="20"/>
      <c r="M20" s="16"/>
      <c r="N20" s="16"/>
      <c r="O20" s="16"/>
      <c r="P20" s="16"/>
      <c r="Q20" s="16"/>
    </row>
    <row r="21">
      <c r="A21" s="384"/>
      <c r="B21" s="102" t="s">
        <v>11</v>
      </c>
      <c r="C21" s="45"/>
      <c r="D21" s="45"/>
      <c r="E21" s="45"/>
      <c r="F21" s="103">
        <f>SUM(F19:F20)</f>
        <v>334.3</v>
      </c>
      <c r="G21" s="385"/>
      <c r="H21" s="386"/>
      <c r="I21" s="103">
        <f>SUM(I19:I20)</f>
        <v>334.3</v>
      </c>
      <c r="J21" s="85"/>
      <c r="K21" s="139"/>
      <c r="L21" s="387"/>
      <c r="M21" s="384"/>
      <c r="N21" s="384"/>
      <c r="O21" s="384"/>
      <c r="P21" s="384"/>
      <c r="Q21" s="384"/>
    </row>
    <row r="22" ht="5.25" customHeight="1">
      <c r="A22" s="243"/>
      <c r="B22" s="15"/>
      <c r="C22" s="15"/>
      <c r="D22" s="15"/>
      <c r="E22" s="379"/>
      <c r="F22" s="15"/>
      <c r="G22" s="250"/>
      <c r="H22" s="380"/>
      <c r="I22" s="15"/>
      <c r="J22" s="85"/>
      <c r="K22" s="243"/>
      <c r="L22" s="15"/>
      <c r="M22" s="243"/>
      <c r="N22" s="243"/>
      <c r="O22" s="243"/>
      <c r="P22" s="243"/>
      <c r="Q22" s="243"/>
    </row>
    <row r="23" ht="22.5" customHeight="1">
      <c r="A23" s="243"/>
      <c r="B23" s="62" t="s">
        <v>1901</v>
      </c>
      <c r="C23" s="45"/>
      <c r="D23" s="45"/>
      <c r="E23" s="45"/>
      <c r="F23" s="46"/>
      <c r="G23" s="250"/>
      <c r="H23" s="380"/>
      <c r="I23" s="15"/>
      <c r="J23" s="85"/>
      <c r="K23" s="243"/>
      <c r="L23" s="15"/>
      <c r="M23" s="243"/>
      <c r="N23" s="243"/>
      <c r="O23" s="243"/>
      <c r="P23" s="243"/>
      <c r="Q23" s="243"/>
    </row>
    <row r="24" ht="15.75" customHeight="1">
      <c r="A24" s="16"/>
      <c r="B24" s="81">
        <v>1.0</v>
      </c>
      <c r="C24" s="81" t="s">
        <v>69</v>
      </c>
      <c r="D24" s="81">
        <v>75.0</v>
      </c>
      <c r="E24" s="383" t="s">
        <v>1902</v>
      </c>
      <c r="F24" s="56">
        <v>66.4</v>
      </c>
      <c r="G24" s="76">
        <f>IFERROR(__xludf.DUMMYFUNCTION("IFERROR(VLOOKUP(E24,IMPORTRANGE(""https://docs.google.com/spreadsheets/d/1xZyKy-UzMmtPDLpV5jQdYum1LtbR8XKDuasLSjmBRMI/edit#gid=1241094406"",""COMBINED DATA!E3:K""),7,0))"),0.136)</f>
        <v>0.136</v>
      </c>
      <c r="H24" s="84">
        <f t="shared" ref="H24:H27" si="4">IFERROR(F24/G24,"")</f>
        <v>488.2352941</v>
      </c>
      <c r="I24" s="318">
        <v>66.4</v>
      </c>
      <c r="J24" s="85"/>
      <c r="K24" s="139"/>
      <c r="L24" s="286"/>
      <c r="M24" s="16"/>
      <c r="N24" s="16"/>
      <c r="O24" s="16"/>
      <c r="P24" s="16"/>
      <c r="Q24" s="16"/>
    </row>
    <row r="25" ht="15.75" customHeight="1">
      <c r="A25" s="16"/>
      <c r="B25" s="81">
        <v>2.0</v>
      </c>
      <c r="C25" s="149">
        <v>3.0</v>
      </c>
      <c r="D25" s="81">
        <v>90.0</v>
      </c>
      <c r="E25" s="383" t="s">
        <v>1903</v>
      </c>
      <c r="F25" s="56">
        <v>92.0</v>
      </c>
      <c r="G25" s="76">
        <f>IFERROR(__xludf.DUMMYFUNCTION("IFERROR(VLOOKUP(E25,IMPORTRANGE(""https://docs.google.com/spreadsheets/d/1xZyKy-UzMmtPDLpV5jQdYum1LtbR8XKDuasLSjmBRMI/edit#gid=1241094406"",""COMBINED DATA!E3:K""),7,0))"),0.189)</f>
        <v>0.189</v>
      </c>
      <c r="H25" s="84">
        <f t="shared" si="4"/>
        <v>486.7724868</v>
      </c>
      <c r="I25" s="318">
        <v>92.0</v>
      </c>
      <c r="J25" s="85"/>
      <c r="K25" s="139"/>
      <c r="L25" s="286"/>
      <c r="M25" s="16"/>
      <c r="N25" s="16"/>
      <c r="O25" s="16"/>
      <c r="P25" s="16"/>
      <c r="Q25" s="16"/>
    </row>
    <row r="26" ht="15.75" customHeight="1">
      <c r="A26" s="16"/>
      <c r="B26" s="81">
        <v>3.0</v>
      </c>
      <c r="C26" s="149">
        <v>4.0</v>
      </c>
      <c r="D26" s="81">
        <v>110.0</v>
      </c>
      <c r="E26" s="383" t="s">
        <v>1905</v>
      </c>
      <c r="F26" s="56">
        <v>136.0</v>
      </c>
      <c r="G26" s="76">
        <f>IFERROR(__xludf.DUMMYFUNCTION("IFERROR(VLOOKUP(E26,IMPORTRANGE(""https://docs.google.com/spreadsheets/d/1xZyKy-UzMmtPDLpV5jQdYum1LtbR8XKDuasLSjmBRMI/edit#gid=1241094406"",""COMBINED DATA!E3:K""),7,0))"),0.278)</f>
        <v>0.278</v>
      </c>
      <c r="H26" s="84">
        <f t="shared" si="4"/>
        <v>489.2086331</v>
      </c>
      <c r="I26" s="318">
        <v>136.0</v>
      </c>
      <c r="J26" s="85"/>
      <c r="K26" s="139"/>
      <c r="L26" s="286"/>
      <c r="M26" s="16"/>
      <c r="N26" s="16"/>
      <c r="O26" s="16"/>
      <c r="P26" s="16"/>
      <c r="Q26" s="16"/>
    </row>
    <row r="27" ht="15.75" customHeight="1">
      <c r="A27" s="16"/>
      <c r="B27" s="81">
        <v>4.0</v>
      </c>
      <c r="C27" s="81">
        <v>6.0</v>
      </c>
      <c r="D27" s="81">
        <v>160.0</v>
      </c>
      <c r="E27" s="383" t="s">
        <v>1906</v>
      </c>
      <c r="F27" s="56">
        <v>299.0</v>
      </c>
      <c r="G27" s="76">
        <f>IFERROR(__xludf.DUMMYFUNCTION("IFERROR(VLOOKUP(E27,IMPORTRANGE(""https://docs.google.com/spreadsheets/d/1xZyKy-UzMmtPDLpV5jQdYum1LtbR8XKDuasLSjmBRMI/edit#gid=1241094406"",""COMBINED DATA!E3:K""),7,0))"),0.6005)</f>
        <v>0.6005</v>
      </c>
      <c r="H27" s="84">
        <f t="shared" si="4"/>
        <v>497.9184013</v>
      </c>
      <c r="I27" s="318">
        <v>299.0</v>
      </c>
      <c r="J27" s="85"/>
      <c r="K27" s="139"/>
      <c r="L27" s="286"/>
      <c r="M27" s="16"/>
      <c r="N27" s="16"/>
      <c r="O27" s="16"/>
      <c r="P27" s="16"/>
      <c r="Q27" s="16"/>
    </row>
    <row r="28">
      <c r="A28" s="384"/>
      <c r="B28" s="102" t="s">
        <v>11</v>
      </c>
      <c r="C28" s="45"/>
      <c r="D28" s="45"/>
      <c r="E28" s="45"/>
      <c r="F28" s="103">
        <f>SUM(F24:F27)</f>
        <v>593.4</v>
      </c>
      <c r="G28" s="385"/>
      <c r="H28" s="386"/>
      <c r="I28" s="103">
        <f>SUM(I24:I27)</f>
        <v>593.4</v>
      </c>
      <c r="J28" s="85"/>
      <c r="K28" s="384"/>
      <c r="L28" s="387"/>
      <c r="M28" s="384"/>
      <c r="N28" s="384"/>
      <c r="O28" s="384"/>
      <c r="P28" s="384"/>
      <c r="Q28" s="384"/>
    </row>
    <row r="29" ht="5.25" customHeight="1">
      <c r="A29" s="243"/>
      <c r="B29" s="15"/>
      <c r="C29" s="15"/>
      <c r="D29" s="15"/>
      <c r="E29" s="379"/>
      <c r="F29" s="15"/>
      <c r="G29" s="250"/>
      <c r="H29" s="380"/>
      <c r="I29" s="15"/>
      <c r="J29" s="85"/>
      <c r="K29" s="243"/>
      <c r="L29" s="15"/>
      <c r="M29" s="243"/>
      <c r="N29" s="243"/>
      <c r="O29" s="243"/>
      <c r="P29" s="243"/>
      <c r="Q29" s="243"/>
    </row>
    <row r="30" ht="22.5" customHeight="1">
      <c r="A30" s="243"/>
      <c r="B30" s="62" t="s">
        <v>1910</v>
      </c>
      <c r="C30" s="45"/>
      <c r="D30" s="45"/>
      <c r="E30" s="45"/>
      <c r="F30" s="46"/>
      <c r="G30" s="250"/>
      <c r="H30" s="380"/>
      <c r="I30" s="15"/>
      <c r="J30" s="85"/>
      <c r="K30" s="243"/>
      <c r="L30" s="15"/>
      <c r="M30" s="243"/>
      <c r="N30" s="243"/>
      <c r="O30" s="243"/>
      <c r="P30" s="243"/>
      <c r="Q30" s="243"/>
    </row>
    <row r="31" ht="15.75" customHeight="1">
      <c r="A31" s="16"/>
      <c r="B31" s="81">
        <v>1.0</v>
      </c>
      <c r="C31" s="81" t="s">
        <v>69</v>
      </c>
      <c r="D31" s="81">
        <v>75.0</v>
      </c>
      <c r="E31" s="383" t="s">
        <v>1911</v>
      </c>
      <c r="F31" s="56">
        <v>164.0</v>
      </c>
      <c r="G31" s="76">
        <f>IFERROR(__xludf.DUMMYFUNCTION("IFERROR(VLOOKUP(E31,IMPORTRANGE(""https://docs.google.com/spreadsheets/d/1xZyKy-UzMmtPDLpV5jQdYum1LtbR8XKDuasLSjmBRMI/edit#gid=1241094406"",""COMBINED DATA!E3:K""),7,0))"),0.32739999999999997)</f>
        <v>0.3274</v>
      </c>
      <c r="H31" s="84">
        <f t="shared" ref="H31:H32" si="5">IFERROR(F31/G31,"")</f>
        <v>500.9163103</v>
      </c>
      <c r="I31" s="318">
        <v>164.0</v>
      </c>
      <c r="J31" s="85"/>
      <c r="K31" s="139"/>
      <c r="L31" s="20"/>
      <c r="M31" s="16"/>
      <c r="N31" s="16"/>
      <c r="O31" s="16"/>
      <c r="P31" s="16"/>
      <c r="Q31" s="16"/>
    </row>
    <row r="32" ht="15.75" customHeight="1">
      <c r="A32" s="16"/>
      <c r="B32" s="81">
        <v>2.0</v>
      </c>
      <c r="C32" s="149">
        <v>4.0</v>
      </c>
      <c r="D32" s="81">
        <v>110.0</v>
      </c>
      <c r="E32" s="383" t="s">
        <v>1915</v>
      </c>
      <c r="F32" s="56">
        <v>326.0</v>
      </c>
      <c r="G32" s="76">
        <f>IFERROR(__xludf.DUMMYFUNCTION("IFERROR(VLOOKUP(E32,IMPORTRANGE(""https://docs.google.com/spreadsheets/d/1xZyKy-UzMmtPDLpV5jQdYum1LtbR8XKDuasLSjmBRMI/edit#gid=1241094406"",""COMBINED DATA!E3:K""),7,0))"),0.6565)</f>
        <v>0.6565</v>
      </c>
      <c r="H32" s="84">
        <f t="shared" si="5"/>
        <v>496.5727342</v>
      </c>
      <c r="I32" s="318">
        <v>326.0</v>
      </c>
      <c r="J32" s="85"/>
      <c r="K32" s="139"/>
      <c r="L32" s="20"/>
      <c r="M32" s="16"/>
      <c r="N32" s="16"/>
      <c r="O32" s="16"/>
      <c r="P32" s="16"/>
      <c r="Q32" s="16"/>
    </row>
    <row r="33">
      <c r="A33" s="384"/>
      <c r="B33" s="102" t="s">
        <v>11</v>
      </c>
      <c r="C33" s="45"/>
      <c r="D33" s="45"/>
      <c r="E33" s="45"/>
      <c r="F33" s="103">
        <f>SUM(F31:F32)</f>
        <v>490</v>
      </c>
      <c r="G33" s="385"/>
      <c r="H33" s="386"/>
      <c r="I33" s="103">
        <f>SUM(I31:I32)</f>
        <v>490</v>
      </c>
      <c r="J33" s="85"/>
      <c r="K33" s="384"/>
      <c r="L33" s="387"/>
      <c r="M33" s="384"/>
      <c r="N33" s="384"/>
      <c r="O33" s="384"/>
      <c r="P33" s="384"/>
      <c r="Q33" s="384"/>
    </row>
    <row r="34" ht="4.5" customHeight="1">
      <c r="A34" s="243"/>
      <c r="B34" s="15"/>
      <c r="C34" s="15"/>
      <c r="D34" s="15"/>
      <c r="E34" s="379"/>
      <c r="F34" s="15"/>
      <c r="G34" s="250"/>
      <c r="H34" s="380"/>
      <c r="I34" s="15"/>
      <c r="J34" s="85"/>
      <c r="K34" s="243"/>
      <c r="L34" s="15"/>
      <c r="M34" s="243"/>
      <c r="N34" s="243"/>
      <c r="O34" s="243"/>
      <c r="P34" s="243"/>
      <c r="Q34" s="243"/>
    </row>
    <row r="35" ht="22.5" customHeight="1">
      <c r="A35" s="243"/>
      <c r="B35" s="62" t="s">
        <v>1917</v>
      </c>
      <c r="C35" s="45"/>
      <c r="D35" s="45"/>
      <c r="E35" s="45"/>
      <c r="F35" s="46"/>
      <c r="G35" s="250"/>
      <c r="H35" s="380"/>
      <c r="I35" s="15"/>
      <c r="J35" s="85"/>
      <c r="K35" s="243"/>
      <c r="L35" s="15"/>
      <c r="M35" s="243"/>
      <c r="N35" s="243"/>
      <c r="O35" s="243"/>
      <c r="P35" s="243"/>
      <c r="Q35" s="243"/>
    </row>
    <row r="36" ht="15.75" customHeight="1">
      <c r="A36" s="16"/>
      <c r="B36" s="81">
        <v>1.0</v>
      </c>
      <c r="C36" s="81" t="s">
        <v>69</v>
      </c>
      <c r="D36" s="81">
        <v>75.0</v>
      </c>
      <c r="E36" s="383" t="s">
        <v>1919</v>
      </c>
      <c r="F36" s="56">
        <v>134.7</v>
      </c>
      <c r="G36" s="76">
        <f>IFERROR(__xludf.DUMMYFUNCTION("IFERROR(VLOOKUP(E36,IMPORTRANGE(""https://docs.google.com/spreadsheets/d/1xZyKy-UzMmtPDLpV5jQdYum1LtbR8XKDuasLSjmBRMI/edit#gid=1241094406"",""COMBINED DATA!E3:K""),7,0))"),0.293)</f>
        <v>0.293</v>
      </c>
      <c r="H36" s="84">
        <f t="shared" ref="H36:H39" si="6">IFERROR(F36/G36,"")</f>
        <v>459.7269625</v>
      </c>
      <c r="I36" s="318">
        <v>134.7</v>
      </c>
      <c r="J36" s="85"/>
      <c r="K36" s="139"/>
      <c r="L36" s="20"/>
      <c r="M36" s="16"/>
      <c r="N36" s="16"/>
      <c r="O36" s="16"/>
      <c r="P36" s="16"/>
      <c r="Q36" s="16"/>
    </row>
    <row r="37" ht="15.75" customHeight="1">
      <c r="A37" s="16"/>
      <c r="B37" s="81">
        <v>2.0</v>
      </c>
      <c r="C37" s="149">
        <v>3.0</v>
      </c>
      <c r="D37" s="81">
        <v>90.0</v>
      </c>
      <c r="E37" s="383" t="s">
        <v>1921</v>
      </c>
      <c r="F37" s="56">
        <v>196.0</v>
      </c>
      <c r="G37" s="76">
        <f>IFERROR(__xludf.DUMMYFUNCTION("IFERROR(VLOOKUP(E37,IMPORTRANGE(""https://docs.google.com/spreadsheets/d/1xZyKy-UzMmtPDLpV5jQdYum1LtbR8XKDuasLSjmBRMI/edit#gid=1241094406"",""COMBINED DATA!E3:K""),7,0))"),0.409)</f>
        <v>0.409</v>
      </c>
      <c r="H37" s="84">
        <f t="shared" si="6"/>
        <v>479.2176039</v>
      </c>
      <c r="I37" s="318">
        <v>196.0</v>
      </c>
      <c r="J37" s="85"/>
      <c r="K37" s="139"/>
      <c r="L37" s="20"/>
      <c r="M37" s="16"/>
      <c r="N37" s="16"/>
      <c r="O37" s="16"/>
      <c r="P37" s="16"/>
      <c r="Q37" s="16"/>
    </row>
    <row r="38" ht="15.75" customHeight="1">
      <c r="A38" s="16"/>
      <c r="B38" s="81">
        <v>3.0</v>
      </c>
      <c r="C38" s="149">
        <v>4.0</v>
      </c>
      <c r="D38" s="81">
        <v>110.0</v>
      </c>
      <c r="E38" s="383" t="s">
        <v>1923</v>
      </c>
      <c r="F38" s="56">
        <v>258.0</v>
      </c>
      <c r="G38" s="76">
        <f>IFERROR(__xludf.DUMMYFUNCTION("IFERROR(VLOOKUP(E38,IMPORTRANGE(""https://docs.google.com/spreadsheets/d/1xZyKy-UzMmtPDLpV5jQdYum1LtbR8XKDuasLSjmBRMI/edit#gid=1241094406"",""COMBINED DATA!E3:K""),7,0))"),0.543)</f>
        <v>0.543</v>
      </c>
      <c r="H38" s="84">
        <f t="shared" si="6"/>
        <v>475.1381215</v>
      </c>
      <c r="I38" s="318">
        <v>258.0</v>
      </c>
      <c r="J38" s="85"/>
      <c r="K38" s="139"/>
      <c r="L38" s="20"/>
      <c r="M38" s="16"/>
      <c r="N38" s="16"/>
      <c r="O38" s="16"/>
      <c r="P38" s="16"/>
      <c r="Q38" s="16"/>
    </row>
    <row r="39" ht="15.75" customHeight="1">
      <c r="A39" s="16"/>
      <c r="B39" s="81">
        <v>4.0</v>
      </c>
      <c r="C39" s="149">
        <v>6.0</v>
      </c>
      <c r="D39" s="81">
        <v>160.0</v>
      </c>
      <c r="E39" s="383" t="s">
        <v>1924</v>
      </c>
      <c r="F39" s="56">
        <v>648.0</v>
      </c>
      <c r="G39" s="76">
        <f>IFERROR(__xludf.DUMMYFUNCTION("IFERROR(VLOOKUP(E39,IMPORTRANGE(""https://docs.google.com/spreadsheets/d/1xZyKy-UzMmtPDLpV5jQdYum1LtbR8XKDuasLSjmBRMI/edit#gid=1241094406"",""COMBINED DATA!E3:K""),7,0))"),1.33)</f>
        <v>1.33</v>
      </c>
      <c r="H39" s="84">
        <f t="shared" si="6"/>
        <v>487.2180451</v>
      </c>
      <c r="I39" s="318">
        <v>648.0</v>
      </c>
      <c r="J39" s="85"/>
      <c r="K39" s="139"/>
      <c r="L39" s="20"/>
      <c r="M39" s="16"/>
      <c r="N39" s="16"/>
      <c r="O39" s="16"/>
      <c r="P39" s="16"/>
      <c r="Q39" s="16"/>
    </row>
    <row r="40">
      <c r="A40" s="384"/>
      <c r="B40" s="102" t="s">
        <v>11</v>
      </c>
      <c r="C40" s="45"/>
      <c r="D40" s="45"/>
      <c r="E40" s="46"/>
      <c r="F40" s="103">
        <f>SUM(F36:F39)</f>
        <v>1236.7</v>
      </c>
      <c r="G40" s="385"/>
      <c r="H40" s="386"/>
      <c r="I40" s="103">
        <f>SUM(I36:I39)</f>
        <v>1236.7</v>
      </c>
      <c r="J40" s="85"/>
      <c r="K40" s="384"/>
      <c r="L40" s="387"/>
      <c r="M40" s="384"/>
      <c r="N40" s="384"/>
      <c r="O40" s="384"/>
      <c r="P40" s="384"/>
      <c r="Q40" s="384"/>
    </row>
    <row r="41" ht="5.25" customHeight="1">
      <c r="A41" s="243"/>
      <c r="B41" s="15"/>
      <c r="C41" s="15"/>
      <c r="D41" s="15"/>
      <c r="E41" s="379"/>
      <c r="F41" s="15"/>
      <c r="G41" s="250"/>
      <c r="H41" s="380"/>
      <c r="I41" s="15"/>
      <c r="J41" s="85"/>
      <c r="K41" s="243"/>
      <c r="L41" s="15"/>
      <c r="M41" s="243"/>
      <c r="N41" s="243"/>
      <c r="O41" s="243"/>
      <c r="P41" s="243"/>
      <c r="Q41" s="243"/>
    </row>
    <row r="42" ht="22.5" customHeight="1">
      <c r="A42" s="243"/>
      <c r="B42" s="62" t="s">
        <v>1928</v>
      </c>
      <c r="C42" s="45"/>
      <c r="D42" s="45"/>
      <c r="E42" s="45"/>
      <c r="F42" s="46"/>
      <c r="G42" s="250"/>
      <c r="H42" s="380"/>
      <c r="I42" s="15"/>
      <c r="J42" s="85"/>
      <c r="K42" s="243"/>
      <c r="L42" s="15"/>
      <c r="M42" s="243"/>
      <c r="N42" s="243"/>
      <c r="O42" s="243"/>
      <c r="P42" s="243"/>
      <c r="Q42" s="243"/>
    </row>
    <row r="43" ht="15.75" customHeight="1">
      <c r="A43" s="16"/>
      <c r="B43" s="81">
        <v>1.0</v>
      </c>
      <c r="C43" s="81" t="s">
        <v>69</v>
      </c>
      <c r="D43" s="81">
        <v>75.0</v>
      </c>
      <c r="E43" s="383" t="s">
        <v>1931</v>
      </c>
      <c r="F43" s="56">
        <v>88.0</v>
      </c>
      <c r="G43" s="76">
        <f>IFERROR(__xludf.DUMMYFUNCTION("IFERROR(VLOOKUP(E43,IMPORTRANGE(""https://docs.google.com/spreadsheets/d/1xZyKy-UzMmtPDLpV5jQdYum1LtbR8XKDuasLSjmBRMI/edit#gid=1241094406"",""COMBINED DATA!E3:K""),7,0))"),0.189)</f>
        <v>0.189</v>
      </c>
      <c r="H43" s="84">
        <f t="shared" ref="H43:H46" si="7">IFERROR(F43/G43,"")</f>
        <v>465.6084656</v>
      </c>
      <c r="I43" s="318">
        <v>88.0</v>
      </c>
      <c r="J43" s="85"/>
      <c r="K43" s="286"/>
      <c r="L43" s="76"/>
      <c r="M43" s="84"/>
      <c r="N43" s="16"/>
      <c r="O43" s="16"/>
      <c r="P43" s="16"/>
      <c r="Q43" s="16"/>
    </row>
    <row r="44" ht="15.75" customHeight="1">
      <c r="A44" s="16"/>
      <c r="B44" s="81">
        <v>2.0</v>
      </c>
      <c r="C44" s="149">
        <v>3.0</v>
      </c>
      <c r="D44" s="81">
        <v>90.0</v>
      </c>
      <c r="E44" s="383" t="s">
        <v>1935</v>
      </c>
      <c r="F44" s="56">
        <v>128.0</v>
      </c>
      <c r="G44" s="76">
        <f>IFERROR(__xludf.DUMMYFUNCTION("IFERROR(VLOOKUP(E44,IMPORTRANGE(""https://docs.google.com/spreadsheets/d/1xZyKy-UzMmtPDLpV5jQdYum1LtbR8XKDuasLSjmBRMI/edit#gid=1241094406"",""COMBINED DATA!E3:K""),7,0))"),0.266)</f>
        <v>0.266</v>
      </c>
      <c r="H44" s="84">
        <f t="shared" si="7"/>
        <v>481.2030075</v>
      </c>
      <c r="I44" s="318">
        <v>128.0</v>
      </c>
      <c r="J44" s="85"/>
      <c r="K44" s="139"/>
      <c r="L44" s="20"/>
      <c r="M44" s="16"/>
      <c r="N44" s="16"/>
      <c r="O44" s="16"/>
      <c r="P44" s="16"/>
      <c r="Q44" s="16"/>
    </row>
    <row r="45" ht="15.75" customHeight="1">
      <c r="A45" s="16"/>
      <c r="B45" s="81">
        <v>2.0</v>
      </c>
      <c r="C45" s="149">
        <v>4.0</v>
      </c>
      <c r="D45" s="81">
        <v>110.0</v>
      </c>
      <c r="E45" s="383" t="s">
        <v>1937</v>
      </c>
      <c r="F45" s="56">
        <v>188.0</v>
      </c>
      <c r="G45" s="76">
        <f>IFERROR(__xludf.DUMMYFUNCTION("IFERROR(VLOOKUP(E45,IMPORTRANGE(""https://docs.google.com/spreadsheets/d/1xZyKy-UzMmtPDLpV5jQdYum1LtbR8XKDuasLSjmBRMI/edit#gid=1241094406"",""COMBINED DATA!E3:K""),7,0))"),0.399)</f>
        <v>0.399</v>
      </c>
      <c r="H45" s="84">
        <f t="shared" si="7"/>
        <v>471.1779449</v>
      </c>
      <c r="I45" s="318">
        <v>188.0</v>
      </c>
      <c r="J45" s="85"/>
      <c r="K45" s="286"/>
      <c r="L45" s="319"/>
      <c r="M45" s="84"/>
      <c r="N45" s="16"/>
      <c r="O45" s="16"/>
      <c r="P45" s="16"/>
      <c r="Q45" s="16"/>
    </row>
    <row r="46" ht="15.75" customHeight="1">
      <c r="A46" s="16"/>
      <c r="B46" s="81">
        <v>4.0</v>
      </c>
      <c r="C46" s="81">
        <v>6.0</v>
      </c>
      <c r="D46" s="81">
        <v>160.0</v>
      </c>
      <c r="E46" s="383" t="s">
        <v>1939</v>
      </c>
      <c r="F46" s="56">
        <v>478.0</v>
      </c>
      <c r="G46" s="76">
        <f>IFERROR(__xludf.DUMMYFUNCTION("IFERROR(VLOOKUP(E46,IMPORTRANGE(""https://docs.google.com/spreadsheets/d/1xZyKy-UzMmtPDLpV5jQdYum1LtbR8XKDuasLSjmBRMI/edit#gid=1241094406"",""COMBINED DATA!E3:K""),7,0))"),0.966)</f>
        <v>0.966</v>
      </c>
      <c r="H46" s="84">
        <f t="shared" si="7"/>
        <v>494.8240166</v>
      </c>
      <c r="I46" s="318">
        <v>478.0</v>
      </c>
      <c r="J46" s="85"/>
      <c r="K46" s="139"/>
      <c r="L46" s="20"/>
      <c r="M46" s="16"/>
      <c r="N46" s="16"/>
      <c r="O46" s="16"/>
      <c r="P46" s="16"/>
      <c r="Q46" s="16"/>
    </row>
    <row r="47">
      <c r="A47" s="384"/>
      <c r="B47" s="102" t="s">
        <v>11</v>
      </c>
      <c r="C47" s="45"/>
      <c r="D47" s="45"/>
      <c r="E47" s="46"/>
      <c r="F47" s="103">
        <f>SUM(F43:F46)</f>
        <v>882</v>
      </c>
      <c r="G47" s="385"/>
      <c r="H47" s="386"/>
      <c r="I47" s="103">
        <f>SUM(I43:I46)</f>
        <v>882</v>
      </c>
      <c r="J47" s="85"/>
      <c r="K47" s="384"/>
      <c r="L47" s="387"/>
      <c r="M47" s="384"/>
      <c r="N47" s="384"/>
      <c r="O47" s="384"/>
      <c r="P47" s="384"/>
      <c r="Q47" s="384"/>
    </row>
    <row r="48" ht="4.5" customHeight="1">
      <c r="A48" s="243"/>
      <c r="B48" s="15"/>
      <c r="C48" s="15"/>
      <c r="D48" s="15"/>
      <c r="E48" s="379"/>
      <c r="F48" s="15"/>
      <c r="G48" s="250"/>
      <c r="H48" s="380"/>
      <c r="I48" s="15"/>
      <c r="J48" s="85"/>
      <c r="K48" s="243"/>
      <c r="L48" s="15"/>
      <c r="M48" s="243"/>
      <c r="N48" s="243"/>
      <c r="O48" s="243"/>
      <c r="P48" s="243"/>
      <c r="Q48" s="243"/>
    </row>
    <row r="49" ht="22.5" customHeight="1">
      <c r="A49" s="243"/>
      <c r="B49" s="62" t="s">
        <v>1975</v>
      </c>
      <c r="C49" s="45"/>
      <c r="D49" s="45"/>
      <c r="E49" s="45"/>
      <c r="F49" s="46"/>
      <c r="G49" s="250"/>
      <c r="H49" s="380"/>
      <c r="I49" s="15"/>
      <c r="J49" s="85"/>
      <c r="K49" s="243"/>
      <c r="L49" s="15"/>
      <c r="M49" s="243"/>
      <c r="N49" s="243"/>
      <c r="O49" s="243"/>
      <c r="P49" s="243"/>
      <c r="Q49" s="243"/>
    </row>
    <row r="50" ht="15.75" customHeight="1">
      <c r="A50" s="16"/>
      <c r="B50" s="81">
        <v>1.0</v>
      </c>
      <c r="C50" s="81" t="s">
        <v>69</v>
      </c>
      <c r="D50" s="81">
        <v>75.0</v>
      </c>
      <c r="E50" s="383" t="s">
        <v>1977</v>
      </c>
      <c r="F50" s="181">
        <v>108.0</v>
      </c>
      <c r="G50" s="76">
        <f>IFERROR(__xludf.DUMMYFUNCTION("IFERROR(VLOOKUP(E50,IMPORTRANGE(""https://docs.google.com/spreadsheets/d/1xZyKy-UzMmtPDLpV5jQdYum1LtbR8XKDuasLSjmBRMI/edit#gid=1241094406"",""COMBINED DATA!E3:K""),7,0))"),0.194)</f>
        <v>0.194</v>
      </c>
      <c r="H50" s="84">
        <f t="shared" ref="H50:H51" si="8">IFERROR(F50/G50,"")</f>
        <v>556.7010309</v>
      </c>
      <c r="I50" s="388">
        <v>108.0</v>
      </c>
      <c r="J50" s="85"/>
      <c r="K50" s="139"/>
      <c r="L50" s="20"/>
      <c r="M50" s="16"/>
      <c r="N50" s="16"/>
      <c r="O50" s="16"/>
      <c r="P50" s="16"/>
      <c r="Q50" s="16"/>
    </row>
    <row r="51" ht="15.75" customHeight="1">
      <c r="A51" s="16"/>
      <c r="B51" s="81">
        <v>2.0</v>
      </c>
      <c r="C51" s="149">
        <v>4.0</v>
      </c>
      <c r="D51" s="81">
        <v>110.0</v>
      </c>
      <c r="E51" s="383" t="s">
        <v>1978</v>
      </c>
      <c r="F51" s="181">
        <v>224.0</v>
      </c>
      <c r="G51" s="76">
        <f>IFERROR(__xludf.DUMMYFUNCTION("IFERROR(VLOOKUP(E51,IMPORTRANGE(""https://docs.google.com/spreadsheets/d/1xZyKy-UzMmtPDLpV5jQdYum1LtbR8XKDuasLSjmBRMI/edit#gid=1241094406"",""COMBINED DATA!E3:K""),7,0))"),0.4018)</f>
        <v>0.4018</v>
      </c>
      <c r="H51" s="84">
        <f t="shared" si="8"/>
        <v>557.4912892</v>
      </c>
      <c r="I51" s="388">
        <v>224.0</v>
      </c>
      <c r="J51" s="85"/>
      <c r="K51" s="139"/>
      <c r="L51" s="20"/>
      <c r="M51" s="16"/>
      <c r="N51" s="16"/>
      <c r="O51" s="16"/>
      <c r="P51" s="16"/>
      <c r="Q51" s="16"/>
    </row>
    <row r="52">
      <c r="A52" s="384"/>
      <c r="B52" s="102" t="s">
        <v>11</v>
      </c>
      <c r="C52" s="45"/>
      <c r="D52" s="45"/>
      <c r="E52" s="45"/>
      <c r="F52" s="103">
        <f>SUM(F50:F51)</f>
        <v>332</v>
      </c>
      <c r="G52" s="385"/>
      <c r="H52" s="386"/>
      <c r="I52" s="103">
        <f>SUM(I50:I51)</f>
        <v>332</v>
      </c>
      <c r="J52" s="85"/>
      <c r="K52" s="139"/>
      <c r="L52" s="387"/>
      <c r="M52" s="384"/>
      <c r="N52" s="384"/>
      <c r="O52" s="384"/>
      <c r="P52" s="384"/>
      <c r="Q52" s="384"/>
    </row>
    <row r="53" ht="3.75" customHeight="1">
      <c r="A53" s="243"/>
      <c r="B53" s="15"/>
      <c r="C53" s="15"/>
      <c r="D53" s="15"/>
      <c r="E53" s="379"/>
      <c r="F53" s="15"/>
      <c r="G53" s="250"/>
      <c r="H53" s="380"/>
      <c r="I53" s="15"/>
      <c r="J53" s="85"/>
      <c r="K53" s="139"/>
      <c r="L53" s="15"/>
      <c r="M53" s="243"/>
      <c r="N53" s="243"/>
      <c r="O53" s="243"/>
      <c r="P53" s="243"/>
      <c r="Q53" s="243"/>
    </row>
    <row r="54" ht="22.5" customHeight="1">
      <c r="A54" s="243"/>
      <c r="B54" s="62" t="s">
        <v>1981</v>
      </c>
      <c r="C54" s="45"/>
      <c r="D54" s="45"/>
      <c r="E54" s="45"/>
      <c r="F54" s="46"/>
      <c r="G54" s="250"/>
      <c r="H54" s="380"/>
      <c r="I54" s="15"/>
      <c r="J54" s="85"/>
      <c r="K54" s="139"/>
      <c r="L54" s="15"/>
      <c r="M54" s="243"/>
      <c r="N54" s="243"/>
      <c r="O54" s="243"/>
      <c r="P54" s="243"/>
      <c r="Q54" s="243"/>
    </row>
    <row r="55" ht="15.75" customHeight="1">
      <c r="A55" s="16"/>
      <c r="B55" s="81">
        <v>1.0</v>
      </c>
      <c r="C55" s="81" t="s">
        <v>69</v>
      </c>
      <c r="D55" s="81">
        <v>75.0</v>
      </c>
      <c r="E55" s="383" t="s">
        <v>1982</v>
      </c>
      <c r="F55" s="56">
        <v>64.0</v>
      </c>
      <c r="G55" s="76">
        <f>IFERROR(__xludf.DUMMYFUNCTION("IFERROR(VLOOKUP(E55,IMPORTRANGE(""https://docs.google.com/spreadsheets/d/1xZyKy-UzMmtPDLpV5jQdYum1LtbR8XKDuasLSjmBRMI/edit#gid=1241094406"",""COMBINED DATA!E3:K""),7,0))"),0.142)</f>
        <v>0.142</v>
      </c>
      <c r="H55" s="84">
        <f t="shared" ref="H55:H58" si="9">IFERROR(F55/G55,"")</f>
        <v>450.7042254</v>
      </c>
      <c r="I55" s="318">
        <v>64.0</v>
      </c>
      <c r="J55" s="85"/>
      <c r="K55" s="139"/>
      <c r="L55" s="286"/>
      <c r="M55" s="16"/>
      <c r="N55" s="16"/>
      <c r="O55" s="16"/>
      <c r="P55" s="16"/>
      <c r="Q55" s="16"/>
    </row>
    <row r="56" ht="15.75" customHeight="1">
      <c r="A56" s="16"/>
      <c r="B56" s="81">
        <v>2.0</v>
      </c>
      <c r="C56" s="149">
        <v>3.0</v>
      </c>
      <c r="D56" s="81">
        <v>90.0</v>
      </c>
      <c r="E56" s="383" t="s">
        <v>1983</v>
      </c>
      <c r="F56" s="56">
        <v>92.0</v>
      </c>
      <c r="G56" s="76">
        <f>IFERROR(__xludf.DUMMYFUNCTION("IFERROR(VLOOKUP(E56,IMPORTRANGE(""https://docs.google.com/spreadsheets/d/1xZyKy-UzMmtPDLpV5jQdYum1LtbR8XKDuasLSjmBRMI/edit#gid=1241094406"",""COMBINED DATA!E3:K""),7,0))"),0.194)</f>
        <v>0.194</v>
      </c>
      <c r="H56" s="84">
        <f t="shared" si="9"/>
        <v>474.2268041</v>
      </c>
      <c r="I56" s="318">
        <v>92.0</v>
      </c>
      <c r="J56" s="85"/>
      <c r="K56" s="139"/>
      <c r="L56" s="286"/>
      <c r="M56" s="16"/>
      <c r="N56" s="16"/>
      <c r="O56" s="16"/>
      <c r="P56" s="16"/>
      <c r="Q56" s="16"/>
    </row>
    <row r="57" ht="15.75" customHeight="1">
      <c r="A57" s="16"/>
      <c r="B57" s="81">
        <v>3.0</v>
      </c>
      <c r="C57" s="149">
        <v>4.0</v>
      </c>
      <c r="D57" s="81">
        <v>110.0</v>
      </c>
      <c r="E57" s="383" t="s">
        <v>1984</v>
      </c>
      <c r="F57" s="56">
        <v>134.0</v>
      </c>
      <c r="G57" s="76">
        <f>IFERROR(__xludf.DUMMYFUNCTION("IFERROR(VLOOKUP(E57,IMPORTRANGE(""https://docs.google.com/spreadsheets/d/1xZyKy-UzMmtPDLpV5jQdYum1LtbR8XKDuasLSjmBRMI/edit#gid=1241094406"",""COMBINED DATA!E3:K""),7,0))"),0.289)</f>
        <v>0.289</v>
      </c>
      <c r="H57" s="84">
        <f t="shared" si="9"/>
        <v>463.6678201</v>
      </c>
      <c r="I57" s="318">
        <v>134.0</v>
      </c>
      <c r="J57" s="85"/>
      <c r="K57" s="139"/>
      <c r="L57" s="286"/>
      <c r="M57" s="16"/>
      <c r="N57" s="16"/>
      <c r="O57" s="16"/>
      <c r="P57" s="16"/>
      <c r="Q57" s="16"/>
    </row>
    <row r="58" ht="15.75" customHeight="1">
      <c r="A58" s="16"/>
      <c r="B58" s="81">
        <v>4.0</v>
      </c>
      <c r="C58" s="149">
        <v>6.0</v>
      </c>
      <c r="D58" s="81">
        <v>160.0</v>
      </c>
      <c r="E58" s="383" t="s">
        <v>1985</v>
      </c>
      <c r="F58" s="56">
        <v>306.0</v>
      </c>
      <c r="G58" s="76">
        <f>IFERROR(__xludf.DUMMYFUNCTION("IFERROR(VLOOKUP(E58,IMPORTRANGE(""https://docs.google.com/spreadsheets/d/1xZyKy-UzMmtPDLpV5jQdYum1LtbR8XKDuasLSjmBRMI/edit#gid=1241094406"",""COMBINED DATA!E3:K""),7,0))"),0.617)</f>
        <v>0.617</v>
      </c>
      <c r="H58" s="84">
        <f t="shared" si="9"/>
        <v>495.9481361</v>
      </c>
      <c r="I58" s="318">
        <v>306.0</v>
      </c>
      <c r="J58" s="85"/>
      <c r="K58" s="139"/>
      <c r="L58" s="286"/>
      <c r="M58" s="16"/>
      <c r="N58" s="16"/>
      <c r="O58" s="16"/>
      <c r="P58" s="16"/>
      <c r="Q58" s="16"/>
    </row>
    <row r="59">
      <c r="A59" s="384"/>
      <c r="B59" s="102" t="s">
        <v>11</v>
      </c>
      <c r="C59" s="45"/>
      <c r="D59" s="45"/>
      <c r="E59" s="46"/>
      <c r="F59" s="103">
        <f>SUM(F55:F58)</f>
        <v>596</v>
      </c>
      <c r="G59" s="385"/>
      <c r="H59" s="386"/>
      <c r="I59" s="103">
        <f>SUM(I55:I58)</f>
        <v>596</v>
      </c>
      <c r="J59" s="85"/>
      <c r="K59" s="139"/>
      <c r="L59" s="387"/>
      <c r="M59" s="384"/>
      <c r="N59" s="384"/>
      <c r="O59" s="384"/>
      <c r="P59" s="384"/>
      <c r="Q59" s="384"/>
    </row>
    <row r="60" ht="4.5" customHeight="1">
      <c r="A60" s="243"/>
      <c r="B60" s="15"/>
      <c r="C60" s="15"/>
      <c r="D60" s="15"/>
      <c r="E60" s="379"/>
      <c r="F60" s="15"/>
      <c r="G60" s="250"/>
      <c r="H60" s="380"/>
      <c r="I60" s="15"/>
      <c r="J60" s="85"/>
      <c r="K60" s="139"/>
      <c r="L60" s="15"/>
      <c r="M60" s="243"/>
      <c r="N60" s="243"/>
      <c r="O60" s="243"/>
      <c r="P60" s="243"/>
      <c r="Q60" s="243"/>
    </row>
    <row r="61">
      <c r="A61" s="243"/>
      <c r="B61" s="62" t="s">
        <v>1989</v>
      </c>
      <c r="C61" s="45"/>
      <c r="D61" s="45"/>
      <c r="E61" s="45"/>
      <c r="F61" s="46"/>
      <c r="G61" s="250"/>
      <c r="H61" s="380"/>
      <c r="I61" s="15"/>
      <c r="J61" s="85"/>
      <c r="K61" s="139"/>
      <c r="L61" s="15"/>
      <c r="M61" s="243"/>
      <c r="N61" s="243"/>
      <c r="O61" s="243"/>
      <c r="P61" s="243"/>
      <c r="Q61" s="243"/>
    </row>
    <row r="62">
      <c r="A62" s="243"/>
      <c r="B62" s="81">
        <v>1.0</v>
      </c>
      <c r="C62" s="81" t="s">
        <v>69</v>
      </c>
      <c r="D62" s="81">
        <v>75.0</v>
      </c>
      <c r="E62" s="383" t="s">
        <v>1991</v>
      </c>
      <c r="F62" s="398" t="s">
        <v>722</v>
      </c>
      <c r="G62" s="58">
        <v>0.032</v>
      </c>
      <c r="H62" s="84"/>
      <c r="I62" s="318">
        <v>38.0</v>
      </c>
      <c r="J62" s="85"/>
      <c r="K62" s="139"/>
      <c r="L62" s="15"/>
      <c r="M62" s="243"/>
      <c r="N62" s="243"/>
      <c r="O62" s="243"/>
      <c r="P62" s="243"/>
      <c r="Q62" s="243"/>
    </row>
    <row r="63">
      <c r="A63" s="243"/>
      <c r="B63" s="81">
        <v>2.0</v>
      </c>
      <c r="C63" s="149">
        <v>4.0</v>
      </c>
      <c r="D63" s="81">
        <v>110.0</v>
      </c>
      <c r="E63" s="383" t="s">
        <v>1994</v>
      </c>
      <c r="F63" s="398" t="s">
        <v>722</v>
      </c>
      <c r="G63" s="58">
        <v>0.076</v>
      </c>
      <c r="H63" s="84"/>
      <c r="I63" s="318">
        <v>48.0</v>
      </c>
      <c r="J63" s="85"/>
      <c r="K63" s="139"/>
      <c r="L63" s="15"/>
      <c r="M63" s="243"/>
      <c r="N63" s="243"/>
      <c r="O63" s="243"/>
      <c r="P63" s="243"/>
      <c r="Q63" s="243"/>
    </row>
    <row r="64">
      <c r="A64" s="243"/>
      <c r="B64" s="81">
        <v>3.0</v>
      </c>
      <c r="C64" s="149">
        <v>6.0</v>
      </c>
      <c r="D64" s="81">
        <v>160.0</v>
      </c>
      <c r="E64" s="383" t="s">
        <v>1995</v>
      </c>
      <c r="F64" s="398" t="s">
        <v>722</v>
      </c>
      <c r="G64" s="58">
        <v>0.296</v>
      </c>
      <c r="H64" s="84"/>
      <c r="I64" s="318">
        <v>78.0</v>
      </c>
      <c r="J64" s="85"/>
      <c r="K64" s="139"/>
      <c r="L64" s="15"/>
      <c r="M64" s="243"/>
      <c r="N64" s="243"/>
      <c r="O64" s="243"/>
      <c r="P64" s="243"/>
      <c r="Q64" s="243"/>
    </row>
    <row r="65">
      <c r="A65" s="243"/>
      <c r="B65" s="102" t="s">
        <v>11</v>
      </c>
      <c r="C65" s="45"/>
      <c r="D65" s="45"/>
      <c r="E65" s="46"/>
      <c r="F65" s="103">
        <f>SUM(F62:F64)</f>
        <v>0</v>
      </c>
      <c r="G65" s="250"/>
      <c r="H65" s="380"/>
      <c r="I65" s="103">
        <f>SUM(I62:I64)</f>
        <v>164</v>
      </c>
      <c r="J65" s="85"/>
      <c r="K65" s="139"/>
      <c r="L65" s="15"/>
      <c r="M65" s="243"/>
      <c r="N65" s="243"/>
      <c r="O65" s="243"/>
      <c r="P65" s="243"/>
      <c r="Q65" s="243"/>
    </row>
    <row r="66" ht="4.5" customHeight="1">
      <c r="A66" s="243"/>
      <c r="B66" s="15"/>
      <c r="C66" s="15"/>
      <c r="D66" s="15"/>
      <c r="E66" s="379"/>
      <c r="F66" s="15"/>
      <c r="G66" s="250"/>
      <c r="H66" s="380"/>
      <c r="I66" s="15"/>
      <c r="J66" s="85"/>
      <c r="K66" s="139"/>
      <c r="L66" s="15"/>
      <c r="M66" s="243"/>
      <c r="N66" s="243"/>
      <c r="O66" s="243"/>
      <c r="P66" s="243"/>
      <c r="Q66" s="243"/>
    </row>
    <row r="67" ht="22.5" customHeight="1">
      <c r="A67" s="243"/>
      <c r="B67" s="62" t="s">
        <v>695</v>
      </c>
      <c r="C67" s="45"/>
      <c r="D67" s="45"/>
      <c r="E67" s="45"/>
      <c r="F67" s="46"/>
      <c r="G67" s="250"/>
      <c r="H67" s="380"/>
      <c r="I67" s="15"/>
      <c r="J67" s="85"/>
      <c r="K67" s="139"/>
      <c r="L67" s="15"/>
      <c r="M67" s="243"/>
      <c r="N67" s="243"/>
      <c r="O67" s="243"/>
      <c r="P67" s="243"/>
      <c r="Q67" s="243"/>
    </row>
    <row r="68" ht="15.75" customHeight="1">
      <c r="A68" s="16"/>
      <c r="B68" s="81">
        <v>1.0</v>
      </c>
      <c r="C68" s="81" t="s">
        <v>69</v>
      </c>
      <c r="D68" s="81">
        <v>75.0</v>
      </c>
      <c r="E68" s="383" t="s">
        <v>1998</v>
      </c>
      <c r="F68" s="56">
        <v>157.0</v>
      </c>
      <c r="G68" s="76">
        <f>IFERROR(__xludf.DUMMYFUNCTION("IFERROR(VLOOKUP(E68,IMPORTRANGE(""https://docs.google.com/spreadsheets/d/1xZyKy-UzMmtPDLpV5jQdYum1LtbR8XKDuasLSjmBRMI/edit#gid=1241094406"",""COMBINED DATA!E3:K""),7,0))"),0.3272)</f>
        <v>0.3272</v>
      </c>
      <c r="H68" s="84">
        <f t="shared" ref="H68:H69" si="10">IFERROR(F68/G68,"")</f>
        <v>479.8288509</v>
      </c>
      <c r="I68" s="318">
        <v>157.0</v>
      </c>
      <c r="J68" s="85"/>
      <c r="K68" s="139"/>
      <c r="L68" s="20"/>
      <c r="M68" s="16"/>
      <c r="N68" s="16"/>
      <c r="O68" s="16"/>
      <c r="P68" s="16"/>
      <c r="Q68" s="16"/>
    </row>
    <row r="69" ht="15.75" customHeight="1">
      <c r="A69" s="16"/>
      <c r="B69" s="81">
        <v>2.0</v>
      </c>
      <c r="C69" s="149">
        <v>4.0</v>
      </c>
      <c r="D69" s="81">
        <v>110.0</v>
      </c>
      <c r="E69" s="383" t="s">
        <v>2000</v>
      </c>
      <c r="F69" s="56">
        <v>310.0</v>
      </c>
      <c r="G69" s="76">
        <f>IFERROR(__xludf.DUMMYFUNCTION("IFERROR(VLOOKUP(E69,IMPORTRANGE(""https://docs.google.com/spreadsheets/d/1xZyKy-UzMmtPDLpV5jQdYum1LtbR8XKDuasLSjmBRMI/edit#gid=1241094406"",""COMBINED DATA!E3:K""),7,0))"),0.6477999999999999)</f>
        <v>0.6478</v>
      </c>
      <c r="H69" s="84">
        <f t="shared" si="10"/>
        <v>478.5427601</v>
      </c>
      <c r="I69" s="318">
        <v>310.0</v>
      </c>
      <c r="J69" s="85"/>
      <c r="K69" s="139"/>
      <c r="L69" s="20"/>
      <c r="M69" s="16"/>
      <c r="N69" s="16"/>
      <c r="O69" s="16"/>
      <c r="P69" s="16"/>
      <c r="Q69" s="16"/>
    </row>
    <row r="70">
      <c r="A70" s="384"/>
      <c r="B70" s="102" t="s">
        <v>11</v>
      </c>
      <c r="C70" s="45"/>
      <c r="D70" s="45"/>
      <c r="E70" s="45"/>
      <c r="F70" s="103">
        <f>SUM(F68:F69)</f>
        <v>467</v>
      </c>
      <c r="G70" s="385"/>
      <c r="H70" s="386"/>
      <c r="I70" s="103">
        <f>SUM(I68:I69)</f>
        <v>467</v>
      </c>
      <c r="J70" s="85"/>
      <c r="K70" s="139"/>
      <c r="L70" s="387"/>
      <c r="M70" s="384"/>
      <c r="N70" s="384"/>
      <c r="O70" s="384"/>
      <c r="P70" s="384"/>
      <c r="Q70" s="384"/>
    </row>
    <row r="71" ht="4.5" customHeight="1">
      <c r="A71" s="243"/>
      <c r="B71" s="15"/>
      <c r="C71" s="15"/>
      <c r="D71" s="15"/>
      <c r="E71" s="379"/>
      <c r="F71" s="15"/>
      <c r="G71" s="250"/>
      <c r="H71" s="380"/>
      <c r="I71" s="15"/>
      <c r="J71" s="85"/>
      <c r="K71" s="139"/>
      <c r="L71" s="15"/>
      <c r="M71" s="243"/>
      <c r="N71" s="243"/>
      <c r="O71" s="243"/>
      <c r="P71" s="243"/>
      <c r="Q71" s="243"/>
    </row>
    <row r="72" ht="22.5" customHeight="1">
      <c r="A72" s="243"/>
      <c r="B72" s="62" t="s">
        <v>2003</v>
      </c>
      <c r="C72" s="45"/>
      <c r="D72" s="45"/>
      <c r="E72" s="45"/>
      <c r="F72" s="46"/>
      <c r="G72" s="250"/>
      <c r="H72" s="380"/>
      <c r="I72" s="15"/>
      <c r="J72" s="85"/>
      <c r="K72" s="139"/>
      <c r="L72" s="15"/>
      <c r="M72" s="243"/>
      <c r="N72" s="243"/>
      <c r="O72" s="243"/>
      <c r="P72" s="243"/>
      <c r="Q72" s="243"/>
    </row>
    <row r="73" ht="15.75" customHeight="1">
      <c r="A73" s="16"/>
      <c r="B73" s="81">
        <v>1.0</v>
      </c>
      <c r="C73" s="81" t="s">
        <v>69</v>
      </c>
      <c r="D73" s="81">
        <v>75.0</v>
      </c>
      <c r="E73" s="383" t="s">
        <v>2005</v>
      </c>
      <c r="F73" s="56">
        <v>121.0</v>
      </c>
      <c r="G73" s="76">
        <f>IFERROR(__xludf.DUMMYFUNCTION("IFERROR(VLOOKUP(E73,IMPORTRANGE(""https://docs.google.com/spreadsheets/d/1xZyKy-UzMmtPDLpV5jQdYum1LtbR8XKDuasLSjmBRMI/edit#gid=1241094406"",""COMBINED DATA!E3:K""),7,0))"),0.275)</f>
        <v>0.275</v>
      </c>
      <c r="H73" s="84">
        <f t="shared" ref="H73:H76" si="11">IFERROR(F73/G73,"")</f>
        <v>440</v>
      </c>
      <c r="I73" s="318">
        <v>121.0</v>
      </c>
      <c r="J73" s="85"/>
      <c r="K73" s="139"/>
      <c r="L73" s="319"/>
      <c r="M73" s="84"/>
      <c r="N73" s="16"/>
      <c r="O73" s="16"/>
      <c r="P73" s="16"/>
      <c r="Q73" s="16"/>
    </row>
    <row r="74" ht="15.75" customHeight="1">
      <c r="A74" s="16"/>
      <c r="B74" s="81">
        <v>2.0</v>
      </c>
      <c r="C74" s="149">
        <v>3.0</v>
      </c>
      <c r="D74" s="81">
        <v>90.0</v>
      </c>
      <c r="E74" s="383" t="s">
        <v>2006</v>
      </c>
      <c r="F74" s="56">
        <v>169.8</v>
      </c>
      <c r="G74" s="76">
        <f>IFERROR(__xludf.DUMMYFUNCTION("IFERROR(VLOOKUP(E74,IMPORTRANGE(""https://docs.google.com/spreadsheets/d/1xZyKy-UzMmtPDLpV5jQdYum1LtbR8XKDuasLSjmBRMI/edit#gid=1241094406"",""COMBINED DATA!E3:K""),7,0))"),0.368)</f>
        <v>0.368</v>
      </c>
      <c r="H74" s="84">
        <f t="shared" si="11"/>
        <v>461.4130435</v>
      </c>
      <c r="I74" s="318">
        <v>169.8</v>
      </c>
      <c r="J74" s="85"/>
      <c r="K74" s="139"/>
      <c r="L74" s="20"/>
      <c r="M74" s="16"/>
      <c r="N74" s="16"/>
      <c r="O74" s="16"/>
      <c r="P74" s="16"/>
      <c r="Q74" s="16"/>
    </row>
    <row r="75" ht="15.75" customHeight="1">
      <c r="A75" s="16"/>
      <c r="B75" s="81">
        <v>2.0</v>
      </c>
      <c r="C75" s="149">
        <v>4.0</v>
      </c>
      <c r="D75" s="81">
        <v>110.0</v>
      </c>
      <c r="E75" s="383" t="s">
        <v>2008</v>
      </c>
      <c r="F75" s="56">
        <v>248.0</v>
      </c>
      <c r="G75" s="76">
        <f>IFERROR(__xludf.DUMMYFUNCTION("IFERROR(VLOOKUP(E75,IMPORTRANGE(""https://docs.google.com/spreadsheets/d/1xZyKy-UzMmtPDLpV5jQdYum1LtbR8XKDuasLSjmBRMI/edit#gid=1241094406"",""COMBINED DATA!E3:K""),7,0))"),0.555)</f>
        <v>0.555</v>
      </c>
      <c r="H75" s="84">
        <f t="shared" si="11"/>
        <v>446.8468468</v>
      </c>
      <c r="I75" s="318">
        <v>248.0</v>
      </c>
      <c r="J75" s="85"/>
      <c r="K75" s="139"/>
      <c r="L75" s="319"/>
      <c r="M75" s="84"/>
      <c r="N75" s="16"/>
      <c r="O75" s="16"/>
      <c r="P75" s="16"/>
      <c r="Q75" s="16"/>
    </row>
    <row r="76" ht="15.75" customHeight="1">
      <c r="A76" s="16"/>
      <c r="B76" s="81">
        <v>4.0</v>
      </c>
      <c r="C76" s="149">
        <v>6.0</v>
      </c>
      <c r="D76" s="81">
        <v>160.0</v>
      </c>
      <c r="E76" s="383" t="s">
        <v>2010</v>
      </c>
      <c r="F76" s="56">
        <v>632.0</v>
      </c>
      <c r="G76" s="76">
        <f>IFERROR(__xludf.DUMMYFUNCTION("IFERROR(VLOOKUP(E76,IMPORTRANGE(""https://docs.google.com/spreadsheets/d/1xZyKy-UzMmtPDLpV5jQdYum1LtbR8XKDuasLSjmBRMI/edit#gid=1241094406"",""COMBINED DATA!E3:K""),7,0))"),1.285)</f>
        <v>1.285</v>
      </c>
      <c r="H76" s="84">
        <f t="shared" si="11"/>
        <v>491.8287938</v>
      </c>
      <c r="I76" s="318">
        <v>632.0</v>
      </c>
      <c r="J76" s="85"/>
      <c r="K76" s="139"/>
      <c r="L76" s="20"/>
      <c r="M76" s="16"/>
      <c r="N76" s="16"/>
      <c r="O76" s="16"/>
      <c r="P76" s="16"/>
      <c r="Q76" s="16"/>
    </row>
    <row r="77">
      <c r="A77" s="384"/>
      <c r="B77" s="102" t="s">
        <v>11</v>
      </c>
      <c r="C77" s="45"/>
      <c r="D77" s="45"/>
      <c r="E77" s="46"/>
      <c r="F77" s="103">
        <f>SUM(F73:F76)</f>
        <v>1170.8</v>
      </c>
      <c r="G77" s="385"/>
      <c r="H77" s="386"/>
      <c r="I77" s="103">
        <f>SUM(I73:I76)</f>
        <v>1170.8</v>
      </c>
      <c r="J77" s="85"/>
      <c r="K77" s="384"/>
      <c r="L77" s="387"/>
      <c r="M77" s="384"/>
      <c r="N77" s="384"/>
      <c r="O77" s="384"/>
      <c r="P77" s="384"/>
      <c r="Q77" s="384"/>
    </row>
    <row r="78" ht="5.25" customHeight="1">
      <c r="A78" s="243"/>
      <c r="B78" s="15"/>
      <c r="C78" s="15"/>
      <c r="D78" s="15"/>
      <c r="E78" s="379"/>
      <c r="F78" s="15"/>
      <c r="G78" s="250"/>
      <c r="H78" s="380"/>
      <c r="I78" s="15"/>
      <c r="J78" s="85"/>
      <c r="K78" s="243"/>
      <c r="L78" s="15"/>
      <c r="M78" s="243"/>
      <c r="N78" s="243"/>
      <c r="O78" s="243"/>
      <c r="P78" s="243"/>
      <c r="Q78" s="243"/>
    </row>
    <row r="79" ht="22.5" customHeight="1">
      <c r="A79" s="243"/>
      <c r="B79" s="62" t="s">
        <v>2015</v>
      </c>
      <c r="C79" s="45"/>
      <c r="D79" s="45"/>
      <c r="E79" s="45"/>
      <c r="F79" s="46"/>
      <c r="G79" s="250"/>
      <c r="H79" s="380"/>
      <c r="I79" s="15"/>
      <c r="J79" s="85"/>
      <c r="K79" s="243"/>
      <c r="L79" s="15"/>
      <c r="M79" s="243"/>
      <c r="N79" s="243"/>
      <c r="O79" s="243"/>
      <c r="P79" s="243"/>
      <c r="Q79" s="243"/>
    </row>
    <row r="80" ht="15.75" customHeight="1">
      <c r="A80" s="16"/>
      <c r="B80" s="81">
        <v>1.0</v>
      </c>
      <c r="C80" s="81" t="s">
        <v>2017</v>
      </c>
      <c r="D80" s="81" t="s">
        <v>2018</v>
      </c>
      <c r="E80" s="383" t="s">
        <v>2019</v>
      </c>
      <c r="F80" s="56">
        <v>228.0</v>
      </c>
      <c r="G80" s="76">
        <f>IFERROR(__xludf.DUMMYFUNCTION("IFERROR(VLOOKUP(E80,IMPORTRANGE(""https://docs.google.com/spreadsheets/d/1xZyKy-UzMmtPDLpV5jQdYum1LtbR8XKDuasLSjmBRMI/edit#gid=1241094406"",""COMBINED DATA!E3:K""),7,0))"),0.48)</f>
        <v>0.48</v>
      </c>
      <c r="H80" s="84">
        <f t="shared" ref="H80:H83" si="12">IFERROR(F80/G80,"")</f>
        <v>475</v>
      </c>
      <c r="I80" s="318">
        <v>228.0</v>
      </c>
      <c r="J80" s="85"/>
      <c r="K80" s="139"/>
      <c r="L80" s="20"/>
      <c r="M80" s="16"/>
      <c r="N80" s="16"/>
      <c r="O80" s="16"/>
      <c r="P80" s="16"/>
      <c r="Q80" s="16"/>
    </row>
    <row r="81" ht="15.75" customHeight="1">
      <c r="A81" s="16"/>
      <c r="B81" s="81">
        <v>2.0</v>
      </c>
      <c r="C81" s="149" t="s">
        <v>469</v>
      </c>
      <c r="D81" s="81" t="s">
        <v>2021</v>
      </c>
      <c r="E81" s="383" t="s">
        <v>2022</v>
      </c>
      <c r="F81" s="56">
        <v>176.0</v>
      </c>
      <c r="G81" s="76">
        <f>IFERROR(__xludf.DUMMYFUNCTION("IFERROR(VLOOKUP(E81,IMPORTRANGE(""https://docs.google.com/spreadsheets/d/1xZyKy-UzMmtPDLpV5jQdYum1LtbR8XKDuasLSjmBRMI/edit#gid=1241094406"",""COMBINED DATA!E3:K""),7,0))"),0.342)</f>
        <v>0.342</v>
      </c>
      <c r="H81" s="84">
        <f t="shared" si="12"/>
        <v>514.619883</v>
      </c>
      <c r="I81" s="318">
        <v>176.0</v>
      </c>
      <c r="J81" s="85"/>
      <c r="K81" s="139"/>
      <c r="L81" s="20"/>
      <c r="M81" s="16"/>
      <c r="N81" s="16"/>
      <c r="O81" s="16"/>
      <c r="P81" s="16"/>
      <c r="Q81" s="16"/>
    </row>
    <row r="82" ht="15.75" customHeight="1">
      <c r="A82" s="16"/>
      <c r="B82" s="81">
        <v>3.0</v>
      </c>
      <c r="C82" s="149" t="s">
        <v>2024</v>
      </c>
      <c r="D82" s="81" t="s">
        <v>2025</v>
      </c>
      <c r="E82" s="383" t="s">
        <v>2026</v>
      </c>
      <c r="F82" s="56">
        <v>596.0</v>
      </c>
      <c r="G82" s="76">
        <f>IFERROR(__xludf.DUMMYFUNCTION("IFERROR(VLOOKUP(E82,IMPORTRANGE(""https://docs.google.com/spreadsheets/d/1xZyKy-UzMmtPDLpV5jQdYum1LtbR8XKDuasLSjmBRMI/edit#gid=1241094406"",""COMBINED DATA!E3:K""),7,0))"),1.16)</f>
        <v>1.16</v>
      </c>
      <c r="H82" s="84">
        <f t="shared" si="12"/>
        <v>513.7931034</v>
      </c>
      <c r="I82" s="318">
        <v>596.0</v>
      </c>
      <c r="J82" s="85"/>
      <c r="K82" s="139"/>
      <c r="L82" s="20"/>
      <c r="M82" s="16"/>
      <c r="N82" s="16"/>
      <c r="O82" s="16"/>
      <c r="P82" s="16"/>
      <c r="Q82" s="16"/>
    </row>
    <row r="83" ht="15.75" customHeight="1">
      <c r="A83" s="16"/>
      <c r="B83" s="81">
        <v>4.0</v>
      </c>
      <c r="C83" s="149" t="s">
        <v>2028</v>
      </c>
      <c r="D83" s="81" t="s">
        <v>2029</v>
      </c>
      <c r="E83" s="383" t="s">
        <v>2030</v>
      </c>
      <c r="F83" s="56">
        <v>548.0</v>
      </c>
      <c r="G83" s="76">
        <f>IFERROR(__xludf.DUMMYFUNCTION("IFERROR(VLOOKUP(E83,IMPORTRANGE(""https://docs.google.com/spreadsheets/d/1xZyKy-UzMmtPDLpV5jQdYum1LtbR8XKDuasLSjmBRMI/edit#gid=1241094406"",""COMBINED DATA!E3:K""),7,0))"),1.068)</f>
        <v>1.068</v>
      </c>
      <c r="H83" s="84">
        <f t="shared" si="12"/>
        <v>513.1086142</v>
      </c>
      <c r="I83" s="318">
        <v>548.0</v>
      </c>
      <c r="J83" s="85"/>
      <c r="K83" s="139"/>
      <c r="L83" s="20"/>
      <c r="M83" s="16"/>
      <c r="N83" s="16"/>
      <c r="O83" s="16"/>
      <c r="P83" s="16"/>
      <c r="Q83" s="16"/>
    </row>
    <row r="84">
      <c r="A84" s="384"/>
      <c r="B84" s="102" t="s">
        <v>11</v>
      </c>
      <c r="C84" s="45"/>
      <c r="D84" s="45"/>
      <c r="E84" s="46"/>
      <c r="F84" s="103">
        <f>SUM(F80:F83)</f>
        <v>1548</v>
      </c>
      <c r="G84" s="385"/>
      <c r="H84" s="386"/>
      <c r="I84" s="103">
        <f>SUM(I80:I83)</f>
        <v>1548</v>
      </c>
      <c r="J84" s="85"/>
      <c r="K84" s="384"/>
      <c r="L84" s="387"/>
      <c r="M84" s="384"/>
      <c r="N84" s="384"/>
      <c r="O84" s="384"/>
      <c r="P84" s="384"/>
      <c r="Q84" s="384"/>
    </row>
    <row r="85" ht="4.5" customHeight="1">
      <c r="A85" s="243"/>
      <c r="B85" s="15"/>
      <c r="C85" s="15"/>
      <c r="D85" s="15"/>
      <c r="E85" s="379"/>
      <c r="F85" s="15"/>
      <c r="G85" s="250"/>
      <c r="H85" s="380"/>
      <c r="I85" s="15"/>
      <c r="J85" s="85"/>
      <c r="K85" s="243"/>
      <c r="L85" s="15"/>
      <c r="M85" s="243"/>
      <c r="N85" s="243"/>
      <c r="O85" s="243"/>
      <c r="P85" s="243"/>
      <c r="Q85" s="243"/>
    </row>
    <row r="86" ht="22.5" customHeight="1">
      <c r="A86" s="243"/>
      <c r="B86" s="62" t="s">
        <v>2035</v>
      </c>
      <c r="C86" s="45"/>
      <c r="D86" s="45"/>
      <c r="E86" s="45"/>
      <c r="F86" s="46"/>
      <c r="G86" s="250"/>
      <c r="H86" s="380"/>
      <c r="I86" s="15"/>
      <c r="J86" s="85"/>
      <c r="K86" s="243"/>
      <c r="L86" s="15"/>
      <c r="M86" s="243"/>
      <c r="N86" s="243"/>
      <c r="O86" s="243"/>
      <c r="P86" s="243"/>
      <c r="Q86" s="243"/>
    </row>
    <row r="87" ht="15.75" customHeight="1">
      <c r="A87" s="16"/>
      <c r="B87" s="81">
        <v>1.0</v>
      </c>
      <c r="C87" s="81" t="s">
        <v>2017</v>
      </c>
      <c r="D87" s="81" t="s">
        <v>2018</v>
      </c>
      <c r="E87" s="383" t="s">
        <v>2037</v>
      </c>
      <c r="F87" s="56">
        <v>239.8</v>
      </c>
      <c r="G87" s="76">
        <f>IFERROR(__xludf.DUMMYFUNCTION("IFERROR(VLOOKUP(E87,IMPORTRANGE(""https://docs.google.com/spreadsheets/d/1xZyKy-UzMmtPDLpV5jQdYum1LtbR8XKDuasLSjmBRMI/edit#gid=1241094406"",""COMBINED DATA!E3:K""),7,0))"),0.508)</f>
        <v>0.508</v>
      </c>
      <c r="H87" s="84">
        <f t="shared" ref="H87:H90" si="13">IFERROR(F87/G87,"")</f>
        <v>472.0472441</v>
      </c>
      <c r="I87" s="318">
        <v>239.8</v>
      </c>
      <c r="J87" s="85"/>
      <c r="K87" s="139"/>
      <c r="L87" s="20"/>
      <c r="M87" s="16"/>
      <c r="N87" s="16"/>
      <c r="O87" s="16"/>
      <c r="P87" s="16"/>
      <c r="Q87" s="16"/>
    </row>
    <row r="88" ht="15.75" customHeight="1">
      <c r="A88" s="16"/>
      <c r="B88" s="81">
        <v>2.0</v>
      </c>
      <c r="C88" s="149" t="s">
        <v>469</v>
      </c>
      <c r="D88" s="81" t="s">
        <v>2021</v>
      </c>
      <c r="E88" s="383" t="s">
        <v>2039</v>
      </c>
      <c r="F88" s="56">
        <v>202.6</v>
      </c>
      <c r="G88" s="76">
        <f>IFERROR(__xludf.DUMMYFUNCTION("IFERROR(VLOOKUP(E88,IMPORTRANGE(""https://docs.google.com/spreadsheets/d/1xZyKy-UzMmtPDLpV5jQdYum1LtbR8XKDuasLSjmBRMI/edit#gid=1241094406"",""COMBINED DATA!E3:K""),7,0))"),0.0)</f>
        <v>0</v>
      </c>
      <c r="H88" s="84" t="str">
        <f t="shared" si="13"/>
        <v/>
      </c>
      <c r="I88" s="318">
        <v>202.6</v>
      </c>
      <c r="J88" s="85"/>
      <c r="K88" s="139"/>
      <c r="L88" s="20"/>
      <c r="M88" s="16"/>
      <c r="N88" s="16"/>
      <c r="O88" s="16"/>
      <c r="P88" s="16"/>
      <c r="Q88" s="16"/>
    </row>
    <row r="89" ht="15.75" customHeight="1">
      <c r="A89" s="16"/>
      <c r="B89" s="81">
        <v>3.0</v>
      </c>
      <c r="C89" s="149" t="s">
        <v>2024</v>
      </c>
      <c r="D89" s="81" t="s">
        <v>2025</v>
      </c>
      <c r="E89" s="383" t="s">
        <v>2041</v>
      </c>
      <c r="F89" s="56">
        <v>621.2</v>
      </c>
      <c r="G89" s="76">
        <f>IFERROR(__xludf.DUMMYFUNCTION("IFERROR(VLOOKUP(E89,IMPORTRANGE(""https://docs.google.com/spreadsheets/d/1xZyKy-UzMmtPDLpV5jQdYum1LtbR8XKDuasLSjmBRMI/edit#gid=1241094406"",""COMBINED DATA!E3:K""),7,0))"),1.173)</f>
        <v>1.173</v>
      </c>
      <c r="H89" s="84">
        <f t="shared" si="13"/>
        <v>529.5822677</v>
      </c>
      <c r="I89" s="318">
        <v>621.2</v>
      </c>
      <c r="J89" s="85"/>
      <c r="K89" s="139"/>
      <c r="L89" s="20"/>
      <c r="M89" s="16"/>
      <c r="N89" s="16"/>
      <c r="O89" s="16"/>
      <c r="P89" s="16"/>
      <c r="Q89" s="16"/>
    </row>
    <row r="90" ht="15.75" customHeight="1">
      <c r="A90" s="16"/>
      <c r="B90" s="81">
        <v>4.0</v>
      </c>
      <c r="C90" s="149" t="s">
        <v>2028</v>
      </c>
      <c r="D90" s="81" t="s">
        <v>2029</v>
      </c>
      <c r="E90" s="383" t="s">
        <v>2044</v>
      </c>
      <c r="F90" s="56">
        <v>584.0</v>
      </c>
      <c r="G90" s="76">
        <f>IFERROR(__xludf.DUMMYFUNCTION("IFERROR(VLOOKUP(E90,IMPORTRANGE(""https://docs.google.com/spreadsheets/d/1xZyKy-UzMmtPDLpV5jQdYum1LtbR8XKDuasLSjmBRMI/edit#gid=1241094406"",""COMBINED DATA!E3:K""),7,0))"),1.108)</f>
        <v>1.108</v>
      </c>
      <c r="H90" s="84">
        <f t="shared" si="13"/>
        <v>527.0758123</v>
      </c>
      <c r="I90" s="318">
        <v>584.0</v>
      </c>
      <c r="J90" s="85"/>
      <c r="K90" s="139"/>
      <c r="L90" s="20"/>
      <c r="M90" s="16"/>
      <c r="N90" s="16"/>
      <c r="O90" s="16"/>
      <c r="P90" s="16"/>
      <c r="Q90" s="16"/>
    </row>
    <row r="91">
      <c r="A91" s="384"/>
      <c r="B91" s="102" t="s">
        <v>11</v>
      </c>
      <c r="C91" s="45"/>
      <c r="D91" s="45"/>
      <c r="E91" s="46"/>
      <c r="F91" s="103">
        <f>SUM(F87:F90)</f>
        <v>1647.6</v>
      </c>
      <c r="G91" s="385"/>
      <c r="H91" s="386"/>
      <c r="I91" s="103">
        <f>SUM(I87:I90)</f>
        <v>1647.6</v>
      </c>
      <c r="J91" s="85"/>
      <c r="K91" s="384"/>
      <c r="L91" s="387"/>
      <c r="M91" s="384"/>
      <c r="N91" s="384"/>
      <c r="O91" s="384"/>
      <c r="P91" s="384"/>
      <c r="Q91" s="384"/>
    </row>
    <row r="92" ht="5.25" customHeight="1">
      <c r="A92" s="243"/>
      <c r="B92" s="15"/>
      <c r="C92" s="15"/>
      <c r="D92" s="15"/>
      <c r="E92" s="379"/>
      <c r="F92" s="15"/>
      <c r="G92" s="250"/>
      <c r="H92" s="380"/>
      <c r="I92" s="15"/>
      <c r="J92" s="85"/>
      <c r="K92" s="243"/>
      <c r="L92" s="15"/>
      <c r="M92" s="243"/>
      <c r="N92" s="243"/>
      <c r="O92" s="243"/>
      <c r="P92" s="243"/>
      <c r="Q92" s="243"/>
    </row>
    <row r="93" ht="22.5" customHeight="1">
      <c r="A93" s="243"/>
      <c r="B93" s="62" t="s">
        <v>2048</v>
      </c>
      <c r="C93" s="45"/>
      <c r="D93" s="45"/>
      <c r="E93" s="45"/>
      <c r="F93" s="46"/>
      <c r="G93" s="250"/>
      <c r="H93" s="380"/>
      <c r="I93" s="15"/>
      <c r="J93" s="85"/>
      <c r="K93" s="243"/>
      <c r="L93" s="15"/>
      <c r="M93" s="243"/>
      <c r="N93" s="243"/>
      <c r="O93" s="243"/>
      <c r="P93" s="243"/>
      <c r="Q93" s="243"/>
    </row>
    <row r="94" ht="15.75" customHeight="1">
      <c r="A94" s="16"/>
      <c r="B94" s="81">
        <v>1.0</v>
      </c>
      <c r="C94" s="81" t="s">
        <v>69</v>
      </c>
      <c r="D94" s="81">
        <v>75.0</v>
      </c>
      <c r="E94" s="383" t="s">
        <v>2050</v>
      </c>
      <c r="F94" s="56">
        <v>159.8</v>
      </c>
      <c r="G94" s="76">
        <f>IFERROR(__xludf.DUMMYFUNCTION("IFERROR(VLOOKUP(E94,IMPORTRANGE(""https://docs.google.com/spreadsheets/d/1xZyKy-UzMmtPDLpV5jQdYum1LtbR8XKDuasLSjmBRMI/edit#gid=1241094406"",""COMBINED DATA!E3:K""),7,0))"),0.3382)</f>
        <v>0.3382</v>
      </c>
      <c r="H94" s="84">
        <f t="shared" ref="H94:H97" si="14">IFERROR(F94/G94,"")</f>
        <v>472.5014784</v>
      </c>
      <c r="I94" s="318">
        <v>159.8</v>
      </c>
      <c r="J94" s="85"/>
      <c r="K94" s="139"/>
      <c r="L94" s="319"/>
      <c r="M94" s="16"/>
      <c r="N94" s="16"/>
      <c r="O94" s="16"/>
      <c r="P94" s="16"/>
      <c r="Q94" s="16"/>
    </row>
    <row r="95" ht="15.75" customHeight="1">
      <c r="A95" s="16"/>
      <c r="B95" s="81">
        <v>2.0</v>
      </c>
      <c r="C95" s="149">
        <v>3.0</v>
      </c>
      <c r="D95" s="81">
        <v>90.0</v>
      </c>
      <c r="E95" s="383" t="s">
        <v>2052</v>
      </c>
      <c r="F95" s="56">
        <v>225.0</v>
      </c>
      <c r="G95" s="76">
        <f>IFERROR(__xludf.DUMMYFUNCTION("IFERROR(VLOOKUP(E95,IMPORTRANGE(""https://docs.google.com/spreadsheets/d/1xZyKy-UzMmtPDLpV5jQdYum1LtbR8XKDuasLSjmBRMI/edit#gid=1241094406"",""COMBINED DATA!E3:K""),7,0))"),0.476)</f>
        <v>0.476</v>
      </c>
      <c r="H95" s="84">
        <f t="shared" si="14"/>
        <v>472.6890756</v>
      </c>
      <c r="I95" s="318">
        <v>225.0</v>
      </c>
      <c r="J95" s="85"/>
      <c r="K95" s="139"/>
      <c r="L95" s="319"/>
      <c r="M95" s="16"/>
      <c r="N95" s="16"/>
      <c r="O95" s="16"/>
      <c r="P95" s="16"/>
      <c r="Q95" s="16"/>
    </row>
    <row r="96" ht="15.75" customHeight="1">
      <c r="A96" s="16"/>
      <c r="B96" s="81">
        <v>3.0</v>
      </c>
      <c r="C96" s="149">
        <v>4.0</v>
      </c>
      <c r="D96" s="81">
        <v>110.0</v>
      </c>
      <c r="E96" s="383" t="s">
        <v>2055</v>
      </c>
      <c r="F96" s="56">
        <v>342.2</v>
      </c>
      <c r="G96" s="76">
        <f>IFERROR(__xludf.DUMMYFUNCTION("IFERROR(VLOOKUP(E96,IMPORTRANGE(""https://docs.google.com/spreadsheets/d/1xZyKy-UzMmtPDLpV5jQdYum1LtbR8XKDuasLSjmBRMI/edit#gid=1241094406"",""COMBINED DATA!E3:K""),7,0))"),0.7216)</f>
        <v>0.7216</v>
      </c>
      <c r="H96" s="84">
        <f t="shared" si="14"/>
        <v>474.2239468</v>
      </c>
      <c r="I96" s="318">
        <v>342.2</v>
      </c>
      <c r="J96" s="85"/>
      <c r="K96" s="139"/>
      <c r="L96" s="319"/>
      <c r="M96" s="16"/>
      <c r="N96" s="16"/>
      <c r="O96" s="16"/>
      <c r="P96" s="16"/>
      <c r="Q96" s="16"/>
    </row>
    <row r="97" ht="15.75" customHeight="1">
      <c r="A97" s="16"/>
      <c r="B97" s="81">
        <v>4.0</v>
      </c>
      <c r="C97" s="81">
        <v>6.0</v>
      </c>
      <c r="D97" s="81">
        <v>160.0</v>
      </c>
      <c r="E97" s="383" t="s">
        <v>2058</v>
      </c>
      <c r="F97" s="56">
        <v>974.6</v>
      </c>
      <c r="G97" s="76">
        <f>IFERROR(__xludf.DUMMYFUNCTION("IFERROR(VLOOKUP(E97,IMPORTRANGE(""https://docs.google.com/spreadsheets/d/1xZyKy-UzMmtPDLpV5jQdYum1LtbR8XKDuasLSjmBRMI/edit#gid=1241094406"",""COMBINED DATA!E3:K""),7,0))"),0.0)</f>
        <v>0</v>
      </c>
      <c r="H97" s="84" t="str">
        <f t="shared" si="14"/>
        <v/>
      </c>
      <c r="I97" s="318">
        <v>974.6</v>
      </c>
      <c r="J97" s="85"/>
      <c r="K97" s="139"/>
      <c r="L97" s="319"/>
      <c r="M97" s="16"/>
      <c r="N97" s="16"/>
      <c r="O97" s="16"/>
      <c r="P97" s="16"/>
      <c r="Q97" s="16"/>
    </row>
    <row r="98">
      <c r="A98" s="384"/>
      <c r="B98" s="102" t="s">
        <v>11</v>
      </c>
      <c r="C98" s="45"/>
      <c r="D98" s="45"/>
      <c r="E98" s="46"/>
      <c r="F98" s="103">
        <f>SUM(F94:F97)</f>
        <v>1701.6</v>
      </c>
      <c r="G98" s="385"/>
      <c r="H98" s="386"/>
      <c r="I98" s="103">
        <f>SUM(I94:I97)</f>
        <v>1701.6</v>
      </c>
      <c r="J98" s="85"/>
      <c r="K98" s="384"/>
      <c r="L98" s="387"/>
      <c r="M98" s="384"/>
      <c r="N98" s="384"/>
      <c r="O98" s="384"/>
      <c r="P98" s="384"/>
      <c r="Q98" s="384"/>
    </row>
    <row r="99" ht="4.5" customHeight="1">
      <c r="A99" s="243"/>
      <c r="B99" s="15"/>
      <c r="C99" s="15"/>
      <c r="D99" s="15"/>
      <c r="E99" s="379"/>
      <c r="F99" s="15"/>
      <c r="G99" s="250"/>
      <c r="H99" s="380"/>
      <c r="I99" s="15"/>
      <c r="J99" s="85"/>
      <c r="K99" s="243"/>
      <c r="L99" s="15"/>
      <c r="M99" s="243"/>
      <c r="N99" s="243"/>
      <c r="O99" s="243"/>
      <c r="P99" s="243"/>
      <c r="Q99" s="243"/>
    </row>
    <row r="100" ht="22.5" customHeight="1">
      <c r="A100" s="243"/>
      <c r="B100" s="62" t="s">
        <v>2064</v>
      </c>
      <c r="C100" s="45"/>
      <c r="D100" s="45"/>
      <c r="E100" s="45"/>
      <c r="F100" s="46"/>
      <c r="G100" s="250"/>
      <c r="H100" s="380"/>
      <c r="I100" s="15"/>
      <c r="J100" s="85"/>
      <c r="K100" s="243"/>
      <c r="L100" s="15"/>
      <c r="M100" s="243"/>
      <c r="N100" s="243"/>
      <c r="O100" s="243"/>
      <c r="P100" s="243"/>
      <c r="Q100" s="243"/>
    </row>
    <row r="101" ht="15.75" customHeight="1">
      <c r="A101" s="16"/>
      <c r="B101" s="81">
        <v>1.0</v>
      </c>
      <c r="C101" s="81" t="s">
        <v>69</v>
      </c>
      <c r="D101" s="81">
        <v>75.0</v>
      </c>
      <c r="E101" s="383" t="s">
        <v>2067</v>
      </c>
      <c r="F101" s="181">
        <v>163.7</v>
      </c>
      <c r="G101" s="76">
        <f>IFERROR(__xludf.DUMMYFUNCTION("IFERROR(VLOOKUP(E101,IMPORTRANGE(""https://docs.google.com/spreadsheets/d/1xZyKy-UzMmtPDLpV5jQdYum1LtbR8XKDuasLSjmBRMI/edit#gid=1241094406"",""COMBINED DATA!E3:K""),7,0))"),0.316)</f>
        <v>0.316</v>
      </c>
      <c r="H101" s="84">
        <f t="shared" ref="H101:H102" si="15">IFERROR(F101/G101,"")</f>
        <v>518.0379747</v>
      </c>
      <c r="I101" s="388">
        <v>163.7</v>
      </c>
      <c r="J101" s="85"/>
      <c r="K101" s="139"/>
      <c r="L101" s="20"/>
      <c r="M101" s="16"/>
      <c r="N101" s="16"/>
      <c r="O101" s="16"/>
      <c r="P101" s="16"/>
      <c r="Q101" s="16"/>
    </row>
    <row r="102" ht="15.75" customHeight="1">
      <c r="A102" s="16"/>
      <c r="B102" s="81">
        <v>2.0</v>
      </c>
      <c r="C102" s="81">
        <v>4.0</v>
      </c>
      <c r="D102" s="81">
        <v>110.0</v>
      </c>
      <c r="E102" s="383" t="s">
        <v>2070</v>
      </c>
      <c r="F102" s="181">
        <v>277.8</v>
      </c>
      <c r="G102" s="76">
        <f>IFERROR(__xludf.DUMMYFUNCTION("IFERROR(VLOOKUP(E102,IMPORTRANGE(""https://docs.google.com/spreadsheets/d/1xZyKy-UzMmtPDLpV5jQdYum1LtbR8XKDuasLSjmBRMI/edit#gid=1241094406"",""COMBINED DATA!E3:K""),7,0))"),0.0)</f>
        <v>0</v>
      </c>
      <c r="H102" s="84" t="str">
        <f t="shared" si="15"/>
        <v/>
      </c>
      <c r="I102" s="388">
        <v>277.8</v>
      </c>
      <c r="J102" s="85"/>
      <c r="K102" s="139"/>
      <c r="L102" s="20"/>
      <c r="M102" s="16"/>
      <c r="N102" s="16"/>
      <c r="O102" s="16"/>
      <c r="P102" s="16"/>
      <c r="Q102" s="16"/>
    </row>
    <row r="103">
      <c r="A103" s="384"/>
      <c r="B103" s="102" t="s">
        <v>11</v>
      </c>
      <c r="C103" s="45"/>
      <c r="D103" s="45"/>
      <c r="E103" s="46"/>
      <c r="F103" s="103">
        <f>sum(F101:F102)</f>
        <v>441.5</v>
      </c>
      <c r="G103" s="385"/>
      <c r="H103" s="386"/>
      <c r="I103" s="103">
        <f>sum(I101:I102)</f>
        <v>441.5</v>
      </c>
      <c r="J103" s="85"/>
      <c r="K103" s="384"/>
      <c r="L103" s="387"/>
      <c r="M103" s="384"/>
      <c r="N103" s="384"/>
      <c r="O103" s="384"/>
      <c r="P103" s="384"/>
      <c r="Q103" s="384"/>
    </row>
    <row r="104" ht="3.75" customHeight="1">
      <c r="A104" s="243"/>
      <c r="B104" s="302"/>
      <c r="C104" s="302"/>
      <c r="D104" s="302"/>
      <c r="E104" s="302"/>
      <c r="F104" s="302"/>
      <c r="G104" s="250"/>
      <c r="H104" s="380"/>
      <c r="I104" s="15"/>
      <c r="J104" s="85"/>
      <c r="K104" s="243"/>
      <c r="L104" s="15"/>
      <c r="M104" s="243"/>
      <c r="N104" s="243"/>
      <c r="O104" s="243"/>
      <c r="P104" s="243"/>
      <c r="Q104" s="243"/>
    </row>
    <row r="105" ht="22.5" customHeight="1">
      <c r="A105" s="243"/>
      <c r="B105" s="62" t="s">
        <v>2074</v>
      </c>
      <c r="C105" s="45"/>
      <c r="D105" s="45"/>
      <c r="E105" s="45"/>
      <c r="F105" s="46"/>
      <c r="G105" s="250"/>
      <c r="H105" s="380"/>
      <c r="I105" s="15"/>
      <c r="J105" s="85"/>
      <c r="K105" s="243"/>
      <c r="L105" s="15"/>
      <c r="M105" s="243"/>
      <c r="N105" s="243"/>
      <c r="O105" s="243"/>
      <c r="P105" s="243"/>
      <c r="Q105" s="243"/>
    </row>
    <row r="106" ht="15.75" customHeight="1">
      <c r="A106" s="16"/>
      <c r="B106" s="81">
        <v>1.0</v>
      </c>
      <c r="C106" s="81" t="s">
        <v>2017</v>
      </c>
      <c r="D106" s="81" t="s">
        <v>2018</v>
      </c>
      <c r="E106" s="383" t="s">
        <v>2076</v>
      </c>
      <c r="F106" s="181">
        <v>288.0</v>
      </c>
      <c r="G106" s="76">
        <f>IFERROR(__xludf.DUMMYFUNCTION("IFERROR(VLOOKUP(E106,IMPORTRANGE(""https://docs.google.com/spreadsheets/d/1xZyKy-UzMmtPDLpV5jQdYum1LtbR8XKDuasLSjmBRMI/edit#gid=1241094406"",""COMBINED DATA!E3:K""),7,0))"),0.552)</f>
        <v>0.552</v>
      </c>
      <c r="H106" s="84">
        <f>IFERROR(F106/G106,"")</f>
        <v>521.7391304</v>
      </c>
      <c r="I106" s="388">
        <v>288.0</v>
      </c>
      <c r="J106" s="85"/>
      <c r="K106" s="139"/>
      <c r="L106" s="20"/>
      <c r="M106" s="16"/>
      <c r="N106" s="16"/>
      <c r="O106" s="16"/>
      <c r="P106" s="16"/>
      <c r="Q106" s="16"/>
    </row>
    <row r="107" ht="4.5" customHeight="1">
      <c r="A107" s="243"/>
      <c r="B107" s="302"/>
      <c r="C107" s="302"/>
      <c r="D107" s="302"/>
      <c r="E107" s="302"/>
      <c r="F107" s="181"/>
      <c r="G107" s="414"/>
      <c r="H107" s="380"/>
      <c r="I107" s="15"/>
      <c r="J107" s="85"/>
      <c r="K107" s="243"/>
      <c r="L107" s="15"/>
      <c r="M107" s="243"/>
      <c r="N107" s="243"/>
      <c r="O107" s="243"/>
      <c r="P107" s="243"/>
      <c r="Q107" s="243"/>
    </row>
    <row r="108" ht="22.5" customHeight="1">
      <c r="A108" s="243"/>
      <c r="B108" s="62" t="s">
        <v>2082</v>
      </c>
      <c r="C108" s="45"/>
      <c r="D108" s="45"/>
      <c r="E108" s="45"/>
      <c r="F108" s="46"/>
      <c r="G108" s="250"/>
      <c r="H108" s="380"/>
      <c r="I108" s="15"/>
      <c r="J108" s="85"/>
      <c r="K108" s="243"/>
      <c r="L108" s="15"/>
      <c r="M108" s="243"/>
      <c r="N108" s="243"/>
      <c r="O108" s="243"/>
      <c r="P108" s="243"/>
      <c r="Q108" s="243"/>
    </row>
    <row r="109" ht="15.75" customHeight="1">
      <c r="A109" s="16"/>
      <c r="B109" s="81">
        <v>1.0</v>
      </c>
      <c r="C109" s="81" t="s">
        <v>69</v>
      </c>
      <c r="D109" s="81">
        <v>75.0</v>
      </c>
      <c r="E109" s="383" t="s">
        <v>2085</v>
      </c>
      <c r="F109" s="56">
        <v>208.2</v>
      </c>
      <c r="G109" s="76">
        <f>IFERROR(__xludf.DUMMYFUNCTION("IFERROR(VLOOKUP(E109,IMPORTRANGE(""https://docs.google.com/spreadsheets/d/1xZyKy-UzMmtPDLpV5jQdYum1LtbR8XKDuasLSjmBRMI/edit#gid=1241094406"",""COMBINED DATA!E3:K""),7,0))"),0.416)</f>
        <v>0.416</v>
      </c>
      <c r="H109" s="84">
        <f t="shared" ref="H109:H110" si="16">IFERROR(F109/G109,"")</f>
        <v>500.4807692</v>
      </c>
      <c r="I109" s="318">
        <v>208.2</v>
      </c>
      <c r="J109" s="85"/>
      <c r="K109" s="88"/>
      <c r="L109" s="20"/>
      <c r="M109" s="16"/>
      <c r="N109" s="16"/>
      <c r="O109" s="16"/>
      <c r="P109" s="16"/>
      <c r="Q109" s="16"/>
    </row>
    <row r="110" ht="15.75" customHeight="1">
      <c r="A110" s="16"/>
      <c r="B110" s="81">
        <v>2.0</v>
      </c>
      <c r="C110" s="149">
        <v>4.0</v>
      </c>
      <c r="D110" s="81">
        <v>110.0</v>
      </c>
      <c r="E110" s="383" t="s">
        <v>2091</v>
      </c>
      <c r="F110" s="56">
        <v>444.4</v>
      </c>
      <c r="G110" s="76">
        <f>IFERROR(__xludf.DUMMYFUNCTION("IFERROR(VLOOKUP(E110,IMPORTRANGE(""https://docs.google.com/spreadsheets/d/1xZyKy-UzMmtPDLpV5jQdYum1LtbR8XKDuasLSjmBRMI/edit#gid=1241094406"",""COMBINED DATA!E3:K""),7,0))"),0.8915)</f>
        <v>0.8915</v>
      </c>
      <c r="H110" s="84">
        <f t="shared" si="16"/>
        <v>498.4856983</v>
      </c>
      <c r="I110" s="318">
        <v>444.4</v>
      </c>
      <c r="J110" s="85"/>
      <c r="K110" s="88"/>
      <c r="L110" s="20"/>
      <c r="M110" s="16"/>
      <c r="N110" s="16"/>
      <c r="O110" s="16"/>
      <c r="P110" s="16"/>
      <c r="Q110" s="16"/>
    </row>
    <row r="111">
      <c r="A111" s="384"/>
      <c r="B111" s="102" t="s">
        <v>11</v>
      </c>
      <c r="C111" s="45"/>
      <c r="D111" s="45"/>
      <c r="E111" s="46"/>
      <c r="F111" s="103">
        <f>SUM(F109:F110)</f>
        <v>652.6</v>
      </c>
      <c r="G111" s="385"/>
      <c r="H111" s="386"/>
      <c r="I111" s="103">
        <f>SUM(I109:I110)</f>
        <v>652.6</v>
      </c>
      <c r="J111" s="85"/>
      <c r="K111" s="384"/>
      <c r="L111" s="387"/>
      <c r="M111" s="384"/>
      <c r="N111" s="384"/>
      <c r="O111" s="384"/>
      <c r="P111" s="384"/>
      <c r="Q111" s="384"/>
    </row>
    <row r="112" ht="5.25" customHeight="1">
      <c r="A112" s="243"/>
      <c r="B112" s="302"/>
      <c r="C112" s="302"/>
      <c r="D112" s="302"/>
      <c r="E112" s="302"/>
      <c r="F112" s="302"/>
      <c r="G112" s="250"/>
      <c r="H112" s="380"/>
      <c r="I112" s="15"/>
      <c r="J112" s="85"/>
      <c r="K112" s="243"/>
      <c r="L112" s="15"/>
      <c r="M112" s="243"/>
      <c r="N112" s="243"/>
      <c r="O112" s="243"/>
      <c r="P112" s="243"/>
      <c r="Q112" s="243"/>
    </row>
    <row r="113" ht="22.5" customHeight="1">
      <c r="A113" s="243"/>
      <c r="B113" s="62" t="s">
        <v>2114</v>
      </c>
      <c r="C113" s="45"/>
      <c r="D113" s="45"/>
      <c r="E113" s="45"/>
      <c r="F113" s="46"/>
      <c r="G113" s="250"/>
      <c r="H113" s="380"/>
      <c r="I113" s="15"/>
      <c r="J113" s="85"/>
      <c r="K113" s="243"/>
      <c r="L113" s="15"/>
      <c r="M113" s="243"/>
      <c r="N113" s="243"/>
      <c r="O113" s="243"/>
      <c r="P113" s="243"/>
      <c r="Q113" s="243"/>
    </row>
    <row r="114" ht="15.75" customHeight="1">
      <c r="A114" s="16"/>
      <c r="B114" s="81">
        <v>1.0</v>
      </c>
      <c r="C114" s="81" t="s">
        <v>69</v>
      </c>
      <c r="D114" s="81">
        <v>75.0</v>
      </c>
      <c r="E114" s="383" t="s">
        <v>2117</v>
      </c>
      <c r="F114" s="181">
        <v>114.0</v>
      </c>
      <c r="G114" s="76">
        <f>IFERROR(__xludf.DUMMYFUNCTION("IFERROR(VLOOKUP(E114,IMPORTRANGE(""https://docs.google.com/spreadsheets/d/1xZyKy-UzMmtPDLpV5jQdYum1LtbR8XKDuasLSjmBRMI/edit#gid=1241094406"",""COMBINED DATA!E3:K""),7,0))"),0.2215)</f>
        <v>0.2215</v>
      </c>
      <c r="H114" s="84">
        <f t="shared" ref="H114:H115" si="17">IFERROR(F114/G114,"")</f>
        <v>514.6726862</v>
      </c>
      <c r="I114" s="388">
        <v>114.0</v>
      </c>
      <c r="J114" s="85"/>
      <c r="K114" s="139"/>
      <c r="L114" s="20"/>
      <c r="M114" s="16"/>
      <c r="N114" s="16"/>
      <c r="O114" s="16"/>
      <c r="P114" s="16"/>
      <c r="Q114" s="16"/>
    </row>
    <row r="115" ht="15.75" customHeight="1">
      <c r="A115" s="16"/>
      <c r="B115" s="81">
        <v>2.0</v>
      </c>
      <c r="C115" s="149">
        <v>4.0</v>
      </c>
      <c r="D115" s="81">
        <v>110.0</v>
      </c>
      <c r="E115" s="383" t="s">
        <v>2120</v>
      </c>
      <c r="F115" s="181">
        <v>234.0</v>
      </c>
      <c r="G115" s="76">
        <f>IFERROR(__xludf.DUMMYFUNCTION("IFERROR(VLOOKUP(E115,IMPORTRANGE(""https://docs.google.com/spreadsheets/d/1xZyKy-UzMmtPDLpV5jQdYum1LtbR8XKDuasLSjmBRMI/edit#gid=1241094406"",""COMBINED DATA!E3:K""),7,0))"),0.455)</f>
        <v>0.455</v>
      </c>
      <c r="H115" s="84">
        <f t="shared" si="17"/>
        <v>514.2857143</v>
      </c>
      <c r="I115" s="388">
        <v>234.0</v>
      </c>
      <c r="J115" s="85"/>
      <c r="K115" s="139"/>
      <c r="L115" s="20"/>
      <c r="M115" s="16"/>
      <c r="N115" s="16"/>
      <c r="O115" s="16"/>
      <c r="P115" s="16"/>
      <c r="Q115" s="16"/>
    </row>
    <row r="116">
      <c r="A116" s="384"/>
      <c r="B116" s="102" t="s">
        <v>11</v>
      </c>
      <c r="C116" s="45"/>
      <c r="D116" s="45"/>
      <c r="E116" s="46"/>
      <c r="F116" s="103">
        <f>sum(F114:F115)</f>
        <v>348</v>
      </c>
      <c r="G116" s="385"/>
      <c r="H116" s="386"/>
      <c r="I116" s="103">
        <f>sum(I114:I115)</f>
        <v>348</v>
      </c>
      <c r="J116" s="85"/>
      <c r="K116" s="139"/>
      <c r="L116" s="387"/>
      <c r="M116" s="384"/>
      <c r="N116" s="384"/>
      <c r="O116" s="384"/>
      <c r="P116" s="384"/>
      <c r="Q116" s="384"/>
    </row>
    <row r="117" ht="5.25" customHeight="1">
      <c r="A117" s="243"/>
      <c r="B117" s="15"/>
      <c r="C117" s="15"/>
      <c r="D117" s="15"/>
      <c r="E117" s="379"/>
      <c r="F117" s="15"/>
      <c r="G117" s="250"/>
      <c r="H117" s="380"/>
      <c r="I117" s="15"/>
      <c r="J117" s="85"/>
      <c r="K117" s="139"/>
      <c r="L117" s="15"/>
      <c r="M117" s="243"/>
      <c r="N117" s="243"/>
      <c r="O117" s="243"/>
      <c r="P117" s="243"/>
      <c r="Q117" s="243"/>
    </row>
    <row r="118" ht="22.5" customHeight="1">
      <c r="A118" s="243"/>
      <c r="B118" s="62" t="s">
        <v>2125</v>
      </c>
      <c r="C118" s="45"/>
      <c r="D118" s="45"/>
      <c r="E118" s="45"/>
      <c r="F118" s="46"/>
      <c r="G118" s="250"/>
      <c r="H118" s="380"/>
      <c r="I118" s="15"/>
      <c r="J118" s="85"/>
      <c r="K118" s="139"/>
      <c r="L118" s="15"/>
      <c r="M118" s="243"/>
      <c r="N118" s="243"/>
      <c r="O118" s="243"/>
      <c r="P118" s="243"/>
      <c r="Q118" s="243"/>
    </row>
    <row r="119" ht="15.75" customHeight="1">
      <c r="A119" s="16"/>
      <c r="B119" s="81">
        <v>1.0</v>
      </c>
      <c r="C119" s="81" t="s">
        <v>69</v>
      </c>
      <c r="D119" s="81">
        <v>75.0</v>
      </c>
      <c r="E119" s="383" t="s">
        <v>2128</v>
      </c>
      <c r="F119" s="56">
        <v>152.2</v>
      </c>
      <c r="G119" s="76">
        <f>IFERROR(__xludf.DUMMYFUNCTION("IFERROR(VLOOKUP(E119,IMPORTRANGE(""https://docs.google.com/spreadsheets/d/1xZyKy-UzMmtPDLpV5jQdYum1LtbR8XKDuasLSjmBRMI/edit#gid=1241094406"",""COMBINED DATA!E3:K""),7,0))"),0.326)</f>
        <v>0.326</v>
      </c>
      <c r="H119" s="84">
        <f t="shared" ref="H119:H122" si="18">IFERROR(F119/G119,"")</f>
        <v>466.8711656</v>
      </c>
      <c r="I119" s="318">
        <v>152.2</v>
      </c>
      <c r="J119" s="85"/>
      <c r="K119" s="139"/>
      <c r="L119" s="319"/>
      <c r="M119" s="16"/>
      <c r="N119" s="16"/>
      <c r="O119" s="16"/>
      <c r="P119" s="16"/>
      <c r="Q119" s="16"/>
    </row>
    <row r="120" ht="15.75" customHeight="1">
      <c r="A120" s="16"/>
      <c r="B120" s="81">
        <v>2.0</v>
      </c>
      <c r="C120" s="149">
        <v>3.0</v>
      </c>
      <c r="D120" s="81">
        <v>90.0</v>
      </c>
      <c r="E120" s="383" t="s">
        <v>2131</v>
      </c>
      <c r="F120" s="56">
        <v>217.6</v>
      </c>
      <c r="G120" s="76">
        <f>IFERROR(__xludf.DUMMYFUNCTION("IFERROR(VLOOKUP(E120,IMPORTRANGE(""https://docs.google.com/spreadsheets/d/1xZyKy-UzMmtPDLpV5jQdYum1LtbR8XKDuasLSjmBRMI/edit#gid=1241094406"",""COMBINED DATA!E3:K""),7,0))"),0.449)</f>
        <v>0.449</v>
      </c>
      <c r="H120" s="84">
        <f t="shared" si="18"/>
        <v>484.6325167</v>
      </c>
      <c r="I120" s="318">
        <v>217.6</v>
      </c>
      <c r="J120" s="85"/>
      <c r="K120" s="139"/>
      <c r="L120" s="319"/>
      <c r="M120" s="16"/>
      <c r="N120" s="16"/>
      <c r="O120" s="16"/>
      <c r="P120" s="16"/>
      <c r="Q120" s="16"/>
    </row>
    <row r="121" ht="15.75" customHeight="1">
      <c r="A121" s="16"/>
      <c r="B121" s="81">
        <v>3.0</v>
      </c>
      <c r="C121" s="149">
        <v>4.0</v>
      </c>
      <c r="D121" s="81">
        <v>110.0</v>
      </c>
      <c r="E121" s="383" t="s">
        <v>2134</v>
      </c>
      <c r="F121" s="56">
        <v>314.2</v>
      </c>
      <c r="G121" s="76">
        <f>IFERROR(__xludf.DUMMYFUNCTION("IFERROR(VLOOKUP(E121,IMPORTRANGE(""https://docs.google.com/spreadsheets/d/1xZyKy-UzMmtPDLpV5jQdYum1LtbR8XKDuasLSjmBRMI/edit#gid=1241094406"",""COMBINED DATA!E3:K""),7,0))"),0.689)</f>
        <v>0.689</v>
      </c>
      <c r="H121" s="84">
        <f t="shared" si="18"/>
        <v>456.0232221</v>
      </c>
      <c r="I121" s="318">
        <v>314.2</v>
      </c>
      <c r="J121" s="85"/>
      <c r="K121" s="139"/>
      <c r="L121" s="319"/>
      <c r="M121" s="16"/>
      <c r="N121" s="16"/>
      <c r="O121" s="16"/>
      <c r="P121" s="16"/>
      <c r="Q121" s="16"/>
    </row>
    <row r="122" ht="15.75" customHeight="1">
      <c r="A122" s="16"/>
      <c r="B122" s="81">
        <v>4.0</v>
      </c>
      <c r="C122" s="81">
        <v>6.0</v>
      </c>
      <c r="D122" s="81">
        <v>160.0</v>
      </c>
      <c r="E122" s="383" t="s">
        <v>2135</v>
      </c>
      <c r="F122" s="56">
        <v>929.2</v>
      </c>
      <c r="G122" s="76">
        <f>IFERROR(__xludf.DUMMYFUNCTION("IFERROR(VLOOKUP(E122,IMPORTRANGE(""https://docs.google.com/spreadsheets/d/1xZyKy-UzMmtPDLpV5jQdYum1LtbR8XKDuasLSjmBRMI/edit#gid=1241094406"",""COMBINED DATA!E3:K""),7,0))"),0.0)</f>
        <v>0</v>
      </c>
      <c r="H122" s="84" t="str">
        <f t="shared" si="18"/>
        <v/>
      </c>
      <c r="I122" s="318">
        <v>929.2</v>
      </c>
      <c r="J122" s="85"/>
      <c r="K122" s="139"/>
      <c r="L122" s="319"/>
      <c r="M122" s="16"/>
      <c r="N122" s="16"/>
      <c r="O122" s="16"/>
      <c r="P122" s="16"/>
      <c r="Q122" s="16"/>
    </row>
    <row r="123">
      <c r="A123" s="384"/>
      <c r="B123" s="102" t="s">
        <v>11</v>
      </c>
      <c r="C123" s="45"/>
      <c r="D123" s="45"/>
      <c r="E123" s="46"/>
      <c r="F123" s="103">
        <f>sum(F119:F122)</f>
        <v>1613.2</v>
      </c>
      <c r="G123" s="385"/>
      <c r="H123" s="386"/>
      <c r="I123" s="103">
        <f>sum(I119:I122)</f>
        <v>1613.2</v>
      </c>
      <c r="J123" s="85"/>
      <c r="K123" s="384"/>
      <c r="L123" s="387"/>
      <c r="M123" s="384"/>
      <c r="N123" s="384"/>
      <c r="O123" s="384"/>
      <c r="P123" s="384"/>
      <c r="Q123" s="384"/>
    </row>
    <row r="124" ht="4.5" customHeight="1">
      <c r="A124" s="243"/>
      <c r="B124" s="15"/>
      <c r="C124" s="15"/>
      <c r="D124" s="15"/>
      <c r="E124" s="379"/>
      <c r="F124" s="15"/>
      <c r="G124" s="250"/>
      <c r="H124" s="380"/>
      <c r="I124" s="15"/>
      <c r="J124" s="85"/>
      <c r="K124" s="243"/>
      <c r="L124" s="15"/>
      <c r="M124" s="243"/>
      <c r="N124" s="243"/>
      <c r="O124" s="243"/>
      <c r="P124" s="243"/>
      <c r="Q124" s="243"/>
    </row>
    <row r="125" ht="22.5" customHeight="1">
      <c r="A125" s="243"/>
      <c r="B125" s="62" t="s">
        <v>2139</v>
      </c>
      <c r="C125" s="45"/>
      <c r="D125" s="45"/>
      <c r="E125" s="45"/>
      <c r="F125" s="46"/>
      <c r="G125" s="250"/>
      <c r="H125" s="380"/>
      <c r="I125" s="15"/>
      <c r="J125" s="85"/>
      <c r="K125" s="243"/>
      <c r="L125" s="15"/>
      <c r="M125" s="243"/>
      <c r="N125" s="243"/>
      <c r="O125" s="243"/>
      <c r="P125" s="243"/>
      <c r="Q125" s="243"/>
    </row>
    <row r="126" ht="15.75" customHeight="1">
      <c r="A126" s="16"/>
      <c r="B126" s="81">
        <v>1.0</v>
      </c>
      <c r="C126" s="81" t="s">
        <v>69</v>
      </c>
      <c r="D126" s="81">
        <v>75.0</v>
      </c>
      <c r="E126" s="383" t="s">
        <v>2143</v>
      </c>
      <c r="F126" s="181">
        <v>178.0</v>
      </c>
      <c r="G126" s="76">
        <f>IFERROR(__xludf.DUMMYFUNCTION("IFERROR(VLOOKUP(E126,IMPORTRANGE(""https://docs.google.com/spreadsheets/d/1xZyKy-UzMmtPDLpV5jQdYum1LtbR8XKDuasLSjmBRMI/edit#gid=1241094406"",""COMBINED DATA!E3:K""),7,0))"),0.3133)</f>
        <v>0.3133</v>
      </c>
      <c r="H126" s="84">
        <f t="shared" ref="H126:H127" si="19">IFERROR(F126/G126,"")</f>
        <v>568.1455474</v>
      </c>
      <c r="I126" s="388">
        <v>178.0</v>
      </c>
      <c r="J126" s="85"/>
      <c r="K126" s="139"/>
      <c r="L126" s="20"/>
      <c r="M126" s="16"/>
      <c r="N126" s="16"/>
      <c r="O126" s="16"/>
      <c r="P126" s="16"/>
      <c r="Q126" s="16"/>
    </row>
    <row r="127" ht="15.75" customHeight="1">
      <c r="A127" s="16"/>
      <c r="B127" s="81">
        <v>2.0</v>
      </c>
      <c r="C127" s="149">
        <v>4.0</v>
      </c>
      <c r="D127" s="81">
        <v>110.0</v>
      </c>
      <c r="E127" s="383" t="s">
        <v>2149</v>
      </c>
      <c r="F127" s="181">
        <v>438.0</v>
      </c>
      <c r="G127" s="76">
        <f>IFERROR(__xludf.DUMMYFUNCTION("IFERROR(VLOOKUP(E127,IMPORTRANGE(""https://docs.google.com/spreadsheets/d/1xZyKy-UzMmtPDLpV5jQdYum1LtbR8XKDuasLSjmBRMI/edit#gid=1241094406"",""COMBINED DATA!E3:K""),7,0))"),0.0)</f>
        <v>0</v>
      </c>
      <c r="H127" s="84" t="str">
        <f t="shared" si="19"/>
        <v/>
      </c>
      <c r="I127" s="388">
        <v>438.0</v>
      </c>
      <c r="J127" s="85"/>
      <c r="K127" s="139"/>
      <c r="L127" s="20"/>
      <c r="M127" s="16"/>
      <c r="N127" s="16"/>
      <c r="O127" s="16"/>
      <c r="P127" s="16"/>
      <c r="Q127" s="16"/>
    </row>
    <row r="128">
      <c r="A128" s="384"/>
      <c r="B128" s="102" t="s">
        <v>11</v>
      </c>
      <c r="C128" s="45"/>
      <c r="D128" s="45"/>
      <c r="E128" s="46"/>
      <c r="F128" s="103">
        <f>SUM(F126:F127)</f>
        <v>616</v>
      </c>
      <c r="G128" s="385"/>
      <c r="H128" s="386"/>
      <c r="I128" s="103">
        <f>SUM(I126:I127)</f>
        <v>616</v>
      </c>
      <c r="J128" s="85"/>
      <c r="K128" s="384"/>
      <c r="L128" s="387"/>
      <c r="M128" s="384"/>
      <c r="N128" s="384"/>
      <c r="O128" s="384"/>
      <c r="P128" s="384"/>
      <c r="Q128" s="384"/>
    </row>
    <row r="129" ht="4.5" customHeight="1">
      <c r="A129" s="243"/>
      <c r="B129" s="15"/>
      <c r="C129" s="15"/>
      <c r="D129" s="15"/>
      <c r="E129" s="379"/>
      <c r="F129" s="15"/>
      <c r="G129" s="250"/>
      <c r="H129" s="380"/>
      <c r="I129" s="15"/>
      <c r="J129" s="85"/>
      <c r="K129" s="243"/>
      <c r="L129" s="15"/>
      <c r="M129" s="243"/>
      <c r="N129" s="243"/>
      <c r="O129" s="243"/>
      <c r="P129" s="243"/>
      <c r="Q129" s="243"/>
    </row>
    <row r="130" ht="22.5" customHeight="1">
      <c r="A130" s="243"/>
      <c r="B130" s="62" t="s">
        <v>2157</v>
      </c>
      <c r="C130" s="45"/>
      <c r="D130" s="45"/>
      <c r="E130" s="45"/>
      <c r="F130" s="46"/>
      <c r="G130" s="250"/>
      <c r="H130" s="380"/>
      <c r="I130" s="15"/>
      <c r="J130" s="85"/>
      <c r="K130" s="243"/>
      <c r="L130" s="15"/>
      <c r="M130" s="243"/>
      <c r="N130" s="243"/>
      <c r="O130" s="243"/>
      <c r="P130" s="243"/>
      <c r="Q130" s="243"/>
    </row>
    <row r="131" ht="15.75" customHeight="1">
      <c r="A131" s="16"/>
      <c r="B131" s="81">
        <v>1.0</v>
      </c>
      <c r="C131" s="81" t="s">
        <v>2017</v>
      </c>
      <c r="D131" s="81" t="s">
        <v>2018</v>
      </c>
      <c r="E131" s="383" t="s">
        <v>2158</v>
      </c>
      <c r="F131" s="181">
        <v>264.9</v>
      </c>
      <c r="G131" s="76">
        <f>IFERROR(__xludf.DUMMYFUNCTION("IFERROR(VLOOKUP(E131,IMPORTRANGE(""https://docs.google.com/spreadsheets/d/1xZyKy-UzMmtPDLpV5jQdYum1LtbR8XKDuasLSjmBRMI/edit#gid=1241094406"",""COMBINED DATA!E3:K""),7,0))"),0.526)</f>
        <v>0.526</v>
      </c>
      <c r="H131" s="84">
        <f>IFERROR(F131/G131,"")</f>
        <v>503.6121673</v>
      </c>
      <c r="I131" s="388">
        <v>264.9</v>
      </c>
      <c r="J131" s="85"/>
      <c r="K131" s="139"/>
      <c r="L131" s="20"/>
      <c r="M131" s="16"/>
      <c r="N131" s="16"/>
      <c r="O131" s="16"/>
      <c r="P131" s="16"/>
      <c r="Q131" s="16"/>
    </row>
    <row r="132" ht="5.25" customHeight="1">
      <c r="A132" s="243"/>
      <c r="B132" s="15"/>
      <c r="C132" s="15"/>
      <c r="D132" s="15"/>
      <c r="E132" s="379"/>
      <c r="F132" s="15"/>
      <c r="G132" s="250"/>
      <c r="H132" s="380"/>
      <c r="I132" s="15"/>
      <c r="J132" s="85"/>
      <c r="K132" s="243"/>
      <c r="L132" s="15"/>
      <c r="M132" s="243"/>
      <c r="N132" s="243"/>
      <c r="O132" s="243"/>
      <c r="P132" s="243"/>
      <c r="Q132" s="243"/>
    </row>
    <row r="133" ht="22.5" customHeight="1">
      <c r="A133" s="243"/>
      <c r="B133" s="62" t="s">
        <v>2168</v>
      </c>
      <c r="C133" s="45"/>
      <c r="D133" s="45"/>
      <c r="E133" s="45"/>
      <c r="F133" s="46"/>
      <c r="G133" s="250"/>
      <c r="H133" s="380"/>
      <c r="I133" s="15"/>
      <c r="J133" s="85"/>
      <c r="K133" s="243"/>
      <c r="L133" s="15"/>
      <c r="M133" s="243"/>
      <c r="N133" s="243"/>
      <c r="O133" s="243"/>
      <c r="P133" s="243"/>
      <c r="Q133" s="243"/>
    </row>
    <row r="134" ht="15.75" customHeight="1">
      <c r="A134" s="16"/>
      <c r="B134" s="81">
        <v>1.0</v>
      </c>
      <c r="C134" s="81" t="s">
        <v>69</v>
      </c>
      <c r="D134" s="81">
        <v>75.0</v>
      </c>
      <c r="E134" s="383" t="s">
        <v>2172</v>
      </c>
      <c r="F134" s="181">
        <v>207.9</v>
      </c>
      <c r="G134" s="76">
        <f>IFERROR(__xludf.DUMMYFUNCTION("IFERROR(VLOOKUP(E134,IMPORTRANGE(""https://docs.google.com/spreadsheets/d/1xZyKy-UzMmtPDLpV5jQdYum1LtbR8XKDuasLSjmBRMI/edit#gid=1241094406"",""COMBINED DATA!E3:K""),7,0))"),0.409)</f>
        <v>0.409</v>
      </c>
      <c r="H134" s="84">
        <f t="shared" ref="H134:H135" si="20">IFERROR(F134/G134,"")</f>
        <v>508.3129584</v>
      </c>
      <c r="I134" s="388">
        <v>207.9</v>
      </c>
      <c r="J134" s="85"/>
      <c r="K134" s="139"/>
      <c r="L134" s="20"/>
      <c r="M134" s="16"/>
      <c r="N134" s="16"/>
      <c r="O134" s="16"/>
      <c r="P134" s="16"/>
      <c r="Q134" s="16"/>
    </row>
    <row r="135" ht="15.75" customHeight="1">
      <c r="A135" s="16"/>
      <c r="B135" s="81">
        <v>2.0</v>
      </c>
      <c r="C135" s="149">
        <v>4.0</v>
      </c>
      <c r="D135" s="81">
        <v>110.0</v>
      </c>
      <c r="E135" s="383" t="s">
        <v>2179</v>
      </c>
      <c r="F135" s="181">
        <v>448.9</v>
      </c>
      <c r="G135" s="76">
        <f>IFERROR(__xludf.DUMMYFUNCTION("IFERROR(VLOOKUP(E135,IMPORTRANGE(""https://docs.google.com/spreadsheets/d/1xZyKy-UzMmtPDLpV5jQdYum1LtbR8XKDuasLSjmBRMI/edit#gid=1241094406"",""COMBINED DATA!E3:K""),7,0))"),0.8815)</f>
        <v>0.8815</v>
      </c>
      <c r="H135" s="84">
        <f t="shared" si="20"/>
        <v>509.2456041</v>
      </c>
      <c r="I135" s="388">
        <v>448.9</v>
      </c>
      <c r="J135" s="85"/>
      <c r="K135" s="139"/>
      <c r="L135" s="20"/>
      <c r="M135" s="16"/>
      <c r="N135" s="16"/>
      <c r="O135" s="16"/>
      <c r="P135" s="16"/>
      <c r="Q135" s="16"/>
    </row>
    <row r="136">
      <c r="A136" s="384"/>
      <c r="B136" s="102" t="s">
        <v>11</v>
      </c>
      <c r="C136" s="45"/>
      <c r="D136" s="45"/>
      <c r="E136" s="46"/>
      <c r="F136" s="103">
        <f>SUM(F134:F135)</f>
        <v>656.8</v>
      </c>
      <c r="G136" s="385"/>
      <c r="H136" s="386"/>
      <c r="I136" s="103">
        <f>SUM(I134:I135)</f>
        <v>656.8</v>
      </c>
      <c r="J136" s="85"/>
      <c r="K136" s="384"/>
      <c r="L136" s="387"/>
      <c r="M136" s="384"/>
      <c r="N136" s="384"/>
      <c r="O136" s="384"/>
      <c r="P136" s="384"/>
      <c r="Q136" s="384"/>
    </row>
    <row r="137" ht="5.25" customHeight="1">
      <c r="A137" s="243"/>
      <c r="B137" s="15"/>
      <c r="C137" s="15"/>
      <c r="D137" s="15"/>
      <c r="E137" s="379"/>
      <c r="F137" s="15"/>
      <c r="G137" s="250"/>
      <c r="H137" s="380"/>
      <c r="I137" s="15"/>
      <c r="J137" s="85"/>
      <c r="K137" s="243"/>
      <c r="L137" s="15"/>
      <c r="M137" s="243"/>
      <c r="N137" s="243"/>
      <c r="O137" s="243"/>
      <c r="P137" s="243"/>
      <c r="Q137" s="243"/>
    </row>
    <row r="138" ht="22.5" customHeight="1">
      <c r="A138" s="243"/>
      <c r="B138" s="62" t="s">
        <v>2194</v>
      </c>
      <c r="C138" s="45"/>
      <c r="D138" s="45"/>
      <c r="E138" s="45"/>
      <c r="F138" s="46"/>
      <c r="G138" s="250"/>
      <c r="H138" s="380"/>
      <c r="I138" s="15"/>
      <c r="J138" s="85"/>
      <c r="K138" s="243"/>
      <c r="L138" s="15"/>
      <c r="M138" s="243"/>
      <c r="N138" s="243"/>
      <c r="O138" s="243"/>
      <c r="P138" s="243"/>
      <c r="Q138" s="243"/>
    </row>
    <row r="139" ht="15.75" customHeight="1">
      <c r="A139" s="16"/>
      <c r="B139" s="81">
        <v>1.0</v>
      </c>
      <c r="C139" s="81" t="s">
        <v>2017</v>
      </c>
      <c r="D139" s="81" t="s">
        <v>2018</v>
      </c>
      <c r="E139" s="383" t="s">
        <v>2195</v>
      </c>
      <c r="F139" s="56">
        <v>107.8</v>
      </c>
      <c r="G139" s="76">
        <f>IFERROR(__xludf.DUMMYFUNCTION("IFERROR(VLOOKUP(E139,IMPORTRANGE(""https://docs.google.com/spreadsheets/d/1xZyKy-UzMmtPDLpV5jQdYum1LtbR8XKDuasLSjmBRMI/edit#gid=1241094406"",""COMBINED DATA!E3:K""),7,0))"),0.2253)</f>
        <v>0.2253</v>
      </c>
      <c r="H139" s="84">
        <f t="shared" ref="H139:H141" si="21">IFERROR(F139/G139,"")</f>
        <v>478.4731469</v>
      </c>
      <c r="I139" s="318">
        <v>107.8</v>
      </c>
      <c r="J139" s="85"/>
      <c r="K139" s="139"/>
      <c r="L139" s="20"/>
      <c r="M139" s="16"/>
      <c r="N139" s="16"/>
      <c r="O139" s="16"/>
      <c r="P139" s="16"/>
      <c r="Q139" s="16"/>
    </row>
    <row r="140" ht="15.75" customHeight="1">
      <c r="A140" s="16"/>
      <c r="B140" s="81">
        <v>2.0</v>
      </c>
      <c r="C140" s="149" t="s">
        <v>2199</v>
      </c>
      <c r="D140" s="81" t="s">
        <v>2200</v>
      </c>
      <c r="E140" s="383" t="s">
        <v>2201</v>
      </c>
      <c r="F140" s="181">
        <v>126.0</v>
      </c>
      <c r="G140" s="76">
        <f>IFERROR(__xludf.DUMMYFUNCTION("IFERROR(VLOOKUP(E140,IMPORTRANGE(""https://docs.google.com/spreadsheets/d/1xZyKy-UzMmtPDLpV5jQdYum1LtbR8XKDuasLSjmBRMI/edit#gid=1241094406"",""COMBINED DATA!E3:K""),7,0))"),0.229)</f>
        <v>0.229</v>
      </c>
      <c r="H140" s="84">
        <f t="shared" si="21"/>
        <v>550.2183406</v>
      </c>
      <c r="I140" s="388">
        <v>126.0</v>
      </c>
      <c r="J140" s="85"/>
      <c r="K140" s="139"/>
      <c r="L140" s="20"/>
      <c r="M140" s="16"/>
      <c r="N140" s="16"/>
      <c r="O140" s="16"/>
      <c r="P140" s="16"/>
      <c r="Q140" s="16"/>
    </row>
    <row r="141" ht="15.75" customHeight="1">
      <c r="A141" s="16"/>
      <c r="B141" s="81">
        <v>3.0</v>
      </c>
      <c r="C141" s="149" t="s">
        <v>2024</v>
      </c>
      <c r="D141" s="81" t="s">
        <v>2025</v>
      </c>
      <c r="E141" s="383" t="s">
        <v>2204</v>
      </c>
      <c r="F141" s="56">
        <v>258.4</v>
      </c>
      <c r="G141" s="76">
        <f>IFERROR(__xludf.DUMMYFUNCTION("IFERROR(VLOOKUP(E141,IMPORTRANGE(""https://docs.google.com/spreadsheets/d/1xZyKy-UzMmtPDLpV5jQdYum1LtbR8XKDuasLSjmBRMI/edit#gid=1241094406"",""COMBINED DATA!E3:K""),7,0))"),0.507)</f>
        <v>0.507</v>
      </c>
      <c r="H141" s="84">
        <f t="shared" si="21"/>
        <v>509.6646943</v>
      </c>
      <c r="I141" s="318">
        <v>258.4</v>
      </c>
      <c r="J141" s="85"/>
      <c r="K141" s="139"/>
      <c r="L141" s="20"/>
      <c r="M141" s="16"/>
      <c r="N141" s="16"/>
      <c r="O141" s="16"/>
      <c r="P141" s="16"/>
      <c r="Q141" s="16"/>
    </row>
    <row r="142">
      <c r="A142" s="384"/>
      <c r="B142" s="102" t="s">
        <v>11</v>
      </c>
      <c r="C142" s="45"/>
      <c r="D142" s="45"/>
      <c r="E142" s="46"/>
      <c r="F142" s="103">
        <f>sum(F139:F141)</f>
        <v>492.2</v>
      </c>
      <c r="G142" s="385"/>
      <c r="H142" s="386"/>
      <c r="I142" s="103">
        <f>sum(I139:I141)</f>
        <v>492.2</v>
      </c>
      <c r="J142" s="85"/>
      <c r="K142" s="384"/>
      <c r="L142" s="387"/>
      <c r="M142" s="384"/>
      <c r="N142" s="384"/>
      <c r="O142" s="384"/>
      <c r="P142" s="384"/>
      <c r="Q142" s="384"/>
    </row>
    <row r="143" ht="5.25" customHeight="1">
      <c r="A143" s="243"/>
      <c r="B143" s="15"/>
      <c r="C143" s="15"/>
      <c r="D143" s="15"/>
      <c r="E143" s="379"/>
      <c r="F143" s="15"/>
      <c r="G143" s="250"/>
      <c r="H143" s="380"/>
      <c r="I143" s="15"/>
      <c r="J143" s="85"/>
      <c r="K143" s="243"/>
      <c r="L143" s="15"/>
      <c r="M143" s="243"/>
      <c r="N143" s="243"/>
      <c r="O143" s="243"/>
      <c r="P143" s="243"/>
      <c r="Q143" s="243"/>
    </row>
    <row r="144" ht="22.5" customHeight="1">
      <c r="A144" s="243"/>
      <c r="B144" s="62" t="s">
        <v>2212</v>
      </c>
      <c r="C144" s="45"/>
      <c r="D144" s="45"/>
      <c r="E144" s="45"/>
      <c r="F144" s="46"/>
      <c r="G144" s="250"/>
      <c r="H144" s="380"/>
      <c r="I144" s="15"/>
      <c r="J144" s="85"/>
      <c r="K144" s="243"/>
      <c r="L144" s="15"/>
      <c r="M144" s="243"/>
      <c r="N144" s="243"/>
      <c r="O144" s="243"/>
      <c r="P144" s="243"/>
      <c r="Q144" s="243"/>
    </row>
    <row r="145" ht="15.75" customHeight="1">
      <c r="A145" s="16"/>
      <c r="B145" s="81">
        <v>1.0</v>
      </c>
      <c r="C145" s="81" t="s">
        <v>2214</v>
      </c>
      <c r="D145" s="81">
        <v>63.0</v>
      </c>
      <c r="E145" s="383" t="s">
        <v>2217</v>
      </c>
      <c r="F145" s="56">
        <v>15.2</v>
      </c>
      <c r="G145" s="76">
        <f>IFERROR(__xludf.DUMMYFUNCTION("IFERROR(VLOOKUP(E145,IMPORTRANGE(""https://docs.google.com/spreadsheets/d/1xZyKy-UzMmtPDLpV5jQdYum1LtbR8XKDuasLSjmBRMI/edit#gid=1241094406"",""COMBINED DATA!E3:K""),7,0))"),0.029)</f>
        <v>0.029</v>
      </c>
      <c r="H145" s="84">
        <f t="shared" ref="H145:H149" si="22">IFERROR(F145/G145,"")</f>
        <v>524.137931</v>
      </c>
      <c r="I145" s="318">
        <v>15.2</v>
      </c>
      <c r="J145" s="85"/>
      <c r="K145" s="139"/>
      <c r="L145" s="20"/>
      <c r="M145" s="16"/>
      <c r="N145" s="16"/>
      <c r="O145" s="16"/>
      <c r="P145" s="16"/>
      <c r="Q145" s="16"/>
    </row>
    <row r="146" ht="15.75" customHeight="1">
      <c r="A146" s="16"/>
      <c r="B146" s="81">
        <v>2.0</v>
      </c>
      <c r="C146" s="81" t="s">
        <v>69</v>
      </c>
      <c r="D146" s="81">
        <v>75.0</v>
      </c>
      <c r="E146" s="383" t="s">
        <v>2221</v>
      </c>
      <c r="F146" s="56">
        <v>19.2</v>
      </c>
      <c r="G146" s="76">
        <f>IFERROR(__xludf.DUMMYFUNCTION("IFERROR(VLOOKUP(E146,IMPORTRANGE(""https://docs.google.com/spreadsheets/d/1xZyKy-UzMmtPDLpV5jQdYum1LtbR8XKDuasLSjmBRMI/edit#gid=1241094406"",""COMBINED DATA!E3:K""),7,0))"),0.0386)</f>
        <v>0.0386</v>
      </c>
      <c r="H146" s="84">
        <f t="shared" si="22"/>
        <v>497.4093264</v>
      </c>
      <c r="I146" s="318">
        <v>19.2</v>
      </c>
      <c r="J146" s="85"/>
      <c r="K146" s="139"/>
      <c r="L146" s="20"/>
      <c r="M146" s="16"/>
      <c r="N146" s="16"/>
      <c r="O146" s="16"/>
      <c r="P146" s="16"/>
      <c r="Q146" s="16"/>
    </row>
    <row r="147" ht="15.75" customHeight="1">
      <c r="A147" s="16"/>
      <c r="B147" s="81">
        <v>3.0</v>
      </c>
      <c r="C147" s="149">
        <v>3.0</v>
      </c>
      <c r="D147" s="81">
        <v>90.0</v>
      </c>
      <c r="E147" s="383" t="s">
        <v>2223</v>
      </c>
      <c r="F147" s="56">
        <v>31.4</v>
      </c>
      <c r="G147" s="76">
        <f>IFERROR(__xludf.DUMMYFUNCTION("IFERROR(VLOOKUP(E147,IMPORTRANGE(""https://docs.google.com/spreadsheets/d/1xZyKy-UzMmtPDLpV5jQdYum1LtbR8XKDuasLSjmBRMI/edit#gid=1241094406"",""COMBINED DATA!E3:K""),7,0))"),0.063)</f>
        <v>0.063</v>
      </c>
      <c r="H147" s="84">
        <f t="shared" si="22"/>
        <v>498.4126984</v>
      </c>
      <c r="I147" s="318">
        <v>31.4</v>
      </c>
      <c r="J147" s="85"/>
      <c r="K147" s="139"/>
      <c r="L147" s="20"/>
      <c r="M147" s="16"/>
      <c r="N147" s="16"/>
      <c r="O147" s="16"/>
      <c r="P147" s="16"/>
      <c r="Q147" s="16"/>
    </row>
    <row r="148" ht="15.75" customHeight="1">
      <c r="A148" s="16"/>
      <c r="B148" s="81">
        <v>4.0</v>
      </c>
      <c r="C148" s="149">
        <v>4.0</v>
      </c>
      <c r="D148" s="81">
        <v>110.0</v>
      </c>
      <c r="E148" s="383" t="s">
        <v>2227</v>
      </c>
      <c r="F148" s="56">
        <v>37.4</v>
      </c>
      <c r="G148" s="76">
        <f>IFERROR(__xludf.DUMMYFUNCTION("IFERROR(VLOOKUP(E148,IMPORTRANGE(""https://docs.google.com/spreadsheets/d/1xZyKy-UzMmtPDLpV5jQdYum1LtbR8XKDuasLSjmBRMI/edit#gid=1241094406"",""COMBINED DATA!E3:K""),7,0))"),0.078)</f>
        <v>0.078</v>
      </c>
      <c r="H148" s="84">
        <f t="shared" si="22"/>
        <v>479.4871795</v>
      </c>
      <c r="I148" s="318">
        <v>37.4</v>
      </c>
      <c r="J148" s="85"/>
      <c r="K148" s="139"/>
      <c r="L148" s="20"/>
      <c r="M148" s="16"/>
      <c r="N148" s="16"/>
      <c r="O148" s="16"/>
      <c r="P148" s="16"/>
      <c r="Q148" s="16"/>
    </row>
    <row r="149" ht="15.75" customHeight="1">
      <c r="A149" s="16"/>
      <c r="B149" s="81">
        <v>5.0</v>
      </c>
      <c r="C149" s="149">
        <v>6.0</v>
      </c>
      <c r="D149" s="81">
        <v>160.0</v>
      </c>
      <c r="E149" s="383" t="s">
        <v>2230</v>
      </c>
      <c r="F149" s="56">
        <v>84.6</v>
      </c>
      <c r="G149" s="76">
        <f>IFERROR(__xludf.DUMMYFUNCTION("IFERROR(VLOOKUP(E149,IMPORTRANGE(""https://docs.google.com/spreadsheets/d/1xZyKy-UzMmtPDLpV5jQdYum1LtbR8XKDuasLSjmBRMI/edit#gid=1241094406"",""COMBINED DATA!E3:K""),7,0))"),0.166)</f>
        <v>0.166</v>
      </c>
      <c r="H149" s="84">
        <f t="shared" si="22"/>
        <v>509.6385542</v>
      </c>
      <c r="I149" s="318">
        <v>84.6</v>
      </c>
      <c r="J149" s="85"/>
      <c r="K149" s="139"/>
      <c r="L149" s="20"/>
      <c r="M149" s="16"/>
      <c r="N149" s="16"/>
      <c r="O149" s="16"/>
      <c r="P149" s="16"/>
      <c r="Q149" s="16"/>
    </row>
    <row r="150">
      <c r="A150" s="384"/>
      <c r="B150" s="102" t="s">
        <v>11</v>
      </c>
      <c r="C150" s="45"/>
      <c r="D150" s="45"/>
      <c r="E150" s="46"/>
      <c r="F150" s="103">
        <f>sum(F145:F149)</f>
        <v>187.8</v>
      </c>
      <c r="G150" s="385"/>
      <c r="H150" s="386"/>
      <c r="I150" s="103">
        <f>sum(I145:I149)</f>
        <v>187.8</v>
      </c>
      <c r="J150" s="85"/>
      <c r="K150" s="384"/>
      <c r="L150" s="387"/>
      <c r="M150" s="384"/>
      <c r="N150" s="384"/>
      <c r="O150" s="384"/>
      <c r="P150" s="384"/>
      <c r="Q150" s="384"/>
    </row>
    <row r="151" ht="5.25" customHeight="1">
      <c r="A151" s="243"/>
      <c r="B151" s="15"/>
      <c r="C151" s="15"/>
      <c r="D151" s="15"/>
      <c r="E151" s="379"/>
      <c r="F151" s="15"/>
      <c r="G151" s="250"/>
      <c r="H151" s="380"/>
      <c r="I151" s="15"/>
      <c r="J151" s="85"/>
      <c r="K151" s="243"/>
      <c r="L151" s="15"/>
      <c r="M151" s="243"/>
      <c r="N151" s="243"/>
      <c r="O151" s="243"/>
      <c r="P151" s="243"/>
      <c r="Q151" s="243"/>
    </row>
    <row r="152" ht="22.5" customHeight="1">
      <c r="A152" s="243"/>
      <c r="B152" s="62" t="s">
        <v>2234</v>
      </c>
      <c r="C152" s="45"/>
      <c r="D152" s="45"/>
      <c r="E152" s="45"/>
      <c r="F152" s="46"/>
      <c r="G152" s="250"/>
      <c r="H152" s="380"/>
      <c r="I152" s="15"/>
      <c r="J152" s="85"/>
      <c r="K152" s="243"/>
      <c r="L152" s="15"/>
      <c r="M152" s="243"/>
      <c r="N152" s="243"/>
      <c r="O152" s="243"/>
      <c r="P152" s="243"/>
      <c r="Q152" s="243"/>
    </row>
    <row r="153" ht="15.75" customHeight="1">
      <c r="A153" s="16"/>
      <c r="B153" s="81">
        <v>1.0</v>
      </c>
      <c r="C153" s="81" t="s">
        <v>69</v>
      </c>
      <c r="D153" s="81">
        <v>75.0</v>
      </c>
      <c r="E153" s="383" t="s">
        <v>2235</v>
      </c>
      <c r="F153" s="56">
        <v>20.2</v>
      </c>
      <c r="G153" s="76">
        <f>IFERROR(__xludf.DUMMYFUNCTION("IFERROR(VLOOKUP(E153,IMPORTRANGE(""https://docs.google.com/spreadsheets/d/1xZyKy-UzMmtPDLpV5jQdYum1LtbR8XKDuasLSjmBRMI/edit#gid=1241094406"",""COMBINED DATA!E3:K""),7,0))"),0.0435)</f>
        <v>0.0435</v>
      </c>
      <c r="H153" s="84">
        <f t="shared" ref="H153:H156" si="23">IFERROR(F153/G153,"")</f>
        <v>464.3678161</v>
      </c>
      <c r="I153" s="318">
        <v>20.2</v>
      </c>
      <c r="J153" s="85"/>
      <c r="K153" s="139"/>
      <c r="L153" s="20"/>
      <c r="M153" s="16"/>
      <c r="N153" s="16"/>
      <c r="O153" s="16"/>
      <c r="P153" s="16"/>
      <c r="Q153" s="16"/>
    </row>
    <row r="154" ht="15.75" customHeight="1">
      <c r="A154" s="16"/>
      <c r="B154" s="81">
        <v>2.0</v>
      </c>
      <c r="C154" s="149">
        <v>3.0</v>
      </c>
      <c r="D154" s="81">
        <v>90.0</v>
      </c>
      <c r="E154" s="383" t="s">
        <v>2237</v>
      </c>
      <c r="F154" s="56">
        <v>20.8</v>
      </c>
      <c r="G154" s="76">
        <f>IFERROR(__xludf.DUMMYFUNCTION("IFERROR(VLOOKUP(E154,IMPORTRANGE(""https://docs.google.com/spreadsheets/d/1xZyKy-UzMmtPDLpV5jQdYum1LtbR8XKDuasLSjmBRMI/edit#gid=1241094406"",""COMBINED DATA!E3:K""),7,0))"),0.038)</f>
        <v>0.038</v>
      </c>
      <c r="H154" s="84">
        <f t="shared" si="23"/>
        <v>547.3684211</v>
      </c>
      <c r="I154" s="318">
        <v>20.8</v>
      </c>
      <c r="J154" s="85"/>
      <c r="K154" s="139"/>
      <c r="L154" s="20"/>
      <c r="M154" s="16"/>
      <c r="N154" s="16"/>
      <c r="O154" s="16"/>
      <c r="P154" s="16"/>
      <c r="Q154" s="16"/>
    </row>
    <row r="155" ht="15.75" customHeight="1">
      <c r="A155" s="16"/>
      <c r="B155" s="81">
        <v>3.0</v>
      </c>
      <c r="C155" s="149">
        <v>4.0</v>
      </c>
      <c r="D155" s="81">
        <v>110.0</v>
      </c>
      <c r="E155" s="383" t="s">
        <v>2238</v>
      </c>
      <c r="F155" s="56">
        <v>27.8</v>
      </c>
      <c r="G155" s="76">
        <f>IFERROR(__xludf.DUMMYFUNCTION("IFERROR(VLOOKUP(E155,IMPORTRANGE(""https://docs.google.com/spreadsheets/d/1xZyKy-UzMmtPDLpV5jQdYum1LtbR8XKDuasLSjmBRMI/edit#gid=1241094406"",""COMBINED DATA!E3:K""),7,0))"),0.055)</f>
        <v>0.055</v>
      </c>
      <c r="H155" s="84">
        <f t="shared" si="23"/>
        <v>505.4545455</v>
      </c>
      <c r="I155" s="318">
        <v>27.8</v>
      </c>
      <c r="J155" s="85"/>
      <c r="K155" s="139"/>
      <c r="L155" s="20"/>
      <c r="M155" s="16"/>
      <c r="N155" s="16"/>
      <c r="O155" s="16"/>
      <c r="P155" s="16"/>
      <c r="Q155" s="16"/>
    </row>
    <row r="156" ht="15.75" customHeight="1">
      <c r="A156" s="16"/>
      <c r="B156" s="81">
        <v>4.0</v>
      </c>
      <c r="C156" s="149">
        <v>6.0</v>
      </c>
      <c r="D156" s="81">
        <v>160.0</v>
      </c>
      <c r="E156" s="383" t="s">
        <v>2239</v>
      </c>
      <c r="F156" s="56">
        <v>57.4</v>
      </c>
      <c r="G156" s="76">
        <f>IFERROR(__xludf.DUMMYFUNCTION("IFERROR(VLOOKUP(E156,IMPORTRANGE(""https://docs.google.com/spreadsheets/d/1xZyKy-UzMmtPDLpV5jQdYum1LtbR8XKDuasLSjmBRMI/edit#gid=1241094406"",""COMBINED DATA!E3:K""),7,0))"),0.1085)</f>
        <v>0.1085</v>
      </c>
      <c r="H156" s="84">
        <f t="shared" si="23"/>
        <v>529.0322581</v>
      </c>
      <c r="I156" s="318">
        <v>57.4</v>
      </c>
      <c r="J156" s="85"/>
      <c r="K156" s="139"/>
      <c r="L156" s="20"/>
      <c r="M156" s="16"/>
      <c r="N156" s="16"/>
      <c r="O156" s="16"/>
      <c r="P156" s="16"/>
      <c r="Q156" s="16"/>
    </row>
    <row r="157">
      <c r="A157" s="384"/>
      <c r="B157" s="102" t="s">
        <v>11</v>
      </c>
      <c r="C157" s="45"/>
      <c r="D157" s="45"/>
      <c r="E157" s="46"/>
      <c r="F157" s="103">
        <f>SUM(F153:F156)</f>
        <v>126.2</v>
      </c>
      <c r="G157" s="385"/>
      <c r="H157" s="386"/>
      <c r="I157" s="103">
        <f>SUM(I153:I156)</f>
        <v>126.2</v>
      </c>
      <c r="J157" s="85"/>
      <c r="K157" s="384"/>
      <c r="L157" s="387"/>
      <c r="M157" s="384"/>
      <c r="N157" s="384"/>
      <c r="O157" s="384"/>
      <c r="P157" s="384"/>
      <c r="Q157" s="384"/>
    </row>
    <row r="158" ht="5.25" customHeight="1">
      <c r="A158" s="243"/>
      <c r="B158" s="15"/>
      <c r="C158" s="15"/>
      <c r="D158" s="15"/>
      <c r="E158" s="379"/>
      <c r="F158" s="15"/>
      <c r="G158" s="250"/>
      <c r="H158" s="380"/>
      <c r="I158" s="15"/>
      <c r="J158" s="85"/>
      <c r="K158" s="243"/>
      <c r="L158" s="15"/>
      <c r="M158" s="243"/>
      <c r="N158" s="243"/>
      <c r="O158" s="243"/>
      <c r="P158" s="243"/>
      <c r="Q158" s="243"/>
    </row>
    <row r="159" ht="22.5" customHeight="1">
      <c r="A159" s="243"/>
      <c r="B159" s="62" t="s">
        <v>2243</v>
      </c>
      <c r="C159" s="45"/>
      <c r="D159" s="45"/>
      <c r="E159" s="45"/>
      <c r="F159" s="46"/>
      <c r="G159" s="250"/>
      <c r="H159" s="380"/>
      <c r="I159" s="15"/>
      <c r="J159" s="85"/>
      <c r="K159" s="243"/>
      <c r="L159" s="15"/>
      <c r="M159" s="243"/>
      <c r="N159" s="243"/>
      <c r="O159" s="243"/>
      <c r="P159" s="243"/>
      <c r="Q159" s="243"/>
    </row>
    <row r="160" ht="15.75" customHeight="1">
      <c r="A160" s="16"/>
      <c r="B160" s="81">
        <v>1.0</v>
      </c>
      <c r="C160" s="81" t="s">
        <v>2244</v>
      </c>
      <c r="D160" s="81" t="s">
        <v>2245</v>
      </c>
      <c r="E160" s="383" t="s">
        <v>2246</v>
      </c>
      <c r="F160" s="181">
        <v>466.0</v>
      </c>
      <c r="G160" s="76">
        <f>IFERROR(__xludf.DUMMYFUNCTION("IFERROR(VLOOKUP(E160,IMPORTRANGE(""https://docs.google.com/spreadsheets/d/1xZyKy-UzMmtPDLpV5jQdYum1LtbR8XKDuasLSjmBRMI/edit#gid=1241094406"",""COMBINED DATA!E3:K""),7,0))"),0.901)</f>
        <v>0.901</v>
      </c>
      <c r="H160" s="84">
        <f t="shared" ref="H160:H161" si="24">IFERROR(F160/G160,"")</f>
        <v>517.2031077</v>
      </c>
      <c r="I160" s="388">
        <v>466.0</v>
      </c>
      <c r="J160" s="85"/>
      <c r="K160" s="139"/>
      <c r="L160" s="20"/>
      <c r="M160" s="16"/>
      <c r="N160" s="16"/>
      <c r="O160" s="16"/>
      <c r="P160" s="16"/>
      <c r="Q160" s="16"/>
    </row>
    <row r="161" ht="15.75" customHeight="1">
      <c r="A161" s="16"/>
      <c r="B161" s="81">
        <v>2.0</v>
      </c>
      <c r="C161" s="81" t="s">
        <v>2249</v>
      </c>
      <c r="D161" s="81" t="s">
        <v>2250</v>
      </c>
      <c r="E161" s="383" t="s">
        <v>2251</v>
      </c>
      <c r="F161" s="181">
        <v>424.0</v>
      </c>
      <c r="G161" s="76">
        <f>IFERROR(__xludf.DUMMYFUNCTION("IFERROR(VLOOKUP(E161,IMPORTRANGE(""https://docs.google.com/spreadsheets/d/1xZyKy-UzMmtPDLpV5jQdYum1LtbR8XKDuasLSjmBRMI/edit#gid=1241094406"",""COMBINED DATA!E3:K""),7,0))"),0.807)</f>
        <v>0.807</v>
      </c>
      <c r="H161" s="84">
        <f t="shared" si="24"/>
        <v>525.4027261</v>
      </c>
      <c r="I161" s="388">
        <v>424.0</v>
      </c>
      <c r="J161" s="85"/>
      <c r="K161" s="139"/>
      <c r="L161" s="20"/>
      <c r="M161" s="16"/>
      <c r="N161" s="16"/>
      <c r="O161" s="16"/>
      <c r="P161" s="16"/>
      <c r="Q161" s="16"/>
    </row>
    <row r="162">
      <c r="A162" s="384"/>
      <c r="B162" s="102" t="s">
        <v>11</v>
      </c>
      <c r="C162" s="45"/>
      <c r="D162" s="45"/>
      <c r="E162" s="46"/>
      <c r="F162" s="103">
        <f>SUM(F160:F161)</f>
        <v>890</v>
      </c>
      <c r="G162" s="385"/>
      <c r="H162" s="386"/>
      <c r="I162" s="103">
        <f>SUM(I160:I161)</f>
        <v>890</v>
      </c>
      <c r="J162" s="85"/>
      <c r="K162" s="384"/>
      <c r="L162" s="387"/>
      <c r="M162" s="384"/>
      <c r="N162" s="384"/>
      <c r="O162" s="384"/>
      <c r="P162" s="384"/>
      <c r="Q162" s="384"/>
    </row>
    <row r="163" ht="3.75" customHeight="1">
      <c r="A163" s="243"/>
      <c r="B163" s="15"/>
      <c r="C163" s="15"/>
      <c r="D163" s="15"/>
      <c r="E163" s="379"/>
      <c r="F163" s="15"/>
      <c r="G163" s="250"/>
      <c r="H163" s="380"/>
      <c r="I163" s="15"/>
      <c r="J163" s="85"/>
      <c r="K163" s="243"/>
      <c r="L163" s="15"/>
      <c r="M163" s="243"/>
      <c r="N163" s="243"/>
      <c r="O163" s="243"/>
      <c r="P163" s="243"/>
      <c r="Q163" s="243"/>
    </row>
    <row r="164" ht="22.5" customHeight="1">
      <c r="A164" s="243"/>
      <c r="B164" s="62" t="s">
        <v>2256</v>
      </c>
      <c r="C164" s="45"/>
      <c r="D164" s="45"/>
      <c r="E164" s="45"/>
      <c r="F164" s="46"/>
      <c r="G164" s="250"/>
      <c r="H164" s="380"/>
      <c r="I164" s="15"/>
      <c r="J164" s="85"/>
      <c r="K164" s="243"/>
      <c r="L164" s="15"/>
      <c r="M164" s="243"/>
      <c r="N164" s="243"/>
      <c r="O164" s="243"/>
      <c r="P164" s="243"/>
      <c r="Q164" s="243"/>
    </row>
    <row r="165" ht="15.75" customHeight="1">
      <c r="A165" s="16"/>
      <c r="B165" s="81">
        <v>1.0</v>
      </c>
      <c r="C165" s="81" t="s">
        <v>69</v>
      </c>
      <c r="D165" s="81">
        <v>75.0</v>
      </c>
      <c r="E165" s="383" t="s">
        <v>2259</v>
      </c>
      <c r="F165" s="181">
        <v>186.2</v>
      </c>
      <c r="G165" s="76">
        <f>IFERROR(__xludf.DUMMYFUNCTION("IFERROR(VLOOKUP(E165,IMPORTRANGE(""https://docs.google.com/spreadsheets/d/1xZyKy-UzMmtPDLpV5jQdYum1LtbR8XKDuasLSjmBRMI/edit#gid=1241094406"",""COMBINED DATA!E3:K""),7,0))"),0.404)</f>
        <v>0.404</v>
      </c>
      <c r="H165" s="84">
        <f t="shared" ref="H165:H167" si="25">IFERROR(F165/G165,"")</f>
        <v>460.8910891</v>
      </c>
      <c r="I165" s="318">
        <v>186.2</v>
      </c>
      <c r="J165" s="85"/>
      <c r="K165" s="139"/>
      <c r="L165" s="20"/>
      <c r="M165" s="16"/>
      <c r="N165" s="16"/>
      <c r="O165" s="16"/>
      <c r="P165" s="16"/>
      <c r="Q165" s="16"/>
    </row>
    <row r="166" ht="15.75" customHeight="1">
      <c r="A166" s="16"/>
      <c r="B166" s="81">
        <v>2.0</v>
      </c>
      <c r="C166" s="149">
        <v>3.0</v>
      </c>
      <c r="D166" s="81">
        <v>90.0</v>
      </c>
      <c r="E166" s="383" t="s">
        <v>2262</v>
      </c>
      <c r="F166" s="181">
        <v>231.79999999999998</v>
      </c>
      <c r="G166" s="76">
        <f>IFERROR(__xludf.DUMMYFUNCTION("IFERROR(VLOOKUP(E166,IMPORTRANGE(""https://docs.google.com/spreadsheets/d/1xZyKy-UzMmtPDLpV5jQdYum1LtbR8XKDuasLSjmBRMI/edit#gid=1241094406"",""COMBINED DATA!E3:K""),7,0))"),0.446)</f>
        <v>0.446</v>
      </c>
      <c r="H166" s="84">
        <f t="shared" si="25"/>
        <v>519.7309417</v>
      </c>
      <c r="I166" s="318">
        <v>231.79999999999998</v>
      </c>
      <c r="J166" s="85"/>
      <c r="K166" s="139"/>
      <c r="L166" s="20"/>
      <c r="M166" s="16"/>
      <c r="N166" s="16"/>
      <c r="O166" s="16"/>
      <c r="P166" s="16"/>
      <c r="Q166" s="16"/>
    </row>
    <row r="167" ht="15.75" customHeight="1">
      <c r="A167" s="16"/>
      <c r="B167" s="81">
        <v>3.0</v>
      </c>
      <c r="C167" s="149">
        <v>4.0</v>
      </c>
      <c r="D167" s="81">
        <v>110.0</v>
      </c>
      <c r="E167" s="383" t="s">
        <v>2264</v>
      </c>
      <c r="F167" s="181">
        <v>203.29999999999998</v>
      </c>
      <c r="G167" s="76">
        <f>IFERROR(__xludf.DUMMYFUNCTION("IFERROR(VLOOKUP(E167,IMPORTRANGE(""https://docs.google.com/spreadsheets/d/1xZyKy-UzMmtPDLpV5jQdYum1LtbR8XKDuasLSjmBRMI/edit#gid=1241094406"",""COMBINED DATA!E3:K""),7,0))"),0.483)</f>
        <v>0.483</v>
      </c>
      <c r="H167" s="84">
        <f t="shared" si="25"/>
        <v>420.9109731</v>
      </c>
      <c r="I167" s="318">
        <v>203.29999999999998</v>
      </c>
      <c r="J167" s="85"/>
      <c r="K167" s="139"/>
      <c r="L167" s="20"/>
      <c r="M167" s="16"/>
      <c r="N167" s="16"/>
      <c r="O167" s="16"/>
      <c r="P167" s="16"/>
      <c r="Q167" s="16"/>
    </row>
    <row r="168" ht="15.75" customHeight="1">
      <c r="A168" s="16"/>
      <c r="B168" s="81">
        <v>4.0</v>
      </c>
      <c r="C168" s="149"/>
      <c r="D168" s="81" t="s">
        <v>2267</v>
      </c>
      <c r="E168" s="383" t="s">
        <v>2268</v>
      </c>
      <c r="F168" s="398" t="s">
        <v>722</v>
      </c>
      <c r="G168" s="76"/>
      <c r="H168" s="84"/>
      <c r="I168" s="318">
        <v>169.0</v>
      </c>
      <c r="J168" s="85"/>
      <c r="K168" s="139"/>
      <c r="L168" s="20"/>
      <c r="M168" s="16"/>
      <c r="N168" s="16"/>
      <c r="O168" s="16"/>
      <c r="P168" s="16"/>
      <c r="Q168" s="16"/>
    </row>
    <row r="169">
      <c r="A169" s="384"/>
      <c r="B169" s="102" t="s">
        <v>11</v>
      </c>
      <c r="C169" s="45"/>
      <c r="D169" s="45"/>
      <c r="E169" s="46"/>
      <c r="F169" s="103">
        <f>SUM(F165:F167)</f>
        <v>621.3</v>
      </c>
      <c r="G169" s="385"/>
      <c r="H169" s="386"/>
      <c r="I169" s="103">
        <f>SUM(I165:I167)</f>
        <v>621.3</v>
      </c>
      <c r="J169" s="85"/>
      <c r="K169" s="384"/>
      <c r="L169" s="387"/>
      <c r="M169" s="384"/>
      <c r="N169" s="384"/>
      <c r="O169" s="384"/>
      <c r="P169" s="384"/>
      <c r="Q169" s="384"/>
    </row>
    <row r="170" ht="3.75" customHeight="1">
      <c r="A170" s="243"/>
      <c r="B170" s="15"/>
      <c r="C170" s="15"/>
      <c r="D170" s="15"/>
      <c r="E170" s="379"/>
      <c r="F170" s="15"/>
      <c r="G170" s="250"/>
      <c r="H170" s="380"/>
      <c r="I170" s="15"/>
      <c r="J170" s="85"/>
      <c r="K170" s="243"/>
      <c r="L170" s="15"/>
      <c r="M170" s="243"/>
      <c r="N170" s="243"/>
      <c r="O170" s="243"/>
      <c r="P170" s="243"/>
      <c r="Q170" s="243"/>
    </row>
    <row r="171" ht="22.5" customHeight="1">
      <c r="A171" s="243"/>
      <c r="B171" s="62" t="s">
        <v>2270</v>
      </c>
      <c r="C171" s="45"/>
      <c r="D171" s="45"/>
      <c r="E171" s="45"/>
      <c r="F171" s="46"/>
      <c r="G171" s="250"/>
      <c r="H171" s="380"/>
      <c r="I171" s="15"/>
      <c r="J171" s="85"/>
      <c r="K171" s="243"/>
      <c r="L171" s="15"/>
      <c r="M171" s="243"/>
      <c r="N171" s="243"/>
      <c r="O171" s="243"/>
      <c r="P171" s="243"/>
      <c r="Q171" s="243"/>
    </row>
    <row r="172" ht="15.75" customHeight="1">
      <c r="A172" s="243"/>
      <c r="B172" s="51">
        <v>1.0</v>
      </c>
      <c r="C172" s="70" t="s">
        <v>69</v>
      </c>
      <c r="D172" s="70">
        <v>75.0</v>
      </c>
      <c r="E172" s="144" t="s">
        <v>2272</v>
      </c>
      <c r="F172" s="181">
        <v>167.2</v>
      </c>
      <c r="G172" s="422">
        <v>0.296</v>
      </c>
      <c r="H172" s="84">
        <f t="shared" ref="H172:H174" si="26">IFERROR(F172/G172,"")</f>
        <v>564.8648649</v>
      </c>
      <c r="I172" s="318">
        <v>167.2</v>
      </c>
      <c r="J172" s="85"/>
      <c r="K172" s="139"/>
      <c r="L172" s="15"/>
      <c r="M172" s="243"/>
      <c r="N172" s="243"/>
      <c r="O172" s="243"/>
      <c r="P172" s="243"/>
      <c r="Q172" s="243"/>
    </row>
    <row r="173" ht="15.75" customHeight="1">
      <c r="A173" s="243"/>
      <c r="B173" s="150">
        <v>2.0</v>
      </c>
      <c r="C173" s="92">
        <v>3.0</v>
      </c>
      <c r="D173" s="92">
        <v>90.0</v>
      </c>
      <c r="E173" s="147" t="s">
        <v>2278</v>
      </c>
      <c r="F173" s="181">
        <v>207.1</v>
      </c>
      <c r="G173" s="423" t="str">
        <f>IFERROR(__xludf.DUMMYFUNCTION("IFERROR(VLOOKUP(E173,IMPORTRANGE(""https://docs.google.com/spreadsheets/d/1xZyKy-UzMmtPDLpV5jQdYum1LtbR8XKDuasLSjmBRMI/edit#gid=1241094406"",""COMBINED DATA!E3:K""),7,0))"),"")</f>
        <v/>
      </c>
      <c r="H173" s="84" t="str">
        <f t="shared" si="26"/>
        <v/>
      </c>
      <c r="I173" s="318">
        <v>207.1</v>
      </c>
      <c r="J173" s="85"/>
      <c r="K173" s="139"/>
      <c r="L173" s="15"/>
      <c r="M173" s="243"/>
      <c r="N173" s="243"/>
      <c r="O173" s="243"/>
      <c r="P173" s="243"/>
      <c r="Q173" s="243"/>
    </row>
    <row r="174" ht="15.75" customHeight="1">
      <c r="A174" s="243"/>
      <c r="B174" s="150">
        <v>3.0</v>
      </c>
      <c r="C174" s="92">
        <v>4.0</v>
      </c>
      <c r="D174" s="92">
        <v>110.0</v>
      </c>
      <c r="E174" s="147" t="s">
        <v>2283</v>
      </c>
      <c r="F174" s="181">
        <v>182.39999999999998</v>
      </c>
      <c r="G174" s="422">
        <v>0.395</v>
      </c>
      <c r="H174" s="84">
        <f t="shared" si="26"/>
        <v>461.7721519</v>
      </c>
      <c r="I174" s="318">
        <v>182.39999999999998</v>
      </c>
      <c r="J174" s="85"/>
      <c r="K174" s="139"/>
      <c r="L174" s="15"/>
      <c r="M174" s="243"/>
      <c r="N174" s="243"/>
      <c r="O174" s="243"/>
      <c r="P174" s="243"/>
      <c r="Q174" s="243"/>
    </row>
    <row r="175" ht="15.75" customHeight="1">
      <c r="A175" s="243"/>
      <c r="B175" s="151">
        <v>4.0</v>
      </c>
      <c r="C175" s="81"/>
      <c r="D175" s="81" t="s">
        <v>2267</v>
      </c>
      <c r="E175" s="424" t="s">
        <v>2285</v>
      </c>
      <c r="F175" s="398" t="s">
        <v>722</v>
      </c>
      <c r="G175" s="422">
        <v>0.258</v>
      </c>
      <c r="H175" s="84"/>
      <c r="I175" s="318">
        <v>147.0</v>
      </c>
      <c r="J175" s="85"/>
      <c r="K175" s="139"/>
      <c r="L175" s="15"/>
      <c r="M175" s="243"/>
      <c r="N175" s="243"/>
      <c r="O175" s="243"/>
      <c r="P175" s="243"/>
      <c r="Q175" s="243"/>
    </row>
    <row r="176">
      <c r="A176" s="243"/>
      <c r="B176" s="102" t="s">
        <v>11</v>
      </c>
      <c r="C176" s="45"/>
      <c r="D176" s="45"/>
      <c r="E176" s="46"/>
      <c r="F176" s="103">
        <f>SUM(F172:F175)</f>
        <v>556.7</v>
      </c>
      <c r="G176" s="250"/>
      <c r="H176" s="380"/>
      <c r="I176" s="103">
        <f>SUM(I172:I175)</f>
        <v>703.7</v>
      </c>
      <c r="J176" s="85"/>
      <c r="K176" s="139"/>
      <c r="L176" s="15"/>
      <c r="M176" s="243"/>
      <c r="N176" s="243"/>
      <c r="O176" s="243"/>
      <c r="P176" s="243"/>
      <c r="Q176" s="243"/>
    </row>
    <row r="177" ht="6.0" customHeight="1">
      <c r="A177" s="243"/>
      <c r="B177" s="15"/>
      <c r="C177" s="15"/>
      <c r="D177" s="15"/>
      <c r="E177" s="379"/>
      <c r="F177" s="15"/>
      <c r="G177" s="250"/>
      <c r="H177" s="380"/>
      <c r="I177" s="15"/>
      <c r="J177" s="85"/>
      <c r="K177" s="139"/>
      <c r="L177" s="15"/>
      <c r="M177" s="243"/>
      <c r="N177" s="243"/>
      <c r="O177" s="243"/>
      <c r="P177" s="243"/>
      <c r="Q177" s="243"/>
    </row>
    <row r="178" ht="22.5" customHeight="1">
      <c r="A178" s="243"/>
      <c r="B178" s="62" t="s">
        <v>2293</v>
      </c>
      <c r="C178" s="45"/>
      <c r="D178" s="45"/>
      <c r="E178" s="45"/>
      <c r="F178" s="46"/>
      <c r="G178" s="250"/>
      <c r="H178" s="380"/>
      <c r="I178" s="15"/>
      <c r="J178" s="85"/>
      <c r="K178" s="139"/>
      <c r="L178" s="15"/>
      <c r="M178" s="243"/>
      <c r="N178" s="243"/>
      <c r="O178" s="243"/>
      <c r="P178" s="243"/>
      <c r="Q178" s="243"/>
    </row>
    <row r="179" ht="15.75" customHeight="1">
      <c r="A179" s="16"/>
      <c r="B179" s="81">
        <v>1.0</v>
      </c>
      <c r="C179" s="81" t="s">
        <v>69</v>
      </c>
      <c r="D179" s="81">
        <v>75.0</v>
      </c>
      <c r="E179" s="383" t="s">
        <v>2297</v>
      </c>
      <c r="F179" s="56">
        <v>21.2</v>
      </c>
      <c r="G179" s="76">
        <f>IFERROR(__xludf.DUMMYFUNCTION("IFERROR(VLOOKUP(E179,IMPORTRANGE(""https://docs.google.com/spreadsheets/d/1xZyKy-UzMmtPDLpV5jQdYum1LtbR8XKDuasLSjmBRMI/edit#gid=1241094406"",""COMBINED DATA!E3:K""),7,0))"),0.042)</f>
        <v>0.042</v>
      </c>
      <c r="H179" s="84">
        <f t="shared" ref="H179:H182" si="27">IFERROR(F179/G179,"")</f>
        <v>504.7619048</v>
      </c>
      <c r="I179" s="318">
        <v>21.2</v>
      </c>
      <c r="J179" s="85"/>
      <c r="K179" s="139"/>
      <c r="L179" s="20"/>
      <c r="M179" s="16"/>
      <c r="N179" s="16"/>
      <c r="O179" s="16"/>
      <c r="P179" s="16"/>
      <c r="Q179" s="16"/>
    </row>
    <row r="180" ht="15.75" customHeight="1">
      <c r="A180" s="16"/>
      <c r="B180" s="81">
        <v>2.0</v>
      </c>
      <c r="C180" s="149">
        <v>3.0</v>
      </c>
      <c r="D180" s="81">
        <v>90.0</v>
      </c>
      <c r="E180" s="383" t="s">
        <v>2300</v>
      </c>
      <c r="F180" s="56">
        <v>31.2</v>
      </c>
      <c r="G180" s="76">
        <f>IFERROR(__xludf.DUMMYFUNCTION("IFERROR(VLOOKUP(E180,IMPORTRANGE(""https://docs.google.com/spreadsheets/d/1xZyKy-UzMmtPDLpV5jQdYum1LtbR8XKDuasLSjmBRMI/edit#gid=1241094406"",""COMBINED DATA!E3:K""),7,0))"),0.059)</f>
        <v>0.059</v>
      </c>
      <c r="H180" s="84">
        <f t="shared" si="27"/>
        <v>528.8135593</v>
      </c>
      <c r="I180" s="318">
        <v>31.2</v>
      </c>
      <c r="J180" s="85"/>
      <c r="K180" s="139"/>
      <c r="L180" s="20"/>
      <c r="M180" s="16"/>
      <c r="N180" s="16"/>
      <c r="O180" s="16"/>
      <c r="P180" s="16"/>
      <c r="Q180" s="16"/>
    </row>
    <row r="181" ht="15.75" customHeight="1">
      <c r="A181" s="16"/>
      <c r="B181" s="81">
        <v>3.0</v>
      </c>
      <c r="C181" s="149">
        <v>4.0</v>
      </c>
      <c r="D181" s="81">
        <v>110.0</v>
      </c>
      <c r="E181" s="383" t="s">
        <v>2304</v>
      </c>
      <c r="F181" s="56">
        <v>42.6</v>
      </c>
      <c r="G181" s="76">
        <f>IFERROR(__xludf.DUMMYFUNCTION("IFERROR(VLOOKUP(E181,IMPORTRANGE(""https://docs.google.com/spreadsheets/d/1xZyKy-UzMmtPDLpV5jQdYum1LtbR8XKDuasLSjmBRMI/edit#gid=1241094406"",""COMBINED DATA!E3:K""),7,0))"),0.085)</f>
        <v>0.085</v>
      </c>
      <c r="H181" s="84">
        <f t="shared" si="27"/>
        <v>501.1764706</v>
      </c>
      <c r="I181" s="318">
        <v>42.6</v>
      </c>
      <c r="J181" s="85"/>
      <c r="K181" s="139"/>
      <c r="L181" s="20"/>
      <c r="M181" s="16"/>
      <c r="N181" s="16"/>
      <c r="O181" s="16"/>
      <c r="P181" s="16"/>
      <c r="Q181" s="16"/>
    </row>
    <row r="182" ht="15.75" customHeight="1">
      <c r="A182" s="16"/>
      <c r="B182" s="81">
        <v>4.0</v>
      </c>
      <c r="C182" s="149">
        <v>6.0</v>
      </c>
      <c r="D182" s="81">
        <v>160.0</v>
      </c>
      <c r="E182" s="383" t="s">
        <v>2306</v>
      </c>
      <c r="F182" s="56">
        <v>74.2</v>
      </c>
      <c r="G182" s="76">
        <f>IFERROR(__xludf.DUMMYFUNCTION("IFERROR(VLOOKUP(E182,IMPORTRANGE(""https://docs.google.com/spreadsheets/d/1xZyKy-UzMmtPDLpV5jQdYum1LtbR8XKDuasLSjmBRMI/edit#gid=1241094406"",""COMBINED DATA!E3:K""),7,0))"),0.146)</f>
        <v>0.146</v>
      </c>
      <c r="H182" s="84">
        <f t="shared" si="27"/>
        <v>508.2191781</v>
      </c>
      <c r="I182" s="318">
        <v>74.2</v>
      </c>
      <c r="J182" s="85"/>
      <c r="K182" s="139"/>
      <c r="L182" s="20"/>
      <c r="M182" s="16"/>
      <c r="N182" s="16"/>
      <c r="O182" s="16"/>
      <c r="P182" s="16"/>
      <c r="Q182" s="16"/>
    </row>
    <row r="183">
      <c r="A183" s="384"/>
      <c r="B183" s="102" t="s">
        <v>11</v>
      </c>
      <c r="C183" s="45"/>
      <c r="D183" s="45"/>
      <c r="E183" s="46"/>
      <c r="F183" s="103">
        <f>sum(F179:F182)</f>
        <v>169.2</v>
      </c>
      <c r="G183" s="385"/>
      <c r="H183" s="386"/>
      <c r="I183" s="103">
        <f>sum(I179:I182)</f>
        <v>169.2</v>
      </c>
      <c r="J183" s="85"/>
      <c r="K183" s="384"/>
      <c r="L183" s="387"/>
      <c r="M183" s="384"/>
      <c r="N183" s="384"/>
      <c r="O183" s="384"/>
      <c r="P183" s="384"/>
      <c r="Q183" s="384"/>
    </row>
    <row r="184" ht="5.25" customHeight="1">
      <c r="A184" s="243"/>
      <c r="B184" s="15"/>
      <c r="C184" s="15"/>
      <c r="D184" s="15"/>
      <c r="E184" s="379"/>
      <c r="F184" s="15"/>
      <c r="G184" s="250"/>
      <c r="H184" s="380"/>
      <c r="I184" s="15"/>
      <c r="J184" s="85"/>
      <c r="K184" s="243"/>
      <c r="L184" s="15"/>
      <c r="M184" s="243"/>
      <c r="N184" s="243"/>
      <c r="O184" s="243"/>
      <c r="P184" s="243"/>
      <c r="Q184" s="243"/>
    </row>
    <row r="185" ht="22.5" customHeight="1">
      <c r="A185" s="243"/>
      <c r="B185" s="62" t="s">
        <v>2309</v>
      </c>
      <c r="C185" s="45"/>
      <c r="D185" s="45"/>
      <c r="E185" s="45"/>
      <c r="F185" s="46"/>
      <c r="G185" s="250"/>
      <c r="H185" s="380"/>
      <c r="I185" s="15"/>
      <c r="J185" s="85"/>
      <c r="K185" s="243"/>
      <c r="L185" s="15"/>
      <c r="M185" s="243"/>
      <c r="N185" s="243"/>
      <c r="O185" s="243"/>
      <c r="P185" s="243"/>
      <c r="Q185" s="243"/>
    </row>
    <row r="186" ht="15.75" customHeight="1">
      <c r="A186" s="16"/>
      <c r="B186" s="81">
        <v>1.0</v>
      </c>
      <c r="C186" s="81" t="s">
        <v>490</v>
      </c>
      <c r="D186" s="81" t="s">
        <v>2286</v>
      </c>
      <c r="E186" s="383" t="s">
        <v>2312</v>
      </c>
      <c r="F186" s="181">
        <v>129.2</v>
      </c>
      <c r="G186" s="76">
        <f>IFERROR(__xludf.DUMMYFUNCTION("IFERROR(VLOOKUP(E186,IMPORTRANGE(""https://docs.google.com/spreadsheets/d/1xZyKy-UzMmtPDLpV5jQdYum1LtbR8XKDuasLSjmBRMI/edit#gid=1241094406"",""COMBINED DATA!E3:K""),7,0))"),0.27)</f>
        <v>0.27</v>
      </c>
      <c r="H186" s="84">
        <f>IFERROR(F186/G186,"")</f>
        <v>478.5185185</v>
      </c>
      <c r="I186" s="318">
        <v>129.2</v>
      </c>
      <c r="J186" s="85"/>
      <c r="K186" s="139"/>
      <c r="L186" s="20"/>
      <c r="M186" s="16"/>
      <c r="N186" s="16"/>
      <c r="O186" s="16"/>
      <c r="P186" s="16"/>
      <c r="Q186" s="16"/>
    </row>
    <row r="187" ht="5.25" customHeight="1">
      <c r="A187" s="243"/>
      <c r="B187" s="15"/>
      <c r="C187" s="15"/>
      <c r="D187" s="15"/>
      <c r="E187" s="379"/>
      <c r="F187" s="15"/>
      <c r="G187" s="250"/>
      <c r="H187" s="380"/>
      <c r="I187" s="15"/>
      <c r="J187" s="85"/>
      <c r="K187" s="243"/>
      <c r="L187" s="15"/>
      <c r="M187" s="243"/>
      <c r="N187" s="243"/>
      <c r="O187" s="243"/>
      <c r="P187" s="243"/>
      <c r="Q187" s="243"/>
    </row>
    <row r="188">
      <c r="A188" s="243"/>
      <c r="B188" s="62" t="s">
        <v>2313</v>
      </c>
      <c r="C188" s="45"/>
      <c r="D188" s="45"/>
      <c r="E188" s="45"/>
      <c r="F188" s="46"/>
      <c r="G188" s="250"/>
      <c r="H188" s="380"/>
      <c r="I188" s="15"/>
      <c r="J188" s="85"/>
      <c r="K188" s="243"/>
      <c r="L188" s="15"/>
      <c r="M188" s="243"/>
      <c r="N188" s="243"/>
      <c r="O188" s="243"/>
      <c r="P188" s="243"/>
      <c r="Q188" s="243"/>
    </row>
    <row r="189">
      <c r="A189" s="243"/>
      <c r="B189" s="81">
        <v>1.0</v>
      </c>
      <c r="C189" s="81"/>
      <c r="D189" s="81" t="s">
        <v>2315</v>
      </c>
      <c r="E189" s="383" t="s">
        <v>2317</v>
      </c>
      <c r="F189" s="398" t="s">
        <v>722</v>
      </c>
      <c r="G189" s="250"/>
      <c r="H189" s="380"/>
      <c r="I189" s="318">
        <v>158.0</v>
      </c>
      <c r="J189" s="85"/>
      <c r="K189" s="243"/>
      <c r="L189" s="15"/>
      <c r="M189" s="243"/>
      <c r="N189" s="243"/>
      <c r="O189" s="243"/>
      <c r="P189" s="243"/>
      <c r="Q189" s="243"/>
    </row>
    <row r="190" ht="5.25" customHeight="1">
      <c r="A190" s="243"/>
      <c r="B190" s="15"/>
      <c r="C190" s="15"/>
      <c r="D190" s="15"/>
      <c r="E190" s="379"/>
      <c r="F190" s="15"/>
      <c r="G190" s="250"/>
      <c r="H190" s="380"/>
      <c r="I190" s="15"/>
      <c r="J190" s="85"/>
      <c r="K190" s="243"/>
      <c r="L190" s="15"/>
      <c r="M190" s="243"/>
      <c r="N190" s="243"/>
      <c r="O190" s="243"/>
      <c r="P190" s="243"/>
      <c r="Q190" s="243"/>
    </row>
    <row r="191">
      <c r="A191" s="243"/>
      <c r="B191" s="62" t="s">
        <v>2320</v>
      </c>
      <c r="C191" s="45"/>
      <c r="D191" s="45"/>
      <c r="E191" s="45"/>
      <c r="F191" s="46"/>
      <c r="G191" s="250"/>
      <c r="H191" s="380"/>
      <c r="I191" s="15"/>
      <c r="J191" s="85"/>
      <c r="K191" s="243"/>
      <c r="L191" s="15"/>
      <c r="M191" s="243"/>
      <c r="N191" s="243"/>
      <c r="O191" s="243"/>
      <c r="P191" s="243"/>
      <c r="Q191" s="243"/>
    </row>
    <row r="192">
      <c r="A192" s="243"/>
      <c r="B192" s="81">
        <v>1.0</v>
      </c>
      <c r="C192" s="81"/>
      <c r="D192" s="81" t="s">
        <v>2315</v>
      </c>
      <c r="E192" s="383" t="s">
        <v>2322</v>
      </c>
      <c r="F192" s="398" t="s">
        <v>722</v>
      </c>
      <c r="G192" s="250"/>
      <c r="H192" s="380"/>
      <c r="I192" s="318">
        <v>194.0</v>
      </c>
      <c r="J192" s="85"/>
      <c r="K192" s="243"/>
      <c r="L192" s="15"/>
      <c r="M192" s="243"/>
      <c r="N192" s="243"/>
      <c r="O192" s="243"/>
      <c r="P192" s="243"/>
      <c r="Q192" s="243"/>
    </row>
    <row r="193" ht="5.25" customHeight="1">
      <c r="A193" s="243"/>
      <c r="B193" s="15"/>
      <c r="C193" s="15"/>
      <c r="D193" s="15"/>
      <c r="E193" s="379"/>
      <c r="F193" s="15"/>
      <c r="G193" s="250"/>
      <c r="H193" s="380"/>
      <c r="I193" s="15"/>
      <c r="J193" s="85"/>
      <c r="K193" s="243"/>
      <c r="L193" s="15"/>
      <c r="M193" s="243"/>
      <c r="N193" s="243"/>
      <c r="O193" s="243"/>
      <c r="P193" s="243"/>
      <c r="Q193" s="243"/>
    </row>
    <row r="194" ht="22.5" customHeight="1">
      <c r="A194" s="243"/>
      <c r="B194" s="62" t="s">
        <v>2324</v>
      </c>
      <c r="C194" s="45"/>
      <c r="D194" s="45"/>
      <c r="E194" s="45"/>
      <c r="F194" s="46"/>
      <c r="G194" s="250"/>
      <c r="H194" s="380"/>
      <c r="I194" s="15"/>
      <c r="J194" s="85"/>
      <c r="K194" s="243"/>
      <c r="L194" s="15"/>
      <c r="M194" s="243"/>
      <c r="N194" s="243"/>
      <c r="O194" s="243"/>
      <c r="P194" s="243"/>
      <c r="Q194" s="243"/>
    </row>
    <row r="195" ht="15.75" customHeight="1">
      <c r="A195" s="16"/>
      <c r="B195" s="81">
        <v>1.0</v>
      </c>
      <c r="C195" s="81" t="s">
        <v>69</v>
      </c>
      <c r="D195" s="81">
        <v>75.0</v>
      </c>
      <c r="E195" s="383" t="s">
        <v>2326</v>
      </c>
      <c r="F195" s="181">
        <v>10.5</v>
      </c>
      <c r="G195" s="76">
        <f>IFERROR(__xludf.DUMMYFUNCTION("IFERROR(VLOOKUP(E195,IMPORTRANGE(""https://docs.google.com/spreadsheets/d/1xZyKy-UzMmtPDLpV5jQdYum1LtbR8XKDuasLSjmBRMI/edit#gid=1241094406"",""COMBINED DATA!E3:K""),7,0))"),0.005900000000000001)</f>
        <v>0.0059</v>
      </c>
      <c r="H195" s="84">
        <f t="shared" ref="H195:H198" si="28">IFERROR(F195/G195,"")</f>
        <v>1779.661017</v>
      </c>
      <c r="I195" s="318">
        <v>10.5</v>
      </c>
      <c r="J195" s="85"/>
      <c r="K195" s="139"/>
      <c r="L195" s="20"/>
      <c r="M195" s="16"/>
      <c r="N195" s="16"/>
      <c r="O195" s="16"/>
      <c r="P195" s="16"/>
      <c r="Q195" s="16"/>
    </row>
    <row r="196" ht="15.75" customHeight="1">
      <c r="A196" s="16"/>
      <c r="B196" s="81">
        <v>2.0</v>
      </c>
      <c r="C196" s="149">
        <v>3.0</v>
      </c>
      <c r="D196" s="81">
        <v>90.0</v>
      </c>
      <c r="E196" s="383" t="s">
        <v>2329</v>
      </c>
      <c r="F196" s="181">
        <v>15.1</v>
      </c>
      <c r="G196" s="76">
        <f>IFERROR(__xludf.DUMMYFUNCTION("IFERROR(VLOOKUP(E196,IMPORTRANGE(""https://docs.google.com/spreadsheets/d/1xZyKy-UzMmtPDLpV5jQdYum1LtbR8XKDuasLSjmBRMI/edit#gid=1241094406"",""COMBINED DATA!E3:K""),7,0))"),0.0106)</f>
        <v>0.0106</v>
      </c>
      <c r="H196" s="84">
        <f t="shared" si="28"/>
        <v>1424.528302</v>
      </c>
      <c r="I196" s="318">
        <v>15.1</v>
      </c>
      <c r="J196" s="85"/>
      <c r="K196" s="139"/>
      <c r="L196" s="20"/>
      <c r="M196" s="16"/>
      <c r="N196" s="16"/>
      <c r="O196" s="16"/>
      <c r="P196" s="16"/>
      <c r="Q196" s="16"/>
    </row>
    <row r="197" ht="15.75" customHeight="1">
      <c r="A197" s="16"/>
      <c r="B197" s="81">
        <v>3.0</v>
      </c>
      <c r="C197" s="149">
        <v>4.0</v>
      </c>
      <c r="D197" s="81">
        <v>110.0</v>
      </c>
      <c r="E197" s="383" t="s">
        <v>2332</v>
      </c>
      <c r="F197" s="181">
        <v>23.4</v>
      </c>
      <c r="G197" s="76">
        <f>IFERROR(__xludf.DUMMYFUNCTION("IFERROR(VLOOKUP(E197,IMPORTRANGE(""https://docs.google.com/spreadsheets/d/1xZyKy-UzMmtPDLpV5jQdYum1LtbR8XKDuasLSjmBRMI/edit#gid=1241094406"",""COMBINED DATA!E3:K""),7,0))"),0.013099999999999999)</f>
        <v>0.0131</v>
      </c>
      <c r="H197" s="84">
        <f t="shared" si="28"/>
        <v>1786.259542</v>
      </c>
      <c r="I197" s="318">
        <v>23.4</v>
      </c>
      <c r="J197" s="85"/>
      <c r="K197" s="139"/>
      <c r="L197" s="20"/>
      <c r="M197" s="16"/>
      <c r="N197" s="16"/>
      <c r="O197" s="16"/>
      <c r="P197" s="16"/>
      <c r="Q197" s="16"/>
    </row>
    <row r="198" ht="15.75" customHeight="1">
      <c r="A198" s="16"/>
      <c r="B198" s="81">
        <v>4.0</v>
      </c>
      <c r="C198" s="149">
        <v>6.0</v>
      </c>
      <c r="D198" s="81">
        <v>160.0</v>
      </c>
      <c r="E198" s="383" t="s">
        <v>2334</v>
      </c>
      <c r="F198" s="181">
        <v>40.9</v>
      </c>
      <c r="G198" s="76">
        <f>IFERROR(__xludf.DUMMYFUNCTION("IFERROR(VLOOKUP(E198,IMPORTRANGE(""https://docs.google.com/spreadsheets/d/1xZyKy-UzMmtPDLpV5jQdYum1LtbR8XKDuasLSjmBRMI/edit#gid=1241094406"",""COMBINED DATA!E3:K""),7,0))"),0.032)</f>
        <v>0.032</v>
      </c>
      <c r="H198" s="84">
        <f t="shared" si="28"/>
        <v>1278.125</v>
      </c>
      <c r="I198" s="318">
        <v>40.9</v>
      </c>
      <c r="J198" s="85"/>
      <c r="K198" s="139"/>
      <c r="L198" s="20"/>
      <c r="M198" s="16"/>
      <c r="N198" s="16"/>
      <c r="O198" s="16"/>
      <c r="P198" s="16"/>
      <c r="Q198" s="16"/>
    </row>
    <row r="199">
      <c r="A199" s="384"/>
      <c r="B199" s="102" t="s">
        <v>11</v>
      </c>
      <c r="C199" s="45"/>
      <c r="D199" s="45"/>
      <c r="E199" s="46"/>
      <c r="F199" s="103">
        <f>sum(F195:F198)</f>
        <v>89.9</v>
      </c>
      <c r="G199" s="385"/>
      <c r="H199" s="386"/>
      <c r="I199" s="103">
        <f>sum(I195:I198)</f>
        <v>89.9</v>
      </c>
      <c r="J199" s="85"/>
      <c r="K199" s="384"/>
      <c r="L199" s="387"/>
      <c r="M199" s="384"/>
      <c r="N199" s="384"/>
      <c r="O199" s="384"/>
      <c r="P199" s="384"/>
      <c r="Q199" s="384"/>
    </row>
    <row r="200" ht="4.5" customHeight="1">
      <c r="A200" s="243"/>
      <c r="B200" s="15"/>
      <c r="C200" s="15"/>
      <c r="D200" s="15"/>
      <c r="E200" s="379"/>
      <c r="F200" s="15"/>
      <c r="G200" s="250"/>
      <c r="H200" s="380"/>
      <c r="I200" s="15"/>
      <c r="J200" s="85"/>
      <c r="K200" s="243"/>
      <c r="L200" s="15"/>
      <c r="M200" s="243"/>
      <c r="N200" s="243"/>
      <c r="O200" s="243"/>
      <c r="P200" s="243"/>
      <c r="Q200" s="243"/>
    </row>
    <row r="201" ht="22.5" customHeight="1">
      <c r="A201" s="243"/>
      <c r="B201" s="62" t="s">
        <v>2337</v>
      </c>
      <c r="C201" s="45"/>
      <c r="D201" s="45"/>
      <c r="E201" s="45"/>
      <c r="F201" s="46"/>
      <c r="G201" s="250"/>
      <c r="H201" s="380"/>
      <c r="I201" s="15"/>
      <c r="J201" s="85"/>
      <c r="K201" s="243"/>
      <c r="L201" s="15"/>
      <c r="M201" s="243"/>
      <c r="N201" s="243"/>
      <c r="O201" s="243"/>
      <c r="P201" s="243"/>
      <c r="Q201" s="243"/>
    </row>
    <row r="202" ht="15.75" customHeight="1">
      <c r="A202" s="16"/>
      <c r="B202" s="81">
        <v>1.0</v>
      </c>
      <c r="C202" s="81" t="s">
        <v>2244</v>
      </c>
      <c r="D202" s="81" t="s">
        <v>2245</v>
      </c>
      <c r="E202" s="383" t="s">
        <v>2340</v>
      </c>
      <c r="F202" s="56">
        <v>398.4</v>
      </c>
      <c r="G202" s="76">
        <f>IFERROR(__xludf.DUMMYFUNCTION("IFERROR(VLOOKUP(E202,IMPORTRANGE(""https://docs.google.com/spreadsheets/d/1xZyKy-UzMmtPDLpV5jQdYum1LtbR8XKDuasLSjmBRMI/edit#gid=1241094406"",""COMBINED DATA!E3:K""),7,0))"),0.832)</f>
        <v>0.832</v>
      </c>
      <c r="H202" s="84">
        <f t="shared" ref="H202:H203" si="29">IFERROR(F202/G202,"")</f>
        <v>478.8461538</v>
      </c>
      <c r="I202" s="318">
        <v>398.4</v>
      </c>
      <c r="J202" s="85"/>
      <c r="K202" s="139"/>
      <c r="L202" s="20"/>
      <c r="M202" s="16"/>
      <c r="N202" s="16"/>
      <c r="O202" s="16"/>
      <c r="P202" s="16"/>
      <c r="Q202" s="16"/>
    </row>
    <row r="203" ht="15.75" customHeight="1">
      <c r="A203" s="16"/>
      <c r="B203" s="81">
        <v>2.0</v>
      </c>
      <c r="C203" s="81" t="s">
        <v>2249</v>
      </c>
      <c r="D203" s="81" t="s">
        <v>2250</v>
      </c>
      <c r="E203" s="383" t="s">
        <v>2343</v>
      </c>
      <c r="F203" s="56">
        <v>351.4</v>
      </c>
      <c r="G203" s="76">
        <f>IFERROR(__xludf.DUMMYFUNCTION("IFERROR(VLOOKUP(E203,IMPORTRANGE(""https://docs.google.com/spreadsheets/d/1xZyKy-UzMmtPDLpV5jQdYum1LtbR8XKDuasLSjmBRMI/edit#gid=1241094406"",""COMBINED DATA!E3:K""),7,0))"),0.738)</f>
        <v>0.738</v>
      </c>
      <c r="H203" s="84">
        <f t="shared" si="29"/>
        <v>476.1517615</v>
      </c>
      <c r="I203" s="318">
        <v>351.4</v>
      </c>
      <c r="J203" s="85"/>
      <c r="K203" s="139"/>
      <c r="L203" s="20"/>
      <c r="M203" s="16"/>
      <c r="N203" s="16"/>
      <c r="O203" s="16"/>
      <c r="P203" s="16"/>
      <c r="Q203" s="16"/>
    </row>
    <row r="204">
      <c r="A204" s="384"/>
      <c r="B204" s="102" t="s">
        <v>11</v>
      </c>
      <c r="C204" s="45"/>
      <c r="D204" s="45"/>
      <c r="E204" s="46"/>
      <c r="F204" s="103">
        <f>SUM(F202:F203)</f>
        <v>749.8</v>
      </c>
      <c r="G204" s="385"/>
      <c r="H204" s="386"/>
      <c r="I204" s="103">
        <f>SUM(I202:I203)</f>
        <v>749.8</v>
      </c>
      <c r="J204" s="85"/>
      <c r="K204" s="384"/>
      <c r="L204" s="387"/>
      <c r="M204" s="384"/>
      <c r="N204" s="384"/>
      <c r="O204" s="384"/>
      <c r="P204" s="384"/>
      <c r="Q204" s="384"/>
    </row>
    <row r="205" ht="3.75" customHeight="1">
      <c r="A205" s="243"/>
      <c r="B205" s="15"/>
      <c r="C205" s="15"/>
      <c r="D205" s="15"/>
      <c r="E205" s="379"/>
      <c r="F205" s="15"/>
      <c r="G205" s="250"/>
      <c r="H205" s="380"/>
      <c r="I205" s="15"/>
      <c r="J205" s="85"/>
      <c r="K205" s="243"/>
      <c r="L205" s="15"/>
      <c r="M205" s="243"/>
      <c r="N205" s="243"/>
      <c r="O205" s="243"/>
      <c r="P205" s="243"/>
      <c r="Q205" s="243"/>
    </row>
    <row r="206" ht="22.5" customHeight="1">
      <c r="A206" s="243"/>
      <c r="B206" s="62" t="s">
        <v>2350</v>
      </c>
      <c r="C206" s="45"/>
      <c r="D206" s="45"/>
      <c r="E206" s="45"/>
      <c r="F206" s="46"/>
      <c r="G206" s="250"/>
      <c r="H206" s="380"/>
      <c r="I206" s="15"/>
      <c r="J206" s="85"/>
      <c r="K206" s="243"/>
      <c r="L206" s="15"/>
      <c r="M206" s="243"/>
      <c r="N206" s="243"/>
      <c r="O206" s="243"/>
      <c r="P206" s="243"/>
      <c r="Q206" s="243"/>
    </row>
    <row r="207" ht="15.75" customHeight="1">
      <c r="A207" s="16"/>
      <c r="B207" s="81">
        <v>1.0</v>
      </c>
      <c r="C207" s="81" t="s">
        <v>2244</v>
      </c>
      <c r="D207" s="81" t="s">
        <v>2245</v>
      </c>
      <c r="E207" s="383" t="s">
        <v>2351</v>
      </c>
      <c r="F207" s="181">
        <v>532.0</v>
      </c>
      <c r="G207" s="76">
        <f>IFERROR(__xludf.DUMMYFUNCTION("IFERROR(VLOOKUP(E207,IMPORTRANGE(""https://docs.google.com/spreadsheets/d/1xZyKy-UzMmtPDLpV5jQdYum1LtbR8XKDuasLSjmBRMI/edit#gid=1241094406"",""COMBINED DATA!E3:K""),7,0))"),1.054)</f>
        <v>1.054</v>
      </c>
      <c r="H207" s="84">
        <f t="shared" ref="H207:H208" si="30">IFERROR(F207/G207,"")</f>
        <v>504.743833</v>
      </c>
      <c r="I207" s="388">
        <v>532.0</v>
      </c>
      <c r="J207" s="85"/>
      <c r="K207" s="139"/>
      <c r="L207" s="20"/>
      <c r="M207" s="16"/>
      <c r="N207" s="16"/>
      <c r="O207" s="16"/>
      <c r="P207" s="16"/>
      <c r="Q207" s="16"/>
    </row>
    <row r="208" ht="15.75" customHeight="1">
      <c r="A208" s="16"/>
      <c r="B208" s="81">
        <v>2.0</v>
      </c>
      <c r="C208" s="81" t="s">
        <v>2249</v>
      </c>
      <c r="D208" s="81" t="s">
        <v>2250</v>
      </c>
      <c r="E208" s="383" t="s">
        <v>2352</v>
      </c>
      <c r="F208" s="181">
        <v>488.0</v>
      </c>
      <c r="G208" s="76">
        <f>IFERROR(__xludf.DUMMYFUNCTION("IFERROR(VLOOKUP(E208,IMPORTRANGE(""https://docs.google.com/spreadsheets/d/1xZyKy-UzMmtPDLpV5jQdYum1LtbR8XKDuasLSjmBRMI/edit#gid=1241094406"",""COMBINED DATA!E3:K""),7,0))"),0.96)</f>
        <v>0.96</v>
      </c>
      <c r="H208" s="84">
        <f t="shared" si="30"/>
        <v>508.3333333</v>
      </c>
      <c r="I208" s="388">
        <v>488.0</v>
      </c>
      <c r="J208" s="85"/>
      <c r="K208" s="139"/>
      <c r="L208" s="20"/>
      <c r="M208" s="16"/>
      <c r="N208" s="16"/>
      <c r="O208" s="16"/>
      <c r="P208" s="16"/>
      <c r="Q208" s="16"/>
    </row>
    <row r="209">
      <c r="A209" s="384"/>
      <c r="B209" s="102" t="s">
        <v>11</v>
      </c>
      <c r="C209" s="45"/>
      <c r="D209" s="45"/>
      <c r="E209" s="46"/>
      <c r="F209" s="103">
        <f>SUM(F207:F208)</f>
        <v>1020</v>
      </c>
      <c r="G209" s="385"/>
      <c r="H209" s="386"/>
      <c r="I209" s="103">
        <f>SUM(I207:I208)</f>
        <v>1020</v>
      </c>
      <c r="J209" s="85"/>
      <c r="K209" s="384"/>
      <c r="L209" s="387"/>
      <c r="M209" s="384"/>
      <c r="N209" s="384"/>
      <c r="O209" s="384"/>
      <c r="P209" s="384"/>
      <c r="Q209" s="384"/>
    </row>
    <row r="210" ht="5.25" customHeight="1">
      <c r="A210" s="243"/>
      <c r="B210" s="15"/>
      <c r="C210" s="15"/>
      <c r="D210" s="15"/>
      <c r="E210" s="379"/>
      <c r="F210" s="15"/>
      <c r="G210" s="250"/>
      <c r="H210" s="380"/>
      <c r="I210" s="15"/>
      <c r="J210" s="85"/>
      <c r="K210" s="243"/>
      <c r="L210" s="15"/>
      <c r="M210" s="243"/>
      <c r="N210" s="243"/>
      <c r="O210" s="243"/>
      <c r="P210" s="243"/>
      <c r="Q210" s="243"/>
    </row>
    <row r="211" ht="22.5" customHeight="1">
      <c r="A211" s="243"/>
      <c r="B211" s="62" t="s">
        <v>2357</v>
      </c>
      <c r="C211" s="45"/>
      <c r="D211" s="45"/>
      <c r="E211" s="45"/>
      <c r="F211" s="46"/>
      <c r="G211" s="250"/>
      <c r="H211" s="380"/>
      <c r="I211" s="15"/>
      <c r="J211" s="85"/>
      <c r="K211" s="243"/>
      <c r="L211" s="15"/>
      <c r="M211" s="243"/>
      <c r="N211" s="243"/>
      <c r="O211" s="243"/>
      <c r="P211" s="243"/>
      <c r="Q211" s="243"/>
    </row>
    <row r="212" ht="15.75" customHeight="1">
      <c r="A212" s="16"/>
      <c r="B212" s="81">
        <v>1.0</v>
      </c>
      <c r="C212" s="81">
        <v>4.0</v>
      </c>
      <c r="D212" s="81">
        <v>110.0</v>
      </c>
      <c r="E212" s="383" t="s">
        <v>2358</v>
      </c>
      <c r="F212" s="181">
        <v>22.4</v>
      </c>
      <c r="G212" s="76">
        <f>IFERROR(__xludf.DUMMYFUNCTION("IFERROR(VLOOKUP(E212,IMPORTRANGE(""https://docs.google.com/spreadsheets/d/1xZyKy-UzMmtPDLpV5jQdYum1LtbR8XKDuasLSjmBRMI/edit#gid=1241094406"",""COMBINED DATA!E3:K""),7,0))"),0.0431)</f>
        <v>0.0431</v>
      </c>
      <c r="H212" s="84">
        <f>IFERROR(F212/G212,"")</f>
        <v>519.7215777</v>
      </c>
      <c r="I212" s="318">
        <v>22.4</v>
      </c>
      <c r="J212" s="85"/>
      <c r="K212" s="139"/>
      <c r="L212" s="20"/>
      <c r="M212" s="16"/>
      <c r="N212" s="16"/>
      <c r="O212" s="16"/>
      <c r="P212" s="16"/>
      <c r="Q212" s="16"/>
    </row>
    <row r="213" ht="5.25" customHeight="1">
      <c r="A213" s="243"/>
      <c r="B213" s="15"/>
      <c r="C213" s="15"/>
      <c r="D213" s="15"/>
      <c r="E213" s="379"/>
      <c r="F213" s="15"/>
      <c r="G213" s="250"/>
      <c r="H213" s="380"/>
      <c r="I213" s="15"/>
      <c r="J213" s="85"/>
      <c r="K213" s="243"/>
      <c r="L213" s="15"/>
      <c r="M213" s="243"/>
      <c r="N213" s="243"/>
      <c r="O213" s="243"/>
      <c r="P213" s="243"/>
      <c r="Q213" s="243"/>
    </row>
    <row r="214">
      <c r="A214" s="243"/>
      <c r="B214" s="62" t="s">
        <v>2361</v>
      </c>
      <c r="C214" s="45"/>
      <c r="D214" s="45"/>
      <c r="E214" s="45"/>
      <c r="F214" s="46"/>
      <c r="G214" s="250"/>
      <c r="H214" s="380"/>
      <c r="I214" s="15"/>
      <c r="J214" s="85"/>
      <c r="K214" s="243"/>
      <c r="L214" s="15"/>
      <c r="M214" s="243"/>
      <c r="N214" s="243"/>
      <c r="O214" s="243"/>
      <c r="P214" s="243"/>
      <c r="Q214" s="243"/>
    </row>
    <row r="215">
      <c r="A215" s="243"/>
      <c r="B215" s="81">
        <v>1.0</v>
      </c>
      <c r="C215" s="81">
        <v>2.0</v>
      </c>
      <c r="D215" s="81">
        <v>63.0</v>
      </c>
      <c r="E215" s="383" t="s">
        <v>2363</v>
      </c>
      <c r="F215" s="398" t="s">
        <v>722</v>
      </c>
      <c r="G215" s="250"/>
      <c r="H215" s="380"/>
      <c r="I215" s="318">
        <v>78.0</v>
      </c>
      <c r="J215" s="85"/>
      <c r="K215" s="243"/>
      <c r="L215" s="15"/>
      <c r="M215" s="243"/>
      <c r="N215" s="243"/>
      <c r="O215" s="243"/>
      <c r="P215" s="243"/>
      <c r="Q215" s="243"/>
    </row>
    <row r="216">
      <c r="A216" s="243"/>
      <c r="B216" s="81">
        <v>2.0</v>
      </c>
      <c r="C216" s="81" t="s">
        <v>69</v>
      </c>
      <c r="D216" s="81">
        <v>75.0</v>
      </c>
      <c r="E216" s="383" t="s">
        <v>2365</v>
      </c>
      <c r="F216" s="398" t="s">
        <v>722</v>
      </c>
      <c r="G216" s="250"/>
      <c r="H216" s="380"/>
      <c r="I216" s="318">
        <v>90.0</v>
      </c>
      <c r="J216" s="85"/>
      <c r="K216" s="243"/>
      <c r="L216" s="15"/>
      <c r="M216" s="243"/>
      <c r="N216" s="243"/>
      <c r="O216" s="243"/>
      <c r="P216" s="243"/>
      <c r="Q216" s="243"/>
    </row>
    <row r="217">
      <c r="A217" s="243"/>
      <c r="B217" s="81">
        <v>3.0</v>
      </c>
      <c r="C217" s="81">
        <v>3.0</v>
      </c>
      <c r="D217" s="81">
        <v>90.0</v>
      </c>
      <c r="E217" s="383" t="s">
        <v>2366</v>
      </c>
      <c r="F217" s="398" t="s">
        <v>722</v>
      </c>
      <c r="G217" s="250"/>
      <c r="H217" s="380"/>
      <c r="I217" s="318">
        <v>114.0</v>
      </c>
      <c r="J217" s="85"/>
      <c r="K217" s="243"/>
      <c r="L217" s="15"/>
      <c r="M217" s="243"/>
      <c r="N217" s="243"/>
      <c r="O217" s="243"/>
      <c r="P217" s="243"/>
      <c r="Q217" s="243"/>
    </row>
    <row r="218">
      <c r="A218" s="243"/>
      <c r="B218" s="81">
        <v>4.0</v>
      </c>
      <c r="C218" s="81">
        <v>4.0</v>
      </c>
      <c r="D218" s="81">
        <v>110.0</v>
      </c>
      <c r="E218" s="383" t="s">
        <v>2368</v>
      </c>
      <c r="F218" s="398" t="s">
        <v>722</v>
      </c>
      <c r="G218" s="250"/>
      <c r="H218" s="380"/>
      <c r="I218" s="318">
        <v>126.0</v>
      </c>
      <c r="J218" s="85"/>
      <c r="K218" s="243"/>
      <c r="L218" s="15"/>
      <c r="M218" s="243"/>
      <c r="N218" s="243"/>
      <c r="O218" s="243"/>
      <c r="P218" s="243"/>
      <c r="Q218" s="243"/>
    </row>
    <row r="219">
      <c r="A219" s="243"/>
      <c r="B219" s="81">
        <v>5.0</v>
      </c>
      <c r="C219" s="81">
        <v>6.0</v>
      </c>
      <c r="D219" s="81">
        <v>160.0</v>
      </c>
      <c r="E219" s="383" t="s">
        <v>2370</v>
      </c>
      <c r="F219" s="398" t="s">
        <v>722</v>
      </c>
      <c r="G219" s="250"/>
      <c r="H219" s="380"/>
      <c r="I219" s="318">
        <v>300.0</v>
      </c>
      <c r="J219" s="85"/>
      <c r="K219" s="243"/>
      <c r="L219" s="15"/>
      <c r="M219" s="243"/>
      <c r="N219" s="243"/>
      <c r="O219" s="243"/>
      <c r="P219" s="243"/>
      <c r="Q219" s="243"/>
    </row>
    <row r="220">
      <c r="A220" s="243"/>
      <c r="B220" s="102" t="s">
        <v>11</v>
      </c>
      <c r="C220" s="45"/>
      <c r="D220" s="45"/>
      <c r="E220" s="46"/>
      <c r="F220" s="103">
        <f>sum(F215:F217)</f>
        <v>0</v>
      </c>
      <c r="G220" s="250"/>
      <c r="H220" s="380"/>
      <c r="I220" s="103">
        <f>sum(I215:I217)</f>
        <v>282</v>
      </c>
      <c r="J220" s="85"/>
      <c r="K220" s="243"/>
      <c r="L220" s="15"/>
      <c r="M220" s="243"/>
      <c r="N220" s="243"/>
      <c r="O220" s="243"/>
      <c r="P220" s="243"/>
      <c r="Q220" s="243"/>
    </row>
    <row r="221" ht="4.5" customHeight="1">
      <c r="A221" s="243"/>
      <c r="B221" s="15"/>
      <c r="C221" s="15"/>
      <c r="D221" s="15"/>
      <c r="E221" s="379"/>
      <c r="F221" s="15"/>
      <c r="G221" s="250"/>
      <c r="H221" s="380"/>
      <c r="I221" s="15"/>
      <c r="J221" s="85"/>
      <c r="K221" s="243"/>
      <c r="L221" s="15"/>
      <c r="M221" s="243"/>
      <c r="N221" s="243"/>
      <c r="O221" s="243"/>
      <c r="P221" s="243"/>
      <c r="Q221" s="243"/>
    </row>
    <row r="222" ht="22.5" customHeight="1">
      <c r="A222" s="243"/>
      <c r="B222" s="62" t="s">
        <v>2373</v>
      </c>
      <c r="C222" s="45"/>
      <c r="D222" s="45"/>
      <c r="E222" s="45"/>
      <c r="F222" s="46"/>
      <c r="G222" s="250"/>
      <c r="H222" s="380"/>
      <c r="I222" s="15"/>
      <c r="J222" s="85"/>
      <c r="K222" s="243"/>
      <c r="L222" s="15"/>
      <c r="M222" s="243"/>
      <c r="N222" s="243"/>
      <c r="O222" s="243"/>
      <c r="P222" s="243"/>
      <c r="Q222" s="243"/>
    </row>
    <row r="223" ht="15.75" customHeight="1">
      <c r="A223" s="16"/>
      <c r="B223" s="81">
        <v>1.0</v>
      </c>
      <c r="C223" s="81" t="s">
        <v>2374</v>
      </c>
      <c r="D223" s="81" t="s">
        <v>2375</v>
      </c>
      <c r="E223" s="383" t="s">
        <v>2376</v>
      </c>
      <c r="F223" s="56">
        <v>44.0</v>
      </c>
      <c r="G223" s="76" t="str">
        <f>IFERROR(__xludf.DUMMYFUNCTION("IFERROR(VLOOKUP(E223,IMPORTRANGE(""https://docs.google.com/spreadsheets/d/1xZyKy-UzMmtPDLpV5jQdYum1LtbR8XKDuasLSjmBRMI/edit#gid=1241094406"",""COMBINED DATA!E3:K""),7,0))"),"")</f>
        <v/>
      </c>
      <c r="H223" s="84" t="str">
        <f t="shared" ref="H223:H225" si="31">IFERROR(F223/G223,"")</f>
        <v/>
      </c>
      <c r="I223" s="318">
        <v>44.0</v>
      </c>
      <c r="J223" s="85"/>
      <c r="K223" s="139"/>
      <c r="L223" s="20"/>
      <c r="M223" s="16"/>
      <c r="N223" s="16"/>
      <c r="O223" s="16"/>
      <c r="P223" s="16"/>
      <c r="Q223" s="16"/>
    </row>
    <row r="224" ht="15.75" customHeight="1">
      <c r="A224" s="16"/>
      <c r="B224" s="81">
        <v>2.0</v>
      </c>
      <c r="C224" s="81" t="s">
        <v>2377</v>
      </c>
      <c r="D224" s="81" t="s">
        <v>2378</v>
      </c>
      <c r="E224" s="383" t="s">
        <v>2379</v>
      </c>
      <c r="F224" s="56">
        <v>92.0</v>
      </c>
      <c r="G224" s="76" t="str">
        <f>IFERROR(__xludf.DUMMYFUNCTION("IFERROR(VLOOKUP(E224,IMPORTRANGE(""https://docs.google.com/spreadsheets/d/1xZyKy-UzMmtPDLpV5jQdYum1LtbR8XKDuasLSjmBRMI/edit#gid=1241094406"",""COMBINED DATA!E3:K""),7,0))"),"")</f>
        <v/>
      </c>
      <c r="H224" s="84" t="str">
        <f t="shared" si="31"/>
        <v/>
      </c>
      <c r="I224" s="318">
        <v>92.0</v>
      </c>
      <c r="J224" s="85"/>
      <c r="K224" s="139"/>
      <c r="L224" s="20"/>
      <c r="M224" s="16"/>
      <c r="N224" s="16"/>
      <c r="O224" s="16"/>
      <c r="P224" s="16"/>
      <c r="Q224" s="16"/>
    </row>
    <row r="225" ht="15.75" customHeight="1">
      <c r="A225" s="16"/>
      <c r="B225" s="81">
        <v>3.0</v>
      </c>
      <c r="C225" s="81" t="s">
        <v>2377</v>
      </c>
      <c r="D225" s="81" t="s">
        <v>2382</v>
      </c>
      <c r="E225" s="383" t="s">
        <v>2383</v>
      </c>
      <c r="F225" s="56">
        <v>168.0</v>
      </c>
      <c r="G225" s="76" t="str">
        <f>IFERROR(__xludf.DUMMYFUNCTION("IFERROR(VLOOKUP(E225,IMPORTRANGE(""https://docs.google.com/spreadsheets/d/1xZyKy-UzMmtPDLpV5jQdYum1LtbR8XKDuasLSjmBRMI/edit#gid=1241094406"",""COMBINED DATA!E3:K""),7,0))"),"")</f>
        <v/>
      </c>
      <c r="H225" s="84" t="str">
        <f t="shared" si="31"/>
        <v/>
      </c>
      <c r="I225" s="318">
        <v>168.0</v>
      </c>
      <c r="J225" s="85"/>
      <c r="K225" s="139"/>
      <c r="L225" s="20"/>
      <c r="M225" s="16"/>
      <c r="N225" s="16"/>
      <c r="O225" s="16"/>
      <c r="P225" s="16"/>
      <c r="Q225" s="16"/>
    </row>
    <row r="226">
      <c r="A226" s="384"/>
      <c r="B226" s="102" t="s">
        <v>11</v>
      </c>
      <c r="C226" s="45"/>
      <c r="D226" s="45"/>
      <c r="E226" s="46"/>
      <c r="F226" s="103">
        <f>sum(F223:F225)</f>
        <v>304</v>
      </c>
      <c r="G226" s="385"/>
      <c r="H226" s="386"/>
      <c r="I226" s="103">
        <f>sum(I223:I225)</f>
        <v>304</v>
      </c>
      <c r="J226" s="85"/>
      <c r="K226" s="384"/>
      <c r="L226" s="387"/>
      <c r="M226" s="384"/>
      <c r="N226" s="384"/>
      <c r="O226" s="384"/>
      <c r="P226" s="384"/>
      <c r="Q226" s="384"/>
    </row>
    <row r="227" ht="4.5" customHeight="1">
      <c r="A227" s="243"/>
      <c r="B227" s="15"/>
      <c r="C227" s="15"/>
      <c r="D227" s="15"/>
      <c r="E227" s="379"/>
      <c r="F227" s="15"/>
      <c r="G227" s="250"/>
      <c r="H227" s="380"/>
      <c r="I227" s="15"/>
      <c r="J227" s="85"/>
      <c r="K227" s="243"/>
      <c r="L227" s="15"/>
      <c r="M227" s="243"/>
      <c r="N227" s="243"/>
      <c r="O227" s="243"/>
      <c r="P227" s="243"/>
      <c r="Q227" s="243"/>
    </row>
    <row r="228">
      <c r="A228" s="243"/>
      <c r="B228" s="425" t="s">
        <v>2387</v>
      </c>
      <c r="C228" s="45"/>
      <c r="D228" s="45"/>
      <c r="E228" s="45"/>
      <c r="F228" s="46"/>
      <c r="G228" s="250"/>
      <c r="H228" s="380"/>
      <c r="I228" s="15"/>
      <c r="J228" s="85"/>
      <c r="K228" s="243"/>
      <c r="L228" s="15"/>
      <c r="M228" s="243"/>
      <c r="N228" s="243"/>
      <c r="O228" s="243"/>
      <c r="P228" s="243"/>
      <c r="Q228" s="243"/>
    </row>
    <row r="229" ht="5.25" customHeight="1">
      <c r="A229" s="243"/>
      <c r="B229" s="15"/>
      <c r="C229" s="15"/>
      <c r="D229" s="15"/>
      <c r="E229" s="379"/>
      <c r="F229" s="15"/>
      <c r="G229" s="250"/>
      <c r="H229" s="380"/>
      <c r="I229" s="15"/>
      <c r="J229" s="85"/>
      <c r="K229" s="243"/>
      <c r="L229" s="15"/>
      <c r="M229" s="243"/>
      <c r="N229" s="243"/>
      <c r="O229" s="243"/>
      <c r="P229" s="243"/>
      <c r="Q229" s="243"/>
    </row>
    <row r="230" ht="22.5" customHeight="1">
      <c r="A230" s="243"/>
      <c r="B230" s="62" t="s">
        <v>1882</v>
      </c>
      <c r="C230" s="45"/>
      <c r="D230" s="45"/>
      <c r="E230" s="45"/>
      <c r="F230" s="46"/>
      <c r="G230" s="250"/>
      <c r="H230" s="380"/>
      <c r="I230" s="15"/>
      <c r="J230" s="85"/>
      <c r="K230" s="243"/>
      <c r="L230" s="15"/>
      <c r="M230" s="243"/>
      <c r="N230" s="243"/>
      <c r="O230" s="243"/>
      <c r="P230" s="243"/>
      <c r="Q230" s="243"/>
    </row>
    <row r="231" ht="15.75" customHeight="1">
      <c r="A231" s="243"/>
      <c r="B231" s="81">
        <v>1.0</v>
      </c>
      <c r="C231" s="81" t="s">
        <v>69</v>
      </c>
      <c r="D231" s="81">
        <v>75.0</v>
      </c>
      <c r="E231" s="383" t="s">
        <v>2390</v>
      </c>
      <c r="F231" s="56">
        <v>68.0</v>
      </c>
      <c r="G231" s="76">
        <f>IFERROR(__xludf.DUMMYFUNCTION("IFERROR(VLOOKUP(E231,IMPORTRANGE(""https://docs.google.com/spreadsheets/d/1xZyKy-UzMmtPDLpV5jQdYum1LtbR8XKDuasLSjmBRMI/edit#gid=1241094406"",""COMBINED DATA!E3:K""),7,0))"),0.141)</f>
        <v>0.141</v>
      </c>
      <c r="H231" s="84">
        <f t="shared" ref="H231:H234" si="32">IFERROR(F231/G231,"")</f>
        <v>482.2695035</v>
      </c>
      <c r="I231" s="318">
        <v>68.0</v>
      </c>
      <c r="J231" s="85"/>
      <c r="K231" s="139"/>
      <c r="L231" s="15"/>
      <c r="M231" s="243"/>
      <c r="N231" s="243"/>
      <c r="O231" s="243"/>
      <c r="P231" s="243"/>
      <c r="Q231" s="243"/>
    </row>
    <row r="232" ht="15.75" customHeight="1">
      <c r="A232" s="243"/>
      <c r="B232" s="81">
        <v>2.0</v>
      </c>
      <c r="C232" s="149">
        <v>3.0</v>
      </c>
      <c r="D232" s="81">
        <v>90.0</v>
      </c>
      <c r="E232" s="383" t="s">
        <v>2393</v>
      </c>
      <c r="F232" s="56">
        <v>92.0</v>
      </c>
      <c r="G232" s="76">
        <f>IFERROR(__xludf.DUMMYFUNCTION("IFERROR(VLOOKUP(E232,IMPORTRANGE(""https://docs.google.com/spreadsheets/d/1xZyKy-UzMmtPDLpV5jQdYum1LtbR8XKDuasLSjmBRMI/edit#gid=1241094406"",""COMBINED DATA!E3:K""),7,0))"),0.19)</f>
        <v>0.19</v>
      </c>
      <c r="H232" s="84">
        <f t="shared" si="32"/>
        <v>484.2105263</v>
      </c>
      <c r="I232" s="318">
        <v>92.0</v>
      </c>
      <c r="J232" s="85"/>
      <c r="K232" s="139"/>
      <c r="L232" s="15"/>
      <c r="M232" s="243"/>
      <c r="N232" s="243"/>
      <c r="O232" s="243"/>
      <c r="P232" s="243"/>
      <c r="Q232" s="243"/>
    </row>
    <row r="233" ht="15.75" customHeight="1">
      <c r="A233" s="243"/>
      <c r="B233" s="81">
        <v>3.0</v>
      </c>
      <c r="C233" s="149">
        <v>4.0</v>
      </c>
      <c r="D233" s="81">
        <v>110.0</v>
      </c>
      <c r="E233" s="383" t="s">
        <v>2394</v>
      </c>
      <c r="F233" s="56">
        <v>126.0</v>
      </c>
      <c r="G233" s="76">
        <f>IFERROR(__xludf.DUMMYFUNCTION("IFERROR(VLOOKUP(E233,IMPORTRANGE(""https://docs.google.com/spreadsheets/d/1xZyKy-UzMmtPDLpV5jQdYum1LtbR8XKDuasLSjmBRMI/edit#gid=1241094406"",""COMBINED DATA!E3:K""),7,0))"),0.266)</f>
        <v>0.266</v>
      </c>
      <c r="H233" s="84">
        <f t="shared" si="32"/>
        <v>473.6842105</v>
      </c>
      <c r="I233" s="318">
        <v>126.0</v>
      </c>
      <c r="J233" s="85"/>
      <c r="K233" s="139"/>
      <c r="L233" s="15"/>
      <c r="M233" s="243"/>
      <c r="N233" s="243"/>
      <c r="O233" s="243"/>
      <c r="P233" s="243"/>
      <c r="Q233" s="243"/>
    </row>
    <row r="234" ht="15.75" customHeight="1">
      <c r="A234" s="243"/>
      <c r="B234" s="81">
        <v>4.0</v>
      </c>
      <c r="C234" s="149">
        <v>6.0</v>
      </c>
      <c r="D234" s="81">
        <v>160.0</v>
      </c>
      <c r="E234" s="383" t="s">
        <v>2395</v>
      </c>
      <c r="F234" s="56">
        <v>324.0</v>
      </c>
      <c r="G234" s="76">
        <f>IFERROR(__xludf.DUMMYFUNCTION("IFERROR(VLOOKUP(E234,IMPORTRANGE(""https://docs.google.com/spreadsheets/d/1xZyKy-UzMmtPDLpV5jQdYum1LtbR8XKDuasLSjmBRMI/edit#gid=1241094406"",""COMBINED DATA!E3:K""),7,0))"),0.662)</f>
        <v>0.662</v>
      </c>
      <c r="H234" s="84">
        <f t="shared" si="32"/>
        <v>489.4259819</v>
      </c>
      <c r="I234" s="318">
        <v>324.0</v>
      </c>
      <c r="J234" s="85"/>
      <c r="K234" s="139"/>
      <c r="L234" s="15"/>
      <c r="M234" s="243"/>
      <c r="N234" s="243"/>
      <c r="O234" s="243"/>
      <c r="P234" s="243"/>
      <c r="Q234" s="243"/>
    </row>
    <row r="235">
      <c r="A235" s="243"/>
      <c r="B235" s="102" t="s">
        <v>11</v>
      </c>
      <c r="C235" s="45"/>
      <c r="D235" s="45"/>
      <c r="E235" s="46"/>
      <c r="F235" s="103">
        <f>SUM(F231:F234)</f>
        <v>610</v>
      </c>
      <c r="G235" s="250"/>
      <c r="H235" s="380"/>
      <c r="I235" s="103">
        <f>SUM(I231:I234)</f>
        <v>610</v>
      </c>
      <c r="J235" s="85"/>
      <c r="K235" s="243"/>
      <c r="L235" s="15"/>
      <c r="M235" s="243"/>
      <c r="N235" s="243"/>
      <c r="O235" s="243"/>
      <c r="P235" s="243"/>
      <c r="Q235" s="243"/>
    </row>
    <row r="236" ht="6.0" customHeight="1">
      <c r="A236" s="243"/>
      <c r="B236" s="15"/>
      <c r="C236" s="15"/>
      <c r="D236" s="15"/>
      <c r="E236" s="379"/>
      <c r="F236" s="15"/>
      <c r="G236" s="250"/>
      <c r="H236" s="380"/>
      <c r="I236" s="15"/>
      <c r="J236" s="85"/>
      <c r="K236" s="243"/>
      <c r="L236" s="15"/>
      <c r="M236" s="243"/>
      <c r="N236" s="243"/>
      <c r="O236" s="243"/>
      <c r="P236" s="243"/>
      <c r="Q236" s="243"/>
    </row>
    <row r="237" ht="22.5" customHeight="1">
      <c r="A237" s="243"/>
      <c r="B237" s="62" t="s">
        <v>1928</v>
      </c>
      <c r="C237" s="45"/>
      <c r="D237" s="45"/>
      <c r="E237" s="45"/>
      <c r="F237" s="46"/>
      <c r="G237" s="250"/>
      <c r="H237" s="380"/>
      <c r="I237" s="15"/>
      <c r="J237" s="85"/>
      <c r="K237" s="243"/>
      <c r="L237" s="15"/>
      <c r="M237" s="243"/>
      <c r="N237" s="243"/>
      <c r="O237" s="243"/>
      <c r="P237" s="243"/>
      <c r="Q237" s="243"/>
    </row>
    <row r="238" ht="15.75" customHeight="1">
      <c r="A238" s="243"/>
      <c r="B238" s="81">
        <v>1.0</v>
      </c>
      <c r="C238" s="81" t="s">
        <v>69</v>
      </c>
      <c r="D238" s="81">
        <v>75.0</v>
      </c>
      <c r="E238" s="426" t="s">
        <v>2399</v>
      </c>
      <c r="F238" s="56">
        <v>80.0</v>
      </c>
      <c r="G238" s="76">
        <f>IFERROR(__xludf.DUMMYFUNCTION("IFERROR(VLOOKUP(E238,IMPORTRANGE(""https://docs.google.com/spreadsheets/d/1xZyKy-UzMmtPDLpV5jQdYum1LtbR8XKDuasLSjmBRMI/edit#gid=1241094406"",""COMBINED DATA!E3:K""),7,0))"),0.165)</f>
        <v>0.165</v>
      </c>
      <c r="H238" s="84">
        <f t="shared" ref="H238:H241" si="33">IFERROR(F238/G238,"")</f>
        <v>484.8484848</v>
      </c>
      <c r="I238" s="318">
        <v>80.0</v>
      </c>
      <c r="J238" s="85"/>
      <c r="K238" s="139"/>
      <c r="L238" s="15"/>
      <c r="M238" s="243"/>
      <c r="N238" s="243"/>
      <c r="O238" s="243"/>
      <c r="P238" s="243"/>
      <c r="Q238" s="243"/>
    </row>
    <row r="239" ht="15.75" customHeight="1">
      <c r="A239" s="243"/>
      <c r="B239" s="81">
        <v>2.0</v>
      </c>
      <c r="C239" s="149">
        <v>3.0</v>
      </c>
      <c r="D239" s="81">
        <v>90.0</v>
      </c>
      <c r="E239" s="427" t="s">
        <v>2401</v>
      </c>
      <c r="F239" s="56">
        <v>108.0</v>
      </c>
      <c r="G239" s="76">
        <f>IFERROR(__xludf.DUMMYFUNCTION("IFERROR(VLOOKUP(E239,IMPORTRANGE(""https://docs.google.com/spreadsheets/d/1xZyKy-UzMmtPDLpV5jQdYum1LtbR8XKDuasLSjmBRMI/edit#gid=1241094406"",""COMBINED DATA!E3:K""),7,0))"),0.221)</f>
        <v>0.221</v>
      </c>
      <c r="H239" s="84">
        <f t="shared" si="33"/>
        <v>488.6877828</v>
      </c>
      <c r="I239" s="318">
        <v>108.0</v>
      </c>
      <c r="J239" s="85"/>
      <c r="K239" s="139"/>
      <c r="L239" s="15"/>
      <c r="M239" s="243"/>
      <c r="N239" s="243"/>
      <c r="O239" s="243"/>
      <c r="P239" s="243"/>
      <c r="Q239" s="243"/>
    </row>
    <row r="240" ht="15.75" customHeight="1">
      <c r="A240" s="243"/>
      <c r="B240" s="81">
        <v>3.0</v>
      </c>
      <c r="C240" s="149">
        <v>4.0</v>
      </c>
      <c r="D240" s="81">
        <v>110.0</v>
      </c>
      <c r="E240" s="427" t="s">
        <v>2402</v>
      </c>
      <c r="F240" s="56">
        <v>158.0</v>
      </c>
      <c r="G240" s="76">
        <f>IFERROR(__xludf.DUMMYFUNCTION("IFERROR(VLOOKUP(E240,IMPORTRANGE(""https://docs.google.com/spreadsheets/d/1xZyKy-UzMmtPDLpV5jQdYum1LtbR8XKDuasLSjmBRMI/edit#gid=1241094406"",""COMBINED DATA!E3:K""),7,0))"),0.33)</f>
        <v>0.33</v>
      </c>
      <c r="H240" s="84">
        <f t="shared" si="33"/>
        <v>478.7878788</v>
      </c>
      <c r="I240" s="318">
        <v>158.0</v>
      </c>
      <c r="J240" s="85"/>
      <c r="K240" s="139"/>
      <c r="L240" s="15"/>
      <c r="M240" s="243"/>
      <c r="N240" s="243"/>
      <c r="O240" s="243"/>
      <c r="P240" s="243"/>
      <c r="Q240" s="243"/>
    </row>
    <row r="241" ht="15.75" customHeight="1">
      <c r="A241" s="243"/>
      <c r="B241" s="81">
        <v>4.0</v>
      </c>
      <c r="C241" s="149">
        <v>6.0</v>
      </c>
      <c r="D241" s="81">
        <v>160.0</v>
      </c>
      <c r="E241" s="427" t="s">
        <v>2404</v>
      </c>
      <c r="F241" s="56">
        <v>396.0</v>
      </c>
      <c r="G241" s="76">
        <f>IFERROR(__xludf.DUMMYFUNCTION("IFERROR(VLOOKUP(E241,IMPORTRANGE(""https://docs.google.com/spreadsheets/d/1xZyKy-UzMmtPDLpV5jQdYum1LtbR8XKDuasLSjmBRMI/edit#gid=1241094406"",""COMBINED DATA!E3:K""),7,0))"),0.817)</f>
        <v>0.817</v>
      </c>
      <c r="H241" s="84">
        <f t="shared" si="33"/>
        <v>484.7001224</v>
      </c>
      <c r="I241" s="318">
        <v>396.0</v>
      </c>
      <c r="J241" s="85"/>
      <c r="K241" s="139"/>
      <c r="L241" s="15"/>
      <c r="M241" s="243"/>
      <c r="N241" s="243"/>
      <c r="O241" s="243"/>
      <c r="P241" s="243"/>
      <c r="Q241" s="243"/>
    </row>
    <row r="242">
      <c r="A242" s="243"/>
      <c r="B242" s="102" t="s">
        <v>11</v>
      </c>
      <c r="C242" s="45"/>
      <c r="D242" s="45"/>
      <c r="E242" s="46"/>
      <c r="F242" s="103">
        <f>SUM(F238:F241)</f>
        <v>742</v>
      </c>
      <c r="G242" s="250"/>
      <c r="H242" s="380"/>
      <c r="I242" s="103">
        <f>SUM(I238:I241)</f>
        <v>742</v>
      </c>
      <c r="J242" s="85"/>
      <c r="K242" s="243"/>
      <c r="L242" s="15"/>
      <c r="M242" s="243"/>
      <c r="N242" s="243"/>
      <c r="O242" s="243"/>
      <c r="P242" s="243"/>
      <c r="Q242" s="243"/>
    </row>
    <row r="243" ht="5.25" customHeight="1">
      <c r="A243" s="243"/>
      <c r="B243" s="15"/>
      <c r="C243" s="15"/>
      <c r="D243" s="15"/>
      <c r="E243" s="379"/>
      <c r="F243" s="15"/>
      <c r="G243" s="250"/>
      <c r="H243" s="380"/>
      <c r="I243" s="15"/>
      <c r="J243" s="85"/>
      <c r="K243" s="243"/>
      <c r="L243" s="15"/>
      <c r="M243" s="243"/>
      <c r="N243" s="243"/>
      <c r="O243" s="243"/>
      <c r="P243" s="243"/>
      <c r="Q243" s="243"/>
    </row>
    <row r="244" ht="22.5" customHeight="1">
      <c r="A244" s="243"/>
      <c r="B244" s="62" t="s">
        <v>1891</v>
      </c>
      <c r="C244" s="45"/>
      <c r="D244" s="45"/>
      <c r="E244" s="45"/>
      <c r="F244" s="46"/>
      <c r="G244" s="250"/>
      <c r="H244" s="380"/>
      <c r="I244" s="15"/>
      <c r="J244" s="85"/>
      <c r="K244" s="243"/>
      <c r="L244" s="15"/>
      <c r="M244" s="243"/>
      <c r="N244" s="243"/>
      <c r="O244" s="243"/>
      <c r="P244" s="243"/>
      <c r="Q244" s="243"/>
    </row>
    <row r="245" ht="15.75" customHeight="1">
      <c r="A245" s="243"/>
      <c r="B245" s="81">
        <v>1.0</v>
      </c>
      <c r="C245" s="81" t="s">
        <v>69</v>
      </c>
      <c r="D245" s="81">
        <v>75.0</v>
      </c>
      <c r="E245" s="383" t="s">
        <v>2406</v>
      </c>
      <c r="F245" s="181">
        <v>89.0</v>
      </c>
      <c r="G245" s="76">
        <f>IFERROR(__xludf.DUMMYFUNCTION("IFERROR(VLOOKUP(E245,IMPORTRANGE(""https://docs.google.com/spreadsheets/d/1xZyKy-UzMmtPDLpV5jQdYum1LtbR8XKDuasLSjmBRMI/edit#gid=1241094406"",""COMBINED DATA!E3:K""),7,0))"),0.183)</f>
        <v>0.183</v>
      </c>
      <c r="H245" s="84">
        <f t="shared" ref="H245:H248" si="34">IFERROR(F245/G245,"")</f>
        <v>486.3387978</v>
      </c>
      <c r="I245" s="388">
        <v>89.0</v>
      </c>
      <c r="J245" s="85"/>
      <c r="K245" s="139"/>
      <c r="L245" s="15"/>
      <c r="M245" s="243"/>
      <c r="N245" s="243"/>
      <c r="O245" s="243"/>
      <c r="P245" s="243"/>
      <c r="Q245" s="243"/>
    </row>
    <row r="246" ht="15.75" customHeight="1">
      <c r="A246" s="243"/>
      <c r="B246" s="81">
        <v>2.0</v>
      </c>
      <c r="C246" s="149">
        <v>3.0</v>
      </c>
      <c r="D246" s="81">
        <v>90.0</v>
      </c>
      <c r="E246" s="383" t="s">
        <v>2409</v>
      </c>
      <c r="F246" s="181">
        <v>117.7</v>
      </c>
      <c r="G246" s="76">
        <f>IFERROR(__xludf.DUMMYFUNCTION("IFERROR(VLOOKUP(E246,IMPORTRANGE(""https://docs.google.com/spreadsheets/d/1xZyKy-UzMmtPDLpV5jQdYum1LtbR8XKDuasLSjmBRMI/edit#gid=1241094406"",""COMBINED DATA!E3:K""),7,0))"),0.232)</f>
        <v>0.232</v>
      </c>
      <c r="H246" s="84">
        <f t="shared" si="34"/>
        <v>507.3275862</v>
      </c>
      <c r="I246" s="388">
        <v>117.7</v>
      </c>
      <c r="J246" s="85"/>
      <c r="K246" s="139"/>
      <c r="L246" s="15"/>
      <c r="M246" s="243"/>
      <c r="N246" s="243"/>
      <c r="O246" s="243"/>
      <c r="P246" s="243"/>
      <c r="Q246" s="243"/>
    </row>
    <row r="247" ht="15.75" customHeight="1">
      <c r="A247" s="243"/>
      <c r="B247" s="81">
        <v>3.0</v>
      </c>
      <c r="C247" s="149">
        <v>4.0</v>
      </c>
      <c r="D247" s="81">
        <v>110.0</v>
      </c>
      <c r="E247" s="383" t="s">
        <v>2410</v>
      </c>
      <c r="F247" s="181">
        <v>180.3</v>
      </c>
      <c r="G247" s="76">
        <f>IFERROR(__xludf.DUMMYFUNCTION("IFERROR(VLOOKUP(E247,IMPORTRANGE(""https://docs.google.com/spreadsheets/d/1xZyKy-UzMmtPDLpV5jQdYum1LtbR8XKDuasLSjmBRMI/edit#gid=1241094406"",""COMBINED DATA!E3:K""),7,0))"),0.344)</f>
        <v>0.344</v>
      </c>
      <c r="H247" s="84">
        <f t="shared" si="34"/>
        <v>524.127907</v>
      </c>
      <c r="I247" s="388">
        <v>180.3</v>
      </c>
      <c r="J247" s="85"/>
      <c r="K247" s="139"/>
      <c r="L247" s="15"/>
      <c r="M247" s="243"/>
      <c r="N247" s="243"/>
      <c r="O247" s="243"/>
      <c r="P247" s="243"/>
      <c r="Q247" s="243"/>
    </row>
    <row r="248" ht="15.75" customHeight="1">
      <c r="A248" s="243"/>
      <c r="B248" s="81">
        <v>4.0</v>
      </c>
      <c r="C248" s="149">
        <v>6.0</v>
      </c>
      <c r="D248" s="81">
        <v>160.0</v>
      </c>
      <c r="E248" s="383" t="s">
        <v>2412</v>
      </c>
      <c r="F248" s="181">
        <v>437.9</v>
      </c>
      <c r="G248" s="76">
        <f>IFERROR(__xludf.DUMMYFUNCTION("IFERROR(VLOOKUP(E248,IMPORTRANGE(""https://docs.google.com/spreadsheets/d/1xZyKy-UzMmtPDLpV5jQdYum1LtbR8XKDuasLSjmBRMI/edit#gid=1241094406"",""COMBINED DATA!E3:K""),7,0))"),0.867)</f>
        <v>0.867</v>
      </c>
      <c r="H248" s="84">
        <f t="shared" si="34"/>
        <v>505.0749712</v>
      </c>
      <c r="I248" s="388">
        <v>437.9</v>
      </c>
      <c r="J248" s="85"/>
      <c r="K248" s="139"/>
      <c r="L248" s="15"/>
      <c r="M248" s="243"/>
      <c r="N248" s="243"/>
      <c r="O248" s="243"/>
      <c r="P248" s="243"/>
      <c r="Q248" s="243"/>
    </row>
    <row r="249">
      <c r="A249" s="243"/>
      <c r="B249" s="102" t="s">
        <v>11</v>
      </c>
      <c r="C249" s="45"/>
      <c r="D249" s="45"/>
      <c r="E249" s="45"/>
      <c r="F249" s="103">
        <f>SUM(F245:F248)</f>
        <v>824.9</v>
      </c>
      <c r="G249" s="250"/>
      <c r="H249" s="380"/>
      <c r="I249" s="103">
        <f>SUM(I245:I248)</f>
        <v>824.9</v>
      </c>
      <c r="J249" s="85"/>
      <c r="K249" s="243"/>
      <c r="L249" s="15"/>
      <c r="M249" s="243"/>
      <c r="N249" s="243"/>
      <c r="O249" s="243"/>
      <c r="P249" s="243"/>
      <c r="Q249" s="243"/>
    </row>
    <row r="250" ht="5.25" customHeight="1">
      <c r="A250" s="243"/>
      <c r="B250" s="15"/>
      <c r="C250" s="15"/>
      <c r="D250" s="15"/>
      <c r="E250" s="379"/>
      <c r="F250" s="15"/>
      <c r="G250" s="250"/>
      <c r="H250" s="380"/>
      <c r="I250" s="15"/>
      <c r="J250" s="85"/>
      <c r="K250" s="243"/>
      <c r="L250" s="15"/>
      <c r="M250" s="243"/>
      <c r="N250" s="243"/>
      <c r="O250" s="243"/>
      <c r="P250" s="243"/>
      <c r="Q250" s="243"/>
    </row>
    <row r="251" ht="22.5" customHeight="1">
      <c r="A251" s="243"/>
      <c r="B251" s="62" t="s">
        <v>1981</v>
      </c>
      <c r="C251" s="45"/>
      <c r="D251" s="45"/>
      <c r="E251" s="45"/>
      <c r="F251" s="46"/>
      <c r="G251" s="250"/>
      <c r="H251" s="380"/>
      <c r="I251" s="15"/>
      <c r="J251" s="85"/>
      <c r="K251" s="243"/>
      <c r="L251" s="15"/>
      <c r="M251" s="243"/>
      <c r="N251" s="243"/>
      <c r="O251" s="243"/>
      <c r="P251" s="243"/>
      <c r="Q251" s="243"/>
    </row>
    <row r="252" ht="15.75" customHeight="1">
      <c r="A252" s="243"/>
      <c r="B252" s="81">
        <v>1.0</v>
      </c>
      <c r="C252" s="81" t="s">
        <v>69</v>
      </c>
      <c r="D252" s="81">
        <v>75.0</v>
      </c>
      <c r="E252" s="428" t="s">
        <v>2419</v>
      </c>
      <c r="F252" s="56">
        <v>48.0</v>
      </c>
      <c r="G252" s="76">
        <f>IFERROR(__xludf.DUMMYFUNCTION("IFERROR(VLOOKUP(E252,IMPORTRANGE(""https://docs.google.com/spreadsheets/d/1xZyKy-UzMmtPDLpV5jQdYum1LtbR8XKDuasLSjmBRMI/edit#gid=1241094406"",""COMBINED DATA!E3:K""),7,0))"),0.0995)</f>
        <v>0.0995</v>
      </c>
      <c r="H252" s="84">
        <f t="shared" ref="H252:H255" si="35">IFERROR(F252/G252,"")</f>
        <v>482.4120603</v>
      </c>
      <c r="I252" s="318">
        <v>48.0</v>
      </c>
      <c r="J252" s="85"/>
      <c r="K252" s="139"/>
      <c r="L252" s="15"/>
      <c r="M252" s="243"/>
      <c r="N252" s="243"/>
      <c r="O252" s="243"/>
      <c r="P252" s="243"/>
      <c r="Q252" s="243"/>
    </row>
    <row r="253" ht="15.75" customHeight="1">
      <c r="A253" s="243"/>
      <c r="B253" s="81">
        <v>2.0</v>
      </c>
      <c r="C253" s="149">
        <v>3.0</v>
      </c>
      <c r="D253" s="81">
        <v>90.0</v>
      </c>
      <c r="E253" s="429" t="s">
        <v>2422</v>
      </c>
      <c r="F253" s="56">
        <v>67.0</v>
      </c>
      <c r="G253" s="76">
        <f>IFERROR(__xludf.DUMMYFUNCTION("IFERROR(VLOOKUP(E253,IMPORTRANGE(""https://docs.google.com/spreadsheets/d/1xZyKy-UzMmtPDLpV5jQdYum1LtbR8XKDuasLSjmBRMI/edit#gid=1241094406"",""COMBINED DATA!E3:K""),7,0))"),0.138)</f>
        <v>0.138</v>
      </c>
      <c r="H253" s="84">
        <f t="shared" si="35"/>
        <v>485.5072464</v>
      </c>
      <c r="I253" s="318">
        <v>67.0</v>
      </c>
      <c r="J253" s="85"/>
      <c r="K253" s="139"/>
      <c r="L253" s="15"/>
      <c r="M253" s="243"/>
      <c r="N253" s="243"/>
      <c r="O253" s="243"/>
      <c r="P253" s="243"/>
      <c r="Q253" s="243"/>
    </row>
    <row r="254" ht="15.75" customHeight="1">
      <c r="A254" s="243"/>
      <c r="B254" s="81">
        <v>3.0</v>
      </c>
      <c r="C254" s="149">
        <v>4.0</v>
      </c>
      <c r="D254" s="81">
        <v>110.0</v>
      </c>
      <c r="E254" s="429" t="s">
        <v>2423</v>
      </c>
      <c r="F254" s="56">
        <v>88.0</v>
      </c>
      <c r="G254" s="76">
        <f>IFERROR(__xludf.DUMMYFUNCTION("IFERROR(VLOOKUP(E254,IMPORTRANGE(""https://docs.google.com/spreadsheets/d/1xZyKy-UzMmtPDLpV5jQdYum1LtbR8XKDuasLSjmBRMI/edit#gid=1241094406"",""COMBINED DATA!E3:K""),7,0))"),0.1797)</f>
        <v>0.1797</v>
      </c>
      <c r="H254" s="84">
        <f t="shared" si="35"/>
        <v>489.705064</v>
      </c>
      <c r="I254" s="318">
        <v>88.0</v>
      </c>
      <c r="J254" s="85"/>
      <c r="K254" s="139"/>
      <c r="L254" s="15"/>
      <c r="M254" s="243"/>
      <c r="N254" s="243"/>
      <c r="O254" s="243"/>
      <c r="P254" s="243"/>
      <c r="Q254" s="243"/>
    </row>
    <row r="255" ht="15.75" customHeight="1">
      <c r="A255" s="243"/>
      <c r="B255" s="81">
        <v>4.0</v>
      </c>
      <c r="C255" s="149">
        <v>6.0</v>
      </c>
      <c r="D255" s="81">
        <v>160.0</v>
      </c>
      <c r="E255" s="429" t="s">
        <v>2424</v>
      </c>
      <c r="F255" s="56">
        <v>210.2</v>
      </c>
      <c r="G255" s="76">
        <f>IFERROR(__xludf.DUMMYFUNCTION("IFERROR(VLOOKUP(E255,IMPORTRANGE(""https://docs.google.com/spreadsheets/d/1xZyKy-UzMmtPDLpV5jQdYum1LtbR8XKDuasLSjmBRMI/edit#gid=1241094406"",""COMBINED DATA!E3:K""),7,0))"),0.4055)</f>
        <v>0.4055</v>
      </c>
      <c r="H255" s="84">
        <f t="shared" si="35"/>
        <v>518.3723798</v>
      </c>
      <c r="I255" s="318">
        <v>210.2</v>
      </c>
      <c r="J255" s="85"/>
      <c r="K255" s="139"/>
      <c r="L255" s="15"/>
      <c r="M255" s="243"/>
      <c r="N255" s="243"/>
      <c r="O255" s="243"/>
      <c r="P255" s="243"/>
      <c r="Q255" s="243"/>
    </row>
    <row r="256">
      <c r="A256" s="243"/>
      <c r="B256" s="102" t="s">
        <v>11</v>
      </c>
      <c r="C256" s="45"/>
      <c r="D256" s="45"/>
      <c r="E256" s="45"/>
      <c r="F256" s="103">
        <f>SUM(F252:F255)</f>
        <v>413.2</v>
      </c>
      <c r="G256" s="250"/>
      <c r="H256" s="380"/>
      <c r="I256" s="103">
        <f>SUM(I252:I255)</f>
        <v>413.2</v>
      </c>
      <c r="J256" s="85"/>
      <c r="K256" s="243"/>
      <c r="L256" s="15"/>
      <c r="M256" s="243"/>
      <c r="N256" s="243"/>
      <c r="O256" s="243"/>
      <c r="P256" s="243"/>
      <c r="Q256" s="243"/>
    </row>
    <row r="257" ht="6.0" customHeight="1">
      <c r="A257" s="243"/>
      <c r="B257" s="15"/>
      <c r="C257" s="15"/>
      <c r="D257" s="15"/>
      <c r="E257" s="379"/>
      <c r="F257" s="15"/>
      <c r="G257" s="250"/>
      <c r="H257" s="380"/>
      <c r="I257" s="15"/>
      <c r="J257" s="85"/>
      <c r="K257" s="243"/>
      <c r="L257" s="15"/>
      <c r="M257" s="243"/>
      <c r="N257" s="243"/>
      <c r="O257" s="243"/>
      <c r="P257" s="243"/>
      <c r="Q257" s="243"/>
    </row>
    <row r="258" ht="22.5" customHeight="1">
      <c r="A258" s="243"/>
      <c r="B258" s="62" t="s">
        <v>1901</v>
      </c>
      <c r="C258" s="45"/>
      <c r="D258" s="45"/>
      <c r="E258" s="45"/>
      <c r="F258" s="46"/>
      <c r="G258" s="250"/>
      <c r="H258" s="380"/>
      <c r="I258" s="15"/>
      <c r="J258" s="85"/>
      <c r="K258" s="243"/>
      <c r="L258" s="15"/>
      <c r="M258" s="243"/>
      <c r="N258" s="243"/>
      <c r="O258" s="243"/>
      <c r="P258" s="243"/>
      <c r="Q258" s="243"/>
    </row>
    <row r="259" ht="15.75" customHeight="1">
      <c r="A259" s="243"/>
      <c r="B259" s="81">
        <v>1.0</v>
      </c>
      <c r="C259" s="81" t="s">
        <v>69</v>
      </c>
      <c r="D259" s="81">
        <v>75.0</v>
      </c>
      <c r="E259" s="428" t="s">
        <v>2431</v>
      </c>
      <c r="F259" s="181">
        <v>52.0</v>
      </c>
      <c r="G259" s="76">
        <f>IFERROR(__xludf.DUMMYFUNCTION("IFERROR(VLOOKUP(E259,IMPORTRANGE(""https://docs.google.com/spreadsheets/d/1xZyKy-UzMmtPDLpV5jQdYum1LtbR8XKDuasLSjmBRMI/edit#gid=1241094406"",""COMBINED DATA!E3:K""),7,0))"),0.098)</f>
        <v>0.098</v>
      </c>
      <c r="H259" s="84">
        <f t="shared" ref="H259:H262" si="36">IFERROR(F259/G259,"")</f>
        <v>530.6122449</v>
      </c>
      <c r="I259" s="388">
        <v>52.0</v>
      </c>
      <c r="J259" s="85"/>
      <c r="K259" s="139"/>
      <c r="L259" s="15"/>
      <c r="M259" s="243"/>
      <c r="N259" s="243"/>
      <c r="O259" s="243"/>
      <c r="P259" s="243"/>
      <c r="Q259" s="243"/>
    </row>
    <row r="260" ht="15.75" customHeight="1">
      <c r="A260" s="243"/>
      <c r="B260" s="81">
        <v>2.0</v>
      </c>
      <c r="C260" s="149">
        <v>3.0</v>
      </c>
      <c r="D260" s="81">
        <v>90.0</v>
      </c>
      <c r="E260" s="429" t="s">
        <v>2435</v>
      </c>
      <c r="F260" s="181">
        <v>72.0</v>
      </c>
      <c r="G260" s="76">
        <f>IFERROR(__xludf.DUMMYFUNCTION("IFERROR(VLOOKUP(E260,IMPORTRANGE(""https://docs.google.com/spreadsheets/d/1xZyKy-UzMmtPDLpV5jQdYum1LtbR8XKDuasLSjmBRMI/edit#gid=1241094406"",""COMBINED DATA!E3:K""),7,0))"),0.137)</f>
        <v>0.137</v>
      </c>
      <c r="H260" s="84">
        <f t="shared" si="36"/>
        <v>525.5474453</v>
      </c>
      <c r="I260" s="388">
        <v>72.0</v>
      </c>
      <c r="J260" s="85"/>
      <c r="K260" s="139"/>
      <c r="L260" s="15"/>
      <c r="M260" s="243"/>
      <c r="N260" s="243"/>
      <c r="O260" s="243"/>
      <c r="P260" s="243"/>
      <c r="Q260" s="243"/>
    </row>
    <row r="261" ht="15.75" customHeight="1">
      <c r="A261" s="243"/>
      <c r="B261" s="81">
        <v>3.0</v>
      </c>
      <c r="C261" s="149">
        <v>4.0</v>
      </c>
      <c r="D261" s="81">
        <v>110.0</v>
      </c>
      <c r="E261" s="429" t="s">
        <v>2436</v>
      </c>
      <c r="F261" s="181">
        <v>94.0</v>
      </c>
      <c r="G261" s="76">
        <f>IFERROR(__xludf.DUMMYFUNCTION("IFERROR(VLOOKUP(E261,IMPORTRANGE(""https://docs.google.com/spreadsheets/d/1xZyKy-UzMmtPDLpV5jQdYum1LtbR8XKDuasLSjmBRMI/edit#gid=1241094406"",""COMBINED DATA!E3:K""),7,0))"),0.177)</f>
        <v>0.177</v>
      </c>
      <c r="H261" s="84">
        <f t="shared" si="36"/>
        <v>531.0734463</v>
      </c>
      <c r="I261" s="388">
        <v>94.0</v>
      </c>
      <c r="J261" s="85"/>
      <c r="K261" s="139"/>
      <c r="L261" s="15"/>
      <c r="M261" s="243"/>
      <c r="N261" s="243"/>
      <c r="O261" s="243"/>
      <c r="P261" s="243"/>
      <c r="Q261" s="243"/>
    </row>
    <row r="262" ht="15.75" customHeight="1">
      <c r="A262" s="243"/>
      <c r="B262" s="81">
        <v>4.0</v>
      </c>
      <c r="C262" s="149">
        <v>6.0</v>
      </c>
      <c r="D262" s="81">
        <v>160.0</v>
      </c>
      <c r="E262" s="429" t="s">
        <v>2438</v>
      </c>
      <c r="F262" s="181">
        <v>198.0</v>
      </c>
      <c r="G262" s="76">
        <f>IFERROR(__xludf.DUMMYFUNCTION("IFERROR(VLOOKUP(E262,IMPORTRANGE(""https://docs.google.com/spreadsheets/d/1xZyKy-UzMmtPDLpV5jQdYum1LtbR8XKDuasLSjmBRMI/edit#gid=1241094406"",""COMBINED DATA!E3:K""),7,0))"),0.0)</f>
        <v>0</v>
      </c>
      <c r="H262" s="84" t="str">
        <f t="shared" si="36"/>
        <v/>
      </c>
      <c r="I262" s="388">
        <v>198.0</v>
      </c>
      <c r="J262" s="85"/>
      <c r="K262" s="139"/>
      <c r="L262" s="15"/>
      <c r="M262" s="243"/>
      <c r="N262" s="243"/>
      <c r="O262" s="243"/>
      <c r="P262" s="243"/>
      <c r="Q262" s="243"/>
    </row>
    <row r="263">
      <c r="A263" s="243"/>
      <c r="B263" s="102" t="s">
        <v>11</v>
      </c>
      <c r="C263" s="45"/>
      <c r="D263" s="45"/>
      <c r="E263" s="45"/>
      <c r="F263" s="103">
        <f>SUM(F259:F262)</f>
        <v>416</v>
      </c>
      <c r="G263" s="250"/>
      <c r="H263" s="380"/>
      <c r="I263" s="103">
        <f>SUM(I259:I262)</f>
        <v>416</v>
      </c>
      <c r="J263" s="85"/>
      <c r="K263" s="243"/>
      <c r="L263" s="15"/>
      <c r="M263" s="243"/>
      <c r="N263" s="243"/>
      <c r="O263" s="243"/>
      <c r="P263" s="243"/>
      <c r="Q263" s="243"/>
    </row>
    <row r="264" ht="4.5" customHeight="1">
      <c r="A264" s="243"/>
      <c r="B264" s="15"/>
      <c r="C264" s="15"/>
      <c r="D264" s="15"/>
      <c r="E264" s="379"/>
      <c r="F264" s="15"/>
      <c r="G264" s="250"/>
      <c r="H264" s="380"/>
      <c r="I264" s="15"/>
      <c r="J264" s="85"/>
      <c r="K264" s="243"/>
      <c r="L264" s="15"/>
      <c r="M264" s="243"/>
      <c r="N264" s="243"/>
      <c r="O264" s="243"/>
      <c r="P264" s="243"/>
      <c r="Q264" s="243"/>
    </row>
    <row r="265" ht="22.5" customHeight="1">
      <c r="A265" s="243"/>
      <c r="B265" s="62" t="s">
        <v>172</v>
      </c>
      <c r="C265" s="45"/>
      <c r="D265" s="45"/>
      <c r="E265" s="45"/>
      <c r="F265" s="46"/>
      <c r="G265" s="250"/>
      <c r="H265" s="380"/>
      <c r="I265" s="15"/>
      <c r="J265" s="85"/>
      <c r="K265" s="243"/>
      <c r="L265" s="15"/>
      <c r="M265" s="243"/>
      <c r="N265" s="243"/>
      <c r="O265" s="243"/>
      <c r="P265" s="243"/>
      <c r="Q265" s="243"/>
    </row>
    <row r="266" ht="15.75" customHeight="1">
      <c r="A266" s="243"/>
      <c r="B266" s="81">
        <v>1.0</v>
      </c>
      <c r="C266" s="81" t="s">
        <v>69</v>
      </c>
      <c r="D266" s="81">
        <v>75.0</v>
      </c>
      <c r="E266" s="428" t="s">
        <v>2442</v>
      </c>
      <c r="F266" s="56">
        <v>123.0</v>
      </c>
      <c r="G266" s="76">
        <f>IFERROR(__xludf.DUMMYFUNCTION("IFERROR(VLOOKUP(E266,IMPORTRANGE(""https://docs.google.com/spreadsheets/d/1xZyKy-UzMmtPDLpV5jQdYum1LtbR8XKDuasLSjmBRMI/edit#gid=1241094406"",""COMBINED DATA!E3:K""),7,0))"),0.251)</f>
        <v>0.251</v>
      </c>
      <c r="H266" s="84">
        <f t="shared" ref="H266:H269" si="37">IFERROR(F266/G266,"")</f>
        <v>490.0398406</v>
      </c>
      <c r="I266" s="318">
        <v>123.0</v>
      </c>
      <c r="J266" s="85"/>
      <c r="K266" s="139"/>
      <c r="L266" s="15"/>
      <c r="M266" s="243"/>
      <c r="N266" s="243"/>
      <c r="O266" s="243"/>
      <c r="P266" s="243"/>
      <c r="Q266" s="243"/>
    </row>
    <row r="267" ht="15.75" customHeight="1">
      <c r="A267" s="243"/>
      <c r="B267" s="81">
        <v>2.0</v>
      </c>
      <c r="C267" s="149">
        <v>3.0</v>
      </c>
      <c r="D267" s="81">
        <v>90.0</v>
      </c>
      <c r="E267" s="429" t="s">
        <v>2444</v>
      </c>
      <c r="F267" s="56">
        <v>160.0</v>
      </c>
      <c r="G267" s="76">
        <f>IFERROR(__xludf.DUMMYFUNCTION("IFERROR(VLOOKUP(E267,IMPORTRANGE(""https://docs.google.com/spreadsheets/d/1xZyKy-UzMmtPDLpV5jQdYum1LtbR8XKDuasLSjmBRMI/edit#gid=1241094406"",""COMBINED DATA!E3:K""),7,0))"),0.324)</f>
        <v>0.324</v>
      </c>
      <c r="H267" s="84">
        <f t="shared" si="37"/>
        <v>493.8271605</v>
      </c>
      <c r="I267" s="318">
        <v>160.0</v>
      </c>
      <c r="J267" s="85"/>
      <c r="K267" s="139"/>
      <c r="L267" s="15"/>
      <c r="M267" s="243"/>
      <c r="N267" s="243"/>
      <c r="O267" s="243"/>
      <c r="P267" s="243"/>
      <c r="Q267" s="243"/>
    </row>
    <row r="268" ht="15.75" customHeight="1">
      <c r="A268" s="243"/>
      <c r="B268" s="81">
        <v>3.0</v>
      </c>
      <c r="C268" s="149">
        <v>4.0</v>
      </c>
      <c r="D268" s="81">
        <v>110.0</v>
      </c>
      <c r="E268" s="429" t="s">
        <v>2445</v>
      </c>
      <c r="F268" s="56">
        <v>222.0</v>
      </c>
      <c r="G268" s="76">
        <f>IFERROR(__xludf.DUMMYFUNCTION("IFERROR(VLOOKUP(E268,IMPORTRANGE(""https://docs.google.com/spreadsheets/d/1xZyKy-UzMmtPDLpV5jQdYum1LtbR8XKDuasLSjmBRMI/edit#gid=1241094406"",""COMBINED DATA!E3:K""),7,0))"),0.4525)</f>
        <v>0.4525</v>
      </c>
      <c r="H268" s="84">
        <f t="shared" si="37"/>
        <v>490.6077348</v>
      </c>
      <c r="I268" s="318">
        <v>222.0</v>
      </c>
      <c r="J268" s="85"/>
      <c r="K268" s="139"/>
      <c r="L268" s="15"/>
      <c r="M268" s="243"/>
      <c r="N268" s="243"/>
      <c r="O268" s="243"/>
      <c r="P268" s="243"/>
      <c r="Q268" s="243"/>
    </row>
    <row r="269" ht="15.75" customHeight="1">
      <c r="A269" s="243"/>
      <c r="B269" s="81">
        <v>4.0</v>
      </c>
      <c r="C269" s="149">
        <v>6.0</v>
      </c>
      <c r="D269" s="81">
        <v>160.0</v>
      </c>
      <c r="E269" s="429" t="s">
        <v>2447</v>
      </c>
      <c r="F269" s="56">
        <v>564.0</v>
      </c>
      <c r="G269" s="76">
        <f>IFERROR(__xludf.DUMMYFUNCTION("IFERROR(VLOOKUP(E269,IMPORTRANGE(""https://docs.google.com/spreadsheets/d/1xZyKy-UzMmtPDLpV5jQdYum1LtbR8XKDuasLSjmBRMI/edit#gid=1241094406"",""COMBINED DATA!E3:K""),7,0))"),1.151)</f>
        <v>1.151</v>
      </c>
      <c r="H269" s="84">
        <f t="shared" si="37"/>
        <v>490.0086881</v>
      </c>
      <c r="I269" s="318">
        <v>564.0</v>
      </c>
      <c r="J269" s="85"/>
      <c r="K269" s="139"/>
      <c r="L269" s="15"/>
      <c r="M269" s="243"/>
      <c r="N269" s="243"/>
      <c r="O269" s="243"/>
      <c r="P269" s="243"/>
      <c r="Q269" s="243"/>
    </row>
    <row r="270">
      <c r="A270" s="243"/>
      <c r="B270" s="102" t="s">
        <v>11</v>
      </c>
      <c r="C270" s="45"/>
      <c r="D270" s="45"/>
      <c r="E270" s="45"/>
      <c r="F270" s="103">
        <f>SUM(F266:F269)</f>
        <v>1069</v>
      </c>
      <c r="G270" s="250"/>
      <c r="H270" s="380"/>
      <c r="I270" s="103">
        <f>SUM(I266:I269)</f>
        <v>1069</v>
      </c>
      <c r="J270" s="85"/>
      <c r="K270" s="243"/>
      <c r="L270" s="15"/>
      <c r="M270" s="243"/>
      <c r="N270" s="243"/>
      <c r="O270" s="243"/>
      <c r="P270" s="243"/>
      <c r="Q270" s="243"/>
    </row>
    <row r="271" ht="6.0" customHeight="1">
      <c r="A271" s="243"/>
      <c r="B271" s="15"/>
      <c r="C271" s="15"/>
      <c r="D271" s="15"/>
      <c r="E271" s="379"/>
      <c r="F271" s="15"/>
      <c r="G271" s="250"/>
      <c r="H271" s="380"/>
      <c r="I271" s="15"/>
      <c r="J271" s="85"/>
      <c r="K271" s="243"/>
      <c r="L271" s="15"/>
      <c r="M271" s="243"/>
      <c r="N271" s="243"/>
      <c r="O271" s="243"/>
      <c r="P271" s="243"/>
      <c r="Q271" s="243"/>
    </row>
    <row r="272" ht="22.5" customHeight="1">
      <c r="A272" s="243"/>
      <c r="B272" s="62" t="s">
        <v>2449</v>
      </c>
      <c r="C272" s="45"/>
      <c r="D272" s="45"/>
      <c r="E272" s="45"/>
      <c r="F272" s="46"/>
      <c r="G272" s="250"/>
      <c r="H272" s="380"/>
      <c r="I272" s="15"/>
      <c r="J272" s="85"/>
      <c r="K272" s="243"/>
      <c r="L272" s="15"/>
      <c r="M272" s="243"/>
      <c r="N272" s="243"/>
      <c r="O272" s="243"/>
      <c r="P272" s="243"/>
      <c r="Q272" s="243"/>
    </row>
    <row r="273" ht="15.75" customHeight="1">
      <c r="A273" s="243"/>
      <c r="B273" s="81">
        <v>1.0</v>
      </c>
      <c r="C273" s="81" t="s">
        <v>69</v>
      </c>
      <c r="D273" s="81">
        <v>75.0</v>
      </c>
      <c r="E273" s="428" t="s">
        <v>2450</v>
      </c>
      <c r="F273" s="181">
        <v>138.0</v>
      </c>
      <c r="G273" s="76">
        <f>IFERROR(__xludf.DUMMYFUNCTION("IFERROR(VLOOKUP(E273,IMPORTRANGE(""https://docs.google.com/spreadsheets/d/1xZyKy-UzMmtPDLpV5jQdYum1LtbR8XKDuasLSjmBRMI/edit#gid=1241094406"",""COMBINED DATA!E3:K""),7,0))"),0.269)</f>
        <v>0.269</v>
      </c>
      <c r="H273" s="84">
        <f t="shared" ref="H273:H276" si="38">IFERROR(F273/G273,"")</f>
        <v>513.0111524</v>
      </c>
      <c r="I273" s="318">
        <v>138.0</v>
      </c>
      <c r="J273" s="85"/>
      <c r="K273" s="139"/>
      <c r="L273" s="15"/>
      <c r="M273" s="243"/>
      <c r="N273" s="243"/>
      <c r="O273" s="243"/>
      <c r="P273" s="243"/>
      <c r="Q273" s="243"/>
    </row>
    <row r="274" ht="15.75" customHeight="1">
      <c r="A274" s="243"/>
      <c r="B274" s="81">
        <v>2.0</v>
      </c>
      <c r="C274" s="149">
        <v>3.0</v>
      </c>
      <c r="D274" s="81">
        <v>90.0</v>
      </c>
      <c r="E274" s="429" t="s">
        <v>2453</v>
      </c>
      <c r="F274" s="181">
        <v>178.0</v>
      </c>
      <c r="G274" s="76">
        <f>IFERROR(__xludf.DUMMYFUNCTION("IFERROR(VLOOKUP(E274,IMPORTRANGE(""https://docs.google.com/spreadsheets/d/1xZyKy-UzMmtPDLpV5jQdYum1LtbR8XKDuasLSjmBRMI/edit#gid=1241094406"",""COMBINED DATA!E3:K""),7,0))"),0.339)</f>
        <v>0.339</v>
      </c>
      <c r="H274" s="84">
        <f t="shared" si="38"/>
        <v>525.0737463</v>
      </c>
      <c r="I274" s="318">
        <v>178.0</v>
      </c>
      <c r="J274" s="85"/>
      <c r="K274" s="139"/>
      <c r="L274" s="15"/>
      <c r="M274" s="243"/>
      <c r="N274" s="243"/>
      <c r="O274" s="243"/>
      <c r="P274" s="243"/>
      <c r="Q274" s="243"/>
    </row>
    <row r="275" ht="15.75" customHeight="1">
      <c r="A275" s="243"/>
      <c r="B275" s="81">
        <v>3.0</v>
      </c>
      <c r="C275" s="149">
        <v>4.0</v>
      </c>
      <c r="D275" s="81">
        <v>110.0</v>
      </c>
      <c r="E275" s="429" t="s">
        <v>2454</v>
      </c>
      <c r="F275" s="181">
        <v>248.0</v>
      </c>
      <c r="G275" s="76">
        <f>IFERROR(__xludf.DUMMYFUNCTION("IFERROR(VLOOKUP(E275,IMPORTRANGE(""https://docs.google.com/spreadsheets/d/1xZyKy-UzMmtPDLpV5jQdYum1LtbR8XKDuasLSjmBRMI/edit#gid=1241094406"",""COMBINED DATA!E3:K""),7,0))"),0.485)</f>
        <v>0.485</v>
      </c>
      <c r="H275" s="84">
        <f t="shared" si="38"/>
        <v>511.3402062</v>
      </c>
      <c r="I275" s="318">
        <v>248.0</v>
      </c>
      <c r="J275" s="85"/>
      <c r="K275" s="139"/>
      <c r="L275" s="15"/>
      <c r="M275" s="243"/>
      <c r="N275" s="243"/>
      <c r="O275" s="243"/>
      <c r="P275" s="243"/>
      <c r="Q275" s="243"/>
    </row>
    <row r="276" ht="15.75" customHeight="1">
      <c r="A276" s="243"/>
      <c r="B276" s="81">
        <v>4.0</v>
      </c>
      <c r="C276" s="149">
        <v>6.0</v>
      </c>
      <c r="D276" s="81">
        <v>160.0</v>
      </c>
      <c r="E276" s="429" t="s">
        <v>2456</v>
      </c>
      <c r="F276" s="181">
        <v>585.0</v>
      </c>
      <c r="G276" s="76">
        <f>IFERROR(__xludf.DUMMYFUNCTION("IFERROR(VLOOKUP(E276,IMPORTRANGE(""https://docs.google.com/spreadsheets/d/1xZyKy-UzMmtPDLpV5jQdYum1LtbR8XKDuasLSjmBRMI/edit#gid=1241094406"",""COMBINED DATA!E3:K""),7,0))"),1.142)</f>
        <v>1.142</v>
      </c>
      <c r="H276" s="84">
        <f t="shared" si="38"/>
        <v>512.2591944</v>
      </c>
      <c r="I276" s="318">
        <v>585.0</v>
      </c>
      <c r="J276" s="85"/>
      <c r="K276" s="139"/>
      <c r="L276" s="15"/>
      <c r="M276" s="243"/>
      <c r="N276" s="243"/>
      <c r="O276" s="243"/>
      <c r="P276" s="243"/>
      <c r="Q276" s="243"/>
    </row>
    <row r="277">
      <c r="A277" s="243"/>
      <c r="B277" s="102" t="s">
        <v>11</v>
      </c>
      <c r="C277" s="45"/>
      <c r="D277" s="45"/>
      <c r="E277" s="45"/>
      <c r="F277" s="103">
        <f>SUM(F273:F276)</f>
        <v>1149</v>
      </c>
      <c r="G277" s="250"/>
      <c r="H277" s="380"/>
      <c r="I277" s="103">
        <f>SUM(I273:I276)</f>
        <v>1149</v>
      </c>
      <c r="J277" s="85"/>
      <c r="K277" s="243"/>
      <c r="L277" s="15"/>
      <c r="M277" s="243"/>
      <c r="N277" s="243"/>
      <c r="O277" s="243"/>
      <c r="P277" s="243"/>
      <c r="Q277" s="243"/>
    </row>
    <row r="278" ht="6.0" customHeight="1">
      <c r="A278" s="243"/>
      <c r="B278" s="15"/>
      <c r="C278" s="15"/>
      <c r="D278" s="15"/>
      <c r="E278" s="379"/>
      <c r="F278" s="15"/>
      <c r="G278" s="250"/>
      <c r="H278" s="380"/>
      <c r="I278" s="15"/>
      <c r="J278" s="85"/>
      <c r="K278" s="243"/>
      <c r="L278" s="15"/>
      <c r="M278" s="243"/>
      <c r="N278" s="243"/>
      <c r="O278" s="243"/>
      <c r="P278" s="243"/>
      <c r="Q278" s="243"/>
    </row>
    <row r="279" ht="22.5" customHeight="1">
      <c r="A279" s="243"/>
      <c r="B279" s="62" t="s">
        <v>2125</v>
      </c>
      <c r="C279" s="45"/>
      <c r="D279" s="45"/>
      <c r="E279" s="45"/>
      <c r="F279" s="46"/>
      <c r="G279" s="250"/>
      <c r="H279" s="380"/>
      <c r="I279" s="15"/>
      <c r="J279" s="85"/>
      <c r="K279" s="243"/>
      <c r="L279" s="15"/>
      <c r="M279" s="243"/>
      <c r="N279" s="243"/>
      <c r="O279" s="243"/>
      <c r="P279" s="243"/>
      <c r="Q279" s="243"/>
    </row>
    <row r="280" ht="15.75" customHeight="1">
      <c r="A280" s="243"/>
      <c r="B280" s="81">
        <v>1.0</v>
      </c>
      <c r="C280" s="81" t="s">
        <v>69</v>
      </c>
      <c r="D280" s="81">
        <v>75.0</v>
      </c>
      <c r="E280" s="428" t="s">
        <v>2460</v>
      </c>
      <c r="F280" s="56">
        <v>152.0</v>
      </c>
      <c r="G280" s="76">
        <f>IFERROR(__xludf.DUMMYFUNCTION("IFERROR(VLOOKUP(E280,IMPORTRANGE(""https://docs.google.com/spreadsheets/d/1xZyKy-UzMmtPDLpV5jQdYum1LtbR8XKDuasLSjmBRMI/edit#gid=1241094406"",""COMBINED DATA!E3:K""),7,0))"),0.308)</f>
        <v>0.308</v>
      </c>
      <c r="H280" s="84">
        <f t="shared" ref="H280:H283" si="39">IFERROR(F280/G280,"")</f>
        <v>493.5064935</v>
      </c>
      <c r="I280" s="318">
        <v>152.0</v>
      </c>
      <c r="J280" s="85"/>
      <c r="K280" s="139"/>
      <c r="L280" s="15"/>
      <c r="M280" s="243"/>
      <c r="N280" s="243"/>
      <c r="O280" s="243"/>
      <c r="P280" s="243"/>
      <c r="Q280" s="243"/>
    </row>
    <row r="281" ht="15.75" customHeight="1">
      <c r="A281" s="243"/>
      <c r="B281" s="81">
        <v>2.0</v>
      </c>
      <c r="C281" s="149">
        <v>3.0</v>
      </c>
      <c r="D281" s="81">
        <v>90.0</v>
      </c>
      <c r="E281" s="429" t="s">
        <v>2462</v>
      </c>
      <c r="F281" s="56">
        <v>197.0</v>
      </c>
      <c r="G281" s="76">
        <f>IFERROR(__xludf.DUMMYFUNCTION("IFERROR(VLOOKUP(E281,IMPORTRANGE(""https://docs.google.com/spreadsheets/d/1xZyKy-UzMmtPDLpV5jQdYum1LtbR8XKDuasLSjmBRMI/edit#gid=1241094406"",""COMBINED DATA!E3:K""),7,0))"),0.401)</f>
        <v>0.401</v>
      </c>
      <c r="H281" s="84">
        <f t="shared" si="39"/>
        <v>491.2718204</v>
      </c>
      <c r="I281" s="318">
        <v>197.0</v>
      </c>
      <c r="J281" s="85"/>
      <c r="K281" s="139"/>
      <c r="L281" s="15"/>
      <c r="M281" s="243"/>
      <c r="N281" s="243"/>
      <c r="O281" s="243"/>
      <c r="P281" s="243"/>
      <c r="Q281" s="243"/>
    </row>
    <row r="282" ht="15.75" customHeight="1">
      <c r="A282" s="243"/>
      <c r="B282" s="81">
        <v>3.0</v>
      </c>
      <c r="C282" s="149">
        <v>4.0</v>
      </c>
      <c r="D282" s="81">
        <v>110.0</v>
      </c>
      <c r="E282" s="429" t="s">
        <v>2465</v>
      </c>
      <c r="F282" s="56">
        <v>284.0</v>
      </c>
      <c r="G282" s="76">
        <f>IFERROR(__xludf.DUMMYFUNCTION("IFERROR(VLOOKUP(E282,IMPORTRANGE(""https://docs.google.com/spreadsheets/d/1xZyKy-UzMmtPDLpV5jQdYum1LtbR8XKDuasLSjmBRMI/edit#gid=1241094406"",""COMBINED DATA!E3:K""),7,0))"),0.6)</f>
        <v>0.6</v>
      </c>
      <c r="H282" s="84">
        <f t="shared" si="39"/>
        <v>473.3333333</v>
      </c>
      <c r="I282" s="318">
        <v>284.0</v>
      </c>
      <c r="J282" s="85"/>
      <c r="K282" s="139"/>
      <c r="L282" s="15"/>
      <c r="M282" s="243"/>
      <c r="N282" s="243"/>
      <c r="O282" s="243"/>
      <c r="P282" s="243"/>
      <c r="Q282" s="243"/>
    </row>
    <row r="283" ht="15.75" customHeight="1">
      <c r="A283" s="243"/>
      <c r="B283" s="81">
        <v>4.0</v>
      </c>
      <c r="C283" s="149">
        <v>6.0</v>
      </c>
      <c r="D283" s="81">
        <v>160.0</v>
      </c>
      <c r="E283" s="429" t="s">
        <v>2466</v>
      </c>
      <c r="F283" s="56">
        <v>738.0</v>
      </c>
      <c r="G283" s="76">
        <f>IFERROR(__xludf.DUMMYFUNCTION("IFERROR(VLOOKUP(E283,IMPORTRANGE(""https://docs.google.com/spreadsheets/d/1xZyKy-UzMmtPDLpV5jQdYum1LtbR8XKDuasLSjmBRMI/edit#gid=1241094406"",""COMBINED DATA!E3:K""),7,0))"),1.513)</f>
        <v>1.513</v>
      </c>
      <c r="H283" s="84">
        <f t="shared" si="39"/>
        <v>487.7726371</v>
      </c>
      <c r="I283" s="318">
        <v>738.0</v>
      </c>
      <c r="J283" s="85"/>
      <c r="K283" s="139"/>
      <c r="L283" s="15"/>
      <c r="M283" s="243"/>
      <c r="N283" s="243"/>
      <c r="O283" s="243"/>
      <c r="P283" s="243"/>
      <c r="Q283" s="243"/>
    </row>
    <row r="284">
      <c r="A284" s="243"/>
      <c r="B284" s="102" t="s">
        <v>11</v>
      </c>
      <c r="C284" s="45"/>
      <c r="D284" s="45"/>
      <c r="E284" s="45"/>
      <c r="F284" s="103">
        <f>SUM(F280:F283)</f>
        <v>1371</v>
      </c>
      <c r="G284" s="250"/>
      <c r="H284" s="380"/>
      <c r="I284" s="103">
        <f>SUM(I280:I283)</f>
        <v>1371</v>
      </c>
      <c r="J284" s="85"/>
      <c r="K284" s="243"/>
      <c r="L284" s="15"/>
      <c r="M284" s="243"/>
      <c r="N284" s="243"/>
      <c r="O284" s="243"/>
      <c r="P284" s="243"/>
      <c r="Q284" s="243"/>
    </row>
    <row r="285" ht="6.0" customHeight="1">
      <c r="A285" s="243"/>
      <c r="B285" s="15"/>
      <c r="C285" s="15"/>
      <c r="D285" s="15"/>
      <c r="E285" s="379"/>
      <c r="F285" s="15"/>
      <c r="G285" s="250"/>
      <c r="H285" s="380"/>
      <c r="I285" s="15"/>
      <c r="J285" s="85"/>
      <c r="K285" s="243"/>
      <c r="L285" s="15"/>
      <c r="M285" s="243"/>
      <c r="N285" s="243"/>
      <c r="O285" s="243"/>
      <c r="P285" s="243"/>
      <c r="Q285" s="243"/>
    </row>
    <row r="286" ht="22.5" customHeight="1">
      <c r="A286" s="243"/>
      <c r="B286" s="62" t="s">
        <v>2048</v>
      </c>
      <c r="C286" s="45"/>
      <c r="D286" s="45"/>
      <c r="E286" s="45"/>
      <c r="F286" s="46"/>
      <c r="G286" s="250"/>
      <c r="H286" s="380"/>
      <c r="I286" s="15"/>
      <c r="J286" s="85"/>
      <c r="K286" s="243"/>
      <c r="L286" s="15"/>
      <c r="M286" s="243"/>
      <c r="N286" s="243"/>
      <c r="O286" s="243"/>
      <c r="P286" s="243"/>
      <c r="Q286" s="243"/>
    </row>
    <row r="287" ht="15.75" customHeight="1">
      <c r="A287" s="243"/>
      <c r="B287" s="81">
        <v>1.0</v>
      </c>
      <c r="C287" s="81" t="s">
        <v>69</v>
      </c>
      <c r="D287" s="81">
        <v>75.0</v>
      </c>
      <c r="E287" s="428" t="s">
        <v>2471</v>
      </c>
      <c r="F287" s="181">
        <v>162.0</v>
      </c>
      <c r="G287" s="76">
        <f>IFERROR(__xludf.DUMMYFUNCTION("IFERROR(VLOOKUP(E287,IMPORTRANGE(""https://docs.google.com/spreadsheets/d/1xZyKy-UzMmtPDLpV5jQdYum1LtbR8XKDuasLSjmBRMI/edit#gid=1241094406"",""COMBINED DATA!E3:K""),7,0))"),0.317)</f>
        <v>0.317</v>
      </c>
      <c r="H287" s="84">
        <f t="shared" ref="H287:H290" si="40">IFERROR(F287/G287,"")</f>
        <v>511.0410095</v>
      </c>
      <c r="I287" s="388">
        <v>162.0</v>
      </c>
      <c r="J287" s="85"/>
      <c r="K287" s="88"/>
      <c r="L287" s="15"/>
      <c r="M287" s="243"/>
      <c r="N287" s="243"/>
      <c r="O287" s="243"/>
      <c r="P287" s="243"/>
      <c r="Q287" s="243"/>
    </row>
    <row r="288" ht="15.75" customHeight="1">
      <c r="A288" s="243"/>
      <c r="B288" s="81">
        <v>2.0</v>
      </c>
      <c r="C288" s="149">
        <v>3.0</v>
      </c>
      <c r="D288" s="81">
        <v>90.0</v>
      </c>
      <c r="E288" s="429" t="s">
        <v>2475</v>
      </c>
      <c r="F288" s="181">
        <v>218.0</v>
      </c>
      <c r="G288" s="76">
        <f>IFERROR(__xludf.DUMMYFUNCTION("IFERROR(VLOOKUP(E288,IMPORTRANGE(""https://docs.google.com/spreadsheets/d/1xZyKy-UzMmtPDLpV5jQdYum1LtbR8XKDuasLSjmBRMI/edit#gid=1241094406"",""COMBINED DATA!E3:K""),7,0))"),0.412)</f>
        <v>0.412</v>
      </c>
      <c r="H288" s="84">
        <f t="shared" si="40"/>
        <v>529.1262136</v>
      </c>
      <c r="I288" s="388">
        <v>218.0</v>
      </c>
      <c r="J288" s="85"/>
      <c r="K288" s="88"/>
      <c r="L288" s="15"/>
      <c r="M288" s="243"/>
      <c r="N288" s="243"/>
      <c r="O288" s="243"/>
      <c r="P288" s="243"/>
      <c r="Q288" s="243"/>
    </row>
    <row r="289" ht="15.75" customHeight="1">
      <c r="A289" s="243"/>
      <c r="B289" s="81">
        <v>3.0</v>
      </c>
      <c r="C289" s="149">
        <v>4.0</v>
      </c>
      <c r="D289" s="81">
        <v>110.0</v>
      </c>
      <c r="E289" s="429" t="s">
        <v>2480</v>
      </c>
      <c r="F289" s="181">
        <v>318.0</v>
      </c>
      <c r="G289" s="76">
        <f>IFERROR(__xludf.DUMMYFUNCTION("IFERROR(VLOOKUP(E289,IMPORTRANGE(""https://docs.google.com/spreadsheets/d/1xZyKy-UzMmtPDLpV5jQdYum1LtbR8XKDuasLSjmBRMI/edit#gid=1241094406"",""COMBINED DATA!E3:K""),7,0))"),0.614)</f>
        <v>0.614</v>
      </c>
      <c r="H289" s="84">
        <f t="shared" si="40"/>
        <v>517.9153094</v>
      </c>
      <c r="I289" s="388">
        <v>318.0</v>
      </c>
      <c r="J289" s="85"/>
      <c r="K289" s="88"/>
      <c r="L289" s="15"/>
      <c r="M289" s="243"/>
      <c r="N289" s="243"/>
      <c r="O289" s="243"/>
      <c r="P289" s="243"/>
      <c r="Q289" s="243"/>
    </row>
    <row r="290" ht="15.75" customHeight="1">
      <c r="A290" s="243"/>
      <c r="B290" s="81">
        <v>4.0</v>
      </c>
      <c r="C290" s="149">
        <v>6.0</v>
      </c>
      <c r="D290" s="81">
        <v>160.0</v>
      </c>
      <c r="E290" s="429" t="s">
        <v>2484</v>
      </c>
      <c r="F290" s="181">
        <v>778.0</v>
      </c>
      <c r="G290" s="76">
        <f>IFERROR(__xludf.DUMMYFUNCTION("IFERROR(VLOOKUP(E290,IMPORTRANGE(""https://docs.google.com/spreadsheets/d/1xZyKy-UzMmtPDLpV5jQdYum1LtbR8XKDuasLSjmBRMI/edit#gid=1241094406"",""COMBINED DATA!E3:K""),7,0))"),1.514)</f>
        <v>1.514</v>
      </c>
      <c r="H290" s="84">
        <f t="shared" si="40"/>
        <v>513.8705416</v>
      </c>
      <c r="I290" s="388">
        <v>778.0</v>
      </c>
      <c r="J290" s="85"/>
      <c r="K290" s="88"/>
      <c r="L290" s="15"/>
      <c r="M290" s="243"/>
      <c r="N290" s="243"/>
      <c r="O290" s="243"/>
      <c r="P290" s="243"/>
      <c r="Q290" s="243"/>
    </row>
    <row r="291">
      <c r="A291" s="243"/>
      <c r="B291" s="102" t="s">
        <v>11</v>
      </c>
      <c r="C291" s="45"/>
      <c r="D291" s="45"/>
      <c r="E291" s="45"/>
      <c r="F291" s="103">
        <f>SUM(F287:F290)</f>
        <v>1476</v>
      </c>
      <c r="G291" s="250"/>
      <c r="H291" s="380"/>
      <c r="I291" s="103">
        <f>SUM(I287:I290)</f>
        <v>1476</v>
      </c>
      <c r="J291" s="85"/>
      <c r="K291" s="243"/>
      <c r="L291" s="15"/>
      <c r="M291" s="243"/>
      <c r="N291" s="243"/>
      <c r="O291" s="243"/>
      <c r="P291" s="243"/>
      <c r="Q291" s="243"/>
    </row>
    <row r="292">
      <c r="A292" s="243"/>
      <c r="B292" s="15"/>
      <c r="C292" s="15"/>
      <c r="D292" s="15"/>
      <c r="E292" s="379"/>
      <c r="F292" s="15"/>
      <c r="G292" s="250"/>
      <c r="H292" s="380"/>
      <c r="I292" s="15"/>
      <c r="J292" s="31"/>
      <c r="K292" s="243"/>
      <c r="L292" s="15"/>
      <c r="M292" s="243"/>
      <c r="N292" s="243"/>
      <c r="O292" s="243"/>
      <c r="P292" s="243"/>
      <c r="Q292" s="243"/>
    </row>
    <row r="293">
      <c r="A293" s="243"/>
      <c r="B293" s="15"/>
      <c r="C293" s="15"/>
      <c r="D293" s="15"/>
      <c r="E293" s="379"/>
      <c r="F293" s="15"/>
      <c r="G293" s="250"/>
      <c r="H293" s="380"/>
      <c r="I293" s="15"/>
      <c r="J293" s="31"/>
      <c r="K293" s="243"/>
      <c r="L293" s="15"/>
      <c r="M293" s="243"/>
      <c r="N293" s="243"/>
      <c r="O293" s="243"/>
      <c r="P293" s="243"/>
      <c r="Q293" s="243"/>
    </row>
    <row r="294">
      <c r="A294" s="243"/>
      <c r="B294" s="15"/>
      <c r="C294" s="15"/>
      <c r="D294" s="15"/>
      <c r="E294" s="379"/>
      <c r="F294" s="15"/>
      <c r="G294" s="250"/>
      <c r="H294" s="380"/>
      <c r="I294" s="15"/>
      <c r="J294" s="31"/>
      <c r="K294" s="243"/>
      <c r="L294" s="15"/>
      <c r="M294" s="243"/>
      <c r="N294" s="243"/>
      <c r="O294" s="243"/>
      <c r="P294" s="243"/>
      <c r="Q294" s="243"/>
    </row>
    <row r="295">
      <c r="A295" s="243"/>
      <c r="B295" s="15"/>
      <c r="C295" s="15"/>
      <c r="D295" s="15"/>
      <c r="E295" s="379"/>
      <c r="F295" s="15"/>
      <c r="G295" s="250"/>
      <c r="H295" s="380"/>
      <c r="I295" s="15"/>
      <c r="J295" s="31"/>
      <c r="K295" s="243"/>
      <c r="L295" s="15"/>
      <c r="M295" s="243"/>
      <c r="N295" s="243"/>
      <c r="O295" s="243"/>
      <c r="P295" s="243"/>
      <c r="Q295" s="243"/>
    </row>
    <row r="296">
      <c r="A296" s="243"/>
      <c r="B296" s="15"/>
      <c r="C296" s="15"/>
      <c r="D296" s="15"/>
      <c r="E296" s="379"/>
      <c r="F296" s="15"/>
      <c r="G296" s="250"/>
      <c r="H296" s="380"/>
      <c r="I296" s="15"/>
      <c r="J296" s="31"/>
      <c r="K296" s="243"/>
      <c r="L296" s="15"/>
      <c r="M296" s="243"/>
      <c r="N296" s="243"/>
      <c r="O296" s="243"/>
      <c r="P296" s="243"/>
      <c r="Q296" s="243"/>
    </row>
    <row r="297">
      <c r="A297" s="243"/>
      <c r="B297" s="15"/>
      <c r="C297" s="15"/>
      <c r="D297" s="15"/>
      <c r="E297" s="379"/>
      <c r="F297" s="15"/>
      <c r="G297" s="250"/>
      <c r="H297" s="380"/>
      <c r="I297" s="15"/>
      <c r="J297" s="31"/>
      <c r="K297" s="243"/>
      <c r="L297" s="15"/>
      <c r="M297" s="243"/>
      <c r="N297" s="243"/>
      <c r="O297" s="243"/>
      <c r="P297" s="243"/>
      <c r="Q297" s="243"/>
    </row>
    <row r="298">
      <c r="A298" s="243"/>
      <c r="B298" s="15"/>
      <c r="C298" s="15"/>
      <c r="D298" s="15"/>
      <c r="E298" s="379"/>
      <c r="F298" s="15"/>
      <c r="G298" s="250"/>
      <c r="H298" s="380"/>
      <c r="I298" s="15"/>
      <c r="J298" s="31"/>
      <c r="K298" s="243"/>
      <c r="L298" s="15"/>
      <c r="M298" s="243"/>
      <c r="N298" s="243"/>
      <c r="O298" s="243"/>
      <c r="P298" s="243"/>
      <c r="Q298" s="243"/>
    </row>
    <row r="299">
      <c r="A299" s="243"/>
      <c r="B299" s="15"/>
      <c r="C299" s="15"/>
      <c r="D299" s="15"/>
      <c r="E299" s="379"/>
      <c r="F299" s="15"/>
      <c r="G299" s="250"/>
      <c r="H299" s="380"/>
      <c r="I299" s="15"/>
      <c r="J299" s="31"/>
      <c r="K299" s="243"/>
      <c r="L299" s="15"/>
      <c r="M299" s="243"/>
      <c r="N299" s="243"/>
      <c r="O299" s="243"/>
      <c r="P299" s="243"/>
      <c r="Q299" s="243"/>
    </row>
    <row r="300">
      <c r="A300" s="243"/>
      <c r="B300" s="15"/>
      <c r="C300" s="15"/>
      <c r="D300" s="15"/>
      <c r="E300" s="379"/>
      <c r="F300" s="15"/>
      <c r="G300" s="250"/>
      <c r="H300" s="380"/>
      <c r="I300" s="15"/>
      <c r="J300" s="31"/>
      <c r="K300" s="243"/>
      <c r="L300" s="15"/>
      <c r="M300" s="243"/>
      <c r="N300" s="243"/>
      <c r="O300" s="243"/>
      <c r="P300" s="243"/>
      <c r="Q300" s="243"/>
    </row>
    <row r="301">
      <c r="A301" s="243"/>
      <c r="B301" s="15"/>
      <c r="C301" s="15"/>
      <c r="D301" s="15"/>
      <c r="E301" s="379"/>
      <c r="F301" s="15"/>
      <c r="G301" s="250"/>
      <c r="H301" s="380"/>
      <c r="I301" s="15"/>
      <c r="J301" s="31"/>
      <c r="K301" s="243"/>
      <c r="L301" s="15"/>
      <c r="M301" s="243"/>
      <c r="N301" s="243"/>
      <c r="O301" s="243"/>
      <c r="P301" s="243"/>
      <c r="Q301" s="243"/>
    </row>
    <row r="302">
      <c r="A302" s="243"/>
      <c r="B302" s="15"/>
      <c r="C302" s="15"/>
      <c r="D302" s="15"/>
      <c r="E302" s="379"/>
      <c r="F302" s="15"/>
      <c r="G302" s="250"/>
      <c r="H302" s="380"/>
      <c r="I302" s="15"/>
      <c r="J302" s="31"/>
      <c r="K302" s="243"/>
      <c r="L302" s="15"/>
      <c r="M302" s="243"/>
      <c r="N302" s="243"/>
      <c r="O302" s="243"/>
      <c r="P302" s="243"/>
      <c r="Q302" s="243"/>
    </row>
    <row r="303">
      <c r="A303" s="243"/>
      <c r="B303" s="15"/>
      <c r="C303" s="15"/>
      <c r="D303" s="15"/>
      <c r="E303" s="379"/>
      <c r="F303" s="15"/>
      <c r="G303" s="250"/>
      <c r="H303" s="380"/>
      <c r="I303" s="15"/>
      <c r="J303" s="31"/>
      <c r="K303" s="243"/>
      <c r="L303" s="15"/>
      <c r="M303" s="243"/>
      <c r="N303" s="243"/>
      <c r="O303" s="243"/>
      <c r="P303" s="243"/>
      <c r="Q303" s="243"/>
    </row>
    <row r="304">
      <c r="A304" s="243"/>
      <c r="B304" s="15"/>
      <c r="C304" s="15"/>
      <c r="D304" s="15"/>
      <c r="E304" s="379"/>
      <c r="F304" s="15"/>
      <c r="G304" s="250"/>
      <c r="H304" s="380"/>
      <c r="I304" s="15"/>
      <c r="J304" s="31"/>
      <c r="K304" s="243"/>
      <c r="L304" s="15"/>
      <c r="M304" s="243"/>
      <c r="N304" s="243"/>
      <c r="O304" s="243"/>
      <c r="P304" s="243"/>
      <c r="Q304" s="243"/>
    </row>
    <row r="305">
      <c r="A305" s="243"/>
      <c r="B305" s="15"/>
      <c r="C305" s="15"/>
      <c r="D305" s="15"/>
      <c r="E305" s="379"/>
      <c r="F305" s="15"/>
      <c r="G305" s="250"/>
      <c r="H305" s="380"/>
      <c r="I305" s="15"/>
      <c r="J305" s="31"/>
      <c r="K305" s="243"/>
      <c r="L305" s="15"/>
      <c r="M305" s="243"/>
      <c r="N305" s="243"/>
      <c r="O305" s="243"/>
      <c r="P305" s="243"/>
      <c r="Q305" s="243"/>
    </row>
    <row r="306">
      <c r="A306" s="243"/>
      <c r="B306" s="15"/>
      <c r="C306" s="15"/>
      <c r="D306" s="15"/>
      <c r="E306" s="379"/>
      <c r="F306" s="15"/>
      <c r="G306" s="250"/>
      <c r="H306" s="380"/>
      <c r="I306" s="15"/>
      <c r="J306" s="31"/>
      <c r="K306" s="243"/>
      <c r="L306" s="15"/>
      <c r="M306" s="243"/>
      <c r="N306" s="243"/>
      <c r="O306" s="243"/>
      <c r="P306" s="243"/>
      <c r="Q306" s="243"/>
    </row>
    <row r="307">
      <c r="A307" s="243"/>
      <c r="B307" s="15"/>
      <c r="C307" s="15"/>
      <c r="D307" s="15"/>
      <c r="E307" s="379"/>
      <c r="F307" s="15"/>
      <c r="G307" s="250"/>
      <c r="H307" s="380"/>
      <c r="I307" s="15"/>
      <c r="J307" s="31"/>
      <c r="K307" s="243"/>
      <c r="L307" s="15"/>
      <c r="M307" s="243"/>
      <c r="N307" s="243"/>
      <c r="O307" s="243"/>
      <c r="P307" s="243"/>
      <c r="Q307" s="243"/>
    </row>
    <row r="308">
      <c r="A308" s="243"/>
      <c r="B308" s="15"/>
      <c r="C308" s="15"/>
      <c r="D308" s="15"/>
      <c r="E308" s="379"/>
      <c r="F308" s="15"/>
      <c r="G308" s="250"/>
      <c r="H308" s="380"/>
      <c r="I308" s="15"/>
      <c r="J308" s="31"/>
      <c r="K308" s="243"/>
      <c r="L308" s="15"/>
      <c r="M308" s="243"/>
      <c r="N308" s="243"/>
      <c r="O308" s="243"/>
      <c r="P308" s="243"/>
      <c r="Q308" s="243"/>
    </row>
    <row r="309">
      <c r="A309" s="243"/>
      <c r="B309" s="15"/>
      <c r="C309" s="15"/>
      <c r="D309" s="15"/>
      <c r="E309" s="379"/>
      <c r="F309" s="15"/>
      <c r="G309" s="250"/>
      <c r="H309" s="380"/>
      <c r="I309" s="15"/>
      <c r="J309" s="31"/>
      <c r="K309" s="243"/>
      <c r="L309" s="15"/>
      <c r="M309" s="243"/>
      <c r="N309" s="243"/>
      <c r="O309" s="243"/>
      <c r="P309" s="243"/>
      <c r="Q309" s="243"/>
    </row>
    <row r="310">
      <c r="A310" s="243"/>
      <c r="B310" s="15"/>
      <c r="C310" s="15"/>
      <c r="D310" s="15"/>
      <c r="E310" s="379"/>
      <c r="F310" s="15"/>
      <c r="G310" s="250"/>
      <c r="H310" s="380"/>
      <c r="I310" s="15"/>
      <c r="J310" s="31"/>
      <c r="K310" s="243"/>
      <c r="L310" s="15"/>
      <c r="M310" s="243"/>
      <c r="N310" s="243"/>
      <c r="O310" s="243"/>
      <c r="P310" s="243"/>
      <c r="Q310" s="243"/>
    </row>
    <row r="311">
      <c r="A311" s="243"/>
      <c r="B311" s="15"/>
      <c r="C311" s="15"/>
      <c r="D311" s="15"/>
      <c r="E311" s="379"/>
      <c r="F311" s="15"/>
      <c r="G311" s="250"/>
      <c r="H311" s="380"/>
      <c r="I311" s="15"/>
      <c r="J311" s="31"/>
      <c r="K311" s="243"/>
      <c r="L311" s="15"/>
      <c r="M311" s="243"/>
      <c r="N311" s="243"/>
      <c r="O311" s="243"/>
      <c r="P311" s="243"/>
      <c r="Q311" s="243"/>
    </row>
    <row r="312">
      <c r="A312" s="243"/>
      <c r="B312" s="15"/>
      <c r="C312" s="15"/>
      <c r="D312" s="15"/>
      <c r="E312" s="379"/>
      <c r="F312" s="15"/>
      <c r="G312" s="250"/>
      <c r="H312" s="380"/>
      <c r="I312" s="15"/>
      <c r="J312" s="31"/>
      <c r="K312" s="243"/>
      <c r="L312" s="15"/>
      <c r="M312" s="243"/>
      <c r="N312" s="243"/>
      <c r="O312" s="243"/>
      <c r="P312" s="243"/>
      <c r="Q312" s="243"/>
    </row>
    <row r="313">
      <c r="A313" s="243"/>
      <c r="B313" s="15"/>
      <c r="C313" s="15"/>
      <c r="D313" s="15"/>
      <c r="E313" s="379"/>
      <c r="F313" s="15"/>
      <c r="G313" s="250"/>
      <c r="H313" s="380"/>
      <c r="I313" s="15"/>
      <c r="J313" s="31"/>
      <c r="K313" s="243"/>
      <c r="L313" s="15"/>
      <c r="M313" s="243"/>
      <c r="N313" s="243"/>
      <c r="O313" s="243"/>
      <c r="P313" s="243"/>
      <c r="Q313" s="243"/>
    </row>
    <row r="314">
      <c r="A314" s="243"/>
      <c r="B314" s="15"/>
      <c r="C314" s="15"/>
      <c r="D314" s="15"/>
      <c r="E314" s="379"/>
      <c r="F314" s="15"/>
      <c r="G314" s="250"/>
      <c r="H314" s="380"/>
      <c r="I314" s="15"/>
      <c r="J314" s="31"/>
      <c r="K314" s="243"/>
      <c r="L314" s="15"/>
      <c r="M314" s="243"/>
      <c r="N314" s="243"/>
      <c r="O314" s="243"/>
      <c r="P314" s="243"/>
      <c r="Q314" s="243"/>
    </row>
    <row r="315">
      <c r="A315" s="243"/>
      <c r="B315" s="15"/>
      <c r="C315" s="15"/>
      <c r="D315" s="15"/>
      <c r="E315" s="379"/>
      <c r="F315" s="15"/>
      <c r="G315" s="250"/>
      <c r="H315" s="380"/>
      <c r="I315" s="15"/>
      <c r="J315" s="31"/>
      <c r="K315" s="243"/>
      <c r="L315" s="15"/>
      <c r="M315" s="243"/>
      <c r="N315" s="243"/>
      <c r="O315" s="243"/>
      <c r="P315" s="243"/>
      <c r="Q315" s="243"/>
    </row>
    <row r="316">
      <c r="A316" s="243"/>
      <c r="B316" s="15"/>
      <c r="C316" s="15"/>
      <c r="D316" s="15"/>
      <c r="E316" s="379"/>
      <c r="F316" s="15"/>
      <c r="G316" s="250"/>
      <c r="H316" s="380"/>
      <c r="I316" s="15"/>
      <c r="J316" s="31"/>
      <c r="K316" s="243"/>
      <c r="L316" s="15"/>
      <c r="M316" s="243"/>
      <c r="N316" s="243"/>
      <c r="O316" s="243"/>
      <c r="P316" s="243"/>
      <c r="Q316" s="243"/>
    </row>
    <row r="317">
      <c r="A317" s="243"/>
      <c r="B317" s="15"/>
      <c r="C317" s="15"/>
      <c r="D317" s="15"/>
      <c r="E317" s="379"/>
      <c r="F317" s="15"/>
      <c r="G317" s="250"/>
      <c r="H317" s="380"/>
      <c r="I317" s="15"/>
      <c r="J317" s="31"/>
      <c r="K317" s="243"/>
      <c r="L317" s="15"/>
      <c r="M317" s="243"/>
      <c r="N317" s="243"/>
      <c r="O317" s="243"/>
      <c r="P317" s="243"/>
      <c r="Q317" s="243"/>
    </row>
    <row r="318">
      <c r="A318" s="243"/>
      <c r="B318" s="15"/>
      <c r="C318" s="15"/>
      <c r="D318" s="15"/>
      <c r="E318" s="379"/>
      <c r="F318" s="15"/>
      <c r="G318" s="250"/>
      <c r="H318" s="380"/>
      <c r="I318" s="15"/>
      <c r="J318" s="31"/>
      <c r="K318" s="243"/>
      <c r="L318" s="15"/>
      <c r="M318" s="243"/>
      <c r="N318" s="243"/>
      <c r="O318" s="243"/>
      <c r="P318" s="243"/>
      <c r="Q318" s="243"/>
    </row>
    <row r="319">
      <c r="A319" s="243"/>
      <c r="B319" s="15"/>
      <c r="C319" s="15"/>
      <c r="D319" s="15"/>
      <c r="E319" s="379"/>
      <c r="F319" s="15"/>
      <c r="G319" s="250"/>
      <c r="H319" s="380"/>
      <c r="I319" s="15"/>
      <c r="J319" s="31"/>
      <c r="K319" s="243"/>
      <c r="L319" s="15"/>
      <c r="M319" s="243"/>
      <c r="N319" s="243"/>
      <c r="O319" s="243"/>
      <c r="P319" s="243"/>
      <c r="Q319" s="243"/>
    </row>
    <row r="320">
      <c r="A320" s="243"/>
      <c r="B320" s="15"/>
      <c r="C320" s="15"/>
      <c r="D320" s="15"/>
      <c r="E320" s="379"/>
      <c r="F320" s="15"/>
      <c r="G320" s="250"/>
      <c r="H320" s="380"/>
      <c r="I320" s="15"/>
      <c r="J320" s="31"/>
      <c r="K320" s="243"/>
      <c r="L320" s="15"/>
      <c r="M320" s="243"/>
      <c r="N320" s="243"/>
      <c r="O320" s="243"/>
      <c r="P320" s="243"/>
      <c r="Q320" s="243"/>
    </row>
    <row r="321">
      <c r="A321" s="243"/>
      <c r="B321" s="15"/>
      <c r="C321" s="15"/>
      <c r="D321" s="15"/>
      <c r="E321" s="379"/>
      <c r="F321" s="15"/>
      <c r="G321" s="250"/>
      <c r="H321" s="380"/>
      <c r="I321" s="15"/>
      <c r="J321" s="31"/>
      <c r="K321" s="243"/>
      <c r="L321" s="15"/>
      <c r="M321" s="243"/>
      <c r="N321" s="243"/>
      <c r="O321" s="243"/>
      <c r="P321" s="243"/>
      <c r="Q321" s="243"/>
    </row>
    <row r="322">
      <c r="A322" s="243"/>
      <c r="B322" s="15"/>
      <c r="C322" s="15"/>
      <c r="D322" s="15"/>
      <c r="E322" s="379"/>
      <c r="F322" s="15"/>
      <c r="G322" s="250"/>
      <c r="H322" s="380"/>
      <c r="I322" s="15"/>
      <c r="J322" s="31"/>
      <c r="K322" s="243"/>
      <c r="L322" s="15"/>
      <c r="M322" s="243"/>
      <c r="N322" s="243"/>
      <c r="O322" s="243"/>
      <c r="P322" s="243"/>
      <c r="Q322" s="243"/>
    </row>
    <row r="323">
      <c r="A323" s="243"/>
      <c r="B323" s="15"/>
      <c r="C323" s="15"/>
      <c r="D323" s="15"/>
      <c r="E323" s="379"/>
      <c r="F323" s="15"/>
      <c r="G323" s="250"/>
      <c r="H323" s="380"/>
      <c r="I323" s="15"/>
      <c r="J323" s="31"/>
      <c r="K323" s="243"/>
      <c r="L323" s="15"/>
      <c r="M323" s="243"/>
      <c r="N323" s="243"/>
      <c r="O323" s="243"/>
      <c r="P323" s="243"/>
      <c r="Q323" s="243"/>
    </row>
    <row r="324">
      <c r="A324" s="243"/>
      <c r="B324" s="15"/>
      <c r="C324" s="15"/>
      <c r="D324" s="15"/>
      <c r="E324" s="379"/>
      <c r="F324" s="15"/>
      <c r="G324" s="250"/>
      <c r="H324" s="380"/>
      <c r="I324" s="15"/>
      <c r="J324" s="31"/>
      <c r="K324" s="243"/>
      <c r="L324" s="15"/>
      <c r="M324" s="243"/>
      <c r="N324" s="243"/>
      <c r="O324" s="243"/>
      <c r="P324" s="243"/>
      <c r="Q324" s="243"/>
    </row>
    <row r="325">
      <c r="A325" s="243"/>
      <c r="B325" s="15"/>
      <c r="C325" s="15"/>
      <c r="D325" s="15"/>
      <c r="E325" s="379"/>
      <c r="F325" s="15"/>
      <c r="G325" s="250"/>
      <c r="H325" s="380"/>
      <c r="I325" s="15"/>
      <c r="J325" s="31"/>
      <c r="K325" s="243"/>
      <c r="L325" s="15"/>
      <c r="M325" s="243"/>
      <c r="N325" s="243"/>
      <c r="O325" s="243"/>
      <c r="P325" s="243"/>
      <c r="Q325" s="243"/>
    </row>
    <row r="326">
      <c r="A326" s="243"/>
      <c r="B326" s="15"/>
      <c r="C326" s="15"/>
      <c r="D326" s="15"/>
      <c r="E326" s="379"/>
      <c r="F326" s="15"/>
      <c r="G326" s="250"/>
      <c r="H326" s="380"/>
      <c r="I326" s="15"/>
      <c r="J326" s="31"/>
      <c r="K326" s="243"/>
      <c r="L326" s="15"/>
      <c r="M326" s="243"/>
      <c r="N326" s="243"/>
      <c r="O326" s="243"/>
      <c r="P326" s="243"/>
      <c r="Q326" s="243"/>
    </row>
    <row r="327">
      <c r="A327" s="243"/>
      <c r="B327" s="15"/>
      <c r="C327" s="15"/>
      <c r="D327" s="15"/>
      <c r="E327" s="379"/>
      <c r="F327" s="15"/>
      <c r="G327" s="250"/>
      <c r="H327" s="380"/>
      <c r="I327" s="15"/>
      <c r="J327" s="31"/>
      <c r="K327" s="243"/>
      <c r="L327" s="15"/>
      <c r="M327" s="243"/>
      <c r="N327" s="243"/>
      <c r="O327" s="243"/>
      <c r="P327" s="243"/>
      <c r="Q327" s="243"/>
    </row>
    <row r="328">
      <c r="A328" s="243"/>
      <c r="B328" s="15"/>
      <c r="C328" s="15"/>
      <c r="D328" s="15"/>
      <c r="E328" s="379"/>
      <c r="F328" s="15"/>
      <c r="G328" s="250"/>
      <c r="H328" s="380"/>
      <c r="I328" s="15"/>
      <c r="J328" s="31"/>
      <c r="K328" s="243"/>
      <c r="L328" s="15"/>
      <c r="M328" s="243"/>
      <c r="N328" s="243"/>
      <c r="O328" s="243"/>
      <c r="P328" s="243"/>
      <c r="Q328" s="243"/>
    </row>
    <row r="329">
      <c r="A329" s="243"/>
      <c r="B329" s="15"/>
      <c r="C329" s="15"/>
      <c r="D329" s="15"/>
      <c r="E329" s="379"/>
      <c r="F329" s="15"/>
      <c r="G329" s="250"/>
      <c r="H329" s="380"/>
      <c r="I329" s="15"/>
      <c r="J329" s="31"/>
      <c r="K329" s="243"/>
      <c r="L329" s="15"/>
      <c r="M329" s="243"/>
      <c r="N329" s="243"/>
      <c r="O329" s="243"/>
      <c r="P329" s="243"/>
      <c r="Q329" s="243"/>
    </row>
    <row r="330">
      <c r="A330" s="243"/>
      <c r="B330" s="15"/>
      <c r="C330" s="15"/>
      <c r="D330" s="15"/>
      <c r="E330" s="379"/>
      <c r="F330" s="15"/>
      <c r="G330" s="250"/>
      <c r="H330" s="380"/>
      <c r="I330" s="15"/>
      <c r="J330" s="31"/>
      <c r="K330" s="243"/>
      <c r="L330" s="15"/>
      <c r="M330" s="243"/>
      <c r="N330" s="243"/>
      <c r="O330" s="243"/>
      <c r="P330" s="243"/>
      <c r="Q330" s="243"/>
    </row>
    <row r="331">
      <c r="A331" s="243"/>
      <c r="B331" s="15"/>
      <c r="C331" s="15"/>
      <c r="D331" s="15"/>
      <c r="E331" s="379"/>
      <c r="F331" s="15"/>
      <c r="G331" s="250"/>
      <c r="H331" s="380"/>
      <c r="I331" s="15"/>
      <c r="J331" s="31"/>
      <c r="K331" s="243"/>
      <c r="L331" s="15"/>
      <c r="M331" s="243"/>
      <c r="N331" s="243"/>
      <c r="O331" s="243"/>
      <c r="P331" s="243"/>
      <c r="Q331" s="243"/>
    </row>
    <row r="332">
      <c r="A332" s="243"/>
      <c r="B332" s="15"/>
      <c r="C332" s="15"/>
      <c r="D332" s="15"/>
      <c r="E332" s="379"/>
      <c r="F332" s="15"/>
      <c r="G332" s="250"/>
      <c r="H332" s="380"/>
      <c r="I332" s="15"/>
      <c r="J332" s="31"/>
      <c r="K332" s="243"/>
      <c r="L332" s="15"/>
      <c r="M332" s="243"/>
      <c r="N332" s="243"/>
      <c r="O332" s="243"/>
      <c r="P332" s="243"/>
      <c r="Q332" s="243"/>
    </row>
    <row r="333">
      <c r="A333" s="243"/>
      <c r="B333" s="15"/>
      <c r="C333" s="15"/>
      <c r="D333" s="15"/>
      <c r="E333" s="379"/>
      <c r="F333" s="15"/>
      <c r="G333" s="250"/>
      <c r="H333" s="380"/>
      <c r="I333" s="15"/>
      <c r="J333" s="31"/>
      <c r="K333" s="243"/>
      <c r="L333" s="15"/>
      <c r="M333" s="243"/>
      <c r="N333" s="243"/>
      <c r="O333" s="243"/>
      <c r="P333" s="243"/>
      <c r="Q333" s="243"/>
    </row>
    <row r="334">
      <c r="A334" s="243"/>
      <c r="B334" s="15"/>
      <c r="C334" s="15"/>
      <c r="D334" s="15"/>
      <c r="E334" s="379"/>
      <c r="F334" s="15"/>
      <c r="G334" s="250"/>
      <c r="H334" s="380"/>
      <c r="I334" s="15"/>
      <c r="J334" s="31"/>
      <c r="K334" s="243"/>
      <c r="L334" s="15"/>
      <c r="M334" s="243"/>
      <c r="N334" s="243"/>
      <c r="O334" s="243"/>
      <c r="P334" s="243"/>
      <c r="Q334" s="243"/>
    </row>
    <row r="335">
      <c r="A335" s="243"/>
      <c r="B335" s="15"/>
      <c r="C335" s="15"/>
      <c r="D335" s="15"/>
      <c r="E335" s="379"/>
      <c r="F335" s="15"/>
      <c r="G335" s="250"/>
      <c r="H335" s="380"/>
      <c r="I335" s="15"/>
      <c r="J335" s="31"/>
      <c r="K335" s="243"/>
      <c r="L335" s="15"/>
      <c r="M335" s="243"/>
      <c r="N335" s="243"/>
      <c r="O335" s="243"/>
      <c r="P335" s="243"/>
      <c r="Q335" s="243"/>
    </row>
    <row r="336">
      <c r="A336" s="243"/>
      <c r="B336" s="15"/>
      <c r="C336" s="15"/>
      <c r="D336" s="15"/>
      <c r="E336" s="379"/>
      <c r="F336" s="15"/>
      <c r="G336" s="250"/>
      <c r="H336" s="380"/>
      <c r="I336" s="15"/>
      <c r="J336" s="31"/>
      <c r="K336" s="243"/>
      <c r="L336" s="15"/>
      <c r="M336" s="243"/>
      <c r="N336" s="243"/>
      <c r="O336" s="243"/>
      <c r="P336" s="243"/>
      <c r="Q336" s="243"/>
    </row>
    <row r="337">
      <c r="A337" s="243"/>
      <c r="B337" s="15"/>
      <c r="C337" s="15"/>
      <c r="D337" s="15"/>
      <c r="E337" s="379"/>
      <c r="F337" s="15"/>
      <c r="G337" s="250"/>
      <c r="H337" s="380"/>
      <c r="I337" s="15"/>
      <c r="J337" s="31"/>
      <c r="K337" s="243"/>
      <c r="L337" s="15"/>
      <c r="M337" s="243"/>
      <c r="N337" s="243"/>
      <c r="O337" s="243"/>
      <c r="P337" s="243"/>
      <c r="Q337" s="243"/>
    </row>
    <row r="338">
      <c r="A338" s="243"/>
      <c r="B338" s="15"/>
      <c r="C338" s="15"/>
      <c r="D338" s="15"/>
      <c r="E338" s="379"/>
      <c r="F338" s="15"/>
      <c r="G338" s="250"/>
      <c r="H338" s="380"/>
      <c r="I338" s="15"/>
      <c r="J338" s="31"/>
      <c r="K338" s="243"/>
      <c r="L338" s="15"/>
      <c r="M338" s="243"/>
      <c r="N338" s="243"/>
      <c r="O338" s="243"/>
      <c r="P338" s="243"/>
      <c r="Q338" s="243"/>
    </row>
    <row r="339">
      <c r="A339" s="243"/>
      <c r="B339" s="15"/>
      <c r="C339" s="15"/>
      <c r="D339" s="15"/>
      <c r="E339" s="379"/>
      <c r="F339" s="15"/>
      <c r="G339" s="250"/>
      <c r="H339" s="380"/>
      <c r="I339" s="15"/>
      <c r="J339" s="31"/>
      <c r="K339" s="243"/>
      <c r="L339" s="15"/>
      <c r="M339" s="243"/>
      <c r="N339" s="243"/>
      <c r="O339" s="243"/>
      <c r="P339" s="243"/>
      <c r="Q339" s="243"/>
    </row>
    <row r="340">
      <c r="A340" s="243"/>
      <c r="B340" s="15"/>
      <c r="C340" s="15"/>
      <c r="D340" s="15"/>
      <c r="E340" s="379"/>
      <c r="F340" s="15"/>
      <c r="G340" s="250"/>
      <c r="H340" s="380"/>
      <c r="I340" s="15"/>
      <c r="J340" s="31"/>
      <c r="K340" s="243"/>
      <c r="L340" s="15"/>
      <c r="M340" s="243"/>
      <c r="N340" s="243"/>
      <c r="O340" s="243"/>
      <c r="P340" s="243"/>
      <c r="Q340" s="243"/>
    </row>
    <row r="341">
      <c r="A341" s="243"/>
      <c r="B341" s="15"/>
      <c r="C341" s="15"/>
      <c r="D341" s="15"/>
      <c r="E341" s="379"/>
      <c r="F341" s="15"/>
      <c r="G341" s="250"/>
      <c r="H341" s="380"/>
      <c r="I341" s="15"/>
      <c r="J341" s="31"/>
      <c r="K341" s="243"/>
      <c r="L341" s="15"/>
      <c r="M341" s="243"/>
      <c r="N341" s="243"/>
      <c r="O341" s="243"/>
      <c r="P341" s="243"/>
      <c r="Q341" s="243"/>
    </row>
    <row r="342">
      <c r="A342" s="243"/>
      <c r="B342" s="15"/>
      <c r="C342" s="15"/>
      <c r="D342" s="15"/>
      <c r="E342" s="379"/>
      <c r="F342" s="15"/>
      <c r="G342" s="250"/>
      <c r="H342" s="380"/>
      <c r="I342" s="15"/>
      <c r="J342" s="31"/>
      <c r="K342" s="243"/>
      <c r="L342" s="15"/>
      <c r="M342" s="243"/>
      <c r="N342" s="243"/>
      <c r="O342" s="243"/>
      <c r="P342" s="243"/>
      <c r="Q342" s="243"/>
    </row>
    <row r="343">
      <c r="A343" s="243"/>
      <c r="B343" s="15"/>
      <c r="C343" s="15"/>
      <c r="D343" s="15"/>
      <c r="E343" s="379"/>
      <c r="F343" s="15"/>
      <c r="G343" s="250"/>
      <c r="H343" s="380"/>
      <c r="I343" s="15"/>
      <c r="J343" s="31"/>
      <c r="K343" s="243"/>
      <c r="L343" s="15"/>
      <c r="M343" s="243"/>
      <c r="N343" s="243"/>
      <c r="O343" s="243"/>
      <c r="P343" s="243"/>
      <c r="Q343" s="243"/>
    </row>
    <row r="344">
      <c r="A344" s="243"/>
      <c r="B344" s="15"/>
      <c r="C344" s="15"/>
      <c r="D344" s="15"/>
      <c r="E344" s="379"/>
      <c r="F344" s="15"/>
      <c r="G344" s="250"/>
      <c r="H344" s="380"/>
      <c r="I344" s="15"/>
      <c r="J344" s="31"/>
      <c r="K344" s="243"/>
      <c r="L344" s="15"/>
      <c r="M344" s="243"/>
      <c r="N344" s="243"/>
      <c r="O344" s="243"/>
      <c r="P344" s="243"/>
      <c r="Q344" s="243"/>
    </row>
    <row r="345">
      <c r="A345" s="243"/>
      <c r="B345" s="15"/>
      <c r="C345" s="15"/>
      <c r="D345" s="15"/>
      <c r="E345" s="379"/>
      <c r="F345" s="15"/>
      <c r="G345" s="250"/>
      <c r="H345" s="380"/>
      <c r="I345" s="15"/>
      <c r="J345" s="31"/>
      <c r="K345" s="243"/>
      <c r="L345" s="15"/>
      <c r="M345" s="243"/>
      <c r="N345" s="243"/>
      <c r="O345" s="243"/>
      <c r="P345" s="243"/>
      <c r="Q345" s="243"/>
    </row>
    <row r="346">
      <c r="A346" s="243"/>
      <c r="B346" s="15"/>
      <c r="C346" s="15"/>
      <c r="D346" s="15"/>
      <c r="E346" s="379"/>
      <c r="F346" s="15"/>
      <c r="G346" s="250"/>
      <c r="H346" s="380"/>
      <c r="I346" s="15"/>
      <c r="J346" s="31"/>
      <c r="K346" s="243"/>
      <c r="L346" s="15"/>
      <c r="M346" s="243"/>
      <c r="N346" s="243"/>
      <c r="O346" s="243"/>
      <c r="P346" s="243"/>
      <c r="Q346" s="243"/>
    </row>
    <row r="347">
      <c r="A347" s="243"/>
      <c r="B347" s="15"/>
      <c r="C347" s="15"/>
      <c r="D347" s="15"/>
      <c r="E347" s="379"/>
      <c r="F347" s="15"/>
      <c r="G347" s="250"/>
      <c r="H347" s="380"/>
      <c r="I347" s="15"/>
      <c r="J347" s="31"/>
      <c r="K347" s="243"/>
      <c r="L347" s="15"/>
      <c r="M347" s="243"/>
      <c r="N347" s="243"/>
      <c r="O347" s="243"/>
      <c r="P347" s="243"/>
      <c r="Q347" s="243"/>
    </row>
    <row r="348">
      <c r="A348" s="243"/>
      <c r="B348" s="15"/>
      <c r="C348" s="15"/>
      <c r="D348" s="15"/>
      <c r="E348" s="379"/>
      <c r="F348" s="15"/>
      <c r="G348" s="250"/>
      <c r="H348" s="380"/>
      <c r="I348" s="15"/>
      <c r="J348" s="31"/>
      <c r="K348" s="243"/>
      <c r="L348" s="15"/>
      <c r="M348" s="243"/>
      <c r="N348" s="243"/>
      <c r="O348" s="243"/>
      <c r="P348" s="243"/>
      <c r="Q348" s="243"/>
    </row>
    <row r="349">
      <c r="A349" s="243"/>
      <c r="B349" s="15"/>
      <c r="C349" s="15"/>
      <c r="D349" s="15"/>
      <c r="E349" s="379"/>
      <c r="F349" s="15"/>
      <c r="G349" s="250"/>
      <c r="H349" s="380"/>
      <c r="I349" s="15"/>
      <c r="J349" s="31"/>
      <c r="K349" s="243"/>
      <c r="L349" s="15"/>
      <c r="M349" s="243"/>
      <c r="N349" s="243"/>
      <c r="O349" s="243"/>
      <c r="P349" s="243"/>
      <c r="Q349" s="243"/>
    </row>
    <row r="350">
      <c r="A350" s="243"/>
      <c r="B350" s="15"/>
      <c r="C350" s="15"/>
      <c r="D350" s="15"/>
      <c r="E350" s="379"/>
      <c r="F350" s="15"/>
      <c r="G350" s="250"/>
      <c r="H350" s="380"/>
      <c r="I350" s="15"/>
      <c r="J350" s="31"/>
      <c r="K350" s="243"/>
      <c r="L350" s="15"/>
      <c r="M350" s="243"/>
      <c r="N350" s="243"/>
      <c r="O350" s="243"/>
      <c r="P350" s="243"/>
      <c r="Q350" s="243"/>
    </row>
    <row r="351">
      <c r="A351" s="243"/>
      <c r="B351" s="15"/>
      <c r="C351" s="15"/>
      <c r="D351" s="15"/>
      <c r="E351" s="379"/>
      <c r="F351" s="15"/>
      <c r="G351" s="250"/>
      <c r="H351" s="380"/>
      <c r="I351" s="15"/>
      <c r="J351" s="31"/>
      <c r="K351" s="243"/>
      <c r="L351" s="15"/>
      <c r="M351" s="243"/>
      <c r="N351" s="243"/>
      <c r="O351" s="243"/>
      <c r="P351" s="243"/>
      <c r="Q351" s="243"/>
    </row>
    <row r="352">
      <c r="A352" s="243"/>
      <c r="B352" s="15"/>
      <c r="C352" s="15"/>
      <c r="D352" s="15"/>
      <c r="E352" s="379"/>
      <c r="F352" s="15"/>
      <c r="G352" s="250"/>
      <c r="H352" s="380"/>
      <c r="I352" s="15"/>
      <c r="J352" s="31"/>
      <c r="K352" s="243"/>
      <c r="L352" s="15"/>
      <c r="M352" s="243"/>
      <c r="N352" s="243"/>
      <c r="O352" s="243"/>
      <c r="P352" s="243"/>
      <c r="Q352" s="243"/>
    </row>
    <row r="353">
      <c r="A353" s="243"/>
      <c r="B353" s="15"/>
      <c r="C353" s="15"/>
      <c r="D353" s="15"/>
      <c r="E353" s="379"/>
      <c r="F353" s="15"/>
      <c r="G353" s="250"/>
      <c r="H353" s="380"/>
      <c r="I353" s="15"/>
      <c r="J353" s="31"/>
      <c r="K353" s="243"/>
      <c r="L353" s="15"/>
      <c r="M353" s="243"/>
      <c r="N353" s="243"/>
      <c r="O353" s="243"/>
      <c r="P353" s="243"/>
      <c r="Q353" s="243"/>
    </row>
    <row r="354">
      <c r="A354" s="243"/>
      <c r="B354" s="15"/>
      <c r="C354" s="15"/>
      <c r="D354" s="15"/>
      <c r="E354" s="379"/>
      <c r="F354" s="15"/>
      <c r="G354" s="250"/>
      <c r="H354" s="380"/>
      <c r="I354" s="15"/>
      <c r="J354" s="31"/>
      <c r="K354" s="243"/>
      <c r="L354" s="15"/>
      <c r="M354" s="243"/>
      <c r="N354" s="243"/>
      <c r="O354" s="243"/>
      <c r="P354" s="243"/>
      <c r="Q354" s="243"/>
    </row>
    <row r="355">
      <c r="A355" s="243"/>
      <c r="B355" s="15"/>
      <c r="C355" s="15"/>
      <c r="D355" s="15"/>
      <c r="E355" s="379"/>
      <c r="F355" s="15"/>
      <c r="G355" s="250"/>
      <c r="H355" s="380"/>
      <c r="I355" s="15"/>
      <c r="J355" s="31"/>
      <c r="K355" s="243"/>
      <c r="L355" s="15"/>
      <c r="M355" s="243"/>
      <c r="N355" s="243"/>
      <c r="O355" s="243"/>
      <c r="P355" s="243"/>
      <c r="Q355" s="243"/>
    </row>
    <row r="356">
      <c r="A356" s="243"/>
      <c r="B356" s="15"/>
      <c r="C356" s="15"/>
      <c r="D356" s="15"/>
      <c r="E356" s="379"/>
      <c r="F356" s="15"/>
      <c r="G356" s="250"/>
      <c r="H356" s="380"/>
      <c r="I356" s="15"/>
      <c r="J356" s="31"/>
      <c r="K356" s="243"/>
      <c r="L356" s="15"/>
      <c r="M356" s="243"/>
      <c r="N356" s="243"/>
      <c r="O356" s="243"/>
      <c r="P356" s="243"/>
      <c r="Q356" s="243"/>
    </row>
    <row r="357">
      <c r="A357" s="243"/>
      <c r="B357" s="15"/>
      <c r="C357" s="15"/>
      <c r="D357" s="15"/>
      <c r="E357" s="379"/>
      <c r="F357" s="15"/>
      <c r="G357" s="250"/>
      <c r="H357" s="380"/>
      <c r="I357" s="15"/>
      <c r="J357" s="31"/>
      <c r="K357" s="243"/>
      <c r="L357" s="15"/>
      <c r="M357" s="243"/>
      <c r="N357" s="243"/>
      <c r="O357" s="243"/>
      <c r="P357" s="243"/>
      <c r="Q357" s="243"/>
    </row>
    <row r="358">
      <c r="A358" s="243"/>
      <c r="B358" s="15"/>
      <c r="C358" s="15"/>
      <c r="D358" s="15"/>
      <c r="E358" s="379"/>
      <c r="F358" s="15"/>
      <c r="G358" s="250"/>
      <c r="H358" s="380"/>
      <c r="I358" s="15"/>
      <c r="J358" s="31"/>
      <c r="K358" s="243"/>
      <c r="L358" s="15"/>
      <c r="M358" s="243"/>
      <c r="N358" s="243"/>
      <c r="O358" s="243"/>
      <c r="P358" s="243"/>
      <c r="Q358" s="243"/>
    </row>
    <row r="359">
      <c r="A359" s="243"/>
      <c r="B359" s="15"/>
      <c r="C359" s="15"/>
      <c r="D359" s="15"/>
      <c r="E359" s="379"/>
      <c r="F359" s="15"/>
      <c r="G359" s="250"/>
      <c r="H359" s="380"/>
      <c r="I359" s="15"/>
      <c r="J359" s="31"/>
      <c r="K359" s="243"/>
      <c r="L359" s="15"/>
      <c r="M359" s="243"/>
      <c r="N359" s="243"/>
      <c r="O359" s="243"/>
      <c r="P359" s="243"/>
      <c r="Q359" s="243"/>
    </row>
    <row r="360">
      <c r="A360" s="243"/>
      <c r="B360" s="15"/>
      <c r="C360" s="15"/>
      <c r="D360" s="15"/>
      <c r="E360" s="379"/>
      <c r="F360" s="15"/>
      <c r="G360" s="250"/>
      <c r="H360" s="380"/>
      <c r="I360" s="15"/>
      <c r="J360" s="31"/>
      <c r="K360" s="243"/>
      <c r="L360" s="15"/>
      <c r="M360" s="243"/>
      <c r="N360" s="243"/>
      <c r="O360" s="243"/>
      <c r="P360" s="243"/>
      <c r="Q360" s="243"/>
    </row>
    <row r="361">
      <c r="A361" s="243"/>
      <c r="B361" s="15"/>
      <c r="C361" s="15"/>
      <c r="D361" s="15"/>
      <c r="E361" s="379"/>
      <c r="F361" s="15"/>
      <c r="G361" s="250"/>
      <c r="H361" s="380"/>
      <c r="I361" s="15"/>
      <c r="J361" s="31"/>
      <c r="K361" s="243"/>
      <c r="L361" s="15"/>
      <c r="M361" s="243"/>
      <c r="N361" s="243"/>
      <c r="O361" s="243"/>
      <c r="P361" s="243"/>
      <c r="Q361" s="243"/>
    </row>
    <row r="362">
      <c r="A362" s="243"/>
      <c r="B362" s="15"/>
      <c r="C362" s="15"/>
      <c r="D362" s="15"/>
      <c r="E362" s="379"/>
      <c r="F362" s="15"/>
      <c r="G362" s="250"/>
      <c r="H362" s="380"/>
      <c r="I362" s="15"/>
      <c r="J362" s="31"/>
      <c r="K362" s="243"/>
      <c r="L362" s="15"/>
      <c r="M362" s="243"/>
      <c r="N362" s="243"/>
      <c r="O362" s="243"/>
      <c r="P362" s="243"/>
      <c r="Q362" s="243"/>
    </row>
    <row r="363">
      <c r="A363" s="243"/>
      <c r="B363" s="15"/>
      <c r="C363" s="15"/>
      <c r="D363" s="15"/>
      <c r="E363" s="379"/>
      <c r="F363" s="15"/>
      <c r="G363" s="250"/>
      <c r="H363" s="380"/>
      <c r="I363" s="15"/>
      <c r="J363" s="31"/>
      <c r="K363" s="243"/>
      <c r="L363" s="15"/>
      <c r="M363" s="243"/>
      <c r="N363" s="243"/>
      <c r="O363" s="243"/>
      <c r="P363" s="243"/>
      <c r="Q363" s="243"/>
    </row>
    <row r="364">
      <c r="A364" s="243"/>
      <c r="B364" s="15"/>
      <c r="C364" s="15"/>
      <c r="D364" s="15"/>
      <c r="E364" s="379"/>
      <c r="F364" s="15"/>
      <c r="G364" s="250"/>
      <c r="H364" s="380"/>
      <c r="I364" s="15"/>
      <c r="J364" s="31"/>
      <c r="K364" s="243"/>
      <c r="L364" s="15"/>
      <c r="M364" s="243"/>
      <c r="N364" s="243"/>
      <c r="O364" s="243"/>
      <c r="P364" s="243"/>
      <c r="Q364" s="243"/>
    </row>
    <row r="365">
      <c r="A365" s="243"/>
      <c r="B365" s="15"/>
      <c r="C365" s="15"/>
      <c r="D365" s="15"/>
      <c r="E365" s="379"/>
      <c r="F365" s="15"/>
      <c r="G365" s="250"/>
      <c r="H365" s="380"/>
      <c r="I365" s="15"/>
      <c r="J365" s="31"/>
      <c r="K365" s="243"/>
      <c r="L365" s="15"/>
      <c r="M365" s="243"/>
      <c r="N365" s="243"/>
      <c r="O365" s="243"/>
      <c r="P365" s="243"/>
      <c r="Q365" s="243"/>
    </row>
    <row r="366">
      <c r="A366" s="243"/>
      <c r="B366" s="15"/>
      <c r="C366" s="15"/>
      <c r="D366" s="15"/>
      <c r="E366" s="379"/>
      <c r="F366" s="15"/>
      <c r="G366" s="250"/>
      <c r="H366" s="380"/>
      <c r="I366" s="15"/>
      <c r="J366" s="31"/>
      <c r="K366" s="243"/>
      <c r="L366" s="15"/>
      <c r="M366" s="243"/>
      <c r="N366" s="243"/>
      <c r="O366" s="243"/>
      <c r="P366" s="243"/>
      <c r="Q366" s="243"/>
    </row>
    <row r="367">
      <c r="A367" s="243"/>
      <c r="B367" s="15"/>
      <c r="C367" s="15"/>
      <c r="D367" s="15"/>
      <c r="E367" s="379"/>
      <c r="F367" s="15"/>
      <c r="G367" s="250"/>
      <c r="H367" s="380"/>
      <c r="I367" s="15"/>
      <c r="J367" s="31"/>
      <c r="K367" s="243"/>
      <c r="L367" s="15"/>
      <c r="M367" s="243"/>
      <c r="N367" s="243"/>
      <c r="O367" s="243"/>
      <c r="P367" s="243"/>
      <c r="Q367" s="243"/>
    </row>
    <row r="368">
      <c r="A368" s="243"/>
      <c r="B368" s="15"/>
      <c r="C368" s="15"/>
      <c r="D368" s="15"/>
      <c r="E368" s="379"/>
      <c r="F368" s="15"/>
      <c r="G368" s="250"/>
      <c r="H368" s="380"/>
      <c r="I368" s="15"/>
      <c r="J368" s="31"/>
      <c r="K368" s="243"/>
      <c r="L368" s="15"/>
      <c r="M368" s="243"/>
      <c r="N368" s="243"/>
      <c r="O368" s="243"/>
      <c r="P368" s="243"/>
      <c r="Q368" s="243"/>
    </row>
    <row r="369">
      <c r="A369" s="243"/>
      <c r="B369" s="15"/>
      <c r="C369" s="15"/>
      <c r="D369" s="15"/>
      <c r="E369" s="379"/>
      <c r="F369" s="15"/>
      <c r="G369" s="250"/>
      <c r="H369" s="380"/>
      <c r="I369" s="15"/>
      <c r="J369" s="31"/>
      <c r="K369" s="243"/>
      <c r="L369" s="15"/>
      <c r="M369" s="243"/>
      <c r="N369" s="243"/>
      <c r="O369" s="243"/>
      <c r="P369" s="243"/>
      <c r="Q369" s="243"/>
    </row>
    <row r="370">
      <c r="A370" s="243"/>
      <c r="B370" s="15"/>
      <c r="C370" s="15"/>
      <c r="D370" s="15"/>
      <c r="E370" s="379"/>
      <c r="F370" s="15"/>
      <c r="G370" s="250"/>
      <c r="H370" s="380"/>
      <c r="I370" s="15"/>
      <c r="J370" s="31"/>
      <c r="K370" s="243"/>
      <c r="L370" s="15"/>
      <c r="M370" s="243"/>
      <c r="N370" s="243"/>
      <c r="O370" s="243"/>
      <c r="P370" s="243"/>
      <c r="Q370" s="243"/>
    </row>
    <row r="371">
      <c r="A371" s="243"/>
      <c r="B371" s="15"/>
      <c r="C371" s="15"/>
      <c r="D371" s="15"/>
      <c r="E371" s="379"/>
      <c r="F371" s="15"/>
      <c r="G371" s="250"/>
      <c r="H371" s="380"/>
      <c r="I371" s="15"/>
      <c r="J371" s="31"/>
      <c r="K371" s="243"/>
      <c r="L371" s="15"/>
      <c r="M371" s="243"/>
      <c r="N371" s="243"/>
      <c r="O371" s="243"/>
      <c r="P371" s="243"/>
      <c r="Q371" s="243"/>
    </row>
    <row r="372">
      <c r="A372" s="243"/>
      <c r="B372" s="15"/>
      <c r="C372" s="15"/>
      <c r="D372" s="15"/>
      <c r="E372" s="379"/>
      <c r="F372" s="15"/>
      <c r="G372" s="250"/>
      <c r="H372" s="380"/>
      <c r="I372" s="15"/>
      <c r="J372" s="31"/>
      <c r="K372" s="243"/>
      <c r="L372" s="15"/>
      <c r="M372" s="243"/>
      <c r="N372" s="243"/>
      <c r="O372" s="243"/>
      <c r="P372" s="243"/>
      <c r="Q372" s="243"/>
    </row>
    <row r="373">
      <c r="A373" s="243"/>
      <c r="B373" s="15"/>
      <c r="C373" s="15"/>
      <c r="D373" s="15"/>
      <c r="E373" s="379"/>
      <c r="F373" s="15"/>
      <c r="G373" s="250"/>
      <c r="H373" s="380"/>
      <c r="I373" s="15"/>
      <c r="J373" s="31"/>
      <c r="K373" s="243"/>
      <c r="L373" s="15"/>
      <c r="M373" s="243"/>
      <c r="N373" s="243"/>
      <c r="O373" s="243"/>
      <c r="P373" s="243"/>
      <c r="Q373" s="243"/>
    </row>
    <row r="374">
      <c r="A374" s="243"/>
      <c r="B374" s="15"/>
      <c r="C374" s="15"/>
      <c r="D374" s="15"/>
      <c r="E374" s="379"/>
      <c r="F374" s="15"/>
      <c r="G374" s="250"/>
      <c r="H374" s="380"/>
      <c r="I374" s="15"/>
      <c r="J374" s="31"/>
      <c r="K374" s="243"/>
      <c r="L374" s="15"/>
      <c r="M374" s="243"/>
      <c r="N374" s="243"/>
      <c r="O374" s="243"/>
      <c r="P374" s="243"/>
      <c r="Q374" s="243"/>
    </row>
    <row r="375">
      <c r="A375" s="243"/>
      <c r="B375" s="15"/>
      <c r="C375" s="15"/>
      <c r="D375" s="15"/>
      <c r="E375" s="379"/>
      <c r="F375" s="15"/>
      <c r="G375" s="250"/>
      <c r="H375" s="380"/>
      <c r="I375" s="15"/>
      <c r="J375" s="31"/>
      <c r="K375" s="243"/>
      <c r="L375" s="15"/>
      <c r="M375" s="243"/>
      <c r="N375" s="243"/>
      <c r="O375" s="243"/>
      <c r="P375" s="243"/>
      <c r="Q375" s="243"/>
    </row>
    <row r="376">
      <c r="A376" s="243"/>
      <c r="B376" s="15"/>
      <c r="C376" s="15"/>
      <c r="D376" s="15"/>
      <c r="E376" s="379"/>
      <c r="F376" s="15"/>
      <c r="G376" s="250"/>
      <c r="H376" s="380"/>
      <c r="I376" s="15"/>
      <c r="J376" s="31"/>
      <c r="K376" s="243"/>
      <c r="L376" s="15"/>
      <c r="M376" s="243"/>
      <c r="N376" s="243"/>
      <c r="O376" s="243"/>
      <c r="P376" s="243"/>
      <c r="Q376" s="243"/>
    </row>
    <row r="377">
      <c r="A377" s="243"/>
      <c r="B377" s="15"/>
      <c r="C377" s="15"/>
      <c r="D377" s="15"/>
      <c r="E377" s="379"/>
      <c r="F377" s="15"/>
      <c r="G377" s="250"/>
      <c r="H377" s="380"/>
      <c r="I377" s="15"/>
      <c r="J377" s="31"/>
      <c r="K377" s="243"/>
      <c r="L377" s="15"/>
      <c r="M377" s="243"/>
      <c r="N377" s="243"/>
      <c r="O377" s="243"/>
      <c r="P377" s="243"/>
      <c r="Q377" s="243"/>
    </row>
    <row r="378">
      <c r="A378" s="243"/>
      <c r="B378" s="15"/>
      <c r="C378" s="15"/>
      <c r="D378" s="15"/>
      <c r="E378" s="379"/>
      <c r="F378" s="15"/>
      <c r="G378" s="250"/>
      <c r="H378" s="380"/>
      <c r="I378" s="15"/>
      <c r="J378" s="31"/>
      <c r="K378" s="243"/>
      <c r="L378" s="15"/>
      <c r="M378" s="243"/>
      <c r="N378" s="243"/>
      <c r="O378" s="243"/>
      <c r="P378" s="243"/>
      <c r="Q378" s="243"/>
    </row>
    <row r="379">
      <c r="A379" s="243"/>
      <c r="B379" s="15"/>
      <c r="C379" s="15"/>
      <c r="D379" s="15"/>
      <c r="E379" s="379"/>
      <c r="F379" s="15"/>
      <c r="G379" s="250"/>
      <c r="H379" s="380"/>
      <c r="I379" s="15"/>
      <c r="J379" s="31"/>
      <c r="K379" s="243"/>
      <c r="L379" s="15"/>
      <c r="M379" s="243"/>
      <c r="N379" s="243"/>
      <c r="O379" s="243"/>
      <c r="P379" s="243"/>
      <c r="Q379" s="243"/>
    </row>
    <row r="380">
      <c r="A380" s="243"/>
      <c r="B380" s="15"/>
      <c r="C380" s="15"/>
      <c r="D380" s="15"/>
      <c r="E380" s="379"/>
      <c r="F380" s="15"/>
      <c r="G380" s="250"/>
      <c r="H380" s="380"/>
      <c r="I380" s="15"/>
      <c r="J380" s="31"/>
      <c r="K380" s="243"/>
      <c r="L380" s="15"/>
      <c r="M380" s="243"/>
      <c r="N380" s="243"/>
      <c r="O380" s="243"/>
      <c r="P380" s="243"/>
      <c r="Q380" s="243"/>
    </row>
    <row r="381">
      <c r="A381" s="243"/>
      <c r="B381" s="15"/>
      <c r="C381" s="15"/>
      <c r="D381" s="15"/>
      <c r="E381" s="379"/>
      <c r="F381" s="15"/>
      <c r="G381" s="250"/>
      <c r="H381" s="380"/>
      <c r="I381" s="15"/>
      <c r="J381" s="31"/>
      <c r="K381" s="243"/>
      <c r="L381" s="15"/>
      <c r="M381" s="243"/>
      <c r="N381" s="243"/>
      <c r="O381" s="243"/>
      <c r="P381" s="243"/>
      <c r="Q381" s="243"/>
    </row>
    <row r="382">
      <c r="A382" s="243"/>
      <c r="B382" s="15"/>
      <c r="C382" s="15"/>
      <c r="D382" s="15"/>
      <c r="E382" s="379"/>
      <c r="F382" s="15"/>
      <c r="G382" s="250"/>
      <c r="H382" s="380"/>
      <c r="I382" s="15"/>
      <c r="J382" s="31"/>
      <c r="K382" s="243"/>
      <c r="L382" s="15"/>
      <c r="M382" s="243"/>
      <c r="N382" s="243"/>
      <c r="O382" s="243"/>
      <c r="P382" s="243"/>
      <c r="Q382" s="243"/>
    </row>
    <row r="383">
      <c r="A383" s="243"/>
      <c r="B383" s="15"/>
      <c r="C383" s="15"/>
      <c r="D383" s="15"/>
      <c r="E383" s="379"/>
      <c r="F383" s="15"/>
      <c r="G383" s="250"/>
      <c r="H383" s="380"/>
      <c r="I383" s="15"/>
      <c r="J383" s="31"/>
      <c r="K383" s="243"/>
      <c r="L383" s="15"/>
      <c r="M383" s="243"/>
      <c r="N383" s="243"/>
      <c r="O383" s="243"/>
      <c r="P383" s="243"/>
      <c r="Q383" s="243"/>
    </row>
    <row r="384">
      <c r="A384" s="243"/>
      <c r="B384" s="15"/>
      <c r="C384" s="15"/>
      <c r="D384" s="15"/>
      <c r="E384" s="379"/>
      <c r="F384" s="15"/>
      <c r="G384" s="250"/>
      <c r="H384" s="380"/>
      <c r="I384" s="15"/>
      <c r="J384" s="31"/>
      <c r="K384" s="243"/>
      <c r="L384" s="15"/>
      <c r="M384" s="243"/>
      <c r="N384" s="243"/>
      <c r="O384" s="243"/>
      <c r="P384" s="243"/>
      <c r="Q384" s="243"/>
    </row>
    <row r="385">
      <c r="A385" s="243"/>
      <c r="B385" s="15"/>
      <c r="C385" s="15"/>
      <c r="D385" s="15"/>
      <c r="E385" s="379"/>
      <c r="F385" s="15"/>
      <c r="G385" s="250"/>
      <c r="H385" s="380"/>
      <c r="I385" s="15"/>
      <c r="J385" s="31"/>
      <c r="K385" s="243"/>
      <c r="L385" s="15"/>
      <c r="M385" s="243"/>
      <c r="N385" s="243"/>
      <c r="O385" s="243"/>
      <c r="P385" s="243"/>
      <c r="Q385" s="243"/>
    </row>
    <row r="386">
      <c r="A386" s="243"/>
      <c r="B386" s="15"/>
      <c r="C386" s="15"/>
      <c r="D386" s="15"/>
      <c r="E386" s="379"/>
      <c r="F386" s="15"/>
      <c r="G386" s="250"/>
      <c r="H386" s="380"/>
      <c r="I386" s="15"/>
      <c r="J386" s="31"/>
      <c r="K386" s="243"/>
      <c r="L386" s="15"/>
      <c r="M386" s="243"/>
      <c r="N386" s="243"/>
      <c r="O386" s="243"/>
      <c r="P386" s="243"/>
      <c r="Q386" s="243"/>
    </row>
    <row r="387">
      <c r="A387" s="243"/>
      <c r="B387" s="15"/>
      <c r="C387" s="15"/>
      <c r="D387" s="15"/>
      <c r="E387" s="379"/>
      <c r="F387" s="15"/>
      <c r="G387" s="250"/>
      <c r="H387" s="380"/>
      <c r="I387" s="15"/>
      <c r="J387" s="31"/>
      <c r="K387" s="243"/>
      <c r="L387" s="15"/>
      <c r="M387" s="243"/>
      <c r="N387" s="243"/>
      <c r="O387" s="243"/>
      <c r="P387" s="243"/>
      <c r="Q387" s="243"/>
    </row>
    <row r="388">
      <c r="A388" s="243"/>
      <c r="B388" s="15"/>
      <c r="C388" s="15"/>
      <c r="D388" s="15"/>
      <c r="E388" s="379"/>
      <c r="F388" s="15"/>
      <c r="G388" s="250"/>
      <c r="H388" s="380"/>
      <c r="I388" s="15"/>
      <c r="J388" s="31"/>
      <c r="K388" s="243"/>
      <c r="L388" s="15"/>
      <c r="M388" s="243"/>
      <c r="N388" s="243"/>
      <c r="O388" s="243"/>
      <c r="P388" s="243"/>
      <c r="Q388" s="243"/>
    </row>
    <row r="389">
      <c r="A389" s="243"/>
      <c r="B389" s="15"/>
      <c r="C389" s="15"/>
      <c r="D389" s="15"/>
      <c r="E389" s="379"/>
      <c r="F389" s="15"/>
      <c r="G389" s="250"/>
      <c r="H389" s="380"/>
      <c r="I389" s="15"/>
      <c r="J389" s="31"/>
      <c r="K389" s="243"/>
      <c r="L389" s="15"/>
      <c r="M389" s="243"/>
      <c r="N389" s="243"/>
      <c r="O389" s="243"/>
      <c r="P389" s="243"/>
      <c r="Q389" s="243"/>
    </row>
    <row r="390">
      <c r="A390" s="243"/>
      <c r="B390" s="15"/>
      <c r="C390" s="15"/>
      <c r="D390" s="15"/>
      <c r="E390" s="379"/>
      <c r="F390" s="15"/>
      <c r="G390" s="250"/>
      <c r="H390" s="380"/>
      <c r="I390" s="15"/>
      <c r="J390" s="31"/>
      <c r="K390" s="243"/>
      <c r="L390" s="15"/>
      <c r="M390" s="243"/>
      <c r="N390" s="243"/>
      <c r="O390" s="243"/>
      <c r="P390" s="243"/>
      <c r="Q390" s="243"/>
    </row>
    <row r="391">
      <c r="A391" s="243"/>
      <c r="B391" s="15"/>
      <c r="C391" s="15"/>
      <c r="D391" s="15"/>
      <c r="E391" s="379"/>
      <c r="F391" s="15"/>
      <c r="G391" s="250"/>
      <c r="H391" s="380"/>
      <c r="I391" s="15"/>
      <c r="J391" s="31"/>
      <c r="K391" s="243"/>
      <c r="L391" s="15"/>
      <c r="M391" s="243"/>
      <c r="N391" s="243"/>
      <c r="O391" s="243"/>
      <c r="P391" s="243"/>
      <c r="Q391" s="243"/>
    </row>
    <row r="392">
      <c r="A392" s="243"/>
      <c r="B392" s="15"/>
      <c r="C392" s="15"/>
      <c r="D392" s="15"/>
      <c r="E392" s="379"/>
      <c r="F392" s="15"/>
      <c r="G392" s="250"/>
      <c r="H392" s="380"/>
      <c r="I392" s="15"/>
      <c r="J392" s="31"/>
      <c r="K392" s="243"/>
      <c r="L392" s="15"/>
      <c r="M392" s="243"/>
      <c r="N392" s="243"/>
      <c r="O392" s="243"/>
      <c r="P392" s="243"/>
      <c r="Q392" s="243"/>
    </row>
    <row r="393">
      <c r="A393" s="243"/>
      <c r="B393" s="15"/>
      <c r="C393" s="15"/>
      <c r="D393" s="15"/>
      <c r="E393" s="379"/>
      <c r="F393" s="15"/>
      <c r="G393" s="250"/>
      <c r="H393" s="380"/>
      <c r="I393" s="15"/>
      <c r="J393" s="31"/>
      <c r="K393" s="243"/>
      <c r="L393" s="15"/>
      <c r="M393" s="243"/>
      <c r="N393" s="243"/>
      <c r="O393" s="243"/>
      <c r="P393" s="243"/>
      <c r="Q393" s="243"/>
    </row>
    <row r="394">
      <c r="A394" s="243"/>
      <c r="B394" s="15"/>
      <c r="C394" s="15"/>
      <c r="D394" s="15"/>
      <c r="E394" s="379"/>
      <c r="F394" s="15"/>
      <c r="G394" s="250"/>
      <c r="H394" s="380"/>
      <c r="I394" s="15"/>
      <c r="J394" s="31"/>
      <c r="K394" s="243"/>
      <c r="L394" s="15"/>
      <c r="M394" s="243"/>
      <c r="N394" s="243"/>
      <c r="O394" s="243"/>
      <c r="P394" s="243"/>
      <c r="Q394" s="243"/>
    </row>
    <row r="395">
      <c r="A395" s="243"/>
      <c r="B395" s="15"/>
      <c r="C395" s="15"/>
      <c r="D395" s="15"/>
      <c r="E395" s="379"/>
      <c r="F395" s="15"/>
      <c r="G395" s="250"/>
      <c r="H395" s="380"/>
      <c r="I395" s="15"/>
      <c r="J395" s="31"/>
      <c r="K395" s="243"/>
      <c r="L395" s="15"/>
      <c r="M395" s="243"/>
      <c r="N395" s="243"/>
      <c r="O395" s="243"/>
      <c r="P395" s="243"/>
      <c r="Q395" s="243"/>
    </row>
    <row r="396">
      <c r="A396" s="243"/>
      <c r="B396" s="15"/>
      <c r="C396" s="15"/>
      <c r="D396" s="15"/>
      <c r="E396" s="379"/>
      <c r="F396" s="15"/>
      <c r="G396" s="250"/>
      <c r="H396" s="380"/>
      <c r="I396" s="15"/>
      <c r="J396" s="31"/>
      <c r="K396" s="243"/>
      <c r="L396" s="15"/>
      <c r="M396" s="243"/>
      <c r="N396" s="243"/>
      <c r="O396" s="243"/>
      <c r="P396" s="243"/>
      <c r="Q396" s="243"/>
    </row>
    <row r="397">
      <c r="A397" s="243"/>
      <c r="B397" s="15"/>
      <c r="C397" s="15"/>
      <c r="D397" s="15"/>
      <c r="E397" s="379"/>
      <c r="F397" s="15"/>
      <c r="G397" s="250"/>
      <c r="H397" s="380"/>
      <c r="I397" s="15"/>
      <c r="J397" s="31"/>
      <c r="K397" s="243"/>
      <c r="L397" s="15"/>
      <c r="M397" s="243"/>
      <c r="N397" s="243"/>
      <c r="O397" s="243"/>
      <c r="P397" s="243"/>
      <c r="Q397" s="243"/>
    </row>
    <row r="398">
      <c r="A398" s="243"/>
      <c r="B398" s="15"/>
      <c r="C398" s="15"/>
      <c r="D398" s="15"/>
      <c r="E398" s="379"/>
      <c r="F398" s="15"/>
      <c r="G398" s="250"/>
      <c r="H398" s="380"/>
      <c r="I398" s="15"/>
      <c r="J398" s="31"/>
      <c r="K398" s="243"/>
      <c r="L398" s="15"/>
      <c r="M398" s="243"/>
      <c r="N398" s="243"/>
      <c r="O398" s="243"/>
      <c r="P398" s="243"/>
      <c r="Q398" s="243"/>
    </row>
    <row r="399">
      <c r="A399" s="243"/>
      <c r="B399" s="15"/>
      <c r="C399" s="15"/>
      <c r="D399" s="15"/>
      <c r="E399" s="379"/>
      <c r="F399" s="15"/>
      <c r="G399" s="250"/>
      <c r="H399" s="380"/>
      <c r="I399" s="15"/>
      <c r="J399" s="31"/>
      <c r="K399" s="243"/>
      <c r="L399" s="15"/>
      <c r="M399" s="243"/>
      <c r="N399" s="243"/>
      <c r="O399" s="243"/>
      <c r="P399" s="243"/>
      <c r="Q399" s="243"/>
    </row>
    <row r="400">
      <c r="A400" s="243"/>
      <c r="B400" s="15"/>
      <c r="C400" s="15"/>
      <c r="D400" s="15"/>
      <c r="E400" s="379"/>
      <c r="F400" s="15"/>
      <c r="G400" s="250"/>
      <c r="H400" s="380"/>
      <c r="I400" s="15"/>
      <c r="J400" s="31"/>
      <c r="K400" s="243"/>
      <c r="L400" s="15"/>
      <c r="M400" s="243"/>
      <c r="N400" s="243"/>
      <c r="O400" s="243"/>
      <c r="P400" s="243"/>
      <c r="Q400" s="243"/>
    </row>
    <row r="401">
      <c r="A401" s="243"/>
      <c r="B401" s="15"/>
      <c r="C401" s="15"/>
      <c r="D401" s="15"/>
      <c r="E401" s="379"/>
      <c r="F401" s="15"/>
      <c r="G401" s="250"/>
      <c r="H401" s="380"/>
      <c r="I401" s="15"/>
      <c r="J401" s="31"/>
      <c r="K401" s="243"/>
      <c r="L401" s="15"/>
      <c r="M401" s="243"/>
      <c r="N401" s="243"/>
      <c r="O401" s="243"/>
      <c r="P401" s="243"/>
      <c r="Q401" s="243"/>
    </row>
    <row r="402">
      <c r="A402" s="243"/>
      <c r="B402" s="15"/>
      <c r="C402" s="15"/>
      <c r="D402" s="15"/>
      <c r="E402" s="379"/>
      <c r="F402" s="15"/>
      <c r="G402" s="250"/>
      <c r="H402" s="380"/>
      <c r="I402" s="15"/>
      <c r="J402" s="31"/>
      <c r="K402" s="243"/>
      <c r="L402" s="15"/>
      <c r="M402" s="243"/>
      <c r="N402" s="243"/>
      <c r="O402" s="243"/>
      <c r="P402" s="243"/>
      <c r="Q402" s="243"/>
    </row>
    <row r="403">
      <c r="A403" s="243"/>
      <c r="B403" s="15"/>
      <c r="C403" s="15"/>
      <c r="D403" s="15"/>
      <c r="E403" s="379"/>
      <c r="F403" s="15"/>
      <c r="G403" s="250"/>
      <c r="H403" s="380"/>
      <c r="I403" s="15"/>
      <c r="J403" s="31"/>
      <c r="K403" s="243"/>
      <c r="L403" s="15"/>
      <c r="M403" s="243"/>
      <c r="N403" s="243"/>
      <c r="O403" s="243"/>
      <c r="P403" s="243"/>
      <c r="Q403" s="243"/>
    </row>
    <row r="404">
      <c r="A404" s="243"/>
      <c r="B404" s="15"/>
      <c r="C404" s="15"/>
      <c r="D404" s="15"/>
      <c r="E404" s="379"/>
      <c r="F404" s="15"/>
      <c r="G404" s="250"/>
      <c r="H404" s="380"/>
      <c r="I404" s="15"/>
      <c r="J404" s="31"/>
      <c r="K404" s="243"/>
      <c r="L404" s="15"/>
      <c r="M404" s="243"/>
      <c r="N404" s="243"/>
      <c r="O404" s="243"/>
      <c r="P404" s="243"/>
      <c r="Q404" s="243"/>
    </row>
    <row r="405">
      <c r="A405" s="243"/>
      <c r="B405" s="15"/>
      <c r="C405" s="15"/>
      <c r="D405" s="15"/>
      <c r="E405" s="379"/>
      <c r="F405" s="15"/>
      <c r="G405" s="250"/>
      <c r="H405" s="380"/>
      <c r="I405" s="15"/>
      <c r="J405" s="31"/>
      <c r="K405" s="243"/>
      <c r="L405" s="15"/>
      <c r="M405" s="243"/>
      <c r="N405" s="243"/>
      <c r="O405" s="243"/>
      <c r="P405" s="243"/>
      <c r="Q405" s="243"/>
    </row>
    <row r="406">
      <c r="A406" s="243"/>
      <c r="B406" s="15"/>
      <c r="C406" s="15"/>
      <c r="D406" s="15"/>
      <c r="E406" s="379"/>
      <c r="F406" s="15"/>
      <c r="G406" s="250"/>
      <c r="H406" s="380"/>
      <c r="I406" s="15"/>
      <c r="J406" s="31"/>
      <c r="K406" s="243"/>
      <c r="L406" s="15"/>
      <c r="M406" s="243"/>
      <c r="N406" s="243"/>
      <c r="O406" s="243"/>
      <c r="P406" s="243"/>
      <c r="Q406" s="243"/>
    </row>
    <row r="407">
      <c r="A407" s="243"/>
      <c r="B407" s="15"/>
      <c r="C407" s="15"/>
      <c r="D407" s="15"/>
      <c r="E407" s="379"/>
      <c r="F407" s="15"/>
      <c r="G407" s="250"/>
      <c r="H407" s="380"/>
      <c r="I407" s="15"/>
      <c r="J407" s="31"/>
      <c r="K407" s="243"/>
      <c r="L407" s="15"/>
      <c r="M407" s="243"/>
      <c r="N407" s="243"/>
      <c r="O407" s="243"/>
      <c r="P407" s="243"/>
      <c r="Q407" s="243"/>
    </row>
    <row r="408">
      <c r="A408" s="243"/>
      <c r="B408" s="15"/>
      <c r="C408" s="15"/>
      <c r="D408" s="15"/>
      <c r="E408" s="379"/>
      <c r="F408" s="15"/>
      <c r="G408" s="250"/>
      <c r="H408" s="380"/>
      <c r="I408" s="15"/>
      <c r="J408" s="31"/>
      <c r="K408" s="243"/>
      <c r="L408" s="15"/>
      <c r="M408" s="243"/>
      <c r="N408" s="243"/>
      <c r="O408" s="243"/>
      <c r="P408" s="243"/>
      <c r="Q408" s="243"/>
    </row>
    <row r="409">
      <c r="A409" s="243"/>
      <c r="B409" s="15"/>
      <c r="C409" s="15"/>
      <c r="D409" s="15"/>
      <c r="E409" s="379"/>
      <c r="F409" s="15"/>
      <c r="G409" s="250"/>
      <c r="H409" s="380"/>
      <c r="I409" s="15"/>
      <c r="J409" s="31"/>
      <c r="K409" s="243"/>
      <c r="L409" s="15"/>
      <c r="M409" s="243"/>
      <c r="N409" s="243"/>
      <c r="O409" s="243"/>
      <c r="P409" s="243"/>
      <c r="Q409" s="243"/>
    </row>
    <row r="410">
      <c r="A410" s="243"/>
      <c r="B410" s="15"/>
      <c r="C410" s="15"/>
      <c r="D410" s="15"/>
      <c r="E410" s="379"/>
      <c r="F410" s="15"/>
      <c r="G410" s="250"/>
      <c r="H410" s="380"/>
      <c r="I410" s="15"/>
      <c r="J410" s="31"/>
      <c r="K410" s="243"/>
      <c r="L410" s="15"/>
      <c r="M410" s="243"/>
      <c r="N410" s="243"/>
      <c r="O410" s="243"/>
      <c r="P410" s="243"/>
      <c r="Q410" s="243"/>
    </row>
    <row r="411">
      <c r="A411" s="243"/>
      <c r="B411" s="15"/>
      <c r="C411" s="15"/>
      <c r="D411" s="15"/>
      <c r="E411" s="379"/>
      <c r="F411" s="15"/>
      <c r="G411" s="250"/>
      <c r="H411" s="380"/>
      <c r="I411" s="15"/>
      <c r="J411" s="31"/>
      <c r="K411" s="243"/>
      <c r="L411" s="15"/>
      <c r="M411" s="243"/>
      <c r="N411" s="243"/>
      <c r="O411" s="243"/>
      <c r="P411" s="243"/>
      <c r="Q411" s="243"/>
    </row>
    <row r="412">
      <c r="A412" s="243"/>
      <c r="B412" s="15"/>
      <c r="C412" s="15"/>
      <c r="D412" s="15"/>
      <c r="E412" s="379"/>
      <c r="F412" s="15"/>
      <c r="G412" s="250"/>
      <c r="H412" s="380"/>
      <c r="I412" s="15"/>
      <c r="J412" s="31"/>
      <c r="K412" s="243"/>
      <c r="L412" s="15"/>
      <c r="M412" s="243"/>
      <c r="N412" s="243"/>
      <c r="O412" s="243"/>
      <c r="P412" s="243"/>
      <c r="Q412" s="243"/>
    </row>
    <row r="413">
      <c r="A413" s="243"/>
      <c r="B413" s="15"/>
      <c r="C413" s="15"/>
      <c r="D413" s="15"/>
      <c r="E413" s="379"/>
      <c r="F413" s="15"/>
      <c r="G413" s="250"/>
      <c r="H413" s="380"/>
      <c r="I413" s="15"/>
      <c r="J413" s="31"/>
      <c r="K413" s="243"/>
      <c r="L413" s="15"/>
      <c r="M413" s="243"/>
      <c r="N413" s="243"/>
      <c r="O413" s="243"/>
      <c r="P413" s="243"/>
      <c r="Q413" s="243"/>
    </row>
    <row r="414">
      <c r="A414" s="243"/>
      <c r="B414" s="15"/>
      <c r="C414" s="15"/>
      <c r="D414" s="15"/>
      <c r="E414" s="379"/>
      <c r="F414" s="15"/>
      <c r="G414" s="250"/>
      <c r="H414" s="380"/>
      <c r="I414" s="15"/>
      <c r="J414" s="31"/>
      <c r="K414" s="243"/>
      <c r="L414" s="15"/>
      <c r="M414" s="243"/>
      <c r="N414" s="243"/>
      <c r="O414" s="243"/>
      <c r="P414" s="243"/>
      <c r="Q414" s="243"/>
    </row>
    <row r="415">
      <c r="A415" s="243"/>
      <c r="B415" s="15"/>
      <c r="C415" s="15"/>
      <c r="D415" s="15"/>
      <c r="E415" s="379"/>
      <c r="F415" s="15"/>
      <c r="G415" s="250"/>
      <c r="H415" s="380"/>
      <c r="I415" s="15"/>
      <c r="J415" s="31"/>
      <c r="K415" s="243"/>
      <c r="L415" s="15"/>
      <c r="M415" s="243"/>
      <c r="N415" s="243"/>
      <c r="O415" s="243"/>
      <c r="P415" s="243"/>
      <c r="Q415" s="243"/>
    </row>
    <row r="416">
      <c r="A416" s="243"/>
      <c r="B416" s="15"/>
      <c r="C416" s="15"/>
      <c r="D416" s="15"/>
      <c r="E416" s="379"/>
      <c r="F416" s="15"/>
      <c r="G416" s="250"/>
      <c r="H416" s="380"/>
      <c r="I416" s="15"/>
      <c r="J416" s="31"/>
      <c r="K416" s="243"/>
      <c r="L416" s="15"/>
      <c r="M416" s="243"/>
      <c r="N416" s="243"/>
      <c r="O416" s="243"/>
      <c r="P416" s="243"/>
      <c r="Q416" s="243"/>
    </row>
    <row r="417">
      <c r="A417" s="243"/>
      <c r="B417" s="15"/>
      <c r="C417" s="15"/>
      <c r="D417" s="15"/>
      <c r="E417" s="379"/>
      <c r="F417" s="15"/>
      <c r="G417" s="250"/>
      <c r="H417" s="380"/>
      <c r="I417" s="15"/>
      <c r="J417" s="31"/>
      <c r="K417" s="243"/>
      <c r="L417" s="15"/>
      <c r="M417" s="243"/>
      <c r="N417" s="243"/>
      <c r="O417" s="243"/>
      <c r="P417" s="243"/>
      <c r="Q417" s="243"/>
    </row>
    <row r="418">
      <c r="A418" s="243"/>
      <c r="B418" s="15"/>
      <c r="C418" s="15"/>
      <c r="D418" s="15"/>
      <c r="E418" s="379"/>
      <c r="F418" s="15"/>
      <c r="G418" s="250"/>
      <c r="H418" s="380"/>
      <c r="I418" s="15"/>
      <c r="J418" s="31"/>
      <c r="K418" s="243"/>
      <c r="L418" s="15"/>
      <c r="M418" s="243"/>
      <c r="N418" s="243"/>
      <c r="O418" s="243"/>
      <c r="P418" s="243"/>
      <c r="Q418" s="243"/>
    </row>
    <row r="419">
      <c r="A419" s="243"/>
      <c r="B419" s="15"/>
      <c r="C419" s="15"/>
      <c r="D419" s="15"/>
      <c r="E419" s="379"/>
      <c r="F419" s="15"/>
      <c r="G419" s="250"/>
      <c r="H419" s="380"/>
      <c r="I419" s="15"/>
      <c r="J419" s="31"/>
      <c r="K419" s="243"/>
      <c r="L419" s="15"/>
      <c r="M419" s="243"/>
      <c r="N419" s="243"/>
      <c r="O419" s="243"/>
      <c r="P419" s="243"/>
      <c r="Q419" s="243"/>
    </row>
    <row r="420">
      <c r="A420" s="243"/>
      <c r="B420" s="15"/>
      <c r="C420" s="15"/>
      <c r="D420" s="15"/>
      <c r="E420" s="379"/>
      <c r="F420" s="15"/>
      <c r="G420" s="250"/>
      <c r="H420" s="380"/>
      <c r="I420" s="15"/>
      <c r="J420" s="31"/>
      <c r="K420" s="243"/>
      <c r="L420" s="15"/>
      <c r="M420" s="243"/>
      <c r="N420" s="243"/>
      <c r="O420" s="243"/>
      <c r="P420" s="243"/>
      <c r="Q420" s="243"/>
    </row>
    <row r="421">
      <c r="A421" s="243"/>
      <c r="B421" s="15"/>
      <c r="C421" s="15"/>
      <c r="D421" s="15"/>
      <c r="E421" s="379"/>
      <c r="F421" s="15"/>
      <c r="G421" s="250"/>
      <c r="H421" s="380"/>
      <c r="I421" s="15"/>
      <c r="J421" s="31"/>
      <c r="K421" s="243"/>
      <c r="L421" s="15"/>
      <c r="M421" s="243"/>
      <c r="N421" s="243"/>
      <c r="O421" s="243"/>
      <c r="P421" s="243"/>
      <c r="Q421" s="243"/>
    </row>
    <row r="422">
      <c r="A422" s="243"/>
      <c r="B422" s="15"/>
      <c r="C422" s="15"/>
      <c r="D422" s="15"/>
      <c r="E422" s="379"/>
      <c r="F422" s="15"/>
      <c r="G422" s="250"/>
      <c r="H422" s="380"/>
      <c r="I422" s="15"/>
      <c r="J422" s="31"/>
      <c r="K422" s="243"/>
      <c r="L422" s="15"/>
      <c r="M422" s="243"/>
      <c r="N422" s="243"/>
      <c r="O422" s="243"/>
      <c r="P422" s="243"/>
      <c r="Q422" s="243"/>
    </row>
    <row r="423">
      <c r="A423" s="243"/>
      <c r="B423" s="15"/>
      <c r="C423" s="15"/>
      <c r="D423" s="15"/>
      <c r="E423" s="379"/>
      <c r="F423" s="15"/>
      <c r="G423" s="250"/>
      <c r="H423" s="380"/>
      <c r="I423" s="15"/>
      <c r="J423" s="31"/>
      <c r="K423" s="243"/>
      <c r="L423" s="15"/>
      <c r="M423" s="243"/>
      <c r="N423" s="243"/>
      <c r="O423" s="243"/>
      <c r="P423" s="243"/>
      <c r="Q423" s="243"/>
    </row>
    <row r="424">
      <c r="A424" s="243"/>
      <c r="B424" s="15"/>
      <c r="C424" s="15"/>
      <c r="D424" s="15"/>
      <c r="E424" s="379"/>
      <c r="F424" s="15"/>
      <c r="G424" s="250"/>
      <c r="H424" s="380"/>
      <c r="I424" s="15"/>
      <c r="J424" s="31"/>
      <c r="K424" s="243"/>
      <c r="L424" s="15"/>
      <c r="M424" s="243"/>
      <c r="N424" s="243"/>
      <c r="O424" s="243"/>
      <c r="P424" s="243"/>
      <c r="Q424" s="243"/>
    </row>
    <row r="425">
      <c r="A425" s="243"/>
      <c r="B425" s="15"/>
      <c r="C425" s="15"/>
      <c r="D425" s="15"/>
      <c r="E425" s="379"/>
      <c r="F425" s="15"/>
      <c r="G425" s="250"/>
      <c r="H425" s="380"/>
      <c r="I425" s="15"/>
      <c r="J425" s="31"/>
      <c r="K425" s="243"/>
      <c r="L425" s="15"/>
      <c r="M425" s="243"/>
      <c r="N425" s="243"/>
      <c r="O425" s="243"/>
      <c r="P425" s="243"/>
      <c r="Q425" s="243"/>
    </row>
    <row r="426">
      <c r="A426" s="243"/>
      <c r="B426" s="15"/>
      <c r="C426" s="15"/>
      <c r="D426" s="15"/>
      <c r="E426" s="379"/>
      <c r="F426" s="15"/>
      <c r="G426" s="250"/>
      <c r="H426" s="380"/>
      <c r="I426" s="15"/>
      <c r="J426" s="31"/>
      <c r="K426" s="243"/>
      <c r="L426" s="15"/>
      <c r="M426" s="243"/>
      <c r="N426" s="243"/>
      <c r="O426" s="243"/>
      <c r="P426" s="243"/>
      <c r="Q426" s="243"/>
    </row>
    <row r="427">
      <c r="A427" s="243"/>
      <c r="B427" s="15"/>
      <c r="C427" s="15"/>
      <c r="D427" s="15"/>
      <c r="E427" s="379"/>
      <c r="F427" s="15"/>
      <c r="G427" s="250"/>
      <c r="H427" s="380"/>
      <c r="I427" s="15"/>
      <c r="J427" s="31"/>
      <c r="K427" s="243"/>
      <c r="L427" s="15"/>
      <c r="M427" s="243"/>
      <c r="N427" s="243"/>
      <c r="O427" s="243"/>
      <c r="P427" s="243"/>
      <c r="Q427" s="243"/>
    </row>
    <row r="428">
      <c r="A428" s="243"/>
      <c r="B428" s="15"/>
      <c r="C428" s="15"/>
      <c r="D428" s="15"/>
      <c r="E428" s="379"/>
      <c r="F428" s="15"/>
      <c r="G428" s="250"/>
      <c r="H428" s="380"/>
      <c r="I428" s="15"/>
      <c r="J428" s="31"/>
      <c r="K428" s="243"/>
      <c r="L428" s="15"/>
      <c r="M428" s="243"/>
      <c r="N428" s="243"/>
      <c r="O428" s="243"/>
      <c r="P428" s="243"/>
      <c r="Q428" s="243"/>
    </row>
    <row r="429">
      <c r="A429" s="243"/>
      <c r="B429" s="15"/>
      <c r="C429" s="15"/>
      <c r="D429" s="15"/>
      <c r="E429" s="379"/>
      <c r="F429" s="15"/>
      <c r="G429" s="250"/>
      <c r="H429" s="380"/>
      <c r="I429" s="15"/>
      <c r="J429" s="31"/>
      <c r="K429" s="243"/>
      <c r="L429" s="15"/>
      <c r="M429" s="243"/>
      <c r="N429" s="243"/>
      <c r="O429" s="243"/>
      <c r="P429" s="243"/>
      <c r="Q429" s="243"/>
    </row>
    <row r="430">
      <c r="A430" s="243"/>
      <c r="B430" s="15"/>
      <c r="C430" s="15"/>
      <c r="D430" s="15"/>
      <c r="E430" s="379"/>
      <c r="F430" s="15"/>
      <c r="G430" s="250"/>
      <c r="H430" s="380"/>
      <c r="I430" s="15"/>
      <c r="J430" s="31"/>
      <c r="K430" s="243"/>
      <c r="L430" s="15"/>
      <c r="M430" s="243"/>
      <c r="N430" s="243"/>
      <c r="O430" s="243"/>
      <c r="P430" s="243"/>
      <c r="Q430" s="243"/>
    </row>
    <row r="431">
      <c r="A431" s="243"/>
      <c r="B431" s="15"/>
      <c r="C431" s="15"/>
      <c r="D431" s="15"/>
      <c r="E431" s="379"/>
      <c r="F431" s="15"/>
      <c r="G431" s="250"/>
      <c r="H431" s="380"/>
      <c r="I431" s="15"/>
      <c r="J431" s="31"/>
      <c r="K431" s="243"/>
      <c r="L431" s="15"/>
      <c r="M431" s="243"/>
      <c r="N431" s="243"/>
      <c r="O431" s="243"/>
      <c r="P431" s="243"/>
      <c r="Q431" s="243"/>
    </row>
    <row r="432">
      <c r="A432" s="243"/>
      <c r="B432" s="15"/>
      <c r="C432" s="15"/>
      <c r="D432" s="15"/>
      <c r="E432" s="379"/>
      <c r="F432" s="15"/>
      <c r="G432" s="250"/>
      <c r="H432" s="380"/>
      <c r="I432" s="15"/>
      <c r="J432" s="31"/>
      <c r="K432" s="243"/>
      <c r="L432" s="15"/>
      <c r="M432" s="243"/>
      <c r="N432" s="243"/>
      <c r="O432" s="243"/>
      <c r="P432" s="243"/>
      <c r="Q432" s="243"/>
    </row>
    <row r="433">
      <c r="A433" s="243"/>
      <c r="B433" s="15"/>
      <c r="C433" s="15"/>
      <c r="D433" s="15"/>
      <c r="E433" s="379"/>
      <c r="F433" s="15"/>
      <c r="G433" s="250"/>
      <c r="H433" s="380"/>
      <c r="I433" s="15"/>
      <c r="J433" s="31"/>
      <c r="K433" s="243"/>
      <c r="L433" s="15"/>
      <c r="M433" s="243"/>
      <c r="N433" s="243"/>
      <c r="O433" s="243"/>
      <c r="P433" s="243"/>
      <c r="Q433" s="243"/>
    </row>
    <row r="434">
      <c r="A434" s="243"/>
      <c r="B434" s="15"/>
      <c r="C434" s="15"/>
      <c r="D434" s="15"/>
      <c r="E434" s="379"/>
      <c r="F434" s="15"/>
      <c r="G434" s="250"/>
      <c r="H434" s="380"/>
      <c r="I434" s="15"/>
      <c r="J434" s="31"/>
      <c r="K434" s="243"/>
      <c r="L434" s="15"/>
      <c r="M434" s="243"/>
      <c r="N434" s="243"/>
      <c r="O434" s="243"/>
      <c r="P434" s="243"/>
      <c r="Q434" s="243"/>
    </row>
    <row r="435">
      <c r="A435" s="243"/>
      <c r="B435" s="15"/>
      <c r="C435" s="15"/>
      <c r="D435" s="15"/>
      <c r="E435" s="379"/>
      <c r="F435" s="15"/>
      <c r="G435" s="250"/>
      <c r="H435" s="380"/>
      <c r="I435" s="15"/>
      <c r="J435" s="31"/>
      <c r="K435" s="243"/>
      <c r="L435" s="15"/>
      <c r="M435" s="243"/>
      <c r="N435" s="243"/>
      <c r="O435" s="243"/>
      <c r="P435" s="243"/>
      <c r="Q435" s="243"/>
    </row>
    <row r="436">
      <c r="A436" s="243"/>
      <c r="B436" s="15"/>
      <c r="C436" s="15"/>
      <c r="D436" s="15"/>
      <c r="E436" s="379"/>
      <c r="F436" s="15"/>
      <c r="G436" s="250"/>
      <c r="H436" s="380"/>
      <c r="I436" s="15"/>
      <c r="J436" s="31"/>
      <c r="K436" s="243"/>
      <c r="L436" s="15"/>
      <c r="M436" s="243"/>
      <c r="N436" s="243"/>
      <c r="O436" s="243"/>
      <c r="P436" s="243"/>
      <c r="Q436" s="243"/>
    </row>
    <row r="437">
      <c r="A437" s="243"/>
      <c r="B437" s="15"/>
      <c r="C437" s="15"/>
      <c r="D437" s="15"/>
      <c r="E437" s="379"/>
      <c r="F437" s="15"/>
      <c r="G437" s="250"/>
      <c r="H437" s="380"/>
      <c r="I437" s="15"/>
      <c r="J437" s="31"/>
      <c r="K437" s="243"/>
      <c r="L437" s="15"/>
      <c r="M437" s="243"/>
      <c r="N437" s="243"/>
      <c r="O437" s="243"/>
      <c r="P437" s="243"/>
      <c r="Q437" s="243"/>
    </row>
    <row r="438">
      <c r="A438" s="243"/>
      <c r="B438" s="15"/>
      <c r="C438" s="15"/>
      <c r="D438" s="15"/>
      <c r="E438" s="379"/>
      <c r="F438" s="15"/>
      <c r="G438" s="250"/>
      <c r="H438" s="380"/>
      <c r="I438" s="15"/>
      <c r="J438" s="31"/>
      <c r="K438" s="243"/>
      <c r="L438" s="15"/>
      <c r="M438" s="243"/>
      <c r="N438" s="243"/>
      <c r="O438" s="243"/>
      <c r="P438" s="243"/>
      <c r="Q438" s="243"/>
    </row>
    <row r="439">
      <c r="A439" s="243"/>
      <c r="B439" s="15"/>
      <c r="C439" s="15"/>
      <c r="D439" s="15"/>
      <c r="E439" s="379"/>
      <c r="F439" s="15"/>
      <c r="G439" s="250"/>
      <c r="H439" s="380"/>
      <c r="I439" s="15"/>
      <c r="J439" s="31"/>
      <c r="K439" s="243"/>
      <c r="L439" s="15"/>
      <c r="M439" s="243"/>
      <c r="N439" s="243"/>
      <c r="O439" s="243"/>
      <c r="P439" s="243"/>
      <c r="Q439" s="243"/>
    </row>
    <row r="440">
      <c r="A440" s="243"/>
      <c r="B440" s="15"/>
      <c r="C440" s="15"/>
      <c r="D440" s="15"/>
      <c r="E440" s="379"/>
      <c r="F440" s="15"/>
      <c r="G440" s="250"/>
      <c r="H440" s="380"/>
      <c r="I440" s="15"/>
      <c r="J440" s="31"/>
      <c r="K440" s="243"/>
      <c r="L440" s="15"/>
      <c r="M440" s="243"/>
      <c r="N440" s="243"/>
      <c r="O440" s="243"/>
      <c r="P440" s="243"/>
      <c r="Q440" s="243"/>
    </row>
    <row r="441">
      <c r="A441" s="243"/>
      <c r="B441" s="15"/>
      <c r="C441" s="15"/>
      <c r="D441" s="15"/>
      <c r="E441" s="379"/>
      <c r="F441" s="15"/>
      <c r="G441" s="250"/>
      <c r="H441" s="380"/>
      <c r="I441" s="15"/>
      <c r="J441" s="31"/>
      <c r="K441" s="243"/>
      <c r="L441" s="15"/>
      <c r="M441" s="243"/>
      <c r="N441" s="243"/>
      <c r="O441" s="243"/>
      <c r="P441" s="243"/>
      <c r="Q441" s="243"/>
    </row>
    <row r="442">
      <c r="A442" s="243"/>
      <c r="B442" s="15"/>
      <c r="C442" s="15"/>
      <c r="D442" s="15"/>
      <c r="E442" s="379"/>
      <c r="F442" s="15"/>
      <c r="G442" s="250"/>
      <c r="H442" s="380"/>
      <c r="I442" s="15"/>
      <c r="J442" s="31"/>
      <c r="K442" s="243"/>
      <c r="L442" s="15"/>
      <c r="M442" s="243"/>
      <c r="N442" s="243"/>
      <c r="O442" s="243"/>
      <c r="P442" s="243"/>
      <c r="Q442" s="243"/>
    </row>
    <row r="443">
      <c r="A443" s="243"/>
      <c r="B443" s="15"/>
      <c r="C443" s="15"/>
      <c r="D443" s="15"/>
      <c r="E443" s="379"/>
      <c r="F443" s="15"/>
      <c r="G443" s="250"/>
      <c r="H443" s="380"/>
      <c r="I443" s="15"/>
      <c r="J443" s="31"/>
      <c r="K443" s="243"/>
      <c r="L443" s="15"/>
      <c r="M443" s="243"/>
      <c r="N443" s="243"/>
      <c r="O443" s="243"/>
      <c r="P443" s="243"/>
      <c r="Q443" s="243"/>
    </row>
    <row r="444">
      <c r="A444" s="243"/>
      <c r="B444" s="15"/>
      <c r="C444" s="15"/>
      <c r="D444" s="15"/>
      <c r="E444" s="379"/>
      <c r="F444" s="15"/>
      <c r="G444" s="250"/>
      <c r="H444" s="380"/>
      <c r="I444" s="15"/>
      <c r="J444" s="31"/>
      <c r="K444" s="243"/>
      <c r="L444" s="15"/>
      <c r="M444" s="243"/>
      <c r="N444" s="243"/>
      <c r="O444" s="243"/>
      <c r="P444" s="243"/>
      <c r="Q444" s="243"/>
    </row>
    <row r="445">
      <c r="A445" s="243"/>
      <c r="B445" s="15"/>
      <c r="C445" s="15"/>
      <c r="D445" s="15"/>
      <c r="E445" s="379"/>
      <c r="F445" s="15"/>
      <c r="G445" s="250"/>
      <c r="H445" s="380"/>
      <c r="I445" s="15"/>
      <c r="J445" s="31"/>
      <c r="K445" s="243"/>
      <c r="L445" s="15"/>
      <c r="M445" s="243"/>
      <c r="N445" s="243"/>
      <c r="O445" s="243"/>
      <c r="P445" s="243"/>
      <c r="Q445" s="243"/>
    </row>
    <row r="446">
      <c r="A446" s="243"/>
      <c r="B446" s="15"/>
      <c r="C446" s="15"/>
      <c r="D446" s="15"/>
      <c r="E446" s="379"/>
      <c r="F446" s="15"/>
      <c r="G446" s="250"/>
      <c r="H446" s="380"/>
      <c r="I446" s="15"/>
      <c r="J446" s="31"/>
      <c r="K446" s="243"/>
      <c r="L446" s="15"/>
      <c r="M446" s="243"/>
      <c r="N446" s="243"/>
      <c r="O446" s="243"/>
      <c r="P446" s="243"/>
      <c r="Q446" s="243"/>
    </row>
    <row r="447">
      <c r="A447" s="243"/>
      <c r="B447" s="15"/>
      <c r="C447" s="15"/>
      <c r="D447" s="15"/>
      <c r="E447" s="379"/>
      <c r="F447" s="15"/>
      <c r="G447" s="250"/>
      <c r="H447" s="380"/>
      <c r="I447" s="15"/>
      <c r="J447" s="31"/>
      <c r="K447" s="243"/>
      <c r="L447" s="15"/>
      <c r="M447" s="243"/>
      <c r="N447" s="243"/>
      <c r="O447" s="243"/>
      <c r="P447" s="243"/>
      <c r="Q447" s="243"/>
    </row>
    <row r="448">
      <c r="A448" s="243"/>
      <c r="B448" s="15"/>
      <c r="C448" s="15"/>
      <c r="D448" s="15"/>
      <c r="E448" s="379"/>
      <c r="F448" s="15"/>
      <c r="G448" s="250"/>
      <c r="H448" s="380"/>
      <c r="I448" s="15"/>
      <c r="J448" s="31"/>
      <c r="K448" s="243"/>
      <c r="L448" s="15"/>
      <c r="M448" s="243"/>
      <c r="N448" s="243"/>
      <c r="O448" s="243"/>
      <c r="P448" s="243"/>
      <c r="Q448" s="243"/>
    </row>
    <row r="449">
      <c r="A449" s="243"/>
      <c r="B449" s="15"/>
      <c r="C449" s="15"/>
      <c r="D449" s="15"/>
      <c r="E449" s="379"/>
      <c r="F449" s="15"/>
      <c r="G449" s="250"/>
      <c r="H449" s="380"/>
      <c r="I449" s="15"/>
      <c r="J449" s="31"/>
      <c r="K449" s="243"/>
      <c r="L449" s="15"/>
      <c r="M449" s="243"/>
      <c r="N449" s="243"/>
      <c r="O449" s="243"/>
      <c r="P449" s="243"/>
      <c r="Q449" s="243"/>
    </row>
    <row r="450">
      <c r="A450" s="243"/>
      <c r="B450" s="15"/>
      <c r="C450" s="15"/>
      <c r="D450" s="15"/>
      <c r="E450" s="379"/>
      <c r="F450" s="15"/>
      <c r="G450" s="250"/>
      <c r="H450" s="380"/>
      <c r="I450" s="15"/>
      <c r="J450" s="31"/>
      <c r="K450" s="243"/>
      <c r="L450" s="15"/>
      <c r="M450" s="243"/>
      <c r="N450" s="243"/>
      <c r="O450" s="243"/>
      <c r="P450" s="243"/>
      <c r="Q450" s="243"/>
    </row>
    <row r="451">
      <c r="A451" s="243"/>
      <c r="B451" s="15"/>
      <c r="C451" s="15"/>
      <c r="D451" s="15"/>
      <c r="E451" s="379"/>
      <c r="F451" s="15"/>
      <c r="G451" s="250"/>
      <c r="H451" s="380"/>
      <c r="I451" s="15"/>
      <c r="J451" s="31"/>
      <c r="K451" s="243"/>
      <c r="L451" s="15"/>
      <c r="M451" s="243"/>
      <c r="N451" s="243"/>
      <c r="O451" s="243"/>
      <c r="P451" s="243"/>
      <c r="Q451" s="243"/>
    </row>
    <row r="452">
      <c r="A452" s="243"/>
      <c r="B452" s="15"/>
      <c r="C452" s="15"/>
      <c r="D452" s="15"/>
      <c r="E452" s="379"/>
      <c r="F452" s="15"/>
      <c r="G452" s="250"/>
      <c r="H452" s="380"/>
      <c r="I452" s="15"/>
      <c r="J452" s="31"/>
      <c r="K452" s="243"/>
      <c r="L452" s="15"/>
      <c r="M452" s="243"/>
      <c r="N452" s="243"/>
      <c r="O452" s="243"/>
      <c r="P452" s="243"/>
      <c r="Q452" s="243"/>
    </row>
    <row r="453">
      <c r="A453" s="243"/>
      <c r="B453" s="15"/>
      <c r="C453" s="15"/>
      <c r="D453" s="15"/>
      <c r="E453" s="379"/>
      <c r="F453" s="15"/>
      <c r="G453" s="250"/>
      <c r="H453" s="380"/>
      <c r="I453" s="15"/>
      <c r="J453" s="31"/>
      <c r="K453" s="243"/>
      <c r="L453" s="15"/>
      <c r="M453" s="243"/>
      <c r="N453" s="243"/>
      <c r="O453" s="243"/>
      <c r="P453" s="243"/>
      <c r="Q453" s="243"/>
    </row>
    <row r="454">
      <c r="A454" s="243"/>
      <c r="B454" s="15"/>
      <c r="C454" s="15"/>
      <c r="D454" s="15"/>
      <c r="E454" s="379"/>
      <c r="F454" s="15"/>
      <c r="G454" s="250"/>
      <c r="H454" s="380"/>
      <c r="I454" s="15"/>
      <c r="J454" s="31"/>
      <c r="K454" s="243"/>
      <c r="L454" s="15"/>
      <c r="M454" s="243"/>
      <c r="N454" s="243"/>
      <c r="O454" s="243"/>
      <c r="P454" s="243"/>
      <c r="Q454" s="243"/>
    </row>
    <row r="455">
      <c r="A455" s="243"/>
      <c r="B455" s="15"/>
      <c r="C455" s="15"/>
      <c r="D455" s="15"/>
      <c r="E455" s="379"/>
      <c r="F455" s="15"/>
      <c r="G455" s="250"/>
      <c r="H455" s="380"/>
      <c r="I455" s="15"/>
      <c r="J455" s="31"/>
      <c r="K455" s="243"/>
      <c r="L455" s="15"/>
      <c r="M455" s="243"/>
      <c r="N455" s="243"/>
      <c r="O455" s="243"/>
      <c r="P455" s="243"/>
      <c r="Q455" s="243"/>
    </row>
    <row r="456">
      <c r="A456" s="243"/>
      <c r="B456" s="15"/>
      <c r="C456" s="15"/>
      <c r="D456" s="15"/>
      <c r="E456" s="379"/>
      <c r="F456" s="15"/>
      <c r="G456" s="250"/>
      <c r="H456" s="380"/>
      <c r="I456" s="15"/>
      <c r="J456" s="31"/>
      <c r="K456" s="243"/>
      <c r="L456" s="15"/>
      <c r="M456" s="243"/>
      <c r="N456" s="243"/>
      <c r="O456" s="243"/>
      <c r="P456" s="243"/>
      <c r="Q456" s="243"/>
    </row>
    <row r="457">
      <c r="A457" s="243"/>
      <c r="B457" s="15"/>
      <c r="C457" s="15"/>
      <c r="D457" s="15"/>
      <c r="E457" s="379"/>
      <c r="F457" s="15"/>
      <c r="G457" s="250"/>
      <c r="H457" s="380"/>
      <c r="I457" s="15"/>
      <c r="J457" s="31"/>
      <c r="K457" s="243"/>
      <c r="L457" s="15"/>
      <c r="M457" s="243"/>
      <c r="N457" s="243"/>
      <c r="O457" s="243"/>
      <c r="P457" s="243"/>
      <c r="Q457" s="243"/>
    </row>
    <row r="458">
      <c r="A458" s="243"/>
      <c r="B458" s="15"/>
      <c r="C458" s="15"/>
      <c r="D458" s="15"/>
      <c r="E458" s="379"/>
      <c r="F458" s="15"/>
      <c r="G458" s="250"/>
      <c r="H458" s="380"/>
      <c r="I458" s="15"/>
      <c r="J458" s="31"/>
      <c r="K458" s="243"/>
      <c r="L458" s="15"/>
      <c r="M458" s="243"/>
      <c r="N458" s="243"/>
      <c r="O458" s="243"/>
      <c r="P458" s="243"/>
      <c r="Q458" s="243"/>
    </row>
    <row r="459">
      <c r="A459" s="243"/>
      <c r="B459" s="15"/>
      <c r="C459" s="15"/>
      <c r="D459" s="15"/>
      <c r="E459" s="379"/>
      <c r="F459" s="15"/>
      <c r="G459" s="250"/>
      <c r="H459" s="380"/>
      <c r="I459" s="15"/>
      <c r="J459" s="31"/>
      <c r="K459" s="243"/>
      <c r="L459" s="15"/>
      <c r="M459" s="243"/>
      <c r="N459" s="243"/>
      <c r="O459" s="243"/>
      <c r="P459" s="243"/>
      <c r="Q459" s="243"/>
    </row>
    <row r="460">
      <c r="A460" s="243"/>
      <c r="B460" s="15"/>
      <c r="C460" s="15"/>
      <c r="D460" s="15"/>
      <c r="E460" s="379"/>
      <c r="F460" s="15"/>
      <c r="G460" s="250"/>
      <c r="H460" s="380"/>
      <c r="I460" s="15"/>
      <c r="J460" s="31"/>
      <c r="K460" s="243"/>
      <c r="L460" s="15"/>
      <c r="M460" s="243"/>
      <c r="N460" s="243"/>
      <c r="O460" s="243"/>
      <c r="P460" s="243"/>
      <c r="Q460" s="243"/>
    </row>
    <row r="461">
      <c r="A461" s="243"/>
      <c r="B461" s="15"/>
      <c r="C461" s="15"/>
      <c r="D461" s="15"/>
      <c r="E461" s="379"/>
      <c r="F461" s="15"/>
      <c r="G461" s="250"/>
      <c r="H461" s="380"/>
      <c r="I461" s="15"/>
      <c r="J461" s="31"/>
      <c r="K461" s="243"/>
      <c r="L461" s="15"/>
      <c r="M461" s="243"/>
      <c r="N461" s="243"/>
      <c r="O461" s="243"/>
      <c r="P461" s="243"/>
      <c r="Q461" s="243"/>
    </row>
    <row r="462">
      <c r="A462" s="243"/>
      <c r="B462" s="15"/>
      <c r="C462" s="15"/>
      <c r="D462" s="15"/>
      <c r="E462" s="379"/>
      <c r="F462" s="15"/>
      <c r="G462" s="250"/>
      <c r="H462" s="380"/>
      <c r="I462" s="15"/>
      <c r="J462" s="31"/>
      <c r="K462" s="243"/>
      <c r="L462" s="15"/>
      <c r="M462" s="243"/>
      <c r="N462" s="243"/>
      <c r="O462" s="243"/>
      <c r="P462" s="243"/>
      <c r="Q462" s="243"/>
    </row>
    <row r="463">
      <c r="A463" s="243"/>
      <c r="B463" s="15"/>
      <c r="C463" s="15"/>
      <c r="D463" s="15"/>
      <c r="E463" s="379"/>
      <c r="F463" s="15"/>
      <c r="G463" s="250"/>
      <c r="H463" s="380"/>
      <c r="I463" s="15"/>
      <c r="J463" s="31"/>
      <c r="K463" s="243"/>
      <c r="L463" s="15"/>
      <c r="M463" s="243"/>
      <c r="N463" s="243"/>
      <c r="O463" s="243"/>
      <c r="P463" s="243"/>
      <c r="Q463" s="243"/>
    </row>
    <row r="464">
      <c r="A464" s="243"/>
      <c r="B464" s="15"/>
      <c r="C464" s="15"/>
      <c r="D464" s="15"/>
      <c r="E464" s="379"/>
      <c r="F464" s="15"/>
      <c r="G464" s="250"/>
      <c r="H464" s="380"/>
      <c r="I464" s="15"/>
      <c r="J464" s="31"/>
      <c r="K464" s="243"/>
      <c r="L464" s="15"/>
      <c r="M464" s="243"/>
      <c r="N464" s="243"/>
      <c r="O464" s="243"/>
      <c r="P464" s="243"/>
      <c r="Q464" s="243"/>
    </row>
    <row r="465">
      <c r="A465" s="243"/>
      <c r="B465" s="15"/>
      <c r="C465" s="15"/>
      <c r="D465" s="15"/>
      <c r="E465" s="379"/>
      <c r="F465" s="15"/>
      <c r="G465" s="250"/>
      <c r="H465" s="380"/>
      <c r="I465" s="15"/>
      <c r="J465" s="31"/>
      <c r="K465" s="243"/>
      <c r="L465" s="15"/>
      <c r="M465" s="243"/>
      <c r="N465" s="243"/>
      <c r="O465" s="243"/>
      <c r="P465" s="243"/>
      <c r="Q465" s="243"/>
    </row>
    <row r="466">
      <c r="A466" s="243"/>
      <c r="B466" s="15"/>
      <c r="C466" s="15"/>
      <c r="D466" s="15"/>
      <c r="E466" s="379"/>
      <c r="F466" s="15"/>
      <c r="G466" s="250"/>
      <c r="H466" s="380"/>
      <c r="I466" s="15"/>
      <c r="J466" s="31"/>
      <c r="K466" s="243"/>
      <c r="L466" s="15"/>
      <c r="M466" s="243"/>
      <c r="N466" s="243"/>
      <c r="O466" s="243"/>
      <c r="P466" s="243"/>
      <c r="Q466" s="243"/>
    </row>
    <row r="467">
      <c r="A467" s="243"/>
      <c r="B467" s="15"/>
      <c r="C467" s="15"/>
      <c r="D467" s="15"/>
      <c r="E467" s="379"/>
      <c r="F467" s="15"/>
      <c r="G467" s="250"/>
      <c r="H467" s="380"/>
      <c r="I467" s="15"/>
      <c r="J467" s="31"/>
      <c r="K467" s="243"/>
      <c r="L467" s="15"/>
      <c r="M467" s="243"/>
      <c r="N467" s="243"/>
      <c r="O467" s="243"/>
      <c r="P467" s="243"/>
      <c r="Q467" s="243"/>
    </row>
    <row r="468">
      <c r="A468" s="243"/>
      <c r="B468" s="15"/>
      <c r="C468" s="15"/>
      <c r="D468" s="15"/>
      <c r="E468" s="379"/>
      <c r="F468" s="15"/>
      <c r="G468" s="250"/>
      <c r="H468" s="380"/>
      <c r="I468" s="15"/>
      <c r="J468" s="31"/>
      <c r="K468" s="243"/>
      <c r="L468" s="15"/>
      <c r="M468" s="243"/>
      <c r="N468" s="243"/>
      <c r="O468" s="243"/>
      <c r="P468" s="243"/>
      <c r="Q468" s="243"/>
    </row>
    <row r="469">
      <c r="A469" s="243"/>
      <c r="B469" s="15"/>
      <c r="C469" s="15"/>
      <c r="D469" s="15"/>
      <c r="E469" s="379"/>
      <c r="F469" s="15"/>
      <c r="G469" s="250"/>
      <c r="H469" s="380"/>
      <c r="I469" s="15"/>
      <c r="J469" s="31"/>
      <c r="K469" s="243"/>
      <c r="L469" s="15"/>
      <c r="M469" s="243"/>
      <c r="N469" s="243"/>
      <c r="O469" s="243"/>
      <c r="P469" s="243"/>
      <c r="Q469" s="243"/>
    </row>
    <row r="470">
      <c r="A470" s="243"/>
      <c r="B470" s="15"/>
      <c r="C470" s="15"/>
      <c r="D470" s="15"/>
      <c r="E470" s="379"/>
      <c r="F470" s="15"/>
      <c r="G470" s="250"/>
      <c r="H470" s="380"/>
      <c r="I470" s="15"/>
      <c r="J470" s="31"/>
      <c r="K470" s="243"/>
      <c r="L470" s="15"/>
      <c r="M470" s="243"/>
      <c r="N470" s="243"/>
      <c r="O470" s="243"/>
      <c r="P470" s="243"/>
      <c r="Q470" s="243"/>
    </row>
    <row r="471">
      <c r="A471" s="243"/>
      <c r="B471" s="15"/>
      <c r="C471" s="15"/>
      <c r="D471" s="15"/>
      <c r="E471" s="379"/>
      <c r="F471" s="15"/>
      <c r="G471" s="250"/>
      <c r="H471" s="380"/>
      <c r="I471" s="15"/>
      <c r="J471" s="31"/>
      <c r="K471" s="243"/>
      <c r="L471" s="15"/>
      <c r="M471" s="243"/>
      <c r="N471" s="243"/>
      <c r="O471" s="243"/>
      <c r="P471" s="243"/>
      <c r="Q471" s="243"/>
    </row>
    <row r="472">
      <c r="A472" s="243"/>
      <c r="B472" s="15"/>
      <c r="C472" s="15"/>
      <c r="D472" s="15"/>
      <c r="E472" s="379"/>
      <c r="F472" s="15"/>
      <c r="G472" s="250"/>
      <c r="H472" s="380"/>
      <c r="I472" s="15"/>
      <c r="J472" s="31"/>
      <c r="K472" s="243"/>
      <c r="L472" s="15"/>
      <c r="M472" s="243"/>
      <c r="N472" s="243"/>
      <c r="O472" s="243"/>
      <c r="P472" s="243"/>
      <c r="Q472" s="243"/>
    </row>
    <row r="473">
      <c r="A473" s="243"/>
      <c r="B473" s="15"/>
      <c r="C473" s="15"/>
      <c r="D473" s="15"/>
      <c r="E473" s="379"/>
      <c r="F473" s="15"/>
      <c r="G473" s="250"/>
      <c r="H473" s="380"/>
      <c r="I473" s="15"/>
      <c r="J473" s="31"/>
      <c r="K473" s="243"/>
      <c r="L473" s="15"/>
      <c r="M473" s="243"/>
      <c r="N473" s="243"/>
      <c r="O473" s="243"/>
      <c r="P473" s="243"/>
      <c r="Q473" s="243"/>
    </row>
    <row r="474">
      <c r="A474" s="243"/>
      <c r="B474" s="15"/>
      <c r="C474" s="15"/>
      <c r="D474" s="15"/>
      <c r="E474" s="379"/>
      <c r="F474" s="15"/>
      <c r="G474" s="250"/>
      <c r="H474" s="380"/>
      <c r="I474" s="15"/>
      <c r="J474" s="31"/>
      <c r="K474" s="243"/>
      <c r="L474" s="15"/>
      <c r="M474" s="243"/>
      <c r="N474" s="243"/>
      <c r="O474" s="243"/>
      <c r="P474" s="243"/>
      <c r="Q474" s="243"/>
    </row>
    <row r="475">
      <c r="A475" s="243"/>
      <c r="B475" s="15"/>
      <c r="C475" s="15"/>
      <c r="D475" s="15"/>
      <c r="E475" s="379"/>
      <c r="F475" s="15"/>
      <c r="G475" s="250"/>
      <c r="H475" s="380"/>
      <c r="I475" s="15"/>
      <c r="J475" s="31"/>
      <c r="K475" s="243"/>
      <c r="L475" s="15"/>
      <c r="M475" s="243"/>
      <c r="N475" s="243"/>
      <c r="O475" s="243"/>
      <c r="P475" s="243"/>
      <c r="Q475" s="243"/>
    </row>
    <row r="476">
      <c r="A476" s="243"/>
      <c r="B476" s="15"/>
      <c r="C476" s="15"/>
      <c r="D476" s="15"/>
      <c r="E476" s="379"/>
      <c r="F476" s="15"/>
      <c r="G476" s="250"/>
      <c r="H476" s="380"/>
      <c r="I476" s="15"/>
      <c r="J476" s="31"/>
      <c r="K476" s="243"/>
      <c r="L476" s="15"/>
      <c r="M476" s="243"/>
      <c r="N476" s="243"/>
      <c r="O476" s="243"/>
      <c r="P476" s="243"/>
      <c r="Q476" s="243"/>
    </row>
    <row r="477">
      <c r="A477" s="243"/>
      <c r="B477" s="15"/>
      <c r="C477" s="15"/>
      <c r="D477" s="15"/>
      <c r="E477" s="379"/>
      <c r="F477" s="15"/>
      <c r="G477" s="250"/>
      <c r="H477" s="380"/>
      <c r="I477" s="15"/>
      <c r="J477" s="31"/>
      <c r="K477" s="243"/>
      <c r="L477" s="15"/>
      <c r="M477" s="243"/>
      <c r="N477" s="243"/>
      <c r="O477" s="243"/>
      <c r="P477" s="243"/>
      <c r="Q477" s="243"/>
    </row>
    <row r="478">
      <c r="A478" s="243"/>
      <c r="B478" s="15"/>
      <c r="C478" s="15"/>
      <c r="D478" s="15"/>
      <c r="E478" s="379"/>
      <c r="F478" s="15"/>
      <c r="G478" s="250"/>
      <c r="H478" s="380"/>
      <c r="I478" s="15"/>
      <c r="J478" s="31"/>
      <c r="K478" s="243"/>
      <c r="L478" s="15"/>
      <c r="M478" s="243"/>
      <c r="N478" s="243"/>
      <c r="O478" s="243"/>
      <c r="P478" s="243"/>
      <c r="Q478" s="243"/>
    </row>
    <row r="479">
      <c r="A479" s="243"/>
      <c r="B479" s="15"/>
      <c r="C479" s="15"/>
      <c r="D479" s="15"/>
      <c r="E479" s="379"/>
      <c r="F479" s="15"/>
      <c r="G479" s="250"/>
      <c r="H479" s="380"/>
      <c r="I479" s="15"/>
      <c r="J479" s="31"/>
      <c r="K479" s="243"/>
      <c r="L479" s="15"/>
      <c r="M479" s="243"/>
      <c r="N479" s="243"/>
      <c r="O479" s="243"/>
      <c r="P479" s="243"/>
      <c r="Q479" s="243"/>
    </row>
    <row r="480">
      <c r="A480" s="243"/>
      <c r="B480" s="15"/>
      <c r="C480" s="15"/>
      <c r="D480" s="15"/>
      <c r="E480" s="379"/>
      <c r="F480" s="15"/>
      <c r="G480" s="250"/>
      <c r="H480" s="380"/>
      <c r="I480" s="15"/>
      <c r="J480" s="31"/>
      <c r="K480" s="243"/>
      <c r="L480" s="15"/>
      <c r="M480" s="243"/>
      <c r="N480" s="243"/>
      <c r="O480" s="243"/>
      <c r="P480" s="243"/>
      <c r="Q480" s="243"/>
    </row>
    <row r="481">
      <c r="A481" s="243"/>
      <c r="B481" s="15"/>
      <c r="C481" s="15"/>
      <c r="D481" s="15"/>
      <c r="E481" s="379"/>
      <c r="F481" s="15"/>
      <c r="G481" s="250"/>
      <c r="H481" s="380"/>
      <c r="I481" s="15"/>
      <c r="J481" s="31"/>
      <c r="K481" s="243"/>
      <c r="L481" s="15"/>
      <c r="M481" s="243"/>
      <c r="N481" s="243"/>
      <c r="O481" s="243"/>
      <c r="P481" s="243"/>
      <c r="Q481" s="243"/>
    </row>
    <row r="482">
      <c r="A482" s="243"/>
      <c r="B482" s="15"/>
      <c r="C482" s="15"/>
      <c r="D482" s="15"/>
      <c r="E482" s="379"/>
      <c r="F482" s="15"/>
      <c r="G482" s="250"/>
      <c r="H482" s="380"/>
      <c r="I482" s="15"/>
      <c r="J482" s="31"/>
      <c r="K482" s="243"/>
      <c r="L482" s="15"/>
      <c r="M482" s="243"/>
      <c r="N482" s="243"/>
      <c r="O482" s="243"/>
      <c r="P482" s="243"/>
      <c r="Q482" s="243"/>
    </row>
    <row r="483">
      <c r="A483" s="243"/>
      <c r="B483" s="15"/>
      <c r="C483" s="15"/>
      <c r="D483" s="15"/>
      <c r="E483" s="379"/>
      <c r="F483" s="15"/>
      <c r="G483" s="250"/>
      <c r="H483" s="380"/>
      <c r="I483" s="15"/>
      <c r="J483" s="31"/>
      <c r="K483" s="243"/>
      <c r="L483" s="15"/>
      <c r="M483" s="243"/>
      <c r="N483" s="243"/>
      <c r="O483" s="243"/>
      <c r="P483" s="243"/>
      <c r="Q483" s="243"/>
    </row>
    <row r="484">
      <c r="A484" s="243"/>
      <c r="B484" s="15"/>
      <c r="C484" s="15"/>
      <c r="D484" s="15"/>
      <c r="E484" s="379"/>
      <c r="F484" s="15"/>
      <c r="G484" s="250"/>
      <c r="H484" s="380"/>
      <c r="I484" s="15"/>
      <c r="J484" s="31"/>
      <c r="K484" s="243"/>
      <c r="L484" s="15"/>
      <c r="M484" s="243"/>
      <c r="N484" s="243"/>
      <c r="O484" s="243"/>
      <c r="P484" s="243"/>
      <c r="Q484" s="243"/>
    </row>
    <row r="485">
      <c r="A485" s="243"/>
      <c r="B485" s="15"/>
      <c r="C485" s="15"/>
      <c r="D485" s="15"/>
      <c r="E485" s="379"/>
      <c r="F485" s="15"/>
      <c r="G485" s="250"/>
      <c r="H485" s="380"/>
      <c r="I485" s="15"/>
      <c r="J485" s="31"/>
      <c r="K485" s="243"/>
      <c r="L485" s="15"/>
      <c r="M485" s="243"/>
      <c r="N485" s="243"/>
      <c r="O485" s="243"/>
      <c r="P485" s="243"/>
      <c r="Q485" s="243"/>
    </row>
    <row r="486">
      <c r="A486" s="243"/>
      <c r="B486" s="15"/>
      <c r="C486" s="15"/>
      <c r="D486" s="15"/>
      <c r="E486" s="379"/>
      <c r="F486" s="15"/>
      <c r="G486" s="250"/>
      <c r="H486" s="380"/>
      <c r="I486" s="15"/>
      <c r="J486" s="31"/>
      <c r="K486" s="243"/>
      <c r="L486" s="15"/>
      <c r="M486" s="243"/>
      <c r="N486" s="243"/>
      <c r="O486" s="243"/>
      <c r="P486" s="243"/>
      <c r="Q486" s="243"/>
    </row>
    <row r="487">
      <c r="A487" s="243"/>
      <c r="B487" s="15"/>
      <c r="C487" s="15"/>
      <c r="D487" s="15"/>
      <c r="E487" s="379"/>
      <c r="F487" s="15"/>
      <c r="G487" s="250"/>
      <c r="H487" s="380"/>
      <c r="I487" s="15"/>
      <c r="J487" s="31"/>
      <c r="K487" s="243"/>
      <c r="L487" s="15"/>
      <c r="M487" s="243"/>
      <c r="N487" s="243"/>
      <c r="O487" s="243"/>
      <c r="P487" s="243"/>
      <c r="Q487" s="243"/>
    </row>
    <row r="488">
      <c r="A488" s="243"/>
      <c r="B488" s="15"/>
      <c r="C488" s="15"/>
      <c r="D488" s="15"/>
      <c r="E488" s="379"/>
      <c r="F488" s="15"/>
      <c r="G488" s="250"/>
      <c r="H488" s="380"/>
      <c r="I488" s="15"/>
      <c r="J488" s="31"/>
      <c r="K488" s="243"/>
      <c r="L488" s="15"/>
      <c r="M488" s="243"/>
      <c r="N488" s="243"/>
      <c r="O488" s="243"/>
      <c r="P488" s="243"/>
      <c r="Q488" s="243"/>
    </row>
    <row r="489">
      <c r="A489" s="243"/>
      <c r="B489" s="15"/>
      <c r="C489" s="15"/>
      <c r="D489" s="15"/>
      <c r="E489" s="379"/>
      <c r="F489" s="15"/>
      <c r="G489" s="250"/>
      <c r="H489" s="380"/>
      <c r="I489" s="15"/>
      <c r="J489" s="31"/>
      <c r="K489" s="243"/>
      <c r="L489" s="15"/>
      <c r="M489" s="243"/>
      <c r="N489" s="243"/>
      <c r="O489" s="243"/>
      <c r="P489" s="243"/>
      <c r="Q489" s="243"/>
    </row>
    <row r="490">
      <c r="A490" s="243"/>
      <c r="B490" s="15"/>
      <c r="C490" s="15"/>
      <c r="D490" s="15"/>
      <c r="E490" s="379"/>
      <c r="F490" s="15"/>
      <c r="G490" s="250"/>
      <c r="H490" s="380"/>
      <c r="I490" s="15"/>
      <c r="J490" s="31"/>
      <c r="K490" s="243"/>
      <c r="L490" s="15"/>
      <c r="M490" s="243"/>
      <c r="N490" s="243"/>
      <c r="O490" s="243"/>
      <c r="P490" s="243"/>
      <c r="Q490" s="243"/>
    </row>
    <row r="491">
      <c r="A491" s="243"/>
      <c r="B491" s="15"/>
      <c r="C491" s="15"/>
      <c r="D491" s="15"/>
      <c r="E491" s="379"/>
      <c r="F491" s="15"/>
      <c r="G491" s="250"/>
      <c r="H491" s="380"/>
      <c r="I491" s="15"/>
      <c r="J491" s="31"/>
      <c r="K491" s="243"/>
      <c r="L491" s="15"/>
      <c r="M491" s="243"/>
      <c r="N491" s="243"/>
      <c r="O491" s="243"/>
      <c r="P491" s="243"/>
      <c r="Q491" s="243"/>
    </row>
    <row r="492">
      <c r="A492" s="243"/>
      <c r="B492" s="15"/>
      <c r="C492" s="15"/>
      <c r="D492" s="15"/>
      <c r="E492" s="379"/>
      <c r="F492" s="15"/>
      <c r="G492" s="250"/>
      <c r="H492" s="380"/>
      <c r="I492" s="15"/>
      <c r="J492" s="31"/>
      <c r="K492" s="243"/>
      <c r="L492" s="15"/>
      <c r="M492" s="243"/>
      <c r="N492" s="243"/>
      <c r="O492" s="243"/>
      <c r="P492" s="243"/>
      <c r="Q492" s="243"/>
    </row>
    <row r="493">
      <c r="A493" s="243"/>
      <c r="B493" s="15"/>
      <c r="C493" s="15"/>
      <c r="D493" s="15"/>
      <c r="E493" s="379"/>
      <c r="F493" s="15"/>
      <c r="G493" s="250"/>
      <c r="H493" s="380"/>
      <c r="I493" s="15"/>
      <c r="J493" s="31"/>
      <c r="K493" s="243"/>
      <c r="L493" s="15"/>
      <c r="M493" s="243"/>
      <c r="N493" s="243"/>
      <c r="O493" s="243"/>
      <c r="P493" s="243"/>
      <c r="Q493" s="243"/>
    </row>
    <row r="494">
      <c r="A494" s="243"/>
      <c r="B494" s="15"/>
      <c r="C494" s="15"/>
      <c r="D494" s="15"/>
      <c r="E494" s="379"/>
      <c r="F494" s="15"/>
      <c r="G494" s="250"/>
      <c r="H494" s="380"/>
      <c r="I494" s="15"/>
      <c r="J494" s="31"/>
      <c r="K494" s="243"/>
      <c r="L494" s="15"/>
      <c r="M494" s="243"/>
      <c r="N494" s="243"/>
      <c r="O494" s="243"/>
      <c r="P494" s="243"/>
      <c r="Q494" s="243"/>
    </row>
    <row r="495">
      <c r="A495" s="243"/>
      <c r="B495" s="15"/>
      <c r="C495" s="15"/>
      <c r="D495" s="15"/>
      <c r="E495" s="379"/>
      <c r="F495" s="15"/>
      <c r="G495" s="250"/>
      <c r="H495" s="380"/>
      <c r="I495" s="15"/>
      <c r="J495" s="31"/>
      <c r="K495" s="243"/>
      <c r="L495" s="15"/>
      <c r="M495" s="243"/>
      <c r="N495" s="243"/>
      <c r="O495" s="243"/>
      <c r="P495" s="243"/>
      <c r="Q495" s="243"/>
    </row>
    <row r="496">
      <c r="A496" s="243"/>
      <c r="B496" s="15"/>
      <c r="C496" s="15"/>
      <c r="D496" s="15"/>
      <c r="E496" s="379"/>
      <c r="F496" s="15"/>
      <c r="G496" s="250"/>
      <c r="H496" s="380"/>
      <c r="I496" s="15"/>
      <c r="J496" s="31"/>
      <c r="K496" s="243"/>
      <c r="L496" s="15"/>
      <c r="M496" s="243"/>
      <c r="N496" s="243"/>
      <c r="O496" s="243"/>
      <c r="P496" s="243"/>
      <c r="Q496" s="243"/>
    </row>
    <row r="497">
      <c r="A497" s="243"/>
      <c r="B497" s="15"/>
      <c r="C497" s="15"/>
      <c r="D497" s="15"/>
      <c r="E497" s="379"/>
      <c r="F497" s="15"/>
      <c r="G497" s="250"/>
      <c r="H497" s="380"/>
      <c r="I497" s="15"/>
      <c r="J497" s="31"/>
      <c r="K497" s="243"/>
      <c r="L497" s="15"/>
      <c r="M497" s="243"/>
      <c r="N497" s="243"/>
      <c r="O497" s="243"/>
      <c r="P497" s="243"/>
      <c r="Q497" s="243"/>
    </row>
    <row r="498">
      <c r="A498" s="243"/>
      <c r="B498" s="15"/>
      <c r="C498" s="15"/>
      <c r="D498" s="15"/>
      <c r="E498" s="379"/>
      <c r="F498" s="15"/>
      <c r="G498" s="250"/>
      <c r="H498" s="380"/>
      <c r="I498" s="15"/>
      <c r="J498" s="31"/>
      <c r="K498" s="243"/>
      <c r="L498" s="15"/>
      <c r="M498" s="243"/>
      <c r="N498" s="243"/>
      <c r="O498" s="243"/>
      <c r="P498" s="243"/>
      <c r="Q498" s="243"/>
    </row>
    <row r="499">
      <c r="A499" s="243"/>
      <c r="B499" s="15"/>
      <c r="C499" s="15"/>
      <c r="D499" s="15"/>
      <c r="E499" s="379"/>
      <c r="F499" s="15"/>
      <c r="G499" s="250"/>
      <c r="H499" s="380"/>
      <c r="I499" s="15"/>
      <c r="J499" s="31"/>
      <c r="K499" s="243"/>
      <c r="L499" s="15"/>
      <c r="M499" s="243"/>
      <c r="N499" s="243"/>
      <c r="O499" s="243"/>
      <c r="P499" s="243"/>
      <c r="Q499" s="243"/>
    </row>
    <row r="500">
      <c r="A500" s="243"/>
      <c r="B500" s="15"/>
      <c r="C500" s="15"/>
      <c r="D500" s="15"/>
      <c r="E500" s="379"/>
      <c r="F500" s="15"/>
      <c r="G500" s="250"/>
      <c r="H500" s="380"/>
      <c r="I500" s="15"/>
      <c r="J500" s="31"/>
      <c r="K500" s="243"/>
      <c r="L500" s="15"/>
      <c r="M500" s="243"/>
      <c r="N500" s="243"/>
      <c r="O500" s="243"/>
      <c r="P500" s="243"/>
      <c r="Q500" s="243"/>
    </row>
    <row r="501">
      <c r="A501" s="243"/>
      <c r="B501" s="15"/>
      <c r="C501" s="15"/>
      <c r="D501" s="15"/>
      <c r="E501" s="379"/>
      <c r="F501" s="15"/>
      <c r="G501" s="250"/>
      <c r="H501" s="380"/>
      <c r="I501" s="15"/>
      <c r="J501" s="31"/>
      <c r="K501" s="243"/>
      <c r="L501" s="15"/>
      <c r="M501" s="243"/>
      <c r="N501" s="243"/>
      <c r="O501" s="243"/>
      <c r="P501" s="243"/>
      <c r="Q501" s="243"/>
    </row>
    <row r="502">
      <c r="A502" s="243"/>
      <c r="B502" s="15"/>
      <c r="C502" s="15"/>
      <c r="D502" s="15"/>
      <c r="E502" s="379"/>
      <c r="F502" s="15"/>
      <c r="G502" s="250"/>
      <c r="H502" s="380"/>
      <c r="I502" s="15"/>
      <c r="J502" s="31"/>
      <c r="K502" s="243"/>
      <c r="L502" s="15"/>
      <c r="M502" s="243"/>
      <c r="N502" s="243"/>
      <c r="O502" s="243"/>
      <c r="P502" s="243"/>
      <c r="Q502" s="243"/>
    </row>
    <row r="503">
      <c r="A503" s="243"/>
      <c r="B503" s="15"/>
      <c r="C503" s="15"/>
      <c r="D503" s="15"/>
      <c r="E503" s="379"/>
      <c r="F503" s="15"/>
      <c r="G503" s="250"/>
      <c r="H503" s="380"/>
      <c r="I503" s="15"/>
      <c r="J503" s="31"/>
      <c r="K503" s="243"/>
      <c r="L503" s="15"/>
      <c r="M503" s="243"/>
      <c r="N503" s="243"/>
      <c r="O503" s="243"/>
      <c r="P503" s="243"/>
      <c r="Q503" s="243"/>
    </row>
    <row r="504">
      <c r="A504" s="243"/>
      <c r="B504" s="15"/>
      <c r="C504" s="15"/>
      <c r="D504" s="15"/>
      <c r="E504" s="379"/>
      <c r="F504" s="15"/>
      <c r="G504" s="250"/>
      <c r="H504" s="380"/>
      <c r="I504" s="15"/>
      <c r="J504" s="31"/>
      <c r="K504" s="243"/>
      <c r="L504" s="15"/>
      <c r="M504" s="243"/>
      <c r="N504" s="243"/>
      <c r="O504" s="243"/>
      <c r="P504" s="243"/>
      <c r="Q504" s="243"/>
    </row>
    <row r="505">
      <c r="A505" s="243"/>
      <c r="B505" s="15"/>
      <c r="C505" s="15"/>
      <c r="D505" s="15"/>
      <c r="E505" s="379"/>
      <c r="F505" s="15"/>
      <c r="G505" s="250"/>
      <c r="H505" s="380"/>
      <c r="I505" s="15"/>
      <c r="J505" s="31"/>
      <c r="K505" s="243"/>
      <c r="L505" s="15"/>
      <c r="M505" s="243"/>
      <c r="N505" s="243"/>
      <c r="O505" s="243"/>
      <c r="P505" s="243"/>
      <c r="Q505" s="243"/>
    </row>
    <row r="506">
      <c r="A506" s="243"/>
      <c r="B506" s="15"/>
      <c r="C506" s="15"/>
      <c r="D506" s="15"/>
      <c r="E506" s="379"/>
      <c r="F506" s="15"/>
      <c r="G506" s="250"/>
      <c r="H506" s="380"/>
      <c r="I506" s="15"/>
      <c r="J506" s="31"/>
      <c r="K506" s="243"/>
      <c r="L506" s="15"/>
      <c r="M506" s="243"/>
      <c r="N506" s="243"/>
      <c r="O506" s="243"/>
      <c r="P506" s="243"/>
      <c r="Q506" s="243"/>
    </row>
    <row r="507">
      <c r="A507" s="243"/>
      <c r="B507" s="15"/>
      <c r="C507" s="15"/>
      <c r="D507" s="15"/>
      <c r="E507" s="379"/>
      <c r="F507" s="15"/>
      <c r="G507" s="250"/>
      <c r="H507" s="380"/>
      <c r="I507" s="15"/>
      <c r="J507" s="31"/>
      <c r="K507" s="243"/>
      <c r="L507" s="15"/>
      <c r="M507" s="243"/>
      <c r="N507" s="243"/>
      <c r="O507" s="243"/>
      <c r="P507" s="243"/>
      <c r="Q507" s="243"/>
    </row>
    <row r="508">
      <c r="A508" s="243"/>
      <c r="B508" s="15"/>
      <c r="C508" s="15"/>
      <c r="D508" s="15"/>
      <c r="E508" s="379"/>
      <c r="F508" s="15"/>
      <c r="G508" s="250"/>
      <c r="H508" s="380"/>
      <c r="I508" s="15"/>
      <c r="J508" s="31"/>
      <c r="K508" s="243"/>
      <c r="L508" s="15"/>
      <c r="M508" s="243"/>
      <c r="N508" s="243"/>
      <c r="O508" s="243"/>
      <c r="P508" s="243"/>
      <c r="Q508" s="243"/>
    </row>
    <row r="509">
      <c r="A509" s="243"/>
      <c r="B509" s="15"/>
      <c r="C509" s="15"/>
      <c r="D509" s="15"/>
      <c r="E509" s="379"/>
      <c r="F509" s="15"/>
      <c r="G509" s="250"/>
      <c r="H509" s="380"/>
      <c r="I509" s="15"/>
      <c r="J509" s="31"/>
      <c r="K509" s="243"/>
      <c r="L509" s="15"/>
      <c r="M509" s="243"/>
      <c r="N509" s="243"/>
      <c r="O509" s="243"/>
      <c r="P509" s="243"/>
      <c r="Q509" s="243"/>
    </row>
    <row r="510">
      <c r="A510" s="243"/>
      <c r="B510" s="15"/>
      <c r="C510" s="15"/>
      <c r="D510" s="15"/>
      <c r="E510" s="379"/>
      <c r="F510" s="15"/>
      <c r="G510" s="250"/>
      <c r="H510" s="380"/>
      <c r="I510" s="15"/>
      <c r="J510" s="31"/>
      <c r="K510" s="243"/>
      <c r="L510" s="15"/>
      <c r="M510" s="243"/>
      <c r="N510" s="243"/>
      <c r="O510" s="243"/>
      <c r="P510" s="243"/>
      <c r="Q510" s="243"/>
    </row>
    <row r="511">
      <c r="A511" s="243"/>
      <c r="B511" s="15"/>
      <c r="C511" s="15"/>
      <c r="D511" s="15"/>
      <c r="E511" s="379"/>
      <c r="F511" s="15"/>
      <c r="G511" s="250"/>
      <c r="H511" s="380"/>
      <c r="I511" s="15"/>
      <c r="J511" s="31"/>
      <c r="K511" s="243"/>
      <c r="L511" s="15"/>
      <c r="M511" s="243"/>
      <c r="N511" s="243"/>
      <c r="O511" s="243"/>
      <c r="P511" s="243"/>
      <c r="Q511" s="243"/>
    </row>
    <row r="512">
      <c r="A512" s="243"/>
      <c r="B512" s="15"/>
      <c r="C512" s="15"/>
      <c r="D512" s="15"/>
      <c r="E512" s="379"/>
      <c r="F512" s="15"/>
      <c r="G512" s="250"/>
      <c r="H512" s="380"/>
      <c r="I512" s="15"/>
      <c r="J512" s="31"/>
      <c r="K512" s="243"/>
      <c r="L512" s="15"/>
      <c r="M512" s="243"/>
      <c r="N512" s="243"/>
      <c r="O512" s="243"/>
      <c r="P512" s="243"/>
      <c r="Q512" s="243"/>
    </row>
    <row r="513">
      <c r="A513" s="243"/>
      <c r="B513" s="15"/>
      <c r="C513" s="15"/>
      <c r="D513" s="15"/>
      <c r="E513" s="379"/>
      <c r="F513" s="15"/>
      <c r="G513" s="250"/>
      <c r="H513" s="380"/>
      <c r="I513" s="15"/>
      <c r="J513" s="31"/>
      <c r="K513" s="243"/>
      <c r="L513" s="15"/>
      <c r="M513" s="243"/>
      <c r="N513" s="243"/>
      <c r="O513" s="243"/>
      <c r="P513" s="243"/>
      <c r="Q513" s="243"/>
    </row>
    <row r="514">
      <c r="A514" s="243"/>
      <c r="B514" s="15"/>
      <c r="C514" s="15"/>
      <c r="D514" s="15"/>
      <c r="E514" s="379"/>
      <c r="F514" s="15"/>
      <c r="G514" s="250"/>
      <c r="H514" s="380"/>
      <c r="I514" s="15"/>
      <c r="J514" s="31"/>
      <c r="K514" s="243"/>
      <c r="L514" s="15"/>
      <c r="M514" s="243"/>
      <c r="N514" s="243"/>
      <c r="O514" s="243"/>
      <c r="P514" s="243"/>
      <c r="Q514" s="243"/>
    </row>
    <row r="515">
      <c r="A515" s="243"/>
      <c r="B515" s="15"/>
      <c r="C515" s="15"/>
      <c r="D515" s="15"/>
      <c r="E515" s="379"/>
      <c r="F515" s="15"/>
      <c r="G515" s="250"/>
      <c r="H515" s="380"/>
      <c r="I515" s="15"/>
      <c r="J515" s="31"/>
      <c r="K515" s="243"/>
      <c r="L515" s="15"/>
      <c r="M515" s="243"/>
      <c r="N515" s="243"/>
      <c r="O515" s="243"/>
      <c r="P515" s="243"/>
      <c r="Q515" s="243"/>
    </row>
    <row r="516">
      <c r="A516" s="243"/>
      <c r="B516" s="15"/>
      <c r="C516" s="15"/>
      <c r="D516" s="15"/>
      <c r="E516" s="379"/>
      <c r="F516" s="15"/>
      <c r="G516" s="250"/>
      <c r="H516" s="380"/>
      <c r="I516" s="15"/>
      <c r="J516" s="31"/>
      <c r="K516" s="243"/>
      <c r="L516" s="15"/>
      <c r="M516" s="243"/>
      <c r="N516" s="243"/>
      <c r="O516" s="243"/>
      <c r="P516" s="243"/>
      <c r="Q516" s="243"/>
    </row>
    <row r="517">
      <c r="A517" s="243"/>
      <c r="B517" s="15"/>
      <c r="C517" s="15"/>
      <c r="D517" s="15"/>
      <c r="E517" s="379"/>
      <c r="F517" s="15"/>
      <c r="G517" s="250"/>
      <c r="H517" s="380"/>
      <c r="I517" s="15"/>
      <c r="J517" s="31"/>
      <c r="K517" s="243"/>
      <c r="L517" s="15"/>
      <c r="M517" s="243"/>
      <c r="N517" s="243"/>
      <c r="O517" s="243"/>
      <c r="P517" s="243"/>
      <c r="Q517" s="243"/>
    </row>
    <row r="518">
      <c r="A518" s="243"/>
      <c r="B518" s="15"/>
      <c r="C518" s="15"/>
      <c r="D518" s="15"/>
      <c r="E518" s="379"/>
      <c r="F518" s="15"/>
      <c r="G518" s="250"/>
      <c r="H518" s="380"/>
      <c r="I518" s="15"/>
      <c r="J518" s="31"/>
      <c r="K518" s="243"/>
      <c r="L518" s="15"/>
      <c r="M518" s="243"/>
      <c r="N518" s="243"/>
      <c r="O518" s="243"/>
      <c r="P518" s="243"/>
      <c r="Q518" s="243"/>
    </row>
    <row r="519">
      <c r="A519" s="243"/>
      <c r="B519" s="15"/>
      <c r="C519" s="15"/>
      <c r="D519" s="15"/>
      <c r="E519" s="379"/>
      <c r="F519" s="15"/>
      <c r="G519" s="250"/>
      <c r="H519" s="380"/>
      <c r="I519" s="15"/>
      <c r="J519" s="31"/>
      <c r="K519" s="243"/>
      <c r="L519" s="15"/>
      <c r="M519" s="243"/>
      <c r="N519" s="243"/>
      <c r="O519" s="243"/>
      <c r="P519" s="243"/>
      <c r="Q519" s="243"/>
    </row>
    <row r="520">
      <c r="A520" s="243"/>
      <c r="B520" s="15"/>
      <c r="C520" s="15"/>
      <c r="D520" s="15"/>
      <c r="E520" s="379"/>
      <c r="F520" s="15"/>
      <c r="G520" s="250"/>
      <c r="H520" s="380"/>
      <c r="I520" s="15"/>
      <c r="J520" s="31"/>
      <c r="K520" s="243"/>
      <c r="L520" s="15"/>
      <c r="M520" s="243"/>
      <c r="N520" s="243"/>
      <c r="O520" s="243"/>
      <c r="P520" s="243"/>
      <c r="Q520" s="243"/>
    </row>
    <row r="521">
      <c r="A521" s="243"/>
      <c r="B521" s="15"/>
      <c r="C521" s="15"/>
      <c r="D521" s="15"/>
      <c r="E521" s="379"/>
      <c r="F521" s="15"/>
      <c r="G521" s="250"/>
      <c r="H521" s="380"/>
      <c r="I521" s="15"/>
      <c r="J521" s="31"/>
      <c r="K521" s="243"/>
      <c r="L521" s="15"/>
      <c r="M521" s="243"/>
      <c r="N521" s="243"/>
      <c r="O521" s="243"/>
      <c r="P521" s="243"/>
      <c r="Q521" s="243"/>
    </row>
    <row r="522">
      <c r="A522" s="243"/>
      <c r="B522" s="15"/>
      <c r="C522" s="15"/>
      <c r="D522" s="15"/>
      <c r="E522" s="379"/>
      <c r="F522" s="15"/>
      <c r="G522" s="250"/>
      <c r="H522" s="380"/>
      <c r="I522" s="15"/>
      <c r="J522" s="31"/>
      <c r="K522" s="243"/>
      <c r="L522" s="15"/>
      <c r="M522" s="243"/>
      <c r="N522" s="243"/>
      <c r="O522" s="243"/>
      <c r="P522" s="243"/>
      <c r="Q522" s="243"/>
    </row>
    <row r="523">
      <c r="A523" s="243"/>
      <c r="B523" s="15"/>
      <c r="C523" s="15"/>
      <c r="D523" s="15"/>
      <c r="E523" s="379"/>
      <c r="F523" s="15"/>
      <c r="G523" s="250"/>
      <c r="H523" s="380"/>
      <c r="I523" s="15"/>
      <c r="J523" s="31"/>
      <c r="K523" s="243"/>
      <c r="L523" s="15"/>
      <c r="M523" s="243"/>
      <c r="N523" s="243"/>
      <c r="O523" s="243"/>
      <c r="P523" s="243"/>
      <c r="Q523" s="243"/>
    </row>
    <row r="524">
      <c r="A524" s="243"/>
      <c r="B524" s="15"/>
      <c r="C524" s="15"/>
      <c r="D524" s="15"/>
      <c r="E524" s="379"/>
      <c r="F524" s="15"/>
      <c r="G524" s="250"/>
      <c r="H524" s="380"/>
      <c r="I524" s="15"/>
      <c r="J524" s="31"/>
      <c r="K524" s="243"/>
      <c r="L524" s="15"/>
      <c r="M524" s="243"/>
      <c r="N524" s="243"/>
      <c r="O524" s="243"/>
      <c r="P524" s="243"/>
      <c r="Q524" s="243"/>
    </row>
    <row r="525">
      <c r="A525" s="243"/>
      <c r="B525" s="15"/>
      <c r="C525" s="15"/>
      <c r="D525" s="15"/>
      <c r="E525" s="379"/>
      <c r="F525" s="15"/>
      <c r="G525" s="250"/>
      <c r="H525" s="380"/>
      <c r="I525" s="15"/>
      <c r="J525" s="31"/>
      <c r="K525" s="243"/>
      <c r="L525" s="15"/>
      <c r="M525" s="243"/>
      <c r="N525" s="243"/>
      <c r="O525" s="243"/>
      <c r="P525" s="243"/>
      <c r="Q525" s="243"/>
    </row>
    <row r="526">
      <c r="A526" s="243"/>
      <c r="B526" s="15"/>
      <c r="C526" s="15"/>
      <c r="D526" s="15"/>
      <c r="E526" s="379"/>
      <c r="F526" s="15"/>
      <c r="G526" s="250"/>
      <c r="H526" s="380"/>
      <c r="I526" s="15"/>
      <c r="J526" s="31"/>
      <c r="K526" s="243"/>
      <c r="L526" s="15"/>
      <c r="M526" s="243"/>
      <c r="N526" s="243"/>
      <c r="O526" s="243"/>
      <c r="P526" s="243"/>
      <c r="Q526" s="243"/>
    </row>
    <row r="527">
      <c r="A527" s="243"/>
      <c r="B527" s="15"/>
      <c r="C527" s="15"/>
      <c r="D527" s="15"/>
      <c r="E527" s="379"/>
      <c r="F527" s="15"/>
      <c r="G527" s="250"/>
      <c r="H527" s="380"/>
      <c r="I527" s="15"/>
      <c r="J527" s="31"/>
      <c r="K527" s="243"/>
      <c r="L527" s="15"/>
      <c r="M527" s="243"/>
      <c r="N527" s="243"/>
      <c r="O527" s="243"/>
      <c r="P527" s="243"/>
      <c r="Q527" s="243"/>
    </row>
    <row r="528">
      <c r="A528" s="243"/>
      <c r="B528" s="15"/>
      <c r="C528" s="15"/>
      <c r="D528" s="15"/>
      <c r="E528" s="379"/>
      <c r="F528" s="15"/>
      <c r="G528" s="250"/>
      <c r="H528" s="380"/>
      <c r="I528" s="15"/>
      <c r="J528" s="31"/>
      <c r="K528" s="243"/>
      <c r="L528" s="15"/>
      <c r="M528" s="243"/>
      <c r="N528" s="243"/>
      <c r="O528" s="243"/>
      <c r="P528" s="243"/>
      <c r="Q528" s="243"/>
    </row>
    <row r="529">
      <c r="A529" s="243"/>
      <c r="B529" s="15"/>
      <c r="C529" s="15"/>
      <c r="D529" s="15"/>
      <c r="E529" s="379"/>
      <c r="F529" s="15"/>
      <c r="G529" s="250"/>
      <c r="H529" s="380"/>
      <c r="I529" s="15"/>
      <c r="J529" s="31"/>
      <c r="K529" s="243"/>
      <c r="L529" s="15"/>
      <c r="M529" s="243"/>
      <c r="N529" s="243"/>
      <c r="O529" s="243"/>
      <c r="P529" s="243"/>
      <c r="Q529" s="243"/>
    </row>
    <row r="530">
      <c r="A530" s="243"/>
      <c r="B530" s="15"/>
      <c r="C530" s="15"/>
      <c r="D530" s="15"/>
      <c r="E530" s="379"/>
      <c r="F530" s="15"/>
      <c r="G530" s="250"/>
      <c r="H530" s="380"/>
      <c r="I530" s="15"/>
      <c r="J530" s="31"/>
      <c r="K530" s="243"/>
      <c r="L530" s="15"/>
      <c r="M530" s="243"/>
      <c r="N530" s="243"/>
      <c r="O530" s="243"/>
      <c r="P530" s="243"/>
      <c r="Q530" s="243"/>
    </row>
    <row r="531">
      <c r="A531" s="243"/>
      <c r="B531" s="15"/>
      <c r="C531" s="15"/>
      <c r="D531" s="15"/>
      <c r="E531" s="379"/>
      <c r="F531" s="15"/>
      <c r="G531" s="250"/>
      <c r="H531" s="380"/>
      <c r="I531" s="15"/>
      <c r="J531" s="31"/>
      <c r="K531" s="243"/>
      <c r="L531" s="15"/>
      <c r="M531" s="243"/>
      <c r="N531" s="243"/>
      <c r="O531" s="243"/>
      <c r="P531" s="243"/>
      <c r="Q531" s="243"/>
    </row>
    <row r="532">
      <c r="A532" s="243"/>
      <c r="B532" s="15"/>
      <c r="C532" s="15"/>
      <c r="D532" s="15"/>
      <c r="E532" s="379"/>
      <c r="F532" s="15"/>
      <c r="G532" s="250"/>
      <c r="H532" s="380"/>
      <c r="I532" s="15"/>
      <c r="J532" s="31"/>
      <c r="K532" s="243"/>
      <c r="L532" s="15"/>
      <c r="M532" s="243"/>
      <c r="N532" s="243"/>
      <c r="O532" s="243"/>
      <c r="P532" s="243"/>
      <c r="Q532" s="243"/>
    </row>
    <row r="533">
      <c r="A533" s="243"/>
      <c r="B533" s="15"/>
      <c r="C533" s="15"/>
      <c r="D533" s="15"/>
      <c r="E533" s="379"/>
      <c r="F533" s="15"/>
      <c r="G533" s="250"/>
      <c r="H533" s="380"/>
      <c r="I533" s="15"/>
      <c r="J533" s="31"/>
      <c r="K533" s="243"/>
      <c r="L533" s="15"/>
      <c r="M533" s="243"/>
      <c r="N533" s="243"/>
      <c r="O533" s="243"/>
      <c r="P533" s="243"/>
      <c r="Q533" s="243"/>
    </row>
    <row r="534">
      <c r="A534" s="243"/>
      <c r="B534" s="15"/>
      <c r="C534" s="15"/>
      <c r="D534" s="15"/>
      <c r="E534" s="379"/>
      <c r="F534" s="15"/>
      <c r="G534" s="250"/>
      <c r="H534" s="380"/>
      <c r="I534" s="15"/>
      <c r="J534" s="31"/>
      <c r="K534" s="243"/>
      <c r="L534" s="15"/>
      <c r="M534" s="243"/>
      <c r="N534" s="243"/>
      <c r="O534" s="243"/>
      <c r="P534" s="243"/>
      <c r="Q534" s="243"/>
    </row>
    <row r="535">
      <c r="A535" s="243"/>
      <c r="B535" s="15"/>
      <c r="C535" s="15"/>
      <c r="D535" s="15"/>
      <c r="E535" s="379"/>
      <c r="F535" s="15"/>
      <c r="G535" s="250"/>
      <c r="H535" s="380"/>
      <c r="I535" s="15"/>
      <c r="J535" s="31"/>
      <c r="K535" s="243"/>
      <c r="L535" s="15"/>
      <c r="M535" s="243"/>
      <c r="N535" s="243"/>
      <c r="O535" s="243"/>
      <c r="P535" s="243"/>
      <c r="Q535" s="243"/>
    </row>
    <row r="536">
      <c r="A536" s="243"/>
      <c r="B536" s="15"/>
      <c r="C536" s="15"/>
      <c r="D536" s="15"/>
      <c r="E536" s="379"/>
      <c r="F536" s="15"/>
      <c r="G536" s="250"/>
      <c r="H536" s="380"/>
      <c r="I536" s="15"/>
      <c r="J536" s="31"/>
      <c r="K536" s="243"/>
      <c r="L536" s="15"/>
      <c r="M536" s="243"/>
      <c r="N536" s="243"/>
      <c r="O536" s="243"/>
      <c r="P536" s="243"/>
      <c r="Q536" s="243"/>
    </row>
    <row r="537">
      <c r="A537" s="243"/>
      <c r="B537" s="15"/>
      <c r="C537" s="15"/>
      <c r="D537" s="15"/>
      <c r="E537" s="379"/>
      <c r="F537" s="15"/>
      <c r="G537" s="250"/>
      <c r="H537" s="380"/>
      <c r="I537" s="15"/>
      <c r="J537" s="31"/>
      <c r="K537" s="243"/>
      <c r="L537" s="15"/>
      <c r="M537" s="243"/>
      <c r="N537" s="243"/>
      <c r="O537" s="243"/>
      <c r="P537" s="243"/>
      <c r="Q537" s="243"/>
    </row>
    <row r="538">
      <c r="A538" s="243"/>
      <c r="B538" s="15"/>
      <c r="C538" s="15"/>
      <c r="D538" s="15"/>
      <c r="E538" s="379"/>
      <c r="F538" s="15"/>
      <c r="G538" s="250"/>
      <c r="H538" s="380"/>
      <c r="I538" s="15"/>
      <c r="J538" s="31"/>
      <c r="K538" s="243"/>
      <c r="L538" s="15"/>
      <c r="M538" s="243"/>
      <c r="N538" s="243"/>
      <c r="O538" s="243"/>
      <c r="P538" s="243"/>
      <c r="Q538" s="243"/>
    </row>
    <row r="539">
      <c r="A539" s="243"/>
      <c r="B539" s="15"/>
      <c r="C539" s="15"/>
      <c r="D539" s="15"/>
      <c r="E539" s="379"/>
      <c r="F539" s="15"/>
      <c r="G539" s="250"/>
      <c r="H539" s="380"/>
      <c r="I539" s="15"/>
      <c r="J539" s="31"/>
      <c r="K539" s="243"/>
      <c r="L539" s="15"/>
      <c r="M539" s="243"/>
      <c r="N539" s="243"/>
      <c r="O539" s="243"/>
      <c r="P539" s="243"/>
      <c r="Q539" s="243"/>
    </row>
    <row r="540">
      <c r="A540" s="243"/>
      <c r="B540" s="15"/>
      <c r="C540" s="15"/>
      <c r="D540" s="15"/>
      <c r="E540" s="379"/>
      <c r="F540" s="15"/>
      <c r="G540" s="250"/>
      <c r="H540" s="380"/>
      <c r="I540" s="15"/>
      <c r="J540" s="31"/>
      <c r="K540" s="243"/>
      <c r="L540" s="15"/>
      <c r="M540" s="243"/>
      <c r="N540" s="243"/>
      <c r="O540" s="243"/>
      <c r="P540" s="243"/>
      <c r="Q540" s="243"/>
    </row>
    <row r="541">
      <c r="A541" s="243"/>
      <c r="B541" s="15"/>
      <c r="C541" s="15"/>
      <c r="D541" s="15"/>
      <c r="E541" s="379"/>
      <c r="F541" s="15"/>
      <c r="G541" s="250"/>
      <c r="H541" s="380"/>
      <c r="I541" s="15"/>
      <c r="J541" s="31"/>
      <c r="K541" s="243"/>
      <c r="L541" s="15"/>
      <c r="M541" s="243"/>
      <c r="N541" s="243"/>
      <c r="O541" s="243"/>
      <c r="P541" s="243"/>
      <c r="Q541" s="243"/>
    </row>
    <row r="542">
      <c r="A542" s="243"/>
      <c r="B542" s="15"/>
      <c r="C542" s="15"/>
      <c r="D542" s="15"/>
      <c r="E542" s="379"/>
      <c r="F542" s="15"/>
      <c r="G542" s="250"/>
      <c r="H542" s="380"/>
      <c r="I542" s="15"/>
      <c r="J542" s="31"/>
      <c r="K542" s="243"/>
      <c r="L542" s="15"/>
      <c r="M542" s="243"/>
      <c r="N542" s="243"/>
      <c r="O542" s="243"/>
      <c r="P542" s="243"/>
      <c r="Q542" s="243"/>
    </row>
    <row r="543">
      <c r="A543" s="243"/>
      <c r="B543" s="15"/>
      <c r="C543" s="15"/>
      <c r="D543" s="15"/>
      <c r="E543" s="379"/>
      <c r="F543" s="15"/>
      <c r="G543" s="250"/>
      <c r="H543" s="380"/>
      <c r="I543" s="15"/>
      <c r="J543" s="31"/>
      <c r="K543" s="243"/>
      <c r="L543" s="15"/>
      <c r="M543" s="243"/>
      <c r="N543" s="243"/>
      <c r="O543" s="243"/>
      <c r="P543" s="243"/>
      <c r="Q543" s="243"/>
    </row>
    <row r="544">
      <c r="A544" s="243"/>
      <c r="B544" s="15"/>
      <c r="C544" s="15"/>
      <c r="D544" s="15"/>
      <c r="E544" s="379"/>
      <c r="F544" s="15"/>
      <c r="G544" s="250"/>
      <c r="H544" s="380"/>
      <c r="I544" s="15"/>
      <c r="J544" s="31"/>
      <c r="K544" s="243"/>
      <c r="L544" s="15"/>
      <c r="M544" s="243"/>
      <c r="N544" s="243"/>
      <c r="O544" s="243"/>
      <c r="P544" s="243"/>
      <c r="Q544" s="243"/>
    </row>
    <row r="545">
      <c r="A545" s="243"/>
      <c r="B545" s="15"/>
      <c r="C545" s="15"/>
      <c r="D545" s="15"/>
      <c r="E545" s="379"/>
      <c r="F545" s="15"/>
      <c r="G545" s="250"/>
      <c r="H545" s="380"/>
      <c r="I545" s="15"/>
      <c r="J545" s="31"/>
      <c r="K545" s="243"/>
      <c r="L545" s="15"/>
      <c r="M545" s="243"/>
      <c r="N545" s="243"/>
      <c r="O545" s="243"/>
      <c r="P545" s="243"/>
      <c r="Q545" s="243"/>
    </row>
    <row r="546">
      <c r="A546" s="243"/>
      <c r="B546" s="15"/>
      <c r="C546" s="15"/>
      <c r="D546" s="15"/>
      <c r="E546" s="379"/>
      <c r="F546" s="15"/>
      <c r="G546" s="250"/>
      <c r="H546" s="380"/>
      <c r="I546" s="15"/>
      <c r="J546" s="31"/>
      <c r="K546" s="243"/>
      <c r="L546" s="15"/>
      <c r="M546" s="243"/>
      <c r="N546" s="243"/>
      <c r="O546" s="243"/>
      <c r="P546" s="243"/>
      <c r="Q546" s="243"/>
    </row>
    <row r="547">
      <c r="A547" s="243"/>
      <c r="B547" s="15"/>
      <c r="C547" s="15"/>
      <c r="D547" s="15"/>
      <c r="E547" s="379"/>
      <c r="F547" s="15"/>
      <c r="G547" s="250"/>
      <c r="H547" s="380"/>
      <c r="I547" s="15"/>
      <c r="J547" s="31"/>
      <c r="K547" s="243"/>
      <c r="L547" s="15"/>
      <c r="M547" s="243"/>
      <c r="N547" s="243"/>
      <c r="O547" s="243"/>
      <c r="P547" s="243"/>
      <c r="Q547" s="243"/>
    </row>
    <row r="548">
      <c r="A548" s="243"/>
      <c r="B548" s="15"/>
      <c r="C548" s="15"/>
      <c r="D548" s="15"/>
      <c r="E548" s="379"/>
      <c r="F548" s="15"/>
      <c r="G548" s="250"/>
      <c r="H548" s="380"/>
      <c r="I548" s="15"/>
      <c r="J548" s="31"/>
      <c r="K548" s="243"/>
      <c r="L548" s="15"/>
      <c r="M548" s="243"/>
      <c r="N548" s="243"/>
      <c r="O548" s="243"/>
      <c r="P548" s="243"/>
      <c r="Q548" s="243"/>
    </row>
    <row r="549">
      <c r="A549" s="243"/>
      <c r="B549" s="15"/>
      <c r="C549" s="15"/>
      <c r="D549" s="15"/>
      <c r="E549" s="379"/>
      <c r="F549" s="15"/>
      <c r="G549" s="250"/>
      <c r="H549" s="380"/>
      <c r="I549" s="15"/>
      <c r="J549" s="31"/>
      <c r="K549" s="243"/>
      <c r="L549" s="15"/>
      <c r="M549" s="243"/>
      <c r="N549" s="243"/>
      <c r="O549" s="243"/>
      <c r="P549" s="243"/>
      <c r="Q549" s="243"/>
    </row>
    <row r="550">
      <c r="A550" s="243"/>
      <c r="B550" s="15"/>
      <c r="C550" s="15"/>
      <c r="D550" s="15"/>
      <c r="E550" s="379"/>
      <c r="F550" s="15"/>
      <c r="G550" s="250"/>
      <c r="H550" s="380"/>
      <c r="I550" s="15"/>
      <c r="J550" s="31"/>
      <c r="K550" s="243"/>
      <c r="L550" s="15"/>
      <c r="M550" s="243"/>
      <c r="N550" s="243"/>
      <c r="O550" s="243"/>
      <c r="P550" s="243"/>
      <c r="Q550" s="243"/>
    </row>
    <row r="551">
      <c r="A551" s="243"/>
      <c r="B551" s="15"/>
      <c r="C551" s="15"/>
      <c r="D551" s="15"/>
      <c r="E551" s="379"/>
      <c r="F551" s="15"/>
      <c r="G551" s="250"/>
      <c r="H551" s="380"/>
      <c r="I551" s="15"/>
      <c r="J551" s="31"/>
      <c r="K551" s="243"/>
      <c r="L551" s="15"/>
      <c r="M551" s="243"/>
      <c r="N551" s="243"/>
      <c r="O551" s="243"/>
      <c r="P551" s="243"/>
      <c r="Q551" s="243"/>
    </row>
    <row r="552">
      <c r="A552" s="243"/>
      <c r="B552" s="15"/>
      <c r="C552" s="15"/>
      <c r="D552" s="15"/>
      <c r="E552" s="379"/>
      <c r="F552" s="15"/>
      <c r="G552" s="250"/>
      <c r="H552" s="380"/>
      <c r="I552" s="15"/>
      <c r="J552" s="31"/>
      <c r="K552" s="243"/>
      <c r="L552" s="15"/>
      <c r="M552" s="243"/>
      <c r="N552" s="243"/>
      <c r="O552" s="243"/>
      <c r="P552" s="243"/>
      <c r="Q552" s="243"/>
    </row>
    <row r="553">
      <c r="A553" s="243"/>
      <c r="B553" s="15"/>
      <c r="C553" s="15"/>
      <c r="D553" s="15"/>
      <c r="E553" s="379"/>
      <c r="F553" s="15"/>
      <c r="G553" s="250"/>
      <c r="H553" s="380"/>
      <c r="I553" s="15"/>
      <c r="J553" s="31"/>
      <c r="K553" s="243"/>
      <c r="L553" s="15"/>
      <c r="M553" s="243"/>
      <c r="N553" s="243"/>
      <c r="O553" s="243"/>
      <c r="P553" s="243"/>
      <c r="Q553" s="243"/>
    </row>
    <row r="554">
      <c r="A554" s="243"/>
      <c r="B554" s="15"/>
      <c r="C554" s="15"/>
      <c r="D554" s="15"/>
      <c r="E554" s="379"/>
      <c r="F554" s="15"/>
      <c r="G554" s="250"/>
      <c r="H554" s="380"/>
      <c r="I554" s="15"/>
      <c r="J554" s="31"/>
      <c r="K554" s="243"/>
      <c r="L554" s="15"/>
      <c r="M554" s="243"/>
      <c r="N554" s="243"/>
      <c r="O554" s="243"/>
      <c r="P554" s="243"/>
      <c r="Q554" s="243"/>
    </row>
    <row r="555">
      <c r="A555" s="243"/>
      <c r="B555" s="15"/>
      <c r="C555" s="15"/>
      <c r="D555" s="15"/>
      <c r="E555" s="379"/>
      <c r="F555" s="15"/>
      <c r="G555" s="250"/>
      <c r="H555" s="380"/>
      <c r="I555" s="15"/>
      <c r="J555" s="31"/>
      <c r="K555" s="243"/>
      <c r="L555" s="15"/>
      <c r="M555" s="243"/>
      <c r="N555" s="243"/>
      <c r="O555" s="243"/>
      <c r="P555" s="243"/>
      <c r="Q555" s="243"/>
    </row>
    <row r="556">
      <c r="A556" s="243"/>
      <c r="B556" s="15"/>
      <c r="C556" s="15"/>
      <c r="D556" s="15"/>
      <c r="E556" s="379"/>
      <c r="F556" s="15"/>
      <c r="G556" s="250"/>
      <c r="H556" s="380"/>
      <c r="I556" s="15"/>
      <c r="J556" s="31"/>
      <c r="K556" s="243"/>
      <c r="L556" s="15"/>
      <c r="M556" s="243"/>
      <c r="N556" s="243"/>
      <c r="O556" s="243"/>
      <c r="P556" s="243"/>
      <c r="Q556" s="243"/>
    </row>
    <row r="557">
      <c r="A557" s="243"/>
      <c r="B557" s="15"/>
      <c r="C557" s="15"/>
      <c r="D557" s="15"/>
      <c r="E557" s="379"/>
      <c r="F557" s="15"/>
      <c r="G557" s="250"/>
      <c r="H557" s="380"/>
      <c r="I557" s="15"/>
      <c r="J557" s="31"/>
      <c r="K557" s="243"/>
      <c r="L557" s="15"/>
      <c r="M557" s="243"/>
      <c r="N557" s="243"/>
      <c r="O557" s="243"/>
      <c r="P557" s="243"/>
      <c r="Q557" s="243"/>
    </row>
    <row r="558">
      <c r="A558" s="243"/>
      <c r="B558" s="15"/>
      <c r="C558" s="15"/>
      <c r="D558" s="15"/>
      <c r="E558" s="379"/>
      <c r="F558" s="15"/>
      <c r="G558" s="250"/>
      <c r="H558" s="380"/>
      <c r="I558" s="15"/>
      <c r="J558" s="31"/>
      <c r="K558" s="243"/>
      <c r="L558" s="15"/>
      <c r="M558" s="243"/>
      <c r="N558" s="243"/>
      <c r="O558" s="243"/>
      <c r="P558" s="243"/>
      <c r="Q558" s="243"/>
    </row>
    <row r="559">
      <c r="A559" s="243"/>
      <c r="B559" s="15"/>
      <c r="C559" s="15"/>
      <c r="D559" s="15"/>
      <c r="E559" s="379"/>
      <c r="F559" s="15"/>
      <c r="G559" s="250"/>
      <c r="H559" s="380"/>
      <c r="I559" s="15"/>
      <c r="J559" s="31"/>
      <c r="K559" s="243"/>
      <c r="L559" s="15"/>
      <c r="M559" s="243"/>
      <c r="N559" s="243"/>
      <c r="O559" s="243"/>
      <c r="P559" s="243"/>
      <c r="Q559" s="243"/>
    </row>
    <row r="560">
      <c r="A560" s="243"/>
      <c r="B560" s="15"/>
      <c r="C560" s="15"/>
      <c r="D560" s="15"/>
      <c r="E560" s="379"/>
      <c r="F560" s="15"/>
      <c r="G560" s="250"/>
      <c r="H560" s="380"/>
      <c r="I560" s="15"/>
      <c r="J560" s="31"/>
      <c r="K560" s="243"/>
      <c r="L560" s="15"/>
      <c r="M560" s="243"/>
      <c r="N560" s="243"/>
      <c r="O560" s="243"/>
      <c r="P560" s="243"/>
      <c r="Q560" s="243"/>
    </row>
    <row r="561">
      <c r="A561" s="243"/>
      <c r="B561" s="15"/>
      <c r="C561" s="15"/>
      <c r="D561" s="15"/>
      <c r="E561" s="379"/>
      <c r="F561" s="15"/>
      <c r="G561" s="250"/>
      <c r="H561" s="380"/>
      <c r="I561" s="15"/>
      <c r="J561" s="31"/>
      <c r="K561" s="243"/>
      <c r="L561" s="15"/>
      <c r="M561" s="243"/>
      <c r="N561" s="243"/>
      <c r="O561" s="243"/>
      <c r="P561" s="243"/>
      <c r="Q561" s="243"/>
    </row>
    <row r="562">
      <c r="A562" s="243"/>
      <c r="B562" s="15"/>
      <c r="C562" s="15"/>
      <c r="D562" s="15"/>
      <c r="E562" s="379"/>
      <c r="F562" s="15"/>
      <c r="G562" s="250"/>
      <c r="H562" s="380"/>
      <c r="I562" s="15"/>
      <c r="J562" s="31"/>
      <c r="K562" s="243"/>
      <c r="L562" s="15"/>
      <c r="M562" s="243"/>
      <c r="N562" s="243"/>
      <c r="O562" s="243"/>
      <c r="P562" s="243"/>
      <c r="Q562" s="243"/>
    </row>
    <row r="563">
      <c r="A563" s="243"/>
      <c r="B563" s="15"/>
      <c r="C563" s="15"/>
      <c r="D563" s="15"/>
      <c r="E563" s="379"/>
      <c r="F563" s="15"/>
      <c r="G563" s="250"/>
      <c r="H563" s="380"/>
      <c r="I563" s="15"/>
      <c r="J563" s="31"/>
      <c r="K563" s="243"/>
      <c r="L563" s="15"/>
      <c r="M563" s="243"/>
      <c r="N563" s="243"/>
      <c r="O563" s="243"/>
      <c r="P563" s="243"/>
      <c r="Q563" s="243"/>
    </row>
    <row r="564">
      <c r="A564" s="243"/>
      <c r="B564" s="15"/>
      <c r="C564" s="15"/>
      <c r="D564" s="15"/>
      <c r="E564" s="379"/>
      <c r="F564" s="15"/>
      <c r="G564" s="250"/>
      <c r="H564" s="380"/>
      <c r="I564" s="15"/>
      <c r="J564" s="31"/>
      <c r="K564" s="243"/>
      <c r="L564" s="15"/>
      <c r="M564" s="243"/>
      <c r="N564" s="243"/>
      <c r="O564" s="243"/>
      <c r="P564" s="243"/>
      <c r="Q564" s="243"/>
    </row>
    <row r="565">
      <c r="A565" s="243"/>
      <c r="B565" s="15"/>
      <c r="C565" s="15"/>
      <c r="D565" s="15"/>
      <c r="E565" s="379"/>
      <c r="F565" s="15"/>
      <c r="G565" s="250"/>
      <c r="H565" s="380"/>
      <c r="I565" s="15"/>
      <c r="J565" s="31"/>
      <c r="K565" s="243"/>
      <c r="L565" s="15"/>
      <c r="M565" s="243"/>
      <c r="N565" s="243"/>
      <c r="O565" s="243"/>
      <c r="P565" s="243"/>
      <c r="Q565" s="243"/>
    </row>
    <row r="566">
      <c r="A566" s="243"/>
      <c r="B566" s="15"/>
      <c r="C566" s="15"/>
      <c r="D566" s="15"/>
      <c r="E566" s="379"/>
      <c r="F566" s="15"/>
      <c r="G566" s="250"/>
      <c r="H566" s="380"/>
      <c r="I566" s="15"/>
      <c r="J566" s="31"/>
      <c r="K566" s="243"/>
      <c r="L566" s="15"/>
      <c r="M566" s="243"/>
      <c r="N566" s="243"/>
      <c r="O566" s="243"/>
      <c r="P566" s="243"/>
      <c r="Q566" s="243"/>
    </row>
    <row r="567">
      <c r="A567" s="243"/>
      <c r="B567" s="15"/>
      <c r="C567" s="15"/>
      <c r="D567" s="15"/>
      <c r="E567" s="379"/>
      <c r="F567" s="15"/>
      <c r="G567" s="250"/>
      <c r="H567" s="380"/>
      <c r="I567" s="15"/>
      <c r="J567" s="31"/>
      <c r="K567" s="243"/>
      <c r="L567" s="15"/>
      <c r="M567" s="243"/>
      <c r="N567" s="243"/>
      <c r="O567" s="243"/>
      <c r="P567" s="243"/>
      <c r="Q567" s="243"/>
    </row>
    <row r="568">
      <c r="A568" s="243"/>
      <c r="B568" s="15"/>
      <c r="C568" s="15"/>
      <c r="D568" s="15"/>
      <c r="E568" s="379"/>
      <c r="F568" s="15"/>
      <c r="G568" s="250"/>
      <c r="H568" s="380"/>
      <c r="I568" s="15"/>
      <c r="J568" s="31"/>
      <c r="K568" s="243"/>
      <c r="L568" s="15"/>
      <c r="M568" s="243"/>
      <c r="N568" s="243"/>
      <c r="O568" s="243"/>
      <c r="P568" s="243"/>
      <c r="Q568" s="243"/>
    </row>
    <row r="569">
      <c r="A569" s="243"/>
      <c r="B569" s="15"/>
      <c r="C569" s="15"/>
      <c r="D569" s="15"/>
      <c r="E569" s="379"/>
      <c r="F569" s="15"/>
      <c r="G569" s="250"/>
      <c r="H569" s="380"/>
      <c r="I569" s="15"/>
      <c r="J569" s="31"/>
      <c r="K569" s="243"/>
      <c r="L569" s="15"/>
      <c r="M569" s="243"/>
      <c r="N569" s="243"/>
      <c r="O569" s="243"/>
      <c r="P569" s="243"/>
      <c r="Q569" s="243"/>
    </row>
    <row r="570">
      <c r="A570" s="243"/>
      <c r="B570" s="15"/>
      <c r="C570" s="15"/>
      <c r="D570" s="15"/>
      <c r="E570" s="379"/>
      <c r="F570" s="15"/>
      <c r="G570" s="250"/>
      <c r="H570" s="380"/>
      <c r="I570" s="15"/>
      <c r="J570" s="31"/>
      <c r="K570" s="243"/>
      <c r="L570" s="15"/>
      <c r="M570" s="243"/>
      <c r="N570" s="243"/>
      <c r="O570" s="243"/>
      <c r="P570" s="243"/>
      <c r="Q570" s="243"/>
    </row>
    <row r="571">
      <c r="A571" s="243"/>
      <c r="B571" s="15"/>
      <c r="C571" s="15"/>
      <c r="D571" s="15"/>
      <c r="E571" s="379"/>
      <c r="F571" s="15"/>
      <c r="G571" s="250"/>
      <c r="H571" s="380"/>
      <c r="I571" s="15"/>
      <c r="J571" s="31"/>
      <c r="K571" s="243"/>
      <c r="L571" s="15"/>
      <c r="M571" s="243"/>
      <c r="N571" s="243"/>
      <c r="O571" s="243"/>
      <c r="P571" s="243"/>
      <c r="Q571" s="243"/>
    </row>
    <row r="572">
      <c r="A572" s="243"/>
      <c r="B572" s="15"/>
      <c r="C572" s="15"/>
      <c r="D572" s="15"/>
      <c r="E572" s="379"/>
      <c r="F572" s="15"/>
      <c r="G572" s="250"/>
      <c r="H572" s="380"/>
      <c r="I572" s="15"/>
      <c r="J572" s="31"/>
      <c r="K572" s="243"/>
      <c r="L572" s="15"/>
      <c r="M572" s="243"/>
      <c r="N572" s="243"/>
      <c r="O572" s="243"/>
      <c r="P572" s="243"/>
      <c r="Q572" s="243"/>
    </row>
    <row r="573">
      <c r="A573" s="243"/>
      <c r="B573" s="15"/>
      <c r="C573" s="15"/>
      <c r="D573" s="15"/>
      <c r="E573" s="379"/>
      <c r="F573" s="15"/>
      <c r="G573" s="250"/>
      <c r="H573" s="380"/>
      <c r="I573" s="15"/>
      <c r="J573" s="31"/>
      <c r="K573" s="243"/>
      <c r="L573" s="15"/>
      <c r="M573" s="243"/>
      <c r="N573" s="243"/>
      <c r="O573" s="243"/>
      <c r="P573" s="243"/>
      <c r="Q573" s="243"/>
    </row>
    <row r="574">
      <c r="A574" s="243"/>
      <c r="B574" s="15"/>
      <c r="C574" s="15"/>
      <c r="D574" s="15"/>
      <c r="E574" s="379"/>
      <c r="F574" s="15"/>
      <c r="G574" s="250"/>
      <c r="H574" s="380"/>
      <c r="I574" s="15"/>
      <c r="J574" s="31"/>
      <c r="K574" s="243"/>
      <c r="L574" s="15"/>
      <c r="M574" s="243"/>
      <c r="N574" s="243"/>
      <c r="O574" s="243"/>
      <c r="P574" s="243"/>
      <c r="Q574" s="243"/>
    </row>
    <row r="575">
      <c r="A575" s="243"/>
      <c r="B575" s="15"/>
      <c r="C575" s="15"/>
      <c r="D575" s="15"/>
      <c r="E575" s="379"/>
      <c r="F575" s="15"/>
      <c r="G575" s="250"/>
      <c r="H575" s="380"/>
      <c r="I575" s="15"/>
      <c r="J575" s="31"/>
      <c r="K575" s="243"/>
      <c r="L575" s="15"/>
      <c r="M575" s="243"/>
      <c r="N575" s="243"/>
      <c r="O575" s="243"/>
      <c r="P575" s="243"/>
      <c r="Q575" s="243"/>
    </row>
    <row r="576">
      <c r="A576" s="243"/>
      <c r="B576" s="15"/>
      <c r="C576" s="15"/>
      <c r="D576" s="15"/>
      <c r="E576" s="379"/>
      <c r="F576" s="15"/>
      <c r="G576" s="250"/>
      <c r="H576" s="380"/>
      <c r="I576" s="15"/>
      <c r="J576" s="31"/>
      <c r="K576" s="243"/>
      <c r="L576" s="15"/>
      <c r="M576" s="243"/>
      <c r="N576" s="243"/>
      <c r="O576" s="243"/>
      <c r="P576" s="243"/>
      <c r="Q576" s="243"/>
    </row>
    <row r="577">
      <c r="A577" s="243"/>
      <c r="B577" s="15"/>
      <c r="C577" s="15"/>
      <c r="D577" s="15"/>
      <c r="E577" s="379"/>
      <c r="F577" s="15"/>
      <c r="G577" s="250"/>
      <c r="H577" s="380"/>
      <c r="I577" s="15"/>
      <c r="J577" s="31"/>
      <c r="K577" s="243"/>
      <c r="L577" s="15"/>
      <c r="M577" s="243"/>
      <c r="N577" s="243"/>
      <c r="O577" s="243"/>
      <c r="P577" s="243"/>
      <c r="Q577" s="243"/>
    </row>
    <row r="578">
      <c r="A578" s="243"/>
      <c r="B578" s="15"/>
      <c r="C578" s="15"/>
      <c r="D578" s="15"/>
      <c r="E578" s="379"/>
      <c r="F578" s="15"/>
      <c r="G578" s="250"/>
      <c r="H578" s="380"/>
      <c r="I578" s="15"/>
      <c r="J578" s="31"/>
      <c r="K578" s="243"/>
      <c r="L578" s="15"/>
      <c r="M578" s="243"/>
      <c r="N578" s="243"/>
      <c r="O578" s="243"/>
      <c r="P578" s="243"/>
      <c r="Q578" s="243"/>
    </row>
    <row r="579">
      <c r="A579" s="243"/>
      <c r="B579" s="15"/>
      <c r="C579" s="15"/>
      <c r="D579" s="15"/>
      <c r="E579" s="379"/>
      <c r="F579" s="15"/>
      <c r="G579" s="250"/>
      <c r="H579" s="380"/>
      <c r="I579" s="15"/>
      <c r="J579" s="31"/>
      <c r="K579" s="243"/>
      <c r="L579" s="15"/>
      <c r="M579" s="243"/>
      <c r="N579" s="243"/>
      <c r="O579" s="243"/>
      <c r="P579" s="243"/>
      <c r="Q579" s="243"/>
    </row>
    <row r="580">
      <c r="A580" s="243"/>
      <c r="B580" s="15"/>
      <c r="C580" s="15"/>
      <c r="D580" s="15"/>
      <c r="E580" s="379"/>
      <c r="F580" s="15"/>
      <c r="G580" s="250"/>
      <c r="H580" s="380"/>
      <c r="I580" s="15"/>
      <c r="J580" s="31"/>
      <c r="K580" s="243"/>
      <c r="L580" s="15"/>
      <c r="M580" s="243"/>
      <c r="N580" s="243"/>
      <c r="O580" s="243"/>
      <c r="P580" s="243"/>
      <c r="Q580" s="243"/>
    </row>
    <row r="581">
      <c r="A581" s="243"/>
      <c r="B581" s="15"/>
      <c r="C581" s="15"/>
      <c r="D581" s="15"/>
      <c r="E581" s="379"/>
      <c r="F581" s="15"/>
      <c r="G581" s="250"/>
      <c r="H581" s="380"/>
      <c r="I581" s="15"/>
      <c r="J581" s="31"/>
      <c r="K581" s="243"/>
      <c r="L581" s="15"/>
      <c r="M581" s="243"/>
      <c r="N581" s="243"/>
      <c r="O581" s="243"/>
      <c r="P581" s="243"/>
      <c r="Q581" s="243"/>
    </row>
    <row r="582">
      <c r="A582" s="243"/>
      <c r="B582" s="15"/>
      <c r="C582" s="15"/>
      <c r="D582" s="15"/>
      <c r="E582" s="379"/>
      <c r="F582" s="15"/>
      <c r="G582" s="250"/>
      <c r="H582" s="380"/>
      <c r="I582" s="15"/>
      <c r="J582" s="31"/>
      <c r="K582" s="243"/>
      <c r="L582" s="15"/>
      <c r="M582" s="243"/>
      <c r="N582" s="243"/>
      <c r="O582" s="243"/>
      <c r="P582" s="243"/>
      <c r="Q582" s="243"/>
    </row>
    <row r="583">
      <c r="A583" s="243"/>
      <c r="B583" s="15"/>
      <c r="C583" s="15"/>
      <c r="D583" s="15"/>
      <c r="E583" s="379"/>
      <c r="F583" s="15"/>
      <c r="G583" s="250"/>
      <c r="H583" s="380"/>
      <c r="I583" s="15"/>
      <c r="J583" s="31"/>
      <c r="K583" s="243"/>
      <c r="L583" s="15"/>
      <c r="M583" s="243"/>
      <c r="N583" s="243"/>
      <c r="O583" s="243"/>
      <c r="P583" s="243"/>
      <c r="Q583" s="243"/>
    </row>
    <row r="584">
      <c r="A584" s="243"/>
      <c r="B584" s="15"/>
      <c r="C584" s="15"/>
      <c r="D584" s="15"/>
      <c r="E584" s="379"/>
      <c r="F584" s="15"/>
      <c r="G584" s="250"/>
      <c r="H584" s="380"/>
      <c r="I584" s="15"/>
      <c r="J584" s="31"/>
      <c r="K584" s="243"/>
      <c r="L584" s="15"/>
      <c r="M584" s="243"/>
      <c r="N584" s="243"/>
      <c r="O584" s="243"/>
      <c r="P584" s="243"/>
      <c r="Q584" s="243"/>
    </row>
    <row r="585">
      <c r="A585" s="243"/>
      <c r="B585" s="15"/>
      <c r="C585" s="15"/>
      <c r="D585" s="15"/>
      <c r="E585" s="379"/>
      <c r="F585" s="15"/>
      <c r="G585" s="250"/>
      <c r="H585" s="380"/>
      <c r="I585" s="15"/>
      <c r="J585" s="31"/>
      <c r="K585" s="243"/>
      <c r="L585" s="15"/>
      <c r="M585" s="243"/>
      <c r="N585" s="243"/>
      <c r="O585" s="243"/>
      <c r="P585" s="243"/>
      <c r="Q585" s="243"/>
    </row>
    <row r="586">
      <c r="A586" s="243"/>
      <c r="B586" s="15"/>
      <c r="C586" s="15"/>
      <c r="D586" s="15"/>
      <c r="E586" s="379"/>
      <c r="F586" s="15"/>
      <c r="G586" s="250"/>
      <c r="H586" s="380"/>
      <c r="I586" s="15"/>
      <c r="J586" s="31"/>
      <c r="K586" s="243"/>
      <c r="L586" s="15"/>
      <c r="M586" s="243"/>
      <c r="N586" s="243"/>
      <c r="O586" s="243"/>
      <c r="P586" s="243"/>
      <c r="Q586" s="243"/>
    </row>
    <row r="587">
      <c r="A587" s="243"/>
      <c r="B587" s="15"/>
      <c r="C587" s="15"/>
      <c r="D587" s="15"/>
      <c r="E587" s="379"/>
      <c r="F587" s="15"/>
      <c r="G587" s="250"/>
      <c r="H587" s="380"/>
      <c r="I587" s="15"/>
      <c r="J587" s="31"/>
      <c r="K587" s="243"/>
      <c r="L587" s="15"/>
      <c r="M587" s="243"/>
      <c r="N587" s="243"/>
      <c r="O587" s="243"/>
      <c r="P587" s="243"/>
      <c r="Q587" s="243"/>
    </row>
    <row r="588">
      <c r="A588" s="243"/>
      <c r="B588" s="15"/>
      <c r="C588" s="15"/>
      <c r="D588" s="15"/>
      <c r="E588" s="379"/>
      <c r="F588" s="15"/>
      <c r="G588" s="250"/>
      <c r="H588" s="380"/>
      <c r="I588" s="15"/>
      <c r="J588" s="31"/>
      <c r="K588" s="243"/>
      <c r="L588" s="15"/>
      <c r="M588" s="243"/>
      <c r="N588" s="243"/>
      <c r="O588" s="243"/>
      <c r="P588" s="243"/>
      <c r="Q588" s="243"/>
    </row>
    <row r="589">
      <c r="A589" s="243"/>
      <c r="B589" s="15"/>
      <c r="C589" s="15"/>
      <c r="D589" s="15"/>
      <c r="E589" s="379"/>
      <c r="F589" s="15"/>
      <c r="G589" s="250"/>
      <c r="H589" s="380"/>
      <c r="I589" s="15"/>
      <c r="J589" s="31"/>
      <c r="K589" s="243"/>
      <c r="L589" s="15"/>
      <c r="M589" s="243"/>
      <c r="N589" s="243"/>
      <c r="O589" s="243"/>
      <c r="P589" s="243"/>
      <c r="Q589" s="243"/>
    </row>
    <row r="590">
      <c r="A590" s="243"/>
      <c r="B590" s="15"/>
      <c r="C590" s="15"/>
      <c r="D590" s="15"/>
      <c r="E590" s="379"/>
      <c r="F590" s="15"/>
      <c r="G590" s="250"/>
      <c r="H590" s="380"/>
      <c r="I590" s="15"/>
      <c r="J590" s="31"/>
      <c r="K590" s="243"/>
      <c r="L590" s="15"/>
      <c r="M590" s="243"/>
      <c r="N590" s="243"/>
      <c r="O590" s="243"/>
      <c r="P590" s="243"/>
      <c r="Q590" s="243"/>
    </row>
    <row r="591">
      <c r="A591" s="243"/>
      <c r="B591" s="15"/>
      <c r="C591" s="15"/>
      <c r="D591" s="15"/>
      <c r="E591" s="379"/>
      <c r="F591" s="15"/>
      <c r="G591" s="250"/>
      <c r="H591" s="380"/>
      <c r="I591" s="15"/>
      <c r="J591" s="31"/>
      <c r="K591" s="243"/>
      <c r="L591" s="15"/>
      <c r="M591" s="243"/>
      <c r="N591" s="243"/>
      <c r="O591" s="243"/>
      <c r="P591" s="243"/>
      <c r="Q591" s="243"/>
    </row>
    <row r="592">
      <c r="A592" s="243"/>
      <c r="B592" s="15"/>
      <c r="C592" s="15"/>
      <c r="D592" s="15"/>
      <c r="E592" s="379"/>
      <c r="F592" s="15"/>
      <c r="G592" s="250"/>
      <c r="H592" s="380"/>
      <c r="I592" s="15"/>
      <c r="J592" s="31"/>
      <c r="K592" s="243"/>
      <c r="L592" s="15"/>
      <c r="M592" s="243"/>
      <c r="N592" s="243"/>
      <c r="O592" s="243"/>
      <c r="P592" s="243"/>
      <c r="Q592" s="243"/>
    </row>
    <row r="593">
      <c r="A593" s="243"/>
      <c r="B593" s="15"/>
      <c r="C593" s="15"/>
      <c r="D593" s="15"/>
      <c r="E593" s="379"/>
      <c r="F593" s="15"/>
      <c r="G593" s="250"/>
      <c r="H593" s="380"/>
      <c r="I593" s="15"/>
      <c r="J593" s="31"/>
      <c r="K593" s="243"/>
      <c r="L593" s="15"/>
      <c r="M593" s="243"/>
      <c r="N593" s="243"/>
      <c r="O593" s="243"/>
      <c r="P593" s="243"/>
      <c r="Q593" s="243"/>
    </row>
    <row r="594">
      <c r="A594" s="243"/>
      <c r="B594" s="15"/>
      <c r="C594" s="15"/>
      <c r="D594" s="15"/>
      <c r="E594" s="379"/>
      <c r="F594" s="15"/>
      <c r="G594" s="250"/>
      <c r="H594" s="380"/>
      <c r="I594" s="15"/>
      <c r="J594" s="31"/>
      <c r="K594" s="243"/>
      <c r="L594" s="15"/>
      <c r="M594" s="243"/>
      <c r="N594" s="243"/>
      <c r="O594" s="243"/>
      <c r="P594" s="243"/>
      <c r="Q594" s="243"/>
    </row>
    <row r="595">
      <c r="A595" s="243"/>
      <c r="B595" s="15"/>
      <c r="C595" s="15"/>
      <c r="D595" s="15"/>
      <c r="E595" s="379"/>
      <c r="F595" s="15"/>
      <c r="G595" s="250"/>
      <c r="H595" s="380"/>
      <c r="I595" s="15"/>
      <c r="J595" s="31"/>
      <c r="K595" s="243"/>
      <c r="L595" s="15"/>
      <c r="M595" s="243"/>
      <c r="N595" s="243"/>
      <c r="O595" s="243"/>
      <c r="P595" s="243"/>
      <c r="Q595" s="243"/>
    </row>
    <row r="596">
      <c r="A596" s="243"/>
      <c r="B596" s="15"/>
      <c r="C596" s="15"/>
      <c r="D596" s="15"/>
      <c r="E596" s="379"/>
      <c r="F596" s="15"/>
      <c r="G596" s="250"/>
      <c r="H596" s="380"/>
      <c r="I596" s="15"/>
      <c r="J596" s="31"/>
      <c r="K596" s="243"/>
      <c r="L596" s="15"/>
      <c r="M596" s="243"/>
      <c r="N596" s="243"/>
      <c r="O596" s="243"/>
      <c r="P596" s="243"/>
      <c r="Q596" s="243"/>
    </row>
    <row r="597">
      <c r="A597" s="243"/>
      <c r="B597" s="15"/>
      <c r="C597" s="15"/>
      <c r="D597" s="15"/>
      <c r="E597" s="379"/>
      <c r="F597" s="15"/>
      <c r="G597" s="250"/>
      <c r="H597" s="380"/>
      <c r="I597" s="15"/>
      <c r="J597" s="31"/>
      <c r="K597" s="243"/>
      <c r="L597" s="15"/>
      <c r="M597" s="243"/>
      <c r="N597" s="243"/>
      <c r="O597" s="243"/>
      <c r="P597" s="243"/>
      <c r="Q597" s="243"/>
    </row>
    <row r="598">
      <c r="A598" s="243"/>
      <c r="B598" s="15"/>
      <c r="C598" s="15"/>
      <c r="D598" s="15"/>
      <c r="E598" s="379"/>
      <c r="F598" s="15"/>
      <c r="G598" s="250"/>
      <c r="H598" s="380"/>
      <c r="I598" s="15"/>
      <c r="J598" s="31"/>
      <c r="K598" s="243"/>
      <c r="L598" s="15"/>
      <c r="M598" s="243"/>
      <c r="N598" s="243"/>
      <c r="O598" s="243"/>
      <c r="P598" s="243"/>
      <c r="Q598" s="243"/>
    </row>
    <row r="599">
      <c r="A599" s="243"/>
      <c r="B599" s="15"/>
      <c r="C599" s="15"/>
      <c r="D599" s="15"/>
      <c r="E599" s="379"/>
      <c r="F599" s="15"/>
      <c r="G599" s="250"/>
      <c r="H599" s="380"/>
      <c r="I599" s="15"/>
      <c r="J599" s="31"/>
      <c r="K599" s="243"/>
      <c r="L599" s="15"/>
      <c r="M599" s="243"/>
      <c r="N599" s="243"/>
      <c r="O599" s="243"/>
      <c r="P599" s="243"/>
      <c r="Q599" s="243"/>
    </row>
    <row r="600">
      <c r="A600" s="243"/>
      <c r="B600" s="15"/>
      <c r="C600" s="15"/>
      <c r="D600" s="15"/>
      <c r="E600" s="379"/>
      <c r="F600" s="15"/>
      <c r="G600" s="250"/>
      <c r="H600" s="380"/>
      <c r="I600" s="15"/>
      <c r="J600" s="31"/>
      <c r="K600" s="243"/>
      <c r="L600" s="15"/>
      <c r="M600" s="243"/>
      <c r="N600" s="243"/>
      <c r="O600" s="243"/>
      <c r="P600" s="243"/>
      <c r="Q600" s="243"/>
    </row>
    <row r="601">
      <c r="A601" s="243"/>
      <c r="B601" s="15"/>
      <c r="C601" s="15"/>
      <c r="D601" s="15"/>
      <c r="E601" s="379"/>
      <c r="F601" s="15"/>
      <c r="G601" s="250"/>
      <c r="H601" s="380"/>
      <c r="I601" s="15"/>
      <c r="J601" s="31"/>
      <c r="K601" s="243"/>
      <c r="L601" s="15"/>
      <c r="M601" s="243"/>
      <c r="N601" s="243"/>
      <c r="O601" s="243"/>
      <c r="P601" s="243"/>
      <c r="Q601" s="243"/>
    </row>
    <row r="602">
      <c r="A602" s="243"/>
      <c r="B602" s="15"/>
      <c r="C602" s="15"/>
      <c r="D602" s="15"/>
      <c r="E602" s="379"/>
      <c r="F602" s="15"/>
      <c r="G602" s="250"/>
      <c r="H602" s="380"/>
      <c r="I602" s="15"/>
      <c r="J602" s="31"/>
      <c r="K602" s="243"/>
      <c r="L602" s="15"/>
      <c r="M602" s="243"/>
      <c r="N602" s="243"/>
      <c r="O602" s="243"/>
      <c r="P602" s="243"/>
      <c r="Q602" s="243"/>
    </row>
    <row r="603">
      <c r="A603" s="243"/>
      <c r="B603" s="15"/>
      <c r="C603" s="15"/>
      <c r="D603" s="15"/>
      <c r="E603" s="379"/>
      <c r="F603" s="15"/>
      <c r="G603" s="250"/>
      <c r="H603" s="380"/>
      <c r="I603" s="15"/>
      <c r="J603" s="31"/>
      <c r="K603" s="243"/>
      <c r="L603" s="15"/>
      <c r="M603" s="243"/>
      <c r="N603" s="243"/>
      <c r="O603" s="243"/>
      <c r="P603" s="243"/>
      <c r="Q603" s="243"/>
    </row>
    <row r="604">
      <c r="A604" s="243"/>
      <c r="B604" s="15"/>
      <c r="C604" s="15"/>
      <c r="D604" s="15"/>
      <c r="E604" s="379"/>
      <c r="F604" s="15"/>
      <c r="G604" s="250"/>
      <c r="H604" s="380"/>
      <c r="I604" s="15"/>
      <c r="J604" s="31"/>
      <c r="K604" s="243"/>
      <c r="L604" s="15"/>
      <c r="M604" s="243"/>
      <c r="N604" s="243"/>
      <c r="O604" s="243"/>
      <c r="P604" s="243"/>
      <c r="Q604" s="243"/>
    </row>
    <row r="605">
      <c r="A605" s="243"/>
      <c r="B605" s="15"/>
      <c r="C605" s="15"/>
      <c r="D605" s="15"/>
      <c r="E605" s="379"/>
      <c r="F605" s="15"/>
      <c r="G605" s="250"/>
      <c r="H605" s="380"/>
      <c r="I605" s="15"/>
      <c r="J605" s="31"/>
      <c r="K605" s="243"/>
      <c r="L605" s="15"/>
      <c r="M605" s="243"/>
      <c r="N605" s="243"/>
      <c r="O605" s="243"/>
      <c r="P605" s="243"/>
      <c r="Q605" s="243"/>
    </row>
    <row r="606">
      <c r="A606" s="243"/>
      <c r="B606" s="15"/>
      <c r="C606" s="15"/>
      <c r="D606" s="15"/>
      <c r="E606" s="379"/>
      <c r="F606" s="15"/>
      <c r="G606" s="250"/>
      <c r="H606" s="380"/>
      <c r="I606" s="15"/>
      <c r="J606" s="31"/>
      <c r="K606" s="243"/>
      <c r="L606" s="15"/>
      <c r="M606" s="243"/>
      <c r="N606" s="243"/>
      <c r="O606" s="243"/>
      <c r="P606" s="243"/>
      <c r="Q606" s="243"/>
    </row>
    <row r="607">
      <c r="A607" s="243"/>
      <c r="B607" s="15"/>
      <c r="C607" s="15"/>
      <c r="D607" s="15"/>
      <c r="E607" s="379"/>
      <c r="F607" s="15"/>
      <c r="G607" s="250"/>
      <c r="H607" s="380"/>
      <c r="I607" s="15"/>
      <c r="J607" s="31"/>
      <c r="K607" s="243"/>
      <c r="L607" s="15"/>
      <c r="M607" s="243"/>
      <c r="N607" s="243"/>
      <c r="O607" s="243"/>
      <c r="P607" s="243"/>
      <c r="Q607" s="243"/>
    </row>
    <row r="608">
      <c r="A608" s="243"/>
      <c r="B608" s="15"/>
      <c r="C608" s="15"/>
      <c r="D608" s="15"/>
      <c r="E608" s="379"/>
      <c r="F608" s="15"/>
      <c r="G608" s="250"/>
      <c r="H608" s="380"/>
      <c r="I608" s="15"/>
      <c r="J608" s="31"/>
      <c r="K608" s="243"/>
      <c r="L608" s="15"/>
      <c r="M608" s="243"/>
      <c r="N608" s="243"/>
      <c r="O608" s="243"/>
      <c r="P608" s="243"/>
      <c r="Q608" s="243"/>
    </row>
    <row r="609">
      <c r="A609" s="243"/>
      <c r="B609" s="15"/>
      <c r="C609" s="15"/>
      <c r="D609" s="15"/>
      <c r="E609" s="379"/>
      <c r="F609" s="15"/>
      <c r="G609" s="250"/>
      <c r="H609" s="380"/>
      <c r="I609" s="15"/>
      <c r="J609" s="31"/>
      <c r="K609" s="243"/>
      <c r="L609" s="15"/>
      <c r="M609" s="243"/>
      <c r="N609" s="243"/>
      <c r="O609" s="243"/>
      <c r="P609" s="243"/>
      <c r="Q609" s="243"/>
    </row>
    <row r="610">
      <c r="A610" s="243"/>
      <c r="B610" s="15"/>
      <c r="C610" s="15"/>
      <c r="D610" s="15"/>
      <c r="E610" s="379"/>
      <c r="F610" s="15"/>
      <c r="G610" s="250"/>
      <c r="H610" s="380"/>
      <c r="I610" s="15"/>
      <c r="J610" s="31"/>
      <c r="K610" s="243"/>
      <c r="L610" s="15"/>
      <c r="M610" s="243"/>
      <c r="N610" s="243"/>
      <c r="O610" s="243"/>
      <c r="P610" s="243"/>
      <c r="Q610" s="243"/>
    </row>
    <row r="611">
      <c r="A611" s="243"/>
      <c r="B611" s="15"/>
      <c r="C611" s="15"/>
      <c r="D611" s="15"/>
      <c r="E611" s="379"/>
      <c r="F611" s="15"/>
      <c r="G611" s="250"/>
      <c r="H611" s="380"/>
      <c r="I611" s="15"/>
      <c r="J611" s="31"/>
      <c r="K611" s="243"/>
      <c r="L611" s="15"/>
      <c r="M611" s="243"/>
      <c r="N611" s="243"/>
      <c r="O611" s="243"/>
      <c r="P611" s="243"/>
      <c r="Q611" s="243"/>
    </row>
    <row r="612">
      <c r="A612" s="243"/>
      <c r="B612" s="15"/>
      <c r="C612" s="15"/>
      <c r="D612" s="15"/>
      <c r="E612" s="379"/>
      <c r="F612" s="15"/>
      <c r="G612" s="250"/>
      <c r="H612" s="380"/>
      <c r="I612" s="15"/>
      <c r="J612" s="31"/>
      <c r="K612" s="243"/>
      <c r="L612" s="15"/>
      <c r="M612" s="243"/>
      <c r="N612" s="243"/>
      <c r="O612" s="243"/>
      <c r="P612" s="243"/>
      <c r="Q612" s="243"/>
    </row>
    <row r="613">
      <c r="A613" s="243"/>
      <c r="B613" s="15"/>
      <c r="C613" s="15"/>
      <c r="D613" s="15"/>
      <c r="E613" s="379"/>
      <c r="F613" s="15"/>
      <c r="G613" s="250"/>
      <c r="H613" s="380"/>
      <c r="I613" s="15"/>
      <c r="J613" s="31"/>
      <c r="K613" s="243"/>
      <c r="L613" s="15"/>
      <c r="M613" s="243"/>
      <c r="N613" s="243"/>
      <c r="O613" s="243"/>
      <c r="P613" s="243"/>
      <c r="Q613" s="243"/>
    </row>
    <row r="614">
      <c r="A614" s="243"/>
      <c r="B614" s="15"/>
      <c r="C614" s="15"/>
      <c r="D614" s="15"/>
      <c r="E614" s="379"/>
      <c r="F614" s="15"/>
      <c r="G614" s="250"/>
      <c r="H614" s="380"/>
      <c r="I614" s="15"/>
      <c r="J614" s="31"/>
      <c r="K614" s="243"/>
      <c r="L614" s="15"/>
      <c r="M614" s="243"/>
      <c r="N614" s="243"/>
      <c r="O614" s="243"/>
      <c r="P614" s="243"/>
      <c r="Q614" s="243"/>
    </row>
    <row r="615">
      <c r="A615" s="243"/>
      <c r="B615" s="15"/>
      <c r="C615" s="15"/>
      <c r="D615" s="15"/>
      <c r="E615" s="379"/>
      <c r="F615" s="15"/>
      <c r="G615" s="250"/>
      <c r="H615" s="380"/>
      <c r="I615" s="15"/>
      <c r="J615" s="31"/>
      <c r="K615" s="243"/>
      <c r="L615" s="15"/>
      <c r="M615" s="243"/>
      <c r="N615" s="243"/>
      <c r="O615" s="243"/>
      <c r="P615" s="243"/>
      <c r="Q615" s="243"/>
    </row>
    <row r="616">
      <c r="A616" s="243"/>
      <c r="B616" s="15"/>
      <c r="C616" s="15"/>
      <c r="D616" s="15"/>
      <c r="E616" s="379"/>
      <c r="F616" s="15"/>
      <c r="G616" s="250"/>
      <c r="H616" s="380"/>
      <c r="I616" s="15"/>
      <c r="J616" s="31"/>
      <c r="K616" s="243"/>
      <c r="L616" s="15"/>
      <c r="M616" s="243"/>
      <c r="N616" s="243"/>
      <c r="O616" s="243"/>
      <c r="P616" s="243"/>
      <c r="Q616" s="243"/>
    </row>
    <row r="617">
      <c r="A617" s="243"/>
      <c r="B617" s="15"/>
      <c r="C617" s="15"/>
      <c r="D617" s="15"/>
      <c r="E617" s="379"/>
      <c r="F617" s="15"/>
      <c r="G617" s="250"/>
      <c r="H617" s="380"/>
      <c r="I617" s="15"/>
      <c r="J617" s="31"/>
      <c r="K617" s="243"/>
      <c r="L617" s="15"/>
      <c r="M617" s="243"/>
      <c r="N617" s="243"/>
      <c r="O617" s="243"/>
      <c r="P617" s="243"/>
      <c r="Q617" s="243"/>
    </row>
    <row r="618">
      <c r="A618" s="243"/>
      <c r="B618" s="15"/>
      <c r="C618" s="15"/>
      <c r="D618" s="15"/>
      <c r="E618" s="379"/>
      <c r="F618" s="15"/>
      <c r="G618" s="250"/>
      <c r="H618" s="380"/>
      <c r="I618" s="15"/>
      <c r="J618" s="31"/>
      <c r="K618" s="243"/>
      <c r="L618" s="15"/>
      <c r="M618" s="243"/>
      <c r="N618" s="243"/>
      <c r="O618" s="243"/>
      <c r="P618" s="243"/>
      <c r="Q618" s="243"/>
    </row>
    <row r="619">
      <c r="A619" s="243"/>
      <c r="B619" s="15"/>
      <c r="C619" s="15"/>
      <c r="D619" s="15"/>
      <c r="E619" s="379"/>
      <c r="F619" s="15"/>
      <c r="G619" s="250"/>
      <c r="H619" s="380"/>
      <c r="I619" s="15"/>
      <c r="J619" s="31"/>
      <c r="K619" s="243"/>
      <c r="L619" s="15"/>
      <c r="M619" s="243"/>
      <c r="N619" s="243"/>
      <c r="O619" s="243"/>
      <c r="P619" s="243"/>
      <c r="Q619" s="243"/>
    </row>
    <row r="620">
      <c r="A620" s="243"/>
      <c r="B620" s="15"/>
      <c r="C620" s="15"/>
      <c r="D620" s="15"/>
      <c r="E620" s="379"/>
      <c r="F620" s="15"/>
      <c r="G620" s="250"/>
      <c r="H620" s="380"/>
      <c r="I620" s="15"/>
      <c r="J620" s="31"/>
      <c r="K620" s="243"/>
      <c r="L620" s="15"/>
      <c r="M620" s="243"/>
      <c r="N620" s="243"/>
      <c r="O620" s="243"/>
      <c r="P620" s="243"/>
      <c r="Q620" s="243"/>
    </row>
    <row r="621">
      <c r="A621" s="243"/>
      <c r="B621" s="15"/>
      <c r="C621" s="15"/>
      <c r="D621" s="15"/>
      <c r="E621" s="379"/>
      <c r="F621" s="15"/>
      <c r="G621" s="250"/>
      <c r="H621" s="380"/>
      <c r="I621" s="15"/>
      <c r="J621" s="31"/>
      <c r="K621" s="243"/>
      <c r="L621" s="15"/>
      <c r="M621" s="243"/>
      <c r="N621" s="243"/>
      <c r="O621" s="243"/>
      <c r="P621" s="243"/>
      <c r="Q621" s="243"/>
    </row>
    <row r="622">
      <c r="A622" s="243"/>
      <c r="B622" s="15"/>
      <c r="C622" s="15"/>
      <c r="D622" s="15"/>
      <c r="E622" s="379"/>
      <c r="F622" s="15"/>
      <c r="G622" s="250"/>
      <c r="H622" s="380"/>
      <c r="I622" s="15"/>
      <c r="J622" s="31"/>
      <c r="K622" s="243"/>
      <c r="L622" s="15"/>
      <c r="M622" s="243"/>
      <c r="N622" s="243"/>
      <c r="O622" s="243"/>
      <c r="P622" s="243"/>
      <c r="Q622" s="243"/>
    </row>
    <row r="623">
      <c r="A623" s="243"/>
      <c r="B623" s="15"/>
      <c r="C623" s="15"/>
      <c r="D623" s="15"/>
      <c r="E623" s="379"/>
      <c r="F623" s="15"/>
      <c r="G623" s="250"/>
      <c r="H623" s="380"/>
      <c r="I623" s="15"/>
      <c r="J623" s="31"/>
      <c r="K623" s="243"/>
      <c r="L623" s="15"/>
      <c r="M623" s="243"/>
      <c r="N623" s="243"/>
      <c r="O623" s="243"/>
      <c r="P623" s="243"/>
      <c r="Q623" s="243"/>
    </row>
    <row r="624">
      <c r="A624" s="243"/>
      <c r="B624" s="15"/>
      <c r="C624" s="15"/>
      <c r="D624" s="15"/>
      <c r="E624" s="379"/>
      <c r="F624" s="15"/>
      <c r="G624" s="250"/>
      <c r="H624" s="380"/>
      <c r="I624" s="15"/>
      <c r="J624" s="31"/>
      <c r="K624" s="243"/>
      <c r="L624" s="15"/>
      <c r="M624" s="243"/>
      <c r="N624" s="243"/>
      <c r="O624" s="243"/>
      <c r="P624" s="243"/>
      <c r="Q624" s="243"/>
    </row>
    <row r="625">
      <c r="A625" s="243"/>
      <c r="B625" s="15"/>
      <c r="C625" s="15"/>
      <c r="D625" s="15"/>
      <c r="E625" s="379"/>
      <c r="F625" s="15"/>
      <c r="G625" s="250"/>
      <c r="H625" s="380"/>
      <c r="I625" s="15"/>
      <c r="J625" s="31"/>
      <c r="K625" s="243"/>
      <c r="L625" s="15"/>
      <c r="M625" s="243"/>
      <c r="N625" s="243"/>
      <c r="O625" s="243"/>
      <c r="P625" s="243"/>
      <c r="Q625" s="243"/>
    </row>
    <row r="626">
      <c r="A626" s="243"/>
      <c r="B626" s="15"/>
      <c r="C626" s="15"/>
      <c r="D626" s="15"/>
      <c r="E626" s="379"/>
      <c r="F626" s="15"/>
      <c r="G626" s="250"/>
      <c r="H626" s="380"/>
      <c r="I626" s="15"/>
      <c r="J626" s="31"/>
      <c r="K626" s="243"/>
      <c r="L626" s="15"/>
      <c r="M626" s="243"/>
      <c r="N626" s="243"/>
      <c r="O626" s="243"/>
      <c r="P626" s="243"/>
      <c r="Q626" s="243"/>
    </row>
    <row r="627">
      <c r="A627" s="243"/>
      <c r="B627" s="15"/>
      <c r="C627" s="15"/>
      <c r="D627" s="15"/>
      <c r="E627" s="379"/>
      <c r="F627" s="15"/>
      <c r="G627" s="250"/>
      <c r="H627" s="380"/>
      <c r="I627" s="15"/>
      <c r="J627" s="31"/>
      <c r="K627" s="243"/>
      <c r="L627" s="15"/>
      <c r="M627" s="243"/>
      <c r="N627" s="243"/>
      <c r="O627" s="243"/>
      <c r="P627" s="243"/>
      <c r="Q627" s="243"/>
    </row>
    <row r="628">
      <c r="A628" s="243"/>
      <c r="B628" s="15"/>
      <c r="C628" s="15"/>
      <c r="D628" s="15"/>
      <c r="E628" s="379"/>
      <c r="F628" s="15"/>
      <c r="G628" s="250"/>
      <c r="H628" s="380"/>
      <c r="I628" s="15"/>
      <c r="J628" s="31"/>
      <c r="K628" s="243"/>
      <c r="L628" s="15"/>
      <c r="M628" s="243"/>
      <c r="N628" s="243"/>
      <c r="O628" s="243"/>
      <c r="P628" s="243"/>
      <c r="Q628" s="243"/>
    </row>
    <row r="629">
      <c r="A629" s="243"/>
      <c r="B629" s="15"/>
      <c r="C629" s="15"/>
      <c r="D629" s="15"/>
      <c r="E629" s="379"/>
      <c r="F629" s="15"/>
      <c r="G629" s="250"/>
      <c r="H629" s="380"/>
      <c r="I629" s="15"/>
      <c r="J629" s="31"/>
      <c r="K629" s="243"/>
      <c r="L629" s="15"/>
      <c r="M629" s="243"/>
      <c r="N629" s="243"/>
      <c r="O629" s="243"/>
      <c r="P629" s="243"/>
      <c r="Q629" s="243"/>
    </row>
    <row r="630">
      <c r="A630" s="243"/>
      <c r="B630" s="15"/>
      <c r="C630" s="15"/>
      <c r="D630" s="15"/>
      <c r="E630" s="379"/>
      <c r="F630" s="15"/>
      <c r="G630" s="250"/>
      <c r="H630" s="380"/>
      <c r="I630" s="15"/>
      <c r="J630" s="31"/>
      <c r="K630" s="243"/>
      <c r="L630" s="15"/>
      <c r="M630" s="243"/>
      <c r="N630" s="243"/>
      <c r="O630" s="243"/>
      <c r="P630" s="243"/>
      <c r="Q630" s="243"/>
    </row>
    <row r="631">
      <c r="A631" s="243"/>
      <c r="B631" s="15"/>
      <c r="C631" s="15"/>
      <c r="D631" s="15"/>
      <c r="E631" s="379"/>
      <c r="F631" s="15"/>
      <c r="G631" s="250"/>
      <c r="H631" s="380"/>
      <c r="I631" s="15"/>
      <c r="J631" s="31"/>
      <c r="K631" s="243"/>
      <c r="L631" s="15"/>
      <c r="M631" s="243"/>
      <c r="N631" s="243"/>
      <c r="O631" s="243"/>
      <c r="P631" s="243"/>
      <c r="Q631" s="243"/>
    </row>
    <row r="632">
      <c r="A632" s="243"/>
      <c r="B632" s="15"/>
      <c r="C632" s="15"/>
      <c r="D632" s="15"/>
      <c r="E632" s="379"/>
      <c r="F632" s="15"/>
      <c r="G632" s="250"/>
      <c r="H632" s="380"/>
      <c r="I632" s="15"/>
      <c r="J632" s="31"/>
      <c r="K632" s="243"/>
      <c r="L632" s="15"/>
      <c r="M632" s="243"/>
      <c r="N632" s="243"/>
      <c r="O632" s="243"/>
      <c r="P632" s="243"/>
      <c r="Q632" s="243"/>
    </row>
    <row r="633">
      <c r="A633" s="243"/>
      <c r="B633" s="15"/>
      <c r="C633" s="15"/>
      <c r="D633" s="15"/>
      <c r="E633" s="379"/>
      <c r="F633" s="15"/>
      <c r="G633" s="250"/>
      <c r="H633" s="380"/>
      <c r="I633" s="15"/>
      <c r="J633" s="31"/>
      <c r="K633" s="243"/>
      <c r="L633" s="15"/>
      <c r="M633" s="243"/>
      <c r="N633" s="243"/>
      <c r="O633" s="243"/>
      <c r="P633" s="243"/>
      <c r="Q633" s="243"/>
    </row>
    <row r="634">
      <c r="A634" s="243"/>
      <c r="B634" s="15"/>
      <c r="C634" s="15"/>
      <c r="D634" s="15"/>
      <c r="E634" s="379"/>
      <c r="F634" s="15"/>
      <c r="G634" s="250"/>
      <c r="H634" s="380"/>
      <c r="I634" s="15"/>
      <c r="J634" s="31"/>
      <c r="K634" s="243"/>
      <c r="L634" s="15"/>
      <c r="M634" s="243"/>
      <c r="N634" s="243"/>
      <c r="O634" s="243"/>
      <c r="P634" s="243"/>
      <c r="Q634" s="243"/>
    </row>
    <row r="635">
      <c r="A635" s="243"/>
      <c r="B635" s="15"/>
      <c r="C635" s="15"/>
      <c r="D635" s="15"/>
      <c r="E635" s="379"/>
      <c r="F635" s="15"/>
      <c r="G635" s="250"/>
      <c r="H635" s="380"/>
      <c r="I635" s="15"/>
      <c r="J635" s="31"/>
      <c r="K635" s="243"/>
      <c r="L635" s="15"/>
      <c r="M635" s="243"/>
      <c r="N635" s="243"/>
      <c r="O635" s="243"/>
      <c r="P635" s="243"/>
      <c r="Q635" s="243"/>
    </row>
    <row r="636">
      <c r="A636" s="243"/>
      <c r="B636" s="15"/>
      <c r="C636" s="15"/>
      <c r="D636" s="15"/>
      <c r="E636" s="379"/>
      <c r="F636" s="15"/>
      <c r="G636" s="250"/>
      <c r="H636" s="380"/>
      <c r="I636" s="15"/>
      <c r="J636" s="31"/>
      <c r="K636" s="243"/>
      <c r="L636" s="15"/>
      <c r="M636" s="243"/>
      <c r="N636" s="243"/>
      <c r="O636" s="243"/>
      <c r="P636" s="243"/>
      <c r="Q636" s="243"/>
    </row>
    <row r="637">
      <c r="A637" s="243"/>
      <c r="B637" s="15"/>
      <c r="C637" s="15"/>
      <c r="D637" s="15"/>
      <c r="E637" s="379"/>
      <c r="F637" s="15"/>
      <c r="G637" s="250"/>
      <c r="H637" s="380"/>
      <c r="I637" s="15"/>
      <c r="J637" s="31"/>
      <c r="K637" s="243"/>
      <c r="L637" s="15"/>
      <c r="M637" s="243"/>
      <c r="N637" s="243"/>
      <c r="O637" s="243"/>
      <c r="P637" s="243"/>
      <c r="Q637" s="243"/>
    </row>
    <row r="638">
      <c r="A638" s="243"/>
      <c r="B638" s="15"/>
      <c r="C638" s="15"/>
      <c r="D638" s="15"/>
      <c r="E638" s="379"/>
      <c r="F638" s="15"/>
      <c r="G638" s="250"/>
      <c r="H638" s="380"/>
      <c r="I638" s="15"/>
      <c r="J638" s="31"/>
      <c r="K638" s="243"/>
      <c r="L638" s="15"/>
      <c r="M638" s="243"/>
      <c r="N638" s="243"/>
      <c r="O638" s="243"/>
      <c r="P638" s="243"/>
      <c r="Q638" s="243"/>
    </row>
    <row r="639">
      <c r="A639" s="243"/>
      <c r="B639" s="15"/>
      <c r="C639" s="15"/>
      <c r="D639" s="15"/>
      <c r="E639" s="379"/>
      <c r="F639" s="15"/>
      <c r="G639" s="250"/>
      <c r="H639" s="380"/>
      <c r="I639" s="15"/>
      <c r="J639" s="31"/>
      <c r="K639" s="243"/>
      <c r="L639" s="15"/>
      <c r="M639" s="243"/>
      <c r="N639" s="243"/>
      <c r="O639" s="243"/>
      <c r="P639" s="243"/>
      <c r="Q639" s="243"/>
    </row>
    <row r="640">
      <c r="A640" s="243"/>
      <c r="B640" s="15"/>
      <c r="C640" s="15"/>
      <c r="D640" s="15"/>
      <c r="E640" s="379"/>
      <c r="F640" s="15"/>
      <c r="G640" s="250"/>
      <c r="H640" s="380"/>
      <c r="I640" s="15"/>
      <c r="J640" s="31"/>
      <c r="K640" s="243"/>
      <c r="L640" s="15"/>
      <c r="M640" s="243"/>
      <c r="N640" s="243"/>
      <c r="O640" s="243"/>
      <c r="P640" s="243"/>
      <c r="Q640" s="243"/>
    </row>
    <row r="641">
      <c r="A641" s="243"/>
      <c r="B641" s="15"/>
      <c r="C641" s="15"/>
      <c r="D641" s="15"/>
      <c r="E641" s="379"/>
      <c r="F641" s="15"/>
      <c r="G641" s="250"/>
      <c r="H641" s="380"/>
      <c r="I641" s="15"/>
      <c r="J641" s="31"/>
      <c r="K641" s="243"/>
      <c r="L641" s="15"/>
      <c r="M641" s="243"/>
      <c r="N641" s="243"/>
      <c r="O641" s="243"/>
      <c r="P641" s="243"/>
      <c r="Q641" s="243"/>
    </row>
    <row r="642">
      <c r="A642" s="243"/>
      <c r="B642" s="15"/>
      <c r="C642" s="15"/>
      <c r="D642" s="15"/>
      <c r="E642" s="379"/>
      <c r="F642" s="15"/>
      <c r="G642" s="250"/>
      <c r="H642" s="380"/>
      <c r="I642" s="15"/>
      <c r="J642" s="31"/>
      <c r="K642" s="243"/>
      <c r="L642" s="15"/>
      <c r="M642" s="243"/>
      <c r="N642" s="243"/>
      <c r="O642" s="243"/>
      <c r="P642" s="243"/>
      <c r="Q642" s="243"/>
    </row>
    <row r="643">
      <c r="A643" s="243"/>
      <c r="B643" s="15"/>
      <c r="C643" s="15"/>
      <c r="D643" s="15"/>
      <c r="E643" s="379"/>
      <c r="F643" s="15"/>
      <c r="G643" s="250"/>
      <c r="H643" s="380"/>
      <c r="I643" s="15"/>
      <c r="J643" s="31"/>
      <c r="K643" s="243"/>
      <c r="L643" s="15"/>
      <c r="M643" s="243"/>
      <c r="N643" s="243"/>
      <c r="O643" s="243"/>
      <c r="P643" s="243"/>
      <c r="Q643" s="243"/>
    </row>
    <row r="644">
      <c r="A644" s="243"/>
      <c r="B644" s="15"/>
      <c r="C644" s="15"/>
      <c r="D644" s="15"/>
      <c r="E644" s="379"/>
      <c r="F644" s="15"/>
      <c r="G644" s="250"/>
      <c r="H644" s="380"/>
      <c r="I644" s="15"/>
      <c r="J644" s="31"/>
      <c r="K644" s="243"/>
      <c r="L644" s="15"/>
      <c r="M644" s="243"/>
      <c r="N644" s="243"/>
      <c r="O644" s="243"/>
      <c r="P644" s="243"/>
      <c r="Q644" s="243"/>
    </row>
    <row r="645">
      <c r="A645" s="243"/>
      <c r="B645" s="15"/>
      <c r="C645" s="15"/>
      <c r="D645" s="15"/>
      <c r="E645" s="379"/>
      <c r="F645" s="15"/>
      <c r="G645" s="250"/>
      <c r="H645" s="380"/>
      <c r="I645" s="15"/>
      <c r="J645" s="31"/>
      <c r="K645" s="243"/>
      <c r="L645" s="15"/>
      <c r="M645" s="243"/>
      <c r="N645" s="243"/>
      <c r="O645" s="243"/>
      <c r="P645" s="243"/>
      <c r="Q645" s="243"/>
    </row>
    <row r="646">
      <c r="A646" s="243"/>
      <c r="B646" s="15"/>
      <c r="C646" s="15"/>
      <c r="D646" s="15"/>
      <c r="E646" s="379"/>
      <c r="F646" s="15"/>
      <c r="G646" s="250"/>
      <c r="H646" s="380"/>
      <c r="I646" s="15"/>
      <c r="J646" s="31"/>
      <c r="K646" s="243"/>
      <c r="L646" s="15"/>
      <c r="M646" s="243"/>
      <c r="N646" s="243"/>
      <c r="O646" s="243"/>
      <c r="P646" s="243"/>
      <c r="Q646" s="243"/>
    </row>
    <row r="647">
      <c r="A647" s="243"/>
      <c r="B647" s="15"/>
      <c r="C647" s="15"/>
      <c r="D647" s="15"/>
      <c r="E647" s="379"/>
      <c r="F647" s="15"/>
      <c r="G647" s="250"/>
      <c r="H647" s="380"/>
      <c r="I647" s="15"/>
      <c r="J647" s="31"/>
      <c r="K647" s="243"/>
      <c r="L647" s="15"/>
      <c r="M647" s="243"/>
      <c r="N647" s="243"/>
      <c r="O647" s="243"/>
      <c r="P647" s="243"/>
      <c r="Q647" s="243"/>
    </row>
    <row r="648">
      <c r="A648" s="243"/>
      <c r="B648" s="15"/>
      <c r="C648" s="15"/>
      <c r="D648" s="15"/>
      <c r="E648" s="379"/>
      <c r="F648" s="15"/>
      <c r="G648" s="250"/>
      <c r="H648" s="380"/>
      <c r="I648" s="15"/>
      <c r="J648" s="31"/>
      <c r="K648" s="243"/>
      <c r="L648" s="15"/>
      <c r="M648" s="243"/>
      <c r="N648" s="243"/>
      <c r="O648" s="243"/>
      <c r="P648" s="243"/>
      <c r="Q648" s="243"/>
    </row>
    <row r="649">
      <c r="A649" s="243"/>
      <c r="B649" s="15"/>
      <c r="C649" s="15"/>
      <c r="D649" s="15"/>
      <c r="E649" s="379"/>
      <c r="F649" s="15"/>
      <c r="G649" s="250"/>
      <c r="H649" s="380"/>
      <c r="I649" s="15"/>
      <c r="J649" s="31"/>
      <c r="K649" s="243"/>
      <c r="L649" s="15"/>
      <c r="M649" s="243"/>
      <c r="N649" s="243"/>
      <c r="O649" s="243"/>
      <c r="P649" s="243"/>
      <c r="Q649" s="243"/>
    </row>
    <row r="650">
      <c r="A650" s="243"/>
      <c r="B650" s="15"/>
      <c r="C650" s="15"/>
      <c r="D650" s="15"/>
      <c r="E650" s="379"/>
      <c r="F650" s="15"/>
      <c r="G650" s="250"/>
      <c r="H650" s="380"/>
      <c r="I650" s="15"/>
      <c r="J650" s="31"/>
      <c r="K650" s="243"/>
      <c r="L650" s="15"/>
      <c r="M650" s="243"/>
      <c r="N650" s="243"/>
      <c r="O650" s="243"/>
      <c r="P650" s="243"/>
      <c r="Q650" s="243"/>
    </row>
    <row r="651">
      <c r="A651" s="243"/>
      <c r="B651" s="15"/>
      <c r="C651" s="15"/>
      <c r="D651" s="15"/>
      <c r="E651" s="379"/>
      <c r="F651" s="15"/>
      <c r="G651" s="250"/>
      <c r="H651" s="380"/>
      <c r="I651" s="15"/>
      <c r="J651" s="31"/>
      <c r="K651" s="243"/>
      <c r="L651" s="15"/>
      <c r="M651" s="243"/>
      <c r="N651" s="243"/>
      <c r="O651" s="243"/>
      <c r="P651" s="243"/>
      <c r="Q651" s="243"/>
    </row>
    <row r="652">
      <c r="A652" s="243"/>
      <c r="B652" s="15"/>
      <c r="C652" s="15"/>
      <c r="D652" s="15"/>
      <c r="E652" s="379"/>
      <c r="F652" s="15"/>
      <c r="G652" s="250"/>
      <c r="H652" s="380"/>
      <c r="I652" s="15"/>
      <c r="J652" s="31"/>
      <c r="K652" s="243"/>
      <c r="L652" s="15"/>
      <c r="M652" s="243"/>
      <c r="N652" s="243"/>
      <c r="O652" s="243"/>
      <c r="P652" s="243"/>
      <c r="Q652" s="243"/>
    </row>
    <row r="653">
      <c r="A653" s="243"/>
      <c r="B653" s="15"/>
      <c r="C653" s="15"/>
      <c r="D653" s="15"/>
      <c r="E653" s="379"/>
      <c r="F653" s="15"/>
      <c r="G653" s="250"/>
      <c r="H653" s="380"/>
      <c r="I653" s="15"/>
      <c r="J653" s="31"/>
      <c r="K653" s="243"/>
      <c r="L653" s="15"/>
      <c r="M653" s="243"/>
      <c r="N653" s="243"/>
      <c r="O653" s="243"/>
      <c r="P653" s="243"/>
      <c r="Q653" s="243"/>
    </row>
    <row r="654">
      <c r="A654" s="243"/>
      <c r="B654" s="15"/>
      <c r="C654" s="15"/>
      <c r="D654" s="15"/>
      <c r="E654" s="379"/>
      <c r="F654" s="15"/>
      <c r="G654" s="250"/>
      <c r="H654" s="380"/>
      <c r="I654" s="15"/>
      <c r="J654" s="31"/>
      <c r="K654" s="243"/>
      <c r="L654" s="15"/>
      <c r="M654" s="243"/>
      <c r="N654" s="243"/>
      <c r="O654" s="243"/>
      <c r="P654" s="243"/>
      <c r="Q654" s="243"/>
    </row>
    <row r="655">
      <c r="A655" s="243"/>
      <c r="B655" s="15"/>
      <c r="C655" s="15"/>
      <c r="D655" s="15"/>
      <c r="E655" s="379"/>
      <c r="F655" s="15"/>
      <c r="G655" s="250"/>
      <c r="H655" s="380"/>
      <c r="I655" s="15"/>
      <c r="J655" s="31"/>
      <c r="K655" s="243"/>
      <c r="L655" s="15"/>
      <c r="M655" s="243"/>
      <c r="N655" s="243"/>
      <c r="O655" s="243"/>
      <c r="P655" s="243"/>
      <c r="Q655" s="243"/>
    </row>
    <row r="656">
      <c r="A656" s="243"/>
      <c r="B656" s="15"/>
      <c r="C656" s="15"/>
      <c r="D656" s="15"/>
      <c r="E656" s="379"/>
      <c r="F656" s="15"/>
      <c r="G656" s="250"/>
      <c r="H656" s="380"/>
      <c r="I656" s="15"/>
      <c r="J656" s="31"/>
      <c r="K656" s="243"/>
      <c r="L656" s="15"/>
      <c r="M656" s="243"/>
      <c r="N656" s="243"/>
      <c r="O656" s="243"/>
      <c r="P656" s="243"/>
      <c r="Q656" s="243"/>
    </row>
    <row r="657">
      <c r="A657" s="243"/>
      <c r="B657" s="15"/>
      <c r="C657" s="15"/>
      <c r="D657" s="15"/>
      <c r="E657" s="379"/>
      <c r="F657" s="15"/>
      <c r="G657" s="250"/>
      <c r="H657" s="380"/>
      <c r="I657" s="15"/>
      <c r="J657" s="31"/>
      <c r="K657" s="243"/>
      <c r="L657" s="15"/>
      <c r="M657" s="243"/>
      <c r="N657" s="243"/>
      <c r="O657" s="243"/>
      <c r="P657" s="243"/>
      <c r="Q657" s="243"/>
    </row>
    <row r="658">
      <c r="A658" s="243"/>
      <c r="B658" s="15"/>
      <c r="C658" s="15"/>
      <c r="D658" s="15"/>
      <c r="E658" s="379"/>
      <c r="F658" s="15"/>
      <c r="G658" s="250"/>
      <c r="H658" s="380"/>
      <c r="I658" s="15"/>
      <c r="J658" s="31"/>
      <c r="K658" s="243"/>
      <c r="L658" s="15"/>
      <c r="M658" s="243"/>
      <c r="N658" s="243"/>
      <c r="O658" s="243"/>
      <c r="P658" s="243"/>
      <c r="Q658" s="243"/>
    </row>
    <row r="659">
      <c r="A659" s="243"/>
      <c r="B659" s="15"/>
      <c r="C659" s="15"/>
      <c r="D659" s="15"/>
      <c r="E659" s="379"/>
      <c r="F659" s="15"/>
      <c r="G659" s="250"/>
      <c r="H659" s="380"/>
      <c r="I659" s="15"/>
      <c r="J659" s="31"/>
      <c r="K659" s="243"/>
      <c r="L659" s="15"/>
      <c r="M659" s="243"/>
      <c r="N659" s="243"/>
      <c r="O659" s="243"/>
      <c r="P659" s="243"/>
      <c r="Q659" s="243"/>
    </row>
    <row r="660">
      <c r="A660" s="243"/>
      <c r="B660" s="15"/>
      <c r="C660" s="15"/>
      <c r="D660" s="15"/>
      <c r="E660" s="379"/>
      <c r="F660" s="15"/>
      <c r="G660" s="250"/>
      <c r="H660" s="380"/>
      <c r="I660" s="15"/>
      <c r="J660" s="31"/>
      <c r="K660" s="243"/>
      <c r="L660" s="15"/>
      <c r="M660" s="243"/>
      <c r="N660" s="243"/>
      <c r="O660" s="243"/>
      <c r="P660" s="243"/>
      <c r="Q660" s="243"/>
    </row>
    <row r="661">
      <c r="A661" s="243"/>
      <c r="B661" s="15"/>
      <c r="C661" s="15"/>
      <c r="D661" s="15"/>
      <c r="E661" s="379"/>
      <c r="F661" s="15"/>
      <c r="G661" s="250"/>
      <c r="H661" s="380"/>
      <c r="I661" s="15"/>
      <c r="J661" s="31"/>
      <c r="K661" s="243"/>
      <c r="L661" s="15"/>
      <c r="M661" s="243"/>
      <c r="N661" s="243"/>
      <c r="O661" s="243"/>
      <c r="P661" s="243"/>
      <c r="Q661" s="243"/>
    </row>
    <row r="662">
      <c r="A662" s="243"/>
      <c r="B662" s="15"/>
      <c r="C662" s="15"/>
      <c r="D662" s="15"/>
      <c r="E662" s="379"/>
      <c r="F662" s="15"/>
      <c r="G662" s="250"/>
      <c r="H662" s="380"/>
      <c r="I662" s="15"/>
      <c r="J662" s="31"/>
      <c r="K662" s="243"/>
      <c r="L662" s="15"/>
      <c r="M662" s="243"/>
      <c r="N662" s="243"/>
      <c r="O662" s="243"/>
      <c r="P662" s="243"/>
      <c r="Q662" s="243"/>
    </row>
    <row r="663">
      <c r="A663" s="243"/>
      <c r="B663" s="15"/>
      <c r="C663" s="15"/>
      <c r="D663" s="15"/>
      <c r="E663" s="379"/>
      <c r="F663" s="15"/>
      <c r="G663" s="250"/>
      <c r="H663" s="380"/>
      <c r="I663" s="15"/>
      <c r="J663" s="31"/>
      <c r="K663" s="243"/>
      <c r="L663" s="15"/>
      <c r="M663" s="243"/>
      <c r="N663" s="243"/>
      <c r="O663" s="243"/>
      <c r="P663" s="243"/>
      <c r="Q663" s="243"/>
    </row>
    <row r="664">
      <c r="A664" s="243"/>
      <c r="B664" s="15"/>
      <c r="C664" s="15"/>
      <c r="D664" s="15"/>
      <c r="E664" s="379"/>
      <c r="F664" s="15"/>
      <c r="G664" s="250"/>
      <c r="H664" s="380"/>
      <c r="I664" s="15"/>
      <c r="J664" s="31"/>
      <c r="K664" s="243"/>
      <c r="L664" s="15"/>
      <c r="M664" s="243"/>
      <c r="N664" s="243"/>
      <c r="O664" s="243"/>
      <c r="P664" s="243"/>
      <c r="Q664" s="243"/>
    </row>
    <row r="665">
      <c r="A665" s="243"/>
      <c r="B665" s="15"/>
      <c r="C665" s="15"/>
      <c r="D665" s="15"/>
      <c r="E665" s="379"/>
      <c r="F665" s="15"/>
      <c r="G665" s="250"/>
      <c r="H665" s="380"/>
      <c r="I665" s="15"/>
      <c r="J665" s="31"/>
      <c r="K665" s="243"/>
      <c r="L665" s="15"/>
      <c r="M665" s="243"/>
      <c r="N665" s="243"/>
      <c r="O665" s="243"/>
      <c r="P665" s="243"/>
      <c r="Q665" s="243"/>
    </row>
    <row r="666">
      <c r="A666" s="243"/>
      <c r="B666" s="15"/>
      <c r="C666" s="15"/>
      <c r="D666" s="15"/>
      <c r="E666" s="379"/>
      <c r="F666" s="15"/>
      <c r="G666" s="250"/>
      <c r="H666" s="380"/>
      <c r="I666" s="15"/>
      <c r="J666" s="31"/>
      <c r="K666" s="243"/>
      <c r="L666" s="15"/>
      <c r="M666" s="243"/>
      <c r="N666" s="243"/>
      <c r="O666" s="243"/>
      <c r="P666" s="243"/>
      <c r="Q666" s="243"/>
    </row>
    <row r="667">
      <c r="A667" s="243"/>
      <c r="B667" s="15"/>
      <c r="C667" s="15"/>
      <c r="D667" s="15"/>
      <c r="E667" s="379"/>
      <c r="F667" s="15"/>
      <c r="G667" s="250"/>
      <c r="H667" s="380"/>
      <c r="I667" s="15"/>
      <c r="J667" s="31"/>
      <c r="K667" s="243"/>
      <c r="L667" s="15"/>
      <c r="M667" s="243"/>
      <c r="N667" s="243"/>
      <c r="O667" s="243"/>
      <c r="P667" s="243"/>
      <c r="Q667" s="243"/>
    </row>
    <row r="668">
      <c r="A668" s="243"/>
      <c r="B668" s="15"/>
      <c r="C668" s="15"/>
      <c r="D668" s="15"/>
      <c r="E668" s="379"/>
      <c r="F668" s="15"/>
      <c r="G668" s="250"/>
      <c r="H668" s="380"/>
      <c r="I668" s="15"/>
      <c r="J668" s="31"/>
      <c r="K668" s="243"/>
      <c r="L668" s="15"/>
      <c r="M668" s="243"/>
      <c r="N668" s="243"/>
      <c r="O668" s="243"/>
      <c r="P668" s="243"/>
      <c r="Q668" s="243"/>
    </row>
    <row r="669">
      <c r="A669" s="243"/>
      <c r="B669" s="15"/>
      <c r="C669" s="15"/>
      <c r="D669" s="15"/>
      <c r="E669" s="379"/>
      <c r="F669" s="15"/>
      <c r="G669" s="250"/>
      <c r="H669" s="380"/>
      <c r="I669" s="15"/>
      <c r="J669" s="31"/>
      <c r="K669" s="243"/>
      <c r="L669" s="15"/>
      <c r="M669" s="243"/>
      <c r="N669" s="243"/>
      <c r="O669" s="243"/>
      <c r="P669" s="243"/>
      <c r="Q669" s="243"/>
    </row>
    <row r="670">
      <c r="A670" s="243"/>
      <c r="B670" s="15"/>
      <c r="C670" s="15"/>
      <c r="D670" s="15"/>
      <c r="E670" s="379"/>
      <c r="F670" s="15"/>
      <c r="G670" s="250"/>
      <c r="H670" s="380"/>
      <c r="I670" s="15"/>
      <c r="J670" s="31"/>
      <c r="K670" s="243"/>
      <c r="L670" s="15"/>
      <c r="M670" s="243"/>
      <c r="N670" s="243"/>
      <c r="O670" s="243"/>
      <c r="P670" s="243"/>
      <c r="Q670" s="243"/>
    </row>
    <row r="671">
      <c r="A671" s="243"/>
      <c r="B671" s="15"/>
      <c r="C671" s="15"/>
      <c r="D671" s="15"/>
      <c r="E671" s="379"/>
      <c r="F671" s="15"/>
      <c r="G671" s="250"/>
      <c r="H671" s="380"/>
      <c r="I671" s="15"/>
      <c r="J671" s="31"/>
      <c r="K671" s="243"/>
      <c r="L671" s="15"/>
      <c r="M671" s="243"/>
      <c r="N671" s="243"/>
      <c r="O671" s="243"/>
      <c r="P671" s="243"/>
      <c r="Q671" s="243"/>
    </row>
    <row r="672">
      <c r="A672" s="243"/>
      <c r="B672" s="15"/>
      <c r="C672" s="15"/>
      <c r="D672" s="15"/>
      <c r="E672" s="379"/>
      <c r="F672" s="15"/>
      <c r="G672" s="250"/>
      <c r="H672" s="380"/>
      <c r="I672" s="15"/>
      <c r="J672" s="31"/>
      <c r="K672" s="243"/>
      <c r="L672" s="15"/>
      <c r="M672" s="243"/>
      <c r="N672" s="243"/>
      <c r="O672" s="243"/>
      <c r="P672" s="243"/>
      <c r="Q672" s="243"/>
    </row>
    <row r="673">
      <c r="A673" s="243"/>
      <c r="B673" s="15"/>
      <c r="C673" s="15"/>
      <c r="D673" s="15"/>
      <c r="E673" s="379"/>
      <c r="F673" s="15"/>
      <c r="G673" s="250"/>
      <c r="H673" s="380"/>
      <c r="I673" s="15"/>
      <c r="J673" s="31"/>
      <c r="K673" s="243"/>
      <c r="L673" s="15"/>
      <c r="M673" s="243"/>
      <c r="N673" s="243"/>
      <c r="O673" s="243"/>
      <c r="P673" s="243"/>
      <c r="Q673" s="243"/>
    </row>
    <row r="674">
      <c r="A674" s="243"/>
      <c r="B674" s="15"/>
      <c r="C674" s="15"/>
      <c r="D674" s="15"/>
      <c r="E674" s="379"/>
      <c r="F674" s="15"/>
      <c r="G674" s="250"/>
      <c r="H674" s="380"/>
      <c r="I674" s="15"/>
      <c r="J674" s="31"/>
      <c r="K674" s="243"/>
      <c r="L674" s="15"/>
      <c r="M674" s="243"/>
      <c r="N674" s="243"/>
      <c r="O674" s="243"/>
      <c r="P674" s="243"/>
      <c r="Q674" s="243"/>
    </row>
    <row r="675">
      <c r="A675" s="243"/>
      <c r="B675" s="15"/>
      <c r="C675" s="15"/>
      <c r="D675" s="15"/>
      <c r="E675" s="379"/>
      <c r="F675" s="15"/>
      <c r="G675" s="250"/>
      <c r="H675" s="380"/>
      <c r="I675" s="15"/>
      <c r="J675" s="31"/>
      <c r="K675" s="243"/>
      <c r="L675" s="15"/>
      <c r="M675" s="243"/>
      <c r="N675" s="243"/>
      <c r="O675" s="243"/>
      <c r="P675" s="243"/>
      <c r="Q675" s="243"/>
    </row>
    <row r="676">
      <c r="A676" s="243"/>
      <c r="B676" s="15"/>
      <c r="C676" s="15"/>
      <c r="D676" s="15"/>
      <c r="E676" s="379"/>
      <c r="F676" s="15"/>
      <c r="G676" s="250"/>
      <c r="H676" s="380"/>
      <c r="I676" s="15"/>
      <c r="J676" s="31"/>
      <c r="K676" s="243"/>
      <c r="L676" s="15"/>
      <c r="M676" s="243"/>
      <c r="N676" s="243"/>
      <c r="O676" s="243"/>
      <c r="P676" s="243"/>
      <c r="Q676" s="243"/>
    </row>
    <row r="677">
      <c r="A677" s="243"/>
      <c r="B677" s="15"/>
      <c r="C677" s="15"/>
      <c r="D677" s="15"/>
      <c r="E677" s="379"/>
      <c r="F677" s="15"/>
      <c r="G677" s="250"/>
      <c r="H677" s="380"/>
      <c r="I677" s="15"/>
      <c r="J677" s="31"/>
      <c r="K677" s="243"/>
      <c r="L677" s="15"/>
      <c r="M677" s="243"/>
      <c r="N677" s="243"/>
      <c r="O677" s="243"/>
      <c r="P677" s="243"/>
      <c r="Q677" s="243"/>
    </row>
    <row r="678">
      <c r="A678" s="243"/>
      <c r="B678" s="15"/>
      <c r="C678" s="15"/>
      <c r="D678" s="15"/>
      <c r="E678" s="379"/>
      <c r="F678" s="15"/>
      <c r="G678" s="250"/>
      <c r="H678" s="380"/>
      <c r="I678" s="15"/>
      <c r="J678" s="31"/>
      <c r="K678" s="243"/>
      <c r="L678" s="15"/>
      <c r="M678" s="243"/>
      <c r="N678" s="243"/>
      <c r="O678" s="243"/>
      <c r="P678" s="243"/>
      <c r="Q678" s="243"/>
    </row>
    <row r="679">
      <c r="A679" s="243"/>
      <c r="B679" s="15"/>
      <c r="C679" s="15"/>
      <c r="D679" s="15"/>
      <c r="E679" s="379"/>
      <c r="F679" s="15"/>
      <c r="G679" s="250"/>
      <c r="H679" s="380"/>
      <c r="I679" s="15"/>
      <c r="J679" s="31"/>
      <c r="K679" s="243"/>
      <c r="L679" s="15"/>
      <c r="M679" s="243"/>
      <c r="N679" s="243"/>
      <c r="O679" s="243"/>
      <c r="P679" s="243"/>
      <c r="Q679" s="243"/>
    </row>
    <row r="680">
      <c r="A680" s="243"/>
      <c r="B680" s="15"/>
      <c r="C680" s="15"/>
      <c r="D680" s="15"/>
      <c r="E680" s="379"/>
      <c r="F680" s="15"/>
      <c r="G680" s="250"/>
      <c r="H680" s="380"/>
      <c r="I680" s="15"/>
      <c r="J680" s="31"/>
      <c r="K680" s="243"/>
      <c r="L680" s="15"/>
      <c r="M680" s="243"/>
      <c r="N680" s="243"/>
      <c r="O680" s="243"/>
      <c r="P680" s="243"/>
      <c r="Q680" s="243"/>
    </row>
    <row r="681">
      <c r="A681" s="243"/>
      <c r="B681" s="15"/>
      <c r="C681" s="15"/>
      <c r="D681" s="15"/>
      <c r="E681" s="379"/>
      <c r="F681" s="15"/>
      <c r="G681" s="250"/>
      <c r="H681" s="380"/>
      <c r="I681" s="15"/>
      <c r="J681" s="31"/>
      <c r="K681" s="243"/>
      <c r="L681" s="15"/>
      <c r="M681" s="243"/>
      <c r="N681" s="243"/>
      <c r="O681" s="243"/>
      <c r="P681" s="243"/>
      <c r="Q681" s="243"/>
    </row>
    <row r="682">
      <c r="A682" s="243"/>
      <c r="B682" s="15"/>
      <c r="C682" s="15"/>
      <c r="D682" s="15"/>
      <c r="E682" s="379"/>
      <c r="F682" s="15"/>
      <c r="G682" s="250"/>
      <c r="H682" s="380"/>
      <c r="I682" s="15"/>
      <c r="J682" s="31"/>
      <c r="K682" s="243"/>
      <c r="L682" s="15"/>
      <c r="M682" s="243"/>
      <c r="N682" s="243"/>
      <c r="O682" s="243"/>
      <c r="P682" s="243"/>
      <c r="Q682" s="243"/>
    </row>
    <row r="683">
      <c r="A683" s="243"/>
      <c r="B683" s="15"/>
      <c r="C683" s="15"/>
      <c r="D683" s="15"/>
      <c r="E683" s="379"/>
      <c r="F683" s="15"/>
      <c r="G683" s="250"/>
      <c r="H683" s="380"/>
      <c r="I683" s="15"/>
      <c r="J683" s="31"/>
      <c r="K683" s="243"/>
      <c r="L683" s="15"/>
      <c r="M683" s="243"/>
      <c r="N683" s="243"/>
      <c r="O683" s="243"/>
      <c r="P683" s="243"/>
      <c r="Q683" s="243"/>
    </row>
    <row r="684">
      <c r="A684" s="243"/>
      <c r="B684" s="15"/>
      <c r="C684" s="15"/>
      <c r="D684" s="15"/>
      <c r="E684" s="379"/>
      <c r="F684" s="15"/>
      <c r="G684" s="250"/>
      <c r="H684" s="380"/>
      <c r="I684" s="15"/>
      <c r="J684" s="31"/>
      <c r="K684" s="243"/>
      <c r="L684" s="15"/>
      <c r="M684" s="243"/>
      <c r="N684" s="243"/>
      <c r="O684" s="243"/>
      <c r="P684" s="243"/>
      <c r="Q684" s="243"/>
    </row>
    <row r="685">
      <c r="A685" s="243"/>
      <c r="B685" s="15"/>
      <c r="C685" s="15"/>
      <c r="D685" s="15"/>
      <c r="E685" s="379"/>
      <c r="F685" s="15"/>
      <c r="G685" s="250"/>
      <c r="H685" s="380"/>
      <c r="I685" s="15"/>
      <c r="J685" s="31"/>
      <c r="K685" s="243"/>
      <c r="L685" s="15"/>
      <c r="M685" s="243"/>
      <c r="N685" s="243"/>
      <c r="O685" s="243"/>
      <c r="P685" s="243"/>
      <c r="Q685" s="243"/>
    </row>
    <row r="686">
      <c r="A686" s="243"/>
      <c r="B686" s="15"/>
      <c r="C686" s="15"/>
      <c r="D686" s="15"/>
      <c r="E686" s="379"/>
      <c r="F686" s="15"/>
      <c r="G686" s="250"/>
      <c r="H686" s="380"/>
      <c r="I686" s="15"/>
      <c r="J686" s="31"/>
      <c r="K686" s="243"/>
      <c r="L686" s="15"/>
      <c r="M686" s="243"/>
      <c r="N686" s="243"/>
      <c r="O686" s="243"/>
      <c r="P686" s="243"/>
      <c r="Q686" s="243"/>
    </row>
    <row r="687">
      <c r="A687" s="243"/>
      <c r="B687" s="15"/>
      <c r="C687" s="15"/>
      <c r="D687" s="15"/>
      <c r="E687" s="379"/>
      <c r="F687" s="15"/>
      <c r="G687" s="250"/>
      <c r="H687" s="380"/>
      <c r="I687" s="15"/>
      <c r="J687" s="31"/>
      <c r="K687" s="243"/>
      <c r="L687" s="15"/>
      <c r="M687" s="243"/>
      <c r="N687" s="243"/>
      <c r="O687" s="243"/>
      <c r="P687" s="243"/>
      <c r="Q687" s="243"/>
    </row>
    <row r="688">
      <c r="A688" s="243"/>
      <c r="B688" s="15"/>
      <c r="C688" s="15"/>
      <c r="D688" s="15"/>
      <c r="E688" s="379"/>
      <c r="F688" s="15"/>
      <c r="G688" s="250"/>
      <c r="H688" s="380"/>
      <c r="I688" s="15"/>
      <c r="J688" s="31"/>
      <c r="K688" s="243"/>
      <c r="L688" s="15"/>
      <c r="M688" s="243"/>
      <c r="N688" s="243"/>
      <c r="O688" s="243"/>
      <c r="P688" s="243"/>
      <c r="Q688" s="243"/>
    </row>
    <row r="689">
      <c r="A689" s="243"/>
      <c r="B689" s="15"/>
      <c r="C689" s="15"/>
      <c r="D689" s="15"/>
      <c r="E689" s="379"/>
      <c r="F689" s="15"/>
      <c r="G689" s="250"/>
      <c r="H689" s="380"/>
      <c r="I689" s="15"/>
      <c r="J689" s="31"/>
      <c r="K689" s="243"/>
      <c r="L689" s="15"/>
      <c r="M689" s="243"/>
      <c r="N689" s="243"/>
      <c r="O689" s="243"/>
      <c r="P689" s="243"/>
      <c r="Q689" s="243"/>
    </row>
    <row r="690">
      <c r="A690" s="243"/>
      <c r="B690" s="15"/>
      <c r="C690" s="15"/>
      <c r="D690" s="15"/>
      <c r="E690" s="379"/>
      <c r="F690" s="15"/>
      <c r="G690" s="250"/>
      <c r="H690" s="380"/>
      <c r="I690" s="15"/>
      <c r="J690" s="31"/>
      <c r="K690" s="243"/>
      <c r="L690" s="15"/>
      <c r="M690" s="243"/>
      <c r="N690" s="243"/>
      <c r="O690" s="243"/>
      <c r="P690" s="243"/>
      <c r="Q690" s="243"/>
    </row>
    <row r="691">
      <c r="A691" s="243"/>
      <c r="B691" s="15"/>
      <c r="C691" s="15"/>
      <c r="D691" s="15"/>
      <c r="E691" s="379"/>
      <c r="F691" s="15"/>
      <c r="G691" s="250"/>
      <c r="H691" s="380"/>
      <c r="I691" s="15"/>
      <c r="J691" s="31"/>
      <c r="K691" s="243"/>
      <c r="L691" s="15"/>
      <c r="M691" s="243"/>
      <c r="N691" s="243"/>
      <c r="O691" s="243"/>
      <c r="P691" s="243"/>
      <c r="Q691" s="243"/>
    </row>
    <row r="692">
      <c r="A692" s="243"/>
      <c r="B692" s="15"/>
      <c r="C692" s="15"/>
      <c r="D692" s="15"/>
      <c r="E692" s="379"/>
      <c r="F692" s="15"/>
      <c r="G692" s="250"/>
      <c r="H692" s="380"/>
      <c r="I692" s="15"/>
      <c r="J692" s="31"/>
      <c r="K692" s="243"/>
      <c r="L692" s="15"/>
      <c r="M692" s="243"/>
      <c r="N692" s="243"/>
      <c r="O692" s="243"/>
      <c r="P692" s="243"/>
      <c r="Q692" s="243"/>
    </row>
    <row r="693">
      <c r="A693" s="243"/>
      <c r="B693" s="15"/>
      <c r="C693" s="15"/>
      <c r="D693" s="15"/>
      <c r="E693" s="379"/>
      <c r="F693" s="15"/>
      <c r="G693" s="250"/>
      <c r="H693" s="380"/>
      <c r="I693" s="15"/>
      <c r="J693" s="31"/>
      <c r="K693" s="243"/>
      <c r="L693" s="15"/>
      <c r="M693" s="243"/>
      <c r="N693" s="243"/>
      <c r="O693" s="243"/>
      <c r="P693" s="243"/>
      <c r="Q693" s="243"/>
    </row>
    <row r="694">
      <c r="A694" s="243"/>
      <c r="B694" s="15"/>
      <c r="C694" s="15"/>
      <c r="D694" s="15"/>
      <c r="E694" s="379"/>
      <c r="F694" s="15"/>
      <c r="G694" s="250"/>
      <c r="H694" s="380"/>
      <c r="I694" s="15"/>
      <c r="J694" s="31"/>
      <c r="K694" s="243"/>
      <c r="L694" s="15"/>
      <c r="M694" s="243"/>
      <c r="N694" s="243"/>
      <c r="O694" s="243"/>
      <c r="P694" s="243"/>
      <c r="Q694" s="243"/>
    </row>
    <row r="695">
      <c r="A695" s="243"/>
      <c r="B695" s="15"/>
      <c r="C695" s="15"/>
      <c r="D695" s="15"/>
      <c r="E695" s="379"/>
      <c r="F695" s="15"/>
      <c r="G695" s="250"/>
      <c r="H695" s="380"/>
      <c r="I695" s="15"/>
      <c r="J695" s="31"/>
      <c r="K695" s="243"/>
      <c r="L695" s="15"/>
      <c r="M695" s="243"/>
      <c r="N695" s="243"/>
      <c r="O695" s="243"/>
      <c r="P695" s="243"/>
      <c r="Q695" s="243"/>
    </row>
    <row r="696">
      <c r="A696" s="243"/>
      <c r="B696" s="15"/>
      <c r="C696" s="15"/>
      <c r="D696" s="15"/>
      <c r="E696" s="379"/>
      <c r="F696" s="15"/>
      <c r="G696" s="250"/>
      <c r="H696" s="380"/>
      <c r="I696" s="15"/>
      <c r="J696" s="31"/>
      <c r="K696" s="243"/>
      <c r="L696" s="15"/>
      <c r="M696" s="243"/>
      <c r="N696" s="243"/>
      <c r="O696" s="243"/>
      <c r="P696" s="243"/>
      <c r="Q696" s="243"/>
    </row>
    <row r="697">
      <c r="A697" s="243"/>
      <c r="B697" s="15"/>
      <c r="C697" s="15"/>
      <c r="D697" s="15"/>
      <c r="E697" s="379"/>
      <c r="F697" s="15"/>
      <c r="G697" s="250"/>
      <c r="H697" s="380"/>
      <c r="I697" s="15"/>
      <c r="J697" s="31"/>
      <c r="K697" s="243"/>
      <c r="L697" s="15"/>
      <c r="M697" s="243"/>
      <c r="N697" s="243"/>
      <c r="O697" s="243"/>
      <c r="P697" s="243"/>
      <c r="Q697" s="243"/>
    </row>
    <row r="698">
      <c r="A698" s="243"/>
      <c r="B698" s="15"/>
      <c r="C698" s="15"/>
      <c r="D698" s="15"/>
      <c r="E698" s="379"/>
      <c r="F698" s="15"/>
      <c r="G698" s="250"/>
      <c r="H698" s="380"/>
      <c r="I698" s="15"/>
      <c r="J698" s="31"/>
      <c r="K698" s="243"/>
      <c r="L698" s="15"/>
      <c r="M698" s="243"/>
      <c r="N698" s="243"/>
      <c r="O698" s="243"/>
      <c r="P698" s="243"/>
      <c r="Q698" s="243"/>
    </row>
    <row r="699">
      <c r="A699" s="243"/>
      <c r="B699" s="15"/>
      <c r="C699" s="15"/>
      <c r="D699" s="15"/>
      <c r="E699" s="379"/>
      <c r="F699" s="15"/>
      <c r="G699" s="250"/>
      <c r="H699" s="380"/>
      <c r="I699" s="15"/>
      <c r="J699" s="31"/>
      <c r="K699" s="243"/>
      <c r="L699" s="15"/>
      <c r="M699" s="243"/>
      <c r="N699" s="243"/>
      <c r="O699" s="243"/>
      <c r="P699" s="243"/>
      <c r="Q699" s="243"/>
    </row>
    <row r="700">
      <c r="A700" s="243"/>
      <c r="B700" s="15"/>
      <c r="C700" s="15"/>
      <c r="D700" s="15"/>
      <c r="E700" s="379"/>
      <c r="F700" s="15"/>
      <c r="G700" s="250"/>
      <c r="H700" s="380"/>
      <c r="I700" s="15"/>
      <c r="J700" s="31"/>
      <c r="K700" s="243"/>
      <c r="L700" s="15"/>
      <c r="M700" s="243"/>
      <c r="N700" s="243"/>
      <c r="O700" s="243"/>
      <c r="P700" s="243"/>
      <c r="Q700" s="243"/>
    </row>
    <row r="701">
      <c r="A701" s="243"/>
      <c r="B701" s="15"/>
      <c r="C701" s="15"/>
      <c r="D701" s="15"/>
      <c r="E701" s="379"/>
      <c r="F701" s="15"/>
      <c r="G701" s="250"/>
      <c r="H701" s="380"/>
      <c r="I701" s="15"/>
      <c r="J701" s="31"/>
      <c r="K701" s="243"/>
      <c r="L701" s="15"/>
      <c r="M701" s="243"/>
      <c r="N701" s="243"/>
      <c r="O701" s="243"/>
      <c r="P701" s="243"/>
      <c r="Q701" s="243"/>
    </row>
    <row r="702">
      <c r="A702" s="243"/>
      <c r="B702" s="15"/>
      <c r="C702" s="15"/>
      <c r="D702" s="15"/>
      <c r="E702" s="379"/>
      <c r="F702" s="15"/>
      <c r="G702" s="250"/>
      <c r="H702" s="380"/>
      <c r="I702" s="15"/>
      <c r="J702" s="31"/>
      <c r="K702" s="243"/>
      <c r="L702" s="15"/>
      <c r="M702" s="243"/>
      <c r="N702" s="243"/>
      <c r="O702" s="243"/>
      <c r="P702" s="243"/>
      <c r="Q702" s="243"/>
    </row>
    <row r="703">
      <c r="A703" s="243"/>
      <c r="B703" s="15"/>
      <c r="C703" s="15"/>
      <c r="D703" s="15"/>
      <c r="E703" s="379"/>
      <c r="F703" s="15"/>
      <c r="G703" s="250"/>
      <c r="H703" s="380"/>
      <c r="I703" s="15"/>
      <c r="J703" s="31"/>
      <c r="K703" s="243"/>
      <c r="L703" s="15"/>
      <c r="M703" s="243"/>
      <c r="N703" s="243"/>
      <c r="O703" s="243"/>
      <c r="P703" s="243"/>
      <c r="Q703" s="243"/>
    </row>
    <row r="704">
      <c r="A704" s="243"/>
      <c r="B704" s="15"/>
      <c r="C704" s="15"/>
      <c r="D704" s="15"/>
      <c r="E704" s="379"/>
      <c r="F704" s="15"/>
      <c r="G704" s="250"/>
      <c r="H704" s="380"/>
      <c r="I704" s="15"/>
      <c r="J704" s="31"/>
      <c r="K704" s="243"/>
      <c r="L704" s="15"/>
      <c r="M704" s="243"/>
      <c r="N704" s="243"/>
      <c r="O704" s="243"/>
      <c r="P704" s="243"/>
      <c r="Q704" s="243"/>
    </row>
    <row r="705">
      <c r="A705" s="243"/>
      <c r="B705" s="15"/>
      <c r="C705" s="15"/>
      <c r="D705" s="15"/>
      <c r="E705" s="379"/>
      <c r="F705" s="15"/>
      <c r="G705" s="250"/>
      <c r="H705" s="380"/>
      <c r="I705" s="15"/>
      <c r="J705" s="31"/>
      <c r="K705" s="243"/>
      <c r="L705" s="15"/>
      <c r="M705" s="243"/>
      <c r="N705" s="243"/>
      <c r="O705" s="243"/>
      <c r="P705" s="243"/>
      <c r="Q705" s="243"/>
    </row>
    <row r="706">
      <c r="A706" s="243"/>
      <c r="B706" s="15"/>
      <c r="C706" s="15"/>
      <c r="D706" s="15"/>
      <c r="E706" s="379"/>
      <c r="F706" s="15"/>
      <c r="G706" s="250"/>
      <c r="H706" s="380"/>
      <c r="I706" s="15"/>
      <c r="J706" s="31"/>
      <c r="K706" s="243"/>
      <c r="L706" s="15"/>
      <c r="M706" s="243"/>
      <c r="N706" s="243"/>
      <c r="O706" s="243"/>
      <c r="P706" s="243"/>
      <c r="Q706" s="243"/>
    </row>
    <row r="707">
      <c r="A707" s="243"/>
      <c r="B707" s="15"/>
      <c r="C707" s="15"/>
      <c r="D707" s="15"/>
      <c r="E707" s="379"/>
      <c r="F707" s="15"/>
      <c r="G707" s="250"/>
      <c r="H707" s="380"/>
      <c r="I707" s="15"/>
      <c r="J707" s="31"/>
      <c r="K707" s="243"/>
      <c r="L707" s="15"/>
      <c r="M707" s="243"/>
      <c r="N707" s="243"/>
      <c r="O707" s="243"/>
      <c r="P707" s="243"/>
      <c r="Q707" s="243"/>
    </row>
    <row r="708">
      <c r="A708" s="243"/>
      <c r="B708" s="15"/>
      <c r="C708" s="15"/>
      <c r="D708" s="15"/>
      <c r="E708" s="379"/>
      <c r="F708" s="15"/>
      <c r="G708" s="250"/>
      <c r="H708" s="380"/>
      <c r="I708" s="15"/>
      <c r="J708" s="31"/>
      <c r="K708" s="243"/>
      <c r="L708" s="15"/>
      <c r="M708" s="243"/>
      <c r="N708" s="243"/>
      <c r="O708" s="243"/>
      <c r="P708" s="243"/>
      <c r="Q708" s="243"/>
    </row>
    <row r="709">
      <c r="A709" s="243"/>
      <c r="B709" s="15"/>
      <c r="C709" s="15"/>
      <c r="D709" s="15"/>
      <c r="E709" s="379"/>
      <c r="F709" s="15"/>
      <c r="G709" s="250"/>
      <c r="H709" s="380"/>
      <c r="I709" s="15"/>
      <c r="J709" s="31"/>
      <c r="K709" s="243"/>
      <c r="L709" s="15"/>
      <c r="M709" s="243"/>
      <c r="N709" s="243"/>
      <c r="O709" s="243"/>
      <c r="P709" s="243"/>
      <c r="Q709" s="243"/>
    </row>
    <row r="710">
      <c r="A710" s="243"/>
      <c r="B710" s="15"/>
      <c r="C710" s="15"/>
      <c r="D710" s="15"/>
      <c r="E710" s="379"/>
      <c r="F710" s="15"/>
      <c r="G710" s="250"/>
      <c r="H710" s="380"/>
      <c r="I710" s="15"/>
      <c r="J710" s="31"/>
      <c r="K710" s="243"/>
      <c r="L710" s="15"/>
      <c r="M710" s="243"/>
      <c r="N710" s="243"/>
      <c r="O710" s="243"/>
      <c r="P710" s="243"/>
      <c r="Q710" s="243"/>
    </row>
    <row r="711">
      <c r="A711" s="243"/>
      <c r="B711" s="15"/>
      <c r="C711" s="15"/>
      <c r="D711" s="15"/>
      <c r="E711" s="379"/>
      <c r="F711" s="15"/>
      <c r="G711" s="250"/>
      <c r="H711" s="380"/>
      <c r="I711" s="15"/>
      <c r="J711" s="31"/>
      <c r="K711" s="243"/>
      <c r="L711" s="15"/>
      <c r="M711" s="243"/>
      <c r="N711" s="243"/>
      <c r="O711" s="243"/>
      <c r="P711" s="243"/>
      <c r="Q711" s="243"/>
    </row>
    <row r="712">
      <c r="A712" s="243"/>
      <c r="B712" s="15"/>
      <c r="C712" s="15"/>
      <c r="D712" s="15"/>
      <c r="E712" s="379"/>
      <c r="F712" s="15"/>
      <c r="G712" s="250"/>
      <c r="H712" s="380"/>
      <c r="I712" s="15"/>
      <c r="J712" s="31"/>
      <c r="K712" s="243"/>
      <c r="L712" s="15"/>
      <c r="M712" s="243"/>
      <c r="N712" s="243"/>
      <c r="O712" s="243"/>
      <c r="P712" s="243"/>
      <c r="Q712" s="243"/>
    </row>
    <row r="713">
      <c r="A713" s="243"/>
      <c r="B713" s="15"/>
      <c r="C713" s="15"/>
      <c r="D713" s="15"/>
      <c r="E713" s="379"/>
      <c r="F713" s="15"/>
      <c r="G713" s="250"/>
      <c r="H713" s="380"/>
      <c r="I713" s="15"/>
      <c r="J713" s="31"/>
      <c r="K713" s="243"/>
      <c r="L713" s="15"/>
      <c r="M713" s="243"/>
      <c r="N713" s="243"/>
      <c r="O713" s="243"/>
      <c r="P713" s="243"/>
      <c r="Q713" s="243"/>
    </row>
    <row r="714">
      <c r="A714" s="243"/>
      <c r="B714" s="15"/>
      <c r="C714" s="15"/>
      <c r="D714" s="15"/>
      <c r="E714" s="379"/>
      <c r="F714" s="15"/>
      <c r="G714" s="250"/>
      <c r="H714" s="380"/>
      <c r="I714" s="15"/>
      <c r="J714" s="31"/>
      <c r="K714" s="243"/>
      <c r="L714" s="15"/>
      <c r="M714" s="243"/>
      <c r="N714" s="243"/>
      <c r="O714" s="243"/>
      <c r="P714" s="243"/>
      <c r="Q714" s="243"/>
    </row>
    <row r="715">
      <c r="A715" s="243"/>
      <c r="B715" s="15"/>
      <c r="C715" s="15"/>
      <c r="D715" s="15"/>
      <c r="E715" s="379"/>
      <c r="F715" s="15"/>
      <c r="G715" s="250"/>
      <c r="H715" s="380"/>
      <c r="I715" s="15"/>
      <c r="J715" s="31"/>
      <c r="K715" s="243"/>
      <c r="L715" s="15"/>
      <c r="M715" s="243"/>
      <c r="N715" s="243"/>
      <c r="O715" s="243"/>
      <c r="P715" s="243"/>
      <c r="Q715" s="243"/>
    </row>
    <row r="716">
      <c r="A716" s="243"/>
      <c r="B716" s="15"/>
      <c r="C716" s="15"/>
      <c r="D716" s="15"/>
      <c r="E716" s="379"/>
      <c r="F716" s="15"/>
      <c r="G716" s="250"/>
      <c r="H716" s="380"/>
      <c r="I716" s="15"/>
      <c r="J716" s="31"/>
      <c r="K716" s="243"/>
      <c r="L716" s="15"/>
      <c r="M716" s="243"/>
      <c r="N716" s="243"/>
      <c r="O716" s="243"/>
      <c r="P716" s="243"/>
      <c r="Q716" s="243"/>
    </row>
    <row r="717">
      <c r="A717" s="243"/>
      <c r="B717" s="15"/>
      <c r="C717" s="15"/>
      <c r="D717" s="15"/>
      <c r="E717" s="379"/>
      <c r="F717" s="15"/>
      <c r="G717" s="250"/>
      <c r="H717" s="380"/>
      <c r="I717" s="15"/>
      <c r="J717" s="31"/>
      <c r="K717" s="243"/>
      <c r="L717" s="15"/>
      <c r="M717" s="243"/>
      <c r="N717" s="243"/>
      <c r="O717" s="243"/>
      <c r="P717" s="243"/>
      <c r="Q717" s="243"/>
    </row>
    <row r="718">
      <c r="A718" s="243"/>
      <c r="B718" s="15"/>
      <c r="C718" s="15"/>
      <c r="D718" s="15"/>
      <c r="E718" s="379"/>
      <c r="F718" s="15"/>
      <c r="G718" s="250"/>
      <c r="H718" s="380"/>
      <c r="I718" s="15"/>
      <c r="J718" s="31"/>
      <c r="K718" s="243"/>
      <c r="L718" s="15"/>
      <c r="M718" s="243"/>
      <c r="N718" s="243"/>
      <c r="O718" s="243"/>
      <c r="P718" s="243"/>
      <c r="Q718" s="243"/>
    </row>
    <row r="719">
      <c r="A719" s="243"/>
      <c r="B719" s="15"/>
      <c r="C719" s="15"/>
      <c r="D719" s="15"/>
      <c r="E719" s="379"/>
      <c r="F719" s="15"/>
      <c r="G719" s="250"/>
      <c r="H719" s="380"/>
      <c r="I719" s="15"/>
      <c r="J719" s="31"/>
      <c r="K719" s="243"/>
      <c r="L719" s="15"/>
      <c r="M719" s="243"/>
      <c r="N719" s="243"/>
      <c r="O719" s="243"/>
      <c r="P719" s="243"/>
      <c r="Q719" s="243"/>
    </row>
    <row r="720">
      <c r="A720" s="243"/>
      <c r="B720" s="15"/>
      <c r="C720" s="15"/>
      <c r="D720" s="15"/>
      <c r="E720" s="379"/>
      <c r="F720" s="15"/>
      <c r="G720" s="250"/>
      <c r="H720" s="380"/>
      <c r="I720" s="15"/>
      <c r="J720" s="31"/>
      <c r="K720" s="243"/>
      <c r="L720" s="15"/>
      <c r="M720" s="243"/>
      <c r="N720" s="243"/>
      <c r="O720" s="243"/>
      <c r="P720" s="243"/>
      <c r="Q720" s="243"/>
    </row>
    <row r="721">
      <c r="A721" s="243"/>
      <c r="B721" s="15"/>
      <c r="C721" s="15"/>
      <c r="D721" s="15"/>
      <c r="E721" s="379"/>
      <c r="F721" s="15"/>
      <c r="G721" s="250"/>
      <c r="H721" s="380"/>
      <c r="I721" s="15"/>
      <c r="J721" s="31"/>
      <c r="K721" s="243"/>
      <c r="L721" s="15"/>
      <c r="M721" s="243"/>
      <c r="N721" s="243"/>
      <c r="O721" s="243"/>
      <c r="P721" s="243"/>
      <c r="Q721" s="243"/>
    </row>
    <row r="722">
      <c r="A722" s="243"/>
      <c r="B722" s="15"/>
      <c r="C722" s="15"/>
      <c r="D722" s="15"/>
      <c r="E722" s="379"/>
      <c r="F722" s="15"/>
      <c r="G722" s="250"/>
      <c r="H722" s="380"/>
      <c r="I722" s="15"/>
      <c r="J722" s="31"/>
      <c r="K722" s="243"/>
      <c r="L722" s="15"/>
      <c r="M722" s="243"/>
      <c r="N722" s="243"/>
      <c r="O722" s="243"/>
      <c r="P722" s="243"/>
      <c r="Q722" s="243"/>
    </row>
    <row r="723">
      <c r="A723" s="243"/>
      <c r="B723" s="15"/>
      <c r="C723" s="15"/>
      <c r="D723" s="15"/>
      <c r="E723" s="379"/>
      <c r="F723" s="15"/>
      <c r="G723" s="250"/>
      <c r="H723" s="380"/>
      <c r="I723" s="15"/>
      <c r="J723" s="31"/>
      <c r="K723" s="243"/>
      <c r="L723" s="15"/>
      <c r="M723" s="243"/>
      <c r="N723" s="243"/>
      <c r="O723" s="243"/>
      <c r="P723" s="243"/>
      <c r="Q723" s="243"/>
    </row>
    <row r="724">
      <c r="A724" s="243"/>
      <c r="B724" s="15"/>
      <c r="C724" s="15"/>
      <c r="D724" s="15"/>
      <c r="E724" s="379"/>
      <c r="F724" s="15"/>
      <c r="G724" s="250"/>
      <c r="H724" s="380"/>
      <c r="I724" s="15"/>
      <c r="J724" s="31"/>
      <c r="K724" s="243"/>
      <c r="L724" s="15"/>
      <c r="M724" s="243"/>
      <c r="N724" s="243"/>
      <c r="O724" s="243"/>
      <c r="P724" s="243"/>
      <c r="Q724" s="243"/>
    </row>
    <row r="725">
      <c r="A725" s="243"/>
      <c r="B725" s="15"/>
      <c r="C725" s="15"/>
      <c r="D725" s="15"/>
      <c r="E725" s="379"/>
      <c r="F725" s="15"/>
      <c r="G725" s="250"/>
      <c r="H725" s="380"/>
      <c r="I725" s="15"/>
      <c r="J725" s="31"/>
      <c r="K725" s="243"/>
      <c r="L725" s="15"/>
      <c r="M725" s="243"/>
      <c r="N725" s="243"/>
      <c r="O725" s="243"/>
      <c r="P725" s="243"/>
      <c r="Q725" s="243"/>
    </row>
    <row r="726">
      <c r="A726" s="243"/>
      <c r="B726" s="15"/>
      <c r="C726" s="15"/>
      <c r="D726" s="15"/>
      <c r="E726" s="379"/>
      <c r="F726" s="15"/>
      <c r="G726" s="250"/>
      <c r="H726" s="380"/>
      <c r="I726" s="15"/>
      <c r="J726" s="31"/>
      <c r="K726" s="243"/>
      <c r="L726" s="15"/>
      <c r="M726" s="243"/>
      <c r="N726" s="243"/>
      <c r="O726" s="243"/>
      <c r="P726" s="243"/>
      <c r="Q726" s="243"/>
    </row>
    <row r="727">
      <c r="A727" s="243"/>
      <c r="B727" s="15"/>
      <c r="C727" s="15"/>
      <c r="D727" s="15"/>
      <c r="E727" s="379"/>
      <c r="F727" s="15"/>
      <c r="G727" s="250"/>
      <c r="H727" s="380"/>
      <c r="I727" s="15"/>
      <c r="J727" s="31"/>
      <c r="K727" s="243"/>
      <c r="L727" s="15"/>
      <c r="M727" s="243"/>
      <c r="N727" s="243"/>
      <c r="O727" s="243"/>
      <c r="P727" s="243"/>
      <c r="Q727" s="243"/>
    </row>
    <row r="728">
      <c r="A728" s="243"/>
      <c r="B728" s="15"/>
      <c r="C728" s="15"/>
      <c r="D728" s="15"/>
      <c r="E728" s="379"/>
      <c r="F728" s="15"/>
      <c r="G728" s="250"/>
      <c r="H728" s="380"/>
      <c r="I728" s="15"/>
      <c r="J728" s="31"/>
      <c r="K728" s="243"/>
      <c r="L728" s="15"/>
      <c r="M728" s="243"/>
      <c r="N728" s="243"/>
      <c r="O728" s="243"/>
      <c r="P728" s="243"/>
      <c r="Q728" s="243"/>
    </row>
    <row r="729">
      <c r="A729" s="243"/>
      <c r="B729" s="15"/>
      <c r="C729" s="15"/>
      <c r="D729" s="15"/>
      <c r="E729" s="379"/>
      <c r="F729" s="15"/>
      <c r="G729" s="250"/>
      <c r="H729" s="380"/>
      <c r="I729" s="15"/>
      <c r="J729" s="31"/>
      <c r="K729" s="243"/>
      <c r="L729" s="15"/>
      <c r="M729" s="243"/>
      <c r="N729" s="243"/>
      <c r="O729" s="243"/>
      <c r="P729" s="243"/>
      <c r="Q729" s="243"/>
    </row>
    <row r="730">
      <c r="A730" s="243"/>
      <c r="B730" s="15"/>
      <c r="C730" s="15"/>
      <c r="D730" s="15"/>
      <c r="E730" s="379"/>
      <c r="F730" s="15"/>
      <c r="G730" s="250"/>
      <c r="H730" s="380"/>
      <c r="I730" s="15"/>
      <c r="J730" s="31"/>
      <c r="K730" s="243"/>
      <c r="L730" s="15"/>
      <c r="M730" s="243"/>
      <c r="N730" s="243"/>
      <c r="O730" s="243"/>
      <c r="P730" s="243"/>
      <c r="Q730" s="243"/>
    </row>
    <row r="731">
      <c r="A731" s="243"/>
      <c r="B731" s="15"/>
      <c r="C731" s="15"/>
      <c r="D731" s="15"/>
      <c r="E731" s="379"/>
      <c r="F731" s="15"/>
      <c r="G731" s="250"/>
      <c r="H731" s="380"/>
      <c r="I731" s="15"/>
      <c r="J731" s="31"/>
      <c r="K731" s="243"/>
      <c r="L731" s="15"/>
      <c r="M731" s="243"/>
      <c r="N731" s="243"/>
      <c r="O731" s="243"/>
      <c r="P731" s="243"/>
      <c r="Q731" s="243"/>
    </row>
    <row r="732">
      <c r="A732" s="243"/>
      <c r="B732" s="15"/>
      <c r="C732" s="15"/>
      <c r="D732" s="15"/>
      <c r="E732" s="379"/>
      <c r="F732" s="15"/>
      <c r="G732" s="250"/>
      <c r="H732" s="380"/>
      <c r="I732" s="15"/>
      <c r="J732" s="31"/>
      <c r="K732" s="243"/>
      <c r="L732" s="15"/>
      <c r="M732" s="243"/>
      <c r="N732" s="243"/>
      <c r="O732" s="243"/>
      <c r="P732" s="243"/>
      <c r="Q732" s="243"/>
    </row>
    <row r="733">
      <c r="A733" s="243"/>
      <c r="B733" s="15"/>
      <c r="C733" s="15"/>
      <c r="D733" s="15"/>
      <c r="E733" s="379"/>
      <c r="F733" s="15"/>
      <c r="G733" s="250"/>
      <c r="H733" s="380"/>
      <c r="I733" s="15"/>
      <c r="J733" s="31"/>
      <c r="K733" s="243"/>
      <c r="L733" s="15"/>
      <c r="M733" s="243"/>
      <c r="N733" s="243"/>
      <c r="O733" s="243"/>
      <c r="P733" s="243"/>
      <c r="Q733" s="243"/>
    </row>
    <row r="734">
      <c r="A734" s="243"/>
      <c r="B734" s="15"/>
      <c r="C734" s="15"/>
      <c r="D734" s="15"/>
      <c r="E734" s="379"/>
      <c r="F734" s="15"/>
      <c r="G734" s="250"/>
      <c r="H734" s="380"/>
      <c r="I734" s="15"/>
      <c r="J734" s="31"/>
      <c r="K734" s="243"/>
      <c r="L734" s="15"/>
      <c r="M734" s="243"/>
      <c r="N734" s="243"/>
      <c r="O734" s="243"/>
      <c r="P734" s="243"/>
      <c r="Q734" s="243"/>
    </row>
    <row r="735">
      <c r="A735" s="243"/>
      <c r="B735" s="15"/>
      <c r="C735" s="15"/>
      <c r="D735" s="15"/>
      <c r="E735" s="379"/>
      <c r="F735" s="15"/>
      <c r="G735" s="250"/>
      <c r="H735" s="380"/>
      <c r="I735" s="15"/>
      <c r="J735" s="31"/>
      <c r="K735" s="243"/>
      <c r="L735" s="15"/>
      <c r="M735" s="243"/>
      <c r="N735" s="243"/>
      <c r="O735" s="243"/>
      <c r="P735" s="243"/>
      <c r="Q735" s="243"/>
    </row>
    <row r="736">
      <c r="A736" s="243"/>
      <c r="B736" s="15"/>
      <c r="C736" s="15"/>
      <c r="D736" s="15"/>
      <c r="E736" s="379"/>
      <c r="F736" s="15"/>
      <c r="G736" s="250"/>
      <c r="H736" s="380"/>
      <c r="I736" s="15"/>
      <c r="J736" s="31"/>
      <c r="K736" s="243"/>
      <c r="L736" s="15"/>
      <c r="M736" s="243"/>
      <c r="N736" s="243"/>
      <c r="O736" s="243"/>
      <c r="P736" s="243"/>
      <c r="Q736" s="243"/>
    </row>
    <row r="737">
      <c r="A737" s="243"/>
      <c r="B737" s="15"/>
      <c r="C737" s="15"/>
      <c r="D737" s="15"/>
      <c r="E737" s="379"/>
      <c r="F737" s="15"/>
      <c r="G737" s="250"/>
      <c r="H737" s="380"/>
      <c r="I737" s="15"/>
      <c r="J737" s="31"/>
      <c r="K737" s="243"/>
      <c r="L737" s="15"/>
      <c r="M737" s="243"/>
      <c r="N737" s="243"/>
      <c r="O737" s="243"/>
      <c r="P737" s="243"/>
      <c r="Q737" s="243"/>
    </row>
    <row r="738">
      <c r="A738" s="243"/>
      <c r="B738" s="15"/>
      <c r="C738" s="15"/>
      <c r="D738" s="15"/>
      <c r="E738" s="379"/>
      <c r="F738" s="15"/>
      <c r="G738" s="250"/>
      <c r="H738" s="380"/>
      <c r="I738" s="15"/>
      <c r="J738" s="31"/>
      <c r="K738" s="243"/>
      <c r="L738" s="15"/>
      <c r="M738" s="243"/>
      <c r="N738" s="243"/>
      <c r="O738" s="243"/>
      <c r="P738" s="243"/>
      <c r="Q738" s="243"/>
    </row>
    <row r="739">
      <c r="A739" s="243"/>
      <c r="B739" s="15"/>
      <c r="C739" s="15"/>
      <c r="D739" s="15"/>
      <c r="E739" s="379"/>
      <c r="F739" s="15"/>
      <c r="G739" s="250"/>
      <c r="H739" s="380"/>
      <c r="I739" s="15"/>
      <c r="J739" s="31"/>
      <c r="K739" s="243"/>
      <c r="L739" s="15"/>
      <c r="M739" s="243"/>
      <c r="N739" s="243"/>
      <c r="O739" s="243"/>
      <c r="P739" s="243"/>
      <c r="Q739" s="243"/>
    </row>
    <row r="740">
      <c r="A740" s="243"/>
      <c r="B740" s="15"/>
      <c r="C740" s="15"/>
      <c r="D740" s="15"/>
      <c r="E740" s="379"/>
      <c r="F740" s="15"/>
      <c r="G740" s="250"/>
      <c r="H740" s="380"/>
      <c r="I740" s="15"/>
      <c r="J740" s="31"/>
      <c r="K740" s="243"/>
      <c r="L740" s="15"/>
      <c r="M740" s="243"/>
      <c r="N740" s="243"/>
      <c r="O740" s="243"/>
      <c r="P740" s="243"/>
      <c r="Q740" s="243"/>
    </row>
    <row r="741">
      <c r="A741" s="243"/>
      <c r="B741" s="15"/>
      <c r="C741" s="15"/>
      <c r="D741" s="15"/>
      <c r="E741" s="379"/>
      <c r="F741" s="15"/>
      <c r="G741" s="250"/>
      <c r="H741" s="380"/>
      <c r="I741" s="15"/>
      <c r="J741" s="31"/>
      <c r="K741" s="243"/>
      <c r="L741" s="15"/>
      <c r="M741" s="243"/>
      <c r="N741" s="243"/>
      <c r="O741" s="243"/>
      <c r="P741" s="243"/>
      <c r="Q741" s="243"/>
    </row>
    <row r="742">
      <c r="A742" s="243"/>
      <c r="B742" s="15"/>
      <c r="C742" s="15"/>
      <c r="D742" s="15"/>
      <c r="E742" s="379"/>
      <c r="F742" s="15"/>
      <c r="G742" s="250"/>
      <c r="H742" s="380"/>
      <c r="I742" s="15"/>
      <c r="J742" s="31"/>
      <c r="K742" s="243"/>
      <c r="L742" s="15"/>
      <c r="M742" s="243"/>
      <c r="N742" s="243"/>
      <c r="O742" s="243"/>
      <c r="P742" s="243"/>
      <c r="Q742" s="243"/>
    </row>
    <row r="743">
      <c r="A743" s="243"/>
      <c r="B743" s="15"/>
      <c r="C743" s="15"/>
      <c r="D743" s="15"/>
      <c r="E743" s="379"/>
      <c r="F743" s="15"/>
      <c r="G743" s="250"/>
      <c r="H743" s="380"/>
      <c r="I743" s="15"/>
      <c r="J743" s="31"/>
      <c r="K743" s="243"/>
      <c r="L743" s="15"/>
      <c r="M743" s="243"/>
      <c r="N743" s="243"/>
      <c r="O743" s="243"/>
      <c r="P743" s="243"/>
      <c r="Q743" s="243"/>
    </row>
    <row r="744">
      <c r="A744" s="243"/>
      <c r="B744" s="15"/>
      <c r="C744" s="15"/>
      <c r="D744" s="15"/>
      <c r="E744" s="379"/>
      <c r="F744" s="15"/>
      <c r="G744" s="250"/>
      <c r="H744" s="380"/>
      <c r="I744" s="15"/>
      <c r="J744" s="31"/>
      <c r="K744" s="243"/>
      <c r="L744" s="15"/>
      <c r="M744" s="243"/>
      <c r="N744" s="243"/>
      <c r="O744" s="243"/>
      <c r="P744" s="243"/>
      <c r="Q744" s="243"/>
    </row>
    <row r="745">
      <c r="A745" s="243"/>
      <c r="B745" s="15"/>
      <c r="C745" s="15"/>
      <c r="D745" s="15"/>
      <c r="E745" s="379"/>
      <c r="F745" s="15"/>
      <c r="G745" s="250"/>
      <c r="H745" s="380"/>
      <c r="I745" s="15"/>
      <c r="J745" s="31"/>
      <c r="K745" s="243"/>
      <c r="L745" s="15"/>
      <c r="M745" s="243"/>
      <c r="N745" s="243"/>
      <c r="O745" s="243"/>
      <c r="P745" s="243"/>
      <c r="Q745" s="243"/>
    </row>
    <row r="746">
      <c r="A746" s="243"/>
      <c r="B746" s="15"/>
      <c r="C746" s="15"/>
      <c r="D746" s="15"/>
      <c r="E746" s="379"/>
      <c r="F746" s="15"/>
      <c r="G746" s="250"/>
      <c r="H746" s="380"/>
      <c r="I746" s="15"/>
      <c r="J746" s="31"/>
      <c r="K746" s="243"/>
      <c r="L746" s="15"/>
      <c r="M746" s="243"/>
      <c r="N746" s="243"/>
      <c r="O746" s="243"/>
      <c r="P746" s="243"/>
      <c r="Q746" s="243"/>
    </row>
    <row r="747">
      <c r="A747" s="243"/>
      <c r="B747" s="15"/>
      <c r="C747" s="15"/>
      <c r="D747" s="15"/>
      <c r="E747" s="379"/>
      <c r="F747" s="15"/>
      <c r="G747" s="250"/>
      <c r="H747" s="380"/>
      <c r="I747" s="15"/>
      <c r="J747" s="31"/>
      <c r="K747" s="243"/>
      <c r="L747" s="15"/>
      <c r="M747" s="243"/>
      <c r="N747" s="243"/>
      <c r="O747" s="243"/>
      <c r="P747" s="243"/>
      <c r="Q747" s="243"/>
    </row>
    <row r="748">
      <c r="A748" s="243"/>
      <c r="B748" s="15"/>
      <c r="C748" s="15"/>
      <c r="D748" s="15"/>
      <c r="E748" s="379"/>
      <c r="F748" s="15"/>
      <c r="G748" s="250"/>
      <c r="H748" s="380"/>
      <c r="I748" s="15"/>
      <c r="J748" s="31"/>
      <c r="K748" s="243"/>
      <c r="L748" s="15"/>
      <c r="M748" s="243"/>
      <c r="N748" s="243"/>
      <c r="O748" s="243"/>
      <c r="P748" s="243"/>
      <c r="Q748" s="243"/>
    </row>
    <row r="749">
      <c r="A749" s="243"/>
      <c r="B749" s="15"/>
      <c r="C749" s="15"/>
      <c r="D749" s="15"/>
      <c r="E749" s="379"/>
      <c r="F749" s="15"/>
      <c r="G749" s="250"/>
      <c r="H749" s="380"/>
      <c r="I749" s="15"/>
      <c r="J749" s="31"/>
      <c r="K749" s="243"/>
      <c r="L749" s="15"/>
      <c r="M749" s="243"/>
      <c r="N749" s="243"/>
      <c r="O749" s="243"/>
      <c r="P749" s="243"/>
      <c r="Q749" s="243"/>
    </row>
    <row r="750">
      <c r="A750" s="243"/>
      <c r="B750" s="15"/>
      <c r="C750" s="15"/>
      <c r="D750" s="15"/>
      <c r="E750" s="379"/>
      <c r="F750" s="15"/>
      <c r="G750" s="250"/>
      <c r="H750" s="380"/>
      <c r="I750" s="15"/>
      <c r="J750" s="31"/>
      <c r="K750" s="243"/>
      <c r="L750" s="15"/>
      <c r="M750" s="243"/>
      <c r="N750" s="243"/>
      <c r="O750" s="243"/>
      <c r="P750" s="243"/>
      <c r="Q750" s="243"/>
    </row>
    <row r="751">
      <c r="A751" s="243"/>
      <c r="B751" s="15"/>
      <c r="C751" s="15"/>
      <c r="D751" s="15"/>
      <c r="E751" s="379"/>
      <c r="F751" s="15"/>
      <c r="G751" s="250"/>
      <c r="H751" s="380"/>
      <c r="I751" s="15"/>
      <c r="J751" s="31"/>
      <c r="K751" s="243"/>
      <c r="L751" s="15"/>
      <c r="M751" s="243"/>
      <c r="N751" s="243"/>
      <c r="O751" s="243"/>
      <c r="P751" s="243"/>
      <c r="Q751" s="243"/>
    </row>
    <row r="752">
      <c r="A752" s="243"/>
      <c r="B752" s="15"/>
      <c r="C752" s="15"/>
      <c r="D752" s="15"/>
      <c r="E752" s="379"/>
      <c r="F752" s="15"/>
      <c r="G752" s="250"/>
      <c r="H752" s="380"/>
      <c r="I752" s="15"/>
      <c r="J752" s="31"/>
      <c r="K752" s="243"/>
      <c r="L752" s="15"/>
      <c r="M752" s="243"/>
      <c r="N752" s="243"/>
      <c r="O752" s="243"/>
      <c r="P752" s="243"/>
      <c r="Q752" s="243"/>
    </row>
    <row r="753">
      <c r="A753" s="243"/>
      <c r="B753" s="15"/>
      <c r="C753" s="15"/>
      <c r="D753" s="15"/>
      <c r="E753" s="379"/>
      <c r="F753" s="15"/>
      <c r="G753" s="250"/>
      <c r="H753" s="380"/>
      <c r="I753" s="15"/>
      <c r="J753" s="31"/>
      <c r="K753" s="243"/>
      <c r="L753" s="15"/>
      <c r="M753" s="243"/>
      <c r="N753" s="243"/>
      <c r="O753" s="243"/>
      <c r="P753" s="243"/>
      <c r="Q753" s="243"/>
    </row>
    <row r="754">
      <c r="A754" s="243"/>
      <c r="B754" s="15"/>
      <c r="C754" s="15"/>
      <c r="D754" s="15"/>
      <c r="E754" s="379"/>
      <c r="F754" s="15"/>
      <c r="G754" s="250"/>
      <c r="H754" s="380"/>
      <c r="I754" s="15"/>
      <c r="J754" s="31"/>
      <c r="K754" s="243"/>
      <c r="L754" s="15"/>
      <c r="M754" s="243"/>
      <c r="N754" s="243"/>
      <c r="O754" s="243"/>
      <c r="P754" s="243"/>
      <c r="Q754" s="243"/>
    </row>
    <row r="755">
      <c r="A755" s="243"/>
      <c r="B755" s="15"/>
      <c r="C755" s="15"/>
      <c r="D755" s="15"/>
      <c r="E755" s="379"/>
      <c r="F755" s="15"/>
      <c r="G755" s="250"/>
      <c r="H755" s="380"/>
      <c r="I755" s="15"/>
      <c r="J755" s="31"/>
      <c r="K755" s="243"/>
      <c r="L755" s="15"/>
      <c r="M755" s="243"/>
      <c r="N755" s="243"/>
      <c r="O755" s="243"/>
      <c r="P755" s="243"/>
      <c r="Q755" s="243"/>
    </row>
    <row r="756">
      <c r="A756" s="243"/>
      <c r="B756" s="15"/>
      <c r="C756" s="15"/>
      <c r="D756" s="15"/>
      <c r="E756" s="379"/>
      <c r="F756" s="15"/>
      <c r="G756" s="250"/>
      <c r="H756" s="380"/>
      <c r="I756" s="15"/>
      <c r="J756" s="31"/>
      <c r="K756" s="243"/>
      <c r="L756" s="15"/>
      <c r="M756" s="243"/>
      <c r="N756" s="243"/>
      <c r="O756" s="243"/>
      <c r="P756" s="243"/>
      <c r="Q756" s="243"/>
    </row>
    <row r="757">
      <c r="A757" s="243"/>
      <c r="B757" s="15"/>
      <c r="C757" s="15"/>
      <c r="D757" s="15"/>
      <c r="E757" s="379"/>
      <c r="F757" s="15"/>
      <c r="G757" s="250"/>
      <c r="H757" s="380"/>
      <c r="I757" s="15"/>
      <c r="J757" s="31"/>
      <c r="K757" s="243"/>
      <c r="L757" s="15"/>
      <c r="M757" s="243"/>
      <c r="N757" s="243"/>
      <c r="O757" s="243"/>
      <c r="P757" s="243"/>
      <c r="Q757" s="243"/>
    </row>
    <row r="758">
      <c r="A758" s="243"/>
      <c r="B758" s="15"/>
      <c r="C758" s="15"/>
      <c r="D758" s="15"/>
      <c r="E758" s="379"/>
      <c r="F758" s="15"/>
      <c r="G758" s="250"/>
      <c r="H758" s="380"/>
      <c r="I758" s="15"/>
      <c r="J758" s="31"/>
      <c r="K758" s="243"/>
      <c r="L758" s="15"/>
      <c r="M758" s="243"/>
      <c r="N758" s="243"/>
      <c r="O758" s="243"/>
      <c r="P758" s="243"/>
      <c r="Q758" s="243"/>
    </row>
    <row r="759">
      <c r="A759" s="243"/>
      <c r="B759" s="15"/>
      <c r="C759" s="15"/>
      <c r="D759" s="15"/>
      <c r="E759" s="379"/>
      <c r="F759" s="15"/>
      <c r="G759" s="250"/>
      <c r="H759" s="380"/>
      <c r="I759" s="15"/>
      <c r="J759" s="31"/>
      <c r="K759" s="243"/>
      <c r="L759" s="15"/>
      <c r="M759" s="243"/>
      <c r="N759" s="243"/>
      <c r="O759" s="243"/>
      <c r="P759" s="243"/>
      <c r="Q759" s="243"/>
    </row>
    <row r="760">
      <c r="A760" s="243"/>
      <c r="B760" s="15"/>
      <c r="C760" s="15"/>
      <c r="D760" s="15"/>
      <c r="E760" s="379"/>
      <c r="F760" s="15"/>
      <c r="G760" s="250"/>
      <c r="H760" s="380"/>
      <c r="I760" s="15"/>
      <c r="J760" s="31"/>
      <c r="K760" s="243"/>
      <c r="L760" s="15"/>
      <c r="M760" s="243"/>
      <c r="N760" s="243"/>
      <c r="O760" s="243"/>
      <c r="P760" s="243"/>
      <c r="Q760" s="243"/>
    </row>
    <row r="761">
      <c r="A761" s="243"/>
      <c r="B761" s="15"/>
      <c r="C761" s="15"/>
      <c r="D761" s="15"/>
      <c r="E761" s="379"/>
      <c r="F761" s="15"/>
      <c r="G761" s="250"/>
      <c r="H761" s="380"/>
      <c r="I761" s="15"/>
      <c r="J761" s="31"/>
      <c r="K761" s="243"/>
      <c r="L761" s="15"/>
      <c r="M761" s="243"/>
      <c r="N761" s="243"/>
      <c r="O761" s="243"/>
      <c r="P761" s="243"/>
      <c r="Q761" s="243"/>
    </row>
    <row r="762">
      <c r="A762" s="243"/>
      <c r="B762" s="15"/>
      <c r="C762" s="15"/>
      <c r="D762" s="15"/>
      <c r="E762" s="379"/>
      <c r="F762" s="15"/>
      <c r="G762" s="250"/>
      <c r="H762" s="380"/>
      <c r="I762" s="15"/>
      <c r="J762" s="31"/>
      <c r="K762" s="243"/>
      <c r="L762" s="15"/>
      <c r="M762" s="243"/>
      <c r="N762" s="243"/>
      <c r="O762" s="243"/>
      <c r="P762" s="243"/>
      <c r="Q762" s="243"/>
    </row>
    <row r="763">
      <c r="A763" s="243"/>
      <c r="B763" s="15"/>
      <c r="C763" s="15"/>
      <c r="D763" s="15"/>
      <c r="E763" s="379"/>
      <c r="F763" s="15"/>
      <c r="G763" s="250"/>
      <c r="H763" s="380"/>
      <c r="I763" s="15"/>
      <c r="J763" s="31"/>
      <c r="K763" s="243"/>
      <c r="L763" s="15"/>
      <c r="M763" s="243"/>
      <c r="N763" s="243"/>
      <c r="O763" s="243"/>
      <c r="P763" s="243"/>
      <c r="Q763" s="243"/>
    </row>
    <row r="764">
      <c r="A764" s="243"/>
      <c r="B764" s="15"/>
      <c r="C764" s="15"/>
      <c r="D764" s="15"/>
      <c r="E764" s="379"/>
      <c r="F764" s="15"/>
      <c r="G764" s="250"/>
      <c r="H764" s="380"/>
      <c r="I764" s="15"/>
      <c r="J764" s="31"/>
      <c r="K764" s="243"/>
      <c r="L764" s="15"/>
      <c r="M764" s="243"/>
      <c r="N764" s="243"/>
      <c r="O764" s="243"/>
      <c r="P764" s="243"/>
      <c r="Q764" s="243"/>
    </row>
    <row r="765">
      <c r="A765" s="243"/>
      <c r="B765" s="15"/>
      <c r="C765" s="15"/>
      <c r="D765" s="15"/>
      <c r="E765" s="379"/>
      <c r="F765" s="15"/>
      <c r="G765" s="250"/>
      <c r="H765" s="380"/>
      <c r="I765" s="15"/>
      <c r="J765" s="31"/>
      <c r="K765" s="243"/>
      <c r="L765" s="15"/>
      <c r="M765" s="243"/>
      <c r="N765" s="243"/>
      <c r="O765" s="243"/>
      <c r="P765" s="243"/>
      <c r="Q765" s="243"/>
    </row>
    <row r="766">
      <c r="A766" s="243"/>
      <c r="B766" s="15"/>
      <c r="C766" s="15"/>
      <c r="D766" s="15"/>
      <c r="E766" s="379"/>
      <c r="F766" s="15"/>
      <c r="G766" s="250"/>
      <c r="H766" s="380"/>
      <c r="I766" s="15"/>
      <c r="J766" s="31"/>
      <c r="K766" s="243"/>
      <c r="L766" s="15"/>
      <c r="M766" s="243"/>
      <c r="N766" s="243"/>
      <c r="O766" s="243"/>
      <c r="P766" s="243"/>
      <c r="Q766" s="243"/>
    </row>
    <row r="767">
      <c r="A767" s="243"/>
      <c r="B767" s="15"/>
      <c r="C767" s="15"/>
      <c r="D767" s="15"/>
      <c r="E767" s="379"/>
      <c r="F767" s="15"/>
      <c r="G767" s="250"/>
      <c r="H767" s="380"/>
      <c r="I767" s="15"/>
      <c r="J767" s="31"/>
      <c r="K767" s="243"/>
      <c r="L767" s="15"/>
      <c r="M767" s="243"/>
      <c r="N767" s="243"/>
      <c r="O767" s="243"/>
      <c r="P767" s="243"/>
      <c r="Q767" s="243"/>
    </row>
    <row r="768">
      <c r="A768" s="243"/>
      <c r="B768" s="15"/>
      <c r="C768" s="15"/>
      <c r="D768" s="15"/>
      <c r="E768" s="379"/>
      <c r="F768" s="15"/>
      <c r="G768" s="250"/>
      <c r="H768" s="380"/>
      <c r="I768" s="15"/>
      <c r="J768" s="31"/>
      <c r="K768" s="243"/>
      <c r="L768" s="15"/>
      <c r="M768" s="243"/>
      <c r="N768" s="243"/>
      <c r="O768" s="243"/>
      <c r="P768" s="243"/>
      <c r="Q768" s="243"/>
    </row>
    <row r="769">
      <c r="A769" s="243"/>
      <c r="B769" s="15"/>
      <c r="C769" s="15"/>
      <c r="D769" s="15"/>
      <c r="E769" s="379"/>
      <c r="F769" s="15"/>
      <c r="G769" s="250"/>
      <c r="H769" s="380"/>
      <c r="I769" s="15"/>
      <c r="J769" s="31"/>
      <c r="K769" s="243"/>
      <c r="L769" s="15"/>
      <c r="M769" s="243"/>
      <c r="N769" s="243"/>
      <c r="O769" s="243"/>
      <c r="P769" s="243"/>
      <c r="Q769" s="243"/>
    </row>
    <row r="770">
      <c r="A770" s="243"/>
      <c r="B770" s="15"/>
      <c r="C770" s="15"/>
      <c r="D770" s="15"/>
      <c r="E770" s="379"/>
      <c r="F770" s="15"/>
      <c r="G770" s="250"/>
      <c r="H770" s="380"/>
      <c r="I770" s="15"/>
      <c r="J770" s="31"/>
      <c r="K770" s="243"/>
      <c r="L770" s="15"/>
      <c r="M770" s="243"/>
      <c r="N770" s="243"/>
      <c r="O770" s="243"/>
      <c r="P770" s="243"/>
      <c r="Q770" s="243"/>
    </row>
    <row r="771">
      <c r="A771" s="243"/>
      <c r="B771" s="15"/>
      <c r="C771" s="15"/>
      <c r="D771" s="15"/>
      <c r="E771" s="379"/>
      <c r="F771" s="15"/>
      <c r="G771" s="250"/>
      <c r="H771" s="380"/>
      <c r="I771" s="15"/>
      <c r="J771" s="31"/>
      <c r="K771" s="243"/>
      <c r="L771" s="15"/>
      <c r="M771" s="243"/>
      <c r="N771" s="243"/>
      <c r="O771" s="243"/>
      <c r="P771" s="243"/>
      <c r="Q771" s="243"/>
    </row>
    <row r="772">
      <c r="A772" s="243"/>
      <c r="B772" s="15"/>
      <c r="C772" s="15"/>
      <c r="D772" s="15"/>
      <c r="E772" s="379"/>
      <c r="F772" s="15"/>
      <c r="G772" s="250"/>
      <c r="H772" s="380"/>
      <c r="I772" s="15"/>
      <c r="J772" s="31"/>
      <c r="K772" s="243"/>
      <c r="L772" s="15"/>
      <c r="M772" s="243"/>
      <c r="N772" s="243"/>
      <c r="O772" s="243"/>
      <c r="P772" s="243"/>
      <c r="Q772" s="243"/>
    </row>
    <row r="773">
      <c r="A773" s="243"/>
      <c r="B773" s="15"/>
      <c r="C773" s="15"/>
      <c r="D773" s="15"/>
      <c r="E773" s="379"/>
      <c r="F773" s="15"/>
      <c r="G773" s="250"/>
      <c r="H773" s="380"/>
      <c r="I773" s="15"/>
      <c r="J773" s="31"/>
      <c r="K773" s="243"/>
      <c r="L773" s="15"/>
      <c r="M773" s="243"/>
      <c r="N773" s="243"/>
      <c r="O773" s="243"/>
      <c r="P773" s="243"/>
      <c r="Q773" s="243"/>
    </row>
    <row r="774">
      <c r="A774" s="243"/>
      <c r="B774" s="15"/>
      <c r="C774" s="15"/>
      <c r="D774" s="15"/>
      <c r="E774" s="379"/>
      <c r="F774" s="15"/>
      <c r="G774" s="250"/>
      <c r="H774" s="380"/>
      <c r="I774" s="15"/>
      <c r="J774" s="31"/>
      <c r="K774" s="243"/>
      <c r="L774" s="15"/>
      <c r="M774" s="243"/>
      <c r="N774" s="243"/>
      <c r="O774" s="243"/>
      <c r="P774" s="243"/>
      <c r="Q774" s="243"/>
    </row>
    <row r="775">
      <c r="A775" s="243"/>
      <c r="B775" s="15"/>
      <c r="C775" s="15"/>
      <c r="D775" s="15"/>
      <c r="E775" s="379"/>
      <c r="F775" s="15"/>
      <c r="G775" s="250"/>
      <c r="H775" s="380"/>
      <c r="I775" s="15"/>
      <c r="J775" s="31"/>
      <c r="K775" s="243"/>
      <c r="L775" s="15"/>
      <c r="M775" s="243"/>
      <c r="N775" s="243"/>
      <c r="O775" s="243"/>
      <c r="P775" s="243"/>
      <c r="Q775" s="243"/>
    </row>
    <row r="776">
      <c r="A776" s="243"/>
      <c r="B776" s="15"/>
      <c r="C776" s="15"/>
      <c r="D776" s="15"/>
      <c r="E776" s="379"/>
      <c r="F776" s="15"/>
      <c r="G776" s="250"/>
      <c r="H776" s="380"/>
      <c r="I776" s="15"/>
      <c r="J776" s="31"/>
      <c r="K776" s="243"/>
      <c r="L776" s="15"/>
      <c r="M776" s="243"/>
      <c r="N776" s="243"/>
      <c r="O776" s="243"/>
      <c r="P776" s="243"/>
      <c r="Q776" s="243"/>
    </row>
    <row r="777">
      <c r="A777" s="243"/>
      <c r="B777" s="15"/>
      <c r="C777" s="15"/>
      <c r="D777" s="15"/>
      <c r="E777" s="379"/>
      <c r="F777" s="15"/>
      <c r="G777" s="250"/>
      <c r="H777" s="380"/>
      <c r="I777" s="15"/>
      <c r="J777" s="31"/>
      <c r="K777" s="243"/>
      <c r="L777" s="15"/>
      <c r="M777" s="243"/>
      <c r="N777" s="243"/>
      <c r="O777" s="243"/>
      <c r="P777" s="243"/>
      <c r="Q777" s="243"/>
    </row>
    <row r="778">
      <c r="A778" s="243"/>
      <c r="B778" s="15"/>
      <c r="C778" s="15"/>
      <c r="D778" s="15"/>
      <c r="E778" s="379"/>
      <c r="F778" s="15"/>
      <c r="G778" s="250"/>
      <c r="H778" s="380"/>
      <c r="I778" s="15"/>
      <c r="J778" s="31"/>
      <c r="K778" s="243"/>
      <c r="L778" s="15"/>
      <c r="M778" s="243"/>
      <c r="N778" s="243"/>
      <c r="O778" s="243"/>
      <c r="P778" s="243"/>
      <c r="Q778" s="243"/>
    </row>
    <row r="779">
      <c r="A779" s="243"/>
      <c r="B779" s="15"/>
      <c r="C779" s="15"/>
      <c r="D779" s="15"/>
      <c r="E779" s="379"/>
      <c r="F779" s="15"/>
      <c r="G779" s="250"/>
      <c r="H779" s="380"/>
      <c r="I779" s="15"/>
      <c r="J779" s="31"/>
      <c r="K779" s="243"/>
      <c r="L779" s="15"/>
      <c r="M779" s="243"/>
      <c r="N779" s="243"/>
      <c r="O779" s="243"/>
      <c r="P779" s="243"/>
      <c r="Q779" s="243"/>
    </row>
    <row r="780">
      <c r="A780" s="243"/>
      <c r="B780" s="15"/>
      <c r="C780" s="15"/>
      <c r="D780" s="15"/>
      <c r="E780" s="379"/>
      <c r="F780" s="15"/>
      <c r="G780" s="250"/>
      <c r="H780" s="380"/>
      <c r="I780" s="15"/>
      <c r="J780" s="31"/>
      <c r="K780" s="243"/>
      <c r="L780" s="15"/>
      <c r="M780" s="243"/>
      <c r="N780" s="243"/>
      <c r="O780" s="243"/>
      <c r="P780" s="243"/>
      <c r="Q780" s="243"/>
    </row>
    <row r="781">
      <c r="A781" s="243"/>
      <c r="B781" s="15"/>
      <c r="C781" s="15"/>
      <c r="D781" s="15"/>
      <c r="E781" s="379"/>
      <c r="F781" s="15"/>
      <c r="G781" s="250"/>
      <c r="H781" s="380"/>
      <c r="I781" s="15"/>
      <c r="J781" s="31"/>
      <c r="K781" s="243"/>
      <c r="L781" s="15"/>
      <c r="M781" s="243"/>
      <c r="N781" s="243"/>
      <c r="O781" s="243"/>
      <c r="P781" s="243"/>
      <c r="Q781" s="243"/>
    </row>
    <row r="782">
      <c r="A782" s="243"/>
      <c r="B782" s="15"/>
      <c r="C782" s="15"/>
      <c r="D782" s="15"/>
      <c r="E782" s="379"/>
      <c r="F782" s="15"/>
      <c r="G782" s="250"/>
      <c r="H782" s="380"/>
      <c r="I782" s="15"/>
      <c r="J782" s="31"/>
      <c r="K782" s="243"/>
      <c r="L782" s="15"/>
      <c r="M782" s="243"/>
      <c r="N782" s="243"/>
      <c r="O782" s="243"/>
      <c r="P782" s="243"/>
      <c r="Q782" s="243"/>
    </row>
    <row r="783">
      <c r="A783" s="243"/>
      <c r="B783" s="15"/>
      <c r="C783" s="15"/>
      <c r="D783" s="15"/>
      <c r="E783" s="379"/>
      <c r="F783" s="15"/>
      <c r="G783" s="250"/>
      <c r="H783" s="380"/>
      <c r="I783" s="15"/>
      <c r="J783" s="31"/>
      <c r="K783" s="243"/>
      <c r="L783" s="15"/>
      <c r="M783" s="243"/>
      <c r="N783" s="243"/>
      <c r="O783" s="243"/>
      <c r="P783" s="243"/>
      <c r="Q783" s="243"/>
    </row>
    <row r="784">
      <c r="A784" s="243"/>
      <c r="B784" s="15"/>
      <c r="C784" s="15"/>
      <c r="D784" s="15"/>
      <c r="E784" s="379"/>
      <c r="F784" s="15"/>
      <c r="G784" s="250"/>
      <c r="H784" s="380"/>
      <c r="I784" s="15"/>
      <c r="J784" s="31"/>
      <c r="K784" s="243"/>
      <c r="L784" s="15"/>
      <c r="M784" s="243"/>
      <c r="N784" s="243"/>
      <c r="O784" s="243"/>
      <c r="P784" s="243"/>
      <c r="Q784" s="243"/>
    </row>
    <row r="785">
      <c r="A785" s="243"/>
      <c r="B785" s="15"/>
      <c r="C785" s="15"/>
      <c r="D785" s="15"/>
      <c r="E785" s="379"/>
      <c r="F785" s="15"/>
      <c r="G785" s="250"/>
      <c r="H785" s="380"/>
      <c r="I785" s="15"/>
      <c r="J785" s="31"/>
      <c r="K785" s="243"/>
      <c r="L785" s="15"/>
      <c r="M785" s="243"/>
      <c r="N785" s="243"/>
      <c r="O785" s="243"/>
      <c r="P785" s="243"/>
      <c r="Q785" s="243"/>
    </row>
    <row r="786">
      <c r="A786" s="243"/>
      <c r="B786" s="15"/>
      <c r="C786" s="15"/>
      <c r="D786" s="15"/>
      <c r="E786" s="379"/>
      <c r="F786" s="15"/>
      <c r="G786" s="250"/>
      <c r="H786" s="380"/>
      <c r="I786" s="15"/>
      <c r="J786" s="31"/>
      <c r="K786" s="243"/>
      <c r="L786" s="15"/>
      <c r="M786" s="243"/>
      <c r="N786" s="243"/>
      <c r="O786" s="243"/>
      <c r="P786" s="243"/>
      <c r="Q786" s="243"/>
    </row>
    <row r="787">
      <c r="A787" s="243"/>
      <c r="B787" s="15"/>
      <c r="C787" s="15"/>
      <c r="D787" s="15"/>
      <c r="E787" s="379"/>
      <c r="F787" s="15"/>
      <c r="G787" s="250"/>
      <c r="H787" s="380"/>
      <c r="I787" s="15"/>
      <c r="J787" s="31"/>
      <c r="K787" s="243"/>
      <c r="L787" s="15"/>
      <c r="M787" s="243"/>
      <c r="N787" s="243"/>
      <c r="O787" s="243"/>
      <c r="P787" s="243"/>
      <c r="Q787" s="243"/>
    </row>
    <row r="788">
      <c r="A788" s="243"/>
      <c r="B788" s="15"/>
      <c r="C788" s="15"/>
      <c r="D788" s="15"/>
      <c r="E788" s="379"/>
      <c r="F788" s="15"/>
      <c r="G788" s="250"/>
      <c r="H788" s="380"/>
      <c r="I788" s="15"/>
      <c r="J788" s="31"/>
      <c r="K788" s="243"/>
      <c r="L788" s="15"/>
      <c r="M788" s="243"/>
      <c r="N788" s="243"/>
      <c r="O788" s="243"/>
      <c r="P788" s="243"/>
      <c r="Q788" s="243"/>
    </row>
    <row r="789">
      <c r="A789" s="243"/>
      <c r="B789" s="15"/>
      <c r="C789" s="15"/>
      <c r="D789" s="15"/>
      <c r="E789" s="379"/>
      <c r="F789" s="15"/>
      <c r="G789" s="250"/>
      <c r="H789" s="380"/>
      <c r="I789" s="15"/>
      <c r="J789" s="31"/>
      <c r="K789" s="243"/>
      <c r="L789" s="15"/>
      <c r="M789" s="243"/>
      <c r="N789" s="243"/>
      <c r="O789" s="243"/>
      <c r="P789" s="243"/>
      <c r="Q789" s="243"/>
    </row>
    <row r="790">
      <c r="A790" s="243"/>
      <c r="B790" s="15"/>
      <c r="C790" s="15"/>
      <c r="D790" s="15"/>
      <c r="E790" s="379"/>
      <c r="F790" s="15"/>
      <c r="G790" s="250"/>
      <c r="H790" s="380"/>
      <c r="I790" s="15"/>
      <c r="J790" s="31"/>
      <c r="K790" s="243"/>
      <c r="L790" s="15"/>
      <c r="M790" s="243"/>
      <c r="N790" s="243"/>
      <c r="O790" s="243"/>
      <c r="P790" s="243"/>
      <c r="Q790" s="243"/>
    </row>
    <row r="791">
      <c r="A791" s="243"/>
      <c r="B791" s="15"/>
      <c r="C791" s="15"/>
      <c r="D791" s="15"/>
      <c r="E791" s="379"/>
      <c r="F791" s="15"/>
      <c r="G791" s="250"/>
      <c r="H791" s="380"/>
      <c r="I791" s="15"/>
      <c r="J791" s="31"/>
      <c r="K791" s="243"/>
      <c r="L791" s="15"/>
      <c r="M791" s="243"/>
      <c r="N791" s="243"/>
      <c r="O791" s="243"/>
      <c r="P791" s="243"/>
      <c r="Q791" s="243"/>
    </row>
    <row r="792">
      <c r="A792" s="243"/>
      <c r="B792" s="15"/>
      <c r="C792" s="15"/>
      <c r="D792" s="15"/>
      <c r="E792" s="379"/>
      <c r="F792" s="15"/>
      <c r="G792" s="250"/>
      <c r="H792" s="380"/>
      <c r="I792" s="15"/>
      <c r="J792" s="31"/>
      <c r="K792" s="243"/>
      <c r="L792" s="15"/>
      <c r="M792" s="243"/>
      <c r="N792" s="243"/>
      <c r="O792" s="243"/>
      <c r="P792" s="243"/>
      <c r="Q792" s="243"/>
    </row>
    <row r="793">
      <c r="A793" s="243"/>
      <c r="B793" s="15"/>
      <c r="C793" s="15"/>
      <c r="D793" s="15"/>
      <c r="E793" s="379"/>
      <c r="F793" s="15"/>
      <c r="G793" s="250"/>
      <c r="H793" s="380"/>
      <c r="I793" s="15"/>
      <c r="J793" s="31"/>
      <c r="K793" s="243"/>
      <c r="L793" s="15"/>
      <c r="M793" s="243"/>
      <c r="N793" s="243"/>
      <c r="O793" s="243"/>
      <c r="P793" s="243"/>
      <c r="Q793" s="243"/>
    </row>
    <row r="794">
      <c r="A794" s="243"/>
      <c r="B794" s="15"/>
      <c r="C794" s="15"/>
      <c r="D794" s="15"/>
      <c r="E794" s="379"/>
      <c r="F794" s="15"/>
      <c r="G794" s="250"/>
      <c r="H794" s="380"/>
      <c r="I794" s="15"/>
      <c r="J794" s="31"/>
      <c r="K794" s="243"/>
      <c r="L794" s="15"/>
      <c r="M794" s="243"/>
      <c r="N794" s="243"/>
      <c r="O794" s="243"/>
      <c r="P794" s="243"/>
      <c r="Q794" s="243"/>
    </row>
    <row r="795">
      <c r="A795" s="243"/>
      <c r="B795" s="15"/>
      <c r="C795" s="15"/>
      <c r="D795" s="15"/>
      <c r="E795" s="379"/>
      <c r="F795" s="15"/>
      <c r="G795" s="250"/>
      <c r="H795" s="380"/>
      <c r="I795" s="15"/>
      <c r="J795" s="31"/>
      <c r="K795" s="243"/>
      <c r="L795" s="15"/>
      <c r="M795" s="243"/>
      <c r="N795" s="243"/>
      <c r="O795" s="243"/>
      <c r="P795" s="243"/>
      <c r="Q795" s="243"/>
    </row>
    <row r="796">
      <c r="A796" s="243"/>
      <c r="B796" s="15"/>
      <c r="C796" s="15"/>
      <c r="D796" s="15"/>
      <c r="E796" s="379"/>
      <c r="F796" s="15"/>
      <c r="G796" s="250"/>
      <c r="H796" s="380"/>
      <c r="I796" s="15"/>
      <c r="J796" s="31"/>
      <c r="K796" s="243"/>
      <c r="L796" s="15"/>
      <c r="M796" s="243"/>
      <c r="N796" s="243"/>
      <c r="O796" s="243"/>
      <c r="P796" s="243"/>
      <c r="Q796" s="243"/>
    </row>
    <row r="797">
      <c r="A797" s="243"/>
      <c r="B797" s="15"/>
      <c r="C797" s="15"/>
      <c r="D797" s="15"/>
      <c r="E797" s="379"/>
      <c r="F797" s="15"/>
      <c r="G797" s="250"/>
      <c r="H797" s="380"/>
      <c r="I797" s="15"/>
      <c r="J797" s="31"/>
      <c r="K797" s="243"/>
      <c r="L797" s="15"/>
      <c r="M797" s="243"/>
      <c r="N797" s="243"/>
      <c r="O797" s="243"/>
      <c r="P797" s="243"/>
      <c r="Q797" s="243"/>
    </row>
    <row r="798">
      <c r="A798" s="243"/>
      <c r="B798" s="15"/>
      <c r="C798" s="15"/>
      <c r="D798" s="15"/>
      <c r="E798" s="379"/>
      <c r="F798" s="15"/>
      <c r="G798" s="250"/>
      <c r="H798" s="380"/>
      <c r="I798" s="15"/>
      <c r="J798" s="31"/>
      <c r="K798" s="243"/>
      <c r="L798" s="15"/>
      <c r="M798" s="243"/>
      <c r="N798" s="243"/>
      <c r="O798" s="243"/>
      <c r="P798" s="243"/>
      <c r="Q798" s="243"/>
    </row>
    <row r="799">
      <c r="A799" s="243"/>
      <c r="B799" s="15"/>
      <c r="C799" s="15"/>
      <c r="D799" s="15"/>
      <c r="E799" s="379"/>
      <c r="F799" s="15"/>
      <c r="G799" s="250"/>
      <c r="H799" s="380"/>
      <c r="I799" s="15"/>
      <c r="J799" s="31"/>
      <c r="K799" s="243"/>
      <c r="L799" s="15"/>
      <c r="M799" s="243"/>
      <c r="N799" s="243"/>
      <c r="O799" s="243"/>
      <c r="P799" s="243"/>
      <c r="Q799" s="243"/>
    </row>
    <row r="800">
      <c r="A800" s="243"/>
      <c r="B800" s="15"/>
      <c r="C800" s="15"/>
      <c r="D800" s="15"/>
      <c r="E800" s="379"/>
      <c r="F800" s="15"/>
      <c r="G800" s="250"/>
      <c r="H800" s="380"/>
      <c r="I800" s="15"/>
      <c r="J800" s="31"/>
      <c r="K800" s="243"/>
      <c r="L800" s="15"/>
      <c r="M800" s="243"/>
      <c r="N800" s="243"/>
      <c r="O800" s="243"/>
      <c r="P800" s="243"/>
      <c r="Q800" s="243"/>
    </row>
    <row r="801">
      <c r="A801" s="243"/>
      <c r="B801" s="15"/>
      <c r="C801" s="15"/>
      <c r="D801" s="15"/>
      <c r="E801" s="379"/>
      <c r="F801" s="15"/>
      <c r="G801" s="250"/>
      <c r="H801" s="380"/>
      <c r="I801" s="15"/>
      <c r="J801" s="31"/>
      <c r="K801" s="243"/>
      <c r="L801" s="15"/>
      <c r="M801" s="243"/>
      <c r="N801" s="243"/>
      <c r="O801" s="243"/>
      <c r="P801" s="243"/>
      <c r="Q801" s="243"/>
    </row>
    <row r="802">
      <c r="A802" s="243"/>
      <c r="B802" s="15"/>
      <c r="C802" s="15"/>
      <c r="D802" s="15"/>
      <c r="E802" s="379"/>
      <c r="F802" s="15"/>
      <c r="G802" s="250"/>
      <c r="H802" s="380"/>
      <c r="I802" s="15"/>
      <c r="J802" s="31"/>
      <c r="K802" s="243"/>
      <c r="L802" s="15"/>
      <c r="M802" s="243"/>
      <c r="N802" s="243"/>
      <c r="O802" s="243"/>
      <c r="P802" s="243"/>
      <c r="Q802" s="243"/>
    </row>
    <row r="803">
      <c r="A803" s="243"/>
      <c r="B803" s="15"/>
      <c r="C803" s="15"/>
      <c r="D803" s="15"/>
      <c r="E803" s="379"/>
      <c r="F803" s="15"/>
      <c r="G803" s="250"/>
      <c r="H803" s="380"/>
      <c r="I803" s="15"/>
      <c r="J803" s="31"/>
      <c r="K803" s="243"/>
      <c r="L803" s="15"/>
      <c r="M803" s="243"/>
      <c r="N803" s="243"/>
      <c r="O803" s="243"/>
      <c r="P803" s="243"/>
      <c r="Q803" s="243"/>
    </row>
    <row r="804">
      <c r="A804" s="243"/>
      <c r="B804" s="15"/>
      <c r="C804" s="15"/>
      <c r="D804" s="15"/>
      <c r="E804" s="379"/>
      <c r="F804" s="15"/>
      <c r="G804" s="250"/>
      <c r="H804" s="380"/>
      <c r="I804" s="15"/>
      <c r="J804" s="31"/>
      <c r="K804" s="243"/>
      <c r="L804" s="15"/>
      <c r="M804" s="243"/>
      <c r="N804" s="243"/>
      <c r="O804" s="243"/>
      <c r="P804" s="243"/>
      <c r="Q804" s="243"/>
    </row>
    <row r="805">
      <c r="A805" s="243"/>
      <c r="B805" s="15"/>
      <c r="C805" s="15"/>
      <c r="D805" s="15"/>
      <c r="E805" s="379"/>
      <c r="F805" s="15"/>
      <c r="G805" s="250"/>
      <c r="H805" s="380"/>
      <c r="I805" s="15"/>
      <c r="J805" s="31"/>
      <c r="K805" s="243"/>
      <c r="L805" s="15"/>
      <c r="M805" s="243"/>
      <c r="N805" s="243"/>
      <c r="O805" s="243"/>
      <c r="P805" s="243"/>
      <c r="Q805" s="243"/>
    </row>
    <row r="806">
      <c r="A806" s="243"/>
      <c r="B806" s="15"/>
      <c r="C806" s="15"/>
      <c r="D806" s="15"/>
      <c r="E806" s="379"/>
      <c r="F806" s="15"/>
      <c r="G806" s="250"/>
      <c r="H806" s="380"/>
      <c r="I806" s="15"/>
      <c r="J806" s="31"/>
      <c r="K806" s="243"/>
      <c r="L806" s="15"/>
      <c r="M806" s="243"/>
      <c r="N806" s="243"/>
      <c r="O806" s="243"/>
      <c r="P806" s="243"/>
      <c r="Q806" s="243"/>
    </row>
    <row r="807">
      <c r="A807" s="243"/>
      <c r="B807" s="15"/>
      <c r="C807" s="15"/>
      <c r="D807" s="15"/>
      <c r="E807" s="379"/>
      <c r="F807" s="15"/>
      <c r="G807" s="250"/>
      <c r="H807" s="380"/>
      <c r="I807" s="15"/>
      <c r="J807" s="31"/>
      <c r="K807" s="243"/>
      <c r="L807" s="15"/>
      <c r="M807" s="243"/>
      <c r="N807" s="243"/>
      <c r="O807" s="243"/>
      <c r="P807" s="243"/>
      <c r="Q807" s="243"/>
    </row>
    <row r="808">
      <c r="A808" s="243"/>
      <c r="B808" s="15"/>
      <c r="C808" s="15"/>
      <c r="D808" s="15"/>
      <c r="E808" s="379"/>
      <c r="F808" s="15"/>
      <c r="G808" s="250"/>
      <c r="H808" s="380"/>
      <c r="I808" s="15"/>
      <c r="J808" s="31"/>
      <c r="K808" s="243"/>
      <c r="L808" s="15"/>
      <c r="M808" s="243"/>
      <c r="N808" s="243"/>
      <c r="O808" s="243"/>
      <c r="P808" s="243"/>
      <c r="Q808" s="243"/>
    </row>
    <row r="809">
      <c r="A809" s="243"/>
      <c r="B809" s="15"/>
      <c r="C809" s="15"/>
      <c r="D809" s="15"/>
      <c r="E809" s="379"/>
      <c r="F809" s="15"/>
      <c r="G809" s="250"/>
      <c r="H809" s="380"/>
      <c r="I809" s="15"/>
      <c r="J809" s="31"/>
      <c r="K809" s="243"/>
      <c r="L809" s="15"/>
      <c r="M809" s="243"/>
      <c r="N809" s="243"/>
      <c r="O809" s="243"/>
      <c r="P809" s="243"/>
      <c r="Q809" s="243"/>
    </row>
    <row r="810">
      <c r="A810" s="243"/>
      <c r="B810" s="15"/>
      <c r="C810" s="15"/>
      <c r="D810" s="15"/>
      <c r="E810" s="379"/>
      <c r="F810" s="15"/>
      <c r="G810" s="250"/>
      <c r="H810" s="380"/>
      <c r="I810" s="15"/>
      <c r="J810" s="31"/>
      <c r="K810" s="243"/>
      <c r="L810" s="15"/>
      <c r="M810" s="243"/>
      <c r="N810" s="243"/>
      <c r="O810" s="243"/>
      <c r="P810" s="243"/>
      <c r="Q810" s="243"/>
    </row>
    <row r="811">
      <c r="A811" s="243"/>
      <c r="B811" s="15"/>
      <c r="C811" s="15"/>
      <c r="D811" s="15"/>
      <c r="E811" s="379"/>
      <c r="F811" s="15"/>
      <c r="G811" s="250"/>
      <c r="H811" s="380"/>
      <c r="I811" s="15"/>
      <c r="J811" s="31"/>
      <c r="K811" s="243"/>
      <c r="L811" s="15"/>
      <c r="M811" s="243"/>
      <c r="N811" s="243"/>
      <c r="O811" s="243"/>
      <c r="P811" s="243"/>
      <c r="Q811" s="243"/>
    </row>
    <row r="812">
      <c r="A812" s="243"/>
      <c r="B812" s="15"/>
      <c r="C812" s="15"/>
      <c r="D812" s="15"/>
      <c r="E812" s="379"/>
      <c r="F812" s="15"/>
      <c r="G812" s="250"/>
      <c r="H812" s="380"/>
      <c r="I812" s="15"/>
      <c r="J812" s="31"/>
      <c r="K812" s="243"/>
      <c r="L812" s="15"/>
      <c r="M812" s="243"/>
      <c r="N812" s="243"/>
      <c r="O812" s="243"/>
      <c r="P812" s="243"/>
      <c r="Q812" s="243"/>
    </row>
    <row r="813">
      <c r="A813" s="243"/>
      <c r="B813" s="15"/>
      <c r="C813" s="15"/>
      <c r="D813" s="15"/>
      <c r="E813" s="379"/>
      <c r="F813" s="15"/>
      <c r="G813" s="250"/>
      <c r="H813" s="380"/>
      <c r="I813" s="15"/>
      <c r="J813" s="31"/>
      <c r="K813" s="243"/>
      <c r="L813" s="15"/>
      <c r="M813" s="243"/>
      <c r="N813" s="243"/>
      <c r="O813" s="243"/>
      <c r="P813" s="243"/>
      <c r="Q813" s="243"/>
    </row>
    <row r="814">
      <c r="A814" s="243"/>
      <c r="B814" s="15"/>
      <c r="C814" s="15"/>
      <c r="D814" s="15"/>
      <c r="E814" s="379"/>
      <c r="F814" s="15"/>
      <c r="G814" s="250"/>
      <c r="H814" s="380"/>
      <c r="I814" s="15"/>
      <c r="J814" s="31"/>
      <c r="K814" s="243"/>
      <c r="L814" s="15"/>
      <c r="M814" s="243"/>
      <c r="N814" s="243"/>
      <c r="O814" s="243"/>
      <c r="P814" s="243"/>
      <c r="Q814" s="243"/>
    </row>
    <row r="815">
      <c r="A815" s="243"/>
      <c r="B815" s="15"/>
      <c r="C815" s="15"/>
      <c r="D815" s="15"/>
      <c r="E815" s="379"/>
      <c r="F815" s="15"/>
      <c r="G815" s="250"/>
      <c r="H815" s="380"/>
      <c r="I815" s="15"/>
      <c r="J815" s="31"/>
      <c r="K815" s="243"/>
      <c r="L815" s="15"/>
      <c r="M815" s="243"/>
      <c r="N815" s="243"/>
      <c r="O815" s="243"/>
      <c r="P815" s="243"/>
      <c r="Q815" s="243"/>
    </row>
    <row r="816">
      <c r="A816" s="243"/>
      <c r="B816" s="15"/>
      <c r="C816" s="15"/>
      <c r="D816" s="15"/>
      <c r="E816" s="379"/>
      <c r="F816" s="15"/>
      <c r="G816" s="250"/>
      <c r="H816" s="380"/>
      <c r="I816" s="15"/>
      <c r="J816" s="31"/>
      <c r="K816" s="243"/>
      <c r="L816" s="15"/>
      <c r="M816" s="243"/>
      <c r="N816" s="243"/>
      <c r="O816" s="243"/>
      <c r="P816" s="243"/>
      <c r="Q816" s="243"/>
    </row>
    <row r="817">
      <c r="A817" s="243"/>
      <c r="B817" s="15"/>
      <c r="C817" s="15"/>
      <c r="D817" s="15"/>
      <c r="E817" s="379"/>
      <c r="F817" s="15"/>
      <c r="G817" s="250"/>
      <c r="H817" s="380"/>
      <c r="I817" s="15"/>
      <c r="J817" s="31"/>
      <c r="K817" s="243"/>
      <c r="L817" s="15"/>
      <c r="M817" s="243"/>
      <c r="N817" s="243"/>
      <c r="O817" s="243"/>
      <c r="P817" s="243"/>
      <c r="Q817" s="243"/>
    </row>
    <row r="818">
      <c r="A818" s="243"/>
      <c r="B818" s="15"/>
      <c r="C818" s="15"/>
      <c r="D818" s="15"/>
      <c r="E818" s="379"/>
      <c r="F818" s="15"/>
      <c r="G818" s="250"/>
      <c r="H818" s="380"/>
      <c r="I818" s="15"/>
      <c r="J818" s="31"/>
      <c r="K818" s="243"/>
      <c r="L818" s="15"/>
      <c r="M818" s="243"/>
      <c r="N818" s="243"/>
      <c r="O818" s="243"/>
      <c r="P818" s="243"/>
      <c r="Q818" s="243"/>
    </row>
    <row r="819">
      <c r="A819" s="243"/>
      <c r="B819" s="15"/>
      <c r="C819" s="15"/>
      <c r="D819" s="15"/>
      <c r="E819" s="379"/>
      <c r="F819" s="15"/>
      <c r="G819" s="250"/>
      <c r="H819" s="380"/>
      <c r="I819" s="15"/>
      <c r="J819" s="31"/>
      <c r="K819" s="243"/>
      <c r="L819" s="15"/>
      <c r="M819" s="243"/>
      <c r="N819" s="243"/>
      <c r="O819" s="243"/>
      <c r="P819" s="243"/>
      <c r="Q819" s="243"/>
    </row>
    <row r="820">
      <c r="A820" s="243"/>
      <c r="B820" s="15"/>
      <c r="C820" s="15"/>
      <c r="D820" s="15"/>
      <c r="E820" s="379"/>
      <c r="F820" s="15"/>
      <c r="G820" s="250"/>
      <c r="H820" s="380"/>
      <c r="I820" s="15"/>
      <c r="J820" s="31"/>
      <c r="K820" s="243"/>
      <c r="L820" s="15"/>
      <c r="M820" s="243"/>
      <c r="N820" s="243"/>
      <c r="O820" s="243"/>
      <c r="P820" s="243"/>
      <c r="Q820" s="243"/>
    </row>
    <row r="821">
      <c r="A821" s="243"/>
      <c r="B821" s="15"/>
      <c r="C821" s="15"/>
      <c r="D821" s="15"/>
      <c r="E821" s="379"/>
      <c r="F821" s="15"/>
      <c r="G821" s="250"/>
      <c r="H821" s="380"/>
      <c r="I821" s="15"/>
      <c r="J821" s="31"/>
      <c r="K821" s="243"/>
      <c r="L821" s="15"/>
      <c r="M821" s="243"/>
      <c r="N821" s="243"/>
      <c r="O821" s="243"/>
      <c r="P821" s="243"/>
      <c r="Q821" s="243"/>
    </row>
    <row r="822">
      <c r="A822" s="243"/>
      <c r="B822" s="15"/>
      <c r="C822" s="15"/>
      <c r="D822" s="15"/>
      <c r="E822" s="379"/>
      <c r="F822" s="15"/>
      <c r="G822" s="250"/>
      <c r="H822" s="380"/>
      <c r="I822" s="15"/>
      <c r="J822" s="31"/>
      <c r="K822" s="243"/>
      <c r="L822" s="15"/>
      <c r="M822" s="243"/>
      <c r="N822" s="243"/>
      <c r="O822" s="243"/>
      <c r="P822" s="243"/>
      <c r="Q822" s="243"/>
    </row>
    <row r="823">
      <c r="A823" s="243"/>
      <c r="B823" s="15"/>
      <c r="C823" s="15"/>
      <c r="D823" s="15"/>
      <c r="E823" s="379"/>
      <c r="F823" s="15"/>
      <c r="G823" s="250"/>
      <c r="H823" s="380"/>
      <c r="I823" s="15"/>
      <c r="J823" s="31"/>
      <c r="K823" s="243"/>
      <c r="L823" s="15"/>
      <c r="M823" s="243"/>
      <c r="N823" s="243"/>
      <c r="O823" s="243"/>
      <c r="P823" s="243"/>
      <c r="Q823" s="243"/>
    </row>
    <row r="824">
      <c r="A824" s="243"/>
      <c r="B824" s="15"/>
      <c r="C824" s="15"/>
      <c r="D824" s="15"/>
      <c r="E824" s="379"/>
      <c r="F824" s="15"/>
      <c r="G824" s="250"/>
      <c r="H824" s="380"/>
      <c r="I824" s="15"/>
      <c r="J824" s="31"/>
      <c r="K824" s="243"/>
      <c r="L824" s="15"/>
      <c r="M824" s="243"/>
      <c r="N824" s="243"/>
      <c r="O824" s="243"/>
      <c r="P824" s="243"/>
      <c r="Q824" s="243"/>
    </row>
    <row r="825">
      <c r="A825" s="243"/>
      <c r="B825" s="15"/>
      <c r="C825" s="15"/>
      <c r="D825" s="15"/>
      <c r="E825" s="379"/>
      <c r="F825" s="15"/>
      <c r="G825" s="250"/>
      <c r="H825" s="380"/>
      <c r="I825" s="15"/>
      <c r="J825" s="31"/>
      <c r="K825" s="243"/>
      <c r="L825" s="15"/>
      <c r="M825" s="243"/>
      <c r="N825" s="243"/>
      <c r="O825" s="243"/>
      <c r="P825" s="243"/>
      <c r="Q825" s="243"/>
    </row>
    <row r="826">
      <c r="A826" s="243"/>
      <c r="B826" s="15"/>
      <c r="C826" s="15"/>
      <c r="D826" s="15"/>
      <c r="E826" s="379"/>
      <c r="F826" s="15"/>
      <c r="G826" s="250"/>
      <c r="H826" s="380"/>
      <c r="I826" s="15"/>
      <c r="J826" s="31"/>
      <c r="K826" s="243"/>
      <c r="L826" s="15"/>
      <c r="M826" s="243"/>
      <c r="N826" s="243"/>
      <c r="O826" s="243"/>
      <c r="P826" s="243"/>
      <c r="Q826" s="243"/>
    </row>
    <row r="827">
      <c r="A827" s="243"/>
      <c r="B827" s="15"/>
      <c r="C827" s="15"/>
      <c r="D827" s="15"/>
      <c r="E827" s="379"/>
      <c r="F827" s="15"/>
      <c r="G827" s="250"/>
      <c r="H827" s="380"/>
      <c r="I827" s="15"/>
      <c r="J827" s="31"/>
      <c r="K827" s="243"/>
      <c r="L827" s="15"/>
      <c r="M827" s="243"/>
      <c r="N827" s="243"/>
      <c r="O827" s="243"/>
      <c r="P827" s="243"/>
      <c r="Q827" s="243"/>
    </row>
    <row r="828">
      <c r="A828" s="243"/>
      <c r="B828" s="15"/>
      <c r="C828" s="15"/>
      <c r="D828" s="15"/>
      <c r="E828" s="379"/>
      <c r="F828" s="15"/>
      <c r="G828" s="250"/>
      <c r="H828" s="380"/>
      <c r="I828" s="15"/>
      <c r="J828" s="31"/>
      <c r="K828" s="243"/>
      <c r="L828" s="15"/>
      <c r="M828" s="243"/>
      <c r="N828" s="243"/>
      <c r="O828" s="243"/>
      <c r="P828" s="243"/>
      <c r="Q828" s="243"/>
    </row>
    <row r="829">
      <c r="A829" s="243"/>
      <c r="B829" s="15"/>
      <c r="C829" s="15"/>
      <c r="D829" s="15"/>
      <c r="E829" s="379"/>
      <c r="F829" s="15"/>
      <c r="G829" s="250"/>
      <c r="H829" s="380"/>
      <c r="I829" s="15"/>
      <c r="J829" s="31"/>
      <c r="K829" s="243"/>
      <c r="L829" s="15"/>
      <c r="M829" s="243"/>
      <c r="N829" s="243"/>
      <c r="O829" s="243"/>
      <c r="P829" s="243"/>
      <c r="Q829" s="243"/>
    </row>
    <row r="830">
      <c r="A830" s="243"/>
      <c r="B830" s="15"/>
      <c r="C830" s="15"/>
      <c r="D830" s="15"/>
      <c r="E830" s="379"/>
      <c r="F830" s="15"/>
      <c r="G830" s="250"/>
      <c r="H830" s="380"/>
      <c r="I830" s="15"/>
      <c r="J830" s="31"/>
      <c r="K830" s="243"/>
      <c r="L830" s="15"/>
      <c r="M830" s="243"/>
      <c r="N830" s="243"/>
      <c r="O830" s="243"/>
      <c r="P830" s="243"/>
      <c r="Q830" s="243"/>
    </row>
    <row r="831">
      <c r="A831" s="243"/>
      <c r="B831" s="15"/>
      <c r="C831" s="15"/>
      <c r="D831" s="15"/>
      <c r="E831" s="379"/>
      <c r="F831" s="15"/>
      <c r="G831" s="250"/>
      <c r="H831" s="380"/>
      <c r="I831" s="15"/>
      <c r="J831" s="31"/>
      <c r="K831" s="243"/>
      <c r="L831" s="15"/>
      <c r="M831" s="243"/>
      <c r="N831" s="243"/>
      <c r="O831" s="243"/>
      <c r="P831" s="243"/>
      <c r="Q831" s="243"/>
    </row>
    <row r="832">
      <c r="A832" s="243"/>
      <c r="B832" s="15"/>
      <c r="C832" s="15"/>
      <c r="D832" s="15"/>
      <c r="E832" s="379"/>
      <c r="F832" s="15"/>
      <c r="G832" s="250"/>
      <c r="H832" s="380"/>
      <c r="I832" s="15"/>
      <c r="J832" s="31"/>
      <c r="K832" s="243"/>
      <c r="L832" s="15"/>
      <c r="M832" s="243"/>
      <c r="N832" s="243"/>
      <c r="O832" s="243"/>
      <c r="P832" s="243"/>
      <c r="Q832" s="243"/>
    </row>
    <row r="833">
      <c r="A833" s="243"/>
      <c r="B833" s="15"/>
      <c r="C833" s="15"/>
      <c r="D833" s="15"/>
      <c r="E833" s="379"/>
      <c r="F833" s="15"/>
      <c r="G833" s="250"/>
      <c r="H833" s="380"/>
      <c r="I833" s="15"/>
      <c r="J833" s="31"/>
      <c r="K833" s="243"/>
      <c r="L833" s="15"/>
      <c r="M833" s="243"/>
      <c r="N833" s="243"/>
      <c r="O833" s="243"/>
      <c r="P833" s="243"/>
      <c r="Q833" s="243"/>
    </row>
    <row r="834">
      <c r="A834" s="243"/>
      <c r="B834" s="15"/>
      <c r="C834" s="15"/>
      <c r="D834" s="15"/>
      <c r="E834" s="379"/>
      <c r="F834" s="15"/>
      <c r="G834" s="250"/>
      <c r="H834" s="380"/>
      <c r="I834" s="15"/>
      <c r="J834" s="31"/>
      <c r="K834" s="243"/>
      <c r="L834" s="15"/>
      <c r="M834" s="243"/>
      <c r="N834" s="243"/>
      <c r="O834" s="243"/>
      <c r="P834" s="243"/>
      <c r="Q834" s="243"/>
    </row>
    <row r="835">
      <c r="A835" s="243"/>
      <c r="B835" s="15"/>
      <c r="C835" s="15"/>
      <c r="D835" s="15"/>
      <c r="E835" s="379"/>
      <c r="F835" s="15"/>
      <c r="G835" s="250"/>
      <c r="H835" s="380"/>
      <c r="I835" s="15"/>
      <c r="J835" s="31"/>
      <c r="K835" s="243"/>
      <c r="L835" s="15"/>
      <c r="M835" s="243"/>
      <c r="N835" s="243"/>
      <c r="O835" s="243"/>
      <c r="P835" s="243"/>
      <c r="Q835" s="243"/>
    </row>
    <row r="836">
      <c r="A836" s="243"/>
      <c r="B836" s="15"/>
      <c r="C836" s="15"/>
      <c r="D836" s="15"/>
      <c r="E836" s="379"/>
      <c r="F836" s="15"/>
      <c r="G836" s="250"/>
      <c r="H836" s="380"/>
      <c r="I836" s="15"/>
      <c r="J836" s="31"/>
      <c r="K836" s="243"/>
      <c r="L836" s="15"/>
      <c r="M836" s="243"/>
      <c r="N836" s="243"/>
      <c r="O836" s="243"/>
      <c r="P836" s="243"/>
      <c r="Q836" s="243"/>
    </row>
    <row r="837">
      <c r="A837" s="243"/>
      <c r="B837" s="15"/>
      <c r="C837" s="15"/>
      <c r="D837" s="15"/>
      <c r="E837" s="379"/>
      <c r="F837" s="15"/>
      <c r="G837" s="250"/>
      <c r="H837" s="380"/>
      <c r="I837" s="15"/>
      <c r="J837" s="31"/>
      <c r="K837" s="243"/>
      <c r="L837" s="15"/>
      <c r="M837" s="243"/>
      <c r="N837" s="243"/>
      <c r="O837" s="243"/>
      <c r="P837" s="243"/>
      <c r="Q837" s="243"/>
    </row>
    <row r="838">
      <c r="A838" s="243"/>
      <c r="B838" s="15"/>
      <c r="C838" s="15"/>
      <c r="D838" s="15"/>
      <c r="E838" s="379"/>
      <c r="F838" s="15"/>
      <c r="G838" s="250"/>
      <c r="H838" s="380"/>
      <c r="I838" s="15"/>
      <c r="J838" s="31"/>
      <c r="K838" s="243"/>
      <c r="L838" s="15"/>
      <c r="M838" s="243"/>
      <c r="N838" s="243"/>
      <c r="O838" s="243"/>
      <c r="P838" s="243"/>
      <c r="Q838" s="243"/>
    </row>
    <row r="839">
      <c r="A839" s="243"/>
      <c r="B839" s="15"/>
      <c r="C839" s="15"/>
      <c r="D839" s="15"/>
      <c r="E839" s="379"/>
      <c r="F839" s="15"/>
      <c r="G839" s="250"/>
      <c r="H839" s="380"/>
      <c r="I839" s="15"/>
      <c r="J839" s="31"/>
      <c r="K839" s="243"/>
      <c r="L839" s="15"/>
      <c r="M839" s="243"/>
      <c r="N839" s="243"/>
      <c r="O839" s="243"/>
      <c r="P839" s="243"/>
      <c r="Q839" s="243"/>
    </row>
    <row r="840">
      <c r="A840" s="243"/>
      <c r="B840" s="15"/>
      <c r="C840" s="15"/>
      <c r="D840" s="15"/>
      <c r="E840" s="379"/>
      <c r="F840" s="15"/>
      <c r="G840" s="250"/>
      <c r="H840" s="380"/>
      <c r="I840" s="15"/>
      <c r="J840" s="31"/>
      <c r="K840" s="243"/>
      <c r="L840" s="15"/>
      <c r="M840" s="243"/>
      <c r="N840" s="243"/>
      <c r="O840" s="243"/>
      <c r="P840" s="243"/>
      <c r="Q840" s="243"/>
    </row>
    <row r="841">
      <c r="A841" s="243"/>
      <c r="B841" s="15"/>
      <c r="C841" s="15"/>
      <c r="D841" s="15"/>
      <c r="E841" s="379"/>
      <c r="F841" s="15"/>
      <c r="G841" s="250"/>
      <c r="H841" s="380"/>
      <c r="I841" s="15"/>
      <c r="J841" s="31"/>
      <c r="K841" s="243"/>
      <c r="L841" s="15"/>
      <c r="M841" s="243"/>
      <c r="N841" s="243"/>
      <c r="O841" s="243"/>
      <c r="P841" s="243"/>
      <c r="Q841" s="243"/>
    </row>
    <row r="842">
      <c r="A842" s="243"/>
      <c r="B842" s="15"/>
      <c r="C842" s="15"/>
      <c r="D842" s="15"/>
      <c r="E842" s="379"/>
      <c r="F842" s="15"/>
      <c r="G842" s="250"/>
      <c r="H842" s="380"/>
      <c r="I842" s="15"/>
      <c r="J842" s="31"/>
      <c r="K842" s="243"/>
      <c r="L842" s="15"/>
      <c r="M842" s="243"/>
      <c r="N842" s="243"/>
      <c r="O842" s="243"/>
      <c r="P842" s="243"/>
      <c r="Q842" s="243"/>
    </row>
    <row r="843">
      <c r="A843" s="243"/>
      <c r="B843" s="15"/>
      <c r="C843" s="15"/>
      <c r="D843" s="15"/>
      <c r="E843" s="379"/>
      <c r="F843" s="15"/>
      <c r="G843" s="250"/>
      <c r="H843" s="380"/>
      <c r="I843" s="15"/>
      <c r="J843" s="31"/>
      <c r="K843" s="243"/>
      <c r="L843" s="15"/>
      <c r="M843" s="243"/>
      <c r="N843" s="243"/>
      <c r="O843" s="243"/>
      <c r="P843" s="243"/>
      <c r="Q843" s="243"/>
    </row>
    <row r="844">
      <c r="A844" s="243"/>
      <c r="B844" s="15"/>
      <c r="C844" s="15"/>
      <c r="D844" s="15"/>
      <c r="E844" s="379"/>
      <c r="F844" s="15"/>
      <c r="G844" s="250"/>
      <c r="H844" s="380"/>
      <c r="I844" s="15"/>
      <c r="J844" s="31"/>
      <c r="K844" s="243"/>
      <c r="L844" s="15"/>
      <c r="M844" s="243"/>
      <c r="N844" s="243"/>
      <c r="O844" s="243"/>
      <c r="P844" s="243"/>
      <c r="Q844" s="243"/>
    </row>
    <row r="845">
      <c r="A845" s="243"/>
      <c r="B845" s="15"/>
      <c r="C845" s="15"/>
      <c r="D845" s="15"/>
      <c r="E845" s="379"/>
      <c r="F845" s="15"/>
      <c r="G845" s="250"/>
      <c r="H845" s="380"/>
      <c r="I845" s="15"/>
      <c r="J845" s="31"/>
      <c r="K845" s="243"/>
      <c r="L845" s="15"/>
      <c r="M845" s="243"/>
      <c r="N845" s="243"/>
      <c r="O845" s="243"/>
      <c r="P845" s="243"/>
      <c r="Q845" s="243"/>
    </row>
    <row r="846">
      <c r="A846" s="243"/>
      <c r="B846" s="15"/>
      <c r="C846" s="15"/>
      <c r="D846" s="15"/>
      <c r="E846" s="379"/>
      <c r="F846" s="15"/>
      <c r="G846" s="250"/>
      <c r="H846" s="380"/>
      <c r="I846" s="15"/>
      <c r="J846" s="31"/>
      <c r="K846" s="243"/>
      <c r="L846" s="15"/>
      <c r="M846" s="243"/>
      <c r="N846" s="243"/>
      <c r="O846" s="243"/>
      <c r="P846" s="243"/>
      <c r="Q846" s="243"/>
    </row>
    <row r="847">
      <c r="A847" s="243"/>
      <c r="B847" s="15"/>
      <c r="C847" s="15"/>
      <c r="D847" s="15"/>
      <c r="E847" s="379"/>
      <c r="F847" s="15"/>
      <c r="G847" s="250"/>
      <c r="H847" s="380"/>
      <c r="I847" s="15"/>
      <c r="J847" s="31"/>
      <c r="K847" s="243"/>
      <c r="L847" s="15"/>
      <c r="M847" s="243"/>
      <c r="N847" s="243"/>
      <c r="O847" s="243"/>
      <c r="P847" s="243"/>
      <c r="Q847" s="243"/>
    </row>
    <row r="848">
      <c r="A848" s="243"/>
      <c r="B848" s="15"/>
      <c r="C848" s="15"/>
      <c r="D848" s="15"/>
      <c r="E848" s="379"/>
      <c r="F848" s="15"/>
      <c r="G848" s="250"/>
      <c r="H848" s="380"/>
      <c r="I848" s="15"/>
      <c r="J848" s="31"/>
      <c r="K848" s="243"/>
      <c r="L848" s="15"/>
      <c r="M848" s="243"/>
      <c r="N848" s="243"/>
      <c r="O848" s="243"/>
      <c r="P848" s="243"/>
      <c r="Q848" s="243"/>
    </row>
    <row r="849">
      <c r="A849" s="243"/>
      <c r="B849" s="15"/>
      <c r="C849" s="15"/>
      <c r="D849" s="15"/>
      <c r="E849" s="379"/>
      <c r="F849" s="15"/>
      <c r="G849" s="250"/>
      <c r="H849" s="380"/>
      <c r="I849" s="15"/>
      <c r="J849" s="31"/>
      <c r="K849" s="243"/>
      <c r="L849" s="15"/>
      <c r="M849" s="243"/>
      <c r="N849" s="243"/>
      <c r="O849" s="243"/>
      <c r="P849" s="243"/>
      <c r="Q849" s="243"/>
    </row>
    <row r="850">
      <c r="A850" s="243"/>
      <c r="B850" s="15"/>
      <c r="C850" s="15"/>
      <c r="D850" s="15"/>
      <c r="E850" s="379"/>
      <c r="F850" s="15"/>
      <c r="G850" s="250"/>
      <c r="H850" s="380"/>
      <c r="I850" s="15"/>
      <c r="J850" s="31"/>
      <c r="K850" s="243"/>
      <c r="L850" s="15"/>
      <c r="M850" s="243"/>
      <c r="N850" s="243"/>
      <c r="O850" s="243"/>
      <c r="P850" s="243"/>
      <c r="Q850" s="243"/>
    </row>
    <row r="851">
      <c r="A851" s="243"/>
      <c r="B851" s="15"/>
      <c r="C851" s="15"/>
      <c r="D851" s="15"/>
      <c r="E851" s="379"/>
      <c r="F851" s="15"/>
      <c r="G851" s="250"/>
      <c r="H851" s="380"/>
      <c r="I851" s="15"/>
      <c r="J851" s="31"/>
      <c r="K851" s="243"/>
      <c r="L851" s="15"/>
      <c r="M851" s="243"/>
      <c r="N851" s="243"/>
      <c r="O851" s="243"/>
      <c r="P851" s="243"/>
      <c r="Q851" s="243"/>
    </row>
    <row r="852">
      <c r="A852" s="243"/>
      <c r="B852" s="15"/>
      <c r="C852" s="15"/>
      <c r="D852" s="15"/>
      <c r="E852" s="379"/>
      <c r="F852" s="15"/>
      <c r="G852" s="250"/>
      <c r="H852" s="380"/>
      <c r="I852" s="15"/>
      <c r="J852" s="31"/>
      <c r="K852" s="243"/>
      <c r="L852" s="15"/>
      <c r="M852" s="243"/>
      <c r="N852" s="243"/>
      <c r="O852" s="243"/>
      <c r="P852" s="243"/>
      <c r="Q852" s="243"/>
    </row>
    <row r="853">
      <c r="A853" s="243"/>
      <c r="B853" s="15"/>
      <c r="C853" s="15"/>
      <c r="D853" s="15"/>
      <c r="E853" s="379"/>
      <c r="F853" s="15"/>
      <c r="G853" s="250"/>
      <c r="H853" s="380"/>
      <c r="I853" s="15"/>
      <c r="J853" s="31"/>
      <c r="K853" s="243"/>
      <c r="L853" s="15"/>
      <c r="M853" s="243"/>
      <c r="N853" s="243"/>
      <c r="O853" s="243"/>
      <c r="P853" s="243"/>
      <c r="Q853" s="243"/>
    </row>
    <row r="854">
      <c r="A854" s="243"/>
      <c r="B854" s="15"/>
      <c r="C854" s="15"/>
      <c r="D854" s="15"/>
      <c r="E854" s="379"/>
      <c r="F854" s="15"/>
      <c r="G854" s="250"/>
      <c r="H854" s="380"/>
      <c r="I854" s="15"/>
      <c r="J854" s="31"/>
      <c r="K854" s="243"/>
      <c r="L854" s="15"/>
      <c r="M854" s="243"/>
      <c r="N854" s="243"/>
      <c r="O854" s="243"/>
      <c r="P854" s="243"/>
      <c r="Q854" s="243"/>
    </row>
    <row r="855">
      <c r="A855" s="243"/>
      <c r="B855" s="15"/>
      <c r="C855" s="15"/>
      <c r="D855" s="15"/>
      <c r="E855" s="379"/>
      <c r="F855" s="15"/>
      <c r="G855" s="250"/>
      <c r="H855" s="380"/>
      <c r="I855" s="15"/>
      <c r="J855" s="31"/>
      <c r="K855" s="243"/>
      <c r="L855" s="15"/>
      <c r="M855" s="243"/>
      <c r="N855" s="243"/>
      <c r="O855" s="243"/>
      <c r="P855" s="243"/>
      <c r="Q855" s="243"/>
    </row>
    <row r="856">
      <c r="A856" s="243"/>
      <c r="B856" s="15"/>
      <c r="C856" s="15"/>
      <c r="D856" s="15"/>
      <c r="E856" s="379"/>
      <c r="F856" s="15"/>
      <c r="G856" s="250"/>
      <c r="H856" s="380"/>
      <c r="I856" s="15"/>
      <c r="J856" s="31"/>
      <c r="K856" s="243"/>
      <c r="L856" s="15"/>
      <c r="M856" s="243"/>
      <c r="N856" s="243"/>
      <c r="O856" s="243"/>
      <c r="P856" s="243"/>
      <c r="Q856" s="243"/>
    </row>
    <row r="857">
      <c r="A857" s="243"/>
      <c r="B857" s="15"/>
      <c r="C857" s="15"/>
      <c r="D857" s="15"/>
      <c r="E857" s="379"/>
      <c r="F857" s="15"/>
      <c r="G857" s="250"/>
      <c r="H857" s="380"/>
      <c r="I857" s="15"/>
      <c r="J857" s="31"/>
      <c r="K857" s="243"/>
      <c r="L857" s="15"/>
      <c r="M857" s="243"/>
      <c r="N857" s="243"/>
      <c r="O857" s="243"/>
      <c r="P857" s="243"/>
      <c r="Q857" s="243"/>
    </row>
    <row r="858">
      <c r="A858" s="243"/>
      <c r="B858" s="15"/>
      <c r="C858" s="15"/>
      <c r="D858" s="15"/>
      <c r="E858" s="379"/>
      <c r="F858" s="15"/>
      <c r="G858" s="250"/>
      <c r="H858" s="380"/>
      <c r="I858" s="15"/>
      <c r="J858" s="31"/>
      <c r="K858" s="243"/>
      <c r="L858" s="15"/>
      <c r="M858" s="243"/>
      <c r="N858" s="243"/>
      <c r="O858" s="243"/>
      <c r="P858" s="243"/>
      <c r="Q858" s="243"/>
    </row>
    <row r="859">
      <c r="A859" s="243"/>
      <c r="B859" s="15"/>
      <c r="C859" s="15"/>
      <c r="D859" s="15"/>
      <c r="E859" s="379"/>
      <c r="F859" s="15"/>
      <c r="G859" s="250"/>
      <c r="H859" s="380"/>
      <c r="I859" s="15"/>
      <c r="J859" s="31"/>
      <c r="K859" s="243"/>
      <c r="L859" s="15"/>
      <c r="M859" s="243"/>
      <c r="N859" s="243"/>
      <c r="O859" s="243"/>
      <c r="P859" s="243"/>
      <c r="Q859" s="243"/>
    </row>
    <row r="860">
      <c r="A860" s="243"/>
      <c r="B860" s="15"/>
      <c r="C860" s="15"/>
      <c r="D860" s="15"/>
      <c r="E860" s="379"/>
      <c r="F860" s="15"/>
      <c r="G860" s="250"/>
      <c r="H860" s="380"/>
      <c r="I860" s="15"/>
      <c r="J860" s="31"/>
      <c r="K860" s="243"/>
      <c r="L860" s="15"/>
      <c r="M860" s="243"/>
      <c r="N860" s="243"/>
      <c r="O860" s="243"/>
      <c r="P860" s="243"/>
      <c r="Q860" s="243"/>
    </row>
    <row r="861">
      <c r="A861" s="243"/>
      <c r="B861" s="15"/>
      <c r="C861" s="15"/>
      <c r="D861" s="15"/>
      <c r="E861" s="379"/>
      <c r="F861" s="15"/>
      <c r="G861" s="250"/>
      <c r="H861" s="380"/>
      <c r="I861" s="15"/>
      <c r="J861" s="31"/>
      <c r="K861" s="243"/>
      <c r="L861" s="15"/>
      <c r="M861" s="243"/>
      <c r="N861" s="243"/>
      <c r="O861" s="243"/>
      <c r="P861" s="243"/>
      <c r="Q861" s="243"/>
    </row>
    <row r="862">
      <c r="A862" s="243"/>
      <c r="B862" s="15"/>
      <c r="C862" s="15"/>
      <c r="D862" s="15"/>
      <c r="E862" s="379"/>
      <c r="F862" s="15"/>
      <c r="G862" s="250"/>
      <c r="H862" s="380"/>
      <c r="I862" s="15"/>
      <c r="J862" s="31"/>
      <c r="K862" s="243"/>
      <c r="L862" s="15"/>
      <c r="M862" s="243"/>
      <c r="N862" s="243"/>
      <c r="O862" s="243"/>
      <c r="P862" s="243"/>
      <c r="Q862" s="243"/>
    </row>
    <row r="863">
      <c r="A863" s="243"/>
      <c r="B863" s="15"/>
      <c r="C863" s="15"/>
      <c r="D863" s="15"/>
      <c r="E863" s="379"/>
      <c r="F863" s="15"/>
      <c r="G863" s="250"/>
      <c r="H863" s="380"/>
      <c r="I863" s="15"/>
      <c r="J863" s="31"/>
      <c r="K863" s="243"/>
      <c r="L863" s="15"/>
      <c r="M863" s="243"/>
      <c r="N863" s="243"/>
      <c r="O863" s="243"/>
      <c r="P863" s="243"/>
      <c r="Q863" s="243"/>
    </row>
    <row r="864">
      <c r="A864" s="243"/>
      <c r="B864" s="15"/>
      <c r="C864" s="15"/>
      <c r="D864" s="15"/>
      <c r="E864" s="379"/>
      <c r="F864" s="15"/>
      <c r="G864" s="250"/>
      <c r="H864" s="380"/>
      <c r="I864" s="15"/>
      <c r="J864" s="31"/>
      <c r="K864" s="243"/>
      <c r="L864" s="15"/>
      <c r="M864" s="243"/>
      <c r="N864" s="243"/>
      <c r="O864" s="243"/>
      <c r="P864" s="243"/>
      <c r="Q864" s="243"/>
    </row>
    <row r="865">
      <c r="A865" s="243"/>
      <c r="B865" s="15"/>
      <c r="C865" s="15"/>
      <c r="D865" s="15"/>
      <c r="E865" s="379"/>
      <c r="F865" s="15"/>
      <c r="G865" s="250"/>
      <c r="H865" s="380"/>
      <c r="I865" s="15"/>
      <c r="J865" s="31"/>
      <c r="K865" s="243"/>
      <c r="L865" s="15"/>
      <c r="M865" s="243"/>
      <c r="N865" s="243"/>
      <c r="O865" s="243"/>
      <c r="P865" s="243"/>
      <c r="Q865" s="243"/>
    </row>
    <row r="866">
      <c r="A866" s="243"/>
      <c r="B866" s="15"/>
      <c r="C866" s="15"/>
      <c r="D866" s="15"/>
      <c r="E866" s="379"/>
      <c r="F866" s="15"/>
      <c r="G866" s="250"/>
      <c r="H866" s="380"/>
      <c r="I866" s="15"/>
      <c r="J866" s="31"/>
      <c r="K866" s="243"/>
      <c r="L866" s="15"/>
      <c r="M866" s="243"/>
      <c r="N866" s="243"/>
      <c r="O866" s="243"/>
      <c r="P866" s="243"/>
      <c r="Q866" s="243"/>
    </row>
    <row r="867">
      <c r="A867" s="243"/>
      <c r="B867" s="15"/>
      <c r="C867" s="15"/>
      <c r="D867" s="15"/>
      <c r="E867" s="379"/>
      <c r="F867" s="15"/>
      <c r="G867" s="250"/>
      <c r="H867" s="380"/>
      <c r="I867" s="15"/>
      <c r="J867" s="31"/>
      <c r="K867" s="243"/>
      <c r="L867" s="15"/>
      <c r="M867" s="243"/>
      <c r="N867" s="243"/>
      <c r="O867" s="243"/>
      <c r="P867" s="243"/>
      <c r="Q867" s="243"/>
    </row>
    <row r="868">
      <c r="A868" s="243"/>
      <c r="B868" s="15"/>
      <c r="C868" s="15"/>
      <c r="D868" s="15"/>
      <c r="E868" s="379"/>
      <c r="F868" s="15"/>
      <c r="G868" s="250"/>
      <c r="H868" s="380"/>
      <c r="I868" s="15"/>
      <c r="J868" s="31"/>
      <c r="K868" s="243"/>
      <c r="L868" s="15"/>
      <c r="M868" s="243"/>
      <c r="N868" s="243"/>
      <c r="O868" s="243"/>
      <c r="P868" s="243"/>
      <c r="Q868" s="243"/>
    </row>
    <row r="869">
      <c r="A869" s="243"/>
      <c r="B869" s="15"/>
      <c r="C869" s="15"/>
      <c r="D869" s="15"/>
      <c r="E869" s="379"/>
      <c r="F869" s="15"/>
      <c r="G869" s="250"/>
      <c r="H869" s="380"/>
      <c r="I869" s="15"/>
      <c r="J869" s="31"/>
      <c r="K869" s="243"/>
      <c r="L869" s="15"/>
      <c r="M869" s="243"/>
      <c r="N869" s="243"/>
      <c r="O869" s="243"/>
      <c r="P869" s="243"/>
      <c r="Q869" s="243"/>
    </row>
    <row r="870">
      <c r="A870" s="243"/>
      <c r="B870" s="15"/>
      <c r="C870" s="15"/>
      <c r="D870" s="15"/>
      <c r="E870" s="379"/>
      <c r="F870" s="15"/>
      <c r="G870" s="250"/>
      <c r="H870" s="380"/>
      <c r="I870" s="15"/>
      <c r="J870" s="31"/>
      <c r="K870" s="243"/>
      <c r="L870" s="15"/>
      <c r="M870" s="243"/>
      <c r="N870" s="243"/>
      <c r="O870" s="243"/>
      <c r="P870" s="243"/>
      <c r="Q870" s="243"/>
    </row>
    <row r="871">
      <c r="A871" s="243"/>
      <c r="B871" s="15"/>
      <c r="C871" s="15"/>
      <c r="D871" s="15"/>
      <c r="E871" s="379"/>
      <c r="F871" s="15"/>
      <c r="G871" s="250"/>
      <c r="H871" s="380"/>
      <c r="I871" s="15"/>
      <c r="J871" s="31"/>
      <c r="K871" s="243"/>
      <c r="L871" s="15"/>
      <c r="M871" s="243"/>
      <c r="N871" s="243"/>
      <c r="O871" s="243"/>
      <c r="P871" s="243"/>
      <c r="Q871" s="243"/>
    </row>
    <row r="872">
      <c r="A872" s="243"/>
      <c r="B872" s="15"/>
      <c r="C872" s="15"/>
      <c r="D872" s="15"/>
      <c r="E872" s="379"/>
      <c r="F872" s="15"/>
      <c r="G872" s="250"/>
      <c r="H872" s="380"/>
      <c r="I872" s="15"/>
      <c r="J872" s="31"/>
      <c r="K872" s="243"/>
      <c r="L872" s="15"/>
      <c r="M872" s="243"/>
      <c r="N872" s="243"/>
      <c r="O872" s="243"/>
      <c r="P872" s="243"/>
      <c r="Q872" s="243"/>
    </row>
    <row r="873">
      <c r="A873" s="243"/>
      <c r="B873" s="15"/>
      <c r="C873" s="15"/>
      <c r="D873" s="15"/>
      <c r="E873" s="379"/>
      <c r="F873" s="15"/>
      <c r="G873" s="250"/>
      <c r="H873" s="380"/>
      <c r="I873" s="15"/>
      <c r="J873" s="31"/>
      <c r="K873" s="243"/>
      <c r="L873" s="15"/>
      <c r="M873" s="243"/>
      <c r="N873" s="243"/>
      <c r="O873" s="243"/>
      <c r="P873" s="243"/>
      <c r="Q873" s="243"/>
    </row>
    <row r="874">
      <c r="A874" s="243"/>
      <c r="B874" s="15"/>
      <c r="C874" s="15"/>
      <c r="D874" s="15"/>
      <c r="E874" s="379"/>
      <c r="F874" s="15"/>
      <c r="G874" s="250"/>
      <c r="H874" s="380"/>
      <c r="I874" s="15"/>
      <c r="J874" s="31"/>
      <c r="K874" s="243"/>
      <c r="L874" s="15"/>
      <c r="M874" s="243"/>
      <c r="N874" s="243"/>
      <c r="O874" s="243"/>
      <c r="P874" s="243"/>
      <c r="Q874" s="243"/>
    </row>
    <row r="875">
      <c r="A875" s="243"/>
      <c r="B875" s="15"/>
      <c r="C875" s="15"/>
      <c r="D875" s="15"/>
      <c r="E875" s="379"/>
      <c r="F875" s="15"/>
      <c r="G875" s="250"/>
      <c r="H875" s="380"/>
      <c r="I875" s="15"/>
      <c r="J875" s="31"/>
      <c r="K875" s="243"/>
      <c r="L875" s="15"/>
      <c r="M875" s="243"/>
      <c r="N875" s="243"/>
      <c r="O875" s="243"/>
      <c r="P875" s="243"/>
      <c r="Q875" s="243"/>
    </row>
    <row r="876">
      <c r="A876" s="243"/>
      <c r="B876" s="15"/>
      <c r="C876" s="15"/>
      <c r="D876" s="15"/>
      <c r="E876" s="379"/>
      <c r="F876" s="15"/>
      <c r="G876" s="250"/>
      <c r="H876" s="380"/>
      <c r="I876" s="15"/>
      <c r="J876" s="31"/>
      <c r="K876" s="243"/>
      <c r="L876" s="15"/>
      <c r="M876" s="243"/>
      <c r="N876" s="243"/>
      <c r="O876" s="243"/>
      <c r="P876" s="243"/>
      <c r="Q876" s="243"/>
    </row>
    <row r="877">
      <c r="A877" s="243"/>
      <c r="B877" s="15"/>
      <c r="C877" s="15"/>
      <c r="D877" s="15"/>
      <c r="E877" s="379"/>
      <c r="F877" s="15"/>
      <c r="G877" s="250"/>
      <c r="H877" s="380"/>
      <c r="I877" s="15"/>
      <c r="J877" s="31"/>
      <c r="K877" s="243"/>
      <c r="L877" s="15"/>
      <c r="M877" s="243"/>
      <c r="N877" s="243"/>
      <c r="O877" s="243"/>
      <c r="P877" s="243"/>
      <c r="Q877" s="243"/>
    </row>
    <row r="878">
      <c r="A878" s="243"/>
      <c r="B878" s="15"/>
      <c r="C878" s="15"/>
      <c r="D878" s="15"/>
      <c r="E878" s="379"/>
      <c r="F878" s="15"/>
      <c r="G878" s="250"/>
      <c r="H878" s="380"/>
      <c r="I878" s="15"/>
      <c r="J878" s="31"/>
      <c r="K878" s="243"/>
      <c r="L878" s="15"/>
      <c r="M878" s="243"/>
      <c r="N878" s="243"/>
      <c r="O878" s="243"/>
      <c r="P878" s="243"/>
      <c r="Q878" s="243"/>
    </row>
    <row r="879">
      <c r="A879" s="243"/>
      <c r="B879" s="15"/>
      <c r="C879" s="15"/>
      <c r="D879" s="15"/>
      <c r="E879" s="379"/>
      <c r="F879" s="15"/>
      <c r="G879" s="250"/>
      <c r="H879" s="380"/>
      <c r="I879" s="15"/>
      <c r="J879" s="31"/>
      <c r="K879" s="243"/>
      <c r="L879" s="15"/>
      <c r="M879" s="243"/>
      <c r="N879" s="243"/>
      <c r="O879" s="243"/>
      <c r="P879" s="243"/>
      <c r="Q879" s="243"/>
    </row>
    <row r="880">
      <c r="A880" s="243"/>
      <c r="B880" s="15"/>
      <c r="C880" s="15"/>
      <c r="D880" s="15"/>
      <c r="E880" s="379"/>
      <c r="F880" s="15"/>
      <c r="G880" s="250"/>
      <c r="H880" s="380"/>
      <c r="I880" s="15"/>
      <c r="J880" s="31"/>
      <c r="K880" s="243"/>
      <c r="L880" s="15"/>
      <c r="M880" s="243"/>
      <c r="N880" s="243"/>
      <c r="O880" s="243"/>
      <c r="P880" s="243"/>
      <c r="Q880" s="243"/>
    </row>
    <row r="881">
      <c r="A881" s="243"/>
      <c r="B881" s="15"/>
      <c r="C881" s="15"/>
      <c r="D881" s="15"/>
      <c r="E881" s="379"/>
      <c r="F881" s="15"/>
      <c r="G881" s="250"/>
      <c r="H881" s="380"/>
      <c r="I881" s="15"/>
      <c r="J881" s="31"/>
      <c r="K881" s="243"/>
      <c r="L881" s="15"/>
      <c r="M881" s="243"/>
      <c r="N881" s="243"/>
      <c r="O881" s="243"/>
      <c r="P881" s="243"/>
      <c r="Q881" s="243"/>
    </row>
    <row r="882">
      <c r="A882" s="243"/>
      <c r="B882" s="15"/>
      <c r="C882" s="15"/>
      <c r="D882" s="15"/>
      <c r="E882" s="379"/>
      <c r="F882" s="15"/>
      <c r="G882" s="250"/>
      <c r="H882" s="380"/>
      <c r="I882" s="15"/>
      <c r="J882" s="31"/>
      <c r="K882" s="243"/>
      <c r="L882" s="15"/>
      <c r="M882" s="243"/>
      <c r="N882" s="243"/>
      <c r="O882" s="243"/>
      <c r="P882" s="243"/>
      <c r="Q882" s="243"/>
    </row>
    <row r="883">
      <c r="A883" s="243"/>
      <c r="B883" s="15"/>
      <c r="C883" s="15"/>
      <c r="D883" s="15"/>
      <c r="E883" s="379"/>
      <c r="F883" s="15"/>
      <c r="G883" s="250"/>
      <c r="H883" s="380"/>
      <c r="I883" s="15"/>
      <c r="J883" s="31"/>
      <c r="K883" s="243"/>
      <c r="L883" s="15"/>
      <c r="M883" s="243"/>
      <c r="N883" s="243"/>
      <c r="O883" s="243"/>
      <c r="P883" s="243"/>
      <c r="Q883" s="243"/>
    </row>
    <row r="884">
      <c r="A884" s="243"/>
      <c r="B884" s="15"/>
      <c r="C884" s="15"/>
      <c r="D884" s="15"/>
      <c r="E884" s="379"/>
      <c r="F884" s="15"/>
      <c r="G884" s="250"/>
      <c r="H884" s="380"/>
      <c r="I884" s="15"/>
      <c r="J884" s="31"/>
      <c r="K884" s="243"/>
      <c r="L884" s="15"/>
      <c r="M884" s="243"/>
      <c r="N884" s="243"/>
      <c r="O884" s="243"/>
      <c r="P884" s="243"/>
      <c r="Q884" s="243"/>
    </row>
    <row r="885">
      <c r="A885" s="243"/>
      <c r="B885" s="15"/>
      <c r="C885" s="15"/>
      <c r="D885" s="15"/>
      <c r="E885" s="379"/>
      <c r="F885" s="15"/>
      <c r="G885" s="250"/>
      <c r="H885" s="380"/>
      <c r="I885" s="15"/>
      <c r="J885" s="31"/>
      <c r="K885" s="243"/>
      <c r="L885" s="15"/>
      <c r="M885" s="243"/>
      <c r="N885" s="243"/>
      <c r="O885" s="243"/>
      <c r="P885" s="243"/>
      <c r="Q885" s="243"/>
    </row>
    <row r="886">
      <c r="A886" s="243"/>
      <c r="B886" s="15"/>
      <c r="C886" s="15"/>
      <c r="D886" s="15"/>
      <c r="E886" s="379"/>
      <c r="F886" s="15"/>
      <c r="G886" s="250"/>
      <c r="H886" s="380"/>
      <c r="I886" s="15"/>
      <c r="J886" s="31"/>
      <c r="K886" s="243"/>
      <c r="L886" s="15"/>
      <c r="M886" s="243"/>
      <c r="N886" s="243"/>
      <c r="O886" s="243"/>
      <c r="P886" s="243"/>
      <c r="Q886" s="243"/>
    </row>
    <row r="887">
      <c r="A887" s="243"/>
      <c r="B887" s="15"/>
      <c r="C887" s="15"/>
      <c r="D887" s="15"/>
      <c r="E887" s="379"/>
      <c r="F887" s="15"/>
      <c r="G887" s="250"/>
      <c r="H887" s="380"/>
      <c r="I887" s="15"/>
      <c r="J887" s="31"/>
      <c r="K887" s="243"/>
      <c r="L887" s="15"/>
      <c r="M887" s="243"/>
      <c r="N887" s="243"/>
      <c r="O887" s="243"/>
      <c r="P887" s="243"/>
      <c r="Q887" s="243"/>
    </row>
    <row r="888">
      <c r="A888" s="243"/>
      <c r="B888" s="15"/>
      <c r="C888" s="15"/>
      <c r="D888" s="15"/>
      <c r="E888" s="379"/>
      <c r="F888" s="15"/>
      <c r="G888" s="250"/>
      <c r="H888" s="380"/>
      <c r="I888" s="15"/>
      <c r="J888" s="31"/>
      <c r="K888" s="243"/>
      <c r="L888" s="15"/>
      <c r="M888" s="243"/>
      <c r="N888" s="243"/>
      <c r="O888" s="243"/>
      <c r="P888" s="243"/>
      <c r="Q888" s="243"/>
    </row>
    <row r="889">
      <c r="A889" s="243"/>
      <c r="B889" s="15"/>
      <c r="C889" s="15"/>
      <c r="D889" s="15"/>
      <c r="E889" s="379"/>
      <c r="F889" s="15"/>
      <c r="G889" s="250"/>
      <c r="H889" s="380"/>
      <c r="I889" s="15"/>
      <c r="J889" s="31"/>
      <c r="K889" s="243"/>
      <c r="L889" s="15"/>
      <c r="M889" s="243"/>
      <c r="N889" s="243"/>
      <c r="O889" s="243"/>
      <c r="P889" s="243"/>
      <c r="Q889" s="243"/>
    </row>
    <row r="890">
      <c r="A890" s="243"/>
      <c r="B890" s="15"/>
      <c r="C890" s="15"/>
      <c r="D890" s="15"/>
      <c r="E890" s="379"/>
      <c r="F890" s="15"/>
      <c r="G890" s="250"/>
      <c r="H890" s="380"/>
      <c r="I890" s="15"/>
      <c r="J890" s="31"/>
      <c r="K890" s="243"/>
      <c r="L890" s="15"/>
      <c r="M890" s="243"/>
      <c r="N890" s="243"/>
      <c r="O890" s="243"/>
      <c r="P890" s="243"/>
      <c r="Q890" s="243"/>
    </row>
    <row r="891">
      <c r="A891" s="243"/>
      <c r="B891" s="15"/>
      <c r="C891" s="15"/>
      <c r="D891" s="15"/>
      <c r="E891" s="379"/>
      <c r="F891" s="15"/>
      <c r="G891" s="250"/>
      <c r="H891" s="380"/>
      <c r="I891" s="15"/>
      <c r="J891" s="31"/>
      <c r="K891" s="243"/>
      <c r="L891" s="15"/>
      <c r="M891" s="243"/>
      <c r="N891" s="243"/>
      <c r="O891" s="243"/>
      <c r="P891" s="243"/>
      <c r="Q891" s="243"/>
    </row>
    <row r="892">
      <c r="A892" s="243"/>
      <c r="B892" s="15"/>
      <c r="C892" s="15"/>
      <c r="D892" s="15"/>
      <c r="E892" s="379"/>
      <c r="F892" s="15"/>
      <c r="G892" s="250"/>
      <c r="H892" s="380"/>
      <c r="I892" s="15"/>
      <c r="J892" s="31"/>
      <c r="K892" s="243"/>
      <c r="L892" s="15"/>
      <c r="M892" s="243"/>
      <c r="N892" s="243"/>
      <c r="O892" s="243"/>
      <c r="P892" s="243"/>
      <c r="Q892" s="243"/>
    </row>
    <row r="893">
      <c r="A893" s="243"/>
      <c r="B893" s="15"/>
      <c r="C893" s="15"/>
      <c r="D893" s="15"/>
      <c r="E893" s="379"/>
      <c r="F893" s="15"/>
      <c r="G893" s="250"/>
      <c r="H893" s="380"/>
      <c r="I893" s="15"/>
      <c r="J893" s="31"/>
      <c r="K893" s="243"/>
      <c r="L893" s="15"/>
      <c r="M893" s="243"/>
      <c r="N893" s="243"/>
      <c r="O893" s="243"/>
      <c r="P893" s="243"/>
      <c r="Q893" s="243"/>
    </row>
    <row r="894">
      <c r="A894" s="243"/>
      <c r="B894" s="15"/>
      <c r="C894" s="15"/>
      <c r="D894" s="15"/>
      <c r="E894" s="379"/>
      <c r="F894" s="15"/>
      <c r="G894" s="250"/>
      <c r="H894" s="380"/>
      <c r="I894" s="15"/>
      <c r="J894" s="31"/>
      <c r="K894" s="243"/>
      <c r="L894" s="15"/>
      <c r="M894" s="243"/>
      <c r="N894" s="243"/>
      <c r="O894" s="243"/>
      <c r="P894" s="243"/>
      <c r="Q894" s="243"/>
    </row>
    <row r="895">
      <c r="A895" s="243"/>
      <c r="B895" s="15"/>
      <c r="C895" s="15"/>
      <c r="D895" s="15"/>
      <c r="E895" s="379"/>
      <c r="F895" s="15"/>
      <c r="G895" s="250"/>
      <c r="H895" s="380"/>
      <c r="I895" s="15"/>
      <c r="J895" s="31"/>
      <c r="K895" s="243"/>
      <c r="L895" s="15"/>
      <c r="M895" s="243"/>
      <c r="N895" s="243"/>
      <c r="O895" s="243"/>
      <c r="P895" s="243"/>
      <c r="Q895" s="243"/>
    </row>
    <row r="896">
      <c r="A896" s="243"/>
      <c r="B896" s="15"/>
      <c r="C896" s="15"/>
      <c r="D896" s="15"/>
      <c r="E896" s="379"/>
      <c r="F896" s="15"/>
      <c r="G896" s="250"/>
      <c r="H896" s="380"/>
      <c r="I896" s="15"/>
      <c r="J896" s="31"/>
      <c r="K896" s="243"/>
      <c r="L896" s="15"/>
      <c r="M896" s="243"/>
      <c r="N896" s="243"/>
      <c r="O896" s="243"/>
      <c r="P896" s="243"/>
      <c r="Q896" s="243"/>
    </row>
    <row r="897">
      <c r="A897" s="243"/>
      <c r="B897" s="15"/>
      <c r="C897" s="15"/>
      <c r="D897" s="15"/>
      <c r="E897" s="379"/>
      <c r="F897" s="15"/>
      <c r="G897" s="250"/>
      <c r="H897" s="380"/>
      <c r="I897" s="15"/>
      <c r="J897" s="31"/>
      <c r="K897" s="243"/>
      <c r="L897" s="15"/>
      <c r="M897" s="243"/>
      <c r="N897" s="243"/>
      <c r="O897" s="243"/>
      <c r="P897" s="243"/>
      <c r="Q897" s="243"/>
    </row>
    <row r="898">
      <c r="A898" s="243"/>
      <c r="B898" s="15"/>
      <c r="C898" s="15"/>
      <c r="D898" s="15"/>
      <c r="E898" s="379"/>
      <c r="F898" s="15"/>
      <c r="G898" s="250"/>
      <c r="H898" s="380"/>
      <c r="I898" s="15"/>
      <c r="J898" s="31"/>
      <c r="K898" s="243"/>
      <c r="L898" s="15"/>
      <c r="M898" s="243"/>
      <c r="N898" s="243"/>
      <c r="O898" s="243"/>
      <c r="P898" s="243"/>
      <c r="Q898" s="243"/>
    </row>
    <row r="899">
      <c r="A899" s="243"/>
      <c r="B899" s="15"/>
      <c r="C899" s="15"/>
      <c r="D899" s="15"/>
      <c r="E899" s="379"/>
      <c r="F899" s="15"/>
      <c r="G899" s="250"/>
      <c r="H899" s="380"/>
      <c r="I899" s="15"/>
      <c r="J899" s="31"/>
      <c r="K899" s="243"/>
      <c r="L899" s="15"/>
      <c r="M899" s="243"/>
      <c r="N899" s="243"/>
      <c r="O899" s="243"/>
      <c r="P899" s="243"/>
      <c r="Q899" s="243"/>
    </row>
    <row r="900">
      <c r="A900" s="243"/>
      <c r="B900" s="15"/>
      <c r="C900" s="15"/>
      <c r="D900" s="15"/>
      <c r="E900" s="379"/>
      <c r="F900" s="15"/>
      <c r="G900" s="250"/>
      <c r="H900" s="380"/>
      <c r="I900" s="15"/>
      <c r="J900" s="31"/>
      <c r="K900" s="243"/>
      <c r="L900" s="15"/>
      <c r="M900" s="243"/>
      <c r="N900" s="243"/>
      <c r="O900" s="243"/>
      <c r="P900" s="243"/>
      <c r="Q900" s="243"/>
    </row>
    <row r="901">
      <c r="A901" s="243"/>
      <c r="B901" s="15"/>
      <c r="C901" s="15"/>
      <c r="D901" s="15"/>
      <c r="E901" s="379"/>
      <c r="F901" s="15"/>
      <c r="G901" s="250"/>
      <c r="H901" s="380"/>
      <c r="I901" s="15"/>
      <c r="J901" s="31"/>
      <c r="K901" s="243"/>
      <c r="L901" s="15"/>
      <c r="M901" s="243"/>
      <c r="N901" s="243"/>
      <c r="O901" s="243"/>
      <c r="P901" s="243"/>
      <c r="Q901" s="243"/>
    </row>
    <row r="902">
      <c r="A902" s="243"/>
      <c r="B902" s="15"/>
      <c r="C902" s="15"/>
      <c r="D902" s="15"/>
      <c r="E902" s="379"/>
      <c r="F902" s="15"/>
      <c r="G902" s="250"/>
      <c r="H902" s="380"/>
      <c r="I902" s="15"/>
      <c r="J902" s="31"/>
      <c r="K902" s="243"/>
      <c r="L902" s="15"/>
      <c r="M902" s="243"/>
      <c r="N902" s="243"/>
      <c r="O902" s="243"/>
      <c r="P902" s="243"/>
      <c r="Q902" s="243"/>
    </row>
    <row r="903">
      <c r="A903" s="243"/>
      <c r="B903" s="15"/>
      <c r="C903" s="15"/>
      <c r="D903" s="15"/>
      <c r="E903" s="379"/>
      <c r="F903" s="15"/>
      <c r="G903" s="250"/>
      <c r="H903" s="380"/>
      <c r="I903" s="15"/>
      <c r="J903" s="31"/>
      <c r="K903" s="243"/>
      <c r="L903" s="15"/>
      <c r="M903" s="243"/>
      <c r="N903" s="243"/>
      <c r="O903" s="243"/>
      <c r="P903" s="243"/>
      <c r="Q903" s="243"/>
    </row>
    <row r="904">
      <c r="A904" s="243"/>
      <c r="B904" s="15"/>
      <c r="C904" s="15"/>
      <c r="D904" s="15"/>
      <c r="E904" s="379"/>
      <c r="F904" s="15"/>
      <c r="G904" s="250"/>
      <c r="H904" s="380"/>
      <c r="I904" s="15"/>
      <c r="J904" s="31"/>
      <c r="K904" s="243"/>
      <c r="L904" s="15"/>
      <c r="M904" s="243"/>
      <c r="N904" s="243"/>
      <c r="O904" s="243"/>
      <c r="P904" s="243"/>
      <c r="Q904" s="243"/>
    </row>
    <row r="905">
      <c r="A905" s="243"/>
      <c r="B905" s="15"/>
      <c r="C905" s="15"/>
      <c r="D905" s="15"/>
      <c r="E905" s="379"/>
      <c r="F905" s="15"/>
      <c r="G905" s="250"/>
      <c r="H905" s="380"/>
      <c r="I905" s="15"/>
      <c r="J905" s="31"/>
      <c r="K905" s="243"/>
      <c r="L905" s="15"/>
      <c r="M905" s="243"/>
      <c r="N905" s="243"/>
      <c r="O905" s="243"/>
      <c r="P905" s="243"/>
      <c r="Q905" s="243"/>
    </row>
    <row r="906">
      <c r="A906" s="243"/>
      <c r="B906" s="15"/>
      <c r="C906" s="15"/>
      <c r="D906" s="15"/>
      <c r="E906" s="379"/>
      <c r="F906" s="15"/>
      <c r="G906" s="250"/>
      <c r="H906" s="380"/>
      <c r="I906" s="15"/>
      <c r="J906" s="31"/>
      <c r="K906" s="243"/>
      <c r="L906" s="15"/>
      <c r="M906" s="243"/>
      <c r="N906" s="243"/>
      <c r="O906" s="243"/>
      <c r="P906" s="243"/>
      <c r="Q906" s="243"/>
    </row>
    <row r="907">
      <c r="A907" s="243"/>
      <c r="B907" s="15"/>
      <c r="C907" s="15"/>
      <c r="D907" s="15"/>
      <c r="E907" s="379"/>
      <c r="F907" s="15"/>
      <c r="G907" s="250"/>
      <c r="H907" s="380"/>
      <c r="I907" s="15"/>
      <c r="J907" s="31"/>
      <c r="K907" s="243"/>
      <c r="L907" s="15"/>
      <c r="M907" s="243"/>
      <c r="N907" s="243"/>
      <c r="O907" s="243"/>
      <c r="P907" s="243"/>
      <c r="Q907" s="243"/>
    </row>
    <row r="908">
      <c r="A908" s="243"/>
      <c r="B908" s="15"/>
      <c r="C908" s="15"/>
      <c r="D908" s="15"/>
      <c r="E908" s="379"/>
      <c r="F908" s="15"/>
      <c r="G908" s="250"/>
      <c r="H908" s="380"/>
      <c r="I908" s="15"/>
      <c r="J908" s="31"/>
      <c r="K908" s="243"/>
      <c r="L908" s="15"/>
      <c r="M908" s="243"/>
      <c r="N908" s="243"/>
      <c r="O908" s="243"/>
      <c r="P908" s="243"/>
      <c r="Q908" s="243"/>
    </row>
    <row r="909">
      <c r="A909" s="243"/>
      <c r="B909" s="15"/>
      <c r="C909" s="15"/>
      <c r="D909" s="15"/>
      <c r="E909" s="379"/>
      <c r="F909" s="15"/>
      <c r="G909" s="250"/>
      <c r="H909" s="380"/>
      <c r="I909" s="15"/>
      <c r="J909" s="31"/>
      <c r="K909" s="243"/>
      <c r="L909" s="15"/>
      <c r="M909" s="243"/>
      <c r="N909" s="243"/>
      <c r="O909" s="243"/>
      <c r="P909" s="243"/>
      <c r="Q909" s="243"/>
    </row>
    <row r="910">
      <c r="A910" s="243"/>
      <c r="B910" s="15"/>
      <c r="C910" s="15"/>
      <c r="D910" s="15"/>
      <c r="E910" s="379"/>
      <c r="F910" s="15"/>
      <c r="G910" s="250"/>
      <c r="H910" s="380"/>
      <c r="I910" s="15"/>
      <c r="J910" s="31"/>
      <c r="K910" s="243"/>
      <c r="L910" s="15"/>
      <c r="M910" s="243"/>
      <c r="N910" s="243"/>
      <c r="O910" s="243"/>
      <c r="P910" s="243"/>
      <c r="Q910" s="243"/>
    </row>
    <row r="911">
      <c r="A911" s="243"/>
      <c r="B911" s="15"/>
      <c r="C911" s="15"/>
      <c r="D911" s="15"/>
      <c r="E911" s="379"/>
      <c r="F911" s="15"/>
      <c r="G911" s="250"/>
      <c r="H911" s="380"/>
      <c r="I911" s="15"/>
      <c r="J911" s="31"/>
      <c r="K911" s="243"/>
      <c r="L911" s="15"/>
      <c r="M911" s="243"/>
      <c r="N911" s="243"/>
      <c r="O911" s="243"/>
      <c r="P911" s="243"/>
      <c r="Q911" s="243"/>
    </row>
    <row r="912">
      <c r="A912" s="243"/>
      <c r="B912" s="15"/>
      <c r="C912" s="15"/>
      <c r="D912" s="15"/>
      <c r="E912" s="379"/>
      <c r="F912" s="15"/>
      <c r="G912" s="250"/>
      <c r="H912" s="380"/>
      <c r="I912" s="15"/>
      <c r="J912" s="31"/>
      <c r="K912" s="243"/>
      <c r="L912" s="15"/>
      <c r="M912" s="243"/>
      <c r="N912" s="243"/>
      <c r="O912" s="243"/>
      <c r="P912" s="243"/>
      <c r="Q912" s="243"/>
    </row>
    <row r="913">
      <c r="A913" s="243"/>
      <c r="B913" s="15"/>
      <c r="C913" s="15"/>
      <c r="D913" s="15"/>
      <c r="E913" s="379"/>
      <c r="F913" s="15"/>
      <c r="G913" s="250"/>
      <c r="H913" s="380"/>
      <c r="I913" s="15"/>
      <c r="J913" s="31"/>
      <c r="K913" s="243"/>
      <c r="L913" s="15"/>
      <c r="M913" s="243"/>
      <c r="N913" s="243"/>
      <c r="O913" s="243"/>
      <c r="P913" s="243"/>
      <c r="Q913" s="243"/>
    </row>
    <row r="914">
      <c r="A914" s="243"/>
      <c r="B914" s="15"/>
      <c r="C914" s="15"/>
      <c r="D914" s="15"/>
      <c r="E914" s="379"/>
      <c r="F914" s="15"/>
      <c r="G914" s="250"/>
      <c r="H914" s="380"/>
      <c r="I914" s="15"/>
      <c r="J914" s="31"/>
      <c r="K914" s="243"/>
      <c r="L914" s="15"/>
      <c r="M914" s="243"/>
      <c r="N914" s="243"/>
      <c r="O914" s="243"/>
      <c r="P914" s="243"/>
      <c r="Q914" s="243"/>
    </row>
    <row r="915">
      <c r="A915" s="243"/>
      <c r="B915" s="15"/>
      <c r="C915" s="15"/>
      <c r="D915" s="15"/>
      <c r="E915" s="379"/>
      <c r="F915" s="15"/>
      <c r="G915" s="250"/>
      <c r="H915" s="380"/>
      <c r="I915" s="15"/>
      <c r="J915" s="31"/>
      <c r="K915" s="243"/>
      <c r="L915" s="15"/>
      <c r="M915" s="243"/>
      <c r="N915" s="243"/>
      <c r="O915" s="243"/>
      <c r="P915" s="243"/>
      <c r="Q915" s="243"/>
    </row>
    <row r="916">
      <c r="A916" s="243"/>
      <c r="B916" s="15"/>
      <c r="C916" s="15"/>
      <c r="D916" s="15"/>
      <c r="E916" s="379"/>
      <c r="F916" s="15"/>
      <c r="G916" s="250"/>
      <c r="H916" s="380"/>
      <c r="I916" s="15"/>
      <c r="J916" s="31"/>
      <c r="K916" s="243"/>
      <c r="L916" s="15"/>
      <c r="M916" s="243"/>
      <c r="N916" s="243"/>
      <c r="O916" s="243"/>
      <c r="P916" s="243"/>
      <c r="Q916" s="243"/>
    </row>
    <row r="917">
      <c r="A917" s="243"/>
      <c r="B917" s="15"/>
      <c r="C917" s="15"/>
      <c r="D917" s="15"/>
      <c r="E917" s="379"/>
      <c r="F917" s="15"/>
      <c r="G917" s="250"/>
      <c r="H917" s="380"/>
      <c r="I917" s="15"/>
      <c r="J917" s="31"/>
      <c r="K917" s="243"/>
      <c r="L917" s="15"/>
      <c r="M917" s="243"/>
      <c r="N917" s="243"/>
      <c r="O917" s="243"/>
      <c r="P917" s="243"/>
      <c r="Q917" s="243"/>
    </row>
    <row r="918">
      <c r="A918" s="243"/>
      <c r="B918" s="15"/>
      <c r="C918" s="15"/>
      <c r="D918" s="15"/>
      <c r="E918" s="379"/>
      <c r="F918" s="15"/>
      <c r="G918" s="250"/>
      <c r="H918" s="380"/>
      <c r="I918" s="15"/>
      <c r="J918" s="31"/>
      <c r="K918" s="243"/>
      <c r="L918" s="15"/>
      <c r="M918" s="243"/>
      <c r="N918" s="243"/>
      <c r="O918" s="243"/>
      <c r="P918" s="243"/>
      <c r="Q918" s="243"/>
    </row>
    <row r="919">
      <c r="A919" s="243"/>
      <c r="B919" s="15"/>
      <c r="C919" s="15"/>
      <c r="D919" s="15"/>
      <c r="E919" s="379"/>
      <c r="F919" s="15"/>
      <c r="G919" s="250"/>
      <c r="H919" s="380"/>
      <c r="I919" s="15"/>
      <c r="J919" s="31"/>
      <c r="K919" s="243"/>
      <c r="L919" s="15"/>
      <c r="M919" s="243"/>
      <c r="N919" s="243"/>
      <c r="O919" s="243"/>
      <c r="P919" s="243"/>
      <c r="Q919" s="243"/>
    </row>
    <row r="920">
      <c r="A920" s="243"/>
      <c r="B920" s="15"/>
      <c r="C920" s="15"/>
      <c r="D920" s="15"/>
      <c r="E920" s="379"/>
      <c r="F920" s="15"/>
      <c r="G920" s="250"/>
      <c r="H920" s="380"/>
      <c r="I920" s="15"/>
      <c r="J920" s="31"/>
      <c r="K920" s="243"/>
      <c r="L920" s="15"/>
      <c r="M920" s="243"/>
      <c r="N920" s="243"/>
      <c r="O920" s="243"/>
      <c r="P920" s="243"/>
      <c r="Q920" s="243"/>
    </row>
    <row r="921">
      <c r="A921" s="243"/>
      <c r="B921" s="15"/>
      <c r="C921" s="15"/>
      <c r="D921" s="15"/>
      <c r="E921" s="379"/>
      <c r="F921" s="15"/>
      <c r="G921" s="250"/>
      <c r="H921" s="380"/>
      <c r="I921" s="15"/>
      <c r="J921" s="31"/>
      <c r="K921" s="243"/>
      <c r="L921" s="15"/>
      <c r="M921" s="243"/>
      <c r="N921" s="243"/>
      <c r="O921" s="243"/>
      <c r="P921" s="243"/>
      <c r="Q921" s="243"/>
    </row>
    <row r="922">
      <c r="A922" s="243"/>
      <c r="B922" s="15"/>
      <c r="C922" s="15"/>
      <c r="D922" s="15"/>
      <c r="E922" s="379"/>
      <c r="F922" s="15"/>
      <c r="G922" s="250"/>
      <c r="H922" s="380"/>
      <c r="I922" s="15"/>
      <c r="J922" s="31"/>
      <c r="K922" s="243"/>
      <c r="L922" s="15"/>
      <c r="M922" s="243"/>
      <c r="N922" s="243"/>
      <c r="O922" s="243"/>
      <c r="P922" s="243"/>
      <c r="Q922" s="243"/>
    </row>
    <row r="923">
      <c r="A923" s="243"/>
      <c r="B923" s="15"/>
      <c r="C923" s="15"/>
      <c r="D923" s="15"/>
      <c r="E923" s="379"/>
      <c r="F923" s="15"/>
      <c r="G923" s="250"/>
      <c r="H923" s="380"/>
      <c r="I923" s="15"/>
      <c r="J923" s="31"/>
      <c r="K923" s="243"/>
      <c r="L923" s="15"/>
      <c r="M923" s="243"/>
      <c r="N923" s="243"/>
      <c r="O923" s="243"/>
      <c r="P923" s="243"/>
      <c r="Q923" s="243"/>
    </row>
    <row r="924">
      <c r="A924" s="243"/>
      <c r="B924" s="15"/>
      <c r="C924" s="15"/>
      <c r="D924" s="15"/>
      <c r="E924" s="379"/>
      <c r="F924" s="15"/>
      <c r="G924" s="250"/>
      <c r="H924" s="380"/>
      <c r="I924" s="15"/>
      <c r="J924" s="31"/>
      <c r="K924" s="243"/>
      <c r="L924" s="15"/>
      <c r="M924" s="243"/>
      <c r="N924" s="243"/>
      <c r="O924" s="243"/>
      <c r="P924" s="243"/>
      <c r="Q924" s="243"/>
    </row>
    <row r="925">
      <c r="A925" s="243"/>
      <c r="B925" s="15"/>
      <c r="C925" s="15"/>
      <c r="D925" s="15"/>
      <c r="E925" s="379"/>
      <c r="F925" s="15"/>
      <c r="G925" s="250"/>
      <c r="H925" s="380"/>
      <c r="I925" s="15"/>
      <c r="J925" s="31"/>
      <c r="K925" s="243"/>
      <c r="L925" s="15"/>
      <c r="M925" s="243"/>
      <c r="N925" s="243"/>
      <c r="O925" s="243"/>
      <c r="P925" s="243"/>
      <c r="Q925" s="243"/>
    </row>
    <row r="926">
      <c r="A926" s="243"/>
      <c r="B926" s="15"/>
      <c r="C926" s="15"/>
      <c r="D926" s="15"/>
      <c r="E926" s="379"/>
      <c r="F926" s="15"/>
      <c r="G926" s="250"/>
      <c r="H926" s="380"/>
      <c r="I926" s="15"/>
      <c r="J926" s="31"/>
      <c r="K926" s="243"/>
      <c r="L926" s="15"/>
      <c r="M926" s="243"/>
      <c r="N926" s="243"/>
      <c r="O926" s="243"/>
      <c r="P926" s="243"/>
      <c r="Q926" s="243"/>
    </row>
    <row r="927">
      <c r="A927" s="243"/>
      <c r="B927" s="15"/>
      <c r="C927" s="15"/>
      <c r="D927" s="15"/>
      <c r="E927" s="379"/>
      <c r="F927" s="15"/>
      <c r="G927" s="250"/>
      <c r="H927" s="380"/>
      <c r="I927" s="15"/>
      <c r="J927" s="31"/>
      <c r="K927" s="243"/>
      <c r="L927" s="15"/>
      <c r="M927" s="243"/>
      <c r="N927" s="243"/>
      <c r="O927" s="243"/>
      <c r="P927" s="243"/>
      <c r="Q927" s="243"/>
    </row>
    <row r="928">
      <c r="A928" s="243"/>
      <c r="B928" s="15"/>
      <c r="C928" s="15"/>
      <c r="D928" s="15"/>
      <c r="E928" s="379"/>
      <c r="F928" s="15"/>
      <c r="G928" s="250"/>
      <c r="H928" s="380"/>
      <c r="I928" s="15"/>
      <c r="J928" s="31"/>
      <c r="K928" s="243"/>
      <c r="L928" s="15"/>
      <c r="M928" s="243"/>
      <c r="N928" s="243"/>
      <c r="O928" s="243"/>
      <c r="P928" s="243"/>
      <c r="Q928" s="243"/>
    </row>
    <row r="929">
      <c r="A929" s="243"/>
      <c r="B929" s="15"/>
      <c r="C929" s="15"/>
      <c r="D929" s="15"/>
      <c r="E929" s="379"/>
      <c r="F929" s="15"/>
      <c r="G929" s="250"/>
      <c r="H929" s="380"/>
      <c r="I929" s="15"/>
      <c r="J929" s="31"/>
      <c r="K929" s="243"/>
      <c r="L929" s="15"/>
      <c r="M929" s="243"/>
      <c r="N929" s="243"/>
      <c r="O929" s="243"/>
      <c r="P929" s="243"/>
      <c r="Q929" s="243"/>
    </row>
    <row r="930">
      <c r="A930" s="243"/>
      <c r="B930" s="15"/>
      <c r="C930" s="15"/>
      <c r="D930" s="15"/>
      <c r="E930" s="379"/>
      <c r="F930" s="15"/>
      <c r="G930" s="250"/>
      <c r="H930" s="380"/>
      <c r="I930" s="15"/>
      <c r="J930" s="31"/>
      <c r="K930" s="243"/>
      <c r="L930" s="15"/>
      <c r="M930" s="243"/>
      <c r="N930" s="243"/>
      <c r="O930" s="243"/>
      <c r="P930" s="243"/>
      <c r="Q930" s="243"/>
    </row>
    <row r="931">
      <c r="A931" s="243"/>
      <c r="B931" s="15"/>
      <c r="C931" s="15"/>
      <c r="D931" s="15"/>
      <c r="E931" s="379"/>
      <c r="F931" s="15"/>
      <c r="G931" s="250"/>
      <c r="H931" s="380"/>
      <c r="I931" s="15"/>
      <c r="J931" s="31"/>
      <c r="K931" s="243"/>
      <c r="L931" s="15"/>
      <c r="M931" s="243"/>
      <c r="N931" s="243"/>
      <c r="O931" s="243"/>
      <c r="P931" s="243"/>
      <c r="Q931" s="243"/>
    </row>
    <row r="932">
      <c r="A932" s="243"/>
      <c r="B932" s="15"/>
      <c r="C932" s="15"/>
      <c r="D932" s="15"/>
      <c r="E932" s="379"/>
      <c r="F932" s="15"/>
      <c r="G932" s="250"/>
      <c r="H932" s="380"/>
      <c r="I932" s="15"/>
      <c r="J932" s="31"/>
      <c r="K932" s="243"/>
      <c r="L932" s="15"/>
      <c r="M932" s="243"/>
      <c r="N932" s="243"/>
      <c r="O932" s="243"/>
      <c r="P932" s="243"/>
      <c r="Q932" s="243"/>
    </row>
    <row r="933">
      <c r="A933" s="243"/>
      <c r="B933" s="15"/>
      <c r="C933" s="15"/>
      <c r="D933" s="15"/>
      <c r="E933" s="379"/>
      <c r="F933" s="15"/>
      <c r="G933" s="250"/>
      <c r="H933" s="380"/>
      <c r="I933" s="15"/>
      <c r="J933" s="31"/>
      <c r="K933" s="243"/>
      <c r="L933" s="15"/>
      <c r="M933" s="243"/>
      <c r="N933" s="243"/>
      <c r="O933" s="243"/>
      <c r="P933" s="243"/>
      <c r="Q933" s="243"/>
    </row>
    <row r="934">
      <c r="A934" s="243"/>
      <c r="B934" s="15"/>
      <c r="C934" s="15"/>
      <c r="D934" s="15"/>
      <c r="E934" s="379"/>
      <c r="F934" s="15"/>
      <c r="G934" s="250"/>
      <c r="H934" s="380"/>
      <c r="I934" s="15"/>
      <c r="J934" s="31"/>
      <c r="K934" s="243"/>
      <c r="L934" s="15"/>
      <c r="M934" s="243"/>
      <c r="N934" s="243"/>
      <c r="O934" s="243"/>
      <c r="P934" s="243"/>
      <c r="Q934" s="243"/>
    </row>
    <row r="935">
      <c r="A935" s="243"/>
      <c r="B935" s="15"/>
      <c r="C935" s="15"/>
      <c r="D935" s="15"/>
      <c r="E935" s="379"/>
      <c r="F935" s="15"/>
      <c r="G935" s="250"/>
      <c r="H935" s="380"/>
      <c r="I935" s="15"/>
      <c r="J935" s="31"/>
      <c r="K935" s="243"/>
      <c r="L935" s="15"/>
      <c r="M935" s="243"/>
      <c r="N935" s="243"/>
      <c r="O935" s="243"/>
      <c r="P935" s="243"/>
      <c r="Q935" s="243"/>
    </row>
    <row r="936">
      <c r="A936" s="243"/>
      <c r="B936" s="15"/>
      <c r="C936" s="15"/>
      <c r="D936" s="15"/>
      <c r="E936" s="379"/>
      <c r="F936" s="15"/>
      <c r="G936" s="250"/>
      <c r="H936" s="380"/>
      <c r="I936" s="15"/>
      <c r="J936" s="31"/>
      <c r="K936" s="243"/>
      <c r="L936" s="15"/>
      <c r="M936" s="243"/>
      <c r="N936" s="243"/>
      <c r="O936" s="243"/>
      <c r="P936" s="243"/>
      <c r="Q936" s="243"/>
    </row>
    <row r="937">
      <c r="A937" s="243"/>
      <c r="B937" s="15"/>
      <c r="C937" s="15"/>
      <c r="D937" s="15"/>
      <c r="E937" s="379"/>
      <c r="F937" s="15"/>
      <c r="G937" s="250"/>
      <c r="H937" s="380"/>
      <c r="I937" s="15"/>
      <c r="J937" s="31"/>
      <c r="K937" s="243"/>
      <c r="L937" s="15"/>
      <c r="M937" s="243"/>
      <c r="N937" s="243"/>
      <c r="O937" s="243"/>
      <c r="P937" s="243"/>
      <c r="Q937" s="243"/>
    </row>
    <row r="938">
      <c r="A938" s="243"/>
      <c r="B938" s="15"/>
      <c r="C938" s="15"/>
      <c r="D938" s="15"/>
      <c r="E938" s="379"/>
      <c r="F938" s="15"/>
      <c r="G938" s="250"/>
      <c r="H938" s="380"/>
      <c r="I938" s="15"/>
      <c r="J938" s="31"/>
      <c r="K938" s="243"/>
      <c r="L938" s="15"/>
      <c r="M938" s="243"/>
      <c r="N938" s="243"/>
      <c r="O938" s="243"/>
      <c r="P938" s="243"/>
      <c r="Q938" s="243"/>
    </row>
    <row r="939">
      <c r="A939" s="243"/>
      <c r="B939" s="15"/>
      <c r="C939" s="15"/>
      <c r="D939" s="15"/>
      <c r="E939" s="379"/>
      <c r="F939" s="15"/>
      <c r="G939" s="250"/>
      <c r="H939" s="380"/>
      <c r="I939" s="15"/>
      <c r="J939" s="31"/>
      <c r="K939" s="243"/>
      <c r="L939" s="15"/>
      <c r="M939" s="243"/>
      <c r="N939" s="243"/>
      <c r="O939" s="243"/>
      <c r="P939" s="243"/>
      <c r="Q939" s="243"/>
    </row>
    <row r="940">
      <c r="A940" s="243"/>
      <c r="B940" s="15"/>
      <c r="C940" s="15"/>
      <c r="D940" s="15"/>
      <c r="E940" s="379"/>
      <c r="F940" s="15"/>
      <c r="G940" s="250"/>
      <c r="H940" s="380"/>
      <c r="I940" s="15"/>
      <c r="J940" s="31"/>
      <c r="K940" s="243"/>
      <c r="L940" s="15"/>
      <c r="M940" s="243"/>
      <c r="N940" s="243"/>
      <c r="O940" s="243"/>
      <c r="P940" s="243"/>
      <c r="Q940" s="243"/>
    </row>
    <row r="941">
      <c r="A941" s="243"/>
      <c r="B941" s="15"/>
      <c r="C941" s="15"/>
      <c r="D941" s="15"/>
      <c r="E941" s="379"/>
      <c r="F941" s="15"/>
      <c r="G941" s="250"/>
      <c r="H941" s="380"/>
      <c r="I941" s="15"/>
      <c r="J941" s="31"/>
      <c r="K941" s="243"/>
      <c r="L941" s="15"/>
      <c r="M941" s="243"/>
      <c r="N941" s="243"/>
      <c r="O941" s="243"/>
      <c r="P941" s="243"/>
      <c r="Q941" s="243"/>
    </row>
    <row r="942">
      <c r="A942" s="243"/>
      <c r="B942" s="15"/>
      <c r="C942" s="15"/>
      <c r="D942" s="15"/>
      <c r="E942" s="379"/>
      <c r="F942" s="15"/>
      <c r="G942" s="250"/>
      <c r="H942" s="380"/>
      <c r="I942" s="15"/>
      <c r="J942" s="31"/>
      <c r="K942" s="243"/>
      <c r="L942" s="15"/>
      <c r="M942" s="243"/>
      <c r="N942" s="243"/>
      <c r="O942" s="243"/>
      <c r="P942" s="243"/>
      <c r="Q942" s="243"/>
    </row>
    <row r="943">
      <c r="A943" s="243"/>
      <c r="B943" s="15"/>
      <c r="C943" s="15"/>
      <c r="D943" s="15"/>
      <c r="E943" s="379"/>
      <c r="F943" s="15"/>
      <c r="G943" s="250"/>
      <c r="H943" s="380"/>
      <c r="I943" s="15"/>
      <c r="J943" s="31"/>
      <c r="K943" s="243"/>
      <c r="L943" s="15"/>
      <c r="M943" s="243"/>
      <c r="N943" s="243"/>
      <c r="O943" s="243"/>
      <c r="P943" s="243"/>
      <c r="Q943" s="243"/>
    </row>
    <row r="944">
      <c r="A944" s="243"/>
      <c r="B944" s="15"/>
      <c r="C944" s="15"/>
      <c r="D944" s="15"/>
      <c r="E944" s="379"/>
      <c r="F944" s="15"/>
      <c r="G944" s="250"/>
      <c r="H944" s="380"/>
      <c r="I944" s="15"/>
      <c r="J944" s="31"/>
      <c r="K944" s="243"/>
      <c r="L944" s="15"/>
      <c r="M944" s="243"/>
      <c r="N944" s="243"/>
      <c r="O944" s="243"/>
      <c r="P944" s="243"/>
      <c r="Q944" s="243"/>
    </row>
    <row r="945">
      <c r="A945" s="243"/>
      <c r="B945" s="15"/>
      <c r="C945" s="15"/>
      <c r="D945" s="15"/>
      <c r="E945" s="379"/>
      <c r="F945" s="15"/>
      <c r="G945" s="250"/>
      <c r="H945" s="380"/>
      <c r="I945" s="15"/>
      <c r="J945" s="31"/>
      <c r="K945" s="243"/>
      <c r="L945" s="15"/>
      <c r="M945" s="243"/>
      <c r="N945" s="243"/>
      <c r="O945" s="243"/>
      <c r="P945" s="243"/>
      <c r="Q945" s="243"/>
    </row>
    <row r="946">
      <c r="A946" s="243"/>
      <c r="B946" s="15"/>
      <c r="C946" s="15"/>
      <c r="D946" s="15"/>
      <c r="E946" s="379"/>
      <c r="F946" s="15"/>
      <c r="G946" s="250"/>
      <c r="H946" s="380"/>
      <c r="I946" s="15"/>
      <c r="J946" s="31"/>
      <c r="K946" s="243"/>
      <c r="L946" s="15"/>
      <c r="M946" s="243"/>
      <c r="N946" s="243"/>
      <c r="O946" s="243"/>
      <c r="P946" s="243"/>
      <c r="Q946" s="243"/>
    </row>
    <row r="947">
      <c r="A947" s="243"/>
      <c r="B947" s="15"/>
      <c r="C947" s="15"/>
      <c r="D947" s="15"/>
      <c r="E947" s="379"/>
      <c r="F947" s="15"/>
      <c r="G947" s="250"/>
      <c r="H947" s="380"/>
      <c r="I947" s="15"/>
      <c r="J947" s="31"/>
      <c r="K947" s="243"/>
      <c r="L947" s="15"/>
      <c r="M947" s="243"/>
      <c r="N947" s="243"/>
      <c r="O947" s="243"/>
      <c r="P947" s="243"/>
      <c r="Q947" s="243"/>
    </row>
    <row r="948">
      <c r="A948" s="243"/>
      <c r="B948" s="15"/>
      <c r="C948" s="15"/>
      <c r="D948" s="15"/>
      <c r="E948" s="379"/>
      <c r="F948" s="15"/>
      <c r="G948" s="250"/>
      <c r="H948" s="380"/>
      <c r="I948" s="15"/>
      <c r="J948" s="31"/>
      <c r="K948" s="243"/>
      <c r="L948" s="15"/>
      <c r="M948" s="243"/>
      <c r="N948" s="243"/>
      <c r="O948" s="243"/>
      <c r="P948" s="243"/>
      <c r="Q948" s="243"/>
    </row>
    <row r="949">
      <c r="A949" s="243"/>
      <c r="B949" s="15"/>
      <c r="C949" s="15"/>
      <c r="D949" s="15"/>
      <c r="E949" s="379"/>
      <c r="F949" s="15"/>
      <c r="G949" s="250"/>
      <c r="H949" s="380"/>
      <c r="I949" s="15"/>
      <c r="J949" s="31"/>
      <c r="K949" s="243"/>
      <c r="L949" s="15"/>
      <c r="M949" s="243"/>
      <c r="N949" s="243"/>
      <c r="O949" s="243"/>
      <c r="P949" s="243"/>
      <c r="Q949" s="243"/>
    </row>
    <row r="950">
      <c r="A950" s="243"/>
      <c r="B950" s="15"/>
      <c r="C950" s="15"/>
      <c r="D950" s="15"/>
      <c r="E950" s="379"/>
      <c r="F950" s="15"/>
      <c r="G950" s="250"/>
      <c r="H950" s="380"/>
      <c r="I950" s="15"/>
      <c r="J950" s="31"/>
      <c r="K950" s="243"/>
      <c r="L950" s="15"/>
      <c r="M950" s="243"/>
      <c r="N950" s="243"/>
      <c r="O950" s="243"/>
      <c r="P950" s="243"/>
      <c r="Q950" s="243"/>
    </row>
    <row r="951">
      <c r="A951" s="243"/>
      <c r="B951" s="15"/>
      <c r="C951" s="15"/>
      <c r="D951" s="15"/>
      <c r="E951" s="379"/>
      <c r="F951" s="15"/>
      <c r="G951" s="250"/>
      <c r="H951" s="380"/>
      <c r="I951" s="15"/>
      <c r="J951" s="31"/>
      <c r="K951" s="243"/>
      <c r="L951" s="15"/>
      <c r="M951" s="243"/>
      <c r="N951" s="243"/>
      <c r="O951" s="243"/>
      <c r="P951" s="243"/>
      <c r="Q951" s="243"/>
    </row>
    <row r="952">
      <c r="A952" s="243"/>
      <c r="B952" s="15"/>
      <c r="C952" s="15"/>
      <c r="D952" s="15"/>
      <c r="E952" s="379"/>
      <c r="F952" s="15"/>
      <c r="G952" s="250"/>
      <c r="H952" s="380"/>
      <c r="I952" s="15"/>
      <c r="J952" s="31"/>
      <c r="K952" s="243"/>
      <c r="L952" s="15"/>
      <c r="M952" s="243"/>
      <c r="N952" s="243"/>
      <c r="O952" s="243"/>
      <c r="P952" s="243"/>
      <c r="Q952" s="243"/>
    </row>
    <row r="953">
      <c r="A953" s="243"/>
      <c r="B953" s="15"/>
      <c r="C953" s="15"/>
      <c r="D953" s="15"/>
      <c r="E953" s="379"/>
      <c r="F953" s="15"/>
      <c r="G953" s="250"/>
      <c r="H953" s="380"/>
      <c r="I953" s="15"/>
      <c r="J953" s="31"/>
      <c r="K953" s="243"/>
      <c r="L953" s="15"/>
      <c r="M953" s="243"/>
      <c r="N953" s="243"/>
      <c r="O953" s="243"/>
      <c r="P953" s="243"/>
      <c r="Q953" s="243"/>
    </row>
    <row r="954">
      <c r="A954" s="243"/>
      <c r="B954" s="15"/>
      <c r="C954" s="15"/>
      <c r="D954" s="15"/>
      <c r="E954" s="379"/>
      <c r="F954" s="15"/>
      <c r="G954" s="250"/>
      <c r="H954" s="380"/>
      <c r="I954" s="15"/>
      <c r="J954" s="31"/>
      <c r="K954" s="243"/>
      <c r="L954" s="15"/>
      <c r="M954" s="243"/>
      <c r="N954" s="243"/>
      <c r="O954" s="243"/>
      <c r="P954" s="243"/>
      <c r="Q954" s="243"/>
    </row>
    <row r="955">
      <c r="A955" s="243"/>
      <c r="B955" s="15"/>
      <c r="C955" s="15"/>
      <c r="D955" s="15"/>
      <c r="E955" s="379"/>
      <c r="F955" s="15"/>
      <c r="G955" s="250"/>
      <c r="H955" s="380"/>
      <c r="I955" s="15"/>
      <c r="J955" s="31"/>
      <c r="K955" s="243"/>
      <c r="L955" s="15"/>
      <c r="M955" s="243"/>
      <c r="N955" s="243"/>
      <c r="O955" s="243"/>
      <c r="P955" s="243"/>
      <c r="Q955" s="243"/>
    </row>
    <row r="956">
      <c r="A956" s="243"/>
      <c r="B956" s="15"/>
      <c r="C956" s="15"/>
      <c r="D956" s="15"/>
      <c r="E956" s="379"/>
      <c r="F956" s="15"/>
      <c r="G956" s="250"/>
      <c r="H956" s="380"/>
      <c r="I956" s="15"/>
      <c r="J956" s="31"/>
      <c r="K956" s="243"/>
      <c r="L956" s="15"/>
      <c r="M956" s="243"/>
      <c r="N956" s="243"/>
      <c r="O956" s="243"/>
      <c r="P956" s="243"/>
      <c r="Q956" s="243"/>
    </row>
    <row r="957">
      <c r="A957" s="243"/>
      <c r="B957" s="15"/>
      <c r="C957" s="15"/>
      <c r="D957" s="15"/>
      <c r="E957" s="379"/>
      <c r="F957" s="15"/>
      <c r="G957" s="250"/>
      <c r="H957" s="380"/>
      <c r="I957" s="15"/>
      <c r="J957" s="31"/>
      <c r="K957" s="243"/>
      <c r="L957" s="15"/>
      <c r="M957" s="243"/>
      <c r="N957" s="243"/>
      <c r="O957" s="243"/>
      <c r="P957" s="243"/>
      <c r="Q957" s="243"/>
    </row>
    <row r="958">
      <c r="A958" s="243"/>
      <c r="B958" s="15"/>
      <c r="C958" s="15"/>
      <c r="D958" s="15"/>
      <c r="E958" s="379"/>
      <c r="F958" s="15"/>
      <c r="G958" s="250"/>
      <c r="H958" s="380"/>
      <c r="I958" s="15"/>
      <c r="J958" s="31"/>
      <c r="K958" s="243"/>
      <c r="L958" s="15"/>
      <c r="M958" s="243"/>
      <c r="N958" s="243"/>
      <c r="O958" s="243"/>
      <c r="P958" s="243"/>
      <c r="Q958" s="243"/>
    </row>
    <row r="959">
      <c r="A959" s="243"/>
      <c r="B959" s="15"/>
      <c r="C959" s="15"/>
      <c r="D959" s="15"/>
      <c r="E959" s="379"/>
      <c r="F959" s="15"/>
      <c r="G959" s="250"/>
      <c r="H959" s="380"/>
      <c r="I959" s="15"/>
      <c r="J959" s="31"/>
      <c r="K959" s="243"/>
      <c r="L959" s="15"/>
      <c r="M959" s="243"/>
      <c r="N959" s="243"/>
      <c r="O959" s="243"/>
      <c r="P959" s="243"/>
      <c r="Q959" s="243"/>
    </row>
    <row r="960">
      <c r="A960" s="243"/>
      <c r="B960" s="15"/>
      <c r="C960" s="15"/>
      <c r="D960" s="15"/>
      <c r="E960" s="379"/>
      <c r="F960" s="15"/>
      <c r="G960" s="250"/>
      <c r="H960" s="380"/>
      <c r="I960" s="15"/>
      <c r="J960" s="31"/>
      <c r="K960" s="243"/>
      <c r="L960" s="15"/>
      <c r="M960" s="243"/>
      <c r="N960" s="243"/>
      <c r="O960" s="243"/>
      <c r="P960" s="243"/>
      <c r="Q960" s="243"/>
    </row>
    <row r="961">
      <c r="A961" s="243"/>
      <c r="B961" s="15"/>
      <c r="C961" s="15"/>
      <c r="D961" s="15"/>
      <c r="E961" s="379"/>
      <c r="F961" s="15"/>
      <c r="G961" s="250"/>
      <c r="H961" s="380"/>
      <c r="I961" s="15"/>
      <c r="J961" s="31"/>
      <c r="K961" s="243"/>
      <c r="L961" s="15"/>
      <c r="M961" s="243"/>
      <c r="N961" s="243"/>
      <c r="O961" s="243"/>
      <c r="P961" s="243"/>
      <c r="Q961" s="243"/>
    </row>
    <row r="962">
      <c r="A962" s="243"/>
      <c r="B962" s="15"/>
      <c r="C962" s="15"/>
      <c r="D962" s="15"/>
      <c r="E962" s="379"/>
      <c r="F962" s="15"/>
      <c r="G962" s="250"/>
      <c r="H962" s="380"/>
      <c r="I962" s="15"/>
      <c r="J962" s="31"/>
      <c r="K962" s="243"/>
      <c r="L962" s="15"/>
      <c r="M962" s="243"/>
      <c r="N962" s="243"/>
      <c r="O962" s="243"/>
      <c r="P962" s="243"/>
      <c r="Q962" s="243"/>
    </row>
    <row r="963">
      <c r="A963" s="243"/>
      <c r="B963" s="15"/>
      <c r="C963" s="15"/>
      <c r="D963" s="15"/>
      <c r="E963" s="379"/>
      <c r="F963" s="15"/>
      <c r="G963" s="250"/>
      <c r="H963" s="380"/>
      <c r="I963" s="15"/>
      <c r="J963" s="31"/>
      <c r="K963" s="243"/>
      <c r="L963" s="15"/>
      <c r="M963" s="243"/>
      <c r="N963" s="243"/>
      <c r="O963" s="243"/>
      <c r="P963" s="243"/>
      <c r="Q963" s="243"/>
    </row>
    <row r="964">
      <c r="A964" s="243"/>
      <c r="B964" s="15"/>
      <c r="C964" s="15"/>
      <c r="D964" s="15"/>
      <c r="E964" s="379"/>
      <c r="F964" s="15"/>
      <c r="G964" s="250"/>
      <c r="H964" s="380"/>
      <c r="I964" s="15"/>
      <c r="J964" s="31"/>
      <c r="K964" s="243"/>
      <c r="L964" s="15"/>
      <c r="M964" s="243"/>
      <c r="N964" s="243"/>
      <c r="O964" s="243"/>
      <c r="P964" s="243"/>
      <c r="Q964" s="243"/>
    </row>
    <row r="965">
      <c r="A965" s="243"/>
      <c r="B965" s="15"/>
      <c r="C965" s="15"/>
      <c r="D965" s="15"/>
      <c r="E965" s="379"/>
      <c r="F965" s="15"/>
      <c r="G965" s="250"/>
      <c r="H965" s="380"/>
      <c r="I965" s="15"/>
      <c r="J965" s="31"/>
      <c r="K965" s="243"/>
      <c r="L965" s="15"/>
      <c r="M965" s="243"/>
      <c r="N965" s="243"/>
      <c r="O965" s="243"/>
      <c r="P965" s="243"/>
      <c r="Q965" s="243"/>
    </row>
    <row r="966">
      <c r="A966" s="243"/>
      <c r="B966" s="15"/>
      <c r="C966" s="15"/>
      <c r="D966" s="15"/>
      <c r="E966" s="379"/>
      <c r="F966" s="15"/>
      <c r="G966" s="250"/>
      <c r="H966" s="380"/>
      <c r="I966" s="15"/>
      <c r="J966" s="31"/>
      <c r="K966" s="243"/>
      <c r="L966" s="15"/>
      <c r="M966" s="243"/>
      <c r="N966" s="243"/>
      <c r="O966" s="243"/>
      <c r="P966" s="243"/>
      <c r="Q966" s="243"/>
    </row>
    <row r="967">
      <c r="A967" s="243"/>
      <c r="B967" s="15"/>
      <c r="C967" s="15"/>
      <c r="D967" s="15"/>
      <c r="E967" s="379"/>
      <c r="F967" s="15"/>
      <c r="G967" s="250"/>
      <c r="H967" s="380"/>
      <c r="I967" s="15"/>
      <c r="J967" s="31"/>
      <c r="K967" s="243"/>
      <c r="L967" s="15"/>
      <c r="M967" s="243"/>
      <c r="N967" s="243"/>
      <c r="O967" s="243"/>
      <c r="P967" s="243"/>
      <c r="Q967" s="243"/>
    </row>
    <row r="968">
      <c r="A968" s="243"/>
      <c r="B968" s="15"/>
      <c r="C968" s="15"/>
      <c r="D968" s="15"/>
      <c r="E968" s="379"/>
      <c r="F968" s="15"/>
      <c r="G968" s="250"/>
      <c r="H968" s="380"/>
      <c r="I968" s="15"/>
      <c r="J968" s="31"/>
      <c r="K968" s="243"/>
      <c r="L968" s="15"/>
      <c r="M968" s="243"/>
      <c r="N968" s="243"/>
      <c r="O968" s="243"/>
      <c r="P968" s="243"/>
      <c r="Q968" s="243"/>
    </row>
    <row r="969">
      <c r="A969" s="243"/>
      <c r="B969" s="15"/>
      <c r="C969" s="15"/>
      <c r="D969" s="15"/>
      <c r="E969" s="379"/>
      <c r="F969" s="15"/>
      <c r="G969" s="250"/>
      <c r="H969" s="380"/>
      <c r="I969" s="15"/>
      <c r="J969" s="31"/>
      <c r="K969" s="243"/>
      <c r="L969" s="15"/>
      <c r="M969" s="243"/>
      <c r="N969" s="243"/>
      <c r="O969" s="243"/>
      <c r="P969" s="243"/>
      <c r="Q969" s="243"/>
    </row>
    <row r="970">
      <c r="A970" s="243"/>
      <c r="B970" s="15"/>
      <c r="C970" s="15"/>
      <c r="D970" s="15"/>
      <c r="E970" s="379"/>
      <c r="F970" s="15"/>
      <c r="G970" s="250"/>
      <c r="H970" s="380"/>
      <c r="I970" s="15"/>
      <c r="J970" s="31"/>
      <c r="K970" s="243"/>
      <c r="L970" s="15"/>
      <c r="M970" s="243"/>
      <c r="N970" s="243"/>
      <c r="O970" s="243"/>
      <c r="P970" s="243"/>
      <c r="Q970" s="243"/>
    </row>
    <row r="971">
      <c r="A971" s="243"/>
      <c r="B971" s="15"/>
      <c r="C971" s="15"/>
      <c r="D971" s="15"/>
      <c r="E971" s="379"/>
      <c r="F971" s="15"/>
      <c r="G971" s="250"/>
      <c r="H971" s="380"/>
      <c r="I971" s="15"/>
      <c r="J971" s="31"/>
      <c r="K971" s="243"/>
      <c r="L971" s="15"/>
      <c r="M971" s="243"/>
      <c r="N971" s="243"/>
      <c r="O971" s="243"/>
      <c r="P971" s="243"/>
      <c r="Q971" s="243"/>
    </row>
    <row r="972">
      <c r="A972" s="243"/>
      <c r="B972" s="15"/>
      <c r="C972" s="15"/>
      <c r="D972" s="15"/>
      <c r="E972" s="379"/>
      <c r="F972" s="15"/>
      <c r="G972" s="250"/>
      <c r="H972" s="380"/>
      <c r="I972" s="15"/>
      <c r="J972" s="31"/>
      <c r="K972" s="243"/>
      <c r="L972" s="15"/>
      <c r="M972" s="243"/>
      <c r="N972" s="243"/>
      <c r="O972" s="243"/>
      <c r="P972" s="243"/>
      <c r="Q972" s="243"/>
    </row>
    <row r="973">
      <c r="A973" s="243"/>
      <c r="B973" s="15"/>
      <c r="C973" s="15"/>
      <c r="D973" s="15"/>
      <c r="E973" s="379"/>
      <c r="F973" s="15"/>
      <c r="G973" s="250"/>
      <c r="H973" s="380"/>
      <c r="I973" s="15"/>
      <c r="J973" s="31"/>
      <c r="K973" s="243"/>
      <c r="L973" s="15"/>
      <c r="M973" s="243"/>
      <c r="N973" s="243"/>
      <c r="O973" s="243"/>
      <c r="P973" s="243"/>
      <c r="Q973" s="243"/>
    </row>
    <row r="974">
      <c r="A974" s="243"/>
      <c r="B974" s="15"/>
      <c r="C974" s="15"/>
      <c r="D974" s="15"/>
      <c r="E974" s="379"/>
      <c r="F974" s="15"/>
      <c r="G974" s="250"/>
      <c r="H974" s="380"/>
      <c r="I974" s="15"/>
      <c r="J974" s="31"/>
      <c r="K974" s="243"/>
      <c r="L974" s="15"/>
      <c r="M974" s="243"/>
      <c r="N974" s="243"/>
      <c r="O974" s="243"/>
      <c r="P974" s="243"/>
      <c r="Q974" s="243"/>
    </row>
    <row r="975">
      <c r="A975" s="243"/>
      <c r="B975" s="15"/>
      <c r="C975" s="15"/>
      <c r="D975" s="15"/>
      <c r="E975" s="379"/>
      <c r="F975" s="15"/>
      <c r="G975" s="250"/>
      <c r="H975" s="380"/>
      <c r="I975" s="15"/>
      <c r="J975" s="31"/>
      <c r="K975" s="243"/>
      <c r="L975" s="15"/>
      <c r="M975" s="243"/>
      <c r="N975" s="243"/>
      <c r="O975" s="243"/>
      <c r="P975" s="243"/>
      <c r="Q975" s="243"/>
    </row>
    <row r="976">
      <c r="A976" s="243"/>
      <c r="B976" s="15"/>
      <c r="C976" s="15"/>
      <c r="D976" s="15"/>
      <c r="E976" s="379"/>
      <c r="F976" s="15"/>
      <c r="G976" s="250"/>
      <c r="H976" s="380"/>
      <c r="I976" s="15"/>
      <c r="J976" s="31"/>
      <c r="K976" s="243"/>
      <c r="L976" s="15"/>
      <c r="M976" s="243"/>
      <c r="N976" s="243"/>
      <c r="O976" s="243"/>
      <c r="P976" s="243"/>
      <c r="Q976" s="243"/>
    </row>
    <row r="977">
      <c r="A977" s="243"/>
      <c r="B977" s="15"/>
      <c r="C977" s="15"/>
      <c r="D977" s="15"/>
      <c r="E977" s="379"/>
      <c r="F977" s="15"/>
      <c r="G977" s="250"/>
      <c r="H977" s="380"/>
      <c r="I977" s="15"/>
      <c r="J977" s="31"/>
      <c r="K977" s="243"/>
      <c r="L977" s="15"/>
      <c r="M977" s="243"/>
      <c r="N977" s="243"/>
      <c r="O977" s="243"/>
      <c r="P977" s="243"/>
      <c r="Q977" s="243"/>
    </row>
    <row r="978">
      <c r="A978" s="243"/>
      <c r="B978" s="15"/>
      <c r="C978" s="15"/>
      <c r="D978" s="15"/>
      <c r="E978" s="379"/>
      <c r="F978" s="15"/>
      <c r="G978" s="250"/>
      <c r="H978" s="380"/>
      <c r="I978" s="15"/>
      <c r="J978" s="31"/>
      <c r="K978" s="243"/>
      <c r="L978" s="15"/>
      <c r="M978" s="243"/>
      <c r="N978" s="243"/>
      <c r="O978" s="243"/>
      <c r="P978" s="243"/>
      <c r="Q978" s="243"/>
    </row>
    <row r="979">
      <c r="A979" s="243"/>
      <c r="B979" s="15"/>
      <c r="C979" s="15"/>
      <c r="D979" s="15"/>
      <c r="E979" s="379"/>
      <c r="F979" s="15"/>
      <c r="G979" s="250"/>
      <c r="H979" s="380"/>
      <c r="I979" s="15"/>
      <c r="J979" s="31"/>
      <c r="K979" s="243"/>
      <c r="L979" s="15"/>
      <c r="M979" s="243"/>
      <c r="N979" s="243"/>
      <c r="O979" s="243"/>
      <c r="P979" s="243"/>
      <c r="Q979" s="243"/>
    </row>
    <row r="980">
      <c r="A980" s="243"/>
      <c r="B980" s="15"/>
      <c r="C980" s="15"/>
      <c r="D980" s="15"/>
      <c r="E980" s="379"/>
      <c r="F980" s="15"/>
      <c r="G980" s="250"/>
      <c r="H980" s="380"/>
      <c r="I980" s="15"/>
      <c r="J980" s="31"/>
      <c r="K980" s="243"/>
      <c r="L980" s="15"/>
      <c r="M980" s="243"/>
      <c r="N980" s="243"/>
      <c r="O980" s="243"/>
      <c r="P980" s="243"/>
      <c r="Q980" s="243"/>
    </row>
    <row r="981">
      <c r="A981" s="243"/>
      <c r="B981" s="15"/>
      <c r="C981" s="15"/>
      <c r="D981" s="15"/>
      <c r="E981" s="379"/>
      <c r="F981" s="15"/>
      <c r="G981" s="250"/>
      <c r="H981" s="380"/>
      <c r="I981" s="15"/>
      <c r="J981" s="31"/>
      <c r="K981" s="243"/>
      <c r="L981" s="15"/>
      <c r="M981" s="243"/>
      <c r="N981" s="243"/>
      <c r="O981" s="243"/>
      <c r="P981" s="243"/>
      <c r="Q981" s="243"/>
    </row>
    <row r="982">
      <c r="A982" s="243"/>
      <c r="B982" s="15"/>
      <c r="C982" s="15"/>
      <c r="D982" s="15"/>
      <c r="E982" s="379"/>
      <c r="F982" s="15"/>
      <c r="G982" s="250"/>
      <c r="H982" s="380"/>
      <c r="I982" s="15"/>
      <c r="J982" s="31"/>
      <c r="K982" s="243"/>
      <c r="L982" s="15"/>
      <c r="M982" s="243"/>
      <c r="N982" s="243"/>
      <c r="O982" s="243"/>
      <c r="P982" s="243"/>
      <c r="Q982" s="243"/>
    </row>
    <row r="983">
      <c r="A983" s="243"/>
      <c r="B983" s="15"/>
      <c r="C983" s="15"/>
      <c r="D983" s="15"/>
      <c r="E983" s="379"/>
      <c r="F983" s="15"/>
      <c r="G983" s="250"/>
      <c r="H983" s="380"/>
      <c r="I983" s="15"/>
      <c r="J983" s="31"/>
      <c r="K983" s="243"/>
      <c r="L983" s="15"/>
      <c r="M983" s="243"/>
      <c r="N983" s="243"/>
      <c r="O983" s="243"/>
      <c r="P983" s="243"/>
      <c r="Q983" s="243"/>
    </row>
    <row r="984">
      <c r="A984" s="243"/>
      <c r="B984" s="15"/>
      <c r="C984" s="15"/>
      <c r="D984" s="15"/>
      <c r="E984" s="379"/>
      <c r="F984" s="15"/>
      <c r="G984" s="250"/>
      <c r="H984" s="380"/>
      <c r="I984" s="15"/>
      <c r="J984" s="31"/>
      <c r="K984" s="243"/>
      <c r="L984" s="15"/>
      <c r="M984" s="243"/>
      <c r="N984" s="243"/>
      <c r="O984" s="243"/>
      <c r="P984" s="243"/>
      <c r="Q984" s="243"/>
    </row>
    <row r="985">
      <c r="A985" s="243"/>
      <c r="B985" s="15"/>
      <c r="C985" s="15"/>
      <c r="D985" s="15"/>
      <c r="E985" s="379"/>
      <c r="F985" s="15"/>
      <c r="G985" s="250"/>
      <c r="H985" s="380"/>
      <c r="I985" s="15"/>
      <c r="J985" s="31"/>
      <c r="K985" s="243"/>
      <c r="L985" s="15"/>
      <c r="M985" s="243"/>
      <c r="N985" s="243"/>
      <c r="O985" s="243"/>
      <c r="P985" s="243"/>
      <c r="Q985" s="243"/>
    </row>
    <row r="986">
      <c r="A986" s="243"/>
      <c r="B986" s="15"/>
      <c r="C986" s="15"/>
      <c r="D986" s="15"/>
      <c r="E986" s="379"/>
      <c r="F986" s="15"/>
      <c r="G986" s="250"/>
      <c r="H986" s="380"/>
      <c r="I986" s="15"/>
      <c r="J986" s="31"/>
      <c r="K986" s="243"/>
      <c r="L986" s="15"/>
      <c r="M986" s="243"/>
      <c r="N986" s="243"/>
      <c r="O986" s="243"/>
      <c r="P986" s="243"/>
      <c r="Q986" s="243"/>
    </row>
    <row r="987">
      <c r="A987" s="243"/>
      <c r="B987" s="15"/>
      <c r="C987" s="15"/>
      <c r="D987" s="15"/>
      <c r="E987" s="379"/>
      <c r="F987" s="15"/>
      <c r="G987" s="250"/>
      <c r="H987" s="380"/>
      <c r="I987" s="15"/>
      <c r="J987" s="31"/>
      <c r="K987" s="243"/>
      <c r="L987" s="15"/>
      <c r="M987" s="243"/>
      <c r="N987" s="243"/>
      <c r="O987" s="243"/>
      <c r="P987" s="243"/>
      <c r="Q987" s="243"/>
    </row>
    <row r="988">
      <c r="A988" s="243"/>
      <c r="B988" s="15"/>
      <c r="C988" s="15"/>
      <c r="D988" s="15"/>
      <c r="E988" s="379"/>
      <c r="F988" s="15"/>
      <c r="G988" s="250"/>
      <c r="H988" s="380"/>
      <c r="I988" s="15"/>
      <c r="J988" s="31"/>
      <c r="K988" s="243"/>
      <c r="L988" s="15"/>
      <c r="M988" s="243"/>
      <c r="N988" s="243"/>
      <c r="O988" s="243"/>
      <c r="P988" s="243"/>
      <c r="Q988" s="243"/>
    </row>
    <row r="989">
      <c r="A989" s="243"/>
      <c r="B989" s="15"/>
      <c r="C989" s="15"/>
      <c r="D989" s="15"/>
      <c r="E989" s="379"/>
      <c r="F989" s="15"/>
      <c r="G989" s="250"/>
      <c r="H989" s="380"/>
      <c r="I989" s="15"/>
      <c r="J989" s="31"/>
      <c r="K989" s="243"/>
      <c r="L989" s="15"/>
      <c r="M989" s="243"/>
      <c r="N989" s="243"/>
      <c r="O989" s="243"/>
      <c r="P989" s="243"/>
      <c r="Q989" s="243"/>
    </row>
    <row r="990">
      <c r="A990" s="243"/>
      <c r="B990" s="15"/>
      <c r="C990" s="15"/>
      <c r="D990" s="15"/>
      <c r="E990" s="379"/>
      <c r="F990" s="15"/>
      <c r="G990" s="250"/>
      <c r="H990" s="380"/>
      <c r="I990" s="15"/>
      <c r="J990" s="31"/>
      <c r="K990" s="243"/>
      <c r="L990" s="15"/>
      <c r="M990" s="243"/>
      <c r="N990" s="243"/>
      <c r="O990" s="243"/>
      <c r="P990" s="243"/>
      <c r="Q990" s="243"/>
    </row>
    <row r="991">
      <c r="A991" s="243"/>
      <c r="B991" s="15"/>
      <c r="C991" s="15"/>
      <c r="D991" s="15"/>
      <c r="E991" s="379"/>
      <c r="F991" s="15"/>
      <c r="G991" s="250"/>
      <c r="H991" s="380"/>
      <c r="I991" s="15"/>
      <c r="J991" s="31"/>
      <c r="K991" s="243"/>
      <c r="L991" s="15"/>
      <c r="M991" s="243"/>
      <c r="N991" s="243"/>
      <c r="O991" s="243"/>
      <c r="P991" s="243"/>
      <c r="Q991" s="243"/>
    </row>
    <row r="992">
      <c r="A992" s="243"/>
      <c r="B992" s="15"/>
      <c r="C992" s="15"/>
      <c r="D992" s="15"/>
      <c r="E992" s="379"/>
      <c r="F992" s="15"/>
      <c r="G992" s="250"/>
      <c r="H992" s="380"/>
      <c r="I992" s="15"/>
      <c r="J992" s="31"/>
      <c r="K992" s="243"/>
      <c r="L992" s="15"/>
      <c r="M992" s="243"/>
      <c r="N992" s="243"/>
      <c r="O992" s="243"/>
      <c r="P992" s="243"/>
      <c r="Q992" s="243"/>
    </row>
    <row r="993">
      <c r="A993" s="243"/>
      <c r="B993" s="15"/>
      <c r="C993" s="15"/>
      <c r="D993" s="15"/>
      <c r="E993" s="379"/>
      <c r="F993" s="15"/>
      <c r="G993" s="250"/>
      <c r="H993" s="380"/>
      <c r="I993" s="15"/>
      <c r="J993" s="31"/>
      <c r="K993" s="243"/>
      <c r="L993" s="15"/>
      <c r="M993" s="243"/>
      <c r="N993" s="243"/>
      <c r="O993" s="243"/>
      <c r="P993" s="243"/>
      <c r="Q993" s="243"/>
    </row>
    <row r="994">
      <c r="A994" s="243"/>
      <c r="B994" s="15"/>
      <c r="C994" s="15"/>
      <c r="D994" s="15"/>
      <c r="E994" s="379"/>
      <c r="F994" s="15"/>
      <c r="G994" s="250"/>
      <c r="H994" s="380"/>
      <c r="I994" s="15"/>
      <c r="J994" s="31"/>
      <c r="K994" s="243"/>
      <c r="L994" s="15"/>
      <c r="M994" s="243"/>
      <c r="N994" s="243"/>
      <c r="O994" s="243"/>
      <c r="P994" s="243"/>
      <c r="Q994" s="243"/>
    </row>
    <row r="995">
      <c r="A995" s="243"/>
      <c r="B995" s="15"/>
      <c r="C995" s="15"/>
      <c r="D995" s="15"/>
      <c r="E995" s="379"/>
      <c r="F995" s="15"/>
      <c r="G995" s="250"/>
      <c r="H995" s="380"/>
      <c r="I995" s="15"/>
      <c r="J995" s="31"/>
      <c r="K995" s="243"/>
      <c r="L995" s="15"/>
      <c r="M995" s="243"/>
      <c r="N995" s="243"/>
      <c r="O995" s="243"/>
      <c r="P995" s="243"/>
      <c r="Q995" s="243"/>
    </row>
    <row r="996">
      <c r="A996" s="243"/>
      <c r="B996" s="15"/>
      <c r="C996" s="15"/>
      <c r="D996" s="15"/>
      <c r="E996" s="379"/>
      <c r="F996" s="15"/>
      <c r="G996" s="250"/>
      <c r="H996" s="380"/>
      <c r="I996" s="15"/>
      <c r="J996" s="31"/>
      <c r="K996" s="243"/>
      <c r="L996" s="15"/>
      <c r="M996" s="243"/>
      <c r="N996" s="243"/>
      <c r="O996" s="243"/>
      <c r="P996" s="243"/>
      <c r="Q996" s="243"/>
    </row>
    <row r="997">
      <c r="A997" s="243"/>
      <c r="B997" s="15"/>
      <c r="C997" s="15"/>
      <c r="D997" s="15"/>
      <c r="E997" s="379"/>
      <c r="F997" s="15"/>
      <c r="G997" s="250"/>
      <c r="H997" s="380"/>
      <c r="I997" s="15"/>
      <c r="J997" s="31"/>
      <c r="K997" s="243"/>
      <c r="L997" s="15"/>
      <c r="M997" s="243"/>
      <c r="N997" s="243"/>
      <c r="O997" s="243"/>
      <c r="P997" s="243"/>
      <c r="Q997" s="243"/>
    </row>
    <row r="998">
      <c r="A998" s="243"/>
      <c r="B998" s="15"/>
      <c r="C998" s="15"/>
      <c r="D998" s="15"/>
      <c r="E998" s="379"/>
      <c r="F998" s="15"/>
      <c r="G998" s="250"/>
      <c r="H998" s="380"/>
      <c r="I998" s="15"/>
      <c r="J998" s="31"/>
      <c r="K998" s="243"/>
      <c r="L998" s="15"/>
      <c r="M998" s="243"/>
      <c r="N998" s="243"/>
      <c r="O998" s="243"/>
      <c r="P998" s="243"/>
      <c r="Q998" s="243"/>
    </row>
    <row r="999">
      <c r="A999" s="243"/>
      <c r="B999" s="15"/>
      <c r="C999" s="15"/>
      <c r="D999" s="15"/>
      <c r="E999" s="379"/>
      <c r="F999" s="15"/>
      <c r="G999" s="250"/>
      <c r="H999" s="380"/>
      <c r="I999" s="15"/>
      <c r="J999" s="31"/>
      <c r="K999" s="243"/>
      <c r="L999" s="15"/>
      <c r="M999" s="243"/>
      <c r="N999" s="243"/>
      <c r="O999" s="243"/>
      <c r="P999" s="243"/>
      <c r="Q999" s="243"/>
    </row>
    <row r="1000">
      <c r="A1000" s="243"/>
      <c r="B1000" s="15"/>
      <c r="C1000" s="15"/>
      <c r="D1000" s="15"/>
      <c r="E1000" s="379"/>
      <c r="F1000" s="15"/>
      <c r="G1000" s="250"/>
      <c r="H1000" s="380"/>
      <c r="I1000" s="15"/>
      <c r="J1000" s="31"/>
      <c r="K1000" s="243"/>
      <c r="L1000" s="15"/>
      <c r="M1000" s="243"/>
      <c r="N1000" s="243"/>
      <c r="O1000" s="243"/>
      <c r="P1000" s="243"/>
      <c r="Q1000" s="243"/>
    </row>
    <row r="1001">
      <c r="A1001" s="243"/>
      <c r="B1001" s="15"/>
      <c r="C1001" s="15"/>
      <c r="D1001" s="15"/>
      <c r="E1001" s="379"/>
      <c r="F1001" s="15"/>
      <c r="G1001" s="250"/>
      <c r="H1001" s="380"/>
      <c r="I1001" s="15"/>
      <c r="J1001" s="31"/>
      <c r="K1001" s="243"/>
      <c r="L1001" s="15"/>
      <c r="M1001" s="243"/>
      <c r="N1001" s="243"/>
      <c r="O1001" s="243"/>
      <c r="P1001" s="243"/>
      <c r="Q1001" s="243"/>
    </row>
    <row r="1002">
      <c r="A1002" s="243"/>
      <c r="B1002" s="15"/>
      <c r="C1002" s="15"/>
      <c r="D1002" s="15"/>
      <c r="E1002" s="379"/>
      <c r="F1002" s="15"/>
      <c r="G1002" s="250"/>
      <c r="H1002" s="380"/>
      <c r="I1002" s="15"/>
      <c r="J1002" s="31"/>
      <c r="K1002" s="243"/>
      <c r="L1002" s="15"/>
      <c r="M1002" s="243"/>
      <c r="N1002" s="243"/>
      <c r="O1002" s="243"/>
      <c r="P1002" s="243"/>
      <c r="Q1002" s="243"/>
    </row>
    <row r="1003">
      <c r="A1003" s="243"/>
      <c r="B1003" s="15"/>
      <c r="C1003" s="15"/>
      <c r="D1003" s="15"/>
      <c r="E1003" s="379"/>
      <c r="F1003" s="15"/>
      <c r="G1003" s="250"/>
      <c r="H1003" s="380"/>
      <c r="I1003" s="15"/>
      <c r="J1003" s="31"/>
      <c r="K1003" s="243"/>
      <c r="L1003" s="15"/>
      <c r="M1003" s="243"/>
      <c r="N1003" s="243"/>
      <c r="O1003" s="243"/>
      <c r="P1003" s="243"/>
      <c r="Q1003" s="243"/>
    </row>
    <row r="1004">
      <c r="A1004" s="243"/>
      <c r="B1004" s="15"/>
      <c r="C1004" s="15"/>
      <c r="D1004" s="15"/>
      <c r="E1004" s="379"/>
      <c r="F1004" s="15"/>
      <c r="G1004" s="250"/>
      <c r="H1004" s="380"/>
      <c r="I1004" s="15"/>
      <c r="J1004" s="31"/>
      <c r="K1004" s="243"/>
      <c r="L1004" s="15"/>
      <c r="M1004" s="243"/>
      <c r="N1004" s="243"/>
      <c r="O1004" s="243"/>
      <c r="P1004" s="243"/>
      <c r="Q1004" s="243"/>
    </row>
    <row r="1005">
      <c r="A1005" s="243"/>
      <c r="B1005" s="15"/>
      <c r="C1005" s="15"/>
      <c r="D1005" s="15"/>
      <c r="E1005" s="379"/>
      <c r="F1005" s="15"/>
      <c r="G1005" s="250"/>
      <c r="H1005" s="380"/>
      <c r="I1005" s="15"/>
      <c r="J1005" s="31"/>
      <c r="K1005" s="243"/>
      <c r="L1005" s="15"/>
      <c r="M1005" s="243"/>
      <c r="N1005" s="243"/>
      <c r="O1005" s="243"/>
      <c r="P1005" s="243"/>
      <c r="Q1005" s="243"/>
    </row>
    <row r="1006">
      <c r="A1006" s="243"/>
      <c r="B1006" s="15"/>
      <c r="C1006" s="15"/>
      <c r="D1006" s="15"/>
      <c r="E1006" s="379"/>
      <c r="F1006" s="15"/>
      <c r="G1006" s="250"/>
      <c r="H1006" s="380"/>
      <c r="I1006" s="15"/>
      <c r="J1006" s="31"/>
      <c r="K1006" s="243"/>
      <c r="L1006" s="15"/>
      <c r="M1006" s="243"/>
      <c r="N1006" s="243"/>
      <c r="O1006" s="243"/>
      <c r="P1006" s="243"/>
      <c r="Q1006" s="243"/>
    </row>
    <row r="1007">
      <c r="A1007" s="243"/>
      <c r="B1007" s="15"/>
      <c r="C1007" s="15"/>
      <c r="D1007" s="15"/>
      <c r="E1007" s="379"/>
      <c r="F1007" s="15"/>
      <c r="G1007" s="250"/>
      <c r="H1007" s="380"/>
      <c r="I1007" s="15"/>
      <c r="J1007" s="31"/>
      <c r="K1007" s="243"/>
      <c r="L1007" s="15"/>
      <c r="M1007" s="243"/>
      <c r="N1007" s="243"/>
      <c r="O1007" s="243"/>
      <c r="P1007" s="243"/>
      <c r="Q1007" s="243"/>
    </row>
    <row r="1008">
      <c r="A1008" s="243"/>
      <c r="B1008" s="15"/>
      <c r="C1008" s="15"/>
      <c r="D1008" s="15"/>
      <c r="E1008" s="379"/>
      <c r="F1008" s="15"/>
      <c r="G1008" s="250"/>
      <c r="H1008" s="380"/>
      <c r="I1008" s="15"/>
      <c r="J1008" s="31"/>
      <c r="K1008" s="243"/>
      <c r="L1008" s="15"/>
      <c r="M1008" s="243"/>
      <c r="N1008" s="243"/>
      <c r="O1008" s="243"/>
      <c r="P1008" s="243"/>
      <c r="Q1008" s="243"/>
    </row>
    <row r="1009">
      <c r="A1009" s="243"/>
      <c r="B1009" s="15"/>
      <c r="C1009" s="15"/>
      <c r="D1009" s="15"/>
      <c r="E1009" s="379"/>
      <c r="F1009" s="15"/>
      <c r="G1009" s="250"/>
      <c r="H1009" s="380"/>
      <c r="I1009" s="15"/>
      <c r="J1009" s="31"/>
      <c r="K1009" s="243"/>
      <c r="L1009" s="15"/>
      <c r="M1009" s="243"/>
      <c r="N1009" s="243"/>
      <c r="O1009" s="243"/>
      <c r="P1009" s="243"/>
      <c r="Q1009" s="243"/>
    </row>
    <row r="1010">
      <c r="A1010" s="243"/>
      <c r="B1010" s="15"/>
      <c r="C1010" s="15"/>
      <c r="D1010" s="15"/>
      <c r="E1010" s="379"/>
      <c r="F1010" s="15"/>
      <c r="G1010" s="250"/>
      <c r="H1010" s="380"/>
      <c r="I1010" s="15"/>
      <c r="J1010" s="31"/>
      <c r="K1010" s="243"/>
      <c r="L1010" s="15"/>
      <c r="M1010" s="243"/>
      <c r="N1010" s="243"/>
      <c r="O1010" s="243"/>
      <c r="P1010" s="243"/>
      <c r="Q1010" s="243"/>
    </row>
    <row r="1011">
      <c r="A1011" s="243"/>
      <c r="B1011" s="15"/>
      <c r="C1011" s="15"/>
      <c r="D1011" s="15"/>
      <c r="E1011" s="379"/>
      <c r="F1011" s="15"/>
      <c r="G1011" s="250"/>
      <c r="H1011" s="380"/>
      <c r="I1011" s="15"/>
      <c r="J1011" s="31"/>
      <c r="K1011" s="243"/>
      <c r="L1011" s="15"/>
      <c r="M1011" s="243"/>
      <c r="N1011" s="243"/>
      <c r="O1011" s="243"/>
      <c r="P1011" s="243"/>
      <c r="Q1011" s="243"/>
    </row>
    <row r="1012">
      <c r="A1012" s="243"/>
      <c r="B1012" s="15"/>
      <c r="C1012" s="15"/>
      <c r="D1012" s="15"/>
      <c r="E1012" s="379"/>
      <c r="F1012" s="15"/>
      <c r="G1012" s="250"/>
      <c r="H1012" s="380"/>
      <c r="I1012" s="15"/>
      <c r="J1012" s="31"/>
      <c r="K1012" s="243"/>
      <c r="L1012" s="15"/>
      <c r="M1012" s="243"/>
      <c r="N1012" s="243"/>
      <c r="O1012" s="243"/>
      <c r="P1012" s="243"/>
      <c r="Q1012" s="243"/>
    </row>
    <row r="1013">
      <c r="A1013" s="243"/>
      <c r="B1013" s="15"/>
      <c r="C1013" s="15"/>
      <c r="D1013" s="15"/>
      <c r="E1013" s="379"/>
      <c r="F1013" s="15"/>
      <c r="G1013" s="250"/>
      <c r="H1013" s="380"/>
      <c r="I1013" s="15"/>
      <c r="J1013" s="31"/>
      <c r="K1013" s="243"/>
      <c r="L1013" s="15"/>
      <c r="M1013" s="243"/>
      <c r="N1013" s="243"/>
      <c r="O1013" s="243"/>
      <c r="P1013" s="243"/>
      <c r="Q1013" s="243"/>
    </row>
    <row r="1014">
      <c r="A1014" s="243"/>
      <c r="B1014" s="15"/>
      <c r="C1014" s="15"/>
      <c r="D1014" s="15"/>
      <c r="E1014" s="379"/>
      <c r="F1014" s="15"/>
      <c r="G1014" s="250"/>
      <c r="H1014" s="380"/>
      <c r="I1014" s="15"/>
      <c r="J1014" s="31"/>
      <c r="K1014" s="243"/>
      <c r="L1014" s="15"/>
      <c r="M1014" s="243"/>
      <c r="N1014" s="243"/>
      <c r="O1014" s="243"/>
      <c r="P1014" s="243"/>
      <c r="Q1014" s="243"/>
    </row>
    <row r="1015">
      <c r="A1015" s="243"/>
      <c r="B1015" s="15"/>
      <c r="C1015" s="15"/>
      <c r="D1015" s="15"/>
      <c r="E1015" s="379"/>
      <c r="F1015" s="15"/>
      <c r="G1015" s="250"/>
      <c r="H1015" s="380"/>
      <c r="I1015" s="15"/>
      <c r="J1015" s="31"/>
      <c r="K1015" s="243"/>
      <c r="L1015" s="15"/>
      <c r="M1015" s="243"/>
      <c r="N1015" s="243"/>
      <c r="O1015" s="243"/>
      <c r="P1015" s="243"/>
      <c r="Q1015" s="243"/>
    </row>
    <row r="1016">
      <c r="A1016" s="243"/>
      <c r="B1016" s="15"/>
      <c r="C1016" s="15"/>
      <c r="D1016" s="15"/>
      <c r="E1016" s="379"/>
      <c r="F1016" s="15"/>
      <c r="G1016" s="250"/>
      <c r="H1016" s="380"/>
      <c r="I1016" s="15"/>
      <c r="J1016" s="31"/>
      <c r="K1016" s="243"/>
      <c r="L1016" s="15"/>
      <c r="M1016" s="243"/>
      <c r="N1016" s="243"/>
      <c r="O1016" s="243"/>
      <c r="P1016" s="243"/>
      <c r="Q1016" s="243"/>
    </row>
    <row r="1017">
      <c r="A1017" s="243"/>
      <c r="B1017" s="15"/>
      <c r="C1017" s="15"/>
      <c r="D1017" s="15"/>
      <c r="E1017" s="379"/>
      <c r="F1017" s="15"/>
      <c r="G1017" s="250"/>
      <c r="H1017" s="380"/>
      <c r="I1017" s="15"/>
      <c r="J1017" s="31"/>
      <c r="K1017" s="243"/>
      <c r="L1017" s="15"/>
      <c r="M1017" s="243"/>
      <c r="N1017" s="243"/>
      <c r="O1017" s="243"/>
      <c r="P1017" s="243"/>
      <c r="Q1017" s="243"/>
    </row>
    <row r="1018">
      <c r="A1018" s="243"/>
      <c r="B1018" s="15"/>
      <c r="C1018" s="15"/>
      <c r="D1018" s="15"/>
      <c r="E1018" s="379"/>
      <c r="F1018" s="15"/>
      <c r="G1018" s="250"/>
      <c r="H1018" s="380"/>
      <c r="I1018" s="15"/>
      <c r="J1018" s="31"/>
      <c r="K1018" s="243"/>
      <c r="L1018" s="15"/>
      <c r="M1018" s="243"/>
      <c r="N1018" s="243"/>
      <c r="O1018" s="243"/>
      <c r="P1018" s="243"/>
      <c r="Q1018" s="243"/>
    </row>
    <row r="1019">
      <c r="A1019" s="243"/>
      <c r="B1019" s="15"/>
      <c r="C1019" s="15"/>
      <c r="D1019" s="15"/>
      <c r="E1019" s="379"/>
      <c r="F1019" s="15"/>
      <c r="G1019" s="250"/>
      <c r="H1019" s="380"/>
      <c r="I1019" s="15"/>
      <c r="J1019" s="31"/>
      <c r="K1019" s="243"/>
      <c r="L1019" s="15"/>
      <c r="M1019" s="243"/>
      <c r="N1019" s="243"/>
      <c r="O1019" s="243"/>
      <c r="P1019" s="243"/>
      <c r="Q1019" s="243"/>
    </row>
    <row r="1020">
      <c r="A1020" s="243"/>
      <c r="B1020" s="15"/>
      <c r="C1020" s="15"/>
      <c r="D1020" s="15"/>
      <c r="E1020" s="379"/>
      <c r="F1020" s="15"/>
      <c r="G1020" s="250"/>
      <c r="H1020" s="380"/>
      <c r="I1020" s="15"/>
      <c r="J1020" s="31"/>
      <c r="K1020" s="243"/>
      <c r="L1020" s="15"/>
      <c r="M1020" s="243"/>
      <c r="N1020" s="243"/>
      <c r="O1020" s="243"/>
      <c r="P1020" s="243"/>
      <c r="Q1020" s="243"/>
    </row>
    <row r="1021">
      <c r="A1021" s="243"/>
      <c r="B1021" s="15"/>
      <c r="C1021" s="15"/>
      <c r="D1021" s="15"/>
      <c r="E1021" s="379"/>
      <c r="F1021" s="15"/>
      <c r="G1021" s="250"/>
      <c r="H1021" s="380"/>
      <c r="I1021" s="15"/>
      <c r="J1021" s="31"/>
      <c r="K1021" s="243"/>
      <c r="L1021" s="15"/>
      <c r="M1021" s="243"/>
      <c r="N1021" s="243"/>
      <c r="O1021" s="243"/>
      <c r="P1021" s="243"/>
      <c r="Q1021" s="243"/>
    </row>
    <row r="1022">
      <c r="A1022" s="243"/>
      <c r="B1022" s="15"/>
      <c r="C1022" s="15"/>
      <c r="D1022" s="15"/>
      <c r="E1022" s="379"/>
      <c r="F1022" s="15"/>
      <c r="G1022" s="250"/>
      <c r="H1022" s="380"/>
      <c r="I1022" s="15"/>
      <c r="J1022" s="31"/>
      <c r="K1022" s="243"/>
      <c r="L1022" s="15"/>
      <c r="M1022" s="243"/>
      <c r="N1022" s="243"/>
      <c r="O1022" s="243"/>
      <c r="P1022" s="243"/>
      <c r="Q1022" s="243"/>
    </row>
    <row r="1023">
      <c r="A1023" s="243"/>
      <c r="B1023" s="15"/>
      <c r="C1023" s="15"/>
      <c r="D1023" s="15"/>
      <c r="E1023" s="379"/>
      <c r="F1023" s="15"/>
      <c r="G1023" s="250"/>
      <c r="H1023" s="380"/>
      <c r="I1023" s="15"/>
      <c r="J1023" s="31"/>
      <c r="K1023" s="243"/>
      <c r="L1023" s="15"/>
      <c r="M1023" s="243"/>
      <c r="N1023" s="243"/>
      <c r="O1023" s="243"/>
      <c r="P1023" s="243"/>
      <c r="Q1023" s="243"/>
    </row>
    <row r="1024">
      <c r="A1024" s="243"/>
      <c r="B1024" s="15"/>
      <c r="C1024" s="15"/>
      <c r="D1024" s="15"/>
      <c r="E1024" s="379"/>
      <c r="F1024" s="15"/>
      <c r="G1024" s="250"/>
      <c r="H1024" s="380"/>
      <c r="I1024" s="15"/>
      <c r="J1024" s="31"/>
      <c r="K1024" s="243"/>
      <c r="L1024" s="15"/>
      <c r="M1024" s="243"/>
      <c r="N1024" s="243"/>
      <c r="O1024" s="243"/>
      <c r="P1024" s="243"/>
      <c r="Q1024" s="243"/>
    </row>
    <row r="1025">
      <c r="A1025" s="243"/>
      <c r="B1025" s="15"/>
      <c r="C1025" s="15"/>
      <c r="D1025" s="15"/>
      <c r="E1025" s="379"/>
      <c r="F1025" s="15"/>
      <c r="G1025" s="250"/>
      <c r="H1025" s="380"/>
      <c r="I1025" s="15"/>
      <c r="J1025" s="31"/>
      <c r="K1025" s="243"/>
      <c r="L1025" s="15"/>
      <c r="M1025" s="243"/>
      <c r="N1025" s="243"/>
      <c r="O1025" s="243"/>
      <c r="P1025" s="243"/>
      <c r="Q1025" s="243"/>
    </row>
    <row r="1026">
      <c r="A1026" s="243"/>
      <c r="B1026" s="15"/>
      <c r="C1026" s="15"/>
      <c r="D1026" s="15"/>
      <c r="E1026" s="379"/>
      <c r="F1026" s="15"/>
      <c r="G1026" s="250"/>
      <c r="H1026" s="380"/>
      <c r="I1026" s="15"/>
      <c r="J1026" s="31"/>
      <c r="K1026" s="243"/>
      <c r="L1026" s="15"/>
      <c r="M1026" s="243"/>
      <c r="N1026" s="243"/>
      <c r="O1026" s="243"/>
      <c r="P1026" s="243"/>
      <c r="Q1026" s="243"/>
    </row>
    <row r="1027">
      <c r="A1027" s="243"/>
      <c r="B1027" s="15"/>
      <c r="C1027" s="15"/>
      <c r="D1027" s="15"/>
      <c r="E1027" s="379"/>
      <c r="F1027" s="15"/>
      <c r="G1027" s="250"/>
      <c r="H1027" s="380"/>
      <c r="I1027" s="15"/>
      <c r="J1027" s="31"/>
      <c r="K1027" s="243"/>
      <c r="L1027" s="15"/>
      <c r="M1027" s="243"/>
      <c r="N1027" s="243"/>
      <c r="O1027" s="243"/>
      <c r="P1027" s="243"/>
      <c r="Q1027" s="243"/>
    </row>
    <row r="1028">
      <c r="A1028" s="243"/>
      <c r="B1028" s="15"/>
      <c r="C1028" s="15"/>
      <c r="D1028" s="15"/>
      <c r="E1028" s="379"/>
      <c r="F1028" s="15"/>
      <c r="G1028" s="250"/>
      <c r="H1028" s="380"/>
      <c r="I1028" s="15"/>
      <c r="J1028" s="31"/>
      <c r="K1028" s="243"/>
      <c r="L1028" s="15"/>
      <c r="M1028" s="243"/>
      <c r="N1028" s="243"/>
      <c r="O1028" s="243"/>
      <c r="P1028" s="243"/>
      <c r="Q1028" s="243"/>
    </row>
  </sheetData>
  <mergeCells count="99">
    <mergeCell ref="B130:F130"/>
    <mergeCell ref="B133:F133"/>
    <mergeCell ref="B136:E136"/>
    <mergeCell ref="B138:F138"/>
    <mergeCell ref="B142:E142"/>
    <mergeCell ref="B144:F144"/>
    <mergeCell ref="B150:E150"/>
    <mergeCell ref="B152:F152"/>
    <mergeCell ref="B157:E157"/>
    <mergeCell ref="B159:F159"/>
    <mergeCell ref="B162:E162"/>
    <mergeCell ref="B164:F164"/>
    <mergeCell ref="B169:E169"/>
    <mergeCell ref="B171:F171"/>
    <mergeCell ref="B176:E176"/>
    <mergeCell ref="B178:F178"/>
    <mergeCell ref="B183:E183"/>
    <mergeCell ref="B185:F185"/>
    <mergeCell ref="B188:F188"/>
    <mergeCell ref="B191:F191"/>
    <mergeCell ref="B194:F194"/>
    <mergeCell ref="B199:E199"/>
    <mergeCell ref="B201:F201"/>
    <mergeCell ref="B204:E204"/>
    <mergeCell ref="B206:F206"/>
    <mergeCell ref="B209:E209"/>
    <mergeCell ref="B211:F211"/>
    <mergeCell ref="B214:F214"/>
    <mergeCell ref="B220:E220"/>
    <mergeCell ref="B222:F222"/>
    <mergeCell ref="B226:E226"/>
    <mergeCell ref="B228:F228"/>
    <mergeCell ref="B230:F230"/>
    <mergeCell ref="B235:E235"/>
    <mergeCell ref="B237:F237"/>
    <mergeCell ref="B265:F265"/>
    <mergeCell ref="B270:E270"/>
    <mergeCell ref="B272:F272"/>
    <mergeCell ref="B277:E277"/>
    <mergeCell ref="B279:F279"/>
    <mergeCell ref="B284:E284"/>
    <mergeCell ref="B286:F286"/>
    <mergeCell ref="B291:E291"/>
    <mergeCell ref="B242:E242"/>
    <mergeCell ref="B244:F244"/>
    <mergeCell ref="B249:E249"/>
    <mergeCell ref="B251:F251"/>
    <mergeCell ref="B256:E256"/>
    <mergeCell ref="B258:F258"/>
    <mergeCell ref="B263:E263"/>
    <mergeCell ref="B2:B3"/>
    <mergeCell ref="C2:C3"/>
    <mergeCell ref="D2:D3"/>
    <mergeCell ref="E2:E3"/>
    <mergeCell ref="G2:G3"/>
    <mergeCell ref="H2:H3"/>
    <mergeCell ref="I2:I3"/>
    <mergeCell ref="F2:F3"/>
    <mergeCell ref="B4:F4"/>
    <mergeCell ref="B9:E9"/>
    <mergeCell ref="B11:F11"/>
    <mergeCell ref="B16:E16"/>
    <mergeCell ref="B18:F18"/>
    <mergeCell ref="B21:E21"/>
    <mergeCell ref="B23:F23"/>
    <mergeCell ref="B28:E28"/>
    <mergeCell ref="B30:F30"/>
    <mergeCell ref="B33:E33"/>
    <mergeCell ref="B35:F35"/>
    <mergeCell ref="B40:E40"/>
    <mergeCell ref="B42:F42"/>
    <mergeCell ref="B47:E47"/>
    <mergeCell ref="B49:F49"/>
    <mergeCell ref="B52:E52"/>
    <mergeCell ref="B54:F54"/>
    <mergeCell ref="B59:E59"/>
    <mergeCell ref="B61:F61"/>
    <mergeCell ref="B65:E65"/>
    <mergeCell ref="B67:F67"/>
    <mergeCell ref="B70:E70"/>
    <mergeCell ref="B72:F72"/>
    <mergeCell ref="B77:E77"/>
    <mergeCell ref="B79:F79"/>
    <mergeCell ref="B84:E84"/>
    <mergeCell ref="B86:F86"/>
    <mergeCell ref="B91:E91"/>
    <mergeCell ref="B93:F93"/>
    <mergeCell ref="B98:E98"/>
    <mergeCell ref="B100:F100"/>
    <mergeCell ref="B103:E103"/>
    <mergeCell ref="B105:F105"/>
    <mergeCell ref="B108:F108"/>
    <mergeCell ref="B111:E111"/>
    <mergeCell ref="B113:F113"/>
    <mergeCell ref="B116:E116"/>
    <mergeCell ref="B118:F118"/>
    <mergeCell ref="B123:E123"/>
    <mergeCell ref="B125:F125"/>
    <mergeCell ref="B128:E128"/>
  </mergeCells>
  <printOptions gridLines="1" horizontalCentered="1"/>
  <pageMargins bottom="0.75" footer="0.0" header="0.0" left="0.25" right="0.25"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5"/>
    <col customWidth="1" min="2" max="2" width="3.0"/>
    <col customWidth="1" min="3" max="3" width="8.13"/>
    <col customWidth="1" min="4" max="4" width="5.38"/>
    <col customWidth="1" min="5" max="5" width="6.75"/>
    <col customWidth="1" min="6" max="6" width="11.13"/>
    <col customWidth="1" min="7" max="7" width="7.75"/>
    <col customWidth="1" min="8" max="8" width="7.88"/>
    <col customWidth="1" min="9" max="9" width="10.0"/>
    <col customWidth="1" min="10" max="10" width="14.25"/>
    <col customWidth="1" hidden="1" min="11" max="14" width="7.88"/>
  </cols>
  <sheetData>
    <row r="1" ht="9.75" customHeight="1">
      <c r="A1" s="340"/>
      <c r="B1" s="242"/>
      <c r="C1" s="242"/>
      <c r="D1" s="242"/>
      <c r="E1" s="243"/>
      <c r="F1" s="242"/>
      <c r="G1" s="244">
        <v>0.05</v>
      </c>
      <c r="H1" s="389"/>
      <c r="I1" s="13"/>
      <c r="J1" s="13"/>
      <c r="K1" s="242"/>
      <c r="L1" s="242"/>
      <c r="M1" s="242"/>
      <c r="N1" s="242"/>
    </row>
    <row r="2" ht="36.75" customHeight="1">
      <c r="A2" s="373"/>
      <c r="B2" s="246" t="s">
        <v>0</v>
      </c>
      <c r="C2" s="33" t="s">
        <v>1502</v>
      </c>
      <c r="D2" s="33" t="s">
        <v>24</v>
      </c>
      <c r="E2" s="28" t="s">
        <v>18</v>
      </c>
      <c r="F2" s="247" t="str">
        <f>' CPVC PIPE'!F2</f>
        <v>MRP as on 1st May, 2024</v>
      </c>
      <c r="G2" s="28" t="s">
        <v>6</v>
      </c>
      <c r="H2" s="248" t="s">
        <v>26</v>
      </c>
      <c r="I2" s="38" t="s">
        <v>8</v>
      </c>
      <c r="J2" s="248" t="s">
        <v>26</v>
      </c>
      <c r="K2" s="39"/>
      <c r="L2" s="39" t="s">
        <v>1907</v>
      </c>
      <c r="M2" s="39"/>
      <c r="N2" s="39"/>
    </row>
    <row r="3" ht="46.5" customHeight="1">
      <c r="A3" s="373"/>
      <c r="B3" s="41"/>
      <c r="C3" s="41"/>
      <c r="D3" s="41"/>
      <c r="E3" s="41"/>
      <c r="F3" s="41"/>
      <c r="G3" s="41"/>
      <c r="H3" s="41"/>
      <c r="I3" s="41"/>
      <c r="J3" s="41"/>
      <c r="K3" s="39"/>
      <c r="L3" s="39" t="s">
        <v>1908</v>
      </c>
      <c r="M3" s="39"/>
      <c r="N3" s="39"/>
    </row>
    <row r="4" ht="22.5" customHeight="1">
      <c r="A4" s="340"/>
      <c r="B4" s="249" t="s">
        <v>1909</v>
      </c>
      <c r="C4" s="45"/>
      <c r="D4" s="45"/>
      <c r="E4" s="45"/>
      <c r="F4" s="46"/>
      <c r="G4" s="250"/>
      <c r="H4" s="389"/>
      <c r="I4" s="13"/>
      <c r="J4" s="13"/>
      <c r="K4" s="242"/>
      <c r="L4" s="242"/>
      <c r="M4" s="242"/>
      <c r="N4" s="242"/>
    </row>
    <row r="5" ht="15.75" customHeight="1">
      <c r="A5" s="373" t="str">
        <f t="shared" ref="A5:A45" si="1">$B$4&amp;C5&amp;D5</f>
        <v>6 METERS2.5 KG90</v>
      </c>
      <c r="B5" s="253">
        <v>1.0</v>
      </c>
      <c r="C5" s="390" t="s">
        <v>1912</v>
      </c>
      <c r="D5" s="391">
        <v>90.0</v>
      </c>
      <c r="E5" s="129" t="s">
        <v>1914</v>
      </c>
      <c r="F5" s="255">
        <v>990.0</v>
      </c>
      <c r="G5" s="58">
        <v>3.65</v>
      </c>
      <c r="H5" s="256">
        <f t="shared" ref="H5:H45" si="2">IFERROR(F5/G5,"")</f>
        <v>271.2328767</v>
      </c>
      <c r="I5" s="392">
        <v>990.0</v>
      </c>
      <c r="J5" s="393">
        <f t="shared" ref="J5:J45" si="3">I5/G5</f>
        <v>271.2328767</v>
      </c>
      <c r="K5" s="394">
        <f t="shared" ref="K5:K32" si="4">F5/6</f>
        <v>165</v>
      </c>
      <c r="L5" s="316">
        <v>111.0</v>
      </c>
      <c r="M5" s="395">
        <f t="shared" ref="M5:M45" si="5">IFERROR(K5/L5,"")</f>
        <v>1.486486486</v>
      </c>
      <c r="N5" s="395"/>
    </row>
    <row r="6" ht="15.75" customHeight="1">
      <c r="A6" s="373" t="str">
        <f t="shared" si="1"/>
        <v>6 METERS2.5 KG110</v>
      </c>
      <c r="B6" s="277">
        <f t="shared" ref="B6:B45" si="6">B5+1</f>
        <v>2</v>
      </c>
      <c r="C6" s="390" t="s">
        <v>1912</v>
      </c>
      <c r="D6" s="396">
        <v>110.0</v>
      </c>
      <c r="E6" s="94" t="s">
        <v>1920</v>
      </c>
      <c r="F6" s="255">
        <v>1480.0</v>
      </c>
      <c r="G6" s="58">
        <v>5.35</v>
      </c>
      <c r="H6" s="256">
        <f t="shared" si="2"/>
        <v>276.635514</v>
      </c>
      <c r="I6" s="392">
        <v>1480.0</v>
      </c>
      <c r="J6" s="393">
        <f t="shared" si="3"/>
        <v>276.635514</v>
      </c>
      <c r="K6" s="394">
        <f t="shared" si="4"/>
        <v>246.6666667</v>
      </c>
      <c r="L6" s="316">
        <v>163.0</v>
      </c>
      <c r="M6" s="395">
        <f t="shared" si="5"/>
        <v>1.513292434</v>
      </c>
      <c r="N6" s="395"/>
    </row>
    <row r="7" ht="15.75" customHeight="1">
      <c r="A7" s="373" t="str">
        <f t="shared" si="1"/>
        <v>6 METERS2.5 KG125</v>
      </c>
      <c r="B7" s="277">
        <f t="shared" si="6"/>
        <v>3</v>
      </c>
      <c r="C7" s="390" t="s">
        <v>1912</v>
      </c>
      <c r="D7" s="396">
        <v>125.0</v>
      </c>
      <c r="E7" s="94" t="s">
        <v>1925</v>
      </c>
      <c r="F7" s="255">
        <v>1870.0</v>
      </c>
      <c r="G7" s="58">
        <v>6.8</v>
      </c>
      <c r="H7" s="256">
        <f t="shared" si="2"/>
        <v>275</v>
      </c>
      <c r="I7" s="392">
        <v>1870.0</v>
      </c>
      <c r="J7" s="393">
        <f t="shared" si="3"/>
        <v>275</v>
      </c>
      <c r="K7" s="394">
        <f t="shared" si="4"/>
        <v>311.6666667</v>
      </c>
      <c r="L7" s="393"/>
      <c r="M7" s="395" t="str">
        <f t="shared" si="5"/>
        <v/>
      </c>
      <c r="N7" s="395"/>
    </row>
    <row r="8" ht="15.75" customHeight="1">
      <c r="A8" s="373" t="str">
        <f t="shared" si="1"/>
        <v>6 METERS2.5 KG140</v>
      </c>
      <c r="B8" s="277">
        <f t="shared" si="6"/>
        <v>4</v>
      </c>
      <c r="C8" s="390" t="s">
        <v>1912</v>
      </c>
      <c r="D8" s="396">
        <v>140.0</v>
      </c>
      <c r="E8" s="94" t="s">
        <v>1926</v>
      </c>
      <c r="F8" s="255">
        <v>2290.0</v>
      </c>
      <c r="G8" s="58">
        <v>8.4</v>
      </c>
      <c r="H8" s="256">
        <f t="shared" si="2"/>
        <v>272.6190476</v>
      </c>
      <c r="I8" s="392">
        <v>2290.0</v>
      </c>
      <c r="J8" s="393">
        <f t="shared" si="3"/>
        <v>272.6190476</v>
      </c>
      <c r="K8" s="394">
        <f t="shared" si="4"/>
        <v>381.6666667</v>
      </c>
      <c r="L8" s="316">
        <v>263.0</v>
      </c>
      <c r="M8" s="395">
        <f t="shared" si="5"/>
        <v>1.451204056</v>
      </c>
      <c r="N8" s="395"/>
    </row>
    <row r="9" ht="15.75" customHeight="1">
      <c r="A9" s="373" t="str">
        <f t="shared" si="1"/>
        <v>6 METERS2.5 KG160</v>
      </c>
      <c r="B9" s="277">
        <f t="shared" si="6"/>
        <v>5</v>
      </c>
      <c r="C9" s="390" t="s">
        <v>1912</v>
      </c>
      <c r="D9" s="396">
        <v>160.0</v>
      </c>
      <c r="E9" s="94" t="s">
        <v>1927</v>
      </c>
      <c r="F9" s="255">
        <v>3090.0</v>
      </c>
      <c r="G9" s="58">
        <v>11.25</v>
      </c>
      <c r="H9" s="256">
        <f t="shared" si="2"/>
        <v>274.6666667</v>
      </c>
      <c r="I9" s="392">
        <v>3090.0</v>
      </c>
      <c r="J9" s="393">
        <f t="shared" si="3"/>
        <v>274.6666667</v>
      </c>
      <c r="K9" s="394">
        <f t="shared" si="4"/>
        <v>515</v>
      </c>
      <c r="L9" s="316">
        <v>341.0</v>
      </c>
      <c r="M9" s="395">
        <f t="shared" si="5"/>
        <v>1.51026393</v>
      </c>
      <c r="N9" s="395"/>
    </row>
    <row r="10" ht="15.75" customHeight="1">
      <c r="A10" s="373" t="str">
        <f t="shared" si="1"/>
        <v>6 METERS2.5 KG180</v>
      </c>
      <c r="B10" s="277">
        <f t="shared" si="6"/>
        <v>6</v>
      </c>
      <c r="C10" s="390" t="s">
        <v>1912</v>
      </c>
      <c r="D10" s="396">
        <v>180.0</v>
      </c>
      <c r="E10" s="94" t="s">
        <v>1929</v>
      </c>
      <c r="F10" s="255">
        <v>3940.0</v>
      </c>
      <c r="G10" s="58">
        <v>14.5</v>
      </c>
      <c r="H10" s="256">
        <f t="shared" si="2"/>
        <v>271.7241379</v>
      </c>
      <c r="I10" s="392">
        <v>3940.0</v>
      </c>
      <c r="J10" s="393">
        <f t="shared" si="3"/>
        <v>271.7241379</v>
      </c>
      <c r="K10" s="394">
        <f t="shared" si="4"/>
        <v>656.6666667</v>
      </c>
      <c r="L10" s="393"/>
      <c r="M10" s="395" t="str">
        <f t="shared" si="5"/>
        <v/>
      </c>
      <c r="N10" s="395"/>
    </row>
    <row r="11" ht="15.75" customHeight="1">
      <c r="A11" s="373" t="str">
        <f t="shared" si="1"/>
        <v>6 METERS2.5 KG200</v>
      </c>
      <c r="B11" s="277">
        <f t="shared" si="6"/>
        <v>7</v>
      </c>
      <c r="C11" s="390" t="s">
        <v>1912</v>
      </c>
      <c r="D11" s="396">
        <v>200.0</v>
      </c>
      <c r="E11" s="94" t="s">
        <v>1930</v>
      </c>
      <c r="F11" s="255">
        <v>4890.0</v>
      </c>
      <c r="G11" s="58">
        <v>17.8</v>
      </c>
      <c r="H11" s="256">
        <f t="shared" si="2"/>
        <v>274.7191011</v>
      </c>
      <c r="I11" s="392">
        <v>4890.0</v>
      </c>
      <c r="J11" s="393">
        <f t="shared" si="3"/>
        <v>274.7191011</v>
      </c>
      <c r="K11" s="394">
        <f t="shared" si="4"/>
        <v>815</v>
      </c>
      <c r="L11" s="316">
        <v>530.0</v>
      </c>
      <c r="M11" s="395">
        <f t="shared" si="5"/>
        <v>1.537735849</v>
      </c>
      <c r="N11" s="395"/>
    </row>
    <row r="12" ht="15.75" customHeight="1">
      <c r="A12" s="373" t="str">
        <f t="shared" si="1"/>
        <v>6 METERS4 KG63</v>
      </c>
      <c r="B12" s="277">
        <f t="shared" si="6"/>
        <v>8</v>
      </c>
      <c r="C12" s="390" t="s">
        <v>1932</v>
      </c>
      <c r="D12" s="396">
        <v>63.0</v>
      </c>
      <c r="E12" s="94" t="s">
        <v>1933</v>
      </c>
      <c r="F12" s="255">
        <v>796.0</v>
      </c>
      <c r="G12" s="58">
        <v>2.95</v>
      </c>
      <c r="H12" s="256">
        <f t="shared" si="2"/>
        <v>269.8305085</v>
      </c>
      <c r="I12" s="392">
        <v>796.0</v>
      </c>
      <c r="J12" s="393">
        <f t="shared" si="3"/>
        <v>269.8305085</v>
      </c>
      <c r="K12" s="394">
        <f t="shared" si="4"/>
        <v>132.6666667</v>
      </c>
      <c r="L12" s="316">
        <v>88.0</v>
      </c>
      <c r="M12" s="395">
        <f t="shared" si="5"/>
        <v>1.507575758</v>
      </c>
      <c r="N12" s="395"/>
    </row>
    <row r="13" ht="15.75" customHeight="1">
      <c r="A13" s="373" t="str">
        <f t="shared" si="1"/>
        <v>6 METERS4 KG75</v>
      </c>
      <c r="B13" s="277">
        <f t="shared" si="6"/>
        <v>9</v>
      </c>
      <c r="C13" s="390" t="s">
        <v>1932</v>
      </c>
      <c r="D13" s="396">
        <v>75.0</v>
      </c>
      <c r="E13" s="94" t="s">
        <v>1936</v>
      </c>
      <c r="F13" s="255">
        <v>1096.0</v>
      </c>
      <c r="G13" s="58">
        <v>4.1</v>
      </c>
      <c r="H13" s="256">
        <f t="shared" si="2"/>
        <v>267.3170732</v>
      </c>
      <c r="I13" s="392">
        <v>1096.0</v>
      </c>
      <c r="J13" s="393">
        <f t="shared" si="3"/>
        <v>267.3170732</v>
      </c>
      <c r="K13" s="394">
        <f t="shared" si="4"/>
        <v>182.6666667</v>
      </c>
      <c r="L13" s="316">
        <v>123.0</v>
      </c>
      <c r="M13" s="395">
        <f t="shared" si="5"/>
        <v>1.485094851</v>
      </c>
      <c r="N13" s="395"/>
    </row>
    <row r="14" ht="15.75" customHeight="1">
      <c r="A14" s="373" t="str">
        <f t="shared" si="1"/>
        <v>6 METERS4 KG90</v>
      </c>
      <c r="B14" s="277">
        <f t="shared" si="6"/>
        <v>10</v>
      </c>
      <c r="C14" s="390" t="s">
        <v>1932</v>
      </c>
      <c r="D14" s="396">
        <v>90.0</v>
      </c>
      <c r="E14" s="94" t="s">
        <v>1938</v>
      </c>
      <c r="F14" s="255">
        <v>1496.0</v>
      </c>
      <c r="G14" s="58">
        <v>5.55</v>
      </c>
      <c r="H14" s="256">
        <f t="shared" si="2"/>
        <v>269.5495495</v>
      </c>
      <c r="I14" s="392">
        <v>1496.0</v>
      </c>
      <c r="J14" s="393">
        <f t="shared" si="3"/>
        <v>269.5495495</v>
      </c>
      <c r="K14" s="394">
        <f t="shared" si="4"/>
        <v>249.3333333</v>
      </c>
      <c r="L14" s="316">
        <v>171.0</v>
      </c>
      <c r="M14" s="395">
        <f t="shared" si="5"/>
        <v>1.458089669</v>
      </c>
      <c r="N14" s="395"/>
    </row>
    <row r="15" ht="15.75" customHeight="1">
      <c r="A15" s="373" t="str">
        <f t="shared" si="1"/>
        <v>6 METERS4 KG110</v>
      </c>
      <c r="B15" s="277">
        <f t="shared" si="6"/>
        <v>11</v>
      </c>
      <c r="C15" s="390" t="s">
        <v>1932</v>
      </c>
      <c r="D15" s="396">
        <v>110.0</v>
      </c>
      <c r="E15" s="94" t="s">
        <v>1940</v>
      </c>
      <c r="F15" s="255">
        <v>2196.0</v>
      </c>
      <c r="G15" s="58">
        <v>8.0</v>
      </c>
      <c r="H15" s="256">
        <f t="shared" si="2"/>
        <v>274.5</v>
      </c>
      <c r="I15" s="392">
        <v>2196.0</v>
      </c>
      <c r="J15" s="393">
        <f t="shared" si="3"/>
        <v>274.5</v>
      </c>
      <c r="K15" s="394">
        <f t="shared" si="4"/>
        <v>366</v>
      </c>
      <c r="L15" s="316">
        <v>250.0</v>
      </c>
      <c r="M15" s="395">
        <f t="shared" si="5"/>
        <v>1.464</v>
      </c>
      <c r="N15" s="395"/>
    </row>
    <row r="16" ht="15.75" customHeight="1">
      <c r="A16" s="373" t="str">
        <f t="shared" si="1"/>
        <v>6 METERS4 KG125</v>
      </c>
      <c r="B16" s="277">
        <f t="shared" si="6"/>
        <v>12</v>
      </c>
      <c r="C16" s="390" t="s">
        <v>1932</v>
      </c>
      <c r="D16" s="396">
        <v>125.0</v>
      </c>
      <c r="E16" s="94" t="s">
        <v>1942</v>
      </c>
      <c r="F16" s="255">
        <v>2896.0</v>
      </c>
      <c r="G16" s="58">
        <v>10.5</v>
      </c>
      <c r="H16" s="256">
        <f t="shared" si="2"/>
        <v>275.8095238</v>
      </c>
      <c r="I16" s="392">
        <v>2896.0</v>
      </c>
      <c r="J16" s="393">
        <f t="shared" si="3"/>
        <v>275.8095238</v>
      </c>
      <c r="K16" s="394">
        <f t="shared" si="4"/>
        <v>482.6666667</v>
      </c>
      <c r="L16" s="393"/>
      <c r="M16" s="395" t="str">
        <f t="shared" si="5"/>
        <v/>
      </c>
      <c r="N16" s="395"/>
    </row>
    <row r="17" ht="15.75" customHeight="1">
      <c r="A17" s="373" t="str">
        <f t="shared" si="1"/>
        <v>6 METERS4 KG140</v>
      </c>
      <c r="B17" s="277">
        <f t="shared" si="6"/>
        <v>13</v>
      </c>
      <c r="C17" s="390" t="s">
        <v>1932</v>
      </c>
      <c r="D17" s="396">
        <v>140.0</v>
      </c>
      <c r="E17" s="94" t="s">
        <v>1943</v>
      </c>
      <c r="F17" s="255">
        <v>3648.0</v>
      </c>
      <c r="G17" s="58">
        <v>12.7</v>
      </c>
      <c r="H17" s="256">
        <f t="shared" si="2"/>
        <v>287.2440945</v>
      </c>
      <c r="I17" s="392">
        <v>3648.0</v>
      </c>
      <c r="J17" s="393">
        <f t="shared" si="3"/>
        <v>287.2440945</v>
      </c>
      <c r="K17" s="394">
        <f t="shared" si="4"/>
        <v>608</v>
      </c>
      <c r="L17" s="393"/>
      <c r="M17" s="395" t="str">
        <f t="shared" si="5"/>
        <v/>
      </c>
      <c r="N17" s="395"/>
    </row>
    <row r="18" ht="15.75" customHeight="1">
      <c r="A18" s="373" t="str">
        <f t="shared" si="1"/>
        <v>6 METERS4 KG160</v>
      </c>
      <c r="B18" s="277">
        <f t="shared" si="6"/>
        <v>14</v>
      </c>
      <c r="C18" s="390" t="s">
        <v>1932</v>
      </c>
      <c r="D18" s="396">
        <v>160.0</v>
      </c>
      <c r="E18" s="94" t="s">
        <v>1944</v>
      </c>
      <c r="F18" s="255">
        <v>4790.0</v>
      </c>
      <c r="G18" s="58">
        <v>17.5</v>
      </c>
      <c r="H18" s="256">
        <f t="shared" si="2"/>
        <v>273.7142857</v>
      </c>
      <c r="I18" s="392">
        <v>4790.0</v>
      </c>
      <c r="J18" s="393">
        <f t="shared" si="3"/>
        <v>273.7142857</v>
      </c>
      <c r="K18" s="394">
        <f t="shared" si="4"/>
        <v>798.3333333</v>
      </c>
      <c r="L18" s="316">
        <v>545.0</v>
      </c>
      <c r="M18" s="395">
        <f t="shared" si="5"/>
        <v>1.464831804</v>
      </c>
      <c r="N18" s="395"/>
    </row>
    <row r="19" ht="15.75" customHeight="1">
      <c r="A19" s="373" t="str">
        <f t="shared" si="1"/>
        <v>6 METERS4 KG180</v>
      </c>
      <c r="B19" s="277">
        <f t="shared" si="6"/>
        <v>15</v>
      </c>
      <c r="C19" s="390" t="s">
        <v>1932</v>
      </c>
      <c r="D19" s="396">
        <v>180.0</v>
      </c>
      <c r="E19" s="94" t="s">
        <v>1945</v>
      </c>
      <c r="F19" s="255">
        <v>6096.0</v>
      </c>
      <c r="G19" s="58">
        <v>22.0</v>
      </c>
      <c r="H19" s="256">
        <f t="shared" si="2"/>
        <v>277.0909091</v>
      </c>
      <c r="I19" s="392">
        <v>6096.0</v>
      </c>
      <c r="J19" s="393">
        <f t="shared" si="3"/>
        <v>277.0909091</v>
      </c>
      <c r="K19" s="394">
        <f t="shared" si="4"/>
        <v>1016</v>
      </c>
      <c r="L19" s="393"/>
      <c r="M19" s="395" t="str">
        <f t="shared" si="5"/>
        <v/>
      </c>
      <c r="N19" s="395"/>
    </row>
    <row r="20" ht="15.75" customHeight="1">
      <c r="A20" s="373" t="str">
        <f t="shared" si="1"/>
        <v>6 METERS4 KG200</v>
      </c>
      <c r="B20" s="277">
        <f t="shared" si="6"/>
        <v>16</v>
      </c>
      <c r="C20" s="390" t="s">
        <v>1932</v>
      </c>
      <c r="D20" s="396">
        <v>200.0</v>
      </c>
      <c r="E20" s="94" t="s">
        <v>1946</v>
      </c>
      <c r="F20" s="255">
        <v>7368.0</v>
      </c>
      <c r="G20" s="58">
        <v>26.5</v>
      </c>
      <c r="H20" s="256">
        <f t="shared" si="2"/>
        <v>278.0377358</v>
      </c>
      <c r="I20" s="392">
        <v>7368.0</v>
      </c>
      <c r="J20" s="393">
        <f t="shared" si="3"/>
        <v>278.0377358</v>
      </c>
      <c r="K20" s="394">
        <f t="shared" si="4"/>
        <v>1228</v>
      </c>
      <c r="L20" s="316">
        <v>842.0</v>
      </c>
      <c r="M20" s="395">
        <f t="shared" si="5"/>
        <v>1.458432304</v>
      </c>
      <c r="N20" s="395"/>
    </row>
    <row r="21" ht="15.75" customHeight="1">
      <c r="A21" s="373" t="str">
        <f t="shared" si="1"/>
        <v>6 METERS6 KG40</v>
      </c>
      <c r="B21" s="277">
        <f t="shared" si="6"/>
        <v>17</v>
      </c>
      <c r="C21" s="390" t="s">
        <v>1948</v>
      </c>
      <c r="D21" s="396">
        <v>40.0</v>
      </c>
      <c r="E21" s="94" t="s">
        <v>1949</v>
      </c>
      <c r="F21" s="255">
        <v>464.0</v>
      </c>
      <c r="G21" s="58">
        <v>1.7</v>
      </c>
      <c r="H21" s="256">
        <f t="shared" si="2"/>
        <v>272.9411765</v>
      </c>
      <c r="I21" s="392">
        <v>464.0</v>
      </c>
      <c r="J21" s="393">
        <f t="shared" si="3"/>
        <v>272.9411765</v>
      </c>
      <c r="K21" s="394">
        <f t="shared" si="4"/>
        <v>77.33333333</v>
      </c>
      <c r="L21" s="316">
        <v>53.0</v>
      </c>
      <c r="M21" s="395">
        <f t="shared" si="5"/>
        <v>1.459119497</v>
      </c>
      <c r="N21" s="395"/>
    </row>
    <row r="22" ht="15.75" customHeight="1">
      <c r="A22" s="373" t="str">
        <f t="shared" si="1"/>
        <v>6 METERS6 KG50</v>
      </c>
      <c r="B22" s="277">
        <f t="shared" si="6"/>
        <v>18</v>
      </c>
      <c r="C22" s="390" t="s">
        <v>1948</v>
      </c>
      <c r="D22" s="396">
        <v>50.0</v>
      </c>
      <c r="E22" s="94" t="s">
        <v>1950</v>
      </c>
      <c r="F22" s="255">
        <v>694.0</v>
      </c>
      <c r="G22" s="58">
        <v>2.55</v>
      </c>
      <c r="H22" s="256">
        <f t="shared" si="2"/>
        <v>272.1568627</v>
      </c>
      <c r="I22" s="392">
        <v>694.0</v>
      </c>
      <c r="J22" s="393">
        <f t="shared" si="3"/>
        <v>272.1568627</v>
      </c>
      <c r="K22" s="394">
        <f t="shared" si="4"/>
        <v>115.6666667</v>
      </c>
      <c r="L22" s="316">
        <v>78.0</v>
      </c>
      <c r="M22" s="395">
        <f t="shared" si="5"/>
        <v>1.482905983</v>
      </c>
      <c r="N22" s="395"/>
    </row>
    <row r="23" ht="15.75" customHeight="1">
      <c r="A23" s="373" t="str">
        <f t="shared" si="1"/>
        <v>6 METERS6 KG63</v>
      </c>
      <c r="B23" s="277">
        <f t="shared" si="6"/>
        <v>19</v>
      </c>
      <c r="C23" s="390" t="s">
        <v>1948</v>
      </c>
      <c r="D23" s="396">
        <v>63.0</v>
      </c>
      <c r="E23" s="94" t="s">
        <v>1952</v>
      </c>
      <c r="F23" s="255">
        <v>1094.0</v>
      </c>
      <c r="G23" s="58">
        <v>4.05</v>
      </c>
      <c r="H23" s="256">
        <f t="shared" si="2"/>
        <v>270.1234568</v>
      </c>
      <c r="I23" s="392">
        <v>1094.0</v>
      </c>
      <c r="J23" s="393">
        <f t="shared" si="3"/>
        <v>270.1234568</v>
      </c>
      <c r="K23" s="394">
        <f t="shared" si="4"/>
        <v>182.3333333</v>
      </c>
      <c r="L23" s="316">
        <v>126.0</v>
      </c>
      <c r="M23" s="395">
        <f t="shared" si="5"/>
        <v>1.447089947</v>
      </c>
      <c r="N23" s="395"/>
    </row>
    <row r="24" ht="15.75" customHeight="1">
      <c r="A24" s="373" t="str">
        <f t="shared" si="1"/>
        <v>6 METERS6 KG75</v>
      </c>
      <c r="B24" s="277">
        <f t="shared" si="6"/>
        <v>20</v>
      </c>
      <c r="C24" s="390" t="s">
        <v>1948</v>
      </c>
      <c r="D24" s="396">
        <v>75.0</v>
      </c>
      <c r="E24" s="94" t="s">
        <v>1953</v>
      </c>
      <c r="F24" s="255">
        <v>1528.0</v>
      </c>
      <c r="G24" s="58">
        <v>5.75</v>
      </c>
      <c r="H24" s="256">
        <f t="shared" si="2"/>
        <v>265.7391304</v>
      </c>
      <c r="I24" s="392">
        <v>1528.0</v>
      </c>
      <c r="J24" s="393">
        <f t="shared" si="3"/>
        <v>265.7391304</v>
      </c>
      <c r="K24" s="394">
        <f t="shared" si="4"/>
        <v>254.6666667</v>
      </c>
      <c r="L24" s="316">
        <v>174.0</v>
      </c>
      <c r="M24" s="395">
        <f t="shared" si="5"/>
        <v>1.463601533</v>
      </c>
      <c r="N24" s="395"/>
    </row>
    <row r="25" ht="15.75" customHeight="1">
      <c r="A25" s="373" t="str">
        <f t="shared" si="1"/>
        <v>6 METERS6 KG90</v>
      </c>
      <c r="B25" s="277">
        <f t="shared" si="6"/>
        <v>21</v>
      </c>
      <c r="C25" s="390" t="s">
        <v>1948</v>
      </c>
      <c r="D25" s="396">
        <v>90.0</v>
      </c>
      <c r="E25" s="94" t="s">
        <v>1954</v>
      </c>
      <c r="F25" s="255">
        <v>2148.0</v>
      </c>
      <c r="G25" s="58">
        <v>8.1</v>
      </c>
      <c r="H25" s="256">
        <f t="shared" si="2"/>
        <v>265.1851852</v>
      </c>
      <c r="I25" s="392">
        <v>2148.0</v>
      </c>
      <c r="J25" s="393">
        <f t="shared" si="3"/>
        <v>265.1851852</v>
      </c>
      <c r="K25" s="394">
        <f t="shared" si="4"/>
        <v>358</v>
      </c>
      <c r="L25" s="316">
        <v>248.0</v>
      </c>
      <c r="M25" s="395">
        <f t="shared" si="5"/>
        <v>1.443548387</v>
      </c>
      <c r="N25" s="395"/>
    </row>
    <row r="26" ht="15.75" customHeight="1">
      <c r="A26" s="373" t="str">
        <f t="shared" si="1"/>
        <v>6 METERS6 KG110</v>
      </c>
      <c r="B26" s="277">
        <f t="shared" si="6"/>
        <v>22</v>
      </c>
      <c r="C26" s="390" t="s">
        <v>1948</v>
      </c>
      <c r="D26" s="396">
        <v>110.0</v>
      </c>
      <c r="E26" s="94" t="s">
        <v>1956</v>
      </c>
      <c r="F26" s="255">
        <v>3148.0</v>
      </c>
      <c r="G26" s="58">
        <v>11.3</v>
      </c>
      <c r="H26" s="256">
        <f t="shared" si="2"/>
        <v>278.5840708</v>
      </c>
      <c r="I26" s="392">
        <v>3148.0</v>
      </c>
      <c r="J26" s="393">
        <f t="shared" si="3"/>
        <v>278.5840708</v>
      </c>
      <c r="K26" s="394">
        <f t="shared" si="4"/>
        <v>524.6666667</v>
      </c>
      <c r="L26" s="316">
        <v>367.0</v>
      </c>
      <c r="M26" s="395">
        <f t="shared" si="5"/>
        <v>1.429609446</v>
      </c>
      <c r="N26" s="395"/>
    </row>
    <row r="27" ht="15.75" customHeight="1">
      <c r="A27" s="373" t="str">
        <f t="shared" si="1"/>
        <v>6 METERS6 KG125</v>
      </c>
      <c r="B27" s="277">
        <f t="shared" si="6"/>
        <v>23</v>
      </c>
      <c r="C27" s="390" t="s">
        <v>1948</v>
      </c>
      <c r="D27" s="396">
        <v>125.0</v>
      </c>
      <c r="E27" s="94" t="s">
        <v>1957</v>
      </c>
      <c r="F27" s="255">
        <v>4188.0</v>
      </c>
      <c r="G27" s="58">
        <v>15.4</v>
      </c>
      <c r="H27" s="256">
        <f t="shared" si="2"/>
        <v>271.9480519</v>
      </c>
      <c r="I27" s="392">
        <v>4188.0</v>
      </c>
      <c r="J27" s="393">
        <f t="shared" si="3"/>
        <v>271.9480519</v>
      </c>
      <c r="K27" s="394">
        <f t="shared" si="4"/>
        <v>698</v>
      </c>
      <c r="L27" s="393"/>
      <c r="M27" s="395" t="str">
        <f t="shared" si="5"/>
        <v/>
      </c>
      <c r="N27" s="395"/>
    </row>
    <row r="28" ht="15.75" customHeight="1">
      <c r="A28" s="373" t="str">
        <f t="shared" si="1"/>
        <v>6 METERS6 KG140</v>
      </c>
      <c r="B28" s="277">
        <f t="shared" si="6"/>
        <v>24</v>
      </c>
      <c r="C28" s="390" t="s">
        <v>1948</v>
      </c>
      <c r="D28" s="396">
        <v>140.0</v>
      </c>
      <c r="E28" s="94" t="s">
        <v>1958</v>
      </c>
      <c r="F28" s="255">
        <v>5228.0</v>
      </c>
      <c r="G28" s="58">
        <v>18.5</v>
      </c>
      <c r="H28" s="256">
        <f t="shared" si="2"/>
        <v>282.5945946</v>
      </c>
      <c r="I28" s="392">
        <v>5228.0</v>
      </c>
      <c r="J28" s="393">
        <f t="shared" si="3"/>
        <v>282.5945946</v>
      </c>
      <c r="K28" s="394">
        <f t="shared" si="4"/>
        <v>871.3333333</v>
      </c>
      <c r="L28" s="393"/>
      <c r="M28" s="395" t="str">
        <f t="shared" si="5"/>
        <v/>
      </c>
      <c r="N28" s="395"/>
    </row>
    <row r="29" ht="15.75" customHeight="1">
      <c r="A29" s="373" t="str">
        <f t="shared" si="1"/>
        <v>6 METERS6 KG160</v>
      </c>
      <c r="B29" s="277">
        <f t="shared" si="6"/>
        <v>25</v>
      </c>
      <c r="C29" s="390" t="s">
        <v>1948</v>
      </c>
      <c r="D29" s="396">
        <v>160.0</v>
      </c>
      <c r="E29" s="94" t="s">
        <v>1960</v>
      </c>
      <c r="F29" s="255">
        <v>6696.0</v>
      </c>
      <c r="G29" s="58">
        <v>24.5</v>
      </c>
      <c r="H29" s="256">
        <f t="shared" si="2"/>
        <v>273.3061224</v>
      </c>
      <c r="I29" s="392">
        <v>6696.0</v>
      </c>
      <c r="J29" s="393">
        <f t="shared" si="3"/>
        <v>273.3061224</v>
      </c>
      <c r="K29" s="394">
        <f t="shared" si="4"/>
        <v>1116</v>
      </c>
      <c r="L29" s="316">
        <v>775.0</v>
      </c>
      <c r="M29" s="395">
        <f t="shared" si="5"/>
        <v>1.44</v>
      </c>
      <c r="N29" s="395"/>
    </row>
    <row r="30" ht="15.75" customHeight="1">
      <c r="A30" s="373" t="str">
        <f t="shared" si="1"/>
        <v>6 METERS6 KG180</v>
      </c>
      <c r="B30" s="277">
        <f t="shared" si="6"/>
        <v>26</v>
      </c>
      <c r="C30" s="390" t="s">
        <v>1948</v>
      </c>
      <c r="D30" s="396">
        <v>180.0</v>
      </c>
      <c r="E30" s="94" t="s">
        <v>1961</v>
      </c>
      <c r="F30" s="255">
        <v>8496.0</v>
      </c>
      <c r="G30" s="58">
        <v>30.65</v>
      </c>
      <c r="H30" s="256">
        <f t="shared" si="2"/>
        <v>277.1941272</v>
      </c>
      <c r="I30" s="392">
        <v>8496.0</v>
      </c>
      <c r="J30" s="393">
        <f t="shared" si="3"/>
        <v>277.1941272</v>
      </c>
      <c r="K30" s="394">
        <f t="shared" si="4"/>
        <v>1416</v>
      </c>
      <c r="L30" s="393"/>
      <c r="M30" s="395" t="str">
        <f t="shared" si="5"/>
        <v/>
      </c>
      <c r="N30" s="395"/>
    </row>
    <row r="31" ht="15.75" customHeight="1">
      <c r="A31" s="373" t="str">
        <f t="shared" si="1"/>
        <v>6 METERS6 KG200</v>
      </c>
      <c r="B31" s="277">
        <f t="shared" si="6"/>
        <v>27</v>
      </c>
      <c r="C31" s="390" t="s">
        <v>1948</v>
      </c>
      <c r="D31" s="396">
        <v>200.0</v>
      </c>
      <c r="E31" s="94" t="s">
        <v>1962</v>
      </c>
      <c r="F31" s="255">
        <v>10488.0</v>
      </c>
      <c r="G31" s="58">
        <v>37.65</v>
      </c>
      <c r="H31" s="256">
        <f t="shared" si="2"/>
        <v>278.5657371</v>
      </c>
      <c r="I31" s="392">
        <v>10488.0</v>
      </c>
      <c r="J31" s="393">
        <f t="shared" si="3"/>
        <v>278.5657371</v>
      </c>
      <c r="K31" s="394">
        <f t="shared" si="4"/>
        <v>1748</v>
      </c>
      <c r="L31" s="316">
        <v>1233.0</v>
      </c>
      <c r="M31" s="395">
        <f t="shared" si="5"/>
        <v>1.417680454</v>
      </c>
      <c r="N31" s="395"/>
    </row>
    <row r="32" ht="15.75" customHeight="1">
      <c r="A32" s="373" t="str">
        <f t="shared" si="1"/>
        <v>6 METERS10 KG20</v>
      </c>
      <c r="B32" s="277">
        <f t="shared" si="6"/>
        <v>28</v>
      </c>
      <c r="C32" s="51" t="s">
        <v>1963</v>
      </c>
      <c r="D32" s="92">
        <v>20.0</v>
      </c>
      <c r="E32" s="94" t="s">
        <v>1964</v>
      </c>
      <c r="F32" s="336">
        <v>222.0</v>
      </c>
      <c r="G32" s="58">
        <v>0.68</v>
      </c>
      <c r="H32" s="256">
        <f t="shared" si="2"/>
        <v>326.4705882</v>
      </c>
      <c r="I32" s="392">
        <v>196.0</v>
      </c>
      <c r="J32" s="393">
        <f t="shared" si="3"/>
        <v>288.2352941</v>
      </c>
      <c r="K32" s="394">
        <f t="shared" si="4"/>
        <v>37</v>
      </c>
      <c r="L32" s="397">
        <v>22.3</v>
      </c>
      <c r="M32" s="395">
        <f t="shared" si="5"/>
        <v>1.659192825</v>
      </c>
      <c r="N32" s="395">
        <f t="shared" ref="N32:N45" si="7">I32-F32</f>
        <v>-26</v>
      </c>
    </row>
    <row r="33" ht="15.75" customHeight="1">
      <c r="A33" s="373" t="str">
        <f t="shared" si="1"/>
        <v>6 METERS10 KG25</v>
      </c>
      <c r="B33" s="277">
        <f t="shared" si="6"/>
        <v>29</v>
      </c>
      <c r="C33" s="51" t="s">
        <v>1963</v>
      </c>
      <c r="D33" s="92">
        <v>25.0</v>
      </c>
      <c r="E33" s="94" t="s">
        <v>1965</v>
      </c>
      <c r="F33" s="336">
        <v>284.0</v>
      </c>
      <c r="G33" s="58">
        <v>1.05</v>
      </c>
      <c r="H33" s="256">
        <f t="shared" si="2"/>
        <v>270.4761905</v>
      </c>
      <c r="I33" s="392">
        <v>294.0</v>
      </c>
      <c r="J33" s="393">
        <f t="shared" si="3"/>
        <v>280</v>
      </c>
      <c r="K33" s="394">
        <f t="shared" ref="K33:K45" si="8">I33/6</f>
        <v>49</v>
      </c>
      <c r="L33" s="397">
        <v>33.4</v>
      </c>
      <c r="M33" s="395">
        <f t="shared" si="5"/>
        <v>1.467065868</v>
      </c>
      <c r="N33" s="395">
        <f t="shared" si="7"/>
        <v>10</v>
      </c>
    </row>
    <row r="34" ht="15.75" customHeight="1">
      <c r="A34" s="373" t="str">
        <f t="shared" si="1"/>
        <v>6 METERS10 KG32</v>
      </c>
      <c r="B34" s="277">
        <f t="shared" si="6"/>
        <v>30</v>
      </c>
      <c r="C34" s="51" t="s">
        <v>1963</v>
      </c>
      <c r="D34" s="92">
        <v>32.0</v>
      </c>
      <c r="E34" s="94" t="s">
        <v>1967</v>
      </c>
      <c r="F34" s="336">
        <v>448.0</v>
      </c>
      <c r="G34" s="58">
        <v>1.69</v>
      </c>
      <c r="H34" s="256">
        <f t="shared" si="2"/>
        <v>265.0887574</v>
      </c>
      <c r="I34" s="392">
        <v>468.0</v>
      </c>
      <c r="J34" s="393">
        <f t="shared" si="3"/>
        <v>276.9230769</v>
      </c>
      <c r="K34" s="394">
        <f t="shared" si="8"/>
        <v>78</v>
      </c>
      <c r="L34" s="397">
        <v>53.65</v>
      </c>
      <c r="M34" s="395">
        <f t="shared" si="5"/>
        <v>1.453867661</v>
      </c>
      <c r="N34" s="395">
        <f t="shared" si="7"/>
        <v>20</v>
      </c>
    </row>
    <row r="35" ht="15.75" customHeight="1">
      <c r="A35" s="373" t="str">
        <f t="shared" si="1"/>
        <v>6 METERS10 KG40</v>
      </c>
      <c r="B35" s="277">
        <f t="shared" si="6"/>
        <v>31</v>
      </c>
      <c r="C35" s="51" t="s">
        <v>1963</v>
      </c>
      <c r="D35" s="92">
        <v>40.0</v>
      </c>
      <c r="E35" s="94" t="s">
        <v>1968</v>
      </c>
      <c r="F35" s="336">
        <v>684.0</v>
      </c>
      <c r="G35" s="58">
        <v>2.59</v>
      </c>
      <c r="H35" s="256">
        <f t="shared" si="2"/>
        <v>264.0926641</v>
      </c>
      <c r="I35" s="392">
        <v>716.0</v>
      </c>
      <c r="J35" s="393">
        <f t="shared" si="3"/>
        <v>276.4478764</v>
      </c>
      <c r="K35" s="394">
        <f t="shared" si="8"/>
        <v>119.3333333</v>
      </c>
      <c r="L35" s="397">
        <v>79.0</v>
      </c>
      <c r="M35" s="395">
        <f t="shared" si="5"/>
        <v>1.510548523</v>
      </c>
      <c r="N35" s="395">
        <f t="shared" si="7"/>
        <v>32</v>
      </c>
    </row>
    <row r="36" ht="15.75" customHeight="1">
      <c r="A36" s="373" t="str">
        <f t="shared" si="1"/>
        <v>6 METERS10 KG50</v>
      </c>
      <c r="B36" s="277">
        <f t="shared" si="6"/>
        <v>32</v>
      </c>
      <c r="C36" s="51" t="s">
        <v>1963</v>
      </c>
      <c r="D36" s="92">
        <v>50.0</v>
      </c>
      <c r="E36" s="94" t="s">
        <v>1969</v>
      </c>
      <c r="F36" s="336">
        <v>1068.0</v>
      </c>
      <c r="G36" s="58">
        <v>4.5</v>
      </c>
      <c r="H36" s="256">
        <f t="shared" si="2"/>
        <v>237.3333333</v>
      </c>
      <c r="I36" s="392">
        <v>1240.0</v>
      </c>
      <c r="J36" s="393">
        <f t="shared" si="3"/>
        <v>275.5555556</v>
      </c>
      <c r="K36" s="394">
        <f t="shared" si="8"/>
        <v>206.6666667</v>
      </c>
      <c r="L36" s="397">
        <v>127.0</v>
      </c>
      <c r="M36" s="395">
        <f t="shared" si="5"/>
        <v>1.627296588</v>
      </c>
      <c r="N36" s="395">
        <f t="shared" si="7"/>
        <v>172</v>
      </c>
    </row>
    <row r="37" ht="15.75" customHeight="1">
      <c r="A37" s="373" t="str">
        <f t="shared" si="1"/>
        <v>6 METERS10 KG63</v>
      </c>
      <c r="B37" s="277">
        <f t="shared" si="6"/>
        <v>33</v>
      </c>
      <c r="C37" s="51" t="s">
        <v>1963</v>
      </c>
      <c r="D37" s="92">
        <v>63.0</v>
      </c>
      <c r="E37" s="94" t="s">
        <v>1970</v>
      </c>
      <c r="F37" s="336">
        <v>1648.0</v>
      </c>
      <c r="G37" s="58">
        <v>6.35</v>
      </c>
      <c r="H37" s="256">
        <f t="shared" si="2"/>
        <v>259.5275591</v>
      </c>
      <c r="I37" s="392">
        <v>1784.0</v>
      </c>
      <c r="J37" s="393">
        <f t="shared" si="3"/>
        <v>280.9448819</v>
      </c>
      <c r="K37" s="394">
        <f t="shared" si="8"/>
        <v>297.3333333</v>
      </c>
      <c r="L37" s="397">
        <v>195.0</v>
      </c>
      <c r="M37" s="395">
        <f t="shared" si="5"/>
        <v>1.524786325</v>
      </c>
      <c r="N37" s="395">
        <f t="shared" si="7"/>
        <v>136</v>
      </c>
    </row>
    <row r="38" ht="15.75" customHeight="1">
      <c r="A38" s="373" t="str">
        <f t="shared" si="1"/>
        <v>6 METERS10 KG75</v>
      </c>
      <c r="B38" s="277">
        <f t="shared" si="6"/>
        <v>34</v>
      </c>
      <c r="C38" s="51" t="s">
        <v>1963</v>
      </c>
      <c r="D38" s="92">
        <v>75.0</v>
      </c>
      <c r="E38" s="94" t="s">
        <v>1972</v>
      </c>
      <c r="F38" s="336">
        <v>2348.0</v>
      </c>
      <c r="G38" s="58">
        <v>9.1</v>
      </c>
      <c r="H38" s="256">
        <f t="shared" si="2"/>
        <v>258.021978</v>
      </c>
      <c r="I38" s="392">
        <v>2480.0</v>
      </c>
      <c r="J38" s="393">
        <f t="shared" si="3"/>
        <v>272.5274725</v>
      </c>
      <c r="K38" s="394">
        <f t="shared" si="8"/>
        <v>413.3333333</v>
      </c>
      <c r="L38" s="397">
        <v>278.0</v>
      </c>
      <c r="M38" s="395">
        <f t="shared" si="5"/>
        <v>1.486810552</v>
      </c>
      <c r="N38" s="395">
        <f t="shared" si="7"/>
        <v>132</v>
      </c>
    </row>
    <row r="39" ht="15.75" customHeight="1">
      <c r="A39" s="373" t="str">
        <f t="shared" si="1"/>
        <v>6 METERS10 KG90</v>
      </c>
      <c r="B39" s="277">
        <f t="shared" si="6"/>
        <v>35</v>
      </c>
      <c r="C39" s="51" t="s">
        <v>1963</v>
      </c>
      <c r="D39" s="92">
        <v>90.0</v>
      </c>
      <c r="E39" s="94" t="s">
        <v>1973</v>
      </c>
      <c r="F39" s="336">
        <v>3348.0</v>
      </c>
      <c r="G39" s="58">
        <v>12.8</v>
      </c>
      <c r="H39" s="256">
        <f t="shared" si="2"/>
        <v>261.5625</v>
      </c>
      <c r="I39" s="392">
        <v>3496.0</v>
      </c>
      <c r="J39" s="393">
        <f t="shared" si="3"/>
        <v>273.125</v>
      </c>
      <c r="K39" s="394">
        <f t="shared" si="8"/>
        <v>582.6666667</v>
      </c>
      <c r="L39" s="397">
        <v>430.0</v>
      </c>
      <c r="M39" s="395">
        <f t="shared" si="5"/>
        <v>1.35503876</v>
      </c>
      <c r="N39" s="395">
        <f t="shared" si="7"/>
        <v>148</v>
      </c>
    </row>
    <row r="40" ht="15.75" customHeight="1">
      <c r="A40" s="373" t="str">
        <f t="shared" si="1"/>
        <v>6 METERS10 KG110</v>
      </c>
      <c r="B40" s="277">
        <f t="shared" si="6"/>
        <v>36</v>
      </c>
      <c r="C40" s="51" t="s">
        <v>1963</v>
      </c>
      <c r="D40" s="92">
        <v>110.0</v>
      </c>
      <c r="E40" s="94" t="s">
        <v>1986</v>
      </c>
      <c r="F40" s="336">
        <v>4986.0</v>
      </c>
      <c r="G40" s="58">
        <v>19.3</v>
      </c>
      <c r="H40" s="256">
        <f t="shared" si="2"/>
        <v>258.3419689</v>
      </c>
      <c r="I40" s="392">
        <v>5340.0</v>
      </c>
      <c r="J40" s="393">
        <f t="shared" si="3"/>
        <v>276.6839378</v>
      </c>
      <c r="K40" s="394">
        <f t="shared" si="8"/>
        <v>890</v>
      </c>
      <c r="L40" s="397">
        <v>594.0</v>
      </c>
      <c r="M40" s="395">
        <f t="shared" si="5"/>
        <v>1.498316498</v>
      </c>
      <c r="N40" s="395">
        <f t="shared" si="7"/>
        <v>354</v>
      </c>
    </row>
    <row r="41" ht="15.75" customHeight="1">
      <c r="A41" s="373" t="str">
        <f t="shared" si="1"/>
        <v>6 METERS10 KG125</v>
      </c>
      <c r="B41" s="277">
        <f t="shared" si="6"/>
        <v>37</v>
      </c>
      <c r="C41" s="51" t="s">
        <v>1963</v>
      </c>
      <c r="D41" s="92">
        <v>125.0</v>
      </c>
      <c r="E41" s="94" t="s">
        <v>1988</v>
      </c>
      <c r="F41" s="336">
        <v>6480.0</v>
      </c>
      <c r="G41" s="58">
        <v>24.8</v>
      </c>
      <c r="H41" s="256">
        <f t="shared" si="2"/>
        <v>261.2903226</v>
      </c>
      <c r="I41" s="392">
        <v>6680.0</v>
      </c>
      <c r="J41" s="393">
        <f t="shared" si="3"/>
        <v>269.3548387</v>
      </c>
      <c r="K41" s="394">
        <f t="shared" si="8"/>
        <v>1113.333333</v>
      </c>
      <c r="L41" s="395"/>
      <c r="M41" s="395" t="str">
        <f t="shared" si="5"/>
        <v/>
      </c>
      <c r="N41" s="395">
        <f t="shared" si="7"/>
        <v>200</v>
      </c>
    </row>
    <row r="42" ht="15.75" customHeight="1">
      <c r="A42" s="373" t="str">
        <f t="shared" si="1"/>
        <v>6 METERS10 KG140</v>
      </c>
      <c r="B42" s="277">
        <f t="shared" si="6"/>
        <v>38</v>
      </c>
      <c r="C42" s="51" t="s">
        <v>1963</v>
      </c>
      <c r="D42" s="92">
        <v>140.0</v>
      </c>
      <c r="E42" s="94" t="s">
        <v>1990</v>
      </c>
      <c r="F42" s="336">
        <v>7980.0</v>
      </c>
      <c r="G42" s="58">
        <v>31.1</v>
      </c>
      <c r="H42" s="256">
        <f t="shared" si="2"/>
        <v>256.5916399</v>
      </c>
      <c r="I42" s="392">
        <v>8580.0</v>
      </c>
      <c r="J42" s="393">
        <f t="shared" si="3"/>
        <v>275.8842444</v>
      </c>
      <c r="K42" s="394">
        <f t="shared" si="8"/>
        <v>1430</v>
      </c>
      <c r="L42" s="395"/>
      <c r="M42" s="395" t="str">
        <f t="shared" si="5"/>
        <v/>
      </c>
      <c r="N42" s="395">
        <f t="shared" si="7"/>
        <v>600</v>
      </c>
    </row>
    <row r="43" ht="15.75" customHeight="1">
      <c r="A43" s="373" t="str">
        <f t="shared" si="1"/>
        <v>6 METERS10 KG160</v>
      </c>
      <c r="B43" s="277">
        <f t="shared" si="6"/>
        <v>39</v>
      </c>
      <c r="C43" s="51" t="s">
        <v>1963</v>
      </c>
      <c r="D43" s="92">
        <v>160.0</v>
      </c>
      <c r="E43" s="94" t="s">
        <v>1992</v>
      </c>
      <c r="F43" s="336">
        <v>10480.0</v>
      </c>
      <c r="G43" s="58">
        <v>40.6</v>
      </c>
      <c r="H43" s="256">
        <f t="shared" si="2"/>
        <v>258.1280788</v>
      </c>
      <c r="I43" s="392">
        <v>10980.0</v>
      </c>
      <c r="J43" s="393">
        <f t="shared" si="3"/>
        <v>270.4433498</v>
      </c>
      <c r="K43" s="394">
        <f t="shared" si="8"/>
        <v>1830</v>
      </c>
      <c r="L43" s="397">
        <v>1239.0</v>
      </c>
      <c r="M43" s="395">
        <f t="shared" si="5"/>
        <v>1.476997579</v>
      </c>
      <c r="N43" s="395">
        <f t="shared" si="7"/>
        <v>500</v>
      </c>
    </row>
    <row r="44" ht="15.75" customHeight="1">
      <c r="A44" s="373" t="str">
        <f t="shared" si="1"/>
        <v>6 METERS10 KG180</v>
      </c>
      <c r="B44" s="277">
        <f t="shared" si="6"/>
        <v>40</v>
      </c>
      <c r="C44" s="51" t="s">
        <v>1963</v>
      </c>
      <c r="D44" s="92">
        <v>180.0</v>
      </c>
      <c r="E44" s="94" t="s">
        <v>1993</v>
      </c>
      <c r="F44" s="336">
        <v>13380.0</v>
      </c>
      <c r="G44" s="58">
        <v>51.3</v>
      </c>
      <c r="H44" s="256">
        <f t="shared" si="2"/>
        <v>260.8187135</v>
      </c>
      <c r="I44" s="392">
        <v>13980.0</v>
      </c>
      <c r="J44" s="393">
        <f t="shared" si="3"/>
        <v>272.5146199</v>
      </c>
      <c r="K44" s="394">
        <f t="shared" si="8"/>
        <v>2330</v>
      </c>
      <c r="L44" s="393"/>
      <c r="M44" s="395" t="str">
        <f t="shared" si="5"/>
        <v/>
      </c>
      <c r="N44" s="395">
        <f t="shared" si="7"/>
        <v>600</v>
      </c>
    </row>
    <row r="45" ht="15.75" customHeight="1">
      <c r="A45" s="373" t="str">
        <f t="shared" si="1"/>
        <v>6 METERS10 KG200</v>
      </c>
      <c r="B45" s="277">
        <f t="shared" si="6"/>
        <v>41</v>
      </c>
      <c r="C45" s="51" t="s">
        <v>1963</v>
      </c>
      <c r="D45" s="92">
        <v>200.0</v>
      </c>
      <c r="E45" s="94" t="s">
        <v>1997</v>
      </c>
      <c r="F45" s="336">
        <v>16480.0</v>
      </c>
      <c r="G45" s="58">
        <v>63.5</v>
      </c>
      <c r="H45" s="256">
        <f t="shared" si="2"/>
        <v>259.5275591</v>
      </c>
      <c r="I45" s="392">
        <v>17380.0</v>
      </c>
      <c r="J45" s="393">
        <f t="shared" si="3"/>
        <v>273.7007874</v>
      </c>
      <c r="K45" s="394">
        <f t="shared" si="8"/>
        <v>2896.666667</v>
      </c>
      <c r="L45" s="316">
        <v>1937.0</v>
      </c>
      <c r="M45" s="395">
        <f t="shared" si="5"/>
        <v>1.495439683</v>
      </c>
      <c r="N45" s="395">
        <f t="shared" si="7"/>
        <v>900</v>
      </c>
    </row>
    <row r="46">
      <c r="A46" s="340"/>
      <c r="B46" s="262" t="s">
        <v>11</v>
      </c>
      <c r="C46" s="45"/>
      <c r="D46" s="45"/>
      <c r="E46" s="45"/>
      <c r="F46" s="399">
        <f>SUM(F5:F45)</f>
        <v>162940</v>
      </c>
      <c r="G46" s="264"/>
      <c r="H46" s="389"/>
      <c r="I46" s="400">
        <f>SUM(I5:I45)</f>
        <v>166718</v>
      </c>
      <c r="J46" s="401"/>
      <c r="K46" s="401"/>
      <c r="L46" s="401"/>
      <c r="M46" s="401"/>
      <c r="N46" s="401"/>
    </row>
    <row r="47" ht="6.0" customHeight="1">
      <c r="A47" s="340"/>
      <c r="B47" s="242"/>
      <c r="C47" s="242"/>
      <c r="D47" s="242"/>
      <c r="E47" s="243"/>
      <c r="F47" s="242"/>
      <c r="G47" s="264"/>
      <c r="H47" s="389"/>
      <c r="I47" s="402"/>
      <c r="J47" s="402"/>
      <c r="K47" s="402"/>
      <c r="L47" s="402"/>
      <c r="M47" s="402"/>
      <c r="N47" s="402"/>
    </row>
    <row r="48" ht="22.5" customHeight="1">
      <c r="A48" s="340"/>
      <c r="B48" s="249" t="s">
        <v>2001</v>
      </c>
      <c r="C48" s="45"/>
      <c r="D48" s="45"/>
      <c r="E48" s="45"/>
      <c r="F48" s="46"/>
      <c r="G48" s="264"/>
      <c r="H48" s="389"/>
      <c r="I48" s="402"/>
      <c r="J48" s="402"/>
      <c r="K48" s="402"/>
      <c r="L48" s="402"/>
      <c r="M48" s="402"/>
      <c r="N48" s="402"/>
    </row>
    <row r="49" ht="15.75" customHeight="1">
      <c r="A49" s="373" t="str">
        <f t="shared" ref="A49:A89" si="9">$B$48&amp;C49&amp;D49</f>
        <v>5 METERS2.5 KG90</v>
      </c>
      <c r="B49" s="253">
        <v>1.0</v>
      </c>
      <c r="C49" s="390" t="s">
        <v>1912</v>
      </c>
      <c r="D49" s="391">
        <v>90.0</v>
      </c>
      <c r="E49" s="129" t="s">
        <v>2004</v>
      </c>
      <c r="F49" s="255">
        <v>825.0</v>
      </c>
      <c r="G49" s="58">
        <f t="shared" ref="G49:G89" si="10">IFERROR(G5/6,"")*5</f>
        <v>3.041666667</v>
      </c>
      <c r="H49" s="256">
        <f t="shared" ref="H49:H89" si="11">IFERROR(F49/G49,"")</f>
        <v>271.2328767</v>
      </c>
      <c r="I49" s="392">
        <v>825.0</v>
      </c>
      <c r="J49" s="393">
        <f t="shared" ref="J49:J89" si="12">I49/G49</f>
        <v>271.2328767</v>
      </c>
      <c r="K49" s="394"/>
      <c r="L49" s="402"/>
      <c r="M49" s="402"/>
      <c r="N49" s="402"/>
    </row>
    <row r="50" ht="15.75" customHeight="1">
      <c r="A50" s="373" t="str">
        <f t="shared" si="9"/>
        <v>5 METERS2.5 KG110</v>
      </c>
      <c r="B50" s="277">
        <f t="shared" ref="B50:B89" si="13">B49+1</f>
        <v>2</v>
      </c>
      <c r="C50" s="403" t="s">
        <v>1912</v>
      </c>
      <c r="D50" s="396">
        <v>110.0</v>
      </c>
      <c r="E50" s="94" t="s">
        <v>2009</v>
      </c>
      <c r="F50" s="255">
        <v>1233.0</v>
      </c>
      <c r="G50" s="58">
        <f t="shared" si="10"/>
        <v>4.458333333</v>
      </c>
      <c r="H50" s="256">
        <f t="shared" si="11"/>
        <v>276.5607477</v>
      </c>
      <c r="I50" s="392">
        <v>1233.0</v>
      </c>
      <c r="J50" s="393">
        <f t="shared" si="12"/>
        <v>276.5607477</v>
      </c>
      <c r="K50" s="394"/>
      <c r="L50" s="402"/>
      <c r="M50" s="402"/>
      <c r="N50" s="402"/>
    </row>
    <row r="51" ht="15.75" customHeight="1">
      <c r="A51" s="373" t="str">
        <f t="shared" si="9"/>
        <v>5 METERS2.5 KG125</v>
      </c>
      <c r="B51" s="277">
        <f t="shared" si="13"/>
        <v>3</v>
      </c>
      <c r="C51" s="403" t="s">
        <v>1912</v>
      </c>
      <c r="D51" s="396">
        <v>125.0</v>
      </c>
      <c r="E51" s="94" t="s">
        <v>2012</v>
      </c>
      <c r="F51" s="255">
        <v>1558.0</v>
      </c>
      <c r="G51" s="58">
        <f t="shared" si="10"/>
        <v>5.666666667</v>
      </c>
      <c r="H51" s="256">
        <f t="shared" si="11"/>
        <v>274.9411765</v>
      </c>
      <c r="I51" s="392">
        <v>1558.0</v>
      </c>
      <c r="J51" s="393">
        <f t="shared" si="12"/>
        <v>274.9411765</v>
      </c>
      <c r="K51" s="394"/>
      <c r="L51" s="402"/>
      <c r="M51" s="402"/>
      <c r="N51" s="402"/>
    </row>
    <row r="52" ht="15.75" customHeight="1">
      <c r="A52" s="373" t="str">
        <f t="shared" si="9"/>
        <v>5 METERS2.5 KG140</v>
      </c>
      <c r="B52" s="277">
        <f t="shared" si="13"/>
        <v>4</v>
      </c>
      <c r="C52" s="403" t="s">
        <v>1912</v>
      </c>
      <c r="D52" s="396">
        <v>140.0</v>
      </c>
      <c r="E52" s="94" t="s">
        <v>2013</v>
      </c>
      <c r="F52" s="255">
        <v>1908.0</v>
      </c>
      <c r="G52" s="58">
        <f t="shared" si="10"/>
        <v>7</v>
      </c>
      <c r="H52" s="256">
        <f t="shared" si="11"/>
        <v>272.5714286</v>
      </c>
      <c r="I52" s="392">
        <v>1908.0</v>
      </c>
      <c r="J52" s="393">
        <f t="shared" si="12"/>
        <v>272.5714286</v>
      </c>
      <c r="K52" s="394"/>
      <c r="L52" s="402"/>
      <c r="M52" s="402"/>
      <c r="N52" s="402"/>
    </row>
    <row r="53" ht="15.75" customHeight="1">
      <c r="A53" s="373" t="str">
        <f t="shared" si="9"/>
        <v>5 METERS2.5 KG160</v>
      </c>
      <c r="B53" s="277">
        <f t="shared" si="13"/>
        <v>5</v>
      </c>
      <c r="C53" s="403" t="s">
        <v>1912</v>
      </c>
      <c r="D53" s="396">
        <v>160.0</v>
      </c>
      <c r="E53" s="94" t="s">
        <v>2014</v>
      </c>
      <c r="F53" s="255">
        <v>2575.0</v>
      </c>
      <c r="G53" s="58">
        <f t="shared" si="10"/>
        <v>9.375</v>
      </c>
      <c r="H53" s="256">
        <f t="shared" si="11"/>
        <v>274.6666667</v>
      </c>
      <c r="I53" s="392">
        <v>2575.0</v>
      </c>
      <c r="J53" s="393">
        <f t="shared" si="12"/>
        <v>274.6666667</v>
      </c>
      <c r="K53" s="394"/>
      <c r="L53" s="402"/>
      <c r="M53" s="402"/>
      <c r="N53" s="402"/>
    </row>
    <row r="54" ht="15.75" customHeight="1">
      <c r="A54" s="373" t="str">
        <f t="shared" si="9"/>
        <v>5 METERS2.5 KG180</v>
      </c>
      <c r="B54" s="277">
        <f t="shared" si="13"/>
        <v>6</v>
      </c>
      <c r="C54" s="403" t="s">
        <v>1912</v>
      </c>
      <c r="D54" s="396">
        <v>180.0</v>
      </c>
      <c r="E54" s="94" t="s">
        <v>2016</v>
      </c>
      <c r="F54" s="255">
        <v>3283.0</v>
      </c>
      <c r="G54" s="58">
        <f t="shared" si="10"/>
        <v>12.08333333</v>
      </c>
      <c r="H54" s="256">
        <f t="shared" si="11"/>
        <v>271.6965517</v>
      </c>
      <c r="I54" s="392">
        <v>3283.0</v>
      </c>
      <c r="J54" s="393">
        <f t="shared" si="12"/>
        <v>271.6965517</v>
      </c>
      <c r="K54" s="394"/>
      <c r="L54" s="402"/>
      <c r="M54" s="402"/>
      <c r="N54" s="402"/>
    </row>
    <row r="55" ht="15.75" customHeight="1">
      <c r="A55" s="373" t="str">
        <f t="shared" si="9"/>
        <v>5 METERS2.5 KG200</v>
      </c>
      <c r="B55" s="277">
        <f t="shared" si="13"/>
        <v>7</v>
      </c>
      <c r="C55" s="403" t="s">
        <v>1912</v>
      </c>
      <c r="D55" s="396">
        <v>200.0</v>
      </c>
      <c r="E55" s="94" t="s">
        <v>2020</v>
      </c>
      <c r="F55" s="255">
        <v>4075.0</v>
      </c>
      <c r="G55" s="58">
        <f t="shared" si="10"/>
        <v>14.83333333</v>
      </c>
      <c r="H55" s="256">
        <f t="shared" si="11"/>
        <v>274.7191011</v>
      </c>
      <c r="I55" s="392">
        <v>4075.0</v>
      </c>
      <c r="J55" s="393">
        <f t="shared" si="12"/>
        <v>274.7191011</v>
      </c>
      <c r="K55" s="394"/>
      <c r="L55" s="402"/>
      <c r="M55" s="402"/>
      <c r="N55" s="402"/>
    </row>
    <row r="56" ht="15.75" customHeight="1">
      <c r="A56" s="373" t="str">
        <f t="shared" si="9"/>
        <v>5 METERS4 KG63</v>
      </c>
      <c r="B56" s="277">
        <f t="shared" si="13"/>
        <v>8</v>
      </c>
      <c r="C56" s="403" t="s">
        <v>1932</v>
      </c>
      <c r="D56" s="396">
        <v>63.0</v>
      </c>
      <c r="E56" s="94" t="s">
        <v>2023</v>
      </c>
      <c r="F56" s="255">
        <v>663.0</v>
      </c>
      <c r="G56" s="58">
        <f t="shared" si="10"/>
        <v>2.458333333</v>
      </c>
      <c r="H56" s="256">
        <f t="shared" si="11"/>
        <v>269.6949153</v>
      </c>
      <c r="I56" s="392">
        <v>663.0</v>
      </c>
      <c r="J56" s="393">
        <f t="shared" si="12"/>
        <v>269.6949153</v>
      </c>
      <c r="K56" s="394"/>
      <c r="L56" s="402"/>
      <c r="M56" s="402"/>
      <c r="N56" s="402"/>
    </row>
    <row r="57" ht="15.75" customHeight="1">
      <c r="A57" s="373" t="str">
        <f t="shared" si="9"/>
        <v>5 METERS4 KG75</v>
      </c>
      <c r="B57" s="277">
        <f t="shared" si="13"/>
        <v>9</v>
      </c>
      <c r="C57" s="403" t="s">
        <v>1932</v>
      </c>
      <c r="D57" s="396">
        <v>75.0</v>
      </c>
      <c r="E57" s="94" t="s">
        <v>2027</v>
      </c>
      <c r="F57" s="255">
        <v>913.0</v>
      </c>
      <c r="G57" s="58">
        <f t="shared" si="10"/>
        <v>3.416666667</v>
      </c>
      <c r="H57" s="256">
        <f t="shared" si="11"/>
        <v>267.2195122</v>
      </c>
      <c r="I57" s="392">
        <v>913.0</v>
      </c>
      <c r="J57" s="393">
        <f t="shared" si="12"/>
        <v>267.2195122</v>
      </c>
      <c r="K57" s="394"/>
      <c r="L57" s="402"/>
      <c r="M57" s="402"/>
      <c r="N57" s="402"/>
    </row>
    <row r="58" ht="15.75" customHeight="1">
      <c r="A58" s="373" t="str">
        <f t="shared" si="9"/>
        <v>5 METERS4 KG90</v>
      </c>
      <c r="B58" s="277">
        <f t="shared" si="13"/>
        <v>10</v>
      </c>
      <c r="C58" s="403" t="s">
        <v>1932</v>
      </c>
      <c r="D58" s="396">
        <v>90.0</v>
      </c>
      <c r="E58" s="94" t="s">
        <v>2031</v>
      </c>
      <c r="F58" s="255">
        <v>1247.0</v>
      </c>
      <c r="G58" s="58">
        <f t="shared" si="10"/>
        <v>4.625</v>
      </c>
      <c r="H58" s="256">
        <f t="shared" si="11"/>
        <v>269.6216216</v>
      </c>
      <c r="I58" s="392">
        <v>1247.0</v>
      </c>
      <c r="J58" s="393">
        <f t="shared" si="12"/>
        <v>269.6216216</v>
      </c>
      <c r="K58" s="394"/>
      <c r="L58" s="402"/>
      <c r="M58" s="402"/>
      <c r="N58" s="402"/>
    </row>
    <row r="59" ht="15.75" customHeight="1">
      <c r="A59" s="373" t="str">
        <f t="shared" si="9"/>
        <v>5 METERS4 KG110</v>
      </c>
      <c r="B59" s="277">
        <f t="shared" si="13"/>
        <v>11</v>
      </c>
      <c r="C59" s="403" t="s">
        <v>1932</v>
      </c>
      <c r="D59" s="396">
        <v>110.0</v>
      </c>
      <c r="E59" s="94" t="s">
        <v>2033</v>
      </c>
      <c r="F59" s="255">
        <v>1830.0</v>
      </c>
      <c r="G59" s="58">
        <f t="shared" si="10"/>
        <v>6.666666667</v>
      </c>
      <c r="H59" s="256">
        <f t="shared" si="11"/>
        <v>274.5</v>
      </c>
      <c r="I59" s="392">
        <v>1830.0</v>
      </c>
      <c r="J59" s="393">
        <f t="shared" si="12"/>
        <v>274.5</v>
      </c>
      <c r="K59" s="394"/>
      <c r="L59" s="402"/>
      <c r="M59" s="402"/>
      <c r="N59" s="402"/>
    </row>
    <row r="60" ht="15.75" customHeight="1">
      <c r="A60" s="373" t="str">
        <f t="shared" si="9"/>
        <v>5 METERS4 KG125</v>
      </c>
      <c r="B60" s="277">
        <f t="shared" si="13"/>
        <v>12</v>
      </c>
      <c r="C60" s="403" t="s">
        <v>1932</v>
      </c>
      <c r="D60" s="396">
        <v>125.0</v>
      </c>
      <c r="E60" s="94" t="s">
        <v>2034</v>
      </c>
      <c r="F60" s="255">
        <v>2413.0</v>
      </c>
      <c r="G60" s="58">
        <f t="shared" si="10"/>
        <v>8.75</v>
      </c>
      <c r="H60" s="256">
        <f t="shared" si="11"/>
        <v>275.7714286</v>
      </c>
      <c r="I60" s="392">
        <v>2413.0</v>
      </c>
      <c r="J60" s="393">
        <f t="shared" si="12"/>
        <v>275.7714286</v>
      </c>
      <c r="K60" s="394"/>
      <c r="L60" s="402"/>
      <c r="M60" s="402"/>
      <c r="N60" s="402"/>
    </row>
    <row r="61" ht="15.75" customHeight="1">
      <c r="A61" s="373" t="str">
        <f t="shared" si="9"/>
        <v>5 METERS4 KG140</v>
      </c>
      <c r="B61" s="277">
        <f t="shared" si="13"/>
        <v>13</v>
      </c>
      <c r="C61" s="403" t="s">
        <v>1932</v>
      </c>
      <c r="D61" s="396">
        <v>140.0</v>
      </c>
      <c r="E61" s="94" t="s">
        <v>2036</v>
      </c>
      <c r="F61" s="255">
        <v>3040.0</v>
      </c>
      <c r="G61" s="58">
        <f t="shared" si="10"/>
        <v>10.58333333</v>
      </c>
      <c r="H61" s="256">
        <f t="shared" si="11"/>
        <v>287.2440945</v>
      </c>
      <c r="I61" s="392">
        <v>3040.0</v>
      </c>
      <c r="J61" s="393">
        <f t="shared" si="12"/>
        <v>287.2440945</v>
      </c>
      <c r="K61" s="394"/>
      <c r="L61" s="402"/>
      <c r="M61" s="402"/>
      <c r="N61" s="402"/>
    </row>
    <row r="62" ht="15.75" customHeight="1">
      <c r="A62" s="373" t="str">
        <f t="shared" si="9"/>
        <v>5 METERS4 KG160</v>
      </c>
      <c r="B62" s="277">
        <f t="shared" si="13"/>
        <v>14</v>
      </c>
      <c r="C62" s="403" t="s">
        <v>1932</v>
      </c>
      <c r="D62" s="396">
        <v>160.0</v>
      </c>
      <c r="E62" s="94" t="s">
        <v>2038</v>
      </c>
      <c r="F62" s="255">
        <v>3992.0</v>
      </c>
      <c r="G62" s="58">
        <f t="shared" si="10"/>
        <v>14.58333333</v>
      </c>
      <c r="H62" s="256">
        <f t="shared" si="11"/>
        <v>273.7371429</v>
      </c>
      <c r="I62" s="392">
        <v>3992.0</v>
      </c>
      <c r="J62" s="393">
        <f t="shared" si="12"/>
        <v>273.7371429</v>
      </c>
      <c r="K62" s="394"/>
      <c r="L62" s="402"/>
      <c r="M62" s="402"/>
      <c r="N62" s="402"/>
    </row>
    <row r="63" ht="15.75" customHeight="1">
      <c r="A63" s="373" t="str">
        <f t="shared" si="9"/>
        <v>5 METERS4 KG180</v>
      </c>
      <c r="B63" s="277">
        <f t="shared" si="13"/>
        <v>15</v>
      </c>
      <c r="C63" s="403" t="s">
        <v>1932</v>
      </c>
      <c r="D63" s="396">
        <v>180.0</v>
      </c>
      <c r="E63" s="94" t="s">
        <v>2040</v>
      </c>
      <c r="F63" s="255">
        <v>5080.0</v>
      </c>
      <c r="G63" s="58">
        <f t="shared" si="10"/>
        <v>18.33333333</v>
      </c>
      <c r="H63" s="256">
        <f t="shared" si="11"/>
        <v>277.0909091</v>
      </c>
      <c r="I63" s="392">
        <v>5080.0</v>
      </c>
      <c r="J63" s="393">
        <f t="shared" si="12"/>
        <v>277.0909091</v>
      </c>
      <c r="K63" s="394"/>
      <c r="L63" s="402"/>
      <c r="M63" s="402"/>
      <c r="N63" s="402"/>
    </row>
    <row r="64" ht="15.75" customHeight="1">
      <c r="A64" s="373" t="str">
        <f t="shared" si="9"/>
        <v>5 METERS4 KG200</v>
      </c>
      <c r="B64" s="277">
        <f t="shared" si="13"/>
        <v>16</v>
      </c>
      <c r="C64" s="403" t="s">
        <v>1932</v>
      </c>
      <c r="D64" s="396">
        <v>200.0</v>
      </c>
      <c r="E64" s="94" t="s">
        <v>2043</v>
      </c>
      <c r="F64" s="255">
        <v>6140.0</v>
      </c>
      <c r="G64" s="58">
        <f t="shared" si="10"/>
        <v>22.08333333</v>
      </c>
      <c r="H64" s="256">
        <f t="shared" si="11"/>
        <v>278.0377358</v>
      </c>
      <c r="I64" s="392">
        <v>6140.0</v>
      </c>
      <c r="J64" s="393">
        <f t="shared" si="12"/>
        <v>278.0377358</v>
      </c>
      <c r="K64" s="394"/>
      <c r="L64" s="402"/>
      <c r="M64" s="402"/>
      <c r="N64" s="402"/>
    </row>
    <row r="65" ht="15.75" customHeight="1">
      <c r="A65" s="373" t="str">
        <f t="shared" si="9"/>
        <v>5 METERS6 KG40</v>
      </c>
      <c r="B65" s="277">
        <f t="shared" si="13"/>
        <v>17</v>
      </c>
      <c r="C65" s="403" t="s">
        <v>1948</v>
      </c>
      <c r="D65" s="396">
        <v>40.0</v>
      </c>
      <c r="E65" s="94" t="s">
        <v>2045</v>
      </c>
      <c r="F65" s="255">
        <v>387.0</v>
      </c>
      <c r="G65" s="58">
        <f t="shared" si="10"/>
        <v>1.416666667</v>
      </c>
      <c r="H65" s="256">
        <f t="shared" si="11"/>
        <v>273.1764706</v>
      </c>
      <c r="I65" s="392">
        <v>387.0</v>
      </c>
      <c r="J65" s="393">
        <f t="shared" si="12"/>
        <v>273.1764706</v>
      </c>
      <c r="K65" s="394"/>
      <c r="L65" s="402"/>
      <c r="M65" s="402"/>
      <c r="N65" s="402"/>
    </row>
    <row r="66" ht="15.75" customHeight="1">
      <c r="A66" s="373" t="str">
        <f t="shared" si="9"/>
        <v>5 METERS6 KG50</v>
      </c>
      <c r="B66" s="277">
        <f t="shared" si="13"/>
        <v>18</v>
      </c>
      <c r="C66" s="403" t="s">
        <v>1948</v>
      </c>
      <c r="D66" s="396">
        <v>50.0</v>
      </c>
      <c r="E66" s="94" t="s">
        <v>2046</v>
      </c>
      <c r="F66" s="255">
        <v>578.0</v>
      </c>
      <c r="G66" s="58">
        <f t="shared" si="10"/>
        <v>2.125</v>
      </c>
      <c r="H66" s="256">
        <f t="shared" si="11"/>
        <v>272</v>
      </c>
      <c r="I66" s="392">
        <v>578.0</v>
      </c>
      <c r="J66" s="393">
        <f t="shared" si="12"/>
        <v>272</v>
      </c>
      <c r="K66" s="394"/>
      <c r="L66" s="402"/>
      <c r="M66" s="402"/>
      <c r="N66" s="402"/>
    </row>
    <row r="67" ht="15.75" customHeight="1">
      <c r="A67" s="373" t="str">
        <f t="shared" si="9"/>
        <v>5 METERS6 KG63</v>
      </c>
      <c r="B67" s="277">
        <f t="shared" si="13"/>
        <v>19</v>
      </c>
      <c r="C67" s="403" t="s">
        <v>1948</v>
      </c>
      <c r="D67" s="396">
        <v>63.0</v>
      </c>
      <c r="E67" s="94" t="s">
        <v>2047</v>
      </c>
      <c r="F67" s="255">
        <v>912.0</v>
      </c>
      <c r="G67" s="58">
        <f t="shared" si="10"/>
        <v>3.375</v>
      </c>
      <c r="H67" s="256">
        <f t="shared" si="11"/>
        <v>270.2222222</v>
      </c>
      <c r="I67" s="392">
        <v>912.0</v>
      </c>
      <c r="J67" s="393">
        <f t="shared" si="12"/>
        <v>270.2222222</v>
      </c>
      <c r="K67" s="394"/>
      <c r="L67" s="402"/>
      <c r="M67" s="402"/>
      <c r="N67" s="402"/>
    </row>
    <row r="68" ht="15.75" customHeight="1">
      <c r="A68" s="373" t="str">
        <f t="shared" si="9"/>
        <v>5 METERS6 KG75</v>
      </c>
      <c r="B68" s="277">
        <f t="shared" si="13"/>
        <v>20</v>
      </c>
      <c r="C68" s="403" t="s">
        <v>1948</v>
      </c>
      <c r="D68" s="396">
        <v>75.0</v>
      </c>
      <c r="E68" s="94" t="s">
        <v>2049</v>
      </c>
      <c r="F68" s="255">
        <v>1273.0</v>
      </c>
      <c r="G68" s="58">
        <f t="shared" si="10"/>
        <v>4.791666667</v>
      </c>
      <c r="H68" s="256">
        <f t="shared" si="11"/>
        <v>265.6695652</v>
      </c>
      <c r="I68" s="392">
        <v>1273.0</v>
      </c>
      <c r="J68" s="393">
        <f t="shared" si="12"/>
        <v>265.6695652</v>
      </c>
      <c r="K68" s="394"/>
      <c r="L68" s="402"/>
      <c r="M68" s="402"/>
      <c r="N68" s="402"/>
    </row>
    <row r="69" ht="15.75" customHeight="1">
      <c r="A69" s="373" t="str">
        <f t="shared" si="9"/>
        <v>5 METERS6 KG90</v>
      </c>
      <c r="B69" s="277">
        <f t="shared" si="13"/>
        <v>21</v>
      </c>
      <c r="C69" s="403" t="s">
        <v>1948</v>
      </c>
      <c r="D69" s="396">
        <v>90.0</v>
      </c>
      <c r="E69" s="94" t="s">
        <v>2051</v>
      </c>
      <c r="F69" s="255">
        <v>1790.0</v>
      </c>
      <c r="G69" s="58">
        <f t="shared" si="10"/>
        <v>6.75</v>
      </c>
      <c r="H69" s="256">
        <f t="shared" si="11"/>
        <v>265.1851852</v>
      </c>
      <c r="I69" s="392">
        <v>1790.0</v>
      </c>
      <c r="J69" s="393">
        <f t="shared" si="12"/>
        <v>265.1851852</v>
      </c>
      <c r="K69" s="394"/>
      <c r="L69" s="402"/>
      <c r="M69" s="402"/>
      <c r="N69" s="402"/>
    </row>
    <row r="70" ht="15.75" customHeight="1">
      <c r="A70" s="373" t="str">
        <f t="shared" si="9"/>
        <v>5 METERS6 KG110</v>
      </c>
      <c r="B70" s="277">
        <f t="shared" si="13"/>
        <v>22</v>
      </c>
      <c r="C70" s="403" t="s">
        <v>1948</v>
      </c>
      <c r="D70" s="396">
        <v>110.0</v>
      </c>
      <c r="E70" s="94" t="s">
        <v>2054</v>
      </c>
      <c r="F70" s="255">
        <v>2623.0</v>
      </c>
      <c r="G70" s="58">
        <f t="shared" si="10"/>
        <v>9.416666667</v>
      </c>
      <c r="H70" s="256">
        <f t="shared" si="11"/>
        <v>278.5486726</v>
      </c>
      <c r="I70" s="392">
        <v>2623.0</v>
      </c>
      <c r="J70" s="393">
        <f t="shared" si="12"/>
        <v>278.5486726</v>
      </c>
      <c r="K70" s="394"/>
      <c r="L70" s="402"/>
      <c r="M70" s="402"/>
      <c r="N70" s="402"/>
    </row>
    <row r="71" ht="15.75" customHeight="1">
      <c r="A71" s="373" t="str">
        <f t="shared" si="9"/>
        <v>5 METERS6 KG125</v>
      </c>
      <c r="B71" s="277">
        <f t="shared" si="13"/>
        <v>23</v>
      </c>
      <c r="C71" s="403" t="s">
        <v>1948</v>
      </c>
      <c r="D71" s="396">
        <v>125.0</v>
      </c>
      <c r="E71" s="94" t="s">
        <v>2057</v>
      </c>
      <c r="F71" s="255">
        <v>3490.0</v>
      </c>
      <c r="G71" s="58">
        <f t="shared" si="10"/>
        <v>12.83333333</v>
      </c>
      <c r="H71" s="256">
        <f t="shared" si="11"/>
        <v>271.9480519</v>
      </c>
      <c r="I71" s="392">
        <v>3490.0</v>
      </c>
      <c r="J71" s="393">
        <f t="shared" si="12"/>
        <v>271.9480519</v>
      </c>
      <c r="K71" s="394"/>
      <c r="L71" s="402"/>
      <c r="M71" s="402"/>
      <c r="N71" s="402"/>
    </row>
    <row r="72" ht="15.75" customHeight="1">
      <c r="A72" s="373" t="str">
        <f t="shared" si="9"/>
        <v>5 METERS6 KG140</v>
      </c>
      <c r="B72" s="277">
        <f t="shared" si="13"/>
        <v>24</v>
      </c>
      <c r="C72" s="403" t="s">
        <v>1948</v>
      </c>
      <c r="D72" s="396">
        <v>140.0</v>
      </c>
      <c r="E72" s="94" t="s">
        <v>2059</v>
      </c>
      <c r="F72" s="255">
        <v>4357.0</v>
      </c>
      <c r="G72" s="58">
        <f t="shared" si="10"/>
        <v>15.41666667</v>
      </c>
      <c r="H72" s="256">
        <f t="shared" si="11"/>
        <v>282.6162162</v>
      </c>
      <c r="I72" s="392">
        <v>4357.0</v>
      </c>
      <c r="J72" s="393">
        <f t="shared" si="12"/>
        <v>282.6162162</v>
      </c>
      <c r="K72" s="394"/>
      <c r="L72" s="402"/>
      <c r="M72" s="402"/>
      <c r="N72" s="402"/>
    </row>
    <row r="73" ht="15.75" customHeight="1">
      <c r="A73" s="373" t="str">
        <f t="shared" si="9"/>
        <v>5 METERS6 KG160</v>
      </c>
      <c r="B73" s="277">
        <f t="shared" si="13"/>
        <v>25</v>
      </c>
      <c r="C73" s="403" t="s">
        <v>1948</v>
      </c>
      <c r="D73" s="396">
        <v>160.0</v>
      </c>
      <c r="E73" s="94" t="s">
        <v>2062</v>
      </c>
      <c r="F73" s="255">
        <v>5580.0</v>
      </c>
      <c r="G73" s="58">
        <f t="shared" si="10"/>
        <v>20.41666667</v>
      </c>
      <c r="H73" s="256">
        <f t="shared" si="11"/>
        <v>273.3061224</v>
      </c>
      <c r="I73" s="392">
        <v>5580.0</v>
      </c>
      <c r="J73" s="393">
        <f t="shared" si="12"/>
        <v>273.3061224</v>
      </c>
      <c r="K73" s="394"/>
      <c r="L73" s="402"/>
      <c r="M73" s="402"/>
      <c r="N73" s="402"/>
    </row>
    <row r="74" ht="15.75" customHeight="1">
      <c r="A74" s="373" t="str">
        <f t="shared" si="9"/>
        <v>5 METERS6 KG180</v>
      </c>
      <c r="B74" s="277">
        <f t="shared" si="13"/>
        <v>26</v>
      </c>
      <c r="C74" s="403" t="s">
        <v>1948</v>
      </c>
      <c r="D74" s="396">
        <v>180.0</v>
      </c>
      <c r="E74" s="94" t="s">
        <v>2063</v>
      </c>
      <c r="F74" s="255">
        <v>7080.0</v>
      </c>
      <c r="G74" s="58">
        <f t="shared" si="10"/>
        <v>25.54166667</v>
      </c>
      <c r="H74" s="256">
        <f t="shared" si="11"/>
        <v>277.1941272</v>
      </c>
      <c r="I74" s="392">
        <v>7080.0</v>
      </c>
      <c r="J74" s="393">
        <f t="shared" si="12"/>
        <v>277.1941272</v>
      </c>
      <c r="K74" s="394"/>
      <c r="L74" s="402"/>
      <c r="M74" s="402"/>
      <c r="N74" s="402"/>
    </row>
    <row r="75" ht="15.75" customHeight="1">
      <c r="A75" s="373" t="str">
        <f t="shared" si="9"/>
        <v>5 METERS6 KG200</v>
      </c>
      <c r="B75" s="277">
        <f t="shared" si="13"/>
        <v>27</v>
      </c>
      <c r="C75" s="403" t="s">
        <v>1948</v>
      </c>
      <c r="D75" s="396">
        <v>200.0</v>
      </c>
      <c r="E75" s="94" t="s">
        <v>2065</v>
      </c>
      <c r="F75" s="255">
        <v>8740.0</v>
      </c>
      <c r="G75" s="58">
        <f t="shared" si="10"/>
        <v>31.375</v>
      </c>
      <c r="H75" s="256">
        <f t="shared" si="11"/>
        <v>278.5657371</v>
      </c>
      <c r="I75" s="392">
        <v>8740.0</v>
      </c>
      <c r="J75" s="393">
        <f t="shared" si="12"/>
        <v>278.5657371</v>
      </c>
      <c r="K75" s="394"/>
      <c r="L75" s="402"/>
      <c r="M75" s="402"/>
      <c r="N75" s="402"/>
    </row>
    <row r="76" ht="15.75" customHeight="1">
      <c r="A76" s="67" t="str">
        <f t="shared" si="9"/>
        <v>5 METERS10 KG20</v>
      </c>
      <c r="B76" s="150">
        <f t="shared" si="13"/>
        <v>28</v>
      </c>
      <c r="C76" s="150" t="s">
        <v>1963</v>
      </c>
      <c r="D76" s="92">
        <v>20.0</v>
      </c>
      <c r="E76" s="94" t="s">
        <v>2069</v>
      </c>
      <c r="F76" s="336">
        <v>185.0</v>
      </c>
      <c r="G76" s="58">
        <f t="shared" si="10"/>
        <v>0.5666666667</v>
      </c>
      <c r="H76" s="59">
        <f t="shared" si="11"/>
        <v>326.4705882</v>
      </c>
      <c r="I76" s="392">
        <v>163.0</v>
      </c>
      <c r="J76" s="393">
        <f t="shared" si="12"/>
        <v>287.6470588</v>
      </c>
      <c r="K76" s="411"/>
      <c r="L76" s="412"/>
      <c r="M76" s="412"/>
      <c r="N76" s="85">
        <f t="shared" ref="N76:N89" si="14">I76-F76</f>
        <v>-22</v>
      </c>
    </row>
    <row r="77" ht="15.75" customHeight="1">
      <c r="A77" s="67" t="str">
        <f t="shared" si="9"/>
        <v>5 METERS10 KG25</v>
      </c>
      <c r="B77" s="150">
        <f t="shared" si="13"/>
        <v>29</v>
      </c>
      <c r="C77" s="150" t="s">
        <v>1963</v>
      </c>
      <c r="D77" s="92">
        <v>25.0</v>
      </c>
      <c r="E77" s="94" t="s">
        <v>2072</v>
      </c>
      <c r="F77" s="336">
        <v>236.0</v>
      </c>
      <c r="G77" s="58">
        <f t="shared" si="10"/>
        <v>0.875</v>
      </c>
      <c r="H77" s="59">
        <f t="shared" si="11"/>
        <v>269.7142857</v>
      </c>
      <c r="I77" s="392">
        <v>245.0</v>
      </c>
      <c r="J77" s="24">
        <f t="shared" si="12"/>
        <v>280</v>
      </c>
      <c r="K77" s="411"/>
      <c r="L77" s="412"/>
      <c r="M77" s="412"/>
      <c r="N77" s="85">
        <f t="shared" si="14"/>
        <v>9</v>
      </c>
    </row>
    <row r="78" ht="15.75" customHeight="1">
      <c r="A78" s="67" t="str">
        <f t="shared" si="9"/>
        <v>5 METERS10 KG32</v>
      </c>
      <c r="B78" s="150">
        <f t="shared" si="13"/>
        <v>30</v>
      </c>
      <c r="C78" s="150" t="s">
        <v>1963</v>
      </c>
      <c r="D78" s="92">
        <v>32.0</v>
      </c>
      <c r="E78" s="94" t="s">
        <v>2077</v>
      </c>
      <c r="F78" s="336">
        <v>373.0</v>
      </c>
      <c r="G78" s="58">
        <f t="shared" si="10"/>
        <v>1.408333333</v>
      </c>
      <c r="H78" s="59">
        <f t="shared" si="11"/>
        <v>264.852071</v>
      </c>
      <c r="I78" s="392">
        <v>390.0</v>
      </c>
      <c r="J78" s="24">
        <f t="shared" si="12"/>
        <v>276.9230769</v>
      </c>
      <c r="K78" s="411"/>
      <c r="L78" s="412"/>
      <c r="M78" s="412"/>
      <c r="N78" s="85">
        <f t="shared" si="14"/>
        <v>17</v>
      </c>
    </row>
    <row r="79" ht="15.75" customHeight="1">
      <c r="A79" s="67" t="str">
        <f t="shared" si="9"/>
        <v>5 METERS10 KG40</v>
      </c>
      <c r="B79" s="150">
        <f t="shared" si="13"/>
        <v>31</v>
      </c>
      <c r="C79" s="150" t="s">
        <v>1963</v>
      </c>
      <c r="D79" s="92">
        <v>40.0</v>
      </c>
      <c r="E79" s="94" t="s">
        <v>2080</v>
      </c>
      <c r="F79" s="336">
        <v>570.0</v>
      </c>
      <c r="G79" s="58">
        <f t="shared" si="10"/>
        <v>2.158333333</v>
      </c>
      <c r="H79" s="59">
        <f t="shared" si="11"/>
        <v>264.0926641</v>
      </c>
      <c r="I79" s="392">
        <v>596.0</v>
      </c>
      <c r="J79" s="24">
        <f t="shared" si="12"/>
        <v>276.1389961</v>
      </c>
      <c r="K79" s="411"/>
      <c r="L79" s="412"/>
      <c r="M79" s="412"/>
      <c r="N79" s="85">
        <f t="shared" si="14"/>
        <v>26</v>
      </c>
    </row>
    <row r="80" ht="15.75" customHeight="1">
      <c r="A80" s="67" t="str">
        <f t="shared" si="9"/>
        <v>5 METERS10 KG50</v>
      </c>
      <c r="B80" s="150">
        <f t="shared" si="13"/>
        <v>32</v>
      </c>
      <c r="C80" s="150" t="s">
        <v>1963</v>
      </c>
      <c r="D80" s="92">
        <v>50.0</v>
      </c>
      <c r="E80" s="94" t="s">
        <v>2081</v>
      </c>
      <c r="F80" s="336">
        <v>890.0</v>
      </c>
      <c r="G80" s="58">
        <f t="shared" si="10"/>
        <v>3.75</v>
      </c>
      <c r="H80" s="59">
        <f t="shared" si="11"/>
        <v>237.3333333</v>
      </c>
      <c r="I80" s="392">
        <v>1033.0</v>
      </c>
      <c r="J80" s="24">
        <f t="shared" si="12"/>
        <v>275.4666667</v>
      </c>
      <c r="K80" s="411"/>
      <c r="L80" s="412"/>
      <c r="M80" s="412"/>
      <c r="N80" s="85">
        <f t="shared" si="14"/>
        <v>143</v>
      </c>
    </row>
    <row r="81" ht="15.75" customHeight="1">
      <c r="A81" s="67" t="str">
        <f t="shared" si="9"/>
        <v>5 METERS10 KG63</v>
      </c>
      <c r="B81" s="150">
        <f t="shared" si="13"/>
        <v>33</v>
      </c>
      <c r="C81" s="150" t="s">
        <v>1963</v>
      </c>
      <c r="D81" s="92">
        <v>63.0</v>
      </c>
      <c r="E81" s="94" t="s">
        <v>2084</v>
      </c>
      <c r="F81" s="336">
        <v>1373.0</v>
      </c>
      <c r="G81" s="58">
        <f t="shared" si="10"/>
        <v>5.291666667</v>
      </c>
      <c r="H81" s="59">
        <f t="shared" si="11"/>
        <v>259.4645669</v>
      </c>
      <c r="I81" s="392">
        <v>1486.0</v>
      </c>
      <c r="J81" s="24">
        <f t="shared" si="12"/>
        <v>280.8188976</v>
      </c>
      <c r="K81" s="411"/>
      <c r="L81" s="412"/>
      <c r="M81" s="412"/>
      <c r="N81" s="85">
        <f t="shared" si="14"/>
        <v>113</v>
      </c>
    </row>
    <row r="82" ht="15.75" customHeight="1">
      <c r="A82" s="67" t="str">
        <f t="shared" si="9"/>
        <v>5 METERS10 KG75</v>
      </c>
      <c r="B82" s="150">
        <f t="shared" si="13"/>
        <v>34</v>
      </c>
      <c r="C82" s="150" t="s">
        <v>1963</v>
      </c>
      <c r="D82" s="92">
        <v>75.0</v>
      </c>
      <c r="E82" s="94" t="s">
        <v>2087</v>
      </c>
      <c r="F82" s="336">
        <v>1956.0</v>
      </c>
      <c r="G82" s="58">
        <f t="shared" si="10"/>
        <v>7.583333333</v>
      </c>
      <c r="H82" s="59">
        <f t="shared" si="11"/>
        <v>257.9340659</v>
      </c>
      <c r="I82" s="392">
        <v>2066.0</v>
      </c>
      <c r="J82" s="24">
        <f t="shared" si="12"/>
        <v>272.4395604</v>
      </c>
      <c r="K82" s="411"/>
      <c r="L82" s="412"/>
      <c r="M82" s="412"/>
      <c r="N82" s="85">
        <f t="shared" si="14"/>
        <v>110</v>
      </c>
    </row>
    <row r="83" ht="15.75" customHeight="1">
      <c r="A83" s="67" t="str">
        <f t="shared" si="9"/>
        <v>5 METERS10 KG90</v>
      </c>
      <c r="B83" s="150">
        <f t="shared" si="13"/>
        <v>35</v>
      </c>
      <c r="C83" s="150" t="s">
        <v>1963</v>
      </c>
      <c r="D83" s="92">
        <v>90.0</v>
      </c>
      <c r="E83" s="94" t="s">
        <v>2090</v>
      </c>
      <c r="F83" s="336">
        <v>2790.0</v>
      </c>
      <c r="G83" s="58">
        <f t="shared" si="10"/>
        <v>10.66666667</v>
      </c>
      <c r="H83" s="59">
        <f t="shared" si="11"/>
        <v>261.5625</v>
      </c>
      <c r="I83" s="392">
        <v>2913.0</v>
      </c>
      <c r="J83" s="24">
        <f t="shared" si="12"/>
        <v>273.09375</v>
      </c>
      <c r="K83" s="411"/>
      <c r="L83" s="412"/>
      <c r="M83" s="412"/>
      <c r="N83" s="85">
        <f t="shared" si="14"/>
        <v>123</v>
      </c>
    </row>
    <row r="84" ht="15.75" customHeight="1">
      <c r="A84" s="67" t="str">
        <f t="shared" si="9"/>
        <v>5 METERS10 KG110</v>
      </c>
      <c r="B84" s="150">
        <f t="shared" si="13"/>
        <v>36</v>
      </c>
      <c r="C84" s="150" t="s">
        <v>1963</v>
      </c>
      <c r="D84" s="92">
        <v>110.0</v>
      </c>
      <c r="E84" s="94" t="s">
        <v>2095</v>
      </c>
      <c r="F84" s="336">
        <v>4155.0</v>
      </c>
      <c r="G84" s="58">
        <f t="shared" si="10"/>
        <v>16.08333333</v>
      </c>
      <c r="H84" s="59">
        <f t="shared" si="11"/>
        <v>258.3419689</v>
      </c>
      <c r="I84" s="392">
        <v>4450.0</v>
      </c>
      <c r="J84" s="24">
        <f t="shared" si="12"/>
        <v>276.6839378</v>
      </c>
      <c r="K84" s="411"/>
      <c r="L84" s="412"/>
      <c r="M84" s="412"/>
      <c r="N84" s="85">
        <f t="shared" si="14"/>
        <v>295</v>
      </c>
    </row>
    <row r="85" ht="15.75" customHeight="1">
      <c r="A85" s="67" t="str">
        <f t="shared" si="9"/>
        <v>5 METERS10 KG125</v>
      </c>
      <c r="B85" s="150">
        <f t="shared" si="13"/>
        <v>37</v>
      </c>
      <c r="C85" s="150" t="s">
        <v>1963</v>
      </c>
      <c r="D85" s="92">
        <v>125.0</v>
      </c>
      <c r="E85" s="94" t="s">
        <v>2096</v>
      </c>
      <c r="F85" s="336">
        <v>5400.0</v>
      </c>
      <c r="G85" s="58">
        <f t="shared" si="10"/>
        <v>20.66666667</v>
      </c>
      <c r="H85" s="59">
        <f t="shared" si="11"/>
        <v>261.2903226</v>
      </c>
      <c r="I85" s="392">
        <v>5566.0</v>
      </c>
      <c r="J85" s="24">
        <f t="shared" si="12"/>
        <v>269.3225806</v>
      </c>
      <c r="K85" s="411"/>
      <c r="L85" s="412"/>
      <c r="M85" s="412"/>
      <c r="N85" s="85">
        <f t="shared" si="14"/>
        <v>166</v>
      </c>
    </row>
    <row r="86" ht="15.75" customHeight="1">
      <c r="A86" s="67" t="str">
        <f t="shared" si="9"/>
        <v>5 METERS10 KG140</v>
      </c>
      <c r="B86" s="150">
        <f t="shared" si="13"/>
        <v>38</v>
      </c>
      <c r="C86" s="150" t="s">
        <v>1963</v>
      </c>
      <c r="D86" s="92">
        <v>140.0</v>
      </c>
      <c r="E86" s="94" t="s">
        <v>2099</v>
      </c>
      <c r="F86" s="336">
        <v>6650.0</v>
      </c>
      <c r="G86" s="58">
        <f t="shared" si="10"/>
        <v>25.91666667</v>
      </c>
      <c r="H86" s="59">
        <f t="shared" si="11"/>
        <v>256.5916399</v>
      </c>
      <c r="I86" s="392">
        <v>7150.0</v>
      </c>
      <c r="J86" s="24">
        <f t="shared" si="12"/>
        <v>275.8842444</v>
      </c>
      <c r="K86" s="411"/>
      <c r="L86" s="412"/>
      <c r="M86" s="412"/>
      <c r="N86" s="85">
        <f t="shared" si="14"/>
        <v>500</v>
      </c>
    </row>
    <row r="87" ht="15.75" customHeight="1">
      <c r="A87" s="67" t="str">
        <f t="shared" si="9"/>
        <v>5 METERS10 KG160</v>
      </c>
      <c r="B87" s="150">
        <f t="shared" si="13"/>
        <v>39</v>
      </c>
      <c r="C87" s="150" t="s">
        <v>1963</v>
      </c>
      <c r="D87" s="92">
        <v>160.0</v>
      </c>
      <c r="E87" s="94" t="s">
        <v>2101</v>
      </c>
      <c r="F87" s="336">
        <v>8733.0</v>
      </c>
      <c r="G87" s="58">
        <f t="shared" si="10"/>
        <v>33.83333333</v>
      </c>
      <c r="H87" s="59">
        <f t="shared" si="11"/>
        <v>258.1182266</v>
      </c>
      <c r="I87" s="392">
        <v>9150.0</v>
      </c>
      <c r="J87" s="24">
        <f t="shared" si="12"/>
        <v>270.4433498</v>
      </c>
      <c r="K87" s="411"/>
      <c r="L87" s="412"/>
      <c r="M87" s="412"/>
      <c r="N87" s="85">
        <f t="shared" si="14"/>
        <v>417</v>
      </c>
    </row>
    <row r="88" ht="15.75" customHeight="1">
      <c r="A88" s="67" t="str">
        <f t="shared" si="9"/>
        <v>5 METERS10 KG180</v>
      </c>
      <c r="B88" s="150">
        <f t="shared" si="13"/>
        <v>40</v>
      </c>
      <c r="C88" s="150" t="s">
        <v>1963</v>
      </c>
      <c r="D88" s="92">
        <v>180.0</v>
      </c>
      <c r="E88" s="94" t="s">
        <v>2106</v>
      </c>
      <c r="F88" s="336">
        <v>11150.0</v>
      </c>
      <c r="G88" s="58">
        <f t="shared" si="10"/>
        <v>42.75</v>
      </c>
      <c r="H88" s="59">
        <f t="shared" si="11"/>
        <v>260.8187135</v>
      </c>
      <c r="I88" s="392">
        <v>11650.0</v>
      </c>
      <c r="J88" s="24">
        <f t="shared" si="12"/>
        <v>272.5146199</v>
      </c>
      <c r="K88" s="411"/>
      <c r="L88" s="412"/>
      <c r="M88" s="412"/>
      <c r="N88" s="85">
        <f t="shared" si="14"/>
        <v>500</v>
      </c>
    </row>
    <row r="89" ht="15.75" customHeight="1">
      <c r="A89" s="67" t="str">
        <f t="shared" si="9"/>
        <v>5 METERS10 KG200</v>
      </c>
      <c r="B89" s="150">
        <f t="shared" si="13"/>
        <v>41</v>
      </c>
      <c r="C89" s="150" t="s">
        <v>1963</v>
      </c>
      <c r="D89" s="92">
        <v>200.0</v>
      </c>
      <c r="E89" s="94" t="s">
        <v>2107</v>
      </c>
      <c r="F89" s="336">
        <v>13733.0</v>
      </c>
      <c r="G89" s="58">
        <f t="shared" si="10"/>
        <v>52.91666667</v>
      </c>
      <c r="H89" s="59">
        <f t="shared" si="11"/>
        <v>259.5212598</v>
      </c>
      <c r="I89" s="392">
        <v>14483.0</v>
      </c>
      <c r="J89" s="24">
        <f t="shared" si="12"/>
        <v>273.6944882</v>
      </c>
      <c r="K89" s="411"/>
      <c r="L89" s="412"/>
      <c r="M89" s="412"/>
      <c r="N89" s="85">
        <f t="shared" si="14"/>
        <v>750</v>
      </c>
    </row>
    <row r="90">
      <c r="A90" s="340"/>
      <c r="B90" s="262" t="s">
        <v>11</v>
      </c>
      <c r="C90" s="45"/>
      <c r="D90" s="45"/>
      <c r="E90" s="45"/>
      <c r="F90" s="399">
        <f>SUM(F49:F89)</f>
        <v>135779</v>
      </c>
      <c r="G90" s="264"/>
      <c r="H90" s="389"/>
      <c r="I90" s="400">
        <f>SUM(I49:I89)</f>
        <v>138926</v>
      </c>
      <c r="J90" s="402"/>
      <c r="K90" s="402"/>
      <c r="L90" s="402"/>
      <c r="M90" s="402"/>
      <c r="N90" s="402"/>
    </row>
    <row r="91" ht="6.0" customHeight="1">
      <c r="A91" s="340"/>
      <c r="B91" s="242"/>
      <c r="C91" s="242"/>
      <c r="D91" s="242"/>
      <c r="E91" s="243"/>
      <c r="F91" s="242"/>
      <c r="G91" s="264"/>
      <c r="H91" s="389"/>
      <c r="I91" s="402"/>
      <c r="J91" s="402"/>
      <c r="K91" s="402"/>
      <c r="L91" s="402"/>
      <c r="M91" s="402"/>
      <c r="N91" s="402"/>
    </row>
    <row r="92" ht="22.5" customHeight="1">
      <c r="A92" s="340"/>
      <c r="B92" s="249" t="s">
        <v>2116</v>
      </c>
      <c r="C92" s="45"/>
      <c r="D92" s="45"/>
      <c r="E92" s="45"/>
      <c r="F92" s="46"/>
      <c r="G92" s="264"/>
      <c r="H92" s="389"/>
      <c r="I92" s="402"/>
      <c r="J92" s="402"/>
      <c r="K92" s="402"/>
      <c r="L92" s="402"/>
      <c r="M92" s="402"/>
      <c r="N92" s="402"/>
    </row>
    <row r="93" ht="15.75" customHeight="1">
      <c r="A93" s="373" t="str">
        <f t="shared" ref="A93:A133" si="15">$B$92&amp;C93&amp;D93</f>
        <v>3 METERS2.5 KG90</v>
      </c>
      <c r="B93" s="253">
        <v>1.0</v>
      </c>
      <c r="C93" s="390" t="s">
        <v>1912</v>
      </c>
      <c r="D93" s="391">
        <v>90.0</v>
      </c>
      <c r="E93" s="129" t="s">
        <v>2122</v>
      </c>
      <c r="F93" s="255">
        <v>495.0</v>
      </c>
      <c r="G93" s="58">
        <f t="shared" ref="G93:G133" si="16">IFERROR(G5/6,"")*3</f>
        <v>1.825</v>
      </c>
      <c r="H93" s="256">
        <f t="shared" ref="H93:H133" si="17">IFERROR(F93/G93,"")</f>
        <v>271.2328767</v>
      </c>
      <c r="I93" s="392">
        <v>495.0</v>
      </c>
      <c r="J93" s="24">
        <f t="shared" ref="J93:J133" si="18">I93/G93</f>
        <v>271.2328767</v>
      </c>
      <c r="K93" s="394"/>
      <c r="L93" s="402"/>
      <c r="M93" s="402"/>
      <c r="N93" s="402"/>
    </row>
    <row r="94" ht="15.75" customHeight="1">
      <c r="A94" s="373" t="str">
        <f t="shared" si="15"/>
        <v>3 METERS2.5 KG110</v>
      </c>
      <c r="B94" s="277">
        <f t="shared" ref="B94:B133" si="19">B93+1</f>
        <v>2</v>
      </c>
      <c r="C94" s="403" t="s">
        <v>1912</v>
      </c>
      <c r="D94" s="396">
        <v>110.0</v>
      </c>
      <c r="E94" s="94" t="s">
        <v>2130</v>
      </c>
      <c r="F94" s="255">
        <v>740.0</v>
      </c>
      <c r="G94" s="58">
        <f t="shared" si="16"/>
        <v>2.675</v>
      </c>
      <c r="H94" s="256">
        <f t="shared" si="17"/>
        <v>276.635514</v>
      </c>
      <c r="I94" s="392">
        <v>740.0</v>
      </c>
      <c r="J94" s="24">
        <f t="shared" si="18"/>
        <v>276.635514</v>
      </c>
      <c r="K94" s="394"/>
      <c r="L94" s="402"/>
      <c r="M94" s="402"/>
      <c r="N94" s="402"/>
    </row>
    <row r="95" ht="15.75" customHeight="1">
      <c r="A95" s="373" t="str">
        <f t="shared" si="15"/>
        <v>3 METERS2.5 KG125</v>
      </c>
      <c r="B95" s="277">
        <f t="shared" si="19"/>
        <v>3</v>
      </c>
      <c r="C95" s="403" t="s">
        <v>1912</v>
      </c>
      <c r="D95" s="396">
        <v>125.0</v>
      </c>
      <c r="E95" s="94" t="s">
        <v>2132</v>
      </c>
      <c r="F95" s="255">
        <v>935.0</v>
      </c>
      <c r="G95" s="58">
        <f t="shared" si="16"/>
        <v>3.4</v>
      </c>
      <c r="H95" s="256">
        <f t="shared" si="17"/>
        <v>275</v>
      </c>
      <c r="I95" s="392">
        <v>935.0</v>
      </c>
      <c r="J95" s="24">
        <f t="shared" si="18"/>
        <v>275</v>
      </c>
      <c r="K95" s="394"/>
      <c r="L95" s="402"/>
      <c r="M95" s="402"/>
      <c r="N95" s="402"/>
    </row>
    <row r="96" ht="15.75" customHeight="1">
      <c r="A96" s="373" t="str">
        <f t="shared" si="15"/>
        <v>3 METERS2.5 KG140</v>
      </c>
      <c r="B96" s="277">
        <f t="shared" si="19"/>
        <v>4</v>
      </c>
      <c r="C96" s="403" t="s">
        <v>1912</v>
      </c>
      <c r="D96" s="396">
        <v>140.0</v>
      </c>
      <c r="E96" s="94" t="s">
        <v>2137</v>
      </c>
      <c r="F96" s="255">
        <v>1145.0</v>
      </c>
      <c r="G96" s="58">
        <f t="shared" si="16"/>
        <v>4.2</v>
      </c>
      <c r="H96" s="256">
        <f t="shared" si="17"/>
        <v>272.6190476</v>
      </c>
      <c r="I96" s="392">
        <v>1145.0</v>
      </c>
      <c r="J96" s="24">
        <f t="shared" si="18"/>
        <v>272.6190476</v>
      </c>
      <c r="K96" s="394"/>
      <c r="L96" s="402"/>
      <c r="M96" s="402"/>
      <c r="N96" s="402"/>
    </row>
    <row r="97" ht="15.75" customHeight="1">
      <c r="A97" s="373" t="str">
        <f t="shared" si="15"/>
        <v>3 METERS2.5 KG160</v>
      </c>
      <c r="B97" s="277">
        <f t="shared" si="19"/>
        <v>5</v>
      </c>
      <c r="C97" s="403" t="s">
        <v>1912</v>
      </c>
      <c r="D97" s="396">
        <v>160.0</v>
      </c>
      <c r="E97" s="94" t="s">
        <v>2140</v>
      </c>
      <c r="F97" s="255">
        <v>1545.0</v>
      </c>
      <c r="G97" s="58">
        <f t="shared" si="16"/>
        <v>5.625</v>
      </c>
      <c r="H97" s="256">
        <f t="shared" si="17"/>
        <v>274.6666667</v>
      </c>
      <c r="I97" s="392">
        <v>1545.0</v>
      </c>
      <c r="J97" s="24">
        <f t="shared" si="18"/>
        <v>274.6666667</v>
      </c>
      <c r="K97" s="394"/>
      <c r="L97" s="402"/>
      <c r="M97" s="402"/>
      <c r="N97" s="402"/>
    </row>
    <row r="98" ht="15.75" customHeight="1">
      <c r="A98" s="373" t="str">
        <f t="shared" si="15"/>
        <v>3 METERS2.5 KG180</v>
      </c>
      <c r="B98" s="277">
        <f t="shared" si="19"/>
        <v>6</v>
      </c>
      <c r="C98" s="403" t="s">
        <v>1912</v>
      </c>
      <c r="D98" s="396">
        <v>180.0</v>
      </c>
      <c r="E98" s="94" t="s">
        <v>2142</v>
      </c>
      <c r="F98" s="255">
        <v>1970.0</v>
      </c>
      <c r="G98" s="58">
        <f t="shared" si="16"/>
        <v>7.25</v>
      </c>
      <c r="H98" s="256">
        <f t="shared" si="17"/>
        <v>271.7241379</v>
      </c>
      <c r="I98" s="392">
        <v>1970.0</v>
      </c>
      <c r="J98" s="24">
        <f t="shared" si="18"/>
        <v>271.7241379</v>
      </c>
      <c r="K98" s="394"/>
      <c r="L98" s="402"/>
      <c r="M98" s="402"/>
      <c r="N98" s="402"/>
    </row>
    <row r="99" ht="15.75" customHeight="1">
      <c r="A99" s="373" t="str">
        <f t="shared" si="15"/>
        <v>3 METERS2.5 KG200</v>
      </c>
      <c r="B99" s="277">
        <f t="shared" si="19"/>
        <v>7</v>
      </c>
      <c r="C99" s="403" t="s">
        <v>1912</v>
      </c>
      <c r="D99" s="396">
        <v>200.0</v>
      </c>
      <c r="E99" s="94" t="s">
        <v>2147</v>
      </c>
      <c r="F99" s="255">
        <v>2445.0</v>
      </c>
      <c r="G99" s="58">
        <f t="shared" si="16"/>
        <v>8.9</v>
      </c>
      <c r="H99" s="256">
        <f t="shared" si="17"/>
        <v>274.7191011</v>
      </c>
      <c r="I99" s="392">
        <v>2445.0</v>
      </c>
      <c r="J99" s="24">
        <f t="shared" si="18"/>
        <v>274.7191011</v>
      </c>
      <c r="K99" s="394"/>
      <c r="L99" s="402"/>
      <c r="M99" s="402"/>
      <c r="N99" s="402"/>
    </row>
    <row r="100" ht="15.75" customHeight="1">
      <c r="A100" s="373" t="str">
        <f t="shared" si="15"/>
        <v>3 METERS4 KG63</v>
      </c>
      <c r="B100" s="277">
        <f t="shared" si="19"/>
        <v>8</v>
      </c>
      <c r="C100" s="403" t="s">
        <v>1932</v>
      </c>
      <c r="D100" s="396">
        <v>63.0</v>
      </c>
      <c r="E100" s="94" t="s">
        <v>2150</v>
      </c>
      <c r="F100" s="255">
        <v>398.0</v>
      </c>
      <c r="G100" s="58">
        <f t="shared" si="16"/>
        <v>1.475</v>
      </c>
      <c r="H100" s="256">
        <f t="shared" si="17"/>
        <v>269.8305085</v>
      </c>
      <c r="I100" s="392">
        <v>398.0</v>
      </c>
      <c r="J100" s="24">
        <f t="shared" si="18"/>
        <v>269.8305085</v>
      </c>
      <c r="K100" s="394"/>
      <c r="L100" s="402"/>
      <c r="M100" s="402"/>
      <c r="N100" s="402"/>
    </row>
    <row r="101" ht="15.75" customHeight="1">
      <c r="A101" s="373" t="str">
        <f t="shared" si="15"/>
        <v>3 METERS4 KG75</v>
      </c>
      <c r="B101" s="277">
        <f t="shared" si="19"/>
        <v>9</v>
      </c>
      <c r="C101" s="403" t="s">
        <v>1932</v>
      </c>
      <c r="D101" s="396">
        <v>75.0</v>
      </c>
      <c r="E101" s="94" t="s">
        <v>2152</v>
      </c>
      <c r="F101" s="255">
        <v>548.0</v>
      </c>
      <c r="G101" s="58">
        <f t="shared" si="16"/>
        <v>2.05</v>
      </c>
      <c r="H101" s="256">
        <f t="shared" si="17"/>
        <v>267.3170732</v>
      </c>
      <c r="I101" s="392">
        <v>548.0</v>
      </c>
      <c r="J101" s="24">
        <f t="shared" si="18"/>
        <v>267.3170732</v>
      </c>
      <c r="K101" s="394"/>
      <c r="L101" s="402"/>
      <c r="M101" s="402"/>
      <c r="N101" s="402"/>
    </row>
    <row r="102" ht="15.75" customHeight="1">
      <c r="A102" s="373" t="str">
        <f t="shared" si="15"/>
        <v>3 METERS4 KG90</v>
      </c>
      <c r="B102" s="277">
        <f t="shared" si="19"/>
        <v>10</v>
      </c>
      <c r="C102" s="403" t="s">
        <v>1932</v>
      </c>
      <c r="D102" s="396">
        <v>90.0</v>
      </c>
      <c r="E102" s="94" t="s">
        <v>2154</v>
      </c>
      <c r="F102" s="255">
        <v>748.0</v>
      </c>
      <c r="G102" s="58">
        <f t="shared" si="16"/>
        <v>2.775</v>
      </c>
      <c r="H102" s="256">
        <f t="shared" si="17"/>
        <v>269.5495495</v>
      </c>
      <c r="I102" s="392">
        <v>748.0</v>
      </c>
      <c r="J102" s="24">
        <f t="shared" si="18"/>
        <v>269.5495495</v>
      </c>
      <c r="K102" s="394"/>
      <c r="L102" s="402"/>
      <c r="M102" s="402"/>
      <c r="N102" s="402"/>
    </row>
    <row r="103" ht="15.75" customHeight="1">
      <c r="A103" s="373" t="str">
        <f t="shared" si="15"/>
        <v>3 METERS4 KG110</v>
      </c>
      <c r="B103" s="277">
        <f t="shared" si="19"/>
        <v>11</v>
      </c>
      <c r="C103" s="403" t="s">
        <v>1932</v>
      </c>
      <c r="D103" s="396">
        <v>110.0</v>
      </c>
      <c r="E103" s="94" t="s">
        <v>2159</v>
      </c>
      <c r="F103" s="255">
        <v>1098.0</v>
      </c>
      <c r="G103" s="58">
        <f t="shared" si="16"/>
        <v>4</v>
      </c>
      <c r="H103" s="256">
        <f t="shared" si="17"/>
        <v>274.5</v>
      </c>
      <c r="I103" s="392">
        <v>1098.0</v>
      </c>
      <c r="J103" s="24">
        <f t="shared" si="18"/>
        <v>274.5</v>
      </c>
      <c r="K103" s="394"/>
      <c r="L103" s="402"/>
      <c r="M103" s="402"/>
      <c r="N103" s="402"/>
    </row>
    <row r="104" ht="15.75" customHeight="1">
      <c r="A104" s="373" t="str">
        <f t="shared" si="15"/>
        <v>3 METERS4 KG125</v>
      </c>
      <c r="B104" s="277">
        <f t="shared" si="19"/>
        <v>12</v>
      </c>
      <c r="C104" s="403" t="s">
        <v>1932</v>
      </c>
      <c r="D104" s="396">
        <v>125.0</v>
      </c>
      <c r="E104" s="94" t="s">
        <v>2161</v>
      </c>
      <c r="F104" s="255">
        <v>1448.0</v>
      </c>
      <c r="G104" s="58">
        <f t="shared" si="16"/>
        <v>5.25</v>
      </c>
      <c r="H104" s="256">
        <f t="shared" si="17"/>
        <v>275.8095238</v>
      </c>
      <c r="I104" s="392">
        <v>1448.0</v>
      </c>
      <c r="J104" s="24">
        <f t="shared" si="18"/>
        <v>275.8095238</v>
      </c>
      <c r="K104" s="394"/>
      <c r="L104" s="402"/>
      <c r="M104" s="402"/>
      <c r="N104" s="402"/>
    </row>
    <row r="105" ht="15.75" customHeight="1">
      <c r="A105" s="373" t="str">
        <f t="shared" si="15"/>
        <v>3 METERS4 KG140</v>
      </c>
      <c r="B105" s="277">
        <f t="shared" si="19"/>
        <v>13</v>
      </c>
      <c r="C105" s="403" t="s">
        <v>1932</v>
      </c>
      <c r="D105" s="396">
        <v>140.0</v>
      </c>
      <c r="E105" s="94" t="s">
        <v>2162</v>
      </c>
      <c r="F105" s="255">
        <v>1824.0</v>
      </c>
      <c r="G105" s="58">
        <f t="shared" si="16"/>
        <v>6.35</v>
      </c>
      <c r="H105" s="256">
        <f t="shared" si="17"/>
        <v>287.2440945</v>
      </c>
      <c r="I105" s="392">
        <v>1824.0</v>
      </c>
      <c r="J105" s="24">
        <f t="shared" si="18"/>
        <v>287.2440945</v>
      </c>
      <c r="K105" s="394"/>
      <c r="L105" s="402"/>
      <c r="M105" s="402"/>
      <c r="N105" s="402"/>
    </row>
    <row r="106" ht="15.75" customHeight="1">
      <c r="A106" s="373" t="str">
        <f t="shared" si="15"/>
        <v>3 METERS4 KG160</v>
      </c>
      <c r="B106" s="277">
        <f t="shared" si="19"/>
        <v>14</v>
      </c>
      <c r="C106" s="403" t="s">
        <v>1932</v>
      </c>
      <c r="D106" s="396">
        <v>160.0</v>
      </c>
      <c r="E106" s="94" t="s">
        <v>2163</v>
      </c>
      <c r="F106" s="255">
        <v>2395.0</v>
      </c>
      <c r="G106" s="58">
        <f t="shared" si="16"/>
        <v>8.75</v>
      </c>
      <c r="H106" s="256">
        <f t="shared" si="17"/>
        <v>273.7142857</v>
      </c>
      <c r="I106" s="392">
        <v>2395.0</v>
      </c>
      <c r="J106" s="24">
        <f t="shared" si="18"/>
        <v>273.7142857</v>
      </c>
      <c r="K106" s="394"/>
      <c r="L106" s="402"/>
      <c r="M106" s="402"/>
      <c r="N106" s="402"/>
    </row>
    <row r="107" ht="15.75" customHeight="1">
      <c r="A107" s="373" t="str">
        <f t="shared" si="15"/>
        <v>3 METERS4 KG180</v>
      </c>
      <c r="B107" s="277">
        <f t="shared" si="19"/>
        <v>15</v>
      </c>
      <c r="C107" s="403" t="s">
        <v>1932</v>
      </c>
      <c r="D107" s="396">
        <v>180.0</v>
      </c>
      <c r="E107" s="94" t="s">
        <v>2164</v>
      </c>
      <c r="F107" s="255">
        <v>3048.0</v>
      </c>
      <c r="G107" s="58">
        <f t="shared" si="16"/>
        <v>11</v>
      </c>
      <c r="H107" s="256">
        <f t="shared" si="17"/>
        <v>277.0909091</v>
      </c>
      <c r="I107" s="392">
        <v>3048.0</v>
      </c>
      <c r="J107" s="24">
        <f t="shared" si="18"/>
        <v>277.0909091</v>
      </c>
      <c r="K107" s="394"/>
      <c r="L107" s="402"/>
      <c r="M107" s="402"/>
      <c r="N107" s="402"/>
    </row>
    <row r="108" ht="15.75" customHeight="1">
      <c r="A108" s="373" t="str">
        <f t="shared" si="15"/>
        <v>3 METERS4 KG200</v>
      </c>
      <c r="B108" s="277">
        <f t="shared" si="19"/>
        <v>16</v>
      </c>
      <c r="C108" s="403" t="s">
        <v>1932</v>
      </c>
      <c r="D108" s="396">
        <v>200.0</v>
      </c>
      <c r="E108" s="94" t="s">
        <v>2165</v>
      </c>
      <c r="F108" s="255">
        <v>3684.0</v>
      </c>
      <c r="G108" s="58">
        <f t="shared" si="16"/>
        <v>13.25</v>
      </c>
      <c r="H108" s="256">
        <f t="shared" si="17"/>
        <v>278.0377358</v>
      </c>
      <c r="I108" s="392">
        <v>3684.0</v>
      </c>
      <c r="J108" s="24">
        <f t="shared" si="18"/>
        <v>278.0377358</v>
      </c>
      <c r="K108" s="394"/>
      <c r="L108" s="402"/>
      <c r="M108" s="402"/>
      <c r="N108" s="402"/>
    </row>
    <row r="109" ht="15.75" customHeight="1">
      <c r="A109" s="373" t="str">
        <f t="shared" si="15"/>
        <v>3 METERS6 KG40</v>
      </c>
      <c r="B109" s="277">
        <f t="shared" si="19"/>
        <v>17</v>
      </c>
      <c r="C109" s="403" t="s">
        <v>1948</v>
      </c>
      <c r="D109" s="396">
        <v>40.0</v>
      </c>
      <c r="E109" s="94" t="s">
        <v>2169</v>
      </c>
      <c r="F109" s="255">
        <v>232.0</v>
      </c>
      <c r="G109" s="58">
        <f t="shared" si="16"/>
        <v>0.85</v>
      </c>
      <c r="H109" s="256">
        <f t="shared" si="17"/>
        <v>272.9411765</v>
      </c>
      <c r="I109" s="392">
        <v>232.0</v>
      </c>
      <c r="J109" s="24">
        <f t="shared" si="18"/>
        <v>272.9411765</v>
      </c>
      <c r="K109" s="394"/>
      <c r="L109" s="402"/>
      <c r="M109" s="402"/>
      <c r="N109" s="402"/>
    </row>
    <row r="110" ht="15.75" customHeight="1">
      <c r="A110" s="373" t="str">
        <f t="shared" si="15"/>
        <v>3 METERS6 KG50</v>
      </c>
      <c r="B110" s="277">
        <f t="shared" si="19"/>
        <v>18</v>
      </c>
      <c r="C110" s="403" t="s">
        <v>1948</v>
      </c>
      <c r="D110" s="396">
        <v>50.0</v>
      </c>
      <c r="E110" s="94" t="s">
        <v>2170</v>
      </c>
      <c r="F110" s="255">
        <v>347.0</v>
      </c>
      <c r="G110" s="58">
        <f t="shared" si="16"/>
        <v>1.275</v>
      </c>
      <c r="H110" s="256">
        <f t="shared" si="17"/>
        <v>272.1568627</v>
      </c>
      <c r="I110" s="392">
        <v>347.0</v>
      </c>
      <c r="J110" s="24">
        <f t="shared" si="18"/>
        <v>272.1568627</v>
      </c>
      <c r="K110" s="394"/>
      <c r="L110" s="402"/>
      <c r="M110" s="402"/>
      <c r="N110" s="402"/>
    </row>
    <row r="111" ht="15.75" customHeight="1">
      <c r="A111" s="373" t="str">
        <f t="shared" si="15"/>
        <v>3 METERS6 KG63</v>
      </c>
      <c r="B111" s="277">
        <f t="shared" si="19"/>
        <v>19</v>
      </c>
      <c r="C111" s="403" t="s">
        <v>1948</v>
      </c>
      <c r="D111" s="396">
        <v>63.0</v>
      </c>
      <c r="E111" s="94" t="s">
        <v>2171</v>
      </c>
      <c r="F111" s="255">
        <v>547.0</v>
      </c>
      <c r="G111" s="58">
        <f t="shared" si="16"/>
        <v>2.025</v>
      </c>
      <c r="H111" s="256">
        <f t="shared" si="17"/>
        <v>270.1234568</v>
      </c>
      <c r="I111" s="392">
        <v>547.0</v>
      </c>
      <c r="J111" s="24">
        <f t="shared" si="18"/>
        <v>270.1234568</v>
      </c>
      <c r="K111" s="394"/>
      <c r="L111" s="402"/>
      <c r="M111" s="402"/>
      <c r="N111" s="402"/>
    </row>
    <row r="112" ht="15.75" customHeight="1">
      <c r="A112" s="373" t="str">
        <f t="shared" si="15"/>
        <v>3 METERS6 KG75</v>
      </c>
      <c r="B112" s="277">
        <f t="shared" si="19"/>
        <v>20</v>
      </c>
      <c r="C112" s="403" t="s">
        <v>1948</v>
      </c>
      <c r="D112" s="396">
        <v>75.0</v>
      </c>
      <c r="E112" s="94" t="s">
        <v>2173</v>
      </c>
      <c r="F112" s="255">
        <v>764.0</v>
      </c>
      <c r="G112" s="58">
        <f t="shared" si="16"/>
        <v>2.875</v>
      </c>
      <c r="H112" s="256">
        <f t="shared" si="17"/>
        <v>265.7391304</v>
      </c>
      <c r="I112" s="392">
        <v>764.0</v>
      </c>
      <c r="J112" s="24">
        <f t="shared" si="18"/>
        <v>265.7391304</v>
      </c>
      <c r="K112" s="394"/>
      <c r="L112" s="402"/>
      <c r="M112" s="402"/>
      <c r="N112" s="402"/>
    </row>
    <row r="113" ht="15.75" customHeight="1">
      <c r="A113" s="373" t="str">
        <f t="shared" si="15"/>
        <v>3 METERS6 KG90</v>
      </c>
      <c r="B113" s="277">
        <f t="shared" si="19"/>
        <v>21</v>
      </c>
      <c r="C113" s="403" t="s">
        <v>1948</v>
      </c>
      <c r="D113" s="396">
        <v>90.0</v>
      </c>
      <c r="E113" s="94" t="s">
        <v>2176</v>
      </c>
      <c r="F113" s="255">
        <v>1074.0</v>
      </c>
      <c r="G113" s="58">
        <f t="shared" si="16"/>
        <v>4.05</v>
      </c>
      <c r="H113" s="256">
        <f t="shared" si="17"/>
        <v>265.1851852</v>
      </c>
      <c r="I113" s="392">
        <v>1074.0</v>
      </c>
      <c r="J113" s="24">
        <f t="shared" si="18"/>
        <v>265.1851852</v>
      </c>
      <c r="K113" s="394"/>
      <c r="L113" s="402"/>
      <c r="M113" s="402"/>
      <c r="N113" s="402"/>
    </row>
    <row r="114" ht="15.75" customHeight="1">
      <c r="A114" s="373" t="str">
        <f t="shared" si="15"/>
        <v>3 METERS6 KG110</v>
      </c>
      <c r="B114" s="277">
        <f t="shared" si="19"/>
        <v>22</v>
      </c>
      <c r="C114" s="403" t="s">
        <v>1948</v>
      </c>
      <c r="D114" s="396">
        <v>110.0</v>
      </c>
      <c r="E114" s="94" t="s">
        <v>2178</v>
      </c>
      <c r="F114" s="255">
        <v>1574.0</v>
      </c>
      <c r="G114" s="58">
        <f t="shared" si="16"/>
        <v>5.65</v>
      </c>
      <c r="H114" s="256">
        <f t="shared" si="17"/>
        <v>278.5840708</v>
      </c>
      <c r="I114" s="392">
        <v>1574.0</v>
      </c>
      <c r="J114" s="24">
        <f t="shared" si="18"/>
        <v>278.5840708</v>
      </c>
      <c r="K114" s="394"/>
      <c r="L114" s="402"/>
      <c r="M114" s="402"/>
      <c r="N114" s="402"/>
    </row>
    <row r="115" ht="15.75" customHeight="1">
      <c r="A115" s="373" t="str">
        <f t="shared" si="15"/>
        <v>3 METERS6 KG125</v>
      </c>
      <c r="B115" s="277">
        <f t="shared" si="19"/>
        <v>23</v>
      </c>
      <c r="C115" s="403" t="s">
        <v>1948</v>
      </c>
      <c r="D115" s="396">
        <v>125.0</v>
      </c>
      <c r="E115" s="94" t="s">
        <v>2181</v>
      </c>
      <c r="F115" s="255">
        <v>2094.0</v>
      </c>
      <c r="G115" s="58">
        <f t="shared" si="16"/>
        <v>7.7</v>
      </c>
      <c r="H115" s="256">
        <f t="shared" si="17"/>
        <v>271.9480519</v>
      </c>
      <c r="I115" s="392">
        <v>2094.0</v>
      </c>
      <c r="J115" s="24">
        <f t="shared" si="18"/>
        <v>271.9480519</v>
      </c>
      <c r="K115" s="394"/>
      <c r="L115" s="402"/>
      <c r="M115" s="402"/>
      <c r="N115" s="402"/>
    </row>
    <row r="116" ht="15.75" customHeight="1">
      <c r="A116" s="373" t="str">
        <f t="shared" si="15"/>
        <v>3 METERS6 KG140</v>
      </c>
      <c r="B116" s="277">
        <f t="shared" si="19"/>
        <v>24</v>
      </c>
      <c r="C116" s="403" t="s">
        <v>1948</v>
      </c>
      <c r="D116" s="396">
        <v>140.0</v>
      </c>
      <c r="E116" s="94" t="s">
        <v>2183</v>
      </c>
      <c r="F116" s="255">
        <v>2614.0</v>
      </c>
      <c r="G116" s="58">
        <f t="shared" si="16"/>
        <v>9.25</v>
      </c>
      <c r="H116" s="256">
        <f t="shared" si="17"/>
        <v>282.5945946</v>
      </c>
      <c r="I116" s="392">
        <v>2614.0</v>
      </c>
      <c r="J116" s="24">
        <f t="shared" si="18"/>
        <v>282.5945946</v>
      </c>
      <c r="K116" s="394"/>
      <c r="L116" s="402"/>
      <c r="M116" s="402"/>
      <c r="N116" s="402"/>
    </row>
    <row r="117" ht="15.75" customHeight="1">
      <c r="A117" s="373" t="str">
        <f t="shared" si="15"/>
        <v>3 METERS6 KG160</v>
      </c>
      <c r="B117" s="277">
        <f t="shared" si="19"/>
        <v>25</v>
      </c>
      <c r="C117" s="403" t="s">
        <v>1948</v>
      </c>
      <c r="D117" s="396">
        <v>160.0</v>
      </c>
      <c r="E117" s="94" t="s">
        <v>2186</v>
      </c>
      <c r="F117" s="255">
        <v>3348.0</v>
      </c>
      <c r="G117" s="58">
        <f t="shared" si="16"/>
        <v>12.25</v>
      </c>
      <c r="H117" s="256">
        <f t="shared" si="17"/>
        <v>273.3061224</v>
      </c>
      <c r="I117" s="392">
        <v>3348.0</v>
      </c>
      <c r="J117" s="24">
        <f t="shared" si="18"/>
        <v>273.3061224</v>
      </c>
      <c r="K117" s="394"/>
      <c r="L117" s="402"/>
      <c r="M117" s="402"/>
      <c r="N117" s="402"/>
    </row>
    <row r="118" ht="15.75" customHeight="1">
      <c r="A118" s="373" t="str">
        <f t="shared" si="15"/>
        <v>3 METERS6 KG180</v>
      </c>
      <c r="B118" s="277">
        <f t="shared" si="19"/>
        <v>26</v>
      </c>
      <c r="C118" s="390" t="s">
        <v>1948</v>
      </c>
      <c r="D118" s="396">
        <v>180.0</v>
      </c>
      <c r="E118" s="94" t="s">
        <v>2188</v>
      </c>
      <c r="F118" s="255">
        <v>4248.0</v>
      </c>
      <c r="G118" s="58">
        <f t="shared" si="16"/>
        <v>15.325</v>
      </c>
      <c r="H118" s="256">
        <f t="shared" si="17"/>
        <v>277.1941272</v>
      </c>
      <c r="I118" s="392">
        <v>4248.0</v>
      </c>
      <c r="J118" s="24">
        <f t="shared" si="18"/>
        <v>277.1941272</v>
      </c>
      <c r="K118" s="394"/>
      <c r="L118" s="402"/>
      <c r="M118" s="402"/>
      <c r="N118" s="402"/>
    </row>
    <row r="119" ht="15.75" customHeight="1">
      <c r="A119" s="373" t="str">
        <f t="shared" si="15"/>
        <v>3 METERS6 KG200</v>
      </c>
      <c r="B119" s="277">
        <f t="shared" si="19"/>
        <v>27</v>
      </c>
      <c r="C119" s="390" t="s">
        <v>1948</v>
      </c>
      <c r="D119" s="396">
        <v>200.0</v>
      </c>
      <c r="E119" s="94" t="s">
        <v>2190</v>
      </c>
      <c r="F119" s="255">
        <v>5244.0</v>
      </c>
      <c r="G119" s="58">
        <f t="shared" si="16"/>
        <v>18.825</v>
      </c>
      <c r="H119" s="256">
        <f t="shared" si="17"/>
        <v>278.5657371</v>
      </c>
      <c r="I119" s="392">
        <v>5244.0</v>
      </c>
      <c r="J119" s="24">
        <f t="shared" si="18"/>
        <v>278.5657371</v>
      </c>
      <c r="K119" s="394"/>
      <c r="L119" s="402"/>
      <c r="M119" s="402"/>
      <c r="N119" s="402"/>
    </row>
    <row r="120" ht="15.75" customHeight="1">
      <c r="A120" s="67" t="str">
        <f t="shared" si="15"/>
        <v>3 METERS10 KG20</v>
      </c>
      <c r="B120" s="150">
        <f t="shared" si="19"/>
        <v>28</v>
      </c>
      <c r="C120" s="51" t="s">
        <v>1963</v>
      </c>
      <c r="D120" s="92">
        <v>20.0</v>
      </c>
      <c r="E120" s="94" t="s">
        <v>2193</v>
      </c>
      <c r="F120" s="336">
        <v>111.0</v>
      </c>
      <c r="G120" s="58">
        <f t="shared" si="16"/>
        <v>0.34</v>
      </c>
      <c r="H120" s="59">
        <f t="shared" si="17"/>
        <v>326.4705882</v>
      </c>
      <c r="I120" s="392">
        <v>98.0</v>
      </c>
      <c r="J120" s="24">
        <f t="shared" si="18"/>
        <v>288.2352941</v>
      </c>
      <c r="K120" s="411"/>
      <c r="L120" s="412"/>
      <c r="M120" s="412"/>
      <c r="N120" s="85">
        <f t="shared" ref="N120:N133" si="20">I120-F120</f>
        <v>-13</v>
      </c>
    </row>
    <row r="121" ht="15.75" customHeight="1">
      <c r="A121" s="67" t="str">
        <f t="shared" si="15"/>
        <v>3 METERS10 KG25</v>
      </c>
      <c r="B121" s="150">
        <f t="shared" si="19"/>
        <v>29</v>
      </c>
      <c r="C121" s="51" t="s">
        <v>1963</v>
      </c>
      <c r="D121" s="92">
        <v>25.0</v>
      </c>
      <c r="E121" s="94" t="s">
        <v>2196</v>
      </c>
      <c r="F121" s="336">
        <v>142.0</v>
      </c>
      <c r="G121" s="58">
        <f t="shared" si="16"/>
        <v>0.525</v>
      </c>
      <c r="H121" s="59">
        <f t="shared" si="17"/>
        <v>270.4761905</v>
      </c>
      <c r="I121" s="392">
        <v>147.0</v>
      </c>
      <c r="J121" s="24">
        <f t="shared" si="18"/>
        <v>280</v>
      </c>
      <c r="K121" s="411"/>
      <c r="L121" s="412"/>
      <c r="M121" s="412"/>
      <c r="N121" s="85">
        <f t="shared" si="20"/>
        <v>5</v>
      </c>
    </row>
    <row r="122" ht="15.75" customHeight="1">
      <c r="A122" s="67" t="str">
        <f t="shared" si="15"/>
        <v>3 METERS10 KG32</v>
      </c>
      <c r="B122" s="150">
        <f t="shared" si="19"/>
        <v>30</v>
      </c>
      <c r="C122" s="51" t="s">
        <v>1963</v>
      </c>
      <c r="D122" s="92">
        <v>32.0</v>
      </c>
      <c r="E122" s="94" t="s">
        <v>2197</v>
      </c>
      <c r="F122" s="336">
        <v>224.0</v>
      </c>
      <c r="G122" s="58">
        <f t="shared" si="16"/>
        <v>0.845</v>
      </c>
      <c r="H122" s="59">
        <f t="shared" si="17"/>
        <v>265.0887574</v>
      </c>
      <c r="I122" s="392">
        <v>234.0</v>
      </c>
      <c r="J122" s="24">
        <f t="shared" si="18"/>
        <v>276.9230769</v>
      </c>
      <c r="K122" s="411"/>
      <c r="L122" s="412"/>
      <c r="M122" s="412"/>
      <c r="N122" s="85">
        <f t="shared" si="20"/>
        <v>10</v>
      </c>
    </row>
    <row r="123" ht="15.75" customHeight="1">
      <c r="A123" s="67" t="str">
        <f t="shared" si="15"/>
        <v>3 METERS10 KG40</v>
      </c>
      <c r="B123" s="150">
        <f t="shared" si="19"/>
        <v>31</v>
      </c>
      <c r="C123" s="51" t="s">
        <v>1963</v>
      </c>
      <c r="D123" s="92">
        <v>40.0</v>
      </c>
      <c r="E123" s="94" t="s">
        <v>2203</v>
      </c>
      <c r="F123" s="336">
        <v>342.0</v>
      </c>
      <c r="G123" s="58">
        <f t="shared" si="16"/>
        <v>1.295</v>
      </c>
      <c r="H123" s="59">
        <f t="shared" si="17"/>
        <v>264.0926641</v>
      </c>
      <c r="I123" s="392">
        <v>358.0</v>
      </c>
      <c r="J123" s="24">
        <f t="shared" si="18"/>
        <v>276.4478764</v>
      </c>
      <c r="K123" s="411"/>
      <c r="L123" s="412"/>
      <c r="M123" s="412"/>
      <c r="N123" s="85">
        <f t="shared" si="20"/>
        <v>16</v>
      </c>
    </row>
    <row r="124" ht="15.75" customHeight="1">
      <c r="A124" s="67" t="str">
        <f t="shared" si="15"/>
        <v>3 METERS10 KG50</v>
      </c>
      <c r="B124" s="150">
        <f t="shared" si="19"/>
        <v>32</v>
      </c>
      <c r="C124" s="51" t="s">
        <v>1963</v>
      </c>
      <c r="D124" s="92">
        <v>50.0</v>
      </c>
      <c r="E124" s="94" t="s">
        <v>2205</v>
      </c>
      <c r="F124" s="336">
        <v>534.0</v>
      </c>
      <c r="G124" s="58">
        <f t="shared" si="16"/>
        <v>2.25</v>
      </c>
      <c r="H124" s="59">
        <f t="shared" si="17"/>
        <v>237.3333333</v>
      </c>
      <c r="I124" s="392">
        <v>620.0</v>
      </c>
      <c r="J124" s="24">
        <f t="shared" si="18"/>
        <v>275.5555556</v>
      </c>
      <c r="K124" s="411"/>
      <c r="L124" s="412"/>
      <c r="M124" s="412"/>
      <c r="N124" s="85">
        <f t="shared" si="20"/>
        <v>86</v>
      </c>
    </row>
    <row r="125" ht="15.75" customHeight="1">
      <c r="A125" s="67" t="str">
        <f t="shared" si="15"/>
        <v>3 METERS10 KG63</v>
      </c>
      <c r="B125" s="150">
        <f t="shared" si="19"/>
        <v>33</v>
      </c>
      <c r="C125" s="51" t="s">
        <v>1963</v>
      </c>
      <c r="D125" s="92">
        <v>63.0</v>
      </c>
      <c r="E125" s="94" t="s">
        <v>2208</v>
      </c>
      <c r="F125" s="336">
        <v>824.0</v>
      </c>
      <c r="G125" s="58">
        <f t="shared" si="16"/>
        <v>3.175</v>
      </c>
      <c r="H125" s="59">
        <f t="shared" si="17"/>
        <v>259.5275591</v>
      </c>
      <c r="I125" s="392">
        <v>892.0</v>
      </c>
      <c r="J125" s="24">
        <f t="shared" si="18"/>
        <v>280.9448819</v>
      </c>
      <c r="K125" s="411"/>
      <c r="L125" s="412"/>
      <c r="M125" s="412"/>
      <c r="N125" s="85">
        <f t="shared" si="20"/>
        <v>68</v>
      </c>
    </row>
    <row r="126" ht="15.75" customHeight="1">
      <c r="A126" s="67" t="str">
        <f t="shared" si="15"/>
        <v>3 METERS10 KG75</v>
      </c>
      <c r="B126" s="150">
        <f t="shared" si="19"/>
        <v>34</v>
      </c>
      <c r="C126" s="51" t="s">
        <v>1963</v>
      </c>
      <c r="D126" s="92">
        <v>75.0</v>
      </c>
      <c r="E126" s="94" t="s">
        <v>2210</v>
      </c>
      <c r="F126" s="336">
        <v>1174.0</v>
      </c>
      <c r="G126" s="58">
        <f t="shared" si="16"/>
        <v>4.55</v>
      </c>
      <c r="H126" s="59">
        <f t="shared" si="17"/>
        <v>258.021978</v>
      </c>
      <c r="I126" s="392">
        <v>1240.0</v>
      </c>
      <c r="J126" s="24">
        <f t="shared" si="18"/>
        <v>272.5274725</v>
      </c>
      <c r="K126" s="411"/>
      <c r="L126" s="412"/>
      <c r="M126" s="412"/>
      <c r="N126" s="85">
        <f t="shared" si="20"/>
        <v>66</v>
      </c>
    </row>
    <row r="127" ht="15.75" customHeight="1">
      <c r="A127" s="67" t="str">
        <f t="shared" si="15"/>
        <v>3 METERS10 KG90</v>
      </c>
      <c r="B127" s="150">
        <f t="shared" si="19"/>
        <v>35</v>
      </c>
      <c r="C127" s="51" t="s">
        <v>1963</v>
      </c>
      <c r="D127" s="92">
        <v>90.0</v>
      </c>
      <c r="E127" s="94" t="s">
        <v>2213</v>
      </c>
      <c r="F127" s="336">
        <v>1674.0</v>
      </c>
      <c r="G127" s="58">
        <f t="shared" si="16"/>
        <v>6.4</v>
      </c>
      <c r="H127" s="59">
        <f t="shared" si="17"/>
        <v>261.5625</v>
      </c>
      <c r="I127" s="392">
        <v>1748.0</v>
      </c>
      <c r="J127" s="24">
        <f t="shared" si="18"/>
        <v>273.125</v>
      </c>
      <c r="K127" s="411"/>
      <c r="L127" s="412"/>
      <c r="M127" s="412"/>
      <c r="N127" s="85">
        <f t="shared" si="20"/>
        <v>74</v>
      </c>
    </row>
    <row r="128" ht="15.75" customHeight="1">
      <c r="A128" s="67" t="str">
        <f t="shared" si="15"/>
        <v>3 METERS10 KG110</v>
      </c>
      <c r="B128" s="150">
        <f t="shared" si="19"/>
        <v>36</v>
      </c>
      <c r="C128" s="51" t="s">
        <v>1963</v>
      </c>
      <c r="D128" s="92">
        <v>110.0</v>
      </c>
      <c r="E128" s="94" t="s">
        <v>2218</v>
      </c>
      <c r="F128" s="336">
        <v>2493.0</v>
      </c>
      <c r="G128" s="58">
        <f t="shared" si="16"/>
        <v>9.65</v>
      </c>
      <c r="H128" s="59">
        <f t="shared" si="17"/>
        <v>258.3419689</v>
      </c>
      <c r="I128" s="392">
        <v>2670.0</v>
      </c>
      <c r="J128" s="24">
        <f t="shared" si="18"/>
        <v>276.6839378</v>
      </c>
      <c r="K128" s="411"/>
      <c r="L128" s="412"/>
      <c r="M128" s="412"/>
      <c r="N128" s="85">
        <f t="shared" si="20"/>
        <v>177</v>
      </c>
    </row>
    <row r="129" ht="15.75" customHeight="1">
      <c r="A129" s="67" t="str">
        <f t="shared" si="15"/>
        <v>3 METERS10 KG125</v>
      </c>
      <c r="B129" s="150">
        <f t="shared" si="19"/>
        <v>37</v>
      </c>
      <c r="C129" s="51" t="s">
        <v>1963</v>
      </c>
      <c r="D129" s="92">
        <v>125.0</v>
      </c>
      <c r="E129" s="94" t="s">
        <v>2220</v>
      </c>
      <c r="F129" s="336">
        <v>3240.0</v>
      </c>
      <c r="G129" s="58">
        <f t="shared" si="16"/>
        <v>12.4</v>
      </c>
      <c r="H129" s="59">
        <f t="shared" si="17"/>
        <v>261.2903226</v>
      </c>
      <c r="I129" s="392">
        <v>3340.0</v>
      </c>
      <c r="J129" s="24">
        <f t="shared" si="18"/>
        <v>269.3548387</v>
      </c>
      <c r="K129" s="411"/>
      <c r="L129" s="412"/>
      <c r="M129" s="412"/>
      <c r="N129" s="85">
        <f t="shared" si="20"/>
        <v>100</v>
      </c>
    </row>
    <row r="130" ht="15.75" customHeight="1">
      <c r="A130" s="67" t="str">
        <f t="shared" si="15"/>
        <v>3 METERS10 KG140</v>
      </c>
      <c r="B130" s="150">
        <f t="shared" si="19"/>
        <v>38</v>
      </c>
      <c r="C130" s="51" t="s">
        <v>1963</v>
      </c>
      <c r="D130" s="92">
        <v>140.0</v>
      </c>
      <c r="E130" s="94" t="s">
        <v>2225</v>
      </c>
      <c r="F130" s="336">
        <v>3990.0</v>
      </c>
      <c r="G130" s="58">
        <f t="shared" si="16"/>
        <v>15.55</v>
      </c>
      <c r="H130" s="59">
        <f t="shared" si="17"/>
        <v>256.5916399</v>
      </c>
      <c r="I130" s="392">
        <v>4290.0</v>
      </c>
      <c r="J130" s="24">
        <f t="shared" si="18"/>
        <v>275.8842444</v>
      </c>
      <c r="K130" s="411"/>
      <c r="L130" s="412"/>
      <c r="M130" s="412"/>
      <c r="N130" s="85">
        <f t="shared" si="20"/>
        <v>300</v>
      </c>
    </row>
    <row r="131" ht="15.75" customHeight="1">
      <c r="A131" s="67" t="str">
        <f t="shared" si="15"/>
        <v>3 METERS10 KG160</v>
      </c>
      <c r="B131" s="150">
        <f t="shared" si="19"/>
        <v>39</v>
      </c>
      <c r="C131" s="51" t="s">
        <v>1963</v>
      </c>
      <c r="D131" s="92">
        <v>160.0</v>
      </c>
      <c r="E131" s="94" t="s">
        <v>2228</v>
      </c>
      <c r="F131" s="336">
        <v>5240.0</v>
      </c>
      <c r="G131" s="58">
        <f t="shared" si="16"/>
        <v>20.3</v>
      </c>
      <c r="H131" s="59">
        <f t="shared" si="17"/>
        <v>258.1280788</v>
      </c>
      <c r="I131" s="392">
        <v>5490.0</v>
      </c>
      <c r="J131" s="24">
        <f t="shared" si="18"/>
        <v>270.4433498</v>
      </c>
      <c r="K131" s="411"/>
      <c r="L131" s="412"/>
      <c r="M131" s="412"/>
      <c r="N131" s="85">
        <f t="shared" si="20"/>
        <v>250</v>
      </c>
    </row>
    <row r="132" ht="15.75" customHeight="1">
      <c r="A132" s="67" t="str">
        <f t="shared" si="15"/>
        <v>3 METERS10 KG180</v>
      </c>
      <c r="B132" s="150">
        <f t="shared" si="19"/>
        <v>40</v>
      </c>
      <c r="C132" s="51" t="s">
        <v>1963</v>
      </c>
      <c r="D132" s="92">
        <v>180.0</v>
      </c>
      <c r="E132" s="94" t="s">
        <v>2231</v>
      </c>
      <c r="F132" s="336">
        <v>6690.0</v>
      </c>
      <c r="G132" s="58">
        <f t="shared" si="16"/>
        <v>25.65</v>
      </c>
      <c r="H132" s="59">
        <f t="shared" si="17"/>
        <v>260.8187135</v>
      </c>
      <c r="I132" s="392">
        <v>6990.0</v>
      </c>
      <c r="J132" s="24">
        <f t="shared" si="18"/>
        <v>272.5146199</v>
      </c>
      <c r="K132" s="411"/>
      <c r="L132" s="412"/>
      <c r="M132" s="412"/>
      <c r="N132" s="85">
        <f t="shared" si="20"/>
        <v>300</v>
      </c>
    </row>
    <row r="133" ht="15.75" customHeight="1">
      <c r="A133" s="67" t="str">
        <f t="shared" si="15"/>
        <v>3 METERS10 KG200</v>
      </c>
      <c r="B133" s="150">
        <f t="shared" si="19"/>
        <v>41</v>
      </c>
      <c r="C133" s="51" t="s">
        <v>1963</v>
      </c>
      <c r="D133" s="92">
        <v>200.0</v>
      </c>
      <c r="E133" s="94" t="s">
        <v>2232</v>
      </c>
      <c r="F133" s="336">
        <v>8240.0</v>
      </c>
      <c r="G133" s="58">
        <f t="shared" si="16"/>
        <v>31.75</v>
      </c>
      <c r="H133" s="59">
        <f t="shared" si="17"/>
        <v>259.5275591</v>
      </c>
      <c r="I133" s="392">
        <v>8690.0</v>
      </c>
      <c r="J133" s="24">
        <f t="shared" si="18"/>
        <v>273.7007874</v>
      </c>
      <c r="K133" s="411"/>
      <c r="L133" s="412"/>
      <c r="M133" s="412"/>
      <c r="N133" s="85">
        <f t="shared" si="20"/>
        <v>450</v>
      </c>
    </row>
    <row r="134">
      <c r="A134" s="340"/>
      <c r="B134" s="262" t="s">
        <v>11</v>
      </c>
      <c r="C134" s="45"/>
      <c r="D134" s="45"/>
      <c r="E134" s="45"/>
      <c r="F134" s="399">
        <f>SUM(F93:F133)</f>
        <v>81470</v>
      </c>
      <c r="G134" s="250"/>
      <c r="H134" s="389"/>
      <c r="I134" s="399">
        <f>SUM(I93:I133)</f>
        <v>83359</v>
      </c>
      <c r="J134" s="402"/>
      <c r="K134" s="402"/>
      <c r="L134" s="402"/>
      <c r="M134" s="402"/>
      <c r="N134" s="402"/>
    </row>
    <row r="135">
      <c r="A135" s="340"/>
      <c r="B135" s="242"/>
      <c r="C135" s="242"/>
      <c r="D135" s="242"/>
      <c r="E135" s="243"/>
      <c r="F135" s="242"/>
      <c r="G135" s="250"/>
      <c r="H135" s="389"/>
      <c r="I135" s="402"/>
      <c r="J135" s="402"/>
      <c r="K135" s="402"/>
      <c r="L135" s="402"/>
      <c r="M135" s="402"/>
      <c r="N135" s="402"/>
    </row>
    <row r="136">
      <c r="A136" s="340"/>
      <c r="B136" s="242"/>
      <c r="C136" s="242"/>
      <c r="D136" s="242"/>
      <c r="E136" s="243"/>
      <c r="F136" s="242"/>
      <c r="G136" s="250"/>
      <c r="H136" s="389"/>
      <c r="I136" s="402"/>
      <c r="J136" s="402"/>
      <c r="K136" s="402"/>
      <c r="L136" s="402"/>
      <c r="M136" s="402"/>
      <c r="N136" s="402"/>
    </row>
    <row r="137">
      <c r="A137" s="340"/>
      <c r="B137" s="242"/>
      <c r="C137" s="242"/>
      <c r="D137" s="242"/>
      <c r="E137" s="243"/>
      <c r="F137" s="242"/>
      <c r="G137" s="250"/>
      <c r="H137" s="389"/>
      <c r="I137" s="402"/>
      <c r="J137" s="402"/>
      <c r="K137" s="402"/>
      <c r="L137" s="402"/>
      <c r="M137" s="402"/>
      <c r="N137" s="402"/>
    </row>
    <row r="138">
      <c r="A138" s="340"/>
      <c r="B138" s="242"/>
      <c r="C138" s="242"/>
      <c r="D138" s="242"/>
      <c r="E138" s="243"/>
      <c r="F138" s="242"/>
      <c r="G138" s="250"/>
      <c r="H138" s="389"/>
      <c r="I138" s="402"/>
      <c r="J138" s="402"/>
      <c r="K138" s="402"/>
      <c r="L138" s="402"/>
      <c r="M138" s="402"/>
      <c r="N138" s="402"/>
    </row>
    <row r="139">
      <c r="A139" s="340"/>
      <c r="B139" s="242"/>
      <c r="C139" s="242"/>
      <c r="D139" s="242"/>
      <c r="E139" s="243"/>
      <c r="F139" s="242"/>
      <c r="G139" s="250"/>
      <c r="H139" s="389"/>
      <c r="I139" s="402"/>
      <c r="J139" s="402"/>
      <c r="K139" s="402"/>
      <c r="L139" s="402"/>
      <c r="M139" s="402"/>
      <c r="N139" s="402"/>
    </row>
    <row r="140">
      <c r="A140" s="340"/>
      <c r="B140" s="242"/>
      <c r="C140" s="242"/>
      <c r="D140" s="242"/>
      <c r="E140" s="243"/>
      <c r="F140" s="242"/>
      <c r="G140" s="250"/>
      <c r="H140" s="389"/>
      <c r="I140" s="402"/>
      <c r="J140" s="402"/>
      <c r="K140" s="402"/>
      <c r="L140" s="402"/>
      <c r="M140" s="402"/>
      <c r="N140" s="402"/>
    </row>
    <row r="141">
      <c r="A141" s="340"/>
      <c r="B141" s="242"/>
      <c r="C141" s="242"/>
      <c r="D141" s="242"/>
      <c r="E141" s="243"/>
      <c r="F141" s="242"/>
      <c r="G141" s="250"/>
      <c r="H141" s="389"/>
      <c r="I141" s="402"/>
      <c r="J141" s="402"/>
      <c r="K141" s="402"/>
      <c r="L141" s="402"/>
      <c r="M141" s="402"/>
      <c r="N141" s="402"/>
    </row>
    <row r="142">
      <c r="A142" s="340"/>
      <c r="B142" s="242"/>
      <c r="C142" s="242"/>
      <c r="D142" s="242"/>
      <c r="E142" s="243"/>
      <c r="F142" s="242"/>
      <c r="G142" s="250"/>
      <c r="H142" s="389"/>
      <c r="I142" s="402"/>
      <c r="J142" s="402"/>
      <c r="K142" s="402"/>
      <c r="L142" s="402"/>
      <c r="M142" s="402"/>
      <c r="N142" s="402"/>
    </row>
    <row r="143">
      <c r="A143" s="340"/>
      <c r="B143" s="242"/>
      <c r="C143" s="242"/>
      <c r="D143" s="242"/>
      <c r="E143" s="243"/>
      <c r="F143" s="242"/>
      <c r="G143" s="250"/>
      <c r="H143" s="389"/>
      <c r="I143" s="402"/>
      <c r="J143" s="402"/>
      <c r="K143" s="402"/>
      <c r="L143" s="402"/>
      <c r="M143" s="402"/>
      <c r="N143" s="402"/>
    </row>
    <row r="144">
      <c r="A144" s="340"/>
      <c r="B144" s="242"/>
      <c r="C144" s="242"/>
      <c r="D144" s="242"/>
      <c r="E144" s="243"/>
      <c r="F144" s="242"/>
      <c r="G144" s="250"/>
      <c r="H144" s="389"/>
      <c r="I144" s="402"/>
      <c r="J144" s="402"/>
      <c r="K144" s="402"/>
      <c r="L144" s="402"/>
      <c r="M144" s="402"/>
      <c r="N144" s="402"/>
    </row>
    <row r="145">
      <c r="A145" s="340"/>
      <c r="B145" s="242"/>
      <c r="C145" s="242"/>
      <c r="D145" s="242"/>
      <c r="E145" s="243"/>
      <c r="F145" s="242"/>
      <c r="G145" s="250"/>
      <c r="H145" s="389"/>
      <c r="I145" s="402"/>
      <c r="J145" s="402"/>
      <c r="K145" s="402"/>
      <c r="L145" s="402"/>
      <c r="M145" s="402"/>
      <c r="N145" s="402"/>
    </row>
    <row r="146">
      <c r="A146" s="340"/>
      <c r="B146" s="242"/>
      <c r="C146" s="242"/>
      <c r="D146" s="242"/>
      <c r="E146" s="243"/>
      <c r="F146" s="242"/>
      <c r="G146" s="250"/>
      <c r="H146" s="389"/>
      <c r="I146" s="402"/>
      <c r="J146" s="402"/>
      <c r="K146" s="402"/>
      <c r="L146" s="402"/>
      <c r="M146" s="402"/>
      <c r="N146" s="402"/>
    </row>
    <row r="147">
      <c r="A147" s="340"/>
      <c r="B147" s="242"/>
      <c r="C147" s="242"/>
      <c r="D147" s="242"/>
      <c r="E147" s="243"/>
      <c r="F147" s="242"/>
      <c r="G147" s="250"/>
      <c r="H147" s="389"/>
      <c r="I147" s="402"/>
      <c r="J147" s="402"/>
      <c r="K147" s="402"/>
      <c r="L147" s="402"/>
      <c r="M147" s="402"/>
      <c r="N147" s="402"/>
    </row>
    <row r="148">
      <c r="A148" s="340"/>
      <c r="B148" s="242"/>
      <c r="C148" s="242"/>
      <c r="D148" s="242"/>
      <c r="E148" s="243"/>
      <c r="F148" s="242"/>
      <c r="G148" s="250"/>
      <c r="H148" s="389"/>
      <c r="I148" s="402"/>
      <c r="J148" s="402"/>
      <c r="K148" s="402"/>
      <c r="L148" s="402"/>
      <c r="M148" s="402"/>
      <c r="N148" s="402"/>
    </row>
    <row r="149">
      <c r="A149" s="340"/>
      <c r="B149" s="242"/>
      <c r="C149" s="242"/>
      <c r="D149" s="242"/>
      <c r="E149" s="243"/>
      <c r="F149" s="242"/>
      <c r="G149" s="250"/>
      <c r="H149" s="389"/>
      <c r="I149" s="402"/>
      <c r="J149" s="402"/>
      <c r="K149" s="402"/>
      <c r="L149" s="402"/>
      <c r="M149" s="402"/>
      <c r="N149" s="402"/>
    </row>
    <row r="150">
      <c r="A150" s="340"/>
      <c r="B150" s="242"/>
      <c r="C150" s="242"/>
      <c r="D150" s="242"/>
      <c r="E150" s="243"/>
      <c r="F150" s="242"/>
      <c r="G150" s="250"/>
      <c r="H150" s="389"/>
      <c r="I150" s="402"/>
      <c r="J150" s="402"/>
      <c r="K150" s="402"/>
      <c r="L150" s="402"/>
      <c r="M150" s="402"/>
      <c r="N150" s="402"/>
    </row>
    <row r="151">
      <c r="A151" s="340"/>
      <c r="B151" s="242"/>
      <c r="C151" s="242"/>
      <c r="D151" s="242"/>
      <c r="E151" s="243"/>
      <c r="F151" s="242"/>
      <c r="G151" s="250"/>
      <c r="H151" s="389"/>
      <c r="I151" s="402"/>
      <c r="J151" s="402"/>
      <c r="K151" s="402"/>
      <c r="L151" s="402"/>
      <c r="M151" s="402"/>
      <c r="N151" s="402"/>
    </row>
    <row r="152">
      <c r="A152" s="340"/>
      <c r="B152" s="242"/>
      <c r="C152" s="242"/>
      <c r="D152" s="242"/>
      <c r="E152" s="243"/>
      <c r="F152" s="242"/>
      <c r="G152" s="250"/>
      <c r="H152" s="389"/>
      <c r="I152" s="402"/>
      <c r="J152" s="402"/>
      <c r="K152" s="402"/>
      <c r="L152" s="402"/>
      <c r="M152" s="402"/>
      <c r="N152" s="402"/>
    </row>
    <row r="153">
      <c r="A153" s="340"/>
      <c r="B153" s="242"/>
      <c r="C153" s="242"/>
      <c r="D153" s="242"/>
      <c r="E153" s="243"/>
      <c r="F153" s="242"/>
      <c r="G153" s="250"/>
      <c r="H153" s="389"/>
      <c r="I153" s="402"/>
      <c r="J153" s="402"/>
      <c r="K153" s="402"/>
      <c r="L153" s="402"/>
      <c r="M153" s="402"/>
      <c r="N153" s="402"/>
    </row>
    <row r="154">
      <c r="A154" s="340"/>
      <c r="B154" s="242"/>
      <c r="C154" s="242"/>
      <c r="D154" s="242"/>
      <c r="E154" s="243"/>
      <c r="F154" s="242"/>
      <c r="G154" s="250"/>
      <c r="H154" s="389"/>
      <c r="I154" s="402"/>
      <c r="J154" s="402"/>
      <c r="K154" s="402"/>
      <c r="L154" s="402"/>
      <c r="M154" s="402"/>
      <c r="N154" s="402"/>
    </row>
    <row r="155">
      <c r="A155" s="340"/>
      <c r="B155" s="242"/>
      <c r="C155" s="242"/>
      <c r="D155" s="242"/>
      <c r="E155" s="243"/>
      <c r="F155" s="242"/>
      <c r="G155" s="250"/>
      <c r="H155" s="389"/>
      <c r="I155" s="402"/>
      <c r="J155" s="402"/>
      <c r="K155" s="402"/>
      <c r="L155" s="402"/>
      <c r="M155" s="402"/>
      <c r="N155" s="402"/>
    </row>
    <row r="156">
      <c r="A156" s="340"/>
      <c r="B156" s="242"/>
      <c r="C156" s="242"/>
      <c r="D156" s="242"/>
      <c r="E156" s="243"/>
      <c r="F156" s="242"/>
      <c r="G156" s="250"/>
      <c r="H156" s="389"/>
      <c r="I156" s="402"/>
      <c r="J156" s="402"/>
      <c r="K156" s="402"/>
      <c r="L156" s="402"/>
      <c r="M156" s="402"/>
      <c r="N156" s="402"/>
    </row>
    <row r="157">
      <c r="A157" s="340"/>
      <c r="B157" s="242"/>
      <c r="C157" s="242"/>
      <c r="D157" s="242"/>
      <c r="E157" s="243"/>
      <c r="F157" s="242"/>
      <c r="G157" s="250"/>
      <c r="H157" s="389"/>
      <c r="I157" s="402"/>
      <c r="J157" s="402"/>
      <c r="K157" s="402"/>
      <c r="L157" s="402"/>
      <c r="M157" s="402"/>
      <c r="N157" s="402"/>
    </row>
    <row r="158">
      <c r="A158" s="340"/>
      <c r="B158" s="242"/>
      <c r="C158" s="242"/>
      <c r="D158" s="242"/>
      <c r="E158" s="243"/>
      <c r="F158" s="242"/>
      <c r="G158" s="250"/>
      <c r="H158" s="389"/>
      <c r="I158" s="402"/>
      <c r="J158" s="402"/>
      <c r="K158" s="402"/>
      <c r="L158" s="402"/>
      <c r="M158" s="402"/>
      <c r="N158" s="402"/>
    </row>
    <row r="159">
      <c r="A159" s="340"/>
      <c r="B159" s="242"/>
      <c r="C159" s="242"/>
      <c r="D159" s="242"/>
      <c r="E159" s="243"/>
      <c r="F159" s="242"/>
      <c r="G159" s="250"/>
      <c r="H159" s="389"/>
      <c r="I159" s="402"/>
      <c r="J159" s="402"/>
      <c r="K159" s="402"/>
      <c r="L159" s="402"/>
      <c r="M159" s="402"/>
      <c r="N159" s="402"/>
    </row>
    <row r="160">
      <c r="A160" s="340"/>
      <c r="B160" s="242"/>
      <c r="C160" s="242"/>
      <c r="D160" s="242"/>
      <c r="E160" s="243"/>
      <c r="F160" s="242"/>
      <c r="G160" s="250"/>
      <c r="H160" s="389"/>
      <c r="I160" s="402"/>
      <c r="J160" s="402"/>
      <c r="K160" s="402"/>
      <c r="L160" s="402"/>
      <c r="M160" s="402"/>
      <c r="N160" s="402"/>
    </row>
    <row r="161">
      <c r="A161" s="340"/>
      <c r="B161" s="242"/>
      <c r="C161" s="242"/>
      <c r="D161" s="242"/>
      <c r="E161" s="243"/>
      <c r="F161" s="242"/>
      <c r="G161" s="250"/>
      <c r="H161" s="389"/>
      <c r="I161" s="402"/>
      <c r="J161" s="402"/>
      <c r="K161" s="402"/>
      <c r="L161" s="402"/>
      <c r="M161" s="402"/>
      <c r="N161" s="402"/>
    </row>
    <row r="162">
      <c r="A162" s="340"/>
      <c r="B162" s="242"/>
      <c r="C162" s="242"/>
      <c r="D162" s="242"/>
      <c r="E162" s="243"/>
      <c r="F162" s="242"/>
      <c r="G162" s="250"/>
      <c r="H162" s="389"/>
      <c r="I162" s="402"/>
      <c r="J162" s="402"/>
      <c r="K162" s="402"/>
      <c r="L162" s="402"/>
      <c r="M162" s="402"/>
      <c r="N162" s="402"/>
    </row>
    <row r="163">
      <c r="A163" s="340"/>
      <c r="B163" s="242"/>
      <c r="C163" s="242"/>
      <c r="D163" s="242"/>
      <c r="E163" s="243"/>
      <c r="F163" s="242"/>
      <c r="G163" s="250"/>
      <c r="H163" s="389"/>
      <c r="I163" s="402"/>
      <c r="J163" s="402"/>
      <c r="K163" s="402"/>
      <c r="L163" s="402"/>
      <c r="M163" s="402"/>
      <c r="N163" s="402"/>
    </row>
    <row r="164">
      <c r="A164" s="340"/>
      <c r="B164" s="242"/>
      <c r="C164" s="242"/>
      <c r="D164" s="242"/>
      <c r="E164" s="243"/>
      <c r="F164" s="242"/>
      <c r="G164" s="250"/>
      <c r="H164" s="389"/>
      <c r="I164" s="402"/>
      <c r="J164" s="402"/>
      <c r="K164" s="402"/>
      <c r="L164" s="402"/>
      <c r="M164" s="402"/>
      <c r="N164" s="402"/>
    </row>
    <row r="165">
      <c r="A165" s="340"/>
      <c r="B165" s="242"/>
      <c r="C165" s="242"/>
      <c r="D165" s="242"/>
      <c r="E165" s="243"/>
      <c r="F165" s="242"/>
      <c r="G165" s="250"/>
      <c r="H165" s="389"/>
      <c r="I165" s="402"/>
      <c r="J165" s="402"/>
      <c r="K165" s="402"/>
      <c r="L165" s="402"/>
      <c r="M165" s="402"/>
      <c r="N165" s="402"/>
    </row>
    <row r="166">
      <c r="A166" s="340"/>
      <c r="B166" s="242"/>
      <c r="C166" s="242"/>
      <c r="D166" s="242"/>
      <c r="E166" s="243"/>
      <c r="F166" s="242"/>
      <c r="G166" s="250"/>
      <c r="H166" s="389"/>
      <c r="I166" s="402"/>
      <c r="J166" s="402"/>
      <c r="K166" s="402"/>
      <c r="L166" s="402"/>
      <c r="M166" s="402"/>
      <c r="N166" s="402"/>
    </row>
    <row r="167">
      <c r="A167" s="340"/>
      <c r="B167" s="242"/>
      <c r="C167" s="242"/>
      <c r="D167" s="242"/>
      <c r="E167" s="243"/>
      <c r="F167" s="242"/>
      <c r="G167" s="250"/>
      <c r="H167" s="389"/>
      <c r="I167" s="402"/>
      <c r="J167" s="402"/>
      <c r="K167" s="402"/>
      <c r="L167" s="402"/>
      <c r="M167" s="402"/>
      <c r="N167" s="402"/>
    </row>
    <row r="168">
      <c r="A168" s="340"/>
      <c r="B168" s="242"/>
      <c r="C168" s="242"/>
      <c r="D168" s="242"/>
      <c r="E168" s="243"/>
      <c r="F168" s="242"/>
      <c r="G168" s="250"/>
      <c r="H168" s="389"/>
      <c r="I168" s="402"/>
      <c r="J168" s="402"/>
      <c r="K168" s="402"/>
      <c r="L168" s="402"/>
      <c r="M168" s="402"/>
      <c r="N168" s="402"/>
    </row>
    <row r="169">
      <c r="A169" s="340"/>
      <c r="B169" s="242"/>
      <c r="C169" s="242"/>
      <c r="D169" s="242"/>
      <c r="E169" s="243"/>
      <c r="F169" s="242"/>
      <c r="G169" s="250"/>
      <c r="H169" s="389"/>
      <c r="I169" s="402"/>
      <c r="J169" s="402"/>
      <c r="K169" s="402"/>
      <c r="L169" s="402"/>
      <c r="M169" s="402"/>
      <c r="N169" s="402"/>
    </row>
    <row r="170">
      <c r="A170" s="340"/>
      <c r="B170" s="242"/>
      <c r="C170" s="242"/>
      <c r="D170" s="242"/>
      <c r="E170" s="243"/>
      <c r="F170" s="242"/>
      <c r="G170" s="250"/>
      <c r="H170" s="389"/>
      <c r="I170" s="402"/>
      <c r="J170" s="402"/>
      <c r="K170" s="402"/>
      <c r="L170" s="402"/>
      <c r="M170" s="402"/>
      <c r="N170" s="402"/>
    </row>
    <row r="171">
      <c r="A171" s="340"/>
      <c r="B171" s="242"/>
      <c r="C171" s="242"/>
      <c r="D171" s="242"/>
      <c r="E171" s="243"/>
      <c r="F171" s="242"/>
      <c r="G171" s="250"/>
      <c r="H171" s="389"/>
      <c r="I171" s="402"/>
      <c r="J171" s="402"/>
      <c r="K171" s="402"/>
      <c r="L171" s="402"/>
      <c r="M171" s="402"/>
      <c r="N171" s="402"/>
    </row>
    <row r="172">
      <c r="A172" s="340"/>
      <c r="B172" s="242"/>
      <c r="C172" s="242"/>
      <c r="D172" s="242"/>
      <c r="E172" s="243"/>
      <c r="F172" s="242"/>
      <c r="G172" s="250"/>
      <c r="H172" s="389"/>
      <c r="I172" s="402"/>
      <c r="J172" s="402"/>
      <c r="K172" s="402"/>
      <c r="L172" s="402"/>
      <c r="M172" s="402"/>
      <c r="N172" s="402"/>
    </row>
    <row r="173">
      <c r="A173" s="340"/>
      <c r="B173" s="242"/>
      <c r="C173" s="242"/>
      <c r="D173" s="242"/>
      <c r="E173" s="243"/>
      <c r="F173" s="242"/>
      <c r="G173" s="250"/>
      <c r="H173" s="389"/>
      <c r="I173" s="402"/>
      <c r="J173" s="402"/>
      <c r="K173" s="402"/>
      <c r="L173" s="402"/>
      <c r="M173" s="402"/>
      <c r="N173" s="402"/>
    </row>
    <row r="174">
      <c r="A174" s="340"/>
      <c r="B174" s="242"/>
      <c r="C174" s="242"/>
      <c r="D174" s="242"/>
      <c r="E174" s="243"/>
      <c r="F174" s="242"/>
      <c r="G174" s="250"/>
      <c r="H174" s="389"/>
      <c r="I174" s="402"/>
      <c r="J174" s="402"/>
      <c r="K174" s="402"/>
      <c r="L174" s="402"/>
      <c r="M174" s="402"/>
      <c r="N174" s="402"/>
    </row>
    <row r="175">
      <c r="A175" s="340"/>
      <c r="B175" s="242"/>
      <c r="C175" s="242"/>
      <c r="D175" s="242"/>
      <c r="E175" s="243"/>
      <c r="F175" s="242"/>
      <c r="G175" s="250"/>
      <c r="H175" s="389"/>
      <c r="I175" s="402"/>
      <c r="J175" s="402"/>
      <c r="K175" s="402"/>
      <c r="L175" s="402"/>
      <c r="M175" s="402"/>
      <c r="N175" s="402"/>
    </row>
    <row r="176">
      <c r="A176" s="340"/>
      <c r="B176" s="242"/>
      <c r="C176" s="242"/>
      <c r="D176" s="242"/>
      <c r="E176" s="243"/>
      <c r="F176" s="242"/>
      <c r="G176" s="250"/>
      <c r="H176" s="389"/>
      <c r="I176" s="402"/>
      <c r="J176" s="402"/>
      <c r="K176" s="402"/>
      <c r="L176" s="402"/>
      <c r="M176" s="402"/>
      <c r="N176" s="402"/>
    </row>
    <row r="177">
      <c r="A177" s="340"/>
      <c r="B177" s="242"/>
      <c r="C177" s="242"/>
      <c r="D177" s="242"/>
      <c r="E177" s="243"/>
      <c r="F177" s="242"/>
      <c r="G177" s="250"/>
      <c r="H177" s="389"/>
      <c r="I177" s="402"/>
      <c r="J177" s="402"/>
      <c r="K177" s="402"/>
      <c r="L177" s="402"/>
      <c r="M177" s="402"/>
      <c r="N177" s="402"/>
    </row>
    <row r="178">
      <c r="A178" s="340"/>
      <c r="B178" s="242"/>
      <c r="C178" s="242"/>
      <c r="D178" s="242"/>
      <c r="E178" s="243"/>
      <c r="F178" s="242"/>
      <c r="G178" s="250"/>
      <c r="H178" s="389"/>
      <c r="I178" s="402"/>
      <c r="J178" s="402"/>
      <c r="K178" s="402"/>
      <c r="L178" s="402"/>
      <c r="M178" s="402"/>
      <c r="N178" s="402"/>
    </row>
    <row r="179">
      <c r="A179" s="340"/>
      <c r="B179" s="242"/>
      <c r="C179" s="242"/>
      <c r="D179" s="242"/>
      <c r="E179" s="243"/>
      <c r="F179" s="242"/>
      <c r="G179" s="250"/>
      <c r="H179" s="389"/>
      <c r="I179" s="402"/>
      <c r="J179" s="402"/>
      <c r="K179" s="402"/>
      <c r="L179" s="402"/>
      <c r="M179" s="402"/>
      <c r="N179" s="402"/>
    </row>
    <row r="180">
      <c r="A180" s="340"/>
      <c r="B180" s="242"/>
      <c r="C180" s="242"/>
      <c r="D180" s="242"/>
      <c r="E180" s="243"/>
      <c r="F180" s="242"/>
      <c r="G180" s="250"/>
      <c r="H180" s="389"/>
      <c r="I180" s="402"/>
      <c r="J180" s="402"/>
      <c r="K180" s="402"/>
      <c r="L180" s="402"/>
      <c r="M180" s="402"/>
      <c r="N180" s="402"/>
    </row>
    <row r="181">
      <c r="A181" s="340"/>
      <c r="B181" s="242"/>
      <c r="C181" s="242"/>
      <c r="D181" s="242"/>
      <c r="E181" s="243"/>
      <c r="F181" s="242"/>
      <c r="G181" s="250"/>
      <c r="H181" s="389"/>
      <c r="I181" s="402"/>
      <c r="J181" s="402"/>
      <c r="K181" s="402"/>
      <c r="L181" s="402"/>
      <c r="M181" s="402"/>
      <c r="N181" s="402"/>
    </row>
    <row r="182">
      <c r="A182" s="340"/>
      <c r="B182" s="242"/>
      <c r="C182" s="242"/>
      <c r="D182" s="242"/>
      <c r="E182" s="243"/>
      <c r="F182" s="242"/>
      <c r="G182" s="250"/>
      <c r="H182" s="389"/>
      <c r="I182" s="402"/>
      <c r="J182" s="402"/>
      <c r="K182" s="402"/>
      <c r="L182" s="402"/>
      <c r="M182" s="402"/>
      <c r="N182" s="402"/>
    </row>
    <row r="183">
      <c r="A183" s="340"/>
      <c r="B183" s="242"/>
      <c r="C183" s="242"/>
      <c r="D183" s="242"/>
      <c r="E183" s="243"/>
      <c r="F183" s="242"/>
      <c r="G183" s="250"/>
      <c r="H183" s="389"/>
      <c r="I183" s="402"/>
      <c r="J183" s="402"/>
      <c r="K183" s="402"/>
      <c r="L183" s="402"/>
      <c r="M183" s="402"/>
      <c r="N183" s="402"/>
    </row>
    <row r="184">
      <c r="A184" s="340"/>
      <c r="B184" s="242"/>
      <c r="C184" s="242"/>
      <c r="D184" s="242"/>
      <c r="E184" s="243"/>
      <c r="F184" s="242"/>
      <c r="G184" s="250"/>
      <c r="H184" s="389"/>
      <c r="I184" s="402"/>
      <c r="J184" s="402"/>
      <c r="K184" s="402"/>
      <c r="L184" s="402"/>
      <c r="M184" s="402"/>
      <c r="N184" s="402"/>
    </row>
    <row r="185">
      <c r="A185" s="340"/>
      <c r="B185" s="242"/>
      <c r="C185" s="242"/>
      <c r="D185" s="242"/>
      <c r="E185" s="243"/>
      <c r="F185" s="242"/>
      <c r="G185" s="250"/>
      <c r="H185" s="389"/>
      <c r="I185" s="402"/>
      <c r="J185" s="402"/>
      <c r="K185" s="402"/>
      <c r="L185" s="402"/>
      <c r="M185" s="402"/>
      <c r="N185" s="402"/>
    </row>
    <row r="186">
      <c r="A186" s="340"/>
      <c r="B186" s="242"/>
      <c r="C186" s="242"/>
      <c r="D186" s="242"/>
      <c r="E186" s="243"/>
      <c r="F186" s="242"/>
      <c r="G186" s="250"/>
      <c r="H186" s="389"/>
      <c r="I186" s="402"/>
      <c r="J186" s="402"/>
      <c r="K186" s="402"/>
      <c r="L186" s="402"/>
      <c r="M186" s="402"/>
      <c r="N186" s="402"/>
    </row>
    <row r="187">
      <c r="A187" s="340"/>
      <c r="B187" s="242"/>
      <c r="C187" s="242"/>
      <c r="D187" s="242"/>
      <c r="E187" s="243"/>
      <c r="F187" s="242"/>
      <c r="G187" s="250"/>
      <c r="H187" s="389"/>
      <c r="I187" s="402"/>
      <c r="J187" s="402"/>
      <c r="K187" s="402"/>
      <c r="L187" s="402"/>
      <c r="M187" s="402"/>
      <c r="N187" s="402"/>
    </row>
    <row r="188">
      <c r="A188" s="340"/>
      <c r="B188" s="242"/>
      <c r="C188" s="242"/>
      <c r="D188" s="242"/>
      <c r="E188" s="243"/>
      <c r="F188" s="242"/>
      <c r="G188" s="250"/>
      <c r="H188" s="389"/>
      <c r="I188" s="402"/>
      <c r="J188" s="402"/>
      <c r="K188" s="402"/>
      <c r="L188" s="402"/>
      <c r="M188" s="402"/>
      <c r="N188" s="402"/>
    </row>
    <row r="189">
      <c r="A189" s="340"/>
      <c r="B189" s="242"/>
      <c r="C189" s="242"/>
      <c r="D189" s="242"/>
      <c r="E189" s="243"/>
      <c r="F189" s="242"/>
      <c r="G189" s="250"/>
      <c r="H189" s="389"/>
      <c r="I189" s="402"/>
      <c r="J189" s="402"/>
      <c r="K189" s="402"/>
      <c r="L189" s="402"/>
      <c r="M189" s="402"/>
      <c r="N189" s="402"/>
    </row>
    <row r="190">
      <c r="A190" s="340"/>
      <c r="B190" s="242"/>
      <c r="C190" s="242"/>
      <c r="D190" s="242"/>
      <c r="E190" s="243"/>
      <c r="F190" s="242"/>
      <c r="G190" s="250"/>
      <c r="H190" s="389"/>
      <c r="I190" s="402"/>
      <c r="J190" s="402"/>
      <c r="K190" s="402"/>
      <c r="L190" s="402"/>
      <c r="M190" s="402"/>
      <c r="N190" s="402"/>
    </row>
    <row r="191">
      <c r="A191" s="340"/>
      <c r="B191" s="242"/>
      <c r="C191" s="242"/>
      <c r="D191" s="242"/>
      <c r="E191" s="243"/>
      <c r="F191" s="242"/>
      <c r="G191" s="250"/>
      <c r="H191" s="389"/>
      <c r="I191" s="402"/>
      <c r="J191" s="402"/>
      <c r="K191" s="402"/>
      <c r="L191" s="402"/>
      <c r="M191" s="402"/>
      <c r="N191" s="402"/>
    </row>
    <row r="192">
      <c r="A192" s="340"/>
      <c r="B192" s="242"/>
      <c r="C192" s="242"/>
      <c r="D192" s="242"/>
      <c r="E192" s="243"/>
      <c r="F192" s="242"/>
      <c r="G192" s="250"/>
      <c r="H192" s="389"/>
      <c r="I192" s="402"/>
      <c r="J192" s="402"/>
      <c r="K192" s="402"/>
      <c r="L192" s="402"/>
      <c r="M192" s="402"/>
      <c r="N192" s="402"/>
    </row>
    <row r="193">
      <c r="A193" s="340"/>
      <c r="B193" s="242"/>
      <c r="C193" s="242"/>
      <c r="D193" s="242"/>
      <c r="E193" s="243"/>
      <c r="F193" s="242"/>
      <c r="G193" s="250"/>
      <c r="H193" s="389"/>
      <c r="I193" s="402"/>
      <c r="J193" s="402"/>
      <c r="K193" s="402"/>
      <c r="L193" s="402"/>
      <c r="M193" s="402"/>
      <c r="N193" s="402"/>
    </row>
    <row r="194">
      <c r="A194" s="340"/>
      <c r="B194" s="242"/>
      <c r="C194" s="242"/>
      <c r="D194" s="242"/>
      <c r="E194" s="243"/>
      <c r="F194" s="242"/>
      <c r="G194" s="250"/>
      <c r="H194" s="389"/>
      <c r="I194" s="402"/>
      <c r="J194" s="402"/>
      <c r="K194" s="402"/>
      <c r="L194" s="402"/>
      <c r="M194" s="402"/>
      <c r="N194" s="402"/>
    </row>
    <row r="195">
      <c r="A195" s="340"/>
      <c r="B195" s="242"/>
      <c r="C195" s="242"/>
      <c r="D195" s="242"/>
      <c r="E195" s="243"/>
      <c r="F195" s="242"/>
      <c r="G195" s="250"/>
      <c r="H195" s="389"/>
      <c r="I195" s="402"/>
      <c r="J195" s="402"/>
      <c r="K195" s="402"/>
      <c r="L195" s="402"/>
      <c r="M195" s="402"/>
      <c r="N195" s="402"/>
    </row>
    <row r="196">
      <c r="A196" s="340"/>
      <c r="B196" s="242"/>
      <c r="C196" s="242"/>
      <c r="D196" s="242"/>
      <c r="E196" s="243"/>
      <c r="F196" s="242"/>
      <c r="G196" s="250"/>
      <c r="H196" s="389"/>
      <c r="I196" s="402"/>
      <c r="J196" s="402"/>
      <c r="K196" s="402"/>
      <c r="L196" s="402"/>
      <c r="M196" s="402"/>
      <c r="N196" s="402"/>
    </row>
    <row r="197">
      <c r="A197" s="340"/>
      <c r="B197" s="242"/>
      <c r="C197" s="242"/>
      <c r="D197" s="242"/>
      <c r="E197" s="243"/>
      <c r="F197" s="242"/>
      <c r="G197" s="250"/>
      <c r="H197" s="389"/>
      <c r="I197" s="402"/>
      <c r="J197" s="402"/>
      <c r="K197" s="402"/>
      <c r="L197" s="402"/>
      <c r="M197" s="402"/>
      <c r="N197" s="402"/>
    </row>
    <row r="198">
      <c r="A198" s="340"/>
      <c r="B198" s="242"/>
      <c r="C198" s="242"/>
      <c r="D198" s="242"/>
      <c r="E198" s="243"/>
      <c r="F198" s="242"/>
      <c r="G198" s="250"/>
      <c r="H198" s="389"/>
      <c r="I198" s="402"/>
      <c r="J198" s="402"/>
      <c r="K198" s="402"/>
      <c r="L198" s="402"/>
      <c r="M198" s="402"/>
      <c r="N198" s="402"/>
    </row>
    <row r="199">
      <c r="A199" s="340"/>
      <c r="B199" s="242"/>
      <c r="C199" s="242"/>
      <c r="D199" s="242"/>
      <c r="E199" s="243"/>
      <c r="F199" s="242"/>
      <c r="G199" s="250"/>
      <c r="H199" s="389"/>
      <c r="I199" s="402"/>
      <c r="J199" s="402"/>
      <c r="K199" s="402"/>
      <c r="L199" s="402"/>
      <c r="M199" s="402"/>
      <c r="N199" s="402"/>
    </row>
    <row r="200">
      <c r="A200" s="340"/>
      <c r="B200" s="242"/>
      <c r="C200" s="242"/>
      <c r="D200" s="242"/>
      <c r="E200" s="243"/>
      <c r="F200" s="242"/>
      <c r="G200" s="250"/>
      <c r="H200" s="389"/>
      <c r="I200" s="402"/>
      <c r="J200" s="402"/>
      <c r="K200" s="402"/>
      <c r="L200" s="402"/>
      <c r="M200" s="402"/>
      <c r="N200" s="402"/>
    </row>
    <row r="201">
      <c r="A201" s="340"/>
      <c r="B201" s="242"/>
      <c r="C201" s="242"/>
      <c r="D201" s="242"/>
      <c r="E201" s="243"/>
      <c r="F201" s="242"/>
      <c r="G201" s="250"/>
      <c r="H201" s="389"/>
      <c r="I201" s="402"/>
      <c r="J201" s="402"/>
      <c r="K201" s="402"/>
      <c r="L201" s="402"/>
      <c r="M201" s="402"/>
      <c r="N201" s="402"/>
    </row>
    <row r="202">
      <c r="A202" s="340"/>
      <c r="B202" s="242"/>
      <c r="C202" s="242"/>
      <c r="D202" s="242"/>
      <c r="E202" s="243"/>
      <c r="F202" s="242"/>
      <c r="G202" s="250"/>
      <c r="H202" s="389"/>
      <c r="I202" s="402"/>
      <c r="J202" s="402"/>
      <c r="K202" s="402"/>
      <c r="L202" s="402"/>
      <c r="M202" s="402"/>
      <c r="N202" s="402"/>
    </row>
    <row r="203">
      <c r="A203" s="340"/>
      <c r="B203" s="242"/>
      <c r="C203" s="242"/>
      <c r="D203" s="242"/>
      <c r="E203" s="243"/>
      <c r="F203" s="242"/>
      <c r="G203" s="250"/>
      <c r="H203" s="389"/>
      <c r="I203" s="402"/>
      <c r="J203" s="402"/>
      <c r="K203" s="402"/>
      <c r="L203" s="402"/>
      <c r="M203" s="402"/>
      <c r="N203" s="402"/>
    </row>
    <row r="204">
      <c r="A204" s="340"/>
      <c r="B204" s="242"/>
      <c r="C204" s="242"/>
      <c r="D204" s="242"/>
      <c r="E204" s="243"/>
      <c r="F204" s="242"/>
      <c r="G204" s="250"/>
      <c r="H204" s="389"/>
      <c r="I204" s="402"/>
      <c r="J204" s="402"/>
      <c r="K204" s="402"/>
      <c r="L204" s="402"/>
      <c r="M204" s="402"/>
      <c r="N204" s="402"/>
    </row>
    <row r="205">
      <c r="A205" s="340"/>
      <c r="B205" s="242"/>
      <c r="C205" s="242"/>
      <c r="D205" s="242"/>
      <c r="E205" s="243"/>
      <c r="F205" s="242"/>
      <c r="G205" s="250"/>
      <c r="H205" s="389"/>
      <c r="I205" s="402"/>
      <c r="J205" s="402"/>
      <c r="K205" s="402"/>
      <c r="L205" s="402"/>
      <c r="M205" s="402"/>
      <c r="N205" s="402"/>
    </row>
    <row r="206">
      <c r="A206" s="340"/>
      <c r="B206" s="242"/>
      <c r="C206" s="242"/>
      <c r="D206" s="242"/>
      <c r="E206" s="243"/>
      <c r="F206" s="242"/>
      <c r="G206" s="250"/>
      <c r="H206" s="389"/>
      <c r="I206" s="402"/>
      <c r="J206" s="402"/>
      <c r="K206" s="402"/>
      <c r="L206" s="402"/>
      <c r="M206" s="402"/>
      <c r="N206" s="402"/>
    </row>
    <row r="207">
      <c r="A207" s="340"/>
      <c r="B207" s="242"/>
      <c r="C207" s="242"/>
      <c r="D207" s="242"/>
      <c r="E207" s="243"/>
      <c r="F207" s="242"/>
      <c r="G207" s="250"/>
      <c r="H207" s="389"/>
      <c r="I207" s="402"/>
      <c r="J207" s="402"/>
      <c r="K207" s="402"/>
      <c r="L207" s="402"/>
      <c r="M207" s="402"/>
      <c r="N207" s="402"/>
    </row>
    <row r="208">
      <c r="A208" s="340"/>
      <c r="B208" s="242"/>
      <c r="C208" s="242"/>
      <c r="D208" s="242"/>
      <c r="E208" s="243"/>
      <c r="F208" s="242"/>
      <c r="G208" s="250"/>
      <c r="H208" s="389"/>
      <c r="I208" s="402"/>
      <c r="J208" s="402"/>
      <c r="K208" s="402"/>
      <c r="L208" s="402"/>
      <c r="M208" s="402"/>
      <c r="N208" s="402"/>
    </row>
    <row r="209">
      <c r="A209" s="340"/>
      <c r="B209" s="242"/>
      <c r="C209" s="242"/>
      <c r="D209" s="242"/>
      <c r="E209" s="243"/>
      <c r="F209" s="242"/>
      <c r="G209" s="250"/>
      <c r="H209" s="389"/>
      <c r="I209" s="402"/>
      <c r="J209" s="402"/>
      <c r="K209" s="402"/>
      <c r="L209" s="402"/>
      <c r="M209" s="402"/>
      <c r="N209" s="402"/>
    </row>
    <row r="210">
      <c r="A210" s="340"/>
      <c r="B210" s="242"/>
      <c r="C210" s="242"/>
      <c r="D210" s="242"/>
      <c r="E210" s="243"/>
      <c r="F210" s="242"/>
      <c r="G210" s="250"/>
      <c r="H210" s="389"/>
      <c r="I210" s="402"/>
      <c r="J210" s="402"/>
      <c r="K210" s="402"/>
      <c r="L210" s="402"/>
      <c r="M210" s="402"/>
      <c r="N210" s="402"/>
    </row>
    <row r="211">
      <c r="A211" s="340"/>
      <c r="B211" s="242"/>
      <c r="C211" s="242"/>
      <c r="D211" s="242"/>
      <c r="E211" s="243"/>
      <c r="F211" s="242"/>
      <c r="G211" s="250"/>
      <c r="H211" s="389"/>
      <c r="I211" s="402"/>
      <c r="J211" s="402"/>
      <c r="K211" s="402"/>
      <c r="L211" s="402"/>
      <c r="M211" s="402"/>
      <c r="N211" s="402"/>
    </row>
    <row r="212">
      <c r="A212" s="340"/>
      <c r="B212" s="242"/>
      <c r="C212" s="242"/>
      <c r="D212" s="242"/>
      <c r="E212" s="243"/>
      <c r="F212" s="242"/>
      <c r="G212" s="250"/>
      <c r="H212" s="389"/>
      <c r="I212" s="402"/>
      <c r="J212" s="402"/>
      <c r="K212" s="402"/>
      <c r="L212" s="402"/>
      <c r="M212" s="402"/>
      <c r="N212" s="402"/>
    </row>
    <row r="213">
      <c r="A213" s="340"/>
      <c r="B213" s="242"/>
      <c r="C213" s="242"/>
      <c r="D213" s="242"/>
      <c r="E213" s="243"/>
      <c r="F213" s="242"/>
      <c r="G213" s="250"/>
      <c r="H213" s="389"/>
      <c r="I213" s="402"/>
      <c r="J213" s="402"/>
      <c r="K213" s="402"/>
      <c r="L213" s="402"/>
      <c r="M213" s="402"/>
      <c r="N213" s="402"/>
    </row>
    <row r="214">
      <c r="A214" s="340"/>
      <c r="B214" s="242"/>
      <c r="C214" s="242"/>
      <c r="D214" s="242"/>
      <c r="E214" s="243"/>
      <c r="F214" s="242"/>
      <c r="G214" s="250"/>
      <c r="H214" s="389"/>
      <c r="I214" s="402"/>
      <c r="J214" s="402"/>
      <c r="K214" s="402"/>
      <c r="L214" s="402"/>
      <c r="M214" s="402"/>
      <c r="N214" s="402"/>
    </row>
    <row r="215">
      <c r="A215" s="340"/>
      <c r="B215" s="242"/>
      <c r="C215" s="242"/>
      <c r="D215" s="242"/>
      <c r="E215" s="243"/>
      <c r="F215" s="242"/>
      <c r="G215" s="250"/>
      <c r="H215" s="389"/>
      <c r="I215" s="402"/>
      <c r="J215" s="402"/>
      <c r="K215" s="402"/>
      <c r="L215" s="402"/>
      <c r="M215" s="402"/>
      <c r="N215" s="402"/>
    </row>
    <row r="216">
      <c r="A216" s="340"/>
      <c r="B216" s="242"/>
      <c r="C216" s="242"/>
      <c r="D216" s="242"/>
      <c r="E216" s="243"/>
      <c r="F216" s="242"/>
      <c r="G216" s="250"/>
      <c r="H216" s="389"/>
      <c r="I216" s="402"/>
      <c r="J216" s="402"/>
      <c r="K216" s="402"/>
      <c r="L216" s="402"/>
      <c r="M216" s="402"/>
      <c r="N216" s="402"/>
    </row>
    <row r="217">
      <c r="A217" s="340"/>
      <c r="B217" s="242"/>
      <c r="C217" s="242"/>
      <c r="D217" s="242"/>
      <c r="E217" s="243"/>
      <c r="F217" s="242"/>
      <c r="G217" s="250"/>
      <c r="H217" s="389"/>
      <c r="I217" s="402"/>
      <c r="J217" s="402"/>
      <c r="K217" s="402"/>
      <c r="L217" s="402"/>
      <c r="M217" s="402"/>
      <c r="N217" s="402"/>
    </row>
    <row r="218">
      <c r="A218" s="340"/>
      <c r="B218" s="242"/>
      <c r="C218" s="242"/>
      <c r="D218" s="242"/>
      <c r="E218" s="243"/>
      <c r="F218" s="242"/>
      <c r="G218" s="250"/>
      <c r="H218" s="389"/>
      <c r="I218" s="402"/>
      <c r="J218" s="402"/>
      <c r="K218" s="402"/>
      <c r="L218" s="402"/>
      <c r="M218" s="402"/>
      <c r="N218" s="402"/>
    </row>
    <row r="219">
      <c r="A219" s="340"/>
      <c r="B219" s="242"/>
      <c r="C219" s="242"/>
      <c r="D219" s="242"/>
      <c r="E219" s="243"/>
      <c r="F219" s="242"/>
      <c r="G219" s="250"/>
      <c r="H219" s="389"/>
      <c r="I219" s="402"/>
      <c r="J219" s="402"/>
      <c r="K219" s="402"/>
      <c r="L219" s="402"/>
      <c r="M219" s="402"/>
      <c r="N219" s="402"/>
    </row>
    <row r="220">
      <c r="A220" s="340"/>
      <c r="B220" s="242"/>
      <c r="C220" s="242"/>
      <c r="D220" s="242"/>
      <c r="E220" s="243"/>
      <c r="F220" s="242"/>
      <c r="G220" s="250"/>
      <c r="H220" s="389"/>
      <c r="I220" s="402"/>
      <c r="J220" s="402"/>
      <c r="K220" s="402"/>
      <c r="L220" s="402"/>
      <c r="M220" s="402"/>
      <c r="N220" s="402"/>
    </row>
    <row r="221">
      <c r="A221" s="340"/>
      <c r="B221" s="242"/>
      <c r="C221" s="242"/>
      <c r="D221" s="242"/>
      <c r="E221" s="243"/>
      <c r="F221" s="242"/>
      <c r="G221" s="250"/>
      <c r="H221" s="389"/>
      <c r="I221" s="402"/>
      <c r="J221" s="402"/>
      <c r="K221" s="402"/>
      <c r="L221" s="402"/>
      <c r="M221" s="402"/>
      <c r="N221" s="402"/>
    </row>
    <row r="222">
      <c r="A222" s="340"/>
      <c r="B222" s="242"/>
      <c r="C222" s="242"/>
      <c r="D222" s="242"/>
      <c r="E222" s="243"/>
      <c r="F222" s="242"/>
      <c r="G222" s="250"/>
      <c r="H222" s="389"/>
      <c r="I222" s="402"/>
      <c r="J222" s="402"/>
      <c r="K222" s="402"/>
      <c r="L222" s="402"/>
      <c r="M222" s="402"/>
      <c r="N222" s="402"/>
    </row>
    <row r="223">
      <c r="A223" s="340"/>
      <c r="B223" s="242"/>
      <c r="C223" s="242"/>
      <c r="D223" s="242"/>
      <c r="E223" s="243"/>
      <c r="F223" s="242"/>
      <c r="G223" s="250"/>
      <c r="H223" s="389"/>
      <c r="I223" s="402"/>
      <c r="J223" s="402"/>
      <c r="K223" s="402"/>
      <c r="L223" s="402"/>
      <c r="M223" s="402"/>
      <c r="N223" s="402"/>
    </row>
    <row r="224">
      <c r="A224" s="340"/>
      <c r="B224" s="242"/>
      <c r="C224" s="242"/>
      <c r="D224" s="242"/>
      <c r="E224" s="243"/>
      <c r="F224" s="242"/>
      <c r="G224" s="250"/>
      <c r="H224" s="389"/>
      <c r="I224" s="402"/>
      <c r="J224" s="402"/>
      <c r="K224" s="402"/>
      <c r="L224" s="402"/>
      <c r="M224" s="402"/>
      <c r="N224" s="402"/>
    </row>
    <row r="225">
      <c r="A225" s="340"/>
      <c r="B225" s="242"/>
      <c r="C225" s="242"/>
      <c r="D225" s="242"/>
      <c r="E225" s="243"/>
      <c r="F225" s="242"/>
      <c r="G225" s="250"/>
      <c r="H225" s="389"/>
      <c r="I225" s="402"/>
      <c r="J225" s="402"/>
      <c r="K225" s="402"/>
      <c r="L225" s="402"/>
      <c r="M225" s="402"/>
      <c r="N225" s="402"/>
    </row>
    <row r="226">
      <c r="A226" s="340"/>
      <c r="B226" s="242"/>
      <c r="C226" s="242"/>
      <c r="D226" s="242"/>
      <c r="E226" s="243"/>
      <c r="F226" s="242"/>
      <c r="G226" s="250"/>
      <c r="H226" s="389"/>
      <c r="I226" s="402"/>
      <c r="J226" s="402"/>
      <c r="K226" s="402"/>
      <c r="L226" s="402"/>
      <c r="M226" s="402"/>
      <c r="N226" s="402"/>
    </row>
    <row r="227">
      <c r="A227" s="340"/>
      <c r="B227" s="242"/>
      <c r="C227" s="242"/>
      <c r="D227" s="242"/>
      <c r="E227" s="243"/>
      <c r="F227" s="242"/>
      <c r="G227" s="250"/>
      <c r="H227" s="389"/>
      <c r="I227" s="402"/>
      <c r="J227" s="402"/>
      <c r="K227" s="402"/>
      <c r="L227" s="402"/>
      <c r="M227" s="402"/>
      <c r="N227" s="402"/>
    </row>
    <row r="228">
      <c r="A228" s="340"/>
      <c r="B228" s="242"/>
      <c r="C228" s="242"/>
      <c r="D228" s="242"/>
      <c r="E228" s="243"/>
      <c r="F228" s="242"/>
      <c r="G228" s="250"/>
      <c r="H228" s="389"/>
      <c r="I228" s="402"/>
      <c r="J228" s="402"/>
      <c r="K228" s="402"/>
      <c r="L228" s="402"/>
      <c r="M228" s="402"/>
      <c r="N228" s="402"/>
    </row>
    <row r="229">
      <c r="A229" s="340"/>
      <c r="B229" s="242"/>
      <c r="C229" s="242"/>
      <c r="D229" s="242"/>
      <c r="E229" s="243"/>
      <c r="F229" s="242"/>
      <c r="G229" s="250"/>
      <c r="H229" s="389"/>
      <c r="I229" s="402"/>
      <c r="J229" s="402"/>
      <c r="K229" s="402"/>
      <c r="L229" s="402"/>
      <c r="M229" s="402"/>
      <c r="N229" s="402"/>
    </row>
    <row r="230">
      <c r="A230" s="340"/>
      <c r="B230" s="242"/>
      <c r="C230" s="242"/>
      <c r="D230" s="242"/>
      <c r="E230" s="243"/>
      <c r="F230" s="242"/>
      <c r="G230" s="250"/>
      <c r="H230" s="389"/>
      <c r="I230" s="402"/>
      <c r="J230" s="402"/>
      <c r="K230" s="402"/>
      <c r="L230" s="402"/>
      <c r="M230" s="402"/>
      <c r="N230" s="402"/>
    </row>
    <row r="231">
      <c r="A231" s="340"/>
      <c r="B231" s="242"/>
      <c r="C231" s="242"/>
      <c r="D231" s="242"/>
      <c r="E231" s="243"/>
      <c r="F231" s="242"/>
      <c r="G231" s="250"/>
      <c r="H231" s="389"/>
      <c r="I231" s="402"/>
      <c r="J231" s="402"/>
      <c r="K231" s="402"/>
      <c r="L231" s="402"/>
      <c r="M231" s="402"/>
      <c r="N231" s="402"/>
    </row>
    <row r="232">
      <c r="A232" s="340"/>
      <c r="B232" s="242"/>
      <c r="C232" s="242"/>
      <c r="D232" s="242"/>
      <c r="E232" s="243"/>
      <c r="F232" s="242"/>
      <c r="G232" s="250"/>
      <c r="H232" s="389"/>
      <c r="I232" s="402"/>
      <c r="J232" s="402"/>
      <c r="K232" s="402"/>
      <c r="L232" s="402"/>
      <c r="M232" s="402"/>
      <c r="N232" s="402"/>
    </row>
    <row r="233">
      <c r="A233" s="340"/>
      <c r="B233" s="242"/>
      <c r="C233" s="242"/>
      <c r="D233" s="242"/>
      <c r="E233" s="243"/>
      <c r="F233" s="242"/>
      <c r="G233" s="250"/>
      <c r="H233" s="389"/>
      <c r="I233" s="402"/>
      <c r="J233" s="402"/>
      <c r="K233" s="402"/>
      <c r="L233" s="402"/>
      <c r="M233" s="402"/>
      <c r="N233" s="402"/>
    </row>
    <row r="234">
      <c r="A234" s="340"/>
      <c r="B234" s="242"/>
      <c r="C234" s="242"/>
      <c r="D234" s="242"/>
      <c r="E234" s="243"/>
      <c r="F234" s="242"/>
      <c r="G234" s="250"/>
      <c r="H234" s="389"/>
      <c r="I234" s="402"/>
      <c r="J234" s="402"/>
      <c r="K234" s="402"/>
      <c r="L234" s="402"/>
      <c r="M234" s="402"/>
      <c r="N234" s="402"/>
    </row>
    <row r="235">
      <c r="A235" s="340"/>
      <c r="B235" s="242"/>
      <c r="C235" s="242"/>
      <c r="D235" s="242"/>
      <c r="E235" s="243"/>
      <c r="F235" s="242"/>
      <c r="G235" s="250"/>
      <c r="H235" s="389"/>
      <c r="I235" s="402"/>
      <c r="J235" s="402"/>
      <c r="K235" s="402"/>
      <c r="L235" s="402"/>
      <c r="M235" s="402"/>
      <c r="N235" s="402"/>
    </row>
    <row r="236">
      <c r="A236" s="340"/>
      <c r="B236" s="242"/>
      <c r="C236" s="242"/>
      <c r="D236" s="242"/>
      <c r="E236" s="243"/>
      <c r="F236" s="242"/>
      <c r="G236" s="250"/>
      <c r="H236" s="389"/>
      <c r="I236" s="402"/>
      <c r="J236" s="402"/>
      <c r="K236" s="402"/>
      <c r="L236" s="402"/>
      <c r="M236" s="402"/>
      <c r="N236" s="402"/>
    </row>
    <row r="237">
      <c r="A237" s="340"/>
      <c r="B237" s="242"/>
      <c r="C237" s="242"/>
      <c r="D237" s="242"/>
      <c r="E237" s="243"/>
      <c r="F237" s="242"/>
      <c r="G237" s="250"/>
      <c r="H237" s="389"/>
      <c r="I237" s="402"/>
      <c r="J237" s="402"/>
      <c r="K237" s="402"/>
      <c r="L237" s="402"/>
      <c r="M237" s="402"/>
      <c r="N237" s="402"/>
    </row>
    <row r="238">
      <c r="A238" s="340"/>
      <c r="B238" s="242"/>
      <c r="C238" s="242"/>
      <c r="D238" s="242"/>
      <c r="E238" s="243"/>
      <c r="F238" s="242"/>
      <c r="G238" s="250"/>
      <c r="H238" s="389"/>
      <c r="I238" s="402"/>
      <c r="J238" s="402"/>
      <c r="K238" s="402"/>
      <c r="L238" s="402"/>
      <c r="M238" s="402"/>
      <c r="N238" s="402"/>
    </row>
    <row r="239">
      <c r="A239" s="340"/>
      <c r="B239" s="242"/>
      <c r="C239" s="242"/>
      <c r="D239" s="242"/>
      <c r="E239" s="243"/>
      <c r="F239" s="242"/>
      <c r="G239" s="250"/>
      <c r="H239" s="389"/>
      <c r="I239" s="402"/>
      <c r="J239" s="402"/>
      <c r="K239" s="402"/>
      <c r="L239" s="402"/>
      <c r="M239" s="402"/>
      <c r="N239" s="402"/>
    </row>
    <row r="240">
      <c r="A240" s="340"/>
      <c r="B240" s="242"/>
      <c r="C240" s="242"/>
      <c r="D240" s="242"/>
      <c r="E240" s="243"/>
      <c r="F240" s="242"/>
      <c r="G240" s="250"/>
      <c r="H240" s="389"/>
      <c r="I240" s="402"/>
      <c r="J240" s="402"/>
      <c r="K240" s="402"/>
      <c r="L240" s="402"/>
      <c r="M240" s="402"/>
      <c r="N240" s="402"/>
    </row>
    <row r="241">
      <c r="A241" s="340"/>
      <c r="B241" s="242"/>
      <c r="C241" s="242"/>
      <c r="D241" s="242"/>
      <c r="E241" s="243"/>
      <c r="F241" s="242"/>
      <c r="G241" s="250"/>
      <c r="H241" s="389"/>
      <c r="I241" s="402"/>
      <c r="J241" s="402"/>
      <c r="K241" s="402"/>
      <c r="L241" s="402"/>
      <c r="M241" s="402"/>
      <c r="N241" s="402"/>
    </row>
    <row r="242">
      <c r="A242" s="340"/>
      <c r="B242" s="242"/>
      <c r="C242" s="242"/>
      <c r="D242" s="242"/>
      <c r="E242" s="243"/>
      <c r="F242" s="242"/>
      <c r="G242" s="250"/>
      <c r="H242" s="389"/>
      <c r="I242" s="402"/>
      <c r="J242" s="402"/>
      <c r="K242" s="402"/>
      <c r="L242" s="402"/>
      <c r="M242" s="402"/>
      <c r="N242" s="402"/>
    </row>
    <row r="243">
      <c r="A243" s="340"/>
      <c r="B243" s="242"/>
      <c r="C243" s="242"/>
      <c r="D243" s="242"/>
      <c r="E243" s="243"/>
      <c r="F243" s="242"/>
      <c r="G243" s="250"/>
      <c r="H243" s="389"/>
      <c r="I243" s="402"/>
      <c r="J243" s="402"/>
      <c r="K243" s="402"/>
      <c r="L243" s="402"/>
      <c r="M243" s="402"/>
      <c r="N243" s="402"/>
    </row>
    <row r="244">
      <c r="A244" s="340"/>
      <c r="B244" s="242"/>
      <c r="C244" s="242"/>
      <c r="D244" s="242"/>
      <c r="E244" s="243"/>
      <c r="F244" s="242"/>
      <c r="G244" s="250"/>
      <c r="H244" s="389"/>
      <c r="I244" s="402"/>
      <c r="J244" s="402"/>
      <c r="K244" s="402"/>
      <c r="L244" s="402"/>
      <c r="M244" s="402"/>
      <c r="N244" s="402"/>
    </row>
    <row r="245">
      <c r="A245" s="340"/>
      <c r="B245" s="242"/>
      <c r="C245" s="242"/>
      <c r="D245" s="242"/>
      <c r="E245" s="243"/>
      <c r="F245" s="242"/>
      <c r="G245" s="250"/>
      <c r="H245" s="389"/>
      <c r="I245" s="402"/>
      <c r="J245" s="402"/>
      <c r="K245" s="402"/>
      <c r="L245" s="402"/>
      <c r="M245" s="402"/>
      <c r="N245" s="402"/>
    </row>
    <row r="246">
      <c r="A246" s="340"/>
      <c r="B246" s="242"/>
      <c r="C246" s="242"/>
      <c r="D246" s="242"/>
      <c r="E246" s="243"/>
      <c r="F246" s="242"/>
      <c r="G246" s="250"/>
      <c r="H246" s="389"/>
      <c r="I246" s="402"/>
      <c r="J246" s="402"/>
      <c r="K246" s="402"/>
      <c r="L246" s="402"/>
      <c r="M246" s="402"/>
      <c r="N246" s="402"/>
    </row>
    <row r="247">
      <c r="A247" s="340"/>
      <c r="B247" s="242"/>
      <c r="C247" s="242"/>
      <c r="D247" s="242"/>
      <c r="E247" s="243"/>
      <c r="F247" s="242"/>
      <c r="G247" s="250"/>
      <c r="H247" s="389"/>
      <c r="I247" s="402"/>
      <c r="J247" s="402"/>
      <c r="K247" s="402"/>
      <c r="L247" s="402"/>
      <c r="M247" s="402"/>
      <c r="N247" s="402"/>
    </row>
    <row r="248">
      <c r="A248" s="340"/>
      <c r="B248" s="242"/>
      <c r="C248" s="242"/>
      <c r="D248" s="242"/>
      <c r="E248" s="243"/>
      <c r="F248" s="242"/>
      <c r="G248" s="250"/>
      <c r="H248" s="389"/>
      <c r="I248" s="402"/>
      <c r="J248" s="402"/>
      <c r="K248" s="402"/>
      <c r="L248" s="402"/>
      <c r="M248" s="402"/>
      <c r="N248" s="402"/>
    </row>
    <row r="249">
      <c r="A249" s="340"/>
      <c r="B249" s="242"/>
      <c r="C249" s="242"/>
      <c r="D249" s="242"/>
      <c r="E249" s="243"/>
      <c r="F249" s="242"/>
      <c r="G249" s="250"/>
      <c r="H249" s="389"/>
      <c r="I249" s="402"/>
      <c r="J249" s="402"/>
      <c r="K249" s="402"/>
      <c r="L249" s="402"/>
      <c r="M249" s="402"/>
      <c r="N249" s="402"/>
    </row>
    <row r="250">
      <c r="A250" s="340"/>
      <c r="B250" s="242"/>
      <c r="C250" s="242"/>
      <c r="D250" s="242"/>
      <c r="E250" s="243"/>
      <c r="F250" s="242"/>
      <c r="G250" s="250"/>
      <c r="H250" s="389"/>
      <c r="I250" s="402"/>
      <c r="J250" s="402"/>
      <c r="K250" s="402"/>
      <c r="L250" s="402"/>
      <c r="M250" s="402"/>
      <c r="N250" s="402"/>
    </row>
    <row r="251">
      <c r="A251" s="340"/>
      <c r="B251" s="242"/>
      <c r="C251" s="242"/>
      <c r="D251" s="242"/>
      <c r="E251" s="243"/>
      <c r="F251" s="242"/>
      <c r="G251" s="250"/>
      <c r="H251" s="389"/>
      <c r="I251" s="402"/>
      <c r="J251" s="402"/>
      <c r="K251" s="402"/>
      <c r="L251" s="402"/>
      <c r="M251" s="402"/>
      <c r="N251" s="402"/>
    </row>
    <row r="252">
      <c r="A252" s="340"/>
      <c r="B252" s="242"/>
      <c r="C252" s="242"/>
      <c r="D252" s="242"/>
      <c r="E252" s="243"/>
      <c r="F252" s="242"/>
      <c r="G252" s="250"/>
      <c r="H252" s="389"/>
      <c r="I252" s="402"/>
      <c r="J252" s="402"/>
      <c r="K252" s="402"/>
      <c r="L252" s="402"/>
      <c r="M252" s="402"/>
      <c r="N252" s="402"/>
    </row>
    <row r="253">
      <c r="A253" s="340"/>
      <c r="B253" s="242"/>
      <c r="C253" s="242"/>
      <c r="D253" s="242"/>
      <c r="E253" s="243"/>
      <c r="F253" s="242"/>
      <c r="G253" s="250"/>
      <c r="H253" s="389"/>
      <c r="I253" s="402"/>
      <c r="J253" s="402"/>
      <c r="K253" s="402"/>
      <c r="L253" s="402"/>
      <c r="M253" s="402"/>
      <c r="N253" s="402"/>
    </row>
    <row r="254">
      <c r="A254" s="340"/>
      <c r="B254" s="242"/>
      <c r="C254" s="242"/>
      <c r="D254" s="242"/>
      <c r="E254" s="243"/>
      <c r="F254" s="242"/>
      <c r="G254" s="250"/>
      <c r="H254" s="389"/>
      <c r="I254" s="402"/>
      <c r="J254" s="402"/>
      <c r="K254" s="402"/>
      <c r="L254" s="402"/>
      <c r="M254" s="402"/>
      <c r="N254" s="402"/>
    </row>
    <row r="255">
      <c r="A255" s="340"/>
      <c r="B255" s="242"/>
      <c r="C255" s="242"/>
      <c r="D255" s="242"/>
      <c r="E255" s="243"/>
      <c r="F255" s="242"/>
      <c r="G255" s="250"/>
      <c r="H255" s="389"/>
      <c r="I255" s="402"/>
      <c r="J255" s="402"/>
      <c r="K255" s="402"/>
      <c r="L255" s="402"/>
      <c r="M255" s="402"/>
      <c r="N255" s="402"/>
    </row>
    <row r="256">
      <c r="A256" s="340"/>
      <c r="B256" s="242"/>
      <c r="C256" s="242"/>
      <c r="D256" s="242"/>
      <c r="E256" s="243"/>
      <c r="F256" s="242"/>
      <c r="G256" s="250"/>
      <c r="H256" s="389"/>
      <c r="I256" s="402"/>
      <c r="J256" s="402"/>
      <c r="K256" s="402"/>
      <c r="L256" s="402"/>
      <c r="M256" s="402"/>
      <c r="N256" s="402"/>
    </row>
    <row r="257">
      <c r="A257" s="340"/>
      <c r="B257" s="242"/>
      <c r="C257" s="242"/>
      <c r="D257" s="242"/>
      <c r="E257" s="243"/>
      <c r="F257" s="242"/>
      <c r="G257" s="250"/>
      <c r="H257" s="389"/>
      <c r="I257" s="402"/>
      <c r="J257" s="402"/>
      <c r="K257" s="402"/>
      <c r="L257" s="402"/>
      <c r="M257" s="402"/>
      <c r="N257" s="402"/>
    </row>
    <row r="258">
      <c r="A258" s="340"/>
      <c r="B258" s="242"/>
      <c r="C258" s="242"/>
      <c r="D258" s="242"/>
      <c r="E258" s="243"/>
      <c r="F258" s="242"/>
      <c r="G258" s="250"/>
      <c r="H258" s="389"/>
      <c r="I258" s="402"/>
      <c r="J258" s="402"/>
      <c r="K258" s="402"/>
      <c r="L258" s="402"/>
      <c r="M258" s="402"/>
      <c r="N258" s="402"/>
    </row>
    <row r="259">
      <c r="A259" s="340"/>
      <c r="B259" s="242"/>
      <c r="C259" s="242"/>
      <c r="D259" s="242"/>
      <c r="E259" s="243"/>
      <c r="F259" s="242"/>
      <c r="G259" s="250"/>
      <c r="H259" s="389"/>
      <c r="I259" s="402"/>
      <c r="J259" s="402"/>
      <c r="K259" s="402"/>
      <c r="L259" s="402"/>
      <c r="M259" s="402"/>
      <c r="N259" s="402"/>
    </row>
    <row r="260">
      <c r="A260" s="340"/>
      <c r="B260" s="242"/>
      <c r="C260" s="242"/>
      <c r="D260" s="242"/>
      <c r="E260" s="243"/>
      <c r="F260" s="242"/>
      <c r="G260" s="250"/>
      <c r="H260" s="389"/>
      <c r="I260" s="402"/>
      <c r="J260" s="402"/>
      <c r="K260" s="402"/>
      <c r="L260" s="402"/>
      <c r="M260" s="402"/>
      <c r="N260" s="402"/>
    </row>
    <row r="261">
      <c r="A261" s="340"/>
      <c r="B261" s="242"/>
      <c r="C261" s="242"/>
      <c r="D261" s="242"/>
      <c r="E261" s="243"/>
      <c r="F261" s="242"/>
      <c r="G261" s="250"/>
      <c r="H261" s="389"/>
      <c r="I261" s="402"/>
      <c r="J261" s="402"/>
      <c r="K261" s="402"/>
      <c r="L261" s="402"/>
      <c r="M261" s="402"/>
      <c r="N261" s="402"/>
    </row>
    <row r="262">
      <c r="A262" s="340"/>
      <c r="B262" s="242"/>
      <c r="C262" s="242"/>
      <c r="D262" s="242"/>
      <c r="E262" s="243"/>
      <c r="F262" s="242"/>
      <c r="G262" s="250"/>
      <c r="H262" s="389"/>
      <c r="I262" s="402"/>
      <c r="J262" s="402"/>
      <c r="K262" s="402"/>
      <c r="L262" s="402"/>
      <c r="M262" s="402"/>
      <c r="N262" s="402"/>
    </row>
    <row r="263">
      <c r="A263" s="340"/>
      <c r="B263" s="242"/>
      <c r="C263" s="242"/>
      <c r="D263" s="242"/>
      <c r="E263" s="243"/>
      <c r="F263" s="242"/>
      <c r="G263" s="250"/>
      <c r="H263" s="389"/>
      <c r="I263" s="402"/>
      <c r="J263" s="402"/>
      <c r="K263" s="402"/>
      <c r="L263" s="402"/>
      <c r="M263" s="402"/>
      <c r="N263" s="402"/>
    </row>
    <row r="264">
      <c r="A264" s="340"/>
      <c r="B264" s="242"/>
      <c r="C264" s="242"/>
      <c r="D264" s="242"/>
      <c r="E264" s="243"/>
      <c r="F264" s="242"/>
      <c r="G264" s="250"/>
      <c r="H264" s="389"/>
      <c r="I264" s="402"/>
      <c r="J264" s="402"/>
      <c r="K264" s="402"/>
      <c r="L264" s="402"/>
      <c r="M264" s="402"/>
      <c r="N264" s="402"/>
    </row>
    <row r="265">
      <c r="A265" s="340"/>
      <c r="B265" s="242"/>
      <c r="C265" s="242"/>
      <c r="D265" s="242"/>
      <c r="E265" s="243"/>
      <c r="F265" s="242"/>
      <c r="G265" s="250"/>
      <c r="H265" s="389"/>
      <c r="I265" s="402"/>
      <c r="J265" s="402"/>
      <c r="K265" s="402"/>
      <c r="L265" s="402"/>
      <c r="M265" s="402"/>
      <c r="N265" s="402"/>
    </row>
    <row r="266">
      <c r="A266" s="340"/>
      <c r="B266" s="242"/>
      <c r="C266" s="242"/>
      <c r="D266" s="242"/>
      <c r="E266" s="243"/>
      <c r="F266" s="242"/>
      <c r="G266" s="250"/>
      <c r="H266" s="389"/>
      <c r="I266" s="402"/>
      <c r="J266" s="402"/>
      <c r="K266" s="402"/>
      <c r="L266" s="402"/>
      <c r="M266" s="402"/>
      <c r="N266" s="402"/>
    </row>
    <row r="267">
      <c r="A267" s="340"/>
      <c r="B267" s="242"/>
      <c r="C267" s="242"/>
      <c r="D267" s="242"/>
      <c r="E267" s="243"/>
      <c r="F267" s="242"/>
      <c r="G267" s="250"/>
      <c r="H267" s="389"/>
      <c r="I267" s="402"/>
      <c r="J267" s="402"/>
      <c r="K267" s="402"/>
      <c r="L267" s="402"/>
      <c r="M267" s="402"/>
      <c r="N267" s="402"/>
    </row>
    <row r="268">
      <c r="A268" s="340"/>
      <c r="B268" s="242"/>
      <c r="C268" s="242"/>
      <c r="D268" s="242"/>
      <c r="E268" s="243"/>
      <c r="F268" s="242"/>
      <c r="G268" s="250"/>
      <c r="H268" s="389"/>
      <c r="I268" s="402"/>
      <c r="J268" s="402"/>
      <c r="K268" s="402"/>
      <c r="L268" s="402"/>
      <c r="M268" s="402"/>
      <c r="N268" s="402"/>
    </row>
    <row r="269">
      <c r="A269" s="340"/>
      <c r="B269" s="242"/>
      <c r="C269" s="242"/>
      <c r="D269" s="242"/>
      <c r="E269" s="243"/>
      <c r="F269" s="242"/>
      <c r="G269" s="250"/>
      <c r="H269" s="389"/>
      <c r="I269" s="402"/>
      <c r="J269" s="402"/>
      <c r="K269" s="402"/>
      <c r="L269" s="402"/>
      <c r="M269" s="402"/>
      <c r="N269" s="402"/>
    </row>
    <row r="270">
      <c r="A270" s="340"/>
      <c r="B270" s="242"/>
      <c r="C270" s="242"/>
      <c r="D270" s="242"/>
      <c r="E270" s="243"/>
      <c r="F270" s="242"/>
      <c r="G270" s="250"/>
      <c r="H270" s="389"/>
      <c r="I270" s="402"/>
      <c r="J270" s="402"/>
      <c r="K270" s="402"/>
      <c r="L270" s="402"/>
      <c r="M270" s="402"/>
      <c r="N270" s="402"/>
    </row>
    <row r="271">
      <c r="A271" s="340"/>
      <c r="B271" s="242"/>
      <c r="C271" s="242"/>
      <c r="D271" s="242"/>
      <c r="E271" s="243"/>
      <c r="F271" s="242"/>
      <c r="G271" s="250"/>
      <c r="H271" s="389"/>
      <c r="I271" s="402"/>
      <c r="J271" s="402"/>
      <c r="K271" s="402"/>
      <c r="L271" s="402"/>
      <c r="M271" s="402"/>
      <c r="N271" s="402"/>
    </row>
    <row r="272">
      <c r="A272" s="340"/>
      <c r="B272" s="242"/>
      <c r="C272" s="242"/>
      <c r="D272" s="242"/>
      <c r="E272" s="243"/>
      <c r="F272" s="242"/>
      <c r="G272" s="250"/>
      <c r="H272" s="389"/>
      <c r="I272" s="402"/>
      <c r="J272" s="402"/>
      <c r="K272" s="402"/>
      <c r="L272" s="402"/>
      <c r="M272" s="402"/>
      <c r="N272" s="402"/>
    </row>
    <row r="273">
      <c r="A273" s="340"/>
      <c r="B273" s="242"/>
      <c r="C273" s="242"/>
      <c r="D273" s="242"/>
      <c r="E273" s="243"/>
      <c r="F273" s="242"/>
      <c r="G273" s="250"/>
      <c r="H273" s="389"/>
      <c r="I273" s="402"/>
      <c r="J273" s="402"/>
      <c r="K273" s="402"/>
      <c r="L273" s="402"/>
      <c r="M273" s="402"/>
      <c r="N273" s="402"/>
    </row>
    <row r="274">
      <c r="A274" s="340"/>
      <c r="B274" s="242"/>
      <c r="C274" s="242"/>
      <c r="D274" s="242"/>
      <c r="E274" s="243"/>
      <c r="F274" s="242"/>
      <c r="G274" s="250"/>
      <c r="H274" s="389"/>
      <c r="I274" s="402"/>
      <c r="J274" s="402"/>
      <c r="K274" s="402"/>
      <c r="L274" s="402"/>
      <c r="M274" s="402"/>
      <c r="N274" s="402"/>
    </row>
    <row r="275">
      <c r="A275" s="340"/>
      <c r="B275" s="242"/>
      <c r="C275" s="242"/>
      <c r="D275" s="242"/>
      <c r="E275" s="243"/>
      <c r="F275" s="242"/>
      <c r="G275" s="250"/>
      <c r="H275" s="389"/>
      <c r="I275" s="402"/>
      <c r="J275" s="402"/>
      <c r="K275" s="402"/>
      <c r="L275" s="402"/>
      <c r="M275" s="402"/>
      <c r="N275" s="402"/>
    </row>
    <row r="276">
      <c r="A276" s="340"/>
      <c r="B276" s="242"/>
      <c r="C276" s="242"/>
      <c r="D276" s="242"/>
      <c r="E276" s="243"/>
      <c r="F276" s="242"/>
      <c r="G276" s="250"/>
      <c r="H276" s="389"/>
      <c r="I276" s="402"/>
      <c r="J276" s="402"/>
      <c r="K276" s="402"/>
      <c r="L276" s="402"/>
      <c r="M276" s="402"/>
      <c r="N276" s="402"/>
    </row>
    <row r="277">
      <c r="A277" s="340"/>
      <c r="B277" s="242"/>
      <c r="C277" s="242"/>
      <c r="D277" s="242"/>
      <c r="E277" s="243"/>
      <c r="F277" s="242"/>
      <c r="G277" s="250"/>
      <c r="H277" s="389"/>
      <c r="I277" s="402"/>
      <c r="J277" s="402"/>
      <c r="K277" s="402"/>
      <c r="L277" s="402"/>
      <c r="M277" s="402"/>
      <c r="N277" s="402"/>
    </row>
    <row r="278">
      <c r="A278" s="340"/>
      <c r="B278" s="242"/>
      <c r="C278" s="242"/>
      <c r="D278" s="242"/>
      <c r="E278" s="243"/>
      <c r="F278" s="242"/>
      <c r="G278" s="250"/>
      <c r="H278" s="389"/>
      <c r="I278" s="402"/>
      <c r="J278" s="402"/>
      <c r="K278" s="402"/>
      <c r="L278" s="402"/>
      <c r="M278" s="402"/>
      <c r="N278" s="402"/>
    </row>
    <row r="279">
      <c r="A279" s="340"/>
      <c r="B279" s="242"/>
      <c r="C279" s="242"/>
      <c r="D279" s="242"/>
      <c r="E279" s="243"/>
      <c r="F279" s="242"/>
      <c r="G279" s="250"/>
      <c r="H279" s="389"/>
      <c r="I279" s="402"/>
      <c r="J279" s="402"/>
      <c r="K279" s="402"/>
      <c r="L279" s="402"/>
      <c r="M279" s="402"/>
      <c r="N279" s="402"/>
    </row>
    <row r="280">
      <c r="A280" s="340"/>
      <c r="B280" s="242"/>
      <c r="C280" s="242"/>
      <c r="D280" s="242"/>
      <c r="E280" s="243"/>
      <c r="F280" s="242"/>
      <c r="G280" s="250"/>
      <c r="H280" s="389"/>
      <c r="I280" s="402"/>
      <c r="J280" s="402"/>
      <c r="K280" s="402"/>
      <c r="L280" s="402"/>
      <c r="M280" s="402"/>
      <c r="N280" s="402"/>
    </row>
    <row r="281">
      <c r="A281" s="340"/>
      <c r="B281" s="242"/>
      <c r="C281" s="242"/>
      <c r="D281" s="242"/>
      <c r="E281" s="243"/>
      <c r="F281" s="242"/>
      <c r="G281" s="250"/>
      <c r="H281" s="389"/>
      <c r="I281" s="402"/>
      <c r="J281" s="402"/>
      <c r="K281" s="402"/>
      <c r="L281" s="402"/>
      <c r="M281" s="402"/>
      <c r="N281" s="402"/>
    </row>
    <row r="282">
      <c r="A282" s="340"/>
      <c r="B282" s="242"/>
      <c r="C282" s="242"/>
      <c r="D282" s="242"/>
      <c r="E282" s="243"/>
      <c r="F282" s="242"/>
      <c r="G282" s="250"/>
      <c r="H282" s="389"/>
      <c r="I282" s="402"/>
      <c r="J282" s="402"/>
      <c r="K282" s="402"/>
      <c r="L282" s="402"/>
      <c r="M282" s="402"/>
      <c r="N282" s="402"/>
    </row>
    <row r="283">
      <c r="A283" s="340"/>
      <c r="B283" s="242"/>
      <c r="C283" s="242"/>
      <c r="D283" s="242"/>
      <c r="E283" s="243"/>
      <c r="F283" s="242"/>
      <c r="G283" s="250"/>
      <c r="H283" s="389"/>
      <c r="I283" s="402"/>
      <c r="J283" s="402"/>
      <c r="K283" s="402"/>
      <c r="L283" s="402"/>
      <c r="M283" s="402"/>
      <c r="N283" s="402"/>
    </row>
    <row r="284">
      <c r="A284" s="340"/>
      <c r="B284" s="242"/>
      <c r="C284" s="242"/>
      <c r="D284" s="242"/>
      <c r="E284" s="243"/>
      <c r="F284" s="242"/>
      <c r="G284" s="250"/>
      <c r="H284" s="389"/>
      <c r="I284" s="402"/>
      <c r="J284" s="402"/>
      <c r="K284" s="402"/>
      <c r="L284" s="402"/>
      <c r="M284" s="402"/>
      <c r="N284" s="402"/>
    </row>
    <row r="285">
      <c r="A285" s="340"/>
      <c r="B285" s="242"/>
      <c r="C285" s="242"/>
      <c r="D285" s="242"/>
      <c r="E285" s="243"/>
      <c r="F285" s="242"/>
      <c r="G285" s="250"/>
      <c r="H285" s="389"/>
      <c r="I285" s="402"/>
      <c r="J285" s="402"/>
      <c r="K285" s="402"/>
      <c r="L285" s="402"/>
      <c r="M285" s="402"/>
      <c r="N285" s="402"/>
    </row>
    <row r="286">
      <c r="A286" s="340"/>
      <c r="B286" s="242"/>
      <c r="C286" s="242"/>
      <c r="D286" s="242"/>
      <c r="E286" s="243"/>
      <c r="F286" s="242"/>
      <c r="G286" s="250"/>
      <c r="H286" s="389"/>
      <c r="I286" s="402"/>
      <c r="J286" s="402"/>
      <c r="K286" s="402"/>
      <c r="L286" s="402"/>
      <c r="M286" s="402"/>
      <c r="N286" s="402"/>
    </row>
    <row r="287">
      <c r="A287" s="340"/>
      <c r="B287" s="242"/>
      <c r="C287" s="242"/>
      <c r="D287" s="242"/>
      <c r="E287" s="243"/>
      <c r="F287" s="242"/>
      <c r="G287" s="250"/>
      <c r="H287" s="389"/>
      <c r="I287" s="402"/>
      <c r="J287" s="402"/>
      <c r="K287" s="402"/>
      <c r="L287" s="402"/>
      <c r="M287" s="402"/>
      <c r="N287" s="402"/>
    </row>
    <row r="288">
      <c r="A288" s="340"/>
      <c r="B288" s="242"/>
      <c r="C288" s="242"/>
      <c r="D288" s="242"/>
      <c r="E288" s="243"/>
      <c r="F288" s="242"/>
      <c r="G288" s="250"/>
      <c r="H288" s="389"/>
      <c r="I288" s="402"/>
      <c r="J288" s="402"/>
      <c r="K288" s="402"/>
      <c r="L288" s="402"/>
      <c r="M288" s="402"/>
      <c r="N288" s="402"/>
    </row>
    <row r="289">
      <c r="A289" s="340"/>
      <c r="B289" s="242"/>
      <c r="C289" s="242"/>
      <c r="D289" s="242"/>
      <c r="E289" s="243"/>
      <c r="F289" s="242"/>
      <c r="G289" s="250"/>
      <c r="H289" s="389"/>
      <c r="I289" s="402"/>
      <c r="J289" s="402"/>
      <c r="K289" s="402"/>
      <c r="L289" s="402"/>
      <c r="M289" s="402"/>
      <c r="N289" s="402"/>
    </row>
    <row r="290">
      <c r="A290" s="340"/>
      <c r="B290" s="242"/>
      <c r="C290" s="242"/>
      <c r="D290" s="242"/>
      <c r="E290" s="243"/>
      <c r="F290" s="242"/>
      <c r="G290" s="250"/>
      <c r="H290" s="389"/>
      <c r="I290" s="402"/>
      <c r="J290" s="402"/>
      <c r="K290" s="402"/>
      <c r="L290" s="402"/>
      <c r="M290" s="402"/>
      <c r="N290" s="402"/>
    </row>
    <row r="291">
      <c r="A291" s="340"/>
      <c r="B291" s="242"/>
      <c r="C291" s="242"/>
      <c r="D291" s="242"/>
      <c r="E291" s="243"/>
      <c r="F291" s="242"/>
      <c r="G291" s="250"/>
      <c r="H291" s="389"/>
      <c r="I291" s="402"/>
      <c r="J291" s="402"/>
      <c r="K291" s="402"/>
      <c r="L291" s="402"/>
      <c r="M291" s="402"/>
      <c r="N291" s="402"/>
    </row>
    <row r="292">
      <c r="A292" s="340"/>
      <c r="B292" s="242"/>
      <c r="C292" s="242"/>
      <c r="D292" s="242"/>
      <c r="E292" s="243"/>
      <c r="F292" s="242"/>
      <c r="G292" s="250"/>
      <c r="H292" s="389"/>
      <c r="I292" s="402"/>
      <c r="J292" s="402"/>
      <c r="K292" s="402"/>
      <c r="L292" s="402"/>
      <c r="M292" s="402"/>
      <c r="N292" s="402"/>
    </row>
    <row r="293">
      <c r="A293" s="340"/>
      <c r="B293" s="242"/>
      <c r="C293" s="242"/>
      <c r="D293" s="242"/>
      <c r="E293" s="243"/>
      <c r="F293" s="242"/>
      <c r="G293" s="250"/>
      <c r="H293" s="389"/>
      <c r="I293" s="402"/>
      <c r="J293" s="402"/>
      <c r="K293" s="402"/>
      <c r="L293" s="402"/>
      <c r="M293" s="402"/>
      <c r="N293" s="402"/>
    </row>
    <row r="294">
      <c r="A294" s="340"/>
      <c r="B294" s="242"/>
      <c r="C294" s="242"/>
      <c r="D294" s="242"/>
      <c r="E294" s="243"/>
      <c r="F294" s="242"/>
      <c r="G294" s="250"/>
      <c r="H294" s="389"/>
      <c r="I294" s="402"/>
      <c r="J294" s="402"/>
      <c r="K294" s="402"/>
      <c r="L294" s="402"/>
      <c r="M294" s="402"/>
      <c r="N294" s="402"/>
    </row>
    <row r="295">
      <c r="A295" s="340"/>
      <c r="B295" s="242"/>
      <c r="C295" s="242"/>
      <c r="D295" s="242"/>
      <c r="E295" s="243"/>
      <c r="F295" s="242"/>
      <c r="G295" s="250"/>
      <c r="H295" s="389"/>
      <c r="I295" s="402"/>
      <c r="J295" s="402"/>
      <c r="K295" s="402"/>
      <c r="L295" s="402"/>
      <c r="M295" s="402"/>
      <c r="N295" s="402"/>
    </row>
    <row r="296">
      <c r="A296" s="340"/>
      <c r="B296" s="242"/>
      <c r="C296" s="242"/>
      <c r="D296" s="242"/>
      <c r="E296" s="243"/>
      <c r="F296" s="242"/>
      <c r="G296" s="250"/>
      <c r="H296" s="389"/>
      <c r="I296" s="402"/>
      <c r="J296" s="402"/>
      <c r="K296" s="402"/>
      <c r="L296" s="402"/>
      <c r="M296" s="402"/>
      <c r="N296" s="402"/>
    </row>
    <row r="297">
      <c r="A297" s="340"/>
      <c r="B297" s="242"/>
      <c r="C297" s="242"/>
      <c r="D297" s="242"/>
      <c r="E297" s="243"/>
      <c r="F297" s="242"/>
      <c r="G297" s="250"/>
      <c r="H297" s="389"/>
      <c r="I297" s="402"/>
      <c r="J297" s="402"/>
      <c r="K297" s="402"/>
      <c r="L297" s="402"/>
      <c r="M297" s="402"/>
      <c r="N297" s="402"/>
    </row>
    <row r="298">
      <c r="A298" s="340"/>
      <c r="B298" s="242"/>
      <c r="C298" s="242"/>
      <c r="D298" s="242"/>
      <c r="E298" s="243"/>
      <c r="F298" s="242"/>
      <c r="G298" s="250"/>
      <c r="H298" s="389"/>
      <c r="I298" s="402"/>
      <c r="J298" s="402"/>
      <c r="K298" s="402"/>
      <c r="L298" s="402"/>
      <c r="M298" s="402"/>
      <c r="N298" s="402"/>
    </row>
    <row r="299">
      <c r="A299" s="340"/>
      <c r="B299" s="242"/>
      <c r="C299" s="242"/>
      <c r="D299" s="242"/>
      <c r="E299" s="243"/>
      <c r="F299" s="242"/>
      <c r="G299" s="250"/>
      <c r="H299" s="389"/>
      <c r="I299" s="402"/>
      <c r="J299" s="402"/>
      <c r="K299" s="402"/>
      <c r="L299" s="402"/>
      <c r="M299" s="402"/>
      <c r="N299" s="402"/>
    </row>
    <row r="300">
      <c r="A300" s="340"/>
      <c r="B300" s="242"/>
      <c r="C300" s="242"/>
      <c r="D300" s="242"/>
      <c r="E300" s="243"/>
      <c r="F300" s="242"/>
      <c r="G300" s="250"/>
      <c r="H300" s="389"/>
      <c r="I300" s="402"/>
      <c r="J300" s="402"/>
      <c r="K300" s="402"/>
      <c r="L300" s="402"/>
      <c r="M300" s="402"/>
      <c r="N300" s="402"/>
    </row>
    <row r="301">
      <c r="A301" s="340"/>
      <c r="B301" s="242"/>
      <c r="C301" s="242"/>
      <c r="D301" s="242"/>
      <c r="E301" s="243"/>
      <c r="F301" s="242"/>
      <c r="G301" s="250"/>
      <c r="H301" s="389"/>
      <c r="I301" s="402"/>
      <c r="J301" s="402"/>
      <c r="K301" s="402"/>
      <c r="L301" s="402"/>
      <c r="M301" s="402"/>
      <c r="N301" s="402"/>
    </row>
    <row r="302">
      <c r="A302" s="340"/>
      <c r="B302" s="242"/>
      <c r="C302" s="242"/>
      <c r="D302" s="242"/>
      <c r="E302" s="243"/>
      <c r="F302" s="242"/>
      <c r="G302" s="250"/>
      <c r="H302" s="389"/>
      <c r="I302" s="402"/>
      <c r="J302" s="402"/>
      <c r="K302" s="402"/>
      <c r="L302" s="402"/>
      <c r="M302" s="402"/>
      <c r="N302" s="402"/>
    </row>
    <row r="303">
      <c r="A303" s="340"/>
      <c r="B303" s="242"/>
      <c r="C303" s="242"/>
      <c r="D303" s="242"/>
      <c r="E303" s="243"/>
      <c r="F303" s="242"/>
      <c r="G303" s="250"/>
      <c r="H303" s="389"/>
      <c r="I303" s="402"/>
      <c r="J303" s="402"/>
      <c r="K303" s="402"/>
      <c r="L303" s="402"/>
      <c r="M303" s="402"/>
      <c r="N303" s="402"/>
    </row>
    <row r="304">
      <c r="A304" s="340"/>
      <c r="B304" s="242"/>
      <c r="C304" s="242"/>
      <c r="D304" s="242"/>
      <c r="E304" s="243"/>
      <c r="F304" s="242"/>
      <c r="G304" s="250"/>
      <c r="H304" s="389"/>
      <c r="I304" s="402"/>
      <c r="J304" s="402"/>
      <c r="K304" s="402"/>
      <c r="L304" s="402"/>
      <c r="M304" s="402"/>
      <c r="N304" s="402"/>
    </row>
    <row r="305">
      <c r="A305" s="340"/>
      <c r="B305" s="242"/>
      <c r="C305" s="242"/>
      <c r="D305" s="242"/>
      <c r="E305" s="243"/>
      <c r="F305" s="242"/>
      <c r="G305" s="250"/>
      <c r="H305" s="389"/>
      <c r="I305" s="402"/>
      <c r="J305" s="402"/>
      <c r="K305" s="402"/>
      <c r="L305" s="402"/>
      <c r="M305" s="402"/>
      <c r="N305" s="402"/>
    </row>
    <row r="306">
      <c r="A306" s="340"/>
      <c r="B306" s="242"/>
      <c r="C306" s="242"/>
      <c r="D306" s="242"/>
      <c r="E306" s="243"/>
      <c r="F306" s="242"/>
      <c r="G306" s="250"/>
      <c r="H306" s="389"/>
      <c r="I306" s="402"/>
      <c r="J306" s="402"/>
      <c r="K306" s="402"/>
      <c r="L306" s="402"/>
      <c r="M306" s="402"/>
      <c r="N306" s="402"/>
    </row>
    <row r="307">
      <c r="A307" s="340"/>
      <c r="B307" s="242"/>
      <c r="C307" s="242"/>
      <c r="D307" s="242"/>
      <c r="E307" s="243"/>
      <c r="F307" s="242"/>
      <c r="G307" s="250"/>
      <c r="H307" s="389"/>
      <c r="I307" s="402"/>
      <c r="J307" s="402"/>
      <c r="K307" s="402"/>
      <c r="L307" s="402"/>
      <c r="M307" s="402"/>
      <c r="N307" s="402"/>
    </row>
    <row r="308">
      <c r="A308" s="340"/>
      <c r="B308" s="242"/>
      <c r="C308" s="242"/>
      <c r="D308" s="242"/>
      <c r="E308" s="243"/>
      <c r="F308" s="242"/>
      <c r="G308" s="250"/>
      <c r="H308" s="389"/>
      <c r="I308" s="402"/>
      <c r="J308" s="402"/>
      <c r="K308" s="402"/>
      <c r="L308" s="402"/>
      <c r="M308" s="402"/>
      <c r="N308" s="402"/>
    </row>
    <row r="309">
      <c r="A309" s="340"/>
      <c r="B309" s="242"/>
      <c r="C309" s="242"/>
      <c r="D309" s="242"/>
      <c r="E309" s="243"/>
      <c r="F309" s="242"/>
      <c r="G309" s="250"/>
      <c r="H309" s="389"/>
      <c r="I309" s="402"/>
      <c r="J309" s="402"/>
      <c r="K309" s="402"/>
      <c r="L309" s="402"/>
      <c r="M309" s="402"/>
      <c r="N309" s="402"/>
    </row>
    <row r="310">
      <c r="A310" s="340"/>
      <c r="B310" s="242"/>
      <c r="C310" s="242"/>
      <c r="D310" s="242"/>
      <c r="E310" s="243"/>
      <c r="F310" s="242"/>
      <c r="G310" s="250"/>
      <c r="H310" s="389"/>
      <c r="I310" s="402"/>
      <c r="J310" s="402"/>
      <c r="K310" s="402"/>
      <c r="L310" s="402"/>
      <c r="M310" s="402"/>
      <c r="N310" s="402"/>
    </row>
    <row r="311">
      <c r="A311" s="340"/>
      <c r="B311" s="242"/>
      <c r="C311" s="242"/>
      <c r="D311" s="242"/>
      <c r="E311" s="243"/>
      <c r="F311" s="242"/>
      <c r="G311" s="250"/>
      <c r="H311" s="389"/>
      <c r="I311" s="402"/>
      <c r="J311" s="402"/>
      <c r="K311" s="402"/>
      <c r="L311" s="402"/>
      <c r="M311" s="402"/>
      <c r="N311" s="402"/>
    </row>
    <row r="312">
      <c r="A312" s="340"/>
      <c r="B312" s="242"/>
      <c r="C312" s="242"/>
      <c r="D312" s="242"/>
      <c r="E312" s="243"/>
      <c r="F312" s="242"/>
      <c r="G312" s="250"/>
      <c r="H312" s="389"/>
      <c r="I312" s="402"/>
      <c r="J312" s="402"/>
      <c r="K312" s="402"/>
      <c r="L312" s="402"/>
      <c r="M312" s="402"/>
      <c r="N312" s="402"/>
    </row>
    <row r="313">
      <c r="A313" s="340"/>
      <c r="B313" s="242"/>
      <c r="C313" s="242"/>
      <c r="D313" s="242"/>
      <c r="E313" s="243"/>
      <c r="F313" s="242"/>
      <c r="G313" s="250"/>
      <c r="H313" s="389"/>
      <c r="I313" s="402"/>
      <c r="J313" s="402"/>
      <c r="K313" s="402"/>
      <c r="L313" s="402"/>
      <c r="M313" s="402"/>
      <c r="N313" s="402"/>
    </row>
    <row r="314">
      <c r="A314" s="340"/>
      <c r="B314" s="242"/>
      <c r="C314" s="242"/>
      <c r="D314" s="242"/>
      <c r="E314" s="243"/>
      <c r="F314" s="242"/>
      <c r="G314" s="250"/>
      <c r="H314" s="389"/>
      <c r="I314" s="402"/>
      <c r="J314" s="402"/>
      <c r="K314" s="402"/>
      <c r="L314" s="402"/>
      <c r="M314" s="402"/>
      <c r="N314" s="402"/>
    </row>
    <row r="315">
      <c r="A315" s="340"/>
      <c r="B315" s="242"/>
      <c r="C315" s="242"/>
      <c r="D315" s="242"/>
      <c r="E315" s="243"/>
      <c r="F315" s="242"/>
      <c r="G315" s="250"/>
      <c r="H315" s="389"/>
      <c r="I315" s="402"/>
      <c r="J315" s="402"/>
      <c r="K315" s="402"/>
      <c r="L315" s="402"/>
      <c r="M315" s="402"/>
      <c r="N315" s="402"/>
    </row>
    <row r="316">
      <c r="A316" s="340"/>
      <c r="B316" s="242"/>
      <c r="C316" s="242"/>
      <c r="D316" s="242"/>
      <c r="E316" s="243"/>
      <c r="F316" s="242"/>
      <c r="G316" s="250"/>
      <c r="H316" s="389"/>
      <c r="I316" s="402"/>
      <c r="J316" s="402"/>
      <c r="K316" s="402"/>
      <c r="L316" s="402"/>
      <c r="M316" s="402"/>
      <c r="N316" s="402"/>
    </row>
    <row r="317">
      <c r="A317" s="340"/>
      <c r="B317" s="242"/>
      <c r="C317" s="242"/>
      <c r="D317" s="242"/>
      <c r="E317" s="243"/>
      <c r="F317" s="242"/>
      <c r="G317" s="250"/>
      <c r="H317" s="389"/>
      <c r="I317" s="402"/>
      <c r="J317" s="402"/>
      <c r="K317" s="402"/>
      <c r="L317" s="402"/>
      <c r="M317" s="402"/>
      <c r="N317" s="402"/>
    </row>
    <row r="318">
      <c r="A318" s="340"/>
      <c r="B318" s="242"/>
      <c r="C318" s="242"/>
      <c r="D318" s="242"/>
      <c r="E318" s="243"/>
      <c r="F318" s="242"/>
      <c r="G318" s="250"/>
      <c r="H318" s="389"/>
      <c r="I318" s="402"/>
      <c r="J318" s="402"/>
      <c r="K318" s="402"/>
      <c r="L318" s="402"/>
      <c r="M318" s="402"/>
      <c r="N318" s="402"/>
    </row>
    <row r="319">
      <c r="A319" s="340"/>
      <c r="B319" s="242"/>
      <c r="C319" s="242"/>
      <c r="D319" s="242"/>
      <c r="E319" s="243"/>
      <c r="F319" s="242"/>
      <c r="G319" s="250"/>
      <c r="H319" s="389"/>
      <c r="I319" s="402"/>
      <c r="J319" s="402"/>
      <c r="K319" s="402"/>
      <c r="L319" s="402"/>
      <c r="M319" s="402"/>
      <c r="N319" s="402"/>
    </row>
    <row r="320">
      <c r="A320" s="340"/>
      <c r="B320" s="242"/>
      <c r="C320" s="242"/>
      <c r="D320" s="242"/>
      <c r="E320" s="243"/>
      <c r="F320" s="242"/>
      <c r="G320" s="250"/>
      <c r="H320" s="389"/>
      <c r="I320" s="402"/>
      <c r="J320" s="402"/>
      <c r="K320" s="402"/>
      <c r="L320" s="402"/>
      <c r="M320" s="402"/>
      <c r="N320" s="402"/>
    </row>
    <row r="321">
      <c r="A321" s="340"/>
      <c r="B321" s="242"/>
      <c r="C321" s="242"/>
      <c r="D321" s="242"/>
      <c r="E321" s="243"/>
      <c r="F321" s="242"/>
      <c r="G321" s="250"/>
      <c r="H321" s="389"/>
      <c r="I321" s="402"/>
      <c r="J321" s="402"/>
      <c r="K321" s="402"/>
      <c r="L321" s="402"/>
      <c r="M321" s="402"/>
      <c r="N321" s="402"/>
    </row>
    <row r="322">
      <c r="A322" s="340"/>
      <c r="B322" s="242"/>
      <c r="C322" s="242"/>
      <c r="D322" s="242"/>
      <c r="E322" s="243"/>
      <c r="F322" s="242"/>
      <c r="G322" s="250"/>
      <c r="H322" s="389"/>
      <c r="I322" s="402"/>
      <c r="J322" s="402"/>
      <c r="K322" s="402"/>
      <c r="L322" s="402"/>
      <c r="M322" s="402"/>
      <c r="N322" s="402"/>
    </row>
    <row r="323">
      <c r="A323" s="340"/>
      <c r="B323" s="242"/>
      <c r="C323" s="242"/>
      <c r="D323" s="242"/>
      <c r="E323" s="243"/>
      <c r="F323" s="242"/>
      <c r="G323" s="250"/>
      <c r="H323" s="389"/>
      <c r="I323" s="402"/>
      <c r="J323" s="402"/>
      <c r="K323" s="402"/>
      <c r="L323" s="402"/>
      <c r="M323" s="402"/>
      <c r="N323" s="402"/>
    </row>
    <row r="324">
      <c r="A324" s="340"/>
      <c r="B324" s="242"/>
      <c r="C324" s="242"/>
      <c r="D324" s="242"/>
      <c r="E324" s="243"/>
      <c r="F324" s="242"/>
      <c r="G324" s="250"/>
      <c r="H324" s="389"/>
      <c r="I324" s="402"/>
      <c r="J324" s="402"/>
      <c r="K324" s="402"/>
      <c r="L324" s="402"/>
      <c r="M324" s="402"/>
      <c r="N324" s="402"/>
    </row>
    <row r="325">
      <c r="A325" s="340"/>
      <c r="B325" s="242"/>
      <c r="C325" s="242"/>
      <c r="D325" s="242"/>
      <c r="E325" s="243"/>
      <c r="F325" s="242"/>
      <c r="G325" s="250"/>
      <c r="H325" s="389"/>
      <c r="I325" s="402"/>
      <c r="J325" s="402"/>
      <c r="K325" s="402"/>
      <c r="L325" s="402"/>
      <c r="M325" s="402"/>
      <c r="N325" s="402"/>
    </row>
    <row r="326">
      <c r="A326" s="340"/>
      <c r="B326" s="242"/>
      <c r="C326" s="242"/>
      <c r="D326" s="242"/>
      <c r="E326" s="243"/>
      <c r="F326" s="242"/>
      <c r="G326" s="250"/>
      <c r="H326" s="389"/>
      <c r="I326" s="402"/>
      <c r="J326" s="402"/>
      <c r="K326" s="402"/>
      <c r="L326" s="402"/>
      <c r="M326" s="402"/>
      <c r="N326" s="402"/>
    </row>
    <row r="327">
      <c r="A327" s="340"/>
      <c r="B327" s="242"/>
      <c r="C327" s="242"/>
      <c r="D327" s="242"/>
      <c r="E327" s="243"/>
      <c r="F327" s="242"/>
      <c r="G327" s="250"/>
      <c r="H327" s="389"/>
      <c r="I327" s="402"/>
      <c r="J327" s="402"/>
      <c r="K327" s="402"/>
      <c r="L327" s="402"/>
      <c r="M327" s="402"/>
      <c r="N327" s="402"/>
    </row>
    <row r="328">
      <c r="A328" s="340"/>
      <c r="B328" s="242"/>
      <c r="C328" s="242"/>
      <c r="D328" s="242"/>
      <c r="E328" s="243"/>
      <c r="F328" s="242"/>
      <c r="G328" s="250"/>
      <c r="H328" s="389"/>
      <c r="I328" s="402"/>
      <c r="J328" s="402"/>
      <c r="K328" s="402"/>
      <c r="L328" s="402"/>
      <c r="M328" s="402"/>
      <c r="N328" s="402"/>
    </row>
    <row r="329">
      <c r="A329" s="340"/>
      <c r="B329" s="242"/>
      <c r="C329" s="242"/>
      <c r="D329" s="242"/>
      <c r="E329" s="243"/>
      <c r="F329" s="242"/>
      <c r="G329" s="250"/>
      <c r="H329" s="389"/>
      <c r="I329" s="402"/>
      <c r="J329" s="402"/>
      <c r="K329" s="402"/>
      <c r="L329" s="402"/>
      <c r="M329" s="402"/>
      <c r="N329" s="402"/>
    </row>
    <row r="330">
      <c r="A330" s="340"/>
      <c r="B330" s="242"/>
      <c r="C330" s="242"/>
      <c r="D330" s="242"/>
      <c r="E330" s="243"/>
      <c r="F330" s="242"/>
      <c r="G330" s="250"/>
      <c r="H330" s="389"/>
      <c r="I330" s="402"/>
      <c r="J330" s="402"/>
      <c r="K330" s="402"/>
      <c r="L330" s="402"/>
      <c r="M330" s="402"/>
      <c r="N330" s="402"/>
    </row>
    <row r="331">
      <c r="A331" s="340"/>
      <c r="B331" s="242"/>
      <c r="C331" s="242"/>
      <c r="D331" s="242"/>
      <c r="E331" s="243"/>
      <c r="F331" s="242"/>
      <c r="G331" s="250"/>
      <c r="H331" s="389"/>
      <c r="I331" s="402"/>
      <c r="J331" s="402"/>
      <c r="K331" s="402"/>
      <c r="L331" s="402"/>
      <c r="M331" s="402"/>
      <c r="N331" s="402"/>
    </row>
    <row r="332">
      <c r="A332" s="340"/>
      <c r="B332" s="242"/>
      <c r="C332" s="242"/>
      <c r="D332" s="242"/>
      <c r="E332" s="243"/>
      <c r="F332" s="242"/>
      <c r="G332" s="250"/>
      <c r="H332" s="389"/>
      <c r="I332" s="402"/>
      <c r="J332" s="402"/>
      <c r="K332" s="402"/>
      <c r="L332" s="402"/>
      <c r="M332" s="402"/>
      <c r="N332" s="402"/>
    </row>
    <row r="333">
      <c r="A333" s="340"/>
      <c r="B333" s="242"/>
      <c r="C333" s="242"/>
      <c r="D333" s="242"/>
      <c r="E333" s="243"/>
      <c r="F333" s="242"/>
      <c r="G333" s="250"/>
      <c r="H333" s="389"/>
      <c r="I333" s="402"/>
      <c r="J333" s="402"/>
      <c r="K333" s="402"/>
      <c r="L333" s="402"/>
      <c r="M333" s="402"/>
      <c r="N333" s="402"/>
    </row>
    <row r="334">
      <c r="A334" s="340"/>
      <c r="B334" s="242"/>
      <c r="C334" s="242"/>
      <c r="D334" s="242"/>
      <c r="E334" s="243"/>
      <c r="F334" s="242"/>
      <c r="G334" s="250"/>
      <c r="H334" s="389"/>
      <c r="I334" s="402"/>
      <c r="J334" s="402"/>
      <c r="K334" s="402"/>
      <c r="L334" s="402"/>
      <c r="M334" s="402"/>
      <c r="N334" s="402"/>
    </row>
    <row r="335">
      <c r="A335" s="340"/>
      <c r="B335" s="242"/>
      <c r="C335" s="242"/>
      <c r="D335" s="242"/>
      <c r="E335" s="243"/>
      <c r="F335" s="242"/>
      <c r="G335" s="250"/>
      <c r="H335" s="389"/>
      <c r="I335" s="402"/>
      <c r="J335" s="402"/>
      <c r="K335" s="402"/>
      <c r="L335" s="402"/>
      <c r="M335" s="402"/>
      <c r="N335" s="402"/>
    </row>
    <row r="336">
      <c r="A336" s="340"/>
      <c r="B336" s="242"/>
      <c r="C336" s="242"/>
      <c r="D336" s="242"/>
      <c r="E336" s="243"/>
      <c r="F336" s="242"/>
      <c r="G336" s="250"/>
      <c r="H336" s="389"/>
      <c r="I336" s="402"/>
      <c r="J336" s="402"/>
      <c r="K336" s="402"/>
      <c r="L336" s="402"/>
      <c r="M336" s="402"/>
      <c r="N336" s="402"/>
    </row>
    <row r="337">
      <c r="A337" s="340"/>
      <c r="B337" s="242"/>
      <c r="C337" s="242"/>
      <c r="D337" s="242"/>
      <c r="E337" s="243"/>
      <c r="F337" s="242"/>
      <c r="G337" s="250"/>
      <c r="H337" s="389"/>
      <c r="I337" s="402"/>
      <c r="J337" s="402"/>
      <c r="K337" s="402"/>
      <c r="L337" s="402"/>
      <c r="M337" s="402"/>
      <c r="N337" s="402"/>
    </row>
    <row r="338">
      <c r="A338" s="340"/>
      <c r="B338" s="242"/>
      <c r="C338" s="242"/>
      <c r="D338" s="242"/>
      <c r="E338" s="243"/>
      <c r="F338" s="242"/>
      <c r="G338" s="250"/>
      <c r="H338" s="389"/>
      <c r="I338" s="402"/>
      <c r="J338" s="402"/>
      <c r="K338" s="402"/>
      <c r="L338" s="402"/>
      <c r="M338" s="402"/>
      <c r="N338" s="402"/>
    </row>
    <row r="339">
      <c r="A339" s="340"/>
      <c r="B339" s="242"/>
      <c r="C339" s="242"/>
      <c r="D339" s="242"/>
      <c r="E339" s="243"/>
      <c r="F339" s="242"/>
      <c r="G339" s="250"/>
      <c r="H339" s="389"/>
      <c r="I339" s="402"/>
      <c r="J339" s="402"/>
      <c r="K339" s="402"/>
      <c r="L339" s="402"/>
      <c r="M339" s="402"/>
      <c r="N339" s="402"/>
    </row>
    <row r="340">
      <c r="A340" s="340"/>
      <c r="B340" s="242"/>
      <c r="C340" s="242"/>
      <c r="D340" s="242"/>
      <c r="E340" s="243"/>
      <c r="F340" s="242"/>
      <c r="G340" s="250"/>
      <c r="H340" s="389"/>
      <c r="I340" s="402"/>
      <c r="J340" s="402"/>
      <c r="K340" s="402"/>
      <c r="L340" s="402"/>
      <c r="M340" s="402"/>
      <c r="N340" s="402"/>
    </row>
    <row r="341">
      <c r="A341" s="340"/>
      <c r="B341" s="242"/>
      <c r="C341" s="242"/>
      <c r="D341" s="242"/>
      <c r="E341" s="243"/>
      <c r="F341" s="242"/>
      <c r="G341" s="250"/>
      <c r="H341" s="389"/>
      <c r="I341" s="402"/>
      <c r="J341" s="402"/>
      <c r="K341" s="402"/>
      <c r="L341" s="402"/>
      <c r="M341" s="402"/>
      <c r="N341" s="402"/>
    </row>
    <row r="342">
      <c r="A342" s="340"/>
      <c r="B342" s="242"/>
      <c r="C342" s="242"/>
      <c r="D342" s="242"/>
      <c r="E342" s="243"/>
      <c r="F342" s="242"/>
      <c r="G342" s="250"/>
      <c r="H342" s="389"/>
      <c r="I342" s="402"/>
      <c r="J342" s="402"/>
      <c r="K342" s="402"/>
      <c r="L342" s="402"/>
      <c r="M342" s="402"/>
      <c r="N342" s="402"/>
    </row>
    <row r="343">
      <c r="A343" s="340"/>
      <c r="B343" s="242"/>
      <c r="C343" s="242"/>
      <c r="D343" s="242"/>
      <c r="E343" s="243"/>
      <c r="F343" s="242"/>
      <c r="G343" s="250"/>
      <c r="H343" s="389"/>
      <c r="I343" s="402"/>
      <c r="J343" s="402"/>
      <c r="K343" s="402"/>
      <c r="L343" s="402"/>
      <c r="M343" s="402"/>
      <c r="N343" s="402"/>
    </row>
    <row r="344">
      <c r="A344" s="340"/>
      <c r="B344" s="242"/>
      <c r="C344" s="242"/>
      <c r="D344" s="242"/>
      <c r="E344" s="243"/>
      <c r="F344" s="242"/>
      <c r="G344" s="250"/>
      <c r="H344" s="389"/>
      <c r="I344" s="402"/>
      <c r="J344" s="402"/>
      <c r="K344" s="402"/>
      <c r="L344" s="402"/>
      <c r="M344" s="402"/>
      <c r="N344" s="402"/>
    </row>
    <row r="345">
      <c r="A345" s="340"/>
      <c r="B345" s="242"/>
      <c r="C345" s="242"/>
      <c r="D345" s="242"/>
      <c r="E345" s="243"/>
      <c r="F345" s="242"/>
      <c r="G345" s="250"/>
      <c r="H345" s="389"/>
      <c r="I345" s="402"/>
      <c r="J345" s="402"/>
      <c r="K345" s="402"/>
      <c r="L345" s="402"/>
      <c r="M345" s="402"/>
      <c r="N345" s="402"/>
    </row>
    <row r="346">
      <c r="A346" s="340"/>
      <c r="B346" s="242"/>
      <c r="C346" s="242"/>
      <c r="D346" s="242"/>
      <c r="E346" s="243"/>
      <c r="F346" s="242"/>
      <c r="G346" s="250"/>
      <c r="H346" s="389"/>
      <c r="I346" s="402"/>
      <c r="J346" s="402"/>
      <c r="K346" s="402"/>
      <c r="L346" s="402"/>
      <c r="M346" s="402"/>
      <c r="N346" s="402"/>
    </row>
    <row r="347">
      <c r="A347" s="340"/>
      <c r="B347" s="242"/>
      <c r="C347" s="242"/>
      <c r="D347" s="242"/>
      <c r="E347" s="243"/>
      <c r="F347" s="242"/>
      <c r="G347" s="250"/>
      <c r="H347" s="389"/>
      <c r="I347" s="402"/>
      <c r="J347" s="402"/>
      <c r="K347" s="402"/>
      <c r="L347" s="402"/>
      <c r="M347" s="402"/>
      <c r="N347" s="402"/>
    </row>
    <row r="348">
      <c r="A348" s="340"/>
      <c r="B348" s="242"/>
      <c r="C348" s="242"/>
      <c r="D348" s="242"/>
      <c r="E348" s="243"/>
      <c r="F348" s="242"/>
      <c r="G348" s="250"/>
      <c r="H348" s="389"/>
      <c r="I348" s="402"/>
      <c r="J348" s="402"/>
      <c r="K348" s="402"/>
      <c r="L348" s="402"/>
      <c r="M348" s="402"/>
      <c r="N348" s="402"/>
    </row>
    <row r="349">
      <c r="A349" s="340"/>
      <c r="B349" s="242"/>
      <c r="C349" s="242"/>
      <c r="D349" s="242"/>
      <c r="E349" s="243"/>
      <c r="F349" s="242"/>
      <c r="G349" s="250"/>
      <c r="H349" s="389"/>
      <c r="I349" s="402"/>
      <c r="J349" s="402"/>
      <c r="K349" s="402"/>
      <c r="L349" s="402"/>
      <c r="M349" s="402"/>
      <c r="N349" s="402"/>
    </row>
    <row r="350">
      <c r="A350" s="340"/>
      <c r="B350" s="242"/>
      <c r="C350" s="242"/>
      <c r="D350" s="242"/>
      <c r="E350" s="243"/>
      <c r="F350" s="242"/>
      <c r="G350" s="250"/>
      <c r="H350" s="389"/>
      <c r="I350" s="402"/>
      <c r="J350" s="402"/>
      <c r="K350" s="402"/>
      <c r="L350" s="402"/>
      <c r="M350" s="402"/>
      <c r="N350" s="402"/>
    </row>
    <row r="351">
      <c r="A351" s="340"/>
      <c r="B351" s="242"/>
      <c r="C351" s="242"/>
      <c r="D351" s="242"/>
      <c r="E351" s="243"/>
      <c r="F351" s="242"/>
      <c r="G351" s="250"/>
      <c r="H351" s="389"/>
      <c r="I351" s="402"/>
      <c r="J351" s="402"/>
      <c r="K351" s="402"/>
      <c r="L351" s="402"/>
      <c r="M351" s="402"/>
      <c r="N351" s="402"/>
    </row>
    <row r="352">
      <c r="A352" s="340"/>
      <c r="B352" s="242"/>
      <c r="C352" s="242"/>
      <c r="D352" s="242"/>
      <c r="E352" s="243"/>
      <c r="F352" s="242"/>
      <c r="G352" s="250"/>
      <c r="H352" s="389"/>
      <c r="I352" s="402"/>
      <c r="J352" s="402"/>
      <c r="K352" s="402"/>
      <c r="L352" s="402"/>
      <c r="M352" s="402"/>
      <c r="N352" s="402"/>
    </row>
    <row r="353">
      <c r="A353" s="340"/>
      <c r="B353" s="242"/>
      <c r="C353" s="242"/>
      <c r="D353" s="242"/>
      <c r="E353" s="243"/>
      <c r="F353" s="242"/>
      <c r="G353" s="250"/>
      <c r="H353" s="389"/>
      <c r="I353" s="402"/>
      <c r="J353" s="402"/>
      <c r="K353" s="402"/>
      <c r="L353" s="402"/>
      <c r="M353" s="402"/>
      <c r="N353" s="402"/>
    </row>
    <row r="354">
      <c r="A354" s="340"/>
      <c r="B354" s="242"/>
      <c r="C354" s="242"/>
      <c r="D354" s="242"/>
      <c r="E354" s="243"/>
      <c r="F354" s="242"/>
      <c r="G354" s="250"/>
      <c r="H354" s="389"/>
      <c r="I354" s="402"/>
      <c r="J354" s="402"/>
      <c r="K354" s="402"/>
      <c r="L354" s="402"/>
      <c r="M354" s="402"/>
      <c r="N354" s="402"/>
    </row>
    <row r="355">
      <c r="A355" s="340"/>
      <c r="B355" s="242"/>
      <c r="C355" s="242"/>
      <c r="D355" s="242"/>
      <c r="E355" s="243"/>
      <c r="F355" s="242"/>
      <c r="G355" s="250"/>
      <c r="H355" s="389"/>
      <c r="I355" s="402"/>
      <c r="J355" s="402"/>
      <c r="K355" s="402"/>
      <c r="L355" s="402"/>
      <c r="M355" s="402"/>
      <c r="N355" s="402"/>
    </row>
    <row r="356">
      <c r="A356" s="340"/>
      <c r="B356" s="242"/>
      <c r="C356" s="242"/>
      <c r="D356" s="242"/>
      <c r="E356" s="243"/>
      <c r="F356" s="242"/>
      <c r="G356" s="250"/>
      <c r="H356" s="389"/>
      <c r="I356" s="402"/>
      <c r="J356" s="402"/>
      <c r="K356" s="402"/>
      <c r="L356" s="402"/>
      <c r="M356" s="402"/>
      <c r="N356" s="402"/>
    </row>
    <row r="357">
      <c r="A357" s="340"/>
      <c r="B357" s="242"/>
      <c r="C357" s="242"/>
      <c r="D357" s="242"/>
      <c r="E357" s="243"/>
      <c r="F357" s="242"/>
      <c r="G357" s="250"/>
      <c r="H357" s="389"/>
      <c r="I357" s="402"/>
      <c r="J357" s="402"/>
      <c r="K357" s="402"/>
      <c r="L357" s="402"/>
      <c r="M357" s="402"/>
      <c r="N357" s="402"/>
    </row>
    <row r="358">
      <c r="A358" s="340"/>
      <c r="B358" s="242"/>
      <c r="C358" s="242"/>
      <c r="D358" s="242"/>
      <c r="E358" s="243"/>
      <c r="F358" s="242"/>
      <c r="G358" s="250"/>
      <c r="H358" s="389"/>
      <c r="I358" s="402"/>
      <c r="J358" s="402"/>
      <c r="K358" s="402"/>
      <c r="L358" s="402"/>
      <c r="M358" s="402"/>
      <c r="N358" s="402"/>
    </row>
    <row r="359">
      <c r="A359" s="340"/>
      <c r="B359" s="242"/>
      <c r="C359" s="242"/>
      <c r="D359" s="242"/>
      <c r="E359" s="243"/>
      <c r="F359" s="242"/>
      <c r="G359" s="250"/>
      <c r="H359" s="389"/>
      <c r="I359" s="402"/>
      <c r="J359" s="402"/>
      <c r="K359" s="402"/>
      <c r="L359" s="402"/>
      <c r="M359" s="402"/>
      <c r="N359" s="402"/>
    </row>
    <row r="360">
      <c r="A360" s="340"/>
      <c r="B360" s="242"/>
      <c r="C360" s="242"/>
      <c r="D360" s="242"/>
      <c r="E360" s="243"/>
      <c r="F360" s="242"/>
      <c r="G360" s="250"/>
      <c r="H360" s="389"/>
      <c r="I360" s="402"/>
      <c r="J360" s="402"/>
      <c r="K360" s="402"/>
      <c r="L360" s="402"/>
      <c r="M360" s="402"/>
      <c r="N360" s="402"/>
    </row>
    <row r="361">
      <c r="A361" s="340"/>
      <c r="B361" s="242"/>
      <c r="C361" s="242"/>
      <c r="D361" s="242"/>
      <c r="E361" s="243"/>
      <c r="F361" s="242"/>
      <c r="G361" s="250"/>
      <c r="H361" s="389"/>
      <c r="I361" s="402"/>
      <c r="J361" s="402"/>
      <c r="K361" s="402"/>
      <c r="L361" s="402"/>
      <c r="M361" s="402"/>
      <c r="N361" s="402"/>
    </row>
    <row r="362">
      <c r="A362" s="340"/>
      <c r="B362" s="242"/>
      <c r="C362" s="242"/>
      <c r="D362" s="242"/>
      <c r="E362" s="243"/>
      <c r="F362" s="242"/>
      <c r="G362" s="250"/>
      <c r="H362" s="389"/>
      <c r="I362" s="402"/>
      <c r="J362" s="402"/>
      <c r="K362" s="402"/>
      <c r="L362" s="402"/>
      <c r="M362" s="402"/>
      <c r="N362" s="402"/>
    </row>
    <row r="363">
      <c r="A363" s="340"/>
      <c r="B363" s="242"/>
      <c r="C363" s="242"/>
      <c r="D363" s="242"/>
      <c r="E363" s="243"/>
      <c r="F363" s="242"/>
      <c r="G363" s="250"/>
      <c r="H363" s="389"/>
      <c r="I363" s="402"/>
      <c r="J363" s="402"/>
      <c r="K363" s="402"/>
      <c r="L363" s="402"/>
      <c r="M363" s="402"/>
      <c r="N363" s="402"/>
    </row>
    <row r="364">
      <c r="A364" s="340"/>
      <c r="B364" s="242"/>
      <c r="C364" s="242"/>
      <c r="D364" s="242"/>
      <c r="E364" s="243"/>
      <c r="F364" s="242"/>
      <c r="G364" s="250"/>
      <c r="H364" s="389"/>
      <c r="I364" s="402"/>
      <c r="J364" s="402"/>
      <c r="K364" s="402"/>
      <c r="L364" s="402"/>
      <c r="M364" s="402"/>
      <c r="N364" s="402"/>
    </row>
    <row r="365">
      <c r="A365" s="340"/>
      <c r="B365" s="242"/>
      <c r="C365" s="242"/>
      <c r="D365" s="242"/>
      <c r="E365" s="243"/>
      <c r="F365" s="242"/>
      <c r="G365" s="250"/>
      <c r="H365" s="389"/>
      <c r="I365" s="402"/>
      <c r="J365" s="402"/>
      <c r="K365" s="402"/>
      <c r="L365" s="402"/>
      <c r="M365" s="402"/>
      <c r="N365" s="402"/>
    </row>
    <row r="366">
      <c r="A366" s="340"/>
      <c r="B366" s="242"/>
      <c r="C366" s="242"/>
      <c r="D366" s="242"/>
      <c r="E366" s="243"/>
      <c r="F366" s="242"/>
      <c r="G366" s="250"/>
      <c r="H366" s="389"/>
      <c r="I366" s="402"/>
      <c r="J366" s="402"/>
      <c r="K366" s="402"/>
      <c r="L366" s="402"/>
      <c r="M366" s="402"/>
      <c r="N366" s="402"/>
    </row>
    <row r="367">
      <c r="A367" s="340"/>
      <c r="B367" s="242"/>
      <c r="C367" s="242"/>
      <c r="D367" s="242"/>
      <c r="E367" s="243"/>
      <c r="F367" s="242"/>
      <c r="G367" s="250"/>
      <c r="H367" s="389"/>
      <c r="I367" s="402"/>
      <c r="J367" s="402"/>
      <c r="K367" s="402"/>
      <c r="L367" s="402"/>
      <c r="M367" s="402"/>
      <c r="N367" s="402"/>
    </row>
    <row r="368">
      <c r="A368" s="340"/>
      <c r="B368" s="242"/>
      <c r="C368" s="242"/>
      <c r="D368" s="242"/>
      <c r="E368" s="243"/>
      <c r="F368" s="242"/>
      <c r="G368" s="250"/>
      <c r="H368" s="389"/>
      <c r="I368" s="402"/>
      <c r="J368" s="402"/>
      <c r="K368" s="402"/>
      <c r="L368" s="402"/>
      <c r="M368" s="402"/>
      <c r="N368" s="402"/>
    </row>
    <row r="369">
      <c r="A369" s="340"/>
      <c r="B369" s="242"/>
      <c r="C369" s="242"/>
      <c r="D369" s="242"/>
      <c r="E369" s="243"/>
      <c r="F369" s="242"/>
      <c r="G369" s="250"/>
      <c r="H369" s="389"/>
      <c r="I369" s="402"/>
      <c r="J369" s="402"/>
      <c r="K369" s="402"/>
      <c r="L369" s="402"/>
      <c r="M369" s="402"/>
      <c r="N369" s="402"/>
    </row>
    <row r="370">
      <c r="A370" s="340"/>
      <c r="B370" s="242"/>
      <c r="C370" s="242"/>
      <c r="D370" s="242"/>
      <c r="E370" s="243"/>
      <c r="F370" s="242"/>
      <c r="G370" s="250"/>
      <c r="H370" s="389"/>
      <c r="I370" s="402"/>
      <c r="J370" s="402"/>
      <c r="K370" s="402"/>
      <c r="L370" s="402"/>
      <c r="M370" s="402"/>
      <c r="N370" s="402"/>
    </row>
    <row r="371">
      <c r="A371" s="340"/>
      <c r="B371" s="242"/>
      <c r="C371" s="242"/>
      <c r="D371" s="242"/>
      <c r="E371" s="243"/>
      <c r="F371" s="242"/>
      <c r="G371" s="250"/>
      <c r="H371" s="389"/>
      <c r="I371" s="402"/>
      <c r="J371" s="402"/>
      <c r="K371" s="402"/>
      <c r="L371" s="402"/>
      <c r="M371" s="402"/>
      <c r="N371" s="402"/>
    </row>
    <row r="372">
      <c r="A372" s="340"/>
      <c r="B372" s="242"/>
      <c r="C372" s="242"/>
      <c r="D372" s="242"/>
      <c r="E372" s="243"/>
      <c r="F372" s="242"/>
      <c r="G372" s="250"/>
      <c r="H372" s="389"/>
      <c r="I372" s="402"/>
      <c r="J372" s="402"/>
      <c r="K372" s="402"/>
      <c r="L372" s="402"/>
      <c r="M372" s="402"/>
      <c r="N372" s="402"/>
    </row>
    <row r="373">
      <c r="A373" s="340"/>
      <c r="B373" s="242"/>
      <c r="C373" s="242"/>
      <c r="D373" s="242"/>
      <c r="E373" s="243"/>
      <c r="F373" s="242"/>
      <c r="G373" s="250"/>
      <c r="H373" s="389"/>
      <c r="I373" s="402"/>
      <c r="J373" s="402"/>
      <c r="K373" s="402"/>
      <c r="L373" s="402"/>
      <c r="M373" s="402"/>
      <c r="N373" s="402"/>
    </row>
    <row r="374">
      <c r="A374" s="340"/>
      <c r="B374" s="242"/>
      <c r="C374" s="242"/>
      <c r="D374" s="242"/>
      <c r="E374" s="243"/>
      <c r="F374" s="242"/>
      <c r="G374" s="250"/>
      <c r="H374" s="389"/>
      <c r="I374" s="402"/>
      <c r="J374" s="402"/>
      <c r="K374" s="402"/>
      <c r="L374" s="402"/>
      <c r="M374" s="402"/>
      <c r="N374" s="402"/>
    </row>
    <row r="375">
      <c r="A375" s="340"/>
      <c r="B375" s="242"/>
      <c r="C375" s="242"/>
      <c r="D375" s="242"/>
      <c r="E375" s="243"/>
      <c r="F375" s="242"/>
      <c r="G375" s="250"/>
      <c r="H375" s="389"/>
      <c r="I375" s="402"/>
      <c r="J375" s="402"/>
      <c r="K375" s="402"/>
      <c r="L375" s="402"/>
      <c r="M375" s="402"/>
      <c r="N375" s="402"/>
    </row>
    <row r="376">
      <c r="A376" s="340"/>
      <c r="B376" s="242"/>
      <c r="C376" s="242"/>
      <c r="D376" s="242"/>
      <c r="E376" s="243"/>
      <c r="F376" s="242"/>
      <c r="G376" s="250"/>
      <c r="H376" s="389"/>
      <c r="I376" s="402"/>
      <c r="J376" s="402"/>
      <c r="K376" s="402"/>
      <c r="L376" s="402"/>
      <c r="M376" s="402"/>
      <c r="N376" s="402"/>
    </row>
    <row r="377">
      <c r="A377" s="340"/>
      <c r="B377" s="242"/>
      <c r="C377" s="242"/>
      <c r="D377" s="242"/>
      <c r="E377" s="243"/>
      <c r="F377" s="242"/>
      <c r="G377" s="250"/>
      <c r="H377" s="389"/>
      <c r="I377" s="402"/>
      <c r="J377" s="402"/>
      <c r="K377" s="402"/>
      <c r="L377" s="402"/>
      <c r="M377" s="402"/>
      <c r="N377" s="402"/>
    </row>
    <row r="378">
      <c r="A378" s="340"/>
      <c r="B378" s="242"/>
      <c r="C378" s="242"/>
      <c r="D378" s="242"/>
      <c r="E378" s="243"/>
      <c r="F378" s="242"/>
      <c r="G378" s="250"/>
      <c r="H378" s="389"/>
      <c r="I378" s="402"/>
      <c r="J378" s="402"/>
      <c r="K378" s="402"/>
      <c r="L378" s="402"/>
      <c r="M378" s="402"/>
      <c r="N378" s="402"/>
    </row>
    <row r="379">
      <c r="A379" s="340"/>
      <c r="B379" s="242"/>
      <c r="C379" s="242"/>
      <c r="D379" s="242"/>
      <c r="E379" s="243"/>
      <c r="F379" s="242"/>
      <c r="G379" s="250"/>
      <c r="H379" s="389"/>
      <c r="I379" s="402"/>
      <c r="J379" s="402"/>
      <c r="K379" s="402"/>
      <c r="L379" s="402"/>
      <c r="M379" s="402"/>
      <c r="N379" s="402"/>
    </row>
    <row r="380">
      <c r="A380" s="340"/>
      <c r="B380" s="242"/>
      <c r="C380" s="242"/>
      <c r="D380" s="242"/>
      <c r="E380" s="243"/>
      <c r="F380" s="242"/>
      <c r="G380" s="250"/>
      <c r="H380" s="389"/>
      <c r="I380" s="402"/>
      <c r="J380" s="402"/>
      <c r="K380" s="402"/>
      <c r="L380" s="402"/>
      <c r="M380" s="402"/>
      <c r="N380" s="402"/>
    </row>
    <row r="381">
      <c r="A381" s="340"/>
      <c r="B381" s="242"/>
      <c r="C381" s="242"/>
      <c r="D381" s="242"/>
      <c r="E381" s="243"/>
      <c r="F381" s="242"/>
      <c r="G381" s="250"/>
      <c r="H381" s="389"/>
      <c r="I381" s="402"/>
      <c r="J381" s="402"/>
      <c r="K381" s="402"/>
      <c r="L381" s="402"/>
      <c r="M381" s="402"/>
      <c r="N381" s="402"/>
    </row>
    <row r="382">
      <c r="A382" s="340"/>
      <c r="B382" s="242"/>
      <c r="C382" s="242"/>
      <c r="D382" s="242"/>
      <c r="E382" s="243"/>
      <c r="F382" s="242"/>
      <c r="G382" s="250"/>
      <c r="H382" s="389"/>
      <c r="I382" s="402"/>
      <c r="J382" s="402"/>
      <c r="K382" s="402"/>
      <c r="L382" s="402"/>
      <c r="M382" s="402"/>
      <c r="N382" s="402"/>
    </row>
    <row r="383">
      <c r="A383" s="340"/>
      <c r="B383" s="242"/>
      <c r="C383" s="242"/>
      <c r="D383" s="242"/>
      <c r="E383" s="243"/>
      <c r="F383" s="242"/>
      <c r="G383" s="250"/>
      <c r="H383" s="389"/>
      <c r="I383" s="402"/>
      <c r="J383" s="402"/>
      <c r="K383" s="402"/>
      <c r="L383" s="402"/>
      <c r="M383" s="402"/>
      <c r="N383" s="402"/>
    </row>
    <row r="384">
      <c r="A384" s="340"/>
      <c r="B384" s="242"/>
      <c r="C384" s="242"/>
      <c r="D384" s="242"/>
      <c r="E384" s="243"/>
      <c r="F384" s="242"/>
      <c r="G384" s="250"/>
      <c r="H384" s="389"/>
      <c r="I384" s="402"/>
      <c r="J384" s="402"/>
      <c r="K384" s="402"/>
      <c r="L384" s="402"/>
      <c r="M384" s="402"/>
      <c r="N384" s="402"/>
    </row>
    <row r="385">
      <c r="A385" s="340"/>
      <c r="B385" s="242"/>
      <c r="C385" s="242"/>
      <c r="D385" s="242"/>
      <c r="E385" s="243"/>
      <c r="F385" s="242"/>
      <c r="G385" s="250"/>
      <c r="H385" s="389"/>
      <c r="I385" s="402"/>
      <c r="J385" s="402"/>
      <c r="K385" s="402"/>
      <c r="L385" s="402"/>
      <c r="M385" s="402"/>
      <c r="N385" s="402"/>
    </row>
    <row r="386">
      <c r="A386" s="340"/>
      <c r="B386" s="242"/>
      <c r="C386" s="242"/>
      <c r="D386" s="242"/>
      <c r="E386" s="243"/>
      <c r="F386" s="242"/>
      <c r="G386" s="250"/>
      <c r="H386" s="389"/>
      <c r="I386" s="402"/>
      <c r="J386" s="402"/>
      <c r="K386" s="402"/>
      <c r="L386" s="402"/>
      <c r="M386" s="402"/>
      <c r="N386" s="402"/>
    </row>
    <row r="387">
      <c r="A387" s="340"/>
      <c r="B387" s="242"/>
      <c r="C387" s="242"/>
      <c r="D387" s="242"/>
      <c r="E387" s="243"/>
      <c r="F387" s="242"/>
      <c r="G387" s="250"/>
      <c r="H387" s="389"/>
      <c r="I387" s="402"/>
      <c r="J387" s="402"/>
      <c r="K387" s="402"/>
      <c r="L387" s="402"/>
      <c r="M387" s="402"/>
      <c r="N387" s="402"/>
    </row>
    <row r="388">
      <c r="A388" s="340"/>
      <c r="B388" s="242"/>
      <c r="C388" s="242"/>
      <c r="D388" s="242"/>
      <c r="E388" s="243"/>
      <c r="F388" s="242"/>
      <c r="G388" s="250"/>
      <c r="H388" s="389"/>
      <c r="I388" s="402"/>
      <c r="J388" s="402"/>
      <c r="K388" s="402"/>
      <c r="L388" s="402"/>
      <c r="M388" s="402"/>
      <c r="N388" s="402"/>
    </row>
    <row r="389">
      <c r="A389" s="340"/>
      <c r="B389" s="242"/>
      <c r="C389" s="242"/>
      <c r="D389" s="242"/>
      <c r="E389" s="243"/>
      <c r="F389" s="242"/>
      <c r="G389" s="250"/>
      <c r="H389" s="389"/>
      <c r="I389" s="402"/>
      <c r="J389" s="402"/>
      <c r="K389" s="402"/>
      <c r="L389" s="402"/>
      <c r="M389" s="402"/>
      <c r="N389" s="402"/>
    </row>
    <row r="390">
      <c r="A390" s="340"/>
      <c r="B390" s="242"/>
      <c r="C390" s="242"/>
      <c r="D390" s="242"/>
      <c r="E390" s="243"/>
      <c r="F390" s="242"/>
      <c r="G390" s="250"/>
      <c r="H390" s="389"/>
      <c r="I390" s="402"/>
      <c r="J390" s="402"/>
      <c r="K390" s="402"/>
      <c r="L390" s="402"/>
      <c r="M390" s="402"/>
      <c r="N390" s="402"/>
    </row>
    <row r="391">
      <c r="A391" s="340"/>
      <c r="B391" s="242"/>
      <c r="C391" s="242"/>
      <c r="D391" s="242"/>
      <c r="E391" s="243"/>
      <c r="F391" s="242"/>
      <c r="G391" s="250"/>
      <c r="H391" s="389"/>
      <c r="I391" s="402"/>
      <c r="J391" s="402"/>
      <c r="K391" s="402"/>
      <c r="L391" s="402"/>
      <c r="M391" s="402"/>
      <c r="N391" s="402"/>
    </row>
    <row r="392">
      <c r="A392" s="340"/>
      <c r="B392" s="242"/>
      <c r="C392" s="242"/>
      <c r="D392" s="242"/>
      <c r="E392" s="243"/>
      <c r="F392" s="242"/>
      <c r="G392" s="250"/>
      <c r="H392" s="389"/>
      <c r="I392" s="402"/>
      <c r="J392" s="402"/>
      <c r="K392" s="402"/>
      <c r="L392" s="402"/>
      <c r="M392" s="402"/>
      <c r="N392" s="402"/>
    </row>
    <row r="393">
      <c r="A393" s="340"/>
      <c r="B393" s="242"/>
      <c r="C393" s="242"/>
      <c r="D393" s="242"/>
      <c r="E393" s="243"/>
      <c r="F393" s="242"/>
      <c r="G393" s="250"/>
      <c r="H393" s="389"/>
      <c r="I393" s="402"/>
      <c r="J393" s="402"/>
      <c r="K393" s="402"/>
      <c r="L393" s="402"/>
      <c r="M393" s="402"/>
      <c r="N393" s="402"/>
    </row>
    <row r="394">
      <c r="A394" s="340"/>
      <c r="B394" s="242"/>
      <c r="C394" s="242"/>
      <c r="D394" s="242"/>
      <c r="E394" s="243"/>
      <c r="F394" s="242"/>
      <c r="G394" s="250"/>
      <c r="H394" s="389"/>
      <c r="I394" s="402"/>
      <c r="J394" s="402"/>
      <c r="K394" s="402"/>
      <c r="L394" s="402"/>
      <c r="M394" s="402"/>
      <c r="N394" s="402"/>
    </row>
    <row r="395">
      <c r="A395" s="340"/>
      <c r="B395" s="242"/>
      <c r="C395" s="242"/>
      <c r="D395" s="242"/>
      <c r="E395" s="243"/>
      <c r="F395" s="242"/>
      <c r="G395" s="250"/>
      <c r="H395" s="389"/>
      <c r="I395" s="402"/>
      <c r="J395" s="402"/>
      <c r="K395" s="402"/>
      <c r="L395" s="402"/>
      <c r="M395" s="402"/>
      <c r="N395" s="402"/>
    </row>
    <row r="396">
      <c r="A396" s="340"/>
      <c r="B396" s="242"/>
      <c r="C396" s="242"/>
      <c r="D396" s="242"/>
      <c r="E396" s="243"/>
      <c r="F396" s="242"/>
      <c r="G396" s="250"/>
      <c r="H396" s="389"/>
      <c r="I396" s="402"/>
      <c r="J396" s="402"/>
      <c r="K396" s="402"/>
      <c r="L396" s="402"/>
      <c r="M396" s="402"/>
      <c r="N396" s="402"/>
    </row>
    <row r="397">
      <c r="A397" s="340"/>
      <c r="B397" s="242"/>
      <c r="C397" s="242"/>
      <c r="D397" s="242"/>
      <c r="E397" s="243"/>
      <c r="F397" s="242"/>
      <c r="G397" s="250"/>
      <c r="H397" s="389"/>
      <c r="I397" s="402"/>
      <c r="J397" s="402"/>
      <c r="K397" s="402"/>
      <c r="L397" s="402"/>
      <c r="M397" s="402"/>
      <c r="N397" s="402"/>
    </row>
    <row r="398">
      <c r="A398" s="340"/>
      <c r="B398" s="242"/>
      <c r="C398" s="242"/>
      <c r="D398" s="242"/>
      <c r="E398" s="243"/>
      <c r="F398" s="242"/>
      <c r="G398" s="250"/>
      <c r="H398" s="389"/>
      <c r="I398" s="402"/>
      <c r="J398" s="402"/>
      <c r="K398" s="402"/>
      <c r="L398" s="402"/>
      <c r="M398" s="402"/>
      <c r="N398" s="402"/>
    </row>
    <row r="399">
      <c r="A399" s="340"/>
      <c r="B399" s="242"/>
      <c r="C399" s="242"/>
      <c r="D399" s="242"/>
      <c r="E399" s="243"/>
      <c r="F399" s="242"/>
      <c r="G399" s="250"/>
      <c r="H399" s="389"/>
      <c r="I399" s="402"/>
      <c r="J399" s="402"/>
      <c r="K399" s="402"/>
      <c r="L399" s="402"/>
      <c r="M399" s="402"/>
      <c r="N399" s="402"/>
    </row>
    <row r="400">
      <c r="A400" s="340"/>
      <c r="B400" s="242"/>
      <c r="C400" s="242"/>
      <c r="D400" s="242"/>
      <c r="E400" s="243"/>
      <c r="F400" s="242"/>
      <c r="G400" s="250"/>
      <c r="H400" s="389"/>
      <c r="I400" s="402"/>
      <c r="J400" s="402"/>
      <c r="K400" s="402"/>
      <c r="L400" s="402"/>
      <c r="M400" s="402"/>
      <c r="N400" s="402"/>
    </row>
    <row r="401">
      <c r="A401" s="340"/>
      <c r="B401" s="242"/>
      <c r="C401" s="242"/>
      <c r="D401" s="242"/>
      <c r="E401" s="243"/>
      <c r="F401" s="242"/>
      <c r="G401" s="250"/>
      <c r="H401" s="389"/>
      <c r="I401" s="402"/>
      <c r="J401" s="402"/>
      <c r="K401" s="402"/>
      <c r="L401" s="402"/>
      <c r="M401" s="402"/>
      <c r="N401" s="402"/>
    </row>
    <row r="402">
      <c r="A402" s="340"/>
      <c r="B402" s="242"/>
      <c r="C402" s="242"/>
      <c r="D402" s="242"/>
      <c r="E402" s="243"/>
      <c r="F402" s="242"/>
      <c r="G402" s="250"/>
      <c r="H402" s="389"/>
      <c r="I402" s="402"/>
      <c r="J402" s="402"/>
      <c r="K402" s="402"/>
      <c r="L402" s="402"/>
      <c r="M402" s="402"/>
      <c r="N402" s="402"/>
    </row>
    <row r="403">
      <c r="A403" s="340"/>
      <c r="B403" s="242"/>
      <c r="C403" s="242"/>
      <c r="D403" s="242"/>
      <c r="E403" s="243"/>
      <c r="F403" s="242"/>
      <c r="G403" s="250"/>
      <c r="H403" s="389"/>
      <c r="I403" s="402"/>
      <c r="J403" s="402"/>
      <c r="K403" s="402"/>
      <c r="L403" s="402"/>
      <c r="M403" s="402"/>
      <c r="N403" s="402"/>
    </row>
    <row r="404">
      <c r="A404" s="340"/>
      <c r="B404" s="242"/>
      <c r="C404" s="242"/>
      <c r="D404" s="242"/>
      <c r="E404" s="243"/>
      <c r="F404" s="242"/>
      <c r="G404" s="250"/>
      <c r="H404" s="389"/>
      <c r="I404" s="402"/>
      <c r="J404" s="402"/>
      <c r="K404" s="402"/>
      <c r="L404" s="402"/>
      <c r="M404" s="402"/>
      <c r="N404" s="402"/>
    </row>
    <row r="405">
      <c r="A405" s="340"/>
      <c r="B405" s="242"/>
      <c r="C405" s="242"/>
      <c r="D405" s="242"/>
      <c r="E405" s="243"/>
      <c r="F405" s="242"/>
      <c r="G405" s="250"/>
      <c r="H405" s="389"/>
      <c r="I405" s="402"/>
      <c r="J405" s="402"/>
      <c r="K405" s="402"/>
      <c r="L405" s="402"/>
      <c r="M405" s="402"/>
      <c r="N405" s="402"/>
    </row>
    <row r="406">
      <c r="A406" s="340"/>
      <c r="B406" s="242"/>
      <c r="C406" s="242"/>
      <c r="D406" s="242"/>
      <c r="E406" s="243"/>
      <c r="F406" s="242"/>
      <c r="G406" s="250"/>
      <c r="H406" s="389"/>
      <c r="I406" s="402"/>
      <c r="J406" s="402"/>
      <c r="K406" s="402"/>
      <c r="L406" s="402"/>
      <c r="M406" s="402"/>
      <c r="N406" s="402"/>
    </row>
    <row r="407">
      <c r="A407" s="340"/>
      <c r="B407" s="242"/>
      <c r="C407" s="242"/>
      <c r="D407" s="242"/>
      <c r="E407" s="243"/>
      <c r="F407" s="242"/>
      <c r="G407" s="250"/>
      <c r="H407" s="389"/>
      <c r="I407" s="402"/>
      <c r="J407" s="402"/>
      <c r="K407" s="402"/>
      <c r="L407" s="402"/>
      <c r="M407" s="402"/>
      <c r="N407" s="402"/>
    </row>
    <row r="408">
      <c r="A408" s="340"/>
      <c r="B408" s="242"/>
      <c r="C408" s="242"/>
      <c r="D408" s="242"/>
      <c r="E408" s="243"/>
      <c r="F408" s="242"/>
      <c r="G408" s="250"/>
      <c r="H408" s="389"/>
      <c r="I408" s="402"/>
      <c r="J408" s="402"/>
      <c r="K408" s="402"/>
      <c r="L408" s="402"/>
      <c r="M408" s="402"/>
      <c r="N408" s="402"/>
    </row>
    <row r="409">
      <c r="A409" s="340"/>
      <c r="B409" s="242"/>
      <c r="C409" s="242"/>
      <c r="D409" s="242"/>
      <c r="E409" s="243"/>
      <c r="F409" s="242"/>
      <c r="G409" s="250"/>
      <c r="H409" s="389"/>
      <c r="I409" s="402"/>
      <c r="J409" s="402"/>
      <c r="K409" s="402"/>
      <c r="L409" s="402"/>
      <c r="M409" s="402"/>
      <c r="N409" s="402"/>
    </row>
    <row r="410">
      <c r="A410" s="340"/>
      <c r="B410" s="242"/>
      <c r="C410" s="242"/>
      <c r="D410" s="242"/>
      <c r="E410" s="243"/>
      <c r="F410" s="242"/>
      <c r="G410" s="250"/>
      <c r="H410" s="389"/>
      <c r="I410" s="402"/>
      <c r="J410" s="402"/>
      <c r="K410" s="402"/>
      <c r="L410" s="402"/>
      <c r="M410" s="402"/>
      <c r="N410" s="402"/>
    </row>
    <row r="411">
      <c r="A411" s="340"/>
      <c r="B411" s="242"/>
      <c r="C411" s="242"/>
      <c r="D411" s="242"/>
      <c r="E411" s="243"/>
      <c r="F411" s="242"/>
      <c r="G411" s="250"/>
      <c r="H411" s="389"/>
      <c r="I411" s="402"/>
      <c r="J411" s="402"/>
      <c r="K411" s="402"/>
      <c r="L411" s="402"/>
      <c r="M411" s="402"/>
      <c r="N411" s="402"/>
    </row>
    <row r="412">
      <c r="A412" s="340"/>
      <c r="B412" s="242"/>
      <c r="C412" s="242"/>
      <c r="D412" s="242"/>
      <c r="E412" s="243"/>
      <c r="F412" s="242"/>
      <c r="G412" s="250"/>
      <c r="H412" s="389"/>
      <c r="I412" s="402"/>
      <c r="J412" s="402"/>
      <c r="K412" s="402"/>
      <c r="L412" s="402"/>
      <c r="M412" s="402"/>
      <c r="N412" s="402"/>
    </row>
    <row r="413">
      <c r="A413" s="340"/>
      <c r="B413" s="242"/>
      <c r="C413" s="242"/>
      <c r="D413" s="242"/>
      <c r="E413" s="243"/>
      <c r="F413" s="242"/>
      <c r="G413" s="250"/>
      <c r="H413" s="389"/>
      <c r="I413" s="402"/>
      <c r="J413" s="402"/>
      <c r="K413" s="402"/>
      <c r="L413" s="402"/>
      <c r="M413" s="402"/>
      <c r="N413" s="402"/>
    </row>
    <row r="414">
      <c r="A414" s="340"/>
      <c r="B414" s="242"/>
      <c r="C414" s="242"/>
      <c r="D414" s="242"/>
      <c r="E414" s="243"/>
      <c r="F414" s="242"/>
      <c r="G414" s="250"/>
      <c r="H414" s="389"/>
      <c r="I414" s="402"/>
      <c r="J414" s="402"/>
      <c r="K414" s="402"/>
      <c r="L414" s="402"/>
      <c r="M414" s="402"/>
      <c r="N414" s="402"/>
    </row>
    <row r="415">
      <c r="A415" s="340"/>
      <c r="B415" s="242"/>
      <c r="C415" s="242"/>
      <c r="D415" s="242"/>
      <c r="E415" s="243"/>
      <c r="F415" s="242"/>
      <c r="G415" s="250"/>
      <c r="H415" s="389"/>
      <c r="I415" s="402"/>
      <c r="J415" s="402"/>
      <c r="K415" s="402"/>
      <c r="L415" s="402"/>
      <c r="M415" s="402"/>
      <c r="N415" s="402"/>
    </row>
    <row r="416">
      <c r="A416" s="340"/>
      <c r="B416" s="242"/>
      <c r="C416" s="242"/>
      <c r="D416" s="242"/>
      <c r="E416" s="243"/>
      <c r="F416" s="242"/>
      <c r="G416" s="250"/>
      <c r="H416" s="389"/>
      <c r="I416" s="402"/>
      <c r="J416" s="402"/>
      <c r="K416" s="402"/>
      <c r="L416" s="402"/>
      <c r="M416" s="402"/>
      <c r="N416" s="402"/>
    </row>
    <row r="417">
      <c r="A417" s="340"/>
      <c r="B417" s="242"/>
      <c r="C417" s="242"/>
      <c r="D417" s="242"/>
      <c r="E417" s="243"/>
      <c r="F417" s="242"/>
      <c r="G417" s="250"/>
      <c r="H417" s="389"/>
      <c r="I417" s="402"/>
      <c r="J417" s="402"/>
      <c r="K417" s="402"/>
      <c r="L417" s="402"/>
      <c r="M417" s="402"/>
      <c r="N417" s="402"/>
    </row>
    <row r="418">
      <c r="A418" s="340"/>
      <c r="B418" s="242"/>
      <c r="C418" s="242"/>
      <c r="D418" s="242"/>
      <c r="E418" s="243"/>
      <c r="F418" s="242"/>
      <c r="G418" s="250"/>
      <c r="H418" s="389"/>
      <c r="I418" s="402"/>
      <c r="J418" s="402"/>
      <c r="K418" s="402"/>
      <c r="L418" s="402"/>
      <c r="M418" s="402"/>
      <c r="N418" s="402"/>
    </row>
    <row r="419">
      <c r="A419" s="340"/>
      <c r="B419" s="242"/>
      <c r="C419" s="242"/>
      <c r="D419" s="242"/>
      <c r="E419" s="243"/>
      <c r="F419" s="242"/>
      <c r="G419" s="250"/>
      <c r="H419" s="389"/>
      <c r="I419" s="402"/>
      <c r="J419" s="402"/>
      <c r="K419" s="402"/>
      <c r="L419" s="402"/>
      <c r="M419" s="402"/>
      <c r="N419" s="402"/>
    </row>
    <row r="420">
      <c r="A420" s="340"/>
      <c r="B420" s="242"/>
      <c r="C420" s="242"/>
      <c r="D420" s="242"/>
      <c r="E420" s="243"/>
      <c r="F420" s="242"/>
      <c r="G420" s="250"/>
      <c r="H420" s="389"/>
      <c r="I420" s="402"/>
      <c r="J420" s="402"/>
      <c r="K420" s="402"/>
      <c r="L420" s="402"/>
      <c r="M420" s="402"/>
      <c r="N420" s="402"/>
    </row>
    <row r="421">
      <c r="A421" s="340"/>
      <c r="B421" s="242"/>
      <c r="C421" s="242"/>
      <c r="D421" s="242"/>
      <c r="E421" s="243"/>
      <c r="F421" s="242"/>
      <c r="G421" s="250"/>
      <c r="H421" s="389"/>
      <c r="I421" s="402"/>
      <c r="J421" s="402"/>
      <c r="K421" s="402"/>
      <c r="L421" s="402"/>
      <c r="M421" s="402"/>
      <c r="N421" s="402"/>
    </row>
    <row r="422">
      <c r="A422" s="340"/>
      <c r="B422" s="242"/>
      <c r="C422" s="242"/>
      <c r="D422" s="242"/>
      <c r="E422" s="243"/>
      <c r="F422" s="242"/>
      <c r="G422" s="250"/>
      <c r="H422" s="389"/>
      <c r="I422" s="402"/>
      <c r="J422" s="402"/>
      <c r="K422" s="402"/>
      <c r="L422" s="402"/>
      <c r="M422" s="402"/>
      <c r="N422" s="402"/>
    </row>
    <row r="423">
      <c r="A423" s="340"/>
      <c r="B423" s="242"/>
      <c r="C423" s="242"/>
      <c r="D423" s="242"/>
      <c r="E423" s="243"/>
      <c r="F423" s="242"/>
      <c r="G423" s="250"/>
      <c r="H423" s="389"/>
      <c r="I423" s="402"/>
      <c r="J423" s="402"/>
      <c r="K423" s="402"/>
      <c r="L423" s="402"/>
      <c r="M423" s="402"/>
      <c r="N423" s="402"/>
    </row>
    <row r="424">
      <c r="A424" s="340"/>
      <c r="B424" s="242"/>
      <c r="C424" s="242"/>
      <c r="D424" s="242"/>
      <c r="E424" s="243"/>
      <c r="F424" s="242"/>
      <c r="G424" s="250"/>
      <c r="H424" s="389"/>
      <c r="I424" s="402"/>
      <c r="J424" s="402"/>
      <c r="K424" s="402"/>
      <c r="L424" s="402"/>
      <c r="M424" s="402"/>
      <c r="N424" s="402"/>
    </row>
    <row r="425">
      <c r="A425" s="340"/>
      <c r="B425" s="242"/>
      <c r="C425" s="242"/>
      <c r="D425" s="242"/>
      <c r="E425" s="243"/>
      <c r="F425" s="242"/>
      <c r="G425" s="250"/>
      <c r="H425" s="389"/>
      <c r="I425" s="402"/>
      <c r="J425" s="402"/>
      <c r="K425" s="402"/>
      <c r="L425" s="402"/>
      <c r="M425" s="402"/>
      <c r="N425" s="402"/>
    </row>
    <row r="426">
      <c r="A426" s="340"/>
      <c r="B426" s="242"/>
      <c r="C426" s="242"/>
      <c r="D426" s="242"/>
      <c r="E426" s="243"/>
      <c r="F426" s="242"/>
      <c r="G426" s="250"/>
      <c r="H426" s="389"/>
      <c r="I426" s="402"/>
      <c r="J426" s="402"/>
      <c r="K426" s="402"/>
      <c r="L426" s="402"/>
      <c r="M426" s="402"/>
      <c r="N426" s="402"/>
    </row>
    <row r="427">
      <c r="A427" s="340"/>
      <c r="B427" s="242"/>
      <c r="C427" s="242"/>
      <c r="D427" s="242"/>
      <c r="E427" s="243"/>
      <c r="F427" s="242"/>
      <c r="G427" s="250"/>
      <c r="H427" s="389"/>
      <c r="I427" s="402"/>
      <c r="J427" s="402"/>
      <c r="K427" s="402"/>
      <c r="L427" s="402"/>
      <c r="M427" s="402"/>
      <c r="N427" s="402"/>
    </row>
    <row r="428">
      <c r="A428" s="340"/>
      <c r="B428" s="242"/>
      <c r="C428" s="242"/>
      <c r="D428" s="242"/>
      <c r="E428" s="243"/>
      <c r="F428" s="242"/>
      <c r="G428" s="250"/>
      <c r="H428" s="389"/>
      <c r="I428" s="402"/>
      <c r="J428" s="402"/>
      <c r="K428" s="402"/>
      <c r="L428" s="402"/>
      <c r="M428" s="402"/>
      <c r="N428" s="402"/>
    </row>
    <row r="429">
      <c r="A429" s="340"/>
      <c r="B429" s="242"/>
      <c r="C429" s="242"/>
      <c r="D429" s="242"/>
      <c r="E429" s="243"/>
      <c r="F429" s="242"/>
      <c r="G429" s="250"/>
      <c r="H429" s="389"/>
      <c r="I429" s="402"/>
      <c r="J429" s="402"/>
      <c r="K429" s="402"/>
      <c r="L429" s="402"/>
      <c r="M429" s="402"/>
      <c r="N429" s="402"/>
    </row>
    <row r="430">
      <c r="A430" s="340"/>
      <c r="B430" s="242"/>
      <c r="C430" s="242"/>
      <c r="D430" s="242"/>
      <c r="E430" s="243"/>
      <c r="F430" s="242"/>
      <c r="G430" s="250"/>
      <c r="H430" s="389"/>
      <c r="I430" s="402"/>
      <c r="J430" s="402"/>
      <c r="K430" s="402"/>
      <c r="L430" s="402"/>
      <c r="M430" s="402"/>
      <c r="N430" s="402"/>
    </row>
    <row r="431">
      <c r="A431" s="340"/>
      <c r="B431" s="242"/>
      <c r="C431" s="242"/>
      <c r="D431" s="242"/>
      <c r="E431" s="243"/>
      <c r="F431" s="242"/>
      <c r="G431" s="250"/>
      <c r="H431" s="389"/>
      <c r="I431" s="402"/>
      <c r="J431" s="402"/>
      <c r="K431" s="402"/>
      <c r="L431" s="402"/>
      <c r="M431" s="402"/>
      <c r="N431" s="402"/>
    </row>
    <row r="432">
      <c r="A432" s="340"/>
      <c r="B432" s="242"/>
      <c r="C432" s="242"/>
      <c r="D432" s="242"/>
      <c r="E432" s="243"/>
      <c r="F432" s="242"/>
      <c r="G432" s="250"/>
      <c r="H432" s="389"/>
      <c r="I432" s="402"/>
      <c r="J432" s="402"/>
      <c r="K432" s="402"/>
      <c r="L432" s="402"/>
      <c r="M432" s="402"/>
      <c r="N432" s="402"/>
    </row>
    <row r="433">
      <c r="A433" s="340"/>
      <c r="B433" s="242"/>
      <c r="C433" s="242"/>
      <c r="D433" s="242"/>
      <c r="E433" s="243"/>
      <c r="F433" s="242"/>
      <c r="G433" s="250"/>
      <c r="H433" s="389"/>
      <c r="I433" s="402"/>
      <c r="J433" s="402"/>
      <c r="K433" s="402"/>
      <c r="L433" s="402"/>
      <c r="M433" s="402"/>
      <c r="N433" s="402"/>
    </row>
    <row r="434">
      <c r="A434" s="340"/>
      <c r="B434" s="242"/>
      <c r="C434" s="242"/>
      <c r="D434" s="242"/>
      <c r="E434" s="243"/>
      <c r="F434" s="242"/>
      <c r="G434" s="250"/>
      <c r="H434" s="389"/>
      <c r="I434" s="402"/>
      <c r="J434" s="402"/>
      <c r="K434" s="402"/>
      <c r="L434" s="402"/>
      <c r="M434" s="402"/>
      <c r="N434" s="402"/>
    </row>
    <row r="435">
      <c r="A435" s="340"/>
      <c r="B435" s="242"/>
      <c r="C435" s="242"/>
      <c r="D435" s="242"/>
      <c r="E435" s="243"/>
      <c r="F435" s="242"/>
      <c r="G435" s="250"/>
      <c r="H435" s="389"/>
      <c r="I435" s="402"/>
      <c r="J435" s="402"/>
      <c r="K435" s="402"/>
      <c r="L435" s="402"/>
      <c r="M435" s="402"/>
      <c r="N435" s="402"/>
    </row>
    <row r="436">
      <c r="A436" s="340"/>
      <c r="B436" s="242"/>
      <c r="C436" s="242"/>
      <c r="D436" s="242"/>
      <c r="E436" s="243"/>
      <c r="F436" s="242"/>
      <c r="G436" s="250"/>
      <c r="H436" s="389"/>
      <c r="I436" s="402"/>
      <c r="J436" s="402"/>
      <c r="K436" s="402"/>
      <c r="L436" s="402"/>
      <c r="M436" s="402"/>
      <c r="N436" s="402"/>
    </row>
    <row r="437">
      <c r="A437" s="340"/>
      <c r="B437" s="242"/>
      <c r="C437" s="242"/>
      <c r="D437" s="242"/>
      <c r="E437" s="243"/>
      <c r="F437" s="242"/>
      <c r="G437" s="250"/>
      <c r="H437" s="389"/>
      <c r="I437" s="402"/>
      <c r="J437" s="402"/>
      <c r="K437" s="402"/>
      <c r="L437" s="402"/>
      <c r="M437" s="402"/>
      <c r="N437" s="402"/>
    </row>
    <row r="438">
      <c r="A438" s="340"/>
      <c r="B438" s="242"/>
      <c r="C438" s="242"/>
      <c r="D438" s="242"/>
      <c r="E438" s="243"/>
      <c r="F438" s="242"/>
      <c r="G438" s="250"/>
      <c r="H438" s="389"/>
      <c r="I438" s="402"/>
      <c r="J438" s="402"/>
      <c r="K438" s="402"/>
      <c r="L438" s="402"/>
      <c r="M438" s="402"/>
      <c r="N438" s="402"/>
    </row>
    <row r="439">
      <c r="A439" s="340"/>
      <c r="B439" s="242"/>
      <c r="C439" s="242"/>
      <c r="D439" s="242"/>
      <c r="E439" s="243"/>
      <c r="F439" s="242"/>
      <c r="G439" s="250"/>
      <c r="H439" s="389"/>
      <c r="I439" s="402"/>
      <c r="J439" s="402"/>
      <c r="K439" s="402"/>
      <c r="L439" s="402"/>
      <c r="M439" s="402"/>
      <c r="N439" s="402"/>
    </row>
    <row r="440">
      <c r="A440" s="340"/>
      <c r="B440" s="242"/>
      <c r="C440" s="242"/>
      <c r="D440" s="242"/>
      <c r="E440" s="243"/>
      <c r="F440" s="242"/>
      <c r="G440" s="250"/>
      <c r="H440" s="389"/>
      <c r="I440" s="402"/>
      <c r="J440" s="402"/>
      <c r="K440" s="402"/>
      <c r="L440" s="402"/>
      <c r="M440" s="402"/>
      <c r="N440" s="402"/>
    </row>
    <row r="441">
      <c r="A441" s="340"/>
      <c r="B441" s="242"/>
      <c r="C441" s="242"/>
      <c r="D441" s="242"/>
      <c r="E441" s="243"/>
      <c r="F441" s="242"/>
      <c r="G441" s="250"/>
      <c r="H441" s="389"/>
      <c r="I441" s="402"/>
      <c r="J441" s="402"/>
      <c r="K441" s="402"/>
      <c r="L441" s="402"/>
      <c r="M441" s="402"/>
      <c r="N441" s="402"/>
    </row>
    <row r="442">
      <c r="A442" s="340"/>
      <c r="B442" s="242"/>
      <c r="C442" s="242"/>
      <c r="D442" s="242"/>
      <c r="E442" s="243"/>
      <c r="F442" s="242"/>
      <c r="G442" s="250"/>
      <c r="H442" s="389"/>
      <c r="I442" s="402"/>
      <c r="J442" s="402"/>
      <c r="K442" s="402"/>
      <c r="L442" s="402"/>
      <c r="M442" s="402"/>
      <c r="N442" s="402"/>
    </row>
    <row r="443">
      <c r="A443" s="340"/>
      <c r="B443" s="242"/>
      <c r="C443" s="242"/>
      <c r="D443" s="242"/>
      <c r="E443" s="243"/>
      <c r="F443" s="242"/>
      <c r="G443" s="250"/>
      <c r="H443" s="389"/>
      <c r="I443" s="402"/>
      <c r="J443" s="402"/>
      <c r="K443" s="402"/>
      <c r="L443" s="402"/>
      <c r="M443" s="402"/>
      <c r="N443" s="402"/>
    </row>
    <row r="444">
      <c r="A444" s="340"/>
      <c r="B444" s="242"/>
      <c r="C444" s="242"/>
      <c r="D444" s="242"/>
      <c r="E444" s="243"/>
      <c r="F444" s="242"/>
      <c r="G444" s="250"/>
      <c r="H444" s="389"/>
      <c r="I444" s="402"/>
      <c r="J444" s="402"/>
      <c r="K444" s="402"/>
      <c r="L444" s="402"/>
      <c r="M444" s="402"/>
      <c r="N444" s="402"/>
    </row>
    <row r="445">
      <c r="A445" s="340"/>
      <c r="B445" s="242"/>
      <c r="C445" s="242"/>
      <c r="D445" s="242"/>
      <c r="E445" s="243"/>
      <c r="F445" s="242"/>
      <c r="G445" s="250"/>
      <c r="H445" s="389"/>
      <c r="I445" s="402"/>
      <c r="J445" s="402"/>
      <c r="K445" s="402"/>
      <c r="L445" s="402"/>
      <c r="M445" s="402"/>
      <c r="N445" s="402"/>
    </row>
    <row r="446">
      <c r="A446" s="340"/>
      <c r="B446" s="242"/>
      <c r="C446" s="242"/>
      <c r="D446" s="242"/>
      <c r="E446" s="243"/>
      <c r="F446" s="242"/>
      <c r="G446" s="250"/>
      <c r="H446" s="389"/>
      <c r="I446" s="402"/>
      <c r="J446" s="402"/>
      <c r="K446" s="402"/>
      <c r="L446" s="402"/>
      <c r="M446" s="402"/>
      <c r="N446" s="402"/>
    </row>
    <row r="447">
      <c r="A447" s="340"/>
      <c r="B447" s="242"/>
      <c r="C447" s="242"/>
      <c r="D447" s="242"/>
      <c r="E447" s="243"/>
      <c r="F447" s="242"/>
      <c r="G447" s="250"/>
      <c r="H447" s="389"/>
      <c r="I447" s="402"/>
      <c r="J447" s="402"/>
      <c r="K447" s="402"/>
      <c r="L447" s="402"/>
      <c r="M447" s="402"/>
      <c r="N447" s="402"/>
    </row>
    <row r="448">
      <c r="A448" s="340"/>
      <c r="B448" s="242"/>
      <c r="C448" s="242"/>
      <c r="D448" s="242"/>
      <c r="E448" s="243"/>
      <c r="F448" s="242"/>
      <c r="G448" s="250"/>
      <c r="H448" s="389"/>
      <c r="I448" s="402"/>
      <c r="J448" s="402"/>
      <c r="K448" s="402"/>
      <c r="L448" s="402"/>
      <c r="M448" s="402"/>
      <c r="N448" s="402"/>
    </row>
    <row r="449">
      <c r="A449" s="340"/>
      <c r="B449" s="242"/>
      <c r="C449" s="242"/>
      <c r="D449" s="242"/>
      <c r="E449" s="243"/>
      <c r="F449" s="242"/>
      <c r="G449" s="250"/>
      <c r="H449" s="389"/>
      <c r="I449" s="402"/>
      <c r="J449" s="402"/>
      <c r="K449" s="402"/>
      <c r="L449" s="402"/>
      <c r="M449" s="402"/>
      <c r="N449" s="402"/>
    </row>
    <row r="450">
      <c r="A450" s="340"/>
      <c r="B450" s="242"/>
      <c r="C450" s="242"/>
      <c r="D450" s="242"/>
      <c r="E450" s="243"/>
      <c r="F450" s="242"/>
      <c r="G450" s="250"/>
      <c r="H450" s="389"/>
      <c r="I450" s="402"/>
      <c r="J450" s="402"/>
      <c r="K450" s="402"/>
      <c r="L450" s="402"/>
      <c r="M450" s="402"/>
      <c r="N450" s="402"/>
    </row>
    <row r="451">
      <c r="A451" s="340"/>
      <c r="B451" s="242"/>
      <c r="C451" s="242"/>
      <c r="D451" s="242"/>
      <c r="E451" s="243"/>
      <c r="F451" s="242"/>
      <c r="G451" s="250"/>
      <c r="H451" s="389"/>
      <c r="I451" s="402"/>
      <c r="J451" s="402"/>
      <c r="K451" s="402"/>
      <c r="L451" s="402"/>
      <c r="M451" s="402"/>
      <c r="N451" s="402"/>
    </row>
    <row r="452">
      <c r="A452" s="340"/>
      <c r="B452" s="242"/>
      <c r="C452" s="242"/>
      <c r="D452" s="242"/>
      <c r="E452" s="243"/>
      <c r="F452" s="242"/>
      <c r="G452" s="250"/>
      <c r="H452" s="389"/>
      <c r="I452" s="402"/>
      <c r="J452" s="402"/>
      <c r="K452" s="402"/>
      <c r="L452" s="402"/>
      <c r="M452" s="402"/>
      <c r="N452" s="402"/>
    </row>
    <row r="453">
      <c r="A453" s="340"/>
      <c r="B453" s="242"/>
      <c r="C453" s="242"/>
      <c r="D453" s="242"/>
      <c r="E453" s="243"/>
      <c r="F453" s="242"/>
      <c r="G453" s="250"/>
      <c r="H453" s="389"/>
      <c r="I453" s="402"/>
      <c r="J453" s="402"/>
      <c r="K453" s="402"/>
      <c r="L453" s="402"/>
      <c r="M453" s="402"/>
      <c r="N453" s="402"/>
    </row>
    <row r="454">
      <c r="A454" s="340"/>
      <c r="B454" s="242"/>
      <c r="C454" s="242"/>
      <c r="D454" s="242"/>
      <c r="E454" s="243"/>
      <c r="F454" s="242"/>
      <c r="G454" s="250"/>
      <c r="H454" s="389"/>
      <c r="I454" s="402"/>
      <c r="J454" s="402"/>
      <c r="K454" s="402"/>
      <c r="L454" s="402"/>
      <c r="M454" s="402"/>
      <c r="N454" s="402"/>
    </row>
    <row r="455">
      <c r="A455" s="340"/>
      <c r="B455" s="242"/>
      <c r="C455" s="242"/>
      <c r="D455" s="242"/>
      <c r="E455" s="243"/>
      <c r="F455" s="242"/>
      <c r="G455" s="250"/>
      <c r="H455" s="389"/>
      <c r="I455" s="402"/>
      <c r="J455" s="402"/>
      <c r="K455" s="402"/>
      <c r="L455" s="402"/>
      <c r="M455" s="402"/>
      <c r="N455" s="402"/>
    </row>
    <row r="456">
      <c r="A456" s="340"/>
      <c r="B456" s="242"/>
      <c r="C456" s="242"/>
      <c r="D456" s="242"/>
      <c r="E456" s="243"/>
      <c r="F456" s="242"/>
      <c r="G456" s="250"/>
      <c r="H456" s="389"/>
      <c r="I456" s="402"/>
      <c r="J456" s="402"/>
      <c r="K456" s="402"/>
      <c r="L456" s="402"/>
      <c r="M456" s="402"/>
      <c r="N456" s="402"/>
    </row>
    <row r="457">
      <c r="A457" s="340"/>
      <c r="B457" s="242"/>
      <c r="C457" s="242"/>
      <c r="D457" s="242"/>
      <c r="E457" s="243"/>
      <c r="F457" s="242"/>
      <c r="G457" s="250"/>
      <c r="H457" s="389"/>
      <c r="I457" s="402"/>
      <c r="J457" s="402"/>
      <c r="K457" s="402"/>
      <c r="L457" s="402"/>
      <c r="M457" s="402"/>
      <c r="N457" s="402"/>
    </row>
    <row r="458">
      <c r="A458" s="340"/>
      <c r="B458" s="242"/>
      <c r="C458" s="242"/>
      <c r="D458" s="242"/>
      <c r="E458" s="243"/>
      <c r="F458" s="242"/>
      <c r="G458" s="250"/>
      <c r="H458" s="389"/>
      <c r="I458" s="402"/>
      <c r="J458" s="402"/>
      <c r="K458" s="402"/>
      <c r="L458" s="402"/>
      <c r="M458" s="402"/>
      <c r="N458" s="402"/>
    </row>
    <row r="459">
      <c r="A459" s="340"/>
      <c r="B459" s="242"/>
      <c r="C459" s="242"/>
      <c r="D459" s="242"/>
      <c r="E459" s="243"/>
      <c r="F459" s="242"/>
      <c r="G459" s="250"/>
      <c r="H459" s="389"/>
      <c r="I459" s="402"/>
      <c r="J459" s="402"/>
      <c r="K459" s="402"/>
      <c r="L459" s="402"/>
      <c r="M459" s="402"/>
      <c r="N459" s="402"/>
    </row>
    <row r="460">
      <c r="A460" s="340"/>
      <c r="B460" s="242"/>
      <c r="C460" s="242"/>
      <c r="D460" s="242"/>
      <c r="E460" s="243"/>
      <c r="F460" s="242"/>
      <c r="G460" s="250"/>
      <c r="H460" s="389"/>
      <c r="I460" s="402"/>
      <c r="J460" s="402"/>
      <c r="K460" s="402"/>
      <c r="L460" s="402"/>
      <c r="M460" s="402"/>
      <c r="N460" s="402"/>
    </row>
    <row r="461">
      <c r="A461" s="340"/>
      <c r="B461" s="242"/>
      <c r="C461" s="242"/>
      <c r="D461" s="242"/>
      <c r="E461" s="243"/>
      <c r="F461" s="242"/>
      <c r="G461" s="250"/>
      <c r="H461" s="389"/>
      <c r="I461" s="402"/>
      <c r="J461" s="402"/>
      <c r="K461" s="402"/>
      <c r="L461" s="402"/>
      <c r="M461" s="402"/>
      <c r="N461" s="402"/>
    </row>
    <row r="462">
      <c r="A462" s="340"/>
      <c r="B462" s="242"/>
      <c r="C462" s="242"/>
      <c r="D462" s="242"/>
      <c r="E462" s="243"/>
      <c r="F462" s="242"/>
      <c r="G462" s="250"/>
      <c r="H462" s="389"/>
      <c r="I462" s="402"/>
      <c r="J462" s="402"/>
      <c r="K462" s="402"/>
      <c r="L462" s="402"/>
      <c r="M462" s="402"/>
      <c r="N462" s="402"/>
    </row>
    <row r="463">
      <c r="A463" s="340"/>
      <c r="B463" s="242"/>
      <c r="C463" s="242"/>
      <c r="D463" s="242"/>
      <c r="E463" s="243"/>
      <c r="F463" s="242"/>
      <c r="G463" s="250"/>
      <c r="H463" s="389"/>
      <c r="I463" s="402"/>
      <c r="J463" s="402"/>
      <c r="K463" s="402"/>
      <c r="L463" s="402"/>
      <c r="M463" s="402"/>
      <c r="N463" s="402"/>
    </row>
    <row r="464">
      <c r="A464" s="340"/>
      <c r="B464" s="242"/>
      <c r="C464" s="242"/>
      <c r="D464" s="242"/>
      <c r="E464" s="243"/>
      <c r="F464" s="242"/>
      <c r="G464" s="250"/>
      <c r="H464" s="389"/>
      <c r="I464" s="402"/>
      <c r="J464" s="402"/>
      <c r="K464" s="402"/>
      <c r="L464" s="402"/>
      <c r="M464" s="402"/>
      <c r="N464" s="402"/>
    </row>
    <row r="465">
      <c r="A465" s="340"/>
      <c r="B465" s="242"/>
      <c r="C465" s="242"/>
      <c r="D465" s="242"/>
      <c r="E465" s="243"/>
      <c r="F465" s="242"/>
      <c r="G465" s="250"/>
      <c r="H465" s="389"/>
      <c r="I465" s="402"/>
      <c r="J465" s="402"/>
      <c r="K465" s="402"/>
      <c r="L465" s="402"/>
      <c r="M465" s="402"/>
      <c r="N465" s="402"/>
    </row>
    <row r="466">
      <c r="A466" s="340"/>
      <c r="B466" s="242"/>
      <c r="C466" s="242"/>
      <c r="D466" s="242"/>
      <c r="E466" s="243"/>
      <c r="F466" s="242"/>
      <c r="G466" s="250"/>
      <c r="H466" s="389"/>
      <c r="I466" s="402"/>
      <c r="J466" s="402"/>
      <c r="K466" s="402"/>
      <c r="L466" s="402"/>
      <c r="M466" s="402"/>
      <c r="N466" s="402"/>
    </row>
    <row r="467">
      <c r="A467" s="340"/>
      <c r="B467" s="242"/>
      <c r="C467" s="242"/>
      <c r="D467" s="242"/>
      <c r="E467" s="243"/>
      <c r="F467" s="242"/>
      <c r="G467" s="250"/>
      <c r="H467" s="389"/>
      <c r="I467" s="402"/>
      <c r="J467" s="402"/>
      <c r="K467" s="402"/>
      <c r="L467" s="402"/>
      <c r="M467" s="402"/>
      <c r="N467" s="402"/>
    </row>
    <row r="468">
      <c r="A468" s="340"/>
      <c r="B468" s="242"/>
      <c r="C468" s="242"/>
      <c r="D468" s="242"/>
      <c r="E468" s="243"/>
      <c r="F468" s="242"/>
      <c r="G468" s="250"/>
      <c r="H468" s="389"/>
      <c r="I468" s="402"/>
      <c r="J468" s="402"/>
      <c r="K468" s="402"/>
      <c r="L468" s="402"/>
      <c r="M468" s="402"/>
      <c r="N468" s="402"/>
    </row>
    <row r="469">
      <c r="A469" s="340"/>
      <c r="B469" s="242"/>
      <c r="C469" s="242"/>
      <c r="D469" s="242"/>
      <c r="E469" s="243"/>
      <c r="F469" s="242"/>
      <c r="G469" s="250"/>
      <c r="H469" s="389"/>
      <c r="I469" s="402"/>
      <c r="J469" s="402"/>
      <c r="K469" s="402"/>
      <c r="L469" s="402"/>
      <c r="M469" s="402"/>
      <c r="N469" s="402"/>
    </row>
    <row r="470">
      <c r="A470" s="340"/>
      <c r="B470" s="242"/>
      <c r="C470" s="242"/>
      <c r="D470" s="242"/>
      <c r="E470" s="243"/>
      <c r="F470" s="242"/>
      <c r="G470" s="250"/>
      <c r="H470" s="389"/>
      <c r="I470" s="402"/>
      <c r="J470" s="402"/>
      <c r="K470" s="402"/>
      <c r="L470" s="402"/>
      <c r="M470" s="402"/>
      <c r="N470" s="402"/>
    </row>
    <row r="471">
      <c r="A471" s="340"/>
      <c r="B471" s="242"/>
      <c r="C471" s="242"/>
      <c r="D471" s="242"/>
      <c r="E471" s="243"/>
      <c r="F471" s="242"/>
      <c r="G471" s="250"/>
      <c r="H471" s="389"/>
      <c r="I471" s="402"/>
      <c r="J471" s="402"/>
      <c r="K471" s="402"/>
      <c r="L471" s="402"/>
      <c r="M471" s="402"/>
      <c r="N471" s="402"/>
    </row>
    <row r="472">
      <c r="A472" s="340"/>
      <c r="B472" s="242"/>
      <c r="C472" s="242"/>
      <c r="D472" s="242"/>
      <c r="E472" s="243"/>
      <c r="F472" s="242"/>
      <c r="G472" s="250"/>
      <c r="H472" s="389"/>
      <c r="I472" s="402"/>
      <c r="J472" s="402"/>
      <c r="K472" s="402"/>
      <c r="L472" s="402"/>
      <c r="M472" s="402"/>
      <c r="N472" s="402"/>
    </row>
    <row r="473">
      <c r="A473" s="340"/>
      <c r="B473" s="242"/>
      <c r="C473" s="242"/>
      <c r="D473" s="242"/>
      <c r="E473" s="243"/>
      <c r="F473" s="242"/>
      <c r="G473" s="250"/>
      <c r="H473" s="389"/>
      <c r="I473" s="402"/>
      <c r="J473" s="402"/>
      <c r="K473" s="402"/>
      <c r="L473" s="402"/>
      <c r="M473" s="402"/>
      <c r="N473" s="402"/>
    </row>
    <row r="474">
      <c r="A474" s="340"/>
      <c r="B474" s="242"/>
      <c r="C474" s="242"/>
      <c r="D474" s="242"/>
      <c r="E474" s="243"/>
      <c r="F474" s="242"/>
      <c r="G474" s="250"/>
      <c r="H474" s="389"/>
      <c r="I474" s="402"/>
      <c r="J474" s="402"/>
      <c r="K474" s="402"/>
      <c r="L474" s="402"/>
      <c r="M474" s="402"/>
      <c r="N474" s="402"/>
    </row>
    <row r="475">
      <c r="A475" s="340"/>
      <c r="B475" s="242"/>
      <c r="C475" s="242"/>
      <c r="D475" s="242"/>
      <c r="E475" s="243"/>
      <c r="F475" s="242"/>
      <c r="G475" s="250"/>
      <c r="H475" s="389"/>
      <c r="I475" s="402"/>
      <c r="J475" s="402"/>
      <c r="K475" s="402"/>
      <c r="L475" s="402"/>
      <c r="M475" s="402"/>
      <c r="N475" s="402"/>
    </row>
    <row r="476">
      <c r="A476" s="340"/>
      <c r="B476" s="242"/>
      <c r="C476" s="242"/>
      <c r="D476" s="242"/>
      <c r="E476" s="243"/>
      <c r="F476" s="242"/>
      <c r="G476" s="250"/>
      <c r="H476" s="389"/>
      <c r="I476" s="402"/>
      <c r="J476" s="402"/>
      <c r="K476" s="402"/>
      <c r="L476" s="402"/>
      <c r="M476" s="402"/>
      <c r="N476" s="402"/>
    </row>
    <row r="477">
      <c r="A477" s="340"/>
      <c r="B477" s="242"/>
      <c r="C477" s="242"/>
      <c r="D477" s="242"/>
      <c r="E477" s="243"/>
      <c r="F477" s="242"/>
      <c r="G477" s="250"/>
      <c r="H477" s="389"/>
      <c r="I477" s="402"/>
      <c r="J477" s="402"/>
      <c r="K477" s="402"/>
      <c r="L477" s="402"/>
      <c r="M477" s="402"/>
      <c r="N477" s="402"/>
    </row>
    <row r="478">
      <c r="A478" s="340"/>
      <c r="B478" s="242"/>
      <c r="C478" s="242"/>
      <c r="D478" s="242"/>
      <c r="E478" s="243"/>
      <c r="F478" s="242"/>
      <c r="G478" s="250"/>
      <c r="H478" s="389"/>
      <c r="I478" s="402"/>
      <c r="J478" s="402"/>
      <c r="K478" s="402"/>
      <c r="L478" s="402"/>
      <c r="M478" s="402"/>
      <c r="N478" s="402"/>
    </row>
    <row r="479">
      <c r="A479" s="340"/>
      <c r="B479" s="242"/>
      <c r="C479" s="242"/>
      <c r="D479" s="242"/>
      <c r="E479" s="243"/>
      <c r="F479" s="242"/>
      <c r="G479" s="250"/>
      <c r="H479" s="389"/>
      <c r="I479" s="402"/>
      <c r="J479" s="402"/>
      <c r="K479" s="402"/>
      <c r="L479" s="402"/>
      <c r="M479" s="402"/>
      <c r="N479" s="402"/>
    </row>
    <row r="480">
      <c r="A480" s="340"/>
      <c r="B480" s="242"/>
      <c r="C480" s="242"/>
      <c r="D480" s="242"/>
      <c r="E480" s="243"/>
      <c r="F480" s="242"/>
      <c r="G480" s="250"/>
      <c r="H480" s="389"/>
      <c r="I480" s="402"/>
      <c r="J480" s="402"/>
      <c r="K480" s="402"/>
      <c r="L480" s="402"/>
      <c r="M480" s="402"/>
      <c r="N480" s="402"/>
    </row>
    <row r="481">
      <c r="A481" s="340"/>
      <c r="B481" s="242"/>
      <c r="C481" s="242"/>
      <c r="D481" s="242"/>
      <c r="E481" s="243"/>
      <c r="F481" s="242"/>
      <c r="G481" s="250"/>
      <c r="H481" s="389"/>
      <c r="I481" s="402"/>
      <c r="J481" s="402"/>
      <c r="K481" s="402"/>
      <c r="L481" s="402"/>
      <c r="M481" s="402"/>
      <c r="N481" s="402"/>
    </row>
    <row r="482">
      <c r="A482" s="340"/>
      <c r="B482" s="242"/>
      <c r="C482" s="242"/>
      <c r="D482" s="242"/>
      <c r="E482" s="243"/>
      <c r="F482" s="242"/>
      <c r="G482" s="250"/>
      <c r="H482" s="389"/>
      <c r="I482" s="402"/>
      <c r="J482" s="402"/>
      <c r="K482" s="402"/>
      <c r="L482" s="402"/>
      <c r="M482" s="402"/>
      <c r="N482" s="402"/>
    </row>
    <row r="483">
      <c r="A483" s="340"/>
      <c r="B483" s="242"/>
      <c r="C483" s="242"/>
      <c r="D483" s="242"/>
      <c r="E483" s="243"/>
      <c r="F483" s="242"/>
      <c r="G483" s="250"/>
      <c r="H483" s="389"/>
      <c r="I483" s="402"/>
      <c r="J483" s="402"/>
      <c r="K483" s="402"/>
      <c r="L483" s="402"/>
      <c r="M483" s="402"/>
      <c r="N483" s="402"/>
    </row>
    <row r="484">
      <c r="A484" s="340"/>
      <c r="B484" s="242"/>
      <c r="C484" s="242"/>
      <c r="D484" s="242"/>
      <c r="E484" s="243"/>
      <c r="F484" s="242"/>
      <c r="G484" s="250"/>
      <c r="H484" s="389"/>
      <c r="I484" s="402"/>
      <c r="J484" s="402"/>
      <c r="K484" s="402"/>
      <c r="L484" s="402"/>
      <c r="M484" s="402"/>
      <c r="N484" s="402"/>
    </row>
    <row r="485">
      <c r="A485" s="340"/>
      <c r="B485" s="242"/>
      <c r="C485" s="242"/>
      <c r="D485" s="242"/>
      <c r="E485" s="243"/>
      <c r="F485" s="242"/>
      <c r="G485" s="250"/>
      <c r="H485" s="389"/>
      <c r="I485" s="402"/>
      <c r="J485" s="402"/>
      <c r="K485" s="402"/>
      <c r="L485" s="402"/>
      <c r="M485" s="402"/>
      <c r="N485" s="402"/>
    </row>
    <row r="486">
      <c r="A486" s="340"/>
      <c r="B486" s="242"/>
      <c r="C486" s="242"/>
      <c r="D486" s="242"/>
      <c r="E486" s="243"/>
      <c r="F486" s="242"/>
      <c r="G486" s="250"/>
      <c r="H486" s="389"/>
      <c r="I486" s="402"/>
      <c r="J486" s="402"/>
      <c r="K486" s="402"/>
      <c r="L486" s="402"/>
      <c r="M486" s="402"/>
      <c r="N486" s="402"/>
    </row>
    <row r="487">
      <c r="A487" s="340"/>
      <c r="B487" s="242"/>
      <c r="C487" s="242"/>
      <c r="D487" s="242"/>
      <c r="E487" s="243"/>
      <c r="F487" s="242"/>
      <c r="G487" s="250"/>
      <c r="H487" s="389"/>
      <c r="I487" s="402"/>
      <c r="J487" s="402"/>
      <c r="K487" s="402"/>
      <c r="L487" s="402"/>
      <c r="M487" s="402"/>
      <c r="N487" s="402"/>
    </row>
    <row r="488">
      <c r="A488" s="340"/>
      <c r="B488" s="242"/>
      <c r="C488" s="242"/>
      <c r="D488" s="242"/>
      <c r="E488" s="243"/>
      <c r="F488" s="242"/>
      <c r="G488" s="250"/>
      <c r="H488" s="389"/>
      <c r="I488" s="402"/>
      <c r="J488" s="402"/>
      <c r="K488" s="402"/>
      <c r="L488" s="402"/>
      <c r="M488" s="402"/>
      <c r="N488" s="402"/>
    </row>
    <row r="489">
      <c r="A489" s="340"/>
      <c r="B489" s="242"/>
      <c r="C489" s="242"/>
      <c r="D489" s="242"/>
      <c r="E489" s="243"/>
      <c r="F489" s="242"/>
      <c r="G489" s="250"/>
      <c r="H489" s="389"/>
      <c r="I489" s="402"/>
      <c r="J489" s="402"/>
      <c r="K489" s="402"/>
      <c r="L489" s="402"/>
      <c r="M489" s="402"/>
      <c r="N489" s="402"/>
    </row>
    <row r="490">
      <c r="A490" s="340"/>
      <c r="B490" s="242"/>
      <c r="C490" s="242"/>
      <c r="D490" s="242"/>
      <c r="E490" s="243"/>
      <c r="F490" s="242"/>
      <c r="G490" s="250"/>
      <c r="H490" s="389"/>
      <c r="I490" s="402"/>
      <c r="J490" s="402"/>
      <c r="K490" s="402"/>
      <c r="L490" s="402"/>
      <c r="M490" s="402"/>
      <c r="N490" s="402"/>
    </row>
    <row r="491">
      <c r="A491" s="340"/>
      <c r="B491" s="242"/>
      <c r="C491" s="242"/>
      <c r="D491" s="242"/>
      <c r="E491" s="243"/>
      <c r="F491" s="242"/>
      <c r="G491" s="250"/>
      <c r="H491" s="389"/>
      <c r="I491" s="402"/>
      <c r="J491" s="402"/>
      <c r="K491" s="402"/>
      <c r="L491" s="402"/>
      <c r="M491" s="402"/>
      <c r="N491" s="402"/>
    </row>
    <row r="492">
      <c r="A492" s="340"/>
      <c r="B492" s="242"/>
      <c r="C492" s="242"/>
      <c r="D492" s="242"/>
      <c r="E492" s="243"/>
      <c r="F492" s="242"/>
      <c r="G492" s="250"/>
      <c r="H492" s="389"/>
      <c r="I492" s="402"/>
      <c r="J492" s="402"/>
      <c r="K492" s="402"/>
      <c r="L492" s="402"/>
      <c r="M492" s="402"/>
      <c r="N492" s="402"/>
    </row>
    <row r="493">
      <c r="A493" s="340"/>
      <c r="B493" s="242"/>
      <c r="C493" s="242"/>
      <c r="D493" s="242"/>
      <c r="E493" s="243"/>
      <c r="F493" s="242"/>
      <c r="G493" s="250"/>
      <c r="H493" s="389"/>
      <c r="I493" s="402"/>
      <c r="J493" s="402"/>
      <c r="K493" s="402"/>
      <c r="L493" s="402"/>
      <c r="M493" s="402"/>
      <c r="N493" s="402"/>
    </row>
    <row r="494">
      <c r="A494" s="340"/>
      <c r="B494" s="242"/>
      <c r="C494" s="242"/>
      <c r="D494" s="242"/>
      <c r="E494" s="243"/>
      <c r="F494" s="242"/>
      <c r="G494" s="250"/>
      <c r="H494" s="389"/>
      <c r="I494" s="402"/>
      <c r="J494" s="402"/>
      <c r="K494" s="402"/>
      <c r="L494" s="402"/>
      <c r="M494" s="402"/>
      <c r="N494" s="402"/>
    </row>
    <row r="495">
      <c r="A495" s="340"/>
      <c r="B495" s="242"/>
      <c r="C495" s="242"/>
      <c r="D495" s="242"/>
      <c r="E495" s="243"/>
      <c r="F495" s="242"/>
      <c r="G495" s="250"/>
      <c r="H495" s="389"/>
      <c r="I495" s="402"/>
      <c r="J495" s="402"/>
      <c r="K495" s="402"/>
      <c r="L495" s="402"/>
      <c r="M495" s="402"/>
      <c r="N495" s="402"/>
    </row>
    <row r="496">
      <c r="A496" s="340"/>
      <c r="B496" s="242"/>
      <c r="C496" s="242"/>
      <c r="D496" s="242"/>
      <c r="E496" s="243"/>
      <c r="F496" s="242"/>
      <c r="G496" s="250"/>
      <c r="H496" s="389"/>
      <c r="I496" s="402"/>
      <c r="J496" s="402"/>
      <c r="K496" s="402"/>
      <c r="L496" s="402"/>
      <c r="M496" s="402"/>
      <c r="N496" s="402"/>
    </row>
    <row r="497">
      <c r="A497" s="340"/>
      <c r="B497" s="242"/>
      <c r="C497" s="242"/>
      <c r="D497" s="242"/>
      <c r="E497" s="243"/>
      <c r="F497" s="242"/>
      <c r="G497" s="250"/>
      <c r="H497" s="389"/>
      <c r="I497" s="402"/>
      <c r="J497" s="402"/>
      <c r="K497" s="402"/>
      <c r="L497" s="402"/>
      <c r="M497" s="402"/>
      <c r="N497" s="402"/>
    </row>
    <row r="498">
      <c r="A498" s="340"/>
      <c r="B498" s="242"/>
      <c r="C498" s="242"/>
      <c r="D498" s="242"/>
      <c r="E498" s="243"/>
      <c r="F498" s="242"/>
      <c r="G498" s="250"/>
      <c r="H498" s="389"/>
      <c r="I498" s="402"/>
      <c r="J498" s="402"/>
      <c r="K498" s="402"/>
      <c r="L498" s="402"/>
      <c r="M498" s="402"/>
      <c r="N498" s="402"/>
    </row>
    <row r="499">
      <c r="A499" s="340"/>
      <c r="B499" s="242"/>
      <c r="C499" s="242"/>
      <c r="D499" s="242"/>
      <c r="E499" s="243"/>
      <c r="F499" s="242"/>
      <c r="G499" s="250"/>
      <c r="H499" s="389"/>
      <c r="I499" s="402"/>
      <c r="J499" s="402"/>
      <c r="K499" s="402"/>
      <c r="L499" s="402"/>
      <c r="M499" s="402"/>
      <c r="N499" s="402"/>
    </row>
    <row r="500">
      <c r="A500" s="340"/>
      <c r="B500" s="242"/>
      <c r="C500" s="242"/>
      <c r="D500" s="242"/>
      <c r="E500" s="243"/>
      <c r="F500" s="242"/>
      <c r="G500" s="250"/>
      <c r="H500" s="389"/>
      <c r="I500" s="402"/>
      <c r="J500" s="402"/>
      <c r="K500" s="402"/>
      <c r="L500" s="402"/>
      <c r="M500" s="402"/>
      <c r="N500" s="402"/>
    </row>
    <row r="501">
      <c r="A501" s="340"/>
      <c r="B501" s="242"/>
      <c r="C501" s="242"/>
      <c r="D501" s="242"/>
      <c r="E501" s="243"/>
      <c r="F501" s="242"/>
      <c r="G501" s="250"/>
      <c r="H501" s="389"/>
      <c r="I501" s="402"/>
      <c r="J501" s="402"/>
      <c r="K501" s="402"/>
      <c r="L501" s="402"/>
      <c r="M501" s="402"/>
      <c r="N501" s="402"/>
    </row>
    <row r="502">
      <c r="A502" s="340"/>
      <c r="B502" s="242"/>
      <c r="C502" s="242"/>
      <c r="D502" s="242"/>
      <c r="E502" s="243"/>
      <c r="F502" s="242"/>
      <c r="G502" s="250"/>
      <c r="H502" s="389"/>
      <c r="I502" s="402"/>
      <c r="J502" s="402"/>
      <c r="K502" s="402"/>
      <c r="L502" s="402"/>
      <c r="M502" s="402"/>
      <c r="N502" s="402"/>
    </row>
    <row r="503">
      <c r="A503" s="340"/>
      <c r="B503" s="242"/>
      <c r="C503" s="242"/>
      <c r="D503" s="242"/>
      <c r="E503" s="243"/>
      <c r="F503" s="242"/>
      <c r="G503" s="250"/>
      <c r="H503" s="389"/>
      <c r="I503" s="402"/>
      <c r="J503" s="402"/>
      <c r="K503" s="402"/>
      <c r="L503" s="402"/>
      <c r="M503" s="402"/>
      <c r="N503" s="402"/>
    </row>
    <row r="504">
      <c r="A504" s="340"/>
      <c r="B504" s="242"/>
      <c r="C504" s="242"/>
      <c r="D504" s="242"/>
      <c r="E504" s="243"/>
      <c r="F504" s="242"/>
      <c r="G504" s="250"/>
      <c r="H504" s="389"/>
      <c r="I504" s="402"/>
      <c r="J504" s="402"/>
      <c r="K504" s="402"/>
      <c r="L504" s="402"/>
      <c r="M504" s="402"/>
      <c r="N504" s="402"/>
    </row>
    <row r="505">
      <c r="A505" s="340"/>
      <c r="B505" s="242"/>
      <c r="C505" s="242"/>
      <c r="D505" s="242"/>
      <c r="E505" s="243"/>
      <c r="F505" s="242"/>
      <c r="G505" s="250"/>
      <c r="H505" s="389"/>
      <c r="I505" s="402"/>
      <c r="J505" s="402"/>
      <c r="K505" s="402"/>
      <c r="L505" s="402"/>
      <c r="M505" s="402"/>
      <c r="N505" s="402"/>
    </row>
    <row r="506">
      <c r="A506" s="340"/>
      <c r="B506" s="242"/>
      <c r="C506" s="242"/>
      <c r="D506" s="242"/>
      <c r="E506" s="243"/>
      <c r="F506" s="242"/>
      <c r="G506" s="250"/>
      <c r="H506" s="389"/>
      <c r="I506" s="402"/>
      <c r="J506" s="402"/>
      <c r="K506" s="402"/>
      <c r="L506" s="402"/>
      <c r="M506" s="402"/>
      <c r="N506" s="402"/>
    </row>
    <row r="507">
      <c r="A507" s="340"/>
      <c r="B507" s="242"/>
      <c r="C507" s="242"/>
      <c r="D507" s="242"/>
      <c r="E507" s="243"/>
      <c r="F507" s="242"/>
      <c r="G507" s="250"/>
      <c r="H507" s="389"/>
      <c r="I507" s="402"/>
      <c r="J507" s="402"/>
      <c r="K507" s="402"/>
      <c r="L507" s="402"/>
      <c r="M507" s="402"/>
      <c r="N507" s="402"/>
    </row>
    <row r="508">
      <c r="A508" s="340"/>
      <c r="B508" s="242"/>
      <c r="C508" s="242"/>
      <c r="D508" s="242"/>
      <c r="E508" s="243"/>
      <c r="F508" s="242"/>
      <c r="G508" s="250"/>
      <c r="H508" s="389"/>
      <c r="I508" s="402"/>
      <c r="J508" s="402"/>
      <c r="K508" s="402"/>
      <c r="L508" s="402"/>
      <c r="M508" s="402"/>
      <c r="N508" s="402"/>
    </row>
    <row r="509">
      <c r="A509" s="340"/>
      <c r="B509" s="242"/>
      <c r="C509" s="242"/>
      <c r="D509" s="242"/>
      <c r="E509" s="243"/>
      <c r="F509" s="242"/>
      <c r="G509" s="250"/>
      <c r="H509" s="389"/>
      <c r="I509" s="402"/>
      <c r="J509" s="402"/>
      <c r="K509" s="402"/>
      <c r="L509" s="402"/>
      <c r="M509" s="402"/>
      <c r="N509" s="402"/>
    </row>
    <row r="510">
      <c r="A510" s="340"/>
      <c r="B510" s="242"/>
      <c r="C510" s="242"/>
      <c r="D510" s="242"/>
      <c r="E510" s="243"/>
      <c r="F510" s="242"/>
      <c r="G510" s="250"/>
      <c r="H510" s="389"/>
      <c r="I510" s="402"/>
      <c r="J510" s="402"/>
      <c r="K510" s="402"/>
      <c r="L510" s="402"/>
      <c r="M510" s="402"/>
      <c r="N510" s="402"/>
    </row>
    <row r="511">
      <c r="A511" s="340"/>
      <c r="B511" s="242"/>
      <c r="C511" s="242"/>
      <c r="D511" s="242"/>
      <c r="E511" s="243"/>
      <c r="F511" s="242"/>
      <c r="G511" s="250"/>
      <c r="H511" s="389"/>
      <c r="I511" s="402"/>
      <c r="J511" s="402"/>
      <c r="K511" s="402"/>
      <c r="L511" s="402"/>
      <c r="M511" s="402"/>
      <c r="N511" s="402"/>
    </row>
    <row r="512">
      <c r="A512" s="340"/>
      <c r="B512" s="242"/>
      <c r="C512" s="242"/>
      <c r="D512" s="242"/>
      <c r="E512" s="243"/>
      <c r="F512" s="242"/>
      <c r="G512" s="250"/>
      <c r="H512" s="389"/>
      <c r="I512" s="402"/>
      <c r="J512" s="402"/>
      <c r="K512" s="402"/>
      <c r="L512" s="402"/>
      <c r="M512" s="402"/>
      <c r="N512" s="402"/>
    </row>
    <row r="513">
      <c r="A513" s="340"/>
      <c r="B513" s="242"/>
      <c r="C513" s="242"/>
      <c r="D513" s="242"/>
      <c r="E513" s="243"/>
      <c r="F513" s="242"/>
      <c r="G513" s="250"/>
      <c r="H513" s="389"/>
      <c r="I513" s="402"/>
      <c r="J513" s="402"/>
      <c r="K513" s="402"/>
      <c r="L513" s="402"/>
      <c r="M513" s="402"/>
      <c r="N513" s="402"/>
    </row>
    <row r="514">
      <c r="A514" s="340"/>
      <c r="B514" s="242"/>
      <c r="C514" s="242"/>
      <c r="D514" s="242"/>
      <c r="E514" s="243"/>
      <c r="F514" s="242"/>
      <c r="G514" s="250"/>
      <c r="H514" s="389"/>
      <c r="I514" s="402"/>
      <c r="J514" s="402"/>
      <c r="K514" s="402"/>
      <c r="L514" s="402"/>
      <c r="M514" s="402"/>
      <c r="N514" s="402"/>
    </row>
    <row r="515">
      <c r="A515" s="340"/>
      <c r="B515" s="242"/>
      <c r="C515" s="242"/>
      <c r="D515" s="242"/>
      <c r="E515" s="243"/>
      <c r="F515" s="242"/>
      <c r="G515" s="250"/>
      <c r="H515" s="389"/>
      <c r="I515" s="402"/>
      <c r="J515" s="402"/>
      <c r="K515" s="402"/>
      <c r="L515" s="402"/>
      <c r="M515" s="402"/>
      <c r="N515" s="402"/>
    </row>
    <row r="516">
      <c r="A516" s="340"/>
      <c r="B516" s="242"/>
      <c r="C516" s="242"/>
      <c r="D516" s="242"/>
      <c r="E516" s="243"/>
      <c r="F516" s="242"/>
      <c r="G516" s="250"/>
      <c r="H516" s="389"/>
      <c r="I516" s="402"/>
      <c r="J516" s="402"/>
      <c r="K516" s="402"/>
      <c r="L516" s="402"/>
      <c r="M516" s="402"/>
      <c r="N516" s="402"/>
    </row>
    <row r="517">
      <c r="A517" s="340"/>
      <c r="B517" s="242"/>
      <c r="C517" s="242"/>
      <c r="D517" s="242"/>
      <c r="E517" s="243"/>
      <c r="F517" s="242"/>
      <c r="G517" s="250"/>
      <c r="H517" s="389"/>
      <c r="I517" s="402"/>
      <c r="J517" s="402"/>
      <c r="K517" s="402"/>
      <c r="L517" s="402"/>
      <c r="M517" s="402"/>
      <c r="N517" s="402"/>
    </row>
    <row r="518">
      <c r="A518" s="340"/>
      <c r="B518" s="242"/>
      <c r="C518" s="242"/>
      <c r="D518" s="242"/>
      <c r="E518" s="243"/>
      <c r="F518" s="242"/>
      <c r="G518" s="250"/>
      <c r="H518" s="389"/>
      <c r="I518" s="402"/>
      <c r="J518" s="402"/>
      <c r="K518" s="402"/>
      <c r="L518" s="402"/>
      <c r="M518" s="402"/>
      <c r="N518" s="402"/>
    </row>
    <row r="519">
      <c r="A519" s="340"/>
      <c r="B519" s="242"/>
      <c r="C519" s="242"/>
      <c r="D519" s="242"/>
      <c r="E519" s="243"/>
      <c r="F519" s="242"/>
      <c r="G519" s="250"/>
      <c r="H519" s="389"/>
      <c r="I519" s="402"/>
      <c r="J519" s="402"/>
      <c r="K519" s="402"/>
      <c r="L519" s="402"/>
      <c r="M519" s="402"/>
      <c r="N519" s="402"/>
    </row>
    <row r="520">
      <c r="A520" s="340"/>
      <c r="B520" s="242"/>
      <c r="C520" s="242"/>
      <c r="D520" s="242"/>
      <c r="E520" s="243"/>
      <c r="F520" s="242"/>
      <c r="G520" s="250"/>
      <c r="H520" s="389"/>
      <c r="I520" s="402"/>
      <c r="J520" s="402"/>
      <c r="K520" s="402"/>
      <c r="L520" s="402"/>
      <c r="M520" s="402"/>
      <c r="N520" s="402"/>
    </row>
    <row r="521">
      <c r="A521" s="340"/>
      <c r="B521" s="242"/>
      <c r="C521" s="242"/>
      <c r="D521" s="242"/>
      <c r="E521" s="243"/>
      <c r="F521" s="242"/>
      <c r="G521" s="250"/>
      <c r="H521" s="389"/>
      <c r="I521" s="402"/>
      <c r="J521" s="402"/>
      <c r="K521" s="402"/>
      <c r="L521" s="402"/>
      <c r="M521" s="402"/>
      <c r="N521" s="402"/>
    </row>
    <row r="522">
      <c r="A522" s="340"/>
      <c r="B522" s="242"/>
      <c r="C522" s="242"/>
      <c r="D522" s="242"/>
      <c r="E522" s="243"/>
      <c r="F522" s="242"/>
      <c r="G522" s="250"/>
      <c r="H522" s="389"/>
      <c r="I522" s="402"/>
      <c r="J522" s="402"/>
      <c r="K522" s="402"/>
      <c r="L522" s="402"/>
      <c r="M522" s="402"/>
      <c r="N522" s="402"/>
    </row>
    <row r="523">
      <c r="A523" s="340"/>
      <c r="B523" s="242"/>
      <c r="C523" s="242"/>
      <c r="D523" s="242"/>
      <c r="E523" s="243"/>
      <c r="F523" s="242"/>
      <c r="G523" s="250"/>
      <c r="H523" s="389"/>
      <c r="I523" s="402"/>
      <c r="J523" s="402"/>
      <c r="K523" s="402"/>
      <c r="L523" s="402"/>
      <c r="M523" s="402"/>
      <c r="N523" s="402"/>
    </row>
    <row r="524">
      <c r="A524" s="340"/>
      <c r="B524" s="242"/>
      <c r="C524" s="242"/>
      <c r="D524" s="242"/>
      <c r="E524" s="243"/>
      <c r="F524" s="242"/>
      <c r="G524" s="250"/>
      <c r="H524" s="389"/>
      <c r="I524" s="402"/>
      <c r="J524" s="402"/>
      <c r="K524" s="402"/>
      <c r="L524" s="402"/>
      <c r="M524" s="402"/>
      <c r="N524" s="402"/>
    </row>
    <row r="525">
      <c r="A525" s="340"/>
      <c r="B525" s="242"/>
      <c r="C525" s="242"/>
      <c r="D525" s="242"/>
      <c r="E525" s="243"/>
      <c r="F525" s="242"/>
      <c r="G525" s="250"/>
      <c r="H525" s="389"/>
      <c r="I525" s="402"/>
      <c r="J525" s="402"/>
      <c r="K525" s="402"/>
      <c r="L525" s="402"/>
      <c r="M525" s="402"/>
      <c r="N525" s="402"/>
    </row>
    <row r="526">
      <c r="A526" s="340"/>
      <c r="B526" s="242"/>
      <c r="C526" s="242"/>
      <c r="D526" s="242"/>
      <c r="E526" s="243"/>
      <c r="F526" s="242"/>
      <c r="G526" s="250"/>
      <c r="H526" s="389"/>
      <c r="I526" s="402"/>
      <c r="J526" s="402"/>
      <c r="K526" s="402"/>
      <c r="L526" s="402"/>
      <c r="M526" s="402"/>
      <c r="N526" s="402"/>
    </row>
    <row r="527">
      <c r="A527" s="340"/>
      <c r="B527" s="242"/>
      <c r="C527" s="242"/>
      <c r="D527" s="242"/>
      <c r="E527" s="243"/>
      <c r="F527" s="242"/>
      <c r="G527" s="250"/>
      <c r="H527" s="389"/>
      <c r="I527" s="402"/>
      <c r="J527" s="402"/>
      <c r="K527" s="402"/>
      <c r="L527" s="402"/>
      <c r="M527" s="402"/>
      <c r="N527" s="402"/>
    </row>
    <row r="528">
      <c r="A528" s="340"/>
      <c r="B528" s="242"/>
      <c r="C528" s="242"/>
      <c r="D528" s="242"/>
      <c r="E528" s="243"/>
      <c r="F528" s="242"/>
      <c r="G528" s="250"/>
      <c r="H528" s="389"/>
      <c r="I528" s="402"/>
      <c r="J528" s="402"/>
      <c r="K528" s="402"/>
      <c r="L528" s="402"/>
      <c r="M528" s="402"/>
      <c r="N528" s="402"/>
    </row>
    <row r="529">
      <c r="A529" s="340"/>
      <c r="B529" s="242"/>
      <c r="C529" s="242"/>
      <c r="D529" s="242"/>
      <c r="E529" s="243"/>
      <c r="F529" s="242"/>
      <c r="G529" s="250"/>
      <c r="H529" s="389"/>
      <c r="I529" s="402"/>
      <c r="J529" s="402"/>
      <c r="K529" s="402"/>
      <c r="L529" s="402"/>
      <c r="M529" s="402"/>
      <c r="N529" s="402"/>
    </row>
    <row r="530">
      <c r="A530" s="340"/>
      <c r="B530" s="242"/>
      <c r="C530" s="242"/>
      <c r="D530" s="242"/>
      <c r="E530" s="243"/>
      <c r="F530" s="242"/>
      <c r="G530" s="250"/>
      <c r="H530" s="389"/>
      <c r="I530" s="402"/>
      <c r="J530" s="402"/>
      <c r="K530" s="402"/>
      <c r="L530" s="402"/>
      <c r="M530" s="402"/>
      <c r="N530" s="402"/>
    </row>
    <row r="531">
      <c r="A531" s="340"/>
      <c r="B531" s="242"/>
      <c r="C531" s="242"/>
      <c r="D531" s="242"/>
      <c r="E531" s="243"/>
      <c r="F531" s="242"/>
      <c r="G531" s="250"/>
      <c r="H531" s="389"/>
      <c r="I531" s="402"/>
      <c r="J531" s="402"/>
      <c r="K531" s="402"/>
      <c r="L531" s="402"/>
      <c r="M531" s="402"/>
      <c r="N531" s="402"/>
    </row>
    <row r="532">
      <c r="A532" s="340"/>
      <c r="B532" s="242"/>
      <c r="C532" s="242"/>
      <c r="D532" s="242"/>
      <c r="E532" s="243"/>
      <c r="F532" s="242"/>
      <c r="G532" s="250"/>
      <c r="H532" s="389"/>
      <c r="I532" s="402"/>
      <c r="J532" s="402"/>
      <c r="K532" s="402"/>
      <c r="L532" s="402"/>
      <c r="M532" s="402"/>
      <c r="N532" s="402"/>
    </row>
    <row r="533">
      <c r="A533" s="340"/>
      <c r="B533" s="242"/>
      <c r="C533" s="242"/>
      <c r="D533" s="242"/>
      <c r="E533" s="243"/>
      <c r="F533" s="242"/>
      <c r="G533" s="250"/>
      <c r="H533" s="389"/>
      <c r="I533" s="402"/>
      <c r="J533" s="402"/>
      <c r="K533" s="402"/>
      <c r="L533" s="402"/>
      <c r="M533" s="402"/>
      <c r="N533" s="402"/>
    </row>
    <row r="534">
      <c r="A534" s="340"/>
      <c r="B534" s="242"/>
      <c r="C534" s="242"/>
      <c r="D534" s="242"/>
      <c r="E534" s="243"/>
      <c r="F534" s="242"/>
      <c r="G534" s="250"/>
      <c r="H534" s="389"/>
      <c r="I534" s="402"/>
      <c r="J534" s="402"/>
      <c r="K534" s="402"/>
      <c r="L534" s="402"/>
      <c r="M534" s="402"/>
      <c r="N534" s="402"/>
    </row>
    <row r="535">
      <c r="A535" s="340"/>
      <c r="B535" s="242"/>
      <c r="C535" s="242"/>
      <c r="D535" s="242"/>
      <c r="E535" s="243"/>
      <c r="F535" s="242"/>
      <c r="G535" s="250"/>
      <c r="H535" s="389"/>
      <c r="I535" s="402"/>
      <c r="J535" s="402"/>
      <c r="K535" s="402"/>
      <c r="L535" s="402"/>
      <c r="M535" s="402"/>
      <c r="N535" s="402"/>
    </row>
    <row r="536">
      <c r="A536" s="340"/>
      <c r="B536" s="242"/>
      <c r="C536" s="242"/>
      <c r="D536" s="242"/>
      <c r="E536" s="243"/>
      <c r="F536" s="242"/>
      <c r="G536" s="250"/>
      <c r="H536" s="389"/>
      <c r="I536" s="402"/>
      <c r="J536" s="402"/>
      <c r="K536" s="402"/>
      <c r="L536" s="402"/>
      <c r="M536" s="402"/>
      <c r="N536" s="402"/>
    </row>
    <row r="537">
      <c r="A537" s="340"/>
      <c r="B537" s="242"/>
      <c r="C537" s="242"/>
      <c r="D537" s="242"/>
      <c r="E537" s="243"/>
      <c r="F537" s="242"/>
      <c r="G537" s="250"/>
      <c r="H537" s="389"/>
      <c r="I537" s="402"/>
      <c r="J537" s="402"/>
      <c r="K537" s="402"/>
      <c r="L537" s="402"/>
      <c r="M537" s="402"/>
      <c r="N537" s="402"/>
    </row>
    <row r="538">
      <c r="A538" s="340"/>
      <c r="B538" s="242"/>
      <c r="C538" s="242"/>
      <c r="D538" s="242"/>
      <c r="E538" s="243"/>
      <c r="F538" s="242"/>
      <c r="G538" s="250"/>
      <c r="H538" s="389"/>
      <c r="I538" s="402"/>
      <c r="J538" s="402"/>
      <c r="K538" s="402"/>
      <c r="L538" s="402"/>
      <c r="M538" s="402"/>
      <c r="N538" s="402"/>
    </row>
    <row r="539">
      <c r="A539" s="340"/>
      <c r="B539" s="242"/>
      <c r="C539" s="242"/>
      <c r="D539" s="242"/>
      <c r="E539" s="243"/>
      <c r="F539" s="242"/>
      <c r="G539" s="250"/>
      <c r="H539" s="389"/>
      <c r="I539" s="402"/>
      <c r="J539" s="402"/>
      <c r="K539" s="402"/>
      <c r="L539" s="402"/>
      <c r="M539" s="402"/>
      <c r="N539" s="402"/>
    </row>
    <row r="540">
      <c r="A540" s="340"/>
      <c r="B540" s="242"/>
      <c r="C540" s="242"/>
      <c r="D540" s="242"/>
      <c r="E540" s="243"/>
      <c r="F540" s="242"/>
      <c r="G540" s="250"/>
      <c r="H540" s="389"/>
      <c r="I540" s="402"/>
      <c r="J540" s="402"/>
      <c r="K540" s="402"/>
      <c r="L540" s="402"/>
      <c r="M540" s="402"/>
      <c r="N540" s="402"/>
    </row>
    <row r="541">
      <c r="A541" s="340"/>
      <c r="B541" s="242"/>
      <c r="C541" s="242"/>
      <c r="D541" s="242"/>
      <c r="E541" s="243"/>
      <c r="F541" s="242"/>
      <c r="G541" s="250"/>
      <c r="H541" s="389"/>
      <c r="I541" s="402"/>
      <c r="J541" s="402"/>
      <c r="K541" s="402"/>
      <c r="L541" s="402"/>
      <c r="M541" s="402"/>
      <c r="N541" s="402"/>
    </row>
    <row r="542">
      <c r="A542" s="340"/>
      <c r="B542" s="242"/>
      <c r="C542" s="242"/>
      <c r="D542" s="242"/>
      <c r="E542" s="243"/>
      <c r="F542" s="242"/>
      <c r="G542" s="250"/>
      <c r="H542" s="389"/>
      <c r="I542" s="402"/>
      <c r="J542" s="402"/>
      <c r="K542" s="402"/>
      <c r="L542" s="402"/>
      <c r="M542" s="402"/>
      <c r="N542" s="402"/>
    </row>
    <row r="543">
      <c r="A543" s="340"/>
      <c r="B543" s="242"/>
      <c r="C543" s="242"/>
      <c r="D543" s="242"/>
      <c r="E543" s="243"/>
      <c r="F543" s="242"/>
      <c r="G543" s="250"/>
      <c r="H543" s="389"/>
      <c r="I543" s="402"/>
      <c r="J543" s="402"/>
      <c r="K543" s="402"/>
      <c r="L543" s="402"/>
      <c r="M543" s="402"/>
      <c r="N543" s="402"/>
    </row>
    <row r="544">
      <c r="A544" s="340"/>
      <c r="B544" s="242"/>
      <c r="C544" s="242"/>
      <c r="D544" s="242"/>
      <c r="E544" s="243"/>
      <c r="F544" s="242"/>
      <c r="G544" s="250"/>
      <c r="H544" s="389"/>
      <c r="I544" s="402"/>
      <c r="J544" s="402"/>
      <c r="K544" s="402"/>
      <c r="L544" s="402"/>
      <c r="M544" s="402"/>
      <c r="N544" s="402"/>
    </row>
    <row r="545">
      <c r="A545" s="340"/>
      <c r="B545" s="242"/>
      <c r="C545" s="242"/>
      <c r="D545" s="242"/>
      <c r="E545" s="243"/>
      <c r="F545" s="242"/>
      <c r="G545" s="250"/>
      <c r="H545" s="389"/>
      <c r="I545" s="402"/>
      <c r="J545" s="402"/>
      <c r="K545" s="402"/>
      <c r="L545" s="402"/>
      <c r="M545" s="402"/>
      <c r="N545" s="402"/>
    </row>
    <row r="546">
      <c r="A546" s="340"/>
      <c r="B546" s="242"/>
      <c r="C546" s="242"/>
      <c r="D546" s="242"/>
      <c r="E546" s="243"/>
      <c r="F546" s="242"/>
      <c r="G546" s="250"/>
      <c r="H546" s="389"/>
      <c r="I546" s="402"/>
      <c r="J546" s="402"/>
      <c r="K546" s="402"/>
      <c r="L546" s="402"/>
      <c r="M546" s="402"/>
      <c r="N546" s="402"/>
    </row>
    <row r="547">
      <c r="A547" s="340"/>
      <c r="B547" s="242"/>
      <c r="C547" s="242"/>
      <c r="D547" s="242"/>
      <c r="E547" s="243"/>
      <c r="F547" s="242"/>
      <c r="G547" s="250"/>
      <c r="H547" s="389"/>
      <c r="I547" s="402"/>
      <c r="J547" s="402"/>
      <c r="K547" s="402"/>
      <c r="L547" s="402"/>
      <c r="M547" s="402"/>
      <c r="N547" s="402"/>
    </row>
    <row r="548">
      <c r="A548" s="340"/>
      <c r="B548" s="242"/>
      <c r="C548" s="242"/>
      <c r="D548" s="242"/>
      <c r="E548" s="243"/>
      <c r="F548" s="242"/>
      <c r="G548" s="250"/>
      <c r="H548" s="389"/>
      <c r="I548" s="402"/>
      <c r="J548" s="402"/>
      <c r="K548" s="402"/>
      <c r="L548" s="402"/>
      <c r="M548" s="402"/>
      <c r="N548" s="402"/>
    </row>
    <row r="549">
      <c r="A549" s="340"/>
      <c r="B549" s="242"/>
      <c r="C549" s="242"/>
      <c r="D549" s="242"/>
      <c r="E549" s="243"/>
      <c r="F549" s="242"/>
      <c r="G549" s="250"/>
      <c r="H549" s="389"/>
      <c r="I549" s="402"/>
      <c r="J549" s="402"/>
      <c r="K549" s="402"/>
      <c r="L549" s="402"/>
      <c r="M549" s="402"/>
      <c r="N549" s="402"/>
    </row>
    <row r="550">
      <c r="A550" s="340"/>
      <c r="B550" s="242"/>
      <c r="C550" s="242"/>
      <c r="D550" s="242"/>
      <c r="E550" s="243"/>
      <c r="F550" s="242"/>
      <c r="G550" s="250"/>
      <c r="H550" s="389"/>
      <c r="I550" s="402"/>
      <c r="J550" s="402"/>
      <c r="K550" s="402"/>
      <c r="L550" s="402"/>
      <c r="M550" s="402"/>
      <c r="N550" s="402"/>
    </row>
    <row r="551">
      <c r="A551" s="340"/>
      <c r="B551" s="242"/>
      <c r="C551" s="242"/>
      <c r="D551" s="242"/>
      <c r="E551" s="243"/>
      <c r="F551" s="242"/>
      <c r="G551" s="250"/>
      <c r="H551" s="389"/>
      <c r="I551" s="402"/>
      <c r="J551" s="402"/>
      <c r="K551" s="402"/>
      <c r="L551" s="402"/>
      <c r="M551" s="402"/>
      <c r="N551" s="402"/>
    </row>
    <row r="552">
      <c r="A552" s="340"/>
      <c r="B552" s="242"/>
      <c r="C552" s="242"/>
      <c r="D552" s="242"/>
      <c r="E552" s="243"/>
      <c r="F552" s="242"/>
      <c r="G552" s="250"/>
      <c r="H552" s="389"/>
      <c r="I552" s="402"/>
      <c r="J552" s="402"/>
      <c r="K552" s="402"/>
      <c r="L552" s="402"/>
      <c r="M552" s="402"/>
      <c r="N552" s="402"/>
    </row>
    <row r="553">
      <c r="A553" s="340"/>
      <c r="B553" s="242"/>
      <c r="C553" s="242"/>
      <c r="D553" s="242"/>
      <c r="E553" s="243"/>
      <c r="F553" s="242"/>
      <c r="G553" s="250"/>
      <c r="H553" s="389"/>
      <c r="I553" s="402"/>
      <c r="J553" s="402"/>
      <c r="K553" s="402"/>
      <c r="L553" s="402"/>
      <c r="M553" s="402"/>
      <c r="N553" s="402"/>
    </row>
    <row r="554">
      <c r="A554" s="340"/>
      <c r="B554" s="242"/>
      <c r="C554" s="242"/>
      <c r="D554" s="242"/>
      <c r="E554" s="243"/>
      <c r="F554" s="242"/>
      <c r="G554" s="250"/>
      <c r="H554" s="389"/>
      <c r="I554" s="402"/>
      <c r="J554" s="402"/>
      <c r="K554" s="402"/>
      <c r="L554" s="402"/>
      <c r="M554" s="402"/>
      <c r="N554" s="402"/>
    </row>
    <row r="555">
      <c r="A555" s="340"/>
      <c r="B555" s="242"/>
      <c r="C555" s="242"/>
      <c r="D555" s="242"/>
      <c r="E555" s="243"/>
      <c r="F555" s="242"/>
      <c r="G555" s="250"/>
      <c r="H555" s="389"/>
      <c r="I555" s="402"/>
      <c r="J555" s="402"/>
      <c r="K555" s="402"/>
      <c r="L555" s="402"/>
      <c r="M555" s="402"/>
      <c r="N555" s="402"/>
    </row>
    <row r="556">
      <c r="A556" s="340"/>
      <c r="B556" s="242"/>
      <c r="C556" s="242"/>
      <c r="D556" s="242"/>
      <c r="E556" s="243"/>
      <c r="F556" s="242"/>
      <c r="G556" s="250"/>
      <c r="H556" s="389"/>
      <c r="I556" s="402"/>
      <c r="J556" s="402"/>
      <c r="K556" s="402"/>
      <c r="L556" s="402"/>
      <c r="M556" s="402"/>
      <c r="N556" s="402"/>
    </row>
    <row r="557">
      <c r="A557" s="340"/>
      <c r="B557" s="242"/>
      <c r="C557" s="242"/>
      <c r="D557" s="242"/>
      <c r="E557" s="243"/>
      <c r="F557" s="242"/>
      <c r="G557" s="250"/>
      <c r="H557" s="389"/>
      <c r="I557" s="402"/>
      <c r="J557" s="402"/>
      <c r="K557" s="402"/>
      <c r="L557" s="402"/>
      <c r="M557" s="402"/>
      <c r="N557" s="402"/>
    </row>
    <row r="558">
      <c r="A558" s="340"/>
      <c r="B558" s="242"/>
      <c r="C558" s="242"/>
      <c r="D558" s="242"/>
      <c r="E558" s="243"/>
      <c r="F558" s="242"/>
      <c r="G558" s="250"/>
      <c r="H558" s="389"/>
      <c r="I558" s="402"/>
      <c r="J558" s="402"/>
      <c r="K558" s="402"/>
      <c r="L558" s="402"/>
      <c r="M558" s="402"/>
      <c r="N558" s="402"/>
    </row>
    <row r="559">
      <c r="A559" s="340"/>
      <c r="B559" s="242"/>
      <c r="C559" s="242"/>
      <c r="D559" s="242"/>
      <c r="E559" s="243"/>
      <c r="F559" s="242"/>
      <c r="G559" s="250"/>
      <c r="H559" s="389"/>
      <c r="I559" s="402"/>
      <c r="J559" s="402"/>
      <c r="K559" s="402"/>
      <c r="L559" s="402"/>
      <c r="M559" s="402"/>
      <c r="N559" s="402"/>
    </row>
    <row r="560">
      <c r="A560" s="340"/>
      <c r="B560" s="242"/>
      <c r="C560" s="242"/>
      <c r="D560" s="242"/>
      <c r="E560" s="243"/>
      <c r="F560" s="242"/>
      <c r="G560" s="250"/>
      <c r="H560" s="389"/>
      <c r="I560" s="402"/>
      <c r="J560" s="402"/>
      <c r="K560" s="402"/>
      <c r="L560" s="402"/>
      <c r="M560" s="402"/>
      <c r="N560" s="402"/>
    </row>
    <row r="561">
      <c r="A561" s="340"/>
      <c r="B561" s="242"/>
      <c r="C561" s="242"/>
      <c r="D561" s="242"/>
      <c r="E561" s="243"/>
      <c r="F561" s="242"/>
      <c r="G561" s="250"/>
      <c r="H561" s="389"/>
      <c r="I561" s="402"/>
      <c r="J561" s="402"/>
      <c r="K561" s="402"/>
      <c r="L561" s="402"/>
      <c r="M561" s="402"/>
      <c r="N561" s="402"/>
    </row>
    <row r="562">
      <c r="A562" s="340"/>
      <c r="B562" s="242"/>
      <c r="C562" s="242"/>
      <c r="D562" s="242"/>
      <c r="E562" s="243"/>
      <c r="F562" s="242"/>
      <c r="G562" s="250"/>
      <c r="H562" s="389"/>
      <c r="I562" s="402"/>
      <c r="J562" s="402"/>
      <c r="K562" s="402"/>
      <c r="L562" s="402"/>
      <c r="M562" s="402"/>
      <c r="N562" s="402"/>
    </row>
    <row r="563">
      <c r="A563" s="340"/>
      <c r="B563" s="242"/>
      <c r="C563" s="242"/>
      <c r="D563" s="242"/>
      <c r="E563" s="243"/>
      <c r="F563" s="242"/>
      <c r="G563" s="250"/>
      <c r="H563" s="389"/>
      <c r="I563" s="402"/>
      <c r="J563" s="402"/>
      <c r="K563" s="402"/>
      <c r="L563" s="402"/>
      <c r="M563" s="402"/>
      <c r="N563" s="402"/>
    </row>
    <row r="564">
      <c r="A564" s="340"/>
      <c r="B564" s="242"/>
      <c r="C564" s="242"/>
      <c r="D564" s="242"/>
      <c r="E564" s="243"/>
      <c r="F564" s="242"/>
      <c r="G564" s="250"/>
      <c r="H564" s="389"/>
      <c r="I564" s="402"/>
      <c r="J564" s="402"/>
      <c r="K564" s="402"/>
      <c r="L564" s="402"/>
      <c r="M564" s="402"/>
      <c r="N564" s="402"/>
    </row>
    <row r="565">
      <c r="A565" s="340"/>
      <c r="B565" s="242"/>
      <c r="C565" s="242"/>
      <c r="D565" s="242"/>
      <c r="E565" s="243"/>
      <c r="F565" s="242"/>
      <c r="G565" s="250"/>
      <c r="H565" s="389"/>
      <c r="I565" s="402"/>
      <c r="J565" s="402"/>
      <c r="K565" s="402"/>
      <c r="L565" s="402"/>
      <c r="M565" s="402"/>
      <c r="N565" s="402"/>
    </row>
    <row r="566">
      <c r="A566" s="340"/>
      <c r="B566" s="242"/>
      <c r="C566" s="242"/>
      <c r="D566" s="242"/>
      <c r="E566" s="243"/>
      <c r="F566" s="242"/>
      <c r="G566" s="250"/>
      <c r="H566" s="389"/>
      <c r="I566" s="402"/>
      <c r="J566" s="402"/>
      <c r="K566" s="402"/>
      <c r="L566" s="402"/>
      <c r="M566" s="402"/>
      <c r="N566" s="402"/>
    </row>
    <row r="567">
      <c r="A567" s="340"/>
      <c r="B567" s="242"/>
      <c r="C567" s="242"/>
      <c r="D567" s="242"/>
      <c r="E567" s="243"/>
      <c r="F567" s="242"/>
      <c r="G567" s="250"/>
      <c r="H567" s="389"/>
      <c r="I567" s="402"/>
      <c r="J567" s="402"/>
      <c r="K567" s="402"/>
      <c r="L567" s="402"/>
      <c r="M567" s="402"/>
      <c r="N567" s="402"/>
    </row>
    <row r="568">
      <c r="A568" s="340"/>
      <c r="B568" s="242"/>
      <c r="C568" s="242"/>
      <c r="D568" s="242"/>
      <c r="E568" s="243"/>
      <c r="F568" s="242"/>
      <c r="G568" s="250"/>
      <c r="H568" s="389"/>
      <c r="I568" s="402"/>
      <c r="J568" s="402"/>
      <c r="K568" s="402"/>
      <c r="L568" s="402"/>
      <c r="M568" s="402"/>
      <c r="N568" s="402"/>
    </row>
    <row r="569">
      <c r="A569" s="340"/>
      <c r="B569" s="242"/>
      <c r="C569" s="242"/>
      <c r="D569" s="242"/>
      <c r="E569" s="243"/>
      <c r="F569" s="242"/>
      <c r="G569" s="250"/>
      <c r="H569" s="389"/>
      <c r="I569" s="402"/>
      <c r="J569" s="402"/>
      <c r="K569" s="402"/>
      <c r="L569" s="402"/>
      <c r="M569" s="402"/>
      <c r="N569" s="402"/>
    </row>
    <row r="570">
      <c r="A570" s="340"/>
      <c r="B570" s="242"/>
      <c r="C570" s="242"/>
      <c r="D570" s="242"/>
      <c r="E570" s="243"/>
      <c r="F570" s="242"/>
      <c r="G570" s="250"/>
      <c r="H570" s="389"/>
      <c r="I570" s="402"/>
      <c r="J570" s="402"/>
      <c r="K570" s="402"/>
      <c r="L570" s="402"/>
      <c r="M570" s="402"/>
      <c r="N570" s="402"/>
    </row>
    <row r="571">
      <c r="A571" s="340"/>
      <c r="B571" s="242"/>
      <c r="C571" s="242"/>
      <c r="D571" s="242"/>
      <c r="E571" s="243"/>
      <c r="F571" s="242"/>
      <c r="G571" s="250"/>
      <c r="H571" s="389"/>
      <c r="I571" s="402"/>
      <c r="J571" s="402"/>
      <c r="K571" s="402"/>
      <c r="L571" s="402"/>
      <c r="M571" s="402"/>
      <c r="N571" s="402"/>
    </row>
    <row r="572">
      <c r="A572" s="340"/>
      <c r="B572" s="242"/>
      <c r="C572" s="242"/>
      <c r="D572" s="242"/>
      <c r="E572" s="243"/>
      <c r="F572" s="242"/>
      <c r="G572" s="250"/>
      <c r="H572" s="389"/>
      <c r="I572" s="402"/>
      <c r="J572" s="402"/>
      <c r="K572" s="402"/>
      <c r="L572" s="402"/>
      <c r="M572" s="402"/>
      <c r="N572" s="402"/>
    </row>
    <row r="573">
      <c r="A573" s="340"/>
      <c r="B573" s="242"/>
      <c r="C573" s="242"/>
      <c r="D573" s="242"/>
      <c r="E573" s="243"/>
      <c r="F573" s="242"/>
      <c r="G573" s="250"/>
      <c r="H573" s="389"/>
      <c r="I573" s="402"/>
      <c r="J573" s="402"/>
      <c r="K573" s="402"/>
      <c r="L573" s="402"/>
      <c r="M573" s="402"/>
      <c r="N573" s="402"/>
    </row>
    <row r="574">
      <c r="A574" s="340"/>
      <c r="B574" s="242"/>
      <c r="C574" s="242"/>
      <c r="D574" s="242"/>
      <c r="E574" s="243"/>
      <c r="F574" s="242"/>
      <c r="G574" s="250"/>
      <c r="H574" s="389"/>
      <c r="I574" s="402"/>
      <c r="J574" s="402"/>
      <c r="K574" s="402"/>
      <c r="L574" s="402"/>
      <c r="M574" s="402"/>
      <c r="N574" s="402"/>
    </row>
    <row r="575">
      <c r="A575" s="340"/>
      <c r="B575" s="242"/>
      <c r="C575" s="242"/>
      <c r="D575" s="242"/>
      <c r="E575" s="243"/>
      <c r="F575" s="242"/>
      <c r="G575" s="250"/>
      <c r="H575" s="389"/>
      <c r="I575" s="402"/>
      <c r="J575" s="402"/>
      <c r="K575" s="402"/>
      <c r="L575" s="402"/>
      <c r="M575" s="402"/>
      <c r="N575" s="402"/>
    </row>
    <row r="576">
      <c r="A576" s="340"/>
      <c r="B576" s="242"/>
      <c r="C576" s="242"/>
      <c r="D576" s="242"/>
      <c r="E576" s="243"/>
      <c r="F576" s="242"/>
      <c r="G576" s="250"/>
      <c r="H576" s="389"/>
      <c r="I576" s="402"/>
      <c r="J576" s="402"/>
      <c r="K576" s="402"/>
      <c r="L576" s="402"/>
      <c r="M576" s="402"/>
      <c r="N576" s="402"/>
    </row>
    <row r="577">
      <c r="A577" s="340"/>
      <c r="B577" s="242"/>
      <c r="C577" s="242"/>
      <c r="D577" s="242"/>
      <c r="E577" s="243"/>
      <c r="F577" s="242"/>
      <c r="G577" s="250"/>
      <c r="H577" s="389"/>
      <c r="I577" s="402"/>
      <c r="J577" s="402"/>
      <c r="K577" s="402"/>
      <c r="L577" s="402"/>
      <c r="M577" s="402"/>
      <c r="N577" s="402"/>
    </row>
    <row r="578">
      <c r="A578" s="340"/>
      <c r="B578" s="242"/>
      <c r="C578" s="242"/>
      <c r="D578" s="242"/>
      <c r="E578" s="243"/>
      <c r="F578" s="242"/>
      <c r="G578" s="250"/>
      <c r="H578" s="389"/>
      <c r="I578" s="402"/>
      <c r="J578" s="402"/>
      <c r="K578" s="402"/>
      <c r="L578" s="402"/>
      <c r="M578" s="402"/>
      <c r="N578" s="402"/>
    </row>
    <row r="579">
      <c r="A579" s="340"/>
      <c r="B579" s="242"/>
      <c r="C579" s="242"/>
      <c r="D579" s="242"/>
      <c r="E579" s="243"/>
      <c r="F579" s="242"/>
      <c r="G579" s="250"/>
      <c r="H579" s="389"/>
      <c r="I579" s="402"/>
      <c r="J579" s="402"/>
      <c r="K579" s="402"/>
      <c r="L579" s="402"/>
      <c r="M579" s="402"/>
      <c r="N579" s="402"/>
    </row>
    <row r="580">
      <c r="A580" s="340"/>
      <c r="B580" s="242"/>
      <c r="C580" s="242"/>
      <c r="D580" s="242"/>
      <c r="E580" s="243"/>
      <c r="F580" s="242"/>
      <c r="G580" s="250"/>
      <c r="H580" s="389"/>
      <c r="I580" s="402"/>
      <c r="J580" s="402"/>
      <c r="K580" s="402"/>
      <c r="L580" s="402"/>
      <c r="M580" s="402"/>
      <c r="N580" s="402"/>
    </row>
    <row r="581">
      <c r="A581" s="340"/>
      <c r="B581" s="242"/>
      <c r="C581" s="242"/>
      <c r="D581" s="242"/>
      <c r="E581" s="243"/>
      <c r="F581" s="242"/>
      <c r="G581" s="250"/>
      <c r="H581" s="389"/>
      <c r="I581" s="402"/>
      <c r="J581" s="402"/>
      <c r="K581" s="402"/>
      <c r="L581" s="402"/>
      <c r="M581" s="402"/>
      <c r="N581" s="402"/>
    </row>
    <row r="582">
      <c r="A582" s="340"/>
      <c r="B582" s="242"/>
      <c r="C582" s="242"/>
      <c r="D582" s="242"/>
      <c r="E582" s="243"/>
      <c r="F582" s="242"/>
      <c r="G582" s="250"/>
      <c r="H582" s="389"/>
      <c r="I582" s="402"/>
      <c r="J582" s="402"/>
      <c r="K582" s="402"/>
      <c r="L582" s="402"/>
      <c r="M582" s="402"/>
      <c r="N582" s="402"/>
    </row>
    <row r="583">
      <c r="A583" s="340"/>
      <c r="B583" s="242"/>
      <c r="C583" s="242"/>
      <c r="D583" s="242"/>
      <c r="E583" s="243"/>
      <c r="F583" s="242"/>
      <c r="G583" s="250"/>
      <c r="H583" s="389"/>
      <c r="I583" s="402"/>
      <c r="J583" s="402"/>
      <c r="K583" s="402"/>
      <c r="L583" s="402"/>
      <c r="M583" s="402"/>
      <c r="N583" s="402"/>
    </row>
    <row r="584">
      <c r="A584" s="340"/>
      <c r="B584" s="242"/>
      <c r="C584" s="242"/>
      <c r="D584" s="242"/>
      <c r="E584" s="243"/>
      <c r="F584" s="242"/>
      <c r="G584" s="250"/>
      <c r="H584" s="389"/>
      <c r="I584" s="402"/>
      <c r="J584" s="402"/>
      <c r="K584" s="402"/>
      <c r="L584" s="402"/>
      <c r="M584" s="402"/>
      <c r="N584" s="402"/>
    </row>
    <row r="585">
      <c r="A585" s="340"/>
      <c r="B585" s="242"/>
      <c r="C585" s="242"/>
      <c r="D585" s="242"/>
      <c r="E585" s="243"/>
      <c r="F585" s="242"/>
      <c r="G585" s="250"/>
      <c r="H585" s="389"/>
      <c r="I585" s="402"/>
      <c r="J585" s="402"/>
      <c r="K585" s="402"/>
      <c r="L585" s="402"/>
      <c r="M585" s="402"/>
      <c r="N585" s="402"/>
    </row>
    <row r="586">
      <c r="A586" s="340"/>
      <c r="B586" s="242"/>
      <c r="C586" s="242"/>
      <c r="D586" s="242"/>
      <c r="E586" s="243"/>
      <c r="F586" s="242"/>
      <c r="G586" s="250"/>
      <c r="H586" s="389"/>
      <c r="I586" s="402"/>
      <c r="J586" s="402"/>
      <c r="K586" s="402"/>
      <c r="L586" s="402"/>
      <c r="M586" s="402"/>
      <c r="N586" s="402"/>
    </row>
    <row r="587">
      <c r="A587" s="340"/>
      <c r="B587" s="242"/>
      <c r="C587" s="242"/>
      <c r="D587" s="242"/>
      <c r="E587" s="243"/>
      <c r="F587" s="242"/>
      <c r="G587" s="250"/>
      <c r="H587" s="389"/>
      <c r="I587" s="402"/>
      <c r="J587" s="402"/>
      <c r="K587" s="402"/>
      <c r="L587" s="402"/>
      <c r="M587" s="402"/>
      <c r="N587" s="402"/>
    </row>
    <row r="588">
      <c r="A588" s="340"/>
      <c r="B588" s="242"/>
      <c r="C588" s="242"/>
      <c r="D588" s="242"/>
      <c r="E588" s="243"/>
      <c r="F588" s="242"/>
      <c r="G588" s="250"/>
      <c r="H588" s="389"/>
      <c r="I588" s="402"/>
      <c r="J588" s="402"/>
      <c r="K588" s="402"/>
      <c r="L588" s="402"/>
      <c r="M588" s="402"/>
      <c r="N588" s="402"/>
    </row>
    <row r="589">
      <c r="A589" s="340"/>
      <c r="B589" s="242"/>
      <c r="C589" s="242"/>
      <c r="D589" s="242"/>
      <c r="E589" s="243"/>
      <c r="F589" s="242"/>
      <c r="G589" s="250"/>
      <c r="H589" s="389"/>
      <c r="I589" s="402"/>
      <c r="J589" s="402"/>
      <c r="K589" s="402"/>
      <c r="L589" s="402"/>
      <c r="M589" s="402"/>
      <c r="N589" s="402"/>
    </row>
    <row r="590">
      <c r="A590" s="340"/>
      <c r="B590" s="242"/>
      <c r="C590" s="242"/>
      <c r="D590" s="242"/>
      <c r="E590" s="243"/>
      <c r="F590" s="242"/>
      <c r="G590" s="250"/>
      <c r="H590" s="389"/>
      <c r="I590" s="402"/>
      <c r="J590" s="402"/>
      <c r="K590" s="402"/>
      <c r="L590" s="402"/>
      <c r="M590" s="402"/>
      <c r="N590" s="402"/>
    </row>
    <row r="591">
      <c r="A591" s="340"/>
      <c r="B591" s="242"/>
      <c r="C591" s="242"/>
      <c r="D591" s="242"/>
      <c r="E591" s="243"/>
      <c r="F591" s="242"/>
      <c r="G591" s="250"/>
      <c r="H591" s="389"/>
      <c r="I591" s="402"/>
      <c r="J591" s="402"/>
      <c r="K591" s="402"/>
      <c r="L591" s="402"/>
      <c r="M591" s="402"/>
      <c r="N591" s="402"/>
    </row>
    <row r="592">
      <c r="A592" s="340"/>
      <c r="B592" s="242"/>
      <c r="C592" s="242"/>
      <c r="D592" s="242"/>
      <c r="E592" s="243"/>
      <c r="F592" s="242"/>
      <c r="G592" s="250"/>
      <c r="H592" s="389"/>
      <c r="I592" s="402"/>
      <c r="J592" s="402"/>
      <c r="K592" s="402"/>
      <c r="L592" s="402"/>
      <c r="M592" s="402"/>
      <c r="N592" s="402"/>
    </row>
    <row r="593">
      <c r="A593" s="340"/>
      <c r="B593" s="242"/>
      <c r="C593" s="242"/>
      <c r="D593" s="242"/>
      <c r="E593" s="243"/>
      <c r="F593" s="242"/>
      <c r="G593" s="250"/>
      <c r="H593" s="389"/>
      <c r="I593" s="402"/>
      <c r="J593" s="402"/>
      <c r="K593" s="402"/>
      <c r="L593" s="402"/>
      <c r="M593" s="402"/>
      <c r="N593" s="402"/>
    </row>
    <row r="594">
      <c r="A594" s="340"/>
      <c r="B594" s="242"/>
      <c r="C594" s="242"/>
      <c r="D594" s="242"/>
      <c r="E594" s="243"/>
      <c r="F594" s="242"/>
      <c r="G594" s="250"/>
      <c r="H594" s="389"/>
      <c r="I594" s="402"/>
      <c r="J594" s="402"/>
      <c r="K594" s="402"/>
      <c r="L594" s="402"/>
      <c r="M594" s="402"/>
      <c r="N594" s="402"/>
    </row>
    <row r="595">
      <c r="A595" s="340"/>
      <c r="B595" s="242"/>
      <c r="C595" s="242"/>
      <c r="D595" s="242"/>
      <c r="E595" s="243"/>
      <c r="F595" s="242"/>
      <c r="G595" s="250"/>
      <c r="H595" s="389"/>
      <c r="I595" s="402"/>
      <c r="J595" s="402"/>
      <c r="K595" s="402"/>
      <c r="L595" s="402"/>
      <c r="M595" s="402"/>
      <c r="N595" s="402"/>
    </row>
    <row r="596">
      <c r="A596" s="340"/>
      <c r="B596" s="242"/>
      <c r="C596" s="242"/>
      <c r="D596" s="242"/>
      <c r="E596" s="243"/>
      <c r="F596" s="242"/>
      <c r="G596" s="250"/>
      <c r="H596" s="389"/>
      <c r="I596" s="402"/>
      <c r="J596" s="402"/>
      <c r="K596" s="402"/>
      <c r="L596" s="402"/>
      <c r="M596" s="402"/>
      <c r="N596" s="402"/>
    </row>
    <row r="597">
      <c r="A597" s="340"/>
      <c r="B597" s="242"/>
      <c r="C597" s="242"/>
      <c r="D597" s="242"/>
      <c r="E597" s="243"/>
      <c r="F597" s="242"/>
      <c r="G597" s="250"/>
      <c r="H597" s="389"/>
      <c r="I597" s="402"/>
      <c r="J597" s="402"/>
      <c r="K597" s="402"/>
      <c r="L597" s="402"/>
      <c r="M597" s="402"/>
      <c r="N597" s="402"/>
    </row>
    <row r="598">
      <c r="A598" s="340"/>
      <c r="B598" s="242"/>
      <c r="C598" s="242"/>
      <c r="D598" s="242"/>
      <c r="E598" s="243"/>
      <c r="F598" s="242"/>
      <c r="G598" s="250"/>
      <c r="H598" s="389"/>
      <c r="I598" s="402"/>
      <c r="J598" s="402"/>
      <c r="K598" s="402"/>
      <c r="L598" s="402"/>
      <c r="M598" s="402"/>
      <c r="N598" s="402"/>
    </row>
    <row r="599">
      <c r="A599" s="340"/>
      <c r="B599" s="242"/>
      <c r="C599" s="242"/>
      <c r="D599" s="242"/>
      <c r="E599" s="243"/>
      <c r="F599" s="242"/>
      <c r="G599" s="250"/>
      <c r="H599" s="389"/>
      <c r="I599" s="402"/>
      <c r="J599" s="402"/>
      <c r="K599" s="402"/>
      <c r="L599" s="402"/>
      <c r="M599" s="402"/>
      <c r="N599" s="402"/>
    </row>
    <row r="600">
      <c r="A600" s="340"/>
      <c r="B600" s="242"/>
      <c r="C600" s="242"/>
      <c r="D600" s="242"/>
      <c r="E600" s="243"/>
      <c r="F600" s="242"/>
      <c r="G600" s="250"/>
      <c r="H600" s="389"/>
      <c r="I600" s="402"/>
      <c r="J600" s="402"/>
      <c r="K600" s="402"/>
      <c r="L600" s="402"/>
      <c r="M600" s="402"/>
      <c r="N600" s="402"/>
    </row>
    <row r="601">
      <c r="A601" s="340"/>
      <c r="B601" s="242"/>
      <c r="C601" s="242"/>
      <c r="D601" s="242"/>
      <c r="E601" s="243"/>
      <c r="F601" s="242"/>
      <c r="G601" s="250"/>
      <c r="H601" s="389"/>
      <c r="I601" s="402"/>
      <c r="J601" s="402"/>
      <c r="K601" s="402"/>
      <c r="L601" s="402"/>
      <c r="M601" s="402"/>
      <c r="N601" s="402"/>
    </row>
    <row r="602">
      <c r="A602" s="340"/>
      <c r="B602" s="242"/>
      <c r="C602" s="242"/>
      <c r="D602" s="242"/>
      <c r="E602" s="243"/>
      <c r="F602" s="242"/>
      <c r="G602" s="250"/>
      <c r="H602" s="389"/>
      <c r="I602" s="402"/>
      <c r="J602" s="402"/>
      <c r="K602" s="402"/>
      <c r="L602" s="402"/>
      <c r="M602" s="402"/>
      <c r="N602" s="402"/>
    </row>
    <row r="603">
      <c r="A603" s="340"/>
      <c r="B603" s="242"/>
      <c r="C603" s="242"/>
      <c r="D603" s="242"/>
      <c r="E603" s="243"/>
      <c r="F603" s="242"/>
      <c r="G603" s="250"/>
      <c r="H603" s="389"/>
      <c r="I603" s="402"/>
      <c r="J603" s="402"/>
      <c r="K603" s="402"/>
      <c r="L603" s="402"/>
      <c r="M603" s="402"/>
      <c r="N603" s="402"/>
    </row>
    <row r="604">
      <c r="A604" s="340"/>
      <c r="B604" s="242"/>
      <c r="C604" s="242"/>
      <c r="D604" s="242"/>
      <c r="E604" s="243"/>
      <c r="F604" s="242"/>
      <c r="G604" s="250"/>
      <c r="H604" s="389"/>
      <c r="I604" s="402"/>
      <c r="J604" s="402"/>
      <c r="K604" s="402"/>
      <c r="L604" s="402"/>
      <c r="M604" s="402"/>
      <c r="N604" s="402"/>
    </row>
    <row r="605">
      <c r="A605" s="340"/>
      <c r="B605" s="242"/>
      <c r="C605" s="242"/>
      <c r="D605" s="242"/>
      <c r="E605" s="243"/>
      <c r="F605" s="242"/>
      <c r="G605" s="250"/>
      <c r="H605" s="389"/>
      <c r="I605" s="402"/>
      <c r="J605" s="402"/>
      <c r="K605" s="402"/>
      <c r="L605" s="402"/>
      <c r="M605" s="402"/>
      <c r="N605" s="402"/>
    </row>
    <row r="606">
      <c r="A606" s="340"/>
      <c r="B606" s="242"/>
      <c r="C606" s="242"/>
      <c r="D606" s="242"/>
      <c r="E606" s="243"/>
      <c r="F606" s="242"/>
      <c r="G606" s="250"/>
      <c r="H606" s="389"/>
      <c r="I606" s="402"/>
      <c r="J606" s="402"/>
      <c r="K606" s="402"/>
      <c r="L606" s="402"/>
      <c r="M606" s="402"/>
      <c r="N606" s="402"/>
    </row>
    <row r="607">
      <c r="A607" s="340"/>
      <c r="B607" s="242"/>
      <c r="C607" s="242"/>
      <c r="D607" s="242"/>
      <c r="E607" s="243"/>
      <c r="F607" s="242"/>
      <c r="G607" s="250"/>
      <c r="H607" s="389"/>
      <c r="I607" s="402"/>
      <c r="J607" s="402"/>
      <c r="K607" s="402"/>
      <c r="L607" s="402"/>
      <c r="M607" s="402"/>
      <c r="N607" s="402"/>
    </row>
    <row r="608">
      <c r="A608" s="340"/>
      <c r="B608" s="242"/>
      <c r="C608" s="242"/>
      <c r="D608" s="242"/>
      <c r="E608" s="243"/>
      <c r="F608" s="242"/>
      <c r="G608" s="250"/>
      <c r="H608" s="389"/>
      <c r="I608" s="402"/>
      <c r="J608" s="402"/>
      <c r="K608" s="402"/>
      <c r="L608" s="402"/>
      <c r="M608" s="402"/>
      <c r="N608" s="402"/>
    </row>
    <row r="609">
      <c r="A609" s="340"/>
      <c r="B609" s="242"/>
      <c r="C609" s="242"/>
      <c r="D609" s="242"/>
      <c r="E609" s="243"/>
      <c r="F609" s="242"/>
      <c r="G609" s="250"/>
      <c r="H609" s="389"/>
      <c r="I609" s="402"/>
      <c r="J609" s="402"/>
      <c r="K609" s="402"/>
      <c r="L609" s="402"/>
      <c r="M609" s="402"/>
      <c r="N609" s="402"/>
    </row>
    <row r="610">
      <c r="A610" s="340"/>
      <c r="B610" s="242"/>
      <c r="C610" s="242"/>
      <c r="D610" s="242"/>
      <c r="E610" s="243"/>
      <c r="F610" s="242"/>
      <c r="G610" s="250"/>
      <c r="H610" s="389"/>
      <c r="I610" s="402"/>
      <c r="J610" s="402"/>
      <c r="K610" s="402"/>
      <c r="L610" s="402"/>
      <c r="M610" s="402"/>
      <c r="N610" s="402"/>
    </row>
    <row r="611">
      <c r="A611" s="340"/>
      <c r="B611" s="242"/>
      <c r="C611" s="242"/>
      <c r="D611" s="242"/>
      <c r="E611" s="243"/>
      <c r="F611" s="242"/>
      <c r="G611" s="250"/>
      <c r="H611" s="389"/>
      <c r="I611" s="402"/>
      <c r="J611" s="402"/>
      <c r="K611" s="402"/>
      <c r="L611" s="402"/>
      <c r="M611" s="402"/>
      <c r="N611" s="402"/>
    </row>
    <row r="612">
      <c r="A612" s="340"/>
      <c r="B612" s="242"/>
      <c r="C612" s="242"/>
      <c r="D612" s="242"/>
      <c r="E612" s="243"/>
      <c r="F612" s="242"/>
      <c r="G612" s="250"/>
      <c r="H612" s="389"/>
      <c r="I612" s="402"/>
      <c r="J612" s="402"/>
      <c r="K612" s="402"/>
      <c r="L612" s="402"/>
      <c r="M612" s="402"/>
      <c r="N612" s="402"/>
    </row>
    <row r="613">
      <c r="A613" s="340"/>
      <c r="B613" s="242"/>
      <c r="C613" s="242"/>
      <c r="D613" s="242"/>
      <c r="E613" s="243"/>
      <c r="F613" s="242"/>
      <c r="G613" s="250"/>
      <c r="H613" s="389"/>
      <c r="I613" s="402"/>
      <c r="J613" s="402"/>
      <c r="K613" s="402"/>
      <c r="L613" s="402"/>
      <c r="M613" s="402"/>
      <c r="N613" s="402"/>
    </row>
    <row r="614">
      <c r="A614" s="340"/>
      <c r="B614" s="242"/>
      <c r="C614" s="242"/>
      <c r="D614" s="242"/>
      <c r="E614" s="243"/>
      <c r="F614" s="242"/>
      <c r="G614" s="250"/>
      <c r="H614" s="389"/>
      <c r="I614" s="402"/>
      <c r="J614" s="402"/>
      <c r="K614" s="402"/>
      <c r="L614" s="402"/>
      <c r="M614" s="402"/>
      <c r="N614" s="402"/>
    </row>
    <row r="615">
      <c r="A615" s="340"/>
      <c r="B615" s="242"/>
      <c r="C615" s="242"/>
      <c r="D615" s="242"/>
      <c r="E615" s="243"/>
      <c r="F615" s="242"/>
      <c r="G615" s="250"/>
      <c r="H615" s="389"/>
      <c r="I615" s="402"/>
      <c r="J615" s="402"/>
      <c r="K615" s="402"/>
      <c r="L615" s="402"/>
      <c r="M615" s="402"/>
      <c r="N615" s="402"/>
    </row>
    <row r="616">
      <c r="A616" s="340"/>
      <c r="B616" s="242"/>
      <c r="C616" s="242"/>
      <c r="D616" s="242"/>
      <c r="E616" s="243"/>
      <c r="F616" s="242"/>
      <c r="G616" s="250"/>
      <c r="H616" s="389"/>
      <c r="I616" s="402"/>
      <c r="J616" s="402"/>
      <c r="K616" s="402"/>
      <c r="L616" s="402"/>
      <c r="M616" s="402"/>
      <c r="N616" s="402"/>
    </row>
    <row r="617">
      <c r="A617" s="340"/>
      <c r="B617" s="242"/>
      <c r="C617" s="242"/>
      <c r="D617" s="242"/>
      <c r="E617" s="243"/>
      <c r="F617" s="242"/>
      <c r="G617" s="250"/>
      <c r="H617" s="389"/>
      <c r="I617" s="402"/>
      <c r="J617" s="402"/>
      <c r="K617" s="402"/>
      <c r="L617" s="402"/>
      <c r="M617" s="402"/>
      <c r="N617" s="402"/>
    </row>
    <row r="618">
      <c r="A618" s="340"/>
      <c r="B618" s="242"/>
      <c r="C618" s="242"/>
      <c r="D618" s="242"/>
      <c r="E618" s="243"/>
      <c r="F618" s="242"/>
      <c r="G618" s="250"/>
      <c r="H618" s="389"/>
      <c r="I618" s="402"/>
      <c r="J618" s="402"/>
      <c r="K618" s="402"/>
      <c r="L618" s="402"/>
      <c r="M618" s="402"/>
      <c r="N618" s="402"/>
    </row>
    <row r="619">
      <c r="A619" s="340"/>
      <c r="B619" s="242"/>
      <c r="C619" s="242"/>
      <c r="D619" s="242"/>
      <c r="E619" s="243"/>
      <c r="F619" s="242"/>
      <c r="G619" s="250"/>
      <c r="H619" s="389"/>
      <c r="I619" s="402"/>
      <c r="J619" s="402"/>
      <c r="K619" s="402"/>
      <c r="L619" s="402"/>
      <c r="M619" s="402"/>
      <c r="N619" s="402"/>
    </row>
    <row r="620">
      <c r="A620" s="340"/>
      <c r="B620" s="242"/>
      <c r="C620" s="242"/>
      <c r="D620" s="242"/>
      <c r="E620" s="243"/>
      <c r="F620" s="242"/>
      <c r="G620" s="250"/>
      <c r="H620" s="389"/>
      <c r="I620" s="402"/>
      <c r="J620" s="402"/>
      <c r="K620" s="402"/>
      <c r="L620" s="402"/>
      <c r="M620" s="402"/>
      <c r="N620" s="402"/>
    </row>
    <row r="621">
      <c r="A621" s="340"/>
      <c r="B621" s="242"/>
      <c r="C621" s="242"/>
      <c r="D621" s="242"/>
      <c r="E621" s="243"/>
      <c r="F621" s="242"/>
      <c r="G621" s="250"/>
      <c r="H621" s="389"/>
      <c r="I621" s="402"/>
      <c r="J621" s="402"/>
      <c r="K621" s="402"/>
      <c r="L621" s="402"/>
      <c r="M621" s="402"/>
      <c r="N621" s="402"/>
    </row>
    <row r="622">
      <c r="A622" s="340"/>
      <c r="B622" s="242"/>
      <c r="C622" s="242"/>
      <c r="D622" s="242"/>
      <c r="E622" s="243"/>
      <c r="F622" s="242"/>
      <c r="G622" s="250"/>
      <c r="H622" s="389"/>
      <c r="I622" s="402"/>
      <c r="J622" s="402"/>
      <c r="K622" s="402"/>
      <c r="L622" s="402"/>
      <c r="M622" s="402"/>
      <c r="N622" s="402"/>
    </row>
    <row r="623">
      <c r="A623" s="340"/>
      <c r="B623" s="242"/>
      <c r="C623" s="242"/>
      <c r="D623" s="242"/>
      <c r="E623" s="243"/>
      <c r="F623" s="242"/>
      <c r="G623" s="250"/>
      <c r="H623" s="389"/>
      <c r="I623" s="402"/>
      <c r="J623" s="402"/>
      <c r="K623" s="402"/>
      <c r="L623" s="402"/>
      <c r="M623" s="402"/>
      <c r="N623" s="402"/>
    </row>
    <row r="624">
      <c r="A624" s="340"/>
      <c r="B624" s="242"/>
      <c r="C624" s="242"/>
      <c r="D624" s="242"/>
      <c r="E624" s="243"/>
      <c r="F624" s="242"/>
      <c r="G624" s="250"/>
      <c r="H624" s="389"/>
      <c r="I624" s="402"/>
      <c r="J624" s="402"/>
      <c r="K624" s="402"/>
      <c r="L624" s="402"/>
      <c r="M624" s="402"/>
      <c r="N624" s="402"/>
    </row>
    <row r="625">
      <c r="A625" s="340"/>
      <c r="B625" s="242"/>
      <c r="C625" s="242"/>
      <c r="D625" s="242"/>
      <c r="E625" s="243"/>
      <c r="F625" s="242"/>
      <c r="G625" s="250"/>
      <c r="H625" s="389"/>
      <c r="I625" s="402"/>
      <c r="J625" s="402"/>
      <c r="K625" s="402"/>
      <c r="L625" s="402"/>
      <c r="M625" s="402"/>
      <c r="N625" s="402"/>
    </row>
    <row r="626">
      <c r="A626" s="340"/>
      <c r="B626" s="242"/>
      <c r="C626" s="242"/>
      <c r="D626" s="242"/>
      <c r="E626" s="243"/>
      <c r="F626" s="242"/>
      <c r="G626" s="250"/>
      <c r="H626" s="389"/>
      <c r="I626" s="402"/>
      <c r="J626" s="402"/>
      <c r="K626" s="402"/>
      <c r="L626" s="402"/>
      <c r="M626" s="402"/>
      <c r="N626" s="402"/>
    </row>
    <row r="627">
      <c r="A627" s="340"/>
      <c r="B627" s="242"/>
      <c r="C627" s="242"/>
      <c r="D627" s="242"/>
      <c r="E627" s="243"/>
      <c r="F627" s="242"/>
      <c r="G627" s="250"/>
      <c r="H627" s="389"/>
      <c r="I627" s="402"/>
      <c r="J627" s="402"/>
      <c r="K627" s="402"/>
      <c r="L627" s="402"/>
      <c r="M627" s="402"/>
      <c r="N627" s="402"/>
    </row>
    <row r="628">
      <c r="A628" s="340"/>
      <c r="B628" s="242"/>
      <c r="C628" s="242"/>
      <c r="D628" s="242"/>
      <c r="E628" s="243"/>
      <c r="F628" s="242"/>
      <c r="G628" s="250"/>
      <c r="H628" s="389"/>
      <c r="I628" s="402"/>
      <c r="J628" s="402"/>
      <c r="K628" s="402"/>
      <c r="L628" s="402"/>
      <c r="M628" s="402"/>
      <c r="N628" s="402"/>
    </row>
    <row r="629">
      <c r="A629" s="340"/>
      <c r="B629" s="242"/>
      <c r="C629" s="242"/>
      <c r="D629" s="242"/>
      <c r="E629" s="243"/>
      <c r="F629" s="242"/>
      <c r="G629" s="250"/>
      <c r="H629" s="389"/>
      <c r="I629" s="402"/>
      <c r="J629" s="402"/>
      <c r="K629" s="402"/>
      <c r="L629" s="402"/>
      <c r="M629" s="402"/>
      <c r="N629" s="402"/>
    </row>
    <row r="630">
      <c r="A630" s="340"/>
      <c r="B630" s="242"/>
      <c r="C630" s="242"/>
      <c r="D630" s="242"/>
      <c r="E630" s="243"/>
      <c r="F630" s="242"/>
      <c r="G630" s="250"/>
      <c r="H630" s="389"/>
      <c r="I630" s="402"/>
      <c r="J630" s="402"/>
      <c r="K630" s="402"/>
      <c r="L630" s="402"/>
      <c r="M630" s="402"/>
      <c r="N630" s="402"/>
    </row>
    <row r="631">
      <c r="A631" s="340"/>
      <c r="B631" s="242"/>
      <c r="C631" s="242"/>
      <c r="D631" s="242"/>
      <c r="E631" s="243"/>
      <c r="F631" s="242"/>
      <c r="G631" s="250"/>
      <c r="H631" s="389"/>
      <c r="I631" s="402"/>
      <c r="J631" s="402"/>
      <c r="K631" s="402"/>
      <c r="L631" s="402"/>
      <c r="M631" s="402"/>
      <c r="N631" s="402"/>
    </row>
    <row r="632">
      <c r="A632" s="340"/>
      <c r="B632" s="242"/>
      <c r="C632" s="242"/>
      <c r="D632" s="242"/>
      <c r="E632" s="243"/>
      <c r="F632" s="242"/>
      <c r="G632" s="250"/>
      <c r="H632" s="389"/>
      <c r="I632" s="402"/>
      <c r="J632" s="402"/>
      <c r="K632" s="402"/>
      <c r="L632" s="402"/>
      <c r="M632" s="402"/>
      <c r="N632" s="402"/>
    </row>
    <row r="633">
      <c r="A633" s="340"/>
      <c r="B633" s="242"/>
      <c r="C633" s="242"/>
      <c r="D633" s="242"/>
      <c r="E633" s="243"/>
      <c r="F633" s="242"/>
      <c r="G633" s="250"/>
      <c r="H633" s="389"/>
      <c r="I633" s="402"/>
      <c r="J633" s="402"/>
      <c r="K633" s="402"/>
      <c r="L633" s="402"/>
      <c r="M633" s="402"/>
      <c r="N633" s="402"/>
    </row>
    <row r="634">
      <c r="A634" s="340"/>
      <c r="B634" s="242"/>
      <c r="C634" s="242"/>
      <c r="D634" s="242"/>
      <c r="E634" s="243"/>
      <c r="F634" s="242"/>
      <c r="G634" s="250"/>
      <c r="H634" s="389"/>
      <c r="I634" s="402"/>
      <c r="J634" s="402"/>
      <c r="K634" s="402"/>
      <c r="L634" s="402"/>
      <c r="M634" s="402"/>
      <c r="N634" s="402"/>
    </row>
    <row r="635">
      <c r="A635" s="340"/>
      <c r="B635" s="242"/>
      <c r="C635" s="242"/>
      <c r="D635" s="242"/>
      <c r="E635" s="243"/>
      <c r="F635" s="242"/>
      <c r="G635" s="250"/>
      <c r="H635" s="389"/>
      <c r="I635" s="402"/>
      <c r="J635" s="402"/>
      <c r="K635" s="402"/>
      <c r="L635" s="402"/>
      <c r="M635" s="402"/>
      <c r="N635" s="402"/>
    </row>
    <row r="636">
      <c r="A636" s="340"/>
      <c r="B636" s="242"/>
      <c r="C636" s="242"/>
      <c r="D636" s="242"/>
      <c r="E636" s="243"/>
      <c r="F636" s="242"/>
      <c r="G636" s="250"/>
      <c r="H636" s="389"/>
      <c r="I636" s="402"/>
      <c r="J636" s="402"/>
      <c r="K636" s="402"/>
      <c r="L636" s="402"/>
      <c r="M636" s="402"/>
      <c r="N636" s="402"/>
    </row>
    <row r="637">
      <c r="A637" s="340"/>
      <c r="B637" s="242"/>
      <c r="C637" s="242"/>
      <c r="D637" s="242"/>
      <c r="E637" s="243"/>
      <c r="F637" s="242"/>
      <c r="G637" s="250"/>
      <c r="H637" s="389"/>
      <c r="I637" s="402"/>
      <c r="J637" s="402"/>
      <c r="K637" s="402"/>
      <c r="L637" s="402"/>
      <c r="M637" s="402"/>
      <c r="N637" s="402"/>
    </row>
    <row r="638">
      <c r="A638" s="340"/>
      <c r="B638" s="242"/>
      <c r="C638" s="242"/>
      <c r="D638" s="242"/>
      <c r="E638" s="243"/>
      <c r="F638" s="242"/>
      <c r="G638" s="250"/>
      <c r="H638" s="389"/>
      <c r="I638" s="402"/>
      <c r="J638" s="402"/>
      <c r="K638" s="402"/>
      <c r="L638" s="402"/>
      <c r="M638" s="402"/>
      <c r="N638" s="402"/>
    </row>
    <row r="639">
      <c r="A639" s="340"/>
      <c r="B639" s="242"/>
      <c r="C639" s="242"/>
      <c r="D639" s="242"/>
      <c r="E639" s="243"/>
      <c r="F639" s="242"/>
      <c r="G639" s="250"/>
      <c r="H639" s="389"/>
      <c r="I639" s="402"/>
      <c r="J639" s="402"/>
      <c r="K639" s="402"/>
      <c r="L639" s="402"/>
      <c r="M639" s="402"/>
      <c r="N639" s="402"/>
    </row>
    <row r="640">
      <c r="A640" s="340"/>
      <c r="B640" s="242"/>
      <c r="C640" s="242"/>
      <c r="D640" s="242"/>
      <c r="E640" s="243"/>
      <c r="F640" s="242"/>
      <c r="G640" s="250"/>
      <c r="H640" s="389"/>
      <c r="I640" s="402"/>
      <c r="J640" s="402"/>
      <c r="K640" s="402"/>
      <c r="L640" s="402"/>
      <c r="M640" s="402"/>
      <c r="N640" s="402"/>
    </row>
    <row r="641">
      <c r="A641" s="340"/>
      <c r="B641" s="242"/>
      <c r="C641" s="242"/>
      <c r="D641" s="242"/>
      <c r="E641" s="243"/>
      <c r="F641" s="242"/>
      <c r="G641" s="250"/>
      <c r="H641" s="389"/>
      <c r="I641" s="402"/>
      <c r="J641" s="402"/>
      <c r="K641" s="402"/>
      <c r="L641" s="402"/>
      <c r="M641" s="402"/>
      <c r="N641" s="402"/>
    </row>
    <row r="642">
      <c r="A642" s="340"/>
      <c r="B642" s="242"/>
      <c r="C642" s="242"/>
      <c r="D642" s="242"/>
      <c r="E642" s="243"/>
      <c r="F642" s="242"/>
      <c r="G642" s="250"/>
      <c r="H642" s="389"/>
      <c r="I642" s="402"/>
      <c r="J642" s="402"/>
      <c r="K642" s="402"/>
      <c r="L642" s="402"/>
      <c r="M642" s="402"/>
      <c r="N642" s="402"/>
    </row>
    <row r="643">
      <c r="A643" s="340"/>
      <c r="B643" s="242"/>
      <c r="C643" s="242"/>
      <c r="D643" s="242"/>
      <c r="E643" s="243"/>
      <c r="F643" s="242"/>
      <c r="G643" s="250"/>
      <c r="H643" s="389"/>
      <c r="I643" s="402"/>
      <c r="J643" s="402"/>
      <c r="K643" s="402"/>
      <c r="L643" s="402"/>
      <c r="M643" s="402"/>
      <c r="N643" s="402"/>
    </row>
    <row r="644">
      <c r="A644" s="340"/>
      <c r="B644" s="242"/>
      <c r="C644" s="242"/>
      <c r="D644" s="242"/>
      <c r="E644" s="243"/>
      <c r="F644" s="242"/>
      <c r="G644" s="250"/>
      <c r="H644" s="389"/>
      <c r="I644" s="402"/>
      <c r="J644" s="402"/>
      <c r="K644" s="402"/>
      <c r="L644" s="402"/>
      <c r="M644" s="402"/>
      <c r="N644" s="402"/>
    </row>
    <row r="645">
      <c r="A645" s="340"/>
      <c r="B645" s="242"/>
      <c r="C645" s="242"/>
      <c r="D645" s="242"/>
      <c r="E645" s="243"/>
      <c r="F645" s="242"/>
      <c r="G645" s="250"/>
      <c r="H645" s="389"/>
      <c r="I645" s="402"/>
      <c r="J645" s="402"/>
      <c r="K645" s="402"/>
      <c r="L645" s="402"/>
      <c r="M645" s="402"/>
      <c r="N645" s="402"/>
    </row>
    <row r="646">
      <c r="A646" s="340"/>
      <c r="B646" s="242"/>
      <c r="C646" s="242"/>
      <c r="D646" s="242"/>
      <c r="E646" s="243"/>
      <c r="F646" s="242"/>
      <c r="G646" s="250"/>
      <c r="H646" s="389"/>
      <c r="I646" s="402"/>
      <c r="J646" s="402"/>
      <c r="K646" s="402"/>
      <c r="L646" s="402"/>
      <c r="M646" s="402"/>
      <c r="N646" s="402"/>
    </row>
    <row r="647">
      <c r="A647" s="340"/>
      <c r="B647" s="242"/>
      <c r="C647" s="242"/>
      <c r="D647" s="242"/>
      <c r="E647" s="243"/>
      <c r="F647" s="242"/>
      <c r="G647" s="250"/>
      <c r="H647" s="389"/>
      <c r="I647" s="402"/>
      <c r="J647" s="402"/>
      <c r="K647" s="402"/>
      <c r="L647" s="402"/>
      <c r="M647" s="402"/>
      <c r="N647" s="402"/>
    </row>
    <row r="648">
      <c r="A648" s="340"/>
      <c r="B648" s="242"/>
      <c r="C648" s="242"/>
      <c r="D648" s="242"/>
      <c r="E648" s="243"/>
      <c r="F648" s="242"/>
      <c r="G648" s="250"/>
      <c r="H648" s="389"/>
      <c r="I648" s="402"/>
      <c r="J648" s="402"/>
      <c r="K648" s="402"/>
      <c r="L648" s="402"/>
      <c r="M648" s="402"/>
      <c r="N648" s="402"/>
    </row>
    <row r="649">
      <c r="A649" s="340"/>
      <c r="B649" s="242"/>
      <c r="C649" s="242"/>
      <c r="D649" s="242"/>
      <c r="E649" s="243"/>
      <c r="F649" s="242"/>
      <c r="G649" s="250"/>
      <c r="H649" s="389"/>
      <c r="I649" s="402"/>
      <c r="J649" s="402"/>
      <c r="K649" s="402"/>
      <c r="L649" s="402"/>
      <c r="M649" s="402"/>
      <c r="N649" s="402"/>
    </row>
    <row r="650">
      <c r="A650" s="340"/>
      <c r="B650" s="242"/>
      <c r="C650" s="242"/>
      <c r="D650" s="242"/>
      <c r="E650" s="243"/>
      <c r="F650" s="242"/>
      <c r="G650" s="250"/>
      <c r="H650" s="389"/>
      <c r="I650" s="402"/>
      <c r="J650" s="402"/>
      <c r="K650" s="402"/>
      <c r="L650" s="402"/>
      <c r="M650" s="402"/>
      <c r="N650" s="402"/>
    </row>
    <row r="651">
      <c r="A651" s="340"/>
      <c r="B651" s="242"/>
      <c r="C651" s="242"/>
      <c r="D651" s="242"/>
      <c r="E651" s="243"/>
      <c r="F651" s="242"/>
      <c r="G651" s="250"/>
      <c r="H651" s="389"/>
      <c r="I651" s="402"/>
      <c r="J651" s="402"/>
      <c r="K651" s="402"/>
      <c r="L651" s="402"/>
      <c r="M651" s="402"/>
      <c r="N651" s="402"/>
    </row>
    <row r="652">
      <c r="A652" s="340"/>
      <c r="B652" s="242"/>
      <c r="C652" s="242"/>
      <c r="D652" s="242"/>
      <c r="E652" s="243"/>
      <c r="F652" s="242"/>
      <c r="G652" s="250"/>
      <c r="H652" s="389"/>
      <c r="I652" s="402"/>
      <c r="J652" s="402"/>
      <c r="K652" s="402"/>
      <c r="L652" s="402"/>
      <c r="M652" s="402"/>
      <c r="N652" s="402"/>
    </row>
    <row r="653">
      <c r="A653" s="340"/>
      <c r="B653" s="242"/>
      <c r="C653" s="242"/>
      <c r="D653" s="242"/>
      <c r="E653" s="243"/>
      <c r="F653" s="242"/>
      <c r="G653" s="250"/>
      <c r="H653" s="389"/>
      <c r="I653" s="402"/>
      <c r="J653" s="402"/>
      <c r="K653" s="402"/>
      <c r="L653" s="402"/>
      <c r="M653" s="402"/>
      <c r="N653" s="402"/>
    </row>
    <row r="654">
      <c r="A654" s="340"/>
      <c r="B654" s="242"/>
      <c r="C654" s="242"/>
      <c r="D654" s="242"/>
      <c r="E654" s="243"/>
      <c r="F654" s="242"/>
      <c r="G654" s="250"/>
      <c r="H654" s="389"/>
      <c r="I654" s="402"/>
      <c r="J654" s="402"/>
      <c r="K654" s="402"/>
      <c r="L654" s="402"/>
      <c r="M654" s="402"/>
      <c r="N654" s="402"/>
    </row>
    <row r="655">
      <c r="A655" s="340"/>
      <c r="B655" s="242"/>
      <c r="C655" s="242"/>
      <c r="D655" s="242"/>
      <c r="E655" s="243"/>
      <c r="F655" s="242"/>
      <c r="G655" s="250"/>
      <c r="H655" s="389"/>
      <c r="I655" s="402"/>
      <c r="J655" s="402"/>
      <c r="K655" s="402"/>
      <c r="L655" s="402"/>
      <c r="M655" s="402"/>
      <c r="N655" s="402"/>
    </row>
    <row r="656">
      <c r="A656" s="340"/>
      <c r="B656" s="242"/>
      <c r="C656" s="242"/>
      <c r="D656" s="242"/>
      <c r="E656" s="243"/>
      <c r="F656" s="242"/>
      <c r="G656" s="250"/>
      <c r="H656" s="389"/>
      <c r="I656" s="402"/>
      <c r="J656" s="402"/>
      <c r="K656" s="402"/>
      <c r="L656" s="402"/>
      <c r="M656" s="402"/>
      <c r="N656" s="402"/>
    </row>
    <row r="657">
      <c r="A657" s="340"/>
      <c r="B657" s="242"/>
      <c r="C657" s="242"/>
      <c r="D657" s="242"/>
      <c r="E657" s="243"/>
      <c r="F657" s="242"/>
      <c r="G657" s="250"/>
      <c r="H657" s="389"/>
      <c r="I657" s="402"/>
      <c r="J657" s="402"/>
      <c r="K657" s="402"/>
      <c r="L657" s="402"/>
      <c r="M657" s="402"/>
      <c r="N657" s="402"/>
    </row>
    <row r="658">
      <c r="A658" s="340"/>
      <c r="B658" s="242"/>
      <c r="C658" s="242"/>
      <c r="D658" s="242"/>
      <c r="E658" s="243"/>
      <c r="F658" s="242"/>
      <c r="G658" s="250"/>
      <c r="H658" s="389"/>
      <c r="I658" s="402"/>
      <c r="J658" s="402"/>
      <c r="K658" s="402"/>
      <c r="L658" s="402"/>
      <c r="M658" s="402"/>
      <c r="N658" s="402"/>
    </row>
    <row r="659">
      <c r="A659" s="340"/>
      <c r="B659" s="242"/>
      <c r="C659" s="242"/>
      <c r="D659" s="242"/>
      <c r="E659" s="243"/>
      <c r="F659" s="242"/>
      <c r="G659" s="250"/>
      <c r="H659" s="389"/>
      <c r="I659" s="402"/>
      <c r="J659" s="402"/>
      <c r="K659" s="402"/>
      <c r="L659" s="402"/>
      <c r="M659" s="402"/>
      <c r="N659" s="402"/>
    </row>
    <row r="660">
      <c r="A660" s="340"/>
      <c r="B660" s="242"/>
      <c r="C660" s="242"/>
      <c r="D660" s="242"/>
      <c r="E660" s="243"/>
      <c r="F660" s="242"/>
      <c r="G660" s="250"/>
      <c r="H660" s="389"/>
      <c r="I660" s="402"/>
      <c r="J660" s="402"/>
      <c r="K660" s="402"/>
      <c r="L660" s="402"/>
      <c r="M660" s="402"/>
      <c r="N660" s="402"/>
    </row>
    <row r="661">
      <c r="A661" s="340"/>
      <c r="B661" s="242"/>
      <c r="C661" s="242"/>
      <c r="D661" s="242"/>
      <c r="E661" s="243"/>
      <c r="F661" s="242"/>
      <c r="G661" s="250"/>
      <c r="H661" s="389"/>
      <c r="I661" s="402"/>
      <c r="J661" s="402"/>
      <c r="K661" s="402"/>
      <c r="L661" s="402"/>
      <c r="M661" s="402"/>
      <c r="N661" s="402"/>
    </row>
    <row r="662">
      <c r="A662" s="340"/>
      <c r="B662" s="242"/>
      <c r="C662" s="242"/>
      <c r="D662" s="242"/>
      <c r="E662" s="243"/>
      <c r="F662" s="242"/>
      <c r="G662" s="250"/>
      <c r="H662" s="389"/>
      <c r="I662" s="402"/>
      <c r="J662" s="402"/>
      <c r="K662" s="402"/>
      <c r="L662" s="402"/>
      <c r="M662" s="402"/>
      <c r="N662" s="402"/>
    </row>
    <row r="663">
      <c r="A663" s="340"/>
      <c r="B663" s="242"/>
      <c r="C663" s="242"/>
      <c r="D663" s="242"/>
      <c r="E663" s="243"/>
      <c r="F663" s="242"/>
      <c r="G663" s="250"/>
      <c r="H663" s="389"/>
      <c r="I663" s="402"/>
      <c r="J663" s="402"/>
      <c r="K663" s="402"/>
      <c r="L663" s="402"/>
      <c r="M663" s="402"/>
      <c r="N663" s="402"/>
    </row>
    <row r="664">
      <c r="A664" s="340"/>
      <c r="B664" s="242"/>
      <c r="C664" s="242"/>
      <c r="D664" s="242"/>
      <c r="E664" s="243"/>
      <c r="F664" s="242"/>
      <c r="G664" s="250"/>
      <c r="H664" s="389"/>
      <c r="I664" s="402"/>
      <c r="J664" s="402"/>
      <c r="K664" s="402"/>
      <c r="L664" s="402"/>
      <c r="M664" s="402"/>
      <c r="N664" s="402"/>
    </row>
    <row r="665">
      <c r="A665" s="340"/>
      <c r="B665" s="242"/>
      <c r="C665" s="242"/>
      <c r="D665" s="242"/>
      <c r="E665" s="243"/>
      <c r="F665" s="242"/>
      <c r="G665" s="250"/>
      <c r="H665" s="389"/>
      <c r="I665" s="402"/>
      <c r="J665" s="402"/>
      <c r="K665" s="402"/>
      <c r="L665" s="402"/>
      <c r="M665" s="402"/>
      <c r="N665" s="402"/>
    </row>
    <row r="666">
      <c r="A666" s="340"/>
      <c r="B666" s="242"/>
      <c r="C666" s="242"/>
      <c r="D666" s="242"/>
      <c r="E666" s="243"/>
      <c r="F666" s="242"/>
      <c r="G666" s="250"/>
      <c r="H666" s="389"/>
      <c r="I666" s="402"/>
      <c r="J666" s="402"/>
      <c r="K666" s="402"/>
      <c r="L666" s="402"/>
      <c r="M666" s="402"/>
      <c r="N666" s="402"/>
    </row>
    <row r="667">
      <c r="A667" s="340"/>
      <c r="B667" s="242"/>
      <c r="C667" s="242"/>
      <c r="D667" s="242"/>
      <c r="E667" s="243"/>
      <c r="F667" s="242"/>
      <c r="G667" s="250"/>
      <c r="H667" s="389"/>
      <c r="I667" s="402"/>
      <c r="J667" s="402"/>
      <c r="K667" s="402"/>
      <c r="L667" s="402"/>
      <c r="M667" s="402"/>
      <c r="N667" s="402"/>
    </row>
    <row r="668">
      <c r="A668" s="340"/>
      <c r="B668" s="242"/>
      <c r="C668" s="242"/>
      <c r="D668" s="242"/>
      <c r="E668" s="243"/>
      <c r="F668" s="242"/>
      <c r="G668" s="250"/>
      <c r="H668" s="389"/>
      <c r="I668" s="402"/>
      <c r="J668" s="402"/>
      <c r="K668" s="402"/>
      <c r="L668" s="402"/>
      <c r="M668" s="402"/>
      <c r="N668" s="402"/>
    </row>
    <row r="669">
      <c r="A669" s="340"/>
      <c r="B669" s="242"/>
      <c r="C669" s="242"/>
      <c r="D669" s="242"/>
      <c r="E669" s="243"/>
      <c r="F669" s="242"/>
      <c r="G669" s="250"/>
      <c r="H669" s="389"/>
      <c r="I669" s="402"/>
      <c r="J669" s="402"/>
      <c r="K669" s="402"/>
      <c r="L669" s="402"/>
      <c r="M669" s="402"/>
      <c r="N669" s="402"/>
    </row>
    <row r="670">
      <c r="A670" s="340"/>
      <c r="B670" s="242"/>
      <c r="C670" s="242"/>
      <c r="D670" s="242"/>
      <c r="E670" s="243"/>
      <c r="F670" s="242"/>
      <c r="G670" s="250"/>
      <c r="H670" s="389"/>
      <c r="I670" s="402"/>
      <c r="J670" s="402"/>
      <c r="K670" s="402"/>
      <c r="L670" s="402"/>
      <c r="M670" s="402"/>
      <c r="N670" s="402"/>
    </row>
    <row r="671">
      <c r="A671" s="340"/>
      <c r="B671" s="242"/>
      <c r="C671" s="242"/>
      <c r="D671" s="242"/>
      <c r="E671" s="243"/>
      <c r="F671" s="242"/>
      <c r="G671" s="250"/>
      <c r="H671" s="389"/>
      <c r="I671" s="402"/>
      <c r="J671" s="402"/>
      <c r="K671" s="402"/>
      <c r="L671" s="402"/>
      <c r="M671" s="402"/>
      <c r="N671" s="402"/>
    </row>
    <row r="672">
      <c r="A672" s="340"/>
      <c r="B672" s="242"/>
      <c r="C672" s="242"/>
      <c r="D672" s="242"/>
      <c r="E672" s="243"/>
      <c r="F672" s="242"/>
      <c r="G672" s="250"/>
      <c r="H672" s="389"/>
      <c r="I672" s="402"/>
      <c r="J672" s="402"/>
      <c r="K672" s="402"/>
      <c r="L672" s="402"/>
      <c r="M672" s="402"/>
      <c r="N672" s="402"/>
    </row>
    <row r="673">
      <c r="A673" s="340"/>
      <c r="B673" s="242"/>
      <c r="C673" s="242"/>
      <c r="D673" s="242"/>
      <c r="E673" s="243"/>
      <c r="F673" s="242"/>
      <c r="G673" s="250"/>
      <c r="H673" s="389"/>
      <c r="I673" s="402"/>
      <c r="J673" s="402"/>
      <c r="K673" s="402"/>
      <c r="L673" s="402"/>
      <c r="M673" s="402"/>
      <c r="N673" s="402"/>
    </row>
    <row r="674">
      <c r="A674" s="340"/>
      <c r="B674" s="242"/>
      <c r="C674" s="242"/>
      <c r="D674" s="242"/>
      <c r="E674" s="243"/>
      <c r="F674" s="242"/>
      <c r="G674" s="250"/>
      <c r="H674" s="389"/>
      <c r="I674" s="402"/>
      <c r="J674" s="402"/>
      <c r="K674" s="402"/>
      <c r="L674" s="402"/>
      <c r="M674" s="402"/>
      <c r="N674" s="402"/>
    </row>
    <row r="675">
      <c r="A675" s="340"/>
      <c r="B675" s="242"/>
      <c r="C675" s="242"/>
      <c r="D675" s="242"/>
      <c r="E675" s="243"/>
      <c r="F675" s="242"/>
      <c r="G675" s="250"/>
      <c r="H675" s="389"/>
      <c r="I675" s="402"/>
      <c r="J675" s="402"/>
      <c r="K675" s="402"/>
      <c r="L675" s="402"/>
      <c r="M675" s="402"/>
      <c r="N675" s="402"/>
    </row>
    <row r="676">
      <c r="A676" s="340"/>
      <c r="B676" s="242"/>
      <c r="C676" s="242"/>
      <c r="D676" s="242"/>
      <c r="E676" s="243"/>
      <c r="F676" s="242"/>
      <c r="G676" s="250"/>
      <c r="H676" s="389"/>
      <c r="I676" s="402"/>
      <c r="J676" s="402"/>
      <c r="K676" s="402"/>
      <c r="L676" s="402"/>
      <c r="M676" s="402"/>
      <c r="N676" s="402"/>
    </row>
    <row r="677">
      <c r="A677" s="340"/>
      <c r="B677" s="242"/>
      <c r="C677" s="242"/>
      <c r="D677" s="242"/>
      <c r="E677" s="243"/>
      <c r="F677" s="242"/>
      <c r="G677" s="250"/>
      <c r="H677" s="389"/>
      <c r="I677" s="402"/>
      <c r="J677" s="402"/>
      <c r="K677" s="402"/>
      <c r="L677" s="402"/>
      <c r="M677" s="402"/>
      <c r="N677" s="402"/>
    </row>
    <row r="678">
      <c r="A678" s="340"/>
      <c r="B678" s="242"/>
      <c r="C678" s="242"/>
      <c r="D678" s="242"/>
      <c r="E678" s="243"/>
      <c r="F678" s="242"/>
      <c r="G678" s="250"/>
      <c r="H678" s="389"/>
      <c r="I678" s="402"/>
      <c r="J678" s="402"/>
      <c r="K678" s="402"/>
      <c r="L678" s="402"/>
      <c r="M678" s="402"/>
      <c r="N678" s="402"/>
    </row>
    <row r="679">
      <c r="A679" s="340"/>
      <c r="B679" s="242"/>
      <c r="C679" s="242"/>
      <c r="D679" s="242"/>
      <c r="E679" s="243"/>
      <c r="F679" s="242"/>
      <c r="G679" s="250"/>
      <c r="H679" s="389"/>
      <c r="I679" s="402"/>
      <c r="J679" s="402"/>
      <c r="K679" s="402"/>
      <c r="L679" s="402"/>
      <c r="M679" s="402"/>
      <c r="N679" s="402"/>
    </row>
    <row r="680">
      <c r="A680" s="340"/>
      <c r="B680" s="242"/>
      <c r="C680" s="242"/>
      <c r="D680" s="242"/>
      <c r="E680" s="243"/>
      <c r="F680" s="242"/>
      <c r="G680" s="250"/>
      <c r="H680" s="389"/>
      <c r="I680" s="402"/>
      <c r="J680" s="402"/>
      <c r="K680" s="402"/>
      <c r="L680" s="402"/>
      <c r="M680" s="402"/>
      <c r="N680" s="402"/>
    </row>
    <row r="681">
      <c r="A681" s="340"/>
      <c r="B681" s="242"/>
      <c r="C681" s="242"/>
      <c r="D681" s="242"/>
      <c r="E681" s="243"/>
      <c r="F681" s="242"/>
      <c r="G681" s="250"/>
      <c r="H681" s="389"/>
      <c r="I681" s="402"/>
      <c r="J681" s="402"/>
      <c r="K681" s="402"/>
      <c r="L681" s="402"/>
      <c r="M681" s="402"/>
      <c r="N681" s="402"/>
    </row>
    <row r="682">
      <c r="A682" s="340"/>
      <c r="B682" s="242"/>
      <c r="C682" s="242"/>
      <c r="D682" s="242"/>
      <c r="E682" s="243"/>
      <c r="F682" s="242"/>
      <c r="G682" s="250"/>
      <c r="H682" s="389"/>
      <c r="I682" s="402"/>
      <c r="J682" s="402"/>
      <c r="K682" s="402"/>
      <c r="L682" s="402"/>
      <c r="M682" s="402"/>
      <c r="N682" s="402"/>
    </row>
    <row r="683">
      <c r="A683" s="340"/>
      <c r="B683" s="242"/>
      <c r="C683" s="242"/>
      <c r="D683" s="242"/>
      <c r="E683" s="243"/>
      <c r="F683" s="242"/>
      <c r="G683" s="250"/>
      <c r="H683" s="389"/>
      <c r="I683" s="402"/>
      <c r="J683" s="402"/>
      <c r="K683" s="402"/>
      <c r="L683" s="402"/>
      <c r="M683" s="402"/>
      <c r="N683" s="402"/>
    </row>
    <row r="684">
      <c r="A684" s="340"/>
      <c r="B684" s="242"/>
      <c r="C684" s="242"/>
      <c r="D684" s="242"/>
      <c r="E684" s="243"/>
      <c r="F684" s="242"/>
      <c r="G684" s="250"/>
      <c r="H684" s="389"/>
      <c r="I684" s="402"/>
      <c r="J684" s="402"/>
      <c r="K684" s="402"/>
      <c r="L684" s="402"/>
      <c r="M684" s="402"/>
      <c r="N684" s="402"/>
    </row>
    <row r="685">
      <c r="A685" s="340"/>
      <c r="B685" s="242"/>
      <c r="C685" s="242"/>
      <c r="D685" s="242"/>
      <c r="E685" s="243"/>
      <c r="F685" s="242"/>
      <c r="G685" s="250"/>
      <c r="H685" s="389"/>
      <c r="I685" s="402"/>
      <c r="J685" s="402"/>
      <c r="K685" s="402"/>
      <c r="L685" s="402"/>
      <c r="M685" s="402"/>
      <c r="N685" s="402"/>
    </row>
    <row r="686">
      <c r="A686" s="340"/>
      <c r="B686" s="242"/>
      <c r="C686" s="242"/>
      <c r="D686" s="242"/>
      <c r="E686" s="243"/>
      <c r="F686" s="242"/>
      <c r="G686" s="250"/>
      <c r="H686" s="389"/>
      <c r="I686" s="402"/>
      <c r="J686" s="402"/>
      <c r="K686" s="402"/>
      <c r="L686" s="402"/>
      <c r="M686" s="402"/>
      <c r="N686" s="402"/>
    </row>
    <row r="687">
      <c r="A687" s="340"/>
      <c r="B687" s="242"/>
      <c r="C687" s="242"/>
      <c r="D687" s="242"/>
      <c r="E687" s="243"/>
      <c r="F687" s="242"/>
      <c r="G687" s="250"/>
      <c r="H687" s="389"/>
      <c r="I687" s="402"/>
      <c r="J687" s="402"/>
      <c r="K687" s="402"/>
      <c r="L687" s="402"/>
      <c r="M687" s="402"/>
      <c r="N687" s="402"/>
    </row>
    <row r="688">
      <c r="A688" s="340"/>
      <c r="B688" s="242"/>
      <c r="C688" s="242"/>
      <c r="D688" s="242"/>
      <c r="E688" s="243"/>
      <c r="F688" s="242"/>
      <c r="G688" s="250"/>
      <c r="H688" s="389"/>
      <c r="I688" s="402"/>
      <c r="J688" s="402"/>
      <c r="K688" s="402"/>
      <c r="L688" s="402"/>
      <c r="M688" s="402"/>
      <c r="N688" s="402"/>
    </row>
    <row r="689">
      <c r="A689" s="340"/>
      <c r="B689" s="242"/>
      <c r="C689" s="242"/>
      <c r="D689" s="242"/>
      <c r="E689" s="243"/>
      <c r="F689" s="242"/>
      <c r="G689" s="250"/>
      <c r="H689" s="389"/>
      <c r="I689" s="402"/>
      <c r="J689" s="402"/>
      <c r="K689" s="402"/>
      <c r="L689" s="402"/>
      <c r="M689" s="402"/>
      <c r="N689" s="402"/>
    </row>
    <row r="690">
      <c r="A690" s="340"/>
      <c r="B690" s="242"/>
      <c r="C690" s="242"/>
      <c r="D690" s="242"/>
      <c r="E690" s="243"/>
      <c r="F690" s="242"/>
      <c r="G690" s="250"/>
      <c r="H690" s="389"/>
      <c r="I690" s="402"/>
      <c r="J690" s="402"/>
      <c r="K690" s="402"/>
      <c r="L690" s="402"/>
      <c r="M690" s="402"/>
      <c r="N690" s="402"/>
    </row>
    <row r="691">
      <c r="A691" s="340"/>
      <c r="B691" s="242"/>
      <c r="C691" s="242"/>
      <c r="D691" s="242"/>
      <c r="E691" s="243"/>
      <c r="F691" s="242"/>
      <c r="G691" s="250"/>
      <c r="H691" s="389"/>
      <c r="I691" s="402"/>
      <c r="J691" s="402"/>
      <c r="K691" s="402"/>
      <c r="L691" s="402"/>
      <c r="M691" s="402"/>
      <c r="N691" s="402"/>
    </row>
    <row r="692">
      <c r="A692" s="340"/>
      <c r="B692" s="242"/>
      <c r="C692" s="242"/>
      <c r="D692" s="242"/>
      <c r="E692" s="243"/>
      <c r="F692" s="242"/>
      <c r="G692" s="250"/>
      <c r="H692" s="389"/>
      <c r="I692" s="402"/>
      <c r="J692" s="402"/>
      <c r="K692" s="402"/>
      <c r="L692" s="402"/>
      <c r="M692" s="402"/>
      <c r="N692" s="402"/>
    </row>
    <row r="693">
      <c r="A693" s="340"/>
      <c r="B693" s="242"/>
      <c r="C693" s="242"/>
      <c r="D693" s="242"/>
      <c r="E693" s="243"/>
      <c r="F693" s="242"/>
      <c r="G693" s="250"/>
      <c r="H693" s="389"/>
      <c r="I693" s="402"/>
      <c r="J693" s="402"/>
      <c r="K693" s="402"/>
      <c r="L693" s="402"/>
      <c r="M693" s="402"/>
      <c r="N693" s="402"/>
    </row>
    <row r="694">
      <c r="A694" s="340"/>
      <c r="B694" s="242"/>
      <c r="C694" s="242"/>
      <c r="D694" s="242"/>
      <c r="E694" s="243"/>
      <c r="F694" s="242"/>
      <c r="G694" s="250"/>
      <c r="H694" s="389"/>
      <c r="I694" s="402"/>
      <c r="J694" s="402"/>
      <c r="K694" s="402"/>
      <c r="L694" s="402"/>
      <c r="M694" s="402"/>
      <c r="N694" s="402"/>
    </row>
    <row r="695">
      <c r="A695" s="340"/>
      <c r="B695" s="242"/>
      <c r="C695" s="242"/>
      <c r="D695" s="242"/>
      <c r="E695" s="243"/>
      <c r="F695" s="242"/>
      <c r="G695" s="250"/>
      <c r="H695" s="389"/>
      <c r="I695" s="402"/>
      <c r="J695" s="402"/>
      <c r="K695" s="402"/>
      <c r="L695" s="402"/>
      <c r="M695" s="402"/>
      <c r="N695" s="402"/>
    </row>
    <row r="696">
      <c r="A696" s="340"/>
      <c r="B696" s="242"/>
      <c r="C696" s="242"/>
      <c r="D696" s="242"/>
      <c r="E696" s="243"/>
      <c r="F696" s="242"/>
      <c r="G696" s="250"/>
      <c r="H696" s="389"/>
      <c r="I696" s="402"/>
      <c r="J696" s="402"/>
      <c r="K696" s="402"/>
      <c r="L696" s="402"/>
      <c r="M696" s="402"/>
      <c r="N696" s="402"/>
    </row>
    <row r="697">
      <c r="A697" s="340"/>
      <c r="B697" s="242"/>
      <c r="C697" s="242"/>
      <c r="D697" s="242"/>
      <c r="E697" s="243"/>
      <c r="F697" s="242"/>
      <c r="G697" s="250"/>
      <c r="H697" s="389"/>
      <c r="I697" s="402"/>
      <c r="J697" s="402"/>
      <c r="K697" s="402"/>
      <c r="L697" s="402"/>
      <c r="M697" s="402"/>
      <c r="N697" s="402"/>
    </row>
    <row r="698">
      <c r="A698" s="340"/>
      <c r="B698" s="242"/>
      <c r="C698" s="242"/>
      <c r="D698" s="242"/>
      <c r="E698" s="243"/>
      <c r="F698" s="242"/>
      <c r="G698" s="250"/>
      <c r="H698" s="389"/>
      <c r="I698" s="402"/>
      <c r="J698" s="402"/>
      <c r="K698" s="402"/>
      <c r="L698" s="402"/>
      <c r="M698" s="402"/>
      <c r="N698" s="402"/>
    </row>
    <row r="699">
      <c r="A699" s="340"/>
      <c r="B699" s="242"/>
      <c r="C699" s="242"/>
      <c r="D699" s="242"/>
      <c r="E699" s="243"/>
      <c r="F699" s="242"/>
      <c r="G699" s="250"/>
      <c r="H699" s="389"/>
      <c r="I699" s="402"/>
      <c r="J699" s="402"/>
      <c r="K699" s="402"/>
      <c r="L699" s="402"/>
      <c r="M699" s="402"/>
      <c r="N699" s="402"/>
    </row>
    <row r="700">
      <c r="A700" s="340"/>
      <c r="B700" s="242"/>
      <c r="C700" s="242"/>
      <c r="D700" s="242"/>
      <c r="E700" s="243"/>
      <c r="F700" s="242"/>
      <c r="G700" s="250"/>
      <c r="H700" s="389"/>
      <c r="I700" s="402"/>
      <c r="J700" s="402"/>
      <c r="K700" s="402"/>
      <c r="L700" s="402"/>
      <c r="M700" s="402"/>
      <c r="N700" s="402"/>
    </row>
    <row r="701">
      <c r="A701" s="340"/>
      <c r="B701" s="242"/>
      <c r="C701" s="242"/>
      <c r="D701" s="242"/>
      <c r="E701" s="243"/>
      <c r="F701" s="242"/>
      <c r="G701" s="250"/>
      <c r="H701" s="389"/>
      <c r="I701" s="402"/>
      <c r="J701" s="402"/>
      <c r="K701" s="402"/>
      <c r="L701" s="402"/>
      <c r="M701" s="402"/>
      <c r="N701" s="402"/>
    </row>
    <row r="702">
      <c r="A702" s="340"/>
      <c r="B702" s="242"/>
      <c r="C702" s="242"/>
      <c r="D702" s="242"/>
      <c r="E702" s="243"/>
      <c r="F702" s="242"/>
      <c r="G702" s="250"/>
      <c r="H702" s="389"/>
      <c r="I702" s="402"/>
      <c r="J702" s="402"/>
      <c r="K702" s="402"/>
      <c r="L702" s="402"/>
      <c r="M702" s="402"/>
      <c r="N702" s="402"/>
    </row>
    <row r="703">
      <c r="A703" s="340"/>
      <c r="B703" s="242"/>
      <c r="C703" s="242"/>
      <c r="D703" s="242"/>
      <c r="E703" s="243"/>
      <c r="F703" s="242"/>
      <c r="G703" s="250"/>
      <c r="H703" s="389"/>
      <c r="I703" s="402"/>
      <c r="J703" s="402"/>
      <c r="K703" s="402"/>
      <c r="L703" s="402"/>
      <c r="M703" s="402"/>
      <c r="N703" s="402"/>
    </row>
    <row r="704">
      <c r="A704" s="340"/>
      <c r="B704" s="242"/>
      <c r="C704" s="242"/>
      <c r="D704" s="242"/>
      <c r="E704" s="243"/>
      <c r="F704" s="242"/>
      <c r="G704" s="250"/>
      <c r="H704" s="389"/>
      <c r="I704" s="402"/>
      <c r="J704" s="402"/>
      <c r="K704" s="402"/>
      <c r="L704" s="402"/>
      <c r="M704" s="402"/>
      <c r="N704" s="402"/>
    </row>
    <row r="705">
      <c r="A705" s="340"/>
      <c r="B705" s="242"/>
      <c r="C705" s="242"/>
      <c r="D705" s="242"/>
      <c r="E705" s="243"/>
      <c r="F705" s="242"/>
      <c r="G705" s="250"/>
      <c r="H705" s="389"/>
      <c r="I705" s="402"/>
      <c r="J705" s="402"/>
      <c r="K705" s="402"/>
      <c r="L705" s="402"/>
      <c r="M705" s="402"/>
      <c r="N705" s="402"/>
    </row>
    <row r="706">
      <c r="A706" s="340"/>
      <c r="B706" s="242"/>
      <c r="C706" s="242"/>
      <c r="D706" s="242"/>
      <c r="E706" s="243"/>
      <c r="F706" s="242"/>
      <c r="G706" s="250"/>
      <c r="H706" s="389"/>
      <c r="I706" s="402"/>
      <c r="J706" s="402"/>
      <c r="K706" s="402"/>
      <c r="L706" s="402"/>
      <c r="M706" s="402"/>
      <c r="N706" s="402"/>
    </row>
    <row r="707">
      <c r="A707" s="340"/>
      <c r="B707" s="242"/>
      <c r="C707" s="242"/>
      <c r="D707" s="242"/>
      <c r="E707" s="243"/>
      <c r="F707" s="242"/>
      <c r="G707" s="250"/>
      <c r="H707" s="389"/>
      <c r="I707" s="402"/>
      <c r="J707" s="402"/>
      <c r="K707" s="402"/>
      <c r="L707" s="402"/>
      <c r="M707" s="402"/>
      <c r="N707" s="402"/>
    </row>
    <row r="708">
      <c r="A708" s="340"/>
      <c r="B708" s="242"/>
      <c r="C708" s="242"/>
      <c r="D708" s="242"/>
      <c r="E708" s="243"/>
      <c r="F708" s="242"/>
      <c r="G708" s="250"/>
      <c r="H708" s="389"/>
      <c r="I708" s="402"/>
      <c r="J708" s="402"/>
      <c r="K708" s="402"/>
      <c r="L708" s="402"/>
      <c r="M708" s="402"/>
      <c r="N708" s="402"/>
    </row>
    <row r="709">
      <c r="A709" s="340"/>
      <c r="B709" s="242"/>
      <c r="C709" s="242"/>
      <c r="D709" s="242"/>
      <c r="E709" s="243"/>
      <c r="F709" s="242"/>
      <c r="G709" s="250"/>
      <c r="H709" s="389"/>
      <c r="I709" s="402"/>
      <c r="J709" s="402"/>
      <c r="K709" s="402"/>
      <c r="L709" s="402"/>
      <c r="M709" s="402"/>
      <c r="N709" s="402"/>
    </row>
    <row r="710">
      <c r="A710" s="340"/>
      <c r="B710" s="242"/>
      <c r="C710" s="242"/>
      <c r="D710" s="242"/>
      <c r="E710" s="243"/>
      <c r="F710" s="242"/>
      <c r="G710" s="250"/>
      <c r="H710" s="389"/>
      <c r="I710" s="402"/>
      <c r="J710" s="402"/>
      <c r="K710" s="402"/>
      <c r="L710" s="402"/>
      <c r="M710" s="402"/>
      <c r="N710" s="402"/>
    </row>
    <row r="711">
      <c r="A711" s="340"/>
      <c r="B711" s="242"/>
      <c r="C711" s="242"/>
      <c r="D711" s="242"/>
      <c r="E711" s="243"/>
      <c r="F711" s="242"/>
      <c r="G711" s="250"/>
      <c r="H711" s="389"/>
      <c r="I711" s="402"/>
      <c r="J711" s="402"/>
      <c r="K711" s="402"/>
      <c r="L711" s="402"/>
      <c r="M711" s="402"/>
      <c r="N711" s="402"/>
    </row>
    <row r="712">
      <c r="A712" s="340"/>
      <c r="B712" s="242"/>
      <c r="C712" s="242"/>
      <c r="D712" s="242"/>
      <c r="E712" s="243"/>
      <c r="F712" s="242"/>
      <c r="G712" s="250"/>
      <c r="H712" s="389"/>
      <c r="I712" s="402"/>
      <c r="J712" s="402"/>
      <c r="K712" s="402"/>
      <c r="L712" s="402"/>
      <c r="M712" s="402"/>
      <c r="N712" s="402"/>
    </row>
    <row r="713">
      <c r="A713" s="340"/>
      <c r="B713" s="242"/>
      <c r="C713" s="242"/>
      <c r="D713" s="242"/>
      <c r="E713" s="243"/>
      <c r="F713" s="242"/>
      <c r="G713" s="250"/>
      <c r="H713" s="389"/>
      <c r="I713" s="402"/>
      <c r="J713" s="402"/>
      <c r="K713" s="402"/>
      <c r="L713" s="402"/>
      <c r="M713" s="402"/>
      <c r="N713" s="402"/>
    </row>
    <row r="714">
      <c r="A714" s="340"/>
      <c r="B714" s="242"/>
      <c r="C714" s="242"/>
      <c r="D714" s="242"/>
      <c r="E714" s="243"/>
      <c r="F714" s="242"/>
      <c r="G714" s="250"/>
      <c r="H714" s="389"/>
      <c r="I714" s="402"/>
      <c r="J714" s="402"/>
      <c r="K714" s="402"/>
      <c r="L714" s="402"/>
      <c r="M714" s="402"/>
      <c r="N714" s="402"/>
    </row>
    <row r="715">
      <c r="A715" s="340"/>
      <c r="B715" s="242"/>
      <c r="C715" s="242"/>
      <c r="D715" s="242"/>
      <c r="E715" s="243"/>
      <c r="F715" s="242"/>
      <c r="G715" s="250"/>
      <c r="H715" s="389"/>
      <c r="I715" s="402"/>
      <c r="J715" s="402"/>
      <c r="K715" s="402"/>
      <c r="L715" s="402"/>
      <c r="M715" s="402"/>
      <c r="N715" s="402"/>
    </row>
    <row r="716">
      <c r="A716" s="340"/>
      <c r="B716" s="242"/>
      <c r="C716" s="242"/>
      <c r="D716" s="242"/>
      <c r="E716" s="243"/>
      <c r="F716" s="242"/>
      <c r="G716" s="250"/>
      <c r="H716" s="389"/>
      <c r="I716" s="402"/>
      <c r="J716" s="402"/>
      <c r="K716" s="402"/>
      <c r="L716" s="402"/>
      <c r="M716" s="402"/>
      <c r="N716" s="402"/>
    </row>
    <row r="717">
      <c r="A717" s="340"/>
      <c r="B717" s="242"/>
      <c r="C717" s="242"/>
      <c r="D717" s="242"/>
      <c r="E717" s="243"/>
      <c r="F717" s="242"/>
      <c r="G717" s="250"/>
      <c r="H717" s="389"/>
      <c r="I717" s="402"/>
      <c r="J717" s="402"/>
      <c r="K717" s="402"/>
      <c r="L717" s="402"/>
      <c r="M717" s="402"/>
      <c r="N717" s="402"/>
    </row>
    <row r="718">
      <c r="A718" s="340"/>
      <c r="B718" s="242"/>
      <c r="C718" s="242"/>
      <c r="D718" s="242"/>
      <c r="E718" s="243"/>
      <c r="F718" s="242"/>
      <c r="G718" s="250"/>
      <c r="H718" s="389"/>
      <c r="I718" s="402"/>
      <c r="J718" s="402"/>
      <c r="K718" s="402"/>
      <c r="L718" s="402"/>
      <c r="M718" s="402"/>
      <c r="N718" s="402"/>
    </row>
    <row r="719">
      <c r="A719" s="340"/>
      <c r="B719" s="242"/>
      <c r="C719" s="242"/>
      <c r="D719" s="242"/>
      <c r="E719" s="243"/>
      <c r="F719" s="242"/>
      <c r="G719" s="250"/>
      <c r="H719" s="389"/>
      <c r="I719" s="402"/>
      <c r="J719" s="402"/>
      <c r="K719" s="402"/>
      <c r="L719" s="402"/>
      <c r="M719" s="402"/>
      <c r="N719" s="402"/>
    </row>
    <row r="720">
      <c r="A720" s="340"/>
      <c r="B720" s="242"/>
      <c r="C720" s="242"/>
      <c r="D720" s="242"/>
      <c r="E720" s="243"/>
      <c r="F720" s="242"/>
      <c r="G720" s="250"/>
      <c r="H720" s="389"/>
      <c r="I720" s="402"/>
      <c r="J720" s="402"/>
      <c r="K720" s="402"/>
      <c r="L720" s="402"/>
      <c r="M720" s="402"/>
      <c r="N720" s="402"/>
    </row>
    <row r="721">
      <c r="A721" s="340"/>
      <c r="B721" s="242"/>
      <c r="C721" s="242"/>
      <c r="D721" s="242"/>
      <c r="E721" s="243"/>
      <c r="F721" s="242"/>
      <c r="G721" s="250"/>
      <c r="H721" s="389"/>
      <c r="I721" s="402"/>
      <c r="J721" s="402"/>
      <c r="K721" s="402"/>
      <c r="L721" s="402"/>
      <c r="M721" s="402"/>
      <c r="N721" s="402"/>
    </row>
    <row r="722">
      <c r="A722" s="340"/>
      <c r="B722" s="242"/>
      <c r="C722" s="242"/>
      <c r="D722" s="242"/>
      <c r="E722" s="243"/>
      <c r="F722" s="242"/>
      <c r="G722" s="250"/>
      <c r="H722" s="389"/>
      <c r="I722" s="402"/>
      <c r="J722" s="402"/>
      <c r="K722" s="402"/>
      <c r="L722" s="402"/>
      <c r="M722" s="402"/>
      <c r="N722" s="402"/>
    </row>
    <row r="723">
      <c r="A723" s="340"/>
      <c r="B723" s="242"/>
      <c r="C723" s="242"/>
      <c r="D723" s="242"/>
      <c r="E723" s="243"/>
      <c r="F723" s="242"/>
      <c r="G723" s="250"/>
      <c r="H723" s="389"/>
      <c r="I723" s="402"/>
      <c r="J723" s="402"/>
      <c r="K723" s="402"/>
      <c r="L723" s="402"/>
      <c r="M723" s="402"/>
      <c r="N723" s="402"/>
    </row>
    <row r="724">
      <c r="A724" s="340"/>
      <c r="B724" s="242"/>
      <c r="C724" s="242"/>
      <c r="D724" s="242"/>
      <c r="E724" s="243"/>
      <c r="F724" s="242"/>
      <c r="G724" s="250"/>
      <c r="H724" s="389"/>
      <c r="I724" s="402"/>
      <c r="J724" s="402"/>
      <c r="K724" s="402"/>
      <c r="L724" s="402"/>
      <c r="M724" s="402"/>
      <c r="N724" s="402"/>
    </row>
    <row r="725">
      <c r="A725" s="340"/>
      <c r="B725" s="242"/>
      <c r="C725" s="242"/>
      <c r="D725" s="242"/>
      <c r="E725" s="243"/>
      <c r="F725" s="242"/>
      <c r="G725" s="250"/>
      <c r="H725" s="389"/>
      <c r="I725" s="402"/>
      <c r="J725" s="402"/>
      <c r="K725" s="402"/>
      <c r="L725" s="402"/>
      <c r="M725" s="402"/>
      <c r="N725" s="402"/>
    </row>
    <row r="726">
      <c r="A726" s="340"/>
      <c r="B726" s="242"/>
      <c r="C726" s="242"/>
      <c r="D726" s="242"/>
      <c r="E726" s="243"/>
      <c r="F726" s="242"/>
      <c r="G726" s="250"/>
      <c r="H726" s="389"/>
      <c r="I726" s="402"/>
      <c r="J726" s="402"/>
      <c r="K726" s="402"/>
      <c r="L726" s="402"/>
      <c r="M726" s="402"/>
      <c r="N726" s="402"/>
    </row>
    <row r="727">
      <c r="A727" s="340"/>
      <c r="B727" s="242"/>
      <c r="C727" s="242"/>
      <c r="D727" s="242"/>
      <c r="E727" s="243"/>
      <c r="F727" s="242"/>
      <c r="G727" s="250"/>
      <c r="H727" s="389"/>
      <c r="I727" s="402"/>
      <c r="J727" s="402"/>
      <c r="K727" s="402"/>
      <c r="L727" s="402"/>
      <c r="M727" s="402"/>
      <c r="N727" s="402"/>
    </row>
    <row r="728">
      <c r="A728" s="340"/>
      <c r="B728" s="242"/>
      <c r="C728" s="242"/>
      <c r="D728" s="242"/>
      <c r="E728" s="243"/>
      <c r="F728" s="242"/>
      <c r="G728" s="250"/>
      <c r="H728" s="389"/>
      <c r="I728" s="402"/>
      <c r="J728" s="402"/>
      <c r="K728" s="402"/>
      <c r="L728" s="402"/>
      <c r="M728" s="402"/>
      <c r="N728" s="402"/>
    </row>
    <row r="729">
      <c r="A729" s="340"/>
      <c r="B729" s="242"/>
      <c r="C729" s="242"/>
      <c r="D729" s="242"/>
      <c r="E729" s="243"/>
      <c r="F729" s="242"/>
      <c r="G729" s="250"/>
      <c r="H729" s="389"/>
      <c r="I729" s="402"/>
      <c r="J729" s="402"/>
      <c r="K729" s="402"/>
      <c r="L729" s="402"/>
      <c r="M729" s="402"/>
      <c r="N729" s="402"/>
    </row>
    <row r="730">
      <c r="A730" s="340"/>
      <c r="B730" s="242"/>
      <c r="C730" s="242"/>
      <c r="D730" s="242"/>
      <c r="E730" s="243"/>
      <c r="F730" s="242"/>
      <c r="G730" s="250"/>
      <c r="H730" s="389"/>
      <c r="I730" s="402"/>
      <c r="J730" s="402"/>
      <c r="K730" s="402"/>
      <c r="L730" s="402"/>
      <c r="M730" s="402"/>
      <c r="N730" s="402"/>
    </row>
    <row r="731">
      <c r="A731" s="340"/>
      <c r="B731" s="242"/>
      <c r="C731" s="242"/>
      <c r="D731" s="242"/>
      <c r="E731" s="243"/>
      <c r="F731" s="242"/>
      <c r="G731" s="250"/>
      <c r="H731" s="389"/>
      <c r="I731" s="402"/>
      <c r="J731" s="402"/>
      <c r="K731" s="402"/>
      <c r="L731" s="402"/>
      <c r="M731" s="402"/>
      <c r="N731" s="402"/>
    </row>
    <row r="732">
      <c r="A732" s="340"/>
      <c r="B732" s="242"/>
      <c r="C732" s="242"/>
      <c r="D732" s="242"/>
      <c r="E732" s="243"/>
      <c r="F732" s="242"/>
      <c r="G732" s="250"/>
      <c r="H732" s="389"/>
      <c r="I732" s="402"/>
      <c r="J732" s="402"/>
      <c r="K732" s="402"/>
      <c r="L732" s="402"/>
      <c r="M732" s="402"/>
      <c r="N732" s="402"/>
    </row>
    <row r="733">
      <c r="A733" s="340"/>
      <c r="B733" s="242"/>
      <c r="C733" s="242"/>
      <c r="D733" s="242"/>
      <c r="E733" s="243"/>
      <c r="F733" s="242"/>
      <c r="G733" s="250"/>
      <c r="H733" s="389"/>
      <c r="I733" s="402"/>
      <c r="J733" s="402"/>
      <c r="K733" s="402"/>
      <c r="L733" s="402"/>
      <c r="M733" s="402"/>
      <c r="N733" s="402"/>
    </row>
    <row r="734">
      <c r="A734" s="340"/>
      <c r="B734" s="242"/>
      <c r="C734" s="242"/>
      <c r="D734" s="242"/>
      <c r="E734" s="243"/>
      <c r="F734" s="242"/>
      <c r="G734" s="250"/>
      <c r="H734" s="389"/>
      <c r="I734" s="402"/>
      <c r="J734" s="402"/>
      <c r="K734" s="402"/>
      <c r="L734" s="402"/>
      <c r="M734" s="402"/>
      <c r="N734" s="402"/>
    </row>
    <row r="735">
      <c r="A735" s="340"/>
      <c r="B735" s="242"/>
      <c r="C735" s="242"/>
      <c r="D735" s="242"/>
      <c r="E735" s="243"/>
      <c r="F735" s="242"/>
      <c r="G735" s="250"/>
      <c r="H735" s="389"/>
      <c r="I735" s="402"/>
      <c r="J735" s="402"/>
      <c r="K735" s="402"/>
      <c r="L735" s="402"/>
      <c r="M735" s="402"/>
      <c r="N735" s="402"/>
    </row>
    <row r="736">
      <c r="A736" s="340"/>
      <c r="B736" s="242"/>
      <c r="C736" s="242"/>
      <c r="D736" s="242"/>
      <c r="E736" s="243"/>
      <c r="F736" s="242"/>
      <c r="G736" s="250"/>
      <c r="H736" s="389"/>
      <c r="I736" s="402"/>
      <c r="J736" s="402"/>
      <c r="K736" s="402"/>
      <c r="L736" s="402"/>
      <c r="M736" s="402"/>
      <c r="N736" s="402"/>
    </row>
    <row r="737">
      <c r="A737" s="340"/>
      <c r="B737" s="242"/>
      <c r="C737" s="242"/>
      <c r="D737" s="242"/>
      <c r="E737" s="243"/>
      <c r="F737" s="242"/>
      <c r="G737" s="250"/>
      <c r="H737" s="389"/>
      <c r="I737" s="402"/>
      <c r="J737" s="402"/>
      <c r="K737" s="402"/>
      <c r="L737" s="402"/>
      <c r="M737" s="402"/>
      <c r="N737" s="402"/>
    </row>
    <row r="738">
      <c r="A738" s="340"/>
      <c r="B738" s="242"/>
      <c r="C738" s="242"/>
      <c r="D738" s="242"/>
      <c r="E738" s="243"/>
      <c r="F738" s="242"/>
      <c r="G738" s="250"/>
      <c r="H738" s="389"/>
      <c r="I738" s="402"/>
      <c r="J738" s="402"/>
      <c r="K738" s="402"/>
      <c r="L738" s="402"/>
      <c r="M738" s="402"/>
      <c r="N738" s="402"/>
    </row>
    <row r="739">
      <c r="A739" s="340"/>
      <c r="B739" s="242"/>
      <c r="C739" s="242"/>
      <c r="D739" s="242"/>
      <c r="E739" s="243"/>
      <c r="F739" s="242"/>
      <c r="G739" s="250"/>
      <c r="H739" s="389"/>
      <c r="I739" s="402"/>
      <c r="J739" s="402"/>
      <c r="K739" s="402"/>
      <c r="L739" s="402"/>
      <c r="M739" s="402"/>
      <c r="N739" s="402"/>
    </row>
    <row r="740">
      <c r="A740" s="340"/>
      <c r="B740" s="242"/>
      <c r="C740" s="242"/>
      <c r="D740" s="242"/>
      <c r="E740" s="243"/>
      <c r="F740" s="242"/>
      <c r="G740" s="250"/>
      <c r="H740" s="389"/>
      <c r="I740" s="402"/>
      <c r="J740" s="402"/>
      <c r="K740" s="402"/>
      <c r="L740" s="402"/>
      <c r="M740" s="402"/>
      <c r="N740" s="402"/>
    </row>
    <row r="741">
      <c r="A741" s="340"/>
      <c r="B741" s="242"/>
      <c r="C741" s="242"/>
      <c r="D741" s="242"/>
      <c r="E741" s="243"/>
      <c r="F741" s="242"/>
      <c r="G741" s="250"/>
      <c r="H741" s="389"/>
      <c r="I741" s="402"/>
      <c r="J741" s="402"/>
      <c r="K741" s="402"/>
      <c r="L741" s="402"/>
      <c r="M741" s="402"/>
      <c r="N741" s="402"/>
    </row>
    <row r="742">
      <c r="A742" s="340"/>
      <c r="B742" s="242"/>
      <c r="C742" s="242"/>
      <c r="D742" s="242"/>
      <c r="E742" s="243"/>
      <c r="F742" s="242"/>
      <c r="G742" s="250"/>
      <c r="H742" s="389"/>
      <c r="I742" s="402"/>
      <c r="J742" s="402"/>
      <c r="K742" s="402"/>
      <c r="L742" s="402"/>
      <c r="M742" s="402"/>
      <c r="N742" s="402"/>
    </row>
    <row r="743">
      <c r="A743" s="340"/>
      <c r="B743" s="242"/>
      <c r="C743" s="242"/>
      <c r="D743" s="242"/>
      <c r="E743" s="243"/>
      <c r="F743" s="242"/>
      <c r="G743" s="250"/>
      <c r="H743" s="389"/>
      <c r="I743" s="402"/>
      <c r="J743" s="402"/>
      <c r="K743" s="402"/>
      <c r="L743" s="402"/>
      <c r="M743" s="402"/>
      <c r="N743" s="402"/>
    </row>
    <row r="744">
      <c r="A744" s="340"/>
      <c r="B744" s="242"/>
      <c r="C744" s="242"/>
      <c r="D744" s="242"/>
      <c r="E744" s="243"/>
      <c r="F744" s="242"/>
      <c r="G744" s="250"/>
      <c r="H744" s="389"/>
      <c r="I744" s="402"/>
      <c r="J744" s="402"/>
      <c r="K744" s="402"/>
      <c r="L744" s="402"/>
      <c r="M744" s="402"/>
      <c r="N744" s="402"/>
    </row>
    <row r="745">
      <c r="A745" s="340"/>
      <c r="B745" s="242"/>
      <c r="C745" s="242"/>
      <c r="D745" s="242"/>
      <c r="E745" s="243"/>
      <c r="F745" s="242"/>
      <c r="G745" s="250"/>
      <c r="H745" s="389"/>
      <c r="I745" s="402"/>
      <c r="J745" s="402"/>
      <c r="K745" s="402"/>
      <c r="L745" s="402"/>
      <c r="M745" s="402"/>
      <c r="N745" s="402"/>
    </row>
    <row r="746">
      <c r="A746" s="340"/>
      <c r="B746" s="242"/>
      <c r="C746" s="242"/>
      <c r="D746" s="242"/>
      <c r="E746" s="243"/>
      <c r="F746" s="242"/>
      <c r="G746" s="250"/>
      <c r="H746" s="389"/>
      <c r="I746" s="402"/>
      <c r="J746" s="402"/>
      <c r="K746" s="402"/>
      <c r="L746" s="402"/>
      <c r="M746" s="402"/>
      <c r="N746" s="402"/>
    </row>
    <row r="747">
      <c r="A747" s="340"/>
      <c r="B747" s="242"/>
      <c r="C747" s="242"/>
      <c r="D747" s="242"/>
      <c r="E747" s="243"/>
      <c r="F747" s="242"/>
      <c r="G747" s="250"/>
      <c r="H747" s="389"/>
      <c r="I747" s="402"/>
      <c r="J747" s="402"/>
      <c r="K747" s="402"/>
      <c r="L747" s="402"/>
      <c r="M747" s="402"/>
      <c r="N747" s="402"/>
    </row>
    <row r="748">
      <c r="A748" s="340"/>
      <c r="B748" s="242"/>
      <c r="C748" s="242"/>
      <c r="D748" s="242"/>
      <c r="E748" s="243"/>
      <c r="F748" s="242"/>
      <c r="G748" s="250"/>
      <c r="H748" s="389"/>
      <c r="I748" s="402"/>
      <c r="J748" s="402"/>
      <c r="K748" s="402"/>
      <c r="L748" s="402"/>
      <c r="M748" s="402"/>
      <c r="N748" s="402"/>
    </row>
    <row r="749">
      <c r="A749" s="340"/>
      <c r="B749" s="242"/>
      <c r="C749" s="242"/>
      <c r="D749" s="242"/>
      <c r="E749" s="243"/>
      <c r="F749" s="242"/>
      <c r="G749" s="250"/>
      <c r="H749" s="389"/>
      <c r="I749" s="402"/>
      <c r="J749" s="402"/>
      <c r="K749" s="402"/>
      <c r="L749" s="402"/>
      <c r="M749" s="402"/>
      <c r="N749" s="402"/>
    </row>
    <row r="750">
      <c r="A750" s="340"/>
      <c r="B750" s="242"/>
      <c r="C750" s="242"/>
      <c r="D750" s="242"/>
      <c r="E750" s="243"/>
      <c r="F750" s="242"/>
      <c r="G750" s="250"/>
      <c r="H750" s="389"/>
      <c r="I750" s="402"/>
      <c r="J750" s="402"/>
      <c r="K750" s="402"/>
      <c r="L750" s="402"/>
      <c r="M750" s="402"/>
      <c r="N750" s="402"/>
    </row>
    <row r="751">
      <c r="A751" s="340"/>
      <c r="B751" s="242"/>
      <c r="C751" s="242"/>
      <c r="D751" s="242"/>
      <c r="E751" s="243"/>
      <c r="F751" s="242"/>
      <c r="G751" s="250"/>
      <c r="H751" s="389"/>
      <c r="I751" s="402"/>
      <c r="J751" s="402"/>
      <c r="K751" s="402"/>
      <c r="L751" s="402"/>
      <c r="M751" s="402"/>
      <c r="N751" s="402"/>
    </row>
    <row r="752">
      <c r="A752" s="340"/>
      <c r="B752" s="242"/>
      <c r="C752" s="242"/>
      <c r="D752" s="242"/>
      <c r="E752" s="243"/>
      <c r="F752" s="242"/>
      <c r="G752" s="250"/>
      <c r="H752" s="389"/>
      <c r="I752" s="402"/>
      <c r="J752" s="402"/>
      <c r="K752" s="402"/>
      <c r="L752" s="402"/>
      <c r="M752" s="402"/>
      <c r="N752" s="402"/>
    </row>
    <row r="753">
      <c r="A753" s="340"/>
      <c r="B753" s="242"/>
      <c r="C753" s="242"/>
      <c r="D753" s="242"/>
      <c r="E753" s="243"/>
      <c r="F753" s="242"/>
      <c r="G753" s="250"/>
      <c r="H753" s="389"/>
      <c r="I753" s="402"/>
      <c r="J753" s="402"/>
      <c r="K753" s="402"/>
      <c r="L753" s="402"/>
      <c r="M753" s="402"/>
      <c r="N753" s="402"/>
    </row>
    <row r="754">
      <c r="A754" s="340"/>
      <c r="B754" s="242"/>
      <c r="C754" s="242"/>
      <c r="D754" s="242"/>
      <c r="E754" s="243"/>
      <c r="F754" s="242"/>
      <c r="G754" s="250"/>
      <c r="H754" s="389"/>
      <c r="I754" s="402"/>
      <c r="J754" s="402"/>
      <c r="K754" s="402"/>
      <c r="L754" s="402"/>
      <c r="M754" s="402"/>
      <c r="N754" s="402"/>
    </row>
    <row r="755">
      <c r="A755" s="340"/>
      <c r="B755" s="242"/>
      <c r="C755" s="242"/>
      <c r="D755" s="242"/>
      <c r="E755" s="243"/>
      <c r="F755" s="242"/>
      <c r="G755" s="250"/>
      <c r="H755" s="389"/>
      <c r="I755" s="402"/>
      <c r="J755" s="402"/>
      <c r="K755" s="402"/>
      <c r="L755" s="402"/>
      <c r="M755" s="402"/>
      <c r="N755" s="402"/>
    </row>
    <row r="756">
      <c r="A756" s="340"/>
      <c r="B756" s="242"/>
      <c r="C756" s="242"/>
      <c r="D756" s="242"/>
      <c r="E756" s="243"/>
      <c r="F756" s="242"/>
      <c r="G756" s="250"/>
      <c r="H756" s="389"/>
      <c r="I756" s="402"/>
      <c r="J756" s="402"/>
      <c r="K756" s="402"/>
      <c r="L756" s="402"/>
      <c r="M756" s="402"/>
      <c r="N756" s="402"/>
    </row>
    <row r="757">
      <c r="A757" s="340"/>
      <c r="B757" s="242"/>
      <c r="C757" s="242"/>
      <c r="D757" s="242"/>
      <c r="E757" s="243"/>
      <c r="F757" s="242"/>
      <c r="G757" s="250"/>
      <c r="H757" s="389"/>
      <c r="I757" s="402"/>
      <c r="J757" s="402"/>
      <c r="K757" s="402"/>
      <c r="L757" s="402"/>
      <c r="M757" s="402"/>
      <c r="N757" s="402"/>
    </row>
    <row r="758">
      <c r="A758" s="340"/>
      <c r="B758" s="242"/>
      <c r="C758" s="242"/>
      <c r="D758" s="242"/>
      <c r="E758" s="243"/>
      <c r="F758" s="242"/>
      <c r="G758" s="250"/>
      <c r="H758" s="389"/>
      <c r="I758" s="402"/>
      <c r="J758" s="402"/>
      <c r="K758" s="402"/>
      <c r="L758" s="402"/>
      <c r="M758" s="402"/>
      <c r="N758" s="402"/>
    </row>
    <row r="759">
      <c r="A759" s="340"/>
      <c r="B759" s="242"/>
      <c r="C759" s="242"/>
      <c r="D759" s="242"/>
      <c r="E759" s="243"/>
      <c r="F759" s="242"/>
      <c r="G759" s="250"/>
      <c r="H759" s="389"/>
      <c r="I759" s="402"/>
      <c r="J759" s="402"/>
      <c r="K759" s="402"/>
      <c r="L759" s="402"/>
      <c r="M759" s="402"/>
      <c r="N759" s="402"/>
    </row>
    <row r="760">
      <c r="A760" s="340"/>
      <c r="B760" s="242"/>
      <c r="C760" s="242"/>
      <c r="D760" s="242"/>
      <c r="E760" s="243"/>
      <c r="F760" s="242"/>
      <c r="G760" s="250"/>
      <c r="H760" s="389"/>
      <c r="I760" s="402"/>
      <c r="J760" s="402"/>
      <c r="K760" s="402"/>
      <c r="L760" s="402"/>
      <c r="M760" s="402"/>
      <c r="N760" s="402"/>
    </row>
    <row r="761">
      <c r="A761" s="340"/>
      <c r="B761" s="242"/>
      <c r="C761" s="242"/>
      <c r="D761" s="242"/>
      <c r="E761" s="243"/>
      <c r="F761" s="242"/>
      <c r="G761" s="250"/>
      <c r="H761" s="389"/>
      <c r="I761" s="402"/>
      <c r="J761" s="402"/>
      <c r="K761" s="402"/>
      <c r="L761" s="402"/>
      <c r="M761" s="402"/>
      <c r="N761" s="402"/>
    </row>
    <row r="762">
      <c r="A762" s="340"/>
      <c r="B762" s="242"/>
      <c r="C762" s="242"/>
      <c r="D762" s="242"/>
      <c r="E762" s="243"/>
      <c r="F762" s="242"/>
      <c r="G762" s="250"/>
      <c r="H762" s="389"/>
      <c r="I762" s="402"/>
      <c r="J762" s="402"/>
      <c r="K762" s="402"/>
      <c r="L762" s="402"/>
      <c r="M762" s="402"/>
      <c r="N762" s="402"/>
    </row>
    <row r="763">
      <c r="A763" s="340"/>
      <c r="B763" s="242"/>
      <c r="C763" s="242"/>
      <c r="D763" s="242"/>
      <c r="E763" s="243"/>
      <c r="F763" s="242"/>
      <c r="G763" s="250"/>
      <c r="H763" s="389"/>
      <c r="I763" s="402"/>
      <c r="J763" s="402"/>
      <c r="K763" s="402"/>
      <c r="L763" s="402"/>
      <c r="M763" s="402"/>
      <c r="N763" s="402"/>
    </row>
    <row r="764">
      <c r="A764" s="340"/>
      <c r="B764" s="242"/>
      <c r="C764" s="242"/>
      <c r="D764" s="242"/>
      <c r="E764" s="243"/>
      <c r="F764" s="242"/>
      <c r="G764" s="250"/>
      <c r="H764" s="389"/>
      <c r="I764" s="402"/>
      <c r="J764" s="402"/>
      <c r="K764" s="402"/>
      <c r="L764" s="402"/>
      <c r="M764" s="402"/>
      <c r="N764" s="402"/>
    </row>
    <row r="765">
      <c r="A765" s="340"/>
      <c r="B765" s="242"/>
      <c r="C765" s="242"/>
      <c r="D765" s="242"/>
      <c r="E765" s="243"/>
      <c r="F765" s="242"/>
      <c r="G765" s="250"/>
      <c r="H765" s="389"/>
      <c r="I765" s="402"/>
      <c r="J765" s="402"/>
      <c r="K765" s="402"/>
      <c r="L765" s="402"/>
      <c r="M765" s="402"/>
      <c r="N765" s="402"/>
    </row>
    <row r="766">
      <c r="A766" s="340"/>
      <c r="B766" s="242"/>
      <c r="C766" s="242"/>
      <c r="D766" s="242"/>
      <c r="E766" s="243"/>
      <c r="F766" s="242"/>
      <c r="G766" s="250"/>
      <c r="H766" s="389"/>
      <c r="I766" s="402"/>
      <c r="J766" s="402"/>
      <c r="K766" s="402"/>
      <c r="L766" s="402"/>
      <c r="M766" s="402"/>
      <c r="N766" s="402"/>
    </row>
    <row r="767">
      <c r="A767" s="340"/>
      <c r="B767" s="242"/>
      <c r="C767" s="242"/>
      <c r="D767" s="242"/>
      <c r="E767" s="243"/>
      <c r="F767" s="242"/>
      <c r="G767" s="250"/>
      <c r="H767" s="389"/>
      <c r="I767" s="402"/>
      <c r="J767" s="402"/>
      <c r="K767" s="402"/>
      <c r="L767" s="402"/>
      <c r="M767" s="402"/>
      <c r="N767" s="402"/>
    </row>
    <row r="768">
      <c r="A768" s="340"/>
      <c r="B768" s="242"/>
      <c r="C768" s="242"/>
      <c r="D768" s="242"/>
      <c r="E768" s="243"/>
      <c r="F768" s="242"/>
      <c r="G768" s="250"/>
      <c r="H768" s="389"/>
      <c r="I768" s="402"/>
      <c r="J768" s="402"/>
      <c r="K768" s="402"/>
      <c r="L768" s="402"/>
      <c r="M768" s="402"/>
      <c r="N768" s="402"/>
    </row>
    <row r="769">
      <c r="A769" s="340"/>
      <c r="B769" s="242"/>
      <c r="C769" s="242"/>
      <c r="D769" s="242"/>
      <c r="E769" s="243"/>
      <c r="F769" s="242"/>
      <c r="G769" s="250"/>
      <c r="H769" s="389"/>
      <c r="I769" s="402"/>
      <c r="J769" s="402"/>
      <c r="K769" s="402"/>
      <c r="L769" s="402"/>
      <c r="M769" s="402"/>
      <c r="N769" s="402"/>
    </row>
    <row r="770">
      <c r="A770" s="340"/>
      <c r="B770" s="242"/>
      <c r="C770" s="242"/>
      <c r="D770" s="242"/>
      <c r="E770" s="243"/>
      <c r="F770" s="242"/>
      <c r="G770" s="250"/>
      <c r="H770" s="389"/>
      <c r="I770" s="402"/>
      <c r="J770" s="402"/>
      <c r="K770" s="402"/>
      <c r="L770" s="402"/>
      <c r="M770" s="402"/>
      <c r="N770" s="402"/>
    </row>
    <row r="771">
      <c r="A771" s="340"/>
      <c r="B771" s="242"/>
      <c r="C771" s="242"/>
      <c r="D771" s="242"/>
      <c r="E771" s="243"/>
      <c r="F771" s="242"/>
      <c r="G771" s="250"/>
      <c r="H771" s="389"/>
      <c r="I771" s="402"/>
      <c r="J771" s="402"/>
      <c r="K771" s="402"/>
      <c r="L771" s="402"/>
      <c r="M771" s="402"/>
      <c r="N771" s="402"/>
    </row>
    <row r="772">
      <c r="A772" s="340"/>
      <c r="B772" s="242"/>
      <c r="C772" s="242"/>
      <c r="D772" s="242"/>
      <c r="E772" s="243"/>
      <c r="F772" s="242"/>
      <c r="G772" s="250"/>
      <c r="H772" s="389"/>
      <c r="I772" s="402"/>
      <c r="J772" s="402"/>
      <c r="K772" s="402"/>
      <c r="L772" s="402"/>
      <c r="M772" s="402"/>
      <c r="N772" s="402"/>
    </row>
    <row r="773">
      <c r="A773" s="340"/>
      <c r="B773" s="242"/>
      <c r="C773" s="242"/>
      <c r="D773" s="242"/>
      <c r="E773" s="243"/>
      <c r="F773" s="242"/>
      <c r="G773" s="250"/>
      <c r="H773" s="389"/>
      <c r="I773" s="402"/>
      <c r="J773" s="402"/>
      <c r="K773" s="402"/>
      <c r="L773" s="402"/>
      <c r="M773" s="402"/>
      <c r="N773" s="402"/>
    </row>
    <row r="774">
      <c r="A774" s="340"/>
      <c r="B774" s="242"/>
      <c r="C774" s="242"/>
      <c r="D774" s="242"/>
      <c r="E774" s="243"/>
      <c r="F774" s="242"/>
      <c r="G774" s="250"/>
      <c r="H774" s="389"/>
      <c r="I774" s="402"/>
      <c r="J774" s="402"/>
      <c r="K774" s="402"/>
      <c r="L774" s="402"/>
      <c r="M774" s="402"/>
      <c r="N774" s="402"/>
    </row>
    <row r="775">
      <c r="A775" s="340"/>
      <c r="B775" s="242"/>
      <c r="C775" s="242"/>
      <c r="D775" s="242"/>
      <c r="E775" s="243"/>
      <c r="F775" s="242"/>
      <c r="G775" s="250"/>
      <c r="H775" s="389"/>
      <c r="I775" s="402"/>
      <c r="J775" s="402"/>
      <c r="K775" s="402"/>
      <c r="L775" s="402"/>
      <c r="M775" s="402"/>
      <c r="N775" s="402"/>
    </row>
    <row r="776">
      <c r="A776" s="340"/>
      <c r="B776" s="242"/>
      <c r="C776" s="242"/>
      <c r="D776" s="242"/>
      <c r="E776" s="243"/>
      <c r="F776" s="242"/>
      <c r="G776" s="250"/>
      <c r="H776" s="389"/>
      <c r="I776" s="402"/>
      <c r="J776" s="402"/>
      <c r="K776" s="402"/>
      <c r="L776" s="402"/>
      <c r="M776" s="402"/>
      <c r="N776" s="402"/>
    </row>
    <row r="777">
      <c r="A777" s="340"/>
      <c r="B777" s="242"/>
      <c r="C777" s="242"/>
      <c r="D777" s="242"/>
      <c r="E777" s="243"/>
      <c r="F777" s="242"/>
      <c r="G777" s="250"/>
      <c r="H777" s="389"/>
      <c r="I777" s="402"/>
      <c r="J777" s="402"/>
      <c r="K777" s="402"/>
      <c r="L777" s="402"/>
      <c r="M777" s="402"/>
      <c r="N777" s="402"/>
    </row>
    <row r="778">
      <c r="A778" s="340"/>
      <c r="B778" s="242"/>
      <c r="C778" s="242"/>
      <c r="D778" s="242"/>
      <c r="E778" s="243"/>
      <c r="F778" s="242"/>
      <c r="G778" s="250"/>
      <c r="H778" s="389"/>
      <c r="I778" s="402"/>
      <c r="J778" s="402"/>
      <c r="K778" s="402"/>
      <c r="L778" s="402"/>
      <c r="M778" s="402"/>
      <c r="N778" s="402"/>
    </row>
    <row r="779">
      <c r="A779" s="340"/>
      <c r="B779" s="242"/>
      <c r="C779" s="242"/>
      <c r="D779" s="242"/>
      <c r="E779" s="243"/>
      <c r="F779" s="242"/>
      <c r="G779" s="250"/>
      <c r="H779" s="389"/>
      <c r="I779" s="402"/>
      <c r="J779" s="402"/>
      <c r="K779" s="402"/>
      <c r="L779" s="402"/>
      <c r="M779" s="402"/>
      <c r="N779" s="402"/>
    </row>
    <row r="780">
      <c r="A780" s="340"/>
      <c r="B780" s="242"/>
      <c r="C780" s="242"/>
      <c r="D780" s="242"/>
      <c r="E780" s="243"/>
      <c r="F780" s="242"/>
      <c r="G780" s="250"/>
      <c r="H780" s="389"/>
      <c r="I780" s="402"/>
      <c r="J780" s="402"/>
      <c r="K780" s="402"/>
      <c r="L780" s="402"/>
      <c r="M780" s="402"/>
      <c r="N780" s="402"/>
    </row>
    <row r="781">
      <c r="A781" s="340"/>
      <c r="B781" s="242"/>
      <c r="C781" s="242"/>
      <c r="D781" s="242"/>
      <c r="E781" s="243"/>
      <c r="F781" s="242"/>
      <c r="G781" s="250"/>
      <c r="H781" s="389"/>
      <c r="I781" s="402"/>
      <c r="J781" s="402"/>
      <c r="K781" s="402"/>
      <c r="L781" s="402"/>
      <c r="M781" s="402"/>
      <c r="N781" s="402"/>
    </row>
    <row r="782">
      <c r="A782" s="340"/>
      <c r="B782" s="242"/>
      <c r="C782" s="242"/>
      <c r="D782" s="242"/>
      <c r="E782" s="243"/>
      <c r="F782" s="242"/>
      <c r="G782" s="250"/>
      <c r="H782" s="389"/>
      <c r="I782" s="402"/>
      <c r="J782" s="402"/>
      <c r="K782" s="402"/>
      <c r="L782" s="402"/>
      <c r="M782" s="402"/>
      <c r="N782" s="402"/>
    </row>
    <row r="783">
      <c r="A783" s="340"/>
      <c r="B783" s="242"/>
      <c r="C783" s="242"/>
      <c r="D783" s="242"/>
      <c r="E783" s="243"/>
      <c r="F783" s="242"/>
      <c r="G783" s="250"/>
      <c r="H783" s="389"/>
      <c r="I783" s="402"/>
      <c r="J783" s="402"/>
      <c r="K783" s="402"/>
      <c r="L783" s="402"/>
      <c r="M783" s="402"/>
      <c r="N783" s="402"/>
    </row>
    <row r="784">
      <c r="A784" s="340"/>
      <c r="B784" s="242"/>
      <c r="C784" s="242"/>
      <c r="D784" s="242"/>
      <c r="E784" s="243"/>
      <c r="F784" s="242"/>
      <c r="G784" s="250"/>
      <c r="H784" s="389"/>
      <c r="I784" s="402"/>
      <c r="J784" s="402"/>
      <c r="K784" s="402"/>
      <c r="L784" s="402"/>
      <c r="M784" s="402"/>
      <c r="N784" s="402"/>
    </row>
    <row r="785">
      <c r="A785" s="340"/>
      <c r="B785" s="242"/>
      <c r="C785" s="242"/>
      <c r="D785" s="242"/>
      <c r="E785" s="243"/>
      <c r="F785" s="242"/>
      <c r="G785" s="250"/>
      <c r="H785" s="389"/>
      <c r="I785" s="402"/>
      <c r="J785" s="402"/>
      <c r="K785" s="402"/>
      <c r="L785" s="402"/>
      <c r="M785" s="402"/>
      <c r="N785" s="402"/>
    </row>
    <row r="786">
      <c r="A786" s="340"/>
      <c r="B786" s="242"/>
      <c r="C786" s="242"/>
      <c r="D786" s="242"/>
      <c r="E786" s="243"/>
      <c r="F786" s="242"/>
      <c r="G786" s="250"/>
      <c r="H786" s="389"/>
      <c r="I786" s="402"/>
      <c r="J786" s="402"/>
      <c r="K786" s="402"/>
      <c r="L786" s="402"/>
      <c r="M786" s="402"/>
      <c r="N786" s="402"/>
    </row>
    <row r="787">
      <c r="A787" s="340"/>
      <c r="B787" s="242"/>
      <c r="C787" s="242"/>
      <c r="D787" s="242"/>
      <c r="E787" s="243"/>
      <c r="F787" s="242"/>
      <c r="G787" s="250"/>
      <c r="H787" s="389"/>
      <c r="I787" s="402"/>
      <c r="J787" s="402"/>
      <c r="K787" s="402"/>
      <c r="L787" s="402"/>
      <c r="M787" s="402"/>
      <c r="N787" s="402"/>
    </row>
    <row r="788">
      <c r="A788" s="340"/>
      <c r="B788" s="242"/>
      <c r="C788" s="242"/>
      <c r="D788" s="242"/>
      <c r="E788" s="243"/>
      <c r="F788" s="242"/>
      <c r="G788" s="250"/>
      <c r="H788" s="389"/>
      <c r="I788" s="402"/>
      <c r="J788" s="402"/>
      <c r="K788" s="402"/>
      <c r="L788" s="402"/>
      <c r="M788" s="402"/>
      <c r="N788" s="402"/>
    </row>
    <row r="789">
      <c r="A789" s="340"/>
      <c r="B789" s="242"/>
      <c r="C789" s="242"/>
      <c r="D789" s="242"/>
      <c r="E789" s="243"/>
      <c r="F789" s="242"/>
      <c r="G789" s="250"/>
      <c r="H789" s="389"/>
      <c r="I789" s="402"/>
      <c r="J789" s="402"/>
      <c r="K789" s="402"/>
      <c r="L789" s="402"/>
      <c r="M789" s="402"/>
      <c r="N789" s="402"/>
    </row>
    <row r="790">
      <c r="A790" s="340"/>
      <c r="B790" s="242"/>
      <c r="C790" s="242"/>
      <c r="D790" s="242"/>
      <c r="E790" s="243"/>
      <c r="F790" s="242"/>
      <c r="G790" s="250"/>
      <c r="H790" s="389"/>
      <c r="I790" s="402"/>
      <c r="J790" s="402"/>
      <c r="K790" s="402"/>
      <c r="L790" s="402"/>
      <c r="M790" s="402"/>
      <c r="N790" s="402"/>
    </row>
    <row r="791">
      <c r="A791" s="340"/>
      <c r="B791" s="242"/>
      <c r="C791" s="242"/>
      <c r="D791" s="242"/>
      <c r="E791" s="243"/>
      <c r="F791" s="242"/>
      <c r="G791" s="250"/>
      <c r="H791" s="389"/>
      <c r="I791" s="402"/>
      <c r="J791" s="402"/>
      <c r="K791" s="402"/>
      <c r="L791" s="402"/>
      <c r="M791" s="402"/>
      <c r="N791" s="402"/>
    </row>
    <row r="792">
      <c r="A792" s="340"/>
      <c r="B792" s="242"/>
      <c r="C792" s="242"/>
      <c r="D792" s="242"/>
      <c r="E792" s="243"/>
      <c r="F792" s="242"/>
      <c r="G792" s="250"/>
      <c r="H792" s="389"/>
      <c r="I792" s="402"/>
      <c r="J792" s="402"/>
      <c r="K792" s="402"/>
      <c r="L792" s="402"/>
      <c r="M792" s="402"/>
      <c r="N792" s="402"/>
    </row>
    <row r="793">
      <c r="A793" s="340"/>
      <c r="B793" s="242"/>
      <c r="C793" s="242"/>
      <c r="D793" s="242"/>
      <c r="E793" s="243"/>
      <c r="F793" s="242"/>
      <c r="G793" s="250"/>
      <c r="H793" s="389"/>
      <c r="I793" s="402"/>
      <c r="J793" s="402"/>
      <c r="K793" s="402"/>
      <c r="L793" s="402"/>
      <c r="M793" s="402"/>
      <c r="N793" s="402"/>
    </row>
    <row r="794">
      <c r="A794" s="340"/>
      <c r="B794" s="242"/>
      <c r="C794" s="242"/>
      <c r="D794" s="242"/>
      <c r="E794" s="243"/>
      <c r="F794" s="242"/>
      <c r="G794" s="250"/>
      <c r="H794" s="389"/>
      <c r="I794" s="402"/>
      <c r="J794" s="402"/>
      <c r="K794" s="402"/>
      <c r="L794" s="402"/>
      <c r="M794" s="402"/>
      <c r="N794" s="402"/>
    </row>
    <row r="795">
      <c r="A795" s="340"/>
      <c r="B795" s="242"/>
      <c r="C795" s="242"/>
      <c r="D795" s="242"/>
      <c r="E795" s="243"/>
      <c r="F795" s="242"/>
      <c r="G795" s="250"/>
      <c r="H795" s="389"/>
      <c r="I795" s="402"/>
      <c r="J795" s="402"/>
      <c r="K795" s="402"/>
      <c r="L795" s="402"/>
      <c r="M795" s="402"/>
      <c r="N795" s="402"/>
    </row>
    <row r="796">
      <c r="A796" s="340"/>
      <c r="B796" s="242"/>
      <c r="C796" s="242"/>
      <c r="D796" s="242"/>
      <c r="E796" s="243"/>
      <c r="F796" s="242"/>
      <c r="G796" s="250"/>
      <c r="H796" s="389"/>
      <c r="I796" s="402"/>
      <c r="J796" s="402"/>
      <c r="K796" s="402"/>
      <c r="L796" s="402"/>
      <c r="M796" s="402"/>
      <c r="N796" s="402"/>
    </row>
    <row r="797">
      <c r="A797" s="340"/>
      <c r="B797" s="242"/>
      <c r="C797" s="242"/>
      <c r="D797" s="242"/>
      <c r="E797" s="243"/>
      <c r="F797" s="242"/>
      <c r="G797" s="250"/>
      <c r="H797" s="389"/>
      <c r="I797" s="402"/>
      <c r="J797" s="402"/>
      <c r="K797" s="402"/>
      <c r="L797" s="402"/>
      <c r="M797" s="402"/>
      <c r="N797" s="402"/>
    </row>
    <row r="798">
      <c r="A798" s="340"/>
      <c r="B798" s="242"/>
      <c r="C798" s="242"/>
      <c r="D798" s="242"/>
      <c r="E798" s="243"/>
      <c r="F798" s="242"/>
      <c r="G798" s="250"/>
      <c r="H798" s="389"/>
      <c r="I798" s="402"/>
      <c r="J798" s="402"/>
      <c r="K798" s="402"/>
      <c r="L798" s="402"/>
      <c r="M798" s="402"/>
      <c r="N798" s="402"/>
    </row>
    <row r="799">
      <c r="A799" s="340"/>
      <c r="B799" s="242"/>
      <c r="C799" s="242"/>
      <c r="D799" s="242"/>
      <c r="E799" s="243"/>
      <c r="F799" s="242"/>
      <c r="G799" s="250"/>
      <c r="H799" s="389"/>
      <c r="I799" s="402"/>
      <c r="J799" s="402"/>
      <c r="K799" s="402"/>
      <c r="L799" s="402"/>
      <c r="M799" s="402"/>
      <c r="N799" s="402"/>
    </row>
    <row r="800">
      <c r="A800" s="340"/>
      <c r="B800" s="242"/>
      <c r="C800" s="242"/>
      <c r="D800" s="242"/>
      <c r="E800" s="243"/>
      <c r="F800" s="242"/>
      <c r="G800" s="250"/>
      <c r="H800" s="389"/>
      <c r="I800" s="402"/>
      <c r="J800" s="402"/>
      <c r="K800" s="402"/>
      <c r="L800" s="402"/>
      <c r="M800" s="402"/>
      <c r="N800" s="402"/>
    </row>
    <row r="801">
      <c r="A801" s="340"/>
      <c r="B801" s="242"/>
      <c r="C801" s="242"/>
      <c r="D801" s="242"/>
      <c r="E801" s="243"/>
      <c r="F801" s="242"/>
      <c r="G801" s="250"/>
      <c r="H801" s="389"/>
      <c r="I801" s="402"/>
      <c r="J801" s="402"/>
      <c r="K801" s="402"/>
      <c r="L801" s="402"/>
      <c r="M801" s="402"/>
      <c r="N801" s="402"/>
    </row>
    <row r="802">
      <c r="A802" s="340"/>
      <c r="B802" s="242"/>
      <c r="C802" s="242"/>
      <c r="D802" s="242"/>
      <c r="E802" s="243"/>
      <c r="F802" s="242"/>
      <c r="G802" s="250"/>
      <c r="H802" s="389"/>
      <c r="I802" s="402"/>
      <c r="J802" s="402"/>
      <c r="K802" s="402"/>
      <c r="L802" s="402"/>
      <c r="M802" s="402"/>
      <c r="N802" s="402"/>
    </row>
    <row r="803">
      <c r="A803" s="340"/>
      <c r="B803" s="242"/>
      <c r="C803" s="242"/>
      <c r="D803" s="242"/>
      <c r="E803" s="243"/>
      <c r="F803" s="242"/>
      <c r="G803" s="250"/>
      <c r="H803" s="389"/>
      <c r="I803" s="402"/>
      <c r="J803" s="402"/>
      <c r="K803" s="402"/>
      <c r="L803" s="402"/>
      <c r="M803" s="402"/>
      <c r="N803" s="402"/>
    </row>
    <row r="804">
      <c r="A804" s="340"/>
      <c r="B804" s="242"/>
      <c r="C804" s="242"/>
      <c r="D804" s="242"/>
      <c r="E804" s="243"/>
      <c r="F804" s="242"/>
      <c r="G804" s="250"/>
      <c r="H804" s="389"/>
      <c r="I804" s="402"/>
      <c r="J804" s="402"/>
      <c r="K804" s="402"/>
      <c r="L804" s="402"/>
      <c r="M804" s="402"/>
      <c r="N804" s="402"/>
    </row>
    <row r="805">
      <c r="A805" s="340"/>
      <c r="B805" s="242"/>
      <c r="C805" s="242"/>
      <c r="D805" s="242"/>
      <c r="E805" s="243"/>
      <c r="F805" s="242"/>
      <c r="G805" s="250"/>
      <c r="H805" s="389"/>
      <c r="I805" s="402"/>
      <c r="J805" s="402"/>
      <c r="K805" s="402"/>
      <c r="L805" s="402"/>
      <c r="M805" s="402"/>
      <c r="N805" s="402"/>
    </row>
    <row r="806">
      <c r="A806" s="340"/>
      <c r="B806" s="242"/>
      <c r="C806" s="242"/>
      <c r="D806" s="242"/>
      <c r="E806" s="243"/>
      <c r="F806" s="242"/>
      <c r="G806" s="250"/>
      <c r="H806" s="389"/>
      <c r="I806" s="402"/>
      <c r="J806" s="402"/>
      <c r="K806" s="402"/>
      <c r="L806" s="402"/>
      <c r="M806" s="402"/>
      <c r="N806" s="402"/>
    </row>
    <row r="807">
      <c r="A807" s="340"/>
      <c r="B807" s="242"/>
      <c r="C807" s="242"/>
      <c r="D807" s="242"/>
      <c r="E807" s="243"/>
      <c r="F807" s="242"/>
      <c r="G807" s="250"/>
      <c r="H807" s="389"/>
      <c r="I807" s="402"/>
      <c r="J807" s="402"/>
      <c r="K807" s="402"/>
      <c r="L807" s="402"/>
      <c r="M807" s="402"/>
      <c r="N807" s="402"/>
    </row>
    <row r="808">
      <c r="A808" s="340"/>
      <c r="B808" s="242"/>
      <c r="C808" s="242"/>
      <c r="D808" s="242"/>
      <c r="E808" s="243"/>
      <c r="F808" s="242"/>
      <c r="G808" s="250"/>
      <c r="H808" s="389"/>
      <c r="I808" s="402"/>
      <c r="J808" s="402"/>
      <c r="K808" s="402"/>
      <c r="L808" s="402"/>
      <c r="M808" s="402"/>
      <c r="N808" s="402"/>
    </row>
    <row r="809">
      <c r="A809" s="340"/>
      <c r="B809" s="242"/>
      <c r="C809" s="242"/>
      <c r="D809" s="242"/>
      <c r="E809" s="243"/>
      <c r="F809" s="242"/>
      <c r="G809" s="250"/>
      <c r="H809" s="389"/>
      <c r="I809" s="402"/>
      <c r="J809" s="402"/>
      <c r="K809" s="402"/>
      <c r="L809" s="402"/>
      <c r="M809" s="402"/>
      <c r="N809" s="402"/>
    </row>
    <row r="810">
      <c r="A810" s="340"/>
      <c r="B810" s="242"/>
      <c r="C810" s="242"/>
      <c r="D810" s="242"/>
      <c r="E810" s="243"/>
      <c r="F810" s="242"/>
      <c r="G810" s="250"/>
      <c r="H810" s="389"/>
      <c r="I810" s="402"/>
      <c r="J810" s="402"/>
      <c r="K810" s="402"/>
      <c r="L810" s="402"/>
      <c r="M810" s="402"/>
      <c r="N810" s="402"/>
    </row>
    <row r="811">
      <c r="A811" s="340"/>
      <c r="B811" s="242"/>
      <c r="C811" s="242"/>
      <c r="D811" s="242"/>
      <c r="E811" s="243"/>
      <c r="F811" s="242"/>
      <c r="G811" s="250"/>
      <c r="H811" s="389"/>
      <c r="I811" s="402"/>
      <c r="J811" s="402"/>
      <c r="K811" s="402"/>
      <c r="L811" s="402"/>
      <c r="M811" s="402"/>
      <c r="N811" s="402"/>
    </row>
    <row r="812">
      <c r="A812" s="340"/>
      <c r="B812" s="242"/>
      <c r="C812" s="242"/>
      <c r="D812" s="242"/>
      <c r="E812" s="243"/>
      <c r="F812" s="242"/>
      <c r="G812" s="250"/>
      <c r="H812" s="389"/>
      <c r="I812" s="402"/>
      <c r="J812" s="402"/>
      <c r="K812" s="402"/>
      <c r="L812" s="402"/>
      <c r="M812" s="402"/>
      <c r="N812" s="402"/>
    </row>
    <row r="813">
      <c r="A813" s="340"/>
      <c r="B813" s="242"/>
      <c r="C813" s="242"/>
      <c r="D813" s="242"/>
      <c r="E813" s="243"/>
      <c r="F813" s="242"/>
      <c r="G813" s="250"/>
      <c r="H813" s="389"/>
      <c r="I813" s="402"/>
      <c r="J813" s="402"/>
      <c r="K813" s="402"/>
      <c r="L813" s="402"/>
      <c r="M813" s="402"/>
      <c r="N813" s="402"/>
    </row>
    <row r="814">
      <c r="A814" s="340"/>
      <c r="B814" s="242"/>
      <c r="C814" s="242"/>
      <c r="D814" s="242"/>
      <c r="E814" s="243"/>
      <c r="F814" s="242"/>
      <c r="G814" s="250"/>
      <c r="H814" s="389"/>
      <c r="I814" s="402"/>
      <c r="J814" s="402"/>
      <c r="K814" s="402"/>
      <c r="L814" s="402"/>
      <c r="M814" s="402"/>
      <c r="N814" s="402"/>
    </row>
    <row r="815">
      <c r="A815" s="340"/>
      <c r="B815" s="242"/>
      <c r="C815" s="242"/>
      <c r="D815" s="242"/>
      <c r="E815" s="243"/>
      <c r="F815" s="242"/>
      <c r="G815" s="250"/>
      <c r="H815" s="389"/>
      <c r="I815" s="402"/>
      <c r="J815" s="402"/>
      <c r="K815" s="402"/>
      <c r="L815" s="402"/>
      <c r="M815" s="402"/>
      <c r="N815" s="402"/>
    </row>
    <row r="816">
      <c r="A816" s="340"/>
      <c r="B816" s="242"/>
      <c r="C816" s="242"/>
      <c r="D816" s="242"/>
      <c r="E816" s="243"/>
      <c r="F816" s="242"/>
      <c r="G816" s="250"/>
      <c r="H816" s="389"/>
      <c r="I816" s="402"/>
      <c r="J816" s="402"/>
      <c r="K816" s="402"/>
      <c r="L816" s="402"/>
      <c r="M816" s="402"/>
      <c r="N816" s="402"/>
    </row>
    <row r="817">
      <c r="A817" s="340"/>
      <c r="B817" s="242"/>
      <c r="C817" s="242"/>
      <c r="D817" s="242"/>
      <c r="E817" s="243"/>
      <c r="F817" s="242"/>
      <c r="G817" s="250"/>
      <c r="H817" s="389"/>
      <c r="I817" s="402"/>
      <c r="J817" s="402"/>
      <c r="K817" s="402"/>
      <c r="L817" s="402"/>
      <c r="M817" s="402"/>
      <c r="N817" s="402"/>
    </row>
    <row r="818">
      <c r="A818" s="340"/>
      <c r="B818" s="242"/>
      <c r="C818" s="242"/>
      <c r="D818" s="242"/>
      <c r="E818" s="243"/>
      <c r="F818" s="242"/>
      <c r="G818" s="250"/>
      <c r="H818" s="389"/>
      <c r="I818" s="402"/>
      <c r="J818" s="402"/>
      <c r="K818" s="402"/>
      <c r="L818" s="402"/>
      <c r="M818" s="402"/>
      <c r="N818" s="402"/>
    </row>
    <row r="819">
      <c r="A819" s="340"/>
      <c r="B819" s="242"/>
      <c r="C819" s="242"/>
      <c r="D819" s="242"/>
      <c r="E819" s="243"/>
      <c r="F819" s="242"/>
      <c r="G819" s="250"/>
      <c r="H819" s="389"/>
      <c r="I819" s="402"/>
      <c r="J819" s="402"/>
      <c r="K819" s="402"/>
      <c r="L819" s="402"/>
      <c r="M819" s="402"/>
      <c r="N819" s="402"/>
    </row>
    <row r="820">
      <c r="A820" s="340"/>
      <c r="B820" s="242"/>
      <c r="C820" s="242"/>
      <c r="D820" s="242"/>
      <c r="E820" s="243"/>
      <c r="F820" s="242"/>
      <c r="G820" s="250"/>
      <c r="H820" s="389"/>
      <c r="I820" s="402"/>
      <c r="J820" s="402"/>
      <c r="K820" s="402"/>
      <c r="L820" s="402"/>
      <c r="M820" s="402"/>
      <c r="N820" s="402"/>
    </row>
    <row r="821">
      <c r="A821" s="340"/>
      <c r="B821" s="242"/>
      <c r="C821" s="242"/>
      <c r="D821" s="242"/>
      <c r="E821" s="243"/>
      <c r="F821" s="242"/>
      <c r="G821" s="250"/>
      <c r="H821" s="389"/>
      <c r="I821" s="402"/>
      <c r="J821" s="402"/>
      <c r="K821" s="402"/>
      <c r="L821" s="402"/>
      <c r="M821" s="402"/>
      <c r="N821" s="402"/>
    </row>
    <row r="822">
      <c r="A822" s="340"/>
      <c r="B822" s="242"/>
      <c r="C822" s="242"/>
      <c r="D822" s="242"/>
      <c r="E822" s="243"/>
      <c r="F822" s="242"/>
      <c r="G822" s="250"/>
      <c r="H822" s="389"/>
      <c r="I822" s="402"/>
      <c r="J822" s="402"/>
      <c r="K822" s="402"/>
      <c r="L822" s="402"/>
      <c r="M822" s="402"/>
      <c r="N822" s="402"/>
    </row>
    <row r="823">
      <c r="A823" s="340"/>
      <c r="B823" s="242"/>
      <c r="C823" s="242"/>
      <c r="D823" s="242"/>
      <c r="E823" s="243"/>
      <c r="F823" s="242"/>
      <c r="G823" s="250"/>
      <c r="H823" s="389"/>
      <c r="I823" s="402"/>
      <c r="J823" s="402"/>
      <c r="K823" s="402"/>
      <c r="L823" s="402"/>
      <c r="M823" s="402"/>
      <c r="N823" s="402"/>
    </row>
    <row r="824">
      <c r="A824" s="340"/>
      <c r="B824" s="242"/>
      <c r="C824" s="242"/>
      <c r="D824" s="242"/>
      <c r="E824" s="243"/>
      <c r="F824" s="242"/>
      <c r="G824" s="250"/>
      <c r="H824" s="389"/>
      <c r="I824" s="402"/>
      <c r="J824" s="402"/>
      <c r="K824" s="402"/>
      <c r="L824" s="402"/>
      <c r="M824" s="402"/>
      <c r="N824" s="402"/>
    </row>
    <row r="825">
      <c r="A825" s="340"/>
      <c r="B825" s="242"/>
      <c r="C825" s="242"/>
      <c r="D825" s="242"/>
      <c r="E825" s="243"/>
      <c r="F825" s="242"/>
      <c r="G825" s="250"/>
      <c r="H825" s="389"/>
      <c r="I825" s="402"/>
      <c r="J825" s="402"/>
      <c r="K825" s="402"/>
      <c r="L825" s="402"/>
      <c r="M825" s="402"/>
      <c r="N825" s="402"/>
    </row>
    <row r="826">
      <c r="A826" s="340"/>
      <c r="B826" s="242"/>
      <c r="C826" s="242"/>
      <c r="D826" s="242"/>
      <c r="E826" s="243"/>
      <c r="F826" s="242"/>
      <c r="G826" s="250"/>
      <c r="H826" s="389"/>
      <c r="I826" s="402"/>
      <c r="J826" s="402"/>
      <c r="K826" s="402"/>
      <c r="L826" s="402"/>
      <c r="M826" s="402"/>
      <c r="N826" s="402"/>
    </row>
    <row r="827">
      <c r="A827" s="340"/>
      <c r="B827" s="242"/>
      <c r="C827" s="242"/>
      <c r="D827" s="242"/>
      <c r="E827" s="243"/>
      <c r="F827" s="242"/>
      <c r="G827" s="250"/>
      <c r="H827" s="389"/>
      <c r="I827" s="402"/>
      <c r="J827" s="402"/>
      <c r="K827" s="402"/>
      <c r="L827" s="402"/>
      <c r="M827" s="402"/>
      <c r="N827" s="402"/>
    </row>
    <row r="828">
      <c r="A828" s="340"/>
      <c r="B828" s="242"/>
      <c r="C828" s="242"/>
      <c r="D828" s="242"/>
      <c r="E828" s="243"/>
      <c r="F828" s="242"/>
      <c r="G828" s="250"/>
      <c r="H828" s="389"/>
      <c r="I828" s="402"/>
      <c r="J828" s="402"/>
      <c r="K828" s="402"/>
      <c r="L828" s="402"/>
      <c r="M828" s="402"/>
      <c r="N828" s="402"/>
    </row>
    <row r="829">
      <c r="A829" s="340"/>
      <c r="B829" s="242"/>
      <c r="C829" s="242"/>
      <c r="D829" s="242"/>
      <c r="E829" s="243"/>
      <c r="F829" s="242"/>
      <c r="G829" s="250"/>
      <c r="H829" s="389"/>
      <c r="I829" s="402"/>
      <c r="J829" s="402"/>
      <c r="K829" s="402"/>
      <c r="L829" s="402"/>
      <c r="M829" s="402"/>
      <c r="N829" s="402"/>
    </row>
    <row r="830">
      <c r="A830" s="340"/>
      <c r="B830" s="242"/>
      <c r="C830" s="242"/>
      <c r="D830" s="242"/>
      <c r="E830" s="243"/>
      <c r="F830" s="242"/>
      <c r="G830" s="250"/>
      <c r="H830" s="389"/>
      <c r="I830" s="402"/>
      <c r="J830" s="402"/>
      <c r="K830" s="402"/>
      <c r="L830" s="402"/>
      <c r="M830" s="402"/>
      <c r="N830" s="402"/>
    </row>
    <row r="831">
      <c r="A831" s="340"/>
      <c r="B831" s="242"/>
      <c r="C831" s="242"/>
      <c r="D831" s="242"/>
      <c r="E831" s="243"/>
      <c r="F831" s="242"/>
      <c r="G831" s="250"/>
      <c r="H831" s="389"/>
      <c r="I831" s="402"/>
      <c r="J831" s="402"/>
      <c r="K831" s="402"/>
      <c r="L831" s="402"/>
      <c r="M831" s="402"/>
      <c r="N831" s="402"/>
    </row>
    <row r="832">
      <c r="A832" s="340"/>
      <c r="B832" s="242"/>
      <c r="C832" s="242"/>
      <c r="D832" s="242"/>
      <c r="E832" s="243"/>
      <c r="F832" s="242"/>
      <c r="G832" s="250"/>
      <c r="H832" s="389"/>
      <c r="I832" s="402"/>
      <c r="J832" s="402"/>
      <c r="K832" s="402"/>
      <c r="L832" s="402"/>
      <c r="M832" s="402"/>
      <c r="N832" s="402"/>
    </row>
    <row r="833">
      <c r="A833" s="340"/>
      <c r="B833" s="242"/>
      <c r="C833" s="242"/>
      <c r="D833" s="242"/>
      <c r="E833" s="243"/>
      <c r="F833" s="242"/>
      <c r="G833" s="250"/>
      <c r="H833" s="389"/>
      <c r="I833" s="402"/>
      <c r="J833" s="402"/>
      <c r="K833" s="402"/>
      <c r="L833" s="402"/>
      <c r="M833" s="402"/>
      <c r="N833" s="402"/>
    </row>
    <row r="834">
      <c r="A834" s="340"/>
      <c r="B834" s="242"/>
      <c r="C834" s="242"/>
      <c r="D834" s="242"/>
      <c r="E834" s="243"/>
      <c r="F834" s="242"/>
      <c r="G834" s="250"/>
      <c r="H834" s="389"/>
      <c r="I834" s="402"/>
      <c r="J834" s="402"/>
      <c r="K834" s="402"/>
      <c r="L834" s="402"/>
      <c r="M834" s="402"/>
      <c r="N834" s="402"/>
    </row>
    <row r="835">
      <c r="A835" s="340"/>
      <c r="B835" s="242"/>
      <c r="C835" s="242"/>
      <c r="D835" s="242"/>
      <c r="E835" s="243"/>
      <c r="F835" s="242"/>
      <c r="G835" s="250"/>
      <c r="H835" s="389"/>
      <c r="I835" s="402"/>
      <c r="J835" s="402"/>
      <c r="K835" s="402"/>
      <c r="L835" s="402"/>
      <c r="M835" s="402"/>
      <c r="N835" s="402"/>
    </row>
    <row r="836">
      <c r="A836" s="340"/>
      <c r="B836" s="242"/>
      <c r="C836" s="242"/>
      <c r="D836" s="242"/>
      <c r="E836" s="243"/>
      <c r="F836" s="242"/>
      <c r="G836" s="250"/>
      <c r="H836" s="389"/>
      <c r="I836" s="402"/>
      <c r="J836" s="402"/>
      <c r="K836" s="402"/>
      <c r="L836" s="402"/>
      <c r="M836" s="402"/>
      <c r="N836" s="402"/>
    </row>
    <row r="837">
      <c r="A837" s="340"/>
      <c r="B837" s="242"/>
      <c r="C837" s="242"/>
      <c r="D837" s="242"/>
      <c r="E837" s="243"/>
      <c r="F837" s="242"/>
      <c r="G837" s="250"/>
      <c r="H837" s="389"/>
      <c r="I837" s="402"/>
      <c r="J837" s="402"/>
      <c r="K837" s="402"/>
      <c r="L837" s="402"/>
      <c r="M837" s="402"/>
      <c r="N837" s="402"/>
    </row>
    <row r="838">
      <c r="A838" s="340"/>
      <c r="B838" s="242"/>
      <c r="C838" s="242"/>
      <c r="D838" s="242"/>
      <c r="E838" s="243"/>
      <c r="F838" s="242"/>
      <c r="G838" s="250"/>
      <c r="H838" s="389"/>
      <c r="I838" s="402"/>
      <c r="J838" s="402"/>
      <c r="K838" s="402"/>
      <c r="L838" s="402"/>
      <c r="M838" s="402"/>
      <c r="N838" s="402"/>
    </row>
    <row r="839">
      <c r="A839" s="340"/>
      <c r="B839" s="242"/>
      <c r="C839" s="242"/>
      <c r="D839" s="242"/>
      <c r="E839" s="243"/>
      <c r="F839" s="242"/>
      <c r="G839" s="250"/>
      <c r="H839" s="389"/>
      <c r="I839" s="402"/>
      <c r="J839" s="402"/>
      <c r="K839" s="402"/>
      <c r="L839" s="402"/>
      <c r="M839" s="402"/>
      <c r="N839" s="402"/>
    </row>
    <row r="840">
      <c r="A840" s="340"/>
      <c r="B840" s="242"/>
      <c r="C840" s="242"/>
      <c r="D840" s="242"/>
      <c r="E840" s="243"/>
      <c r="F840" s="242"/>
      <c r="G840" s="250"/>
      <c r="H840" s="389"/>
      <c r="I840" s="402"/>
      <c r="J840" s="402"/>
      <c r="K840" s="402"/>
      <c r="L840" s="402"/>
      <c r="M840" s="402"/>
      <c r="N840" s="402"/>
    </row>
    <row r="841">
      <c r="A841" s="340"/>
      <c r="B841" s="242"/>
      <c r="C841" s="242"/>
      <c r="D841" s="242"/>
      <c r="E841" s="243"/>
      <c r="F841" s="242"/>
      <c r="G841" s="250"/>
      <c r="H841" s="389"/>
      <c r="I841" s="402"/>
      <c r="J841" s="402"/>
      <c r="K841" s="402"/>
      <c r="L841" s="402"/>
      <c r="M841" s="402"/>
      <c r="N841" s="402"/>
    </row>
    <row r="842">
      <c r="A842" s="340"/>
      <c r="B842" s="242"/>
      <c r="C842" s="242"/>
      <c r="D842" s="242"/>
      <c r="E842" s="243"/>
      <c r="F842" s="242"/>
      <c r="G842" s="250"/>
      <c r="H842" s="389"/>
      <c r="I842" s="402"/>
      <c r="J842" s="402"/>
      <c r="K842" s="402"/>
      <c r="L842" s="402"/>
      <c r="M842" s="402"/>
      <c r="N842" s="402"/>
    </row>
    <row r="843">
      <c r="A843" s="340"/>
      <c r="B843" s="242"/>
      <c r="C843" s="242"/>
      <c r="D843" s="242"/>
      <c r="E843" s="243"/>
      <c r="F843" s="242"/>
      <c r="G843" s="250"/>
      <c r="H843" s="389"/>
      <c r="I843" s="402"/>
      <c r="J843" s="402"/>
      <c r="K843" s="402"/>
      <c r="L843" s="402"/>
      <c r="M843" s="402"/>
      <c r="N843" s="402"/>
    </row>
    <row r="844">
      <c r="A844" s="340"/>
      <c r="B844" s="242"/>
      <c r="C844" s="242"/>
      <c r="D844" s="242"/>
      <c r="E844" s="243"/>
      <c r="F844" s="242"/>
      <c r="G844" s="250"/>
      <c r="H844" s="389"/>
      <c r="I844" s="402"/>
      <c r="J844" s="402"/>
      <c r="K844" s="402"/>
      <c r="L844" s="402"/>
      <c r="M844" s="402"/>
      <c r="N844" s="402"/>
    </row>
    <row r="845">
      <c r="A845" s="340"/>
      <c r="B845" s="242"/>
      <c r="C845" s="242"/>
      <c r="D845" s="242"/>
      <c r="E845" s="243"/>
      <c r="F845" s="242"/>
      <c r="G845" s="250"/>
      <c r="H845" s="389"/>
      <c r="I845" s="402"/>
      <c r="J845" s="402"/>
      <c r="K845" s="402"/>
      <c r="L845" s="402"/>
      <c r="M845" s="402"/>
      <c r="N845" s="402"/>
    </row>
    <row r="846">
      <c r="A846" s="340"/>
      <c r="B846" s="242"/>
      <c r="C846" s="242"/>
      <c r="D846" s="242"/>
      <c r="E846" s="243"/>
      <c r="F846" s="242"/>
      <c r="G846" s="250"/>
      <c r="H846" s="389"/>
      <c r="I846" s="402"/>
      <c r="J846" s="402"/>
      <c r="K846" s="402"/>
      <c r="L846" s="402"/>
      <c r="M846" s="402"/>
      <c r="N846" s="402"/>
    </row>
    <row r="847">
      <c r="A847" s="340"/>
      <c r="B847" s="242"/>
      <c r="C847" s="242"/>
      <c r="D847" s="242"/>
      <c r="E847" s="243"/>
      <c r="F847" s="242"/>
      <c r="G847" s="250"/>
      <c r="H847" s="389"/>
      <c r="I847" s="402"/>
      <c r="J847" s="402"/>
      <c r="K847" s="402"/>
      <c r="L847" s="402"/>
      <c r="M847" s="402"/>
      <c r="N847" s="402"/>
    </row>
    <row r="848">
      <c r="A848" s="340"/>
      <c r="B848" s="242"/>
      <c r="C848" s="242"/>
      <c r="D848" s="242"/>
      <c r="E848" s="243"/>
      <c r="F848" s="242"/>
      <c r="G848" s="250"/>
      <c r="H848" s="389"/>
      <c r="I848" s="402"/>
      <c r="J848" s="402"/>
      <c r="K848" s="402"/>
      <c r="L848" s="402"/>
      <c r="M848" s="402"/>
      <c r="N848" s="402"/>
    </row>
    <row r="849">
      <c r="A849" s="340"/>
      <c r="B849" s="242"/>
      <c r="C849" s="242"/>
      <c r="D849" s="242"/>
      <c r="E849" s="243"/>
      <c r="F849" s="242"/>
      <c r="G849" s="250"/>
      <c r="H849" s="389"/>
      <c r="I849" s="402"/>
      <c r="J849" s="402"/>
      <c r="K849" s="402"/>
      <c r="L849" s="402"/>
      <c r="M849" s="402"/>
      <c r="N849" s="402"/>
    </row>
    <row r="850">
      <c r="A850" s="340"/>
      <c r="B850" s="242"/>
      <c r="C850" s="242"/>
      <c r="D850" s="242"/>
      <c r="E850" s="243"/>
      <c r="F850" s="242"/>
      <c r="G850" s="250"/>
      <c r="H850" s="389"/>
      <c r="I850" s="402"/>
      <c r="J850" s="402"/>
      <c r="K850" s="402"/>
      <c r="L850" s="402"/>
      <c r="M850" s="402"/>
      <c r="N850" s="402"/>
    </row>
    <row r="851">
      <c r="A851" s="340"/>
      <c r="B851" s="242"/>
      <c r="C851" s="242"/>
      <c r="D851" s="242"/>
      <c r="E851" s="243"/>
      <c r="F851" s="242"/>
      <c r="G851" s="250"/>
      <c r="H851" s="389"/>
      <c r="I851" s="402"/>
      <c r="J851" s="402"/>
      <c r="K851" s="402"/>
      <c r="L851" s="402"/>
      <c r="M851" s="402"/>
      <c r="N851" s="402"/>
    </row>
    <row r="852">
      <c r="A852" s="340"/>
      <c r="B852" s="242"/>
      <c r="C852" s="242"/>
      <c r="D852" s="242"/>
      <c r="E852" s="243"/>
      <c r="F852" s="242"/>
      <c r="G852" s="250"/>
      <c r="H852" s="389"/>
      <c r="I852" s="402"/>
      <c r="J852" s="402"/>
      <c r="K852" s="402"/>
      <c r="L852" s="402"/>
      <c r="M852" s="402"/>
      <c r="N852" s="402"/>
    </row>
    <row r="853">
      <c r="A853" s="340"/>
      <c r="B853" s="242"/>
      <c r="C853" s="242"/>
      <c r="D853" s="242"/>
      <c r="E853" s="243"/>
      <c r="F853" s="242"/>
      <c r="G853" s="250"/>
      <c r="H853" s="389"/>
      <c r="I853" s="402"/>
      <c r="J853" s="402"/>
      <c r="K853" s="402"/>
      <c r="L853" s="402"/>
      <c r="M853" s="402"/>
      <c r="N853" s="402"/>
    </row>
    <row r="854">
      <c r="A854" s="340"/>
      <c r="B854" s="242"/>
      <c r="C854" s="242"/>
      <c r="D854" s="242"/>
      <c r="E854" s="243"/>
      <c r="F854" s="242"/>
      <c r="G854" s="250"/>
      <c r="H854" s="389"/>
      <c r="I854" s="402"/>
      <c r="J854" s="402"/>
      <c r="K854" s="402"/>
      <c r="L854" s="402"/>
      <c r="M854" s="402"/>
      <c r="N854" s="402"/>
    </row>
    <row r="855">
      <c r="A855" s="340"/>
      <c r="B855" s="242"/>
      <c r="C855" s="242"/>
      <c r="D855" s="242"/>
      <c r="E855" s="243"/>
      <c r="F855" s="242"/>
      <c r="G855" s="250"/>
      <c r="H855" s="389"/>
      <c r="I855" s="402"/>
      <c r="J855" s="402"/>
      <c r="K855" s="402"/>
      <c r="L855" s="402"/>
      <c r="M855" s="402"/>
      <c r="N855" s="402"/>
    </row>
    <row r="856">
      <c r="A856" s="340"/>
      <c r="B856" s="242"/>
      <c r="C856" s="242"/>
      <c r="D856" s="242"/>
      <c r="E856" s="243"/>
      <c r="F856" s="242"/>
      <c r="G856" s="250"/>
      <c r="H856" s="389"/>
      <c r="I856" s="402"/>
      <c r="J856" s="402"/>
      <c r="K856" s="402"/>
      <c r="L856" s="402"/>
      <c r="M856" s="402"/>
      <c r="N856" s="402"/>
    </row>
    <row r="857">
      <c r="A857" s="340"/>
      <c r="B857" s="242"/>
      <c r="C857" s="242"/>
      <c r="D857" s="242"/>
      <c r="E857" s="243"/>
      <c r="F857" s="242"/>
      <c r="G857" s="250"/>
      <c r="H857" s="389"/>
      <c r="I857" s="402"/>
      <c r="J857" s="402"/>
      <c r="K857" s="402"/>
      <c r="L857" s="402"/>
      <c r="M857" s="402"/>
      <c r="N857" s="402"/>
    </row>
    <row r="858">
      <c r="A858" s="340"/>
      <c r="B858" s="242"/>
      <c r="C858" s="242"/>
      <c r="D858" s="242"/>
      <c r="E858" s="243"/>
      <c r="F858" s="242"/>
      <c r="G858" s="250"/>
      <c r="H858" s="389"/>
      <c r="I858" s="402"/>
      <c r="J858" s="402"/>
      <c r="K858" s="402"/>
      <c r="L858" s="402"/>
      <c r="M858" s="402"/>
      <c r="N858" s="402"/>
    </row>
    <row r="859">
      <c r="A859" s="340"/>
      <c r="B859" s="242"/>
      <c r="C859" s="242"/>
      <c r="D859" s="242"/>
      <c r="E859" s="243"/>
      <c r="F859" s="242"/>
      <c r="G859" s="250"/>
      <c r="H859" s="389"/>
      <c r="I859" s="402"/>
      <c r="J859" s="402"/>
      <c r="K859" s="402"/>
      <c r="L859" s="402"/>
      <c r="M859" s="402"/>
      <c r="N859" s="402"/>
    </row>
    <row r="860">
      <c r="A860" s="340"/>
      <c r="B860" s="242"/>
      <c r="C860" s="242"/>
      <c r="D860" s="242"/>
      <c r="E860" s="243"/>
      <c r="F860" s="242"/>
      <c r="G860" s="250"/>
      <c r="H860" s="389"/>
      <c r="I860" s="402"/>
      <c r="J860" s="402"/>
      <c r="K860" s="402"/>
      <c r="L860" s="402"/>
      <c r="M860" s="402"/>
      <c r="N860" s="402"/>
    </row>
    <row r="861">
      <c r="A861" s="340"/>
      <c r="B861" s="242"/>
      <c r="C861" s="242"/>
      <c r="D861" s="242"/>
      <c r="E861" s="243"/>
      <c r="F861" s="242"/>
      <c r="G861" s="250"/>
      <c r="H861" s="389"/>
      <c r="I861" s="402"/>
      <c r="J861" s="402"/>
      <c r="K861" s="402"/>
      <c r="L861" s="402"/>
      <c r="M861" s="402"/>
      <c r="N861" s="402"/>
    </row>
    <row r="862">
      <c r="A862" s="340"/>
      <c r="B862" s="242"/>
      <c r="C862" s="242"/>
      <c r="D862" s="242"/>
      <c r="E862" s="243"/>
      <c r="F862" s="242"/>
      <c r="G862" s="250"/>
      <c r="H862" s="389"/>
      <c r="I862" s="402"/>
      <c r="J862" s="402"/>
      <c r="K862" s="402"/>
      <c r="L862" s="402"/>
      <c r="M862" s="402"/>
      <c r="N862" s="402"/>
    </row>
    <row r="863">
      <c r="A863" s="340"/>
      <c r="B863" s="242"/>
      <c r="C863" s="242"/>
      <c r="D863" s="242"/>
      <c r="E863" s="243"/>
      <c r="F863" s="242"/>
      <c r="G863" s="250"/>
      <c r="H863" s="389"/>
      <c r="I863" s="402"/>
      <c r="J863" s="402"/>
      <c r="K863" s="402"/>
      <c r="L863" s="402"/>
      <c r="M863" s="402"/>
      <c r="N863" s="402"/>
    </row>
    <row r="864">
      <c r="A864" s="340"/>
      <c r="B864" s="242"/>
      <c r="C864" s="242"/>
      <c r="D864" s="242"/>
      <c r="E864" s="243"/>
      <c r="F864" s="242"/>
      <c r="G864" s="250"/>
      <c r="H864" s="389"/>
      <c r="I864" s="402"/>
      <c r="J864" s="402"/>
      <c r="K864" s="402"/>
      <c r="L864" s="402"/>
      <c r="M864" s="402"/>
      <c r="N864" s="402"/>
    </row>
    <row r="865">
      <c r="A865" s="340"/>
      <c r="B865" s="242"/>
      <c r="C865" s="242"/>
      <c r="D865" s="242"/>
      <c r="E865" s="243"/>
      <c r="F865" s="242"/>
      <c r="G865" s="250"/>
      <c r="H865" s="389"/>
      <c r="I865" s="402"/>
      <c r="J865" s="402"/>
      <c r="K865" s="402"/>
      <c r="L865" s="402"/>
      <c r="M865" s="402"/>
      <c r="N865" s="402"/>
    </row>
    <row r="866">
      <c r="A866" s="340"/>
      <c r="B866" s="242"/>
      <c r="C866" s="242"/>
      <c r="D866" s="242"/>
      <c r="E866" s="243"/>
      <c r="F866" s="242"/>
      <c r="G866" s="250"/>
      <c r="H866" s="389"/>
      <c r="I866" s="402"/>
      <c r="J866" s="402"/>
      <c r="K866" s="402"/>
      <c r="L866" s="402"/>
      <c r="M866" s="402"/>
      <c r="N866" s="402"/>
    </row>
    <row r="867">
      <c r="A867" s="340"/>
      <c r="B867" s="242"/>
      <c r="C867" s="242"/>
      <c r="D867" s="242"/>
      <c r="E867" s="243"/>
      <c r="F867" s="242"/>
      <c r="G867" s="250"/>
      <c r="H867" s="389"/>
      <c r="I867" s="402"/>
      <c r="J867" s="402"/>
      <c r="K867" s="402"/>
      <c r="L867" s="402"/>
      <c r="M867" s="402"/>
      <c r="N867" s="402"/>
    </row>
    <row r="868">
      <c r="A868" s="340"/>
      <c r="B868" s="242"/>
      <c r="C868" s="242"/>
      <c r="D868" s="242"/>
      <c r="E868" s="243"/>
      <c r="F868" s="242"/>
      <c r="G868" s="250"/>
      <c r="H868" s="389"/>
      <c r="I868" s="402"/>
      <c r="J868" s="402"/>
      <c r="K868" s="402"/>
      <c r="L868" s="402"/>
      <c r="M868" s="402"/>
      <c r="N868" s="402"/>
    </row>
    <row r="869">
      <c r="A869" s="340"/>
      <c r="B869" s="242"/>
      <c r="C869" s="242"/>
      <c r="D869" s="242"/>
      <c r="E869" s="243"/>
      <c r="F869" s="242"/>
      <c r="G869" s="250"/>
      <c r="H869" s="389"/>
      <c r="I869" s="402"/>
      <c r="J869" s="402"/>
      <c r="K869" s="402"/>
      <c r="L869" s="402"/>
      <c r="M869" s="402"/>
      <c r="N869" s="402"/>
    </row>
    <row r="870">
      <c r="A870" s="340"/>
      <c r="B870" s="242"/>
      <c r="C870" s="242"/>
      <c r="D870" s="242"/>
      <c r="E870" s="243"/>
      <c r="F870" s="242"/>
      <c r="G870" s="250"/>
      <c r="H870" s="389"/>
      <c r="I870" s="402"/>
      <c r="J870" s="402"/>
      <c r="K870" s="402"/>
      <c r="L870" s="402"/>
      <c r="M870" s="402"/>
      <c r="N870" s="402"/>
    </row>
    <row r="871">
      <c r="A871" s="340"/>
      <c r="B871" s="242"/>
      <c r="C871" s="242"/>
      <c r="D871" s="242"/>
      <c r="E871" s="243"/>
      <c r="F871" s="242"/>
      <c r="G871" s="250"/>
      <c r="H871" s="389"/>
      <c r="I871" s="402"/>
      <c r="J871" s="402"/>
      <c r="K871" s="402"/>
      <c r="L871" s="402"/>
      <c r="M871" s="402"/>
      <c r="N871" s="402"/>
    </row>
    <row r="872">
      <c r="A872" s="340"/>
      <c r="B872" s="242"/>
      <c r="C872" s="242"/>
      <c r="D872" s="242"/>
      <c r="E872" s="243"/>
      <c r="F872" s="242"/>
      <c r="G872" s="250"/>
      <c r="H872" s="389"/>
      <c r="I872" s="402"/>
      <c r="J872" s="402"/>
      <c r="K872" s="402"/>
      <c r="L872" s="402"/>
      <c r="M872" s="402"/>
      <c r="N872" s="402"/>
    </row>
    <row r="873">
      <c r="A873" s="340"/>
      <c r="B873" s="242"/>
      <c r="C873" s="242"/>
      <c r="D873" s="242"/>
      <c r="E873" s="243"/>
      <c r="F873" s="242"/>
      <c r="G873" s="250"/>
      <c r="H873" s="389"/>
      <c r="I873" s="402"/>
      <c r="J873" s="402"/>
      <c r="K873" s="402"/>
      <c r="L873" s="402"/>
      <c r="M873" s="402"/>
      <c r="N873" s="402"/>
    </row>
    <row r="874">
      <c r="A874" s="340"/>
      <c r="B874" s="242"/>
      <c r="C874" s="242"/>
      <c r="D874" s="242"/>
      <c r="E874" s="243"/>
      <c r="F874" s="242"/>
      <c r="G874" s="250"/>
      <c r="H874" s="389"/>
      <c r="I874" s="402"/>
      <c r="J874" s="402"/>
      <c r="K874" s="402"/>
      <c r="L874" s="402"/>
      <c r="M874" s="402"/>
      <c r="N874" s="402"/>
    </row>
    <row r="875">
      <c r="A875" s="340"/>
      <c r="B875" s="242"/>
      <c r="C875" s="242"/>
      <c r="D875" s="242"/>
      <c r="E875" s="243"/>
      <c r="F875" s="242"/>
      <c r="G875" s="250"/>
      <c r="H875" s="389"/>
      <c r="I875" s="402"/>
      <c r="J875" s="402"/>
      <c r="K875" s="402"/>
      <c r="L875" s="402"/>
      <c r="M875" s="402"/>
      <c r="N875" s="402"/>
    </row>
    <row r="876">
      <c r="A876" s="340"/>
      <c r="B876" s="242"/>
      <c r="C876" s="242"/>
      <c r="D876" s="242"/>
      <c r="E876" s="243"/>
      <c r="F876" s="242"/>
      <c r="G876" s="250"/>
      <c r="H876" s="389"/>
      <c r="I876" s="402"/>
      <c r="J876" s="402"/>
      <c r="K876" s="402"/>
      <c r="L876" s="402"/>
      <c r="M876" s="402"/>
      <c r="N876" s="402"/>
    </row>
    <row r="877">
      <c r="A877" s="340"/>
      <c r="B877" s="242"/>
      <c r="C877" s="242"/>
      <c r="D877" s="242"/>
      <c r="E877" s="243"/>
      <c r="F877" s="242"/>
      <c r="G877" s="250"/>
      <c r="H877" s="389"/>
      <c r="I877" s="402"/>
      <c r="J877" s="402"/>
      <c r="K877" s="402"/>
      <c r="L877" s="402"/>
      <c r="M877" s="402"/>
      <c r="N877" s="402"/>
    </row>
    <row r="878">
      <c r="A878" s="340"/>
      <c r="B878" s="242"/>
      <c r="C878" s="242"/>
      <c r="D878" s="242"/>
      <c r="E878" s="243"/>
      <c r="F878" s="242"/>
      <c r="G878" s="250"/>
      <c r="H878" s="389"/>
      <c r="I878" s="402"/>
      <c r="J878" s="402"/>
      <c r="K878" s="402"/>
      <c r="L878" s="402"/>
      <c r="M878" s="402"/>
      <c r="N878" s="402"/>
    </row>
    <row r="879">
      <c r="A879" s="340"/>
      <c r="B879" s="242"/>
      <c r="C879" s="242"/>
      <c r="D879" s="242"/>
      <c r="E879" s="243"/>
      <c r="F879" s="242"/>
      <c r="G879" s="250"/>
      <c r="H879" s="389"/>
      <c r="I879" s="402"/>
      <c r="J879" s="402"/>
      <c r="K879" s="402"/>
      <c r="L879" s="402"/>
      <c r="M879" s="402"/>
      <c r="N879" s="402"/>
    </row>
    <row r="880">
      <c r="A880" s="340"/>
      <c r="B880" s="242"/>
      <c r="C880" s="242"/>
      <c r="D880" s="242"/>
      <c r="E880" s="243"/>
      <c r="F880" s="242"/>
      <c r="G880" s="250"/>
      <c r="H880" s="389"/>
      <c r="I880" s="402"/>
      <c r="J880" s="402"/>
      <c r="K880" s="402"/>
      <c r="L880" s="402"/>
      <c r="M880" s="402"/>
      <c r="N880" s="402"/>
    </row>
    <row r="881">
      <c r="A881" s="340"/>
      <c r="B881" s="242"/>
      <c r="C881" s="242"/>
      <c r="D881" s="242"/>
      <c r="E881" s="243"/>
      <c r="F881" s="242"/>
      <c r="G881" s="250"/>
      <c r="H881" s="389"/>
      <c r="I881" s="402"/>
      <c r="J881" s="402"/>
      <c r="K881" s="402"/>
      <c r="L881" s="402"/>
      <c r="M881" s="402"/>
      <c r="N881" s="402"/>
    </row>
    <row r="882">
      <c r="A882" s="340"/>
      <c r="B882" s="242"/>
      <c r="C882" s="242"/>
      <c r="D882" s="242"/>
      <c r="E882" s="243"/>
      <c r="F882" s="242"/>
      <c r="G882" s="250"/>
      <c r="H882" s="389"/>
      <c r="I882" s="402"/>
      <c r="J882" s="402"/>
      <c r="K882" s="402"/>
      <c r="L882" s="402"/>
      <c r="M882" s="402"/>
      <c r="N882" s="402"/>
    </row>
    <row r="883">
      <c r="A883" s="340"/>
      <c r="B883" s="242"/>
      <c r="C883" s="242"/>
      <c r="D883" s="242"/>
      <c r="E883" s="243"/>
      <c r="F883" s="242"/>
      <c r="G883" s="250"/>
      <c r="H883" s="389"/>
      <c r="I883" s="402"/>
      <c r="J883" s="402"/>
      <c r="K883" s="402"/>
      <c r="L883" s="402"/>
      <c r="M883" s="402"/>
      <c r="N883" s="402"/>
    </row>
    <row r="884">
      <c r="A884" s="340"/>
      <c r="B884" s="242"/>
      <c r="C884" s="242"/>
      <c r="D884" s="242"/>
      <c r="E884" s="243"/>
      <c r="F884" s="242"/>
      <c r="G884" s="250"/>
      <c r="H884" s="389"/>
      <c r="I884" s="402"/>
      <c r="J884" s="402"/>
      <c r="K884" s="402"/>
      <c r="L884" s="402"/>
      <c r="M884" s="402"/>
      <c r="N884" s="402"/>
    </row>
    <row r="885">
      <c r="A885" s="340"/>
      <c r="B885" s="242"/>
      <c r="C885" s="242"/>
      <c r="D885" s="242"/>
      <c r="E885" s="243"/>
      <c r="F885" s="242"/>
      <c r="G885" s="250"/>
      <c r="H885" s="389"/>
      <c r="I885" s="402"/>
      <c r="J885" s="402"/>
      <c r="K885" s="402"/>
      <c r="L885" s="402"/>
      <c r="M885" s="402"/>
      <c r="N885" s="402"/>
    </row>
    <row r="886">
      <c r="A886" s="340"/>
      <c r="B886" s="242"/>
      <c r="C886" s="242"/>
      <c r="D886" s="242"/>
      <c r="E886" s="243"/>
      <c r="F886" s="242"/>
      <c r="G886" s="250"/>
      <c r="H886" s="389"/>
      <c r="I886" s="402"/>
      <c r="J886" s="402"/>
      <c r="K886" s="402"/>
      <c r="L886" s="402"/>
      <c r="M886" s="402"/>
      <c r="N886" s="402"/>
    </row>
    <row r="887">
      <c r="A887" s="340"/>
      <c r="B887" s="242"/>
      <c r="C887" s="242"/>
      <c r="D887" s="242"/>
      <c r="E887" s="243"/>
      <c r="F887" s="242"/>
      <c r="G887" s="250"/>
      <c r="H887" s="389"/>
      <c r="I887" s="402"/>
      <c r="J887" s="402"/>
      <c r="K887" s="402"/>
      <c r="L887" s="402"/>
      <c r="M887" s="402"/>
      <c r="N887" s="402"/>
    </row>
    <row r="888">
      <c r="A888" s="340"/>
      <c r="B888" s="242"/>
      <c r="C888" s="242"/>
      <c r="D888" s="242"/>
      <c r="E888" s="243"/>
      <c r="F888" s="242"/>
      <c r="G888" s="250"/>
      <c r="H888" s="389"/>
      <c r="I888" s="402"/>
      <c r="J888" s="402"/>
      <c r="K888" s="402"/>
      <c r="L888" s="402"/>
      <c r="M888" s="402"/>
      <c r="N888" s="402"/>
    </row>
    <row r="889">
      <c r="A889" s="340"/>
      <c r="B889" s="242"/>
      <c r="C889" s="242"/>
      <c r="D889" s="242"/>
      <c r="E889" s="243"/>
      <c r="F889" s="242"/>
      <c r="G889" s="250"/>
      <c r="H889" s="389"/>
      <c r="I889" s="402"/>
      <c r="J889" s="402"/>
      <c r="K889" s="402"/>
      <c r="L889" s="402"/>
      <c r="M889" s="402"/>
      <c r="N889" s="402"/>
    </row>
    <row r="890">
      <c r="A890" s="340"/>
      <c r="B890" s="242"/>
      <c r="C890" s="242"/>
      <c r="D890" s="242"/>
      <c r="E890" s="243"/>
      <c r="F890" s="242"/>
      <c r="G890" s="250"/>
      <c r="H890" s="389"/>
      <c r="I890" s="402"/>
      <c r="J890" s="402"/>
      <c r="K890" s="402"/>
      <c r="L890" s="402"/>
      <c r="M890" s="402"/>
      <c r="N890" s="402"/>
    </row>
    <row r="891">
      <c r="A891" s="340"/>
      <c r="B891" s="242"/>
      <c r="C891" s="242"/>
      <c r="D891" s="242"/>
      <c r="E891" s="243"/>
      <c r="F891" s="242"/>
      <c r="G891" s="250"/>
      <c r="H891" s="389"/>
      <c r="I891" s="402"/>
      <c r="J891" s="402"/>
      <c r="K891" s="402"/>
      <c r="L891" s="402"/>
      <c r="M891" s="402"/>
      <c r="N891" s="402"/>
    </row>
    <row r="892">
      <c r="A892" s="340"/>
      <c r="B892" s="242"/>
      <c r="C892" s="242"/>
      <c r="D892" s="242"/>
      <c r="E892" s="243"/>
      <c r="F892" s="242"/>
      <c r="G892" s="250"/>
      <c r="H892" s="389"/>
      <c r="I892" s="402"/>
      <c r="J892" s="402"/>
      <c r="K892" s="402"/>
      <c r="L892" s="402"/>
      <c r="M892" s="402"/>
      <c r="N892" s="402"/>
    </row>
    <row r="893">
      <c r="A893" s="340"/>
      <c r="B893" s="242"/>
      <c r="C893" s="242"/>
      <c r="D893" s="242"/>
      <c r="E893" s="243"/>
      <c r="F893" s="242"/>
      <c r="G893" s="250"/>
      <c r="H893" s="389"/>
      <c r="I893" s="402"/>
      <c r="J893" s="402"/>
      <c r="K893" s="402"/>
      <c r="L893" s="402"/>
      <c r="M893" s="402"/>
      <c r="N893" s="402"/>
    </row>
    <row r="894">
      <c r="A894" s="340"/>
      <c r="B894" s="242"/>
      <c r="C894" s="242"/>
      <c r="D894" s="242"/>
      <c r="E894" s="243"/>
      <c r="F894" s="242"/>
      <c r="G894" s="250"/>
      <c r="H894" s="389"/>
      <c r="I894" s="402"/>
      <c r="J894" s="402"/>
      <c r="K894" s="402"/>
      <c r="L894" s="402"/>
      <c r="M894" s="402"/>
      <c r="N894" s="402"/>
    </row>
    <row r="895">
      <c r="A895" s="340"/>
      <c r="B895" s="242"/>
      <c r="C895" s="242"/>
      <c r="D895" s="242"/>
      <c r="E895" s="243"/>
      <c r="F895" s="242"/>
      <c r="G895" s="250"/>
      <c r="H895" s="389"/>
      <c r="I895" s="402"/>
      <c r="J895" s="402"/>
      <c r="K895" s="402"/>
      <c r="L895" s="402"/>
      <c r="M895" s="402"/>
      <c r="N895" s="402"/>
    </row>
    <row r="896">
      <c r="A896" s="340"/>
      <c r="B896" s="242"/>
      <c r="C896" s="242"/>
      <c r="D896" s="242"/>
      <c r="E896" s="243"/>
      <c r="F896" s="242"/>
      <c r="G896" s="250"/>
      <c r="H896" s="389"/>
      <c r="I896" s="402"/>
      <c r="J896" s="402"/>
      <c r="K896" s="402"/>
      <c r="L896" s="402"/>
      <c r="M896" s="402"/>
      <c r="N896" s="402"/>
    </row>
    <row r="897">
      <c r="A897" s="340"/>
      <c r="B897" s="242"/>
      <c r="C897" s="242"/>
      <c r="D897" s="242"/>
      <c r="E897" s="243"/>
      <c r="F897" s="242"/>
      <c r="G897" s="250"/>
      <c r="H897" s="389"/>
      <c r="I897" s="402"/>
      <c r="J897" s="402"/>
      <c r="K897" s="402"/>
      <c r="L897" s="402"/>
      <c r="M897" s="402"/>
      <c r="N897" s="402"/>
    </row>
    <row r="898">
      <c r="A898" s="340"/>
      <c r="B898" s="242"/>
      <c r="C898" s="242"/>
      <c r="D898" s="242"/>
      <c r="E898" s="243"/>
      <c r="F898" s="242"/>
      <c r="G898" s="250"/>
      <c r="H898" s="389"/>
      <c r="I898" s="402"/>
      <c r="J898" s="402"/>
      <c r="K898" s="402"/>
      <c r="L898" s="402"/>
      <c r="M898" s="402"/>
      <c r="N898" s="402"/>
    </row>
    <row r="899">
      <c r="A899" s="340"/>
      <c r="B899" s="242"/>
      <c r="C899" s="242"/>
      <c r="D899" s="242"/>
      <c r="E899" s="243"/>
      <c r="F899" s="242"/>
      <c r="G899" s="250"/>
      <c r="H899" s="389"/>
      <c r="I899" s="402"/>
      <c r="J899" s="402"/>
      <c r="K899" s="402"/>
      <c r="L899" s="402"/>
      <c r="M899" s="402"/>
      <c r="N899" s="402"/>
    </row>
    <row r="900">
      <c r="A900" s="340"/>
      <c r="B900" s="242"/>
      <c r="C900" s="242"/>
      <c r="D900" s="242"/>
      <c r="E900" s="243"/>
      <c r="F900" s="242"/>
      <c r="G900" s="250"/>
      <c r="H900" s="389"/>
      <c r="I900" s="402"/>
      <c r="J900" s="402"/>
      <c r="K900" s="402"/>
      <c r="L900" s="402"/>
      <c r="M900" s="402"/>
      <c r="N900" s="402"/>
    </row>
    <row r="901">
      <c r="A901" s="340"/>
      <c r="B901" s="242"/>
      <c r="C901" s="242"/>
      <c r="D901" s="242"/>
      <c r="E901" s="243"/>
      <c r="F901" s="242"/>
      <c r="G901" s="250"/>
      <c r="H901" s="389"/>
      <c r="I901" s="402"/>
      <c r="J901" s="402"/>
      <c r="K901" s="402"/>
      <c r="L901" s="402"/>
      <c r="M901" s="402"/>
      <c r="N901" s="402"/>
    </row>
    <row r="902">
      <c r="A902" s="340"/>
      <c r="B902" s="242"/>
      <c r="C902" s="242"/>
      <c r="D902" s="242"/>
      <c r="E902" s="243"/>
      <c r="F902" s="242"/>
      <c r="G902" s="250"/>
      <c r="H902" s="389"/>
      <c r="I902" s="402"/>
      <c r="J902" s="402"/>
      <c r="K902" s="402"/>
      <c r="L902" s="402"/>
      <c r="M902" s="402"/>
      <c r="N902" s="402"/>
    </row>
    <row r="903">
      <c r="A903" s="340"/>
      <c r="B903" s="242"/>
      <c r="C903" s="242"/>
      <c r="D903" s="242"/>
      <c r="E903" s="243"/>
      <c r="F903" s="242"/>
      <c r="G903" s="250"/>
      <c r="H903" s="389"/>
      <c r="I903" s="402"/>
      <c r="J903" s="402"/>
      <c r="K903" s="402"/>
      <c r="L903" s="402"/>
      <c r="M903" s="402"/>
      <c r="N903" s="402"/>
    </row>
    <row r="904">
      <c r="A904" s="340"/>
      <c r="B904" s="242"/>
      <c r="C904" s="242"/>
      <c r="D904" s="242"/>
      <c r="E904" s="243"/>
      <c r="F904" s="242"/>
      <c r="G904" s="250"/>
      <c r="H904" s="389"/>
      <c r="I904" s="402"/>
      <c r="J904" s="402"/>
      <c r="K904" s="402"/>
      <c r="L904" s="402"/>
      <c r="M904" s="402"/>
      <c r="N904" s="402"/>
    </row>
    <row r="905">
      <c r="A905" s="340"/>
      <c r="B905" s="242"/>
      <c r="C905" s="242"/>
      <c r="D905" s="242"/>
      <c r="E905" s="243"/>
      <c r="F905" s="242"/>
      <c r="G905" s="250"/>
      <c r="H905" s="389"/>
      <c r="I905" s="402"/>
      <c r="J905" s="402"/>
      <c r="K905" s="402"/>
      <c r="L905" s="402"/>
      <c r="M905" s="402"/>
      <c r="N905" s="402"/>
    </row>
    <row r="906">
      <c r="A906" s="340"/>
      <c r="B906" s="242"/>
      <c r="C906" s="242"/>
      <c r="D906" s="242"/>
      <c r="E906" s="243"/>
      <c r="F906" s="242"/>
      <c r="G906" s="250"/>
      <c r="H906" s="389"/>
      <c r="I906" s="402"/>
      <c r="J906" s="402"/>
      <c r="K906" s="402"/>
      <c r="L906" s="402"/>
      <c r="M906" s="402"/>
      <c r="N906" s="402"/>
    </row>
    <row r="907">
      <c r="A907" s="340"/>
      <c r="B907" s="242"/>
      <c r="C907" s="242"/>
      <c r="D907" s="242"/>
      <c r="E907" s="243"/>
      <c r="F907" s="242"/>
      <c r="G907" s="250"/>
      <c r="H907" s="389"/>
      <c r="I907" s="402"/>
      <c r="J907" s="402"/>
      <c r="K907" s="402"/>
      <c r="L907" s="402"/>
      <c r="M907" s="402"/>
      <c r="N907" s="402"/>
    </row>
    <row r="908">
      <c r="A908" s="340"/>
      <c r="B908" s="242"/>
      <c r="C908" s="242"/>
      <c r="D908" s="242"/>
      <c r="E908" s="243"/>
      <c r="F908" s="242"/>
      <c r="G908" s="250"/>
      <c r="H908" s="389"/>
      <c r="I908" s="402"/>
      <c r="J908" s="402"/>
      <c r="K908" s="402"/>
      <c r="L908" s="402"/>
      <c r="M908" s="402"/>
      <c r="N908" s="402"/>
    </row>
    <row r="909">
      <c r="A909" s="340"/>
      <c r="B909" s="242"/>
      <c r="C909" s="242"/>
      <c r="D909" s="242"/>
      <c r="E909" s="243"/>
      <c r="F909" s="242"/>
      <c r="G909" s="250"/>
      <c r="H909" s="389"/>
      <c r="I909" s="402"/>
      <c r="J909" s="402"/>
      <c r="K909" s="402"/>
      <c r="L909" s="402"/>
      <c r="M909" s="402"/>
      <c r="N909" s="402"/>
    </row>
    <row r="910">
      <c r="A910" s="340"/>
      <c r="B910" s="242"/>
      <c r="C910" s="242"/>
      <c r="D910" s="242"/>
      <c r="E910" s="243"/>
      <c r="F910" s="242"/>
      <c r="G910" s="250"/>
      <c r="H910" s="389"/>
      <c r="I910" s="402"/>
      <c r="J910" s="402"/>
      <c r="K910" s="402"/>
      <c r="L910" s="402"/>
      <c r="M910" s="402"/>
      <c r="N910" s="402"/>
    </row>
    <row r="911">
      <c r="A911" s="340"/>
      <c r="B911" s="242"/>
      <c r="C911" s="242"/>
      <c r="D911" s="242"/>
      <c r="E911" s="243"/>
      <c r="F911" s="242"/>
      <c r="G911" s="250"/>
      <c r="H911" s="389"/>
      <c r="I911" s="402"/>
      <c r="J911" s="402"/>
      <c r="K911" s="402"/>
      <c r="L911" s="402"/>
      <c r="M911" s="402"/>
      <c r="N911" s="402"/>
    </row>
    <row r="912">
      <c r="A912" s="340"/>
      <c r="B912" s="242"/>
      <c r="C912" s="242"/>
      <c r="D912" s="242"/>
      <c r="E912" s="243"/>
      <c r="F912" s="242"/>
      <c r="G912" s="250"/>
      <c r="H912" s="389"/>
      <c r="I912" s="402"/>
      <c r="J912" s="402"/>
      <c r="K912" s="402"/>
      <c r="L912" s="402"/>
      <c r="M912" s="402"/>
      <c r="N912" s="402"/>
    </row>
    <row r="913">
      <c r="A913" s="340"/>
      <c r="B913" s="242"/>
      <c r="C913" s="242"/>
      <c r="D913" s="242"/>
      <c r="E913" s="243"/>
      <c r="F913" s="242"/>
      <c r="G913" s="250"/>
      <c r="H913" s="389"/>
      <c r="I913" s="402"/>
      <c r="J913" s="402"/>
      <c r="K913" s="402"/>
      <c r="L913" s="402"/>
      <c r="M913" s="402"/>
      <c r="N913" s="402"/>
    </row>
    <row r="914">
      <c r="A914" s="340"/>
      <c r="B914" s="242"/>
      <c r="C914" s="242"/>
      <c r="D914" s="242"/>
      <c r="E914" s="243"/>
      <c r="F914" s="242"/>
      <c r="G914" s="250"/>
      <c r="H914" s="389"/>
      <c r="I914" s="402"/>
      <c r="J914" s="402"/>
      <c r="K914" s="402"/>
      <c r="L914" s="402"/>
      <c r="M914" s="402"/>
      <c r="N914" s="402"/>
    </row>
    <row r="915">
      <c r="A915" s="340"/>
      <c r="B915" s="242"/>
      <c r="C915" s="242"/>
      <c r="D915" s="242"/>
      <c r="E915" s="243"/>
      <c r="F915" s="242"/>
      <c r="G915" s="250"/>
      <c r="H915" s="389"/>
      <c r="I915" s="402"/>
      <c r="J915" s="402"/>
      <c r="K915" s="402"/>
      <c r="L915" s="402"/>
      <c r="M915" s="402"/>
      <c r="N915" s="402"/>
    </row>
    <row r="916">
      <c r="A916" s="340"/>
      <c r="B916" s="242"/>
      <c r="C916" s="242"/>
      <c r="D916" s="242"/>
      <c r="E916" s="243"/>
      <c r="F916" s="242"/>
      <c r="G916" s="250"/>
      <c r="H916" s="389"/>
      <c r="I916" s="402"/>
      <c r="J916" s="402"/>
      <c r="K916" s="402"/>
      <c r="L916" s="402"/>
      <c r="M916" s="402"/>
      <c r="N916" s="402"/>
    </row>
    <row r="917">
      <c r="A917" s="340"/>
      <c r="B917" s="242"/>
      <c r="C917" s="242"/>
      <c r="D917" s="242"/>
      <c r="E917" s="243"/>
      <c r="F917" s="242"/>
      <c r="G917" s="250"/>
      <c r="H917" s="389"/>
      <c r="I917" s="402"/>
      <c r="J917" s="402"/>
      <c r="K917" s="402"/>
      <c r="L917" s="402"/>
      <c r="M917" s="402"/>
      <c r="N917" s="402"/>
    </row>
    <row r="918">
      <c r="A918" s="340"/>
      <c r="B918" s="242"/>
      <c r="C918" s="242"/>
      <c r="D918" s="242"/>
      <c r="E918" s="243"/>
      <c r="F918" s="242"/>
      <c r="G918" s="250"/>
      <c r="H918" s="389"/>
      <c r="I918" s="402"/>
      <c r="J918" s="402"/>
      <c r="K918" s="402"/>
      <c r="L918" s="402"/>
      <c r="M918" s="402"/>
      <c r="N918" s="402"/>
    </row>
    <row r="919">
      <c r="A919" s="340"/>
      <c r="B919" s="242"/>
      <c r="C919" s="242"/>
      <c r="D919" s="242"/>
      <c r="E919" s="243"/>
      <c r="F919" s="242"/>
      <c r="G919" s="250"/>
      <c r="H919" s="389"/>
      <c r="I919" s="402"/>
      <c r="J919" s="402"/>
      <c r="K919" s="402"/>
      <c r="L919" s="402"/>
      <c r="M919" s="402"/>
      <c r="N919" s="402"/>
    </row>
    <row r="920">
      <c r="A920" s="340"/>
      <c r="B920" s="242"/>
      <c r="C920" s="242"/>
      <c r="D920" s="242"/>
      <c r="E920" s="243"/>
      <c r="F920" s="242"/>
      <c r="G920" s="250"/>
      <c r="H920" s="389"/>
      <c r="I920" s="402"/>
      <c r="J920" s="402"/>
      <c r="K920" s="402"/>
      <c r="L920" s="402"/>
      <c r="M920" s="402"/>
      <c r="N920" s="402"/>
    </row>
    <row r="921">
      <c r="A921" s="340"/>
      <c r="B921" s="242"/>
      <c r="C921" s="242"/>
      <c r="D921" s="242"/>
      <c r="E921" s="243"/>
      <c r="F921" s="242"/>
      <c r="G921" s="250"/>
      <c r="H921" s="389"/>
      <c r="I921" s="402"/>
      <c r="J921" s="402"/>
      <c r="K921" s="402"/>
      <c r="L921" s="402"/>
      <c r="M921" s="402"/>
      <c r="N921" s="402"/>
    </row>
    <row r="922">
      <c r="A922" s="340"/>
      <c r="B922" s="242"/>
      <c r="C922" s="242"/>
      <c r="D922" s="242"/>
      <c r="E922" s="243"/>
      <c r="F922" s="242"/>
      <c r="G922" s="250"/>
      <c r="H922" s="389"/>
      <c r="I922" s="402"/>
      <c r="J922" s="402"/>
      <c r="K922" s="402"/>
      <c r="L922" s="402"/>
      <c r="M922" s="402"/>
      <c r="N922" s="402"/>
    </row>
    <row r="923">
      <c r="A923" s="340"/>
      <c r="B923" s="242"/>
      <c r="C923" s="242"/>
      <c r="D923" s="242"/>
      <c r="E923" s="243"/>
      <c r="F923" s="242"/>
      <c r="G923" s="250"/>
      <c r="H923" s="389"/>
      <c r="I923" s="402"/>
      <c r="J923" s="402"/>
      <c r="K923" s="402"/>
      <c r="L923" s="402"/>
      <c r="M923" s="402"/>
      <c r="N923" s="402"/>
    </row>
    <row r="924">
      <c r="A924" s="340"/>
      <c r="B924" s="242"/>
      <c r="C924" s="242"/>
      <c r="D924" s="242"/>
      <c r="E924" s="243"/>
      <c r="F924" s="242"/>
      <c r="G924" s="250"/>
      <c r="H924" s="389"/>
      <c r="I924" s="402"/>
      <c r="J924" s="402"/>
      <c r="K924" s="402"/>
      <c r="L924" s="402"/>
      <c r="M924" s="402"/>
      <c r="N924" s="402"/>
    </row>
    <row r="925">
      <c r="A925" s="340"/>
      <c r="B925" s="242"/>
      <c r="C925" s="242"/>
      <c r="D925" s="242"/>
      <c r="E925" s="243"/>
      <c r="F925" s="242"/>
      <c r="G925" s="250"/>
      <c r="H925" s="389"/>
      <c r="I925" s="402"/>
      <c r="J925" s="402"/>
      <c r="K925" s="402"/>
      <c r="L925" s="402"/>
      <c r="M925" s="402"/>
      <c r="N925" s="402"/>
    </row>
    <row r="926">
      <c r="A926" s="340"/>
      <c r="B926" s="242"/>
      <c r="C926" s="242"/>
      <c r="D926" s="242"/>
      <c r="E926" s="243"/>
      <c r="F926" s="242"/>
      <c r="G926" s="250"/>
      <c r="H926" s="389"/>
      <c r="I926" s="402"/>
      <c r="J926" s="402"/>
      <c r="K926" s="402"/>
      <c r="L926" s="402"/>
      <c r="M926" s="402"/>
      <c r="N926" s="402"/>
    </row>
    <row r="927">
      <c r="A927" s="340"/>
      <c r="B927" s="242"/>
      <c r="C927" s="242"/>
      <c r="D927" s="242"/>
      <c r="E927" s="243"/>
      <c r="F927" s="242"/>
      <c r="G927" s="250"/>
      <c r="H927" s="389"/>
      <c r="I927" s="402"/>
      <c r="J927" s="402"/>
      <c r="K927" s="402"/>
      <c r="L927" s="402"/>
      <c r="M927" s="402"/>
      <c r="N927" s="402"/>
    </row>
    <row r="928">
      <c r="A928" s="340"/>
      <c r="B928" s="242"/>
      <c r="C928" s="242"/>
      <c r="D928" s="242"/>
      <c r="E928" s="243"/>
      <c r="F928" s="242"/>
      <c r="G928" s="250"/>
      <c r="H928" s="389"/>
      <c r="I928" s="402"/>
      <c r="J928" s="402"/>
      <c r="K928" s="402"/>
      <c r="L928" s="402"/>
      <c r="M928" s="402"/>
      <c r="N928" s="402"/>
    </row>
    <row r="929">
      <c r="A929" s="340"/>
      <c r="B929" s="242"/>
      <c r="C929" s="242"/>
      <c r="D929" s="242"/>
      <c r="E929" s="243"/>
      <c r="F929" s="242"/>
      <c r="G929" s="250"/>
      <c r="H929" s="389"/>
      <c r="I929" s="402"/>
      <c r="J929" s="402"/>
      <c r="K929" s="402"/>
      <c r="L929" s="402"/>
      <c r="M929" s="402"/>
      <c r="N929" s="402"/>
    </row>
    <row r="930">
      <c r="A930" s="340"/>
      <c r="B930" s="242"/>
      <c r="C930" s="242"/>
      <c r="D930" s="242"/>
      <c r="E930" s="243"/>
      <c r="F930" s="242"/>
      <c r="G930" s="250"/>
      <c r="H930" s="389"/>
      <c r="I930" s="402"/>
      <c r="J930" s="402"/>
      <c r="K930" s="402"/>
      <c r="L930" s="402"/>
      <c r="M930" s="402"/>
      <c r="N930" s="402"/>
    </row>
    <row r="931">
      <c r="A931" s="340"/>
      <c r="B931" s="242"/>
      <c r="C931" s="242"/>
      <c r="D931" s="242"/>
      <c r="E931" s="243"/>
      <c r="F931" s="242"/>
      <c r="G931" s="250"/>
      <c r="H931" s="389"/>
      <c r="I931" s="402"/>
      <c r="J931" s="402"/>
      <c r="K931" s="402"/>
      <c r="L931" s="402"/>
      <c r="M931" s="402"/>
      <c r="N931" s="402"/>
    </row>
    <row r="932">
      <c r="A932" s="340"/>
      <c r="B932" s="242"/>
      <c r="C932" s="242"/>
      <c r="D932" s="242"/>
      <c r="E932" s="243"/>
      <c r="F932" s="242"/>
      <c r="G932" s="250"/>
      <c r="H932" s="389"/>
      <c r="I932" s="402"/>
      <c r="J932" s="402"/>
      <c r="K932" s="402"/>
      <c r="L932" s="402"/>
      <c r="M932" s="402"/>
      <c r="N932" s="402"/>
    </row>
    <row r="933">
      <c r="A933" s="340"/>
      <c r="B933" s="242"/>
      <c r="C933" s="242"/>
      <c r="D933" s="242"/>
      <c r="E933" s="243"/>
      <c r="F933" s="242"/>
      <c r="G933" s="250"/>
      <c r="H933" s="389"/>
      <c r="I933" s="402"/>
      <c r="J933" s="402"/>
      <c r="K933" s="402"/>
      <c r="L933" s="402"/>
      <c r="M933" s="402"/>
      <c r="N933" s="402"/>
    </row>
    <row r="934">
      <c r="A934" s="340"/>
      <c r="B934" s="242"/>
      <c r="C934" s="242"/>
      <c r="D934" s="242"/>
      <c r="E934" s="243"/>
      <c r="F934" s="242"/>
      <c r="G934" s="250"/>
      <c r="H934" s="389"/>
      <c r="I934" s="402"/>
      <c r="J934" s="402"/>
      <c r="K934" s="402"/>
      <c r="L934" s="402"/>
      <c r="M934" s="402"/>
      <c r="N934" s="402"/>
    </row>
    <row r="935">
      <c r="A935" s="340"/>
      <c r="B935" s="242"/>
      <c r="C935" s="242"/>
      <c r="D935" s="242"/>
      <c r="E935" s="243"/>
      <c r="F935" s="242"/>
      <c r="G935" s="250"/>
      <c r="H935" s="389"/>
      <c r="I935" s="402"/>
      <c r="J935" s="402"/>
      <c r="K935" s="402"/>
      <c r="L935" s="402"/>
      <c r="M935" s="402"/>
      <c r="N935" s="402"/>
    </row>
    <row r="936">
      <c r="A936" s="340"/>
      <c r="B936" s="242"/>
      <c r="C936" s="242"/>
      <c r="D936" s="242"/>
      <c r="E936" s="243"/>
      <c r="F936" s="242"/>
      <c r="G936" s="250"/>
      <c r="H936" s="389"/>
      <c r="I936" s="402"/>
      <c r="J936" s="402"/>
      <c r="K936" s="402"/>
      <c r="L936" s="402"/>
      <c r="M936" s="402"/>
      <c r="N936" s="402"/>
    </row>
    <row r="937">
      <c r="A937" s="340"/>
      <c r="B937" s="242"/>
      <c r="C937" s="242"/>
      <c r="D937" s="242"/>
      <c r="E937" s="243"/>
      <c r="F937" s="242"/>
      <c r="G937" s="250"/>
      <c r="H937" s="389"/>
      <c r="I937" s="402"/>
      <c r="J937" s="402"/>
      <c r="K937" s="402"/>
      <c r="L937" s="402"/>
      <c r="M937" s="402"/>
      <c r="N937" s="402"/>
    </row>
    <row r="938">
      <c r="A938" s="340"/>
      <c r="B938" s="242"/>
      <c r="C938" s="242"/>
      <c r="D938" s="242"/>
      <c r="E938" s="243"/>
      <c r="F938" s="242"/>
      <c r="G938" s="250"/>
      <c r="H938" s="389"/>
      <c r="I938" s="402"/>
      <c r="J938" s="402"/>
      <c r="K938" s="402"/>
      <c r="L938" s="402"/>
      <c r="M938" s="402"/>
      <c r="N938" s="402"/>
    </row>
    <row r="939">
      <c r="A939" s="340"/>
      <c r="B939" s="242"/>
      <c r="C939" s="242"/>
      <c r="D939" s="242"/>
      <c r="E939" s="243"/>
      <c r="F939" s="242"/>
      <c r="G939" s="250"/>
      <c r="H939" s="389"/>
      <c r="I939" s="402"/>
      <c r="J939" s="402"/>
      <c r="K939" s="402"/>
      <c r="L939" s="402"/>
      <c r="M939" s="402"/>
      <c r="N939" s="402"/>
    </row>
    <row r="940">
      <c r="A940" s="340"/>
      <c r="B940" s="242"/>
      <c r="C940" s="242"/>
      <c r="D940" s="242"/>
      <c r="E940" s="243"/>
      <c r="F940" s="242"/>
      <c r="G940" s="250"/>
      <c r="H940" s="389"/>
      <c r="I940" s="402"/>
      <c r="J940" s="402"/>
      <c r="K940" s="402"/>
      <c r="L940" s="402"/>
      <c r="M940" s="402"/>
      <c r="N940" s="402"/>
    </row>
    <row r="941">
      <c r="A941" s="340"/>
      <c r="B941" s="242"/>
      <c r="C941" s="242"/>
      <c r="D941" s="242"/>
      <c r="E941" s="243"/>
      <c r="F941" s="242"/>
      <c r="G941" s="250"/>
      <c r="H941" s="389"/>
      <c r="I941" s="402"/>
      <c r="J941" s="402"/>
      <c r="K941" s="402"/>
      <c r="L941" s="402"/>
      <c r="M941" s="402"/>
      <c r="N941" s="402"/>
    </row>
    <row r="942">
      <c r="A942" s="340"/>
      <c r="B942" s="242"/>
      <c r="C942" s="242"/>
      <c r="D942" s="242"/>
      <c r="E942" s="243"/>
      <c r="F942" s="242"/>
      <c r="G942" s="250"/>
      <c r="H942" s="389"/>
      <c r="I942" s="402"/>
      <c r="J942" s="402"/>
      <c r="K942" s="402"/>
      <c r="L942" s="402"/>
      <c r="M942" s="402"/>
      <c r="N942" s="402"/>
    </row>
    <row r="943">
      <c r="A943" s="340"/>
      <c r="B943" s="242"/>
      <c r="C943" s="242"/>
      <c r="D943" s="242"/>
      <c r="E943" s="243"/>
      <c r="F943" s="242"/>
      <c r="G943" s="250"/>
      <c r="H943" s="389"/>
      <c r="I943" s="402"/>
      <c r="J943" s="402"/>
      <c r="K943" s="402"/>
      <c r="L943" s="402"/>
      <c r="M943" s="402"/>
      <c r="N943" s="402"/>
    </row>
    <row r="944">
      <c r="A944" s="340"/>
      <c r="B944" s="242"/>
      <c r="C944" s="242"/>
      <c r="D944" s="242"/>
      <c r="E944" s="243"/>
      <c r="F944" s="242"/>
      <c r="G944" s="250"/>
      <c r="H944" s="389"/>
      <c r="I944" s="402"/>
      <c r="J944" s="402"/>
      <c r="K944" s="402"/>
      <c r="L944" s="402"/>
      <c r="M944" s="402"/>
      <c r="N944" s="402"/>
    </row>
    <row r="945">
      <c r="A945" s="340"/>
      <c r="B945" s="242"/>
      <c r="C945" s="242"/>
      <c r="D945" s="242"/>
      <c r="E945" s="243"/>
      <c r="F945" s="242"/>
      <c r="G945" s="250"/>
      <c r="H945" s="389"/>
      <c r="I945" s="402"/>
      <c r="J945" s="402"/>
      <c r="K945" s="402"/>
      <c r="L945" s="402"/>
      <c r="M945" s="402"/>
      <c r="N945" s="402"/>
    </row>
    <row r="946">
      <c r="A946" s="340"/>
      <c r="B946" s="242"/>
      <c r="C946" s="242"/>
      <c r="D946" s="242"/>
      <c r="E946" s="243"/>
      <c r="F946" s="242"/>
      <c r="G946" s="250"/>
      <c r="H946" s="389"/>
      <c r="I946" s="402"/>
      <c r="J946" s="402"/>
      <c r="K946" s="402"/>
      <c r="L946" s="402"/>
      <c r="M946" s="402"/>
      <c r="N946" s="402"/>
    </row>
    <row r="947">
      <c r="A947" s="340"/>
      <c r="B947" s="242"/>
      <c r="C947" s="242"/>
      <c r="D947" s="242"/>
      <c r="E947" s="243"/>
      <c r="F947" s="242"/>
      <c r="G947" s="250"/>
      <c r="H947" s="389"/>
      <c r="I947" s="402"/>
      <c r="J947" s="402"/>
      <c r="K947" s="402"/>
      <c r="L947" s="402"/>
      <c r="M947" s="402"/>
      <c r="N947" s="402"/>
    </row>
    <row r="948">
      <c r="A948" s="340"/>
      <c r="B948" s="242"/>
      <c r="C948" s="242"/>
      <c r="D948" s="242"/>
      <c r="E948" s="243"/>
      <c r="F948" s="242"/>
      <c r="G948" s="250"/>
      <c r="H948" s="389"/>
      <c r="I948" s="402"/>
      <c r="J948" s="402"/>
      <c r="K948" s="402"/>
      <c r="L948" s="402"/>
      <c r="M948" s="402"/>
      <c r="N948" s="402"/>
    </row>
    <row r="949">
      <c r="A949" s="340"/>
      <c r="B949" s="242"/>
      <c r="C949" s="242"/>
      <c r="D949" s="242"/>
      <c r="E949" s="243"/>
      <c r="F949" s="242"/>
      <c r="G949" s="250"/>
      <c r="H949" s="389"/>
      <c r="I949" s="402"/>
      <c r="J949" s="402"/>
      <c r="K949" s="402"/>
      <c r="L949" s="402"/>
      <c r="M949" s="402"/>
      <c r="N949" s="402"/>
    </row>
    <row r="950">
      <c r="A950" s="340"/>
      <c r="B950" s="242"/>
      <c r="C950" s="242"/>
      <c r="D950" s="242"/>
      <c r="E950" s="243"/>
      <c r="F950" s="242"/>
      <c r="G950" s="250"/>
      <c r="H950" s="389"/>
      <c r="I950" s="402"/>
      <c r="J950" s="402"/>
      <c r="K950" s="402"/>
      <c r="L950" s="402"/>
      <c r="M950" s="402"/>
      <c r="N950" s="402"/>
    </row>
    <row r="951">
      <c r="A951" s="340"/>
      <c r="B951" s="242"/>
      <c r="C951" s="242"/>
      <c r="D951" s="242"/>
      <c r="E951" s="243"/>
      <c r="F951" s="242"/>
      <c r="G951" s="250"/>
      <c r="H951" s="389"/>
      <c r="I951" s="402"/>
      <c r="J951" s="402"/>
      <c r="K951" s="402"/>
      <c r="L951" s="402"/>
      <c r="M951" s="402"/>
      <c r="N951" s="402"/>
    </row>
    <row r="952">
      <c r="A952" s="340"/>
      <c r="B952" s="242"/>
      <c r="C952" s="242"/>
      <c r="D952" s="242"/>
      <c r="E952" s="243"/>
      <c r="F952" s="242"/>
      <c r="G952" s="250"/>
      <c r="H952" s="389"/>
      <c r="I952" s="402"/>
      <c r="J952" s="402"/>
      <c r="K952" s="402"/>
      <c r="L952" s="402"/>
      <c r="M952" s="402"/>
      <c r="N952" s="402"/>
    </row>
    <row r="953">
      <c r="A953" s="340"/>
      <c r="B953" s="242"/>
      <c r="C953" s="242"/>
      <c r="D953" s="242"/>
      <c r="E953" s="243"/>
      <c r="F953" s="242"/>
      <c r="G953" s="250"/>
      <c r="H953" s="389"/>
      <c r="I953" s="402"/>
      <c r="J953" s="402"/>
      <c r="K953" s="402"/>
      <c r="L953" s="402"/>
      <c r="M953" s="402"/>
      <c r="N953" s="402"/>
    </row>
    <row r="954">
      <c r="A954" s="340"/>
      <c r="B954" s="242"/>
      <c r="C954" s="242"/>
      <c r="D954" s="242"/>
      <c r="E954" s="243"/>
      <c r="F954" s="242"/>
      <c r="G954" s="250"/>
      <c r="H954" s="389"/>
      <c r="I954" s="402"/>
      <c r="J954" s="402"/>
      <c r="K954" s="402"/>
      <c r="L954" s="402"/>
      <c r="M954" s="402"/>
      <c r="N954" s="402"/>
    </row>
    <row r="955">
      <c r="A955" s="340"/>
      <c r="B955" s="242"/>
      <c r="C955" s="242"/>
      <c r="D955" s="242"/>
      <c r="E955" s="243"/>
      <c r="F955" s="242"/>
      <c r="G955" s="250"/>
      <c r="H955" s="389"/>
      <c r="I955" s="402"/>
      <c r="J955" s="402"/>
      <c r="K955" s="402"/>
      <c r="L955" s="402"/>
      <c r="M955" s="402"/>
      <c r="N955" s="402"/>
    </row>
    <row r="956">
      <c r="A956" s="340"/>
      <c r="B956" s="242"/>
      <c r="C956" s="242"/>
      <c r="D956" s="242"/>
      <c r="E956" s="243"/>
      <c r="F956" s="242"/>
      <c r="G956" s="250"/>
      <c r="H956" s="389"/>
      <c r="I956" s="402"/>
      <c r="J956" s="402"/>
      <c r="K956" s="402"/>
      <c r="L956" s="402"/>
      <c r="M956" s="402"/>
      <c r="N956" s="402"/>
    </row>
    <row r="957">
      <c r="A957" s="340"/>
      <c r="B957" s="242"/>
      <c r="C957" s="242"/>
      <c r="D957" s="242"/>
      <c r="E957" s="243"/>
      <c r="F957" s="242"/>
      <c r="G957" s="250"/>
      <c r="H957" s="389"/>
      <c r="I957" s="402"/>
      <c r="J957" s="402"/>
      <c r="K957" s="402"/>
      <c r="L957" s="402"/>
      <c r="M957" s="402"/>
      <c r="N957" s="402"/>
    </row>
    <row r="958">
      <c r="A958" s="340"/>
      <c r="B958" s="242"/>
      <c r="C958" s="242"/>
      <c r="D958" s="242"/>
      <c r="E958" s="243"/>
      <c r="F958" s="242"/>
      <c r="G958" s="250"/>
      <c r="H958" s="389"/>
      <c r="I958" s="402"/>
      <c r="J958" s="402"/>
      <c r="K958" s="402"/>
      <c r="L958" s="402"/>
      <c r="M958" s="402"/>
      <c r="N958" s="402"/>
    </row>
    <row r="959">
      <c r="A959" s="340"/>
      <c r="B959" s="242"/>
      <c r="C959" s="242"/>
      <c r="D959" s="242"/>
      <c r="E959" s="243"/>
      <c r="F959" s="242"/>
      <c r="G959" s="250"/>
      <c r="H959" s="389"/>
      <c r="I959" s="402"/>
      <c r="J959" s="402"/>
      <c r="K959" s="402"/>
      <c r="L959" s="402"/>
      <c r="M959" s="402"/>
      <c r="N959" s="402"/>
    </row>
    <row r="960">
      <c r="A960" s="340"/>
      <c r="B960" s="242"/>
      <c r="C960" s="242"/>
      <c r="D960" s="242"/>
      <c r="E960" s="243"/>
      <c r="F960" s="242"/>
      <c r="G960" s="250"/>
      <c r="H960" s="389"/>
      <c r="I960" s="402"/>
      <c r="J960" s="402"/>
      <c r="K960" s="402"/>
      <c r="L960" s="402"/>
      <c r="M960" s="402"/>
      <c r="N960" s="402"/>
    </row>
    <row r="961">
      <c r="A961" s="340"/>
      <c r="B961" s="242"/>
      <c r="C961" s="242"/>
      <c r="D961" s="242"/>
      <c r="E961" s="243"/>
      <c r="F961" s="242"/>
      <c r="G961" s="250"/>
      <c r="H961" s="389"/>
      <c r="I961" s="402"/>
      <c r="J961" s="402"/>
      <c r="K961" s="402"/>
      <c r="L961" s="402"/>
      <c r="M961" s="402"/>
      <c r="N961" s="402"/>
    </row>
    <row r="962">
      <c r="A962" s="340"/>
      <c r="B962" s="242"/>
      <c r="C962" s="242"/>
      <c r="D962" s="242"/>
      <c r="E962" s="243"/>
      <c r="F962" s="242"/>
      <c r="G962" s="250"/>
      <c r="H962" s="389"/>
      <c r="I962" s="402"/>
      <c r="J962" s="402"/>
      <c r="K962" s="402"/>
      <c r="L962" s="402"/>
      <c r="M962" s="402"/>
      <c r="N962" s="402"/>
    </row>
    <row r="963">
      <c r="A963" s="340"/>
      <c r="B963" s="242"/>
      <c r="C963" s="242"/>
      <c r="D963" s="242"/>
      <c r="E963" s="243"/>
      <c r="F963" s="242"/>
      <c r="G963" s="250"/>
      <c r="H963" s="389"/>
      <c r="I963" s="402"/>
      <c r="J963" s="402"/>
      <c r="K963" s="402"/>
      <c r="L963" s="402"/>
      <c r="M963" s="402"/>
      <c r="N963" s="402"/>
    </row>
    <row r="964">
      <c r="A964" s="340"/>
      <c r="B964" s="242"/>
      <c r="C964" s="242"/>
      <c r="D964" s="242"/>
      <c r="E964" s="243"/>
      <c r="F964" s="242"/>
      <c r="G964" s="250"/>
      <c r="H964" s="389"/>
      <c r="I964" s="402"/>
      <c r="J964" s="402"/>
      <c r="K964" s="402"/>
      <c r="L964" s="402"/>
      <c r="M964" s="402"/>
      <c r="N964" s="402"/>
    </row>
    <row r="965">
      <c r="A965" s="340"/>
      <c r="B965" s="242"/>
      <c r="C965" s="242"/>
      <c r="D965" s="242"/>
      <c r="E965" s="243"/>
      <c r="F965" s="242"/>
      <c r="G965" s="250"/>
      <c r="H965" s="389"/>
      <c r="I965" s="402"/>
      <c r="J965" s="402"/>
      <c r="K965" s="402"/>
      <c r="L965" s="402"/>
      <c r="M965" s="402"/>
      <c r="N965" s="402"/>
    </row>
    <row r="966">
      <c r="A966" s="340"/>
      <c r="B966" s="242"/>
      <c r="C966" s="242"/>
      <c r="D966" s="242"/>
      <c r="E966" s="243"/>
      <c r="F966" s="242"/>
      <c r="G966" s="250"/>
      <c r="H966" s="389"/>
      <c r="I966" s="402"/>
      <c r="J966" s="402"/>
      <c r="K966" s="402"/>
      <c r="L966" s="402"/>
      <c r="M966" s="402"/>
      <c r="N966" s="402"/>
    </row>
    <row r="967">
      <c r="A967" s="340"/>
      <c r="B967" s="242"/>
      <c r="C967" s="242"/>
      <c r="D967" s="242"/>
      <c r="E967" s="243"/>
      <c r="F967" s="242"/>
      <c r="G967" s="250"/>
      <c r="H967" s="389"/>
      <c r="I967" s="402"/>
      <c r="J967" s="402"/>
      <c r="K967" s="402"/>
      <c r="L967" s="402"/>
      <c r="M967" s="402"/>
      <c r="N967" s="402"/>
    </row>
    <row r="968">
      <c r="A968" s="340"/>
      <c r="B968" s="242"/>
      <c r="C968" s="242"/>
      <c r="D968" s="242"/>
      <c r="E968" s="243"/>
      <c r="F968" s="242"/>
      <c r="G968" s="250"/>
      <c r="H968" s="389"/>
      <c r="I968" s="402"/>
      <c r="J968" s="402"/>
      <c r="K968" s="402"/>
      <c r="L968" s="402"/>
      <c r="M968" s="402"/>
      <c r="N968" s="402"/>
    </row>
    <row r="969">
      <c r="A969" s="340"/>
      <c r="B969" s="242"/>
      <c r="C969" s="242"/>
      <c r="D969" s="242"/>
      <c r="E969" s="243"/>
      <c r="F969" s="242"/>
      <c r="G969" s="250"/>
      <c r="H969" s="389"/>
      <c r="I969" s="402"/>
      <c r="J969" s="402"/>
      <c r="K969" s="402"/>
      <c r="L969" s="402"/>
      <c r="M969" s="402"/>
      <c r="N969" s="402"/>
    </row>
    <row r="970">
      <c r="A970" s="340"/>
      <c r="B970" s="242"/>
      <c r="C970" s="242"/>
      <c r="D970" s="242"/>
      <c r="E970" s="243"/>
      <c r="F970" s="242"/>
      <c r="G970" s="250"/>
      <c r="H970" s="389"/>
      <c r="I970" s="402"/>
      <c r="J970" s="402"/>
      <c r="K970" s="402"/>
      <c r="L970" s="402"/>
      <c r="M970" s="402"/>
      <c r="N970" s="402"/>
    </row>
    <row r="971">
      <c r="A971" s="340"/>
      <c r="B971" s="242"/>
      <c r="C971" s="242"/>
      <c r="D971" s="242"/>
      <c r="E971" s="243"/>
      <c r="F971" s="242"/>
      <c r="G971" s="250"/>
      <c r="H971" s="389"/>
      <c r="I971" s="402"/>
      <c r="J971" s="402"/>
      <c r="K971" s="402"/>
      <c r="L971" s="402"/>
      <c r="M971" s="402"/>
      <c r="N971" s="402"/>
    </row>
    <row r="972">
      <c r="A972" s="340"/>
      <c r="B972" s="242"/>
      <c r="C972" s="242"/>
      <c r="D972" s="242"/>
      <c r="E972" s="243"/>
      <c r="F972" s="242"/>
      <c r="G972" s="250"/>
      <c r="H972" s="389"/>
      <c r="I972" s="402"/>
      <c r="J972" s="402"/>
      <c r="K972" s="402"/>
      <c r="L972" s="402"/>
      <c r="M972" s="402"/>
      <c r="N972" s="402"/>
    </row>
    <row r="973">
      <c r="A973" s="340"/>
      <c r="B973" s="242"/>
      <c r="C973" s="242"/>
      <c r="D973" s="242"/>
      <c r="E973" s="243"/>
      <c r="F973" s="242"/>
      <c r="G973" s="250"/>
      <c r="H973" s="389"/>
      <c r="I973" s="402"/>
      <c r="J973" s="402"/>
      <c r="K973" s="402"/>
      <c r="L973" s="402"/>
      <c r="M973" s="402"/>
      <c r="N973" s="402"/>
    </row>
    <row r="974">
      <c r="A974" s="340"/>
      <c r="B974" s="242"/>
      <c r="C974" s="242"/>
      <c r="D974" s="242"/>
      <c r="E974" s="243"/>
      <c r="F974" s="242"/>
      <c r="G974" s="250"/>
      <c r="H974" s="389"/>
      <c r="I974" s="402"/>
      <c r="J974" s="402"/>
      <c r="K974" s="402"/>
      <c r="L974" s="402"/>
      <c r="M974" s="402"/>
      <c r="N974" s="402"/>
    </row>
    <row r="975">
      <c r="A975" s="340"/>
      <c r="B975" s="242"/>
      <c r="C975" s="242"/>
      <c r="D975" s="242"/>
      <c r="E975" s="243"/>
      <c r="F975" s="242"/>
      <c r="G975" s="250"/>
      <c r="H975" s="389"/>
      <c r="I975" s="402"/>
      <c r="J975" s="402"/>
      <c r="K975" s="402"/>
      <c r="L975" s="402"/>
      <c r="M975" s="402"/>
      <c r="N975" s="402"/>
    </row>
    <row r="976">
      <c r="A976" s="340"/>
      <c r="B976" s="242"/>
      <c r="C976" s="242"/>
      <c r="D976" s="242"/>
      <c r="E976" s="243"/>
      <c r="F976" s="242"/>
      <c r="G976" s="250"/>
      <c r="H976" s="389"/>
      <c r="I976" s="402"/>
      <c r="J976" s="402"/>
      <c r="K976" s="402"/>
      <c r="L976" s="402"/>
      <c r="M976" s="402"/>
      <c r="N976" s="402"/>
    </row>
    <row r="977">
      <c r="A977" s="340"/>
      <c r="B977" s="242"/>
      <c r="C977" s="242"/>
      <c r="D977" s="242"/>
      <c r="E977" s="243"/>
      <c r="F977" s="242"/>
      <c r="G977" s="250"/>
      <c r="H977" s="389"/>
      <c r="I977" s="402"/>
      <c r="J977" s="402"/>
      <c r="K977" s="402"/>
      <c r="L977" s="402"/>
      <c r="M977" s="402"/>
      <c r="N977" s="402"/>
    </row>
    <row r="978">
      <c r="A978" s="340"/>
      <c r="B978" s="242"/>
      <c r="C978" s="242"/>
      <c r="D978" s="242"/>
      <c r="E978" s="243"/>
      <c r="F978" s="242"/>
      <c r="G978" s="250"/>
      <c r="H978" s="389"/>
      <c r="I978" s="402"/>
      <c r="J978" s="402"/>
      <c r="K978" s="402"/>
      <c r="L978" s="402"/>
      <c r="M978" s="402"/>
      <c r="N978" s="402"/>
    </row>
    <row r="979">
      <c r="A979" s="340"/>
      <c r="B979" s="242"/>
      <c r="C979" s="242"/>
      <c r="D979" s="242"/>
      <c r="E979" s="243"/>
      <c r="F979" s="242"/>
      <c r="G979" s="250"/>
      <c r="H979" s="389"/>
      <c r="I979" s="402"/>
      <c r="J979" s="402"/>
      <c r="K979" s="402"/>
      <c r="L979" s="402"/>
      <c r="M979" s="402"/>
      <c r="N979" s="402"/>
    </row>
    <row r="980">
      <c r="A980" s="340"/>
      <c r="B980" s="242"/>
      <c r="C980" s="242"/>
      <c r="D980" s="242"/>
      <c r="E980" s="243"/>
      <c r="F980" s="242"/>
      <c r="G980" s="250"/>
      <c r="H980" s="389"/>
      <c r="I980" s="402"/>
      <c r="J980" s="402"/>
      <c r="K980" s="402"/>
      <c r="L980" s="402"/>
      <c r="M980" s="402"/>
      <c r="N980" s="402"/>
    </row>
    <row r="981">
      <c r="A981" s="340"/>
      <c r="B981" s="242"/>
      <c r="C981" s="242"/>
      <c r="D981" s="242"/>
      <c r="E981" s="243"/>
      <c r="F981" s="242"/>
      <c r="G981" s="250"/>
      <c r="H981" s="389"/>
      <c r="I981" s="402"/>
      <c r="J981" s="402"/>
      <c r="K981" s="402"/>
      <c r="L981" s="402"/>
      <c r="M981" s="402"/>
      <c r="N981" s="402"/>
    </row>
    <row r="982">
      <c r="A982" s="340"/>
      <c r="B982" s="242"/>
      <c r="C982" s="242"/>
      <c r="D982" s="242"/>
      <c r="E982" s="243"/>
      <c r="F982" s="242"/>
      <c r="G982" s="250"/>
      <c r="H982" s="389"/>
      <c r="I982" s="402"/>
      <c r="J982" s="402"/>
      <c r="K982" s="402"/>
      <c r="L982" s="402"/>
      <c r="M982" s="402"/>
      <c r="N982" s="402"/>
    </row>
    <row r="983">
      <c r="A983" s="340"/>
      <c r="B983" s="242"/>
      <c r="C983" s="242"/>
      <c r="D983" s="242"/>
      <c r="E983" s="243"/>
      <c r="F983" s="242"/>
      <c r="G983" s="250"/>
      <c r="H983" s="389"/>
      <c r="I983" s="402"/>
      <c r="J983" s="402"/>
      <c r="K983" s="402"/>
      <c r="L983" s="402"/>
      <c r="M983" s="402"/>
      <c r="N983" s="402"/>
    </row>
    <row r="984">
      <c r="A984" s="340"/>
      <c r="B984" s="242"/>
      <c r="C984" s="242"/>
      <c r="D984" s="242"/>
      <c r="E984" s="243"/>
      <c r="F984" s="242"/>
      <c r="G984" s="250"/>
      <c r="H984" s="389"/>
      <c r="I984" s="402"/>
      <c r="J984" s="402"/>
      <c r="K984" s="402"/>
      <c r="L984" s="402"/>
      <c r="M984" s="402"/>
      <c r="N984" s="402"/>
    </row>
    <row r="985">
      <c r="A985" s="340"/>
      <c r="B985" s="242"/>
      <c r="C985" s="242"/>
      <c r="D985" s="242"/>
      <c r="E985" s="243"/>
      <c r="F985" s="242"/>
      <c r="G985" s="250"/>
      <c r="H985" s="389"/>
      <c r="I985" s="402"/>
      <c r="J985" s="402"/>
      <c r="K985" s="402"/>
      <c r="L985" s="402"/>
      <c r="M985" s="402"/>
      <c r="N985" s="402"/>
    </row>
    <row r="986">
      <c r="A986" s="340"/>
      <c r="B986" s="242"/>
      <c r="C986" s="242"/>
      <c r="D986" s="242"/>
      <c r="E986" s="243"/>
      <c r="F986" s="242"/>
      <c r="G986" s="250"/>
      <c r="H986" s="389"/>
      <c r="I986" s="402"/>
      <c r="J986" s="402"/>
      <c r="K986" s="402"/>
      <c r="L986" s="402"/>
      <c r="M986" s="402"/>
      <c r="N986" s="402"/>
    </row>
    <row r="987">
      <c r="A987" s="340"/>
      <c r="B987" s="242"/>
      <c r="C987" s="242"/>
      <c r="D987" s="242"/>
      <c r="E987" s="243"/>
      <c r="F987" s="242"/>
      <c r="G987" s="250"/>
      <c r="H987" s="389"/>
      <c r="I987" s="402"/>
      <c r="J987" s="402"/>
      <c r="K987" s="402"/>
      <c r="L987" s="402"/>
      <c r="M987" s="402"/>
      <c r="N987" s="402"/>
    </row>
    <row r="988">
      <c r="A988" s="340"/>
      <c r="B988" s="242"/>
      <c r="C988" s="242"/>
      <c r="D988" s="242"/>
      <c r="E988" s="243"/>
      <c r="F988" s="242"/>
      <c r="G988" s="250"/>
      <c r="H988" s="389"/>
      <c r="I988" s="402"/>
      <c r="J988" s="402"/>
      <c r="K988" s="402"/>
      <c r="L988" s="402"/>
      <c r="M988" s="402"/>
      <c r="N988" s="402"/>
    </row>
    <row r="989">
      <c r="A989" s="340"/>
      <c r="B989" s="242"/>
      <c r="C989" s="242"/>
      <c r="D989" s="242"/>
      <c r="E989" s="243"/>
      <c r="F989" s="242"/>
      <c r="G989" s="250"/>
      <c r="H989" s="389"/>
      <c r="I989" s="402"/>
      <c r="J989" s="402"/>
      <c r="K989" s="402"/>
      <c r="L989" s="402"/>
      <c r="M989" s="402"/>
      <c r="N989" s="402"/>
    </row>
    <row r="990">
      <c r="A990" s="340"/>
      <c r="B990" s="242"/>
      <c r="C990" s="242"/>
      <c r="D990" s="242"/>
      <c r="E990" s="243"/>
      <c r="F990" s="242"/>
      <c r="G990" s="250"/>
      <c r="H990" s="389"/>
      <c r="I990" s="402"/>
      <c r="J990" s="402"/>
      <c r="K990" s="402"/>
      <c r="L990" s="402"/>
      <c r="M990" s="402"/>
      <c r="N990" s="402"/>
    </row>
    <row r="991">
      <c r="A991" s="340"/>
      <c r="B991" s="242"/>
      <c r="C991" s="242"/>
      <c r="D991" s="242"/>
      <c r="E991" s="243"/>
      <c r="F991" s="242"/>
      <c r="G991" s="250"/>
      <c r="H991" s="389"/>
      <c r="I991" s="402"/>
      <c r="J991" s="402"/>
      <c r="K991" s="402"/>
      <c r="L991" s="402"/>
      <c r="M991" s="402"/>
      <c r="N991" s="402"/>
    </row>
    <row r="992">
      <c r="A992" s="340"/>
      <c r="B992" s="242"/>
      <c r="C992" s="242"/>
      <c r="D992" s="242"/>
      <c r="E992" s="243"/>
      <c r="F992" s="242"/>
      <c r="G992" s="250"/>
      <c r="H992" s="389"/>
      <c r="I992" s="402"/>
      <c r="J992" s="402"/>
      <c r="K992" s="402"/>
      <c r="L992" s="402"/>
      <c r="M992" s="402"/>
      <c r="N992" s="402"/>
    </row>
    <row r="993">
      <c r="A993" s="340"/>
      <c r="B993" s="242"/>
      <c r="C993" s="242"/>
      <c r="D993" s="242"/>
      <c r="E993" s="243"/>
      <c r="F993" s="242"/>
      <c r="G993" s="250"/>
      <c r="H993" s="389"/>
      <c r="I993" s="402"/>
      <c r="J993" s="402"/>
      <c r="K993" s="402"/>
      <c r="L993" s="402"/>
      <c r="M993" s="402"/>
      <c r="N993" s="402"/>
    </row>
    <row r="994">
      <c r="A994" s="340"/>
      <c r="B994" s="242"/>
      <c r="C994" s="242"/>
      <c r="D994" s="242"/>
      <c r="E994" s="243"/>
      <c r="F994" s="242"/>
      <c r="G994" s="250"/>
      <c r="H994" s="389"/>
      <c r="I994" s="402"/>
      <c r="J994" s="402"/>
      <c r="K994" s="402"/>
      <c r="L994" s="402"/>
      <c r="M994" s="402"/>
      <c r="N994" s="402"/>
    </row>
    <row r="995">
      <c r="A995" s="340"/>
      <c r="B995" s="242"/>
      <c r="C995" s="242"/>
      <c r="D995" s="242"/>
      <c r="E995" s="243"/>
      <c r="F995" s="242"/>
      <c r="G995" s="250"/>
      <c r="H995" s="389"/>
      <c r="I995" s="402"/>
      <c r="J995" s="402"/>
      <c r="K995" s="402"/>
      <c r="L995" s="402"/>
      <c r="M995" s="402"/>
      <c r="N995" s="402"/>
    </row>
    <row r="996">
      <c r="A996" s="340"/>
      <c r="B996" s="242"/>
      <c r="C996" s="242"/>
      <c r="D996" s="242"/>
      <c r="E996" s="243"/>
      <c r="F996" s="242"/>
      <c r="G996" s="250"/>
      <c r="H996" s="389"/>
      <c r="I996" s="402"/>
      <c r="J996" s="402"/>
      <c r="K996" s="402"/>
      <c r="L996" s="402"/>
      <c r="M996" s="402"/>
      <c r="N996" s="402"/>
    </row>
    <row r="997">
      <c r="A997" s="340"/>
      <c r="B997" s="242"/>
      <c r="C997" s="242"/>
      <c r="D997" s="242"/>
      <c r="E997" s="243"/>
      <c r="F997" s="242"/>
      <c r="G997" s="250"/>
      <c r="H997" s="389"/>
      <c r="I997" s="402"/>
      <c r="J997" s="402"/>
      <c r="K997" s="402"/>
      <c r="L997" s="402"/>
      <c r="M997" s="402"/>
      <c r="N997" s="402"/>
    </row>
  </sheetData>
  <mergeCells count="15">
    <mergeCell ref="I2:I3"/>
    <mergeCell ref="J2:J3"/>
    <mergeCell ref="E2:E3"/>
    <mergeCell ref="B46:E46"/>
    <mergeCell ref="B48:F48"/>
    <mergeCell ref="B90:E90"/>
    <mergeCell ref="B92:F92"/>
    <mergeCell ref="B134:E134"/>
    <mergeCell ref="B2:B3"/>
    <mergeCell ref="C2:C3"/>
    <mergeCell ref="D2:D3"/>
    <mergeCell ref="F2:F3"/>
    <mergeCell ref="G2:G3"/>
    <mergeCell ref="H2:H3"/>
    <mergeCell ref="B4:F4"/>
  </mergeCells>
  <printOptions gridLines="1" horizontalCentered="1"/>
  <pageMargins bottom="1.0" footer="0.0" header="0.0" left="1.0" right="1.0" top="1.0"/>
  <pageSetup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
    <col customWidth="1" min="2" max="2" width="3.25"/>
    <col customWidth="1" min="3" max="3" width="11.0"/>
    <col customWidth="1" min="4" max="4" width="10.0"/>
    <col customWidth="1" min="5" max="5" width="8.88"/>
    <col customWidth="1" min="6" max="6" width="7.75"/>
    <col customWidth="1" min="7" max="7" width="7.88"/>
    <col customWidth="1" min="8" max="8" width="10.75"/>
  </cols>
  <sheetData>
    <row r="1" ht="10.5" customHeight="1">
      <c r="A1" s="404"/>
      <c r="B1" s="243"/>
      <c r="C1" s="243"/>
      <c r="D1" s="15"/>
      <c r="E1" s="15"/>
      <c r="F1" s="244">
        <v>0.05</v>
      </c>
      <c r="G1" s="20"/>
      <c r="H1" s="29"/>
      <c r="I1" s="304"/>
      <c r="J1" s="304"/>
      <c r="K1" s="15"/>
      <c r="L1" s="15"/>
      <c r="M1" s="15"/>
      <c r="N1" s="15"/>
    </row>
    <row r="2" ht="27.0" customHeight="1">
      <c r="A2" s="243"/>
      <c r="B2" s="35" t="s">
        <v>0</v>
      </c>
      <c r="C2" s="37" t="s">
        <v>24</v>
      </c>
      <c r="D2" s="381" t="s">
        <v>18</v>
      </c>
      <c r="E2" s="382"/>
      <c r="F2" s="28" t="s">
        <v>6</v>
      </c>
      <c r="G2" s="33" t="s">
        <v>26</v>
      </c>
      <c r="H2" s="38" t="s">
        <v>8</v>
      </c>
      <c r="I2" s="304" t="s">
        <v>1963</v>
      </c>
      <c r="J2" s="304" t="s">
        <v>1932</v>
      </c>
      <c r="K2" s="15"/>
      <c r="L2" s="15"/>
      <c r="M2" s="15"/>
      <c r="N2" s="15"/>
    </row>
    <row r="3" ht="33.0" customHeight="1">
      <c r="A3" s="243"/>
      <c r="B3" s="41"/>
      <c r="C3" s="41"/>
      <c r="D3" s="41"/>
      <c r="E3" s="41"/>
      <c r="F3" s="41"/>
      <c r="G3" s="41"/>
      <c r="H3" s="41"/>
      <c r="I3" s="319">
        <v>550.0</v>
      </c>
      <c r="J3" s="319">
        <v>490.0</v>
      </c>
      <c r="K3" s="319"/>
      <c r="L3" s="304"/>
      <c r="M3" s="15"/>
      <c r="N3" s="15"/>
    </row>
    <row r="4" ht="22.5" customHeight="1">
      <c r="A4" s="243"/>
      <c r="B4" s="405" t="s">
        <v>2056</v>
      </c>
      <c r="C4" s="45"/>
      <c r="D4" s="45"/>
      <c r="E4" s="46"/>
      <c r="F4" s="406"/>
      <c r="G4" s="301"/>
      <c r="I4" s="319"/>
      <c r="J4" s="319"/>
      <c r="K4" s="319"/>
      <c r="L4" s="304"/>
      <c r="M4" s="15"/>
      <c r="N4" s="15"/>
    </row>
    <row r="5" ht="22.5" customHeight="1">
      <c r="A5" s="243"/>
      <c r="B5" s="62" t="s">
        <v>2061</v>
      </c>
      <c r="C5" s="45"/>
      <c r="D5" s="45"/>
      <c r="E5" s="46"/>
      <c r="F5" s="407"/>
      <c r="G5" s="301"/>
      <c r="I5" s="188"/>
      <c r="J5" s="188"/>
      <c r="K5" s="188"/>
      <c r="L5" s="408"/>
      <c r="M5" s="407"/>
      <c r="N5" s="407"/>
    </row>
    <row r="6" ht="15.75" customHeight="1">
      <c r="A6" s="243"/>
      <c r="B6" s="51">
        <v>1.0</v>
      </c>
      <c r="C6" s="409">
        <v>20.0</v>
      </c>
      <c r="D6" s="321" t="s">
        <v>2068</v>
      </c>
      <c r="E6" s="410" t="s">
        <v>722</v>
      </c>
      <c r="F6" s="408">
        <v>0.012</v>
      </c>
      <c r="G6" s="223">
        <f t="shared" ref="G6:G10" si="1">IFERROR(H6/F6,"")</f>
        <v>550</v>
      </c>
      <c r="H6" s="318">
        <v>6.6</v>
      </c>
      <c r="J6" s="188"/>
      <c r="K6" s="188"/>
      <c r="L6" s="408"/>
      <c r="M6" s="407"/>
      <c r="N6" s="407"/>
    </row>
    <row r="7" ht="15.75" customHeight="1">
      <c r="A7" s="243"/>
      <c r="B7" s="150">
        <v>2.0</v>
      </c>
      <c r="C7" s="413">
        <v>25.0</v>
      </c>
      <c r="D7" s="321" t="s">
        <v>2073</v>
      </c>
      <c r="E7" s="410" t="s">
        <v>722</v>
      </c>
      <c r="F7" s="408">
        <v>0.022</v>
      </c>
      <c r="G7" s="223">
        <f t="shared" si="1"/>
        <v>554.5454545</v>
      </c>
      <c r="H7" s="318">
        <v>12.2</v>
      </c>
      <c r="J7" s="188"/>
      <c r="K7" s="188"/>
      <c r="L7" s="408"/>
      <c r="M7" s="407"/>
      <c r="N7" s="407"/>
    </row>
    <row r="8" ht="15.75" customHeight="1">
      <c r="A8" s="243"/>
      <c r="B8" s="150">
        <v>3.0</v>
      </c>
      <c r="C8" s="413">
        <v>32.0</v>
      </c>
      <c r="D8" s="321" t="s">
        <v>2075</v>
      </c>
      <c r="E8" s="410" t="s">
        <v>722</v>
      </c>
      <c r="F8" s="408">
        <v>0.031</v>
      </c>
      <c r="G8" s="223">
        <f t="shared" si="1"/>
        <v>551.6129032</v>
      </c>
      <c r="H8" s="318">
        <v>17.1</v>
      </c>
      <c r="J8" s="188"/>
      <c r="K8" s="188"/>
      <c r="L8" s="408"/>
      <c r="M8" s="407"/>
      <c r="N8" s="407"/>
    </row>
    <row r="9" ht="15.75" customHeight="1">
      <c r="A9" s="243"/>
      <c r="B9" s="150">
        <v>4.0</v>
      </c>
      <c r="C9" s="413">
        <v>40.0</v>
      </c>
      <c r="D9" s="321" t="s">
        <v>2078</v>
      </c>
      <c r="E9" s="410" t="s">
        <v>722</v>
      </c>
      <c r="F9" s="408">
        <v>0.042</v>
      </c>
      <c r="G9" s="223">
        <f t="shared" si="1"/>
        <v>550</v>
      </c>
      <c r="H9" s="318">
        <v>23.1</v>
      </c>
      <c r="J9" s="188"/>
      <c r="K9" s="188"/>
      <c r="L9" s="408"/>
      <c r="M9" s="407"/>
      <c r="N9" s="407"/>
    </row>
    <row r="10" ht="15.75" customHeight="1">
      <c r="A10" s="243"/>
      <c r="B10" s="51">
        <v>5.0</v>
      </c>
      <c r="C10" s="413">
        <v>50.0</v>
      </c>
      <c r="D10" s="321" t="s">
        <v>2079</v>
      </c>
      <c r="E10" s="410" t="s">
        <v>722</v>
      </c>
      <c r="F10" s="408">
        <v>0.062</v>
      </c>
      <c r="G10" s="223">
        <f t="shared" si="1"/>
        <v>548.3870968</v>
      </c>
      <c r="H10" s="318">
        <v>34.0</v>
      </c>
      <c r="J10" s="188"/>
      <c r="K10" s="188"/>
      <c r="L10" s="408"/>
      <c r="M10" s="407"/>
      <c r="N10" s="407"/>
    </row>
    <row r="11" ht="22.5" customHeight="1">
      <c r="A11" s="243"/>
      <c r="B11" s="237" t="s">
        <v>11</v>
      </c>
      <c r="C11" s="45"/>
      <c r="D11" s="45"/>
      <c r="E11" s="377"/>
      <c r="F11" s="407"/>
      <c r="G11" s="301"/>
      <c r="H11" s="240">
        <f>SUM(H6:H10)</f>
        <v>93</v>
      </c>
      <c r="J11" s="188"/>
      <c r="K11" s="188"/>
      <c r="L11" s="408"/>
      <c r="M11" s="407"/>
      <c r="N11" s="407"/>
    </row>
    <row r="12" ht="22.5" customHeight="1">
      <c r="A12" s="243"/>
      <c r="B12" s="62" t="s">
        <v>2083</v>
      </c>
      <c r="C12" s="45"/>
      <c r="D12" s="45"/>
      <c r="E12" s="46"/>
      <c r="F12" s="407"/>
      <c r="G12" s="301"/>
      <c r="H12" s="205"/>
      <c r="J12" s="188"/>
      <c r="K12" s="188"/>
      <c r="L12" s="408"/>
      <c r="M12" s="407"/>
      <c r="N12" s="407"/>
    </row>
    <row r="13">
      <c r="A13" s="243"/>
      <c r="B13" s="51">
        <v>1.0</v>
      </c>
      <c r="C13" s="409">
        <v>20.0</v>
      </c>
      <c r="D13" s="152" t="s">
        <v>2086</v>
      </c>
      <c r="E13" s="410" t="s">
        <v>722</v>
      </c>
      <c r="F13" s="408">
        <v>0.025</v>
      </c>
      <c r="G13" s="223">
        <f t="shared" ref="G13:G17" si="2">IFERROR(H13/F13,"")</f>
        <v>548</v>
      </c>
      <c r="H13" s="318">
        <v>13.7</v>
      </c>
      <c r="J13" s="188"/>
      <c r="K13" s="188"/>
      <c r="L13" s="408"/>
      <c r="M13" s="407"/>
      <c r="N13" s="407"/>
    </row>
    <row r="14">
      <c r="A14" s="243"/>
      <c r="B14" s="150">
        <v>2.0</v>
      </c>
      <c r="C14" s="413">
        <v>25.0</v>
      </c>
      <c r="D14" s="152" t="s">
        <v>2088</v>
      </c>
      <c r="E14" s="410" t="s">
        <v>722</v>
      </c>
      <c r="F14" s="21">
        <v>0.04</v>
      </c>
      <c r="G14" s="223">
        <f t="shared" si="2"/>
        <v>550</v>
      </c>
      <c r="H14" s="318">
        <v>22.0</v>
      </c>
      <c r="J14" s="188"/>
      <c r="K14" s="188"/>
      <c r="L14" s="408"/>
      <c r="M14" s="407"/>
      <c r="N14" s="407"/>
    </row>
    <row r="15">
      <c r="A15" s="243"/>
      <c r="B15" s="150">
        <v>3.0</v>
      </c>
      <c r="C15" s="413">
        <v>32.0</v>
      </c>
      <c r="D15" s="152" t="s">
        <v>2092</v>
      </c>
      <c r="E15" s="410" t="s">
        <v>722</v>
      </c>
      <c r="F15" s="408">
        <v>0.059</v>
      </c>
      <c r="G15" s="223">
        <f t="shared" si="2"/>
        <v>549.1525424</v>
      </c>
      <c r="H15" s="318">
        <v>32.4</v>
      </c>
      <c r="J15" s="188"/>
      <c r="K15" s="188"/>
      <c r="L15" s="408"/>
      <c r="M15" s="407"/>
      <c r="N15" s="407"/>
    </row>
    <row r="16">
      <c r="A16" s="243"/>
      <c r="B16" s="150">
        <v>4.0</v>
      </c>
      <c r="C16" s="413">
        <v>40.0</v>
      </c>
      <c r="D16" s="152" t="s">
        <v>2093</v>
      </c>
      <c r="E16" s="410" t="s">
        <v>722</v>
      </c>
      <c r="F16" s="408">
        <v>0.087</v>
      </c>
      <c r="G16" s="223">
        <f t="shared" si="2"/>
        <v>551.7241379</v>
      </c>
      <c r="H16" s="318">
        <v>48.0</v>
      </c>
      <c r="J16" s="188"/>
      <c r="K16" s="188"/>
      <c r="L16" s="408"/>
      <c r="M16" s="407"/>
      <c r="N16" s="407"/>
    </row>
    <row r="17">
      <c r="A17" s="243"/>
      <c r="B17" s="51">
        <v>5.0</v>
      </c>
      <c r="C17" s="413">
        <v>50.0</v>
      </c>
      <c r="D17" s="152" t="s">
        <v>2094</v>
      </c>
      <c r="E17" s="410" t="s">
        <v>722</v>
      </c>
      <c r="F17" s="408">
        <v>0.132</v>
      </c>
      <c r="G17" s="223">
        <f t="shared" si="2"/>
        <v>549.2424242</v>
      </c>
      <c r="H17" s="318">
        <v>72.5</v>
      </c>
      <c r="J17" s="188"/>
      <c r="K17" s="188"/>
      <c r="L17" s="408"/>
      <c r="M17" s="407"/>
      <c r="N17" s="407"/>
    </row>
    <row r="18" ht="22.5" customHeight="1">
      <c r="A18" s="243"/>
      <c r="B18" s="237" t="s">
        <v>11</v>
      </c>
      <c r="C18" s="45"/>
      <c r="D18" s="45"/>
      <c r="E18" s="377"/>
      <c r="F18" s="407"/>
      <c r="G18" s="301"/>
      <c r="H18" s="240">
        <f>SUM(H13:H17)</f>
        <v>188.6</v>
      </c>
      <c r="J18" s="188"/>
      <c r="K18" s="188"/>
      <c r="L18" s="408"/>
      <c r="M18" s="407"/>
      <c r="N18" s="407"/>
    </row>
    <row r="19" ht="22.5" customHeight="1">
      <c r="A19" s="243"/>
      <c r="B19" s="62" t="s">
        <v>2097</v>
      </c>
      <c r="C19" s="45"/>
      <c r="D19" s="45"/>
      <c r="E19" s="46"/>
      <c r="F19" s="407"/>
      <c r="G19" s="301"/>
      <c r="H19" s="205"/>
      <c r="J19" s="188"/>
      <c r="K19" s="188"/>
      <c r="L19" s="408"/>
      <c r="M19" s="407"/>
      <c r="N19" s="407"/>
    </row>
    <row r="20">
      <c r="A20" s="243"/>
      <c r="B20" s="51">
        <v>1.0</v>
      </c>
      <c r="C20" s="409">
        <v>20.0</v>
      </c>
      <c r="D20" s="152" t="s">
        <v>2098</v>
      </c>
      <c r="E20" s="410" t="s">
        <v>722</v>
      </c>
      <c r="F20" s="408">
        <v>0.018</v>
      </c>
      <c r="G20" s="223">
        <f t="shared" ref="G20:G24" si="3">IFERROR(H20/F20,"")</f>
        <v>550</v>
      </c>
      <c r="H20" s="318">
        <v>9.9</v>
      </c>
      <c r="J20" s="188"/>
      <c r="K20" s="188"/>
      <c r="L20" s="408"/>
      <c r="M20" s="407"/>
      <c r="N20" s="407"/>
    </row>
    <row r="21">
      <c r="A21" s="243"/>
      <c r="B21" s="150">
        <v>2.0</v>
      </c>
      <c r="C21" s="413">
        <v>25.0</v>
      </c>
      <c r="D21" s="152" t="s">
        <v>2102</v>
      </c>
      <c r="E21" s="410" t="s">
        <v>722</v>
      </c>
      <c r="F21" s="408">
        <v>0.029</v>
      </c>
      <c r="G21" s="223">
        <f t="shared" si="3"/>
        <v>551.7241379</v>
      </c>
      <c r="H21" s="318">
        <v>16.0</v>
      </c>
      <c r="J21" s="188"/>
      <c r="K21" s="188"/>
      <c r="L21" s="408"/>
      <c r="M21" s="407"/>
      <c r="N21" s="407"/>
    </row>
    <row r="22">
      <c r="A22" s="243"/>
      <c r="B22" s="150">
        <v>3.0</v>
      </c>
      <c r="C22" s="413">
        <v>32.0</v>
      </c>
      <c r="D22" s="152" t="s">
        <v>2103</v>
      </c>
      <c r="E22" s="410" t="s">
        <v>722</v>
      </c>
      <c r="F22" s="408">
        <v>0.046</v>
      </c>
      <c r="G22" s="223">
        <f t="shared" si="3"/>
        <v>550</v>
      </c>
      <c r="H22" s="318">
        <v>25.3</v>
      </c>
      <c r="J22" s="188"/>
      <c r="K22" s="188"/>
      <c r="L22" s="408"/>
      <c r="M22" s="407"/>
      <c r="N22" s="407"/>
    </row>
    <row r="23">
      <c r="A23" s="243"/>
      <c r="B23" s="150">
        <v>4.0</v>
      </c>
      <c r="C23" s="413">
        <v>40.0</v>
      </c>
      <c r="D23" s="152" t="s">
        <v>2104</v>
      </c>
      <c r="E23" s="410" t="s">
        <v>722</v>
      </c>
      <c r="F23" s="408">
        <v>0.066</v>
      </c>
      <c r="G23" s="223">
        <f t="shared" si="3"/>
        <v>553.030303</v>
      </c>
      <c r="H23" s="318">
        <v>36.5</v>
      </c>
      <c r="J23" s="188"/>
      <c r="K23" s="188"/>
      <c r="L23" s="408"/>
      <c r="M23" s="407"/>
      <c r="N23" s="407"/>
    </row>
    <row r="24">
      <c r="A24" s="243"/>
      <c r="B24" s="51">
        <v>5.0</v>
      </c>
      <c r="C24" s="413">
        <v>50.0</v>
      </c>
      <c r="D24" s="152" t="s">
        <v>2105</v>
      </c>
      <c r="E24" s="410" t="s">
        <v>722</v>
      </c>
      <c r="F24" s="408">
        <v>0.096</v>
      </c>
      <c r="G24" s="223">
        <f t="shared" si="3"/>
        <v>552.0833333</v>
      </c>
      <c r="H24" s="318">
        <v>53.0</v>
      </c>
      <c r="J24" s="188"/>
      <c r="K24" s="188"/>
      <c r="L24" s="408"/>
      <c r="M24" s="407"/>
      <c r="N24" s="407"/>
    </row>
    <row r="25" ht="22.5" customHeight="1">
      <c r="A25" s="243"/>
      <c r="B25" s="237" t="s">
        <v>11</v>
      </c>
      <c r="C25" s="45"/>
      <c r="D25" s="45"/>
      <c r="E25" s="377"/>
      <c r="F25" s="407"/>
      <c r="G25" s="301"/>
      <c r="H25" s="240">
        <f>SUM(H20:H24)</f>
        <v>140.7</v>
      </c>
      <c r="J25" s="188"/>
      <c r="K25" s="188"/>
      <c r="L25" s="408"/>
      <c r="M25" s="407"/>
      <c r="N25" s="407"/>
    </row>
    <row r="26" ht="22.5" customHeight="1">
      <c r="A26" s="243"/>
      <c r="B26" s="62" t="s">
        <v>2108</v>
      </c>
      <c r="C26" s="45"/>
      <c r="D26" s="45"/>
      <c r="E26" s="46"/>
      <c r="F26" s="407"/>
      <c r="G26" s="301"/>
      <c r="H26" s="205"/>
      <c r="J26" s="188"/>
      <c r="K26" s="188"/>
      <c r="L26" s="408"/>
      <c r="M26" s="407"/>
      <c r="N26" s="407"/>
    </row>
    <row r="27">
      <c r="A27" s="243"/>
      <c r="B27" s="51">
        <v>1.0</v>
      </c>
      <c r="C27" s="409">
        <v>20.0</v>
      </c>
      <c r="D27" s="152" t="s">
        <v>2109</v>
      </c>
      <c r="E27" s="410" t="s">
        <v>722</v>
      </c>
      <c r="F27" s="408">
        <v>0.017</v>
      </c>
      <c r="G27" s="223">
        <f t="shared" ref="G27:G31" si="4">IFERROR(H27/F27,"")</f>
        <v>558.8235294</v>
      </c>
      <c r="H27" s="318">
        <v>9.5</v>
      </c>
      <c r="J27" s="188"/>
      <c r="K27" s="188"/>
      <c r="L27" s="408"/>
      <c r="M27" s="407"/>
      <c r="N27" s="407"/>
    </row>
    <row r="28">
      <c r="A28" s="243"/>
      <c r="B28" s="150">
        <v>2.0</v>
      </c>
      <c r="C28" s="413">
        <v>25.0</v>
      </c>
      <c r="D28" s="152" t="s">
        <v>2110</v>
      </c>
      <c r="E28" s="410" t="s">
        <v>722</v>
      </c>
      <c r="F28" s="408">
        <v>0.027</v>
      </c>
      <c r="G28" s="223">
        <f t="shared" si="4"/>
        <v>555.5555556</v>
      </c>
      <c r="H28" s="318">
        <v>15.0</v>
      </c>
      <c r="J28" s="188"/>
      <c r="K28" s="188"/>
      <c r="L28" s="408"/>
      <c r="M28" s="407"/>
      <c r="N28" s="407"/>
    </row>
    <row r="29">
      <c r="A29" s="243"/>
      <c r="B29" s="150">
        <v>3.0</v>
      </c>
      <c r="C29" s="413">
        <v>32.0</v>
      </c>
      <c r="D29" s="152" t="s">
        <v>2111</v>
      </c>
      <c r="E29" s="410" t="s">
        <v>722</v>
      </c>
      <c r="F29" s="408">
        <v>0.038</v>
      </c>
      <c r="G29" s="223">
        <f t="shared" si="4"/>
        <v>550</v>
      </c>
      <c r="H29" s="318">
        <v>20.9</v>
      </c>
      <c r="J29" s="188"/>
      <c r="K29" s="188"/>
      <c r="L29" s="408"/>
      <c r="M29" s="407"/>
      <c r="N29" s="407"/>
    </row>
    <row r="30">
      <c r="A30" s="243"/>
      <c r="B30" s="150">
        <v>4.0</v>
      </c>
      <c r="C30" s="413">
        <v>40.0</v>
      </c>
      <c r="D30" s="152" t="s">
        <v>2112</v>
      </c>
      <c r="E30" s="410" t="s">
        <v>722</v>
      </c>
      <c r="F30" s="408">
        <v>0.054</v>
      </c>
      <c r="G30" s="223">
        <f t="shared" si="4"/>
        <v>555.5555556</v>
      </c>
      <c r="H30" s="318">
        <v>30.0</v>
      </c>
      <c r="J30" s="188"/>
      <c r="K30" s="188"/>
      <c r="L30" s="408"/>
      <c r="M30" s="407"/>
      <c r="N30" s="407"/>
    </row>
    <row r="31">
      <c r="A31" s="243"/>
      <c r="B31" s="51">
        <v>5.0</v>
      </c>
      <c r="C31" s="413">
        <v>50.0</v>
      </c>
      <c r="D31" s="152" t="s">
        <v>2113</v>
      </c>
      <c r="E31" s="410" t="s">
        <v>722</v>
      </c>
      <c r="F31" s="408">
        <v>0.081</v>
      </c>
      <c r="G31" s="223">
        <f t="shared" si="4"/>
        <v>549.382716</v>
      </c>
      <c r="H31" s="318">
        <v>44.5</v>
      </c>
      <c r="J31" s="188"/>
      <c r="K31" s="188"/>
      <c r="L31" s="408"/>
      <c r="M31" s="407"/>
      <c r="N31" s="407"/>
    </row>
    <row r="32" ht="22.5" customHeight="1">
      <c r="A32" s="243"/>
      <c r="B32" s="314" t="s">
        <v>11</v>
      </c>
      <c r="C32" s="273"/>
      <c r="D32" s="180"/>
      <c r="E32" s="315"/>
      <c r="F32" s="407"/>
      <c r="G32" s="301"/>
      <c r="H32" s="240">
        <f>SUM(H27:H29)</f>
        <v>45.4</v>
      </c>
      <c r="J32" s="319"/>
      <c r="K32" s="319"/>
      <c r="L32" s="304"/>
      <c r="M32" s="15"/>
      <c r="N32" s="15"/>
    </row>
    <row r="33" ht="22.5" customHeight="1">
      <c r="A33" s="243"/>
      <c r="B33" s="62" t="s">
        <v>2118</v>
      </c>
      <c r="C33" s="45"/>
      <c r="D33" s="45"/>
      <c r="E33" s="46"/>
      <c r="F33" s="408"/>
      <c r="G33" s="408"/>
      <c r="H33" s="408"/>
      <c r="J33" s="319"/>
      <c r="K33" s="319"/>
      <c r="L33" s="304"/>
      <c r="M33" s="15"/>
      <c r="N33" s="15"/>
    </row>
    <row r="34">
      <c r="A34" s="243"/>
      <c r="B34" s="51">
        <v>1.0</v>
      </c>
      <c r="C34" s="409">
        <v>20.0</v>
      </c>
      <c r="D34" s="152" t="s">
        <v>2121</v>
      </c>
      <c r="E34" s="152"/>
      <c r="F34" s="407"/>
      <c r="G34" s="301" t="str">
        <f t="shared" ref="G34:G36" si="5">IFERROR(H34/F34,"")</f>
        <v/>
      </c>
      <c r="H34" s="415" t="s">
        <v>2124</v>
      </c>
      <c r="J34" s="319"/>
      <c r="K34" s="319"/>
      <c r="L34" s="304"/>
      <c r="M34" s="15"/>
      <c r="N34" s="15"/>
    </row>
    <row r="35">
      <c r="A35" s="243"/>
      <c r="B35" s="150">
        <v>2.0</v>
      </c>
      <c r="C35" s="413">
        <v>25.0</v>
      </c>
      <c r="D35" s="152" t="s">
        <v>2126</v>
      </c>
      <c r="E35" s="152"/>
      <c r="F35" s="407"/>
      <c r="G35" s="301" t="str">
        <f t="shared" si="5"/>
        <v/>
      </c>
      <c r="H35" s="415" t="s">
        <v>2124</v>
      </c>
      <c r="J35" s="319"/>
      <c r="K35" s="319"/>
      <c r="L35" s="304"/>
      <c r="M35" s="15"/>
      <c r="N35" s="15"/>
    </row>
    <row r="36">
      <c r="A36" s="243"/>
      <c r="B36" s="150">
        <v>3.0</v>
      </c>
      <c r="C36" s="413">
        <v>32.0</v>
      </c>
      <c r="D36" s="152" t="s">
        <v>2127</v>
      </c>
      <c r="E36" s="152"/>
      <c r="F36" s="407"/>
      <c r="G36" s="301" t="str">
        <f t="shared" si="5"/>
        <v/>
      </c>
      <c r="H36" s="415" t="s">
        <v>2124</v>
      </c>
      <c r="J36" s="319"/>
      <c r="K36" s="319"/>
      <c r="L36" s="304"/>
      <c r="M36" s="15"/>
      <c r="N36" s="15"/>
    </row>
    <row r="37" ht="22.5" customHeight="1">
      <c r="A37" s="243"/>
      <c r="B37" s="237" t="s">
        <v>11</v>
      </c>
      <c r="C37" s="45"/>
      <c r="D37" s="45"/>
      <c r="E37" s="377">
        <f>SUM(E34:E36)</f>
        <v>0</v>
      </c>
      <c r="F37" s="407"/>
      <c r="G37" s="301"/>
      <c r="H37" s="240">
        <f>SUM(H34:H36)</f>
        <v>0</v>
      </c>
      <c r="J37" s="319"/>
      <c r="K37" s="319"/>
      <c r="L37" s="304"/>
      <c r="M37" s="15"/>
      <c r="N37" s="15"/>
    </row>
    <row r="38" ht="22.5" customHeight="1">
      <c r="A38" s="243"/>
      <c r="B38" s="405" t="s">
        <v>2133</v>
      </c>
      <c r="C38" s="45"/>
      <c r="D38" s="45"/>
      <c r="E38" s="46"/>
      <c r="F38" s="407"/>
      <c r="G38" s="301"/>
      <c r="H38" s="205"/>
      <c r="J38" s="319"/>
      <c r="K38" s="319"/>
      <c r="L38" s="304"/>
      <c r="M38" s="15"/>
      <c r="N38" s="15"/>
    </row>
    <row r="39" ht="22.5" customHeight="1">
      <c r="A39" s="16"/>
      <c r="B39" s="62" t="s">
        <v>2061</v>
      </c>
      <c r="C39" s="45"/>
      <c r="D39" s="45"/>
      <c r="E39" s="46"/>
      <c r="F39" s="301"/>
      <c r="G39" s="301"/>
      <c r="H39" s="205"/>
      <c r="J39" s="319"/>
      <c r="K39" s="319"/>
      <c r="L39" s="319"/>
      <c r="M39" s="20"/>
      <c r="N39" s="20"/>
    </row>
    <row r="40" ht="17.25" customHeight="1">
      <c r="A40" s="26"/>
      <c r="B40" s="51">
        <v>1.0</v>
      </c>
      <c r="C40" s="416">
        <v>40.0</v>
      </c>
      <c r="D40" s="70" t="s">
        <v>2136</v>
      </c>
      <c r="E40" s="56">
        <v>16.2</v>
      </c>
      <c r="F40" s="76">
        <f>IFERROR(__xludf.DUMMYFUNCTION("IFERROR(VLOOKUP(D40,IMPORTRANGE(""https://docs.google.com/spreadsheets/d/1xZyKy-UzMmtPDLpV5jQdYum1LtbR8XKDuasLSjmBRMI/edit#gid=1241094406"",""COMBINED DATA!B3:K""),10,0))"),0.034)</f>
        <v>0.034</v>
      </c>
      <c r="G40" s="223">
        <f t="shared" ref="G40:G48" si="6">IFERROR(H40/F40,"")</f>
        <v>476.4705882</v>
      </c>
      <c r="H40" s="318">
        <v>16.2</v>
      </c>
      <c r="J40" s="319"/>
      <c r="K40" s="319"/>
      <c r="L40" s="319"/>
      <c r="M40" s="20"/>
      <c r="N40" s="20"/>
    </row>
    <row r="41" ht="15.75" customHeight="1">
      <c r="A41" s="26"/>
      <c r="B41" s="150">
        <v>2.0</v>
      </c>
      <c r="C41" s="417">
        <v>50.0</v>
      </c>
      <c r="D41" s="92" t="s">
        <v>2138</v>
      </c>
      <c r="E41" s="56">
        <v>26.8</v>
      </c>
      <c r="F41" s="76">
        <f>IFERROR(__xludf.DUMMYFUNCTION("IFERROR(VLOOKUP(D41,IMPORTRANGE(""https://docs.google.com/spreadsheets/d/1xZyKy-UzMmtPDLpV5jQdYum1LtbR8XKDuasLSjmBRMI/edit#gid=1241094406"",""COMBINED DATA!B3:K""),10,0))"),0.055200000000000006)</f>
        <v>0.0552</v>
      </c>
      <c r="G41" s="223">
        <f t="shared" si="6"/>
        <v>485.5072464</v>
      </c>
      <c r="H41" s="318">
        <v>26.8</v>
      </c>
      <c r="J41" s="319"/>
      <c r="K41" s="319"/>
      <c r="L41" s="319"/>
      <c r="M41" s="20"/>
      <c r="N41" s="20"/>
    </row>
    <row r="42" ht="15.75" customHeight="1">
      <c r="A42" s="26"/>
      <c r="B42" s="150">
        <v>3.0</v>
      </c>
      <c r="C42" s="417">
        <v>63.0</v>
      </c>
      <c r="D42" s="92" t="s">
        <v>2141</v>
      </c>
      <c r="E42" s="56">
        <v>42.8</v>
      </c>
      <c r="F42" s="76">
        <f>IFERROR(__xludf.DUMMYFUNCTION("IFERROR(VLOOKUP(D42,IMPORTRANGE(""https://docs.google.com/spreadsheets/d/1xZyKy-UzMmtPDLpV5jQdYum1LtbR8XKDuasLSjmBRMI/edit#gid=1241094406"",""COMBINED DATA!B3:K""),10,0))"),0.08835)</f>
        <v>0.08835</v>
      </c>
      <c r="G42" s="223">
        <f t="shared" si="6"/>
        <v>484.4368987</v>
      </c>
      <c r="H42" s="318">
        <v>42.8</v>
      </c>
      <c r="J42" s="319"/>
      <c r="K42" s="319"/>
      <c r="L42" s="319"/>
      <c r="M42" s="20"/>
      <c r="N42" s="20"/>
    </row>
    <row r="43" ht="15.75" customHeight="1">
      <c r="A43" s="26"/>
      <c r="B43" s="150">
        <v>4.0</v>
      </c>
      <c r="C43" s="417">
        <v>75.0</v>
      </c>
      <c r="D43" s="92" t="s">
        <v>2145</v>
      </c>
      <c r="E43" s="56">
        <v>62.8</v>
      </c>
      <c r="F43" s="76">
        <f>IFERROR(__xludf.DUMMYFUNCTION("IFERROR(VLOOKUP(D43,IMPORTRANGE(""https://docs.google.com/spreadsheets/d/1xZyKy-UzMmtPDLpV5jQdYum1LtbR8XKDuasLSjmBRMI/edit#gid=1241094406"",""COMBINED DATA!B3:K""),10,0))"),0.12890000000000001)</f>
        <v>0.1289</v>
      </c>
      <c r="G43" s="223">
        <f t="shared" si="6"/>
        <v>487.1993794</v>
      </c>
      <c r="H43" s="318">
        <v>62.8</v>
      </c>
      <c r="J43" s="319"/>
      <c r="K43" s="319"/>
      <c r="L43" s="319"/>
      <c r="M43" s="20"/>
      <c r="N43" s="20"/>
    </row>
    <row r="44" ht="15.75" customHeight="1">
      <c r="A44" s="26"/>
      <c r="B44" s="51">
        <v>5.0</v>
      </c>
      <c r="C44" s="417">
        <v>90.0</v>
      </c>
      <c r="D44" s="92" t="s">
        <v>2148</v>
      </c>
      <c r="E44" s="56">
        <v>92.4</v>
      </c>
      <c r="F44" s="76">
        <f>IFERROR(__xludf.DUMMYFUNCTION("IFERROR(VLOOKUP(D44,IMPORTRANGE(""https://docs.google.com/spreadsheets/d/1xZyKy-UzMmtPDLpV5jQdYum1LtbR8XKDuasLSjmBRMI/edit#gid=1241094406"",""COMBINED DATA!B3:K""),10,0))"),0.191)</f>
        <v>0.191</v>
      </c>
      <c r="G44" s="223">
        <f t="shared" si="6"/>
        <v>483.7696335</v>
      </c>
      <c r="H44" s="318">
        <v>92.4</v>
      </c>
      <c r="J44" s="319"/>
      <c r="K44" s="319"/>
      <c r="L44" s="319"/>
      <c r="M44" s="20"/>
      <c r="N44" s="20"/>
    </row>
    <row r="45" ht="15.75" customHeight="1">
      <c r="A45" s="26"/>
      <c r="B45" s="150">
        <v>6.0</v>
      </c>
      <c r="C45" s="417">
        <v>110.0</v>
      </c>
      <c r="D45" s="92" t="s">
        <v>2151</v>
      </c>
      <c r="E45" s="56">
        <v>143.4</v>
      </c>
      <c r="F45" s="76">
        <f>IFERROR(__xludf.DUMMYFUNCTION("IFERROR(VLOOKUP(D45,IMPORTRANGE(""https://docs.google.com/spreadsheets/d/1xZyKy-UzMmtPDLpV5jQdYum1LtbR8XKDuasLSjmBRMI/edit#gid=1241094406"",""COMBINED DATA!B3:K""),10,0))"),0.29560000000000003)</f>
        <v>0.2956</v>
      </c>
      <c r="G45" s="223">
        <f t="shared" si="6"/>
        <v>485.1150203</v>
      </c>
      <c r="H45" s="318">
        <v>143.4</v>
      </c>
      <c r="J45" s="319"/>
      <c r="K45" s="319"/>
      <c r="L45" s="319"/>
      <c r="M45" s="20"/>
      <c r="N45" s="20"/>
    </row>
    <row r="46" ht="15.75" customHeight="1">
      <c r="A46" s="26"/>
      <c r="B46" s="150">
        <v>7.0</v>
      </c>
      <c r="C46" s="417">
        <v>125.0</v>
      </c>
      <c r="D46" s="92" t="s">
        <v>2153</v>
      </c>
      <c r="E46" s="56">
        <v>192.4</v>
      </c>
      <c r="F46" s="76">
        <f>IFERROR(__xludf.DUMMYFUNCTION("IFERROR(VLOOKUP(D46,IMPORTRANGE(""https://docs.google.com/spreadsheets/d/1xZyKy-UzMmtPDLpV5jQdYum1LtbR8XKDuasLSjmBRMI/edit#gid=1241094406"",""COMBINED DATA!B3:K""),10,0))"),0.3998)</f>
        <v>0.3998</v>
      </c>
      <c r="G46" s="223">
        <f t="shared" si="6"/>
        <v>481.2406203</v>
      </c>
      <c r="H46" s="318">
        <v>192.4</v>
      </c>
      <c r="J46" s="319"/>
      <c r="K46" s="319"/>
      <c r="L46" s="319"/>
      <c r="M46" s="20"/>
      <c r="N46" s="20"/>
    </row>
    <row r="47" ht="15.75" customHeight="1">
      <c r="A47" s="26"/>
      <c r="B47" s="150">
        <v>8.0</v>
      </c>
      <c r="C47" s="417">
        <v>140.0</v>
      </c>
      <c r="D47" s="92" t="s">
        <v>2155</v>
      </c>
      <c r="E47" s="56">
        <v>264.0</v>
      </c>
      <c r="F47" s="76">
        <f>IFERROR(__xludf.DUMMYFUNCTION("IFERROR(VLOOKUP(D47,IMPORTRANGE(""https://docs.google.com/spreadsheets/d/1xZyKy-UzMmtPDLpV5jQdYum1LtbR8XKDuasLSjmBRMI/edit#gid=1241094406"",""COMBINED DATA!B3:K""),10,0))"),0.5435)</f>
        <v>0.5435</v>
      </c>
      <c r="G47" s="223">
        <f t="shared" si="6"/>
        <v>485.7405704</v>
      </c>
      <c r="H47" s="318">
        <v>264.0</v>
      </c>
      <c r="J47" s="319"/>
      <c r="K47" s="319"/>
      <c r="L47" s="319"/>
      <c r="M47" s="20"/>
      <c r="N47" s="20"/>
    </row>
    <row r="48" ht="15.75" customHeight="1">
      <c r="A48" s="26"/>
      <c r="B48" s="51">
        <v>9.0</v>
      </c>
      <c r="C48" s="417">
        <v>160.0</v>
      </c>
      <c r="D48" s="92" t="s">
        <v>2156</v>
      </c>
      <c r="E48" s="56">
        <v>368.0</v>
      </c>
      <c r="F48" s="76">
        <f>IFERROR(__xludf.DUMMYFUNCTION("IFERROR(VLOOKUP(D48,IMPORTRANGE(""https://docs.google.com/spreadsheets/d/1xZyKy-UzMmtPDLpV5jQdYum1LtbR8XKDuasLSjmBRMI/edit#gid=1241094406"",""COMBINED DATA!B3:K""),10,0))"),0.7567)</f>
        <v>0.7567</v>
      </c>
      <c r="G48" s="223">
        <f t="shared" si="6"/>
        <v>486.3221884</v>
      </c>
      <c r="H48" s="318">
        <v>368.0</v>
      </c>
      <c r="J48" s="319"/>
      <c r="K48" s="319"/>
      <c r="L48" s="319"/>
      <c r="M48" s="20"/>
      <c r="N48" s="20"/>
    </row>
    <row r="49">
      <c r="A49" s="16"/>
      <c r="B49" s="237" t="s">
        <v>11</v>
      </c>
      <c r="C49" s="45"/>
      <c r="D49" s="45"/>
      <c r="E49" s="377">
        <f>SUM(E40:E48)</f>
        <v>1208.8</v>
      </c>
      <c r="F49" s="301"/>
      <c r="G49" s="301"/>
      <c r="H49" s="240">
        <f>SUM(H40:H48)</f>
        <v>1208.8</v>
      </c>
      <c r="J49" s="319"/>
      <c r="K49" s="319"/>
      <c r="L49" s="319"/>
      <c r="M49" s="20"/>
      <c r="N49" s="20"/>
    </row>
    <row r="50" ht="22.5" customHeight="1">
      <c r="A50" s="16"/>
      <c r="B50" s="62" t="s">
        <v>2083</v>
      </c>
      <c r="C50" s="45"/>
      <c r="D50" s="45"/>
      <c r="E50" s="46"/>
      <c r="F50" s="301"/>
      <c r="G50" s="301"/>
      <c r="H50" s="205"/>
      <c r="J50" s="319"/>
      <c r="K50" s="319"/>
      <c r="L50" s="319"/>
      <c r="M50" s="20"/>
      <c r="N50" s="20"/>
    </row>
    <row r="51" ht="15.75" customHeight="1">
      <c r="A51" s="26"/>
      <c r="B51" s="51">
        <v>1.0</v>
      </c>
      <c r="C51" s="417">
        <v>40.0</v>
      </c>
      <c r="D51" s="92" t="s">
        <v>2167</v>
      </c>
      <c r="E51" s="181">
        <v>37.8</v>
      </c>
      <c r="F51" s="76">
        <f>IFERROR(__xludf.DUMMYFUNCTION("IFERROR(VLOOKUP(D51,IMPORTRANGE(""https://docs.google.com/spreadsheets/d/1xZyKy-UzMmtPDLpV5jQdYum1LtbR8XKDuasLSjmBRMI/edit#gid=1241094406"",""COMBINED DATA!B3:K""),10,0))"),0.07890000000000001)</f>
        <v>0.0789</v>
      </c>
      <c r="G51" s="223">
        <f t="shared" ref="G51:G59" si="7">IFERROR(H51/F51,"")</f>
        <v>479.0874525</v>
      </c>
      <c r="H51" s="318">
        <v>37.8</v>
      </c>
      <c r="J51" s="319"/>
      <c r="K51" s="319"/>
      <c r="L51" s="319"/>
      <c r="M51" s="20"/>
      <c r="N51" s="20"/>
    </row>
    <row r="52" ht="15.75" customHeight="1">
      <c r="A52" s="26"/>
      <c r="B52" s="150">
        <v>2.0</v>
      </c>
      <c r="C52" s="417">
        <v>50.0</v>
      </c>
      <c r="D52" s="92" t="s">
        <v>2174</v>
      </c>
      <c r="E52" s="56">
        <v>59.8</v>
      </c>
      <c r="F52" s="76">
        <f>IFERROR(__xludf.DUMMYFUNCTION("IFERROR(VLOOKUP(D52,IMPORTRANGE(""https://docs.google.com/spreadsheets/d/1xZyKy-UzMmtPDLpV5jQdYum1LtbR8XKDuasLSjmBRMI/edit#gid=1241094406"",""COMBINED DATA!B3:K""),10,0))"),0.1235)</f>
        <v>0.1235</v>
      </c>
      <c r="G52" s="223">
        <f t="shared" si="7"/>
        <v>484.2105263</v>
      </c>
      <c r="H52" s="318">
        <v>59.8</v>
      </c>
      <c r="J52" s="319"/>
      <c r="K52" s="319"/>
      <c r="L52" s="319"/>
      <c r="M52" s="20"/>
      <c r="N52" s="20"/>
    </row>
    <row r="53" ht="15.75" customHeight="1">
      <c r="A53" s="26"/>
      <c r="B53" s="150">
        <v>3.0</v>
      </c>
      <c r="C53" s="417">
        <v>63.0</v>
      </c>
      <c r="D53" s="92" t="s">
        <v>2177</v>
      </c>
      <c r="E53" s="56">
        <v>96.8</v>
      </c>
      <c r="F53" s="76">
        <f>IFERROR(__xludf.DUMMYFUNCTION("IFERROR(VLOOKUP(D53,IMPORTRANGE(""https://docs.google.com/spreadsheets/d/1xZyKy-UzMmtPDLpV5jQdYum1LtbR8XKDuasLSjmBRMI/edit#gid=1241094406"",""COMBINED DATA!B3:K""),10,0))"),0.2002)</f>
        <v>0.2002</v>
      </c>
      <c r="G53" s="223">
        <f t="shared" si="7"/>
        <v>483.5164835</v>
      </c>
      <c r="H53" s="318">
        <v>96.8</v>
      </c>
      <c r="J53" s="319"/>
      <c r="K53" s="319"/>
      <c r="L53" s="319"/>
      <c r="M53" s="20"/>
      <c r="N53" s="20"/>
    </row>
    <row r="54" ht="15.75" customHeight="1">
      <c r="A54" s="26"/>
      <c r="B54" s="150">
        <v>4.0</v>
      </c>
      <c r="C54" s="417">
        <v>75.0</v>
      </c>
      <c r="D54" s="92" t="s">
        <v>2180</v>
      </c>
      <c r="E54" s="56">
        <v>146.8</v>
      </c>
      <c r="F54" s="76">
        <f>IFERROR(__xludf.DUMMYFUNCTION("IFERROR(VLOOKUP(D54,IMPORTRANGE(""https://docs.google.com/spreadsheets/d/1xZyKy-UzMmtPDLpV5jQdYum1LtbR8XKDuasLSjmBRMI/edit#gid=1241094406"",""COMBINED DATA!B3:K""),10,0))"),0.3055)</f>
        <v>0.3055</v>
      </c>
      <c r="G54" s="223">
        <f t="shared" si="7"/>
        <v>480.5237316</v>
      </c>
      <c r="H54" s="318">
        <v>146.8</v>
      </c>
      <c r="J54" s="319"/>
      <c r="K54" s="319"/>
      <c r="L54" s="319"/>
      <c r="M54" s="20"/>
      <c r="N54" s="20"/>
    </row>
    <row r="55" ht="15.75" customHeight="1">
      <c r="A55" s="26"/>
      <c r="B55" s="51">
        <v>5.0</v>
      </c>
      <c r="C55" s="417">
        <v>90.0</v>
      </c>
      <c r="D55" s="92" t="s">
        <v>2182</v>
      </c>
      <c r="E55" s="56">
        <v>224.0</v>
      </c>
      <c r="F55" s="76">
        <f>IFERROR(__xludf.DUMMYFUNCTION("IFERROR(VLOOKUP(D55,IMPORTRANGE(""https://docs.google.com/spreadsheets/d/1xZyKy-UzMmtPDLpV5jQdYum1LtbR8XKDuasLSjmBRMI/edit#gid=1241094406"",""COMBINED DATA!B3:K""),10,0))"),0.461)</f>
        <v>0.461</v>
      </c>
      <c r="G55" s="223">
        <f t="shared" si="7"/>
        <v>485.9002169</v>
      </c>
      <c r="H55" s="318">
        <v>224.0</v>
      </c>
      <c r="J55" s="319"/>
      <c r="K55" s="319"/>
      <c r="L55" s="319"/>
      <c r="M55" s="20"/>
      <c r="N55" s="20"/>
    </row>
    <row r="56" ht="15.75" customHeight="1">
      <c r="A56" s="26"/>
      <c r="B56" s="150">
        <v>6.0</v>
      </c>
      <c r="C56" s="417">
        <v>110.0</v>
      </c>
      <c r="D56" s="92" t="s">
        <v>2184</v>
      </c>
      <c r="E56" s="56">
        <v>348.0</v>
      </c>
      <c r="F56" s="76">
        <f>IFERROR(__xludf.DUMMYFUNCTION("IFERROR(VLOOKUP(D56,IMPORTRANGE(""https://docs.google.com/spreadsheets/d/1xZyKy-UzMmtPDLpV5jQdYum1LtbR8XKDuasLSjmBRMI/edit#gid=1241094406"",""COMBINED DATA!B3:K""),10,0))"),0.725)</f>
        <v>0.725</v>
      </c>
      <c r="G56" s="223">
        <f t="shared" si="7"/>
        <v>480</v>
      </c>
      <c r="H56" s="318">
        <v>348.0</v>
      </c>
      <c r="J56" s="319"/>
      <c r="K56" s="319"/>
      <c r="L56" s="319"/>
      <c r="M56" s="20"/>
      <c r="N56" s="20"/>
    </row>
    <row r="57" ht="15.75" customHeight="1">
      <c r="A57" s="26"/>
      <c r="B57" s="150">
        <v>7.0</v>
      </c>
      <c r="C57" s="417">
        <v>125.0</v>
      </c>
      <c r="D57" s="92" t="s">
        <v>2187</v>
      </c>
      <c r="E57" s="56">
        <v>472.0</v>
      </c>
      <c r="F57" s="76">
        <f>IFERROR(__xludf.DUMMYFUNCTION("IFERROR(VLOOKUP(D57,IMPORTRANGE(""https://docs.google.com/spreadsheets/d/1xZyKy-UzMmtPDLpV5jQdYum1LtbR8XKDuasLSjmBRMI/edit#gid=1241094406"",""COMBINED DATA!B3:K""),10,0))"),0.976)</f>
        <v>0.976</v>
      </c>
      <c r="G57" s="223">
        <f t="shared" si="7"/>
        <v>483.6065574</v>
      </c>
      <c r="H57" s="318">
        <v>472.0</v>
      </c>
      <c r="J57" s="319"/>
      <c r="K57" s="319"/>
      <c r="L57" s="319"/>
      <c r="M57" s="20"/>
      <c r="N57" s="20"/>
    </row>
    <row r="58" ht="15.75" customHeight="1">
      <c r="A58" s="26"/>
      <c r="B58" s="150">
        <v>8.0</v>
      </c>
      <c r="C58" s="417">
        <v>140.0</v>
      </c>
      <c r="D58" s="92" t="s">
        <v>2189</v>
      </c>
      <c r="E58" s="56">
        <v>644.0</v>
      </c>
      <c r="F58" s="76">
        <f>IFERROR(__xludf.DUMMYFUNCTION("IFERROR(VLOOKUP(D58,IMPORTRANGE(""https://docs.google.com/spreadsheets/d/1xZyKy-UzMmtPDLpV5jQdYum1LtbR8XKDuasLSjmBRMI/edit#gid=1241094406"",""COMBINED DATA!B3:K""),10,0))"),1.333)</f>
        <v>1.333</v>
      </c>
      <c r="G58" s="223">
        <f t="shared" si="7"/>
        <v>483.1207802</v>
      </c>
      <c r="H58" s="318">
        <v>644.0</v>
      </c>
      <c r="J58" s="319"/>
      <c r="K58" s="319"/>
      <c r="L58" s="319"/>
      <c r="M58" s="20"/>
      <c r="N58" s="20"/>
    </row>
    <row r="59" ht="15.75" customHeight="1">
      <c r="A59" s="26"/>
      <c r="B59" s="51">
        <v>9.0</v>
      </c>
      <c r="C59" s="417">
        <v>160.0</v>
      </c>
      <c r="D59" s="92" t="s">
        <v>2192</v>
      </c>
      <c r="E59" s="56">
        <v>888.0</v>
      </c>
      <c r="F59" s="76">
        <f>IFERROR(__xludf.DUMMYFUNCTION("IFERROR(VLOOKUP(D59,IMPORTRANGE(""https://docs.google.com/spreadsheets/d/1xZyKy-UzMmtPDLpV5jQdYum1LtbR8XKDuasLSjmBRMI/edit#gid=1241094406"",""COMBINED DATA!B3:K""),10,0))"),1.84)</f>
        <v>1.84</v>
      </c>
      <c r="G59" s="223">
        <f t="shared" si="7"/>
        <v>482.6086957</v>
      </c>
      <c r="H59" s="318">
        <v>888.0</v>
      </c>
      <c r="J59" s="319"/>
      <c r="K59" s="319"/>
      <c r="L59" s="319"/>
      <c r="M59" s="20"/>
      <c r="N59" s="20"/>
    </row>
    <row r="60">
      <c r="A60" s="16"/>
      <c r="B60" s="237" t="s">
        <v>11</v>
      </c>
      <c r="C60" s="45"/>
      <c r="D60" s="45"/>
      <c r="E60" s="377">
        <f>SUM(E51:E59)</f>
        <v>2917.2</v>
      </c>
      <c r="F60" s="301"/>
      <c r="G60" s="301"/>
      <c r="H60" s="240">
        <f>SUM(H51:H59)</f>
        <v>2917.2</v>
      </c>
      <c r="J60" s="319"/>
      <c r="K60" s="319"/>
      <c r="L60" s="319"/>
      <c r="M60" s="20"/>
      <c r="N60" s="20"/>
    </row>
    <row r="61" ht="22.5" customHeight="1">
      <c r="A61" s="16"/>
      <c r="B61" s="62" t="s">
        <v>2097</v>
      </c>
      <c r="C61" s="45"/>
      <c r="D61" s="45"/>
      <c r="E61" s="46"/>
      <c r="F61" s="301"/>
      <c r="G61" s="301"/>
      <c r="H61" s="205"/>
      <c r="J61" s="319"/>
      <c r="K61" s="319"/>
      <c r="L61" s="319"/>
      <c r="M61" s="20"/>
      <c r="N61" s="20"/>
    </row>
    <row r="62" ht="15.75" customHeight="1">
      <c r="A62" s="26"/>
      <c r="B62" s="51">
        <v>1.0</v>
      </c>
      <c r="C62" s="417">
        <v>40.0</v>
      </c>
      <c r="D62" s="92" t="s">
        <v>2202</v>
      </c>
      <c r="E62" s="181">
        <v>29.4</v>
      </c>
      <c r="F62" s="76">
        <f>IFERROR(__xludf.DUMMYFUNCTION("IFERROR(VLOOKUP(D62,IMPORTRANGE(""https://docs.google.com/spreadsheets/d/1xZyKy-UzMmtPDLpV5jQdYum1LtbR8XKDuasLSjmBRMI/edit#gid=1241094406"",""COMBINED DATA!B3:K""),10,0))"),0.0615)</f>
        <v>0.0615</v>
      </c>
      <c r="G62" s="223">
        <f t="shared" ref="G62:G70" si="8">IFERROR(H62/F62,"")</f>
        <v>478.0487805</v>
      </c>
      <c r="H62" s="318">
        <v>29.4</v>
      </c>
      <c r="J62" s="319"/>
      <c r="K62" s="319"/>
      <c r="L62" s="319"/>
      <c r="M62" s="20"/>
      <c r="N62" s="20"/>
    </row>
    <row r="63" ht="15.75" customHeight="1">
      <c r="A63" s="26"/>
      <c r="B63" s="150">
        <v>2.0</v>
      </c>
      <c r="C63" s="417">
        <v>50.0</v>
      </c>
      <c r="D63" s="92" t="s">
        <v>2206</v>
      </c>
      <c r="E63" s="56">
        <v>47.4</v>
      </c>
      <c r="F63" s="76">
        <f>IFERROR(__xludf.DUMMYFUNCTION("IFERROR(VLOOKUP(D63,IMPORTRANGE(""https://docs.google.com/spreadsheets/d/1xZyKy-UzMmtPDLpV5jQdYum1LtbR8XKDuasLSjmBRMI/edit#gid=1241094406"",""COMBINED DATA!B3:K""),10,0))"),0.0975)</f>
        <v>0.0975</v>
      </c>
      <c r="G63" s="223">
        <f t="shared" si="8"/>
        <v>486.1538462</v>
      </c>
      <c r="H63" s="318">
        <v>47.4</v>
      </c>
      <c r="J63" s="319"/>
      <c r="K63" s="319"/>
      <c r="L63" s="319"/>
      <c r="M63" s="20"/>
      <c r="N63" s="20"/>
    </row>
    <row r="64" ht="15.75" customHeight="1">
      <c r="A64" s="26"/>
      <c r="B64" s="150">
        <v>3.0</v>
      </c>
      <c r="C64" s="417">
        <v>63.0</v>
      </c>
      <c r="D64" s="92" t="s">
        <v>2209</v>
      </c>
      <c r="E64" s="56">
        <v>73.4</v>
      </c>
      <c r="F64" s="76">
        <f>IFERROR(__xludf.DUMMYFUNCTION("IFERROR(VLOOKUP(D64,IMPORTRANGE(""https://docs.google.com/spreadsheets/d/1xZyKy-UzMmtPDLpV5jQdYum1LtbR8XKDuasLSjmBRMI/edit#gid=1241094406"",""COMBINED DATA!B3:K""),10,0))"),0.1527)</f>
        <v>0.1527</v>
      </c>
      <c r="G64" s="223">
        <f t="shared" si="8"/>
        <v>480.681074</v>
      </c>
      <c r="H64" s="318">
        <v>73.4</v>
      </c>
      <c r="J64" s="319"/>
      <c r="K64" s="319"/>
      <c r="L64" s="319"/>
      <c r="M64" s="20"/>
      <c r="N64" s="20"/>
    </row>
    <row r="65" ht="15.75" customHeight="1">
      <c r="A65" s="26"/>
      <c r="B65" s="150">
        <v>4.0</v>
      </c>
      <c r="C65" s="417">
        <v>75.0</v>
      </c>
      <c r="D65" s="92" t="s">
        <v>2211</v>
      </c>
      <c r="E65" s="56">
        <v>112.0</v>
      </c>
      <c r="F65" s="76">
        <f>IFERROR(__xludf.DUMMYFUNCTION("IFERROR(VLOOKUP(D65,IMPORTRANGE(""https://docs.google.com/spreadsheets/d/1xZyKy-UzMmtPDLpV5jQdYum1LtbR8XKDuasLSjmBRMI/edit#gid=1241094406"",""COMBINED DATA!B3:K""),10,0))"),0.2328)</f>
        <v>0.2328</v>
      </c>
      <c r="G65" s="223">
        <f t="shared" si="8"/>
        <v>481.0996564</v>
      </c>
      <c r="H65" s="318">
        <v>112.0</v>
      </c>
      <c r="J65" s="319"/>
      <c r="K65" s="319"/>
      <c r="L65" s="319"/>
      <c r="M65" s="20"/>
      <c r="N65" s="20"/>
    </row>
    <row r="66" ht="15.75" customHeight="1">
      <c r="A66" s="26"/>
      <c r="B66" s="51">
        <v>5.0</v>
      </c>
      <c r="C66" s="417">
        <v>90.0</v>
      </c>
      <c r="D66" s="92" t="s">
        <v>2215</v>
      </c>
      <c r="E66" s="56">
        <v>168.0</v>
      </c>
      <c r="F66" s="76">
        <f>IFERROR(__xludf.DUMMYFUNCTION("IFERROR(VLOOKUP(D66,IMPORTRANGE(""https://docs.google.com/spreadsheets/d/1xZyKy-UzMmtPDLpV5jQdYum1LtbR8XKDuasLSjmBRMI/edit#gid=1241094406"",""COMBINED DATA!B3:K""),10,0))"),0.344)</f>
        <v>0.344</v>
      </c>
      <c r="G66" s="223">
        <f t="shared" si="8"/>
        <v>488.372093</v>
      </c>
      <c r="H66" s="318">
        <v>168.0</v>
      </c>
      <c r="J66" s="319"/>
      <c r="K66" s="319"/>
      <c r="L66" s="319"/>
      <c r="M66" s="20"/>
      <c r="N66" s="20"/>
    </row>
    <row r="67" ht="15.75" customHeight="1">
      <c r="A67" s="26"/>
      <c r="B67" s="150">
        <v>6.0</v>
      </c>
      <c r="C67" s="417">
        <v>110.0</v>
      </c>
      <c r="D67" s="92" t="s">
        <v>2219</v>
      </c>
      <c r="E67" s="56">
        <v>256.0</v>
      </c>
      <c r="F67" s="76">
        <f>IFERROR(__xludf.DUMMYFUNCTION("IFERROR(VLOOKUP(D67,IMPORTRANGE(""https://docs.google.com/spreadsheets/d/1xZyKy-UzMmtPDLpV5jQdYum1LtbR8XKDuasLSjmBRMI/edit#gid=1241094406"",""COMBINED DATA!B3:K""),10,0))"),0.533)</f>
        <v>0.533</v>
      </c>
      <c r="G67" s="223">
        <f t="shared" si="8"/>
        <v>480.3001876</v>
      </c>
      <c r="H67" s="318">
        <v>256.0</v>
      </c>
      <c r="J67" s="319"/>
      <c r="K67" s="319"/>
      <c r="L67" s="319"/>
      <c r="M67" s="20"/>
      <c r="N67" s="20"/>
    </row>
    <row r="68" ht="15.75" customHeight="1">
      <c r="A68" s="26"/>
      <c r="B68" s="150">
        <v>7.0</v>
      </c>
      <c r="C68" s="417">
        <v>125.0</v>
      </c>
      <c r="D68" s="92" t="s">
        <v>2222</v>
      </c>
      <c r="E68" s="56">
        <v>384.0</v>
      </c>
      <c r="F68" s="76">
        <f>IFERROR(__xludf.DUMMYFUNCTION("IFERROR(VLOOKUP(D68,IMPORTRANGE(""https://docs.google.com/spreadsheets/d/1xZyKy-UzMmtPDLpV5jQdYum1LtbR8XKDuasLSjmBRMI/edit#gid=1241094406"",""COMBINED DATA!B3:K""),10,0))"),0.812)</f>
        <v>0.812</v>
      </c>
      <c r="G68" s="223">
        <f t="shared" si="8"/>
        <v>472.9064039</v>
      </c>
      <c r="H68" s="318">
        <v>384.0</v>
      </c>
      <c r="J68" s="319"/>
      <c r="K68" s="319"/>
      <c r="L68" s="319"/>
      <c r="M68" s="20"/>
      <c r="N68" s="20"/>
    </row>
    <row r="69" ht="15.75" customHeight="1">
      <c r="A69" s="26"/>
      <c r="B69" s="150">
        <v>8.0</v>
      </c>
      <c r="C69" s="417">
        <v>140.0</v>
      </c>
      <c r="D69" s="92" t="s">
        <v>2226</v>
      </c>
      <c r="E69" s="56">
        <v>506.0</v>
      </c>
      <c r="F69" s="76">
        <f>IFERROR(__xludf.DUMMYFUNCTION("IFERROR(VLOOKUP(D69,IMPORTRANGE(""https://docs.google.com/spreadsheets/d/1xZyKy-UzMmtPDLpV5jQdYum1LtbR8XKDuasLSjmBRMI/edit#gid=1241094406"",""COMBINED DATA!B3:K""),10,0))"),1.051)</f>
        <v>1.051</v>
      </c>
      <c r="G69" s="223">
        <f t="shared" si="8"/>
        <v>481.4462417</v>
      </c>
      <c r="H69" s="318">
        <v>506.0</v>
      </c>
      <c r="J69" s="319"/>
      <c r="K69" s="319"/>
      <c r="L69" s="319"/>
      <c r="M69" s="20"/>
      <c r="N69" s="20"/>
    </row>
    <row r="70" ht="15.75" customHeight="1">
      <c r="A70" s="26"/>
      <c r="B70" s="51">
        <v>9.0</v>
      </c>
      <c r="C70" s="417">
        <v>160.0</v>
      </c>
      <c r="D70" s="92" t="s">
        <v>2229</v>
      </c>
      <c r="E70" s="56">
        <v>754.0</v>
      </c>
      <c r="F70" s="76">
        <f>IFERROR(__xludf.DUMMYFUNCTION("IFERROR(VLOOKUP(D70,IMPORTRANGE(""https://docs.google.com/spreadsheets/d/1xZyKy-UzMmtPDLpV5jQdYum1LtbR8XKDuasLSjmBRMI/edit#gid=1241094406"",""COMBINED DATA!B3:K""),10,0))"),1.568)</f>
        <v>1.568</v>
      </c>
      <c r="G70" s="223">
        <f t="shared" si="8"/>
        <v>480.8673469</v>
      </c>
      <c r="H70" s="318">
        <v>754.0</v>
      </c>
      <c r="J70" s="319"/>
      <c r="K70" s="319"/>
      <c r="L70" s="319"/>
      <c r="M70" s="20"/>
      <c r="N70" s="20"/>
    </row>
    <row r="71">
      <c r="A71" s="16"/>
      <c r="B71" s="237" t="s">
        <v>11</v>
      </c>
      <c r="C71" s="45"/>
      <c r="D71" s="45"/>
      <c r="E71" s="377">
        <f>SUM(E62:E70)</f>
        <v>2330.2</v>
      </c>
      <c r="F71" s="301"/>
      <c r="G71" s="301"/>
      <c r="H71" s="240">
        <f>SUM(H62:H70)</f>
        <v>2330.2</v>
      </c>
      <c r="J71" s="319"/>
      <c r="K71" s="319"/>
      <c r="L71" s="319"/>
      <c r="M71" s="20"/>
      <c r="N71" s="20"/>
    </row>
    <row r="72" ht="22.5" customHeight="1">
      <c r="A72" s="16"/>
      <c r="B72" s="62" t="s">
        <v>2108</v>
      </c>
      <c r="C72" s="45"/>
      <c r="D72" s="45"/>
      <c r="E72" s="46"/>
      <c r="F72" s="301"/>
      <c r="G72" s="301"/>
      <c r="H72" s="205"/>
      <c r="J72" s="319"/>
      <c r="K72" s="319"/>
      <c r="L72" s="319"/>
      <c r="M72" s="20"/>
      <c r="N72" s="20"/>
    </row>
    <row r="73">
      <c r="A73" s="26"/>
      <c r="B73" s="150">
        <v>1.0</v>
      </c>
      <c r="C73" s="420">
        <v>50.0</v>
      </c>
      <c r="D73" s="152" t="s">
        <v>19</v>
      </c>
      <c r="E73" s="56">
        <v>38.995000000000005</v>
      </c>
      <c r="F73" s="421">
        <v>0.0709</v>
      </c>
      <c r="G73" s="223">
        <f t="shared" ref="G73:G75" si="9">IFERROR(H73/F73,"")</f>
        <v>550</v>
      </c>
      <c r="H73" s="318">
        <v>38.995000000000005</v>
      </c>
      <c r="J73" s="319"/>
      <c r="K73" s="319"/>
      <c r="L73" s="319"/>
      <c r="M73" s="20"/>
      <c r="N73" s="20"/>
    </row>
    <row r="74">
      <c r="A74" s="26"/>
      <c r="B74" s="150">
        <v>2.0</v>
      </c>
      <c r="C74" s="420">
        <v>63.0</v>
      </c>
      <c r="D74" s="152" t="s">
        <v>37</v>
      </c>
      <c r="E74" s="56">
        <v>65.6</v>
      </c>
      <c r="F74" s="421">
        <v>0.1196</v>
      </c>
      <c r="G74" s="223">
        <f t="shared" si="9"/>
        <v>548.4949833</v>
      </c>
      <c r="H74" s="318">
        <v>65.6</v>
      </c>
      <c r="J74" s="319"/>
      <c r="K74" s="319"/>
      <c r="L74" s="319"/>
      <c r="M74" s="20"/>
      <c r="N74" s="20"/>
    </row>
    <row r="75">
      <c r="A75" s="26"/>
      <c r="B75" s="150">
        <v>3.0</v>
      </c>
      <c r="C75" s="420">
        <v>75.0</v>
      </c>
      <c r="D75" s="152" t="s">
        <v>2241</v>
      </c>
      <c r="E75" s="56">
        <v>94.4</v>
      </c>
      <c r="F75" s="421">
        <v>0.1719</v>
      </c>
      <c r="G75" s="223">
        <f t="shared" si="9"/>
        <v>549.1564863</v>
      </c>
      <c r="H75" s="318">
        <v>94.4</v>
      </c>
      <c r="J75" s="319"/>
      <c r="K75" s="319"/>
      <c r="L75" s="319"/>
      <c r="M75" s="20"/>
      <c r="N75" s="20"/>
    </row>
    <row r="76">
      <c r="A76" s="16"/>
      <c r="B76" s="314" t="s">
        <v>11</v>
      </c>
      <c r="C76" s="273"/>
      <c r="D76" s="180"/>
      <c r="E76" s="315">
        <f>SUM(E73:E75)</f>
        <v>198.995</v>
      </c>
      <c r="F76" s="301"/>
      <c r="G76" s="301"/>
      <c r="H76" s="240">
        <f>SUM(H73:H75)</f>
        <v>198.995</v>
      </c>
      <c r="J76" s="319"/>
      <c r="K76" s="319"/>
      <c r="L76" s="319"/>
      <c r="M76" s="20"/>
      <c r="N76" s="20"/>
    </row>
    <row r="77" ht="22.5" customHeight="1">
      <c r="A77" s="16"/>
      <c r="B77" s="62" t="s">
        <v>2118</v>
      </c>
      <c r="C77" s="45"/>
      <c r="D77" s="45"/>
      <c r="E77" s="46"/>
      <c r="F77" s="301"/>
      <c r="G77" s="301"/>
      <c r="H77" s="205"/>
      <c r="J77" s="319"/>
      <c r="K77" s="319"/>
      <c r="L77" s="319"/>
      <c r="M77" s="20"/>
      <c r="N77" s="20"/>
    </row>
    <row r="78" ht="15.75" customHeight="1">
      <c r="A78" s="26"/>
      <c r="B78" s="51">
        <v>1.0</v>
      </c>
      <c r="C78" s="417">
        <v>40.0</v>
      </c>
      <c r="D78" s="92" t="s">
        <v>2247</v>
      </c>
      <c r="E78" s="56">
        <v>12.2</v>
      </c>
      <c r="F78" s="76">
        <f>IFERROR(__xludf.DUMMYFUNCTION("IFERROR(VLOOKUP(D78,IMPORTRANGE(""https://docs.google.com/spreadsheets/d/1xZyKy-UzMmtPDLpV5jQdYum1LtbR8XKDuasLSjmBRMI/edit#gid=1241094406"",""COMBINED DATA!B3:K""),10,0))"),0.0246)</f>
        <v>0.0246</v>
      </c>
      <c r="G78" s="223">
        <f t="shared" ref="G78:G86" si="10">IFERROR(H78/F78,"")</f>
        <v>495.9349593</v>
      </c>
      <c r="H78" s="318">
        <v>12.2</v>
      </c>
      <c r="J78" s="319"/>
      <c r="K78" s="319"/>
      <c r="L78" s="319"/>
      <c r="M78" s="20"/>
      <c r="N78" s="20"/>
    </row>
    <row r="79" ht="15.75" customHeight="1">
      <c r="A79" s="26"/>
      <c r="B79" s="150">
        <v>2.0</v>
      </c>
      <c r="C79" s="417">
        <v>50.0</v>
      </c>
      <c r="D79" s="92" t="s">
        <v>2252</v>
      </c>
      <c r="E79" s="56">
        <v>19.2</v>
      </c>
      <c r="F79" s="76">
        <f>IFERROR(__xludf.DUMMYFUNCTION("IFERROR(VLOOKUP(D79,IMPORTRANGE(""https://docs.google.com/spreadsheets/d/1xZyKy-UzMmtPDLpV5jQdYum1LtbR8XKDuasLSjmBRMI/edit#gid=1241094406"",""COMBINED DATA!B3:K""),10,0))"),0.04)</f>
        <v>0.04</v>
      </c>
      <c r="G79" s="223">
        <f t="shared" si="10"/>
        <v>480</v>
      </c>
      <c r="H79" s="318">
        <v>19.2</v>
      </c>
      <c r="J79" s="319"/>
      <c r="K79" s="319"/>
      <c r="L79" s="319"/>
      <c r="M79" s="20"/>
      <c r="N79" s="20"/>
    </row>
    <row r="80" ht="15.75" customHeight="1">
      <c r="A80" s="26"/>
      <c r="B80" s="150">
        <v>3.0</v>
      </c>
      <c r="C80" s="417">
        <v>63.0</v>
      </c>
      <c r="D80" s="92" t="s">
        <v>2254</v>
      </c>
      <c r="E80" s="56">
        <v>30.8</v>
      </c>
      <c r="F80" s="76">
        <f>IFERROR(__xludf.DUMMYFUNCTION("IFERROR(VLOOKUP(D80,IMPORTRANGE(""https://docs.google.com/spreadsheets/d/1xZyKy-UzMmtPDLpV5jQdYum1LtbR8XKDuasLSjmBRMI/edit#gid=1241094406"",""COMBINED DATA!B3:K""),10,0))"),0.06409999999999999)</f>
        <v>0.0641</v>
      </c>
      <c r="G80" s="223">
        <f t="shared" si="10"/>
        <v>480.49922</v>
      </c>
      <c r="H80" s="318">
        <v>30.8</v>
      </c>
      <c r="J80" s="319"/>
      <c r="K80" s="319"/>
      <c r="L80" s="319"/>
      <c r="M80" s="20"/>
      <c r="N80" s="20"/>
    </row>
    <row r="81" ht="15.75" customHeight="1">
      <c r="A81" s="26"/>
      <c r="B81" s="150">
        <v>4.0</v>
      </c>
      <c r="C81" s="417">
        <v>75.0</v>
      </c>
      <c r="D81" s="92" t="s">
        <v>2255</v>
      </c>
      <c r="E81" s="56">
        <v>43.4</v>
      </c>
      <c r="F81" s="76">
        <f>IFERROR(__xludf.DUMMYFUNCTION("IFERROR(VLOOKUP(D81,IMPORTRANGE(""https://docs.google.com/spreadsheets/d/1xZyKy-UzMmtPDLpV5jQdYum1LtbR8XKDuasLSjmBRMI/edit#gid=1241094406"",""COMBINED DATA!B3:K""),10,0))"),0.0897)</f>
        <v>0.0897</v>
      </c>
      <c r="G81" s="223">
        <f t="shared" si="10"/>
        <v>483.8350056</v>
      </c>
      <c r="H81" s="318">
        <v>43.4</v>
      </c>
      <c r="J81" s="319"/>
      <c r="K81" s="319"/>
      <c r="L81" s="319"/>
      <c r="M81" s="20"/>
      <c r="N81" s="20"/>
    </row>
    <row r="82" ht="15.75" customHeight="1">
      <c r="A82" s="26"/>
      <c r="B82" s="51">
        <v>5.0</v>
      </c>
      <c r="C82" s="417">
        <v>90.0</v>
      </c>
      <c r="D82" s="92" t="s">
        <v>2257</v>
      </c>
      <c r="E82" s="56">
        <v>67.6</v>
      </c>
      <c r="F82" s="76">
        <f>IFERROR(__xludf.DUMMYFUNCTION("IFERROR(VLOOKUP(D82,IMPORTRANGE(""https://docs.google.com/spreadsheets/d/1xZyKy-UzMmtPDLpV5jQdYum1LtbR8XKDuasLSjmBRMI/edit#gid=1241094406"",""COMBINED DATA!B3:K""),10,0))"),0.1385)</f>
        <v>0.1385</v>
      </c>
      <c r="G82" s="223">
        <f t="shared" si="10"/>
        <v>488.0866426</v>
      </c>
      <c r="H82" s="318">
        <v>67.6</v>
      </c>
      <c r="J82" s="319"/>
      <c r="K82" s="319"/>
      <c r="L82" s="319"/>
      <c r="M82" s="20"/>
      <c r="N82" s="20"/>
    </row>
    <row r="83" ht="15.75" customHeight="1">
      <c r="A83" s="26"/>
      <c r="B83" s="150">
        <v>6.0</v>
      </c>
      <c r="C83" s="417">
        <v>110.0</v>
      </c>
      <c r="D83" s="92" t="s">
        <v>2260</v>
      </c>
      <c r="E83" s="56">
        <v>104.8</v>
      </c>
      <c r="F83" s="76">
        <f>IFERROR(__xludf.DUMMYFUNCTION("IFERROR(VLOOKUP(D83,IMPORTRANGE(""https://docs.google.com/spreadsheets/d/1xZyKy-UzMmtPDLpV5jQdYum1LtbR8XKDuasLSjmBRMI/edit#gid=1241094406"",""COMBINED DATA!B3:K""),10,0))"),0.218)</f>
        <v>0.218</v>
      </c>
      <c r="G83" s="223">
        <f t="shared" si="10"/>
        <v>480.733945</v>
      </c>
      <c r="H83" s="318">
        <v>104.8</v>
      </c>
      <c r="J83" s="319"/>
      <c r="K83" s="319"/>
      <c r="L83" s="319"/>
      <c r="M83" s="20"/>
      <c r="N83" s="20"/>
    </row>
    <row r="84" ht="15.75" customHeight="1">
      <c r="A84" s="26"/>
      <c r="B84" s="150">
        <v>7.0</v>
      </c>
      <c r="C84" s="417">
        <v>125.0</v>
      </c>
      <c r="D84" s="92" t="s">
        <v>2261</v>
      </c>
      <c r="E84" s="56">
        <v>136.79999999999998</v>
      </c>
      <c r="F84" s="76">
        <f>IFERROR(__xludf.DUMMYFUNCTION("IFERROR(VLOOKUP(D84,IMPORTRANGE(""https://docs.google.com/spreadsheets/d/1xZyKy-UzMmtPDLpV5jQdYum1LtbR8XKDuasLSjmBRMI/edit#gid=1241094406"",""COMBINED DATA!B3:K""),10,0))"),0.278)</f>
        <v>0.278</v>
      </c>
      <c r="G84" s="223">
        <f t="shared" si="10"/>
        <v>492.0863309</v>
      </c>
      <c r="H84" s="318">
        <v>136.79999999999998</v>
      </c>
      <c r="J84" s="319"/>
      <c r="K84" s="319"/>
      <c r="L84" s="319"/>
      <c r="M84" s="20"/>
      <c r="N84" s="20"/>
    </row>
    <row r="85" ht="15.75" customHeight="1">
      <c r="A85" s="26"/>
      <c r="B85" s="150">
        <v>8.0</v>
      </c>
      <c r="C85" s="417">
        <v>140.0</v>
      </c>
      <c r="D85" s="92" t="s">
        <v>2263</v>
      </c>
      <c r="E85" s="56">
        <v>182.39999999999998</v>
      </c>
      <c r="F85" s="76">
        <f>IFERROR(__xludf.DUMMYFUNCTION("IFERROR(VLOOKUP(D85,IMPORTRANGE(""https://docs.google.com/spreadsheets/d/1xZyKy-UzMmtPDLpV5jQdYum1LtbR8XKDuasLSjmBRMI/edit#gid=1241094406"",""COMBINED DATA!B3:K""),10,0))"),0.369)</f>
        <v>0.369</v>
      </c>
      <c r="G85" s="223">
        <f t="shared" si="10"/>
        <v>494.3089431</v>
      </c>
      <c r="H85" s="318">
        <v>182.39999999999998</v>
      </c>
      <c r="J85" s="319"/>
      <c r="K85" s="319"/>
      <c r="L85" s="319"/>
      <c r="M85" s="20"/>
      <c r="N85" s="20"/>
    </row>
    <row r="86" ht="15.75" customHeight="1">
      <c r="A86" s="26"/>
      <c r="B86" s="51">
        <v>9.0</v>
      </c>
      <c r="C86" s="417">
        <v>160.0</v>
      </c>
      <c r="D86" s="92" t="s">
        <v>2266</v>
      </c>
      <c r="E86" s="56">
        <v>260.395</v>
      </c>
      <c r="F86" s="76">
        <f>IFERROR(__xludf.DUMMYFUNCTION("IFERROR(VLOOKUP(D86,IMPORTRANGE(""https://docs.google.com/spreadsheets/d/1xZyKy-UzMmtPDLpV5jQdYum1LtbR8XKDuasLSjmBRMI/edit#gid=1241094406"",""COMBINED DATA!B3:K""),10,0))"),0.542)</f>
        <v>0.542</v>
      </c>
      <c r="G86" s="223">
        <f t="shared" si="10"/>
        <v>480.4335793</v>
      </c>
      <c r="H86" s="318">
        <v>260.395</v>
      </c>
      <c r="J86" s="319"/>
      <c r="K86" s="319"/>
      <c r="L86" s="319"/>
      <c r="M86" s="20"/>
      <c r="N86" s="20"/>
    </row>
    <row r="87">
      <c r="A87" s="16"/>
      <c r="B87" s="237" t="s">
        <v>11</v>
      </c>
      <c r="C87" s="45"/>
      <c r="D87" s="45"/>
      <c r="E87" s="377">
        <f>SUM(E78:E86)</f>
        <v>857.595</v>
      </c>
      <c r="F87" s="301"/>
      <c r="G87" s="301"/>
      <c r="H87" s="240">
        <f>SUM(H78:H86)</f>
        <v>857.595</v>
      </c>
      <c r="J87" s="319"/>
      <c r="K87" s="319"/>
      <c r="L87" s="319"/>
      <c r="M87" s="20"/>
      <c r="N87" s="20"/>
    </row>
    <row r="88" ht="22.5" customHeight="1">
      <c r="A88" s="16"/>
      <c r="B88" s="62" t="s">
        <v>2271</v>
      </c>
      <c r="C88" s="45"/>
      <c r="D88" s="45"/>
      <c r="E88" s="46"/>
      <c r="F88" s="301"/>
      <c r="G88" s="301"/>
      <c r="H88" s="205"/>
      <c r="J88" s="319"/>
      <c r="K88" s="319"/>
      <c r="L88" s="319"/>
      <c r="M88" s="20"/>
      <c r="N88" s="20"/>
    </row>
    <row r="89" ht="15.75" customHeight="1">
      <c r="A89" s="26"/>
      <c r="B89" s="51">
        <v>1.0</v>
      </c>
      <c r="C89" s="417" t="s">
        <v>2273</v>
      </c>
      <c r="D89" s="92" t="s">
        <v>2274</v>
      </c>
      <c r="E89" s="56">
        <v>113.0</v>
      </c>
      <c r="F89" s="76">
        <f>IFERROR(__xludf.DUMMYFUNCTION("IFERROR(VLOOKUP(D89,IMPORTRANGE(""https://docs.google.com/spreadsheets/d/1xZyKy-UzMmtPDLpV5jQdYum1LtbR8XKDuasLSjmBRMI/edit#gid=1241094406"",""COMBINED DATA!B3:K""),10,0))"),0.2335)</f>
        <v>0.2335</v>
      </c>
      <c r="G89" s="223">
        <f t="shared" ref="G89:G100" si="11">IFERROR(H89/F89,"")</f>
        <v>483.9400428</v>
      </c>
      <c r="H89" s="318">
        <v>113.0</v>
      </c>
      <c r="J89" s="319"/>
      <c r="K89" s="319"/>
      <c r="L89" s="319"/>
      <c r="M89" s="20"/>
      <c r="N89" s="20"/>
    </row>
    <row r="90" ht="15.75" customHeight="1">
      <c r="A90" s="26"/>
      <c r="B90" s="150">
        <v>2.0</v>
      </c>
      <c r="C90" s="417" t="s">
        <v>2276</v>
      </c>
      <c r="D90" s="92" t="s">
        <v>2277</v>
      </c>
      <c r="E90" s="56">
        <v>132.0</v>
      </c>
      <c r="F90" s="76">
        <f>IFERROR(__xludf.DUMMYFUNCTION("IFERROR(VLOOKUP(D90,IMPORTRANGE(""https://docs.google.com/spreadsheets/d/1xZyKy-UzMmtPDLpV5jQdYum1LtbR8XKDuasLSjmBRMI/edit#gid=1241094406"",""COMBINED DATA!B3:K""),10,0))"),0.2715)</f>
        <v>0.2715</v>
      </c>
      <c r="G90" s="223">
        <f t="shared" si="11"/>
        <v>486.1878453</v>
      </c>
      <c r="H90" s="318">
        <v>132.0</v>
      </c>
      <c r="J90" s="319"/>
      <c r="K90" s="319"/>
      <c r="L90" s="319"/>
      <c r="M90" s="20"/>
      <c r="N90" s="20"/>
    </row>
    <row r="91" ht="15.75" customHeight="1">
      <c r="A91" s="26"/>
      <c r="B91" s="150">
        <v>3.0</v>
      </c>
      <c r="C91" s="417" t="s">
        <v>2279</v>
      </c>
      <c r="D91" s="92" t="s">
        <v>2280</v>
      </c>
      <c r="E91" s="56">
        <v>173.1</v>
      </c>
      <c r="F91" s="76">
        <f>IFERROR(__xludf.DUMMYFUNCTION("IFERROR(VLOOKUP(D91,IMPORTRANGE(""https://docs.google.com/spreadsheets/d/1xZyKy-UzMmtPDLpV5jQdYum1LtbR8XKDuasLSjmBRMI/edit#gid=1241094406"",""COMBINED DATA!B3:K""),10,0))"),0.3605)</f>
        <v>0.3605</v>
      </c>
      <c r="G91" s="223">
        <f t="shared" si="11"/>
        <v>480.1664355</v>
      </c>
      <c r="H91" s="318">
        <v>173.1</v>
      </c>
      <c r="J91" s="319"/>
      <c r="K91" s="319"/>
      <c r="L91" s="319"/>
      <c r="M91" s="20"/>
      <c r="N91" s="20"/>
    </row>
    <row r="92" ht="15.75" customHeight="1">
      <c r="A92" s="26"/>
      <c r="B92" s="150">
        <v>4.0</v>
      </c>
      <c r="C92" s="417" t="s">
        <v>2021</v>
      </c>
      <c r="D92" s="92" t="s">
        <v>2282</v>
      </c>
      <c r="E92" s="56">
        <v>187.2</v>
      </c>
      <c r="F92" s="76">
        <f>IFERROR(__xludf.DUMMYFUNCTION("IFERROR(VLOOKUP(D92,IMPORTRANGE(""https://docs.google.com/spreadsheets/d/1xZyKy-UzMmtPDLpV5jQdYum1LtbR8XKDuasLSjmBRMI/edit#gid=1241094406"",""COMBINED DATA!B3:K""),10,0))"),0.398)</f>
        <v>0.398</v>
      </c>
      <c r="G92" s="223">
        <f t="shared" si="11"/>
        <v>470.3517588</v>
      </c>
      <c r="H92" s="318">
        <v>187.2</v>
      </c>
      <c r="J92" s="319"/>
      <c r="K92" s="319"/>
      <c r="L92" s="319"/>
      <c r="M92" s="20"/>
      <c r="N92" s="20"/>
    </row>
    <row r="93" ht="15.75" customHeight="1">
      <c r="A93" s="26"/>
      <c r="B93" s="51">
        <v>5.0</v>
      </c>
      <c r="C93" s="417" t="s">
        <v>2267</v>
      </c>
      <c r="D93" s="92" t="s">
        <v>2284</v>
      </c>
      <c r="E93" s="56">
        <v>244.0</v>
      </c>
      <c r="F93" s="76">
        <f>IFERROR(__xludf.DUMMYFUNCTION("IFERROR(VLOOKUP(D93,IMPORTRANGE(""https://docs.google.com/spreadsheets/d/1xZyKy-UzMmtPDLpV5jQdYum1LtbR8XKDuasLSjmBRMI/edit#gid=1241094406"",""COMBINED DATA!B3:K""),10,0))"),0.5075)</f>
        <v>0.5075</v>
      </c>
      <c r="G93" s="223">
        <f t="shared" si="11"/>
        <v>480.7881773</v>
      </c>
      <c r="H93" s="318">
        <v>244.0</v>
      </c>
      <c r="J93" s="319"/>
      <c r="K93" s="319"/>
      <c r="L93" s="319"/>
      <c r="M93" s="20"/>
      <c r="N93" s="20"/>
    </row>
    <row r="94" ht="15.75" customHeight="1">
      <c r="A94" s="26"/>
      <c r="B94" s="150">
        <v>6.0</v>
      </c>
      <c r="C94" s="417" t="s">
        <v>2286</v>
      </c>
      <c r="D94" s="92" t="s">
        <v>2287</v>
      </c>
      <c r="E94" s="56">
        <v>269.1</v>
      </c>
      <c r="F94" s="76">
        <f>IFERROR(__xludf.DUMMYFUNCTION("IFERROR(VLOOKUP(D94,IMPORTRANGE(""https://docs.google.com/spreadsheets/d/1xZyKy-UzMmtPDLpV5jQdYum1LtbR8XKDuasLSjmBRMI/edit#gid=1241094406"",""COMBINED DATA!B3:K""),10,0))"),0.552)</f>
        <v>0.552</v>
      </c>
      <c r="G94" s="223">
        <f t="shared" si="11"/>
        <v>487.5</v>
      </c>
      <c r="H94" s="318">
        <v>269.1</v>
      </c>
      <c r="J94" s="319"/>
      <c r="K94" s="319"/>
      <c r="L94" s="319"/>
      <c r="M94" s="20"/>
      <c r="N94" s="20"/>
    </row>
    <row r="95" ht="15.75" customHeight="1">
      <c r="A95" s="26"/>
      <c r="B95" s="150">
        <v>7.0</v>
      </c>
      <c r="C95" s="417" t="s">
        <v>2289</v>
      </c>
      <c r="D95" s="92" t="s">
        <v>2290</v>
      </c>
      <c r="E95" s="56">
        <v>300.6</v>
      </c>
      <c r="F95" s="76">
        <f>IFERROR(__xludf.DUMMYFUNCTION("IFERROR(VLOOKUP(D95,IMPORTRANGE(""https://docs.google.com/spreadsheets/d/1xZyKy-UzMmtPDLpV5jQdYum1LtbR8XKDuasLSjmBRMI/edit#gid=1241094406"",""COMBINED DATA!B3:K""),10,0))"),0.618)</f>
        <v>0.618</v>
      </c>
      <c r="G95" s="223">
        <f t="shared" si="11"/>
        <v>486.407767</v>
      </c>
      <c r="H95" s="318">
        <v>300.6</v>
      </c>
      <c r="J95" s="319"/>
      <c r="K95" s="319"/>
      <c r="L95" s="319"/>
      <c r="M95" s="20"/>
      <c r="N95" s="20"/>
    </row>
    <row r="96" ht="15.75" customHeight="1">
      <c r="A96" s="26"/>
      <c r="B96" s="150">
        <v>8.0</v>
      </c>
      <c r="C96" s="417" t="s">
        <v>2291</v>
      </c>
      <c r="D96" s="92" t="s">
        <v>2292</v>
      </c>
      <c r="E96" s="56">
        <v>439.6</v>
      </c>
      <c r="F96" s="76">
        <f>IFERROR(__xludf.DUMMYFUNCTION("IFERROR(VLOOKUP(D96,IMPORTRANGE(""https://docs.google.com/spreadsheets/d/1xZyKy-UzMmtPDLpV5jQdYum1LtbR8XKDuasLSjmBRMI/edit#gid=1241094406"",""COMBINED DATA!B3:K""),10,0))"),0.0)</f>
        <v>0</v>
      </c>
      <c r="G96" s="223" t="str">
        <f t="shared" si="11"/>
        <v/>
      </c>
      <c r="H96" s="318">
        <v>439.6</v>
      </c>
      <c r="J96" s="319"/>
      <c r="K96" s="319"/>
      <c r="L96" s="319"/>
      <c r="M96" s="20"/>
      <c r="N96" s="20"/>
    </row>
    <row r="97" ht="15.75" customHeight="1">
      <c r="A97" s="26"/>
      <c r="B97" s="51">
        <v>9.0</v>
      </c>
      <c r="C97" s="417" t="s">
        <v>2294</v>
      </c>
      <c r="D97" s="92" t="s">
        <v>2295</v>
      </c>
      <c r="E97" s="56">
        <v>473.09999999999997</v>
      </c>
      <c r="F97" s="76">
        <f>IFERROR(__xludf.DUMMYFUNCTION("IFERROR(VLOOKUP(D97,IMPORTRANGE(""https://docs.google.com/spreadsheets/d/1xZyKy-UzMmtPDLpV5jQdYum1LtbR8XKDuasLSjmBRMI/edit#gid=1241094406"",""COMBINED DATA!B3:K""),10,0))"),0.0)</f>
        <v>0</v>
      </c>
      <c r="G97" s="223" t="str">
        <f t="shared" si="11"/>
        <v/>
      </c>
      <c r="H97" s="318">
        <v>473.09999999999997</v>
      </c>
      <c r="J97" s="319"/>
      <c r="K97" s="319"/>
      <c r="L97" s="319"/>
      <c r="M97" s="20"/>
      <c r="N97" s="20"/>
    </row>
    <row r="98" ht="15.75" customHeight="1">
      <c r="A98" s="26"/>
      <c r="B98" s="51">
        <v>10.0</v>
      </c>
      <c r="C98" s="417" t="s">
        <v>2029</v>
      </c>
      <c r="D98" s="92" t="s">
        <v>2298</v>
      </c>
      <c r="E98" s="56">
        <v>581.4</v>
      </c>
      <c r="F98" s="76">
        <f>IFERROR(__xludf.DUMMYFUNCTION("IFERROR(VLOOKUP(D98,IMPORTRANGE(""https://docs.google.com/spreadsheets/d/1xZyKy-UzMmtPDLpV5jQdYum1LtbR8XKDuasLSjmBRMI/edit#gid=1241094406"",""COMBINED DATA!B3:K""),10,0))"),1.205)</f>
        <v>1.205</v>
      </c>
      <c r="G98" s="223">
        <f t="shared" si="11"/>
        <v>482.4896266</v>
      </c>
      <c r="H98" s="318">
        <v>581.4</v>
      </c>
      <c r="J98" s="319"/>
      <c r="K98" s="319"/>
      <c r="L98" s="319"/>
      <c r="M98" s="20"/>
      <c r="N98" s="20"/>
    </row>
    <row r="99" ht="15.75" customHeight="1">
      <c r="A99" s="26"/>
      <c r="B99" s="150">
        <v>11.0</v>
      </c>
      <c r="C99" s="417" t="s">
        <v>2299</v>
      </c>
      <c r="D99" s="92" t="s">
        <v>2301</v>
      </c>
      <c r="E99" s="56">
        <v>695.4</v>
      </c>
      <c r="F99" s="76">
        <f>IFERROR(__xludf.DUMMYFUNCTION("IFERROR(VLOOKUP(D99,IMPORTRANGE(""https://docs.google.com/spreadsheets/d/1xZyKy-UzMmtPDLpV5jQdYum1LtbR8XKDuasLSjmBRMI/edit#gid=1241094406"",""COMBINED DATA!B3:K""),10,0))"),1.439)</f>
        <v>1.439</v>
      </c>
      <c r="G99" s="223">
        <f t="shared" si="11"/>
        <v>483.2522585</v>
      </c>
      <c r="H99" s="318">
        <v>695.4</v>
      </c>
      <c r="J99" s="319"/>
      <c r="K99" s="319"/>
      <c r="L99" s="319"/>
      <c r="M99" s="20"/>
      <c r="N99" s="20"/>
    </row>
    <row r="100" ht="15.75" customHeight="1">
      <c r="A100" s="26"/>
      <c r="B100" s="150">
        <v>12.0</v>
      </c>
      <c r="C100" s="417" t="s">
        <v>2303</v>
      </c>
      <c r="D100" s="92" t="s">
        <v>2305</v>
      </c>
      <c r="E100" s="56">
        <v>682.1</v>
      </c>
      <c r="F100" s="76">
        <f>IFERROR(__xludf.DUMMYFUNCTION("IFERROR(VLOOKUP(D100,IMPORTRANGE(""https://docs.google.com/spreadsheets/d/1xZyKy-UzMmtPDLpV5jQdYum1LtbR8XKDuasLSjmBRMI/edit#gid=1241094406"",""COMBINED DATA!B3:K""),10,0))"),1.396)</f>
        <v>1.396</v>
      </c>
      <c r="G100" s="223">
        <f t="shared" si="11"/>
        <v>488.6103152</v>
      </c>
      <c r="H100" s="318">
        <v>682.1</v>
      </c>
      <c r="J100" s="319"/>
      <c r="K100" s="319"/>
      <c r="L100" s="319"/>
      <c r="M100" s="20"/>
      <c r="N100" s="20"/>
    </row>
    <row r="101">
      <c r="A101" s="16"/>
      <c r="B101" s="237" t="s">
        <v>11</v>
      </c>
      <c r="C101" s="45"/>
      <c r="D101" s="45"/>
      <c r="E101" s="377">
        <f>SUM(E89:E100)</f>
        <v>4290.6</v>
      </c>
      <c r="F101" s="301"/>
      <c r="G101" s="301"/>
      <c r="H101" s="240">
        <f>SUM(H89:H100)</f>
        <v>4290.6</v>
      </c>
      <c r="J101" s="319"/>
      <c r="K101" s="319"/>
      <c r="L101" s="319"/>
      <c r="M101" s="20"/>
      <c r="N101" s="20"/>
    </row>
    <row r="102" ht="22.5" customHeight="1">
      <c r="A102" s="16"/>
      <c r="B102" s="62" t="s">
        <v>2308</v>
      </c>
      <c r="C102" s="45"/>
      <c r="D102" s="45"/>
      <c r="E102" s="46"/>
      <c r="F102" s="301"/>
      <c r="G102" s="301"/>
      <c r="H102" s="205"/>
      <c r="J102" s="319"/>
      <c r="K102" s="319"/>
      <c r="L102" s="319"/>
      <c r="M102" s="20"/>
      <c r="N102" s="20"/>
    </row>
    <row r="103" ht="15.75" customHeight="1">
      <c r="A103" s="26"/>
      <c r="B103" s="81">
        <v>1.0</v>
      </c>
      <c r="C103" s="417" t="s">
        <v>2273</v>
      </c>
      <c r="D103" s="92" t="s">
        <v>2311</v>
      </c>
      <c r="E103" s="56">
        <v>48.4</v>
      </c>
      <c r="F103" s="76">
        <f>IFERROR(__xludf.DUMMYFUNCTION("IFERROR(VLOOKUP(D103,IMPORTRANGE(""https://docs.google.com/spreadsheets/d/1xZyKy-UzMmtPDLpV5jQdYum1LtbR8XKDuasLSjmBRMI/edit#gid=1241094406"",""COMBINED DATA!B3:K""),10,0))"),0.1005)</f>
        <v>0.1005</v>
      </c>
      <c r="G103" s="223">
        <f t="shared" ref="G103:G112" si="12">IFERROR(H103/F103,"")</f>
        <v>481.5920398</v>
      </c>
      <c r="H103" s="318">
        <v>48.4</v>
      </c>
      <c r="J103" s="319"/>
      <c r="K103" s="319"/>
      <c r="L103" s="319"/>
      <c r="M103" s="20"/>
      <c r="N103" s="20"/>
    </row>
    <row r="104" ht="15.75" customHeight="1">
      <c r="A104" s="26"/>
      <c r="B104" s="151">
        <v>2.0</v>
      </c>
      <c r="C104" s="417" t="s">
        <v>2276</v>
      </c>
      <c r="D104" s="92" t="s">
        <v>2314</v>
      </c>
      <c r="E104" s="56">
        <v>53.8</v>
      </c>
      <c r="F104" s="76">
        <f>IFERROR(__xludf.DUMMYFUNCTION("IFERROR(VLOOKUP(D104,IMPORTRANGE(""https://docs.google.com/spreadsheets/d/1xZyKy-UzMmtPDLpV5jQdYum1LtbR8XKDuasLSjmBRMI/edit#gid=1241094406"",""COMBINED DATA!B3:K""),10,0))"),0.11170000000000001)</f>
        <v>0.1117</v>
      </c>
      <c r="G104" s="223">
        <f t="shared" si="12"/>
        <v>481.6472695</v>
      </c>
      <c r="H104" s="318">
        <v>53.8</v>
      </c>
      <c r="J104" s="319"/>
      <c r="K104" s="319"/>
      <c r="L104" s="319"/>
      <c r="M104" s="20"/>
      <c r="N104" s="20"/>
    </row>
    <row r="105" ht="15.75" customHeight="1">
      <c r="A105" s="26"/>
      <c r="B105" s="151">
        <v>3.0</v>
      </c>
      <c r="C105" s="417" t="s">
        <v>2318</v>
      </c>
      <c r="D105" s="92" t="s">
        <v>2319</v>
      </c>
      <c r="E105" s="56">
        <v>69.2</v>
      </c>
      <c r="F105" s="76">
        <f>IFERROR(__xludf.DUMMYFUNCTION("IFERROR(VLOOKUP(D105,IMPORTRANGE(""https://docs.google.com/spreadsheets/d/1xZyKy-UzMmtPDLpV5jQdYum1LtbR8XKDuasLSjmBRMI/edit#gid=1241094406"",""COMBINED DATA!B3:K""),10,0))"),0.144)</f>
        <v>0.144</v>
      </c>
      <c r="G105" s="223">
        <f t="shared" si="12"/>
        <v>480.5555556</v>
      </c>
      <c r="H105" s="318">
        <v>69.2</v>
      </c>
      <c r="J105" s="319"/>
      <c r="K105" s="319"/>
      <c r="L105" s="319"/>
      <c r="M105" s="20"/>
      <c r="N105" s="20"/>
    </row>
    <row r="106" ht="15.75" customHeight="1">
      <c r="A106" s="26"/>
      <c r="B106" s="151">
        <v>4.0</v>
      </c>
      <c r="C106" s="417" t="s">
        <v>2279</v>
      </c>
      <c r="D106" s="92" t="s">
        <v>2321</v>
      </c>
      <c r="E106" s="56">
        <v>72.9</v>
      </c>
      <c r="F106" s="76">
        <f>IFERROR(__xludf.DUMMYFUNCTION("IFERROR(VLOOKUP(D106,IMPORTRANGE(""https://docs.google.com/spreadsheets/d/1xZyKy-UzMmtPDLpV5jQdYum1LtbR8XKDuasLSjmBRMI/edit#gid=1241094406"",""COMBINED DATA!B3:K""),10,0))"),0.15)</f>
        <v>0.15</v>
      </c>
      <c r="G106" s="223">
        <f t="shared" si="12"/>
        <v>486</v>
      </c>
      <c r="H106" s="318">
        <v>72.9</v>
      </c>
      <c r="J106" s="319"/>
      <c r="K106" s="319"/>
      <c r="L106" s="319"/>
      <c r="M106" s="20"/>
      <c r="N106" s="20"/>
    </row>
    <row r="107" ht="15.75" customHeight="1">
      <c r="A107" s="26"/>
      <c r="B107" s="81">
        <v>5.0</v>
      </c>
      <c r="C107" s="417" t="s">
        <v>2021</v>
      </c>
      <c r="D107" s="92" t="s">
        <v>2323</v>
      </c>
      <c r="E107" s="56">
        <v>80.4</v>
      </c>
      <c r="F107" s="76">
        <f>IFERROR(__xludf.DUMMYFUNCTION("IFERROR(VLOOKUP(D107,IMPORTRANGE(""https://docs.google.com/spreadsheets/d/1xZyKy-UzMmtPDLpV5jQdYum1LtbR8XKDuasLSjmBRMI/edit#gid=1241094406"",""COMBINED DATA!B3:K""),10,0))"),0.1665)</f>
        <v>0.1665</v>
      </c>
      <c r="G107" s="223">
        <f t="shared" si="12"/>
        <v>482.8828829</v>
      </c>
      <c r="H107" s="318">
        <v>80.4</v>
      </c>
      <c r="J107" s="319"/>
      <c r="K107" s="319"/>
      <c r="L107" s="319"/>
      <c r="M107" s="20"/>
      <c r="N107" s="20"/>
    </row>
    <row r="108" ht="15.75" customHeight="1">
      <c r="A108" s="26"/>
      <c r="B108" s="151">
        <v>6.0</v>
      </c>
      <c r="C108" s="417" t="s">
        <v>2267</v>
      </c>
      <c r="D108" s="92" t="s">
        <v>2327</v>
      </c>
      <c r="E108" s="56">
        <v>110.1</v>
      </c>
      <c r="F108" s="76">
        <f>IFERROR(__xludf.DUMMYFUNCTION("IFERROR(VLOOKUP(D108,IMPORTRANGE(""https://docs.google.com/spreadsheets/d/1xZyKy-UzMmtPDLpV5jQdYum1LtbR8XKDuasLSjmBRMI/edit#gid=1241094406"",""COMBINED DATA!B3:K""),10,0))"),0.2275)</f>
        <v>0.2275</v>
      </c>
      <c r="G108" s="223">
        <f t="shared" si="12"/>
        <v>483.956044</v>
      </c>
      <c r="H108" s="318">
        <v>110.1</v>
      </c>
      <c r="J108" s="319"/>
      <c r="K108" s="319"/>
      <c r="L108" s="319"/>
      <c r="M108" s="20"/>
      <c r="N108" s="20"/>
    </row>
    <row r="109" ht="15.75" customHeight="1">
      <c r="A109" s="26"/>
      <c r="B109" s="81">
        <v>7.0</v>
      </c>
      <c r="C109" s="417" t="s">
        <v>2286</v>
      </c>
      <c r="D109" s="92" t="s">
        <v>2328</v>
      </c>
      <c r="E109" s="56">
        <v>116.2</v>
      </c>
      <c r="F109" s="76">
        <f>IFERROR(__xludf.DUMMYFUNCTION("IFERROR(VLOOKUP(D109,IMPORTRANGE(""https://docs.google.com/spreadsheets/d/1xZyKy-UzMmtPDLpV5jQdYum1LtbR8XKDuasLSjmBRMI/edit#gid=1241094406"",""COMBINED DATA!B3:K""),10,0))"),0.236)</f>
        <v>0.236</v>
      </c>
      <c r="G109" s="223">
        <f t="shared" si="12"/>
        <v>492.3728814</v>
      </c>
      <c r="H109" s="318">
        <v>116.2</v>
      </c>
      <c r="J109" s="319"/>
      <c r="K109" s="319"/>
      <c r="L109" s="319"/>
      <c r="M109" s="20"/>
      <c r="N109" s="20"/>
    </row>
    <row r="110" ht="15.75" customHeight="1">
      <c r="A110" s="26"/>
      <c r="B110" s="151">
        <v>8.0</v>
      </c>
      <c r="C110" s="417" t="s">
        <v>2289</v>
      </c>
      <c r="D110" s="92" t="s">
        <v>2331</v>
      </c>
      <c r="E110" s="56">
        <v>124.1</v>
      </c>
      <c r="F110" s="76">
        <f>IFERROR(__xludf.DUMMYFUNCTION("IFERROR(VLOOKUP(D110,IMPORTRANGE(""https://docs.google.com/spreadsheets/d/1xZyKy-UzMmtPDLpV5jQdYum1LtbR8XKDuasLSjmBRMI/edit#gid=1241094406"",""COMBINED DATA!B3:K""),10,0))"),0.255)</f>
        <v>0.255</v>
      </c>
      <c r="G110" s="223">
        <f t="shared" si="12"/>
        <v>486.6666667</v>
      </c>
      <c r="H110" s="318">
        <v>124.1</v>
      </c>
      <c r="J110" s="319"/>
      <c r="K110" s="319"/>
      <c r="L110" s="319"/>
      <c r="M110" s="20"/>
      <c r="N110" s="20"/>
    </row>
    <row r="111" ht="15.75" customHeight="1">
      <c r="A111" s="26"/>
      <c r="B111" s="151">
        <v>9.0</v>
      </c>
      <c r="C111" s="417" t="s">
        <v>2294</v>
      </c>
      <c r="D111" s="92" t="s">
        <v>2333</v>
      </c>
      <c r="E111" s="56">
        <v>207.9</v>
      </c>
      <c r="F111" s="76">
        <f>IFERROR(__xludf.DUMMYFUNCTION("IFERROR(VLOOKUP(D111,IMPORTRANGE(""https://docs.google.com/spreadsheets/d/1xZyKy-UzMmtPDLpV5jQdYum1LtbR8XKDuasLSjmBRMI/edit#gid=1241094406"",""COMBINED DATA!B3:K""),10,0))"),0.427)</f>
        <v>0.427</v>
      </c>
      <c r="G111" s="223">
        <f t="shared" si="12"/>
        <v>486.8852459</v>
      </c>
      <c r="H111" s="318">
        <v>207.9</v>
      </c>
      <c r="J111" s="319"/>
      <c r="K111" s="319"/>
      <c r="L111" s="319"/>
      <c r="M111" s="20"/>
      <c r="N111" s="20"/>
    </row>
    <row r="112" ht="15.75" customHeight="1">
      <c r="A112" s="26"/>
      <c r="B112" s="151">
        <v>10.0</v>
      </c>
      <c r="C112" s="417" t="s">
        <v>2303</v>
      </c>
      <c r="D112" s="92" t="s">
        <v>2335</v>
      </c>
      <c r="E112" s="56">
        <v>304.095</v>
      </c>
      <c r="F112" s="76">
        <f>IFERROR(__xludf.DUMMYFUNCTION("IFERROR(VLOOKUP(D112,IMPORTRANGE(""https://docs.google.com/spreadsheets/d/1xZyKy-UzMmtPDLpV5jQdYum1LtbR8XKDuasLSjmBRMI/edit#gid=1241094406"",""COMBINED DATA!B3:K""),10,0))"),0.625)</f>
        <v>0.625</v>
      </c>
      <c r="G112" s="223">
        <f t="shared" si="12"/>
        <v>486.552</v>
      </c>
      <c r="H112" s="318">
        <v>304.095</v>
      </c>
      <c r="J112" s="319"/>
      <c r="K112" s="319"/>
      <c r="L112" s="319"/>
      <c r="M112" s="20"/>
      <c r="N112" s="20"/>
    </row>
    <row r="113">
      <c r="A113" s="16"/>
      <c r="B113" s="237" t="s">
        <v>11</v>
      </c>
      <c r="C113" s="45"/>
      <c r="D113" s="45"/>
      <c r="E113" s="377">
        <f>SUM(E103:E112)</f>
        <v>1187.095</v>
      </c>
      <c r="F113" s="414"/>
      <c r="G113" s="223"/>
      <c r="H113" s="240">
        <f>SUM(H103:H112)</f>
        <v>1187.095</v>
      </c>
      <c r="J113" s="319"/>
      <c r="K113" s="319"/>
      <c r="L113" s="319"/>
      <c r="M113" s="20"/>
      <c r="N113" s="20"/>
    </row>
    <row r="114" ht="22.5" customHeight="1">
      <c r="A114" s="16"/>
      <c r="B114" s="62" t="s">
        <v>2339</v>
      </c>
      <c r="C114" s="45"/>
      <c r="D114" s="45"/>
      <c r="E114" s="46"/>
      <c r="F114" s="414"/>
      <c r="G114" s="223"/>
      <c r="H114" s="286"/>
      <c r="J114" s="319"/>
      <c r="K114" s="319"/>
      <c r="L114" s="319"/>
      <c r="M114" s="20"/>
      <c r="N114" s="20"/>
    </row>
    <row r="115" ht="15.75" customHeight="1">
      <c r="A115" s="16"/>
      <c r="B115" s="81">
        <v>1.0</v>
      </c>
      <c r="C115" s="409" t="s">
        <v>2341</v>
      </c>
      <c r="D115" s="372" t="s">
        <v>2342</v>
      </c>
      <c r="E115" s="56">
        <v>198.0</v>
      </c>
      <c r="F115" s="76" t="str">
        <f>IFERROR(__xludf.DUMMYFUNCTION("IFERROR(VLOOKUP(D115,IMPORTRANGE(""https://docs.google.com/spreadsheets/d/1xZyKy-UzMmtPDLpV5jQdYum1LtbR8XKDuasLSjmBRMI/edit#gid=1241094406"",""COMBINED DATA!B3:K""),10,0))"),"")</f>
        <v/>
      </c>
      <c r="G115" s="223" t="str">
        <f t="shared" ref="G115:G117" si="13">IFERROR(H115/F115,"")</f>
        <v/>
      </c>
      <c r="H115" s="318">
        <v>198.0</v>
      </c>
      <c r="J115" s="319"/>
      <c r="K115" s="319"/>
      <c r="L115" s="319"/>
      <c r="M115" s="20"/>
      <c r="N115" s="20"/>
    </row>
    <row r="116" ht="15.75" customHeight="1">
      <c r="A116" s="16"/>
      <c r="B116" s="81">
        <v>2.0</v>
      </c>
      <c r="C116" s="409" t="s">
        <v>2345</v>
      </c>
      <c r="D116" s="372" t="s">
        <v>2346</v>
      </c>
      <c r="E116" s="56">
        <v>358.0</v>
      </c>
      <c r="F116" s="76"/>
      <c r="G116" s="223" t="str">
        <f t="shared" si="13"/>
        <v/>
      </c>
      <c r="H116" s="318">
        <v>358.0</v>
      </c>
      <c r="J116" s="304"/>
      <c r="K116" s="304"/>
      <c r="L116" s="319"/>
      <c r="M116" s="20"/>
      <c r="N116" s="20"/>
    </row>
    <row r="117" ht="15.75" customHeight="1">
      <c r="A117" s="16"/>
      <c r="B117" s="81">
        <v>3.0</v>
      </c>
      <c r="C117" s="409" t="s">
        <v>2347</v>
      </c>
      <c r="D117" s="372" t="s">
        <v>2348</v>
      </c>
      <c r="E117" s="56">
        <v>588.0</v>
      </c>
      <c r="F117" s="76"/>
      <c r="G117" s="223" t="str">
        <f t="shared" si="13"/>
        <v/>
      </c>
      <c r="H117" s="318">
        <v>588.0</v>
      </c>
      <c r="J117" s="304"/>
      <c r="K117" s="304"/>
      <c r="L117" s="319"/>
      <c r="M117" s="20"/>
      <c r="N117" s="20"/>
    </row>
    <row r="118" ht="15.75" customHeight="1">
      <c r="A118" s="16"/>
      <c r="B118" s="237" t="s">
        <v>11</v>
      </c>
      <c r="C118" s="45"/>
      <c r="D118" s="45"/>
      <c r="E118" s="377">
        <f>SUM(E115:E117)</f>
        <v>1144</v>
      </c>
      <c r="F118" s="76"/>
      <c r="G118" s="84"/>
      <c r="H118" s="240">
        <f>SUM(H115:H117)</f>
        <v>1144</v>
      </c>
      <c r="J118" s="319"/>
      <c r="K118" s="319"/>
      <c r="L118" s="319"/>
      <c r="M118" s="20"/>
      <c r="N118" s="20"/>
    </row>
    <row r="119" ht="19.5" customHeight="1">
      <c r="A119" s="243"/>
      <c r="B119" s="243"/>
      <c r="C119" s="243"/>
      <c r="D119" s="15"/>
      <c r="E119" s="15"/>
      <c r="F119" s="250"/>
      <c r="G119" s="20"/>
      <c r="H119" s="286"/>
      <c r="J119" s="319"/>
      <c r="K119" s="319"/>
      <c r="L119" s="304"/>
      <c r="M119" s="15"/>
      <c r="N119" s="15"/>
    </row>
    <row r="120" ht="22.5" customHeight="1">
      <c r="A120" s="243"/>
      <c r="B120" s="405" t="s">
        <v>2354</v>
      </c>
      <c r="C120" s="45"/>
      <c r="D120" s="45"/>
      <c r="E120" s="46"/>
      <c r="F120" s="250"/>
      <c r="G120" s="20"/>
      <c r="H120" s="286"/>
      <c r="J120" s="319"/>
      <c r="K120" s="319"/>
      <c r="L120" s="304"/>
      <c r="M120" s="15"/>
      <c r="N120" s="15"/>
    </row>
    <row r="121" ht="22.5" customHeight="1">
      <c r="A121" s="16"/>
      <c r="B121" s="62" t="s">
        <v>2061</v>
      </c>
      <c r="C121" s="45"/>
      <c r="D121" s="45"/>
      <c r="E121" s="46"/>
      <c r="F121" s="414"/>
      <c r="G121" s="20"/>
      <c r="H121" s="286"/>
      <c r="J121" s="319"/>
      <c r="K121" s="319"/>
      <c r="L121" s="319"/>
      <c r="M121" s="20"/>
      <c r="N121" s="20"/>
    </row>
    <row r="122" ht="15.75" customHeight="1">
      <c r="A122" s="26"/>
      <c r="B122" s="51">
        <v>1.0</v>
      </c>
      <c r="C122" s="416">
        <v>63.0</v>
      </c>
      <c r="D122" s="70" t="s">
        <v>2355</v>
      </c>
      <c r="E122" s="56">
        <v>35.6</v>
      </c>
      <c r="F122" s="76">
        <f>IFERROR(__xludf.DUMMYFUNCTION("IFERROR(VLOOKUP(D122,IMPORTRANGE(""https://docs.google.com/spreadsheets/d/1xZyKy-UzMmtPDLpV5jQdYum1LtbR8XKDuasLSjmBRMI/edit#gid=1241094406"",""COMBINED DATA!B3:K""),10,0))"),0.074)</f>
        <v>0.074</v>
      </c>
      <c r="G122" s="223">
        <f t="shared" ref="G122:G127" si="14">IFERROR(H122/F122,"")</f>
        <v>481.0810811</v>
      </c>
      <c r="H122" s="318">
        <v>35.6</v>
      </c>
      <c r="J122" s="319"/>
      <c r="K122" s="319"/>
      <c r="L122" s="319"/>
      <c r="M122" s="20"/>
      <c r="N122" s="20"/>
    </row>
    <row r="123" ht="15.75" customHeight="1">
      <c r="A123" s="26"/>
      <c r="B123" s="150">
        <v>2.0</v>
      </c>
      <c r="C123" s="417">
        <v>75.0</v>
      </c>
      <c r="D123" s="92" t="s">
        <v>2359</v>
      </c>
      <c r="E123" s="56">
        <v>52.0</v>
      </c>
      <c r="F123" s="76">
        <f>IFERROR(__xludf.DUMMYFUNCTION("IFERROR(VLOOKUP(D123,IMPORTRANGE(""https://docs.google.com/spreadsheets/d/1xZyKy-UzMmtPDLpV5jQdYum1LtbR8XKDuasLSjmBRMI/edit#gid=1241094406"",""COMBINED DATA!B3:K""),10,0))"),0.1065)</f>
        <v>0.1065</v>
      </c>
      <c r="G123" s="223">
        <f t="shared" si="14"/>
        <v>488.2629108</v>
      </c>
      <c r="H123" s="318">
        <v>52.0</v>
      </c>
      <c r="J123" s="319"/>
      <c r="K123" s="319"/>
      <c r="L123" s="319"/>
      <c r="M123" s="20"/>
      <c r="N123" s="20"/>
    </row>
    <row r="124" ht="15.75" customHeight="1">
      <c r="A124" s="26"/>
      <c r="B124" s="150">
        <v>3.0</v>
      </c>
      <c r="C124" s="417">
        <v>90.0</v>
      </c>
      <c r="D124" s="92" t="s">
        <v>2362</v>
      </c>
      <c r="E124" s="56">
        <v>75.8</v>
      </c>
      <c r="F124" s="76">
        <f>IFERROR(__xludf.DUMMYFUNCTION("IFERROR(VLOOKUP(D124,IMPORTRANGE(""https://docs.google.com/spreadsheets/d/1xZyKy-UzMmtPDLpV5jQdYum1LtbR8XKDuasLSjmBRMI/edit#gid=1241094406"",""COMBINED DATA!B3:K""),10,0))"),0.155)</f>
        <v>0.155</v>
      </c>
      <c r="G124" s="223">
        <f t="shared" si="14"/>
        <v>489.0322581</v>
      </c>
      <c r="H124" s="318">
        <v>75.8</v>
      </c>
      <c r="J124" s="319"/>
      <c r="K124" s="319"/>
      <c r="L124" s="319"/>
      <c r="M124" s="20"/>
      <c r="N124" s="20"/>
    </row>
    <row r="125" ht="15.75" customHeight="1">
      <c r="A125" s="26"/>
      <c r="B125" s="150">
        <v>4.0</v>
      </c>
      <c r="C125" s="417">
        <v>110.0</v>
      </c>
      <c r="D125" s="92" t="s">
        <v>2364</v>
      </c>
      <c r="E125" s="56">
        <v>116.8</v>
      </c>
      <c r="F125" s="76">
        <f>IFERROR(__xludf.DUMMYFUNCTION("IFERROR(VLOOKUP(D125,IMPORTRANGE(""https://docs.google.com/spreadsheets/d/1xZyKy-UzMmtPDLpV5jQdYum1LtbR8XKDuasLSjmBRMI/edit#gid=1241094406"",""COMBINED DATA!B3:K""),10,0))"),0.242)</f>
        <v>0.242</v>
      </c>
      <c r="G125" s="223">
        <f t="shared" si="14"/>
        <v>482.6446281</v>
      </c>
      <c r="H125" s="318">
        <v>116.8</v>
      </c>
      <c r="J125" s="319"/>
      <c r="K125" s="319"/>
      <c r="L125" s="319"/>
      <c r="M125" s="20"/>
      <c r="N125" s="20"/>
    </row>
    <row r="126" ht="15.75" customHeight="1">
      <c r="A126" s="26"/>
      <c r="B126" s="150">
        <v>5.0</v>
      </c>
      <c r="C126" s="417">
        <v>160.0</v>
      </c>
      <c r="D126" s="92" t="s">
        <v>2367</v>
      </c>
      <c r="E126" s="56">
        <v>281.2</v>
      </c>
      <c r="F126" s="76">
        <f>IFERROR(__xludf.DUMMYFUNCTION("IFERROR(VLOOKUP(D126,IMPORTRANGE(""https://docs.google.com/spreadsheets/d/1xZyKy-UzMmtPDLpV5jQdYum1LtbR8XKDuasLSjmBRMI/edit#gid=1241094406"",""COMBINED DATA!B3:K""),10,0))"),0.583)</f>
        <v>0.583</v>
      </c>
      <c r="G126" s="223">
        <f t="shared" si="14"/>
        <v>482.3327616</v>
      </c>
      <c r="H126" s="318">
        <v>281.2</v>
      </c>
      <c r="J126" s="319"/>
      <c r="K126" s="319"/>
      <c r="L126" s="319"/>
      <c r="M126" s="20"/>
      <c r="N126" s="20"/>
    </row>
    <row r="127" ht="15.75" customHeight="1">
      <c r="A127" s="26"/>
      <c r="B127" s="150">
        <v>6.0</v>
      </c>
      <c r="C127" s="417">
        <v>200.0</v>
      </c>
      <c r="D127" s="92" t="s">
        <v>2371</v>
      </c>
      <c r="E127" s="56">
        <v>492.8</v>
      </c>
      <c r="F127" s="76">
        <f>IFERROR(__xludf.DUMMYFUNCTION("IFERROR(VLOOKUP(D127,IMPORTRANGE(""https://docs.google.com/spreadsheets/d/1xZyKy-UzMmtPDLpV5jQdYum1LtbR8XKDuasLSjmBRMI/edit#gid=1241094406"",""COMBINED DATA!B3:K""),10,0))"),1.025)</f>
        <v>1.025</v>
      </c>
      <c r="G127" s="223">
        <f t="shared" si="14"/>
        <v>480.7804878</v>
      </c>
      <c r="H127" s="318">
        <v>492.8</v>
      </c>
      <c r="J127" s="319"/>
      <c r="K127" s="319"/>
      <c r="L127" s="319"/>
      <c r="M127" s="20"/>
      <c r="N127" s="20"/>
    </row>
    <row r="128" ht="15.75" customHeight="1">
      <c r="A128" s="16"/>
      <c r="B128" s="237" t="s">
        <v>11</v>
      </c>
      <c r="C128" s="45"/>
      <c r="D128" s="45"/>
      <c r="E128" s="240">
        <f>SUM(E122:E127)</f>
        <v>1054.2</v>
      </c>
      <c r="F128" s="414"/>
      <c r="G128" s="20"/>
      <c r="H128" s="240">
        <f>SUM(H122:H127)</f>
        <v>1054.2</v>
      </c>
      <c r="J128" s="319"/>
      <c r="K128" s="319"/>
      <c r="L128" s="319"/>
      <c r="M128" s="20"/>
      <c r="N128" s="20"/>
    </row>
    <row r="129" ht="22.5" customHeight="1">
      <c r="A129" s="16"/>
      <c r="B129" s="62" t="s">
        <v>2083</v>
      </c>
      <c r="C129" s="45"/>
      <c r="D129" s="45"/>
      <c r="E129" s="46"/>
      <c r="F129" s="414"/>
      <c r="G129" s="20"/>
      <c r="H129" s="286"/>
      <c r="J129" s="319"/>
      <c r="K129" s="319"/>
      <c r="L129" s="319"/>
      <c r="M129" s="20"/>
      <c r="N129" s="20"/>
    </row>
    <row r="130" ht="15.75" customHeight="1">
      <c r="A130" s="26"/>
      <c r="B130" s="51">
        <v>1.0</v>
      </c>
      <c r="C130" s="417">
        <v>63.0</v>
      </c>
      <c r="D130" s="92" t="s">
        <v>2381</v>
      </c>
      <c r="E130" s="56">
        <v>87.0</v>
      </c>
      <c r="F130" s="76">
        <f>IFERROR(__xludf.DUMMYFUNCTION("IFERROR(VLOOKUP(D130,IMPORTRANGE(""https://docs.google.com/spreadsheets/d/1xZyKy-UzMmtPDLpV5jQdYum1LtbR8XKDuasLSjmBRMI/edit#gid=1241094406"",""COMBINED DATA!B3:K""),10,0))"),0.181)</f>
        <v>0.181</v>
      </c>
      <c r="G130" s="223">
        <f t="shared" ref="G130:G135" si="15">IFERROR(H130/F130,"")</f>
        <v>480.6629834</v>
      </c>
      <c r="H130" s="318">
        <v>87.0</v>
      </c>
      <c r="J130" s="319"/>
      <c r="K130" s="319"/>
      <c r="L130" s="319"/>
      <c r="M130" s="20"/>
      <c r="N130" s="20"/>
    </row>
    <row r="131" ht="15.75" customHeight="1">
      <c r="A131" s="26"/>
      <c r="B131" s="150">
        <v>2.0</v>
      </c>
      <c r="C131" s="417">
        <v>75.0</v>
      </c>
      <c r="D131" s="92" t="s">
        <v>2384</v>
      </c>
      <c r="E131" s="56">
        <v>129.2</v>
      </c>
      <c r="F131" s="76">
        <f>IFERROR(__xludf.DUMMYFUNCTION("IFERROR(VLOOKUP(D131,IMPORTRANGE(""https://docs.google.com/spreadsheets/d/1xZyKy-UzMmtPDLpV5jQdYum1LtbR8XKDuasLSjmBRMI/edit#gid=1241094406"",""COMBINED DATA!B3:K""),10,0))"),0.268)</f>
        <v>0.268</v>
      </c>
      <c r="G131" s="223">
        <f t="shared" si="15"/>
        <v>482.0895522</v>
      </c>
      <c r="H131" s="318">
        <v>129.2</v>
      </c>
      <c r="J131" s="319"/>
      <c r="K131" s="319"/>
      <c r="L131" s="319"/>
      <c r="M131" s="20"/>
      <c r="N131" s="20"/>
    </row>
    <row r="132" ht="15.75" customHeight="1">
      <c r="A132" s="26"/>
      <c r="B132" s="150">
        <v>3.0</v>
      </c>
      <c r="C132" s="417">
        <v>90.0</v>
      </c>
      <c r="D132" s="92" t="s">
        <v>2386</v>
      </c>
      <c r="E132" s="56">
        <v>190.8</v>
      </c>
      <c r="F132" s="76">
        <f>IFERROR(__xludf.DUMMYFUNCTION("IFERROR(VLOOKUP(D132,IMPORTRANGE(""https://docs.google.com/spreadsheets/d/1xZyKy-UzMmtPDLpV5jQdYum1LtbR8XKDuasLSjmBRMI/edit#gid=1241094406"",""COMBINED DATA!B3:K""),10,0))"),0.398)</f>
        <v>0.398</v>
      </c>
      <c r="G132" s="223">
        <f t="shared" si="15"/>
        <v>479.3969849</v>
      </c>
      <c r="H132" s="318">
        <v>190.8</v>
      </c>
      <c r="J132" s="319"/>
      <c r="K132" s="319"/>
      <c r="L132" s="319"/>
      <c r="M132" s="20"/>
      <c r="N132" s="20"/>
    </row>
    <row r="133" ht="15.75" customHeight="1">
      <c r="A133" s="26"/>
      <c r="B133" s="150">
        <v>4.0</v>
      </c>
      <c r="C133" s="417">
        <v>110.0</v>
      </c>
      <c r="D133" s="92" t="s">
        <v>2388</v>
      </c>
      <c r="E133" s="56">
        <v>302.09999999999997</v>
      </c>
      <c r="F133" s="76">
        <f>IFERROR(__xludf.DUMMYFUNCTION("IFERROR(VLOOKUP(D133,IMPORTRANGE(""https://docs.google.com/spreadsheets/d/1xZyKy-UzMmtPDLpV5jQdYum1LtbR8XKDuasLSjmBRMI/edit#gid=1241094406"",""COMBINED DATA!B3:K""),10,0))"),0.6235)</f>
        <v>0.6235</v>
      </c>
      <c r="G133" s="223">
        <f t="shared" si="15"/>
        <v>484.5228549</v>
      </c>
      <c r="H133" s="318">
        <v>302.09999999999997</v>
      </c>
      <c r="J133" s="319"/>
      <c r="K133" s="319"/>
      <c r="L133" s="319"/>
      <c r="M133" s="20"/>
      <c r="N133" s="20"/>
    </row>
    <row r="134" ht="15.75" customHeight="1">
      <c r="A134" s="26"/>
      <c r="B134" s="150">
        <v>5.0</v>
      </c>
      <c r="C134" s="417">
        <v>160.0</v>
      </c>
      <c r="D134" s="92" t="s">
        <v>2392</v>
      </c>
      <c r="E134" s="56">
        <v>756.8</v>
      </c>
      <c r="F134" s="76">
        <f>IFERROR(__xludf.DUMMYFUNCTION("IFERROR(VLOOKUP(D134,IMPORTRANGE(""https://docs.google.com/spreadsheets/d/1xZyKy-UzMmtPDLpV5jQdYum1LtbR8XKDuasLSjmBRMI/edit#gid=1241094406"",""COMBINED DATA!B3:K""),10,0))"),1.575)</f>
        <v>1.575</v>
      </c>
      <c r="G134" s="223">
        <f t="shared" si="15"/>
        <v>480.5079365</v>
      </c>
      <c r="H134" s="318">
        <v>756.8</v>
      </c>
      <c r="J134" s="319"/>
      <c r="K134" s="319"/>
      <c r="L134" s="319"/>
      <c r="M134" s="20"/>
      <c r="N134" s="20"/>
    </row>
    <row r="135" ht="15.75" customHeight="1">
      <c r="A135" s="26"/>
      <c r="B135" s="150">
        <v>6.0</v>
      </c>
      <c r="C135" s="417">
        <v>200.0</v>
      </c>
      <c r="D135" s="92" t="s">
        <v>2398</v>
      </c>
      <c r="E135" s="56">
        <v>1276.0</v>
      </c>
      <c r="F135" s="76">
        <f>IFERROR(__xludf.DUMMYFUNCTION("IFERROR(VLOOKUP(D135,IMPORTRANGE(""https://docs.google.com/spreadsheets/d/1xZyKy-UzMmtPDLpV5jQdYum1LtbR8XKDuasLSjmBRMI/edit#gid=1241094406"",""COMBINED DATA!B3:K""),10,0))"),2.64)</f>
        <v>2.64</v>
      </c>
      <c r="G135" s="223">
        <f t="shared" si="15"/>
        <v>483.3333333</v>
      </c>
      <c r="H135" s="318">
        <v>1276.0</v>
      </c>
      <c r="J135" s="319"/>
      <c r="K135" s="319"/>
      <c r="L135" s="319"/>
      <c r="M135" s="20"/>
      <c r="N135" s="20"/>
    </row>
    <row r="136">
      <c r="A136" s="16"/>
      <c r="B136" s="237" t="s">
        <v>11</v>
      </c>
      <c r="C136" s="45"/>
      <c r="D136" s="45"/>
      <c r="E136" s="377">
        <f>SUM(E130:E135)</f>
        <v>2741.9</v>
      </c>
      <c r="F136" s="414"/>
      <c r="G136" s="20"/>
      <c r="H136" s="240">
        <f>SUM(H130:H135)</f>
        <v>2741.9</v>
      </c>
      <c r="J136" s="319"/>
      <c r="K136" s="319"/>
      <c r="L136" s="319"/>
      <c r="M136" s="20"/>
      <c r="N136" s="20"/>
    </row>
    <row r="137" ht="22.5" customHeight="1">
      <c r="A137" s="16"/>
      <c r="B137" s="62" t="s">
        <v>2097</v>
      </c>
      <c r="C137" s="45"/>
      <c r="D137" s="45"/>
      <c r="E137" s="46"/>
      <c r="F137" s="414"/>
      <c r="G137" s="20"/>
      <c r="H137" s="286"/>
      <c r="J137" s="319"/>
      <c r="K137" s="319"/>
      <c r="L137" s="319"/>
      <c r="M137" s="20"/>
      <c r="N137" s="20"/>
    </row>
    <row r="138" ht="15.75" customHeight="1">
      <c r="A138" s="26"/>
      <c r="B138" s="51">
        <v>1.0</v>
      </c>
      <c r="C138" s="417">
        <v>63.0</v>
      </c>
      <c r="D138" s="92" t="s">
        <v>2408</v>
      </c>
      <c r="E138" s="56">
        <v>62.0</v>
      </c>
      <c r="F138" s="76">
        <f>IFERROR(__xludf.DUMMYFUNCTION("IFERROR(VLOOKUP(D138,IMPORTRANGE(""https://docs.google.com/spreadsheets/d/1xZyKy-UzMmtPDLpV5jQdYum1LtbR8XKDuasLSjmBRMI/edit#gid=1241094406"",""COMBINED DATA!B3:K""),10,0))"),0.129)</f>
        <v>0.129</v>
      </c>
      <c r="G138" s="223">
        <f t="shared" ref="G138:G143" si="16">IFERROR(H138/F138,"")</f>
        <v>480.620155</v>
      </c>
      <c r="H138" s="318">
        <v>62.0</v>
      </c>
      <c r="J138" s="319"/>
      <c r="K138" s="319"/>
      <c r="L138" s="319"/>
      <c r="M138" s="20"/>
      <c r="N138" s="20"/>
    </row>
    <row r="139" ht="15.75" customHeight="1">
      <c r="A139" s="26"/>
      <c r="B139" s="150">
        <v>2.0</v>
      </c>
      <c r="C139" s="417">
        <v>75.0</v>
      </c>
      <c r="D139" s="92" t="s">
        <v>2413</v>
      </c>
      <c r="E139" s="56">
        <v>93.1</v>
      </c>
      <c r="F139" s="76">
        <f>IFERROR(__xludf.DUMMYFUNCTION("IFERROR(VLOOKUP(D139,IMPORTRANGE(""https://docs.google.com/spreadsheets/d/1xZyKy-UzMmtPDLpV5jQdYum1LtbR8XKDuasLSjmBRMI/edit#gid=1241094406"",""COMBINED DATA!B3:K""),10,0))"),0.192)</f>
        <v>0.192</v>
      </c>
      <c r="G139" s="223">
        <f t="shared" si="16"/>
        <v>484.8958333</v>
      </c>
      <c r="H139" s="318">
        <v>93.1</v>
      </c>
      <c r="J139" s="319"/>
      <c r="K139" s="319"/>
      <c r="L139" s="319"/>
      <c r="M139" s="20"/>
      <c r="N139" s="20"/>
    </row>
    <row r="140" ht="15.75" customHeight="1">
      <c r="A140" s="26"/>
      <c r="B140" s="150">
        <v>3.0</v>
      </c>
      <c r="C140" s="417">
        <v>90.0</v>
      </c>
      <c r="D140" s="92" t="s">
        <v>2414</v>
      </c>
      <c r="E140" s="56">
        <v>138.6</v>
      </c>
      <c r="F140" s="76">
        <f>IFERROR(__xludf.DUMMYFUNCTION("IFERROR(VLOOKUP(D140,IMPORTRANGE(""https://docs.google.com/spreadsheets/d/1xZyKy-UzMmtPDLpV5jQdYum1LtbR8XKDuasLSjmBRMI/edit#gid=1241094406"",""COMBINED DATA!B3:K""),10,0))"),0.286)</f>
        <v>0.286</v>
      </c>
      <c r="G140" s="223">
        <f t="shared" si="16"/>
        <v>484.6153846</v>
      </c>
      <c r="H140" s="318">
        <v>138.6</v>
      </c>
      <c r="J140" s="319"/>
      <c r="K140" s="319"/>
      <c r="L140" s="319"/>
      <c r="M140" s="20"/>
      <c r="N140" s="20"/>
    </row>
    <row r="141" ht="15.75" customHeight="1">
      <c r="A141" s="26"/>
      <c r="B141" s="150">
        <v>4.0</v>
      </c>
      <c r="C141" s="417">
        <v>110.0</v>
      </c>
      <c r="D141" s="92" t="s">
        <v>2416</v>
      </c>
      <c r="E141" s="56">
        <v>226.1</v>
      </c>
      <c r="F141" s="76">
        <f>IFERROR(__xludf.DUMMYFUNCTION("IFERROR(VLOOKUP(D141,IMPORTRANGE(""https://docs.google.com/spreadsheets/d/1xZyKy-UzMmtPDLpV5jQdYum1LtbR8XKDuasLSjmBRMI/edit#gid=1241094406"",""COMBINED DATA!B3:K""),10,0))"),0.463)</f>
        <v>0.463</v>
      </c>
      <c r="G141" s="223">
        <f t="shared" si="16"/>
        <v>488.336933</v>
      </c>
      <c r="H141" s="318">
        <v>226.1</v>
      </c>
      <c r="J141" s="319"/>
      <c r="K141" s="319"/>
      <c r="L141" s="319"/>
      <c r="M141" s="20"/>
      <c r="N141" s="20"/>
    </row>
    <row r="142" ht="15.75" customHeight="1">
      <c r="A142" s="26"/>
      <c r="B142" s="150">
        <v>5.0</v>
      </c>
      <c r="C142" s="417">
        <v>160.0</v>
      </c>
      <c r="D142" s="92" t="s">
        <v>2417</v>
      </c>
      <c r="E142" s="56">
        <v>627.0</v>
      </c>
      <c r="F142" s="76">
        <f>IFERROR(__xludf.DUMMYFUNCTION("IFERROR(VLOOKUP(D142,IMPORTRANGE(""https://docs.google.com/spreadsheets/d/1xZyKy-UzMmtPDLpV5jQdYum1LtbR8XKDuasLSjmBRMI/edit#gid=1241094406"",""COMBINED DATA!B3:K""),10,0))"),1.275)</f>
        <v>1.275</v>
      </c>
      <c r="G142" s="223">
        <f t="shared" si="16"/>
        <v>491.7647059</v>
      </c>
      <c r="H142" s="318">
        <v>627.0</v>
      </c>
      <c r="J142" s="319"/>
      <c r="K142" s="319"/>
      <c r="L142" s="319"/>
      <c r="M142" s="20"/>
      <c r="N142" s="20"/>
    </row>
    <row r="143" ht="15.75" customHeight="1">
      <c r="A143" s="26"/>
      <c r="B143" s="150">
        <v>6.0</v>
      </c>
      <c r="C143" s="417">
        <v>200.0</v>
      </c>
      <c r="D143" s="92" t="s">
        <v>2420</v>
      </c>
      <c r="E143" s="56">
        <v>898.0</v>
      </c>
      <c r="F143" s="76">
        <f>IFERROR(__xludf.DUMMYFUNCTION("IFERROR(VLOOKUP(D143,IMPORTRANGE(""https://docs.google.com/spreadsheets/d/1xZyKy-UzMmtPDLpV5jQdYum1LtbR8XKDuasLSjmBRMI/edit#gid=1241094406"",""COMBINED DATA!B3:K""),10,0))"),1.831)</f>
        <v>1.831</v>
      </c>
      <c r="G143" s="223">
        <f t="shared" si="16"/>
        <v>490.4423812</v>
      </c>
      <c r="H143" s="318">
        <v>898.0</v>
      </c>
      <c r="J143" s="319"/>
      <c r="K143" s="319"/>
      <c r="L143" s="319"/>
      <c r="M143" s="20"/>
      <c r="N143" s="20"/>
    </row>
    <row r="144">
      <c r="A144" s="16"/>
      <c r="B144" s="237" t="s">
        <v>11</v>
      </c>
      <c r="C144" s="45"/>
      <c r="D144" s="45"/>
      <c r="E144" s="377">
        <f>SUM(E138:E143)</f>
        <v>2044.8</v>
      </c>
      <c r="F144" s="414"/>
      <c r="G144" s="20"/>
      <c r="H144" s="240">
        <f>SUM(H138:H143)</f>
        <v>2044.8</v>
      </c>
      <c r="J144" s="319"/>
      <c r="K144" s="319"/>
      <c r="L144" s="319"/>
      <c r="M144" s="20"/>
      <c r="N144" s="20"/>
    </row>
    <row r="145" ht="22.5" customHeight="1">
      <c r="A145" s="16"/>
      <c r="B145" s="62" t="s">
        <v>2118</v>
      </c>
      <c r="C145" s="45"/>
      <c r="D145" s="45"/>
      <c r="E145" s="46"/>
      <c r="F145" s="414"/>
      <c r="G145" s="20"/>
      <c r="H145" s="286"/>
      <c r="J145" s="319"/>
      <c r="K145" s="319"/>
      <c r="L145" s="319"/>
      <c r="M145" s="20"/>
      <c r="N145" s="20"/>
    </row>
    <row r="146" ht="15.75" customHeight="1">
      <c r="A146" s="26"/>
      <c r="B146" s="51">
        <v>1.0</v>
      </c>
      <c r="C146" s="417">
        <v>63.0</v>
      </c>
      <c r="D146" s="92" t="s">
        <v>2425</v>
      </c>
      <c r="E146" s="56">
        <v>26.2</v>
      </c>
      <c r="F146" s="76">
        <f>IFERROR(__xludf.DUMMYFUNCTION("IFERROR(VLOOKUP(D146,IMPORTRANGE(""https://docs.google.com/spreadsheets/d/1xZyKy-UzMmtPDLpV5jQdYum1LtbR8XKDuasLSjmBRMI/edit#gid=1241094406"",""COMBINED DATA!B3:K""),10,0))"),0.054)</f>
        <v>0.054</v>
      </c>
      <c r="G146" s="223">
        <f t="shared" ref="G146:G151" si="17">IFERROR(H146/F146,"")</f>
        <v>485.1851852</v>
      </c>
      <c r="H146" s="318">
        <v>26.2</v>
      </c>
      <c r="J146" s="319"/>
      <c r="K146" s="319"/>
      <c r="L146" s="319"/>
      <c r="M146" s="20"/>
      <c r="N146" s="20"/>
    </row>
    <row r="147" ht="15.75" customHeight="1">
      <c r="A147" s="26"/>
      <c r="B147" s="150">
        <v>2.0</v>
      </c>
      <c r="C147" s="417">
        <v>75.0</v>
      </c>
      <c r="D147" s="92" t="s">
        <v>2427</v>
      </c>
      <c r="E147" s="56">
        <v>37.9</v>
      </c>
      <c r="F147" s="76">
        <f>IFERROR(__xludf.DUMMYFUNCTION("IFERROR(VLOOKUP(D147,IMPORTRANGE(""https://docs.google.com/spreadsheets/d/1xZyKy-UzMmtPDLpV5jQdYum1LtbR8XKDuasLSjmBRMI/edit#gid=1241094406"",""COMBINED DATA!B3:K""),10,0))"),0.078)</f>
        <v>0.078</v>
      </c>
      <c r="G147" s="223">
        <f t="shared" si="17"/>
        <v>485.8974359</v>
      </c>
      <c r="H147" s="318">
        <v>37.9</v>
      </c>
      <c r="J147" s="319"/>
      <c r="K147" s="319"/>
      <c r="L147" s="319"/>
      <c r="M147" s="20"/>
      <c r="N147" s="20"/>
    </row>
    <row r="148" ht="15.75" customHeight="1">
      <c r="A148" s="26"/>
      <c r="B148" s="150">
        <v>3.0</v>
      </c>
      <c r="C148" s="417">
        <v>90.0</v>
      </c>
      <c r="D148" s="92" t="s">
        <v>2429</v>
      </c>
      <c r="E148" s="56">
        <v>54.0</v>
      </c>
      <c r="F148" s="76">
        <f>IFERROR(__xludf.DUMMYFUNCTION("IFERROR(VLOOKUP(D148,IMPORTRANGE(""https://docs.google.com/spreadsheets/d/1xZyKy-UzMmtPDLpV5jQdYum1LtbR8XKDuasLSjmBRMI/edit#gid=1241094406"",""COMBINED DATA!B3:K""),10,0))"),0.1125)</f>
        <v>0.1125</v>
      </c>
      <c r="G148" s="223">
        <f t="shared" si="17"/>
        <v>480</v>
      </c>
      <c r="H148" s="318">
        <v>54.0</v>
      </c>
      <c r="J148" s="319"/>
      <c r="K148" s="319"/>
      <c r="L148" s="319"/>
      <c r="M148" s="20"/>
      <c r="N148" s="20"/>
    </row>
    <row r="149" ht="15.75" customHeight="1">
      <c r="A149" s="26"/>
      <c r="B149" s="150">
        <v>4.0</v>
      </c>
      <c r="C149" s="417">
        <v>110.0</v>
      </c>
      <c r="D149" s="92" t="s">
        <v>2430</v>
      </c>
      <c r="E149" s="56">
        <v>83.9</v>
      </c>
      <c r="F149" s="76">
        <f>IFERROR(__xludf.DUMMYFUNCTION("IFERROR(VLOOKUP(D149,IMPORTRANGE(""https://docs.google.com/spreadsheets/d/1xZyKy-UzMmtPDLpV5jQdYum1LtbR8XKDuasLSjmBRMI/edit#gid=1241094406"",""COMBINED DATA!B3:K""),10,0))"),0.174)</f>
        <v>0.174</v>
      </c>
      <c r="G149" s="223">
        <f t="shared" si="17"/>
        <v>482.183908</v>
      </c>
      <c r="H149" s="318">
        <v>83.9</v>
      </c>
      <c r="J149" s="304"/>
      <c r="K149" s="304"/>
      <c r="L149" s="319"/>
      <c r="M149" s="20"/>
      <c r="N149" s="20"/>
    </row>
    <row r="150" ht="15.75" customHeight="1">
      <c r="A150" s="26"/>
      <c r="B150" s="150">
        <v>5.0</v>
      </c>
      <c r="C150" s="417">
        <v>160.0</v>
      </c>
      <c r="D150" s="92" t="s">
        <v>2432</v>
      </c>
      <c r="E150" s="56">
        <v>207.1</v>
      </c>
      <c r="F150" s="76">
        <f>IFERROR(__xludf.DUMMYFUNCTION("IFERROR(VLOOKUP(D150,IMPORTRANGE(""https://docs.google.com/spreadsheets/d/1xZyKy-UzMmtPDLpV5jQdYum1LtbR8XKDuasLSjmBRMI/edit#gid=1241094406"",""COMBINED DATA!B3:K""),10,0))"),0.422)</f>
        <v>0.422</v>
      </c>
      <c r="G150" s="223">
        <f t="shared" si="17"/>
        <v>490.7582938</v>
      </c>
      <c r="H150" s="318">
        <v>207.1</v>
      </c>
      <c r="J150" s="304"/>
      <c r="K150" s="304"/>
      <c r="L150" s="319"/>
      <c r="M150" s="20"/>
      <c r="N150" s="20"/>
    </row>
    <row r="151" ht="15.75" customHeight="1">
      <c r="A151" s="26"/>
      <c r="B151" s="150">
        <v>6.0</v>
      </c>
      <c r="C151" s="417">
        <v>200.0</v>
      </c>
      <c r="D151" s="92" t="s">
        <v>2434</v>
      </c>
      <c r="E151" s="56">
        <v>414.0</v>
      </c>
      <c r="F151" s="76">
        <f>IFERROR(__xludf.DUMMYFUNCTION("IFERROR(VLOOKUP(D151,IMPORTRANGE(""https://docs.google.com/spreadsheets/d/1xZyKy-UzMmtPDLpV5jQdYum1LtbR8XKDuasLSjmBRMI/edit#gid=1241094406"",""COMBINED DATA!B3:K""),10,0))"),0.843)</f>
        <v>0.843</v>
      </c>
      <c r="G151" s="223">
        <f t="shared" si="17"/>
        <v>491.1032028</v>
      </c>
      <c r="H151" s="318">
        <v>414.0</v>
      </c>
      <c r="J151" s="304"/>
      <c r="K151" s="304"/>
      <c r="L151" s="319"/>
      <c r="M151" s="20"/>
      <c r="N151" s="20"/>
    </row>
    <row r="152">
      <c r="A152" s="243"/>
      <c r="B152" s="237" t="s">
        <v>11</v>
      </c>
      <c r="C152" s="45"/>
      <c r="D152" s="45"/>
      <c r="E152" s="103">
        <f>SUM(E146:E151)</f>
        <v>823.1</v>
      </c>
      <c r="F152" s="250"/>
      <c r="G152" s="20"/>
      <c r="H152" s="103">
        <f>SUM(H146:H151)</f>
        <v>823.1</v>
      </c>
      <c r="J152" s="304"/>
      <c r="K152" s="304"/>
      <c r="L152" s="304"/>
      <c r="M152" s="15"/>
      <c r="N152" s="15"/>
    </row>
    <row r="153" ht="24.0" customHeight="1">
      <c r="A153" s="243"/>
      <c r="B153" s="62" t="s">
        <v>2439</v>
      </c>
      <c r="C153" s="45"/>
      <c r="D153" s="45"/>
      <c r="E153" s="46"/>
      <c r="F153" s="250"/>
      <c r="G153" s="20"/>
      <c r="H153" s="52"/>
      <c r="J153" s="304"/>
      <c r="K153" s="304"/>
      <c r="L153" s="15"/>
      <c r="M153" s="15"/>
      <c r="N153" s="15"/>
    </row>
    <row r="154">
      <c r="A154" s="26"/>
      <c r="B154" s="151">
        <v>1.0</v>
      </c>
      <c r="C154" s="413" t="s">
        <v>2440</v>
      </c>
      <c r="D154" s="430" t="s">
        <v>47</v>
      </c>
      <c r="E154" s="56">
        <v>19.2</v>
      </c>
      <c r="F154" s="188">
        <v>0.035</v>
      </c>
      <c r="G154" s="223">
        <f t="shared" ref="G154:G156" si="18">IFERROR(H154/F154,"")</f>
        <v>548.5714286</v>
      </c>
      <c r="H154" s="318">
        <v>19.2</v>
      </c>
      <c r="J154" s="304"/>
      <c r="K154" s="304"/>
      <c r="L154" s="304"/>
      <c r="M154" s="15"/>
      <c r="N154" s="15"/>
    </row>
    <row r="155">
      <c r="A155" s="26"/>
      <c r="B155" s="81">
        <v>2.0</v>
      </c>
      <c r="C155" s="417" t="s">
        <v>2273</v>
      </c>
      <c r="D155" s="430" t="s">
        <v>60</v>
      </c>
      <c r="E155" s="56">
        <v>41.2</v>
      </c>
      <c r="F155" s="188">
        <v>0.075</v>
      </c>
      <c r="G155" s="223">
        <f t="shared" si="18"/>
        <v>549.3333333</v>
      </c>
      <c r="H155" s="318">
        <v>41.2</v>
      </c>
      <c r="J155" s="304"/>
      <c r="K155" s="304"/>
      <c r="L155" s="304"/>
      <c r="M155" s="15"/>
      <c r="N155" s="15"/>
    </row>
    <row r="156">
      <c r="A156" s="26"/>
      <c r="B156" s="151">
        <v>3.0</v>
      </c>
      <c r="C156" s="413" t="s">
        <v>2018</v>
      </c>
      <c r="D156" s="430" t="s">
        <v>65</v>
      </c>
      <c r="E156" s="56">
        <v>129.2</v>
      </c>
      <c r="F156" s="188">
        <v>0.235</v>
      </c>
      <c r="G156" s="223">
        <f t="shared" si="18"/>
        <v>549.787234</v>
      </c>
      <c r="H156" s="318">
        <v>129.2</v>
      </c>
      <c r="J156" s="304"/>
      <c r="K156" s="304"/>
      <c r="L156" s="304"/>
      <c r="M156" s="15"/>
      <c r="N156" s="15"/>
    </row>
    <row r="157">
      <c r="A157" s="26"/>
      <c r="B157" s="237" t="s">
        <v>11</v>
      </c>
      <c r="C157" s="45"/>
      <c r="D157" s="45"/>
      <c r="E157" s="131">
        <f>SUM(E154:E156)</f>
        <v>189.6</v>
      </c>
      <c r="F157" s="188"/>
      <c r="G157" s="84"/>
      <c r="H157" s="131">
        <f>SUM(H154:H156)</f>
        <v>189.6</v>
      </c>
      <c r="J157" s="304"/>
      <c r="K157" s="304"/>
      <c r="L157" s="304"/>
      <c r="M157" s="15"/>
      <c r="N157" s="15"/>
    </row>
    <row r="158" ht="29.25" customHeight="1">
      <c r="A158" s="243"/>
      <c r="B158" s="237" t="s">
        <v>2108</v>
      </c>
      <c r="C158" s="45"/>
      <c r="D158" s="45"/>
      <c r="E158" s="46"/>
      <c r="F158" s="250"/>
      <c r="G158" s="20"/>
      <c r="H158" s="52"/>
      <c r="J158" s="304"/>
      <c r="K158" s="304"/>
      <c r="L158" s="304"/>
      <c r="M158" s="15"/>
      <c r="N158" s="15"/>
    </row>
    <row r="159">
      <c r="A159" s="243"/>
      <c r="B159" s="431">
        <v>1.0</v>
      </c>
      <c r="C159" s="432">
        <v>90.0</v>
      </c>
      <c r="D159" s="333" t="s">
        <v>2451</v>
      </c>
      <c r="E159" s="433" t="s">
        <v>722</v>
      </c>
      <c r="F159" s="408">
        <v>0.227</v>
      </c>
      <c r="G159" s="223">
        <f t="shared" ref="G159:G160" si="19">IFERROR(H159/F159,"")</f>
        <v>651.9823789</v>
      </c>
      <c r="H159" s="318">
        <v>148.0</v>
      </c>
      <c r="J159" s="304"/>
      <c r="K159" s="304"/>
      <c r="L159" s="304"/>
      <c r="M159" s="15"/>
      <c r="N159" s="15"/>
    </row>
    <row r="160">
      <c r="A160" s="243"/>
      <c r="B160" s="431">
        <v>2.0</v>
      </c>
      <c r="C160" s="432">
        <v>110.0</v>
      </c>
      <c r="D160" s="333" t="s">
        <v>2455</v>
      </c>
      <c r="E160" s="433" t="s">
        <v>722</v>
      </c>
      <c r="F160" s="21">
        <v>0.345</v>
      </c>
      <c r="G160" s="223">
        <f t="shared" si="19"/>
        <v>684.057971</v>
      </c>
      <c r="H160" s="318">
        <v>236.0</v>
      </c>
      <c r="J160" s="304"/>
      <c r="K160" s="304"/>
      <c r="L160" s="304"/>
      <c r="M160" s="15"/>
      <c r="N160" s="15"/>
    </row>
    <row r="161">
      <c r="A161" s="243"/>
      <c r="B161" s="237" t="s">
        <v>11</v>
      </c>
      <c r="C161" s="45"/>
      <c r="D161" s="45"/>
      <c r="E161" s="434"/>
      <c r="F161" s="21"/>
      <c r="G161" s="223"/>
      <c r="H161" s="131">
        <f>SUM(H159:H160)</f>
        <v>384</v>
      </c>
      <c r="J161" s="304"/>
      <c r="K161" s="304"/>
      <c r="L161" s="304"/>
      <c r="M161" s="15"/>
      <c r="N161" s="15"/>
    </row>
    <row r="162" ht="26.25" customHeight="1">
      <c r="A162" s="243"/>
      <c r="B162" s="62" t="s">
        <v>2458</v>
      </c>
      <c r="C162" s="45"/>
      <c r="D162" s="45"/>
      <c r="E162" s="46"/>
      <c r="F162" s="414"/>
      <c r="G162" s="20"/>
      <c r="H162" s="52"/>
      <c r="J162" s="304"/>
      <c r="K162" s="304"/>
      <c r="L162" s="304"/>
      <c r="M162" s="15"/>
      <c r="N162" s="15"/>
    </row>
    <row r="163">
      <c r="A163" s="243"/>
      <c r="B163" s="151">
        <v>1.0</v>
      </c>
      <c r="C163" s="417" t="s">
        <v>2286</v>
      </c>
      <c r="D163" s="333" t="s">
        <v>2461</v>
      </c>
      <c r="E163" s="398" t="s">
        <v>722</v>
      </c>
      <c r="F163" s="188">
        <v>0.397</v>
      </c>
      <c r="G163" s="223">
        <f t="shared" ref="G163:G164" si="20">IFERROR(H163/F163,"")</f>
        <v>584.3828715</v>
      </c>
      <c r="H163" s="318">
        <v>232.0</v>
      </c>
      <c r="J163" s="304"/>
      <c r="K163" s="304"/>
      <c r="L163" s="304"/>
      <c r="M163" s="15"/>
      <c r="N163" s="15"/>
    </row>
    <row r="164">
      <c r="A164" s="243"/>
      <c r="B164" s="151">
        <v>2.0</v>
      </c>
      <c r="C164" s="417" t="s">
        <v>2289</v>
      </c>
      <c r="D164" s="333" t="s">
        <v>2463</v>
      </c>
      <c r="E164" s="398" t="s">
        <v>722</v>
      </c>
      <c r="F164" s="188">
        <v>0.476</v>
      </c>
      <c r="G164" s="223">
        <f t="shared" si="20"/>
        <v>500</v>
      </c>
      <c r="H164" s="318">
        <v>238.0</v>
      </c>
      <c r="J164" s="304"/>
      <c r="K164" s="304"/>
      <c r="L164" s="304"/>
      <c r="M164" s="15"/>
      <c r="N164" s="15"/>
    </row>
    <row r="165">
      <c r="A165" s="243"/>
      <c r="B165" s="237" t="s">
        <v>11</v>
      </c>
      <c r="C165" s="45"/>
      <c r="D165" s="45"/>
      <c r="E165" s="435"/>
      <c r="F165" s="188"/>
      <c r="G165" s="223"/>
      <c r="H165" s="131">
        <f>SUM(H163:H164)</f>
        <v>470</v>
      </c>
      <c r="J165" s="304"/>
      <c r="K165" s="304"/>
      <c r="L165" s="304"/>
      <c r="M165" s="15"/>
      <c r="N165" s="15"/>
    </row>
    <row r="166" ht="22.5" customHeight="1">
      <c r="A166" s="243"/>
      <c r="B166" s="62" t="s">
        <v>2468</v>
      </c>
      <c r="C166" s="45"/>
      <c r="D166" s="45"/>
      <c r="E166" s="46"/>
      <c r="F166" s="407"/>
      <c r="G166" s="301"/>
      <c r="H166" s="205"/>
      <c r="J166" s="319"/>
      <c r="K166" s="319"/>
      <c r="L166" s="304"/>
      <c r="M166" s="15"/>
      <c r="N166" s="15"/>
    </row>
    <row r="167">
      <c r="A167" s="243"/>
      <c r="B167" s="81">
        <v>1.0</v>
      </c>
      <c r="C167" s="413" t="s">
        <v>2469</v>
      </c>
      <c r="D167" s="152" t="s">
        <v>2470</v>
      </c>
      <c r="E167" s="410" t="s">
        <v>722</v>
      </c>
      <c r="F167" s="408">
        <v>0.007</v>
      </c>
      <c r="G167" s="223">
        <f t="shared" ref="G167:G177" si="21">IFERROR(H167/F167,"")</f>
        <v>500</v>
      </c>
      <c r="H167" s="318">
        <v>3.5</v>
      </c>
      <c r="J167" s="319"/>
      <c r="K167" s="319"/>
      <c r="L167" s="304"/>
      <c r="M167" s="15"/>
      <c r="N167" s="15"/>
    </row>
    <row r="168">
      <c r="A168" s="243"/>
      <c r="B168" s="151">
        <v>2.0</v>
      </c>
      <c r="C168" s="413" t="s">
        <v>2473</v>
      </c>
      <c r="D168" s="152" t="s">
        <v>2474</v>
      </c>
      <c r="E168" s="410" t="s">
        <v>722</v>
      </c>
      <c r="F168" s="408">
        <v>0.014</v>
      </c>
      <c r="G168" s="223">
        <f t="shared" si="21"/>
        <v>492.8571429</v>
      </c>
      <c r="H168" s="318">
        <v>6.9</v>
      </c>
      <c r="J168" s="319"/>
      <c r="K168" s="319"/>
      <c r="L168" s="304"/>
      <c r="M168" s="15"/>
      <c r="N168" s="15"/>
    </row>
    <row r="169">
      <c r="A169" s="243"/>
      <c r="B169" s="81">
        <v>4.0</v>
      </c>
      <c r="C169" s="413" t="s">
        <v>2476</v>
      </c>
      <c r="D169" s="152" t="s">
        <v>2477</v>
      </c>
      <c r="E169" s="410" t="s">
        <v>722</v>
      </c>
      <c r="F169" s="408">
        <v>0.028</v>
      </c>
      <c r="G169" s="223">
        <f t="shared" si="21"/>
        <v>489.2857143</v>
      </c>
      <c r="H169" s="318">
        <v>13.7</v>
      </c>
      <c r="J169" s="319"/>
      <c r="K169" s="319"/>
      <c r="L169" s="304"/>
      <c r="M169" s="15"/>
      <c r="N169" s="15"/>
    </row>
    <row r="170">
      <c r="A170" s="243"/>
      <c r="B170" s="151">
        <v>5.0</v>
      </c>
      <c r="C170" s="413" t="s">
        <v>2478</v>
      </c>
      <c r="D170" s="152" t="s">
        <v>2479</v>
      </c>
      <c r="E170" s="410" t="s">
        <v>722</v>
      </c>
      <c r="F170" s="21">
        <v>0.04</v>
      </c>
      <c r="G170" s="223">
        <f t="shared" si="21"/>
        <v>490</v>
      </c>
      <c r="H170" s="318">
        <v>19.6</v>
      </c>
      <c r="J170" s="319"/>
      <c r="K170" s="319"/>
      <c r="L170" s="304"/>
      <c r="M170" s="15"/>
      <c r="N170" s="15"/>
    </row>
    <row r="171">
      <c r="A171" s="243"/>
      <c r="B171" s="151">
        <v>3.0</v>
      </c>
      <c r="C171" s="413" t="s">
        <v>2482</v>
      </c>
      <c r="D171" s="152" t="s">
        <v>2483</v>
      </c>
      <c r="E171" s="410" t="s">
        <v>722</v>
      </c>
      <c r="F171" s="408">
        <v>0.013</v>
      </c>
      <c r="G171" s="223">
        <f t="shared" si="21"/>
        <v>492.3076923</v>
      </c>
      <c r="H171" s="318">
        <v>6.4</v>
      </c>
      <c r="J171" s="319"/>
      <c r="K171" s="319"/>
      <c r="L171" s="304"/>
      <c r="M171" s="15"/>
      <c r="N171" s="15"/>
    </row>
    <row r="172">
      <c r="A172" s="243"/>
      <c r="B172" s="151">
        <v>6.0</v>
      </c>
      <c r="C172" s="413" t="s">
        <v>2485</v>
      </c>
      <c r="D172" s="152" t="s">
        <v>2486</v>
      </c>
      <c r="E172" s="410" t="s">
        <v>722</v>
      </c>
      <c r="F172" s="408">
        <v>0.032</v>
      </c>
      <c r="G172" s="223">
        <f t="shared" si="21"/>
        <v>490.625</v>
      </c>
      <c r="H172" s="318">
        <v>15.7</v>
      </c>
      <c r="J172" s="319"/>
      <c r="K172" s="319"/>
      <c r="L172" s="304"/>
      <c r="M172" s="15"/>
      <c r="N172" s="15"/>
    </row>
    <row r="173">
      <c r="A173" s="243"/>
      <c r="B173" s="151">
        <v>7.0</v>
      </c>
      <c r="C173" s="413" t="s">
        <v>2487</v>
      </c>
      <c r="D173" s="152" t="s">
        <v>2488</v>
      </c>
      <c r="E173" s="410" t="s">
        <v>722</v>
      </c>
      <c r="F173" s="408">
        <v>0.045</v>
      </c>
      <c r="G173" s="223">
        <f t="shared" si="21"/>
        <v>491.1111111</v>
      </c>
      <c r="H173" s="318">
        <v>22.1</v>
      </c>
      <c r="J173" s="319"/>
      <c r="K173" s="319"/>
      <c r="L173" s="304"/>
      <c r="M173" s="15"/>
      <c r="N173" s="15"/>
    </row>
    <row r="174">
      <c r="A174" s="243"/>
      <c r="B174" s="151">
        <v>8.0</v>
      </c>
      <c r="C174" s="413" t="s">
        <v>2489</v>
      </c>
      <c r="D174" s="152" t="s">
        <v>2490</v>
      </c>
      <c r="E174" s="410" t="s">
        <v>722</v>
      </c>
      <c r="F174" s="408">
        <v>0.025</v>
      </c>
      <c r="G174" s="223">
        <f t="shared" si="21"/>
        <v>496</v>
      </c>
      <c r="H174" s="318">
        <v>12.4</v>
      </c>
      <c r="J174" s="319"/>
      <c r="K174" s="319"/>
      <c r="L174" s="304"/>
      <c r="M174" s="15"/>
      <c r="N174" s="15"/>
    </row>
    <row r="175">
      <c r="A175" s="243"/>
      <c r="B175" s="151">
        <v>9.0</v>
      </c>
      <c r="C175" s="413" t="s">
        <v>2492</v>
      </c>
      <c r="D175" s="152" t="s">
        <v>2493</v>
      </c>
      <c r="E175" s="410" t="s">
        <v>722</v>
      </c>
      <c r="F175" s="408">
        <v>0.044</v>
      </c>
      <c r="G175" s="223">
        <f t="shared" si="21"/>
        <v>490.9090909</v>
      </c>
      <c r="H175" s="318">
        <v>21.6</v>
      </c>
      <c r="J175" s="319"/>
      <c r="K175" s="319"/>
      <c r="L175" s="304"/>
      <c r="M175" s="15"/>
      <c r="N175" s="15"/>
    </row>
    <row r="176">
      <c r="A176" s="243"/>
      <c r="B176" s="151">
        <v>10.0</v>
      </c>
      <c r="C176" s="413" t="s">
        <v>2494</v>
      </c>
      <c r="D176" s="152" t="s">
        <v>2495</v>
      </c>
      <c r="E176" s="410" t="s">
        <v>722</v>
      </c>
      <c r="F176" s="408">
        <v>0.063</v>
      </c>
      <c r="G176" s="223">
        <f t="shared" si="21"/>
        <v>495.2380952</v>
      </c>
      <c r="H176" s="318">
        <v>31.2</v>
      </c>
      <c r="J176" s="319"/>
      <c r="K176" s="319"/>
      <c r="L176" s="304"/>
      <c r="M176" s="15"/>
      <c r="N176" s="15"/>
    </row>
    <row r="177">
      <c r="A177" s="243"/>
      <c r="B177" s="81">
        <v>11.0</v>
      </c>
      <c r="C177" s="413" t="s">
        <v>2496</v>
      </c>
      <c r="D177" s="152" t="s">
        <v>2497</v>
      </c>
      <c r="E177" s="410" t="s">
        <v>722</v>
      </c>
      <c r="F177" s="408">
        <v>0.074</v>
      </c>
      <c r="G177" s="223">
        <f t="shared" si="21"/>
        <v>490.5405405</v>
      </c>
      <c r="H177" s="318">
        <v>36.3</v>
      </c>
      <c r="J177" s="319"/>
      <c r="K177" s="319"/>
      <c r="L177" s="304"/>
      <c r="M177" s="15"/>
      <c r="N177" s="15"/>
    </row>
    <row r="178" ht="22.5" customHeight="1">
      <c r="A178" s="243"/>
      <c r="B178" s="436" t="s">
        <v>11</v>
      </c>
      <c r="C178" s="269"/>
      <c r="D178" s="269"/>
      <c r="E178" s="437"/>
      <c r="F178" s="407"/>
      <c r="G178" s="301"/>
      <c r="H178" s="131">
        <f>SUM(H167:H177)</f>
        <v>189.4</v>
      </c>
      <c r="J178" s="319"/>
      <c r="K178" s="319"/>
      <c r="L178" s="304"/>
      <c r="M178" s="15"/>
      <c r="N178" s="15"/>
    </row>
    <row r="179" ht="19.5" customHeight="1">
      <c r="A179" s="243"/>
      <c r="B179" s="438"/>
      <c r="C179" s="438"/>
      <c r="D179" s="438"/>
      <c r="E179" s="439"/>
      <c r="F179" s="407"/>
      <c r="G179" s="301"/>
      <c r="H179" s="205"/>
      <c r="J179" s="319"/>
      <c r="K179" s="319"/>
      <c r="L179" s="304"/>
      <c r="M179" s="15"/>
      <c r="N179" s="15"/>
    </row>
    <row r="180">
      <c r="A180" s="243"/>
      <c r="B180" s="440" t="s">
        <v>2500</v>
      </c>
      <c r="C180" s="273"/>
      <c r="D180" s="273"/>
      <c r="E180" s="180"/>
      <c r="F180" s="250"/>
      <c r="G180" s="20"/>
      <c r="H180" s="52"/>
      <c r="J180" s="304"/>
      <c r="K180" s="304"/>
      <c r="L180" s="304"/>
      <c r="M180" s="15"/>
      <c r="N180" s="15"/>
    </row>
    <row r="181">
      <c r="A181" s="243"/>
      <c r="B181" s="62" t="s">
        <v>2061</v>
      </c>
      <c r="C181" s="45"/>
      <c r="D181" s="45"/>
      <c r="E181" s="46"/>
      <c r="F181" s="414"/>
      <c r="G181" s="20"/>
      <c r="H181" s="52"/>
      <c r="J181" s="304"/>
      <c r="K181" s="304"/>
      <c r="L181" s="304"/>
      <c r="M181" s="15"/>
      <c r="N181" s="15"/>
    </row>
    <row r="182">
      <c r="A182" s="404"/>
      <c r="B182" s="51">
        <v>1.0</v>
      </c>
      <c r="C182" s="417">
        <v>75.0</v>
      </c>
      <c r="D182" s="152" t="s">
        <v>80</v>
      </c>
      <c r="E182" s="56">
        <v>27.4</v>
      </c>
      <c r="F182" s="58">
        <v>0.05</v>
      </c>
      <c r="G182" s="188">
        <v>490.0</v>
      </c>
      <c r="H182" s="318">
        <v>27.4</v>
      </c>
      <c r="J182" s="304"/>
      <c r="K182" s="304"/>
      <c r="L182" s="304"/>
      <c r="M182" s="15"/>
      <c r="N182" s="15"/>
    </row>
    <row r="183">
      <c r="A183" s="404"/>
      <c r="B183" s="150">
        <v>2.0</v>
      </c>
      <c r="C183" s="417">
        <v>90.0</v>
      </c>
      <c r="D183" s="152" t="s">
        <v>89</v>
      </c>
      <c r="E183" s="56">
        <v>38.4</v>
      </c>
      <c r="F183" s="58">
        <v>0.07</v>
      </c>
      <c r="G183" s="188">
        <v>490.0</v>
      </c>
      <c r="H183" s="318">
        <v>38.4</v>
      </c>
      <c r="J183" s="304"/>
      <c r="K183" s="304"/>
      <c r="L183" s="304"/>
      <c r="M183" s="15"/>
      <c r="N183" s="15"/>
    </row>
    <row r="184">
      <c r="A184" s="404"/>
      <c r="B184" s="150">
        <v>3.0</v>
      </c>
      <c r="C184" s="417">
        <v>110.0</v>
      </c>
      <c r="D184" s="152" t="s">
        <v>97</v>
      </c>
      <c r="E184" s="56">
        <v>66.0</v>
      </c>
      <c r="F184" s="58">
        <v>0.12</v>
      </c>
      <c r="G184" s="188">
        <v>490.0</v>
      </c>
      <c r="H184" s="318">
        <v>66.0</v>
      </c>
      <c r="J184" s="304"/>
      <c r="K184" s="304"/>
      <c r="L184" s="304"/>
      <c r="M184" s="15"/>
      <c r="N184" s="15"/>
    </row>
    <row r="185">
      <c r="A185" s="243"/>
      <c r="B185" s="237" t="s">
        <v>11</v>
      </c>
      <c r="C185" s="45"/>
      <c r="D185" s="45"/>
      <c r="E185" s="240">
        <f>SUM(E182:E184)</f>
        <v>131.8</v>
      </c>
      <c r="F185" s="414"/>
      <c r="G185" s="20"/>
      <c r="H185" s="240">
        <f>SUM(H182:H184)</f>
        <v>131.8</v>
      </c>
      <c r="J185" s="304"/>
      <c r="K185" s="304"/>
      <c r="L185" s="304"/>
      <c r="M185" s="15"/>
      <c r="N185" s="15"/>
    </row>
    <row r="186">
      <c r="A186" s="243"/>
      <c r="B186" s="62" t="s">
        <v>2083</v>
      </c>
      <c r="C186" s="45"/>
      <c r="D186" s="45"/>
      <c r="E186" s="46"/>
      <c r="F186" s="414"/>
      <c r="G186" s="20"/>
      <c r="H186" s="52"/>
      <c r="J186" s="304"/>
      <c r="K186" s="304"/>
      <c r="L186" s="304"/>
      <c r="M186" s="15"/>
      <c r="N186" s="15"/>
    </row>
    <row r="187">
      <c r="A187" s="404"/>
      <c r="B187" s="51">
        <v>1.0</v>
      </c>
      <c r="C187" s="417">
        <v>75.0</v>
      </c>
      <c r="D187" s="152" t="s">
        <v>101</v>
      </c>
      <c r="E187" s="56">
        <v>63.2</v>
      </c>
      <c r="F187" s="188">
        <v>0.115</v>
      </c>
      <c r="G187" s="188">
        <v>490.0</v>
      </c>
      <c r="H187" s="318">
        <v>63.2</v>
      </c>
      <c r="J187" s="304"/>
      <c r="K187" s="304"/>
      <c r="L187" s="304"/>
      <c r="M187" s="15"/>
      <c r="N187" s="15"/>
    </row>
    <row r="188">
      <c r="A188" s="404"/>
      <c r="B188" s="150">
        <v>2.0</v>
      </c>
      <c r="C188" s="417">
        <v>90.0</v>
      </c>
      <c r="D188" s="152" t="s">
        <v>103</v>
      </c>
      <c r="E188" s="56">
        <v>96.2</v>
      </c>
      <c r="F188" s="188">
        <v>0.175</v>
      </c>
      <c r="G188" s="188">
        <v>490.0</v>
      </c>
      <c r="H188" s="318">
        <v>96.2</v>
      </c>
      <c r="J188" s="304"/>
      <c r="K188" s="304"/>
      <c r="L188" s="304"/>
      <c r="M188" s="15"/>
      <c r="N188" s="15"/>
    </row>
    <row r="189">
      <c r="A189" s="404"/>
      <c r="B189" s="150">
        <v>3.0</v>
      </c>
      <c r="C189" s="417">
        <v>110.0</v>
      </c>
      <c r="D189" s="152" t="s">
        <v>105</v>
      </c>
      <c r="E189" s="56">
        <v>165.0</v>
      </c>
      <c r="F189" s="58">
        <v>0.3</v>
      </c>
      <c r="G189" s="188">
        <v>490.0</v>
      </c>
      <c r="H189" s="318">
        <v>165.0</v>
      </c>
      <c r="J189" s="304"/>
      <c r="K189" s="304"/>
      <c r="L189" s="304"/>
      <c r="M189" s="15"/>
      <c r="N189" s="15"/>
    </row>
    <row r="190">
      <c r="A190" s="243"/>
      <c r="B190" s="237" t="s">
        <v>11</v>
      </c>
      <c r="C190" s="45"/>
      <c r="D190" s="45"/>
      <c r="E190" s="441">
        <f>SUM(E187:E189)</f>
        <v>324.4</v>
      </c>
      <c r="F190" s="414"/>
      <c r="G190" s="20"/>
      <c r="H190" s="240">
        <f>SUM(H187:H189)</f>
        <v>324.4</v>
      </c>
      <c r="L190" s="15"/>
      <c r="M190" s="15"/>
      <c r="N190" s="15"/>
    </row>
    <row r="191">
      <c r="A191" s="243"/>
      <c r="B191" s="62" t="s">
        <v>2097</v>
      </c>
      <c r="C191" s="45"/>
      <c r="D191" s="45"/>
      <c r="E191" s="46"/>
      <c r="F191" s="414"/>
      <c r="G191" s="20"/>
      <c r="H191" s="442"/>
      <c r="L191" s="15"/>
      <c r="M191" s="15"/>
      <c r="N191" s="15"/>
    </row>
    <row r="192">
      <c r="A192" s="404"/>
      <c r="B192" s="51">
        <v>1.0</v>
      </c>
      <c r="C192" s="417">
        <v>75.0</v>
      </c>
      <c r="D192" s="152" t="s">
        <v>108</v>
      </c>
      <c r="E192" s="56">
        <v>46.6</v>
      </c>
      <c r="F192" s="188">
        <v>0.085</v>
      </c>
      <c r="G192" s="188">
        <v>490.0</v>
      </c>
      <c r="H192" s="318">
        <v>46.6</v>
      </c>
      <c r="L192" s="15"/>
      <c r="M192" s="15"/>
      <c r="N192" s="15"/>
    </row>
    <row r="193">
      <c r="A193" s="404"/>
      <c r="B193" s="150">
        <v>2.0</v>
      </c>
      <c r="C193" s="417">
        <v>90.0</v>
      </c>
      <c r="D193" s="152" t="s">
        <v>111</v>
      </c>
      <c r="E193" s="56">
        <v>71.4</v>
      </c>
      <c r="F193" s="58">
        <v>0.13</v>
      </c>
      <c r="G193" s="188">
        <v>490.0</v>
      </c>
      <c r="H193" s="318">
        <v>71.4</v>
      </c>
      <c r="J193" s="15"/>
      <c r="K193" s="15"/>
      <c r="L193" s="15"/>
      <c r="M193" s="15"/>
      <c r="N193" s="15"/>
    </row>
    <row r="194">
      <c r="A194" s="404"/>
      <c r="B194" s="150">
        <v>3.0</v>
      </c>
      <c r="C194" s="417">
        <v>110.0</v>
      </c>
      <c r="D194" s="152" t="s">
        <v>112</v>
      </c>
      <c r="E194" s="56">
        <v>115.4</v>
      </c>
      <c r="F194" s="58">
        <v>0.21</v>
      </c>
      <c r="G194" s="188">
        <v>490.0</v>
      </c>
      <c r="H194" s="318">
        <v>115.4</v>
      </c>
      <c r="J194" s="15"/>
      <c r="K194" s="15"/>
      <c r="L194" s="15"/>
      <c r="M194" s="15"/>
      <c r="N194" s="15"/>
    </row>
    <row r="195">
      <c r="A195" s="243"/>
      <c r="B195" s="237" t="s">
        <v>11</v>
      </c>
      <c r="C195" s="45"/>
      <c r="D195" s="45"/>
      <c r="E195" s="240">
        <f>SUM(E192:E194)</f>
        <v>233.4</v>
      </c>
      <c r="F195" s="414"/>
      <c r="G195" s="20"/>
      <c r="H195" s="240">
        <f>SUM(H192:H194)</f>
        <v>233.4</v>
      </c>
      <c r="J195" s="15"/>
      <c r="K195" s="15"/>
      <c r="L195" s="15"/>
      <c r="M195" s="15"/>
      <c r="N195" s="15"/>
    </row>
    <row r="196">
      <c r="A196" s="243"/>
      <c r="B196" s="243"/>
      <c r="C196" s="243"/>
      <c r="D196" s="243"/>
      <c r="E196" s="243"/>
      <c r="F196" s="250"/>
      <c r="G196" s="20"/>
      <c r="H196" s="29"/>
      <c r="I196" s="15"/>
      <c r="J196" s="15"/>
      <c r="K196" s="15"/>
      <c r="L196" s="15"/>
      <c r="M196" s="15"/>
      <c r="N196" s="15"/>
    </row>
    <row r="197">
      <c r="A197" s="243"/>
      <c r="B197" s="243"/>
      <c r="C197" s="243"/>
      <c r="D197" s="243"/>
      <c r="E197" s="243"/>
      <c r="F197" s="250"/>
      <c r="G197" s="20"/>
      <c r="H197" s="29"/>
      <c r="I197" s="15"/>
      <c r="J197" s="15"/>
      <c r="K197" s="15"/>
      <c r="L197" s="15"/>
      <c r="M197" s="15"/>
      <c r="N197" s="15"/>
    </row>
  </sheetData>
  <mergeCells count="59">
    <mergeCell ref="B144:D144"/>
    <mergeCell ref="B152:D152"/>
    <mergeCell ref="B153:E153"/>
    <mergeCell ref="B157:D157"/>
    <mergeCell ref="B158:E158"/>
    <mergeCell ref="B161:D161"/>
    <mergeCell ref="B162:E162"/>
    <mergeCell ref="B165:D165"/>
    <mergeCell ref="B166:E166"/>
    <mergeCell ref="B178:D178"/>
    <mergeCell ref="B180:E180"/>
    <mergeCell ref="B181:E181"/>
    <mergeCell ref="B185:D185"/>
    <mergeCell ref="B186:E186"/>
    <mergeCell ref="B2:B3"/>
    <mergeCell ref="C2:C3"/>
    <mergeCell ref="D2:D3"/>
    <mergeCell ref="E2:E3"/>
    <mergeCell ref="F2:F3"/>
    <mergeCell ref="G2:G3"/>
    <mergeCell ref="H2:H3"/>
    <mergeCell ref="B4:E4"/>
    <mergeCell ref="B5:E5"/>
    <mergeCell ref="B11:D11"/>
    <mergeCell ref="B12:E12"/>
    <mergeCell ref="B18:D18"/>
    <mergeCell ref="B19:E19"/>
    <mergeCell ref="B26:E26"/>
    <mergeCell ref="B25:D25"/>
    <mergeCell ref="B32:D32"/>
    <mergeCell ref="B33:E33"/>
    <mergeCell ref="B37:D37"/>
    <mergeCell ref="B38:E38"/>
    <mergeCell ref="B39:E39"/>
    <mergeCell ref="B50:E50"/>
    <mergeCell ref="B49:D49"/>
    <mergeCell ref="B60:D60"/>
    <mergeCell ref="B61:E61"/>
    <mergeCell ref="B71:D71"/>
    <mergeCell ref="B72:E72"/>
    <mergeCell ref="B76:D76"/>
    <mergeCell ref="B77:E77"/>
    <mergeCell ref="B87:D87"/>
    <mergeCell ref="B88:E88"/>
    <mergeCell ref="B101:D101"/>
    <mergeCell ref="B102:E102"/>
    <mergeCell ref="B113:D113"/>
    <mergeCell ref="B114:E114"/>
    <mergeCell ref="B118:D118"/>
    <mergeCell ref="B120:E120"/>
    <mergeCell ref="B121:E121"/>
    <mergeCell ref="B128:D128"/>
    <mergeCell ref="B129:E129"/>
    <mergeCell ref="B136:D136"/>
    <mergeCell ref="B137:E137"/>
    <mergeCell ref="B145:E145"/>
    <mergeCell ref="B190:D190"/>
    <mergeCell ref="B191:E191"/>
    <mergeCell ref="B195:D195"/>
  </mergeCells>
  <printOptions/>
  <pageMargins bottom="0.75" footer="0.0" header="0.0" left="0.25" right="0.25" top="0.75"/>
  <pageSetup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8"/>
    <col customWidth="1" min="2" max="2" width="6.0"/>
    <col customWidth="1" min="3" max="3" width="6.63"/>
    <col customWidth="1" min="4" max="4" width="5.63"/>
    <col customWidth="1" min="5" max="5" width="10.25"/>
    <col customWidth="1" min="6" max="6" width="33.75"/>
    <col customWidth="1" hidden="1" min="7" max="8" width="7.25"/>
    <col customWidth="1" hidden="1" min="9" max="9" width="8.5"/>
    <col customWidth="1" min="10" max="10" width="8.25"/>
    <col customWidth="1" min="11" max="11" width="9.0"/>
    <col customWidth="1" hidden="1" min="13" max="13" width="16.13"/>
    <col customWidth="1" hidden="1" min="14" max="14" width="14.13"/>
    <col customWidth="1" hidden="1" min="15" max="15" width="22.63"/>
  </cols>
  <sheetData>
    <row r="1" ht="9.0" customHeight="1">
      <c r="A1" s="242"/>
      <c r="B1" s="443"/>
      <c r="C1" s="443"/>
      <c r="D1" s="443"/>
      <c r="E1" s="443"/>
      <c r="F1" s="443"/>
      <c r="G1" s="242"/>
      <c r="H1" s="242"/>
      <c r="I1" s="242"/>
      <c r="J1" s="242"/>
      <c r="K1" s="13"/>
      <c r="L1" s="242"/>
      <c r="M1" s="242"/>
      <c r="N1" s="13"/>
      <c r="O1" s="242"/>
      <c r="P1" s="242"/>
      <c r="Q1" s="242"/>
      <c r="R1" s="242"/>
      <c r="S1" s="242"/>
      <c r="T1" s="242"/>
      <c r="U1" s="242"/>
      <c r="V1" s="242"/>
      <c r="W1" s="242"/>
      <c r="X1" s="242"/>
      <c r="Y1" s="242"/>
      <c r="Z1" s="242"/>
    </row>
    <row r="2" ht="25.5" customHeight="1">
      <c r="A2" s="242"/>
      <c r="B2" s="444" t="s">
        <v>2509</v>
      </c>
      <c r="C2" s="45"/>
      <c r="D2" s="45"/>
      <c r="E2" s="45"/>
      <c r="F2" s="45"/>
      <c r="G2" s="45"/>
      <c r="H2" s="45"/>
      <c r="I2" s="45"/>
      <c r="J2" s="45"/>
      <c r="K2" s="46"/>
      <c r="L2" s="242"/>
      <c r="M2" s="445" t="s">
        <v>2510</v>
      </c>
      <c r="N2" s="45"/>
      <c r="O2" s="46"/>
      <c r="P2" s="242"/>
      <c r="Q2" s="242"/>
      <c r="R2" s="242"/>
      <c r="S2" s="242"/>
      <c r="T2" s="242"/>
      <c r="U2" s="242"/>
      <c r="V2" s="242"/>
      <c r="W2" s="242"/>
      <c r="X2" s="242"/>
      <c r="Y2" s="242"/>
      <c r="Z2" s="242"/>
    </row>
    <row r="3" ht="54.75" customHeight="1">
      <c r="A3" s="242"/>
      <c r="B3" s="446" t="s">
        <v>2511</v>
      </c>
      <c r="C3" s="447" t="s">
        <v>2513</v>
      </c>
      <c r="D3" s="448" t="s">
        <v>24</v>
      </c>
      <c r="E3" s="447" t="s">
        <v>2514</v>
      </c>
      <c r="F3" s="447" t="s">
        <v>2515</v>
      </c>
      <c r="G3" s="449" t="s">
        <v>2516</v>
      </c>
      <c r="H3" s="449" t="s">
        <v>2517</v>
      </c>
      <c r="I3" s="450" t="s">
        <v>2518</v>
      </c>
      <c r="J3" s="451" t="s">
        <v>2519</v>
      </c>
      <c r="K3" s="452" t="s">
        <v>2520</v>
      </c>
      <c r="L3" s="242"/>
      <c r="M3" s="445" t="s">
        <v>2521</v>
      </c>
      <c r="N3" s="45"/>
      <c r="O3" s="46"/>
      <c r="P3" s="242"/>
      <c r="Q3" s="242"/>
      <c r="R3" s="242"/>
      <c r="S3" s="242"/>
      <c r="T3" s="242"/>
      <c r="U3" s="242"/>
      <c r="V3" s="242"/>
      <c r="W3" s="242"/>
      <c r="X3" s="242"/>
      <c r="Y3" s="242"/>
      <c r="Z3" s="242"/>
    </row>
    <row r="4">
      <c r="A4" s="242"/>
      <c r="B4" s="446"/>
      <c r="C4" s="446" t="s">
        <v>2523</v>
      </c>
      <c r="D4" s="453">
        <v>40.0</v>
      </c>
      <c r="E4" s="446"/>
      <c r="F4" s="453" t="s">
        <v>2524</v>
      </c>
      <c r="G4" s="454">
        <v>2.3</v>
      </c>
      <c r="H4" s="454">
        <v>2.5</v>
      </c>
      <c r="I4" s="454">
        <v>2.5</v>
      </c>
      <c r="J4" s="455">
        <v>696.0</v>
      </c>
      <c r="K4" s="456">
        <f t="shared" ref="K4:K22" si="1">IFERROR(J4/H4,"")</f>
        <v>278.4</v>
      </c>
      <c r="L4" s="242"/>
      <c r="M4" s="457" t="s">
        <v>2526</v>
      </c>
      <c r="N4" s="452" t="s">
        <v>2527</v>
      </c>
      <c r="O4" s="457" t="s">
        <v>2528</v>
      </c>
      <c r="P4" s="242"/>
      <c r="Q4" s="242"/>
      <c r="R4" s="242"/>
      <c r="S4" s="242"/>
      <c r="T4" s="242"/>
      <c r="U4" s="242"/>
      <c r="V4" s="242"/>
      <c r="W4" s="242"/>
      <c r="X4" s="242"/>
      <c r="Y4" s="242"/>
      <c r="Z4" s="242"/>
    </row>
    <row r="5">
      <c r="A5" s="242"/>
      <c r="B5" s="446"/>
      <c r="C5" s="446" t="s">
        <v>2523</v>
      </c>
      <c r="D5" s="453">
        <v>63.0</v>
      </c>
      <c r="E5" s="446"/>
      <c r="F5" s="453" t="s">
        <v>2529</v>
      </c>
      <c r="G5" s="454">
        <v>3.3</v>
      </c>
      <c r="H5" s="454">
        <v>3.5</v>
      </c>
      <c r="I5" s="454"/>
      <c r="J5" s="455">
        <v>980.0</v>
      </c>
      <c r="K5" s="456">
        <f t="shared" si="1"/>
        <v>280</v>
      </c>
      <c r="L5" s="242"/>
      <c r="M5" s="457" t="s">
        <v>2530</v>
      </c>
      <c r="N5" s="458"/>
      <c r="O5" s="459" t="s">
        <v>2531</v>
      </c>
      <c r="P5" s="242"/>
      <c r="Q5" s="242"/>
      <c r="R5" s="242"/>
      <c r="S5" s="242"/>
      <c r="T5" s="242"/>
      <c r="U5" s="242"/>
      <c r="V5" s="242"/>
      <c r="W5" s="242"/>
      <c r="X5" s="242"/>
      <c r="Y5" s="242"/>
      <c r="Z5" s="242"/>
    </row>
    <row r="6">
      <c r="A6" s="242"/>
      <c r="B6" s="446"/>
      <c r="C6" s="446" t="s">
        <v>2532</v>
      </c>
      <c r="D6" s="446">
        <v>90.0</v>
      </c>
      <c r="E6" s="446" t="s">
        <v>2533</v>
      </c>
      <c r="F6" s="461" t="s">
        <v>2534</v>
      </c>
      <c r="G6" s="462">
        <v>5.2</v>
      </c>
      <c r="H6" s="462">
        <v>5.3</v>
      </c>
      <c r="I6" s="454">
        <v>5.0</v>
      </c>
      <c r="J6" s="463">
        <v>1440.0</v>
      </c>
      <c r="K6" s="456">
        <f t="shared" si="1"/>
        <v>271.6981132</v>
      </c>
      <c r="L6" s="242"/>
      <c r="M6" s="457" t="s">
        <v>2535</v>
      </c>
      <c r="N6" s="452" t="s">
        <v>2536</v>
      </c>
      <c r="O6" s="457" t="s">
        <v>2528</v>
      </c>
      <c r="P6" s="242"/>
      <c r="Q6" s="242"/>
      <c r="R6" s="242"/>
      <c r="S6" s="242"/>
      <c r="T6" s="242"/>
      <c r="U6" s="242"/>
      <c r="V6" s="242"/>
      <c r="W6" s="242"/>
      <c r="X6" s="242"/>
      <c r="Y6" s="242"/>
      <c r="Z6" s="242"/>
    </row>
    <row r="7">
      <c r="A7" s="242"/>
      <c r="B7" s="446"/>
      <c r="C7" s="446" t="s">
        <v>2523</v>
      </c>
      <c r="D7" s="446">
        <v>90.0</v>
      </c>
      <c r="E7" s="446" t="s">
        <v>2538</v>
      </c>
      <c r="F7" s="461" t="s">
        <v>2539</v>
      </c>
      <c r="G7" s="462">
        <v>7.0</v>
      </c>
      <c r="H7" s="462">
        <v>7.1</v>
      </c>
      <c r="I7" s="454">
        <v>6.8</v>
      </c>
      <c r="J7" s="463">
        <v>1980.0</v>
      </c>
      <c r="K7" s="456">
        <f t="shared" si="1"/>
        <v>278.8732394</v>
      </c>
      <c r="L7" s="2"/>
      <c r="M7" s="457" t="s">
        <v>2540</v>
      </c>
      <c r="N7" s="452" t="s">
        <v>2541</v>
      </c>
      <c r="O7" s="457" t="s">
        <v>2528</v>
      </c>
      <c r="P7" s="242"/>
      <c r="Q7" s="242"/>
      <c r="R7" s="242"/>
      <c r="S7" s="242"/>
      <c r="T7" s="242"/>
      <c r="U7" s="242"/>
      <c r="V7" s="242"/>
      <c r="W7" s="242"/>
      <c r="X7" s="242"/>
      <c r="Y7" s="242"/>
      <c r="Z7" s="242"/>
    </row>
    <row r="8">
      <c r="A8" s="242"/>
      <c r="B8" s="446"/>
      <c r="C8" s="446" t="s">
        <v>2532</v>
      </c>
      <c r="D8" s="446">
        <v>110.0</v>
      </c>
      <c r="E8" s="446" t="s">
        <v>2542</v>
      </c>
      <c r="F8" s="461" t="s">
        <v>2543</v>
      </c>
      <c r="G8" s="454">
        <v>7.0</v>
      </c>
      <c r="H8" s="454">
        <v>7.2</v>
      </c>
      <c r="I8" s="454">
        <v>6.8</v>
      </c>
      <c r="J8" s="463">
        <v>1980.0</v>
      </c>
      <c r="K8" s="456">
        <f t="shared" si="1"/>
        <v>275</v>
      </c>
      <c r="L8" s="2"/>
      <c r="M8" s="457" t="s">
        <v>2544</v>
      </c>
      <c r="N8" s="452" t="s">
        <v>2536</v>
      </c>
      <c r="O8" s="457" t="s">
        <v>2528</v>
      </c>
      <c r="P8" s="242"/>
      <c r="Q8" s="242"/>
      <c r="R8" s="242"/>
      <c r="S8" s="242"/>
      <c r="T8" s="242"/>
      <c r="U8" s="242"/>
      <c r="V8" s="242"/>
      <c r="W8" s="242"/>
      <c r="X8" s="242"/>
      <c r="Y8" s="242"/>
      <c r="Z8" s="242"/>
    </row>
    <row r="9">
      <c r="A9" s="242"/>
      <c r="B9" s="446"/>
      <c r="C9" s="446" t="s">
        <v>2523</v>
      </c>
      <c r="D9" s="453">
        <v>110.0</v>
      </c>
      <c r="E9" s="446"/>
      <c r="F9" s="453" t="s">
        <v>2545</v>
      </c>
      <c r="G9" s="454">
        <v>8.0</v>
      </c>
      <c r="H9" s="454">
        <v>8.2</v>
      </c>
      <c r="I9" s="454">
        <v>3.5</v>
      </c>
      <c r="J9" s="455">
        <v>2290.0</v>
      </c>
      <c r="K9" s="456">
        <f t="shared" si="1"/>
        <v>279.2682927</v>
      </c>
      <c r="L9" s="242"/>
      <c r="M9" s="457" t="s">
        <v>2546</v>
      </c>
      <c r="N9" s="452" t="s">
        <v>2536</v>
      </c>
      <c r="O9" s="457" t="s">
        <v>2547</v>
      </c>
      <c r="P9" s="242"/>
      <c r="Q9" s="242"/>
      <c r="R9" s="242"/>
      <c r="S9" s="242"/>
      <c r="T9" s="242"/>
      <c r="U9" s="242"/>
      <c r="V9" s="242"/>
      <c r="W9" s="242"/>
      <c r="X9" s="242"/>
      <c r="Y9" s="242"/>
      <c r="Z9" s="242"/>
    </row>
    <row r="10">
      <c r="A10" s="242"/>
      <c r="B10" s="446"/>
      <c r="C10" s="446" t="s">
        <v>2523</v>
      </c>
      <c r="D10" s="453">
        <v>110.0</v>
      </c>
      <c r="E10" s="446"/>
      <c r="F10" s="453" t="s">
        <v>2548</v>
      </c>
      <c r="G10" s="454">
        <v>9.0</v>
      </c>
      <c r="H10" s="454">
        <v>9.2</v>
      </c>
      <c r="I10" s="454"/>
      <c r="J10" s="455">
        <v>2570.0</v>
      </c>
      <c r="K10" s="456">
        <f t="shared" si="1"/>
        <v>279.3478261</v>
      </c>
      <c r="L10" s="242"/>
      <c r="M10" s="457" t="s">
        <v>2549</v>
      </c>
      <c r="N10" s="452" t="s">
        <v>2536</v>
      </c>
      <c r="O10" s="457" t="s">
        <v>2550</v>
      </c>
      <c r="P10" s="242"/>
      <c r="Q10" s="242"/>
      <c r="R10" s="242"/>
      <c r="S10" s="242"/>
      <c r="T10" s="242"/>
      <c r="U10" s="242"/>
      <c r="V10" s="242"/>
      <c r="W10" s="242"/>
      <c r="X10" s="242"/>
      <c r="Y10" s="242"/>
      <c r="Z10" s="242"/>
    </row>
    <row r="11">
      <c r="A11" s="242"/>
      <c r="B11" s="446"/>
      <c r="C11" s="446" t="s">
        <v>2523</v>
      </c>
      <c r="D11" s="453">
        <v>110.0</v>
      </c>
      <c r="E11" s="446" t="s">
        <v>2552</v>
      </c>
      <c r="F11" s="461" t="s">
        <v>2553</v>
      </c>
      <c r="G11" s="454">
        <v>10.0</v>
      </c>
      <c r="H11" s="454">
        <v>10.1</v>
      </c>
      <c r="I11" s="454">
        <v>9.8</v>
      </c>
      <c r="J11" s="463">
        <v>2750.0</v>
      </c>
      <c r="K11" s="456">
        <f t="shared" si="1"/>
        <v>272.2772277</v>
      </c>
      <c r="L11" s="242"/>
      <c r="M11" s="457" t="s">
        <v>2554</v>
      </c>
      <c r="N11" s="452" t="s">
        <v>2536</v>
      </c>
      <c r="O11" s="457" t="s">
        <v>2528</v>
      </c>
      <c r="P11" s="242"/>
      <c r="Q11" s="242"/>
      <c r="R11" s="242"/>
      <c r="S11" s="242"/>
      <c r="T11" s="242"/>
      <c r="U11" s="242"/>
      <c r="V11" s="242"/>
      <c r="W11" s="242"/>
      <c r="X11" s="242"/>
      <c r="Y11" s="242"/>
      <c r="Z11" s="242"/>
    </row>
    <row r="12">
      <c r="A12" s="242"/>
      <c r="B12" s="446"/>
      <c r="C12" s="453" t="s">
        <v>2555</v>
      </c>
      <c r="D12" s="453">
        <v>110.0</v>
      </c>
      <c r="E12" s="446"/>
      <c r="F12" s="453" t="s">
        <v>2556</v>
      </c>
      <c r="G12" s="454">
        <v>11.8</v>
      </c>
      <c r="H12" s="454">
        <v>12.0</v>
      </c>
      <c r="I12" s="454"/>
      <c r="J12" s="455">
        <v>3360.0</v>
      </c>
      <c r="K12" s="456">
        <f t="shared" si="1"/>
        <v>280</v>
      </c>
      <c r="L12" s="242"/>
      <c r="M12" s="457" t="s">
        <v>2557</v>
      </c>
      <c r="N12" s="452" t="s">
        <v>2527</v>
      </c>
      <c r="O12" s="457" t="s">
        <v>2547</v>
      </c>
      <c r="P12" s="242"/>
      <c r="Q12" s="242"/>
      <c r="R12" s="242"/>
      <c r="S12" s="242"/>
      <c r="T12" s="242"/>
      <c r="U12" s="242"/>
      <c r="V12" s="242"/>
      <c r="W12" s="242"/>
      <c r="X12" s="242"/>
      <c r="Y12" s="242"/>
      <c r="Z12" s="242"/>
    </row>
    <row r="13">
      <c r="A13" s="242"/>
      <c r="B13" s="446"/>
      <c r="C13" s="446" t="s">
        <v>2555</v>
      </c>
      <c r="D13" s="446">
        <v>110.0</v>
      </c>
      <c r="E13" s="446" t="s">
        <v>2558</v>
      </c>
      <c r="F13" s="461" t="s">
        <v>2559</v>
      </c>
      <c r="G13" s="462">
        <v>14.1</v>
      </c>
      <c r="H13" s="462">
        <v>14.2</v>
      </c>
      <c r="I13" s="462"/>
      <c r="J13" s="463">
        <v>3980.0</v>
      </c>
      <c r="K13" s="456">
        <f t="shared" si="1"/>
        <v>280.2816901</v>
      </c>
      <c r="L13" s="242"/>
      <c r="M13" s="457" t="s">
        <v>2560</v>
      </c>
      <c r="N13" s="452" t="s">
        <v>2527</v>
      </c>
      <c r="O13" s="457" t="s">
        <v>2550</v>
      </c>
      <c r="P13" s="242"/>
      <c r="Q13" s="242"/>
      <c r="R13" s="242"/>
      <c r="S13" s="242"/>
      <c r="T13" s="242"/>
      <c r="U13" s="242"/>
      <c r="V13" s="242"/>
      <c r="W13" s="242"/>
      <c r="X13" s="242"/>
      <c r="Y13" s="242"/>
      <c r="Z13" s="242"/>
    </row>
    <row r="14">
      <c r="A14" s="242"/>
      <c r="B14" s="446"/>
      <c r="C14" s="453" t="s">
        <v>2555</v>
      </c>
      <c r="D14" s="453">
        <v>125.0</v>
      </c>
      <c r="E14" s="446"/>
      <c r="F14" s="453" t="s">
        <v>2562</v>
      </c>
      <c r="G14" s="454">
        <v>14.7</v>
      </c>
      <c r="H14" s="454">
        <v>15.0</v>
      </c>
      <c r="I14" s="454"/>
      <c r="J14" s="455">
        <v>4180.0</v>
      </c>
      <c r="K14" s="456">
        <f t="shared" si="1"/>
        <v>278.6666667</v>
      </c>
      <c r="L14" s="242"/>
      <c r="M14" s="457" t="s">
        <v>2563</v>
      </c>
      <c r="N14" s="452" t="s">
        <v>2536</v>
      </c>
      <c r="O14" s="457" t="s">
        <v>2528</v>
      </c>
      <c r="P14" s="242"/>
      <c r="Q14" s="242"/>
      <c r="R14" s="242"/>
      <c r="S14" s="242"/>
      <c r="T14" s="242"/>
      <c r="U14" s="242"/>
      <c r="V14" s="242"/>
      <c r="W14" s="242"/>
      <c r="X14" s="242"/>
      <c r="Y14" s="242"/>
      <c r="Z14" s="242"/>
    </row>
    <row r="15">
      <c r="A15" s="242"/>
      <c r="B15" s="446"/>
      <c r="C15" s="453" t="s">
        <v>2523</v>
      </c>
      <c r="D15" s="453">
        <v>140.0</v>
      </c>
      <c r="E15" s="446"/>
      <c r="F15" s="453" t="s">
        <v>2564</v>
      </c>
      <c r="G15" s="454">
        <v>14.7</v>
      </c>
      <c r="H15" s="454">
        <v>15.0</v>
      </c>
      <c r="I15" s="454">
        <v>14.8</v>
      </c>
      <c r="J15" s="455">
        <v>4180.0</v>
      </c>
      <c r="K15" s="456">
        <f t="shared" si="1"/>
        <v>278.6666667</v>
      </c>
      <c r="L15" s="242"/>
      <c r="M15" s="457" t="s">
        <v>2565</v>
      </c>
      <c r="N15" s="452" t="s">
        <v>2536</v>
      </c>
      <c r="O15" s="457" t="s">
        <v>2528</v>
      </c>
      <c r="P15" s="242"/>
      <c r="Q15" s="242"/>
      <c r="R15" s="242"/>
      <c r="S15" s="242"/>
      <c r="T15" s="242"/>
      <c r="U15" s="242"/>
      <c r="V15" s="242"/>
      <c r="W15" s="242"/>
      <c r="X15" s="242"/>
      <c r="Y15" s="242"/>
      <c r="Z15" s="242"/>
    </row>
    <row r="16">
      <c r="A16" s="242"/>
      <c r="B16" s="446"/>
      <c r="C16" s="446" t="s">
        <v>2523</v>
      </c>
      <c r="D16" s="453">
        <v>140.0</v>
      </c>
      <c r="E16" s="446"/>
      <c r="F16" s="453" t="s">
        <v>2566</v>
      </c>
      <c r="G16" s="454">
        <v>16.7</v>
      </c>
      <c r="H16" s="454">
        <v>17.0</v>
      </c>
      <c r="I16" s="454">
        <v>16.5</v>
      </c>
      <c r="J16" s="455">
        <v>4760.0</v>
      </c>
      <c r="K16" s="456">
        <f t="shared" si="1"/>
        <v>280</v>
      </c>
      <c r="L16" s="242"/>
      <c r="M16" s="457" t="s">
        <v>2567</v>
      </c>
      <c r="N16" s="452" t="s">
        <v>2541</v>
      </c>
      <c r="O16" s="457" t="s">
        <v>2528</v>
      </c>
      <c r="P16" s="242"/>
      <c r="Q16" s="242"/>
      <c r="R16" s="242"/>
      <c r="S16" s="242"/>
      <c r="T16" s="242"/>
      <c r="U16" s="242"/>
      <c r="V16" s="242"/>
      <c r="W16" s="242"/>
      <c r="X16" s="242"/>
      <c r="Y16" s="242"/>
      <c r="Z16" s="242"/>
    </row>
    <row r="17">
      <c r="A17" s="242"/>
      <c r="B17" s="446"/>
      <c r="C17" s="446" t="s">
        <v>2532</v>
      </c>
      <c r="D17" s="446">
        <v>160.0</v>
      </c>
      <c r="E17" s="446" t="s">
        <v>2568</v>
      </c>
      <c r="F17" s="461" t="s">
        <v>2569</v>
      </c>
      <c r="G17" s="462">
        <v>14.8</v>
      </c>
      <c r="H17" s="462">
        <v>15.0</v>
      </c>
      <c r="I17" s="454">
        <v>14.5</v>
      </c>
      <c r="J17" s="463">
        <v>4180.0</v>
      </c>
      <c r="K17" s="456">
        <f t="shared" si="1"/>
        <v>278.6666667</v>
      </c>
      <c r="L17" s="242"/>
      <c r="M17" s="457" t="s">
        <v>2570</v>
      </c>
      <c r="N17" s="452" t="s">
        <v>2536</v>
      </c>
      <c r="O17" s="457" t="s">
        <v>2528</v>
      </c>
      <c r="P17" s="242"/>
      <c r="Q17" s="242"/>
      <c r="R17" s="242"/>
      <c r="S17" s="242"/>
      <c r="T17" s="242"/>
      <c r="U17" s="242"/>
      <c r="V17" s="242"/>
      <c r="W17" s="242"/>
      <c r="X17" s="242"/>
      <c r="Y17" s="242"/>
      <c r="Z17" s="242"/>
    </row>
    <row r="18">
      <c r="A18" s="242"/>
      <c r="B18" s="446"/>
      <c r="C18" s="446" t="s">
        <v>2523</v>
      </c>
      <c r="D18" s="446">
        <v>160.0</v>
      </c>
      <c r="E18" s="446" t="s">
        <v>2571</v>
      </c>
      <c r="F18" s="461" t="s">
        <v>2572</v>
      </c>
      <c r="G18" s="462">
        <v>20.2</v>
      </c>
      <c r="H18" s="462">
        <v>20.6</v>
      </c>
      <c r="I18" s="454">
        <v>19.8</v>
      </c>
      <c r="J18" s="463">
        <v>5740.0</v>
      </c>
      <c r="K18" s="456">
        <f t="shared" si="1"/>
        <v>278.6407767</v>
      </c>
      <c r="L18" s="242"/>
      <c r="M18" s="457" t="s">
        <v>2573</v>
      </c>
      <c r="N18" s="452" t="s">
        <v>2536</v>
      </c>
      <c r="O18" s="457" t="s">
        <v>2547</v>
      </c>
      <c r="P18" s="242"/>
      <c r="Q18" s="242"/>
      <c r="R18" s="242"/>
      <c r="S18" s="242"/>
      <c r="T18" s="242"/>
      <c r="U18" s="242"/>
      <c r="V18" s="242"/>
      <c r="W18" s="242"/>
      <c r="X18" s="242"/>
      <c r="Y18" s="242"/>
      <c r="Z18" s="242"/>
    </row>
    <row r="19">
      <c r="A19" s="242"/>
      <c r="B19" s="446"/>
      <c r="C19" s="446" t="s">
        <v>2523</v>
      </c>
      <c r="D19" s="453">
        <v>180.0</v>
      </c>
      <c r="E19" s="446"/>
      <c r="F19" s="453" t="s">
        <v>2574</v>
      </c>
      <c r="G19" s="454">
        <v>25.4</v>
      </c>
      <c r="H19" s="454">
        <v>26.0</v>
      </c>
      <c r="I19" s="454"/>
      <c r="J19" s="455">
        <v>7280.0</v>
      </c>
      <c r="K19" s="456">
        <f t="shared" si="1"/>
        <v>280</v>
      </c>
      <c r="L19" s="242"/>
      <c r="M19" s="457" t="s">
        <v>2575</v>
      </c>
      <c r="N19" s="452" t="s">
        <v>2536</v>
      </c>
      <c r="O19" s="457" t="s">
        <v>2528</v>
      </c>
      <c r="P19" s="242"/>
      <c r="Q19" s="242"/>
      <c r="R19" s="242"/>
      <c r="S19" s="242"/>
      <c r="T19" s="242"/>
      <c r="U19" s="242"/>
      <c r="V19" s="242"/>
      <c r="W19" s="242"/>
      <c r="X19" s="242"/>
      <c r="Y19" s="242"/>
      <c r="Z19" s="242"/>
    </row>
    <row r="20">
      <c r="A20" s="242"/>
      <c r="B20" s="464"/>
      <c r="C20" s="446" t="s">
        <v>2523</v>
      </c>
      <c r="D20" s="453">
        <v>200.0</v>
      </c>
      <c r="E20" s="446"/>
      <c r="F20" s="453" t="s">
        <v>2577</v>
      </c>
      <c r="G20" s="454">
        <v>29.5</v>
      </c>
      <c r="H20" s="454">
        <v>30.0</v>
      </c>
      <c r="I20" s="454" t="s">
        <v>2578</v>
      </c>
      <c r="J20" s="455">
        <v>8380.0</v>
      </c>
      <c r="K20" s="456">
        <f t="shared" si="1"/>
        <v>279.3333333</v>
      </c>
      <c r="L20" s="242"/>
      <c r="M20" s="457" t="s">
        <v>2579</v>
      </c>
      <c r="N20" s="452" t="s">
        <v>2536</v>
      </c>
      <c r="O20" s="457" t="s">
        <v>2528</v>
      </c>
      <c r="P20" s="242"/>
      <c r="Q20" s="242"/>
      <c r="R20" s="242"/>
      <c r="S20" s="242"/>
      <c r="T20" s="242"/>
      <c r="U20" s="242"/>
      <c r="V20" s="242"/>
      <c r="W20" s="242"/>
      <c r="X20" s="242"/>
      <c r="Y20" s="242"/>
      <c r="Z20" s="242"/>
    </row>
    <row r="21">
      <c r="A21" s="242"/>
      <c r="B21" s="465"/>
      <c r="C21" s="453" t="s">
        <v>2523</v>
      </c>
      <c r="D21" s="453">
        <v>225.0</v>
      </c>
      <c r="E21" s="464"/>
      <c r="F21" s="453" t="s">
        <v>2580</v>
      </c>
      <c r="G21" s="454">
        <v>37.5</v>
      </c>
      <c r="H21" s="454">
        <v>38.0</v>
      </c>
      <c r="I21" s="454">
        <v>39.0</v>
      </c>
      <c r="J21" s="455">
        <v>10680.0</v>
      </c>
      <c r="K21" s="456">
        <f t="shared" si="1"/>
        <v>281.0526316</v>
      </c>
      <c r="L21" s="242"/>
      <c r="P21" s="242"/>
      <c r="Q21" s="242"/>
      <c r="R21" s="242"/>
      <c r="S21" s="242"/>
      <c r="T21" s="242"/>
      <c r="U21" s="242"/>
      <c r="V21" s="242"/>
      <c r="W21" s="242"/>
      <c r="X21" s="242"/>
      <c r="Y21" s="242"/>
      <c r="Z21" s="242"/>
    </row>
    <row r="22">
      <c r="A22" s="242"/>
      <c r="B22" s="465"/>
      <c r="C22" s="446" t="s">
        <v>2523</v>
      </c>
      <c r="D22" s="453">
        <v>225.0</v>
      </c>
      <c r="E22" s="465"/>
      <c r="F22" s="453" t="s">
        <v>2582</v>
      </c>
      <c r="G22" s="454">
        <v>44.5</v>
      </c>
      <c r="H22" s="454">
        <v>45.0</v>
      </c>
      <c r="I22" s="454">
        <v>43.0</v>
      </c>
      <c r="J22" s="455">
        <v>12660.0</v>
      </c>
      <c r="K22" s="456">
        <f t="shared" si="1"/>
        <v>281.3333333</v>
      </c>
      <c r="L22" s="242"/>
      <c r="P22" s="242"/>
      <c r="Q22" s="242"/>
      <c r="R22" s="242"/>
      <c r="S22" s="242"/>
      <c r="T22" s="242"/>
      <c r="U22" s="242"/>
      <c r="V22" s="242"/>
      <c r="W22" s="242"/>
      <c r="X22" s="242"/>
      <c r="Y22" s="242"/>
      <c r="Z22" s="242"/>
    </row>
    <row r="23">
      <c r="A23" s="242"/>
      <c r="B23" s="443"/>
      <c r="C23" s="443"/>
      <c r="D23" s="443"/>
      <c r="E23" s="443"/>
      <c r="F23" s="443"/>
      <c r="G23" s="242"/>
      <c r="H23" s="242"/>
      <c r="I23" s="242"/>
      <c r="J23" s="242"/>
      <c r="K23" s="13"/>
      <c r="L23" s="242"/>
      <c r="P23" s="242"/>
      <c r="Q23" s="242"/>
      <c r="R23" s="242"/>
      <c r="S23" s="242"/>
      <c r="T23" s="242"/>
      <c r="U23" s="242"/>
      <c r="V23" s="242"/>
      <c r="W23" s="242"/>
      <c r="X23" s="242"/>
      <c r="Y23" s="242"/>
      <c r="Z23" s="242"/>
    </row>
    <row r="24">
      <c r="A24" s="242"/>
      <c r="B24" s="443"/>
      <c r="C24" s="443"/>
      <c r="D24" s="443"/>
      <c r="E24" s="443"/>
      <c r="F24" s="443"/>
      <c r="G24" s="242"/>
      <c r="H24" s="242"/>
      <c r="I24" s="242"/>
      <c r="J24" s="242"/>
      <c r="K24" s="13"/>
      <c r="L24" s="242"/>
      <c r="P24" s="242"/>
      <c r="Q24" s="242"/>
      <c r="R24" s="242"/>
      <c r="S24" s="242"/>
      <c r="T24" s="242"/>
      <c r="U24" s="242"/>
      <c r="V24" s="242"/>
      <c r="W24" s="242"/>
      <c r="X24" s="242"/>
      <c r="Y24" s="242"/>
      <c r="Z24" s="242"/>
    </row>
    <row r="25">
      <c r="A25" s="242"/>
      <c r="B25" s="443"/>
      <c r="C25" s="443"/>
      <c r="D25" s="443"/>
      <c r="E25" s="443"/>
      <c r="F25" s="443"/>
      <c r="G25" s="242"/>
      <c r="H25" s="242"/>
      <c r="I25" s="242"/>
      <c r="J25" s="242"/>
      <c r="K25" s="13"/>
      <c r="L25" s="242"/>
      <c r="M25" s="242"/>
      <c r="N25" s="13"/>
      <c r="O25" s="242"/>
      <c r="P25" s="242"/>
      <c r="Q25" s="242"/>
      <c r="R25" s="242"/>
      <c r="S25" s="242"/>
      <c r="T25" s="242"/>
      <c r="U25" s="242"/>
      <c r="V25" s="242"/>
      <c r="W25" s="242"/>
      <c r="X25" s="242"/>
      <c r="Y25" s="242"/>
      <c r="Z25" s="242"/>
    </row>
    <row r="26">
      <c r="A26" s="242"/>
      <c r="B26" s="443"/>
      <c r="C26" s="443"/>
      <c r="D26" s="443"/>
      <c r="E26" s="443"/>
      <c r="F26" s="443"/>
      <c r="G26" s="242"/>
      <c r="H26" s="242"/>
      <c r="I26" s="242"/>
      <c r="J26" s="242"/>
      <c r="K26" s="13"/>
      <c r="L26" s="242"/>
      <c r="M26" s="242"/>
      <c r="N26" s="13"/>
      <c r="O26" s="242"/>
      <c r="P26" s="242"/>
      <c r="Q26" s="242"/>
      <c r="R26" s="242"/>
      <c r="S26" s="242"/>
      <c r="T26" s="242"/>
      <c r="U26" s="242"/>
      <c r="V26" s="242"/>
      <c r="W26" s="242"/>
      <c r="X26" s="242"/>
      <c r="Y26" s="242"/>
      <c r="Z26" s="242"/>
    </row>
    <row r="27">
      <c r="A27" s="242"/>
      <c r="B27" s="443"/>
      <c r="C27" s="443"/>
      <c r="D27" s="443"/>
      <c r="E27" s="443"/>
      <c r="F27" s="443"/>
      <c r="G27" s="242"/>
      <c r="H27" s="242"/>
      <c r="I27" s="242"/>
      <c r="J27" s="242"/>
      <c r="K27" s="13"/>
      <c r="L27" s="242"/>
      <c r="M27" s="242"/>
      <c r="N27" s="13"/>
      <c r="O27" s="242"/>
      <c r="P27" s="242"/>
      <c r="Q27" s="242"/>
      <c r="R27" s="242"/>
      <c r="S27" s="242"/>
      <c r="T27" s="242"/>
      <c r="U27" s="242"/>
      <c r="V27" s="242"/>
      <c r="W27" s="242"/>
      <c r="X27" s="242"/>
      <c r="Y27" s="242"/>
      <c r="Z27" s="242"/>
    </row>
    <row r="28">
      <c r="A28" s="242"/>
      <c r="B28" s="443"/>
      <c r="C28" s="443"/>
      <c r="D28" s="443"/>
      <c r="E28" s="443"/>
      <c r="F28" s="443"/>
      <c r="G28" s="242"/>
      <c r="H28" s="242"/>
      <c r="I28" s="242"/>
      <c r="J28" s="242"/>
      <c r="K28" s="13"/>
      <c r="L28" s="242"/>
      <c r="M28" s="242"/>
      <c r="N28" s="13"/>
      <c r="O28" s="242"/>
      <c r="P28" s="242"/>
      <c r="Q28" s="242"/>
      <c r="R28" s="242"/>
      <c r="S28" s="242"/>
      <c r="T28" s="242"/>
      <c r="U28" s="242"/>
      <c r="V28" s="242"/>
      <c r="W28" s="242"/>
      <c r="X28" s="242"/>
      <c r="Y28" s="242"/>
      <c r="Z28" s="242"/>
    </row>
    <row r="29">
      <c r="A29" s="242"/>
      <c r="B29" s="443"/>
      <c r="C29" s="443"/>
      <c r="D29" s="443"/>
      <c r="E29" s="443"/>
      <c r="F29" s="443"/>
      <c r="G29" s="242"/>
      <c r="H29" s="242"/>
      <c r="I29" s="242"/>
      <c r="J29" s="242"/>
      <c r="K29" s="13"/>
      <c r="L29" s="242"/>
      <c r="M29" s="242"/>
      <c r="N29" s="13"/>
      <c r="O29" s="242"/>
      <c r="P29" s="242"/>
      <c r="Q29" s="242"/>
      <c r="R29" s="242"/>
      <c r="S29" s="242"/>
      <c r="T29" s="242"/>
      <c r="U29" s="242"/>
      <c r="V29" s="242"/>
      <c r="W29" s="242"/>
      <c r="X29" s="242"/>
      <c r="Y29" s="242"/>
      <c r="Z29" s="242"/>
    </row>
    <row r="30">
      <c r="A30" s="242"/>
      <c r="B30" s="443"/>
      <c r="C30" s="443"/>
      <c r="D30" s="443"/>
      <c r="E30" s="443"/>
      <c r="F30" s="443"/>
      <c r="G30" s="242"/>
      <c r="H30" s="242"/>
      <c r="I30" s="242"/>
      <c r="J30" s="242"/>
      <c r="K30" s="13"/>
      <c r="L30" s="242"/>
      <c r="M30" s="242"/>
      <c r="N30" s="13"/>
      <c r="O30" s="242"/>
      <c r="P30" s="242"/>
      <c r="Q30" s="242"/>
      <c r="R30" s="242"/>
      <c r="S30" s="242"/>
      <c r="T30" s="242"/>
      <c r="U30" s="242"/>
      <c r="V30" s="242"/>
      <c r="W30" s="242"/>
      <c r="X30" s="242"/>
      <c r="Y30" s="242"/>
      <c r="Z30" s="242"/>
    </row>
    <row r="31">
      <c r="A31" s="242"/>
      <c r="B31" s="443"/>
      <c r="C31" s="443"/>
      <c r="D31" s="443"/>
      <c r="E31" s="443"/>
      <c r="F31" s="443"/>
      <c r="G31" s="242"/>
      <c r="H31" s="242"/>
      <c r="I31" s="242"/>
      <c r="J31" s="242"/>
      <c r="K31" s="13"/>
      <c r="L31" s="242"/>
      <c r="M31" s="242"/>
      <c r="N31" s="13"/>
      <c r="O31" s="242"/>
      <c r="P31" s="242"/>
      <c r="Q31" s="242"/>
      <c r="R31" s="242"/>
      <c r="S31" s="242"/>
      <c r="T31" s="242"/>
      <c r="U31" s="242"/>
      <c r="V31" s="242"/>
      <c r="W31" s="242"/>
      <c r="X31" s="242"/>
      <c r="Y31" s="242"/>
      <c r="Z31" s="242"/>
    </row>
    <row r="32">
      <c r="A32" s="242"/>
      <c r="B32" s="443"/>
      <c r="C32" s="443"/>
      <c r="D32" s="443"/>
      <c r="E32" s="443"/>
      <c r="F32" s="443"/>
      <c r="G32" s="242"/>
      <c r="H32" s="242"/>
      <c r="I32" s="242"/>
      <c r="J32" s="242"/>
      <c r="K32" s="13"/>
      <c r="L32" s="242"/>
      <c r="M32" s="242"/>
      <c r="N32" s="13"/>
      <c r="O32" s="242"/>
      <c r="P32" s="242"/>
      <c r="Q32" s="242"/>
      <c r="R32" s="242"/>
      <c r="S32" s="242"/>
      <c r="T32" s="242"/>
      <c r="U32" s="242"/>
      <c r="V32" s="242"/>
      <c r="W32" s="242"/>
      <c r="X32" s="242"/>
      <c r="Y32" s="242"/>
      <c r="Z32" s="242"/>
    </row>
    <row r="33">
      <c r="A33" s="242"/>
      <c r="B33" s="443"/>
      <c r="C33" s="443"/>
      <c r="D33" s="443"/>
      <c r="E33" s="443"/>
      <c r="F33" s="443"/>
      <c r="G33" s="242"/>
      <c r="H33" s="242"/>
      <c r="I33" s="242"/>
      <c r="J33" s="242"/>
      <c r="K33" s="13"/>
      <c r="L33" s="242"/>
      <c r="M33" s="242"/>
      <c r="N33" s="13"/>
      <c r="O33" s="242"/>
      <c r="P33" s="242"/>
      <c r="Q33" s="242"/>
      <c r="R33" s="242"/>
      <c r="S33" s="242"/>
      <c r="T33" s="242"/>
      <c r="U33" s="242"/>
      <c r="V33" s="242"/>
      <c r="W33" s="242"/>
      <c r="X33" s="242"/>
      <c r="Y33" s="242"/>
      <c r="Z33" s="242"/>
    </row>
    <row r="34">
      <c r="A34" s="242"/>
      <c r="B34" s="443"/>
      <c r="C34" s="443"/>
      <c r="D34" s="443"/>
      <c r="E34" s="443"/>
      <c r="F34" s="443"/>
      <c r="G34" s="242"/>
      <c r="H34" s="242"/>
      <c r="I34" s="242"/>
      <c r="J34" s="242"/>
      <c r="K34" s="13"/>
      <c r="L34" s="242"/>
      <c r="M34" s="242"/>
      <c r="N34" s="13"/>
      <c r="O34" s="242"/>
      <c r="P34" s="242"/>
      <c r="Q34" s="242"/>
      <c r="R34" s="242"/>
      <c r="S34" s="242"/>
      <c r="T34" s="242"/>
      <c r="U34" s="242"/>
      <c r="V34" s="242"/>
      <c r="W34" s="242"/>
      <c r="X34" s="242"/>
      <c r="Y34" s="242"/>
      <c r="Z34" s="242"/>
    </row>
    <row r="35">
      <c r="A35" s="242"/>
      <c r="B35" s="443"/>
      <c r="C35" s="443"/>
      <c r="D35" s="443"/>
      <c r="E35" s="443"/>
      <c r="F35" s="443"/>
      <c r="G35" s="242"/>
      <c r="H35" s="242"/>
      <c r="I35" s="242"/>
      <c r="J35" s="242"/>
      <c r="K35" s="13"/>
      <c r="L35" s="242"/>
      <c r="M35" s="242"/>
      <c r="N35" s="13"/>
      <c r="O35" s="242"/>
      <c r="P35" s="242"/>
      <c r="Q35" s="242"/>
      <c r="R35" s="242"/>
      <c r="S35" s="242"/>
      <c r="T35" s="242"/>
      <c r="U35" s="242"/>
      <c r="V35" s="242"/>
      <c r="W35" s="242"/>
      <c r="X35" s="242"/>
      <c r="Y35" s="242"/>
      <c r="Z35" s="242"/>
    </row>
    <row r="36">
      <c r="A36" s="242"/>
      <c r="B36" s="443"/>
      <c r="C36" s="443"/>
      <c r="D36" s="443"/>
      <c r="E36" s="443"/>
      <c r="F36" s="443"/>
      <c r="G36" s="242"/>
      <c r="H36" s="242"/>
      <c r="I36" s="242"/>
      <c r="J36" s="242"/>
      <c r="K36" s="13"/>
      <c r="L36" s="242"/>
      <c r="M36" s="242"/>
      <c r="N36" s="13"/>
      <c r="O36" s="242"/>
      <c r="P36" s="242"/>
      <c r="Q36" s="242"/>
      <c r="R36" s="242"/>
      <c r="S36" s="242"/>
      <c r="T36" s="242"/>
      <c r="U36" s="242"/>
      <c r="V36" s="242"/>
      <c r="W36" s="242"/>
      <c r="X36" s="242"/>
      <c r="Y36" s="242"/>
      <c r="Z36" s="242"/>
    </row>
    <row r="37">
      <c r="A37" s="242"/>
      <c r="B37" s="443"/>
      <c r="C37" s="443"/>
      <c r="D37" s="443"/>
      <c r="E37" s="443"/>
      <c r="F37" s="443"/>
      <c r="G37" s="242"/>
      <c r="H37" s="242"/>
      <c r="I37" s="242"/>
      <c r="J37" s="242"/>
      <c r="K37" s="13"/>
      <c r="L37" s="242"/>
      <c r="M37" s="242"/>
      <c r="N37" s="13"/>
      <c r="O37" s="242"/>
      <c r="P37" s="242"/>
      <c r="Q37" s="242"/>
      <c r="R37" s="242"/>
      <c r="S37" s="242"/>
      <c r="T37" s="242"/>
      <c r="U37" s="242"/>
      <c r="V37" s="242"/>
      <c r="W37" s="242"/>
      <c r="X37" s="242"/>
      <c r="Y37" s="242"/>
      <c r="Z37" s="242"/>
    </row>
    <row r="38">
      <c r="A38" s="242"/>
      <c r="B38" s="443"/>
      <c r="C38" s="443"/>
      <c r="D38" s="443"/>
      <c r="E38" s="443"/>
      <c r="F38" s="443"/>
      <c r="G38" s="242"/>
      <c r="H38" s="242"/>
      <c r="I38" s="242"/>
      <c r="J38" s="242"/>
      <c r="K38" s="13"/>
      <c r="L38" s="242"/>
      <c r="M38" s="242"/>
      <c r="N38" s="13"/>
      <c r="O38" s="242"/>
      <c r="P38" s="242"/>
      <c r="Q38" s="242"/>
      <c r="R38" s="242"/>
      <c r="S38" s="242"/>
      <c r="T38" s="242"/>
      <c r="U38" s="242"/>
      <c r="V38" s="242"/>
      <c r="W38" s="242"/>
      <c r="X38" s="242"/>
      <c r="Y38" s="242"/>
      <c r="Z38" s="242"/>
    </row>
    <row r="39">
      <c r="A39" s="242"/>
      <c r="B39" s="443"/>
      <c r="C39" s="443"/>
      <c r="D39" s="443"/>
      <c r="E39" s="443"/>
      <c r="F39" s="443"/>
      <c r="G39" s="242"/>
      <c r="H39" s="242"/>
      <c r="I39" s="242"/>
      <c r="J39" s="242"/>
      <c r="K39" s="13"/>
      <c r="L39" s="242"/>
      <c r="M39" s="242"/>
      <c r="N39" s="13"/>
      <c r="O39" s="242"/>
      <c r="P39" s="242"/>
      <c r="Q39" s="242"/>
      <c r="R39" s="242"/>
      <c r="S39" s="242"/>
      <c r="T39" s="242"/>
      <c r="U39" s="242"/>
      <c r="V39" s="242"/>
      <c r="W39" s="242"/>
      <c r="X39" s="242"/>
      <c r="Y39" s="242"/>
      <c r="Z39" s="242"/>
    </row>
    <row r="40">
      <c r="A40" s="242"/>
      <c r="B40" s="443"/>
      <c r="C40" s="443"/>
      <c r="D40" s="443"/>
      <c r="E40" s="443"/>
      <c r="F40" s="443"/>
      <c r="G40" s="242"/>
      <c r="H40" s="242"/>
      <c r="I40" s="242"/>
      <c r="J40" s="242"/>
      <c r="K40" s="13"/>
      <c r="L40" s="242"/>
      <c r="M40" s="242"/>
      <c r="N40" s="13"/>
      <c r="O40" s="242"/>
      <c r="P40" s="242"/>
      <c r="Q40" s="242"/>
      <c r="R40" s="242"/>
      <c r="S40" s="242"/>
      <c r="T40" s="242"/>
      <c r="U40" s="242"/>
      <c r="V40" s="242"/>
      <c r="W40" s="242"/>
      <c r="X40" s="242"/>
      <c r="Y40" s="242"/>
      <c r="Z40" s="242"/>
    </row>
    <row r="41">
      <c r="A41" s="242"/>
      <c r="B41" s="443"/>
      <c r="C41" s="443"/>
      <c r="D41" s="443"/>
      <c r="E41" s="443"/>
      <c r="F41" s="443"/>
      <c r="G41" s="242"/>
      <c r="H41" s="242"/>
      <c r="I41" s="242"/>
      <c r="J41" s="242"/>
      <c r="K41" s="13"/>
      <c r="L41" s="242"/>
      <c r="M41" s="242"/>
      <c r="N41" s="13"/>
      <c r="O41" s="242"/>
      <c r="P41" s="242"/>
      <c r="Q41" s="242"/>
      <c r="R41" s="242"/>
      <c r="S41" s="242"/>
      <c r="T41" s="242"/>
      <c r="U41" s="242"/>
      <c r="V41" s="242"/>
      <c r="W41" s="242"/>
      <c r="X41" s="242"/>
      <c r="Y41" s="242"/>
      <c r="Z41" s="242"/>
    </row>
    <row r="42">
      <c r="A42" s="242"/>
      <c r="B42" s="443"/>
      <c r="C42" s="443"/>
      <c r="D42" s="443"/>
      <c r="E42" s="443"/>
      <c r="F42" s="443"/>
      <c r="G42" s="242"/>
      <c r="H42" s="242"/>
      <c r="I42" s="242"/>
      <c r="J42" s="242"/>
      <c r="K42" s="13"/>
      <c r="L42" s="242"/>
      <c r="M42" s="242"/>
      <c r="N42" s="13"/>
      <c r="O42" s="242"/>
      <c r="P42" s="242"/>
      <c r="Q42" s="242"/>
      <c r="R42" s="242"/>
      <c r="S42" s="242"/>
      <c r="T42" s="242"/>
      <c r="U42" s="242"/>
      <c r="V42" s="242"/>
      <c r="W42" s="242"/>
      <c r="X42" s="242"/>
      <c r="Y42" s="242"/>
      <c r="Z42" s="242"/>
    </row>
    <row r="43">
      <c r="A43" s="242"/>
      <c r="B43" s="443"/>
      <c r="C43" s="443"/>
      <c r="D43" s="443"/>
      <c r="E43" s="443"/>
      <c r="F43" s="443"/>
      <c r="G43" s="242"/>
      <c r="H43" s="242"/>
      <c r="I43" s="242"/>
      <c r="J43" s="242"/>
      <c r="K43" s="13"/>
      <c r="L43" s="242"/>
      <c r="M43" s="242"/>
      <c r="N43" s="13"/>
      <c r="O43" s="242"/>
      <c r="P43" s="242"/>
      <c r="Q43" s="242"/>
      <c r="R43" s="242"/>
      <c r="S43" s="242"/>
      <c r="T43" s="242"/>
      <c r="U43" s="242"/>
      <c r="V43" s="242"/>
      <c r="W43" s="242"/>
      <c r="X43" s="242"/>
      <c r="Y43" s="242"/>
      <c r="Z43" s="242"/>
    </row>
    <row r="44">
      <c r="A44" s="242"/>
      <c r="B44" s="443"/>
      <c r="C44" s="443"/>
      <c r="D44" s="443"/>
      <c r="E44" s="443"/>
      <c r="F44" s="443"/>
      <c r="G44" s="242"/>
      <c r="H44" s="242"/>
      <c r="I44" s="242"/>
      <c r="J44" s="242"/>
      <c r="K44" s="13"/>
      <c r="L44" s="242"/>
      <c r="M44" s="242"/>
      <c r="N44" s="13"/>
      <c r="O44" s="242"/>
      <c r="P44" s="242"/>
      <c r="Q44" s="242"/>
      <c r="R44" s="242"/>
      <c r="S44" s="242"/>
      <c r="T44" s="242"/>
      <c r="U44" s="242"/>
      <c r="V44" s="242"/>
      <c r="W44" s="242"/>
      <c r="X44" s="242"/>
      <c r="Y44" s="242"/>
      <c r="Z44" s="242"/>
    </row>
    <row r="45">
      <c r="A45" s="242"/>
      <c r="B45" s="443"/>
      <c r="C45" s="443"/>
      <c r="D45" s="443"/>
      <c r="E45" s="443"/>
      <c r="F45" s="443"/>
      <c r="G45" s="242"/>
      <c r="H45" s="242"/>
      <c r="I45" s="242"/>
      <c r="J45" s="242"/>
      <c r="K45" s="13"/>
      <c r="L45" s="242"/>
      <c r="M45" s="242"/>
      <c r="N45" s="13"/>
      <c r="O45" s="242"/>
      <c r="P45" s="242"/>
      <c r="Q45" s="242"/>
      <c r="R45" s="242"/>
      <c r="S45" s="242"/>
      <c r="T45" s="242"/>
      <c r="U45" s="242"/>
      <c r="V45" s="242"/>
      <c r="W45" s="242"/>
      <c r="X45" s="242"/>
      <c r="Y45" s="242"/>
      <c r="Z45" s="242"/>
    </row>
    <row r="46">
      <c r="A46" s="242"/>
      <c r="B46" s="443"/>
      <c r="C46" s="443"/>
      <c r="D46" s="443"/>
      <c r="E46" s="443"/>
      <c r="F46" s="443"/>
      <c r="G46" s="242"/>
      <c r="H46" s="242"/>
      <c r="I46" s="242"/>
      <c r="J46" s="242"/>
      <c r="K46" s="13"/>
      <c r="L46" s="242"/>
      <c r="M46" s="242"/>
      <c r="N46" s="13"/>
      <c r="O46" s="242"/>
      <c r="P46" s="242"/>
      <c r="Q46" s="242"/>
      <c r="R46" s="242"/>
      <c r="S46" s="242"/>
      <c r="T46" s="242"/>
      <c r="U46" s="242"/>
      <c r="V46" s="242"/>
      <c r="W46" s="242"/>
      <c r="X46" s="242"/>
      <c r="Y46" s="242"/>
      <c r="Z46" s="242"/>
    </row>
    <row r="47">
      <c r="A47" s="242"/>
      <c r="B47" s="443"/>
      <c r="C47" s="443"/>
      <c r="D47" s="443"/>
      <c r="E47" s="443"/>
      <c r="F47" s="443"/>
      <c r="G47" s="242"/>
      <c r="H47" s="242"/>
      <c r="I47" s="242"/>
      <c r="J47" s="242"/>
      <c r="K47" s="13"/>
      <c r="L47" s="242"/>
      <c r="M47" s="242"/>
      <c r="N47" s="13"/>
      <c r="O47" s="242"/>
      <c r="P47" s="242"/>
      <c r="Q47" s="242"/>
      <c r="R47" s="242"/>
      <c r="S47" s="242"/>
      <c r="T47" s="242"/>
      <c r="U47" s="242"/>
      <c r="V47" s="242"/>
      <c r="W47" s="242"/>
      <c r="X47" s="242"/>
      <c r="Y47" s="242"/>
      <c r="Z47" s="242"/>
    </row>
    <row r="48">
      <c r="A48" s="242"/>
      <c r="B48" s="443"/>
      <c r="C48" s="443"/>
      <c r="D48" s="443"/>
      <c r="E48" s="443"/>
      <c r="F48" s="443"/>
      <c r="G48" s="242"/>
      <c r="H48" s="242"/>
      <c r="I48" s="242"/>
      <c r="J48" s="242"/>
      <c r="K48" s="13"/>
      <c r="L48" s="242"/>
      <c r="M48" s="242"/>
      <c r="N48" s="13"/>
      <c r="O48" s="242"/>
      <c r="P48" s="242"/>
      <c r="Q48" s="242"/>
      <c r="R48" s="242"/>
      <c r="S48" s="242"/>
      <c r="T48" s="242"/>
      <c r="U48" s="242"/>
      <c r="V48" s="242"/>
      <c r="W48" s="242"/>
      <c r="X48" s="242"/>
      <c r="Y48" s="242"/>
      <c r="Z48" s="242"/>
    </row>
    <row r="49">
      <c r="A49" s="242"/>
      <c r="B49" s="443"/>
      <c r="C49" s="443"/>
      <c r="D49" s="443"/>
      <c r="E49" s="443"/>
      <c r="F49" s="443"/>
      <c r="G49" s="242"/>
      <c r="H49" s="242"/>
      <c r="I49" s="242"/>
      <c r="J49" s="242"/>
      <c r="K49" s="13"/>
      <c r="L49" s="242"/>
      <c r="M49" s="242"/>
      <c r="N49" s="13"/>
      <c r="O49" s="242"/>
      <c r="P49" s="242"/>
      <c r="Q49" s="242"/>
      <c r="R49" s="242"/>
      <c r="S49" s="242"/>
      <c r="T49" s="242"/>
      <c r="U49" s="242"/>
      <c r="V49" s="242"/>
      <c r="W49" s="242"/>
      <c r="X49" s="242"/>
      <c r="Y49" s="242"/>
      <c r="Z49" s="242"/>
    </row>
    <row r="50">
      <c r="A50" s="242"/>
      <c r="B50" s="443"/>
      <c r="C50" s="443"/>
      <c r="D50" s="443"/>
      <c r="E50" s="443"/>
      <c r="F50" s="443"/>
      <c r="G50" s="242"/>
      <c r="H50" s="242"/>
      <c r="I50" s="242"/>
      <c r="J50" s="242"/>
      <c r="K50" s="13"/>
      <c r="L50" s="242"/>
      <c r="M50" s="242"/>
      <c r="N50" s="13"/>
      <c r="O50" s="242"/>
      <c r="P50" s="242"/>
      <c r="Q50" s="242"/>
      <c r="R50" s="242"/>
      <c r="S50" s="242"/>
      <c r="T50" s="242"/>
      <c r="U50" s="242"/>
      <c r="V50" s="242"/>
      <c r="W50" s="242"/>
      <c r="X50" s="242"/>
      <c r="Y50" s="242"/>
      <c r="Z50" s="242"/>
    </row>
    <row r="51">
      <c r="A51" s="242"/>
      <c r="B51" s="443"/>
      <c r="C51" s="443"/>
      <c r="D51" s="443"/>
      <c r="E51" s="443"/>
      <c r="F51" s="443"/>
      <c r="G51" s="242"/>
      <c r="H51" s="242"/>
      <c r="I51" s="242"/>
      <c r="J51" s="242"/>
      <c r="K51" s="13"/>
      <c r="L51" s="242"/>
      <c r="M51" s="242"/>
      <c r="N51" s="13"/>
      <c r="O51" s="242"/>
      <c r="P51" s="242"/>
      <c r="Q51" s="242"/>
      <c r="R51" s="242"/>
      <c r="S51" s="242"/>
      <c r="T51" s="242"/>
      <c r="U51" s="242"/>
      <c r="V51" s="242"/>
      <c r="W51" s="242"/>
      <c r="X51" s="242"/>
      <c r="Y51" s="242"/>
      <c r="Z51" s="242"/>
    </row>
    <row r="52">
      <c r="A52" s="242"/>
      <c r="B52" s="443"/>
      <c r="C52" s="443"/>
      <c r="D52" s="443"/>
      <c r="E52" s="443"/>
      <c r="F52" s="443"/>
      <c r="G52" s="242"/>
      <c r="H52" s="242"/>
      <c r="I52" s="242"/>
      <c r="J52" s="242"/>
      <c r="K52" s="13"/>
      <c r="L52" s="242"/>
      <c r="M52" s="242"/>
      <c r="N52" s="13"/>
      <c r="O52" s="242"/>
      <c r="P52" s="242"/>
      <c r="Q52" s="242"/>
      <c r="R52" s="242"/>
      <c r="S52" s="242"/>
      <c r="T52" s="242"/>
      <c r="U52" s="242"/>
      <c r="V52" s="242"/>
      <c r="W52" s="242"/>
      <c r="X52" s="242"/>
      <c r="Y52" s="242"/>
      <c r="Z52" s="242"/>
    </row>
    <row r="53">
      <c r="A53" s="242"/>
      <c r="B53" s="443"/>
      <c r="C53" s="443"/>
      <c r="D53" s="443"/>
      <c r="E53" s="443"/>
      <c r="F53" s="443"/>
      <c r="G53" s="242"/>
      <c r="H53" s="242"/>
      <c r="I53" s="242"/>
      <c r="J53" s="242"/>
      <c r="K53" s="13"/>
      <c r="L53" s="242"/>
      <c r="M53" s="242"/>
      <c r="N53" s="13"/>
      <c r="O53" s="242"/>
      <c r="P53" s="242"/>
      <c r="Q53" s="242"/>
      <c r="R53" s="242"/>
      <c r="S53" s="242"/>
      <c r="T53" s="242"/>
      <c r="U53" s="242"/>
      <c r="V53" s="242"/>
      <c r="W53" s="242"/>
      <c r="X53" s="242"/>
      <c r="Y53" s="242"/>
      <c r="Z53" s="242"/>
    </row>
    <row r="54">
      <c r="A54" s="242"/>
      <c r="B54" s="443"/>
      <c r="C54" s="443"/>
      <c r="D54" s="443"/>
      <c r="E54" s="443"/>
      <c r="F54" s="443"/>
      <c r="G54" s="242"/>
      <c r="H54" s="242"/>
      <c r="I54" s="242"/>
      <c r="J54" s="242"/>
      <c r="K54" s="13"/>
      <c r="L54" s="242"/>
      <c r="M54" s="242"/>
      <c r="N54" s="13"/>
      <c r="O54" s="242"/>
      <c r="P54" s="242"/>
      <c r="Q54" s="242"/>
      <c r="R54" s="242"/>
      <c r="S54" s="242"/>
      <c r="T54" s="242"/>
      <c r="U54" s="242"/>
      <c r="V54" s="242"/>
      <c r="W54" s="242"/>
      <c r="X54" s="242"/>
      <c r="Y54" s="242"/>
      <c r="Z54" s="242"/>
    </row>
    <row r="55">
      <c r="A55" s="242"/>
      <c r="B55" s="443"/>
      <c r="C55" s="443"/>
      <c r="D55" s="443"/>
      <c r="E55" s="443"/>
      <c r="F55" s="443"/>
      <c r="G55" s="242"/>
      <c r="H55" s="242"/>
      <c r="I55" s="242"/>
      <c r="J55" s="242"/>
      <c r="K55" s="13"/>
      <c r="L55" s="242"/>
      <c r="M55" s="242"/>
      <c r="N55" s="13"/>
      <c r="O55" s="242"/>
      <c r="P55" s="242"/>
      <c r="Q55" s="242"/>
      <c r="R55" s="242"/>
      <c r="S55" s="242"/>
      <c r="T55" s="242"/>
      <c r="U55" s="242"/>
      <c r="V55" s="242"/>
      <c r="W55" s="242"/>
      <c r="X55" s="242"/>
      <c r="Y55" s="242"/>
      <c r="Z55" s="242"/>
    </row>
    <row r="56">
      <c r="A56" s="242"/>
      <c r="B56" s="443"/>
      <c r="C56" s="443"/>
      <c r="D56" s="443"/>
      <c r="E56" s="443"/>
      <c r="F56" s="443"/>
      <c r="G56" s="242"/>
      <c r="H56" s="242"/>
      <c r="I56" s="242"/>
      <c r="J56" s="242"/>
      <c r="K56" s="13"/>
      <c r="L56" s="242"/>
      <c r="M56" s="242"/>
      <c r="N56" s="13"/>
      <c r="O56" s="242"/>
      <c r="P56" s="242"/>
      <c r="Q56" s="242"/>
      <c r="R56" s="242"/>
      <c r="S56" s="242"/>
      <c r="T56" s="242"/>
      <c r="U56" s="242"/>
      <c r="V56" s="242"/>
      <c r="W56" s="242"/>
      <c r="X56" s="242"/>
      <c r="Y56" s="242"/>
      <c r="Z56" s="242"/>
    </row>
    <row r="57">
      <c r="A57" s="242"/>
      <c r="B57" s="443"/>
      <c r="C57" s="443"/>
      <c r="D57" s="443"/>
      <c r="E57" s="443"/>
      <c r="F57" s="443"/>
      <c r="G57" s="242"/>
      <c r="H57" s="242"/>
      <c r="I57" s="242"/>
      <c r="J57" s="242"/>
      <c r="K57" s="13"/>
      <c r="L57" s="242"/>
      <c r="M57" s="242"/>
      <c r="N57" s="13"/>
      <c r="O57" s="242"/>
      <c r="P57" s="242"/>
      <c r="Q57" s="242"/>
      <c r="R57" s="242"/>
      <c r="S57" s="242"/>
      <c r="T57" s="242"/>
      <c r="U57" s="242"/>
      <c r="V57" s="242"/>
      <c r="W57" s="242"/>
      <c r="X57" s="242"/>
      <c r="Y57" s="242"/>
      <c r="Z57" s="242"/>
    </row>
    <row r="58">
      <c r="A58" s="242"/>
      <c r="B58" s="443"/>
      <c r="C58" s="443"/>
      <c r="D58" s="443"/>
      <c r="E58" s="443"/>
      <c r="F58" s="443"/>
      <c r="G58" s="242"/>
      <c r="H58" s="242"/>
      <c r="I58" s="242"/>
      <c r="J58" s="242"/>
      <c r="K58" s="13"/>
      <c r="L58" s="242"/>
      <c r="M58" s="242"/>
      <c r="N58" s="13"/>
      <c r="O58" s="242"/>
      <c r="P58" s="242"/>
      <c r="Q58" s="242"/>
      <c r="R58" s="242"/>
      <c r="S58" s="242"/>
      <c r="T58" s="242"/>
      <c r="U58" s="242"/>
      <c r="V58" s="242"/>
      <c r="W58" s="242"/>
      <c r="X58" s="242"/>
      <c r="Y58" s="242"/>
      <c r="Z58" s="242"/>
    </row>
    <row r="59">
      <c r="A59" s="242"/>
      <c r="B59" s="443"/>
      <c r="C59" s="443"/>
      <c r="D59" s="443"/>
      <c r="E59" s="443"/>
      <c r="F59" s="443"/>
      <c r="G59" s="242"/>
      <c r="H59" s="242"/>
      <c r="I59" s="242"/>
      <c r="J59" s="242"/>
      <c r="K59" s="13"/>
      <c r="L59" s="242"/>
      <c r="M59" s="242"/>
      <c r="N59" s="13"/>
      <c r="O59" s="242"/>
      <c r="P59" s="242"/>
      <c r="Q59" s="242"/>
      <c r="R59" s="242"/>
      <c r="S59" s="242"/>
      <c r="T59" s="242"/>
      <c r="U59" s="242"/>
      <c r="V59" s="242"/>
      <c r="W59" s="242"/>
      <c r="X59" s="242"/>
      <c r="Y59" s="242"/>
      <c r="Z59" s="242"/>
    </row>
    <row r="60">
      <c r="A60" s="242"/>
      <c r="B60" s="443"/>
      <c r="C60" s="443"/>
      <c r="D60" s="443"/>
      <c r="E60" s="443"/>
      <c r="F60" s="443"/>
      <c r="G60" s="242"/>
      <c r="H60" s="242"/>
      <c r="I60" s="242"/>
      <c r="J60" s="242"/>
      <c r="K60" s="13"/>
      <c r="L60" s="242"/>
      <c r="M60" s="242"/>
      <c r="N60" s="13"/>
      <c r="O60" s="242"/>
      <c r="P60" s="242"/>
      <c r="Q60" s="242"/>
      <c r="R60" s="242"/>
      <c r="S60" s="242"/>
      <c r="T60" s="242"/>
      <c r="U60" s="242"/>
      <c r="V60" s="242"/>
      <c r="W60" s="242"/>
      <c r="X60" s="242"/>
      <c r="Y60" s="242"/>
      <c r="Z60" s="242"/>
    </row>
    <row r="61">
      <c r="A61" s="242"/>
      <c r="B61" s="443"/>
      <c r="C61" s="443"/>
      <c r="D61" s="443"/>
      <c r="E61" s="443"/>
      <c r="F61" s="443"/>
      <c r="G61" s="242"/>
      <c r="H61" s="242"/>
      <c r="I61" s="242"/>
      <c r="J61" s="242"/>
      <c r="K61" s="13"/>
      <c r="L61" s="242"/>
      <c r="M61" s="242"/>
      <c r="N61" s="13"/>
      <c r="O61" s="242"/>
      <c r="P61" s="242"/>
      <c r="Q61" s="242"/>
      <c r="R61" s="242"/>
      <c r="S61" s="242"/>
      <c r="T61" s="242"/>
      <c r="U61" s="242"/>
      <c r="V61" s="242"/>
      <c r="W61" s="242"/>
      <c r="X61" s="242"/>
      <c r="Y61" s="242"/>
      <c r="Z61" s="242"/>
    </row>
    <row r="62">
      <c r="A62" s="242"/>
      <c r="B62" s="443"/>
      <c r="C62" s="443"/>
      <c r="D62" s="443"/>
      <c r="E62" s="443"/>
      <c r="F62" s="443"/>
      <c r="G62" s="242"/>
      <c r="H62" s="242"/>
      <c r="I62" s="242"/>
      <c r="J62" s="242"/>
      <c r="K62" s="13"/>
      <c r="L62" s="242"/>
      <c r="M62" s="242"/>
      <c r="N62" s="13"/>
      <c r="O62" s="242"/>
      <c r="P62" s="242"/>
      <c r="Q62" s="242"/>
      <c r="R62" s="242"/>
      <c r="S62" s="242"/>
      <c r="T62" s="242"/>
      <c r="U62" s="242"/>
      <c r="V62" s="242"/>
      <c r="W62" s="242"/>
      <c r="X62" s="242"/>
      <c r="Y62" s="242"/>
      <c r="Z62" s="242"/>
    </row>
    <row r="63">
      <c r="A63" s="242"/>
      <c r="B63" s="443"/>
      <c r="C63" s="443"/>
      <c r="D63" s="443"/>
      <c r="E63" s="443"/>
      <c r="F63" s="443"/>
      <c r="G63" s="242"/>
      <c r="H63" s="242"/>
      <c r="I63" s="242"/>
      <c r="J63" s="242"/>
      <c r="K63" s="13"/>
      <c r="L63" s="242"/>
      <c r="M63" s="242"/>
      <c r="N63" s="13"/>
      <c r="O63" s="242"/>
      <c r="P63" s="242"/>
      <c r="Q63" s="242"/>
      <c r="R63" s="242"/>
      <c r="S63" s="242"/>
      <c r="T63" s="242"/>
      <c r="U63" s="242"/>
      <c r="V63" s="242"/>
      <c r="W63" s="242"/>
      <c r="X63" s="242"/>
      <c r="Y63" s="242"/>
      <c r="Z63" s="242"/>
    </row>
    <row r="64">
      <c r="A64" s="242"/>
      <c r="B64" s="443"/>
      <c r="C64" s="443"/>
      <c r="D64" s="443"/>
      <c r="E64" s="443"/>
      <c r="F64" s="443"/>
      <c r="G64" s="242"/>
      <c r="H64" s="242"/>
      <c r="I64" s="242"/>
      <c r="J64" s="242"/>
      <c r="K64" s="13"/>
      <c r="L64" s="242"/>
      <c r="M64" s="242"/>
      <c r="N64" s="13"/>
      <c r="O64" s="242"/>
      <c r="P64" s="242"/>
      <c r="Q64" s="242"/>
      <c r="R64" s="242"/>
      <c r="S64" s="242"/>
      <c r="T64" s="242"/>
      <c r="U64" s="242"/>
      <c r="V64" s="242"/>
      <c r="W64" s="242"/>
      <c r="X64" s="242"/>
      <c r="Y64" s="242"/>
      <c r="Z64" s="242"/>
    </row>
    <row r="65">
      <c r="A65" s="242"/>
      <c r="B65" s="443"/>
      <c r="C65" s="443"/>
      <c r="D65" s="443"/>
      <c r="E65" s="443"/>
      <c r="F65" s="443"/>
      <c r="G65" s="242"/>
      <c r="H65" s="242"/>
      <c r="I65" s="242"/>
      <c r="J65" s="242"/>
      <c r="K65" s="13"/>
      <c r="L65" s="242"/>
      <c r="M65" s="242"/>
      <c r="N65" s="13"/>
      <c r="O65" s="242"/>
      <c r="P65" s="242"/>
      <c r="Q65" s="242"/>
      <c r="R65" s="242"/>
      <c r="S65" s="242"/>
      <c r="T65" s="242"/>
      <c r="U65" s="242"/>
      <c r="V65" s="242"/>
      <c r="W65" s="242"/>
      <c r="X65" s="242"/>
      <c r="Y65" s="242"/>
      <c r="Z65" s="242"/>
    </row>
    <row r="66">
      <c r="A66" s="242"/>
      <c r="B66" s="443"/>
      <c r="C66" s="443"/>
      <c r="D66" s="443"/>
      <c r="E66" s="443"/>
      <c r="F66" s="443"/>
      <c r="G66" s="242"/>
      <c r="H66" s="242"/>
      <c r="I66" s="242"/>
      <c r="J66" s="242"/>
      <c r="K66" s="13"/>
      <c r="L66" s="242"/>
      <c r="M66" s="242"/>
      <c r="N66" s="13"/>
      <c r="O66" s="242"/>
      <c r="P66" s="242"/>
      <c r="Q66" s="242"/>
      <c r="R66" s="242"/>
      <c r="S66" s="242"/>
      <c r="T66" s="242"/>
      <c r="U66" s="242"/>
      <c r="V66" s="242"/>
      <c r="W66" s="242"/>
      <c r="X66" s="242"/>
      <c r="Y66" s="242"/>
      <c r="Z66" s="242"/>
    </row>
    <row r="67">
      <c r="A67" s="242"/>
      <c r="B67" s="443"/>
      <c r="C67" s="443"/>
      <c r="D67" s="443"/>
      <c r="E67" s="443"/>
      <c r="F67" s="443"/>
      <c r="G67" s="242"/>
      <c r="H67" s="242"/>
      <c r="I67" s="242"/>
      <c r="J67" s="242"/>
      <c r="K67" s="13"/>
      <c r="L67" s="242"/>
      <c r="M67" s="242"/>
      <c r="N67" s="13"/>
      <c r="O67" s="242"/>
      <c r="P67" s="242"/>
      <c r="Q67" s="242"/>
      <c r="R67" s="242"/>
      <c r="S67" s="242"/>
      <c r="T67" s="242"/>
      <c r="U67" s="242"/>
      <c r="V67" s="242"/>
      <c r="W67" s="242"/>
      <c r="X67" s="242"/>
      <c r="Y67" s="242"/>
      <c r="Z67" s="242"/>
    </row>
    <row r="68">
      <c r="A68" s="242"/>
      <c r="B68" s="443"/>
      <c r="C68" s="443"/>
      <c r="D68" s="443"/>
      <c r="E68" s="443"/>
      <c r="F68" s="443"/>
      <c r="G68" s="242"/>
      <c r="H68" s="242"/>
      <c r="I68" s="242"/>
      <c r="J68" s="242"/>
      <c r="K68" s="13"/>
      <c r="L68" s="242"/>
      <c r="M68" s="242"/>
      <c r="N68" s="13"/>
      <c r="O68" s="242"/>
      <c r="P68" s="242"/>
      <c r="Q68" s="242"/>
      <c r="R68" s="242"/>
      <c r="S68" s="242"/>
      <c r="T68" s="242"/>
      <c r="U68" s="242"/>
      <c r="V68" s="242"/>
      <c r="W68" s="242"/>
      <c r="X68" s="242"/>
      <c r="Y68" s="242"/>
      <c r="Z68" s="242"/>
    </row>
    <row r="69">
      <c r="A69" s="242"/>
      <c r="B69" s="443"/>
      <c r="C69" s="443"/>
      <c r="D69" s="443"/>
      <c r="E69" s="443"/>
      <c r="F69" s="443"/>
      <c r="G69" s="242"/>
      <c r="H69" s="242"/>
      <c r="I69" s="242"/>
      <c r="J69" s="242"/>
      <c r="K69" s="13"/>
      <c r="L69" s="242"/>
      <c r="M69" s="242"/>
      <c r="N69" s="13"/>
      <c r="O69" s="242"/>
      <c r="P69" s="242"/>
      <c r="Q69" s="242"/>
      <c r="R69" s="242"/>
      <c r="S69" s="242"/>
      <c r="T69" s="242"/>
      <c r="U69" s="242"/>
      <c r="V69" s="242"/>
      <c r="W69" s="242"/>
      <c r="X69" s="242"/>
      <c r="Y69" s="242"/>
      <c r="Z69" s="242"/>
    </row>
    <row r="70">
      <c r="A70" s="242"/>
      <c r="B70" s="443"/>
      <c r="C70" s="443"/>
      <c r="D70" s="443"/>
      <c r="E70" s="443"/>
      <c r="F70" s="443"/>
      <c r="G70" s="242"/>
      <c r="H70" s="242"/>
      <c r="I70" s="242"/>
      <c r="J70" s="242"/>
      <c r="K70" s="13"/>
      <c r="L70" s="242"/>
      <c r="M70" s="242"/>
      <c r="N70" s="13"/>
      <c r="O70" s="242"/>
      <c r="P70" s="242"/>
      <c r="Q70" s="242"/>
      <c r="R70" s="242"/>
      <c r="S70" s="242"/>
      <c r="T70" s="242"/>
      <c r="U70" s="242"/>
      <c r="V70" s="242"/>
      <c r="W70" s="242"/>
      <c r="X70" s="242"/>
      <c r="Y70" s="242"/>
      <c r="Z70" s="242"/>
    </row>
    <row r="71">
      <c r="A71" s="242"/>
      <c r="B71" s="443"/>
      <c r="C71" s="443"/>
      <c r="D71" s="443"/>
      <c r="E71" s="443"/>
      <c r="F71" s="443"/>
      <c r="G71" s="242"/>
      <c r="H71" s="242"/>
      <c r="I71" s="242"/>
      <c r="J71" s="242"/>
      <c r="K71" s="13"/>
      <c r="L71" s="242"/>
      <c r="M71" s="242"/>
      <c r="N71" s="13"/>
      <c r="O71" s="242"/>
      <c r="P71" s="242"/>
      <c r="Q71" s="242"/>
      <c r="R71" s="242"/>
      <c r="S71" s="242"/>
      <c r="T71" s="242"/>
      <c r="U71" s="242"/>
      <c r="V71" s="242"/>
      <c r="W71" s="242"/>
      <c r="X71" s="242"/>
      <c r="Y71" s="242"/>
      <c r="Z71" s="242"/>
    </row>
    <row r="72">
      <c r="A72" s="242"/>
      <c r="B72" s="443"/>
      <c r="C72" s="443"/>
      <c r="D72" s="443"/>
      <c r="E72" s="443"/>
      <c r="F72" s="443"/>
      <c r="G72" s="242"/>
      <c r="H72" s="242"/>
      <c r="I72" s="242"/>
      <c r="J72" s="242"/>
      <c r="K72" s="13"/>
      <c r="L72" s="242"/>
      <c r="M72" s="242"/>
      <c r="N72" s="13"/>
      <c r="O72" s="242"/>
      <c r="P72" s="242"/>
      <c r="Q72" s="242"/>
      <c r="R72" s="242"/>
      <c r="S72" s="242"/>
      <c r="T72" s="242"/>
      <c r="U72" s="242"/>
      <c r="V72" s="242"/>
      <c r="W72" s="242"/>
      <c r="X72" s="242"/>
      <c r="Y72" s="242"/>
      <c r="Z72" s="242"/>
    </row>
    <row r="73">
      <c r="A73" s="242"/>
      <c r="B73" s="443"/>
      <c r="C73" s="443"/>
      <c r="D73" s="443"/>
      <c r="E73" s="443"/>
      <c r="F73" s="443"/>
      <c r="G73" s="242"/>
      <c r="H73" s="242"/>
      <c r="I73" s="242"/>
      <c r="J73" s="242"/>
      <c r="K73" s="13"/>
      <c r="L73" s="242"/>
      <c r="M73" s="242"/>
      <c r="N73" s="13"/>
      <c r="O73" s="242"/>
      <c r="P73" s="242"/>
      <c r="Q73" s="242"/>
      <c r="R73" s="242"/>
      <c r="S73" s="242"/>
      <c r="T73" s="242"/>
      <c r="U73" s="242"/>
      <c r="V73" s="242"/>
      <c r="W73" s="242"/>
      <c r="X73" s="242"/>
      <c r="Y73" s="242"/>
      <c r="Z73" s="242"/>
    </row>
    <row r="74">
      <c r="A74" s="242"/>
      <c r="B74" s="443"/>
      <c r="C74" s="443"/>
      <c r="D74" s="443"/>
      <c r="E74" s="443"/>
      <c r="F74" s="443"/>
      <c r="G74" s="242"/>
      <c r="H74" s="242"/>
      <c r="I74" s="242"/>
      <c r="J74" s="242"/>
      <c r="K74" s="13"/>
      <c r="L74" s="242"/>
      <c r="M74" s="242"/>
      <c r="N74" s="13"/>
      <c r="O74" s="242"/>
      <c r="P74" s="242"/>
      <c r="Q74" s="242"/>
      <c r="R74" s="242"/>
      <c r="S74" s="242"/>
      <c r="T74" s="242"/>
      <c r="U74" s="242"/>
      <c r="V74" s="242"/>
      <c r="W74" s="242"/>
      <c r="X74" s="242"/>
      <c r="Y74" s="242"/>
      <c r="Z74" s="242"/>
    </row>
    <row r="75">
      <c r="A75" s="242"/>
      <c r="B75" s="443"/>
      <c r="C75" s="443"/>
      <c r="D75" s="443"/>
      <c r="E75" s="443"/>
      <c r="F75" s="443"/>
      <c r="G75" s="242"/>
      <c r="H75" s="242"/>
      <c r="I75" s="242"/>
      <c r="J75" s="242"/>
      <c r="K75" s="13"/>
      <c r="L75" s="242"/>
      <c r="M75" s="242"/>
      <c r="N75" s="13"/>
      <c r="O75" s="242"/>
      <c r="P75" s="242"/>
      <c r="Q75" s="242"/>
      <c r="R75" s="242"/>
      <c r="S75" s="242"/>
      <c r="T75" s="242"/>
      <c r="U75" s="242"/>
      <c r="V75" s="242"/>
      <c r="W75" s="242"/>
      <c r="X75" s="242"/>
      <c r="Y75" s="242"/>
      <c r="Z75" s="242"/>
    </row>
    <row r="76">
      <c r="A76" s="242"/>
      <c r="B76" s="443"/>
      <c r="C76" s="443"/>
      <c r="D76" s="443"/>
      <c r="E76" s="443"/>
      <c r="F76" s="443"/>
      <c r="G76" s="242"/>
      <c r="H76" s="242"/>
      <c r="I76" s="242"/>
      <c r="J76" s="242"/>
      <c r="K76" s="13"/>
      <c r="L76" s="242"/>
      <c r="M76" s="242"/>
      <c r="N76" s="13"/>
      <c r="O76" s="242"/>
      <c r="P76" s="242"/>
      <c r="Q76" s="242"/>
      <c r="R76" s="242"/>
      <c r="S76" s="242"/>
      <c r="T76" s="242"/>
      <c r="U76" s="242"/>
      <c r="V76" s="242"/>
      <c r="W76" s="242"/>
      <c r="X76" s="242"/>
      <c r="Y76" s="242"/>
      <c r="Z76" s="242"/>
    </row>
    <row r="77">
      <c r="A77" s="242"/>
      <c r="B77" s="443"/>
      <c r="C77" s="443"/>
      <c r="D77" s="443"/>
      <c r="E77" s="443"/>
      <c r="F77" s="443"/>
      <c r="G77" s="242"/>
      <c r="H77" s="242"/>
      <c r="I77" s="242"/>
      <c r="J77" s="242"/>
      <c r="K77" s="13"/>
      <c r="L77" s="242"/>
      <c r="M77" s="242"/>
      <c r="N77" s="13"/>
      <c r="O77" s="242"/>
      <c r="P77" s="242"/>
      <c r="Q77" s="242"/>
      <c r="R77" s="242"/>
      <c r="S77" s="242"/>
      <c r="T77" s="242"/>
      <c r="U77" s="242"/>
      <c r="V77" s="242"/>
      <c r="W77" s="242"/>
      <c r="X77" s="242"/>
      <c r="Y77" s="242"/>
      <c r="Z77" s="242"/>
    </row>
    <row r="78">
      <c r="A78" s="242"/>
      <c r="B78" s="443"/>
      <c r="C78" s="443"/>
      <c r="D78" s="443"/>
      <c r="E78" s="443"/>
      <c r="F78" s="443"/>
      <c r="G78" s="242"/>
      <c r="H78" s="242"/>
      <c r="I78" s="242"/>
      <c r="J78" s="242"/>
      <c r="K78" s="13"/>
      <c r="L78" s="242"/>
      <c r="M78" s="242"/>
      <c r="N78" s="13"/>
      <c r="O78" s="242"/>
      <c r="P78" s="242"/>
      <c r="Q78" s="242"/>
      <c r="R78" s="242"/>
      <c r="S78" s="242"/>
      <c r="T78" s="242"/>
      <c r="U78" s="242"/>
      <c r="V78" s="242"/>
      <c r="W78" s="242"/>
      <c r="X78" s="242"/>
      <c r="Y78" s="242"/>
      <c r="Z78" s="242"/>
    </row>
    <row r="79">
      <c r="A79" s="242"/>
      <c r="B79" s="443"/>
      <c r="C79" s="443"/>
      <c r="D79" s="443"/>
      <c r="E79" s="443"/>
      <c r="F79" s="443"/>
      <c r="G79" s="242"/>
      <c r="H79" s="242"/>
      <c r="I79" s="242"/>
      <c r="J79" s="242"/>
      <c r="K79" s="13"/>
      <c r="L79" s="242"/>
      <c r="M79" s="242"/>
      <c r="N79" s="13"/>
      <c r="O79" s="242"/>
      <c r="P79" s="242"/>
      <c r="Q79" s="242"/>
      <c r="R79" s="242"/>
      <c r="S79" s="242"/>
      <c r="T79" s="242"/>
      <c r="U79" s="242"/>
      <c r="V79" s="242"/>
      <c r="W79" s="242"/>
      <c r="X79" s="242"/>
      <c r="Y79" s="242"/>
      <c r="Z79" s="242"/>
    </row>
    <row r="80">
      <c r="A80" s="242"/>
      <c r="B80" s="443"/>
      <c r="C80" s="443"/>
      <c r="D80" s="443"/>
      <c r="E80" s="443"/>
      <c r="F80" s="443"/>
      <c r="G80" s="242"/>
      <c r="H80" s="242"/>
      <c r="I80" s="242"/>
      <c r="J80" s="242"/>
      <c r="K80" s="13"/>
      <c r="L80" s="242"/>
      <c r="M80" s="242"/>
      <c r="N80" s="13"/>
      <c r="O80" s="242"/>
      <c r="P80" s="242"/>
      <c r="Q80" s="242"/>
      <c r="R80" s="242"/>
      <c r="S80" s="242"/>
      <c r="T80" s="242"/>
      <c r="U80" s="242"/>
      <c r="V80" s="242"/>
      <c r="W80" s="242"/>
      <c r="X80" s="242"/>
      <c r="Y80" s="242"/>
      <c r="Z80" s="242"/>
    </row>
    <row r="81">
      <c r="A81" s="242"/>
      <c r="B81" s="443"/>
      <c r="C81" s="443"/>
      <c r="D81" s="443"/>
      <c r="E81" s="443"/>
      <c r="F81" s="443"/>
      <c r="G81" s="242"/>
      <c r="H81" s="242"/>
      <c r="I81" s="242"/>
      <c r="J81" s="242"/>
      <c r="K81" s="13"/>
      <c r="L81" s="242"/>
      <c r="M81" s="242"/>
      <c r="N81" s="13"/>
      <c r="O81" s="242"/>
      <c r="P81" s="242"/>
      <c r="Q81" s="242"/>
      <c r="R81" s="242"/>
      <c r="S81" s="242"/>
      <c r="T81" s="242"/>
      <c r="U81" s="242"/>
      <c r="V81" s="242"/>
      <c r="W81" s="242"/>
      <c r="X81" s="242"/>
      <c r="Y81" s="242"/>
      <c r="Z81" s="242"/>
    </row>
    <row r="82">
      <c r="A82" s="242"/>
      <c r="B82" s="443"/>
      <c r="C82" s="443"/>
      <c r="D82" s="443"/>
      <c r="E82" s="443"/>
      <c r="F82" s="443"/>
      <c r="G82" s="242"/>
      <c r="H82" s="242"/>
      <c r="I82" s="242"/>
      <c r="J82" s="242"/>
      <c r="K82" s="13"/>
      <c r="L82" s="242"/>
      <c r="M82" s="242"/>
      <c r="N82" s="13"/>
      <c r="O82" s="242"/>
      <c r="P82" s="242"/>
      <c r="Q82" s="242"/>
      <c r="R82" s="242"/>
      <c r="S82" s="242"/>
      <c r="T82" s="242"/>
      <c r="U82" s="242"/>
      <c r="V82" s="242"/>
      <c r="W82" s="242"/>
      <c r="X82" s="242"/>
      <c r="Y82" s="242"/>
      <c r="Z82" s="242"/>
    </row>
    <row r="83">
      <c r="A83" s="242"/>
      <c r="B83" s="443"/>
      <c r="C83" s="443"/>
      <c r="D83" s="443"/>
      <c r="E83" s="443"/>
      <c r="F83" s="443"/>
      <c r="G83" s="242"/>
      <c r="H83" s="242"/>
      <c r="I83" s="242"/>
      <c r="J83" s="242"/>
      <c r="K83" s="13"/>
      <c r="L83" s="242"/>
      <c r="M83" s="242"/>
      <c r="N83" s="13"/>
      <c r="O83" s="242"/>
      <c r="P83" s="242"/>
      <c r="Q83" s="242"/>
      <c r="R83" s="242"/>
      <c r="S83" s="242"/>
      <c r="T83" s="242"/>
      <c r="U83" s="242"/>
      <c r="V83" s="242"/>
      <c r="W83" s="242"/>
      <c r="X83" s="242"/>
      <c r="Y83" s="242"/>
      <c r="Z83" s="242"/>
    </row>
    <row r="84">
      <c r="A84" s="242"/>
      <c r="B84" s="443"/>
      <c r="C84" s="443"/>
      <c r="D84" s="443"/>
      <c r="E84" s="443"/>
      <c r="F84" s="443"/>
      <c r="G84" s="242"/>
      <c r="H84" s="242"/>
      <c r="I84" s="242"/>
      <c r="J84" s="242"/>
      <c r="K84" s="13"/>
      <c r="L84" s="242"/>
      <c r="M84" s="242"/>
      <c r="N84" s="13"/>
      <c r="O84" s="242"/>
      <c r="P84" s="242"/>
      <c r="Q84" s="242"/>
      <c r="R84" s="242"/>
      <c r="S84" s="242"/>
      <c r="T84" s="242"/>
      <c r="U84" s="242"/>
      <c r="V84" s="242"/>
      <c r="W84" s="242"/>
      <c r="X84" s="242"/>
      <c r="Y84" s="242"/>
      <c r="Z84" s="242"/>
    </row>
    <row r="85">
      <c r="A85" s="242"/>
      <c r="B85" s="443"/>
      <c r="C85" s="443"/>
      <c r="D85" s="443"/>
      <c r="E85" s="443"/>
      <c r="F85" s="443"/>
      <c r="G85" s="242"/>
      <c r="H85" s="242"/>
      <c r="I85" s="242"/>
      <c r="J85" s="242"/>
      <c r="K85" s="13"/>
      <c r="L85" s="242"/>
      <c r="M85" s="242"/>
      <c r="N85" s="13"/>
      <c r="O85" s="242"/>
      <c r="P85" s="242"/>
      <c r="Q85" s="242"/>
      <c r="R85" s="242"/>
      <c r="S85" s="242"/>
      <c r="T85" s="242"/>
      <c r="U85" s="242"/>
      <c r="V85" s="242"/>
      <c r="W85" s="242"/>
      <c r="X85" s="242"/>
      <c r="Y85" s="242"/>
      <c r="Z85" s="242"/>
    </row>
    <row r="86">
      <c r="A86" s="242"/>
      <c r="B86" s="443"/>
      <c r="C86" s="443"/>
      <c r="D86" s="443"/>
      <c r="E86" s="443"/>
      <c r="F86" s="443"/>
      <c r="G86" s="242"/>
      <c r="H86" s="242"/>
      <c r="I86" s="242"/>
      <c r="J86" s="242"/>
      <c r="K86" s="13"/>
      <c r="L86" s="242"/>
      <c r="M86" s="242"/>
      <c r="N86" s="13"/>
      <c r="O86" s="242"/>
      <c r="P86" s="242"/>
      <c r="Q86" s="242"/>
      <c r="R86" s="242"/>
      <c r="S86" s="242"/>
      <c r="T86" s="242"/>
      <c r="U86" s="242"/>
      <c r="V86" s="242"/>
      <c r="W86" s="242"/>
      <c r="X86" s="242"/>
      <c r="Y86" s="242"/>
      <c r="Z86" s="242"/>
    </row>
    <row r="87">
      <c r="A87" s="242"/>
      <c r="B87" s="443"/>
      <c r="C87" s="443"/>
      <c r="D87" s="443"/>
      <c r="E87" s="443"/>
      <c r="F87" s="443"/>
      <c r="G87" s="242"/>
      <c r="H87" s="242"/>
      <c r="I87" s="242"/>
      <c r="J87" s="242"/>
      <c r="K87" s="13"/>
      <c r="L87" s="242"/>
      <c r="M87" s="242"/>
      <c r="N87" s="13"/>
      <c r="O87" s="242"/>
      <c r="P87" s="242"/>
      <c r="Q87" s="242"/>
      <c r="R87" s="242"/>
      <c r="S87" s="242"/>
      <c r="T87" s="242"/>
      <c r="U87" s="242"/>
      <c r="V87" s="242"/>
      <c r="W87" s="242"/>
      <c r="X87" s="242"/>
      <c r="Y87" s="242"/>
      <c r="Z87" s="242"/>
    </row>
    <row r="88">
      <c r="A88" s="242"/>
      <c r="B88" s="443"/>
      <c r="C88" s="443"/>
      <c r="D88" s="443"/>
      <c r="E88" s="443"/>
      <c r="F88" s="443"/>
      <c r="G88" s="242"/>
      <c r="H88" s="242"/>
      <c r="I88" s="242"/>
      <c r="J88" s="242"/>
      <c r="K88" s="13"/>
      <c r="L88" s="242"/>
      <c r="M88" s="242"/>
      <c r="N88" s="13"/>
      <c r="O88" s="242"/>
      <c r="P88" s="242"/>
      <c r="Q88" s="242"/>
      <c r="R88" s="242"/>
      <c r="S88" s="242"/>
      <c r="T88" s="242"/>
      <c r="U88" s="242"/>
      <c r="V88" s="242"/>
      <c r="W88" s="242"/>
      <c r="X88" s="242"/>
      <c r="Y88" s="242"/>
      <c r="Z88" s="242"/>
    </row>
    <row r="89">
      <c r="A89" s="242"/>
      <c r="B89" s="443"/>
      <c r="C89" s="443"/>
      <c r="D89" s="443"/>
      <c r="E89" s="443"/>
      <c r="F89" s="443"/>
      <c r="G89" s="242"/>
      <c r="H89" s="242"/>
      <c r="I89" s="242"/>
      <c r="J89" s="242"/>
      <c r="K89" s="13"/>
      <c r="L89" s="242"/>
      <c r="M89" s="242"/>
      <c r="N89" s="13"/>
      <c r="O89" s="242"/>
      <c r="P89" s="242"/>
      <c r="Q89" s="242"/>
      <c r="R89" s="242"/>
      <c r="S89" s="242"/>
      <c r="T89" s="242"/>
      <c r="U89" s="242"/>
      <c r="V89" s="242"/>
      <c r="W89" s="242"/>
      <c r="X89" s="242"/>
      <c r="Y89" s="242"/>
      <c r="Z89" s="242"/>
    </row>
    <row r="90">
      <c r="A90" s="242"/>
      <c r="B90" s="443"/>
      <c r="C90" s="443"/>
      <c r="D90" s="443"/>
      <c r="E90" s="443"/>
      <c r="F90" s="443"/>
      <c r="G90" s="242"/>
      <c r="H90" s="242"/>
      <c r="I90" s="242"/>
      <c r="J90" s="242"/>
      <c r="K90" s="13"/>
      <c r="L90" s="242"/>
      <c r="M90" s="242"/>
      <c r="N90" s="13"/>
      <c r="O90" s="242"/>
      <c r="P90" s="242"/>
      <c r="Q90" s="242"/>
      <c r="R90" s="242"/>
      <c r="S90" s="242"/>
      <c r="T90" s="242"/>
      <c r="U90" s="242"/>
      <c r="V90" s="242"/>
      <c r="W90" s="242"/>
      <c r="X90" s="242"/>
      <c r="Y90" s="242"/>
      <c r="Z90" s="242"/>
    </row>
    <row r="91">
      <c r="A91" s="242"/>
      <c r="B91" s="443"/>
      <c r="C91" s="443"/>
      <c r="D91" s="443"/>
      <c r="E91" s="443"/>
      <c r="F91" s="443"/>
      <c r="G91" s="242"/>
      <c r="H91" s="242"/>
      <c r="I91" s="242"/>
      <c r="J91" s="242"/>
      <c r="K91" s="13"/>
      <c r="L91" s="242"/>
      <c r="M91" s="242"/>
      <c r="N91" s="13"/>
      <c r="O91" s="242"/>
      <c r="P91" s="242"/>
      <c r="Q91" s="242"/>
      <c r="R91" s="242"/>
      <c r="S91" s="242"/>
      <c r="T91" s="242"/>
      <c r="U91" s="242"/>
      <c r="V91" s="242"/>
      <c r="W91" s="242"/>
      <c r="X91" s="242"/>
      <c r="Y91" s="242"/>
      <c r="Z91" s="242"/>
    </row>
    <row r="92">
      <c r="A92" s="242"/>
      <c r="B92" s="443"/>
      <c r="C92" s="443"/>
      <c r="D92" s="443"/>
      <c r="E92" s="443"/>
      <c r="F92" s="443"/>
      <c r="G92" s="242"/>
      <c r="H92" s="242"/>
      <c r="I92" s="242"/>
      <c r="J92" s="242"/>
      <c r="K92" s="13"/>
      <c r="L92" s="242"/>
      <c r="M92" s="242"/>
      <c r="N92" s="13"/>
      <c r="O92" s="242"/>
      <c r="P92" s="242"/>
      <c r="Q92" s="242"/>
      <c r="R92" s="242"/>
      <c r="S92" s="242"/>
      <c r="T92" s="242"/>
      <c r="U92" s="242"/>
      <c r="V92" s="242"/>
      <c r="W92" s="242"/>
      <c r="X92" s="242"/>
      <c r="Y92" s="242"/>
      <c r="Z92" s="242"/>
    </row>
    <row r="93">
      <c r="A93" s="242"/>
      <c r="B93" s="443"/>
      <c r="C93" s="443"/>
      <c r="D93" s="443"/>
      <c r="E93" s="443"/>
      <c r="F93" s="443"/>
      <c r="G93" s="242"/>
      <c r="H93" s="242"/>
      <c r="I93" s="242"/>
      <c r="J93" s="242"/>
      <c r="K93" s="13"/>
      <c r="L93" s="242"/>
      <c r="M93" s="242"/>
      <c r="N93" s="13"/>
      <c r="O93" s="242"/>
      <c r="P93" s="242"/>
      <c r="Q93" s="242"/>
      <c r="R93" s="242"/>
      <c r="S93" s="242"/>
      <c r="T93" s="242"/>
      <c r="U93" s="242"/>
      <c r="V93" s="242"/>
      <c r="W93" s="242"/>
      <c r="X93" s="242"/>
      <c r="Y93" s="242"/>
      <c r="Z93" s="242"/>
    </row>
    <row r="94">
      <c r="A94" s="242"/>
      <c r="B94" s="443"/>
      <c r="C94" s="443"/>
      <c r="D94" s="443"/>
      <c r="E94" s="443"/>
      <c r="F94" s="443"/>
      <c r="G94" s="242"/>
      <c r="H94" s="242"/>
      <c r="I94" s="242"/>
      <c r="J94" s="242"/>
      <c r="K94" s="13"/>
      <c r="L94" s="242"/>
      <c r="M94" s="242"/>
      <c r="N94" s="13"/>
      <c r="O94" s="242"/>
      <c r="P94" s="242"/>
      <c r="Q94" s="242"/>
      <c r="R94" s="242"/>
      <c r="S94" s="242"/>
      <c r="T94" s="242"/>
      <c r="U94" s="242"/>
      <c r="V94" s="242"/>
      <c r="W94" s="242"/>
      <c r="X94" s="242"/>
      <c r="Y94" s="242"/>
      <c r="Z94" s="242"/>
    </row>
    <row r="95">
      <c r="A95" s="242"/>
      <c r="B95" s="443"/>
      <c r="C95" s="443"/>
      <c r="D95" s="443"/>
      <c r="E95" s="443"/>
      <c r="F95" s="443"/>
      <c r="G95" s="242"/>
      <c r="H95" s="242"/>
      <c r="I95" s="242"/>
      <c r="J95" s="242"/>
      <c r="K95" s="13"/>
      <c r="L95" s="242"/>
      <c r="M95" s="242"/>
      <c r="N95" s="13"/>
      <c r="O95" s="242"/>
      <c r="P95" s="242"/>
      <c r="Q95" s="242"/>
      <c r="R95" s="242"/>
      <c r="S95" s="242"/>
      <c r="T95" s="242"/>
      <c r="U95" s="242"/>
      <c r="V95" s="242"/>
      <c r="W95" s="242"/>
      <c r="X95" s="242"/>
      <c r="Y95" s="242"/>
      <c r="Z95" s="242"/>
    </row>
    <row r="96">
      <c r="A96" s="242"/>
      <c r="B96" s="443"/>
      <c r="C96" s="443"/>
      <c r="D96" s="443"/>
      <c r="E96" s="443"/>
      <c r="F96" s="443"/>
      <c r="G96" s="242"/>
      <c r="H96" s="242"/>
      <c r="I96" s="242"/>
      <c r="J96" s="242"/>
      <c r="K96" s="13"/>
      <c r="L96" s="242"/>
      <c r="M96" s="242"/>
      <c r="N96" s="13"/>
      <c r="O96" s="242"/>
      <c r="P96" s="242"/>
      <c r="Q96" s="242"/>
      <c r="R96" s="242"/>
      <c r="S96" s="242"/>
      <c r="T96" s="242"/>
      <c r="U96" s="242"/>
      <c r="V96" s="242"/>
      <c r="W96" s="242"/>
      <c r="X96" s="242"/>
      <c r="Y96" s="242"/>
      <c r="Z96" s="242"/>
    </row>
    <row r="97">
      <c r="A97" s="242"/>
      <c r="B97" s="443"/>
      <c r="C97" s="443"/>
      <c r="D97" s="443"/>
      <c r="E97" s="443"/>
      <c r="F97" s="443"/>
      <c r="G97" s="242"/>
      <c r="H97" s="242"/>
      <c r="I97" s="242"/>
      <c r="J97" s="242"/>
      <c r="K97" s="13"/>
      <c r="L97" s="242"/>
      <c r="M97" s="242"/>
      <c r="N97" s="13"/>
      <c r="O97" s="242"/>
      <c r="P97" s="242"/>
      <c r="Q97" s="242"/>
      <c r="R97" s="242"/>
      <c r="S97" s="242"/>
      <c r="T97" s="242"/>
      <c r="U97" s="242"/>
      <c r="V97" s="242"/>
      <c r="W97" s="242"/>
      <c r="X97" s="242"/>
      <c r="Y97" s="242"/>
      <c r="Z97" s="242"/>
    </row>
    <row r="98">
      <c r="A98" s="242"/>
      <c r="B98" s="443"/>
      <c r="C98" s="443"/>
      <c r="D98" s="443"/>
      <c r="E98" s="443"/>
      <c r="F98" s="443"/>
      <c r="G98" s="242"/>
      <c r="H98" s="242"/>
      <c r="I98" s="242"/>
      <c r="J98" s="242"/>
      <c r="K98" s="13"/>
      <c r="L98" s="242"/>
      <c r="M98" s="242"/>
      <c r="N98" s="13"/>
      <c r="O98" s="242"/>
      <c r="P98" s="242"/>
      <c r="Q98" s="242"/>
      <c r="R98" s="242"/>
      <c r="S98" s="242"/>
      <c r="T98" s="242"/>
      <c r="U98" s="242"/>
      <c r="V98" s="242"/>
      <c r="W98" s="242"/>
      <c r="X98" s="242"/>
      <c r="Y98" s="242"/>
      <c r="Z98" s="242"/>
    </row>
    <row r="99">
      <c r="A99" s="242"/>
      <c r="B99" s="443"/>
      <c r="C99" s="443"/>
      <c r="D99" s="443"/>
      <c r="E99" s="443"/>
      <c r="F99" s="443"/>
      <c r="G99" s="242"/>
      <c r="H99" s="242"/>
      <c r="I99" s="242"/>
      <c r="J99" s="242"/>
      <c r="K99" s="13"/>
      <c r="L99" s="242"/>
      <c r="M99" s="242"/>
      <c r="N99" s="13"/>
      <c r="O99" s="242"/>
      <c r="P99" s="242"/>
      <c r="Q99" s="242"/>
      <c r="R99" s="242"/>
      <c r="S99" s="242"/>
      <c r="T99" s="242"/>
      <c r="U99" s="242"/>
      <c r="V99" s="242"/>
      <c r="W99" s="242"/>
      <c r="X99" s="242"/>
      <c r="Y99" s="242"/>
      <c r="Z99" s="242"/>
    </row>
    <row r="100">
      <c r="A100" s="242"/>
      <c r="B100" s="443"/>
      <c r="C100" s="443"/>
      <c r="D100" s="443"/>
      <c r="E100" s="443"/>
      <c r="F100" s="443"/>
      <c r="G100" s="242"/>
      <c r="H100" s="242"/>
      <c r="I100" s="242"/>
      <c r="J100" s="242"/>
      <c r="K100" s="13"/>
      <c r="L100" s="242"/>
      <c r="M100" s="242"/>
      <c r="N100" s="13"/>
      <c r="O100" s="242"/>
      <c r="P100" s="242"/>
      <c r="Q100" s="242"/>
      <c r="R100" s="242"/>
      <c r="S100" s="242"/>
      <c r="T100" s="242"/>
      <c r="U100" s="242"/>
      <c r="V100" s="242"/>
      <c r="W100" s="242"/>
      <c r="X100" s="242"/>
      <c r="Y100" s="242"/>
      <c r="Z100" s="242"/>
    </row>
    <row r="101">
      <c r="A101" s="242"/>
      <c r="B101" s="443"/>
      <c r="C101" s="443"/>
      <c r="D101" s="443"/>
      <c r="E101" s="443"/>
      <c r="F101" s="443"/>
      <c r="G101" s="242"/>
      <c r="H101" s="242"/>
      <c r="I101" s="242"/>
      <c r="J101" s="242"/>
      <c r="K101" s="13"/>
      <c r="L101" s="242"/>
      <c r="M101" s="242"/>
      <c r="N101" s="13"/>
      <c r="O101" s="242"/>
      <c r="P101" s="242"/>
      <c r="Q101" s="242"/>
      <c r="R101" s="242"/>
      <c r="S101" s="242"/>
      <c r="T101" s="242"/>
      <c r="U101" s="242"/>
      <c r="V101" s="242"/>
      <c r="W101" s="242"/>
      <c r="X101" s="242"/>
      <c r="Y101" s="242"/>
      <c r="Z101" s="242"/>
    </row>
    <row r="102">
      <c r="A102" s="242"/>
      <c r="B102" s="443"/>
      <c r="C102" s="443"/>
      <c r="D102" s="443"/>
      <c r="E102" s="443"/>
      <c r="F102" s="443"/>
      <c r="G102" s="242"/>
      <c r="H102" s="242"/>
      <c r="I102" s="242"/>
      <c r="J102" s="242"/>
      <c r="K102" s="13"/>
      <c r="L102" s="242"/>
      <c r="M102" s="242"/>
      <c r="N102" s="13"/>
      <c r="O102" s="242"/>
      <c r="P102" s="242"/>
      <c r="Q102" s="242"/>
      <c r="R102" s="242"/>
      <c r="S102" s="242"/>
      <c r="T102" s="242"/>
      <c r="U102" s="242"/>
      <c r="V102" s="242"/>
      <c r="W102" s="242"/>
      <c r="X102" s="242"/>
      <c r="Y102" s="242"/>
      <c r="Z102" s="242"/>
    </row>
    <row r="103">
      <c r="A103" s="242"/>
      <c r="B103" s="443"/>
      <c r="C103" s="443"/>
      <c r="D103" s="443"/>
      <c r="E103" s="443"/>
      <c r="F103" s="443"/>
      <c r="G103" s="242"/>
      <c r="H103" s="242"/>
      <c r="I103" s="242"/>
      <c r="J103" s="242"/>
      <c r="K103" s="13"/>
      <c r="L103" s="242"/>
      <c r="M103" s="242"/>
      <c r="N103" s="13"/>
      <c r="O103" s="242"/>
      <c r="P103" s="242"/>
      <c r="Q103" s="242"/>
      <c r="R103" s="242"/>
      <c r="S103" s="242"/>
      <c r="T103" s="242"/>
      <c r="U103" s="242"/>
      <c r="V103" s="242"/>
      <c r="W103" s="242"/>
      <c r="X103" s="242"/>
      <c r="Y103" s="242"/>
      <c r="Z103" s="242"/>
    </row>
    <row r="104">
      <c r="A104" s="242"/>
      <c r="B104" s="443"/>
      <c r="C104" s="443"/>
      <c r="D104" s="443"/>
      <c r="E104" s="443"/>
      <c r="F104" s="443"/>
      <c r="G104" s="242"/>
      <c r="H104" s="242"/>
      <c r="I104" s="242"/>
      <c r="J104" s="242"/>
      <c r="K104" s="13"/>
      <c r="L104" s="242"/>
      <c r="M104" s="242"/>
      <c r="N104" s="13"/>
      <c r="O104" s="242"/>
      <c r="P104" s="242"/>
      <c r="Q104" s="242"/>
      <c r="R104" s="242"/>
      <c r="S104" s="242"/>
      <c r="T104" s="242"/>
      <c r="U104" s="242"/>
      <c r="V104" s="242"/>
      <c r="W104" s="242"/>
      <c r="X104" s="242"/>
      <c r="Y104" s="242"/>
      <c r="Z104" s="242"/>
    </row>
    <row r="105">
      <c r="A105" s="242"/>
      <c r="B105" s="443"/>
      <c r="C105" s="443"/>
      <c r="D105" s="443"/>
      <c r="E105" s="443"/>
      <c r="F105" s="443"/>
      <c r="G105" s="242"/>
      <c r="H105" s="242"/>
      <c r="I105" s="242"/>
      <c r="J105" s="242"/>
      <c r="K105" s="13"/>
      <c r="L105" s="242"/>
      <c r="M105" s="242"/>
      <c r="N105" s="13"/>
      <c r="O105" s="242"/>
      <c r="P105" s="242"/>
      <c r="Q105" s="242"/>
      <c r="R105" s="242"/>
      <c r="S105" s="242"/>
      <c r="T105" s="242"/>
      <c r="U105" s="242"/>
      <c r="V105" s="242"/>
      <c r="W105" s="242"/>
      <c r="X105" s="242"/>
      <c r="Y105" s="242"/>
      <c r="Z105" s="242"/>
    </row>
    <row r="106">
      <c r="A106" s="242"/>
      <c r="B106" s="443"/>
      <c r="C106" s="443"/>
      <c r="D106" s="443"/>
      <c r="E106" s="443"/>
      <c r="F106" s="443"/>
      <c r="G106" s="242"/>
      <c r="H106" s="242"/>
      <c r="I106" s="242"/>
      <c r="J106" s="242"/>
      <c r="K106" s="13"/>
      <c r="L106" s="242"/>
      <c r="M106" s="242"/>
      <c r="N106" s="13"/>
      <c r="O106" s="242"/>
      <c r="P106" s="242"/>
      <c r="Q106" s="242"/>
      <c r="R106" s="242"/>
      <c r="S106" s="242"/>
      <c r="T106" s="242"/>
      <c r="U106" s="242"/>
      <c r="V106" s="242"/>
      <c r="W106" s="242"/>
      <c r="X106" s="242"/>
      <c r="Y106" s="242"/>
      <c r="Z106" s="242"/>
    </row>
    <row r="107">
      <c r="A107" s="242"/>
      <c r="B107" s="443"/>
      <c r="C107" s="443"/>
      <c r="D107" s="443"/>
      <c r="E107" s="443"/>
      <c r="F107" s="443"/>
      <c r="G107" s="242"/>
      <c r="H107" s="242"/>
      <c r="I107" s="242"/>
      <c r="J107" s="242"/>
      <c r="K107" s="13"/>
      <c r="L107" s="242"/>
      <c r="M107" s="242"/>
      <c r="N107" s="13"/>
      <c r="O107" s="242"/>
      <c r="P107" s="242"/>
      <c r="Q107" s="242"/>
      <c r="R107" s="242"/>
      <c r="S107" s="242"/>
      <c r="T107" s="242"/>
      <c r="U107" s="242"/>
      <c r="V107" s="242"/>
      <c r="W107" s="242"/>
      <c r="X107" s="242"/>
      <c r="Y107" s="242"/>
      <c r="Z107" s="242"/>
    </row>
    <row r="108">
      <c r="A108" s="242"/>
      <c r="B108" s="443"/>
      <c r="C108" s="443"/>
      <c r="D108" s="443"/>
      <c r="E108" s="443"/>
      <c r="F108" s="443"/>
      <c r="G108" s="242"/>
      <c r="H108" s="242"/>
      <c r="I108" s="242"/>
      <c r="J108" s="242"/>
      <c r="K108" s="13"/>
      <c r="L108" s="242"/>
      <c r="M108" s="242"/>
      <c r="N108" s="13"/>
      <c r="O108" s="242"/>
      <c r="P108" s="242"/>
      <c r="Q108" s="242"/>
      <c r="R108" s="242"/>
      <c r="S108" s="242"/>
      <c r="T108" s="242"/>
      <c r="U108" s="242"/>
      <c r="V108" s="242"/>
      <c r="W108" s="242"/>
      <c r="X108" s="242"/>
      <c r="Y108" s="242"/>
      <c r="Z108" s="242"/>
    </row>
    <row r="109">
      <c r="A109" s="242"/>
      <c r="B109" s="443"/>
      <c r="C109" s="443"/>
      <c r="D109" s="443"/>
      <c r="E109" s="443"/>
      <c r="F109" s="443"/>
      <c r="G109" s="242"/>
      <c r="H109" s="242"/>
      <c r="I109" s="242"/>
      <c r="J109" s="242"/>
      <c r="K109" s="13"/>
      <c r="L109" s="242"/>
      <c r="M109" s="242"/>
      <c r="N109" s="13"/>
      <c r="O109" s="242"/>
      <c r="P109" s="242"/>
      <c r="Q109" s="242"/>
      <c r="R109" s="242"/>
      <c r="S109" s="242"/>
      <c r="T109" s="242"/>
      <c r="U109" s="242"/>
      <c r="V109" s="242"/>
      <c r="W109" s="242"/>
      <c r="X109" s="242"/>
      <c r="Y109" s="242"/>
      <c r="Z109" s="242"/>
    </row>
    <row r="110">
      <c r="A110" s="242"/>
      <c r="B110" s="443"/>
      <c r="C110" s="443"/>
      <c r="D110" s="443"/>
      <c r="E110" s="443"/>
      <c r="F110" s="443"/>
      <c r="G110" s="242"/>
      <c r="H110" s="242"/>
      <c r="I110" s="242"/>
      <c r="J110" s="242"/>
      <c r="K110" s="13"/>
      <c r="L110" s="242"/>
      <c r="M110" s="242"/>
      <c r="N110" s="13"/>
      <c r="O110" s="242"/>
      <c r="P110" s="242"/>
      <c r="Q110" s="242"/>
      <c r="R110" s="242"/>
      <c r="S110" s="242"/>
      <c r="T110" s="242"/>
      <c r="U110" s="242"/>
      <c r="V110" s="242"/>
      <c r="W110" s="242"/>
      <c r="X110" s="242"/>
      <c r="Y110" s="242"/>
      <c r="Z110" s="242"/>
    </row>
    <row r="111">
      <c r="A111" s="242"/>
      <c r="B111" s="443"/>
      <c r="C111" s="443"/>
      <c r="D111" s="443"/>
      <c r="E111" s="443"/>
      <c r="F111" s="443"/>
      <c r="G111" s="242"/>
      <c r="H111" s="242"/>
      <c r="I111" s="242"/>
      <c r="J111" s="242"/>
      <c r="K111" s="13"/>
      <c r="L111" s="242"/>
      <c r="M111" s="242"/>
      <c r="N111" s="13"/>
      <c r="O111" s="242"/>
      <c r="P111" s="242"/>
      <c r="Q111" s="242"/>
      <c r="R111" s="242"/>
      <c r="S111" s="242"/>
      <c r="T111" s="242"/>
      <c r="U111" s="242"/>
      <c r="V111" s="242"/>
      <c r="W111" s="242"/>
      <c r="X111" s="242"/>
      <c r="Y111" s="242"/>
      <c r="Z111" s="242"/>
    </row>
    <row r="112">
      <c r="A112" s="242"/>
      <c r="B112" s="443"/>
      <c r="C112" s="443"/>
      <c r="D112" s="443"/>
      <c r="E112" s="443"/>
      <c r="F112" s="443"/>
      <c r="G112" s="242"/>
      <c r="H112" s="242"/>
      <c r="I112" s="242"/>
      <c r="J112" s="242"/>
      <c r="K112" s="13"/>
      <c r="L112" s="242"/>
      <c r="M112" s="242"/>
      <c r="N112" s="13"/>
      <c r="O112" s="242"/>
      <c r="P112" s="242"/>
      <c r="Q112" s="242"/>
      <c r="R112" s="242"/>
      <c r="S112" s="242"/>
      <c r="T112" s="242"/>
      <c r="U112" s="242"/>
      <c r="V112" s="242"/>
      <c r="W112" s="242"/>
      <c r="X112" s="242"/>
      <c r="Y112" s="242"/>
      <c r="Z112" s="242"/>
    </row>
    <row r="113">
      <c r="A113" s="242"/>
      <c r="B113" s="443"/>
      <c r="C113" s="443"/>
      <c r="D113" s="443"/>
      <c r="E113" s="443"/>
      <c r="F113" s="443"/>
      <c r="G113" s="242"/>
      <c r="H113" s="242"/>
      <c r="I113" s="242"/>
      <c r="J113" s="242"/>
      <c r="K113" s="13"/>
      <c r="L113" s="242"/>
      <c r="M113" s="242"/>
      <c r="N113" s="13"/>
      <c r="O113" s="242"/>
      <c r="P113" s="242"/>
      <c r="Q113" s="242"/>
      <c r="R113" s="242"/>
      <c r="S113" s="242"/>
      <c r="T113" s="242"/>
      <c r="U113" s="242"/>
      <c r="V113" s="242"/>
      <c r="W113" s="242"/>
      <c r="X113" s="242"/>
      <c r="Y113" s="242"/>
      <c r="Z113" s="242"/>
    </row>
    <row r="114">
      <c r="A114" s="242"/>
      <c r="B114" s="443"/>
      <c r="C114" s="443"/>
      <c r="D114" s="443"/>
      <c r="E114" s="443"/>
      <c r="F114" s="443"/>
      <c r="G114" s="242"/>
      <c r="H114" s="242"/>
      <c r="I114" s="242"/>
      <c r="J114" s="242"/>
      <c r="K114" s="13"/>
      <c r="L114" s="242"/>
      <c r="M114" s="242"/>
      <c r="N114" s="13"/>
      <c r="O114" s="242"/>
      <c r="P114" s="242"/>
      <c r="Q114" s="242"/>
      <c r="R114" s="242"/>
      <c r="S114" s="242"/>
      <c r="T114" s="242"/>
      <c r="U114" s="242"/>
      <c r="V114" s="242"/>
      <c r="W114" s="242"/>
      <c r="X114" s="242"/>
      <c r="Y114" s="242"/>
      <c r="Z114" s="242"/>
    </row>
    <row r="115">
      <c r="A115" s="242"/>
      <c r="B115" s="443"/>
      <c r="C115" s="443"/>
      <c r="D115" s="443"/>
      <c r="E115" s="443"/>
      <c r="F115" s="443"/>
      <c r="G115" s="242"/>
      <c r="H115" s="242"/>
      <c r="I115" s="242"/>
      <c r="J115" s="242"/>
      <c r="K115" s="13"/>
      <c r="L115" s="242"/>
      <c r="M115" s="242"/>
      <c r="N115" s="13"/>
      <c r="O115" s="242"/>
      <c r="P115" s="242"/>
      <c r="Q115" s="242"/>
      <c r="R115" s="242"/>
      <c r="S115" s="242"/>
      <c r="T115" s="242"/>
      <c r="U115" s="242"/>
      <c r="V115" s="242"/>
      <c r="W115" s="242"/>
      <c r="X115" s="242"/>
      <c r="Y115" s="242"/>
      <c r="Z115" s="242"/>
    </row>
    <row r="116">
      <c r="A116" s="242"/>
      <c r="B116" s="443"/>
      <c r="C116" s="443"/>
      <c r="D116" s="443"/>
      <c r="E116" s="443"/>
      <c r="F116" s="443"/>
      <c r="G116" s="242"/>
      <c r="H116" s="242"/>
      <c r="I116" s="242"/>
      <c r="J116" s="242"/>
      <c r="K116" s="13"/>
      <c r="L116" s="242"/>
      <c r="M116" s="242"/>
      <c r="N116" s="13"/>
      <c r="O116" s="242"/>
      <c r="P116" s="242"/>
      <c r="Q116" s="242"/>
      <c r="R116" s="242"/>
      <c r="S116" s="242"/>
      <c r="T116" s="242"/>
      <c r="U116" s="242"/>
      <c r="V116" s="242"/>
      <c r="W116" s="242"/>
      <c r="X116" s="242"/>
      <c r="Y116" s="242"/>
      <c r="Z116" s="242"/>
    </row>
    <row r="117">
      <c r="A117" s="242"/>
      <c r="B117" s="443"/>
      <c r="C117" s="443"/>
      <c r="D117" s="443"/>
      <c r="E117" s="443"/>
      <c r="F117" s="443"/>
      <c r="G117" s="242"/>
      <c r="H117" s="242"/>
      <c r="I117" s="242"/>
      <c r="J117" s="242"/>
      <c r="K117" s="13"/>
      <c r="L117" s="242"/>
      <c r="M117" s="242"/>
      <c r="N117" s="13"/>
      <c r="O117" s="242"/>
      <c r="P117" s="242"/>
      <c r="Q117" s="242"/>
      <c r="R117" s="242"/>
      <c r="S117" s="242"/>
      <c r="T117" s="242"/>
      <c r="U117" s="242"/>
      <c r="V117" s="242"/>
      <c r="W117" s="242"/>
      <c r="X117" s="242"/>
      <c r="Y117" s="242"/>
      <c r="Z117" s="242"/>
    </row>
    <row r="118">
      <c r="A118" s="242"/>
      <c r="B118" s="443"/>
      <c r="C118" s="443"/>
      <c r="D118" s="443"/>
      <c r="E118" s="443"/>
      <c r="F118" s="443"/>
      <c r="G118" s="242"/>
      <c r="H118" s="242"/>
      <c r="I118" s="242"/>
      <c r="J118" s="242"/>
      <c r="K118" s="13"/>
      <c r="L118" s="242"/>
      <c r="M118" s="242"/>
      <c r="N118" s="13"/>
      <c r="O118" s="242"/>
      <c r="P118" s="242"/>
      <c r="Q118" s="242"/>
      <c r="R118" s="242"/>
      <c r="S118" s="242"/>
      <c r="T118" s="242"/>
      <c r="U118" s="242"/>
      <c r="V118" s="242"/>
      <c r="W118" s="242"/>
      <c r="X118" s="242"/>
      <c r="Y118" s="242"/>
      <c r="Z118" s="242"/>
    </row>
    <row r="119">
      <c r="A119" s="242"/>
      <c r="B119" s="443"/>
      <c r="C119" s="443"/>
      <c r="D119" s="443"/>
      <c r="E119" s="443"/>
      <c r="F119" s="443"/>
      <c r="G119" s="242"/>
      <c r="H119" s="242"/>
      <c r="I119" s="242"/>
      <c r="J119" s="242"/>
      <c r="K119" s="13"/>
      <c r="L119" s="242"/>
      <c r="M119" s="242"/>
      <c r="N119" s="13"/>
      <c r="O119" s="242"/>
      <c r="P119" s="242"/>
      <c r="Q119" s="242"/>
      <c r="R119" s="242"/>
      <c r="S119" s="242"/>
      <c r="T119" s="242"/>
      <c r="U119" s="242"/>
      <c r="V119" s="242"/>
      <c r="W119" s="242"/>
      <c r="X119" s="242"/>
      <c r="Y119" s="242"/>
      <c r="Z119" s="242"/>
    </row>
    <row r="120">
      <c r="A120" s="242"/>
      <c r="B120" s="443"/>
      <c r="C120" s="443"/>
      <c r="D120" s="443"/>
      <c r="E120" s="443"/>
      <c r="F120" s="443"/>
      <c r="G120" s="242"/>
      <c r="H120" s="242"/>
      <c r="I120" s="242"/>
      <c r="J120" s="242"/>
      <c r="K120" s="13"/>
      <c r="L120" s="242"/>
      <c r="M120" s="242"/>
      <c r="N120" s="13"/>
      <c r="O120" s="242"/>
      <c r="P120" s="242"/>
      <c r="Q120" s="242"/>
      <c r="R120" s="242"/>
      <c r="S120" s="242"/>
      <c r="T120" s="242"/>
      <c r="U120" s="242"/>
      <c r="V120" s="242"/>
      <c r="W120" s="242"/>
      <c r="X120" s="242"/>
      <c r="Y120" s="242"/>
      <c r="Z120" s="242"/>
    </row>
    <row r="121">
      <c r="A121" s="242"/>
      <c r="B121" s="443"/>
      <c r="C121" s="443"/>
      <c r="D121" s="443"/>
      <c r="E121" s="443"/>
      <c r="F121" s="443"/>
      <c r="G121" s="242"/>
      <c r="H121" s="242"/>
      <c r="I121" s="242"/>
      <c r="J121" s="242"/>
      <c r="K121" s="13"/>
      <c r="L121" s="242"/>
      <c r="M121" s="242"/>
      <c r="N121" s="13"/>
      <c r="O121" s="242"/>
      <c r="P121" s="242"/>
      <c r="Q121" s="242"/>
      <c r="R121" s="242"/>
      <c r="S121" s="242"/>
      <c r="T121" s="242"/>
      <c r="U121" s="242"/>
      <c r="V121" s="242"/>
      <c r="W121" s="242"/>
      <c r="X121" s="242"/>
      <c r="Y121" s="242"/>
      <c r="Z121" s="242"/>
    </row>
    <row r="122">
      <c r="A122" s="242"/>
      <c r="B122" s="443"/>
      <c r="C122" s="443"/>
      <c r="D122" s="443"/>
      <c r="E122" s="443"/>
      <c r="F122" s="443"/>
      <c r="G122" s="242"/>
      <c r="H122" s="242"/>
      <c r="I122" s="242"/>
      <c r="J122" s="242"/>
      <c r="K122" s="13"/>
      <c r="L122" s="242"/>
      <c r="M122" s="242"/>
      <c r="N122" s="13"/>
      <c r="O122" s="242"/>
      <c r="P122" s="242"/>
      <c r="Q122" s="242"/>
      <c r="R122" s="242"/>
      <c r="S122" s="242"/>
      <c r="T122" s="242"/>
      <c r="U122" s="242"/>
      <c r="V122" s="242"/>
      <c r="W122" s="242"/>
      <c r="X122" s="242"/>
      <c r="Y122" s="242"/>
      <c r="Z122" s="242"/>
    </row>
    <row r="123">
      <c r="A123" s="242"/>
      <c r="B123" s="443"/>
      <c r="C123" s="443"/>
      <c r="D123" s="443"/>
      <c r="E123" s="443"/>
      <c r="F123" s="443"/>
      <c r="G123" s="242"/>
      <c r="H123" s="242"/>
      <c r="I123" s="242"/>
      <c r="J123" s="242"/>
      <c r="K123" s="13"/>
      <c r="L123" s="242"/>
      <c r="M123" s="242"/>
      <c r="N123" s="13"/>
      <c r="O123" s="242"/>
      <c r="P123" s="242"/>
      <c r="Q123" s="242"/>
      <c r="R123" s="242"/>
      <c r="S123" s="242"/>
      <c r="T123" s="242"/>
      <c r="U123" s="242"/>
      <c r="V123" s="242"/>
      <c r="W123" s="242"/>
      <c r="X123" s="242"/>
      <c r="Y123" s="242"/>
      <c r="Z123" s="242"/>
    </row>
    <row r="124">
      <c r="A124" s="242"/>
      <c r="B124" s="443"/>
      <c r="C124" s="443"/>
      <c r="D124" s="443"/>
      <c r="E124" s="443"/>
      <c r="F124" s="443"/>
      <c r="G124" s="242"/>
      <c r="H124" s="242"/>
      <c r="I124" s="242"/>
      <c r="J124" s="242"/>
      <c r="K124" s="13"/>
      <c r="L124" s="242"/>
      <c r="M124" s="242"/>
      <c r="N124" s="13"/>
      <c r="O124" s="242"/>
      <c r="P124" s="242"/>
      <c r="Q124" s="242"/>
      <c r="R124" s="242"/>
      <c r="S124" s="242"/>
      <c r="T124" s="242"/>
      <c r="U124" s="242"/>
      <c r="V124" s="242"/>
      <c r="W124" s="242"/>
      <c r="X124" s="242"/>
      <c r="Y124" s="242"/>
      <c r="Z124" s="242"/>
    </row>
    <row r="125">
      <c r="A125" s="242"/>
      <c r="B125" s="443"/>
      <c r="C125" s="443"/>
      <c r="D125" s="443"/>
      <c r="E125" s="443"/>
      <c r="F125" s="443"/>
      <c r="G125" s="242"/>
      <c r="H125" s="242"/>
      <c r="I125" s="242"/>
      <c r="J125" s="242"/>
      <c r="K125" s="13"/>
      <c r="L125" s="242"/>
      <c r="M125" s="242"/>
      <c r="N125" s="13"/>
      <c r="O125" s="242"/>
      <c r="P125" s="242"/>
      <c r="Q125" s="242"/>
      <c r="R125" s="242"/>
      <c r="S125" s="242"/>
      <c r="T125" s="242"/>
      <c r="U125" s="242"/>
      <c r="V125" s="242"/>
      <c r="W125" s="242"/>
      <c r="X125" s="242"/>
      <c r="Y125" s="242"/>
      <c r="Z125" s="242"/>
    </row>
    <row r="126">
      <c r="A126" s="242"/>
      <c r="B126" s="443"/>
      <c r="C126" s="443"/>
      <c r="D126" s="443"/>
      <c r="E126" s="443"/>
      <c r="F126" s="443"/>
      <c r="G126" s="242"/>
      <c r="H126" s="242"/>
      <c r="I126" s="242"/>
      <c r="J126" s="242"/>
      <c r="K126" s="13"/>
      <c r="L126" s="242"/>
      <c r="M126" s="242"/>
      <c r="N126" s="13"/>
      <c r="O126" s="242"/>
      <c r="P126" s="242"/>
      <c r="Q126" s="242"/>
      <c r="R126" s="242"/>
      <c r="S126" s="242"/>
      <c r="T126" s="242"/>
      <c r="U126" s="242"/>
      <c r="V126" s="242"/>
      <c r="W126" s="242"/>
      <c r="X126" s="242"/>
      <c r="Y126" s="242"/>
      <c r="Z126" s="242"/>
    </row>
    <row r="127">
      <c r="A127" s="242"/>
      <c r="B127" s="443"/>
      <c r="C127" s="443"/>
      <c r="D127" s="443"/>
      <c r="E127" s="443"/>
      <c r="F127" s="443"/>
      <c r="G127" s="242"/>
      <c r="H127" s="242"/>
      <c r="I127" s="242"/>
      <c r="J127" s="242"/>
      <c r="K127" s="13"/>
      <c r="L127" s="242"/>
      <c r="M127" s="242"/>
      <c r="N127" s="13"/>
      <c r="O127" s="242"/>
      <c r="P127" s="242"/>
      <c r="Q127" s="242"/>
      <c r="R127" s="242"/>
      <c r="S127" s="242"/>
      <c r="T127" s="242"/>
      <c r="U127" s="242"/>
      <c r="V127" s="242"/>
      <c r="W127" s="242"/>
      <c r="X127" s="242"/>
      <c r="Y127" s="242"/>
      <c r="Z127" s="242"/>
    </row>
    <row r="128">
      <c r="A128" s="242"/>
      <c r="B128" s="443"/>
      <c r="C128" s="443"/>
      <c r="D128" s="443"/>
      <c r="E128" s="443"/>
      <c r="F128" s="443"/>
      <c r="G128" s="242"/>
      <c r="H128" s="242"/>
      <c r="I128" s="242"/>
      <c r="J128" s="242"/>
      <c r="K128" s="13"/>
      <c r="L128" s="242"/>
      <c r="M128" s="242"/>
      <c r="N128" s="13"/>
      <c r="O128" s="242"/>
      <c r="P128" s="242"/>
      <c r="Q128" s="242"/>
      <c r="R128" s="242"/>
      <c r="S128" s="242"/>
      <c r="T128" s="242"/>
      <c r="U128" s="242"/>
      <c r="V128" s="242"/>
      <c r="W128" s="242"/>
      <c r="X128" s="242"/>
      <c r="Y128" s="242"/>
      <c r="Z128" s="242"/>
    </row>
    <row r="129">
      <c r="A129" s="242"/>
      <c r="B129" s="443"/>
      <c r="C129" s="443"/>
      <c r="D129" s="443"/>
      <c r="E129" s="443"/>
      <c r="F129" s="443"/>
      <c r="G129" s="242"/>
      <c r="H129" s="242"/>
      <c r="I129" s="242"/>
      <c r="J129" s="242"/>
      <c r="K129" s="13"/>
      <c r="L129" s="242"/>
      <c r="M129" s="242"/>
      <c r="N129" s="13"/>
      <c r="O129" s="242"/>
      <c r="P129" s="242"/>
      <c r="Q129" s="242"/>
      <c r="R129" s="242"/>
      <c r="S129" s="242"/>
      <c r="T129" s="242"/>
      <c r="U129" s="242"/>
      <c r="V129" s="242"/>
      <c r="W129" s="242"/>
      <c r="X129" s="242"/>
      <c r="Y129" s="242"/>
      <c r="Z129" s="242"/>
    </row>
    <row r="130">
      <c r="A130" s="242"/>
      <c r="B130" s="443"/>
      <c r="C130" s="443"/>
      <c r="D130" s="443"/>
      <c r="E130" s="443"/>
      <c r="F130" s="443"/>
      <c r="G130" s="242"/>
      <c r="H130" s="242"/>
      <c r="I130" s="242"/>
      <c r="J130" s="242"/>
      <c r="K130" s="13"/>
      <c r="L130" s="242"/>
      <c r="M130" s="242"/>
      <c r="N130" s="13"/>
      <c r="O130" s="242"/>
      <c r="P130" s="242"/>
      <c r="Q130" s="242"/>
      <c r="R130" s="242"/>
      <c r="S130" s="242"/>
      <c r="T130" s="242"/>
      <c r="U130" s="242"/>
      <c r="V130" s="242"/>
      <c r="W130" s="242"/>
      <c r="X130" s="242"/>
      <c r="Y130" s="242"/>
      <c r="Z130" s="242"/>
    </row>
    <row r="131">
      <c r="A131" s="242"/>
      <c r="B131" s="443"/>
      <c r="C131" s="443"/>
      <c r="D131" s="443"/>
      <c r="E131" s="443"/>
      <c r="F131" s="443"/>
      <c r="G131" s="242"/>
      <c r="H131" s="242"/>
      <c r="I131" s="242"/>
      <c r="J131" s="242"/>
      <c r="K131" s="13"/>
      <c r="L131" s="242"/>
      <c r="M131" s="242"/>
      <c r="N131" s="13"/>
      <c r="O131" s="242"/>
      <c r="P131" s="242"/>
      <c r="Q131" s="242"/>
      <c r="R131" s="242"/>
      <c r="S131" s="242"/>
      <c r="T131" s="242"/>
      <c r="U131" s="242"/>
      <c r="V131" s="242"/>
      <c r="W131" s="242"/>
      <c r="X131" s="242"/>
      <c r="Y131" s="242"/>
      <c r="Z131" s="242"/>
    </row>
    <row r="132">
      <c r="A132" s="242"/>
      <c r="B132" s="443"/>
      <c r="C132" s="443"/>
      <c r="D132" s="443"/>
      <c r="E132" s="443"/>
      <c r="F132" s="443"/>
      <c r="G132" s="242"/>
      <c r="H132" s="242"/>
      <c r="I132" s="242"/>
      <c r="J132" s="242"/>
      <c r="K132" s="13"/>
      <c r="L132" s="242"/>
      <c r="M132" s="242"/>
      <c r="N132" s="13"/>
      <c r="O132" s="242"/>
      <c r="P132" s="242"/>
      <c r="Q132" s="242"/>
      <c r="R132" s="242"/>
      <c r="S132" s="242"/>
      <c r="T132" s="242"/>
      <c r="U132" s="242"/>
      <c r="V132" s="242"/>
      <c r="W132" s="242"/>
      <c r="X132" s="242"/>
      <c r="Y132" s="242"/>
      <c r="Z132" s="242"/>
    </row>
    <row r="133">
      <c r="A133" s="242"/>
      <c r="B133" s="443"/>
      <c r="C133" s="443"/>
      <c r="D133" s="443"/>
      <c r="E133" s="443"/>
      <c r="F133" s="443"/>
      <c r="G133" s="242"/>
      <c r="H133" s="242"/>
      <c r="I133" s="242"/>
      <c r="J133" s="242"/>
      <c r="K133" s="13"/>
      <c r="L133" s="242"/>
      <c r="M133" s="242"/>
      <c r="N133" s="13"/>
      <c r="O133" s="242"/>
      <c r="P133" s="242"/>
      <c r="Q133" s="242"/>
      <c r="R133" s="242"/>
      <c r="S133" s="242"/>
      <c r="T133" s="242"/>
      <c r="U133" s="242"/>
      <c r="V133" s="242"/>
      <c r="W133" s="242"/>
      <c r="X133" s="242"/>
      <c r="Y133" s="242"/>
      <c r="Z133" s="242"/>
    </row>
    <row r="134">
      <c r="A134" s="242"/>
      <c r="B134" s="443"/>
      <c r="C134" s="443"/>
      <c r="D134" s="443"/>
      <c r="E134" s="443"/>
      <c r="F134" s="443"/>
      <c r="G134" s="242"/>
      <c r="H134" s="242"/>
      <c r="I134" s="242"/>
      <c r="J134" s="242"/>
      <c r="K134" s="13"/>
      <c r="L134" s="242"/>
      <c r="M134" s="242"/>
      <c r="N134" s="13"/>
      <c r="O134" s="242"/>
      <c r="P134" s="242"/>
      <c r="Q134" s="242"/>
      <c r="R134" s="242"/>
      <c r="S134" s="242"/>
      <c r="T134" s="242"/>
      <c r="U134" s="242"/>
      <c r="V134" s="242"/>
      <c r="W134" s="242"/>
      <c r="X134" s="242"/>
      <c r="Y134" s="242"/>
      <c r="Z134" s="242"/>
    </row>
    <row r="135">
      <c r="A135" s="242"/>
      <c r="B135" s="443"/>
      <c r="C135" s="443"/>
      <c r="D135" s="443"/>
      <c r="E135" s="443"/>
      <c r="F135" s="443"/>
      <c r="G135" s="242"/>
      <c r="H135" s="242"/>
      <c r="I135" s="242"/>
      <c r="J135" s="242"/>
      <c r="K135" s="13"/>
      <c r="L135" s="242"/>
      <c r="M135" s="242"/>
      <c r="N135" s="13"/>
      <c r="O135" s="242"/>
      <c r="P135" s="242"/>
      <c r="Q135" s="242"/>
      <c r="R135" s="242"/>
      <c r="S135" s="242"/>
      <c r="T135" s="242"/>
      <c r="U135" s="242"/>
      <c r="V135" s="242"/>
      <c r="W135" s="242"/>
      <c r="X135" s="242"/>
      <c r="Y135" s="242"/>
      <c r="Z135" s="242"/>
    </row>
    <row r="136">
      <c r="A136" s="242"/>
      <c r="B136" s="443"/>
      <c r="C136" s="443"/>
      <c r="D136" s="443"/>
      <c r="E136" s="443"/>
      <c r="F136" s="443"/>
      <c r="G136" s="242"/>
      <c r="H136" s="242"/>
      <c r="I136" s="242"/>
      <c r="J136" s="242"/>
      <c r="K136" s="13"/>
      <c r="L136" s="242"/>
      <c r="M136" s="242"/>
      <c r="N136" s="13"/>
      <c r="O136" s="242"/>
      <c r="P136" s="242"/>
      <c r="Q136" s="242"/>
      <c r="R136" s="242"/>
      <c r="S136" s="242"/>
      <c r="T136" s="242"/>
      <c r="U136" s="242"/>
      <c r="V136" s="242"/>
      <c r="W136" s="242"/>
      <c r="X136" s="242"/>
      <c r="Y136" s="242"/>
      <c r="Z136" s="242"/>
    </row>
    <row r="137">
      <c r="A137" s="242"/>
      <c r="B137" s="443"/>
      <c r="C137" s="443"/>
      <c r="D137" s="443"/>
      <c r="E137" s="443"/>
      <c r="F137" s="443"/>
      <c r="G137" s="242"/>
      <c r="H137" s="242"/>
      <c r="I137" s="242"/>
      <c r="J137" s="242"/>
      <c r="K137" s="13"/>
      <c r="L137" s="242"/>
      <c r="M137" s="242"/>
      <c r="N137" s="13"/>
      <c r="O137" s="242"/>
      <c r="P137" s="242"/>
      <c r="Q137" s="242"/>
      <c r="R137" s="242"/>
      <c r="S137" s="242"/>
      <c r="T137" s="242"/>
      <c r="U137" s="242"/>
      <c r="V137" s="242"/>
      <c r="W137" s="242"/>
      <c r="X137" s="242"/>
      <c r="Y137" s="242"/>
      <c r="Z137" s="242"/>
    </row>
    <row r="138">
      <c r="A138" s="242"/>
      <c r="B138" s="443"/>
      <c r="C138" s="443"/>
      <c r="D138" s="443"/>
      <c r="E138" s="443"/>
      <c r="F138" s="443"/>
      <c r="G138" s="242"/>
      <c r="H138" s="242"/>
      <c r="I138" s="242"/>
      <c r="J138" s="242"/>
      <c r="K138" s="13"/>
      <c r="L138" s="242"/>
      <c r="M138" s="242"/>
      <c r="N138" s="13"/>
      <c r="O138" s="242"/>
      <c r="P138" s="242"/>
      <c r="Q138" s="242"/>
      <c r="R138" s="242"/>
      <c r="S138" s="242"/>
      <c r="T138" s="242"/>
      <c r="U138" s="242"/>
      <c r="V138" s="242"/>
      <c r="W138" s="242"/>
      <c r="X138" s="242"/>
      <c r="Y138" s="242"/>
      <c r="Z138" s="242"/>
    </row>
    <row r="139">
      <c r="A139" s="242"/>
      <c r="B139" s="443"/>
      <c r="C139" s="443"/>
      <c r="D139" s="443"/>
      <c r="E139" s="443"/>
      <c r="F139" s="443"/>
      <c r="G139" s="242"/>
      <c r="H139" s="242"/>
      <c r="I139" s="242"/>
      <c r="J139" s="242"/>
      <c r="K139" s="13"/>
      <c r="L139" s="242"/>
      <c r="M139" s="242"/>
      <c r="N139" s="13"/>
      <c r="O139" s="242"/>
      <c r="P139" s="242"/>
      <c r="Q139" s="242"/>
      <c r="R139" s="242"/>
      <c r="S139" s="242"/>
      <c r="T139" s="242"/>
      <c r="U139" s="242"/>
      <c r="V139" s="242"/>
      <c r="W139" s="242"/>
      <c r="X139" s="242"/>
      <c r="Y139" s="242"/>
      <c r="Z139" s="242"/>
    </row>
    <row r="140">
      <c r="A140" s="242"/>
      <c r="B140" s="443"/>
      <c r="C140" s="443"/>
      <c r="D140" s="443"/>
      <c r="E140" s="443"/>
      <c r="F140" s="443"/>
      <c r="G140" s="242"/>
      <c r="H140" s="242"/>
      <c r="I140" s="242"/>
      <c r="J140" s="242"/>
      <c r="K140" s="13"/>
      <c r="L140" s="242"/>
      <c r="M140" s="242"/>
      <c r="N140" s="13"/>
      <c r="O140" s="242"/>
      <c r="P140" s="242"/>
      <c r="Q140" s="242"/>
      <c r="R140" s="242"/>
      <c r="S140" s="242"/>
      <c r="T140" s="242"/>
      <c r="U140" s="242"/>
      <c r="V140" s="242"/>
      <c r="W140" s="242"/>
      <c r="X140" s="242"/>
      <c r="Y140" s="242"/>
      <c r="Z140" s="242"/>
    </row>
    <row r="141">
      <c r="A141" s="242"/>
      <c r="B141" s="443"/>
      <c r="C141" s="443"/>
      <c r="D141" s="443"/>
      <c r="E141" s="443"/>
      <c r="F141" s="443"/>
      <c r="G141" s="242"/>
      <c r="H141" s="242"/>
      <c r="I141" s="242"/>
      <c r="J141" s="242"/>
      <c r="K141" s="13"/>
      <c r="L141" s="242"/>
      <c r="M141" s="242"/>
      <c r="N141" s="13"/>
      <c r="O141" s="242"/>
      <c r="P141" s="242"/>
      <c r="Q141" s="242"/>
      <c r="R141" s="242"/>
      <c r="S141" s="242"/>
      <c r="T141" s="242"/>
      <c r="U141" s="242"/>
      <c r="V141" s="242"/>
      <c r="W141" s="242"/>
      <c r="X141" s="242"/>
      <c r="Y141" s="242"/>
      <c r="Z141" s="242"/>
    </row>
    <row r="142">
      <c r="A142" s="242"/>
      <c r="B142" s="443"/>
      <c r="C142" s="443"/>
      <c r="D142" s="443"/>
      <c r="E142" s="443"/>
      <c r="F142" s="443"/>
      <c r="G142" s="242"/>
      <c r="H142" s="242"/>
      <c r="I142" s="242"/>
      <c r="J142" s="242"/>
      <c r="K142" s="13"/>
      <c r="L142" s="242"/>
      <c r="M142" s="242"/>
      <c r="N142" s="13"/>
      <c r="O142" s="242"/>
      <c r="P142" s="242"/>
      <c r="Q142" s="242"/>
      <c r="R142" s="242"/>
      <c r="S142" s="242"/>
      <c r="T142" s="242"/>
      <c r="U142" s="242"/>
      <c r="V142" s="242"/>
      <c r="W142" s="242"/>
      <c r="X142" s="242"/>
      <c r="Y142" s="242"/>
      <c r="Z142" s="242"/>
    </row>
    <row r="143">
      <c r="A143" s="242"/>
      <c r="B143" s="443"/>
      <c r="C143" s="443"/>
      <c r="D143" s="443"/>
      <c r="E143" s="443"/>
      <c r="F143" s="443"/>
      <c r="G143" s="242"/>
      <c r="H143" s="242"/>
      <c r="I143" s="242"/>
      <c r="J143" s="242"/>
      <c r="K143" s="13"/>
      <c r="L143" s="242"/>
      <c r="M143" s="242"/>
      <c r="N143" s="13"/>
      <c r="O143" s="242"/>
      <c r="P143" s="242"/>
      <c r="Q143" s="242"/>
      <c r="R143" s="242"/>
      <c r="S143" s="242"/>
      <c r="T143" s="242"/>
      <c r="U143" s="242"/>
      <c r="V143" s="242"/>
      <c r="W143" s="242"/>
      <c r="X143" s="242"/>
      <c r="Y143" s="242"/>
      <c r="Z143" s="242"/>
    </row>
    <row r="144">
      <c r="A144" s="242"/>
      <c r="B144" s="443"/>
      <c r="C144" s="443"/>
      <c r="D144" s="443"/>
      <c r="E144" s="443"/>
      <c r="F144" s="443"/>
      <c r="G144" s="242"/>
      <c r="H144" s="242"/>
      <c r="I144" s="242"/>
      <c r="J144" s="242"/>
      <c r="K144" s="13"/>
      <c r="L144" s="242"/>
      <c r="M144" s="242"/>
      <c r="N144" s="13"/>
      <c r="O144" s="242"/>
      <c r="P144" s="242"/>
      <c r="Q144" s="242"/>
      <c r="R144" s="242"/>
      <c r="S144" s="242"/>
      <c r="T144" s="242"/>
      <c r="U144" s="242"/>
      <c r="V144" s="242"/>
      <c r="W144" s="242"/>
      <c r="X144" s="242"/>
      <c r="Y144" s="242"/>
      <c r="Z144" s="242"/>
    </row>
    <row r="145">
      <c r="A145" s="242"/>
      <c r="B145" s="443"/>
      <c r="C145" s="443"/>
      <c r="D145" s="443"/>
      <c r="E145" s="443"/>
      <c r="F145" s="443"/>
      <c r="G145" s="242"/>
      <c r="H145" s="242"/>
      <c r="I145" s="242"/>
      <c r="J145" s="242"/>
      <c r="K145" s="13"/>
      <c r="L145" s="242"/>
      <c r="M145" s="242"/>
      <c r="N145" s="13"/>
      <c r="O145" s="242"/>
      <c r="P145" s="242"/>
      <c r="Q145" s="242"/>
      <c r="R145" s="242"/>
      <c r="S145" s="242"/>
      <c r="T145" s="242"/>
      <c r="U145" s="242"/>
      <c r="V145" s="242"/>
      <c r="W145" s="242"/>
      <c r="X145" s="242"/>
      <c r="Y145" s="242"/>
      <c r="Z145" s="242"/>
    </row>
    <row r="146">
      <c r="A146" s="242"/>
      <c r="B146" s="443"/>
      <c r="C146" s="443"/>
      <c r="D146" s="443"/>
      <c r="E146" s="443"/>
      <c r="F146" s="443"/>
      <c r="G146" s="242"/>
      <c r="H146" s="242"/>
      <c r="I146" s="242"/>
      <c r="J146" s="242"/>
      <c r="K146" s="13"/>
      <c r="L146" s="242"/>
      <c r="M146" s="242"/>
      <c r="N146" s="13"/>
      <c r="O146" s="242"/>
      <c r="P146" s="242"/>
      <c r="Q146" s="242"/>
      <c r="R146" s="242"/>
      <c r="S146" s="242"/>
      <c r="T146" s="242"/>
      <c r="U146" s="242"/>
      <c r="V146" s="242"/>
      <c r="W146" s="242"/>
      <c r="X146" s="242"/>
      <c r="Y146" s="242"/>
      <c r="Z146" s="242"/>
    </row>
    <row r="147">
      <c r="A147" s="242"/>
      <c r="B147" s="443"/>
      <c r="C147" s="443"/>
      <c r="D147" s="443"/>
      <c r="E147" s="443"/>
      <c r="F147" s="443"/>
      <c r="G147" s="242"/>
      <c r="H147" s="242"/>
      <c r="I147" s="242"/>
      <c r="J147" s="242"/>
      <c r="K147" s="13"/>
      <c r="L147" s="242"/>
      <c r="M147" s="242"/>
      <c r="N147" s="13"/>
      <c r="O147" s="242"/>
      <c r="P147" s="242"/>
      <c r="Q147" s="242"/>
      <c r="R147" s="242"/>
      <c r="S147" s="242"/>
      <c r="T147" s="242"/>
      <c r="U147" s="242"/>
      <c r="V147" s="242"/>
      <c r="W147" s="242"/>
      <c r="X147" s="242"/>
      <c r="Y147" s="242"/>
      <c r="Z147" s="242"/>
    </row>
    <row r="148">
      <c r="A148" s="242"/>
      <c r="B148" s="443"/>
      <c r="C148" s="443"/>
      <c r="D148" s="443"/>
      <c r="E148" s="443"/>
      <c r="F148" s="443"/>
      <c r="G148" s="242"/>
      <c r="H148" s="242"/>
      <c r="I148" s="242"/>
      <c r="J148" s="242"/>
      <c r="K148" s="13"/>
      <c r="L148" s="242"/>
      <c r="M148" s="242"/>
      <c r="N148" s="13"/>
      <c r="O148" s="242"/>
      <c r="P148" s="242"/>
      <c r="Q148" s="242"/>
      <c r="R148" s="242"/>
      <c r="S148" s="242"/>
      <c r="T148" s="242"/>
      <c r="U148" s="242"/>
      <c r="V148" s="242"/>
      <c r="W148" s="242"/>
      <c r="X148" s="242"/>
      <c r="Y148" s="242"/>
      <c r="Z148" s="242"/>
    </row>
    <row r="149">
      <c r="A149" s="242"/>
      <c r="B149" s="443"/>
      <c r="C149" s="443"/>
      <c r="D149" s="443"/>
      <c r="E149" s="443"/>
      <c r="F149" s="443"/>
      <c r="G149" s="242"/>
      <c r="H149" s="242"/>
      <c r="I149" s="242"/>
      <c r="J149" s="242"/>
      <c r="K149" s="13"/>
      <c r="L149" s="242"/>
      <c r="M149" s="242"/>
      <c r="N149" s="13"/>
      <c r="O149" s="242"/>
      <c r="P149" s="242"/>
      <c r="Q149" s="242"/>
      <c r="R149" s="242"/>
      <c r="S149" s="242"/>
      <c r="T149" s="242"/>
      <c r="U149" s="242"/>
      <c r="V149" s="242"/>
      <c r="W149" s="242"/>
      <c r="X149" s="242"/>
      <c r="Y149" s="242"/>
      <c r="Z149" s="242"/>
    </row>
    <row r="150">
      <c r="A150" s="242"/>
      <c r="B150" s="443"/>
      <c r="C150" s="443"/>
      <c r="D150" s="443"/>
      <c r="E150" s="443"/>
      <c r="F150" s="443"/>
      <c r="G150" s="242"/>
      <c r="H150" s="242"/>
      <c r="I150" s="242"/>
      <c r="J150" s="242"/>
      <c r="K150" s="13"/>
      <c r="L150" s="242"/>
      <c r="M150" s="242"/>
      <c r="N150" s="13"/>
      <c r="O150" s="242"/>
      <c r="P150" s="242"/>
      <c r="Q150" s="242"/>
      <c r="R150" s="242"/>
      <c r="S150" s="242"/>
      <c r="T150" s="242"/>
      <c r="U150" s="242"/>
      <c r="V150" s="242"/>
      <c r="W150" s="242"/>
      <c r="X150" s="242"/>
      <c r="Y150" s="242"/>
      <c r="Z150" s="242"/>
    </row>
    <row r="151">
      <c r="A151" s="242"/>
      <c r="B151" s="443"/>
      <c r="C151" s="443"/>
      <c r="D151" s="443"/>
      <c r="E151" s="443"/>
      <c r="F151" s="443"/>
      <c r="G151" s="242"/>
      <c r="H151" s="242"/>
      <c r="I151" s="242"/>
      <c r="J151" s="242"/>
      <c r="K151" s="13"/>
      <c r="L151" s="242"/>
      <c r="M151" s="242"/>
      <c r="N151" s="13"/>
      <c r="O151" s="242"/>
      <c r="P151" s="242"/>
      <c r="Q151" s="242"/>
      <c r="R151" s="242"/>
      <c r="S151" s="242"/>
      <c r="T151" s="242"/>
      <c r="U151" s="242"/>
      <c r="V151" s="242"/>
      <c r="W151" s="242"/>
      <c r="X151" s="242"/>
      <c r="Y151" s="242"/>
      <c r="Z151" s="242"/>
    </row>
    <row r="152">
      <c r="A152" s="242"/>
      <c r="B152" s="443"/>
      <c r="C152" s="443"/>
      <c r="D152" s="443"/>
      <c r="E152" s="443"/>
      <c r="F152" s="443"/>
      <c r="G152" s="242"/>
      <c r="H152" s="242"/>
      <c r="I152" s="242"/>
      <c r="J152" s="242"/>
      <c r="K152" s="13"/>
      <c r="L152" s="242"/>
      <c r="M152" s="242"/>
      <c r="N152" s="13"/>
      <c r="O152" s="242"/>
      <c r="P152" s="242"/>
      <c r="Q152" s="242"/>
      <c r="R152" s="242"/>
      <c r="S152" s="242"/>
      <c r="T152" s="242"/>
      <c r="U152" s="242"/>
      <c r="V152" s="242"/>
      <c r="W152" s="242"/>
      <c r="X152" s="242"/>
      <c r="Y152" s="242"/>
      <c r="Z152" s="242"/>
    </row>
    <row r="153">
      <c r="A153" s="242"/>
      <c r="B153" s="443"/>
      <c r="C153" s="443"/>
      <c r="D153" s="443"/>
      <c r="E153" s="443"/>
      <c r="F153" s="443"/>
      <c r="G153" s="242"/>
      <c r="H153" s="242"/>
      <c r="I153" s="242"/>
      <c r="J153" s="242"/>
      <c r="K153" s="13"/>
      <c r="L153" s="242"/>
      <c r="M153" s="242"/>
      <c r="N153" s="13"/>
      <c r="O153" s="242"/>
      <c r="P153" s="242"/>
      <c r="Q153" s="242"/>
      <c r="R153" s="242"/>
      <c r="S153" s="242"/>
      <c r="T153" s="242"/>
      <c r="U153" s="242"/>
      <c r="V153" s="242"/>
      <c r="W153" s="242"/>
      <c r="X153" s="242"/>
      <c r="Y153" s="242"/>
      <c r="Z153" s="242"/>
    </row>
    <row r="154">
      <c r="A154" s="242"/>
      <c r="B154" s="443"/>
      <c r="C154" s="443"/>
      <c r="D154" s="443"/>
      <c r="E154" s="443"/>
      <c r="F154" s="443"/>
      <c r="G154" s="242"/>
      <c r="H154" s="242"/>
      <c r="I154" s="242"/>
      <c r="J154" s="242"/>
      <c r="K154" s="13"/>
      <c r="L154" s="242"/>
      <c r="M154" s="242"/>
      <c r="N154" s="13"/>
      <c r="O154" s="242"/>
      <c r="P154" s="242"/>
      <c r="Q154" s="242"/>
      <c r="R154" s="242"/>
      <c r="S154" s="242"/>
      <c r="T154" s="242"/>
      <c r="U154" s="242"/>
      <c r="V154" s="242"/>
      <c r="W154" s="242"/>
      <c r="X154" s="242"/>
      <c r="Y154" s="242"/>
      <c r="Z154" s="242"/>
    </row>
    <row r="155">
      <c r="A155" s="242"/>
      <c r="B155" s="443"/>
      <c r="C155" s="443"/>
      <c r="D155" s="443"/>
      <c r="E155" s="443"/>
      <c r="F155" s="443"/>
      <c r="G155" s="242"/>
      <c r="H155" s="242"/>
      <c r="I155" s="242"/>
      <c r="J155" s="242"/>
      <c r="K155" s="13"/>
      <c r="L155" s="242"/>
      <c r="M155" s="242"/>
      <c r="N155" s="13"/>
      <c r="O155" s="242"/>
      <c r="P155" s="242"/>
      <c r="Q155" s="242"/>
      <c r="R155" s="242"/>
      <c r="S155" s="242"/>
      <c r="T155" s="242"/>
      <c r="U155" s="242"/>
      <c r="V155" s="242"/>
      <c r="W155" s="242"/>
      <c r="X155" s="242"/>
      <c r="Y155" s="242"/>
      <c r="Z155" s="242"/>
    </row>
    <row r="156">
      <c r="A156" s="242"/>
      <c r="B156" s="443"/>
      <c r="C156" s="443"/>
      <c r="D156" s="443"/>
      <c r="E156" s="443"/>
      <c r="F156" s="443"/>
      <c r="G156" s="242"/>
      <c r="H156" s="242"/>
      <c r="I156" s="242"/>
      <c r="J156" s="242"/>
      <c r="K156" s="13"/>
      <c r="L156" s="242"/>
      <c r="M156" s="242"/>
      <c r="N156" s="13"/>
      <c r="O156" s="242"/>
      <c r="P156" s="242"/>
      <c r="Q156" s="242"/>
      <c r="R156" s="242"/>
      <c r="S156" s="242"/>
      <c r="T156" s="242"/>
      <c r="U156" s="242"/>
      <c r="V156" s="242"/>
      <c r="W156" s="242"/>
      <c r="X156" s="242"/>
      <c r="Y156" s="242"/>
      <c r="Z156" s="242"/>
    </row>
    <row r="157">
      <c r="A157" s="242"/>
      <c r="B157" s="443"/>
      <c r="C157" s="443"/>
      <c r="D157" s="443"/>
      <c r="E157" s="443"/>
      <c r="F157" s="443"/>
      <c r="G157" s="242"/>
      <c r="H157" s="242"/>
      <c r="I157" s="242"/>
      <c r="J157" s="242"/>
      <c r="K157" s="13"/>
      <c r="L157" s="242"/>
      <c r="M157" s="242"/>
      <c r="N157" s="13"/>
      <c r="O157" s="242"/>
      <c r="P157" s="242"/>
      <c r="Q157" s="242"/>
      <c r="R157" s="242"/>
      <c r="S157" s="242"/>
      <c r="T157" s="242"/>
      <c r="U157" s="242"/>
      <c r="V157" s="242"/>
      <c r="W157" s="242"/>
      <c r="X157" s="242"/>
      <c r="Y157" s="242"/>
      <c r="Z157" s="242"/>
    </row>
    <row r="158">
      <c r="A158" s="242"/>
      <c r="B158" s="443"/>
      <c r="C158" s="443"/>
      <c r="D158" s="443"/>
      <c r="E158" s="443"/>
      <c r="F158" s="443"/>
      <c r="G158" s="242"/>
      <c r="H158" s="242"/>
      <c r="I158" s="242"/>
      <c r="J158" s="242"/>
      <c r="K158" s="13"/>
      <c r="L158" s="242"/>
      <c r="M158" s="242"/>
      <c r="N158" s="13"/>
      <c r="O158" s="242"/>
      <c r="P158" s="242"/>
      <c r="Q158" s="242"/>
      <c r="R158" s="242"/>
      <c r="S158" s="242"/>
      <c r="T158" s="242"/>
      <c r="U158" s="242"/>
      <c r="V158" s="242"/>
      <c r="W158" s="242"/>
      <c r="X158" s="242"/>
      <c r="Y158" s="242"/>
      <c r="Z158" s="242"/>
    </row>
    <row r="159">
      <c r="A159" s="242"/>
      <c r="B159" s="443"/>
      <c r="C159" s="443"/>
      <c r="D159" s="443"/>
      <c r="E159" s="443"/>
      <c r="F159" s="443"/>
      <c r="G159" s="242"/>
      <c r="H159" s="242"/>
      <c r="I159" s="242"/>
      <c r="J159" s="242"/>
      <c r="K159" s="13"/>
      <c r="L159" s="242"/>
      <c r="M159" s="242"/>
      <c r="N159" s="13"/>
      <c r="O159" s="242"/>
      <c r="P159" s="242"/>
      <c r="Q159" s="242"/>
      <c r="R159" s="242"/>
      <c r="S159" s="242"/>
      <c r="T159" s="242"/>
      <c r="U159" s="242"/>
      <c r="V159" s="242"/>
      <c r="W159" s="242"/>
      <c r="X159" s="242"/>
      <c r="Y159" s="242"/>
      <c r="Z159" s="242"/>
    </row>
    <row r="160">
      <c r="A160" s="242"/>
      <c r="B160" s="443"/>
      <c r="C160" s="443"/>
      <c r="D160" s="443"/>
      <c r="E160" s="443"/>
      <c r="F160" s="443"/>
      <c r="G160" s="242"/>
      <c r="H160" s="242"/>
      <c r="I160" s="242"/>
      <c r="J160" s="242"/>
      <c r="K160" s="13"/>
      <c r="L160" s="242"/>
      <c r="M160" s="242"/>
      <c r="N160" s="13"/>
      <c r="O160" s="242"/>
      <c r="P160" s="242"/>
      <c r="Q160" s="242"/>
      <c r="R160" s="242"/>
      <c r="S160" s="242"/>
      <c r="T160" s="242"/>
      <c r="U160" s="242"/>
      <c r="V160" s="242"/>
      <c r="W160" s="242"/>
      <c r="X160" s="242"/>
      <c r="Y160" s="242"/>
      <c r="Z160" s="242"/>
    </row>
    <row r="161">
      <c r="A161" s="242"/>
      <c r="B161" s="443"/>
      <c r="C161" s="443"/>
      <c r="D161" s="443"/>
      <c r="E161" s="443"/>
      <c r="F161" s="443"/>
      <c r="G161" s="242"/>
      <c r="H161" s="242"/>
      <c r="I161" s="242"/>
      <c r="J161" s="242"/>
      <c r="K161" s="13"/>
      <c r="L161" s="242"/>
      <c r="M161" s="242"/>
      <c r="N161" s="13"/>
      <c r="O161" s="242"/>
      <c r="P161" s="242"/>
      <c r="Q161" s="242"/>
      <c r="R161" s="242"/>
      <c r="S161" s="242"/>
      <c r="T161" s="242"/>
      <c r="U161" s="242"/>
      <c r="V161" s="242"/>
      <c r="W161" s="242"/>
      <c r="X161" s="242"/>
      <c r="Y161" s="242"/>
      <c r="Z161" s="242"/>
    </row>
    <row r="162">
      <c r="A162" s="242"/>
      <c r="B162" s="443"/>
      <c r="C162" s="443"/>
      <c r="D162" s="443"/>
      <c r="E162" s="443"/>
      <c r="F162" s="443"/>
      <c r="G162" s="242"/>
      <c r="H162" s="242"/>
      <c r="I162" s="242"/>
      <c r="J162" s="242"/>
      <c r="K162" s="13"/>
      <c r="L162" s="242"/>
      <c r="M162" s="242"/>
      <c r="N162" s="13"/>
      <c r="O162" s="242"/>
      <c r="P162" s="242"/>
      <c r="Q162" s="242"/>
      <c r="R162" s="242"/>
      <c r="S162" s="242"/>
      <c r="T162" s="242"/>
      <c r="U162" s="242"/>
      <c r="V162" s="242"/>
      <c r="W162" s="242"/>
      <c r="X162" s="242"/>
      <c r="Y162" s="242"/>
      <c r="Z162" s="242"/>
    </row>
    <row r="163">
      <c r="A163" s="242"/>
      <c r="B163" s="443"/>
      <c r="C163" s="443"/>
      <c r="D163" s="443"/>
      <c r="E163" s="443"/>
      <c r="F163" s="443"/>
      <c r="G163" s="242"/>
      <c r="H163" s="242"/>
      <c r="I163" s="242"/>
      <c r="J163" s="242"/>
      <c r="K163" s="13"/>
      <c r="L163" s="242"/>
      <c r="M163" s="242"/>
      <c r="N163" s="13"/>
      <c r="O163" s="242"/>
      <c r="P163" s="242"/>
      <c r="Q163" s="242"/>
      <c r="R163" s="242"/>
      <c r="S163" s="242"/>
      <c r="T163" s="242"/>
      <c r="U163" s="242"/>
      <c r="V163" s="242"/>
      <c r="W163" s="242"/>
      <c r="X163" s="242"/>
      <c r="Y163" s="242"/>
      <c r="Z163" s="242"/>
    </row>
    <row r="164">
      <c r="A164" s="242"/>
      <c r="B164" s="443"/>
      <c r="C164" s="443"/>
      <c r="D164" s="443"/>
      <c r="E164" s="443"/>
      <c r="F164" s="443"/>
      <c r="G164" s="242"/>
      <c r="H164" s="242"/>
      <c r="I164" s="242"/>
      <c r="J164" s="242"/>
      <c r="K164" s="13"/>
      <c r="L164" s="242"/>
      <c r="M164" s="242"/>
      <c r="N164" s="13"/>
      <c r="O164" s="242"/>
      <c r="P164" s="242"/>
      <c r="Q164" s="242"/>
      <c r="R164" s="242"/>
      <c r="S164" s="242"/>
      <c r="T164" s="242"/>
      <c r="U164" s="242"/>
      <c r="V164" s="242"/>
      <c r="W164" s="242"/>
      <c r="X164" s="242"/>
      <c r="Y164" s="242"/>
      <c r="Z164" s="242"/>
    </row>
    <row r="165">
      <c r="A165" s="242"/>
      <c r="B165" s="443"/>
      <c r="C165" s="443"/>
      <c r="D165" s="443"/>
      <c r="E165" s="443"/>
      <c r="F165" s="443"/>
      <c r="G165" s="242"/>
      <c r="H165" s="242"/>
      <c r="I165" s="242"/>
      <c r="J165" s="242"/>
      <c r="K165" s="13"/>
      <c r="L165" s="242"/>
      <c r="M165" s="242"/>
      <c r="N165" s="13"/>
      <c r="O165" s="242"/>
      <c r="P165" s="242"/>
      <c r="Q165" s="242"/>
      <c r="R165" s="242"/>
      <c r="S165" s="242"/>
      <c r="T165" s="242"/>
      <c r="U165" s="242"/>
      <c r="V165" s="242"/>
      <c r="W165" s="242"/>
      <c r="X165" s="242"/>
      <c r="Y165" s="242"/>
      <c r="Z165" s="242"/>
    </row>
    <row r="166">
      <c r="A166" s="242"/>
      <c r="B166" s="443"/>
      <c r="C166" s="443"/>
      <c r="D166" s="443"/>
      <c r="E166" s="443"/>
      <c r="F166" s="443"/>
      <c r="G166" s="242"/>
      <c r="H166" s="242"/>
      <c r="I166" s="242"/>
      <c r="J166" s="242"/>
      <c r="K166" s="13"/>
      <c r="L166" s="242"/>
      <c r="M166" s="242"/>
      <c r="N166" s="13"/>
      <c r="O166" s="242"/>
      <c r="P166" s="242"/>
      <c r="Q166" s="242"/>
      <c r="R166" s="242"/>
      <c r="S166" s="242"/>
      <c r="T166" s="242"/>
      <c r="U166" s="242"/>
      <c r="V166" s="242"/>
      <c r="W166" s="242"/>
      <c r="X166" s="242"/>
      <c r="Y166" s="242"/>
      <c r="Z166" s="242"/>
    </row>
    <row r="167">
      <c r="A167" s="242"/>
      <c r="B167" s="443"/>
      <c r="C167" s="443"/>
      <c r="D167" s="443"/>
      <c r="E167" s="443"/>
      <c r="F167" s="443"/>
      <c r="G167" s="242"/>
      <c r="H167" s="242"/>
      <c r="I167" s="242"/>
      <c r="J167" s="242"/>
      <c r="K167" s="13"/>
      <c r="L167" s="242"/>
      <c r="M167" s="242"/>
      <c r="N167" s="13"/>
      <c r="O167" s="242"/>
      <c r="P167" s="242"/>
      <c r="Q167" s="242"/>
      <c r="R167" s="242"/>
      <c r="S167" s="242"/>
      <c r="T167" s="242"/>
      <c r="U167" s="242"/>
      <c r="V167" s="242"/>
      <c r="W167" s="242"/>
      <c r="X167" s="242"/>
      <c r="Y167" s="242"/>
      <c r="Z167" s="242"/>
    </row>
    <row r="168">
      <c r="A168" s="242"/>
      <c r="B168" s="443"/>
      <c r="C168" s="443"/>
      <c r="D168" s="443"/>
      <c r="E168" s="443"/>
      <c r="F168" s="443"/>
      <c r="G168" s="242"/>
      <c r="H168" s="242"/>
      <c r="I168" s="242"/>
      <c r="J168" s="242"/>
      <c r="K168" s="13"/>
      <c r="L168" s="242"/>
      <c r="M168" s="242"/>
      <c r="N168" s="13"/>
      <c r="O168" s="242"/>
      <c r="P168" s="242"/>
      <c r="Q168" s="242"/>
      <c r="R168" s="242"/>
      <c r="S168" s="242"/>
      <c r="T168" s="242"/>
      <c r="U168" s="242"/>
      <c r="V168" s="242"/>
      <c r="W168" s="242"/>
      <c r="X168" s="242"/>
      <c r="Y168" s="242"/>
      <c r="Z168" s="242"/>
    </row>
    <row r="169">
      <c r="A169" s="242"/>
      <c r="B169" s="443"/>
      <c r="C169" s="443"/>
      <c r="D169" s="443"/>
      <c r="E169" s="443"/>
      <c r="F169" s="443"/>
      <c r="G169" s="242"/>
      <c r="H169" s="242"/>
      <c r="I169" s="242"/>
      <c r="J169" s="242"/>
      <c r="K169" s="13"/>
      <c r="L169" s="242"/>
      <c r="M169" s="242"/>
      <c r="N169" s="13"/>
      <c r="O169" s="242"/>
      <c r="P169" s="242"/>
      <c r="Q169" s="242"/>
      <c r="R169" s="242"/>
      <c r="S169" s="242"/>
      <c r="T169" s="242"/>
      <c r="U169" s="242"/>
      <c r="V169" s="242"/>
      <c r="W169" s="242"/>
      <c r="X169" s="242"/>
      <c r="Y169" s="242"/>
      <c r="Z169" s="242"/>
    </row>
    <row r="170">
      <c r="A170" s="242"/>
      <c r="B170" s="443"/>
      <c r="C170" s="443"/>
      <c r="D170" s="443"/>
      <c r="E170" s="443"/>
      <c r="F170" s="443"/>
      <c r="G170" s="242"/>
      <c r="H170" s="242"/>
      <c r="I170" s="242"/>
      <c r="J170" s="242"/>
      <c r="K170" s="13"/>
      <c r="L170" s="242"/>
      <c r="M170" s="242"/>
      <c r="N170" s="13"/>
      <c r="O170" s="242"/>
      <c r="P170" s="242"/>
      <c r="Q170" s="242"/>
      <c r="R170" s="242"/>
      <c r="S170" s="242"/>
      <c r="T170" s="242"/>
      <c r="U170" s="242"/>
      <c r="V170" s="242"/>
      <c r="W170" s="242"/>
      <c r="X170" s="242"/>
      <c r="Y170" s="242"/>
      <c r="Z170" s="242"/>
    </row>
    <row r="171">
      <c r="A171" s="242"/>
      <c r="B171" s="443"/>
      <c r="C171" s="443"/>
      <c r="D171" s="443"/>
      <c r="E171" s="443"/>
      <c r="F171" s="443"/>
      <c r="G171" s="242"/>
      <c r="H171" s="242"/>
      <c r="I171" s="242"/>
      <c r="J171" s="242"/>
      <c r="K171" s="13"/>
      <c r="L171" s="242"/>
      <c r="M171" s="242"/>
      <c r="N171" s="13"/>
      <c r="O171" s="242"/>
      <c r="P171" s="242"/>
      <c r="Q171" s="242"/>
      <c r="R171" s="242"/>
      <c r="S171" s="242"/>
      <c r="T171" s="242"/>
      <c r="U171" s="242"/>
      <c r="V171" s="242"/>
      <c r="W171" s="242"/>
      <c r="X171" s="242"/>
      <c r="Y171" s="242"/>
      <c r="Z171" s="242"/>
    </row>
    <row r="172">
      <c r="A172" s="242"/>
      <c r="B172" s="443"/>
      <c r="C172" s="443"/>
      <c r="D172" s="443"/>
      <c r="E172" s="443"/>
      <c r="F172" s="443"/>
      <c r="G172" s="242"/>
      <c r="H172" s="242"/>
      <c r="I172" s="242"/>
      <c r="J172" s="242"/>
      <c r="K172" s="13"/>
      <c r="L172" s="242"/>
      <c r="M172" s="242"/>
      <c r="N172" s="13"/>
      <c r="O172" s="242"/>
      <c r="P172" s="242"/>
      <c r="Q172" s="242"/>
      <c r="R172" s="242"/>
      <c r="S172" s="242"/>
      <c r="T172" s="242"/>
      <c r="U172" s="242"/>
      <c r="V172" s="242"/>
      <c r="W172" s="242"/>
      <c r="X172" s="242"/>
      <c r="Y172" s="242"/>
      <c r="Z172" s="242"/>
    </row>
    <row r="173">
      <c r="A173" s="242"/>
      <c r="B173" s="443"/>
      <c r="C173" s="443"/>
      <c r="D173" s="443"/>
      <c r="E173" s="443"/>
      <c r="F173" s="443"/>
      <c r="G173" s="242"/>
      <c r="H173" s="242"/>
      <c r="I173" s="242"/>
      <c r="J173" s="242"/>
      <c r="K173" s="13"/>
      <c r="L173" s="242"/>
      <c r="M173" s="242"/>
      <c r="N173" s="13"/>
      <c r="O173" s="242"/>
      <c r="P173" s="242"/>
      <c r="Q173" s="242"/>
      <c r="R173" s="242"/>
      <c r="S173" s="242"/>
      <c r="T173" s="242"/>
      <c r="U173" s="242"/>
      <c r="V173" s="242"/>
      <c r="W173" s="242"/>
      <c r="X173" s="242"/>
      <c r="Y173" s="242"/>
      <c r="Z173" s="242"/>
    </row>
    <row r="174">
      <c r="A174" s="242"/>
      <c r="B174" s="443"/>
      <c r="C174" s="443"/>
      <c r="D174" s="443"/>
      <c r="E174" s="443"/>
      <c r="F174" s="443"/>
      <c r="G174" s="242"/>
      <c r="H174" s="242"/>
      <c r="I174" s="242"/>
      <c r="J174" s="242"/>
      <c r="K174" s="13"/>
      <c r="L174" s="242"/>
      <c r="M174" s="242"/>
      <c r="N174" s="13"/>
      <c r="O174" s="242"/>
      <c r="P174" s="242"/>
      <c r="Q174" s="242"/>
      <c r="R174" s="242"/>
      <c r="S174" s="242"/>
      <c r="T174" s="242"/>
      <c r="U174" s="242"/>
      <c r="V174" s="242"/>
      <c r="W174" s="242"/>
      <c r="X174" s="242"/>
      <c r="Y174" s="242"/>
      <c r="Z174" s="242"/>
    </row>
    <row r="175">
      <c r="A175" s="242"/>
      <c r="B175" s="443"/>
      <c r="C175" s="443"/>
      <c r="D175" s="443"/>
      <c r="E175" s="443"/>
      <c r="F175" s="443"/>
      <c r="G175" s="242"/>
      <c r="H175" s="242"/>
      <c r="I175" s="242"/>
      <c r="J175" s="242"/>
      <c r="K175" s="13"/>
      <c r="L175" s="242"/>
      <c r="M175" s="242"/>
      <c r="N175" s="13"/>
      <c r="O175" s="242"/>
      <c r="P175" s="242"/>
      <c r="Q175" s="242"/>
      <c r="R175" s="242"/>
      <c r="S175" s="242"/>
      <c r="T175" s="242"/>
      <c r="U175" s="242"/>
      <c r="V175" s="242"/>
      <c r="W175" s="242"/>
      <c r="X175" s="242"/>
      <c r="Y175" s="242"/>
      <c r="Z175" s="242"/>
    </row>
    <row r="176">
      <c r="A176" s="242"/>
      <c r="B176" s="443"/>
      <c r="C176" s="443"/>
      <c r="D176" s="443"/>
      <c r="E176" s="443"/>
      <c r="F176" s="443"/>
      <c r="G176" s="242"/>
      <c r="H176" s="242"/>
      <c r="I176" s="242"/>
      <c r="J176" s="242"/>
      <c r="K176" s="13"/>
      <c r="L176" s="242"/>
      <c r="M176" s="242"/>
      <c r="N176" s="13"/>
      <c r="O176" s="242"/>
      <c r="P176" s="242"/>
      <c r="Q176" s="242"/>
      <c r="R176" s="242"/>
      <c r="S176" s="242"/>
      <c r="T176" s="242"/>
      <c r="U176" s="242"/>
      <c r="V176" s="242"/>
      <c r="W176" s="242"/>
      <c r="X176" s="242"/>
      <c r="Y176" s="242"/>
      <c r="Z176" s="242"/>
    </row>
    <row r="177">
      <c r="A177" s="242"/>
      <c r="B177" s="443"/>
      <c r="C177" s="443"/>
      <c r="D177" s="443"/>
      <c r="E177" s="443"/>
      <c r="F177" s="443"/>
      <c r="G177" s="242"/>
      <c r="H177" s="242"/>
      <c r="I177" s="242"/>
      <c r="J177" s="242"/>
      <c r="K177" s="13"/>
      <c r="L177" s="242"/>
      <c r="M177" s="242"/>
      <c r="N177" s="13"/>
      <c r="O177" s="242"/>
      <c r="P177" s="242"/>
      <c r="Q177" s="242"/>
      <c r="R177" s="242"/>
      <c r="S177" s="242"/>
      <c r="T177" s="242"/>
      <c r="U177" s="242"/>
      <c r="V177" s="242"/>
      <c r="W177" s="242"/>
      <c r="X177" s="242"/>
      <c r="Y177" s="242"/>
      <c r="Z177" s="242"/>
    </row>
    <row r="178">
      <c r="A178" s="242"/>
      <c r="B178" s="443"/>
      <c r="C178" s="443"/>
      <c r="D178" s="443"/>
      <c r="E178" s="443"/>
      <c r="F178" s="443"/>
      <c r="G178" s="242"/>
      <c r="H178" s="242"/>
      <c r="I178" s="242"/>
      <c r="J178" s="242"/>
      <c r="K178" s="13"/>
      <c r="L178" s="242"/>
      <c r="M178" s="242"/>
      <c r="N178" s="13"/>
      <c r="O178" s="242"/>
      <c r="P178" s="242"/>
      <c r="Q178" s="242"/>
      <c r="R178" s="242"/>
      <c r="S178" s="242"/>
      <c r="T178" s="242"/>
      <c r="U178" s="242"/>
      <c r="V178" s="242"/>
      <c r="W178" s="242"/>
      <c r="X178" s="242"/>
      <c r="Y178" s="242"/>
      <c r="Z178" s="242"/>
    </row>
    <row r="179">
      <c r="A179" s="242"/>
      <c r="B179" s="443"/>
      <c r="C179" s="443"/>
      <c r="D179" s="443"/>
      <c r="E179" s="443"/>
      <c r="F179" s="443"/>
      <c r="G179" s="242"/>
      <c r="H179" s="242"/>
      <c r="I179" s="242"/>
      <c r="J179" s="242"/>
      <c r="K179" s="13"/>
      <c r="L179" s="242"/>
      <c r="M179" s="242"/>
      <c r="N179" s="13"/>
      <c r="O179" s="242"/>
      <c r="P179" s="242"/>
      <c r="Q179" s="242"/>
      <c r="R179" s="242"/>
      <c r="S179" s="242"/>
      <c r="T179" s="242"/>
      <c r="U179" s="242"/>
      <c r="V179" s="242"/>
      <c r="W179" s="242"/>
      <c r="X179" s="242"/>
      <c r="Y179" s="242"/>
      <c r="Z179" s="242"/>
    </row>
    <row r="180">
      <c r="A180" s="242"/>
      <c r="B180" s="443"/>
      <c r="C180" s="443"/>
      <c r="D180" s="443"/>
      <c r="E180" s="443"/>
      <c r="F180" s="443"/>
      <c r="G180" s="242"/>
      <c r="H180" s="242"/>
      <c r="I180" s="242"/>
      <c r="J180" s="242"/>
      <c r="K180" s="13"/>
      <c r="L180" s="242"/>
      <c r="M180" s="242"/>
      <c r="N180" s="13"/>
      <c r="O180" s="242"/>
      <c r="P180" s="242"/>
      <c r="Q180" s="242"/>
      <c r="R180" s="242"/>
      <c r="S180" s="242"/>
      <c r="T180" s="242"/>
      <c r="U180" s="242"/>
      <c r="V180" s="242"/>
      <c r="W180" s="242"/>
      <c r="X180" s="242"/>
      <c r="Y180" s="242"/>
      <c r="Z180" s="242"/>
    </row>
    <row r="181">
      <c r="A181" s="242"/>
      <c r="B181" s="443"/>
      <c r="C181" s="443"/>
      <c r="D181" s="443"/>
      <c r="E181" s="443"/>
      <c r="F181" s="443"/>
      <c r="G181" s="242"/>
      <c r="H181" s="242"/>
      <c r="I181" s="242"/>
      <c r="J181" s="242"/>
      <c r="K181" s="13"/>
      <c r="L181" s="242"/>
      <c r="M181" s="242"/>
      <c r="N181" s="13"/>
      <c r="O181" s="242"/>
      <c r="P181" s="242"/>
      <c r="Q181" s="242"/>
      <c r="R181" s="242"/>
      <c r="S181" s="242"/>
      <c r="T181" s="242"/>
      <c r="U181" s="242"/>
      <c r="V181" s="242"/>
      <c r="W181" s="242"/>
      <c r="X181" s="242"/>
      <c r="Y181" s="242"/>
      <c r="Z181" s="242"/>
    </row>
    <row r="182">
      <c r="A182" s="242"/>
      <c r="B182" s="443"/>
      <c r="C182" s="443"/>
      <c r="D182" s="443"/>
      <c r="E182" s="443"/>
      <c r="F182" s="443"/>
      <c r="G182" s="242"/>
      <c r="H182" s="242"/>
      <c r="I182" s="242"/>
      <c r="J182" s="242"/>
      <c r="K182" s="13"/>
      <c r="L182" s="242"/>
      <c r="M182" s="242"/>
      <c r="N182" s="13"/>
      <c r="O182" s="242"/>
      <c r="P182" s="242"/>
      <c r="Q182" s="242"/>
      <c r="R182" s="242"/>
      <c r="S182" s="242"/>
      <c r="T182" s="242"/>
      <c r="U182" s="242"/>
      <c r="V182" s="242"/>
      <c r="W182" s="242"/>
      <c r="X182" s="242"/>
      <c r="Y182" s="242"/>
      <c r="Z182" s="242"/>
    </row>
    <row r="183">
      <c r="A183" s="242"/>
      <c r="B183" s="443"/>
      <c r="C183" s="443"/>
      <c r="D183" s="443"/>
      <c r="E183" s="443"/>
      <c r="F183" s="443"/>
      <c r="G183" s="242"/>
      <c r="H183" s="242"/>
      <c r="I183" s="242"/>
      <c r="J183" s="242"/>
      <c r="K183" s="13"/>
      <c r="L183" s="242"/>
      <c r="M183" s="242"/>
      <c r="N183" s="13"/>
      <c r="O183" s="242"/>
      <c r="P183" s="242"/>
      <c r="Q183" s="242"/>
      <c r="R183" s="242"/>
      <c r="S183" s="242"/>
      <c r="T183" s="242"/>
      <c r="U183" s="242"/>
      <c r="V183" s="242"/>
      <c r="W183" s="242"/>
      <c r="X183" s="242"/>
      <c r="Y183" s="242"/>
      <c r="Z183" s="242"/>
    </row>
    <row r="184">
      <c r="A184" s="242"/>
      <c r="B184" s="443"/>
      <c r="C184" s="443"/>
      <c r="D184" s="443"/>
      <c r="E184" s="443"/>
      <c r="F184" s="443"/>
      <c r="G184" s="242"/>
      <c r="H184" s="242"/>
      <c r="I184" s="242"/>
      <c r="J184" s="242"/>
      <c r="K184" s="13"/>
      <c r="L184" s="242"/>
      <c r="M184" s="242"/>
      <c r="N184" s="13"/>
      <c r="O184" s="242"/>
      <c r="P184" s="242"/>
      <c r="Q184" s="242"/>
      <c r="R184" s="242"/>
      <c r="S184" s="242"/>
      <c r="T184" s="242"/>
      <c r="U184" s="242"/>
      <c r="V184" s="242"/>
      <c r="W184" s="242"/>
      <c r="X184" s="242"/>
      <c r="Y184" s="242"/>
      <c r="Z184" s="242"/>
    </row>
    <row r="185">
      <c r="A185" s="242"/>
      <c r="B185" s="443"/>
      <c r="C185" s="443"/>
      <c r="D185" s="443"/>
      <c r="E185" s="443"/>
      <c r="F185" s="443"/>
      <c r="G185" s="242"/>
      <c r="H185" s="242"/>
      <c r="I185" s="242"/>
      <c r="J185" s="242"/>
      <c r="K185" s="13"/>
      <c r="L185" s="242"/>
      <c r="M185" s="242"/>
      <c r="N185" s="13"/>
      <c r="O185" s="242"/>
      <c r="P185" s="242"/>
      <c r="Q185" s="242"/>
      <c r="R185" s="242"/>
      <c r="S185" s="242"/>
      <c r="T185" s="242"/>
      <c r="U185" s="242"/>
      <c r="V185" s="242"/>
      <c r="W185" s="242"/>
      <c r="X185" s="242"/>
      <c r="Y185" s="242"/>
      <c r="Z185" s="242"/>
    </row>
    <row r="186">
      <c r="A186" s="242"/>
      <c r="B186" s="443"/>
      <c r="C186" s="443"/>
      <c r="D186" s="443"/>
      <c r="E186" s="443"/>
      <c r="F186" s="443"/>
      <c r="G186" s="242"/>
      <c r="H186" s="242"/>
      <c r="I186" s="242"/>
      <c r="J186" s="242"/>
      <c r="K186" s="13"/>
      <c r="L186" s="242"/>
      <c r="M186" s="242"/>
      <c r="N186" s="13"/>
      <c r="O186" s="242"/>
      <c r="P186" s="242"/>
      <c r="Q186" s="242"/>
      <c r="R186" s="242"/>
      <c r="S186" s="242"/>
      <c r="T186" s="242"/>
      <c r="U186" s="242"/>
      <c r="V186" s="242"/>
      <c r="W186" s="242"/>
      <c r="X186" s="242"/>
      <c r="Y186" s="242"/>
      <c r="Z186" s="242"/>
    </row>
    <row r="187">
      <c r="A187" s="242"/>
      <c r="B187" s="443"/>
      <c r="C187" s="443"/>
      <c r="D187" s="443"/>
      <c r="E187" s="443"/>
      <c r="F187" s="443"/>
      <c r="G187" s="242"/>
      <c r="H187" s="242"/>
      <c r="I187" s="242"/>
      <c r="J187" s="242"/>
      <c r="K187" s="13"/>
      <c r="L187" s="242"/>
      <c r="M187" s="242"/>
      <c r="N187" s="13"/>
      <c r="O187" s="242"/>
      <c r="P187" s="242"/>
      <c r="Q187" s="242"/>
      <c r="R187" s="242"/>
      <c r="S187" s="242"/>
      <c r="T187" s="242"/>
      <c r="U187" s="242"/>
      <c r="V187" s="242"/>
      <c r="W187" s="242"/>
      <c r="X187" s="242"/>
      <c r="Y187" s="242"/>
      <c r="Z187" s="242"/>
    </row>
    <row r="188">
      <c r="A188" s="242"/>
      <c r="B188" s="443"/>
      <c r="C188" s="443"/>
      <c r="D188" s="443"/>
      <c r="E188" s="443"/>
      <c r="F188" s="443"/>
      <c r="G188" s="242"/>
      <c r="H188" s="242"/>
      <c r="I188" s="242"/>
      <c r="J188" s="242"/>
      <c r="K188" s="13"/>
      <c r="L188" s="242"/>
      <c r="M188" s="242"/>
      <c r="N188" s="13"/>
      <c r="O188" s="242"/>
      <c r="P188" s="242"/>
      <c r="Q188" s="242"/>
      <c r="R188" s="242"/>
      <c r="S188" s="242"/>
      <c r="T188" s="242"/>
      <c r="U188" s="242"/>
      <c r="V188" s="242"/>
      <c r="W188" s="242"/>
      <c r="X188" s="242"/>
      <c r="Y188" s="242"/>
      <c r="Z188" s="242"/>
    </row>
    <row r="189">
      <c r="A189" s="242"/>
      <c r="B189" s="443"/>
      <c r="C189" s="443"/>
      <c r="D189" s="443"/>
      <c r="E189" s="443"/>
      <c r="F189" s="443"/>
      <c r="G189" s="242"/>
      <c r="H189" s="242"/>
      <c r="I189" s="242"/>
      <c r="J189" s="242"/>
      <c r="K189" s="13"/>
      <c r="L189" s="242"/>
      <c r="M189" s="242"/>
      <c r="N189" s="13"/>
      <c r="O189" s="242"/>
      <c r="P189" s="242"/>
      <c r="Q189" s="242"/>
      <c r="R189" s="242"/>
      <c r="S189" s="242"/>
      <c r="T189" s="242"/>
      <c r="U189" s="242"/>
      <c r="V189" s="242"/>
      <c r="W189" s="242"/>
      <c r="X189" s="242"/>
      <c r="Y189" s="242"/>
      <c r="Z189" s="242"/>
    </row>
    <row r="190">
      <c r="A190" s="242"/>
      <c r="B190" s="443"/>
      <c r="C190" s="443"/>
      <c r="D190" s="443"/>
      <c r="E190" s="443"/>
      <c r="F190" s="443"/>
      <c r="G190" s="242"/>
      <c r="H190" s="242"/>
      <c r="I190" s="242"/>
      <c r="J190" s="242"/>
      <c r="K190" s="13"/>
      <c r="L190" s="242"/>
      <c r="M190" s="242"/>
      <c r="N190" s="13"/>
      <c r="O190" s="242"/>
      <c r="P190" s="242"/>
      <c r="Q190" s="242"/>
      <c r="R190" s="242"/>
      <c r="S190" s="242"/>
      <c r="T190" s="242"/>
      <c r="U190" s="242"/>
      <c r="V190" s="242"/>
      <c r="W190" s="242"/>
      <c r="X190" s="242"/>
      <c r="Y190" s="242"/>
      <c r="Z190" s="242"/>
    </row>
    <row r="191">
      <c r="A191" s="242"/>
      <c r="B191" s="443"/>
      <c r="C191" s="443"/>
      <c r="D191" s="443"/>
      <c r="E191" s="443"/>
      <c r="F191" s="443"/>
      <c r="G191" s="242"/>
      <c r="H191" s="242"/>
      <c r="I191" s="242"/>
      <c r="J191" s="242"/>
      <c r="K191" s="13"/>
      <c r="L191" s="242"/>
      <c r="M191" s="242"/>
      <c r="N191" s="13"/>
      <c r="O191" s="242"/>
      <c r="P191" s="242"/>
      <c r="Q191" s="242"/>
      <c r="R191" s="242"/>
      <c r="S191" s="242"/>
      <c r="T191" s="242"/>
      <c r="U191" s="242"/>
      <c r="V191" s="242"/>
      <c r="W191" s="242"/>
      <c r="X191" s="242"/>
      <c r="Y191" s="242"/>
      <c r="Z191" s="242"/>
    </row>
    <row r="192">
      <c r="A192" s="242"/>
      <c r="B192" s="443"/>
      <c r="C192" s="443"/>
      <c r="D192" s="443"/>
      <c r="E192" s="443"/>
      <c r="F192" s="443"/>
      <c r="G192" s="242"/>
      <c r="H192" s="242"/>
      <c r="I192" s="242"/>
      <c r="J192" s="242"/>
      <c r="K192" s="13"/>
      <c r="L192" s="242"/>
      <c r="M192" s="242"/>
      <c r="N192" s="13"/>
      <c r="O192" s="242"/>
      <c r="P192" s="242"/>
      <c r="Q192" s="242"/>
      <c r="R192" s="242"/>
      <c r="S192" s="242"/>
      <c r="T192" s="242"/>
      <c r="U192" s="242"/>
      <c r="V192" s="242"/>
      <c r="W192" s="242"/>
      <c r="X192" s="242"/>
      <c r="Y192" s="242"/>
      <c r="Z192" s="242"/>
    </row>
    <row r="193">
      <c r="A193" s="242"/>
      <c r="B193" s="443"/>
      <c r="C193" s="443"/>
      <c r="D193" s="443"/>
      <c r="E193" s="443"/>
      <c r="F193" s="443"/>
      <c r="G193" s="242"/>
      <c r="H193" s="242"/>
      <c r="I193" s="242"/>
      <c r="J193" s="242"/>
      <c r="K193" s="13"/>
      <c r="L193" s="242"/>
      <c r="M193" s="242"/>
      <c r="N193" s="13"/>
      <c r="O193" s="242"/>
      <c r="P193" s="242"/>
      <c r="Q193" s="242"/>
      <c r="R193" s="242"/>
      <c r="S193" s="242"/>
      <c r="T193" s="242"/>
      <c r="U193" s="242"/>
      <c r="V193" s="242"/>
      <c r="W193" s="242"/>
      <c r="X193" s="242"/>
      <c r="Y193" s="242"/>
      <c r="Z193" s="242"/>
    </row>
    <row r="194">
      <c r="A194" s="242"/>
      <c r="B194" s="443"/>
      <c r="C194" s="443"/>
      <c r="D194" s="443"/>
      <c r="E194" s="443"/>
      <c r="F194" s="443"/>
      <c r="G194" s="242"/>
      <c r="H194" s="242"/>
      <c r="I194" s="242"/>
      <c r="J194" s="242"/>
      <c r="K194" s="13"/>
      <c r="L194" s="242"/>
      <c r="M194" s="242"/>
      <c r="N194" s="13"/>
      <c r="O194" s="242"/>
      <c r="P194" s="242"/>
      <c r="Q194" s="242"/>
      <c r="R194" s="242"/>
      <c r="S194" s="242"/>
      <c r="T194" s="242"/>
      <c r="U194" s="242"/>
      <c r="V194" s="242"/>
      <c r="W194" s="242"/>
      <c r="X194" s="242"/>
      <c r="Y194" s="242"/>
      <c r="Z194" s="242"/>
    </row>
    <row r="195">
      <c r="A195" s="242"/>
      <c r="B195" s="443"/>
      <c r="C195" s="443"/>
      <c r="D195" s="443"/>
      <c r="E195" s="443"/>
      <c r="F195" s="443"/>
      <c r="G195" s="242"/>
      <c r="H195" s="242"/>
      <c r="I195" s="242"/>
      <c r="J195" s="242"/>
      <c r="K195" s="13"/>
      <c r="L195" s="242"/>
      <c r="M195" s="242"/>
      <c r="N195" s="13"/>
      <c r="O195" s="242"/>
      <c r="P195" s="242"/>
      <c r="Q195" s="242"/>
      <c r="R195" s="242"/>
      <c r="S195" s="242"/>
      <c r="T195" s="242"/>
      <c r="U195" s="242"/>
      <c r="V195" s="242"/>
      <c r="W195" s="242"/>
      <c r="X195" s="242"/>
      <c r="Y195" s="242"/>
      <c r="Z195" s="242"/>
    </row>
    <row r="196">
      <c r="A196" s="242"/>
      <c r="B196" s="443"/>
      <c r="C196" s="443"/>
      <c r="D196" s="443"/>
      <c r="E196" s="443"/>
      <c r="F196" s="443"/>
      <c r="G196" s="242"/>
      <c r="H196" s="242"/>
      <c r="I196" s="242"/>
      <c r="J196" s="242"/>
      <c r="K196" s="13"/>
      <c r="L196" s="242"/>
      <c r="M196" s="242"/>
      <c r="N196" s="13"/>
      <c r="O196" s="242"/>
      <c r="P196" s="242"/>
      <c r="Q196" s="242"/>
      <c r="R196" s="242"/>
      <c r="S196" s="242"/>
      <c r="T196" s="242"/>
      <c r="U196" s="242"/>
      <c r="V196" s="242"/>
      <c r="W196" s="242"/>
      <c r="X196" s="242"/>
      <c r="Y196" s="242"/>
      <c r="Z196" s="242"/>
    </row>
    <row r="197">
      <c r="A197" s="242"/>
      <c r="B197" s="443"/>
      <c r="C197" s="443"/>
      <c r="D197" s="443"/>
      <c r="E197" s="443"/>
      <c r="F197" s="443"/>
      <c r="G197" s="242"/>
      <c r="H197" s="242"/>
      <c r="I197" s="242"/>
      <c r="J197" s="242"/>
      <c r="K197" s="13"/>
      <c r="L197" s="242"/>
      <c r="M197" s="242"/>
      <c r="N197" s="13"/>
      <c r="O197" s="242"/>
      <c r="P197" s="242"/>
      <c r="Q197" s="242"/>
      <c r="R197" s="242"/>
      <c r="S197" s="242"/>
      <c r="T197" s="242"/>
      <c r="U197" s="242"/>
      <c r="V197" s="242"/>
      <c r="W197" s="242"/>
      <c r="X197" s="242"/>
      <c r="Y197" s="242"/>
      <c r="Z197" s="242"/>
    </row>
    <row r="198">
      <c r="A198" s="242"/>
      <c r="B198" s="443"/>
      <c r="C198" s="443"/>
      <c r="D198" s="443"/>
      <c r="E198" s="443"/>
      <c r="F198" s="443"/>
      <c r="G198" s="242"/>
      <c r="H198" s="242"/>
      <c r="I198" s="242"/>
      <c r="J198" s="242"/>
      <c r="K198" s="13"/>
      <c r="L198" s="242"/>
      <c r="M198" s="242"/>
      <c r="N198" s="13"/>
      <c r="O198" s="242"/>
      <c r="P198" s="242"/>
      <c r="Q198" s="242"/>
      <c r="R198" s="242"/>
      <c r="S198" s="242"/>
      <c r="T198" s="242"/>
      <c r="U198" s="242"/>
      <c r="V198" s="242"/>
      <c r="W198" s="242"/>
      <c r="X198" s="242"/>
      <c r="Y198" s="242"/>
      <c r="Z198" s="242"/>
    </row>
    <row r="199">
      <c r="A199" s="242"/>
      <c r="B199" s="443"/>
      <c r="C199" s="443"/>
      <c r="D199" s="443"/>
      <c r="E199" s="443"/>
      <c r="F199" s="443"/>
      <c r="G199" s="242"/>
      <c r="H199" s="242"/>
      <c r="I199" s="242"/>
      <c r="J199" s="242"/>
      <c r="K199" s="13"/>
      <c r="L199" s="242"/>
      <c r="M199" s="242"/>
      <c r="N199" s="13"/>
      <c r="O199" s="242"/>
      <c r="P199" s="242"/>
      <c r="Q199" s="242"/>
      <c r="R199" s="242"/>
      <c r="S199" s="242"/>
      <c r="T199" s="242"/>
      <c r="U199" s="242"/>
      <c r="V199" s="242"/>
      <c r="W199" s="242"/>
      <c r="X199" s="242"/>
      <c r="Y199" s="242"/>
      <c r="Z199" s="242"/>
    </row>
    <row r="200">
      <c r="A200" s="242"/>
      <c r="B200" s="443"/>
      <c r="C200" s="443"/>
      <c r="D200" s="443"/>
      <c r="E200" s="443"/>
      <c r="F200" s="443"/>
      <c r="G200" s="242"/>
      <c r="H200" s="242"/>
      <c r="I200" s="242"/>
      <c r="J200" s="242"/>
      <c r="K200" s="13"/>
      <c r="L200" s="242"/>
      <c r="M200" s="242"/>
      <c r="N200" s="13"/>
      <c r="O200" s="242"/>
      <c r="P200" s="242"/>
      <c r="Q200" s="242"/>
      <c r="R200" s="242"/>
      <c r="S200" s="242"/>
      <c r="T200" s="242"/>
      <c r="U200" s="242"/>
      <c r="V200" s="242"/>
      <c r="W200" s="242"/>
      <c r="X200" s="242"/>
      <c r="Y200" s="242"/>
      <c r="Z200" s="242"/>
    </row>
    <row r="201">
      <c r="A201" s="242"/>
      <c r="B201" s="443"/>
      <c r="C201" s="443"/>
      <c r="D201" s="443"/>
      <c r="E201" s="443"/>
      <c r="F201" s="443"/>
      <c r="G201" s="242"/>
      <c r="H201" s="242"/>
      <c r="I201" s="242"/>
      <c r="J201" s="242"/>
      <c r="K201" s="13"/>
      <c r="L201" s="242"/>
      <c r="M201" s="242"/>
      <c r="N201" s="13"/>
      <c r="O201" s="242"/>
      <c r="P201" s="242"/>
      <c r="Q201" s="242"/>
      <c r="R201" s="242"/>
      <c r="S201" s="242"/>
      <c r="T201" s="242"/>
      <c r="U201" s="242"/>
      <c r="V201" s="242"/>
      <c r="W201" s="242"/>
      <c r="X201" s="242"/>
      <c r="Y201" s="242"/>
      <c r="Z201" s="242"/>
    </row>
    <row r="202">
      <c r="A202" s="242"/>
      <c r="B202" s="443"/>
      <c r="C202" s="443"/>
      <c r="D202" s="443"/>
      <c r="E202" s="443"/>
      <c r="F202" s="443"/>
      <c r="G202" s="242"/>
      <c r="H202" s="242"/>
      <c r="I202" s="242"/>
      <c r="J202" s="242"/>
      <c r="K202" s="13"/>
      <c r="L202" s="242"/>
      <c r="M202" s="242"/>
      <c r="N202" s="13"/>
      <c r="O202" s="242"/>
      <c r="P202" s="242"/>
      <c r="Q202" s="242"/>
      <c r="R202" s="242"/>
      <c r="S202" s="242"/>
      <c r="T202" s="242"/>
      <c r="U202" s="242"/>
      <c r="V202" s="242"/>
      <c r="W202" s="242"/>
      <c r="X202" s="242"/>
      <c r="Y202" s="242"/>
      <c r="Z202" s="242"/>
    </row>
    <row r="203">
      <c r="A203" s="242"/>
      <c r="B203" s="443"/>
      <c r="C203" s="443"/>
      <c r="D203" s="443"/>
      <c r="E203" s="443"/>
      <c r="F203" s="443"/>
      <c r="G203" s="242"/>
      <c r="H203" s="242"/>
      <c r="I203" s="242"/>
      <c r="J203" s="242"/>
      <c r="K203" s="13"/>
      <c r="L203" s="242"/>
      <c r="M203" s="242"/>
      <c r="N203" s="13"/>
      <c r="O203" s="242"/>
      <c r="P203" s="242"/>
      <c r="Q203" s="242"/>
      <c r="R203" s="242"/>
      <c r="S203" s="242"/>
      <c r="T203" s="242"/>
      <c r="U203" s="242"/>
      <c r="V203" s="242"/>
      <c r="W203" s="242"/>
      <c r="X203" s="242"/>
      <c r="Y203" s="242"/>
      <c r="Z203" s="242"/>
    </row>
    <row r="204">
      <c r="A204" s="242"/>
      <c r="B204" s="443"/>
      <c r="C204" s="443"/>
      <c r="D204" s="443"/>
      <c r="E204" s="443"/>
      <c r="F204" s="443"/>
      <c r="G204" s="242"/>
      <c r="H204" s="242"/>
      <c r="I204" s="242"/>
      <c r="J204" s="242"/>
      <c r="K204" s="13"/>
      <c r="L204" s="242"/>
      <c r="M204" s="242"/>
      <c r="N204" s="13"/>
      <c r="O204" s="242"/>
      <c r="P204" s="242"/>
      <c r="Q204" s="242"/>
      <c r="R204" s="242"/>
      <c r="S204" s="242"/>
      <c r="T204" s="242"/>
      <c r="U204" s="242"/>
      <c r="V204" s="242"/>
      <c r="W204" s="242"/>
      <c r="X204" s="242"/>
      <c r="Y204" s="242"/>
      <c r="Z204" s="242"/>
    </row>
    <row r="205">
      <c r="A205" s="242"/>
      <c r="B205" s="443"/>
      <c r="C205" s="443"/>
      <c r="D205" s="443"/>
      <c r="E205" s="443"/>
      <c r="F205" s="443"/>
      <c r="G205" s="242"/>
      <c r="H205" s="242"/>
      <c r="I205" s="242"/>
      <c r="J205" s="242"/>
      <c r="K205" s="13"/>
      <c r="L205" s="242"/>
      <c r="M205" s="242"/>
      <c r="N205" s="13"/>
      <c r="O205" s="242"/>
      <c r="P205" s="242"/>
      <c r="Q205" s="242"/>
      <c r="R205" s="242"/>
      <c r="S205" s="242"/>
      <c r="T205" s="242"/>
      <c r="U205" s="242"/>
      <c r="V205" s="242"/>
      <c r="W205" s="242"/>
      <c r="X205" s="242"/>
      <c r="Y205" s="242"/>
      <c r="Z205" s="242"/>
    </row>
    <row r="206">
      <c r="A206" s="242"/>
      <c r="B206" s="443"/>
      <c r="C206" s="443"/>
      <c r="D206" s="443"/>
      <c r="E206" s="443"/>
      <c r="F206" s="443"/>
      <c r="G206" s="242"/>
      <c r="H206" s="242"/>
      <c r="I206" s="242"/>
      <c r="J206" s="242"/>
      <c r="K206" s="13"/>
      <c r="L206" s="242"/>
      <c r="M206" s="242"/>
      <c r="N206" s="13"/>
      <c r="O206" s="242"/>
      <c r="P206" s="242"/>
      <c r="Q206" s="242"/>
      <c r="R206" s="242"/>
      <c r="S206" s="242"/>
      <c r="T206" s="242"/>
      <c r="U206" s="242"/>
      <c r="V206" s="242"/>
      <c r="W206" s="242"/>
      <c r="X206" s="242"/>
      <c r="Y206" s="242"/>
      <c r="Z206" s="242"/>
    </row>
    <row r="207">
      <c r="A207" s="242"/>
      <c r="B207" s="443"/>
      <c r="C207" s="443"/>
      <c r="D207" s="443"/>
      <c r="E207" s="443"/>
      <c r="F207" s="443"/>
      <c r="G207" s="242"/>
      <c r="H207" s="242"/>
      <c r="I207" s="242"/>
      <c r="J207" s="242"/>
      <c r="K207" s="13"/>
      <c r="L207" s="242"/>
      <c r="M207" s="242"/>
      <c r="N207" s="13"/>
      <c r="O207" s="242"/>
      <c r="P207" s="242"/>
      <c r="Q207" s="242"/>
      <c r="R207" s="242"/>
      <c r="S207" s="242"/>
      <c r="T207" s="242"/>
      <c r="U207" s="242"/>
      <c r="V207" s="242"/>
      <c r="W207" s="242"/>
      <c r="X207" s="242"/>
      <c r="Y207" s="242"/>
      <c r="Z207" s="242"/>
    </row>
    <row r="208">
      <c r="A208" s="242"/>
      <c r="B208" s="443"/>
      <c r="C208" s="443"/>
      <c r="D208" s="443"/>
      <c r="E208" s="443"/>
      <c r="F208" s="443"/>
      <c r="G208" s="242"/>
      <c r="H208" s="242"/>
      <c r="I208" s="242"/>
      <c r="J208" s="242"/>
      <c r="K208" s="13"/>
      <c r="L208" s="242"/>
      <c r="M208" s="242"/>
      <c r="N208" s="13"/>
      <c r="O208" s="242"/>
      <c r="P208" s="242"/>
      <c r="Q208" s="242"/>
      <c r="R208" s="242"/>
      <c r="S208" s="242"/>
      <c r="T208" s="242"/>
      <c r="U208" s="242"/>
      <c r="V208" s="242"/>
      <c r="W208" s="242"/>
      <c r="X208" s="242"/>
      <c r="Y208" s="242"/>
      <c r="Z208" s="242"/>
    </row>
    <row r="209">
      <c r="A209" s="242"/>
      <c r="B209" s="443"/>
      <c r="C209" s="443"/>
      <c r="D209" s="443"/>
      <c r="E209" s="443"/>
      <c r="F209" s="443"/>
      <c r="G209" s="242"/>
      <c r="H209" s="242"/>
      <c r="I209" s="242"/>
      <c r="J209" s="242"/>
      <c r="K209" s="13"/>
      <c r="L209" s="242"/>
      <c r="M209" s="242"/>
      <c r="N209" s="13"/>
      <c r="O209" s="242"/>
      <c r="P209" s="242"/>
      <c r="Q209" s="242"/>
      <c r="R209" s="242"/>
      <c r="S209" s="242"/>
      <c r="T209" s="242"/>
      <c r="U209" s="242"/>
      <c r="V209" s="242"/>
      <c r="W209" s="242"/>
      <c r="X209" s="242"/>
      <c r="Y209" s="242"/>
      <c r="Z209" s="242"/>
    </row>
    <row r="210">
      <c r="A210" s="242"/>
      <c r="B210" s="443"/>
      <c r="C210" s="443"/>
      <c r="D210" s="443"/>
      <c r="E210" s="443"/>
      <c r="F210" s="443"/>
      <c r="G210" s="242"/>
      <c r="H210" s="242"/>
      <c r="I210" s="242"/>
      <c r="J210" s="242"/>
      <c r="K210" s="13"/>
      <c r="L210" s="242"/>
      <c r="M210" s="242"/>
      <c r="N210" s="13"/>
      <c r="O210" s="242"/>
      <c r="P210" s="242"/>
      <c r="Q210" s="242"/>
      <c r="R210" s="242"/>
      <c r="S210" s="242"/>
      <c r="T210" s="242"/>
      <c r="U210" s="242"/>
      <c r="V210" s="242"/>
      <c r="W210" s="242"/>
      <c r="X210" s="242"/>
      <c r="Y210" s="242"/>
      <c r="Z210" s="242"/>
    </row>
    <row r="211">
      <c r="A211" s="242"/>
      <c r="B211" s="443"/>
      <c r="C211" s="443"/>
      <c r="D211" s="443"/>
      <c r="E211" s="443"/>
      <c r="F211" s="443"/>
      <c r="G211" s="242"/>
      <c r="H211" s="242"/>
      <c r="I211" s="242"/>
      <c r="J211" s="242"/>
      <c r="K211" s="13"/>
      <c r="L211" s="242"/>
      <c r="M211" s="242"/>
      <c r="N211" s="13"/>
      <c r="O211" s="242"/>
      <c r="P211" s="242"/>
      <c r="Q211" s="242"/>
      <c r="R211" s="242"/>
      <c r="S211" s="242"/>
      <c r="T211" s="242"/>
      <c r="U211" s="242"/>
      <c r="V211" s="242"/>
      <c r="W211" s="242"/>
      <c r="X211" s="242"/>
      <c r="Y211" s="242"/>
      <c r="Z211" s="242"/>
    </row>
    <row r="212">
      <c r="A212" s="242"/>
      <c r="B212" s="443"/>
      <c r="C212" s="443"/>
      <c r="D212" s="443"/>
      <c r="E212" s="443"/>
      <c r="F212" s="443"/>
      <c r="G212" s="242"/>
      <c r="H212" s="242"/>
      <c r="I212" s="242"/>
      <c r="J212" s="242"/>
      <c r="K212" s="13"/>
      <c r="L212" s="242"/>
      <c r="M212" s="242"/>
      <c r="N212" s="13"/>
      <c r="O212" s="242"/>
      <c r="P212" s="242"/>
      <c r="Q212" s="242"/>
      <c r="R212" s="242"/>
      <c r="S212" s="242"/>
      <c r="T212" s="242"/>
      <c r="U212" s="242"/>
      <c r="V212" s="242"/>
      <c r="W212" s="242"/>
      <c r="X212" s="242"/>
      <c r="Y212" s="242"/>
      <c r="Z212" s="242"/>
    </row>
    <row r="213">
      <c r="A213" s="242"/>
      <c r="B213" s="443"/>
      <c r="C213" s="443"/>
      <c r="D213" s="443"/>
      <c r="E213" s="443"/>
      <c r="F213" s="443"/>
      <c r="G213" s="242"/>
      <c r="H213" s="242"/>
      <c r="I213" s="242"/>
      <c r="J213" s="242"/>
      <c r="K213" s="13"/>
      <c r="L213" s="242"/>
      <c r="M213" s="242"/>
      <c r="N213" s="13"/>
      <c r="O213" s="242"/>
      <c r="P213" s="242"/>
      <c r="Q213" s="242"/>
      <c r="R213" s="242"/>
      <c r="S213" s="242"/>
      <c r="T213" s="242"/>
      <c r="U213" s="242"/>
      <c r="V213" s="242"/>
      <c r="W213" s="242"/>
      <c r="X213" s="242"/>
      <c r="Y213" s="242"/>
      <c r="Z213" s="242"/>
    </row>
    <row r="214">
      <c r="A214" s="242"/>
      <c r="B214" s="443"/>
      <c r="C214" s="443"/>
      <c r="D214" s="443"/>
      <c r="E214" s="443"/>
      <c r="F214" s="443"/>
      <c r="G214" s="242"/>
      <c r="H214" s="242"/>
      <c r="I214" s="242"/>
      <c r="J214" s="242"/>
      <c r="K214" s="13"/>
      <c r="L214" s="242"/>
      <c r="M214" s="242"/>
      <c r="N214" s="13"/>
      <c r="O214" s="242"/>
      <c r="P214" s="242"/>
      <c r="Q214" s="242"/>
      <c r="R214" s="242"/>
      <c r="S214" s="242"/>
      <c r="T214" s="242"/>
      <c r="U214" s="242"/>
      <c r="V214" s="242"/>
      <c r="W214" s="242"/>
      <c r="X214" s="242"/>
      <c r="Y214" s="242"/>
      <c r="Z214" s="242"/>
    </row>
    <row r="215">
      <c r="A215" s="242"/>
      <c r="B215" s="443"/>
      <c r="C215" s="443"/>
      <c r="D215" s="443"/>
      <c r="E215" s="443"/>
      <c r="F215" s="443"/>
      <c r="G215" s="242"/>
      <c r="H215" s="242"/>
      <c r="I215" s="242"/>
      <c r="J215" s="242"/>
      <c r="K215" s="13"/>
      <c r="L215" s="242"/>
      <c r="M215" s="242"/>
      <c r="N215" s="13"/>
      <c r="O215" s="242"/>
      <c r="P215" s="242"/>
      <c r="Q215" s="242"/>
      <c r="R215" s="242"/>
      <c r="S215" s="242"/>
      <c r="T215" s="242"/>
      <c r="U215" s="242"/>
      <c r="V215" s="242"/>
      <c r="W215" s="242"/>
      <c r="X215" s="242"/>
      <c r="Y215" s="242"/>
      <c r="Z215" s="242"/>
    </row>
    <row r="216">
      <c r="A216" s="242"/>
      <c r="B216" s="443"/>
      <c r="C216" s="443"/>
      <c r="D216" s="443"/>
      <c r="E216" s="443"/>
      <c r="F216" s="443"/>
      <c r="G216" s="242"/>
      <c r="H216" s="242"/>
      <c r="I216" s="242"/>
      <c r="J216" s="242"/>
      <c r="K216" s="13"/>
      <c r="L216" s="242"/>
      <c r="M216" s="242"/>
      <c r="N216" s="13"/>
      <c r="O216" s="242"/>
      <c r="P216" s="242"/>
      <c r="Q216" s="242"/>
      <c r="R216" s="242"/>
      <c r="S216" s="242"/>
      <c r="T216" s="242"/>
      <c r="U216" s="242"/>
      <c r="V216" s="242"/>
      <c r="W216" s="242"/>
      <c r="X216" s="242"/>
      <c r="Y216" s="242"/>
      <c r="Z216" s="242"/>
    </row>
    <row r="217">
      <c r="A217" s="242"/>
      <c r="B217" s="443"/>
      <c r="C217" s="443"/>
      <c r="D217" s="443"/>
      <c r="E217" s="443"/>
      <c r="F217" s="443"/>
      <c r="G217" s="242"/>
      <c r="H217" s="242"/>
      <c r="I217" s="242"/>
      <c r="J217" s="242"/>
      <c r="K217" s="13"/>
      <c r="L217" s="242"/>
      <c r="M217" s="242"/>
      <c r="N217" s="13"/>
      <c r="O217" s="242"/>
      <c r="P217" s="242"/>
      <c r="Q217" s="242"/>
      <c r="R217" s="242"/>
      <c r="S217" s="242"/>
      <c r="T217" s="242"/>
      <c r="U217" s="242"/>
      <c r="V217" s="242"/>
      <c r="W217" s="242"/>
      <c r="X217" s="242"/>
      <c r="Y217" s="242"/>
      <c r="Z217" s="242"/>
    </row>
    <row r="218">
      <c r="A218" s="242"/>
      <c r="B218" s="443"/>
      <c r="C218" s="443"/>
      <c r="D218" s="443"/>
      <c r="E218" s="443"/>
      <c r="F218" s="443"/>
      <c r="G218" s="242"/>
      <c r="H218" s="242"/>
      <c r="I218" s="242"/>
      <c r="J218" s="242"/>
      <c r="K218" s="13"/>
      <c r="L218" s="242"/>
      <c r="M218" s="242"/>
      <c r="N218" s="13"/>
      <c r="O218" s="242"/>
      <c r="P218" s="242"/>
      <c r="Q218" s="242"/>
      <c r="R218" s="242"/>
      <c r="S218" s="242"/>
      <c r="T218" s="242"/>
      <c r="U218" s="242"/>
      <c r="V218" s="242"/>
      <c r="W218" s="242"/>
      <c r="X218" s="242"/>
      <c r="Y218" s="242"/>
      <c r="Z218" s="242"/>
    </row>
    <row r="219">
      <c r="A219" s="242"/>
      <c r="B219" s="443"/>
      <c r="C219" s="443"/>
      <c r="D219" s="443"/>
      <c r="E219" s="443"/>
      <c r="F219" s="443"/>
      <c r="G219" s="242"/>
      <c r="H219" s="242"/>
      <c r="I219" s="242"/>
      <c r="J219" s="242"/>
      <c r="K219" s="13"/>
      <c r="L219" s="242"/>
      <c r="M219" s="242"/>
      <c r="N219" s="13"/>
      <c r="O219" s="242"/>
      <c r="P219" s="242"/>
      <c r="Q219" s="242"/>
      <c r="R219" s="242"/>
      <c r="S219" s="242"/>
      <c r="T219" s="242"/>
      <c r="U219" s="242"/>
      <c r="V219" s="242"/>
      <c r="W219" s="242"/>
      <c r="X219" s="242"/>
      <c r="Y219" s="242"/>
      <c r="Z219" s="242"/>
    </row>
    <row r="220">
      <c r="A220" s="242"/>
      <c r="B220" s="443"/>
      <c r="C220" s="443"/>
      <c r="D220" s="443"/>
      <c r="E220" s="443"/>
      <c r="F220" s="443"/>
      <c r="G220" s="242"/>
      <c r="H220" s="242"/>
      <c r="I220" s="242"/>
      <c r="J220" s="242"/>
      <c r="K220" s="13"/>
      <c r="L220" s="242"/>
      <c r="M220" s="242"/>
      <c r="N220" s="13"/>
      <c r="O220" s="242"/>
      <c r="P220" s="242"/>
      <c r="Q220" s="242"/>
      <c r="R220" s="242"/>
      <c r="S220" s="242"/>
      <c r="T220" s="242"/>
      <c r="U220" s="242"/>
      <c r="V220" s="242"/>
      <c r="W220" s="242"/>
      <c r="X220" s="242"/>
      <c r="Y220" s="242"/>
      <c r="Z220" s="242"/>
    </row>
    <row r="221">
      <c r="A221" s="242"/>
      <c r="B221" s="443"/>
      <c r="C221" s="443"/>
      <c r="D221" s="443"/>
      <c r="E221" s="443"/>
      <c r="F221" s="443"/>
      <c r="G221" s="242"/>
      <c r="H221" s="242"/>
      <c r="I221" s="242"/>
      <c r="J221" s="242"/>
      <c r="K221" s="13"/>
      <c r="L221" s="242"/>
      <c r="M221" s="242"/>
      <c r="N221" s="13"/>
      <c r="O221" s="242"/>
      <c r="P221" s="242"/>
      <c r="Q221" s="242"/>
      <c r="R221" s="242"/>
      <c r="S221" s="242"/>
      <c r="T221" s="242"/>
      <c r="U221" s="242"/>
      <c r="V221" s="242"/>
      <c r="W221" s="242"/>
      <c r="X221" s="242"/>
      <c r="Y221" s="242"/>
      <c r="Z221" s="242"/>
    </row>
    <row r="222">
      <c r="A222" s="242"/>
      <c r="B222" s="443"/>
      <c r="C222" s="443"/>
      <c r="D222" s="443"/>
      <c r="E222" s="443"/>
      <c r="F222" s="443"/>
      <c r="G222" s="242"/>
      <c r="H222" s="242"/>
      <c r="I222" s="242"/>
      <c r="J222" s="242"/>
      <c r="K222" s="13"/>
      <c r="L222" s="242"/>
      <c r="M222" s="242"/>
      <c r="N222" s="13"/>
      <c r="O222" s="242"/>
      <c r="P222" s="242"/>
      <c r="Q222" s="242"/>
      <c r="R222" s="242"/>
      <c r="S222" s="242"/>
      <c r="T222" s="242"/>
      <c r="U222" s="242"/>
      <c r="V222" s="242"/>
      <c r="W222" s="242"/>
      <c r="X222" s="242"/>
      <c r="Y222" s="242"/>
      <c r="Z222" s="242"/>
    </row>
    <row r="223">
      <c r="A223" s="242"/>
      <c r="B223" s="443"/>
      <c r="C223" s="443"/>
      <c r="D223" s="443"/>
      <c r="E223" s="443"/>
      <c r="F223" s="443"/>
      <c r="G223" s="242"/>
      <c r="H223" s="242"/>
      <c r="I223" s="242"/>
      <c r="J223" s="242"/>
      <c r="K223" s="13"/>
      <c r="L223" s="242"/>
      <c r="M223" s="242"/>
      <c r="N223" s="13"/>
      <c r="O223" s="242"/>
      <c r="P223" s="242"/>
      <c r="Q223" s="242"/>
      <c r="R223" s="242"/>
      <c r="S223" s="242"/>
      <c r="T223" s="242"/>
      <c r="U223" s="242"/>
      <c r="V223" s="242"/>
      <c r="W223" s="242"/>
      <c r="X223" s="242"/>
      <c r="Y223" s="242"/>
      <c r="Z223" s="242"/>
    </row>
    <row r="224">
      <c r="A224" s="242"/>
      <c r="B224" s="443"/>
      <c r="C224" s="443"/>
      <c r="D224" s="443"/>
      <c r="E224" s="443"/>
      <c r="F224" s="443"/>
      <c r="G224" s="242"/>
      <c r="H224" s="242"/>
      <c r="I224" s="242"/>
      <c r="J224" s="242"/>
      <c r="K224" s="13"/>
      <c r="L224" s="242"/>
      <c r="M224" s="242"/>
      <c r="N224" s="13"/>
      <c r="O224" s="242"/>
      <c r="P224" s="242"/>
      <c r="Q224" s="242"/>
      <c r="R224" s="242"/>
      <c r="S224" s="242"/>
      <c r="T224" s="242"/>
      <c r="U224" s="242"/>
      <c r="V224" s="242"/>
      <c r="W224" s="242"/>
      <c r="X224" s="242"/>
      <c r="Y224" s="242"/>
      <c r="Z224" s="242"/>
    </row>
    <row r="225">
      <c r="A225" s="242"/>
      <c r="B225" s="443"/>
      <c r="C225" s="443"/>
      <c r="D225" s="443"/>
      <c r="E225" s="443"/>
      <c r="F225" s="443"/>
      <c r="G225" s="242"/>
      <c r="H225" s="242"/>
      <c r="I225" s="242"/>
      <c r="J225" s="242"/>
      <c r="K225" s="13"/>
      <c r="L225" s="242"/>
      <c r="M225" s="242"/>
      <c r="N225" s="13"/>
      <c r="O225" s="242"/>
      <c r="P225" s="242"/>
      <c r="Q225" s="242"/>
      <c r="R225" s="242"/>
      <c r="S225" s="242"/>
      <c r="T225" s="242"/>
      <c r="U225" s="242"/>
      <c r="V225" s="242"/>
      <c r="W225" s="242"/>
      <c r="X225" s="242"/>
      <c r="Y225" s="242"/>
      <c r="Z225" s="242"/>
    </row>
    <row r="226">
      <c r="A226" s="242"/>
      <c r="B226" s="443"/>
      <c r="C226" s="443"/>
      <c r="D226" s="443"/>
      <c r="E226" s="443"/>
      <c r="F226" s="443"/>
      <c r="G226" s="242"/>
      <c r="H226" s="242"/>
      <c r="I226" s="242"/>
      <c r="J226" s="242"/>
      <c r="K226" s="13"/>
      <c r="L226" s="242"/>
      <c r="M226" s="242"/>
      <c r="N226" s="13"/>
      <c r="O226" s="242"/>
      <c r="P226" s="242"/>
      <c r="Q226" s="242"/>
      <c r="R226" s="242"/>
      <c r="S226" s="242"/>
      <c r="T226" s="242"/>
      <c r="U226" s="242"/>
      <c r="V226" s="242"/>
      <c r="W226" s="242"/>
      <c r="X226" s="242"/>
      <c r="Y226" s="242"/>
      <c r="Z226" s="242"/>
    </row>
    <row r="227">
      <c r="A227" s="242"/>
      <c r="B227" s="443"/>
      <c r="C227" s="443"/>
      <c r="D227" s="443"/>
      <c r="E227" s="443"/>
      <c r="F227" s="443"/>
      <c r="G227" s="242"/>
      <c r="H227" s="242"/>
      <c r="I227" s="242"/>
      <c r="J227" s="242"/>
      <c r="K227" s="13"/>
      <c r="L227" s="242"/>
      <c r="M227" s="242"/>
      <c r="N227" s="13"/>
      <c r="O227" s="242"/>
      <c r="P227" s="242"/>
      <c r="Q227" s="242"/>
      <c r="R227" s="242"/>
      <c r="S227" s="242"/>
      <c r="T227" s="242"/>
      <c r="U227" s="242"/>
      <c r="V227" s="242"/>
      <c r="W227" s="242"/>
      <c r="X227" s="242"/>
      <c r="Y227" s="242"/>
      <c r="Z227" s="242"/>
    </row>
    <row r="228">
      <c r="A228" s="242"/>
      <c r="B228" s="443"/>
      <c r="C228" s="443"/>
      <c r="D228" s="443"/>
      <c r="E228" s="443"/>
      <c r="F228" s="443"/>
      <c r="G228" s="242"/>
      <c r="H228" s="242"/>
      <c r="I228" s="242"/>
      <c r="J228" s="242"/>
      <c r="K228" s="13"/>
      <c r="L228" s="242"/>
      <c r="M228" s="242"/>
      <c r="N228" s="13"/>
      <c r="O228" s="242"/>
      <c r="P228" s="242"/>
      <c r="Q228" s="242"/>
      <c r="R228" s="242"/>
      <c r="S228" s="242"/>
      <c r="T228" s="242"/>
      <c r="U228" s="242"/>
      <c r="V228" s="242"/>
      <c r="W228" s="242"/>
      <c r="X228" s="242"/>
      <c r="Y228" s="242"/>
      <c r="Z228" s="242"/>
    </row>
    <row r="229">
      <c r="A229" s="242"/>
      <c r="B229" s="443"/>
      <c r="C229" s="443"/>
      <c r="D229" s="443"/>
      <c r="E229" s="443"/>
      <c r="F229" s="443"/>
      <c r="G229" s="242"/>
      <c r="H229" s="242"/>
      <c r="I229" s="242"/>
      <c r="J229" s="242"/>
      <c r="K229" s="13"/>
      <c r="L229" s="242"/>
      <c r="M229" s="242"/>
      <c r="N229" s="13"/>
      <c r="O229" s="242"/>
      <c r="P229" s="242"/>
      <c r="Q229" s="242"/>
      <c r="R229" s="242"/>
      <c r="S229" s="242"/>
      <c r="T229" s="242"/>
      <c r="U229" s="242"/>
      <c r="V229" s="242"/>
      <c r="W229" s="242"/>
      <c r="X229" s="242"/>
      <c r="Y229" s="242"/>
      <c r="Z229" s="242"/>
    </row>
    <row r="230">
      <c r="A230" s="242"/>
      <c r="B230" s="443"/>
      <c r="C230" s="443"/>
      <c r="D230" s="443"/>
      <c r="E230" s="443"/>
      <c r="F230" s="443"/>
      <c r="G230" s="242"/>
      <c r="H230" s="242"/>
      <c r="I230" s="242"/>
      <c r="J230" s="242"/>
      <c r="K230" s="13"/>
      <c r="L230" s="242"/>
      <c r="M230" s="242"/>
      <c r="N230" s="13"/>
      <c r="O230" s="242"/>
      <c r="P230" s="242"/>
      <c r="Q230" s="242"/>
      <c r="R230" s="242"/>
      <c r="S230" s="242"/>
      <c r="T230" s="242"/>
      <c r="U230" s="242"/>
      <c r="V230" s="242"/>
      <c r="W230" s="242"/>
      <c r="X230" s="242"/>
      <c r="Y230" s="242"/>
      <c r="Z230" s="242"/>
    </row>
    <row r="231">
      <c r="A231" s="242"/>
      <c r="B231" s="443"/>
      <c r="C231" s="443"/>
      <c r="D231" s="443"/>
      <c r="E231" s="443"/>
      <c r="F231" s="443"/>
      <c r="G231" s="242"/>
      <c r="H231" s="242"/>
      <c r="I231" s="242"/>
      <c r="J231" s="242"/>
      <c r="K231" s="13"/>
      <c r="L231" s="242"/>
      <c r="M231" s="242"/>
      <c r="N231" s="13"/>
      <c r="O231" s="242"/>
      <c r="P231" s="242"/>
      <c r="Q231" s="242"/>
      <c r="R231" s="242"/>
      <c r="S231" s="242"/>
      <c r="T231" s="242"/>
      <c r="U231" s="242"/>
      <c r="V231" s="242"/>
      <c r="W231" s="242"/>
      <c r="X231" s="242"/>
      <c r="Y231" s="242"/>
      <c r="Z231" s="242"/>
    </row>
    <row r="232">
      <c r="A232" s="242"/>
      <c r="B232" s="443"/>
      <c r="C232" s="443"/>
      <c r="D232" s="443"/>
      <c r="E232" s="443"/>
      <c r="F232" s="443"/>
      <c r="G232" s="242"/>
      <c r="H232" s="242"/>
      <c r="I232" s="242"/>
      <c r="J232" s="242"/>
      <c r="K232" s="13"/>
      <c r="L232" s="242"/>
      <c r="M232" s="242"/>
      <c r="N232" s="13"/>
      <c r="O232" s="242"/>
      <c r="P232" s="242"/>
      <c r="Q232" s="242"/>
      <c r="R232" s="242"/>
      <c r="S232" s="242"/>
      <c r="T232" s="242"/>
      <c r="U232" s="242"/>
      <c r="V232" s="242"/>
      <c r="W232" s="242"/>
      <c r="X232" s="242"/>
      <c r="Y232" s="242"/>
      <c r="Z232" s="242"/>
    </row>
    <row r="233">
      <c r="A233" s="242"/>
      <c r="B233" s="443"/>
      <c r="C233" s="443"/>
      <c r="D233" s="443"/>
      <c r="E233" s="443"/>
      <c r="F233" s="443"/>
      <c r="G233" s="242"/>
      <c r="H233" s="242"/>
      <c r="I233" s="242"/>
      <c r="J233" s="242"/>
      <c r="K233" s="13"/>
      <c r="L233" s="242"/>
      <c r="M233" s="242"/>
      <c r="N233" s="13"/>
      <c r="O233" s="242"/>
      <c r="P233" s="242"/>
      <c r="Q233" s="242"/>
      <c r="R233" s="242"/>
      <c r="S233" s="242"/>
      <c r="T233" s="242"/>
      <c r="U233" s="242"/>
      <c r="V233" s="242"/>
      <c r="W233" s="242"/>
      <c r="X233" s="242"/>
      <c r="Y233" s="242"/>
      <c r="Z233" s="242"/>
    </row>
    <row r="234">
      <c r="A234" s="242"/>
      <c r="B234" s="443"/>
      <c r="C234" s="443"/>
      <c r="D234" s="443"/>
      <c r="E234" s="443"/>
      <c r="F234" s="443"/>
      <c r="G234" s="242"/>
      <c r="H234" s="242"/>
      <c r="I234" s="242"/>
      <c r="J234" s="242"/>
      <c r="K234" s="13"/>
      <c r="L234" s="242"/>
      <c r="M234" s="242"/>
      <c r="N234" s="13"/>
      <c r="O234" s="242"/>
      <c r="P234" s="242"/>
      <c r="Q234" s="242"/>
      <c r="R234" s="242"/>
      <c r="S234" s="242"/>
      <c r="T234" s="242"/>
      <c r="U234" s="242"/>
      <c r="V234" s="242"/>
      <c r="W234" s="242"/>
      <c r="X234" s="242"/>
      <c r="Y234" s="242"/>
      <c r="Z234" s="242"/>
    </row>
    <row r="235">
      <c r="A235" s="242"/>
      <c r="B235" s="443"/>
      <c r="C235" s="443"/>
      <c r="D235" s="443"/>
      <c r="E235" s="443"/>
      <c r="F235" s="443"/>
      <c r="G235" s="242"/>
      <c r="H235" s="242"/>
      <c r="I235" s="242"/>
      <c r="J235" s="242"/>
      <c r="K235" s="13"/>
      <c r="L235" s="242"/>
      <c r="M235" s="242"/>
      <c r="N235" s="13"/>
      <c r="O235" s="242"/>
      <c r="P235" s="242"/>
      <c r="Q235" s="242"/>
      <c r="R235" s="242"/>
      <c r="S235" s="242"/>
      <c r="T235" s="242"/>
      <c r="U235" s="242"/>
      <c r="V235" s="242"/>
      <c r="W235" s="242"/>
      <c r="X235" s="242"/>
      <c r="Y235" s="242"/>
      <c r="Z235" s="242"/>
    </row>
    <row r="236">
      <c r="A236" s="242"/>
      <c r="B236" s="443"/>
      <c r="C236" s="443"/>
      <c r="D236" s="443"/>
      <c r="E236" s="443"/>
      <c r="F236" s="443"/>
      <c r="G236" s="242"/>
      <c r="H236" s="242"/>
      <c r="I236" s="242"/>
      <c r="J236" s="242"/>
      <c r="K236" s="13"/>
      <c r="L236" s="242"/>
      <c r="M236" s="242"/>
      <c r="N236" s="13"/>
      <c r="O236" s="242"/>
      <c r="P236" s="242"/>
      <c r="Q236" s="242"/>
      <c r="R236" s="242"/>
      <c r="S236" s="242"/>
      <c r="T236" s="242"/>
      <c r="U236" s="242"/>
      <c r="V236" s="242"/>
      <c r="W236" s="242"/>
      <c r="X236" s="242"/>
      <c r="Y236" s="242"/>
      <c r="Z236" s="242"/>
    </row>
    <row r="237">
      <c r="A237" s="242"/>
      <c r="B237" s="443"/>
      <c r="C237" s="443"/>
      <c r="D237" s="443"/>
      <c r="E237" s="443"/>
      <c r="F237" s="443"/>
      <c r="G237" s="242"/>
      <c r="H237" s="242"/>
      <c r="I237" s="242"/>
      <c r="J237" s="242"/>
      <c r="K237" s="13"/>
      <c r="L237" s="242"/>
      <c r="M237" s="242"/>
      <c r="N237" s="13"/>
      <c r="O237" s="242"/>
      <c r="P237" s="242"/>
      <c r="Q237" s="242"/>
      <c r="R237" s="242"/>
      <c r="S237" s="242"/>
      <c r="T237" s="242"/>
      <c r="U237" s="242"/>
      <c r="V237" s="242"/>
      <c r="W237" s="242"/>
      <c r="X237" s="242"/>
      <c r="Y237" s="242"/>
      <c r="Z237" s="242"/>
    </row>
    <row r="238">
      <c r="A238" s="242"/>
      <c r="B238" s="443"/>
      <c r="C238" s="443"/>
      <c r="D238" s="443"/>
      <c r="E238" s="443"/>
      <c r="F238" s="443"/>
      <c r="G238" s="242"/>
      <c r="H238" s="242"/>
      <c r="I238" s="242"/>
      <c r="J238" s="242"/>
      <c r="K238" s="13"/>
      <c r="L238" s="242"/>
      <c r="M238" s="242"/>
      <c r="N238" s="13"/>
      <c r="O238" s="242"/>
      <c r="P238" s="242"/>
      <c r="Q238" s="242"/>
      <c r="R238" s="242"/>
      <c r="S238" s="242"/>
      <c r="T238" s="242"/>
      <c r="U238" s="242"/>
      <c r="V238" s="242"/>
      <c r="W238" s="242"/>
      <c r="X238" s="242"/>
      <c r="Y238" s="242"/>
      <c r="Z238" s="242"/>
    </row>
    <row r="239">
      <c r="A239" s="242"/>
      <c r="B239" s="443"/>
      <c r="C239" s="443"/>
      <c r="D239" s="443"/>
      <c r="E239" s="443"/>
      <c r="F239" s="443"/>
      <c r="G239" s="242"/>
      <c r="H239" s="242"/>
      <c r="I239" s="242"/>
      <c r="J239" s="242"/>
      <c r="K239" s="13"/>
      <c r="L239" s="242"/>
      <c r="M239" s="242"/>
      <c r="N239" s="13"/>
      <c r="O239" s="242"/>
      <c r="P239" s="242"/>
      <c r="Q239" s="242"/>
      <c r="R239" s="242"/>
      <c r="S239" s="242"/>
      <c r="T239" s="242"/>
      <c r="U239" s="242"/>
      <c r="V239" s="242"/>
      <c r="W239" s="242"/>
      <c r="X239" s="242"/>
      <c r="Y239" s="242"/>
      <c r="Z239" s="242"/>
    </row>
    <row r="240">
      <c r="A240" s="242"/>
      <c r="B240" s="443"/>
      <c r="C240" s="443"/>
      <c r="D240" s="443"/>
      <c r="E240" s="443"/>
      <c r="F240" s="443"/>
      <c r="G240" s="242"/>
      <c r="H240" s="242"/>
      <c r="I240" s="242"/>
      <c r="J240" s="242"/>
      <c r="K240" s="13"/>
      <c r="L240" s="242"/>
      <c r="M240" s="242"/>
      <c r="N240" s="13"/>
      <c r="O240" s="242"/>
      <c r="P240" s="242"/>
      <c r="Q240" s="242"/>
      <c r="R240" s="242"/>
      <c r="S240" s="242"/>
      <c r="T240" s="242"/>
      <c r="U240" s="242"/>
      <c r="V240" s="242"/>
      <c r="W240" s="242"/>
      <c r="X240" s="242"/>
      <c r="Y240" s="242"/>
      <c r="Z240" s="242"/>
    </row>
    <row r="241">
      <c r="A241" s="242"/>
      <c r="B241" s="443"/>
      <c r="C241" s="443"/>
      <c r="D241" s="443"/>
      <c r="E241" s="443"/>
      <c r="F241" s="443"/>
      <c r="G241" s="242"/>
      <c r="H241" s="242"/>
      <c r="I241" s="242"/>
      <c r="J241" s="242"/>
      <c r="K241" s="13"/>
      <c r="L241" s="242"/>
      <c r="M241" s="242"/>
      <c r="N241" s="13"/>
      <c r="O241" s="242"/>
      <c r="P241" s="242"/>
      <c r="Q241" s="242"/>
      <c r="R241" s="242"/>
      <c r="S241" s="242"/>
      <c r="T241" s="242"/>
      <c r="U241" s="242"/>
      <c r="V241" s="242"/>
      <c r="W241" s="242"/>
      <c r="X241" s="242"/>
      <c r="Y241" s="242"/>
      <c r="Z241" s="242"/>
    </row>
    <row r="242">
      <c r="A242" s="242"/>
      <c r="B242" s="443"/>
      <c r="C242" s="443"/>
      <c r="D242" s="443"/>
      <c r="E242" s="443"/>
      <c r="F242" s="443"/>
      <c r="G242" s="242"/>
      <c r="H242" s="242"/>
      <c r="I242" s="242"/>
      <c r="J242" s="242"/>
      <c r="K242" s="13"/>
      <c r="L242" s="242"/>
      <c r="M242" s="242"/>
      <c r="N242" s="13"/>
      <c r="O242" s="242"/>
      <c r="P242" s="242"/>
      <c r="Q242" s="242"/>
      <c r="R242" s="242"/>
      <c r="S242" s="242"/>
      <c r="T242" s="242"/>
      <c r="U242" s="242"/>
      <c r="V242" s="242"/>
      <c r="W242" s="242"/>
      <c r="X242" s="242"/>
      <c r="Y242" s="242"/>
      <c r="Z242" s="242"/>
    </row>
    <row r="243">
      <c r="A243" s="242"/>
      <c r="B243" s="443"/>
      <c r="C243" s="443"/>
      <c r="D243" s="443"/>
      <c r="E243" s="443"/>
      <c r="F243" s="443"/>
      <c r="G243" s="242"/>
      <c r="H243" s="242"/>
      <c r="I243" s="242"/>
      <c r="J243" s="242"/>
      <c r="K243" s="13"/>
      <c r="L243" s="242"/>
      <c r="M243" s="242"/>
      <c r="N243" s="13"/>
      <c r="O243" s="242"/>
      <c r="P243" s="242"/>
      <c r="Q243" s="242"/>
      <c r="R243" s="242"/>
      <c r="S243" s="242"/>
      <c r="T243" s="242"/>
      <c r="U243" s="242"/>
      <c r="V243" s="242"/>
      <c r="W243" s="242"/>
      <c r="X243" s="242"/>
      <c r="Y243" s="242"/>
      <c r="Z243" s="242"/>
    </row>
    <row r="244">
      <c r="A244" s="242"/>
      <c r="B244" s="443"/>
      <c r="C244" s="443"/>
      <c r="D244" s="443"/>
      <c r="E244" s="443"/>
      <c r="F244" s="443"/>
      <c r="G244" s="242"/>
      <c r="H244" s="242"/>
      <c r="I244" s="242"/>
      <c r="J244" s="242"/>
      <c r="K244" s="13"/>
      <c r="L244" s="242"/>
      <c r="M244" s="242"/>
      <c r="N244" s="13"/>
      <c r="O244" s="242"/>
      <c r="P244" s="242"/>
      <c r="Q244" s="242"/>
      <c r="R244" s="242"/>
      <c r="S244" s="242"/>
      <c r="T244" s="242"/>
      <c r="U244" s="242"/>
      <c r="V244" s="242"/>
      <c r="W244" s="242"/>
      <c r="X244" s="242"/>
      <c r="Y244" s="242"/>
      <c r="Z244" s="242"/>
    </row>
    <row r="245">
      <c r="A245" s="242"/>
      <c r="B245" s="443"/>
      <c r="C245" s="443"/>
      <c r="D245" s="443"/>
      <c r="E245" s="443"/>
      <c r="F245" s="443"/>
      <c r="G245" s="242"/>
      <c r="H245" s="242"/>
      <c r="I245" s="242"/>
      <c r="J245" s="242"/>
      <c r="K245" s="13"/>
      <c r="L245" s="242"/>
      <c r="M245" s="242"/>
      <c r="N245" s="13"/>
      <c r="O245" s="242"/>
      <c r="P245" s="242"/>
      <c r="Q245" s="242"/>
      <c r="R245" s="242"/>
      <c r="S245" s="242"/>
      <c r="T245" s="242"/>
      <c r="U245" s="242"/>
      <c r="V245" s="242"/>
      <c r="W245" s="242"/>
      <c r="X245" s="242"/>
      <c r="Y245" s="242"/>
      <c r="Z245" s="242"/>
    </row>
    <row r="246">
      <c r="A246" s="242"/>
      <c r="B246" s="443"/>
      <c r="C246" s="443"/>
      <c r="D246" s="443"/>
      <c r="E246" s="443"/>
      <c r="F246" s="443"/>
      <c r="G246" s="242"/>
      <c r="H246" s="242"/>
      <c r="I246" s="242"/>
      <c r="J246" s="242"/>
      <c r="K246" s="13"/>
      <c r="L246" s="242"/>
      <c r="M246" s="242"/>
      <c r="N246" s="13"/>
      <c r="O246" s="242"/>
      <c r="P246" s="242"/>
      <c r="Q246" s="242"/>
      <c r="R246" s="242"/>
      <c r="S246" s="242"/>
      <c r="T246" s="242"/>
      <c r="U246" s="242"/>
      <c r="V246" s="242"/>
      <c r="W246" s="242"/>
      <c r="X246" s="242"/>
      <c r="Y246" s="242"/>
      <c r="Z246" s="242"/>
    </row>
    <row r="247">
      <c r="A247" s="242"/>
      <c r="B247" s="443"/>
      <c r="C247" s="443"/>
      <c r="D247" s="443"/>
      <c r="E247" s="443"/>
      <c r="F247" s="443"/>
      <c r="G247" s="242"/>
      <c r="H247" s="242"/>
      <c r="I247" s="242"/>
      <c r="J247" s="242"/>
      <c r="K247" s="13"/>
      <c r="L247" s="242"/>
      <c r="M247" s="242"/>
      <c r="N247" s="13"/>
      <c r="O247" s="242"/>
      <c r="P247" s="242"/>
      <c r="Q247" s="242"/>
      <c r="R247" s="242"/>
      <c r="S247" s="242"/>
      <c r="T247" s="242"/>
      <c r="U247" s="242"/>
      <c r="V247" s="242"/>
      <c r="W247" s="242"/>
      <c r="X247" s="242"/>
      <c r="Y247" s="242"/>
      <c r="Z247" s="242"/>
    </row>
    <row r="248">
      <c r="A248" s="242"/>
      <c r="B248" s="443"/>
      <c r="C248" s="443"/>
      <c r="D248" s="443"/>
      <c r="E248" s="443"/>
      <c r="F248" s="443"/>
      <c r="G248" s="242"/>
      <c r="H248" s="242"/>
      <c r="I248" s="242"/>
      <c r="J248" s="242"/>
      <c r="K248" s="13"/>
      <c r="L248" s="242"/>
      <c r="M248" s="242"/>
      <c r="N248" s="13"/>
      <c r="O248" s="242"/>
      <c r="P248" s="242"/>
      <c r="Q248" s="242"/>
      <c r="R248" s="242"/>
      <c r="S248" s="242"/>
      <c r="T248" s="242"/>
      <c r="U248" s="242"/>
      <c r="V248" s="242"/>
      <c r="W248" s="242"/>
      <c r="X248" s="242"/>
      <c r="Y248" s="242"/>
      <c r="Z248" s="242"/>
    </row>
    <row r="249">
      <c r="A249" s="242"/>
      <c r="B249" s="443"/>
      <c r="C249" s="443"/>
      <c r="D249" s="443"/>
      <c r="E249" s="443"/>
      <c r="F249" s="443"/>
      <c r="G249" s="242"/>
      <c r="H249" s="242"/>
      <c r="I249" s="242"/>
      <c r="J249" s="242"/>
      <c r="K249" s="13"/>
      <c r="L249" s="242"/>
      <c r="M249" s="242"/>
      <c r="N249" s="13"/>
      <c r="O249" s="242"/>
      <c r="P249" s="242"/>
      <c r="Q249" s="242"/>
      <c r="R249" s="242"/>
      <c r="S249" s="242"/>
      <c r="T249" s="242"/>
      <c r="U249" s="242"/>
      <c r="V249" s="242"/>
      <c r="W249" s="242"/>
      <c r="X249" s="242"/>
      <c r="Y249" s="242"/>
      <c r="Z249" s="242"/>
    </row>
    <row r="250">
      <c r="A250" s="242"/>
      <c r="B250" s="443"/>
      <c r="C250" s="443"/>
      <c r="D250" s="443"/>
      <c r="E250" s="443"/>
      <c r="F250" s="443"/>
      <c r="G250" s="242"/>
      <c r="H250" s="242"/>
      <c r="I250" s="242"/>
      <c r="J250" s="242"/>
      <c r="K250" s="13"/>
      <c r="L250" s="242"/>
      <c r="M250" s="242"/>
      <c r="N250" s="13"/>
      <c r="O250" s="242"/>
      <c r="P250" s="242"/>
      <c r="Q250" s="242"/>
      <c r="R250" s="242"/>
      <c r="S250" s="242"/>
      <c r="T250" s="242"/>
      <c r="U250" s="242"/>
      <c r="V250" s="242"/>
      <c r="W250" s="242"/>
      <c r="X250" s="242"/>
      <c r="Y250" s="242"/>
      <c r="Z250" s="242"/>
    </row>
    <row r="251">
      <c r="A251" s="242"/>
      <c r="B251" s="443"/>
      <c r="C251" s="443"/>
      <c r="D251" s="443"/>
      <c r="E251" s="443"/>
      <c r="F251" s="443"/>
      <c r="G251" s="242"/>
      <c r="H251" s="242"/>
      <c r="I251" s="242"/>
      <c r="J251" s="242"/>
      <c r="K251" s="13"/>
      <c r="L251" s="242"/>
      <c r="M251" s="242"/>
      <c r="N251" s="13"/>
      <c r="O251" s="242"/>
      <c r="P251" s="242"/>
      <c r="Q251" s="242"/>
      <c r="R251" s="242"/>
      <c r="S251" s="242"/>
      <c r="T251" s="242"/>
      <c r="U251" s="242"/>
      <c r="V251" s="242"/>
      <c r="W251" s="242"/>
      <c r="X251" s="242"/>
      <c r="Y251" s="242"/>
      <c r="Z251" s="242"/>
    </row>
    <row r="252">
      <c r="A252" s="242"/>
      <c r="B252" s="443"/>
      <c r="C252" s="443"/>
      <c r="D252" s="443"/>
      <c r="E252" s="443"/>
      <c r="F252" s="443"/>
      <c r="G252" s="242"/>
      <c r="H252" s="242"/>
      <c r="I252" s="242"/>
      <c r="J252" s="242"/>
      <c r="K252" s="13"/>
      <c r="L252" s="242"/>
      <c r="M252" s="242"/>
      <c r="N252" s="13"/>
      <c r="O252" s="242"/>
      <c r="P252" s="242"/>
      <c r="Q252" s="242"/>
      <c r="R252" s="242"/>
      <c r="S252" s="242"/>
      <c r="T252" s="242"/>
      <c r="U252" s="242"/>
      <c r="V252" s="242"/>
      <c r="W252" s="242"/>
      <c r="X252" s="242"/>
      <c r="Y252" s="242"/>
      <c r="Z252" s="242"/>
    </row>
    <row r="253">
      <c r="A253" s="242"/>
      <c r="B253" s="443"/>
      <c r="C253" s="443"/>
      <c r="D253" s="443"/>
      <c r="E253" s="443"/>
      <c r="F253" s="443"/>
      <c r="G253" s="242"/>
      <c r="H253" s="242"/>
      <c r="I253" s="242"/>
      <c r="J253" s="242"/>
      <c r="K253" s="13"/>
      <c r="L253" s="242"/>
      <c r="M253" s="242"/>
      <c r="N253" s="13"/>
      <c r="O253" s="242"/>
      <c r="P253" s="242"/>
      <c r="Q253" s="242"/>
      <c r="R253" s="242"/>
      <c r="S253" s="242"/>
      <c r="T253" s="242"/>
      <c r="U253" s="242"/>
      <c r="V253" s="242"/>
      <c r="W253" s="242"/>
      <c r="X253" s="242"/>
      <c r="Y253" s="242"/>
      <c r="Z253" s="242"/>
    </row>
    <row r="254">
      <c r="A254" s="242"/>
      <c r="B254" s="443"/>
      <c r="C254" s="443"/>
      <c r="D254" s="443"/>
      <c r="E254" s="443"/>
      <c r="F254" s="443"/>
      <c r="G254" s="242"/>
      <c r="H254" s="242"/>
      <c r="I254" s="242"/>
      <c r="J254" s="242"/>
      <c r="K254" s="13"/>
      <c r="L254" s="242"/>
      <c r="M254" s="242"/>
      <c r="N254" s="13"/>
      <c r="O254" s="242"/>
      <c r="P254" s="242"/>
      <c r="Q254" s="242"/>
      <c r="R254" s="242"/>
      <c r="S254" s="242"/>
      <c r="T254" s="242"/>
      <c r="U254" s="242"/>
      <c r="V254" s="242"/>
      <c r="W254" s="242"/>
      <c r="X254" s="242"/>
      <c r="Y254" s="242"/>
      <c r="Z254" s="242"/>
    </row>
    <row r="255">
      <c r="A255" s="242"/>
      <c r="B255" s="443"/>
      <c r="C255" s="443"/>
      <c r="D255" s="443"/>
      <c r="E255" s="443"/>
      <c r="F255" s="443"/>
      <c r="G255" s="242"/>
      <c r="H255" s="242"/>
      <c r="I255" s="242"/>
      <c r="J255" s="242"/>
      <c r="K255" s="13"/>
      <c r="L255" s="242"/>
      <c r="M255" s="242"/>
      <c r="N255" s="13"/>
      <c r="O255" s="242"/>
      <c r="P255" s="242"/>
      <c r="Q255" s="242"/>
      <c r="R255" s="242"/>
      <c r="S255" s="242"/>
      <c r="T255" s="242"/>
      <c r="U255" s="242"/>
      <c r="V255" s="242"/>
      <c r="W255" s="242"/>
      <c r="X255" s="242"/>
      <c r="Y255" s="242"/>
      <c r="Z255" s="242"/>
    </row>
    <row r="256">
      <c r="A256" s="242"/>
      <c r="B256" s="443"/>
      <c r="C256" s="443"/>
      <c r="D256" s="443"/>
      <c r="E256" s="443"/>
      <c r="F256" s="443"/>
      <c r="G256" s="242"/>
      <c r="H256" s="242"/>
      <c r="I256" s="242"/>
      <c r="J256" s="242"/>
      <c r="K256" s="13"/>
      <c r="L256" s="242"/>
      <c r="M256" s="242"/>
      <c r="N256" s="13"/>
      <c r="O256" s="242"/>
      <c r="P256" s="242"/>
      <c r="Q256" s="242"/>
      <c r="R256" s="242"/>
      <c r="S256" s="242"/>
      <c r="T256" s="242"/>
      <c r="U256" s="242"/>
      <c r="V256" s="242"/>
      <c r="W256" s="242"/>
      <c r="X256" s="242"/>
      <c r="Y256" s="242"/>
      <c r="Z256" s="242"/>
    </row>
    <row r="257">
      <c r="A257" s="242"/>
      <c r="B257" s="443"/>
      <c r="C257" s="443"/>
      <c r="D257" s="443"/>
      <c r="E257" s="443"/>
      <c r="F257" s="443"/>
      <c r="G257" s="242"/>
      <c r="H257" s="242"/>
      <c r="I257" s="242"/>
      <c r="J257" s="242"/>
      <c r="K257" s="13"/>
      <c r="L257" s="242"/>
      <c r="M257" s="242"/>
      <c r="N257" s="13"/>
      <c r="O257" s="242"/>
      <c r="P257" s="242"/>
      <c r="Q257" s="242"/>
      <c r="R257" s="242"/>
      <c r="S257" s="242"/>
      <c r="T257" s="242"/>
      <c r="U257" s="242"/>
      <c r="V257" s="242"/>
      <c r="W257" s="242"/>
      <c r="X257" s="242"/>
      <c r="Y257" s="242"/>
      <c r="Z257" s="242"/>
    </row>
    <row r="258">
      <c r="A258" s="242"/>
      <c r="B258" s="443"/>
      <c r="C258" s="443"/>
      <c r="D258" s="443"/>
      <c r="E258" s="443"/>
      <c r="F258" s="443"/>
      <c r="G258" s="242"/>
      <c r="H258" s="242"/>
      <c r="I258" s="242"/>
      <c r="J258" s="242"/>
      <c r="K258" s="13"/>
      <c r="L258" s="242"/>
      <c r="M258" s="242"/>
      <c r="N258" s="13"/>
      <c r="O258" s="242"/>
      <c r="P258" s="242"/>
      <c r="Q258" s="242"/>
      <c r="R258" s="242"/>
      <c r="S258" s="242"/>
      <c r="T258" s="242"/>
      <c r="U258" s="242"/>
      <c r="V258" s="242"/>
      <c r="W258" s="242"/>
      <c r="X258" s="242"/>
      <c r="Y258" s="242"/>
      <c r="Z258" s="242"/>
    </row>
    <row r="259">
      <c r="A259" s="242"/>
      <c r="B259" s="443"/>
      <c r="C259" s="443"/>
      <c r="D259" s="443"/>
      <c r="E259" s="443"/>
      <c r="F259" s="443"/>
      <c r="G259" s="242"/>
      <c r="H259" s="242"/>
      <c r="I259" s="242"/>
      <c r="J259" s="242"/>
      <c r="K259" s="13"/>
      <c r="L259" s="242"/>
      <c r="M259" s="242"/>
      <c r="N259" s="13"/>
      <c r="O259" s="242"/>
      <c r="P259" s="242"/>
      <c r="Q259" s="242"/>
      <c r="R259" s="242"/>
      <c r="S259" s="242"/>
      <c r="T259" s="242"/>
      <c r="U259" s="242"/>
      <c r="V259" s="242"/>
      <c r="W259" s="242"/>
      <c r="X259" s="242"/>
      <c r="Y259" s="242"/>
      <c r="Z259" s="242"/>
    </row>
    <row r="260">
      <c r="A260" s="242"/>
      <c r="B260" s="443"/>
      <c r="C260" s="443"/>
      <c r="D260" s="443"/>
      <c r="E260" s="443"/>
      <c r="F260" s="443"/>
      <c r="G260" s="242"/>
      <c r="H260" s="242"/>
      <c r="I260" s="242"/>
      <c r="J260" s="242"/>
      <c r="K260" s="13"/>
      <c r="L260" s="242"/>
      <c r="M260" s="242"/>
      <c r="N260" s="13"/>
      <c r="O260" s="242"/>
      <c r="P260" s="242"/>
      <c r="Q260" s="242"/>
      <c r="R260" s="242"/>
      <c r="S260" s="242"/>
      <c r="T260" s="242"/>
      <c r="U260" s="242"/>
      <c r="V260" s="242"/>
      <c r="W260" s="242"/>
      <c r="X260" s="242"/>
      <c r="Y260" s="242"/>
      <c r="Z260" s="242"/>
    </row>
    <row r="261">
      <c r="A261" s="242"/>
      <c r="B261" s="443"/>
      <c r="C261" s="443"/>
      <c r="D261" s="443"/>
      <c r="E261" s="443"/>
      <c r="F261" s="443"/>
      <c r="G261" s="242"/>
      <c r="H261" s="242"/>
      <c r="I261" s="242"/>
      <c r="J261" s="242"/>
      <c r="K261" s="13"/>
      <c r="L261" s="242"/>
      <c r="M261" s="242"/>
      <c r="N261" s="13"/>
      <c r="O261" s="242"/>
      <c r="P261" s="242"/>
      <c r="Q261" s="242"/>
      <c r="R261" s="242"/>
      <c r="S261" s="242"/>
      <c r="T261" s="242"/>
      <c r="U261" s="242"/>
      <c r="V261" s="242"/>
      <c r="W261" s="242"/>
      <c r="X261" s="242"/>
      <c r="Y261" s="242"/>
      <c r="Z261" s="242"/>
    </row>
    <row r="262">
      <c r="A262" s="242"/>
      <c r="B262" s="443"/>
      <c r="C262" s="443"/>
      <c r="D262" s="443"/>
      <c r="E262" s="443"/>
      <c r="F262" s="443"/>
      <c r="G262" s="242"/>
      <c r="H262" s="242"/>
      <c r="I262" s="242"/>
      <c r="J262" s="242"/>
      <c r="K262" s="13"/>
      <c r="L262" s="242"/>
      <c r="M262" s="242"/>
      <c r="N262" s="13"/>
      <c r="O262" s="242"/>
      <c r="P262" s="242"/>
      <c r="Q262" s="242"/>
      <c r="R262" s="242"/>
      <c r="S262" s="242"/>
      <c r="T262" s="242"/>
      <c r="U262" s="242"/>
      <c r="V262" s="242"/>
      <c r="W262" s="242"/>
      <c r="X262" s="242"/>
      <c r="Y262" s="242"/>
      <c r="Z262" s="242"/>
    </row>
    <row r="263">
      <c r="A263" s="242"/>
      <c r="B263" s="443"/>
      <c r="C263" s="443"/>
      <c r="D263" s="443"/>
      <c r="E263" s="443"/>
      <c r="F263" s="443"/>
      <c r="G263" s="242"/>
      <c r="H263" s="242"/>
      <c r="I263" s="242"/>
      <c r="J263" s="242"/>
      <c r="K263" s="13"/>
      <c r="L263" s="242"/>
      <c r="M263" s="242"/>
      <c r="N263" s="13"/>
      <c r="O263" s="242"/>
      <c r="P263" s="242"/>
      <c r="Q263" s="242"/>
      <c r="R263" s="242"/>
      <c r="S263" s="242"/>
      <c r="T263" s="242"/>
      <c r="U263" s="242"/>
      <c r="V263" s="242"/>
      <c r="W263" s="242"/>
      <c r="X263" s="242"/>
      <c r="Y263" s="242"/>
      <c r="Z263" s="242"/>
    </row>
    <row r="264">
      <c r="A264" s="242"/>
      <c r="B264" s="443"/>
      <c r="C264" s="443"/>
      <c r="D264" s="443"/>
      <c r="E264" s="443"/>
      <c r="F264" s="443"/>
      <c r="G264" s="242"/>
      <c r="H264" s="242"/>
      <c r="I264" s="242"/>
      <c r="J264" s="242"/>
      <c r="K264" s="13"/>
      <c r="L264" s="242"/>
      <c r="M264" s="242"/>
      <c r="N264" s="13"/>
      <c r="O264" s="242"/>
      <c r="P264" s="242"/>
      <c r="Q264" s="242"/>
      <c r="R264" s="242"/>
      <c r="S264" s="242"/>
      <c r="T264" s="242"/>
      <c r="U264" s="242"/>
      <c r="V264" s="242"/>
      <c r="W264" s="242"/>
      <c r="X264" s="242"/>
      <c r="Y264" s="242"/>
      <c r="Z264" s="242"/>
    </row>
    <row r="265">
      <c r="A265" s="242"/>
      <c r="B265" s="443"/>
      <c r="C265" s="443"/>
      <c r="D265" s="443"/>
      <c r="E265" s="443"/>
      <c r="F265" s="443"/>
      <c r="G265" s="242"/>
      <c r="H265" s="242"/>
      <c r="I265" s="242"/>
      <c r="J265" s="242"/>
      <c r="K265" s="13"/>
      <c r="L265" s="242"/>
      <c r="M265" s="242"/>
      <c r="N265" s="13"/>
      <c r="O265" s="242"/>
      <c r="P265" s="242"/>
      <c r="Q265" s="242"/>
      <c r="R265" s="242"/>
      <c r="S265" s="242"/>
      <c r="T265" s="242"/>
      <c r="U265" s="242"/>
      <c r="V265" s="242"/>
      <c r="W265" s="242"/>
      <c r="X265" s="242"/>
      <c r="Y265" s="242"/>
      <c r="Z265" s="242"/>
    </row>
    <row r="266">
      <c r="A266" s="242"/>
      <c r="B266" s="443"/>
      <c r="C266" s="443"/>
      <c r="D266" s="443"/>
      <c r="E266" s="443"/>
      <c r="F266" s="443"/>
      <c r="G266" s="242"/>
      <c r="H266" s="242"/>
      <c r="I266" s="242"/>
      <c r="J266" s="242"/>
      <c r="K266" s="13"/>
      <c r="L266" s="242"/>
      <c r="M266" s="242"/>
      <c r="N266" s="13"/>
      <c r="O266" s="242"/>
      <c r="P266" s="242"/>
      <c r="Q266" s="242"/>
      <c r="R266" s="242"/>
      <c r="S266" s="242"/>
      <c r="T266" s="242"/>
      <c r="U266" s="242"/>
      <c r="V266" s="242"/>
      <c r="W266" s="242"/>
      <c r="X266" s="242"/>
      <c r="Y266" s="242"/>
      <c r="Z266" s="242"/>
    </row>
    <row r="267">
      <c r="A267" s="242"/>
      <c r="B267" s="443"/>
      <c r="C267" s="443"/>
      <c r="D267" s="443"/>
      <c r="E267" s="443"/>
      <c r="F267" s="443"/>
      <c r="G267" s="242"/>
      <c r="H267" s="242"/>
      <c r="I267" s="242"/>
      <c r="J267" s="242"/>
      <c r="K267" s="13"/>
      <c r="L267" s="242"/>
      <c r="M267" s="242"/>
      <c r="N267" s="13"/>
      <c r="O267" s="242"/>
      <c r="P267" s="242"/>
      <c r="Q267" s="242"/>
      <c r="R267" s="242"/>
      <c r="S267" s="242"/>
      <c r="T267" s="242"/>
      <c r="U267" s="242"/>
      <c r="V267" s="242"/>
      <c r="W267" s="242"/>
      <c r="X267" s="242"/>
      <c r="Y267" s="242"/>
      <c r="Z267" s="242"/>
    </row>
    <row r="268">
      <c r="A268" s="242"/>
      <c r="B268" s="443"/>
      <c r="C268" s="443"/>
      <c r="D268" s="443"/>
      <c r="E268" s="443"/>
      <c r="F268" s="443"/>
      <c r="G268" s="242"/>
      <c r="H268" s="242"/>
      <c r="I268" s="242"/>
      <c r="J268" s="242"/>
      <c r="K268" s="13"/>
      <c r="L268" s="242"/>
      <c r="M268" s="242"/>
      <c r="N268" s="13"/>
      <c r="O268" s="242"/>
      <c r="P268" s="242"/>
      <c r="Q268" s="242"/>
      <c r="R268" s="242"/>
      <c r="S268" s="242"/>
      <c r="T268" s="242"/>
      <c r="U268" s="242"/>
      <c r="V268" s="242"/>
      <c r="W268" s="242"/>
      <c r="X268" s="242"/>
      <c r="Y268" s="242"/>
      <c r="Z268" s="242"/>
    </row>
    <row r="269">
      <c r="A269" s="242"/>
      <c r="B269" s="443"/>
      <c r="C269" s="443"/>
      <c r="D269" s="443"/>
      <c r="E269" s="443"/>
      <c r="F269" s="443"/>
      <c r="G269" s="242"/>
      <c r="H269" s="242"/>
      <c r="I269" s="242"/>
      <c r="J269" s="242"/>
      <c r="K269" s="13"/>
      <c r="L269" s="242"/>
      <c r="M269" s="242"/>
      <c r="N269" s="13"/>
      <c r="O269" s="242"/>
      <c r="P269" s="242"/>
      <c r="Q269" s="242"/>
      <c r="R269" s="242"/>
      <c r="S269" s="242"/>
      <c r="T269" s="242"/>
      <c r="U269" s="242"/>
      <c r="V269" s="242"/>
      <c r="W269" s="242"/>
      <c r="X269" s="242"/>
      <c r="Y269" s="242"/>
      <c r="Z269" s="242"/>
    </row>
    <row r="270">
      <c r="A270" s="242"/>
      <c r="B270" s="443"/>
      <c r="C270" s="443"/>
      <c r="D270" s="443"/>
      <c r="E270" s="443"/>
      <c r="F270" s="443"/>
      <c r="G270" s="242"/>
      <c r="H270" s="242"/>
      <c r="I270" s="242"/>
      <c r="J270" s="242"/>
      <c r="K270" s="13"/>
      <c r="L270" s="242"/>
      <c r="M270" s="242"/>
      <c r="N270" s="13"/>
      <c r="O270" s="242"/>
      <c r="P270" s="242"/>
      <c r="Q270" s="242"/>
      <c r="R270" s="242"/>
      <c r="S270" s="242"/>
      <c r="T270" s="242"/>
      <c r="U270" s="242"/>
      <c r="V270" s="242"/>
      <c r="W270" s="242"/>
      <c r="X270" s="242"/>
      <c r="Y270" s="242"/>
      <c r="Z270" s="242"/>
    </row>
    <row r="271">
      <c r="A271" s="242"/>
      <c r="B271" s="443"/>
      <c r="C271" s="443"/>
      <c r="D271" s="443"/>
      <c r="E271" s="443"/>
      <c r="F271" s="443"/>
      <c r="G271" s="242"/>
      <c r="H271" s="242"/>
      <c r="I271" s="242"/>
      <c r="J271" s="242"/>
      <c r="K271" s="13"/>
      <c r="L271" s="242"/>
      <c r="M271" s="242"/>
      <c r="N271" s="13"/>
      <c r="O271" s="242"/>
      <c r="P271" s="242"/>
      <c r="Q271" s="242"/>
      <c r="R271" s="242"/>
      <c r="S271" s="242"/>
      <c r="T271" s="242"/>
      <c r="U271" s="242"/>
      <c r="V271" s="242"/>
      <c r="W271" s="242"/>
      <c r="X271" s="242"/>
      <c r="Y271" s="242"/>
      <c r="Z271" s="242"/>
    </row>
    <row r="272">
      <c r="A272" s="242"/>
      <c r="B272" s="443"/>
      <c r="C272" s="443"/>
      <c r="D272" s="443"/>
      <c r="E272" s="443"/>
      <c r="F272" s="443"/>
      <c r="G272" s="242"/>
      <c r="H272" s="242"/>
      <c r="I272" s="242"/>
      <c r="J272" s="242"/>
      <c r="K272" s="13"/>
      <c r="L272" s="242"/>
      <c r="M272" s="242"/>
      <c r="N272" s="13"/>
      <c r="O272" s="242"/>
      <c r="P272" s="242"/>
      <c r="Q272" s="242"/>
      <c r="R272" s="242"/>
      <c r="S272" s="242"/>
      <c r="T272" s="242"/>
      <c r="U272" s="242"/>
      <c r="V272" s="242"/>
      <c r="W272" s="242"/>
      <c r="X272" s="242"/>
      <c r="Y272" s="242"/>
      <c r="Z272" s="242"/>
    </row>
    <row r="273">
      <c r="A273" s="242"/>
      <c r="B273" s="443"/>
      <c r="C273" s="443"/>
      <c r="D273" s="443"/>
      <c r="E273" s="443"/>
      <c r="F273" s="443"/>
      <c r="G273" s="242"/>
      <c r="H273" s="242"/>
      <c r="I273" s="242"/>
      <c r="J273" s="242"/>
      <c r="K273" s="13"/>
      <c r="L273" s="242"/>
      <c r="M273" s="242"/>
      <c r="N273" s="13"/>
      <c r="O273" s="242"/>
      <c r="P273" s="242"/>
      <c r="Q273" s="242"/>
      <c r="R273" s="242"/>
      <c r="S273" s="242"/>
      <c r="T273" s="242"/>
      <c r="U273" s="242"/>
      <c r="V273" s="242"/>
      <c r="W273" s="242"/>
      <c r="X273" s="242"/>
      <c r="Y273" s="242"/>
      <c r="Z273" s="242"/>
    </row>
    <row r="274">
      <c r="A274" s="242"/>
      <c r="B274" s="443"/>
      <c r="C274" s="443"/>
      <c r="D274" s="443"/>
      <c r="E274" s="443"/>
      <c r="F274" s="443"/>
      <c r="G274" s="242"/>
      <c r="H274" s="242"/>
      <c r="I274" s="242"/>
      <c r="J274" s="242"/>
      <c r="K274" s="13"/>
      <c r="L274" s="242"/>
      <c r="M274" s="242"/>
      <c r="N274" s="13"/>
      <c r="O274" s="242"/>
      <c r="P274" s="242"/>
      <c r="Q274" s="242"/>
      <c r="R274" s="242"/>
      <c r="S274" s="242"/>
      <c r="T274" s="242"/>
      <c r="U274" s="242"/>
      <c r="V274" s="242"/>
      <c r="W274" s="242"/>
      <c r="X274" s="242"/>
      <c r="Y274" s="242"/>
      <c r="Z274" s="242"/>
    </row>
    <row r="275">
      <c r="A275" s="242"/>
      <c r="B275" s="443"/>
      <c r="C275" s="443"/>
      <c r="D275" s="443"/>
      <c r="E275" s="443"/>
      <c r="F275" s="443"/>
      <c r="G275" s="242"/>
      <c r="H275" s="242"/>
      <c r="I275" s="242"/>
      <c r="J275" s="242"/>
      <c r="K275" s="13"/>
      <c r="L275" s="242"/>
      <c r="M275" s="242"/>
      <c r="N275" s="13"/>
      <c r="O275" s="242"/>
      <c r="P275" s="242"/>
      <c r="Q275" s="242"/>
      <c r="R275" s="242"/>
      <c r="S275" s="242"/>
      <c r="T275" s="242"/>
      <c r="U275" s="242"/>
      <c r="V275" s="242"/>
      <c r="W275" s="242"/>
      <c r="X275" s="242"/>
      <c r="Y275" s="242"/>
      <c r="Z275" s="242"/>
    </row>
    <row r="276">
      <c r="A276" s="242"/>
      <c r="B276" s="443"/>
      <c r="C276" s="443"/>
      <c r="D276" s="443"/>
      <c r="E276" s="443"/>
      <c r="F276" s="443"/>
      <c r="G276" s="242"/>
      <c r="H276" s="242"/>
      <c r="I276" s="242"/>
      <c r="J276" s="242"/>
      <c r="K276" s="13"/>
      <c r="L276" s="242"/>
      <c r="M276" s="242"/>
      <c r="N276" s="13"/>
      <c r="O276" s="242"/>
      <c r="P276" s="242"/>
      <c r="Q276" s="242"/>
      <c r="R276" s="242"/>
      <c r="S276" s="242"/>
      <c r="T276" s="242"/>
      <c r="U276" s="242"/>
      <c r="V276" s="242"/>
      <c r="W276" s="242"/>
      <c r="X276" s="242"/>
      <c r="Y276" s="242"/>
      <c r="Z276" s="242"/>
    </row>
    <row r="277">
      <c r="A277" s="242"/>
      <c r="B277" s="443"/>
      <c r="C277" s="443"/>
      <c r="D277" s="443"/>
      <c r="E277" s="443"/>
      <c r="F277" s="443"/>
      <c r="G277" s="242"/>
      <c r="H277" s="242"/>
      <c r="I277" s="242"/>
      <c r="J277" s="242"/>
      <c r="K277" s="13"/>
      <c r="L277" s="242"/>
      <c r="M277" s="242"/>
      <c r="N277" s="13"/>
      <c r="O277" s="242"/>
      <c r="P277" s="242"/>
      <c r="Q277" s="242"/>
      <c r="R277" s="242"/>
      <c r="S277" s="242"/>
      <c r="T277" s="242"/>
      <c r="U277" s="242"/>
      <c r="V277" s="242"/>
      <c r="W277" s="242"/>
      <c r="X277" s="242"/>
      <c r="Y277" s="242"/>
      <c r="Z277" s="242"/>
    </row>
    <row r="278">
      <c r="A278" s="242"/>
      <c r="B278" s="443"/>
      <c r="C278" s="443"/>
      <c r="D278" s="443"/>
      <c r="E278" s="443"/>
      <c r="F278" s="443"/>
      <c r="G278" s="242"/>
      <c r="H278" s="242"/>
      <c r="I278" s="242"/>
      <c r="J278" s="242"/>
      <c r="K278" s="13"/>
      <c r="L278" s="242"/>
      <c r="M278" s="242"/>
      <c r="N278" s="13"/>
      <c r="O278" s="242"/>
      <c r="P278" s="242"/>
      <c r="Q278" s="242"/>
      <c r="R278" s="242"/>
      <c r="S278" s="242"/>
      <c r="T278" s="242"/>
      <c r="U278" s="242"/>
      <c r="V278" s="242"/>
      <c r="W278" s="242"/>
      <c r="X278" s="242"/>
      <c r="Y278" s="242"/>
      <c r="Z278" s="242"/>
    </row>
    <row r="279">
      <c r="A279" s="242"/>
      <c r="B279" s="443"/>
      <c r="C279" s="443"/>
      <c r="D279" s="443"/>
      <c r="E279" s="443"/>
      <c r="F279" s="443"/>
      <c r="G279" s="242"/>
      <c r="H279" s="242"/>
      <c r="I279" s="242"/>
      <c r="J279" s="242"/>
      <c r="K279" s="13"/>
      <c r="L279" s="242"/>
      <c r="M279" s="242"/>
      <c r="N279" s="13"/>
      <c r="O279" s="242"/>
      <c r="P279" s="242"/>
      <c r="Q279" s="242"/>
      <c r="R279" s="242"/>
      <c r="S279" s="242"/>
      <c r="T279" s="242"/>
      <c r="U279" s="242"/>
      <c r="V279" s="242"/>
      <c r="W279" s="242"/>
      <c r="X279" s="242"/>
      <c r="Y279" s="242"/>
      <c r="Z279" s="242"/>
    </row>
    <row r="280">
      <c r="A280" s="242"/>
      <c r="B280" s="443"/>
      <c r="C280" s="443"/>
      <c r="D280" s="443"/>
      <c r="E280" s="443"/>
      <c r="F280" s="443"/>
      <c r="G280" s="242"/>
      <c r="H280" s="242"/>
      <c r="I280" s="242"/>
      <c r="J280" s="242"/>
      <c r="K280" s="13"/>
      <c r="L280" s="242"/>
      <c r="M280" s="242"/>
      <c r="N280" s="13"/>
      <c r="O280" s="242"/>
      <c r="P280" s="242"/>
      <c r="Q280" s="242"/>
      <c r="R280" s="242"/>
      <c r="S280" s="242"/>
      <c r="T280" s="242"/>
      <c r="U280" s="242"/>
      <c r="V280" s="242"/>
      <c r="W280" s="242"/>
      <c r="X280" s="242"/>
      <c r="Y280" s="242"/>
      <c r="Z280" s="242"/>
    </row>
    <row r="281">
      <c r="A281" s="242"/>
      <c r="B281" s="443"/>
      <c r="C281" s="443"/>
      <c r="D281" s="443"/>
      <c r="E281" s="443"/>
      <c r="F281" s="443"/>
      <c r="G281" s="242"/>
      <c r="H281" s="242"/>
      <c r="I281" s="242"/>
      <c r="J281" s="242"/>
      <c r="K281" s="13"/>
      <c r="L281" s="242"/>
      <c r="M281" s="242"/>
      <c r="N281" s="13"/>
      <c r="O281" s="242"/>
      <c r="P281" s="242"/>
      <c r="Q281" s="242"/>
      <c r="R281" s="242"/>
      <c r="S281" s="242"/>
      <c r="T281" s="242"/>
      <c r="U281" s="242"/>
      <c r="V281" s="242"/>
      <c r="W281" s="242"/>
      <c r="X281" s="242"/>
      <c r="Y281" s="242"/>
      <c r="Z281" s="242"/>
    </row>
    <row r="282">
      <c r="A282" s="242"/>
      <c r="B282" s="443"/>
      <c r="C282" s="443"/>
      <c r="D282" s="443"/>
      <c r="E282" s="443"/>
      <c r="F282" s="443"/>
      <c r="G282" s="242"/>
      <c r="H282" s="242"/>
      <c r="I282" s="242"/>
      <c r="J282" s="242"/>
      <c r="K282" s="13"/>
      <c r="L282" s="242"/>
      <c r="M282" s="242"/>
      <c r="N282" s="13"/>
      <c r="O282" s="242"/>
      <c r="P282" s="242"/>
      <c r="Q282" s="242"/>
      <c r="R282" s="242"/>
      <c r="S282" s="242"/>
      <c r="T282" s="242"/>
      <c r="U282" s="242"/>
      <c r="V282" s="242"/>
      <c r="W282" s="242"/>
      <c r="X282" s="242"/>
      <c r="Y282" s="242"/>
      <c r="Z282" s="242"/>
    </row>
    <row r="283">
      <c r="A283" s="242"/>
      <c r="B283" s="443"/>
      <c r="C283" s="443"/>
      <c r="D283" s="443"/>
      <c r="E283" s="443"/>
      <c r="F283" s="443"/>
      <c r="G283" s="242"/>
      <c r="H283" s="242"/>
      <c r="I283" s="242"/>
      <c r="J283" s="242"/>
      <c r="K283" s="13"/>
      <c r="L283" s="242"/>
      <c r="M283" s="242"/>
      <c r="N283" s="13"/>
      <c r="O283" s="242"/>
      <c r="P283" s="242"/>
      <c r="Q283" s="242"/>
      <c r="R283" s="242"/>
      <c r="S283" s="242"/>
      <c r="T283" s="242"/>
      <c r="U283" s="242"/>
      <c r="V283" s="242"/>
      <c r="W283" s="242"/>
      <c r="X283" s="242"/>
      <c r="Y283" s="242"/>
      <c r="Z283" s="242"/>
    </row>
    <row r="284">
      <c r="A284" s="242"/>
      <c r="B284" s="443"/>
      <c r="C284" s="443"/>
      <c r="D284" s="443"/>
      <c r="E284" s="443"/>
      <c r="F284" s="443"/>
      <c r="G284" s="242"/>
      <c r="H284" s="242"/>
      <c r="I284" s="242"/>
      <c r="J284" s="242"/>
      <c r="K284" s="13"/>
      <c r="L284" s="242"/>
      <c r="M284" s="242"/>
      <c r="N284" s="13"/>
      <c r="O284" s="242"/>
      <c r="P284" s="242"/>
      <c r="Q284" s="242"/>
      <c r="R284" s="242"/>
      <c r="S284" s="242"/>
      <c r="T284" s="242"/>
      <c r="U284" s="242"/>
      <c r="V284" s="242"/>
      <c r="W284" s="242"/>
      <c r="X284" s="242"/>
      <c r="Y284" s="242"/>
      <c r="Z284" s="242"/>
    </row>
    <row r="285">
      <c r="A285" s="242"/>
      <c r="B285" s="443"/>
      <c r="C285" s="443"/>
      <c r="D285" s="443"/>
      <c r="E285" s="443"/>
      <c r="F285" s="443"/>
      <c r="G285" s="242"/>
      <c r="H285" s="242"/>
      <c r="I285" s="242"/>
      <c r="J285" s="242"/>
      <c r="K285" s="13"/>
      <c r="L285" s="242"/>
      <c r="M285" s="242"/>
      <c r="N285" s="13"/>
      <c r="O285" s="242"/>
      <c r="P285" s="242"/>
      <c r="Q285" s="242"/>
      <c r="R285" s="242"/>
      <c r="S285" s="242"/>
      <c r="T285" s="242"/>
      <c r="U285" s="242"/>
      <c r="V285" s="242"/>
      <c r="W285" s="242"/>
      <c r="X285" s="242"/>
      <c r="Y285" s="242"/>
      <c r="Z285" s="242"/>
    </row>
    <row r="286">
      <c r="A286" s="242"/>
      <c r="B286" s="443"/>
      <c r="C286" s="443"/>
      <c r="D286" s="443"/>
      <c r="E286" s="443"/>
      <c r="F286" s="443"/>
      <c r="G286" s="242"/>
      <c r="H286" s="242"/>
      <c r="I286" s="242"/>
      <c r="J286" s="242"/>
      <c r="K286" s="13"/>
      <c r="L286" s="242"/>
      <c r="M286" s="242"/>
      <c r="N286" s="13"/>
      <c r="O286" s="242"/>
      <c r="P286" s="242"/>
      <c r="Q286" s="242"/>
      <c r="R286" s="242"/>
      <c r="S286" s="242"/>
      <c r="T286" s="242"/>
      <c r="U286" s="242"/>
      <c r="V286" s="242"/>
      <c r="W286" s="242"/>
      <c r="X286" s="242"/>
      <c r="Y286" s="242"/>
      <c r="Z286" s="242"/>
    </row>
    <row r="287">
      <c r="A287" s="242"/>
      <c r="B287" s="443"/>
      <c r="C287" s="443"/>
      <c r="D287" s="443"/>
      <c r="E287" s="443"/>
      <c r="F287" s="443"/>
      <c r="G287" s="242"/>
      <c r="H287" s="242"/>
      <c r="I287" s="242"/>
      <c r="J287" s="242"/>
      <c r="K287" s="13"/>
      <c r="L287" s="242"/>
      <c r="M287" s="242"/>
      <c r="N287" s="13"/>
      <c r="O287" s="242"/>
      <c r="P287" s="242"/>
      <c r="Q287" s="242"/>
      <c r="R287" s="242"/>
      <c r="S287" s="242"/>
      <c r="T287" s="242"/>
      <c r="U287" s="242"/>
      <c r="V287" s="242"/>
      <c r="W287" s="242"/>
      <c r="X287" s="242"/>
      <c r="Y287" s="242"/>
      <c r="Z287" s="242"/>
    </row>
    <row r="288">
      <c r="A288" s="242"/>
      <c r="B288" s="443"/>
      <c r="C288" s="443"/>
      <c r="D288" s="443"/>
      <c r="E288" s="443"/>
      <c r="F288" s="443"/>
      <c r="G288" s="242"/>
      <c r="H288" s="242"/>
      <c r="I288" s="242"/>
      <c r="J288" s="242"/>
      <c r="K288" s="13"/>
      <c r="L288" s="242"/>
      <c r="M288" s="242"/>
      <c r="N288" s="13"/>
      <c r="O288" s="242"/>
      <c r="P288" s="242"/>
      <c r="Q288" s="242"/>
      <c r="R288" s="242"/>
      <c r="S288" s="242"/>
      <c r="T288" s="242"/>
      <c r="U288" s="242"/>
      <c r="V288" s="242"/>
      <c r="W288" s="242"/>
      <c r="X288" s="242"/>
      <c r="Y288" s="242"/>
      <c r="Z288" s="242"/>
    </row>
    <row r="289">
      <c r="A289" s="242"/>
      <c r="B289" s="443"/>
      <c r="C289" s="443"/>
      <c r="D289" s="443"/>
      <c r="E289" s="443"/>
      <c r="F289" s="443"/>
      <c r="G289" s="242"/>
      <c r="H289" s="242"/>
      <c r="I289" s="242"/>
      <c r="J289" s="242"/>
      <c r="K289" s="13"/>
      <c r="L289" s="242"/>
      <c r="M289" s="242"/>
      <c r="N289" s="13"/>
      <c r="O289" s="242"/>
      <c r="P289" s="242"/>
      <c r="Q289" s="242"/>
      <c r="R289" s="242"/>
      <c r="S289" s="242"/>
      <c r="T289" s="242"/>
      <c r="U289" s="242"/>
      <c r="V289" s="242"/>
      <c r="W289" s="242"/>
      <c r="X289" s="242"/>
      <c r="Y289" s="242"/>
      <c r="Z289" s="242"/>
    </row>
    <row r="290">
      <c r="A290" s="242"/>
      <c r="B290" s="443"/>
      <c r="C290" s="443"/>
      <c r="D290" s="443"/>
      <c r="E290" s="443"/>
      <c r="F290" s="443"/>
      <c r="G290" s="242"/>
      <c r="H290" s="242"/>
      <c r="I290" s="242"/>
      <c r="J290" s="242"/>
      <c r="K290" s="13"/>
      <c r="L290" s="242"/>
      <c r="M290" s="242"/>
      <c r="N290" s="13"/>
      <c r="O290" s="242"/>
      <c r="P290" s="242"/>
      <c r="Q290" s="242"/>
      <c r="R290" s="242"/>
      <c r="S290" s="242"/>
      <c r="T290" s="242"/>
      <c r="U290" s="242"/>
      <c r="V290" s="242"/>
      <c r="W290" s="242"/>
      <c r="X290" s="242"/>
      <c r="Y290" s="242"/>
      <c r="Z290" s="242"/>
    </row>
    <row r="291">
      <c r="A291" s="242"/>
      <c r="B291" s="443"/>
      <c r="C291" s="443"/>
      <c r="D291" s="443"/>
      <c r="E291" s="443"/>
      <c r="F291" s="443"/>
      <c r="G291" s="242"/>
      <c r="H291" s="242"/>
      <c r="I291" s="242"/>
      <c r="J291" s="242"/>
      <c r="K291" s="13"/>
      <c r="L291" s="242"/>
      <c r="M291" s="242"/>
      <c r="N291" s="13"/>
      <c r="O291" s="242"/>
      <c r="P291" s="242"/>
      <c r="Q291" s="242"/>
      <c r="R291" s="242"/>
      <c r="S291" s="242"/>
      <c r="T291" s="242"/>
      <c r="U291" s="242"/>
      <c r="V291" s="242"/>
      <c r="W291" s="242"/>
      <c r="X291" s="242"/>
      <c r="Y291" s="242"/>
      <c r="Z291" s="242"/>
    </row>
    <row r="292">
      <c r="A292" s="242"/>
      <c r="B292" s="443"/>
      <c r="C292" s="443"/>
      <c r="D292" s="443"/>
      <c r="E292" s="443"/>
      <c r="F292" s="443"/>
      <c r="G292" s="242"/>
      <c r="H292" s="242"/>
      <c r="I292" s="242"/>
      <c r="J292" s="242"/>
      <c r="K292" s="13"/>
      <c r="L292" s="242"/>
      <c r="M292" s="242"/>
      <c r="N292" s="13"/>
      <c r="O292" s="242"/>
      <c r="P292" s="242"/>
      <c r="Q292" s="242"/>
      <c r="R292" s="242"/>
      <c r="S292" s="242"/>
      <c r="T292" s="242"/>
      <c r="U292" s="242"/>
      <c r="V292" s="242"/>
      <c r="W292" s="242"/>
      <c r="X292" s="242"/>
      <c r="Y292" s="242"/>
      <c r="Z292" s="242"/>
    </row>
    <row r="293">
      <c r="A293" s="242"/>
      <c r="B293" s="443"/>
      <c r="C293" s="443"/>
      <c r="D293" s="443"/>
      <c r="E293" s="443"/>
      <c r="F293" s="443"/>
      <c r="G293" s="242"/>
      <c r="H293" s="242"/>
      <c r="I293" s="242"/>
      <c r="J293" s="242"/>
      <c r="K293" s="13"/>
      <c r="L293" s="242"/>
      <c r="M293" s="242"/>
      <c r="N293" s="13"/>
      <c r="O293" s="242"/>
      <c r="P293" s="242"/>
      <c r="Q293" s="242"/>
      <c r="R293" s="242"/>
      <c r="S293" s="242"/>
      <c r="T293" s="242"/>
      <c r="U293" s="242"/>
      <c r="V293" s="242"/>
      <c r="W293" s="242"/>
      <c r="X293" s="242"/>
      <c r="Y293" s="242"/>
      <c r="Z293" s="242"/>
    </row>
    <row r="294">
      <c r="A294" s="242"/>
      <c r="B294" s="443"/>
      <c r="C294" s="443"/>
      <c r="D294" s="443"/>
      <c r="E294" s="443"/>
      <c r="F294" s="443"/>
      <c r="G294" s="242"/>
      <c r="H294" s="242"/>
      <c r="I294" s="242"/>
      <c r="J294" s="242"/>
      <c r="K294" s="13"/>
      <c r="L294" s="242"/>
      <c r="M294" s="242"/>
      <c r="N294" s="13"/>
      <c r="O294" s="242"/>
      <c r="P294" s="242"/>
      <c r="Q294" s="242"/>
      <c r="R294" s="242"/>
      <c r="S294" s="242"/>
      <c r="T294" s="242"/>
      <c r="U294" s="242"/>
      <c r="V294" s="242"/>
      <c r="W294" s="242"/>
      <c r="X294" s="242"/>
      <c r="Y294" s="242"/>
      <c r="Z294" s="242"/>
    </row>
    <row r="295">
      <c r="A295" s="242"/>
      <c r="B295" s="443"/>
      <c r="C295" s="443"/>
      <c r="D295" s="443"/>
      <c r="E295" s="443"/>
      <c r="F295" s="443"/>
      <c r="G295" s="242"/>
      <c r="H295" s="242"/>
      <c r="I295" s="242"/>
      <c r="J295" s="242"/>
      <c r="K295" s="13"/>
      <c r="L295" s="242"/>
      <c r="M295" s="242"/>
      <c r="N295" s="13"/>
      <c r="O295" s="242"/>
      <c r="P295" s="242"/>
      <c r="Q295" s="242"/>
      <c r="R295" s="242"/>
      <c r="S295" s="242"/>
      <c r="T295" s="242"/>
      <c r="U295" s="242"/>
      <c r="V295" s="242"/>
      <c r="W295" s="242"/>
      <c r="X295" s="242"/>
      <c r="Y295" s="242"/>
      <c r="Z295" s="242"/>
    </row>
    <row r="296">
      <c r="A296" s="242"/>
      <c r="B296" s="443"/>
      <c r="C296" s="443"/>
      <c r="D296" s="443"/>
      <c r="E296" s="443"/>
      <c r="F296" s="443"/>
      <c r="G296" s="242"/>
      <c r="H296" s="242"/>
      <c r="I296" s="242"/>
      <c r="J296" s="242"/>
      <c r="K296" s="13"/>
      <c r="L296" s="242"/>
      <c r="M296" s="242"/>
      <c r="N296" s="13"/>
      <c r="O296" s="242"/>
      <c r="P296" s="242"/>
      <c r="Q296" s="242"/>
      <c r="R296" s="242"/>
      <c r="S296" s="242"/>
      <c r="T296" s="242"/>
      <c r="U296" s="242"/>
      <c r="V296" s="242"/>
      <c r="W296" s="242"/>
      <c r="X296" s="242"/>
      <c r="Y296" s="242"/>
      <c r="Z296" s="242"/>
    </row>
    <row r="297">
      <c r="A297" s="242"/>
      <c r="B297" s="443"/>
      <c r="C297" s="443"/>
      <c r="D297" s="443"/>
      <c r="E297" s="443"/>
      <c r="F297" s="443"/>
      <c r="G297" s="242"/>
      <c r="H297" s="242"/>
      <c r="I297" s="242"/>
      <c r="J297" s="242"/>
      <c r="K297" s="13"/>
      <c r="L297" s="242"/>
      <c r="M297" s="242"/>
      <c r="N297" s="13"/>
      <c r="O297" s="242"/>
      <c r="P297" s="242"/>
      <c r="Q297" s="242"/>
      <c r="R297" s="242"/>
      <c r="S297" s="242"/>
      <c r="T297" s="242"/>
      <c r="U297" s="242"/>
      <c r="V297" s="242"/>
      <c r="W297" s="242"/>
      <c r="X297" s="242"/>
      <c r="Y297" s="242"/>
      <c r="Z297" s="242"/>
    </row>
    <row r="298">
      <c r="A298" s="242"/>
      <c r="B298" s="443"/>
      <c r="C298" s="443"/>
      <c r="D298" s="443"/>
      <c r="E298" s="443"/>
      <c r="F298" s="443"/>
      <c r="G298" s="242"/>
      <c r="H298" s="242"/>
      <c r="I298" s="242"/>
      <c r="J298" s="242"/>
      <c r="K298" s="13"/>
      <c r="L298" s="242"/>
      <c r="M298" s="242"/>
      <c r="N298" s="13"/>
      <c r="O298" s="242"/>
      <c r="P298" s="242"/>
      <c r="Q298" s="242"/>
      <c r="R298" s="242"/>
      <c r="S298" s="242"/>
      <c r="T298" s="242"/>
      <c r="U298" s="242"/>
      <c r="V298" s="242"/>
      <c r="W298" s="242"/>
      <c r="X298" s="242"/>
      <c r="Y298" s="242"/>
      <c r="Z298" s="242"/>
    </row>
    <row r="299">
      <c r="A299" s="242"/>
      <c r="B299" s="443"/>
      <c r="C299" s="443"/>
      <c r="D299" s="443"/>
      <c r="E299" s="443"/>
      <c r="F299" s="443"/>
      <c r="G299" s="242"/>
      <c r="H299" s="242"/>
      <c r="I299" s="242"/>
      <c r="J299" s="242"/>
      <c r="K299" s="13"/>
      <c r="L299" s="242"/>
      <c r="M299" s="242"/>
      <c r="N299" s="13"/>
      <c r="O299" s="242"/>
      <c r="P299" s="242"/>
      <c r="Q299" s="242"/>
      <c r="R299" s="242"/>
      <c r="S299" s="242"/>
      <c r="T299" s="242"/>
      <c r="U299" s="242"/>
      <c r="V299" s="242"/>
      <c r="W299" s="242"/>
      <c r="X299" s="242"/>
      <c r="Y299" s="242"/>
      <c r="Z299" s="242"/>
    </row>
    <row r="300">
      <c r="A300" s="242"/>
      <c r="B300" s="443"/>
      <c r="C300" s="443"/>
      <c r="D300" s="443"/>
      <c r="E300" s="443"/>
      <c r="F300" s="443"/>
      <c r="G300" s="242"/>
      <c r="H300" s="242"/>
      <c r="I300" s="242"/>
      <c r="J300" s="242"/>
      <c r="K300" s="13"/>
      <c r="L300" s="242"/>
      <c r="M300" s="242"/>
      <c r="N300" s="13"/>
      <c r="O300" s="242"/>
      <c r="P300" s="242"/>
      <c r="Q300" s="242"/>
      <c r="R300" s="242"/>
      <c r="S300" s="242"/>
      <c r="T300" s="242"/>
      <c r="U300" s="242"/>
      <c r="V300" s="242"/>
      <c r="W300" s="242"/>
      <c r="X300" s="242"/>
      <c r="Y300" s="242"/>
      <c r="Z300" s="242"/>
    </row>
    <row r="301">
      <c r="A301" s="242"/>
      <c r="B301" s="443"/>
      <c r="C301" s="443"/>
      <c r="D301" s="443"/>
      <c r="E301" s="443"/>
      <c r="F301" s="443"/>
      <c r="G301" s="242"/>
      <c r="H301" s="242"/>
      <c r="I301" s="242"/>
      <c r="J301" s="242"/>
      <c r="K301" s="13"/>
      <c r="L301" s="242"/>
      <c r="M301" s="242"/>
      <c r="N301" s="13"/>
      <c r="O301" s="242"/>
      <c r="P301" s="242"/>
      <c r="Q301" s="242"/>
      <c r="R301" s="242"/>
      <c r="S301" s="242"/>
      <c r="T301" s="242"/>
      <c r="U301" s="242"/>
      <c r="V301" s="242"/>
      <c r="W301" s="242"/>
      <c r="X301" s="242"/>
      <c r="Y301" s="242"/>
      <c r="Z301" s="242"/>
    </row>
    <row r="302">
      <c r="A302" s="242"/>
      <c r="B302" s="443"/>
      <c r="C302" s="443"/>
      <c r="D302" s="443"/>
      <c r="E302" s="443"/>
      <c r="F302" s="443"/>
      <c r="G302" s="242"/>
      <c r="H302" s="242"/>
      <c r="I302" s="242"/>
      <c r="J302" s="242"/>
      <c r="K302" s="13"/>
      <c r="L302" s="242"/>
      <c r="M302" s="242"/>
      <c r="N302" s="13"/>
      <c r="O302" s="242"/>
      <c r="P302" s="242"/>
      <c r="Q302" s="242"/>
      <c r="R302" s="242"/>
      <c r="S302" s="242"/>
      <c r="T302" s="242"/>
      <c r="U302" s="242"/>
      <c r="V302" s="242"/>
      <c r="W302" s="242"/>
      <c r="X302" s="242"/>
      <c r="Y302" s="242"/>
      <c r="Z302" s="242"/>
    </row>
    <row r="303">
      <c r="A303" s="242"/>
      <c r="B303" s="443"/>
      <c r="C303" s="443"/>
      <c r="D303" s="443"/>
      <c r="E303" s="443"/>
      <c r="F303" s="443"/>
      <c r="G303" s="242"/>
      <c r="H303" s="242"/>
      <c r="I303" s="242"/>
      <c r="J303" s="242"/>
      <c r="K303" s="13"/>
      <c r="L303" s="242"/>
      <c r="M303" s="242"/>
      <c r="N303" s="13"/>
      <c r="O303" s="242"/>
      <c r="P303" s="242"/>
      <c r="Q303" s="242"/>
      <c r="R303" s="242"/>
      <c r="S303" s="242"/>
      <c r="T303" s="242"/>
      <c r="U303" s="242"/>
      <c r="V303" s="242"/>
      <c r="W303" s="242"/>
      <c r="X303" s="242"/>
      <c r="Y303" s="242"/>
      <c r="Z303" s="242"/>
    </row>
    <row r="304">
      <c r="A304" s="242"/>
      <c r="B304" s="443"/>
      <c r="C304" s="443"/>
      <c r="D304" s="443"/>
      <c r="E304" s="443"/>
      <c r="F304" s="443"/>
      <c r="G304" s="242"/>
      <c r="H304" s="242"/>
      <c r="I304" s="242"/>
      <c r="J304" s="242"/>
      <c r="K304" s="13"/>
      <c r="L304" s="242"/>
      <c r="M304" s="242"/>
      <c r="N304" s="13"/>
      <c r="O304" s="242"/>
      <c r="P304" s="242"/>
      <c r="Q304" s="242"/>
      <c r="R304" s="242"/>
      <c r="S304" s="242"/>
      <c r="T304" s="242"/>
      <c r="U304" s="242"/>
      <c r="V304" s="242"/>
      <c r="W304" s="242"/>
      <c r="X304" s="242"/>
      <c r="Y304" s="242"/>
      <c r="Z304" s="242"/>
    </row>
    <row r="305">
      <c r="A305" s="242"/>
      <c r="B305" s="443"/>
      <c r="C305" s="443"/>
      <c r="D305" s="443"/>
      <c r="E305" s="443"/>
      <c r="F305" s="443"/>
      <c r="G305" s="242"/>
      <c r="H305" s="242"/>
      <c r="I305" s="242"/>
      <c r="J305" s="242"/>
      <c r="K305" s="13"/>
      <c r="L305" s="242"/>
      <c r="M305" s="242"/>
      <c r="N305" s="13"/>
      <c r="O305" s="242"/>
      <c r="P305" s="242"/>
      <c r="Q305" s="242"/>
      <c r="R305" s="242"/>
      <c r="S305" s="242"/>
      <c r="T305" s="242"/>
      <c r="U305" s="242"/>
      <c r="V305" s="242"/>
      <c r="W305" s="242"/>
      <c r="X305" s="242"/>
      <c r="Y305" s="242"/>
      <c r="Z305" s="242"/>
    </row>
    <row r="306">
      <c r="A306" s="242"/>
      <c r="B306" s="443"/>
      <c r="C306" s="443"/>
      <c r="D306" s="443"/>
      <c r="E306" s="443"/>
      <c r="F306" s="443"/>
      <c r="G306" s="242"/>
      <c r="H306" s="242"/>
      <c r="I306" s="242"/>
      <c r="J306" s="242"/>
      <c r="K306" s="13"/>
      <c r="L306" s="242"/>
      <c r="M306" s="242"/>
      <c r="N306" s="13"/>
      <c r="O306" s="242"/>
      <c r="P306" s="242"/>
      <c r="Q306" s="242"/>
      <c r="R306" s="242"/>
      <c r="S306" s="242"/>
      <c r="T306" s="242"/>
      <c r="U306" s="242"/>
      <c r="V306" s="242"/>
      <c r="W306" s="242"/>
      <c r="X306" s="242"/>
      <c r="Y306" s="242"/>
      <c r="Z306" s="242"/>
    </row>
    <row r="307">
      <c r="A307" s="242"/>
      <c r="B307" s="443"/>
      <c r="C307" s="443"/>
      <c r="D307" s="443"/>
      <c r="E307" s="443"/>
      <c r="F307" s="443"/>
      <c r="G307" s="242"/>
      <c r="H307" s="242"/>
      <c r="I307" s="242"/>
      <c r="J307" s="242"/>
      <c r="K307" s="13"/>
      <c r="L307" s="242"/>
      <c r="M307" s="242"/>
      <c r="N307" s="13"/>
      <c r="O307" s="242"/>
      <c r="P307" s="242"/>
      <c r="Q307" s="242"/>
      <c r="R307" s="242"/>
      <c r="S307" s="242"/>
      <c r="T307" s="242"/>
      <c r="U307" s="242"/>
      <c r="V307" s="242"/>
      <c r="W307" s="242"/>
      <c r="X307" s="242"/>
      <c r="Y307" s="242"/>
      <c r="Z307" s="242"/>
    </row>
    <row r="308">
      <c r="A308" s="242"/>
      <c r="B308" s="443"/>
      <c r="C308" s="443"/>
      <c r="D308" s="443"/>
      <c r="E308" s="443"/>
      <c r="F308" s="443"/>
      <c r="G308" s="242"/>
      <c r="H308" s="242"/>
      <c r="I308" s="242"/>
      <c r="J308" s="242"/>
      <c r="K308" s="13"/>
      <c r="L308" s="242"/>
      <c r="M308" s="242"/>
      <c r="N308" s="13"/>
      <c r="O308" s="242"/>
      <c r="P308" s="242"/>
      <c r="Q308" s="242"/>
      <c r="R308" s="242"/>
      <c r="S308" s="242"/>
      <c r="T308" s="242"/>
      <c r="U308" s="242"/>
      <c r="V308" s="242"/>
      <c r="W308" s="242"/>
      <c r="X308" s="242"/>
      <c r="Y308" s="242"/>
      <c r="Z308" s="242"/>
    </row>
    <row r="309">
      <c r="A309" s="242"/>
      <c r="B309" s="443"/>
      <c r="C309" s="443"/>
      <c r="D309" s="443"/>
      <c r="E309" s="443"/>
      <c r="F309" s="443"/>
      <c r="G309" s="242"/>
      <c r="H309" s="242"/>
      <c r="I309" s="242"/>
      <c r="J309" s="242"/>
      <c r="K309" s="13"/>
      <c r="L309" s="242"/>
      <c r="M309" s="242"/>
      <c r="N309" s="13"/>
      <c r="O309" s="242"/>
      <c r="P309" s="242"/>
      <c r="Q309" s="242"/>
      <c r="R309" s="242"/>
      <c r="S309" s="242"/>
      <c r="T309" s="242"/>
      <c r="U309" s="242"/>
      <c r="V309" s="242"/>
      <c r="W309" s="242"/>
      <c r="X309" s="242"/>
      <c r="Y309" s="242"/>
      <c r="Z309" s="242"/>
    </row>
    <row r="310">
      <c r="A310" s="242"/>
      <c r="B310" s="443"/>
      <c r="C310" s="443"/>
      <c r="D310" s="443"/>
      <c r="E310" s="443"/>
      <c r="F310" s="443"/>
      <c r="G310" s="242"/>
      <c r="H310" s="242"/>
      <c r="I310" s="242"/>
      <c r="J310" s="242"/>
      <c r="K310" s="13"/>
      <c r="L310" s="242"/>
      <c r="M310" s="242"/>
      <c r="N310" s="13"/>
      <c r="O310" s="242"/>
      <c r="P310" s="242"/>
      <c r="Q310" s="242"/>
      <c r="R310" s="242"/>
      <c r="S310" s="242"/>
      <c r="T310" s="242"/>
      <c r="U310" s="242"/>
      <c r="V310" s="242"/>
      <c r="W310" s="242"/>
      <c r="X310" s="242"/>
      <c r="Y310" s="242"/>
      <c r="Z310" s="242"/>
    </row>
    <row r="311">
      <c r="A311" s="242"/>
      <c r="B311" s="443"/>
      <c r="C311" s="443"/>
      <c r="D311" s="443"/>
      <c r="E311" s="443"/>
      <c r="F311" s="443"/>
      <c r="G311" s="242"/>
      <c r="H311" s="242"/>
      <c r="I311" s="242"/>
      <c r="J311" s="242"/>
      <c r="K311" s="13"/>
      <c r="L311" s="242"/>
      <c r="M311" s="242"/>
      <c r="N311" s="13"/>
      <c r="O311" s="242"/>
      <c r="P311" s="242"/>
      <c r="Q311" s="242"/>
      <c r="R311" s="242"/>
      <c r="S311" s="242"/>
      <c r="T311" s="242"/>
      <c r="U311" s="242"/>
      <c r="V311" s="242"/>
      <c r="W311" s="242"/>
      <c r="X311" s="242"/>
      <c r="Y311" s="242"/>
      <c r="Z311" s="242"/>
    </row>
    <row r="312">
      <c r="A312" s="242"/>
      <c r="B312" s="443"/>
      <c r="C312" s="443"/>
      <c r="D312" s="443"/>
      <c r="E312" s="443"/>
      <c r="F312" s="443"/>
      <c r="G312" s="242"/>
      <c r="H312" s="242"/>
      <c r="I312" s="242"/>
      <c r="J312" s="242"/>
      <c r="K312" s="13"/>
      <c r="L312" s="242"/>
      <c r="M312" s="242"/>
      <c r="N312" s="13"/>
      <c r="O312" s="242"/>
      <c r="P312" s="242"/>
      <c r="Q312" s="242"/>
      <c r="R312" s="242"/>
      <c r="S312" s="242"/>
      <c r="T312" s="242"/>
      <c r="U312" s="242"/>
      <c r="V312" s="242"/>
      <c r="W312" s="242"/>
      <c r="X312" s="242"/>
      <c r="Y312" s="242"/>
      <c r="Z312" s="242"/>
    </row>
    <row r="313">
      <c r="A313" s="242"/>
      <c r="B313" s="443"/>
      <c r="C313" s="443"/>
      <c r="D313" s="443"/>
      <c r="E313" s="443"/>
      <c r="F313" s="443"/>
      <c r="G313" s="242"/>
      <c r="H313" s="242"/>
      <c r="I313" s="242"/>
      <c r="J313" s="242"/>
      <c r="K313" s="13"/>
      <c r="L313" s="242"/>
      <c r="M313" s="242"/>
      <c r="N313" s="13"/>
      <c r="O313" s="242"/>
      <c r="P313" s="242"/>
      <c r="Q313" s="242"/>
      <c r="R313" s="242"/>
      <c r="S313" s="242"/>
      <c r="T313" s="242"/>
      <c r="U313" s="242"/>
      <c r="V313" s="242"/>
      <c r="W313" s="242"/>
      <c r="X313" s="242"/>
      <c r="Y313" s="242"/>
      <c r="Z313" s="242"/>
    </row>
    <row r="314">
      <c r="A314" s="242"/>
      <c r="B314" s="443"/>
      <c r="C314" s="443"/>
      <c r="D314" s="443"/>
      <c r="E314" s="443"/>
      <c r="F314" s="443"/>
      <c r="G314" s="242"/>
      <c r="H314" s="242"/>
      <c r="I314" s="242"/>
      <c r="J314" s="242"/>
      <c r="K314" s="13"/>
      <c r="L314" s="242"/>
      <c r="M314" s="242"/>
      <c r="N314" s="13"/>
      <c r="O314" s="242"/>
      <c r="P314" s="242"/>
      <c r="Q314" s="242"/>
      <c r="R314" s="242"/>
      <c r="S314" s="242"/>
      <c r="T314" s="242"/>
      <c r="U314" s="242"/>
      <c r="V314" s="242"/>
      <c r="W314" s="242"/>
      <c r="X314" s="242"/>
      <c r="Y314" s="242"/>
      <c r="Z314" s="242"/>
    </row>
    <row r="315">
      <c r="A315" s="242"/>
      <c r="B315" s="443"/>
      <c r="C315" s="443"/>
      <c r="D315" s="443"/>
      <c r="E315" s="443"/>
      <c r="F315" s="443"/>
      <c r="G315" s="242"/>
      <c r="H315" s="242"/>
      <c r="I315" s="242"/>
      <c r="J315" s="242"/>
      <c r="K315" s="13"/>
      <c r="L315" s="242"/>
      <c r="M315" s="242"/>
      <c r="N315" s="13"/>
      <c r="O315" s="242"/>
      <c r="P315" s="242"/>
      <c r="Q315" s="242"/>
      <c r="R315" s="242"/>
      <c r="S315" s="242"/>
      <c r="T315" s="242"/>
      <c r="U315" s="242"/>
      <c r="V315" s="242"/>
      <c r="W315" s="242"/>
      <c r="X315" s="242"/>
      <c r="Y315" s="242"/>
      <c r="Z315" s="242"/>
    </row>
    <row r="316">
      <c r="A316" s="242"/>
      <c r="B316" s="443"/>
      <c r="C316" s="443"/>
      <c r="D316" s="443"/>
      <c r="E316" s="443"/>
      <c r="F316" s="443"/>
      <c r="G316" s="242"/>
      <c r="H316" s="242"/>
      <c r="I316" s="242"/>
      <c r="J316" s="242"/>
      <c r="K316" s="13"/>
      <c r="L316" s="242"/>
      <c r="M316" s="242"/>
      <c r="N316" s="13"/>
      <c r="O316" s="242"/>
      <c r="P316" s="242"/>
      <c r="Q316" s="242"/>
      <c r="R316" s="242"/>
      <c r="S316" s="242"/>
      <c r="T316" s="242"/>
      <c r="U316" s="242"/>
      <c r="V316" s="242"/>
      <c r="W316" s="242"/>
      <c r="X316" s="242"/>
      <c r="Y316" s="242"/>
      <c r="Z316" s="242"/>
    </row>
    <row r="317">
      <c r="A317" s="242"/>
      <c r="B317" s="443"/>
      <c r="C317" s="443"/>
      <c r="D317" s="443"/>
      <c r="E317" s="443"/>
      <c r="F317" s="443"/>
      <c r="G317" s="242"/>
      <c r="H317" s="242"/>
      <c r="I317" s="242"/>
      <c r="J317" s="242"/>
      <c r="K317" s="13"/>
      <c r="L317" s="242"/>
      <c r="M317" s="242"/>
      <c r="N317" s="13"/>
      <c r="O317" s="242"/>
      <c r="P317" s="242"/>
      <c r="Q317" s="242"/>
      <c r="R317" s="242"/>
      <c r="S317" s="242"/>
      <c r="T317" s="242"/>
      <c r="U317" s="242"/>
      <c r="V317" s="242"/>
      <c r="W317" s="242"/>
      <c r="X317" s="242"/>
      <c r="Y317" s="242"/>
      <c r="Z317" s="242"/>
    </row>
    <row r="318">
      <c r="A318" s="242"/>
      <c r="B318" s="443"/>
      <c r="C318" s="443"/>
      <c r="D318" s="443"/>
      <c r="E318" s="443"/>
      <c r="F318" s="443"/>
      <c r="G318" s="242"/>
      <c r="H318" s="242"/>
      <c r="I318" s="242"/>
      <c r="J318" s="242"/>
      <c r="K318" s="13"/>
      <c r="L318" s="242"/>
      <c r="M318" s="242"/>
      <c r="N318" s="13"/>
      <c r="O318" s="242"/>
      <c r="P318" s="242"/>
      <c r="Q318" s="242"/>
      <c r="R318" s="242"/>
      <c r="S318" s="242"/>
      <c r="T318" s="242"/>
      <c r="U318" s="242"/>
      <c r="V318" s="242"/>
      <c r="W318" s="242"/>
      <c r="X318" s="242"/>
      <c r="Y318" s="242"/>
      <c r="Z318" s="242"/>
    </row>
    <row r="319">
      <c r="A319" s="242"/>
      <c r="B319" s="443"/>
      <c r="C319" s="443"/>
      <c r="D319" s="443"/>
      <c r="E319" s="443"/>
      <c r="F319" s="443"/>
      <c r="G319" s="242"/>
      <c r="H319" s="242"/>
      <c r="I319" s="242"/>
      <c r="J319" s="242"/>
      <c r="K319" s="13"/>
      <c r="L319" s="242"/>
      <c r="M319" s="242"/>
      <c r="N319" s="13"/>
      <c r="O319" s="242"/>
      <c r="P319" s="242"/>
      <c r="Q319" s="242"/>
      <c r="R319" s="242"/>
      <c r="S319" s="242"/>
      <c r="T319" s="242"/>
      <c r="U319" s="242"/>
      <c r="V319" s="242"/>
      <c r="W319" s="242"/>
      <c r="X319" s="242"/>
      <c r="Y319" s="242"/>
      <c r="Z319" s="242"/>
    </row>
    <row r="320">
      <c r="A320" s="242"/>
      <c r="B320" s="443"/>
      <c r="C320" s="443"/>
      <c r="D320" s="443"/>
      <c r="E320" s="443"/>
      <c r="F320" s="443"/>
      <c r="G320" s="242"/>
      <c r="H320" s="242"/>
      <c r="I320" s="242"/>
      <c r="J320" s="242"/>
      <c r="K320" s="13"/>
      <c r="L320" s="242"/>
      <c r="M320" s="242"/>
      <c r="N320" s="13"/>
      <c r="O320" s="242"/>
      <c r="P320" s="242"/>
      <c r="Q320" s="242"/>
      <c r="R320" s="242"/>
      <c r="S320" s="242"/>
      <c r="T320" s="242"/>
      <c r="U320" s="242"/>
      <c r="V320" s="242"/>
      <c r="W320" s="242"/>
      <c r="X320" s="242"/>
      <c r="Y320" s="242"/>
      <c r="Z320" s="242"/>
    </row>
    <row r="321">
      <c r="A321" s="242"/>
      <c r="B321" s="443"/>
      <c r="C321" s="443"/>
      <c r="D321" s="443"/>
      <c r="E321" s="443"/>
      <c r="F321" s="443"/>
      <c r="G321" s="242"/>
      <c r="H321" s="242"/>
      <c r="I321" s="242"/>
      <c r="J321" s="242"/>
      <c r="K321" s="13"/>
      <c r="L321" s="242"/>
      <c r="M321" s="242"/>
      <c r="N321" s="13"/>
      <c r="O321" s="242"/>
      <c r="P321" s="242"/>
      <c r="Q321" s="242"/>
      <c r="R321" s="242"/>
      <c r="S321" s="242"/>
      <c r="T321" s="242"/>
      <c r="U321" s="242"/>
      <c r="V321" s="242"/>
      <c r="W321" s="242"/>
      <c r="X321" s="242"/>
      <c r="Y321" s="242"/>
      <c r="Z321" s="242"/>
    </row>
    <row r="322">
      <c r="A322" s="242"/>
      <c r="B322" s="443"/>
      <c r="C322" s="443"/>
      <c r="D322" s="443"/>
      <c r="E322" s="443"/>
      <c r="F322" s="443"/>
      <c r="G322" s="242"/>
      <c r="H322" s="242"/>
      <c r="I322" s="242"/>
      <c r="J322" s="242"/>
      <c r="K322" s="13"/>
      <c r="L322" s="242"/>
      <c r="M322" s="242"/>
      <c r="N322" s="13"/>
      <c r="O322" s="242"/>
      <c r="P322" s="242"/>
      <c r="Q322" s="242"/>
      <c r="R322" s="242"/>
      <c r="S322" s="242"/>
      <c r="T322" s="242"/>
      <c r="U322" s="242"/>
      <c r="V322" s="242"/>
      <c r="W322" s="242"/>
      <c r="X322" s="242"/>
      <c r="Y322" s="242"/>
      <c r="Z322" s="242"/>
    </row>
    <row r="323">
      <c r="A323" s="242"/>
      <c r="B323" s="443"/>
      <c r="C323" s="443"/>
      <c r="D323" s="443"/>
      <c r="E323" s="443"/>
      <c r="F323" s="443"/>
      <c r="G323" s="242"/>
      <c r="H323" s="242"/>
      <c r="I323" s="242"/>
      <c r="J323" s="242"/>
      <c r="K323" s="13"/>
      <c r="L323" s="242"/>
      <c r="M323" s="242"/>
      <c r="N323" s="13"/>
      <c r="O323" s="242"/>
      <c r="P323" s="242"/>
      <c r="Q323" s="242"/>
      <c r="R323" s="242"/>
      <c r="S323" s="242"/>
      <c r="T323" s="242"/>
      <c r="U323" s="242"/>
      <c r="V323" s="242"/>
      <c r="W323" s="242"/>
      <c r="X323" s="242"/>
      <c r="Y323" s="242"/>
      <c r="Z323" s="242"/>
    </row>
    <row r="324">
      <c r="A324" s="242"/>
      <c r="B324" s="443"/>
      <c r="C324" s="443"/>
      <c r="D324" s="443"/>
      <c r="E324" s="443"/>
      <c r="F324" s="443"/>
      <c r="G324" s="242"/>
      <c r="H324" s="242"/>
      <c r="I324" s="242"/>
      <c r="J324" s="242"/>
      <c r="K324" s="13"/>
      <c r="L324" s="242"/>
      <c r="M324" s="242"/>
      <c r="N324" s="13"/>
      <c r="O324" s="242"/>
      <c r="P324" s="242"/>
      <c r="Q324" s="242"/>
      <c r="R324" s="242"/>
      <c r="S324" s="242"/>
      <c r="T324" s="242"/>
      <c r="U324" s="242"/>
      <c r="V324" s="242"/>
      <c r="W324" s="242"/>
      <c r="X324" s="242"/>
      <c r="Y324" s="242"/>
      <c r="Z324" s="242"/>
    </row>
    <row r="325">
      <c r="A325" s="242"/>
      <c r="B325" s="443"/>
      <c r="C325" s="443"/>
      <c r="D325" s="443"/>
      <c r="E325" s="443"/>
      <c r="F325" s="443"/>
      <c r="G325" s="242"/>
      <c r="H325" s="242"/>
      <c r="I325" s="242"/>
      <c r="J325" s="242"/>
      <c r="K325" s="13"/>
      <c r="L325" s="242"/>
      <c r="M325" s="242"/>
      <c r="N325" s="13"/>
      <c r="O325" s="242"/>
      <c r="P325" s="242"/>
      <c r="Q325" s="242"/>
      <c r="R325" s="242"/>
      <c r="S325" s="242"/>
      <c r="T325" s="242"/>
      <c r="U325" s="242"/>
      <c r="V325" s="242"/>
      <c r="W325" s="242"/>
      <c r="X325" s="242"/>
      <c r="Y325" s="242"/>
      <c r="Z325" s="242"/>
    </row>
    <row r="326">
      <c r="A326" s="242"/>
      <c r="B326" s="443"/>
      <c r="C326" s="443"/>
      <c r="D326" s="443"/>
      <c r="E326" s="443"/>
      <c r="F326" s="443"/>
      <c r="G326" s="242"/>
      <c r="H326" s="242"/>
      <c r="I326" s="242"/>
      <c r="J326" s="242"/>
      <c r="K326" s="13"/>
      <c r="L326" s="242"/>
      <c r="M326" s="242"/>
      <c r="N326" s="13"/>
      <c r="O326" s="242"/>
      <c r="P326" s="242"/>
      <c r="Q326" s="242"/>
      <c r="R326" s="242"/>
      <c r="S326" s="242"/>
      <c r="T326" s="242"/>
      <c r="U326" s="242"/>
      <c r="V326" s="242"/>
      <c r="W326" s="242"/>
      <c r="X326" s="242"/>
      <c r="Y326" s="242"/>
      <c r="Z326" s="242"/>
    </row>
    <row r="327">
      <c r="A327" s="242"/>
      <c r="B327" s="443"/>
      <c r="C327" s="443"/>
      <c r="D327" s="443"/>
      <c r="E327" s="443"/>
      <c r="F327" s="443"/>
      <c r="G327" s="242"/>
      <c r="H327" s="242"/>
      <c r="I327" s="242"/>
      <c r="J327" s="242"/>
      <c r="K327" s="13"/>
      <c r="L327" s="242"/>
      <c r="M327" s="242"/>
      <c r="N327" s="13"/>
      <c r="O327" s="242"/>
      <c r="P327" s="242"/>
      <c r="Q327" s="242"/>
      <c r="R327" s="242"/>
      <c r="S327" s="242"/>
      <c r="T327" s="242"/>
      <c r="U327" s="242"/>
      <c r="V327" s="242"/>
      <c r="W327" s="242"/>
      <c r="X327" s="242"/>
      <c r="Y327" s="242"/>
      <c r="Z327" s="242"/>
    </row>
    <row r="328">
      <c r="A328" s="242"/>
      <c r="B328" s="443"/>
      <c r="C328" s="443"/>
      <c r="D328" s="443"/>
      <c r="E328" s="443"/>
      <c r="F328" s="443"/>
      <c r="G328" s="242"/>
      <c r="H328" s="242"/>
      <c r="I328" s="242"/>
      <c r="J328" s="242"/>
      <c r="K328" s="13"/>
      <c r="L328" s="242"/>
      <c r="M328" s="242"/>
      <c r="N328" s="13"/>
      <c r="O328" s="242"/>
      <c r="P328" s="242"/>
      <c r="Q328" s="242"/>
      <c r="R328" s="242"/>
      <c r="S328" s="242"/>
      <c r="T328" s="242"/>
      <c r="U328" s="242"/>
      <c r="V328" s="242"/>
      <c r="W328" s="242"/>
      <c r="X328" s="242"/>
      <c r="Y328" s="242"/>
      <c r="Z328" s="242"/>
    </row>
    <row r="329">
      <c r="A329" s="242"/>
      <c r="B329" s="443"/>
      <c r="C329" s="443"/>
      <c r="D329" s="443"/>
      <c r="E329" s="443"/>
      <c r="F329" s="443"/>
      <c r="G329" s="242"/>
      <c r="H329" s="242"/>
      <c r="I329" s="242"/>
      <c r="J329" s="242"/>
      <c r="K329" s="13"/>
      <c r="L329" s="242"/>
      <c r="M329" s="242"/>
      <c r="N329" s="13"/>
      <c r="O329" s="242"/>
      <c r="P329" s="242"/>
      <c r="Q329" s="242"/>
      <c r="R329" s="242"/>
      <c r="S329" s="242"/>
      <c r="T329" s="242"/>
      <c r="U329" s="242"/>
      <c r="V329" s="242"/>
      <c r="W329" s="242"/>
      <c r="X329" s="242"/>
      <c r="Y329" s="242"/>
      <c r="Z329" s="242"/>
    </row>
    <row r="330">
      <c r="A330" s="242"/>
      <c r="B330" s="443"/>
      <c r="C330" s="443"/>
      <c r="D330" s="443"/>
      <c r="E330" s="443"/>
      <c r="F330" s="443"/>
      <c r="G330" s="242"/>
      <c r="H330" s="242"/>
      <c r="I330" s="242"/>
      <c r="J330" s="242"/>
      <c r="K330" s="13"/>
      <c r="L330" s="242"/>
      <c r="M330" s="242"/>
      <c r="N330" s="13"/>
      <c r="O330" s="242"/>
      <c r="P330" s="242"/>
      <c r="Q330" s="242"/>
      <c r="R330" s="242"/>
      <c r="S330" s="242"/>
      <c r="T330" s="242"/>
      <c r="U330" s="242"/>
      <c r="V330" s="242"/>
      <c r="W330" s="242"/>
      <c r="X330" s="242"/>
      <c r="Y330" s="242"/>
      <c r="Z330" s="242"/>
    </row>
    <row r="331">
      <c r="A331" s="242"/>
      <c r="B331" s="443"/>
      <c r="C331" s="443"/>
      <c r="D331" s="443"/>
      <c r="E331" s="443"/>
      <c r="F331" s="443"/>
      <c r="G331" s="242"/>
      <c r="H331" s="242"/>
      <c r="I331" s="242"/>
      <c r="J331" s="242"/>
      <c r="K331" s="13"/>
      <c r="L331" s="242"/>
      <c r="M331" s="242"/>
      <c r="N331" s="13"/>
      <c r="O331" s="242"/>
      <c r="P331" s="242"/>
      <c r="Q331" s="242"/>
      <c r="R331" s="242"/>
      <c r="S331" s="242"/>
      <c r="T331" s="242"/>
      <c r="U331" s="242"/>
      <c r="V331" s="242"/>
      <c r="W331" s="242"/>
      <c r="X331" s="242"/>
      <c r="Y331" s="242"/>
      <c r="Z331" s="242"/>
    </row>
    <row r="332">
      <c r="A332" s="242"/>
      <c r="B332" s="443"/>
      <c r="C332" s="443"/>
      <c r="D332" s="443"/>
      <c r="E332" s="443"/>
      <c r="F332" s="443"/>
      <c r="G332" s="242"/>
      <c r="H332" s="242"/>
      <c r="I332" s="242"/>
      <c r="J332" s="242"/>
      <c r="K332" s="13"/>
      <c r="L332" s="242"/>
      <c r="M332" s="242"/>
      <c r="N332" s="13"/>
      <c r="O332" s="242"/>
      <c r="P332" s="242"/>
      <c r="Q332" s="242"/>
      <c r="R332" s="242"/>
      <c r="S332" s="242"/>
      <c r="T332" s="242"/>
      <c r="U332" s="242"/>
      <c r="V332" s="242"/>
      <c r="W332" s="242"/>
      <c r="X332" s="242"/>
      <c r="Y332" s="242"/>
      <c r="Z332" s="242"/>
    </row>
    <row r="333">
      <c r="A333" s="242"/>
      <c r="B333" s="443"/>
      <c r="C333" s="443"/>
      <c r="D333" s="443"/>
      <c r="E333" s="443"/>
      <c r="F333" s="443"/>
      <c r="G333" s="242"/>
      <c r="H333" s="242"/>
      <c r="I333" s="242"/>
      <c r="J333" s="242"/>
      <c r="K333" s="13"/>
      <c r="L333" s="242"/>
      <c r="M333" s="242"/>
      <c r="N333" s="13"/>
      <c r="O333" s="242"/>
      <c r="P333" s="242"/>
      <c r="Q333" s="242"/>
      <c r="R333" s="242"/>
      <c r="S333" s="242"/>
      <c r="T333" s="242"/>
      <c r="U333" s="242"/>
      <c r="V333" s="242"/>
      <c r="W333" s="242"/>
      <c r="X333" s="242"/>
      <c r="Y333" s="242"/>
      <c r="Z333" s="242"/>
    </row>
    <row r="334">
      <c r="A334" s="242"/>
      <c r="B334" s="443"/>
      <c r="C334" s="443"/>
      <c r="D334" s="443"/>
      <c r="E334" s="443"/>
      <c r="F334" s="443"/>
      <c r="G334" s="242"/>
      <c r="H334" s="242"/>
      <c r="I334" s="242"/>
      <c r="J334" s="242"/>
      <c r="K334" s="13"/>
      <c r="L334" s="242"/>
      <c r="M334" s="242"/>
      <c r="N334" s="13"/>
      <c r="O334" s="242"/>
      <c r="P334" s="242"/>
      <c r="Q334" s="242"/>
      <c r="R334" s="242"/>
      <c r="S334" s="242"/>
      <c r="T334" s="242"/>
      <c r="U334" s="242"/>
      <c r="V334" s="242"/>
      <c r="W334" s="242"/>
      <c r="X334" s="242"/>
      <c r="Y334" s="242"/>
      <c r="Z334" s="242"/>
    </row>
    <row r="335">
      <c r="A335" s="242"/>
      <c r="B335" s="443"/>
      <c r="C335" s="443"/>
      <c r="D335" s="443"/>
      <c r="E335" s="443"/>
      <c r="F335" s="443"/>
      <c r="G335" s="242"/>
      <c r="H335" s="242"/>
      <c r="I335" s="242"/>
      <c r="J335" s="242"/>
      <c r="K335" s="13"/>
      <c r="L335" s="242"/>
      <c r="M335" s="242"/>
      <c r="N335" s="13"/>
      <c r="O335" s="242"/>
      <c r="P335" s="242"/>
      <c r="Q335" s="242"/>
      <c r="R335" s="242"/>
      <c r="S335" s="242"/>
      <c r="T335" s="242"/>
      <c r="U335" s="242"/>
      <c r="V335" s="242"/>
      <c r="W335" s="242"/>
      <c r="X335" s="242"/>
      <c r="Y335" s="242"/>
      <c r="Z335" s="242"/>
    </row>
    <row r="336">
      <c r="A336" s="242"/>
      <c r="B336" s="443"/>
      <c r="C336" s="443"/>
      <c r="D336" s="443"/>
      <c r="E336" s="443"/>
      <c r="F336" s="443"/>
      <c r="G336" s="242"/>
      <c r="H336" s="242"/>
      <c r="I336" s="242"/>
      <c r="J336" s="242"/>
      <c r="K336" s="13"/>
      <c r="L336" s="242"/>
      <c r="M336" s="242"/>
      <c r="N336" s="13"/>
      <c r="O336" s="242"/>
      <c r="P336" s="242"/>
      <c r="Q336" s="242"/>
      <c r="R336" s="242"/>
      <c r="S336" s="242"/>
      <c r="T336" s="242"/>
      <c r="U336" s="242"/>
      <c r="V336" s="242"/>
      <c r="W336" s="242"/>
      <c r="X336" s="242"/>
      <c r="Y336" s="242"/>
      <c r="Z336" s="242"/>
    </row>
    <row r="337">
      <c r="A337" s="242"/>
      <c r="B337" s="443"/>
      <c r="C337" s="443"/>
      <c r="D337" s="443"/>
      <c r="E337" s="443"/>
      <c r="F337" s="443"/>
      <c r="G337" s="242"/>
      <c r="H337" s="242"/>
      <c r="I337" s="242"/>
      <c r="J337" s="242"/>
      <c r="K337" s="13"/>
      <c r="L337" s="242"/>
      <c r="M337" s="242"/>
      <c r="N337" s="13"/>
      <c r="O337" s="242"/>
      <c r="P337" s="242"/>
      <c r="Q337" s="242"/>
      <c r="R337" s="242"/>
      <c r="S337" s="242"/>
      <c r="T337" s="242"/>
      <c r="U337" s="242"/>
      <c r="V337" s="242"/>
      <c r="W337" s="242"/>
      <c r="X337" s="242"/>
      <c r="Y337" s="242"/>
      <c r="Z337" s="242"/>
    </row>
    <row r="338">
      <c r="A338" s="242"/>
      <c r="B338" s="443"/>
      <c r="C338" s="443"/>
      <c r="D338" s="443"/>
      <c r="E338" s="443"/>
      <c r="F338" s="443"/>
      <c r="G338" s="242"/>
      <c r="H338" s="242"/>
      <c r="I338" s="242"/>
      <c r="J338" s="242"/>
      <c r="K338" s="13"/>
      <c r="L338" s="242"/>
      <c r="M338" s="242"/>
      <c r="N338" s="13"/>
      <c r="O338" s="242"/>
      <c r="P338" s="242"/>
      <c r="Q338" s="242"/>
      <c r="R338" s="242"/>
      <c r="S338" s="242"/>
      <c r="T338" s="242"/>
      <c r="U338" s="242"/>
      <c r="V338" s="242"/>
      <c r="W338" s="242"/>
      <c r="X338" s="242"/>
      <c r="Y338" s="242"/>
      <c r="Z338" s="242"/>
    </row>
    <row r="339">
      <c r="A339" s="242"/>
      <c r="B339" s="443"/>
      <c r="C339" s="443"/>
      <c r="D339" s="443"/>
      <c r="E339" s="443"/>
      <c r="F339" s="443"/>
      <c r="G339" s="242"/>
      <c r="H339" s="242"/>
      <c r="I339" s="242"/>
      <c r="J339" s="242"/>
      <c r="K339" s="13"/>
      <c r="L339" s="242"/>
      <c r="M339" s="242"/>
      <c r="N339" s="13"/>
      <c r="O339" s="242"/>
      <c r="P339" s="242"/>
      <c r="Q339" s="242"/>
      <c r="R339" s="242"/>
      <c r="S339" s="242"/>
      <c r="T339" s="242"/>
      <c r="U339" s="242"/>
      <c r="V339" s="242"/>
      <c r="W339" s="242"/>
      <c r="X339" s="242"/>
      <c r="Y339" s="242"/>
      <c r="Z339" s="242"/>
    </row>
    <row r="340">
      <c r="A340" s="242"/>
      <c r="B340" s="443"/>
      <c r="C340" s="443"/>
      <c r="D340" s="443"/>
      <c r="E340" s="443"/>
      <c r="F340" s="443"/>
      <c r="G340" s="242"/>
      <c r="H340" s="242"/>
      <c r="I340" s="242"/>
      <c r="J340" s="242"/>
      <c r="K340" s="13"/>
      <c r="L340" s="242"/>
      <c r="M340" s="242"/>
      <c r="N340" s="13"/>
      <c r="O340" s="242"/>
      <c r="P340" s="242"/>
      <c r="Q340" s="242"/>
      <c r="R340" s="242"/>
      <c r="S340" s="242"/>
      <c r="T340" s="242"/>
      <c r="U340" s="242"/>
      <c r="V340" s="242"/>
      <c r="W340" s="242"/>
      <c r="X340" s="242"/>
      <c r="Y340" s="242"/>
      <c r="Z340" s="242"/>
    </row>
    <row r="341">
      <c r="A341" s="242"/>
      <c r="B341" s="443"/>
      <c r="C341" s="443"/>
      <c r="D341" s="443"/>
      <c r="E341" s="443"/>
      <c r="F341" s="443"/>
      <c r="G341" s="242"/>
      <c r="H341" s="242"/>
      <c r="I341" s="242"/>
      <c r="J341" s="242"/>
      <c r="K341" s="13"/>
      <c r="L341" s="242"/>
      <c r="M341" s="242"/>
      <c r="N341" s="13"/>
      <c r="O341" s="242"/>
      <c r="P341" s="242"/>
      <c r="Q341" s="242"/>
      <c r="R341" s="242"/>
      <c r="S341" s="242"/>
      <c r="T341" s="242"/>
      <c r="U341" s="242"/>
      <c r="V341" s="242"/>
      <c r="W341" s="242"/>
      <c r="X341" s="242"/>
      <c r="Y341" s="242"/>
      <c r="Z341" s="242"/>
    </row>
    <row r="342">
      <c r="A342" s="242"/>
      <c r="B342" s="443"/>
      <c r="C342" s="443"/>
      <c r="D342" s="443"/>
      <c r="E342" s="443"/>
      <c r="F342" s="443"/>
      <c r="G342" s="242"/>
      <c r="H342" s="242"/>
      <c r="I342" s="242"/>
      <c r="J342" s="242"/>
      <c r="K342" s="13"/>
      <c r="L342" s="242"/>
      <c r="M342" s="242"/>
      <c r="N342" s="13"/>
      <c r="O342" s="242"/>
      <c r="P342" s="242"/>
      <c r="Q342" s="242"/>
      <c r="R342" s="242"/>
      <c r="S342" s="242"/>
      <c r="T342" s="242"/>
      <c r="U342" s="242"/>
      <c r="V342" s="242"/>
      <c r="W342" s="242"/>
      <c r="X342" s="242"/>
      <c r="Y342" s="242"/>
      <c r="Z342" s="242"/>
    </row>
    <row r="343">
      <c r="A343" s="242"/>
      <c r="B343" s="443"/>
      <c r="C343" s="443"/>
      <c r="D343" s="443"/>
      <c r="E343" s="443"/>
      <c r="F343" s="443"/>
      <c r="G343" s="242"/>
      <c r="H343" s="242"/>
      <c r="I343" s="242"/>
      <c r="J343" s="242"/>
      <c r="K343" s="13"/>
      <c r="L343" s="242"/>
      <c r="M343" s="242"/>
      <c r="N343" s="13"/>
      <c r="O343" s="242"/>
      <c r="P343" s="242"/>
      <c r="Q343" s="242"/>
      <c r="R343" s="242"/>
      <c r="S343" s="242"/>
      <c r="T343" s="242"/>
      <c r="U343" s="242"/>
      <c r="V343" s="242"/>
      <c r="W343" s="242"/>
      <c r="X343" s="242"/>
      <c r="Y343" s="242"/>
      <c r="Z343" s="242"/>
    </row>
    <row r="344">
      <c r="A344" s="242"/>
      <c r="B344" s="443"/>
      <c r="C344" s="443"/>
      <c r="D344" s="443"/>
      <c r="E344" s="443"/>
      <c r="F344" s="443"/>
      <c r="G344" s="242"/>
      <c r="H344" s="242"/>
      <c r="I344" s="242"/>
      <c r="J344" s="242"/>
      <c r="K344" s="13"/>
      <c r="L344" s="242"/>
      <c r="M344" s="242"/>
      <c r="N344" s="13"/>
      <c r="O344" s="242"/>
      <c r="P344" s="242"/>
      <c r="Q344" s="242"/>
      <c r="R344" s="242"/>
      <c r="S344" s="242"/>
      <c r="T344" s="242"/>
      <c r="U344" s="242"/>
      <c r="V344" s="242"/>
      <c r="W344" s="242"/>
      <c r="X344" s="242"/>
      <c r="Y344" s="242"/>
      <c r="Z344" s="242"/>
    </row>
    <row r="345">
      <c r="A345" s="242"/>
      <c r="B345" s="443"/>
      <c r="C345" s="443"/>
      <c r="D345" s="443"/>
      <c r="E345" s="443"/>
      <c r="F345" s="443"/>
      <c r="G345" s="242"/>
      <c r="H345" s="242"/>
      <c r="I345" s="242"/>
      <c r="J345" s="242"/>
      <c r="K345" s="13"/>
      <c r="L345" s="242"/>
      <c r="M345" s="242"/>
      <c r="N345" s="13"/>
      <c r="O345" s="242"/>
      <c r="P345" s="242"/>
      <c r="Q345" s="242"/>
      <c r="R345" s="242"/>
      <c r="S345" s="242"/>
      <c r="T345" s="242"/>
      <c r="U345" s="242"/>
      <c r="V345" s="242"/>
      <c r="W345" s="242"/>
      <c r="X345" s="242"/>
      <c r="Y345" s="242"/>
      <c r="Z345" s="242"/>
    </row>
    <row r="346">
      <c r="A346" s="242"/>
      <c r="B346" s="443"/>
      <c r="C346" s="443"/>
      <c r="D346" s="443"/>
      <c r="E346" s="443"/>
      <c r="F346" s="443"/>
      <c r="G346" s="242"/>
      <c r="H346" s="242"/>
      <c r="I346" s="242"/>
      <c r="J346" s="242"/>
      <c r="K346" s="13"/>
      <c r="L346" s="242"/>
      <c r="M346" s="242"/>
      <c r="N346" s="13"/>
      <c r="O346" s="242"/>
      <c r="P346" s="242"/>
      <c r="Q346" s="242"/>
      <c r="R346" s="242"/>
      <c r="S346" s="242"/>
      <c r="T346" s="242"/>
      <c r="U346" s="242"/>
      <c r="V346" s="242"/>
      <c r="W346" s="242"/>
      <c r="X346" s="242"/>
      <c r="Y346" s="242"/>
      <c r="Z346" s="242"/>
    </row>
    <row r="347">
      <c r="A347" s="242"/>
      <c r="B347" s="443"/>
      <c r="C347" s="443"/>
      <c r="D347" s="443"/>
      <c r="E347" s="443"/>
      <c r="F347" s="443"/>
      <c r="G347" s="242"/>
      <c r="H347" s="242"/>
      <c r="I347" s="242"/>
      <c r="J347" s="242"/>
      <c r="K347" s="13"/>
      <c r="L347" s="242"/>
      <c r="M347" s="242"/>
      <c r="N347" s="13"/>
      <c r="O347" s="242"/>
      <c r="P347" s="242"/>
      <c r="Q347" s="242"/>
      <c r="R347" s="242"/>
      <c r="S347" s="242"/>
      <c r="T347" s="242"/>
      <c r="U347" s="242"/>
      <c r="V347" s="242"/>
      <c r="W347" s="242"/>
      <c r="X347" s="242"/>
      <c r="Y347" s="242"/>
      <c r="Z347" s="242"/>
    </row>
    <row r="348">
      <c r="A348" s="242"/>
      <c r="B348" s="443"/>
      <c r="C348" s="443"/>
      <c r="D348" s="443"/>
      <c r="E348" s="443"/>
      <c r="F348" s="443"/>
      <c r="G348" s="242"/>
      <c r="H348" s="242"/>
      <c r="I348" s="242"/>
      <c r="J348" s="242"/>
      <c r="K348" s="13"/>
      <c r="L348" s="242"/>
      <c r="M348" s="242"/>
      <c r="N348" s="13"/>
      <c r="O348" s="242"/>
      <c r="P348" s="242"/>
      <c r="Q348" s="242"/>
      <c r="R348" s="242"/>
      <c r="S348" s="242"/>
      <c r="T348" s="242"/>
      <c r="U348" s="242"/>
      <c r="V348" s="242"/>
      <c r="W348" s="242"/>
      <c r="X348" s="242"/>
      <c r="Y348" s="242"/>
      <c r="Z348" s="242"/>
    </row>
    <row r="349">
      <c r="A349" s="242"/>
      <c r="B349" s="443"/>
      <c r="C349" s="443"/>
      <c r="D349" s="443"/>
      <c r="E349" s="443"/>
      <c r="F349" s="443"/>
      <c r="G349" s="242"/>
      <c r="H349" s="242"/>
      <c r="I349" s="242"/>
      <c r="J349" s="242"/>
      <c r="K349" s="13"/>
      <c r="L349" s="242"/>
      <c r="M349" s="242"/>
      <c r="N349" s="13"/>
      <c r="O349" s="242"/>
      <c r="P349" s="242"/>
      <c r="Q349" s="242"/>
      <c r="R349" s="242"/>
      <c r="S349" s="242"/>
      <c r="T349" s="242"/>
      <c r="U349" s="242"/>
      <c r="V349" s="242"/>
      <c r="W349" s="242"/>
      <c r="X349" s="242"/>
      <c r="Y349" s="242"/>
      <c r="Z349" s="242"/>
    </row>
    <row r="350">
      <c r="A350" s="242"/>
      <c r="B350" s="443"/>
      <c r="C350" s="443"/>
      <c r="D350" s="443"/>
      <c r="E350" s="443"/>
      <c r="F350" s="443"/>
      <c r="G350" s="242"/>
      <c r="H350" s="242"/>
      <c r="I350" s="242"/>
      <c r="J350" s="242"/>
      <c r="K350" s="13"/>
      <c r="L350" s="242"/>
      <c r="M350" s="242"/>
      <c r="N350" s="13"/>
      <c r="O350" s="242"/>
      <c r="P350" s="242"/>
      <c r="Q350" s="242"/>
      <c r="R350" s="242"/>
      <c r="S350" s="242"/>
      <c r="T350" s="242"/>
      <c r="U350" s="242"/>
      <c r="V350" s="242"/>
      <c r="W350" s="242"/>
      <c r="X350" s="242"/>
      <c r="Y350" s="242"/>
      <c r="Z350" s="242"/>
    </row>
    <row r="351">
      <c r="A351" s="242"/>
      <c r="B351" s="443"/>
      <c r="C351" s="443"/>
      <c r="D351" s="443"/>
      <c r="E351" s="443"/>
      <c r="F351" s="443"/>
      <c r="G351" s="242"/>
      <c r="H351" s="242"/>
      <c r="I351" s="242"/>
      <c r="J351" s="242"/>
      <c r="K351" s="13"/>
      <c r="L351" s="242"/>
      <c r="M351" s="242"/>
      <c r="N351" s="13"/>
      <c r="O351" s="242"/>
      <c r="P351" s="242"/>
      <c r="Q351" s="242"/>
      <c r="R351" s="242"/>
      <c r="S351" s="242"/>
      <c r="T351" s="242"/>
      <c r="U351" s="242"/>
      <c r="V351" s="242"/>
      <c r="W351" s="242"/>
      <c r="X351" s="242"/>
      <c r="Y351" s="242"/>
      <c r="Z351" s="242"/>
    </row>
    <row r="352">
      <c r="A352" s="242"/>
      <c r="B352" s="443"/>
      <c r="C352" s="443"/>
      <c r="D352" s="443"/>
      <c r="E352" s="443"/>
      <c r="F352" s="443"/>
      <c r="G352" s="242"/>
      <c r="H352" s="242"/>
      <c r="I352" s="242"/>
      <c r="J352" s="242"/>
      <c r="K352" s="13"/>
      <c r="L352" s="242"/>
      <c r="M352" s="242"/>
      <c r="N352" s="13"/>
      <c r="O352" s="242"/>
      <c r="P352" s="242"/>
      <c r="Q352" s="242"/>
      <c r="R352" s="242"/>
      <c r="S352" s="242"/>
      <c r="T352" s="242"/>
      <c r="U352" s="242"/>
      <c r="V352" s="242"/>
      <c r="W352" s="242"/>
      <c r="X352" s="242"/>
      <c r="Y352" s="242"/>
      <c r="Z352" s="242"/>
    </row>
    <row r="353">
      <c r="A353" s="242"/>
      <c r="B353" s="443"/>
      <c r="C353" s="443"/>
      <c r="D353" s="443"/>
      <c r="E353" s="443"/>
      <c r="F353" s="443"/>
      <c r="G353" s="242"/>
      <c r="H353" s="242"/>
      <c r="I353" s="242"/>
      <c r="J353" s="242"/>
      <c r="K353" s="13"/>
      <c r="L353" s="242"/>
      <c r="M353" s="242"/>
      <c r="N353" s="13"/>
      <c r="O353" s="242"/>
      <c r="P353" s="242"/>
      <c r="Q353" s="242"/>
      <c r="R353" s="242"/>
      <c r="S353" s="242"/>
      <c r="T353" s="242"/>
      <c r="U353" s="242"/>
      <c r="V353" s="242"/>
      <c r="W353" s="242"/>
      <c r="X353" s="242"/>
      <c r="Y353" s="242"/>
      <c r="Z353" s="242"/>
    </row>
    <row r="354">
      <c r="A354" s="242"/>
      <c r="B354" s="443"/>
      <c r="C354" s="443"/>
      <c r="D354" s="443"/>
      <c r="E354" s="443"/>
      <c r="F354" s="443"/>
      <c r="G354" s="242"/>
      <c r="H354" s="242"/>
      <c r="I354" s="242"/>
      <c r="J354" s="242"/>
      <c r="K354" s="13"/>
      <c r="L354" s="242"/>
      <c r="M354" s="242"/>
      <c r="N354" s="13"/>
      <c r="O354" s="242"/>
      <c r="P354" s="242"/>
      <c r="Q354" s="242"/>
      <c r="R354" s="242"/>
      <c r="S354" s="242"/>
      <c r="T354" s="242"/>
      <c r="U354" s="242"/>
      <c r="V354" s="242"/>
      <c r="W354" s="242"/>
      <c r="X354" s="242"/>
      <c r="Y354" s="242"/>
      <c r="Z354" s="242"/>
    </row>
    <row r="355">
      <c r="A355" s="242"/>
      <c r="B355" s="443"/>
      <c r="C355" s="443"/>
      <c r="D355" s="443"/>
      <c r="E355" s="443"/>
      <c r="F355" s="443"/>
      <c r="G355" s="242"/>
      <c r="H355" s="242"/>
      <c r="I355" s="242"/>
      <c r="J355" s="242"/>
      <c r="K355" s="13"/>
      <c r="L355" s="242"/>
      <c r="M355" s="242"/>
      <c r="N355" s="13"/>
      <c r="O355" s="242"/>
      <c r="P355" s="242"/>
      <c r="Q355" s="242"/>
      <c r="R355" s="242"/>
      <c r="S355" s="242"/>
      <c r="T355" s="242"/>
      <c r="U355" s="242"/>
      <c r="V355" s="242"/>
      <c r="W355" s="242"/>
      <c r="X355" s="242"/>
      <c r="Y355" s="242"/>
      <c r="Z355" s="242"/>
    </row>
    <row r="356">
      <c r="A356" s="242"/>
      <c r="B356" s="443"/>
      <c r="C356" s="443"/>
      <c r="D356" s="443"/>
      <c r="E356" s="443"/>
      <c r="F356" s="443"/>
      <c r="G356" s="242"/>
      <c r="H356" s="242"/>
      <c r="I356" s="242"/>
      <c r="J356" s="242"/>
      <c r="K356" s="13"/>
      <c r="L356" s="242"/>
      <c r="M356" s="242"/>
      <c r="N356" s="13"/>
      <c r="O356" s="242"/>
      <c r="P356" s="242"/>
      <c r="Q356" s="242"/>
      <c r="R356" s="242"/>
      <c r="S356" s="242"/>
      <c r="T356" s="242"/>
      <c r="U356" s="242"/>
      <c r="V356" s="242"/>
      <c r="W356" s="242"/>
      <c r="X356" s="242"/>
      <c r="Y356" s="242"/>
      <c r="Z356" s="242"/>
    </row>
    <row r="357">
      <c r="A357" s="242"/>
      <c r="B357" s="443"/>
      <c r="C357" s="443"/>
      <c r="D357" s="443"/>
      <c r="E357" s="443"/>
      <c r="F357" s="443"/>
      <c r="G357" s="242"/>
      <c r="H357" s="242"/>
      <c r="I357" s="242"/>
      <c r="J357" s="242"/>
      <c r="K357" s="13"/>
      <c r="L357" s="242"/>
      <c r="M357" s="242"/>
      <c r="N357" s="13"/>
      <c r="O357" s="242"/>
      <c r="P357" s="242"/>
      <c r="Q357" s="242"/>
      <c r="R357" s="242"/>
      <c r="S357" s="242"/>
      <c r="T357" s="242"/>
      <c r="U357" s="242"/>
      <c r="V357" s="242"/>
      <c r="W357" s="242"/>
      <c r="X357" s="242"/>
      <c r="Y357" s="242"/>
      <c r="Z357" s="242"/>
    </row>
    <row r="358">
      <c r="A358" s="242"/>
      <c r="B358" s="443"/>
      <c r="C358" s="443"/>
      <c r="D358" s="443"/>
      <c r="E358" s="443"/>
      <c r="F358" s="443"/>
      <c r="G358" s="242"/>
      <c r="H358" s="242"/>
      <c r="I358" s="242"/>
      <c r="J358" s="242"/>
      <c r="K358" s="13"/>
      <c r="L358" s="242"/>
      <c r="M358" s="242"/>
      <c r="N358" s="13"/>
      <c r="O358" s="242"/>
      <c r="P358" s="242"/>
      <c r="Q358" s="242"/>
      <c r="R358" s="242"/>
      <c r="S358" s="242"/>
      <c r="T358" s="242"/>
      <c r="U358" s="242"/>
      <c r="V358" s="242"/>
      <c r="W358" s="242"/>
      <c r="X358" s="242"/>
      <c r="Y358" s="242"/>
      <c r="Z358" s="242"/>
    </row>
    <row r="359">
      <c r="A359" s="242"/>
      <c r="B359" s="443"/>
      <c r="C359" s="443"/>
      <c r="D359" s="443"/>
      <c r="E359" s="443"/>
      <c r="F359" s="443"/>
      <c r="G359" s="242"/>
      <c r="H359" s="242"/>
      <c r="I359" s="242"/>
      <c r="J359" s="242"/>
      <c r="K359" s="13"/>
      <c r="L359" s="242"/>
      <c r="M359" s="242"/>
      <c r="N359" s="13"/>
      <c r="O359" s="242"/>
      <c r="P359" s="242"/>
      <c r="Q359" s="242"/>
      <c r="R359" s="242"/>
      <c r="S359" s="242"/>
      <c r="T359" s="242"/>
      <c r="U359" s="242"/>
      <c r="V359" s="242"/>
      <c r="W359" s="242"/>
      <c r="X359" s="242"/>
      <c r="Y359" s="242"/>
      <c r="Z359" s="242"/>
    </row>
    <row r="360">
      <c r="A360" s="242"/>
      <c r="B360" s="443"/>
      <c r="C360" s="443"/>
      <c r="D360" s="443"/>
      <c r="E360" s="443"/>
      <c r="F360" s="443"/>
      <c r="G360" s="242"/>
      <c r="H360" s="242"/>
      <c r="I360" s="242"/>
      <c r="J360" s="242"/>
      <c r="K360" s="13"/>
      <c r="L360" s="242"/>
      <c r="M360" s="242"/>
      <c r="N360" s="13"/>
      <c r="O360" s="242"/>
      <c r="P360" s="242"/>
      <c r="Q360" s="242"/>
      <c r="R360" s="242"/>
      <c r="S360" s="242"/>
      <c r="T360" s="242"/>
      <c r="U360" s="242"/>
      <c r="V360" s="242"/>
      <c r="W360" s="242"/>
      <c r="X360" s="242"/>
      <c r="Y360" s="242"/>
      <c r="Z360" s="242"/>
    </row>
    <row r="361">
      <c r="A361" s="242"/>
      <c r="B361" s="443"/>
      <c r="C361" s="443"/>
      <c r="D361" s="443"/>
      <c r="E361" s="443"/>
      <c r="F361" s="443"/>
      <c r="G361" s="242"/>
      <c r="H361" s="242"/>
      <c r="I361" s="242"/>
      <c r="J361" s="242"/>
      <c r="K361" s="13"/>
      <c r="L361" s="242"/>
      <c r="M361" s="242"/>
      <c r="N361" s="13"/>
      <c r="O361" s="242"/>
      <c r="P361" s="242"/>
      <c r="Q361" s="242"/>
      <c r="R361" s="242"/>
      <c r="S361" s="242"/>
      <c r="T361" s="242"/>
      <c r="U361" s="242"/>
      <c r="V361" s="242"/>
      <c r="W361" s="242"/>
      <c r="X361" s="242"/>
      <c r="Y361" s="242"/>
      <c r="Z361" s="242"/>
    </row>
    <row r="362">
      <c r="A362" s="242"/>
      <c r="B362" s="443"/>
      <c r="C362" s="443"/>
      <c r="D362" s="443"/>
      <c r="E362" s="443"/>
      <c r="F362" s="443"/>
      <c r="G362" s="242"/>
      <c r="H362" s="242"/>
      <c r="I362" s="242"/>
      <c r="J362" s="242"/>
      <c r="K362" s="13"/>
      <c r="L362" s="242"/>
      <c r="M362" s="242"/>
      <c r="N362" s="13"/>
      <c r="O362" s="242"/>
      <c r="P362" s="242"/>
      <c r="Q362" s="242"/>
      <c r="R362" s="242"/>
      <c r="S362" s="242"/>
      <c r="T362" s="242"/>
      <c r="U362" s="242"/>
      <c r="V362" s="242"/>
      <c r="W362" s="242"/>
      <c r="X362" s="242"/>
      <c r="Y362" s="242"/>
      <c r="Z362" s="242"/>
    </row>
    <row r="363">
      <c r="A363" s="242"/>
      <c r="B363" s="443"/>
      <c r="C363" s="443"/>
      <c r="D363" s="443"/>
      <c r="E363" s="443"/>
      <c r="F363" s="443"/>
      <c r="G363" s="242"/>
      <c r="H363" s="242"/>
      <c r="I363" s="242"/>
      <c r="J363" s="242"/>
      <c r="K363" s="13"/>
      <c r="L363" s="242"/>
      <c r="M363" s="242"/>
      <c r="N363" s="13"/>
      <c r="O363" s="242"/>
      <c r="P363" s="242"/>
      <c r="Q363" s="242"/>
      <c r="R363" s="242"/>
      <c r="S363" s="242"/>
      <c r="T363" s="242"/>
      <c r="U363" s="242"/>
      <c r="V363" s="242"/>
      <c r="W363" s="242"/>
      <c r="X363" s="242"/>
      <c r="Y363" s="242"/>
      <c r="Z363" s="242"/>
    </row>
    <row r="364">
      <c r="A364" s="242"/>
      <c r="B364" s="443"/>
      <c r="C364" s="443"/>
      <c r="D364" s="443"/>
      <c r="E364" s="443"/>
      <c r="F364" s="443"/>
      <c r="G364" s="242"/>
      <c r="H364" s="242"/>
      <c r="I364" s="242"/>
      <c r="J364" s="242"/>
      <c r="K364" s="13"/>
      <c r="L364" s="242"/>
      <c r="M364" s="242"/>
      <c r="N364" s="13"/>
      <c r="O364" s="242"/>
      <c r="P364" s="242"/>
      <c r="Q364" s="242"/>
      <c r="R364" s="242"/>
      <c r="S364" s="242"/>
      <c r="T364" s="242"/>
      <c r="U364" s="242"/>
      <c r="V364" s="242"/>
      <c r="W364" s="242"/>
      <c r="X364" s="242"/>
      <c r="Y364" s="242"/>
      <c r="Z364" s="242"/>
    </row>
    <row r="365">
      <c r="A365" s="242"/>
      <c r="B365" s="443"/>
      <c r="C365" s="443"/>
      <c r="D365" s="443"/>
      <c r="E365" s="443"/>
      <c r="F365" s="443"/>
      <c r="G365" s="242"/>
      <c r="H365" s="242"/>
      <c r="I365" s="242"/>
      <c r="J365" s="242"/>
      <c r="K365" s="13"/>
      <c r="L365" s="242"/>
      <c r="M365" s="242"/>
      <c r="N365" s="13"/>
      <c r="O365" s="242"/>
      <c r="P365" s="242"/>
      <c r="Q365" s="242"/>
      <c r="R365" s="242"/>
      <c r="S365" s="242"/>
      <c r="T365" s="242"/>
      <c r="U365" s="242"/>
      <c r="V365" s="242"/>
      <c r="W365" s="242"/>
      <c r="X365" s="242"/>
      <c r="Y365" s="242"/>
      <c r="Z365" s="242"/>
    </row>
    <row r="366">
      <c r="A366" s="242"/>
      <c r="B366" s="443"/>
      <c r="C366" s="443"/>
      <c r="D366" s="443"/>
      <c r="E366" s="443"/>
      <c r="F366" s="443"/>
      <c r="G366" s="242"/>
      <c r="H366" s="242"/>
      <c r="I366" s="242"/>
      <c r="J366" s="242"/>
      <c r="K366" s="13"/>
      <c r="L366" s="242"/>
      <c r="M366" s="242"/>
      <c r="N366" s="13"/>
      <c r="O366" s="242"/>
      <c r="P366" s="242"/>
      <c r="Q366" s="242"/>
      <c r="R366" s="242"/>
      <c r="S366" s="242"/>
      <c r="T366" s="242"/>
      <c r="U366" s="242"/>
      <c r="V366" s="242"/>
      <c r="W366" s="242"/>
      <c r="X366" s="242"/>
      <c r="Y366" s="242"/>
      <c r="Z366" s="242"/>
    </row>
    <row r="367">
      <c r="A367" s="242"/>
      <c r="B367" s="443"/>
      <c r="C367" s="443"/>
      <c r="D367" s="443"/>
      <c r="E367" s="443"/>
      <c r="F367" s="443"/>
      <c r="G367" s="242"/>
      <c r="H367" s="242"/>
      <c r="I367" s="242"/>
      <c r="J367" s="242"/>
      <c r="K367" s="13"/>
      <c r="L367" s="242"/>
      <c r="M367" s="242"/>
      <c r="N367" s="13"/>
      <c r="O367" s="242"/>
      <c r="P367" s="242"/>
      <c r="Q367" s="242"/>
      <c r="R367" s="242"/>
      <c r="S367" s="242"/>
      <c r="T367" s="242"/>
      <c r="U367" s="242"/>
      <c r="V367" s="242"/>
      <c r="W367" s="242"/>
      <c r="X367" s="242"/>
      <c r="Y367" s="242"/>
      <c r="Z367" s="242"/>
    </row>
    <row r="368">
      <c r="A368" s="242"/>
      <c r="B368" s="443"/>
      <c r="C368" s="443"/>
      <c r="D368" s="443"/>
      <c r="E368" s="443"/>
      <c r="F368" s="443"/>
      <c r="G368" s="242"/>
      <c r="H368" s="242"/>
      <c r="I368" s="242"/>
      <c r="J368" s="242"/>
      <c r="K368" s="13"/>
      <c r="L368" s="242"/>
      <c r="M368" s="242"/>
      <c r="N368" s="13"/>
      <c r="O368" s="242"/>
      <c r="P368" s="242"/>
      <c r="Q368" s="242"/>
      <c r="R368" s="242"/>
      <c r="S368" s="242"/>
      <c r="T368" s="242"/>
      <c r="U368" s="242"/>
      <c r="V368" s="242"/>
      <c r="W368" s="242"/>
      <c r="X368" s="242"/>
      <c r="Y368" s="242"/>
      <c r="Z368" s="242"/>
    </row>
    <row r="369">
      <c r="A369" s="242"/>
      <c r="B369" s="443"/>
      <c r="C369" s="443"/>
      <c r="D369" s="443"/>
      <c r="E369" s="443"/>
      <c r="F369" s="443"/>
      <c r="G369" s="242"/>
      <c r="H369" s="242"/>
      <c r="I369" s="242"/>
      <c r="J369" s="242"/>
      <c r="K369" s="13"/>
      <c r="L369" s="242"/>
      <c r="M369" s="242"/>
      <c r="N369" s="13"/>
      <c r="O369" s="242"/>
      <c r="P369" s="242"/>
      <c r="Q369" s="242"/>
      <c r="R369" s="242"/>
      <c r="S369" s="242"/>
      <c r="T369" s="242"/>
      <c r="U369" s="242"/>
      <c r="V369" s="242"/>
      <c r="W369" s="242"/>
      <c r="X369" s="242"/>
      <c r="Y369" s="242"/>
      <c r="Z369" s="242"/>
    </row>
    <row r="370">
      <c r="A370" s="242"/>
      <c r="B370" s="443"/>
      <c r="C370" s="443"/>
      <c r="D370" s="443"/>
      <c r="E370" s="443"/>
      <c r="F370" s="443"/>
      <c r="G370" s="242"/>
      <c r="H370" s="242"/>
      <c r="I370" s="242"/>
      <c r="J370" s="242"/>
      <c r="K370" s="13"/>
      <c r="L370" s="242"/>
      <c r="M370" s="242"/>
      <c r="N370" s="13"/>
      <c r="O370" s="242"/>
      <c r="P370" s="242"/>
      <c r="Q370" s="242"/>
      <c r="R370" s="242"/>
      <c r="S370" s="242"/>
      <c r="T370" s="242"/>
      <c r="U370" s="242"/>
      <c r="V370" s="242"/>
      <c r="W370" s="242"/>
      <c r="X370" s="242"/>
      <c r="Y370" s="242"/>
      <c r="Z370" s="242"/>
    </row>
    <row r="371">
      <c r="A371" s="242"/>
      <c r="B371" s="443"/>
      <c r="C371" s="443"/>
      <c r="D371" s="443"/>
      <c r="E371" s="443"/>
      <c r="F371" s="443"/>
      <c r="G371" s="242"/>
      <c r="H371" s="242"/>
      <c r="I371" s="242"/>
      <c r="J371" s="242"/>
      <c r="K371" s="13"/>
      <c r="L371" s="242"/>
      <c r="M371" s="242"/>
      <c r="N371" s="13"/>
      <c r="O371" s="242"/>
      <c r="P371" s="242"/>
      <c r="Q371" s="242"/>
      <c r="R371" s="242"/>
      <c r="S371" s="242"/>
      <c r="T371" s="242"/>
      <c r="U371" s="242"/>
      <c r="V371" s="242"/>
      <c r="W371" s="242"/>
      <c r="X371" s="242"/>
      <c r="Y371" s="242"/>
      <c r="Z371" s="242"/>
    </row>
    <row r="372">
      <c r="A372" s="242"/>
      <c r="B372" s="443"/>
      <c r="C372" s="443"/>
      <c r="D372" s="443"/>
      <c r="E372" s="443"/>
      <c r="F372" s="443"/>
      <c r="G372" s="242"/>
      <c r="H372" s="242"/>
      <c r="I372" s="242"/>
      <c r="J372" s="242"/>
      <c r="K372" s="13"/>
      <c r="L372" s="242"/>
      <c r="M372" s="242"/>
      <c r="N372" s="13"/>
      <c r="O372" s="242"/>
      <c r="P372" s="242"/>
      <c r="Q372" s="242"/>
      <c r="R372" s="242"/>
      <c r="S372" s="242"/>
      <c r="T372" s="242"/>
      <c r="U372" s="242"/>
      <c r="V372" s="242"/>
      <c r="W372" s="242"/>
      <c r="X372" s="242"/>
      <c r="Y372" s="242"/>
      <c r="Z372" s="242"/>
    </row>
    <row r="373">
      <c r="A373" s="242"/>
      <c r="B373" s="443"/>
      <c r="C373" s="443"/>
      <c r="D373" s="443"/>
      <c r="E373" s="443"/>
      <c r="F373" s="443"/>
      <c r="G373" s="242"/>
      <c r="H373" s="242"/>
      <c r="I373" s="242"/>
      <c r="J373" s="242"/>
      <c r="K373" s="13"/>
      <c r="L373" s="242"/>
      <c r="M373" s="242"/>
      <c r="N373" s="13"/>
      <c r="O373" s="242"/>
      <c r="P373" s="242"/>
      <c r="Q373" s="242"/>
      <c r="R373" s="242"/>
      <c r="S373" s="242"/>
      <c r="T373" s="242"/>
      <c r="U373" s="242"/>
      <c r="V373" s="242"/>
      <c r="W373" s="242"/>
      <c r="X373" s="242"/>
      <c r="Y373" s="242"/>
      <c r="Z373" s="242"/>
    </row>
    <row r="374">
      <c r="A374" s="242"/>
      <c r="B374" s="443"/>
      <c r="C374" s="443"/>
      <c r="D374" s="443"/>
      <c r="E374" s="443"/>
      <c r="F374" s="443"/>
      <c r="G374" s="242"/>
      <c r="H374" s="242"/>
      <c r="I374" s="242"/>
      <c r="J374" s="242"/>
      <c r="K374" s="13"/>
      <c r="L374" s="242"/>
      <c r="M374" s="242"/>
      <c r="N374" s="13"/>
      <c r="O374" s="242"/>
      <c r="P374" s="242"/>
      <c r="Q374" s="242"/>
      <c r="R374" s="242"/>
      <c r="S374" s="242"/>
      <c r="T374" s="242"/>
      <c r="U374" s="242"/>
      <c r="V374" s="242"/>
      <c r="W374" s="242"/>
      <c r="X374" s="242"/>
      <c r="Y374" s="242"/>
      <c r="Z374" s="242"/>
    </row>
    <row r="375">
      <c r="A375" s="242"/>
      <c r="B375" s="443"/>
      <c r="C375" s="443"/>
      <c r="D375" s="443"/>
      <c r="E375" s="443"/>
      <c r="F375" s="443"/>
      <c r="G375" s="242"/>
      <c r="H375" s="242"/>
      <c r="I375" s="242"/>
      <c r="J375" s="242"/>
      <c r="K375" s="13"/>
      <c r="L375" s="242"/>
      <c r="M375" s="242"/>
      <c r="N375" s="13"/>
      <c r="O375" s="242"/>
      <c r="P375" s="242"/>
      <c r="Q375" s="242"/>
      <c r="R375" s="242"/>
      <c r="S375" s="242"/>
      <c r="T375" s="242"/>
      <c r="U375" s="242"/>
      <c r="V375" s="242"/>
      <c r="W375" s="242"/>
      <c r="X375" s="242"/>
      <c r="Y375" s="242"/>
      <c r="Z375" s="242"/>
    </row>
    <row r="376">
      <c r="A376" s="242"/>
      <c r="B376" s="443"/>
      <c r="C376" s="443"/>
      <c r="D376" s="443"/>
      <c r="E376" s="443"/>
      <c r="F376" s="443"/>
      <c r="G376" s="242"/>
      <c r="H376" s="242"/>
      <c r="I376" s="242"/>
      <c r="J376" s="242"/>
      <c r="K376" s="13"/>
      <c r="L376" s="242"/>
      <c r="M376" s="242"/>
      <c r="N376" s="13"/>
      <c r="O376" s="242"/>
      <c r="P376" s="242"/>
      <c r="Q376" s="242"/>
      <c r="R376" s="242"/>
      <c r="S376" s="242"/>
      <c r="T376" s="242"/>
      <c r="U376" s="242"/>
      <c r="V376" s="242"/>
      <c r="W376" s="242"/>
      <c r="X376" s="242"/>
      <c r="Y376" s="242"/>
      <c r="Z376" s="242"/>
    </row>
    <row r="377">
      <c r="A377" s="242"/>
      <c r="B377" s="443"/>
      <c r="C377" s="443"/>
      <c r="D377" s="443"/>
      <c r="E377" s="443"/>
      <c r="F377" s="443"/>
      <c r="G377" s="242"/>
      <c r="H377" s="242"/>
      <c r="I377" s="242"/>
      <c r="J377" s="242"/>
      <c r="K377" s="13"/>
      <c r="L377" s="242"/>
      <c r="M377" s="242"/>
      <c r="N377" s="13"/>
      <c r="O377" s="242"/>
      <c r="P377" s="242"/>
      <c r="Q377" s="242"/>
      <c r="R377" s="242"/>
      <c r="S377" s="242"/>
      <c r="T377" s="242"/>
      <c r="U377" s="242"/>
      <c r="V377" s="242"/>
      <c r="W377" s="242"/>
      <c r="X377" s="242"/>
      <c r="Y377" s="242"/>
      <c r="Z377" s="242"/>
    </row>
    <row r="378">
      <c r="A378" s="242"/>
      <c r="B378" s="443"/>
      <c r="C378" s="443"/>
      <c r="D378" s="443"/>
      <c r="E378" s="443"/>
      <c r="F378" s="443"/>
      <c r="G378" s="242"/>
      <c r="H378" s="242"/>
      <c r="I378" s="242"/>
      <c r="J378" s="242"/>
      <c r="K378" s="13"/>
      <c r="L378" s="242"/>
      <c r="M378" s="242"/>
      <c r="N378" s="13"/>
      <c r="O378" s="242"/>
      <c r="P378" s="242"/>
      <c r="Q378" s="242"/>
      <c r="R378" s="242"/>
      <c r="S378" s="242"/>
      <c r="T378" s="242"/>
      <c r="U378" s="242"/>
      <c r="V378" s="242"/>
      <c r="W378" s="242"/>
      <c r="X378" s="242"/>
      <c r="Y378" s="242"/>
      <c r="Z378" s="242"/>
    </row>
    <row r="379">
      <c r="A379" s="242"/>
      <c r="B379" s="443"/>
      <c r="C379" s="443"/>
      <c r="D379" s="443"/>
      <c r="E379" s="443"/>
      <c r="F379" s="443"/>
      <c r="G379" s="242"/>
      <c r="H379" s="242"/>
      <c r="I379" s="242"/>
      <c r="J379" s="242"/>
      <c r="K379" s="13"/>
      <c r="L379" s="242"/>
      <c r="M379" s="242"/>
      <c r="N379" s="13"/>
      <c r="O379" s="242"/>
      <c r="P379" s="242"/>
      <c r="Q379" s="242"/>
      <c r="R379" s="242"/>
      <c r="S379" s="242"/>
      <c r="T379" s="242"/>
      <c r="U379" s="242"/>
      <c r="V379" s="242"/>
      <c r="W379" s="242"/>
      <c r="X379" s="242"/>
      <c r="Y379" s="242"/>
      <c r="Z379" s="242"/>
    </row>
    <row r="380">
      <c r="A380" s="242"/>
      <c r="B380" s="443"/>
      <c r="C380" s="443"/>
      <c r="D380" s="443"/>
      <c r="E380" s="443"/>
      <c r="F380" s="443"/>
      <c r="G380" s="242"/>
      <c r="H380" s="242"/>
      <c r="I380" s="242"/>
      <c r="J380" s="242"/>
      <c r="K380" s="13"/>
      <c r="L380" s="242"/>
      <c r="M380" s="242"/>
      <c r="N380" s="13"/>
      <c r="O380" s="242"/>
      <c r="P380" s="242"/>
      <c r="Q380" s="242"/>
      <c r="R380" s="242"/>
      <c r="S380" s="242"/>
      <c r="T380" s="242"/>
      <c r="U380" s="242"/>
      <c r="V380" s="242"/>
      <c r="W380" s="242"/>
      <c r="X380" s="242"/>
      <c r="Y380" s="242"/>
      <c r="Z380" s="242"/>
    </row>
    <row r="381">
      <c r="A381" s="242"/>
      <c r="B381" s="443"/>
      <c r="C381" s="443"/>
      <c r="D381" s="443"/>
      <c r="E381" s="443"/>
      <c r="F381" s="443"/>
      <c r="G381" s="242"/>
      <c r="H381" s="242"/>
      <c r="I381" s="242"/>
      <c r="J381" s="242"/>
      <c r="K381" s="13"/>
      <c r="L381" s="242"/>
      <c r="M381" s="242"/>
      <c r="N381" s="13"/>
      <c r="O381" s="242"/>
      <c r="P381" s="242"/>
      <c r="Q381" s="242"/>
      <c r="R381" s="242"/>
      <c r="S381" s="242"/>
      <c r="T381" s="242"/>
      <c r="U381" s="242"/>
      <c r="V381" s="242"/>
      <c r="W381" s="242"/>
      <c r="X381" s="242"/>
      <c r="Y381" s="242"/>
      <c r="Z381" s="242"/>
    </row>
    <row r="382">
      <c r="A382" s="242"/>
      <c r="B382" s="443"/>
      <c r="C382" s="443"/>
      <c r="D382" s="443"/>
      <c r="E382" s="443"/>
      <c r="F382" s="443"/>
      <c r="G382" s="242"/>
      <c r="H382" s="242"/>
      <c r="I382" s="242"/>
      <c r="J382" s="242"/>
      <c r="K382" s="13"/>
      <c r="L382" s="242"/>
      <c r="M382" s="242"/>
      <c r="N382" s="13"/>
      <c r="O382" s="242"/>
      <c r="P382" s="242"/>
      <c r="Q382" s="242"/>
      <c r="R382" s="242"/>
      <c r="S382" s="242"/>
      <c r="T382" s="242"/>
      <c r="U382" s="242"/>
      <c r="V382" s="242"/>
      <c r="W382" s="242"/>
      <c r="X382" s="242"/>
      <c r="Y382" s="242"/>
      <c r="Z382" s="242"/>
    </row>
    <row r="383">
      <c r="A383" s="242"/>
      <c r="B383" s="443"/>
      <c r="C383" s="443"/>
      <c r="D383" s="443"/>
      <c r="E383" s="443"/>
      <c r="F383" s="443"/>
      <c r="G383" s="242"/>
      <c r="H383" s="242"/>
      <c r="I383" s="242"/>
      <c r="J383" s="242"/>
      <c r="K383" s="13"/>
      <c r="L383" s="242"/>
      <c r="M383" s="242"/>
      <c r="N383" s="13"/>
      <c r="O383" s="242"/>
      <c r="P383" s="242"/>
      <c r="Q383" s="242"/>
      <c r="R383" s="242"/>
      <c r="S383" s="242"/>
      <c r="T383" s="242"/>
      <c r="U383" s="242"/>
      <c r="V383" s="242"/>
      <c r="W383" s="242"/>
      <c r="X383" s="242"/>
      <c r="Y383" s="242"/>
      <c r="Z383" s="242"/>
    </row>
    <row r="384">
      <c r="A384" s="242"/>
      <c r="B384" s="443"/>
      <c r="C384" s="443"/>
      <c r="D384" s="443"/>
      <c r="E384" s="443"/>
      <c r="F384" s="443"/>
      <c r="G384" s="242"/>
      <c r="H384" s="242"/>
      <c r="I384" s="242"/>
      <c r="J384" s="242"/>
      <c r="K384" s="13"/>
      <c r="L384" s="242"/>
      <c r="M384" s="242"/>
      <c r="N384" s="13"/>
      <c r="O384" s="242"/>
      <c r="P384" s="242"/>
      <c r="Q384" s="242"/>
      <c r="R384" s="242"/>
      <c r="S384" s="242"/>
      <c r="T384" s="242"/>
      <c r="U384" s="242"/>
      <c r="V384" s="242"/>
      <c r="W384" s="242"/>
      <c r="X384" s="242"/>
      <c r="Y384" s="242"/>
      <c r="Z384" s="242"/>
    </row>
    <row r="385">
      <c r="A385" s="242"/>
      <c r="B385" s="443"/>
      <c r="C385" s="443"/>
      <c r="D385" s="443"/>
      <c r="E385" s="443"/>
      <c r="F385" s="443"/>
      <c r="G385" s="242"/>
      <c r="H385" s="242"/>
      <c r="I385" s="242"/>
      <c r="J385" s="242"/>
      <c r="K385" s="13"/>
      <c r="L385" s="242"/>
      <c r="M385" s="242"/>
      <c r="N385" s="13"/>
      <c r="O385" s="242"/>
      <c r="P385" s="242"/>
      <c r="Q385" s="242"/>
      <c r="R385" s="242"/>
      <c r="S385" s="242"/>
      <c r="T385" s="242"/>
      <c r="U385" s="242"/>
      <c r="V385" s="242"/>
      <c r="W385" s="242"/>
      <c r="X385" s="242"/>
      <c r="Y385" s="242"/>
      <c r="Z385" s="242"/>
    </row>
    <row r="386">
      <c r="A386" s="242"/>
      <c r="B386" s="443"/>
      <c r="C386" s="443"/>
      <c r="D386" s="443"/>
      <c r="E386" s="443"/>
      <c r="F386" s="443"/>
      <c r="G386" s="242"/>
      <c r="H386" s="242"/>
      <c r="I386" s="242"/>
      <c r="J386" s="242"/>
      <c r="K386" s="13"/>
      <c r="L386" s="242"/>
      <c r="M386" s="242"/>
      <c r="N386" s="13"/>
      <c r="O386" s="242"/>
      <c r="P386" s="242"/>
      <c r="Q386" s="242"/>
      <c r="R386" s="242"/>
      <c r="S386" s="242"/>
      <c r="T386" s="242"/>
      <c r="U386" s="242"/>
      <c r="V386" s="242"/>
      <c r="W386" s="242"/>
      <c r="X386" s="242"/>
      <c r="Y386" s="242"/>
      <c r="Z386" s="242"/>
    </row>
    <row r="387">
      <c r="A387" s="242"/>
      <c r="B387" s="443"/>
      <c r="C387" s="443"/>
      <c r="D387" s="443"/>
      <c r="E387" s="443"/>
      <c r="F387" s="443"/>
      <c r="G387" s="242"/>
      <c r="H387" s="242"/>
      <c r="I387" s="242"/>
      <c r="J387" s="242"/>
      <c r="K387" s="13"/>
      <c r="L387" s="242"/>
      <c r="M387" s="242"/>
      <c r="N387" s="13"/>
      <c r="O387" s="242"/>
      <c r="P387" s="242"/>
      <c r="Q387" s="242"/>
      <c r="R387" s="242"/>
      <c r="S387" s="242"/>
      <c r="T387" s="242"/>
      <c r="U387" s="242"/>
      <c r="V387" s="242"/>
      <c r="W387" s="242"/>
      <c r="X387" s="242"/>
      <c r="Y387" s="242"/>
      <c r="Z387" s="242"/>
    </row>
    <row r="388">
      <c r="A388" s="242"/>
      <c r="B388" s="443"/>
      <c r="C388" s="443"/>
      <c r="D388" s="443"/>
      <c r="E388" s="443"/>
      <c r="F388" s="443"/>
      <c r="G388" s="242"/>
      <c r="H388" s="242"/>
      <c r="I388" s="242"/>
      <c r="J388" s="242"/>
      <c r="K388" s="13"/>
      <c r="L388" s="242"/>
      <c r="M388" s="242"/>
      <c r="N388" s="13"/>
      <c r="O388" s="242"/>
      <c r="P388" s="242"/>
      <c r="Q388" s="242"/>
      <c r="R388" s="242"/>
      <c r="S388" s="242"/>
      <c r="T388" s="242"/>
      <c r="U388" s="242"/>
      <c r="V388" s="242"/>
      <c r="W388" s="242"/>
      <c r="X388" s="242"/>
      <c r="Y388" s="242"/>
      <c r="Z388" s="242"/>
    </row>
    <row r="389">
      <c r="A389" s="242"/>
      <c r="B389" s="443"/>
      <c r="C389" s="443"/>
      <c r="D389" s="443"/>
      <c r="E389" s="443"/>
      <c r="F389" s="443"/>
      <c r="G389" s="242"/>
      <c r="H389" s="242"/>
      <c r="I389" s="242"/>
      <c r="J389" s="242"/>
      <c r="K389" s="13"/>
      <c r="L389" s="242"/>
      <c r="M389" s="242"/>
      <c r="N389" s="13"/>
      <c r="O389" s="242"/>
      <c r="P389" s="242"/>
      <c r="Q389" s="242"/>
      <c r="R389" s="242"/>
      <c r="S389" s="242"/>
      <c r="T389" s="242"/>
      <c r="U389" s="242"/>
      <c r="V389" s="242"/>
      <c r="W389" s="242"/>
      <c r="X389" s="242"/>
      <c r="Y389" s="242"/>
      <c r="Z389" s="242"/>
    </row>
    <row r="390">
      <c r="A390" s="242"/>
      <c r="B390" s="443"/>
      <c r="C390" s="443"/>
      <c r="D390" s="443"/>
      <c r="E390" s="443"/>
      <c r="F390" s="443"/>
      <c r="G390" s="242"/>
      <c r="H390" s="242"/>
      <c r="I390" s="242"/>
      <c r="J390" s="242"/>
      <c r="K390" s="13"/>
      <c r="L390" s="242"/>
      <c r="M390" s="242"/>
      <c r="N390" s="13"/>
      <c r="O390" s="242"/>
      <c r="P390" s="242"/>
      <c r="Q390" s="242"/>
      <c r="R390" s="242"/>
      <c r="S390" s="242"/>
      <c r="T390" s="242"/>
      <c r="U390" s="242"/>
      <c r="V390" s="242"/>
      <c r="W390" s="242"/>
      <c r="X390" s="242"/>
      <c r="Y390" s="242"/>
      <c r="Z390" s="242"/>
    </row>
    <row r="391">
      <c r="A391" s="242"/>
      <c r="B391" s="443"/>
      <c r="C391" s="443"/>
      <c r="D391" s="443"/>
      <c r="E391" s="443"/>
      <c r="F391" s="443"/>
      <c r="G391" s="242"/>
      <c r="H391" s="242"/>
      <c r="I391" s="242"/>
      <c r="J391" s="242"/>
      <c r="K391" s="13"/>
      <c r="L391" s="242"/>
      <c r="M391" s="242"/>
      <c r="N391" s="13"/>
      <c r="O391" s="242"/>
      <c r="P391" s="242"/>
      <c r="Q391" s="242"/>
      <c r="R391" s="242"/>
      <c r="S391" s="242"/>
      <c r="T391" s="242"/>
      <c r="U391" s="242"/>
      <c r="V391" s="242"/>
      <c r="W391" s="242"/>
      <c r="X391" s="242"/>
      <c r="Y391" s="242"/>
      <c r="Z391" s="242"/>
    </row>
    <row r="392">
      <c r="A392" s="242"/>
      <c r="B392" s="443"/>
      <c r="C392" s="443"/>
      <c r="D392" s="443"/>
      <c r="E392" s="443"/>
      <c r="F392" s="443"/>
      <c r="G392" s="242"/>
      <c r="H392" s="242"/>
      <c r="I392" s="242"/>
      <c r="J392" s="242"/>
      <c r="K392" s="13"/>
      <c r="L392" s="242"/>
      <c r="M392" s="242"/>
      <c r="N392" s="13"/>
      <c r="O392" s="242"/>
      <c r="P392" s="242"/>
      <c r="Q392" s="242"/>
      <c r="R392" s="242"/>
      <c r="S392" s="242"/>
      <c r="T392" s="242"/>
      <c r="U392" s="242"/>
      <c r="V392" s="242"/>
      <c r="W392" s="242"/>
      <c r="X392" s="242"/>
      <c r="Y392" s="242"/>
      <c r="Z392" s="242"/>
    </row>
    <row r="393">
      <c r="A393" s="242"/>
      <c r="B393" s="443"/>
      <c r="C393" s="443"/>
      <c r="D393" s="443"/>
      <c r="E393" s="443"/>
      <c r="F393" s="443"/>
      <c r="G393" s="242"/>
      <c r="H393" s="242"/>
      <c r="I393" s="242"/>
      <c r="J393" s="242"/>
      <c r="K393" s="13"/>
      <c r="L393" s="242"/>
      <c r="M393" s="242"/>
      <c r="N393" s="13"/>
      <c r="O393" s="242"/>
      <c r="P393" s="242"/>
      <c r="Q393" s="242"/>
      <c r="R393" s="242"/>
      <c r="S393" s="242"/>
      <c r="T393" s="242"/>
      <c r="U393" s="242"/>
      <c r="V393" s="242"/>
      <c r="W393" s="242"/>
      <c r="X393" s="242"/>
      <c r="Y393" s="242"/>
      <c r="Z393" s="242"/>
    </row>
    <row r="394">
      <c r="A394" s="242"/>
      <c r="B394" s="443"/>
      <c r="C394" s="443"/>
      <c r="D394" s="443"/>
      <c r="E394" s="443"/>
      <c r="F394" s="443"/>
      <c r="G394" s="242"/>
      <c r="H394" s="242"/>
      <c r="I394" s="242"/>
      <c r="J394" s="242"/>
      <c r="K394" s="13"/>
      <c r="L394" s="242"/>
      <c r="M394" s="242"/>
      <c r="N394" s="13"/>
      <c r="O394" s="242"/>
      <c r="P394" s="242"/>
      <c r="Q394" s="242"/>
      <c r="R394" s="242"/>
      <c r="S394" s="242"/>
      <c r="T394" s="242"/>
      <c r="U394" s="242"/>
      <c r="V394" s="242"/>
      <c r="W394" s="242"/>
      <c r="X394" s="242"/>
      <c r="Y394" s="242"/>
      <c r="Z394" s="242"/>
    </row>
    <row r="395">
      <c r="A395" s="242"/>
      <c r="B395" s="443"/>
      <c r="C395" s="443"/>
      <c r="D395" s="443"/>
      <c r="E395" s="443"/>
      <c r="F395" s="443"/>
      <c r="G395" s="242"/>
      <c r="H395" s="242"/>
      <c r="I395" s="242"/>
      <c r="J395" s="242"/>
      <c r="K395" s="13"/>
      <c r="L395" s="242"/>
      <c r="M395" s="242"/>
      <c r="N395" s="13"/>
      <c r="O395" s="242"/>
      <c r="P395" s="242"/>
      <c r="Q395" s="242"/>
      <c r="R395" s="242"/>
      <c r="S395" s="242"/>
      <c r="T395" s="242"/>
      <c r="U395" s="242"/>
      <c r="V395" s="242"/>
      <c r="W395" s="242"/>
      <c r="X395" s="242"/>
      <c r="Y395" s="242"/>
      <c r="Z395" s="242"/>
    </row>
    <row r="396">
      <c r="A396" s="242"/>
      <c r="B396" s="443"/>
      <c r="C396" s="443"/>
      <c r="D396" s="443"/>
      <c r="E396" s="443"/>
      <c r="F396" s="443"/>
      <c r="G396" s="242"/>
      <c r="H396" s="242"/>
      <c r="I396" s="242"/>
      <c r="J396" s="242"/>
      <c r="K396" s="13"/>
      <c r="L396" s="242"/>
      <c r="M396" s="242"/>
      <c r="N396" s="13"/>
      <c r="O396" s="242"/>
      <c r="P396" s="242"/>
      <c r="Q396" s="242"/>
      <c r="R396" s="242"/>
      <c r="S396" s="242"/>
      <c r="T396" s="242"/>
      <c r="U396" s="242"/>
      <c r="V396" s="242"/>
      <c r="W396" s="242"/>
      <c r="X396" s="242"/>
      <c r="Y396" s="242"/>
      <c r="Z396" s="242"/>
    </row>
    <row r="397">
      <c r="A397" s="242"/>
      <c r="B397" s="443"/>
      <c r="C397" s="443"/>
      <c r="D397" s="443"/>
      <c r="E397" s="443"/>
      <c r="F397" s="443"/>
      <c r="G397" s="242"/>
      <c r="H397" s="242"/>
      <c r="I397" s="242"/>
      <c r="J397" s="242"/>
      <c r="K397" s="13"/>
      <c r="L397" s="242"/>
      <c r="M397" s="242"/>
      <c r="N397" s="13"/>
      <c r="O397" s="242"/>
      <c r="P397" s="242"/>
      <c r="Q397" s="242"/>
      <c r="R397" s="242"/>
      <c r="S397" s="242"/>
      <c r="T397" s="242"/>
      <c r="U397" s="242"/>
      <c r="V397" s="242"/>
      <c r="W397" s="242"/>
      <c r="X397" s="242"/>
      <c r="Y397" s="242"/>
      <c r="Z397" s="242"/>
    </row>
    <row r="398">
      <c r="A398" s="242"/>
      <c r="B398" s="443"/>
      <c r="C398" s="443"/>
      <c r="D398" s="443"/>
      <c r="E398" s="443"/>
      <c r="F398" s="443"/>
      <c r="G398" s="242"/>
      <c r="H398" s="242"/>
      <c r="I398" s="242"/>
      <c r="J398" s="242"/>
      <c r="K398" s="13"/>
      <c r="L398" s="242"/>
      <c r="M398" s="242"/>
      <c r="N398" s="13"/>
      <c r="O398" s="242"/>
      <c r="P398" s="242"/>
      <c r="Q398" s="242"/>
      <c r="R398" s="242"/>
      <c r="S398" s="242"/>
      <c r="T398" s="242"/>
      <c r="U398" s="242"/>
      <c r="V398" s="242"/>
      <c r="W398" s="242"/>
      <c r="X398" s="242"/>
      <c r="Y398" s="242"/>
      <c r="Z398" s="242"/>
    </row>
    <row r="399">
      <c r="A399" s="242"/>
      <c r="B399" s="443"/>
      <c r="C399" s="443"/>
      <c r="D399" s="443"/>
      <c r="E399" s="443"/>
      <c r="F399" s="443"/>
      <c r="G399" s="242"/>
      <c r="H399" s="242"/>
      <c r="I399" s="242"/>
      <c r="J399" s="242"/>
      <c r="K399" s="13"/>
      <c r="L399" s="242"/>
      <c r="M399" s="242"/>
      <c r="N399" s="13"/>
      <c r="O399" s="242"/>
      <c r="P399" s="242"/>
      <c r="Q399" s="242"/>
      <c r="R399" s="242"/>
      <c r="S399" s="242"/>
      <c r="T399" s="242"/>
      <c r="U399" s="242"/>
      <c r="V399" s="242"/>
      <c r="W399" s="242"/>
      <c r="X399" s="242"/>
      <c r="Y399" s="242"/>
      <c r="Z399" s="242"/>
    </row>
    <row r="400">
      <c r="A400" s="242"/>
      <c r="B400" s="443"/>
      <c r="C400" s="443"/>
      <c r="D400" s="443"/>
      <c r="E400" s="443"/>
      <c r="F400" s="443"/>
      <c r="G400" s="242"/>
      <c r="H400" s="242"/>
      <c r="I400" s="242"/>
      <c r="J400" s="242"/>
      <c r="K400" s="13"/>
      <c r="L400" s="242"/>
      <c r="M400" s="242"/>
      <c r="N400" s="13"/>
      <c r="O400" s="242"/>
      <c r="P400" s="242"/>
      <c r="Q400" s="242"/>
      <c r="R400" s="242"/>
      <c r="S400" s="242"/>
      <c r="T400" s="242"/>
      <c r="U400" s="242"/>
      <c r="V400" s="242"/>
      <c r="W400" s="242"/>
      <c r="X400" s="242"/>
      <c r="Y400" s="242"/>
      <c r="Z400" s="242"/>
    </row>
    <row r="401">
      <c r="A401" s="242"/>
      <c r="B401" s="443"/>
      <c r="C401" s="443"/>
      <c r="D401" s="443"/>
      <c r="E401" s="443"/>
      <c r="F401" s="443"/>
      <c r="G401" s="242"/>
      <c r="H401" s="242"/>
      <c r="I401" s="242"/>
      <c r="J401" s="242"/>
      <c r="K401" s="13"/>
      <c r="L401" s="242"/>
      <c r="M401" s="242"/>
      <c r="N401" s="13"/>
      <c r="O401" s="242"/>
      <c r="P401" s="242"/>
      <c r="Q401" s="242"/>
      <c r="R401" s="242"/>
      <c r="S401" s="242"/>
      <c r="T401" s="242"/>
      <c r="U401" s="242"/>
      <c r="V401" s="242"/>
      <c r="W401" s="242"/>
      <c r="X401" s="242"/>
      <c r="Y401" s="242"/>
      <c r="Z401" s="242"/>
    </row>
    <row r="402">
      <c r="A402" s="242"/>
      <c r="B402" s="443"/>
      <c r="C402" s="443"/>
      <c r="D402" s="443"/>
      <c r="E402" s="443"/>
      <c r="F402" s="443"/>
      <c r="G402" s="242"/>
      <c r="H402" s="242"/>
      <c r="I402" s="242"/>
      <c r="J402" s="242"/>
      <c r="K402" s="13"/>
      <c r="L402" s="242"/>
      <c r="M402" s="242"/>
      <c r="N402" s="13"/>
      <c r="O402" s="242"/>
      <c r="P402" s="242"/>
      <c r="Q402" s="242"/>
      <c r="R402" s="242"/>
      <c r="S402" s="242"/>
      <c r="T402" s="242"/>
      <c r="U402" s="242"/>
      <c r="V402" s="242"/>
      <c r="W402" s="242"/>
      <c r="X402" s="242"/>
      <c r="Y402" s="242"/>
      <c r="Z402" s="242"/>
    </row>
    <row r="403">
      <c r="A403" s="242"/>
      <c r="B403" s="443"/>
      <c r="C403" s="443"/>
      <c r="D403" s="443"/>
      <c r="E403" s="443"/>
      <c r="F403" s="443"/>
      <c r="G403" s="242"/>
      <c r="H403" s="242"/>
      <c r="I403" s="242"/>
      <c r="J403" s="242"/>
      <c r="K403" s="13"/>
      <c r="L403" s="242"/>
      <c r="M403" s="242"/>
      <c r="N403" s="13"/>
      <c r="O403" s="242"/>
      <c r="P403" s="242"/>
      <c r="Q403" s="242"/>
      <c r="R403" s="242"/>
      <c r="S403" s="242"/>
      <c r="T403" s="242"/>
      <c r="U403" s="242"/>
      <c r="V403" s="242"/>
      <c r="W403" s="242"/>
      <c r="X403" s="242"/>
      <c r="Y403" s="242"/>
      <c r="Z403" s="242"/>
    </row>
    <row r="404">
      <c r="A404" s="242"/>
      <c r="B404" s="443"/>
      <c r="C404" s="443"/>
      <c r="D404" s="443"/>
      <c r="E404" s="443"/>
      <c r="F404" s="443"/>
      <c r="G404" s="242"/>
      <c r="H404" s="242"/>
      <c r="I404" s="242"/>
      <c r="J404" s="242"/>
      <c r="K404" s="13"/>
      <c r="L404" s="242"/>
      <c r="M404" s="242"/>
      <c r="N404" s="13"/>
      <c r="O404" s="242"/>
      <c r="P404" s="242"/>
      <c r="Q404" s="242"/>
      <c r="R404" s="242"/>
      <c r="S404" s="242"/>
      <c r="T404" s="242"/>
      <c r="U404" s="242"/>
      <c r="V404" s="242"/>
      <c r="W404" s="242"/>
      <c r="X404" s="242"/>
      <c r="Y404" s="242"/>
      <c r="Z404" s="242"/>
    </row>
    <row r="405">
      <c r="A405" s="242"/>
      <c r="B405" s="443"/>
      <c r="C405" s="443"/>
      <c r="D405" s="443"/>
      <c r="E405" s="443"/>
      <c r="F405" s="443"/>
      <c r="G405" s="242"/>
      <c r="H405" s="242"/>
      <c r="I405" s="242"/>
      <c r="J405" s="242"/>
      <c r="K405" s="13"/>
      <c r="L405" s="242"/>
      <c r="M405" s="242"/>
      <c r="N405" s="13"/>
      <c r="O405" s="242"/>
      <c r="P405" s="242"/>
      <c r="Q405" s="242"/>
      <c r="R405" s="242"/>
      <c r="S405" s="242"/>
      <c r="T405" s="242"/>
      <c r="U405" s="242"/>
      <c r="V405" s="242"/>
      <c r="W405" s="242"/>
      <c r="X405" s="242"/>
      <c r="Y405" s="242"/>
      <c r="Z405" s="242"/>
    </row>
    <row r="406">
      <c r="A406" s="242"/>
      <c r="B406" s="443"/>
      <c r="C406" s="443"/>
      <c r="D406" s="443"/>
      <c r="E406" s="443"/>
      <c r="F406" s="443"/>
      <c r="G406" s="242"/>
      <c r="H406" s="242"/>
      <c r="I406" s="242"/>
      <c r="J406" s="242"/>
      <c r="K406" s="13"/>
      <c r="L406" s="242"/>
      <c r="M406" s="242"/>
      <c r="N406" s="13"/>
      <c r="O406" s="242"/>
      <c r="P406" s="242"/>
      <c r="Q406" s="242"/>
      <c r="R406" s="242"/>
      <c r="S406" s="242"/>
      <c r="T406" s="242"/>
      <c r="U406" s="242"/>
      <c r="V406" s="242"/>
      <c r="W406" s="242"/>
      <c r="X406" s="242"/>
      <c r="Y406" s="242"/>
      <c r="Z406" s="242"/>
    </row>
    <row r="407">
      <c r="A407" s="242"/>
      <c r="B407" s="443"/>
      <c r="C407" s="443"/>
      <c r="D407" s="443"/>
      <c r="E407" s="443"/>
      <c r="F407" s="443"/>
      <c r="G407" s="242"/>
      <c r="H407" s="242"/>
      <c r="I407" s="242"/>
      <c r="J407" s="242"/>
      <c r="K407" s="13"/>
      <c r="L407" s="242"/>
      <c r="M407" s="242"/>
      <c r="N407" s="13"/>
      <c r="O407" s="242"/>
      <c r="P407" s="242"/>
      <c r="Q407" s="242"/>
      <c r="R407" s="242"/>
      <c r="S407" s="242"/>
      <c r="T407" s="242"/>
      <c r="U407" s="242"/>
      <c r="V407" s="242"/>
      <c r="W407" s="242"/>
      <c r="X407" s="242"/>
      <c r="Y407" s="242"/>
      <c r="Z407" s="242"/>
    </row>
    <row r="408">
      <c r="A408" s="242"/>
      <c r="B408" s="443"/>
      <c r="C408" s="443"/>
      <c r="D408" s="443"/>
      <c r="E408" s="443"/>
      <c r="F408" s="443"/>
      <c r="G408" s="242"/>
      <c r="H408" s="242"/>
      <c r="I408" s="242"/>
      <c r="J408" s="242"/>
      <c r="K408" s="13"/>
      <c r="L408" s="242"/>
      <c r="M408" s="242"/>
      <c r="N408" s="13"/>
      <c r="O408" s="242"/>
      <c r="P408" s="242"/>
      <c r="Q408" s="242"/>
      <c r="R408" s="242"/>
      <c r="S408" s="242"/>
      <c r="T408" s="242"/>
      <c r="U408" s="242"/>
      <c r="V408" s="242"/>
      <c r="W408" s="242"/>
      <c r="X408" s="242"/>
      <c r="Y408" s="242"/>
      <c r="Z408" s="242"/>
    </row>
    <row r="409">
      <c r="A409" s="242"/>
      <c r="B409" s="443"/>
      <c r="C409" s="443"/>
      <c r="D409" s="443"/>
      <c r="E409" s="443"/>
      <c r="F409" s="443"/>
      <c r="G409" s="242"/>
      <c r="H409" s="242"/>
      <c r="I409" s="242"/>
      <c r="J409" s="242"/>
      <c r="K409" s="13"/>
      <c r="L409" s="242"/>
      <c r="M409" s="242"/>
      <c r="N409" s="13"/>
      <c r="O409" s="242"/>
      <c r="P409" s="242"/>
      <c r="Q409" s="242"/>
      <c r="R409" s="242"/>
      <c r="S409" s="242"/>
      <c r="T409" s="242"/>
      <c r="U409" s="242"/>
      <c r="V409" s="242"/>
      <c r="W409" s="242"/>
      <c r="X409" s="242"/>
      <c r="Y409" s="242"/>
      <c r="Z409" s="242"/>
    </row>
    <row r="410">
      <c r="A410" s="242"/>
      <c r="B410" s="443"/>
      <c r="C410" s="443"/>
      <c r="D410" s="443"/>
      <c r="E410" s="443"/>
      <c r="F410" s="443"/>
      <c r="G410" s="242"/>
      <c r="H410" s="242"/>
      <c r="I410" s="242"/>
      <c r="J410" s="242"/>
      <c r="K410" s="13"/>
      <c r="L410" s="242"/>
      <c r="M410" s="242"/>
      <c r="N410" s="13"/>
      <c r="O410" s="242"/>
      <c r="P410" s="242"/>
      <c r="Q410" s="242"/>
      <c r="R410" s="242"/>
      <c r="S410" s="242"/>
      <c r="T410" s="242"/>
      <c r="U410" s="242"/>
      <c r="V410" s="242"/>
      <c r="W410" s="242"/>
      <c r="X410" s="242"/>
      <c r="Y410" s="242"/>
      <c r="Z410" s="242"/>
    </row>
    <row r="411">
      <c r="A411" s="242"/>
      <c r="B411" s="443"/>
      <c r="C411" s="443"/>
      <c r="D411" s="443"/>
      <c r="E411" s="443"/>
      <c r="F411" s="443"/>
      <c r="G411" s="242"/>
      <c r="H411" s="242"/>
      <c r="I411" s="242"/>
      <c r="J411" s="242"/>
      <c r="K411" s="13"/>
      <c r="L411" s="242"/>
      <c r="M411" s="242"/>
      <c r="N411" s="13"/>
      <c r="O411" s="242"/>
      <c r="P411" s="242"/>
      <c r="Q411" s="242"/>
      <c r="R411" s="242"/>
      <c r="S411" s="242"/>
      <c r="T411" s="242"/>
      <c r="U411" s="242"/>
      <c r="V411" s="242"/>
      <c r="W411" s="242"/>
      <c r="X411" s="242"/>
      <c r="Y411" s="242"/>
      <c r="Z411" s="242"/>
    </row>
    <row r="412">
      <c r="A412" s="242"/>
      <c r="B412" s="443"/>
      <c r="C412" s="443"/>
      <c r="D412" s="443"/>
      <c r="E412" s="443"/>
      <c r="F412" s="443"/>
      <c r="G412" s="242"/>
      <c r="H412" s="242"/>
      <c r="I412" s="242"/>
      <c r="J412" s="242"/>
      <c r="K412" s="13"/>
      <c r="L412" s="242"/>
      <c r="M412" s="242"/>
      <c r="N412" s="13"/>
      <c r="O412" s="242"/>
      <c r="P412" s="242"/>
      <c r="Q412" s="242"/>
      <c r="R412" s="242"/>
      <c r="S412" s="242"/>
      <c r="T412" s="242"/>
      <c r="U412" s="242"/>
      <c r="V412" s="242"/>
      <c r="W412" s="242"/>
      <c r="X412" s="242"/>
      <c r="Y412" s="242"/>
      <c r="Z412" s="242"/>
    </row>
    <row r="413">
      <c r="A413" s="242"/>
      <c r="B413" s="443"/>
      <c r="C413" s="443"/>
      <c r="D413" s="443"/>
      <c r="E413" s="443"/>
      <c r="F413" s="443"/>
      <c r="G413" s="242"/>
      <c r="H413" s="242"/>
      <c r="I413" s="242"/>
      <c r="J413" s="242"/>
      <c r="K413" s="13"/>
      <c r="L413" s="242"/>
      <c r="M413" s="242"/>
      <c r="N413" s="13"/>
      <c r="O413" s="242"/>
      <c r="P413" s="242"/>
      <c r="Q413" s="242"/>
      <c r="R413" s="242"/>
      <c r="S413" s="242"/>
      <c r="T413" s="242"/>
      <c r="U413" s="242"/>
      <c r="V413" s="242"/>
      <c r="W413" s="242"/>
      <c r="X413" s="242"/>
      <c r="Y413" s="242"/>
      <c r="Z413" s="242"/>
    </row>
    <row r="414">
      <c r="A414" s="242"/>
      <c r="B414" s="443"/>
      <c r="C414" s="443"/>
      <c r="D414" s="443"/>
      <c r="E414" s="443"/>
      <c r="F414" s="443"/>
      <c r="G414" s="242"/>
      <c r="H414" s="242"/>
      <c r="I414" s="242"/>
      <c r="J414" s="242"/>
      <c r="K414" s="13"/>
      <c r="L414" s="242"/>
      <c r="M414" s="242"/>
      <c r="N414" s="13"/>
      <c r="O414" s="242"/>
      <c r="P414" s="242"/>
      <c r="Q414" s="242"/>
      <c r="R414" s="242"/>
      <c r="S414" s="242"/>
      <c r="T414" s="242"/>
      <c r="U414" s="242"/>
      <c r="V414" s="242"/>
      <c r="W414" s="242"/>
      <c r="X414" s="242"/>
      <c r="Y414" s="242"/>
      <c r="Z414" s="242"/>
    </row>
    <row r="415">
      <c r="A415" s="242"/>
      <c r="B415" s="443"/>
      <c r="C415" s="443"/>
      <c r="D415" s="443"/>
      <c r="E415" s="443"/>
      <c r="F415" s="443"/>
      <c r="G415" s="242"/>
      <c r="H415" s="242"/>
      <c r="I415" s="242"/>
      <c r="J415" s="242"/>
      <c r="K415" s="13"/>
      <c r="L415" s="242"/>
      <c r="M415" s="242"/>
      <c r="N415" s="13"/>
      <c r="O415" s="242"/>
      <c r="P415" s="242"/>
      <c r="Q415" s="242"/>
      <c r="R415" s="242"/>
      <c r="S415" s="242"/>
      <c r="T415" s="242"/>
      <c r="U415" s="242"/>
      <c r="V415" s="242"/>
      <c r="W415" s="242"/>
      <c r="X415" s="242"/>
      <c r="Y415" s="242"/>
      <c r="Z415" s="242"/>
    </row>
    <row r="416">
      <c r="A416" s="242"/>
      <c r="B416" s="443"/>
      <c r="C416" s="443"/>
      <c r="D416" s="443"/>
      <c r="E416" s="443"/>
      <c r="F416" s="443"/>
      <c r="G416" s="242"/>
      <c r="H416" s="242"/>
      <c r="I416" s="242"/>
      <c r="J416" s="242"/>
      <c r="K416" s="13"/>
      <c r="L416" s="242"/>
      <c r="M416" s="242"/>
      <c r="N416" s="13"/>
      <c r="O416" s="242"/>
      <c r="P416" s="242"/>
      <c r="Q416" s="242"/>
      <c r="R416" s="242"/>
      <c r="S416" s="242"/>
      <c r="T416" s="242"/>
      <c r="U416" s="242"/>
      <c r="V416" s="242"/>
      <c r="W416" s="242"/>
      <c r="X416" s="242"/>
      <c r="Y416" s="242"/>
      <c r="Z416" s="242"/>
    </row>
    <row r="417">
      <c r="A417" s="242"/>
      <c r="B417" s="443"/>
      <c r="C417" s="443"/>
      <c r="D417" s="443"/>
      <c r="E417" s="443"/>
      <c r="F417" s="443"/>
      <c r="G417" s="242"/>
      <c r="H417" s="242"/>
      <c r="I417" s="242"/>
      <c r="J417" s="242"/>
      <c r="K417" s="13"/>
      <c r="L417" s="242"/>
      <c r="M417" s="242"/>
      <c r="N417" s="13"/>
      <c r="O417" s="242"/>
      <c r="P417" s="242"/>
      <c r="Q417" s="242"/>
      <c r="R417" s="242"/>
      <c r="S417" s="242"/>
      <c r="T417" s="242"/>
      <c r="U417" s="242"/>
      <c r="V417" s="242"/>
      <c r="W417" s="242"/>
      <c r="X417" s="242"/>
      <c r="Y417" s="242"/>
      <c r="Z417" s="242"/>
    </row>
    <row r="418">
      <c r="A418" s="242"/>
      <c r="B418" s="443"/>
      <c r="C418" s="443"/>
      <c r="D418" s="443"/>
      <c r="E418" s="443"/>
      <c r="F418" s="443"/>
      <c r="G418" s="242"/>
      <c r="H418" s="242"/>
      <c r="I418" s="242"/>
      <c r="J418" s="242"/>
      <c r="K418" s="13"/>
      <c r="L418" s="242"/>
      <c r="M418" s="242"/>
      <c r="N418" s="13"/>
      <c r="O418" s="242"/>
      <c r="P418" s="242"/>
      <c r="Q418" s="242"/>
      <c r="R418" s="242"/>
      <c r="S418" s="242"/>
      <c r="T418" s="242"/>
      <c r="U418" s="242"/>
      <c r="V418" s="242"/>
      <c r="W418" s="242"/>
      <c r="X418" s="242"/>
      <c r="Y418" s="242"/>
      <c r="Z418" s="242"/>
    </row>
    <row r="419">
      <c r="A419" s="242"/>
      <c r="B419" s="443"/>
      <c r="C419" s="443"/>
      <c r="D419" s="443"/>
      <c r="E419" s="443"/>
      <c r="F419" s="443"/>
      <c r="G419" s="242"/>
      <c r="H419" s="242"/>
      <c r="I419" s="242"/>
      <c r="J419" s="242"/>
      <c r="K419" s="13"/>
      <c r="L419" s="242"/>
      <c r="M419" s="242"/>
      <c r="N419" s="13"/>
      <c r="O419" s="242"/>
      <c r="P419" s="242"/>
      <c r="Q419" s="242"/>
      <c r="R419" s="242"/>
      <c r="S419" s="242"/>
      <c r="T419" s="242"/>
      <c r="U419" s="242"/>
      <c r="V419" s="242"/>
      <c r="W419" s="242"/>
      <c r="X419" s="242"/>
      <c r="Y419" s="242"/>
      <c r="Z419" s="242"/>
    </row>
    <row r="420">
      <c r="A420" s="242"/>
      <c r="B420" s="443"/>
      <c r="C420" s="443"/>
      <c r="D420" s="443"/>
      <c r="E420" s="443"/>
      <c r="F420" s="443"/>
      <c r="G420" s="242"/>
      <c r="H420" s="242"/>
      <c r="I420" s="242"/>
      <c r="J420" s="242"/>
      <c r="K420" s="13"/>
      <c r="L420" s="242"/>
      <c r="M420" s="242"/>
      <c r="N420" s="13"/>
      <c r="O420" s="242"/>
      <c r="P420" s="242"/>
      <c r="Q420" s="242"/>
      <c r="R420" s="242"/>
      <c r="S420" s="242"/>
      <c r="T420" s="242"/>
      <c r="U420" s="242"/>
      <c r="V420" s="242"/>
      <c r="W420" s="242"/>
      <c r="X420" s="242"/>
      <c r="Y420" s="242"/>
      <c r="Z420" s="242"/>
    </row>
    <row r="421">
      <c r="A421" s="242"/>
      <c r="B421" s="443"/>
      <c r="C421" s="443"/>
      <c r="D421" s="443"/>
      <c r="E421" s="443"/>
      <c r="F421" s="443"/>
      <c r="G421" s="242"/>
      <c r="H421" s="242"/>
      <c r="I421" s="242"/>
      <c r="J421" s="242"/>
      <c r="K421" s="13"/>
      <c r="L421" s="242"/>
      <c r="M421" s="242"/>
      <c r="N421" s="13"/>
      <c r="O421" s="242"/>
      <c r="P421" s="242"/>
      <c r="Q421" s="242"/>
      <c r="R421" s="242"/>
      <c r="S421" s="242"/>
      <c r="T421" s="242"/>
      <c r="U421" s="242"/>
      <c r="V421" s="242"/>
      <c r="W421" s="242"/>
      <c r="X421" s="242"/>
      <c r="Y421" s="242"/>
      <c r="Z421" s="242"/>
    </row>
    <row r="422">
      <c r="A422" s="242"/>
      <c r="B422" s="443"/>
      <c r="C422" s="443"/>
      <c r="D422" s="443"/>
      <c r="E422" s="443"/>
      <c r="F422" s="443"/>
      <c r="G422" s="242"/>
      <c r="H422" s="242"/>
      <c r="I422" s="242"/>
      <c r="J422" s="242"/>
      <c r="K422" s="13"/>
      <c r="L422" s="242"/>
      <c r="M422" s="242"/>
      <c r="N422" s="13"/>
      <c r="O422" s="242"/>
      <c r="P422" s="242"/>
      <c r="Q422" s="242"/>
      <c r="R422" s="242"/>
      <c r="S422" s="242"/>
      <c r="T422" s="242"/>
      <c r="U422" s="242"/>
      <c r="V422" s="242"/>
      <c r="W422" s="242"/>
      <c r="X422" s="242"/>
      <c r="Y422" s="242"/>
      <c r="Z422" s="242"/>
    </row>
    <row r="423">
      <c r="A423" s="242"/>
      <c r="B423" s="443"/>
      <c r="C423" s="443"/>
      <c r="D423" s="443"/>
      <c r="E423" s="443"/>
      <c r="F423" s="443"/>
      <c r="G423" s="242"/>
      <c r="H423" s="242"/>
      <c r="I423" s="242"/>
      <c r="J423" s="242"/>
      <c r="K423" s="13"/>
      <c r="L423" s="242"/>
      <c r="M423" s="242"/>
      <c r="N423" s="13"/>
      <c r="O423" s="242"/>
      <c r="P423" s="242"/>
      <c r="Q423" s="242"/>
      <c r="R423" s="242"/>
      <c r="S423" s="242"/>
      <c r="T423" s="242"/>
      <c r="U423" s="242"/>
      <c r="V423" s="242"/>
      <c r="W423" s="242"/>
      <c r="X423" s="242"/>
      <c r="Y423" s="242"/>
      <c r="Z423" s="242"/>
    </row>
    <row r="424">
      <c r="A424" s="242"/>
      <c r="B424" s="443"/>
      <c r="C424" s="443"/>
      <c r="D424" s="443"/>
      <c r="E424" s="443"/>
      <c r="F424" s="443"/>
      <c r="G424" s="242"/>
      <c r="H424" s="242"/>
      <c r="I424" s="242"/>
      <c r="J424" s="242"/>
      <c r="K424" s="13"/>
      <c r="L424" s="242"/>
      <c r="M424" s="242"/>
      <c r="N424" s="13"/>
      <c r="O424" s="242"/>
      <c r="P424" s="242"/>
      <c r="Q424" s="242"/>
      <c r="R424" s="242"/>
      <c r="S424" s="242"/>
      <c r="T424" s="242"/>
      <c r="U424" s="242"/>
      <c r="V424" s="242"/>
      <c r="W424" s="242"/>
      <c r="X424" s="242"/>
      <c r="Y424" s="242"/>
      <c r="Z424" s="242"/>
    </row>
    <row r="425">
      <c r="A425" s="242"/>
      <c r="B425" s="443"/>
      <c r="C425" s="443"/>
      <c r="D425" s="443"/>
      <c r="E425" s="443"/>
      <c r="F425" s="443"/>
      <c r="G425" s="242"/>
      <c r="H425" s="242"/>
      <c r="I425" s="242"/>
      <c r="J425" s="242"/>
      <c r="K425" s="13"/>
      <c r="L425" s="242"/>
      <c r="M425" s="242"/>
      <c r="N425" s="13"/>
      <c r="O425" s="242"/>
      <c r="P425" s="242"/>
      <c r="Q425" s="242"/>
      <c r="R425" s="242"/>
      <c r="S425" s="242"/>
      <c r="T425" s="242"/>
      <c r="U425" s="242"/>
      <c r="V425" s="242"/>
      <c r="W425" s="242"/>
      <c r="X425" s="242"/>
      <c r="Y425" s="242"/>
      <c r="Z425" s="242"/>
    </row>
    <row r="426">
      <c r="A426" s="242"/>
      <c r="B426" s="443"/>
      <c r="C426" s="443"/>
      <c r="D426" s="443"/>
      <c r="E426" s="443"/>
      <c r="F426" s="443"/>
      <c r="G426" s="242"/>
      <c r="H426" s="242"/>
      <c r="I426" s="242"/>
      <c r="J426" s="242"/>
      <c r="K426" s="13"/>
      <c r="L426" s="242"/>
      <c r="M426" s="242"/>
      <c r="N426" s="13"/>
      <c r="O426" s="242"/>
      <c r="P426" s="242"/>
      <c r="Q426" s="242"/>
      <c r="R426" s="242"/>
      <c r="S426" s="242"/>
      <c r="T426" s="242"/>
      <c r="U426" s="242"/>
      <c r="V426" s="242"/>
      <c r="W426" s="242"/>
      <c r="X426" s="242"/>
      <c r="Y426" s="242"/>
      <c r="Z426" s="242"/>
    </row>
    <row r="427">
      <c r="A427" s="242"/>
      <c r="B427" s="443"/>
      <c r="C427" s="443"/>
      <c r="D427" s="443"/>
      <c r="E427" s="443"/>
      <c r="F427" s="443"/>
      <c r="G427" s="242"/>
      <c r="H427" s="242"/>
      <c r="I427" s="242"/>
      <c r="J427" s="242"/>
      <c r="K427" s="13"/>
      <c r="L427" s="242"/>
      <c r="M427" s="242"/>
      <c r="N427" s="13"/>
      <c r="O427" s="242"/>
      <c r="P427" s="242"/>
      <c r="Q427" s="242"/>
      <c r="R427" s="242"/>
      <c r="S427" s="242"/>
      <c r="T427" s="242"/>
      <c r="U427" s="242"/>
      <c r="V427" s="242"/>
      <c r="W427" s="242"/>
      <c r="X427" s="242"/>
      <c r="Y427" s="242"/>
      <c r="Z427" s="242"/>
    </row>
    <row r="428">
      <c r="A428" s="242"/>
      <c r="B428" s="443"/>
      <c r="C428" s="443"/>
      <c r="D428" s="443"/>
      <c r="E428" s="443"/>
      <c r="F428" s="443"/>
      <c r="G428" s="242"/>
      <c r="H428" s="242"/>
      <c r="I428" s="242"/>
      <c r="J428" s="242"/>
      <c r="K428" s="13"/>
      <c r="L428" s="242"/>
      <c r="M428" s="242"/>
      <c r="N428" s="13"/>
      <c r="O428" s="242"/>
      <c r="P428" s="242"/>
      <c r="Q428" s="242"/>
      <c r="R428" s="242"/>
      <c r="S428" s="242"/>
      <c r="T428" s="242"/>
      <c r="U428" s="242"/>
      <c r="V428" s="242"/>
      <c r="W428" s="242"/>
      <c r="X428" s="242"/>
      <c r="Y428" s="242"/>
      <c r="Z428" s="242"/>
    </row>
    <row r="429">
      <c r="A429" s="242"/>
      <c r="B429" s="443"/>
      <c r="C429" s="443"/>
      <c r="D429" s="443"/>
      <c r="E429" s="443"/>
      <c r="F429" s="443"/>
      <c r="G429" s="242"/>
      <c r="H429" s="242"/>
      <c r="I429" s="242"/>
      <c r="J429" s="242"/>
      <c r="K429" s="13"/>
      <c r="L429" s="242"/>
      <c r="M429" s="242"/>
      <c r="N429" s="13"/>
      <c r="O429" s="242"/>
      <c r="P429" s="242"/>
      <c r="Q429" s="242"/>
      <c r="R429" s="242"/>
      <c r="S429" s="242"/>
      <c r="T429" s="242"/>
      <c r="U429" s="242"/>
      <c r="V429" s="242"/>
      <c r="W429" s="242"/>
      <c r="X429" s="242"/>
      <c r="Y429" s="242"/>
      <c r="Z429" s="242"/>
    </row>
    <row r="430">
      <c r="A430" s="242"/>
      <c r="B430" s="443"/>
      <c r="C430" s="443"/>
      <c r="D430" s="443"/>
      <c r="E430" s="443"/>
      <c r="F430" s="443"/>
      <c r="G430" s="242"/>
      <c r="H430" s="242"/>
      <c r="I430" s="242"/>
      <c r="J430" s="242"/>
      <c r="K430" s="13"/>
      <c r="L430" s="242"/>
      <c r="M430" s="242"/>
      <c r="N430" s="13"/>
      <c r="O430" s="242"/>
      <c r="P430" s="242"/>
      <c r="Q430" s="242"/>
      <c r="R430" s="242"/>
      <c r="S430" s="242"/>
      <c r="T430" s="242"/>
      <c r="U430" s="242"/>
      <c r="V430" s="242"/>
      <c r="W430" s="242"/>
      <c r="X430" s="242"/>
      <c r="Y430" s="242"/>
      <c r="Z430" s="242"/>
    </row>
    <row r="431">
      <c r="A431" s="242"/>
      <c r="B431" s="443"/>
      <c r="C431" s="443"/>
      <c r="D431" s="443"/>
      <c r="E431" s="443"/>
      <c r="F431" s="443"/>
      <c r="G431" s="242"/>
      <c r="H431" s="242"/>
      <c r="I431" s="242"/>
      <c r="J431" s="242"/>
      <c r="K431" s="13"/>
      <c r="L431" s="242"/>
      <c r="M431" s="242"/>
      <c r="N431" s="13"/>
      <c r="O431" s="242"/>
      <c r="P431" s="242"/>
      <c r="Q431" s="242"/>
      <c r="R431" s="242"/>
      <c r="S431" s="242"/>
      <c r="T431" s="242"/>
      <c r="U431" s="242"/>
      <c r="V431" s="242"/>
      <c r="W431" s="242"/>
      <c r="X431" s="242"/>
      <c r="Y431" s="242"/>
      <c r="Z431" s="242"/>
    </row>
    <row r="432">
      <c r="A432" s="242"/>
      <c r="B432" s="443"/>
      <c r="C432" s="443"/>
      <c r="D432" s="443"/>
      <c r="E432" s="443"/>
      <c r="F432" s="443"/>
      <c r="G432" s="242"/>
      <c r="H432" s="242"/>
      <c r="I432" s="242"/>
      <c r="J432" s="242"/>
      <c r="K432" s="13"/>
      <c r="L432" s="242"/>
      <c r="M432" s="242"/>
      <c r="N432" s="13"/>
      <c r="O432" s="242"/>
      <c r="P432" s="242"/>
      <c r="Q432" s="242"/>
      <c r="R432" s="242"/>
      <c r="S432" s="242"/>
      <c r="T432" s="242"/>
      <c r="U432" s="242"/>
      <c r="V432" s="242"/>
      <c r="W432" s="242"/>
      <c r="X432" s="242"/>
      <c r="Y432" s="242"/>
      <c r="Z432" s="242"/>
    </row>
    <row r="433">
      <c r="A433" s="242"/>
      <c r="B433" s="443"/>
      <c r="C433" s="443"/>
      <c r="D433" s="443"/>
      <c r="E433" s="443"/>
      <c r="F433" s="443"/>
      <c r="G433" s="242"/>
      <c r="H433" s="242"/>
      <c r="I433" s="242"/>
      <c r="J433" s="242"/>
      <c r="K433" s="13"/>
      <c r="L433" s="242"/>
      <c r="M433" s="242"/>
      <c r="N433" s="13"/>
      <c r="O433" s="242"/>
      <c r="P433" s="242"/>
      <c r="Q433" s="242"/>
      <c r="R433" s="242"/>
      <c r="S433" s="242"/>
      <c r="T433" s="242"/>
      <c r="U433" s="242"/>
      <c r="V433" s="242"/>
      <c r="W433" s="242"/>
      <c r="X433" s="242"/>
      <c r="Y433" s="242"/>
      <c r="Z433" s="242"/>
    </row>
    <row r="434">
      <c r="A434" s="242"/>
      <c r="B434" s="443"/>
      <c r="C434" s="443"/>
      <c r="D434" s="443"/>
      <c r="E434" s="443"/>
      <c r="F434" s="443"/>
      <c r="G434" s="242"/>
      <c r="H434" s="242"/>
      <c r="I434" s="242"/>
      <c r="J434" s="242"/>
      <c r="K434" s="13"/>
      <c r="L434" s="242"/>
      <c r="M434" s="242"/>
      <c r="N434" s="13"/>
      <c r="O434" s="242"/>
      <c r="P434" s="242"/>
      <c r="Q434" s="242"/>
      <c r="R434" s="242"/>
      <c r="S434" s="242"/>
      <c r="T434" s="242"/>
      <c r="U434" s="242"/>
      <c r="V434" s="242"/>
      <c r="W434" s="242"/>
      <c r="X434" s="242"/>
      <c r="Y434" s="242"/>
      <c r="Z434" s="242"/>
    </row>
    <row r="435">
      <c r="A435" s="242"/>
      <c r="B435" s="443"/>
      <c r="C435" s="443"/>
      <c r="D435" s="443"/>
      <c r="E435" s="443"/>
      <c r="F435" s="443"/>
      <c r="G435" s="242"/>
      <c r="H435" s="242"/>
      <c r="I435" s="242"/>
      <c r="J435" s="242"/>
      <c r="K435" s="13"/>
      <c r="L435" s="242"/>
      <c r="M435" s="242"/>
      <c r="N435" s="13"/>
      <c r="O435" s="242"/>
      <c r="P435" s="242"/>
      <c r="Q435" s="242"/>
      <c r="R435" s="242"/>
      <c r="S435" s="242"/>
      <c r="T435" s="242"/>
      <c r="U435" s="242"/>
      <c r="V435" s="242"/>
      <c r="W435" s="242"/>
      <c r="X435" s="242"/>
      <c r="Y435" s="242"/>
      <c r="Z435" s="242"/>
    </row>
    <row r="436">
      <c r="A436" s="242"/>
      <c r="B436" s="443"/>
      <c r="C436" s="443"/>
      <c r="D436" s="443"/>
      <c r="E436" s="443"/>
      <c r="F436" s="443"/>
      <c r="G436" s="242"/>
      <c r="H436" s="242"/>
      <c r="I436" s="242"/>
      <c r="J436" s="242"/>
      <c r="K436" s="13"/>
      <c r="L436" s="242"/>
      <c r="M436" s="242"/>
      <c r="N436" s="13"/>
      <c r="O436" s="242"/>
      <c r="P436" s="242"/>
      <c r="Q436" s="242"/>
      <c r="R436" s="242"/>
      <c r="S436" s="242"/>
      <c r="T436" s="242"/>
      <c r="U436" s="242"/>
      <c r="V436" s="242"/>
      <c r="W436" s="242"/>
      <c r="X436" s="242"/>
      <c r="Y436" s="242"/>
      <c r="Z436" s="242"/>
    </row>
    <row r="437">
      <c r="A437" s="242"/>
      <c r="B437" s="443"/>
      <c r="C437" s="443"/>
      <c r="D437" s="443"/>
      <c r="E437" s="443"/>
      <c r="F437" s="443"/>
      <c r="G437" s="242"/>
      <c r="H437" s="242"/>
      <c r="I437" s="242"/>
      <c r="J437" s="242"/>
      <c r="K437" s="13"/>
      <c r="L437" s="242"/>
      <c r="M437" s="242"/>
      <c r="N437" s="13"/>
      <c r="O437" s="242"/>
      <c r="P437" s="242"/>
      <c r="Q437" s="242"/>
      <c r="R437" s="242"/>
      <c r="S437" s="242"/>
      <c r="T437" s="242"/>
      <c r="U437" s="242"/>
      <c r="V437" s="242"/>
      <c r="W437" s="242"/>
      <c r="X437" s="242"/>
      <c r="Y437" s="242"/>
      <c r="Z437" s="242"/>
    </row>
    <row r="438">
      <c r="A438" s="242"/>
      <c r="B438" s="443"/>
      <c r="C438" s="443"/>
      <c r="D438" s="443"/>
      <c r="E438" s="443"/>
      <c r="F438" s="443"/>
      <c r="G438" s="242"/>
      <c r="H438" s="242"/>
      <c r="I438" s="242"/>
      <c r="J438" s="242"/>
      <c r="K438" s="13"/>
      <c r="L438" s="242"/>
      <c r="M438" s="242"/>
      <c r="N438" s="13"/>
      <c r="O438" s="242"/>
      <c r="P438" s="242"/>
      <c r="Q438" s="242"/>
      <c r="R438" s="242"/>
      <c r="S438" s="242"/>
      <c r="T438" s="242"/>
      <c r="U438" s="242"/>
      <c r="V438" s="242"/>
      <c r="W438" s="242"/>
      <c r="X438" s="242"/>
      <c r="Y438" s="242"/>
      <c r="Z438" s="242"/>
    </row>
    <row r="439">
      <c r="A439" s="242"/>
      <c r="B439" s="443"/>
      <c r="C439" s="443"/>
      <c r="D439" s="443"/>
      <c r="E439" s="443"/>
      <c r="F439" s="443"/>
      <c r="G439" s="242"/>
      <c r="H439" s="242"/>
      <c r="I439" s="242"/>
      <c r="J439" s="242"/>
      <c r="K439" s="13"/>
      <c r="L439" s="242"/>
      <c r="M439" s="242"/>
      <c r="N439" s="13"/>
      <c r="O439" s="242"/>
      <c r="P439" s="242"/>
      <c r="Q439" s="242"/>
      <c r="R439" s="242"/>
      <c r="S439" s="242"/>
      <c r="T439" s="242"/>
      <c r="U439" s="242"/>
      <c r="V439" s="242"/>
      <c r="W439" s="242"/>
      <c r="X439" s="242"/>
      <c r="Y439" s="242"/>
      <c r="Z439" s="242"/>
    </row>
    <row r="440">
      <c r="A440" s="242"/>
      <c r="B440" s="443"/>
      <c r="C440" s="443"/>
      <c r="D440" s="443"/>
      <c r="E440" s="443"/>
      <c r="F440" s="443"/>
      <c r="G440" s="242"/>
      <c r="H440" s="242"/>
      <c r="I440" s="242"/>
      <c r="J440" s="242"/>
      <c r="K440" s="13"/>
      <c r="L440" s="242"/>
      <c r="M440" s="242"/>
      <c r="N440" s="13"/>
      <c r="O440" s="242"/>
      <c r="P440" s="242"/>
      <c r="Q440" s="242"/>
      <c r="R440" s="242"/>
      <c r="S440" s="242"/>
      <c r="T440" s="242"/>
      <c r="U440" s="242"/>
      <c r="V440" s="242"/>
      <c r="W440" s="242"/>
      <c r="X440" s="242"/>
      <c r="Y440" s="242"/>
      <c r="Z440" s="242"/>
    </row>
    <row r="441">
      <c r="A441" s="242"/>
      <c r="B441" s="443"/>
      <c r="C441" s="443"/>
      <c r="D441" s="443"/>
      <c r="E441" s="443"/>
      <c r="F441" s="443"/>
      <c r="G441" s="242"/>
      <c r="H441" s="242"/>
      <c r="I441" s="242"/>
      <c r="J441" s="242"/>
      <c r="K441" s="13"/>
      <c r="L441" s="242"/>
      <c r="M441" s="242"/>
      <c r="N441" s="13"/>
      <c r="O441" s="242"/>
      <c r="P441" s="242"/>
      <c r="Q441" s="242"/>
      <c r="R441" s="242"/>
      <c r="S441" s="242"/>
      <c r="T441" s="242"/>
      <c r="U441" s="242"/>
      <c r="V441" s="242"/>
      <c r="W441" s="242"/>
      <c r="X441" s="242"/>
      <c r="Y441" s="242"/>
      <c r="Z441" s="242"/>
    </row>
    <row r="442">
      <c r="A442" s="242"/>
      <c r="B442" s="443"/>
      <c r="C442" s="443"/>
      <c r="D442" s="443"/>
      <c r="E442" s="443"/>
      <c r="F442" s="443"/>
      <c r="G442" s="242"/>
      <c r="H442" s="242"/>
      <c r="I442" s="242"/>
      <c r="J442" s="242"/>
      <c r="K442" s="13"/>
      <c r="L442" s="242"/>
      <c r="M442" s="242"/>
      <c r="N442" s="13"/>
      <c r="O442" s="242"/>
      <c r="P442" s="242"/>
      <c r="Q442" s="242"/>
      <c r="R442" s="242"/>
      <c r="S442" s="242"/>
      <c r="T442" s="242"/>
      <c r="U442" s="242"/>
      <c r="V442" s="242"/>
      <c r="W442" s="242"/>
      <c r="X442" s="242"/>
      <c r="Y442" s="242"/>
      <c r="Z442" s="242"/>
    </row>
    <row r="443">
      <c r="A443" s="242"/>
      <c r="B443" s="443"/>
      <c r="C443" s="443"/>
      <c r="D443" s="443"/>
      <c r="E443" s="443"/>
      <c r="F443" s="443"/>
      <c r="G443" s="242"/>
      <c r="H443" s="242"/>
      <c r="I443" s="242"/>
      <c r="J443" s="242"/>
      <c r="K443" s="13"/>
      <c r="L443" s="242"/>
      <c r="M443" s="242"/>
      <c r="N443" s="13"/>
      <c r="O443" s="242"/>
      <c r="P443" s="242"/>
      <c r="Q443" s="242"/>
      <c r="R443" s="242"/>
      <c r="S443" s="242"/>
      <c r="T443" s="242"/>
      <c r="U443" s="242"/>
      <c r="V443" s="242"/>
      <c r="W443" s="242"/>
      <c r="X443" s="242"/>
      <c r="Y443" s="242"/>
      <c r="Z443" s="242"/>
    </row>
    <row r="444">
      <c r="A444" s="242"/>
      <c r="B444" s="443"/>
      <c r="C444" s="443"/>
      <c r="D444" s="443"/>
      <c r="E444" s="443"/>
      <c r="F444" s="443"/>
      <c r="G444" s="242"/>
      <c r="H444" s="242"/>
      <c r="I444" s="242"/>
      <c r="J444" s="242"/>
      <c r="K444" s="13"/>
      <c r="L444" s="242"/>
      <c r="M444" s="242"/>
      <c r="N444" s="13"/>
      <c r="O444" s="242"/>
      <c r="P444" s="242"/>
      <c r="Q444" s="242"/>
      <c r="R444" s="242"/>
      <c r="S444" s="242"/>
      <c r="T444" s="242"/>
      <c r="U444" s="242"/>
      <c r="V444" s="242"/>
      <c r="W444" s="242"/>
      <c r="X444" s="242"/>
      <c r="Y444" s="242"/>
      <c r="Z444" s="242"/>
    </row>
    <row r="445">
      <c r="A445" s="242"/>
      <c r="B445" s="443"/>
      <c r="C445" s="443"/>
      <c r="D445" s="443"/>
      <c r="E445" s="443"/>
      <c r="F445" s="443"/>
      <c r="G445" s="242"/>
      <c r="H445" s="242"/>
      <c r="I445" s="242"/>
      <c r="J445" s="242"/>
      <c r="K445" s="13"/>
      <c r="L445" s="242"/>
      <c r="M445" s="242"/>
      <c r="N445" s="13"/>
      <c r="O445" s="242"/>
      <c r="P445" s="242"/>
      <c r="Q445" s="242"/>
      <c r="R445" s="242"/>
      <c r="S445" s="242"/>
      <c r="T445" s="242"/>
      <c r="U445" s="242"/>
      <c r="V445" s="242"/>
      <c r="W445" s="242"/>
      <c r="X445" s="242"/>
      <c r="Y445" s="242"/>
      <c r="Z445" s="242"/>
    </row>
    <row r="446">
      <c r="A446" s="242"/>
      <c r="B446" s="443"/>
      <c r="C446" s="443"/>
      <c r="D446" s="443"/>
      <c r="E446" s="443"/>
      <c r="F446" s="443"/>
      <c r="G446" s="242"/>
      <c r="H446" s="242"/>
      <c r="I446" s="242"/>
      <c r="J446" s="242"/>
      <c r="K446" s="13"/>
      <c r="L446" s="242"/>
      <c r="M446" s="242"/>
      <c r="N446" s="13"/>
      <c r="O446" s="242"/>
      <c r="P446" s="242"/>
      <c r="Q446" s="242"/>
      <c r="R446" s="242"/>
      <c r="S446" s="242"/>
      <c r="T446" s="242"/>
      <c r="U446" s="242"/>
      <c r="V446" s="242"/>
      <c r="W446" s="242"/>
      <c r="X446" s="242"/>
      <c r="Y446" s="242"/>
      <c r="Z446" s="242"/>
    </row>
    <row r="447">
      <c r="A447" s="242"/>
      <c r="B447" s="443"/>
      <c r="C447" s="443"/>
      <c r="D447" s="443"/>
      <c r="E447" s="443"/>
      <c r="F447" s="443"/>
      <c r="G447" s="242"/>
      <c r="H447" s="242"/>
      <c r="I447" s="242"/>
      <c r="J447" s="242"/>
      <c r="K447" s="13"/>
      <c r="L447" s="242"/>
      <c r="M447" s="242"/>
      <c r="N447" s="13"/>
      <c r="O447" s="242"/>
      <c r="P447" s="242"/>
      <c r="Q447" s="242"/>
      <c r="R447" s="242"/>
      <c r="S447" s="242"/>
      <c r="T447" s="242"/>
      <c r="U447" s="242"/>
      <c r="V447" s="242"/>
      <c r="W447" s="242"/>
      <c r="X447" s="242"/>
      <c r="Y447" s="242"/>
      <c r="Z447" s="242"/>
    </row>
    <row r="448">
      <c r="A448" s="242"/>
      <c r="B448" s="443"/>
      <c r="C448" s="443"/>
      <c r="D448" s="443"/>
      <c r="E448" s="443"/>
      <c r="F448" s="443"/>
      <c r="G448" s="242"/>
      <c r="H448" s="242"/>
      <c r="I448" s="242"/>
      <c r="J448" s="242"/>
      <c r="K448" s="13"/>
      <c r="L448" s="242"/>
      <c r="M448" s="242"/>
      <c r="N448" s="13"/>
      <c r="O448" s="242"/>
      <c r="P448" s="242"/>
      <c r="Q448" s="242"/>
      <c r="R448" s="242"/>
      <c r="S448" s="242"/>
      <c r="T448" s="242"/>
      <c r="U448" s="242"/>
      <c r="V448" s="242"/>
      <c r="W448" s="242"/>
      <c r="X448" s="242"/>
      <c r="Y448" s="242"/>
      <c r="Z448" s="242"/>
    </row>
    <row r="449">
      <c r="A449" s="242"/>
      <c r="B449" s="443"/>
      <c r="C449" s="443"/>
      <c r="D449" s="443"/>
      <c r="E449" s="443"/>
      <c r="F449" s="443"/>
      <c r="G449" s="242"/>
      <c r="H449" s="242"/>
      <c r="I449" s="242"/>
      <c r="J449" s="242"/>
      <c r="K449" s="13"/>
      <c r="L449" s="242"/>
      <c r="M449" s="242"/>
      <c r="N449" s="13"/>
      <c r="O449" s="242"/>
      <c r="P449" s="242"/>
      <c r="Q449" s="242"/>
      <c r="R449" s="242"/>
      <c r="S449" s="242"/>
      <c r="T449" s="242"/>
      <c r="U449" s="242"/>
      <c r="V449" s="242"/>
      <c r="W449" s="242"/>
      <c r="X449" s="242"/>
      <c r="Y449" s="242"/>
      <c r="Z449" s="242"/>
    </row>
    <row r="450">
      <c r="A450" s="242"/>
      <c r="B450" s="443"/>
      <c r="C450" s="443"/>
      <c r="D450" s="443"/>
      <c r="E450" s="443"/>
      <c r="F450" s="443"/>
      <c r="G450" s="242"/>
      <c r="H450" s="242"/>
      <c r="I450" s="242"/>
      <c r="J450" s="242"/>
      <c r="K450" s="13"/>
      <c r="L450" s="242"/>
      <c r="M450" s="242"/>
      <c r="N450" s="13"/>
      <c r="O450" s="242"/>
      <c r="P450" s="242"/>
      <c r="Q450" s="242"/>
      <c r="R450" s="242"/>
      <c r="S450" s="242"/>
      <c r="T450" s="242"/>
      <c r="U450" s="242"/>
      <c r="V450" s="242"/>
      <c r="W450" s="242"/>
      <c r="X450" s="242"/>
      <c r="Y450" s="242"/>
      <c r="Z450" s="242"/>
    </row>
    <row r="451">
      <c r="A451" s="242"/>
      <c r="B451" s="443"/>
      <c r="C451" s="443"/>
      <c r="D451" s="443"/>
      <c r="E451" s="443"/>
      <c r="F451" s="443"/>
      <c r="G451" s="242"/>
      <c r="H451" s="242"/>
      <c r="I451" s="242"/>
      <c r="J451" s="242"/>
      <c r="K451" s="13"/>
      <c r="L451" s="242"/>
      <c r="M451" s="242"/>
      <c r="N451" s="13"/>
      <c r="O451" s="242"/>
      <c r="P451" s="242"/>
      <c r="Q451" s="242"/>
      <c r="R451" s="242"/>
      <c r="S451" s="242"/>
      <c r="T451" s="242"/>
      <c r="U451" s="242"/>
      <c r="V451" s="242"/>
      <c r="W451" s="242"/>
      <c r="X451" s="242"/>
      <c r="Y451" s="242"/>
      <c r="Z451" s="242"/>
    </row>
    <row r="452">
      <c r="A452" s="242"/>
      <c r="B452" s="443"/>
      <c r="C452" s="443"/>
      <c r="D452" s="443"/>
      <c r="E452" s="443"/>
      <c r="F452" s="443"/>
      <c r="G452" s="242"/>
      <c r="H452" s="242"/>
      <c r="I452" s="242"/>
      <c r="J452" s="242"/>
      <c r="K452" s="13"/>
      <c r="L452" s="242"/>
      <c r="M452" s="242"/>
      <c r="N452" s="13"/>
      <c r="O452" s="242"/>
      <c r="P452" s="242"/>
      <c r="Q452" s="242"/>
      <c r="R452" s="242"/>
      <c r="S452" s="242"/>
      <c r="T452" s="242"/>
      <c r="U452" s="242"/>
      <c r="V452" s="242"/>
      <c r="W452" s="242"/>
      <c r="X452" s="242"/>
      <c r="Y452" s="242"/>
      <c r="Z452" s="242"/>
    </row>
    <row r="453">
      <c r="A453" s="242"/>
      <c r="B453" s="443"/>
      <c r="C453" s="443"/>
      <c r="D453" s="443"/>
      <c r="E453" s="443"/>
      <c r="F453" s="443"/>
      <c r="G453" s="242"/>
      <c r="H453" s="242"/>
      <c r="I453" s="242"/>
      <c r="J453" s="242"/>
      <c r="K453" s="13"/>
      <c r="L453" s="242"/>
      <c r="M453" s="242"/>
      <c r="N453" s="13"/>
      <c r="O453" s="242"/>
      <c r="P453" s="242"/>
      <c r="Q453" s="242"/>
      <c r="R453" s="242"/>
      <c r="S453" s="242"/>
      <c r="T453" s="242"/>
      <c r="U453" s="242"/>
      <c r="V453" s="242"/>
      <c r="W453" s="242"/>
      <c r="X453" s="242"/>
      <c r="Y453" s="242"/>
      <c r="Z453" s="242"/>
    </row>
    <row r="454">
      <c r="A454" s="242"/>
      <c r="B454" s="443"/>
      <c r="C454" s="443"/>
      <c r="D454" s="443"/>
      <c r="E454" s="443"/>
      <c r="F454" s="443"/>
      <c r="G454" s="242"/>
      <c r="H454" s="242"/>
      <c r="I454" s="242"/>
      <c r="J454" s="242"/>
      <c r="K454" s="13"/>
      <c r="L454" s="242"/>
      <c r="M454" s="242"/>
      <c r="N454" s="13"/>
      <c r="O454" s="242"/>
      <c r="P454" s="242"/>
      <c r="Q454" s="242"/>
      <c r="R454" s="242"/>
      <c r="S454" s="242"/>
      <c r="T454" s="242"/>
      <c r="U454" s="242"/>
      <c r="V454" s="242"/>
      <c r="W454" s="242"/>
      <c r="X454" s="242"/>
      <c r="Y454" s="242"/>
      <c r="Z454" s="242"/>
    </row>
    <row r="455">
      <c r="A455" s="242"/>
      <c r="B455" s="443"/>
      <c r="C455" s="443"/>
      <c r="D455" s="443"/>
      <c r="E455" s="443"/>
      <c r="F455" s="443"/>
      <c r="G455" s="242"/>
      <c r="H455" s="242"/>
      <c r="I455" s="242"/>
      <c r="J455" s="242"/>
      <c r="K455" s="13"/>
      <c r="L455" s="242"/>
      <c r="M455" s="242"/>
      <c r="N455" s="13"/>
      <c r="O455" s="242"/>
      <c r="P455" s="242"/>
      <c r="Q455" s="242"/>
      <c r="R455" s="242"/>
      <c r="S455" s="242"/>
      <c r="T455" s="242"/>
      <c r="U455" s="242"/>
      <c r="V455" s="242"/>
      <c r="W455" s="242"/>
      <c r="X455" s="242"/>
      <c r="Y455" s="242"/>
      <c r="Z455" s="242"/>
    </row>
    <row r="456">
      <c r="A456" s="242"/>
      <c r="B456" s="443"/>
      <c r="C456" s="443"/>
      <c r="D456" s="443"/>
      <c r="E456" s="443"/>
      <c r="F456" s="443"/>
      <c r="G456" s="242"/>
      <c r="H456" s="242"/>
      <c r="I456" s="242"/>
      <c r="J456" s="242"/>
      <c r="K456" s="13"/>
      <c r="L456" s="242"/>
      <c r="M456" s="242"/>
      <c r="N456" s="13"/>
      <c r="O456" s="242"/>
      <c r="P456" s="242"/>
      <c r="Q456" s="242"/>
      <c r="R456" s="242"/>
      <c r="S456" s="242"/>
      <c r="T456" s="242"/>
      <c r="U456" s="242"/>
      <c r="V456" s="242"/>
      <c r="W456" s="242"/>
      <c r="X456" s="242"/>
      <c r="Y456" s="242"/>
      <c r="Z456" s="242"/>
    </row>
    <row r="457">
      <c r="A457" s="242"/>
      <c r="B457" s="443"/>
      <c r="C457" s="443"/>
      <c r="D457" s="443"/>
      <c r="E457" s="443"/>
      <c r="F457" s="443"/>
      <c r="G457" s="242"/>
      <c r="H457" s="242"/>
      <c r="I457" s="242"/>
      <c r="J457" s="242"/>
      <c r="K457" s="13"/>
      <c r="L457" s="242"/>
      <c r="M457" s="242"/>
      <c r="N457" s="13"/>
      <c r="O457" s="242"/>
      <c r="P457" s="242"/>
      <c r="Q457" s="242"/>
      <c r="R457" s="242"/>
      <c r="S457" s="242"/>
      <c r="T457" s="242"/>
      <c r="U457" s="242"/>
      <c r="V457" s="242"/>
      <c r="W457" s="242"/>
      <c r="X457" s="242"/>
      <c r="Y457" s="242"/>
      <c r="Z457" s="242"/>
    </row>
    <row r="458">
      <c r="A458" s="242"/>
      <c r="B458" s="443"/>
      <c r="C458" s="443"/>
      <c r="D458" s="443"/>
      <c r="E458" s="443"/>
      <c r="F458" s="443"/>
      <c r="G458" s="242"/>
      <c r="H458" s="242"/>
      <c r="I458" s="242"/>
      <c r="J458" s="242"/>
      <c r="K458" s="13"/>
      <c r="L458" s="242"/>
      <c r="M458" s="242"/>
      <c r="N458" s="13"/>
      <c r="O458" s="242"/>
      <c r="P458" s="242"/>
      <c r="Q458" s="242"/>
      <c r="R458" s="242"/>
      <c r="S458" s="242"/>
      <c r="T458" s="242"/>
      <c r="U458" s="242"/>
      <c r="V458" s="242"/>
      <c r="W458" s="242"/>
      <c r="X458" s="242"/>
      <c r="Y458" s="242"/>
      <c r="Z458" s="242"/>
    </row>
    <row r="459">
      <c r="A459" s="242"/>
      <c r="B459" s="443"/>
      <c r="C459" s="443"/>
      <c r="D459" s="443"/>
      <c r="E459" s="443"/>
      <c r="F459" s="443"/>
      <c r="G459" s="242"/>
      <c r="H459" s="242"/>
      <c r="I459" s="242"/>
      <c r="J459" s="242"/>
      <c r="K459" s="13"/>
      <c r="L459" s="242"/>
      <c r="M459" s="242"/>
      <c r="N459" s="13"/>
      <c r="O459" s="242"/>
      <c r="P459" s="242"/>
      <c r="Q459" s="242"/>
      <c r="R459" s="242"/>
      <c r="S459" s="242"/>
      <c r="T459" s="242"/>
      <c r="U459" s="242"/>
      <c r="V459" s="242"/>
      <c r="W459" s="242"/>
      <c r="X459" s="242"/>
      <c r="Y459" s="242"/>
      <c r="Z459" s="242"/>
    </row>
    <row r="460">
      <c r="A460" s="242"/>
      <c r="B460" s="443"/>
      <c r="C460" s="443"/>
      <c r="D460" s="443"/>
      <c r="E460" s="443"/>
      <c r="F460" s="443"/>
      <c r="G460" s="242"/>
      <c r="H460" s="242"/>
      <c r="I460" s="242"/>
      <c r="J460" s="242"/>
      <c r="K460" s="13"/>
      <c r="L460" s="242"/>
      <c r="M460" s="242"/>
      <c r="N460" s="13"/>
      <c r="O460" s="242"/>
      <c r="P460" s="242"/>
      <c r="Q460" s="242"/>
      <c r="R460" s="242"/>
      <c r="S460" s="242"/>
      <c r="T460" s="242"/>
      <c r="U460" s="242"/>
      <c r="V460" s="242"/>
      <c r="W460" s="242"/>
      <c r="X460" s="242"/>
      <c r="Y460" s="242"/>
      <c r="Z460" s="242"/>
    </row>
    <row r="461">
      <c r="A461" s="242"/>
      <c r="B461" s="443"/>
      <c r="C461" s="443"/>
      <c r="D461" s="443"/>
      <c r="E461" s="443"/>
      <c r="F461" s="443"/>
      <c r="G461" s="242"/>
      <c r="H461" s="242"/>
      <c r="I461" s="242"/>
      <c r="J461" s="242"/>
      <c r="K461" s="13"/>
      <c r="L461" s="242"/>
      <c r="M461" s="242"/>
      <c r="N461" s="13"/>
      <c r="O461" s="242"/>
      <c r="P461" s="242"/>
      <c r="Q461" s="242"/>
      <c r="R461" s="242"/>
      <c r="S461" s="242"/>
      <c r="T461" s="242"/>
      <c r="U461" s="242"/>
      <c r="V461" s="242"/>
      <c r="W461" s="242"/>
      <c r="X461" s="242"/>
      <c r="Y461" s="242"/>
      <c r="Z461" s="242"/>
    </row>
    <row r="462">
      <c r="A462" s="242"/>
      <c r="B462" s="443"/>
      <c r="C462" s="443"/>
      <c r="D462" s="443"/>
      <c r="E462" s="443"/>
      <c r="F462" s="443"/>
      <c r="G462" s="242"/>
      <c r="H462" s="242"/>
      <c r="I462" s="242"/>
      <c r="J462" s="242"/>
      <c r="K462" s="13"/>
      <c r="L462" s="242"/>
      <c r="M462" s="242"/>
      <c r="N462" s="13"/>
      <c r="O462" s="242"/>
      <c r="P462" s="242"/>
      <c r="Q462" s="242"/>
      <c r="R462" s="242"/>
      <c r="S462" s="242"/>
      <c r="T462" s="242"/>
      <c r="U462" s="242"/>
      <c r="V462" s="242"/>
      <c r="W462" s="242"/>
      <c r="X462" s="242"/>
      <c r="Y462" s="242"/>
      <c r="Z462" s="242"/>
    </row>
    <row r="463">
      <c r="A463" s="242"/>
      <c r="B463" s="443"/>
      <c r="C463" s="443"/>
      <c r="D463" s="443"/>
      <c r="E463" s="443"/>
      <c r="F463" s="443"/>
      <c r="G463" s="242"/>
      <c r="H463" s="242"/>
      <c r="I463" s="242"/>
      <c r="J463" s="242"/>
      <c r="K463" s="13"/>
      <c r="L463" s="242"/>
      <c r="M463" s="242"/>
      <c r="N463" s="13"/>
      <c r="O463" s="242"/>
      <c r="P463" s="242"/>
      <c r="Q463" s="242"/>
      <c r="R463" s="242"/>
      <c r="S463" s="242"/>
      <c r="T463" s="242"/>
      <c r="U463" s="242"/>
      <c r="V463" s="242"/>
      <c r="W463" s="242"/>
      <c r="X463" s="242"/>
      <c r="Y463" s="242"/>
      <c r="Z463" s="242"/>
    </row>
    <row r="464">
      <c r="A464" s="242"/>
      <c r="B464" s="443"/>
      <c r="C464" s="443"/>
      <c r="D464" s="443"/>
      <c r="E464" s="443"/>
      <c r="F464" s="443"/>
      <c r="G464" s="242"/>
      <c r="H464" s="242"/>
      <c r="I464" s="242"/>
      <c r="J464" s="242"/>
      <c r="K464" s="13"/>
      <c r="L464" s="242"/>
      <c r="M464" s="242"/>
      <c r="N464" s="13"/>
      <c r="O464" s="242"/>
      <c r="P464" s="242"/>
      <c r="Q464" s="242"/>
      <c r="R464" s="242"/>
      <c r="S464" s="242"/>
      <c r="T464" s="242"/>
      <c r="U464" s="242"/>
      <c r="V464" s="242"/>
      <c r="W464" s="242"/>
      <c r="X464" s="242"/>
      <c r="Y464" s="242"/>
      <c r="Z464" s="242"/>
    </row>
    <row r="465">
      <c r="A465" s="242"/>
      <c r="B465" s="443"/>
      <c r="C465" s="443"/>
      <c r="D465" s="443"/>
      <c r="E465" s="443"/>
      <c r="F465" s="443"/>
      <c r="G465" s="242"/>
      <c r="H465" s="242"/>
      <c r="I465" s="242"/>
      <c r="J465" s="242"/>
      <c r="K465" s="13"/>
      <c r="L465" s="242"/>
      <c r="M465" s="242"/>
      <c r="N465" s="13"/>
      <c r="O465" s="242"/>
      <c r="P465" s="242"/>
      <c r="Q465" s="242"/>
      <c r="R465" s="242"/>
      <c r="S465" s="242"/>
      <c r="T465" s="242"/>
      <c r="U465" s="242"/>
      <c r="V465" s="242"/>
      <c r="W465" s="242"/>
      <c r="X465" s="242"/>
      <c r="Y465" s="242"/>
      <c r="Z465" s="242"/>
    </row>
    <row r="466">
      <c r="A466" s="242"/>
      <c r="B466" s="443"/>
      <c r="C466" s="443"/>
      <c r="D466" s="443"/>
      <c r="E466" s="443"/>
      <c r="F466" s="443"/>
      <c r="G466" s="242"/>
      <c r="H466" s="242"/>
      <c r="I466" s="242"/>
      <c r="J466" s="242"/>
      <c r="K466" s="13"/>
      <c r="L466" s="242"/>
      <c r="M466" s="242"/>
      <c r="N466" s="13"/>
      <c r="O466" s="242"/>
      <c r="P466" s="242"/>
      <c r="Q466" s="242"/>
      <c r="R466" s="242"/>
      <c r="S466" s="242"/>
      <c r="T466" s="242"/>
      <c r="U466" s="242"/>
      <c r="V466" s="242"/>
      <c r="W466" s="242"/>
      <c r="X466" s="242"/>
      <c r="Y466" s="242"/>
      <c r="Z466" s="242"/>
    </row>
    <row r="467">
      <c r="A467" s="242"/>
      <c r="B467" s="443"/>
      <c r="C467" s="443"/>
      <c r="D467" s="443"/>
      <c r="E467" s="443"/>
      <c r="F467" s="443"/>
      <c r="G467" s="242"/>
      <c r="H467" s="242"/>
      <c r="I467" s="242"/>
      <c r="J467" s="242"/>
      <c r="K467" s="13"/>
      <c r="L467" s="242"/>
      <c r="M467" s="242"/>
      <c r="N467" s="13"/>
      <c r="O467" s="242"/>
      <c r="P467" s="242"/>
      <c r="Q467" s="242"/>
      <c r="R467" s="242"/>
      <c r="S467" s="242"/>
      <c r="T467" s="242"/>
      <c r="U467" s="242"/>
      <c r="V467" s="242"/>
      <c r="W467" s="242"/>
      <c r="X467" s="242"/>
      <c r="Y467" s="242"/>
      <c r="Z467" s="242"/>
    </row>
    <row r="468">
      <c r="A468" s="242"/>
      <c r="B468" s="443"/>
      <c r="C468" s="443"/>
      <c r="D468" s="443"/>
      <c r="E468" s="443"/>
      <c r="F468" s="443"/>
      <c r="G468" s="242"/>
      <c r="H468" s="242"/>
      <c r="I468" s="242"/>
      <c r="J468" s="242"/>
      <c r="K468" s="13"/>
      <c r="L468" s="242"/>
      <c r="M468" s="242"/>
      <c r="N468" s="13"/>
      <c r="O468" s="242"/>
      <c r="P468" s="242"/>
      <c r="Q468" s="242"/>
      <c r="R468" s="242"/>
      <c r="S468" s="242"/>
      <c r="T468" s="242"/>
      <c r="U468" s="242"/>
      <c r="V468" s="242"/>
      <c r="W468" s="242"/>
      <c r="X468" s="242"/>
      <c r="Y468" s="242"/>
      <c r="Z468" s="242"/>
    </row>
    <row r="469">
      <c r="A469" s="242"/>
      <c r="B469" s="443"/>
      <c r="C469" s="443"/>
      <c r="D469" s="443"/>
      <c r="E469" s="443"/>
      <c r="F469" s="443"/>
      <c r="G469" s="242"/>
      <c r="H469" s="242"/>
      <c r="I469" s="242"/>
      <c r="J469" s="242"/>
      <c r="K469" s="13"/>
      <c r="L469" s="242"/>
      <c r="M469" s="242"/>
      <c r="N469" s="13"/>
      <c r="O469" s="242"/>
      <c r="P469" s="242"/>
      <c r="Q469" s="242"/>
      <c r="R469" s="242"/>
      <c r="S469" s="242"/>
      <c r="T469" s="242"/>
      <c r="U469" s="242"/>
      <c r="V469" s="242"/>
      <c r="W469" s="242"/>
      <c r="X469" s="242"/>
      <c r="Y469" s="242"/>
      <c r="Z469" s="242"/>
    </row>
    <row r="470">
      <c r="A470" s="242"/>
      <c r="B470" s="443"/>
      <c r="C470" s="443"/>
      <c r="D470" s="443"/>
      <c r="E470" s="443"/>
      <c r="F470" s="443"/>
      <c r="G470" s="242"/>
      <c r="H470" s="242"/>
      <c r="I470" s="242"/>
      <c r="J470" s="242"/>
      <c r="K470" s="13"/>
      <c r="L470" s="242"/>
      <c r="M470" s="242"/>
      <c r="N470" s="13"/>
      <c r="O470" s="242"/>
      <c r="P470" s="242"/>
      <c r="Q470" s="242"/>
      <c r="R470" s="242"/>
      <c r="S470" s="242"/>
      <c r="T470" s="242"/>
      <c r="U470" s="242"/>
      <c r="V470" s="242"/>
      <c r="W470" s="242"/>
      <c r="X470" s="242"/>
      <c r="Y470" s="242"/>
      <c r="Z470" s="242"/>
    </row>
    <row r="471">
      <c r="A471" s="242"/>
      <c r="B471" s="443"/>
      <c r="C471" s="443"/>
      <c r="D471" s="443"/>
      <c r="E471" s="443"/>
      <c r="F471" s="443"/>
      <c r="G471" s="242"/>
      <c r="H471" s="242"/>
      <c r="I471" s="242"/>
      <c r="J471" s="242"/>
      <c r="K471" s="13"/>
      <c r="L471" s="242"/>
      <c r="M471" s="242"/>
      <c r="N471" s="13"/>
      <c r="O471" s="242"/>
      <c r="P471" s="242"/>
      <c r="Q471" s="242"/>
      <c r="R471" s="242"/>
      <c r="S471" s="242"/>
      <c r="T471" s="242"/>
      <c r="U471" s="242"/>
      <c r="V471" s="242"/>
      <c r="W471" s="242"/>
      <c r="X471" s="242"/>
      <c r="Y471" s="242"/>
      <c r="Z471" s="242"/>
    </row>
    <row r="472">
      <c r="A472" s="242"/>
      <c r="B472" s="443"/>
      <c r="C472" s="443"/>
      <c r="D472" s="443"/>
      <c r="E472" s="443"/>
      <c r="F472" s="443"/>
      <c r="G472" s="242"/>
      <c r="H472" s="242"/>
      <c r="I472" s="242"/>
      <c r="J472" s="242"/>
      <c r="K472" s="13"/>
      <c r="L472" s="242"/>
      <c r="M472" s="242"/>
      <c r="N472" s="13"/>
      <c r="O472" s="242"/>
      <c r="P472" s="242"/>
      <c r="Q472" s="242"/>
      <c r="R472" s="242"/>
      <c r="S472" s="242"/>
      <c r="T472" s="242"/>
      <c r="U472" s="242"/>
      <c r="V472" s="242"/>
      <c r="W472" s="242"/>
      <c r="X472" s="242"/>
      <c r="Y472" s="242"/>
      <c r="Z472" s="242"/>
    </row>
    <row r="473">
      <c r="A473" s="242"/>
      <c r="B473" s="443"/>
      <c r="C473" s="443"/>
      <c r="D473" s="443"/>
      <c r="E473" s="443"/>
      <c r="F473" s="443"/>
      <c r="G473" s="242"/>
      <c r="H473" s="242"/>
      <c r="I473" s="242"/>
      <c r="J473" s="242"/>
      <c r="K473" s="13"/>
      <c r="L473" s="242"/>
      <c r="M473" s="242"/>
      <c r="N473" s="13"/>
      <c r="O473" s="242"/>
      <c r="P473" s="242"/>
      <c r="Q473" s="242"/>
      <c r="R473" s="242"/>
      <c r="S473" s="242"/>
      <c r="T473" s="242"/>
      <c r="U473" s="242"/>
      <c r="V473" s="242"/>
      <c r="W473" s="242"/>
      <c r="X473" s="242"/>
      <c r="Y473" s="242"/>
      <c r="Z473" s="242"/>
    </row>
    <row r="474">
      <c r="A474" s="242"/>
      <c r="B474" s="443"/>
      <c r="C474" s="443"/>
      <c r="D474" s="443"/>
      <c r="E474" s="443"/>
      <c r="F474" s="443"/>
      <c r="G474" s="242"/>
      <c r="H474" s="242"/>
      <c r="I474" s="242"/>
      <c r="J474" s="242"/>
      <c r="K474" s="13"/>
      <c r="L474" s="242"/>
      <c r="M474" s="242"/>
      <c r="N474" s="13"/>
      <c r="O474" s="242"/>
      <c r="P474" s="242"/>
      <c r="Q474" s="242"/>
      <c r="R474" s="242"/>
      <c r="S474" s="242"/>
      <c r="T474" s="242"/>
      <c r="U474" s="242"/>
      <c r="V474" s="242"/>
      <c r="W474" s="242"/>
      <c r="X474" s="242"/>
      <c r="Y474" s="242"/>
      <c r="Z474" s="242"/>
    </row>
    <row r="475">
      <c r="A475" s="242"/>
      <c r="B475" s="443"/>
      <c r="C475" s="443"/>
      <c r="D475" s="443"/>
      <c r="E475" s="443"/>
      <c r="F475" s="443"/>
      <c r="G475" s="242"/>
      <c r="H475" s="242"/>
      <c r="I475" s="242"/>
      <c r="J475" s="242"/>
      <c r="K475" s="13"/>
      <c r="L475" s="242"/>
      <c r="M475" s="242"/>
      <c r="N475" s="13"/>
      <c r="O475" s="242"/>
      <c r="P475" s="242"/>
      <c r="Q475" s="242"/>
      <c r="R475" s="242"/>
      <c r="S475" s="242"/>
      <c r="T475" s="242"/>
      <c r="U475" s="242"/>
      <c r="V475" s="242"/>
      <c r="W475" s="242"/>
      <c r="X475" s="242"/>
      <c r="Y475" s="242"/>
      <c r="Z475" s="242"/>
    </row>
    <row r="476">
      <c r="A476" s="242"/>
      <c r="B476" s="443"/>
      <c r="C476" s="443"/>
      <c r="D476" s="443"/>
      <c r="E476" s="443"/>
      <c r="F476" s="443"/>
      <c r="G476" s="242"/>
      <c r="H476" s="242"/>
      <c r="I476" s="242"/>
      <c r="J476" s="242"/>
      <c r="K476" s="13"/>
      <c r="L476" s="242"/>
      <c r="M476" s="242"/>
      <c r="N476" s="13"/>
      <c r="O476" s="242"/>
      <c r="P476" s="242"/>
      <c r="Q476" s="242"/>
      <c r="R476" s="242"/>
      <c r="S476" s="242"/>
      <c r="T476" s="242"/>
      <c r="U476" s="242"/>
      <c r="V476" s="242"/>
      <c r="W476" s="242"/>
      <c r="X476" s="242"/>
      <c r="Y476" s="242"/>
      <c r="Z476" s="242"/>
    </row>
    <row r="477">
      <c r="A477" s="242"/>
      <c r="B477" s="443"/>
      <c r="C477" s="443"/>
      <c r="D477" s="443"/>
      <c r="E477" s="443"/>
      <c r="F477" s="443"/>
      <c r="G477" s="242"/>
      <c r="H477" s="242"/>
      <c r="I477" s="242"/>
      <c r="J477" s="242"/>
      <c r="K477" s="13"/>
      <c r="L477" s="242"/>
      <c r="M477" s="242"/>
      <c r="N477" s="13"/>
      <c r="O477" s="242"/>
      <c r="P477" s="242"/>
      <c r="Q477" s="242"/>
      <c r="R477" s="242"/>
      <c r="S477" s="242"/>
      <c r="T477" s="242"/>
      <c r="U477" s="242"/>
      <c r="V477" s="242"/>
      <c r="W477" s="242"/>
      <c r="X477" s="242"/>
      <c r="Y477" s="242"/>
      <c r="Z477" s="242"/>
    </row>
    <row r="478">
      <c r="A478" s="242"/>
      <c r="B478" s="443"/>
      <c r="C478" s="443"/>
      <c r="D478" s="443"/>
      <c r="E478" s="443"/>
      <c r="F478" s="443"/>
      <c r="G478" s="242"/>
      <c r="H478" s="242"/>
      <c r="I478" s="242"/>
      <c r="J478" s="242"/>
      <c r="K478" s="13"/>
      <c r="L478" s="242"/>
      <c r="M478" s="242"/>
      <c r="N478" s="13"/>
      <c r="O478" s="242"/>
      <c r="P478" s="242"/>
      <c r="Q478" s="242"/>
      <c r="R478" s="242"/>
      <c r="S478" s="242"/>
      <c r="T478" s="242"/>
      <c r="U478" s="242"/>
      <c r="V478" s="242"/>
      <c r="W478" s="242"/>
      <c r="X478" s="242"/>
      <c r="Y478" s="242"/>
      <c r="Z478" s="242"/>
    </row>
    <row r="479">
      <c r="A479" s="242"/>
      <c r="B479" s="443"/>
      <c r="C479" s="443"/>
      <c r="D479" s="443"/>
      <c r="E479" s="443"/>
      <c r="F479" s="443"/>
      <c r="G479" s="242"/>
      <c r="H479" s="242"/>
      <c r="I479" s="242"/>
      <c r="J479" s="242"/>
      <c r="K479" s="13"/>
      <c r="L479" s="242"/>
      <c r="M479" s="242"/>
      <c r="N479" s="13"/>
      <c r="O479" s="242"/>
      <c r="P479" s="242"/>
      <c r="Q479" s="242"/>
      <c r="R479" s="242"/>
      <c r="S479" s="242"/>
      <c r="T479" s="242"/>
      <c r="U479" s="242"/>
      <c r="V479" s="242"/>
      <c r="W479" s="242"/>
      <c r="X479" s="242"/>
      <c r="Y479" s="242"/>
      <c r="Z479" s="242"/>
    </row>
    <row r="480">
      <c r="A480" s="242"/>
      <c r="B480" s="443"/>
      <c r="C480" s="443"/>
      <c r="D480" s="443"/>
      <c r="E480" s="443"/>
      <c r="F480" s="443"/>
      <c r="G480" s="242"/>
      <c r="H480" s="242"/>
      <c r="I480" s="242"/>
      <c r="J480" s="242"/>
      <c r="K480" s="13"/>
      <c r="L480" s="242"/>
      <c r="M480" s="242"/>
      <c r="N480" s="13"/>
      <c r="O480" s="242"/>
      <c r="P480" s="242"/>
      <c r="Q480" s="242"/>
      <c r="R480" s="242"/>
      <c r="S480" s="242"/>
      <c r="T480" s="242"/>
      <c r="U480" s="242"/>
      <c r="V480" s="242"/>
      <c r="W480" s="242"/>
      <c r="X480" s="242"/>
      <c r="Y480" s="242"/>
      <c r="Z480" s="242"/>
    </row>
    <row r="481">
      <c r="A481" s="242"/>
      <c r="B481" s="443"/>
      <c r="C481" s="443"/>
      <c r="D481" s="443"/>
      <c r="E481" s="443"/>
      <c r="F481" s="443"/>
      <c r="G481" s="242"/>
      <c r="H481" s="242"/>
      <c r="I481" s="242"/>
      <c r="J481" s="242"/>
      <c r="K481" s="13"/>
      <c r="L481" s="242"/>
      <c r="M481" s="242"/>
      <c r="N481" s="13"/>
      <c r="O481" s="242"/>
      <c r="P481" s="242"/>
      <c r="Q481" s="242"/>
      <c r="R481" s="242"/>
      <c r="S481" s="242"/>
      <c r="T481" s="242"/>
      <c r="U481" s="242"/>
      <c r="V481" s="242"/>
      <c r="W481" s="242"/>
      <c r="X481" s="242"/>
      <c r="Y481" s="242"/>
      <c r="Z481" s="242"/>
    </row>
    <row r="482">
      <c r="A482" s="242"/>
      <c r="B482" s="443"/>
      <c r="C482" s="443"/>
      <c r="D482" s="443"/>
      <c r="E482" s="443"/>
      <c r="F482" s="443"/>
      <c r="G482" s="242"/>
      <c r="H482" s="242"/>
      <c r="I482" s="242"/>
      <c r="J482" s="242"/>
      <c r="K482" s="13"/>
      <c r="L482" s="242"/>
      <c r="M482" s="242"/>
      <c r="N482" s="13"/>
      <c r="O482" s="242"/>
      <c r="P482" s="242"/>
      <c r="Q482" s="242"/>
      <c r="R482" s="242"/>
      <c r="S482" s="242"/>
      <c r="T482" s="242"/>
      <c r="U482" s="242"/>
      <c r="V482" s="242"/>
      <c r="W482" s="242"/>
      <c r="X482" s="242"/>
      <c r="Y482" s="242"/>
      <c r="Z482" s="242"/>
    </row>
    <row r="483">
      <c r="A483" s="242"/>
      <c r="B483" s="443"/>
      <c r="C483" s="443"/>
      <c r="D483" s="443"/>
      <c r="E483" s="443"/>
      <c r="F483" s="443"/>
      <c r="G483" s="242"/>
      <c r="H483" s="242"/>
      <c r="I483" s="242"/>
      <c r="J483" s="242"/>
      <c r="K483" s="13"/>
      <c r="L483" s="242"/>
      <c r="M483" s="242"/>
      <c r="N483" s="13"/>
      <c r="O483" s="242"/>
      <c r="P483" s="242"/>
      <c r="Q483" s="242"/>
      <c r="R483" s="242"/>
      <c r="S483" s="242"/>
      <c r="T483" s="242"/>
      <c r="U483" s="242"/>
      <c r="V483" s="242"/>
      <c r="W483" s="242"/>
      <c r="X483" s="242"/>
      <c r="Y483" s="242"/>
      <c r="Z483" s="242"/>
    </row>
    <row r="484">
      <c r="A484" s="242"/>
      <c r="B484" s="443"/>
      <c r="C484" s="443"/>
      <c r="D484" s="443"/>
      <c r="E484" s="443"/>
      <c r="F484" s="443"/>
      <c r="G484" s="242"/>
      <c r="H484" s="242"/>
      <c r="I484" s="242"/>
      <c r="J484" s="242"/>
      <c r="K484" s="13"/>
      <c r="L484" s="242"/>
      <c r="M484" s="242"/>
      <c r="N484" s="13"/>
      <c r="O484" s="242"/>
      <c r="P484" s="242"/>
      <c r="Q484" s="242"/>
      <c r="R484" s="242"/>
      <c r="S484" s="242"/>
      <c r="T484" s="242"/>
      <c r="U484" s="242"/>
      <c r="V484" s="242"/>
      <c r="W484" s="242"/>
      <c r="X484" s="242"/>
      <c r="Y484" s="242"/>
      <c r="Z484" s="242"/>
    </row>
    <row r="485">
      <c r="A485" s="242"/>
      <c r="B485" s="443"/>
      <c r="C485" s="443"/>
      <c r="D485" s="443"/>
      <c r="E485" s="443"/>
      <c r="F485" s="443"/>
      <c r="G485" s="242"/>
      <c r="H485" s="242"/>
      <c r="I485" s="242"/>
      <c r="J485" s="242"/>
      <c r="K485" s="13"/>
      <c r="L485" s="242"/>
      <c r="M485" s="242"/>
      <c r="N485" s="13"/>
      <c r="O485" s="242"/>
      <c r="P485" s="242"/>
      <c r="Q485" s="242"/>
      <c r="R485" s="242"/>
      <c r="S485" s="242"/>
      <c r="T485" s="242"/>
      <c r="U485" s="242"/>
      <c r="V485" s="242"/>
      <c r="W485" s="242"/>
      <c r="X485" s="242"/>
      <c r="Y485" s="242"/>
      <c r="Z485" s="242"/>
    </row>
    <row r="486">
      <c r="A486" s="242"/>
      <c r="B486" s="443"/>
      <c r="C486" s="443"/>
      <c r="D486" s="443"/>
      <c r="E486" s="443"/>
      <c r="F486" s="443"/>
      <c r="G486" s="242"/>
      <c r="H486" s="242"/>
      <c r="I486" s="242"/>
      <c r="J486" s="242"/>
      <c r="K486" s="13"/>
      <c r="L486" s="242"/>
      <c r="M486" s="242"/>
      <c r="N486" s="13"/>
      <c r="O486" s="242"/>
      <c r="P486" s="242"/>
      <c r="Q486" s="242"/>
      <c r="R486" s="242"/>
      <c r="S486" s="242"/>
      <c r="T486" s="242"/>
      <c r="U486" s="242"/>
      <c r="V486" s="242"/>
      <c r="W486" s="242"/>
      <c r="X486" s="242"/>
      <c r="Y486" s="242"/>
      <c r="Z486" s="242"/>
    </row>
    <row r="487">
      <c r="A487" s="242"/>
      <c r="B487" s="443"/>
      <c r="C487" s="443"/>
      <c r="D487" s="443"/>
      <c r="E487" s="443"/>
      <c r="F487" s="443"/>
      <c r="G487" s="242"/>
      <c r="H487" s="242"/>
      <c r="I487" s="242"/>
      <c r="J487" s="242"/>
      <c r="K487" s="13"/>
      <c r="L487" s="242"/>
      <c r="M487" s="242"/>
      <c r="N487" s="13"/>
      <c r="O487" s="242"/>
      <c r="P487" s="242"/>
      <c r="Q487" s="242"/>
      <c r="R487" s="242"/>
      <c r="S487" s="242"/>
      <c r="T487" s="242"/>
      <c r="U487" s="242"/>
      <c r="V487" s="242"/>
      <c r="W487" s="242"/>
      <c r="X487" s="242"/>
      <c r="Y487" s="242"/>
      <c r="Z487" s="242"/>
    </row>
    <row r="488">
      <c r="A488" s="242"/>
      <c r="B488" s="443"/>
      <c r="C488" s="443"/>
      <c r="D488" s="443"/>
      <c r="E488" s="443"/>
      <c r="F488" s="443"/>
      <c r="G488" s="242"/>
      <c r="H488" s="242"/>
      <c r="I488" s="242"/>
      <c r="J488" s="242"/>
      <c r="K488" s="13"/>
      <c r="L488" s="242"/>
      <c r="M488" s="242"/>
      <c r="N488" s="13"/>
      <c r="O488" s="242"/>
      <c r="P488" s="242"/>
      <c r="Q488" s="242"/>
      <c r="R488" s="242"/>
      <c r="S488" s="242"/>
      <c r="T488" s="242"/>
      <c r="U488" s="242"/>
      <c r="V488" s="242"/>
      <c r="W488" s="242"/>
      <c r="X488" s="242"/>
      <c r="Y488" s="242"/>
      <c r="Z488" s="242"/>
    </row>
    <row r="489">
      <c r="A489" s="242"/>
      <c r="B489" s="443"/>
      <c r="C489" s="443"/>
      <c r="D489" s="443"/>
      <c r="E489" s="443"/>
      <c r="F489" s="443"/>
      <c r="G489" s="242"/>
      <c r="H489" s="242"/>
      <c r="I489" s="242"/>
      <c r="J489" s="242"/>
      <c r="K489" s="13"/>
      <c r="L489" s="242"/>
      <c r="M489" s="242"/>
      <c r="N489" s="13"/>
      <c r="O489" s="242"/>
      <c r="P489" s="242"/>
      <c r="Q489" s="242"/>
      <c r="R489" s="242"/>
      <c r="S489" s="242"/>
      <c r="T489" s="242"/>
      <c r="U489" s="242"/>
      <c r="V489" s="242"/>
      <c r="W489" s="242"/>
      <c r="X489" s="242"/>
      <c r="Y489" s="242"/>
      <c r="Z489" s="242"/>
    </row>
    <row r="490">
      <c r="A490" s="242"/>
      <c r="B490" s="443"/>
      <c r="C490" s="443"/>
      <c r="D490" s="443"/>
      <c r="E490" s="443"/>
      <c r="F490" s="443"/>
      <c r="G490" s="242"/>
      <c r="H490" s="242"/>
      <c r="I490" s="242"/>
      <c r="J490" s="242"/>
      <c r="K490" s="13"/>
      <c r="L490" s="242"/>
      <c r="M490" s="242"/>
      <c r="N490" s="13"/>
      <c r="O490" s="242"/>
      <c r="P490" s="242"/>
      <c r="Q490" s="242"/>
      <c r="R490" s="242"/>
      <c r="S490" s="242"/>
      <c r="T490" s="242"/>
      <c r="U490" s="242"/>
      <c r="V490" s="242"/>
      <c r="W490" s="242"/>
      <c r="X490" s="242"/>
      <c r="Y490" s="242"/>
      <c r="Z490" s="242"/>
    </row>
    <row r="491">
      <c r="A491" s="242"/>
      <c r="B491" s="443"/>
      <c r="C491" s="443"/>
      <c r="D491" s="443"/>
      <c r="E491" s="443"/>
      <c r="F491" s="443"/>
      <c r="G491" s="242"/>
      <c r="H491" s="242"/>
      <c r="I491" s="242"/>
      <c r="J491" s="242"/>
      <c r="K491" s="13"/>
      <c r="L491" s="242"/>
      <c r="M491" s="242"/>
      <c r="N491" s="13"/>
      <c r="O491" s="242"/>
      <c r="P491" s="242"/>
      <c r="Q491" s="242"/>
      <c r="R491" s="242"/>
      <c r="S491" s="242"/>
      <c r="T491" s="242"/>
      <c r="U491" s="242"/>
      <c r="V491" s="242"/>
      <c r="W491" s="242"/>
      <c r="X491" s="242"/>
      <c r="Y491" s="242"/>
      <c r="Z491" s="242"/>
    </row>
    <row r="492">
      <c r="A492" s="242"/>
      <c r="B492" s="443"/>
      <c r="C492" s="443"/>
      <c r="D492" s="443"/>
      <c r="E492" s="443"/>
      <c r="F492" s="443"/>
      <c r="G492" s="242"/>
      <c r="H492" s="242"/>
      <c r="I492" s="242"/>
      <c r="J492" s="242"/>
      <c r="K492" s="13"/>
      <c r="L492" s="242"/>
      <c r="M492" s="242"/>
      <c r="N492" s="13"/>
      <c r="O492" s="242"/>
      <c r="P492" s="242"/>
      <c r="Q492" s="242"/>
      <c r="R492" s="242"/>
      <c r="S492" s="242"/>
      <c r="T492" s="242"/>
      <c r="U492" s="242"/>
      <c r="V492" s="242"/>
      <c r="W492" s="242"/>
      <c r="X492" s="242"/>
      <c r="Y492" s="242"/>
      <c r="Z492" s="242"/>
    </row>
    <row r="493">
      <c r="A493" s="242"/>
      <c r="B493" s="443"/>
      <c r="C493" s="443"/>
      <c r="D493" s="443"/>
      <c r="E493" s="443"/>
      <c r="F493" s="443"/>
      <c r="G493" s="242"/>
      <c r="H493" s="242"/>
      <c r="I493" s="242"/>
      <c r="J493" s="242"/>
      <c r="K493" s="13"/>
      <c r="L493" s="242"/>
      <c r="M493" s="242"/>
      <c r="N493" s="13"/>
      <c r="O493" s="242"/>
      <c r="P493" s="242"/>
      <c r="Q493" s="242"/>
      <c r="R493" s="242"/>
      <c r="S493" s="242"/>
      <c r="T493" s="242"/>
      <c r="U493" s="242"/>
      <c r="V493" s="242"/>
      <c r="W493" s="242"/>
      <c r="X493" s="242"/>
      <c r="Y493" s="242"/>
      <c r="Z493" s="242"/>
    </row>
    <row r="494">
      <c r="A494" s="242"/>
      <c r="B494" s="443"/>
      <c r="C494" s="443"/>
      <c r="D494" s="443"/>
      <c r="E494" s="443"/>
      <c r="F494" s="443"/>
      <c r="G494" s="242"/>
      <c r="H494" s="242"/>
      <c r="I494" s="242"/>
      <c r="J494" s="242"/>
      <c r="K494" s="13"/>
      <c r="L494" s="242"/>
      <c r="M494" s="242"/>
      <c r="N494" s="13"/>
      <c r="O494" s="242"/>
      <c r="P494" s="242"/>
      <c r="Q494" s="242"/>
      <c r="R494" s="242"/>
      <c r="S494" s="242"/>
      <c r="T494" s="242"/>
      <c r="U494" s="242"/>
      <c r="V494" s="242"/>
      <c r="W494" s="242"/>
      <c r="X494" s="242"/>
      <c r="Y494" s="242"/>
      <c r="Z494" s="242"/>
    </row>
    <row r="495">
      <c r="A495" s="242"/>
      <c r="B495" s="443"/>
      <c r="C495" s="443"/>
      <c r="D495" s="443"/>
      <c r="E495" s="443"/>
      <c r="F495" s="443"/>
      <c r="G495" s="242"/>
      <c r="H495" s="242"/>
      <c r="I495" s="242"/>
      <c r="J495" s="242"/>
      <c r="K495" s="13"/>
      <c r="L495" s="242"/>
      <c r="M495" s="242"/>
      <c r="N495" s="13"/>
      <c r="O495" s="242"/>
      <c r="P495" s="242"/>
      <c r="Q495" s="242"/>
      <c r="R495" s="242"/>
      <c r="S495" s="242"/>
      <c r="T495" s="242"/>
      <c r="U495" s="242"/>
      <c r="V495" s="242"/>
      <c r="W495" s="242"/>
      <c r="X495" s="242"/>
      <c r="Y495" s="242"/>
      <c r="Z495" s="242"/>
    </row>
    <row r="496">
      <c r="A496" s="242"/>
      <c r="B496" s="443"/>
      <c r="C496" s="443"/>
      <c r="D496" s="443"/>
      <c r="E496" s="443"/>
      <c r="F496" s="443"/>
      <c r="G496" s="242"/>
      <c r="H496" s="242"/>
      <c r="I496" s="242"/>
      <c r="J496" s="242"/>
      <c r="K496" s="13"/>
      <c r="L496" s="242"/>
      <c r="M496" s="242"/>
      <c r="N496" s="13"/>
      <c r="O496" s="242"/>
      <c r="P496" s="242"/>
      <c r="Q496" s="242"/>
      <c r="R496" s="242"/>
      <c r="S496" s="242"/>
      <c r="T496" s="242"/>
      <c r="U496" s="242"/>
      <c r="V496" s="242"/>
      <c r="W496" s="242"/>
      <c r="X496" s="242"/>
      <c r="Y496" s="242"/>
      <c r="Z496" s="242"/>
    </row>
    <row r="497">
      <c r="A497" s="242"/>
      <c r="B497" s="443"/>
      <c r="C497" s="443"/>
      <c r="D497" s="443"/>
      <c r="E497" s="443"/>
      <c r="F497" s="443"/>
      <c r="G497" s="242"/>
      <c r="H497" s="242"/>
      <c r="I497" s="242"/>
      <c r="J497" s="242"/>
      <c r="K497" s="13"/>
      <c r="L497" s="242"/>
      <c r="M497" s="242"/>
      <c r="N497" s="13"/>
      <c r="O497" s="242"/>
      <c r="P497" s="242"/>
      <c r="Q497" s="242"/>
      <c r="R497" s="242"/>
      <c r="S497" s="242"/>
      <c r="T497" s="242"/>
      <c r="U497" s="242"/>
      <c r="V497" s="242"/>
      <c r="W497" s="242"/>
      <c r="X497" s="242"/>
      <c r="Y497" s="242"/>
      <c r="Z497" s="242"/>
    </row>
    <row r="498">
      <c r="A498" s="242"/>
      <c r="B498" s="443"/>
      <c r="C498" s="443"/>
      <c r="D498" s="443"/>
      <c r="E498" s="443"/>
      <c r="F498" s="443"/>
      <c r="G498" s="242"/>
      <c r="H498" s="242"/>
      <c r="I498" s="242"/>
      <c r="J498" s="242"/>
      <c r="K498" s="13"/>
      <c r="L498" s="242"/>
      <c r="M498" s="242"/>
      <c r="N498" s="13"/>
      <c r="O498" s="242"/>
      <c r="P498" s="242"/>
      <c r="Q498" s="242"/>
      <c r="R498" s="242"/>
      <c r="S498" s="242"/>
      <c r="T498" s="242"/>
      <c r="U498" s="242"/>
      <c r="V498" s="242"/>
      <c r="W498" s="242"/>
      <c r="X498" s="242"/>
      <c r="Y498" s="242"/>
      <c r="Z498" s="242"/>
    </row>
    <row r="499">
      <c r="A499" s="242"/>
      <c r="B499" s="443"/>
      <c r="C499" s="443"/>
      <c r="D499" s="443"/>
      <c r="E499" s="443"/>
      <c r="F499" s="443"/>
      <c r="G499" s="242"/>
      <c r="H499" s="242"/>
      <c r="I499" s="242"/>
      <c r="J499" s="242"/>
      <c r="K499" s="13"/>
      <c r="L499" s="242"/>
      <c r="M499" s="242"/>
      <c r="N499" s="13"/>
      <c r="O499" s="242"/>
      <c r="P499" s="242"/>
      <c r="Q499" s="242"/>
      <c r="R499" s="242"/>
      <c r="S499" s="242"/>
      <c r="T499" s="242"/>
      <c r="U499" s="242"/>
      <c r="V499" s="242"/>
      <c r="W499" s="242"/>
      <c r="X499" s="242"/>
      <c r="Y499" s="242"/>
      <c r="Z499" s="242"/>
    </row>
    <row r="500">
      <c r="A500" s="242"/>
      <c r="B500" s="443"/>
      <c r="C500" s="443"/>
      <c r="D500" s="443"/>
      <c r="E500" s="443"/>
      <c r="F500" s="443"/>
      <c r="G500" s="242"/>
      <c r="H500" s="242"/>
      <c r="I500" s="242"/>
      <c r="J500" s="242"/>
      <c r="K500" s="13"/>
      <c r="L500" s="242"/>
      <c r="M500" s="242"/>
      <c r="N500" s="13"/>
      <c r="O500" s="242"/>
      <c r="P500" s="242"/>
      <c r="Q500" s="242"/>
      <c r="R500" s="242"/>
      <c r="S500" s="242"/>
      <c r="T500" s="242"/>
      <c r="U500" s="242"/>
      <c r="V500" s="242"/>
      <c r="W500" s="242"/>
      <c r="X500" s="242"/>
      <c r="Y500" s="242"/>
      <c r="Z500" s="242"/>
    </row>
    <row r="501">
      <c r="A501" s="242"/>
      <c r="B501" s="443"/>
      <c r="C501" s="443"/>
      <c r="D501" s="443"/>
      <c r="E501" s="443"/>
      <c r="F501" s="443"/>
      <c r="G501" s="242"/>
      <c r="H501" s="242"/>
      <c r="I501" s="242"/>
      <c r="J501" s="242"/>
      <c r="K501" s="13"/>
      <c r="L501" s="242"/>
      <c r="M501" s="242"/>
      <c r="N501" s="13"/>
      <c r="O501" s="242"/>
      <c r="P501" s="242"/>
      <c r="Q501" s="242"/>
      <c r="R501" s="242"/>
      <c r="S501" s="242"/>
      <c r="T501" s="242"/>
      <c r="U501" s="242"/>
      <c r="V501" s="242"/>
      <c r="W501" s="242"/>
      <c r="X501" s="242"/>
      <c r="Y501" s="242"/>
      <c r="Z501" s="242"/>
    </row>
    <row r="502">
      <c r="A502" s="242"/>
      <c r="B502" s="443"/>
      <c r="C502" s="443"/>
      <c r="D502" s="443"/>
      <c r="E502" s="443"/>
      <c r="F502" s="443"/>
      <c r="G502" s="242"/>
      <c r="H502" s="242"/>
      <c r="I502" s="242"/>
      <c r="J502" s="242"/>
      <c r="K502" s="13"/>
      <c r="L502" s="242"/>
      <c r="M502" s="242"/>
      <c r="N502" s="13"/>
      <c r="O502" s="242"/>
      <c r="P502" s="242"/>
      <c r="Q502" s="242"/>
      <c r="R502" s="242"/>
      <c r="S502" s="242"/>
      <c r="T502" s="242"/>
      <c r="U502" s="242"/>
      <c r="V502" s="242"/>
      <c r="W502" s="242"/>
      <c r="X502" s="242"/>
      <c r="Y502" s="242"/>
      <c r="Z502" s="242"/>
    </row>
    <row r="503">
      <c r="A503" s="242"/>
      <c r="B503" s="443"/>
      <c r="C503" s="443"/>
      <c r="D503" s="443"/>
      <c r="E503" s="443"/>
      <c r="F503" s="443"/>
      <c r="G503" s="242"/>
      <c r="H503" s="242"/>
      <c r="I503" s="242"/>
      <c r="J503" s="242"/>
      <c r="K503" s="13"/>
      <c r="L503" s="242"/>
      <c r="M503" s="242"/>
      <c r="N503" s="13"/>
      <c r="O503" s="242"/>
      <c r="P503" s="242"/>
      <c r="Q503" s="242"/>
      <c r="R503" s="242"/>
      <c r="S503" s="242"/>
      <c r="T503" s="242"/>
      <c r="U503" s="242"/>
      <c r="V503" s="242"/>
      <c r="W503" s="242"/>
      <c r="X503" s="242"/>
      <c r="Y503" s="242"/>
      <c r="Z503" s="242"/>
    </row>
    <row r="504">
      <c r="A504" s="242"/>
      <c r="B504" s="443"/>
      <c r="C504" s="443"/>
      <c r="D504" s="443"/>
      <c r="E504" s="443"/>
      <c r="F504" s="443"/>
      <c r="G504" s="242"/>
      <c r="H504" s="242"/>
      <c r="I504" s="242"/>
      <c r="J504" s="242"/>
      <c r="K504" s="13"/>
      <c r="L504" s="242"/>
      <c r="M504" s="242"/>
      <c r="N504" s="13"/>
      <c r="O504" s="242"/>
      <c r="P504" s="242"/>
      <c r="Q504" s="242"/>
      <c r="R504" s="242"/>
      <c r="S504" s="242"/>
      <c r="T504" s="242"/>
      <c r="U504" s="242"/>
      <c r="V504" s="242"/>
      <c r="W504" s="242"/>
      <c r="X504" s="242"/>
      <c r="Y504" s="242"/>
      <c r="Z504" s="242"/>
    </row>
    <row r="505">
      <c r="A505" s="242"/>
      <c r="B505" s="443"/>
      <c r="C505" s="443"/>
      <c r="D505" s="443"/>
      <c r="E505" s="443"/>
      <c r="F505" s="443"/>
      <c r="G505" s="242"/>
      <c r="H505" s="242"/>
      <c r="I505" s="242"/>
      <c r="J505" s="242"/>
      <c r="K505" s="13"/>
      <c r="L505" s="242"/>
      <c r="M505" s="242"/>
      <c r="N505" s="13"/>
      <c r="O505" s="242"/>
      <c r="P505" s="242"/>
      <c r="Q505" s="242"/>
      <c r="R505" s="242"/>
      <c r="S505" s="242"/>
      <c r="T505" s="242"/>
      <c r="U505" s="242"/>
      <c r="V505" s="242"/>
      <c r="W505" s="242"/>
      <c r="X505" s="242"/>
      <c r="Y505" s="242"/>
      <c r="Z505" s="242"/>
    </row>
    <row r="506">
      <c r="A506" s="242"/>
      <c r="B506" s="443"/>
      <c r="C506" s="443"/>
      <c r="D506" s="443"/>
      <c r="E506" s="443"/>
      <c r="F506" s="443"/>
      <c r="G506" s="242"/>
      <c r="H506" s="242"/>
      <c r="I506" s="242"/>
      <c r="J506" s="242"/>
      <c r="K506" s="13"/>
      <c r="L506" s="242"/>
      <c r="M506" s="242"/>
      <c r="N506" s="13"/>
      <c r="O506" s="242"/>
      <c r="P506" s="242"/>
      <c r="Q506" s="242"/>
      <c r="R506" s="242"/>
      <c r="S506" s="242"/>
      <c r="T506" s="242"/>
      <c r="U506" s="242"/>
      <c r="V506" s="242"/>
      <c r="W506" s="242"/>
      <c r="X506" s="242"/>
      <c r="Y506" s="242"/>
      <c r="Z506" s="242"/>
    </row>
    <row r="507">
      <c r="A507" s="242"/>
      <c r="B507" s="443"/>
      <c r="C507" s="443"/>
      <c r="D507" s="443"/>
      <c r="E507" s="443"/>
      <c r="F507" s="443"/>
      <c r="G507" s="242"/>
      <c r="H507" s="242"/>
      <c r="I507" s="242"/>
      <c r="J507" s="242"/>
      <c r="K507" s="13"/>
      <c r="L507" s="242"/>
      <c r="M507" s="242"/>
      <c r="N507" s="13"/>
      <c r="O507" s="242"/>
      <c r="P507" s="242"/>
      <c r="Q507" s="242"/>
      <c r="R507" s="242"/>
      <c r="S507" s="242"/>
      <c r="T507" s="242"/>
      <c r="U507" s="242"/>
      <c r="V507" s="242"/>
      <c r="W507" s="242"/>
      <c r="X507" s="242"/>
      <c r="Y507" s="242"/>
      <c r="Z507" s="242"/>
    </row>
    <row r="508">
      <c r="A508" s="242"/>
      <c r="B508" s="443"/>
      <c r="C508" s="443"/>
      <c r="D508" s="443"/>
      <c r="E508" s="443"/>
      <c r="F508" s="443"/>
      <c r="G508" s="242"/>
      <c r="H508" s="242"/>
      <c r="I508" s="242"/>
      <c r="J508" s="242"/>
      <c r="K508" s="13"/>
      <c r="L508" s="242"/>
      <c r="M508" s="242"/>
      <c r="N508" s="13"/>
      <c r="O508" s="242"/>
      <c r="P508" s="242"/>
      <c r="Q508" s="242"/>
      <c r="R508" s="242"/>
      <c r="S508" s="242"/>
      <c r="T508" s="242"/>
      <c r="U508" s="242"/>
      <c r="V508" s="242"/>
      <c r="W508" s="242"/>
      <c r="X508" s="242"/>
      <c r="Y508" s="242"/>
      <c r="Z508" s="242"/>
    </row>
    <row r="509">
      <c r="A509" s="242"/>
      <c r="B509" s="443"/>
      <c r="C509" s="443"/>
      <c r="D509" s="443"/>
      <c r="E509" s="443"/>
      <c r="F509" s="443"/>
      <c r="G509" s="242"/>
      <c r="H509" s="242"/>
      <c r="I509" s="242"/>
      <c r="J509" s="242"/>
      <c r="K509" s="13"/>
      <c r="L509" s="242"/>
      <c r="M509" s="242"/>
      <c r="N509" s="13"/>
      <c r="O509" s="242"/>
      <c r="P509" s="242"/>
      <c r="Q509" s="242"/>
      <c r="R509" s="242"/>
      <c r="S509" s="242"/>
      <c r="T509" s="242"/>
      <c r="U509" s="242"/>
      <c r="V509" s="242"/>
      <c r="W509" s="242"/>
      <c r="X509" s="242"/>
      <c r="Y509" s="242"/>
      <c r="Z509" s="242"/>
    </row>
    <row r="510">
      <c r="A510" s="242"/>
      <c r="B510" s="443"/>
      <c r="C510" s="443"/>
      <c r="D510" s="443"/>
      <c r="E510" s="443"/>
      <c r="F510" s="443"/>
      <c r="G510" s="242"/>
      <c r="H510" s="242"/>
      <c r="I510" s="242"/>
      <c r="J510" s="242"/>
      <c r="K510" s="13"/>
      <c r="L510" s="242"/>
      <c r="M510" s="242"/>
      <c r="N510" s="13"/>
      <c r="O510" s="242"/>
      <c r="P510" s="242"/>
      <c r="Q510" s="242"/>
      <c r="R510" s="242"/>
      <c r="S510" s="242"/>
      <c r="T510" s="242"/>
      <c r="U510" s="242"/>
      <c r="V510" s="242"/>
      <c r="W510" s="242"/>
      <c r="X510" s="242"/>
      <c r="Y510" s="242"/>
      <c r="Z510" s="242"/>
    </row>
    <row r="511">
      <c r="A511" s="242"/>
      <c r="B511" s="443"/>
      <c r="C511" s="443"/>
      <c r="D511" s="443"/>
      <c r="E511" s="443"/>
      <c r="F511" s="443"/>
      <c r="G511" s="242"/>
      <c r="H511" s="242"/>
      <c r="I511" s="242"/>
      <c r="J511" s="242"/>
      <c r="K511" s="13"/>
      <c r="L511" s="242"/>
      <c r="M511" s="242"/>
      <c r="N511" s="13"/>
      <c r="O511" s="242"/>
      <c r="P511" s="242"/>
      <c r="Q511" s="242"/>
      <c r="R511" s="242"/>
      <c r="S511" s="242"/>
      <c r="T511" s="242"/>
      <c r="U511" s="242"/>
      <c r="V511" s="242"/>
      <c r="W511" s="242"/>
      <c r="X511" s="242"/>
      <c r="Y511" s="242"/>
      <c r="Z511" s="242"/>
    </row>
    <row r="512">
      <c r="A512" s="242"/>
      <c r="B512" s="443"/>
      <c r="C512" s="443"/>
      <c r="D512" s="443"/>
      <c r="E512" s="443"/>
      <c r="F512" s="443"/>
      <c r="G512" s="242"/>
      <c r="H512" s="242"/>
      <c r="I512" s="242"/>
      <c r="J512" s="242"/>
      <c r="K512" s="13"/>
      <c r="L512" s="242"/>
      <c r="M512" s="242"/>
      <c r="N512" s="13"/>
      <c r="O512" s="242"/>
      <c r="P512" s="242"/>
      <c r="Q512" s="242"/>
      <c r="R512" s="242"/>
      <c r="S512" s="242"/>
      <c r="T512" s="242"/>
      <c r="U512" s="242"/>
      <c r="V512" s="242"/>
      <c r="W512" s="242"/>
      <c r="X512" s="242"/>
      <c r="Y512" s="242"/>
      <c r="Z512" s="242"/>
    </row>
    <row r="513">
      <c r="A513" s="242"/>
      <c r="B513" s="443"/>
      <c r="C513" s="443"/>
      <c r="D513" s="443"/>
      <c r="E513" s="443"/>
      <c r="F513" s="443"/>
      <c r="G513" s="242"/>
      <c r="H513" s="242"/>
      <c r="I513" s="242"/>
      <c r="J513" s="242"/>
      <c r="K513" s="13"/>
      <c r="L513" s="242"/>
      <c r="M513" s="242"/>
      <c r="N513" s="13"/>
      <c r="O513" s="242"/>
      <c r="P513" s="242"/>
      <c r="Q513" s="242"/>
      <c r="R513" s="242"/>
      <c r="S513" s="242"/>
      <c r="T513" s="242"/>
      <c r="U513" s="242"/>
      <c r="V513" s="242"/>
      <c r="W513" s="242"/>
      <c r="X513" s="242"/>
      <c r="Y513" s="242"/>
      <c r="Z513" s="242"/>
    </row>
    <row r="514">
      <c r="A514" s="242"/>
      <c r="B514" s="443"/>
      <c r="C514" s="443"/>
      <c r="D514" s="443"/>
      <c r="E514" s="443"/>
      <c r="F514" s="443"/>
      <c r="G514" s="242"/>
      <c r="H514" s="242"/>
      <c r="I514" s="242"/>
      <c r="J514" s="242"/>
      <c r="K514" s="13"/>
      <c r="L514" s="242"/>
      <c r="M514" s="242"/>
      <c r="N514" s="13"/>
      <c r="O514" s="242"/>
      <c r="P514" s="242"/>
      <c r="Q514" s="242"/>
      <c r="R514" s="242"/>
      <c r="S514" s="242"/>
      <c r="T514" s="242"/>
      <c r="U514" s="242"/>
      <c r="V514" s="242"/>
      <c r="W514" s="242"/>
      <c r="X514" s="242"/>
      <c r="Y514" s="242"/>
      <c r="Z514" s="242"/>
    </row>
    <row r="515">
      <c r="A515" s="242"/>
      <c r="B515" s="443"/>
      <c r="C515" s="443"/>
      <c r="D515" s="443"/>
      <c r="E515" s="443"/>
      <c r="F515" s="443"/>
      <c r="G515" s="242"/>
      <c r="H515" s="242"/>
      <c r="I515" s="242"/>
      <c r="J515" s="242"/>
      <c r="K515" s="13"/>
      <c r="L515" s="242"/>
      <c r="M515" s="242"/>
      <c r="N515" s="13"/>
      <c r="O515" s="242"/>
      <c r="P515" s="242"/>
      <c r="Q515" s="242"/>
      <c r="R515" s="242"/>
      <c r="S515" s="242"/>
      <c r="T515" s="242"/>
      <c r="U515" s="242"/>
      <c r="V515" s="242"/>
      <c r="W515" s="242"/>
      <c r="X515" s="242"/>
      <c r="Y515" s="242"/>
      <c r="Z515" s="242"/>
    </row>
    <row r="516">
      <c r="A516" s="242"/>
      <c r="B516" s="443"/>
      <c r="C516" s="443"/>
      <c r="D516" s="443"/>
      <c r="E516" s="443"/>
      <c r="F516" s="443"/>
      <c r="G516" s="242"/>
      <c r="H516" s="242"/>
      <c r="I516" s="242"/>
      <c r="J516" s="242"/>
      <c r="K516" s="13"/>
      <c r="L516" s="242"/>
      <c r="M516" s="242"/>
      <c r="N516" s="13"/>
      <c r="O516" s="242"/>
      <c r="P516" s="242"/>
      <c r="Q516" s="242"/>
      <c r="R516" s="242"/>
      <c r="S516" s="242"/>
      <c r="T516" s="242"/>
      <c r="U516" s="242"/>
      <c r="V516" s="242"/>
      <c r="W516" s="242"/>
      <c r="X516" s="242"/>
      <c r="Y516" s="242"/>
      <c r="Z516" s="242"/>
    </row>
    <row r="517">
      <c r="A517" s="242"/>
      <c r="B517" s="443"/>
      <c r="C517" s="443"/>
      <c r="D517" s="443"/>
      <c r="E517" s="443"/>
      <c r="F517" s="443"/>
      <c r="G517" s="242"/>
      <c r="H517" s="242"/>
      <c r="I517" s="242"/>
      <c r="J517" s="242"/>
      <c r="K517" s="13"/>
      <c r="L517" s="242"/>
      <c r="M517" s="242"/>
      <c r="N517" s="13"/>
      <c r="O517" s="242"/>
      <c r="P517" s="242"/>
      <c r="Q517" s="242"/>
      <c r="R517" s="242"/>
      <c r="S517" s="242"/>
      <c r="T517" s="242"/>
      <c r="U517" s="242"/>
      <c r="V517" s="242"/>
      <c r="W517" s="242"/>
      <c r="X517" s="242"/>
      <c r="Y517" s="242"/>
      <c r="Z517" s="242"/>
    </row>
    <row r="518">
      <c r="A518" s="242"/>
      <c r="B518" s="443"/>
      <c r="C518" s="443"/>
      <c r="D518" s="443"/>
      <c r="E518" s="443"/>
      <c r="F518" s="443"/>
      <c r="G518" s="242"/>
      <c r="H518" s="242"/>
      <c r="I518" s="242"/>
      <c r="J518" s="242"/>
      <c r="K518" s="13"/>
      <c r="L518" s="242"/>
      <c r="M518" s="242"/>
      <c r="N518" s="13"/>
      <c r="O518" s="242"/>
      <c r="P518" s="242"/>
      <c r="Q518" s="242"/>
      <c r="R518" s="242"/>
      <c r="S518" s="242"/>
      <c r="T518" s="242"/>
      <c r="U518" s="242"/>
      <c r="V518" s="242"/>
      <c r="W518" s="242"/>
      <c r="X518" s="242"/>
      <c r="Y518" s="242"/>
      <c r="Z518" s="242"/>
    </row>
    <row r="519">
      <c r="A519" s="242"/>
      <c r="B519" s="443"/>
      <c r="C519" s="443"/>
      <c r="D519" s="443"/>
      <c r="E519" s="443"/>
      <c r="F519" s="443"/>
      <c r="G519" s="242"/>
      <c r="H519" s="242"/>
      <c r="I519" s="242"/>
      <c r="J519" s="242"/>
      <c r="K519" s="13"/>
      <c r="L519" s="242"/>
      <c r="M519" s="242"/>
      <c r="N519" s="13"/>
      <c r="O519" s="242"/>
      <c r="P519" s="242"/>
      <c r="Q519" s="242"/>
      <c r="R519" s="242"/>
      <c r="S519" s="242"/>
      <c r="T519" s="242"/>
      <c r="U519" s="242"/>
      <c r="V519" s="242"/>
      <c r="W519" s="242"/>
      <c r="X519" s="242"/>
      <c r="Y519" s="242"/>
      <c r="Z519" s="242"/>
    </row>
    <row r="520">
      <c r="A520" s="242"/>
      <c r="B520" s="443"/>
      <c r="C520" s="443"/>
      <c r="D520" s="443"/>
      <c r="E520" s="443"/>
      <c r="F520" s="443"/>
      <c r="G520" s="242"/>
      <c r="H520" s="242"/>
      <c r="I520" s="242"/>
      <c r="J520" s="242"/>
      <c r="K520" s="13"/>
      <c r="L520" s="242"/>
      <c r="M520" s="242"/>
      <c r="N520" s="13"/>
      <c r="O520" s="242"/>
      <c r="P520" s="242"/>
      <c r="Q520" s="242"/>
      <c r="R520" s="242"/>
      <c r="S520" s="242"/>
      <c r="T520" s="242"/>
      <c r="U520" s="242"/>
      <c r="V520" s="242"/>
      <c r="W520" s="242"/>
      <c r="X520" s="242"/>
      <c r="Y520" s="242"/>
      <c r="Z520" s="242"/>
    </row>
    <row r="521">
      <c r="A521" s="242"/>
      <c r="B521" s="443"/>
      <c r="C521" s="443"/>
      <c r="D521" s="443"/>
      <c r="E521" s="443"/>
      <c r="F521" s="443"/>
      <c r="G521" s="242"/>
      <c r="H521" s="242"/>
      <c r="I521" s="242"/>
      <c r="J521" s="242"/>
      <c r="K521" s="13"/>
      <c r="L521" s="242"/>
      <c r="M521" s="242"/>
      <c r="N521" s="13"/>
      <c r="O521" s="242"/>
      <c r="P521" s="242"/>
      <c r="Q521" s="242"/>
      <c r="R521" s="242"/>
      <c r="S521" s="242"/>
      <c r="T521" s="242"/>
      <c r="U521" s="242"/>
      <c r="V521" s="242"/>
      <c r="W521" s="242"/>
      <c r="X521" s="242"/>
      <c r="Y521" s="242"/>
      <c r="Z521" s="242"/>
    </row>
    <row r="522">
      <c r="A522" s="242"/>
      <c r="B522" s="443"/>
      <c r="C522" s="443"/>
      <c r="D522" s="443"/>
      <c r="E522" s="443"/>
      <c r="F522" s="443"/>
      <c r="G522" s="242"/>
      <c r="H522" s="242"/>
      <c r="I522" s="242"/>
      <c r="J522" s="242"/>
      <c r="K522" s="13"/>
      <c r="L522" s="242"/>
      <c r="M522" s="242"/>
      <c r="N522" s="13"/>
      <c r="O522" s="242"/>
      <c r="P522" s="242"/>
      <c r="Q522" s="242"/>
      <c r="R522" s="242"/>
      <c r="S522" s="242"/>
      <c r="T522" s="242"/>
      <c r="U522" s="242"/>
      <c r="V522" s="242"/>
      <c r="W522" s="242"/>
      <c r="X522" s="242"/>
      <c r="Y522" s="242"/>
      <c r="Z522" s="242"/>
    </row>
    <row r="523">
      <c r="A523" s="242"/>
      <c r="B523" s="443"/>
      <c r="C523" s="443"/>
      <c r="D523" s="443"/>
      <c r="E523" s="443"/>
      <c r="F523" s="443"/>
      <c r="G523" s="242"/>
      <c r="H523" s="242"/>
      <c r="I523" s="242"/>
      <c r="J523" s="242"/>
      <c r="K523" s="13"/>
      <c r="L523" s="242"/>
      <c r="M523" s="242"/>
      <c r="N523" s="13"/>
      <c r="O523" s="242"/>
      <c r="P523" s="242"/>
      <c r="Q523" s="242"/>
      <c r="R523" s="242"/>
      <c r="S523" s="242"/>
      <c r="T523" s="242"/>
      <c r="U523" s="242"/>
      <c r="V523" s="242"/>
      <c r="W523" s="242"/>
      <c r="X523" s="242"/>
      <c r="Y523" s="242"/>
      <c r="Z523" s="242"/>
    </row>
    <row r="524">
      <c r="A524" s="242"/>
      <c r="B524" s="443"/>
      <c r="C524" s="443"/>
      <c r="D524" s="443"/>
      <c r="E524" s="443"/>
      <c r="F524" s="443"/>
      <c r="G524" s="242"/>
      <c r="H524" s="242"/>
      <c r="I524" s="242"/>
      <c r="J524" s="242"/>
      <c r="K524" s="13"/>
      <c r="L524" s="242"/>
      <c r="M524" s="242"/>
      <c r="N524" s="13"/>
      <c r="O524" s="242"/>
      <c r="P524" s="242"/>
      <c r="Q524" s="242"/>
      <c r="R524" s="242"/>
      <c r="S524" s="242"/>
      <c r="T524" s="242"/>
      <c r="U524" s="242"/>
      <c r="V524" s="242"/>
      <c r="W524" s="242"/>
      <c r="X524" s="242"/>
      <c r="Y524" s="242"/>
      <c r="Z524" s="242"/>
    </row>
    <row r="525">
      <c r="A525" s="242"/>
      <c r="B525" s="443"/>
      <c r="C525" s="443"/>
      <c r="D525" s="443"/>
      <c r="E525" s="443"/>
      <c r="F525" s="443"/>
      <c r="G525" s="242"/>
      <c r="H525" s="242"/>
      <c r="I525" s="242"/>
      <c r="J525" s="242"/>
      <c r="K525" s="13"/>
      <c r="L525" s="242"/>
      <c r="M525" s="242"/>
      <c r="N525" s="13"/>
      <c r="O525" s="242"/>
      <c r="P525" s="242"/>
      <c r="Q525" s="242"/>
      <c r="R525" s="242"/>
      <c r="S525" s="242"/>
      <c r="T525" s="242"/>
      <c r="U525" s="242"/>
      <c r="V525" s="242"/>
      <c r="W525" s="242"/>
      <c r="X525" s="242"/>
      <c r="Y525" s="242"/>
      <c r="Z525" s="242"/>
    </row>
    <row r="526">
      <c r="A526" s="242"/>
      <c r="B526" s="443"/>
      <c r="C526" s="443"/>
      <c r="D526" s="443"/>
      <c r="E526" s="443"/>
      <c r="F526" s="443"/>
      <c r="G526" s="242"/>
      <c r="H526" s="242"/>
      <c r="I526" s="242"/>
      <c r="J526" s="242"/>
      <c r="K526" s="13"/>
      <c r="L526" s="242"/>
      <c r="M526" s="242"/>
      <c r="N526" s="13"/>
      <c r="O526" s="242"/>
      <c r="P526" s="242"/>
      <c r="Q526" s="242"/>
      <c r="R526" s="242"/>
      <c r="S526" s="242"/>
      <c r="T526" s="242"/>
      <c r="U526" s="242"/>
      <c r="V526" s="242"/>
      <c r="W526" s="242"/>
      <c r="X526" s="242"/>
      <c r="Y526" s="242"/>
      <c r="Z526" s="242"/>
    </row>
    <row r="527">
      <c r="A527" s="242"/>
      <c r="B527" s="443"/>
      <c r="C527" s="443"/>
      <c r="D527" s="443"/>
      <c r="E527" s="443"/>
      <c r="F527" s="443"/>
      <c r="G527" s="242"/>
      <c r="H527" s="242"/>
      <c r="I527" s="242"/>
      <c r="J527" s="242"/>
      <c r="K527" s="13"/>
      <c r="L527" s="242"/>
      <c r="M527" s="242"/>
      <c r="N527" s="13"/>
      <c r="O527" s="242"/>
      <c r="P527" s="242"/>
      <c r="Q527" s="242"/>
      <c r="R527" s="242"/>
      <c r="S527" s="242"/>
      <c r="T527" s="242"/>
      <c r="U527" s="242"/>
      <c r="V527" s="242"/>
      <c r="W527" s="242"/>
      <c r="X527" s="242"/>
      <c r="Y527" s="242"/>
      <c r="Z527" s="242"/>
    </row>
    <row r="528">
      <c r="A528" s="242"/>
      <c r="B528" s="443"/>
      <c r="C528" s="443"/>
      <c r="D528" s="443"/>
      <c r="E528" s="443"/>
      <c r="F528" s="443"/>
      <c r="G528" s="242"/>
      <c r="H528" s="242"/>
      <c r="I528" s="242"/>
      <c r="J528" s="242"/>
      <c r="K528" s="13"/>
      <c r="L528" s="242"/>
      <c r="M528" s="242"/>
      <c r="N528" s="13"/>
      <c r="O528" s="242"/>
      <c r="P528" s="242"/>
      <c r="Q528" s="242"/>
      <c r="R528" s="242"/>
      <c r="S528" s="242"/>
      <c r="T528" s="242"/>
      <c r="U528" s="242"/>
      <c r="V528" s="242"/>
      <c r="W528" s="242"/>
      <c r="X528" s="242"/>
      <c r="Y528" s="242"/>
      <c r="Z528" s="242"/>
    </row>
    <row r="529">
      <c r="A529" s="242"/>
      <c r="B529" s="443"/>
      <c r="C529" s="443"/>
      <c r="D529" s="443"/>
      <c r="E529" s="443"/>
      <c r="F529" s="443"/>
      <c r="G529" s="242"/>
      <c r="H529" s="242"/>
      <c r="I529" s="242"/>
      <c r="J529" s="242"/>
      <c r="K529" s="13"/>
      <c r="L529" s="242"/>
      <c r="M529" s="242"/>
      <c r="N529" s="13"/>
      <c r="O529" s="242"/>
      <c r="P529" s="242"/>
      <c r="Q529" s="242"/>
      <c r="R529" s="242"/>
      <c r="S529" s="242"/>
      <c r="T529" s="242"/>
      <c r="U529" s="242"/>
      <c r="V529" s="242"/>
      <c r="W529" s="242"/>
      <c r="X529" s="242"/>
      <c r="Y529" s="242"/>
      <c r="Z529" s="242"/>
    </row>
    <row r="530">
      <c r="A530" s="242"/>
      <c r="B530" s="443"/>
      <c r="C530" s="443"/>
      <c r="D530" s="443"/>
      <c r="E530" s="443"/>
      <c r="F530" s="443"/>
      <c r="G530" s="242"/>
      <c r="H530" s="242"/>
      <c r="I530" s="242"/>
      <c r="J530" s="242"/>
      <c r="K530" s="13"/>
      <c r="L530" s="242"/>
      <c r="M530" s="242"/>
      <c r="N530" s="13"/>
      <c r="O530" s="242"/>
      <c r="P530" s="242"/>
      <c r="Q530" s="242"/>
      <c r="R530" s="242"/>
      <c r="S530" s="242"/>
      <c r="T530" s="242"/>
      <c r="U530" s="242"/>
      <c r="V530" s="242"/>
      <c r="W530" s="242"/>
      <c r="X530" s="242"/>
      <c r="Y530" s="242"/>
      <c r="Z530" s="242"/>
    </row>
    <row r="531">
      <c r="A531" s="242"/>
      <c r="B531" s="443"/>
      <c r="C531" s="443"/>
      <c r="D531" s="443"/>
      <c r="E531" s="443"/>
      <c r="F531" s="443"/>
      <c r="G531" s="242"/>
      <c r="H531" s="242"/>
      <c r="I531" s="242"/>
      <c r="J531" s="242"/>
      <c r="K531" s="13"/>
      <c r="L531" s="242"/>
      <c r="M531" s="242"/>
      <c r="N531" s="13"/>
      <c r="O531" s="242"/>
      <c r="P531" s="242"/>
      <c r="Q531" s="242"/>
      <c r="R531" s="242"/>
      <c r="S531" s="242"/>
      <c r="T531" s="242"/>
      <c r="U531" s="242"/>
      <c r="V531" s="242"/>
      <c r="W531" s="242"/>
      <c r="X531" s="242"/>
      <c r="Y531" s="242"/>
      <c r="Z531" s="242"/>
    </row>
    <row r="532">
      <c r="A532" s="242"/>
      <c r="B532" s="443"/>
      <c r="C532" s="443"/>
      <c r="D532" s="443"/>
      <c r="E532" s="443"/>
      <c r="F532" s="443"/>
      <c r="G532" s="242"/>
      <c r="H532" s="242"/>
      <c r="I532" s="242"/>
      <c r="J532" s="242"/>
      <c r="K532" s="13"/>
      <c r="L532" s="242"/>
      <c r="M532" s="242"/>
      <c r="N532" s="13"/>
      <c r="O532" s="242"/>
      <c r="P532" s="242"/>
      <c r="Q532" s="242"/>
      <c r="R532" s="242"/>
      <c r="S532" s="242"/>
      <c r="T532" s="242"/>
      <c r="U532" s="242"/>
      <c r="V532" s="242"/>
      <c r="W532" s="242"/>
      <c r="X532" s="242"/>
      <c r="Y532" s="242"/>
      <c r="Z532" s="242"/>
    </row>
    <row r="533">
      <c r="A533" s="242"/>
      <c r="B533" s="443"/>
      <c r="C533" s="443"/>
      <c r="D533" s="443"/>
      <c r="E533" s="443"/>
      <c r="F533" s="443"/>
      <c r="G533" s="242"/>
      <c r="H533" s="242"/>
      <c r="I533" s="242"/>
      <c r="J533" s="242"/>
      <c r="K533" s="13"/>
      <c r="L533" s="242"/>
      <c r="M533" s="242"/>
      <c r="N533" s="13"/>
      <c r="O533" s="242"/>
      <c r="P533" s="242"/>
      <c r="Q533" s="242"/>
      <c r="R533" s="242"/>
      <c r="S533" s="242"/>
      <c r="T533" s="242"/>
      <c r="U533" s="242"/>
      <c r="V533" s="242"/>
      <c r="W533" s="242"/>
      <c r="X533" s="242"/>
      <c r="Y533" s="242"/>
      <c r="Z533" s="242"/>
    </row>
    <row r="534">
      <c r="A534" s="242"/>
      <c r="B534" s="443"/>
      <c r="C534" s="443"/>
      <c r="D534" s="443"/>
      <c r="E534" s="443"/>
      <c r="F534" s="443"/>
      <c r="G534" s="242"/>
      <c r="H534" s="242"/>
      <c r="I534" s="242"/>
      <c r="J534" s="242"/>
      <c r="K534" s="13"/>
      <c r="L534" s="242"/>
      <c r="M534" s="242"/>
      <c r="N534" s="13"/>
      <c r="O534" s="242"/>
      <c r="P534" s="242"/>
      <c r="Q534" s="242"/>
      <c r="R534" s="242"/>
      <c r="S534" s="242"/>
      <c r="T534" s="242"/>
      <c r="U534" s="242"/>
      <c r="V534" s="242"/>
      <c r="W534" s="242"/>
      <c r="X534" s="242"/>
      <c r="Y534" s="242"/>
      <c r="Z534" s="242"/>
    </row>
    <row r="535">
      <c r="A535" s="242"/>
      <c r="B535" s="443"/>
      <c r="C535" s="443"/>
      <c r="D535" s="443"/>
      <c r="E535" s="443"/>
      <c r="F535" s="443"/>
      <c r="G535" s="242"/>
      <c r="H535" s="242"/>
      <c r="I535" s="242"/>
      <c r="J535" s="242"/>
      <c r="K535" s="13"/>
      <c r="L535" s="242"/>
      <c r="M535" s="242"/>
      <c r="N535" s="13"/>
      <c r="O535" s="242"/>
      <c r="P535" s="242"/>
      <c r="Q535" s="242"/>
      <c r="R535" s="242"/>
      <c r="S535" s="242"/>
      <c r="T535" s="242"/>
      <c r="U535" s="242"/>
      <c r="V535" s="242"/>
      <c r="W535" s="242"/>
      <c r="X535" s="242"/>
      <c r="Y535" s="242"/>
      <c r="Z535" s="242"/>
    </row>
    <row r="536">
      <c r="A536" s="242"/>
      <c r="B536" s="443"/>
      <c r="C536" s="443"/>
      <c r="D536" s="443"/>
      <c r="E536" s="443"/>
      <c r="F536" s="443"/>
      <c r="G536" s="242"/>
      <c r="H536" s="242"/>
      <c r="I536" s="242"/>
      <c r="J536" s="242"/>
      <c r="K536" s="13"/>
      <c r="L536" s="242"/>
      <c r="M536" s="242"/>
      <c r="N536" s="13"/>
      <c r="O536" s="242"/>
      <c r="P536" s="242"/>
      <c r="Q536" s="242"/>
      <c r="R536" s="242"/>
      <c r="S536" s="242"/>
      <c r="T536" s="242"/>
      <c r="U536" s="242"/>
      <c r="V536" s="242"/>
      <c r="W536" s="242"/>
      <c r="X536" s="242"/>
      <c r="Y536" s="242"/>
      <c r="Z536" s="242"/>
    </row>
    <row r="537">
      <c r="A537" s="242"/>
      <c r="B537" s="443"/>
      <c r="C537" s="443"/>
      <c r="D537" s="443"/>
      <c r="E537" s="443"/>
      <c r="F537" s="443"/>
      <c r="G537" s="242"/>
      <c r="H537" s="242"/>
      <c r="I537" s="242"/>
      <c r="J537" s="242"/>
      <c r="K537" s="13"/>
      <c r="L537" s="242"/>
      <c r="M537" s="242"/>
      <c r="N537" s="13"/>
      <c r="O537" s="242"/>
      <c r="P537" s="242"/>
      <c r="Q537" s="242"/>
      <c r="R537" s="242"/>
      <c r="S537" s="242"/>
      <c r="T537" s="242"/>
      <c r="U537" s="242"/>
      <c r="V537" s="242"/>
      <c r="W537" s="242"/>
      <c r="X537" s="242"/>
      <c r="Y537" s="242"/>
      <c r="Z537" s="242"/>
    </row>
    <row r="538">
      <c r="A538" s="242"/>
      <c r="B538" s="443"/>
      <c r="C538" s="443"/>
      <c r="D538" s="443"/>
      <c r="E538" s="443"/>
      <c r="F538" s="443"/>
      <c r="G538" s="242"/>
      <c r="H538" s="242"/>
      <c r="I538" s="242"/>
      <c r="J538" s="242"/>
      <c r="K538" s="13"/>
      <c r="L538" s="242"/>
      <c r="M538" s="242"/>
      <c r="N538" s="13"/>
      <c r="O538" s="242"/>
      <c r="P538" s="242"/>
      <c r="Q538" s="242"/>
      <c r="R538" s="242"/>
      <c r="S538" s="242"/>
      <c r="T538" s="242"/>
      <c r="U538" s="242"/>
      <c r="V538" s="242"/>
      <c r="W538" s="242"/>
      <c r="X538" s="242"/>
      <c r="Y538" s="242"/>
      <c r="Z538" s="242"/>
    </row>
    <row r="539">
      <c r="A539" s="242"/>
      <c r="B539" s="443"/>
      <c r="C539" s="443"/>
      <c r="D539" s="443"/>
      <c r="E539" s="443"/>
      <c r="F539" s="443"/>
      <c r="G539" s="242"/>
      <c r="H539" s="242"/>
      <c r="I539" s="242"/>
      <c r="J539" s="242"/>
      <c r="K539" s="13"/>
      <c r="L539" s="242"/>
      <c r="M539" s="242"/>
      <c r="N539" s="13"/>
      <c r="O539" s="242"/>
      <c r="P539" s="242"/>
      <c r="Q539" s="242"/>
      <c r="R539" s="242"/>
      <c r="S539" s="242"/>
      <c r="T539" s="242"/>
      <c r="U539" s="242"/>
      <c r="V539" s="242"/>
      <c r="W539" s="242"/>
      <c r="X539" s="242"/>
      <c r="Y539" s="242"/>
      <c r="Z539" s="242"/>
    </row>
    <row r="540">
      <c r="A540" s="242"/>
      <c r="B540" s="443"/>
      <c r="C540" s="443"/>
      <c r="D540" s="443"/>
      <c r="E540" s="443"/>
      <c r="F540" s="443"/>
      <c r="G540" s="242"/>
      <c r="H540" s="242"/>
      <c r="I540" s="242"/>
      <c r="J540" s="242"/>
      <c r="K540" s="13"/>
      <c r="L540" s="242"/>
      <c r="M540" s="242"/>
      <c r="N540" s="13"/>
      <c r="O540" s="242"/>
      <c r="P540" s="242"/>
      <c r="Q540" s="242"/>
      <c r="R540" s="242"/>
      <c r="S540" s="242"/>
      <c r="T540" s="242"/>
      <c r="U540" s="242"/>
      <c r="V540" s="242"/>
      <c r="W540" s="242"/>
      <c r="X540" s="242"/>
      <c r="Y540" s="242"/>
      <c r="Z540" s="242"/>
    </row>
    <row r="541">
      <c r="A541" s="242"/>
      <c r="B541" s="443"/>
      <c r="C541" s="443"/>
      <c r="D541" s="443"/>
      <c r="E541" s="443"/>
      <c r="F541" s="443"/>
      <c r="G541" s="242"/>
      <c r="H541" s="242"/>
      <c r="I541" s="242"/>
      <c r="J541" s="242"/>
      <c r="K541" s="13"/>
      <c r="L541" s="242"/>
      <c r="M541" s="242"/>
      <c r="N541" s="13"/>
      <c r="O541" s="242"/>
      <c r="P541" s="242"/>
      <c r="Q541" s="242"/>
      <c r="R541" s="242"/>
      <c r="S541" s="242"/>
      <c r="T541" s="242"/>
      <c r="U541" s="242"/>
      <c r="V541" s="242"/>
      <c r="W541" s="242"/>
      <c r="X541" s="242"/>
      <c r="Y541" s="242"/>
      <c r="Z541" s="242"/>
    </row>
    <row r="542">
      <c r="A542" s="242"/>
      <c r="B542" s="443"/>
      <c r="C542" s="443"/>
      <c r="D542" s="443"/>
      <c r="E542" s="443"/>
      <c r="F542" s="443"/>
      <c r="G542" s="242"/>
      <c r="H542" s="242"/>
      <c r="I542" s="242"/>
      <c r="J542" s="242"/>
      <c r="K542" s="13"/>
      <c r="L542" s="242"/>
      <c r="M542" s="242"/>
      <c r="N542" s="13"/>
      <c r="O542" s="242"/>
      <c r="P542" s="242"/>
      <c r="Q542" s="242"/>
      <c r="R542" s="242"/>
      <c r="S542" s="242"/>
      <c r="T542" s="242"/>
      <c r="U542" s="242"/>
      <c r="V542" s="242"/>
      <c r="W542" s="242"/>
      <c r="X542" s="242"/>
      <c r="Y542" s="242"/>
      <c r="Z542" s="242"/>
    </row>
    <row r="543">
      <c r="A543" s="242"/>
      <c r="B543" s="443"/>
      <c r="C543" s="443"/>
      <c r="D543" s="443"/>
      <c r="E543" s="443"/>
      <c r="F543" s="443"/>
      <c r="G543" s="242"/>
      <c r="H543" s="242"/>
      <c r="I543" s="242"/>
      <c r="J543" s="242"/>
      <c r="K543" s="13"/>
      <c r="L543" s="242"/>
      <c r="M543" s="242"/>
      <c r="N543" s="13"/>
      <c r="O543" s="242"/>
      <c r="P543" s="242"/>
      <c r="Q543" s="242"/>
      <c r="R543" s="242"/>
      <c r="S543" s="242"/>
      <c r="T543" s="242"/>
      <c r="U543" s="242"/>
      <c r="V543" s="242"/>
      <c r="W543" s="242"/>
      <c r="X543" s="242"/>
      <c r="Y543" s="242"/>
      <c r="Z543" s="242"/>
    </row>
    <row r="544">
      <c r="A544" s="242"/>
      <c r="B544" s="443"/>
      <c r="C544" s="443"/>
      <c r="D544" s="443"/>
      <c r="E544" s="443"/>
      <c r="F544" s="443"/>
      <c r="G544" s="242"/>
      <c r="H544" s="242"/>
      <c r="I544" s="242"/>
      <c r="J544" s="242"/>
      <c r="K544" s="13"/>
      <c r="L544" s="242"/>
      <c r="M544" s="242"/>
      <c r="N544" s="13"/>
      <c r="O544" s="242"/>
      <c r="P544" s="242"/>
      <c r="Q544" s="242"/>
      <c r="R544" s="242"/>
      <c r="S544" s="242"/>
      <c r="T544" s="242"/>
      <c r="U544" s="242"/>
      <c r="V544" s="242"/>
      <c r="W544" s="242"/>
      <c r="X544" s="242"/>
      <c r="Y544" s="242"/>
      <c r="Z544" s="242"/>
    </row>
    <row r="545">
      <c r="A545" s="242"/>
      <c r="B545" s="443"/>
      <c r="C545" s="443"/>
      <c r="D545" s="443"/>
      <c r="E545" s="443"/>
      <c r="F545" s="443"/>
      <c r="G545" s="242"/>
      <c r="H545" s="242"/>
      <c r="I545" s="242"/>
      <c r="J545" s="242"/>
      <c r="K545" s="13"/>
      <c r="L545" s="242"/>
      <c r="M545" s="242"/>
      <c r="N545" s="13"/>
      <c r="O545" s="242"/>
      <c r="P545" s="242"/>
      <c r="Q545" s="242"/>
      <c r="R545" s="242"/>
      <c r="S545" s="242"/>
      <c r="T545" s="242"/>
      <c r="U545" s="242"/>
      <c r="V545" s="242"/>
      <c r="W545" s="242"/>
      <c r="X545" s="242"/>
      <c r="Y545" s="242"/>
      <c r="Z545" s="242"/>
    </row>
    <row r="546">
      <c r="A546" s="242"/>
      <c r="B546" s="443"/>
      <c r="C546" s="443"/>
      <c r="D546" s="443"/>
      <c r="E546" s="443"/>
      <c r="F546" s="443"/>
      <c r="G546" s="242"/>
      <c r="H546" s="242"/>
      <c r="I546" s="242"/>
      <c r="J546" s="242"/>
      <c r="K546" s="13"/>
      <c r="L546" s="242"/>
      <c r="M546" s="242"/>
      <c r="N546" s="13"/>
      <c r="O546" s="242"/>
      <c r="P546" s="242"/>
      <c r="Q546" s="242"/>
      <c r="R546" s="242"/>
      <c r="S546" s="242"/>
      <c r="T546" s="242"/>
      <c r="U546" s="242"/>
      <c r="V546" s="242"/>
      <c r="W546" s="242"/>
      <c r="X546" s="242"/>
      <c r="Y546" s="242"/>
      <c r="Z546" s="242"/>
    </row>
    <row r="547">
      <c r="A547" s="242"/>
      <c r="B547" s="443"/>
      <c r="C547" s="443"/>
      <c r="D547" s="443"/>
      <c r="E547" s="443"/>
      <c r="F547" s="443"/>
      <c r="G547" s="242"/>
      <c r="H547" s="242"/>
      <c r="I547" s="242"/>
      <c r="J547" s="242"/>
      <c r="K547" s="13"/>
      <c r="L547" s="242"/>
      <c r="M547" s="242"/>
      <c r="N547" s="13"/>
      <c r="O547" s="242"/>
      <c r="P547" s="242"/>
      <c r="Q547" s="242"/>
      <c r="R547" s="242"/>
      <c r="S547" s="242"/>
      <c r="T547" s="242"/>
      <c r="U547" s="242"/>
      <c r="V547" s="242"/>
      <c r="W547" s="242"/>
      <c r="X547" s="242"/>
      <c r="Y547" s="242"/>
      <c r="Z547" s="242"/>
    </row>
    <row r="548">
      <c r="A548" s="242"/>
      <c r="B548" s="443"/>
      <c r="C548" s="443"/>
      <c r="D548" s="443"/>
      <c r="E548" s="443"/>
      <c r="F548" s="443"/>
      <c r="G548" s="242"/>
      <c r="H548" s="242"/>
      <c r="I548" s="242"/>
      <c r="J548" s="242"/>
      <c r="K548" s="13"/>
      <c r="L548" s="242"/>
      <c r="M548" s="242"/>
      <c r="N548" s="13"/>
      <c r="O548" s="242"/>
      <c r="P548" s="242"/>
      <c r="Q548" s="242"/>
      <c r="R548" s="242"/>
      <c r="S548" s="242"/>
      <c r="T548" s="242"/>
      <c r="U548" s="242"/>
      <c r="V548" s="242"/>
      <c r="W548" s="242"/>
      <c r="X548" s="242"/>
      <c r="Y548" s="242"/>
      <c r="Z548" s="242"/>
    </row>
    <row r="549">
      <c r="A549" s="242"/>
      <c r="B549" s="443"/>
      <c r="C549" s="443"/>
      <c r="D549" s="443"/>
      <c r="E549" s="443"/>
      <c r="F549" s="443"/>
      <c r="G549" s="242"/>
      <c r="H549" s="242"/>
      <c r="I549" s="242"/>
      <c r="J549" s="242"/>
      <c r="K549" s="13"/>
      <c r="L549" s="242"/>
      <c r="M549" s="242"/>
      <c r="N549" s="13"/>
      <c r="O549" s="242"/>
      <c r="P549" s="242"/>
      <c r="Q549" s="242"/>
      <c r="R549" s="242"/>
      <c r="S549" s="242"/>
      <c r="T549" s="242"/>
      <c r="U549" s="242"/>
      <c r="V549" s="242"/>
      <c r="W549" s="242"/>
      <c r="X549" s="242"/>
      <c r="Y549" s="242"/>
      <c r="Z549" s="242"/>
    </row>
    <row r="550">
      <c r="A550" s="242"/>
      <c r="B550" s="443"/>
      <c r="C550" s="443"/>
      <c r="D550" s="443"/>
      <c r="E550" s="443"/>
      <c r="F550" s="443"/>
      <c r="G550" s="242"/>
      <c r="H550" s="242"/>
      <c r="I550" s="242"/>
      <c r="J550" s="242"/>
      <c r="K550" s="13"/>
      <c r="L550" s="242"/>
      <c r="M550" s="242"/>
      <c r="N550" s="13"/>
      <c r="O550" s="242"/>
      <c r="P550" s="242"/>
      <c r="Q550" s="242"/>
      <c r="R550" s="242"/>
      <c r="S550" s="242"/>
      <c r="T550" s="242"/>
      <c r="U550" s="242"/>
      <c r="V550" s="242"/>
      <c r="W550" s="242"/>
      <c r="X550" s="242"/>
      <c r="Y550" s="242"/>
      <c r="Z550" s="242"/>
    </row>
    <row r="551">
      <c r="A551" s="242"/>
      <c r="B551" s="443"/>
      <c r="C551" s="443"/>
      <c r="D551" s="443"/>
      <c r="E551" s="443"/>
      <c r="F551" s="443"/>
      <c r="G551" s="242"/>
      <c r="H551" s="242"/>
      <c r="I551" s="242"/>
      <c r="J551" s="242"/>
      <c r="K551" s="13"/>
      <c r="L551" s="242"/>
      <c r="M551" s="242"/>
      <c r="N551" s="13"/>
      <c r="O551" s="242"/>
      <c r="P551" s="242"/>
      <c r="Q551" s="242"/>
      <c r="R551" s="242"/>
      <c r="S551" s="242"/>
      <c r="T551" s="242"/>
      <c r="U551" s="242"/>
      <c r="V551" s="242"/>
      <c r="W551" s="242"/>
      <c r="X551" s="242"/>
      <c r="Y551" s="242"/>
      <c r="Z551" s="242"/>
    </row>
    <row r="552">
      <c r="A552" s="242"/>
      <c r="B552" s="443"/>
      <c r="C552" s="443"/>
      <c r="D552" s="443"/>
      <c r="E552" s="443"/>
      <c r="F552" s="443"/>
      <c r="G552" s="242"/>
      <c r="H552" s="242"/>
      <c r="I552" s="242"/>
      <c r="J552" s="242"/>
      <c r="K552" s="13"/>
      <c r="L552" s="242"/>
      <c r="M552" s="242"/>
      <c r="N552" s="13"/>
      <c r="O552" s="242"/>
      <c r="P552" s="242"/>
      <c r="Q552" s="242"/>
      <c r="R552" s="242"/>
      <c r="S552" s="242"/>
      <c r="T552" s="242"/>
      <c r="U552" s="242"/>
      <c r="V552" s="242"/>
      <c r="W552" s="242"/>
      <c r="X552" s="242"/>
      <c r="Y552" s="242"/>
      <c r="Z552" s="242"/>
    </row>
    <row r="553">
      <c r="A553" s="242"/>
      <c r="B553" s="443"/>
      <c r="C553" s="443"/>
      <c r="D553" s="443"/>
      <c r="E553" s="443"/>
      <c r="F553" s="443"/>
      <c r="G553" s="242"/>
      <c r="H553" s="242"/>
      <c r="I553" s="242"/>
      <c r="J553" s="242"/>
      <c r="K553" s="13"/>
      <c r="L553" s="242"/>
      <c r="M553" s="242"/>
      <c r="N553" s="13"/>
      <c r="O553" s="242"/>
      <c r="P553" s="242"/>
      <c r="Q553" s="242"/>
      <c r="R553" s="242"/>
      <c r="S553" s="242"/>
      <c r="T553" s="242"/>
      <c r="U553" s="242"/>
      <c r="V553" s="242"/>
      <c r="W553" s="242"/>
      <c r="X553" s="242"/>
      <c r="Y553" s="242"/>
      <c r="Z553" s="242"/>
    </row>
    <row r="554">
      <c r="A554" s="242"/>
      <c r="B554" s="443"/>
      <c r="C554" s="443"/>
      <c r="D554" s="443"/>
      <c r="E554" s="443"/>
      <c r="F554" s="443"/>
      <c r="G554" s="242"/>
      <c r="H554" s="242"/>
      <c r="I554" s="242"/>
      <c r="J554" s="242"/>
      <c r="K554" s="13"/>
      <c r="L554" s="242"/>
      <c r="M554" s="242"/>
      <c r="N554" s="13"/>
      <c r="O554" s="242"/>
      <c r="P554" s="242"/>
      <c r="Q554" s="242"/>
      <c r="R554" s="242"/>
      <c r="S554" s="242"/>
      <c r="T554" s="242"/>
      <c r="U554" s="242"/>
      <c r="V554" s="242"/>
      <c r="W554" s="242"/>
      <c r="X554" s="242"/>
      <c r="Y554" s="242"/>
      <c r="Z554" s="242"/>
    </row>
    <row r="555">
      <c r="A555" s="242"/>
      <c r="B555" s="443"/>
      <c r="C555" s="443"/>
      <c r="D555" s="443"/>
      <c r="E555" s="443"/>
      <c r="F555" s="443"/>
      <c r="G555" s="242"/>
      <c r="H555" s="242"/>
      <c r="I555" s="242"/>
      <c r="J555" s="242"/>
      <c r="K555" s="13"/>
      <c r="L555" s="242"/>
      <c r="M555" s="242"/>
      <c r="N555" s="13"/>
      <c r="O555" s="242"/>
      <c r="P555" s="242"/>
      <c r="Q555" s="242"/>
      <c r="R555" s="242"/>
      <c r="S555" s="242"/>
      <c r="T555" s="242"/>
      <c r="U555" s="242"/>
      <c r="V555" s="242"/>
      <c r="W555" s="242"/>
      <c r="X555" s="242"/>
      <c r="Y555" s="242"/>
      <c r="Z555" s="242"/>
    </row>
    <row r="556">
      <c r="A556" s="242"/>
      <c r="B556" s="443"/>
      <c r="C556" s="443"/>
      <c r="D556" s="443"/>
      <c r="E556" s="443"/>
      <c r="F556" s="443"/>
      <c r="G556" s="242"/>
      <c r="H556" s="242"/>
      <c r="I556" s="242"/>
      <c r="J556" s="242"/>
      <c r="K556" s="13"/>
      <c r="L556" s="242"/>
      <c r="M556" s="242"/>
      <c r="N556" s="13"/>
      <c r="O556" s="242"/>
      <c r="P556" s="242"/>
      <c r="Q556" s="242"/>
      <c r="R556" s="242"/>
      <c r="S556" s="242"/>
      <c r="T556" s="242"/>
      <c r="U556" s="242"/>
      <c r="V556" s="242"/>
      <c r="W556" s="242"/>
      <c r="X556" s="242"/>
      <c r="Y556" s="242"/>
      <c r="Z556" s="242"/>
    </row>
    <row r="557">
      <c r="A557" s="242"/>
      <c r="B557" s="443"/>
      <c r="C557" s="443"/>
      <c r="D557" s="443"/>
      <c r="E557" s="443"/>
      <c r="F557" s="443"/>
      <c r="G557" s="242"/>
      <c r="H557" s="242"/>
      <c r="I557" s="242"/>
      <c r="J557" s="242"/>
      <c r="K557" s="13"/>
      <c r="L557" s="242"/>
      <c r="M557" s="242"/>
      <c r="N557" s="13"/>
      <c r="O557" s="242"/>
      <c r="P557" s="242"/>
      <c r="Q557" s="242"/>
      <c r="R557" s="242"/>
      <c r="S557" s="242"/>
      <c r="T557" s="242"/>
      <c r="U557" s="242"/>
      <c r="V557" s="242"/>
      <c r="W557" s="242"/>
      <c r="X557" s="242"/>
      <c r="Y557" s="242"/>
      <c r="Z557" s="242"/>
    </row>
    <row r="558">
      <c r="A558" s="242"/>
      <c r="B558" s="443"/>
      <c r="C558" s="443"/>
      <c r="D558" s="443"/>
      <c r="E558" s="443"/>
      <c r="F558" s="443"/>
      <c r="G558" s="242"/>
      <c r="H558" s="242"/>
      <c r="I558" s="242"/>
      <c r="J558" s="242"/>
      <c r="K558" s="13"/>
      <c r="L558" s="242"/>
      <c r="M558" s="242"/>
      <c r="N558" s="13"/>
      <c r="O558" s="242"/>
      <c r="P558" s="242"/>
      <c r="Q558" s="242"/>
      <c r="R558" s="242"/>
      <c r="S558" s="242"/>
      <c r="T558" s="242"/>
      <c r="U558" s="242"/>
      <c r="V558" s="242"/>
      <c r="W558" s="242"/>
      <c r="X558" s="242"/>
      <c r="Y558" s="242"/>
      <c r="Z558" s="242"/>
    </row>
    <row r="559">
      <c r="A559" s="242"/>
      <c r="B559" s="443"/>
      <c r="C559" s="443"/>
      <c r="D559" s="443"/>
      <c r="E559" s="443"/>
      <c r="F559" s="443"/>
      <c r="G559" s="242"/>
      <c r="H559" s="242"/>
      <c r="I559" s="242"/>
      <c r="J559" s="242"/>
      <c r="K559" s="13"/>
      <c r="L559" s="242"/>
      <c r="M559" s="242"/>
      <c r="N559" s="13"/>
      <c r="O559" s="242"/>
      <c r="P559" s="242"/>
      <c r="Q559" s="242"/>
      <c r="R559" s="242"/>
      <c r="S559" s="242"/>
      <c r="T559" s="242"/>
      <c r="U559" s="242"/>
      <c r="V559" s="242"/>
      <c r="W559" s="242"/>
      <c r="X559" s="242"/>
      <c r="Y559" s="242"/>
      <c r="Z559" s="242"/>
    </row>
    <row r="560">
      <c r="A560" s="242"/>
      <c r="B560" s="443"/>
      <c r="C560" s="443"/>
      <c r="D560" s="443"/>
      <c r="E560" s="443"/>
      <c r="F560" s="443"/>
      <c r="G560" s="242"/>
      <c r="H560" s="242"/>
      <c r="I560" s="242"/>
      <c r="J560" s="242"/>
      <c r="K560" s="13"/>
      <c r="L560" s="242"/>
      <c r="M560" s="242"/>
      <c r="N560" s="13"/>
      <c r="O560" s="242"/>
      <c r="P560" s="242"/>
      <c r="Q560" s="242"/>
      <c r="R560" s="242"/>
      <c r="S560" s="242"/>
      <c r="T560" s="242"/>
      <c r="U560" s="242"/>
      <c r="V560" s="242"/>
      <c r="W560" s="242"/>
      <c r="X560" s="242"/>
      <c r="Y560" s="242"/>
      <c r="Z560" s="242"/>
    </row>
    <row r="561">
      <c r="A561" s="242"/>
      <c r="B561" s="443"/>
      <c r="C561" s="443"/>
      <c r="D561" s="443"/>
      <c r="E561" s="443"/>
      <c r="F561" s="443"/>
      <c r="G561" s="242"/>
      <c r="H561" s="242"/>
      <c r="I561" s="242"/>
      <c r="J561" s="242"/>
      <c r="K561" s="13"/>
      <c r="L561" s="242"/>
      <c r="M561" s="242"/>
      <c r="N561" s="13"/>
      <c r="O561" s="242"/>
      <c r="P561" s="242"/>
      <c r="Q561" s="242"/>
      <c r="R561" s="242"/>
      <c r="S561" s="242"/>
      <c r="T561" s="242"/>
      <c r="U561" s="242"/>
      <c r="V561" s="242"/>
      <c r="W561" s="242"/>
      <c r="X561" s="242"/>
      <c r="Y561" s="242"/>
      <c r="Z561" s="242"/>
    </row>
    <row r="562">
      <c r="A562" s="242"/>
      <c r="B562" s="443"/>
      <c r="C562" s="443"/>
      <c r="D562" s="443"/>
      <c r="E562" s="443"/>
      <c r="F562" s="443"/>
      <c r="G562" s="242"/>
      <c r="H562" s="242"/>
      <c r="I562" s="242"/>
      <c r="J562" s="242"/>
      <c r="K562" s="13"/>
      <c r="L562" s="242"/>
      <c r="M562" s="242"/>
      <c r="N562" s="13"/>
      <c r="O562" s="242"/>
      <c r="P562" s="242"/>
      <c r="Q562" s="242"/>
      <c r="R562" s="242"/>
      <c r="S562" s="242"/>
      <c r="T562" s="242"/>
      <c r="U562" s="242"/>
      <c r="V562" s="242"/>
      <c r="W562" s="242"/>
      <c r="X562" s="242"/>
      <c r="Y562" s="242"/>
      <c r="Z562" s="242"/>
    </row>
    <row r="563">
      <c r="A563" s="242"/>
      <c r="B563" s="443"/>
      <c r="C563" s="443"/>
      <c r="D563" s="443"/>
      <c r="E563" s="443"/>
      <c r="F563" s="443"/>
      <c r="G563" s="242"/>
      <c r="H563" s="242"/>
      <c r="I563" s="242"/>
      <c r="J563" s="242"/>
      <c r="K563" s="13"/>
      <c r="L563" s="242"/>
      <c r="M563" s="242"/>
      <c r="N563" s="13"/>
      <c r="O563" s="242"/>
      <c r="P563" s="242"/>
      <c r="Q563" s="242"/>
      <c r="R563" s="242"/>
      <c r="S563" s="242"/>
      <c r="T563" s="242"/>
      <c r="U563" s="242"/>
      <c r="V563" s="242"/>
      <c r="W563" s="242"/>
      <c r="X563" s="242"/>
      <c r="Y563" s="242"/>
      <c r="Z563" s="242"/>
    </row>
    <row r="564">
      <c r="A564" s="242"/>
      <c r="B564" s="443"/>
      <c r="C564" s="443"/>
      <c r="D564" s="443"/>
      <c r="E564" s="443"/>
      <c r="F564" s="443"/>
      <c r="G564" s="242"/>
      <c r="H564" s="242"/>
      <c r="I564" s="242"/>
      <c r="J564" s="242"/>
      <c r="K564" s="13"/>
      <c r="L564" s="242"/>
      <c r="M564" s="242"/>
      <c r="N564" s="13"/>
      <c r="O564" s="242"/>
      <c r="P564" s="242"/>
      <c r="Q564" s="242"/>
      <c r="R564" s="242"/>
      <c r="S564" s="242"/>
      <c r="T564" s="242"/>
      <c r="U564" s="242"/>
      <c r="V564" s="242"/>
      <c r="W564" s="242"/>
      <c r="X564" s="242"/>
      <c r="Y564" s="242"/>
      <c r="Z564" s="242"/>
    </row>
    <row r="565">
      <c r="A565" s="242"/>
      <c r="B565" s="443"/>
      <c r="C565" s="443"/>
      <c r="D565" s="443"/>
      <c r="E565" s="443"/>
      <c r="F565" s="443"/>
      <c r="G565" s="242"/>
      <c r="H565" s="242"/>
      <c r="I565" s="242"/>
      <c r="J565" s="242"/>
      <c r="K565" s="13"/>
      <c r="L565" s="242"/>
      <c r="M565" s="242"/>
      <c r="N565" s="13"/>
      <c r="O565" s="242"/>
      <c r="P565" s="242"/>
      <c r="Q565" s="242"/>
      <c r="R565" s="242"/>
      <c r="S565" s="242"/>
      <c r="T565" s="242"/>
      <c r="U565" s="242"/>
      <c r="V565" s="242"/>
      <c r="W565" s="242"/>
      <c r="X565" s="242"/>
      <c r="Y565" s="242"/>
      <c r="Z565" s="242"/>
    </row>
    <row r="566">
      <c r="A566" s="242"/>
      <c r="B566" s="443"/>
      <c r="C566" s="443"/>
      <c r="D566" s="443"/>
      <c r="E566" s="443"/>
      <c r="F566" s="443"/>
      <c r="G566" s="242"/>
      <c r="H566" s="242"/>
      <c r="I566" s="242"/>
      <c r="J566" s="242"/>
      <c r="K566" s="13"/>
      <c r="L566" s="242"/>
      <c r="M566" s="242"/>
      <c r="N566" s="13"/>
      <c r="O566" s="242"/>
      <c r="P566" s="242"/>
      <c r="Q566" s="242"/>
      <c r="R566" s="242"/>
      <c r="S566" s="242"/>
      <c r="T566" s="242"/>
      <c r="U566" s="242"/>
      <c r="V566" s="242"/>
      <c r="W566" s="242"/>
      <c r="X566" s="242"/>
      <c r="Y566" s="242"/>
      <c r="Z566" s="242"/>
    </row>
    <row r="567">
      <c r="A567" s="242"/>
      <c r="B567" s="443"/>
      <c r="C567" s="443"/>
      <c r="D567" s="443"/>
      <c r="E567" s="443"/>
      <c r="F567" s="443"/>
      <c r="G567" s="242"/>
      <c r="H567" s="242"/>
      <c r="I567" s="242"/>
      <c r="J567" s="242"/>
      <c r="K567" s="13"/>
      <c r="L567" s="242"/>
      <c r="M567" s="242"/>
      <c r="N567" s="13"/>
      <c r="O567" s="242"/>
      <c r="P567" s="242"/>
      <c r="Q567" s="242"/>
      <c r="R567" s="242"/>
      <c r="S567" s="242"/>
      <c r="T567" s="242"/>
      <c r="U567" s="242"/>
      <c r="V567" s="242"/>
      <c r="W567" s="242"/>
      <c r="X567" s="242"/>
      <c r="Y567" s="242"/>
      <c r="Z567" s="242"/>
    </row>
    <row r="568">
      <c r="A568" s="242"/>
      <c r="B568" s="443"/>
      <c r="C568" s="443"/>
      <c r="D568" s="443"/>
      <c r="E568" s="443"/>
      <c r="F568" s="443"/>
      <c r="G568" s="242"/>
      <c r="H568" s="242"/>
      <c r="I568" s="242"/>
      <c r="J568" s="242"/>
      <c r="K568" s="13"/>
      <c r="L568" s="242"/>
      <c r="M568" s="242"/>
      <c r="N568" s="13"/>
      <c r="O568" s="242"/>
      <c r="P568" s="242"/>
      <c r="Q568" s="242"/>
      <c r="R568" s="242"/>
      <c r="S568" s="242"/>
      <c r="T568" s="242"/>
      <c r="U568" s="242"/>
      <c r="V568" s="242"/>
      <c r="W568" s="242"/>
      <c r="X568" s="242"/>
      <c r="Y568" s="242"/>
      <c r="Z568" s="242"/>
    </row>
    <row r="569">
      <c r="A569" s="242"/>
      <c r="B569" s="443"/>
      <c r="C569" s="443"/>
      <c r="D569" s="443"/>
      <c r="E569" s="443"/>
      <c r="F569" s="443"/>
      <c r="G569" s="242"/>
      <c r="H569" s="242"/>
      <c r="I569" s="242"/>
      <c r="J569" s="242"/>
      <c r="K569" s="13"/>
      <c r="L569" s="242"/>
      <c r="M569" s="242"/>
      <c r="N569" s="13"/>
      <c r="O569" s="242"/>
      <c r="P569" s="242"/>
      <c r="Q569" s="242"/>
      <c r="R569" s="242"/>
      <c r="S569" s="242"/>
      <c r="T569" s="242"/>
      <c r="U569" s="242"/>
      <c r="V569" s="242"/>
      <c r="W569" s="242"/>
      <c r="X569" s="242"/>
      <c r="Y569" s="242"/>
      <c r="Z569" s="242"/>
    </row>
    <row r="570">
      <c r="A570" s="242"/>
      <c r="B570" s="443"/>
      <c r="C570" s="443"/>
      <c r="D570" s="443"/>
      <c r="E570" s="443"/>
      <c r="F570" s="443"/>
      <c r="G570" s="242"/>
      <c r="H570" s="242"/>
      <c r="I570" s="242"/>
      <c r="J570" s="242"/>
      <c r="K570" s="13"/>
      <c r="L570" s="242"/>
      <c r="M570" s="242"/>
      <c r="N570" s="13"/>
      <c r="O570" s="242"/>
      <c r="P570" s="242"/>
      <c r="Q570" s="242"/>
      <c r="R570" s="242"/>
      <c r="S570" s="242"/>
      <c r="T570" s="242"/>
      <c r="U570" s="242"/>
      <c r="V570" s="242"/>
      <c r="W570" s="242"/>
      <c r="X570" s="242"/>
      <c r="Y570" s="242"/>
      <c r="Z570" s="242"/>
    </row>
    <row r="571">
      <c r="A571" s="242"/>
      <c r="B571" s="443"/>
      <c r="C571" s="443"/>
      <c r="D571" s="443"/>
      <c r="E571" s="443"/>
      <c r="F571" s="443"/>
      <c r="G571" s="242"/>
      <c r="H571" s="242"/>
      <c r="I571" s="242"/>
      <c r="J571" s="242"/>
      <c r="K571" s="13"/>
      <c r="L571" s="242"/>
      <c r="M571" s="242"/>
      <c r="N571" s="13"/>
      <c r="O571" s="242"/>
      <c r="P571" s="242"/>
      <c r="Q571" s="242"/>
      <c r="R571" s="242"/>
      <c r="S571" s="242"/>
      <c r="T571" s="242"/>
      <c r="U571" s="242"/>
      <c r="V571" s="242"/>
      <c r="W571" s="242"/>
      <c r="X571" s="242"/>
      <c r="Y571" s="242"/>
      <c r="Z571" s="242"/>
    </row>
    <row r="572">
      <c r="A572" s="242"/>
      <c r="B572" s="443"/>
      <c r="C572" s="443"/>
      <c r="D572" s="443"/>
      <c r="E572" s="443"/>
      <c r="F572" s="443"/>
      <c r="G572" s="242"/>
      <c r="H572" s="242"/>
      <c r="I572" s="242"/>
      <c r="J572" s="242"/>
      <c r="K572" s="13"/>
      <c r="L572" s="242"/>
      <c r="M572" s="242"/>
      <c r="N572" s="13"/>
      <c r="O572" s="242"/>
      <c r="P572" s="242"/>
      <c r="Q572" s="242"/>
      <c r="R572" s="242"/>
      <c r="S572" s="242"/>
      <c r="T572" s="242"/>
      <c r="U572" s="242"/>
      <c r="V572" s="242"/>
      <c r="W572" s="242"/>
      <c r="X572" s="242"/>
      <c r="Y572" s="242"/>
      <c r="Z572" s="242"/>
    </row>
    <row r="573">
      <c r="A573" s="242"/>
      <c r="B573" s="443"/>
      <c r="C573" s="443"/>
      <c r="D573" s="443"/>
      <c r="E573" s="443"/>
      <c r="F573" s="443"/>
      <c r="G573" s="242"/>
      <c r="H573" s="242"/>
      <c r="I573" s="242"/>
      <c r="J573" s="242"/>
      <c r="K573" s="13"/>
      <c r="L573" s="242"/>
      <c r="M573" s="242"/>
      <c r="N573" s="13"/>
      <c r="O573" s="242"/>
      <c r="P573" s="242"/>
      <c r="Q573" s="242"/>
      <c r="R573" s="242"/>
      <c r="S573" s="242"/>
      <c r="T573" s="242"/>
      <c r="U573" s="242"/>
      <c r="V573" s="242"/>
      <c r="W573" s="242"/>
      <c r="X573" s="242"/>
      <c r="Y573" s="242"/>
      <c r="Z573" s="242"/>
    </row>
    <row r="574">
      <c r="A574" s="242"/>
      <c r="B574" s="443"/>
      <c r="C574" s="443"/>
      <c r="D574" s="443"/>
      <c r="E574" s="443"/>
      <c r="F574" s="443"/>
      <c r="G574" s="242"/>
      <c r="H574" s="242"/>
      <c r="I574" s="242"/>
      <c r="J574" s="242"/>
      <c r="K574" s="13"/>
      <c r="L574" s="242"/>
      <c r="M574" s="242"/>
      <c r="N574" s="13"/>
      <c r="O574" s="242"/>
      <c r="P574" s="242"/>
      <c r="Q574" s="242"/>
      <c r="R574" s="242"/>
      <c r="S574" s="242"/>
      <c r="T574" s="242"/>
      <c r="U574" s="242"/>
      <c r="V574" s="242"/>
      <c r="W574" s="242"/>
      <c r="X574" s="242"/>
      <c r="Y574" s="242"/>
      <c r="Z574" s="242"/>
    </row>
    <row r="575">
      <c r="A575" s="242"/>
      <c r="B575" s="443"/>
      <c r="C575" s="443"/>
      <c r="D575" s="443"/>
      <c r="E575" s="443"/>
      <c r="F575" s="443"/>
      <c r="G575" s="242"/>
      <c r="H575" s="242"/>
      <c r="I575" s="242"/>
      <c r="J575" s="242"/>
      <c r="K575" s="13"/>
      <c r="L575" s="242"/>
      <c r="M575" s="242"/>
      <c r="N575" s="13"/>
      <c r="O575" s="242"/>
      <c r="P575" s="242"/>
      <c r="Q575" s="242"/>
      <c r="R575" s="242"/>
      <c r="S575" s="242"/>
      <c r="T575" s="242"/>
      <c r="U575" s="242"/>
      <c r="V575" s="242"/>
      <c r="W575" s="242"/>
      <c r="X575" s="242"/>
      <c r="Y575" s="242"/>
      <c r="Z575" s="242"/>
    </row>
    <row r="576">
      <c r="A576" s="242"/>
      <c r="B576" s="443"/>
      <c r="C576" s="443"/>
      <c r="D576" s="443"/>
      <c r="E576" s="443"/>
      <c r="F576" s="443"/>
      <c r="G576" s="242"/>
      <c r="H576" s="242"/>
      <c r="I576" s="242"/>
      <c r="J576" s="242"/>
      <c r="K576" s="13"/>
      <c r="L576" s="242"/>
      <c r="M576" s="242"/>
      <c r="N576" s="13"/>
      <c r="O576" s="242"/>
      <c r="P576" s="242"/>
      <c r="Q576" s="242"/>
      <c r="R576" s="242"/>
      <c r="S576" s="242"/>
      <c r="T576" s="242"/>
      <c r="U576" s="242"/>
      <c r="V576" s="242"/>
      <c r="W576" s="242"/>
      <c r="X576" s="242"/>
      <c r="Y576" s="242"/>
      <c r="Z576" s="242"/>
    </row>
    <row r="577">
      <c r="A577" s="242"/>
      <c r="B577" s="443"/>
      <c r="C577" s="443"/>
      <c r="D577" s="443"/>
      <c r="E577" s="443"/>
      <c r="F577" s="443"/>
      <c r="G577" s="242"/>
      <c r="H577" s="242"/>
      <c r="I577" s="242"/>
      <c r="J577" s="242"/>
      <c r="K577" s="13"/>
      <c r="L577" s="242"/>
      <c r="M577" s="242"/>
      <c r="N577" s="13"/>
      <c r="O577" s="242"/>
      <c r="P577" s="242"/>
      <c r="Q577" s="242"/>
      <c r="R577" s="242"/>
      <c r="S577" s="242"/>
      <c r="T577" s="242"/>
      <c r="U577" s="242"/>
      <c r="V577" s="242"/>
      <c r="W577" s="242"/>
      <c r="X577" s="242"/>
      <c r="Y577" s="242"/>
      <c r="Z577" s="242"/>
    </row>
    <row r="578">
      <c r="A578" s="242"/>
      <c r="B578" s="443"/>
      <c r="C578" s="443"/>
      <c r="D578" s="443"/>
      <c r="E578" s="443"/>
      <c r="F578" s="443"/>
      <c r="G578" s="242"/>
      <c r="H578" s="242"/>
      <c r="I578" s="242"/>
      <c r="J578" s="242"/>
      <c r="K578" s="13"/>
      <c r="L578" s="242"/>
      <c r="M578" s="242"/>
      <c r="N578" s="13"/>
      <c r="O578" s="242"/>
      <c r="P578" s="242"/>
      <c r="Q578" s="242"/>
      <c r="R578" s="242"/>
      <c r="S578" s="242"/>
      <c r="T578" s="242"/>
      <c r="U578" s="242"/>
      <c r="V578" s="242"/>
      <c r="W578" s="242"/>
      <c r="X578" s="242"/>
      <c r="Y578" s="242"/>
      <c r="Z578" s="242"/>
    </row>
    <row r="579">
      <c r="A579" s="242"/>
      <c r="B579" s="443"/>
      <c r="C579" s="443"/>
      <c r="D579" s="443"/>
      <c r="E579" s="443"/>
      <c r="F579" s="443"/>
      <c r="G579" s="242"/>
      <c r="H579" s="242"/>
      <c r="I579" s="242"/>
      <c r="J579" s="242"/>
      <c r="K579" s="13"/>
      <c r="L579" s="242"/>
      <c r="M579" s="242"/>
      <c r="N579" s="13"/>
      <c r="O579" s="242"/>
      <c r="P579" s="242"/>
      <c r="Q579" s="242"/>
      <c r="R579" s="242"/>
      <c r="S579" s="242"/>
      <c r="T579" s="242"/>
      <c r="U579" s="242"/>
      <c r="V579" s="242"/>
      <c r="W579" s="242"/>
      <c r="X579" s="242"/>
      <c r="Y579" s="242"/>
      <c r="Z579" s="242"/>
    </row>
    <row r="580">
      <c r="A580" s="242"/>
      <c r="B580" s="443"/>
      <c r="C580" s="443"/>
      <c r="D580" s="443"/>
      <c r="E580" s="443"/>
      <c r="F580" s="443"/>
      <c r="G580" s="242"/>
      <c r="H580" s="242"/>
      <c r="I580" s="242"/>
      <c r="J580" s="242"/>
      <c r="K580" s="13"/>
      <c r="L580" s="242"/>
      <c r="M580" s="242"/>
      <c r="N580" s="13"/>
      <c r="O580" s="242"/>
      <c r="P580" s="242"/>
      <c r="Q580" s="242"/>
      <c r="R580" s="242"/>
      <c r="S580" s="242"/>
      <c r="T580" s="242"/>
      <c r="U580" s="242"/>
      <c r="V580" s="242"/>
      <c r="W580" s="242"/>
      <c r="X580" s="242"/>
      <c r="Y580" s="242"/>
      <c r="Z580" s="242"/>
    </row>
    <row r="581">
      <c r="A581" s="242"/>
      <c r="B581" s="443"/>
      <c r="C581" s="443"/>
      <c r="D581" s="443"/>
      <c r="E581" s="443"/>
      <c r="F581" s="443"/>
      <c r="G581" s="242"/>
      <c r="H581" s="242"/>
      <c r="I581" s="242"/>
      <c r="J581" s="242"/>
      <c r="K581" s="13"/>
      <c r="L581" s="242"/>
      <c r="M581" s="242"/>
      <c r="N581" s="13"/>
      <c r="O581" s="242"/>
      <c r="P581" s="242"/>
      <c r="Q581" s="242"/>
      <c r="R581" s="242"/>
      <c r="S581" s="242"/>
      <c r="T581" s="242"/>
      <c r="U581" s="242"/>
      <c r="V581" s="242"/>
      <c r="W581" s="242"/>
      <c r="X581" s="242"/>
      <c r="Y581" s="242"/>
      <c r="Z581" s="242"/>
    </row>
    <row r="582">
      <c r="A582" s="242"/>
      <c r="B582" s="443"/>
      <c r="C582" s="443"/>
      <c r="D582" s="443"/>
      <c r="E582" s="443"/>
      <c r="F582" s="443"/>
      <c r="G582" s="242"/>
      <c r="H582" s="242"/>
      <c r="I582" s="242"/>
      <c r="J582" s="242"/>
      <c r="K582" s="13"/>
      <c r="L582" s="242"/>
      <c r="M582" s="242"/>
      <c r="N582" s="13"/>
      <c r="O582" s="242"/>
      <c r="P582" s="242"/>
      <c r="Q582" s="242"/>
      <c r="R582" s="242"/>
      <c r="S582" s="242"/>
      <c r="T582" s="242"/>
      <c r="U582" s="242"/>
      <c r="V582" s="242"/>
      <c r="W582" s="242"/>
      <c r="X582" s="242"/>
      <c r="Y582" s="242"/>
      <c r="Z582" s="242"/>
    </row>
    <row r="583">
      <c r="A583" s="242"/>
      <c r="B583" s="443"/>
      <c r="C583" s="443"/>
      <c r="D583" s="443"/>
      <c r="E583" s="443"/>
      <c r="F583" s="443"/>
      <c r="G583" s="242"/>
      <c r="H583" s="242"/>
      <c r="I583" s="242"/>
      <c r="J583" s="242"/>
      <c r="K583" s="13"/>
      <c r="L583" s="242"/>
      <c r="M583" s="242"/>
      <c r="N583" s="13"/>
      <c r="O583" s="242"/>
      <c r="P583" s="242"/>
      <c r="Q583" s="242"/>
      <c r="R583" s="242"/>
      <c r="S583" s="242"/>
      <c r="T583" s="242"/>
      <c r="U583" s="242"/>
      <c r="V583" s="242"/>
      <c r="W583" s="242"/>
      <c r="X583" s="242"/>
      <c r="Y583" s="242"/>
      <c r="Z583" s="242"/>
    </row>
    <row r="584">
      <c r="A584" s="242"/>
      <c r="B584" s="443"/>
      <c r="C584" s="443"/>
      <c r="D584" s="443"/>
      <c r="E584" s="443"/>
      <c r="F584" s="443"/>
      <c r="G584" s="242"/>
      <c r="H584" s="242"/>
      <c r="I584" s="242"/>
      <c r="J584" s="242"/>
      <c r="K584" s="13"/>
      <c r="L584" s="242"/>
      <c r="M584" s="242"/>
      <c r="N584" s="13"/>
      <c r="O584" s="242"/>
      <c r="P584" s="242"/>
      <c r="Q584" s="242"/>
      <c r="R584" s="242"/>
      <c r="S584" s="242"/>
      <c r="T584" s="242"/>
      <c r="U584" s="242"/>
      <c r="V584" s="242"/>
      <c r="W584" s="242"/>
      <c r="X584" s="242"/>
      <c r="Y584" s="242"/>
      <c r="Z584" s="242"/>
    </row>
    <row r="585">
      <c r="A585" s="242"/>
      <c r="B585" s="443"/>
      <c r="C585" s="443"/>
      <c r="D585" s="443"/>
      <c r="E585" s="443"/>
      <c r="F585" s="443"/>
      <c r="G585" s="242"/>
      <c r="H585" s="242"/>
      <c r="I585" s="242"/>
      <c r="J585" s="242"/>
      <c r="K585" s="13"/>
      <c r="L585" s="242"/>
      <c r="M585" s="242"/>
      <c r="N585" s="13"/>
      <c r="O585" s="242"/>
      <c r="P585" s="242"/>
      <c r="Q585" s="242"/>
      <c r="R585" s="242"/>
      <c r="S585" s="242"/>
      <c r="T585" s="242"/>
      <c r="U585" s="242"/>
      <c r="V585" s="242"/>
      <c r="W585" s="242"/>
      <c r="X585" s="242"/>
      <c r="Y585" s="242"/>
      <c r="Z585" s="242"/>
    </row>
    <row r="586">
      <c r="A586" s="242"/>
      <c r="B586" s="443"/>
      <c r="C586" s="443"/>
      <c r="D586" s="443"/>
      <c r="E586" s="443"/>
      <c r="F586" s="443"/>
      <c r="G586" s="242"/>
      <c r="H586" s="242"/>
      <c r="I586" s="242"/>
      <c r="J586" s="242"/>
      <c r="K586" s="13"/>
      <c r="L586" s="242"/>
      <c r="M586" s="242"/>
      <c r="N586" s="13"/>
      <c r="O586" s="242"/>
      <c r="P586" s="242"/>
      <c r="Q586" s="242"/>
      <c r="R586" s="242"/>
      <c r="S586" s="242"/>
      <c r="T586" s="242"/>
      <c r="U586" s="242"/>
      <c r="V586" s="242"/>
      <c r="W586" s="242"/>
      <c r="X586" s="242"/>
      <c r="Y586" s="242"/>
      <c r="Z586" s="242"/>
    </row>
    <row r="587">
      <c r="A587" s="242"/>
      <c r="B587" s="443"/>
      <c r="C587" s="443"/>
      <c r="D587" s="443"/>
      <c r="E587" s="443"/>
      <c r="F587" s="443"/>
      <c r="G587" s="242"/>
      <c r="H587" s="242"/>
      <c r="I587" s="242"/>
      <c r="J587" s="242"/>
      <c r="K587" s="13"/>
      <c r="L587" s="242"/>
      <c r="M587" s="242"/>
      <c r="N587" s="13"/>
      <c r="O587" s="242"/>
      <c r="P587" s="242"/>
      <c r="Q587" s="242"/>
      <c r="R587" s="242"/>
      <c r="S587" s="242"/>
      <c r="T587" s="242"/>
      <c r="U587" s="242"/>
      <c r="V587" s="242"/>
      <c r="W587" s="242"/>
      <c r="X587" s="242"/>
      <c r="Y587" s="242"/>
      <c r="Z587" s="242"/>
    </row>
    <row r="588">
      <c r="A588" s="242"/>
      <c r="B588" s="443"/>
      <c r="C588" s="443"/>
      <c r="D588" s="443"/>
      <c r="E588" s="443"/>
      <c r="F588" s="443"/>
      <c r="G588" s="242"/>
      <c r="H588" s="242"/>
      <c r="I588" s="242"/>
      <c r="J588" s="242"/>
      <c r="K588" s="13"/>
      <c r="L588" s="242"/>
      <c r="M588" s="242"/>
      <c r="N588" s="13"/>
      <c r="O588" s="242"/>
      <c r="P588" s="242"/>
      <c r="Q588" s="242"/>
      <c r="R588" s="242"/>
      <c r="S588" s="242"/>
      <c r="T588" s="242"/>
      <c r="U588" s="242"/>
      <c r="V588" s="242"/>
      <c r="W588" s="242"/>
      <c r="X588" s="242"/>
      <c r="Y588" s="242"/>
      <c r="Z588" s="242"/>
    </row>
    <row r="589">
      <c r="A589" s="242"/>
      <c r="B589" s="443"/>
      <c r="C589" s="443"/>
      <c r="D589" s="443"/>
      <c r="E589" s="443"/>
      <c r="F589" s="443"/>
      <c r="G589" s="242"/>
      <c r="H589" s="242"/>
      <c r="I589" s="242"/>
      <c r="J589" s="242"/>
      <c r="K589" s="13"/>
      <c r="L589" s="242"/>
      <c r="M589" s="242"/>
      <c r="N589" s="13"/>
      <c r="O589" s="242"/>
      <c r="P589" s="242"/>
      <c r="Q589" s="242"/>
      <c r="R589" s="242"/>
      <c r="S589" s="242"/>
      <c r="T589" s="242"/>
      <c r="U589" s="242"/>
      <c r="V589" s="242"/>
      <c r="W589" s="242"/>
      <c r="X589" s="242"/>
      <c r="Y589" s="242"/>
      <c r="Z589" s="242"/>
    </row>
    <row r="590">
      <c r="A590" s="242"/>
      <c r="B590" s="443"/>
      <c r="C590" s="443"/>
      <c r="D590" s="443"/>
      <c r="E590" s="443"/>
      <c r="F590" s="443"/>
      <c r="G590" s="242"/>
      <c r="H590" s="242"/>
      <c r="I590" s="242"/>
      <c r="J590" s="242"/>
      <c r="K590" s="13"/>
      <c r="L590" s="242"/>
      <c r="M590" s="242"/>
      <c r="N590" s="13"/>
      <c r="O590" s="242"/>
      <c r="P590" s="242"/>
      <c r="Q590" s="242"/>
      <c r="R590" s="242"/>
      <c r="S590" s="242"/>
      <c r="T590" s="242"/>
      <c r="U590" s="242"/>
      <c r="V590" s="242"/>
      <c r="W590" s="242"/>
      <c r="X590" s="242"/>
      <c r="Y590" s="242"/>
      <c r="Z590" s="242"/>
    </row>
    <row r="591">
      <c r="A591" s="242"/>
      <c r="B591" s="443"/>
      <c r="C591" s="443"/>
      <c r="D591" s="443"/>
      <c r="E591" s="443"/>
      <c r="F591" s="443"/>
      <c r="G591" s="242"/>
      <c r="H591" s="242"/>
      <c r="I591" s="242"/>
      <c r="J591" s="242"/>
      <c r="K591" s="13"/>
      <c r="L591" s="242"/>
      <c r="M591" s="242"/>
      <c r="N591" s="13"/>
      <c r="O591" s="242"/>
      <c r="P591" s="242"/>
      <c r="Q591" s="242"/>
      <c r="R591" s="242"/>
      <c r="S591" s="242"/>
      <c r="T591" s="242"/>
      <c r="U591" s="242"/>
      <c r="V591" s="242"/>
      <c r="W591" s="242"/>
      <c r="X591" s="242"/>
      <c r="Y591" s="242"/>
      <c r="Z591" s="242"/>
    </row>
    <row r="592">
      <c r="A592" s="242"/>
      <c r="B592" s="443"/>
      <c r="C592" s="443"/>
      <c r="D592" s="443"/>
      <c r="E592" s="443"/>
      <c r="F592" s="443"/>
      <c r="G592" s="242"/>
      <c r="H592" s="242"/>
      <c r="I592" s="242"/>
      <c r="J592" s="242"/>
      <c r="K592" s="13"/>
      <c r="L592" s="242"/>
      <c r="M592" s="242"/>
      <c r="N592" s="13"/>
      <c r="O592" s="242"/>
      <c r="P592" s="242"/>
      <c r="Q592" s="242"/>
      <c r="R592" s="242"/>
      <c r="S592" s="242"/>
      <c r="T592" s="242"/>
      <c r="U592" s="242"/>
      <c r="V592" s="242"/>
      <c r="W592" s="242"/>
      <c r="X592" s="242"/>
      <c r="Y592" s="242"/>
      <c r="Z592" s="242"/>
    </row>
    <row r="593">
      <c r="A593" s="242"/>
      <c r="B593" s="443"/>
      <c r="C593" s="443"/>
      <c r="D593" s="443"/>
      <c r="E593" s="443"/>
      <c r="F593" s="443"/>
      <c r="G593" s="242"/>
      <c r="H593" s="242"/>
      <c r="I593" s="242"/>
      <c r="J593" s="242"/>
      <c r="K593" s="13"/>
      <c r="L593" s="242"/>
      <c r="M593" s="242"/>
      <c r="N593" s="13"/>
      <c r="O593" s="242"/>
      <c r="P593" s="242"/>
      <c r="Q593" s="242"/>
      <c r="R593" s="242"/>
      <c r="S593" s="242"/>
      <c r="T593" s="242"/>
      <c r="U593" s="242"/>
      <c r="V593" s="242"/>
      <c r="W593" s="242"/>
      <c r="X593" s="242"/>
      <c r="Y593" s="242"/>
      <c r="Z593" s="242"/>
    </row>
    <row r="594">
      <c r="A594" s="242"/>
      <c r="B594" s="443"/>
      <c r="C594" s="443"/>
      <c r="D594" s="443"/>
      <c r="E594" s="443"/>
      <c r="F594" s="443"/>
      <c r="G594" s="242"/>
      <c r="H594" s="242"/>
      <c r="I594" s="242"/>
      <c r="J594" s="242"/>
      <c r="K594" s="13"/>
      <c r="L594" s="242"/>
      <c r="M594" s="242"/>
      <c r="N594" s="13"/>
      <c r="O594" s="242"/>
      <c r="P594" s="242"/>
      <c r="Q594" s="242"/>
      <c r="R594" s="242"/>
      <c r="S594" s="242"/>
      <c r="T594" s="242"/>
      <c r="U594" s="242"/>
      <c r="V594" s="242"/>
      <c r="W594" s="242"/>
      <c r="X594" s="242"/>
      <c r="Y594" s="242"/>
      <c r="Z594" s="242"/>
    </row>
    <row r="595">
      <c r="A595" s="242"/>
      <c r="B595" s="443"/>
      <c r="C595" s="443"/>
      <c r="D595" s="443"/>
      <c r="E595" s="443"/>
      <c r="F595" s="443"/>
      <c r="G595" s="242"/>
      <c r="H595" s="242"/>
      <c r="I595" s="242"/>
      <c r="J595" s="242"/>
      <c r="K595" s="13"/>
      <c r="L595" s="242"/>
      <c r="M595" s="242"/>
      <c r="N595" s="13"/>
      <c r="O595" s="242"/>
      <c r="P595" s="242"/>
      <c r="Q595" s="242"/>
      <c r="R595" s="242"/>
      <c r="S595" s="242"/>
      <c r="T595" s="242"/>
      <c r="U595" s="242"/>
      <c r="V595" s="242"/>
      <c r="W595" s="242"/>
      <c r="X595" s="242"/>
      <c r="Y595" s="242"/>
      <c r="Z595" s="242"/>
    </row>
    <row r="596">
      <c r="A596" s="242"/>
      <c r="B596" s="443"/>
      <c r="C596" s="443"/>
      <c r="D596" s="443"/>
      <c r="E596" s="443"/>
      <c r="F596" s="443"/>
      <c r="G596" s="242"/>
      <c r="H596" s="242"/>
      <c r="I596" s="242"/>
      <c r="J596" s="242"/>
      <c r="K596" s="13"/>
      <c r="L596" s="242"/>
      <c r="M596" s="242"/>
      <c r="N596" s="13"/>
      <c r="O596" s="242"/>
      <c r="P596" s="242"/>
      <c r="Q596" s="242"/>
      <c r="R596" s="242"/>
      <c r="S596" s="242"/>
      <c r="T596" s="242"/>
      <c r="U596" s="242"/>
      <c r="V596" s="242"/>
      <c r="W596" s="242"/>
      <c r="X596" s="242"/>
      <c r="Y596" s="242"/>
      <c r="Z596" s="242"/>
    </row>
    <row r="597">
      <c r="A597" s="242"/>
      <c r="B597" s="443"/>
      <c r="C597" s="443"/>
      <c r="D597" s="443"/>
      <c r="E597" s="443"/>
      <c r="F597" s="443"/>
      <c r="G597" s="242"/>
      <c r="H597" s="242"/>
      <c r="I597" s="242"/>
      <c r="J597" s="242"/>
      <c r="K597" s="13"/>
      <c r="L597" s="242"/>
      <c r="M597" s="242"/>
      <c r="N597" s="13"/>
      <c r="O597" s="242"/>
      <c r="P597" s="242"/>
      <c r="Q597" s="242"/>
      <c r="R597" s="242"/>
      <c r="S597" s="242"/>
      <c r="T597" s="242"/>
      <c r="U597" s="242"/>
      <c r="V597" s="242"/>
      <c r="W597" s="242"/>
      <c r="X597" s="242"/>
      <c r="Y597" s="242"/>
      <c r="Z597" s="242"/>
    </row>
    <row r="598">
      <c r="A598" s="242"/>
      <c r="B598" s="443"/>
      <c r="C598" s="443"/>
      <c r="D598" s="443"/>
      <c r="E598" s="443"/>
      <c r="F598" s="443"/>
      <c r="G598" s="242"/>
      <c r="H598" s="242"/>
      <c r="I598" s="242"/>
      <c r="J598" s="242"/>
      <c r="K598" s="13"/>
      <c r="L598" s="242"/>
      <c r="M598" s="242"/>
      <c r="N598" s="13"/>
      <c r="O598" s="242"/>
      <c r="P598" s="242"/>
      <c r="Q598" s="242"/>
      <c r="R598" s="242"/>
      <c r="S598" s="242"/>
      <c r="T598" s="242"/>
      <c r="U598" s="242"/>
      <c r="V598" s="242"/>
      <c r="W598" s="242"/>
      <c r="X598" s="242"/>
      <c r="Y598" s="242"/>
      <c r="Z598" s="242"/>
    </row>
    <row r="599">
      <c r="A599" s="242"/>
      <c r="B599" s="443"/>
      <c r="C599" s="443"/>
      <c r="D599" s="443"/>
      <c r="E599" s="443"/>
      <c r="F599" s="443"/>
      <c r="G599" s="242"/>
      <c r="H599" s="242"/>
      <c r="I599" s="242"/>
      <c r="J599" s="242"/>
      <c r="K599" s="13"/>
      <c r="L599" s="242"/>
      <c r="M599" s="242"/>
      <c r="N599" s="13"/>
      <c r="O599" s="242"/>
      <c r="P599" s="242"/>
      <c r="Q599" s="242"/>
      <c r="R599" s="242"/>
      <c r="S599" s="242"/>
      <c r="T599" s="242"/>
      <c r="U599" s="242"/>
      <c r="V599" s="242"/>
      <c r="W599" s="242"/>
      <c r="X599" s="242"/>
      <c r="Y599" s="242"/>
      <c r="Z599" s="242"/>
    </row>
    <row r="600">
      <c r="A600" s="242"/>
      <c r="B600" s="443"/>
      <c r="C600" s="443"/>
      <c r="D600" s="443"/>
      <c r="E600" s="443"/>
      <c r="F600" s="443"/>
      <c r="G600" s="242"/>
      <c r="H600" s="242"/>
      <c r="I600" s="242"/>
      <c r="J600" s="242"/>
      <c r="K600" s="13"/>
      <c r="L600" s="242"/>
      <c r="M600" s="242"/>
      <c r="N600" s="13"/>
      <c r="O600" s="242"/>
      <c r="P600" s="242"/>
      <c r="Q600" s="242"/>
      <c r="R600" s="242"/>
      <c r="S600" s="242"/>
      <c r="T600" s="242"/>
      <c r="U600" s="242"/>
      <c r="V600" s="242"/>
      <c r="W600" s="242"/>
      <c r="X600" s="242"/>
      <c r="Y600" s="242"/>
      <c r="Z600" s="242"/>
    </row>
    <row r="601">
      <c r="A601" s="242"/>
      <c r="B601" s="443"/>
      <c r="C601" s="443"/>
      <c r="D601" s="443"/>
      <c r="E601" s="443"/>
      <c r="F601" s="443"/>
      <c r="G601" s="242"/>
      <c r="H601" s="242"/>
      <c r="I601" s="242"/>
      <c r="J601" s="242"/>
      <c r="K601" s="13"/>
      <c r="L601" s="242"/>
      <c r="M601" s="242"/>
      <c r="N601" s="13"/>
      <c r="O601" s="242"/>
      <c r="P601" s="242"/>
      <c r="Q601" s="242"/>
      <c r="R601" s="242"/>
      <c r="S601" s="242"/>
      <c r="T601" s="242"/>
      <c r="U601" s="242"/>
      <c r="V601" s="242"/>
      <c r="W601" s="242"/>
      <c r="X601" s="242"/>
      <c r="Y601" s="242"/>
      <c r="Z601" s="242"/>
    </row>
    <row r="602">
      <c r="A602" s="242"/>
      <c r="B602" s="443"/>
      <c r="C602" s="443"/>
      <c r="D602" s="443"/>
      <c r="E602" s="443"/>
      <c r="F602" s="443"/>
      <c r="G602" s="242"/>
      <c r="H602" s="242"/>
      <c r="I602" s="242"/>
      <c r="J602" s="242"/>
      <c r="K602" s="13"/>
      <c r="L602" s="242"/>
      <c r="M602" s="242"/>
      <c r="N602" s="13"/>
      <c r="O602" s="242"/>
      <c r="P602" s="242"/>
      <c r="Q602" s="242"/>
      <c r="R602" s="242"/>
      <c r="S602" s="242"/>
      <c r="T602" s="242"/>
      <c r="U602" s="242"/>
      <c r="V602" s="242"/>
      <c r="W602" s="242"/>
      <c r="X602" s="242"/>
      <c r="Y602" s="242"/>
      <c r="Z602" s="242"/>
    </row>
    <row r="603">
      <c r="A603" s="242"/>
      <c r="B603" s="443"/>
      <c r="C603" s="443"/>
      <c r="D603" s="443"/>
      <c r="E603" s="443"/>
      <c r="F603" s="443"/>
      <c r="G603" s="242"/>
      <c r="H603" s="242"/>
      <c r="I603" s="242"/>
      <c r="J603" s="242"/>
      <c r="K603" s="13"/>
      <c r="L603" s="242"/>
      <c r="M603" s="242"/>
      <c r="N603" s="13"/>
      <c r="O603" s="242"/>
      <c r="P603" s="242"/>
      <c r="Q603" s="242"/>
      <c r="R603" s="242"/>
      <c r="S603" s="242"/>
      <c r="T603" s="242"/>
      <c r="U603" s="242"/>
      <c r="V603" s="242"/>
      <c r="W603" s="242"/>
      <c r="X603" s="242"/>
      <c r="Y603" s="242"/>
      <c r="Z603" s="242"/>
    </row>
    <row r="604">
      <c r="A604" s="242"/>
      <c r="B604" s="443"/>
      <c r="C604" s="443"/>
      <c r="D604" s="443"/>
      <c r="E604" s="443"/>
      <c r="F604" s="443"/>
      <c r="G604" s="242"/>
      <c r="H604" s="242"/>
      <c r="I604" s="242"/>
      <c r="J604" s="242"/>
      <c r="K604" s="13"/>
      <c r="L604" s="242"/>
      <c r="M604" s="242"/>
      <c r="N604" s="13"/>
      <c r="O604" s="242"/>
      <c r="P604" s="242"/>
      <c r="Q604" s="242"/>
      <c r="R604" s="242"/>
      <c r="S604" s="242"/>
      <c r="T604" s="242"/>
      <c r="U604" s="242"/>
      <c r="V604" s="242"/>
      <c r="W604" s="242"/>
      <c r="X604" s="242"/>
      <c r="Y604" s="242"/>
      <c r="Z604" s="242"/>
    </row>
    <row r="605">
      <c r="A605" s="242"/>
      <c r="B605" s="443"/>
      <c r="C605" s="443"/>
      <c r="D605" s="443"/>
      <c r="E605" s="443"/>
      <c r="F605" s="443"/>
      <c r="G605" s="242"/>
      <c r="H605" s="242"/>
      <c r="I605" s="242"/>
      <c r="J605" s="242"/>
      <c r="K605" s="13"/>
      <c r="L605" s="242"/>
      <c r="M605" s="242"/>
      <c r="N605" s="13"/>
      <c r="O605" s="242"/>
      <c r="P605" s="242"/>
      <c r="Q605" s="242"/>
      <c r="R605" s="242"/>
      <c r="S605" s="242"/>
      <c r="T605" s="242"/>
      <c r="U605" s="242"/>
      <c r="V605" s="242"/>
      <c r="W605" s="242"/>
      <c r="X605" s="242"/>
      <c r="Y605" s="242"/>
      <c r="Z605" s="242"/>
    </row>
    <row r="606">
      <c r="A606" s="242"/>
      <c r="B606" s="443"/>
      <c r="C606" s="443"/>
      <c r="D606" s="443"/>
      <c r="E606" s="443"/>
      <c r="F606" s="443"/>
      <c r="G606" s="242"/>
      <c r="H606" s="242"/>
      <c r="I606" s="242"/>
      <c r="J606" s="242"/>
      <c r="K606" s="13"/>
      <c r="L606" s="242"/>
      <c r="M606" s="242"/>
      <c r="N606" s="13"/>
      <c r="O606" s="242"/>
      <c r="P606" s="242"/>
      <c r="Q606" s="242"/>
      <c r="R606" s="242"/>
      <c r="S606" s="242"/>
      <c r="T606" s="242"/>
      <c r="U606" s="242"/>
      <c r="V606" s="242"/>
      <c r="W606" s="242"/>
      <c r="X606" s="242"/>
      <c r="Y606" s="242"/>
      <c r="Z606" s="242"/>
    </row>
    <row r="607">
      <c r="A607" s="242"/>
      <c r="B607" s="443"/>
      <c r="C607" s="443"/>
      <c r="D607" s="443"/>
      <c r="E607" s="443"/>
      <c r="F607" s="443"/>
      <c r="G607" s="242"/>
      <c r="H607" s="242"/>
      <c r="I607" s="242"/>
      <c r="J607" s="242"/>
      <c r="K607" s="13"/>
      <c r="L607" s="242"/>
      <c r="M607" s="242"/>
      <c r="N607" s="13"/>
      <c r="O607" s="242"/>
      <c r="P607" s="242"/>
      <c r="Q607" s="242"/>
      <c r="R607" s="242"/>
      <c r="S607" s="242"/>
      <c r="T607" s="242"/>
      <c r="U607" s="242"/>
      <c r="V607" s="242"/>
      <c r="W607" s="242"/>
      <c r="X607" s="242"/>
      <c r="Y607" s="242"/>
      <c r="Z607" s="242"/>
    </row>
    <row r="608">
      <c r="A608" s="242"/>
      <c r="B608" s="443"/>
      <c r="C608" s="443"/>
      <c r="D608" s="443"/>
      <c r="E608" s="443"/>
      <c r="F608" s="443"/>
      <c r="G608" s="242"/>
      <c r="H608" s="242"/>
      <c r="I608" s="242"/>
      <c r="J608" s="242"/>
      <c r="K608" s="13"/>
      <c r="L608" s="242"/>
      <c r="M608" s="242"/>
      <c r="N608" s="13"/>
      <c r="O608" s="242"/>
      <c r="P608" s="242"/>
      <c r="Q608" s="242"/>
      <c r="R608" s="242"/>
      <c r="S608" s="242"/>
      <c r="T608" s="242"/>
      <c r="U608" s="242"/>
      <c r="V608" s="242"/>
      <c r="W608" s="242"/>
      <c r="X608" s="242"/>
      <c r="Y608" s="242"/>
      <c r="Z608" s="242"/>
    </row>
    <row r="609">
      <c r="A609" s="242"/>
      <c r="B609" s="443"/>
      <c r="C609" s="443"/>
      <c r="D609" s="443"/>
      <c r="E609" s="443"/>
      <c r="F609" s="443"/>
      <c r="G609" s="242"/>
      <c r="H609" s="242"/>
      <c r="I609" s="242"/>
      <c r="J609" s="242"/>
      <c r="K609" s="13"/>
      <c r="L609" s="242"/>
      <c r="M609" s="242"/>
      <c r="N609" s="13"/>
      <c r="O609" s="242"/>
      <c r="P609" s="242"/>
      <c r="Q609" s="242"/>
      <c r="R609" s="242"/>
      <c r="S609" s="242"/>
      <c r="T609" s="242"/>
      <c r="U609" s="242"/>
      <c r="V609" s="242"/>
      <c r="W609" s="242"/>
      <c r="X609" s="242"/>
      <c r="Y609" s="242"/>
      <c r="Z609" s="242"/>
    </row>
    <row r="610">
      <c r="A610" s="242"/>
      <c r="B610" s="443"/>
      <c r="C610" s="443"/>
      <c r="D610" s="443"/>
      <c r="E610" s="443"/>
      <c r="F610" s="443"/>
      <c r="G610" s="242"/>
      <c r="H610" s="242"/>
      <c r="I610" s="242"/>
      <c r="J610" s="242"/>
      <c r="K610" s="13"/>
      <c r="L610" s="242"/>
      <c r="M610" s="242"/>
      <c r="N610" s="13"/>
      <c r="O610" s="242"/>
      <c r="P610" s="242"/>
      <c r="Q610" s="242"/>
      <c r="R610" s="242"/>
      <c r="S610" s="242"/>
      <c r="T610" s="242"/>
      <c r="U610" s="242"/>
      <c r="V610" s="242"/>
      <c r="W610" s="242"/>
      <c r="X610" s="242"/>
      <c r="Y610" s="242"/>
      <c r="Z610" s="242"/>
    </row>
    <row r="611">
      <c r="A611" s="242"/>
      <c r="B611" s="443"/>
      <c r="C611" s="443"/>
      <c r="D611" s="443"/>
      <c r="E611" s="443"/>
      <c r="F611" s="443"/>
      <c r="G611" s="242"/>
      <c r="H611" s="242"/>
      <c r="I611" s="242"/>
      <c r="J611" s="242"/>
      <c r="K611" s="13"/>
      <c r="L611" s="242"/>
      <c r="M611" s="242"/>
      <c r="N611" s="13"/>
      <c r="O611" s="242"/>
      <c r="P611" s="242"/>
      <c r="Q611" s="242"/>
      <c r="R611" s="242"/>
      <c r="S611" s="242"/>
      <c r="T611" s="242"/>
      <c r="U611" s="242"/>
      <c r="V611" s="242"/>
      <c r="W611" s="242"/>
      <c r="X611" s="242"/>
      <c r="Y611" s="242"/>
      <c r="Z611" s="242"/>
    </row>
    <row r="612">
      <c r="A612" s="242"/>
      <c r="B612" s="443"/>
      <c r="C612" s="443"/>
      <c r="D612" s="443"/>
      <c r="E612" s="443"/>
      <c r="F612" s="443"/>
      <c r="G612" s="242"/>
      <c r="H612" s="242"/>
      <c r="I612" s="242"/>
      <c r="J612" s="242"/>
      <c r="K612" s="13"/>
      <c r="L612" s="242"/>
      <c r="M612" s="242"/>
      <c r="N612" s="13"/>
      <c r="O612" s="242"/>
      <c r="P612" s="242"/>
      <c r="Q612" s="242"/>
      <c r="R612" s="242"/>
      <c r="S612" s="242"/>
      <c r="T612" s="242"/>
      <c r="U612" s="242"/>
      <c r="V612" s="242"/>
      <c r="W612" s="242"/>
      <c r="X612" s="242"/>
      <c r="Y612" s="242"/>
      <c r="Z612" s="242"/>
    </row>
    <row r="613">
      <c r="A613" s="242"/>
      <c r="B613" s="443"/>
      <c r="C613" s="443"/>
      <c r="D613" s="443"/>
      <c r="E613" s="443"/>
      <c r="F613" s="443"/>
      <c r="G613" s="242"/>
      <c r="H613" s="242"/>
      <c r="I613" s="242"/>
      <c r="J613" s="242"/>
      <c r="K613" s="13"/>
      <c r="L613" s="242"/>
      <c r="M613" s="242"/>
      <c r="N613" s="13"/>
      <c r="O613" s="242"/>
      <c r="P613" s="242"/>
      <c r="Q613" s="242"/>
      <c r="R613" s="242"/>
      <c r="S613" s="242"/>
      <c r="T613" s="242"/>
      <c r="U613" s="242"/>
      <c r="V613" s="242"/>
      <c r="W613" s="242"/>
      <c r="X613" s="242"/>
      <c r="Y613" s="242"/>
      <c r="Z613" s="242"/>
    </row>
    <row r="614">
      <c r="A614" s="242"/>
      <c r="B614" s="443"/>
      <c r="C614" s="443"/>
      <c r="D614" s="443"/>
      <c r="E614" s="443"/>
      <c r="F614" s="443"/>
      <c r="G614" s="242"/>
      <c r="H614" s="242"/>
      <c r="I614" s="242"/>
      <c r="J614" s="242"/>
      <c r="K614" s="13"/>
      <c r="L614" s="242"/>
      <c r="M614" s="242"/>
      <c r="N614" s="13"/>
      <c r="O614" s="242"/>
      <c r="P614" s="242"/>
      <c r="Q614" s="242"/>
      <c r="R614" s="242"/>
      <c r="S614" s="242"/>
      <c r="T614" s="242"/>
      <c r="U614" s="242"/>
      <c r="V614" s="242"/>
      <c r="W614" s="242"/>
      <c r="X614" s="242"/>
      <c r="Y614" s="242"/>
      <c r="Z614" s="242"/>
    </row>
    <row r="615">
      <c r="A615" s="242"/>
      <c r="B615" s="443"/>
      <c r="C615" s="443"/>
      <c r="D615" s="443"/>
      <c r="E615" s="443"/>
      <c r="F615" s="443"/>
      <c r="G615" s="242"/>
      <c r="H615" s="242"/>
      <c r="I615" s="242"/>
      <c r="J615" s="242"/>
      <c r="K615" s="13"/>
      <c r="L615" s="242"/>
      <c r="M615" s="242"/>
      <c r="N615" s="13"/>
      <c r="O615" s="242"/>
      <c r="P615" s="242"/>
      <c r="Q615" s="242"/>
      <c r="R615" s="242"/>
      <c r="S615" s="242"/>
      <c r="T615" s="242"/>
      <c r="U615" s="242"/>
      <c r="V615" s="242"/>
      <c r="W615" s="242"/>
      <c r="X615" s="242"/>
      <c r="Y615" s="242"/>
      <c r="Z615" s="242"/>
    </row>
    <row r="616">
      <c r="A616" s="242"/>
      <c r="B616" s="443"/>
      <c r="C616" s="443"/>
      <c r="D616" s="443"/>
      <c r="E616" s="443"/>
      <c r="F616" s="443"/>
      <c r="G616" s="242"/>
      <c r="H616" s="242"/>
      <c r="I616" s="242"/>
      <c r="J616" s="242"/>
      <c r="K616" s="13"/>
      <c r="L616" s="242"/>
      <c r="M616" s="242"/>
      <c r="N616" s="13"/>
      <c r="O616" s="242"/>
      <c r="P616" s="242"/>
      <c r="Q616" s="242"/>
      <c r="R616" s="242"/>
      <c r="S616" s="242"/>
      <c r="T616" s="242"/>
      <c r="U616" s="242"/>
      <c r="V616" s="242"/>
      <c r="W616" s="242"/>
      <c r="X616" s="242"/>
      <c r="Y616" s="242"/>
      <c r="Z616" s="242"/>
    </row>
    <row r="617">
      <c r="A617" s="242"/>
      <c r="B617" s="443"/>
      <c r="C617" s="443"/>
      <c r="D617" s="443"/>
      <c r="E617" s="443"/>
      <c r="F617" s="443"/>
      <c r="G617" s="242"/>
      <c r="H617" s="242"/>
      <c r="I617" s="242"/>
      <c r="J617" s="242"/>
      <c r="K617" s="13"/>
      <c r="L617" s="242"/>
      <c r="M617" s="242"/>
      <c r="N617" s="13"/>
      <c r="O617" s="242"/>
      <c r="P617" s="242"/>
      <c r="Q617" s="242"/>
      <c r="R617" s="242"/>
      <c r="S617" s="242"/>
      <c r="T617" s="242"/>
      <c r="U617" s="242"/>
      <c r="V617" s="242"/>
      <c r="W617" s="242"/>
      <c r="X617" s="242"/>
      <c r="Y617" s="242"/>
      <c r="Z617" s="242"/>
    </row>
    <row r="618">
      <c r="A618" s="242"/>
      <c r="B618" s="443"/>
      <c r="C618" s="443"/>
      <c r="D618" s="443"/>
      <c r="E618" s="443"/>
      <c r="F618" s="443"/>
      <c r="G618" s="242"/>
      <c r="H618" s="242"/>
      <c r="I618" s="242"/>
      <c r="J618" s="242"/>
      <c r="K618" s="13"/>
      <c r="L618" s="242"/>
      <c r="M618" s="242"/>
      <c r="N618" s="13"/>
      <c r="O618" s="242"/>
      <c r="P618" s="242"/>
      <c r="Q618" s="242"/>
      <c r="R618" s="242"/>
      <c r="S618" s="242"/>
      <c r="T618" s="242"/>
      <c r="U618" s="242"/>
      <c r="V618" s="242"/>
      <c r="W618" s="242"/>
      <c r="X618" s="242"/>
      <c r="Y618" s="242"/>
      <c r="Z618" s="242"/>
    </row>
    <row r="619">
      <c r="A619" s="242"/>
      <c r="B619" s="443"/>
      <c r="C619" s="443"/>
      <c r="D619" s="443"/>
      <c r="E619" s="443"/>
      <c r="F619" s="443"/>
      <c r="G619" s="242"/>
      <c r="H619" s="242"/>
      <c r="I619" s="242"/>
      <c r="J619" s="242"/>
      <c r="K619" s="13"/>
      <c r="L619" s="242"/>
      <c r="M619" s="242"/>
      <c r="N619" s="13"/>
      <c r="O619" s="242"/>
      <c r="P619" s="242"/>
      <c r="Q619" s="242"/>
      <c r="R619" s="242"/>
      <c r="S619" s="242"/>
      <c r="T619" s="242"/>
      <c r="U619" s="242"/>
      <c r="V619" s="242"/>
      <c r="W619" s="242"/>
      <c r="X619" s="242"/>
      <c r="Y619" s="242"/>
      <c r="Z619" s="242"/>
    </row>
    <row r="620">
      <c r="A620" s="242"/>
      <c r="B620" s="443"/>
      <c r="C620" s="443"/>
      <c r="D620" s="443"/>
      <c r="E620" s="443"/>
      <c r="F620" s="443"/>
      <c r="G620" s="242"/>
      <c r="H620" s="242"/>
      <c r="I620" s="242"/>
      <c r="J620" s="242"/>
      <c r="K620" s="13"/>
      <c r="L620" s="242"/>
      <c r="M620" s="242"/>
      <c r="N620" s="13"/>
      <c r="O620" s="242"/>
      <c r="P620" s="242"/>
      <c r="Q620" s="242"/>
      <c r="R620" s="242"/>
      <c r="S620" s="242"/>
      <c r="T620" s="242"/>
      <c r="U620" s="242"/>
      <c r="V620" s="242"/>
      <c r="W620" s="242"/>
      <c r="X620" s="242"/>
      <c r="Y620" s="242"/>
      <c r="Z620" s="242"/>
    </row>
    <row r="621">
      <c r="A621" s="242"/>
      <c r="B621" s="443"/>
      <c r="C621" s="443"/>
      <c r="D621" s="443"/>
      <c r="E621" s="443"/>
      <c r="F621" s="443"/>
      <c r="G621" s="242"/>
      <c r="H621" s="242"/>
      <c r="I621" s="242"/>
      <c r="J621" s="242"/>
      <c r="K621" s="13"/>
      <c r="L621" s="242"/>
      <c r="M621" s="242"/>
      <c r="N621" s="13"/>
      <c r="O621" s="242"/>
      <c r="P621" s="242"/>
      <c r="Q621" s="242"/>
      <c r="R621" s="242"/>
      <c r="S621" s="242"/>
      <c r="T621" s="242"/>
      <c r="U621" s="242"/>
      <c r="V621" s="242"/>
      <c r="W621" s="242"/>
      <c r="X621" s="242"/>
      <c r="Y621" s="242"/>
      <c r="Z621" s="242"/>
    </row>
    <row r="622">
      <c r="A622" s="242"/>
      <c r="B622" s="443"/>
      <c r="C622" s="443"/>
      <c r="D622" s="443"/>
      <c r="E622" s="443"/>
      <c r="F622" s="443"/>
      <c r="G622" s="242"/>
      <c r="H622" s="242"/>
      <c r="I622" s="242"/>
      <c r="J622" s="242"/>
      <c r="K622" s="13"/>
      <c r="L622" s="242"/>
      <c r="M622" s="242"/>
      <c r="N622" s="13"/>
      <c r="O622" s="242"/>
      <c r="P622" s="242"/>
      <c r="Q622" s="242"/>
      <c r="R622" s="242"/>
      <c r="S622" s="242"/>
      <c r="T622" s="242"/>
      <c r="U622" s="242"/>
      <c r="V622" s="242"/>
      <c r="W622" s="242"/>
      <c r="X622" s="242"/>
      <c r="Y622" s="242"/>
      <c r="Z622" s="242"/>
    </row>
    <row r="623">
      <c r="A623" s="242"/>
      <c r="B623" s="443"/>
      <c r="C623" s="443"/>
      <c r="D623" s="443"/>
      <c r="E623" s="443"/>
      <c r="F623" s="443"/>
      <c r="G623" s="242"/>
      <c r="H623" s="242"/>
      <c r="I623" s="242"/>
      <c r="J623" s="242"/>
      <c r="K623" s="13"/>
      <c r="L623" s="242"/>
      <c r="M623" s="242"/>
      <c r="N623" s="13"/>
      <c r="O623" s="242"/>
      <c r="P623" s="242"/>
      <c r="Q623" s="242"/>
      <c r="R623" s="242"/>
      <c r="S623" s="242"/>
      <c r="T623" s="242"/>
      <c r="U623" s="242"/>
      <c r="V623" s="242"/>
      <c r="W623" s="242"/>
      <c r="X623" s="242"/>
      <c r="Y623" s="242"/>
      <c r="Z623" s="242"/>
    </row>
    <row r="624">
      <c r="A624" s="242"/>
      <c r="B624" s="443"/>
      <c r="C624" s="443"/>
      <c r="D624" s="443"/>
      <c r="E624" s="443"/>
      <c r="F624" s="443"/>
      <c r="G624" s="242"/>
      <c r="H624" s="242"/>
      <c r="I624" s="242"/>
      <c r="J624" s="242"/>
      <c r="K624" s="13"/>
      <c r="L624" s="242"/>
      <c r="M624" s="242"/>
      <c r="N624" s="13"/>
      <c r="O624" s="242"/>
      <c r="P624" s="242"/>
      <c r="Q624" s="242"/>
      <c r="R624" s="242"/>
      <c r="S624" s="242"/>
      <c r="T624" s="242"/>
      <c r="U624" s="242"/>
      <c r="V624" s="242"/>
      <c r="W624" s="242"/>
      <c r="X624" s="242"/>
      <c r="Y624" s="242"/>
      <c r="Z624" s="242"/>
    </row>
    <row r="625">
      <c r="A625" s="242"/>
      <c r="B625" s="443"/>
      <c r="C625" s="443"/>
      <c r="D625" s="443"/>
      <c r="E625" s="443"/>
      <c r="F625" s="443"/>
      <c r="G625" s="242"/>
      <c r="H625" s="242"/>
      <c r="I625" s="242"/>
      <c r="J625" s="242"/>
      <c r="K625" s="13"/>
      <c r="L625" s="242"/>
      <c r="M625" s="242"/>
      <c r="N625" s="13"/>
      <c r="O625" s="242"/>
      <c r="P625" s="242"/>
      <c r="Q625" s="242"/>
      <c r="R625" s="242"/>
      <c r="S625" s="242"/>
      <c r="T625" s="242"/>
      <c r="U625" s="242"/>
      <c r="V625" s="242"/>
      <c r="W625" s="242"/>
      <c r="X625" s="242"/>
      <c r="Y625" s="242"/>
      <c r="Z625" s="242"/>
    </row>
    <row r="626">
      <c r="A626" s="242"/>
      <c r="B626" s="443"/>
      <c r="C626" s="443"/>
      <c r="D626" s="443"/>
      <c r="E626" s="443"/>
      <c r="F626" s="443"/>
      <c r="G626" s="242"/>
      <c r="H626" s="242"/>
      <c r="I626" s="242"/>
      <c r="J626" s="242"/>
      <c r="K626" s="13"/>
      <c r="L626" s="242"/>
      <c r="M626" s="242"/>
      <c r="N626" s="13"/>
      <c r="O626" s="242"/>
      <c r="P626" s="242"/>
      <c r="Q626" s="242"/>
      <c r="R626" s="242"/>
      <c r="S626" s="242"/>
      <c r="T626" s="242"/>
      <c r="U626" s="242"/>
      <c r="V626" s="242"/>
      <c r="W626" s="242"/>
      <c r="X626" s="242"/>
      <c r="Y626" s="242"/>
      <c r="Z626" s="242"/>
    </row>
    <row r="627">
      <c r="A627" s="242"/>
      <c r="B627" s="443"/>
      <c r="C627" s="443"/>
      <c r="D627" s="443"/>
      <c r="E627" s="443"/>
      <c r="F627" s="443"/>
      <c r="G627" s="242"/>
      <c r="H627" s="242"/>
      <c r="I627" s="242"/>
      <c r="J627" s="242"/>
      <c r="K627" s="13"/>
      <c r="L627" s="242"/>
      <c r="M627" s="242"/>
      <c r="N627" s="13"/>
      <c r="O627" s="242"/>
      <c r="P627" s="242"/>
      <c r="Q627" s="242"/>
      <c r="R627" s="242"/>
      <c r="S627" s="242"/>
      <c r="T627" s="242"/>
      <c r="U627" s="242"/>
      <c r="V627" s="242"/>
      <c r="W627" s="242"/>
      <c r="X627" s="242"/>
      <c r="Y627" s="242"/>
      <c r="Z627" s="242"/>
    </row>
    <row r="628">
      <c r="A628" s="242"/>
      <c r="B628" s="443"/>
      <c r="C628" s="443"/>
      <c r="D628" s="443"/>
      <c r="E628" s="443"/>
      <c r="F628" s="443"/>
      <c r="G628" s="242"/>
      <c r="H628" s="242"/>
      <c r="I628" s="242"/>
      <c r="J628" s="242"/>
      <c r="K628" s="13"/>
      <c r="L628" s="242"/>
      <c r="M628" s="242"/>
      <c r="N628" s="13"/>
      <c r="O628" s="242"/>
      <c r="P628" s="242"/>
      <c r="Q628" s="242"/>
      <c r="R628" s="242"/>
      <c r="S628" s="242"/>
      <c r="T628" s="242"/>
      <c r="U628" s="242"/>
      <c r="V628" s="242"/>
      <c r="W628" s="242"/>
      <c r="X628" s="242"/>
      <c r="Y628" s="242"/>
      <c r="Z628" s="242"/>
    </row>
    <row r="629">
      <c r="A629" s="242"/>
      <c r="B629" s="443"/>
      <c r="C629" s="443"/>
      <c r="D629" s="443"/>
      <c r="E629" s="443"/>
      <c r="F629" s="443"/>
      <c r="G629" s="242"/>
      <c r="H629" s="242"/>
      <c r="I629" s="242"/>
      <c r="J629" s="242"/>
      <c r="K629" s="13"/>
      <c r="L629" s="242"/>
      <c r="M629" s="242"/>
      <c r="N629" s="13"/>
      <c r="O629" s="242"/>
      <c r="P629" s="242"/>
      <c r="Q629" s="242"/>
      <c r="R629" s="242"/>
      <c r="S629" s="242"/>
      <c r="T629" s="242"/>
      <c r="U629" s="242"/>
      <c r="V629" s="242"/>
      <c r="W629" s="242"/>
      <c r="X629" s="242"/>
      <c r="Y629" s="242"/>
      <c r="Z629" s="242"/>
    </row>
    <row r="630">
      <c r="A630" s="242"/>
      <c r="B630" s="443"/>
      <c r="C630" s="443"/>
      <c r="D630" s="443"/>
      <c r="E630" s="443"/>
      <c r="F630" s="443"/>
      <c r="G630" s="242"/>
      <c r="H630" s="242"/>
      <c r="I630" s="242"/>
      <c r="J630" s="242"/>
      <c r="K630" s="13"/>
      <c r="L630" s="242"/>
      <c r="M630" s="242"/>
      <c r="N630" s="13"/>
      <c r="O630" s="242"/>
      <c r="P630" s="242"/>
      <c r="Q630" s="242"/>
      <c r="R630" s="242"/>
      <c r="S630" s="242"/>
      <c r="T630" s="242"/>
      <c r="U630" s="242"/>
      <c r="V630" s="242"/>
      <c r="W630" s="242"/>
      <c r="X630" s="242"/>
      <c r="Y630" s="242"/>
      <c r="Z630" s="242"/>
    </row>
    <row r="631">
      <c r="A631" s="242"/>
      <c r="B631" s="443"/>
      <c r="C631" s="443"/>
      <c r="D631" s="443"/>
      <c r="E631" s="443"/>
      <c r="F631" s="443"/>
      <c r="G631" s="242"/>
      <c r="H631" s="242"/>
      <c r="I631" s="242"/>
      <c r="J631" s="242"/>
      <c r="K631" s="13"/>
      <c r="L631" s="242"/>
      <c r="M631" s="242"/>
      <c r="N631" s="13"/>
      <c r="O631" s="242"/>
      <c r="P631" s="242"/>
      <c r="Q631" s="242"/>
      <c r="R631" s="242"/>
      <c r="S631" s="242"/>
      <c r="T631" s="242"/>
      <c r="U631" s="242"/>
      <c r="V631" s="242"/>
      <c r="W631" s="242"/>
      <c r="X631" s="242"/>
      <c r="Y631" s="242"/>
      <c r="Z631" s="242"/>
    </row>
    <row r="632">
      <c r="A632" s="242"/>
      <c r="B632" s="443"/>
      <c r="C632" s="443"/>
      <c r="D632" s="443"/>
      <c r="E632" s="443"/>
      <c r="F632" s="443"/>
      <c r="G632" s="242"/>
      <c r="H632" s="242"/>
      <c r="I632" s="242"/>
      <c r="J632" s="242"/>
      <c r="K632" s="13"/>
      <c r="L632" s="242"/>
      <c r="M632" s="242"/>
      <c r="N632" s="13"/>
      <c r="O632" s="242"/>
      <c r="P632" s="242"/>
      <c r="Q632" s="242"/>
      <c r="R632" s="242"/>
      <c r="S632" s="242"/>
      <c r="T632" s="242"/>
      <c r="U632" s="242"/>
      <c r="V632" s="242"/>
      <c r="W632" s="242"/>
      <c r="X632" s="242"/>
      <c r="Y632" s="242"/>
      <c r="Z632" s="242"/>
    </row>
    <row r="633">
      <c r="A633" s="242"/>
      <c r="B633" s="443"/>
      <c r="C633" s="443"/>
      <c r="D633" s="443"/>
      <c r="E633" s="443"/>
      <c r="F633" s="443"/>
      <c r="G633" s="242"/>
      <c r="H633" s="242"/>
      <c r="I633" s="242"/>
      <c r="J633" s="242"/>
      <c r="K633" s="13"/>
      <c r="L633" s="242"/>
      <c r="M633" s="242"/>
      <c r="N633" s="13"/>
      <c r="O633" s="242"/>
      <c r="P633" s="242"/>
      <c r="Q633" s="242"/>
      <c r="R633" s="242"/>
      <c r="S633" s="242"/>
      <c r="T633" s="242"/>
      <c r="U633" s="242"/>
      <c r="V633" s="242"/>
      <c r="W633" s="242"/>
      <c r="X633" s="242"/>
      <c r="Y633" s="242"/>
      <c r="Z633" s="242"/>
    </row>
    <row r="634">
      <c r="A634" s="242"/>
      <c r="B634" s="443"/>
      <c r="C634" s="443"/>
      <c r="D634" s="443"/>
      <c r="E634" s="443"/>
      <c r="F634" s="443"/>
      <c r="G634" s="242"/>
      <c r="H634" s="242"/>
      <c r="I634" s="242"/>
      <c r="J634" s="242"/>
      <c r="K634" s="13"/>
      <c r="L634" s="242"/>
      <c r="M634" s="242"/>
      <c r="N634" s="13"/>
      <c r="O634" s="242"/>
      <c r="P634" s="242"/>
      <c r="Q634" s="242"/>
      <c r="R634" s="242"/>
      <c r="S634" s="242"/>
      <c r="T634" s="242"/>
      <c r="U634" s="242"/>
      <c r="V634" s="242"/>
      <c r="W634" s="242"/>
      <c r="X634" s="242"/>
      <c r="Y634" s="242"/>
      <c r="Z634" s="242"/>
    </row>
    <row r="635">
      <c r="A635" s="242"/>
      <c r="B635" s="443"/>
      <c r="C635" s="443"/>
      <c r="D635" s="443"/>
      <c r="E635" s="443"/>
      <c r="F635" s="443"/>
      <c r="G635" s="242"/>
      <c r="H635" s="242"/>
      <c r="I635" s="242"/>
      <c r="J635" s="242"/>
      <c r="K635" s="13"/>
      <c r="L635" s="242"/>
      <c r="M635" s="242"/>
      <c r="N635" s="13"/>
      <c r="O635" s="242"/>
      <c r="P635" s="242"/>
      <c r="Q635" s="242"/>
      <c r="R635" s="242"/>
      <c r="S635" s="242"/>
      <c r="T635" s="242"/>
      <c r="U635" s="242"/>
      <c r="V635" s="242"/>
      <c r="W635" s="242"/>
      <c r="X635" s="242"/>
      <c r="Y635" s="242"/>
      <c r="Z635" s="242"/>
    </row>
    <row r="636">
      <c r="A636" s="242"/>
      <c r="B636" s="443"/>
      <c r="C636" s="443"/>
      <c r="D636" s="443"/>
      <c r="E636" s="443"/>
      <c r="F636" s="443"/>
      <c r="G636" s="242"/>
      <c r="H636" s="242"/>
      <c r="I636" s="242"/>
      <c r="J636" s="242"/>
      <c r="K636" s="13"/>
      <c r="L636" s="242"/>
      <c r="M636" s="242"/>
      <c r="N636" s="13"/>
      <c r="O636" s="242"/>
      <c r="P636" s="242"/>
      <c r="Q636" s="242"/>
      <c r="R636" s="242"/>
      <c r="S636" s="242"/>
      <c r="T636" s="242"/>
      <c r="U636" s="242"/>
      <c r="V636" s="242"/>
      <c r="W636" s="242"/>
      <c r="X636" s="242"/>
      <c r="Y636" s="242"/>
      <c r="Z636" s="242"/>
    </row>
    <row r="637">
      <c r="A637" s="242"/>
      <c r="B637" s="443"/>
      <c r="C637" s="443"/>
      <c r="D637" s="443"/>
      <c r="E637" s="443"/>
      <c r="F637" s="443"/>
      <c r="G637" s="242"/>
      <c r="H637" s="242"/>
      <c r="I637" s="242"/>
      <c r="J637" s="242"/>
      <c r="K637" s="13"/>
      <c r="L637" s="242"/>
      <c r="M637" s="242"/>
      <c r="N637" s="13"/>
      <c r="O637" s="242"/>
      <c r="P637" s="242"/>
      <c r="Q637" s="242"/>
      <c r="R637" s="242"/>
      <c r="S637" s="242"/>
      <c r="T637" s="242"/>
      <c r="U637" s="242"/>
      <c r="V637" s="242"/>
      <c r="W637" s="242"/>
      <c r="X637" s="242"/>
      <c r="Y637" s="242"/>
      <c r="Z637" s="242"/>
    </row>
    <row r="638">
      <c r="A638" s="242"/>
      <c r="B638" s="443"/>
      <c r="C638" s="443"/>
      <c r="D638" s="443"/>
      <c r="E638" s="443"/>
      <c r="F638" s="443"/>
      <c r="G638" s="242"/>
      <c r="H638" s="242"/>
      <c r="I638" s="242"/>
      <c r="J638" s="242"/>
      <c r="K638" s="13"/>
      <c r="L638" s="242"/>
      <c r="M638" s="242"/>
      <c r="N638" s="13"/>
      <c r="O638" s="242"/>
      <c r="P638" s="242"/>
      <c r="Q638" s="242"/>
      <c r="R638" s="242"/>
      <c r="S638" s="242"/>
      <c r="T638" s="242"/>
      <c r="U638" s="242"/>
      <c r="V638" s="242"/>
      <c r="W638" s="242"/>
      <c r="X638" s="242"/>
      <c r="Y638" s="242"/>
      <c r="Z638" s="242"/>
    </row>
    <row r="639">
      <c r="A639" s="242"/>
      <c r="B639" s="443"/>
      <c r="C639" s="443"/>
      <c r="D639" s="443"/>
      <c r="E639" s="443"/>
      <c r="F639" s="443"/>
      <c r="G639" s="242"/>
      <c r="H639" s="242"/>
      <c r="I639" s="242"/>
      <c r="J639" s="242"/>
      <c r="K639" s="13"/>
      <c r="L639" s="242"/>
      <c r="M639" s="242"/>
      <c r="N639" s="13"/>
      <c r="O639" s="242"/>
      <c r="P639" s="242"/>
      <c r="Q639" s="242"/>
      <c r="R639" s="242"/>
      <c r="S639" s="242"/>
      <c r="T639" s="242"/>
      <c r="U639" s="242"/>
      <c r="V639" s="242"/>
      <c r="W639" s="242"/>
      <c r="X639" s="242"/>
      <c r="Y639" s="242"/>
      <c r="Z639" s="242"/>
    </row>
    <row r="640">
      <c r="A640" s="242"/>
      <c r="B640" s="443"/>
      <c r="C640" s="443"/>
      <c r="D640" s="443"/>
      <c r="E640" s="443"/>
      <c r="F640" s="443"/>
      <c r="G640" s="242"/>
      <c r="H640" s="242"/>
      <c r="I640" s="242"/>
      <c r="J640" s="242"/>
      <c r="K640" s="13"/>
      <c r="L640" s="242"/>
      <c r="M640" s="242"/>
      <c r="N640" s="13"/>
      <c r="O640" s="242"/>
      <c r="P640" s="242"/>
      <c r="Q640" s="242"/>
      <c r="R640" s="242"/>
      <c r="S640" s="242"/>
      <c r="T640" s="242"/>
      <c r="U640" s="242"/>
      <c r="V640" s="242"/>
      <c r="W640" s="242"/>
      <c r="X640" s="242"/>
      <c r="Y640" s="242"/>
      <c r="Z640" s="242"/>
    </row>
    <row r="641">
      <c r="A641" s="242"/>
      <c r="B641" s="443"/>
      <c r="C641" s="443"/>
      <c r="D641" s="443"/>
      <c r="E641" s="443"/>
      <c r="F641" s="443"/>
      <c r="G641" s="242"/>
      <c r="H641" s="242"/>
      <c r="I641" s="242"/>
      <c r="J641" s="242"/>
      <c r="K641" s="13"/>
      <c r="L641" s="242"/>
      <c r="M641" s="242"/>
      <c r="N641" s="13"/>
      <c r="O641" s="242"/>
      <c r="P641" s="242"/>
      <c r="Q641" s="242"/>
      <c r="R641" s="242"/>
      <c r="S641" s="242"/>
      <c r="T641" s="242"/>
      <c r="U641" s="242"/>
      <c r="V641" s="242"/>
      <c r="W641" s="242"/>
      <c r="X641" s="242"/>
      <c r="Y641" s="242"/>
      <c r="Z641" s="242"/>
    </row>
    <row r="642">
      <c r="A642" s="242"/>
      <c r="B642" s="443"/>
      <c r="C642" s="443"/>
      <c r="D642" s="443"/>
      <c r="E642" s="443"/>
      <c r="F642" s="443"/>
      <c r="G642" s="242"/>
      <c r="H642" s="242"/>
      <c r="I642" s="242"/>
      <c r="J642" s="242"/>
      <c r="K642" s="13"/>
      <c r="L642" s="242"/>
      <c r="M642" s="242"/>
      <c r="N642" s="13"/>
      <c r="O642" s="242"/>
      <c r="P642" s="242"/>
      <c r="Q642" s="242"/>
      <c r="R642" s="242"/>
      <c r="S642" s="242"/>
      <c r="T642" s="242"/>
      <c r="U642" s="242"/>
      <c r="V642" s="242"/>
      <c r="W642" s="242"/>
      <c r="X642" s="242"/>
      <c r="Y642" s="242"/>
      <c r="Z642" s="242"/>
    </row>
    <row r="643">
      <c r="A643" s="242"/>
      <c r="B643" s="443"/>
      <c r="C643" s="443"/>
      <c r="D643" s="443"/>
      <c r="E643" s="443"/>
      <c r="F643" s="443"/>
      <c r="G643" s="242"/>
      <c r="H643" s="242"/>
      <c r="I643" s="242"/>
      <c r="J643" s="242"/>
      <c r="K643" s="13"/>
      <c r="L643" s="242"/>
      <c r="M643" s="242"/>
      <c r="N643" s="13"/>
      <c r="O643" s="242"/>
      <c r="P643" s="242"/>
      <c r="Q643" s="242"/>
      <c r="R643" s="242"/>
      <c r="S643" s="242"/>
      <c r="T643" s="242"/>
      <c r="U643" s="242"/>
      <c r="V643" s="242"/>
      <c r="W643" s="242"/>
      <c r="X643" s="242"/>
      <c r="Y643" s="242"/>
      <c r="Z643" s="242"/>
    </row>
    <row r="644">
      <c r="A644" s="242"/>
      <c r="B644" s="443"/>
      <c r="C644" s="443"/>
      <c r="D644" s="443"/>
      <c r="E644" s="443"/>
      <c r="F644" s="443"/>
      <c r="G644" s="242"/>
      <c r="H644" s="242"/>
      <c r="I644" s="242"/>
      <c r="J644" s="242"/>
      <c r="K644" s="13"/>
      <c r="L644" s="242"/>
      <c r="M644" s="242"/>
      <c r="N644" s="13"/>
      <c r="O644" s="242"/>
      <c r="P644" s="242"/>
      <c r="Q644" s="242"/>
      <c r="R644" s="242"/>
      <c r="S644" s="242"/>
      <c r="T644" s="242"/>
      <c r="U644" s="242"/>
      <c r="V644" s="242"/>
      <c r="W644" s="242"/>
      <c r="X644" s="242"/>
      <c r="Y644" s="242"/>
      <c r="Z644" s="242"/>
    </row>
    <row r="645">
      <c r="A645" s="242"/>
      <c r="B645" s="443"/>
      <c r="C645" s="443"/>
      <c r="D645" s="443"/>
      <c r="E645" s="443"/>
      <c r="F645" s="443"/>
      <c r="G645" s="242"/>
      <c r="H645" s="242"/>
      <c r="I645" s="242"/>
      <c r="J645" s="242"/>
      <c r="K645" s="13"/>
      <c r="L645" s="242"/>
      <c r="M645" s="242"/>
      <c r="N645" s="13"/>
      <c r="O645" s="242"/>
      <c r="P645" s="242"/>
      <c r="Q645" s="242"/>
      <c r="R645" s="242"/>
      <c r="S645" s="242"/>
      <c r="T645" s="242"/>
      <c r="U645" s="242"/>
      <c r="V645" s="242"/>
      <c r="W645" s="242"/>
      <c r="X645" s="242"/>
      <c r="Y645" s="242"/>
      <c r="Z645" s="242"/>
    </row>
    <row r="646">
      <c r="A646" s="242"/>
      <c r="B646" s="443"/>
      <c r="C646" s="443"/>
      <c r="D646" s="443"/>
      <c r="E646" s="443"/>
      <c r="F646" s="443"/>
      <c r="G646" s="242"/>
      <c r="H646" s="242"/>
      <c r="I646" s="242"/>
      <c r="J646" s="242"/>
      <c r="K646" s="13"/>
      <c r="L646" s="242"/>
      <c r="M646" s="242"/>
      <c r="N646" s="13"/>
      <c r="O646" s="242"/>
      <c r="P646" s="242"/>
      <c r="Q646" s="242"/>
      <c r="R646" s="242"/>
      <c r="S646" s="242"/>
      <c r="T646" s="242"/>
      <c r="U646" s="242"/>
      <c r="V646" s="242"/>
      <c r="W646" s="242"/>
      <c r="X646" s="242"/>
      <c r="Y646" s="242"/>
      <c r="Z646" s="242"/>
    </row>
    <row r="647">
      <c r="A647" s="242"/>
      <c r="B647" s="443"/>
      <c r="C647" s="443"/>
      <c r="D647" s="443"/>
      <c r="E647" s="443"/>
      <c r="F647" s="443"/>
      <c r="G647" s="242"/>
      <c r="H647" s="242"/>
      <c r="I647" s="242"/>
      <c r="J647" s="242"/>
      <c r="K647" s="13"/>
      <c r="L647" s="242"/>
      <c r="M647" s="242"/>
      <c r="N647" s="13"/>
      <c r="O647" s="242"/>
      <c r="P647" s="242"/>
      <c r="Q647" s="242"/>
      <c r="R647" s="242"/>
      <c r="S647" s="242"/>
      <c r="T647" s="242"/>
      <c r="U647" s="242"/>
      <c r="V647" s="242"/>
      <c r="W647" s="242"/>
      <c r="X647" s="242"/>
      <c r="Y647" s="242"/>
      <c r="Z647" s="242"/>
    </row>
    <row r="648">
      <c r="A648" s="242"/>
      <c r="B648" s="443"/>
      <c r="C648" s="443"/>
      <c r="D648" s="443"/>
      <c r="E648" s="443"/>
      <c r="F648" s="443"/>
      <c r="G648" s="242"/>
      <c r="H648" s="242"/>
      <c r="I648" s="242"/>
      <c r="J648" s="242"/>
      <c r="K648" s="13"/>
      <c r="L648" s="242"/>
      <c r="M648" s="242"/>
      <c r="N648" s="13"/>
      <c r="O648" s="242"/>
      <c r="P648" s="242"/>
      <c r="Q648" s="242"/>
      <c r="R648" s="242"/>
      <c r="S648" s="242"/>
      <c r="T648" s="242"/>
      <c r="U648" s="242"/>
      <c r="V648" s="242"/>
      <c r="W648" s="242"/>
      <c r="X648" s="242"/>
      <c r="Y648" s="242"/>
      <c r="Z648" s="242"/>
    </row>
    <row r="649">
      <c r="A649" s="242"/>
      <c r="B649" s="443"/>
      <c r="C649" s="443"/>
      <c r="D649" s="443"/>
      <c r="E649" s="443"/>
      <c r="F649" s="443"/>
      <c r="G649" s="242"/>
      <c r="H649" s="242"/>
      <c r="I649" s="242"/>
      <c r="J649" s="242"/>
      <c r="K649" s="13"/>
      <c r="L649" s="242"/>
      <c r="M649" s="242"/>
      <c r="N649" s="13"/>
      <c r="O649" s="242"/>
      <c r="P649" s="242"/>
      <c r="Q649" s="242"/>
      <c r="R649" s="242"/>
      <c r="S649" s="242"/>
      <c r="T649" s="242"/>
      <c r="U649" s="242"/>
      <c r="V649" s="242"/>
      <c r="W649" s="242"/>
      <c r="X649" s="242"/>
      <c r="Y649" s="242"/>
      <c r="Z649" s="242"/>
    </row>
    <row r="650">
      <c r="A650" s="242"/>
      <c r="B650" s="443"/>
      <c r="C650" s="443"/>
      <c r="D650" s="443"/>
      <c r="E650" s="443"/>
      <c r="F650" s="443"/>
      <c r="G650" s="242"/>
      <c r="H650" s="242"/>
      <c r="I650" s="242"/>
      <c r="J650" s="242"/>
      <c r="K650" s="13"/>
      <c r="L650" s="242"/>
      <c r="M650" s="242"/>
      <c r="N650" s="13"/>
      <c r="O650" s="242"/>
      <c r="P650" s="242"/>
      <c r="Q650" s="242"/>
      <c r="R650" s="242"/>
      <c r="S650" s="242"/>
      <c r="T650" s="242"/>
      <c r="U650" s="242"/>
      <c r="V650" s="242"/>
      <c r="W650" s="242"/>
      <c r="X650" s="242"/>
      <c r="Y650" s="242"/>
      <c r="Z650" s="242"/>
    </row>
    <row r="651">
      <c r="A651" s="242"/>
      <c r="B651" s="443"/>
      <c r="C651" s="443"/>
      <c r="D651" s="443"/>
      <c r="E651" s="443"/>
      <c r="F651" s="443"/>
      <c r="G651" s="242"/>
      <c r="H651" s="242"/>
      <c r="I651" s="242"/>
      <c r="J651" s="242"/>
      <c r="K651" s="13"/>
      <c r="L651" s="242"/>
      <c r="M651" s="242"/>
      <c r="N651" s="13"/>
      <c r="O651" s="242"/>
      <c r="P651" s="242"/>
      <c r="Q651" s="242"/>
      <c r="R651" s="242"/>
      <c r="S651" s="242"/>
      <c r="T651" s="242"/>
      <c r="U651" s="242"/>
      <c r="V651" s="242"/>
      <c r="W651" s="242"/>
      <c r="X651" s="242"/>
      <c r="Y651" s="242"/>
      <c r="Z651" s="242"/>
    </row>
    <row r="652">
      <c r="A652" s="242"/>
      <c r="B652" s="443"/>
      <c r="C652" s="443"/>
      <c r="D652" s="443"/>
      <c r="E652" s="443"/>
      <c r="F652" s="443"/>
      <c r="G652" s="242"/>
      <c r="H652" s="242"/>
      <c r="I652" s="242"/>
      <c r="J652" s="242"/>
      <c r="K652" s="13"/>
      <c r="L652" s="242"/>
      <c r="M652" s="242"/>
      <c r="N652" s="13"/>
      <c r="O652" s="242"/>
      <c r="P652" s="242"/>
      <c r="Q652" s="242"/>
      <c r="R652" s="242"/>
      <c r="S652" s="242"/>
      <c r="T652" s="242"/>
      <c r="U652" s="242"/>
      <c r="V652" s="242"/>
      <c r="W652" s="242"/>
      <c r="X652" s="242"/>
      <c r="Y652" s="242"/>
      <c r="Z652" s="242"/>
    </row>
    <row r="653">
      <c r="A653" s="242"/>
      <c r="B653" s="443"/>
      <c r="C653" s="443"/>
      <c r="D653" s="443"/>
      <c r="E653" s="443"/>
      <c r="F653" s="443"/>
      <c r="G653" s="242"/>
      <c r="H653" s="242"/>
      <c r="I653" s="242"/>
      <c r="J653" s="242"/>
      <c r="K653" s="13"/>
      <c r="L653" s="242"/>
      <c r="M653" s="242"/>
      <c r="N653" s="13"/>
      <c r="O653" s="242"/>
      <c r="P653" s="242"/>
      <c r="Q653" s="242"/>
      <c r="R653" s="242"/>
      <c r="S653" s="242"/>
      <c r="T653" s="242"/>
      <c r="U653" s="242"/>
      <c r="V653" s="242"/>
      <c r="W653" s="242"/>
      <c r="X653" s="242"/>
      <c r="Y653" s="242"/>
      <c r="Z653" s="242"/>
    </row>
    <row r="654">
      <c r="A654" s="242"/>
      <c r="B654" s="443"/>
      <c r="C654" s="443"/>
      <c r="D654" s="443"/>
      <c r="E654" s="443"/>
      <c r="F654" s="443"/>
      <c r="G654" s="242"/>
      <c r="H654" s="242"/>
      <c r="I654" s="242"/>
      <c r="J654" s="242"/>
      <c r="K654" s="13"/>
      <c r="L654" s="242"/>
      <c r="M654" s="242"/>
      <c r="N654" s="13"/>
      <c r="O654" s="242"/>
      <c r="P654" s="242"/>
      <c r="Q654" s="242"/>
      <c r="R654" s="242"/>
      <c r="S654" s="242"/>
      <c r="T654" s="242"/>
      <c r="U654" s="242"/>
      <c r="V654" s="242"/>
      <c r="W654" s="242"/>
      <c r="X654" s="242"/>
      <c r="Y654" s="242"/>
      <c r="Z654" s="242"/>
    </row>
    <row r="655">
      <c r="A655" s="242"/>
      <c r="B655" s="443"/>
      <c r="C655" s="443"/>
      <c r="D655" s="443"/>
      <c r="E655" s="443"/>
      <c r="F655" s="443"/>
      <c r="G655" s="242"/>
      <c r="H655" s="242"/>
      <c r="I655" s="242"/>
      <c r="J655" s="242"/>
      <c r="K655" s="13"/>
      <c r="L655" s="242"/>
      <c r="M655" s="242"/>
      <c r="N655" s="13"/>
      <c r="O655" s="242"/>
      <c r="P655" s="242"/>
      <c r="Q655" s="242"/>
      <c r="R655" s="242"/>
      <c r="S655" s="242"/>
      <c r="T655" s="242"/>
      <c r="U655" s="242"/>
      <c r="V655" s="242"/>
      <c r="W655" s="242"/>
      <c r="X655" s="242"/>
      <c r="Y655" s="242"/>
      <c r="Z655" s="242"/>
    </row>
    <row r="656">
      <c r="A656" s="242"/>
      <c r="B656" s="443"/>
      <c r="C656" s="443"/>
      <c r="D656" s="443"/>
      <c r="E656" s="443"/>
      <c r="F656" s="443"/>
      <c r="G656" s="242"/>
      <c r="H656" s="242"/>
      <c r="I656" s="242"/>
      <c r="J656" s="242"/>
      <c r="K656" s="13"/>
      <c r="L656" s="242"/>
      <c r="M656" s="242"/>
      <c r="N656" s="13"/>
      <c r="O656" s="242"/>
      <c r="P656" s="242"/>
      <c r="Q656" s="242"/>
      <c r="R656" s="242"/>
      <c r="S656" s="242"/>
      <c r="T656" s="242"/>
      <c r="U656" s="242"/>
      <c r="V656" s="242"/>
      <c r="W656" s="242"/>
      <c r="X656" s="242"/>
      <c r="Y656" s="242"/>
      <c r="Z656" s="242"/>
    </row>
    <row r="657">
      <c r="A657" s="242"/>
      <c r="B657" s="443"/>
      <c r="C657" s="443"/>
      <c r="D657" s="443"/>
      <c r="E657" s="443"/>
      <c r="F657" s="443"/>
      <c r="G657" s="242"/>
      <c r="H657" s="242"/>
      <c r="I657" s="242"/>
      <c r="J657" s="242"/>
      <c r="K657" s="13"/>
      <c r="L657" s="242"/>
      <c r="M657" s="242"/>
      <c r="N657" s="13"/>
      <c r="O657" s="242"/>
      <c r="P657" s="242"/>
      <c r="Q657" s="242"/>
      <c r="R657" s="242"/>
      <c r="S657" s="242"/>
      <c r="T657" s="242"/>
      <c r="U657" s="242"/>
      <c r="V657" s="242"/>
      <c r="W657" s="242"/>
      <c r="X657" s="242"/>
      <c r="Y657" s="242"/>
      <c r="Z657" s="242"/>
    </row>
    <row r="658">
      <c r="A658" s="242"/>
      <c r="B658" s="443"/>
      <c r="C658" s="443"/>
      <c r="D658" s="443"/>
      <c r="E658" s="443"/>
      <c r="F658" s="443"/>
      <c r="G658" s="242"/>
      <c r="H658" s="242"/>
      <c r="I658" s="242"/>
      <c r="J658" s="242"/>
      <c r="K658" s="13"/>
      <c r="L658" s="242"/>
      <c r="M658" s="242"/>
      <c r="N658" s="13"/>
      <c r="O658" s="242"/>
      <c r="P658" s="242"/>
      <c r="Q658" s="242"/>
      <c r="R658" s="242"/>
      <c r="S658" s="242"/>
      <c r="T658" s="242"/>
      <c r="U658" s="242"/>
      <c r="V658" s="242"/>
      <c r="W658" s="242"/>
      <c r="X658" s="242"/>
      <c r="Y658" s="242"/>
      <c r="Z658" s="242"/>
    </row>
    <row r="659">
      <c r="A659" s="242"/>
      <c r="B659" s="443"/>
      <c r="C659" s="443"/>
      <c r="D659" s="443"/>
      <c r="E659" s="443"/>
      <c r="F659" s="443"/>
      <c r="G659" s="242"/>
      <c r="H659" s="242"/>
      <c r="I659" s="242"/>
      <c r="J659" s="242"/>
      <c r="K659" s="13"/>
      <c r="L659" s="242"/>
      <c r="M659" s="242"/>
      <c r="N659" s="13"/>
      <c r="O659" s="242"/>
      <c r="P659" s="242"/>
      <c r="Q659" s="242"/>
      <c r="R659" s="242"/>
      <c r="S659" s="242"/>
      <c r="T659" s="242"/>
      <c r="U659" s="242"/>
      <c r="V659" s="242"/>
      <c r="W659" s="242"/>
      <c r="X659" s="242"/>
      <c r="Y659" s="242"/>
      <c r="Z659" s="242"/>
    </row>
    <row r="660">
      <c r="A660" s="242"/>
      <c r="B660" s="443"/>
      <c r="C660" s="443"/>
      <c r="D660" s="443"/>
      <c r="E660" s="443"/>
      <c r="F660" s="443"/>
      <c r="G660" s="242"/>
      <c r="H660" s="242"/>
      <c r="I660" s="242"/>
      <c r="J660" s="242"/>
      <c r="K660" s="13"/>
      <c r="L660" s="242"/>
      <c r="M660" s="242"/>
      <c r="N660" s="13"/>
      <c r="O660" s="242"/>
      <c r="P660" s="242"/>
      <c r="Q660" s="242"/>
      <c r="R660" s="242"/>
      <c r="S660" s="242"/>
      <c r="T660" s="242"/>
      <c r="U660" s="242"/>
      <c r="V660" s="242"/>
      <c r="W660" s="242"/>
      <c r="X660" s="242"/>
      <c r="Y660" s="242"/>
      <c r="Z660" s="242"/>
    </row>
    <row r="661">
      <c r="A661" s="242"/>
      <c r="B661" s="443"/>
      <c r="C661" s="443"/>
      <c r="D661" s="443"/>
      <c r="E661" s="443"/>
      <c r="F661" s="443"/>
      <c r="G661" s="242"/>
      <c r="H661" s="242"/>
      <c r="I661" s="242"/>
      <c r="J661" s="242"/>
      <c r="K661" s="13"/>
      <c r="L661" s="242"/>
      <c r="M661" s="242"/>
      <c r="N661" s="13"/>
      <c r="O661" s="242"/>
      <c r="P661" s="242"/>
      <c r="Q661" s="242"/>
      <c r="R661" s="242"/>
      <c r="S661" s="242"/>
      <c r="T661" s="242"/>
      <c r="U661" s="242"/>
      <c r="V661" s="242"/>
      <c r="W661" s="242"/>
      <c r="X661" s="242"/>
      <c r="Y661" s="242"/>
      <c r="Z661" s="242"/>
    </row>
    <row r="662">
      <c r="A662" s="242"/>
      <c r="B662" s="443"/>
      <c r="C662" s="443"/>
      <c r="D662" s="443"/>
      <c r="E662" s="443"/>
      <c r="F662" s="443"/>
      <c r="G662" s="242"/>
      <c r="H662" s="242"/>
      <c r="I662" s="242"/>
      <c r="J662" s="242"/>
      <c r="K662" s="13"/>
      <c r="L662" s="242"/>
      <c r="M662" s="242"/>
      <c r="N662" s="13"/>
      <c r="O662" s="242"/>
      <c r="P662" s="242"/>
      <c r="Q662" s="242"/>
      <c r="R662" s="242"/>
      <c r="S662" s="242"/>
      <c r="T662" s="242"/>
      <c r="U662" s="242"/>
      <c r="V662" s="242"/>
      <c r="W662" s="242"/>
      <c r="X662" s="242"/>
      <c r="Y662" s="242"/>
      <c r="Z662" s="242"/>
    </row>
    <row r="663">
      <c r="A663" s="242"/>
      <c r="B663" s="443"/>
      <c r="C663" s="443"/>
      <c r="D663" s="443"/>
      <c r="E663" s="443"/>
      <c r="F663" s="443"/>
      <c r="G663" s="242"/>
      <c r="H663" s="242"/>
      <c r="I663" s="242"/>
      <c r="J663" s="242"/>
      <c r="K663" s="13"/>
      <c r="L663" s="242"/>
      <c r="M663" s="242"/>
      <c r="N663" s="13"/>
      <c r="O663" s="242"/>
      <c r="P663" s="242"/>
      <c r="Q663" s="242"/>
      <c r="R663" s="242"/>
      <c r="S663" s="242"/>
      <c r="T663" s="242"/>
      <c r="U663" s="242"/>
      <c r="V663" s="242"/>
      <c r="W663" s="242"/>
      <c r="X663" s="242"/>
      <c r="Y663" s="242"/>
      <c r="Z663" s="242"/>
    </row>
    <row r="664">
      <c r="A664" s="242"/>
      <c r="B664" s="443"/>
      <c r="C664" s="443"/>
      <c r="D664" s="443"/>
      <c r="E664" s="443"/>
      <c r="F664" s="443"/>
      <c r="G664" s="242"/>
      <c r="H664" s="242"/>
      <c r="I664" s="242"/>
      <c r="J664" s="242"/>
      <c r="K664" s="13"/>
      <c r="L664" s="242"/>
      <c r="M664" s="242"/>
      <c r="N664" s="13"/>
      <c r="O664" s="242"/>
      <c r="P664" s="242"/>
      <c r="Q664" s="242"/>
      <c r="R664" s="242"/>
      <c r="S664" s="242"/>
      <c r="T664" s="242"/>
      <c r="U664" s="242"/>
      <c r="V664" s="242"/>
      <c r="W664" s="242"/>
      <c r="X664" s="242"/>
      <c r="Y664" s="242"/>
      <c r="Z664" s="242"/>
    </row>
    <row r="665">
      <c r="A665" s="242"/>
      <c r="B665" s="443"/>
      <c r="C665" s="443"/>
      <c r="D665" s="443"/>
      <c r="E665" s="443"/>
      <c r="F665" s="443"/>
      <c r="G665" s="242"/>
      <c r="H665" s="242"/>
      <c r="I665" s="242"/>
      <c r="J665" s="242"/>
      <c r="K665" s="13"/>
      <c r="L665" s="242"/>
      <c r="M665" s="242"/>
      <c r="N665" s="13"/>
      <c r="O665" s="242"/>
      <c r="P665" s="242"/>
      <c r="Q665" s="242"/>
      <c r="R665" s="242"/>
      <c r="S665" s="242"/>
      <c r="T665" s="242"/>
      <c r="U665" s="242"/>
      <c r="V665" s="242"/>
      <c r="W665" s="242"/>
      <c r="X665" s="242"/>
      <c r="Y665" s="242"/>
      <c r="Z665" s="242"/>
    </row>
    <row r="666">
      <c r="A666" s="242"/>
      <c r="B666" s="443"/>
      <c r="C666" s="443"/>
      <c r="D666" s="443"/>
      <c r="E666" s="443"/>
      <c r="F666" s="443"/>
      <c r="G666" s="242"/>
      <c r="H666" s="242"/>
      <c r="I666" s="242"/>
      <c r="J666" s="242"/>
      <c r="K666" s="13"/>
      <c r="L666" s="242"/>
      <c r="M666" s="242"/>
      <c r="N666" s="13"/>
      <c r="O666" s="242"/>
      <c r="P666" s="242"/>
      <c r="Q666" s="242"/>
      <c r="R666" s="242"/>
      <c r="S666" s="242"/>
      <c r="T666" s="242"/>
      <c r="U666" s="242"/>
      <c r="V666" s="242"/>
      <c r="W666" s="242"/>
      <c r="X666" s="242"/>
      <c r="Y666" s="242"/>
      <c r="Z666" s="242"/>
    </row>
    <row r="667">
      <c r="A667" s="242"/>
      <c r="B667" s="443"/>
      <c r="C667" s="443"/>
      <c r="D667" s="443"/>
      <c r="E667" s="443"/>
      <c r="F667" s="443"/>
      <c r="G667" s="242"/>
      <c r="H667" s="242"/>
      <c r="I667" s="242"/>
      <c r="J667" s="242"/>
      <c r="K667" s="13"/>
      <c r="L667" s="242"/>
      <c r="M667" s="242"/>
      <c r="N667" s="13"/>
      <c r="O667" s="242"/>
      <c r="P667" s="242"/>
      <c r="Q667" s="242"/>
      <c r="R667" s="242"/>
      <c r="S667" s="242"/>
      <c r="T667" s="242"/>
      <c r="U667" s="242"/>
      <c r="V667" s="242"/>
      <c r="W667" s="242"/>
      <c r="X667" s="242"/>
      <c r="Y667" s="242"/>
      <c r="Z667" s="242"/>
    </row>
    <row r="668">
      <c r="A668" s="242"/>
      <c r="B668" s="443"/>
      <c r="C668" s="443"/>
      <c r="D668" s="443"/>
      <c r="E668" s="443"/>
      <c r="F668" s="443"/>
      <c r="G668" s="242"/>
      <c r="H668" s="242"/>
      <c r="I668" s="242"/>
      <c r="J668" s="242"/>
      <c r="K668" s="13"/>
      <c r="L668" s="242"/>
      <c r="M668" s="242"/>
      <c r="N668" s="13"/>
      <c r="O668" s="242"/>
      <c r="P668" s="242"/>
      <c r="Q668" s="242"/>
      <c r="R668" s="242"/>
      <c r="S668" s="242"/>
      <c r="T668" s="242"/>
      <c r="U668" s="242"/>
      <c r="V668" s="242"/>
      <c r="W668" s="242"/>
      <c r="X668" s="242"/>
      <c r="Y668" s="242"/>
      <c r="Z668" s="242"/>
    </row>
    <row r="669">
      <c r="A669" s="242"/>
      <c r="B669" s="443"/>
      <c r="C669" s="443"/>
      <c r="D669" s="443"/>
      <c r="E669" s="443"/>
      <c r="F669" s="443"/>
      <c r="G669" s="242"/>
      <c r="H669" s="242"/>
      <c r="I669" s="242"/>
      <c r="J669" s="242"/>
      <c r="K669" s="13"/>
      <c r="L669" s="242"/>
      <c r="M669" s="242"/>
      <c r="N669" s="13"/>
      <c r="O669" s="242"/>
      <c r="P669" s="242"/>
      <c r="Q669" s="242"/>
      <c r="R669" s="242"/>
      <c r="S669" s="242"/>
      <c r="T669" s="242"/>
      <c r="U669" s="242"/>
      <c r="V669" s="242"/>
      <c r="W669" s="242"/>
      <c r="X669" s="242"/>
      <c r="Y669" s="242"/>
      <c r="Z669" s="242"/>
    </row>
    <row r="670">
      <c r="A670" s="242"/>
      <c r="B670" s="443"/>
      <c r="C670" s="443"/>
      <c r="D670" s="443"/>
      <c r="E670" s="443"/>
      <c r="F670" s="443"/>
      <c r="G670" s="242"/>
      <c r="H670" s="242"/>
      <c r="I670" s="242"/>
      <c r="J670" s="242"/>
      <c r="K670" s="13"/>
      <c r="L670" s="242"/>
      <c r="M670" s="242"/>
      <c r="N670" s="13"/>
      <c r="O670" s="242"/>
      <c r="P670" s="242"/>
      <c r="Q670" s="242"/>
      <c r="R670" s="242"/>
      <c r="S670" s="242"/>
      <c r="T670" s="242"/>
      <c r="U670" s="242"/>
      <c r="V670" s="242"/>
      <c r="W670" s="242"/>
      <c r="X670" s="242"/>
      <c r="Y670" s="242"/>
      <c r="Z670" s="242"/>
    </row>
    <row r="671">
      <c r="A671" s="242"/>
      <c r="B671" s="443"/>
      <c r="C671" s="443"/>
      <c r="D671" s="443"/>
      <c r="E671" s="443"/>
      <c r="F671" s="443"/>
      <c r="G671" s="242"/>
      <c r="H671" s="242"/>
      <c r="I671" s="242"/>
      <c r="J671" s="242"/>
      <c r="K671" s="13"/>
      <c r="L671" s="242"/>
      <c r="M671" s="242"/>
      <c r="N671" s="13"/>
      <c r="O671" s="242"/>
      <c r="P671" s="242"/>
      <c r="Q671" s="242"/>
      <c r="R671" s="242"/>
      <c r="S671" s="242"/>
      <c r="T671" s="242"/>
      <c r="U671" s="242"/>
      <c r="V671" s="242"/>
      <c r="W671" s="242"/>
      <c r="X671" s="242"/>
      <c r="Y671" s="242"/>
      <c r="Z671" s="242"/>
    </row>
    <row r="672">
      <c r="A672" s="242"/>
      <c r="B672" s="443"/>
      <c r="C672" s="443"/>
      <c r="D672" s="443"/>
      <c r="E672" s="443"/>
      <c r="F672" s="443"/>
      <c r="G672" s="242"/>
      <c r="H672" s="242"/>
      <c r="I672" s="242"/>
      <c r="J672" s="242"/>
      <c r="K672" s="13"/>
      <c r="L672" s="242"/>
      <c r="M672" s="242"/>
      <c r="N672" s="13"/>
      <c r="O672" s="242"/>
      <c r="P672" s="242"/>
      <c r="Q672" s="242"/>
      <c r="R672" s="242"/>
      <c r="S672" s="242"/>
      <c r="T672" s="242"/>
      <c r="U672" s="242"/>
      <c r="V672" s="242"/>
      <c r="W672" s="242"/>
      <c r="X672" s="242"/>
      <c r="Y672" s="242"/>
      <c r="Z672" s="242"/>
    </row>
    <row r="673">
      <c r="A673" s="242"/>
      <c r="B673" s="443"/>
      <c r="C673" s="443"/>
      <c r="D673" s="443"/>
      <c r="E673" s="443"/>
      <c r="F673" s="443"/>
      <c r="G673" s="242"/>
      <c r="H673" s="242"/>
      <c r="I673" s="242"/>
      <c r="J673" s="242"/>
      <c r="K673" s="13"/>
      <c r="L673" s="242"/>
      <c r="M673" s="242"/>
      <c r="N673" s="13"/>
      <c r="O673" s="242"/>
      <c r="P673" s="242"/>
      <c r="Q673" s="242"/>
      <c r="R673" s="242"/>
      <c r="S673" s="242"/>
      <c r="T673" s="242"/>
      <c r="U673" s="242"/>
      <c r="V673" s="242"/>
      <c r="W673" s="242"/>
      <c r="X673" s="242"/>
      <c r="Y673" s="242"/>
      <c r="Z673" s="242"/>
    </row>
    <row r="674">
      <c r="A674" s="242"/>
      <c r="B674" s="443"/>
      <c r="C674" s="443"/>
      <c r="D674" s="443"/>
      <c r="E674" s="443"/>
      <c r="F674" s="443"/>
      <c r="G674" s="242"/>
      <c r="H674" s="242"/>
      <c r="I674" s="242"/>
      <c r="J674" s="242"/>
      <c r="K674" s="13"/>
      <c r="L674" s="242"/>
      <c r="M674" s="242"/>
      <c r="N674" s="13"/>
      <c r="O674" s="242"/>
      <c r="P674" s="242"/>
      <c r="Q674" s="242"/>
      <c r="R674" s="242"/>
      <c r="S674" s="242"/>
      <c r="T674" s="242"/>
      <c r="U674" s="242"/>
      <c r="V674" s="242"/>
      <c r="W674" s="242"/>
      <c r="X674" s="242"/>
      <c r="Y674" s="242"/>
      <c r="Z674" s="242"/>
    </row>
    <row r="675">
      <c r="A675" s="242"/>
      <c r="B675" s="443"/>
      <c r="C675" s="443"/>
      <c r="D675" s="443"/>
      <c r="E675" s="443"/>
      <c r="F675" s="443"/>
      <c r="G675" s="242"/>
      <c r="H675" s="242"/>
      <c r="I675" s="242"/>
      <c r="J675" s="242"/>
      <c r="K675" s="13"/>
      <c r="L675" s="242"/>
      <c r="M675" s="242"/>
      <c r="N675" s="13"/>
      <c r="O675" s="242"/>
      <c r="P675" s="242"/>
      <c r="Q675" s="242"/>
      <c r="R675" s="242"/>
      <c r="S675" s="242"/>
      <c r="T675" s="242"/>
      <c r="U675" s="242"/>
      <c r="V675" s="242"/>
      <c r="W675" s="242"/>
      <c r="X675" s="242"/>
      <c r="Y675" s="242"/>
      <c r="Z675" s="242"/>
    </row>
    <row r="676">
      <c r="A676" s="242"/>
      <c r="B676" s="443"/>
      <c r="C676" s="443"/>
      <c r="D676" s="443"/>
      <c r="E676" s="443"/>
      <c r="F676" s="443"/>
      <c r="G676" s="242"/>
      <c r="H676" s="242"/>
      <c r="I676" s="242"/>
      <c r="J676" s="242"/>
      <c r="K676" s="13"/>
      <c r="L676" s="242"/>
      <c r="M676" s="242"/>
      <c r="N676" s="13"/>
      <c r="O676" s="242"/>
      <c r="P676" s="242"/>
      <c r="Q676" s="242"/>
      <c r="R676" s="242"/>
      <c r="S676" s="242"/>
      <c r="T676" s="242"/>
      <c r="U676" s="242"/>
      <c r="V676" s="242"/>
      <c r="W676" s="242"/>
      <c r="X676" s="242"/>
      <c r="Y676" s="242"/>
      <c r="Z676" s="242"/>
    </row>
    <row r="677">
      <c r="A677" s="242"/>
      <c r="B677" s="443"/>
      <c r="C677" s="443"/>
      <c r="D677" s="443"/>
      <c r="E677" s="443"/>
      <c r="F677" s="443"/>
      <c r="G677" s="242"/>
      <c r="H677" s="242"/>
      <c r="I677" s="242"/>
      <c r="J677" s="242"/>
      <c r="K677" s="13"/>
      <c r="L677" s="242"/>
      <c r="M677" s="242"/>
      <c r="N677" s="13"/>
      <c r="O677" s="242"/>
      <c r="P677" s="242"/>
      <c r="Q677" s="242"/>
      <c r="R677" s="242"/>
      <c r="S677" s="242"/>
      <c r="T677" s="242"/>
      <c r="U677" s="242"/>
      <c r="V677" s="242"/>
      <c r="W677" s="242"/>
      <c r="X677" s="242"/>
      <c r="Y677" s="242"/>
      <c r="Z677" s="242"/>
    </row>
    <row r="678">
      <c r="A678" s="242"/>
      <c r="B678" s="443"/>
      <c r="C678" s="443"/>
      <c r="D678" s="443"/>
      <c r="E678" s="443"/>
      <c r="F678" s="443"/>
      <c r="G678" s="242"/>
      <c r="H678" s="242"/>
      <c r="I678" s="242"/>
      <c r="J678" s="242"/>
      <c r="K678" s="13"/>
      <c r="L678" s="242"/>
      <c r="M678" s="242"/>
      <c r="N678" s="13"/>
      <c r="O678" s="242"/>
      <c r="P678" s="242"/>
      <c r="Q678" s="242"/>
      <c r="R678" s="242"/>
      <c r="S678" s="242"/>
      <c r="T678" s="242"/>
      <c r="U678" s="242"/>
      <c r="V678" s="242"/>
      <c r="W678" s="242"/>
      <c r="X678" s="242"/>
      <c r="Y678" s="242"/>
      <c r="Z678" s="242"/>
    </row>
    <row r="679">
      <c r="A679" s="242"/>
      <c r="B679" s="443"/>
      <c r="C679" s="443"/>
      <c r="D679" s="443"/>
      <c r="E679" s="443"/>
      <c r="F679" s="443"/>
      <c r="G679" s="242"/>
      <c r="H679" s="242"/>
      <c r="I679" s="242"/>
      <c r="J679" s="242"/>
      <c r="K679" s="13"/>
      <c r="L679" s="242"/>
      <c r="M679" s="242"/>
      <c r="N679" s="13"/>
      <c r="O679" s="242"/>
      <c r="P679" s="242"/>
      <c r="Q679" s="242"/>
      <c r="R679" s="242"/>
      <c r="S679" s="242"/>
      <c r="T679" s="242"/>
      <c r="U679" s="242"/>
      <c r="V679" s="242"/>
      <c r="W679" s="242"/>
      <c r="X679" s="242"/>
      <c r="Y679" s="242"/>
      <c r="Z679" s="242"/>
    </row>
    <row r="680">
      <c r="A680" s="242"/>
      <c r="B680" s="443"/>
      <c r="C680" s="443"/>
      <c r="D680" s="443"/>
      <c r="E680" s="443"/>
      <c r="F680" s="443"/>
      <c r="G680" s="242"/>
      <c r="H680" s="242"/>
      <c r="I680" s="242"/>
      <c r="J680" s="242"/>
      <c r="K680" s="13"/>
      <c r="L680" s="242"/>
      <c r="M680" s="242"/>
      <c r="N680" s="13"/>
      <c r="O680" s="242"/>
      <c r="P680" s="242"/>
      <c r="Q680" s="242"/>
      <c r="R680" s="242"/>
      <c r="S680" s="242"/>
      <c r="T680" s="242"/>
      <c r="U680" s="242"/>
      <c r="V680" s="242"/>
      <c r="W680" s="242"/>
      <c r="X680" s="242"/>
      <c r="Y680" s="242"/>
      <c r="Z680" s="242"/>
    </row>
    <row r="681">
      <c r="A681" s="242"/>
      <c r="B681" s="443"/>
      <c r="C681" s="443"/>
      <c r="D681" s="443"/>
      <c r="E681" s="443"/>
      <c r="F681" s="443"/>
      <c r="G681" s="242"/>
      <c r="H681" s="242"/>
      <c r="I681" s="242"/>
      <c r="J681" s="242"/>
      <c r="K681" s="13"/>
      <c r="L681" s="242"/>
      <c r="M681" s="242"/>
      <c r="N681" s="13"/>
      <c r="O681" s="242"/>
      <c r="P681" s="242"/>
      <c r="Q681" s="242"/>
      <c r="R681" s="242"/>
      <c r="S681" s="242"/>
      <c r="T681" s="242"/>
      <c r="U681" s="242"/>
      <c r="V681" s="242"/>
      <c r="W681" s="242"/>
      <c r="X681" s="242"/>
      <c r="Y681" s="242"/>
      <c r="Z681" s="242"/>
    </row>
    <row r="682">
      <c r="A682" s="242"/>
      <c r="B682" s="443"/>
      <c r="C682" s="443"/>
      <c r="D682" s="443"/>
      <c r="E682" s="443"/>
      <c r="F682" s="443"/>
      <c r="G682" s="242"/>
      <c r="H682" s="242"/>
      <c r="I682" s="242"/>
      <c r="J682" s="242"/>
      <c r="K682" s="13"/>
      <c r="L682" s="242"/>
      <c r="M682" s="242"/>
      <c r="N682" s="13"/>
      <c r="O682" s="242"/>
      <c r="P682" s="242"/>
      <c r="Q682" s="242"/>
      <c r="R682" s="242"/>
      <c r="S682" s="242"/>
      <c r="T682" s="242"/>
      <c r="U682" s="242"/>
      <c r="V682" s="242"/>
      <c r="W682" s="242"/>
      <c r="X682" s="242"/>
      <c r="Y682" s="242"/>
      <c r="Z682" s="242"/>
    </row>
    <row r="683">
      <c r="A683" s="242"/>
      <c r="B683" s="443"/>
      <c r="C683" s="443"/>
      <c r="D683" s="443"/>
      <c r="E683" s="443"/>
      <c r="F683" s="443"/>
      <c r="G683" s="242"/>
      <c r="H683" s="242"/>
      <c r="I683" s="242"/>
      <c r="J683" s="242"/>
      <c r="K683" s="13"/>
      <c r="L683" s="242"/>
      <c r="M683" s="242"/>
      <c r="N683" s="13"/>
      <c r="O683" s="242"/>
      <c r="P683" s="242"/>
      <c r="Q683" s="242"/>
      <c r="R683" s="242"/>
      <c r="S683" s="242"/>
      <c r="T683" s="242"/>
      <c r="U683" s="242"/>
      <c r="V683" s="242"/>
      <c r="W683" s="242"/>
      <c r="X683" s="242"/>
      <c r="Y683" s="242"/>
      <c r="Z683" s="242"/>
    </row>
    <row r="684">
      <c r="A684" s="242"/>
      <c r="B684" s="443"/>
      <c r="C684" s="443"/>
      <c r="D684" s="443"/>
      <c r="E684" s="443"/>
      <c r="F684" s="443"/>
      <c r="G684" s="242"/>
      <c r="H684" s="242"/>
      <c r="I684" s="242"/>
      <c r="J684" s="242"/>
      <c r="K684" s="13"/>
      <c r="L684" s="242"/>
      <c r="M684" s="242"/>
      <c r="N684" s="13"/>
      <c r="O684" s="242"/>
      <c r="P684" s="242"/>
      <c r="Q684" s="242"/>
      <c r="R684" s="242"/>
      <c r="S684" s="242"/>
      <c r="T684" s="242"/>
      <c r="U684" s="242"/>
      <c r="V684" s="242"/>
      <c r="W684" s="242"/>
      <c r="X684" s="242"/>
      <c r="Y684" s="242"/>
      <c r="Z684" s="242"/>
    </row>
    <row r="685">
      <c r="A685" s="242"/>
      <c r="B685" s="443"/>
      <c r="C685" s="443"/>
      <c r="D685" s="443"/>
      <c r="E685" s="443"/>
      <c r="F685" s="443"/>
      <c r="G685" s="242"/>
      <c r="H685" s="242"/>
      <c r="I685" s="242"/>
      <c r="J685" s="242"/>
      <c r="K685" s="13"/>
      <c r="L685" s="242"/>
      <c r="M685" s="242"/>
      <c r="N685" s="13"/>
      <c r="O685" s="242"/>
      <c r="P685" s="242"/>
      <c r="Q685" s="242"/>
      <c r="R685" s="242"/>
      <c r="S685" s="242"/>
      <c r="T685" s="242"/>
      <c r="U685" s="242"/>
      <c r="V685" s="242"/>
      <c r="W685" s="242"/>
      <c r="X685" s="242"/>
      <c r="Y685" s="242"/>
      <c r="Z685" s="242"/>
    </row>
    <row r="686">
      <c r="A686" s="242"/>
      <c r="B686" s="443"/>
      <c r="C686" s="443"/>
      <c r="D686" s="443"/>
      <c r="E686" s="443"/>
      <c r="F686" s="443"/>
      <c r="G686" s="242"/>
      <c r="H686" s="242"/>
      <c r="I686" s="242"/>
      <c r="J686" s="242"/>
      <c r="K686" s="13"/>
      <c r="L686" s="242"/>
      <c r="M686" s="242"/>
      <c r="N686" s="13"/>
      <c r="O686" s="242"/>
      <c r="P686" s="242"/>
      <c r="Q686" s="242"/>
      <c r="R686" s="242"/>
      <c r="S686" s="242"/>
      <c r="T686" s="242"/>
      <c r="U686" s="242"/>
      <c r="V686" s="242"/>
      <c r="W686" s="242"/>
      <c r="X686" s="242"/>
      <c r="Y686" s="242"/>
      <c r="Z686" s="242"/>
    </row>
    <row r="687">
      <c r="A687" s="242"/>
      <c r="B687" s="443"/>
      <c r="C687" s="443"/>
      <c r="D687" s="443"/>
      <c r="E687" s="443"/>
      <c r="F687" s="443"/>
      <c r="G687" s="242"/>
      <c r="H687" s="242"/>
      <c r="I687" s="242"/>
      <c r="J687" s="242"/>
      <c r="K687" s="13"/>
      <c r="L687" s="242"/>
      <c r="M687" s="242"/>
      <c r="N687" s="13"/>
      <c r="O687" s="242"/>
      <c r="P687" s="242"/>
      <c r="Q687" s="242"/>
      <c r="R687" s="242"/>
      <c r="S687" s="242"/>
      <c r="T687" s="242"/>
      <c r="U687" s="242"/>
      <c r="V687" s="242"/>
      <c r="W687" s="242"/>
      <c r="X687" s="242"/>
      <c r="Y687" s="242"/>
      <c r="Z687" s="242"/>
    </row>
    <row r="688">
      <c r="A688" s="242"/>
      <c r="B688" s="443"/>
      <c r="C688" s="443"/>
      <c r="D688" s="443"/>
      <c r="E688" s="443"/>
      <c r="F688" s="443"/>
      <c r="G688" s="242"/>
      <c r="H688" s="242"/>
      <c r="I688" s="242"/>
      <c r="J688" s="242"/>
      <c r="K688" s="13"/>
      <c r="L688" s="242"/>
      <c r="M688" s="242"/>
      <c r="N688" s="13"/>
      <c r="O688" s="242"/>
      <c r="P688" s="242"/>
      <c r="Q688" s="242"/>
      <c r="R688" s="242"/>
      <c r="S688" s="242"/>
      <c r="T688" s="242"/>
      <c r="U688" s="242"/>
      <c r="V688" s="242"/>
      <c r="W688" s="242"/>
      <c r="X688" s="242"/>
      <c r="Y688" s="242"/>
      <c r="Z688" s="242"/>
    </row>
    <row r="689">
      <c r="A689" s="242"/>
      <c r="B689" s="443"/>
      <c r="C689" s="443"/>
      <c r="D689" s="443"/>
      <c r="E689" s="443"/>
      <c r="F689" s="443"/>
      <c r="G689" s="242"/>
      <c r="H689" s="242"/>
      <c r="I689" s="242"/>
      <c r="J689" s="242"/>
      <c r="K689" s="13"/>
      <c r="L689" s="242"/>
      <c r="M689" s="242"/>
      <c r="N689" s="13"/>
      <c r="O689" s="242"/>
      <c r="P689" s="242"/>
      <c r="Q689" s="242"/>
      <c r="R689" s="242"/>
      <c r="S689" s="242"/>
      <c r="T689" s="242"/>
      <c r="U689" s="242"/>
      <c r="V689" s="242"/>
      <c r="W689" s="242"/>
      <c r="X689" s="242"/>
      <c r="Y689" s="242"/>
      <c r="Z689" s="242"/>
    </row>
    <row r="690">
      <c r="A690" s="242"/>
      <c r="B690" s="443"/>
      <c r="C690" s="443"/>
      <c r="D690" s="443"/>
      <c r="E690" s="443"/>
      <c r="F690" s="443"/>
      <c r="G690" s="242"/>
      <c r="H690" s="242"/>
      <c r="I690" s="242"/>
      <c r="J690" s="242"/>
      <c r="K690" s="13"/>
      <c r="L690" s="242"/>
      <c r="M690" s="242"/>
      <c r="N690" s="13"/>
      <c r="O690" s="242"/>
      <c r="P690" s="242"/>
      <c r="Q690" s="242"/>
      <c r="R690" s="242"/>
      <c r="S690" s="242"/>
      <c r="T690" s="242"/>
      <c r="U690" s="242"/>
      <c r="V690" s="242"/>
      <c r="W690" s="242"/>
      <c r="X690" s="242"/>
      <c r="Y690" s="242"/>
      <c r="Z690" s="242"/>
    </row>
    <row r="691">
      <c r="A691" s="242"/>
      <c r="B691" s="443"/>
      <c r="C691" s="443"/>
      <c r="D691" s="443"/>
      <c r="E691" s="443"/>
      <c r="F691" s="443"/>
      <c r="G691" s="242"/>
      <c r="H691" s="242"/>
      <c r="I691" s="242"/>
      <c r="J691" s="242"/>
      <c r="K691" s="13"/>
      <c r="L691" s="242"/>
      <c r="M691" s="242"/>
      <c r="N691" s="13"/>
      <c r="O691" s="242"/>
      <c r="P691" s="242"/>
      <c r="Q691" s="242"/>
      <c r="R691" s="242"/>
      <c r="S691" s="242"/>
      <c r="T691" s="242"/>
      <c r="U691" s="242"/>
      <c r="V691" s="242"/>
      <c r="W691" s="242"/>
      <c r="X691" s="242"/>
      <c r="Y691" s="242"/>
      <c r="Z691" s="242"/>
    </row>
    <row r="692">
      <c r="A692" s="242"/>
      <c r="B692" s="443"/>
      <c r="C692" s="443"/>
      <c r="D692" s="443"/>
      <c r="E692" s="443"/>
      <c r="F692" s="443"/>
      <c r="G692" s="242"/>
      <c r="H692" s="242"/>
      <c r="I692" s="242"/>
      <c r="J692" s="242"/>
      <c r="K692" s="13"/>
      <c r="L692" s="242"/>
      <c r="M692" s="242"/>
      <c r="N692" s="13"/>
      <c r="O692" s="242"/>
      <c r="P692" s="242"/>
      <c r="Q692" s="242"/>
      <c r="R692" s="242"/>
      <c r="S692" s="242"/>
      <c r="T692" s="242"/>
      <c r="U692" s="242"/>
      <c r="V692" s="242"/>
      <c r="W692" s="242"/>
      <c r="X692" s="242"/>
      <c r="Y692" s="242"/>
      <c r="Z692" s="242"/>
    </row>
    <row r="693">
      <c r="A693" s="242"/>
      <c r="B693" s="443"/>
      <c r="C693" s="443"/>
      <c r="D693" s="443"/>
      <c r="E693" s="443"/>
      <c r="F693" s="443"/>
      <c r="G693" s="242"/>
      <c r="H693" s="242"/>
      <c r="I693" s="242"/>
      <c r="J693" s="242"/>
      <c r="K693" s="13"/>
      <c r="L693" s="242"/>
      <c r="M693" s="242"/>
      <c r="N693" s="13"/>
      <c r="O693" s="242"/>
      <c r="P693" s="242"/>
      <c r="Q693" s="242"/>
      <c r="R693" s="242"/>
      <c r="S693" s="242"/>
      <c r="T693" s="242"/>
      <c r="U693" s="242"/>
      <c r="V693" s="242"/>
      <c r="W693" s="242"/>
      <c r="X693" s="242"/>
      <c r="Y693" s="242"/>
      <c r="Z693" s="242"/>
    </row>
    <row r="694">
      <c r="A694" s="242"/>
      <c r="B694" s="443"/>
      <c r="C694" s="443"/>
      <c r="D694" s="443"/>
      <c r="E694" s="443"/>
      <c r="F694" s="443"/>
      <c r="G694" s="242"/>
      <c r="H694" s="242"/>
      <c r="I694" s="242"/>
      <c r="J694" s="242"/>
      <c r="K694" s="13"/>
      <c r="L694" s="242"/>
      <c r="M694" s="242"/>
      <c r="N694" s="13"/>
      <c r="O694" s="242"/>
      <c r="P694" s="242"/>
      <c r="Q694" s="242"/>
      <c r="R694" s="242"/>
      <c r="S694" s="242"/>
      <c r="T694" s="242"/>
      <c r="U694" s="242"/>
      <c r="V694" s="242"/>
      <c r="W694" s="242"/>
      <c r="X694" s="242"/>
      <c r="Y694" s="242"/>
      <c r="Z694" s="242"/>
    </row>
    <row r="695">
      <c r="A695" s="242"/>
      <c r="B695" s="443"/>
      <c r="C695" s="443"/>
      <c r="D695" s="443"/>
      <c r="E695" s="443"/>
      <c r="F695" s="443"/>
      <c r="G695" s="242"/>
      <c r="H695" s="242"/>
      <c r="I695" s="242"/>
      <c r="J695" s="242"/>
      <c r="K695" s="13"/>
      <c r="L695" s="242"/>
      <c r="M695" s="242"/>
      <c r="N695" s="13"/>
      <c r="O695" s="242"/>
      <c r="P695" s="242"/>
      <c r="Q695" s="242"/>
      <c r="R695" s="242"/>
      <c r="S695" s="242"/>
      <c r="T695" s="242"/>
      <c r="U695" s="242"/>
      <c r="V695" s="242"/>
      <c r="W695" s="242"/>
      <c r="X695" s="242"/>
      <c r="Y695" s="242"/>
      <c r="Z695" s="242"/>
    </row>
    <row r="696">
      <c r="A696" s="242"/>
      <c r="B696" s="443"/>
      <c r="C696" s="443"/>
      <c r="D696" s="443"/>
      <c r="E696" s="443"/>
      <c r="F696" s="443"/>
      <c r="G696" s="242"/>
      <c r="H696" s="242"/>
      <c r="I696" s="242"/>
      <c r="J696" s="242"/>
      <c r="K696" s="13"/>
      <c r="L696" s="242"/>
      <c r="M696" s="242"/>
      <c r="N696" s="13"/>
      <c r="O696" s="242"/>
      <c r="P696" s="242"/>
      <c r="Q696" s="242"/>
      <c r="R696" s="242"/>
      <c r="S696" s="242"/>
      <c r="T696" s="242"/>
      <c r="U696" s="242"/>
      <c r="V696" s="242"/>
      <c r="W696" s="242"/>
      <c r="X696" s="242"/>
      <c r="Y696" s="242"/>
      <c r="Z696" s="242"/>
    </row>
    <row r="697">
      <c r="A697" s="242"/>
      <c r="B697" s="443"/>
      <c r="C697" s="443"/>
      <c r="D697" s="443"/>
      <c r="E697" s="443"/>
      <c r="F697" s="443"/>
      <c r="G697" s="242"/>
      <c r="H697" s="242"/>
      <c r="I697" s="242"/>
      <c r="J697" s="242"/>
      <c r="K697" s="13"/>
      <c r="L697" s="242"/>
      <c r="M697" s="242"/>
      <c r="N697" s="13"/>
      <c r="O697" s="242"/>
      <c r="P697" s="242"/>
      <c r="Q697" s="242"/>
      <c r="R697" s="242"/>
      <c r="S697" s="242"/>
      <c r="T697" s="242"/>
      <c r="U697" s="242"/>
      <c r="V697" s="242"/>
      <c r="W697" s="242"/>
      <c r="X697" s="242"/>
      <c r="Y697" s="242"/>
      <c r="Z697" s="242"/>
    </row>
    <row r="698">
      <c r="A698" s="242"/>
      <c r="B698" s="443"/>
      <c r="C698" s="443"/>
      <c r="D698" s="443"/>
      <c r="E698" s="443"/>
      <c r="F698" s="443"/>
      <c r="G698" s="242"/>
      <c r="H698" s="242"/>
      <c r="I698" s="242"/>
      <c r="J698" s="242"/>
      <c r="K698" s="13"/>
      <c r="L698" s="242"/>
      <c r="M698" s="242"/>
      <c r="N698" s="13"/>
      <c r="O698" s="242"/>
      <c r="P698" s="242"/>
      <c r="Q698" s="242"/>
      <c r="R698" s="242"/>
      <c r="S698" s="242"/>
      <c r="T698" s="242"/>
      <c r="U698" s="242"/>
      <c r="V698" s="242"/>
      <c r="W698" s="242"/>
      <c r="X698" s="242"/>
      <c r="Y698" s="242"/>
      <c r="Z698" s="242"/>
    </row>
    <row r="699">
      <c r="A699" s="242"/>
      <c r="B699" s="443"/>
      <c r="C699" s="443"/>
      <c r="D699" s="443"/>
      <c r="E699" s="443"/>
      <c r="F699" s="443"/>
      <c r="G699" s="242"/>
      <c r="H699" s="242"/>
      <c r="I699" s="242"/>
      <c r="J699" s="242"/>
      <c r="K699" s="13"/>
      <c r="L699" s="242"/>
      <c r="M699" s="242"/>
      <c r="N699" s="13"/>
      <c r="O699" s="242"/>
      <c r="P699" s="242"/>
      <c r="Q699" s="242"/>
      <c r="R699" s="242"/>
      <c r="S699" s="242"/>
      <c r="T699" s="242"/>
      <c r="U699" s="242"/>
      <c r="V699" s="242"/>
      <c r="W699" s="242"/>
      <c r="X699" s="242"/>
      <c r="Y699" s="242"/>
      <c r="Z699" s="242"/>
    </row>
    <row r="700">
      <c r="A700" s="242"/>
      <c r="B700" s="443"/>
      <c r="C700" s="443"/>
      <c r="D700" s="443"/>
      <c r="E700" s="443"/>
      <c r="F700" s="443"/>
      <c r="G700" s="242"/>
      <c r="H700" s="242"/>
      <c r="I700" s="242"/>
      <c r="J700" s="242"/>
      <c r="K700" s="13"/>
      <c r="L700" s="242"/>
      <c r="M700" s="242"/>
      <c r="N700" s="13"/>
      <c r="O700" s="242"/>
      <c r="P700" s="242"/>
      <c r="Q700" s="242"/>
      <c r="R700" s="242"/>
      <c r="S700" s="242"/>
      <c r="T700" s="242"/>
      <c r="U700" s="242"/>
      <c r="V700" s="242"/>
      <c r="W700" s="242"/>
      <c r="X700" s="242"/>
      <c r="Y700" s="242"/>
      <c r="Z700" s="242"/>
    </row>
    <row r="701">
      <c r="A701" s="242"/>
      <c r="B701" s="443"/>
      <c r="C701" s="443"/>
      <c r="D701" s="443"/>
      <c r="E701" s="443"/>
      <c r="F701" s="443"/>
      <c r="G701" s="242"/>
      <c r="H701" s="242"/>
      <c r="I701" s="242"/>
      <c r="J701" s="242"/>
      <c r="K701" s="13"/>
      <c r="L701" s="242"/>
      <c r="M701" s="242"/>
      <c r="N701" s="13"/>
      <c r="O701" s="242"/>
      <c r="P701" s="242"/>
      <c r="Q701" s="242"/>
      <c r="R701" s="242"/>
      <c r="S701" s="242"/>
      <c r="T701" s="242"/>
      <c r="U701" s="242"/>
      <c r="V701" s="242"/>
      <c r="W701" s="242"/>
      <c r="X701" s="242"/>
      <c r="Y701" s="242"/>
      <c r="Z701" s="242"/>
    </row>
    <row r="702">
      <c r="A702" s="242"/>
      <c r="B702" s="443"/>
      <c r="C702" s="443"/>
      <c r="D702" s="443"/>
      <c r="E702" s="443"/>
      <c r="F702" s="443"/>
      <c r="G702" s="242"/>
      <c r="H702" s="242"/>
      <c r="I702" s="242"/>
      <c r="J702" s="242"/>
      <c r="K702" s="13"/>
      <c r="L702" s="242"/>
      <c r="M702" s="242"/>
      <c r="N702" s="13"/>
      <c r="O702" s="242"/>
      <c r="P702" s="242"/>
      <c r="Q702" s="242"/>
      <c r="R702" s="242"/>
      <c r="S702" s="242"/>
      <c r="T702" s="242"/>
      <c r="U702" s="242"/>
      <c r="V702" s="242"/>
      <c r="W702" s="242"/>
      <c r="X702" s="242"/>
      <c r="Y702" s="242"/>
      <c r="Z702" s="242"/>
    </row>
    <row r="703">
      <c r="A703" s="242"/>
      <c r="B703" s="443"/>
      <c r="C703" s="443"/>
      <c r="D703" s="443"/>
      <c r="E703" s="443"/>
      <c r="F703" s="443"/>
      <c r="G703" s="242"/>
      <c r="H703" s="242"/>
      <c r="I703" s="242"/>
      <c r="J703" s="242"/>
      <c r="K703" s="13"/>
      <c r="L703" s="242"/>
      <c r="M703" s="242"/>
      <c r="N703" s="13"/>
      <c r="O703" s="242"/>
      <c r="P703" s="242"/>
      <c r="Q703" s="242"/>
      <c r="R703" s="242"/>
      <c r="S703" s="242"/>
      <c r="T703" s="242"/>
      <c r="U703" s="242"/>
      <c r="V703" s="242"/>
      <c r="W703" s="242"/>
      <c r="X703" s="242"/>
      <c r="Y703" s="242"/>
      <c r="Z703" s="242"/>
    </row>
    <row r="704">
      <c r="A704" s="242"/>
      <c r="B704" s="443"/>
      <c r="C704" s="443"/>
      <c r="D704" s="443"/>
      <c r="E704" s="443"/>
      <c r="F704" s="443"/>
      <c r="G704" s="242"/>
      <c r="H704" s="242"/>
      <c r="I704" s="242"/>
      <c r="J704" s="242"/>
      <c r="K704" s="13"/>
      <c r="L704" s="242"/>
      <c r="M704" s="242"/>
      <c r="N704" s="13"/>
      <c r="O704" s="242"/>
      <c r="P704" s="242"/>
      <c r="Q704" s="242"/>
      <c r="R704" s="242"/>
      <c r="S704" s="242"/>
      <c r="T704" s="242"/>
      <c r="U704" s="242"/>
      <c r="V704" s="242"/>
      <c r="W704" s="242"/>
      <c r="X704" s="242"/>
      <c r="Y704" s="242"/>
      <c r="Z704" s="242"/>
    </row>
    <row r="705">
      <c r="A705" s="242"/>
      <c r="B705" s="443"/>
      <c r="C705" s="443"/>
      <c r="D705" s="443"/>
      <c r="E705" s="443"/>
      <c r="F705" s="443"/>
      <c r="G705" s="242"/>
      <c r="H705" s="242"/>
      <c r="I705" s="242"/>
      <c r="J705" s="242"/>
      <c r="K705" s="13"/>
      <c r="L705" s="242"/>
      <c r="M705" s="242"/>
      <c r="N705" s="13"/>
      <c r="O705" s="242"/>
      <c r="P705" s="242"/>
      <c r="Q705" s="242"/>
      <c r="R705" s="242"/>
      <c r="S705" s="242"/>
      <c r="T705" s="242"/>
      <c r="U705" s="242"/>
      <c r="V705" s="242"/>
      <c r="W705" s="242"/>
      <c r="X705" s="242"/>
      <c r="Y705" s="242"/>
      <c r="Z705" s="242"/>
    </row>
    <row r="706">
      <c r="A706" s="242"/>
      <c r="B706" s="443"/>
      <c r="C706" s="443"/>
      <c r="D706" s="443"/>
      <c r="E706" s="443"/>
      <c r="F706" s="443"/>
      <c r="G706" s="242"/>
      <c r="H706" s="242"/>
      <c r="I706" s="242"/>
      <c r="J706" s="242"/>
      <c r="K706" s="13"/>
      <c r="L706" s="242"/>
      <c r="M706" s="242"/>
      <c r="N706" s="13"/>
      <c r="O706" s="242"/>
      <c r="P706" s="242"/>
      <c r="Q706" s="242"/>
      <c r="R706" s="242"/>
      <c r="S706" s="242"/>
      <c r="T706" s="242"/>
      <c r="U706" s="242"/>
      <c r="V706" s="242"/>
      <c r="W706" s="242"/>
      <c r="X706" s="242"/>
      <c r="Y706" s="242"/>
      <c r="Z706" s="242"/>
    </row>
    <row r="707">
      <c r="A707" s="242"/>
      <c r="B707" s="443"/>
      <c r="C707" s="443"/>
      <c r="D707" s="443"/>
      <c r="E707" s="443"/>
      <c r="F707" s="443"/>
      <c r="G707" s="242"/>
      <c r="H707" s="242"/>
      <c r="I707" s="242"/>
      <c r="J707" s="242"/>
      <c r="K707" s="13"/>
      <c r="L707" s="242"/>
      <c r="M707" s="242"/>
      <c r="N707" s="13"/>
      <c r="O707" s="242"/>
      <c r="P707" s="242"/>
      <c r="Q707" s="242"/>
      <c r="R707" s="242"/>
      <c r="S707" s="242"/>
      <c r="T707" s="242"/>
      <c r="U707" s="242"/>
      <c r="V707" s="242"/>
      <c r="W707" s="242"/>
      <c r="X707" s="242"/>
      <c r="Y707" s="242"/>
      <c r="Z707" s="242"/>
    </row>
    <row r="708">
      <c r="A708" s="242"/>
      <c r="B708" s="443"/>
      <c r="C708" s="443"/>
      <c r="D708" s="443"/>
      <c r="E708" s="443"/>
      <c r="F708" s="443"/>
      <c r="G708" s="242"/>
      <c r="H708" s="242"/>
      <c r="I708" s="242"/>
      <c r="J708" s="242"/>
      <c r="K708" s="13"/>
      <c r="L708" s="242"/>
      <c r="M708" s="242"/>
      <c r="N708" s="13"/>
      <c r="O708" s="242"/>
      <c r="P708" s="242"/>
      <c r="Q708" s="242"/>
      <c r="R708" s="242"/>
      <c r="S708" s="242"/>
      <c r="T708" s="242"/>
      <c r="U708" s="242"/>
      <c r="V708" s="242"/>
      <c r="W708" s="242"/>
      <c r="X708" s="242"/>
      <c r="Y708" s="242"/>
      <c r="Z708" s="242"/>
    </row>
    <row r="709">
      <c r="A709" s="242"/>
      <c r="B709" s="443"/>
      <c r="C709" s="443"/>
      <c r="D709" s="443"/>
      <c r="E709" s="443"/>
      <c r="F709" s="443"/>
      <c r="G709" s="242"/>
      <c r="H709" s="242"/>
      <c r="I709" s="242"/>
      <c r="J709" s="242"/>
      <c r="K709" s="13"/>
      <c r="L709" s="242"/>
      <c r="M709" s="242"/>
      <c r="N709" s="13"/>
      <c r="O709" s="242"/>
      <c r="P709" s="242"/>
      <c r="Q709" s="242"/>
      <c r="R709" s="242"/>
      <c r="S709" s="242"/>
      <c r="T709" s="242"/>
      <c r="U709" s="242"/>
      <c r="V709" s="242"/>
      <c r="W709" s="242"/>
      <c r="X709" s="242"/>
      <c r="Y709" s="242"/>
      <c r="Z709" s="242"/>
    </row>
    <row r="710">
      <c r="A710" s="242"/>
      <c r="B710" s="443"/>
      <c r="C710" s="443"/>
      <c r="D710" s="443"/>
      <c r="E710" s="443"/>
      <c r="F710" s="443"/>
      <c r="G710" s="242"/>
      <c r="H710" s="242"/>
      <c r="I710" s="242"/>
      <c r="J710" s="242"/>
      <c r="K710" s="13"/>
      <c r="L710" s="242"/>
      <c r="M710" s="242"/>
      <c r="N710" s="13"/>
      <c r="O710" s="242"/>
      <c r="P710" s="242"/>
      <c r="Q710" s="242"/>
      <c r="R710" s="242"/>
      <c r="S710" s="242"/>
      <c r="T710" s="242"/>
      <c r="U710" s="242"/>
      <c r="V710" s="242"/>
      <c r="W710" s="242"/>
      <c r="X710" s="242"/>
      <c r="Y710" s="242"/>
      <c r="Z710" s="242"/>
    </row>
    <row r="711">
      <c r="A711" s="242"/>
      <c r="B711" s="443"/>
      <c r="C711" s="443"/>
      <c r="D711" s="443"/>
      <c r="E711" s="443"/>
      <c r="F711" s="443"/>
      <c r="G711" s="242"/>
      <c r="H711" s="242"/>
      <c r="I711" s="242"/>
      <c r="J711" s="242"/>
      <c r="K711" s="13"/>
      <c r="L711" s="242"/>
      <c r="M711" s="242"/>
      <c r="N711" s="13"/>
      <c r="O711" s="242"/>
      <c r="P711" s="242"/>
      <c r="Q711" s="242"/>
      <c r="R711" s="242"/>
      <c r="S711" s="242"/>
      <c r="T711" s="242"/>
      <c r="U711" s="242"/>
      <c r="V711" s="242"/>
      <c r="W711" s="242"/>
      <c r="X711" s="242"/>
      <c r="Y711" s="242"/>
      <c r="Z711" s="242"/>
    </row>
    <row r="712">
      <c r="A712" s="242"/>
      <c r="B712" s="443"/>
      <c r="C712" s="443"/>
      <c r="D712" s="443"/>
      <c r="E712" s="443"/>
      <c r="F712" s="443"/>
      <c r="G712" s="242"/>
      <c r="H712" s="242"/>
      <c r="I712" s="242"/>
      <c r="J712" s="242"/>
      <c r="K712" s="13"/>
      <c r="L712" s="242"/>
      <c r="M712" s="242"/>
      <c r="N712" s="13"/>
      <c r="O712" s="242"/>
      <c r="P712" s="242"/>
      <c r="Q712" s="242"/>
      <c r="R712" s="242"/>
      <c r="S712" s="242"/>
      <c r="T712" s="242"/>
      <c r="U712" s="242"/>
      <c r="V712" s="242"/>
      <c r="W712" s="242"/>
      <c r="X712" s="242"/>
      <c r="Y712" s="242"/>
      <c r="Z712" s="242"/>
    </row>
    <row r="713">
      <c r="A713" s="242"/>
      <c r="B713" s="443"/>
      <c r="C713" s="443"/>
      <c r="D713" s="443"/>
      <c r="E713" s="443"/>
      <c r="F713" s="443"/>
      <c r="G713" s="242"/>
      <c r="H713" s="242"/>
      <c r="I713" s="242"/>
      <c r="J713" s="242"/>
      <c r="K713" s="13"/>
      <c r="L713" s="242"/>
      <c r="M713" s="242"/>
      <c r="N713" s="13"/>
      <c r="O713" s="242"/>
      <c r="P713" s="242"/>
      <c r="Q713" s="242"/>
      <c r="R713" s="242"/>
      <c r="S713" s="242"/>
      <c r="T713" s="242"/>
      <c r="U713" s="242"/>
      <c r="V713" s="242"/>
      <c r="W713" s="242"/>
      <c r="X713" s="242"/>
      <c r="Y713" s="242"/>
      <c r="Z713" s="242"/>
    </row>
    <row r="714">
      <c r="A714" s="242"/>
      <c r="B714" s="443"/>
      <c r="C714" s="443"/>
      <c r="D714" s="443"/>
      <c r="E714" s="443"/>
      <c r="F714" s="443"/>
      <c r="G714" s="242"/>
      <c r="H714" s="242"/>
      <c r="I714" s="242"/>
      <c r="J714" s="242"/>
      <c r="K714" s="13"/>
      <c r="L714" s="242"/>
      <c r="M714" s="242"/>
      <c r="N714" s="13"/>
      <c r="O714" s="242"/>
      <c r="P714" s="242"/>
      <c r="Q714" s="242"/>
      <c r="R714" s="242"/>
      <c r="S714" s="242"/>
      <c r="T714" s="242"/>
      <c r="U714" s="242"/>
      <c r="V714" s="242"/>
      <c r="W714" s="242"/>
      <c r="X714" s="242"/>
      <c r="Y714" s="242"/>
      <c r="Z714" s="242"/>
    </row>
    <row r="715">
      <c r="A715" s="242"/>
      <c r="B715" s="443"/>
      <c r="C715" s="443"/>
      <c r="D715" s="443"/>
      <c r="E715" s="443"/>
      <c r="F715" s="443"/>
      <c r="G715" s="242"/>
      <c r="H715" s="242"/>
      <c r="I715" s="242"/>
      <c r="J715" s="242"/>
      <c r="K715" s="13"/>
      <c r="L715" s="242"/>
      <c r="M715" s="242"/>
      <c r="N715" s="13"/>
      <c r="O715" s="242"/>
      <c r="P715" s="242"/>
      <c r="Q715" s="242"/>
      <c r="R715" s="242"/>
      <c r="S715" s="242"/>
      <c r="T715" s="242"/>
      <c r="U715" s="242"/>
      <c r="V715" s="242"/>
      <c r="W715" s="242"/>
      <c r="X715" s="242"/>
      <c r="Y715" s="242"/>
      <c r="Z715" s="242"/>
    </row>
    <row r="716">
      <c r="A716" s="242"/>
      <c r="B716" s="443"/>
      <c r="C716" s="443"/>
      <c r="D716" s="443"/>
      <c r="E716" s="443"/>
      <c r="F716" s="443"/>
      <c r="G716" s="242"/>
      <c r="H716" s="242"/>
      <c r="I716" s="242"/>
      <c r="J716" s="242"/>
      <c r="K716" s="13"/>
      <c r="L716" s="242"/>
      <c r="M716" s="242"/>
      <c r="N716" s="13"/>
      <c r="O716" s="242"/>
      <c r="P716" s="242"/>
      <c r="Q716" s="242"/>
      <c r="R716" s="242"/>
      <c r="S716" s="242"/>
      <c r="T716" s="242"/>
      <c r="U716" s="242"/>
      <c r="V716" s="242"/>
      <c r="W716" s="242"/>
      <c r="X716" s="242"/>
      <c r="Y716" s="242"/>
      <c r="Z716" s="242"/>
    </row>
    <row r="717">
      <c r="A717" s="242"/>
      <c r="B717" s="443"/>
      <c r="C717" s="443"/>
      <c r="D717" s="443"/>
      <c r="E717" s="443"/>
      <c r="F717" s="443"/>
      <c r="G717" s="242"/>
      <c r="H717" s="242"/>
      <c r="I717" s="242"/>
      <c r="J717" s="242"/>
      <c r="K717" s="13"/>
      <c r="L717" s="242"/>
      <c r="M717" s="242"/>
      <c r="N717" s="13"/>
      <c r="O717" s="242"/>
      <c r="P717" s="242"/>
      <c r="Q717" s="242"/>
      <c r="R717" s="242"/>
      <c r="S717" s="242"/>
      <c r="T717" s="242"/>
      <c r="U717" s="242"/>
      <c r="V717" s="242"/>
      <c r="W717" s="242"/>
      <c r="X717" s="242"/>
      <c r="Y717" s="242"/>
      <c r="Z717" s="242"/>
    </row>
    <row r="718">
      <c r="A718" s="242"/>
      <c r="B718" s="443"/>
      <c r="C718" s="443"/>
      <c r="D718" s="443"/>
      <c r="E718" s="443"/>
      <c r="F718" s="443"/>
      <c r="G718" s="242"/>
      <c r="H718" s="242"/>
      <c r="I718" s="242"/>
      <c r="J718" s="242"/>
      <c r="K718" s="13"/>
      <c r="L718" s="242"/>
      <c r="M718" s="242"/>
      <c r="N718" s="13"/>
      <c r="O718" s="242"/>
      <c r="P718" s="242"/>
      <c r="Q718" s="242"/>
      <c r="R718" s="242"/>
      <c r="S718" s="242"/>
      <c r="T718" s="242"/>
      <c r="U718" s="242"/>
      <c r="V718" s="242"/>
      <c r="W718" s="242"/>
      <c r="X718" s="242"/>
      <c r="Y718" s="242"/>
      <c r="Z718" s="242"/>
    </row>
    <row r="719">
      <c r="A719" s="242"/>
      <c r="B719" s="443"/>
      <c r="C719" s="443"/>
      <c r="D719" s="443"/>
      <c r="E719" s="443"/>
      <c r="F719" s="443"/>
      <c r="G719" s="242"/>
      <c r="H719" s="242"/>
      <c r="I719" s="242"/>
      <c r="J719" s="242"/>
      <c r="K719" s="13"/>
      <c r="L719" s="242"/>
      <c r="M719" s="242"/>
      <c r="N719" s="13"/>
      <c r="O719" s="242"/>
      <c r="P719" s="242"/>
      <c r="Q719" s="242"/>
      <c r="R719" s="242"/>
      <c r="S719" s="242"/>
      <c r="T719" s="242"/>
      <c r="U719" s="242"/>
      <c r="V719" s="242"/>
      <c r="W719" s="242"/>
      <c r="X719" s="242"/>
      <c r="Y719" s="242"/>
      <c r="Z719" s="242"/>
    </row>
    <row r="720">
      <c r="A720" s="242"/>
      <c r="B720" s="443"/>
      <c r="C720" s="443"/>
      <c r="D720" s="443"/>
      <c r="E720" s="443"/>
      <c r="F720" s="443"/>
      <c r="G720" s="242"/>
      <c r="H720" s="242"/>
      <c r="I720" s="242"/>
      <c r="J720" s="242"/>
      <c r="K720" s="13"/>
      <c r="L720" s="242"/>
      <c r="M720" s="242"/>
      <c r="N720" s="13"/>
      <c r="O720" s="242"/>
      <c r="P720" s="242"/>
      <c r="Q720" s="242"/>
      <c r="R720" s="242"/>
      <c r="S720" s="242"/>
      <c r="T720" s="242"/>
      <c r="U720" s="242"/>
      <c r="V720" s="242"/>
      <c r="W720" s="242"/>
      <c r="X720" s="242"/>
      <c r="Y720" s="242"/>
      <c r="Z720" s="242"/>
    </row>
    <row r="721">
      <c r="A721" s="242"/>
      <c r="B721" s="443"/>
      <c r="C721" s="443"/>
      <c r="D721" s="443"/>
      <c r="E721" s="443"/>
      <c r="F721" s="443"/>
      <c r="G721" s="242"/>
      <c r="H721" s="242"/>
      <c r="I721" s="242"/>
      <c r="J721" s="242"/>
      <c r="K721" s="13"/>
      <c r="L721" s="242"/>
      <c r="M721" s="242"/>
      <c r="N721" s="13"/>
      <c r="O721" s="242"/>
      <c r="P721" s="242"/>
      <c r="Q721" s="242"/>
      <c r="R721" s="242"/>
      <c r="S721" s="242"/>
      <c r="T721" s="242"/>
      <c r="U721" s="242"/>
      <c r="V721" s="242"/>
      <c r="W721" s="242"/>
      <c r="X721" s="242"/>
      <c r="Y721" s="242"/>
      <c r="Z721" s="242"/>
    </row>
    <row r="722">
      <c r="A722" s="242"/>
      <c r="B722" s="443"/>
      <c r="C722" s="443"/>
      <c r="D722" s="443"/>
      <c r="E722" s="443"/>
      <c r="F722" s="443"/>
      <c r="G722" s="242"/>
      <c r="H722" s="242"/>
      <c r="I722" s="242"/>
      <c r="J722" s="242"/>
      <c r="K722" s="13"/>
      <c r="L722" s="242"/>
      <c r="M722" s="242"/>
      <c r="N722" s="13"/>
      <c r="O722" s="242"/>
      <c r="P722" s="242"/>
      <c r="Q722" s="242"/>
      <c r="R722" s="242"/>
      <c r="S722" s="242"/>
      <c r="T722" s="242"/>
      <c r="U722" s="242"/>
      <c r="V722" s="242"/>
      <c r="W722" s="242"/>
      <c r="X722" s="242"/>
      <c r="Y722" s="242"/>
      <c r="Z722" s="242"/>
    </row>
    <row r="723">
      <c r="A723" s="242"/>
      <c r="B723" s="443"/>
      <c r="C723" s="443"/>
      <c r="D723" s="443"/>
      <c r="E723" s="443"/>
      <c r="F723" s="443"/>
      <c r="G723" s="242"/>
      <c r="H723" s="242"/>
      <c r="I723" s="242"/>
      <c r="J723" s="242"/>
      <c r="K723" s="13"/>
      <c r="L723" s="242"/>
      <c r="M723" s="242"/>
      <c r="N723" s="13"/>
      <c r="O723" s="242"/>
      <c r="P723" s="242"/>
      <c r="Q723" s="242"/>
      <c r="R723" s="242"/>
      <c r="S723" s="242"/>
      <c r="T723" s="242"/>
      <c r="U723" s="242"/>
      <c r="V723" s="242"/>
      <c r="W723" s="242"/>
      <c r="X723" s="242"/>
      <c r="Y723" s="242"/>
      <c r="Z723" s="242"/>
    </row>
    <row r="724">
      <c r="A724" s="242"/>
      <c r="B724" s="443"/>
      <c r="C724" s="443"/>
      <c r="D724" s="443"/>
      <c r="E724" s="443"/>
      <c r="F724" s="443"/>
      <c r="G724" s="242"/>
      <c r="H724" s="242"/>
      <c r="I724" s="242"/>
      <c r="J724" s="242"/>
      <c r="K724" s="13"/>
      <c r="L724" s="242"/>
      <c r="M724" s="242"/>
      <c r="N724" s="13"/>
      <c r="O724" s="242"/>
      <c r="P724" s="242"/>
      <c r="Q724" s="242"/>
      <c r="R724" s="242"/>
      <c r="S724" s="242"/>
      <c r="T724" s="242"/>
      <c r="U724" s="242"/>
      <c r="V724" s="242"/>
      <c r="W724" s="242"/>
      <c r="X724" s="242"/>
      <c r="Y724" s="242"/>
      <c r="Z724" s="242"/>
    </row>
    <row r="725">
      <c r="A725" s="242"/>
      <c r="B725" s="443"/>
      <c r="C725" s="443"/>
      <c r="D725" s="443"/>
      <c r="E725" s="443"/>
      <c r="F725" s="443"/>
      <c r="G725" s="242"/>
      <c r="H725" s="242"/>
      <c r="I725" s="242"/>
      <c r="J725" s="242"/>
      <c r="K725" s="13"/>
      <c r="L725" s="242"/>
      <c r="M725" s="242"/>
      <c r="N725" s="13"/>
      <c r="O725" s="242"/>
      <c r="P725" s="242"/>
      <c r="Q725" s="242"/>
      <c r="R725" s="242"/>
      <c r="S725" s="242"/>
      <c r="T725" s="242"/>
      <c r="U725" s="242"/>
      <c r="V725" s="242"/>
      <c r="W725" s="242"/>
      <c r="X725" s="242"/>
      <c r="Y725" s="242"/>
      <c r="Z725" s="242"/>
    </row>
    <row r="726">
      <c r="A726" s="242"/>
      <c r="B726" s="443"/>
      <c r="C726" s="443"/>
      <c r="D726" s="443"/>
      <c r="E726" s="443"/>
      <c r="F726" s="443"/>
      <c r="G726" s="242"/>
      <c r="H726" s="242"/>
      <c r="I726" s="242"/>
      <c r="J726" s="242"/>
      <c r="K726" s="13"/>
      <c r="L726" s="242"/>
      <c r="M726" s="242"/>
      <c r="N726" s="13"/>
      <c r="O726" s="242"/>
      <c r="P726" s="242"/>
      <c r="Q726" s="242"/>
      <c r="R726" s="242"/>
      <c r="S726" s="242"/>
      <c r="T726" s="242"/>
      <c r="U726" s="242"/>
      <c r="V726" s="242"/>
      <c r="W726" s="242"/>
      <c r="X726" s="242"/>
      <c r="Y726" s="242"/>
      <c r="Z726" s="242"/>
    </row>
    <row r="727">
      <c r="A727" s="242"/>
      <c r="B727" s="443"/>
      <c r="C727" s="443"/>
      <c r="D727" s="443"/>
      <c r="E727" s="443"/>
      <c r="F727" s="443"/>
      <c r="G727" s="242"/>
      <c r="H727" s="242"/>
      <c r="I727" s="242"/>
      <c r="J727" s="242"/>
      <c r="K727" s="13"/>
      <c r="L727" s="242"/>
      <c r="M727" s="242"/>
      <c r="N727" s="13"/>
      <c r="O727" s="242"/>
      <c r="P727" s="242"/>
      <c r="Q727" s="242"/>
      <c r="R727" s="242"/>
      <c r="S727" s="242"/>
      <c r="T727" s="242"/>
      <c r="U727" s="242"/>
      <c r="V727" s="242"/>
      <c r="W727" s="242"/>
      <c r="X727" s="242"/>
      <c r="Y727" s="242"/>
      <c r="Z727" s="242"/>
    </row>
    <row r="728">
      <c r="A728" s="242"/>
      <c r="B728" s="443"/>
      <c r="C728" s="443"/>
      <c r="D728" s="443"/>
      <c r="E728" s="443"/>
      <c r="F728" s="443"/>
      <c r="G728" s="242"/>
      <c r="H728" s="242"/>
      <c r="I728" s="242"/>
      <c r="J728" s="242"/>
      <c r="K728" s="13"/>
      <c r="L728" s="242"/>
      <c r="M728" s="242"/>
      <c r="N728" s="13"/>
      <c r="O728" s="242"/>
      <c r="P728" s="242"/>
      <c r="Q728" s="242"/>
      <c r="R728" s="242"/>
      <c r="S728" s="242"/>
      <c r="T728" s="242"/>
      <c r="U728" s="242"/>
      <c r="V728" s="242"/>
      <c r="W728" s="242"/>
      <c r="X728" s="242"/>
      <c r="Y728" s="242"/>
      <c r="Z728" s="242"/>
    </row>
    <row r="729">
      <c r="A729" s="242"/>
      <c r="B729" s="443"/>
      <c r="C729" s="443"/>
      <c r="D729" s="443"/>
      <c r="E729" s="443"/>
      <c r="F729" s="443"/>
      <c r="G729" s="242"/>
      <c r="H729" s="242"/>
      <c r="I729" s="242"/>
      <c r="J729" s="242"/>
      <c r="K729" s="13"/>
      <c r="L729" s="242"/>
      <c r="M729" s="242"/>
      <c r="N729" s="13"/>
      <c r="O729" s="242"/>
      <c r="P729" s="242"/>
      <c r="Q729" s="242"/>
      <c r="R729" s="242"/>
      <c r="S729" s="242"/>
      <c r="T729" s="242"/>
      <c r="U729" s="242"/>
      <c r="V729" s="242"/>
      <c r="W729" s="242"/>
      <c r="X729" s="242"/>
      <c r="Y729" s="242"/>
      <c r="Z729" s="242"/>
    </row>
    <row r="730">
      <c r="A730" s="242"/>
      <c r="B730" s="443"/>
      <c r="C730" s="443"/>
      <c r="D730" s="443"/>
      <c r="E730" s="443"/>
      <c r="F730" s="443"/>
      <c r="G730" s="242"/>
      <c r="H730" s="242"/>
      <c r="I730" s="242"/>
      <c r="J730" s="242"/>
      <c r="K730" s="13"/>
      <c r="L730" s="242"/>
      <c r="M730" s="242"/>
      <c r="N730" s="13"/>
      <c r="O730" s="242"/>
      <c r="P730" s="242"/>
      <c r="Q730" s="242"/>
      <c r="R730" s="242"/>
      <c r="S730" s="242"/>
      <c r="T730" s="242"/>
      <c r="U730" s="242"/>
      <c r="V730" s="242"/>
      <c r="W730" s="242"/>
      <c r="X730" s="242"/>
      <c r="Y730" s="242"/>
      <c r="Z730" s="242"/>
    </row>
    <row r="731">
      <c r="A731" s="242"/>
      <c r="B731" s="443"/>
      <c r="C731" s="443"/>
      <c r="D731" s="443"/>
      <c r="E731" s="443"/>
      <c r="F731" s="443"/>
      <c r="G731" s="242"/>
      <c r="H731" s="242"/>
      <c r="I731" s="242"/>
      <c r="J731" s="242"/>
      <c r="K731" s="13"/>
      <c r="L731" s="242"/>
      <c r="M731" s="242"/>
      <c r="N731" s="13"/>
      <c r="O731" s="242"/>
      <c r="P731" s="242"/>
      <c r="Q731" s="242"/>
      <c r="R731" s="242"/>
      <c r="S731" s="242"/>
      <c r="T731" s="242"/>
      <c r="U731" s="242"/>
      <c r="V731" s="242"/>
      <c r="W731" s="242"/>
      <c r="X731" s="242"/>
      <c r="Y731" s="242"/>
      <c r="Z731" s="242"/>
    </row>
    <row r="732">
      <c r="A732" s="242"/>
      <c r="B732" s="443"/>
      <c r="C732" s="443"/>
      <c r="D732" s="443"/>
      <c r="E732" s="443"/>
      <c r="F732" s="443"/>
      <c r="G732" s="242"/>
      <c r="H732" s="242"/>
      <c r="I732" s="242"/>
      <c r="J732" s="242"/>
      <c r="K732" s="13"/>
      <c r="L732" s="242"/>
      <c r="M732" s="242"/>
      <c r="N732" s="13"/>
      <c r="O732" s="242"/>
      <c r="P732" s="242"/>
      <c r="Q732" s="242"/>
      <c r="R732" s="242"/>
      <c r="S732" s="242"/>
      <c r="T732" s="242"/>
      <c r="U732" s="242"/>
      <c r="V732" s="242"/>
      <c r="W732" s="242"/>
      <c r="X732" s="242"/>
      <c r="Y732" s="242"/>
      <c r="Z732" s="242"/>
    </row>
    <row r="733">
      <c r="A733" s="242"/>
      <c r="B733" s="443"/>
      <c r="C733" s="443"/>
      <c r="D733" s="443"/>
      <c r="E733" s="443"/>
      <c r="F733" s="443"/>
      <c r="G733" s="242"/>
      <c r="H733" s="242"/>
      <c r="I733" s="242"/>
      <c r="J733" s="242"/>
      <c r="K733" s="13"/>
      <c r="L733" s="242"/>
      <c r="M733" s="242"/>
      <c r="N733" s="13"/>
      <c r="O733" s="242"/>
      <c r="P733" s="242"/>
      <c r="Q733" s="242"/>
      <c r="R733" s="242"/>
      <c r="S733" s="242"/>
      <c r="T733" s="242"/>
      <c r="U733" s="242"/>
      <c r="V733" s="242"/>
      <c r="W733" s="242"/>
      <c r="X733" s="242"/>
      <c r="Y733" s="242"/>
      <c r="Z733" s="242"/>
    </row>
    <row r="734">
      <c r="A734" s="242"/>
      <c r="B734" s="443"/>
      <c r="C734" s="443"/>
      <c r="D734" s="443"/>
      <c r="E734" s="443"/>
      <c r="F734" s="443"/>
      <c r="G734" s="242"/>
      <c r="H734" s="242"/>
      <c r="I734" s="242"/>
      <c r="J734" s="242"/>
      <c r="K734" s="13"/>
      <c r="L734" s="242"/>
      <c r="M734" s="242"/>
      <c r="N734" s="13"/>
      <c r="O734" s="242"/>
      <c r="P734" s="242"/>
      <c r="Q734" s="242"/>
      <c r="R734" s="242"/>
      <c r="S734" s="242"/>
      <c r="T734" s="242"/>
      <c r="U734" s="242"/>
      <c r="V734" s="242"/>
      <c r="W734" s="242"/>
      <c r="X734" s="242"/>
      <c r="Y734" s="242"/>
      <c r="Z734" s="242"/>
    </row>
    <row r="735">
      <c r="A735" s="242"/>
      <c r="B735" s="443"/>
      <c r="C735" s="443"/>
      <c r="D735" s="443"/>
      <c r="E735" s="443"/>
      <c r="F735" s="443"/>
      <c r="G735" s="242"/>
      <c r="H735" s="242"/>
      <c r="I735" s="242"/>
      <c r="J735" s="242"/>
      <c r="K735" s="13"/>
      <c r="L735" s="242"/>
      <c r="M735" s="242"/>
      <c r="N735" s="13"/>
      <c r="O735" s="242"/>
      <c r="P735" s="242"/>
      <c r="Q735" s="242"/>
      <c r="R735" s="242"/>
      <c r="S735" s="242"/>
      <c r="T735" s="242"/>
      <c r="U735" s="242"/>
      <c r="V735" s="242"/>
      <c r="W735" s="242"/>
      <c r="X735" s="242"/>
      <c r="Y735" s="242"/>
      <c r="Z735" s="242"/>
    </row>
    <row r="736">
      <c r="A736" s="242"/>
      <c r="B736" s="443"/>
      <c r="C736" s="443"/>
      <c r="D736" s="443"/>
      <c r="E736" s="443"/>
      <c r="F736" s="443"/>
      <c r="G736" s="242"/>
      <c r="H736" s="242"/>
      <c r="I736" s="242"/>
      <c r="J736" s="242"/>
      <c r="K736" s="13"/>
      <c r="L736" s="242"/>
      <c r="M736" s="242"/>
      <c r="N736" s="13"/>
      <c r="O736" s="242"/>
      <c r="P736" s="242"/>
      <c r="Q736" s="242"/>
      <c r="R736" s="242"/>
      <c r="S736" s="242"/>
      <c r="T736" s="242"/>
      <c r="U736" s="242"/>
      <c r="V736" s="242"/>
      <c r="W736" s="242"/>
      <c r="X736" s="242"/>
      <c r="Y736" s="242"/>
      <c r="Z736" s="242"/>
    </row>
    <row r="737">
      <c r="A737" s="242"/>
      <c r="B737" s="443"/>
      <c r="C737" s="443"/>
      <c r="D737" s="443"/>
      <c r="E737" s="443"/>
      <c r="F737" s="443"/>
      <c r="G737" s="242"/>
      <c r="H737" s="242"/>
      <c r="I737" s="242"/>
      <c r="J737" s="242"/>
      <c r="K737" s="13"/>
      <c r="L737" s="242"/>
      <c r="M737" s="242"/>
      <c r="N737" s="13"/>
      <c r="O737" s="242"/>
      <c r="P737" s="242"/>
      <c r="Q737" s="242"/>
      <c r="R737" s="242"/>
      <c r="S737" s="242"/>
      <c r="T737" s="242"/>
      <c r="U737" s="242"/>
      <c r="V737" s="242"/>
      <c r="W737" s="242"/>
      <c r="X737" s="242"/>
      <c r="Y737" s="242"/>
      <c r="Z737" s="242"/>
    </row>
    <row r="738">
      <c r="A738" s="242"/>
      <c r="B738" s="443"/>
      <c r="C738" s="443"/>
      <c r="D738" s="443"/>
      <c r="E738" s="443"/>
      <c r="F738" s="443"/>
      <c r="G738" s="242"/>
      <c r="H738" s="242"/>
      <c r="I738" s="242"/>
      <c r="J738" s="242"/>
      <c r="K738" s="13"/>
      <c r="L738" s="242"/>
      <c r="M738" s="242"/>
      <c r="N738" s="13"/>
      <c r="O738" s="242"/>
      <c r="P738" s="242"/>
      <c r="Q738" s="242"/>
      <c r="R738" s="242"/>
      <c r="S738" s="242"/>
      <c r="T738" s="242"/>
      <c r="U738" s="242"/>
      <c r="V738" s="242"/>
      <c r="W738" s="242"/>
      <c r="X738" s="242"/>
      <c r="Y738" s="242"/>
      <c r="Z738" s="242"/>
    </row>
    <row r="739">
      <c r="A739" s="242"/>
      <c r="B739" s="443"/>
      <c r="C739" s="443"/>
      <c r="D739" s="443"/>
      <c r="E739" s="443"/>
      <c r="F739" s="443"/>
      <c r="G739" s="242"/>
      <c r="H739" s="242"/>
      <c r="I739" s="242"/>
      <c r="J739" s="242"/>
      <c r="K739" s="13"/>
      <c r="L739" s="242"/>
      <c r="M739" s="242"/>
      <c r="N739" s="13"/>
      <c r="O739" s="242"/>
      <c r="P739" s="242"/>
      <c r="Q739" s="242"/>
      <c r="R739" s="242"/>
      <c r="S739" s="242"/>
      <c r="T739" s="242"/>
      <c r="U739" s="242"/>
      <c r="V739" s="242"/>
      <c r="W739" s="242"/>
      <c r="X739" s="242"/>
      <c r="Y739" s="242"/>
      <c r="Z739" s="242"/>
    </row>
    <row r="740">
      <c r="A740" s="242"/>
      <c r="B740" s="443"/>
      <c r="C740" s="443"/>
      <c r="D740" s="443"/>
      <c r="E740" s="443"/>
      <c r="F740" s="443"/>
      <c r="G740" s="242"/>
      <c r="H740" s="242"/>
      <c r="I740" s="242"/>
      <c r="J740" s="242"/>
      <c r="K740" s="13"/>
      <c r="L740" s="242"/>
      <c r="M740" s="242"/>
      <c r="N740" s="13"/>
      <c r="O740" s="242"/>
      <c r="P740" s="242"/>
      <c r="Q740" s="242"/>
      <c r="R740" s="242"/>
      <c r="S740" s="242"/>
      <c r="T740" s="242"/>
      <c r="U740" s="242"/>
      <c r="V740" s="242"/>
      <c r="W740" s="242"/>
      <c r="X740" s="242"/>
      <c r="Y740" s="242"/>
      <c r="Z740" s="242"/>
    </row>
    <row r="741">
      <c r="A741" s="242"/>
      <c r="B741" s="443"/>
      <c r="C741" s="443"/>
      <c r="D741" s="443"/>
      <c r="E741" s="443"/>
      <c r="F741" s="443"/>
      <c r="G741" s="242"/>
      <c r="H741" s="242"/>
      <c r="I741" s="242"/>
      <c r="J741" s="242"/>
      <c r="K741" s="13"/>
      <c r="L741" s="242"/>
      <c r="M741" s="242"/>
      <c r="N741" s="13"/>
      <c r="O741" s="242"/>
      <c r="P741" s="242"/>
      <c r="Q741" s="242"/>
      <c r="R741" s="242"/>
      <c r="S741" s="242"/>
      <c r="T741" s="242"/>
      <c r="U741" s="242"/>
      <c r="V741" s="242"/>
      <c r="W741" s="242"/>
      <c r="X741" s="242"/>
      <c r="Y741" s="242"/>
      <c r="Z741" s="242"/>
    </row>
    <row r="742">
      <c r="A742" s="242"/>
      <c r="B742" s="443"/>
      <c r="C742" s="443"/>
      <c r="D742" s="443"/>
      <c r="E742" s="443"/>
      <c r="F742" s="443"/>
      <c r="G742" s="242"/>
      <c r="H742" s="242"/>
      <c r="I742" s="242"/>
      <c r="J742" s="242"/>
      <c r="K742" s="13"/>
      <c r="L742" s="242"/>
      <c r="M742" s="242"/>
      <c r="N742" s="13"/>
      <c r="O742" s="242"/>
      <c r="P742" s="242"/>
      <c r="Q742" s="242"/>
      <c r="R742" s="242"/>
      <c r="S742" s="242"/>
      <c r="T742" s="242"/>
      <c r="U742" s="242"/>
      <c r="V742" s="242"/>
      <c r="W742" s="242"/>
      <c r="X742" s="242"/>
      <c r="Y742" s="242"/>
      <c r="Z742" s="242"/>
    </row>
    <row r="743">
      <c r="A743" s="242"/>
      <c r="B743" s="443"/>
      <c r="C743" s="443"/>
      <c r="D743" s="443"/>
      <c r="E743" s="443"/>
      <c r="F743" s="443"/>
      <c r="G743" s="242"/>
      <c r="H743" s="242"/>
      <c r="I743" s="242"/>
      <c r="J743" s="242"/>
      <c r="K743" s="13"/>
      <c r="L743" s="242"/>
      <c r="M743" s="242"/>
      <c r="N743" s="13"/>
      <c r="O743" s="242"/>
      <c r="P743" s="242"/>
      <c r="Q743" s="242"/>
      <c r="R743" s="242"/>
      <c r="S743" s="242"/>
      <c r="T743" s="242"/>
      <c r="U743" s="242"/>
      <c r="V743" s="242"/>
      <c r="W743" s="242"/>
      <c r="X743" s="242"/>
      <c r="Y743" s="242"/>
      <c r="Z743" s="242"/>
    </row>
    <row r="744">
      <c r="A744" s="242"/>
      <c r="B744" s="443"/>
      <c r="C744" s="443"/>
      <c r="D744" s="443"/>
      <c r="E744" s="443"/>
      <c r="F744" s="443"/>
      <c r="G744" s="242"/>
      <c r="H744" s="242"/>
      <c r="I744" s="242"/>
      <c r="J744" s="242"/>
      <c r="K744" s="13"/>
      <c r="L744" s="242"/>
      <c r="M744" s="242"/>
      <c r="N744" s="13"/>
      <c r="O744" s="242"/>
      <c r="P744" s="242"/>
      <c r="Q744" s="242"/>
      <c r="R744" s="242"/>
      <c r="S744" s="242"/>
      <c r="T744" s="242"/>
      <c r="U744" s="242"/>
      <c r="V744" s="242"/>
      <c r="W744" s="242"/>
      <c r="X744" s="242"/>
      <c r="Y744" s="242"/>
      <c r="Z744" s="242"/>
    </row>
    <row r="745">
      <c r="A745" s="242"/>
      <c r="B745" s="443"/>
      <c r="C745" s="443"/>
      <c r="D745" s="443"/>
      <c r="E745" s="443"/>
      <c r="F745" s="443"/>
      <c r="G745" s="242"/>
      <c r="H745" s="242"/>
      <c r="I745" s="242"/>
      <c r="J745" s="242"/>
      <c r="K745" s="13"/>
      <c r="L745" s="242"/>
      <c r="M745" s="242"/>
      <c r="N745" s="13"/>
      <c r="O745" s="242"/>
      <c r="P745" s="242"/>
      <c r="Q745" s="242"/>
      <c r="R745" s="242"/>
      <c r="S745" s="242"/>
      <c r="T745" s="242"/>
      <c r="U745" s="242"/>
      <c r="V745" s="242"/>
      <c r="W745" s="242"/>
      <c r="X745" s="242"/>
      <c r="Y745" s="242"/>
      <c r="Z745" s="242"/>
    </row>
    <row r="746">
      <c r="A746" s="242"/>
      <c r="B746" s="443"/>
      <c r="C746" s="443"/>
      <c r="D746" s="443"/>
      <c r="E746" s="443"/>
      <c r="F746" s="443"/>
      <c r="G746" s="242"/>
      <c r="H746" s="242"/>
      <c r="I746" s="242"/>
      <c r="J746" s="242"/>
      <c r="K746" s="13"/>
      <c r="L746" s="242"/>
      <c r="M746" s="242"/>
      <c r="N746" s="13"/>
      <c r="O746" s="242"/>
      <c r="P746" s="242"/>
      <c r="Q746" s="242"/>
      <c r="R746" s="242"/>
      <c r="S746" s="242"/>
      <c r="T746" s="242"/>
      <c r="U746" s="242"/>
      <c r="V746" s="242"/>
      <c r="W746" s="242"/>
      <c r="X746" s="242"/>
      <c r="Y746" s="242"/>
      <c r="Z746" s="242"/>
    </row>
    <row r="747">
      <c r="A747" s="242"/>
      <c r="B747" s="443"/>
      <c r="C747" s="443"/>
      <c r="D747" s="443"/>
      <c r="E747" s="443"/>
      <c r="F747" s="443"/>
      <c r="G747" s="242"/>
      <c r="H747" s="242"/>
      <c r="I747" s="242"/>
      <c r="J747" s="242"/>
      <c r="K747" s="13"/>
      <c r="L747" s="242"/>
      <c r="M747" s="242"/>
      <c r="N747" s="13"/>
      <c r="O747" s="242"/>
      <c r="P747" s="242"/>
      <c r="Q747" s="242"/>
      <c r="R747" s="242"/>
      <c r="S747" s="242"/>
      <c r="T747" s="242"/>
      <c r="U747" s="242"/>
      <c r="V747" s="242"/>
      <c r="W747" s="242"/>
      <c r="X747" s="242"/>
      <c r="Y747" s="242"/>
      <c r="Z747" s="242"/>
    </row>
    <row r="748">
      <c r="A748" s="242"/>
      <c r="B748" s="443"/>
      <c r="C748" s="443"/>
      <c r="D748" s="443"/>
      <c r="E748" s="443"/>
      <c r="F748" s="443"/>
      <c r="G748" s="242"/>
      <c r="H748" s="242"/>
      <c r="I748" s="242"/>
      <c r="J748" s="242"/>
      <c r="K748" s="13"/>
      <c r="L748" s="242"/>
      <c r="M748" s="242"/>
      <c r="N748" s="13"/>
      <c r="O748" s="242"/>
      <c r="P748" s="242"/>
      <c r="Q748" s="242"/>
      <c r="R748" s="242"/>
      <c r="S748" s="242"/>
      <c r="T748" s="242"/>
      <c r="U748" s="242"/>
      <c r="V748" s="242"/>
      <c r="W748" s="242"/>
      <c r="X748" s="242"/>
      <c r="Y748" s="242"/>
      <c r="Z748" s="242"/>
    </row>
    <row r="749">
      <c r="A749" s="242"/>
      <c r="B749" s="443"/>
      <c r="C749" s="443"/>
      <c r="D749" s="443"/>
      <c r="E749" s="443"/>
      <c r="F749" s="443"/>
      <c r="G749" s="242"/>
      <c r="H749" s="242"/>
      <c r="I749" s="242"/>
      <c r="J749" s="242"/>
      <c r="K749" s="13"/>
      <c r="L749" s="242"/>
      <c r="M749" s="242"/>
      <c r="N749" s="13"/>
      <c r="O749" s="242"/>
      <c r="P749" s="242"/>
      <c r="Q749" s="242"/>
      <c r="R749" s="242"/>
      <c r="S749" s="242"/>
      <c r="T749" s="242"/>
      <c r="U749" s="242"/>
      <c r="V749" s="242"/>
      <c r="W749" s="242"/>
      <c r="X749" s="242"/>
      <c r="Y749" s="242"/>
      <c r="Z749" s="242"/>
    </row>
    <row r="750">
      <c r="A750" s="242"/>
      <c r="B750" s="443"/>
      <c r="C750" s="443"/>
      <c r="D750" s="443"/>
      <c r="E750" s="443"/>
      <c r="F750" s="443"/>
      <c r="G750" s="242"/>
      <c r="H750" s="242"/>
      <c r="I750" s="242"/>
      <c r="J750" s="242"/>
      <c r="K750" s="13"/>
      <c r="L750" s="242"/>
      <c r="M750" s="242"/>
      <c r="N750" s="13"/>
      <c r="O750" s="242"/>
      <c r="P750" s="242"/>
      <c r="Q750" s="242"/>
      <c r="R750" s="242"/>
      <c r="S750" s="242"/>
      <c r="T750" s="242"/>
      <c r="U750" s="242"/>
      <c r="V750" s="242"/>
      <c r="W750" s="242"/>
      <c r="X750" s="242"/>
      <c r="Y750" s="242"/>
      <c r="Z750" s="242"/>
    </row>
    <row r="751">
      <c r="A751" s="242"/>
      <c r="B751" s="443"/>
      <c r="C751" s="443"/>
      <c r="D751" s="443"/>
      <c r="E751" s="443"/>
      <c r="F751" s="443"/>
      <c r="G751" s="242"/>
      <c r="H751" s="242"/>
      <c r="I751" s="242"/>
      <c r="J751" s="242"/>
      <c r="K751" s="13"/>
      <c r="L751" s="242"/>
      <c r="M751" s="242"/>
      <c r="N751" s="13"/>
      <c r="O751" s="242"/>
      <c r="P751" s="242"/>
      <c r="Q751" s="242"/>
      <c r="R751" s="242"/>
      <c r="S751" s="242"/>
      <c r="T751" s="242"/>
      <c r="U751" s="242"/>
      <c r="V751" s="242"/>
      <c r="W751" s="242"/>
      <c r="X751" s="242"/>
      <c r="Y751" s="242"/>
      <c r="Z751" s="242"/>
    </row>
    <row r="752">
      <c r="A752" s="242"/>
      <c r="B752" s="443"/>
      <c r="C752" s="443"/>
      <c r="D752" s="443"/>
      <c r="E752" s="443"/>
      <c r="F752" s="443"/>
      <c r="G752" s="242"/>
      <c r="H752" s="242"/>
      <c r="I752" s="242"/>
      <c r="J752" s="242"/>
      <c r="K752" s="13"/>
      <c r="L752" s="242"/>
      <c r="M752" s="242"/>
      <c r="N752" s="13"/>
      <c r="O752" s="242"/>
      <c r="P752" s="242"/>
      <c r="Q752" s="242"/>
      <c r="R752" s="242"/>
      <c r="S752" s="242"/>
      <c r="T752" s="242"/>
      <c r="U752" s="242"/>
      <c r="V752" s="242"/>
      <c r="W752" s="242"/>
      <c r="X752" s="242"/>
      <c r="Y752" s="242"/>
      <c r="Z752" s="242"/>
    </row>
    <row r="753">
      <c r="A753" s="242"/>
      <c r="B753" s="443"/>
      <c r="C753" s="443"/>
      <c r="D753" s="443"/>
      <c r="E753" s="443"/>
      <c r="F753" s="443"/>
      <c r="G753" s="242"/>
      <c r="H753" s="242"/>
      <c r="I753" s="242"/>
      <c r="J753" s="242"/>
      <c r="K753" s="13"/>
      <c r="L753" s="242"/>
      <c r="M753" s="242"/>
      <c r="N753" s="13"/>
      <c r="O753" s="242"/>
      <c r="P753" s="242"/>
      <c r="Q753" s="242"/>
      <c r="R753" s="242"/>
      <c r="S753" s="242"/>
      <c r="T753" s="242"/>
      <c r="U753" s="242"/>
      <c r="V753" s="242"/>
      <c r="W753" s="242"/>
      <c r="X753" s="242"/>
      <c r="Y753" s="242"/>
      <c r="Z753" s="242"/>
    </row>
    <row r="754">
      <c r="A754" s="242"/>
      <c r="B754" s="443"/>
      <c r="C754" s="443"/>
      <c r="D754" s="443"/>
      <c r="E754" s="443"/>
      <c r="F754" s="443"/>
      <c r="G754" s="242"/>
      <c r="H754" s="242"/>
      <c r="I754" s="242"/>
      <c r="J754" s="242"/>
      <c r="K754" s="13"/>
      <c r="L754" s="242"/>
      <c r="M754" s="242"/>
      <c r="N754" s="13"/>
      <c r="O754" s="242"/>
      <c r="P754" s="242"/>
      <c r="Q754" s="242"/>
      <c r="R754" s="242"/>
      <c r="S754" s="242"/>
      <c r="T754" s="242"/>
      <c r="U754" s="242"/>
      <c r="V754" s="242"/>
      <c r="W754" s="242"/>
      <c r="X754" s="242"/>
      <c r="Y754" s="242"/>
      <c r="Z754" s="242"/>
    </row>
    <row r="755">
      <c r="A755" s="242"/>
      <c r="B755" s="443"/>
      <c r="C755" s="443"/>
      <c r="D755" s="443"/>
      <c r="E755" s="443"/>
      <c r="F755" s="443"/>
      <c r="G755" s="242"/>
      <c r="H755" s="242"/>
      <c r="I755" s="242"/>
      <c r="J755" s="242"/>
      <c r="K755" s="13"/>
      <c r="L755" s="242"/>
      <c r="M755" s="242"/>
      <c r="N755" s="13"/>
      <c r="O755" s="242"/>
      <c r="P755" s="242"/>
      <c r="Q755" s="242"/>
      <c r="R755" s="242"/>
      <c r="S755" s="242"/>
      <c r="T755" s="242"/>
      <c r="U755" s="242"/>
      <c r="V755" s="242"/>
      <c r="W755" s="242"/>
      <c r="X755" s="242"/>
      <c r="Y755" s="242"/>
      <c r="Z755" s="242"/>
    </row>
    <row r="756">
      <c r="A756" s="242"/>
      <c r="B756" s="443"/>
      <c r="C756" s="443"/>
      <c r="D756" s="443"/>
      <c r="E756" s="443"/>
      <c r="F756" s="443"/>
      <c r="G756" s="242"/>
      <c r="H756" s="242"/>
      <c r="I756" s="242"/>
      <c r="J756" s="242"/>
      <c r="K756" s="13"/>
      <c r="L756" s="242"/>
      <c r="M756" s="242"/>
      <c r="N756" s="13"/>
      <c r="O756" s="242"/>
      <c r="P756" s="242"/>
      <c r="Q756" s="242"/>
      <c r="R756" s="242"/>
      <c r="S756" s="242"/>
      <c r="T756" s="242"/>
      <c r="U756" s="242"/>
      <c r="V756" s="242"/>
      <c r="W756" s="242"/>
      <c r="X756" s="242"/>
      <c r="Y756" s="242"/>
      <c r="Z756" s="242"/>
    </row>
    <row r="757">
      <c r="A757" s="242"/>
      <c r="B757" s="443"/>
      <c r="C757" s="443"/>
      <c r="D757" s="443"/>
      <c r="E757" s="443"/>
      <c r="F757" s="443"/>
      <c r="G757" s="242"/>
      <c r="H757" s="242"/>
      <c r="I757" s="242"/>
      <c r="J757" s="242"/>
      <c r="K757" s="13"/>
      <c r="L757" s="242"/>
      <c r="M757" s="242"/>
      <c r="N757" s="13"/>
      <c r="O757" s="242"/>
      <c r="P757" s="242"/>
      <c r="Q757" s="242"/>
      <c r="R757" s="242"/>
      <c r="S757" s="242"/>
      <c r="T757" s="242"/>
      <c r="U757" s="242"/>
      <c r="V757" s="242"/>
      <c r="W757" s="242"/>
      <c r="X757" s="242"/>
      <c r="Y757" s="242"/>
      <c r="Z757" s="242"/>
    </row>
    <row r="758">
      <c r="A758" s="242"/>
      <c r="B758" s="443"/>
      <c r="C758" s="443"/>
      <c r="D758" s="443"/>
      <c r="E758" s="443"/>
      <c r="F758" s="443"/>
      <c r="G758" s="242"/>
      <c r="H758" s="242"/>
      <c r="I758" s="242"/>
      <c r="J758" s="242"/>
      <c r="K758" s="13"/>
      <c r="L758" s="242"/>
      <c r="M758" s="242"/>
      <c r="N758" s="13"/>
      <c r="O758" s="242"/>
      <c r="P758" s="242"/>
      <c r="Q758" s="242"/>
      <c r="R758" s="242"/>
      <c r="S758" s="242"/>
      <c r="T758" s="242"/>
      <c r="U758" s="242"/>
      <c r="V758" s="242"/>
      <c r="W758" s="242"/>
      <c r="X758" s="242"/>
      <c r="Y758" s="242"/>
      <c r="Z758" s="242"/>
    </row>
    <row r="759">
      <c r="A759" s="242"/>
      <c r="B759" s="443"/>
      <c r="C759" s="443"/>
      <c r="D759" s="443"/>
      <c r="E759" s="443"/>
      <c r="F759" s="443"/>
      <c r="G759" s="242"/>
      <c r="H759" s="242"/>
      <c r="I759" s="242"/>
      <c r="J759" s="242"/>
      <c r="K759" s="13"/>
      <c r="L759" s="242"/>
      <c r="M759" s="242"/>
      <c r="N759" s="13"/>
      <c r="O759" s="242"/>
      <c r="P759" s="242"/>
      <c r="Q759" s="242"/>
      <c r="R759" s="242"/>
      <c r="S759" s="242"/>
      <c r="T759" s="242"/>
      <c r="U759" s="242"/>
      <c r="V759" s="242"/>
      <c r="W759" s="242"/>
      <c r="X759" s="242"/>
      <c r="Y759" s="242"/>
      <c r="Z759" s="242"/>
    </row>
    <row r="760">
      <c r="A760" s="242"/>
      <c r="B760" s="443"/>
      <c r="C760" s="443"/>
      <c r="D760" s="443"/>
      <c r="E760" s="443"/>
      <c r="F760" s="443"/>
      <c r="G760" s="242"/>
      <c r="H760" s="242"/>
      <c r="I760" s="242"/>
      <c r="J760" s="242"/>
      <c r="K760" s="13"/>
      <c r="L760" s="242"/>
      <c r="M760" s="242"/>
      <c r="N760" s="13"/>
      <c r="O760" s="242"/>
      <c r="P760" s="242"/>
      <c r="Q760" s="242"/>
      <c r="R760" s="242"/>
      <c r="S760" s="242"/>
      <c r="T760" s="242"/>
      <c r="U760" s="242"/>
      <c r="V760" s="242"/>
      <c r="W760" s="242"/>
      <c r="X760" s="242"/>
      <c r="Y760" s="242"/>
      <c r="Z760" s="242"/>
    </row>
    <row r="761">
      <c r="A761" s="242"/>
      <c r="B761" s="443"/>
      <c r="C761" s="443"/>
      <c r="D761" s="443"/>
      <c r="E761" s="443"/>
      <c r="F761" s="443"/>
      <c r="G761" s="242"/>
      <c r="H761" s="242"/>
      <c r="I761" s="242"/>
      <c r="J761" s="242"/>
      <c r="K761" s="13"/>
      <c r="L761" s="242"/>
      <c r="M761" s="242"/>
      <c r="N761" s="13"/>
      <c r="O761" s="242"/>
      <c r="P761" s="242"/>
      <c r="Q761" s="242"/>
      <c r="R761" s="242"/>
      <c r="S761" s="242"/>
      <c r="T761" s="242"/>
      <c r="U761" s="242"/>
      <c r="V761" s="242"/>
      <c r="W761" s="242"/>
      <c r="X761" s="242"/>
      <c r="Y761" s="242"/>
      <c r="Z761" s="242"/>
    </row>
    <row r="762">
      <c r="A762" s="242"/>
      <c r="B762" s="443"/>
      <c r="C762" s="443"/>
      <c r="D762" s="443"/>
      <c r="E762" s="443"/>
      <c r="F762" s="443"/>
      <c r="G762" s="242"/>
      <c r="H762" s="242"/>
      <c r="I762" s="242"/>
      <c r="J762" s="242"/>
      <c r="K762" s="13"/>
      <c r="L762" s="242"/>
      <c r="M762" s="242"/>
      <c r="N762" s="13"/>
      <c r="O762" s="242"/>
      <c r="P762" s="242"/>
      <c r="Q762" s="242"/>
      <c r="R762" s="242"/>
      <c r="S762" s="242"/>
      <c r="T762" s="242"/>
      <c r="U762" s="242"/>
      <c r="V762" s="242"/>
      <c r="W762" s="242"/>
      <c r="X762" s="242"/>
      <c r="Y762" s="242"/>
      <c r="Z762" s="242"/>
    </row>
    <row r="763">
      <c r="A763" s="242"/>
      <c r="B763" s="443"/>
      <c r="C763" s="443"/>
      <c r="D763" s="443"/>
      <c r="E763" s="443"/>
      <c r="F763" s="443"/>
      <c r="G763" s="242"/>
      <c r="H763" s="242"/>
      <c r="I763" s="242"/>
      <c r="J763" s="242"/>
      <c r="K763" s="13"/>
      <c r="L763" s="242"/>
      <c r="M763" s="242"/>
      <c r="N763" s="13"/>
      <c r="O763" s="242"/>
      <c r="P763" s="242"/>
      <c r="Q763" s="242"/>
      <c r="R763" s="242"/>
      <c r="S763" s="242"/>
      <c r="T763" s="242"/>
      <c r="U763" s="242"/>
      <c r="V763" s="242"/>
      <c r="W763" s="242"/>
      <c r="X763" s="242"/>
      <c r="Y763" s="242"/>
      <c r="Z763" s="242"/>
    </row>
    <row r="764">
      <c r="A764" s="242"/>
      <c r="B764" s="443"/>
      <c r="C764" s="443"/>
      <c r="D764" s="443"/>
      <c r="E764" s="443"/>
      <c r="F764" s="443"/>
      <c r="G764" s="242"/>
      <c r="H764" s="242"/>
      <c r="I764" s="242"/>
      <c r="J764" s="242"/>
      <c r="K764" s="13"/>
      <c r="L764" s="242"/>
      <c r="M764" s="242"/>
      <c r="N764" s="13"/>
      <c r="O764" s="242"/>
      <c r="P764" s="242"/>
      <c r="Q764" s="242"/>
      <c r="R764" s="242"/>
      <c r="S764" s="242"/>
      <c r="T764" s="242"/>
      <c r="U764" s="242"/>
      <c r="V764" s="242"/>
      <c r="W764" s="242"/>
      <c r="X764" s="242"/>
      <c r="Y764" s="242"/>
      <c r="Z764" s="242"/>
    </row>
    <row r="765">
      <c r="A765" s="242"/>
      <c r="B765" s="443"/>
      <c r="C765" s="443"/>
      <c r="D765" s="443"/>
      <c r="E765" s="443"/>
      <c r="F765" s="443"/>
      <c r="G765" s="242"/>
      <c r="H765" s="242"/>
      <c r="I765" s="242"/>
      <c r="J765" s="242"/>
      <c r="K765" s="13"/>
      <c r="L765" s="242"/>
      <c r="M765" s="242"/>
      <c r="N765" s="13"/>
      <c r="O765" s="242"/>
      <c r="P765" s="242"/>
      <c r="Q765" s="242"/>
      <c r="R765" s="242"/>
      <c r="S765" s="242"/>
      <c r="T765" s="242"/>
      <c r="U765" s="242"/>
      <c r="V765" s="242"/>
      <c r="W765" s="242"/>
      <c r="X765" s="242"/>
      <c r="Y765" s="242"/>
      <c r="Z765" s="242"/>
    </row>
    <row r="766">
      <c r="A766" s="242"/>
      <c r="B766" s="443"/>
      <c r="C766" s="443"/>
      <c r="D766" s="443"/>
      <c r="E766" s="443"/>
      <c r="F766" s="443"/>
      <c r="G766" s="242"/>
      <c r="H766" s="242"/>
      <c r="I766" s="242"/>
      <c r="J766" s="242"/>
      <c r="K766" s="13"/>
      <c r="L766" s="242"/>
      <c r="M766" s="242"/>
      <c r="N766" s="13"/>
      <c r="O766" s="242"/>
      <c r="P766" s="242"/>
      <c r="Q766" s="242"/>
      <c r="R766" s="242"/>
      <c r="S766" s="242"/>
      <c r="T766" s="242"/>
      <c r="U766" s="242"/>
      <c r="V766" s="242"/>
      <c r="W766" s="242"/>
      <c r="X766" s="242"/>
      <c r="Y766" s="242"/>
      <c r="Z766" s="242"/>
    </row>
    <row r="767">
      <c r="A767" s="242"/>
      <c r="B767" s="443"/>
      <c r="C767" s="443"/>
      <c r="D767" s="443"/>
      <c r="E767" s="443"/>
      <c r="F767" s="443"/>
      <c r="G767" s="242"/>
      <c r="H767" s="242"/>
      <c r="I767" s="242"/>
      <c r="J767" s="242"/>
      <c r="K767" s="13"/>
      <c r="L767" s="242"/>
      <c r="M767" s="242"/>
      <c r="N767" s="13"/>
      <c r="O767" s="242"/>
      <c r="P767" s="242"/>
      <c r="Q767" s="242"/>
      <c r="R767" s="242"/>
      <c r="S767" s="242"/>
      <c r="T767" s="242"/>
      <c r="U767" s="242"/>
      <c r="V767" s="242"/>
      <c r="W767" s="242"/>
      <c r="X767" s="242"/>
      <c r="Y767" s="242"/>
      <c r="Z767" s="242"/>
    </row>
    <row r="768">
      <c r="A768" s="242"/>
      <c r="B768" s="443"/>
      <c r="C768" s="443"/>
      <c r="D768" s="443"/>
      <c r="E768" s="443"/>
      <c r="F768" s="443"/>
      <c r="G768" s="242"/>
      <c r="H768" s="242"/>
      <c r="I768" s="242"/>
      <c r="J768" s="242"/>
      <c r="K768" s="13"/>
      <c r="L768" s="242"/>
      <c r="M768" s="242"/>
      <c r="N768" s="13"/>
      <c r="O768" s="242"/>
      <c r="P768" s="242"/>
      <c r="Q768" s="242"/>
      <c r="R768" s="242"/>
      <c r="S768" s="242"/>
      <c r="T768" s="242"/>
      <c r="U768" s="242"/>
      <c r="V768" s="242"/>
      <c r="W768" s="242"/>
      <c r="X768" s="242"/>
      <c r="Y768" s="242"/>
      <c r="Z768" s="242"/>
    </row>
    <row r="769">
      <c r="A769" s="242"/>
      <c r="B769" s="443"/>
      <c r="C769" s="443"/>
      <c r="D769" s="443"/>
      <c r="E769" s="443"/>
      <c r="F769" s="443"/>
      <c r="G769" s="242"/>
      <c r="H769" s="242"/>
      <c r="I769" s="242"/>
      <c r="J769" s="242"/>
      <c r="K769" s="13"/>
      <c r="L769" s="242"/>
      <c r="M769" s="242"/>
      <c r="N769" s="13"/>
      <c r="O769" s="242"/>
      <c r="P769" s="242"/>
      <c r="Q769" s="242"/>
      <c r="R769" s="242"/>
      <c r="S769" s="242"/>
      <c r="T769" s="242"/>
      <c r="U769" s="242"/>
      <c r="V769" s="242"/>
      <c r="W769" s="242"/>
      <c r="X769" s="242"/>
      <c r="Y769" s="242"/>
      <c r="Z769" s="242"/>
    </row>
    <row r="770">
      <c r="A770" s="242"/>
      <c r="B770" s="443"/>
      <c r="C770" s="443"/>
      <c r="D770" s="443"/>
      <c r="E770" s="443"/>
      <c r="F770" s="443"/>
      <c r="G770" s="242"/>
      <c r="H770" s="242"/>
      <c r="I770" s="242"/>
      <c r="J770" s="242"/>
      <c r="K770" s="13"/>
      <c r="L770" s="242"/>
      <c r="M770" s="242"/>
      <c r="N770" s="13"/>
      <c r="O770" s="242"/>
      <c r="P770" s="242"/>
      <c r="Q770" s="242"/>
      <c r="R770" s="242"/>
      <c r="S770" s="242"/>
      <c r="T770" s="242"/>
      <c r="U770" s="242"/>
      <c r="V770" s="242"/>
      <c r="W770" s="242"/>
      <c r="X770" s="242"/>
      <c r="Y770" s="242"/>
      <c r="Z770" s="242"/>
    </row>
    <row r="771">
      <c r="A771" s="242"/>
      <c r="B771" s="443"/>
      <c r="C771" s="443"/>
      <c r="D771" s="443"/>
      <c r="E771" s="443"/>
      <c r="F771" s="443"/>
      <c r="G771" s="242"/>
      <c r="H771" s="242"/>
      <c r="I771" s="242"/>
      <c r="J771" s="242"/>
      <c r="K771" s="13"/>
      <c r="L771" s="242"/>
      <c r="M771" s="242"/>
      <c r="N771" s="13"/>
      <c r="O771" s="242"/>
      <c r="P771" s="242"/>
      <c r="Q771" s="242"/>
      <c r="R771" s="242"/>
      <c r="S771" s="242"/>
      <c r="T771" s="242"/>
      <c r="U771" s="242"/>
      <c r="V771" s="242"/>
      <c r="W771" s="242"/>
      <c r="X771" s="242"/>
      <c r="Y771" s="242"/>
      <c r="Z771" s="242"/>
    </row>
    <row r="772">
      <c r="A772" s="242"/>
      <c r="B772" s="443"/>
      <c r="C772" s="443"/>
      <c r="D772" s="443"/>
      <c r="E772" s="443"/>
      <c r="F772" s="443"/>
      <c r="G772" s="242"/>
      <c r="H772" s="242"/>
      <c r="I772" s="242"/>
      <c r="J772" s="242"/>
      <c r="K772" s="13"/>
      <c r="L772" s="242"/>
      <c r="M772" s="242"/>
      <c r="N772" s="13"/>
      <c r="O772" s="242"/>
      <c r="P772" s="242"/>
      <c r="Q772" s="242"/>
      <c r="R772" s="242"/>
      <c r="S772" s="242"/>
      <c r="T772" s="242"/>
      <c r="U772" s="242"/>
      <c r="V772" s="242"/>
      <c r="W772" s="242"/>
      <c r="X772" s="242"/>
      <c r="Y772" s="242"/>
      <c r="Z772" s="242"/>
    </row>
    <row r="773">
      <c r="A773" s="242"/>
      <c r="B773" s="443"/>
      <c r="C773" s="443"/>
      <c r="D773" s="443"/>
      <c r="E773" s="443"/>
      <c r="F773" s="443"/>
      <c r="G773" s="242"/>
      <c r="H773" s="242"/>
      <c r="I773" s="242"/>
      <c r="J773" s="242"/>
      <c r="K773" s="13"/>
      <c r="L773" s="242"/>
      <c r="M773" s="242"/>
      <c r="N773" s="13"/>
      <c r="O773" s="242"/>
      <c r="P773" s="242"/>
      <c r="Q773" s="242"/>
      <c r="R773" s="242"/>
      <c r="S773" s="242"/>
      <c r="T773" s="242"/>
      <c r="U773" s="242"/>
      <c r="V773" s="242"/>
      <c r="W773" s="242"/>
      <c r="X773" s="242"/>
      <c r="Y773" s="242"/>
      <c r="Z773" s="242"/>
    </row>
    <row r="774">
      <c r="A774" s="242"/>
      <c r="B774" s="443"/>
      <c r="C774" s="443"/>
      <c r="D774" s="443"/>
      <c r="E774" s="443"/>
      <c r="F774" s="443"/>
      <c r="G774" s="242"/>
      <c r="H774" s="242"/>
      <c r="I774" s="242"/>
      <c r="J774" s="242"/>
      <c r="K774" s="13"/>
      <c r="L774" s="242"/>
      <c r="M774" s="242"/>
      <c r="N774" s="13"/>
      <c r="O774" s="242"/>
      <c r="P774" s="242"/>
      <c r="Q774" s="242"/>
      <c r="R774" s="242"/>
      <c r="S774" s="242"/>
      <c r="T774" s="242"/>
      <c r="U774" s="242"/>
      <c r="V774" s="242"/>
      <c r="W774" s="242"/>
      <c r="X774" s="242"/>
      <c r="Y774" s="242"/>
      <c r="Z774" s="242"/>
    </row>
    <row r="775">
      <c r="A775" s="242"/>
      <c r="B775" s="443"/>
      <c r="C775" s="443"/>
      <c r="D775" s="443"/>
      <c r="E775" s="443"/>
      <c r="F775" s="443"/>
      <c r="G775" s="242"/>
      <c r="H775" s="242"/>
      <c r="I775" s="242"/>
      <c r="J775" s="242"/>
      <c r="K775" s="13"/>
      <c r="L775" s="242"/>
      <c r="M775" s="242"/>
      <c r="N775" s="13"/>
      <c r="O775" s="242"/>
      <c r="P775" s="242"/>
      <c r="Q775" s="242"/>
      <c r="R775" s="242"/>
      <c r="S775" s="242"/>
      <c r="T775" s="242"/>
      <c r="U775" s="242"/>
      <c r="V775" s="242"/>
      <c r="W775" s="242"/>
      <c r="X775" s="242"/>
      <c r="Y775" s="242"/>
      <c r="Z775" s="242"/>
    </row>
    <row r="776">
      <c r="A776" s="242"/>
      <c r="B776" s="443"/>
      <c r="C776" s="443"/>
      <c r="D776" s="443"/>
      <c r="E776" s="443"/>
      <c r="F776" s="443"/>
      <c r="G776" s="242"/>
      <c r="H776" s="242"/>
      <c r="I776" s="242"/>
      <c r="J776" s="242"/>
      <c r="K776" s="13"/>
      <c r="L776" s="242"/>
      <c r="M776" s="242"/>
      <c r="N776" s="13"/>
      <c r="O776" s="242"/>
      <c r="P776" s="242"/>
      <c r="Q776" s="242"/>
      <c r="R776" s="242"/>
      <c r="S776" s="242"/>
      <c r="T776" s="242"/>
      <c r="U776" s="242"/>
      <c r="V776" s="242"/>
      <c r="W776" s="242"/>
      <c r="X776" s="242"/>
      <c r="Y776" s="242"/>
      <c r="Z776" s="242"/>
    </row>
    <row r="777">
      <c r="A777" s="242"/>
      <c r="B777" s="443"/>
      <c r="C777" s="443"/>
      <c r="D777" s="443"/>
      <c r="E777" s="443"/>
      <c r="F777" s="443"/>
      <c r="G777" s="242"/>
      <c r="H777" s="242"/>
      <c r="I777" s="242"/>
      <c r="J777" s="242"/>
      <c r="K777" s="13"/>
      <c r="L777" s="242"/>
      <c r="M777" s="242"/>
      <c r="N777" s="13"/>
      <c r="O777" s="242"/>
      <c r="P777" s="242"/>
      <c r="Q777" s="242"/>
      <c r="R777" s="242"/>
      <c r="S777" s="242"/>
      <c r="T777" s="242"/>
      <c r="U777" s="242"/>
      <c r="V777" s="242"/>
      <c r="W777" s="242"/>
      <c r="X777" s="242"/>
      <c r="Y777" s="242"/>
      <c r="Z777" s="242"/>
    </row>
    <row r="778">
      <c r="A778" s="242"/>
      <c r="B778" s="443"/>
      <c r="C778" s="443"/>
      <c r="D778" s="443"/>
      <c r="E778" s="443"/>
      <c r="F778" s="443"/>
      <c r="G778" s="242"/>
      <c r="H778" s="242"/>
      <c r="I778" s="242"/>
      <c r="J778" s="242"/>
      <c r="K778" s="13"/>
      <c r="L778" s="242"/>
      <c r="M778" s="242"/>
      <c r="N778" s="13"/>
      <c r="O778" s="242"/>
      <c r="P778" s="242"/>
      <c r="Q778" s="242"/>
      <c r="R778" s="242"/>
      <c r="S778" s="242"/>
      <c r="T778" s="242"/>
      <c r="U778" s="242"/>
      <c r="V778" s="242"/>
      <c r="W778" s="242"/>
      <c r="X778" s="242"/>
      <c r="Y778" s="242"/>
      <c r="Z778" s="242"/>
    </row>
    <row r="779">
      <c r="A779" s="242"/>
      <c r="B779" s="443"/>
      <c r="C779" s="443"/>
      <c r="D779" s="443"/>
      <c r="E779" s="443"/>
      <c r="F779" s="443"/>
      <c r="G779" s="242"/>
      <c r="H779" s="242"/>
      <c r="I779" s="242"/>
      <c r="J779" s="242"/>
      <c r="K779" s="13"/>
      <c r="L779" s="242"/>
      <c r="M779" s="242"/>
      <c r="N779" s="13"/>
      <c r="O779" s="242"/>
      <c r="P779" s="242"/>
      <c r="Q779" s="242"/>
      <c r="R779" s="242"/>
      <c r="S779" s="242"/>
      <c r="T779" s="242"/>
      <c r="U779" s="242"/>
      <c r="V779" s="242"/>
      <c r="W779" s="242"/>
      <c r="X779" s="242"/>
      <c r="Y779" s="242"/>
      <c r="Z779" s="242"/>
    </row>
    <row r="780">
      <c r="A780" s="242"/>
      <c r="B780" s="443"/>
      <c r="C780" s="443"/>
      <c r="D780" s="443"/>
      <c r="E780" s="443"/>
      <c r="F780" s="443"/>
      <c r="G780" s="242"/>
      <c r="H780" s="242"/>
      <c r="I780" s="242"/>
      <c r="J780" s="242"/>
      <c r="K780" s="13"/>
      <c r="L780" s="242"/>
      <c r="M780" s="242"/>
      <c r="N780" s="13"/>
      <c r="O780" s="242"/>
      <c r="P780" s="242"/>
      <c r="Q780" s="242"/>
      <c r="R780" s="242"/>
      <c r="S780" s="242"/>
      <c r="T780" s="242"/>
      <c r="U780" s="242"/>
      <c r="V780" s="242"/>
      <c r="W780" s="242"/>
      <c r="X780" s="242"/>
      <c r="Y780" s="242"/>
      <c r="Z780" s="242"/>
    </row>
    <row r="781">
      <c r="A781" s="242"/>
      <c r="B781" s="443"/>
      <c r="C781" s="443"/>
      <c r="D781" s="443"/>
      <c r="E781" s="443"/>
      <c r="F781" s="443"/>
      <c r="G781" s="242"/>
      <c r="H781" s="242"/>
      <c r="I781" s="242"/>
      <c r="J781" s="242"/>
      <c r="K781" s="13"/>
      <c r="L781" s="242"/>
      <c r="M781" s="242"/>
      <c r="N781" s="13"/>
      <c r="O781" s="242"/>
      <c r="P781" s="242"/>
      <c r="Q781" s="242"/>
      <c r="R781" s="242"/>
      <c r="S781" s="242"/>
      <c r="T781" s="242"/>
      <c r="U781" s="242"/>
      <c r="V781" s="242"/>
      <c r="W781" s="242"/>
      <c r="X781" s="242"/>
      <c r="Y781" s="242"/>
      <c r="Z781" s="242"/>
    </row>
    <row r="782">
      <c r="A782" s="242"/>
      <c r="B782" s="443"/>
      <c r="C782" s="443"/>
      <c r="D782" s="443"/>
      <c r="E782" s="443"/>
      <c r="F782" s="443"/>
      <c r="G782" s="242"/>
      <c r="H782" s="242"/>
      <c r="I782" s="242"/>
      <c r="J782" s="242"/>
      <c r="K782" s="13"/>
      <c r="L782" s="242"/>
      <c r="M782" s="242"/>
      <c r="N782" s="13"/>
      <c r="O782" s="242"/>
      <c r="P782" s="242"/>
      <c r="Q782" s="242"/>
      <c r="R782" s="242"/>
      <c r="S782" s="242"/>
      <c r="T782" s="242"/>
      <c r="U782" s="242"/>
      <c r="V782" s="242"/>
      <c r="W782" s="242"/>
      <c r="X782" s="242"/>
      <c r="Y782" s="242"/>
      <c r="Z782" s="242"/>
    </row>
    <row r="783">
      <c r="A783" s="242"/>
      <c r="B783" s="443"/>
      <c r="C783" s="443"/>
      <c r="D783" s="443"/>
      <c r="E783" s="443"/>
      <c r="F783" s="443"/>
      <c r="G783" s="242"/>
      <c r="H783" s="242"/>
      <c r="I783" s="242"/>
      <c r="J783" s="242"/>
      <c r="K783" s="13"/>
      <c r="L783" s="242"/>
      <c r="M783" s="242"/>
      <c r="N783" s="13"/>
      <c r="O783" s="242"/>
      <c r="P783" s="242"/>
      <c r="Q783" s="242"/>
      <c r="R783" s="242"/>
      <c r="S783" s="242"/>
      <c r="T783" s="242"/>
      <c r="U783" s="242"/>
      <c r="V783" s="242"/>
      <c r="W783" s="242"/>
      <c r="X783" s="242"/>
      <c r="Y783" s="242"/>
      <c r="Z783" s="242"/>
    </row>
    <row r="784">
      <c r="A784" s="242"/>
      <c r="B784" s="443"/>
      <c r="C784" s="443"/>
      <c r="D784" s="443"/>
      <c r="E784" s="443"/>
      <c r="F784" s="443"/>
      <c r="G784" s="242"/>
      <c r="H784" s="242"/>
      <c r="I784" s="242"/>
      <c r="J784" s="242"/>
      <c r="K784" s="13"/>
      <c r="L784" s="242"/>
      <c r="M784" s="242"/>
      <c r="N784" s="13"/>
      <c r="O784" s="242"/>
      <c r="P784" s="242"/>
      <c r="Q784" s="242"/>
      <c r="R784" s="242"/>
      <c r="S784" s="242"/>
      <c r="T784" s="242"/>
      <c r="U784" s="242"/>
      <c r="V784" s="242"/>
      <c r="W784" s="242"/>
      <c r="X784" s="242"/>
      <c r="Y784" s="242"/>
      <c r="Z784" s="242"/>
    </row>
    <row r="785">
      <c r="A785" s="242"/>
      <c r="B785" s="443"/>
      <c r="C785" s="443"/>
      <c r="D785" s="443"/>
      <c r="E785" s="443"/>
      <c r="F785" s="443"/>
      <c r="G785" s="242"/>
      <c r="H785" s="242"/>
      <c r="I785" s="242"/>
      <c r="J785" s="242"/>
      <c r="K785" s="13"/>
      <c r="L785" s="242"/>
      <c r="M785" s="242"/>
      <c r="N785" s="13"/>
      <c r="O785" s="242"/>
      <c r="P785" s="242"/>
      <c r="Q785" s="242"/>
      <c r="R785" s="242"/>
      <c r="S785" s="242"/>
      <c r="T785" s="242"/>
      <c r="U785" s="242"/>
      <c r="V785" s="242"/>
      <c r="W785" s="242"/>
      <c r="X785" s="242"/>
      <c r="Y785" s="242"/>
      <c r="Z785" s="242"/>
    </row>
    <row r="786">
      <c r="A786" s="242"/>
      <c r="B786" s="443"/>
      <c r="C786" s="443"/>
      <c r="D786" s="443"/>
      <c r="E786" s="443"/>
      <c r="F786" s="443"/>
      <c r="G786" s="242"/>
      <c r="H786" s="242"/>
      <c r="I786" s="242"/>
      <c r="J786" s="242"/>
      <c r="K786" s="13"/>
      <c r="L786" s="242"/>
      <c r="M786" s="242"/>
      <c r="N786" s="13"/>
      <c r="O786" s="242"/>
      <c r="P786" s="242"/>
      <c r="Q786" s="242"/>
      <c r="R786" s="242"/>
      <c r="S786" s="242"/>
      <c r="T786" s="242"/>
      <c r="U786" s="242"/>
      <c r="V786" s="242"/>
      <c r="W786" s="242"/>
      <c r="X786" s="242"/>
      <c r="Y786" s="242"/>
      <c r="Z786" s="242"/>
    </row>
    <row r="787">
      <c r="A787" s="242"/>
      <c r="B787" s="443"/>
      <c r="C787" s="443"/>
      <c r="D787" s="443"/>
      <c r="E787" s="443"/>
      <c r="F787" s="443"/>
      <c r="G787" s="242"/>
      <c r="H787" s="242"/>
      <c r="I787" s="242"/>
      <c r="J787" s="242"/>
      <c r="K787" s="13"/>
      <c r="L787" s="242"/>
      <c r="M787" s="242"/>
      <c r="N787" s="13"/>
      <c r="O787" s="242"/>
      <c r="P787" s="242"/>
      <c r="Q787" s="242"/>
      <c r="R787" s="242"/>
      <c r="S787" s="242"/>
      <c r="T787" s="242"/>
      <c r="U787" s="242"/>
      <c r="V787" s="242"/>
      <c r="W787" s="242"/>
      <c r="X787" s="242"/>
      <c r="Y787" s="242"/>
      <c r="Z787" s="242"/>
    </row>
    <row r="788">
      <c r="A788" s="242"/>
      <c r="B788" s="443"/>
      <c r="C788" s="443"/>
      <c r="D788" s="443"/>
      <c r="E788" s="443"/>
      <c r="F788" s="443"/>
      <c r="G788" s="242"/>
      <c r="H788" s="242"/>
      <c r="I788" s="242"/>
      <c r="J788" s="242"/>
      <c r="K788" s="13"/>
      <c r="L788" s="242"/>
      <c r="M788" s="242"/>
      <c r="N788" s="13"/>
      <c r="O788" s="242"/>
      <c r="P788" s="242"/>
      <c r="Q788" s="242"/>
      <c r="R788" s="242"/>
      <c r="S788" s="242"/>
      <c r="T788" s="242"/>
      <c r="U788" s="242"/>
      <c r="V788" s="242"/>
      <c r="W788" s="242"/>
      <c r="X788" s="242"/>
      <c r="Y788" s="242"/>
      <c r="Z788" s="242"/>
    </row>
    <row r="789">
      <c r="A789" s="242"/>
      <c r="B789" s="443"/>
      <c r="C789" s="443"/>
      <c r="D789" s="443"/>
      <c r="E789" s="443"/>
      <c r="F789" s="443"/>
      <c r="G789" s="242"/>
      <c r="H789" s="242"/>
      <c r="I789" s="242"/>
      <c r="J789" s="242"/>
      <c r="K789" s="13"/>
      <c r="L789" s="242"/>
      <c r="M789" s="242"/>
      <c r="N789" s="13"/>
      <c r="O789" s="242"/>
      <c r="P789" s="242"/>
      <c r="Q789" s="242"/>
      <c r="R789" s="242"/>
      <c r="S789" s="242"/>
      <c r="T789" s="242"/>
      <c r="U789" s="242"/>
      <c r="V789" s="242"/>
      <c r="W789" s="242"/>
      <c r="X789" s="242"/>
      <c r="Y789" s="242"/>
      <c r="Z789" s="242"/>
    </row>
    <row r="790">
      <c r="A790" s="242"/>
      <c r="B790" s="443"/>
      <c r="C790" s="443"/>
      <c r="D790" s="443"/>
      <c r="E790" s="443"/>
      <c r="F790" s="443"/>
      <c r="G790" s="242"/>
      <c r="H790" s="242"/>
      <c r="I790" s="242"/>
      <c r="J790" s="242"/>
      <c r="K790" s="13"/>
      <c r="L790" s="242"/>
      <c r="M790" s="242"/>
      <c r="N790" s="13"/>
      <c r="O790" s="242"/>
      <c r="P790" s="242"/>
      <c r="Q790" s="242"/>
      <c r="R790" s="242"/>
      <c r="S790" s="242"/>
      <c r="T790" s="242"/>
      <c r="U790" s="242"/>
      <c r="V790" s="242"/>
      <c r="W790" s="242"/>
      <c r="X790" s="242"/>
      <c r="Y790" s="242"/>
      <c r="Z790" s="242"/>
    </row>
    <row r="791">
      <c r="A791" s="242"/>
      <c r="B791" s="443"/>
      <c r="C791" s="443"/>
      <c r="D791" s="443"/>
      <c r="E791" s="443"/>
      <c r="F791" s="443"/>
      <c r="G791" s="242"/>
      <c r="H791" s="242"/>
      <c r="I791" s="242"/>
      <c r="J791" s="242"/>
      <c r="K791" s="13"/>
      <c r="L791" s="242"/>
      <c r="M791" s="242"/>
      <c r="N791" s="13"/>
      <c r="O791" s="242"/>
      <c r="P791" s="242"/>
      <c r="Q791" s="242"/>
      <c r="R791" s="242"/>
      <c r="S791" s="242"/>
      <c r="T791" s="242"/>
      <c r="U791" s="242"/>
      <c r="V791" s="242"/>
      <c r="W791" s="242"/>
      <c r="X791" s="242"/>
      <c r="Y791" s="242"/>
      <c r="Z791" s="242"/>
    </row>
    <row r="792">
      <c r="A792" s="242"/>
      <c r="B792" s="443"/>
      <c r="C792" s="443"/>
      <c r="D792" s="443"/>
      <c r="E792" s="443"/>
      <c r="F792" s="443"/>
      <c r="G792" s="242"/>
      <c r="H792" s="242"/>
      <c r="I792" s="242"/>
      <c r="J792" s="242"/>
      <c r="K792" s="13"/>
      <c r="L792" s="242"/>
      <c r="M792" s="242"/>
      <c r="N792" s="13"/>
      <c r="O792" s="242"/>
      <c r="P792" s="242"/>
      <c r="Q792" s="242"/>
      <c r="R792" s="242"/>
      <c r="S792" s="242"/>
      <c r="T792" s="242"/>
      <c r="U792" s="242"/>
      <c r="V792" s="242"/>
      <c r="W792" s="242"/>
      <c r="X792" s="242"/>
      <c r="Y792" s="242"/>
      <c r="Z792" s="242"/>
    </row>
    <row r="793">
      <c r="A793" s="242"/>
      <c r="B793" s="443"/>
      <c r="C793" s="443"/>
      <c r="D793" s="443"/>
      <c r="E793" s="443"/>
      <c r="F793" s="443"/>
      <c r="G793" s="242"/>
      <c r="H793" s="242"/>
      <c r="I793" s="242"/>
      <c r="J793" s="242"/>
      <c r="K793" s="13"/>
      <c r="L793" s="242"/>
      <c r="M793" s="242"/>
      <c r="N793" s="13"/>
      <c r="O793" s="242"/>
      <c r="P793" s="242"/>
      <c r="Q793" s="242"/>
      <c r="R793" s="242"/>
      <c r="S793" s="242"/>
      <c r="T793" s="242"/>
      <c r="U793" s="242"/>
      <c r="V793" s="242"/>
      <c r="W793" s="242"/>
      <c r="X793" s="242"/>
      <c r="Y793" s="242"/>
      <c r="Z793" s="242"/>
    </row>
    <row r="794">
      <c r="A794" s="242"/>
      <c r="B794" s="443"/>
      <c r="C794" s="443"/>
      <c r="D794" s="443"/>
      <c r="E794" s="443"/>
      <c r="F794" s="443"/>
      <c r="G794" s="242"/>
      <c r="H794" s="242"/>
      <c r="I794" s="242"/>
      <c r="J794" s="242"/>
      <c r="K794" s="13"/>
      <c r="L794" s="242"/>
      <c r="M794" s="242"/>
      <c r="N794" s="13"/>
      <c r="O794" s="242"/>
      <c r="P794" s="242"/>
      <c r="Q794" s="242"/>
      <c r="R794" s="242"/>
      <c r="S794" s="242"/>
      <c r="T794" s="242"/>
      <c r="U794" s="242"/>
      <c r="V794" s="242"/>
      <c r="W794" s="242"/>
      <c r="X794" s="242"/>
      <c r="Y794" s="242"/>
      <c r="Z794" s="242"/>
    </row>
    <row r="795">
      <c r="A795" s="242"/>
      <c r="B795" s="443"/>
      <c r="C795" s="443"/>
      <c r="D795" s="443"/>
      <c r="E795" s="443"/>
      <c r="F795" s="443"/>
      <c r="G795" s="242"/>
      <c r="H795" s="242"/>
      <c r="I795" s="242"/>
      <c r="J795" s="242"/>
      <c r="K795" s="13"/>
      <c r="L795" s="242"/>
      <c r="M795" s="242"/>
      <c r="N795" s="13"/>
      <c r="O795" s="242"/>
      <c r="P795" s="242"/>
      <c r="Q795" s="242"/>
      <c r="R795" s="242"/>
      <c r="S795" s="242"/>
      <c r="T795" s="242"/>
      <c r="U795" s="242"/>
      <c r="V795" s="242"/>
      <c r="W795" s="242"/>
      <c r="X795" s="242"/>
      <c r="Y795" s="242"/>
      <c r="Z795" s="242"/>
    </row>
    <row r="796">
      <c r="A796" s="242"/>
      <c r="B796" s="443"/>
      <c r="C796" s="443"/>
      <c r="D796" s="443"/>
      <c r="E796" s="443"/>
      <c r="F796" s="443"/>
      <c r="G796" s="242"/>
      <c r="H796" s="242"/>
      <c r="I796" s="242"/>
      <c r="J796" s="242"/>
      <c r="K796" s="13"/>
      <c r="L796" s="242"/>
      <c r="M796" s="242"/>
      <c r="N796" s="13"/>
      <c r="O796" s="242"/>
      <c r="P796" s="242"/>
      <c r="Q796" s="242"/>
      <c r="R796" s="242"/>
      <c r="S796" s="242"/>
      <c r="T796" s="242"/>
      <c r="U796" s="242"/>
      <c r="V796" s="242"/>
      <c r="W796" s="242"/>
      <c r="X796" s="242"/>
      <c r="Y796" s="242"/>
      <c r="Z796" s="242"/>
    </row>
    <row r="797">
      <c r="A797" s="242"/>
      <c r="B797" s="443"/>
      <c r="C797" s="443"/>
      <c r="D797" s="443"/>
      <c r="E797" s="443"/>
      <c r="F797" s="443"/>
      <c r="G797" s="242"/>
      <c r="H797" s="242"/>
      <c r="I797" s="242"/>
      <c r="J797" s="242"/>
      <c r="K797" s="13"/>
      <c r="L797" s="242"/>
      <c r="M797" s="242"/>
      <c r="N797" s="13"/>
      <c r="O797" s="242"/>
      <c r="P797" s="242"/>
      <c r="Q797" s="242"/>
      <c r="R797" s="242"/>
      <c r="S797" s="242"/>
      <c r="T797" s="242"/>
      <c r="U797" s="242"/>
      <c r="V797" s="242"/>
      <c r="W797" s="242"/>
      <c r="X797" s="242"/>
      <c r="Y797" s="242"/>
      <c r="Z797" s="242"/>
    </row>
    <row r="798">
      <c r="A798" s="242"/>
      <c r="B798" s="443"/>
      <c r="C798" s="443"/>
      <c r="D798" s="443"/>
      <c r="E798" s="443"/>
      <c r="F798" s="443"/>
      <c r="G798" s="242"/>
      <c r="H798" s="242"/>
      <c r="I798" s="242"/>
      <c r="J798" s="242"/>
      <c r="K798" s="13"/>
      <c r="L798" s="242"/>
      <c r="M798" s="242"/>
      <c r="N798" s="13"/>
      <c r="O798" s="242"/>
      <c r="P798" s="242"/>
      <c r="Q798" s="242"/>
      <c r="R798" s="242"/>
      <c r="S798" s="242"/>
      <c r="T798" s="242"/>
      <c r="U798" s="242"/>
      <c r="V798" s="242"/>
      <c r="W798" s="242"/>
      <c r="X798" s="242"/>
      <c r="Y798" s="242"/>
      <c r="Z798" s="242"/>
    </row>
    <row r="799">
      <c r="A799" s="242"/>
      <c r="B799" s="443"/>
      <c r="C799" s="443"/>
      <c r="D799" s="443"/>
      <c r="E799" s="443"/>
      <c r="F799" s="443"/>
      <c r="G799" s="242"/>
      <c r="H799" s="242"/>
      <c r="I799" s="242"/>
      <c r="J799" s="242"/>
      <c r="K799" s="13"/>
      <c r="L799" s="242"/>
      <c r="M799" s="242"/>
      <c r="N799" s="13"/>
      <c r="O799" s="242"/>
      <c r="P799" s="242"/>
      <c r="Q799" s="242"/>
      <c r="R799" s="242"/>
      <c r="S799" s="242"/>
      <c r="T799" s="242"/>
      <c r="U799" s="242"/>
      <c r="V799" s="242"/>
      <c r="W799" s="242"/>
      <c r="X799" s="242"/>
      <c r="Y799" s="242"/>
      <c r="Z799" s="242"/>
    </row>
    <row r="800">
      <c r="A800" s="242"/>
      <c r="B800" s="443"/>
      <c r="C800" s="443"/>
      <c r="D800" s="443"/>
      <c r="E800" s="443"/>
      <c r="F800" s="443"/>
      <c r="G800" s="242"/>
      <c r="H800" s="242"/>
      <c r="I800" s="242"/>
      <c r="J800" s="242"/>
      <c r="K800" s="13"/>
      <c r="L800" s="242"/>
      <c r="M800" s="242"/>
      <c r="N800" s="13"/>
      <c r="O800" s="242"/>
      <c r="P800" s="242"/>
      <c r="Q800" s="242"/>
      <c r="R800" s="242"/>
      <c r="S800" s="242"/>
      <c r="T800" s="242"/>
      <c r="U800" s="242"/>
      <c r="V800" s="242"/>
      <c r="W800" s="242"/>
      <c r="X800" s="242"/>
      <c r="Y800" s="242"/>
      <c r="Z800" s="242"/>
    </row>
    <row r="801">
      <c r="A801" s="242"/>
      <c r="B801" s="443"/>
      <c r="C801" s="443"/>
      <c r="D801" s="443"/>
      <c r="E801" s="443"/>
      <c r="F801" s="443"/>
      <c r="G801" s="242"/>
      <c r="H801" s="242"/>
      <c r="I801" s="242"/>
      <c r="J801" s="242"/>
      <c r="K801" s="13"/>
      <c r="L801" s="242"/>
      <c r="M801" s="242"/>
      <c r="N801" s="13"/>
      <c r="O801" s="242"/>
      <c r="P801" s="242"/>
      <c r="Q801" s="242"/>
      <c r="R801" s="242"/>
      <c r="S801" s="242"/>
      <c r="T801" s="242"/>
      <c r="U801" s="242"/>
      <c r="V801" s="242"/>
      <c r="W801" s="242"/>
      <c r="X801" s="242"/>
      <c r="Y801" s="242"/>
      <c r="Z801" s="242"/>
    </row>
    <row r="802">
      <c r="A802" s="242"/>
      <c r="B802" s="443"/>
      <c r="C802" s="443"/>
      <c r="D802" s="443"/>
      <c r="E802" s="443"/>
      <c r="F802" s="443"/>
      <c r="G802" s="242"/>
      <c r="H802" s="242"/>
      <c r="I802" s="242"/>
      <c r="J802" s="242"/>
      <c r="K802" s="13"/>
      <c r="L802" s="242"/>
      <c r="M802" s="242"/>
      <c r="N802" s="13"/>
      <c r="O802" s="242"/>
      <c r="P802" s="242"/>
      <c r="Q802" s="242"/>
      <c r="R802" s="242"/>
      <c r="S802" s="242"/>
      <c r="T802" s="242"/>
      <c r="U802" s="242"/>
      <c r="V802" s="242"/>
      <c r="W802" s="242"/>
      <c r="X802" s="242"/>
      <c r="Y802" s="242"/>
      <c r="Z802" s="242"/>
    </row>
    <row r="803">
      <c r="A803" s="242"/>
      <c r="B803" s="443"/>
      <c r="C803" s="443"/>
      <c r="D803" s="443"/>
      <c r="E803" s="443"/>
      <c r="F803" s="443"/>
      <c r="G803" s="242"/>
      <c r="H803" s="242"/>
      <c r="I803" s="242"/>
      <c r="J803" s="242"/>
      <c r="K803" s="13"/>
      <c r="L803" s="242"/>
      <c r="M803" s="242"/>
      <c r="N803" s="13"/>
      <c r="O803" s="242"/>
      <c r="P803" s="242"/>
      <c r="Q803" s="242"/>
      <c r="R803" s="242"/>
      <c r="S803" s="242"/>
      <c r="T803" s="242"/>
      <c r="U803" s="242"/>
      <c r="V803" s="242"/>
      <c r="W803" s="242"/>
      <c r="X803" s="242"/>
      <c r="Y803" s="242"/>
      <c r="Z803" s="242"/>
    </row>
    <row r="804">
      <c r="A804" s="242"/>
      <c r="B804" s="443"/>
      <c r="C804" s="443"/>
      <c r="D804" s="443"/>
      <c r="E804" s="443"/>
      <c r="F804" s="443"/>
      <c r="G804" s="242"/>
      <c r="H804" s="242"/>
      <c r="I804" s="242"/>
      <c r="J804" s="242"/>
      <c r="K804" s="13"/>
      <c r="L804" s="242"/>
      <c r="M804" s="242"/>
      <c r="N804" s="13"/>
      <c r="O804" s="242"/>
      <c r="P804" s="242"/>
      <c r="Q804" s="242"/>
      <c r="R804" s="242"/>
      <c r="S804" s="242"/>
      <c r="T804" s="242"/>
      <c r="U804" s="242"/>
      <c r="V804" s="242"/>
      <c r="W804" s="242"/>
      <c r="X804" s="242"/>
      <c r="Y804" s="242"/>
      <c r="Z804" s="242"/>
    </row>
    <row r="805">
      <c r="A805" s="242"/>
      <c r="B805" s="443"/>
      <c r="C805" s="443"/>
      <c r="D805" s="443"/>
      <c r="E805" s="443"/>
      <c r="F805" s="443"/>
      <c r="G805" s="242"/>
      <c r="H805" s="242"/>
      <c r="I805" s="242"/>
      <c r="J805" s="242"/>
      <c r="K805" s="13"/>
      <c r="L805" s="242"/>
      <c r="M805" s="242"/>
      <c r="N805" s="13"/>
      <c r="O805" s="242"/>
      <c r="P805" s="242"/>
      <c r="Q805" s="242"/>
      <c r="R805" s="242"/>
      <c r="S805" s="242"/>
      <c r="T805" s="242"/>
      <c r="U805" s="242"/>
      <c r="V805" s="242"/>
      <c r="W805" s="242"/>
      <c r="X805" s="242"/>
      <c r="Y805" s="242"/>
      <c r="Z805" s="242"/>
    </row>
    <row r="806">
      <c r="A806" s="242"/>
      <c r="B806" s="443"/>
      <c r="C806" s="443"/>
      <c r="D806" s="443"/>
      <c r="E806" s="443"/>
      <c r="F806" s="443"/>
      <c r="G806" s="242"/>
      <c r="H806" s="242"/>
      <c r="I806" s="242"/>
      <c r="J806" s="242"/>
      <c r="K806" s="13"/>
      <c r="L806" s="242"/>
      <c r="M806" s="242"/>
      <c r="N806" s="13"/>
      <c r="O806" s="242"/>
      <c r="P806" s="242"/>
      <c r="Q806" s="242"/>
      <c r="R806" s="242"/>
      <c r="S806" s="242"/>
      <c r="T806" s="242"/>
      <c r="U806" s="242"/>
      <c r="V806" s="242"/>
      <c r="W806" s="242"/>
      <c r="X806" s="242"/>
      <c r="Y806" s="242"/>
      <c r="Z806" s="242"/>
    </row>
    <row r="807">
      <c r="A807" s="242"/>
      <c r="B807" s="443"/>
      <c r="C807" s="443"/>
      <c r="D807" s="443"/>
      <c r="E807" s="443"/>
      <c r="F807" s="443"/>
      <c r="G807" s="242"/>
      <c r="H807" s="242"/>
      <c r="I807" s="242"/>
      <c r="J807" s="242"/>
      <c r="K807" s="13"/>
      <c r="L807" s="242"/>
      <c r="M807" s="242"/>
      <c r="N807" s="13"/>
      <c r="O807" s="242"/>
      <c r="P807" s="242"/>
      <c r="Q807" s="242"/>
      <c r="R807" s="242"/>
      <c r="S807" s="242"/>
      <c r="T807" s="242"/>
      <c r="U807" s="242"/>
      <c r="V807" s="242"/>
      <c r="W807" s="242"/>
      <c r="X807" s="242"/>
      <c r="Y807" s="242"/>
      <c r="Z807" s="242"/>
    </row>
    <row r="808">
      <c r="A808" s="242"/>
      <c r="B808" s="443"/>
      <c r="C808" s="443"/>
      <c r="D808" s="443"/>
      <c r="E808" s="443"/>
      <c r="F808" s="443"/>
      <c r="G808" s="242"/>
      <c r="H808" s="242"/>
      <c r="I808" s="242"/>
      <c r="J808" s="242"/>
      <c r="K808" s="13"/>
      <c r="L808" s="242"/>
      <c r="M808" s="242"/>
      <c r="N808" s="13"/>
      <c r="O808" s="242"/>
      <c r="P808" s="242"/>
      <c r="Q808" s="242"/>
      <c r="R808" s="242"/>
      <c r="S808" s="242"/>
      <c r="T808" s="242"/>
      <c r="U808" s="242"/>
      <c r="V808" s="242"/>
      <c r="W808" s="242"/>
      <c r="X808" s="242"/>
      <c r="Y808" s="242"/>
      <c r="Z808" s="242"/>
    </row>
    <row r="809">
      <c r="A809" s="242"/>
      <c r="B809" s="443"/>
      <c r="C809" s="443"/>
      <c r="D809" s="443"/>
      <c r="E809" s="443"/>
      <c r="F809" s="443"/>
      <c r="G809" s="242"/>
      <c r="H809" s="242"/>
      <c r="I809" s="242"/>
      <c r="J809" s="242"/>
      <c r="K809" s="13"/>
      <c r="L809" s="242"/>
      <c r="M809" s="242"/>
      <c r="N809" s="13"/>
      <c r="O809" s="242"/>
      <c r="P809" s="242"/>
      <c r="Q809" s="242"/>
      <c r="R809" s="242"/>
      <c r="S809" s="242"/>
      <c r="T809" s="242"/>
      <c r="U809" s="242"/>
      <c r="V809" s="242"/>
      <c r="W809" s="242"/>
      <c r="X809" s="242"/>
      <c r="Y809" s="242"/>
      <c r="Z809" s="242"/>
    </row>
    <row r="810">
      <c r="A810" s="242"/>
      <c r="B810" s="443"/>
      <c r="C810" s="443"/>
      <c r="D810" s="443"/>
      <c r="E810" s="443"/>
      <c r="F810" s="443"/>
      <c r="G810" s="242"/>
      <c r="H810" s="242"/>
      <c r="I810" s="242"/>
      <c r="J810" s="242"/>
      <c r="K810" s="13"/>
      <c r="L810" s="242"/>
      <c r="M810" s="242"/>
      <c r="N810" s="13"/>
      <c r="O810" s="242"/>
      <c r="P810" s="242"/>
      <c r="Q810" s="242"/>
      <c r="R810" s="242"/>
      <c r="S810" s="242"/>
      <c r="T810" s="242"/>
      <c r="U810" s="242"/>
      <c r="V810" s="242"/>
      <c r="W810" s="242"/>
      <c r="X810" s="242"/>
      <c r="Y810" s="242"/>
      <c r="Z810" s="242"/>
    </row>
    <row r="811">
      <c r="A811" s="242"/>
      <c r="B811" s="443"/>
      <c r="C811" s="443"/>
      <c r="D811" s="443"/>
      <c r="E811" s="443"/>
      <c r="F811" s="443"/>
      <c r="G811" s="242"/>
      <c r="H811" s="242"/>
      <c r="I811" s="242"/>
      <c r="J811" s="242"/>
      <c r="K811" s="13"/>
      <c r="L811" s="242"/>
      <c r="M811" s="242"/>
      <c r="N811" s="13"/>
      <c r="O811" s="242"/>
      <c r="P811" s="242"/>
      <c r="Q811" s="242"/>
      <c r="R811" s="242"/>
      <c r="S811" s="242"/>
      <c r="T811" s="242"/>
      <c r="U811" s="242"/>
      <c r="V811" s="242"/>
      <c r="W811" s="242"/>
      <c r="X811" s="242"/>
      <c r="Y811" s="242"/>
      <c r="Z811" s="242"/>
    </row>
    <row r="812">
      <c r="A812" s="242"/>
      <c r="B812" s="443"/>
      <c r="C812" s="443"/>
      <c r="D812" s="443"/>
      <c r="E812" s="443"/>
      <c r="F812" s="443"/>
      <c r="G812" s="242"/>
      <c r="H812" s="242"/>
      <c r="I812" s="242"/>
      <c r="J812" s="242"/>
      <c r="K812" s="13"/>
      <c r="L812" s="242"/>
      <c r="M812" s="242"/>
      <c r="N812" s="13"/>
      <c r="O812" s="242"/>
      <c r="P812" s="242"/>
      <c r="Q812" s="242"/>
      <c r="R812" s="242"/>
      <c r="S812" s="242"/>
      <c r="T812" s="242"/>
      <c r="U812" s="242"/>
      <c r="V812" s="242"/>
      <c r="W812" s="242"/>
      <c r="X812" s="242"/>
      <c r="Y812" s="242"/>
      <c r="Z812" s="242"/>
    </row>
    <row r="813">
      <c r="A813" s="242"/>
      <c r="B813" s="443"/>
      <c r="C813" s="443"/>
      <c r="D813" s="443"/>
      <c r="E813" s="443"/>
      <c r="F813" s="443"/>
      <c r="G813" s="242"/>
      <c r="H813" s="242"/>
      <c r="I813" s="242"/>
      <c r="J813" s="242"/>
      <c r="K813" s="13"/>
      <c r="L813" s="242"/>
      <c r="M813" s="242"/>
      <c r="N813" s="13"/>
      <c r="O813" s="242"/>
      <c r="P813" s="242"/>
      <c r="Q813" s="242"/>
      <c r="R813" s="242"/>
      <c r="S813" s="242"/>
      <c r="T813" s="242"/>
      <c r="U813" s="242"/>
      <c r="V813" s="242"/>
      <c r="W813" s="242"/>
      <c r="X813" s="242"/>
      <c r="Y813" s="242"/>
      <c r="Z813" s="242"/>
    </row>
    <row r="814">
      <c r="A814" s="242"/>
      <c r="B814" s="443"/>
      <c r="C814" s="443"/>
      <c r="D814" s="443"/>
      <c r="E814" s="443"/>
      <c r="F814" s="443"/>
      <c r="G814" s="242"/>
      <c r="H814" s="242"/>
      <c r="I814" s="242"/>
      <c r="J814" s="242"/>
      <c r="K814" s="13"/>
      <c r="L814" s="242"/>
      <c r="M814" s="242"/>
      <c r="N814" s="13"/>
      <c r="O814" s="242"/>
      <c r="P814" s="242"/>
      <c r="Q814" s="242"/>
      <c r="R814" s="242"/>
      <c r="S814" s="242"/>
      <c r="T814" s="242"/>
      <c r="U814" s="242"/>
      <c r="V814" s="242"/>
      <c r="W814" s="242"/>
      <c r="X814" s="242"/>
      <c r="Y814" s="242"/>
      <c r="Z814" s="242"/>
    </row>
    <row r="815">
      <c r="A815" s="242"/>
      <c r="B815" s="443"/>
      <c r="C815" s="443"/>
      <c r="D815" s="443"/>
      <c r="E815" s="443"/>
      <c r="F815" s="443"/>
      <c r="G815" s="242"/>
      <c r="H815" s="242"/>
      <c r="I815" s="242"/>
      <c r="J815" s="242"/>
      <c r="K815" s="13"/>
      <c r="L815" s="242"/>
      <c r="M815" s="242"/>
      <c r="N815" s="13"/>
      <c r="O815" s="242"/>
      <c r="P815" s="242"/>
      <c r="Q815" s="242"/>
      <c r="R815" s="242"/>
      <c r="S815" s="242"/>
      <c r="T815" s="242"/>
      <c r="U815" s="242"/>
      <c r="V815" s="242"/>
      <c r="W815" s="242"/>
      <c r="X815" s="242"/>
      <c r="Y815" s="242"/>
      <c r="Z815" s="242"/>
    </row>
    <row r="816">
      <c r="A816" s="242"/>
      <c r="B816" s="443"/>
      <c r="C816" s="443"/>
      <c r="D816" s="443"/>
      <c r="E816" s="443"/>
      <c r="F816" s="443"/>
      <c r="G816" s="242"/>
      <c r="H816" s="242"/>
      <c r="I816" s="242"/>
      <c r="J816" s="242"/>
      <c r="K816" s="13"/>
      <c r="L816" s="242"/>
      <c r="M816" s="242"/>
      <c r="N816" s="13"/>
      <c r="O816" s="242"/>
      <c r="P816" s="242"/>
      <c r="Q816" s="242"/>
      <c r="R816" s="242"/>
      <c r="S816" s="242"/>
      <c r="T816" s="242"/>
      <c r="U816" s="242"/>
      <c r="V816" s="242"/>
      <c r="W816" s="242"/>
      <c r="X816" s="242"/>
      <c r="Y816" s="242"/>
      <c r="Z816" s="242"/>
    </row>
    <row r="817">
      <c r="A817" s="242"/>
      <c r="B817" s="443"/>
      <c r="C817" s="443"/>
      <c r="D817" s="443"/>
      <c r="E817" s="443"/>
      <c r="F817" s="443"/>
      <c r="G817" s="242"/>
      <c r="H817" s="242"/>
      <c r="I817" s="242"/>
      <c r="J817" s="242"/>
      <c r="K817" s="13"/>
      <c r="L817" s="242"/>
      <c r="M817" s="242"/>
      <c r="N817" s="13"/>
      <c r="O817" s="242"/>
      <c r="P817" s="242"/>
      <c r="Q817" s="242"/>
      <c r="R817" s="242"/>
      <c r="S817" s="242"/>
      <c r="T817" s="242"/>
      <c r="U817" s="242"/>
      <c r="V817" s="242"/>
      <c r="W817" s="242"/>
      <c r="X817" s="242"/>
      <c r="Y817" s="242"/>
      <c r="Z817" s="242"/>
    </row>
    <row r="818">
      <c r="A818" s="242"/>
      <c r="B818" s="443"/>
      <c r="C818" s="443"/>
      <c r="D818" s="443"/>
      <c r="E818" s="443"/>
      <c r="F818" s="443"/>
      <c r="G818" s="242"/>
      <c r="H818" s="242"/>
      <c r="I818" s="242"/>
      <c r="J818" s="242"/>
      <c r="K818" s="13"/>
      <c r="L818" s="242"/>
      <c r="M818" s="242"/>
      <c r="N818" s="13"/>
      <c r="O818" s="242"/>
      <c r="P818" s="242"/>
      <c r="Q818" s="242"/>
      <c r="R818" s="242"/>
      <c r="S818" s="242"/>
      <c r="T818" s="242"/>
      <c r="U818" s="242"/>
      <c r="V818" s="242"/>
      <c r="W818" s="242"/>
      <c r="X818" s="242"/>
      <c r="Y818" s="242"/>
      <c r="Z818" s="242"/>
    </row>
    <row r="819">
      <c r="A819" s="242"/>
      <c r="B819" s="443"/>
      <c r="C819" s="443"/>
      <c r="D819" s="443"/>
      <c r="E819" s="443"/>
      <c r="F819" s="443"/>
      <c r="G819" s="242"/>
      <c r="H819" s="242"/>
      <c r="I819" s="242"/>
      <c r="J819" s="242"/>
      <c r="K819" s="13"/>
      <c r="L819" s="242"/>
      <c r="M819" s="242"/>
      <c r="N819" s="13"/>
      <c r="O819" s="242"/>
      <c r="P819" s="242"/>
      <c r="Q819" s="242"/>
      <c r="R819" s="242"/>
      <c r="S819" s="242"/>
      <c r="T819" s="242"/>
      <c r="U819" s="242"/>
      <c r="V819" s="242"/>
      <c r="W819" s="242"/>
      <c r="X819" s="242"/>
      <c r="Y819" s="242"/>
      <c r="Z819" s="242"/>
    </row>
    <row r="820">
      <c r="A820" s="242"/>
      <c r="B820" s="443"/>
      <c r="C820" s="443"/>
      <c r="D820" s="443"/>
      <c r="E820" s="443"/>
      <c r="F820" s="443"/>
      <c r="G820" s="242"/>
      <c r="H820" s="242"/>
      <c r="I820" s="242"/>
      <c r="J820" s="242"/>
      <c r="K820" s="13"/>
      <c r="L820" s="242"/>
      <c r="M820" s="242"/>
      <c r="N820" s="13"/>
      <c r="O820" s="242"/>
      <c r="P820" s="242"/>
      <c r="Q820" s="242"/>
      <c r="R820" s="242"/>
      <c r="S820" s="242"/>
      <c r="T820" s="242"/>
      <c r="U820" s="242"/>
      <c r="V820" s="242"/>
      <c r="W820" s="242"/>
      <c r="X820" s="242"/>
      <c r="Y820" s="242"/>
      <c r="Z820" s="242"/>
    </row>
    <row r="821">
      <c r="A821" s="242"/>
      <c r="B821" s="443"/>
      <c r="C821" s="443"/>
      <c r="D821" s="443"/>
      <c r="E821" s="443"/>
      <c r="F821" s="443"/>
      <c r="G821" s="242"/>
      <c r="H821" s="242"/>
      <c r="I821" s="242"/>
      <c r="J821" s="242"/>
      <c r="K821" s="13"/>
      <c r="L821" s="242"/>
      <c r="M821" s="242"/>
      <c r="N821" s="13"/>
      <c r="O821" s="242"/>
      <c r="P821" s="242"/>
      <c r="Q821" s="242"/>
      <c r="R821" s="242"/>
      <c r="S821" s="242"/>
      <c r="T821" s="242"/>
      <c r="U821" s="242"/>
      <c r="V821" s="242"/>
      <c r="W821" s="242"/>
      <c r="X821" s="242"/>
      <c r="Y821" s="242"/>
      <c r="Z821" s="242"/>
    </row>
    <row r="822">
      <c r="A822" s="242"/>
      <c r="B822" s="443"/>
      <c r="C822" s="443"/>
      <c r="D822" s="443"/>
      <c r="E822" s="443"/>
      <c r="F822" s="443"/>
      <c r="G822" s="242"/>
      <c r="H822" s="242"/>
      <c r="I822" s="242"/>
      <c r="J822" s="242"/>
      <c r="K822" s="13"/>
      <c r="L822" s="242"/>
      <c r="M822" s="242"/>
      <c r="N822" s="13"/>
      <c r="O822" s="242"/>
      <c r="P822" s="242"/>
      <c r="Q822" s="242"/>
      <c r="R822" s="242"/>
      <c r="S822" s="242"/>
      <c r="T822" s="242"/>
      <c r="U822" s="242"/>
      <c r="V822" s="242"/>
      <c r="W822" s="242"/>
      <c r="X822" s="242"/>
      <c r="Y822" s="242"/>
      <c r="Z822" s="242"/>
    </row>
    <row r="823">
      <c r="A823" s="242"/>
      <c r="B823" s="443"/>
      <c r="C823" s="443"/>
      <c r="D823" s="443"/>
      <c r="E823" s="443"/>
      <c r="F823" s="443"/>
      <c r="G823" s="242"/>
      <c r="H823" s="242"/>
      <c r="I823" s="242"/>
      <c r="J823" s="242"/>
      <c r="K823" s="13"/>
      <c r="L823" s="242"/>
      <c r="M823" s="242"/>
      <c r="N823" s="13"/>
      <c r="O823" s="242"/>
      <c r="P823" s="242"/>
      <c r="Q823" s="242"/>
      <c r="R823" s="242"/>
      <c r="S823" s="242"/>
      <c r="T823" s="242"/>
      <c r="U823" s="242"/>
      <c r="V823" s="242"/>
      <c r="W823" s="242"/>
      <c r="X823" s="242"/>
      <c r="Y823" s="242"/>
      <c r="Z823" s="242"/>
    </row>
    <row r="824">
      <c r="A824" s="242"/>
      <c r="B824" s="443"/>
      <c r="C824" s="443"/>
      <c r="D824" s="443"/>
      <c r="E824" s="443"/>
      <c r="F824" s="443"/>
      <c r="G824" s="242"/>
      <c r="H824" s="242"/>
      <c r="I824" s="242"/>
      <c r="J824" s="242"/>
      <c r="K824" s="13"/>
      <c r="L824" s="242"/>
      <c r="M824" s="242"/>
      <c r="N824" s="13"/>
      <c r="O824" s="242"/>
      <c r="P824" s="242"/>
      <c r="Q824" s="242"/>
      <c r="R824" s="242"/>
      <c r="S824" s="242"/>
      <c r="T824" s="242"/>
      <c r="U824" s="242"/>
      <c r="V824" s="242"/>
      <c r="W824" s="242"/>
      <c r="X824" s="242"/>
      <c r="Y824" s="242"/>
      <c r="Z824" s="242"/>
    </row>
    <row r="825">
      <c r="A825" s="242"/>
      <c r="B825" s="443"/>
      <c r="C825" s="443"/>
      <c r="D825" s="443"/>
      <c r="E825" s="443"/>
      <c r="F825" s="443"/>
      <c r="G825" s="242"/>
      <c r="H825" s="242"/>
      <c r="I825" s="242"/>
      <c r="J825" s="242"/>
      <c r="K825" s="13"/>
      <c r="L825" s="242"/>
      <c r="M825" s="242"/>
      <c r="N825" s="13"/>
      <c r="O825" s="242"/>
      <c r="P825" s="242"/>
      <c r="Q825" s="242"/>
      <c r="R825" s="242"/>
      <c r="S825" s="242"/>
      <c r="T825" s="242"/>
      <c r="U825" s="242"/>
      <c r="V825" s="242"/>
      <c r="W825" s="242"/>
      <c r="X825" s="242"/>
      <c r="Y825" s="242"/>
      <c r="Z825" s="242"/>
    </row>
    <row r="826">
      <c r="A826" s="242"/>
      <c r="B826" s="443"/>
      <c r="C826" s="443"/>
      <c r="D826" s="443"/>
      <c r="E826" s="443"/>
      <c r="F826" s="443"/>
      <c r="G826" s="242"/>
      <c r="H826" s="242"/>
      <c r="I826" s="242"/>
      <c r="J826" s="242"/>
      <c r="K826" s="13"/>
      <c r="L826" s="242"/>
      <c r="M826" s="242"/>
      <c r="N826" s="13"/>
      <c r="O826" s="242"/>
      <c r="P826" s="242"/>
      <c r="Q826" s="242"/>
      <c r="R826" s="242"/>
      <c r="S826" s="242"/>
      <c r="T826" s="242"/>
      <c r="U826" s="242"/>
      <c r="V826" s="242"/>
      <c r="W826" s="242"/>
      <c r="X826" s="242"/>
      <c r="Y826" s="242"/>
      <c r="Z826" s="242"/>
    </row>
    <row r="827">
      <c r="A827" s="242"/>
      <c r="B827" s="443"/>
      <c r="C827" s="443"/>
      <c r="D827" s="443"/>
      <c r="E827" s="443"/>
      <c r="F827" s="443"/>
      <c r="G827" s="242"/>
      <c r="H827" s="242"/>
      <c r="I827" s="242"/>
      <c r="J827" s="242"/>
      <c r="K827" s="13"/>
      <c r="L827" s="242"/>
      <c r="M827" s="242"/>
      <c r="N827" s="13"/>
      <c r="O827" s="242"/>
      <c r="P827" s="242"/>
      <c r="Q827" s="242"/>
      <c r="R827" s="242"/>
      <c r="S827" s="242"/>
      <c r="T827" s="242"/>
      <c r="U827" s="242"/>
      <c r="V827" s="242"/>
      <c r="W827" s="242"/>
      <c r="X827" s="242"/>
      <c r="Y827" s="242"/>
      <c r="Z827" s="242"/>
    </row>
    <row r="828">
      <c r="A828" s="242"/>
      <c r="B828" s="443"/>
      <c r="C828" s="443"/>
      <c r="D828" s="443"/>
      <c r="E828" s="443"/>
      <c r="F828" s="443"/>
      <c r="G828" s="242"/>
      <c r="H828" s="242"/>
      <c r="I828" s="242"/>
      <c r="J828" s="242"/>
      <c r="K828" s="13"/>
      <c r="L828" s="242"/>
      <c r="M828" s="242"/>
      <c r="N828" s="13"/>
      <c r="O828" s="242"/>
      <c r="P828" s="242"/>
      <c r="Q828" s="242"/>
      <c r="R828" s="242"/>
      <c r="S828" s="242"/>
      <c r="T828" s="242"/>
      <c r="U828" s="242"/>
      <c r="V828" s="242"/>
      <c r="W828" s="242"/>
      <c r="X828" s="242"/>
      <c r="Y828" s="242"/>
      <c r="Z828" s="242"/>
    </row>
    <row r="829">
      <c r="A829" s="242"/>
      <c r="B829" s="443"/>
      <c r="C829" s="443"/>
      <c r="D829" s="443"/>
      <c r="E829" s="443"/>
      <c r="F829" s="443"/>
      <c r="G829" s="242"/>
      <c r="H829" s="242"/>
      <c r="I829" s="242"/>
      <c r="J829" s="242"/>
      <c r="K829" s="13"/>
      <c r="L829" s="242"/>
      <c r="M829" s="242"/>
      <c r="N829" s="13"/>
      <c r="O829" s="242"/>
      <c r="P829" s="242"/>
      <c r="Q829" s="242"/>
      <c r="R829" s="242"/>
      <c r="S829" s="242"/>
      <c r="T829" s="242"/>
      <c r="U829" s="242"/>
      <c r="V829" s="242"/>
      <c r="W829" s="242"/>
      <c r="X829" s="242"/>
      <c r="Y829" s="242"/>
      <c r="Z829" s="242"/>
    </row>
    <row r="830">
      <c r="A830" s="242"/>
      <c r="B830" s="443"/>
      <c r="C830" s="443"/>
      <c r="D830" s="443"/>
      <c r="E830" s="443"/>
      <c r="F830" s="443"/>
      <c r="G830" s="242"/>
      <c r="H830" s="242"/>
      <c r="I830" s="242"/>
      <c r="J830" s="242"/>
      <c r="K830" s="13"/>
      <c r="L830" s="242"/>
      <c r="M830" s="242"/>
      <c r="N830" s="13"/>
      <c r="O830" s="242"/>
      <c r="P830" s="242"/>
      <c r="Q830" s="242"/>
      <c r="R830" s="242"/>
      <c r="S830" s="242"/>
      <c r="T830" s="242"/>
      <c r="U830" s="242"/>
      <c r="V830" s="242"/>
      <c r="W830" s="242"/>
      <c r="X830" s="242"/>
      <c r="Y830" s="242"/>
      <c r="Z830" s="242"/>
    </row>
    <row r="831">
      <c r="A831" s="242"/>
      <c r="B831" s="443"/>
      <c r="C831" s="443"/>
      <c r="D831" s="443"/>
      <c r="E831" s="443"/>
      <c r="F831" s="443"/>
      <c r="G831" s="242"/>
      <c r="H831" s="242"/>
      <c r="I831" s="242"/>
      <c r="J831" s="242"/>
      <c r="K831" s="13"/>
      <c r="L831" s="242"/>
      <c r="M831" s="242"/>
      <c r="N831" s="13"/>
      <c r="O831" s="242"/>
      <c r="P831" s="242"/>
      <c r="Q831" s="242"/>
      <c r="R831" s="242"/>
      <c r="S831" s="242"/>
      <c r="T831" s="242"/>
      <c r="U831" s="242"/>
      <c r="V831" s="242"/>
      <c r="W831" s="242"/>
      <c r="X831" s="242"/>
      <c r="Y831" s="242"/>
      <c r="Z831" s="242"/>
    </row>
    <row r="832">
      <c r="A832" s="242"/>
      <c r="B832" s="443"/>
      <c r="C832" s="443"/>
      <c r="D832" s="443"/>
      <c r="E832" s="443"/>
      <c r="F832" s="443"/>
      <c r="G832" s="242"/>
      <c r="H832" s="242"/>
      <c r="I832" s="242"/>
      <c r="J832" s="242"/>
      <c r="K832" s="13"/>
      <c r="L832" s="242"/>
      <c r="M832" s="242"/>
      <c r="N832" s="13"/>
      <c r="O832" s="242"/>
      <c r="P832" s="242"/>
      <c r="Q832" s="242"/>
      <c r="R832" s="242"/>
      <c r="S832" s="242"/>
      <c r="T832" s="242"/>
      <c r="U832" s="242"/>
      <c r="V832" s="242"/>
      <c r="W832" s="242"/>
      <c r="X832" s="242"/>
      <c r="Y832" s="242"/>
      <c r="Z832" s="242"/>
    </row>
    <row r="833">
      <c r="A833" s="242"/>
      <c r="B833" s="443"/>
      <c r="C833" s="443"/>
      <c r="D833" s="443"/>
      <c r="E833" s="443"/>
      <c r="F833" s="443"/>
      <c r="G833" s="242"/>
      <c r="H833" s="242"/>
      <c r="I833" s="242"/>
      <c r="J833" s="242"/>
      <c r="K833" s="13"/>
      <c r="L833" s="242"/>
      <c r="M833" s="242"/>
      <c r="N833" s="13"/>
      <c r="O833" s="242"/>
      <c r="P833" s="242"/>
      <c r="Q833" s="242"/>
      <c r="R833" s="242"/>
      <c r="S833" s="242"/>
      <c r="T833" s="242"/>
      <c r="U833" s="242"/>
      <c r="V833" s="242"/>
      <c r="W833" s="242"/>
      <c r="X833" s="242"/>
      <c r="Y833" s="242"/>
      <c r="Z833" s="242"/>
    </row>
    <row r="834">
      <c r="A834" s="242"/>
      <c r="B834" s="443"/>
      <c r="C834" s="443"/>
      <c r="D834" s="443"/>
      <c r="E834" s="443"/>
      <c r="F834" s="443"/>
      <c r="G834" s="242"/>
      <c r="H834" s="242"/>
      <c r="I834" s="242"/>
      <c r="J834" s="242"/>
      <c r="K834" s="13"/>
      <c r="L834" s="242"/>
      <c r="M834" s="242"/>
      <c r="N834" s="13"/>
      <c r="O834" s="242"/>
      <c r="P834" s="242"/>
      <c r="Q834" s="242"/>
      <c r="R834" s="242"/>
      <c r="S834" s="242"/>
      <c r="T834" s="242"/>
      <c r="U834" s="242"/>
      <c r="V834" s="242"/>
      <c r="W834" s="242"/>
      <c r="X834" s="242"/>
      <c r="Y834" s="242"/>
      <c r="Z834" s="242"/>
    </row>
    <row r="835">
      <c r="A835" s="242"/>
      <c r="B835" s="443"/>
      <c r="C835" s="443"/>
      <c r="D835" s="443"/>
      <c r="E835" s="443"/>
      <c r="F835" s="443"/>
      <c r="G835" s="242"/>
      <c r="H835" s="242"/>
      <c r="I835" s="242"/>
      <c r="J835" s="242"/>
      <c r="K835" s="13"/>
      <c r="L835" s="242"/>
      <c r="M835" s="242"/>
      <c r="N835" s="13"/>
      <c r="O835" s="242"/>
      <c r="P835" s="242"/>
      <c r="Q835" s="242"/>
      <c r="R835" s="242"/>
      <c r="S835" s="242"/>
      <c r="T835" s="242"/>
      <c r="U835" s="242"/>
      <c r="V835" s="242"/>
      <c r="W835" s="242"/>
      <c r="X835" s="242"/>
      <c r="Y835" s="242"/>
      <c r="Z835" s="242"/>
    </row>
    <row r="836">
      <c r="A836" s="242"/>
      <c r="B836" s="443"/>
      <c r="C836" s="443"/>
      <c r="D836" s="443"/>
      <c r="E836" s="443"/>
      <c r="F836" s="443"/>
      <c r="G836" s="242"/>
      <c r="H836" s="242"/>
      <c r="I836" s="242"/>
      <c r="J836" s="242"/>
      <c r="K836" s="13"/>
      <c r="L836" s="242"/>
      <c r="M836" s="242"/>
      <c r="N836" s="13"/>
      <c r="O836" s="242"/>
      <c r="P836" s="242"/>
      <c r="Q836" s="242"/>
      <c r="R836" s="242"/>
      <c r="S836" s="242"/>
      <c r="T836" s="242"/>
      <c r="U836" s="242"/>
      <c r="V836" s="242"/>
      <c r="W836" s="242"/>
      <c r="X836" s="242"/>
      <c r="Y836" s="242"/>
      <c r="Z836" s="242"/>
    </row>
    <row r="837">
      <c r="A837" s="242"/>
      <c r="B837" s="443"/>
      <c r="C837" s="443"/>
      <c r="D837" s="443"/>
      <c r="E837" s="443"/>
      <c r="F837" s="443"/>
      <c r="G837" s="242"/>
      <c r="H837" s="242"/>
      <c r="I837" s="242"/>
      <c r="J837" s="242"/>
      <c r="K837" s="13"/>
      <c r="L837" s="242"/>
      <c r="M837" s="242"/>
      <c r="N837" s="13"/>
      <c r="O837" s="242"/>
      <c r="P837" s="242"/>
      <c r="Q837" s="242"/>
      <c r="R837" s="242"/>
      <c r="S837" s="242"/>
      <c r="T837" s="242"/>
      <c r="U837" s="242"/>
      <c r="V837" s="242"/>
      <c r="W837" s="242"/>
      <c r="X837" s="242"/>
      <c r="Y837" s="242"/>
      <c r="Z837" s="242"/>
    </row>
    <row r="838">
      <c r="A838" s="242"/>
      <c r="B838" s="443"/>
      <c r="C838" s="443"/>
      <c r="D838" s="443"/>
      <c r="E838" s="443"/>
      <c r="F838" s="443"/>
      <c r="G838" s="242"/>
      <c r="H838" s="242"/>
      <c r="I838" s="242"/>
      <c r="J838" s="242"/>
      <c r="K838" s="13"/>
      <c r="L838" s="242"/>
      <c r="M838" s="242"/>
      <c r="N838" s="13"/>
      <c r="O838" s="242"/>
      <c r="P838" s="242"/>
      <c r="Q838" s="242"/>
      <c r="R838" s="242"/>
      <c r="S838" s="242"/>
      <c r="T838" s="242"/>
      <c r="U838" s="242"/>
      <c r="V838" s="242"/>
      <c r="W838" s="242"/>
      <c r="X838" s="242"/>
      <c r="Y838" s="242"/>
      <c r="Z838" s="242"/>
    </row>
    <row r="839">
      <c r="A839" s="242"/>
      <c r="B839" s="443"/>
      <c r="C839" s="443"/>
      <c r="D839" s="443"/>
      <c r="E839" s="443"/>
      <c r="F839" s="443"/>
      <c r="G839" s="242"/>
      <c r="H839" s="242"/>
      <c r="I839" s="242"/>
      <c r="J839" s="242"/>
      <c r="K839" s="13"/>
      <c r="L839" s="242"/>
      <c r="M839" s="242"/>
      <c r="N839" s="13"/>
      <c r="O839" s="242"/>
      <c r="P839" s="242"/>
      <c r="Q839" s="242"/>
      <c r="R839" s="242"/>
      <c r="S839" s="242"/>
      <c r="T839" s="242"/>
      <c r="U839" s="242"/>
      <c r="V839" s="242"/>
      <c r="W839" s="242"/>
      <c r="X839" s="242"/>
      <c r="Y839" s="242"/>
      <c r="Z839" s="242"/>
    </row>
    <row r="840">
      <c r="A840" s="242"/>
      <c r="B840" s="443"/>
      <c r="C840" s="443"/>
      <c r="D840" s="443"/>
      <c r="E840" s="443"/>
      <c r="F840" s="443"/>
      <c r="G840" s="242"/>
      <c r="H840" s="242"/>
      <c r="I840" s="242"/>
      <c r="J840" s="242"/>
      <c r="K840" s="13"/>
      <c r="L840" s="242"/>
      <c r="M840" s="242"/>
      <c r="N840" s="13"/>
      <c r="O840" s="242"/>
      <c r="P840" s="242"/>
      <c r="Q840" s="242"/>
      <c r="R840" s="242"/>
      <c r="S840" s="242"/>
      <c r="T840" s="242"/>
      <c r="U840" s="242"/>
      <c r="V840" s="242"/>
      <c r="W840" s="242"/>
      <c r="X840" s="242"/>
      <c r="Y840" s="242"/>
      <c r="Z840" s="242"/>
    </row>
    <row r="841">
      <c r="A841" s="242"/>
      <c r="B841" s="443"/>
      <c r="C841" s="443"/>
      <c r="D841" s="443"/>
      <c r="E841" s="443"/>
      <c r="F841" s="443"/>
      <c r="G841" s="242"/>
      <c r="H841" s="242"/>
      <c r="I841" s="242"/>
      <c r="J841" s="242"/>
      <c r="K841" s="13"/>
      <c r="L841" s="242"/>
      <c r="M841" s="242"/>
      <c r="N841" s="13"/>
      <c r="O841" s="242"/>
      <c r="P841" s="242"/>
      <c r="Q841" s="242"/>
      <c r="R841" s="242"/>
      <c r="S841" s="242"/>
      <c r="T841" s="242"/>
      <c r="U841" s="242"/>
      <c r="V841" s="242"/>
      <c r="W841" s="242"/>
      <c r="X841" s="242"/>
      <c r="Y841" s="242"/>
      <c r="Z841" s="242"/>
    </row>
    <row r="842">
      <c r="A842" s="242"/>
      <c r="B842" s="443"/>
      <c r="C842" s="443"/>
      <c r="D842" s="443"/>
      <c r="E842" s="443"/>
      <c r="F842" s="443"/>
      <c r="G842" s="242"/>
      <c r="H842" s="242"/>
      <c r="I842" s="242"/>
      <c r="J842" s="242"/>
      <c r="K842" s="13"/>
      <c r="L842" s="242"/>
      <c r="M842" s="242"/>
      <c r="N842" s="13"/>
      <c r="O842" s="242"/>
      <c r="P842" s="242"/>
      <c r="Q842" s="242"/>
      <c r="R842" s="242"/>
      <c r="S842" s="242"/>
      <c r="T842" s="242"/>
      <c r="U842" s="242"/>
      <c r="V842" s="242"/>
      <c r="W842" s="242"/>
      <c r="X842" s="242"/>
      <c r="Y842" s="242"/>
      <c r="Z842" s="242"/>
    </row>
    <row r="843">
      <c r="A843" s="242"/>
      <c r="B843" s="443"/>
      <c r="C843" s="443"/>
      <c r="D843" s="443"/>
      <c r="E843" s="443"/>
      <c r="F843" s="443"/>
      <c r="G843" s="242"/>
      <c r="H843" s="242"/>
      <c r="I843" s="242"/>
      <c r="J843" s="242"/>
      <c r="K843" s="13"/>
      <c r="L843" s="242"/>
      <c r="M843" s="242"/>
      <c r="N843" s="13"/>
      <c r="O843" s="242"/>
      <c r="P843" s="242"/>
      <c r="Q843" s="242"/>
      <c r="R843" s="242"/>
      <c r="S843" s="242"/>
      <c r="T843" s="242"/>
      <c r="U843" s="242"/>
      <c r="V843" s="242"/>
      <c r="W843" s="242"/>
      <c r="X843" s="242"/>
      <c r="Y843" s="242"/>
      <c r="Z843" s="242"/>
    </row>
    <row r="844">
      <c r="A844" s="242"/>
      <c r="B844" s="443"/>
      <c r="C844" s="443"/>
      <c r="D844" s="443"/>
      <c r="E844" s="443"/>
      <c r="F844" s="443"/>
      <c r="G844" s="242"/>
      <c r="H844" s="242"/>
      <c r="I844" s="242"/>
      <c r="J844" s="242"/>
      <c r="K844" s="13"/>
      <c r="L844" s="242"/>
      <c r="M844" s="242"/>
      <c r="N844" s="13"/>
      <c r="O844" s="242"/>
      <c r="P844" s="242"/>
      <c r="Q844" s="242"/>
      <c r="R844" s="242"/>
      <c r="S844" s="242"/>
      <c r="T844" s="242"/>
      <c r="U844" s="242"/>
      <c r="V844" s="242"/>
      <c r="W844" s="242"/>
      <c r="X844" s="242"/>
      <c r="Y844" s="242"/>
      <c r="Z844" s="242"/>
    </row>
    <row r="845">
      <c r="A845" s="242"/>
      <c r="B845" s="443"/>
      <c r="C845" s="443"/>
      <c r="D845" s="443"/>
      <c r="E845" s="443"/>
      <c r="F845" s="443"/>
      <c r="G845" s="242"/>
      <c r="H845" s="242"/>
      <c r="I845" s="242"/>
      <c r="J845" s="242"/>
      <c r="K845" s="13"/>
      <c r="L845" s="242"/>
      <c r="M845" s="242"/>
      <c r="N845" s="13"/>
      <c r="O845" s="242"/>
      <c r="P845" s="242"/>
      <c r="Q845" s="242"/>
      <c r="R845" s="242"/>
      <c r="S845" s="242"/>
      <c r="T845" s="242"/>
      <c r="U845" s="242"/>
      <c r="V845" s="242"/>
      <c r="W845" s="242"/>
      <c r="X845" s="242"/>
      <c r="Y845" s="242"/>
      <c r="Z845" s="242"/>
    </row>
    <row r="846">
      <c r="A846" s="242"/>
      <c r="B846" s="443"/>
      <c r="C846" s="443"/>
      <c r="D846" s="443"/>
      <c r="E846" s="443"/>
      <c r="F846" s="443"/>
      <c r="G846" s="242"/>
      <c r="H846" s="242"/>
      <c r="I846" s="242"/>
      <c r="J846" s="242"/>
      <c r="K846" s="13"/>
      <c r="L846" s="242"/>
      <c r="M846" s="242"/>
      <c r="N846" s="13"/>
      <c r="O846" s="242"/>
      <c r="P846" s="242"/>
      <c r="Q846" s="242"/>
      <c r="R846" s="242"/>
      <c r="S846" s="242"/>
      <c r="T846" s="242"/>
      <c r="U846" s="242"/>
      <c r="V846" s="242"/>
      <c r="W846" s="242"/>
      <c r="X846" s="242"/>
      <c r="Y846" s="242"/>
      <c r="Z846" s="242"/>
    </row>
    <row r="847">
      <c r="A847" s="242"/>
      <c r="B847" s="443"/>
      <c r="C847" s="443"/>
      <c r="D847" s="443"/>
      <c r="E847" s="443"/>
      <c r="F847" s="443"/>
      <c r="G847" s="242"/>
      <c r="H847" s="242"/>
      <c r="I847" s="242"/>
      <c r="J847" s="242"/>
      <c r="K847" s="13"/>
      <c r="L847" s="242"/>
      <c r="M847" s="242"/>
      <c r="N847" s="13"/>
      <c r="O847" s="242"/>
      <c r="P847" s="242"/>
      <c r="Q847" s="242"/>
      <c r="R847" s="242"/>
      <c r="S847" s="242"/>
      <c r="T847" s="242"/>
      <c r="U847" s="242"/>
      <c r="V847" s="242"/>
      <c r="W847" s="242"/>
      <c r="X847" s="242"/>
      <c r="Y847" s="242"/>
      <c r="Z847" s="242"/>
    </row>
    <row r="848">
      <c r="A848" s="242"/>
      <c r="B848" s="443"/>
      <c r="C848" s="443"/>
      <c r="D848" s="443"/>
      <c r="E848" s="443"/>
      <c r="F848" s="443"/>
      <c r="G848" s="242"/>
      <c r="H848" s="242"/>
      <c r="I848" s="242"/>
      <c r="J848" s="242"/>
      <c r="K848" s="13"/>
      <c r="L848" s="242"/>
      <c r="M848" s="242"/>
      <c r="N848" s="13"/>
      <c r="O848" s="242"/>
      <c r="P848" s="242"/>
      <c r="Q848" s="242"/>
      <c r="R848" s="242"/>
      <c r="S848" s="242"/>
      <c r="T848" s="242"/>
      <c r="U848" s="242"/>
      <c r="V848" s="242"/>
      <c r="W848" s="242"/>
      <c r="X848" s="242"/>
      <c r="Y848" s="242"/>
      <c r="Z848" s="242"/>
    </row>
    <row r="849">
      <c r="A849" s="242"/>
      <c r="B849" s="443"/>
      <c r="C849" s="443"/>
      <c r="D849" s="443"/>
      <c r="E849" s="443"/>
      <c r="F849" s="443"/>
      <c r="G849" s="242"/>
      <c r="H849" s="242"/>
      <c r="I849" s="242"/>
      <c r="J849" s="242"/>
      <c r="K849" s="13"/>
      <c r="L849" s="242"/>
      <c r="M849" s="242"/>
      <c r="N849" s="13"/>
      <c r="O849" s="242"/>
      <c r="P849" s="242"/>
      <c r="Q849" s="242"/>
      <c r="R849" s="242"/>
      <c r="S849" s="242"/>
      <c r="T849" s="242"/>
      <c r="U849" s="242"/>
      <c r="V849" s="242"/>
      <c r="W849" s="242"/>
      <c r="X849" s="242"/>
      <c r="Y849" s="242"/>
      <c r="Z849" s="242"/>
    </row>
    <row r="850">
      <c r="A850" s="242"/>
      <c r="B850" s="443"/>
      <c r="C850" s="443"/>
      <c r="D850" s="443"/>
      <c r="E850" s="443"/>
      <c r="F850" s="443"/>
      <c r="G850" s="242"/>
      <c r="H850" s="242"/>
      <c r="I850" s="242"/>
      <c r="J850" s="242"/>
      <c r="K850" s="13"/>
      <c r="L850" s="242"/>
      <c r="M850" s="242"/>
      <c r="N850" s="13"/>
      <c r="O850" s="242"/>
      <c r="P850" s="242"/>
      <c r="Q850" s="242"/>
      <c r="R850" s="242"/>
      <c r="S850" s="242"/>
      <c r="T850" s="242"/>
      <c r="U850" s="242"/>
      <c r="V850" s="242"/>
      <c r="W850" s="242"/>
      <c r="X850" s="242"/>
      <c r="Y850" s="242"/>
      <c r="Z850" s="242"/>
    </row>
    <row r="851">
      <c r="A851" s="242"/>
      <c r="B851" s="443"/>
      <c r="C851" s="443"/>
      <c r="D851" s="443"/>
      <c r="E851" s="443"/>
      <c r="F851" s="443"/>
      <c r="G851" s="242"/>
      <c r="H851" s="242"/>
      <c r="I851" s="242"/>
      <c r="J851" s="242"/>
      <c r="K851" s="13"/>
      <c r="L851" s="242"/>
      <c r="M851" s="242"/>
      <c r="N851" s="13"/>
      <c r="O851" s="242"/>
      <c r="P851" s="242"/>
      <c r="Q851" s="242"/>
      <c r="R851" s="242"/>
      <c r="S851" s="242"/>
      <c r="T851" s="242"/>
      <c r="U851" s="242"/>
      <c r="V851" s="242"/>
      <c r="W851" s="242"/>
      <c r="X851" s="242"/>
      <c r="Y851" s="242"/>
      <c r="Z851" s="242"/>
    </row>
    <row r="852">
      <c r="A852" s="242"/>
      <c r="B852" s="443"/>
      <c r="C852" s="443"/>
      <c r="D852" s="443"/>
      <c r="E852" s="443"/>
      <c r="F852" s="443"/>
      <c r="G852" s="242"/>
      <c r="H852" s="242"/>
      <c r="I852" s="242"/>
      <c r="J852" s="242"/>
      <c r="K852" s="13"/>
      <c r="L852" s="242"/>
      <c r="M852" s="242"/>
      <c r="N852" s="13"/>
      <c r="O852" s="242"/>
      <c r="P852" s="242"/>
      <c r="Q852" s="242"/>
      <c r="R852" s="242"/>
      <c r="S852" s="242"/>
      <c r="T852" s="242"/>
      <c r="U852" s="242"/>
      <c r="V852" s="242"/>
      <c r="W852" s="242"/>
      <c r="X852" s="242"/>
      <c r="Y852" s="242"/>
      <c r="Z852" s="242"/>
    </row>
    <row r="853">
      <c r="A853" s="242"/>
      <c r="B853" s="443"/>
      <c r="C853" s="443"/>
      <c r="D853" s="443"/>
      <c r="E853" s="443"/>
      <c r="F853" s="443"/>
      <c r="G853" s="242"/>
      <c r="H853" s="242"/>
      <c r="I853" s="242"/>
      <c r="J853" s="242"/>
      <c r="K853" s="13"/>
      <c r="L853" s="242"/>
      <c r="M853" s="242"/>
      <c r="N853" s="13"/>
      <c r="O853" s="242"/>
      <c r="P853" s="242"/>
      <c r="Q853" s="242"/>
      <c r="R853" s="242"/>
      <c r="S853" s="242"/>
      <c r="T853" s="242"/>
      <c r="U853" s="242"/>
      <c r="V853" s="242"/>
      <c r="W853" s="242"/>
      <c r="X853" s="242"/>
      <c r="Y853" s="242"/>
      <c r="Z853" s="242"/>
    </row>
    <row r="854">
      <c r="A854" s="242"/>
      <c r="B854" s="443"/>
      <c r="C854" s="443"/>
      <c r="D854" s="443"/>
      <c r="E854" s="443"/>
      <c r="F854" s="443"/>
      <c r="G854" s="242"/>
      <c r="H854" s="242"/>
      <c r="I854" s="242"/>
      <c r="J854" s="242"/>
      <c r="K854" s="13"/>
      <c r="L854" s="242"/>
      <c r="M854" s="242"/>
      <c r="N854" s="13"/>
      <c r="O854" s="242"/>
      <c r="P854" s="242"/>
      <c r="Q854" s="242"/>
      <c r="R854" s="242"/>
      <c r="S854" s="242"/>
      <c r="T854" s="242"/>
      <c r="U854" s="242"/>
      <c r="V854" s="242"/>
      <c r="W854" s="242"/>
      <c r="X854" s="242"/>
      <c r="Y854" s="242"/>
      <c r="Z854" s="242"/>
    </row>
    <row r="855">
      <c r="A855" s="242"/>
      <c r="B855" s="443"/>
      <c r="C855" s="443"/>
      <c r="D855" s="443"/>
      <c r="E855" s="443"/>
      <c r="F855" s="443"/>
      <c r="G855" s="242"/>
      <c r="H855" s="242"/>
      <c r="I855" s="242"/>
      <c r="J855" s="242"/>
      <c r="K855" s="13"/>
      <c r="L855" s="242"/>
      <c r="M855" s="242"/>
      <c r="N855" s="13"/>
      <c r="O855" s="242"/>
      <c r="P855" s="242"/>
      <c r="Q855" s="242"/>
      <c r="R855" s="242"/>
      <c r="S855" s="242"/>
      <c r="T855" s="242"/>
      <c r="U855" s="242"/>
      <c r="V855" s="242"/>
      <c r="W855" s="242"/>
      <c r="X855" s="242"/>
      <c r="Y855" s="242"/>
      <c r="Z855" s="242"/>
    </row>
    <row r="856">
      <c r="A856" s="242"/>
      <c r="B856" s="443"/>
      <c r="C856" s="443"/>
      <c r="D856" s="443"/>
      <c r="E856" s="443"/>
      <c r="F856" s="443"/>
      <c r="G856" s="242"/>
      <c r="H856" s="242"/>
      <c r="I856" s="242"/>
      <c r="J856" s="242"/>
      <c r="K856" s="13"/>
      <c r="L856" s="242"/>
      <c r="M856" s="242"/>
      <c r="N856" s="13"/>
      <c r="O856" s="242"/>
      <c r="P856" s="242"/>
      <c r="Q856" s="242"/>
      <c r="R856" s="242"/>
      <c r="S856" s="242"/>
      <c r="T856" s="242"/>
      <c r="U856" s="242"/>
      <c r="V856" s="242"/>
      <c r="W856" s="242"/>
      <c r="X856" s="242"/>
      <c r="Y856" s="242"/>
      <c r="Z856" s="242"/>
    </row>
    <row r="857">
      <c r="A857" s="242"/>
      <c r="B857" s="443"/>
      <c r="C857" s="443"/>
      <c r="D857" s="443"/>
      <c r="E857" s="443"/>
      <c r="F857" s="443"/>
      <c r="G857" s="242"/>
      <c r="H857" s="242"/>
      <c r="I857" s="242"/>
      <c r="J857" s="242"/>
      <c r="K857" s="13"/>
      <c r="L857" s="242"/>
      <c r="M857" s="242"/>
      <c r="N857" s="13"/>
      <c r="O857" s="242"/>
      <c r="P857" s="242"/>
      <c r="Q857" s="242"/>
      <c r="R857" s="242"/>
      <c r="S857" s="242"/>
      <c r="T857" s="242"/>
      <c r="U857" s="242"/>
      <c r="V857" s="242"/>
      <c r="W857" s="242"/>
      <c r="X857" s="242"/>
      <c r="Y857" s="242"/>
      <c r="Z857" s="242"/>
    </row>
    <row r="858">
      <c r="A858" s="242"/>
      <c r="B858" s="443"/>
      <c r="C858" s="443"/>
      <c r="D858" s="443"/>
      <c r="E858" s="443"/>
      <c r="F858" s="443"/>
      <c r="G858" s="242"/>
      <c r="H858" s="242"/>
      <c r="I858" s="242"/>
      <c r="J858" s="242"/>
      <c r="K858" s="13"/>
      <c r="L858" s="242"/>
      <c r="M858" s="242"/>
      <c r="N858" s="13"/>
      <c r="O858" s="242"/>
      <c r="P858" s="242"/>
      <c r="Q858" s="242"/>
      <c r="R858" s="242"/>
      <c r="S858" s="242"/>
      <c r="T858" s="242"/>
      <c r="U858" s="242"/>
      <c r="V858" s="242"/>
      <c r="W858" s="242"/>
      <c r="X858" s="242"/>
      <c r="Y858" s="242"/>
      <c r="Z858" s="242"/>
    </row>
    <row r="859">
      <c r="A859" s="242"/>
      <c r="B859" s="443"/>
      <c r="C859" s="443"/>
      <c r="D859" s="443"/>
      <c r="E859" s="443"/>
      <c r="F859" s="443"/>
      <c r="G859" s="242"/>
      <c r="H859" s="242"/>
      <c r="I859" s="242"/>
      <c r="J859" s="242"/>
      <c r="K859" s="13"/>
      <c r="L859" s="242"/>
      <c r="M859" s="242"/>
      <c r="N859" s="13"/>
      <c r="O859" s="242"/>
      <c r="P859" s="242"/>
      <c r="Q859" s="242"/>
      <c r="R859" s="242"/>
      <c r="S859" s="242"/>
      <c r="T859" s="242"/>
      <c r="U859" s="242"/>
      <c r="V859" s="242"/>
      <c r="W859" s="242"/>
      <c r="X859" s="242"/>
      <c r="Y859" s="242"/>
      <c r="Z859" s="242"/>
    </row>
    <row r="860">
      <c r="A860" s="242"/>
      <c r="B860" s="443"/>
      <c r="C860" s="443"/>
      <c r="D860" s="443"/>
      <c r="E860" s="443"/>
      <c r="F860" s="443"/>
      <c r="G860" s="242"/>
      <c r="H860" s="242"/>
      <c r="I860" s="242"/>
      <c r="J860" s="242"/>
      <c r="K860" s="13"/>
      <c r="L860" s="242"/>
      <c r="M860" s="242"/>
      <c r="N860" s="13"/>
      <c r="O860" s="242"/>
      <c r="P860" s="242"/>
      <c r="Q860" s="242"/>
      <c r="R860" s="242"/>
      <c r="S860" s="242"/>
      <c r="T860" s="242"/>
      <c r="U860" s="242"/>
      <c r="V860" s="242"/>
      <c r="W860" s="242"/>
      <c r="X860" s="242"/>
      <c r="Y860" s="242"/>
      <c r="Z860" s="242"/>
    </row>
    <row r="861">
      <c r="A861" s="242"/>
      <c r="B861" s="443"/>
      <c r="C861" s="443"/>
      <c r="D861" s="443"/>
      <c r="E861" s="443"/>
      <c r="F861" s="443"/>
      <c r="G861" s="242"/>
      <c r="H861" s="242"/>
      <c r="I861" s="242"/>
      <c r="J861" s="242"/>
      <c r="K861" s="13"/>
      <c r="L861" s="242"/>
      <c r="M861" s="242"/>
      <c r="N861" s="13"/>
      <c r="O861" s="242"/>
      <c r="P861" s="242"/>
      <c r="Q861" s="242"/>
      <c r="R861" s="242"/>
      <c r="S861" s="242"/>
      <c r="T861" s="242"/>
      <c r="U861" s="242"/>
      <c r="V861" s="242"/>
      <c r="W861" s="242"/>
      <c r="X861" s="242"/>
      <c r="Y861" s="242"/>
      <c r="Z861" s="242"/>
    </row>
    <row r="862">
      <c r="A862" s="242"/>
      <c r="B862" s="443"/>
      <c r="C862" s="443"/>
      <c r="D862" s="443"/>
      <c r="E862" s="443"/>
      <c r="F862" s="443"/>
      <c r="G862" s="242"/>
      <c r="H862" s="242"/>
      <c r="I862" s="242"/>
      <c r="J862" s="242"/>
      <c r="K862" s="13"/>
      <c r="L862" s="242"/>
      <c r="M862" s="242"/>
      <c r="N862" s="13"/>
      <c r="O862" s="242"/>
      <c r="P862" s="242"/>
      <c r="Q862" s="242"/>
      <c r="R862" s="242"/>
      <c r="S862" s="242"/>
      <c r="T862" s="242"/>
      <c r="U862" s="242"/>
      <c r="V862" s="242"/>
      <c r="W862" s="242"/>
      <c r="X862" s="242"/>
      <c r="Y862" s="242"/>
      <c r="Z862" s="242"/>
    </row>
    <row r="863">
      <c r="A863" s="242"/>
      <c r="B863" s="443"/>
      <c r="C863" s="443"/>
      <c r="D863" s="443"/>
      <c r="E863" s="443"/>
      <c r="F863" s="443"/>
      <c r="G863" s="242"/>
      <c r="H863" s="242"/>
      <c r="I863" s="242"/>
      <c r="J863" s="242"/>
      <c r="K863" s="13"/>
      <c r="L863" s="242"/>
      <c r="M863" s="242"/>
      <c r="N863" s="13"/>
      <c r="O863" s="242"/>
      <c r="P863" s="242"/>
      <c r="Q863" s="242"/>
      <c r="R863" s="242"/>
      <c r="S863" s="242"/>
      <c r="T863" s="242"/>
      <c r="U863" s="242"/>
      <c r="V863" s="242"/>
      <c r="W863" s="242"/>
      <c r="X863" s="242"/>
      <c r="Y863" s="242"/>
      <c r="Z863" s="242"/>
    </row>
    <row r="864">
      <c r="A864" s="242"/>
      <c r="B864" s="443"/>
      <c r="C864" s="443"/>
      <c r="D864" s="443"/>
      <c r="E864" s="443"/>
      <c r="F864" s="443"/>
      <c r="G864" s="242"/>
      <c r="H864" s="242"/>
      <c r="I864" s="242"/>
      <c r="J864" s="242"/>
      <c r="K864" s="13"/>
      <c r="L864" s="242"/>
      <c r="M864" s="242"/>
      <c r="N864" s="13"/>
      <c r="O864" s="242"/>
      <c r="P864" s="242"/>
      <c r="Q864" s="242"/>
      <c r="R864" s="242"/>
      <c r="S864" s="242"/>
      <c r="T864" s="242"/>
      <c r="U864" s="242"/>
      <c r="V864" s="242"/>
      <c r="W864" s="242"/>
      <c r="X864" s="242"/>
      <c r="Y864" s="242"/>
      <c r="Z864" s="242"/>
    </row>
    <row r="865">
      <c r="A865" s="242"/>
      <c r="B865" s="443"/>
      <c r="C865" s="443"/>
      <c r="D865" s="443"/>
      <c r="E865" s="443"/>
      <c r="F865" s="443"/>
      <c r="G865" s="242"/>
      <c r="H865" s="242"/>
      <c r="I865" s="242"/>
      <c r="J865" s="242"/>
      <c r="K865" s="13"/>
      <c r="L865" s="242"/>
      <c r="M865" s="242"/>
      <c r="N865" s="13"/>
      <c r="O865" s="242"/>
      <c r="P865" s="242"/>
      <c r="Q865" s="242"/>
      <c r="R865" s="242"/>
      <c r="S865" s="242"/>
      <c r="T865" s="242"/>
      <c r="U865" s="242"/>
      <c r="V865" s="242"/>
      <c r="W865" s="242"/>
      <c r="X865" s="242"/>
      <c r="Y865" s="242"/>
      <c r="Z865" s="242"/>
    </row>
    <row r="866">
      <c r="A866" s="242"/>
      <c r="B866" s="443"/>
      <c r="C866" s="443"/>
      <c r="D866" s="443"/>
      <c r="E866" s="443"/>
      <c r="F866" s="443"/>
      <c r="G866" s="242"/>
      <c r="H866" s="242"/>
      <c r="I866" s="242"/>
      <c r="J866" s="242"/>
      <c r="K866" s="13"/>
      <c r="L866" s="242"/>
      <c r="M866" s="242"/>
      <c r="N866" s="13"/>
      <c r="O866" s="242"/>
      <c r="P866" s="242"/>
      <c r="Q866" s="242"/>
      <c r="R866" s="242"/>
      <c r="S866" s="242"/>
      <c r="T866" s="242"/>
      <c r="U866" s="242"/>
      <c r="V866" s="242"/>
      <c r="W866" s="242"/>
      <c r="X866" s="242"/>
      <c r="Y866" s="242"/>
      <c r="Z866" s="242"/>
    </row>
    <row r="867">
      <c r="A867" s="242"/>
      <c r="B867" s="443"/>
      <c r="C867" s="443"/>
      <c r="D867" s="443"/>
      <c r="E867" s="443"/>
      <c r="F867" s="443"/>
      <c r="G867" s="242"/>
      <c r="H867" s="242"/>
      <c r="I867" s="242"/>
      <c r="J867" s="242"/>
      <c r="K867" s="13"/>
      <c r="L867" s="242"/>
      <c r="M867" s="242"/>
      <c r="N867" s="13"/>
      <c r="O867" s="242"/>
      <c r="P867" s="242"/>
      <c r="Q867" s="242"/>
      <c r="R867" s="242"/>
      <c r="S867" s="242"/>
      <c r="T867" s="242"/>
      <c r="U867" s="242"/>
      <c r="V867" s="242"/>
      <c r="W867" s="242"/>
      <c r="X867" s="242"/>
      <c r="Y867" s="242"/>
      <c r="Z867" s="242"/>
    </row>
    <row r="868">
      <c r="A868" s="242"/>
      <c r="B868" s="443"/>
      <c r="C868" s="443"/>
      <c r="D868" s="443"/>
      <c r="E868" s="443"/>
      <c r="F868" s="443"/>
      <c r="G868" s="242"/>
      <c r="H868" s="242"/>
      <c r="I868" s="242"/>
      <c r="J868" s="242"/>
      <c r="K868" s="13"/>
      <c r="L868" s="242"/>
      <c r="M868" s="242"/>
      <c r="N868" s="13"/>
      <c r="O868" s="242"/>
      <c r="P868" s="242"/>
      <c r="Q868" s="242"/>
      <c r="R868" s="242"/>
      <c r="S868" s="242"/>
      <c r="T868" s="242"/>
      <c r="U868" s="242"/>
      <c r="V868" s="242"/>
      <c r="W868" s="242"/>
      <c r="X868" s="242"/>
      <c r="Y868" s="242"/>
      <c r="Z868" s="242"/>
    </row>
    <row r="869">
      <c r="A869" s="242"/>
      <c r="B869" s="443"/>
      <c r="C869" s="443"/>
      <c r="D869" s="443"/>
      <c r="E869" s="443"/>
      <c r="F869" s="443"/>
      <c r="G869" s="242"/>
      <c r="H869" s="242"/>
      <c r="I869" s="242"/>
      <c r="J869" s="242"/>
      <c r="K869" s="13"/>
      <c r="L869" s="242"/>
      <c r="M869" s="242"/>
      <c r="N869" s="13"/>
      <c r="O869" s="242"/>
      <c r="P869" s="242"/>
      <c r="Q869" s="242"/>
      <c r="R869" s="242"/>
      <c r="S869" s="242"/>
      <c r="T869" s="242"/>
      <c r="U869" s="242"/>
      <c r="V869" s="242"/>
      <c r="W869" s="242"/>
      <c r="X869" s="242"/>
      <c r="Y869" s="242"/>
      <c r="Z869" s="242"/>
    </row>
    <row r="870">
      <c r="A870" s="242"/>
      <c r="B870" s="443"/>
      <c r="C870" s="443"/>
      <c r="D870" s="443"/>
      <c r="E870" s="443"/>
      <c r="F870" s="443"/>
      <c r="G870" s="242"/>
      <c r="H870" s="242"/>
      <c r="I870" s="242"/>
      <c r="J870" s="242"/>
      <c r="K870" s="13"/>
      <c r="L870" s="242"/>
      <c r="M870" s="242"/>
      <c r="N870" s="13"/>
      <c r="O870" s="242"/>
      <c r="P870" s="242"/>
      <c r="Q870" s="242"/>
      <c r="R870" s="242"/>
      <c r="S870" s="242"/>
      <c r="T870" s="242"/>
      <c r="U870" s="242"/>
      <c r="V870" s="242"/>
      <c r="W870" s="242"/>
      <c r="X870" s="242"/>
      <c r="Y870" s="242"/>
      <c r="Z870" s="242"/>
    </row>
    <row r="871">
      <c r="A871" s="242"/>
      <c r="B871" s="443"/>
      <c r="C871" s="443"/>
      <c r="D871" s="443"/>
      <c r="E871" s="443"/>
      <c r="F871" s="443"/>
      <c r="G871" s="242"/>
      <c r="H871" s="242"/>
      <c r="I871" s="242"/>
      <c r="J871" s="242"/>
      <c r="K871" s="13"/>
      <c r="L871" s="242"/>
      <c r="M871" s="242"/>
      <c r="N871" s="13"/>
      <c r="O871" s="242"/>
      <c r="P871" s="242"/>
      <c r="Q871" s="242"/>
      <c r="R871" s="242"/>
      <c r="S871" s="242"/>
      <c r="T871" s="242"/>
      <c r="U871" s="242"/>
      <c r="V871" s="242"/>
      <c r="W871" s="242"/>
      <c r="X871" s="242"/>
      <c r="Y871" s="242"/>
      <c r="Z871" s="242"/>
    </row>
    <row r="872">
      <c r="A872" s="242"/>
      <c r="B872" s="443"/>
      <c r="C872" s="443"/>
      <c r="D872" s="443"/>
      <c r="E872" s="443"/>
      <c r="F872" s="443"/>
      <c r="G872" s="242"/>
      <c r="H872" s="242"/>
      <c r="I872" s="242"/>
      <c r="J872" s="242"/>
      <c r="K872" s="13"/>
      <c r="L872" s="242"/>
      <c r="M872" s="242"/>
      <c r="N872" s="13"/>
      <c r="O872" s="242"/>
      <c r="P872" s="242"/>
      <c r="Q872" s="242"/>
      <c r="R872" s="242"/>
      <c r="S872" s="242"/>
      <c r="T872" s="242"/>
      <c r="U872" s="242"/>
      <c r="V872" s="242"/>
      <c r="W872" s="242"/>
      <c r="X872" s="242"/>
      <c r="Y872" s="242"/>
      <c r="Z872" s="242"/>
    </row>
    <row r="873">
      <c r="A873" s="242"/>
      <c r="B873" s="443"/>
      <c r="C873" s="443"/>
      <c r="D873" s="443"/>
      <c r="E873" s="443"/>
      <c r="F873" s="443"/>
      <c r="G873" s="242"/>
      <c r="H873" s="242"/>
      <c r="I873" s="242"/>
      <c r="J873" s="242"/>
      <c r="K873" s="13"/>
      <c r="L873" s="242"/>
      <c r="M873" s="242"/>
      <c r="N873" s="13"/>
      <c r="O873" s="242"/>
      <c r="P873" s="242"/>
      <c r="Q873" s="242"/>
      <c r="R873" s="242"/>
      <c r="S873" s="242"/>
      <c r="T873" s="242"/>
      <c r="U873" s="242"/>
      <c r="V873" s="242"/>
      <c r="W873" s="242"/>
      <c r="X873" s="242"/>
      <c r="Y873" s="242"/>
      <c r="Z873" s="242"/>
    </row>
    <row r="874">
      <c r="A874" s="242"/>
      <c r="B874" s="443"/>
      <c r="C874" s="443"/>
      <c r="D874" s="443"/>
      <c r="E874" s="443"/>
      <c r="F874" s="443"/>
      <c r="G874" s="242"/>
      <c r="H874" s="242"/>
      <c r="I874" s="242"/>
      <c r="J874" s="242"/>
      <c r="K874" s="13"/>
      <c r="L874" s="242"/>
      <c r="M874" s="242"/>
      <c r="N874" s="13"/>
      <c r="O874" s="242"/>
      <c r="P874" s="242"/>
      <c r="Q874" s="242"/>
      <c r="R874" s="242"/>
      <c r="S874" s="242"/>
      <c r="T874" s="242"/>
      <c r="U874" s="242"/>
      <c r="V874" s="242"/>
      <c r="W874" s="242"/>
      <c r="X874" s="242"/>
      <c r="Y874" s="242"/>
      <c r="Z874" s="242"/>
    </row>
    <row r="875">
      <c r="A875" s="242"/>
      <c r="B875" s="443"/>
      <c r="C875" s="443"/>
      <c r="D875" s="443"/>
      <c r="E875" s="443"/>
      <c r="F875" s="443"/>
      <c r="G875" s="242"/>
      <c r="H875" s="242"/>
      <c r="I875" s="242"/>
      <c r="J875" s="242"/>
      <c r="K875" s="13"/>
      <c r="L875" s="242"/>
      <c r="M875" s="242"/>
      <c r="N875" s="13"/>
      <c r="O875" s="242"/>
      <c r="P875" s="242"/>
      <c r="Q875" s="242"/>
      <c r="R875" s="242"/>
      <c r="S875" s="242"/>
      <c r="T875" s="242"/>
      <c r="U875" s="242"/>
      <c r="V875" s="242"/>
      <c r="W875" s="242"/>
      <c r="X875" s="242"/>
      <c r="Y875" s="242"/>
      <c r="Z875" s="242"/>
    </row>
    <row r="876">
      <c r="A876" s="242"/>
      <c r="B876" s="443"/>
      <c r="C876" s="443"/>
      <c r="D876" s="443"/>
      <c r="E876" s="443"/>
      <c r="F876" s="443"/>
      <c r="G876" s="242"/>
      <c r="H876" s="242"/>
      <c r="I876" s="242"/>
      <c r="J876" s="242"/>
      <c r="K876" s="13"/>
      <c r="L876" s="242"/>
      <c r="M876" s="242"/>
      <c r="N876" s="13"/>
      <c r="O876" s="242"/>
      <c r="P876" s="242"/>
      <c r="Q876" s="242"/>
      <c r="R876" s="242"/>
      <c r="S876" s="242"/>
      <c r="T876" s="242"/>
      <c r="U876" s="242"/>
      <c r="V876" s="242"/>
      <c r="W876" s="242"/>
      <c r="X876" s="242"/>
      <c r="Y876" s="242"/>
      <c r="Z876" s="242"/>
    </row>
    <row r="877">
      <c r="A877" s="242"/>
      <c r="B877" s="443"/>
      <c r="C877" s="443"/>
      <c r="D877" s="443"/>
      <c r="E877" s="443"/>
      <c r="F877" s="443"/>
      <c r="G877" s="242"/>
      <c r="H877" s="242"/>
      <c r="I877" s="242"/>
      <c r="J877" s="242"/>
      <c r="K877" s="13"/>
      <c r="L877" s="242"/>
      <c r="M877" s="242"/>
      <c r="N877" s="13"/>
      <c r="O877" s="242"/>
      <c r="P877" s="242"/>
      <c r="Q877" s="242"/>
      <c r="R877" s="242"/>
      <c r="S877" s="242"/>
      <c r="T877" s="242"/>
      <c r="U877" s="242"/>
      <c r="V877" s="242"/>
      <c r="W877" s="242"/>
      <c r="X877" s="242"/>
      <c r="Y877" s="242"/>
      <c r="Z877" s="242"/>
    </row>
    <row r="878">
      <c r="A878" s="242"/>
      <c r="B878" s="443"/>
      <c r="C878" s="443"/>
      <c r="D878" s="443"/>
      <c r="E878" s="443"/>
      <c r="F878" s="443"/>
      <c r="G878" s="242"/>
      <c r="H878" s="242"/>
      <c r="I878" s="242"/>
      <c r="J878" s="242"/>
      <c r="K878" s="13"/>
      <c r="L878" s="242"/>
      <c r="M878" s="242"/>
      <c r="N878" s="13"/>
      <c r="O878" s="242"/>
      <c r="P878" s="242"/>
      <c r="Q878" s="242"/>
      <c r="R878" s="242"/>
      <c r="S878" s="242"/>
      <c r="T878" s="242"/>
      <c r="U878" s="242"/>
      <c r="V878" s="242"/>
      <c r="W878" s="242"/>
      <c r="X878" s="242"/>
      <c r="Y878" s="242"/>
      <c r="Z878" s="242"/>
    </row>
    <row r="879">
      <c r="A879" s="242"/>
      <c r="B879" s="443"/>
      <c r="C879" s="443"/>
      <c r="D879" s="443"/>
      <c r="E879" s="443"/>
      <c r="F879" s="443"/>
      <c r="G879" s="242"/>
      <c r="H879" s="242"/>
      <c r="I879" s="242"/>
      <c r="J879" s="242"/>
      <c r="K879" s="13"/>
      <c r="L879" s="242"/>
      <c r="M879" s="242"/>
      <c r="N879" s="13"/>
      <c r="O879" s="242"/>
      <c r="P879" s="242"/>
      <c r="Q879" s="242"/>
      <c r="R879" s="242"/>
      <c r="S879" s="242"/>
      <c r="T879" s="242"/>
      <c r="U879" s="242"/>
      <c r="V879" s="242"/>
      <c r="W879" s="242"/>
      <c r="X879" s="242"/>
      <c r="Y879" s="242"/>
      <c r="Z879" s="242"/>
    </row>
    <row r="880">
      <c r="A880" s="242"/>
      <c r="B880" s="443"/>
      <c r="C880" s="443"/>
      <c r="D880" s="443"/>
      <c r="E880" s="443"/>
      <c r="F880" s="443"/>
      <c r="G880" s="242"/>
      <c r="H880" s="242"/>
      <c r="I880" s="242"/>
      <c r="J880" s="242"/>
      <c r="K880" s="13"/>
      <c r="L880" s="242"/>
      <c r="M880" s="242"/>
      <c r="N880" s="13"/>
      <c r="O880" s="242"/>
      <c r="P880" s="242"/>
      <c r="Q880" s="242"/>
      <c r="R880" s="242"/>
      <c r="S880" s="242"/>
      <c r="T880" s="242"/>
      <c r="U880" s="242"/>
      <c r="V880" s="242"/>
      <c r="W880" s="242"/>
      <c r="X880" s="242"/>
      <c r="Y880" s="242"/>
      <c r="Z880" s="242"/>
    </row>
    <row r="881">
      <c r="A881" s="242"/>
      <c r="B881" s="443"/>
      <c r="C881" s="443"/>
      <c r="D881" s="443"/>
      <c r="E881" s="443"/>
      <c r="F881" s="443"/>
      <c r="G881" s="242"/>
      <c r="H881" s="242"/>
      <c r="I881" s="242"/>
      <c r="J881" s="242"/>
      <c r="K881" s="13"/>
      <c r="L881" s="242"/>
      <c r="M881" s="242"/>
      <c r="N881" s="13"/>
      <c r="O881" s="242"/>
      <c r="P881" s="242"/>
      <c r="Q881" s="242"/>
      <c r="R881" s="242"/>
      <c r="S881" s="242"/>
      <c r="T881" s="242"/>
      <c r="U881" s="242"/>
      <c r="V881" s="242"/>
      <c r="W881" s="242"/>
      <c r="X881" s="242"/>
      <c r="Y881" s="242"/>
      <c r="Z881" s="242"/>
    </row>
    <row r="882">
      <c r="A882" s="242"/>
      <c r="B882" s="443"/>
      <c r="C882" s="443"/>
      <c r="D882" s="443"/>
      <c r="E882" s="443"/>
      <c r="F882" s="443"/>
      <c r="G882" s="242"/>
      <c r="H882" s="242"/>
      <c r="I882" s="242"/>
      <c r="J882" s="242"/>
      <c r="K882" s="13"/>
      <c r="L882" s="242"/>
      <c r="M882" s="242"/>
      <c r="N882" s="13"/>
      <c r="O882" s="242"/>
      <c r="P882" s="242"/>
      <c r="Q882" s="242"/>
      <c r="R882" s="242"/>
      <c r="S882" s="242"/>
      <c r="T882" s="242"/>
      <c r="U882" s="242"/>
      <c r="V882" s="242"/>
      <c r="W882" s="242"/>
      <c r="X882" s="242"/>
      <c r="Y882" s="242"/>
      <c r="Z882" s="242"/>
    </row>
    <row r="883">
      <c r="A883" s="242"/>
      <c r="B883" s="443"/>
      <c r="C883" s="443"/>
      <c r="D883" s="443"/>
      <c r="E883" s="443"/>
      <c r="F883" s="443"/>
      <c r="G883" s="242"/>
      <c r="H883" s="242"/>
      <c r="I883" s="242"/>
      <c r="J883" s="242"/>
      <c r="K883" s="13"/>
      <c r="L883" s="242"/>
      <c r="M883" s="242"/>
      <c r="N883" s="13"/>
      <c r="O883" s="242"/>
      <c r="P883" s="242"/>
      <c r="Q883" s="242"/>
      <c r="R883" s="242"/>
      <c r="S883" s="242"/>
      <c r="T883" s="242"/>
      <c r="U883" s="242"/>
      <c r="V883" s="242"/>
      <c r="W883" s="242"/>
      <c r="X883" s="242"/>
      <c r="Y883" s="242"/>
      <c r="Z883" s="242"/>
    </row>
    <row r="884">
      <c r="A884" s="242"/>
      <c r="B884" s="443"/>
      <c r="C884" s="443"/>
      <c r="D884" s="443"/>
      <c r="E884" s="443"/>
      <c r="F884" s="443"/>
      <c r="G884" s="242"/>
      <c r="H884" s="242"/>
      <c r="I884" s="242"/>
      <c r="J884" s="242"/>
      <c r="K884" s="13"/>
      <c r="L884" s="242"/>
      <c r="M884" s="242"/>
      <c r="N884" s="13"/>
      <c r="O884" s="242"/>
      <c r="P884" s="242"/>
      <c r="Q884" s="242"/>
      <c r="R884" s="242"/>
      <c r="S884" s="242"/>
      <c r="T884" s="242"/>
      <c r="U884" s="242"/>
      <c r="V884" s="242"/>
      <c r="W884" s="242"/>
      <c r="X884" s="242"/>
      <c r="Y884" s="242"/>
      <c r="Z884" s="242"/>
    </row>
    <row r="885">
      <c r="A885" s="242"/>
      <c r="B885" s="443"/>
      <c r="C885" s="443"/>
      <c r="D885" s="443"/>
      <c r="E885" s="443"/>
      <c r="F885" s="443"/>
      <c r="G885" s="242"/>
      <c r="H885" s="242"/>
      <c r="I885" s="242"/>
      <c r="J885" s="242"/>
      <c r="K885" s="13"/>
      <c r="L885" s="242"/>
      <c r="M885" s="242"/>
      <c r="N885" s="13"/>
      <c r="O885" s="242"/>
      <c r="P885" s="242"/>
      <c r="Q885" s="242"/>
      <c r="R885" s="242"/>
      <c r="S885" s="242"/>
      <c r="T885" s="242"/>
      <c r="U885" s="242"/>
      <c r="V885" s="242"/>
      <c r="W885" s="242"/>
      <c r="X885" s="242"/>
      <c r="Y885" s="242"/>
      <c r="Z885" s="242"/>
    </row>
    <row r="886">
      <c r="A886" s="242"/>
      <c r="B886" s="443"/>
      <c r="C886" s="443"/>
      <c r="D886" s="443"/>
      <c r="E886" s="443"/>
      <c r="F886" s="443"/>
      <c r="G886" s="242"/>
      <c r="H886" s="242"/>
      <c r="I886" s="242"/>
      <c r="J886" s="242"/>
      <c r="K886" s="13"/>
      <c r="L886" s="242"/>
      <c r="M886" s="242"/>
      <c r="N886" s="13"/>
      <c r="O886" s="242"/>
      <c r="P886" s="242"/>
      <c r="Q886" s="242"/>
      <c r="R886" s="242"/>
      <c r="S886" s="242"/>
      <c r="T886" s="242"/>
      <c r="U886" s="242"/>
      <c r="V886" s="242"/>
      <c r="W886" s="242"/>
      <c r="X886" s="242"/>
      <c r="Y886" s="242"/>
      <c r="Z886" s="242"/>
    </row>
    <row r="887">
      <c r="A887" s="242"/>
      <c r="B887" s="443"/>
      <c r="C887" s="443"/>
      <c r="D887" s="443"/>
      <c r="E887" s="443"/>
      <c r="F887" s="443"/>
      <c r="G887" s="242"/>
      <c r="H887" s="242"/>
      <c r="I887" s="242"/>
      <c r="J887" s="242"/>
      <c r="K887" s="13"/>
      <c r="L887" s="242"/>
      <c r="M887" s="242"/>
      <c r="N887" s="13"/>
      <c r="O887" s="242"/>
      <c r="P887" s="242"/>
      <c r="Q887" s="242"/>
      <c r="R887" s="242"/>
      <c r="S887" s="242"/>
      <c r="T887" s="242"/>
      <c r="U887" s="242"/>
      <c r="V887" s="242"/>
      <c r="W887" s="242"/>
      <c r="X887" s="242"/>
      <c r="Y887" s="242"/>
      <c r="Z887" s="242"/>
    </row>
    <row r="888">
      <c r="A888" s="242"/>
      <c r="B888" s="443"/>
      <c r="C888" s="443"/>
      <c r="D888" s="443"/>
      <c r="E888" s="443"/>
      <c r="F888" s="443"/>
      <c r="G888" s="242"/>
      <c r="H888" s="242"/>
      <c r="I888" s="242"/>
      <c r="J888" s="242"/>
      <c r="K888" s="13"/>
      <c r="L888" s="242"/>
      <c r="M888" s="242"/>
      <c r="N888" s="13"/>
      <c r="O888" s="242"/>
      <c r="P888" s="242"/>
      <c r="Q888" s="242"/>
      <c r="R888" s="242"/>
      <c r="S888" s="242"/>
      <c r="T888" s="242"/>
      <c r="U888" s="242"/>
      <c r="V888" s="242"/>
      <c r="W888" s="242"/>
      <c r="X888" s="242"/>
      <c r="Y888" s="242"/>
      <c r="Z888" s="242"/>
    </row>
    <row r="889">
      <c r="A889" s="242"/>
      <c r="B889" s="443"/>
      <c r="C889" s="443"/>
      <c r="D889" s="443"/>
      <c r="E889" s="443"/>
      <c r="F889" s="443"/>
      <c r="G889" s="242"/>
      <c r="H889" s="242"/>
      <c r="I889" s="242"/>
      <c r="J889" s="242"/>
      <c r="K889" s="13"/>
      <c r="L889" s="242"/>
      <c r="M889" s="242"/>
      <c r="N889" s="13"/>
      <c r="O889" s="242"/>
      <c r="P889" s="242"/>
      <c r="Q889" s="242"/>
      <c r="R889" s="242"/>
      <c r="S889" s="242"/>
      <c r="T889" s="242"/>
      <c r="U889" s="242"/>
      <c r="V889" s="242"/>
      <c r="W889" s="242"/>
      <c r="X889" s="242"/>
      <c r="Y889" s="242"/>
      <c r="Z889" s="242"/>
    </row>
    <row r="890">
      <c r="A890" s="242"/>
      <c r="B890" s="443"/>
      <c r="C890" s="443"/>
      <c r="D890" s="443"/>
      <c r="E890" s="443"/>
      <c r="F890" s="443"/>
      <c r="G890" s="242"/>
      <c r="H890" s="242"/>
      <c r="I890" s="242"/>
      <c r="J890" s="242"/>
      <c r="K890" s="13"/>
      <c r="L890" s="242"/>
      <c r="M890" s="242"/>
      <c r="N890" s="13"/>
      <c r="O890" s="242"/>
      <c r="P890" s="242"/>
      <c r="Q890" s="242"/>
      <c r="R890" s="242"/>
      <c r="S890" s="242"/>
      <c r="T890" s="242"/>
      <c r="U890" s="242"/>
      <c r="V890" s="242"/>
      <c r="W890" s="242"/>
      <c r="X890" s="242"/>
      <c r="Y890" s="242"/>
      <c r="Z890" s="242"/>
    </row>
    <row r="891">
      <c r="A891" s="242"/>
      <c r="B891" s="443"/>
      <c r="C891" s="443"/>
      <c r="D891" s="443"/>
      <c r="E891" s="443"/>
      <c r="F891" s="443"/>
      <c r="G891" s="242"/>
      <c r="H891" s="242"/>
      <c r="I891" s="242"/>
      <c r="J891" s="242"/>
      <c r="K891" s="13"/>
      <c r="L891" s="242"/>
      <c r="M891" s="242"/>
      <c r="N891" s="13"/>
      <c r="O891" s="242"/>
      <c r="P891" s="242"/>
      <c r="Q891" s="242"/>
      <c r="R891" s="242"/>
      <c r="S891" s="242"/>
      <c r="T891" s="242"/>
      <c r="U891" s="242"/>
      <c r="V891" s="242"/>
      <c r="W891" s="242"/>
      <c r="X891" s="242"/>
      <c r="Y891" s="242"/>
      <c r="Z891" s="242"/>
    </row>
    <row r="892">
      <c r="A892" s="242"/>
      <c r="B892" s="443"/>
      <c r="C892" s="443"/>
      <c r="D892" s="443"/>
      <c r="E892" s="443"/>
      <c r="F892" s="443"/>
      <c r="G892" s="242"/>
      <c r="H892" s="242"/>
      <c r="I892" s="242"/>
      <c r="J892" s="242"/>
      <c r="K892" s="13"/>
      <c r="L892" s="242"/>
      <c r="M892" s="242"/>
      <c r="N892" s="13"/>
      <c r="O892" s="242"/>
      <c r="P892" s="242"/>
      <c r="Q892" s="242"/>
      <c r="R892" s="242"/>
      <c r="S892" s="242"/>
      <c r="T892" s="242"/>
      <c r="U892" s="242"/>
      <c r="V892" s="242"/>
      <c r="W892" s="242"/>
      <c r="X892" s="242"/>
      <c r="Y892" s="242"/>
      <c r="Z892" s="242"/>
    </row>
    <row r="893">
      <c r="A893" s="242"/>
      <c r="B893" s="443"/>
      <c r="C893" s="443"/>
      <c r="D893" s="443"/>
      <c r="E893" s="443"/>
      <c r="F893" s="443"/>
      <c r="G893" s="242"/>
      <c r="H893" s="242"/>
      <c r="I893" s="242"/>
      <c r="J893" s="242"/>
      <c r="K893" s="13"/>
      <c r="L893" s="242"/>
      <c r="M893" s="242"/>
      <c r="N893" s="13"/>
      <c r="O893" s="242"/>
      <c r="P893" s="242"/>
      <c r="Q893" s="242"/>
      <c r="R893" s="242"/>
      <c r="S893" s="242"/>
      <c r="T893" s="242"/>
      <c r="U893" s="242"/>
      <c r="V893" s="242"/>
      <c r="W893" s="242"/>
      <c r="X893" s="242"/>
      <c r="Y893" s="242"/>
      <c r="Z893" s="242"/>
    </row>
    <row r="894">
      <c r="A894" s="242"/>
      <c r="B894" s="443"/>
      <c r="C894" s="443"/>
      <c r="D894" s="443"/>
      <c r="E894" s="443"/>
      <c r="F894" s="443"/>
      <c r="G894" s="242"/>
      <c r="H894" s="242"/>
      <c r="I894" s="242"/>
      <c r="J894" s="242"/>
      <c r="K894" s="13"/>
      <c r="L894" s="242"/>
      <c r="M894" s="242"/>
      <c r="N894" s="13"/>
      <c r="O894" s="242"/>
      <c r="P894" s="242"/>
      <c r="Q894" s="242"/>
      <c r="R894" s="242"/>
      <c r="S894" s="242"/>
      <c r="T894" s="242"/>
      <c r="U894" s="242"/>
      <c r="V894" s="242"/>
      <c r="W894" s="242"/>
      <c r="X894" s="242"/>
      <c r="Y894" s="242"/>
      <c r="Z894" s="242"/>
    </row>
    <row r="895">
      <c r="A895" s="242"/>
      <c r="B895" s="443"/>
      <c r="C895" s="443"/>
      <c r="D895" s="443"/>
      <c r="E895" s="443"/>
      <c r="F895" s="443"/>
      <c r="G895" s="242"/>
      <c r="H895" s="242"/>
      <c r="I895" s="242"/>
      <c r="J895" s="242"/>
      <c r="K895" s="13"/>
      <c r="L895" s="242"/>
      <c r="M895" s="242"/>
      <c r="N895" s="13"/>
      <c r="O895" s="242"/>
      <c r="P895" s="242"/>
      <c r="Q895" s="242"/>
      <c r="R895" s="242"/>
      <c r="S895" s="242"/>
      <c r="T895" s="242"/>
      <c r="U895" s="242"/>
      <c r="V895" s="242"/>
      <c r="W895" s="242"/>
      <c r="X895" s="242"/>
      <c r="Y895" s="242"/>
      <c r="Z895" s="242"/>
    </row>
    <row r="896">
      <c r="A896" s="242"/>
      <c r="B896" s="443"/>
      <c r="C896" s="443"/>
      <c r="D896" s="443"/>
      <c r="E896" s="443"/>
      <c r="F896" s="443"/>
      <c r="G896" s="242"/>
      <c r="H896" s="242"/>
      <c r="I896" s="242"/>
      <c r="J896" s="242"/>
      <c r="K896" s="13"/>
      <c r="L896" s="242"/>
      <c r="M896" s="242"/>
      <c r="N896" s="13"/>
      <c r="O896" s="242"/>
      <c r="P896" s="242"/>
      <c r="Q896" s="242"/>
      <c r="R896" s="242"/>
      <c r="S896" s="242"/>
      <c r="T896" s="242"/>
      <c r="U896" s="242"/>
      <c r="V896" s="242"/>
      <c r="W896" s="242"/>
      <c r="X896" s="242"/>
      <c r="Y896" s="242"/>
      <c r="Z896" s="242"/>
    </row>
    <row r="897">
      <c r="A897" s="242"/>
      <c r="B897" s="443"/>
      <c r="C897" s="443"/>
      <c r="D897" s="443"/>
      <c r="E897" s="443"/>
      <c r="F897" s="443"/>
      <c r="G897" s="242"/>
      <c r="H897" s="242"/>
      <c r="I897" s="242"/>
      <c r="J897" s="242"/>
      <c r="K897" s="13"/>
      <c r="L897" s="242"/>
      <c r="M897" s="242"/>
      <c r="N897" s="13"/>
      <c r="O897" s="242"/>
      <c r="P897" s="242"/>
      <c r="Q897" s="242"/>
      <c r="R897" s="242"/>
      <c r="S897" s="242"/>
      <c r="T897" s="242"/>
      <c r="U897" s="242"/>
      <c r="V897" s="242"/>
      <c r="W897" s="242"/>
      <c r="X897" s="242"/>
      <c r="Y897" s="242"/>
      <c r="Z897" s="242"/>
    </row>
    <row r="898">
      <c r="A898" s="242"/>
      <c r="B898" s="443"/>
      <c r="C898" s="443"/>
      <c r="D898" s="443"/>
      <c r="E898" s="443"/>
      <c r="F898" s="443"/>
      <c r="G898" s="242"/>
      <c r="H898" s="242"/>
      <c r="I898" s="242"/>
      <c r="J898" s="242"/>
      <c r="K898" s="13"/>
      <c r="L898" s="242"/>
      <c r="M898" s="242"/>
      <c r="N898" s="13"/>
      <c r="O898" s="242"/>
      <c r="P898" s="242"/>
      <c r="Q898" s="242"/>
      <c r="R898" s="242"/>
      <c r="S898" s="242"/>
      <c r="T898" s="242"/>
      <c r="U898" s="242"/>
      <c r="V898" s="242"/>
      <c r="W898" s="242"/>
      <c r="X898" s="242"/>
      <c r="Y898" s="242"/>
      <c r="Z898" s="242"/>
    </row>
    <row r="899">
      <c r="A899" s="242"/>
      <c r="B899" s="443"/>
      <c r="C899" s="443"/>
      <c r="D899" s="443"/>
      <c r="E899" s="443"/>
      <c r="F899" s="443"/>
      <c r="G899" s="242"/>
      <c r="H899" s="242"/>
      <c r="I899" s="242"/>
      <c r="J899" s="242"/>
      <c r="K899" s="13"/>
      <c r="L899" s="242"/>
      <c r="M899" s="242"/>
      <c r="N899" s="13"/>
      <c r="O899" s="242"/>
      <c r="P899" s="242"/>
      <c r="Q899" s="242"/>
      <c r="R899" s="242"/>
      <c r="S899" s="242"/>
      <c r="T899" s="242"/>
      <c r="U899" s="242"/>
      <c r="V899" s="242"/>
      <c r="W899" s="242"/>
      <c r="X899" s="242"/>
      <c r="Y899" s="242"/>
      <c r="Z899" s="242"/>
    </row>
    <row r="900">
      <c r="A900" s="242"/>
      <c r="B900" s="443"/>
      <c r="C900" s="443"/>
      <c r="D900" s="443"/>
      <c r="E900" s="443"/>
      <c r="F900" s="443"/>
      <c r="G900" s="242"/>
      <c r="H900" s="242"/>
      <c r="I900" s="242"/>
      <c r="J900" s="242"/>
      <c r="K900" s="13"/>
      <c r="L900" s="242"/>
      <c r="M900" s="242"/>
      <c r="N900" s="13"/>
      <c r="O900" s="242"/>
      <c r="P900" s="242"/>
      <c r="Q900" s="242"/>
      <c r="R900" s="242"/>
      <c r="S900" s="242"/>
      <c r="T900" s="242"/>
      <c r="U900" s="242"/>
      <c r="V900" s="242"/>
      <c r="W900" s="242"/>
      <c r="X900" s="242"/>
      <c r="Y900" s="242"/>
      <c r="Z900" s="242"/>
    </row>
    <row r="901">
      <c r="A901" s="242"/>
      <c r="B901" s="443"/>
      <c r="C901" s="443"/>
      <c r="D901" s="443"/>
      <c r="E901" s="443"/>
      <c r="F901" s="443"/>
      <c r="G901" s="242"/>
      <c r="H901" s="242"/>
      <c r="I901" s="242"/>
      <c r="J901" s="242"/>
      <c r="K901" s="13"/>
      <c r="L901" s="242"/>
      <c r="M901" s="242"/>
      <c r="N901" s="13"/>
      <c r="O901" s="242"/>
      <c r="P901" s="242"/>
      <c r="Q901" s="242"/>
      <c r="R901" s="242"/>
      <c r="S901" s="242"/>
      <c r="T901" s="242"/>
      <c r="U901" s="242"/>
      <c r="V901" s="242"/>
      <c r="W901" s="242"/>
      <c r="X901" s="242"/>
      <c r="Y901" s="242"/>
      <c r="Z901" s="242"/>
    </row>
    <row r="902">
      <c r="A902" s="242"/>
      <c r="B902" s="443"/>
      <c r="C902" s="443"/>
      <c r="D902" s="443"/>
      <c r="E902" s="443"/>
      <c r="F902" s="443"/>
      <c r="G902" s="242"/>
      <c r="H902" s="242"/>
      <c r="I902" s="242"/>
      <c r="J902" s="242"/>
      <c r="K902" s="13"/>
      <c r="L902" s="242"/>
      <c r="M902" s="242"/>
      <c r="N902" s="13"/>
      <c r="O902" s="242"/>
      <c r="P902" s="242"/>
      <c r="Q902" s="242"/>
      <c r="R902" s="242"/>
      <c r="S902" s="242"/>
      <c r="T902" s="242"/>
      <c r="U902" s="242"/>
      <c r="V902" s="242"/>
      <c r="W902" s="242"/>
      <c r="X902" s="242"/>
      <c r="Y902" s="242"/>
      <c r="Z902" s="242"/>
    </row>
    <row r="903">
      <c r="A903" s="242"/>
      <c r="B903" s="443"/>
      <c r="C903" s="443"/>
      <c r="D903" s="443"/>
      <c r="E903" s="443"/>
      <c r="F903" s="443"/>
      <c r="G903" s="242"/>
      <c r="H903" s="242"/>
      <c r="I903" s="242"/>
      <c r="J903" s="242"/>
      <c r="K903" s="13"/>
      <c r="L903" s="242"/>
      <c r="M903" s="242"/>
      <c r="N903" s="13"/>
      <c r="O903" s="242"/>
      <c r="P903" s="242"/>
      <c r="Q903" s="242"/>
      <c r="R903" s="242"/>
      <c r="S903" s="242"/>
      <c r="T903" s="242"/>
      <c r="U903" s="242"/>
      <c r="V903" s="242"/>
      <c r="W903" s="242"/>
      <c r="X903" s="242"/>
      <c r="Y903" s="242"/>
      <c r="Z903" s="242"/>
    </row>
    <row r="904">
      <c r="A904" s="242"/>
      <c r="B904" s="443"/>
      <c r="C904" s="443"/>
      <c r="D904" s="443"/>
      <c r="E904" s="443"/>
      <c r="F904" s="443"/>
      <c r="G904" s="242"/>
      <c r="H904" s="242"/>
      <c r="I904" s="242"/>
      <c r="J904" s="242"/>
      <c r="K904" s="13"/>
      <c r="L904" s="242"/>
      <c r="M904" s="242"/>
      <c r="N904" s="13"/>
      <c r="O904" s="242"/>
      <c r="P904" s="242"/>
      <c r="Q904" s="242"/>
      <c r="R904" s="242"/>
      <c r="S904" s="242"/>
      <c r="T904" s="242"/>
      <c r="U904" s="242"/>
      <c r="V904" s="242"/>
      <c r="W904" s="242"/>
      <c r="X904" s="242"/>
      <c r="Y904" s="242"/>
      <c r="Z904" s="242"/>
    </row>
    <row r="905">
      <c r="A905" s="242"/>
      <c r="B905" s="443"/>
      <c r="C905" s="443"/>
      <c r="D905" s="443"/>
      <c r="E905" s="443"/>
      <c r="F905" s="443"/>
      <c r="G905" s="242"/>
      <c r="H905" s="242"/>
      <c r="I905" s="242"/>
      <c r="J905" s="242"/>
      <c r="K905" s="13"/>
      <c r="L905" s="242"/>
      <c r="M905" s="242"/>
      <c r="N905" s="13"/>
      <c r="O905" s="242"/>
      <c r="P905" s="242"/>
      <c r="Q905" s="242"/>
      <c r="R905" s="242"/>
      <c r="S905" s="242"/>
      <c r="T905" s="242"/>
      <c r="U905" s="242"/>
      <c r="V905" s="242"/>
      <c r="W905" s="242"/>
      <c r="X905" s="242"/>
      <c r="Y905" s="242"/>
      <c r="Z905" s="242"/>
    </row>
    <row r="906">
      <c r="A906" s="242"/>
      <c r="B906" s="443"/>
      <c r="C906" s="443"/>
      <c r="D906" s="443"/>
      <c r="E906" s="443"/>
      <c r="F906" s="443"/>
      <c r="G906" s="242"/>
      <c r="H906" s="242"/>
      <c r="I906" s="242"/>
      <c r="J906" s="242"/>
      <c r="K906" s="13"/>
      <c r="L906" s="242"/>
      <c r="M906" s="242"/>
      <c r="N906" s="13"/>
      <c r="O906" s="242"/>
      <c r="P906" s="242"/>
      <c r="Q906" s="242"/>
      <c r="R906" s="242"/>
      <c r="S906" s="242"/>
      <c r="T906" s="242"/>
      <c r="U906" s="242"/>
      <c r="V906" s="242"/>
      <c r="W906" s="242"/>
      <c r="X906" s="242"/>
      <c r="Y906" s="242"/>
      <c r="Z906" s="242"/>
    </row>
    <row r="907">
      <c r="A907" s="242"/>
      <c r="B907" s="443"/>
      <c r="C907" s="443"/>
      <c r="D907" s="443"/>
      <c r="E907" s="443"/>
      <c r="F907" s="443"/>
      <c r="G907" s="242"/>
      <c r="H907" s="242"/>
      <c r="I907" s="242"/>
      <c r="J907" s="242"/>
      <c r="K907" s="13"/>
      <c r="L907" s="242"/>
      <c r="M907" s="242"/>
      <c r="N907" s="13"/>
      <c r="O907" s="242"/>
      <c r="P907" s="242"/>
      <c r="Q907" s="242"/>
      <c r="R907" s="242"/>
      <c r="S907" s="242"/>
      <c r="T907" s="242"/>
      <c r="U907" s="242"/>
      <c r="V907" s="242"/>
      <c r="W907" s="242"/>
      <c r="X907" s="242"/>
      <c r="Y907" s="242"/>
      <c r="Z907" s="242"/>
    </row>
    <row r="908">
      <c r="A908" s="242"/>
      <c r="B908" s="443"/>
      <c r="C908" s="443"/>
      <c r="D908" s="443"/>
      <c r="E908" s="443"/>
      <c r="F908" s="443"/>
      <c r="G908" s="242"/>
      <c r="H908" s="242"/>
      <c r="I908" s="242"/>
      <c r="J908" s="242"/>
      <c r="K908" s="13"/>
      <c r="L908" s="242"/>
      <c r="M908" s="242"/>
      <c r="N908" s="13"/>
      <c r="O908" s="242"/>
      <c r="P908" s="242"/>
      <c r="Q908" s="242"/>
      <c r="R908" s="242"/>
      <c r="S908" s="242"/>
      <c r="T908" s="242"/>
      <c r="U908" s="242"/>
      <c r="V908" s="242"/>
      <c r="W908" s="242"/>
      <c r="X908" s="242"/>
      <c r="Y908" s="242"/>
      <c r="Z908" s="242"/>
    </row>
    <row r="909">
      <c r="A909" s="242"/>
      <c r="B909" s="443"/>
      <c r="C909" s="443"/>
      <c r="D909" s="443"/>
      <c r="E909" s="443"/>
      <c r="F909" s="443"/>
      <c r="G909" s="242"/>
      <c r="H909" s="242"/>
      <c r="I909" s="242"/>
      <c r="J909" s="242"/>
      <c r="K909" s="13"/>
      <c r="L909" s="242"/>
      <c r="M909" s="242"/>
      <c r="N909" s="13"/>
      <c r="O909" s="242"/>
      <c r="P909" s="242"/>
      <c r="Q909" s="242"/>
      <c r="R909" s="242"/>
      <c r="S909" s="242"/>
      <c r="T909" s="242"/>
      <c r="U909" s="242"/>
      <c r="V909" s="242"/>
      <c r="W909" s="242"/>
      <c r="X909" s="242"/>
      <c r="Y909" s="242"/>
      <c r="Z909" s="242"/>
    </row>
    <row r="910">
      <c r="A910" s="242"/>
      <c r="B910" s="443"/>
      <c r="C910" s="443"/>
      <c r="D910" s="443"/>
      <c r="E910" s="443"/>
      <c r="F910" s="443"/>
      <c r="G910" s="242"/>
      <c r="H910" s="242"/>
      <c r="I910" s="242"/>
      <c r="J910" s="242"/>
      <c r="K910" s="13"/>
      <c r="L910" s="242"/>
      <c r="M910" s="242"/>
      <c r="N910" s="13"/>
      <c r="O910" s="242"/>
      <c r="P910" s="242"/>
      <c r="Q910" s="242"/>
      <c r="R910" s="242"/>
      <c r="S910" s="242"/>
      <c r="T910" s="242"/>
      <c r="U910" s="242"/>
      <c r="V910" s="242"/>
      <c r="W910" s="242"/>
      <c r="X910" s="242"/>
      <c r="Y910" s="242"/>
      <c r="Z910" s="242"/>
    </row>
    <row r="911">
      <c r="A911" s="242"/>
      <c r="B911" s="443"/>
      <c r="C911" s="443"/>
      <c r="D911" s="443"/>
      <c r="E911" s="443"/>
      <c r="F911" s="443"/>
      <c r="G911" s="242"/>
      <c r="H911" s="242"/>
      <c r="I911" s="242"/>
      <c r="J911" s="242"/>
      <c r="K911" s="13"/>
      <c r="L911" s="242"/>
      <c r="M911" s="242"/>
      <c r="N911" s="13"/>
      <c r="O911" s="242"/>
      <c r="P911" s="242"/>
      <c r="Q911" s="242"/>
      <c r="R911" s="242"/>
      <c r="S911" s="242"/>
      <c r="T911" s="242"/>
      <c r="U911" s="242"/>
      <c r="V911" s="242"/>
      <c r="W911" s="242"/>
      <c r="X911" s="242"/>
      <c r="Y911" s="242"/>
      <c r="Z911" s="242"/>
    </row>
    <row r="912">
      <c r="A912" s="242"/>
      <c r="B912" s="443"/>
      <c r="C912" s="443"/>
      <c r="D912" s="443"/>
      <c r="E912" s="443"/>
      <c r="F912" s="443"/>
      <c r="G912" s="242"/>
      <c r="H912" s="242"/>
      <c r="I912" s="242"/>
      <c r="J912" s="242"/>
      <c r="K912" s="13"/>
      <c r="L912" s="242"/>
      <c r="M912" s="242"/>
      <c r="N912" s="13"/>
      <c r="O912" s="242"/>
      <c r="P912" s="242"/>
      <c r="Q912" s="242"/>
      <c r="R912" s="242"/>
      <c r="S912" s="242"/>
      <c r="T912" s="242"/>
      <c r="U912" s="242"/>
      <c r="V912" s="242"/>
      <c r="W912" s="242"/>
      <c r="X912" s="242"/>
      <c r="Y912" s="242"/>
      <c r="Z912" s="242"/>
    </row>
    <row r="913">
      <c r="A913" s="242"/>
      <c r="B913" s="443"/>
      <c r="C913" s="443"/>
      <c r="D913" s="443"/>
      <c r="E913" s="443"/>
      <c r="F913" s="443"/>
      <c r="G913" s="242"/>
      <c r="H913" s="242"/>
      <c r="I913" s="242"/>
      <c r="J913" s="242"/>
      <c r="K913" s="13"/>
      <c r="L913" s="242"/>
      <c r="M913" s="242"/>
      <c r="N913" s="13"/>
      <c r="O913" s="242"/>
      <c r="P913" s="242"/>
      <c r="Q913" s="242"/>
      <c r="R913" s="242"/>
      <c r="S913" s="242"/>
      <c r="T913" s="242"/>
      <c r="U913" s="242"/>
      <c r="V913" s="242"/>
      <c r="W913" s="242"/>
      <c r="X913" s="242"/>
      <c r="Y913" s="242"/>
      <c r="Z913" s="242"/>
    </row>
    <row r="914">
      <c r="A914" s="242"/>
      <c r="B914" s="443"/>
      <c r="C914" s="443"/>
      <c r="D914" s="443"/>
      <c r="E914" s="443"/>
      <c r="F914" s="443"/>
      <c r="G914" s="242"/>
      <c r="H914" s="242"/>
      <c r="I914" s="242"/>
      <c r="J914" s="242"/>
      <c r="K914" s="13"/>
      <c r="L914" s="242"/>
      <c r="M914" s="242"/>
      <c r="N914" s="13"/>
      <c r="O914" s="242"/>
      <c r="P914" s="242"/>
      <c r="Q914" s="242"/>
      <c r="R914" s="242"/>
      <c r="S914" s="242"/>
      <c r="T914" s="242"/>
      <c r="U914" s="242"/>
      <c r="V914" s="242"/>
      <c r="W914" s="242"/>
      <c r="X914" s="242"/>
      <c r="Y914" s="242"/>
      <c r="Z914" s="242"/>
    </row>
    <row r="915">
      <c r="A915" s="242"/>
      <c r="B915" s="443"/>
      <c r="C915" s="443"/>
      <c r="D915" s="443"/>
      <c r="E915" s="443"/>
      <c r="F915" s="443"/>
      <c r="G915" s="242"/>
      <c r="H915" s="242"/>
      <c r="I915" s="242"/>
      <c r="J915" s="242"/>
      <c r="K915" s="13"/>
      <c r="L915" s="242"/>
      <c r="M915" s="242"/>
      <c r="N915" s="13"/>
      <c r="O915" s="242"/>
      <c r="P915" s="242"/>
      <c r="Q915" s="242"/>
      <c r="R915" s="242"/>
      <c r="S915" s="242"/>
      <c r="T915" s="242"/>
      <c r="U915" s="242"/>
      <c r="V915" s="242"/>
      <c r="W915" s="242"/>
      <c r="X915" s="242"/>
      <c r="Y915" s="242"/>
      <c r="Z915" s="242"/>
    </row>
    <row r="916">
      <c r="A916" s="242"/>
      <c r="B916" s="443"/>
      <c r="C916" s="443"/>
      <c r="D916" s="443"/>
      <c r="E916" s="443"/>
      <c r="F916" s="443"/>
      <c r="G916" s="242"/>
      <c r="H916" s="242"/>
      <c r="I916" s="242"/>
      <c r="J916" s="242"/>
      <c r="K916" s="13"/>
      <c r="L916" s="242"/>
      <c r="M916" s="242"/>
      <c r="N916" s="13"/>
      <c r="O916" s="242"/>
      <c r="P916" s="242"/>
      <c r="Q916" s="242"/>
      <c r="R916" s="242"/>
      <c r="S916" s="242"/>
      <c r="T916" s="242"/>
      <c r="U916" s="242"/>
      <c r="V916" s="242"/>
      <c r="W916" s="242"/>
      <c r="X916" s="242"/>
      <c r="Y916" s="242"/>
      <c r="Z916" s="242"/>
    </row>
    <row r="917">
      <c r="A917" s="242"/>
      <c r="B917" s="443"/>
      <c r="C917" s="443"/>
      <c r="D917" s="443"/>
      <c r="E917" s="443"/>
      <c r="F917" s="443"/>
      <c r="G917" s="242"/>
      <c r="H917" s="242"/>
      <c r="I917" s="242"/>
      <c r="J917" s="242"/>
      <c r="K917" s="13"/>
      <c r="L917" s="242"/>
      <c r="M917" s="242"/>
      <c r="N917" s="13"/>
      <c r="O917" s="242"/>
      <c r="P917" s="242"/>
      <c r="Q917" s="242"/>
      <c r="R917" s="242"/>
      <c r="S917" s="242"/>
      <c r="T917" s="242"/>
      <c r="U917" s="242"/>
      <c r="V917" s="242"/>
      <c r="W917" s="242"/>
      <c r="X917" s="242"/>
      <c r="Y917" s="242"/>
      <c r="Z917" s="242"/>
    </row>
    <row r="918">
      <c r="A918" s="242"/>
      <c r="B918" s="443"/>
      <c r="C918" s="443"/>
      <c r="D918" s="443"/>
      <c r="E918" s="443"/>
      <c r="F918" s="443"/>
      <c r="G918" s="242"/>
      <c r="H918" s="242"/>
      <c r="I918" s="242"/>
      <c r="J918" s="242"/>
      <c r="K918" s="13"/>
      <c r="L918" s="242"/>
      <c r="M918" s="242"/>
      <c r="N918" s="13"/>
      <c r="O918" s="242"/>
      <c r="P918" s="242"/>
      <c r="Q918" s="242"/>
      <c r="R918" s="242"/>
      <c r="S918" s="242"/>
      <c r="T918" s="242"/>
      <c r="U918" s="242"/>
      <c r="V918" s="242"/>
      <c r="W918" s="242"/>
      <c r="X918" s="242"/>
      <c r="Y918" s="242"/>
      <c r="Z918" s="242"/>
    </row>
    <row r="919">
      <c r="A919" s="242"/>
      <c r="B919" s="443"/>
      <c r="C919" s="443"/>
      <c r="D919" s="443"/>
      <c r="E919" s="443"/>
      <c r="F919" s="443"/>
      <c r="G919" s="242"/>
      <c r="H919" s="242"/>
      <c r="I919" s="242"/>
      <c r="J919" s="242"/>
      <c r="K919" s="13"/>
      <c r="L919" s="242"/>
      <c r="M919" s="242"/>
      <c r="N919" s="13"/>
      <c r="O919" s="242"/>
      <c r="P919" s="242"/>
      <c r="Q919" s="242"/>
      <c r="R919" s="242"/>
      <c r="S919" s="242"/>
      <c r="T919" s="242"/>
      <c r="U919" s="242"/>
      <c r="V919" s="242"/>
      <c r="W919" s="242"/>
      <c r="X919" s="242"/>
      <c r="Y919" s="242"/>
      <c r="Z919" s="242"/>
    </row>
    <row r="920">
      <c r="A920" s="242"/>
      <c r="B920" s="443"/>
      <c r="C920" s="443"/>
      <c r="D920" s="443"/>
      <c r="E920" s="443"/>
      <c r="F920" s="443"/>
      <c r="G920" s="242"/>
      <c r="H920" s="242"/>
      <c r="I920" s="242"/>
      <c r="J920" s="242"/>
      <c r="K920" s="13"/>
      <c r="L920" s="242"/>
      <c r="M920" s="242"/>
      <c r="N920" s="13"/>
      <c r="O920" s="242"/>
      <c r="P920" s="242"/>
      <c r="Q920" s="242"/>
      <c r="R920" s="242"/>
      <c r="S920" s="242"/>
      <c r="T920" s="242"/>
      <c r="U920" s="242"/>
      <c r="V920" s="242"/>
      <c r="W920" s="242"/>
      <c r="X920" s="242"/>
      <c r="Y920" s="242"/>
      <c r="Z920" s="242"/>
    </row>
    <row r="921">
      <c r="A921" s="242"/>
      <c r="B921" s="443"/>
      <c r="C921" s="443"/>
      <c r="D921" s="443"/>
      <c r="E921" s="443"/>
      <c r="F921" s="443"/>
      <c r="G921" s="242"/>
      <c r="H921" s="242"/>
      <c r="I921" s="242"/>
      <c r="J921" s="242"/>
      <c r="K921" s="13"/>
      <c r="L921" s="242"/>
      <c r="M921" s="242"/>
      <c r="N921" s="13"/>
      <c r="O921" s="242"/>
      <c r="P921" s="242"/>
      <c r="Q921" s="242"/>
      <c r="R921" s="242"/>
      <c r="S921" s="242"/>
      <c r="T921" s="242"/>
      <c r="U921" s="242"/>
      <c r="V921" s="242"/>
      <c r="W921" s="242"/>
      <c r="X921" s="242"/>
      <c r="Y921" s="242"/>
      <c r="Z921" s="242"/>
    </row>
    <row r="922">
      <c r="A922" s="242"/>
      <c r="B922" s="443"/>
      <c r="C922" s="443"/>
      <c r="D922" s="443"/>
      <c r="E922" s="443"/>
      <c r="F922" s="443"/>
      <c r="G922" s="242"/>
      <c r="H922" s="242"/>
      <c r="I922" s="242"/>
      <c r="J922" s="242"/>
      <c r="K922" s="13"/>
      <c r="L922" s="242"/>
      <c r="M922" s="242"/>
      <c r="N922" s="13"/>
      <c r="O922" s="242"/>
      <c r="P922" s="242"/>
      <c r="Q922" s="242"/>
      <c r="R922" s="242"/>
      <c r="S922" s="242"/>
      <c r="T922" s="242"/>
      <c r="U922" s="242"/>
      <c r="V922" s="242"/>
      <c r="W922" s="242"/>
      <c r="X922" s="242"/>
      <c r="Y922" s="242"/>
      <c r="Z922" s="242"/>
    </row>
    <row r="923">
      <c r="A923" s="242"/>
      <c r="B923" s="443"/>
      <c r="C923" s="443"/>
      <c r="D923" s="443"/>
      <c r="E923" s="443"/>
      <c r="F923" s="443"/>
      <c r="G923" s="242"/>
      <c r="H923" s="242"/>
      <c r="I923" s="242"/>
      <c r="J923" s="242"/>
      <c r="K923" s="13"/>
      <c r="L923" s="242"/>
      <c r="M923" s="242"/>
      <c r="N923" s="13"/>
      <c r="O923" s="242"/>
      <c r="P923" s="242"/>
      <c r="Q923" s="242"/>
      <c r="R923" s="242"/>
      <c r="S923" s="242"/>
      <c r="T923" s="242"/>
      <c r="U923" s="242"/>
      <c r="V923" s="242"/>
      <c r="W923" s="242"/>
      <c r="X923" s="242"/>
      <c r="Y923" s="242"/>
      <c r="Z923" s="242"/>
    </row>
    <row r="924">
      <c r="A924" s="242"/>
      <c r="B924" s="443"/>
      <c r="C924" s="443"/>
      <c r="D924" s="443"/>
      <c r="E924" s="443"/>
      <c r="F924" s="443"/>
      <c r="G924" s="242"/>
      <c r="H924" s="242"/>
      <c r="I924" s="242"/>
      <c r="J924" s="242"/>
      <c r="K924" s="13"/>
      <c r="L924" s="242"/>
      <c r="M924" s="242"/>
      <c r="N924" s="13"/>
      <c r="O924" s="242"/>
      <c r="P924" s="242"/>
      <c r="Q924" s="242"/>
      <c r="R924" s="242"/>
      <c r="S924" s="242"/>
      <c r="T924" s="242"/>
      <c r="U924" s="242"/>
      <c r="V924" s="242"/>
      <c r="W924" s="242"/>
      <c r="X924" s="242"/>
      <c r="Y924" s="242"/>
      <c r="Z924" s="242"/>
    </row>
    <row r="925">
      <c r="A925" s="242"/>
      <c r="B925" s="443"/>
      <c r="C925" s="443"/>
      <c r="D925" s="443"/>
      <c r="E925" s="443"/>
      <c r="F925" s="443"/>
      <c r="G925" s="242"/>
      <c r="H925" s="242"/>
      <c r="I925" s="242"/>
      <c r="J925" s="242"/>
      <c r="K925" s="13"/>
      <c r="L925" s="242"/>
      <c r="M925" s="242"/>
      <c r="N925" s="13"/>
      <c r="O925" s="242"/>
      <c r="P925" s="242"/>
      <c r="Q925" s="242"/>
      <c r="R925" s="242"/>
      <c r="S925" s="242"/>
      <c r="T925" s="242"/>
      <c r="U925" s="242"/>
      <c r="V925" s="242"/>
      <c r="W925" s="242"/>
      <c r="X925" s="242"/>
      <c r="Y925" s="242"/>
      <c r="Z925" s="242"/>
    </row>
    <row r="926">
      <c r="A926" s="242"/>
      <c r="B926" s="443"/>
      <c r="C926" s="443"/>
      <c r="D926" s="443"/>
      <c r="E926" s="443"/>
      <c r="F926" s="443"/>
      <c r="G926" s="242"/>
      <c r="H926" s="242"/>
      <c r="I926" s="242"/>
      <c r="J926" s="242"/>
      <c r="K926" s="13"/>
      <c r="L926" s="242"/>
      <c r="M926" s="242"/>
      <c r="N926" s="13"/>
      <c r="O926" s="242"/>
      <c r="P926" s="242"/>
      <c r="Q926" s="242"/>
      <c r="R926" s="242"/>
      <c r="S926" s="242"/>
      <c r="T926" s="242"/>
      <c r="U926" s="242"/>
      <c r="V926" s="242"/>
      <c r="W926" s="242"/>
      <c r="X926" s="242"/>
      <c r="Y926" s="242"/>
      <c r="Z926" s="242"/>
    </row>
    <row r="927">
      <c r="A927" s="242"/>
      <c r="B927" s="443"/>
      <c r="C927" s="443"/>
      <c r="D927" s="443"/>
      <c r="E927" s="443"/>
      <c r="F927" s="443"/>
      <c r="G927" s="242"/>
      <c r="H927" s="242"/>
      <c r="I927" s="242"/>
      <c r="J927" s="242"/>
      <c r="K927" s="13"/>
      <c r="L927" s="242"/>
      <c r="M927" s="242"/>
      <c r="N927" s="13"/>
      <c r="O927" s="242"/>
      <c r="P927" s="242"/>
      <c r="Q927" s="242"/>
      <c r="R927" s="242"/>
      <c r="S927" s="242"/>
      <c r="T927" s="242"/>
      <c r="U927" s="242"/>
      <c r="V927" s="242"/>
      <c r="W927" s="242"/>
      <c r="X927" s="242"/>
      <c r="Y927" s="242"/>
      <c r="Z927" s="242"/>
    </row>
    <row r="928">
      <c r="A928" s="242"/>
      <c r="B928" s="443"/>
      <c r="C928" s="443"/>
      <c r="D928" s="443"/>
      <c r="E928" s="443"/>
      <c r="F928" s="443"/>
      <c r="G928" s="242"/>
      <c r="H928" s="242"/>
      <c r="I928" s="242"/>
      <c r="J928" s="242"/>
      <c r="K928" s="13"/>
      <c r="L928" s="242"/>
      <c r="M928" s="242"/>
      <c r="N928" s="13"/>
      <c r="O928" s="242"/>
      <c r="P928" s="242"/>
      <c r="Q928" s="242"/>
      <c r="R928" s="242"/>
      <c r="S928" s="242"/>
      <c r="T928" s="242"/>
      <c r="U928" s="242"/>
      <c r="V928" s="242"/>
      <c r="W928" s="242"/>
      <c r="X928" s="242"/>
      <c r="Y928" s="242"/>
      <c r="Z928" s="242"/>
    </row>
    <row r="929">
      <c r="A929" s="242"/>
      <c r="B929" s="443"/>
      <c r="C929" s="443"/>
      <c r="D929" s="443"/>
      <c r="E929" s="443"/>
      <c r="F929" s="443"/>
      <c r="G929" s="242"/>
      <c r="H929" s="242"/>
      <c r="I929" s="242"/>
      <c r="J929" s="242"/>
      <c r="K929" s="13"/>
      <c r="L929" s="242"/>
      <c r="M929" s="242"/>
      <c r="N929" s="13"/>
      <c r="O929" s="242"/>
      <c r="P929" s="242"/>
      <c r="Q929" s="242"/>
      <c r="R929" s="242"/>
      <c r="S929" s="242"/>
      <c r="T929" s="242"/>
      <c r="U929" s="242"/>
      <c r="V929" s="242"/>
      <c r="W929" s="242"/>
      <c r="X929" s="242"/>
      <c r="Y929" s="242"/>
      <c r="Z929" s="242"/>
    </row>
    <row r="930">
      <c r="A930" s="242"/>
      <c r="B930" s="443"/>
      <c r="C930" s="443"/>
      <c r="D930" s="443"/>
      <c r="E930" s="443"/>
      <c r="F930" s="443"/>
      <c r="G930" s="242"/>
      <c r="H930" s="242"/>
      <c r="I930" s="242"/>
      <c r="J930" s="242"/>
      <c r="K930" s="13"/>
      <c r="L930" s="242"/>
      <c r="M930" s="242"/>
      <c r="N930" s="13"/>
      <c r="O930" s="242"/>
      <c r="P930" s="242"/>
      <c r="Q930" s="242"/>
      <c r="R930" s="242"/>
      <c r="S930" s="242"/>
      <c r="T930" s="242"/>
      <c r="U930" s="242"/>
      <c r="V930" s="242"/>
      <c r="W930" s="242"/>
      <c r="X930" s="242"/>
      <c r="Y930" s="242"/>
      <c r="Z930" s="242"/>
    </row>
    <row r="931">
      <c r="A931" s="242"/>
      <c r="B931" s="443"/>
      <c r="C931" s="443"/>
      <c r="D931" s="443"/>
      <c r="E931" s="443"/>
      <c r="F931" s="443"/>
      <c r="G931" s="242"/>
      <c r="H931" s="242"/>
      <c r="I931" s="242"/>
      <c r="J931" s="242"/>
      <c r="K931" s="13"/>
      <c r="L931" s="242"/>
      <c r="M931" s="242"/>
      <c r="N931" s="13"/>
      <c r="O931" s="242"/>
      <c r="P931" s="242"/>
      <c r="Q931" s="242"/>
      <c r="R931" s="242"/>
      <c r="S931" s="242"/>
      <c r="T931" s="242"/>
      <c r="U931" s="242"/>
      <c r="V931" s="242"/>
      <c r="W931" s="242"/>
      <c r="X931" s="242"/>
      <c r="Y931" s="242"/>
      <c r="Z931" s="242"/>
    </row>
    <row r="932">
      <c r="A932" s="242"/>
      <c r="B932" s="443"/>
      <c r="C932" s="443"/>
      <c r="D932" s="443"/>
      <c r="E932" s="443"/>
      <c r="F932" s="443"/>
      <c r="G932" s="242"/>
      <c r="H932" s="242"/>
      <c r="I932" s="242"/>
      <c r="J932" s="242"/>
      <c r="K932" s="13"/>
      <c r="L932" s="242"/>
      <c r="M932" s="242"/>
      <c r="N932" s="13"/>
      <c r="O932" s="242"/>
      <c r="P932" s="242"/>
      <c r="Q932" s="242"/>
      <c r="R932" s="242"/>
      <c r="S932" s="242"/>
      <c r="T932" s="242"/>
      <c r="U932" s="242"/>
      <c r="V932" s="242"/>
      <c r="W932" s="242"/>
      <c r="X932" s="242"/>
      <c r="Y932" s="242"/>
      <c r="Z932" s="242"/>
    </row>
    <row r="933">
      <c r="A933" s="242"/>
      <c r="B933" s="443"/>
      <c r="C933" s="443"/>
      <c r="D933" s="443"/>
      <c r="E933" s="443"/>
      <c r="F933" s="443"/>
      <c r="G933" s="242"/>
      <c r="H933" s="242"/>
      <c r="I933" s="242"/>
      <c r="J933" s="242"/>
      <c r="K933" s="13"/>
      <c r="L933" s="242"/>
      <c r="M933" s="242"/>
      <c r="N933" s="13"/>
      <c r="O933" s="242"/>
      <c r="P933" s="242"/>
      <c r="Q933" s="242"/>
      <c r="R933" s="242"/>
      <c r="S933" s="242"/>
      <c r="T933" s="242"/>
      <c r="U933" s="242"/>
      <c r="V933" s="242"/>
      <c r="W933" s="242"/>
      <c r="X933" s="242"/>
      <c r="Y933" s="242"/>
      <c r="Z933" s="242"/>
    </row>
    <row r="934">
      <c r="A934" s="242"/>
      <c r="B934" s="443"/>
      <c r="C934" s="443"/>
      <c r="D934" s="443"/>
      <c r="E934" s="443"/>
      <c r="F934" s="443"/>
      <c r="G934" s="242"/>
      <c r="H934" s="242"/>
      <c r="I934" s="242"/>
      <c r="J934" s="242"/>
      <c r="K934" s="13"/>
      <c r="L934" s="242"/>
      <c r="M934" s="242"/>
      <c r="N934" s="13"/>
      <c r="O934" s="242"/>
      <c r="P934" s="242"/>
      <c r="Q934" s="242"/>
      <c r="R934" s="242"/>
      <c r="S934" s="242"/>
      <c r="T934" s="242"/>
      <c r="U934" s="242"/>
      <c r="V934" s="242"/>
      <c r="W934" s="242"/>
      <c r="X934" s="242"/>
      <c r="Y934" s="242"/>
      <c r="Z934" s="242"/>
    </row>
    <row r="935">
      <c r="A935" s="242"/>
      <c r="B935" s="443"/>
      <c r="C935" s="443"/>
      <c r="D935" s="443"/>
      <c r="E935" s="443"/>
      <c r="F935" s="443"/>
      <c r="G935" s="242"/>
      <c r="H935" s="242"/>
      <c r="I935" s="242"/>
      <c r="J935" s="242"/>
      <c r="K935" s="13"/>
      <c r="L935" s="242"/>
      <c r="M935" s="242"/>
      <c r="N935" s="13"/>
      <c r="O935" s="242"/>
      <c r="P935" s="242"/>
      <c r="Q935" s="242"/>
      <c r="R935" s="242"/>
      <c r="S935" s="242"/>
      <c r="T935" s="242"/>
      <c r="U935" s="242"/>
      <c r="V935" s="242"/>
      <c r="W935" s="242"/>
      <c r="X935" s="242"/>
      <c r="Y935" s="242"/>
      <c r="Z935" s="242"/>
    </row>
    <row r="936">
      <c r="A936" s="242"/>
      <c r="B936" s="443"/>
      <c r="C936" s="443"/>
      <c r="D936" s="443"/>
      <c r="E936" s="443"/>
      <c r="F936" s="443"/>
      <c r="G936" s="242"/>
      <c r="H936" s="242"/>
      <c r="I936" s="242"/>
      <c r="J936" s="242"/>
      <c r="K936" s="13"/>
      <c r="L936" s="242"/>
      <c r="M936" s="242"/>
      <c r="N936" s="13"/>
      <c r="O936" s="242"/>
      <c r="P936" s="242"/>
      <c r="Q936" s="242"/>
      <c r="R936" s="242"/>
      <c r="S936" s="242"/>
      <c r="T936" s="242"/>
      <c r="U936" s="242"/>
      <c r="V936" s="242"/>
      <c r="W936" s="242"/>
      <c r="X936" s="242"/>
      <c r="Y936" s="242"/>
      <c r="Z936" s="242"/>
    </row>
    <row r="937">
      <c r="A937" s="242"/>
      <c r="B937" s="443"/>
      <c r="C937" s="443"/>
      <c r="D937" s="443"/>
      <c r="E937" s="443"/>
      <c r="F937" s="443"/>
      <c r="G937" s="242"/>
      <c r="H937" s="242"/>
      <c r="I937" s="242"/>
      <c r="J937" s="242"/>
      <c r="K937" s="13"/>
      <c r="L937" s="242"/>
      <c r="M937" s="242"/>
      <c r="N937" s="13"/>
      <c r="O937" s="242"/>
      <c r="P937" s="242"/>
      <c r="Q937" s="242"/>
      <c r="R937" s="242"/>
      <c r="S937" s="242"/>
      <c r="T937" s="242"/>
      <c r="U937" s="242"/>
      <c r="V937" s="242"/>
      <c r="W937" s="242"/>
      <c r="X937" s="242"/>
      <c r="Y937" s="242"/>
      <c r="Z937" s="242"/>
    </row>
    <row r="938">
      <c r="A938" s="242"/>
      <c r="B938" s="443"/>
      <c r="C938" s="443"/>
      <c r="D938" s="443"/>
      <c r="E938" s="443"/>
      <c r="F938" s="443"/>
      <c r="G938" s="242"/>
      <c r="H938" s="242"/>
      <c r="I938" s="242"/>
      <c r="J938" s="242"/>
      <c r="K938" s="13"/>
      <c r="L938" s="242"/>
      <c r="M938" s="242"/>
      <c r="N938" s="13"/>
      <c r="O938" s="242"/>
      <c r="P938" s="242"/>
      <c r="Q938" s="242"/>
      <c r="R938" s="242"/>
      <c r="S938" s="242"/>
      <c r="T938" s="242"/>
      <c r="U938" s="242"/>
      <c r="V938" s="242"/>
      <c r="W938" s="242"/>
      <c r="X938" s="242"/>
      <c r="Y938" s="242"/>
      <c r="Z938" s="242"/>
    </row>
    <row r="939">
      <c r="A939" s="242"/>
      <c r="B939" s="443"/>
      <c r="C939" s="443"/>
      <c r="D939" s="443"/>
      <c r="E939" s="443"/>
      <c r="F939" s="443"/>
      <c r="G939" s="242"/>
      <c r="H939" s="242"/>
      <c r="I939" s="242"/>
      <c r="J939" s="242"/>
      <c r="K939" s="13"/>
      <c r="L939" s="242"/>
      <c r="M939" s="242"/>
      <c r="N939" s="13"/>
      <c r="O939" s="242"/>
      <c r="P939" s="242"/>
      <c r="Q939" s="242"/>
      <c r="R939" s="242"/>
      <c r="S939" s="242"/>
      <c r="T939" s="242"/>
      <c r="U939" s="242"/>
      <c r="V939" s="242"/>
      <c r="W939" s="242"/>
      <c r="X939" s="242"/>
      <c r="Y939" s="242"/>
      <c r="Z939" s="242"/>
    </row>
    <row r="940">
      <c r="A940" s="242"/>
      <c r="B940" s="443"/>
      <c r="C940" s="443"/>
      <c r="D940" s="443"/>
      <c r="E940" s="443"/>
      <c r="F940" s="443"/>
      <c r="G940" s="242"/>
      <c r="H940" s="242"/>
      <c r="I940" s="242"/>
      <c r="J940" s="242"/>
      <c r="K940" s="13"/>
      <c r="L940" s="242"/>
      <c r="M940" s="242"/>
      <c r="N940" s="13"/>
      <c r="O940" s="242"/>
      <c r="P940" s="242"/>
      <c r="Q940" s="242"/>
      <c r="R940" s="242"/>
      <c r="S940" s="242"/>
      <c r="T940" s="242"/>
      <c r="U940" s="242"/>
      <c r="V940" s="242"/>
      <c r="W940" s="242"/>
      <c r="X940" s="242"/>
      <c r="Y940" s="242"/>
      <c r="Z940" s="242"/>
    </row>
    <row r="941">
      <c r="A941" s="242"/>
      <c r="B941" s="443"/>
      <c r="C941" s="443"/>
      <c r="D941" s="443"/>
      <c r="E941" s="443"/>
      <c r="F941" s="443"/>
      <c r="G941" s="242"/>
      <c r="H941" s="242"/>
      <c r="I941" s="242"/>
      <c r="J941" s="242"/>
      <c r="K941" s="13"/>
      <c r="L941" s="242"/>
      <c r="M941" s="242"/>
      <c r="N941" s="13"/>
      <c r="O941" s="242"/>
      <c r="P941" s="242"/>
      <c r="Q941" s="242"/>
      <c r="R941" s="242"/>
      <c r="S941" s="242"/>
      <c r="T941" s="242"/>
      <c r="U941" s="242"/>
      <c r="V941" s="242"/>
      <c r="W941" s="242"/>
      <c r="X941" s="242"/>
      <c r="Y941" s="242"/>
      <c r="Z941" s="242"/>
    </row>
    <row r="942">
      <c r="A942" s="242"/>
      <c r="B942" s="443"/>
      <c r="C942" s="443"/>
      <c r="D942" s="443"/>
      <c r="E942" s="443"/>
      <c r="F942" s="443"/>
      <c r="G942" s="242"/>
      <c r="H942" s="242"/>
      <c r="I942" s="242"/>
      <c r="J942" s="242"/>
      <c r="K942" s="13"/>
      <c r="L942" s="242"/>
      <c r="M942" s="242"/>
      <c r="N942" s="13"/>
      <c r="O942" s="242"/>
      <c r="P942" s="242"/>
      <c r="Q942" s="242"/>
      <c r="R942" s="242"/>
      <c r="S942" s="242"/>
      <c r="T942" s="242"/>
      <c r="U942" s="242"/>
      <c r="V942" s="242"/>
      <c r="W942" s="242"/>
      <c r="X942" s="242"/>
      <c r="Y942" s="242"/>
      <c r="Z942" s="242"/>
    </row>
    <row r="943">
      <c r="A943" s="242"/>
      <c r="B943" s="443"/>
      <c r="C943" s="443"/>
      <c r="D943" s="443"/>
      <c r="E943" s="443"/>
      <c r="F943" s="443"/>
      <c r="G943" s="242"/>
      <c r="H943" s="242"/>
      <c r="I943" s="242"/>
      <c r="J943" s="242"/>
      <c r="K943" s="13"/>
      <c r="L943" s="242"/>
      <c r="M943" s="242"/>
      <c r="N943" s="13"/>
      <c r="O943" s="242"/>
      <c r="P943" s="242"/>
      <c r="Q943" s="242"/>
      <c r="R943" s="242"/>
      <c r="S943" s="242"/>
      <c r="T943" s="242"/>
      <c r="U943" s="242"/>
      <c r="V943" s="242"/>
      <c r="W943" s="242"/>
      <c r="X943" s="242"/>
      <c r="Y943" s="242"/>
      <c r="Z943" s="242"/>
    </row>
    <row r="944">
      <c r="A944" s="242"/>
      <c r="B944" s="443"/>
      <c r="C944" s="443"/>
      <c r="D944" s="443"/>
      <c r="E944" s="443"/>
      <c r="F944" s="443"/>
      <c r="G944" s="242"/>
      <c r="H944" s="242"/>
      <c r="I944" s="242"/>
      <c r="J944" s="242"/>
      <c r="K944" s="13"/>
      <c r="L944" s="242"/>
      <c r="M944" s="242"/>
      <c r="N944" s="13"/>
      <c r="O944" s="242"/>
      <c r="P944" s="242"/>
      <c r="Q944" s="242"/>
      <c r="R944" s="242"/>
      <c r="S944" s="242"/>
      <c r="T944" s="242"/>
      <c r="U944" s="242"/>
      <c r="V944" s="242"/>
      <c r="W944" s="242"/>
      <c r="X944" s="242"/>
      <c r="Y944" s="242"/>
      <c r="Z944" s="242"/>
    </row>
    <row r="945">
      <c r="A945" s="242"/>
      <c r="B945" s="443"/>
      <c r="C945" s="443"/>
      <c r="D945" s="443"/>
      <c r="E945" s="443"/>
      <c r="F945" s="443"/>
      <c r="G945" s="242"/>
      <c r="H945" s="242"/>
      <c r="I945" s="242"/>
      <c r="J945" s="242"/>
      <c r="K945" s="13"/>
      <c r="L945" s="242"/>
      <c r="M945" s="242"/>
      <c r="N945" s="13"/>
      <c r="O945" s="242"/>
      <c r="P945" s="242"/>
      <c r="Q945" s="242"/>
      <c r="R945" s="242"/>
      <c r="S945" s="242"/>
      <c r="T945" s="242"/>
      <c r="U945" s="242"/>
      <c r="V945" s="242"/>
      <c r="W945" s="242"/>
      <c r="X945" s="242"/>
      <c r="Y945" s="242"/>
      <c r="Z945" s="242"/>
    </row>
    <row r="946">
      <c r="A946" s="242"/>
      <c r="B946" s="443"/>
      <c r="C946" s="443"/>
      <c r="D946" s="443"/>
      <c r="E946" s="443"/>
      <c r="F946" s="443"/>
      <c r="G946" s="242"/>
      <c r="H946" s="242"/>
      <c r="I946" s="242"/>
      <c r="J946" s="242"/>
      <c r="K946" s="13"/>
      <c r="L946" s="242"/>
      <c r="M946" s="242"/>
      <c r="N946" s="13"/>
      <c r="O946" s="242"/>
      <c r="P946" s="242"/>
      <c r="Q946" s="242"/>
      <c r="R946" s="242"/>
      <c r="S946" s="242"/>
      <c r="T946" s="242"/>
      <c r="U946" s="242"/>
      <c r="V946" s="242"/>
      <c r="W946" s="242"/>
      <c r="X946" s="242"/>
      <c r="Y946" s="242"/>
      <c r="Z946" s="242"/>
    </row>
    <row r="947">
      <c r="A947" s="242"/>
      <c r="B947" s="443"/>
      <c r="C947" s="443"/>
      <c r="D947" s="443"/>
      <c r="E947" s="443"/>
      <c r="F947" s="443"/>
      <c r="G947" s="242"/>
      <c r="H947" s="242"/>
      <c r="I947" s="242"/>
      <c r="J947" s="242"/>
      <c r="K947" s="13"/>
      <c r="L947" s="242"/>
      <c r="M947" s="242"/>
      <c r="N947" s="13"/>
      <c r="O947" s="242"/>
      <c r="P947" s="242"/>
      <c r="Q947" s="242"/>
      <c r="R947" s="242"/>
      <c r="S947" s="242"/>
      <c r="T947" s="242"/>
      <c r="U947" s="242"/>
      <c r="V947" s="242"/>
      <c r="W947" s="242"/>
      <c r="X947" s="242"/>
      <c r="Y947" s="242"/>
      <c r="Z947" s="242"/>
    </row>
    <row r="948">
      <c r="A948" s="242"/>
      <c r="B948" s="443"/>
      <c r="C948" s="443"/>
      <c r="D948" s="443"/>
      <c r="E948" s="443"/>
      <c r="F948" s="443"/>
      <c r="G948" s="242"/>
      <c r="H948" s="242"/>
      <c r="I948" s="242"/>
      <c r="J948" s="242"/>
      <c r="K948" s="13"/>
      <c r="L948" s="242"/>
      <c r="M948" s="242"/>
      <c r="N948" s="13"/>
      <c r="O948" s="242"/>
      <c r="P948" s="242"/>
      <c r="Q948" s="242"/>
      <c r="R948" s="242"/>
      <c r="S948" s="242"/>
      <c r="T948" s="242"/>
      <c r="U948" s="242"/>
      <c r="V948" s="242"/>
      <c r="W948" s="242"/>
      <c r="X948" s="242"/>
      <c r="Y948" s="242"/>
      <c r="Z948" s="242"/>
    </row>
    <row r="949">
      <c r="A949" s="242"/>
      <c r="B949" s="443"/>
      <c r="C949" s="443"/>
      <c r="D949" s="443"/>
      <c r="E949" s="443"/>
      <c r="F949" s="443"/>
      <c r="G949" s="242"/>
      <c r="H949" s="242"/>
      <c r="I949" s="242"/>
      <c r="J949" s="242"/>
      <c r="K949" s="13"/>
      <c r="L949" s="242"/>
      <c r="M949" s="242"/>
      <c r="N949" s="13"/>
      <c r="O949" s="242"/>
      <c r="P949" s="242"/>
      <c r="Q949" s="242"/>
      <c r="R949" s="242"/>
      <c r="S949" s="242"/>
      <c r="T949" s="242"/>
      <c r="U949" s="242"/>
      <c r="V949" s="242"/>
      <c r="W949" s="242"/>
      <c r="X949" s="242"/>
      <c r="Y949" s="242"/>
      <c r="Z949" s="242"/>
    </row>
    <row r="950">
      <c r="A950" s="242"/>
      <c r="B950" s="443"/>
      <c r="C950" s="443"/>
      <c r="D950" s="443"/>
      <c r="E950" s="443"/>
      <c r="F950" s="443"/>
      <c r="G950" s="242"/>
      <c r="H950" s="242"/>
      <c r="I950" s="242"/>
      <c r="J950" s="242"/>
      <c r="K950" s="13"/>
      <c r="L950" s="242"/>
      <c r="M950" s="242"/>
      <c r="N950" s="13"/>
      <c r="O950" s="242"/>
      <c r="P950" s="242"/>
      <c r="Q950" s="242"/>
      <c r="R950" s="242"/>
      <c r="S950" s="242"/>
      <c r="T950" s="242"/>
      <c r="U950" s="242"/>
      <c r="V950" s="242"/>
      <c r="W950" s="242"/>
      <c r="X950" s="242"/>
      <c r="Y950" s="242"/>
      <c r="Z950" s="242"/>
    </row>
    <row r="951">
      <c r="A951" s="242"/>
      <c r="B951" s="443"/>
      <c r="C951" s="443"/>
      <c r="D951" s="443"/>
      <c r="E951" s="443"/>
      <c r="F951" s="443"/>
      <c r="G951" s="242"/>
      <c r="H951" s="242"/>
      <c r="I951" s="242"/>
      <c r="J951" s="242"/>
      <c r="K951" s="13"/>
      <c r="L951" s="242"/>
      <c r="M951" s="242"/>
      <c r="N951" s="13"/>
      <c r="O951" s="242"/>
      <c r="P951" s="242"/>
      <c r="Q951" s="242"/>
      <c r="R951" s="242"/>
      <c r="S951" s="242"/>
      <c r="T951" s="242"/>
      <c r="U951" s="242"/>
      <c r="V951" s="242"/>
      <c r="W951" s="242"/>
      <c r="X951" s="242"/>
      <c r="Y951" s="242"/>
      <c r="Z951" s="242"/>
    </row>
    <row r="952">
      <c r="A952" s="242"/>
      <c r="B952" s="443"/>
      <c r="C952" s="443"/>
      <c r="D952" s="443"/>
      <c r="E952" s="443"/>
      <c r="F952" s="443"/>
      <c r="G952" s="242"/>
      <c r="H952" s="242"/>
      <c r="I952" s="242"/>
      <c r="J952" s="242"/>
      <c r="K952" s="13"/>
      <c r="L952" s="242"/>
      <c r="M952" s="242"/>
      <c r="N952" s="13"/>
      <c r="O952" s="242"/>
      <c r="P952" s="242"/>
      <c r="Q952" s="242"/>
      <c r="R952" s="242"/>
      <c r="S952" s="242"/>
      <c r="T952" s="242"/>
      <c r="U952" s="242"/>
      <c r="V952" s="242"/>
      <c r="W952" s="242"/>
      <c r="X952" s="242"/>
      <c r="Y952" s="242"/>
      <c r="Z952" s="242"/>
    </row>
    <row r="953">
      <c r="A953" s="242"/>
      <c r="B953" s="443"/>
      <c r="C953" s="443"/>
      <c r="D953" s="443"/>
      <c r="E953" s="443"/>
      <c r="F953" s="443"/>
      <c r="G953" s="242"/>
      <c r="H953" s="242"/>
      <c r="I953" s="242"/>
      <c r="J953" s="242"/>
      <c r="K953" s="13"/>
      <c r="L953" s="242"/>
      <c r="M953" s="242"/>
      <c r="N953" s="13"/>
      <c r="O953" s="242"/>
      <c r="P953" s="242"/>
      <c r="Q953" s="242"/>
      <c r="R953" s="242"/>
      <c r="S953" s="242"/>
      <c r="T953" s="242"/>
      <c r="U953" s="242"/>
      <c r="V953" s="242"/>
      <c r="W953" s="242"/>
      <c r="X953" s="242"/>
      <c r="Y953" s="242"/>
      <c r="Z953" s="242"/>
    </row>
    <row r="954">
      <c r="A954" s="242"/>
      <c r="B954" s="443"/>
      <c r="C954" s="443"/>
      <c r="D954" s="443"/>
      <c r="E954" s="443"/>
      <c r="F954" s="443"/>
      <c r="G954" s="242"/>
      <c r="H954" s="242"/>
      <c r="I954" s="242"/>
      <c r="J954" s="242"/>
      <c r="K954" s="13"/>
      <c r="L954" s="242"/>
      <c r="M954" s="242"/>
      <c r="N954" s="13"/>
      <c r="O954" s="242"/>
      <c r="P954" s="242"/>
      <c r="Q954" s="242"/>
      <c r="R954" s="242"/>
      <c r="S954" s="242"/>
      <c r="T954" s="242"/>
      <c r="U954" s="242"/>
      <c r="V954" s="242"/>
      <c r="W954" s="242"/>
      <c r="X954" s="242"/>
      <c r="Y954" s="242"/>
      <c r="Z954" s="242"/>
    </row>
    <row r="955">
      <c r="A955" s="242"/>
      <c r="B955" s="443"/>
      <c r="C955" s="443"/>
      <c r="D955" s="443"/>
      <c r="E955" s="443"/>
      <c r="F955" s="443"/>
      <c r="G955" s="242"/>
      <c r="H955" s="242"/>
      <c r="I955" s="242"/>
      <c r="J955" s="242"/>
      <c r="K955" s="13"/>
      <c r="L955" s="242"/>
      <c r="M955" s="242"/>
      <c r="N955" s="13"/>
      <c r="O955" s="242"/>
      <c r="P955" s="242"/>
      <c r="Q955" s="242"/>
      <c r="R955" s="242"/>
      <c r="S955" s="242"/>
      <c r="T955" s="242"/>
      <c r="U955" s="242"/>
      <c r="V955" s="242"/>
      <c r="W955" s="242"/>
      <c r="X955" s="242"/>
      <c r="Y955" s="242"/>
      <c r="Z955" s="242"/>
    </row>
    <row r="956">
      <c r="A956" s="242"/>
      <c r="B956" s="443"/>
      <c r="C956" s="443"/>
      <c r="D956" s="443"/>
      <c r="E956" s="443"/>
      <c r="F956" s="443"/>
      <c r="G956" s="242"/>
      <c r="H956" s="242"/>
      <c r="I956" s="242"/>
      <c r="J956" s="242"/>
      <c r="K956" s="13"/>
      <c r="L956" s="242"/>
      <c r="M956" s="242"/>
      <c r="N956" s="13"/>
      <c r="O956" s="242"/>
      <c r="P956" s="242"/>
      <c r="Q956" s="242"/>
      <c r="R956" s="242"/>
      <c r="S956" s="242"/>
      <c r="T956" s="242"/>
      <c r="U956" s="242"/>
      <c r="V956" s="242"/>
      <c r="W956" s="242"/>
      <c r="X956" s="242"/>
      <c r="Y956" s="242"/>
      <c r="Z956" s="242"/>
    </row>
    <row r="957">
      <c r="A957" s="242"/>
      <c r="B957" s="443"/>
      <c r="C957" s="443"/>
      <c r="D957" s="443"/>
      <c r="E957" s="443"/>
      <c r="F957" s="443"/>
      <c r="G957" s="242"/>
      <c r="H957" s="242"/>
      <c r="I957" s="242"/>
      <c r="J957" s="242"/>
      <c r="K957" s="13"/>
      <c r="L957" s="242"/>
      <c r="M957" s="242"/>
      <c r="N957" s="13"/>
      <c r="O957" s="242"/>
      <c r="P957" s="242"/>
      <c r="Q957" s="242"/>
      <c r="R957" s="242"/>
      <c r="S957" s="242"/>
      <c r="T957" s="242"/>
      <c r="U957" s="242"/>
      <c r="V957" s="242"/>
      <c r="W957" s="242"/>
      <c r="X957" s="242"/>
      <c r="Y957" s="242"/>
      <c r="Z957" s="242"/>
    </row>
    <row r="958">
      <c r="A958" s="242"/>
      <c r="B958" s="443"/>
      <c r="C958" s="443"/>
      <c r="D958" s="443"/>
      <c r="E958" s="443"/>
      <c r="F958" s="443"/>
      <c r="G958" s="242"/>
      <c r="H958" s="242"/>
      <c r="I958" s="242"/>
      <c r="J958" s="242"/>
      <c r="K958" s="13"/>
      <c r="L958" s="242"/>
      <c r="M958" s="242"/>
      <c r="N958" s="13"/>
      <c r="O958" s="242"/>
      <c r="P958" s="242"/>
      <c r="Q958" s="242"/>
      <c r="R958" s="242"/>
      <c r="S958" s="242"/>
      <c r="T958" s="242"/>
      <c r="U958" s="242"/>
      <c r="V958" s="242"/>
      <c r="W958" s="242"/>
      <c r="X958" s="242"/>
      <c r="Y958" s="242"/>
      <c r="Z958" s="242"/>
    </row>
    <row r="959">
      <c r="A959" s="242"/>
      <c r="B959" s="443"/>
      <c r="C959" s="443"/>
      <c r="D959" s="443"/>
      <c r="E959" s="443"/>
      <c r="F959" s="443"/>
      <c r="G959" s="242"/>
      <c r="H959" s="242"/>
      <c r="I959" s="242"/>
      <c r="J959" s="242"/>
      <c r="K959" s="13"/>
      <c r="L959" s="242"/>
      <c r="M959" s="242"/>
      <c r="N959" s="13"/>
      <c r="O959" s="242"/>
      <c r="P959" s="242"/>
      <c r="Q959" s="242"/>
      <c r="R959" s="242"/>
      <c r="S959" s="242"/>
      <c r="T959" s="242"/>
      <c r="U959" s="242"/>
      <c r="V959" s="242"/>
      <c r="W959" s="242"/>
      <c r="X959" s="242"/>
      <c r="Y959" s="242"/>
      <c r="Z959" s="242"/>
    </row>
    <row r="960">
      <c r="A960" s="242"/>
      <c r="B960" s="443"/>
      <c r="C960" s="443"/>
      <c r="D960" s="443"/>
      <c r="E960" s="443"/>
      <c r="F960" s="443"/>
      <c r="G960" s="242"/>
      <c r="H960" s="242"/>
      <c r="I960" s="242"/>
      <c r="J960" s="242"/>
      <c r="K960" s="13"/>
      <c r="L960" s="242"/>
      <c r="M960" s="242"/>
      <c r="N960" s="13"/>
      <c r="O960" s="242"/>
      <c r="P960" s="242"/>
      <c r="Q960" s="242"/>
      <c r="R960" s="242"/>
      <c r="S960" s="242"/>
      <c r="T960" s="242"/>
      <c r="U960" s="242"/>
      <c r="V960" s="242"/>
      <c r="W960" s="242"/>
      <c r="X960" s="242"/>
      <c r="Y960" s="242"/>
      <c r="Z960" s="242"/>
    </row>
    <row r="961">
      <c r="A961" s="242"/>
      <c r="B961" s="443"/>
      <c r="C961" s="443"/>
      <c r="D961" s="443"/>
      <c r="E961" s="443"/>
      <c r="F961" s="443"/>
      <c r="G961" s="242"/>
      <c r="H961" s="242"/>
      <c r="I961" s="242"/>
      <c r="J961" s="242"/>
      <c r="K961" s="13"/>
      <c r="L961" s="242"/>
      <c r="M961" s="242"/>
      <c r="N961" s="13"/>
      <c r="O961" s="242"/>
      <c r="P961" s="242"/>
      <c r="Q961" s="242"/>
      <c r="R961" s="242"/>
      <c r="S961" s="242"/>
      <c r="T961" s="242"/>
      <c r="U961" s="242"/>
      <c r="V961" s="242"/>
      <c r="W961" s="242"/>
      <c r="X961" s="242"/>
      <c r="Y961" s="242"/>
      <c r="Z961" s="242"/>
    </row>
    <row r="962">
      <c r="A962" s="242"/>
      <c r="B962" s="443"/>
      <c r="C962" s="443"/>
      <c r="D962" s="443"/>
      <c r="E962" s="443"/>
      <c r="F962" s="443"/>
      <c r="G962" s="242"/>
      <c r="H962" s="242"/>
      <c r="I962" s="242"/>
      <c r="J962" s="242"/>
      <c r="K962" s="13"/>
      <c r="L962" s="242"/>
      <c r="M962" s="242"/>
      <c r="N962" s="13"/>
      <c r="O962" s="242"/>
      <c r="P962" s="242"/>
      <c r="Q962" s="242"/>
      <c r="R962" s="242"/>
      <c r="S962" s="242"/>
      <c r="T962" s="242"/>
      <c r="U962" s="242"/>
      <c r="V962" s="242"/>
      <c r="W962" s="242"/>
      <c r="X962" s="242"/>
      <c r="Y962" s="242"/>
      <c r="Z962" s="242"/>
    </row>
    <row r="963">
      <c r="A963" s="242"/>
      <c r="B963" s="443"/>
      <c r="C963" s="443"/>
      <c r="D963" s="443"/>
      <c r="E963" s="443"/>
      <c r="F963" s="443"/>
      <c r="G963" s="242"/>
      <c r="H963" s="242"/>
      <c r="I963" s="242"/>
      <c r="J963" s="242"/>
      <c r="K963" s="13"/>
      <c r="L963" s="242"/>
      <c r="M963" s="242"/>
      <c r="N963" s="13"/>
      <c r="O963" s="242"/>
      <c r="P963" s="242"/>
      <c r="Q963" s="242"/>
      <c r="R963" s="242"/>
      <c r="S963" s="242"/>
      <c r="T963" s="242"/>
      <c r="U963" s="242"/>
      <c r="V963" s="242"/>
      <c r="W963" s="242"/>
      <c r="X963" s="242"/>
      <c r="Y963" s="242"/>
      <c r="Z963" s="242"/>
    </row>
    <row r="964">
      <c r="A964" s="242"/>
      <c r="B964" s="443"/>
      <c r="C964" s="443"/>
      <c r="D964" s="443"/>
      <c r="E964" s="443"/>
      <c r="F964" s="443"/>
      <c r="G964" s="242"/>
      <c r="H964" s="242"/>
      <c r="I964" s="242"/>
      <c r="J964" s="242"/>
      <c r="K964" s="13"/>
      <c r="L964" s="242"/>
      <c r="M964" s="242"/>
      <c r="N964" s="13"/>
      <c r="O964" s="242"/>
      <c r="P964" s="242"/>
      <c r="Q964" s="242"/>
      <c r="R964" s="242"/>
      <c r="S964" s="242"/>
      <c r="T964" s="242"/>
      <c r="U964" s="242"/>
      <c r="V964" s="242"/>
      <c r="W964" s="242"/>
      <c r="X964" s="242"/>
      <c r="Y964" s="242"/>
      <c r="Z964" s="242"/>
    </row>
    <row r="965">
      <c r="A965" s="242"/>
      <c r="B965" s="443"/>
      <c r="C965" s="443"/>
      <c r="D965" s="443"/>
      <c r="E965" s="443"/>
      <c r="F965" s="443"/>
      <c r="G965" s="242"/>
      <c r="H965" s="242"/>
      <c r="I965" s="242"/>
      <c r="J965" s="242"/>
      <c r="K965" s="13"/>
      <c r="L965" s="242"/>
      <c r="M965" s="242"/>
      <c r="N965" s="13"/>
      <c r="O965" s="242"/>
      <c r="P965" s="242"/>
      <c r="Q965" s="242"/>
      <c r="R965" s="242"/>
      <c r="S965" s="242"/>
      <c r="T965" s="242"/>
      <c r="U965" s="242"/>
      <c r="V965" s="242"/>
      <c r="W965" s="242"/>
      <c r="X965" s="242"/>
      <c r="Y965" s="242"/>
      <c r="Z965" s="242"/>
    </row>
    <row r="966">
      <c r="A966" s="242"/>
      <c r="B966" s="443"/>
      <c r="C966" s="443"/>
      <c r="D966" s="443"/>
      <c r="E966" s="443"/>
      <c r="F966" s="443"/>
      <c r="G966" s="242"/>
      <c r="H966" s="242"/>
      <c r="I966" s="242"/>
      <c r="J966" s="242"/>
      <c r="K966" s="13"/>
      <c r="L966" s="242"/>
      <c r="M966" s="242"/>
      <c r="N966" s="13"/>
      <c r="O966" s="242"/>
      <c r="P966" s="242"/>
      <c r="Q966" s="242"/>
      <c r="R966" s="242"/>
      <c r="S966" s="242"/>
      <c r="T966" s="242"/>
      <c r="U966" s="242"/>
      <c r="V966" s="242"/>
      <c r="W966" s="242"/>
      <c r="X966" s="242"/>
      <c r="Y966" s="242"/>
      <c r="Z966" s="242"/>
    </row>
    <row r="967">
      <c r="A967" s="242"/>
      <c r="B967" s="443"/>
      <c r="C967" s="443"/>
      <c r="D967" s="443"/>
      <c r="E967" s="443"/>
      <c r="F967" s="443"/>
      <c r="G967" s="242"/>
      <c r="H967" s="242"/>
      <c r="I967" s="242"/>
      <c r="J967" s="242"/>
      <c r="K967" s="13"/>
      <c r="L967" s="242"/>
      <c r="M967" s="242"/>
      <c r="N967" s="13"/>
      <c r="O967" s="242"/>
      <c r="P967" s="242"/>
      <c r="Q967" s="242"/>
      <c r="R967" s="242"/>
      <c r="S967" s="242"/>
      <c r="T967" s="242"/>
      <c r="U967" s="242"/>
      <c r="V967" s="242"/>
      <c r="W967" s="242"/>
      <c r="X967" s="242"/>
      <c r="Y967" s="242"/>
      <c r="Z967" s="242"/>
    </row>
    <row r="968">
      <c r="A968" s="242"/>
      <c r="B968" s="443"/>
      <c r="C968" s="443"/>
      <c r="D968" s="443"/>
      <c r="E968" s="443"/>
      <c r="F968" s="443"/>
      <c r="G968" s="242"/>
      <c r="H968" s="242"/>
      <c r="I968" s="242"/>
      <c r="J968" s="242"/>
      <c r="K968" s="13"/>
      <c r="L968" s="242"/>
      <c r="M968" s="242"/>
      <c r="N968" s="13"/>
      <c r="O968" s="242"/>
      <c r="P968" s="242"/>
      <c r="Q968" s="242"/>
      <c r="R968" s="242"/>
      <c r="S968" s="242"/>
      <c r="T968" s="242"/>
      <c r="U968" s="242"/>
      <c r="V968" s="242"/>
      <c r="W968" s="242"/>
      <c r="X968" s="242"/>
      <c r="Y968" s="242"/>
      <c r="Z968" s="242"/>
    </row>
    <row r="969">
      <c r="A969" s="242"/>
      <c r="B969" s="443"/>
      <c r="C969" s="443"/>
      <c r="D969" s="443"/>
      <c r="E969" s="443"/>
      <c r="F969" s="443"/>
      <c r="G969" s="242"/>
      <c r="H969" s="242"/>
      <c r="I969" s="242"/>
      <c r="J969" s="242"/>
      <c r="K969" s="13"/>
      <c r="L969" s="242"/>
      <c r="M969" s="242"/>
      <c r="N969" s="13"/>
      <c r="O969" s="242"/>
      <c r="P969" s="242"/>
      <c r="Q969" s="242"/>
      <c r="R969" s="242"/>
      <c r="S969" s="242"/>
      <c r="T969" s="242"/>
      <c r="U969" s="242"/>
      <c r="V969" s="242"/>
      <c r="W969" s="242"/>
      <c r="X969" s="242"/>
      <c r="Y969" s="242"/>
      <c r="Z969" s="242"/>
    </row>
    <row r="970">
      <c r="A970" s="242"/>
      <c r="B970" s="443"/>
      <c r="C970" s="443"/>
      <c r="D970" s="443"/>
      <c r="E970" s="443"/>
      <c r="F970" s="443"/>
      <c r="G970" s="242"/>
      <c r="H970" s="242"/>
      <c r="I970" s="242"/>
      <c r="J970" s="242"/>
      <c r="K970" s="13"/>
      <c r="L970" s="242"/>
      <c r="M970" s="242"/>
      <c r="N970" s="13"/>
      <c r="O970" s="242"/>
      <c r="P970" s="242"/>
      <c r="Q970" s="242"/>
      <c r="R970" s="242"/>
      <c r="S970" s="242"/>
      <c r="T970" s="242"/>
      <c r="U970" s="242"/>
      <c r="V970" s="242"/>
      <c r="W970" s="242"/>
      <c r="X970" s="242"/>
      <c r="Y970" s="242"/>
      <c r="Z970" s="242"/>
    </row>
    <row r="971">
      <c r="A971" s="242"/>
      <c r="B971" s="443"/>
      <c r="C971" s="443"/>
      <c r="D971" s="443"/>
      <c r="E971" s="443"/>
      <c r="F971" s="443"/>
      <c r="G971" s="242"/>
      <c r="H971" s="242"/>
      <c r="I971" s="242"/>
      <c r="J971" s="242"/>
      <c r="K971" s="13"/>
      <c r="L971" s="242"/>
      <c r="M971" s="242"/>
      <c r="N971" s="13"/>
      <c r="O971" s="242"/>
      <c r="P971" s="242"/>
      <c r="Q971" s="242"/>
      <c r="R971" s="242"/>
      <c r="S971" s="242"/>
      <c r="T971" s="242"/>
      <c r="U971" s="242"/>
      <c r="V971" s="242"/>
      <c r="W971" s="242"/>
      <c r="X971" s="242"/>
      <c r="Y971" s="242"/>
      <c r="Z971" s="242"/>
    </row>
    <row r="972">
      <c r="A972" s="242"/>
      <c r="B972" s="443"/>
      <c r="C972" s="443"/>
      <c r="D972" s="443"/>
      <c r="E972" s="443"/>
      <c r="F972" s="443"/>
      <c r="G972" s="242"/>
      <c r="H972" s="242"/>
      <c r="I972" s="242"/>
      <c r="J972" s="242"/>
      <c r="K972" s="13"/>
      <c r="L972" s="242"/>
      <c r="M972" s="242"/>
      <c r="N972" s="13"/>
      <c r="O972" s="242"/>
      <c r="P972" s="242"/>
      <c r="Q972" s="242"/>
      <c r="R972" s="242"/>
      <c r="S972" s="242"/>
      <c r="T972" s="242"/>
      <c r="U972" s="242"/>
      <c r="V972" s="242"/>
      <c r="W972" s="242"/>
      <c r="X972" s="242"/>
      <c r="Y972" s="242"/>
      <c r="Z972" s="242"/>
    </row>
    <row r="973">
      <c r="A973" s="242"/>
      <c r="B973" s="443"/>
      <c r="C973" s="443"/>
      <c r="D973" s="443"/>
      <c r="E973" s="443"/>
      <c r="F973" s="443"/>
      <c r="G973" s="242"/>
      <c r="H973" s="242"/>
      <c r="I973" s="242"/>
      <c r="J973" s="242"/>
      <c r="K973" s="13"/>
      <c r="L973" s="242"/>
      <c r="M973" s="242"/>
      <c r="N973" s="13"/>
      <c r="O973" s="242"/>
      <c r="P973" s="242"/>
      <c r="Q973" s="242"/>
      <c r="R973" s="242"/>
      <c r="S973" s="242"/>
      <c r="T973" s="242"/>
      <c r="U973" s="242"/>
      <c r="V973" s="242"/>
      <c r="W973" s="242"/>
      <c r="X973" s="242"/>
      <c r="Y973" s="242"/>
      <c r="Z973" s="242"/>
    </row>
    <row r="974">
      <c r="A974" s="242"/>
      <c r="B974" s="443"/>
      <c r="C974" s="443"/>
      <c r="D974" s="443"/>
      <c r="E974" s="443"/>
      <c r="F974" s="443"/>
      <c r="G974" s="242"/>
      <c r="H974" s="242"/>
      <c r="I974" s="242"/>
      <c r="J974" s="242"/>
      <c r="K974" s="13"/>
      <c r="L974" s="242"/>
      <c r="M974" s="242"/>
      <c r="N974" s="13"/>
      <c r="O974" s="242"/>
      <c r="P974" s="242"/>
      <c r="Q974" s="242"/>
      <c r="R974" s="242"/>
      <c r="S974" s="242"/>
      <c r="T974" s="242"/>
      <c r="U974" s="242"/>
      <c r="V974" s="242"/>
      <c r="W974" s="242"/>
      <c r="X974" s="242"/>
      <c r="Y974" s="242"/>
      <c r="Z974" s="242"/>
    </row>
    <row r="975">
      <c r="A975" s="242"/>
      <c r="B975" s="443"/>
      <c r="C975" s="443"/>
      <c r="D975" s="443"/>
      <c r="E975" s="443"/>
      <c r="F975" s="443"/>
      <c r="G975" s="242"/>
      <c r="H975" s="242"/>
      <c r="I975" s="242"/>
      <c r="J975" s="242"/>
      <c r="K975" s="13"/>
      <c r="L975" s="242"/>
      <c r="M975" s="242"/>
      <c r="N975" s="13"/>
      <c r="O975" s="242"/>
      <c r="P975" s="242"/>
      <c r="Q975" s="242"/>
      <c r="R975" s="242"/>
      <c r="S975" s="242"/>
      <c r="T975" s="242"/>
      <c r="U975" s="242"/>
      <c r="V975" s="242"/>
      <c r="W975" s="242"/>
      <c r="X975" s="242"/>
      <c r="Y975" s="242"/>
      <c r="Z975" s="242"/>
    </row>
    <row r="976">
      <c r="A976" s="242"/>
      <c r="B976" s="443"/>
      <c r="C976" s="443"/>
      <c r="D976" s="443"/>
      <c r="E976" s="443"/>
      <c r="F976" s="443"/>
      <c r="G976" s="242"/>
      <c r="H976" s="242"/>
      <c r="I976" s="242"/>
      <c r="J976" s="242"/>
      <c r="K976" s="13"/>
      <c r="L976" s="242"/>
      <c r="M976" s="242"/>
      <c r="N976" s="13"/>
      <c r="O976" s="242"/>
      <c r="P976" s="242"/>
      <c r="Q976" s="242"/>
      <c r="R976" s="242"/>
      <c r="S976" s="242"/>
      <c r="T976" s="242"/>
      <c r="U976" s="242"/>
      <c r="V976" s="242"/>
      <c r="W976" s="242"/>
      <c r="X976" s="242"/>
      <c r="Y976" s="242"/>
      <c r="Z976" s="242"/>
    </row>
    <row r="977">
      <c r="A977" s="242"/>
      <c r="B977" s="443"/>
      <c r="C977" s="443"/>
      <c r="D977" s="443"/>
      <c r="E977" s="443"/>
      <c r="F977" s="443"/>
      <c r="G977" s="242"/>
      <c r="H977" s="242"/>
      <c r="I977" s="242"/>
      <c r="J977" s="242"/>
      <c r="K977" s="13"/>
      <c r="L977" s="242"/>
      <c r="M977" s="242"/>
      <c r="N977" s="13"/>
      <c r="O977" s="242"/>
      <c r="P977" s="242"/>
      <c r="Q977" s="242"/>
      <c r="R977" s="242"/>
      <c r="S977" s="242"/>
      <c r="T977" s="242"/>
      <c r="U977" s="242"/>
      <c r="V977" s="242"/>
      <c r="W977" s="242"/>
      <c r="X977" s="242"/>
      <c r="Y977" s="242"/>
      <c r="Z977" s="242"/>
    </row>
    <row r="978">
      <c r="A978" s="242"/>
      <c r="B978" s="443"/>
      <c r="C978" s="443"/>
      <c r="D978" s="443"/>
      <c r="E978" s="443"/>
      <c r="F978" s="443"/>
      <c r="G978" s="242"/>
      <c r="H978" s="242"/>
      <c r="I978" s="242"/>
      <c r="J978" s="242"/>
      <c r="K978" s="13"/>
      <c r="L978" s="242"/>
      <c r="M978" s="242"/>
      <c r="N978" s="13"/>
      <c r="O978" s="242"/>
      <c r="P978" s="242"/>
      <c r="Q978" s="242"/>
      <c r="R978" s="242"/>
      <c r="S978" s="242"/>
      <c r="T978" s="242"/>
      <c r="U978" s="242"/>
      <c r="V978" s="242"/>
      <c r="W978" s="242"/>
      <c r="X978" s="242"/>
      <c r="Y978" s="242"/>
      <c r="Z978" s="242"/>
    </row>
    <row r="979">
      <c r="A979" s="242"/>
      <c r="B979" s="443"/>
      <c r="C979" s="443"/>
      <c r="D979" s="443"/>
      <c r="E979" s="443"/>
      <c r="F979" s="443"/>
      <c r="G979" s="242"/>
      <c r="H979" s="242"/>
      <c r="I979" s="242"/>
      <c r="J979" s="242"/>
      <c r="K979" s="13"/>
      <c r="L979" s="242"/>
      <c r="M979" s="242"/>
      <c r="N979" s="13"/>
      <c r="O979" s="242"/>
      <c r="P979" s="242"/>
      <c r="Q979" s="242"/>
      <c r="R979" s="242"/>
      <c r="S979" s="242"/>
      <c r="T979" s="242"/>
      <c r="U979" s="242"/>
      <c r="V979" s="242"/>
      <c r="W979" s="242"/>
      <c r="X979" s="242"/>
      <c r="Y979" s="242"/>
      <c r="Z979" s="242"/>
    </row>
    <row r="980">
      <c r="A980" s="242"/>
      <c r="B980" s="443"/>
      <c r="C980" s="443"/>
      <c r="D980" s="443"/>
      <c r="E980" s="443"/>
      <c r="F980" s="443"/>
      <c r="G980" s="242"/>
      <c r="H980" s="242"/>
      <c r="I980" s="242"/>
      <c r="J980" s="242"/>
      <c r="K980" s="13"/>
      <c r="L980" s="242"/>
      <c r="M980" s="242"/>
      <c r="N980" s="13"/>
      <c r="O980" s="242"/>
      <c r="P980" s="242"/>
      <c r="Q980" s="242"/>
      <c r="R980" s="242"/>
      <c r="S980" s="242"/>
      <c r="T980" s="242"/>
      <c r="U980" s="242"/>
      <c r="V980" s="242"/>
      <c r="W980" s="242"/>
      <c r="X980" s="242"/>
      <c r="Y980" s="242"/>
      <c r="Z980" s="242"/>
    </row>
    <row r="981">
      <c r="A981" s="242"/>
      <c r="B981" s="443"/>
      <c r="C981" s="443"/>
      <c r="D981" s="443"/>
      <c r="E981" s="443"/>
      <c r="F981" s="443"/>
      <c r="G981" s="242"/>
      <c r="H981" s="242"/>
      <c r="I981" s="242"/>
      <c r="J981" s="242"/>
      <c r="K981" s="13"/>
      <c r="L981" s="242"/>
      <c r="M981" s="242"/>
      <c r="N981" s="13"/>
      <c r="O981" s="242"/>
      <c r="P981" s="242"/>
      <c r="Q981" s="242"/>
      <c r="R981" s="242"/>
      <c r="S981" s="242"/>
      <c r="T981" s="242"/>
      <c r="U981" s="242"/>
      <c r="V981" s="242"/>
      <c r="W981" s="242"/>
      <c r="X981" s="242"/>
      <c r="Y981" s="242"/>
      <c r="Z981" s="242"/>
    </row>
    <row r="982">
      <c r="A982" s="242"/>
      <c r="B982" s="443"/>
      <c r="C982" s="443"/>
      <c r="D982" s="443"/>
      <c r="E982" s="443"/>
      <c r="F982" s="443"/>
      <c r="G982" s="242"/>
      <c r="H982" s="242"/>
      <c r="I982" s="242"/>
      <c r="J982" s="242"/>
      <c r="K982" s="13"/>
      <c r="L982" s="242"/>
      <c r="M982" s="242"/>
      <c r="N982" s="13"/>
      <c r="O982" s="242"/>
      <c r="P982" s="242"/>
      <c r="Q982" s="242"/>
      <c r="R982" s="242"/>
      <c r="S982" s="242"/>
      <c r="T982" s="242"/>
      <c r="U982" s="242"/>
      <c r="V982" s="242"/>
      <c r="W982" s="242"/>
      <c r="X982" s="242"/>
      <c r="Y982" s="242"/>
      <c r="Z982" s="242"/>
    </row>
    <row r="983">
      <c r="A983" s="242"/>
      <c r="B983" s="443"/>
      <c r="C983" s="443"/>
      <c r="D983" s="443"/>
      <c r="E983" s="443"/>
      <c r="F983" s="443"/>
      <c r="G983" s="242"/>
      <c r="H983" s="242"/>
      <c r="I983" s="242"/>
      <c r="J983" s="242"/>
      <c r="K983" s="13"/>
      <c r="L983" s="242"/>
      <c r="M983" s="242"/>
      <c r="N983" s="13"/>
      <c r="O983" s="242"/>
      <c r="P983" s="242"/>
      <c r="Q983" s="242"/>
      <c r="R983" s="242"/>
      <c r="S983" s="242"/>
      <c r="T983" s="242"/>
      <c r="U983" s="242"/>
      <c r="V983" s="242"/>
      <c r="W983" s="242"/>
      <c r="X983" s="242"/>
      <c r="Y983" s="242"/>
      <c r="Z983" s="242"/>
    </row>
    <row r="984">
      <c r="A984" s="242"/>
      <c r="B984" s="443"/>
      <c r="C984" s="443"/>
      <c r="D984" s="443"/>
      <c r="E984" s="443"/>
      <c r="F984" s="443"/>
      <c r="G984" s="242"/>
      <c r="H984" s="242"/>
      <c r="I984" s="242"/>
      <c r="J984" s="242"/>
      <c r="K984" s="13"/>
      <c r="L984" s="242"/>
      <c r="M984" s="242"/>
      <c r="N984" s="13"/>
      <c r="O984" s="242"/>
      <c r="P984" s="242"/>
      <c r="Q984" s="242"/>
      <c r="R984" s="242"/>
      <c r="S984" s="242"/>
      <c r="T984" s="242"/>
      <c r="U984" s="242"/>
      <c r="V984" s="242"/>
      <c r="W984" s="242"/>
      <c r="X984" s="242"/>
      <c r="Y984" s="242"/>
      <c r="Z984" s="242"/>
    </row>
    <row r="985">
      <c r="A985" s="242"/>
      <c r="B985" s="443"/>
      <c r="C985" s="443"/>
      <c r="D985" s="443"/>
      <c r="E985" s="443"/>
      <c r="F985" s="443"/>
      <c r="G985" s="242"/>
      <c r="H985" s="242"/>
      <c r="I985" s="242"/>
      <c r="J985" s="242"/>
      <c r="K985" s="13"/>
      <c r="L985" s="242"/>
      <c r="M985" s="242"/>
      <c r="N985" s="13"/>
      <c r="O985" s="242"/>
      <c r="P985" s="242"/>
      <c r="Q985" s="242"/>
      <c r="R985" s="242"/>
      <c r="S985" s="242"/>
      <c r="T985" s="242"/>
      <c r="U985" s="242"/>
      <c r="V985" s="242"/>
      <c r="W985" s="242"/>
      <c r="X985" s="242"/>
      <c r="Y985" s="242"/>
      <c r="Z985" s="242"/>
    </row>
    <row r="986">
      <c r="A986" s="242"/>
      <c r="B986" s="443"/>
      <c r="C986" s="443"/>
      <c r="D986" s="443"/>
      <c r="E986" s="443"/>
      <c r="F986" s="443"/>
      <c r="G986" s="242"/>
      <c r="H986" s="242"/>
      <c r="I986" s="242"/>
      <c r="J986" s="242"/>
      <c r="K986" s="13"/>
      <c r="L986" s="242"/>
      <c r="M986" s="242"/>
      <c r="N986" s="13"/>
      <c r="O986" s="242"/>
      <c r="P986" s="242"/>
      <c r="Q986" s="242"/>
      <c r="R986" s="242"/>
      <c r="S986" s="242"/>
      <c r="T986" s="242"/>
      <c r="U986" s="242"/>
      <c r="V986" s="242"/>
      <c r="W986" s="242"/>
      <c r="X986" s="242"/>
      <c r="Y986" s="242"/>
      <c r="Z986" s="242"/>
    </row>
    <row r="987">
      <c r="A987" s="242"/>
      <c r="B987" s="443"/>
      <c r="C987" s="443"/>
      <c r="D987" s="443"/>
      <c r="E987" s="443"/>
      <c r="F987" s="443"/>
      <c r="G987" s="242"/>
      <c r="H987" s="242"/>
      <c r="I987" s="242"/>
      <c r="J987" s="242"/>
      <c r="K987" s="13"/>
      <c r="L987" s="242"/>
      <c r="M987" s="242"/>
      <c r="N987" s="13"/>
      <c r="O987" s="242"/>
      <c r="P987" s="242"/>
      <c r="Q987" s="242"/>
      <c r="R987" s="242"/>
      <c r="S987" s="242"/>
      <c r="T987" s="242"/>
      <c r="U987" s="242"/>
      <c r="V987" s="242"/>
      <c r="W987" s="242"/>
      <c r="X987" s="242"/>
      <c r="Y987" s="242"/>
      <c r="Z987" s="242"/>
    </row>
    <row r="988">
      <c r="A988" s="242"/>
      <c r="B988" s="443"/>
      <c r="C988" s="443"/>
      <c r="D988" s="443"/>
      <c r="E988" s="443"/>
      <c r="F988" s="443"/>
      <c r="G988" s="242"/>
      <c r="H988" s="242"/>
      <c r="I988" s="242"/>
      <c r="J988" s="242"/>
      <c r="K988" s="13"/>
      <c r="L988" s="242"/>
      <c r="M988" s="242"/>
      <c r="N988" s="13"/>
      <c r="O988" s="242"/>
      <c r="P988" s="242"/>
      <c r="Q988" s="242"/>
      <c r="R988" s="242"/>
      <c r="S988" s="242"/>
      <c r="T988" s="242"/>
      <c r="U988" s="242"/>
      <c r="V988" s="242"/>
      <c r="W988" s="242"/>
      <c r="X988" s="242"/>
      <c r="Y988" s="242"/>
      <c r="Z988" s="242"/>
    </row>
    <row r="989">
      <c r="A989" s="242"/>
      <c r="B989" s="443"/>
      <c r="C989" s="443"/>
      <c r="D989" s="443"/>
      <c r="E989" s="443"/>
      <c r="F989" s="443"/>
      <c r="G989" s="242"/>
      <c r="H989" s="242"/>
      <c r="I989" s="242"/>
      <c r="J989" s="242"/>
      <c r="K989" s="13"/>
      <c r="L989" s="242"/>
      <c r="M989" s="242"/>
      <c r="N989" s="13"/>
      <c r="O989" s="242"/>
      <c r="P989" s="242"/>
      <c r="Q989" s="242"/>
      <c r="R989" s="242"/>
      <c r="S989" s="242"/>
      <c r="T989" s="242"/>
      <c r="U989" s="242"/>
      <c r="V989" s="242"/>
      <c r="W989" s="242"/>
      <c r="X989" s="242"/>
      <c r="Y989" s="242"/>
      <c r="Z989" s="242"/>
    </row>
    <row r="990">
      <c r="A990" s="242"/>
      <c r="B990" s="443"/>
      <c r="C990" s="443"/>
      <c r="D990" s="443"/>
      <c r="E990" s="443"/>
      <c r="F990" s="443"/>
      <c r="G990" s="242"/>
      <c r="H990" s="242"/>
      <c r="I990" s="242"/>
      <c r="J990" s="242"/>
      <c r="K990" s="13"/>
      <c r="L990" s="242"/>
      <c r="M990" s="242"/>
      <c r="N990" s="13"/>
      <c r="O990" s="242"/>
      <c r="P990" s="242"/>
      <c r="Q990" s="242"/>
      <c r="R990" s="242"/>
      <c r="S990" s="242"/>
      <c r="T990" s="242"/>
      <c r="U990" s="242"/>
      <c r="V990" s="242"/>
      <c r="W990" s="242"/>
      <c r="X990" s="242"/>
      <c r="Y990" s="242"/>
      <c r="Z990" s="242"/>
    </row>
    <row r="991">
      <c r="A991" s="242"/>
      <c r="B991" s="443"/>
      <c r="C991" s="443"/>
      <c r="D991" s="443"/>
      <c r="E991" s="443"/>
      <c r="F991" s="443"/>
      <c r="G991" s="242"/>
      <c r="H991" s="242"/>
      <c r="I991" s="242"/>
      <c r="J991" s="242"/>
      <c r="K991" s="13"/>
      <c r="L991" s="242"/>
      <c r="M991" s="242"/>
      <c r="N991" s="13"/>
      <c r="O991" s="242"/>
      <c r="P991" s="242"/>
      <c r="Q991" s="242"/>
      <c r="R991" s="242"/>
      <c r="S991" s="242"/>
      <c r="T991" s="242"/>
      <c r="U991" s="242"/>
      <c r="V991" s="242"/>
      <c r="W991" s="242"/>
      <c r="X991" s="242"/>
      <c r="Y991" s="242"/>
      <c r="Z991" s="242"/>
    </row>
    <row r="992">
      <c r="A992" s="242"/>
      <c r="B992" s="443"/>
      <c r="C992" s="443"/>
      <c r="D992" s="443"/>
      <c r="E992" s="443"/>
      <c r="F992" s="443"/>
      <c r="G992" s="242"/>
      <c r="H992" s="242"/>
      <c r="I992" s="242"/>
      <c r="J992" s="242"/>
      <c r="K992" s="13"/>
      <c r="L992" s="242"/>
      <c r="M992" s="242"/>
      <c r="N992" s="13"/>
      <c r="O992" s="242"/>
      <c r="P992" s="242"/>
      <c r="Q992" s="242"/>
      <c r="R992" s="242"/>
      <c r="S992" s="242"/>
      <c r="T992" s="242"/>
      <c r="U992" s="242"/>
      <c r="V992" s="242"/>
      <c r="W992" s="242"/>
      <c r="X992" s="242"/>
      <c r="Y992" s="242"/>
      <c r="Z992" s="242"/>
    </row>
    <row r="993">
      <c r="A993" s="242"/>
      <c r="B993" s="443"/>
      <c r="C993" s="443"/>
      <c r="D993" s="443"/>
      <c r="E993" s="443"/>
      <c r="F993" s="443"/>
      <c r="G993" s="242"/>
      <c r="H993" s="242"/>
      <c r="I993" s="242"/>
      <c r="J993" s="242"/>
      <c r="K993" s="13"/>
      <c r="L993" s="242"/>
      <c r="M993" s="242"/>
      <c r="N993" s="13"/>
      <c r="O993" s="242"/>
      <c r="P993" s="242"/>
      <c r="Q993" s="242"/>
      <c r="R993" s="242"/>
      <c r="S993" s="242"/>
      <c r="T993" s="242"/>
      <c r="U993" s="242"/>
      <c r="V993" s="242"/>
      <c r="W993" s="242"/>
      <c r="X993" s="242"/>
      <c r="Y993" s="242"/>
      <c r="Z993" s="242"/>
    </row>
    <row r="994">
      <c r="A994" s="242"/>
      <c r="B994" s="443"/>
      <c r="C994" s="443"/>
      <c r="D994" s="443"/>
      <c r="E994" s="443"/>
      <c r="F994" s="443"/>
      <c r="G994" s="242"/>
      <c r="H994" s="242"/>
      <c r="I994" s="242"/>
      <c r="J994" s="242"/>
      <c r="K994" s="13"/>
      <c r="L994" s="242"/>
      <c r="M994" s="242"/>
      <c r="N994" s="13"/>
      <c r="O994" s="242"/>
      <c r="P994" s="242"/>
      <c r="Q994" s="242"/>
      <c r="R994" s="242"/>
      <c r="S994" s="242"/>
      <c r="T994" s="242"/>
      <c r="U994" s="242"/>
      <c r="V994" s="242"/>
      <c r="W994" s="242"/>
      <c r="X994" s="242"/>
      <c r="Y994" s="242"/>
      <c r="Z994" s="242"/>
    </row>
    <row r="995">
      <c r="A995" s="242"/>
      <c r="B995" s="443"/>
      <c r="C995" s="443"/>
      <c r="D995" s="443"/>
      <c r="E995" s="443"/>
      <c r="F995" s="443"/>
      <c r="G995" s="242"/>
      <c r="H995" s="242"/>
      <c r="I995" s="242"/>
      <c r="J995" s="242"/>
      <c r="K995" s="13"/>
      <c r="L995" s="242"/>
      <c r="M995" s="242"/>
      <c r="N995" s="13"/>
      <c r="O995" s="242"/>
      <c r="P995" s="242"/>
      <c r="Q995" s="242"/>
      <c r="R995" s="242"/>
      <c r="S995" s="242"/>
      <c r="T995" s="242"/>
      <c r="U995" s="242"/>
      <c r="V995" s="242"/>
      <c r="W995" s="242"/>
      <c r="X995" s="242"/>
      <c r="Y995" s="242"/>
      <c r="Z995" s="242"/>
    </row>
    <row r="996">
      <c r="A996" s="242"/>
      <c r="B996" s="443"/>
      <c r="C996" s="443"/>
      <c r="D996" s="443"/>
      <c r="E996" s="443"/>
      <c r="F996" s="443"/>
      <c r="G996" s="242"/>
      <c r="H996" s="242"/>
      <c r="I996" s="242"/>
      <c r="J996" s="242"/>
      <c r="K996" s="13"/>
      <c r="L996" s="242"/>
      <c r="M996" s="242"/>
      <c r="N996" s="13"/>
      <c r="O996" s="242"/>
      <c r="P996" s="242"/>
      <c r="Q996" s="242"/>
      <c r="R996" s="242"/>
      <c r="S996" s="242"/>
      <c r="T996" s="242"/>
      <c r="U996" s="242"/>
      <c r="V996" s="242"/>
      <c r="W996" s="242"/>
      <c r="X996" s="242"/>
      <c r="Y996" s="242"/>
      <c r="Z996" s="242"/>
    </row>
    <row r="997">
      <c r="A997" s="242"/>
      <c r="B997" s="443"/>
      <c r="C997" s="443"/>
      <c r="D997" s="443"/>
      <c r="E997" s="443"/>
      <c r="F997" s="443"/>
      <c r="G997" s="242"/>
      <c r="H997" s="242"/>
      <c r="I997" s="242"/>
      <c r="J997" s="242"/>
      <c r="K997" s="13"/>
      <c r="L997" s="242"/>
      <c r="M997" s="242"/>
      <c r="N997" s="13"/>
      <c r="O997" s="242"/>
      <c r="P997" s="242"/>
      <c r="Q997" s="242"/>
      <c r="R997" s="242"/>
      <c r="S997" s="242"/>
      <c r="T997" s="242"/>
      <c r="U997" s="242"/>
      <c r="V997" s="242"/>
      <c r="W997" s="242"/>
      <c r="X997" s="242"/>
      <c r="Y997" s="242"/>
      <c r="Z997" s="242"/>
    </row>
    <row r="998">
      <c r="A998" s="242"/>
      <c r="B998" s="443"/>
      <c r="C998" s="443"/>
      <c r="D998" s="443"/>
      <c r="E998" s="443"/>
      <c r="F998" s="443"/>
      <c r="G998" s="242"/>
      <c r="H998" s="242"/>
      <c r="I998" s="242"/>
      <c r="J998" s="242"/>
      <c r="K998" s="13"/>
      <c r="L998" s="242"/>
      <c r="M998" s="242"/>
      <c r="N998" s="13"/>
      <c r="O998" s="242"/>
      <c r="P998" s="242"/>
      <c r="Q998" s="242"/>
      <c r="R998" s="242"/>
      <c r="S998" s="242"/>
      <c r="T998" s="242"/>
      <c r="U998" s="242"/>
      <c r="V998" s="242"/>
      <c r="W998" s="242"/>
      <c r="X998" s="242"/>
      <c r="Y998" s="242"/>
      <c r="Z998" s="242"/>
    </row>
    <row r="999">
      <c r="A999" s="242"/>
      <c r="B999" s="443"/>
      <c r="C999" s="443"/>
      <c r="D999" s="443"/>
      <c r="E999" s="443"/>
      <c r="F999" s="443"/>
      <c r="G999" s="242"/>
      <c r="H999" s="242"/>
      <c r="I999" s="242"/>
      <c r="J999" s="242"/>
      <c r="K999" s="13"/>
      <c r="L999" s="242"/>
      <c r="M999" s="242"/>
      <c r="N999" s="13"/>
      <c r="O999" s="242"/>
      <c r="P999" s="242"/>
      <c r="Q999" s="242"/>
      <c r="R999" s="242"/>
      <c r="S999" s="242"/>
      <c r="T999" s="242"/>
      <c r="U999" s="242"/>
      <c r="V999" s="242"/>
      <c r="W999" s="242"/>
      <c r="X999" s="242"/>
      <c r="Y999" s="242"/>
      <c r="Z999" s="242"/>
    </row>
    <row r="1000">
      <c r="A1000" s="242"/>
      <c r="B1000" s="443"/>
      <c r="C1000" s="443"/>
      <c r="D1000" s="443"/>
      <c r="E1000" s="443"/>
      <c r="F1000" s="443"/>
      <c r="G1000" s="242"/>
      <c r="H1000" s="242"/>
      <c r="I1000" s="242"/>
      <c r="J1000" s="242"/>
      <c r="K1000" s="13"/>
      <c r="L1000" s="242"/>
      <c r="M1000" s="242"/>
      <c r="N1000" s="13"/>
      <c r="O1000" s="242"/>
      <c r="P1000" s="242"/>
      <c r="Q1000" s="242"/>
      <c r="R1000" s="242"/>
      <c r="S1000" s="242"/>
      <c r="T1000" s="242"/>
      <c r="U1000" s="242"/>
      <c r="V1000" s="242"/>
      <c r="W1000" s="242"/>
      <c r="X1000" s="242"/>
      <c r="Y1000" s="242"/>
      <c r="Z1000" s="242"/>
    </row>
    <row r="1001">
      <c r="A1001" s="242"/>
      <c r="B1001" s="443"/>
      <c r="C1001" s="443"/>
      <c r="D1001" s="443"/>
      <c r="E1001" s="443"/>
      <c r="F1001" s="443"/>
      <c r="G1001" s="242"/>
      <c r="H1001" s="242"/>
      <c r="I1001" s="242"/>
      <c r="J1001" s="242"/>
      <c r="K1001" s="13"/>
      <c r="L1001" s="242"/>
      <c r="M1001" s="242"/>
      <c r="N1001" s="13"/>
      <c r="O1001" s="242"/>
      <c r="P1001" s="242"/>
      <c r="Q1001" s="242"/>
      <c r="R1001" s="242"/>
      <c r="S1001" s="242"/>
      <c r="T1001" s="242"/>
      <c r="U1001" s="242"/>
      <c r="V1001" s="242"/>
      <c r="W1001" s="242"/>
      <c r="X1001" s="242"/>
      <c r="Y1001" s="242"/>
      <c r="Z1001" s="242"/>
    </row>
    <row r="1002">
      <c r="A1002" s="242"/>
      <c r="B1002" s="443"/>
      <c r="C1002" s="443"/>
      <c r="D1002" s="443"/>
      <c r="E1002" s="443"/>
      <c r="F1002" s="443"/>
      <c r="G1002" s="242"/>
      <c r="H1002" s="242"/>
      <c r="I1002" s="242"/>
      <c r="J1002" s="242"/>
      <c r="K1002" s="13"/>
      <c r="L1002" s="242"/>
      <c r="M1002" s="242"/>
      <c r="N1002" s="13"/>
      <c r="O1002" s="242"/>
      <c r="P1002" s="242"/>
      <c r="Q1002" s="242"/>
      <c r="R1002" s="242"/>
      <c r="S1002" s="242"/>
      <c r="T1002" s="242"/>
      <c r="U1002" s="242"/>
      <c r="V1002" s="242"/>
      <c r="W1002" s="242"/>
      <c r="X1002" s="242"/>
      <c r="Y1002" s="242"/>
      <c r="Z1002" s="242"/>
    </row>
    <row r="1003">
      <c r="A1003" s="242"/>
      <c r="B1003" s="443"/>
      <c r="C1003" s="443"/>
      <c r="D1003" s="443"/>
      <c r="E1003" s="443"/>
      <c r="F1003" s="443"/>
      <c r="G1003" s="242"/>
      <c r="H1003" s="242"/>
      <c r="I1003" s="242"/>
      <c r="J1003" s="242"/>
      <c r="K1003" s="13"/>
      <c r="L1003" s="242"/>
      <c r="M1003" s="242"/>
      <c r="N1003" s="13"/>
      <c r="O1003" s="242"/>
      <c r="P1003" s="242"/>
      <c r="Q1003" s="242"/>
      <c r="R1003" s="242"/>
      <c r="S1003" s="242"/>
      <c r="T1003" s="242"/>
      <c r="U1003" s="242"/>
      <c r="V1003" s="242"/>
      <c r="W1003" s="242"/>
      <c r="X1003" s="242"/>
      <c r="Y1003" s="242"/>
      <c r="Z1003" s="242"/>
    </row>
    <row r="1004">
      <c r="A1004" s="242"/>
      <c r="B1004" s="443"/>
      <c r="C1004" s="443"/>
      <c r="D1004" s="443"/>
      <c r="E1004" s="443"/>
      <c r="F1004" s="443"/>
      <c r="G1004" s="242"/>
      <c r="H1004" s="242"/>
      <c r="I1004" s="242"/>
      <c r="J1004" s="242"/>
      <c r="K1004" s="13"/>
      <c r="L1004" s="242"/>
      <c r="M1004" s="242"/>
      <c r="N1004" s="13"/>
      <c r="O1004" s="242"/>
      <c r="P1004" s="242"/>
      <c r="Q1004" s="242"/>
      <c r="R1004" s="242"/>
      <c r="S1004" s="242"/>
      <c r="T1004" s="242"/>
      <c r="U1004" s="242"/>
      <c r="V1004" s="242"/>
      <c r="W1004" s="242"/>
      <c r="X1004" s="242"/>
      <c r="Y1004" s="242"/>
      <c r="Z1004" s="242"/>
    </row>
    <row r="1005">
      <c r="A1005" s="242"/>
      <c r="B1005" s="443"/>
      <c r="C1005" s="443"/>
      <c r="D1005" s="443"/>
      <c r="E1005" s="443"/>
      <c r="F1005" s="443"/>
      <c r="G1005" s="242"/>
      <c r="H1005" s="242"/>
      <c r="I1005" s="242"/>
      <c r="J1005" s="242"/>
      <c r="K1005" s="13"/>
      <c r="L1005" s="242"/>
      <c r="M1005" s="242"/>
      <c r="N1005" s="13"/>
      <c r="O1005" s="242"/>
      <c r="P1005" s="242"/>
      <c r="Q1005" s="242"/>
      <c r="R1005" s="242"/>
      <c r="S1005" s="242"/>
      <c r="T1005" s="242"/>
      <c r="U1005" s="242"/>
      <c r="V1005" s="242"/>
      <c r="W1005" s="242"/>
      <c r="X1005" s="242"/>
      <c r="Y1005" s="242"/>
      <c r="Z1005" s="242"/>
    </row>
    <row r="1006">
      <c r="A1006" s="242"/>
      <c r="B1006" s="443"/>
      <c r="C1006" s="443"/>
      <c r="D1006" s="443"/>
      <c r="E1006" s="443"/>
      <c r="F1006" s="443"/>
      <c r="G1006" s="242"/>
      <c r="H1006" s="242"/>
      <c r="I1006" s="242"/>
      <c r="J1006" s="242"/>
      <c r="K1006" s="13"/>
      <c r="L1006" s="242"/>
      <c r="M1006" s="242"/>
      <c r="N1006" s="13"/>
      <c r="O1006" s="242"/>
      <c r="P1006" s="242"/>
      <c r="Q1006" s="242"/>
      <c r="R1006" s="242"/>
      <c r="S1006" s="242"/>
      <c r="T1006" s="242"/>
      <c r="U1006" s="242"/>
      <c r="V1006" s="242"/>
      <c r="W1006" s="242"/>
      <c r="X1006" s="242"/>
      <c r="Y1006" s="242"/>
      <c r="Z1006" s="242"/>
    </row>
    <row r="1007">
      <c r="A1007" s="242"/>
      <c r="B1007" s="443"/>
      <c r="C1007" s="443"/>
      <c r="D1007" s="443"/>
      <c r="E1007" s="443"/>
      <c r="F1007" s="443"/>
      <c r="G1007" s="242"/>
      <c r="H1007" s="242"/>
      <c r="I1007" s="242"/>
      <c r="J1007" s="242"/>
      <c r="K1007" s="13"/>
      <c r="L1007" s="242"/>
      <c r="M1007" s="242"/>
      <c r="N1007" s="13"/>
      <c r="O1007" s="242"/>
      <c r="P1007" s="242"/>
      <c r="Q1007" s="242"/>
      <c r="R1007" s="242"/>
      <c r="S1007" s="242"/>
      <c r="T1007" s="242"/>
      <c r="U1007" s="242"/>
      <c r="V1007" s="242"/>
      <c r="W1007" s="242"/>
      <c r="X1007" s="242"/>
      <c r="Y1007" s="242"/>
      <c r="Z1007" s="242"/>
    </row>
    <row r="1008">
      <c r="A1008" s="242"/>
      <c r="B1008" s="443"/>
      <c r="C1008" s="443"/>
      <c r="D1008" s="443"/>
      <c r="E1008" s="443"/>
      <c r="F1008" s="443"/>
      <c r="G1008" s="242"/>
      <c r="H1008" s="242"/>
      <c r="I1008" s="242"/>
      <c r="J1008" s="242"/>
      <c r="K1008" s="13"/>
      <c r="L1008" s="242"/>
      <c r="M1008" s="242"/>
      <c r="N1008" s="13"/>
      <c r="O1008" s="242"/>
      <c r="P1008" s="242"/>
      <c r="Q1008" s="242"/>
      <c r="R1008" s="242"/>
      <c r="S1008" s="242"/>
      <c r="T1008" s="242"/>
      <c r="U1008" s="242"/>
      <c r="V1008" s="242"/>
      <c r="W1008" s="242"/>
      <c r="X1008" s="242"/>
      <c r="Y1008" s="242"/>
      <c r="Z1008" s="242"/>
    </row>
    <row r="1009">
      <c r="A1009" s="242"/>
      <c r="B1009" s="443"/>
      <c r="C1009" s="443"/>
      <c r="D1009" s="443"/>
      <c r="E1009" s="443"/>
      <c r="F1009" s="443"/>
      <c r="G1009" s="242"/>
      <c r="H1009" s="242"/>
      <c r="I1009" s="242"/>
      <c r="J1009" s="242"/>
      <c r="K1009" s="13"/>
      <c r="L1009" s="242"/>
      <c r="M1009" s="242"/>
      <c r="N1009" s="13"/>
      <c r="O1009" s="242"/>
      <c r="P1009" s="242"/>
      <c r="Q1009" s="242"/>
      <c r="R1009" s="242"/>
      <c r="S1009" s="242"/>
      <c r="T1009" s="242"/>
      <c r="U1009" s="242"/>
      <c r="V1009" s="242"/>
      <c r="W1009" s="242"/>
      <c r="X1009" s="242"/>
      <c r="Y1009" s="242"/>
      <c r="Z1009" s="242"/>
    </row>
    <row r="1010">
      <c r="A1010" s="242"/>
      <c r="B1010" s="443"/>
      <c r="C1010" s="443"/>
      <c r="D1010" s="443"/>
      <c r="E1010" s="443"/>
      <c r="F1010" s="443"/>
      <c r="G1010" s="242"/>
      <c r="H1010" s="242"/>
      <c r="I1010" s="242"/>
      <c r="J1010" s="242"/>
      <c r="K1010" s="13"/>
      <c r="L1010" s="242"/>
      <c r="M1010" s="242"/>
      <c r="N1010" s="13"/>
      <c r="O1010" s="242"/>
      <c r="P1010" s="242"/>
      <c r="Q1010" s="242"/>
      <c r="R1010" s="242"/>
      <c r="S1010" s="242"/>
      <c r="T1010" s="242"/>
      <c r="U1010" s="242"/>
      <c r="V1010" s="242"/>
      <c r="W1010" s="242"/>
      <c r="X1010" s="242"/>
      <c r="Y1010" s="242"/>
      <c r="Z1010" s="242"/>
    </row>
    <row r="1011">
      <c r="A1011" s="242"/>
      <c r="B1011" s="443"/>
      <c r="C1011" s="443"/>
      <c r="D1011" s="443"/>
      <c r="E1011" s="443"/>
      <c r="F1011" s="443"/>
      <c r="G1011" s="242"/>
      <c r="H1011" s="242"/>
      <c r="I1011" s="242"/>
      <c r="J1011" s="242"/>
      <c r="K1011" s="13"/>
      <c r="L1011" s="242"/>
      <c r="M1011" s="242"/>
      <c r="N1011" s="13"/>
      <c r="O1011" s="242"/>
      <c r="P1011" s="242"/>
      <c r="Q1011" s="242"/>
      <c r="R1011" s="242"/>
      <c r="S1011" s="242"/>
      <c r="T1011" s="242"/>
      <c r="U1011" s="242"/>
      <c r="V1011" s="242"/>
      <c r="W1011" s="242"/>
      <c r="X1011" s="242"/>
      <c r="Y1011" s="242"/>
      <c r="Z1011" s="242"/>
    </row>
    <row r="1012">
      <c r="A1012" s="242"/>
      <c r="L1012" s="242"/>
      <c r="M1012" s="242"/>
      <c r="N1012" s="13"/>
      <c r="O1012" s="242"/>
      <c r="P1012" s="242"/>
      <c r="Q1012" s="242"/>
      <c r="R1012" s="242"/>
      <c r="S1012" s="242"/>
      <c r="T1012" s="242"/>
      <c r="U1012" s="242"/>
      <c r="V1012" s="242"/>
      <c r="W1012" s="242"/>
      <c r="X1012" s="242"/>
      <c r="Y1012" s="242"/>
      <c r="Z1012" s="242"/>
    </row>
    <row r="1013">
      <c r="A1013" s="242"/>
      <c r="L1013" s="242"/>
      <c r="M1013" s="242"/>
      <c r="N1013" s="13"/>
      <c r="O1013" s="242"/>
      <c r="P1013" s="242"/>
      <c r="Q1013" s="242"/>
      <c r="R1013" s="242"/>
      <c r="S1013" s="242"/>
      <c r="T1013" s="242"/>
      <c r="U1013" s="242"/>
      <c r="V1013" s="242"/>
      <c r="W1013" s="242"/>
      <c r="X1013" s="242"/>
      <c r="Y1013" s="242"/>
      <c r="Z1013" s="242"/>
    </row>
  </sheetData>
  <mergeCells count="3">
    <mergeCell ref="B2:K2"/>
    <mergeCell ref="M2:O2"/>
    <mergeCell ref="M3:O3"/>
  </mergeCells>
  <printOptions horizontalCentered="1"/>
  <pageMargins bottom="0.75" footer="0.0" header="0.0" left="0.25" right="0.25" top="0.75"/>
  <pageSetup fitToHeight="0"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5"/>
    <col customWidth="1" min="2" max="2" width="3.25"/>
    <col customWidth="1" min="3" max="3" width="11.0"/>
    <col customWidth="1" min="4" max="4" width="10.0"/>
    <col customWidth="1" min="5" max="6" width="8.88"/>
    <col customWidth="1" min="7" max="7" width="7.38"/>
    <col customWidth="1" min="8" max="8" width="9.63"/>
  </cols>
  <sheetData>
    <row r="1" ht="9.75" customHeight="1">
      <c r="A1" s="243"/>
      <c r="B1" s="243"/>
      <c r="C1" s="243"/>
      <c r="D1" s="15"/>
      <c r="E1" s="15"/>
      <c r="F1" s="15"/>
      <c r="G1" s="15"/>
      <c r="H1" s="15"/>
      <c r="I1" s="15"/>
      <c r="J1" s="15"/>
      <c r="K1" s="15"/>
      <c r="L1" s="15"/>
      <c r="M1" s="15"/>
      <c r="N1" s="15"/>
      <c r="O1" s="15"/>
    </row>
    <row r="2" ht="27.0" customHeight="1">
      <c r="A2" s="243"/>
      <c r="B2" s="35" t="s">
        <v>0</v>
      </c>
      <c r="C2" s="37" t="s">
        <v>24</v>
      </c>
      <c r="D2" s="381" t="s">
        <v>18</v>
      </c>
      <c r="E2" s="382" t="str">
        <f>' CPVC PIPE'!F2</f>
        <v>MRP as on 1st May, 2024</v>
      </c>
      <c r="F2" s="33" t="s">
        <v>6</v>
      </c>
      <c r="G2" s="33" t="s">
        <v>26</v>
      </c>
      <c r="H2" s="38" t="s">
        <v>8</v>
      </c>
      <c r="I2" s="304"/>
      <c r="J2" s="15"/>
      <c r="K2" s="15"/>
      <c r="L2" s="15"/>
      <c r="M2" s="15"/>
      <c r="N2" s="15"/>
      <c r="O2" s="15"/>
    </row>
    <row r="3" ht="33.0" customHeight="1">
      <c r="A3" s="243"/>
      <c r="B3" s="41"/>
      <c r="C3" s="41"/>
      <c r="D3" s="41"/>
      <c r="E3" s="41"/>
      <c r="F3" s="41"/>
      <c r="G3" s="41"/>
      <c r="H3" s="41"/>
      <c r="I3" s="15"/>
      <c r="J3" s="15"/>
      <c r="K3" s="15"/>
      <c r="L3" s="15"/>
      <c r="M3" s="15"/>
      <c r="N3" s="15"/>
      <c r="O3" s="15"/>
    </row>
    <row r="4" ht="22.5" customHeight="1">
      <c r="A4" s="243"/>
      <c r="B4" s="405" t="s">
        <v>2598</v>
      </c>
      <c r="C4" s="45"/>
      <c r="D4" s="45"/>
      <c r="E4" s="46"/>
      <c r="F4" s="15"/>
      <c r="G4" s="15"/>
      <c r="H4" s="15"/>
      <c r="I4" s="15"/>
      <c r="J4" s="15"/>
      <c r="K4" s="15"/>
      <c r="L4" s="15"/>
      <c r="M4" s="15"/>
      <c r="N4" s="15"/>
      <c r="O4" s="15"/>
    </row>
    <row r="5" ht="22.5" customHeight="1">
      <c r="A5" s="16"/>
      <c r="B5" s="62" t="s">
        <v>2061</v>
      </c>
      <c r="C5" s="45"/>
      <c r="D5" s="45"/>
      <c r="E5" s="46"/>
      <c r="F5" s="20"/>
      <c r="G5" s="20"/>
      <c r="H5" s="20"/>
      <c r="I5" s="15"/>
      <c r="J5" s="20"/>
      <c r="K5" s="20"/>
      <c r="L5" s="20"/>
      <c r="M5" s="20"/>
      <c r="N5" s="20"/>
      <c r="O5" s="20"/>
    </row>
    <row r="6" ht="15.75" customHeight="1">
      <c r="A6" s="26"/>
      <c r="B6" s="51">
        <v>1.0</v>
      </c>
      <c r="C6" s="416">
        <v>63.0</v>
      </c>
      <c r="D6" s="321" t="s">
        <v>2599</v>
      </c>
      <c r="E6" s="56">
        <v>38.4</v>
      </c>
      <c r="F6" s="75">
        <v>0.074</v>
      </c>
      <c r="G6" s="24">
        <f t="shared" ref="G6:G11" si="1">IFERROR(E6/F6,"")</f>
        <v>518.9189189</v>
      </c>
      <c r="H6" s="318">
        <v>38.4</v>
      </c>
      <c r="I6" s="15"/>
      <c r="J6" s="20"/>
      <c r="K6" s="20"/>
      <c r="L6" s="20"/>
      <c r="M6" s="20"/>
      <c r="N6" s="20"/>
      <c r="O6" s="20"/>
    </row>
    <row r="7" ht="15.75" customHeight="1">
      <c r="A7" s="26"/>
      <c r="B7" s="150">
        <v>2.0</v>
      </c>
      <c r="C7" s="417">
        <v>75.0</v>
      </c>
      <c r="D7" s="152" t="s">
        <v>2600</v>
      </c>
      <c r="E7" s="56">
        <v>55.4</v>
      </c>
      <c r="F7" s="75">
        <v>0.1065</v>
      </c>
      <c r="G7" s="24">
        <f t="shared" si="1"/>
        <v>520.1877934</v>
      </c>
      <c r="H7" s="318">
        <v>55.4</v>
      </c>
      <c r="I7" s="15"/>
      <c r="J7" s="20"/>
      <c r="K7" s="20"/>
      <c r="L7" s="20"/>
      <c r="M7" s="20"/>
      <c r="N7" s="20"/>
      <c r="O7" s="20"/>
    </row>
    <row r="8" ht="15.75" customHeight="1">
      <c r="A8" s="26"/>
      <c r="B8" s="150">
        <v>3.0</v>
      </c>
      <c r="C8" s="417">
        <v>90.0</v>
      </c>
      <c r="D8" s="152" t="s">
        <v>2601</v>
      </c>
      <c r="E8" s="56">
        <v>80.8</v>
      </c>
      <c r="F8" s="75">
        <v>0.155</v>
      </c>
      <c r="G8" s="24">
        <f t="shared" si="1"/>
        <v>521.2903226</v>
      </c>
      <c r="H8" s="318">
        <v>80.8</v>
      </c>
      <c r="I8" s="15"/>
      <c r="J8" s="20"/>
      <c r="K8" s="20"/>
      <c r="L8" s="20"/>
      <c r="M8" s="20"/>
      <c r="N8" s="20"/>
      <c r="O8" s="20"/>
    </row>
    <row r="9" ht="15.75" customHeight="1">
      <c r="A9" s="26"/>
      <c r="B9" s="150">
        <v>4.0</v>
      </c>
      <c r="C9" s="417">
        <v>110.0</v>
      </c>
      <c r="D9" s="152" t="s">
        <v>2602</v>
      </c>
      <c r="E9" s="56">
        <v>124.8</v>
      </c>
      <c r="F9" s="75">
        <v>0.242</v>
      </c>
      <c r="G9" s="24">
        <f t="shared" si="1"/>
        <v>515.7024793</v>
      </c>
      <c r="H9" s="318">
        <v>124.8</v>
      </c>
      <c r="I9" s="15"/>
      <c r="J9" s="20"/>
      <c r="K9" s="20"/>
      <c r="L9" s="20"/>
      <c r="M9" s="20"/>
      <c r="N9" s="20"/>
      <c r="O9" s="20"/>
    </row>
    <row r="10" ht="15.75" customHeight="1">
      <c r="A10" s="26"/>
      <c r="B10" s="150">
        <v>5.0</v>
      </c>
      <c r="C10" s="417">
        <v>160.0</v>
      </c>
      <c r="D10" s="152" t="s">
        <v>2603</v>
      </c>
      <c r="E10" s="56">
        <v>299.4</v>
      </c>
      <c r="F10" s="75">
        <v>0.583</v>
      </c>
      <c r="G10" s="24">
        <f t="shared" si="1"/>
        <v>513.5506003</v>
      </c>
      <c r="H10" s="318">
        <v>299.4</v>
      </c>
      <c r="I10" s="15"/>
      <c r="J10" s="20"/>
      <c r="K10" s="20"/>
      <c r="L10" s="20"/>
      <c r="M10" s="20"/>
      <c r="N10" s="20"/>
      <c r="O10" s="20"/>
    </row>
    <row r="11" ht="15.75" customHeight="1">
      <c r="A11" s="26"/>
      <c r="B11" s="150">
        <v>6.0</v>
      </c>
      <c r="C11" s="417">
        <v>200.0</v>
      </c>
      <c r="D11" s="152" t="s">
        <v>2604</v>
      </c>
      <c r="E11" s="56">
        <v>520.4</v>
      </c>
      <c r="F11" s="75">
        <v>1.025</v>
      </c>
      <c r="G11" s="24">
        <f t="shared" si="1"/>
        <v>507.7073171</v>
      </c>
      <c r="H11" s="318">
        <v>520.4</v>
      </c>
      <c r="I11" s="15"/>
      <c r="J11" s="20"/>
      <c r="K11" s="20"/>
      <c r="L11" s="20"/>
      <c r="M11" s="20"/>
      <c r="N11" s="20"/>
      <c r="O11" s="20"/>
    </row>
    <row r="12" ht="15.75" customHeight="1">
      <c r="A12" s="16"/>
      <c r="B12" s="237" t="s">
        <v>11</v>
      </c>
      <c r="C12" s="45"/>
      <c r="D12" s="45"/>
      <c r="E12" s="240">
        <f>SUM(E6:E11)</f>
        <v>1119.2</v>
      </c>
      <c r="F12" s="20"/>
      <c r="G12" s="24"/>
      <c r="H12" s="240">
        <f>SUM(H6:H11)</f>
        <v>1119.2</v>
      </c>
      <c r="I12" s="15"/>
      <c r="J12" s="20"/>
      <c r="K12" s="20"/>
      <c r="L12" s="20"/>
      <c r="M12" s="20"/>
      <c r="N12" s="20"/>
      <c r="O12" s="20"/>
    </row>
    <row r="13" ht="22.5" customHeight="1">
      <c r="A13" s="16"/>
      <c r="B13" s="62" t="s">
        <v>2083</v>
      </c>
      <c r="C13" s="45"/>
      <c r="D13" s="45"/>
      <c r="E13" s="46"/>
      <c r="F13" s="20"/>
      <c r="G13" s="24"/>
      <c r="H13" s="20"/>
      <c r="I13" s="15"/>
      <c r="J13" s="20"/>
      <c r="K13" s="20"/>
      <c r="L13" s="20"/>
      <c r="M13" s="20"/>
      <c r="N13" s="20"/>
      <c r="O13" s="20"/>
    </row>
    <row r="14" ht="15.75" customHeight="1">
      <c r="A14" s="26"/>
      <c r="B14" s="51">
        <v>1.0</v>
      </c>
      <c r="C14" s="417">
        <v>63.0</v>
      </c>
      <c r="D14" s="152" t="s">
        <v>2606</v>
      </c>
      <c r="E14" s="56">
        <v>93.4</v>
      </c>
      <c r="F14" s="75">
        <v>0.181</v>
      </c>
      <c r="G14" s="24">
        <f t="shared" ref="G14:G19" si="2">IFERROR(E14/F14,"")</f>
        <v>516.0220994</v>
      </c>
      <c r="H14" s="318">
        <v>93.4</v>
      </c>
      <c r="I14" s="15"/>
      <c r="J14" s="20"/>
      <c r="K14" s="20"/>
      <c r="L14" s="20"/>
      <c r="M14" s="20"/>
      <c r="N14" s="20"/>
      <c r="O14" s="20"/>
    </row>
    <row r="15" ht="15.75" customHeight="1">
      <c r="A15" s="26"/>
      <c r="B15" s="150">
        <v>2.0</v>
      </c>
      <c r="C15" s="417">
        <v>75.0</v>
      </c>
      <c r="D15" s="152" t="s">
        <v>2608</v>
      </c>
      <c r="E15" s="56">
        <v>138.4</v>
      </c>
      <c r="F15" s="75">
        <v>0.267</v>
      </c>
      <c r="G15" s="24">
        <f t="shared" si="2"/>
        <v>518.3520599</v>
      </c>
      <c r="H15" s="318">
        <v>138.4</v>
      </c>
      <c r="I15" s="15"/>
      <c r="J15" s="20"/>
      <c r="K15" s="20"/>
      <c r="L15" s="20"/>
      <c r="M15" s="20"/>
      <c r="N15" s="20"/>
      <c r="O15" s="20"/>
    </row>
    <row r="16" ht="15.75" customHeight="1">
      <c r="A16" s="26"/>
      <c r="B16" s="150">
        <v>3.0</v>
      </c>
      <c r="C16" s="417">
        <v>90.0</v>
      </c>
      <c r="D16" s="152" t="s">
        <v>2609</v>
      </c>
      <c r="E16" s="56">
        <v>204.4</v>
      </c>
      <c r="F16" s="75">
        <v>0.397</v>
      </c>
      <c r="G16" s="24">
        <f t="shared" si="2"/>
        <v>514.861461</v>
      </c>
      <c r="H16" s="318">
        <v>204.4</v>
      </c>
      <c r="I16" s="15"/>
      <c r="J16" s="20"/>
      <c r="K16" s="20"/>
      <c r="L16" s="20"/>
      <c r="M16" s="20"/>
      <c r="N16" s="20"/>
      <c r="O16" s="20"/>
    </row>
    <row r="17" ht="15.75" customHeight="1">
      <c r="A17" s="26"/>
      <c r="B17" s="150">
        <v>4.0</v>
      </c>
      <c r="C17" s="417">
        <v>110.0</v>
      </c>
      <c r="D17" s="152" t="s">
        <v>2610</v>
      </c>
      <c r="E17" s="56">
        <v>324.4</v>
      </c>
      <c r="F17" s="75">
        <v>0.6235</v>
      </c>
      <c r="G17" s="24">
        <f t="shared" si="2"/>
        <v>520.2886929</v>
      </c>
      <c r="H17" s="318">
        <v>324.4</v>
      </c>
      <c r="I17" s="15"/>
      <c r="J17" s="20"/>
      <c r="K17" s="20"/>
      <c r="L17" s="20"/>
      <c r="M17" s="20"/>
      <c r="N17" s="20"/>
      <c r="O17" s="20"/>
    </row>
    <row r="18" ht="15.75" customHeight="1">
      <c r="A18" s="26"/>
      <c r="B18" s="150">
        <v>5.0</v>
      </c>
      <c r="C18" s="417">
        <v>160.0</v>
      </c>
      <c r="D18" s="152" t="s">
        <v>2611</v>
      </c>
      <c r="E18" s="56">
        <v>812.8</v>
      </c>
      <c r="F18" s="75">
        <v>1.575</v>
      </c>
      <c r="G18" s="24">
        <f t="shared" si="2"/>
        <v>516.0634921</v>
      </c>
      <c r="H18" s="318">
        <v>812.8</v>
      </c>
      <c r="I18" s="15"/>
      <c r="J18" s="20"/>
      <c r="K18" s="20"/>
      <c r="L18" s="20"/>
      <c r="M18" s="20"/>
      <c r="N18" s="20"/>
      <c r="O18" s="20"/>
    </row>
    <row r="19" ht="15.75" customHeight="1">
      <c r="A19" s="26"/>
      <c r="B19" s="150">
        <v>6.0</v>
      </c>
      <c r="C19" s="417">
        <v>200.0</v>
      </c>
      <c r="D19" s="152" t="s">
        <v>2613</v>
      </c>
      <c r="E19" s="56">
        <v>1564.8</v>
      </c>
      <c r="F19" s="75">
        <v>2.64</v>
      </c>
      <c r="G19" s="24">
        <f t="shared" si="2"/>
        <v>592.7272727</v>
      </c>
      <c r="H19" s="318">
        <v>1564.8</v>
      </c>
      <c r="I19" s="15"/>
      <c r="J19" s="20"/>
      <c r="K19" s="20"/>
      <c r="L19" s="20"/>
      <c r="M19" s="20"/>
      <c r="N19" s="20"/>
      <c r="O19" s="20"/>
    </row>
    <row r="20">
      <c r="A20" s="16"/>
      <c r="B20" s="237" t="s">
        <v>11</v>
      </c>
      <c r="C20" s="45"/>
      <c r="D20" s="45"/>
      <c r="E20" s="441">
        <f>SUM(E14:E19)</f>
        <v>3138.2</v>
      </c>
      <c r="F20" s="20"/>
      <c r="G20" s="24"/>
      <c r="H20" s="240">
        <f>SUM(H14:H19)</f>
        <v>3138.2</v>
      </c>
      <c r="I20" s="15"/>
      <c r="J20" s="20"/>
      <c r="K20" s="20"/>
      <c r="L20" s="20"/>
      <c r="M20" s="20"/>
      <c r="N20" s="20"/>
      <c r="O20" s="20"/>
    </row>
    <row r="21" ht="22.5" customHeight="1">
      <c r="A21" s="16"/>
      <c r="B21" s="62" t="s">
        <v>2097</v>
      </c>
      <c r="C21" s="45"/>
      <c r="D21" s="45"/>
      <c r="E21" s="46"/>
      <c r="F21" s="20"/>
      <c r="G21" s="24"/>
      <c r="H21" s="20"/>
      <c r="I21" s="15"/>
      <c r="J21" s="20"/>
      <c r="K21" s="20"/>
      <c r="L21" s="20"/>
      <c r="M21" s="20"/>
      <c r="N21" s="20"/>
      <c r="O21" s="20"/>
    </row>
    <row r="22" ht="15.75" customHeight="1">
      <c r="A22" s="26"/>
      <c r="B22" s="51">
        <v>1.0</v>
      </c>
      <c r="C22" s="417">
        <v>63.0</v>
      </c>
      <c r="D22" s="152" t="s">
        <v>2616</v>
      </c>
      <c r="E22" s="56">
        <v>67.4</v>
      </c>
      <c r="F22" s="75">
        <v>0.1285</v>
      </c>
      <c r="G22" s="24">
        <f t="shared" ref="G22:G27" si="3">IFERROR(E22/F22,"")</f>
        <v>524.5136187</v>
      </c>
      <c r="H22" s="318">
        <v>67.4</v>
      </c>
      <c r="I22" s="15"/>
      <c r="J22" s="20"/>
      <c r="K22" s="20"/>
      <c r="L22" s="20"/>
      <c r="M22" s="20"/>
      <c r="N22" s="20"/>
      <c r="O22" s="20"/>
    </row>
    <row r="23" ht="15.75" customHeight="1">
      <c r="A23" s="26"/>
      <c r="B23" s="150">
        <v>2.0</v>
      </c>
      <c r="C23" s="417">
        <v>75.0</v>
      </c>
      <c r="D23" s="152" t="s">
        <v>2617</v>
      </c>
      <c r="E23" s="56">
        <v>99.8</v>
      </c>
      <c r="F23" s="75">
        <v>0.192</v>
      </c>
      <c r="G23" s="24">
        <f t="shared" si="3"/>
        <v>519.7916667</v>
      </c>
      <c r="H23" s="318">
        <v>99.8</v>
      </c>
      <c r="I23" s="15"/>
      <c r="J23" s="20"/>
      <c r="K23" s="20"/>
      <c r="L23" s="20"/>
      <c r="M23" s="20"/>
      <c r="N23" s="20"/>
      <c r="O23" s="20"/>
    </row>
    <row r="24" ht="15.75" customHeight="1">
      <c r="A24" s="26"/>
      <c r="B24" s="150">
        <v>3.0</v>
      </c>
      <c r="C24" s="417">
        <v>90.0</v>
      </c>
      <c r="D24" s="152" t="s">
        <v>2618</v>
      </c>
      <c r="E24" s="56">
        <v>148.8</v>
      </c>
      <c r="F24" s="75">
        <v>0.286</v>
      </c>
      <c r="G24" s="24">
        <f t="shared" si="3"/>
        <v>520.2797203</v>
      </c>
      <c r="H24" s="318">
        <v>148.8</v>
      </c>
      <c r="I24" s="15"/>
      <c r="J24" s="20"/>
      <c r="K24" s="20"/>
      <c r="L24" s="20"/>
      <c r="M24" s="20"/>
      <c r="N24" s="20"/>
      <c r="O24" s="20"/>
    </row>
    <row r="25" ht="15.75" customHeight="1">
      <c r="A25" s="26"/>
      <c r="B25" s="150">
        <v>4.0</v>
      </c>
      <c r="C25" s="417">
        <v>110.0</v>
      </c>
      <c r="D25" s="152" t="s">
        <v>2620</v>
      </c>
      <c r="E25" s="56">
        <v>242.8</v>
      </c>
      <c r="F25" s="75">
        <v>0.463</v>
      </c>
      <c r="G25" s="24">
        <f t="shared" si="3"/>
        <v>524.4060475</v>
      </c>
      <c r="H25" s="318">
        <v>242.8</v>
      </c>
      <c r="I25" s="15"/>
      <c r="J25" s="20"/>
      <c r="K25" s="20"/>
      <c r="L25" s="20"/>
      <c r="M25" s="20"/>
      <c r="N25" s="20"/>
      <c r="O25" s="20"/>
    </row>
    <row r="26" ht="15.75" customHeight="1">
      <c r="A26" s="26"/>
      <c r="B26" s="150">
        <v>5.0</v>
      </c>
      <c r="C26" s="417">
        <v>160.0</v>
      </c>
      <c r="D26" s="152" t="s">
        <v>2621</v>
      </c>
      <c r="E26" s="56">
        <v>672.2</v>
      </c>
      <c r="F26" s="75">
        <v>1.275</v>
      </c>
      <c r="G26" s="24">
        <f t="shared" si="3"/>
        <v>527.2156863</v>
      </c>
      <c r="H26" s="318">
        <v>672.2</v>
      </c>
      <c r="I26" s="15"/>
      <c r="J26" s="20"/>
      <c r="K26" s="20"/>
      <c r="L26" s="20"/>
      <c r="M26" s="20"/>
      <c r="N26" s="20"/>
      <c r="O26" s="20"/>
    </row>
    <row r="27" ht="15.75" customHeight="1">
      <c r="A27" s="26"/>
      <c r="B27" s="150">
        <v>6.0</v>
      </c>
      <c r="C27" s="417">
        <v>200.0</v>
      </c>
      <c r="D27" s="152" t="s">
        <v>2622</v>
      </c>
      <c r="E27" s="56">
        <v>1053.4</v>
      </c>
      <c r="F27" s="75">
        <v>1.831</v>
      </c>
      <c r="G27" s="24">
        <f t="shared" si="3"/>
        <v>575.314036</v>
      </c>
      <c r="H27" s="318">
        <v>1053.4</v>
      </c>
      <c r="I27" s="15"/>
      <c r="J27" s="20"/>
      <c r="K27" s="20"/>
      <c r="L27" s="20"/>
      <c r="M27" s="20"/>
      <c r="N27" s="20"/>
      <c r="O27" s="20"/>
    </row>
    <row r="28">
      <c r="A28" s="16"/>
      <c r="B28" s="237" t="s">
        <v>11</v>
      </c>
      <c r="C28" s="45"/>
      <c r="D28" s="45"/>
      <c r="E28" s="377">
        <f>SUM(E22:E27)</f>
        <v>2284.4</v>
      </c>
      <c r="F28" s="20"/>
      <c r="G28" s="24"/>
      <c r="H28" s="240">
        <f>SUM(H22:H27)</f>
        <v>2284.4</v>
      </c>
      <c r="I28" s="15"/>
      <c r="J28" s="20"/>
      <c r="K28" s="20"/>
      <c r="L28" s="20"/>
      <c r="M28" s="20"/>
      <c r="N28" s="20"/>
      <c r="O28" s="20"/>
    </row>
    <row r="29" ht="22.5" customHeight="1">
      <c r="A29" s="16"/>
      <c r="B29" s="62" t="s">
        <v>2118</v>
      </c>
      <c r="C29" s="45"/>
      <c r="D29" s="45"/>
      <c r="E29" s="46"/>
      <c r="F29" s="20"/>
      <c r="G29" s="24"/>
      <c r="H29" s="20"/>
      <c r="I29" s="15"/>
      <c r="J29" s="20"/>
      <c r="K29" s="20"/>
      <c r="L29" s="20"/>
      <c r="M29" s="20"/>
      <c r="N29" s="20"/>
      <c r="O29" s="20"/>
    </row>
    <row r="30" ht="15.75" customHeight="1">
      <c r="A30" s="26"/>
      <c r="B30" s="51">
        <v>1.0</v>
      </c>
      <c r="C30" s="417">
        <v>63.0</v>
      </c>
      <c r="D30" s="152" t="s">
        <v>2624</v>
      </c>
      <c r="E30" s="56">
        <v>28.8</v>
      </c>
      <c r="F30" s="75">
        <v>0.054</v>
      </c>
      <c r="G30" s="24">
        <f t="shared" ref="G30:G35" si="4">IFERROR(E30/F30,"")</f>
        <v>533.3333333</v>
      </c>
      <c r="H30" s="318">
        <v>28.8</v>
      </c>
      <c r="I30" s="15"/>
      <c r="J30" s="20"/>
      <c r="K30" s="20"/>
      <c r="L30" s="20"/>
      <c r="M30" s="20"/>
      <c r="N30" s="20"/>
      <c r="O30" s="20"/>
    </row>
    <row r="31" ht="15.75" customHeight="1">
      <c r="A31" s="26"/>
      <c r="B31" s="150">
        <v>2.0</v>
      </c>
      <c r="C31" s="417">
        <v>75.0</v>
      </c>
      <c r="D31" s="152" t="s">
        <v>2626</v>
      </c>
      <c r="E31" s="56">
        <v>40.2</v>
      </c>
      <c r="F31" s="75">
        <v>0.078</v>
      </c>
      <c r="G31" s="24">
        <f t="shared" si="4"/>
        <v>515.3846154</v>
      </c>
      <c r="H31" s="318">
        <v>40.2</v>
      </c>
      <c r="I31" s="15"/>
      <c r="J31" s="20"/>
      <c r="K31" s="20"/>
      <c r="L31" s="20"/>
      <c r="M31" s="20"/>
      <c r="N31" s="20"/>
      <c r="O31" s="20"/>
    </row>
    <row r="32" ht="15.75" customHeight="1">
      <c r="A32" s="26"/>
      <c r="B32" s="150">
        <v>3.0</v>
      </c>
      <c r="C32" s="417">
        <v>90.0</v>
      </c>
      <c r="D32" s="152" t="s">
        <v>2627</v>
      </c>
      <c r="E32" s="56">
        <v>58.2</v>
      </c>
      <c r="F32" s="75">
        <v>0.1125</v>
      </c>
      <c r="G32" s="24">
        <f t="shared" si="4"/>
        <v>517.3333333</v>
      </c>
      <c r="H32" s="318">
        <v>58.2</v>
      </c>
      <c r="I32" s="15"/>
      <c r="J32" s="20"/>
      <c r="K32" s="20"/>
      <c r="L32" s="20"/>
      <c r="M32" s="20"/>
      <c r="N32" s="20"/>
      <c r="O32" s="20"/>
    </row>
    <row r="33" ht="15.75" customHeight="1">
      <c r="A33" s="26"/>
      <c r="B33" s="150">
        <v>4.0</v>
      </c>
      <c r="C33" s="417">
        <v>110.0</v>
      </c>
      <c r="D33" s="152" t="s">
        <v>2628</v>
      </c>
      <c r="E33" s="56">
        <v>90.2</v>
      </c>
      <c r="F33" s="75">
        <v>0.174</v>
      </c>
      <c r="G33" s="24">
        <f t="shared" si="4"/>
        <v>518.3908046</v>
      </c>
      <c r="H33" s="318">
        <v>90.2</v>
      </c>
      <c r="I33" s="15"/>
      <c r="J33" s="20"/>
      <c r="K33" s="20"/>
      <c r="L33" s="20"/>
      <c r="M33" s="20"/>
      <c r="N33" s="20"/>
      <c r="O33" s="20"/>
    </row>
    <row r="34" ht="15.75" customHeight="1">
      <c r="A34" s="26"/>
      <c r="B34" s="150">
        <v>5.0</v>
      </c>
      <c r="C34" s="417">
        <v>160.0</v>
      </c>
      <c r="D34" s="152" t="s">
        <v>2629</v>
      </c>
      <c r="E34" s="56">
        <v>222.4</v>
      </c>
      <c r="F34" s="75">
        <v>0.422</v>
      </c>
      <c r="G34" s="24">
        <f t="shared" si="4"/>
        <v>527.014218</v>
      </c>
      <c r="H34" s="318">
        <v>222.4</v>
      </c>
      <c r="I34" s="15"/>
      <c r="J34" s="20"/>
      <c r="K34" s="20"/>
      <c r="L34" s="20"/>
      <c r="M34" s="20"/>
      <c r="N34" s="20"/>
      <c r="O34" s="20"/>
    </row>
    <row r="35" ht="15.75" customHeight="1">
      <c r="A35" s="26"/>
      <c r="B35" s="150">
        <v>6.0</v>
      </c>
      <c r="C35" s="417">
        <v>200.0</v>
      </c>
      <c r="D35" s="152" t="s">
        <v>2630</v>
      </c>
      <c r="E35" s="56">
        <v>464.4</v>
      </c>
      <c r="F35" s="75">
        <v>0.843</v>
      </c>
      <c r="G35" s="24">
        <f t="shared" si="4"/>
        <v>550.8896797</v>
      </c>
      <c r="H35" s="318">
        <v>464.4</v>
      </c>
      <c r="I35" s="15"/>
      <c r="J35" s="20"/>
      <c r="K35" s="20"/>
      <c r="L35" s="20"/>
      <c r="M35" s="20"/>
      <c r="N35" s="20"/>
      <c r="O35" s="20"/>
    </row>
    <row r="36">
      <c r="A36" s="243"/>
      <c r="B36" s="237" t="s">
        <v>11</v>
      </c>
      <c r="C36" s="45"/>
      <c r="D36" s="45"/>
      <c r="E36" s="103">
        <f>SUM(E30:E35)</f>
        <v>904.2</v>
      </c>
      <c r="F36" s="15"/>
      <c r="G36" s="360"/>
      <c r="H36" s="240">
        <f>SUM(H30:H35)</f>
        <v>904.2</v>
      </c>
      <c r="I36" s="15"/>
      <c r="J36" s="15"/>
      <c r="K36" s="15"/>
      <c r="L36" s="15"/>
      <c r="M36" s="15"/>
      <c r="N36" s="15"/>
      <c r="O36" s="15"/>
    </row>
    <row r="37">
      <c r="A37" s="243"/>
      <c r="B37" s="405" t="s">
        <v>2631</v>
      </c>
      <c r="C37" s="45"/>
      <c r="D37" s="45"/>
      <c r="E37" s="46"/>
      <c r="F37" s="15"/>
      <c r="G37" s="360"/>
      <c r="H37" s="15"/>
      <c r="I37" s="15"/>
      <c r="J37" s="15"/>
      <c r="K37" s="15"/>
      <c r="L37" s="15"/>
      <c r="M37" s="15"/>
      <c r="N37" s="15"/>
      <c r="O37" s="15"/>
    </row>
    <row r="38">
      <c r="A38" s="243"/>
      <c r="B38" s="62" t="s">
        <v>2061</v>
      </c>
      <c r="C38" s="45"/>
      <c r="D38" s="45"/>
      <c r="E38" s="46"/>
      <c r="F38" s="15"/>
      <c r="G38" s="360"/>
      <c r="H38" s="15"/>
      <c r="I38" s="15"/>
      <c r="J38" s="15"/>
      <c r="K38" s="15"/>
      <c r="L38" s="15"/>
      <c r="M38" s="15"/>
      <c r="N38" s="15"/>
      <c r="O38" s="15"/>
    </row>
    <row r="39">
      <c r="A39" s="26"/>
      <c r="B39" s="51">
        <v>1.0</v>
      </c>
      <c r="C39" s="417">
        <v>75.0</v>
      </c>
      <c r="D39" s="152" t="s">
        <v>2632</v>
      </c>
      <c r="E39" s="56">
        <v>28.8</v>
      </c>
      <c r="F39" s="75">
        <v>0.047</v>
      </c>
      <c r="G39" s="24">
        <f t="shared" ref="G39:G41" si="5">IFERROR(E39/F39,"")</f>
        <v>612.7659574</v>
      </c>
      <c r="H39" s="318">
        <v>28.8</v>
      </c>
      <c r="I39" s="15"/>
      <c r="J39" s="15"/>
      <c r="K39" s="15"/>
      <c r="L39" s="15"/>
      <c r="M39" s="15"/>
      <c r="N39" s="15"/>
      <c r="O39" s="15"/>
    </row>
    <row r="40">
      <c r="A40" s="26"/>
      <c r="B40" s="150">
        <v>2.0</v>
      </c>
      <c r="C40" s="417">
        <v>90.0</v>
      </c>
      <c r="D40" s="152" t="s">
        <v>2633</v>
      </c>
      <c r="E40" s="56">
        <v>40.2</v>
      </c>
      <c r="F40" s="75">
        <v>0.067</v>
      </c>
      <c r="G40" s="24">
        <f t="shared" si="5"/>
        <v>600</v>
      </c>
      <c r="H40" s="318">
        <v>40.2</v>
      </c>
      <c r="I40" s="15"/>
      <c r="J40" s="15"/>
      <c r="K40" s="15"/>
      <c r="L40" s="15"/>
      <c r="M40" s="15"/>
      <c r="N40" s="15"/>
      <c r="O40" s="15"/>
    </row>
    <row r="41">
      <c r="A41" s="26"/>
      <c r="B41" s="150">
        <v>3.0</v>
      </c>
      <c r="C41" s="417">
        <v>110.0</v>
      </c>
      <c r="D41" s="152" t="s">
        <v>2634</v>
      </c>
      <c r="E41" s="56">
        <v>68.0</v>
      </c>
      <c r="F41" s="75">
        <v>0.114</v>
      </c>
      <c r="G41" s="24">
        <f t="shared" si="5"/>
        <v>596.4912281</v>
      </c>
      <c r="H41" s="318">
        <v>68.0</v>
      </c>
      <c r="I41" s="15"/>
      <c r="J41" s="15"/>
      <c r="K41" s="15"/>
      <c r="L41" s="15"/>
      <c r="M41" s="15"/>
      <c r="N41" s="15"/>
      <c r="O41" s="15"/>
    </row>
    <row r="42">
      <c r="A42" s="243"/>
      <c r="B42" s="237" t="s">
        <v>11</v>
      </c>
      <c r="C42" s="45"/>
      <c r="D42" s="45"/>
      <c r="E42" s="240">
        <f>SUM(E39:E41)</f>
        <v>137</v>
      </c>
      <c r="F42" s="15"/>
      <c r="G42" s="360"/>
      <c r="H42" s="240">
        <f>SUM(H39:H41)</f>
        <v>137</v>
      </c>
      <c r="I42" s="15"/>
      <c r="J42" s="15"/>
      <c r="K42" s="15"/>
      <c r="L42" s="15"/>
      <c r="M42" s="15"/>
      <c r="N42" s="15"/>
      <c r="O42" s="15"/>
    </row>
    <row r="43">
      <c r="A43" s="243"/>
      <c r="B43" s="62" t="s">
        <v>2083</v>
      </c>
      <c r="C43" s="45"/>
      <c r="D43" s="45"/>
      <c r="E43" s="46"/>
      <c r="F43" s="15"/>
      <c r="G43" s="360"/>
      <c r="H43" s="15"/>
      <c r="I43" s="15"/>
      <c r="J43" s="15"/>
      <c r="K43" s="15"/>
      <c r="L43" s="15"/>
      <c r="M43" s="15"/>
      <c r="N43" s="15"/>
      <c r="O43" s="15"/>
    </row>
    <row r="44">
      <c r="A44" s="26"/>
      <c r="B44" s="51">
        <v>1.0</v>
      </c>
      <c r="C44" s="417">
        <v>75.0</v>
      </c>
      <c r="D44" s="152" t="s">
        <v>2635</v>
      </c>
      <c r="E44" s="56">
        <v>64.4</v>
      </c>
      <c r="F44" s="75">
        <v>0.11</v>
      </c>
      <c r="G44" s="24">
        <f t="shared" ref="G44:G46" si="6">IFERROR(E44/F44,"")</f>
        <v>585.4545455</v>
      </c>
      <c r="H44" s="318">
        <v>64.4</v>
      </c>
      <c r="I44" s="15"/>
      <c r="J44" s="15"/>
      <c r="K44" s="15"/>
      <c r="L44" s="15"/>
      <c r="M44" s="15"/>
      <c r="N44" s="15"/>
      <c r="O44" s="15"/>
    </row>
    <row r="45">
      <c r="A45" s="26"/>
      <c r="B45" s="150">
        <v>2.0</v>
      </c>
      <c r="C45" s="417">
        <v>90.0</v>
      </c>
      <c r="D45" s="152" t="s">
        <v>2636</v>
      </c>
      <c r="E45" s="56">
        <v>98.2</v>
      </c>
      <c r="F45" s="75">
        <v>0.167</v>
      </c>
      <c r="G45" s="24">
        <f t="shared" si="6"/>
        <v>588.0239521</v>
      </c>
      <c r="H45" s="318">
        <v>98.2</v>
      </c>
      <c r="I45" s="15"/>
      <c r="J45" s="15"/>
      <c r="K45" s="15"/>
      <c r="L45" s="15"/>
      <c r="M45" s="15"/>
      <c r="N45" s="15"/>
      <c r="O45" s="15"/>
    </row>
    <row r="46">
      <c r="A46" s="26"/>
      <c r="B46" s="150">
        <v>3.0</v>
      </c>
      <c r="C46" s="417">
        <v>110.0</v>
      </c>
      <c r="D46" s="152" t="s">
        <v>2637</v>
      </c>
      <c r="E46" s="56">
        <v>168.4</v>
      </c>
      <c r="F46" s="75">
        <v>0.291</v>
      </c>
      <c r="G46" s="24">
        <f t="shared" si="6"/>
        <v>578.6941581</v>
      </c>
      <c r="H46" s="318">
        <v>168.4</v>
      </c>
      <c r="I46" s="15"/>
      <c r="J46" s="15"/>
      <c r="K46" s="15"/>
      <c r="L46" s="15"/>
      <c r="M46" s="15"/>
      <c r="N46" s="15"/>
      <c r="O46" s="15"/>
    </row>
    <row r="47">
      <c r="A47" s="243"/>
      <c r="B47" s="237" t="s">
        <v>11</v>
      </c>
      <c r="C47" s="45"/>
      <c r="D47" s="45"/>
      <c r="E47" s="441">
        <f>SUM(E44:E46)</f>
        <v>331</v>
      </c>
      <c r="F47" s="15"/>
      <c r="G47" s="360"/>
      <c r="H47" s="240">
        <f>SUM(H44:H46)</f>
        <v>331</v>
      </c>
      <c r="I47" s="15"/>
      <c r="J47" s="15"/>
      <c r="K47" s="15"/>
      <c r="L47" s="15"/>
      <c r="M47" s="15"/>
      <c r="N47" s="15"/>
      <c r="O47" s="15"/>
    </row>
    <row r="48">
      <c r="A48" s="243"/>
      <c r="B48" s="62" t="s">
        <v>2097</v>
      </c>
      <c r="C48" s="45"/>
      <c r="D48" s="45"/>
      <c r="E48" s="46"/>
      <c r="F48" s="15"/>
      <c r="G48" s="360"/>
      <c r="H48" s="15"/>
      <c r="I48" s="15"/>
      <c r="J48" s="15"/>
      <c r="K48" s="15"/>
      <c r="L48" s="15"/>
      <c r="M48" s="15"/>
      <c r="N48" s="15"/>
      <c r="O48" s="15"/>
    </row>
    <row r="49">
      <c r="A49" s="26"/>
      <c r="B49" s="51">
        <v>1.0</v>
      </c>
      <c r="C49" s="417">
        <v>75.0</v>
      </c>
      <c r="D49" s="152" t="s">
        <v>2638</v>
      </c>
      <c r="E49" s="56">
        <v>48.2</v>
      </c>
      <c r="F49" s="75">
        <v>0.081</v>
      </c>
      <c r="G49" s="24">
        <f t="shared" ref="G49:G51" si="7">IFERROR(E49/F49,"")</f>
        <v>595.0617284</v>
      </c>
      <c r="H49" s="318">
        <v>48.2</v>
      </c>
      <c r="I49" s="15"/>
      <c r="J49" s="15"/>
      <c r="K49" s="15"/>
      <c r="L49" s="15"/>
      <c r="M49" s="15"/>
      <c r="N49" s="15"/>
      <c r="O49" s="15"/>
    </row>
    <row r="50">
      <c r="A50" s="26"/>
      <c r="B50" s="150">
        <v>2.0</v>
      </c>
      <c r="C50" s="417">
        <v>90.0</v>
      </c>
      <c r="D50" s="152" t="s">
        <v>2639</v>
      </c>
      <c r="E50" s="56">
        <v>72.8</v>
      </c>
      <c r="F50" s="75">
        <v>0.125</v>
      </c>
      <c r="G50" s="24">
        <f t="shared" si="7"/>
        <v>582.4</v>
      </c>
      <c r="H50" s="318">
        <v>72.8</v>
      </c>
      <c r="I50" s="15"/>
      <c r="J50" s="15"/>
      <c r="K50" s="15"/>
      <c r="L50" s="15"/>
      <c r="M50" s="15"/>
      <c r="N50" s="15"/>
      <c r="O50" s="15"/>
    </row>
    <row r="51">
      <c r="A51" s="26"/>
      <c r="B51" s="150">
        <v>3.0</v>
      </c>
      <c r="C51" s="417">
        <v>110.0</v>
      </c>
      <c r="D51" s="152" t="s">
        <v>2640</v>
      </c>
      <c r="E51" s="56">
        <v>117.4</v>
      </c>
      <c r="F51" s="75">
        <v>0.201</v>
      </c>
      <c r="G51" s="24">
        <f t="shared" si="7"/>
        <v>584.079602</v>
      </c>
      <c r="H51" s="318">
        <v>117.4</v>
      </c>
      <c r="I51" s="15"/>
      <c r="J51" s="15"/>
      <c r="K51" s="15"/>
      <c r="L51" s="15"/>
      <c r="M51" s="15"/>
      <c r="N51" s="15"/>
      <c r="O51" s="15"/>
    </row>
    <row r="52">
      <c r="A52" s="243"/>
      <c r="B52" s="237" t="s">
        <v>11</v>
      </c>
      <c r="C52" s="45"/>
      <c r="D52" s="45"/>
      <c r="E52" s="377">
        <f>SUM(E49:E51)</f>
        <v>238.4</v>
      </c>
      <c r="F52" s="75"/>
      <c r="G52" s="360"/>
      <c r="H52" s="240">
        <f>SUM(H49:H51)</f>
        <v>238.4</v>
      </c>
      <c r="I52" s="15"/>
      <c r="J52" s="15"/>
      <c r="K52" s="15"/>
      <c r="L52" s="15"/>
      <c r="M52" s="15"/>
      <c r="N52" s="15"/>
      <c r="O52" s="15"/>
    </row>
    <row r="53">
      <c r="A53" s="243"/>
      <c r="B53" s="243"/>
      <c r="C53" s="243"/>
      <c r="D53" s="243"/>
      <c r="E53" s="243"/>
      <c r="F53" s="15"/>
      <c r="G53" s="360"/>
      <c r="H53" s="15"/>
      <c r="I53" s="15"/>
      <c r="J53" s="15"/>
      <c r="K53" s="15"/>
      <c r="L53" s="15"/>
      <c r="M53" s="15"/>
      <c r="N53" s="15"/>
      <c r="O53" s="15"/>
    </row>
    <row r="54">
      <c r="A54" s="243"/>
      <c r="B54" s="243"/>
      <c r="C54" s="243"/>
      <c r="D54" s="243"/>
      <c r="E54" s="243"/>
      <c r="F54" s="15"/>
      <c r="G54" s="360"/>
      <c r="H54" s="15"/>
      <c r="I54" s="15"/>
      <c r="J54" s="15"/>
      <c r="K54" s="15"/>
      <c r="L54" s="15"/>
      <c r="M54" s="15"/>
      <c r="N54" s="15"/>
      <c r="O54" s="15"/>
    </row>
    <row r="55">
      <c r="A55" s="243"/>
      <c r="B55" s="243"/>
      <c r="C55" s="243"/>
      <c r="D55" s="243"/>
      <c r="E55" s="243"/>
      <c r="F55" s="15"/>
      <c r="G55" s="360"/>
      <c r="H55" s="15"/>
      <c r="I55" s="15"/>
      <c r="J55" s="15"/>
      <c r="K55" s="15"/>
      <c r="L55" s="15"/>
      <c r="M55" s="15"/>
      <c r="N55" s="15"/>
      <c r="O55" s="15"/>
    </row>
  </sheetData>
  <mergeCells count="23">
    <mergeCell ref="B2:B3"/>
    <mergeCell ref="C2:C3"/>
    <mergeCell ref="D2:D3"/>
    <mergeCell ref="E2:E3"/>
    <mergeCell ref="F2:F3"/>
    <mergeCell ref="G2:G3"/>
    <mergeCell ref="H2:H3"/>
    <mergeCell ref="B4:E4"/>
    <mergeCell ref="B5:E5"/>
    <mergeCell ref="B12:D12"/>
    <mergeCell ref="B13:E13"/>
    <mergeCell ref="B20:D20"/>
    <mergeCell ref="B21:E21"/>
    <mergeCell ref="B29:E29"/>
    <mergeCell ref="B47:D47"/>
    <mergeCell ref="B52:D52"/>
    <mergeCell ref="B28:D28"/>
    <mergeCell ref="B36:D36"/>
    <mergeCell ref="B37:E37"/>
    <mergeCell ref="B38:E38"/>
    <mergeCell ref="B42:D42"/>
    <mergeCell ref="B43:E43"/>
    <mergeCell ref="B48:E48"/>
  </mergeCells>
  <printOptions gridLines="1" horizontalCentered="1"/>
  <pageMargins bottom="0.75" footer="0.0" header="0.0" left="0.25" right="0.25" top="0.75"/>
  <pageSetup fitToHeight="0" paperSize="9"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3"/>
    <col customWidth="1" min="2" max="2" width="9.13"/>
    <col customWidth="1" min="3" max="3" width="10.5"/>
    <col customWidth="1" min="4" max="4" width="7.75"/>
    <col customWidth="1" min="5" max="5" width="10.25"/>
    <col customWidth="1" min="6" max="6" width="9.88"/>
    <col customWidth="1" hidden="1" min="7" max="7" width="14.75"/>
    <col customWidth="1" hidden="1" min="8" max="8" width="13.75"/>
    <col customWidth="1" hidden="1" min="9" max="9" width="13.88"/>
    <col customWidth="1" hidden="1" min="10" max="10" width="11.63"/>
    <col customWidth="1" hidden="1" min="11" max="11" width="8.13"/>
    <col customWidth="1" hidden="1" min="12" max="12" width="9.88"/>
    <col customWidth="1" hidden="1" min="13" max="13" width="8.5"/>
    <col customWidth="1" hidden="1" min="14" max="14" width="5.25"/>
    <col customWidth="1" min="15" max="15" width="10.63"/>
    <col customWidth="1" hidden="1" min="16" max="16" width="10.0"/>
    <col customWidth="1" min="17" max="17" width="9.25"/>
  </cols>
  <sheetData>
    <row r="1" ht="13.5" customHeight="1">
      <c r="A1" s="242"/>
      <c r="B1" s="242"/>
      <c r="C1" s="242"/>
      <c r="D1" s="242"/>
      <c r="E1" s="242"/>
      <c r="F1" s="242"/>
      <c r="G1" s="242"/>
      <c r="H1" s="242"/>
      <c r="I1" s="242"/>
      <c r="J1" s="242"/>
      <c r="K1" s="242"/>
      <c r="L1" s="242"/>
      <c r="M1" s="13"/>
      <c r="N1" s="13"/>
      <c r="O1" s="13"/>
      <c r="P1" s="341"/>
      <c r="Q1" s="13"/>
      <c r="R1" s="242"/>
      <c r="S1" s="242"/>
      <c r="T1" s="242"/>
      <c r="U1" s="242"/>
      <c r="V1" s="242"/>
      <c r="W1" s="242"/>
      <c r="X1" s="242"/>
    </row>
    <row r="2" ht="59.25" customHeight="1">
      <c r="A2" s="242"/>
      <c r="B2" s="466" t="s">
        <v>2645</v>
      </c>
      <c r="C2" s="466" t="s">
        <v>2646</v>
      </c>
      <c r="D2" s="466" t="s">
        <v>2647</v>
      </c>
      <c r="E2" s="466" t="s">
        <v>2514</v>
      </c>
      <c r="F2" s="449" t="s">
        <v>2648</v>
      </c>
      <c r="G2" s="466" t="s">
        <v>2649</v>
      </c>
      <c r="H2" s="449" t="s">
        <v>2650</v>
      </c>
      <c r="I2" s="449" t="s">
        <v>2651</v>
      </c>
      <c r="J2" s="449" t="s">
        <v>2652</v>
      </c>
      <c r="K2" s="449" t="s">
        <v>2653</v>
      </c>
      <c r="L2" s="449" t="s">
        <v>2654</v>
      </c>
      <c r="M2" s="449" t="s">
        <v>2655</v>
      </c>
      <c r="N2" s="467" t="s">
        <v>2656</v>
      </c>
      <c r="O2" s="468" t="s">
        <v>8</v>
      </c>
      <c r="P2" s="469" t="s">
        <v>26</v>
      </c>
      <c r="Q2" s="13"/>
      <c r="R2" s="242"/>
      <c r="S2" s="242"/>
      <c r="T2" s="242"/>
      <c r="U2" s="242"/>
      <c r="V2" s="242"/>
      <c r="W2" s="242"/>
      <c r="X2" s="242"/>
    </row>
    <row r="3">
      <c r="A3" s="242"/>
      <c r="B3" s="444" t="s">
        <v>2658</v>
      </c>
      <c r="C3" s="45"/>
      <c r="D3" s="45"/>
      <c r="E3" s="45"/>
      <c r="F3" s="45"/>
      <c r="G3" s="45"/>
      <c r="H3" s="45"/>
      <c r="I3" s="45"/>
      <c r="J3" s="45"/>
      <c r="K3" s="45"/>
      <c r="L3" s="45"/>
      <c r="M3" s="45"/>
      <c r="N3" s="45"/>
      <c r="O3" s="45"/>
      <c r="P3" s="46"/>
      <c r="Q3" s="13"/>
      <c r="R3" s="242"/>
      <c r="S3" s="242"/>
      <c r="T3" s="242"/>
      <c r="U3" s="242"/>
      <c r="V3" s="242"/>
      <c r="W3" s="242"/>
      <c r="X3" s="242"/>
    </row>
    <row r="4">
      <c r="A4" s="242"/>
      <c r="B4" s="466">
        <v>25.0</v>
      </c>
      <c r="C4" s="466" t="s">
        <v>2659</v>
      </c>
      <c r="D4" s="466" t="s">
        <v>2660</v>
      </c>
      <c r="E4" s="466" t="s">
        <v>2661</v>
      </c>
      <c r="F4" s="466">
        <v>10.0</v>
      </c>
      <c r="G4" s="466" t="s">
        <v>2662</v>
      </c>
      <c r="H4" s="466" t="s">
        <v>2663</v>
      </c>
      <c r="I4" s="466" t="s">
        <v>2664</v>
      </c>
      <c r="J4" s="449">
        <v>150.0</v>
      </c>
      <c r="K4" s="466">
        <v>0.83</v>
      </c>
      <c r="L4" s="466">
        <v>0.19</v>
      </c>
      <c r="M4" s="462">
        <v>1.02</v>
      </c>
      <c r="N4" s="470">
        <v>320.0</v>
      </c>
      <c r="O4" s="471">
        <v>320.0</v>
      </c>
      <c r="P4" s="469">
        <f t="shared" ref="P4:P25" si="1">IFERROR(O4/M4,"")</f>
        <v>313.7254902</v>
      </c>
      <c r="Q4" s="13"/>
      <c r="R4" s="13"/>
      <c r="S4" s="242"/>
      <c r="T4" s="242"/>
      <c r="U4" s="242"/>
      <c r="V4" s="242"/>
      <c r="W4" s="242"/>
      <c r="X4" s="242"/>
    </row>
    <row r="5">
      <c r="A5" s="242"/>
      <c r="B5" s="466">
        <v>25.0</v>
      </c>
      <c r="C5" s="466" t="s">
        <v>2659</v>
      </c>
      <c r="D5" s="466" t="s">
        <v>2666</v>
      </c>
      <c r="E5" s="466" t="s">
        <v>2667</v>
      </c>
      <c r="F5" s="466">
        <v>12.5</v>
      </c>
      <c r="G5" s="466" t="s">
        <v>2662</v>
      </c>
      <c r="H5" s="466" t="s">
        <v>2668</v>
      </c>
      <c r="I5" s="466" t="s">
        <v>2669</v>
      </c>
      <c r="J5" s="449">
        <v>150.0</v>
      </c>
      <c r="K5" s="466">
        <v>0.94</v>
      </c>
      <c r="L5" s="466">
        <v>0.19</v>
      </c>
      <c r="M5" s="462">
        <v>1.13</v>
      </c>
      <c r="N5" s="470">
        <v>320.0</v>
      </c>
      <c r="O5" s="471">
        <f t="shared" ref="O5:O10" si="2">M5*N5</f>
        <v>361.6</v>
      </c>
      <c r="P5" s="469">
        <f t="shared" si="1"/>
        <v>320</v>
      </c>
      <c r="Q5" s="13"/>
      <c r="R5" s="13"/>
      <c r="S5" s="242"/>
      <c r="T5" s="242"/>
      <c r="U5" s="242"/>
      <c r="V5" s="242"/>
      <c r="W5" s="242"/>
      <c r="X5" s="242"/>
    </row>
    <row r="6">
      <c r="A6" s="242"/>
      <c r="B6" s="466">
        <v>25.0</v>
      </c>
      <c r="C6" s="466" t="s">
        <v>2659</v>
      </c>
      <c r="D6" s="466" t="s">
        <v>2671</v>
      </c>
      <c r="E6" s="466" t="s">
        <v>2672</v>
      </c>
      <c r="F6" s="466">
        <v>15.0</v>
      </c>
      <c r="G6" s="466" t="s">
        <v>2662</v>
      </c>
      <c r="H6" s="466" t="s">
        <v>2673</v>
      </c>
      <c r="I6" s="466" t="s">
        <v>2674</v>
      </c>
      <c r="J6" s="449">
        <v>150.0</v>
      </c>
      <c r="K6" s="466">
        <v>0.98</v>
      </c>
      <c r="L6" s="466">
        <v>0.19</v>
      </c>
      <c r="M6" s="462">
        <v>1.17</v>
      </c>
      <c r="N6" s="470">
        <v>320.0</v>
      </c>
      <c r="O6" s="471">
        <f t="shared" si="2"/>
        <v>374.4</v>
      </c>
      <c r="P6" s="469">
        <f t="shared" si="1"/>
        <v>320</v>
      </c>
      <c r="Q6" s="13"/>
      <c r="R6" s="13"/>
      <c r="S6" s="242"/>
      <c r="T6" s="242"/>
      <c r="U6" s="242"/>
      <c r="V6" s="242"/>
      <c r="W6" s="242"/>
      <c r="X6" s="242"/>
    </row>
    <row r="7">
      <c r="A7" s="242"/>
      <c r="B7" s="466">
        <v>32.0</v>
      </c>
      <c r="C7" s="466" t="s">
        <v>2675</v>
      </c>
      <c r="D7" s="466" t="s">
        <v>2660</v>
      </c>
      <c r="E7" s="466" t="s">
        <v>2676</v>
      </c>
      <c r="F7" s="466">
        <v>10.0</v>
      </c>
      <c r="G7" s="466" t="s">
        <v>2677</v>
      </c>
      <c r="H7" s="466" t="s">
        <v>2668</v>
      </c>
      <c r="I7" s="466" t="s">
        <v>2664</v>
      </c>
      <c r="J7" s="449">
        <v>180.0</v>
      </c>
      <c r="K7" s="466">
        <v>1.2</v>
      </c>
      <c r="L7" s="466">
        <v>0.24</v>
      </c>
      <c r="M7" s="462">
        <v>1.44</v>
      </c>
      <c r="N7" s="470">
        <v>320.0</v>
      </c>
      <c r="O7" s="471">
        <f t="shared" si="2"/>
        <v>460.8</v>
      </c>
      <c r="P7" s="469">
        <f t="shared" si="1"/>
        <v>320</v>
      </c>
      <c r="Q7" s="13"/>
      <c r="R7" s="13"/>
      <c r="S7" s="242"/>
      <c r="T7" s="242"/>
      <c r="U7" s="242"/>
      <c r="V7" s="242"/>
      <c r="W7" s="242"/>
      <c r="X7" s="242"/>
    </row>
    <row r="8">
      <c r="A8" s="242"/>
      <c r="B8" s="466">
        <v>32.0</v>
      </c>
      <c r="C8" s="466" t="s">
        <v>2675</v>
      </c>
      <c r="D8" s="466" t="s">
        <v>2666</v>
      </c>
      <c r="E8" s="466" t="s">
        <v>2679</v>
      </c>
      <c r="F8" s="466">
        <v>12.5</v>
      </c>
      <c r="G8" s="466" t="s">
        <v>2677</v>
      </c>
      <c r="H8" s="466" t="s">
        <v>2680</v>
      </c>
      <c r="I8" s="466" t="s">
        <v>2681</v>
      </c>
      <c r="J8" s="449">
        <v>180.0</v>
      </c>
      <c r="K8" s="466">
        <v>1.23</v>
      </c>
      <c r="L8" s="466">
        <v>0.24</v>
      </c>
      <c r="M8" s="462">
        <v>1.47</v>
      </c>
      <c r="N8" s="470">
        <v>320.0</v>
      </c>
      <c r="O8" s="471">
        <f t="shared" si="2"/>
        <v>470.4</v>
      </c>
      <c r="P8" s="469">
        <f t="shared" si="1"/>
        <v>320</v>
      </c>
      <c r="Q8" s="13"/>
      <c r="R8" s="13"/>
      <c r="S8" s="242"/>
      <c r="T8" s="242"/>
      <c r="U8" s="242"/>
      <c r="V8" s="242"/>
      <c r="W8" s="242"/>
      <c r="X8" s="242"/>
    </row>
    <row r="9">
      <c r="A9" s="242"/>
      <c r="B9" s="466">
        <v>32.0</v>
      </c>
      <c r="C9" s="466" t="s">
        <v>2675</v>
      </c>
      <c r="D9" s="466" t="s">
        <v>2671</v>
      </c>
      <c r="E9" s="466" t="s">
        <v>2682</v>
      </c>
      <c r="F9" s="466">
        <v>15.0</v>
      </c>
      <c r="G9" s="466" t="s">
        <v>2677</v>
      </c>
      <c r="H9" s="466" t="s">
        <v>2683</v>
      </c>
      <c r="I9" s="466" t="s">
        <v>2684</v>
      </c>
      <c r="J9" s="449">
        <v>180.0</v>
      </c>
      <c r="K9" s="466">
        <v>1.54</v>
      </c>
      <c r="L9" s="466">
        <v>0.24</v>
      </c>
      <c r="M9" s="462">
        <v>1.78</v>
      </c>
      <c r="N9" s="470">
        <v>320.0</v>
      </c>
      <c r="O9" s="471">
        <f t="shared" si="2"/>
        <v>569.6</v>
      </c>
      <c r="P9" s="469">
        <f t="shared" si="1"/>
        <v>320</v>
      </c>
      <c r="Q9" s="13"/>
      <c r="R9" s="13"/>
      <c r="S9" s="242"/>
      <c r="T9" s="242"/>
      <c r="U9" s="242"/>
      <c r="V9" s="242"/>
      <c r="W9" s="242"/>
      <c r="X9" s="242"/>
    </row>
    <row r="10">
      <c r="A10" s="242"/>
      <c r="B10" s="466">
        <v>32.0</v>
      </c>
      <c r="C10" s="466" t="s">
        <v>2675</v>
      </c>
      <c r="D10" s="466" t="s">
        <v>2685</v>
      </c>
      <c r="E10" s="466" t="s">
        <v>2686</v>
      </c>
      <c r="F10" s="466">
        <v>20.0</v>
      </c>
      <c r="G10" s="466" t="s">
        <v>2677</v>
      </c>
      <c r="H10" s="466" t="s">
        <v>2687</v>
      </c>
      <c r="I10" s="466" t="s">
        <v>2688</v>
      </c>
      <c r="J10" s="449">
        <v>180.0</v>
      </c>
      <c r="K10" s="466">
        <v>1.82</v>
      </c>
      <c r="L10" s="466">
        <v>0.24</v>
      </c>
      <c r="M10" s="462">
        <v>2.06</v>
      </c>
      <c r="N10" s="470">
        <v>320.0</v>
      </c>
      <c r="O10" s="471">
        <f t="shared" si="2"/>
        <v>659.2</v>
      </c>
      <c r="P10" s="469">
        <f t="shared" si="1"/>
        <v>320</v>
      </c>
      <c r="Q10" s="13"/>
      <c r="R10" s="13"/>
      <c r="S10" s="242"/>
      <c r="T10" s="242"/>
      <c r="U10" s="242"/>
      <c r="V10" s="242"/>
      <c r="W10" s="242"/>
      <c r="X10" s="242"/>
    </row>
    <row r="11">
      <c r="A11" s="242"/>
      <c r="B11" s="466">
        <v>40.0</v>
      </c>
      <c r="C11" s="466" t="s">
        <v>2690</v>
      </c>
      <c r="D11" s="466" t="s">
        <v>2660</v>
      </c>
      <c r="E11" s="466" t="s">
        <v>2691</v>
      </c>
      <c r="F11" s="466">
        <v>12.5</v>
      </c>
      <c r="G11" s="466" t="s">
        <v>2692</v>
      </c>
      <c r="H11" s="466" t="s">
        <v>2693</v>
      </c>
      <c r="I11" s="466" t="s">
        <v>2694</v>
      </c>
      <c r="J11" s="449">
        <v>180.0</v>
      </c>
      <c r="K11" s="466">
        <v>1.61</v>
      </c>
      <c r="L11" s="466">
        <v>0.284</v>
      </c>
      <c r="M11" s="466">
        <v>1.894</v>
      </c>
      <c r="N11" s="470">
        <v>320.0</v>
      </c>
      <c r="O11" s="472">
        <v>606.1</v>
      </c>
      <c r="P11" s="469">
        <f t="shared" si="1"/>
        <v>320.0105597</v>
      </c>
      <c r="Q11" s="13"/>
      <c r="R11" s="13"/>
      <c r="S11" s="242"/>
      <c r="T11" s="242"/>
      <c r="U11" s="242"/>
      <c r="V11" s="242"/>
      <c r="W11" s="242"/>
      <c r="X11" s="242"/>
    </row>
    <row r="12">
      <c r="A12" s="242"/>
      <c r="B12" s="466">
        <v>40.0</v>
      </c>
      <c r="C12" s="466" t="s">
        <v>2690</v>
      </c>
      <c r="D12" s="466" t="s">
        <v>2666</v>
      </c>
      <c r="E12" s="466" t="s">
        <v>2695</v>
      </c>
      <c r="F12" s="466">
        <v>15.0</v>
      </c>
      <c r="G12" s="466" t="s">
        <v>2692</v>
      </c>
      <c r="H12" s="466" t="s">
        <v>2696</v>
      </c>
      <c r="I12" s="466" t="s">
        <v>2697</v>
      </c>
      <c r="J12" s="449">
        <v>180.0</v>
      </c>
      <c r="K12" s="466">
        <v>1.93</v>
      </c>
      <c r="L12" s="466">
        <v>0.284</v>
      </c>
      <c r="M12" s="466">
        <v>2.214</v>
      </c>
      <c r="N12" s="470">
        <v>320.0</v>
      </c>
      <c r="O12" s="472">
        <v>708.5</v>
      </c>
      <c r="P12" s="469">
        <f t="shared" si="1"/>
        <v>320.0090334</v>
      </c>
      <c r="Q12" s="13"/>
      <c r="R12" s="13"/>
      <c r="S12" s="242"/>
      <c r="T12" s="242"/>
      <c r="U12" s="242"/>
      <c r="V12" s="242"/>
      <c r="W12" s="242"/>
      <c r="X12" s="242"/>
    </row>
    <row r="13">
      <c r="A13" s="242"/>
      <c r="B13" s="466">
        <v>40.0</v>
      </c>
      <c r="C13" s="466" t="s">
        <v>2690</v>
      </c>
      <c r="D13" s="466" t="s">
        <v>2671</v>
      </c>
      <c r="E13" s="466" t="s">
        <v>2698</v>
      </c>
      <c r="F13" s="466">
        <v>20.0</v>
      </c>
      <c r="G13" s="466" t="s">
        <v>2692</v>
      </c>
      <c r="H13" s="466" t="s">
        <v>2699</v>
      </c>
      <c r="I13" s="466" t="s">
        <v>2700</v>
      </c>
      <c r="J13" s="449">
        <v>180.0</v>
      </c>
      <c r="K13" s="466">
        <v>2.38</v>
      </c>
      <c r="L13" s="466">
        <v>0.284</v>
      </c>
      <c r="M13" s="466">
        <v>2.664</v>
      </c>
      <c r="N13" s="470">
        <v>320.0</v>
      </c>
      <c r="O13" s="472">
        <v>852.5</v>
      </c>
      <c r="P13" s="469">
        <f t="shared" si="1"/>
        <v>320.0075075</v>
      </c>
      <c r="Q13" s="13"/>
      <c r="R13" s="13"/>
      <c r="S13" s="242"/>
      <c r="T13" s="242"/>
      <c r="U13" s="242"/>
      <c r="V13" s="242"/>
      <c r="W13" s="242"/>
      <c r="X13" s="242"/>
    </row>
    <row r="14">
      <c r="A14" s="242"/>
      <c r="B14" s="466">
        <v>50.0</v>
      </c>
      <c r="C14" s="466" t="s">
        <v>2702</v>
      </c>
      <c r="D14" s="466" t="s">
        <v>2660</v>
      </c>
      <c r="E14" s="466" t="s">
        <v>2703</v>
      </c>
      <c r="F14" s="466">
        <v>15.0</v>
      </c>
      <c r="G14" s="466" t="s">
        <v>2704</v>
      </c>
      <c r="H14" s="466" t="s">
        <v>2699</v>
      </c>
      <c r="I14" s="466" t="s">
        <v>2705</v>
      </c>
      <c r="J14" s="449">
        <v>180.0</v>
      </c>
      <c r="K14" s="466">
        <v>3.2</v>
      </c>
      <c r="L14" s="466">
        <v>0.593</v>
      </c>
      <c r="M14" s="466">
        <v>3.793</v>
      </c>
      <c r="N14" s="470">
        <v>320.0</v>
      </c>
      <c r="O14" s="472">
        <v>1213.8</v>
      </c>
      <c r="P14" s="469">
        <f t="shared" si="1"/>
        <v>320.0105457</v>
      </c>
      <c r="Q14" s="13"/>
      <c r="R14" s="13"/>
      <c r="S14" s="242"/>
      <c r="T14" s="242"/>
      <c r="U14" s="242"/>
      <c r="V14" s="242"/>
      <c r="W14" s="242"/>
      <c r="X14" s="242"/>
    </row>
    <row r="15">
      <c r="A15" s="242"/>
      <c r="B15" s="466">
        <v>50.0</v>
      </c>
      <c r="C15" s="466" t="s">
        <v>2702</v>
      </c>
      <c r="D15" s="466" t="s">
        <v>2666</v>
      </c>
      <c r="E15" s="466" t="s">
        <v>2706</v>
      </c>
      <c r="F15" s="466">
        <v>20.0</v>
      </c>
      <c r="G15" s="466" t="s">
        <v>2704</v>
      </c>
      <c r="H15" s="466" t="s">
        <v>2707</v>
      </c>
      <c r="I15" s="466" t="s">
        <v>2708</v>
      </c>
      <c r="J15" s="449">
        <v>200.0</v>
      </c>
      <c r="K15" s="466">
        <v>3.71</v>
      </c>
      <c r="L15" s="466">
        <v>0.593</v>
      </c>
      <c r="M15" s="466">
        <v>4.303</v>
      </c>
      <c r="N15" s="470">
        <v>320.0</v>
      </c>
      <c r="O15" s="472">
        <v>1376.9</v>
      </c>
      <c r="P15" s="469">
        <f t="shared" si="1"/>
        <v>319.9860562</v>
      </c>
      <c r="Q15" s="13"/>
      <c r="R15" s="13"/>
      <c r="S15" s="242"/>
      <c r="T15" s="242"/>
      <c r="U15" s="242"/>
      <c r="V15" s="242"/>
      <c r="W15" s="242"/>
      <c r="X15" s="242"/>
    </row>
    <row r="16">
      <c r="A16" s="242"/>
      <c r="B16" s="466">
        <v>50.0</v>
      </c>
      <c r="C16" s="466" t="s">
        <v>2702</v>
      </c>
      <c r="D16" s="466" t="s">
        <v>2671</v>
      </c>
      <c r="E16" s="466" t="s">
        <v>2709</v>
      </c>
      <c r="F16" s="466">
        <v>25.0</v>
      </c>
      <c r="G16" s="466" t="s">
        <v>2704</v>
      </c>
      <c r="H16" s="466" t="s">
        <v>2711</v>
      </c>
      <c r="I16" s="466" t="s">
        <v>2712</v>
      </c>
      <c r="J16" s="449">
        <v>200.0</v>
      </c>
      <c r="K16" s="466">
        <v>4.54</v>
      </c>
      <c r="L16" s="466">
        <v>0.593</v>
      </c>
      <c r="M16" s="466">
        <v>5.133</v>
      </c>
      <c r="N16" s="470">
        <v>320.0</v>
      </c>
      <c r="O16" s="472">
        <v>1642.6</v>
      </c>
      <c r="P16" s="469">
        <f t="shared" si="1"/>
        <v>320.0077927</v>
      </c>
      <c r="Q16" s="13"/>
      <c r="R16" s="13"/>
      <c r="S16" s="242"/>
      <c r="T16" s="242"/>
      <c r="U16" s="242"/>
      <c r="V16" s="242"/>
      <c r="W16" s="242"/>
      <c r="X16" s="242"/>
    </row>
    <row r="17">
      <c r="A17" s="242"/>
      <c r="B17" s="466">
        <v>65.0</v>
      </c>
      <c r="C17" s="466" t="s">
        <v>2713</v>
      </c>
      <c r="D17" s="466" t="s">
        <v>2660</v>
      </c>
      <c r="E17" s="466" t="s">
        <v>2714</v>
      </c>
      <c r="F17" s="466">
        <v>15.0</v>
      </c>
      <c r="G17" s="466" t="s">
        <v>2715</v>
      </c>
      <c r="H17" s="466" t="s">
        <v>2716</v>
      </c>
      <c r="I17" s="466" t="s">
        <v>2717</v>
      </c>
      <c r="J17" s="449">
        <v>180.0</v>
      </c>
      <c r="K17" s="466">
        <v>4.6</v>
      </c>
      <c r="L17" s="466">
        <v>0.633</v>
      </c>
      <c r="M17" s="466">
        <v>5.233</v>
      </c>
      <c r="N17" s="470">
        <v>320.0</v>
      </c>
      <c r="O17" s="472">
        <v>1674.6</v>
      </c>
      <c r="P17" s="469">
        <f t="shared" si="1"/>
        <v>320.0076438</v>
      </c>
      <c r="Q17" s="13"/>
      <c r="R17" s="13"/>
      <c r="S17" s="242"/>
      <c r="T17" s="242"/>
      <c r="U17" s="242"/>
      <c r="V17" s="242"/>
      <c r="W17" s="242"/>
      <c r="X17" s="242"/>
    </row>
    <row r="18">
      <c r="A18" s="242"/>
      <c r="B18" s="466">
        <v>65.0</v>
      </c>
      <c r="C18" s="466" t="s">
        <v>2713</v>
      </c>
      <c r="D18" s="466" t="s">
        <v>2666</v>
      </c>
      <c r="E18" s="466" t="s">
        <v>2718</v>
      </c>
      <c r="F18" s="466">
        <v>20.0</v>
      </c>
      <c r="G18" s="466" t="s">
        <v>2715</v>
      </c>
      <c r="H18" s="466" t="s">
        <v>2719</v>
      </c>
      <c r="I18" s="466" t="s">
        <v>2712</v>
      </c>
      <c r="J18" s="449">
        <v>200.0</v>
      </c>
      <c r="K18" s="466">
        <v>5.79</v>
      </c>
      <c r="L18" s="466">
        <v>0.633</v>
      </c>
      <c r="M18" s="466">
        <v>6.423</v>
      </c>
      <c r="N18" s="470">
        <v>320.0</v>
      </c>
      <c r="O18" s="472">
        <v>2055.5</v>
      </c>
      <c r="P18" s="469">
        <f t="shared" si="1"/>
        <v>320.0217967</v>
      </c>
      <c r="Q18" s="13"/>
      <c r="R18" s="13"/>
      <c r="S18" s="242"/>
      <c r="T18" s="242"/>
      <c r="U18" s="242"/>
      <c r="V18" s="242"/>
      <c r="W18" s="242"/>
      <c r="X18" s="242"/>
    </row>
    <row r="19">
      <c r="A19" s="242"/>
      <c r="B19" s="466">
        <v>65.0</v>
      </c>
      <c r="C19" s="466" t="s">
        <v>2713</v>
      </c>
      <c r="D19" s="466" t="s">
        <v>2671</v>
      </c>
      <c r="E19" s="466" t="s">
        <v>2720</v>
      </c>
      <c r="F19" s="466">
        <v>25.0</v>
      </c>
      <c r="G19" s="466" t="s">
        <v>2715</v>
      </c>
      <c r="H19" s="466" t="s">
        <v>2721</v>
      </c>
      <c r="I19" s="466" t="s">
        <v>2722</v>
      </c>
      <c r="J19" s="449">
        <v>200.0</v>
      </c>
      <c r="K19" s="466">
        <v>6.93</v>
      </c>
      <c r="L19" s="466">
        <v>0.633</v>
      </c>
      <c r="M19" s="466">
        <v>7.563</v>
      </c>
      <c r="N19" s="470">
        <v>320.0</v>
      </c>
      <c r="O19" s="472">
        <v>2420.2</v>
      </c>
      <c r="P19" s="469">
        <f t="shared" si="1"/>
        <v>320.0052889</v>
      </c>
      <c r="Q19" s="13"/>
      <c r="R19" s="13"/>
      <c r="S19" s="242"/>
      <c r="T19" s="242"/>
      <c r="U19" s="242"/>
      <c r="V19" s="242"/>
      <c r="W19" s="242"/>
      <c r="X19" s="242"/>
    </row>
    <row r="20">
      <c r="A20" s="242"/>
      <c r="B20" s="466">
        <v>80.0</v>
      </c>
      <c r="C20" s="466" t="s">
        <v>2723</v>
      </c>
      <c r="D20" s="466" t="s">
        <v>2660</v>
      </c>
      <c r="E20" s="466" t="s">
        <v>2724</v>
      </c>
      <c r="F20" s="466">
        <v>15.0</v>
      </c>
      <c r="G20" s="466" t="s">
        <v>2725</v>
      </c>
      <c r="H20" s="466" t="s">
        <v>2726</v>
      </c>
      <c r="I20" s="466" t="s">
        <v>2727</v>
      </c>
      <c r="J20" s="449">
        <v>180.0</v>
      </c>
      <c r="K20" s="466">
        <v>6.21</v>
      </c>
      <c r="L20" s="466">
        <v>0.833</v>
      </c>
      <c r="M20" s="466">
        <v>7.043</v>
      </c>
      <c r="N20" s="470">
        <v>320.0</v>
      </c>
      <c r="O20" s="472">
        <v>2253.8</v>
      </c>
      <c r="P20" s="469">
        <f t="shared" si="1"/>
        <v>320.0056794</v>
      </c>
      <c r="Q20" s="13"/>
      <c r="R20" s="13"/>
      <c r="S20" s="242"/>
      <c r="T20" s="242"/>
      <c r="U20" s="242"/>
      <c r="V20" s="242"/>
      <c r="W20" s="242"/>
      <c r="X20" s="242"/>
    </row>
    <row r="21">
      <c r="A21" s="242"/>
      <c r="B21" s="466">
        <v>80.0</v>
      </c>
      <c r="C21" s="466" t="s">
        <v>2723</v>
      </c>
      <c r="D21" s="466" t="s">
        <v>2666</v>
      </c>
      <c r="E21" s="466" t="s">
        <v>2729</v>
      </c>
      <c r="F21" s="466">
        <v>20.0</v>
      </c>
      <c r="G21" s="466" t="s">
        <v>2725</v>
      </c>
      <c r="H21" s="466" t="s">
        <v>2730</v>
      </c>
      <c r="I21" s="466" t="s">
        <v>2699</v>
      </c>
      <c r="J21" s="449">
        <v>200.0</v>
      </c>
      <c r="K21" s="466">
        <v>7.92</v>
      </c>
      <c r="L21" s="466">
        <v>0.833</v>
      </c>
      <c r="M21" s="466">
        <v>8.753</v>
      </c>
      <c r="N21" s="470">
        <v>320.0</v>
      </c>
      <c r="O21" s="472">
        <v>2800.9</v>
      </c>
      <c r="P21" s="469">
        <f t="shared" si="1"/>
        <v>319.9931452</v>
      </c>
      <c r="Q21" s="13"/>
      <c r="R21" s="13"/>
      <c r="S21" s="242"/>
      <c r="T21" s="242"/>
      <c r="U21" s="242"/>
      <c r="V21" s="242"/>
      <c r="W21" s="242"/>
      <c r="X21" s="242"/>
    </row>
    <row r="22">
      <c r="A22" s="242"/>
      <c r="B22" s="466">
        <v>80.0</v>
      </c>
      <c r="C22" s="466" t="s">
        <v>2723</v>
      </c>
      <c r="D22" s="466" t="s">
        <v>2671</v>
      </c>
      <c r="E22" s="466" t="s">
        <v>2731</v>
      </c>
      <c r="F22" s="466">
        <v>25.0</v>
      </c>
      <c r="G22" s="466" t="s">
        <v>2725</v>
      </c>
      <c r="H22" s="466" t="s">
        <v>2732</v>
      </c>
      <c r="I22" s="466" t="s">
        <v>2733</v>
      </c>
      <c r="J22" s="449">
        <v>200.0</v>
      </c>
      <c r="K22" s="466">
        <v>9.51</v>
      </c>
      <c r="L22" s="466">
        <v>0.833</v>
      </c>
      <c r="M22" s="466">
        <v>10.343</v>
      </c>
      <c r="N22" s="470">
        <v>320.0</v>
      </c>
      <c r="O22" s="472">
        <v>3309.8</v>
      </c>
      <c r="P22" s="469">
        <f t="shared" si="1"/>
        <v>320.0038673</v>
      </c>
      <c r="Q22" s="13"/>
      <c r="R22" s="13"/>
      <c r="S22" s="242"/>
      <c r="T22" s="242"/>
      <c r="U22" s="242"/>
      <c r="V22" s="242"/>
      <c r="W22" s="242"/>
      <c r="X22" s="242"/>
    </row>
    <row r="23">
      <c r="A23" s="242"/>
      <c r="B23" s="466">
        <v>100.0</v>
      </c>
      <c r="C23" s="466" t="s">
        <v>2734</v>
      </c>
      <c r="D23" s="466" t="s">
        <v>2660</v>
      </c>
      <c r="E23" s="466" t="s">
        <v>2735</v>
      </c>
      <c r="F23" s="466">
        <v>15.0</v>
      </c>
      <c r="G23" s="466" t="s">
        <v>2736</v>
      </c>
      <c r="H23" s="466" t="s">
        <v>2737</v>
      </c>
      <c r="I23" s="466" t="s">
        <v>2738</v>
      </c>
      <c r="J23" s="449">
        <v>180.0</v>
      </c>
      <c r="K23" s="466">
        <v>10.16</v>
      </c>
      <c r="L23" s="466">
        <v>1.31</v>
      </c>
      <c r="M23" s="462">
        <v>11.47</v>
      </c>
      <c r="N23" s="470">
        <v>320.0</v>
      </c>
      <c r="O23" s="471">
        <f t="shared" ref="O23:O25" si="3">M23*N23</f>
        <v>3670.4</v>
      </c>
      <c r="P23" s="469">
        <f t="shared" si="1"/>
        <v>320</v>
      </c>
      <c r="Q23" s="13"/>
      <c r="R23" s="13"/>
      <c r="S23" s="242"/>
      <c r="T23" s="242"/>
      <c r="U23" s="242"/>
      <c r="V23" s="242"/>
      <c r="W23" s="242"/>
      <c r="X23" s="242"/>
    </row>
    <row r="24">
      <c r="A24" s="242"/>
      <c r="B24" s="466">
        <v>100.0</v>
      </c>
      <c r="C24" s="466" t="s">
        <v>2734</v>
      </c>
      <c r="D24" s="466" t="s">
        <v>2666</v>
      </c>
      <c r="E24" s="466" t="s">
        <v>2740</v>
      </c>
      <c r="F24" s="466">
        <v>20.0</v>
      </c>
      <c r="G24" s="466" t="s">
        <v>2736</v>
      </c>
      <c r="H24" s="466" t="s">
        <v>2741</v>
      </c>
      <c r="I24" s="466" t="s">
        <v>2742</v>
      </c>
      <c r="J24" s="449">
        <v>200.0</v>
      </c>
      <c r="K24" s="466">
        <v>12.81</v>
      </c>
      <c r="L24" s="466">
        <v>1.31</v>
      </c>
      <c r="M24" s="462">
        <v>14.12</v>
      </c>
      <c r="N24" s="470">
        <v>320.0</v>
      </c>
      <c r="O24" s="471">
        <f t="shared" si="3"/>
        <v>4518.4</v>
      </c>
      <c r="P24" s="469">
        <f t="shared" si="1"/>
        <v>320</v>
      </c>
      <c r="Q24" s="13"/>
      <c r="R24" s="13"/>
      <c r="S24" s="242"/>
      <c r="T24" s="242"/>
      <c r="U24" s="242"/>
      <c r="V24" s="242"/>
      <c r="W24" s="242"/>
      <c r="X24" s="242"/>
    </row>
    <row r="25">
      <c r="A25" s="242"/>
      <c r="B25" s="466">
        <v>100.0</v>
      </c>
      <c r="C25" s="466" t="s">
        <v>2734</v>
      </c>
      <c r="D25" s="466" t="s">
        <v>2671</v>
      </c>
      <c r="E25" s="466" t="s">
        <v>2743</v>
      </c>
      <c r="F25" s="466">
        <v>25.0</v>
      </c>
      <c r="G25" s="466" t="s">
        <v>2736</v>
      </c>
      <c r="H25" s="466" t="s">
        <v>2744</v>
      </c>
      <c r="I25" s="466" t="s">
        <v>2745</v>
      </c>
      <c r="J25" s="449">
        <v>200.0</v>
      </c>
      <c r="K25" s="466">
        <v>15.5</v>
      </c>
      <c r="L25" s="466">
        <v>1.31</v>
      </c>
      <c r="M25" s="462">
        <v>16.81</v>
      </c>
      <c r="N25" s="470">
        <v>320.0</v>
      </c>
      <c r="O25" s="471">
        <f t="shared" si="3"/>
        <v>5379.2</v>
      </c>
      <c r="P25" s="469">
        <f t="shared" si="1"/>
        <v>320</v>
      </c>
      <c r="Q25" s="13"/>
      <c r="R25" s="13"/>
      <c r="S25" s="242"/>
      <c r="T25" s="242"/>
      <c r="U25" s="242"/>
      <c r="V25" s="242"/>
      <c r="W25" s="242"/>
      <c r="X25" s="242"/>
    </row>
    <row r="26">
      <c r="A26" s="242"/>
      <c r="B26" s="473"/>
      <c r="C26" s="473"/>
      <c r="D26" s="473"/>
      <c r="E26" s="473"/>
      <c r="F26" s="473"/>
      <c r="G26" s="473"/>
      <c r="H26" s="473"/>
      <c r="I26" s="473"/>
      <c r="J26" s="474"/>
      <c r="K26" s="473"/>
      <c r="L26" s="473"/>
      <c r="M26" s="475"/>
      <c r="N26" s="476"/>
      <c r="O26" s="476"/>
      <c r="P26" s="477"/>
      <c r="Q26" s="13"/>
      <c r="R26" s="13"/>
      <c r="S26" s="242"/>
      <c r="T26" s="242"/>
      <c r="U26" s="242"/>
      <c r="V26" s="242"/>
      <c r="W26" s="242"/>
      <c r="X26" s="242"/>
    </row>
    <row r="27">
      <c r="A27" s="242"/>
      <c r="B27" s="444" t="s">
        <v>2748</v>
      </c>
      <c r="C27" s="45"/>
      <c r="D27" s="45"/>
      <c r="E27" s="45"/>
      <c r="F27" s="45"/>
      <c r="G27" s="45"/>
      <c r="H27" s="45"/>
      <c r="I27" s="45"/>
      <c r="J27" s="45"/>
      <c r="K27" s="45"/>
      <c r="L27" s="45"/>
      <c r="M27" s="45"/>
      <c r="N27" s="45"/>
      <c r="O27" s="45"/>
      <c r="P27" s="46"/>
      <c r="Q27" s="13"/>
      <c r="R27" s="13"/>
      <c r="S27" s="242"/>
      <c r="T27" s="242"/>
      <c r="U27" s="242"/>
      <c r="V27" s="242"/>
      <c r="W27" s="242"/>
      <c r="X27" s="242"/>
    </row>
    <row r="28">
      <c r="A28" s="242"/>
      <c r="B28" s="466">
        <v>25.0</v>
      </c>
      <c r="C28" s="466" t="s">
        <v>2659</v>
      </c>
      <c r="D28" s="466" t="s">
        <v>2660</v>
      </c>
      <c r="E28" s="466" t="s">
        <v>2749</v>
      </c>
      <c r="F28" s="466">
        <v>10.0</v>
      </c>
      <c r="G28" s="466" t="s">
        <v>2662</v>
      </c>
      <c r="H28" s="466" t="s">
        <v>2663</v>
      </c>
      <c r="I28" s="466" t="s">
        <v>2664</v>
      </c>
      <c r="J28" s="449">
        <v>150.0</v>
      </c>
      <c r="K28" s="467">
        <v>1.05</v>
      </c>
      <c r="L28" s="478"/>
      <c r="M28" s="467">
        <v>1.05</v>
      </c>
      <c r="N28" s="456"/>
      <c r="O28" s="471">
        <v>290.0</v>
      </c>
      <c r="P28" s="469">
        <f t="shared" ref="P28:P31" si="4">IFERROR(O28/M28,"")</f>
        <v>276.1904762</v>
      </c>
      <c r="Q28" s="479" t="s">
        <v>722</v>
      </c>
      <c r="R28" s="13"/>
      <c r="S28" s="242"/>
      <c r="T28" s="242"/>
      <c r="U28" s="242"/>
      <c r="V28" s="242"/>
      <c r="W28" s="242"/>
      <c r="X28" s="242"/>
    </row>
    <row r="29">
      <c r="A29" s="242"/>
      <c r="B29" s="466">
        <v>25.0</v>
      </c>
      <c r="C29" s="466" t="s">
        <v>2659</v>
      </c>
      <c r="D29" s="466" t="s">
        <v>2666</v>
      </c>
      <c r="E29" s="466" t="s">
        <v>2752</v>
      </c>
      <c r="F29" s="466">
        <v>12.5</v>
      </c>
      <c r="G29" s="466" t="s">
        <v>2662</v>
      </c>
      <c r="H29" s="466" t="s">
        <v>2668</v>
      </c>
      <c r="I29" s="466" t="s">
        <v>2669</v>
      </c>
      <c r="J29" s="449">
        <v>150.0</v>
      </c>
      <c r="K29" s="467">
        <v>1.1</v>
      </c>
      <c r="L29" s="478"/>
      <c r="M29" s="467">
        <v>1.1</v>
      </c>
      <c r="N29" s="456"/>
      <c r="O29" s="471">
        <v>326.0</v>
      </c>
      <c r="P29" s="469">
        <f t="shared" si="4"/>
        <v>296.3636364</v>
      </c>
      <c r="Q29" s="479" t="s">
        <v>722</v>
      </c>
      <c r="R29" s="13"/>
      <c r="S29" s="242"/>
      <c r="T29" s="242"/>
      <c r="U29" s="242"/>
      <c r="V29" s="242"/>
      <c r="W29" s="242"/>
      <c r="X29" s="242"/>
    </row>
    <row r="30">
      <c r="A30" s="242"/>
      <c r="B30" s="466">
        <v>32.0</v>
      </c>
      <c r="C30" s="466" t="s">
        <v>2675</v>
      </c>
      <c r="D30" s="466" t="s">
        <v>2660</v>
      </c>
      <c r="E30" s="466" t="s">
        <v>2753</v>
      </c>
      <c r="F30" s="466">
        <v>10.0</v>
      </c>
      <c r="G30" s="466" t="s">
        <v>2677</v>
      </c>
      <c r="H30" s="466" t="s">
        <v>2668</v>
      </c>
      <c r="I30" s="466" t="s">
        <v>2664</v>
      </c>
      <c r="J30" s="449">
        <v>180.0</v>
      </c>
      <c r="K30" s="467">
        <v>1.25</v>
      </c>
      <c r="L30" s="480">
        <v>1.35</v>
      </c>
      <c r="M30" s="467">
        <v>1.25</v>
      </c>
      <c r="N30" s="456"/>
      <c r="O30" s="471">
        <v>416.0</v>
      </c>
      <c r="P30" s="469">
        <f t="shared" si="4"/>
        <v>332.8</v>
      </c>
      <c r="Q30" s="479" t="s">
        <v>722</v>
      </c>
      <c r="R30" s="13"/>
      <c r="S30" s="242"/>
      <c r="T30" s="242"/>
      <c r="U30" s="242"/>
      <c r="V30" s="242"/>
      <c r="W30" s="242"/>
      <c r="X30" s="242"/>
    </row>
    <row r="31">
      <c r="A31" s="242"/>
      <c r="B31" s="466">
        <v>32.0</v>
      </c>
      <c r="C31" s="466" t="s">
        <v>2675</v>
      </c>
      <c r="D31" s="466" t="s">
        <v>2666</v>
      </c>
      <c r="E31" s="466" t="s">
        <v>2755</v>
      </c>
      <c r="F31" s="466">
        <v>12.5</v>
      </c>
      <c r="G31" s="466" t="s">
        <v>2677</v>
      </c>
      <c r="H31" s="466" t="s">
        <v>2680</v>
      </c>
      <c r="I31" s="466" t="s">
        <v>2681</v>
      </c>
      <c r="J31" s="449">
        <v>180.0</v>
      </c>
      <c r="K31" s="467">
        <v>1.4</v>
      </c>
      <c r="L31" s="478"/>
      <c r="M31" s="467">
        <v>1.4</v>
      </c>
      <c r="N31" s="456"/>
      <c r="O31" s="471">
        <v>420.0</v>
      </c>
      <c r="P31" s="469">
        <f t="shared" si="4"/>
        <v>300</v>
      </c>
      <c r="Q31" s="479" t="s">
        <v>722</v>
      </c>
      <c r="R31" s="13"/>
      <c r="S31" s="242"/>
      <c r="T31" s="242"/>
      <c r="U31" s="242"/>
      <c r="V31" s="242"/>
      <c r="W31" s="242"/>
      <c r="X31" s="242"/>
    </row>
    <row r="32">
      <c r="A32" s="242"/>
      <c r="B32" s="242"/>
      <c r="C32" s="242"/>
      <c r="D32" s="242"/>
      <c r="E32" s="242"/>
      <c r="F32" s="242"/>
      <c r="G32" s="242"/>
      <c r="H32" s="242"/>
      <c r="I32" s="242"/>
      <c r="J32" s="242"/>
      <c r="K32" s="242"/>
      <c r="L32" s="242"/>
      <c r="M32" s="13"/>
      <c r="N32" s="13"/>
      <c r="O32" s="13"/>
      <c r="P32" s="341"/>
      <c r="Q32" s="13"/>
      <c r="R32" s="242"/>
      <c r="S32" s="242"/>
      <c r="T32" s="242"/>
      <c r="U32" s="242"/>
      <c r="V32" s="242"/>
      <c r="W32" s="242"/>
      <c r="X32" s="242"/>
    </row>
    <row r="33">
      <c r="A33" s="242"/>
      <c r="B33" s="242"/>
      <c r="C33" s="242"/>
      <c r="D33" s="242"/>
      <c r="E33" s="242"/>
      <c r="F33" s="242"/>
      <c r="G33" s="242"/>
      <c r="H33" s="242"/>
      <c r="I33" s="242"/>
      <c r="J33" s="242"/>
      <c r="K33" s="242"/>
      <c r="L33" s="242"/>
      <c r="M33" s="13"/>
      <c r="N33" s="13"/>
      <c r="O33" s="13"/>
      <c r="P33" s="341"/>
      <c r="Q33" s="13"/>
      <c r="R33" s="242"/>
      <c r="S33" s="242"/>
      <c r="T33" s="242"/>
      <c r="U33" s="242"/>
      <c r="V33" s="242"/>
      <c r="W33" s="242"/>
      <c r="X33" s="242"/>
    </row>
    <row r="34">
      <c r="A34" s="242"/>
      <c r="B34" s="242"/>
      <c r="C34" s="242"/>
      <c r="D34" s="242"/>
      <c r="E34" s="242"/>
      <c r="F34" s="242"/>
      <c r="G34" s="242"/>
      <c r="H34" s="242"/>
      <c r="I34" s="242"/>
      <c r="J34" s="242"/>
      <c r="K34" s="242"/>
      <c r="L34" s="242"/>
      <c r="M34" s="13"/>
      <c r="N34" s="13"/>
      <c r="O34" s="13"/>
      <c r="P34" s="341"/>
      <c r="Q34" s="13"/>
      <c r="R34" s="242"/>
      <c r="S34" s="242"/>
      <c r="T34" s="242"/>
      <c r="U34" s="242"/>
      <c r="V34" s="242"/>
      <c r="W34" s="242"/>
      <c r="X34" s="242"/>
    </row>
    <row r="35">
      <c r="A35" s="242"/>
      <c r="B35" s="242"/>
      <c r="C35" s="242"/>
      <c r="D35" s="242"/>
      <c r="E35" s="242"/>
      <c r="F35" s="242"/>
      <c r="G35" s="242"/>
      <c r="H35" s="242"/>
      <c r="I35" s="242"/>
      <c r="J35" s="242"/>
      <c r="K35" s="242"/>
      <c r="L35" s="242"/>
      <c r="M35" s="13"/>
      <c r="N35" s="13"/>
      <c r="O35" s="13"/>
      <c r="P35" s="341"/>
      <c r="Q35" s="13"/>
      <c r="R35" s="242"/>
      <c r="S35" s="242"/>
      <c r="T35" s="242"/>
      <c r="U35" s="242"/>
      <c r="V35" s="242"/>
      <c r="W35" s="242"/>
      <c r="X35" s="242"/>
    </row>
    <row r="36">
      <c r="A36" s="242"/>
      <c r="B36" s="242"/>
      <c r="C36" s="242"/>
      <c r="D36" s="242"/>
      <c r="E36" s="242"/>
      <c r="F36" s="242"/>
      <c r="G36" s="242"/>
      <c r="H36" s="242"/>
      <c r="I36" s="242"/>
      <c r="J36" s="242"/>
      <c r="K36" s="242"/>
      <c r="L36" s="242"/>
      <c r="M36" s="13"/>
      <c r="N36" s="13"/>
      <c r="O36" s="13"/>
      <c r="P36" s="341"/>
      <c r="Q36" s="13"/>
      <c r="R36" s="242"/>
      <c r="S36" s="242"/>
      <c r="T36" s="242"/>
      <c r="U36" s="242"/>
      <c r="V36" s="242"/>
      <c r="W36" s="242"/>
      <c r="X36" s="242"/>
    </row>
    <row r="37">
      <c r="A37" s="242"/>
      <c r="B37" s="242"/>
      <c r="C37" s="242"/>
      <c r="D37" s="242"/>
      <c r="E37" s="242"/>
      <c r="F37" s="242"/>
      <c r="G37" s="242"/>
      <c r="H37" s="242"/>
      <c r="I37" s="242"/>
      <c r="J37" s="242"/>
      <c r="K37" s="242"/>
      <c r="L37" s="242"/>
      <c r="M37" s="13"/>
      <c r="N37" s="13"/>
      <c r="O37" s="13"/>
      <c r="P37" s="341"/>
      <c r="Q37" s="13"/>
      <c r="R37" s="242"/>
      <c r="S37" s="242"/>
      <c r="T37" s="242"/>
      <c r="U37" s="242"/>
      <c r="V37" s="242"/>
      <c r="W37" s="242"/>
      <c r="X37" s="242"/>
    </row>
    <row r="38">
      <c r="A38" s="242"/>
      <c r="B38" s="242"/>
      <c r="C38" s="242"/>
      <c r="D38" s="242"/>
      <c r="E38" s="242"/>
      <c r="F38" s="242"/>
      <c r="G38" s="242"/>
      <c r="H38" s="242"/>
      <c r="I38" s="242"/>
      <c r="J38" s="242"/>
      <c r="K38" s="242"/>
      <c r="L38" s="242"/>
      <c r="M38" s="13"/>
      <c r="N38" s="13"/>
      <c r="O38" s="13"/>
      <c r="P38" s="341"/>
      <c r="Q38" s="13"/>
      <c r="R38" s="242"/>
      <c r="S38" s="242"/>
      <c r="T38" s="242"/>
      <c r="U38" s="242"/>
      <c r="V38" s="242"/>
      <c r="W38" s="242"/>
      <c r="X38" s="242"/>
    </row>
    <row r="39">
      <c r="A39" s="242"/>
      <c r="B39" s="242"/>
      <c r="C39" s="242"/>
      <c r="D39" s="242"/>
      <c r="E39" s="242"/>
      <c r="F39" s="242"/>
      <c r="G39" s="242"/>
      <c r="H39" s="242"/>
      <c r="I39" s="242"/>
      <c r="J39" s="242"/>
      <c r="K39" s="242"/>
      <c r="L39" s="242"/>
      <c r="M39" s="13"/>
      <c r="N39" s="13"/>
      <c r="O39" s="13"/>
      <c r="P39" s="341"/>
      <c r="Q39" s="13"/>
      <c r="R39" s="242"/>
      <c r="S39" s="242"/>
      <c r="T39" s="242"/>
      <c r="U39" s="242"/>
      <c r="V39" s="242"/>
      <c r="W39" s="242"/>
      <c r="X39" s="242"/>
    </row>
    <row r="40">
      <c r="A40" s="242"/>
      <c r="B40" s="242"/>
      <c r="C40" s="242"/>
      <c r="D40" s="242"/>
      <c r="E40" s="242"/>
      <c r="F40" s="242"/>
      <c r="G40" s="242"/>
      <c r="H40" s="242"/>
      <c r="I40" s="242"/>
      <c r="J40" s="242"/>
      <c r="K40" s="242"/>
      <c r="L40" s="242"/>
      <c r="M40" s="13"/>
      <c r="N40" s="13"/>
      <c r="O40" s="13"/>
      <c r="P40" s="341"/>
      <c r="Q40" s="13"/>
      <c r="R40" s="242"/>
      <c r="S40" s="242"/>
      <c r="T40" s="242"/>
      <c r="U40" s="242"/>
      <c r="V40" s="242"/>
      <c r="W40" s="242"/>
      <c r="X40" s="242"/>
    </row>
    <row r="41">
      <c r="A41" s="242"/>
      <c r="B41" s="242"/>
      <c r="C41" s="242"/>
      <c r="D41" s="242"/>
      <c r="E41" s="242"/>
      <c r="F41" s="242"/>
      <c r="G41" s="242"/>
      <c r="H41" s="242"/>
      <c r="I41" s="242"/>
      <c r="J41" s="242"/>
      <c r="K41" s="242"/>
      <c r="L41" s="242"/>
      <c r="M41" s="13"/>
      <c r="N41" s="13"/>
      <c r="O41" s="13"/>
      <c r="P41" s="341"/>
      <c r="Q41" s="13"/>
      <c r="R41" s="242"/>
      <c r="S41" s="242"/>
      <c r="T41" s="242"/>
      <c r="U41" s="242"/>
      <c r="V41" s="242"/>
      <c r="W41" s="242"/>
      <c r="X41" s="242"/>
    </row>
    <row r="42">
      <c r="A42" s="242"/>
      <c r="B42" s="242"/>
      <c r="C42" s="242"/>
      <c r="D42" s="242"/>
      <c r="E42" s="242"/>
      <c r="F42" s="242"/>
      <c r="G42" s="242"/>
      <c r="H42" s="242"/>
      <c r="I42" s="242"/>
      <c r="J42" s="242"/>
      <c r="K42" s="242"/>
      <c r="L42" s="242"/>
      <c r="M42" s="13"/>
      <c r="N42" s="13"/>
      <c r="O42" s="13"/>
      <c r="P42" s="341"/>
      <c r="Q42" s="13"/>
      <c r="R42" s="242"/>
      <c r="S42" s="242"/>
      <c r="T42" s="242"/>
      <c r="U42" s="242"/>
      <c r="V42" s="242"/>
      <c r="W42" s="242"/>
      <c r="X42" s="242"/>
    </row>
    <row r="43">
      <c r="A43" s="242"/>
      <c r="B43" s="242"/>
      <c r="C43" s="242"/>
      <c r="D43" s="242"/>
      <c r="E43" s="242"/>
      <c r="F43" s="242"/>
      <c r="G43" s="242"/>
      <c r="H43" s="242"/>
      <c r="I43" s="242"/>
      <c r="J43" s="242"/>
      <c r="K43" s="242"/>
      <c r="L43" s="242"/>
      <c r="M43" s="13"/>
      <c r="N43" s="13"/>
      <c r="O43" s="13"/>
      <c r="P43" s="341"/>
      <c r="Q43" s="13"/>
      <c r="R43" s="242"/>
      <c r="S43" s="242"/>
      <c r="T43" s="242"/>
      <c r="U43" s="242"/>
      <c r="V43" s="242"/>
      <c r="W43" s="242"/>
      <c r="X43" s="242"/>
    </row>
    <row r="44">
      <c r="A44" s="242"/>
      <c r="B44" s="242"/>
      <c r="C44" s="242"/>
      <c r="D44" s="242"/>
      <c r="E44" s="242"/>
      <c r="F44" s="242"/>
      <c r="G44" s="242"/>
      <c r="H44" s="242"/>
      <c r="I44" s="242"/>
      <c r="J44" s="242"/>
      <c r="K44" s="242"/>
      <c r="L44" s="242"/>
      <c r="M44" s="13"/>
      <c r="N44" s="13"/>
      <c r="O44" s="13"/>
      <c r="P44" s="341"/>
      <c r="Q44" s="13"/>
      <c r="R44" s="242"/>
      <c r="S44" s="242"/>
      <c r="T44" s="242"/>
      <c r="U44" s="242"/>
      <c r="V44" s="242"/>
      <c r="W44" s="242"/>
      <c r="X44" s="242"/>
    </row>
    <row r="45">
      <c r="A45" s="242"/>
      <c r="B45" s="242"/>
      <c r="C45" s="242"/>
      <c r="D45" s="242"/>
      <c r="E45" s="242"/>
      <c r="F45" s="242"/>
      <c r="G45" s="242"/>
      <c r="H45" s="242"/>
      <c r="I45" s="242"/>
      <c r="J45" s="242"/>
      <c r="K45" s="242"/>
      <c r="L45" s="242"/>
      <c r="M45" s="13"/>
      <c r="N45" s="13"/>
      <c r="O45" s="13"/>
      <c r="P45" s="341"/>
      <c r="Q45" s="13"/>
      <c r="R45" s="242"/>
      <c r="S45" s="242"/>
      <c r="T45" s="242"/>
      <c r="U45" s="242"/>
      <c r="V45" s="242"/>
      <c r="W45" s="242"/>
      <c r="X45" s="242"/>
    </row>
    <row r="46">
      <c r="A46" s="242"/>
      <c r="B46" s="242"/>
      <c r="C46" s="242"/>
      <c r="D46" s="242"/>
      <c r="E46" s="242"/>
      <c r="F46" s="242"/>
      <c r="G46" s="242"/>
      <c r="H46" s="242"/>
      <c r="I46" s="242"/>
      <c r="J46" s="242"/>
      <c r="K46" s="242"/>
      <c r="L46" s="242"/>
      <c r="M46" s="13"/>
      <c r="N46" s="13"/>
      <c r="O46" s="13"/>
      <c r="P46" s="341"/>
      <c r="Q46" s="13"/>
      <c r="R46" s="242"/>
      <c r="S46" s="242"/>
      <c r="T46" s="242"/>
      <c r="U46" s="242"/>
      <c r="V46" s="242"/>
      <c r="W46" s="242"/>
      <c r="X46" s="242"/>
    </row>
    <row r="47">
      <c r="A47" s="242"/>
      <c r="B47" s="242"/>
      <c r="C47" s="242"/>
      <c r="D47" s="242"/>
      <c r="E47" s="242"/>
      <c r="F47" s="242"/>
      <c r="G47" s="242"/>
      <c r="H47" s="242"/>
      <c r="I47" s="242"/>
      <c r="J47" s="242"/>
      <c r="K47" s="242"/>
      <c r="L47" s="242"/>
      <c r="M47" s="13"/>
      <c r="N47" s="13"/>
      <c r="O47" s="13"/>
      <c r="P47" s="341"/>
      <c r="Q47" s="13"/>
      <c r="R47" s="242"/>
      <c r="S47" s="242"/>
      <c r="T47" s="242"/>
      <c r="U47" s="242"/>
      <c r="V47" s="242"/>
      <c r="W47" s="242"/>
      <c r="X47" s="242"/>
    </row>
    <row r="48">
      <c r="A48" s="242"/>
      <c r="B48" s="242"/>
      <c r="C48" s="242"/>
      <c r="D48" s="242"/>
      <c r="E48" s="242"/>
      <c r="F48" s="242"/>
      <c r="G48" s="242"/>
      <c r="H48" s="242"/>
      <c r="I48" s="242"/>
      <c r="J48" s="242"/>
      <c r="K48" s="242"/>
      <c r="L48" s="242"/>
      <c r="M48" s="13"/>
      <c r="N48" s="13"/>
      <c r="O48" s="13"/>
      <c r="P48" s="341"/>
      <c r="Q48" s="13"/>
      <c r="R48" s="242"/>
      <c r="S48" s="242"/>
      <c r="T48" s="242"/>
      <c r="U48" s="242"/>
      <c r="V48" s="242"/>
      <c r="W48" s="242"/>
      <c r="X48" s="242"/>
    </row>
    <row r="49">
      <c r="A49" s="242"/>
      <c r="B49" s="242"/>
      <c r="C49" s="242"/>
      <c r="D49" s="242"/>
      <c r="E49" s="242"/>
      <c r="F49" s="242"/>
      <c r="G49" s="242"/>
      <c r="H49" s="242"/>
      <c r="I49" s="242"/>
      <c r="J49" s="242"/>
      <c r="K49" s="242"/>
      <c r="L49" s="242"/>
      <c r="M49" s="13"/>
      <c r="N49" s="13"/>
      <c r="O49" s="13"/>
      <c r="P49" s="341"/>
      <c r="Q49" s="13"/>
      <c r="R49" s="242"/>
      <c r="S49" s="242"/>
      <c r="T49" s="242"/>
      <c r="U49" s="242"/>
      <c r="V49" s="242"/>
      <c r="W49" s="242"/>
      <c r="X49" s="242"/>
    </row>
    <row r="50">
      <c r="A50" s="242"/>
      <c r="B50" s="242"/>
      <c r="C50" s="242"/>
      <c r="D50" s="242"/>
      <c r="E50" s="242"/>
      <c r="F50" s="242"/>
      <c r="G50" s="242"/>
      <c r="H50" s="242"/>
      <c r="I50" s="242"/>
      <c r="J50" s="242"/>
      <c r="K50" s="242"/>
      <c r="L50" s="242"/>
      <c r="M50" s="13"/>
      <c r="N50" s="13"/>
      <c r="O50" s="13"/>
      <c r="P50" s="341"/>
      <c r="Q50" s="13"/>
      <c r="R50" s="242"/>
      <c r="S50" s="242"/>
      <c r="T50" s="242"/>
      <c r="U50" s="242"/>
      <c r="V50" s="242"/>
      <c r="W50" s="242"/>
      <c r="X50" s="242"/>
    </row>
    <row r="51">
      <c r="A51" s="242"/>
      <c r="B51" s="242"/>
      <c r="C51" s="242"/>
      <c r="D51" s="242"/>
      <c r="E51" s="242"/>
      <c r="F51" s="242"/>
      <c r="G51" s="242"/>
      <c r="H51" s="242"/>
      <c r="I51" s="242"/>
      <c r="J51" s="242"/>
      <c r="K51" s="242"/>
      <c r="L51" s="242"/>
      <c r="M51" s="13"/>
      <c r="N51" s="13"/>
      <c r="O51" s="13"/>
      <c r="P51" s="341"/>
      <c r="Q51" s="13"/>
      <c r="R51" s="242"/>
      <c r="S51" s="242"/>
      <c r="T51" s="242"/>
      <c r="U51" s="242"/>
      <c r="V51" s="242"/>
      <c r="W51" s="242"/>
      <c r="X51" s="242"/>
    </row>
    <row r="52">
      <c r="A52" s="242"/>
      <c r="B52" s="242"/>
      <c r="C52" s="242"/>
      <c r="D52" s="242"/>
      <c r="E52" s="242"/>
      <c r="F52" s="242"/>
      <c r="G52" s="242"/>
      <c r="H52" s="242"/>
      <c r="I52" s="242"/>
      <c r="J52" s="242"/>
      <c r="K52" s="242"/>
      <c r="L52" s="242"/>
      <c r="M52" s="13"/>
      <c r="N52" s="13"/>
      <c r="O52" s="13"/>
      <c r="P52" s="341"/>
      <c r="Q52" s="13"/>
      <c r="R52" s="242"/>
      <c r="S52" s="242"/>
      <c r="T52" s="242"/>
      <c r="U52" s="242"/>
      <c r="V52" s="242"/>
      <c r="W52" s="242"/>
      <c r="X52" s="242"/>
    </row>
    <row r="53">
      <c r="A53" s="242"/>
      <c r="B53" s="242"/>
      <c r="C53" s="242"/>
      <c r="D53" s="242"/>
      <c r="E53" s="242"/>
      <c r="F53" s="242"/>
      <c r="G53" s="242"/>
      <c r="H53" s="242"/>
      <c r="I53" s="242"/>
      <c r="J53" s="242"/>
      <c r="K53" s="242"/>
      <c r="L53" s="242"/>
      <c r="M53" s="13"/>
      <c r="N53" s="13"/>
      <c r="O53" s="13"/>
      <c r="P53" s="341"/>
      <c r="Q53" s="13"/>
      <c r="R53" s="242"/>
      <c r="S53" s="242"/>
      <c r="T53" s="242"/>
      <c r="U53" s="242"/>
      <c r="V53" s="242"/>
      <c r="W53" s="242"/>
      <c r="X53" s="242"/>
    </row>
    <row r="54">
      <c r="A54" s="242"/>
      <c r="B54" s="242"/>
      <c r="C54" s="242"/>
      <c r="D54" s="242"/>
      <c r="E54" s="242"/>
      <c r="F54" s="242"/>
      <c r="G54" s="242"/>
      <c r="H54" s="242"/>
      <c r="I54" s="242"/>
      <c r="J54" s="242"/>
      <c r="K54" s="242"/>
      <c r="L54" s="242"/>
      <c r="M54" s="13"/>
      <c r="N54" s="13"/>
      <c r="O54" s="13"/>
      <c r="P54" s="341"/>
      <c r="Q54" s="13"/>
      <c r="R54" s="242"/>
      <c r="S54" s="242"/>
      <c r="T54" s="242"/>
      <c r="U54" s="242"/>
      <c r="V54" s="242"/>
      <c r="W54" s="242"/>
      <c r="X54" s="242"/>
    </row>
    <row r="55">
      <c r="A55" s="242"/>
      <c r="B55" s="242"/>
      <c r="C55" s="242"/>
      <c r="D55" s="242"/>
      <c r="E55" s="242"/>
      <c r="F55" s="242"/>
      <c r="G55" s="242"/>
      <c r="H55" s="242"/>
      <c r="I55" s="242"/>
      <c r="J55" s="242"/>
      <c r="K55" s="242"/>
      <c r="L55" s="242"/>
      <c r="M55" s="13"/>
      <c r="N55" s="13"/>
      <c r="O55" s="13"/>
      <c r="P55" s="341"/>
      <c r="Q55" s="13"/>
      <c r="R55" s="242"/>
      <c r="S55" s="242"/>
      <c r="T55" s="242"/>
      <c r="U55" s="242"/>
      <c r="V55" s="242"/>
      <c r="W55" s="242"/>
      <c r="X55" s="242"/>
    </row>
    <row r="56">
      <c r="A56" s="242"/>
      <c r="B56" s="242"/>
      <c r="C56" s="242"/>
      <c r="D56" s="242"/>
      <c r="E56" s="242"/>
      <c r="F56" s="242"/>
      <c r="G56" s="242"/>
      <c r="H56" s="242"/>
      <c r="I56" s="242"/>
      <c r="J56" s="242"/>
      <c r="K56" s="242"/>
      <c r="L56" s="242"/>
      <c r="M56" s="13"/>
      <c r="N56" s="13"/>
      <c r="O56" s="13"/>
      <c r="P56" s="341"/>
      <c r="Q56" s="13"/>
      <c r="R56" s="242"/>
      <c r="S56" s="242"/>
      <c r="T56" s="242"/>
      <c r="U56" s="242"/>
      <c r="V56" s="242"/>
      <c r="W56" s="242"/>
      <c r="X56" s="242"/>
    </row>
    <row r="57">
      <c r="A57" s="242"/>
      <c r="B57" s="242"/>
      <c r="C57" s="242"/>
      <c r="D57" s="242"/>
      <c r="E57" s="242"/>
      <c r="F57" s="242"/>
      <c r="G57" s="242"/>
      <c r="H57" s="242"/>
      <c r="I57" s="242"/>
      <c r="J57" s="242"/>
      <c r="K57" s="242"/>
      <c r="L57" s="242"/>
      <c r="M57" s="13"/>
      <c r="N57" s="13"/>
      <c r="O57" s="13"/>
      <c r="P57" s="341"/>
      <c r="Q57" s="13"/>
      <c r="R57" s="242"/>
      <c r="S57" s="242"/>
      <c r="T57" s="242"/>
      <c r="U57" s="242"/>
      <c r="V57" s="242"/>
      <c r="W57" s="242"/>
      <c r="X57" s="242"/>
    </row>
    <row r="58">
      <c r="A58" s="242"/>
      <c r="B58" s="242"/>
      <c r="C58" s="242"/>
      <c r="D58" s="242"/>
      <c r="E58" s="242"/>
      <c r="F58" s="242"/>
      <c r="G58" s="242"/>
      <c r="H58" s="242"/>
      <c r="I58" s="242"/>
      <c r="J58" s="242"/>
      <c r="K58" s="242"/>
      <c r="L58" s="242"/>
      <c r="M58" s="13"/>
      <c r="N58" s="13"/>
      <c r="O58" s="13"/>
      <c r="P58" s="341"/>
      <c r="Q58" s="13"/>
      <c r="R58" s="242"/>
      <c r="S58" s="242"/>
      <c r="T58" s="242"/>
      <c r="U58" s="242"/>
      <c r="V58" s="242"/>
      <c r="W58" s="242"/>
      <c r="X58" s="242"/>
    </row>
    <row r="59">
      <c r="A59" s="242"/>
      <c r="B59" s="242"/>
      <c r="C59" s="242"/>
      <c r="D59" s="242"/>
      <c r="E59" s="242"/>
      <c r="F59" s="242"/>
      <c r="G59" s="242"/>
      <c r="H59" s="242"/>
      <c r="I59" s="242"/>
      <c r="J59" s="242"/>
      <c r="K59" s="242"/>
      <c r="L59" s="242"/>
      <c r="M59" s="13"/>
      <c r="N59" s="13"/>
      <c r="O59" s="13"/>
      <c r="P59" s="341"/>
      <c r="Q59" s="13"/>
      <c r="R59" s="242"/>
      <c r="S59" s="242"/>
      <c r="T59" s="242"/>
      <c r="U59" s="242"/>
      <c r="V59" s="242"/>
      <c r="W59" s="242"/>
      <c r="X59" s="242"/>
    </row>
    <row r="60">
      <c r="A60" s="242"/>
      <c r="B60" s="242"/>
      <c r="C60" s="242"/>
      <c r="D60" s="242"/>
      <c r="E60" s="242"/>
      <c r="F60" s="242"/>
      <c r="G60" s="242"/>
      <c r="H60" s="242"/>
      <c r="I60" s="242"/>
      <c r="J60" s="242"/>
      <c r="K60" s="242"/>
      <c r="L60" s="242"/>
      <c r="M60" s="13"/>
      <c r="N60" s="13"/>
      <c r="O60" s="13"/>
      <c r="P60" s="341"/>
      <c r="Q60" s="13"/>
      <c r="R60" s="242"/>
      <c r="S60" s="242"/>
      <c r="T60" s="242"/>
      <c r="U60" s="242"/>
      <c r="V60" s="242"/>
      <c r="W60" s="242"/>
      <c r="X60" s="242"/>
    </row>
    <row r="61">
      <c r="A61" s="242"/>
      <c r="B61" s="242"/>
      <c r="C61" s="242"/>
      <c r="D61" s="242"/>
      <c r="E61" s="242"/>
      <c r="F61" s="242"/>
      <c r="G61" s="242"/>
      <c r="H61" s="242"/>
      <c r="I61" s="242"/>
      <c r="J61" s="242"/>
      <c r="K61" s="242"/>
      <c r="L61" s="242"/>
      <c r="M61" s="13"/>
      <c r="N61" s="13"/>
      <c r="O61" s="13"/>
      <c r="P61" s="341"/>
      <c r="Q61" s="13"/>
      <c r="R61" s="242"/>
      <c r="S61" s="242"/>
      <c r="T61" s="242"/>
      <c r="U61" s="242"/>
      <c r="V61" s="242"/>
      <c r="W61" s="242"/>
      <c r="X61" s="242"/>
    </row>
    <row r="62">
      <c r="A62" s="242"/>
      <c r="B62" s="242"/>
      <c r="C62" s="242"/>
      <c r="D62" s="242"/>
      <c r="E62" s="242"/>
      <c r="F62" s="242"/>
      <c r="G62" s="242"/>
      <c r="H62" s="242"/>
      <c r="I62" s="242"/>
      <c r="J62" s="242"/>
      <c r="K62" s="242"/>
      <c r="L62" s="242"/>
      <c r="M62" s="13"/>
      <c r="N62" s="13"/>
      <c r="O62" s="13"/>
      <c r="P62" s="341"/>
      <c r="Q62" s="13"/>
      <c r="R62" s="242"/>
      <c r="S62" s="242"/>
      <c r="T62" s="242"/>
      <c r="U62" s="242"/>
      <c r="V62" s="242"/>
      <c r="W62" s="242"/>
      <c r="X62" s="242"/>
    </row>
    <row r="63">
      <c r="A63" s="242"/>
      <c r="B63" s="242"/>
      <c r="C63" s="242"/>
      <c r="D63" s="242"/>
      <c r="E63" s="242"/>
      <c r="F63" s="242"/>
      <c r="G63" s="242"/>
      <c r="H63" s="242"/>
      <c r="I63" s="242"/>
      <c r="J63" s="242"/>
      <c r="K63" s="242"/>
      <c r="L63" s="242"/>
      <c r="M63" s="13"/>
      <c r="N63" s="13"/>
      <c r="O63" s="13"/>
      <c r="P63" s="341"/>
      <c r="Q63" s="13"/>
      <c r="R63" s="242"/>
      <c r="S63" s="242"/>
      <c r="T63" s="242"/>
      <c r="U63" s="242"/>
      <c r="V63" s="242"/>
      <c r="W63" s="242"/>
      <c r="X63" s="242"/>
    </row>
    <row r="64">
      <c r="A64" s="242"/>
      <c r="B64" s="242"/>
      <c r="C64" s="242"/>
      <c r="D64" s="242"/>
      <c r="E64" s="242"/>
      <c r="F64" s="242"/>
      <c r="G64" s="242"/>
      <c r="H64" s="242"/>
      <c r="I64" s="242"/>
      <c r="J64" s="242"/>
      <c r="K64" s="242"/>
      <c r="L64" s="242"/>
      <c r="M64" s="13"/>
      <c r="N64" s="13"/>
      <c r="O64" s="13"/>
      <c r="P64" s="341"/>
      <c r="Q64" s="13"/>
      <c r="R64" s="242"/>
      <c r="S64" s="242"/>
      <c r="T64" s="242"/>
      <c r="U64" s="242"/>
      <c r="V64" s="242"/>
      <c r="W64" s="242"/>
      <c r="X64" s="242"/>
    </row>
    <row r="65">
      <c r="A65" s="242"/>
      <c r="B65" s="242"/>
      <c r="C65" s="242"/>
      <c r="D65" s="242"/>
      <c r="E65" s="242"/>
      <c r="F65" s="242"/>
      <c r="G65" s="242"/>
      <c r="H65" s="242"/>
      <c r="I65" s="242"/>
      <c r="J65" s="242"/>
      <c r="K65" s="242"/>
      <c r="L65" s="242"/>
      <c r="M65" s="13"/>
      <c r="N65" s="13"/>
      <c r="O65" s="13"/>
      <c r="P65" s="341"/>
      <c r="Q65" s="13"/>
      <c r="R65" s="242"/>
      <c r="S65" s="242"/>
      <c r="T65" s="242"/>
      <c r="U65" s="242"/>
      <c r="V65" s="242"/>
      <c r="W65" s="242"/>
      <c r="X65" s="242"/>
    </row>
    <row r="66">
      <c r="A66" s="242"/>
      <c r="B66" s="242"/>
      <c r="C66" s="242"/>
      <c r="D66" s="242"/>
      <c r="E66" s="242"/>
      <c r="F66" s="242"/>
      <c r="G66" s="242"/>
      <c r="H66" s="242"/>
      <c r="I66" s="242"/>
      <c r="J66" s="242"/>
      <c r="K66" s="242"/>
      <c r="L66" s="242"/>
      <c r="M66" s="13"/>
      <c r="N66" s="13"/>
      <c r="O66" s="13"/>
      <c r="P66" s="341"/>
      <c r="Q66" s="13"/>
      <c r="R66" s="242"/>
      <c r="S66" s="242"/>
      <c r="T66" s="242"/>
      <c r="U66" s="242"/>
      <c r="V66" s="242"/>
      <c r="W66" s="242"/>
      <c r="X66" s="242"/>
    </row>
    <row r="67">
      <c r="A67" s="242"/>
      <c r="B67" s="242"/>
      <c r="C67" s="242"/>
      <c r="D67" s="242"/>
      <c r="E67" s="242"/>
      <c r="F67" s="242"/>
      <c r="G67" s="242"/>
      <c r="H67" s="242"/>
      <c r="I67" s="242"/>
      <c r="J67" s="242"/>
      <c r="K67" s="242"/>
      <c r="L67" s="242"/>
      <c r="M67" s="13"/>
      <c r="N67" s="13"/>
      <c r="O67" s="13"/>
      <c r="P67" s="341"/>
      <c r="Q67" s="13"/>
      <c r="R67" s="242"/>
      <c r="S67" s="242"/>
      <c r="T67" s="242"/>
      <c r="U67" s="242"/>
      <c r="V67" s="242"/>
      <c r="W67" s="242"/>
      <c r="X67" s="242"/>
    </row>
    <row r="68">
      <c r="A68" s="242"/>
      <c r="B68" s="242"/>
      <c r="C68" s="242"/>
      <c r="D68" s="242"/>
      <c r="E68" s="242"/>
      <c r="F68" s="242"/>
      <c r="G68" s="242"/>
      <c r="H68" s="242"/>
      <c r="I68" s="242"/>
      <c r="J68" s="242"/>
      <c r="K68" s="242"/>
      <c r="L68" s="242"/>
      <c r="M68" s="13"/>
      <c r="N68" s="13"/>
      <c r="O68" s="13"/>
      <c r="P68" s="341"/>
      <c r="Q68" s="13"/>
      <c r="R68" s="242"/>
      <c r="S68" s="242"/>
      <c r="T68" s="242"/>
      <c r="U68" s="242"/>
      <c r="V68" s="242"/>
      <c r="W68" s="242"/>
      <c r="X68" s="242"/>
    </row>
    <row r="69">
      <c r="A69" s="242"/>
      <c r="B69" s="242"/>
      <c r="C69" s="242"/>
      <c r="D69" s="242"/>
      <c r="E69" s="242"/>
      <c r="F69" s="242"/>
      <c r="G69" s="242"/>
      <c r="H69" s="242"/>
      <c r="I69" s="242"/>
      <c r="J69" s="242"/>
      <c r="K69" s="242"/>
      <c r="L69" s="242"/>
      <c r="M69" s="13"/>
      <c r="N69" s="13"/>
      <c r="O69" s="13"/>
      <c r="P69" s="341"/>
      <c r="Q69" s="13"/>
      <c r="R69" s="242"/>
      <c r="S69" s="242"/>
      <c r="T69" s="242"/>
      <c r="U69" s="242"/>
      <c r="V69" s="242"/>
      <c r="W69" s="242"/>
      <c r="X69" s="242"/>
    </row>
    <row r="70">
      <c r="A70" s="242"/>
      <c r="B70" s="242"/>
      <c r="C70" s="242"/>
      <c r="D70" s="242"/>
      <c r="E70" s="242"/>
      <c r="F70" s="242"/>
      <c r="G70" s="242"/>
      <c r="H70" s="242"/>
      <c r="I70" s="242"/>
      <c r="J70" s="242"/>
      <c r="K70" s="242"/>
      <c r="L70" s="242"/>
      <c r="M70" s="13"/>
      <c r="N70" s="13"/>
      <c r="O70" s="13"/>
      <c r="P70" s="341"/>
      <c r="Q70" s="13"/>
      <c r="R70" s="242"/>
      <c r="S70" s="242"/>
      <c r="T70" s="242"/>
      <c r="U70" s="242"/>
      <c r="V70" s="242"/>
      <c r="W70" s="242"/>
      <c r="X70" s="242"/>
    </row>
    <row r="71">
      <c r="A71" s="242"/>
      <c r="B71" s="242"/>
      <c r="C71" s="242"/>
      <c r="D71" s="242"/>
      <c r="E71" s="242"/>
      <c r="F71" s="242"/>
      <c r="G71" s="242"/>
      <c r="H71" s="242"/>
      <c r="I71" s="242"/>
      <c r="J71" s="242"/>
      <c r="K71" s="242"/>
      <c r="L71" s="242"/>
      <c r="M71" s="13"/>
      <c r="N71" s="13"/>
      <c r="O71" s="13"/>
      <c r="P71" s="341"/>
      <c r="Q71" s="13"/>
      <c r="R71" s="242"/>
      <c r="S71" s="242"/>
      <c r="T71" s="242"/>
      <c r="U71" s="242"/>
      <c r="V71" s="242"/>
      <c r="W71" s="242"/>
      <c r="X71" s="242"/>
    </row>
    <row r="72">
      <c r="A72" s="242"/>
      <c r="B72" s="242"/>
      <c r="C72" s="242"/>
      <c r="D72" s="242"/>
      <c r="E72" s="242"/>
      <c r="F72" s="242"/>
      <c r="G72" s="242"/>
      <c r="H72" s="242"/>
      <c r="I72" s="242"/>
      <c r="J72" s="242"/>
      <c r="K72" s="242"/>
      <c r="L72" s="242"/>
      <c r="M72" s="13"/>
      <c r="N72" s="13"/>
      <c r="O72" s="13"/>
      <c r="P72" s="341"/>
      <c r="Q72" s="13"/>
      <c r="R72" s="242"/>
      <c r="S72" s="242"/>
      <c r="T72" s="242"/>
      <c r="U72" s="242"/>
      <c r="V72" s="242"/>
      <c r="W72" s="242"/>
      <c r="X72" s="242"/>
    </row>
    <row r="73">
      <c r="A73" s="242"/>
      <c r="B73" s="242"/>
      <c r="C73" s="242"/>
      <c r="D73" s="242"/>
      <c r="E73" s="242"/>
      <c r="F73" s="242"/>
      <c r="G73" s="242"/>
      <c r="H73" s="242"/>
      <c r="I73" s="242"/>
      <c r="J73" s="242"/>
      <c r="K73" s="242"/>
      <c r="L73" s="242"/>
      <c r="M73" s="13"/>
      <c r="N73" s="13"/>
      <c r="O73" s="13"/>
      <c r="P73" s="341"/>
      <c r="Q73" s="13"/>
      <c r="R73" s="242"/>
      <c r="S73" s="242"/>
      <c r="T73" s="242"/>
      <c r="U73" s="242"/>
      <c r="V73" s="242"/>
      <c r="W73" s="242"/>
      <c r="X73" s="242"/>
    </row>
    <row r="74">
      <c r="A74" s="242"/>
      <c r="B74" s="242"/>
      <c r="C74" s="242"/>
      <c r="D74" s="242"/>
      <c r="E74" s="242"/>
      <c r="F74" s="242"/>
      <c r="G74" s="242"/>
      <c r="H74" s="242"/>
      <c r="I74" s="242"/>
      <c r="J74" s="242"/>
      <c r="K74" s="242"/>
      <c r="L74" s="242"/>
      <c r="M74" s="13"/>
      <c r="N74" s="13"/>
      <c r="O74" s="13"/>
      <c r="P74" s="341"/>
      <c r="Q74" s="13"/>
      <c r="R74" s="242"/>
      <c r="S74" s="242"/>
      <c r="T74" s="242"/>
      <c r="U74" s="242"/>
      <c r="V74" s="242"/>
      <c r="W74" s="242"/>
      <c r="X74" s="242"/>
    </row>
    <row r="75">
      <c r="A75" s="242"/>
      <c r="B75" s="242"/>
      <c r="C75" s="242"/>
      <c r="D75" s="242"/>
      <c r="E75" s="242"/>
      <c r="F75" s="242"/>
      <c r="G75" s="242"/>
      <c r="H75" s="242"/>
      <c r="I75" s="242"/>
      <c r="J75" s="242"/>
      <c r="K75" s="242"/>
      <c r="L75" s="242"/>
      <c r="M75" s="13"/>
      <c r="N75" s="13"/>
      <c r="O75" s="13"/>
      <c r="P75" s="341"/>
      <c r="Q75" s="13"/>
      <c r="R75" s="242"/>
      <c r="S75" s="242"/>
      <c r="T75" s="242"/>
      <c r="U75" s="242"/>
      <c r="V75" s="242"/>
      <c r="W75" s="242"/>
      <c r="X75" s="242"/>
    </row>
    <row r="76">
      <c r="A76" s="242"/>
      <c r="B76" s="242"/>
      <c r="C76" s="242"/>
      <c r="D76" s="242"/>
      <c r="E76" s="242"/>
      <c r="F76" s="242"/>
      <c r="G76" s="242"/>
      <c r="H76" s="242"/>
      <c r="I76" s="242"/>
      <c r="J76" s="242"/>
      <c r="K76" s="242"/>
      <c r="L76" s="242"/>
      <c r="M76" s="13"/>
      <c r="N76" s="13"/>
      <c r="O76" s="13"/>
      <c r="P76" s="341"/>
      <c r="Q76" s="13"/>
      <c r="R76" s="242"/>
      <c r="S76" s="242"/>
      <c r="T76" s="242"/>
      <c r="U76" s="242"/>
      <c r="V76" s="242"/>
      <c r="W76" s="242"/>
      <c r="X76" s="242"/>
    </row>
    <row r="77">
      <c r="A77" s="242"/>
      <c r="B77" s="242"/>
      <c r="C77" s="242"/>
      <c r="D77" s="242"/>
      <c r="E77" s="242"/>
      <c r="F77" s="242"/>
      <c r="G77" s="242"/>
      <c r="H77" s="242"/>
      <c r="I77" s="242"/>
      <c r="J77" s="242"/>
      <c r="K77" s="242"/>
      <c r="L77" s="242"/>
      <c r="M77" s="13"/>
      <c r="N77" s="13"/>
      <c r="O77" s="13"/>
      <c r="P77" s="341"/>
      <c r="Q77" s="13"/>
      <c r="R77" s="242"/>
      <c r="S77" s="242"/>
      <c r="T77" s="242"/>
      <c r="U77" s="242"/>
      <c r="V77" s="242"/>
      <c r="W77" s="242"/>
      <c r="X77" s="242"/>
    </row>
    <row r="78">
      <c r="A78" s="242"/>
      <c r="B78" s="242"/>
      <c r="C78" s="242"/>
      <c r="D78" s="242"/>
      <c r="E78" s="242"/>
      <c r="F78" s="242"/>
      <c r="G78" s="242"/>
      <c r="H78" s="242"/>
      <c r="I78" s="242"/>
      <c r="J78" s="242"/>
      <c r="K78" s="242"/>
      <c r="L78" s="242"/>
      <c r="M78" s="13"/>
      <c r="N78" s="13"/>
      <c r="O78" s="13"/>
      <c r="P78" s="341"/>
      <c r="Q78" s="13"/>
      <c r="R78" s="242"/>
      <c r="S78" s="242"/>
      <c r="T78" s="242"/>
      <c r="U78" s="242"/>
      <c r="V78" s="242"/>
      <c r="W78" s="242"/>
      <c r="X78" s="242"/>
    </row>
    <row r="79">
      <c r="A79" s="242"/>
      <c r="B79" s="242"/>
      <c r="C79" s="242"/>
      <c r="D79" s="242"/>
      <c r="E79" s="242"/>
      <c r="F79" s="242"/>
      <c r="G79" s="242"/>
      <c r="H79" s="242"/>
      <c r="I79" s="242"/>
      <c r="J79" s="242"/>
      <c r="K79" s="242"/>
      <c r="L79" s="242"/>
      <c r="M79" s="13"/>
      <c r="N79" s="13"/>
      <c r="O79" s="13"/>
      <c r="P79" s="341"/>
      <c r="Q79" s="13"/>
      <c r="R79" s="242"/>
      <c r="S79" s="242"/>
      <c r="T79" s="242"/>
      <c r="U79" s="242"/>
      <c r="V79" s="242"/>
      <c r="W79" s="242"/>
      <c r="X79" s="242"/>
    </row>
    <row r="80">
      <c r="A80" s="242"/>
      <c r="B80" s="242"/>
      <c r="C80" s="242"/>
      <c r="D80" s="242"/>
      <c r="E80" s="242"/>
      <c r="F80" s="242"/>
      <c r="G80" s="242"/>
      <c r="H80" s="242"/>
      <c r="I80" s="242"/>
      <c r="J80" s="242"/>
      <c r="K80" s="242"/>
      <c r="L80" s="242"/>
      <c r="M80" s="13"/>
      <c r="N80" s="13"/>
      <c r="O80" s="13"/>
      <c r="P80" s="341"/>
      <c r="Q80" s="13"/>
      <c r="R80" s="242"/>
      <c r="S80" s="242"/>
      <c r="T80" s="242"/>
      <c r="U80" s="242"/>
      <c r="V80" s="242"/>
      <c r="W80" s="242"/>
      <c r="X80" s="242"/>
    </row>
    <row r="81">
      <c r="A81" s="242"/>
      <c r="B81" s="242"/>
      <c r="C81" s="242"/>
      <c r="D81" s="242"/>
      <c r="E81" s="242"/>
      <c r="F81" s="242"/>
      <c r="G81" s="242"/>
      <c r="H81" s="242"/>
      <c r="I81" s="242"/>
      <c r="J81" s="242"/>
      <c r="K81" s="242"/>
      <c r="L81" s="242"/>
      <c r="M81" s="13"/>
      <c r="N81" s="13"/>
      <c r="O81" s="13"/>
      <c r="P81" s="341"/>
      <c r="Q81" s="13"/>
      <c r="R81" s="242"/>
      <c r="S81" s="242"/>
      <c r="T81" s="242"/>
      <c r="U81" s="242"/>
      <c r="V81" s="242"/>
      <c r="W81" s="242"/>
      <c r="X81" s="242"/>
    </row>
    <row r="82">
      <c r="A82" s="242"/>
      <c r="B82" s="242"/>
      <c r="C82" s="242"/>
      <c r="D82" s="242"/>
      <c r="E82" s="242"/>
      <c r="F82" s="242"/>
      <c r="G82" s="242"/>
      <c r="H82" s="242"/>
      <c r="I82" s="242"/>
      <c r="J82" s="242"/>
      <c r="K82" s="242"/>
      <c r="L82" s="242"/>
      <c r="M82" s="13"/>
      <c r="N82" s="13"/>
      <c r="O82" s="13"/>
      <c r="P82" s="341"/>
      <c r="Q82" s="13"/>
      <c r="R82" s="242"/>
      <c r="S82" s="242"/>
      <c r="T82" s="242"/>
      <c r="U82" s="242"/>
      <c r="V82" s="242"/>
      <c r="W82" s="242"/>
      <c r="X82" s="242"/>
    </row>
    <row r="83">
      <c r="A83" s="242"/>
      <c r="B83" s="242"/>
      <c r="C83" s="242"/>
      <c r="D83" s="242"/>
      <c r="E83" s="242"/>
      <c r="F83" s="242"/>
      <c r="G83" s="242"/>
      <c r="H83" s="242"/>
      <c r="I83" s="242"/>
      <c r="J83" s="242"/>
      <c r="K83" s="242"/>
      <c r="L83" s="242"/>
      <c r="M83" s="13"/>
      <c r="N83" s="13"/>
      <c r="O83" s="13"/>
      <c r="P83" s="341"/>
      <c r="Q83" s="13"/>
      <c r="R83" s="242"/>
      <c r="S83" s="242"/>
      <c r="T83" s="242"/>
      <c r="U83" s="242"/>
      <c r="V83" s="242"/>
      <c r="W83" s="242"/>
      <c r="X83" s="242"/>
    </row>
    <row r="84">
      <c r="A84" s="242"/>
      <c r="B84" s="242"/>
      <c r="C84" s="242"/>
      <c r="D84" s="242"/>
      <c r="E84" s="242"/>
      <c r="F84" s="242"/>
      <c r="G84" s="242"/>
      <c r="H84" s="242"/>
      <c r="I84" s="242"/>
      <c r="J84" s="242"/>
      <c r="K84" s="242"/>
      <c r="L84" s="242"/>
      <c r="M84" s="13"/>
      <c r="N84" s="13"/>
      <c r="O84" s="13"/>
      <c r="P84" s="341"/>
      <c r="Q84" s="13"/>
      <c r="R84" s="242"/>
      <c r="S84" s="242"/>
      <c r="T84" s="242"/>
      <c r="U84" s="242"/>
      <c r="V84" s="242"/>
      <c r="W84" s="242"/>
      <c r="X84" s="242"/>
    </row>
    <row r="85">
      <c r="A85" s="242"/>
      <c r="B85" s="242"/>
      <c r="C85" s="242"/>
      <c r="D85" s="242"/>
      <c r="E85" s="242"/>
      <c r="F85" s="242"/>
      <c r="G85" s="242"/>
      <c r="H85" s="242"/>
      <c r="I85" s="242"/>
      <c r="J85" s="242"/>
      <c r="K85" s="242"/>
      <c r="L85" s="242"/>
      <c r="M85" s="13"/>
      <c r="N85" s="13"/>
      <c r="O85" s="13"/>
      <c r="P85" s="341"/>
      <c r="Q85" s="13"/>
      <c r="R85" s="242"/>
      <c r="S85" s="242"/>
      <c r="T85" s="242"/>
      <c r="U85" s="242"/>
      <c r="V85" s="242"/>
      <c r="W85" s="242"/>
      <c r="X85" s="242"/>
    </row>
    <row r="86">
      <c r="A86" s="242"/>
      <c r="B86" s="242"/>
      <c r="C86" s="242"/>
      <c r="D86" s="242"/>
      <c r="E86" s="242"/>
      <c r="F86" s="242"/>
      <c r="G86" s="242"/>
      <c r="H86" s="242"/>
      <c r="I86" s="242"/>
      <c r="J86" s="242"/>
      <c r="K86" s="242"/>
      <c r="L86" s="242"/>
      <c r="M86" s="13"/>
      <c r="N86" s="13"/>
      <c r="O86" s="13"/>
      <c r="P86" s="341"/>
      <c r="Q86" s="13"/>
      <c r="R86" s="242"/>
      <c r="S86" s="242"/>
      <c r="T86" s="242"/>
      <c r="U86" s="242"/>
      <c r="V86" s="242"/>
      <c r="W86" s="242"/>
      <c r="X86" s="242"/>
    </row>
    <row r="87">
      <c r="A87" s="242"/>
      <c r="B87" s="242"/>
      <c r="C87" s="242"/>
      <c r="D87" s="242"/>
      <c r="E87" s="242"/>
      <c r="F87" s="242"/>
      <c r="G87" s="242"/>
      <c r="H87" s="242"/>
      <c r="I87" s="242"/>
      <c r="J87" s="242"/>
      <c r="K87" s="242"/>
      <c r="L87" s="242"/>
      <c r="M87" s="13"/>
      <c r="N87" s="13"/>
      <c r="O87" s="13"/>
      <c r="P87" s="341"/>
      <c r="Q87" s="13"/>
      <c r="R87" s="242"/>
      <c r="S87" s="242"/>
      <c r="T87" s="242"/>
      <c r="U87" s="242"/>
      <c r="V87" s="242"/>
      <c r="W87" s="242"/>
      <c r="X87" s="242"/>
    </row>
    <row r="88">
      <c r="A88" s="242"/>
      <c r="B88" s="242"/>
      <c r="C88" s="242"/>
      <c r="D88" s="242"/>
      <c r="E88" s="242"/>
      <c r="F88" s="242"/>
      <c r="G88" s="242"/>
      <c r="H88" s="242"/>
      <c r="I88" s="242"/>
      <c r="J88" s="242"/>
      <c r="K88" s="242"/>
      <c r="L88" s="242"/>
      <c r="M88" s="13"/>
      <c r="N88" s="13"/>
      <c r="O88" s="13"/>
      <c r="P88" s="341"/>
      <c r="Q88" s="13"/>
      <c r="R88" s="242"/>
      <c r="S88" s="242"/>
      <c r="T88" s="242"/>
      <c r="U88" s="242"/>
      <c r="V88" s="242"/>
      <c r="W88" s="242"/>
      <c r="X88" s="242"/>
    </row>
    <row r="89">
      <c r="A89" s="242"/>
      <c r="B89" s="242"/>
      <c r="C89" s="242"/>
      <c r="D89" s="242"/>
      <c r="E89" s="242"/>
      <c r="F89" s="242"/>
      <c r="G89" s="242"/>
      <c r="H89" s="242"/>
      <c r="I89" s="242"/>
      <c r="J89" s="242"/>
      <c r="K89" s="242"/>
      <c r="L89" s="242"/>
      <c r="M89" s="13"/>
      <c r="N89" s="13"/>
      <c r="O89" s="13"/>
      <c r="P89" s="341"/>
      <c r="Q89" s="13"/>
      <c r="R89" s="242"/>
      <c r="S89" s="242"/>
      <c r="T89" s="242"/>
      <c r="U89" s="242"/>
      <c r="V89" s="242"/>
      <c r="W89" s="242"/>
      <c r="X89" s="242"/>
    </row>
    <row r="90">
      <c r="A90" s="242"/>
      <c r="B90" s="242"/>
      <c r="C90" s="242"/>
      <c r="D90" s="242"/>
      <c r="E90" s="242"/>
      <c r="F90" s="242"/>
      <c r="G90" s="242"/>
      <c r="H90" s="242"/>
      <c r="I90" s="242"/>
      <c r="J90" s="242"/>
      <c r="K90" s="242"/>
      <c r="L90" s="242"/>
      <c r="M90" s="13"/>
      <c r="N90" s="13"/>
      <c r="O90" s="13"/>
      <c r="P90" s="341"/>
      <c r="Q90" s="13"/>
      <c r="R90" s="242"/>
      <c r="S90" s="242"/>
      <c r="T90" s="242"/>
      <c r="U90" s="242"/>
      <c r="V90" s="242"/>
      <c r="W90" s="242"/>
      <c r="X90" s="242"/>
    </row>
    <row r="91">
      <c r="A91" s="242"/>
      <c r="B91" s="242"/>
      <c r="C91" s="242"/>
      <c r="D91" s="242"/>
      <c r="E91" s="242"/>
      <c r="F91" s="242"/>
      <c r="G91" s="242"/>
      <c r="H91" s="242"/>
      <c r="I91" s="242"/>
      <c r="J91" s="242"/>
      <c r="K91" s="242"/>
      <c r="L91" s="242"/>
      <c r="M91" s="13"/>
      <c r="N91" s="13"/>
      <c r="O91" s="13"/>
      <c r="P91" s="341"/>
      <c r="Q91" s="13"/>
      <c r="R91" s="242"/>
      <c r="S91" s="242"/>
      <c r="T91" s="242"/>
      <c r="U91" s="242"/>
      <c r="V91" s="242"/>
      <c r="W91" s="242"/>
      <c r="X91" s="242"/>
    </row>
    <row r="92">
      <c r="A92" s="242"/>
      <c r="B92" s="242"/>
      <c r="C92" s="242"/>
      <c r="D92" s="242"/>
      <c r="E92" s="242"/>
      <c r="F92" s="242"/>
      <c r="G92" s="242"/>
      <c r="H92" s="242"/>
      <c r="I92" s="242"/>
      <c r="J92" s="242"/>
      <c r="K92" s="242"/>
      <c r="L92" s="242"/>
      <c r="M92" s="13"/>
      <c r="N92" s="13"/>
      <c r="O92" s="13"/>
      <c r="P92" s="341"/>
      <c r="Q92" s="13"/>
      <c r="R92" s="242"/>
      <c r="S92" s="242"/>
      <c r="T92" s="242"/>
      <c r="U92" s="242"/>
      <c r="V92" s="242"/>
      <c r="W92" s="242"/>
      <c r="X92" s="242"/>
    </row>
    <row r="93">
      <c r="A93" s="242"/>
      <c r="B93" s="242"/>
      <c r="C93" s="242"/>
      <c r="D93" s="242"/>
      <c r="E93" s="242"/>
      <c r="F93" s="242"/>
      <c r="G93" s="242"/>
      <c r="H93" s="242"/>
      <c r="I93" s="242"/>
      <c r="J93" s="242"/>
      <c r="K93" s="242"/>
      <c r="L93" s="242"/>
      <c r="M93" s="13"/>
      <c r="N93" s="13"/>
      <c r="O93" s="13"/>
      <c r="P93" s="341"/>
      <c r="Q93" s="13"/>
      <c r="R93" s="242"/>
      <c r="S93" s="242"/>
      <c r="T93" s="242"/>
      <c r="U93" s="242"/>
      <c r="V93" s="242"/>
      <c r="W93" s="242"/>
      <c r="X93" s="242"/>
    </row>
    <row r="94">
      <c r="A94" s="242"/>
      <c r="B94" s="242"/>
      <c r="C94" s="242"/>
      <c r="D94" s="242"/>
      <c r="E94" s="242"/>
      <c r="F94" s="242"/>
      <c r="G94" s="242"/>
      <c r="H94" s="242"/>
      <c r="I94" s="242"/>
      <c r="J94" s="242"/>
      <c r="K94" s="242"/>
      <c r="L94" s="242"/>
      <c r="M94" s="13"/>
      <c r="N94" s="13"/>
      <c r="O94" s="13"/>
      <c r="P94" s="341"/>
      <c r="Q94" s="13"/>
      <c r="R94" s="242"/>
      <c r="S94" s="242"/>
      <c r="T94" s="242"/>
      <c r="U94" s="242"/>
      <c r="V94" s="242"/>
      <c r="W94" s="242"/>
      <c r="X94" s="242"/>
    </row>
    <row r="95">
      <c r="A95" s="242"/>
      <c r="B95" s="242"/>
      <c r="C95" s="242"/>
      <c r="D95" s="242"/>
      <c r="E95" s="242"/>
      <c r="F95" s="242"/>
      <c r="G95" s="242"/>
      <c r="H95" s="242"/>
      <c r="I95" s="242"/>
      <c r="J95" s="242"/>
      <c r="K95" s="242"/>
      <c r="L95" s="242"/>
      <c r="M95" s="13"/>
      <c r="N95" s="13"/>
      <c r="O95" s="13"/>
      <c r="P95" s="341"/>
      <c r="Q95" s="13"/>
      <c r="R95" s="242"/>
      <c r="S95" s="242"/>
      <c r="T95" s="242"/>
      <c r="U95" s="242"/>
      <c r="V95" s="242"/>
      <c r="W95" s="242"/>
      <c r="X95" s="242"/>
    </row>
    <row r="96">
      <c r="A96" s="242"/>
      <c r="B96" s="242"/>
      <c r="C96" s="242"/>
      <c r="D96" s="242"/>
      <c r="E96" s="242"/>
      <c r="F96" s="242"/>
      <c r="G96" s="242"/>
      <c r="H96" s="242"/>
      <c r="I96" s="242"/>
      <c r="J96" s="242"/>
      <c r="K96" s="242"/>
      <c r="L96" s="242"/>
      <c r="M96" s="13"/>
      <c r="N96" s="13"/>
      <c r="O96" s="13"/>
      <c r="P96" s="341"/>
      <c r="Q96" s="13"/>
      <c r="R96" s="242"/>
      <c r="S96" s="242"/>
      <c r="T96" s="242"/>
      <c r="U96" s="242"/>
      <c r="V96" s="242"/>
      <c r="W96" s="242"/>
      <c r="X96" s="242"/>
    </row>
    <row r="97">
      <c r="A97" s="242"/>
      <c r="B97" s="242"/>
      <c r="C97" s="242"/>
      <c r="D97" s="242"/>
      <c r="E97" s="242"/>
      <c r="F97" s="242"/>
      <c r="G97" s="242"/>
      <c r="H97" s="242"/>
      <c r="I97" s="242"/>
      <c r="J97" s="242"/>
      <c r="K97" s="242"/>
      <c r="L97" s="242"/>
      <c r="M97" s="13"/>
      <c r="N97" s="13"/>
      <c r="O97" s="13"/>
      <c r="P97" s="341"/>
      <c r="Q97" s="13"/>
      <c r="R97" s="242"/>
      <c r="S97" s="242"/>
      <c r="T97" s="242"/>
      <c r="U97" s="242"/>
      <c r="V97" s="242"/>
      <c r="W97" s="242"/>
      <c r="X97" s="242"/>
    </row>
    <row r="98">
      <c r="A98" s="242"/>
      <c r="B98" s="242"/>
      <c r="C98" s="242"/>
      <c r="D98" s="242"/>
      <c r="E98" s="242"/>
      <c r="F98" s="242"/>
      <c r="G98" s="242"/>
      <c r="H98" s="242"/>
      <c r="I98" s="242"/>
      <c r="J98" s="242"/>
      <c r="K98" s="242"/>
      <c r="L98" s="242"/>
      <c r="M98" s="13"/>
      <c r="N98" s="13"/>
      <c r="O98" s="13"/>
      <c r="P98" s="341"/>
      <c r="Q98" s="13"/>
      <c r="R98" s="242"/>
      <c r="S98" s="242"/>
      <c r="T98" s="242"/>
      <c r="U98" s="242"/>
      <c r="V98" s="242"/>
      <c r="W98" s="242"/>
      <c r="X98" s="242"/>
    </row>
    <row r="99">
      <c r="A99" s="242"/>
      <c r="B99" s="242"/>
      <c r="C99" s="242"/>
      <c r="D99" s="242"/>
      <c r="E99" s="242"/>
      <c r="F99" s="242"/>
      <c r="G99" s="242"/>
      <c r="H99" s="242"/>
      <c r="I99" s="242"/>
      <c r="J99" s="242"/>
      <c r="K99" s="242"/>
      <c r="L99" s="242"/>
      <c r="M99" s="13"/>
      <c r="N99" s="13"/>
      <c r="O99" s="13"/>
      <c r="P99" s="341"/>
      <c r="Q99" s="13"/>
      <c r="R99" s="242"/>
      <c r="S99" s="242"/>
      <c r="T99" s="242"/>
      <c r="U99" s="242"/>
      <c r="V99" s="242"/>
      <c r="W99" s="242"/>
      <c r="X99" s="242"/>
    </row>
    <row r="100">
      <c r="A100" s="242"/>
      <c r="B100" s="242"/>
      <c r="C100" s="242"/>
      <c r="D100" s="242"/>
      <c r="E100" s="242"/>
      <c r="F100" s="242"/>
      <c r="G100" s="242"/>
      <c r="H100" s="242"/>
      <c r="I100" s="242"/>
      <c r="J100" s="242"/>
      <c r="K100" s="242"/>
      <c r="L100" s="242"/>
      <c r="M100" s="13"/>
      <c r="N100" s="13"/>
      <c r="O100" s="13"/>
      <c r="P100" s="341"/>
      <c r="Q100" s="13"/>
      <c r="R100" s="242"/>
      <c r="S100" s="242"/>
      <c r="T100" s="242"/>
      <c r="U100" s="242"/>
      <c r="V100" s="242"/>
      <c r="W100" s="242"/>
      <c r="X100" s="242"/>
    </row>
    <row r="101">
      <c r="A101" s="242"/>
      <c r="B101" s="242"/>
      <c r="C101" s="242"/>
      <c r="D101" s="242"/>
      <c r="E101" s="242"/>
      <c r="F101" s="242"/>
      <c r="G101" s="242"/>
      <c r="H101" s="242"/>
      <c r="I101" s="242"/>
      <c r="J101" s="242"/>
      <c r="K101" s="242"/>
      <c r="L101" s="242"/>
      <c r="M101" s="13"/>
      <c r="N101" s="13"/>
      <c r="O101" s="13"/>
      <c r="P101" s="341"/>
      <c r="Q101" s="13"/>
      <c r="R101" s="242"/>
      <c r="S101" s="242"/>
      <c r="T101" s="242"/>
      <c r="U101" s="242"/>
      <c r="V101" s="242"/>
      <c r="W101" s="242"/>
      <c r="X101" s="242"/>
    </row>
    <row r="102">
      <c r="A102" s="242"/>
      <c r="B102" s="242"/>
      <c r="C102" s="242"/>
      <c r="D102" s="242"/>
      <c r="E102" s="242"/>
      <c r="F102" s="242"/>
      <c r="G102" s="242"/>
      <c r="H102" s="242"/>
      <c r="I102" s="242"/>
      <c r="J102" s="242"/>
      <c r="K102" s="242"/>
      <c r="L102" s="242"/>
      <c r="M102" s="13"/>
      <c r="N102" s="13"/>
      <c r="O102" s="13"/>
      <c r="P102" s="341"/>
      <c r="Q102" s="13"/>
      <c r="R102" s="242"/>
      <c r="S102" s="242"/>
      <c r="T102" s="242"/>
      <c r="U102" s="242"/>
      <c r="V102" s="242"/>
      <c r="W102" s="242"/>
      <c r="X102" s="242"/>
    </row>
    <row r="103">
      <c r="A103" s="242"/>
      <c r="B103" s="242"/>
      <c r="C103" s="242"/>
      <c r="D103" s="242"/>
      <c r="E103" s="242"/>
      <c r="F103" s="242"/>
      <c r="G103" s="242"/>
      <c r="H103" s="242"/>
      <c r="I103" s="242"/>
      <c r="J103" s="242"/>
      <c r="K103" s="242"/>
      <c r="L103" s="242"/>
      <c r="M103" s="13"/>
      <c r="N103" s="13"/>
      <c r="O103" s="13"/>
      <c r="P103" s="341"/>
      <c r="Q103" s="13"/>
      <c r="R103" s="242"/>
      <c r="S103" s="242"/>
      <c r="T103" s="242"/>
      <c r="U103" s="242"/>
      <c r="V103" s="242"/>
      <c r="W103" s="242"/>
      <c r="X103" s="242"/>
    </row>
    <row r="104">
      <c r="A104" s="242"/>
      <c r="B104" s="242"/>
      <c r="C104" s="242"/>
      <c r="D104" s="242"/>
      <c r="E104" s="242"/>
      <c r="F104" s="242"/>
      <c r="G104" s="242"/>
      <c r="H104" s="242"/>
      <c r="I104" s="242"/>
      <c r="J104" s="242"/>
      <c r="K104" s="242"/>
      <c r="L104" s="242"/>
      <c r="M104" s="13"/>
      <c r="N104" s="13"/>
      <c r="O104" s="13"/>
      <c r="P104" s="341"/>
      <c r="Q104" s="13"/>
      <c r="R104" s="242"/>
      <c r="S104" s="242"/>
      <c r="T104" s="242"/>
      <c r="U104" s="242"/>
      <c r="V104" s="242"/>
      <c r="W104" s="242"/>
      <c r="X104" s="242"/>
    </row>
    <row r="105">
      <c r="A105" s="242"/>
      <c r="B105" s="242"/>
      <c r="C105" s="242"/>
      <c r="D105" s="242"/>
      <c r="E105" s="242"/>
      <c r="F105" s="242"/>
      <c r="G105" s="242"/>
      <c r="H105" s="242"/>
      <c r="I105" s="242"/>
      <c r="J105" s="242"/>
      <c r="K105" s="242"/>
      <c r="L105" s="242"/>
      <c r="M105" s="13"/>
      <c r="N105" s="13"/>
      <c r="O105" s="13"/>
      <c r="P105" s="341"/>
      <c r="Q105" s="13"/>
      <c r="R105" s="242"/>
      <c r="S105" s="242"/>
      <c r="T105" s="242"/>
      <c r="U105" s="242"/>
      <c r="V105" s="242"/>
      <c r="W105" s="242"/>
      <c r="X105" s="242"/>
    </row>
    <row r="106">
      <c r="A106" s="242"/>
      <c r="B106" s="242"/>
      <c r="C106" s="242"/>
      <c r="D106" s="242"/>
      <c r="E106" s="242"/>
      <c r="F106" s="242"/>
      <c r="G106" s="242"/>
      <c r="H106" s="242"/>
      <c r="I106" s="242"/>
      <c r="J106" s="242"/>
      <c r="K106" s="242"/>
      <c r="L106" s="242"/>
      <c r="M106" s="13"/>
      <c r="N106" s="13"/>
      <c r="O106" s="13"/>
      <c r="P106" s="341"/>
      <c r="Q106" s="13"/>
      <c r="R106" s="242"/>
      <c r="S106" s="242"/>
      <c r="T106" s="242"/>
      <c r="U106" s="242"/>
      <c r="V106" s="242"/>
      <c r="W106" s="242"/>
      <c r="X106" s="242"/>
    </row>
    <row r="107">
      <c r="A107" s="242"/>
      <c r="B107" s="242"/>
      <c r="C107" s="242"/>
      <c r="D107" s="242"/>
      <c r="E107" s="242"/>
      <c r="F107" s="242"/>
      <c r="G107" s="242"/>
      <c r="H107" s="242"/>
      <c r="I107" s="242"/>
      <c r="J107" s="242"/>
      <c r="K107" s="242"/>
      <c r="L107" s="242"/>
      <c r="M107" s="13"/>
      <c r="N107" s="13"/>
      <c r="O107" s="13"/>
      <c r="P107" s="341"/>
      <c r="Q107" s="13"/>
      <c r="R107" s="242"/>
      <c r="S107" s="242"/>
      <c r="T107" s="242"/>
      <c r="U107" s="242"/>
      <c r="V107" s="242"/>
      <c r="W107" s="242"/>
      <c r="X107" s="242"/>
    </row>
    <row r="108">
      <c r="A108" s="242"/>
      <c r="B108" s="242"/>
      <c r="C108" s="242"/>
      <c r="D108" s="242"/>
      <c r="E108" s="242"/>
      <c r="F108" s="242"/>
      <c r="G108" s="242"/>
      <c r="H108" s="242"/>
      <c r="I108" s="242"/>
      <c r="J108" s="242"/>
      <c r="K108" s="242"/>
      <c r="L108" s="242"/>
      <c r="M108" s="13"/>
      <c r="N108" s="13"/>
      <c r="O108" s="13"/>
      <c r="P108" s="341"/>
      <c r="Q108" s="13"/>
      <c r="R108" s="242"/>
      <c r="S108" s="242"/>
      <c r="T108" s="242"/>
      <c r="U108" s="242"/>
      <c r="V108" s="242"/>
      <c r="W108" s="242"/>
      <c r="X108" s="242"/>
    </row>
    <row r="109">
      <c r="A109" s="242"/>
      <c r="B109" s="242"/>
      <c r="C109" s="242"/>
      <c r="D109" s="242"/>
      <c r="E109" s="242"/>
      <c r="F109" s="242"/>
      <c r="G109" s="242"/>
      <c r="H109" s="242"/>
      <c r="I109" s="242"/>
      <c r="J109" s="242"/>
      <c r="K109" s="242"/>
      <c r="L109" s="242"/>
      <c r="M109" s="13"/>
      <c r="N109" s="13"/>
      <c r="O109" s="13"/>
      <c r="P109" s="341"/>
      <c r="Q109" s="13"/>
      <c r="R109" s="242"/>
      <c r="S109" s="242"/>
      <c r="T109" s="242"/>
      <c r="U109" s="242"/>
      <c r="V109" s="242"/>
      <c r="W109" s="242"/>
      <c r="X109" s="242"/>
    </row>
    <row r="110">
      <c r="A110" s="242"/>
      <c r="B110" s="242"/>
      <c r="C110" s="242"/>
      <c r="D110" s="242"/>
      <c r="E110" s="242"/>
      <c r="F110" s="242"/>
      <c r="G110" s="242"/>
      <c r="H110" s="242"/>
      <c r="I110" s="242"/>
      <c r="J110" s="242"/>
      <c r="K110" s="242"/>
      <c r="L110" s="242"/>
      <c r="M110" s="13"/>
      <c r="N110" s="13"/>
      <c r="O110" s="13"/>
      <c r="P110" s="341"/>
      <c r="Q110" s="13"/>
      <c r="R110" s="242"/>
      <c r="S110" s="242"/>
      <c r="T110" s="242"/>
      <c r="U110" s="242"/>
      <c r="V110" s="242"/>
      <c r="W110" s="242"/>
      <c r="X110" s="242"/>
    </row>
    <row r="111">
      <c r="A111" s="242"/>
      <c r="B111" s="242"/>
      <c r="C111" s="242"/>
      <c r="D111" s="242"/>
      <c r="E111" s="242"/>
      <c r="F111" s="242"/>
      <c r="G111" s="242"/>
      <c r="H111" s="242"/>
      <c r="I111" s="242"/>
      <c r="J111" s="242"/>
      <c r="K111" s="242"/>
      <c r="L111" s="242"/>
      <c r="M111" s="13"/>
      <c r="N111" s="13"/>
      <c r="O111" s="13"/>
      <c r="P111" s="341"/>
      <c r="Q111" s="13"/>
      <c r="R111" s="242"/>
      <c r="S111" s="242"/>
      <c r="T111" s="242"/>
      <c r="U111" s="242"/>
      <c r="V111" s="242"/>
      <c r="W111" s="242"/>
      <c r="X111" s="242"/>
    </row>
    <row r="112">
      <c r="A112" s="242"/>
      <c r="B112" s="242"/>
      <c r="C112" s="242"/>
      <c r="D112" s="242"/>
      <c r="E112" s="242"/>
      <c r="F112" s="242"/>
      <c r="G112" s="242"/>
      <c r="H112" s="242"/>
      <c r="I112" s="242"/>
      <c r="J112" s="242"/>
      <c r="K112" s="242"/>
      <c r="L112" s="242"/>
      <c r="M112" s="13"/>
      <c r="N112" s="13"/>
      <c r="O112" s="13"/>
      <c r="P112" s="341"/>
      <c r="Q112" s="13"/>
      <c r="R112" s="242"/>
      <c r="S112" s="242"/>
      <c r="T112" s="242"/>
      <c r="U112" s="242"/>
      <c r="V112" s="242"/>
      <c r="W112" s="242"/>
      <c r="X112" s="242"/>
    </row>
    <row r="113">
      <c r="A113" s="242"/>
      <c r="B113" s="242"/>
      <c r="C113" s="242"/>
      <c r="D113" s="242"/>
      <c r="E113" s="242"/>
      <c r="F113" s="242"/>
      <c r="G113" s="242"/>
      <c r="H113" s="242"/>
      <c r="I113" s="242"/>
      <c r="J113" s="242"/>
      <c r="K113" s="242"/>
      <c r="L113" s="242"/>
      <c r="M113" s="13"/>
      <c r="N113" s="13"/>
      <c r="O113" s="13"/>
      <c r="P113" s="341"/>
      <c r="Q113" s="13"/>
      <c r="R113" s="242"/>
      <c r="S113" s="242"/>
      <c r="T113" s="242"/>
      <c r="U113" s="242"/>
      <c r="V113" s="242"/>
      <c r="W113" s="242"/>
      <c r="X113" s="242"/>
    </row>
    <row r="114">
      <c r="A114" s="242"/>
      <c r="B114" s="242"/>
      <c r="C114" s="242"/>
      <c r="D114" s="242"/>
      <c r="E114" s="242"/>
      <c r="F114" s="242"/>
      <c r="G114" s="242"/>
      <c r="H114" s="242"/>
      <c r="I114" s="242"/>
      <c r="J114" s="242"/>
      <c r="K114" s="242"/>
      <c r="L114" s="242"/>
      <c r="M114" s="13"/>
      <c r="N114" s="13"/>
      <c r="O114" s="13"/>
      <c r="P114" s="341"/>
      <c r="Q114" s="13"/>
      <c r="R114" s="242"/>
      <c r="S114" s="242"/>
      <c r="T114" s="242"/>
      <c r="U114" s="242"/>
      <c r="V114" s="242"/>
      <c r="W114" s="242"/>
      <c r="X114" s="242"/>
    </row>
    <row r="115">
      <c r="A115" s="242"/>
      <c r="B115" s="242"/>
      <c r="C115" s="242"/>
      <c r="D115" s="242"/>
      <c r="E115" s="242"/>
      <c r="F115" s="242"/>
      <c r="G115" s="242"/>
      <c r="H115" s="242"/>
      <c r="I115" s="242"/>
      <c r="J115" s="242"/>
      <c r="K115" s="242"/>
      <c r="L115" s="242"/>
      <c r="M115" s="13"/>
      <c r="N115" s="13"/>
      <c r="O115" s="13"/>
      <c r="P115" s="341"/>
      <c r="Q115" s="13"/>
      <c r="R115" s="242"/>
      <c r="S115" s="242"/>
      <c r="T115" s="242"/>
      <c r="U115" s="242"/>
      <c r="V115" s="242"/>
      <c r="W115" s="242"/>
      <c r="X115" s="242"/>
    </row>
    <row r="116">
      <c r="A116" s="242"/>
      <c r="B116" s="242"/>
      <c r="C116" s="242"/>
      <c r="D116" s="242"/>
      <c r="E116" s="242"/>
      <c r="F116" s="242"/>
      <c r="G116" s="242"/>
      <c r="H116" s="242"/>
      <c r="I116" s="242"/>
      <c r="J116" s="242"/>
      <c r="K116" s="242"/>
      <c r="L116" s="242"/>
      <c r="M116" s="13"/>
      <c r="N116" s="13"/>
      <c r="O116" s="13"/>
      <c r="P116" s="341"/>
      <c r="Q116" s="13"/>
      <c r="R116" s="242"/>
      <c r="S116" s="242"/>
      <c r="T116" s="242"/>
      <c r="U116" s="242"/>
      <c r="V116" s="242"/>
      <c r="W116" s="242"/>
      <c r="X116" s="242"/>
    </row>
    <row r="117">
      <c r="A117" s="242"/>
      <c r="B117" s="242"/>
      <c r="C117" s="242"/>
      <c r="D117" s="242"/>
      <c r="E117" s="242"/>
      <c r="F117" s="242"/>
      <c r="G117" s="242"/>
      <c r="H117" s="242"/>
      <c r="I117" s="242"/>
      <c r="J117" s="242"/>
      <c r="K117" s="242"/>
      <c r="L117" s="242"/>
      <c r="M117" s="13"/>
      <c r="N117" s="13"/>
      <c r="O117" s="13"/>
      <c r="P117" s="341"/>
      <c r="Q117" s="13"/>
      <c r="R117" s="242"/>
      <c r="S117" s="242"/>
      <c r="T117" s="242"/>
      <c r="U117" s="242"/>
      <c r="V117" s="242"/>
      <c r="W117" s="242"/>
      <c r="X117" s="242"/>
    </row>
    <row r="118">
      <c r="A118" s="242"/>
      <c r="B118" s="242"/>
      <c r="C118" s="242"/>
      <c r="D118" s="242"/>
      <c r="E118" s="242"/>
      <c r="F118" s="242"/>
      <c r="G118" s="242"/>
      <c r="H118" s="242"/>
      <c r="I118" s="242"/>
      <c r="J118" s="242"/>
      <c r="K118" s="242"/>
      <c r="L118" s="242"/>
      <c r="M118" s="13"/>
      <c r="N118" s="13"/>
      <c r="O118" s="13"/>
      <c r="P118" s="341"/>
      <c r="Q118" s="13"/>
      <c r="R118" s="242"/>
      <c r="S118" s="242"/>
      <c r="T118" s="242"/>
      <c r="U118" s="242"/>
      <c r="V118" s="242"/>
      <c r="W118" s="242"/>
      <c r="X118" s="242"/>
    </row>
    <row r="119">
      <c r="A119" s="242"/>
      <c r="B119" s="242"/>
      <c r="C119" s="242"/>
      <c r="D119" s="242"/>
      <c r="E119" s="242"/>
      <c r="F119" s="242"/>
      <c r="G119" s="242"/>
      <c r="H119" s="242"/>
      <c r="I119" s="242"/>
      <c r="J119" s="242"/>
      <c r="K119" s="242"/>
      <c r="L119" s="242"/>
      <c r="M119" s="13"/>
      <c r="N119" s="13"/>
      <c r="O119" s="13"/>
      <c r="P119" s="341"/>
      <c r="Q119" s="13"/>
      <c r="R119" s="242"/>
      <c r="S119" s="242"/>
      <c r="T119" s="242"/>
      <c r="U119" s="242"/>
      <c r="V119" s="242"/>
      <c r="W119" s="242"/>
      <c r="X119" s="242"/>
    </row>
    <row r="120">
      <c r="A120" s="242"/>
      <c r="B120" s="242"/>
      <c r="C120" s="242"/>
      <c r="D120" s="242"/>
      <c r="E120" s="242"/>
      <c r="F120" s="242"/>
      <c r="G120" s="242"/>
      <c r="H120" s="242"/>
      <c r="I120" s="242"/>
      <c r="J120" s="242"/>
      <c r="K120" s="242"/>
      <c r="L120" s="242"/>
      <c r="M120" s="13"/>
      <c r="N120" s="13"/>
      <c r="O120" s="13"/>
      <c r="P120" s="341"/>
      <c r="Q120" s="13"/>
      <c r="R120" s="242"/>
      <c r="S120" s="242"/>
      <c r="T120" s="242"/>
      <c r="U120" s="242"/>
      <c r="V120" s="242"/>
      <c r="W120" s="242"/>
      <c r="X120" s="242"/>
    </row>
    <row r="121">
      <c r="A121" s="242"/>
      <c r="B121" s="242"/>
      <c r="C121" s="242"/>
      <c r="D121" s="242"/>
      <c r="E121" s="242"/>
      <c r="F121" s="242"/>
      <c r="G121" s="242"/>
      <c r="H121" s="242"/>
      <c r="I121" s="242"/>
      <c r="J121" s="242"/>
      <c r="K121" s="242"/>
      <c r="L121" s="242"/>
      <c r="M121" s="13"/>
      <c r="N121" s="13"/>
      <c r="O121" s="13"/>
      <c r="P121" s="341"/>
      <c r="Q121" s="13"/>
      <c r="R121" s="242"/>
      <c r="S121" s="242"/>
      <c r="T121" s="242"/>
      <c r="U121" s="242"/>
      <c r="V121" s="242"/>
      <c r="W121" s="242"/>
      <c r="X121" s="242"/>
    </row>
    <row r="122">
      <c r="A122" s="242"/>
      <c r="B122" s="242"/>
      <c r="C122" s="242"/>
      <c r="D122" s="242"/>
      <c r="E122" s="242"/>
      <c r="F122" s="242"/>
      <c r="G122" s="242"/>
      <c r="H122" s="242"/>
      <c r="I122" s="242"/>
      <c r="J122" s="242"/>
      <c r="K122" s="242"/>
      <c r="L122" s="242"/>
      <c r="M122" s="13"/>
      <c r="N122" s="13"/>
      <c r="O122" s="13"/>
      <c r="P122" s="341"/>
      <c r="Q122" s="13"/>
      <c r="R122" s="242"/>
      <c r="S122" s="242"/>
      <c r="T122" s="242"/>
      <c r="U122" s="242"/>
      <c r="V122" s="242"/>
      <c r="W122" s="242"/>
      <c r="X122" s="242"/>
    </row>
    <row r="123">
      <c r="A123" s="242"/>
      <c r="B123" s="242"/>
      <c r="C123" s="242"/>
      <c r="D123" s="242"/>
      <c r="E123" s="242"/>
      <c r="F123" s="242"/>
      <c r="G123" s="242"/>
      <c r="H123" s="242"/>
      <c r="I123" s="242"/>
      <c r="J123" s="242"/>
      <c r="K123" s="242"/>
      <c r="L123" s="242"/>
      <c r="M123" s="13"/>
      <c r="N123" s="13"/>
      <c r="O123" s="13"/>
      <c r="P123" s="341"/>
      <c r="Q123" s="13"/>
      <c r="R123" s="242"/>
      <c r="S123" s="242"/>
      <c r="T123" s="242"/>
      <c r="U123" s="242"/>
      <c r="V123" s="242"/>
      <c r="W123" s="242"/>
      <c r="X123" s="242"/>
    </row>
    <row r="124">
      <c r="A124" s="242"/>
      <c r="B124" s="242"/>
      <c r="C124" s="242"/>
      <c r="D124" s="242"/>
      <c r="E124" s="242"/>
      <c r="F124" s="242"/>
      <c r="G124" s="242"/>
      <c r="H124" s="242"/>
      <c r="I124" s="242"/>
      <c r="J124" s="242"/>
      <c r="K124" s="242"/>
      <c r="L124" s="242"/>
      <c r="M124" s="13"/>
      <c r="N124" s="13"/>
      <c r="O124" s="13"/>
      <c r="P124" s="341"/>
      <c r="Q124" s="13"/>
      <c r="R124" s="242"/>
      <c r="S124" s="242"/>
      <c r="T124" s="242"/>
      <c r="U124" s="242"/>
      <c r="V124" s="242"/>
      <c r="W124" s="242"/>
      <c r="X124" s="242"/>
    </row>
    <row r="125">
      <c r="A125" s="242"/>
      <c r="B125" s="242"/>
      <c r="C125" s="242"/>
      <c r="D125" s="242"/>
      <c r="E125" s="242"/>
      <c r="F125" s="242"/>
      <c r="G125" s="242"/>
      <c r="H125" s="242"/>
      <c r="I125" s="242"/>
      <c r="J125" s="242"/>
      <c r="K125" s="242"/>
      <c r="L125" s="242"/>
      <c r="M125" s="13"/>
      <c r="N125" s="13"/>
      <c r="O125" s="13"/>
      <c r="P125" s="341"/>
      <c r="Q125" s="13"/>
      <c r="R125" s="242"/>
      <c r="S125" s="242"/>
      <c r="T125" s="242"/>
      <c r="U125" s="242"/>
      <c r="V125" s="242"/>
      <c r="W125" s="242"/>
      <c r="X125" s="242"/>
    </row>
    <row r="126">
      <c r="A126" s="242"/>
      <c r="B126" s="242"/>
      <c r="C126" s="242"/>
      <c r="D126" s="242"/>
      <c r="E126" s="242"/>
      <c r="F126" s="242"/>
      <c r="G126" s="242"/>
      <c r="H126" s="242"/>
      <c r="I126" s="242"/>
      <c r="J126" s="242"/>
      <c r="K126" s="242"/>
      <c r="L126" s="242"/>
      <c r="M126" s="13"/>
      <c r="N126" s="13"/>
      <c r="O126" s="13"/>
      <c r="P126" s="341"/>
      <c r="Q126" s="13"/>
      <c r="R126" s="242"/>
      <c r="S126" s="242"/>
      <c r="T126" s="242"/>
      <c r="U126" s="242"/>
      <c r="V126" s="242"/>
      <c r="W126" s="242"/>
      <c r="X126" s="242"/>
    </row>
    <row r="127">
      <c r="A127" s="242"/>
      <c r="B127" s="242"/>
      <c r="C127" s="242"/>
      <c r="D127" s="242"/>
      <c r="E127" s="242"/>
      <c r="F127" s="242"/>
      <c r="G127" s="242"/>
      <c r="H127" s="242"/>
      <c r="I127" s="242"/>
      <c r="J127" s="242"/>
      <c r="K127" s="242"/>
      <c r="L127" s="242"/>
      <c r="M127" s="13"/>
      <c r="N127" s="13"/>
      <c r="O127" s="13"/>
      <c r="P127" s="341"/>
      <c r="Q127" s="13"/>
      <c r="R127" s="242"/>
      <c r="S127" s="242"/>
      <c r="T127" s="242"/>
      <c r="U127" s="242"/>
      <c r="V127" s="242"/>
      <c r="W127" s="242"/>
      <c r="X127" s="242"/>
    </row>
    <row r="128">
      <c r="A128" s="242"/>
      <c r="B128" s="242"/>
      <c r="C128" s="242"/>
      <c r="D128" s="242"/>
      <c r="E128" s="242"/>
      <c r="F128" s="242"/>
      <c r="G128" s="242"/>
      <c r="H128" s="242"/>
      <c r="I128" s="242"/>
      <c r="J128" s="242"/>
      <c r="K128" s="242"/>
      <c r="L128" s="242"/>
      <c r="M128" s="13"/>
      <c r="N128" s="13"/>
      <c r="O128" s="13"/>
      <c r="P128" s="341"/>
      <c r="Q128" s="13"/>
      <c r="R128" s="242"/>
      <c r="S128" s="242"/>
      <c r="T128" s="242"/>
      <c r="U128" s="242"/>
      <c r="V128" s="242"/>
      <c r="W128" s="242"/>
      <c r="X128" s="242"/>
    </row>
    <row r="129">
      <c r="A129" s="242"/>
      <c r="B129" s="242"/>
      <c r="C129" s="242"/>
      <c r="D129" s="242"/>
      <c r="E129" s="242"/>
      <c r="F129" s="242"/>
      <c r="G129" s="242"/>
      <c r="H129" s="242"/>
      <c r="I129" s="242"/>
      <c r="J129" s="242"/>
      <c r="K129" s="242"/>
      <c r="L129" s="242"/>
      <c r="M129" s="13"/>
      <c r="N129" s="13"/>
      <c r="O129" s="13"/>
      <c r="P129" s="341"/>
      <c r="Q129" s="13"/>
      <c r="R129" s="242"/>
      <c r="S129" s="242"/>
      <c r="T129" s="242"/>
      <c r="U129" s="242"/>
      <c r="V129" s="242"/>
      <c r="W129" s="242"/>
      <c r="X129" s="242"/>
    </row>
    <row r="130">
      <c r="A130" s="242"/>
      <c r="B130" s="242"/>
      <c r="C130" s="242"/>
      <c r="D130" s="242"/>
      <c r="E130" s="242"/>
      <c r="F130" s="242"/>
      <c r="G130" s="242"/>
      <c r="H130" s="242"/>
      <c r="I130" s="242"/>
      <c r="J130" s="242"/>
      <c r="K130" s="242"/>
      <c r="L130" s="242"/>
      <c r="M130" s="13"/>
      <c r="N130" s="13"/>
      <c r="O130" s="13"/>
      <c r="P130" s="341"/>
      <c r="Q130" s="13"/>
      <c r="R130" s="242"/>
      <c r="S130" s="242"/>
      <c r="T130" s="242"/>
      <c r="U130" s="242"/>
      <c r="V130" s="242"/>
      <c r="W130" s="242"/>
      <c r="X130" s="242"/>
    </row>
    <row r="131">
      <c r="A131" s="242"/>
      <c r="B131" s="242"/>
      <c r="C131" s="242"/>
      <c r="D131" s="242"/>
      <c r="E131" s="242"/>
      <c r="F131" s="242"/>
      <c r="G131" s="242"/>
      <c r="H131" s="242"/>
      <c r="I131" s="242"/>
      <c r="J131" s="242"/>
      <c r="K131" s="242"/>
      <c r="L131" s="242"/>
      <c r="M131" s="13"/>
      <c r="N131" s="13"/>
      <c r="O131" s="13"/>
      <c r="P131" s="341"/>
      <c r="Q131" s="13"/>
      <c r="R131" s="242"/>
      <c r="S131" s="242"/>
      <c r="T131" s="242"/>
      <c r="U131" s="242"/>
      <c r="V131" s="242"/>
      <c r="W131" s="242"/>
      <c r="X131" s="242"/>
    </row>
    <row r="132">
      <c r="A132" s="242"/>
      <c r="B132" s="242"/>
      <c r="C132" s="242"/>
      <c r="D132" s="242"/>
      <c r="E132" s="242"/>
      <c r="F132" s="242"/>
      <c r="G132" s="242"/>
      <c r="H132" s="242"/>
      <c r="I132" s="242"/>
      <c r="J132" s="242"/>
      <c r="K132" s="242"/>
      <c r="L132" s="242"/>
      <c r="M132" s="13"/>
      <c r="N132" s="13"/>
      <c r="O132" s="13"/>
      <c r="P132" s="341"/>
      <c r="Q132" s="13"/>
      <c r="R132" s="242"/>
      <c r="S132" s="242"/>
      <c r="T132" s="242"/>
      <c r="U132" s="242"/>
      <c r="V132" s="242"/>
      <c r="W132" s="242"/>
      <c r="X132" s="242"/>
    </row>
    <row r="133">
      <c r="A133" s="242"/>
      <c r="B133" s="242"/>
      <c r="C133" s="242"/>
      <c r="D133" s="242"/>
      <c r="E133" s="242"/>
      <c r="F133" s="242"/>
      <c r="G133" s="242"/>
      <c r="H133" s="242"/>
      <c r="I133" s="242"/>
      <c r="J133" s="242"/>
      <c r="K133" s="242"/>
      <c r="L133" s="242"/>
      <c r="M133" s="13"/>
      <c r="N133" s="13"/>
      <c r="O133" s="13"/>
      <c r="P133" s="341"/>
      <c r="Q133" s="13"/>
      <c r="R133" s="242"/>
      <c r="S133" s="242"/>
      <c r="T133" s="242"/>
      <c r="U133" s="242"/>
      <c r="V133" s="242"/>
      <c r="W133" s="242"/>
      <c r="X133" s="242"/>
    </row>
    <row r="134">
      <c r="A134" s="242"/>
      <c r="B134" s="242"/>
      <c r="C134" s="242"/>
      <c r="D134" s="242"/>
      <c r="E134" s="242"/>
      <c r="F134" s="242"/>
      <c r="G134" s="242"/>
      <c r="H134" s="242"/>
      <c r="I134" s="242"/>
      <c r="J134" s="242"/>
      <c r="K134" s="242"/>
      <c r="L134" s="242"/>
      <c r="M134" s="13"/>
      <c r="N134" s="13"/>
      <c r="O134" s="13"/>
      <c r="P134" s="341"/>
      <c r="Q134" s="13"/>
      <c r="R134" s="242"/>
      <c r="S134" s="242"/>
      <c r="T134" s="242"/>
      <c r="U134" s="242"/>
      <c r="V134" s="242"/>
      <c r="W134" s="242"/>
      <c r="X134" s="242"/>
    </row>
    <row r="135">
      <c r="A135" s="242"/>
      <c r="B135" s="242"/>
      <c r="C135" s="242"/>
      <c r="D135" s="242"/>
      <c r="E135" s="242"/>
      <c r="F135" s="242"/>
      <c r="G135" s="242"/>
      <c r="H135" s="242"/>
      <c r="I135" s="242"/>
      <c r="J135" s="242"/>
      <c r="K135" s="242"/>
      <c r="L135" s="242"/>
      <c r="M135" s="13"/>
      <c r="N135" s="13"/>
      <c r="O135" s="13"/>
      <c r="P135" s="341"/>
      <c r="Q135" s="13"/>
      <c r="R135" s="242"/>
      <c r="S135" s="242"/>
      <c r="T135" s="242"/>
      <c r="U135" s="242"/>
      <c r="V135" s="242"/>
      <c r="W135" s="242"/>
      <c r="X135" s="242"/>
    </row>
    <row r="136">
      <c r="A136" s="242"/>
      <c r="B136" s="242"/>
      <c r="C136" s="242"/>
      <c r="D136" s="242"/>
      <c r="E136" s="242"/>
      <c r="F136" s="242"/>
      <c r="G136" s="242"/>
      <c r="H136" s="242"/>
      <c r="I136" s="242"/>
      <c r="J136" s="242"/>
      <c r="K136" s="242"/>
      <c r="L136" s="242"/>
      <c r="M136" s="13"/>
      <c r="N136" s="13"/>
      <c r="O136" s="13"/>
      <c r="P136" s="341"/>
      <c r="Q136" s="13"/>
      <c r="R136" s="242"/>
      <c r="S136" s="242"/>
      <c r="T136" s="242"/>
      <c r="U136" s="242"/>
      <c r="V136" s="242"/>
      <c r="W136" s="242"/>
      <c r="X136" s="242"/>
    </row>
    <row r="137">
      <c r="A137" s="242"/>
      <c r="B137" s="242"/>
      <c r="C137" s="242"/>
      <c r="D137" s="242"/>
      <c r="E137" s="242"/>
      <c r="F137" s="242"/>
      <c r="G137" s="242"/>
      <c r="H137" s="242"/>
      <c r="I137" s="242"/>
      <c r="J137" s="242"/>
      <c r="K137" s="242"/>
      <c r="L137" s="242"/>
      <c r="M137" s="13"/>
      <c r="N137" s="13"/>
      <c r="O137" s="13"/>
      <c r="P137" s="341"/>
      <c r="Q137" s="13"/>
      <c r="R137" s="242"/>
      <c r="S137" s="242"/>
      <c r="T137" s="242"/>
      <c r="U137" s="242"/>
      <c r="V137" s="242"/>
      <c r="W137" s="242"/>
      <c r="X137" s="242"/>
    </row>
    <row r="138">
      <c r="A138" s="242"/>
      <c r="B138" s="242"/>
      <c r="C138" s="242"/>
      <c r="D138" s="242"/>
      <c r="E138" s="242"/>
      <c r="F138" s="242"/>
      <c r="G138" s="242"/>
      <c r="H138" s="242"/>
      <c r="I138" s="242"/>
      <c r="J138" s="242"/>
      <c r="K138" s="242"/>
      <c r="L138" s="242"/>
      <c r="M138" s="13"/>
      <c r="N138" s="13"/>
      <c r="O138" s="13"/>
      <c r="P138" s="341"/>
      <c r="Q138" s="13"/>
      <c r="R138" s="242"/>
      <c r="S138" s="242"/>
      <c r="T138" s="242"/>
      <c r="U138" s="242"/>
      <c r="V138" s="242"/>
      <c r="W138" s="242"/>
      <c r="X138" s="242"/>
    </row>
    <row r="139">
      <c r="A139" s="242"/>
      <c r="B139" s="242"/>
      <c r="C139" s="242"/>
      <c r="D139" s="242"/>
      <c r="E139" s="242"/>
      <c r="F139" s="242"/>
      <c r="G139" s="242"/>
      <c r="H139" s="242"/>
      <c r="I139" s="242"/>
      <c r="J139" s="242"/>
      <c r="K139" s="242"/>
      <c r="L139" s="242"/>
      <c r="M139" s="13"/>
      <c r="N139" s="13"/>
      <c r="O139" s="13"/>
      <c r="P139" s="341"/>
      <c r="Q139" s="13"/>
      <c r="R139" s="242"/>
      <c r="S139" s="242"/>
      <c r="T139" s="242"/>
      <c r="U139" s="242"/>
      <c r="V139" s="242"/>
      <c r="W139" s="242"/>
      <c r="X139" s="242"/>
    </row>
    <row r="140">
      <c r="A140" s="242"/>
      <c r="B140" s="242"/>
      <c r="C140" s="242"/>
      <c r="D140" s="242"/>
      <c r="E140" s="242"/>
      <c r="F140" s="242"/>
      <c r="G140" s="242"/>
      <c r="H140" s="242"/>
      <c r="I140" s="242"/>
      <c r="J140" s="242"/>
      <c r="K140" s="242"/>
      <c r="L140" s="242"/>
      <c r="M140" s="13"/>
      <c r="N140" s="13"/>
      <c r="O140" s="13"/>
      <c r="P140" s="341"/>
      <c r="Q140" s="13"/>
      <c r="R140" s="242"/>
      <c r="S140" s="242"/>
      <c r="T140" s="242"/>
      <c r="U140" s="242"/>
      <c r="V140" s="242"/>
      <c r="W140" s="242"/>
      <c r="X140" s="242"/>
    </row>
    <row r="141">
      <c r="A141" s="242"/>
      <c r="B141" s="242"/>
      <c r="C141" s="242"/>
      <c r="D141" s="242"/>
      <c r="E141" s="242"/>
      <c r="F141" s="242"/>
      <c r="G141" s="242"/>
      <c r="H141" s="242"/>
      <c r="I141" s="242"/>
      <c r="J141" s="242"/>
      <c r="K141" s="242"/>
      <c r="L141" s="242"/>
      <c r="M141" s="13"/>
      <c r="N141" s="13"/>
      <c r="O141" s="13"/>
      <c r="P141" s="341"/>
      <c r="Q141" s="13"/>
      <c r="R141" s="242"/>
      <c r="S141" s="242"/>
      <c r="T141" s="242"/>
      <c r="U141" s="242"/>
      <c r="V141" s="242"/>
      <c r="W141" s="242"/>
      <c r="X141" s="242"/>
    </row>
    <row r="142">
      <c r="A142" s="242"/>
      <c r="B142" s="242"/>
      <c r="C142" s="242"/>
      <c r="D142" s="242"/>
      <c r="E142" s="242"/>
      <c r="F142" s="242"/>
      <c r="G142" s="242"/>
      <c r="H142" s="242"/>
      <c r="I142" s="242"/>
      <c r="J142" s="242"/>
      <c r="K142" s="242"/>
      <c r="L142" s="242"/>
      <c r="M142" s="13"/>
      <c r="N142" s="13"/>
      <c r="O142" s="13"/>
      <c r="P142" s="341"/>
      <c r="Q142" s="13"/>
      <c r="R142" s="242"/>
      <c r="S142" s="242"/>
      <c r="T142" s="242"/>
      <c r="U142" s="242"/>
      <c r="V142" s="242"/>
      <c r="W142" s="242"/>
      <c r="X142" s="242"/>
    </row>
    <row r="143">
      <c r="A143" s="242"/>
      <c r="B143" s="242"/>
      <c r="C143" s="242"/>
      <c r="D143" s="242"/>
      <c r="E143" s="242"/>
      <c r="F143" s="242"/>
      <c r="G143" s="242"/>
      <c r="H143" s="242"/>
      <c r="I143" s="242"/>
      <c r="J143" s="242"/>
      <c r="K143" s="242"/>
      <c r="L143" s="242"/>
      <c r="M143" s="13"/>
      <c r="N143" s="13"/>
      <c r="O143" s="13"/>
      <c r="P143" s="341"/>
      <c r="Q143" s="13"/>
      <c r="R143" s="242"/>
      <c r="S143" s="242"/>
      <c r="T143" s="242"/>
      <c r="U143" s="242"/>
      <c r="V143" s="242"/>
      <c r="W143" s="242"/>
      <c r="X143" s="242"/>
    </row>
    <row r="144">
      <c r="A144" s="242"/>
      <c r="B144" s="242"/>
      <c r="C144" s="242"/>
      <c r="D144" s="242"/>
      <c r="E144" s="242"/>
      <c r="F144" s="242"/>
      <c r="G144" s="242"/>
      <c r="H144" s="242"/>
      <c r="I144" s="242"/>
      <c r="J144" s="242"/>
      <c r="K144" s="242"/>
      <c r="L144" s="242"/>
      <c r="M144" s="13"/>
      <c r="N144" s="13"/>
      <c r="O144" s="13"/>
      <c r="P144" s="341"/>
      <c r="Q144" s="13"/>
      <c r="R144" s="242"/>
      <c r="S144" s="242"/>
      <c r="T144" s="242"/>
      <c r="U144" s="242"/>
      <c r="V144" s="242"/>
      <c r="W144" s="242"/>
      <c r="X144" s="242"/>
    </row>
    <row r="145">
      <c r="A145" s="242"/>
      <c r="B145" s="242"/>
      <c r="C145" s="242"/>
      <c r="D145" s="242"/>
      <c r="E145" s="242"/>
      <c r="F145" s="242"/>
      <c r="G145" s="242"/>
      <c r="H145" s="242"/>
      <c r="I145" s="242"/>
      <c r="J145" s="242"/>
      <c r="K145" s="242"/>
      <c r="L145" s="242"/>
      <c r="M145" s="13"/>
      <c r="N145" s="13"/>
      <c r="O145" s="13"/>
      <c r="P145" s="341"/>
      <c r="Q145" s="13"/>
      <c r="R145" s="242"/>
      <c r="S145" s="242"/>
      <c r="T145" s="242"/>
      <c r="U145" s="242"/>
      <c r="V145" s="242"/>
      <c r="W145" s="242"/>
      <c r="X145" s="242"/>
    </row>
    <row r="146">
      <c r="A146" s="242"/>
      <c r="B146" s="242"/>
      <c r="C146" s="242"/>
      <c r="D146" s="242"/>
      <c r="E146" s="242"/>
      <c r="F146" s="242"/>
      <c r="G146" s="242"/>
      <c r="H146" s="242"/>
      <c r="I146" s="242"/>
      <c r="J146" s="242"/>
      <c r="K146" s="242"/>
      <c r="L146" s="242"/>
      <c r="M146" s="13"/>
      <c r="N146" s="13"/>
      <c r="O146" s="13"/>
      <c r="P146" s="341"/>
      <c r="Q146" s="13"/>
      <c r="R146" s="242"/>
      <c r="S146" s="242"/>
      <c r="T146" s="242"/>
      <c r="U146" s="242"/>
      <c r="V146" s="242"/>
      <c r="W146" s="242"/>
      <c r="X146" s="242"/>
    </row>
    <row r="147">
      <c r="A147" s="242"/>
      <c r="B147" s="242"/>
      <c r="C147" s="242"/>
      <c r="D147" s="242"/>
      <c r="E147" s="242"/>
      <c r="F147" s="242"/>
      <c r="G147" s="242"/>
      <c r="H147" s="242"/>
      <c r="I147" s="242"/>
      <c r="J147" s="242"/>
      <c r="K147" s="242"/>
      <c r="L147" s="242"/>
      <c r="M147" s="13"/>
      <c r="N147" s="13"/>
      <c r="O147" s="13"/>
      <c r="P147" s="341"/>
      <c r="Q147" s="13"/>
      <c r="R147" s="242"/>
      <c r="S147" s="242"/>
      <c r="T147" s="242"/>
      <c r="U147" s="242"/>
      <c r="V147" s="242"/>
      <c r="W147" s="242"/>
      <c r="X147" s="242"/>
    </row>
    <row r="148">
      <c r="A148" s="242"/>
      <c r="B148" s="242"/>
      <c r="C148" s="242"/>
      <c r="D148" s="242"/>
      <c r="E148" s="242"/>
      <c r="F148" s="242"/>
      <c r="G148" s="242"/>
      <c r="H148" s="242"/>
      <c r="I148" s="242"/>
      <c r="J148" s="242"/>
      <c r="K148" s="242"/>
      <c r="L148" s="242"/>
      <c r="M148" s="13"/>
      <c r="N148" s="13"/>
      <c r="O148" s="13"/>
      <c r="P148" s="341"/>
      <c r="Q148" s="13"/>
      <c r="R148" s="242"/>
      <c r="S148" s="242"/>
      <c r="T148" s="242"/>
      <c r="U148" s="242"/>
      <c r="V148" s="242"/>
      <c r="W148" s="242"/>
      <c r="X148" s="242"/>
    </row>
    <row r="149">
      <c r="A149" s="242"/>
      <c r="B149" s="242"/>
      <c r="C149" s="242"/>
      <c r="D149" s="242"/>
      <c r="E149" s="242"/>
      <c r="F149" s="242"/>
      <c r="G149" s="242"/>
      <c r="H149" s="242"/>
      <c r="I149" s="242"/>
      <c r="J149" s="242"/>
      <c r="K149" s="242"/>
      <c r="L149" s="242"/>
      <c r="M149" s="13"/>
      <c r="N149" s="13"/>
      <c r="O149" s="13"/>
      <c r="P149" s="341"/>
      <c r="Q149" s="13"/>
      <c r="R149" s="242"/>
      <c r="S149" s="242"/>
      <c r="T149" s="242"/>
      <c r="U149" s="242"/>
      <c r="V149" s="242"/>
      <c r="W149" s="242"/>
      <c r="X149" s="242"/>
    </row>
    <row r="150">
      <c r="A150" s="242"/>
      <c r="B150" s="242"/>
      <c r="C150" s="242"/>
      <c r="D150" s="242"/>
      <c r="E150" s="242"/>
      <c r="F150" s="242"/>
      <c r="G150" s="242"/>
      <c r="H150" s="242"/>
      <c r="I150" s="242"/>
      <c r="J150" s="242"/>
      <c r="K150" s="242"/>
      <c r="L150" s="242"/>
      <c r="M150" s="13"/>
      <c r="N150" s="13"/>
      <c r="O150" s="13"/>
      <c r="P150" s="341"/>
      <c r="Q150" s="13"/>
      <c r="R150" s="242"/>
      <c r="S150" s="242"/>
      <c r="T150" s="242"/>
      <c r="U150" s="242"/>
      <c r="V150" s="242"/>
      <c r="W150" s="242"/>
      <c r="X150" s="242"/>
    </row>
    <row r="151">
      <c r="A151" s="242"/>
      <c r="B151" s="242"/>
      <c r="C151" s="242"/>
      <c r="D151" s="242"/>
      <c r="E151" s="242"/>
      <c r="F151" s="242"/>
      <c r="G151" s="242"/>
      <c r="H151" s="242"/>
      <c r="I151" s="242"/>
      <c r="J151" s="242"/>
      <c r="K151" s="242"/>
      <c r="L151" s="242"/>
      <c r="M151" s="13"/>
      <c r="N151" s="13"/>
      <c r="O151" s="13"/>
      <c r="P151" s="341"/>
      <c r="Q151" s="13"/>
      <c r="R151" s="242"/>
      <c r="S151" s="242"/>
      <c r="T151" s="242"/>
      <c r="U151" s="242"/>
      <c r="V151" s="242"/>
      <c r="W151" s="242"/>
      <c r="X151" s="242"/>
    </row>
    <row r="152">
      <c r="A152" s="242"/>
      <c r="B152" s="242"/>
      <c r="C152" s="242"/>
      <c r="D152" s="242"/>
      <c r="E152" s="242"/>
      <c r="F152" s="242"/>
      <c r="G152" s="242"/>
      <c r="H152" s="242"/>
      <c r="I152" s="242"/>
      <c r="J152" s="242"/>
      <c r="K152" s="242"/>
      <c r="L152" s="242"/>
      <c r="M152" s="13"/>
      <c r="N152" s="13"/>
      <c r="O152" s="13"/>
      <c r="P152" s="341"/>
      <c r="Q152" s="13"/>
      <c r="R152" s="242"/>
      <c r="S152" s="242"/>
      <c r="T152" s="242"/>
      <c r="U152" s="242"/>
      <c r="V152" s="242"/>
      <c r="W152" s="242"/>
      <c r="X152" s="242"/>
    </row>
    <row r="153">
      <c r="A153" s="242"/>
      <c r="B153" s="242"/>
      <c r="C153" s="242"/>
      <c r="D153" s="242"/>
      <c r="E153" s="242"/>
      <c r="F153" s="242"/>
      <c r="G153" s="242"/>
      <c r="H153" s="242"/>
      <c r="I153" s="242"/>
      <c r="J153" s="242"/>
      <c r="K153" s="242"/>
      <c r="L153" s="242"/>
      <c r="M153" s="13"/>
      <c r="N153" s="13"/>
      <c r="O153" s="13"/>
      <c r="P153" s="341"/>
      <c r="Q153" s="13"/>
      <c r="R153" s="242"/>
      <c r="S153" s="242"/>
      <c r="T153" s="242"/>
      <c r="U153" s="242"/>
      <c r="V153" s="242"/>
      <c r="W153" s="242"/>
      <c r="X153" s="242"/>
    </row>
    <row r="154">
      <c r="A154" s="242"/>
      <c r="B154" s="242"/>
      <c r="C154" s="242"/>
      <c r="D154" s="242"/>
      <c r="E154" s="242"/>
      <c r="F154" s="242"/>
      <c r="G154" s="242"/>
      <c r="H154" s="242"/>
      <c r="I154" s="242"/>
      <c r="J154" s="242"/>
      <c r="K154" s="242"/>
      <c r="L154" s="242"/>
      <c r="M154" s="13"/>
      <c r="N154" s="13"/>
      <c r="O154" s="13"/>
      <c r="P154" s="341"/>
      <c r="Q154" s="13"/>
      <c r="R154" s="242"/>
      <c r="S154" s="242"/>
      <c r="T154" s="242"/>
      <c r="U154" s="242"/>
      <c r="V154" s="242"/>
      <c r="W154" s="242"/>
      <c r="X154" s="242"/>
    </row>
    <row r="155">
      <c r="A155" s="242"/>
      <c r="B155" s="242"/>
      <c r="C155" s="242"/>
      <c r="D155" s="242"/>
      <c r="E155" s="242"/>
      <c r="F155" s="242"/>
      <c r="G155" s="242"/>
      <c r="H155" s="242"/>
      <c r="I155" s="242"/>
      <c r="J155" s="242"/>
      <c r="K155" s="242"/>
      <c r="L155" s="242"/>
      <c r="M155" s="13"/>
      <c r="N155" s="13"/>
      <c r="O155" s="13"/>
      <c r="P155" s="341"/>
      <c r="Q155" s="13"/>
      <c r="R155" s="242"/>
      <c r="S155" s="242"/>
      <c r="T155" s="242"/>
      <c r="U155" s="242"/>
      <c r="V155" s="242"/>
      <c r="W155" s="242"/>
      <c r="X155" s="242"/>
    </row>
    <row r="156">
      <c r="A156" s="242"/>
      <c r="B156" s="242"/>
      <c r="C156" s="242"/>
      <c r="D156" s="242"/>
      <c r="E156" s="242"/>
      <c r="F156" s="242"/>
      <c r="G156" s="242"/>
      <c r="H156" s="242"/>
      <c r="I156" s="242"/>
      <c r="J156" s="242"/>
      <c r="K156" s="242"/>
      <c r="L156" s="242"/>
      <c r="M156" s="13"/>
      <c r="N156" s="13"/>
      <c r="O156" s="13"/>
      <c r="P156" s="341"/>
      <c r="Q156" s="13"/>
      <c r="R156" s="242"/>
      <c r="S156" s="242"/>
      <c r="T156" s="242"/>
      <c r="U156" s="242"/>
      <c r="V156" s="242"/>
      <c r="W156" s="242"/>
      <c r="X156" s="242"/>
    </row>
    <row r="157">
      <c r="A157" s="242"/>
      <c r="B157" s="242"/>
      <c r="C157" s="242"/>
      <c r="D157" s="242"/>
      <c r="E157" s="242"/>
      <c r="F157" s="242"/>
      <c r="G157" s="242"/>
      <c r="H157" s="242"/>
      <c r="I157" s="242"/>
      <c r="J157" s="242"/>
      <c r="K157" s="242"/>
      <c r="L157" s="242"/>
      <c r="M157" s="13"/>
      <c r="N157" s="13"/>
      <c r="O157" s="13"/>
      <c r="P157" s="341"/>
      <c r="Q157" s="13"/>
      <c r="R157" s="242"/>
      <c r="S157" s="242"/>
      <c r="T157" s="242"/>
      <c r="U157" s="242"/>
      <c r="V157" s="242"/>
      <c r="W157" s="242"/>
      <c r="X157" s="242"/>
    </row>
    <row r="158">
      <c r="A158" s="242"/>
      <c r="B158" s="242"/>
      <c r="C158" s="242"/>
      <c r="D158" s="242"/>
      <c r="E158" s="242"/>
      <c r="F158" s="242"/>
      <c r="G158" s="242"/>
      <c r="H158" s="242"/>
      <c r="I158" s="242"/>
      <c r="J158" s="242"/>
      <c r="K158" s="242"/>
      <c r="L158" s="242"/>
      <c r="M158" s="13"/>
      <c r="N158" s="13"/>
      <c r="O158" s="13"/>
      <c r="P158" s="341"/>
      <c r="Q158" s="13"/>
      <c r="R158" s="242"/>
      <c r="S158" s="242"/>
      <c r="T158" s="242"/>
      <c r="U158" s="242"/>
      <c r="V158" s="242"/>
      <c r="W158" s="242"/>
      <c r="X158" s="242"/>
    </row>
    <row r="159">
      <c r="A159" s="242"/>
      <c r="B159" s="242"/>
      <c r="C159" s="242"/>
      <c r="D159" s="242"/>
      <c r="E159" s="242"/>
      <c r="F159" s="242"/>
      <c r="G159" s="242"/>
      <c r="H159" s="242"/>
      <c r="I159" s="242"/>
      <c r="J159" s="242"/>
      <c r="K159" s="242"/>
      <c r="L159" s="242"/>
      <c r="M159" s="13"/>
      <c r="N159" s="13"/>
      <c r="O159" s="13"/>
      <c r="P159" s="341"/>
      <c r="Q159" s="13"/>
      <c r="R159" s="242"/>
      <c r="S159" s="242"/>
      <c r="T159" s="242"/>
      <c r="U159" s="242"/>
      <c r="V159" s="242"/>
      <c r="W159" s="242"/>
      <c r="X159" s="242"/>
    </row>
    <row r="160">
      <c r="A160" s="242"/>
      <c r="B160" s="242"/>
      <c r="C160" s="242"/>
      <c r="D160" s="242"/>
      <c r="E160" s="242"/>
      <c r="F160" s="242"/>
      <c r="G160" s="242"/>
      <c r="H160" s="242"/>
      <c r="I160" s="242"/>
      <c r="J160" s="242"/>
      <c r="K160" s="242"/>
      <c r="L160" s="242"/>
      <c r="M160" s="13"/>
      <c r="N160" s="13"/>
      <c r="O160" s="13"/>
      <c r="P160" s="341"/>
      <c r="Q160" s="13"/>
      <c r="R160" s="242"/>
      <c r="S160" s="242"/>
      <c r="T160" s="242"/>
      <c r="U160" s="242"/>
      <c r="V160" s="242"/>
      <c r="W160" s="242"/>
      <c r="X160" s="242"/>
    </row>
    <row r="161">
      <c r="A161" s="242"/>
      <c r="B161" s="242"/>
      <c r="C161" s="242"/>
      <c r="D161" s="242"/>
      <c r="E161" s="242"/>
      <c r="F161" s="242"/>
      <c r="G161" s="242"/>
      <c r="H161" s="242"/>
      <c r="I161" s="242"/>
      <c r="J161" s="242"/>
      <c r="K161" s="242"/>
      <c r="L161" s="242"/>
      <c r="M161" s="13"/>
      <c r="N161" s="13"/>
      <c r="O161" s="13"/>
      <c r="P161" s="341"/>
      <c r="Q161" s="13"/>
      <c r="R161" s="242"/>
      <c r="S161" s="242"/>
      <c r="T161" s="242"/>
      <c r="U161" s="242"/>
      <c r="V161" s="242"/>
      <c r="W161" s="242"/>
      <c r="X161" s="242"/>
    </row>
    <row r="162">
      <c r="A162" s="242"/>
      <c r="B162" s="242"/>
      <c r="C162" s="242"/>
      <c r="D162" s="242"/>
      <c r="E162" s="242"/>
      <c r="F162" s="242"/>
      <c r="G162" s="242"/>
      <c r="H162" s="242"/>
      <c r="I162" s="242"/>
      <c r="J162" s="242"/>
      <c r="K162" s="242"/>
      <c r="L162" s="242"/>
      <c r="M162" s="13"/>
      <c r="N162" s="13"/>
      <c r="O162" s="13"/>
      <c r="P162" s="341"/>
      <c r="Q162" s="13"/>
      <c r="R162" s="242"/>
      <c r="S162" s="242"/>
      <c r="T162" s="242"/>
      <c r="U162" s="242"/>
      <c r="V162" s="242"/>
      <c r="W162" s="242"/>
      <c r="X162" s="242"/>
    </row>
    <row r="163">
      <c r="A163" s="242"/>
      <c r="B163" s="242"/>
      <c r="C163" s="242"/>
      <c r="D163" s="242"/>
      <c r="E163" s="242"/>
      <c r="F163" s="242"/>
      <c r="G163" s="242"/>
      <c r="H163" s="242"/>
      <c r="I163" s="242"/>
      <c r="J163" s="242"/>
      <c r="K163" s="242"/>
      <c r="L163" s="242"/>
      <c r="M163" s="13"/>
      <c r="N163" s="13"/>
      <c r="O163" s="13"/>
      <c r="P163" s="341"/>
      <c r="Q163" s="13"/>
      <c r="R163" s="242"/>
      <c r="S163" s="242"/>
      <c r="T163" s="242"/>
      <c r="U163" s="242"/>
      <c r="V163" s="242"/>
      <c r="W163" s="242"/>
      <c r="X163" s="242"/>
    </row>
    <row r="164">
      <c r="A164" s="242"/>
      <c r="B164" s="242"/>
      <c r="C164" s="242"/>
      <c r="D164" s="242"/>
      <c r="E164" s="242"/>
      <c r="F164" s="242"/>
      <c r="G164" s="242"/>
      <c r="H164" s="242"/>
      <c r="I164" s="242"/>
      <c r="J164" s="242"/>
      <c r="K164" s="242"/>
      <c r="L164" s="242"/>
      <c r="M164" s="13"/>
      <c r="N164" s="13"/>
      <c r="O164" s="13"/>
      <c r="P164" s="341"/>
      <c r="Q164" s="13"/>
      <c r="R164" s="242"/>
      <c r="S164" s="242"/>
      <c r="T164" s="242"/>
      <c r="U164" s="242"/>
      <c r="V164" s="242"/>
      <c r="W164" s="242"/>
      <c r="X164" s="242"/>
    </row>
    <row r="165">
      <c r="A165" s="242"/>
      <c r="B165" s="242"/>
      <c r="C165" s="242"/>
      <c r="D165" s="242"/>
      <c r="E165" s="242"/>
      <c r="F165" s="242"/>
      <c r="G165" s="242"/>
      <c r="H165" s="242"/>
      <c r="I165" s="242"/>
      <c r="J165" s="242"/>
      <c r="K165" s="242"/>
      <c r="L165" s="242"/>
      <c r="M165" s="13"/>
      <c r="N165" s="13"/>
      <c r="O165" s="13"/>
      <c r="P165" s="341"/>
      <c r="Q165" s="13"/>
      <c r="R165" s="242"/>
      <c r="S165" s="242"/>
      <c r="T165" s="242"/>
      <c r="U165" s="242"/>
      <c r="V165" s="242"/>
      <c r="W165" s="242"/>
      <c r="X165" s="242"/>
    </row>
    <row r="166">
      <c r="A166" s="242"/>
      <c r="B166" s="242"/>
      <c r="C166" s="242"/>
      <c r="D166" s="242"/>
      <c r="E166" s="242"/>
      <c r="F166" s="242"/>
      <c r="G166" s="242"/>
      <c r="H166" s="242"/>
      <c r="I166" s="242"/>
      <c r="J166" s="242"/>
      <c r="K166" s="242"/>
      <c r="L166" s="242"/>
      <c r="M166" s="13"/>
      <c r="N166" s="13"/>
      <c r="O166" s="13"/>
      <c r="P166" s="341"/>
      <c r="Q166" s="13"/>
      <c r="R166" s="242"/>
      <c r="S166" s="242"/>
      <c r="T166" s="242"/>
      <c r="U166" s="242"/>
      <c r="V166" s="242"/>
      <c r="W166" s="242"/>
      <c r="X166" s="242"/>
    </row>
    <row r="167">
      <c r="A167" s="242"/>
      <c r="B167" s="242"/>
      <c r="C167" s="242"/>
      <c r="D167" s="242"/>
      <c r="E167" s="242"/>
      <c r="F167" s="242"/>
      <c r="G167" s="242"/>
      <c r="H167" s="242"/>
      <c r="I167" s="242"/>
      <c r="J167" s="242"/>
      <c r="K167" s="242"/>
      <c r="L167" s="242"/>
      <c r="M167" s="13"/>
      <c r="N167" s="13"/>
      <c r="O167" s="13"/>
      <c r="P167" s="341"/>
      <c r="Q167" s="13"/>
      <c r="R167" s="242"/>
      <c r="S167" s="242"/>
      <c r="T167" s="242"/>
      <c r="U167" s="242"/>
      <c r="V167" s="242"/>
      <c r="W167" s="242"/>
      <c r="X167" s="242"/>
    </row>
    <row r="168">
      <c r="A168" s="242"/>
      <c r="B168" s="242"/>
      <c r="C168" s="242"/>
      <c r="D168" s="242"/>
      <c r="E168" s="242"/>
      <c r="F168" s="242"/>
      <c r="G168" s="242"/>
      <c r="H168" s="242"/>
      <c r="I168" s="242"/>
      <c r="J168" s="242"/>
      <c r="K168" s="242"/>
      <c r="L168" s="242"/>
      <c r="M168" s="13"/>
      <c r="N168" s="13"/>
      <c r="O168" s="13"/>
      <c r="P168" s="341"/>
      <c r="Q168" s="13"/>
      <c r="R168" s="242"/>
      <c r="S168" s="242"/>
      <c r="T168" s="242"/>
      <c r="U168" s="242"/>
      <c r="V168" s="242"/>
      <c r="W168" s="242"/>
      <c r="X168" s="242"/>
    </row>
    <row r="169">
      <c r="A169" s="242"/>
      <c r="B169" s="242"/>
      <c r="C169" s="242"/>
      <c r="D169" s="242"/>
      <c r="E169" s="242"/>
      <c r="F169" s="242"/>
      <c r="G169" s="242"/>
      <c r="H169" s="242"/>
      <c r="I169" s="242"/>
      <c r="J169" s="242"/>
      <c r="K169" s="242"/>
      <c r="L169" s="242"/>
      <c r="M169" s="13"/>
      <c r="N169" s="13"/>
      <c r="O169" s="13"/>
      <c r="P169" s="341"/>
      <c r="Q169" s="13"/>
      <c r="R169" s="242"/>
      <c r="S169" s="242"/>
      <c r="T169" s="242"/>
      <c r="U169" s="242"/>
      <c r="V169" s="242"/>
      <c r="W169" s="242"/>
      <c r="X169" s="242"/>
    </row>
    <row r="170">
      <c r="A170" s="242"/>
      <c r="B170" s="242"/>
      <c r="C170" s="242"/>
      <c r="D170" s="242"/>
      <c r="E170" s="242"/>
      <c r="F170" s="242"/>
      <c r="G170" s="242"/>
      <c r="H170" s="242"/>
      <c r="I170" s="242"/>
      <c r="J170" s="242"/>
      <c r="K170" s="242"/>
      <c r="L170" s="242"/>
      <c r="M170" s="13"/>
      <c r="N170" s="13"/>
      <c r="O170" s="13"/>
      <c r="P170" s="341"/>
      <c r="Q170" s="13"/>
      <c r="R170" s="242"/>
      <c r="S170" s="242"/>
      <c r="T170" s="242"/>
      <c r="U170" s="242"/>
      <c r="V170" s="242"/>
      <c r="W170" s="242"/>
      <c r="X170" s="242"/>
    </row>
    <row r="171">
      <c r="A171" s="242"/>
      <c r="B171" s="242"/>
      <c r="C171" s="242"/>
      <c r="D171" s="242"/>
      <c r="E171" s="242"/>
      <c r="F171" s="242"/>
      <c r="G171" s="242"/>
      <c r="H171" s="242"/>
      <c r="I171" s="242"/>
      <c r="J171" s="242"/>
      <c r="K171" s="242"/>
      <c r="L171" s="242"/>
      <c r="M171" s="13"/>
      <c r="N171" s="13"/>
      <c r="O171" s="13"/>
      <c r="P171" s="341"/>
      <c r="Q171" s="13"/>
      <c r="R171" s="242"/>
      <c r="S171" s="242"/>
      <c r="T171" s="242"/>
      <c r="U171" s="242"/>
      <c r="V171" s="242"/>
      <c r="W171" s="242"/>
      <c r="X171" s="242"/>
    </row>
    <row r="172">
      <c r="A172" s="242"/>
      <c r="B172" s="242"/>
      <c r="C172" s="242"/>
      <c r="D172" s="242"/>
      <c r="E172" s="242"/>
      <c r="F172" s="242"/>
      <c r="G172" s="242"/>
      <c r="H172" s="242"/>
      <c r="I172" s="242"/>
      <c r="J172" s="242"/>
      <c r="K172" s="242"/>
      <c r="L172" s="242"/>
      <c r="M172" s="13"/>
      <c r="N172" s="13"/>
      <c r="O172" s="13"/>
      <c r="P172" s="341"/>
      <c r="Q172" s="13"/>
      <c r="R172" s="242"/>
      <c r="S172" s="242"/>
      <c r="T172" s="242"/>
      <c r="U172" s="242"/>
      <c r="V172" s="242"/>
      <c r="W172" s="242"/>
      <c r="X172" s="242"/>
    </row>
    <row r="173">
      <c r="A173" s="242"/>
      <c r="B173" s="242"/>
      <c r="C173" s="242"/>
      <c r="D173" s="242"/>
      <c r="E173" s="242"/>
      <c r="F173" s="242"/>
      <c r="G173" s="242"/>
      <c r="H173" s="242"/>
      <c r="I173" s="242"/>
      <c r="J173" s="242"/>
      <c r="K173" s="242"/>
      <c r="L173" s="242"/>
      <c r="M173" s="13"/>
      <c r="N173" s="13"/>
      <c r="O173" s="13"/>
      <c r="P173" s="341"/>
      <c r="Q173" s="13"/>
      <c r="R173" s="242"/>
      <c r="S173" s="242"/>
      <c r="T173" s="242"/>
      <c r="U173" s="242"/>
      <c r="V173" s="242"/>
      <c r="W173" s="242"/>
      <c r="X173" s="242"/>
    </row>
    <row r="174">
      <c r="A174" s="242"/>
      <c r="B174" s="242"/>
      <c r="C174" s="242"/>
      <c r="D174" s="242"/>
      <c r="E174" s="242"/>
      <c r="F174" s="242"/>
      <c r="G174" s="242"/>
      <c r="H174" s="242"/>
      <c r="I174" s="242"/>
      <c r="J174" s="242"/>
      <c r="K174" s="242"/>
      <c r="L174" s="242"/>
      <c r="M174" s="13"/>
      <c r="N174" s="13"/>
      <c r="O174" s="13"/>
      <c r="P174" s="341"/>
      <c r="Q174" s="13"/>
      <c r="R174" s="242"/>
      <c r="S174" s="242"/>
      <c r="T174" s="242"/>
      <c r="U174" s="242"/>
      <c r="V174" s="242"/>
      <c r="W174" s="242"/>
      <c r="X174" s="242"/>
    </row>
    <row r="175">
      <c r="A175" s="242"/>
      <c r="B175" s="242"/>
      <c r="C175" s="242"/>
      <c r="D175" s="242"/>
      <c r="E175" s="242"/>
      <c r="F175" s="242"/>
      <c r="G175" s="242"/>
      <c r="H175" s="242"/>
      <c r="I175" s="242"/>
      <c r="J175" s="242"/>
      <c r="K175" s="242"/>
      <c r="L175" s="242"/>
      <c r="M175" s="13"/>
      <c r="N175" s="13"/>
      <c r="O175" s="13"/>
      <c r="P175" s="341"/>
      <c r="Q175" s="13"/>
      <c r="R175" s="242"/>
      <c r="S175" s="242"/>
      <c r="T175" s="242"/>
      <c r="U175" s="242"/>
      <c r="V175" s="242"/>
      <c r="W175" s="242"/>
      <c r="X175" s="242"/>
    </row>
    <row r="176">
      <c r="A176" s="242"/>
      <c r="B176" s="242"/>
      <c r="C176" s="242"/>
      <c r="D176" s="242"/>
      <c r="E176" s="242"/>
      <c r="F176" s="242"/>
      <c r="G176" s="242"/>
      <c r="H176" s="242"/>
      <c r="I176" s="242"/>
      <c r="J176" s="242"/>
      <c r="K176" s="242"/>
      <c r="L176" s="242"/>
      <c r="M176" s="13"/>
      <c r="N176" s="13"/>
      <c r="O176" s="13"/>
      <c r="P176" s="341"/>
      <c r="Q176" s="13"/>
      <c r="R176" s="242"/>
      <c r="S176" s="242"/>
      <c r="T176" s="242"/>
      <c r="U176" s="242"/>
      <c r="V176" s="242"/>
      <c r="W176" s="242"/>
      <c r="X176" s="242"/>
    </row>
    <row r="177">
      <c r="A177" s="242"/>
      <c r="B177" s="242"/>
      <c r="C177" s="242"/>
      <c r="D177" s="242"/>
      <c r="E177" s="242"/>
      <c r="F177" s="242"/>
      <c r="G177" s="242"/>
      <c r="H177" s="242"/>
      <c r="I177" s="242"/>
      <c r="J177" s="242"/>
      <c r="K177" s="242"/>
      <c r="L177" s="242"/>
      <c r="M177" s="13"/>
      <c r="N177" s="13"/>
      <c r="O177" s="13"/>
      <c r="P177" s="341"/>
      <c r="Q177" s="13"/>
      <c r="R177" s="242"/>
      <c r="S177" s="242"/>
      <c r="T177" s="242"/>
      <c r="U177" s="242"/>
      <c r="V177" s="242"/>
      <c r="W177" s="242"/>
      <c r="X177" s="242"/>
    </row>
    <row r="178">
      <c r="A178" s="242"/>
      <c r="B178" s="242"/>
      <c r="C178" s="242"/>
      <c r="D178" s="242"/>
      <c r="E178" s="242"/>
      <c r="F178" s="242"/>
      <c r="G178" s="242"/>
      <c r="H178" s="242"/>
      <c r="I178" s="242"/>
      <c r="J178" s="242"/>
      <c r="K178" s="242"/>
      <c r="L178" s="242"/>
      <c r="M178" s="13"/>
      <c r="N178" s="13"/>
      <c r="O178" s="13"/>
      <c r="P178" s="341"/>
      <c r="Q178" s="13"/>
      <c r="R178" s="242"/>
      <c r="S178" s="242"/>
      <c r="T178" s="242"/>
      <c r="U178" s="242"/>
      <c r="V178" s="242"/>
      <c r="W178" s="242"/>
      <c r="X178" s="242"/>
    </row>
    <row r="179">
      <c r="A179" s="242"/>
      <c r="B179" s="242"/>
      <c r="C179" s="242"/>
      <c r="D179" s="242"/>
      <c r="E179" s="242"/>
      <c r="F179" s="242"/>
      <c r="G179" s="242"/>
      <c r="H179" s="242"/>
      <c r="I179" s="242"/>
      <c r="J179" s="242"/>
      <c r="K179" s="242"/>
      <c r="L179" s="242"/>
      <c r="M179" s="13"/>
      <c r="N179" s="13"/>
      <c r="O179" s="13"/>
      <c r="P179" s="341"/>
      <c r="Q179" s="13"/>
      <c r="R179" s="242"/>
      <c r="S179" s="242"/>
      <c r="T179" s="242"/>
      <c r="U179" s="242"/>
      <c r="V179" s="242"/>
      <c r="W179" s="242"/>
      <c r="X179" s="242"/>
    </row>
    <row r="180">
      <c r="A180" s="242"/>
      <c r="B180" s="242"/>
      <c r="C180" s="242"/>
      <c r="D180" s="242"/>
      <c r="E180" s="242"/>
      <c r="F180" s="242"/>
      <c r="G180" s="242"/>
      <c r="H180" s="242"/>
      <c r="I180" s="242"/>
      <c r="J180" s="242"/>
      <c r="K180" s="242"/>
      <c r="L180" s="242"/>
      <c r="M180" s="13"/>
      <c r="N180" s="13"/>
      <c r="O180" s="13"/>
      <c r="P180" s="341"/>
      <c r="Q180" s="13"/>
      <c r="R180" s="242"/>
      <c r="S180" s="242"/>
      <c r="T180" s="242"/>
      <c r="U180" s="242"/>
      <c r="V180" s="242"/>
      <c r="W180" s="242"/>
      <c r="X180" s="242"/>
    </row>
    <row r="181">
      <c r="A181" s="242"/>
      <c r="B181" s="242"/>
      <c r="C181" s="242"/>
      <c r="D181" s="242"/>
      <c r="E181" s="242"/>
      <c r="F181" s="242"/>
      <c r="G181" s="242"/>
      <c r="H181" s="242"/>
      <c r="I181" s="242"/>
      <c r="J181" s="242"/>
      <c r="K181" s="242"/>
      <c r="L181" s="242"/>
      <c r="M181" s="13"/>
      <c r="N181" s="13"/>
      <c r="O181" s="13"/>
      <c r="P181" s="341"/>
      <c r="Q181" s="13"/>
      <c r="R181" s="242"/>
      <c r="S181" s="242"/>
      <c r="T181" s="242"/>
      <c r="U181" s="242"/>
      <c r="V181" s="242"/>
      <c r="W181" s="242"/>
      <c r="X181" s="242"/>
    </row>
    <row r="182">
      <c r="A182" s="242"/>
      <c r="B182" s="242"/>
      <c r="C182" s="242"/>
      <c r="D182" s="242"/>
      <c r="E182" s="242"/>
      <c r="F182" s="242"/>
      <c r="G182" s="242"/>
      <c r="H182" s="242"/>
      <c r="I182" s="242"/>
      <c r="J182" s="242"/>
      <c r="K182" s="242"/>
      <c r="L182" s="242"/>
      <c r="M182" s="13"/>
      <c r="N182" s="13"/>
      <c r="O182" s="13"/>
      <c r="P182" s="341"/>
      <c r="Q182" s="13"/>
      <c r="R182" s="242"/>
      <c r="S182" s="242"/>
      <c r="T182" s="242"/>
      <c r="U182" s="242"/>
      <c r="V182" s="242"/>
      <c r="W182" s="242"/>
      <c r="X182" s="242"/>
    </row>
    <row r="183">
      <c r="A183" s="242"/>
      <c r="B183" s="242"/>
      <c r="C183" s="242"/>
      <c r="D183" s="242"/>
      <c r="E183" s="242"/>
      <c r="F183" s="242"/>
      <c r="G183" s="242"/>
      <c r="H183" s="242"/>
      <c r="I183" s="242"/>
      <c r="J183" s="242"/>
      <c r="K183" s="242"/>
      <c r="L183" s="242"/>
      <c r="M183" s="13"/>
      <c r="N183" s="13"/>
      <c r="O183" s="13"/>
      <c r="P183" s="341"/>
      <c r="Q183" s="13"/>
      <c r="R183" s="242"/>
      <c r="S183" s="242"/>
      <c r="T183" s="242"/>
      <c r="U183" s="242"/>
      <c r="V183" s="242"/>
      <c r="W183" s="242"/>
      <c r="X183" s="242"/>
    </row>
    <row r="184">
      <c r="A184" s="242"/>
      <c r="B184" s="242"/>
      <c r="C184" s="242"/>
      <c r="D184" s="242"/>
      <c r="E184" s="242"/>
      <c r="F184" s="242"/>
      <c r="G184" s="242"/>
      <c r="H184" s="242"/>
      <c r="I184" s="242"/>
      <c r="J184" s="242"/>
      <c r="K184" s="242"/>
      <c r="L184" s="242"/>
      <c r="M184" s="13"/>
      <c r="N184" s="13"/>
      <c r="O184" s="13"/>
      <c r="P184" s="341"/>
      <c r="Q184" s="13"/>
      <c r="R184" s="242"/>
      <c r="S184" s="242"/>
      <c r="T184" s="242"/>
      <c r="U184" s="242"/>
      <c r="V184" s="242"/>
      <c r="W184" s="242"/>
      <c r="X184" s="242"/>
    </row>
    <row r="185">
      <c r="A185" s="242"/>
      <c r="B185" s="242"/>
      <c r="C185" s="242"/>
      <c r="D185" s="242"/>
      <c r="E185" s="242"/>
      <c r="F185" s="242"/>
      <c r="G185" s="242"/>
      <c r="H185" s="242"/>
      <c r="I185" s="242"/>
      <c r="J185" s="242"/>
      <c r="K185" s="242"/>
      <c r="L185" s="242"/>
      <c r="M185" s="13"/>
      <c r="N185" s="13"/>
      <c r="O185" s="13"/>
      <c r="P185" s="341"/>
      <c r="Q185" s="13"/>
      <c r="R185" s="242"/>
      <c r="S185" s="242"/>
      <c r="T185" s="242"/>
      <c r="U185" s="242"/>
      <c r="V185" s="242"/>
      <c r="W185" s="242"/>
      <c r="X185" s="242"/>
    </row>
    <row r="186">
      <c r="A186" s="242"/>
      <c r="B186" s="242"/>
      <c r="C186" s="242"/>
      <c r="D186" s="242"/>
      <c r="E186" s="242"/>
      <c r="F186" s="242"/>
      <c r="G186" s="242"/>
      <c r="H186" s="242"/>
      <c r="I186" s="242"/>
      <c r="J186" s="242"/>
      <c r="K186" s="242"/>
      <c r="L186" s="242"/>
      <c r="M186" s="13"/>
      <c r="N186" s="13"/>
      <c r="O186" s="13"/>
      <c r="P186" s="341"/>
      <c r="Q186" s="13"/>
      <c r="R186" s="242"/>
      <c r="S186" s="242"/>
      <c r="T186" s="242"/>
      <c r="U186" s="242"/>
      <c r="V186" s="242"/>
      <c r="W186" s="242"/>
      <c r="X186" s="242"/>
    </row>
    <row r="187">
      <c r="A187" s="242"/>
      <c r="B187" s="242"/>
      <c r="C187" s="242"/>
      <c r="D187" s="242"/>
      <c r="E187" s="242"/>
      <c r="F187" s="242"/>
      <c r="G187" s="242"/>
      <c r="H187" s="242"/>
      <c r="I187" s="242"/>
      <c r="J187" s="242"/>
      <c r="K187" s="242"/>
      <c r="L187" s="242"/>
      <c r="M187" s="13"/>
      <c r="N187" s="13"/>
      <c r="O187" s="13"/>
      <c r="P187" s="341"/>
      <c r="Q187" s="13"/>
      <c r="R187" s="242"/>
      <c r="S187" s="242"/>
      <c r="T187" s="242"/>
      <c r="U187" s="242"/>
      <c r="V187" s="242"/>
      <c r="W187" s="242"/>
      <c r="X187" s="242"/>
    </row>
    <row r="188">
      <c r="A188" s="242"/>
      <c r="B188" s="242"/>
      <c r="C188" s="242"/>
      <c r="D188" s="242"/>
      <c r="E188" s="242"/>
      <c r="F188" s="242"/>
      <c r="G188" s="242"/>
      <c r="H188" s="242"/>
      <c r="I188" s="242"/>
      <c r="J188" s="242"/>
      <c r="K188" s="242"/>
      <c r="L188" s="242"/>
      <c r="M188" s="13"/>
      <c r="N188" s="13"/>
      <c r="O188" s="13"/>
      <c r="P188" s="341"/>
      <c r="Q188" s="13"/>
      <c r="R188" s="242"/>
      <c r="S188" s="242"/>
      <c r="T188" s="242"/>
      <c r="U188" s="242"/>
      <c r="V188" s="242"/>
      <c r="W188" s="242"/>
      <c r="X188" s="242"/>
    </row>
    <row r="189">
      <c r="A189" s="242"/>
      <c r="B189" s="242"/>
      <c r="C189" s="242"/>
      <c r="D189" s="242"/>
      <c r="E189" s="242"/>
      <c r="F189" s="242"/>
      <c r="G189" s="242"/>
      <c r="H189" s="242"/>
      <c r="I189" s="242"/>
      <c r="J189" s="242"/>
      <c r="K189" s="242"/>
      <c r="L189" s="242"/>
      <c r="M189" s="13"/>
      <c r="N189" s="13"/>
      <c r="O189" s="13"/>
      <c r="P189" s="341"/>
      <c r="Q189" s="13"/>
      <c r="R189" s="242"/>
      <c r="S189" s="242"/>
      <c r="T189" s="242"/>
      <c r="U189" s="242"/>
      <c r="V189" s="242"/>
      <c r="W189" s="242"/>
      <c r="X189" s="242"/>
    </row>
    <row r="190">
      <c r="A190" s="242"/>
      <c r="B190" s="242"/>
      <c r="C190" s="242"/>
      <c r="D190" s="242"/>
      <c r="E190" s="242"/>
      <c r="F190" s="242"/>
      <c r="G190" s="242"/>
      <c r="H190" s="242"/>
      <c r="I190" s="242"/>
      <c r="J190" s="242"/>
      <c r="K190" s="242"/>
      <c r="L190" s="242"/>
      <c r="M190" s="13"/>
      <c r="N190" s="13"/>
      <c r="O190" s="13"/>
      <c r="P190" s="341"/>
      <c r="Q190" s="13"/>
      <c r="R190" s="242"/>
      <c r="S190" s="242"/>
      <c r="T190" s="242"/>
      <c r="U190" s="242"/>
      <c r="V190" s="242"/>
      <c r="W190" s="242"/>
      <c r="X190" s="242"/>
    </row>
    <row r="191">
      <c r="A191" s="242"/>
      <c r="B191" s="242"/>
      <c r="C191" s="242"/>
      <c r="D191" s="242"/>
      <c r="E191" s="242"/>
      <c r="F191" s="242"/>
      <c r="G191" s="242"/>
      <c r="H191" s="242"/>
      <c r="I191" s="242"/>
      <c r="J191" s="242"/>
      <c r="K191" s="242"/>
      <c r="L191" s="242"/>
      <c r="M191" s="13"/>
      <c r="N191" s="13"/>
      <c r="O191" s="13"/>
      <c r="P191" s="341"/>
      <c r="Q191" s="13"/>
      <c r="R191" s="242"/>
      <c r="S191" s="242"/>
      <c r="T191" s="242"/>
      <c r="U191" s="242"/>
      <c r="V191" s="242"/>
      <c r="W191" s="242"/>
      <c r="X191" s="242"/>
    </row>
    <row r="192">
      <c r="A192" s="242"/>
      <c r="B192" s="242"/>
      <c r="C192" s="242"/>
      <c r="D192" s="242"/>
      <c r="E192" s="242"/>
      <c r="F192" s="242"/>
      <c r="G192" s="242"/>
      <c r="H192" s="242"/>
      <c r="I192" s="242"/>
      <c r="J192" s="242"/>
      <c r="K192" s="242"/>
      <c r="L192" s="242"/>
      <c r="M192" s="13"/>
      <c r="N192" s="13"/>
      <c r="O192" s="13"/>
      <c r="P192" s="341"/>
      <c r="Q192" s="13"/>
      <c r="R192" s="242"/>
      <c r="S192" s="242"/>
      <c r="T192" s="242"/>
      <c r="U192" s="242"/>
      <c r="V192" s="242"/>
      <c r="W192" s="242"/>
      <c r="X192" s="242"/>
    </row>
    <row r="193">
      <c r="A193" s="242"/>
      <c r="B193" s="242"/>
      <c r="C193" s="242"/>
      <c r="D193" s="242"/>
      <c r="E193" s="242"/>
      <c r="F193" s="242"/>
      <c r="G193" s="242"/>
      <c r="H193" s="242"/>
      <c r="I193" s="242"/>
      <c r="J193" s="242"/>
      <c r="K193" s="242"/>
      <c r="L193" s="242"/>
      <c r="M193" s="13"/>
      <c r="N193" s="13"/>
      <c r="O193" s="13"/>
      <c r="P193" s="341"/>
      <c r="Q193" s="13"/>
      <c r="R193" s="242"/>
      <c r="S193" s="242"/>
      <c r="T193" s="242"/>
      <c r="U193" s="242"/>
      <c r="V193" s="242"/>
      <c r="W193" s="242"/>
      <c r="X193" s="242"/>
    </row>
    <row r="194">
      <c r="A194" s="242"/>
      <c r="B194" s="242"/>
      <c r="C194" s="242"/>
      <c r="D194" s="242"/>
      <c r="E194" s="242"/>
      <c r="F194" s="242"/>
      <c r="G194" s="242"/>
      <c r="H194" s="242"/>
      <c r="I194" s="242"/>
      <c r="J194" s="242"/>
      <c r="K194" s="242"/>
      <c r="L194" s="242"/>
      <c r="M194" s="13"/>
      <c r="N194" s="13"/>
      <c r="O194" s="13"/>
      <c r="P194" s="341"/>
      <c r="Q194" s="13"/>
      <c r="R194" s="242"/>
      <c r="S194" s="242"/>
      <c r="T194" s="242"/>
      <c r="U194" s="242"/>
      <c r="V194" s="242"/>
      <c r="W194" s="242"/>
      <c r="X194" s="242"/>
    </row>
    <row r="195">
      <c r="A195" s="242"/>
      <c r="B195" s="242"/>
      <c r="C195" s="242"/>
      <c r="D195" s="242"/>
      <c r="E195" s="242"/>
      <c r="F195" s="242"/>
      <c r="G195" s="242"/>
      <c r="H195" s="242"/>
      <c r="I195" s="242"/>
      <c r="J195" s="242"/>
      <c r="K195" s="242"/>
      <c r="L195" s="242"/>
      <c r="M195" s="13"/>
      <c r="N195" s="13"/>
      <c r="O195" s="13"/>
      <c r="P195" s="341"/>
      <c r="Q195" s="13"/>
      <c r="R195" s="242"/>
      <c r="S195" s="242"/>
      <c r="T195" s="242"/>
      <c r="U195" s="242"/>
      <c r="V195" s="242"/>
      <c r="W195" s="242"/>
      <c r="X195" s="242"/>
    </row>
    <row r="196">
      <c r="A196" s="242"/>
      <c r="B196" s="242"/>
      <c r="C196" s="242"/>
      <c r="D196" s="242"/>
      <c r="E196" s="242"/>
      <c r="F196" s="242"/>
      <c r="G196" s="242"/>
      <c r="H196" s="242"/>
      <c r="I196" s="242"/>
      <c r="J196" s="242"/>
      <c r="K196" s="242"/>
      <c r="L196" s="242"/>
      <c r="M196" s="13"/>
      <c r="N196" s="13"/>
      <c r="O196" s="13"/>
      <c r="P196" s="341"/>
      <c r="Q196" s="13"/>
      <c r="R196" s="242"/>
      <c r="S196" s="242"/>
      <c r="T196" s="242"/>
      <c r="U196" s="242"/>
      <c r="V196" s="242"/>
      <c r="W196" s="242"/>
      <c r="X196" s="242"/>
    </row>
    <row r="197">
      <c r="A197" s="242"/>
      <c r="B197" s="242"/>
      <c r="C197" s="242"/>
      <c r="D197" s="242"/>
      <c r="E197" s="242"/>
      <c r="F197" s="242"/>
      <c r="G197" s="242"/>
      <c r="H197" s="242"/>
      <c r="I197" s="242"/>
      <c r="J197" s="242"/>
      <c r="K197" s="242"/>
      <c r="L197" s="242"/>
      <c r="M197" s="13"/>
      <c r="N197" s="13"/>
      <c r="O197" s="13"/>
      <c r="P197" s="341"/>
      <c r="Q197" s="13"/>
      <c r="R197" s="242"/>
      <c r="S197" s="242"/>
      <c r="T197" s="242"/>
      <c r="U197" s="242"/>
      <c r="V197" s="242"/>
      <c r="W197" s="242"/>
      <c r="X197" s="242"/>
    </row>
    <row r="198">
      <c r="A198" s="242"/>
      <c r="B198" s="242"/>
      <c r="C198" s="242"/>
      <c r="D198" s="242"/>
      <c r="E198" s="242"/>
      <c r="F198" s="242"/>
      <c r="G198" s="242"/>
      <c r="H198" s="242"/>
      <c r="I198" s="242"/>
      <c r="J198" s="242"/>
      <c r="K198" s="242"/>
      <c r="L198" s="242"/>
      <c r="M198" s="13"/>
      <c r="N198" s="13"/>
      <c r="O198" s="13"/>
      <c r="P198" s="341"/>
      <c r="Q198" s="13"/>
      <c r="R198" s="242"/>
      <c r="S198" s="242"/>
      <c r="T198" s="242"/>
      <c r="U198" s="242"/>
      <c r="V198" s="242"/>
      <c r="W198" s="242"/>
      <c r="X198" s="242"/>
    </row>
    <row r="199">
      <c r="A199" s="242"/>
      <c r="B199" s="242"/>
      <c r="C199" s="242"/>
      <c r="D199" s="242"/>
      <c r="E199" s="242"/>
      <c r="F199" s="242"/>
      <c r="G199" s="242"/>
      <c r="H199" s="242"/>
      <c r="I199" s="242"/>
      <c r="J199" s="242"/>
      <c r="K199" s="242"/>
      <c r="L199" s="242"/>
      <c r="M199" s="13"/>
      <c r="N199" s="13"/>
      <c r="O199" s="13"/>
      <c r="P199" s="341"/>
      <c r="Q199" s="13"/>
      <c r="R199" s="242"/>
      <c r="S199" s="242"/>
      <c r="T199" s="242"/>
      <c r="U199" s="242"/>
      <c r="V199" s="242"/>
      <c r="W199" s="242"/>
      <c r="X199" s="242"/>
    </row>
    <row r="200">
      <c r="A200" s="242"/>
      <c r="B200" s="242"/>
      <c r="C200" s="242"/>
      <c r="D200" s="242"/>
      <c r="E200" s="242"/>
      <c r="F200" s="242"/>
      <c r="G200" s="242"/>
      <c r="H200" s="242"/>
      <c r="I200" s="242"/>
      <c r="J200" s="242"/>
      <c r="K200" s="242"/>
      <c r="L200" s="242"/>
      <c r="M200" s="13"/>
      <c r="N200" s="13"/>
      <c r="O200" s="13"/>
      <c r="P200" s="341"/>
      <c r="Q200" s="13"/>
      <c r="R200" s="242"/>
      <c r="S200" s="242"/>
      <c r="T200" s="242"/>
      <c r="U200" s="242"/>
      <c r="V200" s="242"/>
      <c r="W200" s="242"/>
      <c r="X200" s="242"/>
    </row>
    <row r="201">
      <c r="A201" s="242"/>
      <c r="B201" s="242"/>
      <c r="C201" s="242"/>
      <c r="D201" s="242"/>
      <c r="E201" s="242"/>
      <c r="F201" s="242"/>
      <c r="G201" s="242"/>
      <c r="H201" s="242"/>
      <c r="I201" s="242"/>
      <c r="J201" s="242"/>
      <c r="K201" s="242"/>
      <c r="L201" s="242"/>
      <c r="M201" s="13"/>
      <c r="N201" s="13"/>
      <c r="O201" s="13"/>
      <c r="P201" s="341"/>
      <c r="Q201" s="13"/>
      <c r="R201" s="242"/>
      <c r="S201" s="242"/>
      <c r="T201" s="242"/>
      <c r="U201" s="242"/>
      <c r="V201" s="242"/>
      <c r="W201" s="242"/>
      <c r="X201" s="242"/>
    </row>
    <row r="202">
      <c r="A202" s="242"/>
      <c r="B202" s="242"/>
      <c r="C202" s="242"/>
      <c r="D202" s="242"/>
      <c r="E202" s="242"/>
      <c r="F202" s="242"/>
      <c r="G202" s="242"/>
      <c r="H202" s="242"/>
      <c r="I202" s="242"/>
      <c r="J202" s="242"/>
      <c r="K202" s="242"/>
      <c r="L202" s="242"/>
      <c r="M202" s="13"/>
      <c r="N202" s="13"/>
      <c r="O202" s="13"/>
      <c r="P202" s="341"/>
      <c r="Q202" s="13"/>
      <c r="R202" s="242"/>
      <c r="S202" s="242"/>
      <c r="T202" s="242"/>
      <c r="U202" s="242"/>
      <c r="V202" s="242"/>
      <c r="W202" s="242"/>
      <c r="X202" s="242"/>
    </row>
    <row r="203">
      <c r="A203" s="242"/>
      <c r="B203" s="242"/>
      <c r="C203" s="242"/>
      <c r="D203" s="242"/>
      <c r="E203" s="242"/>
      <c r="F203" s="242"/>
      <c r="G203" s="242"/>
      <c r="H203" s="242"/>
      <c r="I203" s="242"/>
      <c r="J203" s="242"/>
      <c r="K203" s="242"/>
      <c r="L203" s="242"/>
      <c r="M203" s="13"/>
      <c r="N203" s="13"/>
      <c r="O203" s="13"/>
      <c r="P203" s="341"/>
      <c r="Q203" s="13"/>
      <c r="R203" s="242"/>
      <c r="S203" s="242"/>
      <c r="T203" s="242"/>
      <c r="U203" s="242"/>
      <c r="V203" s="242"/>
      <c r="W203" s="242"/>
      <c r="X203" s="242"/>
    </row>
    <row r="204">
      <c r="A204" s="242"/>
      <c r="B204" s="242"/>
      <c r="C204" s="242"/>
      <c r="D204" s="242"/>
      <c r="E204" s="242"/>
      <c r="F204" s="242"/>
      <c r="G204" s="242"/>
      <c r="H204" s="242"/>
      <c r="I204" s="242"/>
      <c r="J204" s="242"/>
      <c r="K204" s="242"/>
      <c r="L204" s="242"/>
      <c r="M204" s="13"/>
      <c r="N204" s="13"/>
      <c r="O204" s="13"/>
      <c r="P204" s="341"/>
      <c r="Q204" s="13"/>
      <c r="R204" s="242"/>
      <c r="S204" s="242"/>
      <c r="T204" s="242"/>
      <c r="U204" s="242"/>
      <c r="V204" s="242"/>
      <c r="W204" s="242"/>
      <c r="X204" s="242"/>
    </row>
    <row r="205">
      <c r="A205" s="242"/>
      <c r="B205" s="242"/>
      <c r="C205" s="242"/>
      <c r="D205" s="242"/>
      <c r="E205" s="242"/>
      <c r="F205" s="242"/>
      <c r="G205" s="242"/>
      <c r="H205" s="242"/>
      <c r="I205" s="242"/>
      <c r="J205" s="242"/>
      <c r="K205" s="242"/>
      <c r="L205" s="242"/>
      <c r="M205" s="13"/>
      <c r="N205" s="13"/>
      <c r="O205" s="13"/>
      <c r="P205" s="341"/>
      <c r="Q205" s="13"/>
      <c r="R205" s="242"/>
      <c r="S205" s="242"/>
      <c r="T205" s="242"/>
      <c r="U205" s="242"/>
      <c r="V205" s="242"/>
      <c r="W205" s="242"/>
      <c r="X205" s="242"/>
    </row>
    <row r="206">
      <c r="A206" s="242"/>
      <c r="B206" s="242"/>
      <c r="C206" s="242"/>
      <c r="D206" s="242"/>
      <c r="E206" s="242"/>
      <c r="F206" s="242"/>
      <c r="G206" s="242"/>
      <c r="H206" s="242"/>
      <c r="I206" s="242"/>
      <c r="J206" s="242"/>
      <c r="K206" s="242"/>
      <c r="L206" s="242"/>
      <c r="M206" s="13"/>
      <c r="N206" s="13"/>
      <c r="O206" s="13"/>
      <c r="P206" s="341"/>
      <c r="Q206" s="13"/>
      <c r="R206" s="242"/>
      <c r="S206" s="242"/>
      <c r="T206" s="242"/>
      <c r="U206" s="242"/>
      <c r="V206" s="242"/>
      <c r="W206" s="242"/>
      <c r="X206" s="242"/>
    </row>
    <row r="207">
      <c r="A207" s="242"/>
      <c r="B207" s="242"/>
      <c r="C207" s="242"/>
      <c r="D207" s="242"/>
      <c r="E207" s="242"/>
      <c r="F207" s="242"/>
      <c r="G207" s="242"/>
      <c r="H207" s="242"/>
      <c r="I207" s="242"/>
      <c r="J207" s="242"/>
      <c r="K207" s="242"/>
      <c r="L207" s="242"/>
      <c r="M207" s="13"/>
      <c r="N207" s="13"/>
      <c r="O207" s="13"/>
      <c r="P207" s="341"/>
      <c r="Q207" s="13"/>
      <c r="R207" s="242"/>
      <c r="S207" s="242"/>
      <c r="T207" s="242"/>
      <c r="U207" s="242"/>
      <c r="V207" s="242"/>
      <c r="W207" s="242"/>
      <c r="X207" s="242"/>
    </row>
    <row r="208">
      <c r="A208" s="242"/>
      <c r="B208" s="242"/>
      <c r="C208" s="242"/>
      <c r="D208" s="242"/>
      <c r="E208" s="242"/>
      <c r="F208" s="242"/>
      <c r="G208" s="242"/>
      <c r="H208" s="242"/>
      <c r="I208" s="242"/>
      <c r="J208" s="242"/>
      <c r="K208" s="242"/>
      <c r="L208" s="242"/>
      <c r="M208" s="13"/>
      <c r="N208" s="13"/>
      <c r="O208" s="13"/>
      <c r="P208" s="341"/>
      <c r="Q208" s="13"/>
      <c r="R208" s="242"/>
      <c r="S208" s="242"/>
      <c r="T208" s="242"/>
      <c r="U208" s="242"/>
      <c r="V208" s="242"/>
      <c r="W208" s="242"/>
      <c r="X208" s="242"/>
    </row>
    <row r="209">
      <c r="A209" s="242"/>
      <c r="B209" s="242"/>
      <c r="C209" s="242"/>
      <c r="D209" s="242"/>
      <c r="E209" s="242"/>
      <c r="F209" s="242"/>
      <c r="G209" s="242"/>
      <c r="H209" s="242"/>
      <c r="I209" s="242"/>
      <c r="J209" s="242"/>
      <c r="K209" s="242"/>
      <c r="L209" s="242"/>
      <c r="M209" s="13"/>
      <c r="N209" s="13"/>
      <c r="O209" s="13"/>
      <c r="P209" s="341"/>
      <c r="Q209" s="13"/>
      <c r="R209" s="242"/>
      <c r="S209" s="242"/>
      <c r="T209" s="242"/>
      <c r="U209" s="242"/>
      <c r="V209" s="242"/>
      <c r="W209" s="242"/>
      <c r="X209" s="242"/>
    </row>
    <row r="210">
      <c r="A210" s="242"/>
      <c r="B210" s="242"/>
      <c r="C210" s="242"/>
      <c r="D210" s="242"/>
      <c r="E210" s="242"/>
      <c r="F210" s="242"/>
      <c r="G210" s="242"/>
      <c r="H210" s="242"/>
      <c r="I210" s="242"/>
      <c r="J210" s="242"/>
      <c r="K210" s="242"/>
      <c r="L210" s="242"/>
      <c r="M210" s="13"/>
      <c r="N210" s="13"/>
      <c r="O210" s="13"/>
      <c r="P210" s="341"/>
      <c r="Q210" s="13"/>
      <c r="R210" s="242"/>
      <c r="S210" s="242"/>
      <c r="T210" s="242"/>
      <c r="U210" s="242"/>
      <c r="V210" s="242"/>
      <c r="W210" s="242"/>
      <c r="X210" s="242"/>
    </row>
    <row r="211">
      <c r="A211" s="242"/>
      <c r="B211" s="242"/>
      <c r="C211" s="242"/>
      <c r="D211" s="242"/>
      <c r="E211" s="242"/>
      <c r="F211" s="242"/>
      <c r="G211" s="242"/>
      <c r="H211" s="242"/>
      <c r="I211" s="242"/>
      <c r="J211" s="242"/>
      <c r="K211" s="242"/>
      <c r="L211" s="242"/>
      <c r="M211" s="13"/>
      <c r="N211" s="13"/>
      <c r="O211" s="13"/>
      <c r="P211" s="341"/>
      <c r="Q211" s="13"/>
      <c r="R211" s="242"/>
      <c r="S211" s="242"/>
      <c r="T211" s="242"/>
      <c r="U211" s="242"/>
      <c r="V211" s="242"/>
      <c r="W211" s="242"/>
      <c r="X211" s="242"/>
    </row>
    <row r="212">
      <c r="A212" s="242"/>
      <c r="B212" s="242"/>
      <c r="C212" s="242"/>
      <c r="D212" s="242"/>
      <c r="E212" s="242"/>
      <c r="F212" s="242"/>
      <c r="G212" s="242"/>
      <c r="H212" s="242"/>
      <c r="I212" s="242"/>
      <c r="J212" s="242"/>
      <c r="K212" s="242"/>
      <c r="L212" s="242"/>
      <c r="M212" s="13"/>
      <c r="N212" s="13"/>
      <c r="O212" s="13"/>
      <c r="P212" s="341"/>
      <c r="Q212" s="13"/>
      <c r="R212" s="242"/>
      <c r="S212" s="242"/>
      <c r="T212" s="242"/>
      <c r="U212" s="242"/>
      <c r="V212" s="242"/>
      <c r="W212" s="242"/>
      <c r="X212" s="242"/>
    </row>
    <row r="213">
      <c r="A213" s="242"/>
      <c r="B213" s="242"/>
      <c r="C213" s="242"/>
      <c r="D213" s="242"/>
      <c r="E213" s="242"/>
      <c r="F213" s="242"/>
      <c r="G213" s="242"/>
      <c r="H213" s="242"/>
      <c r="I213" s="242"/>
      <c r="J213" s="242"/>
      <c r="K213" s="242"/>
      <c r="L213" s="242"/>
      <c r="M213" s="13"/>
      <c r="N213" s="13"/>
      <c r="O213" s="13"/>
      <c r="P213" s="341"/>
      <c r="Q213" s="13"/>
      <c r="R213" s="242"/>
      <c r="S213" s="242"/>
      <c r="T213" s="242"/>
      <c r="U213" s="242"/>
      <c r="V213" s="242"/>
      <c r="W213" s="242"/>
      <c r="X213" s="242"/>
    </row>
    <row r="214">
      <c r="A214" s="242"/>
      <c r="B214" s="242"/>
      <c r="C214" s="242"/>
      <c r="D214" s="242"/>
      <c r="E214" s="242"/>
      <c r="F214" s="242"/>
      <c r="G214" s="242"/>
      <c r="H214" s="242"/>
      <c r="I214" s="242"/>
      <c r="J214" s="242"/>
      <c r="K214" s="242"/>
      <c r="L214" s="242"/>
      <c r="M214" s="13"/>
      <c r="N214" s="13"/>
      <c r="O214" s="13"/>
      <c r="P214" s="341"/>
      <c r="Q214" s="13"/>
      <c r="R214" s="242"/>
      <c r="S214" s="242"/>
      <c r="T214" s="242"/>
      <c r="U214" s="242"/>
      <c r="V214" s="242"/>
      <c r="W214" s="242"/>
      <c r="X214" s="242"/>
    </row>
    <row r="215">
      <c r="A215" s="242"/>
      <c r="B215" s="242"/>
      <c r="C215" s="242"/>
      <c r="D215" s="242"/>
      <c r="E215" s="242"/>
      <c r="F215" s="242"/>
      <c r="G215" s="242"/>
      <c r="H215" s="242"/>
      <c r="I215" s="242"/>
      <c r="J215" s="242"/>
      <c r="K215" s="242"/>
      <c r="L215" s="242"/>
      <c r="M215" s="13"/>
      <c r="N215" s="13"/>
      <c r="O215" s="13"/>
      <c r="P215" s="341"/>
      <c r="Q215" s="13"/>
      <c r="R215" s="242"/>
      <c r="S215" s="242"/>
      <c r="T215" s="242"/>
      <c r="U215" s="242"/>
      <c r="V215" s="242"/>
      <c r="W215" s="242"/>
      <c r="X215" s="242"/>
    </row>
    <row r="216">
      <c r="A216" s="242"/>
      <c r="B216" s="242"/>
      <c r="C216" s="242"/>
      <c r="D216" s="242"/>
      <c r="E216" s="242"/>
      <c r="F216" s="242"/>
      <c r="G216" s="242"/>
      <c r="H216" s="242"/>
      <c r="I216" s="242"/>
      <c r="J216" s="242"/>
      <c r="K216" s="242"/>
      <c r="L216" s="242"/>
      <c r="M216" s="13"/>
      <c r="N216" s="13"/>
      <c r="O216" s="13"/>
      <c r="P216" s="341"/>
      <c r="Q216" s="13"/>
      <c r="R216" s="242"/>
      <c r="S216" s="242"/>
      <c r="T216" s="242"/>
      <c r="U216" s="242"/>
      <c r="V216" s="242"/>
      <c r="W216" s="242"/>
      <c r="X216" s="242"/>
    </row>
    <row r="217">
      <c r="A217" s="242"/>
      <c r="B217" s="242"/>
      <c r="C217" s="242"/>
      <c r="D217" s="242"/>
      <c r="E217" s="242"/>
      <c r="F217" s="242"/>
      <c r="G217" s="242"/>
      <c r="H217" s="242"/>
      <c r="I217" s="242"/>
      <c r="J217" s="242"/>
      <c r="K217" s="242"/>
      <c r="L217" s="242"/>
      <c r="M217" s="13"/>
      <c r="N217" s="13"/>
      <c r="O217" s="13"/>
      <c r="P217" s="341"/>
      <c r="Q217" s="13"/>
      <c r="R217" s="242"/>
      <c r="S217" s="242"/>
      <c r="T217" s="242"/>
      <c r="U217" s="242"/>
      <c r="V217" s="242"/>
      <c r="W217" s="242"/>
      <c r="X217" s="242"/>
    </row>
    <row r="218">
      <c r="A218" s="242"/>
      <c r="B218" s="242"/>
      <c r="C218" s="242"/>
      <c r="D218" s="242"/>
      <c r="E218" s="242"/>
      <c r="F218" s="242"/>
      <c r="G218" s="242"/>
      <c r="H218" s="242"/>
      <c r="I218" s="242"/>
      <c r="J218" s="242"/>
      <c r="K218" s="242"/>
      <c r="L218" s="242"/>
      <c r="M218" s="13"/>
      <c r="N218" s="13"/>
      <c r="O218" s="13"/>
      <c r="P218" s="341"/>
      <c r="Q218" s="13"/>
      <c r="R218" s="242"/>
      <c r="S218" s="242"/>
      <c r="T218" s="242"/>
      <c r="U218" s="242"/>
      <c r="V218" s="242"/>
      <c r="W218" s="242"/>
      <c r="X218" s="242"/>
    </row>
    <row r="219">
      <c r="A219" s="242"/>
      <c r="B219" s="242"/>
      <c r="C219" s="242"/>
      <c r="D219" s="242"/>
      <c r="E219" s="242"/>
      <c r="F219" s="242"/>
      <c r="G219" s="242"/>
      <c r="H219" s="242"/>
      <c r="I219" s="242"/>
      <c r="J219" s="242"/>
      <c r="K219" s="242"/>
      <c r="L219" s="242"/>
      <c r="M219" s="13"/>
      <c r="N219" s="13"/>
      <c r="O219" s="13"/>
      <c r="P219" s="341"/>
      <c r="Q219" s="13"/>
      <c r="R219" s="242"/>
      <c r="S219" s="242"/>
      <c r="T219" s="242"/>
      <c r="U219" s="242"/>
      <c r="V219" s="242"/>
      <c r="W219" s="242"/>
      <c r="X219" s="242"/>
    </row>
    <row r="220">
      <c r="A220" s="242"/>
      <c r="B220" s="242"/>
      <c r="C220" s="242"/>
      <c r="D220" s="242"/>
      <c r="E220" s="242"/>
      <c r="F220" s="242"/>
      <c r="G220" s="242"/>
      <c r="H220" s="242"/>
      <c r="I220" s="242"/>
      <c r="J220" s="242"/>
      <c r="K220" s="242"/>
      <c r="L220" s="242"/>
      <c r="M220" s="13"/>
      <c r="N220" s="13"/>
      <c r="O220" s="13"/>
      <c r="P220" s="341"/>
      <c r="Q220" s="13"/>
      <c r="R220" s="242"/>
      <c r="S220" s="242"/>
      <c r="T220" s="242"/>
      <c r="U220" s="242"/>
      <c r="V220" s="242"/>
      <c r="W220" s="242"/>
      <c r="X220" s="242"/>
    </row>
    <row r="221">
      <c r="A221" s="242"/>
      <c r="B221" s="242"/>
      <c r="C221" s="242"/>
      <c r="D221" s="242"/>
      <c r="E221" s="242"/>
      <c r="F221" s="242"/>
      <c r="G221" s="242"/>
      <c r="H221" s="242"/>
      <c r="I221" s="242"/>
      <c r="J221" s="242"/>
      <c r="K221" s="242"/>
      <c r="L221" s="242"/>
      <c r="M221" s="13"/>
      <c r="N221" s="13"/>
      <c r="O221" s="13"/>
      <c r="P221" s="341"/>
      <c r="Q221" s="13"/>
      <c r="R221" s="242"/>
      <c r="S221" s="242"/>
      <c r="T221" s="242"/>
      <c r="U221" s="242"/>
      <c r="V221" s="242"/>
      <c r="W221" s="242"/>
      <c r="X221" s="242"/>
    </row>
    <row r="222">
      <c r="A222" s="242"/>
      <c r="B222" s="242"/>
      <c r="C222" s="242"/>
      <c r="D222" s="242"/>
      <c r="E222" s="242"/>
      <c r="F222" s="242"/>
      <c r="G222" s="242"/>
      <c r="H222" s="242"/>
      <c r="I222" s="242"/>
      <c r="J222" s="242"/>
      <c r="K222" s="242"/>
      <c r="L222" s="242"/>
      <c r="M222" s="13"/>
      <c r="N222" s="13"/>
      <c r="O222" s="13"/>
      <c r="P222" s="341"/>
      <c r="Q222" s="13"/>
      <c r="R222" s="242"/>
      <c r="S222" s="242"/>
      <c r="T222" s="242"/>
      <c r="U222" s="242"/>
      <c r="V222" s="242"/>
      <c r="W222" s="242"/>
      <c r="X222" s="242"/>
    </row>
    <row r="223">
      <c r="A223" s="242"/>
      <c r="B223" s="242"/>
      <c r="C223" s="242"/>
      <c r="D223" s="242"/>
      <c r="E223" s="242"/>
      <c r="F223" s="242"/>
      <c r="G223" s="242"/>
      <c r="H223" s="242"/>
      <c r="I223" s="242"/>
      <c r="J223" s="242"/>
      <c r="K223" s="242"/>
      <c r="L223" s="242"/>
      <c r="M223" s="13"/>
      <c r="N223" s="13"/>
      <c r="O223" s="13"/>
      <c r="P223" s="341"/>
      <c r="Q223" s="13"/>
      <c r="R223" s="242"/>
      <c r="S223" s="242"/>
      <c r="T223" s="242"/>
      <c r="U223" s="242"/>
      <c r="V223" s="242"/>
      <c r="W223" s="242"/>
      <c r="X223" s="242"/>
    </row>
    <row r="224">
      <c r="A224" s="242"/>
      <c r="B224" s="242"/>
      <c r="C224" s="242"/>
      <c r="D224" s="242"/>
      <c r="E224" s="242"/>
      <c r="F224" s="242"/>
      <c r="G224" s="242"/>
      <c r="H224" s="242"/>
      <c r="I224" s="242"/>
      <c r="J224" s="242"/>
      <c r="K224" s="242"/>
      <c r="L224" s="242"/>
      <c r="M224" s="13"/>
      <c r="N224" s="13"/>
      <c r="O224" s="13"/>
      <c r="P224" s="341"/>
      <c r="Q224" s="13"/>
      <c r="R224" s="242"/>
      <c r="S224" s="242"/>
      <c r="T224" s="242"/>
      <c r="U224" s="242"/>
      <c r="V224" s="242"/>
      <c r="W224" s="242"/>
      <c r="X224" s="242"/>
    </row>
    <row r="225">
      <c r="A225" s="242"/>
      <c r="B225" s="242"/>
      <c r="C225" s="242"/>
      <c r="D225" s="242"/>
      <c r="E225" s="242"/>
      <c r="F225" s="242"/>
      <c r="G225" s="242"/>
      <c r="H225" s="242"/>
      <c r="I225" s="242"/>
      <c r="J225" s="242"/>
      <c r="K225" s="242"/>
      <c r="L225" s="242"/>
      <c r="M225" s="13"/>
      <c r="N225" s="13"/>
      <c r="O225" s="13"/>
      <c r="P225" s="341"/>
      <c r="Q225" s="13"/>
      <c r="R225" s="242"/>
      <c r="S225" s="242"/>
      <c r="T225" s="242"/>
      <c r="U225" s="242"/>
      <c r="V225" s="242"/>
      <c r="W225" s="242"/>
      <c r="X225" s="242"/>
    </row>
    <row r="226">
      <c r="A226" s="242"/>
      <c r="B226" s="242"/>
      <c r="C226" s="242"/>
      <c r="D226" s="242"/>
      <c r="E226" s="242"/>
      <c r="F226" s="242"/>
      <c r="G226" s="242"/>
      <c r="H226" s="242"/>
      <c r="I226" s="242"/>
      <c r="J226" s="242"/>
      <c r="K226" s="242"/>
      <c r="L226" s="242"/>
      <c r="M226" s="13"/>
      <c r="N226" s="13"/>
      <c r="O226" s="13"/>
      <c r="P226" s="341"/>
      <c r="Q226" s="13"/>
      <c r="R226" s="242"/>
      <c r="S226" s="242"/>
      <c r="T226" s="242"/>
      <c r="U226" s="242"/>
      <c r="V226" s="242"/>
      <c r="W226" s="242"/>
      <c r="X226" s="242"/>
    </row>
    <row r="227">
      <c r="A227" s="242"/>
      <c r="B227" s="242"/>
      <c r="C227" s="242"/>
      <c r="D227" s="242"/>
      <c r="E227" s="242"/>
      <c r="F227" s="242"/>
      <c r="G227" s="242"/>
      <c r="H227" s="242"/>
      <c r="I227" s="242"/>
      <c r="J227" s="242"/>
      <c r="K227" s="242"/>
      <c r="L227" s="242"/>
      <c r="M227" s="13"/>
      <c r="N227" s="13"/>
      <c r="O227" s="13"/>
      <c r="P227" s="341"/>
      <c r="Q227" s="13"/>
      <c r="R227" s="242"/>
      <c r="S227" s="242"/>
      <c r="T227" s="242"/>
      <c r="U227" s="242"/>
      <c r="V227" s="242"/>
      <c r="W227" s="242"/>
      <c r="X227" s="242"/>
    </row>
    <row r="228">
      <c r="A228" s="242"/>
      <c r="B228" s="242"/>
      <c r="C228" s="242"/>
      <c r="D228" s="242"/>
      <c r="E228" s="242"/>
      <c r="F228" s="242"/>
      <c r="G228" s="242"/>
      <c r="H228" s="242"/>
      <c r="I228" s="242"/>
      <c r="J228" s="242"/>
      <c r="K228" s="242"/>
      <c r="L228" s="242"/>
      <c r="M228" s="13"/>
      <c r="N228" s="13"/>
      <c r="O228" s="13"/>
      <c r="P228" s="341"/>
      <c r="Q228" s="13"/>
      <c r="R228" s="242"/>
      <c r="S228" s="242"/>
      <c r="T228" s="242"/>
      <c r="U228" s="242"/>
      <c r="V228" s="242"/>
      <c r="W228" s="242"/>
      <c r="X228" s="242"/>
    </row>
    <row r="229">
      <c r="A229" s="242"/>
      <c r="B229" s="242"/>
      <c r="C229" s="242"/>
      <c r="D229" s="242"/>
      <c r="E229" s="242"/>
      <c r="F229" s="242"/>
      <c r="G229" s="242"/>
      <c r="H229" s="242"/>
      <c r="I229" s="242"/>
      <c r="J229" s="242"/>
      <c r="K229" s="242"/>
      <c r="L229" s="242"/>
      <c r="M229" s="13"/>
      <c r="N229" s="13"/>
      <c r="O229" s="13"/>
      <c r="P229" s="341"/>
      <c r="Q229" s="13"/>
      <c r="R229" s="242"/>
      <c r="S229" s="242"/>
      <c r="T229" s="242"/>
      <c r="U229" s="242"/>
      <c r="V229" s="242"/>
      <c r="W229" s="242"/>
      <c r="X229" s="242"/>
    </row>
    <row r="230">
      <c r="A230" s="242"/>
      <c r="B230" s="242"/>
      <c r="C230" s="242"/>
      <c r="D230" s="242"/>
      <c r="E230" s="242"/>
      <c r="F230" s="242"/>
      <c r="G230" s="242"/>
      <c r="H230" s="242"/>
      <c r="I230" s="242"/>
      <c r="J230" s="242"/>
      <c r="K230" s="242"/>
      <c r="L230" s="242"/>
      <c r="M230" s="13"/>
      <c r="N230" s="13"/>
      <c r="O230" s="13"/>
      <c r="P230" s="341"/>
      <c r="Q230" s="13"/>
      <c r="R230" s="242"/>
      <c r="S230" s="242"/>
      <c r="T230" s="242"/>
      <c r="U230" s="242"/>
      <c r="V230" s="242"/>
      <c r="W230" s="242"/>
      <c r="X230" s="242"/>
    </row>
    <row r="231">
      <c r="A231" s="242"/>
      <c r="B231" s="242"/>
      <c r="C231" s="242"/>
      <c r="D231" s="242"/>
      <c r="E231" s="242"/>
      <c r="F231" s="242"/>
      <c r="G231" s="242"/>
      <c r="H231" s="242"/>
      <c r="I231" s="242"/>
      <c r="J231" s="242"/>
      <c r="K231" s="242"/>
      <c r="L231" s="242"/>
      <c r="M231" s="13"/>
      <c r="N231" s="13"/>
      <c r="O231" s="13"/>
      <c r="P231" s="341"/>
      <c r="Q231" s="13"/>
      <c r="R231" s="242"/>
      <c r="S231" s="242"/>
      <c r="T231" s="242"/>
      <c r="U231" s="242"/>
      <c r="V231" s="242"/>
      <c r="W231" s="242"/>
      <c r="X231" s="242"/>
    </row>
    <row r="232">
      <c r="A232" s="242"/>
      <c r="B232" s="242"/>
      <c r="C232" s="242"/>
      <c r="D232" s="242"/>
      <c r="E232" s="242"/>
      <c r="F232" s="242"/>
      <c r="G232" s="242"/>
      <c r="H232" s="242"/>
      <c r="I232" s="242"/>
      <c r="J232" s="242"/>
      <c r="K232" s="242"/>
      <c r="L232" s="242"/>
      <c r="M232" s="13"/>
      <c r="N232" s="13"/>
      <c r="O232" s="13"/>
      <c r="P232" s="341"/>
      <c r="Q232" s="13"/>
      <c r="R232" s="242"/>
      <c r="S232" s="242"/>
      <c r="T232" s="242"/>
      <c r="U232" s="242"/>
      <c r="V232" s="242"/>
      <c r="W232" s="242"/>
      <c r="X232" s="242"/>
    </row>
    <row r="233">
      <c r="A233" s="242"/>
      <c r="B233" s="242"/>
      <c r="C233" s="242"/>
      <c r="D233" s="242"/>
      <c r="E233" s="242"/>
      <c r="F233" s="242"/>
      <c r="G233" s="242"/>
      <c r="H233" s="242"/>
      <c r="I233" s="242"/>
      <c r="J233" s="242"/>
      <c r="K233" s="242"/>
      <c r="L233" s="242"/>
      <c r="M233" s="13"/>
      <c r="N233" s="13"/>
      <c r="O233" s="13"/>
      <c r="P233" s="341"/>
      <c r="Q233" s="13"/>
      <c r="R233" s="242"/>
      <c r="S233" s="242"/>
      <c r="T233" s="242"/>
      <c r="U233" s="242"/>
      <c r="V233" s="242"/>
      <c r="W233" s="242"/>
      <c r="X233" s="242"/>
    </row>
    <row r="234">
      <c r="A234" s="242"/>
      <c r="B234" s="242"/>
      <c r="C234" s="242"/>
      <c r="D234" s="242"/>
      <c r="E234" s="242"/>
      <c r="F234" s="242"/>
      <c r="G234" s="242"/>
      <c r="H234" s="242"/>
      <c r="I234" s="242"/>
      <c r="J234" s="242"/>
      <c r="K234" s="242"/>
      <c r="L234" s="242"/>
      <c r="M234" s="13"/>
      <c r="N234" s="13"/>
      <c r="O234" s="13"/>
      <c r="P234" s="341"/>
      <c r="Q234" s="13"/>
      <c r="R234" s="242"/>
      <c r="S234" s="242"/>
      <c r="T234" s="242"/>
      <c r="U234" s="242"/>
      <c r="V234" s="242"/>
      <c r="W234" s="242"/>
      <c r="X234" s="242"/>
    </row>
    <row r="235">
      <c r="A235" s="242"/>
      <c r="B235" s="242"/>
      <c r="C235" s="242"/>
      <c r="D235" s="242"/>
      <c r="E235" s="242"/>
      <c r="F235" s="242"/>
      <c r="G235" s="242"/>
      <c r="H235" s="242"/>
      <c r="I235" s="242"/>
      <c r="J235" s="242"/>
      <c r="K235" s="242"/>
      <c r="L235" s="242"/>
      <c r="M235" s="13"/>
      <c r="N235" s="13"/>
      <c r="O235" s="13"/>
      <c r="P235" s="341"/>
      <c r="Q235" s="13"/>
      <c r="R235" s="242"/>
      <c r="S235" s="242"/>
      <c r="T235" s="242"/>
      <c r="U235" s="242"/>
      <c r="V235" s="242"/>
      <c r="W235" s="242"/>
      <c r="X235" s="242"/>
    </row>
    <row r="236">
      <c r="A236" s="242"/>
      <c r="B236" s="242"/>
      <c r="C236" s="242"/>
      <c r="D236" s="242"/>
      <c r="E236" s="242"/>
      <c r="F236" s="242"/>
      <c r="G236" s="242"/>
      <c r="H236" s="242"/>
      <c r="I236" s="242"/>
      <c r="J236" s="242"/>
      <c r="K236" s="242"/>
      <c r="L236" s="242"/>
      <c r="M236" s="13"/>
      <c r="N236" s="13"/>
      <c r="O236" s="13"/>
      <c r="P236" s="341"/>
      <c r="Q236" s="13"/>
      <c r="R236" s="242"/>
      <c r="S236" s="242"/>
      <c r="T236" s="242"/>
      <c r="U236" s="242"/>
      <c r="V236" s="242"/>
      <c r="W236" s="242"/>
      <c r="X236" s="242"/>
    </row>
    <row r="237">
      <c r="A237" s="242"/>
      <c r="B237" s="242"/>
      <c r="C237" s="242"/>
      <c r="D237" s="242"/>
      <c r="E237" s="242"/>
      <c r="F237" s="242"/>
      <c r="G237" s="242"/>
      <c r="H237" s="242"/>
      <c r="I237" s="242"/>
      <c r="J237" s="242"/>
      <c r="K237" s="242"/>
      <c r="L237" s="242"/>
      <c r="M237" s="13"/>
      <c r="N237" s="13"/>
      <c r="O237" s="13"/>
      <c r="P237" s="341"/>
      <c r="Q237" s="13"/>
      <c r="R237" s="242"/>
      <c r="S237" s="242"/>
      <c r="T237" s="242"/>
      <c r="U237" s="242"/>
      <c r="V237" s="242"/>
      <c r="W237" s="242"/>
      <c r="X237" s="242"/>
    </row>
    <row r="238">
      <c r="A238" s="242"/>
      <c r="B238" s="242"/>
      <c r="C238" s="242"/>
      <c r="D238" s="242"/>
      <c r="E238" s="242"/>
      <c r="F238" s="242"/>
      <c r="G238" s="242"/>
      <c r="H238" s="242"/>
      <c r="I238" s="242"/>
      <c r="J238" s="242"/>
      <c r="K238" s="242"/>
      <c r="L238" s="242"/>
      <c r="M238" s="13"/>
      <c r="N238" s="13"/>
      <c r="O238" s="13"/>
      <c r="P238" s="341"/>
      <c r="Q238" s="13"/>
      <c r="R238" s="242"/>
      <c r="S238" s="242"/>
      <c r="T238" s="242"/>
      <c r="U238" s="242"/>
      <c r="V238" s="242"/>
      <c r="W238" s="242"/>
      <c r="X238" s="242"/>
    </row>
    <row r="239">
      <c r="A239" s="242"/>
      <c r="B239" s="242"/>
      <c r="C239" s="242"/>
      <c r="D239" s="242"/>
      <c r="E239" s="242"/>
      <c r="F239" s="242"/>
      <c r="G239" s="242"/>
      <c r="H239" s="242"/>
      <c r="I239" s="242"/>
      <c r="J239" s="242"/>
      <c r="K239" s="242"/>
      <c r="L239" s="242"/>
      <c r="M239" s="13"/>
      <c r="N239" s="13"/>
      <c r="O239" s="13"/>
      <c r="P239" s="341"/>
      <c r="Q239" s="13"/>
      <c r="R239" s="242"/>
      <c r="S239" s="242"/>
      <c r="T239" s="242"/>
      <c r="U239" s="242"/>
      <c r="V239" s="242"/>
      <c r="W239" s="242"/>
      <c r="X239" s="242"/>
    </row>
    <row r="240">
      <c r="A240" s="242"/>
      <c r="B240" s="242"/>
      <c r="C240" s="242"/>
      <c r="D240" s="242"/>
      <c r="E240" s="242"/>
      <c r="F240" s="242"/>
      <c r="G240" s="242"/>
      <c r="H240" s="242"/>
      <c r="I240" s="242"/>
      <c r="J240" s="242"/>
      <c r="K240" s="242"/>
      <c r="L240" s="242"/>
      <c r="M240" s="13"/>
      <c r="N240" s="13"/>
      <c r="O240" s="13"/>
      <c r="P240" s="341"/>
      <c r="Q240" s="13"/>
      <c r="R240" s="242"/>
      <c r="S240" s="242"/>
      <c r="T240" s="242"/>
      <c r="U240" s="242"/>
      <c r="V240" s="242"/>
      <c r="W240" s="242"/>
      <c r="X240" s="242"/>
    </row>
    <row r="241">
      <c r="A241" s="242"/>
      <c r="B241" s="242"/>
      <c r="C241" s="242"/>
      <c r="D241" s="242"/>
      <c r="E241" s="242"/>
      <c r="F241" s="242"/>
      <c r="G241" s="242"/>
      <c r="H241" s="242"/>
      <c r="I241" s="242"/>
      <c r="J241" s="242"/>
      <c r="K241" s="242"/>
      <c r="L241" s="242"/>
      <c r="M241" s="13"/>
      <c r="N241" s="13"/>
      <c r="O241" s="13"/>
      <c r="P241" s="341"/>
      <c r="Q241" s="13"/>
      <c r="R241" s="242"/>
      <c r="S241" s="242"/>
      <c r="T241" s="242"/>
      <c r="U241" s="242"/>
      <c r="V241" s="242"/>
      <c r="W241" s="242"/>
      <c r="X241" s="242"/>
    </row>
    <row r="242">
      <c r="A242" s="242"/>
      <c r="B242" s="242"/>
      <c r="C242" s="242"/>
      <c r="D242" s="242"/>
      <c r="E242" s="242"/>
      <c r="F242" s="242"/>
      <c r="G242" s="242"/>
      <c r="H242" s="242"/>
      <c r="I242" s="242"/>
      <c r="J242" s="242"/>
      <c r="K242" s="242"/>
      <c r="L242" s="242"/>
      <c r="M242" s="13"/>
      <c r="N242" s="13"/>
      <c r="O242" s="13"/>
      <c r="P242" s="341"/>
      <c r="Q242" s="13"/>
      <c r="R242" s="242"/>
      <c r="S242" s="242"/>
      <c r="T242" s="242"/>
      <c r="U242" s="242"/>
      <c r="V242" s="242"/>
      <c r="W242" s="242"/>
      <c r="X242" s="242"/>
    </row>
    <row r="243">
      <c r="A243" s="242"/>
      <c r="B243" s="242"/>
      <c r="C243" s="242"/>
      <c r="D243" s="242"/>
      <c r="E243" s="242"/>
      <c r="F243" s="242"/>
      <c r="G243" s="242"/>
      <c r="H243" s="242"/>
      <c r="I243" s="242"/>
      <c r="J243" s="242"/>
      <c r="K243" s="242"/>
      <c r="L243" s="242"/>
      <c r="M243" s="13"/>
      <c r="N243" s="13"/>
      <c r="O243" s="13"/>
      <c r="P243" s="341"/>
      <c r="Q243" s="13"/>
      <c r="R243" s="242"/>
      <c r="S243" s="242"/>
      <c r="T243" s="242"/>
      <c r="U243" s="242"/>
      <c r="V243" s="242"/>
      <c r="W243" s="242"/>
      <c r="X243" s="242"/>
    </row>
    <row r="244">
      <c r="A244" s="242"/>
      <c r="B244" s="242"/>
      <c r="C244" s="242"/>
      <c r="D244" s="242"/>
      <c r="E244" s="242"/>
      <c r="F244" s="242"/>
      <c r="G244" s="242"/>
      <c r="H244" s="242"/>
      <c r="I244" s="242"/>
      <c r="J244" s="242"/>
      <c r="K244" s="242"/>
      <c r="L244" s="242"/>
      <c r="M244" s="13"/>
      <c r="N244" s="13"/>
      <c r="O244" s="13"/>
      <c r="P244" s="341"/>
      <c r="Q244" s="13"/>
      <c r="R244" s="242"/>
      <c r="S244" s="242"/>
      <c r="T244" s="242"/>
      <c r="U244" s="242"/>
      <c r="V244" s="242"/>
      <c r="W244" s="242"/>
      <c r="X244" s="242"/>
    </row>
    <row r="245">
      <c r="A245" s="242"/>
      <c r="B245" s="242"/>
      <c r="C245" s="242"/>
      <c r="D245" s="242"/>
      <c r="E245" s="242"/>
      <c r="F245" s="242"/>
      <c r="G245" s="242"/>
      <c r="H245" s="242"/>
      <c r="I245" s="242"/>
      <c r="J245" s="242"/>
      <c r="K245" s="242"/>
      <c r="L245" s="242"/>
      <c r="M245" s="13"/>
      <c r="N245" s="13"/>
      <c r="O245" s="13"/>
      <c r="P245" s="341"/>
      <c r="Q245" s="13"/>
      <c r="R245" s="242"/>
      <c r="S245" s="242"/>
      <c r="T245" s="242"/>
      <c r="U245" s="242"/>
      <c r="V245" s="242"/>
      <c r="W245" s="242"/>
      <c r="X245" s="242"/>
    </row>
    <row r="246">
      <c r="A246" s="242"/>
      <c r="B246" s="242"/>
      <c r="C246" s="242"/>
      <c r="D246" s="242"/>
      <c r="E246" s="242"/>
      <c r="F246" s="242"/>
      <c r="G246" s="242"/>
      <c r="H246" s="242"/>
      <c r="I246" s="242"/>
      <c r="J246" s="242"/>
      <c r="K246" s="242"/>
      <c r="L246" s="242"/>
      <c r="M246" s="13"/>
      <c r="N246" s="13"/>
      <c r="O246" s="13"/>
      <c r="P246" s="341"/>
      <c r="Q246" s="13"/>
      <c r="R246" s="242"/>
      <c r="S246" s="242"/>
      <c r="T246" s="242"/>
      <c r="U246" s="242"/>
      <c r="V246" s="242"/>
      <c r="W246" s="242"/>
      <c r="X246" s="242"/>
    </row>
    <row r="247">
      <c r="A247" s="242"/>
      <c r="B247" s="242"/>
      <c r="C247" s="242"/>
      <c r="D247" s="242"/>
      <c r="E247" s="242"/>
      <c r="F247" s="242"/>
      <c r="G247" s="242"/>
      <c r="H247" s="242"/>
      <c r="I247" s="242"/>
      <c r="J247" s="242"/>
      <c r="K247" s="242"/>
      <c r="L247" s="242"/>
      <c r="M247" s="13"/>
      <c r="N247" s="13"/>
      <c r="O247" s="13"/>
      <c r="P247" s="341"/>
      <c r="Q247" s="13"/>
      <c r="R247" s="242"/>
      <c r="S247" s="242"/>
      <c r="T247" s="242"/>
      <c r="U247" s="242"/>
      <c r="V247" s="242"/>
      <c r="W247" s="242"/>
      <c r="X247" s="242"/>
    </row>
    <row r="248">
      <c r="A248" s="242"/>
      <c r="B248" s="242"/>
      <c r="C248" s="242"/>
      <c r="D248" s="242"/>
      <c r="E248" s="242"/>
      <c r="F248" s="242"/>
      <c r="G248" s="242"/>
      <c r="H248" s="242"/>
      <c r="I248" s="242"/>
      <c r="J248" s="242"/>
      <c r="K248" s="242"/>
      <c r="L248" s="242"/>
      <c r="M248" s="13"/>
      <c r="N248" s="13"/>
      <c r="O248" s="13"/>
      <c r="P248" s="341"/>
      <c r="Q248" s="13"/>
      <c r="R248" s="242"/>
      <c r="S248" s="242"/>
      <c r="T248" s="242"/>
      <c r="U248" s="242"/>
      <c r="V248" s="242"/>
      <c r="W248" s="242"/>
      <c r="X248" s="242"/>
    </row>
    <row r="249">
      <c r="A249" s="242"/>
      <c r="B249" s="242"/>
      <c r="C249" s="242"/>
      <c r="D249" s="242"/>
      <c r="E249" s="242"/>
      <c r="F249" s="242"/>
      <c r="G249" s="242"/>
      <c r="H249" s="242"/>
      <c r="I249" s="242"/>
      <c r="J249" s="242"/>
      <c r="K249" s="242"/>
      <c r="L249" s="242"/>
      <c r="M249" s="13"/>
      <c r="N249" s="13"/>
      <c r="O249" s="13"/>
      <c r="P249" s="341"/>
      <c r="Q249" s="13"/>
      <c r="R249" s="242"/>
      <c r="S249" s="242"/>
      <c r="T249" s="242"/>
      <c r="U249" s="242"/>
      <c r="V249" s="242"/>
      <c r="W249" s="242"/>
      <c r="X249" s="242"/>
    </row>
    <row r="250">
      <c r="A250" s="242"/>
      <c r="B250" s="242"/>
      <c r="C250" s="242"/>
      <c r="D250" s="242"/>
      <c r="E250" s="242"/>
      <c r="F250" s="242"/>
      <c r="G250" s="242"/>
      <c r="H250" s="242"/>
      <c r="I250" s="242"/>
      <c r="J250" s="242"/>
      <c r="K250" s="242"/>
      <c r="L250" s="242"/>
      <c r="M250" s="13"/>
      <c r="N250" s="13"/>
      <c r="O250" s="13"/>
      <c r="P250" s="341"/>
      <c r="Q250" s="13"/>
      <c r="R250" s="242"/>
      <c r="S250" s="242"/>
      <c r="T250" s="242"/>
      <c r="U250" s="242"/>
      <c r="V250" s="242"/>
      <c r="W250" s="242"/>
      <c r="X250" s="242"/>
    </row>
    <row r="251">
      <c r="A251" s="242"/>
      <c r="B251" s="242"/>
      <c r="C251" s="242"/>
      <c r="D251" s="242"/>
      <c r="E251" s="242"/>
      <c r="F251" s="242"/>
      <c r="G251" s="242"/>
      <c r="H251" s="242"/>
      <c r="I251" s="242"/>
      <c r="J251" s="242"/>
      <c r="K251" s="242"/>
      <c r="L251" s="242"/>
      <c r="M251" s="13"/>
      <c r="N251" s="13"/>
      <c r="O251" s="13"/>
      <c r="P251" s="341"/>
      <c r="Q251" s="13"/>
      <c r="R251" s="242"/>
      <c r="S251" s="242"/>
      <c r="T251" s="242"/>
      <c r="U251" s="242"/>
      <c r="V251" s="242"/>
      <c r="W251" s="242"/>
      <c r="X251" s="242"/>
    </row>
    <row r="252">
      <c r="A252" s="242"/>
      <c r="B252" s="242"/>
      <c r="C252" s="242"/>
      <c r="D252" s="242"/>
      <c r="E252" s="242"/>
      <c r="F252" s="242"/>
      <c r="G252" s="242"/>
      <c r="H252" s="242"/>
      <c r="I252" s="242"/>
      <c r="J252" s="242"/>
      <c r="K252" s="242"/>
      <c r="L252" s="242"/>
      <c r="M252" s="13"/>
      <c r="N252" s="13"/>
      <c r="O252" s="13"/>
      <c r="P252" s="341"/>
      <c r="Q252" s="13"/>
      <c r="R252" s="242"/>
      <c r="S252" s="242"/>
      <c r="T252" s="242"/>
      <c r="U252" s="242"/>
      <c r="V252" s="242"/>
      <c r="W252" s="242"/>
      <c r="X252" s="242"/>
    </row>
    <row r="253">
      <c r="A253" s="242"/>
      <c r="B253" s="242"/>
      <c r="C253" s="242"/>
      <c r="D253" s="242"/>
      <c r="E253" s="242"/>
      <c r="F253" s="242"/>
      <c r="G253" s="242"/>
      <c r="H253" s="242"/>
      <c r="I253" s="242"/>
      <c r="J253" s="242"/>
      <c r="K253" s="242"/>
      <c r="L253" s="242"/>
      <c r="M253" s="13"/>
      <c r="N253" s="13"/>
      <c r="O253" s="13"/>
      <c r="P253" s="341"/>
      <c r="Q253" s="13"/>
      <c r="R253" s="242"/>
      <c r="S253" s="242"/>
      <c r="T253" s="242"/>
      <c r="U253" s="242"/>
      <c r="V253" s="242"/>
      <c r="W253" s="242"/>
      <c r="X253" s="242"/>
    </row>
    <row r="254">
      <c r="A254" s="242"/>
      <c r="B254" s="242"/>
      <c r="C254" s="242"/>
      <c r="D254" s="242"/>
      <c r="E254" s="242"/>
      <c r="F254" s="242"/>
      <c r="G254" s="242"/>
      <c r="H254" s="242"/>
      <c r="I254" s="242"/>
      <c r="J254" s="242"/>
      <c r="K254" s="242"/>
      <c r="L254" s="242"/>
      <c r="M254" s="13"/>
      <c r="N254" s="13"/>
      <c r="O254" s="13"/>
      <c r="P254" s="341"/>
      <c r="Q254" s="13"/>
      <c r="R254" s="242"/>
      <c r="S254" s="242"/>
      <c r="T254" s="242"/>
      <c r="U254" s="242"/>
      <c r="V254" s="242"/>
      <c r="W254" s="242"/>
      <c r="X254" s="242"/>
    </row>
    <row r="255">
      <c r="A255" s="242"/>
      <c r="B255" s="242"/>
      <c r="C255" s="242"/>
      <c r="D255" s="242"/>
      <c r="E255" s="242"/>
      <c r="F255" s="242"/>
      <c r="G255" s="242"/>
      <c r="H255" s="242"/>
      <c r="I255" s="242"/>
      <c r="J255" s="242"/>
      <c r="K255" s="242"/>
      <c r="L255" s="242"/>
      <c r="M255" s="13"/>
      <c r="N255" s="13"/>
      <c r="O255" s="13"/>
      <c r="P255" s="341"/>
      <c r="Q255" s="13"/>
      <c r="R255" s="242"/>
      <c r="S255" s="242"/>
      <c r="T255" s="242"/>
      <c r="U255" s="242"/>
      <c r="V255" s="242"/>
      <c r="W255" s="242"/>
      <c r="X255" s="242"/>
    </row>
    <row r="256">
      <c r="A256" s="242"/>
      <c r="B256" s="242"/>
      <c r="C256" s="242"/>
      <c r="D256" s="242"/>
      <c r="E256" s="242"/>
      <c r="F256" s="242"/>
      <c r="G256" s="242"/>
      <c r="H256" s="242"/>
      <c r="I256" s="242"/>
      <c r="J256" s="242"/>
      <c r="K256" s="242"/>
      <c r="L256" s="242"/>
      <c r="M256" s="13"/>
      <c r="N256" s="13"/>
      <c r="O256" s="13"/>
      <c r="P256" s="341"/>
      <c r="Q256" s="13"/>
      <c r="R256" s="242"/>
      <c r="S256" s="242"/>
      <c r="T256" s="242"/>
      <c r="U256" s="242"/>
      <c r="V256" s="242"/>
      <c r="W256" s="242"/>
      <c r="X256" s="242"/>
    </row>
    <row r="257">
      <c r="A257" s="242"/>
      <c r="B257" s="242"/>
      <c r="C257" s="242"/>
      <c r="D257" s="242"/>
      <c r="E257" s="242"/>
      <c r="F257" s="242"/>
      <c r="G257" s="242"/>
      <c r="H257" s="242"/>
      <c r="I257" s="242"/>
      <c r="J257" s="242"/>
      <c r="K257" s="242"/>
      <c r="L257" s="242"/>
      <c r="M257" s="13"/>
      <c r="N257" s="13"/>
      <c r="O257" s="13"/>
      <c r="P257" s="341"/>
      <c r="Q257" s="13"/>
      <c r="R257" s="242"/>
      <c r="S257" s="242"/>
      <c r="T257" s="242"/>
      <c r="U257" s="242"/>
      <c r="V257" s="242"/>
      <c r="W257" s="242"/>
      <c r="X257" s="242"/>
    </row>
    <row r="258">
      <c r="A258" s="242"/>
      <c r="B258" s="242"/>
      <c r="C258" s="242"/>
      <c r="D258" s="242"/>
      <c r="E258" s="242"/>
      <c r="F258" s="242"/>
      <c r="G258" s="242"/>
      <c r="H258" s="242"/>
      <c r="I258" s="242"/>
      <c r="J258" s="242"/>
      <c r="K258" s="242"/>
      <c r="L258" s="242"/>
      <c r="M258" s="13"/>
      <c r="N258" s="13"/>
      <c r="O258" s="13"/>
      <c r="P258" s="341"/>
      <c r="Q258" s="13"/>
      <c r="R258" s="242"/>
      <c r="S258" s="242"/>
      <c r="T258" s="242"/>
      <c r="U258" s="242"/>
      <c r="V258" s="242"/>
      <c r="W258" s="242"/>
      <c r="X258" s="242"/>
    </row>
    <row r="259">
      <c r="A259" s="242"/>
      <c r="B259" s="242"/>
      <c r="C259" s="242"/>
      <c r="D259" s="242"/>
      <c r="E259" s="242"/>
      <c r="F259" s="242"/>
      <c r="G259" s="242"/>
      <c r="H259" s="242"/>
      <c r="I259" s="242"/>
      <c r="J259" s="242"/>
      <c r="K259" s="242"/>
      <c r="L259" s="242"/>
      <c r="M259" s="13"/>
      <c r="N259" s="13"/>
      <c r="O259" s="13"/>
      <c r="P259" s="341"/>
      <c r="Q259" s="13"/>
      <c r="R259" s="242"/>
      <c r="S259" s="242"/>
      <c r="T259" s="242"/>
      <c r="U259" s="242"/>
      <c r="V259" s="242"/>
      <c r="W259" s="242"/>
      <c r="X259" s="242"/>
    </row>
    <row r="260">
      <c r="A260" s="242"/>
      <c r="B260" s="242"/>
      <c r="C260" s="242"/>
      <c r="D260" s="242"/>
      <c r="E260" s="242"/>
      <c r="F260" s="242"/>
      <c r="G260" s="242"/>
      <c r="H260" s="242"/>
      <c r="I260" s="242"/>
      <c r="J260" s="242"/>
      <c r="K260" s="242"/>
      <c r="L260" s="242"/>
      <c r="M260" s="13"/>
      <c r="N260" s="13"/>
      <c r="O260" s="13"/>
      <c r="P260" s="341"/>
      <c r="Q260" s="13"/>
      <c r="R260" s="242"/>
      <c r="S260" s="242"/>
      <c r="T260" s="242"/>
      <c r="U260" s="242"/>
      <c r="V260" s="242"/>
      <c r="W260" s="242"/>
      <c r="X260" s="242"/>
    </row>
    <row r="261">
      <c r="A261" s="242"/>
      <c r="B261" s="242"/>
      <c r="C261" s="242"/>
      <c r="D261" s="242"/>
      <c r="E261" s="242"/>
      <c r="F261" s="242"/>
      <c r="G261" s="242"/>
      <c r="H261" s="242"/>
      <c r="I261" s="242"/>
      <c r="J261" s="242"/>
      <c r="K261" s="242"/>
      <c r="L261" s="242"/>
      <c r="M261" s="13"/>
      <c r="N261" s="13"/>
      <c r="O261" s="13"/>
      <c r="P261" s="341"/>
      <c r="Q261" s="13"/>
      <c r="R261" s="242"/>
      <c r="S261" s="242"/>
      <c r="T261" s="242"/>
      <c r="U261" s="242"/>
      <c r="V261" s="242"/>
      <c r="W261" s="242"/>
      <c r="X261" s="242"/>
    </row>
    <row r="262">
      <c r="A262" s="242"/>
      <c r="B262" s="242"/>
      <c r="C262" s="242"/>
      <c r="D262" s="242"/>
      <c r="E262" s="242"/>
      <c r="F262" s="242"/>
      <c r="G262" s="242"/>
      <c r="H262" s="242"/>
      <c r="I262" s="242"/>
      <c r="J262" s="242"/>
      <c r="K262" s="242"/>
      <c r="L262" s="242"/>
      <c r="M262" s="13"/>
      <c r="N262" s="13"/>
      <c r="O262" s="13"/>
      <c r="P262" s="341"/>
      <c r="Q262" s="13"/>
      <c r="R262" s="242"/>
      <c r="S262" s="242"/>
      <c r="T262" s="242"/>
      <c r="U262" s="242"/>
      <c r="V262" s="242"/>
      <c r="W262" s="242"/>
      <c r="X262" s="242"/>
    </row>
    <row r="263">
      <c r="A263" s="242"/>
      <c r="B263" s="242"/>
      <c r="C263" s="242"/>
      <c r="D263" s="242"/>
      <c r="E263" s="242"/>
      <c r="F263" s="242"/>
      <c r="G263" s="242"/>
      <c r="H263" s="242"/>
      <c r="I263" s="242"/>
      <c r="J263" s="242"/>
      <c r="K263" s="242"/>
      <c r="L263" s="242"/>
      <c r="M263" s="13"/>
      <c r="N263" s="13"/>
      <c r="O263" s="13"/>
      <c r="P263" s="341"/>
      <c r="Q263" s="13"/>
      <c r="R263" s="242"/>
      <c r="S263" s="242"/>
      <c r="T263" s="242"/>
      <c r="U263" s="242"/>
      <c r="V263" s="242"/>
      <c r="W263" s="242"/>
      <c r="X263" s="242"/>
    </row>
    <row r="264">
      <c r="A264" s="242"/>
      <c r="B264" s="242"/>
      <c r="C264" s="242"/>
      <c r="D264" s="242"/>
      <c r="E264" s="242"/>
      <c r="F264" s="242"/>
      <c r="G264" s="242"/>
      <c r="H264" s="242"/>
      <c r="I264" s="242"/>
      <c r="J264" s="242"/>
      <c r="K264" s="242"/>
      <c r="L264" s="242"/>
      <c r="M264" s="13"/>
      <c r="N264" s="13"/>
      <c r="O264" s="13"/>
      <c r="P264" s="341"/>
      <c r="Q264" s="13"/>
      <c r="R264" s="242"/>
      <c r="S264" s="242"/>
      <c r="T264" s="242"/>
      <c r="U264" s="242"/>
      <c r="V264" s="242"/>
      <c r="W264" s="242"/>
      <c r="X264" s="242"/>
    </row>
    <row r="265">
      <c r="A265" s="242"/>
      <c r="B265" s="242"/>
      <c r="C265" s="242"/>
      <c r="D265" s="242"/>
      <c r="E265" s="242"/>
      <c r="F265" s="242"/>
      <c r="G265" s="242"/>
      <c r="H265" s="242"/>
      <c r="I265" s="242"/>
      <c r="J265" s="242"/>
      <c r="K265" s="242"/>
      <c r="L265" s="242"/>
      <c r="M265" s="13"/>
      <c r="N265" s="13"/>
      <c r="O265" s="13"/>
      <c r="P265" s="341"/>
      <c r="Q265" s="13"/>
      <c r="R265" s="242"/>
      <c r="S265" s="242"/>
      <c r="T265" s="242"/>
      <c r="U265" s="242"/>
      <c r="V265" s="242"/>
      <c r="W265" s="242"/>
      <c r="X265" s="242"/>
    </row>
    <row r="266">
      <c r="A266" s="242"/>
      <c r="B266" s="242"/>
      <c r="C266" s="242"/>
      <c r="D266" s="242"/>
      <c r="E266" s="242"/>
      <c r="F266" s="242"/>
      <c r="G266" s="242"/>
      <c r="H266" s="242"/>
      <c r="I266" s="242"/>
      <c r="J266" s="242"/>
      <c r="K266" s="242"/>
      <c r="L266" s="242"/>
      <c r="M266" s="13"/>
      <c r="N266" s="13"/>
      <c r="O266" s="13"/>
      <c r="P266" s="341"/>
      <c r="Q266" s="13"/>
      <c r="R266" s="242"/>
      <c r="S266" s="242"/>
      <c r="T266" s="242"/>
      <c r="U266" s="242"/>
      <c r="V266" s="242"/>
      <c r="W266" s="242"/>
      <c r="X266" s="242"/>
    </row>
    <row r="267">
      <c r="A267" s="242"/>
      <c r="B267" s="242"/>
      <c r="C267" s="242"/>
      <c r="D267" s="242"/>
      <c r="E267" s="242"/>
      <c r="F267" s="242"/>
      <c r="G267" s="242"/>
      <c r="H267" s="242"/>
      <c r="I267" s="242"/>
      <c r="J267" s="242"/>
      <c r="K267" s="242"/>
      <c r="L267" s="242"/>
      <c r="M267" s="13"/>
      <c r="N267" s="13"/>
      <c r="O267" s="13"/>
      <c r="P267" s="341"/>
      <c r="Q267" s="13"/>
      <c r="R267" s="242"/>
      <c r="S267" s="242"/>
      <c r="T267" s="242"/>
      <c r="U267" s="242"/>
      <c r="V267" s="242"/>
      <c r="W267" s="242"/>
      <c r="X267" s="242"/>
    </row>
    <row r="268">
      <c r="A268" s="242"/>
      <c r="B268" s="242"/>
      <c r="C268" s="242"/>
      <c r="D268" s="242"/>
      <c r="E268" s="242"/>
      <c r="F268" s="242"/>
      <c r="G268" s="242"/>
      <c r="H268" s="242"/>
      <c r="I268" s="242"/>
      <c r="J268" s="242"/>
      <c r="K268" s="242"/>
      <c r="L268" s="242"/>
      <c r="M268" s="13"/>
      <c r="N268" s="13"/>
      <c r="O268" s="13"/>
      <c r="P268" s="341"/>
      <c r="Q268" s="13"/>
      <c r="R268" s="242"/>
      <c r="S268" s="242"/>
      <c r="T268" s="242"/>
      <c r="U268" s="242"/>
      <c r="V268" s="242"/>
      <c r="W268" s="242"/>
      <c r="X268" s="242"/>
    </row>
    <row r="269">
      <c r="A269" s="242"/>
      <c r="B269" s="242"/>
      <c r="C269" s="242"/>
      <c r="D269" s="242"/>
      <c r="E269" s="242"/>
      <c r="F269" s="242"/>
      <c r="G269" s="242"/>
      <c r="H269" s="242"/>
      <c r="I269" s="242"/>
      <c r="J269" s="242"/>
      <c r="K269" s="242"/>
      <c r="L269" s="242"/>
      <c r="M269" s="13"/>
      <c r="N269" s="13"/>
      <c r="O269" s="13"/>
      <c r="P269" s="341"/>
      <c r="Q269" s="13"/>
      <c r="R269" s="242"/>
      <c r="S269" s="242"/>
      <c r="T269" s="242"/>
      <c r="U269" s="242"/>
      <c r="V269" s="242"/>
      <c r="W269" s="242"/>
      <c r="X269" s="242"/>
    </row>
    <row r="270">
      <c r="A270" s="242"/>
      <c r="B270" s="242"/>
      <c r="C270" s="242"/>
      <c r="D270" s="242"/>
      <c r="E270" s="242"/>
      <c r="F270" s="242"/>
      <c r="G270" s="242"/>
      <c r="H270" s="242"/>
      <c r="I270" s="242"/>
      <c r="J270" s="242"/>
      <c r="K270" s="242"/>
      <c r="L270" s="242"/>
      <c r="M270" s="13"/>
      <c r="N270" s="13"/>
      <c r="O270" s="13"/>
      <c r="P270" s="341"/>
      <c r="Q270" s="13"/>
      <c r="R270" s="242"/>
      <c r="S270" s="242"/>
      <c r="T270" s="242"/>
      <c r="U270" s="242"/>
      <c r="V270" s="242"/>
      <c r="W270" s="242"/>
      <c r="X270" s="242"/>
    </row>
    <row r="271">
      <c r="A271" s="242"/>
      <c r="B271" s="242"/>
      <c r="C271" s="242"/>
      <c r="D271" s="242"/>
      <c r="E271" s="242"/>
      <c r="F271" s="242"/>
      <c r="G271" s="242"/>
      <c r="H271" s="242"/>
      <c r="I271" s="242"/>
      <c r="J271" s="242"/>
      <c r="K271" s="242"/>
      <c r="L271" s="242"/>
      <c r="M271" s="13"/>
      <c r="N271" s="13"/>
      <c r="O271" s="13"/>
      <c r="P271" s="341"/>
      <c r="Q271" s="13"/>
      <c r="R271" s="242"/>
      <c r="S271" s="242"/>
      <c r="T271" s="242"/>
      <c r="U271" s="242"/>
      <c r="V271" s="242"/>
      <c r="W271" s="242"/>
      <c r="X271" s="242"/>
    </row>
    <row r="272">
      <c r="A272" s="242"/>
      <c r="B272" s="242"/>
      <c r="C272" s="242"/>
      <c r="D272" s="242"/>
      <c r="E272" s="242"/>
      <c r="F272" s="242"/>
      <c r="G272" s="242"/>
      <c r="H272" s="242"/>
      <c r="I272" s="242"/>
      <c r="J272" s="242"/>
      <c r="K272" s="242"/>
      <c r="L272" s="242"/>
      <c r="M272" s="13"/>
      <c r="N272" s="13"/>
      <c r="O272" s="13"/>
      <c r="P272" s="341"/>
      <c r="Q272" s="13"/>
      <c r="R272" s="242"/>
      <c r="S272" s="242"/>
      <c r="T272" s="242"/>
      <c r="U272" s="242"/>
      <c r="V272" s="242"/>
      <c r="W272" s="242"/>
      <c r="X272" s="242"/>
    </row>
    <row r="273">
      <c r="A273" s="242"/>
      <c r="B273" s="242"/>
      <c r="C273" s="242"/>
      <c r="D273" s="242"/>
      <c r="E273" s="242"/>
      <c r="F273" s="242"/>
      <c r="G273" s="242"/>
      <c r="H273" s="242"/>
      <c r="I273" s="242"/>
      <c r="J273" s="242"/>
      <c r="K273" s="242"/>
      <c r="L273" s="242"/>
      <c r="M273" s="13"/>
      <c r="N273" s="13"/>
      <c r="O273" s="13"/>
      <c r="P273" s="341"/>
      <c r="Q273" s="13"/>
      <c r="R273" s="242"/>
      <c r="S273" s="242"/>
      <c r="T273" s="242"/>
      <c r="U273" s="242"/>
      <c r="V273" s="242"/>
      <c r="W273" s="242"/>
      <c r="X273" s="242"/>
    </row>
    <row r="274">
      <c r="A274" s="242"/>
      <c r="B274" s="242"/>
      <c r="C274" s="242"/>
      <c r="D274" s="242"/>
      <c r="E274" s="242"/>
      <c r="F274" s="242"/>
      <c r="G274" s="242"/>
      <c r="H274" s="242"/>
      <c r="I274" s="242"/>
      <c r="J274" s="242"/>
      <c r="K274" s="242"/>
      <c r="L274" s="242"/>
      <c r="M274" s="13"/>
      <c r="N274" s="13"/>
      <c r="O274" s="13"/>
      <c r="P274" s="341"/>
      <c r="Q274" s="13"/>
      <c r="R274" s="242"/>
      <c r="S274" s="242"/>
      <c r="T274" s="242"/>
      <c r="U274" s="242"/>
      <c r="V274" s="242"/>
      <c r="W274" s="242"/>
      <c r="X274" s="242"/>
    </row>
    <row r="275">
      <c r="A275" s="242"/>
      <c r="B275" s="242"/>
      <c r="C275" s="242"/>
      <c r="D275" s="242"/>
      <c r="E275" s="242"/>
      <c r="F275" s="242"/>
      <c r="G275" s="242"/>
      <c r="H275" s="242"/>
      <c r="I275" s="242"/>
      <c r="J275" s="242"/>
      <c r="K275" s="242"/>
      <c r="L275" s="242"/>
      <c r="M275" s="13"/>
      <c r="N275" s="13"/>
      <c r="O275" s="13"/>
      <c r="P275" s="341"/>
      <c r="Q275" s="13"/>
      <c r="R275" s="242"/>
      <c r="S275" s="242"/>
      <c r="T275" s="242"/>
      <c r="U275" s="242"/>
      <c r="V275" s="242"/>
      <c r="W275" s="242"/>
      <c r="X275" s="242"/>
    </row>
    <row r="276">
      <c r="A276" s="242"/>
      <c r="B276" s="242"/>
      <c r="C276" s="242"/>
      <c r="D276" s="242"/>
      <c r="E276" s="242"/>
      <c r="F276" s="242"/>
      <c r="G276" s="242"/>
      <c r="H276" s="242"/>
      <c r="I276" s="242"/>
      <c r="J276" s="242"/>
      <c r="K276" s="242"/>
      <c r="L276" s="242"/>
      <c r="M276" s="13"/>
      <c r="N276" s="13"/>
      <c r="O276" s="13"/>
      <c r="P276" s="341"/>
      <c r="Q276" s="13"/>
      <c r="R276" s="242"/>
      <c r="S276" s="242"/>
      <c r="T276" s="242"/>
      <c r="U276" s="242"/>
      <c r="V276" s="242"/>
      <c r="W276" s="242"/>
      <c r="X276" s="242"/>
    </row>
    <row r="277">
      <c r="A277" s="242"/>
      <c r="B277" s="242"/>
      <c r="C277" s="242"/>
      <c r="D277" s="242"/>
      <c r="E277" s="242"/>
      <c r="F277" s="242"/>
      <c r="G277" s="242"/>
      <c r="H277" s="242"/>
      <c r="I277" s="242"/>
      <c r="J277" s="242"/>
      <c r="K277" s="242"/>
      <c r="L277" s="242"/>
      <c r="M277" s="13"/>
      <c r="N277" s="13"/>
      <c r="O277" s="13"/>
      <c r="P277" s="341"/>
      <c r="Q277" s="13"/>
      <c r="R277" s="242"/>
      <c r="S277" s="242"/>
      <c r="T277" s="242"/>
      <c r="U277" s="242"/>
      <c r="V277" s="242"/>
      <c r="W277" s="242"/>
      <c r="X277" s="242"/>
    </row>
    <row r="278">
      <c r="A278" s="242"/>
      <c r="B278" s="242"/>
      <c r="C278" s="242"/>
      <c r="D278" s="242"/>
      <c r="E278" s="242"/>
      <c r="F278" s="242"/>
      <c r="G278" s="242"/>
      <c r="H278" s="242"/>
      <c r="I278" s="242"/>
      <c r="J278" s="242"/>
      <c r="K278" s="242"/>
      <c r="L278" s="242"/>
      <c r="M278" s="13"/>
      <c r="N278" s="13"/>
      <c r="O278" s="13"/>
      <c r="P278" s="341"/>
      <c r="Q278" s="13"/>
      <c r="R278" s="242"/>
      <c r="S278" s="242"/>
      <c r="T278" s="242"/>
      <c r="U278" s="242"/>
      <c r="V278" s="242"/>
      <c r="W278" s="242"/>
      <c r="X278" s="242"/>
    </row>
    <row r="279">
      <c r="A279" s="242"/>
      <c r="B279" s="242"/>
      <c r="C279" s="242"/>
      <c r="D279" s="242"/>
      <c r="E279" s="242"/>
      <c r="F279" s="242"/>
      <c r="G279" s="242"/>
      <c r="H279" s="242"/>
      <c r="I279" s="242"/>
      <c r="J279" s="242"/>
      <c r="K279" s="242"/>
      <c r="L279" s="242"/>
      <c r="M279" s="13"/>
      <c r="N279" s="13"/>
      <c r="O279" s="13"/>
      <c r="P279" s="341"/>
      <c r="Q279" s="13"/>
      <c r="R279" s="242"/>
      <c r="S279" s="242"/>
      <c r="T279" s="242"/>
      <c r="U279" s="242"/>
      <c r="V279" s="242"/>
      <c r="W279" s="242"/>
      <c r="X279" s="242"/>
    </row>
    <row r="280">
      <c r="A280" s="242"/>
      <c r="B280" s="242"/>
      <c r="C280" s="242"/>
      <c r="D280" s="242"/>
      <c r="E280" s="242"/>
      <c r="F280" s="242"/>
      <c r="G280" s="242"/>
      <c r="H280" s="242"/>
      <c r="I280" s="242"/>
      <c r="J280" s="242"/>
      <c r="K280" s="242"/>
      <c r="L280" s="242"/>
      <c r="M280" s="13"/>
      <c r="N280" s="13"/>
      <c r="O280" s="13"/>
      <c r="P280" s="341"/>
      <c r="Q280" s="13"/>
      <c r="R280" s="242"/>
      <c r="S280" s="242"/>
      <c r="T280" s="242"/>
      <c r="U280" s="242"/>
      <c r="V280" s="242"/>
      <c r="W280" s="242"/>
      <c r="X280" s="242"/>
    </row>
    <row r="281">
      <c r="A281" s="242"/>
      <c r="B281" s="242"/>
      <c r="C281" s="242"/>
      <c r="D281" s="242"/>
      <c r="E281" s="242"/>
      <c r="F281" s="242"/>
      <c r="G281" s="242"/>
      <c r="H281" s="242"/>
      <c r="I281" s="242"/>
      <c r="J281" s="242"/>
      <c r="K281" s="242"/>
      <c r="L281" s="242"/>
      <c r="M281" s="13"/>
      <c r="N281" s="13"/>
      <c r="O281" s="13"/>
      <c r="P281" s="341"/>
      <c r="Q281" s="13"/>
      <c r="R281" s="242"/>
      <c r="S281" s="242"/>
      <c r="T281" s="242"/>
      <c r="U281" s="242"/>
      <c r="V281" s="242"/>
      <c r="W281" s="242"/>
      <c r="X281" s="242"/>
    </row>
    <row r="282">
      <c r="A282" s="242"/>
      <c r="B282" s="242"/>
      <c r="C282" s="242"/>
      <c r="D282" s="242"/>
      <c r="E282" s="242"/>
      <c r="F282" s="242"/>
      <c r="G282" s="242"/>
      <c r="H282" s="242"/>
      <c r="I282" s="242"/>
      <c r="J282" s="242"/>
      <c r="K282" s="242"/>
      <c r="L282" s="242"/>
      <c r="M282" s="13"/>
      <c r="N282" s="13"/>
      <c r="O282" s="13"/>
      <c r="P282" s="341"/>
      <c r="Q282" s="13"/>
      <c r="R282" s="242"/>
      <c r="S282" s="242"/>
      <c r="T282" s="242"/>
      <c r="U282" s="242"/>
      <c r="V282" s="242"/>
      <c r="W282" s="242"/>
      <c r="X282" s="242"/>
    </row>
    <row r="283">
      <c r="A283" s="242"/>
      <c r="B283" s="242"/>
      <c r="C283" s="242"/>
      <c r="D283" s="242"/>
      <c r="E283" s="242"/>
      <c r="F283" s="242"/>
      <c r="G283" s="242"/>
      <c r="H283" s="242"/>
      <c r="I283" s="242"/>
      <c r="J283" s="242"/>
      <c r="K283" s="242"/>
      <c r="L283" s="242"/>
      <c r="M283" s="13"/>
      <c r="N283" s="13"/>
      <c r="O283" s="13"/>
      <c r="P283" s="341"/>
      <c r="Q283" s="13"/>
      <c r="R283" s="242"/>
      <c r="S283" s="242"/>
      <c r="T283" s="242"/>
      <c r="U283" s="242"/>
      <c r="V283" s="242"/>
      <c r="W283" s="242"/>
      <c r="X283" s="242"/>
    </row>
    <row r="284">
      <c r="A284" s="242"/>
      <c r="B284" s="242"/>
      <c r="C284" s="242"/>
      <c r="D284" s="242"/>
      <c r="E284" s="242"/>
      <c r="F284" s="242"/>
      <c r="G284" s="242"/>
      <c r="H284" s="242"/>
      <c r="I284" s="242"/>
      <c r="J284" s="242"/>
      <c r="K284" s="242"/>
      <c r="L284" s="242"/>
      <c r="M284" s="13"/>
      <c r="N284" s="13"/>
      <c r="O284" s="13"/>
      <c r="P284" s="341"/>
      <c r="Q284" s="13"/>
      <c r="R284" s="242"/>
      <c r="S284" s="242"/>
      <c r="T284" s="242"/>
      <c r="U284" s="242"/>
      <c r="V284" s="242"/>
      <c r="W284" s="242"/>
      <c r="X284" s="242"/>
    </row>
    <row r="285">
      <c r="A285" s="242"/>
      <c r="B285" s="242"/>
      <c r="C285" s="242"/>
      <c r="D285" s="242"/>
      <c r="E285" s="242"/>
      <c r="F285" s="242"/>
      <c r="G285" s="242"/>
      <c r="H285" s="242"/>
      <c r="I285" s="242"/>
      <c r="J285" s="242"/>
      <c r="K285" s="242"/>
      <c r="L285" s="242"/>
      <c r="M285" s="13"/>
      <c r="N285" s="13"/>
      <c r="O285" s="13"/>
      <c r="P285" s="341"/>
      <c r="Q285" s="13"/>
      <c r="R285" s="242"/>
      <c r="S285" s="242"/>
      <c r="T285" s="242"/>
      <c r="U285" s="242"/>
      <c r="V285" s="242"/>
      <c r="W285" s="242"/>
      <c r="X285" s="242"/>
    </row>
    <row r="286">
      <c r="A286" s="242"/>
      <c r="B286" s="242"/>
      <c r="C286" s="242"/>
      <c r="D286" s="242"/>
      <c r="E286" s="242"/>
      <c r="F286" s="242"/>
      <c r="G286" s="242"/>
      <c r="H286" s="242"/>
      <c r="I286" s="242"/>
      <c r="J286" s="242"/>
      <c r="K286" s="242"/>
      <c r="L286" s="242"/>
      <c r="M286" s="13"/>
      <c r="N286" s="13"/>
      <c r="O286" s="13"/>
      <c r="P286" s="341"/>
      <c r="Q286" s="13"/>
      <c r="R286" s="242"/>
      <c r="S286" s="242"/>
      <c r="T286" s="242"/>
      <c r="U286" s="242"/>
      <c r="V286" s="242"/>
      <c r="W286" s="242"/>
      <c r="X286" s="242"/>
    </row>
    <row r="287">
      <c r="A287" s="242"/>
      <c r="B287" s="242"/>
      <c r="C287" s="242"/>
      <c r="D287" s="242"/>
      <c r="E287" s="242"/>
      <c r="F287" s="242"/>
      <c r="G287" s="242"/>
      <c r="H287" s="242"/>
      <c r="I287" s="242"/>
      <c r="J287" s="242"/>
      <c r="K287" s="242"/>
      <c r="L287" s="242"/>
      <c r="M287" s="13"/>
      <c r="N287" s="13"/>
      <c r="O287" s="13"/>
      <c r="P287" s="341"/>
      <c r="Q287" s="13"/>
      <c r="R287" s="242"/>
      <c r="S287" s="242"/>
      <c r="T287" s="242"/>
      <c r="U287" s="242"/>
      <c r="V287" s="242"/>
      <c r="W287" s="242"/>
      <c r="X287" s="242"/>
    </row>
    <row r="288">
      <c r="A288" s="242"/>
      <c r="B288" s="242"/>
      <c r="C288" s="242"/>
      <c r="D288" s="242"/>
      <c r="E288" s="242"/>
      <c r="F288" s="242"/>
      <c r="G288" s="242"/>
      <c r="H288" s="242"/>
      <c r="I288" s="242"/>
      <c r="J288" s="242"/>
      <c r="K288" s="242"/>
      <c r="L288" s="242"/>
      <c r="M288" s="13"/>
      <c r="N288" s="13"/>
      <c r="O288" s="13"/>
      <c r="P288" s="341"/>
      <c r="Q288" s="13"/>
      <c r="R288" s="242"/>
      <c r="S288" s="242"/>
      <c r="T288" s="242"/>
      <c r="U288" s="242"/>
      <c r="V288" s="242"/>
      <c r="W288" s="242"/>
      <c r="X288" s="242"/>
    </row>
    <row r="289">
      <c r="A289" s="242"/>
      <c r="B289" s="242"/>
      <c r="C289" s="242"/>
      <c r="D289" s="242"/>
      <c r="E289" s="242"/>
      <c r="F289" s="242"/>
      <c r="G289" s="242"/>
      <c r="H289" s="242"/>
      <c r="I289" s="242"/>
      <c r="J289" s="242"/>
      <c r="K289" s="242"/>
      <c r="L289" s="242"/>
      <c r="M289" s="13"/>
      <c r="N289" s="13"/>
      <c r="O289" s="13"/>
      <c r="P289" s="341"/>
      <c r="Q289" s="13"/>
      <c r="R289" s="242"/>
      <c r="S289" s="242"/>
      <c r="T289" s="242"/>
      <c r="U289" s="242"/>
      <c r="V289" s="242"/>
      <c r="W289" s="242"/>
      <c r="X289" s="242"/>
    </row>
    <row r="290">
      <c r="A290" s="242"/>
      <c r="B290" s="242"/>
      <c r="C290" s="242"/>
      <c r="D290" s="242"/>
      <c r="E290" s="242"/>
      <c r="F290" s="242"/>
      <c r="G290" s="242"/>
      <c r="H290" s="242"/>
      <c r="I290" s="242"/>
      <c r="J290" s="242"/>
      <c r="K290" s="242"/>
      <c r="L290" s="242"/>
      <c r="M290" s="13"/>
      <c r="N290" s="13"/>
      <c r="O290" s="13"/>
      <c r="P290" s="341"/>
      <c r="Q290" s="13"/>
      <c r="R290" s="242"/>
      <c r="S290" s="242"/>
      <c r="T290" s="242"/>
      <c r="U290" s="242"/>
      <c r="V290" s="242"/>
      <c r="W290" s="242"/>
      <c r="X290" s="242"/>
    </row>
    <row r="291">
      <c r="A291" s="242"/>
      <c r="B291" s="242"/>
      <c r="C291" s="242"/>
      <c r="D291" s="242"/>
      <c r="E291" s="242"/>
      <c r="F291" s="242"/>
      <c r="G291" s="242"/>
      <c r="H291" s="242"/>
      <c r="I291" s="242"/>
      <c r="J291" s="242"/>
      <c r="K291" s="242"/>
      <c r="L291" s="242"/>
      <c r="M291" s="13"/>
      <c r="N291" s="13"/>
      <c r="O291" s="13"/>
      <c r="P291" s="341"/>
      <c r="Q291" s="13"/>
      <c r="R291" s="242"/>
      <c r="S291" s="242"/>
      <c r="T291" s="242"/>
      <c r="U291" s="242"/>
      <c r="V291" s="242"/>
      <c r="W291" s="242"/>
      <c r="X291" s="242"/>
    </row>
    <row r="292">
      <c r="A292" s="242"/>
      <c r="B292" s="242"/>
      <c r="C292" s="242"/>
      <c r="D292" s="242"/>
      <c r="E292" s="242"/>
      <c r="F292" s="242"/>
      <c r="G292" s="242"/>
      <c r="H292" s="242"/>
      <c r="I292" s="242"/>
      <c r="J292" s="242"/>
      <c r="K292" s="242"/>
      <c r="L292" s="242"/>
      <c r="M292" s="13"/>
      <c r="N292" s="13"/>
      <c r="O292" s="13"/>
      <c r="P292" s="341"/>
      <c r="Q292" s="13"/>
      <c r="R292" s="242"/>
      <c r="S292" s="242"/>
      <c r="T292" s="242"/>
      <c r="U292" s="242"/>
      <c r="V292" s="242"/>
      <c r="W292" s="242"/>
      <c r="X292" s="242"/>
    </row>
    <row r="293">
      <c r="A293" s="242"/>
      <c r="B293" s="242"/>
      <c r="C293" s="242"/>
      <c r="D293" s="242"/>
      <c r="E293" s="242"/>
      <c r="F293" s="242"/>
      <c r="G293" s="242"/>
      <c r="H293" s="242"/>
      <c r="I293" s="242"/>
      <c r="J293" s="242"/>
      <c r="K293" s="242"/>
      <c r="L293" s="242"/>
      <c r="M293" s="13"/>
      <c r="N293" s="13"/>
      <c r="O293" s="13"/>
      <c r="P293" s="341"/>
      <c r="Q293" s="13"/>
      <c r="R293" s="242"/>
      <c r="S293" s="242"/>
      <c r="T293" s="242"/>
      <c r="U293" s="242"/>
      <c r="V293" s="242"/>
      <c r="W293" s="242"/>
      <c r="X293" s="242"/>
    </row>
    <row r="294">
      <c r="A294" s="242"/>
      <c r="B294" s="242"/>
      <c r="C294" s="242"/>
      <c r="D294" s="242"/>
      <c r="E294" s="242"/>
      <c r="F294" s="242"/>
      <c r="G294" s="242"/>
      <c r="H294" s="242"/>
      <c r="I294" s="242"/>
      <c r="J294" s="242"/>
      <c r="K294" s="242"/>
      <c r="L294" s="242"/>
      <c r="M294" s="13"/>
      <c r="N294" s="13"/>
      <c r="O294" s="13"/>
      <c r="P294" s="341"/>
      <c r="Q294" s="13"/>
      <c r="R294" s="242"/>
      <c r="S294" s="242"/>
      <c r="T294" s="242"/>
      <c r="U294" s="242"/>
      <c r="V294" s="242"/>
      <c r="W294" s="242"/>
      <c r="X294" s="242"/>
    </row>
    <row r="295">
      <c r="A295" s="242"/>
      <c r="B295" s="242"/>
      <c r="C295" s="242"/>
      <c r="D295" s="242"/>
      <c r="E295" s="242"/>
      <c r="F295" s="242"/>
      <c r="G295" s="242"/>
      <c r="H295" s="242"/>
      <c r="I295" s="242"/>
      <c r="J295" s="242"/>
      <c r="K295" s="242"/>
      <c r="L295" s="242"/>
      <c r="M295" s="13"/>
      <c r="N295" s="13"/>
      <c r="O295" s="13"/>
      <c r="P295" s="341"/>
      <c r="Q295" s="13"/>
      <c r="R295" s="242"/>
      <c r="S295" s="242"/>
      <c r="T295" s="242"/>
      <c r="U295" s="242"/>
      <c r="V295" s="242"/>
      <c r="W295" s="242"/>
      <c r="X295" s="242"/>
    </row>
    <row r="296">
      <c r="A296" s="242"/>
      <c r="B296" s="242"/>
      <c r="C296" s="242"/>
      <c r="D296" s="242"/>
      <c r="E296" s="242"/>
      <c r="F296" s="242"/>
      <c r="G296" s="242"/>
      <c r="H296" s="242"/>
      <c r="I296" s="242"/>
      <c r="J296" s="242"/>
      <c r="K296" s="242"/>
      <c r="L296" s="242"/>
      <c r="M296" s="13"/>
      <c r="N296" s="13"/>
      <c r="O296" s="13"/>
      <c r="P296" s="341"/>
      <c r="Q296" s="13"/>
      <c r="R296" s="242"/>
      <c r="S296" s="242"/>
      <c r="T296" s="242"/>
      <c r="U296" s="242"/>
      <c r="V296" s="242"/>
      <c r="W296" s="242"/>
      <c r="X296" s="242"/>
    </row>
    <row r="297">
      <c r="A297" s="242"/>
      <c r="B297" s="242"/>
      <c r="C297" s="242"/>
      <c r="D297" s="242"/>
      <c r="E297" s="242"/>
      <c r="F297" s="242"/>
      <c r="G297" s="242"/>
      <c r="H297" s="242"/>
      <c r="I297" s="242"/>
      <c r="J297" s="242"/>
      <c r="K297" s="242"/>
      <c r="L297" s="242"/>
      <c r="M297" s="13"/>
      <c r="N297" s="13"/>
      <c r="O297" s="13"/>
      <c r="P297" s="341"/>
      <c r="Q297" s="13"/>
      <c r="R297" s="242"/>
      <c r="S297" s="242"/>
      <c r="T297" s="242"/>
      <c r="U297" s="242"/>
      <c r="V297" s="242"/>
      <c r="W297" s="242"/>
      <c r="X297" s="242"/>
    </row>
    <row r="298">
      <c r="A298" s="242"/>
      <c r="B298" s="242"/>
      <c r="C298" s="242"/>
      <c r="D298" s="242"/>
      <c r="E298" s="242"/>
      <c r="F298" s="242"/>
      <c r="G298" s="242"/>
      <c r="H298" s="242"/>
      <c r="I298" s="242"/>
      <c r="J298" s="242"/>
      <c r="K298" s="242"/>
      <c r="L298" s="242"/>
      <c r="M298" s="13"/>
      <c r="N298" s="13"/>
      <c r="O298" s="13"/>
      <c r="P298" s="341"/>
      <c r="Q298" s="13"/>
      <c r="R298" s="242"/>
      <c r="S298" s="242"/>
      <c r="T298" s="242"/>
      <c r="U298" s="242"/>
      <c r="V298" s="242"/>
      <c r="W298" s="242"/>
      <c r="X298" s="242"/>
    </row>
    <row r="299">
      <c r="A299" s="242"/>
      <c r="B299" s="242"/>
      <c r="C299" s="242"/>
      <c r="D299" s="242"/>
      <c r="E299" s="242"/>
      <c r="F299" s="242"/>
      <c r="G299" s="242"/>
      <c r="H299" s="242"/>
      <c r="I299" s="242"/>
      <c r="J299" s="242"/>
      <c r="K299" s="242"/>
      <c r="L299" s="242"/>
      <c r="M299" s="13"/>
      <c r="N299" s="13"/>
      <c r="O299" s="13"/>
      <c r="P299" s="341"/>
      <c r="Q299" s="13"/>
      <c r="R299" s="242"/>
      <c r="S299" s="242"/>
      <c r="T299" s="242"/>
      <c r="U299" s="242"/>
      <c r="V299" s="242"/>
      <c r="W299" s="242"/>
      <c r="X299" s="242"/>
    </row>
    <row r="300">
      <c r="A300" s="242"/>
      <c r="B300" s="242"/>
      <c r="C300" s="242"/>
      <c r="D300" s="242"/>
      <c r="E300" s="242"/>
      <c r="F300" s="242"/>
      <c r="G300" s="242"/>
      <c r="H300" s="242"/>
      <c r="I300" s="242"/>
      <c r="J300" s="242"/>
      <c r="K300" s="242"/>
      <c r="L300" s="242"/>
      <c r="M300" s="13"/>
      <c r="N300" s="13"/>
      <c r="O300" s="13"/>
      <c r="P300" s="341"/>
      <c r="Q300" s="13"/>
      <c r="R300" s="242"/>
      <c r="S300" s="242"/>
      <c r="T300" s="242"/>
      <c r="U300" s="242"/>
      <c r="V300" s="242"/>
      <c r="W300" s="242"/>
      <c r="X300" s="242"/>
    </row>
    <row r="301">
      <c r="A301" s="242"/>
      <c r="B301" s="242"/>
      <c r="C301" s="242"/>
      <c r="D301" s="242"/>
      <c r="E301" s="242"/>
      <c r="F301" s="242"/>
      <c r="G301" s="242"/>
      <c r="H301" s="242"/>
      <c r="I301" s="242"/>
      <c r="J301" s="242"/>
      <c r="K301" s="242"/>
      <c r="L301" s="242"/>
      <c r="M301" s="13"/>
      <c r="N301" s="13"/>
      <c r="O301" s="13"/>
      <c r="P301" s="341"/>
      <c r="Q301" s="13"/>
      <c r="R301" s="242"/>
      <c r="S301" s="242"/>
      <c r="T301" s="242"/>
      <c r="U301" s="242"/>
      <c r="V301" s="242"/>
      <c r="W301" s="242"/>
      <c r="X301" s="242"/>
    </row>
    <row r="302">
      <c r="A302" s="242"/>
      <c r="B302" s="242"/>
      <c r="C302" s="242"/>
      <c r="D302" s="242"/>
      <c r="E302" s="242"/>
      <c r="F302" s="242"/>
      <c r="G302" s="242"/>
      <c r="H302" s="242"/>
      <c r="I302" s="242"/>
      <c r="J302" s="242"/>
      <c r="K302" s="242"/>
      <c r="L302" s="242"/>
      <c r="M302" s="13"/>
      <c r="N302" s="13"/>
      <c r="O302" s="13"/>
      <c r="P302" s="341"/>
      <c r="Q302" s="13"/>
      <c r="R302" s="242"/>
      <c r="S302" s="242"/>
      <c r="T302" s="242"/>
      <c r="U302" s="242"/>
      <c r="V302" s="242"/>
      <c r="W302" s="242"/>
      <c r="X302" s="242"/>
    </row>
    <row r="303">
      <c r="A303" s="242"/>
      <c r="B303" s="242"/>
      <c r="C303" s="242"/>
      <c r="D303" s="242"/>
      <c r="E303" s="242"/>
      <c r="F303" s="242"/>
      <c r="G303" s="242"/>
      <c r="H303" s="242"/>
      <c r="I303" s="242"/>
      <c r="J303" s="242"/>
      <c r="K303" s="242"/>
      <c r="L303" s="242"/>
      <c r="M303" s="13"/>
      <c r="N303" s="13"/>
      <c r="O303" s="13"/>
      <c r="P303" s="341"/>
      <c r="Q303" s="13"/>
      <c r="R303" s="242"/>
      <c r="S303" s="242"/>
      <c r="T303" s="242"/>
      <c r="U303" s="242"/>
      <c r="V303" s="242"/>
      <c r="W303" s="242"/>
      <c r="X303" s="242"/>
    </row>
    <row r="304">
      <c r="A304" s="242"/>
      <c r="B304" s="242"/>
      <c r="C304" s="242"/>
      <c r="D304" s="242"/>
      <c r="E304" s="242"/>
      <c r="F304" s="242"/>
      <c r="G304" s="242"/>
      <c r="H304" s="242"/>
      <c r="I304" s="242"/>
      <c r="J304" s="242"/>
      <c r="K304" s="242"/>
      <c r="L304" s="242"/>
      <c r="M304" s="13"/>
      <c r="N304" s="13"/>
      <c r="O304" s="13"/>
      <c r="P304" s="341"/>
      <c r="Q304" s="13"/>
      <c r="R304" s="242"/>
      <c r="S304" s="242"/>
      <c r="T304" s="242"/>
      <c r="U304" s="242"/>
      <c r="V304" s="242"/>
      <c r="W304" s="242"/>
      <c r="X304" s="242"/>
    </row>
    <row r="305">
      <c r="A305" s="242"/>
      <c r="B305" s="242"/>
      <c r="C305" s="242"/>
      <c r="D305" s="242"/>
      <c r="E305" s="242"/>
      <c r="F305" s="242"/>
      <c r="G305" s="242"/>
      <c r="H305" s="242"/>
      <c r="I305" s="242"/>
      <c r="J305" s="242"/>
      <c r="K305" s="242"/>
      <c r="L305" s="242"/>
      <c r="M305" s="13"/>
      <c r="N305" s="13"/>
      <c r="O305" s="13"/>
      <c r="P305" s="341"/>
      <c r="Q305" s="13"/>
      <c r="R305" s="242"/>
      <c r="S305" s="242"/>
      <c r="T305" s="242"/>
      <c r="U305" s="242"/>
      <c r="V305" s="242"/>
      <c r="W305" s="242"/>
      <c r="X305" s="242"/>
    </row>
    <row r="306">
      <c r="A306" s="242"/>
      <c r="B306" s="242"/>
      <c r="C306" s="242"/>
      <c r="D306" s="242"/>
      <c r="E306" s="242"/>
      <c r="F306" s="242"/>
      <c r="G306" s="242"/>
      <c r="H306" s="242"/>
      <c r="I306" s="242"/>
      <c r="J306" s="242"/>
      <c r="K306" s="242"/>
      <c r="L306" s="242"/>
      <c r="M306" s="13"/>
      <c r="N306" s="13"/>
      <c r="O306" s="13"/>
      <c r="P306" s="341"/>
      <c r="Q306" s="13"/>
      <c r="R306" s="242"/>
      <c r="S306" s="242"/>
      <c r="T306" s="242"/>
      <c r="U306" s="242"/>
      <c r="V306" s="242"/>
      <c r="W306" s="242"/>
      <c r="X306" s="242"/>
    </row>
    <row r="307">
      <c r="A307" s="242"/>
      <c r="B307" s="242"/>
      <c r="C307" s="242"/>
      <c r="D307" s="242"/>
      <c r="E307" s="242"/>
      <c r="F307" s="242"/>
      <c r="G307" s="242"/>
      <c r="H307" s="242"/>
      <c r="I307" s="242"/>
      <c r="J307" s="242"/>
      <c r="K307" s="242"/>
      <c r="L307" s="242"/>
      <c r="M307" s="13"/>
      <c r="N307" s="13"/>
      <c r="O307" s="13"/>
      <c r="P307" s="341"/>
      <c r="Q307" s="13"/>
      <c r="R307" s="242"/>
      <c r="S307" s="242"/>
      <c r="T307" s="242"/>
      <c r="U307" s="242"/>
      <c r="V307" s="242"/>
      <c r="W307" s="242"/>
      <c r="X307" s="242"/>
    </row>
    <row r="308">
      <c r="A308" s="242"/>
      <c r="B308" s="242"/>
      <c r="C308" s="242"/>
      <c r="D308" s="242"/>
      <c r="E308" s="242"/>
      <c r="F308" s="242"/>
      <c r="G308" s="242"/>
      <c r="H308" s="242"/>
      <c r="I308" s="242"/>
      <c r="J308" s="242"/>
      <c r="K308" s="242"/>
      <c r="L308" s="242"/>
      <c r="M308" s="13"/>
      <c r="N308" s="13"/>
      <c r="O308" s="13"/>
      <c r="P308" s="341"/>
      <c r="Q308" s="13"/>
      <c r="R308" s="242"/>
      <c r="S308" s="242"/>
      <c r="T308" s="242"/>
      <c r="U308" s="242"/>
      <c r="V308" s="242"/>
      <c r="W308" s="242"/>
      <c r="X308" s="242"/>
    </row>
    <row r="309">
      <c r="A309" s="242"/>
      <c r="B309" s="242"/>
      <c r="C309" s="242"/>
      <c r="D309" s="242"/>
      <c r="E309" s="242"/>
      <c r="F309" s="242"/>
      <c r="G309" s="242"/>
      <c r="H309" s="242"/>
      <c r="I309" s="242"/>
      <c r="J309" s="242"/>
      <c r="K309" s="242"/>
      <c r="L309" s="242"/>
      <c r="M309" s="13"/>
      <c r="N309" s="13"/>
      <c r="O309" s="13"/>
      <c r="P309" s="341"/>
      <c r="Q309" s="13"/>
      <c r="R309" s="242"/>
      <c r="S309" s="242"/>
      <c r="T309" s="242"/>
      <c r="U309" s="242"/>
      <c r="V309" s="242"/>
      <c r="W309" s="242"/>
      <c r="X309" s="242"/>
    </row>
    <row r="310">
      <c r="A310" s="242"/>
      <c r="B310" s="242"/>
      <c r="C310" s="242"/>
      <c r="D310" s="242"/>
      <c r="E310" s="242"/>
      <c r="F310" s="242"/>
      <c r="G310" s="242"/>
      <c r="H310" s="242"/>
      <c r="I310" s="242"/>
      <c r="J310" s="242"/>
      <c r="K310" s="242"/>
      <c r="L310" s="242"/>
      <c r="M310" s="13"/>
      <c r="N310" s="13"/>
      <c r="O310" s="13"/>
      <c r="P310" s="341"/>
      <c r="Q310" s="13"/>
      <c r="R310" s="242"/>
      <c r="S310" s="242"/>
      <c r="T310" s="242"/>
      <c r="U310" s="242"/>
      <c r="V310" s="242"/>
      <c r="W310" s="242"/>
      <c r="X310" s="242"/>
    </row>
    <row r="311">
      <c r="A311" s="242"/>
      <c r="B311" s="242"/>
      <c r="C311" s="242"/>
      <c r="D311" s="242"/>
      <c r="E311" s="242"/>
      <c r="F311" s="242"/>
      <c r="G311" s="242"/>
      <c r="H311" s="242"/>
      <c r="I311" s="242"/>
      <c r="J311" s="242"/>
      <c r="K311" s="242"/>
      <c r="L311" s="242"/>
      <c r="M311" s="13"/>
      <c r="N311" s="13"/>
      <c r="O311" s="13"/>
      <c r="P311" s="341"/>
      <c r="Q311" s="13"/>
      <c r="R311" s="242"/>
      <c r="S311" s="242"/>
      <c r="T311" s="242"/>
      <c r="U311" s="242"/>
      <c r="V311" s="242"/>
      <c r="W311" s="242"/>
      <c r="X311" s="242"/>
    </row>
    <row r="312">
      <c r="A312" s="242"/>
      <c r="B312" s="242"/>
      <c r="C312" s="242"/>
      <c r="D312" s="242"/>
      <c r="E312" s="242"/>
      <c r="F312" s="242"/>
      <c r="G312" s="242"/>
      <c r="H312" s="242"/>
      <c r="I312" s="242"/>
      <c r="J312" s="242"/>
      <c r="K312" s="242"/>
      <c r="L312" s="242"/>
      <c r="M312" s="13"/>
      <c r="N312" s="13"/>
      <c r="O312" s="13"/>
      <c r="P312" s="341"/>
      <c r="Q312" s="13"/>
      <c r="R312" s="242"/>
      <c r="S312" s="242"/>
      <c r="T312" s="242"/>
      <c r="U312" s="242"/>
      <c r="V312" s="242"/>
      <c r="W312" s="242"/>
      <c r="X312" s="242"/>
    </row>
    <row r="313">
      <c r="A313" s="242"/>
      <c r="B313" s="242"/>
      <c r="C313" s="242"/>
      <c r="D313" s="242"/>
      <c r="E313" s="242"/>
      <c r="F313" s="242"/>
      <c r="G313" s="242"/>
      <c r="H313" s="242"/>
      <c r="I313" s="242"/>
      <c r="J313" s="242"/>
      <c r="K313" s="242"/>
      <c r="L313" s="242"/>
      <c r="M313" s="13"/>
      <c r="N313" s="13"/>
      <c r="O313" s="13"/>
      <c r="P313" s="341"/>
      <c r="Q313" s="13"/>
      <c r="R313" s="242"/>
      <c r="S313" s="242"/>
      <c r="T313" s="242"/>
      <c r="U313" s="242"/>
      <c r="V313" s="242"/>
      <c r="W313" s="242"/>
      <c r="X313" s="242"/>
    </row>
    <row r="314">
      <c r="A314" s="242"/>
      <c r="B314" s="242"/>
      <c r="C314" s="242"/>
      <c r="D314" s="242"/>
      <c r="E314" s="242"/>
      <c r="F314" s="242"/>
      <c r="G314" s="242"/>
      <c r="H314" s="242"/>
      <c r="I314" s="242"/>
      <c r="J314" s="242"/>
      <c r="K314" s="242"/>
      <c r="L314" s="242"/>
      <c r="M314" s="13"/>
      <c r="N314" s="13"/>
      <c r="O314" s="13"/>
      <c r="P314" s="341"/>
      <c r="Q314" s="13"/>
      <c r="R314" s="242"/>
      <c r="S314" s="242"/>
      <c r="T314" s="242"/>
      <c r="U314" s="242"/>
      <c r="V314" s="242"/>
      <c r="W314" s="242"/>
      <c r="X314" s="242"/>
    </row>
    <row r="315">
      <c r="A315" s="242"/>
      <c r="B315" s="242"/>
      <c r="C315" s="242"/>
      <c r="D315" s="242"/>
      <c r="E315" s="242"/>
      <c r="F315" s="242"/>
      <c r="G315" s="242"/>
      <c r="H315" s="242"/>
      <c r="I315" s="242"/>
      <c r="J315" s="242"/>
      <c r="K315" s="242"/>
      <c r="L315" s="242"/>
      <c r="M315" s="13"/>
      <c r="N315" s="13"/>
      <c r="O315" s="13"/>
      <c r="P315" s="341"/>
      <c r="Q315" s="13"/>
      <c r="R315" s="242"/>
      <c r="S315" s="242"/>
      <c r="T315" s="242"/>
      <c r="U315" s="242"/>
      <c r="V315" s="242"/>
      <c r="W315" s="242"/>
      <c r="X315" s="242"/>
    </row>
    <row r="316">
      <c r="A316" s="242"/>
      <c r="B316" s="242"/>
      <c r="C316" s="242"/>
      <c r="D316" s="242"/>
      <c r="E316" s="242"/>
      <c r="F316" s="242"/>
      <c r="G316" s="242"/>
      <c r="H316" s="242"/>
      <c r="I316" s="242"/>
      <c r="J316" s="242"/>
      <c r="K316" s="242"/>
      <c r="L316" s="242"/>
      <c r="M316" s="13"/>
      <c r="N316" s="13"/>
      <c r="O316" s="13"/>
      <c r="P316" s="341"/>
      <c r="Q316" s="13"/>
      <c r="R316" s="242"/>
      <c r="S316" s="242"/>
      <c r="T316" s="242"/>
      <c r="U316" s="242"/>
      <c r="V316" s="242"/>
      <c r="W316" s="242"/>
      <c r="X316" s="242"/>
    </row>
    <row r="317">
      <c r="A317" s="242"/>
      <c r="B317" s="242"/>
      <c r="C317" s="242"/>
      <c r="D317" s="242"/>
      <c r="E317" s="242"/>
      <c r="F317" s="242"/>
      <c r="G317" s="242"/>
      <c r="H317" s="242"/>
      <c r="I317" s="242"/>
      <c r="J317" s="242"/>
      <c r="K317" s="242"/>
      <c r="L317" s="242"/>
      <c r="M317" s="13"/>
      <c r="N317" s="13"/>
      <c r="O317" s="13"/>
      <c r="P317" s="341"/>
      <c r="Q317" s="13"/>
      <c r="R317" s="242"/>
      <c r="S317" s="242"/>
      <c r="T317" s="242"/>
      <c r="U317" s="242"/>
      <c r="V317" s="242"/>
      <c r="W317" s="242"/>
      <c r="X317" s="242"/>
    </row>
    <row r="318">
      <c r="A318" s="242"/>
      <c r="B318" s="242"/>
      <c r="C318" s="242"/>
      <c r="D318" s="242"/>
      <c r="E318" s="242"/>
      <c r="F318" s="242"/>
      <c r="G318" s="242"/>
      <c r="H318" s="242"/>
      <c r="I318" s="242"/>
      <c r="J318" s="242"/>
      <c r="K318" s="242"/>
      <c r="L318" s="242"/>
      <c r="M318" s="13"/>
      <c r="N318" s="13"/>
      <c r="O318" s="13"/>
      <c r="P318" s="341"/>
      <c r="Q318" s="13"/>
      <c r="R318" s="242"/>
      <c r="S318" s="242"/>
      <c r="T318" s="242"/>
      <c r="U318" s="242"/>
      <c r="V318" s="242"/>
      <c r="W318" s="242"/>
      <c r="X318" s="242"/>
    </row>
    <row r="319">
      <c r="A319" s="242"/>
      <c r="B319" s="242"/>
      <c r="C319" s="242"/>
      <c r="D319" s="242"/>
      <c r="E319" s="242"/>
      <c r="F319" s="242"/>
      <c r="G319" s="242"/>
      <c r="H319" s="242"/>
      <c r="I319" s="242"/>
      <c r="J319" s="242"/>
      <c r="K319" s="242"/>
      <c r="L319" s="242"/>
      <c r="M319" s="13"/>
      <c r="N319" s="13"/>
      <c r="O319" s="13"/>
      <c r="P319" s="341"/>
      <c r="Q319" s="13"/>
      <c r="R319" s="242"/>
      <c r="S319" s="242"/>
      <c r="T319" s="242"/>
      <c r="U319" s="242"/>
      <c r="V319" s="242"/>
      <c r="W319" s="242"/>
      <c r="X319" s="242"/>
    </row>
    <row r="320">
      <c r="A320" s="242"/>
      <c r="B320" s="242"/>
      <c r="C320" s="242"/>
      <c r="D320" s="242"/>
      <c r="E320" s="242"/>
      <c r="F320" s="242"/>
      <c r="G320" s="242"/>
      <c r="H320" s="242"/>
      <c r="I320" s="242"/>
      <c r="J320" s="242"/>
      <c r="K320" s="242"/>
      <c r="L320" s="242"/>
      <c r="M320" s="13"/>
      <c r="N320" s="13"/>
      <c r="O320" s="13"/>
      <c r="P320" s="341"/>
      <c r="Q320" s="13"/>
      <c r="R320" s="242"/>
      <c r="S320" s="242"/>
      <c r="T320" s="242"/>
      <c r="U320" s="242"/>
      <c r="V320" s="242"/>
      <c r="W320" s="242"/>
      <c r="X320" s="242"/>
    </row>
    <row r="321">
      <c r="A321" s="242"/>
      <c r="B321" s="242"/>
      <c r="C321" s="242"/>
      <c r="D321" s="242"/>
      <c r="E321" s="242"/>
      <c r="F321" s="242"/>
      <c r="G321" s="242"/>
      <c r="H321" s="242"/>
      <c r="I321" s="242"/>
      <c r="J321" s="242"/>
      <c r="K321" s="242"/>
      <c r="L321" s="242"/>
      <c r="M321" s="13"/>
      <c r="N321" s="13"/>
      <c r="O321" s="13"/>
      <c r="P321" s="341"/>
      <c r="Q321" s="13"/>
      <c r="R321" s="242"/>
      <c r="S321" s="242"/>
      <c r="T321" s="242"/>
      <c r="U321" s="242"/>
      <c r="V321" s="242"/>
      <c r="W321" s="242"/>
      <c r="X321" s="242"/>
    </row>
    <row r="322">
      <c r="A322" s="242"/>
      <c r="B322" s="242"/>
      <c r="C322" s="242"/>
      <c r="D322" s="242"/>
      <c r="E322" s="242"/>
      <c r="F322" s="242"/>
      <c r="G322" s="242"/>
      <c r="H322" s="242"/>
      <c r="I322" s="242"/>
      <c r="J322" s="242"/>
      <c r="K322" s="242"/>
      <c r="L322" s="242"/>
      <c r="M322" s="13"/>
      <c r="N322" s="13"/>
      <c r="O322" s="13"/>
      <c r="P322" s="341"/>
      <c r="Q322" s="13"/>
      <c r="R322" s="242"/>
      <c r="S322" s="242"/>
      <c r="T322" s="242"/>
      <c r="U322" s="242"/>
      <c r="V322" s="242"/>
      <c r="W322" s="242"/>
      <c r="X322" s="242"/>
    </row>
    <row r="323">
      <c r="A323" s="242"/>
      <c r="B323" s="242"/>
      <c r="C323" s="242"/>
      <c r="D323" s="242"/>
      <c r="E323" s="242"/>
      <c r="F323" s="242"/>
      <c r="G323" s="242"/>
      <c r="H323" s="242"/>
      <c r="I323" s="242"/>
      <c r="J323" s="242"/>
      <c r="K323" s="242"/>
      <c r="L323" s="242"/>
      <c r="M323" s="13"/>
      <c r="N323" s="13"/>
      <c r="O323" s="13"/>
      <c r="P323" s="341"/>
      <c r="Q323" s="13"/>
      <c r="R323" s="242"/>
      <c r="S323" s="242"/>
      <c r="T323" s="242"/>
      <c r="U323" s="242"/>
      <c r="V323" s="242"/>
      <c r="W323" s="242"/>
      <c r="X323" s="242"/>
    </row>
    <row r="324">
      <c r="A324" s="242"/>
      <c r="B324" s="242"/>
      <c r="C324" s="242"/>
      <c r="D324" s="242"/>
      <c r="E324" s="242"/>
      <c r="F324" s="242"/>
      <c r="G324" s="242"/>
      <c r="H324" s="242"/>
      <c r="I324" s="242"/>
      <c r="J324" s="242"/>
      <c r="K324" s="242"/>
      <c r="L324" s="242"/>
      <c r="M324" s="13"/>
      <c r="N324" s="13"/>
      <c r="O324" s="13"/>
      <c r="P324" s="341"/>
      <c r="Q324" s="13"/>
      <c r="R324" s="242"/>
      <c r="S324" s="242"/>
      <c r="T324" s="242"/>
      <c r="U324" s="242"/>
      <c r="V324" s="242"/>
      <c r="W324" s="242"/>
      <c r="X324" s="242"/>
    </row>
    <row r="325">
      <c r="A325" s="242"/>
      <c r="B325" s="242"/>
      <c r="C325" s="242"/>
      <c r="D325" s="242"/>
      <c r="E325" s="242"/>
      <c r="F325" s="242"/>
      <c r="G325" s="242"/>
      <c r="H325" s="242"/>
      <c r="I325" s="242"/>
      <c r="J325" s="242"/>
      <c r="K325" s="242"/>
      <c r="L325" s="242"/>
      <c r="M325" s="13"/>
      <c r="N325" s="13"/>
      <c r="O325" s="13"/>
      <c r="P325" s="341"/>
      <c r="Q325" s="13"/>
      <c r="R325" s="242"/>
      <c r="S325" s="242"/>
      <c r="T325" s="242"/>
      <c r="U325" s="242"/>
      <c r="V325" s="242"/>
      <c r="W325" s="242"/>
      <c r="X325" s="242"/>
    </row>
    <row r="326">
      <c r="A326" s="242"/>
      <c r="B326" s="242"/>
      <c r="C326" s="242"/>
      <c r="D326" s="242"/>
      <c r="E326" s="242"/>
      <c r="F326" s="242"/>
      <c r="G326" s="242"/>
      <c r="H326" s="242"/>
      <c r="I326" s="242"/>
      <c r="J326" s="242"/>
      <c r="K326" s="242"/>
      <c r="L326" s="242"/>
      <c r="M326" s="13"/>
      <c r="N326" s="13"/>
      <c r="O326" s="13"/>
      <c r="P326" s="341"/>
      <c r="Q326" s="13"/>
      <c r="R326" s="242"/>
      <c r="S326" s="242"/>
      <c r="T326" s="242"/>
      <c r="U326" s="242"/>
      <c r="V326" s="242"/>
      <c r="W326" s="242"/>
      <c r="X326" s="242"/>
    </row>
    <row r="327">
      <c r="A327" s="242"/>
      <c r="B327" s="242"/>
      <c r="C327" s="242"/>
      <c r="D327" s="242"/>
      <c r="E327" s="242"/>
      <c r="F327" s="242"/>
      <c r="G327" s="242"/>
      <c r="H327" s="242"/>
      <c r="I327" s="242"/>
      <c r="J327" s="242"/>
      <c r="K327" s="242"/>
      <c r="L327" s="242"/>
      <c r="M327" s="13"/>
      <c r="N327" s="13"/>
      <c r="O327" s="13"/>
      <c r="P327" s="341"/>
      <c r="Q327" s="13"/>
      <c r="R327" s="242"/>
      <c r="S327" s="242"/>
      <c r="T327" s="242"/>
      <c r="U327" s="242"/>
      <c r="V327" s="242"/>
      <c r="W327" s="242"/>
      <c r="X327" s="242"/>
    </row>
    <row r="328">
      <c r="A328" s="242"/>
      <c r="B328" s="242"/>
      <c r="C328" s="242"/>
      <c r="D328" s="242"/>
      <c r="E328" s="242"/>
      <c r="F328" s="242"/>
      <c r="G328" s="242"/>
      <c r="H328" s="242"/>
      <c r="I328" s="242"/>
      <c r="J328" s="242"/>
      <c r="K328" s="242"/>
      <c r="L328" s="242"/>
      <c r="M328" s="13"/>
      <c r="N328" s="13"/>
      <c r="O328" s="13"/>
      <c r="P328" s="341"/>
      <c r="Q328" s="13"/>
      <c r="R328" s="242"/>
      <c r="S328" s="242"/>
      <c r="T328" s="242"/>
      <c r="U328" s="242"/>
      <c r="V328" s="242"/>
      <c r="W328" s="242"/>
      <c r="X328" s="242"/>
    </row>
    <row r="329">
      <c r="A329" s="242"/>
      <c r="B329" s="242"/>
      <c r="C329" s="242"/>
      <c r="D329" s="242"/>
      <c r="E329" s="242"/>
      <c r="F329" s="242"/>
      <c r="G329" s="242"/>
      <c r="H329" s="242"/>
      <c r="I329" s="242"/>
      <c r="J329" s="242"/>
      <c r="K329" s="242"/>
      <c r="L329" s="242"/>
      <c r="M329" s="13"/>
      <c r="N329" s="13"/>
      <c r="O329" s="13"/>
      <c r="P329" s="341"/>
      <c r="Q329" s="13"/>
      <c r="R329" s="242"/>
      <c r="S329" s="242"/>
      <c r="T329" s="242"/>
      <c r="U329" s="242"/>
      <c r="V329" s="242"/>
      <c r="W329" s="242"/>
      <c r="X329" s="242"/>
    </row>
    <row r="330">
      <c r="A330" s="242"/>
      <c r="B330" s="242"/>
      <c r="C330" s="242"/>
      <c r="D330" s="242"/>
      <c r="E330" s="242"/>
      <c r="F330" s="242"/>
      <c r="G330" s="242"/>
      <c r="H330" s="242"/>
      <c r="I330" s="242"/>
      <c r="J330" s="242"/>
      <c r="K330" s="242"/>
      <c r="L330" s="242"/>
      <c r="M330" s="13"/>
      <c r="N330" s="13"/>
      <c r="O330" s="13"/>
      <c r="P330" s="341"/>
      <c r="Q330" s="13"/>
      <c r="R330" s="242"/>
      <c r="S330" s="242"/>
      <c r="T330" s="242"/>
      <c r="U330" s="242"/>
      <c r="V330" s="242"/>
      <c r="W330" s="242"/>
      <c r="X330" s="242"/>
    </row>
    <row r="331">
      <c r="A331" s="242"/>
      <c r="B331" s="242"/>
      <c r="C331" s="242"/>
      <c r="D331" s="242"/>
      <c r="E331" s="242"/>
      <c r="F331" s="242"/>
      <c r="G331" s="242"/>
      <c r="H331" s="242"/>
      <c r="I331" s="242"/>
      <c r="J331" s="242"/>
      <c r="K331" s="242"/>
      <c r="L331" s="242"/>
      <c r="M331" s="13"/>
      <c r="N331" s="13"/>
      <c r="O331" s="13"/>
      <c r="P331" s="341"/>
      <c r="Q331" s="13"/>
      <c r="R331" s="242"/>
      <c r="S331" s="242"/>
      <c r="T331" s="242"/>
      <c r="U331" s="242"/>
      <c r="V331" s="242"/>
      <c r="W331" s="242"/>
      <c r="X331" s="242"/>
    </row>
    <row r="332">
      <c r="A332" s="242"/>
      <c r="B332" s="242"/>
      <c r="C332" s="242"/>
      <c r="D332" s="242"/>
      <c r="E332" s="242"/>
      <c r="F332" s="242"/>
      <c r="G332" s="242"/>
      <c r="H332" s="242"/>
      <c r="I332" s="242"/>
      <c r="J332" s="242"/>
      <c r="K332" s="242"/>
      <c r="L332" s="242"/>
      <c r="M332" s="13"/>
      <c r="N332" s="13"/>
      <c r="O332" s="13"/>
      <c r="P332" s="341"/>
      <c r="Q332" s="13"/>
      <c r="R332" s="242"/>
      <c r="S332" s="242"/>
      <c r="T332" s="242"/>
      <c r="U332" s="242"/>
      <c r="V332" s="242"/>
      <c r="W332" s="242"/>
      <c r="X332" s="242"/>
    </row>
    <row r="333">
      <c r="A333" s="242"/>
      <c r="B333" s="242"/>
      <c r="C333" s="242"/>
      <c r="D333" s="242"/>
      <c r="E333" s="242"/>
      <c r="F333" s="242"/>
      <c r="G333" s="242"/>
      <c r="H333" s="242"/>
      <c r="I333" s="242"/>
      <c r="J333" s="242"/>
      <c r="K333" s="242"/>
      <c r="L333" s="242"/>
      <c r="M333" s="13"/>
      <c r="N333" s="13"/>
      <c r="O333" s="13"/>
      <c r="P333" s="341"/>
      <c r="Q333" s="13"/>
      <c r="R333" s="242"/>
      <c r="S333" s="242"/>
      <c r="T333" s="242"/>
      <c r="U333" s="242"/>
      <c r="V333" s="242"/>
      <c r="W333" s="242"/>
      <c r="X333" s="242"/>
    </row>
    <row r="334">
      <c r="A334" s="242"/>
      <c r="B334" s="242"/>
      <c r="C334" s="242"/>
      <c r="D334" s="242"/>
      <c r="E334" s="242"/>
      <c r="F334" s="242"/>
      <c r="G334" s="242"/>
      <c r="H334" s="242"/>
      <c r="I334" s="242"/>
      <c r="J334" s="242"/>
      <c r="K334" s="242"/>
      <c r="L334" s="242"/>
      <c r="M334" s="13"/>
      <c r="N334" s="13"/>
      <c r="O334" s="13"/>
      <c r="P334" s="341"/>
      <c r="Q334" s="13"/>
      <c r="R334" s="242"/>
      <c r="S334" s="242"/>
      <c r="T334" s="242"/>
      <c r="U334" s="242"/>
      <c r="V334" s="242"/>
      <c r="W334" s="242"/>
      <c r="X334" s="242"/>
    </row>
    <row r="335">
      <c r="A335" s="242"/>
      <c r="B335" s="242"/>
      <c r="C335" s="242"/>
      <c r="D335" s="242"/>
      <c r="E335" s="242"/>
      <c r="F335" s="242"/>
      <c r="G335" s="242"/>
      <c r="H335" s="242"/>
      <c r="I335" s="242"/>
      <c r="J335" s="242"/>
      <c r="K335" s="242"/>
      <c r="L335" s="242"/>
      <c r="M335" s="13"/>
      <c r="N335" s="13"/>
      <c r="O335" s="13"/>
      <c r="P335" s="341"/>
      <c r="Q335" s="13"/>
      <c r="R335" s="242"/>
      <c r="S335" s="242"/>
      <c r="T335" s="242"/>
      <c r="U335" s="242"/>
      <c r="V335" s="242"/>
      <c r="W335" s="242"/>
      <c r="X335" s="242"/>
    </row>
    <row r="336">
      <c r="A336" s="242"/>
      <c r="B336" s="242"/>
      <c r="C336" s="242"/>
      <c r="D336" s="242"/>
      <c r="E336" s="242"/>
      <c r="F336" s="242"/>
      <c r="G336" s="242"/>
      <c r="H336" s="242"/>
      <c r="I336" s="242"/>
      <c r="J336" s="242"/>
      <c r="K336" s="242"/>
      <c r="L336" s="242"/>
      <c r="M336" s="13"/>
      <c r="N336" s="13"/>
      <c r="O336" s="13"/>
      <c r="P336" s="341"/>
      <c r="Q336" s="13"/>
      <c r="R336" s="242"/>
      <c r="S336" s="242"/>
      <c r="T336" s="242"/>
      <c r="U336" s="242"/>
      <c r="V336" s="242"/>
      <c r="W336" s="242"/>
      <c r="X336" s="242"/>
    </row>
    <row r="337">
      <c r="A337" s="242"/>
      <c r="B337" s="242"/>
      <c r="C337" s="242"/>
      <c r="D337" s="242"/>
      <c r="E337" s="242"/>
      <c r="F337" s="242"/>
      <c r="G337" s="242"/>
      <c r="H337" s="242"/>
      <c r="I337" s="242"/>
      <c r="J337" s="242"/>
      <c r="K337" s="242"/>
      <c r="L337" s="242"/>
      <c r="M337" s="13"/>
      <c r="N337" s="13"/>
      <c r="O337" s="13"/>
      <c r="P337" s="341"/>
      <c r="Q337" s="13"/>
      <c r="R337" s="242"/>
      <c r="S337" s="242"/>
      <c r="T337" s="242"/>
      <c r="U337" s="242"/>
      <c r="V337" s="242"/>
      <c r="W337" s="242"/>
      <c r="X337" s="242"/>
    </row>
    <row r="338">
      <c r="A338" s="242"/>
      <c r="B338" s="242"/>
      <c r="C338" s="242"/>
      <c r="D338" s="242"/>
      <c r="E338" s="242"/>
      <c r="F338" s="242"/>
      <c r="G338" s="242"/>
      <c r="H338" s="242"/>
      <c r="I338" s="242"/>
      <c r="J338" s="242"/>
      <c r="K338" s="242"/>
      <c r="L338" s="242"/>
      <c r="M338" s="13"/>
      <c r="N338" s="13"/>
      <c r="O338" s="13"/>
      <c r="P338" s="341"/>
      <c r="Q338" s="13"/>
      <c r="R338" s="242"/>
      <c r="S338" s="242"/>
      <c r="T338" s="242"/>
      <c r="U338" s="242"/>
      <c r="V338" s="242"/>
      <c r="W338" s="242"/>
      <c r="X338" s="242"/>
    </row>
    <row r="339">
      <c r="A339" s="242"/>
      <c r="B339" s="242"/>
      <c r="C339" s="242"/>
      <c r="D339" s="242"/>
      <c r="E339" s="242"/>
      <c r="F339" s="242"/>
      <c r="G339" s="242"/>
      <c r="H339" s="242"/>
      <c r="I339" s="242"/>
      <c r="J339" s="242"/>
      <c r="K339" s="242"/>
      <c r="L339" s="242"/>
      <c r="M339" s="13"/>
      <c r="N339" s="13"/>
      <c r="O339" s="13"/>
      <c r="P339" s="341"/>
      <c r="Q339" s="13"/>
      <c r="R339" s="242"/>
      <c r="S339" s="242"/>
      <c r="T339" s="242"/>
      <c r="U339" s="242"/>
      <c r="V339" s="242"/>
      <c r="W339" s="242"/>
      <c r="X339" s="242"/>
    </row>
    <row r="340">
      <c r="A340" s="242"/>
      <c r="B340" s="242"/>
      <c r="C340" s="242"/>
      <c r="D340" s="242"/>
      <c r="E340" s="242"/>
      <c r="F340" s="242"/>
      <c r="G340" s="242"/>
      <c r="H340" s="242"/>
      <c r="I340" s="242"/>
      <c r="J340" s="242"/>
      <c r="K340" s="242"/>
      <c r="L340" s="242"/>
      <c r="M340" s="13"/>
      <c r="N340" s="13"/>
      <c r="O340" s="13"/>
      <c r="P340" s="341"/>
      <c r="Q340" s="13"/>
      <c r="R340" s="242"/>
      <c r="S340" s="242"/>
      <c r="T340" s="242"/>
      <c r="U340" s="242"/>
      <c r="V340" s="242"/>
      <c r="W340" s="242"/>
      <c r="X340" s="242"/>
    </row>
    <row r="341">
      <c r="A341" s="242"/>
      <c r="B341" s="242"/>
      <c r="C341" s="242"/>
      <c r="D341" s="242"/>
      <c r="E341" s="242"/>
      <c r="F341" s="242"/>
      <c r="G341" s="242"/>
      <c r="H341" s="242"/>
      <c r="I341" s="242"/>
      <c r="J341" s="242"/>
      <c r="K341" s="242"/>
      <c r="L341" s="242"/>
      <c r="M341" s="13"/>
      <c r="N341" s="13"/>
      <c r="O341" s="13"/>
      <c r="P341" s="341"/>
      <c r="Q341" s="13"/>
      <c r="R341" s="242"/>
      <c r="S341" s="242"/>
      <c r="T341" s="242"/>
      <c r="U341" s="242"/>
      <c r="V341" s="242"/>
      <c r="W341" s="242"/>
      <c r="X341" s="242"/>
    </row>
    <row r="342">
      <c r="A342" s="242"/>
      <c r="B342" s="242"/>
      <c r="C342" s="242"/>
      <c r="D342" s="242"/>
      <c r="E342" s="242"/>
      <c r="F342" s="242"/>
      <c r="G342" s="242"/>
      <c r="H342" s="242"/>
      <c r="I342" s="242"/>
      <c r="J342" s="242"/>
      <c r="K342" s="242"/>
      <c r="L342" s="242"/>
      <c r="M342" s="13"/>
      <c r="N342" s="13"/>
      <c r="O342" s="13"/>
      <c r="P342" s="341"/>
      <c r="Q342" s="13"/>
      <c r="R342" s="242"/>
      <c r="S342" s="242"/>
      <c r="T342" s="242"/>
      <c r="U342" s="242"/>
      <c r="V342" s="242"/>
      <c r="W342" s="242"/>
      <c r="X342" s="242"/>
    </row>
    <row r="343">
      <c r="A343" s="242"/>
      <c r="B343" s="242"/>
      <c r="C343" s="242"/>
      <c r="D343" s="242"/>
      <c r="E343" s="242"/>
      <c r="F343" s="242"/>
      <c r="G343" s="242"/>
      <c r="H343" s="242"/>
      <c r="I343" s="242"/>
      <c r="J343" s="242"/>
      <c r="K343" s="242"/>
      <c r="L343" s="242"/>
      <c r="M343" s="13"/>
      <c r="N343" s="13"/>
      <c r="O343" s="13"/>
      <c r="P343" s="341"/>
      <c r="Q343" s="13"/>
      <c r="R343" s="242"/>
      <c r="S343" s="242"/>
      <c r="T343" s="242"/>
      <c r="U343" s="242"/>
      <c r="V343" s="242"/>
      <c r="W343" s="242"/>
      <c r="X343" s="242"/>
    </row>
    <row r="344">
      <c r="A344" s="242"/>
      <c r="B344" s="242"/>
      <c r="C344" s="242"/>
      <c r="D344" s="242"/>
      <c r="E344" s="242"/>
      <c r="F344" s="242"/>
      <c r="G344" s="242"/>
      <c r="H344" s="242"/>
      <c r="I344" s="242"/>
      <c r="J344" s="242"/>
      <c r="K344" s="242"/>
      <c r="L344" s="242"/>
      <c r="M344" s="13"/>
      <c r="N344" s="13"/>
      <c r="O344" s="13"/>
      <c r="P344" s="341"/>
      <c r="Q344" s="13"/>
      <c r="R344" s="242"/>
      <c r="S344" s="242"/>
      <c r="T344" s="242"/>
      <c r="U344" s="242"/>
      <c r="V344" s="242"/>
      <c r="W344" s="242"/>
      <c r="X344" s="242"/>
    </row>
    <row r="345">
      <c r="A345" s="242"/>
      <c r="B345" s="242"/>
      <c r="C345" s="242"/>
      <c r="D345" s="242"/>
      <c r="E345" s="242"/>
      <c r="F345" s="242"/>
      <c r="G345" s="242"/>
      <c r="H345" s="242"/>
      <c r="I345" s="242"/>
      <c r="J345" s="242"/>
      <c r="K345" s="242"/>
      <c r="L345" s="242"/>
      <c r="M345" s="13"/>
      <c r="N345" s="13"/>
      <c r="O345" s="13"/>
      <c r="P345" s="341"/>
      <c r="Q345" s="13"/>
      <c r="R345" s="242"/>
      <c r="S345" s="242"/>
      <c r="T345" s="242"/>
      <c r="U345" s="242"/>
      <c r="V345" s="242"/>
      <c r="W345" s="242"/>
      <c r="X345" s="242"/>
    </row>
    <row r="346">
      <c r="A346" s="242"/>
      <c r="B346" s="242"/>
      <c r="C346" s="242"/>
      <c r="D346" s="242"/>
      <c r="E346" s="242"/>
      <c r="F346" s="242"/>
      <c r="G346" s="242"/>
      <c r="H346" s="242"/>
      <c r="I346" s="242"/>
      <c r="J346" s="242"/>
      <c r="K346" s="242"/>
      <c r="L346" s="242"/>
      <c r="M346" s="13"/>
      <c r="N346" s="13"/>
      <c r="O346" s="13"/>
      <c r="P346" s="341"/>
      <c r="Q346" s="13"/>
      <c r="R346" s="242"/>
      <c r="S346" s="242"/>
      <c r="T346" s="242"/>
      <c r="U346" s="242"/>
      <c r="V346" s="242"/>
      <c r="W346" s="242"/>
      <c r="X346" s="242"/>
    </row>
    <row r="347">
      <c r="A347" s="242"/>
      <c r="B347" s="242"/>
      <c r="C347" s="242"/>
      <c r="D347" s="242"/>
      <c r="E347" s="242"/>
      <c r="F347" s="242"/>
      <c r="G347" s="242"/>
      <c r="H347" s="242"/>
      <c r="I347" s="242"/>
      <c r="J347" s="242"/>
      <c r="K347" s="242"/>
      <c r="L347" s="242"/>
      <c r="M347" s="13"/>
      <c r="N347" s="13"/>
      <c r="O347" s="13"/>
      <c r="P347" s="341"/>
      <c r="Q347" s="13"/>
      <c r="R347" s="242"/>
      <c r="S347" s="242"/>
      <c r="T347" s="242"/>
      <c r="U347" s="242"/>
      <c r="V347" s="242"/>
      <c r="W347" s="242"/>
      <c r="X347" s="242"/>
    </row>
    <row r="348">
      <c r="A348" s="242"/>
      <c r="B348" s="242"/>
      <c r="C348" s="242"/>
      <c r="D348" s="242"/>
      <c r="E348" s="242"/>
      <c r="F348" s="242"/>
      <c r="G348" s="242"/>
      <c r="H348" s="242"/>
      <c r="I348" s="242"/>
      <c r="J348" s="242"/>
      <c r="K348" s="242"/>
      <c r="L348" s="242"/>
      <c r="M348" s="13"/>
      <c r="N348" s="13"/>
      <c r="O348" s="13"/>
      <c r="P348" s="341"/>
      <c r="Q348" s="13"/>
      <c r="R348" s="242"/>
      <c r="S348" s="242"/>
      <c r="T348" s="242"/>
      <c r="U348" s="242"/>
      <c r="V348" s="242"/>
      <c r="W348" s="242"/>
      <c r="X348" s="242"/>
    </row>
    <row r="349">
      <c r="A349" s="242"/>
      <c r="B349" s="242"/>
      <c r="C349" s="242"/>
      <c r="D349" s="242"/>
      <c r="E349" s="242"/>
      <c r="F349" s="242"/>
      <c r="G349" s="242"/>
      <c r="H349" s="242"/>
      <c r="I349" s="242"/>
      <c r="J349" s="242"/>
      <c r="K349" s="242"/>
      <c r="L349" s="242"/>
      <c r="M349" s="13"/>
      <c r="N349" s="13"/>
      <c r="O349" s="13"/>
      <c r="P349" s="341"/>
      <c r="Q349" s="13"/>
      <c r="R349" s="242"/>
      <c r="S349" s="242"/>
      <c r="T349" s="242"/>
      <c r="U349" s="242"/>
      <c r="V349" s="242"/>
      <c r="W349" s="242"/>
      <c r="X349" s="242"/>
    </row>
    <row r="350">
      <c r="A350" s="242"/>
      <c r="B350" s="242"/>
      <c r="C350" s="242"/>
      <c r="D350" s="242"/>
      <c r="E350" s="242"/>
      <c r="F350" s="242"/>
      <c r="G350" s="242"/>
      <c r="H350" s="242"/>
      <c r="I350" s="242"/>
      <c r="J350" s="242"/>
      <c r="K350" s="242"/>
      <c r="L350" s="242"/>
      <c r="M350" s="13"/>
      <c r="N350" s="13"/>
      <c r="O350" s="13"/>
      <c r="P350" s="341"/>
      <c r="Q350" s="13"/>
      <c r="R350" s="242"/>
      <c r="S350" s="242"/>
      <c r="T350" s="242"/>
      <c r="U350" s="242"/>
      <c r="V350" s="242"/>
      <c r="W350" s="242"/>
      <c r="X350" s="242"/>
    </row>
    <row r="351">
      <c r="A351" s="242"/>
      <c r="B351" s="242"/>
      <c r="C351" s="242"/>
      <c r="D351" s="242"/>
      <c r="E351" s="242"/>
      <c r="F351" s="242"/>
      <c r="G351" s="242"/>
      <c r="H351" s="242"/>
      <c r="I351" s="242"/>
      <c r="J351" s="242"/>
      <c r="K351" s="242"/>
      <c r="L351" s="242"/>
      <c r="M351" s="13"/>
      <c r="N351" s="13"/>
      <c r="O351" s="13"/>
      <c r="P351" s="341"/>
      <c r="Q351" s="13"/>
      <c r="R351" s="242"/>
      <c r="S351" s="242"/>
      <c r="T351" s="242"/>
      <c r="U351" s="242"/>
      <c r="V351" s="242"/>
      <c r="W351" s="242"/>
      <c r="X351" s="242"/>
    </row>
    <row r="352">
      <c r="A352" s="242"/>
      <c r="B352" s="242"/>
      <c r="C352" s="242"/>
      <c r="D352" s="242"/>
      <c r="E352" s="242"/>
      <c r="F352" s="242"/>
      <c r="G352" s="242"/>
      <c r="H352" s="242"/>
      <c r="I352" s="242"/>
      <c r="J352" s="242"/>
      <c r="K352" s="242"/>
      <c r="L352" s="242"/>
      <c r="M352" s="13"/>
      <c r="N352" s="13"/>
      <c r="O352" s="13"/>
      <c r="P352" s="341"/>
      <c r="Q352" s="13"/>
      <c r="R352" s="242"/>
      <c r="S352" s="242"/>
      <c r="T352" s="242"/>
      <c r="U352" s="242"/>
      <c r="V352" s="242"/>
      <c r="W352" s="242"/>
      <c r="X352" s="242"/>
    </row>
    <row r="353">
      <c r="A353" s="242"/>
      <c r="B353" s="242"/>
      <c r="C353" s="242"/>
      <c r="D353" s="242"/>
      <c r="E353" s="242"/>
      <c r="F353" s="242"/>
      <c r="G353" s="242"/>
      <c r="H353" s="242"/>
      <c r="I353" s="242"/>
      <c r="J353" s="242"/>
      <c r="K353" s="242"/>
      <c r="L353" s="242"/>
      <c r="M353" s="13"/>
      <c r="N353" s="13"/>
      <c r="O353" s="13"/>
      <c r="P353" s="341"/>
      <c r="Q353" s="13"/>
      <c r="R353" s="242"/>
      <c r="S353" s="242"/>
      <c r="T353" s="242"/>
      <c r="U353" s="242"/>
      <c r="V353" s="242"/>
      <c r="W353" s="242"/>
      <c r="X353" s="242"/>
    </row>
    <row r="354">
      <c r="A354" s="242"/>
      <c r="B354" s="242"/>
      <c r="C354" s="242"/>
      <c r="D354" s="242"/>
      <c r="E354" s="242"/>
      <c r="F354" s="242"/>
      <c r="G354" s="242"/>
      <c r="H354" s="242"/>
      <c r="I354" s="242"/>
      <c r="J354" s="242"/>
      <c r="K354" s="242"/>
      <c r="L354" s="242"/>
      <c r="M354" s="13"/>
      <c r="N354" s="13"/>
      <c r="O354" s="13"/>
      <c r="P354" s="341"/>
      <c r="Q354" s="13"/>
      <c r="R354" s="242"/>
      <c r="S354" s="242"/>
      <c r="T354" s="242"/>
      <c r="U354" s="242"/>
      <c r="V354" s="242"/>
      <c r="W354" s="242"/>
      <c r="X354" s="242"/>
    </row>
    <row r="355">
      <c r="A355" s="242"/>
      <c r="B355" s="242"/>
      <c r="C355" s="242"/>
      <c r="D355" s="242"/>
      <c r="E355" s="242"/>
      <c r="F355" s="242"/>
      <c r="G355" s="242"/>
      <c r="H355" s="242"/>
      <c r="I355" s="242"/>
      <c r="J355" s="242"/>
      <c r="K355" s="242"/>
      <c r="L355" s="242"/>
      <c r="M355" s="13"/>
      <c r="N355" s="13"/>
      <c r="O355" s="13"/>
      <c r="P355" s="341"/>
      <c r="Q355" s="13"/>
      <c r="R355" s="242"/>
      <c r="S355" s="242"/>
      <c r="T355" s="242"/>
      <c r="U355" s="242"/>
      <c r="V355" s="242"/>
      <c r="W355" s="242"/>
      <c r="X355" s="242"/>
    </row>
    <row r="356">
      <c r="A356" s="242"/>
      <c r="B356" s="242"/>
      <c r="C356" s="242"/>
      <c r="D356" s="242"/>
      <c r="E356" s="242"/>
      <c r="F356" s="242"/>
      <c r="G356" s="242"/>
      <c r="H356" s="242"/>
      <c r="I356" s="242"/>
      <c r="J356" s="242"/>
      <c r="K356" s="242"/>
      <c r="L356" s="242"/>
      <c r="M356" s="13"/>
      <c r="N356" s="13"/>
      <c r="O356" s="13"/>
      <c r="P356" s="341"/>
      <c r="Q356" s="13"/>
      <c r="R356" s="242"/>
      <c r="S356" s="242"/>
      <c r="T356" s="242"/>
      <c r="U356" s="242"/>
      <c r="V356" s="242"/>
      <c r="W356" s="242"/>
      <c r="X356" s="242"/>
    </row>
    <row r="357">
      <c r="A357" s="242"/>
      <c r="B357" s="242"/>
      <c r="C357" s="242"/>
      <c r="D357" s="242"/>
      <c r="E357" s="242"/>
      <c r="F357" s="242"/>
      <c r="G357" s="242"/>
      <c r="H357" s="242"/>
      <c r="I357" s="242"/>
      <c r="J357" s="242"/>
      <c r="K357" s="242"/>
      <c r="L357" s="242"/>
      <c r="M357" s="13"/>
      <c r="N357" s="13"/>
      <c r="O357" s="13"/>
      <c r="P357" s="341"/>
      <c r="Q357" s="13"/>
      <c r="R357" s="242"/>
      <c r="S357" s="242"/>
      <c r="T357" s="242"/>
      <c r="U357" s="242"/>
      <c r="V357" s="242"/>
      <c r="W357" s="242"/>
      <c r="X357" s="242"/>
    </row>
    <row r="358">
      <c r="A358" s="242"/>
      <c r="B358" s="242"/>
      <c r="C358" s="242"/>
      <c r="D358" s="242"/>
      <c r="E358" s="242"/>
      <c r="F358" s="242"/>
      <c r="G358" s="242"/>
      <c r="H358" s="242"/>
      <c r="I358" s="242"/>
      <c r="J358" s="242"/>
      <c r="K358" s="242"/>
      <c r="L358" s="242"/>
      <c r="M358" s="13"/>
      <c r="N358" s="13"/>
      <c r="O358" s="13"/>
      <c r="P358" s="341"/>
      <c r="Q358" s="13"/>
      <c r="R358" s="242"/>
      <c r="S358" s="242"/>
      <c r="T358" s="242"/>
      <c r="U358" s="242"/>
      <c r="V358" s="242"/>
      <c r="W358" s="242"/>
      <c r="X358" s="242"/>
    </row>
    <row r="359">
      <c r="A359" s="242"/>
      <c r="B359" s="242"/>
      <c r="C359" s="242"/>
      <c r="D359" s="242"/>
      <c r="E359" s="242"/>
      <c r="F359" s="242"/>
      <c r="G359" s="242"/>
      <c r="H359" s="242"/>
      <c r="I359" s="242"/>
      <c r="J359" s="242"/>
      <c r="K359" s="242"/>
      <c r="L359" s="242"/>
      <c r="M359" s="13"/>
      <c r="N359" s="13"/>
      <c r="O359" s="13"/>
      <c r="P359" s="341"/>
      <c r="Q359" s="13"/>
      <c r="R359" s="242"/>
      <c r="S359" s="242"/>
      <c r="T359" s="242"/>
      <c r="U359" s="242"/>
      <c r="V359" s="242"/>
      <c r="W359" s="242"/>
      <c r="X359" s="242"/>
    </row>
    <row r="360">
      <c r="A360" s="242"/>
      <c r="B360" s="242"/>
      <c r="C360" s="242"/>
      <c r="D360" s="242"/>
      <c r="E360" s="242"/>
      <c r="F360" s="242"/>
      <c r="G360" s="242"/>
      <c r="H360" s="242"/>
      <c r="I360" s="242"/>
      <c r="J360" s="242"/>
      <c r="K360" s="242"/>
      <c r="L360" s="242"/>
      <c r="M360" s="13"/>
      <c r="N360" s="13"/>
      <c r="O360" s="13"/>
      <c r="P360" s="341"/>
      <c r="Q360" s="13"/>
      <c r="R360" s="242"/>
      <c r="S360" s="242"/>
      <c r="T360" s="242"/>
      <c r="U360" s="242"/>
      <c r="V360" s="242"/>
      <c r="W360" s="242"/>
      <c r="X360" s="242"/>
    </row>
    <row r="361">
      <c r="A361" s="242"/>
      <c r="B361" s="242"/>
      <c r="C361" s="242"/>
      <c r="D361" s="242"/>
      <c r="E361" s="242"/>
      <c r="F361" s="242"/>
      <c r="G361" s="242"/>
      <c r="H361" s="242"/>
      <c r="I361" s="242"/>
      <c r="J361" s="242"/>
      <c r="K361" s="242"/>
      <c r="L361" s="242"/>
      <c r="M361" s="13"/>
      <c r="N361" s="13"/>
      <c r="O361" s="13"/>
      <c r="P361" s="341"/>
      <c r="Q361" s="13"/>
      <c r="R361" s="242"/>
      <c r="S361" s="242"/>
      <c r="T361" s="242"/>
      <c r="U361" s="242"/>
      <c r="V361" s="242"/>
      <c r="W361" s="242"/>
      <c r="X361" s="242"/>
    </row>
    <row r="362">
      <c r="A362" s="242"/>
      <c r="B362" s="242"/>
      <c r="C362" s="242"/>
      <c r="D362" s="242"/>
      <c r="E362" s="242"/>
      <c r="F362" s="242"/>
      <c r="G362" s="242"/>
      <c r="H362" s="242"/>
      <c r="I362" s="242"/>
      <c r="J362" s="242"/>
      <c r="K362" s="242"/>
      <c r="L362" s="242"/>
      <c r="M362" s="13"/>
      <c r="N362" s="13"/>
      <c r="O362" s="13"/>
      <c r="P362" s="341"/>
      <c r="Q362" s="13"/>
      <c r="R362" s="242"/>
      <c r="S362" s="242"/>
      <c r="T362" s="242"/>
      <c r="U362" s="242"/>
      <c r="V362" s="242"/>
      <c r="W362" s="242"/>
      <c r="X362" s="242"/>
    </row>
    <row r="363">
      <c r="A363" s="242"/>
      <c r="B363" s="242"/>
      <c r="C363" s="242"/>
      <c r="D363" s="242"/>
      <c r="E363" s="242"/>
      <c r="F363" s="242"/>
      <c r="G363" s="242"/>
      <c r="H363" s="242"/>
      <c r="I363" s="242"/>
      <c r="J363" s="242"/>
      <c r="K363" s="242"/>
      <c r="L363" s="242"/>
      <c r="M363" s="13"/>
      <c r="N363" s="13"/>
      <c r="O363" s="13"/>
      <c r="P363" s="341"/>
      <c r="Q363" s="13"/>
      <c r="R363" s="242"/>
      <c r="S363" s="242"/>
      <c r="T363" s="242"/>
      <c r="U363" s="242"/>
      <c r="V363" s="242"/>
      <c r="W363" s="242"/>
      <c r="X363" s="242"/>
    </row>
    <row r="364">
      <c r="A364" s="242"/>
      <c r="B364" s="242"/>
      <c r="C364" s="242"/>
      <c r="D364" s="242"/>
      <c r="E364" s="242"/>
      <c r="F364" s="242"/>
      <c r="G364" s="242"/>
      <c r="H364" s="242"/>
      <c r="I364" s="242"/>
      <c r="J364" s="242"/>
      <c r="K364" s="242"/>
      <c r="L364" s="242"/>
      <c r="M364" s="13"/>
      <c r="N364" s="13"/>
      <c r="O364" s="13"/>
      <c r="P364" s="341"/>
      <c r="Q364" s="13"/>
      <c r="R364" s="242"/>
      <c r="S364" s="242"/>
      <c r="T364" s="242"/>
      <c r="U364" s="242"/>
      <c r="V364" s="242"/>
      <c r="W364" s="242"/>
      <c r="X364" s="242"/>
    </row>
    <row r="365">
      <c r="A365" s="242"/>
      <c r="B365" s="242"/>
      <c r="C365" s="242"/>
      <c r="D365" s="242"/>
      <c r="E365" s="242"/>
      <c r="F365" s="242"/>
      <c r="G365" s="242"/>
      <c r="H365" s="242"/>
      <c r="I365" s="242"/>
      <c r="J365" s="242"/>
      <c r="K365" s="242"/>
      <c r="L365" s="242"/>
      <c r="M365" s="13"/>
      <c r="N365" s="13"/>
      <c r="O365" s="13"/>
      <c r="P365" s="341"/>
      <c r="Q365" s="13"/>
      <c r="R365" s="242"/>
      <c r="S365" s="242"/>
      <c r="T365" s="242"/>
      <c r="U365" s="242"/>
      <c r="V365" s="242"/>
      <c r="W365" s="242"/>
      <c r="X365" s="242"/>
    </row>
    <row r="366">
      <c r="A366" s="242"/>
      <c r="B366" s="242"/>
      <c r="C366" s="242"/>
      <c r="D366" s="242"/>
      <c r="E366" s="242"/>
      <c r="F366" s="242"/>
      <c r="G366" s="242"/>
      <c r="H366" s="242"/>
      <c r="I366" s="242"/>
      <c r="J366" s="242"/>
      <c r="K366" s="242"/>
      <c r="L366" s="242"/>
      <c r="M366" s="13"/>
      <c r="N366" s="13"/>
      <c r="O366" s="13"/>
      <c r="P366" s="341"/>
      <c r="Q366" s="13"/>
      <c r="R366" s="242"/>
      <c r="S366" s="242"/>
      <c r="T366" s="242"/>
      <c r="U366" s="242"/>
      <c r="V366" s="242"/>
      <c r="W366" s="242"/>
      <c r="X366" s="242"/>
    </row>
    <row r="367">
      <c r="A367" s="242"/>
      <c r="B367" s="242"/>
      <c r="C367" s="242"/>
      <c r="D367" s="242"/>
      <c r="E367" s="242"/>
      <c r="F367" s="242"/>
      <c r="G367" s="242"/>
      <c r="H367" s="242"/>
      <c r="I367" s="242"/>
      <c r="J367" s="242"/>
      <c r="K367" s="242"/>
      <c r="L367" s="242"/>
      <c r="M367" s="13"/>
      <c r="N367" s="13"/>
      <c r="O367" s="13"/>
      <c r="P367" s="341"/>
      <c r="Q367" s="13"/>
      <c r="R367" s="242"/>
      <c r="S367" s="242"/>
      <c r="T367" s="242"/>
      <c r="U367" s="242"/>
      <c r="V367" s="242"/>
      <c r="W367" s="242"/>
      <c r="X367" s="242"/>
    </row>
    <row r="368">
      <c r="A368" s="242"/>
      <c r="B368" s="242"/>
      <c r="C368" s="242"/>
      <c r="D368" s="242"/>
      <c r="E368" s="242"/>
      <c r="F368" s="242"/>
      <c r="G368" s="242"/>
      <c r="H368" s="242"/>
      <c r="I368" s="242"/>
      <c r="J368" s="242"/>
      <c r="K368" s="242"/>
      <c r="L368" s="242"/>
      <c r="M368" s="13"/>
      <c r="N368" s="13"/>
      <c r="O368" s="13"/>
      <c r="P368" s="341"/>
      <c r="Q368" s="13"/>
      <c r="R368" s="242"/>
      <c r="S368" s="242"/>
      <c r="T368" s="242"/>
      <c r="U368" s="242"/>
      <c r="V368" s="242"/>
      <c r="W368" s="242"/>
      <c r="X368" s="242"/>
    </row>
    <row r="369">
      <c r="A369" s="242"/>
      <c r="B369" s="242"/>
      <c r="C369" s="242"/>
      <c r="D369" s="242"/>
      <c r="E369" s="242"/>
      <c r="F369" s="242"/>
      <c r="G369" s="242"/>
      <c r="H369" s="242"/>
      <c r="I369" s="242"/>
      <c r="J369" s="242"/>
      <c r="K369" s="242"/>
      <c r="L369" s="242"/>
      <c r="M369" s="13"/>
      <c r="N369" s="13"/>
      <c r="O369" s="13"/>
      <c r="P369" s="341"/>
      <c r="Q369" s="13"/>
      <c r="R369" s="242"/>
      <c r="S369" s="242"/>
      <c r="T369" s="242"/>
      <c r="U369" s="242"/>
      <c r="V369" s="242"/>
      <c r="W369" s="242"/>
      <c r="X369" s="242"/>
    </row>
    <row r="370">
      <c r="A370" s="242"/>
      <c r="B370" s="242"/>
      <c r="C370" s="242"/>
      <c r="D370" s="242"/>
      <c r="E370" s="242"/>
      <c r="F370" s="242"/>
      <c r="G370" s="242"/>
      <c r="H370" s="242"/>
      <c r="I370" s="242"/>
      <c r="J370" s="242"/>
      <c r="K370" s="242"/>
      <c r="L370" s="242"/>
      <c r="M370" s="13"/>
      <c r="N370" s="13"/>
      <c r="O370" s="13"/>
      <c r="P370" s="341"/>
      <c r="Q370" s="13"/>
      <c r="R370" s="242"/>
      <c r="S370" s="242"/>
      <c r="T370" s="242"/>
      <c r="U370" s="242"/>
      <c r="V370" s="242"/>
      <c r="W370" s="242"/>
      <c r="X370" s="242"/>
    </row>
    <row r="371">
      <c r="A371" s="242"/>
      <c r="B371" s="242"/>
      <c r="C371" s="242"/>
      <c r="D371" s="242"/>
      <c r="E371" s="242"/>
      <c r="F371" s="242"/>
      <c r="G371" s="242"/>
      <c r="H371" s="242"/>
      <c r="I371" s="242"/>
      <c r="J371" s="242"/>
      <c r="K371" s="242"/>
      <c r="L371" s="242"/>
      <c r="M371" s="13"/>
      <c r="N371" s="13"/>
      <c r="O371" s="13"/>
      <c r="P371" s="341"/>
      <c r="Q371" s="13"/>
      <c r="R371" s="242"/>
      <c r="S371" s="242"/>
      <c r="T371" s="242"/>
      <c r="U371" s="242"/>
      <c r="V371" s="242"/>
      <c r="W371" s="242"/>
      <c r="X371" s="242"/>
    </row>
    <row r="372">
      <c r="A372" s="242"/>
      <c r="B372" s="242"/>
      <c r="C372" s="242"/>
      <c r="D372" s="242"/>
      <c r="E372" s="242"/>
      <c r="F372" s="242"/>
      <c r="G372" s="242"/>
      <c r="H372" s="242"/>
      <c r="I372" s="242"/>
      <c r="J372" s="242"/>
      <c r="K372" s="242"/>
      <c r="L372" s="242"/>
      <c r="M372" s="13"/>
      <c r="N372" s="13"/>
      <c r="O372" s="13"/>
      <c r="P372" s="341"/>
      <c r="Q372" s="13"/>
      <c r="R372" s="242"/>
      <c r="S372" s="242"/>
      <c r="T372" s="242"/>
      <c r="U372" s="242"/>
      <c r="V372" s="242"/>
      <c r="W372" s="242"/>
      <c r="X372" s="242"/>
    </row>
    <row r="373">
      <c r="A373" s="242"/>
      <c r="B373" s="242"/>
      <c r="C373" s="242"/>
      <c r="D373" s="242"/>
      <c r="E373" s="242"/>
      <c r="F373" s="242"/>
      <c r="G373" s="242"/>
      <c r="H373" s="242"/>
      <c r="I373" s="242"/>
      <c r="J373" s="242"/>
      <c r="K373" s="242"/>
      <c r="L373" s="242"/>
      <c r="M373" s="13"/>
      <c r="N373" s="13"/>
      <c r="O373" s="13"/>
      <c r="P373" s="341"/>
      <c r="Q373" s="13"/>
      <c r="R373" s="242"/>
      <c r="S373" s="242"/>
      <c r="T373" s="242"/>
      <c r="U373" s="242"/>
      <c r="V373" s="242"/>
      <c r="W373" s="242"/>
      <c r="X373" s="242"/>
    </row>
    <row r="374">
      <c r="A374" s="242"/>
      <c r="B374" s="242"/>
      <c r="C374" s="242"/>
      <c r="D374" s="242"/>
      <c r="E374" s="242"/>
      <c r="F374" s="242"/>
      <c r="G374" s="242"/>
      <c r="H374" s="242"/>
      <c r="I374" s="242"/>
      <c r="J374" s="242"/>
      <c r="K374" s="242"/>
      <c r="L374" s="242"/>
      <c r="M374" s="13"/>
      <c r="N374" s="13"/>
      <c r="O374" s="13"/>
      <c r="P374" s="341"/>
      <c r="Q374" s="13"/>
      <c r="R374" s="242"/>
      <c r="S374" s="242"/>
      <c r="T374" s="242"/>
      <c r="U374" s="242"/>
      <c r="V374" s="242"/>
      <c r="W374" s="242"/>
      <c r="X374" s="242"/>
    </row>
    <row r="375">
      <c r="A375" s="242"/>
      <c r="B375" s="242"/>
      <c r="C375" s="242"/>
      <c r="D375" s="242"/>
      <c r="E375" s="242"/>
      <c r="F375" s="242"/>
      <c r="G375" s="242"/>
      <c r="H375" s="242"/>
      <c r="I375" s="242"/>
      <c r="J375" s="242"/>
      <c r="K375" s="242"/>
      <c r="L375" s="242"/>
      <c r="M375" s="13"/>
      <c r="N375" s="13"/>
      <c r="O375" s="13"/>
      <c r="P375" s="341"/>
      <c r="Q375" s="13"/>
      <c r="R375" s="242"/>
      <c r="S375" s="242"/>
      <c r="T375" s="242"/>
      <c r="U375" s="242"/>
      <c r="V375" s="242"/>
      <c r="W375" s="242"/>
      <c r="X375" s="242"/>
    </row>
    <row r="376">
      <c r="A376" s="242"/>
      <c r="B376" s="242"/>
      <c r="C376" s="242"/>
      <c r="D376" s="242"/>
      <c r="E376" s="242"/>
      <c r="F376" s="242"/>
      <c r="G376" s="242"/>
      <c r="H376" s="242"/>
      <c r="I376" s="242"/>
      <c r="J376" s="242"/>
      <c r="K376" s="242"/>
      <c r="L376" s="242"/>
      <c r="M376" s="13"/>
      <c r="N376" s="13"/>
      <c r="O376" s="13"/>
      <c r="P376" s="341"/>
      <c r="Q376" s="13"/>
      <c r="R376" s="242"/>
      <c r="S376" s="242"/>
      <c r="T376" s="242"/>
      <c r="U376" s="242"/>
      <c r="V376" s="242"/>
      <c r="W376" s="242"/>
      <c r="X376" s="242"/>
    </row>
    <row r="377">
      <c r="A377" s="242"/>
      <c r="B377" s="242"/>
      <c r="C377" s="242"/>
      <c r="D377" s="242"/>
      <c r="E377" s="242"/>
      <c r="F377" s="242"/>
      <c r="G377" s="242"/>
      <c r="H377" s="242"/>
      <c r="I377" s="242"/>
      <c r="J377" s="242"/>
      <c r="K377" s="242"/>
      <c r="L377" s="242"/>
      <c r="M377" s="13"/>
      <c r="N377" s="13"/>
      <c r="O377" s="13"/>
      <c r="P377" s="341"/>
      <c r="Q377" s="13"/>
      <c r="R377" s="242"/>
      <c r="S377" s="242"/>
      <c r="T377" s="242"/>
      <c r="U377" s="242"/>
      <c r="V377" s="242"/>
      <c r="W377" s="242"/>
      <c r="X377" s="242"/>
    </row>
    <row r="378">
      <c r="A378" s="242"/>
      <c r="B378" s="242"/>
      <c r="C378" s="242"/>
      <c r="D378" s="242"/>
      <c r="E378" s="242"/>
      <c r="F378" s="242"/>
      <c r="G378" s="242"/>
      <c r="H378" s="242"/>
      <c r="I378" s="242"/>
      <c r="J378" s="242"/>
      <c r="K378" s="242"/>
      <c r="L378" s="242"/>
      <c r="M378" s="13"/>
      <c r="N378" s="13"/>
      <c r="O378" s="13"/>
      <c r="P378" s="341"/>
      <c r="Q378" s="13"/>
      <c r="R378" s="242"/>
      <c r="S378" s="242"/>
      <c r="T378" s="242"/>
      <c r="U378" s="242"/>
      <c r="V378" s="242"/>
      <c r="W378" s="242"/>
      <c r="X378" s="242"/>
    </row>
    <row r="379">
      <c r="A379" s="242"/>
      <c r="B379" s="242"/>
      <c r="C379" s="242"/>
      <c r="D379" s="242"/>
      <c r="E379" s="242"/>
      <c r="F379" s="242"/>
      <c r="G379" s="242"/>
      <c r="H379" s="242"/>
      <c r="I379" s="242"/>
      <c r="J379" s="242"/>
      <c r="K379" s="242"/>
      <c r="L379" s="242"/>
      <c r="M379" s="13"/>
      <c r="N379" s="13"/>
      <c r="O379" s="13"/>
      <c r="P379" s="341"/>
      <c r="Q379" s="13"/>
      <c r="R379" s="242"/>
      <c r="S379" s="242"/>
      <c r="T379" s="242"/>
      <c r="U379" s="242"/>
      <c r="V379" s="242"/>
      <c r="W379" s="242"/>
      <c r="X379" s="242"/>
    </row>
    <row r="380">
      <c r="A380" s="242"/>
      <c r="B380" s="242"/>
      <c r="C380" s="242"/>
      <c r="D380" s="242"/>
      <c r="E380" s="242"/>
      <c r="F380" s="242"/>
      <c r="G380" s="242"/>
      <c r="H380" s="242"/>
      <c r="I380" s="242"/>
      <c r="J380" s="242"/>
      <c r="K380" s="242"/>
      <c r="L380" s="242"/>
      <c r="M380" s="13"/>
      <c r="N380" s="13"/>
      <c r="O380" s="13"/>
      <c r="P380" s="341"/>
      <c r="Q380" s="13"/>
      <c r="R380" s="242"/>
      <c r="S380" s="242"/>
      <c r="T380" s="242"/>
      <c r="U380" s="242"/>
      <c r="V380" s="242"/>
      <c r="W380" s="242"/>
      <c r="X380" s="242"/>
    </row>
    <row r="381">
      <c r="A381" s="242"/>
      <c r="B381" s="242"/>
      <c r="C381" s="242"/>
      <c r="D381" s="242"/>
      <c r="E381" s="242"/>
      <c r="F381" s="242"/>
      <c r="G381" s="242"/>
      <c r="H381" s="242"/>
      <c r="I381" s="242"/>
      <c r="J381" s="242"/>
      <c r="K381" s="242"/>
      <c r="L381" s="242"/>
      <c r="M381" s="13"/>
      <c r="N381" s="13"/>
      <c r="O381" s="13"/>
      <c r="P381" s="341"/>
      <c r="Q381" s="13"/>
      <c r="R381" s="242"/>
      <c r="S381" s="242"/>
      <c r="T381" s="242"/>
      <c r="U381" s="242"/>
      <c r="V381" s="242"/>
      <c r="W381" s="242"/>
      <c r="X381" s="242"/>
    </row>
    <row r="382">
      <c r="A382" s="242"/>
      <c r="B382" s="242"/>
      <c r="C382" s="242"/>
      <c r="D382" s="242"/>
      <c r="E382" s="242"/>
      <c r="F382" s="242"/>
      <c r="G382" s="242"/>
      <c r="H382" s="242"/>
      <c r="I382" s="242"/>
      <c r="J382" s="242"/>
      <c r="K382" s="242"/>
      <c r="L382" s="242"/>
      <c r="M382" s="13"/>
      <c r="N382" s="13"/>
      <c r="O382" s="13"/>
      <c r="P382" s="341"/>
      <c r="Q382" s="13"/>
      <c r="R382" s="242"/>
      <c r="S382" s="242"/>
      <c r="T382" s="242"/>
      <c r="U382" s="242"/>
      <c r="V382" s="242"/>
      <c r="W382" s="242"/>
      <c r="X382" s="242"/>
    </row>
    <row r="383">
      <c r="A383" s="242"/>
      <c r="B383" s="242"/>
      <c r="C383" s="242"/>
      <c r="D383" s="242"/>
      <c r="E383" s="242"/>
      <c r="F383" s="242"/>
      <c r="G383" s="242"/>
      <c r="H383" s="242"/>
      <c r="I383" s="242"/>
      <c r="J383" s="242"/>
      <c r="K383" s="242"/>
      <c r="L383" s="242"/>
      <c r="M383" s="13"/>
      <c r="N383" s="13"/>
      <c r="O383" s="13"/>
      <c r="P383" s="341"/>
      <c r="Q383" s="13"/>
      <c r="R383" s="242"/>
      <c r="S383" s="242"/>
      <c r="T383" s="242"/>
      <c r="U383" s="242"/>
      <c r="V383" s="242"/>
      <c r="W383" s="242"/>
      <c r="X383" s="242"/>
    </row>
    <row r="384">
      <c r="A384" s="242"/>
      <c r="B384" s="242"/>
      <c r="C384" s="242"/>
      <c r="D384" s="242"/>
      <c r="E384" s="242"/>
      <c r="F384" s="242"/>
      <c r="G384" s="242"/>
      <c r="H384" s="242"/>
      <c r="I384" s="242"/>
      <c r="J384" s="242"/>
      <c r="K384" s="242"/>
      <c r="L384" s="242"/>
      <c r="M384" s="13"/>
      <c r="N384" s="13"/>
      <c r="O384" s="13"/>
      <c r="P384" s="341"/>
      <c r="Q384" s="13"/>
      <c r="R384" s="242"/>
      <c r="S384" s="242"/>
      <c r="T384" s="242"/>
      <c r="U384" s="242"/>
      <c r="V384" s="242"/>
      <c r="W384" s="242"/>
      <c r="X384" s="242"/>
    </row>
    <row r="385">
      <c r="A385" s="242"/>
      <c r="B385" s="242"/>
      <c r="C385" s="242"/>
      <c r="D385" s="242"/>
      <c r="E385" s="242"/>
      <c r="F385" s="242"/>
      <c r="G385" s="242"/>
      <c r="H385" s="242"/>
      <c r="I385" s="242"/>
      <c r="J385" s="242"/>
      <c r="K385" s="242"/>
      <c r="L385" s="242"/>
      <c r="M385" s="13"/>
      <c r="N385" s="13"/>
      <c r="O385" s="13"/>
      <c r="P385" s="341"/>
      <c r="Q385" s="13"/>
      <c r="R385" s="242"/>
      <c r="S385" s="242"/>
      <c r="T385" s="242"/>
      <c r="U385" s="242"/>
      <c r="V385" s="242"/>
      <c r="W385" s="242"/>
      <c r="X385" s="242"/>
    </row>
    <row r="386">
      <c r="A386" s="242"/>
      <c r="B386" s="242"/>
      <c r="C386" s="242"/>
      <c r="D386" s="242"/>
      <c r="E386" s="242"/>
      <c r="F386" s="242"/>
      <c r="G386" s="242"/>
      <c r="H386" s="242"/>
      <c r="I386" s="242"/>
      <c r="J386" s="242"/>
      <c r="K386" s="242"/>
      <c r="L386" s="242"/>
      <c r="M386" s="13"/>
      <c r="N386" s="13"/>
      <c r="O386" s="13"/>
      <c r="P386" s="341"/>
      <c r="Q386" s="13"/>
      <c r="R386" s="242"/>
      <c r="S386" s="242"/>
      <c r="T386" s="242"/>
      <c r="U386" s="242"/>
      <c r="V386" s="242"/>
      <c r="W386" s="242"/>
      <c r="X386" s="242"/>
    </row>
    <row r="387">
      <c r="A387" s="242"/>
      <c r="B387" s="242"/>
      <c r="C387" s="242"/>
      <c r="D387" s="242"/>
      <c r="E387" s="242"/>
      <c r="F387" s="242"/>
      <c r="G387" s="242"/>
      <c r="H387" s="242"/>
      <c r="I387" s="242"/>
      <c r="J387" s="242"/>
      <c r="K387" s="242"/>
      <c r="L387" s="242"/>
      <c r="M387" s="13"/>
      <c r="N387" s="13"/>
      <c r="O387" s="13"/>
      <c r="P387" s="341"/>
      <c r="Q387" s="13"/>
      <c r="R387" s="242"/>
      <c r="S387" s="242"/>
      <c r="T387" s="242"/>
      <c r="U387" s="242"/>
      <c r="V387" s="242"/>
      <c r="W387" s="242"/>
      <c r="X387" s="242"/>
    </row>
    <row r="388">
      <c r="A388" s="242"/>
      <c r="B388" s="242"/>
      <c r="C388" s="242"/>
      <c r="D388" s="242"/>
      <c r="E388" s="242"/>
      <c r="F388" s="242"/>
      <c r="G388" s="242"/>
      <c r="H388" s="242"/>
      <c r="I388" s="242"/>
      <c r="J388" s="242"/>
      <c r="K388" s="242"/>
      <c r="L388" s="242"/>
      <c r="M388" s="13"/>
      <c r="N388" s="13"/>
      <c r="O388" s="13"/>
      <c r="P388" s="341"/>
      <c r="Q388" s="13"/>
      <c r="R388" s="242"/>
      <c r="S388" s="242"/>
      <c r="T388" s="242"/>
      <c r="U388" s="242"/>
      <c r="V388" s="242"/>
      <c r="W388" s="242"/>
      <c r="X388" s="242"/>
    </row>
    <row r="389">
      <c r="A389" s="242"/>
      <c r="B389" s="242"/>
      <c r="C389" s="242"/>
      <c r="D389" s="242"/>
      <c r="E389" s="242"/>
      <c r="F389" s="242"/>
      <c r="G389" s="242"/>
      <c r="H389" s="242"/>
      <c r="I389" s="242"/>
      <c r="J389" s="242"/>
      <c r="K389" s="242"/>
      <c r="L389" s="242"/>
      <c r="M389" s="13"/>
      <c r="N389" s="13"/>
      <c r="O389" s="13"/>
      <c r="P389" s="341"/>
      <c r="Q389" s="13"/>
      <c r="R389" s="242"/>
      <c r="S389" s="242"/>
      <c r="T389" s="242"/>
      <c r="U389" s="242"/>
      <c r="V389" s="242"/>
      <c r="W389" s="242"/>
      <c r="X389" s="242"/>
    </row>
    <row r="390">
      <c r="A390" s="242"/>
      <c r="B390" s="242"/>
      <c r="C390" s="242"/>
      <c r="D390" s="242"/>
      <c r="E390" s="242"/>
      <c r="F390" s="242"/>
      <c r="G390" s="242"/>
      <c r="H390" s="242"/>
      <c r="I390" s="242"/>
      <c r="J390" s="242"/>
      <c r="K390" s="242"/>
      <c r="L390" s="242"/>
      <c r="M390" s="13"/>
      <c r="N390" s="13"/>
      <c r="O390" s="13"/>
      <c r="P390" s="341"/>
      <c r="Q390" s="13"/>
      <c r="R390" s="242"/>
      <c r="S390" s="242"/>
      <c r="T390" s="242"/>
      <c r="U390" s="242"/>
      <c r="V390" s="242"/>
      <c r="W390" s="242"/>
      <c r="X390" s="242"/>
    </row>
    <row r="391">
      <c r="A391" s="242"/>
      <c r="B391" s="242"/>
      <c r="C391" s="242"/>
      <c r="D391" s="242"/>
      <c r="E391" s="242"/>
      <c r="F391" s="242"/>
      <c r="G391" s="242"/>
      <c r="H391" s="242"/>
      <c r="I391" s="242"/>
      <c r="J391" s="242"/>
      <c r="K391" s="242"/>
      <c r="L391" s="242"/>
      <c r="M391" s="13"/>
      <c r="N391" s="13"/>
      <c r="O391" s="13"/>
      <c r="P391" s="341"/>
      <c r="Q391" s="13"/>
      <c r="R391" s="242"/>
      <c r="S391" s="242"/>
      <c r="T391" s="242"/>
      <c r="U391" s="242"/>
      <c r="V391" s="242"/>
      <c r="W391" s="242"/>
      <c r="X391" s="242"/>
    </row>
    <row r="392">
      <c r="A392" s="242"/>
      <c r="B392" s="242"/>
      <c r="C392" s="242"/>
      <c r="D392" s="242"/>
      <c r="E392" s="242"/>
      <c r="F392" s="242"/>
      <c r="G392" s="242"/>
      <c r="H392" s="242"/>
      <c r="I392" s="242"/>
      <c r="J392" s="242"/>
      <c r="K392" s="242"/>
      <c r="L392" s="242"/>
      <c r="M392" s="13"/>
      <c r="N392" s="13"/>
      <c r="O392" s="13"/>
      <c r="P392" s="341"/>
      <c r="Q392" s="13"/>
      <c r="R392" s="242"/>
      <c r="S392" s="242"/>
      <c r="T392" s="242"/>
      <c r="U392" s="242"/>
      <c r="V392" s="242"/>
      <c r="W392" s="242"/>
      <c r="X392" s="242"/>
    </row>
    <row r="393">
      <c r="A393" s="242"/>
      <c r="B393" s="242"/>
      <c r="C393" s="242"/>
      <c r="D393" s="242"/>
      <c r="E393" s="242"/>
      <c r="F393" s="242"/>
      <c r="G393" s="242"/>
      <c r="H393" s="242"/>
      <c r="I393" s="242"/>
      <c r="J393" s="242"/>
      <c r="K393" s="242"/>
      <c r="L393" s="242"/>
      <c r="M393" s="13"/>
      <c r="N393" s="13"/>
      <c r="O393" s="13"/>
      <c r="P393" s="341"/>
      <c r="Q393" s="13"/>
      <c r="R393" s="242"/>
      <c r="S393" s="242"/>
      <c r="T393" s="242"/>
      <c r="U393" s="242"/>
      <c r="V393" s="242"/>
      <c r="W393" s="242"/>
      <c r="X393" s="242"/>
    </row>
    <row r="394">
      <c r="A394" s="242"/>
      <c r="B394" s="242"/>
      <c r="C394" s="242"/>
      <c r="D394" s="242"/>
      <c r="E394" s="242"/>
      <c r="F394" s="242"/>
      <c r="G394" s="242"/>
      <c r="H394" s="242"/>
      <c r="I394" s="242"/>
      <c r="J394" s="242"/>
      <c r="K394" s="242"/>
      <c r="L394" s="242"/>
      <c r="M394" s="13"/>
      <c r="N394" s="13"/>
      <c r="O394" s="13"/>
      <c r="P394" s="341"/>
      <c r="Q394" s="13"/>
      <c r="R394" s="242"/>
      <c r="S394" s="242"/>
      <c r="T394" s="242"/>
      <c r="U394" s="242"/>
      <c r="V394" s="242"/>
      <c r="W394" s="242"/>
      <c r="X394" s="242"/>
    </row>
    <row r="395">
      <c r="A395" s="242"/>
      <c r="B395" s="242"/>
      <c r="C395" s="242"/>
      <c r="D395" s="242"/>
      <c r="E395" s="242"/>
      <c r="F395" s="242"/>
      <c r="G395" s="242"/>
      <c r="H395" s="242"/>
      <c r="I395" s="242"/>
      <c r="J395" s="242"/>
      <c r="K395" s="242"/>
      <c r="L395" s="242"/>
      <c r="M395" s="13"/>
      <c r="N395" s="13"/>
      <c r="O395" s="13"/>
      <c r="P395" s="341"/>
      <c r="Q395" s="13"/>
      <c r="R395" s="242"/>
      <c r="S395" s="242"/>
      <c r="T395" s="242"/>
      <c r="U395" s="242"/>
      <c r="V395" s="242"/>
      <c r="W395" s="242"/>
      <c r="X395" s="242"/>
    </row>
    <row r="396">
      <c r="A396" s="242"/>
      <c r="B396" s="242"/>
      <c r="C396" s="242"/>
      <c r="D396" s="242"/>
      <c r="E396" s="242"/>
      <c r="F396" s="242"/>
      <c r="G396" s="242"/>
      <c r="H396" s="242"/>
      <c r="I396" s="242"/>
      <c r="J396" s="242"/>
      <c r="K396" s="242"/>
      <c r="L396" s="242"/>
      <c r="M396" s="13"/>
      <c r="N396" s="13"/>
      <c r="O396" s="13"/>
      <c r="P396" s="341"/>
      <c r="Q396" s="13"/>
      <c r="R396" s="242"/>
      <c r="S396" s="242"/>
      <c r="T396" s="242"/>
      <c r="U396" s="242"/>
      <c r="V396" s="242"/>
      <c r="W396" s="242"/>
      <c r="X396" s="242"/>
    </row>
    <row r="397">
      <c r="A397" s="242"/>
      <c r="B397" s="242"/>
      <c r="C397" s="242"/>
      <c r="D397" s="242"/>
      <c r="E397" s="242"/>
      <c r="F397" s="242"/>
      <c r="G397" s="242"/>
      <c r="H397" s="242"/>
      <c r="I397" s="242"/>
      <c r="J397" s="242"/>
      <c r="K397" s="242"/>
      <c r="L397" s="242"/>
      <c r="M397" s="13"/>
      <c r="N397" s="13"/>
      <c r="O397" s="13"/>
      <c r="P397" s="341"/>
      <c r="Q397" s="13"/>
      <c r="R397" s="242"/>
      <c r="S397" s="242"/>
      <c r="T397" s="242"/>
      <c r="U397" s="242"/>
      <c r="V397" s="242"/>
      <c r="W397" s="242"/>
      <c r="X397" s="242"/>
    </row>
    <row r="398">
      <c r="A398" s="242"/>
      <c r="B398" s="242"/>
      <c r="C398" s="242"/>
      <c r="D398" s="242"/>
      <c r="E398" s="242"/>
      <c r="F398" s="242"/>
      <c r="G398" s="242"/>
      <c r="H398" s="242"/>
      <c r="I398" s="242"/>
      <c r="J398" s="242"/>
      <c r="K398" s="242"/>
      <c r="L398" s="242"/>
      <c r="M398" s="13"/>
      <c r="N398" s="13"/>
      <c r="O398" s="13"/>
      <c r="P398" s="341"/>
      <c r="Q398" s="13"/>
      <c r="R398" s="242"/>
      <c r="S398" s="242"/>
      <c r="T398" s="242"/>
      <c r="U398" s="242"/>
      <c r="V398" s="242"/>
      <c r="W398" s="242"/>
      <c r="X398" s="242"/>
    </row>
    <row r="399">
      <c r="A399" s="242"/>
      <c r="B399" s="242"/>
      <c r="C399" s="242"/>
      <c r="D399" s="242"/>
      <c r="E399" s="242"/>
      <c r="F399" s="242"/>
      <c r="G399" s="242"/>
      <c r="H399" s="242"/>
      <c r="I399" s="242"/>
      <c r="J399" s="242"/>
      <c r="K399" s="242"/>
      <c r="L399" s="242"/>
      <c r="M399" s="13"/>
      <c r="N399" s="13"/>
      <c r="O399" s="13"/>
      <c r="P399" s="341"/>
      <c r="Q399" s="13"/>
      <c r="R399" s="242"/>
      <c r="S399" s="242"/>
      <c r="T399" s="242"/>
      <c r="U399" s="242"/>
      <c r="V399" s="242"/>
      <c r="W399" s="242"/>
      <c r="X399" s="242"/>
    </row>
    <row r="400">
      <c r="A400" s="242"/>
      <c r="B400" s="242"/>
      <c r="C400" s="242"/>
      <c r="D400" s="242"/>
      <c r="E400" s="242"/>
      <c r="F400" s="242"/>
      <c r="G400" s="242"/>
      <c r="H400" s="242"/>
      <c r="I400" s="242"/>
      <c r="J400" s="242"/>
      <c r="K400" s="242"/>
      <c r="L400" s="242"/>
      <c r="M400" s="13"/>
      <c r="N400" s="13"/>
      <c r="O400" s="13"/>
      <c r="P400" s="341"/>
      <c r="Q400" s="13"/>
      <c r="R400" s="242"/>
      <c r="S400" s="242"/>
      <c r="T400" s="242"/>
      <c r="U400" s="242"/>
      <c r="V400" s="242"/>
      <c r="W400" s="242"/>
      <c r="X400" s="242"/>
    </row>
    <row r="401">
      <c r="A401" s="242"/>
      <c r="B401" s="242"/>
      <c r="C401" s="242"/>
      <c r="D401" s="242"/>
      <c r="E401" s="242"/>
      <c r="F401" s="242"/>
      <c r="G401" s="242"/>
      <c r="H401" s="242"/>
      <c r="I401" s="242"/>
      <c r="J401" s="242"/>
      <c r="K401" s="242"/>
      <c r="L401" s="242"/>
      <c r="M401" s="13"/>
      <c r="N401" s="13"/>
      <c r="O401" s="13"/>
      <c r="P401" s="341"/>
      <c r="Q401" s="13"/>
      <c r="R401" s="242"/>
      <c r="S401" s="242"/>
      <c r="T401" s="242"/>
      <c r="U401" s="242"/>
      <c r="V401" s="242"/>
      <c r="W401" s="242"/>
      <c r="X401" s="242"/>
    </row>
    <row r="402">
      <c r="A402" s="242"/>
      <c r="B402" s="242"/>
      <c r="C402" s="242"/>
      <c r="D402" s="242"/>
      <c r="E402" s="242"/>
      <c r="F402" s="242"/>
      <c r="G402" s="242"/>
      <c r="H402" s="242"/>
      <c r="I402" s="242"/>
      <c r="J402" s="242"/>
      <c r="K402" s="242"/>
      <c r="L402" s="242"/>
      <c r="M402" s="13"/>
      <c r="N402" s="13"/>
      <c r="O402" s="13"/>
      <c r="P402" s="341"/>
      <c r="Q402" s="13"/>
      <c r="R402" s="242"/>
      <c r="S402" s="242"/>
      <c r="T402" s="242"/>
      <c r="U402" s="242"/>
      <c r="V402" s="242"/>
      <c r="W402" s="242"/>
      <c r="X402" s="242"/>
    </row>
    <row r="403">
      <c r="A403" s="242"/>
      <c r="B403" s="242"/>
      <c r="C403" s="242"/>
      <c r="D403" s="242"/>
      <c r="E403" s="242"/>
      <c r="F403" s="242"/>
      <c r="G403" s="242"/>
      <c r="H403" s="242"/>
      <c r="I403" s="242"/>
      <c r="J403" s="242"/>
      <c r="K403" s="242"/>
      <c r="L403" s="242"/>
      <c r="M403" s="13"/>
      <c r="N403" s="13"/>
      <c r="O403" s="13"/>
      <c r="P403" s="341"/>
      <c r="Q403" s="13"/>
      <c r="R403" s="242"/>
      <c r="S403" s="242"/>
      <c r="T403" s="242"/>
      <c r="U403" s="242"/>
      <c r="V403" s="242"/>
      <c r="W403" s="242"/>
      <c r="X403" s="242"/>
    </row>
    <row r="404">
      <c r="A404" s="242"/>
      <c r="B404" s="242"/>
      <c r="C404" s="242"/>
      <c r="D404" s="242"/>
      <c r="E404" s="242"/>
      <c r="F404" s="242"/>
      <c r="G404" s="242"/>
      <c r="H404" s="242"/>
      <c r="I404" s="242"/>
      <c r="J404" s="242"/>
      <c r="K404" s="242"/>
      <c r="L404" s="242"/>
      <c r="M404" s="13"/>
      <c r="N404" s="13"/>
      <c r="O404" s="13"/>
      <c r="P404" s="341"/>
      <c r="Q404" s="13"/>
      <c r="R404" s="242"/>
      <c r="S404" s="242"/>
      <c r="T404" s="242"/>
      <c r="U404" s="242"/>
      <c r="V404" s="242"/>
      <c r="W404" s="242"/>
      <c r="X404" s="242"/>
    </row>
    <row r="405">
      <c r="A405" s="242"/>
      <c r="B405" s="242"/>
      <c r="C405" s="242"/>
      <c r="D405" s="242"/>
      <c r="E405" s="242"/>
      <c r="F405" s="242"/>
      <c r="G405" s="242"/>
      <c r="H405" s="242"/>
      <c r="I405" s="242"/>
      <c r="J405" s="242"/>
      <c r="K405" s="242"/>
      <c r="L405" s="242"/>
      <c r="M405" s="13"/>
      <c r="N405" s="13"/>
      <c r="O405" s="13"/>
      <c r="P405" s="341"/>
      <c r="Q405" s="13"/>
      <c r="R405" s="242"/>
      <c r="S405" s="242"/>
      <c r="T405" s="242"/>
      <c r="U405" s="242"/>
      <c r="V405" s="242"/>
      <c r="W405" s="242"/>
      <c r="X405" s="242"/>
    </row>
    <row r="406">
      <c r="A406" s="242"/>
      <c r="B406" s="242"/>
      <c r="C406" s="242"/>
      <c r="D406" s="242"/>
      <c r="E406" s="242"/>
      <c r="F406" s="242"/>
      <c r="G406" s="242"/>
      <c r="H406" s="242"/>
      <c r="I406" s="242"/>
      <c r="J406" s="242"/>
      <c r="K406" s="242"/>
      <c r="L406" s="242"/>
      <c r="M406" s="13"/>
      <c r="N406" s="13"/>
      <c r="O406" s="13"/>
      <c r="P406" s="341"/>
      <c r="Q406" s="13"/>
      <c r="R406" s="242"/>
      <c r="S406" s="242"/>
      <c r="T406" s="242"/>
      <c r="U406" s="242"/>
      <c r="V406" s="242"/>
      <c r="W406" s="242"/>
      <c r="X406" s="242"/>
    </row>
    <row r="407">
      <c r="A407" s="242"/>
      <c r="B407" s="242"/>
      <c r="C407" s="242"/>
      <c r="D407" s="242"/>
      <c r="E407" s="242"/>
      <c r="F407" s="242"/>
      <c r="G407" s="242"/>
      <c r="H407" s="242"/>
      <c r="I407" s="242"/>
      <c r="J407" s="242"/>
      <c r="K407" s="242"/>
      <c r="L407" s="242"/>
      <c r="M407" s="13"/>
      <c r="N407" s="13"/>
      <c r="O407" s="13"/>
      <c r="P407" s="341"/>
      <c r="Q407" s="13"/>
      <c r="R407" s="242"/>
      <c r="S407" s="242"/>
      <c r="T407" s="242"/>
      <c r="U407" s="242"/>
      <c r="V407" s="242"/>
      <c r="W407" s="242"/>
      <c r="X407" s="242"/>
    </row>
    <row r="408">
      <c r="A408" s="242"/>
      <c r="B408" s="242"/>
      <c r="C408" s="242"/>
      <c r="D408" s="242"/>
      <c r="E408" s="242"/>
      <c r="F408" s="242"/>
      <c r="G408" s="242"/>
      <c r="H408" s="242"/>
      <c r="I408" s="242"/>
      <c r="J408" s="242"/>
      <c r="K408" s="242"/>
      <c r="L408" s="242"/>
      <c r="M408" s="13"/>
      <c r="N408" s="13"/>
      <c r="O408" s="13"/>
      <c r="P408" s="341"/>
      <c r="Q408" s="13"/>
      <c r="R408" s="242"/>
      <c r="S408" s="242"/>
      <c r="T408" s="242"/>
      <c r="U408" s="242"/>
      <c r="V408" s="242"/>
      <c r="W408" s="242"/>
      <c r="X408" s="242"/>
    </row>
    <row r="409">
      <c r="A409" s="242"/>
      <c r="B409" s="242"/>
      <c r="C409" s="242"/>
      <c r="D409" s="242"/>
      <c r="E409" s="242"/>
      <c r="F409" s="242"/>
      <c r="G409" s="242"/>
      <c r="H409" s="242"/>
      <c r="I409" s="242"/>
      <c r="J409" s="242"/>
      <c r="K409" s="242"/>
      <c r="L409" s="242"/>
      <c r="M409" s="13"/>
      <c r="N409" s="13"/>
      <c r="O409" s="13"/>
      <c r="P409" s="341"/>
      <c r="Q409" s="13"/>
      <c r="R409" s="242"/>
      <c r="S409" s="242"/>
      <c r="T409" s="242"/>
      <c r="U409" s="242"/>
      <c r="V409" s="242"/>
      <c r="W409" s="242"/>
      <c r="X409" s="242"/>
    </row>
    <row r="410">
      <c r="A410" s="242"/>
      <c r="B410" s="242"/>
      <c r="C410" s="242"/>
      <c r="D410" s="242"/>
      <c r="E410" s="242"/>
      <c r="F410" s="242"/>
      <c r="G410" s="242"/>
      <c r="H410" s="242"/>
      <c r="I410" s="242"/>
      <c r="J410" s="242"/>
      <c r="K410" s="242"/>
      <c r="L410" s="242"/>
      <c r="M410" s="13"/>
      <c r="N410" s="13"/>
      <c r="O410" s="13"/>
      <c r="P410" s="341"/>
      <c r="Q410" s="13"/>
      <c r="R410" s="242"/>
      <c r="S410" s="242"/>
      <c r="T410" s="242"/>
      <c r="U410" s="242"/>
      <c r="V410" s="242"/>
      <c r="W410" s="242"/>
      <c r="X410" s="242"/>
    </row>
    <row r="411">
      <c r="A411" s="242"/>
      <c r="B411" s="242"/>
      <c r="C411" s="242"/>
      <c r="D411" s="242"/>
      <c r="E411" s="242"/>
      <c r="F411" s="242"/>
      <c r="G411" s="242"/>
      <c r="H411" s="242"/>
      <c r="I411" s="242"/>
      <c r="J411" s="242"/>
      <c r="K411" s="242"/>
      <c r="L411" s="242"/>
      <c r="M411" s="13"/>
      <c r="N411" s="13"/>
      <c r="O411" s="13"/>
      <c r="P411" s="341"/>
      <c r="Q411" s="13"/>
      <c r="R411" s="242"/>
      <c r="S411" s="242"/>
      <c r="T411" s="242"/>
      <c r="U411" s="242"/>
      <c r="V411" s="242"/>
      <c r="W411" s="242"/>
      <c r="X411" s="242"/>
    </row>
    <row r="412">
      <c r="A412" s="242"/>
      <c r="B412" s="242"/>
      <c r="C412" s="242"/>
      <c r="D412" s="242"/>
      <c r="E412" s="242"/>
      <c r="F412" s="242"/>
      <c r="G412" s="242"/>
      <c r="H412" s="242"/>
      <c r="I412" s="242"/>
      <c r="J412" s="242"/>
      <c r="K412" s="242"/>
      <c r="L412" s="242"/>
      <c r="M412" s="13"/>
      <c r="N412" s="13"/>
      <c r="O412" s="13"/>
      <c r="P412" s="341"/>
      <c r="Q412" s="13"/>
      <c r="R412" s="242"/>
      <c r="S412" s="242"/>
      <c r="T412" s="242"/>
      <c r="U412" s="242"/>
      <c r="V412" s="242"/>
      <c r="W412" s="242"/>
      <c r="X412" s="242"/>
    </row>
    <row r="413">
      <c r="A413" s="242"/>
      <c r="B413" s="242"/>
      <c r="C413" s="242"/>
      <c r="D413" s="242"/>
      <c r="E413" s="242"/>
      <c r="F413" s="242"/>
      <c r="G413" s="242"/>
      <c r="H413" s="242"/>
      <c r="I413" s="242"/>
      <c r="J413" s="242"/>
      <c r="K413" s="242"/>
      <c r="L413" s="242"/>
      <c r="M413" s="13"/>
      <c r="N413" s="13"/>
      <c r="O413" s="13"/>
      <c r="P413" s="341"/>
      <c r="Q413" s="13"/>
      <c r="R413" s="242"/>
      <c r="S413" s="242"/>
      <c r="T413" s="242"/>
      <c r="U413" s="242"/>
      <c r="V413" s="242"/>
      <c r="W413" s="242"/>
      <c r="X413" s="242"/>
    </row>
    <row r="414">
      <c r="A414" s="242"/>
      <c r="B414" s="242"/>
      <c r="C414" s="242"/>
      <c r="D414" s="242"/>
      <c r="E414" s="242"/>
      <c r="F414" s="242"/>
      <c r="G414" s="242"/>
      <c r="H414" s="242"/>
      <c r="I414" s="242"/>
      <c r="J414" s="242"/>
      <c r="K414" s="242"/>
      <c r="L414" s="242"/>
      <c r="M414" s="13"/>
      <c r="N414" s="13"/>
      <c r="O414" s="13"/>
      <c r="P414" s="341"/>
      <c r="Q414" s="13"/>
      <c r="R414" s="242"/>
      <c r="S414" s="242"/>
      <c r="T414" s="242"/>
      <c r="U414" s="242"/>
      <c r="V414" s="242"/>
      <c r="W414" s="242"/>
      <c r="X414" s="242"/>
    </row>
    <row r="415">
      <c r="A415" s="242"/>
      <c r="B415" s="242"/>
      <c r="C415" s="242"/>
      <c r="D415" s="242"/>
      <c r="E415" s="242"/>
      <c r="F415" s="242"/>
      <c r="G415" s="242"/>
      <c r="H415" s="242"/>
      <c r="I415" s="242"/>
      <c r="J415" s="242"/>
      <c r="K415" s="242"/>
      <c r="L415" s="242"/>
      <c r="M415" s="13"/>
      <c r="N415" s="13"/>
      <c r="O415" s="13"/>
      <c r="P415" s="341"/>
      <c r="Q415" s="13"/>
      <c r="R415" s="242"/>
      <c r="S415" s="242"/>
      <c r="T415" s="242"/>
      <c r="U415" s="242"/>
      <c r="V415" s="242"/>
      <c r="W415" s="242"/>
      <c r="X415" s="242"/>
    </row>
    <row r="416">
      <c r="A416" s="242"/>
      <c r="B416" s="242"/>
      <c r="C416" s="242"/>
      <c r="D416" s="242"/>
      <c r="E416" s="242"/>
      <c r="F416" s="242"/>
      <c r="G416" s="242"/>
      <c r="H416" s="242"/>
      <c r="I416" s="242"/>
      <c r="J416" s="242"/>
      <c r="K416" s="242"/>
      <c r="L416" s="242"/>
      <c r="M416" s="13"/>
      <c r="N416" s="13"/>
      <c r="O416" s="13"/>
      <c r="P416" s="341"/>
      <c r="Q416" s="13"/>
      <c r="R416" s="242"/>
      <c r="S416" s="242"/>
      <c r="T416" s="242"/>
      <c r="U416" s="242"/>
      <c r="V416" s="242"/>
      <c r="W416" s="242"/>
      <c r="X416" s="242"/>
    </row>
    <row r="417">
      <c r="A417" s="242"/>
      <c r="B417" s="242"/>
      <c r="C417" s="242"/>
      <c r="D417" s="242"/>
      <c r="E417" s="242"/>
      <c r="F417" s="242"/>
      <c r="G417" s="242"/>
      <c r="H417" s="242"/>
      <c r="I417" s="242"/>
      <c r="J417" s="242"/>
      <c r="K417" s="242"/>
      <c r="L417" s="242"/>
      <c r="M417" s="13"/>
      <c r="N417" s="13"/>
      <c r="O417" s="13"/>
      <c r="P417" s="341"/>
      <c r="Q417" s="13"/>
      <c r="R417" s="242"/>
      <c r="S417" s="242"/>
      <c r="T417" s="242"/>
      <c r="U417" s="242"/>
      <c r="V417" s="242"/>
      <c r="W417" s="242"/>
      <c r="X417" s="242"/>
    </row>
    <row r="418">
      <c r="A418" s="242"/>
      <c r="B418" s="242"/>
      <c r="C418" s="242"/>
      <c r="D418" s="242"/>
      <c r="E418" s="242"/>
      <c r="F418" s="242"/>
      <c r="G418" s="242"/>
      <c r="H418" s="242"/>
      <c r="I418" s="242"/>
      <c r="J418" s="242"/>
      <c r="K418" s="242"/>
      <c r="L418" s="242"/>
      <c r="M418" s="13"/>
      <c r="N418" s="13"/>
      <c r="O418" s="13"/>
      <c r="P418" s="341"/>
      <c r="Q418" s="13"/>
      <c r="R418" s="242"/>
      <c r="S418" s="242"/>
      <c r="T418" s="242"/>
      <c r="U418" s="242"/>
      <c r="V418" s="242"/>
      <c r="W418" s="242"/>
      <c r="X418" s="242"/>
    </row>
    <row r="419">
      <c r="A419" s="242"/>
      <c r="B419" s="242"/>
      <c r="C419" s="242"/>
      <c r="D419" s="242"/>
      <c r="E419" s="242"/>
      <c r="F419" s="242"/>
      <c r="G419" s="242"/>
      <c r="H419" s="242"/>
      <c r="I419" s="242"/>
      <c r="J419" s="242"/>
      <c r="K419" s="242"/>
      <c r="L419" s="242"/>
      <c r="M419" s="13"/>
      <c r="N419" s="13"/>
      <c r="O419" s="13"/>
      <c r="P419" s="341"/>
      <c r="Q419" s="13"/>
      <c r="R419" s="242"/>
      <c r="S419" s="242"/>
      <c r="T419" s="242"/>
      <c r="U419" s="242"/>
      <c r="V419" s="242"/>
      <c r="W419" s="242"/>
      <c r="X419" s="242"/>
    </row>
    <row r="420">
      <c r="A420" s="242"/>
      <c r="B420" s="242"/>
      <c r="C420" s="242"/>
      <c r="D420" s="242"/>
      <c r="E420" s="242"/>
      <c r="F420" s="242"/>
      <c r="G420" s="242"/>
      <c r="H420" s="242"/>
      <c r="I420" s="242"/>
      <c r="J420" s="242"/>
      <c r="K420" s="242"/>
      <c r="L420" s="242"/>
      <c r="M420" s="13"/>
      <c r="N420" s="13"/>
      <c r="O420" s="13"/>
      <c r="P420" s="341"/>
      <c r="Q420" s="13"/>
      <c r="R420" s="242"/>
      <c r="S420" s="242"/>
      <c r="T420" s="242"/>
      <c r="U420" s="242"/>
      <c r="V420" s="242"/>
      <c r="W420" s="242"/>
      <c r="X420" s="242"/>
    </row>
    <row r="421">
      <c r="A421" s="242"/>
      <c r="B421" s="242"/>
      <c r="C421" s="242"/>
      <c r="D421" s="242"/>
      <c r="E421" s="242"/>
      <c r="F421" s="242"/>
      <c r="G421" s="242"/>
      <c r="H421" s="242"/>
      <c r="I421" s="242"/>
      <c r="J421" s="242"/>
      <c r="K421" s="242"/>
      <c r="L421" s="242"/>
      <c r="M421" s="13"/>
      <c r="N421" s="13"/>
      <c r="O421" s="13"/>
      <c r="P421" s="341"/>
      <c r="Q421" s="13"/>
      <c r="R421" s="242"/>
      <c r="S421" s="242"/>
      <c r="T421" s="242"/>
      <c r="U421" s="242"/>
      <c r="V421" s="242"/>
      <c r="W421" s="242"/>
      <c r="X421" s="242"/>
    </row>
    <row r="422">
      <c r="A422" s="242"/>
      <c r="B422" s="242"/>
      <c r="C422" s="242"/>
      <c r="D422" s="242"/>
      <c r="E422" s="242"/>
      <c r="F422" s="242"/>
      <c r="G422" s="242"/>
      <c r="H422" s="242"/>
      <c r="I422" s="242"/>
      <c r="J422" s="242"/>
      <c r="K422" s="242"/>
      <c r="L422" s="242"/>
      <c r="M422" s="13"/>
      <c r="N422" s="13"/>
      <c r="O422" s="13"/>
      <c r="P422" s="341"/>
      <c r="Q422" s="13"/>
      <c r="R422" s="242"/>
      <c r="S422" s="242"/>
      <c r="T422" s="242"/>
      <c r="U422" s="242"/>
      <c r="V422" s="242"/>
      <c r="W422" s="242"/>
      <c r="X422" s="242"/>
    </row>
    <row r="423">
      <c r="A423" s="242"/>
      <c r="B423" s="242"/>
      <c r="C423" s="242"/>
      <c r="D423" s="242"/>
      <c r="E423" s="242"/>
      <c r="F423" s="242"/>
      <c r="G423" s="242"/>
      <c r="H423" s="242"/>
      <c r="I423" s="242"/>
      <c r="J423" s="242"/>
      <c r="K423" s="242"/>
      <c r="L423" s="242"/>
      <c r="M423" s="13"/>
      <c r="N423" s="13"/>
      <c r="O423" s="13"/>
      <c r="P423" s="341"/>
      <c r="Q423" s="13"/>
      <c r="R423" s="242"/>
      <c r="S423" s="242"/>
      <c r="T423" s="242"/>
      <c r="U423" s="242"/>
      <c r="V423" s="242"/>
      <c r="W423" s="242"/>
      <c r="X423" s="242"/>
    </row>
    <row r="424">
      <c r="A424" s="242"/>
      <c r="B424" s="242"/>
      <c r="C424" s="242"/>
      <c r="D424" s="242"/>
      <c r="E424" s="242"/>
      <c r="F424" s="242"/>
      <c r="G424" s="242"/>
      <c r="H424" s="242"/>
      <c r="I424" s="242"/>
      <c r="J424" s="242"/>
      <c r="K424" s="242"/>
      <c r="L424" s="242"/>
      <c r="M424" s="13"/>
      <c r="N424" s="13"/>
      <c r="O424" s="13"/>
      <c r="P424" s="341"/>
      <c r="Q424" s="13"/>
      <c r="R424" s="242"/>
      <c r="S424" s="242"/>
      <c r="T424" s="242"/>
      <c r="U424" s="242"/>
      <c r="V424" s="242"/>
      <c r="W424" s="242"/>
      <c r="X424" s="242"/>
    </row>
    <row r="425">
      <c r="A425" s="242"/>
      <c r="B425" s="242"/>
      <c r="C425" s="242"/>
      <c r="D425" s="242"/>
      <c r="E425" s="242"/>
      <c r="F425" s="242"/>
      <c r="G425" s="242"/>
      <c r="H425" s="242"/>
      <c r="I425" s="242"/>
      <c r="J425" s="242"/>
      <c r="K425" s="242"/>
      <c r="L425" s="242"/>
      <c r="M425" s="13"/>
      <c r="N425" s="13"/>
      <c r="O425" s="13"/>
      <c r="P425" s="341"/>
      <c r="Q425" s="13"/>
      <c r="R425" s="242"/>
      <c r="S425" s="242"/>
      <c r="T425" s="242"/>
      <c r="U425" s="242"/>
      <c r="V425" s="242"/>
      <c r="W425" s="242"/>
      <c r="X425" s="242"/>
    </row>
    <row r="426">
      <c r="A426" s="242"/>
      <c r="B426" s="242"/>
      <c r="C426" s="242"/>
      <c r="D426" s="242"/>
      <c r="E426" s="242"/>
      <c r="F426" s="242"/>
      <c r="G426" s="242"/>
      <c r="H426" s="242"/>
      <c r="I426" s="242"/>
      <c r="J426" s="242"/>
      <c r="K426" s="242"/>
      <c r="L426" s="242"/>
      <c r="M426" s="13"/>
      <c r="N426" s="13"/>
      <c r="O426" s="13"/>
      <c r="P426" s="341"/>
      <c r="Q426" s="13"/>
      <c r="R426" s="242"/>
      <c r="S426" s="242"/>
      <c r="T426" s="242"/>
      <c r="U426" s="242"/>
      <c r="V426" s="242"/>
      <c r="W426" s="242"/>
      <c r="X426" s="242"/>
    </row>
    <row r="427">
      <c r="A427" s="242"/>
      <c r="B427" s="242"/>
      <c r="C427" s="242"/>
      <c r="D427" s="242"/>
      <c r="E427" s="242"/>
      <c r="F427" s="242"/>
      <c r="G427" s="242"/>
      <c r="H427" s="242"/>
      <c r="I427" s="242"/>
      <c r="J427" s="242"/>
      <c r="K427" s="242"/>
      <c r="L427" s="242"/>
      <c r="M427" s="13"/>
      <c r="N427" s="13"/>
      <c r="O427" s="13"/>
      <c r="P427" s="341"/>
      <c r="Q427" s="13"/>
      <c r="R427" s="242"/>
      <c r="S427" s="242"/>
      <c r="T427" s="242"/>
      <c r="U427" s="242"/>
      <c r="V427" s="242"/>
      <c r="W427" s="242"/>
      <c r="X427" s="242"/>
    </row>
    <row r="428">
      <c r="A428" s="242"/>
      <c r="B428" s="242"/>
      <c r="C428" s="242"/>
      <c r="D428" s="242"/>
      <c r="E428" s="242"/>
      <c r="F428" s="242"/>
      <c r="G428" s="242"/>
      <c r="H428" s="242"/>
      <c r="I428" s="242"/>
      <c r="J428" s="242"/>
      <c r="K428" s="242"/>
      <c r="L428" s="242"/>
      <c r="M428" s="13"/>
      <c r="N428" s="13"/>
      <c r="O428" s="13"/>
      <c r="P428" s="341"/>
      <c r="Q428" s="13"/>
      <c r="R428" s="242"/>
      <c r="S428" s="242"/>
      <c r="T428" s="242"/>
      <c r="U428" s="242"/>
      <c r="V428" s="242"/>
      <c r="W428" s="242"/>
      <c r="X428" s="242"/>
    </row>
    <row r="429">
      <c r="A429" s="242"/>
      <c r="B429" s="242"/>
      <c r="C429" s="242"/>
      <c r="D429" s="242"/>
      <c r="E429" s="242"/>
      <c r="F429" s="242"/>
      <c r="G429" s="242"/>
      <c r="H429" s="242"/>
      <c r="I429" s="242"/>
      <c r="J429" s="242"/>
      <c r="K429" s="242"/>
      <c r="L429" s="242"/>
      <c r="M429" s="13"/>
      <c r="N429" s="13"/>
      <c r="O429" s="13"/>
      <c r="P429" s="341"/>
      <c r="Q429" s="13"/>
      <c r="R429" s="242"/>
      <c r="S429" s="242"/>
      <c r="T429" s="242"/>
      <c r="U429" s="242"/>
      <c r="V429" s="242"/>
      <c r="W429" s="242"/>
      <c r="X429" s="242"/>
    </row>
    <row r="430">
      <c r="A430" s="242"/>
      <c r="B430" s="242"/>
      <c r="C430" s="242"/>
      <c r="D430" s="242"/>
      <c r="E430" s="242"/>
      <c r="F430" s="242"/>
      <c r="G430" s="242"/>
      <c r="H430" s="242"/>
      <c r="I430" s="242"/>
      <c r="J430" s="242"/>
      <c r="K430" s="242"/>
      <c r="L430" s="242"/>
      <c r="M430" s="13"/>
      <c r="N430" s="13"/>
      <c r="O430" s="13"/>
      <c r="P430" s="341"/>
      <c r="Q430" s="13"/>
      <c r="R430" s="242"/>
      <c r="S430" s="242"/>
      <c r="T430" s="242"/>
      <c r="U430" s="242"/>
      <c r="V430" s="242"/>
      <c r="W430" s="242"/>
      <c r="X430" s="242"/>
    </row>
    <row r="431">
      <c r="A431" s="242"/>
      <c r="B431" s="242"/>
      <c r="C431" s="242"/>
      <c r="D431" s="242"/>
      <c r="E431" s="242"/>
      <c r="F431" s="242"/>
      <c r="G431" s="242"/>
      <c r="H431" s="242"/>
      <c r="I431" s="242"/>
      <c r="J431" s="242"/>
      <c r="K431" s="242"/>
      <c r="L431" s="242"/>
      <c r="M431" s="13"/>
      <c r="N431" s="13"/>
      <c r="O431" s="13"/>
      <c r="P431" s="341"/>
      <c r="Q431" s="13"/>
      <c r="R431" s="242"/>
      <c r="S431" s="242"/>
      <c r="T431" s="242"/>
      <c r="U431" s="242"/>
      <c r="V431" s="242"/>
      <c r="W431" s="242"/>
      <c r="X431" s="242"/>
    </row>
    <row r="432">
      <c r="A432" s="242"/>
      <c r="B432" s="242"/>
      <c r="C432" s="242"/>
      <c r="D432" s="242"/>
      <c r="E432" s="242"/>
      <c r="F432" s="242"/>
      <c r="G432" s="242"/>
      <c r="H432" s="242"/>
      <c r="I432" s="242"/>
      <c r="J432" s="242"/>
      <c r="K432" s="242"/>
      <c r="L432" s="242"/>
      <c r="M432" s="13"/>
      <c r="N432" s="13"/>
      <c r="O432" s="13"/>
      <c r="P432" s="341"/>
      <c r="Q432" s="13"/>
      <c r="R432" s="242"/>
      <c r="S432" s="242"/>
      <c r="T432" s="242"/>
      <c r="U432" s="242"/>
      <c r="V432" s="242"/>
      <c r="W432" s="242"/>
      <c r="X432" s="242"/>
    </row>
    <row r="433">
      <c r="A433" s="242"/>
      <c r="B433" s="242"/>
      <c r="C433" s="242"/>
      <c r="D433" s="242"/>
      <c r="E433" s="242"/>
      <c r="F433" s="242"/>
      <c r="G433" s="242"/>
      <c r="H433" s="242"/>
      <c r="I433" s="242"/>
      <c r="J433" s="242"/>
      <c r="K433" s="242"/>
      <c r="L433" s="242"/>
      <c r="M433" s="13"/>
      <c r="N433" s="13"/>
      <c r="O433" s="13"/>
      <c r="P433" s="341"/>
      <c r="Q433" s="13"/>
      <c r="R433" s="242"/>
      <c r="S433" s="242"/>
      <c r="T433" s="242"/>
      <c r="U433" s="242"/>
      <c r="V433" s="242"/>
      <c r="W433" s="242"/>
      <c r="X433" s="242"/>
    </row>
    <row r="434">
      <c r="A434" s="242"/>
      <c r="B434" s="242"/>
      <c r="C434" s="242"/>
      <c r="D434" s="242"/>
      <c r="E434" s="242"/>
      <c r="F434" s="242"/>
      <c r="G434" s="242"/>
      <c r="H434" s="242"/>
      <c r="I434" s="242"/>
      <c r="J434" s="242"/>
      <c r="K434" s="242"/>
      <c r="L434" s="242"/>
      <c r="M434" s="13"/>
      <c r="N434" s="13"/>
      <c r="O434" s="13"/>
      <c r="P434" s="341"/>
      <c r="Q434" s="13"/>
      <c r="R434" s="242"/>
      <c r="S434" s="242"/>
      <c r="T434" s="242"/>
      <c r="U434" s="242"/>
      <c r="V434" s="242"/>
      <c r="W434" s="242"/>
      <c r="X434" s="242"/>
    </row>
    <row r="435">
      <c r="A435" s="242"/>
      <c r="B435" s="242"/>
      <c r="C435" s="242"/>
      <c r="D435" s="242"/>
      <c r="E435" s="242"/>
      <c r="F435" s="242"/>
      <c r="G435" s="242"/>
      <c r="H435" s="242"/>
      <c r="I435" s="242"/>
      <c r="J435" s="242"/>
      <c r="K435" s="242"/>
      <c r="L435" s="242"/>
      <c r="M435" s="13"/>
      <c r="N435" s="13"/>
      <c r="O435" s="13"/>
      <c r="P435" s="341"/>
      <c r="Q435" s="13"/>
      <c r="R435" s="242"/>
      <c r="S435" s="242"/>
      <c r="T435" s="242"/>
      <c r="U435" s="242"/>
      <c r="V435" s="242"/>
      <c r="W435" s="242"/>
      <c r="X435" s="242"/>
    </row>
    <row r="436">
      <c r="A436" s="242"/>
      <c r="B436" s="242"/>
      <c r="C436" s="242"/>
      <c r="D436" s="242"/>
      <c r="E436" s="242"/>
      <c r="F436" s="242"/>
      <c r="G436" s="242"/>
      <c r="H436" s="242"/>
      <c r="I436" s="242"/>
      <c r="J436" s="242"/>
      <c r="K436" s="242"/>
      <c r="L436" s="242"/>
      <c r="M436" s="13"/>
      <c r="N436" s="13"/>
      <c r="O436" s="13"/>
      <c r="P436" s="341"/>
      <c r="Q436" s="13"/>
      <c r="R436" s="242"/>
      <c r="S436" s="242"/>
      <c r="T436" s="242"/>
      <c r="U436" s="242"/>
      <c r="V436" s="242"/>
      <c r="W436" s="242"/>
      <c r="X436" s="242"/>
    </row>
    <row r="437">
      <c r="A437" s="242"/>
      <c r="B437" s="242"/>
      <c r="C437" s="242"/>
      <c r="D437" s="242"/>
      <c r="E437" s="242"/>
      <c r="F437" s="242"/>
      <c r="G437" s="242"/>
      <c r="H437" s="242"/>
      <c r="I437" s="242"/>
      <c r="J437" s="242"/>
      <c r="K437" s="242"/>
      <c r="L437" s="242"/>
      <c r="M437" s="13"/>
      <c r="N437" s="13"/>
      <c r="O437" s="13"/>
      <c r="P437" s="341"/>
      <c r="Q437" s="13"/>
      <c r="R437" s="242"/>
      <c r="S437" s="242"/>
      <c r="T437" s="242"/>
      <c r="U437" s="242"/>
      <c r="V437" s="242"/>
      <c r="W437" s="242"/>
      <c r="X437" s="242"/>
    </row>
    <row r="438">
      <c r="A438" s="242"/>
      <c r="B438" s="242"/>
      <c r="C438" s="242"/>
      <c r="D438" s="242"/>
      <c r="E438" s="242"/>
      <c r="F438" s="242"/>
      <c r="G438" s="242"/>
      <c r="H438" s="242"/>
      <c r="I438" s="242"/>
      <c r="J438" s="242"/>
      <c r="K438" s="242"/>
      <c r="L438" s="242"/>
      <c r="M438" s="13"/>
      <c r="N438" s="13"/>
      <c r="O438" s="13"/>
      <c r="P438" s="341"/>
      <c r="Q438" s="13"/>
      <c r="R438" s="242"/>
      <c r="S438" s="242"/>
      <c r="T438" s="242"/>
      <c r="U438" s="242"/>
      <c r="V438" s="242"/>
      <c r="W438" s="242"/>
      <c r="X438" s="242"/>
    </row>
    <row r="439">
      <c r="A439" s="242"/>
      <c r="B439" s="242"/>
      <c r="C439" s="242"/>
      <c r="D439" s="242"/>
      <c r="E439" s="242"/>
      <c r="F439" s="242"/>
      <c r="G439" s="242"/>
      <c r="H439" s="242"/>
      <c r="I439" s="242"/>
      <c r="J439" s="242"/>
      <c r="K439" s="242"/>
      <c r="L439" s="242"/>
      <c r="M439" s="13"/>
      <c r="N439" s="13"/>
      <c r="O439" s="13"/>
      <c r="P439" s="341"/>
      <c r="Q439" s="13"/>
      <c r="R439" s="242"/>
      <c r="S439" s="242"/>
      <c r="T439" s="242"/>
      <c r="U439" s="242"/>
      <c r="V439" s="242"/>
      <c r="W439" s="242"/>
      <c r="X439" s="242"/>
    </row>
    <row r="440">
      <c r="A440" s="242"/>
      <c r="B440" s="242"/>
      <c r="C440" s="242"/>
      <c r="D440" s="242"/>
      <c r="E440" s="242"/>
      <c r="F440" s="242"/>
      <c r="G440" s="242"/>
      <c r="H440" s="242"/>
      <c r="I440" s="242"/>
      <c r="J440" s="242"/>
      <c r="K440" s="242"/>
      <c r="L440" s="242"/>
      <c r="M440" s="13"/>
      <c r="N440" s="13"/>
      <c r="O440" s="13"/>
      <c r="P440" s="341"/>
      <c r="Q440" s="13"/>
      <c r="R440" s="242"/>
      <c r="S440" s="242"/>
      <c r="T440" s="242"/>
      <c r="U440" s="242"/>
      <c r="V440" s="242"/>
      <c r="W440" s="242"/>
      <c r="X440" s="242"/>
    </row>
    <row r="441">
      <c r="A441" s="242"/>
      <c r="B441" s="242"/>
      <c r="C441" s="242"/>
      <c r="D441" s="242"/>
      <c r="E441" s="242"/>
      <c r="F441" s="242"/>
      <c r="G441" s="242"/>
      <c r="H441" s="242"/>
      <c r="I441" s="242"/>
      <c r="J441" s="242"/>
      <c r="K441" s="242"/>
      <c r="L441" s="242"/>
      <c r="M441" s="13"/>
      <c r="N441" s="13"/>
      <c r="O441" s="13"/>
      <c r="P441" s="341"/>
      <c r="Q441" s="13"/>
      <c r="R441" s="242"/>
      <c r="S441" s="242"/>
      <c r="T441" s="242"/>
      <c r="U441" s="242"/>
      <c r="V441" s="242"/>
      <c r="W441" s="242"/>
      <c r="X441" s="242"/>
    </row>
    <row r="442">
      <c r="A442" s="242"/>
      <c r="B442" s="242"/>
      <c r="C442" s="242"/>
      <c r="D442" s="242"/>
      <c r="E442" s="242"/>
      <c r="F442" s="242"/>
      <c r="G442" s="242"/>
      <c r="H442" s="242"/>
      <c r="I442" s="242"/>
      <c r="J442" s="242"/>
      <c r="K442" s="242"/>
      <c r="L442" s="242"/>
      <c r="M442" s="13"/>
      <c r="N442" s="13"/>
      <c r="O442" s="13"/>
      <c r="P442" s="341"/>
      <c r="Q442" s="13"/>
      <c r="R442" s="242"/>
      <c r="S442" s="242"/>
      <c r="T442" s="242"/>
      <c r="U442" s="242"/>
      <c r="V442" s="242"/>
      <c r="W442" s="242"/>
      <c r="X442" s="242"/>
    </row>
    <row r="443">
      <c r="A443" s="242"/>
      <c r="B443" s="242"/>
      <c r="C443" s="242"/>
      <c r="D443" s="242"/>
      <c r="E443" s="242"/>
      <c r="F443" s="242"/>
      <c r="G443" s="242"/>
      <c r="H443" s="242"/>
      <c r="I443" s="242"/>
      <c r="J443" s="242"/>
      <c r="K443" s="242"/>
      <c r="L443" s="242"/>
      <c r="M443" s="13"/>
      <c r="N443" s="13"/>
      <c r="O443" s="13"/>
      <c r="P443" s="341"/>
      <c r="Q443" s="13"/>
      <c r="R443" s="242"/>
      <c r="S443" s="242"/>
      <c r="T443" s="242"/>
      <c r="U443" s="242"/>
      <c r="V443" s="242"/>
      <c r="W443" s="242"/>
      <c r="X443" s="242"/>
    </row>
    <row r="444">
      <c r="A444" s="242"/>
      <c r="B444" s="242"/>
      <c r="C444" s="242"/>
      <c r="D444" s="242"/>
      <c r="E444" s="242"/>
      <c r="F444" s="242"/>
      <c r="G444" s="242"/>
      <c r="H444" s="242"/>
      <c r="I444" s="242"/>
      <c r="J444" s="242"/>
      <c r="K444" s="242"/>
      <c r="L444" s="242"/>
      <c r="M444" s="13"/>
      <c r="N444" s="13"/>
      <c r="O444" s="13"/>
      <c r="P444" s="341"/>
      <c r="Q444" s="13"/>
      <c r="R444" s="242"/>
      <c r="S444" s="242"/>
      <c r="T444" s="242"/>
      <c r="U444" s="242"/>
      <c r="V444" s="242"/>
      <c r="W444" s="242"/>
      <c r="X444" s="242"/>
    </row>
    <row r="445">
      <c r="A445" s="242"/>
      <c r="B445" s="242"/>
      <c r="C445" s="242"/>
      <c r="D445" s="242"/>
      <c r="E445" s="242"/>
      <c r="F445" s="242"/>
      <c r="G445" s="242"/>
      <c r="H445" s="242"/>
      <c r="I445" s="242"/>
      <c r="J445" s="242"/>
      <c r="K445" s="242"/>
      <c r="L445" s="242"/>
      <c r="M445" s="13"/>
      <c r="N445" s="13"/>
      <c r="O445" s="13"/>
      <c r="P445" s="341"/>
      <c r="Q445" s="13"/>
      <c r="R445" s="242"/>
      <c r="S445" s="242"/>
      <c r="T445" s="242"/>
      <c r="U445" s="242"/>
      <c r="V445" s="242"/>
      <c r="W445" s="242"/>
      <c r="X445" s="242"/>
    </row>
    <row r="446">
      <c r="A446" s="242"/>
      <c r="B446" s="242"/>
      <c r="C446" s="242"/>
      <c r="D446" s="242"/>
      <c r="E446" s="242"/>
      <c r="F446" s="242"/>
      <c r="G446" s="242"/>
      <c r="H446" s="242"/>
      <c r="I446" s="242"/>
      <c r="J446" s="242"/>
      <c r="K446" s="242"/>
      <c r="L446" s="242"/>
      <c r="M446" s="13"/>
      <c r="N446" s="13"/>
      <c r="O446" s="13"/>
      <c r="P446" s="341"/>
      <c r="Q446" s="13"/>
      <c r="R446" s="242"/>
      <c r="S446" s="242"/>
      <c r="T446" s="242"/>
      <c r="U446" s="242"/>
      <c r="V446" s="242"/>
      <c r="W446" s="242"/>
      <c r="X446" s="242"/>
    </row>
    <row r="447">
      <c r="A447" s="242"/>
      <c r="B447" s="242"/>
      <c r="C447" s="242"/>
      <c r="D447" s="242"/>
      <c r="E447" s="242"/>
      <c r="F447" s="242"/>
      <c r="G447" s="242"/>
      <c r="H447" s="242"/>
      <c r="I447" s="242"/>
      <c r="J447" s="242"/>
      <c r="K447" s="242"/>
      <c r="L447" s="242"/>
      <c r="M447" s="13"/>
      <c r="N447" s="13"/>
      <c r="O447" s="13"/>
      <c r="P447" s="341"/>
      <c r="Q447" s="13"/>
      <c r="R447" s="242"/>
      <c r="S447" s="242"/>
      <c r="T447" s="242"/>
      <c r="U447" s="242"/>
      <c r="V447" s="242"/>
      <c r="W447" s="242"/>
      <c r="X447" s="242"/>
    </row>
    <row r="448">
      <c r="A448" s="242"/>
      <c r="B448" s="242"/>
      <c r="C448" s="242"/>
      <c r="D448" s="242"/>
      <c r="E448" s="242"/>
      <c r="F448" s="242"/>
      <c r="G448" s="242"/>
      <c r="H448" s="242"/>
      <c r="I448" s="242"/>
      <c r="J448" s="242"/>
      <c r="K448" s="242"/>
      <c r="L448" s="242"/>
      <c r="M448" s="13"/>
      <c r="N448" s="13"/>
      <c r="O448" s="13"/>
      <c r="P448" s="341"/>
      <c r="Q448" s="13"/>
      <c r="R448" s="242"/>
      <c r="S448" s="242"/>
      <c r="T448" s="242"/>
      <c r="U448" s="242"/>
      <c r="V448" s="242"/>
      <c r="W448" s="242"/>
      <c r="X448" s="242"/>
    </row>
    <row r="449">
      <c r="A449" s="242"/>
      <c r="B449" s="242"/>
      <c r="C449" s="242"/>
      <c r="D449" s="242"/>
      <c r="E449" s="242"/>
      <c r="F449" s="242"/>
      <c r="G449" s="242"/>
      <c r="H449" s="242"/>
      <c r="I449" s="242"/>
      <c r="J449" s="242"/>
      <c r="K449" s="242"/>
      <c r="L449" s="242"/>
      <c r="M449" s="13"/>
      <c r="N449" s="13"/>
      <c r="O449" s="13"/>
      <c r="P449" s="341"/>
      <c r="Q449" s="13"/>
      <c r="R449" s="242"/>
      <c r="S449" s="242"/>
      <c r="T449" s="242"/>
      <c r="U449" s="242"/>
      <c r="V449" s="242"/>
      <c r="W449" s="242"/>
      <c r="X449" s="242"/>
    </row>
    <row r="450">
      <c r="A450" s="242"/>
      <c r="B450" s="242"/>
      <c r="C450" s="242"/>
      <c r="D450" s="242"/>
      <c r="E450" s="242"/>
      <c r="F450" s="242"/>
      <c r="G450" s="242"/>
      <c r="H450" s="242"/>
      <c r="I450" s="242"/>
      <c r="J450" s="242"/>
      <c r="K450" s="242"/>
      <c r="L450" s="242"/>
      <c r="M450" s="13"/>
      <c r="N450" s="13"/>
      <c r="O450" s="13"/>
      <c r="P450" s="341"/>
      <c r="Q450" s="13"/>
      <c r="R450" s="242"/>
      <c r="S450" s="242"/>
      <c r="T450" s="242"/>
      <c r="U450" s="242"/>
      <c r="V450" s="242"/>
      <c r="W450" s="242"/>
      <c r="X450" s="242"/>
    </row>
    <row r="451">
      <c r="A451" s="242"/>
      <c r="B451" s="242"/>
      <c r="C451" s="242"/>
      <c r="D451" s="242"/>
      <c r="E451" s="242"/>
      <c r="F451" s="242"/>
      <c r="G451" s="242"/>
      <c r="H451" s="242"/>
      <c r="I451" s="242"/>
      <c r="J451" s="242"/>
      <c r="K451" s="242"/>
      <c r="L451" s="242"/>
      <c r="M451" s="13"/>
      <c r="N451" s="13"/>
      <c r="O451" s="13"/>
      <c r="P451" s="341"/>
      <c r="Q451" s="13"/>
      <c r="R451" s="242"/>
      <c r="S451" s="242"/>
      <c r="T451" s="242"/>
      <c r="U451" s="242"/>
      <c r="V451" s="242"/>
      <c r="W451" s="242"/>
      <c r="X451" s="242"/>
    </row>
    <row r="452">
      <c r="A452" s="242"/>
      <c r="B452" s="242"/>
      <c r="C452" s="242"/>
      <c r="D452" s="242"/>
      <c r="E452" s="242"/>
      <c r="F452" s="242"/>
      <c r="G452" s="242"/>
      <c r="H452" s="242"/>
      <c r="I452" s="242"/>
      <c r="J452" s="242"/>
      <c r="K452" s="242"/>
      <c r="L452" s="242"/>
      <c r="M452" s="13"/>
      <c r="N452" s="13"/>
      <c r="O452" s="13"/>
      <c r="P452" s="341"/>
      <c r="Q452" s="13"/>
      <c r="R452" s="242"/>
      <c r="S452" s="242"/>
      <c r="T452" s="242"/>
      <c r="U452" s="242"/>
      <c r="V452" s="242"/>
      <c r="W452" s="242"/>
      <c r="X452" s="242"/>
    </row>
    <row r="453">
      <c r="A453" s="242"/>
      <c r="B453" s="242"/>
      <c r="C453" s="242"/>
      <c r="D453" s="242"/>
      <c r="E453" s="242"/>
      <c r="F453" s="242"/>
      <c r="G453" s="242"/>
      <c r="H453" s="242"/>
      <c r="I453" s="242"/>
      <c r="J453" s="242"/>
      <c r="K453" s="242"/>
      <c r="L453" s="242"/>
      <c r="M453" s="13"/>
      <c r="N453" s="13"/>
      <c r="O453" s="13"/>
      <c r="P453" s="341"/>
      <c r="Q453" s="13"/>
      <c r="R453" s="242"/>
      <c r="S453" s="242"/>
      <c r="T453" s="242"/>
      <c r="U453" s="242"/>
      <c r="V453" s="242"/>
      <c r="W453" s="242"/>
      <c r="X453" s="242"/>
    </row>
    <row r="454">
      <c r="A454" s="242"/>
      <c r="B454" s="242"/>
      <c r="C454" s="242"/>
      <c r="D454" s="242"/>
      <c r="E454" s="242"/>
      <c r="F454" s="242"/>
      <c r="G454" s="242"/>
      <c r="H454" s="242"/>
      <c r="I454" s="242"/>
      <c r="J454" s="242"/>
      <c r="K454" s="242"/>
      <c r="L454" s="242"/>
      <c r="M454" s="13"/>
      <c r="N454" s="13"/>
      <c r="O454" s="13"/>
      <c r="P454" s="341"/>
      <c r="Q454" s="13"/>
      <c r="R454" s="242"/>
      <c r="S454" s="242"/>
      <c r="T454" s="242"/>
      <c r="U454" s="242"/>
      <c r="V454" s="242"/>
      <c r="W454" s="242"/>
      <c r="X454" s="242"/>
    </row>
    <row r="455">
      <c r="A455" s="242"/>
      <c r="B455" s="242"/>
      <c r="C455" s="242"/>
      <c r="D455" s="242"/>
      <c r="E455" s="242"/>
      <c r="F455" s="242"/>
      <c r="G455" s="242"/>
      <c r="H455" s="242"/>
      <c r="I455" s="242"/>
      <c r="J455" s="242"/>
      <c r="K455" s="242"/>
      <c r="L455" s="242"/>
      <c r="M455" s="13"/>
      <c r="N455" s="13"/>
      <c r="O455" s="13"/>
      <c r="P455" s="341"/>
      <c r="Q455" s="13"/>
      <c r="R455" s="242"/>
      <c r="S455" s="242"/>
      <c r="T455" s="242"/>
      <c r="U455" s="242"/>
      <c r="V455" s="242"/>
      <c r="W455" s="242"/>
      <c r="X455" s="242"/>
    </row>
    <row r="456">
      <c r="A456" s="242"/>
      <c r="B456" s="242"/>
      <c r="C456" s="242"/>
      <c r="D456" s="242"/>
      <c r="E456" s="242"/>
      <c r="F456" s="242"/>
      <c r="G456" s="242"/>
      <c r="H456" s="242"/>
      <c r="I456" s="242"/>
      <c r="J456" s="242"/>
      <c r="K456" s="242"/>
      <c r="L456" s="242"/>
      <c r="M456" s="13"/>
      <c r="N456" s="13"/>
      <c r="O456" s="13"/>
      <c r="P456" s="341"/>
      <c r="Q456" s="13"/>
      <c r="R456" s="242"/>
      <c r="S456" s="242"/>
      <c r="T456" s="242"/>
      <c r="U456" s="242"/>
      <c r="V456" s="242"/>
      <c r="W456" s="242"/>
      <c r="X456" s="242"/>
    </row>
    <row r="457">
      <c r="A457" s="242"/>
      <c r="B457" s="242"/>
      <c r="C457" s="242"/>
      <c r="D457" s="242"/>
      <c r="E457" s="242"/>
      <c r="F457" s="242"/>
      <c r="G457" s="242"/>
      <c r="H457" s="242"/>
      <c r="I457" s="242"/>
      <c r="J457" s="242"/>
      <c r="K457" s="242"/>
      <c r="L457" s="242"/>
      <c r="M457" s="13"/>
      <c r="N457" s="13"/>
      <c r="O457" s="13"/>
      <c r="P457" s="341"/>
      <c r="Q457" s="13"/>
      <c r="R457" s="242"/>
      <c r="S457" s="242"/>
      <c r="T457" s="242"/>
      <c r="U457" s="242"/>
      <c r="V457" s="242"/>
      <c r="W457" s="242"/>
      <c r="X457" s="242"/>
    </row>
    <row r="458">
      <c r="A458" s="242"/>
      <c r="B458" s="242"/>
      <c r="C458" s="242"/>
      <c r="D458" s="242"/>
      <c r="E458" s="242"/>
      <c r="F458" s="242"/>
      <c r="G458" s="242"/>
      <c r="H458" s="242"/>
      <c r="I458" s="242"/>
      <c r="J458" s="242"/>
      <c r="K458" s="242"/>
      <c r="L458" s="242"/>
      <c r="M458" s="13"/>
      <c r="N458" s="13"/>
      <c r="O458" s="13"/>
      <c r="P458" s="341"/>
      <c r="Q458" s="13"/>
      <c r="R458" s="242"/>
      <c r="S458" s="242"/>
      <c r="T458" s="242"/>
      <c r="U458" s="242"/>
      <c r="V458" s="242"/>
      <c r="W458" s="242"/>
      <c r="X458" s="242"/>
    </row>
    <row r="459">
      <c r="A459" s="242"/>
      <c r="B459" s="242"/>
      <c r="C459" s="242"/>
      <c r="D459" s="242"/>
      <c r="E459" s="242"/>
      <c r="F459" s="242"/>
      <c r="G459" s="242"/>
      <c r="H459" s="242"/>
      <c r="I459" s="242"/>
      <c r="J459" s="242"/>
      <c r="K459" s="242"/>
      <c r="L459" s="242"/>
      <c r="M459" s="13"/>
      <c r="N459" s="13"/>
      <c r="O459" s="13"/>
      <c r="P459" s="341"/>
      <c r="Q459" s="13"/>
      <c r="R459" s="242"/>
      <c r="S459" s="242"/>
      <c r="T459" s="242"/>
      <c r="U459" s="242"/>
      <c r="V459" s="242"/>
      <c r="W459" s="242"/>
      <c r="X459" s="242"/>
    </row>
    <row r="460">
      <c r="A460" s="242"/>
      <c r="B460" s="242"/>
      <c r="C460" s="242"/>
      <c r="D460" s="242"/>
      <c r="E460" s="242"/>
      <c r="F460" s="242"/>
      <c r="G460" s="242"/>
      <c r="H460" s="242"/>
      <c r="I460" s="242"/>
      <c r="J460" s="242"/>
      <c r="K460" s="242"/>
      <c r="L460" s="242"/>
      <c r="M460" s="13"/>
      <c r="N460" s="13"/>
      <c r="O460" s="13"/>
      <c r="P460" s="341"/>
      <c r="Q460" s="13"/>
      <c r="R460" s="242"/>
      <c r="S460" s="242"/>
      <c r="T460" s="242"/>
      <c r="U460" s="242"/>
      <c r="V460" s="242"/>
      <c r="W460" s="242"/>
      <c r="X460" s="242"/>
    </row>
    <row r="461">
      <c r="A461" s="242"/>
      <c r="B461" s="242"/>
      <c r="C461" s="242"/>
      <c r="D461" s="242"/>
      <c r="E461" s="242"/>
      <c r="F461" s="242"/>
      <c r="G461" s="242"/>
      <c r="H461" s="242"/>
      <c r="I461" s="242"/>
      <c r="J461" s="242"/>
      <c r="K461" s="242"/>
      <c r="L461" s="242"/>
      <c r="M461" s="13"/>
      <c r="N461" s="13"/>
      <c r="O461" s="13"/>
      <c r="P461" s="341"/>
      <c r="Q461" s="13"/>
      <c r="R461" s="242"/>
      <c r="S461" s="242"/>
      <c r="T461" s="242"/>
      <c r="U461" s="242"/>
      <c r="V461" s="242"/>
      <c r="W461" s="242"/>
      <c r="X461" s="242"/>
    </row>
    <row r="462">
      <c r="A462" s="242"/>
      <c r="B462" s="242"/>
      <c r="C462" s="242"/>
      <c r="D462" s="242"/>
      <c r="E462" s="242"/>
      <c r="F462" s="242"/>
      <c r="G462" s="242"/>
      <c r="H462" s="242"/>
      <c r="I462" s="242"/>
      <c r="J462" s="242"/>
      <c r="K462" s="242"/>
      <c r="L462" s="242"/>
      <c r="M462" s="13"/>
      <c r="N462" s="13"/>
      <c r="O462" s="13"/>
      <c r="P462" s="341"/>
      <c r="Q462" s="13"/>
      <c r="R462" s="242"/>
      <c r="S462" s="242"/>
      <c r="T462" s="242"/>
      <c r="U462" s="242"/>
      <c r="V462" s="242"/>
      <c r="W462" s="242"/>
      <c r="X462" s="242"/>
    </row>
    <row r="463">
      <c r="A463" s="242"/>
      <c r="B463" s="242"/>
      <c r="C463" s="242"/>
      <c r="D463" s="242"/>
      <c r="E463" s="242"/>
      <c r="F463" s="242"/>
      <c r="G463" s="242"/>
      <c r="H463" s="242"/>
      <c r="I463" s="242"/>
      <c r="J463" s="242"/>
      <c r="K463" s="242"/>
      <c r="L463" s="242"/>
      <c r="M463" s="13"/>
      <c r="N463" s="13"/>
      <c r="O463" s="13"/>
      <c r="P463" s="341"/>
      <c r="Q463" s="13"/>
      <c r="R463" s="242"/>
      <c r="S463" s="242"/>
      <c r="T463" s="242"/>
      <c r="U463" s="242"/>
      <c r="V463" s="242"/>
      <c r="W463" s="242"/>
      <c r="X463" s="242"/>
    </row>
    <row r="464">
      <c r="A464" s="242"/>
      <c r="B464" s="242"/>
      <c r="C464" s="242"/>
      <c r="D464" s="242"/>
      <c r="E464" s="242"/>
      <c r="F464" s="242"/>
      <c r="G464" s="242"/>
      <c r="H464" s="242"/>
      <c r="I464" s="242"/>
      <c r="J464" s="242"/>
      <c r="K464" s="242"/>
      <c r="L464" s="242"/>
      <c r="M464" s="13"/>
      <c r="N464" s="13"/>
      <c r="O464" s="13"/>
      <c r="P464" s="341"/>
      <c r="Q464" s="13"/>
      <c r="R464" s="242"/>
      <c r="S464" s="242"/>
      <c r="T464" s="242"/>
      <c r="U464" s="242"/>
      <c r="V464" s="242"/>
      <c r="W464" s="242"/>
      <c r="X464" s="242"/>
    </row>
    <row r="465">
      <c r="A465" s="242"/>
      <c r="B465" s="242"/>
      <c r="C465" s="242"/>
      <c r="D465" s="242"/>
      <c r="E465" s="242"/>
      <c r="F465" s="242"/>
      <c r="G465" s="242"/>
      <c r="H465" s="242"/>
      <c r="I465" s="242"/>
      <c r="J465" s="242"/>
      <c r="K465" s="242"/>
      <c r="L465" s="242"/>
      <c r="M465" s="13"/>
      <c r="N465" s="13"/>
      <c r="O465" s="13"/>
      <c r="P465" s="341"/>
      <c r="Q465" s="13"/>
      <c r="R465" s="242"/>
      <c r="S465" s="242"/>
      <c r="T465" s="242"/>
      <c r="U465" s="242"/>
      <c r="V465" s="242"/>
      <c r="W465" s="242"/>
      <c r="X465" s="242"/>
    </row>
    <row r="466">
      <c r="A466" s="242"/>
      <c r="B466" s="242"/>
      <c r="C466" s="242"/>
      <c r="D466" s="242"/>
      <c r="E466" s="242"/>
      <c r="F466" s="242"/>
      <c r="G466" s="242"/>
      <c r="H466" s="242"/>
      <c r="I466" s="242"/>
      <c r="J466" s="242"/>
      <c r="K466" s="242"/>
      <c r="L466" s="242"/>
      <c r="M466" s="13"/>
      <c r="N466" s="13"/>
      <c r="O466" s="13"/>
      <c r="P466" s="341"/>
      <c r="Q466" s="13"/>
      <c r="R466" s="242"/>
      <c r="S466" s="242"/>
      <c r="T466" s="242"/>
      <c r="U466" s="242"/>
      <c r="V466" s="242"/>
      <c r="W466" s="242"/>
      <c r="X466" s="242"/>
    </row>
    <row r="467">
      <c r="A467" s="242"/>
      <c r="B467" s="242"/>
      <c r="C467" s="242"/>
      <c r="D467" s="242"/>
      <c r="E467" s="242"/>
      <c r="F467" s="242"/>
      <c r="G467" s="242"/>
      <c r="H467" s="242"/>
      <c r="I467" s="242"/>
      <c r="J467" s="242"/>
      <c r="K467" s="242"/>
      <c r="L467" s="242"/>
      <c r="M467" s="13"/>
      <c r="N467" s="13"/>
      <c r="O467" s="13"/>
      <c r="P467" s="341"/>
      <c r="Q467" s="13"/>
      <c r="R467" s="242"/>
      <c r="S467" s="242"/>
      <c r="T467" s="242"/>
      <c r="U467" s="242"/>
      <c r="V467" s="242"/>
      <c r="W467" s="242"/>
      <c r="X467" s="242"/>
    </row>
    <row r="468">
      <c r="A468" s="242"/>
      <c r="B468" s="242"/>
      <c r="C468" s="242"/>
      <c r="D468" s="242"/>
      <c r="E468" s="242"/>
      <c r="F468" s="242"/>
      <c r="G468" s="242"/>
      <c r="H468" s="242"/>
      <c r="I468" s="242"/>
      <c r="J468" s="242"/>
      <c r="K468" s="242"/>
      <c r="L468" s="242"/>
      <c r="M468" s="13"/>
      <c r="N468" s="13"/>
      <c r="O468" s="13"/>
      <c r="P468" s="341"/>
      <c r="Q468" s="13"/>
      <c r="R468" s="242"/>
      <c r="S468" s="242"/>
      <c r="T468" s="242"/>
      <c r="U468" s="242"/>
      <c r="V468" s="242"/>
      <c r="W468" s="242"/>
      <c r="X468" s="242"/>
    </row>
    <row r="469">
      <c r="A469" s="242"/>
      <c r="B469" s="242"/>
      <c r="C469" s="242"/>
      <c r="D469" s="242"/>
      <c r="E469" s="242"/>
      <c r="F469" s="242"/>
      <c r="G469" s="242"/>
      <c r="H469" s="242"/>
      <c r="I469" s="242"/>
      <c r="J469" s="242"/>
      <c r="K469" s="242"/>
      <c r="L469" s="242"/>
      <c r="M469" s="13"/>
      <c r="N469" s="13"/>
      <c r="O469" s="13"/>
      <c r="P469" s="341"/>
      <c r="Q469" s="13"/>
      <c r="R469" s="242"/>
      <c r="S469" s="242"/>
      <c r="T469" s="242"/>
      <c r="U469" s="242"/>
      <c r="V469" s="242"/>
      <c r="W469" s="242"/>
      <c r="X469" s="242"/>
    </row>
    <row r="470">
      <c r="A470" s="242"/>
      <c r="B470" s="242"/>
      <c r="C470" s="242"/>
      <c r="D470" s="242"/>
      <c r="E470" s="242"/>
      <c r="F470" s="242"/>
      <c r="G470" s="242"/>
      <c r="H470" s="242"/>
      <c r="I470" s="242"/>
      <c r="J470" s="242"/>
      <c r="K470" s="242"/>
      <c r="L470" s="242"/>
      <c r="M470" s="13"/>
      <c r="N470" s="13"/>
      <c r="O470" s="13"/>
      <c r="P470" s="341"/>
      <c r="Q470" s="13"/>
      <c r="R470" s="242"/>
      <c r="S470" s="242"/>
      <c r="T470" s="242"/>
      <c r="U470" s="242"/>
      <c r="V470" s="242"/>
      <c r="W470" s="242"/>
      <c r="X470" s="242"/>
    </row>
    <row r="471">
      <c r="A471" s="242"/>
      <c r="B471" s="242"/>
      <c r="C471" s="242"/>
      <c r="D471" s="242"/>
      <c r="E471" s="242"/>
      <c r="F471" s="242"/>
      <c r="G471" s="242"/>
      <c r="H471" s="242"/>
      <c r="I471" s="242"/>
      <c r="J471" s="242"/>
      <c r="K471" s="242"/>
      <c r="L471" s="242"/>
      <c r="M471" s="13"/>
      <c r="N471" s="13"/>
      <c r="O471" s="13"/>
      <c r="P471" s="341"/>
      <c r="Q471" s="13"/>
      <c r="R471" s="242"/>
      <c r="S471" s="242"/>
      <c r="T471" s="242"/>
      <c r="U471" s="242"/>
      <c r="V471" s="242"/>
      <c r="W471" s="242"/>
      <c r="X471" s="242"/>
    </row>
    <row r="472">
      <c r="A472" s="242"/>
      <c r="B472" s="242"/>
      <c r="C472" s="242"/>
      <c r="D472" s="242"/>
      <c r="E472" s="242"/>
      <c r="F472" s="242"/>
      <c r="G472" s="242"/>
      <c r="H472" s="242"/>
      <c r="I472" s="242"/>
      <c r="J472" s="242"/>
      <c r="K472" s="242"/>
      <c r="L472" s="242"/>
      <c r="M472" s="13"/>
      <c r="N472" s="13"/>
      <c r="O472" s="13"/>
      <c r="P472" s="341"/>
      <c r="Q472" s="13"/>
      <c r="R472" s="242"/>
      <c r="S472" s="242"/>
      <c r="T472" s="242"/>
      <c r="U472" s="242"/>
      <c r="V472" s="242"/>
      <c r="W472" s="242"/>
      <c r="X472" s="242"/>
    </row>
    <row r="473">
      <c r="A473" s="242"/>
      <c r="B473" s="242"/>
      <c r="C473" s="242"/>
      <c r="D473" s="242"/>
      <c r="E473" s="242"/>
      <c r="F473" s="242"/>
      <c r="G473" s="242"/>
      <c r="H473" s="242"/>
      <c r="I473" s="242"/>
      <c r="J473" s="242"/>
      <c r="K473" s="242"/>
      <c r="L473" s="242"/>
      <c r="M473" s="13"/>
      <c r="N473" s="13"/>
      <c r="O473" s="13"/>
      <c r="P473" s="341"/>
      <c r="Q473" s="13"/>
      <c r="R473" s="242"/>
      <c r="S473" s="242"/>
      <c r="T473" s="242"/>
      <c r="U473" s="242"/>
      <c r="V473" s="242"/>
      <c r="W473" s="242"/>
      <c r="X473" s="242"/>
    </row>
    <row r="474">
      <c r="A474" s="242"/>
      <c r="B474" s="242"/>
      <c r="C474" s="242"/>
      <c r="D474" s="242"/>
      <c r="E474" s="242"/>
      <c r="F474" s="242"/>
      <c r="G474" s="242"/>
      <c r="H474" s="242"/>
      <c r="I474" s="242"/>
      <c r="J474" s="242"/>
      <c r="K474" s="242"/>
      <c r="L474" s="242"/>
      <c r="M474" s="13"/>
      <c r="N474" s="13"/>
      <c r="O474" s="13"/>
      <c r="P474" s="341"/>
      <c r="Q474" s="13"/>
      <c r="R474" s="242"/>
      <c r="S474" s="242"/>
      <c r="T474" s="242"/>
      <c r="U474" s="242"/>
      <c r="V474" s="242"/>
      <c r="W474" s="242"/>
      <c r="X474" s="242"/>
    </row>
    <row r="475">
      <c r="A475" s="242"/>
      <c r="B475" s="242"/>
      <c r="C475" s="242"/>
      <c r="D475" s="242"/>
      <c r="E475" s="242"/>
      <c r="F475" s="242"/>
      <c r="G475" s="242"/>
      <c r="H475" s="242"/>
      <c r="I475" s="242"/>
      <c r="J475" s="242"/>
      <c r="K475" s="242"/>
      <c r="L475" s="242"/>
      <c r="M475" s="13"/>
      <c r="N475" s="13"/>
      <c r="O475" s="13"/>
      <c r="P475" s="341"/>
      <c r="Q475" s="13"/>
      <c r="R475" s="242"/>
      <c r="S475" s="242"/>
      <c r="T475" s="242"/>
      <c r="U475" s="242"/>
      <c r="V475" s="242"/>
      <c r="W475" s="242"/>
      <c r="X475" s="242"/>
    </row>
    <row r="476">
      <c r="A476" s="242"/>
      <c r="B476" s="242"/>
      <c r="C476" s="242"/>
      <c r="D476" s="242"/>
      <c r="E476" s="242"/>
      <c r="F476" s="242"/>
      <c r="G476" s="242"/>
      <c r="H476" s="242"/>
      <c r="I476" s="242"/>
      <c r="J476" s="242"/>
      <c r="K476" s="242"/>
      <c r="L476" s="242"/>
      <c r="M476" s="13"/>
      <c r="N476" s="13"/>
      <c r="O476" s="13"/>
      <c r="P476" s="341"/>
      <c r="Q476" s="13"/>
      <c r="R476" s="242"/>
      <c r="S476" s="242"/>
      <c r="T476" s="242"/>
      <c r="U476" s="242"/>
      <c r="V476" s="242"/>
      <c r="W476" s="242"/>
      <c r="X476" s="242"/>
    </row>
    <row r="477">
      <c r="A477" s="242"/>
      <c r="B477" s="242"/>
      <c r="C477" s="242"/>
      <c r="D477" s="242"/>
      <c r="E477" s="242"/>
      <c r="F477" s="242"/>
      <c r="G477" s="242"/>
      <c r="H477" s="242"/>
      <c r="I477" s="242"/>
      <c r="J477" s="242"/>
      <c r="K477" s="242"/>
      <c r="L477" s="242"/>
      <c r="M477" s="13"/>
      <c r="N477" s="13"/>
      <c r="O477" s="13"/>
      <c r="P477" s="341"/>
      <c r="Q477" s="13"/>
      <c r="R477" s="242"/>
      <c r="S477" s="242"/>
      <c r="T477" s="242"/>
      <c r="U477" s="242"/>
      <c r="V477" s="242"/>
      <c r="W477" s="242"/>
      <c r="X477" s="242"/>
    </row>
    <row r="478">
      <c r="A478" s="242"/>
      <c r="B478" s="242"/>
      <c r="C478" s="242"/>
      <c r="D478" s="242"/>
      <c r="E478" s="242"/>
      <c r="F478" s="242"/>
      <c r="G478" s="242"/>
      <c r="H478" s="242"/>
      <c r="I478" s="242"/>
      <c r="J478" s="242"/>
      <c r="K478" s="242"/>
      <c r="L478" s="242"/>
      <c r="M478" s="13"/>
      <c r="N478" s="13"/>
      <c r="O478" s="13"/>
      <c r="P478" s="341"/>
      <c r="Q478" s="13"/>
      <c r="R478" s="242"/>
      <c r="S478" s="242"/>
      <c r="T478" s="242"/>
      <c r="U478" s="242"/>
      <c r="V478" s="242"/>
      <c r="W478" s="242"/>
      <c r="X478" s="242"/>
    </row>
    <row r="479">
      <c r="A479" s="242"/>
      <c r="B479" s="242"/>
      <c r="C479" s="242"/>
      <c r="D479" s="242"/>
      <c r="E479" s="242"/>
      <c r="F479" s="242"/>
      <c r="G479" s="242"/>
      <c r="H479" s="242"/>
      <c r="I479" s="242"/>
      <c r="J479" s="242"/>
      <c r="K479" s="242"/>
      <c r="L479" s="242"/>
      <c r="M479" s="13"/>
      <c r="N479" s="13"/>
      <c r="O479" s="13"/>
      <c r="P479" s="341"/>
      <c r="Q479" s="13"/>
      <c r="R479" s="242"/>
      <c r="S479" s="242"/>
      <c r="T479" s="242"/>
      <c r="U479" s="242"/>
      <c r="V479" s="242"/>
      <c r="W479" s="242"/>
      <c r="X479" s="242"/>
    </row>
    <row r="480">
      <c r="A480" s="242"/>
      <c r="B480" s="242"/>
      <c r="C480" s="242"/>
      <c r="D480" s="242"/>
      <c r="E480" s="242"/>
      <c r="F480" s="242"/>
      <c r="G480" s="242"/>
      <c r="H480" s="242"/>
      <c r="I480" s="242"/>
      <c r="J480" s="242"/>
      <c r="K480" s="242"/>
      <c r="L480" s="242"/>
      <c r="M480" s="13"/>
      <c r="N480" s="13"/>
      <c r="O480" s="13"/>
      <c r="P480" s="341"/>
      <c r="Q480" s="13"/>
      <c r="R480" s="242"/>
      <c r="S480" s="242"/>
      <c r="T480" s="242"/>
      <c r="U480" s="242"/>
      <c r="V480" s="242"/>
      <c r="W480" s="242"/>
      <c r="X480" s="242"/>
    </row>
    <row r="481">
      <c r="A481" s="242"/>
      <c r="B481" s="242"/>
      <c r="C481" s="242"/>
      <c r="D481" s="242"/>
      <c r="E481" s="242"/>
      <c r="F481" s="242"/>
      <c r="G481" s="242"/>
      <c r="H481" s="242"/>
      <c r="I481" s="242"/>
      <c r="J481" s="242"/>
      <c r="K481" s="242"/>
      <c r="L481" s="242"/>
      <c r="M481" s="13"/>
      <c r="N481" s="13"/>
      <c r="O481" s="13"/>
      <c r="P481" s="341"/>
      <c r="Q481" s="13"/>
      <c r="R481" s="242"/>
      <c r="S481" s="242"/>
      <c r="T481" s="242"/>
      <c r="U481" s="242"/>
      <c r="V481" s="242"/>
      <c r="W481" s="242"/>
      <c r="X481" s="242"/>
    </row>
    <row r="482">
      <c r="A482" s="242"/>
      <c r="B482" s="242"/>
      <c r="C482" s="242"/>
      <c r="D482" s="242"/>
      <c r="E482" s="242"/>
      <c r="F482" s="242"/>
      <c r="G482" s="242"/>
      <c r="H482" s="242"/>
      <c r="I482" s="242"/>
      <c r="J482" s="242"/>
      <c r="K482" s="242"/>
      <c r="L482" s="242"/>
      <c r="M482" s="13"/>
      <c r="N482" s="13"/>
      <c r="O482" s="13"/>
      <c r="P482" s="341"/>
      <c r="Q482" s="13"/>
      <c r="R482" s="242"/>
      <c r="S482" s="242"/>
      <c r="T482" s="242"/>
      <c r="U482" s="242"/>
      <c r="V482" s="242"/>
      <c r="W482" s="242"/>
      <c r="X482" s="242"/>
    </row>
    <row r="483">
      <c r="A483" s="242"/>
      <c r="B483" s="242"/>
      <c r="C483" s="242"/>
      <c r="D483" s="242"/>
      <c r="E483" s="242"/>
      <c r="F483" s="242"/>
      <c r="G483" s="242"/>
      <c r="H483" s="242"/>
      <c r="I483" s="242"/>
      <c r="J483" s="242"/>
      <c r="K483" s="242"/>
      <c r="L483" s="242"/>
      <c r="M483" s="13"/>
      <c r="N483" s="13"/>
      <c r="O483" s="13"/>
      <c r="P483" s="341"/>
      <c r="Q483" s="13"/>
      <c r="R483" s="242"/>
      <c r="S483" s="242"/>
      <c r="T483" s="242"/>
      <c r="U483" s="242"/>
      <c r="V483" s="242"/>
      <c r="W483" s="242"/>
      <c r="X483" s="242"/>
    </row>
    <row r="484">
      <c r="A484" s="242"/>
      <c r="B484" s="242"/>
      <c r="C484" s="242"/>
      <c r="D484" s="242"/>
      <c r="E484" s="242"/>
      <c r="F484" s="242"/>
      <c r="G484" s="242"/>
      <c r="H484" s="242"/>
      <c r="I484" s="242"/>
      <c r="J484" s="242"/>
      <c r="K484" s="242"/>
      <c r="L484" s="242"/>
      <c r="M484" s="13"/>
      <c r="N484" s="13"/>
      <c r="O484" s="13"/>
      <c r="P484" s="341"/>
      <c r="Q484" s="13"/>
      <c r="R484" s="242"/>
      <c r="S484" s="242"/>
      <c r="T484" s="242"/>
      <c r="U484" s="242"/>
      <c r="V484" s="242"/>
      <c r="W484" s="242"/>
      <c r="X484" s="242"/>
    </row>
    <row r="485">
      <c r="A485" s="242"/>
      <c r="B485" s="242"/>
      <c r="C485" s="242"/>
      <c r="D485" s="242"/>
      <c r="E485" s="242"/>
      <c r="F485" s="242"/>
      <c r="G485" s="242"/>
      <c r="H485" s="242"/>
      <c r="I485" s="242"/>
      <c r="J485" s="242"/>
      <c r="K485" s="242"/>
      <c r="L485" s="242"/>
      <c r="M485" s="13"/>
      <c r="N485" s="13"/>
      <c r="O485" s="13"/>
      <c r="P485" s="341"/>
      <c r="Q485" s="13"/>
      <c r="R485" s="242"/>
      <c r="S485" s="242"/>
      <c r="T485" s="242"/>
      <c r="U485" s="242"/>
      <c r="V485" s="242"/>
      <c r="W485" s="242"/>
      <c r="X485" s="242"/>
    </row>
    <row r="486">
      <c r="A486" s="242"/>
      <c r="B486" s="242"/>
      <c r="C486" s="242"/>
      <c r="D486" s="242"/>
      <c r="E486" s="242"/>
      <c r="F486" s="242"/>
      <c r="G486" s="242"/>
      <c r="H486" s="242"/>
      <c r="I486" s="242"/>
      <c r="J486" s="242"/>
      <c r="K486" s="242"/>
      <c r="L486" s="242"/>
      <c r="M486" s="13"/>
      <c r="N486" s="13"/>
      <c r="O486" s="13"/>
      <c r="P486" s="341"/>
      <c r="Q486" s="13"/>
      <c r="R486" s="242"/>
      <c r="S486" s="242"/>
      <c r="T486" s="242"/>
      <c r="U486" s="242"/>
      <c r="V486" s="242"/>
      <c r="W486" s="242"/>
      <c r="X486" s="242"/>
    </row>
    <row r="487">
      <c r="A487" s="242"/>
      <c r="B487" s="242"/>
      <c r="C487" s="242"/>
      <c r="D487" s="242"/>
      <c r="E487" s="242"/>
      <c r="F487" s="242"/>
      <c r="G487" s="242"/>
      <c r="H487" s="242"/>
      <c r="I487" s="242"/>
      <c r="J487" s="242"/>
      <c r="K487" s="242"/>
      <c r="L487" s="242"/>
      <c r="M487" s="13"/>
      <c r="N487" s="13"/>
      <c r="O487" s="13"/>
      <c r="P487" s="341"/>
      <c r="Q487" s="13"/>
      <c r="R487" s="242"/>
      <c r="S487" s="242"/>
      <c r="T487" s="242"/>
      <c r="U487" s="242"/>
      <c r="V487" s="242"/>
      <c r="W487" s="242"/>
      <c r="X487" s="242"/>
    </row>
    <row r="488">
      <c r="A488" s="242"/>
      <c r="B488" s="242"/>
      <c r="C488" s="242"/>
      <c r="D488" s="242"/>
      <c r="E488" s="242"/>
      <c r="F488" s="242"/>
      <c r="G488" s="242"/>
      <c r="H488" s="242"/>
      <c r="I488" s="242"/>
      <c r="J488" s="242"/>
      <c r="K488" s="242"/>
      <c r="L488" s="242"/>
      <c r="M488" s="13"/>
      <c r="N488" s="13"/>
      <c r="O488" s="13"/>
      <c r="P488" s="341"/>
      <c r="Q488" s="13"/>
      <c r="R488" s="242"/>
      <c r="S488" s="242"/>
      <c r="T488" s="242"/>
      <c r="U488" s="242"/>
      <c r="V488" s="242"/>
      <c r="W488" s="242"/>
      <c r="X488" s="242"/>
    </row>
    <row r="489">
      <c r="A489" s="242"/>
      <c r="B489" s="242"/>
      <c r="C489" s="242"/>
      <c r="D489" s="242"/>
      <c r="E489" s="242"/>
      <c r="F489" s="242"/>
      <c r="G489" s="242"/>
      <c r="H489" s="242"/>
      <c r="I489" s="242"/>
      <c r="J489" s="242"/>
      <c r="K489" s="242"/>
      <c r="L489" s="242"/>
      <c r="M489" s="13"/>
      <c r="N489" s="13"/>
      <c r="O489" s="13"/>
      <c r="P489" s="341"/>
      <c r="Q489" s="13"/>
      <c r="R489" s="242"/>
      <c r="S489" s="242"/>
      <c r="T489" s="242"/>
      <c r="U489" s="242"/>
      <c r="V489" s="242"/>
      <c r="W489" s="242"/>
      <c r="X489" s="242"/>
    </row>
    <row r="490">
      <c r="A490" s="242"/>
      <c r="B490" s="242"/>
      <c r="C490" s="242"/>
      <c r="D490" s="242"/>
      <c r="E490" s="242"/>
      <c r="F490" s="242"/>
      <c r="G490" s="242"/>
      <c r="H490" s="242"/>
      <c r="I490" s="242"/>
      <c r="J490" s="242"/>
      <c r="K490" s="242"/>
      <c r="L490" s="242"/>
      <c r="M490" s="13"/>
      <c r="N490" s="13"/>
      <c r="O490" s="13"/>
      <c r="P490" s="341"/>
      <c r="Q490" s="13"/>
      <c r="R490" s="242"/>
      <c r="S490" s="242"/>
      <c r="T490" s="242"/>
      <c r="U490" s="242"/>
      <c r="V490" s="242"/>
      <c r="W490" s="242"/>
      <c r="X490" s="242"/>
    </row>
    <row r="491">
      <c r="A491" s="242"/>
      <c r="B491" s="242"/>
      <c r="C491" s="242"/>
      <c r="D491" s="242"/>
      <c r="E491" s="242"/>
      <c r="F491" s="242"/>
      <c r="G491" s="242"/>
      <c r="H491" s="242"/>
      <c r="I491" s="242"/>
      <c r="J491" s="242"/>
      <c r="K491" s="242"/>
      <c r="L491" s="242"/>
      <c r="M491" s="13"/>
      <c r="N491" s="13"/>
      <c r="O491" s="13"/>
      <c r="P491" s="341"/>
      <c r="Q491" s="13"/>
      <c r="R491" s="242"/>
      <c r="S491" s="242"/>
      <c r="T491" s="242"/>
      <c r="U491" s="242"/>
      <c r="V491" s="242"/>
      <c r="W491" s="242"/>
      <c r="X491" s="242"/>
    </row>
    <row r="492">
      <c r="A492" s="242"/>
      <c r="B492" s="242"/>
      <c r="C492" s="242"/>
      <c r="D492" s="242"/>
      <c r="E492" s="242"/>
      <c r="F492" s="242"/>
      <c r="G492" s="242"/>
      <c r="H492" s="242"/>
      <c r="I492" s="242"/>
      <c r="J492" s="242"/>
      <c r="K492" s="242"/>
      <c r="L492" s="242"/>
      <c r="M492" s="13"/>
      <c r="N492" s="13"/>
      <c r="O492" s="13"/>
      <c r="P492" s="341"/>
      <c r="Q492" s="13"/>
      <c r="R492" s="242"/>
      <c r="S492" s="242"/>
      <c r="T492" s="242"/>
      <c r="U492" s="242"/>
      <c r="V492" s="242"/>
      <c r="W492" s="242"/>
      <c r="X492" s="242"/>
    </row>
    <row r="493">
      <c r="A493" s="242"/>
      <c r="B493" s="242"/>
      <c r="C493" s="242"/>
      <c r="D493" s="242"/>
      <c r="E493" s="242"/>
      <c r="F493" s="242"/>
      <c r="G493" s="242"/>
      <c r="H493" s="242"/>
      <c r="I493" s="242"/>
      <c r="J493" s="242"/>
      <c r="K493" s="242"/>
      <c r="L493" s="242"/>
      <c r="M493" s="13"/>
      <c r="N493" s="13"/>
      <c r="O493" s="13"/>
      <c r="P493" s="341"/>
      <c r="Q493" s="13"/>
      <c r="R493" s="242"/>
      <c r="S493" s="242"/>
      <c r="T493" s="242"/>
      <c r="U493" s="242"/>
      <c r="V493" s="242"/>
      <c r="W493" s="242"/>
      <c r="X493" s="242"/>
    </row>
    <row r="494">
      <c r="A494" s="242"/>
      <c r="B494" s="242"/>
      <c r="C494" s="242"/>
      <c r="D494" s="242"/>
      <c r="E494" s="242"/>
      <c r="F494" s="242"/>
      <c r="G494" s="242"/>
      <c r="H494" s="242"/>
      <c r="I494" s="242"/>
      <c r="J494" s="242"/>
      <c r="K494" s="242"/>
      <c r="L494" s="242"/>
      <c r="M494" s="13"/>
      <c r="N494" s="13"/>
      <c r="O494" s="13"/>
      <c r="P494" s="341"/>
      <c r="Q494" s="13"/>
      <c r="R494" s="242"/>
      <c r="S494" s="242"/>
      <c r="T494" s="242"/>
      <c r="U494" s="242"/>
      <c r="V494" s="242"/>
      <c r="W494" s="242"/>
      <c r="X494" s="242"/>
    </row>
    <row r="495">
      <c r="A495" s="242"/>
      <c r="B495" s="242"/>
      <c r="C495" s="242"/>
      <c r="D495" s="242"/>
      <c r="E495" s="242"/>
      <c r="F495" s="242"/>
      <c r="G495" s="242"/>
      <c r="H495" s="242"/>
      <c r="I495" s="242"/>
      <c r="J495" s="242"/>
      <c r="K495" s="242"/>
      <c r="L495" s="242"/>
      <c r="M495" s="13"/>
      <c r="N495" s="13"/>
      <c r="O495" s="13"/>
      <c r="P495" s="341"/>
      <c r="Q495" s="13"/>
      <c r="R495" s="242"/>
      <c r="S495" s="242"/>
      <c r="T495" s="242"/>
      <c r="U495" s="242"/>
      <c r="V495" s="242"/>
      <c r="W495" s="242"/>
      <c r="X495" s="242"/>
    </row>
    <row r="496">
      <c r="A496" s="242"/>
      <c r="B496" s="242"/>
      <c r="C496" s="242"/>
      <c r="D496" s="242"/>
      <c r="E496" s="242"/>
      <c r="F496" s="242"/>
      <c r="G496" s="242"/>
      <c r="H496" s="242"/>
      <c r="I496" s="242"/>
      <c r="J496" s="242"/>
      <c r="K496" s="242"/>
      <c r="L496" s="242"/>
      <c r="M496" s="13"/>
      <c r="N496" s="13"/>
      <c r="O496" s="13"/>
      <c r="P496" s="341"/>
      <c r="Q496" s="13"/>
      <c r="R496" s="242"/>
      <c r="S496" s="242"/>
      <c r="T496" s="242"/>
      <c r="U496" s="242"/>
      <c r="V496" s="242"/>
      <c r="W496" s="242"/>
      <c r="X496" s="242"/>
    </row>
    <row r="497">
      <c r="A497" s="242"/>
      <c r="B497" s="242"/>
      <c r="C497" s="242"/>
      <c r="D497" s="242"/>
      <c r="E497" s="242"/>
      <c r="F497" s="242"/>
      <c r="G497" s="242"/>
      <c r="H497" s="242"/>
      <c r="I497" s="242"/>
      <c r="J497" s="242"/>
      <c r="K497" s="242"/>
      <c r="L497" s="242"/>
      <c r="M497" s="13"/>
      <c r="N497" s="13"/>
      <c r="O497" s="13"/>
      <c r="P497" s="341"/>
      <c r="Q497" s="13"/>
      <c r="R497" s="242"/>
      <c r="S497" s="242"/>
      <c r="T497" s="242"/>
      <c r="U497" s="242"/>
      <c r="V497" s="242"/>
      <c r="W497" s="242"/>
      <c r="X497" s="242"/>
    </row>
    <row r="498">
      <c r="A498" s="242"/>
      <c r="B498" s="242"/>
      <c r="C498" s="242"/>
      <c r="D498" s="242"/>
      <c r="E498" s="242"/>
      <c r="F498" s="242"/>
      <c r="G498" s="242"/>
      <c r="H498" s="242"/>
      <c r="I498" s="242"/>
      <c r="J498" s="242"/>
      <c r="K498" s="242"/>
      <c r="L498" s="242"/>
      <c r="M498" s="13"/>
      <c r="N498" s="13"/>
      <c r="O498" s="13"/>
      <c r="P498" s="341"/>
      <c r="Q498" s="13"/>
      <c r="R498" s="242"/>
      <c r="S498" s="242"/>
      <c r="T498" s="242"/>
      <c r="U498" s="242"/>
      <c r="V498" s="242"/>
      <c r="W498" s="242"/>
      <c r="X498" s="242"/>
    </row>
    <row r="499">
      <c r="A499" s="242"/>
      <c r="B499" s="242"/>
      <c r="C499" s="242"/>
      <c r="D499" s="242"/>
      <c r="E499" s="242"/>
      <c r="F499" s="242"/>
      <c r="G499" s="242"/>
      <c r="H499" s="242"/>
      <c r="I499" s="242"/>
      <c r="J499" s="242"/>
      <c r="K499" s="242"/>
      <c r="L499" s="242"/>
      <c r="M499" s="13"/>
      <c r="N499" s="13"/>
      <c r="O499" s="13"/>
      <c r="P499" s="341"/>
      <c r="Q499" s="13"/>
      <c r="R499" s="242"/>
      <c r="S499" s="242"/>
      <c r="T499" s="242"/>
      <c r="U499" s="242"/>
      <c r="V499" s="242"/>
      <c r="W499" s="242"/>
      <c r="X499" s="242"/>
    </row>
    <row r="500">
      <c r="A500" s="242"/>
      <c r="B500" s="242"/>
      <c r="C500" s="242"/>
      <c r="D500" s="242"/>
      <c r="E500" s="242"/>
      <c r="F500" s="242"/>
      <c r="G500" s="242"/>
      <c r="H500" s="242"/>
      <c r="I500" s="242"/>
      <c r="J500" s="242"/>
      <c r="K500" s="242"/>
      <c r="L500" s="242"/>
      <c r="M500" s="13"/>
      <c r="N500" s="13"/>
      <c r="O500" s="13"/>
      <c r="P500" s="341"/>
      <c r="Q500" s="13"/>
      <c r="R500" s="242"/>
      <c r="S500" s="242"/>
      <c r="T500" s="242"/>
      <c r="U500" s="242"/>
      <c r="V500" s="242"/>
      <c r="W500" s="242"/>
      <c r="X500" s="242"/>
    </row>
    <row r="501">
      <c r="A501" s="242"/>
      <c r="B501" s="242"/>
      <c r="C501" s="242"/>
      <c r="D501" s="242"/>
      <c r="E501" s="242"/>
      <c r="F501" s="242"/>
      <c r="G501" s="242"/>
      <c r="H501" s="242"/>
      <c r="I501" s="242"/>
      <c r="J501" s="242"/>
      <c r="K501" s="242"/>
      <c r="L501" s="242"/>
      <c r="M501" s="13"/>
      <c r="N501" s="13"/>
      <c r="O501" s="13"/>
      <c r="P501" s="341"/>
      <c r="Q501" s="13"/>
      <c r="R501" s="242"/>
      <c r="S501" s="242"/>
      <c r="T501" s="242"/>
      <c r="U501" s="242"/>
      <c r="V501" s="242"/>
      <c r="W501" s="242"/>
      <c r="X501" s="242"/>
    </row>
    <row r="502">
      <c r="A502" s="242"/>
      <c r="B502" s="242"/>
      <c r="C502" s="242"/>
      <c r="D502" s="242"/>
      <c r="E502" s="242"/>
      <c r="F502" s="242"/>
      <c r="G502" s="242"/>
      <c r="H502" s="242"/>
      <c r="I502" s="242"/>
      <c r="J502" s="242"/>
      <c r="K502" s="242"/>
      <c r="L502" s="242"/>
      <c r="M502" s="13"/>
      <c r="N502" s="13"/>
      <c r="O502" s="13"/>
      <c r="P502" s="341"/>
      <c r="Q502" s="13"/>
      <c r="R502" s="242"/>
      <c r="S502" s="242"/>
      <c r="T502" s="242"/>
      <c r="U502" s="242"/>
      <c r="V502" s="242"/>
      <c r="W502" s="242"/>
      <c r="X502" s="242"/>
    </row>
    <row r="503">
      <c r="A503" s="242"/>
      <c r="B503" s="242"/>
      <c r="C503" s="242"/>
      <c r="D503" s="242"/>
      <c r="E503" s="242"/>
      <c r="F503" s="242"/>
      <c r="G503" s="242"/>
      <c r="H503" s="242"/>
      <c r="I503" s="242"/>
      <c r="J503" s="242"/>
      <c r="K503" s="242"/>
      <c r="L503" s="242"/>
      <c r="M503" s="13"/>
      <c r="N503" s="13"/>
      <c r="O503" s="13"/>
      <c r="P503" s="341"/>
      <c r="Q503" s="13"/>
      <c r="R503" s="242"/>
      <c r="S503" s="242"/>
      <c r="T503" s="242"/>
      <c r="U503" s="242"/>
      <c r="V503" s="242"/>
      <c r="W503" s="242"/>
      <c r="X503" s="242"/>
    </row>
    <row r="504">
      <c r="A504" s="242"/>
      <c r="B504" s="242"/>
      <c r="C504" s="242"/>
      <c r="D504" s="242"/>
      <c r="E504" s="242"/>
      <c r="F504" s="242"/>
      <c r="G504" s="242"/>
      <c r="H504" s="242"/>
      <c r="I504" s="242"/>
      <c r="J504" s="242"/>
      <c r="K504" s="242"/>
      <c r="L504" s="242"/>
      <c r="M504" s="13"/>
      <c r="N504" s="13"/>
      <c r="O504" s="13"/>
      <c r="P504" s="341"/>
      <c r="Q504" s="13"/>
      <c r="R504" s="242"/>
      <c r="S504" s="242"/>
      <c r="T504" s="242"/>
      <c r="U504" s="242"/>
      <c r="V504" s="242"/>
      <c r="W504" s="242"/>
      <c r="X504" s="242"/>
    </row>
    <row r="505">
      <c r="A505" s="242"/>
      <c r="B505" s="242"/>
      <c r="C505" s="242"/>
      <c r="D505" s="242"/>
      <c r="E505" s="242"/>
      <c r="F505" s="242"/>
      <c r="G505" s="242"/>
      <c r="H505" s="242"/>
      <c r="I505" s="242"/>
      <c r="J505" s="242"/>
      <c r="K505" s="242"/>
      <c r="L505" s="242"/>
      <c r="M505" s="13"/>
      <c r="N505" s="13"/>
      <c r="O505" s="13"/>
      <c r="P505" s="341"/>
      <c r="Q505" s="13"/>
      <c r="R505" s="242"/>
      <c r="S505" s="242"/>
      <c r="T505" s="242"/>
      <c r="U505" s="242"/>
      <c r="V505" s="242"/>
      <c r="W505" s="242"/>
      <c r="X505" s="242"/>
    </row>
    <row r="506">
      <c r="A506" s="242"/>
      <c r="B506" s="242"/>
      <c r="C506" s="242"/>
      <c r="D506" s="242"/>
      <c r="E506" s="242"/>
      <c r="F506" s="242"/>
      <c r="G506" s="242"/>
      <c r="H506" s="242"/>
      <c r="I506" s="242"/>
      <c r="J506" s="242"/>
      <c r="K506" s="242"/>
      <c r="L506" s="242"/>
      <c r="M506" s="13"/>
      <c r="N506" s="13"/>
      <c r="O506" s="13"/>
      <c r="P506" s="341"/>
      <c r="Q506" s="13"/>
      <c r="R506" s="242"/>
      <c r="S506" s="242"/>
      <c r="T506" s="242"/>
      <c r="U506" s="242"/>
      <c r="V506" s="242"/>
      <c r="W506" s="242"/>
      <c r="X506" s="242"/>
    </row>
    <row r="507">
      <c r="A507" s="242"/>
      <c r="B507" s="242"/>
      <c r="C507" s="242"/>
      <c r="D507" s="242"/>
      <c r="E507" s="242"/>
      <c r="F507" s="242"/>
      <c r="G507" s="242"/>
      <c r="H507" s="242"/>
      <c r="I507" s="242"/>
      <c r="J507" s="242"/>
      <c r="K507" s="242"/>
      <c r="L507" s="242"/>
      <c r="M507" s="13"/>
      <c r="N507" s="13"/>
      <c r="O507" s="13"/>
      <c r="P507" s="341"/>
      <c r="Q507" s="13"/>
      <c r="R507" s="242"/>
      <c r="S507" s="242"/>
      <c r="T507" s="242"/>
      <c r="U507" s="242"/>
      <c r="V507" s="242"/>
      <c r="W507" s="242"/>
      <c r="X507" s="242"/>
    </row>
    <row r="508">
      <c r="A508" s="242"/>
      <c r="B508" s="242"/>
      <c r="C508" s="242"/>
      <c r="D508" s="242"/>
      <c r="E508" s="242"/>
      <c r="F508" s="242"/>
      <c r="G508" s="242"/>
      <c r="H508" s="242"/>
      <c r="I508" s="242"/>
      <c r="J508" s="242"/>
      <c r="K508" s="242"/>
      <c r="L508" s="242"/>
      <c r="M508" s="13"/>
      <c r="N508" s="13"/>
      <c r="O508" s="13"/>
      <c r="P508" s="341"/>
      <c r="Q508" s="13"/>
      <c r="R508" s="242"/>
      <c r="S508" s="242"/>
      <c r="T508" s="242"/>
      <c r="U508" s="242"/>
      <c r="V508" s="242"/>
      <c r="W508" s="242"/>
      <c r="X508" s="242"/>
    </row>
    <row r="509">
      <c r="A509" s="242"/>
      <c r="B509" s="242"/>
      <c r="C509" s="242"/>
      <c r="D509" s="242"/>
      <c r="E509" s="242"/>
      <c r="F509" s="242"/>
      <c r="G509" s="242"/>
      <c r="H509" s="242"/>
      <c r="I509" s="242"/>
      <c r="J509" s="242"/>
      <c r="K509" s="242"/>
      <c r="L509" s="242"/>
      <c r="M509" s="13"/>
      <c r="N509" s="13"/>
      <c r="O509" s="13"/>
      <c r="P509" s="341"/>
      <c r="Q509" s="13"/>
      <c r="R509" s="242"/>
      <c r="S509" s="242"/>
      <c r="T509" s="242"/>
      <c r="U509" s="242"/>
      <c r="V509" s="242"/>
      <c r="W509" s="242"/>
      <c r="X509" s="242"/>
    </row>
    <row r="510">
      <c r="A510" s="242"/>
      <c r="B510" s="242"/>
      <c r="C510" s="242"/>
      <c r="D510" s="242"/>
      <c r="E510" s="242"/>
      <c r="F510" s="242"/>
      <c r="G510" s="242"/>
      <c r="H510" s="242"/>
      <c r="I510" s="242"/>
      <c r="J510" s="242"/>
      <c r="K510" s="242"/>
      <c r="L510" s="242"/>
      <c r="M510" s="13"/>
      <c r="N510" s="13"/>
      <c r="O510" s="13"/>
      <c r="P510" s="341"/>
      <c r="Q510" s="13"/>
      <c r="R510" s="242"/>
      <c r="S510" s="242"/>
      <c r="T510" s="242"/>
      <c r="U510" s="242"/>
      <c r="V510" s="242"/>
      <c r="W510" s="242"/>
      <c r="X510" s="242"/>
    </row>
    <row r="511">
      <c r="A511" s="242"/>
      <c r="B511" s="242"/>
      <c r="C511" s="242"/>
      <c r="D511" s="242"/>
      <c r="E511" s="242"/>
      <c r="F511" s="242"/>
      <c r="G511" s="242"/>
      <c r="H511" s="242"/>
      <c r="I511" s="242"/>
      <c r="J511" s="242"/>
      <c r="K511" s="242"/>
      <c r="L511" s="242"/>
      <c r="M511" s="13"/>
      <c r="N511" s="13"/>
      <c r="O511" s="13"/>
      <c r="P511" s="341"/>
      <c r="Q511" s="13"/>
      <c r="R511" s="242"/>
      <c r="S511" s="242"/>
      <c r="T511" s="242"/>
      <c r="U511" s="242"/>
      <c r="V511" s="242"/>
      <c r="W511" s="242"/>
      <c r="X511" s="242"/>
    </row>
    <row r="512">
      <c r="A512" s="242"/>
      <c r="B512" s="242"/>
      <c r="C512" s="242"/>
      <c r="D512" s="242"/>
      <c r="E512" s="242"/>
      <c r="F512" s="242"/>
      <c r="G512" s="242"/>
      <c r="H512" s="242"/>
      <c r="I512" s="242"/>
      <c r="J512" s="242"/>
      <c r="K512" s="242"/>
      <c r="L512" s="242"/>
      <c r="M512" s="13"/>
      <c r="N512" s="13"/>
      <c r="O512" s="13"/>
      <c r="P512" s="341"/>
      <c r="Q512" s="13"/>
      <c r="R512" s="242"/>
      <c r="S512" s="242"/>
      <c r="T512" s="242"/>
      <c r="U512" s="242"/>
      <c r="V512" s="242"/>
      <c r="W512" s="242"/>
      <c r="X512" s="242"/>
    </row>
    <row r="513">
      <c r="A513" s="242"/>
      <c r="B513" s="242"/>
      <c r="C513" s="242"/>
      <c r="D513" s="242"/>
      <c r="E513" s="242"/>
      <c r="F513" s="242"/>
      <c r="G513" s="242"/>
      <c r="H513" s="242"/>
      <c r="I513" s="242"/>
      <c r="J513" s="242"/>
      <c r="K513" s="242"/>
      <c r="L513" s="242"/>
      <c r="M513" s="13"/>
      <c r="N513" s="13"/>
      <c r="O513" s="13"/>
      <c r="P513" s="341"/>
      <c r="Q513" s="13"/>
      <c r="R513" s="242"/>
      <c r="S513" s="242"/>
      <c r="T513" s="242"/>
      <c r="U513" s="242"/>
      <c r="V513" s="242"/>
      <c r="W513" s="242"/>
      <c r="X513" s="242"/>
    </row>
    <row r="514">
      <c r="A514" s="242"/>
      <c r="B514" s="242"/>
      <c r="C514" s="242"/>
      <c r="D514" s="242"/>
      <c r="E514" s="242"/>
      <c r="F514" s="242"/>
      <c r="G514" s="242"/>
      <c r="H514" s="242"/>
      <c r="I514" s="242"/>
      <c r="J514" s="242"/>
      <c r="K514" s="242"/>
      <c r="L514" s="242"/>
      <c r="M514" s="13"/>
      <c r="N514" s="13"/>
      <c r="O514" s="13"/>
      <c r="P514" s="341"/>
      <c r="Q514" s="13"/>
      <c r="R514" s="242"/>
      <c r="S514" s="242"/>
      <c r="T514" s="242"/>
      <c r="U514" s="242"/>
      <c r="V514" s="242"/>
      <c r="W514" s="242"/>
      <c r="X514" s="242"/>
    </row>
    <row r="515">
      <c r="A515" s="242"/>
      <c r="B515" s="242"/>
      <c r="C515" s="242"/>
      <c r="D515" s="242"/>
      <c r="E515" s="242"/>
      <c r="F515" s="242"/>
      <c r="G515" s="242"/>
      <c r="H515" s="242"/>
      <c r="I515" s="242"/>
      <c r="J515" s="242"/>
      <c r="K515" s="242"/>
      <c r="L515" s="242"/>
      <c r="M515" s="13"/>
      <c r="N515" s="13"/>
      <c r="O515" s="13"/>
      <c r="P515" s="341"/>
      <c r="Q515" s="13"/>
      <c r="R515" s="242"/>
      <c r="S515" s="242"/>
      <c r="T515" s="242"/>
      <c r="U515" s="242"/>
      <c r="V515" s="242"/>
      <c r="W515" s="242"/>
      <c r="X515" s="242"/>
    </row>
    <row r="516">
      <c r="A516" s="242"/>
      <c r="B516" s="242"/>
      <c r="C516" s="242"/>
      <c r="D516" s="242"/>
      <c r="E516" s="242"/>
      <c r="F516" s="242"/>
      <c r="G516" s="242"/>
      <c r="H516" s="242"/>
      <c r="I516" s="242"/>
      <c r="J516" s="242"/>
      <c r="K516" s="242"/>
      <c r="L516" s="242"/>
      <c r="M516" s="13"/>
      <c r="N516" s="13"/>
      <c r="O516" s="13"/>
      <c r="P516" s="341"/>
      <c r="Q516" s="13"/>
      <c r="R516" s="242"/>
      <c r="S516" s="242"/>
      <c r="T516" s="242"/>
      <c r="U516" s="242"/>
      <c r="V516" s="242"/>
      <c r="W516" s="242"/>
      <c r="X516" s="242"/>
    </row>
    <row r="517">
      <c r="A517" s="242"/>
      <c r="B517" s="242"/>
      <c r="C517" s="242"/>
      <c r="D517" s="242"/>
      <c r="E517" s="242"/>
      <c r="F517" s="242"/>
      <c r="G517" s="242"/>
      <c r="H517" s="242"/>
      <c r="I517" s="242"/>
      <c r="J517" s="242"/>
      <c r="K517" s="242"/>
      <c r="L517" s="242"/>
      <c r="M517" s="13"/>
      <c r="N517" s="13"/>
      <c r="O517" s="13"/>
      <c r="P517" s="341"/>
      <c r="Q517" s="13"/>
      <c r="R517" s="242"/>
      <c r="S517" s="242"/>
      <c r="T517" s="242"/>
      <c r="U517" s="242"/>
      <c r="V517" s="242"/>
      <c r="W517" s="242"/>
      <c r="X517" s="242"/>
    </row>
    <row r="518">
      <c r="A518" s="242"/>
      <c r="B518" s="242"/>
      <c r="C518" s="242"/>
      <c r="D518" s="242"/>
      <c r="E518" s="242"/>
      <c r="F518" s="242"/>
      <c r="G518" s="242"/>
      <c r="H518" s="242"/>
      <c r="I518" s="242"/>
      <c r="J518" s="242"/>
      <c r="K518" s="242"/>
      <c r="L518" s="242"/>
      <c r="M518" s="13"/>
      <c r="N518" s="13"/>
      <c r="O518" s="13"/>
      <c r="P518" s="341"/>
      <c r="Q518" s="13"/>
      <c r="R518" s="242"/>
      <c r="S518" s="242"/>
      <c r="T518" s="242"/>
      <c r="U518" s="242"/>
      <c r="V518" s="242"/>
      <c r="W518" s="242"/>
      <c r="X518" s="242"/>
    </row>
    <row r="519">
      <c r="A519" s="242"/>
      <c r="B519" s="242"/>
      <c r="C519" s="242"/>
      <c r="D519" s="242"/>
      <c r="E519" s="242"/>
      <c r="F519" s="242"/>
      <c r="G519" s="242"/>
      <c r="H519" s="242"/>
      <c r="I519" s="242"/>
      <c r="J519" s="242"/>
      <c r="K519" s="242"/>
      <c r="L519" s="242"/>
      <c r="M519" s="13"/>
      <c r="N519" s="13"/>
      <c r="O519" s="13"/>
      <c r="P519" s="341"/>
      <c r="Q519" s="13"/>
      <c r="R519" s="242"/>
      <c r="S519" s="242"/>
      <c r="T519" s="242"/>
      <c r="U519" s="242"/>
      <c r="V519" s="242"/>
      <c r="W519" s="242"/>
      <c r="X519" s="242"/>
    </row>
    <row r="520">
      <c r="A520" s="242"/>
      <c r="B520" s="242"/>
      <c r="C520" s="242"/>
      <c r="D520" s="242"/>
      <c r="E520" s="242"/>
      <c r="F520" s="242"/>
      <c r="G520" s="242"/>
      <c r="H520" s="242"/>
      <c r="I520" s="242"/>
      <c r="J520" s="242"/>
      <c r="K520" s="242"/>
      <c r="L520" s="242"/>
      <c r="M520" s="13"/>
      <c r="N520" s="13"/>
      <c r="O520" s="13"/>
      <c r="P520" s="341"/>
      <c r="Q520" s="13"/>
      <c r="R520" s="242"/>
      <c r="S520" s="242"/>
      <c r="T520" s="242"/>
      <c r="U520" s="242"/>
      <c r="V520" s="242"/>
      <c r="W520" s="242"/>
      <c r="X520" s="242"/>
    </row>
    <row r="521">
      <c r="A521" s="242"/>
      <c r="B521" s="242"/>
      <c r="C521" s="242"/>
      <c r="D521" s="242"/>
      <c r="E521" s="242"/>
      <c r="F521" s="242"/>
      <c r="G521" s="242"/>
      <c r="H521" s="242"/>
      <c r="I521" s="242"/>
      <c r="J521" s="242"/>
      <c r="K521" s="242"/>
      <c r="L521" s="242"/>
      <c r="M521" s="13"/>
      <c r="N521" s="13"/>
      <c r="O521" s="13"/>
      <c r="P521" s="341"/>
      <c r="Q521" s="13"/>
      <c r="R521" s="242"/>
      <c r="S521" s="242"/>
      <c r="T521" s="242"/>
      <c r="U521" s="242"/>
      <c r="V521" s="242"/>
      <c r="W521" s="242"/>
      <c r="X521" s="242"/>
    </row>
    <row r="522">
      <c r="A522" s="242"/>
      <c r="B522" s="242"/>
      <c r="C522" s="242"/>
      <c r="D522" s="242"/>
      <c r="E522" s="242"/>
      <c r="F522" s="242"/>
      <c r="G522" s="242"/>
      <c r="H522" s="242"/>
      <c r="I522" s="242"/>
      <c r="J522" s="242"/>
      <c r="K522" s="242"/>
      <c r="L522" s="242"/>
      <c r="M522" s="13"/>
      <c r="N522" s="13"/>
      <c r="O522" s="13"/>
      <c r="P522" s="341"/>
      <c r="Q522" s="13"/>
      <c r="R522" s="242"/>
      <c r="S522" s="242"/>
      <c r="T522" s="242"/>
      <c r="U522" s="242"/>
      <c r="V522" s="242"/>
      <c r="W522" s="242"/>
      <c r="X522" s="242"/>
    </row>
    <row r="523">
      <c r="A523" s="242"/>
      <c r="B523" s="242"/>
      <c r="C523" s="242"/>
      <c r="D523" s="242"/>
      <c r="E523" s="242"/>
      <c r="F523" s="242"/>
      <c r="G523" s="242"/>
      <c r="H523" s="242"/>
      <c r="I523" s="242"/>
      <c r="J523" s="242"/>
      <c r="K523" s="242"/>
      <c r="L523" s="242"/>
      <c r="M523" s="13"/>
      <c r="N523" s="13"/>
      <c r="O523" s="13"/>
      <c r="P523" s="341"/>
      <c r="Q523" s="13"/>
      <c r="R523" s="242"/>
      <c r="S523" s="242"/>
      <c r="T523" s="242"/>
      <c r="U523" s="242"/>
      <c r="V523" s="242"/>
      <c r="W523" s="242"/>
      <c r="X523" s="242"/>
    </row>
    <row r="524">
      <c r="A524" s="242"/>
      <c r="B524" s="242"/>
      <c r="C524" s="242"/>
      <c r="D524" s="242"/>
      <c r="E524" s="242"/>
      <c r="F524" s="242"/>
      <c r="G524" s="242"/>
      <c r="H524" s="242"/>
      <c r="I524" s="242"/>
      <c r="J524" s="242"/>
      <c r="K524" s="242"/>
      <c r="L524" s="242"/>
      <c r="M524" s="13"/>
      <c r="N524" s="13"/>
      <c r="O524" s="13"/>
      <c r="P524" s="341"/>
      <c r="Q524" s="13"/>
      <c r="R524" s="242"/>
      <c r="S524" s="242"/>
      <c r="T524" s="242"/>
      <c r="U524" s="242"/>
      <c r="V524" s="242"/>
      <c r="W524" s="242"/>
      <c r="X524" s="242"/>
    </row>
    <row r="525">
      <c r="A525" s="242"/>
      <c r="B525" s="242"/>
      <c r="C525" s="242"/>
      <c r="D525" s="242"/>
      <c r="E525" s="242"/>
      <c r="F525" s="242"/>
      <c r="G525" s="242"/>
      <c r="H525" s="242"/>
      <c r="I525" s="242"/>
      <c r="J525" s="242"/>
      <c r="K525" s="242"/>
      <c r="L525" s="242"/>
      <c r="M525" s="13"/>
      <c r="N525" s="13"/>
      <c r="O525" s="13"/>
      <c r="P525" s="341"/>
      <c r="Q525" s="13"/>
      <c r="R525" s="242"/>
      <c r="S525" s="242"/>
      <c r="T525" s="242"/>
      <c r="U525" s="242"/>
      <c r="V525" s="242"/>
      <c r="W525" s="242"/>
      <c r="X525" s="242"/>
    </row>
    <row r="526">
      <c r="A526" s="242"/>
      <c r="B526" s="242"/>
      <c r="C526" s="242"/>
      <c r="D526" s="242"/>
      <c r="E526" s="242"/>
      <c r="F526" s="242"/>
      <c r="G526" s="242"/>
      <c r="H526" s="242"/>
      <c r="I526" s="242"/>
      <c r="J526" s="242"/>
      <c r="K526" s="242"/>
      <c r="L526" s="242"/>
      <c r="M526" s="13"/>
      <c r="N526" s="13"/>
      <c r="O526" s="13"/>
      <c r="P526" s="341"/>
      <c r="Q526" s="13"/>
      <c r="R526" s="242"/>
      <c r="S526" s="242"/>
      <c r="T526" s="242"/>
      <c r="U526" s="242"/>
      <c r="V526" s="242"/>
      <c r="W526" s="242"/>
      <c r="X526" s="242"/>
    </row>
    <row r="527">
      <c r="A527" s="242"/>
      <c r="B527" s="242"/>
      <c r="C527" s="242"/>
      <c r="D527" s="242"/>
      <c r="E527" s="242"/>
      <c r="F527" s="242"/>
      <c r="G527" s="242"/>
      <c r="H527" s="242"/>
      <c r="I527" s="242"/>
      <c r="J527" s="242"/>
      <c r="K527" s="242"/>
      <c r="L527" s="242"/>
      <c r="M527" s="13"/>
      <c r="N527" s="13"/>
      <c r="O527" s="13"/>
      <c r="P527" s="341"/>
      <c r="Q527" s="13"/>
      <c r="R527" s="242"/>
      <c r="S527" s="242"/>
      <c r="T527" s="242"/>
      <c r="U527" s="242"/>
      <c r="V527" s="242"/>
      <c r="W527" s="242"/>
      <c r="X527" s="242"/>
    </row>
    <row r="528">
      <c r="A528" s="242"/>
      <c r="B528" s="242"/>
      <c r="C528" s="242"/>
      <c r="D528" s="242"/>
      <c r="E528" s="242"/>
      <c r="F528" s="242"/>
      <c r="G528" s="242"/>
      <c r="H528" s="242"/>
      <c r="I528" s="242"/>
      <c r="J528" s="242"/>
      <c r="K528" s="242"/>
      <c r="L528" s="242"/>
      <c r="M528" s="13"/>
      <c r="N528" s="13"/>
      <c r="O528" s="13"/>
      <c r="P528" s="341"/>
      <c r="Q528" s="13"/>
      <c r="R528" s="242"/>
      <c r="S528" s="242"/>
      <c r="T528" s="242"/>
      <c r="U528" s="242"/>
      <c r="V528" s="242"/>
      <c r="W528" s="242"/>
      <c r="X528" s="242"/>
    </row>
    <row r="529">
      <c r="A529" s="242"/>
      <c r="B529" s="242"/>
      <c r="C529" s="242"/>
      <c r="D529" s="242"/>
      <c r="E529" s="242"/>
      <c r="F529" s="242"/>
      <c r="G529" s="242"/>
      <c r="H529" s="242"/>
      <c r="I529" s="242"/>
      <c r="J529" s="242"/>
      <c r="K529" s="242"/>
      <c r="L529" s="242"/>
      <c r="M529" s="13"/>
      <c r="N529" s="13"/>
      <c r="O529" s="13"/>
      <c r="P529" s="341"/>
      <c r="Q529" s="13"/>
      <c r="R529" s="242"/>
      <c r="S529" s="242"/>
      <c r="T529" s="242"/>
      <c r="U529" s="242"/>
      <c r="V529" s="242"/>
      <c r="W529" s="242"/>
      <c r="X529" s="242"/>
    </row>
    <row r="530">
      <c r="A530" s="242"/>
      <c r="B530" s="242"/>
      <c r="C530" s="242"/>
      <c r="D530" s="242"/>
      <c r="E530" s="242"/>
      <c r="F530" s="242"/>
      <c r="G530" s="242"/>
      <c r="H530" s="242"/>
      <c r="I530" s="242"/>
      <c r="J530" s="242"/>
      <c r="K530" s="242"/>
      <c r="L530" s="242"/>
      <c r="M530" s="13"/>
      <c r="N530" s="13"/>
      <c r="O530" s="13"/>
      <c r="P530" s="341"/>
      <c r="Q530" s="13"/>
      <c r="R530" s="242"/>
      <c r="S530" s="242"/>
      <c r="T530" s="242"/>
      <c r="U530" s="242"/>
      <c r="V530" s="242"/>
      <c r="W530" s="242"/>
      <c r="X530" s="242"/>
    </row>
    <row r="531">
      <c r="A531" s="242"/>
      <c r="B531" s="242"/>
      <c r="C531" s="242"/>
      <c r="D531" s="242"/>
      <c r="E531" s="242"/>
      <c r="F531" s="242"/>
      <c r="G531" s="242"/>
      <c r="H531" s="242"/>
      <c r="I531" s="242"/>
      <c r="J531" s="242"/>
      <c r="K531" s="242"/>
      <c r="L531" s="242"/>
      <c r="M531" s="13"/>
      <c r="N531" s="13"/>
      <c r="O531" s="13"/>
      <c r="P531" s="341"/>
      <c r="Q531" s="13"/>
      <c r="R531" s="242"/>
      <c r="S531" s="242"/>
      <c r="T531" s="242"/>
      <c r="U531" s="242"/>
      <c r="V531" s="242"/>
      <c r="W531" s="242"/>
      <c r="X531" s="242"/>
    </row>
    <row r="532">
      <c r="A532" s="242"/>
      <c r="B532" s="242"/>
      <c r="C532" s="242"/>
      <c r="D532" s="242"/>
      <c r="E532" s="242"/>
      <c r="F532" s="242"/>
      <c r="G532" s="242"/>
      <c r="H532" s="242"/>
      <c r="I532" s="242"/>
      <c r="J532" s="242"/>
      <c r="K532" s="242"/>
      <c r="L532" s="242"/>
      <c r="M532" s="13"/>
      <c r="N532" s="13"/>
      <c r="O532" s="13"/>
      <c r="P532" s="341"/>
      <c r="Q532" s="13"/>
      <c r="R532" s="242"/>
      <c r="S532" s="242"/>
      <c r="T532" s="242"/>
      <c r="U532" s="242"/>
      <c r="V532" s="242"/>
      <c r="W532" s="242"/>
      <c r="X532" s="242"/>
    </row>
    <row r="533">
      <c r="A533" s="242"/>
      <c r="B533" s="242"/>
      <c r="C533" s="242"/>
      <c r="D533" s="242"/>
      <c r="E533" s="242"/>
      <c r="F533" s="242"/>
      <c r="G533" s="242"/>
      <c r="H533" s="242"/>
      <c r="I533" s="242"/>
      <c r="J533" s="242"/>
      <c r="K533" s="242"/>
      <c r="L533" s="242"/>
      <c r="M533" s="13"/>
      <c r="N533" s="13"/>
      <c r="O533" s="13"/>
      <c r="P533" s="341"/>
      <c r="Q533" s="13"/>
      <c r="R533" s="242"/>
      <c r="S533" s="242"/>
      <c r="T533" s="242"/>
      <c r="U533" s="242"/>
      <c r="V533" s="242"/>
      <c r="W533" s="242"/>
      <c r="X533" s="242"/>
    </row>
    <row r="534">
      <c r="A534" s="242"/>
      <c r="B534" s="242"/>
      <c r="C534" s="242"/>
      <c r="D534" s="242"/>
      <c r="E534" s="242"/>
      <c r="F534" s="242"/>
      <c r="G534" s="242"/>
      <c r="H534" s="242"/>
      <c r="I534" s="242"/>
      <c r="J534" s="242"/>
      <c r="K534" s="242"/>
      <c r="L534" s="242"/>
      <c r="M534" s="13"/>
      <c r="N534" s="13"/>
      <c r="O534" s="13"/>
      <c r="P534" s="341"/>
      <c r="Q534" s="13"/>
      <c r="R534" s="242"/>
      <c r="S534" s="242"/>
      <c r="T534" s="242"/>
      <c r="U534" s="242"/>
      <c r="V534" s="242"/>
      <c r="W534" s="242"/>
      <c r="X534" s="242"/>
    </row>
    <row r="535">
      <c r="A535" s="242"/>
      <c r="B535" s="242"/>
      <c r="C535" s="242"/>
      <c r="D535" s="242"/>
      <c r="E535" s="242"/>
      <c r="F535" s="242"/>
      <c r="G535" s="242"/>
      <c r="H535" s="242"/>
      <c r="I535" s="242"/>
      <c r="J535" s="242"/>
      <c r="K535" s="242"/>
      <c r="L535" s="242"/>
      <c r="M535" s="13"/>
      <c r="N535" s="13"/>
      <c r="O535" s="13"/>
      <c r="P535" s="341"/>
      <c r="Q535" s="13"/>
      <c r="R535" s="242"/>
      <c r="S535" s="242"/>
      <c r="T535" s="242"/>
      <c r="U535" s="242"/>
      <c r="V535" s="242"/>
      <c r="W535" s="242"/>
      <c r="X535" s="242"/>
    </row>
    <row r="536">
      <c r="A536" s="242"/>
      <c r="B536" s="242"/>
      <c r="C536" s="242"/>
      <c r="D536" s="242"/>
      <c r="E536" s="242"/>
      <c r="F536" s="242"/>
      <c r="G536" s="242"/>
      <c r="H536" s="242"/>
      <c r="I536" s="242"/>
      <c r="J536" s="242"/>
      <c r="K536" s="242"/>
      <c r="L536" s="242"/>
      <c r="M536" s="13"/>
      <c r="N536" s="13"/>
      <c r="O536" s="13"/>
      <c r="P536" s="341"/>
      <c r="Q536" s="13"/>
      <c r="R536" s="242"/>
      <c r="S536" s="242"/>
      <c r="T536" s="242"/>
      <c r="U536" s="242"/>
      <c r="V536" s="242"/>
      <c r="W536" s="242"/>
      <c r="X536" s="242"/>
    </row>
    <row r="537">
      <c r="A537" s="242"/>
      <c r="B537" s="242"/>
      <c r="C537" s="242"/>
      <c r="D537" s="242"/>
      <c r="E537" s="242"/>
      <c r="F537" s="242"/>
      <c r="G537" s="242"/>
      <c r="H537" s="242"/>
      <c r="I537" s="242"/>
      <c r="J537" s="242"/>
      <c r="K537" s="242"/>
      <c r="L537" s="242"/>
      <c r="M537" s="13"/>
      <c r="N537" s="13"/>
      <c r="O537" s="13"/>
      <c r="P537" s="341"/>
      <c r="Q537" s="13"/>
      <c r="R537" s="242"/>
      <c r="S537" s="242"/>
      <c r="T537" s="242"/>
      <c r="U537" s="242"/>
      <c r="V537" s="242"/>
      <c r="W537" s="242"/>
      <c r="X537" s="242"/>
    </row>
    <row r="538">
      <c r="A538" s="242"/>
      <c r="B538" s="242"/>
      <c r="C538" s="242"/>
      <c r="D538" s="242"/>
      <c r="E538" s="242"/>
      <c r="F538" s="242"/>
      <c r="G538" s="242"/>
      <c r="H538" s="242"/>
      <c r="I538" s="242"/>
      <c r="J538" s="242"/>
      <c r="K538" s="242"/>
      <c r="L538" s="242"/>
      <c r="M538" s="13"/>
      <c r="N538" s="13"/>
      <c r="O538" s="13"/>
      <c r="P538" s="341"/>
      <c r="Q538" s="13"/>
      <c r="R538" s="242"/>
      <c r="S538" s="242"/>
      <c r="T538" s="242"/>
      <c r="U538" s="242"/>
      <c r="V538" s="242"/>
      <c r="W538" s="242"/>
      <c r="X538" s="242"/>
    </row>
    <row r="539">
      <c r="A539" s="242"/>
      <c r="B539" s="242"/>
      <c r="C539" s="242"/>
      <c r="D539" s="242"/>
      <c r="E539" s="242"/>
      <c r="F539" s="242"/>
      <c r="G539" s="242"/>
      <c r="H539" s="242"/>
      <c r="I539" s="242"/>
      <c r="J539" s="242"/>
      <c r="K539" s="242"/>
      <c r="L539" s="242"/>
      <c r="M539" s="13"/>
      <c r="N539" s="13"/>
      <c r="O539" s="13"/>
      <c r="P539" s="341"/>
      <c r="Q539" s="13"/>
      <c r="R539" s="242"/>
      <c r="S539" s="242"/>
      <c r="T539" s="242"/>
      <c r="U539" s="242"/>
      <c r="V539" s="242"/>
      <c r="W539" s="242"/>
      <c r="X539" s="242"/>
    </row>
    <row r="540">
      <c r="A540" s="242"/>
      <c r="B540" s="242"/>
      <c r="C540" s="242"/>
      <c r="D540" s="242"/>
      <c r="E540" s="242"/>
      <c r="F540" s="242"/>
      <c r="G540" s="242"/>
      <c r="H540" s="242"/>
      <c r="I540" s="242"/>
      <c r="J540" s="242"/>
      <c r="K540" s="242"/>
      <c r="L540" s="242"/>
      <c r="M540" s="13"/>
      <c r="N540" s="13"/>
      <c r="O540" s="13"/>
      <c r="P540" s="341"/>
      <c r="Q540" s="13"/>
      <c r="R540" s="242"/>
      <c r="S540" s="242"/>
      <c r="T540" s="242"/>
      <c r="U540" s="242"/>
      <c r="V540" s="242"/>
      <c r="W540" s="242"/>
      <c r="X540" s="242"/>
    </row>
    <row r="541">
      <c r="A541" s="242"/>
      <c r="B541" s="242"/>
      <c r="C541" s="242"/>
      <c r="D541" s="242"/>
      <c r="E541" s="242"/>
      <c r="F541" s="242"/>
      <c r="G541" s="242"/>
      <c r="H541" s="242"/>
      <c r="I541" s="242"/>
      <c r="J541" s="242"/>
      <c r="K541" s="242"/>
      <c r="L541" s="242"/>
      <c r="M541" s="13"/>
      <c r="N541" s="13"/>
      <c r="O541" s="13"/>
      <c r="P541" s="341"/>
      <c r="Q541" s="13"/>
      <c r="R541" s="242"/>
      <c r="S541" s="242"/>
      <c r="T541" s="242"/>
      <c r="U541" s="242"/>
      <c r="V541" s="242"/>
      <c r="W541" s="242"/>
      <c r="X541" s="242"/>
    </row>
    <row r="542">
      <c r="A542" s="242"/>
      <c r="B542" s="242"/>
      <c r="C542" s="242"/>
      <c r="D542" s="242"/>
      <c r="E542" s="242"/>
      <c r="F542" s="242"/>
      <c r="G542" s="242"/>
      <c r="H542" s="242"/>
      <c r="I542" s="242"/>
      <c r="J542" s="242"/>
      <c r="K542" s="242"/>
      <c r="L542" s="242"/>
      <c r="M542" s="13"/>
      <c r="N542" s="13"/>
      <c r="O542" s="13"/>
      <c r="P542" s="341"/>
      <c r="Q542" s="13"/>
      <c r="R542" s="242"/>
      <c r="S542" s="242"/>
      <c r="T542" s="242"/>
      <c r="U542" s="242"/>
      <c r="V542" s="242"/>
      <c r="W542" s="242"/>
      <c r="X542" s="242"/>
    </row>
    <row r="543">
      <c r="A543" s="242"/>
      <c r="B543" s="242"/>
      <c r="C543" s="242"/>
      <c r="D543" s="242"/>
      <c r="E543" s="242"/>
      <c r="F543" s="242"/>
      <c r="G543" s="242"/>
      <c r="H543" s="242"/>
      <c r="I543" s="242"/>
      <c r="J543" s="242"/>
      <c r="K543" s="242"/>
      <c r="L543" s="242"/>
      <c r="M543" s="13"/>
      <c r="N543" s="13"/>
      <c r="O543" s="13"/>
      <c r="P543" s="341"/>
      <c r="Q543" s="13"/>
      <c r="R543" s="242"/>
      <c r="S543" s="242"/>
      <c r="T543" s="242"/>
      <c r="U543" s="242"/>
      <c r="V543" s="242"/>
      <c r="W543" s="242"/>
      <c r="X543" s="242"/>
    </row>
    <row r="544">
      <c r="A544" s="242"/>
      <c r="B544" s="242"/>
      <c r="C544" s="242"/>
      <c r="D544" s="242"/>
      <c r="E544" s="242"/>
      <c r="F544" s="242"/>
      <c r="G544" s="242"/>
      <c r="H544" s="242"/>
      <c r="I544" s="242"/>
      <c r="J544" s="242"/>
      <c r="K544" s="242"/>
      <c r="L544" s="242"/>
      <c r="M544" s="13"/>
      <c r="N544" s="13"/>
      <c r="O544" s="13"/>
      <c r="P544" s="341"/>
      <c r="Q544" s="13"/>
      <c r="R544" s="242"/>
      <c r="S544" s="242"/>
      <c r="T544" s="242"/>
      <c r="U544" s="242"/>
      <c r="V544" s="242"/>
      <c r="W544" s="242"/>
      <c r="X544" s="242"/>
    </row>
    <row r="545">
      <c r="A545" s="242"/>
      <c r="B545" s="242"/>
      <c r="C545" s="242"/>
      <c r="D545" s="242"/>
      <c r="E545" s="242"/>
      <c r="F545" s="242"/>
      <c r="G545" s="242"/>
      <c r="H545" s="242"/>
      <c r="I545" s="242"/>
      <c r="J545" s="242"/>
      <c r="K545" s="242"/>
      <c r="L545" s="242"/>
      <c r="M545" s="13"/>
      <c r="N545" s="13"/>
      <c r="O545" s="13"/>
      <c r="P545" s="341"/>
      <c r="Q545" s="13"/>
      <c r="R545" s="242"/>
      <c r="S545" s="242"/>
      <c r="T545" s="242"/>
      <c r="U545" s="242"/>
      <c r="V545" s="242"/>
      <c r="W545" s="242"/>
      <c r="X545" s="242"/>
    </row>
    <row r="546">
      <c r="A546" s="242"/>
      <c r="B546" s="242"/>
      <c r="C546" s="242"/>
      <c r="D546" s="242"/>
      <c r="E546" s="242"/>
      <c r="F546" s="242"/>
      <c r="G546" s="242"/>
      <c r="H546" s="242"/>
      <c r="I546" s="242"/>
      <c r="J546" s="242"/>
      <c r="K546" s="242"/>
      <c r="L546" s="242"/>
      <c r="M546" s="13"/>
      <c r="N546" s="13"/>
      <c r="O546" s="13"/>
      <c r="P546" s="341"/>
      <c r="Q546" s="13"/>
      <c r="R546" s="242"/>
      <c r="S546" s="242"/>
      <c r="T546" s="242"/>
      <c r="U546" s="242"/>
      <c r="V546" s="242"/>
      <c r="W546" s="242"/>
      <c r="X546" s="242"/>
    </row>
    <row r="547">
      <c r="A547" s="242"/>
      <c r="B547" s="242"/>
      <c r="C547" s="242"/>
      <c r="D547" s="242"/>
      <c r="E547" s="242"/>
      <c r="F547" s="242"/>
      <c r="G547" s="242"/>
      <c r="H547" s="242"/>
      <c r="I547" s="242"/>
      <c r="J547" s="242"/>
      <c r="K547" s="242"/>
      <c r="L547" s="242"/>
      <c r="M547" s="13"/>
      <c r="N547" s="13"/>
      <c r="O547" s="13"/>
      <c r="P547" s="341"/>
      <c r="Q547" s="13"/>
      <c r="R547" s="242"/>
      <c r="S547" s="242"/>
      <c r="T547" s="242"/>
      <c r="U547" s="242"/>
      <c r="V547" s="242"/>
      <c r="W547" s="242"/>
      <c r="X547" s="242"/>
    </row>
    <row r="548">
      <c r="A548" s="242"/>
      <c r="B548" s="242"/>
      <c r="C548" s="242"/>
      <c r="D548" s="242"/>
      <c r="E548" s="242"/>
      <c r="F548" s="242"/>
      <c r="G548" s="242"/>
      <c r="H548" s="242"/>
      <c r="I548" s="242"/>
      <c r="J548" s="242"/>
      <c r="K548" s="242"/>
      <c r="L548" s="242"/>
      <c r="M548" s="13"/>
      <c r="N548" s="13"/>
      <c r="O548" s="13"/>
      <c r="P548" s="341"/>
      <c r="Q548" s="13"/>
      <c r="R548" s="242"/>
      <c r="S548" s="242"/>
      <c r="T548" s="242"/>
      <c r="U548" s="242"/>
      <c r="V548" s="242"/>
      <c r="W548" s="242"/>
      <c r="X548" s="242"/>
    </row>
    <row r="549">
      <c r="A549" s="242"/>
      <c r="B549" s="242"/>
      <c r="C549" s="242"/>
      <c r="D549" s="242"/>
      <c r="E549" s="242"/>
      <c r="F549" s="242"/>
      <c r="G549" s="242"/>
      <c r="H549" s="242"/>
      <c r="I549" s="242"/>
      <c r="J549" s="242"/>
      <c r="K549" s="242"/>
      <c r="L549" s="242"/>
      <c r="M549" s="13"/>
      <c r="N549" s="13"/>
      <c r="O549" s="13"/>
      <c r="P549" s="341"/>
      <c r="Q549" s="13"/>
      <c r="R549" s="242"/>
      <c r="S549" s="242"/>
      <c r="T549" s="242"/>
      <c r="U549" s="242"/>
      <c r="V549" s="242"/>
      <c r="W549" s="242"/>
      <c r="X549" s="242"/>
    </row>
    <row r="550">
      <c r="A550" s="242"/>
      <c r="B550" s="242"/>
      <c r="C550" s="242"/>
      <c r="D550" s="242"/>
      <c r="E550" s="242"/>
      <c r="F550" s="242"/>
      <c r="G550" s="242"/>
      <c r="H550" s="242"/>
      <c r="I550" s="242"/>
      <c r="J550" s="242"/>
      <c r="K550" s="242"/>
      <c r="L550" s="242"/>
      <c r="M550" s="13"/>
      <c r="N550" s="13"/>
      <c r="O550" s="13"/>
      <c r="P550" s="341"/>
      <c r="Q550" s="13"/>
      <c r="R550" s="242"/>
      <c r="S550" s="242"/>
      <c r="T550" s="242"/>
      <c r="U550" s="242"/>
      <c r="V550" s="242"/>
      <c r="W550" s="242"/>
      <c r="X550" s="242"/>
    </row>
    <row r="551">
      <c r="A551" s="242"/>
      <c r="B551" s="242"/>
      <c r="C551" s="242"/>
      <c r="D551" s="242"/>
      <c r="E551" s="242"/>
      <c r="F551" s="242"/>
      <c r="G551" s="242"/>
      <c r="H551" s="242"/>
      <c r="I551" s="242"/>
      <c r="J551" s="242"/>
      <c r="K551" s="242"/>
      <c r="L551" s="242"/>
      <c r="M551" s="13"/>
      <c r="N551" s="13"/>
      <c r="O551" s="13"/>
      <c r="P551" s="341"/>
      <c r="Q551" s="13"/>
      <c r="R551" s="242"/>
      <c r="S551" s="242"/>
      <c r="T551" s="242"/>
      <c r="U551" s="242"/>
      <c r="V551" s="242"/>
      <c r="W551" s="242"/>
      <c r="X551" s="242"/>
    </row>
    <row r="552">
      <c r="A552" s="242"/>
      <c r="B552" s="242"/>
      <c r="C552" s="242"/>
      <c r="D552" s="242"/>
      <c r="E552" s="242"/>
      <c r="F552" s="242"/>
      <c r="G552" s="242"/>
      <c r="H552" s="242"/>
      <c r="I552" s="242"/>
      <c r="J552" s="242"/>
      <c r="K552" s="242"/>
      <c r="L552" s="242"/>
      <c r="M552" s="13"/>
      <c r="N552" s="13"/>
      <c r="O552" s="13"/>
      <c r="P552" s="341"/>
      <c r="Q552" s="13"/>
      <c r="R552" s="242"/>
      <c r="S552" s="242"/>
      <c r="T552" s="242"/>
      <c r="U552" s="242"/>
      <c r="V552" s="242"/>
      <c r="W552" s="242"/>
      <c r="X552" s="242"/>
    </row>
    <row r="553">
      <c r="A553" s="242"/>
      <c r="B553" s="242"/>
      <c r="C553" s="242"/>
      <c r="D553" s="242"/>
      <c r="E553" s="242"/>
      <c r="F553" s="242"/>
      <c r="G553" s="242"/>
      <c r="H553" s="242"/>
      <c r="I553" s="242"/>
      <c r="J553" s="242"/>
      <c r="K553" s="242"/>
      <c r="L553" s="242"/>
      <c r="M553" s="13"/>
      <c r="N553" s="13"/>
      <c r="O553" s="13"/>
      <c r="P553" s="341"/>
      <c r="Q553" s="13"/>
      <c r="R553" s="242"/>
      <c r="S553" s="242"/>
      <c r="T553" s="242"/>
      <c r="U553" s="242"/>
      <c r="V553" s="242"/>
      <c r="W553" s="242"/>
      <c r="X553" s="242"/>
    </row>
    <row r="554">
      <c r="A554" s="242"/>
      <c r="B554" s="242"/>
      <c r="C554" s="242"/>
      <c r="D554" s="242"/>
      <c r="E554" s="242"/>
      <c r="F554" s="242"/>
      <c r="G554" s="242"/>
      <c r="H554" s="242"/>
      <c r="I554" s="242"/>
      <c r="J554" s="242"/>
      <c r="K554" s="242"/>
      <c r="L554" s="242"/>
      <c r="M554" s="13"/>
      <c r="N554" s="13"/>
      <c r="O554" s="13"/>
      <c r="P554" s="341"/>
      <c r="Q554" s="13"/>
      <c r="R554" s="242"/>
      <c r="S554" s="242"/>
      <c r="T554" s="242"/>
      <c r="U554" s="242"/>
      <c r="V554" s="242"/>
      <c r="W554" s="242"/>
      <c r="X554" s="242"/>
    </row>
    <row r="555">
      <c r="A555" s="242"/>
      <c r="B555" s="242"/>
      <c r="C555" s="242"/>
      <c r="D555" s="242"/>
      <c r="E555" s="242"/>
      <c r="F555" s="242"/>
      <c r="G555" s="242"/>
      <c r="H555" s="242"/>
      <c r="I555" s="242"/>
      <c r="J555" s="242"/>
      <c r="K555" s="242"/>
      <c r="L555" s="242"/>
      <c r="M555" s="13"/>
      <c r="N555" s="13"/>
      <c r="O555" s="13"/>
      <c r="P555" s="341"/>
      <c r="Q555" s="13"/>
      <c r="R555" s="242"/>
      <c r="S555" s="242"/>
      <c r="T555" s="242"/>
      <c r="U555" s="242"/>
      <c r="V555" s="242"/>
      <c r="W555" s="242"/>
      <c r="X555" s="242"/>
    </row>
    <row r="556">
      <c r="A556" s="242"/>
      <c r="B556" s="242"/>
      <c r="C556" s="242"/>
      <c r="D556" s="242"/>
      <c r="E556" s="242"/>
      <c r="F556" s="242"/>
      <c r="G556" s="242"/>
      <c r="H556" s="242"/>
      <c r="I556" s="242"/>
      <c r="J556" s="242"/>
      <c r="K556" s="242"/>
      <c r="L556" s="242"/>
      <c r="M556" s="13"/>
      <c r="N556" s="13"/>
      <c r="O556" s="13"/>
      <c r="P556" s="341"/>
      <c r="Q556" s="13"/>
      <c r="R556" s="242"/>
      <c r="S556" s="242"/>
      <c r="T556" s="242"/>
      <c r="U556" s="242"/>
      <c r="V556" s="242"/>
      <c r="W556" s="242"/>
      <c r="X556" s="242"/>
    </row>
    <row r="557">
      <c r="A557" s="242"/>
      <c r="B557" s="242"/>
      <c r="C557" s="242"/>
      <c r="D557" s="242"/>
      <c r="E557" s="242"/>
      <c r="F557" s="242"/>
      <c r="G557" s="242"/>
      <c r="H557" s="242"/>
      <c r="I557" s="242"/>
      <c r="J557" s="242"/>
      <c r="K557" s="242"/>
      <c r="L557" s="242"/>
      <c r="M557" s="13"/>
      <c r="N557" s="13"/>
      <c r="O557" s="13"/>
      <c r="P557" s="341"/>
      <c r="Q557" s="13"/>
      <c r="R557" s="242"/>
      <c r="S557" s="242"/>
      <c r="T557" s="242"/>
      <c r="U557" s="242"/>
      <c r="V557" s="242"/>
      <c r="W557" s="242"/>
      <c r="X557" s="242"/>
    </row>
    <row r="558">
      <c r="A558" s="242"/>
      <c r="B558" s="242"/>
      <c r="C558" s="242"/>
      <c r="D558" s="242"/>
      <c r="E558" s="242"/>
      <c r="F558" s="242"/>
      <c r="G558" s="242"/>
      <c r="H558" s="242"/>
      <c r="I558" s="242"/>
      <c r="J558" s="242"/>
      <c r="K558" s="242"/>
      <c r="L558" s="242"/>
      <c r="M558" s="13"/>
      <c r="N558" s="13"/>
      <c r="O558" s="13"/>
      <c r="P558" s="341"/>
      <c r="Q558" s="13"/>
      <c r="R558" s="242"/>
      <c r="S558" s="242"/>
      <c r="T558" s="242"/>
      <c r="U558" s="242"/>
      <c r="V558" s="242"/>
      <c r="W558" s="242"/>
      <c r="X558" s="242"/>
    </row>
    <row r="559">
      <c r="A559" s="242"/>
      <c r="B559" s="242"/>
      <c r="C559" s="242"/>
      <c r="D559" s="242"/>
      <c r="E559" s="242"/>
      <c r="F559" s="242"/>
      <c r="G559" s="242"/>
      <c r="H559" s="242"/>
      <c r="I559" s="242"/>
      <c r="J559" s="242"/>
      <c r="K559" s="242"/>
      <c r="L559" s="242"/>
      <c r="M559" s="13"/>
      <c r="N559" s="13"/>
      <c r="O559" s="13"/>
      <c r="P559" s="341"/>
      <c r="Q559" s="13"/>
      <c r="R559" s="242"/>
      <c r="S559" s="242"/>
      <c r="T559" s="242"/>
      <c r="U559" s="242"/>
      <c r="V559" s="242"/>
      <c r="W559" s="242"/>
      <c r="X559" s="242"/>
    </row>
    <row r="560">
      <c r="A560" s="242"/>
      <c r="B560" s="242"/>
      <c r="C560" s="242"/>
      <c r="D560" s="242"/>
      <c r="E560" s="242"/>
      <c r="F560" s="242"/>
      <c r="G560" s="242"/>
      <c r="H560" s="242"/>
      <c r="I560" s="242"/>
      <c r="J560" s="242"/>
      <c r="K560" s="242"/>
      <c r="L560" s="242"/>
      <c r="M560" s="13"/>
      <c r="N560" s="13"/>
      <c r="O560" s="13"/>
      <c r="P560" s="341"/>
      <c r="Q560" s="13"/>
      <c r="R560" s="242"/>
      <c r="S560" s="242"/>
      <c r="T560" s="242"/>
      <c r="U560" s="242"/>
      <c r="V560" s="242"/>
      <c r="W560" s="242"/>
      <c r="X560" s="242"/>
    </row>
    <row r="561">
      <c r="A561" s="242"/>
      <c r="B561" s="242"/>
      <c r="C561" s="242"/>
      <c r="D561" s="242"/>
      <c r="E561" s="242"/>
      <c r="F561" s="242"/>
      <c r="G561" s="242"/>
      <c r="H561" s="242"/>
      <c r="I561" s="242"/>
      <c r="J561" s="242"/>
      <c r="K561" s="242"/>
      <c r="L561" s="242"/>
      <c r="M561" s="13"/>
      <c r="N561" s="13"/>
      <c r="O561" s="13"/>
      <c r="P561" s="341"/>
      <c r="Q561" s="13"/>
      <c r="R561" s="242"/>
      <c r="S561" s="242"/>
      <c r="T561" s="242"/>
      <c r="U561" s="242"/>
      <c r="V561" s="242"/>
      <c r="W561" s="242"/>
      <c r="X561" s="242"/>
    </row>
    <row r="562">
      <c r="A562" s="242"/>
      <c r="B562" s="242"/>
      <c r="C562" s="242"/>
      <c r="D562" s="242"/>
      <c r="E562" s="242"/>
      <c r="F562" s="242"/>
      <c r="G562" s="242"/>
      <c r="H562" s="242"/>
      <c r="I562" s="242"/>
      <c r="J562" s="242"/>
      <c r="K562" s="242"/>
      <c r="L562" s="242"/>
      <c r="M562" s="13"/>
      <c r="N562" s="13"/>
      <c r="O562" s="13"/>
      <c r="P562" s="341"/>
      <c r="Q562" s="13"/>
      <c r="R562" s="242"/>
      <c r="S562" s="242"/>
      <c r="T562" s="242"/>
      <c r="U562" s="242"/>
      <c r="V562" s="242"/>
      <c r="W562" s="242"/>
      <c r="X562" s="242"/>
    </row>
    <row r="563">
      <c r="A563" s="242"/>
      <c r="B563" s="242"/>
      <c r="C563" s="242"/>
      <c r="D563" s="242"/>
      <c r="E563" s="242"/>
      <c r="F563" s="242"/>
      <c r="G563" s="242"/>
      <c r="H563" s="242"/>
      <c r="I563" s="242"/>
      <c r="J563" s="242"/>
      <c r="K563" s="242"/>
      <c r="L563" s="242"/>
      <c r="M563" s="13"/>
      <c r="N563" s="13"/>
      <c r="O563" s="13"/>
      <c r="P563" s="341"/>
      <c r="Q563" s="13"/>
      <c r="R563" s="242"/>
      <c r="S563" s="242"/>
      <c r="T563" s="242"/>
      <c r="U563" s="242"/>
      <c r="V563" s="242"/>
      <c r="W563" s="242"/>
      <c r="X563" s="242"/>
    </row>
    <row r="564">
      <c r="A564" s="242"/>
      <c r="B564" s="242"/>
      <c r="C564" s="242"/>
      <c r="D564" s="242"/>
      <c r="E564" s="242"/>
      <c r="F564" s="242"/>
      <c r="G564" s="242"/>
      <c r="H564" s="242"/>
      <c r="I564" s="242"/>
      <c r="J564" s="242"/>
      <c r="K564" s="242"/>
      <c r="L564" s="242"/>
      <c r="M564" s="13"/>
      <c r="N564" s="13"/>
      <c r="O564" s="13"/>
      <c r="P564" s="341"/>
      <c r="Q564" s="13"/>
      <c r="R564" s="242"/>
      <c r="S564" s="242"/>
      <c r="T564" s="242"/>
      <c r="U564" s="242"/>
      <c r="V564" s="242"/>
      <c r="W564" s="242"/>
      <c r="X564" s="242"/>
    </row>
    <row r="565">
      <c r="A565" s="242"/>
      <c r="B565" s="242"/>
      <c r="C565" s="242"/>
      <c r="D565" s="242"/>
      <c r="E565" s="242"/>
      <c r="F565" s="242"/>
      <c r="G565" s="242"/>
      <c r="H565" s="242"/>
      <c r="I565" s="242"/>
      <c r="J565" s="242"/>
      <c r="K565" s="242"/>
      <c r="L565" s="242"/>
      <c r="M565" s="13"/>
      <c r="N565" s="13"/>
      <c r="O565" s="13"/>
      <c r="P565" s="341"/>
      <c r="Q565" s="13"/>
      <c r="R565" s="242"/>
      <c r="S565" s="242"/>
      <c r="T565" s="242"/>
      <c r="U565" s="242"/>
      <c r="V565" s="242"/>
      <c r="W565" s="242"/>
      <c r="X565" s="242"/>
    </row>
    <row r="566">
      <c r="A566" s="242"/>
      <c r="B566" s="242"/>
      <c r="C566" s="242"/>
      <c r="D566" s="242"/>
      <c r="E566" s="242"/>
      <c r="F566" s="242"/>
      <c r="G566" s="242"/>
      <c r="H566" s="242"/>
      <c r="I566" s="242"/>
      <c r="J566" s="242"/>
      <c r="K566" s="242"/>
      <c r="L566" s="242"/>
      <c r="M566" s="13"/>
      <c r="N566" s="13"/>
      <c r="O566" s="13"/>
      <c r="P566" s="341"/>
      <c r="Q566" s="13"/>
      <c r="R566" s="242"/>
      <c r="S566" s="242"/>
      <c r="T566" s="242"/>
      <c r="U566" s="242"/>
      <c r="V566" s="242"/>
      <c r="W566" s="242"/>
      <c r="X566" s="242"/>
    </row>
    <row r="567">
      <c r="A567" s="242"/>
      <c r="B567" s="242"/>
      <c r="C567" s="242"/>
      <c r="D567" s="242"/>
      <c r="E567" s="242"/>
      <c r="F567" s="242"/>
      <c r="G567" s="242"/>
      <c r="H567" s="242"/>
      <c r="I567" s="242"/>
      <c r="J567" s="242"/>
      <c r="K567" s="242"/>
      <c r="L567" s="242"/>
      <c r="M567" s="13"/>
      <c r="N567" s="13"/>
      <c r="O567" s="13"/>
      <c r="P567" s="341"/>
      <c r="Q567" s="13"/>
      <c r="R567" s="242"/>
      <c r="S567" s="242"/>
      <c r="T567" s="242"/>
      <c r="U567" s="242"/>
      <c r="V567" s="242"/>
      <c r="W567" s="242"/>
      <c r="X567" s="242"/>
    </row>
    <row r="568">
      <c r="A568" s="242"/>
      <c r="B568" s="242"/>
      <c r="C568" s="242"/>
      <c r="D568" s="242"/>
      <c r="E568" s="242"/>
      <c r="F568" s="242"/>
      <c r="G568" s="242"/>
      <c r="H568" s="242"/>
      <c r="I568" s="242"/>
      <c r="J568" s="242"/>
      <c r="K568" s="242"/>
      <c r="L568" s="242"/>
      <c r="M568" s="13"/>
      <c r="N568" s="13"/>
      <c r="O568" s="13"/>
      <c r="P568" s="341"/>
      <c r="Q568" s="13"/>
      <c r="R568" s="242"/>
      <c r="S568" s="242"/>
      <c r="T568" s="242"/>
      <c r="U568" s="242"/>
      <c r="V568" s="242"/>
      <c r="W568" s="242"/>
      <c r="X568" s="242"/>
    </row>
    <row r="569">
      <c r="A569" s="242"/>
      <c r="B569" s="242"/>
      <c r="C569" s="242"/>
      <c r="D569" s="242"/>
      <c r="E569" s="242"/>
      <c r="F569" s="242"/>
      <c r="G569" s="242"/>
      <c r="H569" s="242"/>
      <c r="I569" s="242"/>
      <c r="J569" s="242"/>
      <c r="K569" s="242"/>
      <c r="L569" s="242"/>
      <c r="M569" s="13"/>
      <c r="N569" s="13"/>
      <c r="O569" s="13"/>
      <c r="P569" s="341"/>
      <c r="Q569" s="13"/>
      <c r="R569" s="242"/>
      <c r="S569" s="242"/>
      <c r="T569" s="242"/>
      <c r="U569" s="242"/>
      <c r="V569" s="242"/>
      <c r="W569" s="242"/>
      <c r="X569" s="242"/>
    </row>
    <row r="570">
      <c r="A570" s="242"/>
      <c r="B570" s="242"/>
      <c r="C570" s="242"/>
      <c r="D570" s="242"/>
      <c r="E570" s="242"/>
      <c r="F570" s="242"/>
      <c r="G570" s="242"/>
      <c r="H570" s="242"/>
      <c r="I570" s="242"/>
      <c r="J570" s="242"/>
      <c r="K570" s="242"/>
      <c r="L570" s="242"/>
      <c r="M570" s="13"/>
      <c r="N570" s="13"/>
      <c r="O570" s="13"/>
      <c r="P570" s="341"/>
      <c r="Q570" s="13"/>
      <c r="R570" s="242"/>
      <c r="S570" s="242"/>
      <c r="T570" s="242"/>
      <c r="U570" s="242"/>
      <c r="V570" s="242"/>
      <c r="W570" s="242"/>
      <c r="X570" s="242"/>
    </row>
    <row r="571">
      <c r="A571" s="242"/>
      <c r="B571" s="242"/>
      <c r="C571" s="242"/>
      <c r="D571" s="242"/>
      <c r="E571" s="242"/>
      <c r="F571" s="242"/>
      <c r="G571" s="242"/>
      <c r="H571" s="242"/>
      <c r="I571" s="242"/>
      <c r="J571" s="242"/>
      <c r="K571" s="242"/>
      <c r="L571" s="242"/>
      <c r="M571" s="13"/>
      <c r="N571" s="13"/>
      <c r="O571" s="13"/>
      <c r="P571" s="341"/>
      <c r="Q571" s="13"/>
      <c r="R571" s="242"/>
      <c r="S571" s="242"/>
      <c r="T571" s="242"/>
      <c r="U571" s="242"/>
      <c r="V571" s="242"/>
      <c r="W571" s="242"/>
      <c r="X571" s="242"/>
    </row>
    <row r="572">
      <c r="A572" s="242"/>
      <c r="B572" s="242"/>
      <c r="C572" s="242"/>
      <c r="D572" s="242"/>
      <c r="E572" s="242"/>
      <c r="F572" s="242"/>
      <c r="G572" s="242"/>
      <c r="H572" s="242"/>
      <c r="I572" s="242"/>
      <c r="J572" s="242"/>
      <c r="K572" s="242"/>
      <c r="L572" s="242"/>
      <c r="M572" s="13"/>
      <c r="N572" s="13"/>
      <c r="O572" s="13"/>
      <c r="P572" s="341"/>
      <c r="Q572" s="13"/>
      <c r="R572" s="242"/>
      <c r="S572" s="242"/>
      <c r="T572" s="242"/>
      <c r="U572" s="242"/>
      <c r="V572" s="242"/>
      <c r="W572" s="242"/>
      <c r="X572" s="242"/>
    </row>
    <row r="573">
      <c r="A573" s="242"/>
      <c r="B573" s="242"/>
      <c r="C573" s="242"/>
      <c r="D573" s="242"/>
      <c r="E573" s="242"/>
      <c r="F573" s="242"/>
      <c r="G573" s="242"/>
      <c r="H573" s="242"/>
      <c r="I573" s="242"/>
      <c r="J573" s="242"/>
      <c r="K573" s="242"/>
      <c r="L573" s="242"/>
      <c r="M573" s="13"/>
      <c r="N573" s="13"/>
      <c r="O573" s="13"/>
      <c r="P573" s="341"/>
      <c r="Q573" s="13"/>
      <c r="R573" s="242"/>
      <c r="S573" s="242"/>
      <c r="T573" s="242"/>
      <c r="U573" s="242"/>
      <c r="V573" s="242"/>
      <c r="W573" s="242"/>
      <c r="X573" s="242"/>
    </row>
    <row r="574">
      <c r="A574" s="242"/>
      <c r="B574" s="242"/>
      <c r="C574" s="242"/>
      <c r="D574" s="242"/>
      <c r="E574" s="242"/>
      <c r="F574" s="242"/>
      <c r="G574" s="242"/>
      <c r="H574" s="242"/>
      <c r="I574" s="242"/>
      <c r="J574" s="242"/>
      <c r="K574" s="242"/>
      <c r="L574" s="242"/>
      <c r="M574" s="13"/>
      <c r="N574" s="13"/>
      <c r="O574" s="13"/>
      <c r="P574" s="341"/>
      <c r="Q574" s="13"/>
      <c r="R574" s="242"/>
      <c r="S574" s="242"/>
      <c r="T574" s="242"/>
      <c r="U574" s="242"/>
      <c r="V574" s="242"/>
      <c r="W574" s="242"/>
      <c r="X574" s="242"/>
    </row>
    <row r="575">
      <c r="A575" s="242"/>
      <c r="B575" s="242"/>
      <c r="C575" s="242"/>
      <c r="D575" s="242"/>
      <c r="E575" s="242"/>
      <c r="F575" s="242"/>
      <c r="G575" s="242"/>
      <c r="H575" s="242"/>
      <c r="I575" s="242"/>
      <c r="J575" s="242"/>
      <c r="K575" s="242"/>
      <c r="L575" s="242"/>
      <c r="M575" s="13"/>
      <c r="N575" s="13"/>
      <c r="O575" s="13"/>
      <c r="P575" s="341"/>
      <c r="Q575" s="13"/>
      <c r="R575" s="242"/>
      <c r="S575" s="242"/>
      <c r="T575" s="242"/>
      <c r="U575" s="242"/>
      <c r="V575" s="242"/>
      <c r="W575" s="242"/>
      <c r="X575" s="242"/>
    </row>
    <row r="576">
      <c r="A576" s="242"/>
      <c r="B576" s="242"/>
      <c r="C576" s="242"/>
      <c r="D576" s="242"/>
      <c r="E576" s="242"/>
      <c r="F576" s="242"/>
      <c r="G576" s="242"/>
      <c r="H576" s="242"/>
      <c r="I576" s="242"/>
      <c r="J576" s="242"/>
      <c r="K576" s="242"/>
      <c r="L576" s="242"/>
      <c r="M576" s="13"/>
      <c r="N576" s="13"/>
      <c r="O576" s="13"/>
      <c r="P576" s="341"/>
      <c r="Q576" s="13"/>
      <c r="R576" s="242"/>
      <c r="S576" s="242"/>
      <c r="T576" s="242"/>
      <c r="U576" s="242"/>
      <c r="V576" s="242"/>
      <c r="W576" s="242"/>
      <c r="X576" s="242"/>
    </row>
    <row r="577">
      <c r="A577" s="242"/>
      <c r="B577" s="242"/>
      <c r="C577" s="242"/>
      <c r="D577" s="242"/>
      <c r="E577" s="242"/>
      <c r="F577" s="242"/>
      <c r="G577" s="242"/>
      <c r="H577" s="242"/>
      <c r="I577" s="242"/>
      <c r="J577" s="242"/>
      <c r="K577" s="242"/>
      <c r="L577" s="242"/>
      <c r="M577" s="13"/>
      <c r="N577" s="13"/>
      <c r="O577" s="13"/>
      <c r="P577" s="341"/>
      <c r="Q577" s="13"/>
      <c r="R577" s="242"/>
      <c r="S577" s="242"/>
      <c r="T577" s="242"/>
      <c r="U577" s="242"/>
      <c r="V577" s="242"/>
      <c r="W577" s="242"/>
      <c r="X577" s="242"/>
    </row>
    <row r="578">
      <c r="A578" s="242"/>
      <c r="B578" s="242"/>
      <c r="C578" s="242"/>
      <c r="D578" s="242"/>
      <c r="E578" s="242"/>
      <c r="F578" s="242"/>
      <c r="G578" s="242"/>
      <c r="H578" s="242"/>
      <c r="I578" s="242"/>
      <c r="J578" s="242"/>
      <c r="K578" s="242"/>
      <c r="L578" s="242"/>
      <c r="M578" s="13"/>
      <c r="N578" s="13"/>
      <c r="O578" s="13"/>
      <c r="P578" s="341"/>
      <c r="Q578" s="13"/>
      <c r="R578" s="242"/>
      <c r="S578" s="242"/>
      <c r="T578" s="242"/>
      <c r="U578" s="242"/>
      <c r="V578" s="242"/>
      <c r="W578" s="242"/>
      <c r="X578" s="242"/>
    </row>
    <row r="579">
      <c r="A579" s="242"/>
      <c r="B579" s="242"/>
      <c r="C579" s="242"/>
      <c r="D579" s="242"/>
      <c r="E579" s="242"/>
      <c r="F579" s="242"/>
      <c r="G579" s="242"/>
      <c r="H579" s="242"/>
      <c r="I579" s="242"/>
      <c r="J579" s="242"/>
      <c r="K579" s="242"/>
      <c r="L579" s="242"/>
      <c r="M579" s="13"/>
      <c r="N579" s="13"/>
      <c r="O579" s="13"/>
      <c r="P579" s="341"/>
      <c r="Q579" s="13"/>
      <c r="R579" s="242"/>
      <c r="S579" s="242"/>
      <c r="T579" s="242"/>
      <c r="U579" s="242"/>
      <c r="V579" s="242"/>
      <c r="W579" s="242"/>
      <c r="X579" s="242"/>
    </row>
    <row r="580">
      <c r="A580" s="242"/>
      <c r="B580" s="242"/>
      <c r="C580" s="242"/>
      <c r="D580" s="242"/>
      <c r="E580" s="242"/>
      <c r="F580" s="242"/>
      <c r="G580" s="242"/>
      <c r="H580" s="242"/>
      <c r="I580" s="242"/>
      <c r="J580" s="242"/>
      <c r="K580" s="242"/>
      <c r="L580" s="242"/>
      <c r="M580" s="13"/>
      <c r="N580" s="13"/>
      <c r="O580" s="13"/>
      <c r="P580" s="341"/>
      <c r="Q580" s="13"/>
      <c r="R580" s="242"/>
      <c r="S580" s="242"/>
      <c r="T580" s="242"/>
      <c r="U580" s="242"/>
      <c r="V580" s="242"/>
      <c r="W580" s="242"/>
      <c r="X580" s="242"/>
    </row>
    <row r="581">
      <c r="A581" s="242"/>
      <c r="B581" s="242"/>
      <c r="C581" s="242"/>
      <c r="D581" s="242"/>
      <c r="E581" s="242"/>
      <c r="F581" s="242"/>
      <c r="G581" s="242"/>
      <c r="H581" s="242"/>
      <c r="I581" s="242"/>
      <c r="J581" s="242"/>
      <c r="K581" s="242"/>
      <c r="L581" s="242"/>
      <c r="M581" s="13"/>
      <c r="N581" s="13"/>
      <c r="O581" s="13"/>
      <c r="P581" s="341"/>
      <c r="Q581" s="13"/>
      <c r="R581" s="242"/>
      <c r="S581" s="242"/>
      <c r="T581" s="242"/>
      <c r="U581" s="242"/>
      <c r="V581" s="242"/>
      <c r="W581" s="242"/>
      <c r="X581" s="242"/>
    </row>
    <row r="582">
      <c r="A582" s="242"/>
      <c r="B582" s="242"/>
      <c r="C582" s="242"/>
      <c r="D582" s="242"/>
      <c r="E582" s="242"/>
      <c r="F582" s="242"/>
      <c r="G582" s="242"/>
      <c r="H582" s="242"/>
      <c r="I582" s="242"/>
      <c r="J582" s="242"/>
      <c r="K582" s="242"/>
      <c r="L582" s="242"/>
      <c r="M582" s="13"/>
      <c r="N582" s="13"/>
      <c r="O582" s="13"/>
      <c r="P582" s="341"/>
      <c r="Q582" s="13"/>
      <c r="R582" s="242"/>
      <c r="S582" s="242"/>
      <c r="T582" s="242"/>
      <c r="U582" s="242"/>
      <c r="V582" s="242"/>
      <c r="W582" s="242"/>
      <c r="X582" s="242"/>
    </row>
    <row r="583">
      <c r="A583" s="242"/>
      <c r="B583" s="242"/>
      <c r="C583" s="242"/>
      <c r="D583" s="242"/>
      <c r="E583" s="242"/>
      <c r="F583" s="242"/>
      <c r="G583" s="242"/>
      <c r="H583" s="242"/>
      <c r="I583" s="242"/>
      <c r="J583" s="242"/>
      <c r="K583" s="242"/>
      <c r="L583" s="242"/>
      <c r="M583" s="13"/>
      <c r="N583" s="13"/>
      <c r="O583" s="13"/>
      <c r="P583" s="341"/>
      <c r="Q583" s="13"/>
      <c r="R583" s="242"/>
      <c r="S583" s="242"/>
      <c r="T583" s="242"/>
      <c r="U583" s="242"/>
      <c r="V583" s="242"/>
      <c r="W583" s="242"/>
      <c r="X583" s="242"/>
    </row>
    <row r="584">
      <c r="A584" s="242"/>
      <c r="B584" s="242"/>
      <c r="C584" s="242"/>
      <c r="D584" s="242"/>
      <c r="E584" s="242"/>
      <c r="F584" s="242"/>
      <c r="G584" s="242"/>
      <c r="H584" s="242"/>
      <c r="I584" s="242"/>
      <c r="J584" s="242"/>
      <c r="K584" s="242"/>
      <c r="L584" s="242"/>
      <c r="M584" s="13"/>
      <c r="N584" s="13"/>
      <c r="O584" s="13"/>
      <c r="P584" s="341"/>
      <c r="Q584" s="13"/>
      <c r="R584" s="242"/>
      <c r="S584" s="242"/>
      <c r="T584" s="242"/>
      <c r="U584" s="242"/>
      <c r="V584" s="242"/>
      <c r="W584" s="242"/>
      <c r="X584" s="242"/>
    </row>
    <row r="585">
      <c r="A585" s="242"/>
      <c r="B585" s="242"/>
      <c r="C585" s="242"/>
      <c r="D585" s="242"/>
      <c r="E585" s="242"/>
      <c r="F585" s="242"/>
      <c r="G585" s="242"/>
      <c r="H585" s="242"/>
      <c r="I585" s="242"/>
      <c r="J585" s="242"/>
      <c r="K585" s="242"/>
      <c r="L585" s="242"/>
      <c r="M585" s="13"/>
      <c r="N585" s="13"/>
      <c r="O585" s="13"/>
      <c r="P585" s="341"/>
      <c r="Q585" s="13"/>
      <c r="R585" s="242"/>
      <c r="S585" s="242"/>
      <c r="T585" s="242"/>
      <c r="U585" s="242"/>
      <c r="V585" s="242"/>
      <c r="W585" s="242"/>
      <c r="X585" s="242"/>
    </row>
    <row r="586">
      <c r="A586" s="242"/>
      <c r="B586" s="242"/>
      <c r="C586" s="242"/>
      <c r="D586" s="242"/>
      <c r="E586" s="242"/>
      <c r="F586" s="242"/>
      <c r="G586" s="242"/>
      <c r="H586" s="242"/>
      <c r="I586" s="242"/>
      <c r="J586" s="242"/>
      <c r="K586" s="242"/>
      <c r="L586" s="242"/>
      <c r="M586" s="13"/>
      <c r="N586" s="13"/>
      <c r="O586" s="13"/>
      <c r="P586" s="341"/>
      <c r="Q586" s="13"/>
      <c r="R586" s="242"/>
      <c r="S586" s="242"/>
      <c r="T586" s="242"/>
      <c r="U586" s="242"/>
      <c r="V586" s="242"/>
      <c r="W586" s="242"/>
      <c r="X586" s="242"/>
    </row>
    <row r="587">
      <c r="A587" s="242"/>
      <c r="B587" s="242"/>
      <c r="C587" s="242"/>
      <c r="D587" s="242"/>
      <c r="E587" s="242"/>
      <c r="F587" s="242"/>
      <c r="G587" s="242"/>
      <c r="H587" s="242"/>
      <c r="I587" s="242"/>
      <c r="J587" s="242"/>
      <c r="K587" s="242"/>
      <c r="L587" s="242"/>
      <c r="M587" s="13"/>
      <c r="N587" s="13"/>
      <c r="O587" s="13"/>
      <c r="P587" s="341"/>
      <c r="Q587" s="13"/>
      <c r="R587" s="242"/>
      <c r="S587" s="242"/>
      <c r="T587" s="242"/>
      <c r="U587" s="242"/>
      <c r="V587" s="242"/>
      <c r="W587" s="242"/>
      <c r="X587" s="242"/>
    </row>
    <row r="588">
      <c r="A588" s="242"/>
      <c r="B588" s="242"/>
      <c r="C588" s="242"/>
      <c r="D588" s="242"/>
      <c r="E588" s="242"/>
      <c r="F588" s="242"/>
      <c r="G588" s="242"/>
      <c r="H588" s="242"/>
      <c r="I588" s="242"/>
      <c r="J588" s="242"/>
      <c r="K588" s="242"/>
      <c r="L588" s="242"/>
      <c r="M588" s="13"/>
      <c r="N588" s="13"/>
      <c r="O588" s="13"/>
      <c r="P588" s="341"/>
      <c r="Q588" s="13"/>
      <c r="R588" s="242"/>
      <c r="S588" s="242"/>
      <c r="T588" s="242"/>
      <c r="U588" s="242"/>
      <c r="V588" s="242"/>
      <c r="W588" s="242"/>
      <c r="X588" s="242"/>
    </row>
    <row r="589">
      <c r="A589" s="242"/>
      <c r="B589" s="242"/>
      <c r="C589" s="242"/>
      <c r="D589" s="242"/>
      <c r="E589" s="242"/>
      <c r="F589" s="242"/>
      <c r="G589" s="242"/>
      <c r="H589" s="242"/>
      <c r="I589" s="242"/>
      <c r="J589" s="242"/>
      <c r="K589" s="242"/>
      <c r="L589" s="242"/>
      <c r="M589" s="13"/>
      <c r="N589" s="13"/>
      <c r="O589" s="13"/>
      <c r="P589" s="341"/>
      <c r="Q589" s="13"/>
      <c r="R589" s="242"/>
      <c r="S589" s="242"/>
      <c r="T589" s="242"/>
      <c r="U589" s="242"/>
      <c r="V589" s="242"/>
      <c r="W589" s="242"/>
      <c r="X589" s="242"/>
    </row>
    <row r="590">
      <c r="A590" s="242"/>
      <c r="B590" s="242"/>
      <c r="C590" s="242"/>
      <c r="D590" s="242"/>
      <c r="E590" s="242"/>
      <c r="F590" s="242"/>
      <c r="G590" s="242"/>
      <c r="H590" s="242"/>
      <c r="I590" s="242"/>
      <c r="J590" s="242"/>
      <c r="K590" s="242"/>
      <c r="L590" s="242"/>
      <c r="M590" s="13"/>
      <c r="N590" s="13"/>
      <c r="O590" s="13"/>
      <c r="P590" s="341"/>
      <c r="Q590" s="13"/>
      <c r="R590" s="242"/>
      <c r="S590" s="242"/>
      <c r="T590" s="242"/>
      <c r="U590" s="242"/>
      <c r="V590" s="242"/>
      <c r="W590" s="242"/>
      <c r="X590" s="242"/>
    </row>
    <row r="591">
      <c r="A591" s="242"/>
      <c r="B591" s="242"/>
      <c r="C591" s="242"/>
      <c r="D591" s="242"/>
      <c r="E591" s="242"/>
      <c r="F591" s="242"/>
      <c r="G591" s="242"/>
      <c r="H591" s="242"/>
      <c r="I591" s="242"/>
      <c r="J591" s="242"/>
      <c r="K591" s="242"/>
      <c r="L591" s="242"/>
      <c r="M591" s="13"/>
      <c r="N591" s="13"/>
      <c r="O591" s="13"/>
      <c r="P591" s="341"/>
      <c r="Q591" s="13"/>
      <c r="R591" s="242"/>
      <c r="S591" s="242"/>
      <c r="T591" s="242"/>
      <c r="U591" s="242"/>
      <c r="V591" s="242"/>
      <c r="W591" s="242"/>
      <c r="X591" s="242"/>
    </row>
    <row r="592">
      <c r="A592" s="242"/>
      <c r="B592" s="242"/>
      <c r="C592" s="242"/>
      <c r="D592" s="242"/>
      <c r="E592" s="242"/>
      <c r="F592" s="242"/>
      <c r="G592" s="242"/>
      <c r="H592" s="242"/>
      <c r="I592" s="242"/>
      <c r="J592" s="242"/>
      <c r="K592" s="242"/>
      <c r="L592" s="242"/>
      <c r="M592" s="13"/>
      <c r="N592" s="13"/>
      <c r="O592" s="13"/>
      <c r="P592" s="341"/>
      <c r="Q592" s="13"/>
      <c r="R592" s="242"/>
      <c r="S592" s="242"/>
      <c r="T592" s="242"/>
      <c r="U592" s="242"/>
      <c r="V592" s="242"/>
      <c r="W592" s="242"/>
      <c r="X592" s="242"/>
    </row>
    <row r="593">
      <c r="A593" s="242"/>
      <c r="B593" s="242"/>
      <c r="C593" s="242"/>
      <c r="D593" s="242"/>
      <c r="E593" s="242"/>
      <c r="F593" s="242"/>
      <c r="G593" s="242"/>
      <c r="H593" s="242"/>
      <c r="I593" s="242"/>
      <c r="J593" s="242"/>
      <c r="K593" s="242"/>
      <c r="L593" s="242"/>
      <c r="M593" s="13"/>
      <c r="N593" s="13"/>
      <c r="O593" s="13"/>
      <c r="P593" s="341"/>
      <c r="Q593" s="13"/>
      <c r="R593" s="242"/>
      <c r="S593" s="242"/>
      <c r="T593" s="242"/>
      <c r="U593" s="242"/>
      <c r="V593" s="242"/>
      <c r="W593" s="242"/>
      <c r="X593" s="242"/>
    </row>
    <row r="594">
      <c r="A594" s="242"/>
      <c r="B594" s="242"/>
      <c r="C594" s="242"/>
      <c r="D594" s="242"/>
      <c r="E594" s="242"/>
      <c r="F594" s="242"/>
      <c r="G594" s="242"/>
      <c r="H594" s="242"/>
      <c r="I594" s="242"/>
      <c r="J594" s="242"/>
      <c r="K594" s="242"/>
      <c r="L594" s="242"/>
      <c r="M594" s="13"/>
      <c r="N594" s="13"/>
      <c r="O594" s="13"/>
      <c r="P594" s="341"/>
      <c r="Q594" s="13"/>
      <c r="R594" s="242"/>
      <c r="S594" s="242"/>
      <c r="T594" s="242"/>
      <c r="U594" s="242"/>
      <c r="V594" s="242"/>
      <c r="W594" s="242"/>
      <c r="X594" s="242"/>
    </row>
    <row r="595">
      <c r="A595" s="242"/>
      <c r="B595" s="242"/>
      <c r="C595" s="242"/>
      <c r="D595" s="242"/>
      <c r="E595" s="242"/>
      <c r="F595" s="242"/>
      <c r="G595" s="242"/>
      <c r="H595" s="242"/>
      <c r="I595" s="242"/>
      <c r="J595" s="242"/>
      <c r="K595" s="242"/>
      <c r="L595" s="242"/>
      <c r="M595" s="13"/>
      <c r="N595" s="13"/>
      <c r="O595" s="13"/>
      <c r="P595" s="341"/>
      <c r="Q595" s="13"/>
      <c r="R595" s="242"/>
      <c r="S595" s="242"/>
      <c r="T595" s="242"/>
      <c r="U595" s="242"/>
      <c r="V595" s="242"/>
      <c r="W595" s="242"/>
      <c r="X595" s="242"/>
    </row>
    <row r="596">
      <c r="A596" s="242"/>
      <c r="B596" s="242"/>
      <c r="C596" s="242"/>
      <c r="D596" s="242"/>
      <c r="E596" s="242"/>
      <c r="F596" s="242"/>
      <c r="G596" s="242"/>
      <c r="H596" s="242"/>
      <c r="I596" s="242"/>
      <c r="J596" s="242"/>
      <c r="K596" s="242"/>
      <c r="L596" s="242"/>
      <c r="M596" s="13"/>
      <c r="N596" s="13"/>
      <c r="O596" s="13"/>
      <c r="P596" s="341"/>
      <c r="Q596" s="13"/>
      <c r="R596" s="242"/>
      <c r="S596" s="242"/>
      <c r="T596" s="242"/>
      <c r="U596" s="242"/>
      <c r="V596" s="242"/>
      <c r="W596" s="242"/>
      <c r="X596" s="242"/>
    </row>
    <row r="597">
      <c r="A597" s="242"/>
      <c r="B597" s="242"/>
      <c r="C597" s="242"/>
      <c r="D597" s="242"/>
      <c r="E597" s="242"/>
      <c r="F597" s="242"/>
      <c r="G597" s="242"/>
      <c r="H597" s="242"/>
      <c r="I597" s="242"/>
      <c r="J597" s="242"/>
      <c r="K597" s="242"/>
      <c r="L597" s="242"/>
      <c r="M597" s="13"/>
      <c r="N597" s="13"/>
      <c r="O597" s="13"/>
      <c r="P597" s="341"/>
      <c r="Q597" s="13"/>
      <c r="R597" s="242"/>
      <c r="S597" s="242"/>
      <c r="T597" s="242"/>
      <c r="U597" s="242"/>
      <c r="V597" s="242"/>
      <c r="W597" s="242"/>
      <c r="X597" s="242"/>
    </row>
    <row r="598">
      <c r="A598" s="242"/>
      <c r="B598" s="242"/>
      <c r="C598" s="242"/>
      <c r="D598" s="242"/>
      <c r="E598" s="242"/>
      <c r="F598" s="242"/>
      <c r="G598" s="242"/>
      <c r="H598" s="242"/>
      <c r="I598" s="242"/>
      <c r="J598" s="242"/>
      <c r="K598" s="242"/>
      <c r="L598" s="242"/>
      <c r="M598" s="13"/>
      <c r="N598" s="13"/>
      <c r="O598" s="13"/>
      <c r="P598" s="341"/>
      <c r="Q598" s="13"/>
      <c r="R598" s="242"/>
      <c r="S598" s="242"/>
      <c r="T598" s="242"/>
      <c r="U598" s="242"/>
      <c r="V598" s="242"/>
      <c r="W598" s="242"/>
      <c r="X598" s="242"/>
    </row>
    <row r="599">
      <c r="A599" s="242"/>
      <c r="B599" s="242"/>
      <c r="C599" s="242"/>
      <c r="D599" s="242"/>
      <c r="E599" s="242"/>
      <c r="F599" s="242"/>
      <c r="G599" s="242"/>
      <c r="H599" s="242"/>
      <c r="I599" s="242"/>
      <c r="J599" s="242"/>
      <c r="K599" s="242"/>
      <c r="L599" s="242"/>
      <c r="M599" s="13"/>
      <c r="N599" s="13"/>
      <c r="O599" s="13"/>
      <c r="P599" s="341"/>
      <c r="Q599" s="13"/>
      <c r="R599" s="242"/>
      <c r="S599" s="242"/>
      <c r="T599" s="242"/>
      <c r="U599" s="242"/>
      <c r="V599" s="242"/>
      <c r="W599" s="242"/>
      <c r="X599" s="242"/>
    </row>
    <row r="600">
      <c r="A600" s="242"/>
      <c r="B600" s="242"/>
      <c r="C600" s="242"/>
      <c r="D600" s="242"/>
      <c r="E600" s="242"/>
      <c r="F600" s="242"/>
      <c r="G600" s="242"/>
      <c r="H600" s="242"/>
      <c r="I600" s="242"/>
      <c r="J600" s="242"/>
      <c r="K600" s="242"/>
      <c r="L600" s="242"/>
      <c r="M600" s="13"/>
      <c r="N600" s="13"/>
      <c r="O600" s="13"/>
      <c r="P600" s="341"/>
      <c r="Q600" s="13"/>
      <c r="R600" s="242"/>
      <c r="S600" s="242"/>
      <c r="T600" s="242"/>
      <c r="U600" s="242"/>
      <c r="V600" s="242"/>
      <c r="W600" s="242"/>
      <c r="X600" s="242"/>
    </row>
    <row r="601">
      <c r="A601" s="242"/>
      <c r="B601" s="242"/>
      <c r="C601" s="242"/>
      <c r="D601" s="242"/>
      <c r="E601" s="242"/>
      <c r="F601" s="242"/>
      <c r="G601" s="242"/>
      <c r="H601" s="242"/>
      <c r="I601" s="242"/>
      <c r="J601" s="242"/>
      <c r="K601" s="242"/>
      <c r="L601" s="242"/>
      <c r="M601" s="13"/>
      <c r="N601" s="13"/>
      <c r="O601" s="13"/>
      <c r="P601" s="341"/>
      <c r="Q601" s="13"/>
      <c r="R601" s="242"/>
      <c r="S601" s="242"/>
      <c r="T601" s="242"/>
      <c r="U601" s="242"/>
      <c r="V601" s="242"/>
      <c r="W601" s="242"/>
      <c r="X601" s="242"/>
    </row>
    <row r="602">
      <c r="A602" s="242"/>
      <c r="B602" s="242"/>
      <c r="C602" s="242"/>
      <c r="D602" s="242"/>
      <c r="E602" s="242"/>
      <c r="F602" s="242"/>
      <c r="G602" s="242"/>
      <c r="H602" s="242"/>
      <c r="I602" s="242"/>
      <c r="J602" s="242"/>
      <c r="K602" s="242"/>
      <c r="L602" s="242"/>
      <c r="M602" s="13"/>
      <c r="N602" s="13"/>
      <c r="O602" s="13"/>
      <c r="P602" s="341"/>
      <c r="Q602" s="13"/>
      <c r="R602" s="242"/>
      <c r="S602" s="242"/>
      <c r="T602" s="242"/>
      <c r="U602" s="242"/>
      <c r="V602" s="242"/>
      <c r="W602" s="242"/>
      <c r="X602" s="242"/>
    </row>
    <row r="603">
      <c r="A603" s="242"/>
      <c r="B603" s="242"/>
      <c r="C603" s="242"/>
      <c r="D603" s="242"/>
      <c r="E603" s="242"/>
      <c r="F603" s="242"/>
      <c r="G603" s="242"/>
      <c r="H603" s="242"/>
      <c r="I603" s="242"/>
      <c r="J603" s="242"/>
      <c r="K603" s="242"/>
      <c r="L603" s="242"/>
      <c r="M603" s="13"/>
      <c r="N603" s="13"/>
      <c r="O603" s="13"/>
      <c r="P603" s="341"/>
      <c r="Q603" s="13"/>
      <c r="R603" s="242"/>
      <c r="S603" s="242"/>
      <c r="T603" s="242"/>
      <c r="U603" s="242"/>
      <c r="V603" s="242"/>
      <c r="W603" s="242"/>
      <c r="X603" s="242"/>
    </row>
    <row r="604">
      <c r="A604" s="242"/>
      <c r="B604" s="242"/>
      <c r="C604" s="242"/>
      <c r="D604" s="242"/>
      <c r="E604" s="242"/>
      <c r="F604" s="242"/>
      <c r="G604" s="242"/>
      <c r="H604" s="242"/>
      <c r="I604" s="242"/>
      <c r="J604" s="242"/>
      <c r="K604" s="242"/>
      <c r="L604" s="242"/>
      <c r="M604" s="13"/>
      <c r="N604" s="13"/>
      <c r="O604" s="13"/>
      <c r="P604" s="341"/>
      <c r="Q604" s="13"/>
      <c r="R604" s="242"/>
      <c r="S604" s="242"/>
      <c r="T604" s="242"/>
      <c r="U604" s="242"/>
      <c r="V604" s="242"/>
      <c r="W604" s="242"/>
      <c r="X604" s="242"/>
    </row>
    <row r="605">
      <c r="A605" s="242"/>
      <c r="B605" s="242"/>
      <c r="C605" s="242"/>
      <c r="D605" s="242"/>
      <c r="E605" s="242"/>
      <c r="F605" s="242"/>
      <c r="G605" s="242"/>
      <c r="H605" s="242"/>
      <c r="I605" s="242"/>
      <c r="J605" s="242"/>
      <c r="K605" s="242"/>
      <c r="L605" s="242"/>
      <c r="M605" s="13"/>
      <c r="N605" s="13"/>
      <c r="O605" s="13"/>
      <c r="P605" s="341"/>
      <c r="Q605" s="13"/>
      <c r="R605" s="242"/>
      <c r="S605" s="242"/>
      <c r="T605" s="242"/>
      <c r="U605" s="242"/>
      <c r="V605" s="242"/>
      <c r="W605" s="242"/>
      <c r="X605" s="242"/>
    </row>
    <row r="606">
      <c r="A606" s="242"/>
      <c r="B606" s="242"/>
      <c r="C606" s="242"/>
      <c r="D606" s="242"/>
      <c r="E606" s="242"/>
      <c r="F606" s="242"/>
      <c r="G606" s="242"/>
      <c r="H606" s="242"/>
      <c r="I606" s="242"/>
      <c r="J606" s="242"/>
      <c r="K606" s="242"/>
      <c r="L606" s="242"/>
      <c r="M606" s="13"/>
      <c r="N606" s="13"/>
      <c r="O606" s="13"/>
      <c r="P606" s="341"/>
      <c r="Q606" s="13"/>
      <c r="R606" s="242"/>
      <c r="S606" s="242"/>
      <c r="T606" s="242"/>
      <c r="U606" s="242"/>
      <c r="V606" s="242"/>
      <c r="W606" s="242"/>
      <c r="X606" s="242"/>
    </row>
    <row r="607">
      <c r="A607" s="242"/>
      <c r="B607" s="242"/>
      <c r="C607" s="242"/>
      <c r="D607" s="242"/>
      <c r="E607" s="242"/>
      <c r="F607" s="242"/>
      <c r="G607" s="242"/>
      <c r="H607" s="242"/>
      <c r="I607" s="242"/>
      <c r="J607" s="242"/>
      <c r="K607" s="242"/>
      <c r="L607" s="242"/>
      <c r="M607" s="13"/>
      <c r="N607" s="13"/>
      <c r="O607" s="13"/>
      <c r="P607" s="341"/>
      <c r="Q607" s="13"/>
      <c r="R607" s="242"/>
      <c r="S607" s="242"/>
      <c r="T607" s="242"/>
      <c r="U607" s="242"/>
      <c r="V607" s="242"/>
      <c r="W607" s="242"/>
      <c r="X607" s="242"/>
    </row>
    <row r="608">
      <c r="A608" s="242"/>
      <c r="B608" s="242"/>
      <c r="C608" s="242"/>
      <c r="D608" s="242"/>
      <c r="E608" s="242"/>
      <c r="F608" s="242"/>
      <c r="G608" s="242"/>
      <c r="H608" s="242"/>
      <c r="I608" s="242"/>
      <c r="J608" s="242"/>
      <c r="K608" s="242"/>
      <c r="L608" s="242"/>
      <c r="M608" s="13"/>
      <c r="N608" s="13"/>
      <c r="O608" s="13"/>
      <c r="P608" s="341"/>
      <c r="Q608" s="13"/>
      <c r="R608" s="242"/>
      <c r="S608" s="242"/>
      <c r="T608" s="242"/>
      <c r="U608" s="242"/>
      <c r="V608" s="242"/>
      <c r="W608" s="242"/>
      <c r="X608" s="242"/>
    </row>
    <row r="609">
      <c r="A609" s="242"/>
      <c r="B609" s="242"/>
      <c r="C609" s="242"/>
      <c r="D609" s="242"/>
      <c r="E609" s="242"/>
      <c r="F609" s="242"/>
      <c r="G609" s="242"/>
      <c r="H609" s="242"/>
      <c r="I609" s="242"/>
      <c r="J609" s="242"/>
      <c r="K609" s="242"/>
      <c r="L609" s="242"/>
      <c r="M609" s="13"/>
      <c r="N609" s="13"/>
      <c r="O609" s="13"/>
      <c r="P609" s="341"/>
      <c r="Q609" s="13"/>
      <c r="R609" s="242"/>
      <c r="S609" s="242"/>
      <c r="T609" s="242"/>
      <c r="U609" s="242"/>
      <c r="V609" s="242"/>
      <c r="W609" s="242"/>
      <c r="X609" s="242"/>
    </row>
    <row r="610">
      <c r="A610" s="242"/>
      <c r="B610" s="242"/>
      <c r="C610" s="242"/>
      <c r="D610" s="242"/>
      <c r="E610" s="242"/>
      <c r="F610" s="242"/>
      <c r="G610" s="242"/>
      <c r="H610" s="242"/>
      <c r="I610" s="242"/>
      <c r="J610" s="242"/>
      <c r="K610" s="242"/>
      <c r="L610" s="242"/>
      <c r="M610" s="13"/>
      <c r="N610" s="13"/>
      <c r="O610" s="13"/>
      <c r="P610" s="341"/>
      <c r="Q610" s="13"/>
      <c r="R610" s="242"/>
      <c r="S610" s="242"/>
      <c r="T610" s="242"/>
      <c r="U610" s="242"/>
      <c r="V610" s="242"/>
      <c r="W610" s="242"/>
      <c r="X610" s="242"/>
    </row>
    <row r="611">
      <c r="A611" s="242"/>
      <c r="B611" s="242"/>
      <c r="C611" s="242"/>
      <c r="D611" s="242"/>
      <c r="E611" s="242"/>
      <c r="F611" s="242"/>
      <c r="G611" s="242"/>
      <c r="H611" s="242"/>
      <c r="I611" s="242"/>
      <c r="J611" s="242"/>
      <c r="K611" s="242"/>
      <c r="L611" s="242"/>
      <c r="M611" s="13"/>
      <c r="N611" s="13"/>
      <c r="O611" s="13"/>
      <c r="P611" s="341"/>
      <c r="Q611" s="13"/>
      <c r="R611" s="242"/>
      <c r="S611" s="242"/>
      <c r="T611" s="242"/>
      <c r="U611" s="242"/>
      <c r="V611" s="242"/>
      <c r="W611" s="242"/>
      <c r="X611" s="242"/>
    </row>
    <row r="612">
      <c r="A612" s="242"/>
      <c r="B612" s="242"/>
      <c r="C612" s="242"/>
      <c r="D612" s="242"/>
      <c r="E612" s="242"/>
      <c r="F612" s="242"/>
      <c r="G612" s="242"/>
      <c r="H612" s="242"/>
      <c r="I612" s="242"/>
      <c r="J612" s="242"/>
      <c r="K612" s="242"/>
      <c r="L612" s="242"/>
      <c r="M612" s="13"/>
      <c r="N612" s="13"/>
      <c r="O612" s="13"/>
      <c r="P612" s="341"/>
      <c r="Q612" s="13"/>
      <c r="R612" s="242"/>
      <c r="S612" s="242"/>
      <c r="T612" s="242"/>
      <c r="U612" s="242"/>
      <c r="V612" s="242"/>
      <c r="W612" s="242"/>
      <c r="X612" s="242"/>
    </row>
    <row r="613">
      <c r="A613" s="242"/>
      <c r="B613" s="242"/>
      <c r="C613" s="242"/>
      <c r="D613" s="242"/>
      <c r="E613" s="242"/>
      <c r="F613" s="242"/>
      <c r="G613" s="242"/>
      <c r="H613" s="242"/>
      <c r="I613" s="242"/>
      <c r="J613" s="242"/>
      <c r="K613" s="242"/>
      <c r="L613" s="242"/>
      <c r="M613" s="13"/>
      <c r="N613" s="13"/>
      <c r="O613" s="13"/>
      <c r="P613" s="341"/>
      <c r="Q613" s="13"/>
      <c r="R613" s="242"/>
      <c r="S613" s="242"/>
      <c r="T613" s="242"/>
      <c r="U613" s="242"/>
      <c r="V613" s="242"/>
      <c r="W613" s="242"/>
      <c r="X613" s="242"/>
    </row>
    <row r="614">
      <c r="A614" s="242"/>
      <c r="B614" s="242"/>
      <c r="C614" s="242"/>
      <c r="D614" s="242"/>
      <c r="E614" s="242"/>
      <c r="F614" s="242"/>
      <c r="G614" s="242"/>
      <c r="H614" s="242"/>
      <c r="I614" s="242"/>
      <c r="J614" s="242"/>
      <c r="K614" s="242"/>
      <c r="L614" s="242"/>
      <c r="M614" s="13"/>
      <c r="N614" s="13"/>
      <c r="O614" s="13"/>
      <c r="P614" s="341"/>
      <c r="Q614" s="13"/>
      <c r="R614" s="242"/>
      <c r="S614" s="242"/>
      <c r="T614" s="242"/>
      <c r="U614" s="242"/>
      <c r="V614" s="242"/>
      <c r="W614" s="242"/>
      <c r="X614" s="242"/>
    </row>
    <row r="615">
      <c r="A615" s="242"/>
      <c r="B615" s="242"/>
      <c r="C615" s="242"/>
      <c r="D615" s="242"/>
      <c r="E615" s="242"/>
      <c r="F615" s="242"/>
      <c r="G615" s="242"/>
      <c r="H615" s="242"/>
      <c r="I615" s="242"/>
      <c r="J615" s="242"/>
      <c r="K615" s="242"/>
      <c r="L615" s="242"/>
      <c r="M615" s="13"/>
      <c r="N615" s="13"/>
      <c r="O615" s="13"/>
      <c r="P615" s="341"/>
      <c r="Q615" s="13"/>
      <c r="R615" s="242"/>
      <c r="S615" s="242"/>
      <c r="T615" s="242"/>
      <c r="U615" s="242"/>
      <c r="V615" s="242"/>
      <c r="W615" s="242"/>
      <c r="X615" s="242"/>
    </row>
    <row r="616">
      <c r="A616" s="242"/>
      <c r="B616" s="242"/>
      <c r="C616" s="242"/>
      <c r="D616" s="242"/>
      <c r="E616" s="242"/>
      <c r="F616" s="242"/>
      <c r="G616" s="242"/>
      <c r="H616" s="242"/>
      <c r="I616" s="242"/>
      <c r="J616" s="242"/>
      <c r="K616" s="242"/>
      <c r="L616" s="242"/>
      <c r="M616" s="13"/>
      <c r="N616" s="13"/>
      <c r="O616" s="13"/>
      <c r="P616" s="341"/>
      <c r="Q616" s="13"/>
      <c r="R616" s="242"/>
      <c r="S616" s="242"/>
      <c r="T616" s="242"/>
      <c r="U616" s="242"/>
      <c r="V616" s="242"/>
      <c r="W616" s="242"/>
      <c r="X616" s="242"/>
    </row>
    <row r="617">
      <c r="A617" s="242"/>
      <c r="B617" s="242"/>
      <c r="C617" s="242"/>
      <c r="D617" s="242"/>
      <c r="E617" s="242"/>
      <c r="F617" s="242"/>
      <c r="G617" s="242"/>
      <c r="H617" s="242"/>
      <c r="I617" s="242"/>
      <c r="J617" s="242"/>
      <c r="K617" s="242"/>
      <c r="L617" s="242"/>
      <c r="M617" s="13"/>
      <c r="N617" s="13"/>
      <c r="O617" s="13"/>
      <c r="P617" s="341"/>
      <c r="Q617" s="13"/>
      <c r="R617" s="242"/>
      <c r="S617" s="242"/>
      <c r="T617" s="242"/>
      <c r="U617" s="242"/>
      <c r="V617" s="242"/>
      <c r="W617" s="242"/>
      <c r="X617" s="242"/>
    </row>
    <row r="618">
      <c r="A618" s="242"/>
      <c r="B618" s="242"/>
      <c r="C618" s="242"/>
      <c r="D618" s="242"/>
      <c r="E618" s="242"/>
      <c r="F618" s="242"/>
      <c r="G618" s="242"/>
      <c r="H618" s="242"/>
      <c r="I618" s="242"/>
      <c r="J618" s="242"/>
      <c r="K618" s="242"/>
      <c r="L618" s="242"/>
      <c r="M618" s="13"/>
      <c r="N618" s="13"/>
      <c r="O618" s="13"/>
      <c r="P618" s="341"/>
      <c r="Q618" s="13"/>
      <c r="R618" s="242"/>
      <c r="S618" s="242"/>
      <c r="T618" s="242"/>
      <c r="U618" s="242"/>
      <c r="V618" s="242"/>
      <c r="W618" s="242"/>
      <c r="X618" s="242"/>
    </row>
    <row r="619">
      <c r="A619" s="242"/>
      <c r="B619" s="242"/>
      <c r="C619" s="242"/>
      <c r="D619" s="242"/>
      <c r="E619" s="242"/>
      <c r="F619" s="242"/>
      <c r="G619" s="242"/>
      <c r="H619" s="242"/>
      <c r="I619" s="242"/>
      <c r="J619" s="242"/>
      <c r="K619" s="242"/>
      <c r="L619" s="242"/>
      <c r="M619" s="13"/>
      <c r="N619" s="13"/>
      <c r="O619" s="13"/>
      <c r="P619" s="341"/>
      <c r="Q619" s="13"/>
      <c r="R619" s="242"/>
      <c r="S619" s="242"/>
      <c r="T619" s="242"/>
      <c r="U619" s="242"/>
      <c r="V619" s="242"/>
      <c r="W619" s="242"/>
      <c r="X619" s="242"/>
    </row>
    <row r="620">
      <c r="A620" s="242"/>
      <c r="B620" s="242"/>
      <c r="C620" s="242"/>
      <c r="D620" s="242"/>
      <c r="E620" s="242"/>
      <c r="F620" s="242"/>
      <c r="G620" s="242"/>
      <c r="H620" s="242"/>
      <c r="I620" s="242"/>
      <c r="J620" s="242"/>
      <c r="K620" s="242"/>
      <c r="L620" s="242"/>
      <c r="M620" s="13"/>
      <c r="N620" s="13"/>
      <c r="O620" s="13"/>
      <c r="P620" s="341"/>
      <c r="Q620" s="13"/>
      <c r="R620" s="242"/>
      <c r="S620" s="242"/>
      <c r="T620" s="242"/>
      <c r="U620" s="242"/>
      <c r="V620" s="242"/>
      <c r="W620" s="242"/>
      <c r="X620" s="242"/>
    </row>
    <row r="621">
      <c r="A621" s="242"/>
      <c r="B621" s="242"/>
      <c r="C621" s="242"/>
      <c r="D621" s="242"/>
      <c r="E621" s="242"/>
      <c r="F621" s="242"/>
      <c r="G621" s="242"/>
      <c r="H621" s="242"/>
      <c r="I621" s="242"/>
      <c r="J621" s="242"/>
      <c r="K621" s="242"/>
      <c r="L621" s="242"/>
      <c r="M621" s="13"/>
      <c r="N621" s="13"/>
      <c r="O621" s="13"/>
      <c r="P621" s="341"/>
      <c r="Q621" s="13"/>
      <c r="R621" s="242"/>
      <c r="S621" s="242"/>
      <c r="T621" s="242"/>
      <c r="U621" s="242"/>
      <c r="V621" s="242"/>
      <c r="W621" s="242"/>
      <c r="X621" s="242"/>
    </row>
    <row r="622">
      <c r="A622" s="242"/>
      <c r="B622" s="242"/>
      <c r="C622" s="242"/>
      <c r="D622" s="242"/>
      <c r="E622" s="242"/>
      <c r="F622" s="242"/>
      <c r="G622" s="242"/>
      <c r="H622" s="242"/>
      <c r="I622" s="242"/>
      <c r="J622" s="242"/>
      <c r="K622" s="242"/>
      <c r="L622" s="242"/>
      <c r="M622" s="13"/>
      <c r="N622" s="13"/>
      <c r="O622" s="13"/>
      <c r="P622" s="341"/>
      <c r="Q622" s="13"/>
      <c r="R622" s="242"/>
      <c r="S622" s="242"/>
      <c r="T622" s="242"/>
      <c r="U622" s="242"/>
      <c r="V622" s="242"/>
      <c r="W622" s="242"/>
      <c r="X622" s="242"/>
    </row>
    <row r="623">
      <c r="A623" s="242"/>
      <c r="B623" s="242"/>
      <c r="C623" s="242"/>
      <c r="D623" s="242"/>
      <c r="E623" s="242"/>
      <c r="F623" s="242"/>
      <c r="G623" s="242"/>
      <c r="H623" s="242"/>
      <c r="I623" s="242"/>
      <c r="J623" s="242"/>
      <c r="K623" s="242"/>
      <c r="L623" s="242"/>
      <c r="M623" s="13"/>
      <c r="N623" s="13"/>
      <c r="O623" s="13"/>
      <c r="P623" s="341"/>
      <c r="Q623" s="13"/>
      <c r="R623" s="242"/>
      <c r="S623" s="242"/>
      <c r="T623" s="242"/>
      <c r="U623" s="242"/>
      <c r="V623" s="242"/>
      <c r="W623" s="242"/>
      <c r="X623" s="242"/>
    </row>
    <row r="624">
      <c r="A624" s="242"/>
      <c r="B624" s="242"/>
      <c r="C624" s="242"/>
      <c r="D624" s="242"/>
      <c r="E624" s="242"/>
      <c r="F624" s="242"/>
      <c r="G624" s="242"/>
      <c r="H624" s="242"/>
      <c r="I624" s="242"/>
      <c r="J624" s="242"/>
      <c r="K624" s="242"/>
      <c r="L624" s="242"/>
      <c r="M624" s="13"/>
      <c r="N624" s="13"/>
      <c r="O624" s="13"/>
      <c r="P624" s="341"/>
      <c r="Q624" s="13"/>
      <c r="R624" s="242"/>
      <c r="S624" s="242"/>
      <c r="T624" s="242"/>
      <c r="U624" s="242"/>
      <c r="V624" s="242"/>
      <c r="W624" s="242"/>
      <c r="X624" s="242"/>
    </row>
    <row r="625">
      <c r="A625" s="242"/>
      <c r="B625" s="242"/>
      <c r="C625" s="242"/>
      <c r="D625" s="242"/>
      <c r="E625" s="242"/>
      <c r="F625" s="242"/>
      <c r="G625" s="242"/>
      <c r="H625" s="242"/>
      <c r="I625" s="242"/>
      <c r="J625" s="242"/>
      <c r="K625" s="242"/>
      <c r="L625" s="242"/>
      <c r="M625" s="13"/>
      <c r="N625" s="13"/>
      <c r="O625" s="13"/>
      <c r="P625" s="341"/>
      <c r="Q625" s="13"/>
      <c r="R625" s="242"/>
      <c r="S625" s="242"/>
      <c r="T625" s="242"/>
      <c r="U625" s="242"/>
      <c r="V625" s="242"/>
      <c r="W625" s="242"/>
      <c r="X625" s="242"/>
    </row>
    <row r="626">
      <c r="A626" s="242"/>
      <c r="B626" s="242"/>
      <c r="C626" s="242"/>
      <c r="D626" s="242"/>
      <c r="E626" s="242"/>
      <c r="F626" s="242"/>
      <c r="G626" s="242"/>
      <c r="H626" s="242"/>
      <c r="I626" s="242"/>
      <c r="J626" s="242"/>
      <c r="K626" s="242"/>
      <c r="L626" s="242"/>
      <c r="M626" s="13"/>
      <c r="N626" s="13"/>
      <c r="O626" s="13"/>
      <c r="P626" s="341"/>
      <c r="Q626" s="13"/>
      <c r="R626" s="242"/>
      <c r="S626" s="242"/>
      <c r="T626" s="242"/>
      <c r="U626" s="242"/>
      <c r="V626" s="242"/>
      <c r="W626" s="242"/>
      <c r="X626" s="242"/>
    </row>
    <row r="627">
      <c r="A627" s="242"/>
      <c r="B627" s="242"/>
      <c r="C627" s="242"/>
      <c r="D627" s="242"/>
      <c r="E627" s="242"/>
      <c r="F627" s="242"/>
      <c r="G627" s="242"/>
      <c r="H627" s="242"/>
      <c r="I627" s="242"/>
      <c r="J627" s="242"/>
      <c r="K627" s="242"/>
      <c r="L627" s="242"/>
      <c r="M627" s="13"/>
      <c r="N627" s="13"/>
      <c r="O627" s="13"/>
      <c r="P627" s="341"/>
      <c r="Q627" s="13"/>
      <c r="R627" s="242"/>
      <c r="S627" s="242"/>
      <c r="T627" s="242"/>
      <c r="U627" s="242"/>
      <c r="V627" s="242"/>
      <c r="W627" s="242"/>
      <c r="X627" s="242"/>
    </row>
    <row r="628">
      <c r="A628" s="242"/>
      <c r="B628" s="242"/>
      <c r="C628" s="242"/>
      <c r="D628" s="242"/>
      <c r="E628" s="242"/>
      <c r="F628" s="242"/>
      <c r="G628" s="242"/>
      <c r="H628" s="242"/>
      <c r="I628" s="242"/>
      <c r="J628" s="242"/>
      <c r="K628" s="242"/>
      <c r="L628" s="242"/>
      <c r="M628" s="13"/>
      <c r="N628" s="13"/>
      <c r="O628" s="13"/>
      <c r="P628" s="341"/>
      <c r="Q628" s="13"/>
      <c r="R628" s="242"/>
      <c r="S628" s="242"/>
      <c r="T628" s="242"/>
      <c r="U628" s="242"/>
      <c r="V628" s="242"/>
      <c r="W628" s="242"/>
      <c r="X628" s="242"/>
    </row>
    <row r="629">
      <c r="A629" s="242"/>
      <c r="B629" s="242"/>
      <c r="C629" s="242"/>
      <c r="D629" s="242"/>
      <c r="E629" s="242"/>
      <c r="F629" s="242"/>
      <c r="G629" s="242"/>
      <c r="H629" s="242"/>
      <c r="I629" s="242"/>
      <c r="J629" s="242"/>
      <c r="K629" s="242"/>
      <c r="L629" s="242"/>
      <c r="M629" s="13"/>
      <c r="N629" s="13"/>
      <c r="O629" s="13"/>
      <c r="P629" s="341"/>
      <c r="Q629" s="13"/>
      <c r="R629" s="242"/>
      <c r="S629" s="242"/>
      <c r="T629" s="242"/>
      <c r="U629" s="242"/>
      <c r="V629" s="242"/>
      <c r="W629" s="242"/>
      <c r="X629" s="242"/>
    </row>
    <row r="630">
      <c r="A630" s="242"/>
      <c r="B630" s="242"/>
      <c r="C630" s="242"/>
      <c r="D630" s="242"/>
      <c r="E630" s="242"/>
      <c r="F630" s="242"/>
      <c r="G630" s="242"/>
      <c r="H630" s="242"/>
      <c r="I630" s="242"/>
      <c r="J630" s="242"/>
      <c r="K630" s="242"/>
      <c r="L630" s="242"/>
      <c r="M630" s="13"/>
      <c r="N630" s="13"/>
      <c r="O630" s="13"/>
      <c r="P630" s="341"/>
      <c r="Q630" s="13"/>
      <c r="R630" s="242"/>
      <c r="S630" s="242"/>
      <c r="T630" s="242"/>
      <c r="U630" s="242"/>
      <c r="V630" s="242"/>
      <c r="W630" s="242"/>
      <c r="X630" s="242"/>
    </row>
    <row r="631">
      <c r="A631" s="242"/>
      <c r="B631" s="242"/>
      <c r="C631" s="242"/>
      <c r="D631" s="242"/>
      <c r="E631" s="242"/>
      <c r="F631" s="242"/>
      <c r="G631" s="242"/>
      <c r="H631" s="242"/>
      <c r="I631" s="242"/>
      <c r="J631" s="242"/>
      <c r="K631" s="242"/>
      <c r="L631" s="242"/>
      <c r="M631" s="13"/>
      <c r="N631" s="13"/>
      <c r="O631" s="13"/>
      <c r="P631" s="341"/>
      <c r="Q631" s="13"/>
      <c r="R631" s="242"/>
      <c r="S631" s="242"/>
      <c r="T631" s="242"/>
      <c r="U631" s="242"/>
      <c r="V631" s="242"/>
      <c r="W631" s="242"/>
      <c r="X631" s="242"/>
    </row>
    <row r="632">
      <c r="A632" s="242"/>
      <c r="B632" s="242"/>
      <c r="C632" s="242"/>
      <c r="D632" s="242"/>
      <c r="E632" s="242"/>
      <c r="F632" s="242"/>
      <c r="G632" s="242"/>
      <c r="H632" s="242"/>
      <c r="I632" s="242"/>
      <c r="J632" s="242"/>
      <c r="K632" s="242"/>
      <c r="L632" s="242"/>
      <c r="M632" s="13"/>
      <c r="N632" s="13"/>
      <c r="O632" s="13"/>
      <c r="P632" s="341"/>
      <c r="Q632" s="13"/>
      <c r="R632" s="242"/>
      <c r="S632" s="242"/>
      <c r="T632" s="242"/>
      <c r="U632" s="242"/>
      <c r="V632" s="242"/>
      <c r="W632" s="242"/>
      <c r="X632" s="242"/>
    </row>
    <row r="633">
      <c r="A633" s="242"/>
      <c r="B633" s="242"/>
      <c r="C633" s="242"/>
      <c r="D633" s="242"/>
      <c r="E633" s="242"/>
      <c r="F633" s="242"/>
      <c r="G633" s="242"/>
      <c r="H633" s="242"/>
      <c r="I633" s="242"/>
      <c r="J633" s="242"/>
      <c r="K633" s="242"/>
      <c r="L633" s="242"/>
      <c r="M633" s="13"/>
      <c r="N633" s="13"/>
      <c r="O633" s="13"/>
      <c r="P633" s="341"/>
      <c r="Q633" s="13"/>
      <c r="R633" s="242"/>
      <c r="S633" s="242"/>
      <c r="T633" s="242"/>
      <c r="U633" s="242"/>
      <c r="V633" s="242"/>
      <c r="W633" s="242"/>
      <c r="X633" s="242"/>
    </row>
    <row r="634">
      <c r="A634" s="242"/>
      <c r="B634" s="242"/>
      <c r="C634" s="242"/>
      <c r="D634" s="242"/>
      <c r="E634" s="242"/>
      <c r="F634" s="242"/>
      <c r="G634" s="242"/>
      <c r="H634" s="242"/>
      <c r="I634" s="242"/>
      <c r="J634" s="242"/>
      <c r="K634" s="242"/>
      <c r="L634" s="242"/>
      <c r="M634" s="13"/>
      <c r="N634" s="13"/>
      <c r="O634" s="13"/>
      <c r="P634" s="341"/>
      <c r="Q634" s="13"/>
      <c r="R634" s="242"/>
      <c r="S634" s="242"/>
      <c r="T634" s="242"/>
      <c r="U634" s="242"/>
      <c r="V634" s="242"/>
      <c r="W634" s="242"/>
      <c r="X634" s="242"/>
    </row>
    <row r="635">
      <c r="A635" s="242"/>
      <c r="B635" s="242"/>
      <c r="C635" s="242"/>
      <c r="D635" s="242"/>
      <c r="E635" s="242"/>
      <c r="F635" s="242"/>
      <c r="G635" s="242"/>
      <c r="H635" s="242"/>
      <c r="I635" s="242"/>
      <c r="J635" s="242"/>
      <c r="K635" s="242"/>
      <c r="L635" s="242"/>
      <c r="M635" s="13"/>
      <c r="N635" s="13"/>
      <c r="O635" s="13"/>
      <c r="P635" s="341"/>
      <c r="Q635" s="13"/>
      <c r="R635" s="242"/>
      <c r="S635" s="242"/>
      <c r="T635" s="242"/>
      <c r="U635" s="242"/>
      <c r="V635" s="242"/>
      <c r="W635" s="242"/>
      <c r="X635" s="242"/>
    </row>
    <row r="636">
      <c r="A636" s="242"/>
      <c r="B636" s="242"/>
      <c r="C636" s="242"/>
      <c r="D636" s="242"/>
      <c r="E636" s="242"/>
      <c r="F636" s="242"/>
      <c r="G636" s="242"/>
      <c r="H636" s="242"/>
      <c r="I636" s="242"/>
      <c r="J636" s="242"/>
      <c r="K636" s="242"/>
      <c r="L636" s="242"/>
      <c r="M636" s="13"/>
      <c r="N636" s="13"/>
      <c r="O636" s="13"/>
      <c r="P636" s="341"/>
      <c r="Q636" s="13"/>
      <c r="R636" s="242"/>
      <c r="S636" s="242"/>
      <c r="T636" s="242"/>
      <c r="U636" s="242"/>
      <c r="V636" s="242"/>
      <c r="W636" s="242"/>
      <c r="X636" s="242"/>
    </row>
    <row r="637">
      <c r="A637" s="242"/>
      <c r="B637" s="242"/>
      <c r="C637" s="242"/>
      <c r="D637" s="242"/>
      <c r="E637" s="242"/>
      <c r="F637" s="242"/>
      <c r="G637" s="242"/>
      <c r="H637" s="242"/>
      <c r="I637" s="242"/>
      <c r="J637" s="242"/>
      <c r="K637" s="242"/>
      <c r="L637" s="242"/>
      <c r="M637" s="13"/>
      <c r="N637" s="13"/>
      <c r="O637" s="13"/>
      <c r="P637" s="341"/>
      <c r="Q637" s="13"/>
      <c r="R637" s="242"/>
      <c r="S637" s="242"/>
      <c r="T637" s="242"/>
      <c r="U637" s="242"/>
      <c r="V637" s="242"/>
      <c r="W637" s="242"/>
      <c r="X637" s="242"/>
    </row>
    <row r="638">
      <c r="A638" s="242"/>
      <c r="B638" s="242"/>
      <c r="C638" s="242"/>
      <c r="D638" s="242"/>
      <c r="E638" s="242"/>
      <c r="F638" s="242"/>
      <c r="G638" s="242"/>
      <c r="H638" s="242"/>
      <c r="I638" s="242"/>
      <c r="J638" s="242"/>
      <c r="K638" s="242"/>
      <c r="L638" s="242"/>
      <c r="M638" s="13"/>
      <c r="N638" s="13"/>
      <c r="O638" s="13"/>
      <c r="P638" s="341"/>
      <c r="Q638" s="13"/>
      <c r="R638" s="242"/>
      <c r="S638" s="242"/>
      <c r="T638" s="242"/>
      <c r="U638" s="242"/>
      <c r="V638" s="242"/>
      <c r="W638" s="242"/>
      <c r="X638" s="242"/>
    </row>
    <row r="639">
      <c r="A639" s="242"/>
      <c r="B639" s="242"/>
      <c r="C639" s="242"/>
      <c r="D639" s="242"/>
      <c r="E639" s="242"/>
      <c r="F639" s="242"/>
      <c r="G639" s="242"/>
      <c r="H639" s="242"/>
      <c r="I639" s="242"/>
      <c r="J639" s="242"/>
      <c r="K639" s="242"/>
      <c r="L639" s="242"/>
      <c r="M639" s="13"/>
      <c r="N639" s="13"/>
      <c r="O639" s="13"/>
      <c r="P639" s="341"/>
      <c r="Q639" s="13"/>
      <c r="R639" s="242"/>
      <c r="S639" s="242"/>
      <c r="T639" s="242"/>
      <c r="U639" s="242"/>
      <c r="V639" s="242"/>
      <c r="W639" s="242"/>
      <c r="X639" s="242"/>
    </row>
    <row r="640">
      <c r="A640" s="242"/>
      <c r="B640" s="242"/>
      <c r="C640" s="242"/>
      <c r="D640" s="242"/>
      <c r="E640" s="242"/>
      <c r="F640" s="242"/>
      <c r="G640" s="242"/>
      <c r="H640" s="242"/>
      <c r="I640" s="242"/>
      <c r="J640" s="242"/>
      <c r="K640" s="242"/>
      <c r="L640" s="242"/>
      <c r="M640" s="13"/>
      <c r="N640" s="13"/>
      <c r="O640" s="13"/>
      <c r="P640" s="341"/>
      <c r="Q640" s="13"/>
      <c r="R640" s="242"/>
      <c r="S640" s="242"/>
      <c r="T640" s="242"/>
      <c r="U640" s="242"/>
      <c r="V640" s="242"/>
      <c r="W640" s="242"/>
      <c r="X640" s="242"/>
    </row>
    <row r="641">
      <c r="A641" s="242"/>
      <c r="B641" s="242"/>
      <c r="C641" s="242"/>
      <c r="D641" s="242"/>
      <c r="E641" s="242"/>
      <c r="F641" s="242"/>
      <c r="G641" s="242"/>
      <c r="H641" s="242"/>
      <c r="I641" s="242"/>
      <c r="J641" s="242"/>
      <c r="K641" s="242"/>
      <c r="L641" s="242"/>
      <c r="M641" s="13"/>
      <c r="N641" s="13"/>
      <c r="O641" s="13"/>
      <c r="P641" s="341"/>
      <c r="Q641" s="13"/>
      <c r="R641" s="242"/>
      <c r="S641" s="242"/>
      <c r="T641" s="242"/>
      <c r="U641" s="242"/>
      <c r="V641" s="242"/>
      <c r="W641" s="242"/>
      <c r="X641" s="242"/>
    </row>
    <row r="642">
      <c r="A642" s="242"/>
      <c r="B642" s="242"/>
      <c r="C642" s="242"/>
      <c r="D642" s="242"/>
      <c r="E642" s="242"/>
      <c r="F642" s="242"/>
      <c r="G642" s="242"/>
      <c r="H642" s="242"/>
      <c r="I642" s="242"/>
      <c r="J642" s="242"/>
      <c r="K642" s="242"/>
      <c r="L642" s="242"/>
      <c r="M642" s="13"/>
      <c r="N642" s="13"/>
      <c r="O642" s="13"/>
      <c r="P642" s="341"/>
      <c r="Q642" s="13"/>
      <c r="R642" s="242"/>
      <c r="S642" s="242"/>
      <c r="T642" s="242"/>
      <c r="U642" s="242"/>
      <c r="V642" s="242"/>
      <c r="W642" s="242"/>
      <c r="X642" s="242"/>
    </row>
    <row r="643">
      <c r="A643" s="242"/>
      <c r="B643" s="242"/>
      <c r="C643" s="242"/>
      <c r="D643" s="242"/>
      <c r="E643" s="242"/>
      <c r="F643" s="242"/>
      <c r="G643" s="242"/>
      <c r="H643" s="242"/>
      <c r="I643" s="242"/>
      <c r="J643" s="242"/>
      <c r="K643" s="242"/>
      <c r="L643" s="242"/>
      <c r="M643" s="13"/>
      <c r="N643" s="13"/>
      <c r="O643" s="13"/>
      <c r="P643" s="341"/>
      <c r="Q643" s="13"/>
      <c r="R643" s="242"/>
      <c r="S643" s="242"/>
      <c r="T643" s="242"/>
      <c r="U643" s="242"/>
      <c r="V643" s="242"/>
      <c r="W643" s="242"/>
      <c r="X643" s="242"/>
    </row>
    <row r="644">
      <c r="A644" s="242"/>
      <c r="B644" s="242"/>
      <c r="C644" s="242"/>
      <c r="D644" s="242"/>
      <c r="E644" s="242"/>
      <c r="F644" s="242"/>
      <c r="G644" s="242"/>
      <c r="H644" s="242"/>
      <c r="I644" s="242"/>
      <c r="J644" s="242"/>
      <c r="K644" s="242"/>
      <c r="L644" s="242"/>
      <c r="M644" s="13"/>
      <c r="N644" s="13"/>
      <c r="O644" s="13"/>
      <c r="P644" s="341"/>
      <c r="Q644" s="13"/>
      <c r="R644" s="242"/>
      <c r="S644" s="242"/>
      <c r="T644" s="242"/>
      <c r="U644" s="242"/>
      <c r="V644" s="242"/>
      <c r="W644" s="242"/>
      <c r="X644" s="242"/>
    </row>
    <row r="645">
      <c r="A645" s="242"/>
      <c r="B645" s="242"/>
      <c r="C645" s="242"/>
      <c r="D645" s="242"/>
      <c r="E645" s="242"/>
      <c r="F645" s="242"/>
      <c r="G645" s="242"/>
      <c r="H645" s="242"/>
      <c r="I645" s="242"/>
      <c r="J645" s="242"/>
      <c r="K645" s="242"/>
      <c r="L645" s="242"/>
      <c r="M645" s="13"/>
      <c r="N645" s="13"/>
      <c r="O645" s="13"/>
      <c r="P645" s="341"/>
      <c r="Q645" s="13"/>
      <c r="R645" s="242"/>
      <c r="S645" s="242"/>
      <c r="T645" s="242"/>
      <c r="U645" s="242"/>
      <c r="V645" s="242"/>
      <c r="W645" s="242"/>
      <c r="X645" s="242"/>
    </row>
    <row r="646">
      <c r="A646" s="242"/>
      <c r="B646" s="242"/>
      <c r="C646" s="242"/>
      <c r="D646" s="242"/>
      <c r="E646" s="242"/>
      <c r="F646" s="242"/>
      <c r="G646" s="242"/>
      <c r="H646" s="242"/>
      <c r="I646" s="242"/>
      <c r="J646" s="242"/>
      <c r="K646" s="242"/>
      <c r="L646" s="242"/>
      <c r="M646" s="13"/>
      <c r="N646" s="13"/>
      <c r="O646" s="13"/>
      <c r="P646" s="341"/>
      <c r="Q646" s="13"/>
      <c r="R646" s="242"/>
      <c r="S646" s="242"/>
      <c r="T646" s="242"/>
      <c r="U646" s="242"/>
      <c r="V646" s="242"/>
      <c r="W646" s="242"/>
      <c r="X646" s="242"/>
    </row>
    <row r="647">
      <c r="A647" s="242"/>
      <c r="B647" s="242"/>
      <c r="C647" s="242"/>
      <c r="D647" s="242"/>
      <c r="E647" s="242"/>
      <c r="F647" s="242"/>
      <c r="G647" s="242"/>
      <c r="H647" s="242"/>
      <c r="I647" s="242"/>
      <c r="J647" s="242"/>
      <c r="K647" s="242"/>
      <c r="L647" s="242"/>
      <c r="M647" s="13"/>
      <c r="N647" s="13"/>
      <c r="O647" s="13"/>
      <c r="P647" s="341"/>
      <c r="Q647" s="13"/>
      <c r="R647" s="242"/>
      <c r="S647" s="242"/>
      <c r="T647" s="242"/>
      <c r="U647" s="242"/>
      <c r="V647" s="242"/>
      <c r="W647" s="242"/>
      <c r="X647" s="242"/>
    </row>
    <row r="648">
      <c r="A648" s="242"/>
      <c r="B648" s="242"/>
      <c r="C648" s="242"/>
      <c r="D648" s="242"/>
      <c r="E648" s="242"/>
      <c r="F648" s="242"/>
      <c r="G648" s="242"/>
      <c r="H648" s="242"/>
      <c r="I648" s="242"/>
      <c r="J648" s="242"/>
      <c r="K648" s="242"/>
      <c r="L648" s="242"/>
      <c r="M648" s="13"/>
      <c r="N648" s="13"/>
      <c r="O648" s="13"/>
      <c r="P648" s="341"/>
      <c r="Q648" s="13"/>
      <c r="R648" s="242"/>
      <c r="S648" s="242"/>
      <c r="T648" s="242"/>
      <c r="U648" s="242"/>
      <c r="V648" s="242"/>
      <c r="W648" s="242"/>
      <c r="X648" s="242"/>
    </row>
    <row r="649">
      <c r="A649" s="242"/>
      <c r="B649" s="242"/>
      <c r="C649" s="242"/>
      <c r="D649" s="242"/>
      <c r="E649" s="242"/>
      <c r="F649" s="242"/>
      <c r="G649" s="242"/>
      <c r="H649" s="242"/>
      <c r="I649" s="242"/>
      <c r="J649" s="242"/>
      <c r="K649" s="242"/>
      <c r="L649" s="242"/>
      <c r="M649" s="13"/>
      <c r="N649" s="13"/>
      <c r="O649" s="13"/>
      <c r="P649" s="341"/>
      <c r="Q649" s="13"/>
      <c r="R649" s="242"/>
      <c r="S649" s="242"/>
      <c r="T649" s="242"/>
      <c r="U649" s="242"/>
      <c r="V649" s="242"/>
      <c r="W649" s="242"/>
      <c r="X649" s="242"/>
    </row>
    <row r="650">
      <c r="A650" s="242"/>
      <c r="B650" s="242"/>
      <c r="C650" s="242"/>
      <c r="D650" s="242"/>
      <c r="E650" s="242"/>
      <c r="F650" s="242"/>
      <c r="G650" s="242"/>
      <c r="H650" s="242"/>
      <c r="I650" s="242"/>
      <c r="J650" s="242"/>
      <c r="K650" s="242"/>
      <c r="L650" s="242"/>
      <c r="M650" s="13"/>
      <c r="N650" s="13"/>
      <c r="O650" s="13"/>
      <c r="P650" s="341"/>
      <c r="Q650" s="13"/>
      <c r="R650" s="242"/>
      <c r="S650" s="242"/>
      <c r="T650" s="242"/>
      <c r="U650" s="242"/>
      <c r="V650" s="242"/>
      <c r="W650" s="242"/>
      <c r="X650" s="242"/>
    </row>
    <row r="651">
      <c r="A651" s="242"/>
      <c r="B651" s="242"/>
      <c r="C651" s="242"/>
      <c r="D651" s="242"/>
      <c r="E651" s="242"/>
      <c r="F651" s="242"/>
      <c r="G651" s="242"/>
      <c r="H651" s="242"/>
      <c r="I651" s="242"/>
      <c r="J651" s="242"/>
      <c r="K651" s="242"/>
      <c r="L651" s="242"/>
      <c r="M651" s="13"/>
      <c r="N651" s="13"/>
      <c r="O651" s="13"/>
      <c r="P651" s="341"/>
      <c r="Q651" s="13"/>
      <c r="R651" s="242"/>
      <c r="S651" s="242"/>
      <c r="T651" s="242"/>
      <c r="U651" s="242"/>
      <c r="V651" s="242"/>
      <c r="W651" s="242"/>
      <c r="X651" s="242"/>
    </row>
    <row r="652">
      <c r="A652" s="242"/>
      <c r="B652" s="242"/>
      <c r="C652" s="242"/>
      <c r="D652" s="242"/>
      <c r="E652" s="242"/>
      <c r="F652" s="242"/>
      <c r="G652" s="242"/>
      <c r="H652" s="242"/>
      <c r="I652" s="242"/>
      <c r="J652" s="242"/>
      <c r="K652" s="242"/>
      <c r="L652" s="242"/>
      <c r="M652" s="13"/>
      <c r="N652" s="13"/>
      <c r="O652" s="13"/>
      <c r="P652" s="341"/>
      <c r="Q652" s="13"/>
      <c r="R652" s="242"/>
      <c r="S652" s="242"/>
      <c r="T652" s="242"/>
      <c r="U652" s="242"/>
      <c r="V652" s="242"/>
      <c r="W652" s="242"/>
      <c r="X652" s="242"/>
    </row>
    <row r="653">
      <c r="A653" s="242"/>
      <c r="B653" s="242"/>
      <c r="C653" s="242"/>
      <c r="D653" s="242"/>
      <c r="E653" s="242"/>
      <c r="F653" s="242"/>
      <c r="G653" s="242"/>
      <c r="H653" s="242"/>
      <c r="I653" s="242"/>
      <c r="J653" s="242"/>
      <c r="K653" s="242"/>
      <c r="L653" s="242"/>
      <c r="M653" s="13"/>
      <c r="N653" s="13"/>
      <c r="O653" s="13"/>
      <c r="P653" s="341"/>
      <c r="Q653" s="13"/>
      <c r="R653" s="242"/>
      <c r="S653" s="242"/>
      <c r="T653" s="242"/>
      <c r="U653" s="242"/>
      <c r="V653" s="242"/>
      <c r="W653" s="242"/>
      <c r="X653" s="242"/>
    </row>
    <row r="654">
      <c r="A654" s="242"/>
      <c r="B654" s="242"/>
      <c r="C654" s="242"/>
      <c r="D654" s="242"/>
      <c r="E654" s="242"/>
      <c r="F654" s="242"/>
      <c r="G654" s="242"/>
      <c r="H654" s="242"/>
      <c r="I654" s="242"/>
      <c r="J654" s="242"/>
      <c r="K654" s="242"/>
      <c r="L654" s="242"/>
      <c r="M654" s="13"/>
      <c r="N654" s="13"/>
      <c r="O654" s="13"/>
      <c r="P654" s="341"/>
      <c r="Q654" s="13"/>
      <c r="R654" s="242"/>
      <c r="S654" s="242"/>
      <c r="T654" s="242"/>
      <c r="U654" s="242"/>
      <c r="V654" s="242"/>
      <c r="W654" s="242"/>
      <c r="X654" s="242"/>
    </row>
    <row r="655">
      <c r="A655" s="242"/>
      <c r="B655" s="242"/>
      <c r="C655" s="242"/>
      <c r="D655" s="242"/>
      <c r="E655" s="242"/>
      <c r="F655" s="242"/>
      <c r="G655" s="242"/>
      <c r="H655" s="242"/>
      <c r="I655" s="242"/>
      <c r="J655" s="242"/>
      <c r="K655" s="242"/>
      <c r="L655" s="242"/>
      <c r="M655" s="13"/>
      <c r="N655" s="13"/>
      <c r="O655" s="13"/>
      <c r="P655" s="341"/>
      <c r="Q655" s="13"/>
      <c r="R655" s="242"/>
      <c r="S655" s="242"/>
      <c r="T655" s="242"/>
      <c r="U655" s="242"/>
      <c r="V655" s="242"/>
      <c r="W655" s="242"/>
      <c r="X655" s="242"/>
    </row>
    <row r="656">
      <c r="A656" s="242"/>
      <c r="B656" s="242"/>
      <c r="C656" s="242"/>
      <c r="D656" s="242"/>
      <c r="E656" s="242"/>
      <c r="F656" s="242"/>
      <c r="G656" s="242"/>
      <c r="H656" s="242"/>
      <c r="I656" s="242"/>
      <c r="J656" s="242"/>
      <c r="K656" s="242"/>
      <c r="L656" s="242"/>
      <c r="M656" s="13"/>
      <c r="N656" s="13"/>
      <c r="O656" s="13"/>
      <c r="P656" s="341"/>
      <c r="Q656" s="13"/>
      <c r="R656" s="242"/>
      <c r="S656" s="242"/>
      <c r="T656" s="242"/>
      <c r="U656" s="242"/>
      <c r="V656" s="242"/>
      <c r="W656" s="242"/>
      <c r="X656" s="242"/>
    </row>
    <row r="657">
      <c r="A657" s="242"/>
      <c r="B657" s="242"/>
      <c r="C657" s="242"/>
      <c r="D657" s="242"/>
      <c r="E657" s="242"/>
      <c r="F657" s="242"/>
      <c r="G657" s="242"/>
      <c r="H657" s="242"/>
      <c r="I657" s="242"/>
      <c r="J657" s="242"/>
      <c r="K657" s="242"/>
      <c r="L657" s="242"/>
      <c r="M657" s="13"/>
      <c r="N657" s="13"/>
      <c r="O657" s="13"/>
      <c r="P657" s="341"/>
      <c r="Q657" s="13"/>
      <c r="R657" s="242"/>
      <c r="S657" s="242"/>
      <c r="T657" s="242"/>
      <c r="U657" s="242"/>
      <c r="V657" s="242"/>
      <c r="W657" s="242"/>
      <c r="X657" s="242"/>
    </row>
    <row r="658">
      <c r="A658" s="242"/>
      <c r="B658" s="242"/>
      <c r="C658" s="242"/>
      <c r="D658" s="242"/>
      <c r="E658" s="242"/>
      <c r="F658" s="242"/>
      <c r="G658" s="242"/>
      <c r="H658" s="242"/>
      <c r="I658" s="242"/>
      <c r="J658" s="242"/>
      <c r="K658" s="242"/>
      <c r="L658" s="242"/>
      <c r="M658" s="13"/>
      <c r="N658" s="13"/>
      <c r="O658" s="13"/>
      <c r="P658" s="341"/>
      <c r="Q658" s="13"/>
      <c r="R658" s="242"/>
      <c r="S658" s="242"/>
      <c r="T658" s="242"/>
      <c r="U658" s="242"/>
      <c r="V658" s="242"/>
      <c r="W658" s="242"/>
      <c r="X658" s="242"/>
    </row>
    <row r="659">
      <c r="A659" s="242"/>
      <c r="B659" s="242"/>
      <c r="C659" s="242"/>
      <c r="D659" s="242"/>
      <c r="E659" s="242"/>
      <c r="F659" s="242"/>
      <c r="G659" s="242"/>
      <c r="H659" s="242"/>
      <c r="I659" s="242"/>
      <c r="J659" s="242"/>
      <c r="K659" s="242"/>
      <c r="L659" s="242"/>
      <c r="M659" s="13"/>
      <c r="N659" s="13"/>
      <c r="O659" s="13"/>
      <c r="P659" s="341"/>
      <c r="Q659" s="13"/>
      <c r="R659" s="242"/>
      <c r="S659" s="242"/>
      <c r="T659" s="242"/>
      <c r="U659" s="242"/>
      <c r="V659" s="242"/>
      <c r="W659" s="242"/>
      <c r="X659" s="242"/>
    </row>
    <row r="660">
      <c r="A660" s="242"/>
      <c r="B660" s="242"/>
      <c r="C660" s="242"/>
      <c r="D660" s="242"/>
      <c r="E660" s="242"/>
      <c r="F660" s="242"/>
      <c r="G660" s="242"/>
      <c r="H660" s="242"/>
      <c r="I660" s="242"/>
      <c r="J660" s="242"/>
      <c r="K660" s="242"/>
      <c r="L660" s="242"/>
      <c r="M660" s="13"/>
      <c r="N660" s="13"/>
      <c r="O660" s="13"/>
      <c r="P660" s="341"/>
      <c r="Q660" s="13"/>
      <c r="R660" s="242"/>
      <c r="S660" s="242"/>
      <c r="T660" s="242"/>
      <c r="U660" s="242"/>
      <c r="V660" s="242"/>
      <c r="W660" s="242"/>
      <c r="X660" s="242"/>
    </row>
    <row r="661">
      <c r="A661" s="242"/>
      <c r="B661" s="242"/>
      <c r="C661" s="242"/>
      <c r="D661" s="242"/>
      <c r="E661" s="242"/>
      <c r="F661" s="242"/>
      <c r="G661" s="242"/>
      <c r="H661" s="242"/>
      <c r="I661" s="242"/>
      <c r="J661" s="242"/>
      <c r="K661" s="242"/>
      <c r="L661" s="242"/>
      <c r="M661" s="13"/>
      <c r="N661" s="13"/>
      <c r="O661" s="13"/>
      <c r="P661" s="341"/>
      <c r="Q661" s="13"/>
      <c r="R661" s="242"/>
      <c r="S661" s="242"/>
      <c r="T661" s="242"/>
      <c r="U661" s="242"/>
      <c r="V661" s="242"/>
      <c r="W661" s="242"/>
      <c r="X661" s="242"/>
    </row>
    <row r="662">
      <c r="A662" s="242"/>
      <c r="B662" s="242"/>
      <c r="C662" s="242"/>
      <c r="D662" s="242"/>
      <c r="E662" s="242"/>
      <c r="F662" s="242"/>
      <c r="G662" s="242"/>
      <c r="H662" s="242"/>
      <c r="I662" s="242"/>
      <c r="J662" s="242"/>
      <c r="K662" s="242"/>
      <c r="L662" s="242"/>
      <c r="M662" s="13"/>
      <c r="N662" s="13"/>
      <c r="O662" s="13"/>
      <c r="P662" s="341"/>
      <c r="Q662" s="13"/>
      <c r="R662" s="242"/>
      <c r="S662" s="242"/>
      <c r="T662" s="242"/>
      <c r="U662" s="242"/>
      <c r="V662" s="242"/>
      <c r="W662" s="242"/>
      <c r="X662" s="242"/>
    </row>
    <row r="663">
      <c r="A663" s="242"/>
      <c r="B663" s="242"/>
      <c r="C663" s="242"/>
      <c r="D663" s="242"/>
      <c r="E663" s="242"/>
      <c r="F663" s="242"/>
      <c r="G663" s="242"/>
      <c r="H663" s="242"/>
      <c r="I663" s="242"/>
      <c r="J663" s="242"/>
      <c r="K663" s="242"/>
      <c r="L663" s="242"/>
      <c r="M663" s="13"/>
      <c r="N663" s="13"/>
      <c r="O663" s="13"/>
      <c r="P663" s="341"/>
      <c r="Q663" s="13"/>
      <c r="R663" s="242"/>
      <c r="S663" s="242"/>
      <c r="T663" s="242"/>
      <c r="U663" s="242"/>
      <c r="V663" s="242"/>
      <c r="W663" s="242"/>
      <c r="X663" s="242"/>
    </row>
    <row r="664">
      <c r="A664" s="242"/>
      <c r="B664" s="242"/>
      <c r="C664" s="242"/>
      <c r="D664" s="242"/>
      <c r="E664" s="242"/>
      <c r="F664" s="242"/>
      <c r="G664" s="242"/>
      <c r="H664" s="242"/>
      <c r="I664" s="242"/>
      <c r="J664" s="242"/>
      <c r="K664" s="242"/>
      <c r="L664" s="242"/>
      <c r="M664" s="13"/>
      <c r="N664" s="13"/>
      <c r="O664" s="13"/>
      <c r="P664" s="341"/>
      <c r="Q664" s="13"/>
      <c r="R664" s="242"/>
      <c r="S664" s="242"/>
      <c r="T664" s="242"/>
      <c r="U664" s="242"/>
      <c r="V664" s="242"/>
      <c r="W664" s="242"/>
      <c r="X664" s="242"/>
    </row>
    <row r="665">
      <c r="A665" s="242"/>
      <c r="B665" s="242"/>
      <c r="C665" s="242"/>
      <c r="D665" s="242"/>
      <c r="E665" s="242"/>
      <c r="F665" s="242"/>
      <c r="G665" s="242"/>
      <c r="H665" s="242"/>
      <c r="I665" s="242"/>
      <c r="J665" s="242"/>
      <c r="K665" s="242"/>
      <c r="L665" s="242"/>
      <c r="M665" s="13"/>
      <c r="N665" s="13"/>
      <c r="O665" s="13"/>
      <c r="P665" s="341"/>
      <c r="Q665" s="13"/>
      <c r="R665" s="242"/>
      <c r="S665" s="242"/>
      <c r="T665" s="242"/>
      <c r="U665" s="242"/>
      <c r="V665" s="242"/>
      <c r="W665" s="242"/>
      <c r="X665" s="242"/>
    </row>
    <row r="666">
      <c r="A666" s="242"/>
      <c r="B666" s="242"/>
      <c r="C666" s="242"/>
      <c r="D666" s="242"/>
      <c r="E666" s="242"/>
      <c r="F666" s="242"/>
      <c r="G666" s="242"/>
      <c r="H666" s="242"/>
      <c r="I666" s="242"/>
      <c r="J666" s="242"/>
      <c r="K666" s="242"/>
      <c r="L666" s="242"/>
      <c r="M666" s="13"/>
      <c r="N666" s="13"/>
      <c r="O666" s="13"/>
      <c r="P666" s="341"/>
      <c r="Q666" s="13"/>
      <c r="R666" s="242"/>
      <c r="S666" s="242"/>
      <c r="T666" s="242"/>
      <c r="U666" s="242"/>
      <c r="V666" s="242"/>
      <c r="W666" s="242"/>
      <c r="X666" s="242"/>
    </row>
    <row r="667">
      <c r="A667" s="242"/>
      <c r="B667" s="242"/>
      <c r="C667" s="242"/>
      <c r="D667" s="242"/>
      <c r="E667" s="242"/>
      <c r="F667" s="242"/>
      <c r="G667" s="242"/>
      <c r="H667" s="242"/>
      <c r="I667" s="242"/>
      <c r="J667" s="242"/>
      <c r="K667" s="242"/>
      <c r="L667" s="242"/>
      <c r="M667" s="13"/>
      <c r="N667" s="13"/>
      <c r="O667" s="13"/>
      <c r="P667" s="341"/>
      <c r="Q667" s="13"/>
      <c r="R667" s="242"/>
      <c r="S667" s="242"/>
      <c r="T667" s="242"/>
      <c r="U667" s="242"/>
      <c r="V667" s="242"/>
      <c r="W667" s="242"/>
      <c r="X667" s="242"/>
    </row>
    <row r="668">
      <c r="A668" s="242"/>
      <c r="B668" s="242"/>
      <c r="C668" s="242"/>
      <c r="D668" s="242"/>
      <c r="E668" s="242"/>
      <c r="F668" s="242"/>
      <c r="G668" s="242"/>
      <c r="H668" s="242"/>
      <c r="I668" s="242"/>
      <c r="J668" s="242"/>
      <c r="K668" s="242"/>
      <c r="L668" s="242"/>
      <c r="M668" s="13"/>
      <c r="N668" s="13"/>
      <c r="O668" s="13"/>
      <c r="P668" s="341"/>
      <c r="Q668" s="13"/>
      <c r="R668" s="242"/>
      <c r="S668" s="242"/>
      <c r="T668" s="242"/>
      <c r="U668" s="242"/>
      <c r="V668" s="242"/>
      <c r="W668" s="242"/>
      <c r="X668" s="242"/>
    </row>
    <row r="669">
      <c r="A669" s="242"/>
      <c r="B669" s="242"/>
      <c r="C669" s="242"/>
      <c r="D669" s="242"/>
      <c r="E669" s="242"/>
      <c r="F669" s="242"/>
      <c r="G669" s="242"/>
      <c r="H669" s="242"/>
      <c r="I669" s="242"/>
      <c r="J669" s="242"/>
      <c r="K669" s="242"/>
      <c r="L669" s="242"/>
      <c r="M669" s="13"/>
      <c r="N669" s="13"/>
      <c r="O669" s="13"/>
      <c r="P669" s="341"/>
      <c r="Q669" s="13"/>
      <c r="R669" s="242"/>
      <c r="S669" s="242"/>
      <c r="T669" s="242"/>
      <c r="U669" s="242"/>
      <c r="V669" s="242"/>
      <c r="W669" s="242"/>
      <c r="X669" s="242"/>
    </row>
    <row r="670">
      <c r="A670" s="242"/>
      <c r="B670" s="242"/>
      <c r="C670" s="242"/>
      <c r="D670" s="242"/>
      <c r="E670" s="242"/>
      <c r="F670" s="242"/>
      <c r="G670" s="242"/>
      <c r="H670" s="242"/>
      <c r="I670" s="242"/>
      <c r="J670" s="242"/>
      <c r="K670" s="242"/>
      <c r="L670" s="242"/>
      <c r="M670" s="13"/>
      <c r="N670" s="13"/>
      <c r="O670" s="13"/>
      <c r="P670" s="341"/>
      <c r="Q670" s="13"/>
      <c r="R670" s="242"/>
      <c r="S670" s="242"/>
      <c r="T670" s="242"/>
      <c r="U670" s="242"/>
      <c r="V670" s="242"/>
      <c r="W670" s="242"/>
      <c r="X670" s="242"/>
    </row>
    <row r="671">
      <c r="A671" s="242"/>
      <c r="B671" s="242"/>
      <c r="C671" s="242"/>
      <c r="D671" s="242"/>
      <c r="E671" s="242"/>
      <c r="F671" s="242"/>
      <c r="G671" s="242"/>
      <c r="H671" s="242"/>
      <c r="I671" s="242"/>
      <c r="J671" s="242"/>
      <c r="K671" s="242"/>
      <c r="L671" s="242"/>
      <c r="M671" s="13"/>
      <c r="N671" s="13"/>
      <c r="O671" s="13"/>
      <c r="P671" s="341"/>
      <c r="Q671" s="13"/>
      <c r="R671" s="242"/>
      <c r="S671" s="242"/>
      <c r="T671" s="242"/>
      <c r="U671" s="242"/>
      <c r="V671" s="242"/>
      <c r="W671" s="242"/>
      <c r="X671" s="242"/>
    </row>
    <row r="672">
      <c r="A672" s="242"/>
      <c r="B672" s="242"/>
      <c r="C672" s="242"/>
      <c r="D672" s="242"/>
      <c r="E672" s="242"/>
      <c r="F672" s="242"/>
      <c r="G672" s="242"/>
      <c r="H672" s="242"/>
      <c r="I672" s="242"/>
      <c r="J672" s="242"/>
      <c r="K672" s="242"/>
      <c r="L672" s="242"/>
      <c r="M672" s="13"/>
      <c r="N672" s="13"/>
      <c r="O672" s="13"/>
      <c r="P672" s="341"/>
      <c r="Q672" s="13"/>
      <c r="R672" s="242"/>
      <c r="S672" s="242"/>
      <c r="T672" s="242"/>
      <c r="U672" s="242"/>
      <c r="V672" s="242"/>
      <c r="W672" s="242"/>
      <c r="X672" s="242"/>
    </row>
    <row r="673">
      <c r="A673" s="242"/>
      <c r="B673" s="242"/>
      <c r="C673" s="242"/>
      <c r="D673" s="242"/>
      <c r="E673" s="242"/>
      <c r="F673" s="242"/>
      <c r="G673" s="242"/>
      <c r="H673" s="242"/>
      <c r="I673" s="242"/>
      <c r="J673" s="242"/>
      <c r="K673" s="242"/>
      <c r="L673" s="242"/>
      <c r="M673" s="13"/>
      <c r="N673" s="13"/>
      <c r="O673" s="13"/>
      <c r="P673" s="341"/>
      <c r="Q673" s="13"/>
      <c r="R673" s="242"/>
      <c r="S673" s="242"/>
      <c r="T673" s="242"/>
      <c r="U673" s="242"/>
      <c r="V673" s="242"/>
      <c r="W673" s="242"/>
      <c r="X673" s="242"/>
    </row>
    <row r="674">
      <c r="A674" s="242"/>
      <c r="B674" s="242"/>
      <c r="C674" s="242"/>
      <c r="D674" s="242"/>
      <c r="E674" s="242"/>
      <c r="F674" s="242"/>
      <c r="G674" s="242"/>
      <c r="H674" s="242"/>
      <c r="I674" s="242"/>
      <c r="J674" s="242"/>
      <c r="K674" s="242"/>
      <c r="L674" s="242"/>
      <c r="M674" s="13"/>
      <c r="N674" s="13"/>
      <c r="O674" s="13"/>
      <c r="P674" s="341"/>
      <c r="Q674" s="13"/>
      <c r="R674" s="242"/>
      <c r="S674" s="242"/>
      <c r="T674" s="242"/>
      <c r="U674" s="242"/>
      <c r="V674" s="242"/>
      <c r="W674" s="242"/>
      <c r="X674" s="242"/>
    </row>
    <row r="675">
      <c r="A675" s="242"/>
      <c r="B675" s="242"/>
      <c r="C675" s="242"/>
      <c r="D675" s="242"/>
      <c r="E675" s="242"/>
      <c r="F675" s="242"/>
      <c r="G675" s="242"/>
      <c r="H675" s="242"/>
      <c r="I675" s="242"/>
      <c r="J675" s="242"/>
      <c r="K675" s="242"/>
      <c r="L675" s="242"/>
      <c r="M675" s="13"/>
      <c r="N675" s="13"/>
      <c r="O675" s="13"/>
      <c r="P675" s="341"/>
      <c r="Q675" s="13"/>
      <c r="R675" s="242"/>
      <c r="S675" s="242"/>
      <c r="T675" s="242"/>
      <c r="U675" s="242"/>
      <c r="V675" s="242"/>
      <c r="W675" s="242"/>
      <c r="X675" s="242"/>
    </row>
    <row r="676">
      <c r="A676" s="242"/>
      <c r="B676" s="242"/>
      <c r="C676" s="242"/>
      <c r="D676" s="242"/>
      <c r="E676" s="242"/>
      <c r="F676" s="242"/>
      <c r="G676" s="242"/>
      <c r="H676" s="242"/>
      <c r="I676" s="242"/>
      <c r="J676" s="242"/>
      <c r="K676" s="242"/>
      <c r="L676" s="242"/>
      <c r="M676" s="13"/>
      <c r="N676" s="13"/>
      <c r="O676" s="13"/>
      <c r="P676" s="341"/>
      <c r="Q676" s="13"/>
      <c r="R676" s="242"/>
      <c r="S676" s="242"/>
      <c r="T676" s="242"/>
      <c r="U676" s="242"/>
      <c r="V676" s="242"/>
      <c r="W676" s="242"/>
      <c r="X676" s="242"/>
    </row>
    <row r="677">
      <c r="A677" s="242"/>
      <c r="B677" s="242"/>
      <c r="C677" s="242"/>
      <c r="D677" s="242"/>
      <c r="E677" s="242"/>
      <c r="F677" s="242"/>
      <c r="G677" s="242"/>
      <c r="H677" s="242"/>
      <c r="I677" s="242"/>
      <c r="J677" s="242"/>
      <c r="K677" s="242"/>
      <c r="L677" s="242"/>
      <c r="M677" s="13"/>
      <c r="N677" s="13"/>
      <c r="O677" s="13"/>
      <c r="P677" s="341"/>
      <c r="Q677" s="13"/>
      <c r="R677" s="242"/>
      <c r="S677" s="242"/>
      <c r="T677" s="242"/>
      <c r="U677" s="242"/>
      <c r="V677" s="242"/>
      <c r="W677" s="242"/>
      <c r="X677" s="242"/>
    </row>
    <row r="678">
      <c r="A678" s="242"/>
      <c r="B678" s="242"/>
      <c r="C678" s="242"/>
      <c r="D678" s="242"/>
      <c r="E678" s="242"/>
      <c r="F678" s="242"/>
      <c r="G678" s="242"/>
      <c r="H678" s="242"/>
      <c r="I678" s="242"/>
      <c r="J678" s="242"/>
      <c r="K678" s="242"/>
      <c r="L678" s="242"/>
      <c r="M678" s="13"/>
      <c r="N678" s="13"/>
      <c r="O678" s="13"/>
      <c r="P678" s="341"/>
      <c r="Q678" s="13"/>
      <c r="R678" s="242"/>
      <c r="S678" s="242"/>
      <c r="T678" s="242"/>
      <c r="U678" s="242"/>
      <c r="V678" s="242"/>
      <c r="W678" s="242"/>
      <c r="X678" s="242"/>
    </row>
    <row r="679">
      <c r="A679" s="242"/>
      <c r="B679" s="242"/>
      <c r="C679" s="242"/>
      <c r="D679" s="242"/>
      <c r="E679" s="242"/>
      <c r="F679" s="242"/>
      <c r="G679" s="242"/>
      <c r="H679" s="242"/>
      <c r="I679" s="242"/>
      <c r="J679" s="242"/>
      <c r="K679" s="242"/>
      <c r="L679" s="242"/>
      <c r="M679" s="13"/>
      <c r="N679" s="13"/>
      <c r="O679" s="13"/>
      <c r="P679" s="341"/>
      <c r="Q679" s="13"/>
      <c r="R679" s="242"/>
      <c r="S679" s="242"/>
      <c r="T679" s="242"/>
      <c r="U679" s="242"/>
      <c r="V679" s="242"/>
      <c r="W679" s="242"/>
      <c r="X679" s="242"/>
    </row>
    <row r="680">
      <c r="A680" s="242"/>
      <c r="B680" s="242"/>
      <c r="C680" s="242"/>
      <c r="D680" s="242"/>
      <c r="E680" s="242"/>
      <c r="F680" s="242"/>
      <c r="G680" s="242"/>
      <c r="H680" s="242"/>
      <c r="I680" s="242"/>
      <c r="J680" s="242"/>
      <c r="K680" s="242"/>
      <c r="L680" s="242"/>
      <c r="M680" s="13"/>
      <c r="N680" s="13"/>
      <c r="O680" s="13"/>
      <c r="P680" s="341"/>
      <c r="Q680" s="13"/>
      <c r="R680" s="242"/>
      <c r="S680" s="242"/>
      <c r="T680" s="242"/>
      <c r="U680" s="242"/>
      <c r="V680" s="242"/>
      <c r="W680" s="242"/>
      <c r="X680" s="242"/>
    </row>
    <row r="681">
      <c r="A681" s="242"/>
      <c r="B681" s="242"/>
      <c r="C681" s="242"/>
      <c r="D681" s="242"/>
      <c r="E681" s="242"/>
      <c r="F681" s="242"/>
      <c r="G681" s="242"/>
      <c r="H681" s="242"/>
      <c r="I681" s="242"/>
      <c r="J681" s="242"/>
      <c r="K681" s="242"/>
      <c r="L681" s="242"/>
      <c r="M681" s="13"/>
      <c r="N681" s="13"/>
      <c r="O681" s="13"/>
      <c r="P681" s="341"/>
      <c r="Q681" s="13"/>
      <c r="R681" s="242"/>
      <c r="S681" s="242"/>
      <c r="T681" s="242"/>
      <c r="U681" s="242"/>
      <c r="V681" s="242"/>
      <c r="W681" s="242"/>
      <c r="X681" s="242"/>
    </row>
    <row r="682">
      <c r="A682" s="242"/>
      <c r="B682" s="242"/>
      <c r="C682" s="242"/>
      <c r="D682" s="242"/>
      <c r="E682" s="242"/>
      <c r="F682" s="242"/>
      <c r="G682" s="242"/>
      <c r="H682" s="242"/>
      <c r="I682" s="242"/>
      <c r="J682" s="242"/>
      <c r="K682" s="242"/>
      <c r="L682" s="242"/>
      <c r="M682" s="13"/>
      <c r="N682" s="13"/>
      <c r="O682" s="13"/>
      <c r="P682" s="341"/>
      <c r="Q682" s="13"/>
      <c r="R682" s="242"/>
      <c r="S682" s="242"/>
      <c r="T682" s="242"/>
      <c r="U682" s="242"/>
      <c r="V682" s="242"/>
      <c r="W682" s="242"/>
      <c r="X682" s="242"/>
    </row>
    <row r="683">
      <c r="A683" s="242"/>
      <c r="B683" s="242"/>
      <c r="C683" s="242"/>
      <c r="D683" s="242"/>
      <c r="E683" s="242"/>
      <c r="F683" s="242"/>
      <c r="G683" s="242"/>
      <c r="H683" s="242"/>
      <c r="I683" s="242"/>
      <c r="J683" s="242"/>
      <c r="K683" s="242"/>
      <c r="L683" s="242"/>
      <c r="M683" s="13"/>
      <c r="N683" s="13"/>
      <c r="O683" s="13"/>
      <c r="P683" s="341"/>
      <c r="Q683" s="13"/>
      <c r="R683" s="242"/>
      <c r="S683" s="242"/>
      <c r="T683" s="242"/>
      <c r="U683" s="242"/>
      <c r="V683" s="242"/>
      <c r="W683" s="242"/>
      <c r="X683" s="242"/>
    </row>
    <row r="684">
      <c r="A684" s="242"/>
      <c r="B684" s="242"/>
      <c r="C684" s="242"/>
      <c r="D684" s="242"/>
      <c r="E684" s="242"/>
      <c r="F684" s="242"/>
      <c r="G684" s="242"/>
      <c r="H684" s="242"/>
      <c r="I684" s="242"/>
      <c r="J684" s="242"/>
      <c r="K684" s="242"/>
      <c r="L684" s="242"/>
      <c r="M684" s="13"/>
      <c r="N684" s="13"/>
      <c r="O684" s="13"/>
      <c r="P684" s="341"/>
      <c r="Q684" s="13"/>
      <c r="R684" s="242"/>
      <c r="S684" s="242"/>
      <c r="T684" s="242"/>
      <c r="U684" s="242"/>
      <c r="V684" s="242"/>
      <c r="W684" s="242"/>
      <c r="X684" s="242"/>
    </row>
    <row r="685">
      <c r="A685" s="242"/>
      <c r="B685" s="242"/>
      <c r="C685" s="242"/>
      <c r="D685" s="242"/>
      <c r="E685" s="242"/>
      <c r="F685" s="242"/>
      <c r="G685" s="242"/>
      <c r="H685" s="242"/>
      <c r="I685" s="242"/>
      <c r="J685" s="242"/>
      <c r="K685" s="242"/>
      <c r="L685" s="242"/>
      <c r="M685" s="13"/>
      <c r="N685" s="13"/>
      <c r="O685" s="13"/>
      <c r="P685" s="341"/>
      <c r="Q685" s="13"/>
      <c r="R685" s="242"/>
      <c r="S685" s="242"/>
      <c r="T685" s="242"/>
      <c r="U685" s="242"/>
      <c r="V685" s="242"/>
      <c r="W685" s="242"/>
      <c r="X685" s="242"/>
    </row>
    <row r="686">
      <c r="A686" s="242"/>
      <c r="B686" s="242"/>
      <c r="C686" s="242"/>
      <c r="D686" s="242"/>
      <c r="E686" s="242"/>
      <c r="F686" s="242"/>
      <c r="G686" s="242"/>
      <c r="H686" s="242"/>
      <c r="I686" s="242"/>
      <c r="J686" s="242"/>
      <c r="K686" s="242"/>
      <c r="L686" s="242"/>
      <c r="M686" s="13"/>
      <c r="N686" s="13"/>
      <c r="O686" s="13"/>
      <c r="P686" s="341"/>
      <c r="Q686" s="13"/>
      <c r="R686" s="242"/>
      <c r="S686" s="242"/>
      <c r="T686" s="242"/>
      <c r="U686" s="242"/>
      <c r="V686" s="242"/>
      <c r="W686" s="242"/>
      <c r="X686" s="242"/>
    </row>
    <row r="687">
      <c r="A687" s="242"/>
      <c r="B687" s="242"/>
      <c r="C687" s="242"/>
      <c r="D687" s="242"/>
      <c r="E687" s="242"/>
      <c r="F687" s="242"/>
      <c r="G687" s="242"/>
      <c r="H687" s="242"/>
      <c r="I687" s="242"/>
      <c r="J687" s="242"/>
      <c r="K687" s="242"/>
      <c r="L687" s="242"/>
      <c r="M687" s="13"/>
      <c r="N687" s="13"/>
      <c r="O687" s="13"/>
      <c r="P687" s="341"/>
      <c r="Q687" s="13"/>
      <c r="R687" s="242"/>
      <c r="S687" s="242"/>
      <c r="T687" s="242"/>
      <c r="U687" s="242"/>
      <c r="V687" s="242"/>
      <c r="W687" s="242"/>
      <c r="X687" s="242"/>
    </row>
    <row r="688">
      <c r="A688" s="242"/>
      <c r="B688" s="242"/>
      <c r="C688" s="242"/>
      <c r="D688" s="242"/>
      <c r="E688" s="242"/>
      <c r="F688" s="242"/>
      <c r="G688" s="242"/>
      <c r="H688" s="242"/>
      <c r="I688" s="242"/>
      <c r="J688" s="242"/>
      <c r="K688" s="242"/>
      <c r="L688" s="242"/>
      <c r="M688" s="13"/>
      <c r="N688" s="13"/>
      <c r="O688" s="13"/>
      <c r="P688" s="341"/>
      <c r="Q688" s="13"/>
      <c r="R688" s="242"/>
      <c r="S688" s="242"/>
      <c r="T688" s="242"/>
      <c r="U688" s="242"/>
      <c r="V688" s="242"/>
      <c r="W688" s="242"/>
      <c r="X688" s="242"/>
    </row>
    <row r="689">
      <c r="A689" s="242"/>
      <c r="B689" s="242"/>
      <c r="C689" s="242"/>
      <c r="D689" s="242"/>
      <c r="E689" s="242"/>
      <c r="F689" s="242"/>
      <c r="G689" s="242"/>
      <c r="H689" s="242"/>
      <c r="I689" s="242"/>
      <c r="J689" s="242"/>
      <c r="K689" s="242"/>
      <c r="L689" s="242"/>
      <c r="M689" s="13"/>
      <c r="N689" s="13"/>
      <c r="O689" s="13"/>
      <c r="P689" s="341"/>
      <c r="Q689" s="13"/>
      <c r="R689" s="242"/>
      <c r="S689" s="242"/>
      <c r="T689" s="242"/>
      <c r="U689" s="242"/>
      <c r="V689" s="242"/>
      <c r="W689" s="242"/>
      <c r="X689" s="242"/>
    </row>
    <row r="690">
      <c r="A690" s="242"/>
      <c r="B690" s="242"/>
      <c r="C690" s="242"/>
      <c r="D690" s="242"/>
      <c r="E690" s="242"/>
      <c r="F690" s="242"/>
      <c r="G690" s="242"/>
      <c r="H690" s="242"/>
      <c r="I690" s="242"/>
      <c r="J690" s="242"/>
      <c r="K690" s="242"/>
      <c r="L690" s="242"/>
      <c r="M690" s="13"/>
      <c r="N690" s="13"/>
      <c r="O690" s="13"/>
      <c r="P690" s="341"/>
      <c r="Q690" s="13"/>
      <c r="R690" s="242"/>
      <c r="S690" s="242"/>
      <c r="T690" s="242"/>
      <c r="U690" s="242"/>
      <c r="V690" s="242"/>
      <c r="W690" s="242"/>
      <c r="X690" s="242"/>
    </row>
    <row r="691">
      <c r="A691" s="242"/>
      <c r="B691" s="242"/>
      <c r="C691" s="242"/>
      <c r="D691" s="242"/>
      <c r="E691" s="242"/>
      <c r="F691" s="242"/>
      <c r="G691" s="242"/>
      <c r="H691" s="242"/>
      <c r="I691" s="242"/>
      <c r="J691" s="242"/>
      <c r="K691" s="242"/>
      <c r="L691" s="242"/>
      <c r="M691" s="13"/>
      <c r="N691" s="13"/>
      <c r="O691" s="13"/>
      <c r="P691" s="341"/>
      <c r="Q691" s="13"/>
      <c r="R691" s="242"/>
      <c r="S691" s="242"/>
      <c r="T691" s="242"/>
      <c r="U691" s="242"/>
      <c r="V691" s="242"/>
      <c r="W691" s="242"/>
      <c r="X691" s="242"/>
    </row>
    <row r="692">
      <c r="A692" s="242"/>
      <c r="B692" s="242"/>
      <c r="C692" s="242"/>
      <c r="D692" s="242"/>
      <c r="E692" s="242"/>
      <c r="F692" s="242"/>
      <c r="G692" s="242"/>
      <c r="H692" s="242"/>
      <c r="I692" s="242"/>
      <c r="J692" s="242"/>
      <c r="K692" s="242"/>
      <c r="L692" s="242"/>
      <c r="M692" s="13"/>
      <c r="N692" s="13"/>
      <c r="O692" s="13"/>
      <c r="P692" s="341"/>
      <c r="Q692" s="13"/>
      <c r="R692" s="242"/>
      <c r="S692" s="242"/>
      <c r="T692" s="242"/>
      <c r="U692" s="242"/>
      <c r="V692" s="242"/>
      <c r="W692" s="242"/>
      <c r="X692" s="242"/>
    </row>
    <row r="693">
      <c r="A693" s="242"/>
      <c r="B693" s="242"/>
      <c r="C693" s="242"/>
      <c r="D693" s="242"/>
      <c r="E693" s="242"/>
      <c r="F693" s="242"/>
      <c r="G693" s="242"/>
      <c r="H693" s="242"/>
      <c r="I693" s="242"/>
      <c r="J693" s="242"/>
      <c r="K693" s="242"/>
      <c r="L693" s="242"/>
      <c r="M693" s="13"/>
      <c r="N693" s="13"/>
      <c r="O693" s="13"/>
      <c r="P693" s="341"/>
      <c r="Q693" s="13"/>
      <c r="R693" s="242"/>
      <c r="S693" s="242"/>
      <c r="T693" s="242"/>
      <c r="U693" s="242"/>
      <c r="V693" s="242"/>
      <c r="W693" s="242"/>
      <c r="X693" s="242"/>
    </row>
    <row r="694">
      <c r="A694" s="242"/>
      <c r="B694" s="242"/>
      <c r="C694" s="242"/>
      <c r="D694" s="242"/>
      <c r="E694" s="242"/>
      <c r="F694" s="242"/>
      <c r="G694" s="242"/>
      <c r="H694" s="242"/>
      <c r="I694" s="242"/>
      <c r="J694" s="242"/>
      <c r="K694" s="242"/>
      <c r="L694" s="242"/>
      <c r="M694" s="13"/>
      <c r="N694" s="13"/>
      <c r="O694" s="13"/>
      <c r="P694" s="341"/>
      <c r="Q694" s="13"/>
      <c r="R694" s="242"/>
      <c r="S694" s="242"/>
      <c r="T694" s="242"/>
      <c r="U694" s="242"/>
      <c r="V694" s="242"/>
      <c r="W694" s="242"/>
      <c r="X694" s="242"/>
    </row>
    <row r="695">
      <c r="A695" s="242"/>
      <c r="B695" s="242"/>
      <c r="C695" s="242"/>
      <c r="D695" s="242"/>
      <c r="E695" s="242"/>
      <c r="F695" s="242"/>
      <c r="G695" s="242"/>
      <c r="H695" s="242"/>
      <c r="I695" s="242"/>
      <c r="J695" s="242"/>
      <c r="K695" s="242"/>
      <c r="L695" s="242"/>
      <c r="M695" s="13"/>
      <c r="N695" s="13"/>
      <c r="O695" s="13"/>
      <c r="P695" s="341"/>
      <c r="Q695" s="13"/>
      <c r="R695" s="242"/>
      <c r="S695" s="242"/>
      <c r="T695" s="242"/>
      <c r="U695" s="242"/>
      <c r="V695" s="242"/>
      <c r="W695" s="242"/>
      <c r="X695" s="242"/>
    </row>
    <row r="696">
      <c r="A696" s="242"/>
      <c r="B696" s="242"/>
      <c r="C696" s="242"/>
      <c r="D696" s="242"/>
      <c r="E696" s="242"/>
      <c r="F696" s="242"/>
      <c r="G696" s="242"/>
      <c r="H696" s="242"/>
      <c r="I696" s="242"/>
      <c r="J696" s="242"/>
      <c r="K696" s="242"/>
      <c r="L696" s="242"/>
      <c r="M696" s="13"/>
      <c r="N696" s="13"/>
      <c r="O696" s="13"/>
      <c r="P696" s="341"/>
      <c r="Q696" s="13"/>
      <c r="R696" s="242"/>
      <c r="S696" s="242"/>
      <c r="T696" s="242"/>
      <c r="U696" s="242"/>
      <c r="V696" s="242"/>
      <c r="W696" s="242"/>
      <c r="X696" s="242"/>
    </row>
    <row r="697">
      <c r="A697" s="242"/>
      <c r="B697" s="242"/>
      <c r="C697" s="242"/>
      <c r="D697" s="242"/>
      <c r="E697" s="242"/>
      <c r="F697" s="242"/>
      <c r="G697" s="242"/>
      <c r="H697" s="242"/>
      <c r="I697" s="242"/>
      <c r="J697" s="242"/>
      <c r="K697" s="242"/>
      <c r="L697" s="242"/>
      <c r="M697" s="13"/>
      <c r="N697" s="13"/>
      <c r="O697" s="13"/>
      <c r="P697" s="341"/>
      <c r="Q697" s="13"/>
      <c r="R697" s="242"/>
      <c r="S697" s="242"/>
      <c r="T697" s="242"/>
      <c r="U697" s="242"/>
      <c r="V697" s="242"/>
      <c r="W697" s="242"/>
      <c r="X697" s="242"/>
    </row>
    <row r="698">
      <c r="A698" s="242"/>
      <c r="B698" s="242"/>
      <c r="C698" s="242"/>
      <c r="D698" s="242"/>
      <c r="E698" s="242"/>
      <c r="F698" s="242"/>
      <c r="G698" s="242"/>
      <c r="H698" s="242"/>
      <c r="I698" s="242"/>
      <c r="J698" s="242"/>
      <c r="K698" s="242"/>
      <c r="L698" s="242"/>
      <c r="M698" s="13"/>
      <c r="N698" s="13"/>
      <c r="O698" s="13"/>
      <c r="P698" s="341"/>
      <c r="Q698" s="13"/>
      <c r="R698" s="242"/>
      <c r="S698" s="242"/>
      <c r="T698" s="242"/>
      <c r="U698" s="242"/>
      <c r="V698" s="242"/>
      <c r="W698" s="242"/>
      <c r="X698" s="242"/>
    </row>
    <row r="699">
      <c r="A699" s="242"/>
      <c r="B699" s="242"/>
      <c r="C699" s="242"/>
      <c r="D699" s="242"/>
      <c r="E699" s="242"/>
      <c r="F699" s="242"/>
      <c r="G699" s="242"/>
      <c r="H699" s="242"/>
      <c r="I699" s="242"/>
      <c r="J699" s="242"/>
      <c r="K699" s="242"/>
      <c r="L699" s="242"/>
      <c r="M699" s="13"/>
      <c r="N699" s="13"/>
      <c r="O699" s="13"/>
      <c r="P699" s="341"/>
      <c r="Q699" s="13"/>
      <c r="R699" s="242"/>
      <c r="S699" s="242"/>
      <c r="T699" s="242"/>
      <c r="U699" s="242"/>
      <c r="V699" s="242"/>
      <c r="W699" s="242"/>
      <c r="X699" s="242"/>
    </row>
    <row r="700">
      <c r="A700" s="242"/>
      <c r="B700" s="242"/>
      <c r="C700" s="242"/>
      <c r="D700" s="242"/>
      <c r="E700" s="242"/>
      <c r="F700" s="242"/>
      <c r="G700" s="242"/>
      <c r="H700" s="242"/>
      <c r="I700" s="242"/>
      <c r="J700" s="242"/>
      <c r="K700" s="242"/>
      <c r="L700" s="242"/>
      <c r="M700" s="13"/>
      <c r="N700" s="13"/>
      <c r="O700" s="13"/>
      <c r="P700" s="341"/>
      <c r="Q700" s="13"/>
      <c r="R700" s="242"/>
      <c r="S700" s="242"/>
      <c r="T700" s="242"/>
      <c r="U700" s="242"/>
      <c r="V700" s="242"/>
      <c r="W700" s="242"/>
      <c r="X700" s="242"/>
    </row>
    <row r="701">
      <c r="A701" s="242"/>
      <c r="B701" s="242"/>
      <c r="C701" s="242"/>
      <c r="D701" s="242"/>
      <c r="E701" s="242"/>
      <c r="F701" s="242"/>
      <c r="G701" s="242"/>
      <c r="H701" s="242"/>
      <c r="I701" s="242"/>
      <c r="J701" s="242"/>
      <c r="K701" s="242"/>
      <c r="L701" s="242"/>
      <c r="M701" s="13"/>
      <c r="N701" s="13"/>
      <c r="O701" s="13"/>
      <c r="P701" s="341"/>
      <c r="Q701" s="13"/>
      <c r="R701" s="242"/>
      <c r="S701" s="242"/>
      <c r="T701" s="242"/>
      <c r="U701" s="242"/>
      <c r="V701" s="242"/>
      <c r="W701" s="242"/>
      <c r="X701" s="242"/>
    </row>
    <row r="702">
      <c r="A702" s="242"/>
      <c r="B702" s="242"/>
      <c r="C702" s="242"/>
      <c r="D702" s="242"/>
      <c r="E702" s="242"/>
      <c r="F702" s="242"/>
      <c r="G702" s="242"/>
      <c r="H702" s="242"/>
      <c r="I702" s="242"/>
      <c r="J702" s="242"/>
      <c r="K702" s="242"/>
      <c r="L702" s="242"/>
      <c r="M702" s="13"/>
      <c r="N702" s="13"/>
      <c r="O702" s="13"/>
      <c r="P702" s="341"/>
      <c r="Q702" s="13"/>
      <c r="R702" s="242"/>
      <c r="S702" s="242"/>
      <c r="T702" s="242"/>
      <c r="U702" s="242"/>
      <c r="V702" s="242"/>
      <c r="W702" s="242"/>
      <c r="X702" s="242"/>
    </row>
    <row r="703">
      <c r="A703" s="242"/>
      <c r="B703" s="242"/>
      <c r="C703" s="242"/>
      <c r="D703" s="242"/>
      <c r="E703" s="242"/>
      <c r="F703" s="242"/>
      <c r="G703" s="242"/>
      <c r="H703" s="242"/>
      <c r="I703" s="242"/>
      <c r="J703" s="242"/>
      <c r="K703" s="242"/>
      <c r="L703" s="242"/>
      <c r="M703" s="13"/>
      <c r="N703" s="13"/>
      <c r="O703" s="13"/>
      <c r="P703" s="341"/>
      <c r="Q703" s="13"/>
      <c r="R703" s="242"/>
      <c r="S703" s="242"/>
      <c r="T703" s="242"/>
      <c r="U703" s="242"/>
      <c r="V703" s="242"/>
      <c r="W703" s="242"/>
      <c r="X703" s="242"/>
    </row>
    <row r="704">
      <c r="A704" s="242"/>
      <c r="B704" s="242"/>
      <c r="C704" s="242"/>
      <c r="D704" s="242"/>
      <c r="E704" s="242"/>
      <c r="F704" s="242"/>
      <c r="G704" s="242"/>
      <c r="H704" s="242"/>
      <c r="I704" s="242"/>
      <c r="J704" s="242"/>
      <c r="K704" s="242"/>
      <c r="L704" s="242"/>
      <c r="M704" s="13"/>
      <c r="N704" s="13"/>
      <c r="O704" s="13"/>
      <c r="P704" s="341"/>
      <c r="Q704" s="13"/>
      <c r="R704" s="242"/>
      <c r="S704" s="242"/>
      <c r="T704" s="242"/>
      <c r="U704" s="242"/>
      <c r="V704" s="242"/>
      <c r="W704" s="242"/>
      <c r="X704" s="242"/>
    </row>
    <row r="705">
      <c r="A705" s="242"/>
      <c r="B705" s="242"/>
      <c r="C705" s="242"/>
      <c r="D705" s="242"/>
      <c r="E705" s="242"/>
      <c r="F705" s="242"/>
      <c r="G705" s="242"/>
      <c r="H705" s="242"/>
      <c r="I705" s="242"/>
      <c r="J705" s="242"/>
      <c r="K705" s="242"/>
      <c r="L705" s="242"/>
      <c r="M705" s="13"/>
      <c r="N705" s="13"/>
      <c r="O705" s="13"/>
      <c r="P705" s="341"/>
      <c r="Q705" s="13"/>
      <c r="R705" s="242"/>
      <c r="S705" s="242"/>
      <c r="T705" s="242"/>
      <c r="U705" s="242"/>
      <c r="V705" s="242"/>
      <c r="W705" s="242"/>
      <c r="X705" s="242"/>
    </row>
    <row r="706">
      <c r="A706" s="242"/>
      <c r="B706" s="242"/>
      <c r="C706" s="242"/>
      <c r="D706" s="242"/>
      <c r="E706" s="242"/>
      <c r="F706" s="242"/>
      <c r="G706" s="242"/>
      <c r="H706" s="242"/>
      <c r="I706" s="242"/>
      <c r="J706" s="242"/>
      <c r="K706" s="242"/>
      <c r="L706" s="242"/>
      <c r="M706" s="13"/>
      <c r="N706" s="13"/>
      <c r="O706" s="13"/>
      <c r="P706" s="341"/>
      <c r="Q706" s="13"/>
      <c r="R706" s="242"/>
      <c r="S706" s="242"/>
      <c r="T706" s="242"/>
      <c r="U706" s="242"/>
      <c r="V706" s="242"/>
      <c r="W706" s="242"/>
      <c r="X706" s="242"/>
    </row>
    <row r="707">
      <c r="A707" s="242"/>
      <c r="B707" s="242"/>
      <c r="C707" s="242"/>
      <c r="D707" s="242"/>
      <c r="E707" s="242"/>
      <c r="F707" s="242"/>
      <c r="G707" s="242"/>
      <c r="H707" s="242"/>
      <c r="I707" s="242"/>
      <c r="J707" s="242"/>
      <c r="K707" s="242"/>
      <c r="L707" s="242"/>
      <c r="M707" s="13"/>
      <c r="N707" s="13"/>
      <c r="O707" s="13"/>
      <c r="P707" s="341"/>
      <c r="Q707" s="13"/>
      <c r="R707" s="242"/>
      <c r="S707" s="242"/>
      <c r="T707" s="242"/>
      <c r="U707" s="242"/>
      <c r="V707" s="242"/>
      <c r="W707" s="242"/>
      <c r="X707" s="242"/>
    </row>
    <row r="708">
      <c r="A708" s="242"/>
      <c r="B708" s="242"/>
      <c r="C708" s="242"/>
      <c r="D708" s="242"/>
      <c r="E708" s="242"/>
      <c r="F708" s="242"/>
      <c r="G708" s="242"/>
      <c r="H708" s="242"/>
      <c r="I708" s="242"/>
      <c r="J708" s="242"/>
      <c r="K708" s="242"/>
      <c r="L708" s="242"/>
      <c r="M708" s="13"/>
      <c r="N708" s="13"/>
      <c r="O708" s="13"/>
      <c r="P708" s="341"/>
      <c r="Q708" s="13"/>
      <c r="R708" s="242"/>
      <c r="S708" s="242"/>
      <c r="T708" s="242"/>
      <c r="U708" s="242"/>
      <c r="V708" s="242"/>
      <c r="W708" s="242"/>
      <c r="X708" s="242"/>
    </row>
    <row r="709">
      <c r="A709" s="242"/>
      <c r="B709" s="242"/>
      <c r="C709" s="242"/>
      <c r="D709" s="242"/>
      <c r="E709" s="242"/>
      <c r="F709" s="242"/>
      <c r="G709" s="242"/>
      <c r="H709" s="242"/>
      <c r="I709" s="242"/>
      <c r="J709" s="242"/>
      <c r="K709" s="242"/>
      <c r="L709" s="242"/>
      <c r="M709" s="13"/>
      <c r="N709" s="13"/>
      <c r="O709" s="13"/>
      <c r="P709" s="341"/>
      <c r="Q709" s="13"/>
      <c r="R709" s="242"/>
      <c r="S709" s="242"/>
      <c r="T709" s="242"/>
      <c r="U709" s="242"/>
      <c r="V709" s="242"/>
      <c r="W709" s="242"/>
      <c r="X709" s="242"/>
    </row>
    <row r="710">
      <c r="A710" s="242"/>
      <c r="B710" s="242"/>
      <c r="C710" s="242"/>
      <c r="D710" s="242"/>
      <c r="E710" s="242"/>
      <c r="F710" s="242"/>
      <c r="G710" s="242"/>
      <c r="H710" s="242"/>
      <c r="I710" s="242"/>
      <c r="J710" s="242"/>
      <c r="K710" s="242"/>
      <c r="L710" s="242"/>
      <c r="M710" s="13"/>
      <c r="N710" s="13"/>
      <c r="O710" s="13"/>
      <c r="P710" s="341"/>
      <c r="Q710" s="13"/>
      <c r="R710" s="242"/>
      <c r="S710" s="242"/>
      <c r="T710" s="242"/>
      <c r="U710" s="242"/>
      <c r="V710" s="242"/>
      <c r="W710" s="242"/>
      <c r="X710" s="242"/>
    </row>
    <row r="711">
      <c r="A711" s="242"/>
      <c r="B711" s="242"/>
      <c r="C711" s="242"/>
      <c r="D711" s="242"/>
      <c r="E711" s="242"/>
      <c r="F711" s="242"/>
      <c r="G711" s="242"/>
      <c r="H711" s="242"/>
      <c r="I711" s="242"/>
      <c r="J711" s="242"/>
      <c r="K711" s="242"/>
      <c r="L711" s="242"/>
      <c r="M711" s="13"/>
      <c r="N711" s="13"/>
      <c r="O711" s="13"/>
      <c r="P711" s="341"/>
      <c r="Q711" s="13"/>
      <c r="R711" s="242"/>
      <c r="S711" s="242"/>
      <c r="T711" s="242"/>
      <c r="U711" s="242"/>
      <c r="V711" s="242"/>
      <c r="W711" s="242"/>
      <c r="X711" s="242"/>
    </row>
    <row r="712">
      <c r="A712" s="242"/>
      <c r="B712" s="242"/>
      <c r="C712" s="242"/>
      <c r="D712" s="242"/>
      <c r="E712" s="242"/>
      <c r="F712" s="242"/>
      <c r="G712" s="242"/>
      <c r="H712" s="242"/>
      <c r="I712" s="242"/>
      <c r="J712" s="242"/>
      <c r="K712" s="242"/>
      <c r="L712" s="242"/>
      <c r="M712" s="13"/>
      <c r="N712" s="13"/>
      <c r="O712" s="13"/>
      <c r="P712" s="341"/>
      <c r="Q712" s="13"/>
      <c r="R712" s="242"/>
      <c r="S712" s="242"/>
      <c r="T712" s="242"/>
      <c r="U712" s="242"/>
      <c r="V712" s="242"/>
      <c r="W712" s="242"/>
      <c r="X712" s="242"/>
    </row>
    <row r="713">
      <c r="A713" s="242"/>
      <c r="B713" s="242"/>
      <c r="C713" s="242"/>
      <c r="D713" s="242"/>
      <c r="E713" s="242"/>
      <c r="F713" s="242"/>
      <c r="G713" s="242"/>
      <c r="H713" s="242"/>
      <c r="I713" s="242"/>
      <c r="J713" s="242"/>
      <c r="K713" s="242"/>
      <c r="L713" s="242"/>
      <c r="M713" s="13"/>
      <c r="N713" s="13"/>
      <c r="O713" s="13"/>
      <c r="P713" s="341"/>
      <c r="Q713" s="13"/>
      <c r="R713" s="242"/>
      <c r="S713" s="242"/>
      <c r="T713" s="242"/>
      <c r="U713" s="242"/>
      <c r="V713" s="242"/>
      <c r="W713" s="242"/>
      <c r="X713" s="242"/>
    </row>
    <row r="714">
      <c r="A714" s="242"/>
      <c r="B714" s="242"/>
      <c r="C714" s="242"/>
      <c r="D714" s="242"/>
      <c r="E714" s="242"/>
      <c r="F714" s="242"/>
      <c r="G714" s="242"/>
      <c r="H714" s="242"/>
      <c r="I714" s="242"/>
      <c r="J714" s="242"/>
      <c r="K714" s="242"/>
      <c r="L714" s="242"/>
      <c r="M714" s="13"/>
      <c r="N714" s="13"/>
      <c r="O714" s="13"/>
      <c r="P714" s="341"/>
      <c r="Q714" s="13"/>
      <c r="R714" s="242"/>
      <c r="S714" s="242"/>
      <c r="T714" s="242"/>
      <c r="U714" s="242"/>
      <c r="V714" s="242"/>
      <c r="W714" s="242"/>
      <c r="X714" s="242"/>
    </row>
    <row r="715">
      <c r="A715" s="242"/>
      <c r="B715" s="242"/>
      <c r="C715" s="242"/>
      <c r="D715" s="242"/>
      <c r="E715" s="242"/>
      <c r="F715" s="242"/>
      <c r="G715" s="242"/>
      <c r="H715" s="242"/>
      <c r="I715" s="242"/>
      <c r="J715" s="242"/>
      <c r="K715" s="242"/>
      <c r="L715" s="242"/>
      <c r="M715" s="13"/>
      <c r="N715" s="13"/>
      <c r="O715" s="13"/>
      <c r="P715" s="341"/>
      <c r="Q715" s="13"/>
      <c r="R715" s="242"/>
      <c r="S715" s="242"/>
      <c r="T715" s="242"/>
      <c r="U715" s="242"/>
      <c r="V715" s="242"/>
      <c r="W715" s="242"/>
      <c r="X715" s="242"/>
    </row>
    <row r="716">
      <c r="A716" s="242"/>
      <c r="B716" s="242"/>
      <c r="C716" s="242"/>
      <c r="D716" s="242"/>
      <c r="E716" s="242"/>
      <c r="F716" s="242"/>
      <c r="G716" s="242"/>
      <c r="H716" s="242"/>
      <c r="I716" s="242"/>
      <c r="J716" s="242"/>
      <c r="K716" s="242"/>
      <c r="L716" s="242"/>
      <c r="M716" s="13"/>
      <c r="N716" s="13"/>
      <c r="O716" s="13"/>
      <c r="P716" s="341"/>
      <c r="Q716" s="13"/>
      <c r="R716" s="242"/>
      <c r="S716" s="242"/>
      <c r="T716" s="242"/>
      <c r="U716" s="242"/>
      <c r="V716" s="242"/>
      <c r="W716" s="242"/>
      <c r="X716" s="242"/>
    </row>
    <row r="717">
      <c r="A717" s="242"/>
      <c r="B717" s="242"/>
      <c r="C717" s="242"/>
      <c r="D717" s="242"/>
      <c r="E717" s="242"/>
      <c r="F717" s="242"/>
      <c r="G717" s="242"/>
      <c r="H717" s="242"/>
      <c r="I717" s="242"/>
      <c r="J717" s="242"/>
      <c r="K717" s="242"/>
      <c r="L717" s="242"/>
      <c r="M717" s="13"/>
      <c r="N717" s="13"/>
      <c r="O717" s="13"/>
      <c r="P717" s="341"/>
      <c r="Q717" s="13"/>
      <c r="R717" s="242"/>
      <c r="S717" s="242"/>
      <c r="T717" s="242"/>
      <c r="U717" s="242"/>
      <c r="V717" s="242"/>
      <c r="W717" s="242"/>
      <c r="X717" s="242"/>
    </row>
    <row r="718">
      <c r="A718" s="242"/>
      <c r="B718" s="242"/>
      <c r="C718" s="242"/>
      <c r="D718" s="242"/>
      <c r="E718" s="242"/>
      <c r="F718" s="242"/>
      <c r="G718" s="242"/>
      <c r="H718" s="242"/>
      <c r="I718" s="242"/>
      <c r="J718" s="242"/>
      <c r="K718" s="242"/>
      <c r="L718" s="242"/>
      <c r="M718" s="13"/>
      <c r="N718" s="13"/>
      <c r="O718" s="13"/>
      <c r="P718" s="341"/>
      <c r="Q718" s="13"/>
      <c r="R718" s="242"/>
      <c r="S718" s="242"/>
      <c r="T718" s="242"/>
      <c r="U718" s="242"/>
      <c r="V718" s="242"/>
      <c r="W718" s="242"/>
      <c r="X718" s="242"/>
    </row>
    <row r="719">
      <c r="A719" s="242"/>
      <c r="B719" s="242"/>
      <c r="C719" s="242"/>
      <c r="D719" s="242"/>
      <c r="E719" s="242"/>
      <c r="F719" s="242"/>
      <c r="G719" s="242"/>
      <c r="H719" s="242"/>
      <c r="I719" s="242"/>
      <c r="J719" s="242"/>
      <c r="K719" s="242"/>
      <c r="L719" s="242"/>
      <c r="M719" s="13"/>
      <c r="N719" s="13"/>
      <c r="O719" s="13"/>
      <c r="P719" s="341"/>
      <c r="Q719" s="13"/>
      <c r="R719" s="242"/>
      <c r="S719" s="242"/>
      <c r="T719" s="242"/>
      <c r="U719" s="242"/>
      <c r="V719" s="242"/>
      <c r="W719" s="242"/>
      <c r="X719" s="242"/>
    </row>
    <row r="720">
      <c r="A720" s="242"/>
      <c r="B720" s="242"/>
      <c r="C720" s="242"/>
      <c r="D720" s="242"/>
      <c r="E720" s="242"/>
      <c r="F720" s="242"/>
      <c r="G720" s="242"/>
      <c r="H720" s="242"/>
      <c r="I720" s="242"/>
      <c r="J720" s="242"/>
      <c r="K720" s="242"/>
      <c r="L720" s="242"/>
      <c r="M720" s="13"/>
      <c r="N720" s="13"/>
      <c r="O720" s="13"/>
      <c r="P720" s="341"/>
      <c r="Q720" s="13"/>
      <c r="R720" s="242"/>
      <c r="S720" s="242"/>
      <c r="T720" s="242"/>
      <c r="U720" s="242"/>
      <c r="V720" s="242"/>
      <c r="W720" s="242"/>
      <c r="X720" s="242"/>
    </row>
    <row r="721">
      <c r="A721" s="242"/>
      <c r="B721" s="242"/>
      <c r="C721" s="242"/>
      <c r="D721" s="242"/>
      <c r="E721" s="242"/>
      <c r="F721" s="242"/>
      <c r="G721" s="242"/>
      <c r="H721" s="242"/>
      <c r="I721" s="242"/>
      <c r="J721" s="242"/>
      <c r="K721" s="242"/>
      <c r="L721" s="242"/>
      <c r="M721" s="13"/>
      <c r="N721" s="13"/>
      <c r="O721" s="13"/>
      <c r="P721" s="341"/>
      <c r="Q721" s="13"/>
      <c r="R721" s="242"/>
      <c r="S721" s="242"/>
      <c r="T721" s="242"/>
      <c r="U721" s="242"/>
      <c r="V721" s="242"/>
      <c r="W721" s="242"/>
      <c r="X721" s="242"/>
    </row>
    <row r="722">
      <c r="A722" s="242"/>
      <c r="B722" s="242"/>
      <c r="C722" s="242"/>
      <c r="D722" s="242"/>
      <c r="E722" s="242"/>
      <c r="F722" s="242"/>
      <c r="G722" s="242"/>
      <c r="H722" s="242"/>
      <c r="I722" s="242"/>
      <c r="J722" s="242"/>
      <c r="K722" s="242"/>
      <c r="L722" s="242"/>
      <c r="M722" s="13"/>
      <c r="N722" s="13"/>
      <c r="O722" s="13"/>
      <c r="P722" s="341"/>
      <c r="Q722" s="13"/>
      <c r="R722" s="242"/>
      <c r="S722" s="242"/>
      <c r="T722" s="242"/>
      <c r="U722" s="242"/>
      <c r="V722" s="242"/>
      <c r="W722" s="242"/>
      <c r="X722" s="242"/>
    </row>
    <row r="723">
      <c r="A723" s="242"/>
      <c r="B723" s="242"/>
      <c r="C723" s="242"/>
      <c r="D723" s="242"/>
      <c r="E723" s="242"/>
      <c r="F723" s="242"/>
      <c r="G723" s="242"/>
      <c r="H723" s="242"/>
      <c r="I723" s="242"/>
      <c r="J723" s="242"/>
      <c r="K723" s="242"/>
      <c r="L723" s="242"/>
      <c r="M723" s="13"/>
      <c r="N723" s="13"/>
      <c r="O723" s="13"/>
      <c r="P723" s="341"/>
      <c r="Q723" s="13"/>
      <c r="R723" s="242"/>
      <c r="S723" s="242"/>
      <c r="T723" s="242"/>
      <c r="U723" s="242"/>
      <c r="V723" s="242"/>
      <c r="W723" s="242"/>
      <c r="X723" s="242"/>
    </row>
    <row r="724">
      <c r="A724" s="242"/>
      <c r="B724" s="242"/>
      <c r="C724" s="242"/>
      <c r="D724" s="242"/>
      <c r="E724" s="242"/>
      <c r="F724" s="242"/>
      <c r="G724" s="242"/>
      <c r="H724" s="242"/>
      <c r="I724" s="242"/>
      <c r="J724" s="242"/>
      <c r="K724" s="242"/>
      <c r="L724" s="242"/>
      <c r="M724" s="13"/>
      <c r="N724" s="13"/>
      <c r="O724" s="13"/>
      <c r="P724" s="341"/>
      <c r="Q724" s="13"/>
      <c r="R724" s="242"/>
      <c r="S724" s="242"/>
      <c r="T724" s="242"/>
      <c r="U724" s="242"/>
      <c r="V724" s="242"/>
      <c r="W724" s="242"/>
      <c r="X724" s="242"/>
    </row>
    <row r="725">
      <c r="A725" s="242"/>
      <c r="B725" s="242"/>
      <c r="C725" s="242"/>
      <c r="D725" s="242"/>
      <c r="E725" s="242"/>
      <c r="F725" s="242"/>
      <c r="G725" s="242"/>
      <c r="H725" s="242"/>
      <c r="I725" s="242"/>
      <c r="J725" s="242"/>
      <c r="K725" s="242"/>
      <c r="L725" s="242"/>
      <c r="M725" s="13"/>
      <c r="N725" s="13"/>
      <c r="O725" s="13"/>
      <c r="P725" s="341"/>
      <c r="Q725" s="13"/>
      <c r="R725" s="242"/>
      <c r="S725" s="242"/>
      <c r="T725" s="242"/>
      <c r="U725" s="242"/>
      <c r="V725" s="242"/>
      <c r="W725" s="242"/>
      <c r="X725" s="242"/>
    </row>
    <row r="726">
      <c r="A726" s="242"/>
      <c r="B726" s="242"/>
      <c r="C726" s="242"/>
      <c r="D726" s="242"/>
      <c r="E726" s="242"/>
      <c r="F726" s="242"/>
      <c r="G726" s="242"/>
      <c r="H726" s="242"/>
      <c r="I726" s="242"/>
      <c r="J726" s="242"/>
      <c r="K726" s="242"/>
      <c r="L726" s="242"/>
      <c r="M726" s="13"/>
      <c r="N726" s="13"/>
      <c r="O726" s="13"/>
      <c r="P726" s="341"/>
      <c r="Q726" s="13"/>
      <c r="R726" s="242"/>
      <c r="S726" s="242"/>
      <c r="T726" s="242"/>
      <c r="U726" s="242"/>
      <c r="V726" s="242"/>
      <c r="W726" s="242"/>
      <c r="X726" s="242"/>
    </row>
    <row r="727">
      <c r="A727" s="242"/>
      <c r="B727" s="242"/>
      <c r="C727" s="242"/>
      <c r="D727" s="242"/>
      <c r="E727" s="242"/>
      <c r="F727" s="242"/>
      <c r="G727" s="242"/>
      <c r="H727" s="242"/>
      <c r="I727" s="242"/>
      <c r="J727" s="242"/>
      <c r="K727" s="242"/>
      <c r="L727" s="242"/>
      <c r="M727" s="13"/>
      <c r="N727" s="13"/>
      <c r="O727" s="13"/>
      <c r="P727" s="341"/>
      <c r="Q727" s="13"/>
      <c r="R727" s="242"/>
      <c r="S727" s="242"/>
      <c r="T727" s="242"/>
      <c r="U727" s="242"/>
      <c r="V727" s="242"/>
      <c r="W727" s="242"/>
      <c r="X727" s="242"/>
    </row>
    <row r="728">
      <c r="A728" s="242"/>
      <c r="B728" s="242"/>
      <c r="C728" s="242"/>
      <c r="D728" s="242"/>
      <c r="E728" s="242"/>
      <c r="F728" s="242"/>
      <c r="G728" s="242"/>
      <c r="H728" s="242"/>
      <c r="I728" s="242"/>
      <c r="J728" s="242"/>
      <c r="K728" s="242"/>
      <c r="L728" s="242"/>
      <c r="M728" s="13"/>
      <c r="N728" s="13"/>
      <c r="O728" s="13"/>
      <c r="P728" s="341"/>
      <c r="Q728" s="13"/>
      <c r="R728" s="242"/>
      <c r="S728" s="242"/>
      <c r="T728" s="242"/>
      <c r="U728" s="242"/>
      <c r="V728" s="242"/>
      <c r="W728" s="242"/>
      <c r="X728" s="242"/>
    </row>
    <row r="729">
      <c r="A729" s="242"/>
      <c r="B729" s="242"/>
      <c r="C729" s="242"/>
      <c r="D729" s="242"/>
      <c r="E729" s="242"/>
      <c r="F729" s="242"/>
      <c r="G729" s="242"/>
      <c r="H729" s="242"/>
      <c r="I729" s="242"/>
      <c r="J729" s="242"/>
      <c r="K729" s="242"/>
      <c r="L729" s="242"/>
      <c r="M729" s="13"/>
      <c r="N729" s="13"/>
      <c r="O729" s="13"/>
      <c r="P729" s="341"/>
      <c r="Q729" s="13"/>
      <c r="R729" s="242"/>
      <c r="S729" s="242"/>
      <c r="T729" s="242"/>
      <c r="U729" s="242"/>
      <c r="V729" s="242"/>
      <c r="W729" s="242"/>
      <c r="X729" s="242"/>
    </row>
    <row r="730">
      <c r="A730" s="242"/>
      <c r="B730" s="242"/>
      <c r="C730" s="242"/>
      <c r="D730" s="242"/>
      <c r="E730" s="242"/>
      <c r="F730" s="242"/>
      <c r="G730" s="242"/>
      <c r="H730" s="242"/>
      <c r="I730" s="242"/>
      <c r="J730" s="242"/>
      <c r="K730" s="242"/>
      <c r="L730" s="242"/>
      <c r="M730" s="13"/>
      <c r="N730" s="13"/>
      <c r="O730" s="13"/>
      <c r="P730" s="341"/>
      <c r="Q730" s="13"/>
      <c r="R730" s="242"/>
      <c r="S730" s="242"/>
      <c r="T730" s="242"/>
      <c r="U730" s="242"/>
      <c r="V730" s="242"/>
      <c r="W730" s="242"/>
      <c r="X730" s="242"/>
    </row>
    <row r="731">
      <c r="A731" s="242"/>
      <c r="B731" s="242"/>
      <c r="C731" s="242"/>
      <c r="D731" s="242"/>
      <c r="E731" s="242"/>
      <c r="F731" s="242"/>
      <c r="G731" s="242"/>
      <c r="H731" s="242"/>
      <c r="I731" s="242"/>
      <c r="J731" s="242"/>
      <c r="K731" s="242"/>
      <c r="L731" s="242"/>
      <c r="M731" s="13"/>
      <c r="N731" s="13"/>
      <c r="O731" s="13"/>
      <c r="P731" s="341"/>
      <c r="Q731" s="13"/>
      <c r="R731" s="242"/>
      <c r="S731" s="242"/>
      <c r="T731" s="242"/>
      <c r="U731" s="242"/>
      <c r="V731" s="242"/>
      <c r="W731" s="242"/>
      <c r="X731" s="242"/>
    </row>
    <row r="732">
      <c r="A732" s="242"/>
      <c r="B732" s="242"/>
      <c r="C732" s="242"/>
      <c r="D732" s="242"/>
      <c r="E732" s="242"/>
      <c r="F732" s="242"/>
      <c r="G732" s="242"/>
      <c r="H732" s="242"/>
      <c r="I732" s="242"/>
      <c r="J732" s="242"/>
      <c r="K732" s="242"/>
      <c r="L732" s="242"/>
      <c r="M732" s="13"/>
      <c r="N732" s="13"/>
      <c r="O732" s="13"/>
      <c r="P732" s="341"/>
      <c r="Q732" s="13"/>
      <c r="R732" s="242"/>
      <c r="S732" s="242"/>
      <c r="T732" s="242"/>
      <c r="U732" s="242"/>
      <c r="V732" s="242"/>
      <c r="W732" s="242"/>
      <c r="X732" s="242"/>
    </row>
    <row r="733">
      <c r="A733" s="242"/>
      <c r="B733" s="242"/>
      <c r="C733" s="242"/>
      <c r="D733" s="242"/>
      <c r="E733" s="242"/>
      <c r="F733" s="242"/>
      <c r="G733" s="242"/>
      <c r="H733" s="242"/>
      <c r="I733" s="242"/>
      <c r="J733" s="242"/>
      <c r="K733" s="242"/>
      <c r="L733" s="242"/>
      <c r="M733" s="13"/>
      <c r="N733" s="13"/>
      <c r="O733" s="13"/>
      <c r="P733" s="341"/>
      <c r="Q733" s="13"/>
      <c r="R733" s="242"/>
      <c r="S733" s="242"/>
      <c r="T733" s="242"/>
      <c r="U733" s="242"/>
      <c r="V733" s="242"/>
      <c r="W733" s="242"/>
      <c r="X733" s="242"/>
    </row>
    <row r="734">
      <c r="A734" s="242"/>
      <c r="B734" s="242"/>
      <c r="C734" s="242"/>
      <c r="D734" s="242"/>
      <c r="E734" s="242"/>
      <c r="F734" s="242"/>
      <c r="G734" s="242"/>
      <c r="H734" s="242"/>
      <c r="I734" s="242"/>
      <c r="J734" s="242"/>
      <c r="K734" s="242"/>
      <c r="L734" s="242"/>
      <c r="M734" s="13"/>
      <c r="N734" s="13"/>
      <c r="O734" s="13"/>
      <c r="P734" s="341"/>
      <c r="Q734" s="13"/>
      <c r="R734" s="242"/>
      <c r="S734" s="242"/>
      <c r="T734" s="242"/>
      <c r="U734" s="242"/>
      <c r="V734" s="242"/>
      <c r="W734" s="242"/>
      <c r="X734" s="242"/>
    </row>
    <row r="735">
      <c r="A735" s="242"/>
      <c r="B735" s="242"/>
      <c r="C735" s="242"/>
      <c r="D735" s="242"/>
      <c r="E735" s="242"/>
      <c r="F735" s="242"/>
      <c r="G735" s="242"/>
      <c r="H735" s="242"/>
      <c r="I735" s="242"/>
      <c r="J735" s="242"/>
      <c r="K735" s="242"/>
      <c r="L735" s="242"/>
      <c r="M735" s="13"/>
      <c r="N735" s="13"/>
      <c r="O735" s="13"/>
      <c r="P735" s="341"/>
      <c r="Q735" s="13"/>
      <c r="R735" s="242"/>
      <c r="S735" s="242"/>
      <c r="T735" s="242"/>
      <c r="U735" s="242"/>
      <c r="V735" s="242"/>
      <c r="W735" s="242"/>
      <c r="X735" s="242"/>
    </row>
    <row r="736">
      <c r="A736" s="242"/>
      <c r="B736" s="242"/>
      <c r="C736" s="242"/>
      <c r="D736" s="242"/>
      <c r="E736" s="242"/>
      <c r="F736" s="242"/>
      <c r="G736" s="242"/>
      <c r="H736" s="242"/>
      <c r="I736" s="242"/>
      <c r="J736" s="242"/>
      <c r="K736" s="242"/>
      <c r="L736" s="242"/>
      <c r="M736" s="13"/>
      <c r="N736" s="13"/>
      <c r="O736" s="13"/>
      <c r="P736" s="341"/>
      <c r="Q736" s="13"/>
      <c r="R736" s="242"/>
      <c r="S736" s="242"/>
      <c r="T736" s="242"/>
      <c r="U736" s="242"/>
      <c r="V736" s="242"/>
      <c r="W736" s="242"/>
      <c r="X736" s="242"/>
    </row>
    <row r="737">
      <c r="A737" s="242"/>
      <c r="B737" s="242"/>
      <c r="C737" s="242"/>
      <c r="D737" s="242"/>
      <c r="E737" s="242"/>
      <c r="F737" s="242"/>
      <c r="G737" s="242"/>
      <c r="H737" s="242"/>
      <c r="I737" s="242"/>
      <c r="J737" s="242"/>
      <c r="K737" s="242"/>
      <c r="L737" s="242"/>
      <c r="M737" s="13"/>
      <c r="N737" s="13"/>
      <c r="O737" s="13"/>
      <c r="P737" s="341"/>
      <c r="Q737" s="13"/>
      <c r="R737" s="242"/>
      <c r="S737" s="242"/>
      <c r="T737" s="242"/>
      <c r="U737" s="242"/>
      <c r="V737" s="242"/>
      <c r="W737" s="242"/>
      <c r="X737" s="242"/>
    </row>
    <row r="738">
      <c r="A738" s="242"/>
      <c r="B738" s="242"/>
      <c r="C738" s="242"/>
      <c r="D738" s="242"/>
      <c r="E738" s="242"/>
      <c r="F738" s="242"/>
      <c r="G738" s="242"/>
      <c r="H738" s="242"/>
      <c r="I738" s="242"/>
      <c r="J738" s="242"/>
      <c r="K738" s="242"/>
      <c r="L738" s="242"/>
      <c r="M738" s="13"/>
      <c r="N738" s="13"/>
      <c r="O738" s="13"/>
      <c r="P738" s="341"/>
      <c r="Q738" s="13"/>
      <c r="R738" s="242"/>
      <c r="S738" s="242"/>
      <c r="T738" s="242"/>
      <c r="U738" s="242"/>
      <c r="V738" s="242"/>
      <c r="W738" s="242"/>
      <c r="X738" s="242"/>
    </row>
    <row r="739">
      <c r="A739" s="242"/>
      <c r="B739" s="242"/>
      <c r="C739" s="242"/>
      <c r="D739" s="242"/>
      <c r="E739" s="242"/>
      <c r="F739" s="242"/>
      <c r="G739" s="242"/>
      <c r="H739" s="242"/>
      <c r="I739" s="242"/>
      <c r="J739" s="242"/>
      <c r="K739" s="242"/>
      <c r="L739" s="242"/>
      <c r="M739" s="13"/>
      <c r="N739" s="13"/>
      <c r="O739" s="13"/>
      <c r="P739" s="341"/>
      <c r="Q739" s="13"/>
      <c r="R739" s="242"/>
      <c r="S739" s="242"/>
      <c r="T739" s="242"/>
      <c r="U739" s="242"/>
      <c r="V739" s="242"/>
      <c r="W739" s="242"/>
      <c r="X739" s="242"/>
    </row>
    <row r="740">
      <c r="A740" s="242"/>
      <c r="B740" s="242"/>
      <c r="C740" s="242"/>
      <c r="D740" s="242"/>
      <c r="E740" s="242"/>
      <c r="F740" s="242"/>
      <c r="G740" s="242"/>
      <c r="H740" s="242"/>
      <c r="I740" s="242"/>
      <c r="J740" s="242"/>
      <c r="K740" s="242"/>
      <c r="L740" s="242"/>
      <c r="M740" s="13"/>
      <c r="N740" s="13"/>
      <c r="O740" s="13"/>
      <c r="P740" s="341"/>
      <c r="Q740" s="13"/>
      <c r="R740" s="242"/>
      <c r="S740" s="242"/>
      <c r="T740" s="242"/>
      <c r="U740" s="242"/>
      <c r="V740" s="242"/>
      <c r="W740" s="242"/>
      <c r="X740" s="242"/>
    </row>
    <row r="741">
      <c r="A741" s="242"/>
      <c r="B741" s="242"/>
      <c r="C741" s="242"/>
      <c r="D741" s="242"/>
      <c r="E741" s="242"/>
      <c r="F741" s="242"/>
      <c r="G741" s="242"/>
      <c r="H741" s="242"/>
      <c r="I741" s="242"/>
      <c r="J741" s="242"/>
      <c r="K741" s="242"/>
      <c r="L741" s="242"/>
      <c r="M741" s="13"/>
      <c r="N741" s="13"/>
      <c r="O741" s="13"/>
      <c r="P741" s="341"/>
      <c r="Q741" s="13"/>
      <c r="R741" s="242"/>
      <c r="S741" s="242"/>
      <c r="T741" s="242"/>
      <c r="U741" s="242"/>
      <c r="V741" s="242"/>
      <c r="W741" s="242"/>
      <c r="X741" s="242"/>
    </row>
    <row r="742">
      <c r="A742" s="242"/>
      <c r="B742" s="242"/>
      <c r="C742" s="242"/>
      <c r="D742" s="242"/>
      <c r="E742" s="242"/>
      <c r="F742" s="242"/>
      <c r="G742" s="242"/>
      <c r="H742" s="242"/>
      <c r="I742" s="242"/>
      <c r="J742" s="242"/>
      <c r="K742" s="242"/>
      <c r="L742" s="242"/>
      <c r="M742" s="13"/>
      <c r="N742" s="13"/>
      <c r="O742" s="13"/>
      <c r="P742" s="341"/>
      <c r="Q742" s="13"/>
      <c r="R742" s="242"/>
      <c r="S742" s="242"/>
      <c r="T742" s="242"/>
      <c r="U742" s="242"/>
      <c r="V742" s="242"/>
      <c r="W742" s="242"/>
      <c r="X742" s="242"/>
    </row>
    <row r="743">
      <c r="A743" s="242"/>
      <c r="B743" s="242"/>
      <c r="C743" s="242"/>
      <c r="D743" s="242"/>
      <c r="E743" s="242"/>
      <c r="F743" s="242"/>
      <c r="G743" s="242"/>
      <c r="H743" s="242"/>
      <c r="I743" s="242"/>
      <c r="J743" s="242"/>
      <c r="K743" s="242"/>
      <c r="L743" s="242"/>
      <c r="M743" s="13"/>
      <c r="N743" s="13"/>
      <c r="O743" s="13"/>
      <c r="P743" s="341"/>
      <c r="Q743" s="13"/>
      <c r="R743" s="242"/>
      <c r="S743" s="242"/>
      <c r="T743" s="242"/>
      <c r="U743" s="242"/>
      <c r="V743" s="242"/>
      <c r="W743" s="242"/>
      <c r="X743" s="242"/>
    </row>
    <row r="744">
      <c r="A744" s="242"/>
      <c r="B744" s="242"/>
      <c r="C744" s="242"/>
      <c r="D744" s="242"/>
      <c r="E744" s="242"/>
      <c r="F744" s="242"/>
      <c r="G744" s="242"/>
      <c r="H744" s="242"/>
      <c r="I744" s="242"/>
      <c r="J744" s="242"/>
      <c r="K744" s="242"/>
      <c r="L744" s="242"/>
      <c r="M744" s="13"/>
      <c r="N744" s="13"/>
      <c r="O744" s="13"/>
      <c r="P744" s="341"/>
      <c r="Q744" s="13"/>
      <c r="R744" s="242"/>
      <c r="S744" s="242"/>
      <c r="T744" s="242"/>
      <c r="U744" s="242"/>
      <c r="V744" s="242"/>
      <c r="W744" s="242"/>
      <c r="X744" s="242"/>
    </row>
    <row r="745">
      <c r="A745" s="242"/>
      <c r="B745" s="242"/>
      <c r="C745" s="242"/>
      <c r="D745" s="242"/>
      <c r="E745" s="242"/>
      <c r="F745" s="242"/>
      <c r="G745" s="242"/>
      <c r="H745" s="242"/>
      <c r="I745" s="242"/>
      <c r="J745" s="242"/>
      <c r="K745" s="242"/>
      <c r="L745" s="242"/>
      <c r="M745" s="13"/>
      <c r="N745" s="13"/>
      <c r="O745" s="13"/>
      <c r="P745" s="341"/>
      <c r="Q745" s="13"/>
      <c r="R745" s="242"/>
      <c r="S745" s="242"/>
      <c r="T745" s="242"/>
      <c r="U745" s="242"/>
      <c r="V745" s="242"/>
      <c r="W745" s="242"/>
      <c r="X745" s="242"/>
    </row>
    <row r="746">
      <c r="A746" s="242"/>
      <c r="B746" s="242"/>
      <c r="C746" s="242"/>
      <c r="D746" s="242"/>
      <c r="E746" s="242"/>
      <c r="F746" s="242"/>
      <c r="G746" s="242"/>
      <c r="H746" s="242"/>
      <c r="I746" s="242"/>
      <c r="J746" s="242"/>
      <c r="K746" s="242"/>
      <c r="L746" s="242"/>
      <c r="M746" s="13"/>
      <c r="N746" s="13"/>
      <c r="O746" s="13"/>
      <c r="P746" s="341"/>
      <c r="Q746" s="13"/>
      <c r="R746" s="242"/>
      <c r="S746" s="242"/>
      <c r="T746" s="242"/>
      <c r="U746" s="242"/>
      <c r="V746" s="242"/>
      <c r="W746" s="242"/>
      <c r="X746" s="242"/>
    </row>
    <row r="747">
      <c r="A747" s="242"/>
      <c r="B747" s="242"/>
      <c r="C747" s="242"/>
      <c r="D747" s="242"/>
      <c r="E747" s="242"/>
      <c r="F747" s="242"/>
      <c r="G747" s="242"/>
      <c r="H747" s="242"/>
      <c r="I747" s="242"/>
      <c r="J747" s="242"/>
      <c r="K747" s="242"/>
      <c r="L747" s="242"/>
      <c r="M747" s="13"/>
      <c r="N747" s="13"/>
      <c r="O747" s="13"/>
      <c r="P747" s="341"/>
      <c r="Q747" s="13"/>
      <c r="R747" s="242"/>
      <c r="S747" s="242"/>
      <c r="T747" s="242"/>
      <c r="U747" s="242"/>
      <c r="V747" s="242"/>
      <c r="W747" s="242"/>
      <c r="X747" s="242"/>
    </row>
    <row r="748">
      <c r="A748" s="242"/>
      <c r="B748" s="242"/>
      <c r="C748" s="242"/>
      <c r="D748" s="242"/>
      <c r="E748" s="242"/>
      <c r="F748" s="242"/>
      <c r="G748" s="242"/>
      <c r="H748" s="242"/>
      <c r="I748" s="242"/>
      <c r="J748" s="242"/>
      <c r="K748" s="242"/>
      <c r="L748" s="242"/>
      <c r="M748" s="13"/>
      <c r="N748" s="13"/>
      <c r="O748" s="13"/>
      <c r="P748" s="341"/>
      <c r="Q748" s="13"/>
      <c r="R748" s="242"/>
      <c r="S748" s="242"/>
      <c r="T748" s="242"/>
      <c r="U748" s="242"/>
      <c r="V748" s="242"/>
      <c r="W748" s="242"/>
      <c r="X748" s="242"/>
    </row>
    <row r="749">
      <c r="A749" s="242"/>
      <c r="B749" s="242"/>
      <c r="C749" s="242"/>
      <c r="D749" s="242"/>
      <c r="E749" s="242"/>
      <c r="F749" s="242"/>
      <c r="G749" s="242"/>
      <c r="H749" s="242"/>
      <c r="I749" s="242"/>
      <c r="J749" s="242"/>
      <c r="K749" s="242"/>
      <c r="L749" s="242"/>
      <c r="M749" s="13"/>
      <c r="N749" s="13"/>
      <c r="O749" s="13"/>
      <c r="P749" s="341"/>
      <c r="Q749" s="13"/>
      <c r="R749" s="242"/>
      <c r="S749" s="242"/>
      <c r="T749" s="242"/>
      <c r="U749" s="242"/>
      <c r="V749" s="242"/>
      <c r="W749" s="242"/>
      <c r="X749" s="242"/>
    </row>
    <row r="750">
      <c r="A750" s="242"/>
      <c r="B750" s="242"/>
      <c r="C750" s="242"/>
      <c r="D750" s="242"/>
      <c r="E750" s="242"/>
      <c r="F750" s="242"/>
      <c r="G750" s="242"/>
      <c r="H750" s="242"/>
      <c r="I750" s="242"/>
      <c r="J750" s="242"/>
      <c r="K750" s="242"/>
      <c r="L750" s="242"/>
      <c r="M750" s="13"/>
      <c r="N750" s="13"/>
      <c r="O750" s="13"/>
      <c r="P750" s="341"/>
      <c r="Q750" s="13"/>
      <c r="R750" s="242"/>
      <c r="S750" s="242"/>
      <c r="T750" s="242"/>
      <c r="U750" s="242"/>
      <c r="V750" s="242"/>
      <c r="W750" s="242"/>
      <c r="X750" s="242"/>
    </row>
    <row r="751">
      <c r="A751" s="242"/>
      <c r="B751" s="242"/>
      <c r="C751" s="242"/>
      <c r="D751" s="242"/>
      <c r="E751" s="242"/>
      <c r="F751" s="242"/>
      <c r="G751" s="242"/>
      <c r="H751" s="242"/>
      <c r="I751" s="242"/>
      <c r="J751" s="242"/>
      <c r="K751" s="242"/>
      <c r="L751" s="242"/>
      <c r="M751" s="13"/>
      <c r="N751" s="13"/>
      <c r="O751" s="13"/>
      <c r="P751" s="341"/>
      <c r="Q751" s="13"/>
      <c r="R751" s="242"/>
      <c r="S751" s="242"/>
      <c r="T751" s="242"/>
      <c r="U751" s="242"/>
      <c r="V751" s="242"/>
      <c r="W751" s="242"/>
      <c r="X751" s="242"/>
    </row>
    <row r="752">
      <c r="A752" s="242"/>
      <c r="B752" s="242"/>
      <c r="C752" s="242"/>
      <c r="D752" s="242"/>
      <c r="E752" s="242"/>
      <c r="F752" s="242"/>
      <c r="G752" s="242"/>
      <c r="H752" s="242"/>
      <c r="I752" s="242"/>
      <c r="J752" s="242"/>
      <c r="K752" s="242"/>
      <c r="L752" s="242"/>
      <c r="M752" s="13"/>
      <c r="N752" s="13"/>
      <c r="O752" s="13"/>
      <c r="P752" s="341"/>
      <c r="Q752" s="13"/>
      <c r="R752" s="242"/>
      <c r="S752" s="242"/>
      <c r="T752" s="242"/>
      <c r="U752" s="242"/>
      <c r="V752" s="242"/>
      <c r="W752" s="242"/>
      <c r="X752" s="242"/>
    </row>
    <row r="753">
      <c r="A753" s="242"/>
      <c r="B753" s="242"/>
      <c r="C753" s="242"/>
      <c r="D753" s="242"/>
      <c r="E753" s="242"/>
      <c r="F753" s="242"/>
      <c r="G753" s="242"/>
      <c r="H753" s="242"/>
      <c r="I753" s="242"/>
      <c r="J753" s="242"/>
      <c r="K753" s="242"/>
      <c r="L753" s="242"/>
      <c r="M753" s="13"/>
      <c r="N753" s="13"/>
      <c r="O753" s="13"/>
      <c r="P753" s="341"/>
      <c r="Q753" s="13"/>
      <c r="R753" s="242"/>
      <c r="S753" s="242"/>
      <c r="T753" s="242"/>
      <c r="U753" s="242"/>
      <c r="V753" s="242"/>
      <c r="W753" s="242"/>
      <c r="X753" s="242"/>
    </row>
    <row r="754">
      <c r="A754" s="242"/>
      <c r="B754" s="242"/>
      <c r="C754" s="242"/>
      <c r="D754" s="242"/>
      <c r="E754" s="242"/>
      <c r="F754" s="242"/>
      <c r="G754" s="242"/>
      <c r="H754" s="242"/>
      <c r="I754" s="242"/>
      <c r="J754" s="242"/>
      <c r="K754" s="242"/>
      <c r="L754" s="242"/>
      <c r="M754" s="13"/>
      <c r="N754" s="13"/>
      <c r="O754" s="13"/>
      <c r="P754" s="341"/>
      <c r="Q754" s="13"/>
      <c r="R754" s="242"/>
      <c r="S754" s="242"/>
      <c r="T754" s="242"/>
      <c r="U754" s="242"/>
      <c r="V754" s="242"/>
      <c r="W754" s="242"/>
      <c r="X754" s="242"/>
    </row>
    <row r="755">
      <c r="A755" s="242"/>
      <c r="B755" s="242"/>
      <c r="C755" s="242"/>
      <c r="D755" s="242"/>
      <c r="E755" s="242"/>
      <c r="F755" s="242"/>
      <c r="G755" s="242"/>
      <c r="H755" s="242"/>
      <c r="I755" s="242"/>
      <c r="J755" s="242"/>
      <c r="K755" s="242"/>
      <c r="L755" s="242"/>
      <c r="M755" s="13"/>
      <c r="N755" s="13"/>
      <c r="O755" s="13"/>
      <c r="P755" s="341"/>
      <c r="Q755" s="13"/>
      <c r="R755" s="242"/>
      <c r="S755" s="242"/>
      <c r="T755" s="242"/>
      <c r="U755" s="242"/>
      <c r="V755" s="242"/>
      <c r="W755" s="242"/>
      <c r="X755" s="242"/>
    </row>
    <row r="756">
      <c r="A756" s="242"/>
      <c r="B756" s="242"/>
      <c r="C756" s="242"/>
      <c r="D756" s="242"/>
      <c r="E756" s="242"/>
      <c r="F756" s="242"/>
      <c r="G756" s="242"/>
      <c r="H756" s="242"/>
      <c r="I756" s="242"/>
      <c r="J756" s="242"/>
      <c r="K756" s="242"/>
      <c r="L756" s="242"/>
      <c r="M756" s="13"/>
      <c r="N756" s="13"/>
      <c r="O756" s="13"/>
      <c r="P756" s="341"/>
      <c r="Q756" s="13"/>
      <c r="R756" s="242"/>
      <c r="S756" s="242"/>
      <c r="T756" s="242"/>
      <c r="U756" s="242"/>
      <c r="V756" s="242"/>
      <c r="W756" s="242"/>
      <c r="X756" s="242"/>
    </row>
    <row r="757">
      <c r="A757" s="242"/>
      <c r="B757" s="242"/>
      <c r="C757" s="242"/>
      <c r="D757" s="242"/>
      <c r="E757" s="242"/>
      <c r="F757" s="242"/>
      <c r="G757" s="242"/>
      <c r="H757" s="242"/>
      <c r="I757" s="242"/>
      <c r="J757" s="242"/>
      <c r="K757" s="242"/>
      <c r="L757" s="242"/>
      <c r="M757" s="13"/>
      <c r="N757" s="13"/>
      <c r="O757" s="13"/>
      <c r="P757" s="341"/>
      <c r="Q757" s="13"/>
      <c r="R757" s="242"/>
      <c r="S757" s="242"/>
      <c r="T757" s="242"/>
      <c r="U757" s="242"/>
      <c r="V757" s="242"/>
      <c r="W757" s="242"/>
      <c r="X757" s="242"/>
    </row>
    <row r="758">
      <c r="A758" s="242"/>
      <c r="B758" s="242"/>
      <c r="C758" s="242"/>
      <c r="D758" s="242"/>
      <c r="E758" s="242"/>
      <c r="F758" s="242"/>
      <c r="G758" s="242"/>
      <c r="H758" s="242"/>
      <c r="I758" s="242"/>
      <c r="J758" s="242"/>
      <c r="K758" s="242"/>
      <c r="L758" s="242"/>
      <c r="M758" s="13"/>
      <c r="N758" s="13"/>
      <c r="O758" s="13"/>
      <c r="P758" s="341"/>
      <c r="Q758" s="13"/>
      <c r="R758" s="242"/>
      <c r="S758" s="242"/>
      <c r="T758" s="242"/>
      <c r="U758" s="242"/>
      <c r="V758" s="242"/>
      <c r="W758" s="242"/>
      <c r="X758" s="242"/>
    </row>
    <row r="759">
      <c r="A759" s="242"/>
      <c r="B759" s="242"/>
      <c r="C759" s="242"/>
      <c r="D759" s="242"/>
      <c r="E759" s="242"/>
      <c r="F759" s="242"/>
      <c r="G759" s="242"/>
      <c r="H759" s="242"/>
      <c r="I759" s="242"/>
      <c r="J759" s="242"/>
      <c r="K759" s="242"/>
      <c r="L759" s="242"/>
      <c r="M759" s="13"/>
      <c r="N759" s="13"/>
      <c r="O759" s="13"/>
      <c r="P759" s="341"/>
      <c r="Q759" s="13"/>
      <c r="R759" s="242"/>
      <c r="S759" s="242"/>
      <c r="T759" s="242"/>
      <c r="U759" s="242"/>
      <c r="V759" s="242"/>
      <c r="W759" s="242"/>
      <c r="X759" s="242"/>
    </row>
    <row r="760">
      <c r="A760" s="242"/>
      <c r="B760" s="242"/>
      <c r="C760" s="242"/>
      <c r="D760" s="242"/>
      <c r="E760" s="242"/>
      <c r="F760" s="242"/>
      <c r="G760" s="242"/>
      <c r="H760" s="242"/>
      <c r="I760" s="242"/>
      <c r="J760" s="242"/>
      <c r="K760" s="242"/>
      <c r="L760" s="242"/>
      <c r="M760" s="13"/>
      <c r="N760" s="13"/>
      <c r="O760" s="13"/>
      <c r="P760" s="341"/>
      <c r="Q760" s="13"/>
      <c r="R760" s="242"/>
      <c r="S760" s="242"/>
      <c r="T760" s="242"/>
      <c r="U760" s="242"/>
      <c r="V760" s="242"/>
      <c r="W760" s="242"/>
      <c r="X760" s="242"/>
    </row>
    <row r="761">
      <c r="A761" s="242"/>
      <c r="B761" s="242"/>
      <c r="C761" s="242"/>
      <c r="D761" s="242"/>
      <c r="E761" s="242"/>
      <c r="F761" s="242"/>
      <c r="G761" s="242"/>
      <c r="H761" s="242"/>
      <c r="I761" s="242"/>
      <c r="J761" s="242"/>
      <c r="K761" s="242"/>
      <c r="L761" s="242"/>
      <c r="M761" s="13"/>
      <c r="N761" s="13"/>
      <c r="O761" s="13"/>
      <c r="P761" s="341"/>
      <c r="Q761" s="13"/>
      <c r="R761" s="242"/>
      <c r="S761" s="242"/>
      <c r="T761" s="242"/>
      <c r="U761" s="242"/>
      <c r="V761" s="242"/>
      <c r="W761" s="242"/>
      <c r="X761" s="242"/>
    </row>
    <row r="762">
      <c r="A762" s="242"/>
      <c r="B762" s="242"/>
      <c r="C762" s="242"/>
      <c r="D762" s="242"/>
      <c r="E762" s="242"/>
      <c r="F762" s="242"/>
      <c r="G762" s="242"/>
      <c r="H762" s="242"/>
      <c r="I762" s="242"/>
      <c r="J762" s="242"/>
      <c r="K762" s="242"/>
      <c r="L762" s="242"/>
      <c r="M762" s="13"/>
      <c r="N762" s="13"/>
      <c r="O762" s="13"/>
      <c r="P762" s="341"/>
      <c r="Q762" s="13"/>
      <c r="R762" s="242"/>
      <c r="S762" s="242"/>
      <c r="T762" s="242"/>
      <c r="U762" s="242"/>
      <c r="V762" s="242"/>
      <c r="W762" s="242"/>
      <c r="X762" s="242"/>
    </row>
    <row r="763">
      <c r="A763" s="242"/>
      <c r="B763" s="242"/>
      <c r="C763" s="242"/>
      <c r="D763" s="242"/>
      <c r="E763" s="242"/>
      <c r="F763" s="242"/>
      <c r="G763" s="242"/>
      <c r="H763" s="242"/>
      <c r="I763" s="242"/>
      <c r="J763" s="242"/>
      <c r="K763" s="242"/>
      <c r="L763" s="242"/>
      <c r="M763" s="13"/>
      <c r="N763" s="13"/>
      <c r="O763" s="13"/>
      <c r="P763" s="341"/>
      <c r="Q763" s="13"/>
      <c r="R763" s="242"/>
      <c r="S763" s="242"/>
      <c r="T763" s="242"/>
      <c r="U763" s="242"/>
      <c r="V763" s="242"/>
      <c r="W763" s="242"/>
      <c r="X763" s="242"/>
    </row>
    <row r="764">
      <c r="A764" s="242"/>
      <c r="B764" s="242"/>
      <c r="C764" s="242"/>
      <c r="D764" s="242"/>
      <c r="E764" s="242"/>
      <c r="F764" s="242"/>
      <c r="G764" s="242"/>
      <c r="H764" s="242"/>
      <c r="I764" s="242"/>
      <c r="J764" s="242"/>
      <c r="K764" s="242"/>
      <c r="L764" s="242"/>
      <c r="M764" s="13"/>
      <c r="N764" s="13"/>
      <c r="O764" s="13"/>
      <c r="P764" s="341"/>
      <c r="Q764" s="13"/>
      <c r="R764" s="242"/>
      <c r="S764" s="242"/>
      <c r="T764" s="242"/>
      <c r="U764" s="242"/>
      <c r="V764" s="242"/>
      <c r="W764" s="242"/>
      <c r="X764" s="242"/>
    </row>
    <row r="765">
      <c r="A765" s="242"/>
      <c r="B765" s="242"/>
      <c r="C765" s="242"/>
      <c r="D765" s="242"/>
      <c r="E765" s="242"/>
      <c r="F765" s="242"/>
      <c r="G765" s="242"/>
      <c r="H765" s="242"/>
      <c r="I765" s="242"/>
      <c r="J765" s="242"/>
      <c r="K765" s="242"/>
      <c r="L765" s="242"/>
      <c r="M765" s="13"/>
      <c r="N765" s="13"/>
      <c r="O765" s="13"/>
      <c r="P765" s="341"/>
      <c r="Q765" s="13"/>
      <c r="R765" s="242"/>
      <c r="S765" s="242"/>
      <c r="T765" s="242"/>
      <c r="U765" s="242"/>
      <c r="V765" s="242"/>
      <c r="W765" s="242"/>
      <c r="X765" s="242"/>
    </row>
    <row r="766">
      <c r="A766" s="242"/>
      <c r="B766" s="242"/>
      <c r="C766" s="242"/>
      <c r="D766" s="242"/>
      <c r="E766" s="242"/>
      <c r="F766" s="242"/>
      <c r="G766" s="242"/>
      <c r="H766" s="242"/>
      <c r="I766" s="242"/>
      <c r="J766" s="242"/>
      <c r="K766" s="242"/>
      <c r="L766" s="242"/>
      <c r="M766" s="13"/>
      <c r="N766" s="13"/>
      <c r="O766" s="13"/>
      <c r="P766" s="341"/>
      <c r="Q766" s="13"/>
      <c r="R766" s="242"/>
      <c r="S766" s="242"/>
      <c r="T766" s="242"/>
      <c r="U766" s="242"/>
      <c r="V766" s="242"/>
      <c r="W766" s="242"/>
      <c r="X766" s="242"/>
    </row>
    <row r="767">
      <c r="A767" s="242"/>
      <c r="B767" s="242"/>
      <c r="C767" s="242"/>
      <c r="D767" s="242"/>
      <c r="E767" s="242"/>
      <c r="F767" s="242"/>
      <c r="G767" s="242"/>
      <c r="H767" s="242"/>
      <c r="I767" s="242"/>
      <c r="J767" s="242"/>
      <c r="K767" s="242"/>
      <c r="L767" s="242"/>
      <c r="M767" s="13"/>
      <c r="N767" s="13"/>
      <c r="O767" s="13"/>
      <c r="P767" s="341"/>
      <c r="Q767" s="13"/>
      <c r="R767" s="242"/>
      <c r="S767" s="242"/>
      <c r="T767" s="242"/>
      <c r="U767" s="242"/>
      <c r="V767" s="242"/>
      <c r="W767" s="242"/>
      <c r="X767" s="242"/>
    </row>
    <row r="768">
      <c r="A768" s="242"/>
      <c r="B768" s="242"/>
      <c r="C768" s="242"/>
      <c r="D768" s="242"/>
      <c r="E768" s="242"/>
      <c r="F768" s="242"/>
      <c r="G768" s="242"/>
      <c r="H768" s="242"/>
      <c r="I768" s="242"/>
      <c r="J768" s="242"/>
      <c r="K768" s="242"/>
      <c r="L768" s="242"/>
      <c r="M768" s="13"/>
      <c r="N768" s="13"/>
      <c r="O768" s="13"/>
      <c r="P768" s="341"/>
      <c r="Q768" s="13"/>
      <c r="R768" s="242"/>
      <c r="S768" s="242"/>
      <c r="T768" s="242"/>
      <c r="U768" s="242"/>
      <c r="V768" s="242"/>
      <c r="W768" s="242"/>
      <c r="X768" s="242"/>
    </row>
    <row r="769">
      <c r="A769" s="242"/>
      <c r="B769" s="242"/>
      <c r="C769" s="242"/>
      <c r="D769" s="242"/>
      <c r="E769" s="242"/>
      <c r="F769" s="242"/>
      <c r="G769" s="242"/>
      <c r="H769" s="242"/>
      <c r="I769" s="242"/>
      <c r="J769" s="242"/>
      <c r="K769" s="242"/>
      <c r="L769" s="242"/>
      <c r="M769" s="13"/>
      <c r="N769" s="13"/>
      <c r="O769" s="13"/>
      <c r="P769" s="341"/>
      <c r="Q769" s="13"/>
      <c r="R769" s="242"/>
      <c r="S769" s="242"/>
      <c r="T769" s="242"/>
      <c r="U769" s="242"/>
      <c r="V769" s="242"/>
      <c r="W769" s="242"/>
      <c r="X769" s="242"/>
    </row>
    <row r="770">
      <c r="A770" s="242"/>
      <c r="B770" s="242"/>
      <c r="C770" s="242"/>
      <c r="D770" s="242"/>
      <c r="E770" s="242"/>
      <c r="F770" s="242"/>
      <c r="G770" s="242"/>
      <c r="H770" s="242"/>
      <c r="I770" s="242"/>
      <c r="J770" s="242"/>
      <c r="K770" s="242"/>
      <c r="L770" s="242"/>
      <c r="M770" s="13"/>
      <c r="N770" s="13"/>
      <c r="O770" s="13"/>
      <c r="P770" s="341"/>
      <c r="Q770" s="13"/>
      <c r="R770" s="242"/>
      <c r="S770" s="242"/>
      <c r="T770" s="242"/>
      <c r="U770" s="242"/>
      <c r="V770" s="242"/>
      <c r="W770" s="242"/>
      <c r="X770" s="242"/>
    </row>
    <row r="771">
      <c r="A771" s="242"/>
      <c r="B771" s="242"/>
      <c r="C771" s="242"/>
      <c r="D771" s="242"/>
      <c r="E771" s="242"/>
      <c r="F771" s="242"/>
      <c r="G771" s="242"/>
      <c r="H771" s="242"/>
      <c r="I771" s="242"/>
      <c r="J771" s="242"/>
      <c r="K771" s="242"/>
      <c r="L771" s="242"/>
      <c r="M771" s="13"/>
      <c r="N771" s="13"/>
      <c r="O771" s="13"/>
      <c r="P771" s="341"/>
      <c r="Q771" s="13"/>
      <c r="R771" s="242"/>
      <c r="S771" s="242"/>
      <c r="T771" s="242"/>
      <c r="U771" s="242"/>
      <c r="V771" s="242"/>
      <c r="W771" s="242"/>
      <c r="X771" s="242"/>
    </row>
    <row r="772">
      <c r="A772" s="242"/>
      <c r="B772" s="242"/>
      <c r="C772" s="242"/>
      <c r="D772" s="242"/>
      <c r="E772" s="242"/>
      <c r="F772" s="242"/>
      <c r="G772" s="242"/>
      <c r="H772" s="242"/>
      <c r="I772" s="242"/>
      <c r="J772" s="242"/>
      <c r="K772" s="242"/>
      <c r="L772" s="242"/>
      <c r="M772" s="13"/>
      <c r="N772" s="13"/>
      <c r="O772" s="13"/>
      <c r="P772" s="341"/>
      <c r="Q772" s="13"/>
      <c r="R772" s="242"/>
      <c r="S772" s="242"/>
      <c r="T772" s="242"/>
      <c r="U772" s="242"/>
      <c r="V772" s="242"/>
      <c r="W772" s="242"/>
      <c r="X772" s="242"/>
    </row>
    <row r="773">
      <c r="A773" s="242"/>
      <c r="B773" s="242"/>
      <c r="C773" s="242"/>
      <c r="D773" s="242"/>
      <c r="E773" s="242"/>
      <c r="F773" s="242"/>
      <c r="G773" s="242"/>
      <c r="H773" s="242"/>
      <c r="I773" s="242"/>
      <c r="J773" s="242"/>
      <c r="K773" s="242"/>
      <c r="L773" s="242"/>
      <c r="M773" s="13"/>
      <c r="N773" s="13"/>
      <c r="O773" s="13"/>
      <c r="P773" s="341"/>
      <c r="Q773" s="13"/>
      <c r="R773" s="242"/>
      <c r="S773" s="242"/>
      <c r="T773" s="242"/>
      <c r="U773" s="242"/>
      <c r="V773" s="242"/>
      <c r="W773" s="242"/>
      <c r="X773" s="242"/>
    </row>
    <row r="774">
      <c r="A774" s="242"/>
      <c r="B774" s="242"/>
      <c r="C774" s="242"/>
      <c r="D774" s="242"/>
      <c r="E774" s="242"/>
      <c r="F774" s="242"/>
      <c r="G774" s="242"/>
      <c r="H774" s="242"/>
      <c r="I774" s="242"/>
      <c r="J774" s="242"/>
      <c r="K774" s="242"/>
      <c r="L774" s="242"/>
      <c r="M774" s="13"/>
      <c r="N774" s="13"/>
      <c r="O774" s="13"/>
      <c r="P774" s="341"/>
      <c r="Q774" s="13"/>
      <c r="R774" s="242"/>
      <c r="S774" s="242"/>
      <c r="T774" s="242"/>
      <c r="U774" s="242"/>
      <c r="V774" s="242"/>
      <c r="W774" s="242"/>
      <c r="X774" s="242"/>
    </row>
    <row r="775">
      <c r="A775" s="242"/>
      <c r="B775" s="242"/>
      <c r="C775" s="242"/>
      <c r="D775" s="242"/>
      <c r="E775" s="242"/>
      <c r="F775" s="242"/>
      <c r="G775" s="242"/>
      <c r="H775" s="242"/>
      <c r="I775" s="242"/>
      <c r="J775" s="242"/>
      <c r="K775" s="242"/>
      <c r="L775" s="242"/>
      <c r="M775" s="13"/>
      <c r="N775" s="13"/>
      <c r="O775" s="13"/>
      <c r="P775" s="341"/>
      <c r="Q775" s="13"/>
      <c r="R775" s="242"/>
      <c r="S775" s="242"/>
      <c r="T775" s="242"/>
      <c r="U775" s="242"/>
      <c r="V775" s="242"/>
      <c r="W775" s="242"/>
      <c r="X775" s="242"/>
    </row>
    <row r="776">
      <c r="A776" s="242"/>
      <c r="B776" s="242"/>
      <c r="C776" s="242"/>
      <c r="D776" s="242"/>
      <c r="E776" s="242"/>
      <c r="F776" s="242"/>
      <c r="G776" s="242"/>
      <c r="H776" s="242"/>
      <c r="I776" s="242"/>
      <c r="J776" s="242"/>
      <c r="K776" s="242"/>
      <c r="L776" s="242"/>
      <c r="M776" s="13"/>
      <c r="N776" s="13"/>
      <c r="O776" s="13"/>
      <c r="P776" s="341"/>
      <c r="Q776" s="13"/>
      <c r="R776" s="242"/>
      <c r="S776" s="242"/>
      <c r="T776" s="242"/>
      <c r="U776" s="242"/>
      <c r="V776" s="242"/>
      <c r="W776" s="242"/>
      <c r="X776" s="242"/>
    </row>
    <row r="777">
      <c r="A777" s="242"/>
      <c r="B777" s="242"/>
      <c r="C777" s="242"/>
      <c r="D777" s="242"/>
      <c r="E777" s="242"/>
      <c r="F777" s="242"/>
      <c r="G777" s="242"/>
      <c r="H777" s="242"/>
      <c r="I777" s="242"/>
      <c r="J777" s="242"/>
      <c r="K777" s="242"/>
      <c r="L777" s="242"/>
      <c r="M777" s="13"/>
      <c r="N777" s="13"/>
      <c r="O777" s="13"/>
      <c r="P777" s="341"/>
      <c r="Q777" s="13"/>
      <c r="R777" s="242"/>
      <c r="S777" s="242"/>
      <c r="T777" s="242"/>
      <c r="U777" s="242"/>
      <c r="V777" s="242"/>
      <c r="W777" s="242"/>
      <c r="X777" s="242"/>
    </row>
    <row r="778">
      <c r="A778" s="242"/>
      <c r="B778" s="242"/>
      <c r="C778" s="242"/>
      <c r="D778" s="242"/>
      <c r="E778" s="242"/>
      <c r="F778" s="242"/>
      <c r="G778" s="242"/>
      <c r="H778" s="242"/>
      <c r="I778" s="242"/>
      <c r="J778" s="242"/>
      <c r="K778" s="242"/>
      <c r="L778" s="242"/>
      <c r="M778" s="13"/>
      <c r="N778" s="13"/>
      <c r="O778" s="13"/>
      <c r="P778" s="341"/>
      <c r="Q778" s="13"/>
      <c r="R778" s="242"/>
      <c r="S778" s="242"/>
      <c r="T778" s="242"/>
      <c r="U778" s="242"/>
      <c r="V778" s="242"/>
      <c r="W778" s="242"/>
      <c r="X778" s="242"/>
    </row>
    <row r="779">
      <c r="A779" s="242"/>
      <c r="B779" s="242"/>
      <c r="C779" s="242"/>
      <c r="D779" s="242"/>
      <c r="E779" s="242"/>
      <c r="F779" s="242"/>
      <c r="G779" s="242"/>
      <c r="H779" s="242"/>
      <c r="I779" s="242"/>
      <c r="J779" s="242"/>
      <c r="K779" s="242"/>
      <c r="L779" s="242"/>
      <c r="M779" s="13"/>
      <c r="N779" s="13"/>
      <c r="O779" s="13"/>
      <c r="P779" s="341"/>
      <c r="Q779" s="13"/>
      <c r="R779" s="242"/>
      <c r="S779" s="242"/>
      <c r="T779" s="242"/>
      <c r="U779" s="242"/>
      <c r="V779" s="242"/>
      <c r="W779" s="242"/>
      <c r="X779" s="242"/>
    </row>
    <row r="780">
      <c r="A780" s="242"/>
      <c r="B780" s="242"/>
      <c r="C780" s="242"/>
      <c r="D780" s="242"/>
      <c r="E780" s="242"/>
      <c r="F780" s="242"/>
      <c r="G780" s="242"/>
      <c r="H780" s="242"/>
      <c r="I780" s="242"/>
      <c r="J780" s="242"/>
      <c r="K780" s="242"/>
      <c r="L780" s="242"/>
      <c r="M780" s="13"/>
      <c r="N780" s="13"/>
      <c r="O780" s="13"/>
      <c r="P780" s="341"/>
      <c r="Q780" s="13"/>
      <c r="R780" s="242"/>
      <c r="S780" s="242"/>
      <c r="T780" s="242"/>
      <c r="U780" s="242"/>
      <c r="V780" s="242"/>
      <c r="W780" s="242"/>
      <c r="X780" s="242"/>
    </row>
    <row r="781">
      <c r="A781" s="242"/>
      <c r="B781" s="242"/>
      <c r="C781" s="242"/>
      <c r="D781" s="242"/>
      <c r="E781" s="242"/>
      <c r="F781" s="242"/>
      <c r="G781" s="242"/>
      <c r="H781" s="242"/>
      <c r="I781" s="242"/>
      <c r="J781" s="242"/>
      <c r="K781" s="242"/>
      <c r="L781" s="242"/>
      <c r="M781" s="13"/>
      <c r="N781" s="13"/>
      <c r="O781" s="13"/>
      <c r="P781" s="341"/>
      <c r="Q781" s="13"/>
      <c r="R781" s="242"/>
      <c r="S781" s="242"/>
      <c r="T781" s="242"/>
      <c r="U781" s="242"/>
      <c r="V781" s="242"/>
      <c r="W781" s="242"/>
      <c r="X781" s="242"/>
    </row>
    <row r="782">
      <c r="A782" s="242"/>
      <c r="B782" s="242"/>
      <c r="C782" s="242"/>
      <c r="D782" s="242"/>
      <c r="E782" s="242"/>
      <c r="F782" s="242"/>
      <c r="G782" s="242"/>
      <c r="H782" s="242"/>
      <c r="I782" s="242"/>
      <c r="J782" s="242"/>
      <c r="K782" s="242"/>
      <c r="L782" s="242"/>
      <c r="M782" s="13"/>
      <c r="N782" s="13"/>
      <c r="O782" s="13"/>
      <c r="P782" s="341"/>
      <c r="Q782" s="13"/>
      <c r="R782" s="242"/>
      <c r="S782" s="242"/>
      <c r="T782" s="242"/>
      <c r="U782" s="242"/>
      <c r="V782" s="242"/>
      <c r="W782" s="242"/>
      <c r="X782" s="242"/>
    </row>
    <row r="783">
      <c r="A783" s="242"/>
      <c r="B783" s="242"/>
      <c r="C783" s="242"/>
      <c r="D783" s="242"/>
      <c r="E783" s="242"/>
      <c r="F783" s="242"/>
      <c r="G783" s="242"/>
      <c r="H783" s="242"/>
      <c r="I783" s="242"/>
      <c r="J783" s="242"/>
      <c r="K783" s="242"/>
      <c r="L783" s="242"/>
      <c r="M783" s="13"/>
      <c r="N783" s="13"/>
      <c r="O783" s="13"/>
      <c r="P783" s="341"/>
      <c r="Q783" s="13"/>
      <c r="R783" s="242"/>
      <c r="S783" s="242"/>
      <c r="T783" s="242"/>
      <c r="U783" s="242"/>
      <c r="V783" s="242"/>
      <c r="W783" s="242"/>
      <c r="X783" s="242"/>
    </row>
    <row r="784">
      <c r="A784" s="242"/>
      <c r="B784" s="242"/>
      <c r="C784" s="242"/>
      <c r="D784" s="242"/>
      <c r="E784" s="242"/>
      <c r="F784" s="242"/>
      <c r="G784" s="242"/>
      <c r="H784" s="242"/>
      <c r="I784" s="242"/>
      <c r="J784" s="242"/>
      <c r="K784" s="242"/>
      <c r="L784" s="242"/>
      <c r="M784" s="13"/>
      <c r="N784" s="13"/>
      <c r="O784" s="13"/>
      <c r="P784" s="341"/>
      <c r="Q784" s="13"/>
      <c r="R784" s="242"/>
      <c r="S784" s="242"/>
      <c r="T784" s="242"/>
      <c r="U784" s="242"/>
      <c r="V784" s="242"/>
      <c r="W784" s="242"/>
      <c r="X784" s="242"/>
    </row>
    <row r="785">
      <c r="A785" s="242"/>
      <c r="B785" s="242"/>
      <c r="C785" s="242"/>
      <c r="D785" s="242"/>
      <c r="E785" s="242"/>
      <c r="F785" s="242"/>
      <c r="G785" s="242"/>
      <c r="H785" s="242"/>
      <c r="I785" s="242"/>
      <c r="J785" s="242"/>
      <c r="K785" s="242"/>
      <c r="L785" s="242"/>
      <c r="M785" s="13"/>
      <c r="N785" s="13"/>
      <c r="O785" s="13"/>
      <c r="P785" s="341"/>
      <c r="Q785" s="13"/>
      <c r="R785" s="242"/>
      <c r="S785" s="242"/>
      <c r="T785" s="242"/>
      <c r="U785" s="242"/>
      <c r="V785" s="242"/>
      <c r="W785" s="242"/>
      <c r="X785" s="242"/>
    </row>
    <row r="786">
      <c r="A786" s="242"/>
      <c r="B786" s="242"/>
      <c r="C786" s="242"/>
      <c r="D786" s="242"/>
      <c r="E786" s="242"/>
      <c r="F786" s="242"/>
      <c r="G786" s="242"/>
      <c r="H786" s="242"/>
      <c r="I786" s="242"/>
      <c r="J786" s="242"/>
      <c r="K786" s="242"/>
      <c r="L786" s="242"/>
      <c r="M786" s="13"/>
      <c r="N786" s="13"/>
      <c r="O786" s="13"/>
      <c r="P786" s="341"/>
      <c r="Q786" s="13"/>
      <c r="R786" s="242"/>
      <c r="S786" s="242"/>
      <c r="T786" s="242"/>
      <c r="U786" s="242"/>
      <c r="V786" s="242"/>
      <c r="W786" s="242"/>
      <c r="X786" s="242"/>
    </row>
    <row r="787">
      <c r="A787" s="242"/>
      <c r="B787" s="242"/>
      <c r="C787" s="242"/>
      <c r="D787" s="242"/>
      <c r="E787" s="242"/>
      <c r="F787" s="242"/>
      <c r="G787" s="242"/>
      <c r="H787" s="242"/>
      <c r="I787" s="242"/>
      <c r="J787" s="242"/>
      <c r="K787" s="242"/>
      <c r="L787" s="242"/>
      <c r="M787" s="13"/>
      <c r="N787" s="13"/>
      <c r="O787" s="13"/>
      <c r="P787" s="341"/>
      <c r="Q787" s="13"/>
      <c r="R787" s="242"/>
      <c r="S787" s="242"/>
      <c r="T787" s="242"/>
      <c r="U787" s="242"/>
      <c r="V787" s="242"/>
      <c r="W787" s="242"/>
      <c r="X787" s="242"/>
    </row>
    <row r="788">
      <c r="A788" s="242"/>
      <c r="B788" s="242"/>
      <c r="C788" s="242"/>
      <c r="D788" s="242"/>
      <c r="E788" s="242"/>
      <c r="F788" s="242"/>
      <c r="G788" s="242"/>
      <c r="H788" s="242"/>
      <c r="I788" s="242"/>
      <c r="J788" s="242"/>
      <c r="K788" s="242"/>
      <c r="L788" s="242"/>
      <c r="M788" s="13"/>
      <c r="N788" s="13"/>
      <c r="O788" s="13"/>
      <c r="P788" s="341"/>
      <c r="Q788" s="13"/>
      <c r="R788" s="242"/>
      <c r="S788" s="242"/>
      <c r="T788" s="242"/>
      <c r="U788" s="242"/>
      <c r="V788" s="242"/>
      <c r="W788" s="242"/>
      <c r="X788" s="242"/>
    </row>
    <row r="789">
      <c r="A789" s="242"/>
      <c r="B789" s="242"/>
      <c r="C789" s="242"/>
      <c r="D789" s="242"/>
      <c r="E789" s="242"/>
      <c r="F789" s="242"/>
      <c r="G789" s="242"/>
      <c r="H789" s="242"/>
      <c r="I789" s="242"/>
      <c r="J789" s="242"/>
      <c r="K789" s="242"/>
      <c r="L789" s="242"/>
      <c r="M789" s="13"/>
      <c r="N789" s="13"/>
      <c r="O789" s="13"/>
      <c r="P789" s="341"/>
      <c r="Q789" s="13"/>
      <c r="R789" s="242"/>
      <c r="S789" s="242"/>
      <c r="T789" s="242"/>
      <c r="U789" s="242"/>
      <c r="V789" s="242"/>
      <c r="W789" s="242"/>
      <c r="X789" s="242"/>
    </row>
    <row r="790">
      <c r="A790" s="242"/>
      <c r="B790" s="242"/>
      <c r="C790" s="242"/>
      <c r="D790" s="242"/>
      <c r="E790" s="242"/>
      <c r="F790" s="242"/>
      <c r="G790" s="242"/>
      <c r="H790" s="242"/>
      <c r="I790" s="242"/>
      <c r="J790" s="242"/>
      <c r="K790" s="242"/>
      <c r="L790" s="242"/>
      <c r="M790" s="13"/>
      <c r="N790" s="13"/>
      <c r="O790" s="13"/>
      <c r="P790" s="341"/>
      <c r="Q790" s="13"/>
      <c r="R790" s="242"/>
      <c r="S790" s="242"/>
      <c r="T790" s="242"/>
      <c r="U790" s="242"/>
      <c r="V790" s="242"/>
      <c r="W790" s="242"/>
      <c r="X790" s="242"/>
    </row>
    <row r="791">
      <c r="A791" s="242"/>
      <c r="B791" s="242"/>
      <c r="C791" s="242"/>
      <c r="D791" s="242"/>
      <c r="E791" s="242"/>
      <c r="F791" s="242"/>
      <c r="G791" s="242"/>
      <c r="H791" s="242"/>
      <c r="I791" s="242"/>
      <c r="J791" s="242"/>
      <c r="K791" s="242"/>
      <c r="L791" s="242"/>
      <c r="M791" s="13"/>
      <c r="N791" s="13"/>
      <c r="O791" s="13"/>
      <c r="P791" s="341"/>
      <c r="Q791" s="13"/>
      <c r="R791" s="242"/>
      <c r="S791" s="242"/>
      <c r="T791" s="242"/>
      <c r="U791" s="242"/>
      <c r="V791" s="242"/>
      <c r="W791" s="242"/>
      <c r="X791" s="242"/>
    </row>
    <row r="792">
      <c r="A792" s="242"/>
      <c r="B792" s="242"/>
      <c r="C792" s="242"/>
      <c r="D792" s="242"/>
      <c r="E792" s="242"/>
      <c r="F792" s="242"/>
      <c r="G792" s="242"/>
      <c r="H792" s="242"/>
      <c r="I792" s="242"/>
      <c r="J792" s="242"/>
      <c r="K792" s="242"/>
      <c r="L792" s="242"/>
      <c r="M792" s="13"/>
      <c r="N792" s="13"/>
      <c r="O792" s="13"/>
      <c r="P792" s="341"/>
      <c r="Q792" s="13"/>
      <c r="R792" s="242"/>
      <c r="S792" s="242"/>
      <c r="T792" s="242"/>
      <c r="U792" s="242"/>
      <c r="V792" s="242"/>
      <c r="W792" s="242"/>
      <c r="X792" s="242"/>
    </row>
    <row r="793">
      <c r="A793" s="242"/>
      <c r="B793" s="242"/>
      <c r="C793" s="242"/>
      <c r="D793" s="242"/>
      <c r="E793" s="242"/>
      <c r="F793" s="242"/>
      <c r="G793" s="242"/>
      <c r="H793" s="242"/>
      <c r="I793" s="242"/>
      <c r="J793" s="242"/>
      <c r="K793" s="242"/>
      <c r="L793" s="242"/>
      <c r="M793" s="13"/>
      <c r="N793" s="13"/>
      <c r="O793" s="13"/>
      <c r="P793" s="341"/>
      <c r="Q793" s="13"/>
      <c r="R793" s="242"/>
      <c r="S793" s="242"/>
      <c r="T793" s="242"/>
      <c r="U793" s="242"/>
      <c r="V793" s="242"/>
      <c r="W793" s="242"/>
      <c r="X793" s="242"/>
    </row>
    <row r="794">
      <c r="A794" s="242"/>
      <c r="B794" s="242"/>
      <c r="C794" s="242"/>
      <c r="D794" s="242"/>
      <c r="E794" s="242"/>
      <c r="F794" s="242"/>
      <c r="G794" s="242"/>
      <c r="H794" s="242"/>
      <c r="I794" s="242"/>
      <c r="J794" s="242"/>
      <c r="K794" s="242"/>
      <c r="L794" s="242"/>
      <c r="M794" s="13"/>
      <c r="N794" s="13"/>
      <c r="O794" s="13"/>
      <c r="P794" s="341"/>
      <c r="Q794" s="13"/>
      <c r="R794" s="242"/>
      <c r="S794" s="242"/>
      <c r="T794" s="242"/>
      <c r="U794" s="242"/>
      <c r="V794" s="242"/>
      <c r="W794" s="242"/>
      <c r="X794" s="242"/>
    </row>
    <row r="795">
      <c r="A795" s="242"/>
      <c r="B795" s="242"/>
      <c r="C795" s="242"/>
      <c r="D795" s="242"/>
      <c r="E795" s="242"/>
      <c r="F795" s="242"/>
      <c r="G795" s="242"/>
      <c r="H795" s="242"/>
      <c r="I795" s="242"/>
      <c r="J795" s="242"/>
      <c r="K795" s="242"/>
      <c r="L795" s="242"/>
      <c r="M795" s="13"/>
      <c r="N795" s="13"/>
      <c r="O795" s="13"/>
      <c r="P795" s="341"/>
      <c r="Q795" s="13"/>
      <c r="R795" s="242"/>
      <c r="S795" s="242"/>
      <c r="T795" s="242"/>
      <c r="U795" s="242"/>
      <c r="V795" s="242"/>
      <c r="W795" s="242"/>
      <c r="X795" s="242"/>
    </row>
    <row r="796">
      <c r="A796" s="242"/>
      <c r="B796" s="242"/>
      <c r="C796" s="242"/>
      <c r="D796" s="242"/>
      <c r="E796" s="242"/>
      <c r="F796" s="242"/>
      <c r="G796" s="242"/>
      <c r="H796" s="242"/>
      <c r="I796" s="242"/>
      <c r="J796" s="242"/>
      <c r="K796" s="242"/>
      <c r="L796" s="242"/>
      <c r="M796" s="13"/>
      <c r="N796" s="13"/>
      <c r="O796" s="13"/>
      <c r="P796" s="341"/>
      <c r="Q796" s="13"/>
      <c r="R796" s="242"/>
      <c r="S796" s="242"/>
      <c r="T796" s="242"/>
      <c r="U796" s="242"/>
      <c r="V796" s="242"/>
      <c r="W796" s="242"/>
      <c r="X796" s="242"/>
    </row>
    <row r="797">
      <c r="A797" s="242"/>
      <c r="B797" s="242"/>
      <c r="C797" s="242"/>
      <c r="D797" s="242"/>
      <c r="E797" s="242"/>
      <c r="F797" s="242"/>
      <c r="G797" s="242"/>
      <c r="H797" s="242"/>
      <c r="I797" s="242"/>
      <c r="J797" s="242"/>
      <c r="K797" s="242"/>
      <c r="L797" s="242"/>
      <c r="M797" s="13"/>
      <c r="N797" s="13"/>
      <c r="O797" s="13"/>
      <c r="P797" s="341"/>
      <c r="Q797" s="13"/>
      <c r="R797" s="242"/>
      <c r="S797" s="242"/>
      <c r="T797" s="242"/>
      <c r="U797" s="242"/>
      <c r="V797" s="242"/>
      <c r="W797" s="242"/>
      <c r="X797" s="242"/>
    </row>
    <row r="798">
      <c r="A798" s="242"/>
      <c r="B798" s="242"/>
      <c r="C798" s="242"/>
      <c r="D798" s="242"/>
      <c r="E798" s="242"/>
      <c r="F798" s="242"/>
      <c r="G798" s="242"/>
      <c r="H798" s="242"/>
      <c r="I798" s="242"/>
      <c r="J798" s="242"/>
      <c r="K798" s="242"/>
      <c r="L798" s="242"/>
      <c r="M798" s="13"/>
      <c r="N798" s="13"/>
      <c r="O798" s="13"/>
      <c r="P798" s="341"/>
      <c r="Q798" s="13"/>
      <c r="R798" s="242"/>
      <c r="S798" s="242"/>
      <c r="T798" s="242"/>
      <c r="U798" s="242"/>
      <c r="V798" s="242"/>
      <c r="W798" s="242"/>
      <c r="X798" s="242"/>
    </row>
    <row r="799">
      <c r="A799" s="242"/>
      <c r="B799" s="242"/>
      <c r="C799" s="242"/>
      <c r="D799" s="242"/>
      <c r="E799" s="242"/>
      <c r="F799" s="242"/>
      <c r="G799" s="242"/>
      <c r="H799" s="242"/>
      <c r="I799" s="242"/>
      <c r="J799" s="242"/>
      <c r="K799" s="242"/>
      <c r="L799" s="242"/>
      <c r="M799" s="13"/>
      <c r="N799" s="13"/>
      <c r="O799" s="13"/>
      <c r="P799" s="341"/>
      <c r="Q799" s="13"/>
      <c r="R799" s="242"/>
      <c r="S799" s="242"/>
      <c r="T799" s="242"/>
      <c r="U799" s="242"/>
      <c r="V799" s="242"/>
      <c r="W799" s="242"/>
      <c r="X799" s="242"/>
    </row>
    <row r="800">
      <c r="A800" s="242"/>
      <c r="B800" s="242"/>
      <c r="C800" s="242"/>
      <c r="D800" s="242"/>
      <c r="E800" s="242"/>
      <c r="F800" s="242"/>
      <c r="G800" s="242"/>
      <c r="H800" s="242"/>
      <c r="I800" s="242"/>
      <c r="J800" s="242"/>
      <c r="K800" s="242"/>
      <c r="L800" s="242"/>
      <c r="M800" s="13"/>
      <c r="N800" s="13"/>
      <c r="O800" s="13"/>
      <c r="P800" s="341"/>
      <c r="Q800" s="13"/>
      <c r="R800" s="242"/>
      <c r="S800" s="242"/>
      <c r="T800" s="242"/>
      <c r="U800" s="242"/>
      <c r="V800" s="242"/>
      <c r="W800" s="242"/>
      <c r="X800" s="242"/>
    </row>
    <row r="801">
      <c r="A801" s="242"/>
      <c r="B801" s="242"/>
      <c r="C801" s="242"/>
      <c r="D801" s="242"/>
      <c r="E801" s="242"/>
      <c r="F801" s="242"/>
      <c r="G801" s="242"/>
      <c r="H801" s="242"/>
      <c r="I801" s="242"/>
      <c r="J801" s="242"/>
      <c r="K801" s="242"/>
      <c r="L801" s="242"/>
      <c r="M801" s="13"/>
      <c r="N801" s="13"/>
      <c r="O801" s="13"/>
      <c r="P801" s="341"/>
      <c r="Q801" s="13"/>
      <c r="R801" s="242"/>
      <c r="S801" s="242"/>
      <c r="T801" s="242"/>
      <c r="U801" s="242"/>
      <c r="V801" s="242"/>
      <c r="W801" s="242"/>
      <c r="X801" s="242"/>
    </row>
    <row r="802">
      <c r="A802" s="242"/>
      <c r="B802" s="242"/>
      <c r="C802" s="242"/>
      <c r="D802" s="242"/>
      <c r="E802" s="242"/>
      <c r="F802" s="242"/>
      <c r="G802" s="242"/>
      <c r="H802" s="242"/>
      <c r="I802" s="242"/>
      <c r="J802" s="242"/>
      <c r="K802" s="242"/>
      <c r="L802" s="242"/>
      <c r="M802" s="13"/>
      <c r="N802" s="13"/>
      <c r="O802" s="13"/>
      <c r="P802" s="341"/>
      <c r="Q802" s="13"/>
      <c r="R802" s="242"/>
      <c r="S802" s="242"/>
      <c r="T802" s="242"/>
      <c r="U802" s="242"/>
      <c r="V802" s="242"/>
      <c r="W802" s="242"/>
      <c r="X802" s="242"/>
    </row>
    <row r="803">
      <c r="A803" s="242"/>
      <c r="B803" s="242"/>
      <c r="C803" s="242"/>
      <c r="D803" s="242"/>
      <c r="E803" s="242"/>
      <c r="F803" s="242"/>
      <c r="G803" s="242"/>
      <c r="H803" s="242"/>
      <c r="I803" s="242"/>
      <c r="J803" s="242"/>
      <c r="K803" s="242"/>
      <c r="L803" s="242"/>
      <c r="M803" s="13"/>
      <c r="N803" s="13"/>
      <c r="O803" s="13"/>
      <c r="P803" s="341"/>
      <c r="Q803" s="13"/>
      <c r="R803" s="242"/>
      <c r="S803" s="242"/>
      <c r="T803" s="242"/>
      <c r="U803" s="242"/>
      <c r="V803" s="242"/>
      <c r="W803" s="242"/>
      <c r="X803" s="242"/>
    </row>
    <row r="804">
      <c r="A804" s="242"/>
      <c r="B804" s="242"/>
      <c r="C804" s="242"/>
      <c r="D804" s="242"/>
      <c r="E804" s="242"/>
      <c r="F804" s="242"/>
      <c r="G804" s="242"/>
      <c r="H804" s="242"/>
      <c r="I804" s="242"/>
      <c r="J804" s="242"/>
      <c r="K804" s="242"/>
      <c r="L804" s="242"/>
      <c r="M804" s="13"/>
      <c r="N804" s="13"/>
      <c r="O804" s="13"/>
      <c r="P804" s="341"/>
      <c r="Q804" s="13"/>
      <c r="R804" s="242"/>
      <c r="S804" s="242"/>
      <c r="T804" s="242"/>
      <c r="U804" s="242"/>
      <c r="V804" s="242"/>
      <c r="W804" s="242"/>
      <c r="X804" s="242"/>
    </row>
    <row r="805">
      <c r="A805" s="242"/>
      <c r="B805" s="242"/>
      <c r="C805" s="242"/>
      <c r="D805" s="242"/>
      <c r="E805" s="242"/>
      <c r="F805" s="242"/>
      <c r="G805" s="242"/>
      <c r="H805" s="242"/>
      <c r="I805" s="242"/>
      <c r="J805" s="242"/>
      <c r="K805" s="242"/>
      <c r="L805" s="242"/>
      <c r="M805" s="13"/>
      <c r="N805" s="13"/>
      <c r="O805" s="13"/>
      <c r="P805" s="341"/>
      <c r="Q805" s="13"/>
      <c r="R805" s="242"/>
      <c r="S805" s="242"/>
      <c r="T805" s="242"/>
      <c r="U805" s="242"/>
      <c r="V805" s="242"/>
      <c r="W805" s="242"/>
      <c r="X805" s="242"/>
    </row>
    <row r="806">
      <c r="A806" s="242"/>
      <c r="B806" s="242"/>
      <c r="C806" s="242"/>
      <c r="D806" s="242"/>
      <c r="E806" s="242"/>
      <c r="F806" s="242"/>
      <c r="G806" s="242"/>
      <c r="H806" s="242"/>
      <c r="I806" s="242"/>
      <c r="J806" s="242"/>
      <c r="K806" s="242"/>
      <c r="L806" s="242"/>
      <c r="M806" s="13"/>
      <c r="N806" s="13"/>
      <c r="O806" s="13"/>
      <c r="P806" s="341"/>
      <c r="Q806" s="13"/>
      <c r="R806" s="242"/>
      <c r="S806" s="242"/>
      <c r="T806" s="242"/>
      <c r="U806" s="242"/>
      <c r="V806" s="242"/>
      <c r="W806" s="242"/>
      <c r="X806" s="242"/>
    </row>
    <row r="807">
      <c r="A807" s="242"/>
      <c r="B807" s="242"/>
      <c r="C807" s="242"/>
      <c r="D807" s="242"/>
      <c r="E807" s="242"/>
      <c r="F807" s="242"/>
      <c r="G807" s="242"/>
      <c r="H807" s="242"/>
      <c r="I807" s="242"/>
      <c r="J807" s="242"/>
      <c r="K807" s="242"/>
      <c r="L807" s="242"/>
      <c r="M807" s="13"/>
      <c r="N807" s="13"/>
      <c r="O807" s="13"/>
      <c r="P807" s="341"/>
      <c r="Q807" s="13"/>
      <c r="R807" s="242"/>
      <c r="S807" s="242"/>
      <c r="T807" s="242"/>
      <c r="U807" s="242"/>
      <c r="V807" s="242"/>
      <c r="W807" s="242"/>
      <c r="X807" s="242"/>
    </row>
    <row r="808">
      <c r="A808" s="242"/>
      <c r="B808" s="242"/>
      <c r="C808" s="242"/>
      <c r="D808" s="242"/>
      <c r="E808" s="242"/>
      <c r="F808" s="242"/>
      <c r="G808" s="242"/>
      <c r="H808" s="242"/>
      <c r="I808" s="242"/>
      <c r="J808" s="242"/>
      <c r="K808" s="242"/>
      <c r="L808" s="242"/>
      <c r="M808" s="13"/>
      <c r="N808" s="13"/>
      <c r="O808" s="13"/>
      <c r="P808" s="341"/>
      <c r="Q808" s="13"/>
      <c r="R808" s="242"/>
      <c r="S808" s="242"/>
      <c r="T808" s="242"/>
      <c r="U808" s="242"/>
      <c r="V808" s="242"/>
      <c r="W808" s="242"/>
      <c r="X808" s="242"/>
    </row>
    <row r="809">
      <c r="A809" s="242"/>
      <c r="B809" s="242"/>
      <c r="C809" s="242"/>
      <c r="D809" s="242"/>
      <c r="E809" s="242"/>
      <c r="F809" s="242"/>
      <c r="G809" s="242"/>
      <c r="H809" s="242"/>
      <c r="I809" s="242"/>
      <c r="J809" s="242"/>
      <c r="K809" s="242"/>
      <c r="L809" s="242"/>
      <c r="M809" s="13"/>
      <c r="N809" s="13"/>
      <c r="O809" s="13"/>
      <c r="P809" s="341"/>
      <c r="Q809" s="13"/>
      <c r="R809" s="242"/>
      <c r="S809" s="242"/>
      <c r="T809" s="242"/>
      <c r="U809" s="242"/>
      <c r="V809" s="242"/>
      <c r="W809" s="242"/>
      <c r="X809" s="242"/>
    </row>
    <row r="810">
      <c r="A810" s="242"/>
      <c r="B810" s="242"/>
      <c r="C810" s="242"/>
      <c r="D810" s="242"/>
      <c r="E810" s="242"/>
      <c r="F810" s="242"/>
      <c r="G810" s="242"/>
      <c r="H810" s="242"/>
      <c r="I810" s="242"/>
      <c r="J810" s="242"/>
      <c r="K810" s="242"/>
      <c r="L810" s="242"/>
      <c r="M810" s="13"/>
      <c r="N810" s="13"/>
      <c r="O810" s="13"/>
      <c r="P810" s="341"/>
      <c r="Q810" s="13"/>
      <c r="R810" s="242"/>
      <c r="S810" s="242"/>
      <c r="T810" s="242"/>
      <c r="U810" s="242"/>
      <c r="V810" s="242"/>
      <c r="W810" s="242"/>
      <c r="X810" s="242"/>
    </row>
    <row r="811">
      <c r="A811" s="242"/>
      <c r="B811" s="242"/>
      <c r="C811" s="242"/>
      <c r="D811" s="242"/>
      <c r="E811" s="242"/>
      <c r="F811" s="242"/>
      <c r="G811" s="242"/>
      <c r="H811" s="242"/>
      <c r="I811" s="242"/>
      <c r="J811" s="242"/>
      <c r="K811" s="242"/>
      <c r="L811" s="242"/>
      <c r="M811" s="13"/>
      <c r="N811" s="13"/>
      <c r="O811" s="13"/>
      <c r="P811" s="341"/>
      <c r="Q811" s="13"/>
      <c r="R811" s="242"/>
      <c r="S811" s="242"/>
      <c r="T811" s="242"/>
      <c r="U811" s="242"/>
      <c r="V811" s="242"/>
      <c r="W811" s="242"/>
      <c r="X811" s="242"/>
    </row>
    <row r="812">
      <c r="A812" s="242"/>
      <c r="B812" s="242"/>
      <c r="C812" s="242"/>
      <c r="D812" s="242"/>
      <c r="E812" s="242"/>
      <c r="F812" s="242"/>
      <c r="G812" s="242"/>
      <c r="H812" s="242"/>
      <c r="I812" s="242"/>
      <c r="J812" s="242"/>
      <c r="K812" s="242"/>
      <c r="L812" s="242"/>
      <c r="M812" s="13"/>
      <c r="N812" s="13"/>
      <c r="O812" s="13"/>
      <c r="P812" s="341"/>
      <c r="Q812" s="13"/>
      <c r="R812" s="242"/>
      <c r="S812" s="242"/>
      <c r="T812" s="242"/>
      <c r="U812" s="242"/>
      <c r="V812" s="242"/>
      <c r="W812" s="242"/>
      <c r="X812" s="242"/>
    </row>
    <row r="813">
      <c r="A813" s="242"/>
      <c r="B813" s="242"/>
      <c r="C813" s="242"/>
      <c r="D813" s="242"/>
      <c r="E813" s="242"/>
      <c r="F813" s="242"/>
      <c r="G813" s="242"/>
      <c r="H813" s="242"/>
      <c r="I813" s="242"/>
      <c r="J813" s="242"/>
      <c r="K813" s="242"/>
      <c r="L813" s="242"/>
      <c r="M813" s="13"/>
      <c r="N813" s="13"/>
      <c r="O813" s="13"/>
      <c r="P813" s="341"/>
      <c r="Q813" s="13"/>
      <c r="R813" s="242"/>
      <c r="S813" s="242"/>
      <c r="T813" s="242"/>
      <c r="U813" s="242"/>
      <c r="V813" s="242"/>
      <c r="W813" s="242"/>
      <c r="X813" s="242"/>
    </row>
    <row r="814">
      <c r="A814" s="242"/>
      <c r="B814" s="242"/>
      <c r="C814" s="242"/>
      <c r="D814" s="242"/>
      <c r="E814" s="242"/>
      <c r="F814" s="242"/>
      <c r="G814" s="242"/>
      <c r="H814" s="242"/>
      <c r="I814" s="242"/>
      <c r="J814" s="242"/>
      <c r="K814" s="242"/>
      <c r="L814" s="242"/>
      <c r="M814" s="13"/>
      <c r="N814" s="13"/>
      <c r="O814" s="13"/>
      <c r="P814" s="341"/>
      <c r="Q814" s="13"/>
      <c r="R814" s="242"/>
      <c r="S814" s="242"/>
      <c r="T814" s="242"/>
      <c r="U814" s="242"/>
      <c r="V814" s="242"/>
      <c r="W814" s="242"/>
      <c r="X814" s="242"/>
    </row>
    <row r="815">
      <c r="A815" s="242"/>
      <c r="B815" s="242"/>
      <c r="C815" s="242"/>
      <c r="D815" s="242"/>
      <c r="E815" s="242"/>
      <c r="F815" s="242"/>
      <c r="G815" s="242"/>
      <c r="H815" s="242"/>
      <c r="I815" s="242"/>
      <c r="J815" s="242"/>
      <c r="K815" s="242"/>
      <c r="L815" s="242"/>
      <c r="M815" s="13"/>
      <c r="N815" s="13"/>
      <c r="O815" s="13"/>
      <c r="P815" s="341"/>
      <c r="Q815" s="13"/>
      <c r="R815" s="242"/>
      <c r="S815" s="242"/>
      <c r="T815" s="242"/>
      <c r="U815" s="242"/>
      <c r="V815" s="242"/>
      <c r="W815" s="242"/>
      <c r="X815" s="242"/>
    </row>
    <row r="816">
      <c r="A816" s="242"/>
      <c r="B816" s="242"/>
      <c r="C816" s="242"/>
      <c r="D816" s="242"/>
      <c r="E816" s="242"/>
      <c r="F816" s="242"/>
      <c r="G816" s="242"/>
      <c r="H816" s="242"/>
      <c r="I816" s="242"/>
      <c r="J816" s="242"/>
      <c r="K816" s="242"/>
      <c r="L816" s="242"/>
      <c r="M816" s="13"/>
      <c r="N816" s="13"/>
      <c r="O816" s="13"/>
      <c r="P816" s="341"/>
      <c r="Q816" s="13"/>
      <c r="R816" s="242"/>
      <c r="S816" s="242"/>
      <c r="T816" s="242"/>
      <c r="U816" s="242"/>
      <c r="V816" s="242"/>
      <c r="W816" s="242"/>
      <c r="X816" s="242"/>
    </row>
    <row r="817">
      <c r="A817" s="242"/>
      <c r="B817" s="242"/>
      <c r="C817" s="242"/>
      <c r="D817" s="242"/>
      <c r="E817" s="242"/>
      <c r="F817" s="242"/>
      <c r="G817" s="242"/>
      <c r="H817" s="242"/>
      <c r="I817" s="242"/>
      <c r="J817" s="242"/>
      <c r="K817" s="242"/>
      <c r="L817" s="242"/>
      <c r="M817" s="13"/>
      <c r="N817" s="13"/>
      <c r="O817" s="13"/>
      <c r="P817" s="341"/>
      <c r="Q817" s="13"/>
      <c r="R817" s="242"/>
      <c r="S817" s="242"/>
      <c r="T817" s="242"/>
      <c r="U817" s="242"/>
      <c r="V817" s="242"/>
      <c r="W817" s="242"/>
      <c r="X817" s="242"/>
    </row>
    <row r="818">
      <c r="A818" s="242"/>
      <c r="B818" s="242"/>
      <c r="C818" s="242"/>
      <c r="D818" s="242"/>
      <c r="E818" s="242"/>
      <c r="F818" s="242"/>
      <c r="G818" s="242"/>
      <c r="H818" s="242"/>
      <c r="I818" s="242"/>
      <c r="J818" s="242"/>
      <c r="K818" s="242"/>
      <c r="L818" s="242"/>
      <c r="M818" s="13"/>
      <c r="N818" s="13"/>
      <c r="O818" s="13"/>
      <c r="P818" s="341"/>
      <c r="Q818" s="13"/>
      <c r="R818" s="242"/>
      <c r="S818" s="242"/>
      <c r="T818" s="242"/>
      <c r="U818" s="242"/>
      <c r="V818" s="242"/>
      <c r="W818" s="242"/>
      <c r="X818" s="242"/>
    </row>
    <row r="819">
      <c r="A819" s="242"/>
      <c r="B819" s="242"/>
      <c r="C819" s="242"/>
      <c r="D819" s="242"/>
      <c r="E819" s="242"/>
      <c r="F819" s="242"/>
      <c r="G819" s="242"/>
      <c r="H819" s="242"/>
      <c r="I819" s="242"/>
      <c r="J819" s="242"/>
      <c r="K819" s="242"/>
      <c r="L819" s="242"/>
      <c r="M819" s="13"/>
      <c r="N819" s="13"/>
      <c r="O819" s="13"/>
      <c r="P819" s="341"/>
      <c r="Q819" s="13"/>
      <c r="R819" s="242"/>
      <c r="S819" s="242"/>
      <c r="T819" s="242"/>
      <c r="U819" s="242"/>
      <c r="V819" s="242"/>
      <c r="W819" s="242"/>
      <c r="X819" s="242"/>
    </row>
    <row r="820">
      <c r="A820" s="242"/>
      <c r="B820" s="242"/>
      <c r="C820" s="242"/>
      <c r="D820" s="242"/>
      <c r="E820" s="242"/>
      <c r="F820" s="242"/>
      <c r="G820" s="242"/>
      <c r="H820" s="242"/>
      <c r="I820" s="242"/>
      <c r="J820" s="242"/>
      <c r="K820" s="242"/>
      <c r="L820" s="242"/>
      <c r="M820" s="13"/>
      <c r="N820" s="13"/>
      <c r="O820" s="13"/>
      <c r="P820" s="341"/>
      <c r="Q820" s="13"/>
      <c r="R820" s="242"/>
      <c r="S820" s="242"/>
      <c r="T820" s="242"/>
      <c r="U820" s="242"/>
      <c r="V820" s="242"/>
      <c r="W820" s="242"/>
      <c r="X820" s="242"/>
    </row>
    <row r="821">
      <c r="A821" s="242"/>
      <c r="B821" s="242"/>
      <c r="C821" s="242"/>
      <c r="D821" s="242"/>
      <c r="E821" s="242"/>
      <c r="F821" s="242"/>
      <c r="G821" s="242"/>
      <c r="H821" s="242"/>
      <c r="I821" s="242"/>
      <c r="J821" s="242"/>
      <c r="K821" s="242"/>
      <c r="L821" s="242"/>
      <c r="M821" s="13"/>
      <c r="N821" s="13"/>
      <c r="O821" s="13"/>
      <c r="P821" s="341"/>
      <c r="Q821" s="13"/>
      <c r="R821" s="242"/>
      <c r="S821" s="242"/>
      <c r="T821" s="242"/>
      <c r="U821" s="242"/>
      <c r="V821" s="242"/>
      <c r="W821" s="242"/>
      <c r="X821" s="242"/>
    </row>
    <row r="822">
      <c r="A822" s="242"/>
      <c r="B822" s="242"/>
      <c r="C822" s="242"/>
      <c r="D822" s="242"/>
      <c r="E822" s="242"/>
      <c r="F822" s="242"/>
      <c r="G822" s="242"/>
      <c r="H822" s="242"/>
      <c r="I822" s="242"/>
      <c r="J822" s="242"/>
      <c r="K822" s="242"/>
      <c r="L822" s="242"/>
      <c r="M822" s="13"/>
      <c r="N822" s="13"/>
      <c r="O822" s="13"/>
      <c r="P822" s="341"/>
      <c r="Q822" s="13"/>
      <c r="R822" s="242"/>
      <c r="S822" s="242"/>
      <c r="T822" s="242"/>
      <c r="U822" s="242"/>
      <c r="V822" s="242"/>
      <c r="W822" s="242"/>
      <c r="X822" s="242"/>
    </row>
    <row r="823">
      <c r="A823" s="242"/>
      <c r="B823" s="242"/>
      <c r="C823" s="242"/>
      <c r="D823" s="242"/>
      <c r="E823" s="242"/>
      <c r="F823" s="242"/>
      <c r="G823" s="242"/>
      <c r="H823" s="242"/>
      <c r="I823" s="242"/>
      <c r="J823" s="242"/>
      <c r="K823" s="242"/>
      <c r="L823" s="242"/>
      <c r="M823" s="13"/>
      <c r="N823" s="13"/>
      <c r="O823" s="13"/>
      <c r="P823" s="341"/>
      <c r="Q823" s="13"/>
      <c r="R823" s="242"/>
      <c r="S823" s="242"/>
      <c r="T823" s="242"/>
      <c r="U823" s="242"/>
      <c r="V823" s="242"/>
      <c r="W823" s="242"/>
      <c r="X823" s="242"/>
    </row>
    <row r="824">
      <c r="A824" s="242"/>
      <c r="B824" s="242"/>
      <c r="C824" s="242"/>
      <c r="D824" s="242"/>
      <c r="E824" s="242"/>
      <c r="F824" s="242"/>
      <c r="G824" s="242"/>
      <c r="H824" s="242"/>
      <c r="I824" s="242"/>
      <c r="J824" s="242"/>
      <c r="K824" s="242"/>
      <c r="L824" s="242"/>
      <c r="M824" s="13"/>
      <c r="N824" s="13"/>
      <c r="O824" s="13"/>
      <c r="P824" s="341"/>
      <c r="Q824" s="13"/>
      <c r="R824" s="242"/>
      <c r="S824" s="242"/>
      <c r="T824" s="242"/>
      <c r="U824" s="242"/>
      <c r="V824" s="242"/>
      <c r="W824" s="242"/>
      <c r="X824" s="242"/>
    </row>
    <row r="825">
      <c r="A825" s="242"/>
      <c r="B825" s="242"/>
      <c r="C825" s="242"/>
      <c r="D825" s="242"/>
      <c r="E825" s="242"/>
      <c r="F825" s="242"/>
      <c r="G825" s="242"/>
      <c r="H825" s="242"/>
      <c r="I825" s="242"/>
      <c r="J825" s="242"/>
      <c r="K825" s="242"/>
      <c r="L825" s="242"/>
      <c r="M825" s="13"/>
      <c r="N825" s="13"/>
      <c r="O825" s="13"/>
      <c r="P825" s="341"/>
      <c r="Q825" s="13"/>
      <c r="R825" s="242"/>
      <c r="S825" s="242"/>
      <c r="T825" s="242"/>
      <c r="U825" s="242"/>
      <c r="V825" s="242"/>
      <c r="W825" s="242"/>
      <c r="X825" s="242"/>
    </row>
    <row r="826">
      <c r="A826" s="242"/>
      <c r="B826" s="242"/>
      <c r="C826" s="242"/>
      <c r="D826" s="242"/>
      <c r="E826" s="242"/>
      <c r="F826" s="242"/>
      <c r="G826" s="242"/>
      <c r="H826" s="242"/>
      <c r="I826" s="242"/>
      <c r="J826" s="242"/>
      <c r="K826" s="242"/>
      <c r="L826" s="242"/>
      <c r="M826" s="13"/>
      <c r="N826" s="13"/>
      <c r="O826" s="13"/>
      <c r="P826" s="341"/>
      <c r="Q826" s="13"/>
      <c r="R826" s="242"/>
      <c r="S826" s="242"/>
      <c r="T826" s="242"/>
      <c r="U826" s="242"/>
      <c r="V826" s="242"/>
      <c r="W826" s="242"/>
      <c r="X826" s="242"/>
    </row>
    <row r="827">
      <c r="A827" s="242"/>
      <c r="B827" s="242"/>
      <c r="C827" s="242"/>
      <c r="D827" s="242"/>
      <c r="E827" s="242"/>
      <c r="F827" s="242"/>
      <c r="G827" s="242"/>
      <c r="H827" s="242"/>
      <c r="I827" s="242"/>
      <c r="J827" s="242"/>
      <c r="K827" s="242"/>
      <c r="L827" s="242"/>
      <c r="M827" s="13"/>
      <c r="N827" s="13"/>
      <c r="O827" s="13"/>
      <c r="P827" s="341"/>
      <c r="Q827" s="13"/>
      <c r="R827" s="242"/>
      <c r="S827" s="242"/>
      <c r="T827" s="242"/>
      <c r="U827" s="242"/>
      <c r="V827" s="242"/>
      <c r="W827" s="242"/>
      <c r="X827" s="242"/>
    </row>
    <row r="828">
      <c r="A828" s="242"/>
      <c r="B828" s="242"/>
      <c r="C828" s="242"/>
      <c r="D828" s="242"/>
      <c r="E828" s="242"/>
      <c r="F828" s="242"/>
      <c r="G828" s="242"/>
      <c r="H828" s="242"/>
      <c r="I828" s="242"/>
      <c r="J828" s="242"/>
      <c r="K828" s="242"/>
      <c r="L828" s="242"/>
      <c r="M828" s="13"/>
      <c r="N828" s="13"/>
      <c r="O828" s="13"/>
      <c r="P828" s="341"/>
      <c r="Q828" s="13"/>
      <c r="R828" s="242"/>
      <c r="S828" s="242"/>
      <c r="T828" s="242"/>
      <c r="U828" s="242"/>
      <c r="V828" s="242"/>
      <c r="W828" s="242"/>
      <c r="X828" s="242"/>
    </row>
    <row r="829">
      <c r="A829" s="242"/>
      <c r="B829" s="242"/>
      <c r="C829" s="242"/>
      <c r="D829" s="242"/>
      <c r="E829" s="242"/>
      <c r="F829" s="242"/>
      <c r="G829" s="242"/>
      <c r="H829" s="242"/>
      <c r="I829" s="242"/>
      <c r="J829" s="242"/>
      <c r="K829" s="242"/>
      <c r="L829" s="242"/>
      <c r="M829" s="13"/>
      <c r="N829" s="13"/>
      <c r="O829" s="13"/>
      <c r="P829" s="341"/>
      <c r="Q829" s="13"/>
      <c r="R829" s="242"/>
      <c r="S829" s="242"/>
      <c r="T829" s="242"/>
      <c r="U829" s="242"/>
      <c r="V829" s="242"/>
      <c r="W829" s="242"/>
      <c r="X829" s="242"/>
    </row>
    <row r="830">
      <c r="A830" s="242"/>
      <c r="B830" s="242"/>
      <c r="C830" s="242"/>
      <c r="D830" s="242"/>
      <c r="E830" s="242"/>
      <c r="F830" s="242"/>
      <c r="G830" s="242"/>
      <c r="H830" s="242"/>
      <c r="I830" s="242"/>
      <c r="J830" s="242"/>
      <c r="K830" s="242"/>
      <c r="L830" s="242"/>
      <c r="M830" s="13"/>
      <c r="N830" s="13"/>
      <c r="O830" s="13"/>
      <c r="P830" s="341"/>
      <c r="Q830" s="13"/>
      <c r="R830" s="242"/>
      <c r="S830" s="242"/>
      <c r="T830" s="242"/>
      <c r="U830" s="242"/>
      <c r="V830" s="242"/>
      <c r="W830" s="242"/>
      <c r="X830" s="242"/>
    </row>
    <row r="831">
      <c r="A831" s="242"/>
      <c r="B831" s="242"/>
      <c r="C831" s="242"/>
      <c r="D831" s="242"/>
      <c r="E831" s="242"/>
      <c r="F831" s="242"/>
      <c r="G831" s="242"/>
      <c r="H831" s="242"/>
      <c r="I831" s="242"/>
      <c r="J831" s="242"/>
      <c r="K831" s="242"/>
      <c r="L831" s="242"/>
      <c r="M831" s="13"/>
      <c r="N831" s="13"/>
      <c r="O831" s="13"/>
      <c r="P831" s="341"/>
      <c r="Q831" s="13"/>
      <c r="R831" s="242"/>
      <c r="S831" s="242"/>
      <c r="T831" s="242"/>
      <c r="U831" s="242"/>
      <c r="V831" s="242"/>
      <c r="W831" s="242"/>
      <c r="X831" s="242"/>
    </row>
    <row r="832">
      <c r="A832" s="242"/>
      <c r="B832" s="242"/>
      <c r="C832" s="242"/>
      <c r="D832" s="242"/>
      <c r="E832" s="242"/>
      <c r="F832" s="242"/>
      <c r="G832" s="242"/>
      <c r="H832" s="242"/>
      <c r="I832" s="242"/>
      <c r="J832" s="242"/>
      <c r="K832" s="242"/>
      <c r="L832" s="242"/>
      <c r="M832" s="13"/>
      <c r="N832" s="13"/>
      <c r="O832" s="13"/>
      <c r="P832" s="341"/>
      <c r="Q832" s="13"/>
      <c r="R832" s="242"/>
      <c r="S832" s="242"/>
      <c r="T832" s="242"/>
      <c r="U832" s="242"/>
      <c r="V832" s="242"/>
      <c r="W832" s="242"/>
      <c r="X832" s="242"/>
    </row>
    <row r="833">
      <c r="A833" s="242"/>
      <c r="B833" s="242"/>
      <c r="C833" s="242"/>
      <c r="D833" s="242"/>
      <c r="E833" s="242"/>
      <c r="F833" s="242"/>
      <c r="G833" s="242"/>
      <c r="H833" s="242"/>
      <c r="I833" s="242"/>
      <c r="J833" s="242"/>
      <c r="K833" s="242"/>
      <c r="L833" s="242"/>
      <c r="M833" s="13"/>
      <c r="N833" s="13"/>
      <c r="O833" s="13"/>
      <c r="P833" s="341"/>
      <c r="Q833" s="13"/>
      <c r="R833" s="242"/>
      <c r="S833" s="242"/>
      <c r="T833" s="242"/>
      <c r="U833" s="242"/>
      <c r="V833" s="242"/>
      <c r="W833" s="242"/>
      <c r="X833" s="242"/>
    </row>
    <row r="834">
      <c r="A834" s="242"/>
      <c r="B834" s="242"/>
      <c r="C834" s="242"/>
      <c r="D834" s="242"/>
      <c r="E834" s="242"/>
      <c r="F834" s="242"/>
      <c r="G834" s="242"/>
      <c r="H834" s="242"/>
      <c r="I834" s="242"/>
      <c r="J834" s="242"/>
      <c r="K834" s="242"/>
      <c r="L834" s="242"/>
      <c r="M834" s="13"/>
      <c r="N834" s="13"/>
      <c r="O834" s="13"/>
      <c r="P834" s="341"/>
      <c r="Q834" s="13"/>
      <c r="R834" s="242"/>
      <c r="S834" s="242"/>
      <c r="T834" s="242"/>
      <c r="U834" s="242"/>
      <c r="V834" s="242"/>
      <c r="W834" s="242"/>
      <c r="X834" s="242"/>
    </row>
    <row r="835">
      <c r="A835" s="242"/>
      <c r="B835" s="242"/>
      <c r="C835" s="242"/>
      <c r="D835" s="242"/>
      <c r="E835" s="242"/>
      <c r="F835" s="242"/>
      <c r="G835" s="242"/>
      <c r="H835" s="242"/>
      <c r="I835" s="242"/>
      <c r="J835" s="242"/>
      <c r="K835" s="242"/>
      <c r="L835" s="242"/>
      <c r="M835" s="13"/>
      <c r="N835" s="13"/>
      <c r="O835" s="13"/>
      <c r="P835" s="341"/>
      <c r="Q835" s="13"/>
      <c r="R835" s="242"/>
      <c r="S835" s="242"/>
      <c r="T835" s="242"/>
      <c r="U835" s="242"/>
      <c r="V835" s="242"/>
      <c r="W835" s="242"/>
      <c r="X835" s="242"/>
    </row>
    <row r="836">
      <c r="A836" s="242"/>
      <c r="B836" s="242"/>
      <c r="C836" s="242"/>
      <c r="D836" s="242"/>
      <c r="E836" s="242"/>
      <c r="F836" s="242"/>
      <c r="G836" s="242"/>
      <c r="H836" s="242"/>
      <c r="I836" s="242"/>
      <c r="J836" s="242"/>
      <c r="K836" s="242"/>
      <c r="L836" s="242"/>
      <c r="M836" s="13"/>
      <c r="N836" s="13"/>
      <c r="O836" s="13"/>
      <c r="P836" s="341"/>
      <c r="Q836" s="13"/>
      <c r="R836" s="242"/>
      <c r="S836" s="242"/>
      <c r="T836" s="242"/>
      <c r="U836" s="242"/>
      <c r="V836" s="242"/>
      <c r="W836" s="242"/>
      <c r="X836" s="242"/>
    </row>
    <row r="837">
      <c r="A837" s="242"/>
      <c r="B837" s="242"/>
      <c r="C837" s="242"/>
      <c r="D837" s="242"/>
      <c r="E837" s="242"/>
      <c r="F837" s="242"/>
      <c r="G837" s="242"/>
      <c r="H837" s="242"/>
      <c r="I837" s="242"/>
      <c r="J837" s="242"/>
      <c r="K837" s="242"/>
      <c r="L837" s="242"/>
      <c r="M837" s="13"/>
      <c r="N837" s="13"/>
      <c r="O837" s="13"/>
      <c r="P837" s="341"/>
      <c r="Q837" s="13"/>
      <c r="R837" s="242"/>
      <c r="S837" s="242"/>
      <c r="T837" s="242"/>
      <c r="U837" s="242"/>
      <c r="V837" s="242"/>
      <c r="W837" s="242"/>
      <c r="X837" s="242"/>
    </row>
    <row r="838">
      <c r="A838" s="242"/>
      <c r="B838" s="242"/>
      <c r="C838" s="242"/>
      <c r="D838" s="242"/>
      <c r="E838" s="242"/>
      <c r="F838" s="242"/>
      <c r="G838" s="242"/>
      <c r="H838" s="242"/>
      <c r="I838" s="242"/>
      <c r="J838" s="242"/>
      <c r="K838" s="242"/>
      <c r="L838" s="242"/>
      <c r="M838" s="13"/>
      <c r="N838" s="13"/>
      <c r="O838" s="13"/>
      <c r="P838" s="341"/>
      <c r="Q838" s="13"/>
      <c r="R838" s="242"/>
      <c r="S838" s="242"/>
      <c r="T838" s="242"/>
      <c r="U838" s="242"/>
      <c r="V838" s="242"/>
      <c r="W838" s="242"/>
      <c r="X838" s="242"/>
    </row>
    <row r="839">
      <c r="A839" s="242"/>
      <c r="B839" s="242"/>
      <c r="C839" s="242"/>
      <c r="D839" s="242"/>
      <c r="E839" s="242"/>
      <c r="F839" s="242"/>
      <c r="G839" s="242"/>
      <c r="H839" s="242"/>
      <c r="I839" s="242"/>
      <c r="J839" s="242"/>
      <c r="K839" s="242"/>
      <c r="L839" s="242"/>
      <c r="M839" s="13"/>
      <c r="N839" s="13"/>
      <c r="O839" s="13"/>
      <c r="P839" s="341"/>
      <c r="Q839" s="13"/>
      <c r="R839" s="242"/>
      <c r="S839" s="242"/>
      <c r="T839" s="242"/>
      <c r="U839" s="242"/>
      <c r="V839" s="242"/>
      <c r="W839" s="242"/>
      <c r="X839" s="242"/>
    </row>
    <row r="840">
      <c r="A840" s="242"/>
      <c r="B840" s="242"/>
      <c r="C840" s="242"/>
      <c r="D840" s="242"/>
      <c r="E840" s="242"/>
      <c r="F840" s="242"/>
      <c r="G840" s="242"/>
      <c r="H840" s="242"/>
      <c r="I840" s="242"/>
      <c r="J840" s="242"/>
      <c r="K840" s="242"/>
      <c r="L840" s="242"/>
      <c r="M840" s="13"/>
      <c r="N840" s="13"/>
      <c r="O840" s="13"/>
      <c r="P840" s="341"/>
      <c r="Q840" s="13"/>
      <c r="R840" s="242"/>
      <c r="S840" s="242"/>
      <c r="T840" s="242"/>
      <c r="U840" s="242"/>
      <c r="V840" s="242"/>
      <c r="W840" s="242"/>
      <c r="X840" s="242"/>
    </row>
    <row r="841">
      <c r="A841" s="242"/>
      <c r="B841" s="242"/>
      <c r="C841" s="242"/>
      <c r="D841" s="242"/>
      <c r="E841" s="242"/>
      <c r="F841" s="242"/>
      <c r="G841" s="242"/>
      <c r="H841" s="242"/>
      <c r="I841" s="242"/>
      <c r="J841" s="242"/>
      <c r="K841" s="242"/>
      <c r="L841" s="242"/>
      <c r="M841" s="13"/>
      <c r="N841" s="13"/>
      <c r="O841" s="13"/>
      <c r="P841" s="341"/>
      <c r="Q841" s="13"/>
      <c r="R841" s="242"/>
      <c r="S841" s="242"/>
      <c r="T841" s="242"/>
      <c r="U841" s="242"/>
      <c r="V841" s="242"/>
      <c r="W841" s="242"/>
      <c r="X841" s="242"/>
    </row>
    <row r="842">
      <c r="A842" s="242"/>
      <c r="B842" s="242"/>
      <c r="C842" s="242"/>
      <c r="D842" s="242"/>
      <c r="E842" s="242"/>
      <c r="F842" s="242"/>
      <c r="G842" s="242"/>
      <c r="H842" s="242"/>
      <c r="I842" s="242"/>
      <c r="J842" s="242"/>
      <c r="K842" s="242"/>
      <c r="L842" s="242"/>
      <c r="M842" s="13"/>
      <c r="N842" s="13"/>
      <c r="O842" s="13"/>
      <c r="P842" s="341"/>
      <c r="Q842" s="13"/>
      <c r="R842" s="242"/>
      <c r="S842" s="242"/>
      <c r="T842" s="242"/>
      <c r="U842" s="242"/>
      <c r="V842" s="242"/>
      <c r="W842" s="242"/>
      <c r="X842" s="242"/>
    </row>
    <row r="843">
      <c r="A843" s="242"/>
      <c r="B843" s="242"/>
      <c r="C843" s="242"/>
      <c r="D843" s="242"/>
      <c r="E843" s="242"/>
      <c r="F843" s="242"/>
      <c r="G843" s="242"/>
      <c r="H843" s="242"/>
      <c r="I843" s="242"/>
      <c r="J843" s="242"/>
      <c r="K843" s="242"/>
      <c r="L843" s="242"/>
      <c r="M843" s="13"/>
      <c r="N843" s="13"/>
      <c r="O843" s="13"/>
      <c r="P843" s="341"/>
      <c r="Q843" s="13"/>
      <c r="R843" s="242"/>
      <c r="S843" s="242"/>
      <c r="T843" s="242"/>
      <c r="U843" s="242"/>
      <c r="V843" s="242"/>
      <c r="W843" s="242"/>
      <c r="X843" s="242"/>
    </row>
    <row r="844">
      <c r="A844" s="242"/>
      <c r="B844" s="242"/>
      <c r="C844" s="242"/>
      <c r="D844" s="242"/>
      <c r="E844" s="242"/>
      <c r="F844" s="242"/>
      <c r="G844" s="242"/>
      <c r="H844" s="242"/>
      <c r="I844" s="242"/>
      <c r="J844" s="242"/>
      <c r="K844" s="242"/>
      <c r="L844" s="242"/>
      <c r="M844" s="13"/>
      <c r="N844" s="13"/>
      <c r="O844" s="13"/>
      <c r="P844" s="341"/>
      <c r="Q844" s="13"/>
      <c r="R844" s="242"/>
      <c r="S844" s="242"/>
      <c r="T844" s="242"/>
      <c r="U844" s="242"/>
      <c r="V844" s="242"/>
      <c r="W844" s="242"/>
      <c r="X844" s="242"/>
    </row>
    <row r="845">
      <c r="A845" s="242"/>
      <c r="B845" s="242"/>
      <c r="C845" s="242"/>
      <c r="D845" s="242"/>
      <c r="E845" s="242"/>
      <c r="F845" s="242"/>
      <c r="G845" s="242"/>
      <c r="H845" s="242"/>
      <c r="I845" s="242"/>
      <c r="J845" s="242"/>
      <c r="K845" s="242"/>
      <c r="L845" s="242"/>
      <c r="M845" s="13"/>
      <c r="N845" s="13"/>
      <c r="O845" s="13"/>
      <c r="P845" s="341"/>
      <c r="Q845" s="13"/>
      <c r="R845" s="242"/>
      <c r="S845" s="242"/>
      <c r="T845" s="242"/>
      <c r="U845" s="242"/>
      <c r="V845" s="242"/>
      <c r="W845" s="242"/>
      <c r="X845" s="242"/>
    </row>
    <row r="846">
      <c r="A846" s="242"/>
      <c r="B846" s="242"/>
      <c r="C846" s="242"/>
      <c r="D846" s="242"/>
      <c r="E846" s="242"/>
      <c r="F846" s="242"/>
      <c r="G846" s="242"/>
      <c r="H846" s="242"/>
      <c r="I846" s="242"/>
      <c r="J846" s="242"/>
      <c r="K846" s="242"/>
      <c r="L846" s="242"/>
      <c r="M846" s="13"/>
      <c r="N846" s="13"/>
      <c r="O846" s="13"/>
      <c r="P846" s="341"/>
      <c r="Q846" s="13"/>
      <c r="R846" s="242"/>
      <c r="S846" s="242"/>
      <c r="T846" s="242"/>
      <c r="U846" s="242"/>
      <c r="V846" s="242"/>
      <c r="W846" s="242"/>
      <c r="X846" s="242"/>
    </row>
    <row r="847">
      <c r="A847" s="242"/>
      <c r="B847" s="242"/>
      <c r="C847" s="242"/>
      <c r="D847" s="242"/>
      <c r="E847" s="242"/>
      <c r="F847" s="242"/>
      <c r="G847" s="242"/>
      <c r="H847" s="242"/>
      <c r="I847" s="242"/>
      <c r="J847" s="242"/>
      <c r="K847" s="242"/>
      <c r="L847" s="242"/>
      <c r="M847" s="13"/>
      <c r="N847" s="13"/>
      <c r="O847" s="13"/>
      <c r="P847" s="341"/>
      <c r="Q847" s="13"/>
      <c r="R847" s="242"/>
      <c r="S847" s="242"/>
      <c r="T847" s="242"/>
      <c r="U847" s="242"/>
      <c r="V847" s="242"/>
      <c r="W847" s="242"/>
      <c r="X847" s="242"/>
    </row>
    <row r="848">
      <c r="A848" s="242"/>
      <c r="B848" s="242"/>
      <c r="C848" s="242"/>
      <c r="D848" s="242"/>
      <c r="E848" s="242"/>
      <c r="F848" s="242"/>
      <c r="G848" s="242"/>
      <c r="H848" s="242"/>
      <c r="I848" s="242"/>
      <c r="J848" s="242"/>
      <c r="K848" s="242"/>
      <c r="L848" s="242"/>
      <c r="M848" s="13"/>
      <c r="N848" s="13"/>
      <c r="O848" s="13"/>
      <c r="P848" s="341"/>
      <c r="Q848" s="13"/>
      <c r="R848" s="242"/>
      <c r="S848" s="242"/>
      <c r="T848" s="242"/>
      <c r="U848" s="242"/>
      <c r="V848" s="242"/>
      <c r="W848" s="242"/>
      <c r="X848" s="242"/>
    </row>
    <row r="849">
      <c r="A849" s="242"/>
      <c r="B849" s="242"/>
      <c r="C849" s="242"/>
      <c r="D849" s="242"/>
      <c r="E849" s="242"/>
      <c r="F849" s="242"/>
      <c r="G849" s="242"/>
      <c r="H849" s="242"/>
      <c r="I849" s="242"/>
      <c r="J849" s="242"/>
      <c r="K849" s="242"/>
      <c r="L849" s="242"/>
      <c r="M849" s="13"/>
      <c r="N849" s="13"/>
      <c r="O849" s="13"/>
      <c r="P849" s="341"/>
      <c r="Q849" s="13"/>
      <c r="R849" s="242"/>
      <c r="S849" s="242"/>
      <c r="T849" s="242"/>
      <c r="U849" s="242"/>
      <c r="V849" s="242"/>
      <c r="W849" s="242"/>
      <c r="X849" s="242"/>
    </row>
    <row r="850">
      <c r="A850" s="242"/>
      <c r="B850" s="242"/>
      <c r="C850" s="242"/>
      <c r="D850" s="242"/>
      <c r="E850" s="242"/>
      <c r="F850" s="242"/>
      <c r="G850" s="242"/>
      <c r="H850" s="242"/>
      <c r="I850" s="242"/>
      <c r="J850" s="242"/>
      <c r="K850" s="242"/>
      <c r="L850" s="242"/>
      <c r="M850" s="13"/>
      <c r="N850" s="13"/>
      <c r="O850" s="13"/>
      <c r="P850" s="341"/>
      <c r="Q850" s="13"/>
      <c r="R850" s="242"/>
      <c r="S850" s="242"/>
      <c r="T850" s="242"/>
      <c r="U850" s="242"/>
      <c r="V850" s="242"/>
      <c r="W850" s="242"/>
      <c r="X850" s="242"/>
    </row>
    <row r="851">
      <c r="A851" s="242"/>
      <c r="B851" s="242"/>
      <c r="C851" s="242"/>
      <c r="D851" s="242"/>
      <c r="E851" s="242"/>
      <c r="F851" s="242"/>
      <c r="G851" s="242"/>
      <c r="H851" s="242"/>
      <c r="I851" s="242"/>
      <c r="J851" s="242"/>
      <c r="K851" s="242"/>
      <c r="L851" s="242"/>
      <c r="M851" s="13"/>
      <c r="N851" s="13"/>
      <c r="O851" s="13"/>
      <c r="P851" s="341"/>
      <c r="Q851" s="13"/>
      <c r="R851" s="242"/>
      <c r="S851" s="242"/>
      <c r="T851" s="242"/>
      <c r="U851" s="242"/>
      <c r="V851" s="242"/>
      <c r="W851" s="242"/>
      <c r="X851" s="242"/>
    </row>
    <row r="852">
      <c r="A852" s="242"/>
      <c r="B852" s="242"/>
      <c r="C852" s="242"/>
      <c r="D852" s="242"/>
      <c r="E852" s="242"/>
      <c r="F852" s="242"/>
      <c r="G852" s="242"/>
      <c r="H852" s="242"/>
      <c r="I852" s="242"/>
      <c r="J852" s="242"/>
      <c r="K852" s="242"/>
      <c r="L852" s="242"/>
      <c r="M852" s="13"/>
      <c r="N852" s="13"/>
      <c r="O852" s="13"/>
      <c r="P852" s="341"/>
      <c r="Q852" s="13"/>
      <c r="R852" s="242"/>
      <c r="S852" s="242"/>
      <c r="T852" s="242"/>
      <c r="U852" s="242"/>
      <c r="V852" s="242"/>
      <c r="W852" s="242"/>
      <c r="X852" s="242"/>
    </row>
    <row r="853">
      <c r="A853" s="242"/>
      <c r="B853" s="242"/>
      <c r="C853" s="242"/>
      <c r="D853" s="242"/>
      <c r="E853" s="242"/>
      <c r="F853" s="242"/>
      <c r="G853" s="242"/>
      <c r="H853" s="242"/>
      <c r="I853" s="242"/>
      <c r="J853" s="242"/>
      <c r="K853" s="242"/>
      <c r="L853" s="242"/>
      <c r="M853" s="13"/>
      <c r="N853" s="13"/>
      <c r="O853" s="13"/>
      <c r="P853" s="341"/>
      <c r="Q853" s="13"/>
      <c r="R853" s="242"/>
      <c r="S853" s="242"/>
      <c r="T853" s="242"/>
      <c r="U853" s="242"/>
      <c r="V853" s="242"/>
      <c r="W853" s="242"/>
      <c r="X853" s="242"/>
    </row>
    <row r="854">
      <c r="A854" s="242"/>
      <c r="B854" s="242"/>
      <c r="C854" s="242"/>
      <c r="D854" s="242"/>
      <c r="E854" s="242"/>
      <c r="F854" s="242"/>
      <c r="G854" s="242"/>
      <c r="H854" s="242"/>
      <c r="I854" s="242"/>
      <c r="J854" s="242"/>
      <c r="K854" s="242"/>
      <c r="L854" s="242"/>
      <c r="M854" s="13"/>
      <c r="N854" s="13"/>
      <c r="O854" s="13"/>
      <c r="P854" s="341"/>
      <c r="Q854" s="13"/>
      <c r="R854" s="242"/>
      <c r="S854" s="242"/>
      <c r="T854" s="242"/>
      <c r="U854" s="242"/>
      <c r="V854" s="242"/>
      <c r="W854" s="242"/>
      <c r="X854" s="242"/>
    </row>
    <row r="855">
      <c r="A855" s="242"/>
      <c r="B855" s="242"/>
      <c r="C855" s="242"/>
      <c r="D855" s="242"/>
      <c r="E855" s="242"/>
      <c r="F855" s="242"/>
      <c r="G855" s="242"/>
      <c r="H855" s="242"/>
      <c r="I855" s="242"/>
      <c r="J855" s="242"/>
      <c r="K855" s="242"/>
      <c r="L855" s="242"/>
      <c r="M855" s="13"/>
      <c r="N855" s="13"/>
      <c r="O855" s="13"/>
      <c r="P855" s="341"/>
      <c r="Q855" s="13"/>
      <c r="R855" s="242"/>
      <c r="S855" s="242"/>
      <c r="T855" s="242"/>
      <c r="U855" s="242"/>
      <c r="V855" s="242"/>
      <c r="W855" s="242"/>
      <c r="X855" s="242"/>
    </row>
    <row r="856">
      <c r="A856" s="242"/>
      <c r="B856" s="242"/>
      <c r="C856" s="242"/>
      <c r="D856" s="242"/>
      <c r="E856" s="242"/>
      <c r="F856" s="242"/>
      <c r="G856" s="242"/>
      <c r="H856" s="242"/>
      <c r="I856" s="242"/>
      <c r="J856" s="242"/>
      <c r="K856" s="242"/>
      <c r="L856" s="242"/>
      <c r="M856" s="13"/>
      <c r="N856" s="13"/>
      <c r="O856" s="13"/>
      <c r="P856" s="341"/>
      <c r="Q856" s="13"/>
      <c r="R856" s="242"/>
      <c r="S856" s="242"/>
      <c r="T856" s="242"/>
      <c r="U856" s="242"/>
      <c r="V856" s="242"/>
      <c r="W856" s="242"/>
      <c r="X856" s="242"/>
    </row>
    <row r="857">
      <c r="A857" s="242"/>
      <c r="B857" s="242"/>
      <c r="C857" s="242"/>
      <c r="D857" s="242"/>
      <c r="E857" s="242"/>
      <c r="F857" s="242"/>
      <c r="G857" s="242"/>
      <c r="H857" s="242"/>
      <c r="I857" s="242"/>
      <c r="J857" s="242"/>
      <c r="K857" s="242"/>
      <c r="L857" s="242"/>
      <c r="M857" s="13"/>
      <c r="N857" s="13"/>
      <c r="O857" s="13"/>
      <c r="P857" s="341"/>
      <c r="Q857" s="13"/>
      <c r="R857" s="242"/>
      <c r="S857" s="242"/>
      <c r="T857" s="242"/>
      <c r="U857" s="242"/>
      <c r="V857" s="242"/>
      <c r="W857" s="242"/>
      <c r="X857" s="242"/>
    </row>
    <row r="858">
      <c r="A858" s="242"/>
      <c r="B858" s="242"/>
      <c r="C858" s="242"/>
      <c r="D858" s="242"/>
      <c r="E858" s="242"/>
      <c r="F858" s="242"/>
      <c r="G858" s="242"/>
      <c r="H858" s="242"/>
      <c r="I858" s="242"/>
      <c r="J858" s="242"/>
      <c r="K858" s="242"/>
      <c r="L858" s="242"/>
      <c r="M858" s="13"/>
      <c r="N858" s="13"/>
      <c r="O858" s="13"/>
      <c r="P858" s="341"/>
      <c r="Q858" s="13"/>
      <c r="R858" s="242"/>
      <c r="S858" s="242"/>
      <c r="T858" s="242"/>
      <c r="U858" s="242"/>
      <c r="V858" s="242"/>
      <c r="W858" s="242"/>
      <c r="X858" s="242"/>
    </row>
    <row r="859">
      <c r="A859" s="242"/>
      <c r="B859" s="242"/>
      <c r="C859" s="242"/>
      <c r="D859" s="242"/>
      <c r="E859" s="242"/>
      <c r="F859" s="242"/>
      <c r="G859" s="242"/>
      <c r="H859" s="242"/>
      <c r="I859" s="242"/>
      <c r="J859" s="242"/>
      <c r="K859" s="242"/>
      <c r="L859" s="242"/>
      <c r="M859" s="13"/>
      <c r="N859" s="13"/>
      <c r="O859" s="13"/>
      <c r="P859" s="341"/>
      <c r="Q859" s="13"/>
      <c r="R859" s="242"/>
      <c r="S859" s="242"/>
      <c r="T859" s="242"/>
      <c r="U859" s="242"/>
      <c r="V859" s="242"/>
      <c r="W859" s="242"/>
      <c r="X859" s="242"/>
    </row>
    <row r="860">
      <c r="A860" s="242"/>
      <c r="B860" s="242"/>
      <c r="C860" s="242"/>
      <c r="D860" s="242"/>
      <c r="E860" s="242"/>
      <c r="F860" s="242"/>
      <c r="G860" s="242"/>
      <c r="H860" s="242"/>
      <c r="I860" s="242"/>
      <c r="J860" s="242"/>
      <c r="K860" s="242"/>
      <c r="L860" s="242"/>
      <c r="M860" s="13"/>
      <c r="N860" s="13"/>
      <c r="O860" s="13"/>
      <c r="P860" s="341"/>
      <c r="Q860" s="13"/>
      <c r="R860" s="242"/>
      <c r="S860" s="242"/>
      <c r="T860" s="242"/>
      <c r="U860" s="242"/>
      <c r="V860" s="242"/>
      <c r="W860" s="242"/>
      <c r="X860" s="242"/>
    </row>
    <row r="861">
      <c r="A861" s="242"/>
      <c r="B861" s="242"/>
      <c r="C861" s="242"/>
      <c r="D861" s="242"/>
      <c r="E861" s="242"/>
      <c r="F861" s="242"/>
      <c r="G861" s="242"/>
      <c r="H861" s="242"/>
      <c r="I861" s="242"/>
      <c r="J861" s="242"/>
      <c r="K861" s="242"/>
      <c r="L861" s="242"/>
      <c r="M861" s="13"/>
      <c r="N861" s="13"/>
      <c r="O861" s="13"/>
      <c r="P861" s="341"/>
      <c r="Q861" s="13"/>
      <c r="R861" s="242"/>
      <c r="S861" s="242"/>
      <c r="T861" s="242"/>
      <c r="U861" s="242"/>
      <c r="V861" s="242"/>
      <c r="W861" s="242"/>
      <c r="X861" s="242"/>
    </row>
    <row r="862">
      <c r="A862" s="242"/>
      <c r="B862" s="242"/>
      <c r="C862" s="242"/>
      <c r="D862" s="242"/>
      <c r="E862" s="242"/>
      <c r="F862" s="242"/>
      <c r="G862" s="242"/>
      <c r="H862" s="242"/>
      <c r="I862" s="242"/>
      <c r="J862" s="242"/>
      <c r="K862" s="242"/>
      <c r="L862" s="242"/>
      <c r="M862" s="13"/>
      <c r="N862" s="13"/>
      <c r="O862" s="13"/>
      <c r="P862" s="341"/>
      <c r="Q862" s="13"/>
      <c r="R862" s="242"/>
      <c r="S862" s="242"/>
      <c r="T862" s="242"/>
      <c r="U862" s="242"/>
      <c r="V862" s="242"/>
      <c r="W862" s="242"/>
      <c r="X862" s="242"/>
    </row>
    <row r="863">
      <c r="A863" s="242"/>
      <c r="B863" s="242"/>
      <c r="C863" s="242"/>
      <c r="D863" s="242"/>
      <c r="E863" s="242"/>
      <c r="F863" s="242"/>
      <c r="G863" s="242"/>
      <c r="H863" s="242"/>
      <c r="I863" s="242"/>
      <c r="J863" s="242"/>
      <c r="K863" s="242"/>
      <c r="L863" s="242"/>
      <c r="M863" s="13"/>
      <c r="N863" s="13"/>
      <c r="O863" s="13"/>
      <c r="P863" s="341"/>
      <c r="Q863" s="13"/>
      <c r="R863" s="242"/>
      <c r="S863" s="242"/>
      <c r="T863" s="242"/>
      <c r="U863" s="242"/>
      <c r="V863" s="242"/>
      <c r="W863" s="242"/>
      <c r="X863" s="242"/>
    </row>
    <row r="864">
      <c r="A864" s="242"/>
      <c r="B864" s="242"/>
      <c r="C864" s="242"/>
      <c r="D864" s="242"/>
      <c r="E864" s="242"/>
      <c r="F864" s="242"/>
      <c r="G864" s="242"/>
      <c r="H864" s="242"/>
      <c r="I864" s="242"/>
      <c r="J864" s="242"/>
      <c r="K864" s="242"/>
      <c r="L864" s="242"/>
      <c r="M864" s="13"/>
      <c r="N864" s="13"/>
      <c r="O864" s="13"/>
      <c r="P864" s="341"/>
      <c r="Q864" s="13"/>
      <c r="R864" s="242"/>
      <c r="S864" s="242"/>
      <c r="T864" s="242"/>
      <c r="U864" s="242"/>
      <c r="V864" s="242"/>
      <c r="W864" s="242"/>
      <c r="X864" s="242"/>
    </row>
    <row r="865">
      <c r="A865" s="242"/>
      <c r="B865" s="242"/>
      <c r="C865" s="242"/>
      <c r="D865" s="242"/>
      <c r="E865" s="242"/>
      <c r="F865" s="242"/>
      <c r="G865" s="242"/>
      <c r="H865" s="242"/>
      <c r="I865" s="242"/>
      <c r="J865" s="242"/>
      <c r="K865" s="242"/>
      <c r="L865" s="242"/>
      <c r="M865" s="13"/>
      <c r="N865" s="13"/>
      <c r="O865" s="13"/>
      <c r="P865" s="341"/>
      <c r="Q865" s="13"/>
      <c r="R865" s="242"/>
      <c r="S865" s="242"/>
      <c r="T865" s="242"/>
      <c r="U865" s="242"/>
      <c r="V865" s="242"/>
      <c r="W865" s="242"/>
      <c r="X865" s="242"/>
    </row>
    <row r="866">
      <c r="A866" s="242"/>
      <c r="B866" s="242"/>
      <c r="C866" s="242"/>
      <c r="D866" s="242"/>
      <c r="E866" s="242"/>
      <c r="F866" s="242"/>
      <c r="G866" s="242"/>
      <c r="H866" s="242"/>
      <c r="I866" s="242"/>
      <c r="J866" s="242"/>
      <c r="K866" s="242"/>
      <c r="L866" s="242"/>
      <c r="M866" s="13"/>
      <c r="N866" s="13"/>
      <c r="O866" s="13"/>
      <c r="P866" s="341"/>
      <c r="Q866" s="13"/>
      <c r="R866" s="242"/>
      <c r="S866" s="242"/>
      <c r="T866" s="242"/>
      <c r="U866" s="242"/>
      <c r="V866" s="242"/>
      <c r="W866" s="242"/>
      <c r="X866" s="242"/>
    </row>
    <row r="867">
      <c r="A867" s="242"/>
      <c r="B867" s="242"/>
      <c r="C867" s="242"/>
      <c r="D867" s="242"/>
      <c r="E867" s="242"/>
      <c r="F867" s="242"/>
      <c r="G867" s="242"/>
      <c r="H867" s="242"/>
      <c r="I867" s="242"/>
      <c r="J867" s="242"/>
      <c r="K867" s="242"/>
      <c r="L867" s="242"/>
      <c r="M867" s="13"/>
      <c r="N867" s="13"/>
      <c r="O867" s="13"/>
      <c r="P867" s="341"/>
      <c r="Q867" s="13"/>
      <c r="R867" s="242"/>
      <c r="S867" s="242"/>
      <c r="T867" s="242"/>
      <c r="U867" s="242"/>
      <c r="V867" s="242"/>
      <c r="W867" s="242"/>
      <c r="X867" s="242"/>
    </row>
    <row r="868">
      <c r="A868" s="242"/>
      <c r="B868" s="242"/>
      <c r="C868" s="242"/>
      <c r="D868" s="242"/>
      <c r="E868" s="242"/>
      <c r="F868" s="242"/>
      <c r="G868" s="242"/>
      <c r="H868" s="242"/>
      <c r="I868" s="242"/>
      <c r="J868" s="242"/>
      <c r="K868" s="242"/>
      <c r="L868" s="242"/>
      <c r="M868" s="13"/>
      <c r="N868" s="13"/>
      <c r="O868" s="13"/>
      <c r="P868" s="341"/>
      <c r="Q868" s="13"/>
      <c r="R868" s="242"/>
      <c r="S868" s="242"/>
      <c r="T868" s="242"/>
      <c r="U868" s="242"/>
      <c r="V868" s="242"/>
      <c r="W868" s="242"/>
      <c r="X868" s="242"/>
    </row>
    <row r="869">
      <c r="A869" s="242"/>
      <c r="B869" s="242"/>
      <c r="C869" s="242"/>
      <c r="D869" s="242"/>
      <c r="E869" s="242"/>
      <c r="F869" s="242"/>
      <c r="G869" s="242"/>
      <c r="H869" s="242"/>
      <c r="I869" s="242"/>
      <c r="J869" s="242"/>
      <c r="K869" s="242"/>
      <c r="L869" s="242"/>
      <c r="M869" s="13"/>
      <c r="N869" s="13"/>
      <c r="O869" s="13"/>
      <c r="P869" s="341"/>
      <c r="Q869" s="13"/>
      <c r="R869" s="242"/>
      <c r="S869" s="242"/>
      <c r="T869" s="242"/>
      <c r="U869" s="242"/>
      <c r="V869" s="242"/>
      <c r="W869" s="242"/>
      <c r="X869" s="242"/>
    </row>
    <row r="870">
      <c r="A870" s="242"/>
      <c r="B870" s="242"/>
      <c r="C870" s="242"/>
      <c r="D870" s="242"/>
      <c r="E870" s="242"/>
      <c r="F870" s="242"/>
      <c r="G870" s="242"/>
      <c r="H870" s="242"/>
      <c r="I870" s="242"/>
      <c r="J870" s="242"/>
      <c r="K870" s="242"/>
      <c r="L870" s="242"/>
      <c r="M870" s="13"/>
      <c r="N870" s="13"/>
      <c r="O870" s="13"/>
      <c r="P870" s="341"/>
      <c r="Q870" s="13"/>
      <c r="R870" s="242"/>
      <c r="S870" s="242"/>
      <c r="T870" s="242"/>
      <c r="U870" s="242"/>
      <c r="V870" s="242"/>
      <c r="W870" s="242"/>
      <c r="X870" s="242"/>
    </row>
    <row r="871">
      <c r="A871" s="242"/>
      <c r="B871" s="242"/>
      <c r="C871" s="242"/>
      <c r="D871" s="242"/>
      <c r="E871" s="242"/>
      <c r="F871" s="242"/>
      <c r="G871" s="242"/>
      <c r="H871" s="242"/>
      <c r="I871" s="242"/>
      <c r="J871" s="242"/>
      <c r="K871" s="242"/>
      <c r="L871" s="242"/>
      <c r="M871" s="13"/>
      <c r="N871" s="13"/>
      <c r="O871" s="13"/>
      <c r="P871" s="341"/>
      <c r="Q871" s="13"/>
      <c r="R871" s="242"/>
      <c r="S871" s="242"/>
      <c r="T871" s="242"/>
      <c r="U871" s="242"/>
      <c r="V871" s="242"/>
      <c r="W871" s="242"/>
      <c r="X871" s="242"/>
    </row>
    <row r="872">
      <c r="A872" s="242"/>
      <c r="B872" s="242"/>
      <c r="C872" s="242"/>
      <c r="D872" s="242"/>
      <c r="E872" s="242"/>
      <c r="F872" s="242"/>
      <c r="G872" s="242"/>
      <c r="H872" s="242"/>
      <c r="I872" s="242"/>
      <c r="J872" s="242"/>
      <c r="K872" s="242"/>
      <c r="L872" s="242"/>
      <c r="M872" s="13"/>
      <c r="N872" s="13"/>
      <c r="O872" s="13"/>
      <c r="P872" s="341"/>
      <c r="Q872" s="13"/>
      <c r="R872" s="242"/>
      <c r="S872" s="242"/>
      <c r="T872" s="242"/>
      <c r="U872" s="242"/>
      <c r="V872" s="242"/>
      <c r="W872" s="242"/>
      <c r="X872" s="242"/>
    </row>
    <row r="873">
      <c r="A873" s="242"/>
      <c r="B873" s="242"/>
      <c r="C873" s="242"/>
      <c r="D873" s="242"/>
      <c r="E873" s="242"/>
      <c r="F873" s="242"/>
      <c r="G873" s="242"/>
      <c r="H873" s="242"/>
      <c r="I873" s="242"/>
      <c r="J873" s="242"/>
      <c r="K873" s="242"/>
      <c r="L873" s="242"/>
      <c r="M873" s="13"/>
      <c r="N873" s="13"/>
      <c r="O873" s="13"/>
      <c r="P873" s="341"/>
      <c r="Q873" s="13"/>
      <c r="R873" s="242"/>
      <c r="S873" s="242"/>
      <c r="T873" s="242"/>
      <c r="U873" s="242"/>
      <c r="V873" s="242"/>
      <c r="W873" s="242"/>
      <c r="X873" s="242"/>
    </row>
    <row r="874">
      <c r="A874" s="242"/>
      <c r="B874" s="242"/>
      <c r="C874" s="242"/>
      <c r="D874" s="242"/>
      <c r="E874" s="242"/>
      <c r="F874" s="242"/>
      <c r="G874" s="242"/>
      <c r="H874" s="242"/>
      <c r="I874" s="242"/>
      <c r="J874" s="242"/>
      <c r="K874" s="242"/>
      <c r="L874" s="242"/>
      <c r="M874" s="13"/>
      <c r="N874" s="13"/>
      <c r="O874" s="13"/>
      <c r="P874" s="341"/>
      <c r="Q874" s="13"/>
      <c r="R874" s="242"/>
      <c r="S874" s="242"/>
      <c r="T874" s="242"/>
      <c r="U874" s="242"/>
      <c r="V874" s="242"/>
      <c r="W874" s="242"/>
      <c r="X874" s="242"/>
    </row>
    <row r="875">
      <c r="A875" s="242"/>
      <c r="B875" s="242"/>
      <c r="C875" s="242"/>
      <c r="D875" s="242"/>
      <c r="E875" s="242"/>
      <c r="F875" s="242"/>
      <c r="G875" s="242"/>
      <c r="H875" s="242"/>
      <c r="I875" s="242"/>
      <c r="J875" s="242"/>
      <c r="K875" s="242"/>
      <c r="L875" s="242"/>
      <c r="M875" s="13"/>
      <c r="N875" s="13"/>
      <c r="O875" s="13"/>
      <c r="P875" s="341"/>
      <c r="Q875" s="13"/>
      <c r="R875" s="242"/>
      <c r="S875" s="242"/>
      <c r="T875" s="242"/>
      <c r="U875" s="242"/>
      <c r="V875" s="242"/>
      <c r="W875" s="242"/>
      <c r="X875" s="242"/>
    </row>
    <row r="876">
      <c r="A876" s="242"/>
      <c r="B876" s="242"/>
      <c r="C876" s="242"/>
      <c r="D876" s="242"/>
      <c r="E876" s="242"/>
      <c r="F876" s="242"/>
      <c r="G876" s="242"/>
      <c r="H876" s="242"/>
      <c r="I876" s="242"/>
      <c r="J876" s="242"/>
      <c r="K876" s="242"/>
      <c r="L876" s="242"/>
      <c r="M876" s="13"/>
      <c r="N876" s="13"/>
      <c r="O876" s="13"/>
      <c r="P876" s="341"/>
      <c r="Q876" s="13"/>
      <c r="R876" s="242"/>
      <c r="S876" s="242"/>
      <c r="T876" s="242"/>
      <c r="U876" s="242"/>
      <c r="V876" s="242"/>
      <c r="W876" s="242"/>
      <c r="X876" s="242"/>
    </row>
    <row r="877">
      <c r="A877" s="242"/>
      <c r="B877" s="242"/>
      <c r="C877" s="242"/>
      <c r="D877" s="242"/>
      <c r="E877" s="242"/>
      <c r="F877" s="242"/>
      <c r="G877" s="242"/>
      <c r="H877" s="242"/>
      <c r="I877" s="242"/>
      <c r="J877" s="242"/>
      <c r="K877" s="242"/>
      <c r="L877" s="242"/>
      <c r="M877" s="13"/>
      <c r="N877" s="13"/>
      <c r="O877" s="13"/>
      <c r="P877" s="341"/>
      <c r="Q877" s="13"/>
      <c r="R877" s="242"/>
      <c r="S877" s="242"/>
      <c r="T877" s="242"/>
      <c r="U877" s="242"/>
      <c r="V877" s="242"/>
      <c r="W877" s="242"/>
      <c r="X877" s="242"/>
    </row>
    <row r="878">
      <c r="A878" s="242"/>
      <c r="B878" s="242"/>
      <c r="C878" s="242"/>
      <c r="D878" s="242"/>
      <c r="E878" s="242"/>
      <c r="F878" s="242"/>
      <c r="G878" s="242"/>
      <c r="H878" s="242"/>
      <c r="I878" s="242"/>
      <c r="J878" s="242"/>
      <c r="K878" s="242"/>
      <c r="L878" s="242"/>
      <c r="M878" s="13"/>
      <c r="N878" s="13"/>
      <c r="O878" s="13"/>
      <c r="P878" s="341"/>
      <c r="Q878" s="13"/>
      <c r="R878" s="242"/>
      <c r="S878" s="242"/>
      <c r="T878" s="242"/>
      <c r="U878" s="242"/>
      <c r="V878" s="242"/>
      <c r="W878" s="242"/>
      <c r="X878" s="242"/>
    </row>
    <row r="879">
      <c r="A879" s="242"/>
      <c r="B879" s="242"/>
      <c r="C879" s="242"/>
      <c r="D879" s="242"/>
      <c r="E879" s="242"/>
      <c r="F879" s="242"/>
      <c r="G879" s="242"/>
      <c r="H879" s="242"/>
      <c r="I879" s="242"/>
      <c r="J879" s="242"/>
      <c r="K879" s="242"/>
      <c r="L879" s="242"/>
      <c r="M879" s="13"/>
      <c r="N879" s="13"/>
      <c r="O879" s="13"/>
      <c r="P879" s="341"/>
      <c r="Q879" s="13"/>
      <c r="R879" s="242"/>
      <c r="S879" s="242"/>
      <c r="T879" s="242"/>
      <c r="U879" s="242"/>
      <c r="V879" s="242"/>
      <c r="W879" s="242"/>
      <c r="X879" s="242"/>
    </row>
    <row r="880">
      <c r="A880" s="242"/>
      <c r="B880" s="242"/>
      <c r="C880" s="242"/>
      <c r="D880" s="242"/>
      <c r="E880" s="242"/>
      <c r="F880" s="242"/>
      <c r="G880" s="242"/>
      <c r="H880" s="242"/>
      <c r="I880" s="242"/>
      <c r="J880" s="242"/>
      <c r="K880" s="242"/>
      <c r="L880" s="242"/>
      <c r="M880" s="13"/>
      <c r="N880" s="13"/>
      <c r="O880" s="13"/>
      <c r="P880" s="341"/>
      <c r="Q880" s="13"/>
      <c r="R880" s="242"/>
      <c r="S880" s="242"/>
      <c r="T880" s="242"/>
      <c r="U880" s="242"/>
      <c r="V880" s="242"/>
      <c r="W880" s="242"/>
      <c r="X880" s="242"/>
    </row>
    <row r="881">
      <c r="A881" s="242"/>
      <c r="B881" s="242"/>
      <c r="C881" s="242"/>
      <c r="D881" s="242"/>
      <c r="E881" s="242"/>
      <c r="F881" s="242"/>
      <c r="G881" s="242"/>
      <c r="H881" s="242"/>
      <c r="I881" s="242"/>
      <c r="J881" s="242"/>
      <c r="K881" s="242"/>
      <c r="L881" s="242"/>
      <c r="M881" s="13"/>
      <c r="N881" s="13"/>
      <c r="O881" s="13"/>
      <c r="P881" s="341"/>
      <c r="Q881" s="13"/>
      <c r="R881" s="242"/>
      <c r="S881" s="242"/>
      <c r="T881" s="242"/>
      <c r="U881" s="242"/>
      <c r="V881" s="242"/>
      <c r="W881" s="242"/>
      <c r="X881" s="242"/>
    </row>
    <row r="882">
      <c r="A882" s="242"/>
      <c r="B882" s="242"/>
      <c r="C882" s="242"/>
      <c r="D882" s="242"/>
      <c r="E882" s="242"/>
      <c r="F882" s="242"/>
      <c r="G882" s="242"/>
      <c r="H882" s="242"/>
      <c r="I882" s="242"/>
      <c r="J882" s="242"/>
      <c r="K882" s="242"/>
      <c r="L882" s="242"/>
      <c r="M882" s="13"/>
      <c r="N882" s="13"/>
      <c r="O882" s="13"/>
      <c r="P882" s="341"/>
      <c r="Q882" s="13"/>
      <c r="R882" s="242"/>
      <c r="S882" s="242"/>
      <c r="T882" s="242"/>
      <c r="U882" s="242"/>
      <c r="V882" s="242"/>
      <c r="W882" s="242"/>
      <c r="X882" s="242"/>
    </row>
    <row r="883">
      <c r="A883" s="242"/>
      <c r="B883" s="242"/>
      <c r="C883" s="242"/>
      <c r="D883" s="242"/>
      <c r="E883" s="242"/>
      <c r="F883" s="242"/>
      <c r="G883" s="242"/>
      <c r="H883" s="242"/>
      <c r="I883" s="242"/>
      <c r="J883" s="242"/>
      <c r="K883" s="242"/>
      <c r="L883" s="242"/>
      <c r="M883" s="13"/>
      <c r="N883" s="13"/>
      <c r="O883" s="13"/>
      <c r="P883" s="341"/>
      <c r="Q883" s="13"/>
      <c r="R883" s="242"/>
      <c r="S883" s="242"/>
      <c r="T883" s="242"/>
      <c r="U883" s="242"/>
      <c r="V883" s="242"/>
      <c r="W883" s="242"/>
      <c r="X883" s="242"/>
    </row>
    <row r="884">
      <c r="A884" s="242"/>
      <c r="B884" s="242"/>
      <c r="C884" s="242"/>
      <c r="D884" s="242"/>
      <c r="E884" s="242"/>
      <c r="F884" s="242"/>
      <c r="G884" s="242"/>
      <c r="H884" s="242"/>
      <c r="I884" s="242"/>
      <c r="J884" s="242"/>
      <c r="K884" s="242"/>
      <c r="L884" s="242"/>
      <c r="M884" s="13"/>
      <c r="N884" s="13"/>
      <c r="O884" s="13"/>
      <c r="P884" s="341"/>
      <c r="Q884" s="13"/>
      <c r="R884" s="242"/>
      <c r="S884" s="242"/>
      <c r="T884" s="242"/>
      <c r="U884" s="242"/>
      <c r="V884" s="242"/>
      <c r="W884" s="242"/>
      <c r="X884" s="242"/>
    </row>
    <row r="885">
      <c r="A885" s="242"/>
      <c r="B885" s="242"/>
      <c r="C885" s="242"/>
      <c r="D885" s="242"/>
      <c r="E885" s="242"/>
      <c r="F885" s="242"/>
      <c r="G885" s="242"/>
      <c r="H885" s="242"/>
      <c r="I885" s="242"/>
      <c r="J885" s="242"/>
      <c r="K885" s="242"/>
      <c r="L885" s="242"/>
      <c r="M885" s="13"/>
      <c r="N885" s="13"/>
      <c r="O885" s="13"/>
      <c r="P885" s="341"/>
      <c r="Q885" s="13"/>
      <c r="R885" s="242"/>
      <c r="S885" s="242"/>
      <c r="T885" s="242"/>
      <c r="U885" s="242"/>
      <c r="V885" s="242"/>
      <c r="W885" s="242"/>
      <c r="X885" s="242"/>
    </row>
    <row r="886">
      <c r="A886" s="242"/>
      <c r="B886" s="242"/>
      <c r="C886" s="242"/>
      <c r="D886" s="242"/>
      <c r="E886" s="242"/>
      <c r="F886" s="242"/>
      <c r="G886" s="242"/>
      <c r="H886" s="242"/>
      <c r="I886" s="242"/>
      <c r="J886" s="242"/>
      <c r="K886" s="242"/>
      <c r="L886" s="242"/>
      <c r="M886" s="13"/>
      <c r="N886" s="13"/>
      <c r="O886" s="13"/>
      <c r="P886" s="341"/>
      <c r="Q886" s="13"/>
      <c r="R886" s="242"/>
      <c r="S886" s="242"/>
      <c r="T886" s="242"/>
      <c r="U886" s="242"/>
      <c r="V886" s="242"/>
      <c r="W886" s="242"/>
      <c r="X886" s="242"/>
    </row>
    <row r="887">
      <c r="A887" s="242"/>
      <c r="B887" s="242"/>
      <c r="C887" s="242"/>
      <c r="D887" s="242"/>
      <c r="E887" s="242"/>
      <c r="F887" s="242"/>
      <c r="G887" s="242"/>
      <c r="H887" s="242"/>
      <c r="I887" s="242"/>
      <c r="J887" s="242"/>
      <c r="K887" s="242"/>
      <c r="L887" s="242"/>
      <c r="M887" s="13"/>
      <c r="N887" s="13"/>
      <c r="O887" s="13"/>
      <c r="P887" s="341"/>
      <c r="Q887" s="13"/>
      <c r="R887" s="242"/>
      <c r="S887" s="242"/>
      <c r="T887" s="242"/>
      <c r="U887" s="242"/>
      <c r="V887" s="242"/>
      <c r="W887" s="242"/>
      <c r="X887" s="242"/>
    </row>
    <row r="888">
      <c r="A888" s="242"/>
      <c r="B888" s="242"/>
      <c r="C888" s="242"/>
      <c r="D888" s="242"/>
      <c r="E888" s="242"/>
      <c r="F888" s="242"/>
      <c r="G888" s="242"/>
      <c r="H888" s="242"/>
      <c r="I888" s="242"/>
      <c r="J888" s="242"/>
      <c r="K888" s="242"/>
      <c r="L888" s="242"/>
      <c r="M888" s="13"/>
      <c r="N888" s="13"/>
      <c r="O888" s="13"/>
      <c r="P888" s="341"/>
      <c r="Q888" s="13"/>
      <c r="R888" s="242"/>
      <c r="S888" s="242"/>
      <c r="T888" s="242"/>
      <c r="U888" s="242"/>
      <c r="V888" s="242"/>
      <c r="W888" s="242"/>
      <c r="X888" s="242"/>
    </row>
    <row r="889">
      <c r="A889" s="242"/>
      <c r="B889" s="242"/>
      <c r="C889" s="242"/>
      <c r="D889" s="242"/>
      <c r="E889" s="242"/>
      <c r="F889" s="242"/>
      <c r="G889" s="242"/>
      <c r="H889" s="242"/>
      <c r="I889" s="242"/>
      <c r="J889" s="242"/>
      <c r="K889" s="242"/>
      <c r="L889" s="242"/>
      <c r="M889" s="13"/>
      <c r="N889" s="13"/>
      <c r="O889" s="13"/>
      <c r="P889" s="341"/>
      <c r="Q889" s="13"/>
      <c r="R889" s="242"/>
      <c r="S889" s="242"/>
      <c r="T889" s="242"/>
      <c r="U889" s="242"/>
      <c r="V889" s="242"/>
      <c r="W889" s="242"/>
      <c r="X889" s="242"/>
    </row>
    <row r="890">
      <c r="A890" s="242"/>
      <c r="B890" s="242"/>
      <c r="C890" s="242"/>
      <c r="D890" s="242"/>
      <c r="E890" s="242"/>
      <c r="F890" s="242"/>
      <c r="G890" s="242"/>
      <c r="H890" s="242"/>
      <c r="I890" s="242"/>
      <c r="J890" s="242"/>
      <c r="K890" s="242"/>
      <c r="L890" s="242"/>
      <c r="M890" s="13"/>
      <c r="N890" s="13"/>
      <c r="O890" s="13"/>
      <c r="P890" s="341"/>
      <c r="Q890" s="13"/>
      <c r="R890" s="242"/>
      <c r="S890" s="242"/>
      <c r="T890" s="242"/>
      <c r="U890" s="242"/>
      <c r="V890" s="242"/>
      <c r="W890" s="242"/>
      <c r="X890" s="242"/>
    </row>
    <row r="891">
      <c r="A891" s="242"/>
      <c r="B891" s="242"/>
      <c r="C891" s="242"/>
      <c r="D891" s="242"/>
      <c r="E891" s="242"/>
      <c r="F891" s="242"/>
      <c r="G891" s="242"/>
      <c r="H891" s="242"/>
      <c r="I891" s="242"/>
      <c r="J891" s="242"/>
      <c r="K891" s="242"/>
      <c r="L891" s="242"/>
      <c r="M891" s="13"/>
      <c r="N891" s="13"/>
      <c r="O891" s="13"/>
      <c r="P891" s="341"/>
      <c r="Q891" s="13"/>
      <c r="R891" s="242"/>
      <c r="S891" s="242"/>
      <c r="T891" s="242"/>
      <c r="U891" s="242"/>
      <c r="V891" s="242"/>
      <c r="W891" s="242"/>
      <c r="X891" s="242"/>
    </row>
    <row r="892">
      <c r="A892" s="242"/>
      <c r="B892" s="242"/>
      <c r="C892" s="242"/>
      <c r="D892" s="242"/>
      <c r="E892" s="242"/>
      <c r="F892" s="242"/>
      <c r="G892" s="242"/>
      <c r="H892" s="242"/>
      <c r="I892" s="242"/>
      <c r="J892" s="242"/>
      <c r="K892" s="242"/>
      <c r="L892" s="242"/>
      <c r="M892" s="13"/>
      <c r="N892" s="13"/>
      <c r="O892" s="13"/>
      <c r="P892" s="341"/>
      <c r="Q892" s="13"/>
      <c r="R892" s="242"/>
      <c r="S892" s="242"/>
      <c r="T892" s="242"/>
      <c r="U892" s="242"/>
      <c r="V892" s="242"/>
      <c r="W892" s="242"/>
      <c r="X892" s="242"/>
    </row>
    <row r="893">
      <c r="A893" s="242"/>
      <c r="B893" s="242"/>
      <c r="C893" s="242"/>
      <c r="D893" s="242"/>
      <c r="E893" s="242"/>
      <c r="F893" s="242"/>
      <c r="G893" s="242"/>
      <c r="H893" s="242"/>
      <c r="I893" s="242"/>
      <c r="J893" s="242"/>
      <c r="K893" s="242"/>
      <c r="L893" s="242"/>
      <c r="M893" s="13"/>
      <c r="N893" s="13"/>
      <c r="O893" s="13"/>
      <c r="P893" s="341"/>
      <c r="Q893" s="13"/>
      <c r="R893" s="242"/>
      <c r="S893" s="242"/>
      <c r="T893" s="242"/>
      <c r="U893" s="242"/>
      <c r="V893" s="242"/>
      <c r="W893" s="242"/>
      <c r="X893" s="242"/>
    </row>
    <row r="894">
      <c r="A894" s="242"/>
      <c r="B894" s="242"/>
      <c r="C894" s="242"/>
      <c r="D894" s="242"/>
      <c r="E894" s="242"/>
      <c r="F894" s="242"/>
      <c r="G894" s="242"/>
      <c r="H894" s="242"/>
      <c r="I894" s="242"/>
      <c r="J894" s="242"/>
      <c r="K894" s="242"/>
      <c r="L894" s="242"/>
      <c r="M894" s="13"/>
      <c r="N894" s="13"/>
      <c r="O894" s="13"/>
      <c r="P894" s="341"/>
      <c r="Q894" s="13"/>
      <c r="R894" s="242"/>
      <c r="S894" s="242"/>
      <c r="T894" s="242"/>
      <c r="U894" s="242"/>
      <c r="V894" s="242"/>
      <c r="W894" s="242"/>
      <c r="X894" s="242"/>
    </row>
    <row r="895">
      <c r="A895" s="242"/>
      <c r="B895" s="242"/>
      <c r="C895" s="242"/>
      <c r="D895" s="242"/>
      <c r="E895" s="242"/>
      <c r="F895" s="242"/>
      <c r="G895" s="242"/>
      <c r="H895" s="242"/>
      <c r="I895" s="242"/>
      <c r="J895" s="242"/>
      <c r="K895" s="242"/>
      <c r="L895" s="242"/>
      <c r="M895" s="13"/>
      <c r="N895" s="13"/>
      <c r="O895" s="13"/>
      <c r="P895" s="341"/>
      <c r="Q895" s="13"/>
      <c r="R895" s="242"/>
      <c r="S895" s="242"/>
      <c r="T895" s="242"/>
      <c r="U895" s="242"/>
      <c r="V895" s="242"/>
      <c r="W895" s="242"/>
      <c r="X895" s="242"/>
    </row>
    <row r="896">
      <c r="A896" s="242"/>
      <c r="B896" s="242"/>
      <c r="C896" s="242"/>
      <c r="D896" s="242"/>
      <c r="E896" s="242"/>
      <c r="F896" s="242"/>
      <c r="G896" s="242"/>
      <c r="H896" s="242"/>
      <c r="I896" s="242"/>
      <c r="J896" s="242"/>
      <c r="K896" s="242"/>
      <c r="L896" s="242"/>
      <c r="M896" s="13"/>
      <c r="N896" s="13"/>
      <c r="O896" s="13"/>
      <c r="P896" s="341"/>
      <c r="Q896" s="13"/>
      <c r="R896" s="242"/>
      <c r="S896" s="242"/>
      <c r="T896" s="242"/>
      <c r="U896" s="242"/>
      <c r="V896" s="242"/>
      <c r="W896" s="242"/>
      <c r="X896" s="242"/>
    </row>
    <row r="897">
      <c r="A897" s="242"/>
      <c r="B897" s="242"/>
      <c r="C897" s="242"/>
      <c r="D897" s="242"/>
      <c r="E897" s="242"/>
      <c r="F897" s="242"/>
      <c r="G897" s="242"/>
      <c r="H897" s="242"/>
      <c r="I897" s="242"/>
      <c r="J897" s="242"/>
      <c r="K897" s="242"/>
      <c r="L897" s="242"/>
      <c r="M897" s="13"/>
      <c r="N897" s="13"/>
      <c r="O897" s="13"/>
      <c r="P897" s="341"/>
      <c r="Q897" s="13"/>
      <c r="R897" s="242"/>
      <c r="S897" s="242"/>
      <c r="T897" s="242"/>
      <c r="U897" s="242"/>
      <c r="V897" s="242"/>
      <c r="W897" s="242"/>
      <c r="X897" s="242"/>
    </row>
    <row r="898">
      <c r="A898" s="242"/>
      <c r="B898" s="242"/>
      <c r="C898" s="242"/>
      <c r="D898" s="242"/>
      <c r="E898" s="242"/>
      <c r="F898" s="242"/>
      <c r="G898" s="242"/>
      <c r="H898" s="242"/>
      <c r="I898" s="242"/>
      <c r="J898" s="242"/>
      <c r="K898" s="242"/>
      <c r="L898" s="242"/>
      <c r="M898" s="13"/>
      <c r="N898" s="13"/>
      <c r="O898" s="13"/>
      <c r="P898" s="341"/>
      <c r="Q898" s="13"/>
      <c r="R898" s="242"/>
      <c r="S898" s="242"/>
      <c r="T898" s="242"/>
      <c r="U898" s="242"/>
      <c r="V898" s="242"/>
      <c r="W898" s="242"/>
      <c r="X898" s="242"/>
    </row>
    <row r="899">
      <c r="A899" s="242"/>
      <c r="B899" s="242"/>
      <c r="C899" s="242"/>
      <c r="D899" s="242"/>
      <c r="E899" s="242"/>
      <c r="F899" s="242"/>
      <c r="G899" s="242"/>
      <c r="H899" s="242"/>
      <c r="I899" s="242"/>
      <c r="J899" s="242"/>
      <c r="K899" s="242"/>
      <c r="L899" s="242"/>
      <c r="M899" s="13"/>
      <c r="N899" s="13"/>
      <c r="O899" s="13"/>
      <c r="P899" s="341"/>
      <c r="Q899" s="13"/>
      <c r="R899" s="242"/>
      <c r="S899" s="242"/>
      <c r="T899" s="242"/>
      <c r="U899" s="242"/>
      <c r="V899" s="242"/>
      <c r="W899" s="242"/>
      <c r="X899" s="242"/>
    </row>
    <row r="900">
      <c r="A900" s="242"/>
      <c r="B900" s="242"/>
      <c r="C900" s="242"/>
      <c r="D900" s="242"/>
      <c r="E900" s="242"/>
      <c r="F900" s="242"/>
      <c r="G900" s="242"/>
      <c r="H900" s="242"/>
      <c r="I900" s="242"/>
      <c r="J900" s="242"/>
      <c r="K900" s="242"/>
      <c r="L900" s="242"/>
      <c r="M900" s="13"/>
      <c r="N900" s="13"/>
      <c r="O900" s="13"/>
      <c r="P900" s="341"/>
      <c r="Q900" s="13"/>
      <c r="R900" s="242"/>
      <c r="S900" s="242"/>
      <c r="T900" s="242"/>
      <c r="U900" s="242"/>
      <c r="V900" s="242"/>
      <c r="W900" s="242"/>
      <c r="X900" s="242"/>
    </row>
    <row r="901">
      <c r="A901" s="242"/>
      <c r="B901" s="242"/>
      <c r="C901" s="242"/>
      <c r="D901" s="242"/>
      <c r="E901" s="242"/>
      <c r="F901" s="242"/>
      <c r="G901" s="242"/>
      <c r="H901" s="242"/>
      <c r="I901" s="242"/>
      <c r="J901" s="242"/>
      <c r="K901" s="242"/>
      <c r="L901" s="242"/>
      <c r="M901" s="13"/>
      <c r="N901" s="13"/>
      <c r="O901" s="13"/>
      <c r="P901" s="341"/>
      <c r="Q901" s="13"/>
      <c r="R901" s="242"/>
      <c r="S901" s="242"/>
      <c r="T901" s="242"/>
      <c r="U901" s="242"/>
      <c r="V901" s="242"/>
      <c r="W901" s="242"/>
      <c r="X901" s="242"/>
    </row>
    <row r="902">
      <c r="A902" s="242"/>
      <c r="B902" s="242"/>
      <c r="C902" s="242"/>
      <c r="D902" s="242"/>
      <c r="E902" s="242"/>
      <c r="F902" s="242"/>
      <c r="G902" s="242"/>
      <c r="H902" s="242"/>
      <c r="I902" s="242"/>
      <c r="J902" s="242"/>
      <c r="K902" s="242"/>
      <c r="L902" s="242"/>
      <c r="M902" s="13"/>
      <c r="N902" s="13"/>
      <c r="O902" s="13"/>
      <c r="P902" s="341"/>
      <c r="Q902" s="13"/>
      <c r="R902" s="242"/>
      <c r="S902" s="242"/>
      <c r="T902" s="242"/>
      <c r="U902" s="242"/>
      <c r="V902" s="242"/>
      <c r="W902" s="242"/>
      <c r="X902" s="242"/>
    </row>
    <row r="903">
      <c r="A903" s="242"/>
      <c r="B903" s="242"/>
      <c r="C903" s="242"/>
      <c r="D903" s="242"/>
      <c r="E903" s="242"/>
      <c r="F903" s="242"/>
      <c r="G903" s="242"/>
      <c r="H903" s="242"/>
      <c r="I903" s="242"/>
      <c r="J903" s="242"/>
      <c r="K903" s="242"/>
      <c r="L903" s="242"/>
      <c r="M903" s="13"/>
      <c r="N903" s="13"/>
      <c r="O903" s="13"/>
      <c r="P903" s="341"/>
      <c r="Q903" s="13"/>
      <c r="R903" s="242"/>
      <c r="S903" s="242"/>
      <c r="T903" s="242"/>
      <c r="U903" s="242"/>
      <c r="V903" s="242"/>
      <c r="W903" s="242"/>
      <c r="X903" s="242"/>
    </row>
    <row r="904">
      <c r="A904" s="242"/>
      <c r="B904" s="242"/>
      <c r="C904" s="242"/>
      <c r="D904" s="242"/>
      <c r="E904" s="242"/>
      <c r="F904" s="242"/>
      <c r="G904" s="242"/>
      <c r="H904" s="242"/>
      <c r="I904" s="242"/>
      <c r="J904" s="242"/>
      <c r="K904" s="242"/>
      <c r="L904" s="242"/>
      <c r="M904" s="13"/>
      <c r="N904" s="13"/>
      <c r="O904" s="13"/>
      <c r="P904" s="341"/>
      <c r="Q904" s="13"/>
      <c r="R904" s="242"/>
      <c r="S904" s="242"/>
      <c r="T904" s="242"/>
      <c r="U904" s="242"/>
      <c r="V904" s="242"/>
      <c r="W904" s="242"/>
      <c r="X904" s="242"/>
    </row>
    <row r="905">
      <c r="A905" s="242"/>
      <c r="B905" s="242"/>
      <c r="C905" s="242"/>
      <c r="D905" s="242"/>
      <c r="E905" s="242"/>
      <c r="F905" s="242"/>
      <c r="G905" s="242"/>
      <c r="H905" s="242"/>
      <c r="I905" s="242"/>
      <c r="J905" s="242"/>
      <c r="K905" s="242"/>
      <c r="L905" s="242"/>
      <c r="M905" s="13"/>
      <c r="N905" s="13"/>
      <c r="O905" s="13"/>
      <c r="P905" s="341"/>
      <c r="Q905" s="13"/>
      <c r="R905" s="242"/>
      <c r="S905" s="242"/>
      <c r="T905" s="242"/>
      <c r="U905" s="242"/>
      <c r="V905" s="242"/>
      <c r="W905" s="242"/>
      <c r="X905" s="242"/>
    </row>
    <row r="906">
      <c r="A906" s="242"/>
      <c r="B906" s="242"/>
      <c r="C906" s="242"/>
      <c r="D906" s="242"/>
      <c r="E906" s="242"/>
      <c r="F906" s="242"/>
      <c r="G906" s="242"/>
      <c r="H906" s="242"/>
      <c r="I906" s="242"/>
      <c r="J906" s="242"/>
      <c r="K906" s="242"/>
      <c r="L906" s="242"/>
      <c r="M906" s="13"/>
      <c r="N906" s="13"/>
      <c r="O906" s="13"/>
      <c r="P906" s="341"/>
      <c r="Q906" s="13"/>
      <c r="R906" s="242"/>
      <c r="S906" s="242"/>
      <c r="T906" s="242"/>
      <c r="U906" s="242"/>
      <c r="V906" s="242"/>
      <c r="W906" s="242"/>
      <c r="X906" s="242"/>
    </row>
    <row r="907">
      <c r="A907" s="242"/>
      <c r="B907" s="242"/>
      <c r="C907" s="242"/>
      <c r="D907" s="242"/>
      <c r="E907" s="242"/>
      <c r="F907" s="242"/>
      <c r="G907" s="242"/>
      <c r="H907" s="242"/>
      <c r="I907" s="242"/>
      <c r="J907" s="242"/>
      <c r="K907" s="242"/>
      <c r="L907" s="242"/>
      <c r="M907" s="13"/>
      <c r="N907" s="13"/>
      <c r="O907" s="13"/>
      <c r="P907" s="341"/>
      <c r="Q907" s="13"/>
      <c r="R907" s="242"/>
      <c r="S907" s="242"/>
      <c r="T907" s="242"/>
      <c r="U907" s="242"/>
      <c r="V907" s="242"/>
      <c r="W907" s="242"/>
      <c r="X907" s="242"/>
    </row>
    <row r="908">
      <c r="A908" s="242"/>
      <c r="B908" s="242"/>
      <c r="C908" s="242"/>
      <c r="D908" s="242"/>
      <c r="E908" s="242"/>
      <c r="F908" s="242"/>
      <c r="G908" s="242"/>
      <c r="H908" s="242"/>
      <c r="I908" s="242"/>
      <c r="J908" s="242"/>
      <c r="K908" s="242"/>
      <c r="L908" s="242"/>
      <c r="M908" s="13"/>
      <c r="N908" s="13"/>
      <c r="O908" s="13"/>
      <c r="P908" s="341"/>
      <c r="Q908" s="13"/>
      <c r="R908" s="242"/>
      <c r="S908" s="242"/>
      <c r="T908" s="242"/>
      <c r="U908" s="242"/>
      <c r="V908" s="242"/>
      <c r="W908" s="242"/>
      <c r="X908" s="242"/>
    </row>
    <row r="909">
      <c r="A909" s="242"/>
      <c r="B909" s="242"/>
      <c r="C909" s="242"/>
      <c r="D909" s="242"/>
      <c r="E909" s="242"/>
      <c r="F909" s="242"/>
      <c r="G909" s="242"/>
      <c r="H909" s="242"/>
      <c r="I909" s="242"/>
      <c r="J909" s="242"/>
      <c r="K909" s="242"/>
      <c r="L909" s="242"/>
      <c r="M909" s="13"/>
      <c r="N909" s="13"/>
      <c r="O909" s="13"/>
      <c r="P909" s="341"/>
      <c r="Q909" s="13"/>
      <c r="R909" s="242"/>
      <c r="S909" s="242"/>
      <c r="T909" s="242"/>
      <c r="U909" s="242"/>
      <c r="V909" s="242"/>
      <c r="W909" s="242"/>
      <c r="X909" s="242"/>
    </row>
    <row r="910">
      <c r="A910" s="242"/>
      <c r="B910" s="242"/>
      <c r="C910" s="242"/>
      <c r="D910" s="242"/>
      <c r="E910" s="242"/>
      <c r="F910" s="242"/>
      <c r="G910" s="242"/>
      <c r="H910" s="242"/>
      <c r="I910" s="242"/>
      <c r="J910" s="242"/>
      <c r="K910" s="242"/>
      <c r="L910" s="242"/>
      <c r="M910" s="13"/>
      <c r="N910" s="13"/>
      <c r="O910" s="13"/>
      <c r="P910" s="341"/>
      <c r="Q910" s="13"/>
      <c r="R910" s="242"/>
      <c r="S910" s="242"/>
      <c r="T910" s="242"/>
      <c r="U910" s="242"/>
      <c r="V910" s="242"/>
      <c r="W910" s="242"/>
      <c r="X910" s="242"/>
    </row>
    <row r="911">
      <c r="A911" s="242"/>
      <c r="B911" s="242"/>
      <c r="C911" s="242"/>
      <c r="D911" s="242"/>
      <c r="E911" s="242"/>
      <c r="F911" s="242"/>
      <c r="G911" s="242"/>
      <c r="H911" s="242"/>
      <c r="I911" s="242"/>
      <c r="J911" s="242"/>
      <c r="K911" s="242"/>
      <c r="L911" s="242"/>
      <c r="M911" s="13"/>
      <c r="N911" s="13"/>
      <c r="O911" s="13"/>
      <c r="P911" s="341"/>
      <c r="Q911" s="13"/>
      <c r="R911" s="242"/>
      <c r="S911" s="242"/>
      <c r="T911" s="242"/>
      <c r="U911" s="242"/>
      <c r="V911" s="242"/>
      <c r="W911" s="242"/>
      <c r="X911" s="242"/>
    </row>
    <row r="912">
      <c r="A912" s="242"/>
      <c r="B912" s="242"/>
      <c r="C912" s="242"/>
      <c r="D912" s="242"/>
      <c r="E912" s="242"/>
      <c r="F912" s="242"/>
      <c r="G912" s="242"/>
      <c r="H912" s="242"/>
      <c r="I912" s="242"/>
      <c r="J912" s="242"/>
      <c r="K912" s="242"/>
      <c r="L912" s="242"/>
      <c r="M912" s="13"/>
      <c r="N912" s="13"/>
      <c r="O912" s="13"/>
      <c r="P912" s="341"/>
      <c r="Q912" s="13"/>
      <c r="R912" s="242"/>
      <c r="S912" s="242"/>
      <c r="T912" s="242"/>
      <c r="U912" s="242"/>
      <c r="V912" s="242"/>
      <c r="W912" s="242"/>
      <c r="X912" s="242"/>
    </row>
    <row r="913">
      <c r="A913" s="242"/>
      <c r="B913" s="242"/>
      <c r="C913" s="242"/>
      <c r="D913" s="242"/>
      <c r="E913" s="242"/>
      <c r="F913" s="242"/>
      <c r="G913" s="242"/>
      <c r="H913" s="242"/>
      <c r="I913" s="242"/>
      <c r="J913" s="242"/>
      <c r="K913" s="242"/>
      <c r="L913" s="242"/>
      <c r="M913" s="13"/>
      <c r="N913" s="13"/>
      <c r="O913" s="13"/>
      <c r="P913" s="341"/>
      <c r="Q913" s="13"/>
      <c r="R913" s="242"/>
      <c r="S913" s="242"/>
      <c r="T913" s="242"/>
      <c r="U913" s="242"/>
      <c r="V913" s="242"/>
      <c r="W913" s="242"/>
      <c r="X913" s="242"/>
    </row>
    <row r="914">
      <c r="A914" s="242"/>
      <c r="B914" s="242"/>
      <c r="C914" s="242"/>
      <c r="D914" s="242"/>
      <c r="E914" s="242"/>
      <c r="F914" s="242"/>
      <c r="G914" s="242"/>
      <c r="H914" s="242"/>
      <c r="I914" s="242"/>
      <c r="J914" s="242"/>
      <c r="K914" s="242"/>
      <c r="L914" s="242"/>
      <c r="M914" s="13"/>
      <c r="N914" s="13"/>
      <c r="O914" s="13"/>
      <c r="P914" s="341"/>
      <c r="Q914" s="13"/>
      <c r="R914" s="242"/>
      <c r="S914" s="242"/>
      <c r="T914" s="242"/>
      <c r="U914" s="242"/>
      <c r="V914" s="242"/>
      <c r="W914" s="242"/>
      <c r="X914" s="242"/>
    </row>
    <row r="915">
      <c r="A915" s="242"/>
      <c r="B915" s="242"/>
      <c r="C915" s="242"/>
      <c r="D915" s="242"/>
      <c r="E915" s="242"/>
      <c r="F915" s="242"/>
      <c r="G915" s="242"/>
      <c r="H915" s="242"/>
      <c r="I915" s="242"/>
      <c r="J915" s="242"/>
      <c r="K915" s="242"/>
      <c r="L915" s="242"/>
      <c r="M915" s="13"/>
      <c r="N915" s="13"/>
      <c r="O915" s="13"/>
      <c r="P915" s="341"/>
      <c r="Q915" s="13"/>
      <c r="R915" s="242"/>
      <c r="S915" s="242"/>
      <c r="T915" s="242"/>
      <c r="U915" s="242"/>
      <c r="V915" s="242"/>
      <c r="W915" s="242"/>
      <c r="X915" s="242"/>
    </row>
    <row r="916">
      <c r="A916" s="242"/>
      <c r="B916" s="242"/>
      <c r="C916" s="242"/>
      <c r="D916" s="242"/>
      <c r="E916" s="242"/>
      <c r="F916" s="242"/>
      <c r="G916" s="242"/>
      <c r="H916" s="242"/>
      <c r="I916" s="242"/>
      <c r="J916" s="242"/>
      <c r="K916" s="242"/>
      <c r="L916" s="242"/>
      <c r="M916" s="13"/>
      <c r="N916" s="13"/>
      <c r="O916" s="13"/>
      <c r="P916" s="341"/>
      <c r="Q916" s="13"/>
      <c r="R916" s="242"/>
      <c r="S916" s="242"/>
      <c r="T916" s="242"/>
      <c r="U916" s="242"/>
      <c r="V916" s="242"/>
      <c r="W916" s="242"/>
      <c r="X916" s="242"/>
    </row>
    <row r="917">
      <c r="A917" s="242"/>
      <c r="B917" s="242"/>
      <c r="C917" s="242"/>
      <c r="D917" s="242"/>
      <c r="E917" s="242"/>
      <c r="F917" s="242"/>
      <c r="G917" s="242"/>
      <c r="H917" s="242"/>
      <c r="I917" s="242"/>
      <c r="J917" s="242"/>
      <c r="K917" s="242"/>
      <c r="L917" s="242"/>
      <c r="M917" s="13"/>
      <c r="N917" s="13"/>
      <c r="O917" s="13"/>
      <c r="P917" s="341"/>
      <c r="Q917" s="13"/>
      <c r="R917" s="242"/>
      <c r="S917" s="242"/>
      <c r="T917" s="242"/>
      <c r="U917" s="242"/>
      <c r="V917" s="242"/>
      <c r="W917" s="242"/>
      <c r="X917" s="242"/>
    </row>
    <row r="918">
      <c r="A918" s="242"/>
      <c r="B918" s="242"/>
      <c r="C918" s="242"/>
      <c r="D918" s="242"/>
      <c r="E918" s="242"/>
      <c r="F918" s="242"/>
      <c r="G918" s="242"/>
      <c r="H918" s="242"/>
      <c r="I918" s="242"/>
      <c r="J918" s="242"/>
      <c r="K918" s="242"/>
      <c r="L918" s="242"/>
      <c r="M918" s="13"/>
      <c r="N918" s="13"/>
      <c r="O918" s="13"/>
      <c r="P918" s="341"/>
      <c r="Q918" s="13"/>
      <c r="R918" s="242"/>
      <c r="S918" s="242"/>
      <c r="T918" s="242"/>
      <c r="U918" s="242"/>
      <c r="V918" s="242"/>
      <c r="W918" s="242"/>
      <c r="X918" s="242"/>
    </row>
    <row r="919">
      <c r="A919" s="242"/>
      <c r="B919" s="242"/>
      <c r="C919" s="242"/>
      <c r="D919" s="242"/>
      <c r="E919" s="242"/>
      <c r="F919" s="242"/>
      <c r="G919" s="242"/>
      <c r="H919" s="242"/>
      <c r="I919" s="242"/>
      <c r="J919" s="242"/>
      <c r="K919" s="242"/>
      <c r="L919" s="242"/>
      <c r="M919" s="13"/>
      <c r="N919" s="13"/>
      <c r="O919" s="13"/>
      <c r="P919" s="341"/>
      <c r="Q919" s="13"/>
      <c r="R919" s="242"/>
      <c r="S919" s="242"/>
      <c r="T919" s="242"/>
      <c r="U919" s="242"/>
      <c r="V919" s="242"/>
      <c r="W919" s="242"/>
      <c r="X919" s="242"/>
    </row>
    <row r="920">
      <c r="A920" s="242"/>
      <c r="B920" s="242"/>
      <c r="C920" s="242"/>
      <c r="D920" s="242"/>
      <c r="E920" s="242"/>
      <c r="F920" s="242"/>
      <c r="G920" s="242"/>
      <c r="H920" s="242"/>
      <c r="I920" s="242"/>
      <c r="J920" s="242"/>
      <c r="K920" s="242"/>
      <c r="L920" s="242"/>
      <c r="M920" s="13"/>
      <c r="N920" s="13"/>
      <c r="O920" s="13"/>
      <c r="P920" s="341"/>
      <c r="Q920" s="13"/>
      <c r="R920" s="242"/>
      <c r="S920" s="242"/>
      <c r="T920" s="242"/>
      <c r="U920" s="242"/>
      <c r="V920" s="242"/>
      <c r="W920" s="242"/>
      <c r="X920" s="242"/>
    </row>
    <row r="921">
      <c r="A921" s="242"/>
      <c r="B921" s="242"/>
      <c r="C921" s="242"/>
      <c r="D921" s="242"/>
      <c r="E921" s="242"/>
      <c r="F921" s="242"/>
      <c r="G921" s="242"/>
      <c r="H921" s="242"/>
      <c r="I921" s="242"/>
      <c r="J921" s="242"/>
      <c r="K921" s="242"/>
      <c r="L921" s="242"/>
      <c r="M921" s="13"/>
      <c r="N921" s="13"/>
      <c r="O921" s="13"/>
      <c r="P921" s="341"/>
      <c r="Q921" s="13"/>
      <c r="R921" s="242"/>
      <c r="S921" s="242"/>
      <c r="T921" s="242"/>
      <c r="U921" s="242"/>
      <c r="V921" s="242"/>
      <c r="W921" s="242"/>
      <c r="X921" s="242"/>
    </row>
    <row r="922">
      <c r="A922" s="242"/>
      <c r="B922" s="242"/>
      <c r="C922" s="242"/>
      <c r="D922" s="242"/>
      <c r="E922" s="242"/>
      <c r="F922" s="242"/>
      <c r="G922" s="242"/>
      <c r="H922" s="242"/>
      <c r="I922" s="242"/>
      <c r="J922" s="242"/>
      <c r="K922" s="242"/>
      <c r="L922" s="242"/>
      <c r="M922" s="13"/>
      <c r="N922" s="13"/>
      <c r="O922" s="13"/>
      <c r="P922" s="341"/>
      <c r="Q922" s="13"/>
      <c r="R922" s="242"/>
      <c r="S922" s="242"/>
      <c r="T922" s="242"/>
      <c r="U922" s="242"/>
      <c r="V922" s="242"/>
      <c r="W922" s="242"/>
      <c r="X922" s="242"/>
    </row>
    <row r="923">
      <c r="A923" s="242"/>
      <c r="B923" s="242"/>
      <c r="C923" s="242"/>
      <c r="D923" s="242"/>
      <c r="E923" s="242"/>
      <c r="F923" s="242"/>
      <c r="G923" s="242"/>
      <c r="H923" s="242"/>
      <c r="I923" s="242"/>
      <c r="J923" s="242"/>
      <c r="K923" s="242"/>
      <c r="L923" s="242"/>
      <c r="M923" s="13"/>
      <c r="N923" s="13"/>
      <c r="O923" s="13"/>
      <c r="P923" s="341"/>
      <c r="Q923" s="13"/>
      <c r="R923" s="242"/>
      <c r="S923" s="242"/>
      <c r="T923" s="242"/>
      <c r="U923" s="242"/>
      <c r="V923" s="242"/>
      <c r="W923" s="242"/>
      <c r="X923" s="242"/>
    </row>
    <row r="924">
      <c r="A924" s="242"/>
      <c r="B924" s="242"/>
      <c r="C924" s="242"/>
      <c r="D924" s="242"/>
      <c r="E924" s="242"/>
      <c r="F924" s="242"/>
      <c r="G924" s="242"/>
      <c r="H924" s="242"/>
      <c r="I924" s="242"/>
      <c r="J924" s="242"/>
      <c r="K924" s="242"/>
      <c r="L924" s="242"/>
      <c r="M924" s="13"/>
      <c r="N924" s="13"/>
      <c r="O924" s="13"/>
      <c r="P924" s="341"/>
      <c r="Q924" s="13"/>
      <c r="R924" s="242"/>
      <c r="S924" s="242"/>
      <c r="T924" s="242"/>
      <c r="U924" s="242"/>
      <c r="V924" s="242"/>
      <c r="W924" s="242"/>
      <c r="X924" s="242"/>
    </row>
    <row r="925">
      <c r="A925" s="242"/>
      <c r="B925" s="242"/>
      <c r="C925" s="242"/>
      <c r="D925" s="242"/>
      <c r="E925" s="242"/>
      <c r="F925" s="242"/>
      <c r="G925" s="242"/>
      <c r="H925" s="242"/>
      <c r="I925" s="242"/>
      <c r="J925" s="242"/>
      <c r="K925" s="242"/>
      <c r="L925" s="242"/>
      <c r="M925" s="13"/>
      <c r="N925" s="13"/>
      <c r="O925" s="13"/>
      <c r="P925" s="341"/>
      <c r="Q925" s="13"/>
      <c r="R925" s="242"/>
      <c r="S925" s="242"/>
      <c r="T925" s="242"/>
      <c r="U925" s="242"/>
      <c r="V925" s="242"/>
      <c r="W925" s="242"/>
      <c r="X925" s="242"/>
    </row>
    <row r="926">
      <c r="A926" s="242"/>
      <c r="B926" s="242"/>
      <c r="C926" s="242"/>
      <c r="D926" s="242"/>
      <c r="E926" s="242"/>
      <c r="F926" s="242"/>
      <c r="G926" s="242"/>
      <c r="H926" s="242"/>
      <c r="I926" s="242"/>
      <c r="J926" s="242"/>
      <c r="K926" s="242"/>
      <c r="L926" s="242"/>
      <c r="M926" s="13"/>
      <c r="N926" s="13"/>
      <c r="O926" s="13"/>
      <c r="P926" s="341"/>
      <c r="Q926" s="13"/>
      <c r="R926" s="242"/>
      <c r="S926" s="242"/>
      <c r="T926" s="242"/>
      <c r="U926" s="242"/>
      <c r="V926" s="242"/>
      <c r="W926" s="242"/>
      <c r="X926" s="242"/>
    </row>
    <row r="927">
      <c r="A927" s="242"/>
      <c r="B927" s="242"/>
      <c r="C927" s="242"/>
      <c r="D927" s="242"/>
      <c r="E927" s="242"/>
      <c r="F927" s="242"/>
      <c r="G927" s="242"/>
      <c r="H927" s="242"/>
      <c r="I927" s="242"/>
      <c r="J927" s="242"/>
      <c r="K927" s="242"/>
      <c r="L927" s="242"/>
      <c r="M927" s="13"/>
      <c r="N927" s="13"/>
      <c r="O927" s="13"/>
      <c r="P927" s="341"/>
      <c r="Q927" s="13"/>
      <c r="R927" s="242"/>
      <c r="S927" s="242"/>
      <c r="T927" s="242"/>
      <c r="U927" s="242"/>
      <c r="V927" s="242"/>
      <c r="W927" s="242"/>
      <c r="X927" s="242"/>
    </row>
    <row r="928">
      <c r="A928" s="242"/>
      <c r="B928" s="242"/>
      <c r="C928" s="242"/>
      <c r="D928" s="242"/>
      <c r="E928" s="242"/>
      <c r="F928" s="242"/>
      <c r="G928" s="242"/>
      <c r="H928" s="242"/>
      <c r="I928" s="242"/>
      <c r="J928" s="242"/>
      <c r="K928" s="242"/>
      <c r="L928" s="242"/>
      <c r="M928" s="13"/>
      <c r="N928" s="13"/>
      <c r="O928" s="13"/>
      <c r="P928" s="341"/>
      <c r="Q928" s="13"/>
      <c r="R928" s="242"/>
      <c r="S928" s="242"/>
      <c r="T928" s="242"/>
      <c r="U928" s="242"/>
      <c r="V928" s="242"/>
      <c r="W928" s="242"/>
      <c r="X928" s="242"/>
    </row>
    <row r="929">
      <c r="A929" s="242"/>
      <c r="B929" s="242"/>
      <c r="C929" s="242"/>
      <c r="D929" s="242"/>
      <c r="E929" s="242"/>
      <c r="F929" s="242"/>
      <c r="G929" s="242"/>
      <c r="H929" s="242"/>
      <c r="I929" s="242"/>
      <c r="J929" s="242"/>
      <c r="K929" s="242"/>
      <c r="L929" s="242"/>
      <c r="M929" s="13"/>
      <c r="N929" s="13"/>
      <c r="O929" s="13"/>
      <c r="P929" s="341"/>
      <c r="Q929" s="13"/>
      <c r="R929" s="242"/>
      <c r="S929" s="242"/>
      <c r="T929" s="242"/>
      <c r="U929" s="242"/>
      <c r="V929" s="242"/>
      <c r="W929" s="242"/>
      <c r="X929" s="242"/>
    </row>
    <row r="930">
      <c r="A930" s="242"/>
      <c r="B930" s="242"/>
      <c r="C930" s="242"/>
      <c r="D930" s="242"/>
      <c r="E930" s="242"/>
      <c r="F930" s="242"/>
      <c r="G930" s="242"/>
      <c r="H930" s="242"/>
      <c r="I930" s="242"/>
      <c r="J930" s="242"/>
      <c r="K930" s="242"/>
      <c r="L930" s="242"/>
      <c r="M930" s="13"/>
      <c r="N930" s="13"/>
      <c r="O930" s="13"/>
      <c r="P930" s="341"/>
      <c r="Q930" s="13"/>
      <c r="R930" s="242"/>
      <c r="S930" s="242"/>
      <c r="T930" s="242"/>
      <c r="U930" s="242"/>
      <c r="V930" s="242"/>
      <c r="W930" s="242"/>
      <c r="X930" s="242"/>
    </row>
    <row r="931">
      <c r="A931" s="242"/>
      <c r="B931" s="242"/>
      <c r="C931" s="242"/>
      <c r="D931" s="242"/>
      <c r="E931" s="242"/>
      <c r="F931" s="242"/>
      <c r="G931" s="242"/>
      <c r="H931" s="242"/>
      <c r="I931" s="242"/>
      <c r="J931" s="242"/>
      <c r="K931" s="242"/>
      <c r="L931" s="242"/>
      <c r="M931" s="13"/>
      <c r="N931" s="13"/>
      <c r="O931" s="13"/>
      <c r="P931" s="341"/>
      <c r="Q931" s="13"/>
      <c r="R931" s="242"/>
      <c r="S931" s="242"/>
      <c r="T931" s="242"/>
      <c r="U931" s="242"/>
      <c r="V931" s="242"/>
      <c r="W931" s="242"/>
      <c r="X931" s="242"/>
    </row>
    <row r="932">
      <c r="A932" s="242"/>
      <c r="B932" s="242"/>
      <c r="C932" s="242"/>
      <c r="D932" s="242"/>
      <c r="E932" s="242"/>
      <c r="F932" s="242"/>
      <c r="G932" s="242"/>
      <c r="H932" s="242"/>
      <c r="I932" s="242"/>
      <c r="J932" s="242"/>
      <c r="K932" s="242"/>
      <c r="L932" s="242"/>
      <c r="M932" s="13"/>
      <c r="N932" s="13"/>
      <c r="O932" s="13"/>
      <c r="P932" s="341"/>
      <c r="Q932" s="13"/>
      <c r="R932" s="242"/>
      <c r="S932" s="242"/>
      <c r="T932" s="242"/>
      <c r="U932" s="242"/>
      <c r="V932" s="242"/>
      <c r="W932" s="242"/>
      <c r="X932" s="242"/>
    </row>
    <row r="933">
      <c r="A933" s="242"/>
      <c r="B933" s="242"/>
      <c r="C933" s="242"/>
      <c r="D933" s="242"/>
      <c r="E933" s="242"/>
      <c r="F933" s="242"/>
      <c r="G933" s="242"/>
      <c r="H933" s="242"/>
      <c r="I933" s="242"/>
      <c r="J933" s="242"/>
      <c r="K933" s="242"/>
      <c r="L933" s="242"/>
      <c r="M933" s="13"/>
      <c r="N933" s="13"/>
      <c r="O933" s="13"/>
      <c r="P933" s="341"/>
      <c r="Q933" s="13"/>
      <c r="R933" s="242"/>
      <c r="S933" s="242"/>
      <c r="T933" s="242"/>
      <c r="U933" s="242"/>
      <c r="V933" s="242"/>
      <c r="W933" s="242"/>
      <c r="X933" s="242"/>
    </row>
    <row r="934">
      <c r="A934" s="242"/>
      <c r="B934" s="242"/>
      <c r="C934" s="242"/>
      <c r="D934" s="242"/>
      <c r="E934" s="242"/>
      <c r="F934" s="242"/>
      <c r="G934" s="242"/>
      <c r="H934" s="242"/>
      <c r="I934" s="242"/>
      <c r="J934" s="242"/>
      <c r="K934" s="242"/>
      <c r="L934" s="242"/>
      <c r="M934" s="13"/>
      <c r="N934" s="13"/>
      <c r="O934" s="13"/>
      <c r="P934" s="341"/>
      <c r="Q934" s="13"/>
      <c r="R934" s="242"/>
      <c r="S934" s="242"/>
      <c r="T934" s="242"/>
      <c r="U934" s="242"/>
      <c r="V934" s="242"/>
      <c r="W934" s="242"/>
      <c r="X934" s="242"/>
    </row>
    <row r="935">
      <c r="A935" s="242"/>
      <c r="B935" s="242"/>
      <c r="C935" s="242"/>
      <c r="D935" s="242"/>
      <c r="E935" s="242"/>
      <c r="F935" s="242"/>
      <c r="G935" s="242"/>
      <c r="H935" s="242"/>
      <c r="I935" s="242"/>
      <c r="J935" s="242"/>
      <c r="K935" s="242"/>
      <c r="L935" s="242"/>
      <c r="M935" s="13"/>
      <c r="N935" s="13"/>
      <c r="O935" s="13"/>
      <c r="P935" s="341"/>
      <c r="Q935" s="13"/>
      <c r="R935" s="242"/>
      <c r="S935" s="242"/>
      <c r="T935" s="242"/>
      <c r="U935" s="242"/>
      <c r="V935" s="242"/>
      <c r="W935" s="242"/>
      <c r="X935" s="242"/>
    </row>
    <row r="936">
      <c r="A936" s="242"/>
      <c r="B936" s="242"/>
      <c r="C936" s="242"/>
      <c r="D936" s="242"/>
      <c r="E936" s="242"/>
      <c r="F936" s="242"/>
      <c r="G936" s="242"/>
      <c r="H936" s="242"/>
      <c r="I936" s="242"/>
      <c r="J936" s="242"/>
      <c r="K936" s="242"/>
      <c r="L936" s="242"/>
      <c r="M936" s="13"/>
      <c r="N936" s="13"/>
      <c r="O936" s="13"/>
      <c r="P936" s="341"/>
      <c r="Q936" s="13"/>
      <c r="R936" s="242"/>
      <c r="S936" s="242"/>
      <c r="T936" s="242"/>
      <c r="U936" s="242"/>
      <c r="V936" s="242"/>
      <c r="W936" s="242"/>
      <c r="X936" s="242"/>
    </row>
    <row r="937">
      <c r="A937" s="242"/>
      <c r="B937" s="242"/>
      <c r="C937" s="242"/>
      <c r="D937" s="242"/>
      <c r="E937" s="242"/>
      <c r="F937" s="242"/>
      <c r="G937" s="242"/>
      <c r="H937" s="242"/>
      <c r="I937" s="242"/>
      <c r="J937" s="242"/>
      <c r="K937" s="242"/>
      <c r="L937" s="242"/>
      <c r="M937" s="13"/>
      <c r="N937" s="13"/>
      <c r="O937" s="13"/>
      <c r="P937" s="341"/>
      <c r="Q937" s="13"/>
      <c r="R937" s="242"/>
      <c r="S937" s="242"/>
      <c r="T937" s="242"/>
      <c r="U937" s="242"/>
      <c r="V937" s="242"/>
      <c r="W937" s="242"/>
      <c r="X937" s="242"/>
    </row>
    <row r="938">
      <c r="A938" s="242"/>
      <c r="B938" s="242"/>
      <c r="C938" s="242"/>
      <c r="D938" s="242"/>
      <c r="E938" s="242"/>
      <c r="F938" s="242"/>
      <c r="G938" s="242"/>
      <c r="H938" s="242"/>
      <c r="I938" s="242"/>
      <c r="J938" s="242"/>
      <c r="K938" s="242"/>
      <c r="L938" s="242"/>
      <c r="M938" s="13"/>
      <c r="N938" s="13"/>
      <c r="O938" s="13"/>
      <c r="P938" s="341"/>
      <c r="Q938" s="13"/>
      <c r="R938" s="242"/>
      <c r="S938" s="242"/>
      <c r="T938" s="242"/>
      <c r="U938" s="242"/>
      <c r="V938" s="242"/>
      <c r="W938" s="242"/>
      <c r="X938" s="242"/>
    </row>
    <row r="939">
      <c r="A939" s="242"/>
      <c r="B939" s="242"/>
      <c r="C939" s="242"/>
      <c r="D939" s="242"/>
      <c r="E939" s="242"/>
      <c r="F939" s="242"/>
      <c r="G939" s="242"/>
      <c r="H939" s="242"/>
      <c r="I939" s="242"/>
      <c r="J939" s="242"/>
      <c r="K939" s="242"/>
      <c r="L939" s="242"/>
      <c r="M939" s="13"/>
      <c r="N939" s="13"/>
      <c r="O939" s="13"/>
      <c r="P939" s="341"/>
      <c r="Q939" s="13"/>
      <c r="R939" s="242"/>
      <c r="S939" s="242"/>
      <c r="T939" s="242"/>
      <c r="U939" s="242"/>
      <c r="V939" s="242"/>
      <c r="W939" s="242"/>
      <c r="X939" s="242"/>
    </row>
    <row r="940">
      <c r="A940" s="242"/>
      <c r="B940" s="242"/>
      <c r="C940" s="242"/>
      <c r="D940" s="242"/>
      <c r="E940" s="242"/>
      <c r="F940" s="242"/>
      <c r="G940" s="242"/>
      <c r="H940" s="242"/>
      <c r="I940" s="242"/>
      <c r="J940" s="242"/>
      <c r="K940" s="242"/>
      <c r="L940" s="242"/>
      <c r="M940" s="13"/>
      <c r="N940" s="13"/>
      <c r="O940" s="13"/>
      <c r="P940" s="341"/>
      <c r="Q940" s="13"/>
      <c r="R940" s="242"/>
      <c r="S940" s="242"/>
      <c r="T940" s="242"/>
      <c r="U940" s="242"/>
      <c r="V940" s="242"/>
      <c r="W940" s="242"/>
      <c r="X940" s="242"/>
    </row>
    <row r="941">
      <c r="A941" s="242"/>
      <c r="B941" s="242"/>
      <c r="C941" s="242"/>
      <c r="D941" s="242"/>
      <c r="E941" s="242"/>
      <c r="F941" s="242"/>
      <c r="G941" s="242"/>
      <c r="H941" s="242"/>
      <c r="I941" s="242"/>
      <c r="J941" s="242"/>
      <c r="K941" s="242"/>
      <c r="L941" s="242"/>
      <c r="M941" s="13"/>
      <c r="N941" s="13"/>
      <c r="O941" s="13"/>
      <c r="P941" s="341"/>
      <c r="Q941" s="13"/>
      <c r="R941" s="242"/>
      <c r="S941" s="242"/>
      <c r="T941" s="242"/>
      <c r="U941" s="242"/>
      <c r="V941" s="242"/>
      <c r="W941" s="242"/>
      <c r="X941" s="242"/>
    </row>
    <row r="942">
      <c r="A942" s="242"/>
      <c r="B942" s="242"/>
      <c r="C942" s="242"/>
      <c r="D942" s="242"/>
      <c r="E942" s="242"/>
      <c r="F942" s="242"/>
      <c r="G942" s="242"/>
      <c r="H942" s="242"/>
      <c r="I942" s="242"/>
      <c r="J942" s="242"/>
      <c r="K942" s="242"/>
      <c r="L942" s="242"/>
      <c r="M942" s="13"/>
      <c r="N942" s="13"/>
      <c r="O942" s="13"/>
      <c r="P942" s="341"/>
      <c r="Q942" s="13"/>
      <c r="R942" s="242"/>
      <c r="S942" s="242"/>
      <c r="T942" s="242"/>
      <c r="U942" s="242"/>
      <c r="V942" s="242"/>
      <c r="W942" s="242"/>
      <c r="X942" s="242"/>
    </row>
    <row r="943">
      <c r="A943" s="242"/>
      <c r="B943" s="242"/>
      <c r="C943" s="242"/>
      <c r="D943" s="242"/>
      <c r="E943" s="242"/>
      <c r="F943" s="242"/>
      <c r="G943" s="242"/>
      <c r="H943" s="242"/>
      <c r="I943" s="242"/>
      <c r="J943" s="242"/>
      <c r="K943" s="242"/>
      <c r="L943" s="242"/>
      <c r="M943" s="13"/>
      <c r="N943" s="13"/>
      <c r="O943" s="13"/>
      <c r="P943" s="341"/>
      <c r="Q943" s="13"/>
      <c r="R943" s="242"/>
      <c r="S943" s="242"/>
      <c r="T943" s="242"/>
      <c r="U943" s="242"/>
      <c r="V943" s="242"/>
      <c r="W943" s="242"/>
      <c r="X943" s="242"/>
    </row>
    <row r="944">
      <c r="A944" s="242"/>
      <c r="B944" s="242"/>
      <c r="C944" s="242"/>
      <c r="D944" s="242"/>
      <c r="E944" s="242"/>
      <c r="F944" s="242"/>
      <c r="G944" s="242"/>
      <c r="H944" s="242"/>
      <c r="I944" s="242"/>
      <c r="J944" s="242"/>
      <c r="K944" s="242"/>
      <c r="L944" s="242"/>
      <c r="M944" s="13"/>
      <c r="N944" s="13"/>
      <c r="O944" s="13"/>
      <c r="P944" s="341"/>
      <c r="Q944" s="13"/>
      <c r="R944" s="242"/>
      <c r="S944" s="242"/>
      <c r="T944" s="242"/>
      <c r="U944" s="242"/>
      <c r="V944" s="242"/>
      <c r="W944" s="242"/>
      <c r="X944" s="242"/>
    </row>
    <row r="945">
      <c r="A945" s="242"/>
      <c r="B945" s="242"/>
      <c r="C945" s="242"/>
      <c r="D945" s="242"/>
      <c r="E945" s="242"/>
      <c r="F945" s="242"/>
      <c r="G945" s="242"/>
      <c r="H945" s="242"/>
      <c r="I945" s="242"/>
      <c r="J945" s="242"/>
      <c r="K945" s="242"/>
      <c r="L945" s="242"/>
      <c r="M945" s="13"/>
      <c r="N945" s="13"/>
      <c r="O945" s="13"/>
      <c r="P945" s="341"/>
      <c r="Q945" s="13"/>
      <c r="R945" s="242"/>
      <c r="S945" s="242"/>
      <c r="T945" s="242"/>
      <c r="U945" s="242"/>
      <c r="V945" s="242"/>
      <c r="W945" s="242"/>
      <c r="X945" s="242"/>
    </row>
    <row r="946">
      <c r="A946" s="242"/>
      <c r="B946" s="242"/>
      <c r="C946" s="242"/>
      <c r="D946" s="242"/>
      <c r="E946" s="242"/>
      <c r="F946" s="242"/>
      <c r="G946" s="242"/>
      <c r="H946" s="242"/>
      <c r="I946" s="242"/>
      <c r="J946" s="242"/>
      <c r="K946" s="242"/>
      <c r="L946" s="242"/>
      <c r="M946" s="13"/>
      <c r="N946" s="13"/>
      <c r="O946" s="13"/>
      <c r="P946" s="341"/>
      <c r="Q946" s="13"/>
      <c r="R946" s="242"/>
      <c r="S946" s="242"/>
      <c r="T946" s="242"/>
      <c r="U946" s="242"/>
      <c r="V946" s="242"/>
      <c r="W946" s="242"/>
      <c r="X946" s="242"/>
    </row>
    <row r="947">
      <c r="A947" s="242"/>
      <c r="B947" s="242"/>
      <c r="C947" s="242"/>
      <c r="D947" s="242"/>
      <c r="E947" s="242"/>
      <c r="F947" s="242"/>
      <c r="G947" s="242"/>
      <c r="H947" s="242"/>
      <c r="I947" s="242"/>
      <c r="J947" s="242"/>
      <c r="K947" s="242"/>
      <c r="L947" s="242"/>
      <c r="M947" s="13"/>
      <c r="N947" s="13"/>
      <c r="O947" s="13"/>
      <c r="P947" s="341"/>
      <c r="Q947" s="13"/>
      <c r="R947" s="242"/>
      <c r="S947" s="242"/>
      <c r="T947" s="242"/>
      <c r="U947" s="242"/>
      <c r="V947" s="242"/>
      <c r="W947" s="242"/>
      <c r="X947" s="242"/>
    </row>
    <row r="948">
      <c r="A948" s="242"/>
      <c r="B948" s="242"/>
      <c r="C948" s="242"/>
      <c r="D948" s="242"/>
      <c r="E948" s="242"/>
      <c r="F948" s="242"/>
      <c r="G948" s="242"/>
      <c r="H948" s="242"/>
      <c r="I948" s="242"/>
      <c r="J948" s="242"/>
      <c r="K948" s="242"/>
      <c r="L948" s="242"/>
      <c r="M948" s="13"/>
      <c r="N948" s="13"/>
      <c r="O948" s="13"/>
      <c r="P948" s="341"/>
      <c r="Q948" s="13"/>
      <c r="R948" s="242"/>
      <c r="S948" s="242"/>
      <c r="T948" s="242"/>
      <c r="U948" s="242"/>
      <c r="V948" s="242"/>
      <c r="W948" s="242"/>
      <c r="X948" s="242"/>
    </row>
    <row r="949">
      <c r="A949" s="242"/>
      <c r="B949" s="242"/>
      <c r="C949" s="242"/>
      <c r="D949" s="242"/>
      <c r="E949" s="242"/>
      <c r="F949" s="242"/>
      <c r="G949" s="242"/>
      <c r="H949" s="242"/>
      <c r="I949" s="242"/>
      <c r="J949" s="242"/>
      <c r="K949" s="242"/>
      <c r="L949" s="242"/>
      <c r="M949" s="13"/>
      <c r="N949" s="13"/>
      <c r="O949" s="13"/>
      <c r="P949" s="341"/>
      <c r="Q949" s="13"/>
      <c r="R949" s="242"/>
      <c r="S949" s="242"/>
      <c r="T949" s="242"/>
      <c r="U949" s="242"/>
      <c r="V949" s="242"/>
      <c r="W949" s="242"/>
      <c r="X949" s="242"/>
    </row>
    <row r="950">
      <c r="A950" s="242"/>
      <c r="B950" s="242"/>
      <c r="C950" s="242"/>
      <c r="D950" s="242"/>
      <c r="E950" s="242"/>
      <c r="F950" s="242"/>
      <c r="G950" s="242"/>
      <c r="H950" s="242"/>
      <c r="I950" s="242"/>
      <c r="J950" s="242"/>
      <c r="K950" s="242"/>
      <c r="L950" s="242"/>
      <c r="M950" s="13"/>
      <c r="N950" s="13"/>
      <c r="O950" s="13"/>
      <c r="P950" s="341"/>
      <c r="Q950" s="13"/>
      <c r="R950" s="242"/>
      <c r="S950" s="242"/>
      <c r="T950" s="242"/>
      <c r="U950" s="242"/>
      <c r="V950" s="242"/>
      <c r="W950" s="242"/>
      <c r="X950" s="242"/>
    </row>
    <row r="951">
      <c r="A951" s="242"/>
      <c r="B951" s="242"/>
      <c r="C951" s="242"/>
      <c r="D951" s="242"/>
      <c r="E951" s="242"/>
      <c r="F951" s="242"/>
      <c r="G951" s="242"/>
      <c r="H951" s="242"/>
      <c r="I951" s="242"/>
      <c r="J951" s="242"/>
      <c r="K951" s="242"/>
      <c r="L951" s="242"/>
      <c r="M951" s="13"/>
      <c r="N951" s="13"/>
      <c r="O951" s="13"/>
      <c r="P951" s="341"/>
      <c r="Q951" s="13"/>
      <c r="R951" s="242"/>
      <c r="S951" s="242"/>
      <c r="T951" s="242"/>
      <c r="U951" s="242"/>
      <c r="V951" s="242"/>
      <c r="W951" s="242"/>
      <c r="X951" s="242"/>
    </row>
    <row r="952">
      <c r="A952" s="242"/>
      <c r="B952" s="242"/>
      <c r="C952" s="242"/>
      <c r="D952" s="242"/>
      <c r="E952" s="242"/>
      <c r="F952" s="242"/>
      <c r="G952" s="242"/>
      <c r="H952" s="242"/>
      <c r="I952" s="242"/>
      <c r="J952" s="242"/>
      <c r="K952" s="242"/>
      <c r="L952" s="242"/>
      <c r="M952" s="13"/>
      <c r="N952" s="13"/>
      <c r="O952" s="13"/>
      <c r="P952" s="341"/>
      <c r="Q952" s="13"/>
      <c r="R952" s="242"/>
      <c r="S952" s="242"/>
      <c r="T952" s="242"/>
      <c r="U952" s="242"/>
      <c r="V952" s="242"/>
      <c r="W952" s="242"/>
      <c r="X952" s="242"/>
    </row>
    <row r="953">
      <c r="A953" s="242"/>
      <c r="B953" s="242"/>
      <c r="C953" s="242"/>
      <c r="D953" s="242"/>
      <c r="E953" s="242"/>
      <c r="F953" s="242"/>
      <c r="G953" s="242"/>
      <c r="H953" s="242"/>
      <c r="I953" s="242"/>
      <c r="J953" s="242"/>
      <c r="K953" s="242"/>
      <c r="L953" s="242"/>
      <c r="M953" s="13"/>
      <c r="N953" s="13"/>
      <c r="O953" s="13"/>
      <c r="P953" s="341"/>
      <c r="Q953" s="13"/>
      <c r="R953" s="242"/>
      <c r="S953" s="242"/>
      <c r="T953" s="242"/>
      <c r="U953" s="242"/>
      <c r="V953" s="242"/>
      <c r="W953" s="242"/>
      <c r="X953" s="242"/>
    </row>
    <row r="954">
      <c r="A954" s="242"/>
      <c r="B954" s="242"/>
      <c r="C954" s="242"/>
      <c r="D954" s="242"/>
      <c r="E954" s="242"/>
      <c r="F954" s="242"/>
      <c r="G954" s="242"/>
      <c r="H954" s="242"/>
      <c r="I954" s="242"/>
      <c r="J954" s="242"/>
      <c r="K954" s="242"/>
      <c r="L954" s="242"/>
      <c r="M954" s="13"/>
      <c r="N954" s="13"/>
      <c r="O954" s="13"/>
      <c r="P954" s="341"/>
      <c r="Q954" s="13"/>
      <c r="R954" s="242"/>
      <c r="S954" s="242"/>
      <c r="T954" s="242"/>
      <c r="U954" s="242"/>
      <c r="V954" s="242"/>
      <c r="W954" s="242"/>
      <c r="X954" s="242"/>
    </row>
    <row r="955">
      <c r="A955" s="242"/>
      <c r="B955" s="242"/>
      <c r="C955" s="242"/>
      <c r="D955" s="242"/>
      <c r="E955" s="242"/>
      <c r="F955" s="242"/>
      <c r="G955" s="242"/>
      <c r="H955" s="242"/>
      <c r="I955" s="242"/>
      <c r="J955" s="242"/>
      <c r="K955" s="242"/>
      <c r="L955" s="242"/>
      <c r="M955" s="13"/>
      <c r="N955" s="13"/>
      <c r="O955" s="13"/>
      <c r="P955" s="341"/>
      <c r="Q955" s="13"/>
      <c r="R955" s="242"/>
      <c r="S955" s="242"/>
      <c r="T955" s="242"/>
      <c r="U955" s="242"/>
      <c r="V955" s="242"/>
      <c r="W955" s="242"/>
      <c r="X955" s="242"/>
    </row>
    <row r="956">
      <c r="A956" s="242"/>
      <c r="B956" s="242"/>
      <c r="C956" s="242"/>
      <c r="D956" s="242"/>
      <c r="E956" s="242"/>
      <c r="F956" s="242"/>
      <c r="G956" s="242"/>
      <c r="H956" s="242"/>
      <c r="I956" s="242"/>
      <c r="J956" s="242"/>
      <c r="K956" s="242"/>
      <c r="L956" s="242"/>
      <c r="M956" s="13"/>
      <c r="N956" s="13"/>
      <c r="O956" s="13"/>
      <c r="P956" s="341"/>
      <c r="Q956" s="13"/>
      <c r="R956" s="242"/>
      <c r="S956" s="242"/>
      <c r="T956" s="242"/>
      <c r="U956" s="242"/>
      <c r="V956" s="242"/>
      <c r="W956" s="242"/>
      <c r="X956" s="242"/>
    </row>
    <row r="957">
      <c r="A957" s="242"/>
      <c r="B957" s="242"/>
      <c r="C957" s="242"/>
      <c r="D957" s="242"/>
      <c r="E957" s="242"/>
      <c r="F957" s="242"/>
      <c r="G957" s="242"/>
      <c r="H957" s="242"/>
      <c r="I957" s="242"/>
      <c r="J957" s="242"/>
      <c r="K957" s="242"/>
      <c r="L957" s="242"/>
      <c r="M957" s="13"/>
      <c r="N957" s="13"/>
      <c r="O957" s="13"/>
      <c r="P957" s="341"/>
      <c r="Q957" s="13"/>
      <c r="R957" s="242"/>
      <c r="S957" s="242"/>
      <c r="T957" s="242"/>
      <c r="U957" s="242"/>
      <c r="V957" s="242"/>
      <c r="W957" s="242"/>
      <c r="X957" s="242"/>
    </row>
    <row r="958">
      <c r="A958" s="242"/>
      <c r="B958" s="242"/>
      <c r="C958" s="242"/>
      <c r="D958" s="242"/>
      <c r="E958" s="242"/>
      <c r="F958" s="242"/>
      <c r="G958" s="242"/>
      <c r="H958" s="242"/>
      <c r="I958" s="242"/>
      <c r="J958" s="242"/>
      <c r="K958" s="242"/>
      <c r="L958" s="242"/>
      <c r="M958" s="13"/>
      <c r="N958" s="13"/>
      <c r="O958" s="13"/>
      <c r="P958" s="341"/>
      <c r="Q958" s="13"/>
      <c r="R958" s="242"/>
      <c r="S958" s="242"/>
      <c r="T958" s="242"/>
      <c r="U958" s="242"/>
      <c r="V958" s="242"/>
      <c r="W958" s="242"/>
      <c r="X958" s="242"/>
    </row>
    <row r="959">
      <c r="A959" s="242"/>
      <c r="B959" s="242"/>
      <c r="C959" s="242"/>
      <c r="D959" s="242"/>
      <c r="E959" s="242"/>
      <c r="F959" s="242"/>
      <c r="G959" s="242"/>
      <c r="H959" s="242"/>
      <c r="I959" s="242"/>
      <c r="J959" s="242"/>
      <c r="K959" s="242"/>
      <c r="L959" s="242"/>
      <c r="M959" s="13"/>
      <c r="N959" s="13"/>
      <c r="O959" s="13"/>
      <c r="P959" s="341"/>
      <c r="Q959" s="13"/>
      <c r="R959" s="242"/>
      <c r="S959" s="242"/>
      <c r="T959" s="242"/>
      <c r="U959" s="242"/>
      <c r="V959" s="242"/>
      <c r="W959" s="242"/>
      <c r="X959" s="242"/>
    </row>
    <row r="960">
      <c r="A960" s="242"/>
      <c r="B960" s="242"/>
      <c r="C960" s="242"/>
      <c r="D960" s="242"/>
      <c r="E960" s="242"/>
      <c r="F960" s="242"/>
      <c r="G960" s="242"/>
      <c r="H960" s="242"/>
      <c r="I960" s="242"/>
      <c r="J960" s="242"/>
      <c r="K960" s="242"/>
      <c r="L960" s="242"/>
      <c r="M960" s="13"/>
      <c r="N960" s="13"/>
      <c r="O960" s="13"/>
      <c r="P960" s="341"/>
      <c r="Q960" s="13"/>
      <c r="R960" s="242"/>
      <c r="S960" s="242"/>
      <c r="T960" s="242"/>
      <c r="U960" s="242"/>
      <c r="V960" s="242"/>
      <c r="W960" s="242"/>
      <c r="X960" s="242"/>
    </row>
    <row r="961">
      <c r="A961" s="242"/>
      <c r="B961" s="242"/>
      <c r="C961" s="242"/>
      <c r="D961" s="242"/>
      <c r="E961" s="242"/>
      <c r="F961" s="242"/>
      <c r="G961" s="242"/>
      <c r="H961" s="242"/>
      <c r="I961" s="242"/>
      <c r="J961" s="242"/>
      <c r="K961" s="242"/>
      <c r="L961" s="242"/>
      <c r="M961" s="13"/>
      <c r="N961" s="13"/>
      <c r="O961" s="13"/>
      <c r="P961" s="341"/>
      <c r="Q961" s="13"/>
      <c r="R961" s="242"/>
      <c r="S961" s="242"/>
      <c r="T961" s="242"/>
      <c r="U961" s="242"/>
      <c r="V961" s="242"/>
      <c r="W961" s="242"/>
      <c r="X961" s="242"/>
    </row>
    <row r="962">
      <c r="A962" s="242"/>
      <c r="B962" s="242"/>
      <c r="C962" s="242"/>
      <c r="D962" s="242"/>
      <c r="E962" s="242"/>
      <c r="F962" s="242"/>
      <c r="G962" s="242"/>
      <c r="H962" s="242"/>
      <c r="I962" s="242"/>
      <c r="J962" s="242"/>
      <c r="K962" s="242"/>
      <c r="L962" s="242"/>
      <c r="M962" s="13"/>
      <c r="N962" s="13"/>
      <c r="O962" s="13"/>
      <c r="P962" s="341"/>
      <c r="Q962" s="13"/>
      <c r="R962" s="242"/>
      <c r="S962" s="242"/>
      <c r="T962" s="242"/>
      <c r="U962" s="242"/>
      <c r="V962" s="242"/>
      <c r="W962" s="242"/>
      <c r="X962" s="242"/>
    </row>
    <row r="963">
      <c r="A963" s="242"/>
      <c r="B963" s="242"/>
      <c r="C963" s="242"/>
      <c r="D963" s="242"/>
      <c r="E963" s="242"/>
      <c r="F963" s="242"/>
      <c r="G963" s="242"/>
      <c r="H963" s="242"/>
      <c r="I963" s="242"/>
      <c r="J963" s="242"/>
      <c r="K963" s="242"/>
      <c r="L963" s="242"/>
      <c r="M963" s="13"/>
      <c r="N963" s="13"/>
      <c r="O963" s="13"/>
      <c r="P963" s="341"/>
      <c r="Q963" s="13"/>
      <c r="R963" s="242"/>
      <c r="S963" s="242"/>
      <c r="T963" s="242"/>
      <c r="U963" s="242"/>
      <c r="V963" s="242"/>
      <c r="W963" s="242"/>
      <c r="X963" s="242"/>
    </row>
    <row r="964">
      <c r="A964" s="242"/>
      <c r="B964" s="242"/>
      <c r="C964" s="242"/>
      <c r="D964" s="242"/>
      <c r="E964" s="242"/>
      <c r="F964" s="242"/>
      <c r="G964" s="242"/>
      <c r="H964" s="242"/>
      <c r="I964" s="242"/>
      <c r="J964" s="242"/>
      <c r="K964" s="242"/>
      <c r="L964" s="242"/>
      <c r="M964" s="13"/>
      <c r="N964" s="13"/>
      <c r="O964" s="13"/>
      <c r="P964" s="341"/>
      <c r="Q964" s="13"/>
      <c r="R964" s="242"/>
      <c r="S964" s="242"/>
      <c r="T964" s="242"/>
      <c r="U964" s="242"/>
      <c r="V964" s="242"/>
      <c r="W964" s="242"/>
      <c r="X964" s="242"/>
    </row>
    <row r="965">
      <c r="A965" s="242"/>
      <c r="B965" s="242"/>
      <c r="C965" s="242"/>
      <c r="D965" s="242"/>
      <c r="E965" s="242"/>
      <c r="F965" s="242"/>
      <c r="G965" s="242"/>
      <c r="H965" s="242"/>
      <c r="I965" s="242"/>
      <c r="J965" s="242"/>
      <c r="K965" s="242"/>
      <c r="L965" s="242"/>
      <c r="M965" s="13"/>
      <c r="N965" s="13"/>
      <c r="O965" s="13"/>
      <c r="P965" s="341"/>
      <c r="Q965" s="13"/>
      <c r="R965" s="242"/>
      <c r="S965" s="242"/>
      <c r="T965" s="242"/>
      <c r="U965" s="242"/>
      <c r="V965" s="242"/>
      <c r="W965" s="242"/>
      <c r="X965" s="242"/>
    </row>
    <row r="966">
      <c r="A966" s="242"/>
      <c r="B966" s="242"/>
      <c r="C966" s="242"/>
      <c r="D966" s="242"/>
      <c r="E966" s="242"/>
      <c r="F966" s="242"/>
      <c r="G966" s="242"/>
      <c r="H966" s="242"/>
      <c r="I966" s="242"/>
      <c r="J966" s="242"/>
      <c r="K966" s="242"/>
      <c r="L966" s="242"/>
      <c r="M966" s="13"/>
      <c r="N966" s="13"/>
      <c r="O966" s="13"/>
      <c r="P966" s="341"/>
      <c r="Q966" s="13"/>
      <c r="R966" s="242"/>
      <c r="S966" s="242"/>
      <c r="T966" s="242"/>
      <c r="U966" s="242"/>
      <c r="V966" s="242"/>
      <c r="W966" s="242"/>
      <c r="X966" s="242"/>
    </row>
    <row r="967">
      <c r="A967" s="242"/>
      <c r="B967" s="242"/>
      <c r="C967" s="242"/>
      <c r="D967" s="242"/>
      <c r="E967" s="242"/>
      <c r="F967" s="242"/>
      <c r="G967" s="242"/>
      <c r="H967" s="242"/>
      <c r="I967" s="242"/>
      <c r="J967" s="242"/>
      <c r="K967" s="242"/>
      <c r="L967" s="242"/>
      <c r="M967" s="13"/>
      <c r="N967" s="13"/>
      <c r="O967" s="13"/>
      <c r="P967" s="341"/>
      <c r="Q967" s="13"/>
      <c r="R967" s="242"/>
      <c r="S967" s="242"/>
      <c r="T967" s="242"/>
      <c r="U967" s="242"/>
      <c r="V967" s="242"/>
      <c r="W967" s="242"/>
      <c r="X967" s="242"/>
    </row>
    <row r="968">
      <c r="A968" s="242"/>
      <c r="B968" s="242"/>
      <c r="C968" s="242"/>
      <c r="D968" s="242"/>
      <c r="E968" s="242"/>
      <c r="F968" s="242"/>
      <c r="G968" s="242"/>
      <c r="H968" s="242"/>
      <c r="I968" s="242"/>
      <c r="J968" s="242"/>
      <c r="K968" s="242"/>
      <c r="L968" s="242"/>
      <c r="M968" s="13"/>
      <c r="N968" s="13"/>
      <c r="O968" s="13"/>
      <c r="P968" s="341"/>
      <c r="Q968" s="13"/>
      <c r="R968" s="242"/>
      <c r="S968" s="242"/>
      <c r="T968" s="242"/>
      <c r="U968" s="242"/>
      <c r="V968" s="242"/>
      <c r="W968" s="242"/>
      <c r="X968" s="242"/>
    </row>
    <row r="969">
      <c r="A969" s="242"/>
      <c r="B969" s="242"/>
      <c r="C969" s="242"/>
      <c r="D969" s="242"/>
      <c r="E969" s="242"/>
      <c r="F969" s="242"/>
      <c r="G969" s="242"/>
      <c r="H969" s="242"/>
      <c r="I969" s="242"/>
      <c r="J969" s="242"/>
      <c r="K969" s="242"/>
      <c r="L969" s="242"/>
      <c r="M969" s="13"/>
      <c r="N969" s="13"/>
      <c r="O969" s="13"/>
      <c r="P969" s="341"/>
      <c r="Q969" s="13"/>
      <c r="R969" s="242"/>
      <c r="S969" s="242"/>
      <c r="T969" s="242"/>
      <c r="U969" s="242"/>
      <c r="V969" s="242"/>
      <c r="W969" s="242"/>
      <c r="X969" s="242"/>
    </row>
    <row r="970">
      <c r="A970" s="242"/>
      <c r="B970" s="242"/>
      <c r="C970" s="242"/>
      <c r="D970" s="242"/>
      <c r="E970" s="242"/>
      <c r="F970" s="242"/>
      <c r="G970" s="242"/>
      <c r="H970" s="242"/>
      <c r="I970" s="242"/>
      <c r="J970" s="242"/>
      <c r="K970" s="242"/>
      <c r="L970" s="242"/>
      <c r="M970" s="13"/>
      <c r="N970" s="13"/>
      <c r="O970" s="13"/>
      <c r="P970" s="341"/>
      <c r="Q970" s="13"/>
      <c r="R970" s="242"/>
      <c r="S970" s="242"/>
      <c r="T970" s="242"/>
      <c r="U970" s="242"/>
      <c r="V970" s="242"/>
      <c r="W970" s="242"/>
      <c r="X970" s="242"/>
    </row>
    <row r="971">
      <c r="A971" s="242"/>
      <c r="B971" s="242"/>
      <c r="C971" s="242"/>
      <c r="D971" s="242"/>
      <c r="E971" s="242"/>
      <c r="F971" s="242"/>
      <c r="G971" s="242"/>
      <c r="H971" s="242"/>
      <c r="I971" s="242"/>
      <c r="J971" s="242"/>
      <c r="K971" s="242"/>
      <c r="L971" s="242"/>
      <c r="M971" s="13"/>
      <c r="N971" s="13"/>
      <c r="O971" s="13"/>
      <c r="P971" s="341"/>
      <c r="Q971" s="13"/>
      <c r="R971" s="242"/>
      <c r="S971" s="242"/>
      <c r="T971" s="242"/>
      <c r="U971" s="242"/>
      <c r="V971" s="242"/>
      <c r="W971" s="242"/>
      <c r="X971" s="242"/>
    </row>
    <row r="972">
      <c r="A972" s="242"/>
      <c r="B972" s="242"/>
      <c r="C972" s="242"/>
      <c r="D972" s="242"/>
      <c r="E972" s="242"/>
      <c r="F972" s="242"/>
      <c r="G972" s="242"/>
      <c r="H972" s="242"/>
      <c r="I972" s="242"/>
      <c r="J972" s="242"/>
      <c r="K972" s="242"/>
      <c r="L972" s="242"/>
      <c r="M972" s="13"/>
      <c r="N972" s="13"/>
      <c r="O972" s="13"/>
      <c r="P972" s="341"/>
      <c r="Q972" s="13"/>
      <c r="R972" s="242"/>
      <c r="S972" s="242"/>
      <c r="T972" s="242"/>
      <c r="U972" s="242"/>
      <c r="V972" s="242"/>
      <c r="W972" s="242"/>
      <c r="X972" s="242"/>
    </row>
    <row r="973">
      <c r="A973" s="242"/>
      <c r="B973" s="242"/>
      <c r="C973" s="242"/>
      <c r="D973" s="242"/>
      <c r="E973" s="242"/>
      <c r="F973" s="242"/>
      <c r="G973" s="242"/>
      <c r="H973" s="242"/>
      <c r="I973" s="242"/>
      <c r="J973" s="242"/>
      <c r="K973" s="242"/>
      <c r="L973" s="242"/>
      <c r="M973" s="13"/>
      <c r="N973" s="13"/>
      <c r="O973" s="13"/>
      <c r="P973" s="341"/>
      <c r="Q973" s="13"/>
      <c r="R973" s="242"/>
      <c r="S973" s="242"/>
      <c r="T973" s="242"/>
      <c r="U973" s="242"/>
      <c r="V973" s="242"/>
      <c r="W973" s="242"/>
      <c r="X973" s="242"/>
    </row>
    <row r="974">
      <c r="A974" s="242"/>
      <c r="B974" s="242"/>
      <c r="C974" s="242"/>
      <c r="D974" s="242"/>
      <c r="E974" s="242"/>
      <c r="F974" s="242"/>
      <c r="G974" s="242"/>
      <c r="H974" s="242"/>
      <c r="I974" s="242"/>
      <c r="J974" s="242"/>
      <c r="K974" s="242"/>
      <c r="L974" s="242"/>
      <c r="M974" s="13"/>
      <c r="N974" s="13"/>
      <c r="O974" s="13"/>
      <c r="P974" s="341"/>
      <c r="Q974" s="13"/>
      <c r="R974" s="242"/>
      <c r="S974" s="242"/>
      <c r="T974" s="242"/>
      <c r="U974" s="242"/>
      <c r="V974" s="242"/>
      <c r="W974" s="242"/>
      <c r="X974" s="242"/>
    </row>
    <row r="975">
      <c r="A975" s="242"/>
      <c r="B975" s="242"/>
      <c r="C975" s="242"/>
      <c r="D975" s="242"/>
      <c r="E975" s="242"/>
      <c r="F975" s="242"/>
      <c r="G975" s="242"/>
      <c r="H975" s="242"/>
      <c r="I975" s="242"/>
      <c r="J975" s="242"/>
      <c r="K975" s="242"/>
      <c r="L975" s="242"/>
      <c r="M975" s="13"/>
      <c r="N975" s="13"/>
      <c r="O975" s="13"/>
      <c r="P975" s="341"/>
      <c r="Q975" s="13"/>
      <c r="R975" s="242"/>
      <c r="S975" s="242"/>
      <c r="T975" s="242"/>
      <c r="U975" s="242"/>
      <c r="V975" s="242"/>
      <c r="W975" s="242"/>
      <c r="X975" s="242"/>
    </row>
    <row r="976">
      <c r="A976" s="242"/>
      <c r="B976" s="242"/>
      <c r="C976" s="242"/>
      <c r="D976" s="242"/>
      <c r="E976" s="242"/>
      <c r="F976" s="242"/>
      <c r="G976" s="242"/>
      <c r="H976" s="242"/>
      <c r="I976" s="242"/>
      <c r="J976" s="242"/>
      <c r="K976" s="242"/>
      <c r="L976" s="242"/>
      <c r="M976" s="13"/>
      <c r="N976" s="13"/>
      <c r="O976" s="13"/>
      <c r="P976" s="341"/>
      <c r="Q976" s="13"/>
      <c r="R976" s="242"/>
      <c r="S976" s="242"/>
      <c r="T976" s="242"/>
      <c r="U976" s="242"/>
      <c r="V976" s="242"/>
      <c r="W976" s="242"/>
      <c r="X976" s="242"/>
    </row>
    <row r="977">
      <c r="A977" s="242"/>
      <c r="B977" s="242"/>
      <c r="C977" s="242"/>
      <c r="D977" s="242"/>
      <c r="E977" s="242"/>
      <c r="F977" s="242"/>
      <c r="G977" s="242"/>
      <c r="H977" s="242"/>
      <c r="I977" s="242"/>
      <c r="J977" s="242"/>
      <c r="K977" s="242"/>
      <c r="L977" s="242"/>
      <c r="M977" s="13"/>
      <c r="N977" s="13"/>
      <c r="O977" s="13"/>
      <c r="P977" s="341"/>
      <c r="Q977" s="13"/>
      <c r="R977" s="242"/>
      <c r="S977" s="242"/>
      <c r="T977" s="242"/>
      <c r="U977" s="242"/>
      <c r="V977" s="242"/>
      <c r="W977" s="242"/>
      <c r="X977" s="242"/>
    </row>
    <row r="978">
      <c r="A978" s="242"/>
      <c r="B978" s="242"/>
      <c r="C978" s="242"/>
      <c r="D978" s="242"/>
      <c r="E978" s="242"/>
      <c r="F978" s="242"/>
      <c r="G978" s="242"/>
      <c r="H978" s="242"/>
      <c r="I978" s="242"/>
      <c r="J978" s="242"/>
      <c r="K978" s="242"/>
      <c r="L978" s="242"/>
      <c r="M978" s="13"/>
      <c r="N978" s="13"/>
      <c r="O978" s="13"/>
      <c r="P978" s="341"/>
      <c r="Q978" s="13"/>
      <c r="R978" s="242"/>
      <c r="S978" s="242"/>
      <c r="T978" s="242"/>
      <c r="U978" s="242"/>
      <c r="V978" s="242"/>
      <c r="W978" s="242"/>
      <c r="X978" s="242"/>
    </row>
    <row r="979">
      <c r="A979" s="242"/>
      <c r="B979" s="242"/>
      <c r="C979" s="242"/>
      <c r="D979" s="242"/>
      <c r="E979" s="242"/>
      <c r="F979" s="242"/>
      <c r="G979" s="242"/>
      <c r="H979" s="242"/>
      <c r="I979" s="242"/>
      <c r="J979" s="242"/>
      <c r="K979" s="242"/>
      <c r="L979" s="242"/>
      <c r="M979" s="13"/>
      <c r="N979" s="13"/>
      <c r="O979" s="13"/>
      <c r="P979" s="341"/>
      <c r="Q979" s="13"/>
      <c r="R979" s="242"/>
      <c r="S979" s="242"/>
      <c r="T979" s="242"/>
      <c r="U979" s="242"/>
      <c r="V979" s="242"/>
      <c r="W979" s="242"/>
      <c r="X979" s="242"/>
    </row>
    <row r="980">
      <c r="A980" s="242"/>
      <c r="B980" s="242"/>
      <c r="C980" s="242"/>
      <c r="D980" s="242"/>
      <c r="E980" s="242"/>
      <c r="F980" s="242"/>
      <c r="G980" s="242"/>
      <c r="H980" s="242"/>
      <c r="I980" s="242"/>
      <c r="J980" s="242"/>
      <c r="K980" s="242"/>
      <c r="L980" s="242"/>
      <c r="M980" s="13"/>
      <c r="N980" s="13"/>
      <c r="O980" s="13"/>
      <c r="P980" s="341"/>
      <c r="Q980" s="13"/>
      <c r="R980" s="242"/>
      <c r="S980" s="242"/>
      <c r="T980" s="242"/>
      <c r="U980" s="242"/>
      <c r="V980" s="242"/>
      <c r="W980" s="242"/>
      <c r="X980" s="242"/>
    </row>
    <row r="981">
      <c r="A981" s="242"/>
      <c r="B981" s="242"/>
      <c r="C981" s="242"/>
      <c r="D981" s="242"/>
      <c r="E981" s="242"/>
      <c r="F981" s="242"/>
      <c r="G981" s="242"/>
      <c r="H981" s="242"/>
      <c r="I981" s="242"/>
      <c r="J981" s="242"/>
      <c r="K981" s="242"/>
      <c r="L981" s="242"/>
      <c r="M981" s="13"/>
      <c r="N981" s="13"/>
      <c r="O981" s="13"/>
      <c r="P981" s="341"/>
      <c r="Q981" s="13"/>
      <c r="R981" s="242"/>
      <c r="S981" s="242"/>
      <c r="T981" s="242"/>
      <c r="U981" s="242"/>
      <c r="V981" s="242"/>
      <c r="W981" s="242"/>
      <c r="X981" s="242"/>
    </row>
    <row r="982">
      <c r="A982" s="242"/>
      <c r="B982" s="242"/>
      <c r="C982" s="242"/>
      <c r="D982" s="242"/>
      <c r="E982" s="242"/>
      <c r="F982" s="242"/>
      <c r="G982" s="242"/>
      <c r="H982" s="242"/>
      <c r="I982" s="242"/>
      <c r="J982" s="242"/>
      <c r="K982" s="242"/>
      <c r="L982" s="242"/>
      <c r="M982" s="13"/>
      <c r="N982" s="13"/>
      <c r="O982" s="13"/>
      <c r="P982" s="341"/>
      <c r="Q982" s="13"/>
      <c r="R982" s="242"/>
      <c r="S982" s="242"/>
      <c r="T982" s="242"/>
      <c r="U982" s="242"/>
      <c r="V982" s="242"/>
      <c r="W982" s="242"/>
      <c r="X982" s="242"/>
    </row>
    <row r="983">
      <c r="A983" s="242"/>
      <c r="B983" s="242"/>
      <c r="C983" s="242"/>
      <c r="D983" s="242"/>
      <c r="E983" s="242"/>
      <c r="F983" s="242"/>
      <c r="G983" s="242"/>
      <c r="H983" s="242"/>
      <c r="I983" s="242"/>
      <c r="J983" s="242"/>
      <c r="K983" s="242"/>
      <c r="L983" s="242"/>
      <c r="M983" s="13"/>
      <c r="N983" s="13"/>
      <c r="O983" s="13"/>
      <c r="P983" s="341"/>
      <c r="Q983" s="13"/>
      <c r="R983" s="242"/>
      <c r="S983" s="242"/>
      <c r="T983" s="242"/>
      <c r="U983" s="242"/>
      <c r="V983" s="242"/>
      <c r="W983" s="242"/>
      <c r="X983" s="242"/>
    </row>
    <row r="984">
      <c r="A984" s="242"/>
      <c r="B984" s="242"/>
      <c r="C984" s="242"/>
      <c r="D984" s="242"/>
      <c r="E984" s="242"/>
      <c r="F984" s="242"/>
      <c r="G984" s="242"/>
      <c r="H984" s="242"/>
      <c r="I984" s="242"/>
      <c r="J984" s="242"/>
      <c r="K984" s="242"/>
      <c r="L984" s="242"/>
      <c r="M984" s="13"/>
      <c r="N984" s="13"/>
      <c r="O984" s="13"/>
      <c r="P984" s="341"/>
      <c r="Q984" s="13"/>
      <c r="R984" s="242"/>
      <c r="S984" s="242"/>
      <c r="T984" s="242"/>
      <c r="U984" s="242"/>
      <c r="V984" s="242"/>
      <c r="W984" s="242"/>
      <c r="X984" s="242"/>
    </row>
    <row r="985">
      <c r="A985" s="242"/>
      <c r="B985" s="242"/>
      <c r="C985" s="242"/>
      <c r="D985" s="242"/>
      <c r="E985" s="242"/>
      <c r="F985" s="242"/>
      <c r="G985" s="242"/>
      <c r="H985" s="242"/>
      <c r="I985" s="242"/>
      <c r="J985" s="242"/>
      <c r="K985" s="242"/>
      <c r="L985" s="242"/>
      <c r="M985" s="13"/>
      <c r="N985" s="13"/>
      <c r="O985" s="13"/>
      <c r="P985" s="341"/>
      <c r="Q985" s="13"/>
      <c r="R985" s="242"/>
      <c r="S985" s="242"/>
      <c r="T985" s="242"/>
      <c r="U985" s="242"/>
      <c r="V985" s="242"/>
      <c r="W985" s="242"/>
      <c r="X985" s="242"/>
    </row>
    <row r="986">
      <c r="A986" s="242"/>
      <c r="B986" s="242"/>
      <c r="C986" s="242"/>
      <c r="D986" s="242"/>
      <c r="E986" s="242"/>
      <c r="F986" s="242"/>
      <c r="G986" s="242"/>
      <c r="H986" s="242"/>
      <c r="I986" s="242"/>
      <c r="J986" s="242"/>
      <c r="K986" s="242"/>
      <c r="L986" s="242"/>
      <c r="M986" s="13"/>
      <c r="N986" s="13"/>
      <c r="O986" s="13"/>
      <c r="P986" s="341"/>
      <c r="Q986" s="13"/>
      <c r="R986" s="242"/>
      <c r="S986" s="242"/>
      <c r="T986" s="242"/>
      <c r="U986" s="242"/>
      <c r="V986" s="242"/>
      <c r="W986" s="242"/>
      <c r="X986" s="242"/>
    </row>
    <row r="987">
      <c r="A987" s="242"/>
      <c r="B987" s="242"/>
      <c r="C987" s="242"/>
      <c r="D987" s="242"/>
      <c r="E987" s="242"/>
      <c r="F987" s="242"/>
      <c r="G987" s="242"/>
      <c r="H987" s="242"/>
      <c r="I987" s="242"/>
      <c r="J987" s="242"/>
      <c r="K987" s="242"/>
      <c r="L987" s="242"/>
      <c r="M987" s="13"/>
      <c r="N987" s="13"/>
      <c r="O987" s="13"/>
      <c r="P987" s="341"/>
      <c r="Q987" s="13"/>
      <c r="R987" s="242"/>
      <c r="S987" s="242"/>
      <c r="T987" s="242"/>
      <c r="U987" s="242"/>
      <c r="V987" s="242"/>
      <c r="W987" s="242"/>
      <c r="X987" s="242"/>
    </row>
    <row r="988">
      <c r="A988" s="242"/>
      <c r="B988" s="242"/>
      <c r="C988" s="242"/>
      <c r="D988" s="242"/>
      <c r="E988" s="242"/>
      <c r="F988" s="242"/>
      <c r="G988" s="242"/>
      <c r="H988" s="242"/>
      <c r="I988" s="242"/>
      <c r="J988" s="242"/>
      <c r="K988" s="242"/>
      <c r="L988" s="242"/>
      <c r="M988" s="13"/>
      <c r="N988" s="13"/>
      <c r="O988" s="13"/>
      <c r="P988" s="341"/>
      <c r="Q988" s="13"/>
      <c r="R988" s="242"/>
      <c r="S988" s="242"/>
      <c r="T988" s="242"/>
      <c r="U988" s="242"/>
      <c r="V988" s="242"/>
      <c r="W988" s="242"/>
      <c r="X988" s="242"/>
    </row>
    <row r="989">
      <c r="A989" s="242"/>
      <c r="B989" s="242"/>
      <c r="C989" s="242"/>
      <c r="D989" s="242"/>
      <c r="E989" s="242"/>
      <c r="F989" s="242"/>
      <c r="G989" s="242"/>
      <c r="H989" s="242"/>
      <c r="I989" s="242"/>
      <c r="J989" s="242"/>
      <c r="K989" s="242"/>
      <c r="L989" s="242"/>
      <c r="M989" s="13"/>
      <c r="N989" s="13"/>
      <c r="O989" s="13"/>
      <c r="P989" s="341"/>
      <c r="Q989" s="13"/>
      <c r="R989" s="242"/>
      <c r="S989" s="242"/>
      <c r="T989" s="242"/>
      <c r="U989" s="242"/>
      <c r="V989" s="242"/>
      <c r="W989" s="242"/>
      <c r="X989" s="242"/>
    </row>
    <row r="990">
      <c r="A990" s="242"/>
      <c r="B990" s="242"/>
      <c r="C990" s="242"/>
      <c r="D990" s="242"/>
      <c r="E990" s="242"/>
      <c r="F990" s="242"/>
      <c r="G990" s="242"/>
      <c r="H990" s="242"/>
      <c r="I990" s="242"/>
      <c r="J990" s="242"/>
      <c r="K990" s="242"/>
      <c r="L990" s="242"/>
      <c r="M990" s="13"/>
      <c r="N990" s="13"/>
      <c r="O990" s="13"/>
      <c r="P990" s="341"/>
      <c r="Q990" s="13"/>
      <c r="R990" s="242"/>
      <c r="S990" s="242"/>
      <c r="T990" s="242"/>
      <c r="U990" s="242"/>
      <c r="V990" s="242"/>
      <c r="W990" s="242"/>
      <c r="X990" s="242"/>
    </row>
    <row r="991">
      <c r="A991" s="242"/>
      <c r="B991" s="242"/>
      <c r="C991" s="242"/>
      <c r="D991" s="242"/>
      <c r="E991" s="242"/>
      <c r="F991" s="242"/>
      <c r="G991" s="242"/>
      <c r="H991" s="242"/>
      <c r="I991" s="242"/>
      <c r="J991" s="242"/>
      <c r="K991" s="242"/>
      <c r="L991" s="242"/>
      <c r="M991" s="13"/>
      <c r="N991" s="13"/>
      <c r="O991" s="13"/>
      <c r="P991" s="341"/>
      <c r="Q991" s="13"/>
      <c r="R991" s="242"/>
      <c r="S991" s="242"/>
      <c r="T991" s="242"/>
      <c r="U991" s="242"/>
      <c r="V991" s="242"/>
      <c r="W991" s="242"/>
      <c r="X991" s="242"/>
    </row>
    <row r="992">
      <c r="A992" s="242"/>
      <c r="B992" s="242"/>
      <c r="C992" s="242"/>
      <c r="D992" s="242"/>
      <c r="E992" s="242"/>
      <c r="F992" s="242"/>
      <c r="G992" s="242"/>
      <c r="H992" s="242"/>
      <c r="I992" s="242"/>
      <c r="J992" s="242"/>
      <c r="K992" s="242"/>
      <c r="L992" s="242"/>
      <c r="M992" s="13"/>
      <c r="N992" s="13"/>
      <c r="O992" s="13"/>
      <c r="P992" s="341"/>
      <c r="Q992" s="13"/>
      <c r="R992" s="242"/>
      <c r="S992" s="242"/>
      <c r="T992" s="242"/>
      <c r="U992" s="242"/>
      <c r="V992" s="242"/>
      <c r="W992" s="242"/>
      <c r="X992" s="242"/>
    </row>
    <row r="993">
      <c r="A993" s="242"/>
      <c r="B993" s="242"/>
      <c r="C993" s="242"/>
      <c r="D993" s="242"/>
      <c r="E993" s="242"/>
      <c r="F993" s="242"/>
      <c r="G993" s="242"/>
      <c r="H993" s="242"/>
      <c r="I993" s="242"/>
      <c r="J993" s="242"/>
      <c r="K993" s="242"/>
      <c r="L993" s="242"/>
      <c r="M993" s="13"/>
      <c r="N993" s="13"/>
      <c r="O993" s="13"/>
      <c r="P993" s="341"/>
      <c r="Q993" s="13"/>
      <c r="R993" s="242"/>
      <c r="S993" s="242"/>
      <c r="T993" s="242"/>
      <c r="U993" s="242"/>
      <c r="V993" s="242"/>
      <c r="W993" s="242"/>
      <c r="X993" s="242"/>
    </row>
    <row r="994">
      <c r="A994" s="242"/>
      <c r="B994" s="242"/>
      <c r="C994" s="242"/>
      <c r="D994" s="242"/>
      <c r="E994" s="242"/>
      <c r="F994" s="242"/>
      <c r="G994" s="242"/>
      <c r="H994" s="242"/>
      <c r="I994" s="242"/>
      <c r="J994" s="242"/>
      <c r="K994" s="242"/>
      <c r="L994" s="242"/>
      <c r="M994" s="13"/>
      <c r="N994" s="13"/>
      <c r="O994" s="13"/>
      <c r="P994" s="341"/>
      <c r="Q994" s="13"/>
      <c r="R994" s="242"/>
      <c r="S994" s="242"/>
      <c r="T994" s="242"/>
      <c r="U994" s="242"/>
      <c r="V994" s="242"/>
      <c r="W994" s="242"/>
      <c r="X994" s="242"/>
    </row>
    <row r="995">
      <c r="A995" s="242"/>
      <c r="B995" s="242"/>
      <c r="C995" s="242"/>
      <c r="D995" s="242"/>
      <c r="E995" s="242"/>
      <c r="F995" s="242"/>
      <c r="G995" s="242"/>
      <c r="H995" s="242"/>
      <c r="I995" s="242"/>
      <c r="J995" s="242"/>
      <c r="K995" s="242"/>
      <c r="L995" s="242"/>
      <c r="M995" s="13"/>
      <c r="N995" s="13"/>
      <c r="O995" s="13"/>
      <c r="P995" s="341"/>
      <c r="Q995" s="13"/>
      <c r="R995" s="242"/>
      <c r="S995" s="242"/>
      <c r="T995" s="242"/>
      <c r="U995" s="242"/>
      <c r="V995" s="242"/>
      <c r="W995" s="242"/>
      <c r="X995" s="242"/>
    </row>
    <row r="996">
      <c r="A996" s="242"/>
      <c r="B996" s="242"/>
      <c r="C996" s="242"/>
      <c r="D996" s="242"/>
      <c r="E996" s="242"/>
      <c r="F996" s="242"/>
      <c r="G996" s="242"/>
      <c r="H996" s="242"/>
      <c r="I996" s="242"/>
      <c r="J996" s="242"/>
      <c r="K996" s="242"/>
      <c r="L996" s="242"/>
      <c r="M996" s="13"/>
      <c r="N996" s="13"/>
      <c r="O996" s="13"/>
      <c r="P996" s="341"/>
      <c r="Q996" s="13"/>
      <c r="R996" s="242"/>
      <c r="S996" s="242"/>
      <c r="T996" s="242"/>
      <c r="U996" s="242"/>
      <c r="V996" s="242"/>
      <c r="W996" s="242"/>
      <c r="X996" s="242"/>
    </row>
    <row r="997">
      <c r="A997" s="242"/>
      <c r="B997" s="242"/>
      <c r="C997" s="242"/>
      <c r="D997" s="242"/>
      <c r="E997" s="242"/>
      <c r="F997" s="242"/>
      <c r="G997" s="242"/>
      <c r="H997" s="242"/>
      <c r="I997" s="242"/>
      <c r="J997" s="242"/>
      <c r="K997" s="242"/>
      <c r="L997" s="242"/>
      <c r="M997" s="13"/>
      <c r="N997" s="13"/>
      <c r="O997" s="13"/>
      <c r="P997" s="341"/>
      <c r="Q997" s="13"/>
      <c r="R997" s="242"/>
      <c r="S997" s="242"/>
      <c r="T997" s="242"/>
      <c r="U997" s="242"/>
      <c r="V997" s="242"/>
      <c r="W997" s="242"/>
      <c r="X997" s="242"/>
    </row>
    <row r="998">
      <c r="A998" s="242"/>
      <c r="B998" s="242"/>
      <c r="C998" s="242"/>
      <c r="D998" s="242"/>
      <c r="E998" s="242"/>
      <c r="F998" s="242"/>
      <c r="G998" s="242"/>
      <c r="H998" s="242"/>
      <c r="I998" s="242"/>
      <c r="J998" s="242"/>
      <c r="K998" s="242"/>
      <c r="L998" s="242"/>
      <c r="M998" s="13"/>
      <c r="N998" s="13"/>
      <c r="O998" s="13"/>
      <c r="P998" s="341"/>
      <c r="Q998" s="13"/>
      <c r="R998" s="242"/>
      <c r="S998" s="242"/>
      <c r="T998" s="242"/>
      <c r="U998" s="242"/>
      <c r="V998" s="242"/>
      <c r="W998" s="242"/>
      <c r="X998" s="242"/>
    </row>
    <row r="999">
      <c r="A999" s="242"/>
      <c r="B999" s="242"/>
      <c r="C999" s="242"/>
      <c r="D999" s="242"/>
      <c r="E999" s="242"/>
      <c r="F999" s="242"/>
      <c r="G999" s="242"/>
      <c r="H999" s="242"/>
      <c r="I999" s="242"/>
      <c r="J999" s="242"/>
      <c r="K999" s="242"/>
      <c r="L999" s="242"/>
      <c r="M999" s="13"/>
      <c r="N999" s="13"/>
      <c r="O999" s="13"/>
      <c r="P999" s="341"/>
      <c r="Q999" s="13"/>
      <c r="R999" s="242"/>
      <c r="S999" s="242"/>
      <c r="T999" s="242"/>
      <c r="U999" s="242"/>
      <c r="V999" s="242"/>
      <c r="W999" s="242"/>
      <c r="X999" s="242"/>
    </row>
    <row r="1000">
      <c r="A1000" s="242"/>
      <c r="B1000" s="242"/>
      <c r="C1000" s="242"/>
      <c r="D1000" s="242"/>
      <c r="E1000" s="242"/>
      <c r="F1000" s="242"/>
      <c r="G1000" s="242"/>
      <c r="H1000" s="242"/>
      <c r="I1000" s="242"/>
      <c r="J1000" s="242"/>
      <c r="K1000" s="242"/>
      <c r="L1000" s="242"/>
      <c r="M1000" s="13"/>
      <c r="N1000" s="13"/>
      <c r="O1000" s="13"/>
      <c r="P1000" s="341"/>
      <c r="Q1000" s="13"/>
      <c r="R1000" s="242"/>
      <c r="S1000" s="242"/>
      <c r="T1000" s="242"/>
      <c r="U1000" s="242"/>
      <c r="V1000" s="242"/>
      <c r="W1000" s="242"/>
      <c r="X1000" s="242"/>
    </row>
    <row r="1001">
      <c r="A1001" s="242"/>
      <c r="B1001" s="242"/>
      <c r="C1001" s="242"/>
      <c r="D1001" s="242"/>
      <c r="E1001" s="242"/>
      <c r="F1001" s="242"/>
      <c r="G1001" s="242"/>
      <c r="H1001" s="242"/>
      <c r="I1001" s="242"/>
      <c r="J1001" s="242"/>
      <c r="K1001" s="242"/>
      <c r="L1001" s="242"/>
      <c r="M1001" s="13"/>
      <c r="N1001" s="13"/>
      <c r="O1001" s="13"/>
      <c r="P1001" s="341"/>
      <c r="Q1001" s="13"/>
      <c r="R1001" s="242"/>
      <c r="S1001" s="242"/>
      <c r="T1001" s="242"/>
      <c r="U1001" s="242"/>
      <c r="V1001" s="242"/>
      <c r="W1001" s="242"/>
      <c r="X1001" s="242"/>
    </row>
    <row r="1002">
      <c r="A1002" s="242"/>
      <c r="B1002" s="242"/>
      <c r="C1002" s="242"/>
      <c r="D1002" s="242"/>
      <c r="E1002" s="242"/>
      <c r="F1002" s="242"/>
      <c r="G1002" s="242"/>
      <c r="H1002" s="242"/>
      <c r="I1002" s="242"/>
      <c r="J1002" s="242"/>
      <c r="K1002" s="242"/>
      <c r="L1002" s="242"/>
      <c r="M1002" s="13"/>
      <c r="N1002" s="13"/>
      <c r="O1002" s="13"/>
      <c r="P1002" s="341"/>
      <c r="Q1002" s="13"/>
      <c r="R1002" s="242"/>
      <c r="S1002" s="242"/>
      <c r="T1002" s="242"/>
      <c r="U1002" s="242"/>
      <c r="V1002" s="242"/>
      <c r="W1002" s="242"/>
      <c r="X1002" s="242"/>
    </row>
    <row r="1003">
      <c r="A1003" s="242"/>
      <c r="B1003" s="242"/>
      <c r="C1003" s="242"/>
      <c r="D1003" s="242"/>
      <c r="E1003" s="242"/>
      <c r="F1003" s="242"/>
      <c r="G1003" s="242"/>
      <c r="H1003" s="242"/>
      <c r="I1003" s="242"/>
      <c r="J1003" s="242"/>
      <c r="K1003" s="242"/>
      <c r="L1003" s="242"/>
      <c r="M1003" s="13"/>
      <c r="N1003" s="13"/>
      <c r="O1003" s="13"/>
      <c r="P1003" s="341"/>
      <c r="Q1003" s="13"/>
      <c r="R1003" s="242"/>
      <c r="S1003" s="242"/>
      <c r="T1003" s="242"/>
      <c r="U1003" s="242"/>
      <c r="V1003" s="242"/>
      <c r="W1003" s="242"/>
      <c r="X1003" s="242"/>
    </row>
  </sheetData>
  <mergeCells count="2">
    <mergeCell ref="B3:P3"/>
    <mergeCell ref="B27:P27"/>
  </mergeCells>
  <printOptions horizontalCentered="1"/>
  <pageMargins bottom="0.75" footer="0.0" header="0.0" left="0.25" right="0.25" top="0.75"/>
  <pageSetup fitToHeight="0" paperSize="9"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63"/>
    <col customWidth="1" min="2" max="2" width="11.5"/>
    <col customWidth="1" min="3" max="3" width="10.0"/>
    <col customWidth="1" min="4" max="4" width="11.25"/>
    <col customWidth="1" hidden="1" min="5" max="5" width="8.38"/>
    <col customWidth="1" hidden="1" min="6" max="6" width="9.25"/>
    <col customWidth="1" min="7" max="7" width="10.25"/>
    <col customWidth="1" min="8" max="8" width="8.75"/>
    <col customWidth="1" min="9" max="9" width="10.5"/>
    <col customWidth="1" min="10" max="10" width="10.13"/>
    <col customWidth="1" min="11" max="11" width="11.63"/>
  </cols>
  <sheetData>
    <row r="1">
      <c r="A1" s="481"/>
      <c r="B1" s="482"/>
      <c r="C1" s="483"/>
      <c r="D1" s="483"/>
      <c r="E1" s="483"/>
      <c r="F1" s="483"/>
      <c r="G1" s="483"/>
      <c r="H1" s="483"/>
      <c r="I1" s="483"/>
      <c r="J1" s="483"/>
      <c r="K1" s="484"/>
      <c r="L1" s="485"/>
      <c r="M1" s="485"/>
      <c r="N1" s="485"/>
      <c r="O1" s="485"/>
      <c r="P1" s="485"/>
      <c r="Q1" s="485"/>
      <c r="R1" s="485"/>
      <c r="S1" s="485"/>
      <c r="T1" s="485"/>
      <c r="U1" s="485"/>
      <c r="V1" s="485"/>
      <c r="W1" s="485"/>
      <c r="X1" s="485"/>
      <c r="Y1" s="485"/>
      <c r="Z1" s="485"/>
      <c r="AA1" s="485"/>
    </row>
    <row r="2" ht="33.0" customHeight="1">
      <c r="A2" s="481"/>
      <c r="B2" s="444" t="s">
        <v>2805</v>
      </c>
      <c r="C2" s="45"/>
      <c r="D2" s="45"/>
      <c r="E2" s="45"/>
      <c r="F2" s="45"/>
      <c r="G2" s="45"/>
      <c r="H2" s="45"/>
      <c r="I2" s="45"/>
      <c r="J2" s="46"/>
      <c r="K2" s="484"/>
      <c r="L2" s="485"/>
      <c r="M2" s="485"/>
      <c r="N2" s="485"/>
      <c r="O2" s="485"/>
      <c r="P2" s="485"/>
      <c r="Q2" s="485"/>
      <c r="R2" s="485"/>
      <c r="S2" s="485"/>
      <c r="T2" s="485"/>
      <c r="U2" s="485"/>
      <c r="V2" s="485"/>
      <c r="W2" s="485"/>
      <c r="X2" s="485"/>
      <c r="Y2" s="485"/>
      <c r="Z2" s="485"/>
      <c r="AA2" s="485"/>
    </row>
    <row r="3">
      <c r="A3" s="486"/>
      <c r="B3" s="487" t="s">
        <v>2807</v>
      </c>
      <c r="C3" s="488" t="s">
        <v>2808</v>
      </c>
      <c r="D3" s="489" t="s">
        <v>2810</v>
      </c>
      <c r="E3" s="488" t="s">
        <v>6</v>
      </c>
      <c r="F3" s="488" t="s">
        <v>26</v>
      </c>
      <c r="G3" s="490" t="s">
        <v>2811</v>
      </c>
      <c r="H3" s="46"/>
      <c r="I3" s="490" t="s">
        <v>2812</v>
      </c>
      <c r="J3" s="46"/>
      <c r="K3" s="483"/>
      <c r="L3" s="485"/>
      <c r="M3" s="485"/>
      <c r="N3" s="485"/>
      <c r="O3" s="485"/>
      <c r="P3" s="485"/>
      <c r="Q3" s="485"/>
      <c r="R3" s="485"/>
      <c r="S3" s="485"/>
      <c r="T3" s="485"/>
      <c r="U3" s="485"/>
      <c r="V3" s="485"/>
      <c r="W3" s="485"/>
      <c r="X3" s="485"/>
      <c r="Y3" s="485"/>
      <c r="Z3" s="485"/>
      <c r="AA3" s="485"/>
    </row>
    <row r="4">
      <c r="A4" s="486"/>
      <c r="B4" s="41"/>
      <c r="C4" s="41"/>
      <c r="D4" s="41"/>
      <c r="E4" s="41"/>
      <c r="F4" s="41"/>
      <c r="G4" s="491" t="s">
        <v>2814</v>
      </c>
      <c r="H4" s="491" t="s">
        <v>2815</v>
      </c>
      <c r="I4" s="491" t="s">
        <v>2814</v>
      </c>
      <c r="J4" s="491" t="s">
        <v>2815</v>
      </c>
      <c r="K4" s="483"/>
      <c r="L4" s="485"/>
      <c r="M4" s="485"/>
      <c r="N4" s="485"/>
      <c r="O4" s="485"/>
      <c r="P4" s="485"/>
      <c r="Q4" s="485"/>
      <c r="R4" s="485"/>
      <c r="S4" s="485"/>
      <c r="T4" s="485"/>
      <c r="U4" s="485"/>
      <c r="V4" s="485"/>
      <c r="W4" s="485"/>
      <c r="X4" s="485"/>
      <c r="Y4" s="485"/>
      <c r="Z4" s="485"/>
      <c r="AA4" s="485"/>
    </row>
    <row r="5">
      <c r="A5" s="481"/>
      <c r="B5" s="444" t="s">
        <v>2816</v>
      </c>
      <c r="C5" s="45"/>
      <c r="D5" s="45"/>
      <c r="E5" s="45"/>
      <c r="F5" s="45"/>
      <c r="G5" s="45"/>
      <c r="H5" s="45"/>
      <c r="I5" s="45"/>
      <c r="J5" s="46"/>
      <c r="K5" s="484"/>
      <c r="L5" s="485"/>
      <c r="M5" s="485"/>
      <c r="N5" s="485"/>
      <c r="O5" s="485"/>
      <c r="P5" s="485"/>
      <c r="Q5" s="485"/>
      <c r="R5" s="485"/>
      <c r="S5" s="485"/>
      <c r="T5" s="485"/>
      <c r="U5" s="485"/>
      <c r="V5" s="485"/>
      <c r="W5" s="485"/>
      <c r="X5" s="485"/>
      <c r="Y5" s="485"/>
      <c r="Z5" s="485"/>
      <c r="AA5" s="485"/>
    </row>
    <row r="6">
      <c r="A6" s="486"/>
      <c r="B6" s="492" t="s">
        <v>2818</v>
      </c>
      <c r="C6" s="493" t="s">
        <v>2819</v>
      </c>
      <c r="D6" s="463">
        <v>928.0</v>
      </c>
      <c r="E6" s="494">
        <v>2.9</v>
      </c>
      <c r="F6" s="495">
        <f t="shared" ref="F6:F9" si="1">IFERROR(D6/E6,"")</f>
        <v>320</v>
      </c>
      <c r="G6" s="491">
        <v>3.5</v>
      </c>
      <c r="H6" s="491">
        <v>4.0</v>
      </c>
      <c r="I6" s="491">
        <v>52.0</v>
      </c>
      <c r="J6" s="491">
        <v>52.2</v>
      </c>
      <c r="K6" s="484"/>
      <c r="L6" s="485"/>
      <c r="M6" s="485"/>
      <c r="N6" s="485"/>
      <c r="O6" s="485"/>
      <c r="P6" s="485"/>
      <c r="Q6" s="485"/>
      <c r="R6" s="485"/>
      <c r="S6" s="485"/>
      <c r="T6" s="485"/>
      <c r="U6" s="485"/>
      <c r="V6" s="485"/>
      <c r="W6" s="485"/>
      <c r="X6" s="485"/>
      <c r="Y6" s="485"/>
      <c r="Z6" s="485"/>
      <c r="AA6" s="485"/>
    </row>
    <row r="7">
      <c r="A7" s="486"/>
      <c r="B7" s="492" t="s">
        <v>2821</v>
      </c>
      <c r="C7" s="493" t="s">
        <v>2822</v>
      </c>
      <c r="D7" s="463">
        <v>1344.0</v>
      </c>
      <c r="E7" s="494">
        <v>4.2</v>
      </c>
      <c r="F7" s="495">
        <f t="shared" si="1"/>
        <v>320</v>
      </c>
      <c r="G7" s="491">
        <v>4.0</v>
      </c>
      <c r="H7" s="491">
        <v>4.6</v>
      </c>
      <c r="I7" s="491">
        <v>64.0</v>
      </c>
      <c r="J7" s="491">
        <v>64.2</v>
      </c>
      <c r="K7" s="484"/>
      <c r="L7" s="485"/>
      <c r="M7" s="485"/>
      <c r="N7" s="485"/>
      <c r="O7" s="485"/>
      <c r="P7" s="485"/>
      <c r="Q7" s="485"/>
      <c r="R7" s="485"/>
      <c r="S7" s="485"/>
      <c r="T7" s="485"/>
      <c r="U7" s="485"/>
      <c r="V7" s="485"/>
      <c r="W7" s="485"/>
      <c r="X7" s="485"/>
      <c r="Y7" s="485"/>
      <c r="Z7" s="485"/>
      <c r="AA7" s="485"/>
    </row>
    <row r="8">
      <c r="A8" s="486"/>
      <c r="B8" s="492" t="s">
        <v>2824</v>
      </c>
      <c r="C8" s="493" t="s">
        <v>2825</v>
      </c>
      <c r="D8" s="463">
        <v>2048.0</v>
      </c>
      <c r="E8" s="494">
        <v>6.4</v>
      </c>
      <c r="F8" s="495">
        <f t="shared" si="1"/>
        <v>320</v>
      </c>
      <c r="G8" s="491">
        <v>4.0</v>
      </c>
      <c r="H8" s="491">
        <v>4.6</v>
      </c>
      <c r="I8" s="491">
        <v>92.0</v>
      </c>
      <c r="J8" s="491">
        <v>92.3</v>
      </c>
      <c r="K8" s="484"/>
      <c r="L8" s="485"/>
      <c r="M8" s="485"/>
      <c r="N8" s="485"/>
      <c r="O8" s="485"/>
      <c r="P8" s="485"/>
      <c r="Q8" s="485"/>
      <c r="R8" s="485"/>
      <c r="S8" s="485"/>
      <c r="T8" s="485"/>
      <c r="U8" s="485"/>
      <c r="V8" s="485"/>
      <c r="W8" s="485"/>
      <c r="X8" s="485"/>
      <c r="Y8" s="485"/>
      <c r="Z8" s="485"/>
      <c r="AA8" s="485"/>
    </row>
    <row r="9">
      <c r="A9" s="486"/>
      <c r="B9" s="492" t="s">
        <v>2826</v>
      </c>
      <c r="C9" s="493" t="s">
        <v>2827</v>
      </c>
      <c r="D9" s="463">
        <v>3008.0</v>
      </c>
      <c r="E9" s="494">
        <v>9.4</v>
      </c>
      <c r="F9" s="495">
        <f t="shared" si="1"/>
        <v>320</v>
      </c>
      <c r="G9" s="494">
        <v>5.0</v>
      </c>
      <c r="H9" s="494">
        <v>5.7</v>
      </c>
      <c r="I9" s="491">
        <v>117.0</v>
      </c>
      <c r="J9" s="491">
        <v>117.3</v>
      </c>
      <c r="K9" s="483"/>
      <c r="L9" s="485"/>
      <c r="M9" s="485"/>
      <c r="N9" s="485"/>
      <c r="O9" s="485"/>
      <c r="P9" s="485"/>
      <c r="Q9" s="485"/>
      <c r="R9" s="485"/>
      <c r="S9" s="485"/>
      <c r="T9" s="485"/>
      <c r="U9" s="485"/>
      <c r="V9" s="485"/>
      <c r="W9" s="485"/>
      <c r="X9" s="485"/>
      <c r="Y9" s="485"/>
      <c r="Z9" s="485"/>
      <c r="AA9" s="485"/>
    </row>
    <row r="10">
      <c r="A10" s="486"/>
      <c r="B10" s="492" t="s">
        <v>2828</v>
      </c>
      <c r="C10" s="493" t="s">
        <v>2829</v>
      </c>
      <c r="D10" s="455" t="s">
        <v>2214</v>
      </c>
      <c r="E10" s="494" t="s">
        <v>2214</v>
      </c>
      <c r="F10" s="495" t="s">
        <v>2214</v>
      </c>
      <c r="G10" s="494">
        <v>5.0</v>
      </c>
      <c r="H10" s="494">
        <v>5.7</v>
      </c>
      <c r="I10" s="491">
        <v>129.0</v>
      </c>
      <c r="J10" s="491">
        <v>129.3</v>
      </c>
      <c r="K10" s="483"/>
      <c r="L10" s="485"/>
      <c r="M10" s="485"/>
      <c r="N10" s="485"/>
      <c r="O10" s="485"/>
      <c r="P10" s="485"/>
      <c r="Q10" s="485"/>
      <c r="R10" s="485"/>
      <c r="S10" s="485"/>
      <c r="T10" s="485"/>
      <c r="U10" s="485"/>
      <c r="V10" s="485"/>
      <c r="W10" s="485"/>
      <c r="X10" s="485"/>
      <c r="Y10" s="485"/>
      <c r="Z10" s="485"/>
      <c r="AA10" s="485"/>
    </row>
    <row r="11">
      <c r="A11" s="486"/>
      <c r="B11" s="492" t="s">
        <v>2831</v>
      </c>
      <c r="C11" s="493" t="s">
        <v>2832</v>
      </c>
      <c r="D11" s="463">
        <v>4640.0</v>
      </c>
      <c r="E11" s="494">
        <v>14.5</v>
      </c>
      <c r="F11" s="495">
        <f t="shared" ref="F11:F12" si="2">IFERROR(D11/E11,"")</f>
        <v>320</v>
      </c>
      <c r="G11" s="494">
        <v>6.5</v>
      </c>
      <c r="H11" s="494">
        <v>7.3</v>
      </c>
      <c r="I11" s="491">
        <v>144.0</v>
      </c>
      <c r="J11" s="491">
        <v>144.4</v>
      </c>
      <c r="K11" s="483"/>
      <c r="L11" s="485"/>
      <c r="M11" s="485"/>
      <c r="N11" s="485"/>
      <c r="O11" s="485"/>
      <c r="P11" s="485"/>
      <c r="Q11" s="485"/>
      <c r="R11" s="485"/>
      <c r="S11" s="485"/>
      <c r="T11" s="485"/>
      <c r="U11" s="485"/>
      <c r="V11" s="485"/>
      <c r="W11" s="485"/>
      <c r="X11" s="485"/>
      <c r="Y11" s="485"/>
      <c r="Z11" s="485"/>
      <c r="AA11" s="485"/>
    </row>
    <row r="12">
      <c r="A12" s="486"/>
      <c r="B12" s="492" t="s">
        <v>2834</v>
      </c>
      <c r="C12" s="493" t="s">
        <v>2835</v>
      </c>
      <c r="D12" s="463">
        <v>6336.0</v>
      </c>
      <c r="E12" s="491">
        <v>19.8</v>
      </c>
      <c r="F12" s="495">
        <f t="shared" si="2"/>
        <v>320</v>
      </c>
      <c r="G12" s="494">
        <v>7.5</v>
      </c>
      <c r="H12" s="494">
        <v>8.5</v>
      </c>
      <c r="I12" s="491">
        <v>169.0</v>
      </c>
      <c r="J12" s="491">
        <v>169.4</v>
      </c>
      <c r="K12" s="496"/>
      <c r="L12" s="485"/>
      <c r="M12" s="485"/>
      <c r="N12" s="485"/>
      <c r="O12" s="485"/>
      <c r="P12" s="485"/>
      <c r="Q12" s="485"/>
      <c r="R12" s="485"/>
      <c r="S12" s="485"/>
      <c r="T12" s="485"/>
      <c r="U12" s="485"/>
      <c r="V12" s="485"/>
      <c r="W12" s="485"/>
      <c r="X12" s="485"/>
      <c r="Y12" s="485"/>
      <c r="Z12" s="485"/>
      <c r="AA12" s="485"/>
    </row>
    <row r="13">
      <c r="A13" s="486"/>
      <c r="B13" s="492" t="s">
        <v>2836</v>
      </c>
      <c r="C13" s="493" t="s">
        <v>2837</v>
      </c>
      <c r="D13" s="455" t="s">
        <v>2214</v>
      </c>
      <c r="E13" s="494" t="s">
        <v>2214</v>
      </c>
      <c r="F13" s="495" t="s">
        <v>2214</v>
      </c>
      <c r="G13" s="491">
        <v>8.8</v>
      </c>
      <c r="H13" s="491">
        <v>9.8</v>
      </c>
      <c r="I13" s="491">
        <v>204.0</v>
      </c>
      <c r="J13" s="491">
        <v>204.5</v>
      </c>
      <c r="K13" s="497"/>
      <c r="L13" s="485"/>
      <c r="M13" s="485"/>
      <c r="N13" s="485"/>
      <c r="O13" s="485"/>
      <c r="P13" s="485"/>
      <c r="Q13" s="485"/>
      <c r="R13" s="485"/>
      <c r="S13" s="485"/>
      <c r="T13" s="485"/>
      <c r="U13" s="485"/>
      <c r="V13" s="485"/>
      <c r="W13" s="485"/>
      <c r="X13" s="485"/>
      <c r="Y13" s="485"/>
      <c r="Z13" s="485"/>
      <c r="AA13" s="485"/>
    </row>
    <row r="14">
      <c r="A14" s="486"/>
      <c r="B14" s="492" t="s">
        <v>2838</v>
      </c>
      <c r="C14" s="493" t="s">
        <v>2839</v>
      </c>
      <c r="D14" s="455" t="s">
        <v>2214</v>
      </c>
      <c r="E14" s="494" t="s">
        <v>2214</v>
      </c>
      <c r="F14" s="495" t="s">
        <v>2214</v>
      </c>
      <c r="G14" s="491">
        <v>10.0</v>
      </c>
      <c r="H14" s="491">
        <v>11.2</v>
      </c>
      <c r="I14" s="491">
        <v>229.0</v>
      </c>
      <c r="J14" s="491">
        <v>229.0</v>
      </c>
      <c r="K14" s="497"/>
      <c r="L14" s="485"/>
      <c r="M14" s="485"/>
      <c r="N14" s="485"/>
      <c r="O14" s="485"/>
      <c r="P14" s="485"/>
      <c r="Q14" s="485"/>
      <c r="R14" s="485"/>
      <c r="S14" s="485"/>
      <c r="T14" s="485"/>
      <c r="U14" s="485"/>
      <c r="V14" s="485"/>
      <c r="W14" s="485"/>
      <c r="X14" s="485"/>
      <c r="Y14" s="485"/>
      <c r="Z14" s="485"/>
      <c r="AA14" s="485"/>
    </row>
    <row r="15">
      <c r="A15" s="486"/>
      <c r="B15" s="482"/>
      <c r="C15" s="497"/>
      <c r="D15" s="497"/>
      <c r="E15" s="497"/>
      <c r="F15" s="497"/>
      <c r="G15" s="497"/>
      <c r="H15" s="497"/>
      <c r="I15" s="497"/>
      <c r="J15" s="497"/>
      <c r="K15" s="497"/>
      <c r="L15" s="485"/>
      <c r="M15" s="485"/>
      <c r="N15" s="485"/>
      <c r="O15" s="485"/>
      <c r="P15" s="485"/>
      <c r="Q15" s="485"/>
      <c r="R15" s="485"/>
      <c r="S15" s="485"/>
      <c r="T15" s="485"/>
      <c r="U15" s="485"/>
      <c r="V15" s="485"/>
      <c r="W15" s="485"/>
      <c r="X15" s="485"/>
      <c r="Y15" s="485"/>
      <c r="Z15" s="485"/>
      <c r="AA15" s="485"/>
    </row>
    <row r="16" ht="25.5" customHeight="1">
      <c r="A16" s="486"/>
      <c r="B16" s="444" t="s">
        <v>2841</v>
      </c>
      <c r="C16" s="45"/>
      <c r="D16" s="45"/>
      <c r="E16" s="45"/>
      <c r="F16" s="45"/>
      <c r="G16" s="45"/>
      <c r="H16" s="45"/>
      <c r="I16" s="45"/>
      <c r="J16" s="46"/>
      <c r="K16" s="497"/>
      <c r="L16" s="485"/>
      <c r="M16" s="485"/>
      <c r="N16" s="485"/>
      <c r="O16" s="485"/>
      <c r="P16" s="485"/>
      <c r="Q16" s="485"/>
      <c r="R16" s="485"/>
      <c r="S16" s="485"/>
      <c r="T16" s="485"/>
      <c r="U16" s="485"/>
      <c r="V16" s="485"/>
      <c r="W16" s="485"/>
      <c r="X16" s="485"/>
      <c r="Y16" s="485"/>
      <c r="Z16" s="485"/>
      <c r="AA16" s="485"/>
    </row>
    <row r="17">
      <c r="A17" s="486"/>
      <c r="B17" s="492" t="s">
        <v>2818</v>
      </c>
      <c r="C17" s="498" t="s">
        <v>2843</v>
      </c>
      <c r="D17" s="499">
        <v>681.5</v>
      </c>
      <c r="E17" s="491">
        <v>2.35</v>
      </c>
      <c r="F17" s="494">
        <f t="shared" ref="F17:F25" si="3">IFERROR(D17/E17,"")</f>
        <v>290</v>
      </c>
      <c r="G17" s="491">
        <v>3.5</v>
      </c>
      <c r="H17" s="491">
        <v>4.0</v>
      </c>
      <c r="I17" s="491">
        <v>48.0</v>
      </c>
      <c r="J17" s="491">
        <v>48.2</v>
      </c>
      <c r="K17" s="497"/>
      <c r="L17" s="485"/>
      <c r="M17" s="485"/>
      <c r="N17" s="485"/>
      <c r="O17" s="485"/>
      <c r="P17" s="485"/>
      <c r="Q17" s="485"/>
      <c r="R17" s="485"/>
      <c r="S17" s="485"/>
      <c r="T17" s="485"/>
      <c r="U17" s="485"/>
      <c r="V17" s="485"/>
      <c r="W17" s="485"/>
      <c r="X17" s="485"/>
      <c r="Y17" s="485"/>
      <c r="Z17" s="485"/>
      <c r="AA17" s="485"/>
    </row>
    <row r="18">
      <c r="A18" s="486"/>
      <c r="B18" s="492" t="s">
        <v>2821</v>
      </c>
      <c r="C18" s="498" t="s">
        <v>2845</v>
      </c>
      <c r="D18" s="499">
        <v>957.0</v>
      </c>
      <c r="E18" s="491">
        <v>3.3</v>
      </c>
      <c r="F18" s="494">
        <f t="shared" si="3"/>
        <v>290</v>
      </c>
      <c r="G18" s="491">
        <v>4.0</v>
      </c>
      <c r="H18" s="491">
        <v>4.6</v>
      </c>
      <c r="I18" s="491">
        <v>60.0</v>
      </c>
      <c r="J18" s="491">
        <v>60.2</v>
      </c>
      <c r="K18" s="497"/>
      <c r="L18" s="485"/>
      <c r="M18" s="485"/>
      <c r="N18" s="485"/>
      <c r="O18" s="485"/>
      <c r="P18" s="485"/>
      <c r="Q18" s="485"/>
      <c r="R18" s="485"/>
      <c r="S18" s="485"/>
      <c r="T18" s="485"/>
      <c r="U18" s="485"/>
      <c r="V18" s="485"/>
      <c r="W18" s="485"/>
      <c r="X18" s="485"/>
      <c r="Y18" s="485"/>
      <c r="Z18" s="485"/>
      <c r="AA18" s="485"/>
    </row>
    <row r="19">
      <c r="A19" s="486"/>
      <c r="B19" s="492" t="s">
        <v>2824</v>
      </c>
      <c r="C19" s="498" t="s">
        <v>2846</v>
      </c>
      <c r="D19" s="499">
        <v>1435.5</v>
      </c>
      <c r="E19" s="491">
        <v>4.95</v>
      </c>
      <c r="F19" s="494">
        <f t="shared" si="3"/>
        <v>290</v>
      </c>
      <c r="G19" s="491">
        <v>4.0</v>
      </c>
      <c r="H19" s="491">
        <v>4.6</v>
      </c>
      <c r="I19" s="491">
        <v>88.0</v>
      </c>
      <c r="J19" s="491">
        <v>88.3</v>
      </c>
      <c r="K19" s="497"/>
      <c r="L19" s="485"/>
      <c r="M19" s="485"/>
      <c r="N19" s="485"/>
      <c r="O19" s="485"/>
      <c r="P19" s="485"/>
      <c r="Q19" s="485"/>
      <c r="R19" s="485"/>
      <c r="S19" s="485"/>
      <c r="T19" s="485"/>
      <c r="U19" s="485"/>
      <c r="V19" s="485"/>
      <c r="W19" s="485"/>
      <c r="X19" s="485"/>
      <c r="Y19" s="485"/>
      <c r="Z19" s="485"/>
      <c r="AA19" s="485"/>
    </row>
    <row r="20">
      <c r="A20" s="486"/>
      <c r="B20" s="492" t="s">
        <v>2826</v>
      </c>
      <c r="C20" s="498" t="s">
        <v>2848</v>
      </c>
      <c r="D20" s="499">
        <v>2305.5</v>
      </c>
      <c r="E20" s="491">
        <v>7.95</v>
      </c>
      <c r="F20" s="494">
        <f t="shared" si="3"/>
        <v>290</v>
      </c>
      <c r="G20" s="491">
        <v>5.0</v>
      </c>
      <c r="H20" s="491">
        <v>5.7</v>
      </c>
      <c r="I20" s="491">
        <v>113.0</v>
      </c>
      <c r="J20" s="491">
        <v>113.3</v>
      </c>
      <c r="K20" s="497"/>
      <c r="L20" s="485"/>
      <c r="M20" s="485"/>
      <c r="N20" s="485"/>
      <c r="O20" s="485"/>
      <c r="P20" s="485"/>
      <c r="Q20" s="485"/>
      <c r="R20" s="485"/>
      <c r="S20" s="485"/>
      <c r="T20" s="485"/>
      <c r="U20" s="485"/>
      <c r="V20" s="485"/>
      <c r="W20" s="485"/>
      <c r="X20" s="485"/>
      <c r="Y20" s="485"/>
      <c r="Z20" s="485"/>
      <c r="AA20" s="485"/>
    </row>
    <row r="21">
      <c r="A21" s="486"/>
      <c r="B21" s="492" t="s">
        <v>2828</v>
      </c>
      <c r="C21" s="498" t="s">
        <v>2849</v>
      </c>
      <c r="D21" s="499">
        <v>2813.0</v>
      </c>
      <c r="E21" s="491">
        <v>9.7</v>
      </c>
      <c r="F21" s="494">
        <f t="shared" si="3"/>
        <v>290</v>
      </c>
      <c r="G21" s="491">
        <v>5.0</v>
      </c>
      <c r="H21" s="491">
        <v>5.7</v>
      </c>
      <c r="I21" s="491">
        <v>125.0</v>
      </c>
      <c r="J21" s="491">
        <v>125.3</v>
      </c>
      <c r="K21" s="497"/>
      <c r="L21" s="485"/>
      <c r="M21" s="485"/>
      <c r="N21" s="485"/>
      <c r="O21" s="485"/>
      <c r="P21" s="485"/>
      <c r="Q21" s="485"/>
      <c r="R21" s="485"/>
      <c r="S21" s="485"/>
      <c r="T21" s="485"/>
      <c r="U21" s="485"/>
      <c r="V21" s="485"/>
      <c r="W21" s="485"/>
      <c r="X21" s="485"/>
      <c r="Y21" s="485"/>
      <c r="Z21" s="485"/>
      <c r="AA21" s="485"/>
    </row>
    <row r="22">
      <c r="A22" s="486"/>
      <c r="B22" s="492" t="s">
        <v>2831</v>
      </c>
      <c r="C22" s="498" t="s">
        <v>2851</v>
      </c>
      <c r="D22" s="499">
        <v>3625.0</v>
      </c>
      <c r="E22" s="491">
        <v>12.5</v>
      </c>
      <c r="F22" s="494">
        <f t="shared" si="3"/>
        <v>290</v>
      </c>
      <c r="G22" s="491">
        <v>6.5</v>
      </c>
      <c r="H22" s="491">
        <v>7.3</v>
      </c>
      <c r="I22" s="491">
        <v>140.0</v>
      </c>
      <c r="J22" s="491">
        <v>140.4</v>
      </c>
      <c r="K22" s="497"/>
      <c r="L22" s="485"/>
      <c r="M22" s="485"/>
      <c r="N22" s="485"/>
      <c r="O22" s="485"/>
      <c r="P22" s="485"/>
      <c r="Q22" s="485"/>
      <c r="R22" s="485"/>
      <c r="S22" s="485"/>
      <c r="T22" s="485"/>
      <c r="U22" s="485"/>
      <c r="V22" s="485"/>
      <c r="W22" s="485"/>
      <c r="X22" s="485"/>
      <c r="Y22" s="485"/>
      <c r="Z22" s="485"/>
      <c r="AA22" s="485"/>
    </row>
    <row r="23">
      <c r="A23" s="486"/>
      <c r="B23" s="492" t="s">
        <v>2834</v>
      </c>
      <c r="C23" s="498" t="s">
        <v>2852</v>
      </c>
      <c r="D23" s="499">
        <v>5075.0</v>
      </c>
      <c r="E23" s="491">
        <v>17.5</v>
      </c>
      <c r="F23" s="494">
        <f t="shared" si="3"/>
        <v>290</v>
      </c>
      <c r="G23" s="491">
        <v>7.5</v>
      </c>
      <c r="H23" s="491">
        <v>8.5</v>
      </c>
      <c r="I23" s="491">
        <v>165.0</v>
      </c>
      <c r="J23" s="491">
        <v>165.4</v>
      </c>
      <c r="K23" s="497"/>
      <c r="L23" s="485"/>
      <c r="M23" s="485"/>
      <c r="N23" s="485"/>
      <c r="O23" s="485"/>
      <c r="P23" s="485"/>
      <c r="Q23" s="485"/>
      <c r="R23" s="485"/>
      <c r="S23" s="485"/>
      <c r="T23" s="485"/>
      <c r="U23" s="485"/>
      <c r="V23" s="485"/>
      <c r="W23" s="485"/>
      <c r="X23" s="485"/>
      <c r="Y23" s="485"/>
      <c r="Z23" s="485"/>
      <c r="AA23" s="485"/>
    </row>
    <row r="24">
      <c r="A24" s="486"/>
      <c r="B24" s="492" t="s">
        <v>2836</v>
      </c>
      <c r="C24" s="498" t="s">
        <v>2853</v>
      </c>
      <c r="D24" s="499">
        <v>7540.0</v>
      </c>
      <c r="E24" s="491">
        <v>26.0</v>
      </c>
      <c r="F24" s="494">
        <f t="shared" si="3"/>
        <v>290</v>
      </c>
      <c r="G24" s="491">
        <v>8.8</v>
      </c>
      <c r="H24" s="491">
        <v>9.8</v>
      </c>
      <c r="I24" s="491">
        <v>200.0</v>
      </c>
      <c r="J24" s="491">
        <v>200.5</v>
      </c>
      <c r="K24" s="497"/>
      <c r="L24" s="485"/>
      <c r="M24" s="485"/>
      <c r="N24" s="485"/>
      <c r="O24" s="485"/>
      <c r="P24" s="485"/>
      <c r="Q24" s="485"/>
      <c r="R24" s="485"/>
      <c r="S24" s="485"/>
      <c r="T24" s="485"/>
      <c r="U24" s="485"/>
      <c r="V24" s="485"/>
      <c r="W24" s="485"/>
      <c r="X24" s="485"/>
      <c r="Y24" s="485"/>
      <c r="Z24" s="485"/>
      <c r="AA24" s="485"/>
    </row>
    <row r="25">
      <c r="A25" s="486"/>
      <c r="B25" s="492" t="s">
        <v>2838</v>
      </c>
      <c r="C25" s="498" t="s">
        <v>2855</v>
      </c>
      <c r="D25" s="499">
        <v>9570.0</v>
      </c>
      <c r="E25" s="491">
        <v>33.0</v>
      </c>
      <c r="F25" s="494">
        <f t="shared" si="3"/>
        <v>290</v>
      </c>
      <c r="G25" s="491">
        <v>10.0</v>
      </c>
      <c r="H25" s="491">
        <v>11.2</v>
      </c>
      <c r="I25" s="491">
        <v>225.0</v>
      </c>
      <c r="J25" s="491">
        <v>225.5</v>
      </c>
      <c r="K25" s="497"/>
      <c r="L25" s="485"/>
      <c r="M25" s="485"/>
      <c r="N25" s="485"/>
      <c r="O25" s="485"/>
      <c r="P25" s="485"/>
      <c r="Q25" s="485"/>
      <c r="R25" s="485"/>
      <c r="S25" s="485"/>
      <c r="T25" s="485"/>
      <c r="U25" s="485"/>
      <c r="V25" s="485"/>
      <c r="W25" s="485"/>
      <c r="X25" s="485"/>
      <c r="Y25" s="485"/>
      <c r="Z25" s="485"/>
      <c r="AA25" s="485"/>
    </row>
    <row r="26">
      <c r="A26" s="486"/>
      <c r="B26" s="482"/>
      <c r="C26" s="497"/>
      <c r="D26" s="497"/>
      <c r="E26" s="497"/>
      <c r="F26" s="497"/>
      <c r="G26" s="497"/>
      <c r="H26" s="497"/>
      <c r="I26" s="497"/>
      <c r="J26" s="497"/>
      <c r="K26" s="497"/>
      <c r="L26" s="485"/>
      <c r="M26" s="485"/>
      <c r="N26" s="485"/>
      <c r="O26" s="485"/>
      <c r="P26" s="485"/>
      <c r="Q26" s="485"/>
      <c r="R26" s="485"/>
      <c r="S26" s="485"/>
      <c r="T26" s="485"/>
      <c r="U26" s="485"/>
      <c r="V26" s="485"/>
      <c r="W26" s="485"/>
      <c r="X26" s="485"/>
      <c r="Y26" s="485"/>
      <c r="Z26" s="485"/>
      <c r="AA26" s="485"/>
    </row>
    <row r="27">
      <c r="A27" s="486"/>
      <c r="B27" s="482"/>
      <c r="C27" s="497"/>
      <c r="D27" s="497"/>
      <c r="E27" s="497"/>
      <c r="F27" s="497"/>
      <c r="G27" s="497"/>
      <c r="H27" s="497"/>
      <c r="I27" s="497"/>
      <c r="J27" s="497"/>
      <c r="K27" s="497"/>
      <c r="L27" s="485"/>
      <c r="M27" s="485"/>
      <c r="N27" s="485"/>
      <c r="O27" s="485"/>
      <c r="P27" s="485"/>
      <c r="Q27" s="485"/>
      <c r="R27" s="485"/>
      <c r="S27" s="485"/>
      <c r="T27" s="485"/>
      <c r="U27" s="485"/>
      <c r="V27" s="485"/>
      <c r="W27" s="485"/>
      <c r="X27" s="485"/>
      <c r="Y27" s="485"/>
      <c r="Z27" s="485"/>
      <c r="AA27" s="485"/>
    </row>
    <row r="28">
      <c r="A28" s="486"/>
      <c r="B28" s="482"/>
      <c r="C28" s="497"/>
      <c r="D28" s="497"/>
      <c r="E28" s="497"/>
      <c r="F28" s="497"/>
      <c r="G28" s="497"/>
      <c r="H28" s="497"/>
      <c r="I28" s="497"/>
      <c r="J28" s="497"/>
      <c r="K28" s="497"/>
      <c r="L28" s="485"/>
      <c r="M28" s="485"/>
      <c r="N28" s="485"/>
      <c r="O28" s="485"/>
      <c r="P28" s="485"/>
      <c r="Q28" s="485"/>
      <c r="R28" s="485"/>
      <c r="S28" s="485"/>
      <c r="T28" s="485"/>
      <c r="U28" s="485"/>
      <c r="V28" s="485"/>
      <c r="W28" s="485"/>
      <c r="X28" s="485"/>
      <c r="Y28" s="485"/>
      <c r="Z28" s="485"/>
      <c r="AA28" s="485"/>
    </row>
    <row r="29">
      <c r="A29" s="486"/>
      <c r="B29" s="482"/>
      <c r="C29" s="497"/>
      <c r="D29" s="497"/>
      <c r="E29" s="497"/>
      <c r="F29" s="497"/>
      <c r="G29" s="497"/>
      <c r="H29" s="497"/>
      <c r="I29" s="497"/>
      <c r="J29" s="497"/>
      <c r="K29" s="497"/>
      <c r="L29" s="485"/>
      <c r="M29" s="485"/>
      <c r="N29" s="485"/>
      <c r="O29" s="485"/>
      <c r="P29" s="485"/>
      <c r="Q29" s="485"/>
      <c r="R29" s="485"/>
      <c r="S29" s="485"/>
      <c r="T29" s="485"/>
      <c r="U29" s="485"/>
      <c r="V29" s="485"/>
      <c r="W29" s="485"/>
      <c r="X29" s="485"/>
      <c r="Y29" s="485"/>
      <c r="Z29" s="485"/>
      <c r="AA29" s="485"/>
    </row>
    <row r="30">
      <c r="A30" s="486"/>
      <c r="B30" s="482"/>
      <c r="C30" s="497"/>
      <c r="D30" s="497"/>
      <c r="E30" s="497"/>
      <c r="F30" s="497"/>
      <c r="G30" s="497"/>
      <c r="H30" s="497"/>
      <c r="I30" s="497"/>
      <c r="J30" s="497"/>
      <c r="K30" s="497"/>
      <c r="L30" s="485"/>
      <c r="M30" s="485"/>
      <c r="N30" s="485"/>
      <c r="O30" s="485"/>
      <c r="P30" s="485"/>
      <c r="Q30" s="485"/>
      <c r="R30" s="485"/>
      <c r="S30" s="485"/>
      <c r="T30" s="485"/>
      <c r="U30" s="485"/>
      <c r="V30" s="485"/>
      <c r="W30" s="485"/>
      <c r="X30" s="485"/>
      <c r="Y30" s="485"/>
      <c r="Z30" s="485"/>
      <c r="AA30" s="485"/>
    </row>
    <row r="31">
      <c r="A31" s="486"/>
      <c r="B31" s="482"/>
      <c r="C31" s="497"/>
      <c r="D31" s="497"/>
      <c r="E31" s="497"/>
      <c r="F31" s="497"/>
      <c r="G31" s="497"/>
      <c r="H31" s="497"/>
      <c r="I31" s="497"/>
      <c r="J31" s="497"/>
      <c r="K31" s="497"/>
      <c r="L31" s="485"/>
      <c r="M31" s="485"/>
      <c r="N31" s="485"/>
      <c r="O31" s="485"/>
      <c r="P31" s="485"/>
      <c r="Q31" s="485"/>
      <c r="R31" s="485"/>
      <c r="S31" s="485"/>
      <c r="T31" s="485"/>
      <c r="U31" s="485"/>
      <c r="V31" s="485"/>
      <c r="W31" s="485"/>
      <c r="X31" s="485"/>
      <c r="Y31" s="485"/>
      <c r="Z31" s="485"/>
      <c r="AA31" s="485"/>
    </row>
    <row r="32">
      <c r="A32" s="486"/>
      <c r="B32" s="482"/>
      <c r="C32" s="497"/>
      <c r="D32" s="497"/>
      <c r="E32" s="497"/>
      <c r="F32" s="497"/>
      <c r="G32" s="497"/>
      <c r="H32" s="497"/>
      <c r="I32" s="497"/>
      <c r="J32" s="497"/>
      <c r="K32" s="497"/>
      <c r="L32" s="485"/>
      <c r="M32" s="485"/>
      <c r="N32" s="485"/>
      <c r="O32" s="485"/>
      <c r="P32" s="485"/>
      <c r="Q32" s="485"/>
      <c r="R32" s="485"/>
      <c r="S32" s="485"/>
      <c r="T32" s="485"/>
      <c r="U32" s="485"/>
      <c r="V32" s="485"/>
      <c r="W32" s="485"/>
      <c r="X32" s="485"/>
      <c r="Y32" s="485"/>
      <c r="Z32" s="485"/>
      <c r="AA32" s="485"/>
    </row>
    <row r="33">
      <c r="A33" s="486"/>
      <c r="B33" s="482"/>
      <c r="C33" s="497"/>
      <c r="D33" s="497"/>
      <c r="E33" s="497"/>
      <c r="F33" s="497"/>
      <c r="G33" s="497"/>
      <c r="H33" s="497"/>
      <c r="I33" s="497"/>
      <c r="J33" s="497"/>
      <c r="K33" s="497"/>
      <c r="L33" s="485"/>
      <c r="M33" s="485"/>
      <c r="N33" s="485"/>
      <c r="O33" s="485"/>
      <c r="P33" s="485"/>
      <c r="Q33" s="485"/>
      <c r="R33" s="485"/>
      <c r="S33" s="485"/>
      <c r="T33" s="485"/>
      <c r="U33" s="485"/>
      <c r="V33" s="485"/>
      <c r="W33" s="485"/>
      <c r="X33" s="485"/>
      <c r="Y33" s="485"/>
      <c r="Z33" s="485"/>
      <c r="AA33" s="485"/>
    </row>
    <row r="34">
      <c r="A34" s="486"/>
      <c r="B34" s="482"/>
      <c r="C34" s="497"/>
      <c r="D34" s="497"/>
      <c r="E34" s="497"/>
      <c r="F34" s="497"/>
      <c r="G34" s="497"/>
      <c r="H34" s="497"/>
      <c r="I34" s="497"/>
      <c r="J34" s="497"/>
      <c r="K34" s="497"/>
      <c r="L34" s="485"/>
      <c r="M34" s="485"/>
      <c r="N34" s="485"/>
      <c r="O34" s="485"/>
      <c r="P34" s="485"/>
      <c r="Q34" s="485"/>
      <c r="R34" s="485"/>
      <c r="S34" s="485"/>
      <c r="T34" s="485"/>
      <c r="U34" s="485"/>
      <c r="V34" s="485"/>
      <c r="W34" s="485"/>
      <c r="X34" s="485"/>
      <c r="Y34" s="485"/>
      <c r="Z34" s="485"/>
      <c r="AA34" s="485"/>
    </row>
    <row r="35">
      <c r="A35" s="486"/>
      <c r="B35" s="482"/>
      <c r="C35" s="497"/>
      <c r="D35" s="497"/>
      <c r="E35" s="497"/>
      <c r="F35" s="497"/>
      <c r="G35" s="497"/>
      <c r="H35" s="497"/>
      <c r="I35" s="497"/>
      <c r="J35" s="497"/>
      <c r="K35" s="497"/>
      <c r="L35" s="485"/>
      <c r="M35" s="485"/>
      <c r="N35" s="485"/>
      <c r="O35" s="485"/>
      <c r="P35" s="485"/>
      <c r="Q35" s="485"/>
      <c r="R35" s="485"/>
      <c r="S35" s="485"/>
      <c r="T35" s="485"/>
      <c r="U35" s="485"/>
      <c r="V35" s="485"/>
      <c r="W35" s="485"/>
      <c r="X35" s="485"/>
      <c r="Y35" s="485"/>
      <c r="Z35" s="485"/>
      <c r="AA35" s="485"/>
    </row>
    <row r="36">
      <c r="A36" s="486"/>
      <c r="B36" s="482"/>
      <c r="C36" s="497"/>
      <c r="D36" s="497"/>
      <c r="E36" s="497"/>
      <c r="F36" s="497"/>
      <c r="G36" s="497"/>
      <c r="H36" s="497"/>
      <c r="I36" s="497"/>
      <c r="J36" s="497"/>
      <c r="K36" s="497"/>
      <c r="L36" s="485"/>
      <c r="M36" s="485"/>
      <c r="N36" s="485"/>
      <c r="O36" s="485"/>
      <c r="P36" s="485"/>
      <c r="Q36" s="485"/>
      <c r="R36" s="485"/>
      <c r="S36" s="485"/>
      <c r="T36" s="485"/>
      <c r="U36" s="485"/>
      <c r="V36" s="485"/>
      <c r="W36" s="485"/>
      <c r="X36" s="485"/>
      <c r="Y36" s="485"/>
      <c r="Z36" s="485"/>
      <c r="AA36" s="485"/>
    </row>
    <row r="37">
      <c r="A37" s="486"/>
      <c r="B37" s="482"/>
      <c r="C37" s="497"/>
      <c r="D37" s="497"/>
      <c r="E37" s="497"/>
      <c r="F37" s="497"/>
      <c r="G37" s="497"/>
      <c r="H37" s="497"/>
      <c r="I37" s="497"/>
      <c r="J37" s="497"/>
      <c r="K37" s="497"/>
      <c r="L37" s="485"/>
      <c r="M37" s="485"/>
      <c r="N37" s="485"/>
      <c r="O37" s="485"/>
      <c r="P37" s="485"/>
      <c r="Q37" s="485"/>
      <c r="R37" s="485"/>
      <c r="S37" s="485"/>
      <c r="T37" s="485"/>
      <c r="U37" s="485"/>
      <c r="V37" s="485"/>
      <c r="W37" s="485"/>
      <c r="X37" s="485"/>
      <c r="Y37" s="485"/>
      <c r="Z37" s="485"/>
      <c r="AA37" s="485"/>
    </row>
    <row r="38">
      <c r="A38" s="486"/>
      <c r="B38" s="482"/>
      <c r="C38" s="497"/>
      <c r="D38" s="497"/>
      <c r="E38" s="497"/>
      <c r="F38" s="497"/>
      <c r="G38" s="497"/>
      <c r="H38" s="497"/>
      <c r="I38" s="497"/>
      <c r="J38" s="497"/>
      <c r="K38" s="497"/>
      <c r="L38" s="485"/>
      <c r="M38" s="485"/>
      <c r="N38" s="485"/>
      <c r="O38" s="485"/>
      <c r="P38" s="485"/>
      <c r="Q38" s="485"/>
      <c r="R38" s="485"/>
      <c r="S38" s="485"/>
      <c r="T38" s="485"/>
      <c r="U38" s="485"/>
      <c r="V38" s="485"/>
      <c r="W38" s="485"/>
      <c r="X38" s="485"/>
      <c r="Y38" s="485"/>
      <c r="Z38" s="485"/>
      <c r="AA38" s="485"/>
    </row>
    <row r="39">
      <c r="A39" s="486"/>
      <c r="B39" s="482"/>
      <c r="C39" s="497"/>
      <c r="D39" s="497"/>
      <c r="E39" s="497"/>
      <c r="F39" s="497"/>
      <c r="G39" s="497"/>
      <c r="H39" s="497"/>
      <c r="I39" s="497"/>
      <c r="J39" s="497"/>
      <c r="K39" s="497"/>
      <c r="L39" s="485"/>
      <c r="M39" s="485"/>
      <c r="N39" s="485"/>
      <c r="O39" s="485"/>
      <c r="P39" s="485"/>
      <c r="Q39" s="485"/>
      <c r="R39" s="485"/>
      <c r="S39" s="485"/>
      <c r="T39" s="485"/>
      <c r="U39" s="485"/>
      <c r="V39" s="485"/>
      <c r="W39" s="485"/>
      <c r="X39" s="485"/>
      <c r="Y39" s="485"/>
      <c r="Z39" s="485"/>
      <c r="AA39" s="485"/>
    </row>
    <row r="40">
      <c r="A40" s="486"/>
      <c r="B40" s="482"/>
      <c r="C40" s="497"/>
      <c r="D40" s="497"/>
      <c r="E40" s="497"/>
      <c r="F40" s="497"/>
      <c r="G40" s="497"/>
      <c r="H40" s="497"/>
      <c r="I40" s="497"/>
      <c r="J40" s="497"/>
      <c r="K40" s="497"/>
      <c r="L40" s="485"/>
      <c r="M40" s="485"/>
      <c r="N40" s="485"/>
      <c r="O40" s="485"/>
      <c r="P40" s="485"/>
      <c r="Q40" s="485"/>
      <c r="R40" s="485"/>
      <c r="S40" s="485"/>
      <c r="T40" s="485"/>
      <c r="U40" s="485"/>
      <c r="V40" s="485"/>
      <c r="W40" s="485"/>
      <c r="X40" s="485"/>
      <c r="Y40" s="485"/>
      <c r="Z40" s="485"/>
      <c r="AA40" s="485"/>
    </row>
    <row r="41">
      <c r="A41" s="486"/>
      <c r="B41" s="482"/>
      <c r="C41" s="497"/>
      <c r="D41" s="497"/>
      <c r="E41" s="497"/>
      <c r="F41" s="497"/>
      <c r="G41" s="497"/>
      <c r="H41" s="497"/>
      <c r="I41" s="497"/>
      <c r="J41" s="497"/>
      <c r="K41" s="497"/>
      <c r="L41" s="485"/>
      <c r="M41" s="485"/>
      <c r="N41" s="485"/>
      <c r="O41" s="485"/>
      <c r="P41" s="485"/>
      <c r="Q41" s="485"/>
      <c r="R41" s="485"/>
      <c r="S41" s="485"/>
      <c r="T41" s="485"/>
      <c r="U41" s="485"/>
      <c r="V41" s="485"/>
      <c r="W41" s="485"/>
      <c r="X41" s="485"/>
      <c r="Y41" s="485"/>
      <c r="Z41" s="485"/>
      <c r="AA41" s="485"/>
    </row>
    <row r="42">
      <c r="A42" s="486"/>
      <c r="B42" s="482"/>
      <c r="C42" s="497"/>
      <c r="D42" s="497"/>
      <c r="E42" s="497"/>
      <c r="F42" s="497"/>
      <c r="G42" s="497"/>
      <c r="H42" s="497"/>
      <c r="I42" s="497"/>
      <c r="J42" s="497"/>
      <c r="K42" s="497"/>
      <c r="L42" s="485"/>
      <c r="M42" s="485"/>
      <c r="N42" s="485"/>
      <c r="O42" s="485"/>
      <c r="P42" s="485"/>
      <c r="Q42" s="485"/>
      <c r="R42" s="485"/>
      <c r="S42" s="485"/>
      <c r="T42" s="485"/>
      <c r="U42" s="485"/>
      <c r="V42" s="485"/>
      <c r="W42" s="485"/>
      <c r="X42" s="485"/>
      <c r="Y42" s="485"/>
      <c r="Z42" s="485"/>
      <c r="AA42" s="485"/>
    </row>
    <row r="43">
      <c r="A43" s="486"/>
      <c r="B43" s="482"/>
      <c r="C43" s="497"/>
      <c r="D43" s="497"/>
      <c r="E43" s="497"/>
      <c r="F43" s="497"/>
      <c r="G43" s="497"/>
      <c r="H43" s="497"/>
      <c r="I43" s="497"/>
      <c r="J43" s="497"/>
      <c r="K43" s="497"/>
      <c r="L43" s="485"/>
      <c r="M43" s="485"/>
      <c r="N43" s="485"/>
      <c r="O43" s="485"/>
      <c r="P43" s="485"/>
      <c r="Q43" s="485"/>
      <c r="R43" s="485"/>
      <c r="S43" s="485"/>
      <c r="T43" s="485"/>
      <c r="U43" s="485"/>
      <c r="V43" s="485"/>
      <c r="W43" s="485"/>
      <c r="X43" s="485"/>
      <c r="Y43" s="485"/>
      <c r="Z43" s="485"/>
      <c r="AA43" s="485"/>
    </row>
    <row r="44">
      <c r="A44" s="486"/>
      <c r="B44" s="482"/>
      <c r="C44" s="497"/>
      <c r="D44" s="497"/>
      <c r="E44" s="497"/>
      <c r="F44" s="497"/>
      <c r="G44" s="497"/>
      <c r="H44" s="497"/>
      <c r="I44" s="497"/>
      <c r="J44" s="497"/>
      <c r="K44" s="497"/>
      <c r="L44" s="485"/>
      <c r="M44" s="485"/>
      <c r="N44" s="485"/>
      <c r="O44" s="485"/>
      <c r="P44" s="485"/>
      <c r="Q44" s="485"/>
      <c r="R44" s="485"/>
      <c r="S44" s="485"/>
      <c r="T44" s="485"/>
      <c r="U44" s="485"/>
      <c r="V44" s="485"/>
      <c r="W44" s="485"/>
      <c r="X44" s="485"/>
      <c r="Y44" s="485"/>
      <c r="Z44" s="485"/>
      <c r="AA44" s="485"/>
    </row>
    <row r="45">
      <c r="A45" s="486"/>
      <c r="B45" s="482"/>
      <c r="C45" s="497"/>
      <c r="D45" s="497"/>
      <c r="E45" s="497"/>
      <c r="F45" s="497"/>
      <c r="G45" s="497"/>
      <c r="H45" s="497"/>
      <c r="I45" s="497"/>
      <c r="J45" s="497"/>
      <c r="K45" s="497"/>
      <c r="L45" s="485"/>
      <c r="M45" s="485"/>
      <c r="N45" s="485"/>
      <c r="O45" s="485"/>
      <c r="P45" s="485"/>
      <c r="Q45" s="485"/>
      <c r="R45" s="485"/>
      <c r="S45" s="485"/>
      <c r="T45" s="485"/>
      <c r="U45" s="485"/>
      <c r="V45" s="485"/>
      <c r="W45" s="485"/>
      <c r="X45" s="485"/>
      <c r="Y45" s="485"/>
      <c r="Z45" s="485"/>
      <c r="AA45" s="485"/>
    </row>
    <row r="46">
      <c r="A46" s="486"/>
      <c r="B46" s="482"/>
      <c r="C46" s="497"/>
      <c r="D46" s="497"/>
      <c r="E46" s="497"/>
      <c r="F46" s="497"/>
      <c r="G46" s="497"/>
      <c r="H46" s="497"/>
      <c r="I46" s="497"/>
      <c r="J46" s="497"/>
      <c r="K46" s="497"/>
      <c r="L46" s="485"/>
      <c r="M46" s="485"/>
      <c r="N46" s="485"/>
      <c r="O46" s="485"/>
      <c r="P46" s="485"/>
      <c r="Q46" s="485"/>
      <c r="R46" s="485"/>
      <c r="S46" s="485"/>
      <c r="T46" s="485"/>
      <c r="U46" s="485"/>
      <c r="V46" s="485"/>
      <c r="W46" s="485"/>
      <c r="X46" s="485"/>
      <c r="Y46" s="485"/>
      <c r="Z46" s="485"/>
      <c r="AA46" s="485"/>
    </row>
    <row r="47">
      <c r="A47" s="486"/>
      <c r="B47" s="482"/>
      <c r="C47" s="497"/>
      <c r="D47" s="497"/>
      <c r="E47" s="497"/>
      <c r="F47" s="497"/>
      <c r="G47" s="497"/>
      <c r="H47" s="497"/>
      <c r="I47" s="497"/>
      <c r="J47" s="497"/>
      <c r="K47" s="497"/>
      <c r="L47" s="485"/>
      <c r="M47" s="485"/>
      <c r="N47" s="485"/>
      <c r="O47" s="485"/>
      <c r="P47" s="485"/>
      <c r="Q47" s="485"/>
      <c r="R47" s="485"/>
      <c r="S47" s="485"/>
      <c r="T47" s="485"/>
      <c r="U47" s="485"/>
      <c r="V47" s="485"/>
      <c r="W47" s="485"/>
      <c r="X47" s="485"/>
      <c r="Y47" s="485"/>
      <c r="Z47" s="485"/>
      <c r="AA47" s="485"/>
    </row>
    <row r="48">
      <c r="A48" s="486"/>
      <c r="B48" s="482"/>
      <c r="C48" s="497"/>
      <c r="D48" s="497"/>
      <c r="E48" s="497"/>
      <c r="F48" s="497"/>
      <c r="G48" s="497"/>
      <c r="H48" s="497"/>
      <c r="I48" s="497"/>
      <c r="J48" s="497"/>
      <c r="K48" s="497"/>
      <c r="L48" s="485"/>
      <c r="M48" s="485"/>
      <c r="N48" s="485"/>
      <c r="O48" s="485"/>
      <c r="P48" s="485"/>
      <c r="Q48" s="485"/>
      <c r="R48" s="485"/>
      <c r="S48" s="485"/>
      <c r="T48" s="485"/>
      <c r="U48" s="485"/>
      <c r="V48" s="485"/>
      <c r="W48" s="485"/>
      <c r="X48" s="485"/>
      <c r="Y48" s="485"/>
      <c r="Z48" s="485"/>
      <c r="AA48" s="485"/>
    </row>
    <row r="49">
      <c r="A49" s="486"/>
      <c r="B49" s="482"/>
      <c r="C49" s="497"/>
      <c r="D49" s="497"/>
      <c r="E49" s="497"/>
      <c r="F49" s="497"/>
      <c r="G49" s="497"/>
      <c r="H49" s="497"/>
      <c r="I49" s="497"/>
      <c r="J49" s="497"/>
      <c r="K49" s="497"/>
      <c r="L49" s="485"/>
      <c r="M49" s="485"/>
      <c r="N49" s="485"/>
      <c r="O49" s="485"/>
      <c r="P49" s="485"/>
      <c r="Q49" s="485"/>
      <c r="R49" s="485"/>
      <c r="S49" s="485"/>
      <c r="T49" s="485"/>
      <c r="U49" s="485"/>
      <c r="V49" s="485"/>
      <c r="W49" s="485"/>
      <c r="X49" s="485"/>
      <c r="Y49" s="485"/>
      <c r="Z49" s="485"/>
      <c r="AA49" s="485"/>
    </row>
    <row r="50">
      <c r="A50" s="486"/>
      <c r="B50" s="482"/>
      <c r="C50" s="497"/>
      <c r="D50" s="497"/>
      <c r="E50" s="497"/>
      <c r="F50" s="497"/>
      <c r="G50" s="497"/>
      <c r="H50" s="497"/>
      <c r="I50" s="497"/>
      <c r="J50" s="497"/>
      <c r="K50" s="497"/>
      <c r="L50" s="485"/>
      <c r="M50" s="485"/>
      <c r="N50" s="485"/>
      <c r="O50" s="485"/>
      <c r="P50" s="485"/>
      <c r="Q50" s="485"/>
      <c r="R50" s="485"/>
      <c r="S50" s="485"/>
      <c r="T50" s="485"/>
      <c r="U50" s="485"/>
      <c r="V50" s="485"/>
      <c r="W50" s="485"/>
      <c r="X50" s="485"/>
      <c r="Y50" s="485"/>
      <c r="Z50" s="485"/>
      <c r="AA50" s="485"/>
    </row>
    <row r="51">
      <c r="A51" s="486"/>
      <c r="B51" s="482"/>
      <c r="C51" s="497"/>
      <c r="D51" s="497"/>
      <c r="E51" s="497"/>
      <c r="F51" s="497"/>
      <c r="G51" s="497"/>
      <c r="H51" s="497"/>
      <c r="I51" s="497"/>
      <c r="J51" s="497"/>
      <c r="K51" s="497"/>
      <c r="L51" s="485"/>
      <c r="M51" s="485"/>
      <c r="N51" s="485"/>
      <c r="O51" s="485"/>
      <c r="P51" s="485"/>
      <c r="Q51" s="485"/>
      <c r="R51" s="485"/>
      <c r="S51" s="485"/>
      <c r="T51" s="485"/>
      <c r="U51" s="485"/>
      <c r="V51" s="485"/>
      <c r="W51" s="485"/>
      <c r="X51" s="485"/>
      <c r="Y51" s="485"/>
      <c r="Z51" s="485"/>
      <c r="AA51" s="485"/>
    </row>
    <row r="52">
      <c r="A52" s="486"/>
      <c r="B52" s="482"/>
      <c r="C52" s="497"/>
      <c r="D52" s="497"/>
      <c r="E52" s="497"/>
      <c r="F52" s="497"/>
      <c r="G52" s="497"/>
      <c r="H52" s="497"/>
      <c r="I52" s="497"/>
      <c r="J52" s="497"/>
      <c r="K52" s="497"/>
      <c r="L52" s="485"/>
      <c r="M52" s="485"/>
      <c r="N52" s="485"/>
      <c r="O52" s="485"/>
      <c r="P52" s="485"/>
      <c r="Q52" s="485"/>
      <c r="R52" s="485"/>
      <c r="S52" s="485"/>
      <c r="T52" s="485"/>
      <c r="U52" s="485"/>
      <c r="V52" s="485"/>
      <c r="W52" s="485"/>
      <c r="X52" s="485"/>
      <c r="Y52" s="485"/>
      <c r="Z52" s="485"/>
      <c r="AA52" s="485"/>
    </row>
    <row r="53">
      <c r="A53" s="486"/>
      <c r="B53" s="482"/>
      <c r="C53" s="497"/>
      <c r="D53" s="497"/>
      <c r="E53" s="497"/>
      <c r="F53" s="497"/>
      <c r="G53" s="497"/>
      <c r="H53" s="497"/>
      <c r="I53" s="497"/>
      <c r="J53" s="497"/>
      <c r="K53" s="497"/>
      <c r="L53" s="485"/>
      <c r="M53" s="485"/>
      <c r="N53" s="485"/>
      <c r="O53" s="485"/>
      <c r="P53" s="485"/>
      <c r="Q53" s="485"/>
      <c r="R53" s="485"/>
      <c r="S53" s="485"/>
      <c r="T53" s="485"/>
      <c r="U53" s="485"/>
      <c r="V53" s="485"/>
      <c r="W53" s="485"/>
      <c r="X53" s="485"/>
      <c r="Y53" s="485"/>
      <c r="Z53" s="485"/>
      <c r="AA53" s="485"/>
    </row>
    <row r="54">
      <c r="A54" s="486"/>
      <c r="B54" s="482"/>
      <c r="C54" s="497"/>
      <c r="D54" s="497"/>
      <c r="E54" s="497"/>
      <c r="F54" s="497"/>
      <c r="G54" s="497"/>
      <c r="H54" s="497"/>
      <c r="I54" s="497"/>
      <c r="J54" s="497"/>
      <c r="K54" s="497"/>
      <c r="L54" s="485"/>
      <c r="M54" s="485"/>
      <c r="N54" s="485"/>
      <c r="O54" s="485"/>
      <c r="P54" s="485"/>
      <c r="Q54" s="485"/>
      <c r="R54" s="485"/>
      <c r="S54" s="485"/>
      <c r="T54" s="485"/>
      <c r="U54" s="485"/>
      <c r="V54" s="485"/>
      <c r="W54" s="485"/>
      <c r="X54" s="485"/>
      <c r="Y54" s="485"/>
      <c r="Z54" s="485"/>
      <c r="AA54" s="485"/>
    </row>
    <row r="55">
      <c r="A55" s="486"/>
      <c r="B55" s="482"/>
      <c r="C55" s="497"/>
      <c r="D55" s="497"/>
      <c r="E55" s="497"/>
      <c r="F55" s="497"/>
      <c r="G55" s="497"/>
      <c r="H55" s="497"/>
      <c r="I55" s="497"/>
      <c r="J55" s="497"/>
      <c r="K55" s="497"/>
      <c r="L55" s="485"/>
      <c r="M55" s="485"/>
      <c r="N55" s="485"/>
      <c r="O55" s="485"/>
      <c r="P55" s="485"/>
      <c r="Q55" s="485"/>
      <c r="R55" s="485"/>
      <c r="S55" s="485"/>
      <c r="T55" s="485"/>
      <c r="U55" s="485"/>
      <c r="V55" s="485"/>
      <c r="W55" s="485"/>
      <c r="X55" s="485"/>
      <c r="Y55" s="485"/>
      <c r="Z55" s="485"/>
      <c r="AA55" s="485"/>
    </row>
    <row r="56">
      <c r="A56" s="486"/>
      <c r="B56" s="482"/>
      <c r="C56" s="497"/>
      <c r="D56" s="497"/>
      <c r="E56" s="497"/>
      <c r="F56" s="497"/>
      <c r="G56" s="497"/>
      <c r="H56" s="497"/>
      <c r="I56" s="497"/>
      <c r="J56" s="497"/>
      <c r="K56" s="497"/>
      <c r="L56" s="485"/>
      <c r="M56" s="485"/>
      <c r="N56" s="485"/>
      <c r="O56" s="485"/>
      <c r="P56" s="485"/>
      <c r="Q56" s="485"/>
      <c r="R56" s="485"/>
      <c r="S56" s="485"/>
      <c r="T56" s="485"/>
      <c r="U56" s="485"/>
      <c r="V56" s="485"/>
      <c r="W56" s="485"/>
      <c r="X56" s="485"/>
      <c r="Y56" s="485"/>
      <c r="Z56" s="485"/>
      <c r="AA56" s="485"/>
    </row>
    <row r="57">
      <c r="A57" s="486"/>
      <c r="B57" s="482"/>
      <c r="C57" s="497"/>
      <c r="D57" s="497"/>
      <c r="E57" s="497"/>
      <c r="F57" s="497"/>
      <c r="G57" s="497"/>
      <c r="H57" s="497"/>
      <c r="I57" s="497"/>
      <c r="J57" s="497"/>
      <c r="K57" s="497"/>
      <c r="L57" s="485"/>
      <c r="M57" s="485"/>
      <c r="N57" s="485"/>
      <c r="O57" s="485"/>
      <c r="P57" s="485"/>
      <c r="Q57" s="485"/>
      <c r="R57" s="485"/>
      <c r="S57" s="485"/>
      <c r="T57" s="485"/>
      <c r="U57" s="485"/>
      <c r="V57" s="485"/>
      <c r="W57" s="485"/>
      <c r="X57" s="485"/>
      <c r="Y57" s="485"/>
      <c r="Z57" s="485"/>
      <c r="AA57" s="485"/>
    </row>
    <row r="58">
      <c r="A58" s="486"/>
      <c r="B58" s="482"/>
      <c r="C58" s="497"/>
      <c r="D58" s="497"/>
      <c r="E58" s="497"/>
      <c r="F58" s="497"/>
      <c r="G58" s="497"/>
      <c r="H58" s="497"/>
      <c r="I58" s="497"/>
      <c r="J58" s="497"/>
      <c r="K58" s="497"/>
      <c r="L58" s="485"/>
      <c r="M58" s="485"/>
      <c r="N58" s="485"/>
      <c r="O58" s="485"/>
      <c r="P58" s="485"/>
      <c r="Q58" s="485"/>
      <c r="R58" s="485"/>
      <c r="S58" s="485"/>
      <c r="T58" s="485"/>
      <c r="U58" s="485"/>
      <c r="V58" s="485"/>
      <c r="W58" s="485"/>
      <c r="X58" s="485"/>
      <c r="Y58" s="485"/>
      <c r="Z58" s="485"/>
      <c r="AA58" s="485"/>
    </row>
    <row r="59">
      <c r="A59" s="486"/>
      <c r="B59" s="482"/>
      <c r="C59" s="497"/>
      <c r="D59" s="497"/>
      <c r="E59" s="497"/>
      <c r="F59" s="497"/>
      <c r="G59" s="497"/>
      <c r="H59" s="497"/>
      <c r="I59" s="497"/>
      <c r="J59" s="497"/>
      <c r="K59" s="497"/>
      <c r="L59" s="485"/>
      <c r="M59" s="485"/>
      <c r="N59" s="485"/>
      <c r="O59" s="485"/>
      <c r="P59" s="485"/>
      <c r="Q59" s="485"/>
      <c r="R59" s="485"/>
      <c r="S59" s="485"/>
      <c r="T59" s="485"/>
      <c r="U59" s="485"/>
      <c r="V59" s="485"/>
      <c r="W59" s="485"/>
      <c r="X59" s="485"/>
      <c r="Y59" s="485"/>
      <c r="Z59" s="485"/>
      <c r="AA59" s="485"/>
    </row>
    <row r="60">
      <c r="A60" s="486"/>
      <c r="B60" s="482"/>
      <c r="C60" s="497"/>
      <c r="D60" s="497"/>
      <c r="E60" s="497"/>
      <c r="F60" s="497"/>
      <c r="G60" s="497"/>
      <c r="H60" s="497"/>
      <c r="I60" s="497"/>
      <c r="J60" s="497"/>
      <c r="K60" s="497"/>
      <c r="L60" s="485"/>
      <c r="M60" s="485"/>
      <c r="N60" s="485"/>
      <c r="O60" s="485"/>
      <c r="P60" s="485"/>
      <c r="Q60" s="485"/>
      <c r="R60" s="485"/>
      <c r="S60" s="485"/>
      <c r="T60" s="485"/>
      <c r="U60" s="485"/>
      <c r="V60" s="485"/>
      <c r="W60" s="485"/>
      <c r="X60" s="485"/>
      <c r="Y60" s="485"/>
      <c r="Z60" s="485"/>
      <c r="AA60" s="485"/>
    </row>
    <row r="61">
      <c r="A61" s="486"/>
      <c r="B61" s="482"/>
      <c r="C61" s="497"/>
      <c r="D61" s="497"/>
      <c r="E61" s="497"/>
      <c r="F61" s="497"/>
      <c r="G61" s="497"/>
      <c r="H61" s="497"/>
      <c r="I61" s="497"/>
      <c r="J61" s="497"/>
      <c r="K61" s="497"/>
      <c r="L61" s="485"/>
      <c r="M61" s="485"/>
      <c r="N61" s="485"/>
      <c r="O61" s="485"/>
      <c r="P61" s="485"/>
      <c r="Q61" s="485"/>
      <c r="R61" s="485"/>
      <c r="S61" s="485"/>
      <c r="T61" s="485"/>
      <c r="U61" s="485"/>
      <c r="V61" s="485"/>
      <c r="W61" s="485"/>
      <c r="X61" s="485"/>
      <c r="Y61" s="485"/>
      <c r="Z61" s="485"/>
      <c r="AA61" s="485"/>
    </row>
    <row r="62">
      <c r="A62" s="486"/>
      <c r="B62" s="482"/>
      <c r="C62" s="497"/>
      <c r="D62" s="497"/>
      <c r="E62" s="497"/>
      <c r="F62" s="497"/>
      <c r="G62" s="497"/>
      <c r="H62" s="497"/>
      <c r="I62" s="497"/>
      <c r="J62" s="497"/>
      <c r="K62" s="497"/>
      <c r="L62" s="485"/>
      <c r="M62" s="485"/>
      <c r="N62" s="485"/>
      <c r="O62" s="485"/>
      <c r="P62" s="485"/>
      <c r="Q62" s="485"/>
      <c r="R62" s="485"/>
      <c r="S62" s="485"/>
      <c r="T62" s="485"/>
      <c r="U62" s="485"/>
      <c r="V62" s="485"/>
      <c r="W62" s="485"/>
      <c r="X62" s="485"/>
      <c r="Y62" s="485"/>
      <c r="Z62" s="485"/>
      <c r="AA62" s="485"/>
    </row>
    <row r="63">
      <c r="A63" s="486"/>
      <c r="B63" s="482"/>
      <c r="C63" s="497"/>
      <c r="D63" s="497"/>
      <c r="E63" s="497"/>
      <c r="F63" s="497"/>
      <c r="G63" s="497"/>
      <c r="H63" s="497"/>
      <c r="I63" s="497"/>
      <c r="J63" s="497"/>
      <c r="K63" s="497"/>
      <c r="L63" s="485"/>
      <c r="M63" s="485"/>
      <c r="N63" s="485"/>
      <c r="O63" s="485"/>
      <c r="P63" s="485"/>
      <c r="Q63" s="485"/>
      <c r="R63" s="485"/>
      <c r="S63" s="485"/>
      <c r="T63" s="485"/>
      <c r="U63" s="485"/>
      <c r="V63" s="485"/>
      <c r="W63" s="485"/>
      <c r="X63" s="485"/>
      <c r="Y63" s="485"/>
      <c r="Z63" s="485"/>
      <c r="AA63" s="485"/>
    </row>
    <row r="64">
      <c r="A64" s="486"/>
      <c r="B64" s="482"/>
      <c r="C64" s="497"/>
      <c r="D64" s="497"/>
      <c r="E64" s="497"/>
      <c r="F64" s="497"/>
      <c r="G64" s="497"/>
      <c r="H64" s="497"/>
      <c r="I64" s="497"/>
      <c r="J64" s="497"/>
      <c r="K64" s="497"/>
      <c r="L64" s="485"/>
      <c r="M64" s="485"/>
      <c r="N64" s="485"/>
      <c r="O64" s="485"/>
      <c r="P64" s="485"/>
      <c r="Q64" s="485"/>
      <c r="R64" s="485"/>
      <c r="S64" s="485"/>
      <c r="T64" s="485"/>
      <c r="U64" s="485"/>
      <c r="V64" s="485"/>
      <c r="W64" s="485"/>
      <c r="X64" s="485"/>
      <c r="Y64" s="485"/>
      <c r="Z64" s="485"/>
      <c r="AA64" s="485"/>
    </row>
    <row r="65">
      <c r="A65" s="486"/>
      <c r="B65" s="482"/>
      <c r="C65" s="497"/>
      <c r="D65" s="497"/>
      <c r="E65" s="497"/>
      <c r="F65" s="497"/>
      <c r="G65" s="497"/>
      <c r="H65" s="497"/>
      <c r="I65" s="497"/>
      <c r="J65" s="497"/>
      <c r="K65" s="497"/>
      <c r="L65" s="485"/>
      <c r="M65" s="485"/>
      <c r="N65" s="485"/>
      <c r="O65" s="485"/>
      <c r="P65" s="485"/>
      <c r="Q65" s="485"/>
      <c r="R65" s="485"/>
      <c r="S65" s="485"/>
      <c r="T65" s="485"/>
      <c r="U65" s="485"/>
      <c r="V65" s="485"/>
      <c r="W65" s="485"/>
      <c r="X65" s="485"/>
      <c r="Y65" s="485"/>
      <c r="Z65" s="485"/>
      <c r="AA65" s="485"/>
    </row>
    <row r="66">
      <c r="A66" s="486"/>
      <c r="B66" s="482"/>
      <c r="C66" s="497"/>
      <c r="D66" s="497"/>
      <c r="E66" s="497"/>
      <c r="F66" s="497"/>
      <c r="G66" s="497"/>
      <c r="H66" s="497"/>
      <c r="I66" s="497"/>
      <c r="J66" s="497"/>
      <c r="K66" s="497"/>
      <c r="L66" s="485"/>
      <c r="M66" s="485"/>
      <c r="N66" s="485"/>
      <c r="O66" s="485"/>
      <c r="P66" s="485"/>
      <c r="Q66" s="485"/>
      <c r="R66" s="485"/>
      <c r="S66" s="485"/>
      <c r="T66" s="485"/>
      <c r="U66" s="485"/>
      <c r="V66" s="485"/>
      <c r="W66" s="485"/>
      <c r="X66" s="485"/>
      <c r="Y66" s="485"/>
      <c r="Z66" s="485"/>
      <c r="AA66" s="485"/>
    </row>
    <row r="67">
      <c r="A67" s="486"/>
      <c r="B67" s="482"/>
      <c r="C67" s="497"/>
      <c r="D67" s="497"/>
      <c r="E67" s="497"/>
      <c r="F67" s="497"/>
      <c r="G67" s="497"/>
      <c r="H67" s="497"/>
      <c r="I67" s="497"/>
      <c r="J67" s="497"/>
      <c r="K67" s="497"/>
      <c r="L67" s="485"/>
      <c r="M67" s="485"/>
      <c r="N67" s="485"/>
      <c r="O67" s="485"/>
      <c r="P67" s="485"/>
      <c r="Q67" s="485"/>
      <c r="R67" s="485"/>
      <c r="S67" s="485"/>
      <c r="T67" s="485"/>
      <c r="U67" s="485"/>
      <c r="V67" s="485"/>
      <c r="W67" s="485"/>
      <c r="X67" s="485"/>
      <c r="Y67" s="485"/>
      <c r="Z67" s="485"/>
      <c r="AA67" s="485"/>
    </row>
    <row r="68">
      <c r="A68" s="486"/>
      <c r="B68" s="482"/>
      <c r="C68" s="497"/>
      <c r="D68" s="497"/>
      <c r="E68" s="497"/>
      <c r="F68" s="497"/>
      <c r="G68" s="497"/>
      <c r="H68" s="497"/>
      <c r="I68" s="497"/>
      <c r="J68" s="497"/>
      <c r="K68" s="497"/>
      <c r="L68" s="485"/>
      <c r="M68" s="485"/>
      <c r="N68" s="485"/>
      <c r="O68" s="485"/>
      <c r="P68" s="485"/>
      <c r="Q68" s="485"/>
      <c r="R68" s="485"/>
      <c r="S68" s="485"/>
      <c r="T68" s="485"/>
      <c r="U68" s="485"/>
      <c r="V68" s="485"/>
      <c r="W68" s="485"/>
      <c r="X68" s="485"/>
      <c r="Y68" s="485"/>
      <c r="Z68" s="485"/>
      <c r="AA68" s="485"/>
    </row>
    <row r="69">
      <c r="A69" s="486"/>
      <c r="B69" s="482"/>
      <c r="C69" s="497"/>
      <c r="D69" s="497"/>
      <c r="E69" s="497"/>
      <c r="F69" s="497"/>
      <c r="G69" s="497"/>
      <c r="H69" s="497"/>
      <c r="I69" s="497"/>
      <c r="J69" s="497"/>
      <c r="K69" s="497"/>
      <c r="L69" s="485"/>
      <c r="M69" s="485"/>
      <c r="N69" s="485"/>
      <c r="O69" s="485"/>
      <c r="P69" s="485"/>
      <c r="Q69" s="485"/>
      <c r="R69" s="485"/>
      <c r="S69" s="485"/>
      <c r="T69" s="485"/>
      <c r="U69" s="485"/>
      <c r="V69" s="485"/>
      <c r="W69" s="485"/>
      <c r="X69" s="485"/>
      <c r="Y69" s="485"/>
      <c r="Z69" s="485"/>
      <c r="AA69" s="485"/>
    </row>
    <row r="70">
      <c r="A70" s="486"/>
      <c r="B70" s="482"/>
      <c r="C70" s="497"/>
      <c r="D70" s="497"/>
      <c r="E70" s="497"/>
      <c r="F70" s="497"/>
      <c r="G70" s="497"/>
      <c r="H70" s="497"/>
      <c r="I70" s="497"/>
      <c r="J70" s="497"/>
      <c r="K70" s="497"/>
      <c r="L70" s="485"/>
      <c r="M70" s="485"/>
      <c r="N70" s="485"/>
      <c r="O70" s="485"/>
      <c r="P70" s="485"/>
      <c r="Q70" s="485"/>
      <c r="R70" s="485"/>
      <c r="S70" s="485"/>
      <c r="T70" s="485"/>
      <c r="U70" s="485"/>
      <c r="V70" s="485"/>
      <c r="W70" s="485"/>
      <c r="X70" s="485"/>
      <c r="Y70" s="485"/>
      <c r="Z70" s="485"/>
      <c r="AA70" s="485"/>
    </row>
    <row r="71">
      <c r="A71" s="486"/>
      <c r="B71" s="482"/>
      <c r="C71" s="497"/>
      <c r="D71" s="497"/>
      <c r="E71" s="497"/>
      <c r="F71" s="497"/>
      <c r="G71" s="497"/>
      <c r="H71" s="497"/>
      <c r="I71" s="497"/>
      <c r="J71" s="497"/>
      <c r="K71" s="497"/>
      <c r="L71" s="485"/>
      <c r="M71" s="485"/>
      <c r="N71" s="485"/>
      <c r="O71" s="485"/>
      <c r="P71" s="485"/>
      <c r="Q71" s="485"/>
      <c r="R71" s="485"/>
      <c r="S71" s="485"/>
      <c r="T71" s="485"/>
      <c r="U71" s="485"/>
      <c r="V71" s="485"/>
      <c r="W71" s="485"/>
      <c r="X71" s="485"/>
      <c r="Y71" s="485"/>
      <c r="Z71" s="485"/>
      <c r="AA71" s="485"/>
    </row>
    <row r="72">
      <c r="A72" s="486"/>
      <c r="B72" s="482"/>
      <c r="C72" s="497"/>
      <c r="D72" s="497"/>
      <c r="E72" s="497"/>
      <c r="F72" s="497"/>
      <c r="G72" s="497"/>
      <c r="H72" s="497"/>
      <c r="I72" s="497"/>
      <c r="J72" s="497"/>
      <c r="K72" s="497"/>
      <c r="L72" s="485"/>
      <c r="M72" s="485"/>
      <c r="N72" s="485"/>
      <c r="O72" s="485"/>
      <c r="P72" s="485"/>
      <c r="Q72" s="485"/>
      <c r="R72" s="485"/>
      <c r="S72" s="485"/>
      <c r="T72" s="485"/>
      <c r="U72" s="485"/>
      <c r="V72" s="485"/>
      <c r="W72" s="485"/>
      <c r="X72" s="485"/>
      <c r="Y72" s="485"/>
      <c r="Z72" s="485"/>
      <c r="AA72" s="485"/>
    </row>
    <row r="73">
      <c r="A73" s="486"/>
      <c r="B73" s="482"/>
      <c r="C73" s="497"/>
      <c r="D73" s="497"/>
      <c r="E73" s="497"/>
      <c r="F73" s="497"/>
      <c r="G73" s="497"/>
      <c r="H73" s="497"/>
      <c r="I73" s="497"/>
      <c r="J73" s="497"/>
      <c r="K73" s="497"/>
      <c r="L73" s="485"/>
      <c r="M73" s="485"/>
      <c r="N73" s="485"/>
      <c r="O73" s="485"/>
      <c r="P73" s="485"/>
      <c r="Q73" s="485"/>
      <c r="R73" s="485"/>
      <c r="S73" s="485"/>
      <c r="T73" s="485"/>
      <c r="U73" s="485"/>
      <c r="V73" s="485"/>
      <c r="W73" s="485"/>
      <c r="X73" s="485"/>
      <c r="Y73" s="485"/>
      <c r="Z73" s="485"/>
      <c r="AA73" s="485"/>
    </row>
    <row r="74">
      <c r="A74" s="486"/>
      <c r="B74" s="482"/>
      <c r="C74" s="497"/>
      <c r="D74" s="497"/>
      <c r="E74" s="497"/>
      <c r="F74" s="497"/>
      <c r="G74" s="497"/>
      <c r="H74" s="497"/>
      <c r="I74" s="497"/>
      <c r="J74" s="497"/>
      <c r="K74" s="497"/>
      <c r="L74" s="485"/>
      <c r="M74" s="485"/>
      <c r="N74" s="485"/>
      <c r="O74" s="485"/>
      <c r="P74" s="485"/>
      <c r="Q74" s="485"/>
      <c r="R74" s="485"/>
      <c r="S74" s="485"/>
      <c r="T74" s="485"/>
      <c r="U74" s="485"/>
      <c r="V74" s="485"/>
      <c r="W74" s="485"/>
      <c r="X74" s="485"/>
      <c r="Y74" s="485"/>
      <c r="Z74" s="485"/>
      <c r="AA74" s="485"/>
    </row>
    <row r="75">
      <c r="A75" s="486"/>
      <c r="B75" s="482"/>
      <c r="C75" s="497"/>
      <c r="D75" s="497"/>
      <c r="E75" s="497"/>
      <c r="F75" s="497"/>
      <c r="G75" s="497"/>
      <c r="H75" s="497"/>
      <c r="I75" s="497"/>
      <c r="J75" s="497"/>
      <c r="K75" s="497"/>
      <c r="L75" s="485"/>
      <c r="M75" s="485"/>
      <c r="N75" s="485"/>
      <c r="O75" s="485"/>
      <c r="P75" s="485"/>
      <c r="Q75" s="485"/>
      <c r="R75" s="485"/>
      <c r="S75" s="485"/>
      <c r="T75" s="485"/>
      <c r="U75" s="485"/>
      <c r="V75" s="485"/>
      <c r="W75" s="485"/>
      <c r="X75" s="485"/>
      <c r="Y75" s="485"/>
      <c r="Z75" s="485"/>
      <c r="AA75" s="485"/>
    </row>
    <row r="76">
      <c r="A76" s="486"/>
      <c r="B76" s="482"/>
      <c r="C76" s="497"/>
      <c r="D76" s="497"/>
      <c r="E76" s="497"/>
      <c r="F76" s="497"/>
      <c r="G76" s="497"/>
      <c r="H76" s="497"/>
      <c r="I76" s="497"/>
      <c r="J76" s="497"/>
      <c r="K76" s="497"/>
      <c r="L76" s="485"/>
      <c r="M76" s="485"/>
      <c r="N76" s="485"/>
      <c r="O76" s="485"/>
      <c r="P76" s="485"/>
      <c r="Q76" s="485"/>
      <c r="R76" s="485"/>
      <c r="S76" s="485"/>
      <c r="T76" s="485"/>
      <c r="U76" s="485"/>
      <c r="V76" s="485"/>
      <c r="W76" s="485"/>
      <c r="X76" s="485"/>
      <c r="Y76" s="485"/>
      <c r="Z76" s="485"/>
      <c r="AA76" s="485"/>
    </row>
    <row r="77">
      <c r="A77" s="486"/>
      <c r="B77" s="482"/>
      <c r="C77" s="497"/>
      <c r="D77" s="497"/>
      <c r="E77" s="497"/>
      <c r="F77" s="497"/>
      <c r="G77" s="497"/>
      <c r="H77" s="497"/>
      <c r="I77" s="497"/>
      <c r="J77" s="497"/>
      <c r="K77" s="497"/>
      <c r="L77" s="485"/>
      <c r="M77" s="485"/>
      <c r="N77" s="485"/>
      <c r="O77" s="485"/>
      <c r="P77" s="485"/>
      <c r="Q77" s="485"/>
      <c r="R77" s="485"/>
      <c r="S77" s="485"/>
      <c r="T77" s="485"/>
      <c r="U77" s="485"/>
      <c r="V77" s="485"/>
      <c r="W77" s="485"/>
      <c r="X77" s="485"/>
      <c r="Y77" s="485"/>
      <c r="Z77" s="485"/>
      <c r="AA77" s="485"/>
    </row>
    <row r="78">
      <c r="A78" s="486"/>
      <c r="B78" s="482"/>
      <c r="C78" s="497"/>
      <c r="D78" s="497"/>
      <c r="E78" s="497"/>
      <c r="F78" s="497"/>
      <c r="G78" s="497"/>
      <c r="H78" s="497"/>
      <c r="I78" s="497"/>
      <c r="J78" s="497"/>
      <c r="K78" s="497"/>
      <c r="L78" s="485"/>
      <c r="M78" s="485"/>
      <c r="N78" s="485"/>
      <c r="O78" s="485"/>
      <c r="P78" s="485"/>
      <c r="Q78" s="485"/>
      <c r="R78" s="485"/>
      <c r="S78" s="485"/>
      <c r="T78" s="485"/>
      <c r="U78" s="485"/>
      <c r="V78" s="485"/>
      <c r="W78" s="485"/>
      <c r="X78" s="485"/>
      <c r="Y78" s="485"/>
      <c r="Z78" s="485"/>
      <c r="AA78" s="485"/>
    </row>
    <row r="79">
      <c r="A79" s="486"/>
      <c r="B79" s="482"/>
      <c r="C79" s="497"/>
      <c r="D79" s="497"/>
      <c r="E79" s="497"/>
      <c r="F79" s="497"/>
      <c r="G79" s="497"/>
      <c r="H79" s="497"/>
      <c r="I79" s="497"/>
      <c r="J79" s="497"/>
      <c r="K79" s="497"/>
      <c r="L79" s="485"/>
      <c r="M79" s="485"/>
      <c r="N79" s="485"/>
      <c r="O79" s="485"/>
      <c r="P79" s="485"/>
      <c r="Q79" s="485"/>
      <c r="R79" s="485"/>
      <c r="S79" s="485"/>
      <c r="T79" s="485"/>
      <c r="U79" s="485"/>
      <c r="V79" s="485"/>
      <c r="W79" s="485"/>
      <c r="X79" s="485"/>
      <c r="Y79" s="485"/>
      <c r="Z79" s="485"/>
      <c r="AA79" s="485"/>
    </row>
    <row r="80">
      <c r="A80" s="486"/>
      <c r="B80" s="482"/>
      <c r="C80" s="497"/>
      <c r="D80" s="497"/>
      <c r="E80" s="497"/>
      <c r="F80" s="497"/>
      <c r="G80" s="497"/>
      <c r="H80" s="497"/>
      <c r="I80" s="497"/>
      <c r="J80" s="497"/>
      <c r="K80" s="497"/>
      <c r="L80" s="485"/>
      <c r="M80" s="485"/>
      <c r="N80" s="485"/>
      <c r="O80" s="485"/>
      <c r="P80" s="485"/>
      <c r="Q80" s="485"/>
      <c r="R80" s="485"/>
      <c r="S80" s="485"/>
      <c r="T80" s="485"/>
      <c r="U80" s="485"/>
      <c r="V80" s="485"/>
      <c r="W80" s="485"/>
      <c r="X80" s="485"/>
      <c r="Y80" s="485"/>
      <c r="Z80" s="485"/>
      <c r="AA80" s="485"/>
    </row>
    <row r="81">
      <c r="A81" s="486"/>
      <c r="B81" s="482"/>
      <c r="C81" s="497"/>
      <c r="D81" s="497"/>
      <c r="E81" s="497"/>
      <c r="F81" s="497"/>
      <c r="G81" s="497"/>
      <c r="H81" s="497"/>
      <c r="I81" s="497"/>
      <c r="J81" s="497"/>
      <c r="K81" s="497"/>
      <c r="L81" s="485"/>
      <c r="M81" s="485"/>
      <c r="N81" s="485"/>
      <c r="O81" s="485"/>
      <c r="P81" s="485"/>
      <c r="Q81" s="485"/>
      <c r="R81" s="485"/>
      <c r="S81" s="485"/>
      <c r="T81" s="485"/>
      <c r="U81" s="485"/>
      <c r="V81" s="485"/>
      <c r="W81" s="485"/>
      <c r="X81" s="485"/>
      <c r="Y81" s="485"/>
      <c r="Z81" s="485"/>
      <c r="AA81" s="485"/>
    </row>
    <row r="82">
      <c r="A82" s="486"/>
      <c r="B82" s="482"/>
      <c r="C82" s="497"/>
      <c r="D82" s="497"/>
      <c r="E82" s="497"/>
      <c r="F82" s="497"/>
      <c r="G82" s="497"/>
      <c r="H82" s="497"/>
      <c r="I82" s="497"/>
      <c r="J82" s="497"/>
      <c r="K82" s="497"/>
      <c r="L82" s="485"/>
      <c r="M82" s="485"/>
      <c r="N82" s="485"/>
      <c r="O82" s="485"/>
      <c r="P82" s="485"/>
      <c r="Q82" s="485"/>
      <c r="R82" s="485"/>
      <c r="S82" s="485"/>
      <c r="T82" s="485"/>
      <c r="U82" s="485"/>
      <c r="V82" s="485"/>
      <c r="W82" s="485"/>
      <c r="X82" s="485"/>
      <c r="Y82" s="485"/>
      <c r="Z82" s="485"/>
      <c r="AA82" s="485"/>
    </row>
    <row r="83">
      <c r="A83" s="486"/>
      <c r="B83" s="482"/>
      <c r="C83" s="497"/>
      <c r="D83" s="497"/>
      <c r="E83" s="497"/>
      <c r="F83" s="497"/>
      <c r="G83" s="497"/>
      <c r="H83" s="497"/>
      <c r="I83" s="497"/>
      <c r="J83" s="497"/>
      <c r="K83" s="497"/>
      <c r="L83" s="485"/>
      <c r="M83" s="485"/>
      <c r="N83" s="485"/>
      <c r="O83" s="485"/>
      <c r="P83" s="485"/>
      <c r="Q83" s="485"/>
      <c r="R83" s="485"/>
      <c r="S83" s="485"/>
      <c r="T83" s="485"/>
      <c r="U83" s="485"/>
      <c r="V83" s="485"/>
      <c r="W83" s="485"/>
      <c r="X83" s="485"/>
      <c r="Y83" s="485"/>
      <c r="Z83" s="485"/>
      <c r="AA83" s="485"/>
    </row>
    <row r="84">
      <c r="A84" s="486"/>
      <c r="B84" s="482"/>
      <c r="C84" s="497"/>
      <c r="D84" s="497"/>
      <c r="E84" s="497"/>
      <c r="F84" s="497"/>
      <c r="G84" s="497"/>
      <c r="H84" s="497"/>
      <c r="I84" s="497"/>
      <c r="J84" s="497"/>
      <c r="K84" s="497"/>
      <c r="L84" s="485"/>
      <c r="M84" s="485"/>
      <c r="N84" s="485"/>
      <c r="O84" s="485"/>
      <c r="P84" s="485"/>
      <c r="Q84" s="485"/>
      <c r="R84" s="485"/>
      <c r="S84" s="485"/>
      <c r="T84" s="485"/>
      <c r="U84" s="485"/>
      <c r="V84" s="485"/>
      <c r="W84" s="485"/>
      <c r="X84" s="485"/>
      <c r="Y84" s="485"/>
      <c r="Z84" s="485"/>
      <c r="AA84" s="485"/>
    </row>
    <row r="85">
      <c r="A85" s="486"/>
      <c r="B85" s="482"/>
      <c r="C85" s="497"/>
      <c r="D85" s="497"/>
      <c r="E85" s="497"/>
      <c r="F85" s="497"/>
      <c r="G85" s="497"/>
      <c r="H85" s="497"/>
      <c r="I85" s="497"/>
      <c r="J85" s="497"/>
      <c r="K85" s="497"/>
      <c r="L85" s="485"/>
      <c r="M85" s="485"/>
      <c r="N85" s="485"/>
      <c r="O85" s="485"/>
      <c r="P85" s="485"/>
      <c r="Q85" s="485"/>
      <c r="R85" s="485"/>
      <c r="S85" s="485"/>
      <c r="T85" s="485"/>
      <c r="U85" s="485"/>
      <c r="V85" s="485"/>
      <c r="W85" s="485"/>
      <c r="X85" s="485"/>
      <c r="Y85" s="485"/>
      <c r="Z85" s="485"/>
      <c r="AA85" s="485"/>
    </row>
    <row r="86">
      <c r="A86" s="486"/>
      <c r="B86" s="482"/>
      <c r="C86" s="497"/>
      <c r="D86" s="497"/>
      <c r="E86" s="497"/>
      <c r="F86" s="497"/>
      <c r="G86" s="497"/>
      <c r="H86" s="497"/>
      <c r="I86" s="497"/>
      <c r="J86" s="497"/>
      <c r="K86" s="497"/>
      <c r="L86" s="485"/>
      <c r="M86" s="485"/>
      <c r="N86" s="485"/>
      <c r="O86" s="485"/>
      <c r="P86" s="485"/>
      <c r="Q86" s="485"/>
      <c r="R86" s="485"/>
      <c r="S86" s="485"/>
      <c r="T86" s="485"/>
      <c r="U86" s="485"/>
      <c r="V86" s="485"/>
      <c r="W86" s="485"/>
      <c r="X86" s="485"/>
      <c r="Y86" s="485"/>
      <c r="Z86" s="485"/>
      <c r="AA86" s="485"/>
    </row>
    <row r="87">
      <c r="A87" s="486"/>
      <c r="B87" s="482"/>
      <c r="C87" s="497"/>
      <c r="D87" s="497"/>
      <c r="E87" s="497"/>
      <c r="F87" s="497"/>
      <c r="G87" s="497"/>
      <c r="H87" s="497"/>
      <c r="I87" s="497"/>
      <c r="J87" s="497"/>
      <c r="K87" s="497"/>
      <c r="L87" s="485"/>
      <c r="M87" s="485"/>
      <c r="N87" s="485"/>
      <c r="O87" s="485"/>
      <c r="P87" s="485"/>
      <c r="Q87" s="485"/>
      <c r="R87" s="485"/>
      <c r="S87" s="485"/>
      <c r="T87" s="485"/>
      <c r="U87" s="485"/>
      <c r="V87" s="485"/>
      <c r="W87" s="485"/>
      <c r="X87" s="485"/>
      <c r="Y87" s="485"/>
      <c r="Z87" s="485"/>
      <c r="AA87" s="485"/>
    </row>
    <row r="88">
      <c r="A88" s="486"/>
      <c r="B88" s="482"/>
      <c r="C88" s="497"/>
      <c r="D88" s="497"/>
      <c r="E88" s="497"/>
      <c r="F88" s="497"/>
      <c r="G88" s="497"/>
      <c r="H88" s="497"/>
      <c r="I88" s="497"/>
      <c r="J88" s="497"/>
      <c r="K88" s="497"/>
      <c r="L88" s="485"/>
      <c r="M88" s="485"/>
      <c r="N88" s="485"/>
      <c r="O88" s="485"/>
      <c r="P88" s="485"/>
      <c r="Q88" s="485"/>
      <c r="R88" s="485"/>
      <c r="S88" s="485"/>
      <c r="T88" s="485"/>
      <c r="U88" s="485"/>
      <c r="V88" s="485"/>
      <c r="W88" s="485"/>
      <c r="X88" s="485"/>
      <c r="Y88" s="485"/>
      <c r="Z88" s="485"/>
      <c r="AA88" s="485"/>
    </row>
    <row r="89">
      <c r="A89" s="486"/>
      <c r="B89" s="482"/>
      <c r="C89" s="497"/>
      <c r="D89" s="497"/>
      <c r="E89" s="497"/>
      <c r="F89" s="497"/>
      <c r="G89" s="497"/>
      <c r="H89" s="497"/>
      <c r="I89" s="497"/>
      <c r="J89" s="497"/>
      <c r="K89" s="497"/>
      <c r="L89" s="485"/>
      <c r="M89" s="485"/>
      <c r="N89" s="485"/>
      <c r="O89" s="485"/>
      <c r="P89" s="485"/>
      <c r="Q89" s="485"/>
      <c r="R89" s="485"/>
      <c r="S89" s="485"/>
      <c r="T89" s="485"/>
      <c r="U89" s="485"/>
      <c r="V89" s="485"/>
      <c r="W89" s="485"/>
      <c r="X89" s="485"/>
      <c r="Y89" s="485"/>
      <c r="Z89" s="485"/>
      <c r="AA89" s="485"/>
    </row>
    <row r="90">
      <c r="A90" s="486"/>
      <c r="B90" s="482"/>
      <c r="C90" s="497"/>
      <c r="D90" s="497"/>
      <c r="E90" s="497"/>
      <c r="F90" s="497"/>
      <c r="G90" s="497"/>
      <c r="H90" s="497"/>
      <c r="I90" s="497"/>
      <c r="J90" s="497"/>
      <c r="K90" s="497"/>
      <c r="L90" s="485"/>
      <c r="M90" s="485"/>
      <c r="N90" s="485"/>
      <c r="O90" s="485"/>
      <c r="P90" s="485"/>
      <c r="Q90" s="485"/>
      <c r="R90" s="485"/>
      <c r="S90" s="485"/>
      <c r="T90" s="485"/>
      <c r="U90" s="485"/>
      <c r="V90" s="485"/>
      <c r="W90" s="485"/>
      <c r="X90" s="485"/>
      <c r="Y90" s="485"/>
      <c r="Z90" s="485"/>
      <c r="AA90" s="485"/>
    </row>
    <row r="91">
      <c r="A91" s="486"/>
      <c r="B91" s="482"/>
      <c r="C91" s="497"/>
      <c r="D91" s="497"/>
      <c r="E91" s="497"/>
      <c r="F91" s="497"/>
      <c r="G91" s="497"/>
      <c r="H91" s="497"/>
      <c r="I91" s="497"/>
      <c r="J91" s="497"/>
      <c r="K91" s="497"/>
      <c r="L91" s="485"/>
      <c r="M91" s="485"/>
      <c r="N91" s="485"/>
      <c r="O91" s="485"/>
      <c r="P91" s="485"/>
      <c r="Q91" s="485"/>
      <c r="R91" s="485"/>
      <c r="S91" s="485"/>
      <c r="T91" s="485"/>
      <c r="U91" s="485"/>
      <c r="V91" s="485"/>
      <c r="W91" s="485"/>
      <c r="X91" s="485"/>
      <c r="Y91" s="485"/>
      <c r="Z91" s="485"/>
      <c r="AA91" s="485"/>
    </row>
    <row r="92">
      <c r="A92" s="486"/>
      <c r="B92" s="482"/>
      <c r="C92" s="497"/>
      <c r="D92" s="497"/>
      <c r="E92" s="497"/>
      <c r="F92" s="497"/>
      <c r="G92" s="497"/>
      <c r="H92" s="497"/>
      <c r="I92" s="497"/>
      <c r="J92" s="497"/>
      <c r="K92" s="497"/>
      <c r="L92" s="485"/>
      <c r="M92" s="485"/>
      <c r="N92" s="485"/>
      <c r="O92" s="485"/>
      <c r="P92" s="485"/>
      <c r="Q92" s="485"/>
      <c r="R92" s="485"/>
      <c r="S92" s="485"/>
      <c r="T92" s="485"/>
      <c r="U92" s="485"/>
      <c r="V92" s="485"/>
      <c r="W92" s="485"/>
      <c r="X92" s="485"/>
      <c r="Y92" s="485"/>
      <c r="Z92" s="485"/>
      <c r="AA92" s="485"/>
    </row>
    <row r="93">
      <c r="A93" s="486"/>
      <c r="B93" s="482"/>
      <c r="C93" s="497"/>
      <c r="D93" s="497"/>
      <c r="E93" s="497"/>
      <c r="F93" s="497"/>
      <c r="G93" s="497"/>
      <c r="H93" s="497"/>
      <c r="I93" s="497"/>
      <c r="J93" s="497"/>
      <c r="K93" s="497"/>
      <c r="L93" s="485"/>
      <c r="M93" s="485"/>
      <c r="N93" s="485"/>
      <c r="O93" s="485"/>
      <c r="P93" s="485"/>
      <c r="Q93" s="485"/>
      <c r="R93" s="485"/>
      <c r="S93" s="485"/>
      <c r="T93" s="485"/>
      <c r="U93" s="485"/>
      <c r="V93" s="485"/>
      <c r="W93" s="485"/>
      <c r="X93" s="485"/>
      <c r="Y93" s="485"/>
      <c r="Z93" s="485"/>
      <c r="AA93" s="485"/>
    </row>
    <row r="94">
      <c r="A94" s="486"/>
      <c r="B94" s="482"/>
      <c r="C94" s="497"/>
      <c r="D94" s="497"/>
      <c r="E94" s="497"/>
      <c r="F94" s="497"/>
      <c r="G94" s="497"/>
      <c r="H94" s="497"/>
      <c r="I94" s="497"/>
      <c r="J94" s="497"/>
      <c r="K94" s="497"/>
      <c r="L94" s="485"/>
      <c r="M94" s="485"/>
      <c r="N94" s="485"/>
      <c r="O94" s="485"/>
      <c r="P94" s="485"/>
      <c r="Q94" s="485"/>
      <c r="R94" s="485"/>
      <c r="S94" s="485"/>
      <c r="T94" s="485"/>
      <c r="U94" s="485"/>
      <c r="V94" s="485"/>
      <c r="W94" s="485"/>
      <c r="X94" s="485"/>
      <c r="Y94" s="485"/>
      <c r="Z94" s="485"/>
      <c r="AA94" s="485"/>
    </row>
    <row r="95">
      <c r="A95" s="486"/>
      <c r="B95" s="482"/>
      <c r="C95" s="497"/>
      <c r="D95" s="497"/>
      <c r="E95" s="497"/>
      <c r="F95" s="497"/>
      <c r="G95" s="497"/>
      <c r="H95" s="497"/>
      <c r="I95" s="497"/>
      <c r="J95" s="497"/>
      <c r="K95" s="497"/>
      <c r="L95" s="485"/>
      <c r="M95" s="485"/>
      <c r="N95" s="485"/>
      <c r="O95" s="485"/>
      <c r="P95" s="485"/>
      <c r="Q95" s="485"/>
      <c r="R95" s="485"/>
      <c r="S95" s="485"/>
      <c r="T95" s="485"/>
      <c r="U95" s="485"/>
      <c r="V95" s="485"/>
      <c r="W95" s="485"/>
      <c r="X95" s="485"/>
      <c r="Y95" s="485"/>
      <c r="Z95" s="485"/>
      <c r="AA95" s="485"/>
    </row>
    <row r="96">
      <c r="A96" s="486"/>
      <c r="B96" s="482"/>
      <c r="C96" s="497"/>
      <c r="D96" s="497"/>
      <c r="E96" s="497"/>
      <c r="F96" s="497"/>
      <c r="G96" s="497"/>
      <c r="H96" s="497"/>
      <c r="I96" s="497"/>
      <c r="J96" s="497"/>
      <c r="K96" s="497"/>
      <c r="L96" s="485"/>
      <c r="M96" s="485"/>
      <c r="N96" s="485"/>
      <c r="O96" s="485"/>
      <c r="P96" s="485"/>
      <c r="Q96" s="485"/>
      <c r="R96" s="485"/>
      <c r="S96" s="485"/>
      <c r="T96" s="485"/>
      <c r="U96" s="485"/>
      <c r="V96" s="485"/>
      <c r="W96" s="485"/>
      <c r="X96" s="485"/>
      <c r="Y96" s="485"/>
      <c r="Z96" s="485"/>
      <c r="AA96" s="485"/>
    </row>
    <row r="97">
      <c r="A97" s="486"/>
      <c r="B97" s="482"/>
      <c r="C97" s="497"/>
      <c r="D97" s="497"/>
      <c r="E97" s="497"/>
      <c r="F97" s="497"/>
      <c r="G97" s="497"/>
      <c r="H97" s="497"/>
      <c r="I97" s="497"/>
      <c r="J97" s="497"/>
      <c r="K97" s="497"/>
      <c r="L97" s="485"/>
      <c r="M97" s="485"/>
      <c r="N97" s="485"/>
      <c r="O97" s="485"/>
      <c r="P97" s="485"/>
      <c r="Q97" s="485"/>
      <c r="R97" s="485"/>
      <c r="S97" s="485"/>
      <c r="T97" s="485"/>
      <c r="U97" s="485"/>
      <c r="V97" s="485"/>
      <c r="W97" s="485"/>
      <c r="X97" s="485"/>
      <c r="Y97" s="485"/>
      <c r="Z97" s="485"/>
      <c r="AA97" s="485"/>
    </row>
    <row r="98">
      <c r="A98" s="486"/>
      <c r="B98" s="482"/>
      <c r="C98" s="497"/>
      <c r="D98" s="497"/>
      <c r="E98" s="497"/>
      <c r="F98" s="497"/>
      <c r="G98" s="497"/>
      <c r="H98" s="497"/>
      <c r="I98" s="497"/>
      <c r="J98" s="497"/>
      <c r="K98" s="497"/>
      <c r="L98" s="485"/>
      <c r="M98" s="485"/>
      <c r="N98" s="485"/>
      <c r="O98" s="485"/>
      <c r="P98" s="485"/>
      <c r="Q98" s="485"/>
      <c r="R98" s="485"/>
      <c r="S98" s="485"/>
      <c r="T98" s="485"/>
      <c r="U98" s="485"/>
      <c r="V98" s="485"/>
      <c r="W98" s="485"/>
      <c r="X98" s="485"/>
      <c r="Y98" s="485"/>
      <c r="Z98" s="485"/>
      <c r="AA98" s="485"/>
    </row>
    <row r="99">
      <c r="A99" s="486"/>
      <c r="B99" s="482"/>
      <c r="C99" s="497"/>
      <c r="D99" s="497"/>
      <c r="E99" s="497"/>
      <c r="F99" s="497"/>
      <c r="G99" s="497"/>
      <c r="H99" s="497"/>
      <c r="I99" s="497"/>
      <c r="J99" s="497"/>
      <c r="K99" s="497"/>
      <c r="L99" s="485"/>
      <c r="M99" s="485"/>
      <c r="N99" s="485"/>
      <c r="O99" s="485"/>
      <c r="P99" s="485"/>
      <c r="Q99" s="485"/>
      <c r="R99" s="485"/>
      <c r="S99" s="485"/>
      <c r="T99" s="485"/>
      <c r="U99" s="485"/>
      <c r="V99" s="485"/>
      <c r="W99" s="485"/>
      <c r="X99" s="485"/>
      <c r="Y99" s="485"/>
      <c r="Z99" s="485"/>
      <c r="AA99" s="485"/>
    </row>
    <row r="100">
      <c r="A100" s="486"/>
      <c r="B100" s="482"/>
      <c r="C100" s="497"/>
      <c r="D100" s="497"/>
      <c r="E100" s="497"/>
      <c r="F100" s="497"/>
      <c r="G100" s="497"/>
      <c r="H100" s="497"/>
      <c r="I100" s="497"/>
      <c r="J100" s="497"/>
      <c r="K100" s="497"/>
      <c r="L100" s="485"/>
      <c r="M100" s="485"/>
      <c r="N100" s="485"/>
      <c r="O100" s="485"/>
      <c r="P100" s="485"/>
      <c r="Q100" s="485"/>
      <c r="R100" s="485"/>
      <c r="S100" s="485"/>
      <c r="T100" s="485"/>
      <c r="U100" s="485"/>
      <c r="V100" s="485"/>
      <c r="W100" s="485"/>
      <c r="X100" s="485"/>
      <c r="Y100" s="485"/>
      <c r="Z100" s="485"/>
      <c r="AA100" s="485"/>
    </row>
    <row r="101">
      <c r="A101" s="486"/>
      <c r="B101" s="482"/>
      <c r="C101" s="497"/>
      <c r="D101" s="497"/>
      <c r="E101" s="497"/>
      <c r="F101" s="497"/>
      <c r="G101" s="497"/>
      <c r="H101" s="497"/>
      <c r="I101" s="497"/>
      <c r="J101" s="497"/>
      <c r="K101" s="497"/>
      <c r="L101" s="485"/>
      <c r="M101" s="485"/>
      <c r="N101" s="485"/>
      <c r="O101" s="485"/>
      <c r="P101" s="485"/>
      <c r="Q101" s="485"/>
      <c r="R101" s="485"/>
      <c r="S101" s="485"/>
      <c r="T101" s="485"/>
      <c r="U101" s="485"/>
      <c r="V101" s="485"/>
      <c r="W101" s="485"/>
      <c r="X101" s="485"/>
      <c r="Y101" s="485"/>
      <c r="Z101" s="485"/>
      <c r="AA101" s="485"/>
    </row>
    <row r="102">
      <c r="A102" s="486"/>
      <c r="B102" s="482"/>
      <c r="C102" s="497"/>
      <c r="D102" s="497"/>
      <c r="E102" s="497"/>
      <c r="F102" s="497"/>
      <c r="G102" s="497"/>
      <c r="H102" s="497"/>
      <c r="I102" s="497"/>
      <c r="J102" s="497"/>
      <c r="K102" s="497"/>
      <c r="L102" s="485"/>
      <c r="M102" s="485"/>
      <c r="N102" s="485"/>
      <c r="O102" s="485"/>
      <c r="P102" s="485"/>
      <c r="Q102" s="485"/>
      <c r="R102" s="485"/>
      <c r="S102" s="485"/>
      <c r="T102" s="485"/>
      <c r="U102" s="485"/>
      <c r="V102" s="485"/>
      <c r="W102" s="485"/>
      <c r="X102" s="485"/>
      <c r="Y102" s="485"/>
      <c r="Z102" s="485"/>
      <c r="AA102" s="485"/>
    </row>
    <row r="103">
      <c r="A103" s="486"/>
      <c r="B103" s="482"/>
      <c r="C103" s="497"/>
      <c r="D103" s="497"/>
      <c r="E103" s="497"/>
      <c r="F103" s="497"/>
      <c r="G103" s="497"/>
      <c r="H103" s="497"/>
      <c r="I103" s="497"/>
      <c r="J103" s="497"/>
      <c r="K103" s="497"/>
      <c r="L103" s="485"/>
      <c r="M103" s="485"/>
      <c r="N103" s="485"/>
      <c r="O103" s="485"/>
      <c r="P103" s="485"/>
      <c r="Q103" s="485"/>
      <c r="R103" s="485"/>
      <c r="S103" s="485"/>
      <c r="T103" s="485"/>
      <c r="U103" s="485"/>
      <c r="V103" s="485"/>
      <c r="W103" s="485"/>
      <c r="X103" s="485"/>
      <c r="Y103" s="485"/>
      <c r="Z103" s="485"/>
      <c r="AA103" s="485"/>
    </row>
    <row r="104">
      <c r="A104" s="486"/>
      <c r="B104" s="482"/>
      <c r="C104" s="497"/>
      <c r="D104" s="497"/>
      <c r="E104" s="497"/>
      <c r="F104" s="497"/>
      <c r="G104" s="497"/>
      <c r="H104" s="497"/>
      <c r="I104" s="497"/>
      <c r="J104" s="497"/>
      <c r="K104" s="497"/>
      <c r="L104" s="485"/>
      <c r="M104" s="485"/>
      <c r="N104" s="485"/>
      <c r="O104" s="485"/>
      <c r="P104" s="485"/>
      <c r="Q104" s="485"/>
      <c r="R104" s="485"/>
      <c r="S104" s="485"/>
      <c r="T104" s="485"/>
      <c r="U104" s="485"/>
      <c r="V104" s="485"/>
      <c r="W104" s="485"/>
      <c r="X104" s="485"/>
      <c r="Y104" s="485"/>
      <c r="Z104" s="485"/>
      <c r="AA104" s="485"/>
    </row>
    <row r="105">
      <c r="A105" s="486"/>
      <c r="B105" s="482"/>
      <c r="C105" s="497"/>
      <c r="D105" s="497"/>
      <c r="E105" s="497"/>
      <c r="F105" s="497"/>
      <c r="G105" s="497"/>
      <c r="H105" s="497"/>
      <c r="I105" s="497"/>
      <c r="J105" s="497"/>
      <c r="K105" s="497"/>
      <c r="L105" s="485"/>
      <c r="M105" s="485"/>
      <c r="N105" s="485"/>
      <c r="O105" s="485"/>
      <c r="P105" s="485"/>
      <c r="Q105" s="485"/>
      <c r="R105" s="485"/>
      <c r="S105" s="485"/>
      <c r="T105" s="485"/>
      <c r="U105" s="485"/>
      <c r="V105" s="485"/>
      <c r="W105" s="485"/>
      <c r="X105" s="485"/>
      <c r="Y105" s="485"/>
      <c r="Z105" s="485"/>
      <c r="AA105" s="485"/>
    </row>
    <row r="106">
      <c r="A106" s="486"/>
      <c r="B106" s="482"/>
      <c r="C106" s="497"/>
      <c r="D106" s="497"/>
      <c r="E106" s="497"/>
      <c r="F106" s="497"/>
      <c r="G106" s="497"/>
      <c r="H106" s="497"/>
      <c r="I106" s="497"/>
      <c r="J106" s="497"/>
      <c r="K106" s="497"/>
      <c r="L106" s="485"/>
      <c r="M106" s="485"/>
      <c r="N106" s="485"/>
      <c r="O106" s="485"/>
      <c r="P106" s="485"/>
      <c r="Q106" s="485"/>
      <c r="R106" s="485"/>
      <c r="S106" s="485"/>
      <c r="T106" s="485"/>
      <c r="U106" s="485"/>
      <c r="V106" s="485"/>
      <c r="W106" s="485"/>
      <c r="X106" s="485"/>
      <c r="Y106" s="485"/>
      <c r="Z106" s="485"/>
      <c r="AA106" s="485"/>
    </row>
    <row r="107">
      <c r="A107" s="486"/>
      <c r="B107" s="482"/>
      <c r="C107" s="497"/>
      <c r="D107" s="497"/>
      <c r="E107" s="497"/>
      <c r="F107" s="497"/>
      <c r="G107" s="497"/>
      <c r="H107" s="497"/>
      <c r="I107" s="497"/>
      <c r="J107" s="497"/>
      <c r="K107" s="497"/>
      <c r="L107" s="485"/>
      <c r="M107" s="485"/>
      <c r="N107" s="485"/>
      <c r="O107" s="485"/>
      <c r="P107" s="485"/>
      <c r="Q107" s="485"/>
      <c r="R107" s="485"/>
      <c r="S107" s="485"/>
      <c r="T107" s="485"/>
      <c r="U107" s="485"/>
      <c r="V107" s="485"/>
      <c r="W107" s="485"/>
      <c r="X107" s="485"/>
      <c r="Y107" s="485"/>
      <c r="Z107" s="485"/>
      <c r="AA107" s="485"/>
    </row>
    <row r="108">
      <c r="A108" s="486"/>
      <c r="B108" s="482"/>
      <c r="C108" s="497"/>
      <c r="D108" s="497"/>
      <c r="E108" s="497"/>
      <c r="F108" s="497"/>
      <c r="G108" s="497"/>
      <c r="H108" s="497"/>
      <c r="I108" s="497"/>
      <c r="J108" s="497"/>
      <c r="K108" s="497"/>
      <c r="L108" s="485"/>
      <c r="M108" s="485"/>
      <c r="N108" s="485"/>
      <c r="O108" s="485"/>
      <c r="P108" s="485"/>
      <c r="Q108" s="485"/>
      <c r="R108" s="485"/>
      <c r="S108" s="485"/>
      <c r="T108" s="485"/>
      <c r="U108" s="485"/>
      <c r="V108" s="485"/>
      <c r="W108" s="485"/>
      <c r="X108" s="485"/>
      <c r="Y108" s="485"/>
      <c r="Z108" s="485"/>
      <c r="AA108" s="485"/>
    </row>
    <row r="109">
      <c r="A109" s="486"/>
      <c r="B109" s="482"/>
      <c r="C109" s="497"/>
      <c r="D109" s="497"/>
      <c r="E109" s="497"/>
      <c r="F109" s="497"/>
      <c r="G109" s="497"/>
      <c r="H109" s="497"/>
      <c r="I109" s="497"/>
      <c r="J109" s="497"/>
      <c r="K109" s="497"/>
      <c r="L109" s="485"/>
      <c r="M109" s="485"/>
      <c r="N109" s="485"/>
      <c r="O109" s="485"/>
      <c r="P109" s="485"/>
      <c r="Q109" s="485"/>
      <c r="R109" s="485"/>
      <c r="S109" s="485"/>
      <c r="T109" s="485"/>
      <c r="U109" s="485"/>
      <c r="V109" s="485"/>
      <c r="W109" s="485"/>
      <c r="X109" s="485"/>
      <c r="Y109" s="485"/>
      <c r="Z109" s="485"/>
      <c r="AA109" s="485"/>
    </row>
    <row r="110">
      <c r="A110" s="486"/>
      <c r="B110" s="482"/>
      <c r="C110" s="497"/>
      <c r="D110" s="497"/>
      <c r="E110" s="497"/>
      <c r="F110" s="497"/>
      <c r="G110" s="497"/>
      <c r="H110" s="497"/>
      <c r="I110" s="497"/>
      <c r="J110" s="497"/>
      <c r="K110" s="497"/>
      <c r="L110" s="485"/>
      <c r="M110" s="485"/>
      <c r="N110" s="485"/>
      <c r="O110" s="485"/>
      <c r="P110" s="485"/>
      <c r="Q110" s="485"/>
      <c r="R110" s="485"/>
      <c r="S110" s="485"/>
      <c r="T110" s="485"/>
      <c r="U110" s="485"/>
      <c r="V110" s="485"/>
      <c r="W110" s="485"/>
      <c r="X110" s="485"/>
      <c r="Y110" s="485"/>
      <c r="Z110" s="485"/>
      <c r="AA110" s="485"/>
    </row>
    <row r="111">
      <c r="A111" s="486"/>
      <c r="B111" s="482"/>
      <c r="C111" s="497"/>
      <c r="D111" s="497"/>
      <c r="E111" s="497"/>
      <c r="F111" s="497"/>
      <c r="G111" s="497"/>
      <c r="H111" s="497"/>
      <c r="I111" s="497"/>
      <c r="J111" s="497"/>
      <c r="K111" s="497"/>
      <c r="L111" s="485"/>
      <c r="M111" s="485"/>
      <c r="N111" s="485"/>
      <c r="O111" s="485"/>
      <c r="P111" s="485"/>
      <c r="Q111" s="485"/>
      <c r="R111" s="485"/>
      <c r="S111" s="485"/>
      <c r="T111" s="485"/>
      <c r="U111" s="485"/>
      <c r="V111" s="485"/>
      <c r="W111" s="485"/>
      <c r="X111" s="485"/>
      <c r="Y111" s="485"/>
      <c r="Z111" s="485"/>
      <c r="AA111" s="485"/>
    </row>
    <row r="112">
      <c r="A112" s="486"/>
      <c r="B112" s="482"/>
      <c r="C112" s="497"/>
      <c r="D112" s="497"/>
      <c r="E112" s="497"/>
      <c r="F112" s="497"/>
      <c r="G112" s="497"/>
      <c r="H112" s="497"/>
      <c r="I112" s="497"/>
      <c r="J112" s="497"/>
      <c r="K112" s="497"/>
      <c r="L112" s="485"/>
      <c r="M112" s="485"/>
      <c r="N112" s="485"/>
      <c r="O112" s="485"/>
      <c r="P112" s="485"/>
      <c r="Q112" s="485"/>
      <c r="R112" s="485"/>
      <c r="S112" s="485"/>
      <c r="T112" s="485"/>
      <c r="U112" s="485"/>
      <c r="V112" s="485"/>
      <c r="W112" s="485"/>
      <c r="X112" s="485"/>
      <c r="Y112" s="485"/>
      <c r="Z112" s="485"/>
      <c r="AA112" s="485"/>
    </row>
    <row r="113">
      <c r="A113" s="486"/>
      <c r="B113" s="482"/>
      <c r="C113" s="497"/>
      <c r="D113" s="497"/>
      <c r="E113" s="497"/>
      <c r="F113" s="497"/>
      <c r="G113" s="497"/>
      <c r="H113" s="497"/>
      <c r="I113" s="497"/>
      <c r="J113" s="497"/>
      <c r="K113" s="497"/>
      <c r="L113" s="485"/>
      <c r="M113" s="485"/>
      <c r="N113" s="485"/>
      <c r="O113" s="485"/>
      <c r="P113" s="485"/>
      <c r="Q113" s="485"/>
      <c r="R113" s="485"/>
      <c r="S113" s="485"/>
      <c r="T113" s="485"/>
      <c r="U113" s="485"/>
      <c r="V113" s="485"/>
      <c r="W113" s="485"/>
      <c r="X113" s="485"/>
      <c r="Y113" s="485"/>
      <c r="Z113" s="485"/>
      <c r="AA113" s="485"/>
    </row>
    <row r="114">
      <c r="A114" s="486"/>
      <c r="B114" s="482"/>
      <c r="C114" s="497"/>
      <c r="D114" s="497"/>
      <c r="E114" s="497"/>
      <c r="F114" s="497"/>
      <c r="G114" s="497"/>
      <c r="H114" s="497"/>
      <c r="I114" s="497"/>
      <c r="J114" s="497"/>
      <c r="K114" s="497"/>
      <c r="L114" s="485"/>
      <c r="M114" s="485"/>
      <c r="N114" s="485"/>
      <c r="O114" s="485"/>
      <c r="P114" s="485"/>
      <c r="Q114" s="485"/>
      <c r="R114" s="485"/>
      <c r="S114" s="485"/>
      <c r="T114" s="485"/>
      <c r="U114" s="485"/>
      <c r="V114" s="485"/>
      <c r="W114" s="485"/>
      <c r="X114" s="485"/>
      <c r="Y114" s="485"/>
      <c r="Z114" s="485"/>
      <c r="AA114" s="485"/>
    </row>
    <row r="115">
      <c r="A115" s="486"/>
      <c r="B115" s="482"/>
      <c r="C115" s="497"/>
      <c r="D115" s="497"/>
      <c r="E115" s="497"/>
      <c r="F115" s="497"/>
      <c r="G115" s="497"/>
      <c r="H115" s="497"/>
      <c r="I115" s="497"/>
      <c r="J115" s="497"/>
      <c r="K115" s="497"/>
      <c r="L115" s="485"/>
      <c r="M115" s="485"/>
      <c r="N115" s="485"/>
      <c r="O115" s="485"/>
      <c r="P115" s="485"/>
      <c r="Q115" s="485"/>
      <c r="R115" s="485"/>
      <c r="S115" s="485"/>
      <c r="T115" s="485"/>
      <c r="U115" s="485"/>
      <c r="V115" s="485"/>
      <c r="W115" s="485"/>
      <c r="X115" s="485"/>
      <c r="Y115" s="485"/>
      <c r="Z115" s="485"/>
      <c r="AA115" s="485"/>
    </row>
    <row r="116">
      <c r="A116" s="486"/>
      <c r="B116" s="482"/>
      <c r="C116" s="497"/>
      <c r="D116" s="497"/>
      <c r="E116" s="497"/>
      <c r="F116" s="497"/>
      <c r="G116" s="497"/>
      <c r="H116" s="497"/>
      <c r="I116" s="497"/>
      <c r="J116" s="497"/>
      <c r="K116" s="497"/>
      <c r="L116" s="485"/>
      <c r="M116" s="485"/>
      <c r="N116" s="485"/>
      <c r="O116" s="485"/>
      <c r="P116" s="485"/>
      <c r="Q116" s="485"/>
      <c r="R116" s="485"/>
      <c r="S116" s="485"/>
      <c r="T116" s="485"/>
      <c r="U116" s="485"/>
      <c r="V116" s="485"/>
      <c r="W116" s="485"/>
      <c r="X116" s="485"/>
      <c r="Y116" s="485"/>
      <c r="Z116" s="485"/>
      <c r="AA116" s="485"/>
    </row>
    <row r="117">
      <c r="A117" s="486"/>
      <c r="B117" s="482"/>
      <c r="C117" s="497"/>
      <c r="D117" s="497"/>
      <c r="E117" s="497"/>
      <c r="F117" s="497"/>
      <c r="G117" s="497"/>
      <c r="H117" s="497"/>
      <c r="I117" s="497"/>
      <c r="J117" s="497"/>
      <c r="K117" s="497"/>
      <c r="L117" s="485"/>
      <c r="M117" s="485"/>
      <c r="N117" s="485"/>
      <c r="O117" s="485"/>
      <c r="P117" s="485"/>
      <c r="Q117" s="485"/>
      <c r="R117" s="485"/>
      <c r="S117" s="485"/>
      <c r="T117" s="485"/>
      <c r="U117" s="485"/>
      <c r="V117" s="485"/>
      <c r="W117" s="485"/>
      <c r="X117" s="485"/>
      <c r="Y117" s="485"/>
      <c r="Z117" s="485"/>
      <c r="AA117" s="485"/>
    </row>
    <row r="118">
      <c r="A118" s="486"/>
      <c r="B118" s="482"/>
      <c r="C118" s="497"/>
      <c r="D118" s="497"/>
      <c r="E118" s="497"/>
      <c r="F118" s="497"/>
      <c r="G118" s="497"/>
      <c r="H118" s="497"/>
      <c r="I118" s="497"/>
      <c r="J118" s="497"/>
      <c r="K118" s="497"/>
      <c r="L118" s="485"/>
      <c r="M118" s="485"/>
      <c r="N118" s="485"/>
      <c r="O118" s="485"/>
      <c r="P118" s="485"/>
      <c r="Q118" s="485"/>
      <c r="R118" s="485"/>
      <c r="S118" s="485"/>
      <c r="T118" s="485"/>
      <c r="U118" s="485"/>
      <c r="V118" s="485"/>
      <c r="W118" s="485"/>
      <c r="X118" s="485"/>
      <c r="Y118" s="485"/>
      <c r="Z118" s="485"/>
      <c r="AA118" s="485"/>
    </row>
    <row r="119">
      <c r="A119" s="486"/>
      <c r="B119" s="482"/>
      <c r="C119" s="497"/>
      <c r="D119" s="497"/>
      <c r="E119" s="497"/>
      <c r="F119" s="497"/>
      <c r="G119" s="497"/>
      <c r="H119" s="497"/>
      <c r="I119" s="497"/>
      <c r="J119" s="497"/>
      <c r="K119" s="497"/>
      <c r="L119" s="485"/>
      <c r="M119" s="485"/>
      <c r="N119" s="485"/>
      <c r="O119" s="485"/>
      <c r="P119" s="485"/>
      <c r="Q119" s="485"/>
      <c r="R119" s="485"/>
      <c r="S119" s="485"/>
      <c r="T119" s="485"/>
      <c r="U119" s="485"/>
      <c r="V119" s="485"/>
      <c r="W119" s="485"/>
      <c r="X119" s="485"/>
      <c r="Y119" s="485"/>
      <c r="Z119" s="485"/>
      <c r="AA119" s="485"/>
    </row>
    <row r="120">
      <c r="A120" s="486"/>
      <c r="B120" s="482"/>
      <c r="C120" s="497"/>
      <c r="D120" s="497"/>
      <c r="E120" s="497"/>
      <c r="F120" s="497"/>
      <c r="G120" s="497"/>
      <c r="H120" s="497"/>
      <c r="I120" s="497"/>
      <c r="J120" s="497"/>
      <c r="K120" s="497"/>
      <c r="L120" s="485"/>
      <c r="M120" s="485"/>
      <c r="N120" s="485"/>
      <c r="O120" s="485"/>
      <c r="P120" s="485"/>
      <c r="Q120" s="485"/>
      <c r="R120" s="485"/>
      <c r="S120" s="485"/>
      <c r="T120" s="485"/>
      <c r="U120" s="485"/>
      <c r="V120" s="485"/>
      <c r="W120" s="485"/>
      <c r="X120" s="485"/>
      <c r="Y120" s="485"/>
      <c r="Z120" s="485"/>
      <c r="AA120" s="485"/>
    </row>
    <row r="121">
      <c r="A121" s="486"/>
      <c r="B121" s="482"/>
      <c r="C121" s="497"/>
      <c r="D121" s="497"/>
      <c r="E121" s="497"/>
      <c r="F121" s="497"/>
      <c r="G121" s="497"/>
      <c r="H121" s="497"/>
      <c r="I121" s="497"/>
      <c r="J121" s="497"/>
      <c r="K121" s="497"/>
      <c r="L121" s="485"/>
      <c r="M121" s="485"/>
      <c r="N121" s="485"/>
      <c r="O121" s="485"/>
      <c r="P121" s="485"/>
      <c r="Q121" s="485"/>
      <c r="R121" s="485"/>
      <c r="S121" s="485"/>
      <c r="T121" s="485"/>
      <c r="U121" s="485"/>
      <c r="V121" s="485"/>
      <c r="W121" s="485"/>
      <c r="X121" s="485"/>
      <c r="Y121" s="485"/>
      <c r="Z121" s="485"/>
      <c r="AA121" s="485"/>
    </row>
    <row r="122">
      <c r="A122" s="486"/>
      <c r="B122" s="482"/>
      <c r="C122" s="497"/>
      <c r="D122" s="497"/>
      <c r="E122" s="497"/>
      <c r="F122" s="497"/>
      <c r="G122" s="497"/>
      <c r="H122" s="497"/>
      <c r="I122" s="497"/>
      <c r="J122" s="497"/>
      <c r="K122" s="497"/>
      <c r="L122" s="485"/>
      <c r="M122" s="485"/>
      <c r="N122" s="485"/>
      <c r="O122" s="485"/>
      <c r="P122" s="485"/>
      <c r="Q122" s="485"/>
      <c r="R122" s="485"/>
      <c r="S122" s="485"/>
      <c r="T122" s="485"/>
      <c r="U122" s="485"/>
      <c r="V122" s="485"/>
      <c r="W122" s="485"/>
      <c r="X122" s="485"/>
      <c r="Y122" s="485"/>
      <c r="Z122" s="485"/>
      <c r="AA122" s="485"/>
    </row>
    <row r="123">
      <c r="A123" s="486"/>
      <c r="B123" s="482"/>
      <c r="C123" s="497"/>
      <c r="D123" s="497"/>
      <c r="E123" s="497"/>
      <c r="F123" s="497"/>
      <c r="G123" s="497"/>
      <c r="H123" s="497"/>
      <c r="I123" s="497"/>
      <c r="J123" s="497"/>
      <c r="K123" s="497"/>
      <c r="L123" s="485"/>
      <c r="M123" s="485"/>
      <c r="N123" s="485"/>
      <c r="O123" s="485"/>
      <c r="P123" s="485"/>
      <c r="Q123" s="485"/>
      <c r="R123" s="485"/>
      <c r="S123" s="485"/>
      <c r="T123" s="485"/>
      <c r="U123" s="485"/>
      <c r="V123" s="485"/>
      <c r="W123" s="485"/>
      <c r="X123" s="485"/>
      <c r="Y123" s="485"/>
      <c r="Z123" s="485"/>
      <c r="AA123" s="485"/>
    </row>
    <row r="124">
      <c r="A124" s="486"/>
      <c r="B124" s="482"/>
      <c r="C124" s="497"/>
      <c r="D124" s="497"/>
      <c r="E124" s="497"/>
      <c r="F124" s="497"/>
      <c r="G124" s="497"/>
      <c r="H124" s="497"/>
      <c r="I124" s="497"/>
      <c r="J124" s="497"/>
      <c r="K124" s="497"/>
      <c r="L124" s="485"/>
      <c r="M124" s="485"/>
      <c r="N124" s="485"/>
      <c r="O124" s="485"/>
      <c r="P124" s="485"/>
      <c r="Q124" s="485"/>
      <c r="R124" s="485"/>
      <c r="S124" s="485"/>
      <c r="T124" s="485"/>
      <c r="U124" s="485"/>
      <c r="V124" s="485"/>
      <c r="W124" s="485"/>
      <c r="X124" s="485"/>
      <c r="Y124" s="485"/>
      <c r="Z124" s="485"/>
      <c r="AA124" s="485"/>
    </row>
    <row r="125">
      <c r="A125" s="486"/>
      <c r="B125" s="482"/>
      <c r="C125" s="497"/>
      <c r="D125" s="497"/>
      <c r="E125" s="497"/>
      <c r="F125" s="497"/>
      <c r="G125" s="497"/>
      <c r="H125" s="497"/>
      <c r="I125" s="497"/>
      <c r="J125" s="497"/>
      <c r="K125" s="497"/>
      <c r="L125" s="485"/>
      <c r="M125" s="485"/>
      <c r="N125" s="485"/>
      <c r="O125" s="485"/>
      <c r="P125" s="485"/>
      <c r="Q125" s="485"/>
      <c r="R125" s="485"/>
      <c r="S125" s="485"/>
      <c r="T125" s="485"/>
      <c r="U125" s="485"/>
      <c r="V125" s="485"/>
      <c r="W125" s="485"/>
      <c r="X125" s="485"/>
      <c r="Y125" s="485"/>
      <c r="Z125" s="485"/>
      <c r="AA125" s="485"/>
    </row>
    <row r="126">
      <c r="A126" s="486"/>
      <c r="B126" s="482"/>
      <c r="C126" s="497"/>
      <c r="D126" s="497"/>
      <c r="E126" s="497"/>
      <c r="F126" s="497"/>
      <c r="G126" s="497"/>
      <c r="H126" s="497"/>
      <c r="I126" s="497"/>
      <c r="J126" s="497"/>
      <c r="K126" s="497"/>
      <c r="L126" s="485"/>
      <c r="M126" s="485"/>
      <c r="N126" s="485"/>
      <c r="O126" s="485"/>
      <c r="P126" s="485"/>
      <c r="Q126" s="485"/>
      <c r="R126" s="485"/>
      <c r="S126" s="485"/>
      <c r="T126" s="485"/>
      <c r="U126" s="485"/>
      <c r="V126" s="485"/>
      <c r="W126" s="485"/>
      <c r="X126" s="485"/>
      <c r="Y126" s="485"/>
      <c r="Z126" s="485"/>
      <c r="AA126" s="485"/>
    </row>
    <row r="127">
      <c r="A127" s="486"/>
      <c r="B127" s="482"/>
      <c r="C127" s="497"/>
      <c r="D127" s="497"/>
      <c r="E127" s="497"/>
      <c r="F127" s="497"/>
      <c r="G127" s="497"/>
      <c r="H127" s="497"/>
      <c r="I127" s="497"/>
      <c r="J127" s="497"/>
      <c r="K127" s="497"/>
      <c r="L127" s="485"/>
      <c r="M127" s="485"/>
      <c r="N127" s="485"/>
      <c r="O127" s="485"/>
      <c r="P127" s="485"/>
      <c r="Q127" s="485"/>
      <c r="R127" s="485"/>
      <c r="S127" s="485"/>
      <c r="T127" s="485"/>
      <c r="U127" s="485"/>
      <c r="V127" s="485"/>
      <c r="W127" s="485"/>
      <c r="X127" s="485"/>
      <c r="Y127" s="485"/>
      <c r="Z127" s="485"/>
      <c r="AA127" s="485"/>
    </row>
    <row r="128">
      <c r="A128" s="486"/>
      <c r="B128" s="482"/>
      <c r="C128" s="497"/>
      <c r="D128" s="497"/>
      <c r="E128" s="497"/>
      <c r="F128" s="497"/>
      <c r="G128" s="497"/>
      <c r="H128" s="497"/>
      <c r="I128" s="497"/>
      <c r="J128" s="497"/>
      <c r="K128" s="497"/>
      <c r="L128" s="485"/>
      <c r="M128" s="485"/>
      <c r="N128" s="485"/>
      <c r="O128" s="485"/>
      <c r="P128" s="485"/>
      <c r="Q128" s="485"/>
      <c r="R128" s="485"/>
      <c r="S128" s="485"/>
      <c r="T128" s="485"/>
      <c r="U128" s="485"/>
      <c r="V128" s="485"/>
      <c r="W128" s="485"/>
      <c r="X128" s="485"/>
      <c r="Y128" s="485"/>
      <c r="Z128" s="485"/>
      <c r="AA128" s="485"/>
    </row>
    <row r="129">
      <c r="A129" s="486"/>
      <c r="B129" s="482"/>
      <c r="C129" s="497"/>
      <c r="D129" s="497"/>
      <c r="E129" s="497"/>
      <c r="F129" s="497"/>
      <c r="G129" s="497"/>
      <c r="H129" s="497"/>
      <c r="I129" s="497"/>
      <c r="J129" s="497"/>
      <c r="K129" s="497"/>
      <c r="L129" s="485"/>
      <c r="M129" s="485"/>
      <c r="N129" s="485"/>
      <c r="O129" s="485"/>
      <c r="P129" s="485"/>
      <c r="Q129" s="485"/>
      <c r="R129" s="485"/>
      <c r="S129" s="485"/>
      <c r="T129" s="485"/>
      <c r="U129" s="485"/>
      <c r="V129" s="485"/>
      <c r="W129" s="485"/>
      <c r="X129" s="485"/>
      <c r="Y129" s="485"/>
      <c r="Z129" s="485"/>
      <c r="AA129" s="485"/>
    </row>
    <row r="130">
      <c r="A130" s="486"/>
      <c r="B130" s="482"/>
      <c r="C130" s="497"/>
      <c r="D130" s="497"/>
      <c r="E130" s="497"/>
      <c r="F130" s="497"/>
      <c r="G130" s="497"/>
      <c r="H130" s="497"/>
      <c r="I130" s="497"/>
      <c r="J130" s="497"/>
      <c r="K130" s="497"/>
      <c r="L130" s="485"/>
      <c r="M130" s="485"/>
      <c r="N130" s="485"/>
      <c r="O130" s="485"/>
      <c r="P130" s="485"/>
      <c r="Q130" s="485"/>
      <c r="R130" s="485"/>
      <c r="S130" s="485"/>
      <c r="T130" s="485"/>
      <c r="U130" s="485"/>
      <c r="V130" s="485"/>
      <c r="W130" s="485"/>
      <c r="X130" s="485"/>
      <c r="Y130" s="485"/>
      <c r="Z130" s="485"/>
      <c r="AA130" s="485"/>
    </row>
    <row r="131">
      <c r="A131" s="486"/>
      <c r="B131" s="482"/>
      <c r="C131" s="497"/>
      <c r="D131" s="497"/>
      <c r="E131" s="497"/>
      <c r="F131" s="497"/>
      <c r="G131" s="497"/>
      <c r="H131" s="497"/>
      <c r="I131" s="497"/>
      <c r="J131" s="497"/>
      <c r="K131" s="497"/>
      <c r="L131" s="485"/>
      <c r="M131" s="485"/>
      <c r="N131" s="485"/>
      <c r="O131" s="485"/>
      <c r="P131" s="485"/>
      <c r="Q131" s="485"/>
      <c r="R131" s="485"/>
      <c r="S131" s="485"/>
      <c r="T131" s="485"/>
      <c r="U131" s="485"/>
      <c r="V131" s="485"/>
      <c r="W131" s="485"/>
      <c r="X131" s="485"/>
      <c r="Y131" s="485"/>
      <c r="Z131" s="485"/>
      <c r="AA131" s="485"/>
    </row>
    <row r="132">
      <c r="A132" s="486"/>
      <c r="B132" s="482"/>
      <c r="C132" s="497"/>
      <c r="D132" s="497"/>
      <c r="E132" s="497"/>
      <c r="F132" s="497"/>
      <c r="G132" s="497"/>
      <c r="H132" s="497"/>
      <c r="I132" s="497"/>
      <c r="J132" s="497"/>
      <c r="K132" s="497"/>
      <c r="L132" s="485"/>
      <c r="M132" s="485"/>
      <c r="N132" s="485"/>
      <c r="O132" s="485"/>
      <c r="P132" s="485"/>
      <c r="Q132" s="485"/>
      <c r="R132" s="485"/>
      <c r="S132" s="485"/>
      <c r="T132" s="485"/>
      <c r="U132" s="485"/>
      <c r="V132" s="485"/>
      <c r="W132" s="485"/>
      <c r="X132" s="485"/>
      <c r="Y132" s="485"/>
      <c r="Z132" s="485"/>
      <c r="AA132" s="485"/>
    </row>
    <row r="133">
      <c r="A133" s="486"/>
      <c r="B133" s="482"/>
      <c r="C133" s="497"/>
      <c r="D133" s="497"/>
      <c r="E133" s="497"/>
      <c r="F133" s="497"/>
      <c r="G133" s="497"/>
      <c r="H133" s="497"/>
      <c r="I133" s="497"/>
      <c r="J133" s="497"/>
      <c r="K133" s="497"/>
      <c r="L133" s="485"/>
      <c r="M133" s="485"/>
      <c r="N133" s="485"/>
      <c r="O133" s="485"/>
      <c r="P133" s="485"/>
      <c r="Q133" s="485"/>
      <c r="R133" s="485"/>
      <c r="S133" s="485"/>
      <c r="T133" s="485"/>
      <c r="U133" s="485"/>
      <c r="V133" s="485"/>
      <c r="W133" s="485"/>
      <c r="X133" s="485"/>
      <c r="Y133" s="485"/>
      <c r="Z133" s="485"/>
      <c r="AA133" s="485"/>
    </row>
    <row r="134">
      <c r="A134" s="486"/>
      <c r="B134" s="482"/>
      <c r="C134" s="497"/>
      <c r="D134" s="497"/>
      <c r="E134" s="497"/>
      <c r="F134" s="497"/>
      <c r="G134" s="497"/>
      <c r="H134" s="497"/>
      <c r="I134" s="497"/>
      <c r="J134" s="497"/>
      <c r="K134" s="497"/>
      <c r="L134" s="485"/>
      <c r="M134" s="485"/>
      <c r="N134" s="485"/>
      <c r="O134" s="485"/>
      <c r="P134" s="485"/>
      <c r="Q134" s="485"/>
      <c r="R134" s="485"/>
      <c r="S134" s="485"/>
      <c r="T134" s="485"/>
      <c r="U134" s="485"/>
      <c r="V134" s="485"/>
      <c r="W134" s="485"/>
      <c r="X134" s="485"/>
      <c r="Y134" s="485"/>
      <c r="Z134" s="485"/>
      <c r="AA134" s="485"/>
    </row>
    <row r="135">
      <c r="A135" s="486"/>
      <c r="B135" s="482"/>
      <c r="C135" s="497"/>
      <c r="D135" s="497"/>
      <c r="E135" s="497"/>
      <c r="F135" s="497"/>
      <c r="G135" s="497"/>
      <c r="H135" s="497"/>
      <c r="I135" s="497"/>
      <c r="J135" s="497"/>
      <c r="K135" s="497"/>
      <c r="L135" s="485"/>
      <c r="M135" s="485"/>
      <c r="N135" s="485"/>
      <c r="O135" s="485"/>
      <c r="P135" s="485"/>
      <c r="Q135" s="485"/>
      <c r="R135" s="485"/>
      <c r="S135" s="485"/>
      <c r="T135" s="485"/>
      <c r="U135" s="485"/>
      <c r="V135" s="485"/>
      <c r="W135" s="485"/>
      <c r="X135" s="485"/>
      <c r="Y135" s="485"/>
      <c r="Z135" s="485"/>
      <c r="AA135" s="485"/>
    </row>
    <row r="136">
      <c r="A136" s="486"/>
      <c r="B136" s="482"/>
      <c r="C136" s="497"/>
      <c r="D136" s="497"/>
      <c r="E136" s="497"/>
      <c r="F136" s="497"/>
      <c r="G136" s="497"/>
      <c r="H136" s="497"/>
      <c r="I136" s="497"/>
      <c r="J136" s="497"/>
      <c r="K136" s="497"/>
      <c r="L136" s="485"/>
      <c r="M136" s="485"/>
      <c r="N136" s="485"/>
      <c r="O136" s="485"/>
      <c r="P136" s="485"/>
      <c r="Q136" s="485"/>
      <c r="R136" s="485"/>
      <c r="S136" s="485"/>
      <c r="T136" s="485"/>
      <c r="U136" s="485"/>
      <c r="V136" s="485"/>
      <c r="W136" s="485"/>
      <c r="X136" s="485"/>
      <c r="Y136" s="485"/>
      <c r="Z136" s="485"/>
      <c r="AA136" s="485"/>
    </row>
    <row r="137">
      <c r="A137" s="486"/>
      <c r="B137" s="482"/>
      <c r="C137" s="497"/>
      <c r="D137" s="497"/>
      <c r="E137" s="497"/>
      <c r="F137" s="497"/>
      <c r="G137" s="497"/>
      <c r="H137" s="497"/>
      <c r="I137" s="497"/>
      <c r="J137" s="497"/>
      <c r="K137" s="497"/>
      <c r="L137" s="485"/>
      <c r="M137" s="485"/>
      <c r="N137" s="485"/>
      <c r="O137" s="485"/>
      <c r="P137" s="485"/>
      <c r="Q137" s="485"/>
      <c r="R137" s="485"/>
      <c r="S137" s="485"/>
      <c r="T137" s="485"/>
      <c r="U137" s="485"/>
      <c r="V137" s="485"/>
      <c r="W137" s="485"/>
      <c r="X137" s="485"/>
      <c r="Y137" s="485"/>
      <c r="Z137" s="485"/>
      <c r="AA137" s="485"/>
    </row>
    <row r="138">
      <c r="A138" s="486"/>
      <c r="B138" s="482"/>
      <c r="C138" s="497"/>
      <c r="D138" s="497"/>
      <c r="E138" s="497"/>
      <c r="F138" s="497"/>
      <c r="G138" s="497"/>
      <c r="H138" s="497"/>
      <c r="I138" s="497"/>
      <c r="J138" s="497"/>
      <c r="K138" s="497"/>
      <c r="L138" s="485"/>
      <c r="M138" s="485"/>
      <c r="N138" s="485"/>
      <c r="O138" s="485"/>
      <c r="P138" s="485"/>
      <c r="Q138" s="485"/>
      <c r="R138" s="485"/>
      <c r="S138" s="485"/>
      <c r="T138" s="485"/>
      <c r="U138" s="485"/>
      <c r="V138" s="485"/>
      <c r="W138" s="485"/>
      <c r="X138" s="485"/>
      <c r="Y138" s="485"/>
      <c r="Z138" s="485"/>
      <c r="AA138" s="485"/>
    </row>
    <row r="139">
      <c r="A139" s="486"/>
      <c r="B139" s="482"/>
      <c r="C139" s="497"/>
      <c r="D139" s="497"/>
      <c r="E139" s="497"/>
      <c r="F139" s="497"/>
      <c r="G139" s="497"/>
      <c r="H139" s="497"/>
      <c r="I139" s="497"/>
      <c r="J139" s="497"/>
      <c r="K139" s="497"/>
      <c r="L139" s="485"/>
      <c r="M139" s="485"/>
      <c r="N139" s="485"/>
      <c r="O139" s="485"/>
      <c r="P139" s="485"/>
      <c r="Q139" s="485"/>
      <c r="R139" s="485"/>
      <c r="S139" s="485"/>
      <c r="T139" s="485"/>
      <c r="U139" s="485"/>
      <c r="V139" s="485"/>
      <c r="W139" s="485"/>
      <c r="X139" s="485"/>
      <c r="Y139" s="485"/>
      <c r="Z139" s="485"/>
      <c r="AA139" s="485"/>
    </row>
    <row r="140">
      <c r="A140" s="486"/>
      <c r="B140" s="482"/>
      <c r="C140" s="497"/>
      <c r="D140" s="497"/>
      <c r="E140" s="497"/>
      <c r="F140" s="497"/>
      <c r="G140" s="497"/>
      <c r="H140" s="497"/>
      <c r="I140" s="497"/>
      <c r="J140" s="497"/>
      <c r="K140" s="497"/>
      <c r="L140" s="485"/>
      <c r="M140" s="485"/>
      <c r="N140" s="485"/>
      <c r="O140" s="485"/>
      <c r="P140" s="485"/>
      <c r="Q140" s="485"/>
      <c r="R140" s="485"/>
      <c r="S140" s="485"/>
      <c r="T140" s="485"/>
      <c r="U140" s="485"/>
      <c r="V140" s="485"/>
      <c r="W140" s="485"/>
      <c r="X140" s="485"/>
      <c r="Y140" s="485"/>
      <c r="Z140" s="485"/>
      <c r="AA140" s="485"/>
    </row>
    <row r="141">
      <c r="A141" s="486"/>
      <c r="B141" s="482"/>
      <c r="C141" s="497"/>
      <c r="D141" s="497"/>
      <c r="E141" s="497"/>
      <c r="F141" s="497"/>
      <c r="G141" s="497"/>
      <c r="H141" s="497"/>
      <c r="I141" s="497"/>
      <c r="J141" s="497"/>
      <c r="K141" s="497"/>
      <c r="L141" s="485"/>
      <c r="M141" s="485"/>
      <c r="N141" s="485"/>
      <c r="O141" s="485"/>
      <c r="P141" s="485"/>
      <c r="Q141" s="485"/>
      <c r="R141" s="485"/>
      <c r="S141" s="485"/>
      <c r="T141" s="485"/>
      <c r="U141" s="485"/>
      <c r="V141" s="485"/>
      <c r="W141" s="485"/>
      <c r="X141" s="485"/>
      <c r="Y141" s="485"/>
      <c r="Z141" s="485"/>
      <c r="AA141" s="485"/>
    </row>
    <row r="142">
      <c r="A142" s="486"/>
      <c r="B142" s="482"/>
      <c r="C142" s="497"/>
      <c r="D142" s="497"/>
      <c r="E142" s="497"/>
      <c r="F142" s="497"/>
      <c r="G142" s="497"/>
      <c r="H142" s="497"/>
      <c r="I142" s="497"/>
      <c r="J142" s="497"/>
      <c r="K142" s="497"/>
      <c r="L142" s="485"/>
      <c r="M142" s="485"/>
      <c r="N142" s="485"/>
      <c r="O142" s="485"/>
      <c r="P142" s="485"/>
      <c r="Q142" s="485"/>
      <c r="R142" s="485"/>
      <c r="S142" s="485"/>
      <c r="T142" s="485"/>
      <c r="U142" s="485"/>
      <c r="V142" s="485"/>
      <c r="W142" s="485"/>
      <c r="X142" s="485"/>
      <c r="Y142" s="485"/>
      <c r="Z142" s="485"/>
      <c r="AA142" s="485"/>
    </row>
    <row r="143">
      <c r="A143" s="486"/>
      <c r="B143" s="482"/>
      <c r="C143" s="497"/>
      <c r="D143" s="497"/>
      <c r="E143" s="497"/>
      <c r="F143" s="497"/>
      <c r="G143" s="497"/>
      <c r="H143" s="497"/>
      <c r="I143" s="497"/>
      <c r="J143" s="497"/>
      <c r="K143" s="497"/>
      <c r="L143" s="485"/>
      <c r="M143" s="485"/>
      <c r="N143" s="485"/>
      <c r="O143" s="485"/>
      <c r="P143" s="485"/>
      <c r="Q143" s="485"/>
      <c r="R143" s="485"/>
      <c r="S143" s="485"/>
      <c r="T143" s="485"/>
      <c r="U143" s="485"/>
      <c r="V143" s="485"/>
      <c r="W143" s="485"/>
      <c r="X143" s="485"/>
      <c r="Y143" s="485"/>
      <c r="Z143" s="485"/>
      <c r="AA143" s="485"/>
    </row>
    <row r="144">
      <c r="A144" s="486"/>
      <c r="B144" s="482"/>
      <c r="C144" s="497"/>
      <c r="D144" s="497"/>
      <c r="E144" s="497"/>
      <c r="F144" s="497"/>
      <c r="G144" s="497"/>
      <c r="H144" s="497"/>
      <c r="I144" s="497"/>
      <c r="J144" s="497"/>
      <c r="K144" s="497"/>
      <c r="L144" s="485"/>
      <c r="M144" s="485"/>
      <c r="N144" s="485"/>
      <c r="O144" s="485"/>
      <c r="P144" s="485"/>
      <c r="Q144" s="485"/>
      <c r="R144" s="485"/>
      <c r="S144" s="485"/>
      <c r="T144" s="485"/>
      <c r="U144" s="485"/>
      <c r="V144" s="485"/>
      <c r="W144" s="485"/>
      <c r="X144" s="485"/>
      <c r="Y144" s="485"/>
      <c r="Z144" s="485"/>
      <c r="AA144" s="485"/>
    </row>
    <row r="145">
      <c r="A145" s="486"/>
      <c r="B145" s="482"/>
      <c r="C145" s="497"/>
      <c r="D145" s="497"/>
      <c r="E145" s="497"/>
      <c r="F145" s="497"/>
      <c r="G145" s="497"/>
      <c r="H145" s="497"/>
      <c r="I145" s="497"/>
      <c r="J145" s="497"/>
      <c r="K145" s="497"/>
      <c r="L145" s="485"/>
      <c r="M145" s="485"/>
      <c r="N145" s="485"/>
      <c r="O145" s="485"/>
      <c r="P145" s="485"/>
      <c r="Q145" s="485"/>
      <c r="R145" s="485"/>
      <c r="S145" s="485"/>
      <c r="T145" s="485"/>
      <c r="U145" s="485"/>
      <c r="V145" s="485"/>
      <c r="W145" s="485"/>
      <c r="X145" s="485"/>
      <c r="Y145" s="485"/>
      <c r="Z145" s="485"/>
      <c r="AA145" s="485"/>
    </row>
    <row r="146">
      <c r="A146" s="486"/>
      <c r="B146" s="482"/>
      <c r="C146" s="497"/>
      <c r="D146" s="497"/>
      <c r="E146" s="497"/>
      <c r="F146" s="497"/>
      <c r="G146" s="497"/>
      <c r="H146" s="497"/>
      <c r="I146" s="497"/>
      <c r="J146" s="497"/>
      <c r="K146" s="497"/>
      <c r="L146" s="485"/>
      <c r="M146" s="485"/>
      <c r="N146" s="485"/>
      <c r="O146" s="485"/>
      <c r="P146" s="485"/>
      <c r="Q146" s="485"/>
      <c r="R146" s="485"/>
      <c r="S146" s="485"/>
      <c r="T146" s="485"/>
      <c r="U146" s="485"/>
      <c r="V146" s="485"/>
      <c r="W146" s="485"/>
      <c r="X146" s="485"/>
      <c r="Y146" s="485"/>
      <c r="Z146" s="485"/>
      <c r="AA146" s="485"/>
    </row>
    <row r="147">
      <c r="A147" s="486"/>
      <c r="B147" s="482"/>
      <c r="C147" s="497"/>
      <c r="D147" s="497"/>
      <c r="E147" s="497"/>
      <c r="F147" s="497"/>
      <c r="G147" s="497"/>
      <c r="H147" s="497"/>
      <c r="I147" s="497"/>
      <c r="J147" s="497"/>
      <c r="K147" s="497"/>
      <c r="L147" s="485"/>
      <c r="M147" s="485"/>
      <c r="N147" s="485"/>
      <c r="O147" s="485"/>
      <c r="P147" s="485"/>
      <c r="Q147" s="485"/>
      <c r="R147" s="485"/>
      <c r="S147" s="485"/>
      <c r="T147" s="485"/>
      <c r="U147" s="485"/>
      <c r="V147" s="485"/>
      <c r="W147" s="485"/>
      <c r="X147" s="485"/>
      <c r="Y147" s="485"/>
      <c r="Z147" s="485"/>
      <c r="AA147" s="485"/>
    </row>
    <row r="148">
      <c r="A148" s="486"/>
      <c r="B148" s="482"/>
      <c r="C148" s="497"/>
      <c r="D148" s="497"/>
      <c r="E148" s="497"/>
      <c r="F148" s="497"/>
      <c r="G148" s="497"/>
      <c r="H148" s="497"/>
      <c r="I148" s="497"/>
      <c r="J148" s="497"/>
      <c r="K148" s="497"/>
      <c r="L148" s="485"/>
      <c r="M148" s="485"/>
      <c r="N148" s="485"/>
      <c r="O148" s="485"/>
      <c r="P148" s="485"/>
      <c r="Q148" s="485"/>
      <c r="R148" s="485"/>
      <c r="S148" s="485"/>
      <c r="T148" s="485"/>
      <c r="U148" s="485"/>
      <c r="V148" s="485"/>
      <c r="W148" s="485"/>
      <c r="X148" s="485"/>
      <c r="Y148" s="485"/>
      <c r="Z148" s="485"/>
      <c r="AA148" s="485"/>
    </row>
    <row r="149">
      <c r="A149" s="486"/>
      <c r="B149" s="482"/>
      <c r="C149" s="497"/>
      <c r="D149" s="497"/>
      <c r="E149" s="497"/>
      <c r="F149" s="497"/>
      <c r="G149" s="497"/>
      <c r="H149" s="497"/>
      <c r="I149" s="497"/>
      <c r="J149" s="497"/>
      <c r="K149" s="497"/>
      <c r="L149" s="485"/>
      <c r="M149" s="485"/>
      <c r="N149" s="485"/>
      <c r="O149" s="485"/>
      <c r="P149" s="485"/>
      <c r="Q149" s="485"/>
      <c r="R149" s="485"/>
      <c r="S149" s="485"/>
      <c r="T149" s="485"/>
      <c r="U149" s="485"/>
      <c r="V149" s="485"/>
      <c r="W149" s="485"/>
      <c r="X149" s="485"/>
      <c r="Y149" s="485"/>
      <c r="Z149" s="485"/>
      <c r="AA149" s="485"/>
    </row>
    <row r="150">
      <c r="A150" s="486"/>
      <c r="B150" s="482"/>
      <c r="C150" s="497"/>
      <c r="D150" s="497"/>
      <c r="E150" s="497"/>
      <c r="F150" s="497"/>
      <c r="G150" s="497"/>
      <c r="H150" s="497"/>
      <c r="I150" s="497"/>
      <c r="J150" s="497"/>
      <c r="K150" s="497"/>
      <c r="L150" s="485"/>
      <c r="M150" s="485"/>
      <c r="N150" s="485"/>
      <c r="O150" s="485"/>
      <c r="P150" s="485"/>
      <c r="Q150" s="485"/>
      <c r="R150" s="485"/>
      <c r="S150" s="485"/>
      <c r="T150" s="485"/>
      <c r="U150" s="485"/>
      <c r="V150" s="485"/>
      <c r="W150" s="485"/>
      <c r="X150" s="485"/>
      <c r="Y150" s="485"/>
      <c r="Z150" s="485"/>
      <c r="AA150" s="485"/>
    </row>
    <row r="151">
      <c r="A151" s="486"/>
      <c r="B151" s="482"/>
      <c r="C151" s="497"/>
      <c r="D151" s="497"/>
      <c r="E151" s="497"/>
      <c r="F151" s="497"/>
      <c r="G151" s="497"/>
      <c r="H151" s="497"/>
      <c r="I151" s="497"/>
      <c r="J151" s="497"/>
      <c r="K151" s="497"/>
      <c r="L151" s="485"/>
      <c r="M151" s="485"/>
      <c r="N151" s="485"/>
      <c r="O151" s="485"/>
      <c r="P151" s="485"/>
      <c r="Q151" s="485"/>
      <c r="R151" s="485"/>
      <c r="S151" s="485"/>
      <c r="T151" s="485"/>
      <c r="U151" s="485"/>
      <c r="V151" s="485"/>
      <c r="W151" s="485"/>
      <c r="X151" s="485"/>
      <c r="Y151" s="485"/>
      <c r="Z151" s="485"/>
      <c r="AA151" s="485"/>
    </row>
    <row r="152">
      <c r="A152" s="486"/>
      <c r="B152" s="482"/>
      <c r="C152" s="497"/>
      <c r="D152" s="497"/>
      <c r="E152" s="497"/>
      <c r="F152" s="497"/>
      <c r="G152" s="497"/>
      <c r="H152" s="497"/>
      <c r="I152" s="497"/>
      <c r="J152" s="497"/>
      <c r="K152" s="497"/>
      <c r="L152" s="485"/>
      <c r="M152" s="485"/>
      <c r="N152" s="485"/>
      <c r="O152" s="485"/>
      <c r="P152" s="485"/>
      <c r="Q152" s="485"/>
      <c r="R152" s="485"/>
      <c r="S152" s="485"/>
      <c r="T152" s="485"/>
      <c r="U152" s="485"/>
      <c r="V152" s="485"/>
      <c r="W152" s="485"/>
      <c r="X152" s="485"/>
      <c r="Y152" s="485"/>
      <c r="Z152" s="485"/>
      <c r="AA152" s="485"/>
    </row>
    <row r="153">
      <c r="A153" s="486"/>
      <c r="B153" s="482"/>
      <c r="C153" s="497"/>
      <c r="D153" s="497"/>
      <c r="E153" s="497"/>
      <c r="F153" s="497"/>
      <c r="G153" s="497"/>
      <c r="H153" s="497"/>
      <c r="I153" s="497"/>
      <c r="J153" s="497"/>
      <c r="K153" s="497"/>
      <c r="L153" s="485"/>
      <c r="M153" s="485"/>
      <c r="N153" s="485"/>
      <c r="O153" s="485"/>
      <c r="P153" s="485"/>
      <c r="Q153" s="485"/>
      <c r="R153" s="485"/>
      <c r="S153" s="485"/>
      <c r="T153" s="485"/>
      <c r="U153" s="485"/>
      <c r="V153" s="485"/>
      <c r="W153" s="485"/>
      <c r="X153" s="485"/>
      <c r="Y153" s="485"/>
      <c r="Z153" s="485"/>
      <c r="AA153" s="485"/>
    </row>
    <row r="154">
      <c r="A154" s="486"/>
      <c r="B154" s="482"/>
      <c r="C154" s="497"/>
      <c r="D154" s="497"/>
      <c r="E154" s="497"/>
      <c r="F154" s="497"/>
      <c r="G154" s="497"/>
      <c r="H154" s="497"/>
      <c r="I154" s="497"/>
      <c r="J154" s="497"/>
      <c r="K154" s="497"/>
      <c r="L154" s="485"/>
      <c r="M154" s="485"/>
      <c r="N154" s="485"/>
      <c r="O154" s="485"/>
      <c r="P154" s="485"/>
      <c r="Q154" s="485"/>
      <c r="R154" s="485"/>
      <c r="S154" s="485"/>
      <c r="T154" s="485"/>
      <c r="U154" s="485"/>
      <c r="V154" s="485"/>
      <c r="W154" s="485"/>
      <c r="X154" s="485"/>
      <c r="Y154" s="485"/>
      <c r="Z154" s="485"/>
      <c r="AA154" s="485"/>
    </row>
    <row r="155">
      <c r="A155" s="486"/>
      <c r="B155" s="482"/>
      <c r="C155" s="497"/>
      <c r="D155" s="497"/>
      <c r="E155" s="497"/>
      <c r="F155" s="497"/>
      <c r="G155" s="497"/>
      <c r="H155" s="497"/>
      <c r="I155" s="497"/>
      <c r="J155" s="497"/>
      <c r="K155" s="497"/>
      <c r="L155" s="485"/>
      <c r="M155" s="485"/>
      <c r="N155" s="485"/>
      <c r="O155" s="485"/>
      <c r="P155" s="485"/>
      <c r="Q155" s="485"/>
      <c r="R155" s="485"/>
      <c r="S155" s="485"/>
      <c r="T155" s="485"/>
      <c r="U155" s="485"/>
      <c r="V155" s="485"/>
      <c r="W155" s="485"/>
      <c r="X155" s="485"/>
      <c r="Y155" s="485"/>
      <c r="Z155" s="485"/>
      <c r="AA155" s="485"/>
    </row>
    <row r="156">
      <c r="A156" s="486"/>
      <c r="B156" s="482"/>
      <c r="C156" s="497"/>
      <c r="D156" s="497"/>
      <c r="E156" s="497"/>
      <c r="F156" s="497"/>
      <c r="G156" s="497"/>
      <c r="H156" s="497"/>
      <c r="I156" s="497"/>
      <c r="J156" s="497"/>
      <c r="K156" s="497"/>
      <c r="L156" s="485"/>
      <c r="M156" s="485"/>
      <c r="N156" s="485"/>
      <c r="O156" s="485"/>
      <c r="P156" s="485"/>
      <c r="Q156" s="485"/>
      <c r="R156" s="485"/>
      <c r="S156" s="485"/>
      <c r="T156" s="485"/>
      <c r="U156" s="485"/>
      <c r="V156" s="485"/>
      <c r="W156" s="485"/>
      <c r="X156" s="485"/>
      <c r="Y156" s="485"/>
      <c r="Z156" s="485"/>
      <c r="AA156" s="485"/>
    </row>
    <row r="157">
      <c r="A157" s="486"/>
      <c r="B157" s="482"/>
      <c r="C157" s="497"/>
      <c r="D157" s="497"/>
      <c r="E157" s="497"/>
      <c r="F157" s="497"/>
      <c r="G157" s="497"/>
      <c r="H157" s="497"/>
      <c r="I157" s="497"/>
      <c r="J157" s="497"/>
      <c r="K157" s="497"/>
      <c r="L157" s="485"/>
      <c r="M157" s="485"/>
      <c r="N157" s="485"/>
      <c r="O157" s="485"/>
      <c r="P157" s="485"/>
      <c r="Q157" s="485"/>
      <c r="R157" s="485"/>
      <c r="S157" s="485"/>
      <c r="T157" s="485"/>
      <c r="U157" s="485"/>
      <c r="V157" s="485"/>
      <c r="W157" s="485"/>
      <c r="X157" s="485"/>
      <c r="Y157" s="485"/>
      <c r="Z157" s="485"/>
      <c r="AA157" s="485"/>
    </row>
    <row r="158">
      <c r="A158" s="486"/>
      <c r="B158" s="482"/>
      <c r="C158" s="497"/>
      <c r="D158" s="497"/>
      <c r="E158" s="497"/>
      <c r="F158" s="497"/>
      <c r="G158" s="497"/>
      <c r="H158" s="497"/>
      <c r="I158" s="497"/>
      <c r="J158" s="497"/>
      <c r="K158" s="497"/>
      <c r="L158" s="485"/>
      <c r="M158" s="485"/>
      <c r="N158" s="485"/>
      <c r="O158" s="485"/>
      <c r="P158" s="485"/>
      <c r="Q158" s="485"/>
      <c r="R158" s="485"/>
      <c r="S158" s="485"/>
      <c r="T158" s="485"/>
      <c r="U158" s="485"/>
      <c r="V158" s="485"/>
      <c r="W158" s="485"/>
      <c r="X158" s="485"/>
      <c r="Y158" s="485"/>
      <c r="Z158" s="485"/>
      <c r="AA158" s="485"/>
    </row>
    <row r="159">
      <c r="A159" s="486"/>
      <c r="B159" s="482"/>
      <c r="C159" s="497"/>
      <c r="D159" s="497"/>
      <c r="E159" s="497"/>
      <c r="F159" s="497"/>
      <c r="G159" s="497"/>
      <c r="H159" s="497"/>
      <c r="I159" s="497"/>
      <c r="J159" s="497"/>
      <c r="K159" s="497"/>
      <c r="L159" s="485"/>
      <c r="M159" s="485"/>
      <c r="N159" s="485"/>
      <c r="O159" s="485"/>
      <c r="P159" s="485"/>
      <c r="Q159" s="485"/>
      <c r="R159" s="485"/>
      <c r="S159" s="485"/>
      <c r="T159" s="485"/>
      <c r="U159" s="485"/>
      <c r="V159" s="485"/>
      <c r="W159" s="485"/>
      <c r="X159" s="485"/>
      <c r="Y159" s="485"/>
      <c r="Z159" s="485"/>
      <c r="AA159" s="485"/>
    </row>
    <row r="160">
      <c r="A160" s="486"/>
      <c r="B160" s="482"/>
      <c r="C160" s="497"/>
      <c r="D160" s="497"/>
      <c r="E160" s="497"/>
      <c r="F160" s="497"/>
      <c r="G160" s="497"/>
      <c r="H160" s="497"/>
      <c r="I160" s="497"/>
      <c r="J160" s="497"/>
      <c r="K160" s="497"/>
      <c r="L160" s="485"/>
      <c r="M160" s="485"/>
      <c r="N160" s="485"/>
      <c r="O160" s="485"/>
      <c r="P160" s="485"/>
      <c r="Q160" s="485"/>
      <c r="R160" s="485"/>
      <c r="S160" s="485"/>
      <c r="T160" s="485"/>
      <c r="U160" s="485"/>
      <c r="V160" s="485"/>
      <c r="W160" s="485"/>
      <c r="X160" s="485"/>
      <c r="Y160" s="485"/>
      <c r="Z160" s="485"/>
      <c r="AA160" s="485"/>
    </row>
    <row r="161">
      <c r="A161" s="486"/>
      <c r="B161" s="482"/>
      <c r="C161" s="497"/>
      <c r="D161" s="497"/>
      <c r="E161" s="497"/>
      <c r="F161" s="497"/>
      <c r="G161" s="497"/>
      <c r="H161" s="497"/>
      <c r="I161" s="497"/>
      <c r="J161" s="497"/>
      <c r="K161" s="497"/>
      <c r="L161" s="485"/>
      <c r="M161" s="485"/>
      <c r="N161" s="485"/>
      <c r="O161" s="485"/>
      <c r="P161" s="485"/>
      <c r="Q161" s="485"/>
      <c r="R161" s="485"/>
      <c r="S161" s="485"/>
      <c r="T161" s="485"/>
      <c r="U161" s="485"/>
      <c r="V161" s="485"/>
      <c r="W161" s="485"/>
      <c r="X161" s="485"/>
      <c r="Y161" s="485"/>
      <c r="Z161" s="485"/>
      <c r="AA161" s="485"/>
    </row>
    <row r="162">
      <c r="A162" s="486"/>
      <c r="B162" s="482"/>
      <c r="C162" s="497"/>
      <c r="D162" s="497"/>
      <c r="E162" s="497"/>
      <c r="F162" s="497"/>
      <c r="G162" s="497"/>
      <c r="H162" s="497"/>
      <c r="I162" s="497"/>
      <c r="J162" s="497"/>
      <c r="K162" s="497"/>
      <c r="L162" s="485"/>
      <c r="M162" s="485"/>
      <c r="N162" s="485"/>
      <c r="O162" s="485"/>
      <c r="P162" s="485"/>
      <c r="Q162" s="485"/>
      <c r="R162" s="485"/>
      <c r="S162" s="485"/>
      <c r="T162" s="485"/>
      <c r="U162" s="485"/>
      <c r="V162" s="485"/>
      <c r="W162" s="485"/>
      <c r="X162" s="485"/>
      <c r="Y162" s="485"/>
      <c r="Z162" s="485"/>
      <c r="AA162" s="485"/>
    </row>
    <row r="163">
      <c r="A163" s="486"/>
      <c r="B163" s="482"/>
      <c r="C163" s="497"/>
      <c r="D163" s="497"/>
      <c r="E163" s="497"/>
      <c r="F163" s="497"/>
      <c r="G163" s="497"/>
      <c r="H163" s="497"/>
      <c r="I163" s="497"/>
      <c r="J163" s="497"/>
      <c r="K163" s="497"/>
      <c r="L163" s="485"/>
      <c r="M163" s="485"/>
      <c r="N163" s="485"/>
      <c r="O163" s="485"/>
      <c r="P163" s="485"/>
      <c r="Q163" s="485"/>
      <c r="R163" s="485"/>
      <c r="S163" s="485"/>
      <c r="T163" s="485"/>
      <c r="U163" s="485"/>
      <c r="V163" s="485"/>
      <c r="W163" s="485"/>
      <c r="X163" s="485"/>
      <c r="Y163" s="485"/>
      <c r="Z163" s="485"/>
      <c r="AA163" s="485"/>
    </row>
    <row r="164">
      <c r="A164" s="486"/>
      <c r="B164" s="482"/>
      <c r="C164" s="497"/>
      <c r="D164" s="497"/>
      <c r="E164" s="497"/>
      <c r="F164" s="497"/>
      <c r="G164" s="497"/>
      <c r="H164" s="497"/>
      <c r="I164" s="497"/>
      <c r="J164" s="497"/>
      <c r="K164" s="497"/>
      <c r="L164" s="485"/>
      <c r="M164" s="485"/>
      <c r="N164" s="485"/>
      <c r="O164" s="485"/>
      <c r="P164" s="485"/>
      <c r="Q164" s="485"/>
      <c r="R164" s="485"/>
      <c r="S164" s="485"/>
      <c r="T164" s="485"/>
      <c r="U164" s="485"/>
      <c r="V164" s="485"/>
      <c r="W164" s="485"/>
      <c r="X164" s="485"/>
      <c r="Y164" s="485"/>
      <c r="Z164" s="485"/>
      <c r="AA164" s="485"/>
    </row>
    <row r="165">
      <c r="A165" s="486"/>
      <c r="B165" s="482"/>
      <c r="C165" s="497"/>
      <c r="D165" s="497"/>
      <c r="E165" s="497"/>
      <c r="F165" s="497"/>
      <c r="G165" s="497"/>
      <c r="H165" s="497"/>
      <c r="I165" s="497"/>
      <c r="J165" s="497"/>
      <c r="K165" s="497"/>
      <c r="L165" s="485"/>
      <c r="M165" s="485"/>
      <c r="N165" s="485"/>
      <c r="O165" s="485"/>
      <c r="P165" s="485"/>
      <c r="Q165" s="485"/>
      <c r="R165" s="485"/>
      <c r="S165" s="485"/>
      <c r="T165" s="485"/>
      <c r="U165" s="485"/>
      <c r="V165" s="485"/>
      <c r="W165" s="485"/>
      <c r="X165" s="485"/>
      <c r="Y165" s="485"/>
      <c r="Z165" s="485"/>
      <c r="AA165" s="485"/>
    </row>
    <row r="166">
      <c r="A166" s="486"/>
      <c r="B166" s="482"/>
      <c r="C166" s="497"/>
      <c r="D166" s="497"/>
      <c r="E166" s="497"/>
      <c r="F166" s="497"/>
      <c r="G166" s="497"/>
      <c r="H166" s="497"/>
      <c r="I166" s="497"/>
      <c r="J166" s="497"/>
      <c r="K166" s="497"/>
      <c r="L166" s="485"/>
      <c r="M166" s="485"/>
      <c r="N166" s="485"/>
      <c r="O166" s="485"/>
      <c r="P166" s="485"/>
      <c r="Q166" s="485"/>
      <c r="R166" s="485"/>
      <c r="S166" s="485"/>
      <c r="T166" s="485"/>
      <c r="U166" s="485"/>
      <c r="V166" s="485"/>
      <c r="W166" s="485"/>
      <c r="X166" s="485"/>
      <c r="Y166" s="485"/>
      <c r="Z166" s="485"/>
      <c r="AA166" s="485"/>
    </row>
    <row r="167">
      <c r="A167" s="486"/>
      <c r="B167" s="482"/>
      <c r="C167" s="497"/>
      <c r="D167" s="497"/>
      <c r="E167" s="497"/>
      <c r="F167" s="497"/>
      <c r="G167" s="497"/>
      <c r="H167" s="497"/>
      <c r="I167" s="497"/>
      <c r="J167" s="497"/>
      <c r="K167" s="497"/>
      <c r="L167" s="485"/>
      <c r="M167" s="485"/>
      <c r="N167" s="485"/>
      <c r="O167" s="485"/>
      <c r="P167" s="485"/>
      <c r="Q167" s="485"/>
      <c r="R167" s="485"/>
      <c r="S167" s="485"/>
      <c r="T167" s="485"/>
      <c r="U167" s="485"/>
      <c r="V167" s="485"/>
      <c r="W167" s="485"/>
      <c r="X167" s="485"/>
      <c r="Y167" s="485"/>
      <c r="Z167" s="485"/>
      <c r="AA167" s="485"/>
    </row>
    <row r="168">
      <c r="A168" s="486"/>
      <c r="B168" s="482"/>
      <c r="C168" s="497"/>
      <c r="D168" s="497"/>
      <c r="E168" s="497"/>
      <c r="F168" s="497"/>
      <c r="G168" s="497"/>
      <c r="H168" s="497"/>
      <c r="I168" s="497"/>
      <c r="J168" s="497"/>
      <c r="K168" s="497"/>
      <c r="L168" s="485"/>
      <c r="M168" s="485"/>
      <c r="N168" s="485"/>
      <c r="O168" s="485"/>
      <c r="P168" s="485"/>
      <c r="Q168" s="485"/>
      <c r="R168" s="485"/>
      <c r="S168" s="485"/>
      <c r="T168" s="485"/>
      <c r="U168" s="485"/>
      <c r="V168" s="485"/>
      <c r="W168" s="485"/>
      <c r="X168" s="485"/>
      <c r="Y168" s="485"/>
      <c r="Z168" s="485"/>
      <c r="AA168" s="485"/>
    </row>
    <row r="169">
      <c r="A169" s="486"/>
      <c r="B169" s="482"/>
      <c r="C169" s="497"/>
      <c r="D169" s="497"/>
      <c r="E169" s="497"/>
      <c r="F169" s="497"/>
      <c r="G169" s="497"/>
      <c r="H169" s="497"/>
      <c r="I169" s="497"/>
      <c r="J169" s="497"/>
      <c r="K169" s="497"/>
      <c r="L169" s="485"/>
      <c r="M169" s="485"/>
      <c r="N169" s="485"/>
      <c r="O169" s="485"/>
      <c r="P169" s="485"/>
      <c r="Q169" s="485"/>
      <c r="R169" s="485"/>
      <c r="S169" s="485"/>
      <c r="T169" s="485"/>
      <c r="U169" s="485"/>
      <c r="V169" s="485"/>
      <c r="W169" s="485"/>
      <c r="X169" s="485"/>
      <c r="Y169" s="485"/>
      <c r="Z169" s="485"/>
      <c r="AA169" s="485"/>
    </row>
    <row r="170">
      <c r="A170" s="486"/>
      <c r="B170" s="482"/>
      <c r="C170" s="497"/>
      <c r="D170" s="497"/>
      <c r="E170" s="497"/>
      <c r="F170" s="497"/>
      <c r="G170" s="497"/>
      <c r="H170" s="497"/>
      <c r="I170" s="497"/>
      <c r="J170" s="497"/>
      <c r="K170" s="497"/>
      <c r="L170" s="485"/>
      <c r="M170" s="485"/>
      <c r="N170" s="485"/>
      <c r="O170" s="485"/>
      <c r="P170" s="485"/>
      <c r="Q170" s="485"/>
      <c r="R170" s="485"/>
      <c r="S170" s="485"/>
      <c r="T170" s="485"/>
      <c r="U170" s="485"/>
      <c r="V170" s="485"/>
      <c r="W170" s="485"/>
      <c r="X170" s="485"/>
      <c r="Y170" s="485"/>
      <c r="Z170" s="485"/>
      <c r="AA170" s="485"/>
    </row>
    <row r="171">
      <c r="A171" s="486"/>
      <c r="B171" s="482"/>
      <c r="C171" s="497"/>
      <c r="D171" s="497"/>
      <c r="E171" s="497"/>
      <c r="F171" s="497"/>
      <c r="G171" s="497"/>
      <c r="H171" s="497"/>
      <c r="I171" s="497"/>
      <c r="J171" s="497"/>
      <c r="K171" s="497"/>
      <c r="L171" s="485"/>
      <c r="M171" s="485"/>
      <c r="N171" s="485"/>
      <c r="O171" s="485"/>
      <c r="P171" s="485"/>
      <c r="Q171" s="485"/>
      <c r="R171" s="485"/>
      <c r="S171" s="485"/>
      <c r="T171" s="485"/>
      <c r="U171" s="485"/>
      <c r="V171" s="485"/>
      <c r="W171" s="485"/>
      <c r="X171" s="485"/>
      <c r="Y171" s="485"/>
      <c r="Z171" s="485"/>
      <c r="AA171" s="485"/>
    </row>
    <row r="172">
      <c r="A172" s="486"/>
      <c r="B172" s="482"/>
      <c r="C172" s="497"/>
      <c r="D172" s="497"/>
      <c r="E172" s="497"/>
      <c r="F172" s="497"/>
      <c r="G172" s="497"/>
      <c r="H172" s="497"/>
      <c r="I172" s="497"/>
      <c r="J172" s="497"/>
      <c r="K172" s="497"/>
      <c r="L172" s="485"/>
      <c r="M172" s="485"/>
      <c r="N172" s="485"/>
      <c r="O172" s="485"/>
      <c r="P172" s="485"/>
      <c r="Q172" s="485"/>
      <c r="R172" s="485"/>
      <c r="S172" s="485"/>
      <c r="T172" s="485"/>
      <c r="U172" s="485"/>
      <c r="V172" s="485"/>
      <c r="W172" s="485"/>
      <c r="X172" s="485"/>
      <c r="Y172" s="485"/>
      <c r="Z172" s="485"/>
      <c r="AA172" s="485"/>
    </row>
    <row r="173">
      <c r="A173" s="486"/>
      <c r="B173" s="482"/>
      <c r="C173" s="497"/>
      <c r="D173" s="497"/>
      <c r="E173" s="497"/>
      <c r="F173" s="497"/>
      <c r="G173" s="497"/>
      <c r="H173" s="497"/>
      <c r="I173" s="497"/>
      <c r="J173" s="497"/>
      <c r="K173" s="497"/>
      <c r="L173" s="485"/>
      <c r="M173" s="485"/>
      <c r="N173" s="485"/>
      <c r="O173" s="485"/>
      <c r="P173" s="485"/>
      <c r="Q173" s="485"/>
      <c r="R173" s="485"/>
      <c r="S173" s="485"/>
      <c r="T173" s="485"/>
      <c r="U173" s="485"/>
      <c r="V173" s="485"/>
      <c r="W173" s="485"/>
      <c r="X173" s="485"/>
      <c r="Y173" s="485"/>
      <c r="Z173" s="485"/>
      <c r="AA173" s="485"/>
    </row>
    <row r="174">
      <c r="A174" s="486"/>
      <c r="B174" s="482"/>
      <c r="C174" s="497"/>
      <c r="D174" s="497"/>
      <c r="E174" s="497"/>
      <c r="F174" s="497"/>
      <c r="G174" s="497"/>
      <c r="H174" s="497"/>
      <c r="I174" s="497"/>
      <c r="J174" s="497"/>
      <c r="K174" s="497"/>
      <c r="L174" s="485"/>
      <c r="M174" s="485"/>
      <c r="N174" s="485"/>
      <c r="O174" s="485"/>
      <c r="P174" s="485"/>
      <c r="Q174" s="485"/>
      <c r="R174" s="485"/>
      <c r="S174" s="485"/>
      <c r="T174" s="485"/>
      <c r="U174" s="485"/>
      <c r="V174" s="485"/>
      <c r="W174" s="485"/>
      <c r="X174" s="485"/>
      <c r="Y174" s="485"/>
      <c r="Z174" s="485"/>
      <c r="AA174" s="485"/>
    </row>
    <row r="175">
      <c r="A175" s="486"/>
      <c r="B175" s="482"/>
      <c r="C175" s="497"/>
      <c r="D175" s="497"/>
      <c r="E175" s="497"/>
      <c r="F175" s="497"/>
      <c r="G175" s="497"/>
      <c r="H175" s="497"/>
      <c r="I175" s="497"/>
      <c r="J175" s="497"/>
      <c r="K175" s="497"/>
      <c r="L175" s="485"/>
      <c r="M175" s="485"/>
      <c r="N175" s="485"/>
      <c r="O175" s="485"/>
      <c r="P175" s="485"/>
      <c r="Q175" s="485"/>
      <c r="R175" s="485"/>
      <c r="S175" s="485"/>
      <c r="T175" s="485"/>
      <c r="U175" s="485"/>
      <c r="V175" s="485"/>
      <c r="W175" s="485"/>
      <c r="X175" s="485"/>
      <c r="Y175" s="485"/>
      <c r="Z175" s="485"/>
      <c r="AA175" s="485"/>
    </row>
    <row r="176">
      <c r="A176" s="486"/>
      <c r="B176" s="482"/>
      <c r="C176" s="497"/>
      <c r="D176" s="497"/>
      <c r="E176" s="497"/>
      <c r="F176" s="497"/>
      <c r="G176" s="497"/>
      <c r="H176" s="497"/>
      <c r="I176" s="497"/>
      <c r="J176" s="497"/>
      <c r="K176" s="497"/>
      <c r="L176" s="485"/>
      <c r="M176" s="485"/>
      <c r="N176" s="485"/>
      <c r="O176" s="485"/>
      <c r="P176" s="485"/>
      <c r="Q176" s="485"/>
      <c r="R176" s="485"/>
      <c r="S176" s="485"/>
      <c r="T176" s="485"/>
      <c r="U176" s="485"/>
      <c r="V176" s="485"/>
      <c r="W176" s="485"/>
      <c r="X176" s="485"/>
      <c r="Y176" s="485"/>
      <c r="Z176" s="485"/>
      <c r="AA176" s="485"/>
    </row>
    <row r="177">
      <c r="A177" s="486"/>
      <c r="B177" s="482"/>
      <c r="C177" s="497"/>
      <c r="D177" s="497"/>
      <c r="E177" s="497"/>
      <c r="F177" s="497"/>
      <c r="G177" s="497"/>
      <c r="H177" s="497"/>
      <c r="I177" s="497"/>
      <c r="J177" s="497"/>
      <c r="K177" s="497"/>
      <c r="L177" s="485"/>
      <c r="M177" s="485"/>
      <c r="N177" s="485"/>
      <c r="O177" s="485"/>
      <c r="P177" s="485"/>
      <c r="Q177" s="485"/>
      <c r="R177" s="485"/>
      <c r="S177" s="485"/>
      <c r="T177" s="485"/>
      <c r="U177" s="485"/>
      <c r="V177" s="485"/>
      <c r="W177" s="485"/>
      <c r="X177" s="485"/>
      <c r="Y177" s="485"/>
      <c r="Z177" s="485"/>
      <c r="AA177" s="485"/>
    </row>
    <row r="178">
      <c r="A178" s="486"/>
      <c r="B178" s="482"/>
      <c r="C178" s="497"/>
      <c r="D178" s="497"/>
      <c r="E178" s="497"/>
      <c r="F178" s="497"/>
      <c r="G178" s="497"/>
      <c r="H178" s="497"/>
      <c r="I178" s="497"/>
      <c r="J178" s="497"/>
      <c r="K178" s="497"/>
      <c r="L178" s="485"/>
      <c r="M178" s="485"/>
      <c r="N178" s="485"/>
      <c r="O178" s="485"/>
      <c r="P178" s="485"/>
      <c r="Q178" s="485"/>
      <c r="R178" s="485"/>
      <c r="S178" s="485"/>
      <c r="T178" s="485"/>
      <c r="U178" s="485"/>
      <c r="V178" s="485"/>
      <c r="W178" s="485"/>
      <c r="X178" s="485"/>
      <c r="Y178" s="485"/>
      <c r="Z178" s="485"/>
      <c r="AA178" s="485"/>
    </row>
    <row r="179">
      <c r="A179" s="486"/>
      <c r="B179" s="482"/>
      <c r="C179" s="497"/>
      <c r="D179" s="497"/>
      <c r="E179" s="497"/>
      <c r="F179" s="497"/>
      <c r="G179" s="497"/>
      <c r="H179" s="497"/>
      <c r="I179" s="497"/>
      <c r="J179" s="497"/>
      <c r="K179" s="497"/>
      <c r="L179" s="485"/>
      <c r="M179" s="485"/>
      <c r="N179" s="485"/>
      <c r="O179" s="485"/>
      <c r="P179" s="485"/>
      <c r="Q179" s="485"/>
      <c r="R179" s="485"/>
      <c r="S179" s="485"/>
      <c r="T179" s="485"/>
      <c r="U179" s="485"/>
      <c r="V179" s="485"/>
      <c r="W179" s="485"/>
      <c r="X179" s="485"/>
      <c r="Y179" s="485"/>
      <c r="Z179" s="485"/>
      <c r="AA179" s="485"/>
    </row>
    <row r="180">
      <c r="A180" s="486"/>
      <c r="B180" s="482"/>
      <c r="C180" s="497"/>
      <c r="D180" s="497"/>
      <c r="E180" s="497"/>
      <c r="F180" s="497"/>
      <c r="G180" s="497"/>
      <c r="H180" s="497"/>
      <c r="I180" s="497"/>
      <c r="J180" s="497"/>
      <c r="K180" s="497"/>
      <c r="L180" s="485"/>
      <c r="M180" s="485"/>
      <c r="N180" s="485"/>
      <c r="O180" s="485"/>
      <c r="P180" s="485"/>
      <c r="Q180" s="485"/>
      <c r="R180" s="485"/>
      <c r="S180" s="485"/>
      <c r="T180" s="485"/>
      <c r="U180" s="485"/>
      <c r="V180" s="485"/>
      <c r="W180" s="485"/>
      <c r="X180" s="485"/>
      <c r="Y180" s="485"/>
      <c r="Z180" s="485"/>
      <c r="AA180" s="485"/>
    </row>
    <row r="181">
      <c r="A181" s="486"/>
      <c r="B181" s="482"/>
      <c r="C181" s="497"/>
      <c r="D181" s="497"/>
      <c r="E181" s="497"/>
      <c r="F181" s="497"/>
      <c r="G181" s="497"/>
      <c r="H181" s="497"/>
      <c r="I181" s="497"/>
      <c r="J181" s="497"/>
      <c r="K181" s="497"/>
      <c r="L181" s="485"/>
      <c r="M181" s="485"/>
      <c r="N181" s="485"/>
      <c r="O181" s="485"/>
      <c r="P181" s="485"/>
      <c r="Q181" s="485"/>
      <c r="R181" s="485"/>
      <c r="S181" s="485"/>
      <c r="T181" s="485"/>
      <c r="U181" s="485"/>
      <c r="V181" s="485"/>
      <c r="W181" s="485"/>
      <c r="X181" s="485"/>
      <c r="Y181" s="485"/>
      <c r="Z181" s="485"/>
      <c r="AA181" s="485"/>
    </row>
    <row r="182">
      <c r="A182" s="486"/>
      <c r="B182" s="482"/>
      <c r="C182" s="497"/>
      <c r="D182" s="497"/>
      <c r="E182" s="497"/>
      <c r="F182" s="497"/>
      <c r="G182" s="497"/>
      <c r="H182" s="497"/>
      <c r="I182" s="497"/>
      <c r="J182" s="497"/>
      <c r="K182" s="497"/>
      <c r="L182" s="485"/>
      <c r="M182" s="485"/>
      <c r="N182" s="485"/>
      <c r="O182" s="485"/>
      <c r="P182" s="485"/>
      <c r="Q182" s="485"/>
      <c r="R182" s="485"/>
      <c r="S182" s="485"/>
      <c r="T182" s="485"/>
      <c r="U182" s="485"/>
      <c r="V182" s="485"/>
      <c r="W182" s="485"/>
      <c r="X182" s="485"/>
      <c r="Y182" s="485"/>
      <c r="Z182" s="485"/>
      <c r="AA182" s="485"/>
    </row>
    <row r="183">
      <c r="A183" s="486"/>
      <c r="B183" s="482"/>
      <c r="C183" s="497"/>
      <c r="D183" s="497"/>
      <c r="E183" s="497"/>
      <c r="F183" s="497"/>
      <c r="G183" s="497"/>
      <c r="H183" s="497"/>
      <c r="I183" s="497"/>
      <c r="J183" s="497"/>
      <c r="K183" s="497"/>
      <c r="L183" s="485"/>
      <c r="M183" s="485"/>
      <c r="N183" s="485"/>
      <c r="O183" s="485"/>
      <c r="P183" s="485"/>
      <c r="Q183" s="485"/>
      <c r="R183" s="485"/>
      <c r="S183" s="485"/>
      <c r="T183" s="485"/>
      <c r="U183" s="485"/>
      <c r="V183" s="485"/>
      <c r="W183" s="485"/>
      <c r="X183" s="485"/>
      <c r="Y183" s="485"/>
      <c r="Z183" s="485"/>
      <c r="AA183" s="485"/>
    </row>
    <row r="184">
      <c r="A184" s="486"/>
      <c r="B184" s="482"/>
      <c r="C184" s="497"/>
      <c r="D184" s="497"/>
      <c r="E184" s="497"/>
      <c r="F184" s="497"/>
      <c r="G184" s="497"/>
      <c r="H184" s="497"/>
      <c r="I184" s="497"/>
      <c r="J184" s="497"/>
      <c r="K184" s="497"/>
      <c r="L184" s="485"/>
      <c r="M184" s="485"/>
      <c r="N184" s="485"/>
      <c r="O184" s="485"/>
      <c r="P184" s="485"/>
      <c r="Q184" s="485"/>
      <c r="R184" s="485"/>
      <c r="S184" s="485"/>
      <c r="T184" s="485"/>
      <c r="U184" s="485"/>
      <c r="V184" s="485"/>
      <c r="W184" s="485"/>
      <c r="X184" s="485"/>
      <c r="Y184" s="485"/>
      <c r="Z184" s="485"/>
      <c r="AA184" s="485"/>
    </row>
    <row r="185">
      <c r="A185" s="486"/>
      <c r="B185" s="482"/>
      <c r="C185" s="497"/>
      <c r="D185" s="497"/>
      <c r="E185" s="497"/>
      <c r="F185" s="497"/>
      <c r="G185" s="497"/>
      <c r="H185" s="497"/>
      <c r="I185" s="497"/>
      <c r="J185" s="497"/>
      <c r="K185" s="497"/>
      <c r="L185" s="485"/>
      <c r="M185" s="485"/>
      <c r="N185" s="485"/>
      <c r="O185" s="485"/>
      <c r="P185" s="485"/>
      <c r="Q185" s="485"/>
      <c r="R185" s="485"/>
      <c r="S185" s="485"/>
      <c r="T185" s="485"/>
      <c r="U185" s="485"/>
      <c r="V185" s="485"/>
      <c r="W185" s="485"/>
      <c r="X185" s="485"/>
      <c r="Y185" s="485"/>
      <c r="Z185" s="485"/>
      <c r="AA185" s="485"/>
    </row>
    <row r="186">
      <c r="A186" s="486"/>
      <c r="B186" s="482"/>
      <c r="C186" s="497"/>
      <c r="D186" s="497"/>
      <c r="E186" s="497"/>
      <c r="F186" s="497"/>
      <c r="G186" s="497"/>
      <c r="H186" s="497"/>
      <c r="I186" s="497"/>
      <c r="J186" s="497"/>
      <c r="K186" s="497"/>
      <c r="L186" s="485"/>
      <c r="M186" s="485"/>
      <c r="N186" s="485"/>
      <c r="O186" s="485"/>
      <c r="P186" s="485"/>
      <c r="Q186" s="485"/>
      <c r="R186" s="485"/>
      <c r="S186" s="485"/>
      <c r="T186" s="485"/>
      <c r="U186" s="485"/>
      <c r="V186" s="485"/>
      <c r="W186" s="485"/>
      <c r="X186" s="485"/>
      <c r="Y186" s="485"/>
      <c r="Z186" s="485"/>
      <c r="AA186" s="485"/>
    </row>
    <row r="187">
      <c r="A187" s="486"/>
      <c r="B187" s="482"/>
      <c r="C187" s="497"/>
      <c r="D187" s="497"/>
      <c r="E187" s="497"/>
      <c r="F187" s="497"/>
      <c r="G187" s="497"/>
      <c r="H187" s="497"/>
      <c r="I187" s="497"/>
      <c r="J187" s="497"/>
      <c r="K187" s="497"/>
      <c r="L187" s="485"/>
      <c r="M187" s="485"/>
      <c r="N187" s="485"/>
      <c r="O187" s="485"/>
      <c r="P187" s="485"/>
      <c r="Q187" s="485"/>
      <c r="R187" s="485"/>
      <c r="S187" s="485"/>
      <c r="T187" s="485"/>
      <c r="U187" s="485"/>
      <c r="V187" s="485"/>
      <c r="W187" s="485"/>
      <c r="X187" s="485"/>
      <c r="Y187" s="485"/>
      <c r="Z187" s="485"/>
      <c r="AA187" s="485"/>
    </row>
    <row r="188">
      <c r="A188" s="486"/>
      <c r="B188" s="482"/>
      <c r="C188" s="497"/>
      <c r="D188" s="497"/>
      <c r="E188" s="497"/>
      <c r="F188" s="497"/>
      <c r="G188" s="497"/>
      <c r="H188" s="497"/>
      <c r="I188" s="497"/>
      <c r="J188" s="497"/>
      <c r="K188" s="497"/>
      <c r="L188" s="485"/>
      <c r="M188" s="485"/>
      <c r="N188" s="485"/>
      <c r="O188" s="485"/>
      <c r="P188" s="485"/>
      <c r="Q188" s="485"/>
      <c r="R188" s="485"/>
      <c r="S188" s="485"/>
      <c r="T188" s="485"/>
      <c r="U188" s="485"/>
      <c r="V188" s="485"/>
      <c r="W188" s="485"/>
      <c r="X188" s="485"/>
      <c r="Y188" s="485"/>
      <c r="Z188" s="485"/>
      <c r="AA188" s="485"/>
    </row>
    <row r="189">
      <c r="A189" s="486"/>
      <c r="B189" s="482"/>
      <c r="C189" s="497"/>
      <c r="D189" s="497"/>
      <c r="E189" s="497"/>
      <c r="F189" s="497"/>
      <c r="G189" s="497"/>
      <c r="H189" s="497"/>
      <c r="I189" s="497"/>
      <c r="J189" s="497"/>
      <c r="K189" s="497"/>
      <c r="L189" s="485"/>
      <c r="M189" s="485"/>
      <c r="N189" s="485"/>
      <c r="O189" s="485"/>
      <c r="P189" s="485"/>
      <c r="Q189" s="485"/>
      <c r="R189" s="485"/>
      <c r="S189" s="485"/>
      <c r="T189" s="485"/>
      <c r="U189" s="485"/>
      <c r="V189" s="485"/>
      <c r="W189" s="485"/>
      <c r="X189" s="485"/>
      <c r="Y189" s="485"/>
      <c r="Z189" s="485"/>
      <c r="AA189" s="485"/>
    </row>
    <row r="190">
      <c r="A190" s="486"/>
      <c r="B190" s="482"/>
      <c r="C190" s="497"/>
      <c r="D190" s="497"/>
      <c r="E190" s="497"/>
      <c r="F190" s="497"/>
      <c r="G190" s="497"/>
      <c r="H190" s="497"/>
      <c r="I190" s="497"/>
      <c r="J190" s="497"/>
      <c r="K190" s="497"/>
      <c r="L190" s="485"/>
      <c r="M190" s="485"/>
      <c r="N190" s="485"/>
      <c r="O190" s="485"/>
      <c r="P190" s="485"/>
      <c r="Q190" s="485"/>
      <c r="R190" s="485"/>
      <c r="S190" s="485"/>
      <c r="T190" s="485"/>
      <c r="U190" s="485"/>
      <c r="V190" s="485"/>
      <c r="W190" s="485"/>
      <c r="X190" s="485"/>
      <c r="Y190" s="485"/>
      <c r="Z190" s="485"/>
      <c r="AA190" s="485"/>
    </row>
    <row r="191">
      <c r="A191" s="486"/>
      <c r="B191" s="482"/>
      <c r="C191" s="497"/>
      <c r="D191" s="497"/>
      <c r="E191" s="497"/>
      <c r="F191" s="497"/>
      <c r="G191" s="497"/>
      <c r="H191" s="497"/>
      <c r="I191" s="497"/>
      <c r="J191" s="497"/>
      <c r="K191" s="497"/>
      <c r="L191" s="485"/>
      <c r="M191" s="485"/>
      <c r="N191" s="485"/>
      <c r="O191" s="485"/>
      <c r="P191" s="485"/>
      <c r="Q191" s="485"/>
      <c r="R191" s="485"/>
      <c r="S191" s="485"/>
      <c r="T191" s="485"/>
      <c r="U191" s="485"/>
      <c r="V191" s="485"/>
      <c r="W191" s="485"/>
      <c r="X191" s="485"/>
      <c r="Y191" s="485"/>
      <c r="Z191" s="485"/>
      <c r="AA191" s="485"/>
    </row>
    <row r="192">
      <c r="A192" s="486"/>
      <c r="B192" s="482"/>
      <c r="C192" s="497"/>
      <c r="D192" s="497"/>
      <c r="E192" s="497"/>
      <c r="F192" s="497"/>
      <c r="G192" s="497"/>
      <c r="H192" s="497"/>
      <c r="I192" s="497"/>
      <c r="J192" s="497"/>
      <c r="K192" s="497"/>
      <c r="L192" s="485"/>
      <c r="M192" s="485"/>
      <c r="N192" s="485"/>
      <c r="O192" s="485"/>
      <c r="P192" s="485"/>
      <c r="Q192" s="485"/>
      <c r="R192" s="485"/>
      <c r="S192" s="485"/>
      <c r="T192" s="485"/>
      <c r="U192" s="485"/>
      <c r="V192" s="485"/>
      <c r="W192" s="485"/>
      <c r="X192" s="485"/>
      <c r="Y192" s="485"/>
      <c r="Z192" s="485"/>
      <c r="AA192" s="485"/>
    </row>
    <row r="193">
      <c r="A193" s="486"/>
      <c r="B193" s="482"/>
      <c r="C193" s="497"/>
      <c r="D193" s="497"/>
      <c r="E193" s="497"/>
      <c r="F193" s="497"/>
      <c r="G193" s="497"/>
      <c r="H193" s="497"/>
      <c r="I193" s="497"/>
      <c r="J193" s="497"/>
      <c r="K193" s="497"/>
      <c r="L193" s="485"/>
      <c r="M193" s="485"/>
      <c r="N193" s="485"/>
      <c r="O193" s="485"/>
      <c r="P193" s="485"/>
      <c r="Q193" s="485"/>
      <c r="R193" s="485"/>
      <c r="S193" s="485"/>
      <c r="T193" s="485"/>
      <c r="U193" s="485"/>
      <c r="V193" s="485"/>
      <c r="W193" s="485"/>
      <c r="X193" s="485"/>
      <c r="Y193" s="485"/>
      <c r="Z193" s="485"/>
      <c r="AA193" s="485"/>
    </row>
    <row r="194">
      <c r="A194" s="486"/>
      <c r="B194" s="482"/>
      <c r="C194" s="497"/>
      <c r="D194" s="497"/>
      <c r="E194" s="497"/>
      <c r="F194" s="497"/>
      <c r="G194" s="497"/>
      <c r="H194" s="497"/>
      <c r="I194" s="497"/>
      <c r="J194" s="497"/>
      <c r="K194" s="497"/>
      <c r="L194" s="485"/>
      <c r="M194" s="485"/>
      <c r="N194" s="485"/>
      <c r="O194" s="485"/>
      <c r="P194" s="485"/>
      <c r="Q194" s="485"/>
      <c r="R194" s="485"/>
      <c r="S194" s="485"/>
      <c r="T194" s="485"/>
      <c r="U194" s="485"/>
      <c r="V194" s="485"/>
      <c r="W194" s="485"/>
      <c r="X194" s="485"/>
      <c r="Y194" s="485"/>
      <c r="Z194" s="485"/>
      <c r="AA194" s="485"/>
    </row>
    <row r="195">
      <c r="A195" s="486"/>
      <c r="B195" s="482"/>
      <c r="C195" s="497"/>
      <c r="D195" s="497"/>
      <c r="E195" s="497"/>
      <c r="F195" s="497"/>
      <c r="G195" s="497"/>
      <c r="H195" s="497"/>
      <c r="I195" s="497"/>
      <c r="J195" s="497"/>
      <c r="K195" s="497"/>
      <c r="L195" s="485"/>
      <c r="M195" s="485"/>
      <c r="N195" s="485"/>
      <c r="O195" s="485"/>
      <c r="P195" s="485"/>
      <c r="Q195" s="485"/>
      <c r="R195" s="485"/>
      <c r="S195" s="485"/>
      <c r="T195" s="485"/>
      <c r="U195" s="485"/>
      <c r="V195" s="485"/>
      <c r="W195" s="485"/>
      <c r="X195" s="485"/>
      <c r="Y195" s="485"/>
      <c r="Z195" s="485"/>
      <c r="AA195" s="485"/>
    </row>
    <row r="196">
      <c r="A196" s="486"/>
      <c r="B196" s="482"/>
      <c r="C196" s="497"/>
      <c r="D196" s="497"/>
      <c r="E196" s="497"/>
      <c r="F196" s="497"/>
      <c r="G196" s="497"/>
      <c r="H196" s="497"/>
      <c r="I196" s="497"/>
      <c r="J196" s="497"/>
      <c r="K196" s="497"/>
      <c r="L196" s="485"/>
      <c r="M196" s="485"/>
      <c r="N196" s="485"/>
      <c r="O196" s="485"/>
      <c r="P196" s="485"/>
      <c r="Q196" s="485"/>
      <c r="R196" s="485"/>
      <c r="S196" s="485"/>
      <c r="T196" s="485"/>
      <c r="U196" s="485"/>
      <c r="V196" s="485"/>
      <c r="W196" s="485"/>
      <c r="X196" s="485"/>
      <c r="Y196" s="485"/>
      <c r="Z196" s="485"/>
      <c r="AA196" s="485"/>
    </row>
    <row r="197">
      <c r="A197" s="486"/>
      <c r="B197" s="482"/>
      <c r="C197" s="497"/>
      <c r="D197" s="497"/>
      <c r="E197" s="497"/>
      <c r="F197" s="497"/>
      <c r="G197" s="497"/>
      <c r="H197" s="497"/>
      <c r="I197" s="497"/>
      <c r="J197" s="497"/>
      <c r="K197" s="497"/>
      <c r="L197" s="485"/>
      <c r="M197" s="485"/>
      <c r="N197" s="485"/>
      <c r="O197" s="485"/>
      <c r="P197" s="485"/>
      <c r="Q197" s="485"/>
      <c r="R197" s="485"/>
      <c r="S197" s="485"/>
      <c r="T197" s="485"/>
      <c r="U197" s="485"/>
      <c r="V197" s="485"/>
      <c r="W197" s="485"/>
      <c r="X197" s="485"/>
      <c r="Y197" s="485"/>
      <c r="Z197" s="485"/>
      <c r="AA197" s="485"/>
    </row>
    <row r="198">
      <c r="A198" s="486"/>
      <c r="B198" s="482"/>
      <c r="C198" s="497"/>
      <c r="D198" s="497"/>
      <c r="E198" s="497"/>
      <c r="F198" s="497"/>
      <c r="G198" s="497"/>
      <c r="H198" s="497"/>
      <c r="I198" s="497"/>
      <c r="J198" s="497"/>
      <c r="K198" s="497"/>
      <c r="L198" s="485"/>
      <c r="M198" s="485"/>
      <c r="N198" s="485"/>
      <c r="O198" s="485"/>
      <c r="P198" s="485"/>
      <c r="Q198" s="485"/>
      <c r="R198" s="485"/>
      <c r="S198" s="485"/>
      <c r="T198" s="485"/>
      <c r="U198" s="485"/>
      <c r="V198" s="485"/>
      <c r="W198" s="485"/>
      <c r="X198" s="485"/>
      <c r="Y198" s="485"/>
      <c r="Z198" s="485"/>
      <c r="AA198" s="485"/>
    </row>
    <row r="199">
      <c r="A199" s="486"/>
      <c r="B199" s="482"/>
      <c r="C199" s="497"/>
      <c r="D199" s="497"/>
      <c r="E199" s="497"/>
      <c r="F199" s="497"/>
      <c r="G199" s="497"/>
      <c r="H199" s="497"/>
      <c r="I199" s="497"/>
      <c r="J199" s="497"/>
      <c r="K199" s="497"/>
      <c r="L199" s="485"/>
      <c r="M199" s="485"/>
      <c r="N199" s="485"/>
      <c r="O199" s="485"/>
      <c r="P199" s="485"/>
      <c r="Q199" s="485"/>
      <c r="R199" s="485"/>
      <c r="S199" s="485"/>
      <c r="T199" s="485"/>
      <c r="U199" s="485"/>
      <c r="V199" s="485"/>
      <c r="W199" s="485"/>
      <c r="X199" s="485"/>
      <c r="Y199" s="485"/>
      <c r="Z199" s="485"/>
      <c r="AA199" s="485"/>
    </row>
    <row r="200">
      <c r="A200" s="486"/>
      <c r="B200" s="482"/>
      <c r="C200" s="497"/>
      <c r="D200" s="497"/>
      <c r="E200" s="497"/>
      <c r="F200" s="497"/>
      <c r="G200" s="497"/>
      <c r="H200" s="497"/>
      <c r="I200" s="497"/>
      <c r="J200" s="497"/>
      <c r="K200" s="497"/>
      <c r="L200" s="485"/>
      <c r="M200" s="485"/>
      <c r="N200" s="485"/>
      <c r="O200" s="485"/>
      <c r="P200" s="485"/>
      <c r="Q200" s="485"/>
      <c r="R200" s="485"/>
      <c r="S200" s="485"/>
      <c r="T200" s="485"/>
      <c r="U200" s="485"/>
      <c r="V200" s="485"/>
      <c r="W200" s="485"/>
      <c r="X200" s="485"/>
      <c r="Y200" s="485"/>
      <c r="Z200" s="485"/>
      <c r="AA200" s="485"/>
    </row>
    <row r="201">
      <c r="A201" s="486"/>
      <c r="B201" s="482"/>
      <c r="C201" s="497"/>
      <c r="D201" s="497"/>
      <c r="E201" s="497"/>
      <c r="F201" s="497"/>
      <c r="G201" s="497"/>
      <c r="H201" s="497"/>
      <c r="I201" s="497"/>
      <c r="J201" s="497"/>
      <c r="K201" s="497"/>
      <c r="L201" s="485"/>
      <c r="M201" s="485"/>
      <c r="N201" s="485"/>
      <c r="O201" s="485"/>
      <c r="P201" s="485"/>
      <c r="Q201" s="485"/>
      <c r="R201" s="485"/>
      <c r="S201" s="485"/>
      <c r="T201" s="485"/>
      <c r="U201" s="485"/>
      <c r="V201" s="485"/>
      <c r="W201" s="485"/>
      <c r="X201" s="485"/>
      <c r="Y201" s="485"/>
      <c r="Z201" s="485"/>
      <c r="AA201" s="485"/>
    </row>
    <row r="202">
      <c r="A202" s="486"/>
      <c r="B202" s="482"/>
      <c r="C202" s="497"/>
      <c r="D202" s="497"/>
      <c r="E202" s="497"/>
      <c r="F202" s="497"/>
      <c r="G202" s="497"/>
      <c r="H202" s="497"/>
      <c r="I202" s="497"/>
      <c r="J202" s="497"/>
      <c r="K202" s="497"/>
      <c r="L202" s="485"/>
      <c r="M202" s="485"/>
      <c r="N202" s="485"/>
      <c r="O202" s="485"/>
      <c r="P202" s="485"/>
      <c r="Q202" s="485"/>
      <c r="R202" s="485"/>
      <c r="S202" s="485"/>
      <c r="T202" s="485"/>
      <c r="U202" s="485"/>
      <c r="V202" s="485"/>
      <c r="W202" s="485"/>
      <c r="X202" s="485"/>
      <c r="Y202" s="485"/>
      <c r="Z202" s="485"/>
      <c r="AA202" s="485"/>
    </row>
    <row r="203">
      <c r="A203" s="486"/>
      <c r="B203" s="482"/>
      <c r="C203" s="497"/>
      <c r="D203" s="497"/>
      <c r="E203" s="497"/>
      <c r="F203" s="497"/>
      <c r="G203" s="497"/>
      <c r="H203" s="497"/>
      <c r="I203" s="497"/>
      <c r="J203" s="497"/>
      <c r="K203" s="497"/>
      <c r="L203" s="485"/>
      <c r="M203" s="485"/>
      <c r="N203" s="485"/>
      <c r="O203" s="485"/>
      <c r="P203" s="485"/>
      <c r="Q203" s="485"/>
      <c r="R203" s="485"/>
      <c r="S203" s="485"/>
      <c r="T203" s="485"/>
      <c r="U203" s="485"/>
      <c r="V203" s="485"/>
      <c r="W203" s="485"/>
      <c r="X203" s="485"/>
      <c r="Y203" s="485"/>
      <c r="Z203" s="485"/>
      <c r="AA203" s="485"/>
    </row>
    <row r="204">
      <c r="A204" s="486"/>
      <c r="B204" s="482"/>
      <c r="C204" s="497"/>
      <c r="D204" s="497"/>
      <c r="E204" s="497"/>
      <c r="F204" s="497"/>
      <c r="G204" s="497"/>
      <c r="H204" s="497"/>
      <c r="I204" s="497"/>
      <c r="J204" s="497"/>
      <c r="K204" s="497"/>
      <c r="L204" s="485"/>
      <c r="M204" s="485"/>
      <c r="N204" s="485"/>
      <c r="O204" s="485"/>
      <c r="P204" s="485"/>
      <c r="Q204" s="485"/>
      <c r="R204" s="485"/>
      <c r="S204" s="485"/>
      <c r="T204" s="485"/>
      <c r="U204" s="485"/>
      <c r="V204" s="485"/>
      <c r="W204" s="485"/>
      <c r="X204" s="485"/>
      <c r="Y204" s="485"/>
      <c r="Z204" s="485"/>
      <c r="AA204" s="485"/>
    </row>
    <row r="205">
      <c r="A205" s="486"/>
      <c r="B205" s="482"/>
      <c r="C205" s="497"/>
      <c r="D205" s="497"/>
      <c r="E205" s="497"/>
      <c r="F205" s="497"/>
      <c r="G205" s="497"/>
      <c r="H205" s="497"/>
      <c r="I205" s="497"/>
      <c r="J205" s="497"/>
      <c r="K205" s="497"/>
      <c r="L205" s="485"/>
      <c r="M205" s="485"/>
      <c r="N205" s="485"/>
      <c r="O205" s="485"/>
      <c r="P205" s="485"/>
      <c r="Q205" s="485"/>
      <c r="R205" s="485"/>
      <c r="S205" s="485"/>
      <c r="T205" s="485"/>
      <c r="U205" s="485"/>
      <c r="V205" s="485"/>
      <c r="W205" s="485"/>
      <c r="X205" s="485"/>
      <c r="Y205" s="485"/>
      <c r="Z205" s="485"/>
      <c r="AA205" s="485"/>
    </row>
    <row r="206">
      <c r="A206" s="486"/>
      <c r="B206" s="482"/>
      <c r="C206" s="497"/>
      <c r="D206" s="497"/>
      <c r="E206" s="497"/>
      <c r="F206" s="497"/>
      <c r="G206" s="497"/>
      <c r="H206" s="497"/>
      <c r="I206" s="497"/>
      <c r="J206" s="497"/>
      <c r="K206" s="497"/>
      <c r="L206" s="485"/>
      <c r="M206" s="485"/>
      <c r="N206" s="485"/>
      <c r="O206" s="485"/>
      <c r="P206" s="485"/>
      <c r="Q206" s="485"/>
      <c r="R206" s="485"/>
      <c r="S206" s="485"/>
      <c r="T206" s="485"/>
      <c r="U206" s="485"/>
      <c r="V206" s="485"/>
      <c r="W206" s="485"/>
      <c r="X206" s="485"/>
      <c r="Y206" s="485"/>
      <c r="Z206" s="485"/>
      <c r="AA206" s="485"/>
    </row>
    <row r="207">
      <c r="A207" s="486"/>
      <c r="B207" s="482"/>
      <c r="C207" s="497"/>
      <c r="D207" s="497"/>
      <c r="E207" s="497"/>
      <c r="F207" s="497"/>
      <c r="G207" s="497"/>
      <c r="H207" s="497"/>
      <c r="I207" s="497"/>
      <c r="J207" s="497"/>
      <c r="K207" s="497"/>
      <c r="L207" s="485"/>
      <c r="M207" s="485"/>
      <c r="N207" s="485"/>
      <c r="O207" s="485"/>
      <c r="P207" s="485"/>
      <c r="Q207" s="485"/>
      <c r="R207" s="485"/>
      <c r="S207" s="485"/>
      <c r="T207" s="485"/>
      <c r="U207" s="485"/>
      <c r="V207" s="485"/>
      <c r="W207" s="485"/>
      <c r="X207" s="485"/>
      <c r="Y207" s="485"/>
      <c r="Z207" s="485"/>
      <c r="AA207" s="485"/>
    </row>
    <row r="208">
      <c r="A208" s="486"/>
      <c r="B208" s="482"/>
      <c r="C208" s="497"/>
      <c r="D208" s="497"/>
      <c r="E208" s="497"/>
      <c r="F208" s="497"/>
      <c r="G208" s="497"/>
      <c r="H208" s="497"/>
      <c r="I208" s="497"/>
      <c r="J208" s="497"/>
      <c r="K208" s="497"/>
      <c r="L208" s="485"/>
      <c r="M208" s="485"/>
      <c r="N208" s="485"/>
      <c r="O208" s="485"/>
      <c r="P208" s="485"/>
      <c r="Q208" s="485"/>
      <c r="R208" s="485"/>
      <c r="S208" s="485"/>
      <c r="T208" s="485"/>
      <c r="U208" s="485"/>
      <c r="V208" s="485"/>
      <c r="W208" s="485"/>
      <c r="X208" s="485"/>
      <c r="Y208" s="485"/>
      <c r="Z208" s="485"/>
      <c r="AA208" s="485"/>
    </row>
    <row r="209">
      <c r="A209" s="486"/>
      <c r="B209" s="482"/>
      <c r="C209" s="497"/>
      <c r="D209" s="497"/>
      <c r="E209" s="497"/>
      <c r="F209" s="497"/>
      <c r="G209" s="497"/>
      <c r="H209" s="497"/>
      <c r="I209" s="497"/>
      <c r="J209" s="497"/>
      <c r="K209" s="497"/>
      <c r="L209" s="485"/>
      <c r="M209" s="485"/>
      <c r="N209" s="485"/>
      <c r="O209" s="485"/>
      <c r="P209" s="485"/>
      <c r="Q209" s="485"/>
      <c r="R209" s="485"/>
      <c r="S209" s="485"/>
      <c r="T209" s="485"/>
      <c r="U209" s="485"/>
      <c r="V209" s="485"/>
      <c r="W209" s="485"/>
      <c r="X209" s="485"/>
      <c r="Y209" s="485"/>
      <c r="Z209" s="485"/>
      <c r="AA209" s="485"/>
    </row>
    <row r="210">
      <c r="A210" s="486"/>
      <c r="B210" s="482"/>
      <c r="C210" s="497"/>
      <c r="D210" s="497"/>
      <c r="E210" s="497"/>
      <c r="F210" s="497"/>
      <c r="G210" s="497"/>
      <c r="H210" s="497"/>
      <c r="I210" s="497"/>
      <c r="J210" s="497"/>
      <c r="K210" s="497"/>
      <c r="L210" s="485"/>
      <c r="M210" s="485"/>
      <c r="N210" s="485"/>
      <c r="O210" s="485"/>
      <c r="P210" s="485"/>
      <c r="Q210" s="485"/>
      <c r="R210" s="485"/>
      <c r="S210" s="485"/>
      <c r="T210" s="485"/>
      <c r="U210" s="485"/>
      <c r="V210" s="485"/>
      <c r="W210" s="485"/>
      <c r="X210" s="485"/>
      <c r="Y210" s="485"/>
      <c r="Z210" s="485"/>
      <c r="AA210" s="485"/>
    </row>
    <row r="211">
      <c r="A211" s="486"/>
      <c r="B211" s="482"/>
      <c r="C211" s="497"/>
      <c r="D211" s="497"/>
      <c r="E211" s="497"/>
      <c r="F211" s="497"/>
      <c r="G211" s="497"/>
      <c r="H211" s="497"/>
      <c r="I211" s="497"/>
      <c r="J211" s="497"/>
      <c r="K211" s="497"/>
      <c r="L211" s="485"/>
      <c r="M211" s="485"/>
      <c r="N211" s="485"/>
      <c r="O211" s="485"/>
      <c r="P211" s="485"/>
      <c r="Q211" s="485"/>
      <c r="R211" s="485"/>
      <c r="S211" s="485"/>
      <c r="T211" s="485"/>
      <c r="U211" s="485"/>
      <c r="V211" s="485"/>
      <c r="W211" s="485"/>
      <c r="X211" s="485"/>
      <c r="Y211" s="485"/>
      <c r="Z211" s="485"/>
      <c r="AA211" s="485"/>
    </row>
    <row r="212">
      <c r="A212" s="486"/>
      <c r="B212" s="482"/>
      <c r="C212" s="497"/>
      <c r="D212" s="497"/>
      <c r="E212" s="497"/>
      <c r="F212" s="497"/>
      <c r="G212" s="497"/>
      <c r="H212" s="497"/>
      <c r="I212" s="497"/>
      <c r="J212" s="497"/>
      <c r="K212" s="497"/>
      <c r="L212" s="485"/>
      <c r="M212" s="485"/>
      <c r="N212" s="485"/>
      <c r="O212" s="485"/>
      <c r="P212" s="485"/>
      <c r="Q212" s="485"/>
      <c r="R212" s="485"/>
      <c r="S212" s="485"/>
      <c r="T212" s="485"/>
      <c r="U212" s="485"/>
      <c r="V212" s="485"/>
      <c r="W212" s="485"/>
      <c r="X212" s="485"/>
      <c r="Y212" s="485"/>
      <c r="Z212" s="485"/>
      <c r="AA212" s="485"/>
    </row>
    <row r="213">
      <c r="A213" s="486"/>
      <c r="B213" s="482"/>
      <c r="C213" s="497"/>
      <c r="D213" s="497"/>
      <c r="E213" s="497"/>
      <c r="F213" s="497"/>
      <c r="G213" s="497"/>
      <c r="H213" s="497"/>
      <c r="I213" s="497"/>
      <c r="J213" s="497"/>
      <c r="K213" s="497"/>
      <c r="L213" s="485"/>
      <c r="M213" s="485"/>
      <c r="N213" s="485"/>
      <c r="O213" s="485"/>
      <c r="P213" s="485"/>
      <c r="Q213" s="485"/>
      <c r="R213" s="485"/>
      <c r="S213" s="485"/>
      <c r="T213" s="485"/>
      <c r="U213" s="485"/>
      <c r="V213" s="485"/>
      <c r="W213" s="485"/>
      <c r="X213" s="485"/>
      <c r="Y213" s="485"/>
      <c r="Z213" s="485"/>
      <c r="AA213" s="485"/>
    </row>
    <row r="214">
      <c r="A214" s="486"/>
      <c r="B214" s="482"/>
      <c r="C214" s="497"/>
      <c r="D214" s="497"/>
      <c r="E214" s="497"/>
      <c r="F214" s="497"/>
      <c r="G214" s="497"/>
      <c r="H214" s="497"/>
      <c r="I214" s="497"/>
      <c r="J214" s="497"/>
      <c r="K214" s="497"/>
      <c r="L214" s="485"/>
      <c r="M214" s="485"/>
      <c r="N214" s="485"/>
      <c r="O214" s="485"/>
      <c r="P214" s="485"/>
      <c r="Q214" s="485"/>
      <c r="R214" s="485"/>
      <c r="S214" s="485"/>
      <c r="T214" s="485"/>
      <c r="U214" s="485"/>
      <c r="V214" s="485"/>
      <c r="W214" s="485"/>
      <c r="X214" s="485"/>
      <c r="Y214" s="485"/>
      <c r="Z214" s="485"/>
      <c r="AA214" s="485"/>
    </row>
    <row r="215">
      <c r="A215" s="486"/>
      <c r="B215" s="482"/>
      <c r="C215" s="497"/>
      <c r="D215" s="497"/>
      <c r="E215" s="497"/>
      <c r="F215" s="497"/>
      <c r="G215" s="497"/>
      <c r="H215" s="497"/>
      <c r="I215" s="497"/>
      <c r="J215" s="497"/>
      <c r="K215" s="497"/>
      <c r="L215" s="485"/>
      <c r="M215" s="485"/>
      <c r="N215" s="485"/>
      <c r="O215" s="485"/>
      <c r="P215" s="485"/>
      <c r="Q215" s="485"/>
      <c r="R215" s="485"/>
      <c r="S215" s="485"/>
      <c r="T215" s="485"/>
      <c r="U215" s="485"/>
      <c r="V215" s="485"/>
      <c r="W215" s="485"/>
      <c r="X215" s="485"/>
      <c r="Y215" s="485"/>
      <c r="Z215" s="485"/>
      <c r="AA215" s="485"/>
    </row>
    <row r="216">
      <c r="A216" s="486"/>
      <c r="B216" s="482"/>
      <c r="C216" s="497"/>
      <c r="D216" s="497"/>
      <c r="E216" s="497"/>
      <c r="F216" s="497"/>
      <c r="G216" s="497"/>
      <c r="H216" s="497"/>
      <c r="I216" s="497"/>
      <c r="J216" s="497"/>
      <c r="K216" s="497"/>
      <c r="L216" s="485"/>
      <c r="M216" s="485"/>
      <c r="N216" s="485"/>
      <c r="O216" s="485"/>
      <c r="P216" s="485"/>
      <c r="Q216" s="485"/>
      <c r="R216" s="485"/>
      <c r="S216" s="485"/>
      <c r="T216" s="485"/>
      <c r="U216" s="485"/>
      <c r="V216" s="485"/>
      <c r="W216" s="485"/>
      <c r="X216" s="485"/>
      <c r="Y216" s="485"/>
      <c r="Z216" s="485"/>
      <c r="AA216" s="485"/>
    </row>
    <row r="217">
      <c r="A217" s="486"/>
      <c r="B217" s="482"/>
      <c r="C217" s="497"/>
      <c r="D217" s="497"/>
      <c r="E217" s="497"/>
      <c r="F217" s="497"/>
      <c r="G217" s="497"/>
      <c r="H217" s="497"/>
      <c r="I217" s="497"/>
      <c r="J217" s="497"/>
      <c r="K217" s="497"/>
      <c r="L217" s="485"/>
      <c r="M217" s="485"/>
      <c r="N217" s="485"/>
      <c r="O217" s="485"/>
      <c r="P217" s="485"/>
      <c r="Q217" s="485"/>
      <c r="R217" s="485"/>
      <c r="S217" s="485"/>
      <c r="T217" s="485"/>
      <c r="U217" s="485"/>
      <c r="V217" s="485"/>
      <c r="W217" s="485"/>
      <c r="X217" s="485"/>
      <c r="Y217" s="485"/>
      <c r="Z217" s="485"/>
      <c r="AA217" s="485"/>
    </row>
    <row r="218">
      <c r="A218" s="486"/>
      <c r="B218" s="482"/>
      <c r="C218" s="497"/>
      <c r="D218" s="497"/>
      <c r="E218" s="497"/>
      <c r="F218" s="497"/>
      <c r="G218" s="497"/>
      <c r="H218" s="497"/>
      <c r="I218" s="497"/>
      <c r="J218" s="497"/>
      <c r="K218" s="497"/>
      <c r="L218" s="485"/>
      <c r="M218" s="485"/>
      <c r="N218" s="485"/>
      <c r="O218" s="485"/>
      <c r="P218" s="485"/>
      <c r="Q218" s="485"/>
      <c r="R218" s="485"/>
      <c r="S218" s="485"/>
      <c r="T218" s="485"/>
      <c r="U218" s="485"/>
      <c r="V218" s="485"/>
      <c r="W218" s="485"/>
      <c r="X218" s="485"/>
      <c r="Y218" s="485"/>
      <c r="Z218" s="485"/>
      <c r="AA218" s="485"/>
    </row>
    <row r="219">
      <c r="A219" s="486"/>
      <c r="B219" s="482"/>
      <c r="C219" s="497"/>
      <c r="D219" s="497"/>
      <c r="E219" s="497"/>
      <c r="F219" s="497"/>
      <c r="G219" s="497"/>
      <c r="H219" s="497"/>
      <c r="I219" s="497"/>
      <c r="J219" s="497"/>
      <c r="K219" s="497"/>
      <c r="L219" s="485"/>
      <c r="M219" s="485"/>
      <c r="N219" s="485"/>
      <c r="O219" s="485"/>
      <c r="P219" s="485"/>
      <c r="Q219" s="485"/>
      <c r="R219" s="485"/>
      <c r="S219" s="485"/>
      <c r="T219" s="485"/>
      <c r="U219" s="485"/>
      <c r="V219" s="485"/>
      <c r="W219" s="485"/>
      <c r="X219" s="485"/>
      <c r="Y219" s="485"/>
      <c r="Z219" s="485"/>
      <c r="AA219" s="485"/>
    </row>
    <row r="220">
      <c r="A220" s="486"/>
      <c r="B220" s="482"/>
      <c r="C220" s="497"/>
      <c r="D220" s="497"/>
      <c r="E220" s="497"/>
      <c r="F220" s="497"/>
      <c r="G220" s="497"/>
      <c r="H220" s="497"/>
      <c r="I220" s="497"/>
      <c r="J220" s="497"/>
      <c r="K220" s="497"/>
      <c r="L220" s="485"/>
      <c r="M220" s="485"/>
      <c r="N220" s="485"/>
      <c r="O220" s="485"/>
      <c r="P220" s="485"/>
      <c r="Q220" s="485"/>
      <c r="R220" s="485"/>
      <c r="S220" s="485"/>
      <c r="T220" s="485"/>
      <c r="U220" s="485"/>
      <c r="V220" s="485"/>
      <c r="W220" s="485"/>
      <c r="X220" s="485"/>
      <c r="Y220" s="485"/>
      <c r="Z220" s="485"/>
      <c r="AA220" s="485"/>
    </row>
    <row r="221">
      <c r="A221" s="486"/>
      <c r="B221" s="482"/>
      <c r="C221" s="497"/>
      <c r="D221" s="497"/>
      <c r="E221" s="497"/>
      <c r="F221" s="497"/>
      <c r="G221" s="497"/>
      <c r="H221" s="497"/>
      <c r="I221" s="497"/>
      <c r="J221" s="497"/>
      <c r="K221" s="497"/>
      <c r="L221" s="485"/>
      <c r="M221" s="485"/>
      <c r="N221" s="485"/>
      <c r="O221" s="485"/>
      <c r="P221" s="485"/>
      <c r="Q221" s="485"/>
      <c r="R221" s="485"/>
      <c r="S221" s="485"/>
      <c r="T221" s="485"/>
      <c r="U221" s="485"/>
      <c r="V221" s="485"/>
      <c r="W221" s="485"/>
      <c r="X221" s="485"/>
      <c r="Y221" s="485"/>
      <c r="Z221" s="485"/>
      <c r="AA221" s="485"/>
    </row>
    <row r="222">
      <c r="A222" s="486"/>
      <c r="B222" s="482"/>
      <c r="C222" s="497"/>
      <c r="D222" s="497"/>
      <c r="E222" s="497"/>
      <c r="F222" s="497"/>
      <c r="G222" s="497"/>
      <c r="H222" s="497"/>
      <c r="I222" s="497"/>
      <c r="J222" s="497"/>
      <c r="K222" s="497"/>
      <c r="L222" s="485"/>
      <c r="M222" s="485"/>
      <c r="N222" s="485"/>
      <c r="O222" s="485"/>
      <c r="P222" s="485"/>
      <c r="Q222" s="485"/>
      <c r="R222" s="485"/>
      <c r="S222" s="485"/>
      <c r="T222" s="485"/>
      <c r="U222" s="485"/>
      <c r="V222" s="485"/>
      <c r="W222" s="485"/>
      <c r="X222" s="485"/>
      <c r="Y222" s="485"/>
      <c r="Z222" s="485"/>
      <c r="AA222" s="485"/>
    </row>
    <row r="223">
      <c r="A223" s="486"/>
      <c r="B223" s="482"/>
      <c r="C223" s="497"/>
      <c r="D223" s="497"/>
      <c r="E223" s="497"/>
      <c r="F223" s="497"/>
      <c r="G223" s="497"/>
      <c r="H223" s="497"/>
      <c r="I223" s="497"/>
      <c r="J223" s="497"/>
      <c r="K223" s="497"/>
      <c r="L223" s="485"/>
      <c r="M223" s="485"/>
      <c r="N223" s="485"/>
      <c r="O223" s="485"/>
      <c r="P223" s="485"/>
      <c r="Q223" s="485"/>
      <c r="R223" s="485"/>
      <c r="S223" s="485"/>
      <c r="T223" s="485"/>
      <c r="U223" s="485"/>
      <c r="V223" s="485"/>
      <c r="W223" s="485"/>
      <c r="X223" s="485"/>
      <c r="Y223" s="485"/>
      <c r="Z223" s="485"/>
      <c r="AA223" s="485"/>
    </row>
    <row r="224">
      <c r="A224" s="486"/>
      <c r="B224" s="482"/>
      <c r="C224" s="497"/>
      <c r="D224" s="497"/>
      <c r="E224" s="497"/>
      <c r="F224" s="497"/>
      <c r="G224" s="497"/>
      <c r="H224" s="497"/>
      <c r="I224" s="497"/>
      <c r="J224" s="497"/>
      <c r="K224" s="497"/>
      <c r="L224" s="485"/>
      <c r="M224" s="485"/>
      <c r="N224" s="485"/>
      <c r="O224" s="485"/>
      <c r="P224" s="485"/>
      <c r="Q224" s="485"/>
      <c r="R224" s="485"/>
      <c r="S224" s="485"/>
      <c r="T224" s="485"/>
      <c r="U224" s="485"/>
      <c r="V224" s="485"/>
      <c r="W224" s="485"/>
      <c r="X224" s="485"/>
      <c r="Y224" s="485"/>
      <c r="Z224" s="485"/>
      <c r="AA224" s="485"/>
    </row>
    <row r="225">
      <c r="A225" s="486"/>
      <c r="B225" s="482"/>
      <c r="C225" s="497"/>
      <c r="D225" s="497"/>
      <c r="E225" s="497"/>
      <c r="F225" s="497"/>
      <c r="G225" s="497"/>
      <c r="H225" s="497"/>
      <c r="I225" s="497"/>
      <c r="J225" s="497"/>
      <c r="K225" s="497"/>
      <c r="L225" s="485"/>
      <c r="M225" s="485"/>
      <c r="N225" s="485"/>
      <c r="O225" s="485"/>
      <c r="P225" s="485"/>
      <c r="Q225" s="485"/>
      <c r="R225" s="485"/>
      <c r="S225" s="485"/>
      <c r="T225" s="485"/>
      <c r="U225" s="485"/>
      <c r="V225" s="485"/>
      <c r="W225" s="485"/>
      <c r="X225" s="485"/>
      <c r="Y225" s="485"/>
      <c r="Z225" s="485"/>
      <c r="AA225" s="485"/>
    </row>
    <row r="226">
      <c r="A226" s="486"/>
      <c r="B226" s="482"/>
      <c r="C226" s="497"/>
      <c r="D226" s="497"/>
      <c r="E226" s="497"/>
      <c r="F226" s="497"/>
      <c r="G226" s="497"/>
      <c r="H226" s="497"/>
      <c r="I226" s="497"/>
      <c r="J226" s="497"/>
      <c r="K226" s="497"/>
      <c r="L226" s="485"/>
      <c r="M226" s="485"/>
      <c r="N226" s="485"/>
      <c r="O226" s="485"/>
      <c r="P226" s="485"/>
      <c r="Q226" s="485"/>
      <c r="R226" s="485"/>
      <c r="S226" s="485"/>
      <c r="T226" s="485"/>
      <c r="U226" s="485"/>
      <c r="V226" s="485"/>
      <c r="W226" s="485"/>
      <c r="X226" s="485"/>
      <c r="Y226" s="485"/>
      <c r="Z226" s="485"/>
      <c r="AA226" s="485"/>
    </row>
    <row r="227">
      <c r="A227" s="486"/>
      <c r="B227" s="482"/>
      <c r="C227" s="497"/>
      <c r="D227" s="497"/>
      <c r="E227" s="497"/>
      <c r="F227" s="497"/>
      <c r="G227" s="497"/>
      <c r="H227" s="497"/>
      <c r="I227" s="497"/>
      <c r="J227" s="497"/>
      <c r="K227" s="497"/>
      <c r="L227" s="485"/>
      <c r="M227" s="485"/>
      <c r="N227" s="485"/>
      <c r="O227" s="485"/>
      <c r="P227" s="485"/>
      <c r="Q227" s="485"/>
      <c r="R227" s="485"/>
      <c r="S227" s="485"/>
      <c r="T227" s="485"/>
      <c r="U227" s="485"/>
      <c r="V227" s="485"/>
      <c r="W227" s="485"/>
      <c r="X227" s="485"/>
      <c r="Y227" s="485"/>
      <c r="Z227" s="485"/>
      <c r="AA227" s="485"/>
    </row>
    <row r="228">
      <c r="A228" s="486"/>
      <c r="B228" s="482"/>
      <c r="C228" s="497"/>
      <c r="D228" s="497"/>
      <c r="E228" s="497"/>
      <c r="F228" s="497"/>
      <c r="G228" s="497"/>
      <c r="H228" s="497"/>
      <c r="I228" s="497"/>
      <c r="J228" s="497"/>
      <c r="K228" s="497"/>
      <c r="L228" s="485"/>
      <c r="M228" s="485"/>
      <c r="N228" s="485"/>
      <c r="O228" s="485"/>
      <c r="P228" s="485"/>
      <c r="Q228" s="485"/>
      <c r="R228" s="485"/>
      <c r="S228" s="485"/>
      <c r="T228" s="485"/>
      <c r="U228" s="485"/>
      <c r="V228" s="485"/>
      <c r="W228" s="485"/>
      <c r="X228" s="485"/>
      <c r="Y228" s="485"/>
      <c r="Z228" s="485"/>
      <c r="AA228" s="485"/>
    </row>
    <row r="229">
      <c r="A229" s="486"/>
      <c r="B229" s="482"/>
      <c r="C229" s="497"/>
      <c r="D229" s="497"/>
      <c r="E229" s="497"/>
      <c r="F229" s="497"/>
      <c r="G229" s="497"/>
      <c r="H229" s="497"/>
      <c r="I229" s="497"/>
      <c r="J229" s="497"/>
      <c r="K229" s="497"/>
      <c r="L229" s="485"/>
      <c r="M229" s="485"/>
      <c r="N229" s="485"/>
      <c r="O229" s="485"/>
      <c r="P229" s="485"/>
      <c r="Q229" s="485"/>
      <c r="R229" s="485"/>
      <c r="S229" s="485"/>
      <c r="T229" s="485"/>
      <c r="U229" s="485"/>
      <c r="V229" s="485"/>
      <c r="W229" s="485"/>
      <c r="X229" s="485"/>
      <c r="Y229" s="485"/>
      <c r="Z229" s="485"/>
      <c r="AA229" s="485"/>
    </row>
    <row r="230">
      <c r="A230" s="486"/>
      <c r="B230" s="482"/>
      <c r="C230" s="497"/>
      <c r="D230" s="497"/>
      <c r="E230" s="497"/>
      <c r="F230" s="497"/>
      <c r="G230" s="497"/>
      <c r="H230" s="497"/>
      <c r="I230" s="497"/>
      <c r="J230" s="497"/>
      <c r="K230" s="497"/>
      <c r="L230" s="485"/>
      <c r="M230" s="485"/>
      <c r="N230" s="485"/>
      <c r="O230" s="485"/>
      <c r="P230" s="485"/>
      <c r="Q230" s="485"/>
      <c r="R230" s="485"/>
      <c r="S230" s="485"/>
      <c r="T230" s="485"/>
      <c r="U230" s="485"/>
      <c r="V230" s="485"/>
      <c r="W230" s="485"/>
      <c r="X230" s="485"/>
      <c r="Y230" s="485"/>
      <c r="Z230" s="485"/>
      <c r="AA230" s="485"/>
    </row>
    <row r="231">
      <c r="A231" s="486"/>
      <c r="B231" s="482"/>
      <c r="C231" s="497"/>
      <c r="D231" s="497"/>
      <c r="E231" s="497"/>
      <c r="F231" s="497"/>
      <c r="G231" s="497"/>
      <c r="H231" s="497"/>
      <c r="I231" s="497"/>
      <c r="J231" s="497"/>
      <c r="K231" s="497"/>
      <c r="L231" s="485"/>
      <c r="M231" s="485"/>
      <c r="N231" s="485"/>
      <c r="O231" s="485"/>
      <c r="P231" s="485"/>
      <c r="Q231" s="485"/>
      <c r="R231" s="485"/>
      <c r="S231" s="485"/>
      <c r="T231" s="485"/>
      <c r="U231" s="485"/>
      <c r="V231" s="485"/>
      <c r="W231" s="485"/>
      <c r="X231" s="485"/>
      <c r="Y231" s="485"/>
      <c r="Z231" s="485"/>
      <c r="AA231" s="485"/>
    </row>
    <row r="232">
      <c r="A232" s="486"/>
      <c r="B232" s="482"/>
      <c r="C232" s="497"/>
      <c r="D232" s="497"/>
      <c r="E232" s="497"/>
      <c r="F232" s="497"/>
      <c r="G232" s="497"/>
      <c r="H232" s="497"/>
      <c r="I232" s="497"/>
      <c r="J232" s="497"/>
      <c r="K232" s="497"/>
      <c r="L232" s="485"/>
      <c r="M232" s="485"/>
      <c r="N232" s="485"/>
      <c r="O232" s="485"/>
      <c r="P232" s="485"/>
      <c r="Q232" s="485"/>
      <c r="R232" s="485"/>
      <c r="S232" s="485"/>
      <c r="T232" s="485"/>
      <c r="U232" s="485"/>
      <c r="V232" s="485"/>
      <c r="W232" s="485"/>
      <c r="X232" s="485"/>
      <c r="Y232" s="485"/>
      <c r="Z232" s="485"/>
      <c r="AA232" s="485"/>
    </row>
    <row r="233">
      <c r="A233" s="486"/>
      <c r="B233" s="482"/>
      <c r="C233" s="497"/>
      <c r="D233" s="497"/>
      <c r="E233" s="497"/>
      <c r="F233" s="497"/>
      <c r="G233" s="497"/>
      <c r="H233" s="497"/>
      <c r="I233" s="497"/>
      <c r="J233" s="497"/>
      <c r="K233" s="497"/>
      <c r="L233" s="485"/>
      <c r="M233" s="485"/>
      <c r="N233" s="485"/>
      <c r="O233" s="485"/>
      <c r="P233" s="485"/>
      <c r="Q233" s="485"/>
      <c r="R233" s="485"/>
      <c r="S233" s="485"/>
      <c r="T233" s="485"/>
      <c r="U233" s="485"/>
      <c r="V233" s="485"/>
      <c r="W233" s="485"/>
      <c r="X233" s="485"/>
      <c r="Y233" s="485"/>
      <c r="Z233" s="485"/>
      <c r="AA233" s="485"/>
    </row>
    <row r="234">
      <c r="A234" s="486"/>
      <c r="B234" s="482"/>
      <c r="C234" s="497"/>
      <c r="D234" s="497"/>
      <c r="E234" s="497"/>
      <c r="F234" s="497"/>
      <c r="G234" s="497"/>
      <c r="H234" s="497"/>
      <c r="I234" s="497"/>
      <c r="J234" s="497"/>
      <c r="K234" s="497"/>
      <c r="L234" s="485"/>
      <c r="M234" s="485"/>
      <c r="N234" s="485"/>
      <c r="O234" s="485"/>
      <c r="P234" s="485"/>
      <c r="Q234" s="485"/>
      <c r="R234" s="485"/>
      <c r="S234" s="485"/>
      <c r="T234" s="485"/>
      <c r="U234" s="485"/>
      <c r="V234" s="485"/>
      <c r="W234" s="485"/>
      <c r="X234" s="485"/>
      <c r="Y234" s="485"/>
      <c r="Z234" s="485"/>
      <c r="AA234" s="485"/>
    </row>
    <row r="235">
      <c r="A235" s="486"/>
      <c r="B235" s="482"/>
      <c r="C235" s="497"/>
      <c r="D235" s="497"/>
      <c r="E235" s="497"/>
      <c r="F235" s="497"/>
      <c r="G235" s="497"/>
      <c r="H235" s="497"/>
      <c r="I235" s="497"/>
      <c r="J235" s="497"/>
      <c r="K235" s="497"/>
      <c r="L235" s="485"/>
      <c r="M235" s="485"/>
      <c r="N235" s="485"/>
      <c r="O235" s="485"/>
      <c r="P235" s="485"/>
      <c r="Q235" s="485"/>
      <c r="R235" s="485"/>
      <c r="S235" s="485"/>
      <c r="T235" s="485"/>
      <c r="U235" s="485"/>
      <c r="V235" s="485"/>
      <c r="W235" s="485"/>
      <c r="X235" s="485"/>
      <c r="Y235" s="485"/>
      <c r="Z235" s="485"/>
      <c r="AA235" s="485"/>
    </row>
    <row r="236">
      <c r="A236" s="486"/>
      <c r="B236" s="482"/>
      <c r="C236" s="497"/>
      <c r="D236" s="497"/>
      <c r="E236" s="497"/>
      <c r="F236" s="497"/>
      <c r="G236" s="497"/>
      <c r="H236" s="497"/>
      <c r="I236" s="497"/>
      <c r="J236" s="497"/>
      <c r="K236" s="497"/>
      <c r="L236" s="485"/>
      <c r="M236" s="485"/>
      <c r="N236" s="485"/>
      <c r="O236" s="485"/>
      <c r="P236" s="485"/>
      <c r="Q236" s="485"/>
      <c r="R236" s="485"/>
      <c r="S236" s="485"/>
      <c r="T236" s="485"/>
      <c r="U236" s="485"/>
      <c r="V236" s="485"/>
      <c r="W236" s="485"/>
      <c r="X236" s="485"/>
      <c r="Y236" s="485"/>
      <c r="Z236" s="485"/>
      <c r="AA236" s="485"/>
    </row>
    <row r="237">
      <c r="A237" s="486"/>
      <c r="B237" s="482"/>
      <c r="C237" s="497"/>
      <c r="D237" s="497"/>
      <c r="E237" s="497"/>
      <c r="F237" s="497"/>
      <c r="G237" s="497"/>
      <c r="H237" s="497"/>
      <c r="I237" s="497"/>
      <c r="J237" s="497"/>
      <c r="K237" s="497"/>
      <c r="L237" s="485"/>
      <c r="M237" s="485"/>
      <c r="N237" s="485"/>
      <c r="O237" s="485"/>
      <c r="P237" s="485"/>
      <c r="Q237" s="485"/>
      <c r="R237" s="485"/>
      <c r="S237" s="485"/>
      <c r="T237" s="485"/>
      <c r="U237" s="485"/>
      <c r="V237" s="485"/>
      <c r="W237" s="485"/>
      <c r="X237" s="485"/>
      <c r="Y237" s="485"/>
      <c r="Z237" s="485"/>
      <c r="AA237" s="485"/>
    </row>
    <row r="238">
      <c r="A238" s="486"/>
      <c r="B238" s="482"/>
      <c r="C238" s="497"/>
      <c r="D238" s="497"/>
      <c r="E238" s="497"/>
      <c r="F238" s="497"/>
      <c r="G238" s="497"/>
      <c r="H238" s="497"/>
      <c r="I238" s="497"/>
      <c r="J238" s="497"/>
      <c r="K238" s="497"/>
      <c r="L238" s="485"/>
      <c r="M238" s="485"/>
      <c r="N238" s="485"/>
      <c r="O238" s="485"/>
      <c r="P238" s="485"/>
      <c r="Q238" s="485"/>
      <c r="R238" s="485"/>
      <c r="S238" s="485"/>
      <c r="T238" s="485"/>
      <c r="U238" s="485"/>
      <c r="V238" s="485"/>
      <c r="W238" s="485"/>
      <c r="X238" s="485"/>
      <c r="Y238" s="485"/>
      <c r="Z238" s="485"/>
      <c r="AA238" s="485"/>
    </row>
    <row r="239">
      <c r="A239" s="486"/>
      <c r="B239" s="482"/>
      <c r="C239" s="497"/>
      <c r="D239" s="497"/>
      <c r="E239" s="497"/>
      <c r="F239" s="497"/>
      <c r="G239" s="497"/>
      <c r="H239" s="497"/>
      <c r="I239" s="497"/>
      <c r="J239" s="497"/>
      <c r="K239" s="497"/>
      <c r="L239" s="485"/>
      <c r="M239" s="485"/>
      <c r="N239" s="485"/>
      <c r="O239" s="485"/>
      <c r="P239" s="485"/>
      <c r="Q239" s="485"/>
      <c r="R239" s="485"/>
      <c r="S239" s="485"/>
      <c r="T239" s="485"/>
      <c r="U239" s="485"/>
      <c r="V239" s="485"/>
      <c r="W239" s="485"/>
      <c r="X239" s="485"/>
      <c r="Y239" s="485"/>
      <c r="Z239" s="485"/>
      <c r="AA239" s="485"/>
    </row>
    <row r="240">
      <c r="A240" s="486"/>
      <c r="B240" s="482"/>
      <c r="C240" s="497"/>
      <c r="D240" s="497"/>
      <c r="E240" s="497"/>
      <c r="F240" s="497"/>
      <c r="G240" s="497"/>
      <c r="H240" s="497"/>
      <c r="I240" s="497"/>
      <c r="J240" s="497"/>
      <c r="K240" s="497"/>
      <c r="L240" s="485"/>
      <c r="M240" s="485"/>
      <c r="N240" s="485"/>
      <c r="O240" s="485"/>
      <c r="P240" s="485"/>
      <c r="Q240" s="485"/>
      <c r="R240" s="485"/>
      <c r="S240" s="485"/>
      <c r="T240" s="485"/>
      <c r="U240" s="485"/>
      <c r="V240" s="485"/>
      <c r="W240" s="485"/>
      <c r="X240" s="485"/>
      <c r="Y240" s="485"/>
      <c r="Z240" s="485"/>
      <c r="AA240" s="485"/>
    </row>
    <row r="241">
      <c r="A241" s="486"/>
      <c r="B241" s="482"/>
      <c r="C241" s="497"/>
      <c r="D241" s="497"/>
      <c r="E241" s="497"/>
      <c r="F241" s="497"/>
      <c r="G241" s="497"/>
      <c r="H241" s="497"/>
      <c r="I241" s="497"/>
      <c r="J241" s="497"/>
      <c r="K241" s="497"/>
      <c r="L241" s="485"/>
      <c r="M241" s="485"/>
      <c r="N241" s="485"/>
      <c r="O241" s="485"/>
      <c r="P241" s="485"/>
      <c r="Q241" s="485"/>
      <c r="R241" s="485"/>
      <c r="S241" s="485"/>
      <c r="T241" s="485"/>
      <c r="U241" s="485"/>
      <c r="V241" s="485"/>
      <c r="W241" s="485"/>
      <c r="X241" s="485"/>
      <c r="Y241" s="485"/>
      <c r="Z241" s="485"/>
      <c r="AA241" s="485"/>
    </row>
    <row r="242">
      <c r="A242" s="486"/>
      <c r="B242" s="482"/>
      <c r="C242" s="497"/>
      <c r="D242" s="497"/>
      <c r="E242" s="497"/>
      <c r="F242" s="497"/>
      <c r="G242" s="497"/>
      <c r="H242" s="497"/>
      <c r="I242" s="497"/>
      <c r="J242" s="497"/>
      <c r="K242" s="497"/>
      <c r="L242" s="485"/>
      <c r="M242" s="485"/>
      <c r="N242" s="485"/>
      <c r="O242" s="485"/>
      <c r="P242" s="485"/>
      <c r="Q242" s="485"/>
      <c r="R242" s="485"/>
      <c r="S242" s="485"/>
      <c r="T242" s="485"/>
      <c r="U242" s="485"/>
      <c r="V242" s="485"/>
      <c r="W242" s="485"/>
      <c r="X242" s="485"/>
      <c r="Y242" s="485"/>
      <c r="Z242" s="485"/>
      <c r="AA242" s="485"/>
    </row>
    <row r="243">
      <c r="A243" s="486"/>
      <c r="B243" s="482"/>
      <c r="C243" s="497"/>
      <c r="D243" s="497"/>
      <c r="E243" s="497"/>
      <c r="F243" s="497"/>
      <c r="G243" s="497"/>
      <c r="H243" s="497"/>
      <c r="I243" s="497"/>
      <c r="J243" s="497"/>
      <c r="K243" s="497"/>
      <c r="L243" s="485"/>
      <c r="M243" s="485"/>
      <c r="N243" s="485"/>
      <c r="O243" s="485"/>
      <c r="P243" s="485"/>
      <c r="Q243" s="485"/>
      <c r="R243" s="485"/>
      <c r="S243" s="485"/>
      <c r="T243" s="485"/>
      <c r="U243" s="485"/>
      <c r="V243" s="485"/>
      <c r="W243" s="485"/>
      <c r="X243" s="485"/>
      <c r="Y243" s="485"/>
      <c r="Z243" s="485"/>
      <c r="AA243" s="485"/>
    </row>
    <row r="244">
      <c r="A244" s="486"/>
      <c r="B244" s="482"/>
      <c r="C244" s="497"/>
      <c r="D244" s="497"/>
      <c r="E244" s="497"/>
      <c r="F244" s="497"/>
      <c r="G244" s="497"/>
      <c r="H244" s="497"/>
      <c r="I244" s="497"/>
      <c r="J244" s="497"/>
      <c r="K244" s="497"/>
      <c r="L244" s="485"/>
      <c r="M244" s="485"/>
      <c r="N244" s="485"/>
      <c r="O244" s="485"/>
      <c r="P244" s="485"/>
      <c r="Q244" s="485"/>
      <c r="R244" s="485"/>
      <c r="S244" s="485"/>
      <c r="T244" s="485"/>
      <c r="U244" s="485"/>
      <c r="V244" s="485"/>
      <c r="W244" s="485"/>
      <c r="X244" s="485"/>
      <c r="Y244" s="485"/>
      <c r="Z244" s="485"/>
      <c r="AA244" s="485"/>
    </row>
    <row r="245">
      <c r="A245" s="486"/>
      <c r="B245" s="482"/>
      <c r="C245" s="497"/>
      <c r="D245" s="497"/>
      <c r="E245" s="497"/>
      <c r="F245" s="497"/>
      <c r="G245" s="497"/>
      <c r="H245" s="497"/>
      <c r="I245" s="497"/>
      <c r="J245" s="497"/>
      <c r="K245" s="497"/>
      <c r="L245" s="485"/>
      <c r="M245" s="485"/>
      <c r="N245" s="485"/>
      <c r="O245" s="485"/>
      <c r="P245" s="485"/>
      <c r="Q245" s="485"/>
      <c r="R245" s="485"/>
      <c r="S245" s="485"/>
      <c r="T245" s="485"/>
      <c r="U245" s="485"/>
      <c r="V245" s="485"/>
      <c r="W245" s="485"/>
      <c r="X245" s="485"/>
      <c r="Y245" s="485"/>
      <c r="Z245" s="485"/>
      <c r="AA245" s="485"/>
    </row>
    <row r="246">
      <c r="A246" s="486"/>
      <c r="B246" s="482"/>
      <c r="C246" s="497"/>
      <c r="D246" s="497"/>
      <c r="E246" s="497"/>
      <c r="F246" s="497"/>
      <c r="G246" s="497"/>
      <c r="H246" s="497"/>
      <c r="I246" s="497"/>
      <c r="J246" s="497"/>
      <c r="K246" s="497"/>
      <c r="L246" s="485"/>
      <c r="M246" s="485"/>
      <c r="N246" s="485"/>
      <c r="O246" s="485"/>
      <c r="P246" s="485"/>
      <c r="Q246" s="485"/>
      <c r="R246" s="485"/>
      <c r="S246" s="485"/>
      <c r="T246" s="485"/>
      <c r="U246" s="485"/>
      <c r="V246" s="485"/>
      <c r="W246" s="485"/>
      <c r="X246" s="485"/>
      <c r="Y246" s="485"/>
      <c r="Z246" s="485"/>
      <c r="AA246" s="485"/>
    </row>
    <row r="247">
      <c r="A247" s="486"/>
      <c r="B247" s="482"/>
      <c r="C247" s="497"/>
      <c r="D247" s="497"/>
      <c r="E247" s="497"/>
      <c r="F247" s="497"/>
      <c r="G247" s="497"/>
      <c r="H247" s="497"/>
      <c r="I247" s="497"/>
      <c r="J247" s="497"/>
      <c r="K247" s="497"/>
      <c r="L247" s="485"/>
      <c r="M247" s="485"/>
      <c r="N247" s="485"/>
      <c r="O247" s="485"/>
      <c r="P247" s="485"/>
      <c r="Q247" s="485"/>
      <c r="R247" s="485"/>
      <c r="S247" s="485"/>
      <c r="T247" s="485"/>
      <c r="U247" s="485"/>
      <c r="V247" s="485"/>
      <c r="W247" s="485"/>
      <c r="X247" s="485"/>
      <c r="Y247" s="485"/>
      <c r="Z247" s="485"/>
      <c r="AA247" s="485"/>
    </row>
    <row r="248">
      <c r="A248" s="486"/>
      <c r="B248" s="482"/>
      <c r="C248" s="497"/>
      <c r="D248" s="497"/>
      <c r="E248" s="497"/>
      <c r="F248" s="497"/>
      <c r="G248" s="497"/>
      <c r="H248" s="497"/>
      <c r="I248" s="497"/>
      <c r="J248" s="497"/>
      <c r="K248" s="497"/>
      <c r="L248" s="485"/>
      <c r="M248" s="485"/>
      <c r="N248" s="485"/>
      <c r="O248" s="485"/>
      <c r="P248" s="485"/>
      <c r="Q248" s="485"/>
      <c r="R248" s="485"/>
      <c r="S248" s="485"/>
      <c r="T248" s="485"/>
      <c r="U248" s="485"/>
      <c r="V248" s="485"/>
      <c r="W248" s="485"/>
      <c r="X248" s="485"/>
      <c r="Y248" s="485"/>
      <c r="Z248" s="485"/>
      <c r="AA248" s="485"/>
    </row>
    <row r="249">
      <c r="A249" s="486"/>
      <c r="B249" s="482"/>
      <c r="C249" s="497"/>
      <c r="D249" s="497"/>
      <c r="E249" s="497"/>
      <c r="F249" s="497"/>
      <c r="G249" s="497"/>
      <c r="H249" s="497"/>
      <c r="I249" s="497"/>
      <c r="J249" s="497"/>
      <c r="K249" s="497"/>
      <c r="L249" s="485"/>
      <c r="M249" s="485"/>
      <c r="N249" s="485"/>
      <c r="O249" s="485"/>
      <c r="P249" s="485"/>
      <c r="Q249" s="485"/>
      <c r="R249" s="485"/>
      <c r="S249" s="485"/>
      <c r="T249" s="485"/>
      <c r="U249" s="485"/>
      <c r="V249" s="485"/>
      <c r="W249" s="485"/>
      <c r="X249" s="485"/>
      <c r="Y249" s="485"/>
      <c r="Z249" s="485"/>
      <c r="AA249" s="485"/>
    </row>
    <row r="250">
      <c r="A250" s="486"/>
      <c r="B250" s="482"/>
      <c r="C250" s="497"/>
      <c r="D250" s="497"/>
      <c r="E250" s="497"/>
      <c r="F250" s="497"/>
      <c r="G250" s="497"/>
      <c r="H250" s="497"/>
      <c r="I250" s="497"/>
      <c r="J250" s="497"/>
      <c r="K250" s="497"/>
      <c r="L250" s="485"/>
      <c r="M250" s="485"/>
      <c r="N250" s="485"/>
      <c r="O250" s="485"/>
      <c r="P250" s="485"/>
      <c r="Q250" s="485"/>
      <c r="R250" s="485"/>
      <c r="S250" s="485"/>
      <c r="T250" s="485"/>
      <c r="U250" s="485"/>
      <c r="V250" s="485"/>
      <c r="W250" s="485"/>
      <c r="X250" s="485"/>
      <c r="Y250" s="485"/>
      <c r="Z250" s="485"/>
      <c r="AA250" s="485"/>
    </row>
    <row r="251">
      <c r="A251" s="486"/>
      <c r="B251" s="482"/>
      <c r="C251" s="497"/>
      <c r="D251" s="497"/>
      <c r="E251" s="497"/>
      <c r="F251" s="497"/>
      <c r="G251" s="497"/>
      <c r="H251" s="497"/>
      <c r="I251" s="497"/>
      <c r="J251" s="497"/>
      <c r="K251" s="497"/>
      <c r="L251" s="485"/>
      <c r="M251" s="485"/>
      <c r="N251" s="485"/>
      <c r="O251" s="485"/>
      <c r="P251" s="485"/>
      <c r="Q251" s="485"/>
      <c r="R251" s="485"/>
      <c r="S251" s="485"/>
      <c r="T251" s="485"/>
      <c r="U251" s="485"/>
      <c r="V251" s="485"/>
      <c r="W251" s="485"/>
      <c r="X251" s="485"/>
      <c r="Y251" s="485"/>
      <c r="Z251" s="485"/>
      <c r="AA251" s="485"/>
    </row>
    <row r="252">
      <c r="A252" s="486"/>
      <c r="B252" s="482"/>
      <c r="C252" s="497"/>
      <c r="D252" s="497"/>
      <c r="E252" s="497"/>
      <c r="F252" s="497"/>
      <c r="G252" s="497"/>
      <c r="H252" s="497"/>
      <c r="I252" s="497"/>
      <c r="J252" s="497"/>
      <c r="K252" s="497"/>
      <c r="L252" s="485"/>
      <c r="M252" s="485"/>
      <c r="N252" s="485"/>
      <c r="O252" s="485"/>
      <c r="P252" s="485"/>
      <c r="Q252" s="485"/>
      <c r="R252" s="485"/>
      <c r="S252" s="485"/>
      <c r="T252" s="485"/>
      <c r="U252" s="485"/>
      <c r="V252" s="485"/>
      <c r="W252" s="485"/>
      <c r="X252" s="485"/>
      <c r="Y252" s="485"/>
      <c r="Z252" s="485"/>
      <c r="AA252" s="485"/>
    </row>
    <row r="253">
      <c r="A253" s="486"/>
      <c r="B253" s="482"/>
      <c r="C253" s="497"/>
      <c r="D253" s="497"/>
      <c r="E253" s="497"/>
      <c r="F253" s="497"/>
      <c r="G253" s="497"/>
      <c r="H253" s="497"/>
      <c r="I253" s="497"/>
      <c r="J253" s="497"/>
      <c r="K253" s="497"/>
      <c r="L253" s="485"/>
      <c r="M253" s="485"/>
      <c r="N253" s="485"/>
      <c r="O253" s="485"/>
      <c r="P253" s="485"/>
      <c r="Q253" s="485"/>
      <c r="R253" s="485"/>
      <c r="S253" s="485"/>
      <c r="T253" s="485"/>
      <c r="U253" s="485"/>
      <c r="V253" s="485"/>
      <c r="W253" s="485"/>
      <c r="X253" s="485"/>
      <c r="Y253" s="485"/>
      <c r="Z253" s="485"/>
      <c r="AA253" s="485"/>
    </row>
    <row r="254">
      <c r="A254" s="486"/>
      <c r="B254" s="482"/>
      <c r="C254" s="497"/>
      <c r="D254" s="497"/>
      <c r="E254" s="497"/>
      <c r="F254" s="497"/>
      <c r="G254" s="497"/>
      <c r="H254" s="497"/>
      <c r="I254" s="497"/>
      <c r="J254" s="497"/>
      <c r="K254" s="497"/>
      <c r="L254" s="485"/>
      <c r="M254" s="485"/>
      <c r="N254" s="485"/>
      <c r="O254" s="485"/>
      <c r="P254" s="485"/>
      <c r="Q254" s="485"/>
      <c r="R254" s="485"/>
      <c r="S254" s="485"/>
      <c r="T254" s="485"/>
      <c r="U254" s="485"/>
      <c r="V254" s="485"/>
      <c r="W254" s="485"/>
      <c r="X254" s="485"/>
      <c r="Y254" s="485"/>
      <c r="Z254" s="485"/>
      <c r="AA254" s="485"/>
    </row>
    <row r="255">
      <c r="A255" s="486"/>
      <c r="B255" s="482"/>
      <c r="C255" s="497"/>
      <c r="D255" s="497"/>
      <c r="E255" s="497"/>
      <c r="F255" s="497"/>
      <c r="G255" s="497"/>
      <c r="H255" s="497"/>
      <c r="I255" s="497"/>
      <c r="J255" s="497"/>
      <c r="K255" s="497"/>
      <c r="L255" s="485"/>
      <c r="M255" s="485"/>
      <c r="N255" s="485"/>
      <c r="O255" s="485"/>
      <c r="P255" s="485"/>
      <c r="Q255" s="485"/>
      <c r="R255" s="485"/>
      <c r="S255" s="485"/>
      <c r="T255" s="485"/>
      <c r="U255" s="485"/>
      <c r="V255" s="485"/>
      <c r="W255" s="485"/>
      <c r="X255" s="485"/>
      <c r="Y255" s="485"/>
      <c r="Z255" s="485"/>
      <c r="AA255" s="485"/>
    </row>
    <row r="256">
      <c r="A256" s="486"/>
      <c r="B256" s="482"/>
      <c r="C256" s="497"/>
      <c r="D256" s="497"/>
      <c r="E256" s="497"/>
      <c r="F256" s="497"/>
      <c r="G256" s="497"/>
      <c r="H256" s="497"/>
      <c r="I256" s="497"/>
      <c r="J256" s="497"/>
      <c r="K256" s="497"/>
      <c r="L256" s="485"/>
      <c r="M256" s="485"/>
      <c r="N256" s="485"/>
      <c r="O256" s="485"/>
      <c r="P256" s="485"/>
      <c r="Q256" s="485"/>
      <c r="R256" s="485"/>
      <c r="S256" s="485"/>
      <c r="T256" s="485"/>
      <c r="U256" s="485"/>
      <c r="V256" s="485"/>
      <c r="W256" s="485"/>
      <c r="X256" s="485"/>
      <c r="Y256" s="485"/>
      <c r="Z256" s="485"/>
      <c r="AA256" s="485"/>
    </row>
    <row r="257">
      <c r="A257" s="486"/>
      <c r="B257" s="482"/>
      <c r="C257" s="497"/>
      <c r="D257" s="497"/>
      <c r="E257" s="497"/>
      <c r="F257" s="497"/>
      <c r="G257" s="497"/>
      <c r="H257" s="497"/>
      <c r="I257" s="497"/>
      <c r="J257" s="497"/>
      <c r="K257" s="497"/>
      <c r="L257" s="485"/>
      <c r="M257" s="485"/>
      <c r="N257" s="485"/>
      <c r="O257" s="485"/>
      <c r="P257" s="485"/>
      <c r="Q257" s="485"/>
      <c r="R257" s="485"/>
      <c r="S257" s="485"/>
      <c r="T257" s="485"/>
      <c r="U257" s="485"/>
      <c r="V257" s="485"/>
      <c r="W257" s="485"/>
      <c r="X257" s="485"/>
      <c r="Y257" s="485"/>
      <c r="Z257" s="485"/>
      <c r="AA257" s="485"/>
    </row>
    <row r="258">
      <c r="A258" s="486"/>
      <c r="B258" s="482"/>
      <c r="C258" s="497"/>
      <c r="D258" s="497"/>
      <c r="E258" s="497"/>
      <c r="F258" s="497"/>
      <c r="G258" s="497"/>
      <c r="H258" s="497"/>
      <c r="I258" s="497"/>
      <c r="J258" s="497"/>
      <c r="K258" s="497"/>
      <c r="L258" s="485"/>
      <c r="M258" s="485"/>
      <c r="N258" s="485"/>
      <c r="O258" s="485"/>
      <c r="P258" s="485"/>
      <c r="Q258" s="485"/>
      <c r="R258" s="485"/>
      <c r="S258" s="485"/>
      <c r="T258" s="485"/>
      <c r="U258" s="485"/>
      <c r="V258" s="485"/>
      <c r="W258" s="485"/>
      <c r="X258" s="485"/>
      <c r="Y258" s="485"/>
      <c r="Z258" s="485"/>
      <c r="AA258" s="485"/>
    </row>
    <row r="259">
      <c r="A259" s="486"/>
      <c r="B259" s="482"/>
      <c r="C259" s="497"/>
      <c r="D259" s="497"/>
      <c r="E259" s="497"/>
      <c r="F259" s="497"/>
      <c r="G259" s="497"/>
      <c r="H259" s="497"/>
      <c r="I259" s="497"/>
      <c r="J259" s="497"/>
      <c r="K259" s="497"/>
      <c r="L259" s="485"/>
      <c r="M259" s="485"/>
      <c r="N259" s="485"/>
      <c r="O259" s="485"/>
      <c r="P259" s="485"/>
      <c r="Q259" s="485"/>
      <c r="R259" s="485"/>
      <c r="S259" s="485"/>
      <c r="T259" s="485"/>
      <c r="U259" s="485"/>
      <c r="V259" s="485"/>
      <c r="W259" s="485"/>
      <c r="X259" s="485"/>
      <c r="Y259" s="485"/>
      <c r="Z259" s="485"/>
      <c r="AA259" s="485"/>
    </row>
    <row r="260">
      <c r="A260" s="486"/>
      <c r="B260" s="482"/>
      <c r="C260" s="497"/>
      <c r="D260" s="497"/>
      <c r="E260" s="497"/>
      <c r="F260" s="497"/>
      <c r="G260" s="497"/>
      <c r="H260" s="497"/>
      <c r="I260" s="497"/>
      <c r="J260" s="497"/>
      <c r="K260" s="497"/>
      <c r="L260" s="485"/>
      <c r="M260" s="485"/>
      <c r="N260" s="485"/>
      <c r="O260" s="485"/>
      <c r="P260" s="485"/>
      <c r="Q260" s="485"/>
      <c r="R260" s="485"/>
      <c r="S260" s="485"/>
      <c r="T260" s="485"/>
      <c r="U260" s="485"/>
      <c r="V260" s="485"/>
      <c r="W260" s="485"/>
      <c r="X260" s="485"/>
      <c r="Y260" s="485"/>
      <c r="Z260" s="485"/>
      <c r="AA260" s="485"/>
    </row>
    <row r="261">
      <c r="A261" s="486"/>
      <c r="B261" s="482"/>
      <c r="C261" s="497"/>
      <c r="D261" s="497"/>
      <c r="E261" s="497"/>
      <c r="F261" s="497"/>
      <c r="G261" s="497"/>
      <c r="H261" s="497"/>
      <c r="I261" s="497"/>
      <c r="J261" s="497"/>
      <c r="K261" s="497"/>
      <c r="L261" s="485"/>
      <c r="M261" s="485"/>
      <c r="N261" s="485"/>
      <c r="O261" s="485"/>
      <c r="P261" s="485"/>
      <c r="Q261" s="485"/>
      <c r="R261" s="485"/>
      <c r="S261" s="485"/>
      <c r="T261" s="485"/>
      <c r="U261" s="485"/>
      <c r="V261" s="485"/>
      <c r="W261" s="485"/>
      <c r="X261" s="485"/>
      <c r="Y261" s="485"/>
      <c r="Z261" s="485"/>
      <c r="AA261" s="485"/>
    </row>
    <row r="262">
      <c r="A262" s="486"/>
      <c r="B262" s="482"/>
      <c r="C262" s="497"/>
      <c r="D262" s="497"/>
      <c r="E262" s="497"/>
      <c r="F262" s="497"/>
      <c r="G262" s="497"/>
      <c r="H262" s="497"/>
      <c r="I262" s="497"/>
      <c r="J262" s="497"/>
      <c r="K262" s="497"/>
      <c r="L262" s="485"/>
      <c r="M262" s="485"/>
      <c r="N262" s="485"/>
      <c r="O262" s="485"/>
      <c r="P262" s="485"/>
      <c r="Q262" s="485"/>
      <c r="R262" s="485"/>
      <c r="S262" s="485"/>
      <c r="T262" s="485"/>
      <c r="U262" s="485"/>
      <c r="V262" s="485"/>
      <c r="W262" s="485"/>
      <c r="X262" s="485"/>
      <c r="Y262" s="485"/>
      <c r="Z262" s="485"/>
      <c r="AA262" s="485"/>
    </row>
    <row r="263">
      <c r="A263" s="486"/>
      <c r="B263" s="482"/>
      <c r="C263" s="497"/>
      <c r="D263" s="497"/>
      <c r="E263" s="497"/>
      <c r="F263" s="497"/>
      <c r="G263" s="497"/>
      <c r="H263" s="497"/>
      <c r="I263" s="497"/>
      <c r="J263" s="497"/>
      <c r="K263" s="497"/>
      <c r="L263" s="485"/>
      <c r="M263" s="485"/>
      <c r="N263" s="485"/>
      <c r="O263" s="485"/>
      <c r="P263" s="485"/>
      <c r="Q263" s="485"/>
      <c r="R263" s="485"/>
      <c r="S263" s="485"/>
      <c r="T263" s="485"/>
      <c r="U263" s="485"/>
      <c r="V263" s="485"/>
      <c r="W263" s="485"/>
      <c r="X263" s="485"/>
      <c r="Y263" s="485"/>
      <c r="Z263" s="485"/>
      <c r="AA263" s="485"/>
    </row>
    <row r="264">
      <c r="A264" s="486"/>
      <c r="B264" s="482"/>
      <c r="C264" s="497"/>
      <c r="D264" s="497"/>
      <c r="E264" s="497"/>
      <c r="F264" s="497"/>
      <c r="G264" s="497"/>
      <c r="H264" s="497"/>
      <c r="I264" s="497"/>
      <c r="J264" s="497"/>
      <c r="K264" s="497"/>
      <c r="L264" s="485"/>
      <c r="M264" s="485"/>
      <c r="N264" s="485"/>
      <c r="O264" s="485"/>
      <c r="P264" s="485"/>
      <c r="Q264" s="485"/>
      <c r="R264" s="485"/>
      <c r="S264" s="485"/>
      <c r="T264" s="485"/>
      <c r="U264" s="485"/>
      <c r="V264" s="485"/>
      <c r="W264" s="485"/>
      <c r="X264" s="485"/>
      <c r="Y264" s="485"/>
      <c r="Z264" s="485"/>
      <c r="AA264" s="485"/>
    </row>
    <row r="265">
      <c r="A265" s="486"/>
      <c r="B265" s="482"/>
      <c r="C265" s="497"/>
      <c r="D265" s="497"/>
      <c r="E265" s="497"/>
      <c r="F265" s="497"/>
      <c r="G265" s="497"/>
      <c r="H265" s="497"/>
      <c r="I265" s="497"/>
      <c r="J265" s="497"/>
      <c r="K265" s="497"/>
      <c r="L265" s="485"/>
      <c r="M265" s="485"/>
      <c r="N265" s="485"/>
      <c r="O265" s="485"/>
      <c r="P265" s="485"/>
      <c r="Q265" s="485"/>
      <c r="R265" s="485"/>
      <c r="S265" s="485"/>
      <c r="T265" s="485"/>
      <c r="U265" s="485"/>
      <c r="V265" s="485"/>
      <c r="W265" s="485"/>
      <c r="X265" s="485"/>
      <c r="Y265" s="485"/>
      <c r="Z265" s="485"/>
      <c r="AA265" s="485"/>
    </row>
    <row r="266">
      <c r="A266" s="486"/>
      <c r="B266" s="482"/>
      <c r="C266" s="497"/>
      <c r="D266" s="497"/>
      <c r="E266" s="497"/>
      <c r="F266" s="497"/>
      <c r="G266" s="497"/>
      <c r="H266" s="497"/>
      <c r="I266" s="497"/>
      <c r="J266" s="497"/>
      <c r="K266" s="497"/>
      <c r="L266" s="485"/>
      <c r="M266" s="485"/>
      <c r="N266" s="485"/>
      <c r="O266" s="485"/>
      <c r="P266" s="485"/>
      <c r="Q266" s="485"/>
      <c r="R266" s="485"/>
      <c r="S266" s="485"/>
      <c r="T266" s="485"/>
      <c r="U266" s="485"/>
      <c r="V266" s="485"/>
      <c r="W266" s="485"/>
      <c r="X266" s="485"/>
      <c r="Y266" s="485"/>
      <c r="Z266" s="485"/>
      <c r="AA266" s="485"/>
    </row>
    <row r="267">
      <c r="A267" s="486"/>
      <c r="B267" s="482"/>
      <c r="C267" s="497"/>
      <c r="D267" s="497"/>
      <c r="E267" s="497"/>
      <c r="F267" s="497"/>
      <c r="G267" s="497"/>
      <c r="H267" s="497"/>
      <c r="I267" s="497"/>
      <c r="J267" s="497"/>
      <c r="K267" s="497"/>
      <c r="L267" s="485"/>
      <c r="M267" s="485"/>
      <c r="N267" s="485"/>
      <c r="O267" s="485"/>
      <c r="P267" s="485"/>
      <c r="Q267" s="485"/>
      <c r="R267" s="485"/>
      <c r="S267" s="485"/>
      <c r="T267" s="485"/>
      <c r="U267" s="485"/>
      <c r="V267" s="485"/>
      <c r="W267" s="485"/>
      <c r="X267" s="485"/>
      <c r="Y267" s="485"/>
      <c r="Z267" s="485"/>
      <c r="AA267" s="485"/>
    </row>
    <row r="268">
      <c r="A268" s="486"/>
      <c r="B268" s="482"/>
      <c r="C268" s="497"/>
      <c r="D268" s="497"/>
      <c r="E268" s="497"/>
      <c r="F268" s="497"/>
      <c r="G268" s="497"/>
      <c r="H268" s="497"/>
      <c r="I268" s="497"/>
      <c r="J268" s="497"/>
      <c r="K268" s="497"/>
      <c r="L268" s="485"/>
      <c r="M268" s="485"/>
      <c r="N268" s="485"/>
      <c r="O268" s="485"/>
      <c r="P268" s="485"/>
      <c r="Q268" s="485"/>
      <c r="R268" s="485"/>
      <c r="S268" s="485"/>
      <c r="T268" s="485"/>
      <c r="U268" s="485"/>
      <c r="V268" s="485"/>
      <c r="W268" s="485"/>
      <c r="X268" s="485"/>
      <c r="Y268" s="485"/>
      <c r="Z268" s="485"/>
      <c r="AA268" s="485"/>
    </row>
    <row r="269">
      <c r="A269" s="486"/>
      <c r="B269" s="482"/>
      <c r="C269" s="497"/>
      <c r="D269" s="497"/>
      <c r="E269" s="497"/>
      <c r="F269" s="497"/>
      <c r="G269" s="497"/>
      <c r="H269" s="497"/>
      <c r="I269" s="497"/>
      <c r="J269" s="497"/>
      <c r="K269" s="497"/>
      <c r="L269" s="485"/>
      <c r="M269" s="485"/>
      <c r="N269" s="485"/>
      <c r="O269" s="485"/>
      <c r="P269" s="485"/>
      <c r="Q269" s="485"/>
      <c r="R269" s="485"/>
      <c r="S269" s="485"/>
      <c r="T269" s="485"/>
      <c r="U269" s="485"/>
      <c r="V269" s="485"/>
      <c r="W269" s="485"/>
      <c r="X269" s="485"/>
      <c r="Y269" s="485"/>
      <c r="Z269" s="485"/>
      <c r="AA269" s="485"/>
    </row>
    <row r="270">
      <c r="A270" s="486"/>
      <c r="B270" s="482"/>
      <c r="C270" s="497"/>
      <c r="D270" s="497"/>
      <c r="E270" s="497"/>
      <c r="F270" s="497"/>
      <c r="G270" s="497"/>
      <c r="H270" s="497"/>
      <c r="I270" s="497"/>
      <c r="J270" s="497"/>
      <c r="K270" s="497"/>
      <c r="L270" s="485"/>
      <c r="M270" s="485"/>
      <c r="N270" s="485"/>
      <c r="O270" s="485"/>
      <c r="P270" s="485"/>
      <c r="Q270" s="485"/>
      <c r="R270" s="485"/>
      <c r="S270" s="485"/>
      <c r="T270" s="485"/>
      <c r="U270" s="485"/>
      <c r="V270" s="485"/>
      <c r="W270" s="485"/>
      <c r="X270" s="485"/>
      <c r="Y270" s="485"/>
      <c r="Z270" s="485"/>
      <c r="AA270" s="485"/>
    </row>
    <row r="271">
      <c r="A271" s="486"/>
      <c r="B271" s="482"/>
      <c r="C271" s="497"/>
      <c r="D271" s="497"/>
      <c r="E271" s="497"/>
      <c r="F271" s="497"/>
      <c r="G271" s="497"/>
      <c r="H271" s="497"/>
      <c r="I271" s="497"/>
      <c r="J271" s="497"/>
      <c r="K271" s="497"/>
      <c r="L271" s="485"/>
      <c r="M271" s="485"/>
      <c r="N271" s="485"/>
      <c r="O271" s="485"/>
      <c r="P271" s="485"/>
      <c r="Q271" s="485"/>
      <c r="R271" s="485"/>
      <c r="S271" s="485"/>
      <c r="T271" s="485"/>
      <c r="U271" s="485"/>
      <c r="V271" s="485"/>
      <c r="W271" s="485"/>
      <c r="X271" s="485"/>
      <c r="Y271" s="485"/>
      <c r="Z271" s="485"/>
      <c r="AA271" s="485"/>
    </row>
    <row r="272">
      <c r="A272" s="486"/>
      <c r="B272" s="482"/>
      <c r="C272" s="497"/>
      <c r="D272" s="497"/>
      <c r="E272" s="497"/>
      <c r="F272" s="497"/>
      <c r="G272" s="497"/>
      <c r="H272" s="497"/>
      <c r="I272" s="497"/>
      <c r="J272" s="497"/>
      <c r="K272" s="497"/>
      <c r="L272" s="485"/>
      <c r="M272" s="485"/>
      <c r="N272" s="485"/>
      <c r="O272" s="485"/>
      <c r="P272" s="485"/>
      <c r="Q272" s="485"/>
      <c r="R272" s="485"/>
      <c r="S272" s="485"/>
      <c r="T272" s="485"/>
      <c r="U272" s="485"/>
      <c r="V272" s="485"/>
      <c r="W272" s="485"/>
      <c r="X272" s="485"/>
      <c r="Y272" s="485"/>
      <c r="Z272" s="485"/>
      <c r="AA272" s="485"/>
    </row>
    <row r="273">
      <c r="A273" s="486"/>
      <c r="B273" s="482"/>
      <c r="C273" s="497"/>
      <c r="D273" s="497"/>
      <c r="E273" s="497"/>
      <c r="F273" s="497"/>
      <c r="G273" s="497"/>
      <c r="H273" s="497"/>
      <c r="I273" s="497"/>
      <c r="J273" s="497"/>
      <c r="K273" s="497"/>
      <c r="L273" s="485"/>
      <c r="M273" s="485"/>
      <c r="N273" s="485"/>
      <c r="O273" s="485"/>
      <c r="P273" s="485"/>
      <c r="Q273" s="485"/>
      <c r="R273" s="485"/>
      <c r="S273" s="485"/>
      <c r="T273" s="485"/>
      <c r="U273" s="485"/>
      <c r="V273" s="485"/>
      <c r="W273" s="485"/>
      <c r="X273" s="485"/>
      <c r="Y273" s="485"/>
      <c r="Z273" s="485"/>
      <c r="AA273" s="485"/>
    </row>
    <row r="274">
      <c r="A274" s="486"/>
      <c r="B274" s="482"/>
      <c r="C274" s="497"/>
      <c r="D274" s="497"/>
      <c r="E274" s="497"/>
      <c r="F274" s="497"/>
      <c r="G274" s="497"/>
      <c r="H274" s="497"/>
      <c r="I274" s="497"/>
      <c r="J274" s="497"/>
      <c r="K274" s="497"/>
      <c r="L274" s="485"/>
      <c r="M274" s="485"/>
      <c r="N274" s="485"/>
      <c r="O274" s="485"/>
      <c r="P274" s="485"/>
      <c r="Q274" s="485"/>
      <c r="R274" s="485"/>
      <c r="S274" s="485"/>
      <c r="T274" s="485"/>
      <c r="U274" s="485"/>
      <c r="V274" s="485"/>
      <c r="W274" s="485"/>
      <c r="X274" s="485"/>
      <c r="Y274" s="485"/>
      <c r="Z274" s="485"/>
      <c r="AA274" s="485"/>
    </row>
    <row r="275">
      <c r="A275" s="486"/>
      <c r="B275" s="482"/>
      <c r="C275" s="497"/>
      <c r="D275" s="497"/>
      <c r="E275" s="497"/>
      <c r="F275" s="497"/>
      <c r="G275" s="497"/>
      <c r="H275" s="497"/>
      <c r="I275" s="497"/>
      <c r="J275" s="497"/>
      <c r="K275" s="497"/>
      <c r="L275" s="485"/>
      <c r="M275" s="485"/>
      <c r="N275" s="485"/>
      <c r="O275" s="485"/>
      <c r="P275" s="485"/>
      <c r="Q275" s="485"/>
      <c r="R275" s="485"/>
      <c r="S275" s="485"/>
      <c r="T275" s="485"/>
      <c r="U275" s="485"/>
      <c r="V275" s="485"/>
      <c r="W275" s="485"/>
      <c r="X275" s="485"/>
      <c r="Y275" s="485"/>
      <c r="Z275" s="485"/>
      <c r="AA275" s="485"/>
    </row>
    <row r="276">
      <c r="A276" s="486"/>
      <c r="B276" s="482"/>
      <c r="C276" s="497"/>
      <c r="D276" s="497"/>
      <c r="E276" s="497"/>
      <c r="F276" s="497"/>
      <c r="G276" s="497"/>
      <c r="H276" s="497"/>
      <c r="I276" s="497"/>
      <c r="J276" s="497"/>
      <c r="K276" s="497"/>
      <c r="L276" s="485"/>
      <c r="M276" s="485"/>
      <c r="N276" s="485"/>
      <c r="O276" s="485"/>
      <c r="P276" s="485"/>
      <c r="Q276" s="485"/>
      <c r="R276" s="485"/>
      <c r="S276" s="485"/>
      <c r="T276" s="485"/>
      <c r="U276" s="485"/>
      <c r="V276" s="485"/>
      <c r="W276" s="485"/>
      <c r="X276" s="485"/>
      <c r="Y276" s="485"/>
      <c r="Z276" s="485"/>
      <c r="AA276" s="485"/>
    </row>
    <row r="277">
      <c r="A277" s="486"/>
      <c r="B277" s="482"/>
      <c r="C277" s="497"/>
      <c r="D277" s="497"/>
      <c r="E277" s="497"/>
      <c r="F277" s="497"/>
      <c r="G277" s="497"/>
      <c r="H277" s="497"/>
      <c r="I277" s="497"/>
      <c r="J277" s="497"/>
      <c r="K277" s="497"/>
      <c r="L277" s="485"/>
      <c r="M277" s="485"/>
      <c r="N277" s="485"/>
      <c r="O277" s="485"/>
      <c r="P277" s="485"/>
      <c r="Q277" s="485"/>
      <c r="R277" s="485"/>
      <c r="S277" s="485"/>
      <c r="T277" s="485"/>
      <c r="U277" s="485"/>
      <c r="V277" s="485"/>
      <c r="W277" s="485"/>
      <c r="X277" s="485"/>
      <c r="Y277" s="485"/>
      <c r="Z277" s="485"/>
      <c r="AA277" s="485"/>
    </row>
    <row r="278">
      <c r="A278" s="486"/>
      <c r="B278" s="482"/>
      <c r="C278" s="497"/>
      <c r="D278" s="497"/>
      <c r="E278" s="497"/>
      <c r="F278" s="497"/>
      <c r="G278" s="497"/>
      <c r="H278" s="497"/>
      <c r="I278" s="497"/>
      <c r="J278" s="497"/>
      <c r="K278" s="497"/>
      <c r="L278" s="485"/>
      <c r="M278" s="485"/>
      <c r="N278" s="485"/>
      <c r="O278" s="485"/>
      <c r="P278" s="485"/>
      <c r="Q278" s="485"/>
      <c r="R278" s="485"/>
      <c r="S278" s="485"/>
      <c r="T278" s="485"/>
      <c r="U278" s="485"/>
      <c r="V278" s="485"/>
      <c r="W278" s="485"/>
      <c r="X278" s="485"/>
      <c r="Y278" s="485"/>
      <c r="Z278" s="485"/>
      <c r="AA278" s="485"/>
    </row>
    <row r="279">
      <c r="A279" s="486"/>
      <c r="B279" s="482"/>
      <c r="C279" s="497"/>
      <c r="D279" s="497"/>
      <c r="E279" s="497"/>
      <c r="F279" s="497"/>
      <c r="G279" s="497"/>
      <c r="H279" s="497"/>
      <c r="I279" s="497"/>
      <c r="J279" s="497"/>
      <c r="K279" s="497"/>
      <c r="L279" s="485"/>
      <c r="M279" s="485"/>
      <c r="N279" s="485"/>
      <c r="O279" s="485"/>
      <c r="P279" s="485"/>
      <c r="Q279" s="485"/>
      <c r="R279" s="485"/>
      <c r="S279" s="485"/>
      <c r="T279" s="485"/>
      <c r="U279" s="485"/>
      <c r="V279" s="485"/>
      <c r="W279" s="485"/>
      <c r="X279" s="485"/>
      <c r="Y279" s="485"/>
      <c r="Z279" s="485"/>
      <c r="AA279" s="485"/>
    </row>
    <row r="280">
      <c r="A280" s="486"/>
      <c r="B280" s="482"/>
      <c r="C280" s="497"/>
      <c r="D280" s="497"/>
      <c r="E280" s="497"/>
      <c r="F280" s="497"/>
      <c r="G280" s="497"/>
      <c r="H280" s="497"/>
      <c r="I280" s="497"/>
      <c r="J280" s="497"/>
      <c r="K280" s="497"/>
      <c r="L280" s="485"/>
      <c r="M280" s="485"/>
      <c r="N280" s="485"/>
      <c r="O280" s="485"/>
      <c r="P280" s="485"/>
      <c r="Q280" s="485"/>
      <c r="R280" s="485"/>
      <c r="S280" s="485"/>
      <c r="T280" s="485"/>
      <c r="U280" s="485"/>
      <c r="V280" s="485"/>
      <c r="W280" s="485"/>
      <c r="X280" s="485"/>
      <c r="Y280" s="485"/>
      <c r="Z280" s="485"/>
      <c r="AA280" s="485"/>
    </row>
    <row r="281">
      <c r="A281" s="486"/>
      <c r="B281" s="482"/>
      <c r="C281" s="497"/>
      <c r="D281" s="497"/>
      <c r="E281" s="497"/>
      <c r="F281" s="497"/>
      <c r="G281" s="497"/>
      <c r="H281" s="497"/>
      <c r="I281" s="497"/>
      <c r="J281" s="497"/>
      <c r="K281" s="497"/>
      <c r="L281" s="485"/>
      <c r="M281" s="485"/>
      <c r="N281" s="485"/>
      <c r="O281" s="485"/>
      <c r="P281" s="485"/>
      <c r="Q281" s="485"/>
      <c r="R281" s="485"/>
      <c r="S281" s="485"/>
      <c r="T281" s="485"/>
      <c r="U281" s="485"/>
      <c r="V281" s="485"/>
      <c r="W281" s="485"/>
      <c r="X281" s="485"/>
      <c r="Y281" s="485"/>
      <c r="Z281" s="485"/>
      <c r="AA281" s="485"/>
    </row>
    <row r="282">
      <c r="A282" s="486"/>
      <c r="B282" s="482"/>
      <c r="C282" s="497"/>
      <c r="D282" s="497"/>
      <c r="E282" s="497"/>
      <c r="F282" s="497"/>
      <c r="G282" s="497"/>
      <c r="H282" s="497"/>
      <c r="I282" s="497"/>
      <c r="J282" s="497"/>
      <c r="K282" s="497"/>
      <c r="L282" s="485"/>
      <c r="M282" s="485"/>
      <c r="N282" s="485"/>
      <c r="O282" s="485"/>
      <c r="P282" s="485"/>
      <c r="Q282" s="485"/>
      <c r="R282" s="485"/>
      <c r="S282" s="485"/>
      <c r="T282" s="485"/>
      <c r="U282" s="485"/>
      <c r="V282" s="485"/>
      <c r="W282" s="485"/>
      <c r="X282" s="485"/>
      <c r="Y282" s="485"/>
      <c r="Z282" s="485"/>
      <c r="AA282" s="485"/>
    </row>
    <row r="283">
      <c r="A283" s="486"/>
      <c r="B283" s="482"/>
      <c r="C283" s="497"/>
      <c r="D283" s="497"/>
      <c r="E283" s="497"/>
      <c r="F283" s="497"/>
      <c r="G283" s="497"/>
      <c r="H283" s="497"/>
      <c r="I283" s="497"/>
      <c r="J283" s="497"/>
      <c r="K283" s="497"/>
      <c r="L283" s="485"/>
      <c r="M283" s="485"/>
      <c r="N283" s="485"/>
      <c r="O283" s="485"/>
      <c r="P283" s="485"/>
      <c r="Q283" s="485"/>
      <c r="R283" s="485"/>
      <c r="S283" s="485"/>
      <c r="T283" s="485"/>
      <c r="U283" s="485"/>
      <c r="V283" s="485"/>
      <c r="W283" s="485"/>
      <c r="X283" s="485"/>
      <c r="Y283" s="485"/>
      <c r="Z283" s="485"/>
      <c r="AA283" s="485"/>
    </row>
    <row r="284">
      <c r="A284" s="486"/>
      <c r="B284" s="482"/>
      <c r="C284" s="497"/>
      <c r="D284" s="497"/>
      <c r="E284" s="497"/>
      <c r="F284" s="497"/>
      <c r="G284" s="497"/>
      <c r="H284" s="497"/>
      <c r="I284" s="497"/>
      <c r="J284" s="497"/>
      <c r="K284" s="497"/>
      <c r="L284" s="485"/>
      <c r="M284" s="485"/>
      <c r="N284" s="485"/>
      <c r="O284" s="485"/>
      <c r="P284" s="485"/>
      <c r="Q284" s="485"/>
      <c r="R284" s="485"/>
      <c r="S284" s="485"/>
      <c r="T284" s="485"/>
      <c r="U284" s="485"/>
      <c r="V284" s="485"/>
      <c r="W284" s="485"/>
      <c r="X284" s="485"/>
      <c r="Y284" s="485"/>
      <c r="Z284" s="485"/>
      <c r="AA284" s="485"/>
    </row>
    <row r="285">
      <c r="A285" s="486"/>
      <c r="B285" s="482"/>
      <c r="C285" s="497"/>
      <c r="D285" s="497"/>
      <c r="E285" s="497"/>
      <c r="F285" s="497"/>
      <c r="G285" s="497"/>
      <c r="H285" s="497"/>
      <c r="I285" s="497"/>
      <c r="J285" s="497"/>
      <c r="K285" s="497"/>
      <c r="L285" s="485"/>
      <c r="M285" s="485"/>
      <c r="N285" s="485"/>
      <c r="O285" s="485"/>
      <c r="P285" s="485"/>
      <c r="Q285" s="485"/>
      <c r="R285" s="485"/>
      <c r="S285" s="485"/>
      <c r="T285" s="485"/>
      <c r="U285" s="485"/>
      <c r="V285" s="485"/>
      <c r="W285" s="485"/>
      <c r="X285" s="485"/>
      <c r="Y285" s="485"/>
      <c r="Z285" s="485"/>
      <c r="AA285" s="485"/>
    </row>
    <row r="286">
      <c r="A286" s="486"/>
      <c r="B286" s="482"/>
      <c r="C286" s="497"/>
      <c r="D286" s="497"/>
      <c r="E286" s="497"/>
      <c r="F286" s="497"/>
      <c r="G286" s="497"/>
      <c r="H286" s="497"/>
      <c r="I286" s="497"/>
      <c r="J286" s="497"/>
      <c r="K286" s="497"/>
      <c r="L286" s="485"/>
      <c r="M286" s="485"/>
      <c r="N286" s="485"/>
      <c r="O286" s="485"/>
      <c r="P286" s="485"/>
      <c r="Q286" s="485"/>
      <c r="R286" s="485"/>
      <c r="S286" s="485"/>
      <c r="T286" s="485"/>
      <c r="U286" s="485"/>
      <c r="V286" s="485"/>
      <c r="W286" s="485"/>
      <c r="X286" s="485"/>
      <c r="Y286" s="485"/>
      <c r="Z286" s="485"/>
      <c r="AA286" s="485"/>
    </row>
    <row r="287">
      <c r="A287" s="486"/>
      <c r="B287" s="482"/>
      <c r="C287" s="497"/>
      <c r="D287" s="497"/>
      <c r="E287" s="497"/>
      <c r="F287" s="497"/>
      <c r="G287" s="497"/>
      <c r="H287" s="497"/>
      <c r="I287" s="497"/>
      <c r="J287" s="497"/>
      <c r="K287" s="497"/>
      <c r="L287" s="485"/>
      <c r="M287" s="485"/>
      <c r="N287" s="485"/>
      <c r="O287" s="485"/>
      <c r="P287" s="485"/>
      <c r="Q287" s="485"/>
      <c r="R287" s="485"/>
      <c r="S287" s="485"/>
      <c r="T287" s="485"/>
      <c r="U287" s="485"/>
      <c r="V287" s="485"/>
      <c r="W287" s="485"/>
      <c r="X287" s="485"/>
      <c r="Y287" s="485"/>
      <c r="Z287" s="485"/>
      <c r="AA287" s="485"/>
    </row>
    <row r="288">
      <c r="A288" s="486"/>
      <c r="B288" s="482"/>
      <c r="C288" s="497"/>
      <c r="D288" s="497"/>
      <c r="E288" s="497"/>
      <c r="F288" s="497"/>
      <c r="G288" s="497"/>
      <c r="H288" s="497"/>
      <c r="I288" s="497"/>
      <c r="J288" s="497"/>
      <c r="K288" s="497"/>
      <c r="L288" s="485"/>
      <c r="M288" s="485"/>
      <c r="N288" s="485"/>
      <c r="O288" s="485"/>
      <c r="P288" s="485"/>
      <c r="Q288" s="485"/>
      <c r="R288" s="485"/>
      <c r="S288" s="485"/>
      <c r="T288" s="485"/>
      <c r="U288" s="485"/>
      <c r="V288" s="485"/>
      <c r="W288" s="485"/>
      <c r="X288" s="485"/>
      <c r="Y288" s="485"/>
      <c r="Z288" s="485"/>
      <c r="AA288" s="485"/>
    </row>
    <row r="289">
      <c r="A289" s="486"/>
      <c r="B289" s="482"/>
      <c r="C289" s="497"/>
      <c r="D289" s="497"/>
      <c r="E289" s="497"/>
      <c r="F289" s="497"/>
      <c r="G289" s="497"/>
      <c r="H289" s="497"/>
      <c r="I289" s="497"/>
      <c r="J289" s="497"/>
      <c r="K289" s="497"/>
      <c r="L289" s="485"/>
      <c r="M289" s="485"/>
      <c r="N289" s="485"/>
      <c r="O289" s="485"/>
      <c r="P289" s="485"/>
      <c r="Q289" s="485"/>
      <c r="R289" s="485"/>
      <c r="S289" s="485"/>
      <c r="T289" s="485"/>
      <c r="U289" s="485"/>
      <c r="V289" s="485"/>
      <c r="W289" s="485"/>
      <c r="X289" s="485"/>
      <c r="Y289" s="485"/>
      <c r="Z289" s="485"/>
      <c r="AA289" s="485"/>
    </row>
    <row r="290">
      <c r="A290" s="486"/>
      <c r="B290" s="482"/>
      <c r="C290" s="497"/>
      <c r="D290" s="497"/>
      <c r="E290" s="497"/>
      <c r="F290" s="497"/>
      <c r="G290" s="497"/>
      <c r="H290" s="497"/>
      <c r="I290" s="497"/>
      <c r="J290" s="497"/>
      <c r="K290" s="497"/>
      <c r="L290" s="485"/>
      <c r="M290" s="485"/>
      <c r="N290" s="485"/>
      <c r="O290" s="485"/>
      <c r="P290" s="485"/>
      <c r="Q290" s="485"/>
      <c r="R290" s="485"/>
      <c r="S290" s="485"/>
      <c r="T290" s="485"/>
      <c r="U290" s="485"/>
      <c r="V290" s="485"/>
      <c r="W290" s="485"/>
      <c r="X290" s="485"/>
      <c r="Y290" s="485"/>
      <c r="Z290" s="485"/>
      <c r="AA290" s="485"/>
    </row>
    <row r="291">
      <c r="A291" s="486"/>
      <c r="B291" s="482"/>
      <c r="C291" s="497"/>
      <c r="D291" s="497"/>
      <c r="E291" s="497"/>
      <c r="F291" s="497"/>
      <c r="G291" s="497"/>
      <c r="H291" s="497"/>
      <c r="I291" s="497"/>
      <c r="J291" s="497"/>
      <c r="K291" s="497"/>
      <c r="L291" s="485"/>
      <c r="M291" s="485"/>
      <c r="N291" s="485"/>
      <c r="O291" s="485"/>
      <c r="P291" s="485"/>
      <c r="Q291" s="485"/>
      <c r="R291" s="485"/>
      <c r="S291" s="485"/>
      <c r="T291" s="485"/>
      <c r="U291" s="485"/>
      <c r="V291" s="485"/>
      <c r="W291" s="485"/>
      <c r="X291" s="485"/>
      <c r="Y291" s="485"/>
      <c r="Z291" s="485"/>
      <c r="AA291" s="485"/>
    </row>
    <row r="292">
      <c r="A292" s="486"/>
      <c r="B292" s="482"/>
      <c r="C292" s="497"/>
      <c r="D292" s="497"/>
      <c r="E292" s="497"/>
      <c r="F292" s="497"/>
      <c r="G292" s="497"/>
      <c r="H292" s="497"/>
      <c r="I292" s="497"/>
      <c r="J292" s="497"/>
      <c r="K292" s="497"/>
      <c r="L292" s="485"/>
      <c r="M292" s="485"/>
      <c r="N292" s="485"/>
      <c r="O292" s="485"/>
      <c r="P292" s="485"/>
      <c r="Q292" s="485"/>
      <c r="R292" s="485"/>
      <c r="S292" s="485"/>
      <c r="T292" s="485"/>
      <c r="U292" s="485"/>
      <c r="V292" s="485"/>
      <c r="W292" s="485"/>
      <c r="X292" s="485"/>
      <c r="Y292" s="485"/>
      <c r="Z292" s="485"/>
      <c r="AA292" s="485"/>
    </row>
    <row r="293">
      <c r="A293" s="486"/>
      <c r="B293" s="482"/>
      <c r="C293" s="497"/>
      <c r="D293" s="497"/>
      <c r="E293" s="497"/>
      <c r="F293" s="497"/>
      <c r="G293" s="497"/>
      <c r="H293" s="497"/>
      <c r="I293" s="497"/>
      <c r="J293" s="497"/>
      <c r="K293" s="497"/>
      <c r="L293" s="485"/>
      <c r="M293" s="485"/>
      <c r="N293" s="485"/>
      <c r="O293" s="485"/>
      <c r="P293" s="485"/>
      <c r="Q293" s="485"/>
      <c r="R293" s="485"/>
      <c r="S293" s="485"/>
      <c r="T293" s="485"/>
      <c r="U293" s="485"/>
      <c r="V293" s="485"/>
      <c r="W293" s="485"/>
      <c r="X293" s="485"/>
      <c r="Y293" s="485"/>
      <c r="Z293" s="485"/>
      <c r="AA293" s="485"/>
    </row>
    <row r="294">
      <c r="A294" s="486"/>
      <c r="B294" s="482"/>
      <c r="C294" s="497"/>
      <c r="D294" s="497"/>
      <c r="E294" s="497"/>
      <c r="F294" s="497"/>
      <c r="G294" s="497"/>
      <c r="H294" s="497"/>
      <c r="I294" s="497"/>
      <c r="J294" s="497"/>
      <c r="K294" s="497"/>
      <c r="L294" s="485"/>
      <c r="M294" s="485"/>
      <c r="N294" s="485"/>
      <c r="O294" s="485"/>
      <c r="P294" s="485"/>
      <c r="Q294" s="485"/>
      <c r="R294" s="485"/>
      <c r="S294" s="485"/>
      <c r="T294" s="485"/>
      <c r="U294" s="485"/>
      <c r="V294" s="485"/>
      <c r="W294" s="485"/>
      <c r="X294" s="485"/>
      <c r="Y294" s="485"/>
      <c r="Z294" s="485"/>
      <c r="AA294" s="485"/>
    </row>
    <row r="295">
      <c r="A295" s="486"/>
      <c r="B295" s="482"/>
      <c r="C295" s="497"/>
      <c r="D295" s="497"/>
      <c r="E295" s="497"/>
      <c r="F295" s="497"/>
      <c r="G295" s="497"/>
      <c r="H295" s="497"/>
      <c r="I295" s="497"/>
      <c r="J295" s="497"/>
      <c r="K295" s="497"/>
      <c r="L295" s="485"/>
      <c r="M295" s="485"/>
      <c r="N295" s="485"/>
      <c r="O295" s="485"/>
      <c r="P295" s="485"/>
      <c r="Q295" s="485"/>
      <c r="R295" s="485"/>
      <c r="S295" s="485"/>
      <c r="T295" s="485"/>
      <c r="U295" s="485"/>
      <c r="V295" s="485"/>
      <c r="W295" s="485"/>
      <c r="X295" s="485"/>
      <c r="Y295" s="485"/>
      <c r="Z295" s="485"/>
      <c r="AA295" s="485"/>
    </row>
    <row r="296">
      <c r="A296" s="486"/>
      <c r="B296" s="482"/>
      <c r="C296" s="497"/>
      <c r="D296" s="497"/>
      <c r="E296" s="497"/>
      <c r="F296" s="497"/>
      <c r="G296" s="497"/>
      <c r="H296" s="497"/>
      <c r="I296" s="497"/>
      <c r="J296" s="497"/>
      <c r="K296" s="497"/>
      <c r="L296" s="485"/>
      <c r="M296" s="485"/>
      <c r="N296" s="485"/>
      <c r="O296" s="485"/>
      <c r="P296" s="485"/>
      <c r="Q296" s="485"/>
      <c r="R296" s="485"/>
      <c r="S296" s="485"/>
      <c r="T296" s="485"/>
      <c r="U296" s="485"/>
      <c r="V296" s="485"/>
      <c r="W296" s="485"/>
      <c r="X296" s="485"/>
      <c r="Y296" s="485"/>
      <c r="Z296" s="485"/>
      <c r="AA296" s="485"/>
    </row>
    <row r="297">
      <c r="A297" s="486"/>
      <c r="B297" s="482"/>
      <c r="C297" s="497"/>
      <c r="D297" s="497"/>
      <c r="E297" s="497"/>
      <c r="F297" s="497"/>
      <c r="G297" s="497"/>
      <c r="H297" s="497"/>
      <c r="I297" s="497"/>
      <c r="J297" s="497"/>
      <c r="K297" s="497"/>
      <c r="L297" s="485"/>
      <c r="M297" s="485"/>
      <c r="N297" s="485"/>
      <c r="O297" s="485"/>
      <c r="P297" s="485"/>
      <c r="Q297" s="485"/>
      <c r="R297" s="485"/>
      <c r="S297" s="485"/>
      <c r="T297" s="485"/>
      <c r="U297" s="485"/>
      <c r="V297" s="485"/>
      <c r="W297" s="485"/>
      <c r="X297" s="485"/>
      <c r="Y297" s="485"/>
      <c r="Z297" s="485"/>
      <c r="AA297" s="485"/>
    </row>
    <row r="298">
      <c r="A298" s="486"/>
      <c r="B298" s="482"/>
      <c r="C298" s="497"/>
      <c r="D298" s="497"/>
      <c r="E298" s="497"/>
      <c r="F298" s="497"/>
      <c r="G298" s="497"/>
      <c r="H298" s="497"/>
      <c r="I298" s="497"/>
      <c r="J298" s="497"/>
      <c r="K298" s="497"/>
      <c r="L298" s="485"/>
      <c r="M298" s="485"/>
      <c r="N298" s="485"/>
      <c r="O298" s="485"/>
      <c r="P298" s="485"/>
      <c r="Q298" s="485"/>
      <c r="R298" s="485"/>
      <c r="S298" s="485"/>
      <c r="T298" s="485"/>
      <c r="U298" s="485"/>
      <c r="V298" s="485"/>
      <c r="W298" s="485"/>
      <c r="X298" s="485"/>
      <c r="Y298" s="485"/>
      <c r="Z298" s="485"/>
      <c r="AA298" s="485"/>
    </row>
    <row r="299">
      <c r="A299" s="486"/>
      <c r="B299" s="482"/>
      <c r="C299" s="497"/>
      <c r="D299" s="497"/>
      <c r="E299" s="497"/>
      <c r="F299" s="497"/>
      <c r="G299" s="497"/>
      <c r="H299" s="497"/>
      <c r="I299" s="497"/>
      <c r="J299" s="497"/>
      <c r="K299" s="497"/>
      <c r="L299" s="485"/>
      <c r="M299" s="485"/>
      <c r="N299" s="485"/>
      <c r="O299" s="485"/>
      <c r="P299" s="485"/>
      <c r="Q299" s="485"/>
      <c r="R299" s="485"/>
      <c r="S299" s="485"/>
      <c r="T299" s="485"/>
      <c r="U299" s="485"/>
      <c r="V299" s="485"/>
      <c r="W299" s="485"/>
      <c r="X299" s="485"/>
      <c r="Y299" s="485"/>
      <c r="Z299" s="485"/>
      <c r="AA299" s="485"/>
    </row>
    <row r="300">
      <c r="A300" s="486"/>
      <c r="B300" s="482"/>
      <c r="C300" s="497"/>
      <c r="D300" s="497"/>
      <c r="E300" s="497"/>
      <c r="F300" s="497"/>
      <c r="G300" s="497"/>
      <c r="H300" s="497"/>
      <c r="I300" s="497"/>
      <c r="J300" s="497"/>
      <c r="K300" s="497"/>
      <c r="L300" s="485"/>
      <c r="M300" s="485"/>
      <c r="N300" s="485"/>
      <c r="O300" s="485"/>
      <c r="P300" s="485"/>
      <c r="Q300" s="485"/>
      <c r="R300" s="485"/>
      <c r="S300" s="485"/>
      <c r="T300" s="485"/>
      <c r="U300" s="485"/>
      <c r="V300" s="485"/>
      <c r="W300" s="485"/>
      <c r="X300" s="485"/>
      <c r="Y300" s="485"/>
      <c r="Z300" s="485"/>
      <c r="AA300" s="485"/>
    </row>
    <row r="301">
      <c r="A301" s="486"/>
      <c r="B301" s="482"/>
      <c r="C301" s="497"/>
      <c r="D301" s="497"/>
      <c r="E301" s="497"/>
      <c r="F301" s="497"/>
      <c r="G301" s="497"/>
      <c r="H301" s="497"/>
      <c r="I301" s="497"/>
      <c r="J301" s="497"/>
      <c r="K301" s="497"/>
      <c r="L301" s="485"/>
      <c r="M301" s="485"/>
      <c r="N301" s="485"/>
      <c r="O301" s="485"/>
      <c r="P301" s="485"/>
      <c r="Q301" s="485"/>
      <c r="R301" s="485"/>
      <c r="S301" s="485"/>
      <c r="T301" s="485"/>
      <c r="U301" s="485"/>
      <c r="V301" s="485"/>
      <c r="W301" s="485"/>
      <c r="X301" s="485"/>
      <c r="Y301" s="485"/>
      <c r="Z301" s="485"/>
      <c r="AA301" s="485"/>
    </row>
    <row r="302">
      <c r="A302" s="486"/>
      <c r="B302" s="482"/>
      <c r="C302" s="497"/>
      <c r="D302" s="497"/>
      <c r="E302" s="497"/>
      <c r="F302" s="497"/>
      <c r="G302" s="497"/>
      <c r="H302" s="497"/>
      <c r="I302" s="497"/>
      <c r="J302" s="497"/>
      <c r="K302" s="497"/>
      <c r="L302" s="485"/>
      <c r="M302" s="485"/>
      <c r="N302" s="485"/>
      <c r="O302" s="485"/>
      <c r="P302" s="485"/>
      <c r="Q302" s="485"/>
      <c r="R302" s="485"/>
      <c r="S302" s="485"/>
      <c r="T302" s="485"/>
      <c r="U302" s="485"/>
      <c r="V302" s="485"/>
      <c r="W302" s="485"/>
      <c r="X302" s="485"/>
      <c r="Y302" s="485"/>
      <c r="Z302" s="485"/>
      <c r="AA302" s="485"/>
    </row>
    <row r="303">
      <c r="A303" s="486"/>
      <c r="B303" s="482"/>
      <c r="C303" s="497"/>
      <c r="D303" s="497"/>
      <c r="E303" s="497"/>
      <c r="F303" s="497"/>
      <c r="G303" s="497"/>
      <c r="H303" s="497"/>
      <c r="I303" s="497"/>
      <c r="J303" s="497"/>
      <c r="K303" s="497"/>
      <c r="L303" s="485"/>
      <c r="M303" s="485"/>
      <c r="N303" s="485"/>
      <c r="O303" s="485"/>
      <c r="P303" s="485"/>
      <c r="Q303" s="485"/>
      <c r="R303" s="485"/>
      <c r="S303" s="485"/>
      <c r="T303" s="485"/>
      <c r="U303" s="485"/>
      <c r="V303" s="485"/>
      <c r="W303" s="485"/>
      <c r="X303" s="485"/>
      <c r="Y303" s="485"/>
      <c r="Z303" s="485"/>
      <c r="AA303" s="485"/>
    </row>
    <row r="304">
      <c r="A304" s="486"/>
      <c r="B304" s="482"/>
      <c r="C304" s="497"/>
      <c r="D304" s="497"/>
      <c r="E304" s="497"/>
      <c r="F304" s="497"/>
      <c r="G304" s="497"/>
      <c r="H304" s="497"/>
      <c r="I304" s="497"/>
      <c r="J304" s="497"/>
      <c r="K304" s="497"/>
      <c r="L304" s="485"/>
      <c r="M304" s="485"/>
      <c r="N304" s="485"/>
      <c r="O304" s="485"/>
      <c r="P304" s="485"/>
      <c r="Q304" s="485"/>
      <c r="R304" s="485"/>
      <c r="S304" s="485"/>
      <c r="T304" s="485"/>
      <c r="U304" s="485"/>
      <c r="V304" s="485"/>
      <c r="W304" s="485"/>
      <c r="X304" s="485"/>
      <c r="Y304" s="485"/>
      <c r="Z304" s="485"/>
      <c r="AA304" s="485"/>
    </row>
    <row r="305">
      <c r="A305" s="486"/>
      <c r="B305" s="482"/>
      <c r="C305" s="497"/>
      <c r="D305" s="497"/>
      <c r="E305" s="497"/>
      <c r="F305" s="497"/>
      <c r="G305" s="497"/>
      <c r="H305" s="497"/>
      <c r="I305" s="497"/>
      <c r="J305" s="497"/>
      <c r="K305" s="497"/>
      <c r="L305" s="485"/>
      <c r="M305" s="485"/>
      <c r="N305" s="485"/>
      <c r="O305" s="485"/>
      <c r="P305" s="485"/>
      <c r="Q305" s="485"/>
      <c r="R305" s="485"/>
      <c r="S305" s="485"/>
      <c r="T305" s="485"/>
      <c r="U305" s="485"/>
      <c r="V305" s="485"/>
      <c r="W305" s="485"/>
      <c r="X305" s="485"/>
      <c r="Y305" s="485"/>
      <c r="Z305" s="485"/>
      <c r="AA305" s="485"/>
    </row>
    <row r="306">
      <c r="A306" s="486"/>
      <c r="B306" s="482"/>
      <c r="C306" s="497"/>
      <c r="D306" s="497"/>
      <c r="E306" s="497"/>
      <c r="F306" s="497"/>
      <c r="G306" s="497"/>
      <c r="H306" s="497"/>
      <c r="I306" s="497"/>
      <c r="J306" s="497"/>
      <c r="K306" s="497"/>
      <c r="L306" s="485"/>
      <c r="M306" s="485"/>
      <c r="N306" s="485"/>
      <c r="O306" s="485"/>
      <c r="P306" s="485"/>
      <c r="Q306" s="485"/>
      <c r="R306" s="485"/>
      <c r="S306" s="485"/>
      <c r="T306" s="485"/>
      <c r="U306" s="485"/>
      <c r="V306" s="485"/>
      <c r="W306" s="485"/>
      <c r="X306" s="485"/>
      <c r="Y306" s="485"/>
      <c r="Z306" s="485"/>
      <c r="AA306" s="485"/>
    </row>
    <row r="307">
      <c r="A307" s="486"/>
      <c r="B307" s="482"/>
      <c r="C307" s="497"/>
      <c r="D307" s="497"/>
      <c r="E307" s="497"/>
      <c r="F307" s="497"/>
      <c r="G307" s="497"/>
      <c r="H307" s="497"/>
      <c r="I307" s="497"/>
      <c r="J307" s="497"/>
      <c r="K307" s="497"/>
      <c r="L307" s="485"/>
      <c r="M307" s="485"/>
      <c r="N307" s="485"/>
      <c r="O307" s="485"/>
      <c r="P307" s="485"/>
      <c r="Q307" s="485"/>
      <c r="R307" s="485"/>
      <c r="S307" s="485"/>
      <c r="T307" s="485"/>
      <c r="U307" s="485"/>
      <c r="V307" s="485"/>
      <c r="W307" s="485"/>
      <c r="X307" s="485"/>
      <c r="Y307" s="485"/>
      <c r="Z307" s="485"/>
      <c r="AA307" s="485"/>
    </row>
    <row r="308">
      <c r="A308" s="486"/>
      <c r="B308" s="482"/>
      <c r="C308" s="497"/>
      <c r="D308" s="497"/>
      <c r="E308" s="497"/>
      <c r="F308" s="497"/>
      <c r="G308" s="497"/>
      <c r="H308" s="497"/>
      <c r="I308" s="497"/>
      <c r="J308" s="497"/>
      <c r="K308" s="497"/>
      <c r="L308" s="485"/>
      <c r="M308" s="485"/>
      <c r="N308" s="485"/>
      <c r="O308" s="485"/>
      <c r="P308" s="485"/>
      <c r="Q308" s="485"/>
      <c r="R308" s="485"/>
      <c r="S308" s="485"/>
      <c r="T308" s="485"/>
      <c r="U308" s="485"/>
      <c r="V308" s="485"/>
      <c r="W308" s="485"/>
      <c r="X308" s="485"/>
      <c r="Y308" s="485"/>
      <c r="Z308" s="485"/>
      <c r="AA308" s="485"/>
    </row>
    <row r="309">
      <c r="A309" s="486"/>
      <c r="B309" s="482"/>
      <c r="C309" s="497"/>
      <c r="D309" s="497"/>
      <c r="E309" s="497"/>
      <c r="F309" s="497"/>
      <c r="G309" s="497"/>
      <c r="H309" s="497"/>
      <c r="I309" s="497"/>
      <c r="J309" s="497"/>
      <c r="K309" s="497"/>
      <c r="L309" s="485"/>
      <c r="M309" s="485"/>
      <c r="N309" s="485"/>
      <c r="O309" s="485"/>
      <c r="P309" s="485"/>
      <c r="Q309" s="485"/>
      <c r="R309" s="485"/>
      <c r="S309" s="485"/>
      <c r="T309" s="485"/>
      <c r="U309" s="485"/>
      <c r="V309" s="485"/>
      <c r="W309" s="485"/>
      <c r="X309" s="485"/>
      <c r="Y309" s="485"/>
      <c r="Z309" s="485"/>
      <c r="AA309" s="485"/>
    </row>
    <row r="310">
      <c r="A310" s="486"/>
      <c r="B310" s="482"/>
      <c r="C310" s="497"/>
      <c r="D310" s="497"/>
      <c r="E310" s="497"/>
      <c r="F310" s="497"/>
      <c r="G310" s="497"/>
      <c r="H310" s="497"/>
      <c r="I310" s="497"/>
      <c r="J310" s="497"/>
      <c r="K310" s="497"/>
      <c r="L310" s="485"/>
      <c r="M310" s="485"/>
      <c r="N310" s="485"/>
      <c r="O310" s="485"/>
      <c r="P310" s="485"/>
      <c r="Q310" s="485"/>
      <c r="R310" s="485"/>
      <c r="S310" s="485"/>
      <c r="T310" s="485"/>
      <c r="U310" s="485"/>
      <c r="V310" s="485"/>
      <c r="W310" s="485"/>
      <c r="X310" s="485"/>
      <c r="Y310" s="485"/>
      <c r="Z310" s="485"/>
      <c r="AA310" s="485"/>
    </row>
    <row r="311">
      <c r="A311" s="486"/>
      <c r="B311" s="482"/>
      <c r="C311" s="497"/>
      <c r="D311" s="497"/>
      <c r="E311" s="497"/>
      <c r="F311" s="497"/>
      <c r="G311" s="497"/>
      <c r="H311" s="497"/>
      <c r="I311" s="497"/>
      <c r="J311" s="497"/>
      <c r="K311" s="497"/>
      <c r="L311" s="485"/>
      <c r="M311" s="485"/>
      <c r="N311" s="485"/>
      <c r="O311" s="485"/>
      <c r="P311" s="485"/>
      <c r="Q311" s="485"/>
      <c r="R311" s="485"/>
      <c r="S311" s="485"/>
      <c r="T311" s="485"/>
      <c r="U311" s="485"/>
      <c r="V311" s="485"/>
      <c r="W311" s="485"/>
      <c r="X311" s="485"/>
      <c r="Y311" s="485"/>
      <c r="Z311" s="485"/>
      <c r="AA311" s="485"/>
    </row>
    <row r="312">
      <c r="A312" s="486"/>
      <c r="B312" s="482"/>
      <c r="C312" s="497"/>
      <c r="D312" s="497"/>
      <c r="E312" s="497"/>
      <c r="F312" s="497"/>
      <c r="G312" s="497"/>
      <c r="H312" s="497"/>
      <c r="I312" s="497"/>
      <c r="J312" s="497"/>
      <c r="K312" s="497"/>
      <c r="L312" s="485"/>
      <c r="M312" s="485"/>
      <c r="N312" s="485"/>
      <c r="O312" s="485"/>
      <c r="P312" s="485"/>
      <c r="Q312" s="485"/>
      <c r="R312" s="485"/>
      <c r="S312" s="485"/>
      <c r="T312" s="485"/>
      <c r="U312" s="485"/>
      <c r="V312" s="485"/>
      <c r="W312" s="485"/>
      <c r="X312" s="485"/>
      <c r="Y312" s="485"/>
      <c r="Z312" s="485"/>
      <c r="AA312" s="485"/>
    </row>
    <row r="313">
      <c r="A313" s="486"/>
      <c r="B313" s="482"/>
      <c r="C313" s="497"/>
      <c r="D313" s="497"/>
      <c r="E313" s="497"/>
      <c r="F313" s="497"/>
      <c r="G313" s="497"/>
      <c r="H313" s="497"/>
      <c r="I313" s="497"/>
      <c r="J313" s="497"/>
      <c r="K313" s="497"/>
      <c r="L313" s="485"/>
      <c r="M313" s="485"/>
      <c r="N313" s="485"/>
      <c r="O313" s="485"/>
      <c r="P313" s="485"/>
      <c r="Q313" s="485"/>
      <c r="R313" s="485"/>
      <c r="S313" s="485"/>
      <c r="T313" s="485"/>
      <c r="U313" s="485"/>
      <c r="V313" s="485"/>
      <c r="W313" s="485"/>
      <c r="X313" s="485"/>
      <c r="Y313" s="485"/>
      <c r="Z313" s="485"/>
      <c r="AA313" s="485"/>
    </row>
    <row r="314">
      <c r="A314" s="486"/>
      <c r="B314" s="482"/>
      <c r="C314" s="497"/>
      <c r="D314" s="497"/>
      <c r="E314" s="497"/>
      <c r="F314" s="497"/>
      <c r="G314" s="497"/>
      <c r="H314" s="497"/>
      <c r="I314" s="497"/>
      <c r="J314" s="497"/>
      <c r="K314" s="497"/>
      <c r="L314" s="485"/>
      <c r="M314" s="485"/>
      <c r="N314" s="485"/>
      <c r="O314" s="485"/>
      <c r="P314" s="485"/>
      <c r="Q314" s="485"/>
      <c r="R314" s="485"/>
      <c r="S314" s="485"/>
      <c r="T314" s="485"/>
      <c r="U314" s="485"/>
      <c r="V314" s="485"/>
      <c r="W314" s="485"/>
      <c r="X314" s="485"/>
      <c r="Y314" s="485"/>
      <c r="Z314" s="485"/>
      <c r="AA314" s="485"/>
    </row>
    <row r="315">
      <c r="A315" s="486"/>
      <c r="B315" s="482"/>
      <c r="C315" s="497"/>
      <c r="D315" s="497"/>
      <c r="E315" s="497"/>
      <c r="F315" s="497"/>
      <c r="G315" s="497"/>
      <c r="H315" s="497"/>
      <c r="I315" s="497"/>
      <c r="J315" s="497"/>
      <c r="K315" s="497"/>
      <c r="L315" s="485"/>
      <c r="M315" s="485"/>
      <c r="N315" s="485"/>
      <c r="O315" s="485"/>
      <c r="P315" s="485"/>
      <c r="Q315" s="485"/>
      <c r="R315" s="485"/>
      <c r="S315" s="485"/>
      <c r="T315" s="485"/>
      <c r="U315" s="485"/>
      <c r="V315" s="485"/>
      <c r="W315" s="485"/>
      <c r="X315" s="485"/>
      <c r="Y315" s="485"/>
      <c r="Z315" s="485"/>
      <c r="AA315" s="485"/>
    </row>
    <row r="316">
      <c r="A316" s="486"/>
      <c r="B316" s="482"/>
      <c r="C316" s="497"/>
      <c r="D316" s="497"/>
      <c r="E316" s="497"/>
      <c r="F316" s="497"/>
      <c r="G316" s="497"/>
      <c r="H316" s="497"/>
      <c r="I316" s="497"/>
      <c r="J316" s="497"/>
      <c r="K316" s="497"/>
      <c r="L316" s="485"/>
      <c r="M316" s="485"/>
      <c r="N316" s="485"/>
      <c r="O316" s="485"/>
      <c r="P316" s="485"/>
      <c r="Q316" s="485"/>
      <c r="R316" s="485"/>
      <c r="S316" s="485"/>
      <c r="T316" s="485"/>
      <c r="U316" s="485"/>
      <c r="V316" s="485"/>
      <c r="W316" s="485"/>
      <c r="X316" s="485"/>
      <c r="Y316" s="485"/>
      <c r="Z316" s="485"/>
      <c r="AA316" s="485"/>
    </row>
    <row r="317">
      <c r="A317" s="486"/>
      <c r="B317" s="482"/>
      <c r="C317" s="497"/>
      <c r="D317" s="497"/>
      <c r="E317" s="497"/>
      <c r="F317" s="497"/>
      <c r="G317" s="497"/>
      <c r="H317" s="497"/>
      <c r="I317" s="497"/>
      <c r="J317" s="497"/>
      <c r="K317" s="497"/>
      <c r="L317" s="485"/>
      <c r="M317" s="485"/>
      <c r="N317" s="485"/>
      <c r="O317" s="485"/>
      <c r="P317" s="485"/>
      <c r="Q317" s="485"/>
      <c r="R317" s="485"/>
      <c r="S317" s="485"/>
      <c r="T317" s="485"/>
      <c r="U317" s="485"/>
      <c r="V317" s="485"/>
      <c r="W317" s="485"/>
      <c r="X317" s="485"/>
      <c r="Y317" s="485"/>
      <c r="Z317" s="485"/>
      <c r="AA317" s="485"/>
    </row>
    <row r="318">
      <c r="A318" s="486"/>
      <c r="B318" s="482"/>
      <c r="C318" s="497"/>
      <c r="D318" s="497"/>
      <c r="E318" s="497"/>
      <c r="F318" s="497"/>
      <c r="G318" s="497"/>
      <c r="H318" s="497"/>
      <c r="I318" s="497"/>
      <c r="J318" s="497"/>
      <c r="K318" s="497"/>
      <c r="L318" s="485"/>
      <c r="M318" s="485"/>
      <c r="N318" s="485"/>
      <c r="O318" s="485"/>
      <c r="P318" s="485"/>
      <c r="Q318" s="485"/>
      <c r="R318" s="485"/>
      <c r="S318" s="485"/>
      <c r="T318" s="485"/>
      <c r="U318" s="485"/>
      <c r="V318" s="485"/>
      <c r="W318" s="485"/>
      <c r="X318" s="485"/>
      <c r="Y318" s="485"/>
      <c r="Z318" s="485"/>
      <c r="AA318" s="485"/>
    </row>
    <row r="319">
      <c r="A319" s="486"/>
      <c r="B319" s="482"/>
      <c r="C319" s="497"/>
      <c r="D319" s="497"/>
      <c r="E319" s="497"/>
      <c r="F319" s="497"/>
      <c r="G319" s="497"/>
      <c r="H319" s="497"/>
      <c r="I319" s="497"/>
      <c r="J319" s="497"/>
      <c r="K319" s="497"/>
      <c r="L319" s="485"/>
      <c r="M319" s="485"/>
      <c r="N319" s="485"/>
      <c r="O319" s="485"/>
      <c r="P319" s="485"/>
      <c r="Q319" s="485"/>
      <c r="R319" s="485"/>
      <c r="S319" s="485"/>
      <c r="T319" s="485"/>
      <c r="U319" s="485"/>
      <c r="V319" s="485"/>
      <c r="W319" s="485"/>
      <c r="X319" s="485"/>
      <c r="Y319" s="485"/>
      <c r="Z319" s="485"/>
      <c r="AA319" s="485"/>
    </row>
    <row r="320">
      <c r="A320" s="486"/>
      <c r="B320" s="482"/>
      <c r="C320" s="497"/>
      <c r="D320" s="497"/>
      <c r="E320" s="497"/>
      <c r="F320" s="497"/>
      <c r="G320" s="497"/>
      <c r="H320" s="497"/>
      <c r="I320" s="497"/>
      <c r="J320" s="497"/>
      <c r="K320" s="497"/>
      <c r="L320" s="485"/>
      <c r="M320" s="485"/>
      <c r="N320" s="485"/>
      <c r="O320" s="485"/>
      <c r="P320" s="485"/>
      <c r="Q320" s="485"/>
      <c r="R320" s="485"/>
      <c r="S320" s="485"/>
      <c r="T320" s="485"/>
      <c r="U320" s="485"/>
      <c r="V320" s="485"/>
      <c r="W320" s="485"/>
      <c r="X320" s="485"/>
      <c r="Y320" s="485"/>
      <c r="Z320" s="485"/>
      <c r="AA320" s="485"/>
    </row>
    <row r="321">
      <c r="A321" s="486"/>
      <c r="B321" s="482"/>
      <c r="C321" s="497"/>
      <c r="D321" s="497"/>
      <c r="E321" s="497"/>
      <c r="F321" s="497"/>
      <c r="G321" s="497"/>
      <c r="H321" s="497"/>
      <c r="I321" s="497"/>
      <c r="J321" s="497"/>
      <c r="K321" s="497"/>
      <c r="L321" s="485"/>
      <c r="M321" s="485"/>
      <c r="N321" s="485"/>
      <c r="O321" s="485"/>
      <c r="P321" s="485"/>
      <c r="Q321" s="485"/>
      <c r="R321" s="485"/>
      <c r="S321" s="485"/>
      <c r="T321" s="485"/>
      <c r="U321" s="485"/>
      <c r="V321" s="485"/>
      <c r="W321" s="485"/>
      <c r="X321" s="485"/>
      <c r="Y321" s="485"/>
      <c r="Z321" s="485"/>
      <c r="AA321" s="485"/>
    </row>
    <row r="322">
      <c r="A322" s="486"/>
      <c r="B322" s="482"/>
      <c r="C322" s="497"/>
      <c r="D322" s="497"/>
      <c r="E322" s="497"/>
      <c r="F322" s="497"/>
      <c r="G322" s="497"/>
      <c r="H322" s="497"/>
      <c r="I322" s="497"/>
      <c r="J322" s="497"/>
      <c r="K322" s="497"/>
      <c r="L322" s="485"/>
      <c r="M322" s="485"/>
      <c r="N322" s="485"/>
      <c r="O322" s="485"/>
      <c r="P322" s="485"/>
      <c r="Q322" s="485"/>
      <c r="R322" s="485"/>
      <c r="S322" s="485"/>
      <c r="T322" s="485"/>
      <c r="U322" s="485"/>
      <c r="V322" s="485"/>
      <c r="W322" s="485"/>
      <c r="X322" s="485"/>
      <c r="Y322" s="485"/>
      <c r="Z322" s="485"/>
      <c r="AA322" s="485"/>
    </row>
    <row r="323">
      <c r="A323" s="486"/>
      <c r="B323" s="482"/>
      <c r="C323" s="497"/>
      <c r="D323" s="497"/>
      <c r="E323" s="497"/>
      <c r="F323" s="497"/>
      <c r="G323" s="497"/>
      <c r="H323" s="497"/>
      <c r="I323" s="497"/>
      <c r="J323" s="497"/>
      <c r="K323" s="497"/>
      <c r="L323" s="485"/>
      <c r="M323" s="485"/>
      <c r="N323" s="485"/>
      <c r="O323" s="485"/>
      <c r="P323" s="485"/>
      <c r="Q323" s="485"/>
      <c r="R323" s="485"/>
      <c r="S323" s="485"/>
      <c r="T323" s="485"/>
      <c r="U323" s="485"/>
      <c r="V323" s="485"/>
      <c r="W323" s="485"/>
      <c r="X323" s="485"/>
      <c r="Y323" s="485"/>
      <c r="Z323" s="485"/>
      <c r="AA323" s="485"/>
    </row>
    <row r="324">
      <c r="A324" s="486"/>
      <c r="B324" s="482"/>
      <c r="C324" s="497"/>
      <c r="D324" s="497"/>
      <c r="E324" s="497"/>
      <c r="F324" s="497"/>
      <c r="G324" s="497"/>
      <c r="H324" s="497"/>
      <c r="I324" s="497"/>
      <c r="J324" s="497"/>
      <c r="K324" s="497"/>
      <c r="L324" s="485"/>
      <c r="M324" s="485"/>
      <c r="N324" s="485"/>
      <c r="O324" s="485"/>
      <c r="P324" s="485"/>
      <c r="Q324" s="485"/>
      <c r="R324" s="485"/>
      <c r="S324" s="485"/>
      <c r="T324" s="485"/>
      <c r="U324" s="485"/>
      <c r="V324" s="485"/>
      <c r="W324" s="485"/>
      <c r="X324" s="485"/>
      <c r="Y324" s="485"/>
      <c r="Z324" s="485"/>
      <c r="AA324" s="485"/>
    </row>
    <row r="325">
      <c r="A325" s="486"/>
      <c r="B325" s="482"/>
      <c r="C325" s="497"/>
      <c r="D325" s="497"/>
      <c r="E325" s="497"/>
      <c r="F325" s="497"/>
      <c r="G325" s="497"/>
      <c r="H325" s="497"/>
      <c r="I325" s="497"/>
      <c r="J325" s="497"/>
      <c r="K325" s="497"/>
      <c r="L325" s="485"/>
      <c r="M325" s="485"/>
      <c r="N325" s="485"/>
      <c r="O325" s="485"/>
      <c r="P325" s="485"/>
      <c r="Q325" s="485"/>
      <c r="R325" s="485"/>
      <c r="S325" s="485"/>
      <c r="T325" s="485"/>
      <c r="U325" s="485"/>
      <c r="V325" s="485"/>
      <c r="W325" s="485"/>
      <c r="X325" s="485"/>
      <c r="Y325" s="485"/>
      <c r="Z325" s="485"/>
      <c r="AA325" s="485"/>
    </row>
    <row r="326">
      <c r="A326" s="486"/>
      <c r="B326" s="482"/>
      <c r="C326" s="497"/>
      <c r="D326" s="497"/>
      <c r="E326" s="497"/>
      <c r="F326" s="497"/>
      <c r="G326" s="497"/>
      <c r="H326" s="497"/>
      <c r="I326" s="497"/>
      <c r="J326" s="497"/>
      <c r="K326" s="497"/>
      <c r="L326" s="485"/>
      <c r="M326" s="485"/>
      <c r="N326" s="485"/>
      <c r="O326" s="485"/>
      <c r="P326" s="485"/>
      <c r="Q326" s="485"/>
      <c r="R326" s="485"/>
      <c r="S326" s="485"/>
      <c r="T326" s="485"/>
      <c r="U326" s="485"/>
      <c r="V326" s="485"/>
      <c r="W326" s="485"/>
      <c r="X326" s="485"/>
      <c r="Y326" s="485"/>
      <c r="Z326" s="485"/>
      <c r="AA326" s="485"/>
    </row>
    <row r="327">
      <c r="A327" s="486"/>
      <c r="B327" s="482"/>
      <c r="C327" s="497"/>
      <c r="D327" s="497"/>
      <c r="E327" s="497"/>
      <c r="F327" s="497"/>
      <c r="G327" s="497"/>
      <c r="H327" s="497"/>
      <c r="I327" s="497"/>
      <c r="J327" s="497"/>
      <c r="K327" s="497"/>
      <c r="L327" s="485"/>
      <c r="M327" s="485"/>
      <c r="N327" s="485"/>
      <c r="O327" s="485"/>
      <c r="P327" s="485"/>
      <c r="Q327" s="485"/>
      <c r="R327" s="485"/>
      <c r="S327" s="485"/>
      <c r="T327" s="485"/>
      <c r="U327" s="485"/>
      <c r="V327" s="485"/>
      <c r="W327" s="485"/>
      <c r="X327" s="485"/>
      <c r="Y327" s="485"/>
      <c r="Z327" s="485"/>
      <c r="AA327" s="485"/>
    </row>
    <row r="328">
      <c r="A328" s="486"/>
      <c r="B328" s="482"/>
      <c r="C328" s="497"/>
      <c r="D328" s="497"/>
      <c r="E328" s="497"/>
      <c r="F328" s="497"/>
      <c r="G328" s="497"/>
      <c r="H328" s="497"/>
      <c r="I328" s="497"/>
      <c r="J328" s="497"/>
      <c r="K328" s="497"/>
      <c r="L328" s="485"/>
      <c r="M328" s="485"/>
      <c r="N328" s="485"/>
      <c r="O328" s="485"/>
      <c r="P328" s="485"/>
      <c r="Q328" s="485"/>
      <c r="R328" s="485"/>
      <c r="S328" s="485"/>
      <c r="T328" s="485"/>
      <c r="U328" s="485"/>
      <c r="V328" s="485"/>
      <c r="W328" s="485"/>
      <c r="X328" s="485"/>
      <c r="Y328" s="485"/>
      <c r="Z328" s="485"/>
      <c r="AA328" s="485"/>
    </row>
    <row r="329">
      <c r="A329" s="486"/>
      <c r="B329" s="482"/>
      <c r="C329" s="497"/>
      <c r="D329" s="497"/>
      <c r="E329" s="497"/>
      <c r="F329" s="497"/>
      <c r="G329" s="497"/>
      <c r="H329" s="497"/>
      <c r="I329" s="497"/>
      <c r="J329" s="497"/>
      <c r="K329" s="497"/>
      <c r="L329" s="485"/>
      <c r="M329" s="485"/>
      <c r="N329" s="485"/>
      <c r="O329" s="485"/>
      <c r="P329" s="485"/>
      <c r="Q329" s="485"/>
      <c r="R329" s="485"/>
      <c r="S329" s="485"/>
      <c r="T329" s="485"/>
      <c r="U329" s="485"/>
      <c r="V329" s="485"/>
      <c r="W329" s="485"/>
      <c r="X329" s="485"/>
      <c r="Y329" s="485"/>
      <c r="Z329" s="485"/>
      <c r="AA329" s="485"/>
    </row>
    <row r="330">
      <c r="A330" s="486"/>
      <c r="B330" s="482"/>
      <c r="C330" s="497"/>
      <c r="D330" s="497"/>
      <c r="E330" s="497"/>
      <c r="F330" s="497"/>
      <c r="G330" s="497"/>
      <c r="H330" s="497"/>
      <c r="I330" s="497"/>
      <c r="J330" s="497"/>
      <c r="K330" s="497"/>
      <c r="L330" s="485"/>
      <c r="M330" s="485"/>
      <c r="N330" s="485"/>
      <c r="O330" s="485"/>
      <c r="P330" s="485"/>
      <c r="Q330" s="485"/>
      <c r="R330" s="485"/>
      <c r="S330" s="485"/>
      <c r="T330" s="485"/>
      <c r="U330" s="485"/>
      <c r="V330" s="485"/>
      <c r="W330" s="485"/>
      <c r="X330" s="485"/>
      <c r="Y330" s="485"/>
      <c r="Z330" s="485"/>
      <c r="AA330" s="485"/>
    </row>
    <row r="331">
      <c r="A331" s="486"/>
      <c r="B331" s="482"/>
      <c r="C331" s="497"/>
      <c r="D331" s="497"/>
      <c r="E331" s="497"/>
      <c r="F331" s="497"/>
      <c r="G331" s="497"/>
      <c r="H331" s="497"/>
      <c r="I331" s="497"/>
      <c r="J331" s="497"/>
      <c r="K331" s="497"/>
      <c r="L331" s="485"/>
      <c r="M331" s="485"/>
      <c r="N331" s="485"/>
      <c r="O331" s="485"/>
      <c r="P331" s="485"/>
      <c r="Q331" s="485"/>
      <c r="R331" s="485"/>
      <c r="S331" s="485"/>
      <c r="T331" s="485"/>
      <c r="U331" s="485"/>
      <c r="V331" s="485"/>
      <c r="W331" s="485"/>
      <c r="X331" s="485"/>
      <c r="Y331" s="485"/>
      <c r="Z331" s="485"/>
      <c r="AA331" s="485"/>
    </row>
    <row r="332">
      <c r="A332" s="486"/>
      <c r="B332" s="482"/>
      <c r="C332" s="497"/>
      <c r="D332" s="497"/>
      <c r="E332" s="497"/>
      <c r="F332" s="497"/>
      <c r="G332" s="497"/>
      <c r="H332" s="497"/>
      <c r="I332" s="497"/>
      <c r="J332" s="497"/>
      <c r="K332" s="497"/>
      <c r="L332" s="485"/>
      <c r="M332" s="485"/>
      <c r="N332" s="485"/>
      <c r="O332" s="485"/>
      <c r="P332" s="485"/>
      <c r="Q332" s="485"/>
      <c r="R332" s="485"/>
      <c r="S332" s="485"/>
      <c r="T332" s="485"/>
      <c r="U332" s="485"/>
      <c r="V332" s="485"/>
      <c r="W332" s="485"/>
      <c r="X332" s="485"/>
      <c r="Y332" s="485"/>
      <c r="Z332" s="485"/>
      <c r="AA332" s="485"/>
    </row>
    <row r="333">
      <c r="A333" s="486"/>
      <c r="B333" s="482"/>
      <c r="C333" s="497"/>
      <c r="D333" s="497"/>
      <c r="E333" s="497"/>
      <c r="F333" s="497"/>
      <c r="G333" s="497"/>
      <c r="H333" s="497"/>
      <c r="I333" s="497"/>
      <c r="J333" s="497"/>
      <c r="K333" s="497"/>
      <c r="L333" s="485"/>
      <c r="M333" s="485"/>
      <c r="N333" s="485"/>
      <c r="O333" s="485"/>
      <c r="P333" s="485"/>
      <c r="Q333" s="485"/>
      <c r="R333" s="485"/>
      <c r="S333" s="485"/>
      <c r="T333" s="485"/>
      <c r="U333" s="485"/>
      <c r="V333" s="485"/>
      <c r="W333" s="485"/>
      <c r="X333" s="485"/>
      <c r="Y333" s="485"/>
      <c r="Z333" s="485"/>
      <c r="AA333" s="485"/>
    </row>
    <row r="334">
      <c r="A334" s="486"/>
      <c r="B334" s="482"/>
      <c r="C334" s="497"/>
      <c r="D334" s="497"/>
      <c r="E334" s="497"/>
      <c r="F334" s="497"/>
      <c r="G334" s="497"/>
      <c r="H334" s="497"/>
      <c r="I334" s="497"/>
      <c r="J334" s="497"/>
      <c r="K334" s="497"/>
      <c r="L334" s="485"/>
      <c r="M334" s="485"/>
      <c r="N334" s="485"/>
      <c r="O334" s="485"/>
      <c r="P334" s="485"/>
      <c r="Q334" s="485"/>
      <c r="R334" s="485"/>
      <c r="S334" s="485"/>
      <c r="T334" s="485"/>
      <c r="U334" s="485"/>
      <c r="V334" s="485"/>
      <c r="W334" s="485"/>
      <c r="X334" s="485"/>
      <c r="Y334" s="485"/>
      <c r="Z334" s="485"/>
      <c r="AA334" s="485"/>
    </row>
    <row r="335">
      <c r="A335" s="486"/>
      <c r="B335" s="482"/>
      <c r="C335" s="497"/>
      <c r="D335" s="497"/>
      <c r="E335" s="497"/>
      <c r="F335" s="497"/>
      <c r="G335" s="497"/>
      <c r="H335" s="497"/>
      <c r="I335" s="497"/>
      <c r="J335" s="497"/>
      <c r="K335" s="497"/>
      <c r="L335" s="485"/>
      <c r="M335" s="485"/>
      <c r="N335" s="485"/>
      <c r="O335" s="485"/>
      <c r="P335" s="485"/>
      <c r="Q335" s="485"/>
      <c r="R335" s="485"/>
      <c r="S335" s="485"/>
      <c r="T335" s="485"/>
      <c r="U335" s="485"/>
      <c r="V335" s="485"/>
      <c r="W335" s="485"/>
      <c r="X335" s="485"/>
      <c r="Y335" s="485"/>
      <c r="Z335" s="485"/>
      <c r="AA335" s="485"/>
    </row>
    <row r="336">
      <c r="A336" s="486"/>
      <c r="B336" s="482"/>
      <c r="C336" s="497"/>
      <c r="D336" s="497"/>
      <c r="E336" s="497"/>
      <c r="F336" s="497"/>
      <c r="G336" s="497"/>
      <c r="H336" s="497"/>
      <c r="I336" s="497"/>
      <c r="J336" s="497"/>
      <c r="K336" s="497"/>
      <c r="L336" s="485"/>
      <c r="M336" s="485"/>
      <c r="N336" s="485"/>
      <c r="O336" s="485"/>
      <c r="P336" s="485"/>
      <c r="Q336" s="485"/>
      <c r="R336" s="485"/>
      <c r="S336" s="485"/>
      <c r="T336" s="485"/>
      <c r="U336" s="485"/>
      <c r="V336" s="485"/>
      <c r="W336" s="485"/>
      <c r="X336" s="485"/>
      <c r="Y336" s="485"/>
      <c r="Z336" s="485"/>
      <c r="AA336" s="485"/>
    </row>
    <row r="337">
      <c r="A337" s="486"/>
      <c r="B337" s="482"/>
      <c r="C337" s="497"/>
      <c r="D337" s="497"/>
      <c r="E337" s="497"/>
      <c r="F337" s="497"/>
      <c r="G337" s="497"/>
      <c r="H337" s="497"/>
      <c r="I337" s="497"/>
      <c r="J337" s="497"/>
      <c r="K337" s="497"/>
      <c r="L337" s="485"/>
      <c r="M337" s="485"/>
      <c r="N337" s="485"/>
      <c r="O337" s="485"/>
      <c r="P337" s="485"/>
      <c r="Q337" s="485"/>
      <c r="R337" s="485"/>
      <c r="S337" s="485"/>
      <c r="T337" s="485"/>
      <c r="U337" s="485"/>
      <c r="V337" s="485"/>
      <c r="W337" s="485"/>
      <c r="X337" s="485"/>
      <c r="Y337" s="485"/>
      <c r="Z337" s="485"/>
      <c r="AA337" s="485"/>
    </row>
    <row r="338">
      <c r="A338" s="486"/>
      <c r="B338" s="482"/>
      <c r="C338" s="497"/>
      <c r="D338" s="497"/>
      <c r="E338" s="497"/>
      <c r="F338" s="497"/>
      <c r="G338" s="497"/>
      <c r="H338" s="497"/>
      <c r="I338" s="497"/>
      <c r="J338" s="497"/>
      <c r="K338" s="497"/>
      <c r="L338" s="485"/>
      <c r="M338" s="485"/>
      <c r="N338" s="485"/>
      <c r="O338" s="485"/>
      <c r="P338" s="485"/>
      <c r="Q338" s="485"/>
      <c r="R338" s="485"/>
      <c r="S338" s="485"/>
      <c r="T338" s="485"/>
      <c r="U338" s="485"/>
      <c r="V338" s="485"/>
      <c r="W338" s="485"/>
      <c r="X338" s="485"/>
      <c r="Y338" s="485"/>
      <c r="Z338" s="485"/>
      <c r="AA338" s="485"/>
    </row>
    <row r="339">
      <c r="A339" s="486"/>
      <c r="B339" s="482"/>
      <c r="C339" s="497"/>
      <c r="D339" s="497"/>
      <c r="E339" s="497"/>
      <c r="F339" s="497"/>
      <c r="G339" s="497"/>
      <c r="H339" s="497"/>
      <c r="I339" s="497"/>
      <c r="J339" s="497"/>
      <c r="K339" s="497"/>
      <c r="L339" s="485"/>
      <c r="M339" s="485"/>
      <c r="N339" s="485"/>
      <c r="O339" s="485"/>
      <c r="P339" s="485"/>
      <c r="Q339" s="485"/>
      <c r="R339" s="485"/>
      <c r="S339" s="485"/>
      <c r="T339" s="485"/>
      <c r="U339" s="485"/>
      <c r="V339" s="485"/>
      <c r="W339" s="485"/>
      <c r="X339" s="485"/>
      <c r="Y339" s="485"/>
      <c r="Z339" s="485"/>
      <c r="AA339" s="485"/>
    </row>
    <row r="340">
      <c r="A340" s="486"/>
      <c r="B340" s="482"/>
      <c r="C340" s="497"/>
      <c r="D340" s="497"/>
      <c r="E340" s="497"/>
      <c r="F340" s="497"/>
      <c r="G340" s="497"/>
      <c r="H340" s="497"/>
      <c r="I340" s="497"/>
      <c r="J340" s="497"/>
      <c r="K340" s="497"/>
      <c r="L340" s="485"/>
      <c r="M340" s="485"/>
      <c r="N340" s="485"/>
      <c r="O340" s="485"/>
      <c r="P340" s="485"/>
      <c r="Q340" s="485"/>
      <c r="R340" s="485"/>
      <c r="S340" s="485"/>
      <c r="T340" s="485"/>
      <c r="U340" s="485"/>
      <c r="V340" s="485"/>
      <c r="W340" s="485"/>
      <c r="X340" s="485"/>
      <c r="Y340" s="485"/>
      <c r="Z340" s="485"/>
      <c r="AA340" s="485"/>
    </row>
    <row r="341">
      <c r="A341" s="486"/>
      <c r="B341" s="482"/>
      <c r="C341" s="497"/>
      <c r="D341" s="497"/>
      <c r="E341" s="497"/>
      <c r="F341" s="497"/>
      <c r="G341" s="497"/>
      <c r="H341" s="497"/>
      <c r="I341" s="497"/>
      <c r="J341" s="497"/>
      <c r="K341" s="497"/>
      <c r="L341" s="485"/>
      <c r="M341" s="485"/>
      <c r="N341" s="485"/>
      <c r="O341" s="485"/>
      <c r="P341" s="485"/>
      <c r="Q341" s="485"/>
      <c r="R341" s="485"/>
      <c r="S341" s="485"/>
      <c r="T341" s="485"/>
      <c r="U341" s="485"/>
      <c r="V341" s="485"/>
      <c r="W341" s="485"/>
      <c r="X341" s="485"/>
      <c r="Y341" s="485"/>
      <c r="Z341" s="485"/>
      <c r="AA341" s="485"/>
    </row>
    <row r="342">
      <c r="A342" s="486"/>
      <c r="B342" s="482"/>
      <c r="C342" s="497"/>
      <c r="D342" s="497"/>
      <c r="E342" s="497"/>
      <c r="F342" s="497"/>
      <c r="G342" s="497"/>
      <c r="H342" s="497"/>
      <c r="I342" s="497"/>
      <c r="J342" s="497"/>
      <c r="K342" s="497"/>
      <c r="L342" s="485"/>
      <c r="M342" s="485"/>
      <c r="N342" s="485"/>
      <c r="O342" s="485"/>
      <c r="P342" s="485"/>
      <c r="Q342" s="485"/>
      <c r="R342" s="485"/>
      <c r="S342" s="485"/>
      <c r="T342" s="485"/>
      <c r="U342" s="485"/>
      <c r="V342" s="485"/>
      <c r="W342" s="485"/>
      <c r="X342" s="485"/>
      <c r="Y342" s="485"/>
      <c r="Z342" s="485"/>
      <c r="AA342" s="485"/>
    </row>
    <row r="343">
      <c r="A343" s="486"/>
      <c r="B343" s="482"/>
      <c r="C343" s="497"/>
      <c r="D343" s="497"/>
      <c r="E343" s="497"/>
      <c r="F343" s="497"/>
      <c r="G343" s="497"/>
      <c r="H343" s="497"/>
      <c r="I343" s="497"/>
      <c r="J343" s="497"/>
      <c r="K343" s="497"/>
      <c r="L343" s="485"/>
      <c r="M343" s="485"/>
      <c r="N343" s="485"/>
      <c r="O343" s="485"/>
      <c r="P343" s="485"/>
      <c r="Q343" s="485"/>
      <c r="R343" s="485"/>
      <c r="S343" s="485"/>
      <c r="T343" s="485"/>
      <c r="U343" s="485"/>
      <c r="V343" s="485"/>
      <c r="W343" s="485"/>
      <c r="X343" s="485"/>
      <c r="Y343" s="485"/>
      <c r="Z343" s="485"/>
      <c r="AA343" s="485"/>
    </row>
    <row r="344">
      <c r="A344" s="486"/>
      <c r="B344" s="482"/>
      <c r="C344" s="497"/>
      <c r="D344" s="497"/>
      <c r="E344" s="497"/>
      <c r="F344" s="497"/>
      <c r="G344" s="497"/>
      <c r="H344" s="497"/>
      <c r="I344" s="497"/>
      <c r="J344" s="497"/>
      <c r="K344" s="497"/>
      <c r="L344" s="485"/>
      <c r="M344" s="485"/>
      <c r="N344" s="485"/>
      <c r="O344" s="485"/>
      <c r="P344" s="485"/>
      <c r="Q344" s="485"/>
      <c r="R344" s="485"/>
      <c r="S344" s="485"/>
      <c r="T344" s="485"/>
      <c r="U344" s="485"/>
      <c r="V344" s="485"/>
      <c r="W344" s="485"/>
      <c r="X344" s="485"/>
      <c r="Y344" s="485"/>
      <c r="Z344" s="485"/>
      <c r="AA344" s="485"/>
    </row>
    <row r="345">
      <c r="A345" s="486"/>
      <c r="B345" s="482"/>
      <c r="C345" s="497"/>
      <c r="D345" s="497"/>
      <c r="E345" s="497"/>
      <c r="F345" s="497"/>
      <c r="G345" s="497"/>
      <c r="H345" s="497"/>
      <c r="I345" s="497"/>
      <c r="J345" s="497"/>
      <c r="K345" s="497"/>
      <c r="L345" s="485"/>
      <c r="M345" s="485"/>
      <c r="N345" s="485"/>
      <c r="O345" s="485"/>
      <c r="P345" s="485"/>
      <c r="Q345" s="485"/>
      <c r="R345" s="485"/>
      <c r="S345" s="485"/>
      <c r="T345" s="485"/>
      <c r="U345" s="485"/>
      <c r="V345" s="485"/>
      <c r="W345" s="485"/>
      <c r="X345" s="485"/>
      <c r="Y345" s="485"/>
      <c r="Z345" s="485"/>
      <c r="AA345" s="485"/>
    </row>
    <row r="346">
      <c r="A346" s="486"/>
      <c r="B346" s="482"/>
      <c r="C346" s="497"/>
      <c r="D346" s="497"/>
      <c r="E346" s="497"/>
      <c r="F346" s="497"/>
      <c r="G346" s="497"/>
      <c r="H346" s="497"/>
      <c r="I346" s="497"/>
      <c r="J346" s="497"/>
      <c r="K346" s="497"/>
      <c r="L346" s="485"/>
      <c r="M346" s="485"/>
      <c r="N346" s="485"/>
      <c r="O346" s="485"/>
      <c r="P346" s="485"/>
      <c r="Q346" s="485"/>
      <c r="R346" s="485"/>
      <c r="S346" s="485"/>
      <c r="T346" s="485"/>
      <c r="U346" s="485"/>
      <c r="V346" s="485"/>
      <c r="W346" s="485"/>
      <c r="X346" s="485"/>
      <c r="Y346" s="485"/>
      <c r="Z346" s="485"/>
      <c r="AA346" s="485"/>
    </row>
    <row r="347">
      <c r="A347" s="486"/>
      <c r="B347" s="482"/>
      <c r="C347" s="497"/>
      <c r="D347" s="497"/>
      <c r="E347" s="497"/>
      <c r="F347" s="497"/>
      <c r="G347" s="497"/>
      <c r="H347" s="497"/>
      <c r="I347" s="497"/>
      <c r="J347" s="497"/>
      <c r="K347" s="497"/>
      <c r="L347" s="485"/>
      <c r="M347" s="485"/>
      <c r="N347" s="485"/>
      <c r="O347" s="485"/>
      <c r="P347" s="485"/>
      <c r="Q347" s="485"/>
      <c r="R347" s="485"/>
      <c r="S347" s="485"/>
      <c r="T347" s="485"/>
      <c r="U347" s="485"/>
      <c r="V347" s="485"/>
      <c r="W347" s="485"/>
      <c r="X347" s="485"/>
      <c r="Y347" s="485"/>
      <c r="Z347" s="485"/>
      <c r="AA347" s="485"/>
    </row>
    <row r="348">
      <c r="A348" s="486"/>
      <c r="B348" s="482"/>
      <c r="C348" s="497"/>
      <c r="D348" s="497"/>
      <c r="E348" s="497"/>
      <c r="F348" s="497"/>
      <c r="G348" s="497"/>
      <c r="H348" s="497"/>
      <c r="I348" s="497"/>
      <c r="J348" s="497"/>
      <c r="K348" s="497"/>
      <c r="L348" s="485"/>
      <c r="M348" s="485"/>
      <c r="N348" s="485"/>
      <c r="O348" s="485"/>
      <c r="P348" s="485"/>
      <c r="Q348" s="485"/>
      <c r="R348" s="485"/>
      <c r="S348" s="485"/>
      <c r="T348" s="485"/>
      <c r="U348" s="485"/>
      <c r="V348" s="485"/>
      <c r="W348" s="485"/>
      <c r="X348" s="485"/>
      <c r="Y348" s="485"/>
      <c r="Z348" s="485"/>
      <c r="AA348" s="485"/>
    </row>
    <row r="349">
      <c r="A349" s="486"/>
      <c r="B349" s="482"/>
      <c r="C349" s="497"/>
      <c r="D349" s="497"/>
      <c r="E349" s="497"/>
      <c r="F349" s="497"/>
      <c r="G349" s="497"/>
      <c r="H349" s="497"/>
      <c r="I349" s="497"/>
      <c r="J349" s="497"/>
      <c r="K349" s="497"/>
      <c r="L349" s="485"/>
      <c r="M349" s="485"/>
      <c r="N349" s="485"/>
      <c r="O349" s="485"/>
      <c r="P349" s="485"/>
      <c r="Q349" s="485"/>
      <c r="R349" s="485"/>
      <c r="S349" s="485"/>
      <c r="T349" s="485"/>
      <c r="U349" s="485"/>
      <c r="V349" s="485"/>
      <c r="W349" s="485"/>
      <c r="X349" s="485"/>
      <c r="Y349" s="485"/>
      <c r="Z349" s="485"/>
      <c r="AA349" s="485"/>
    </row>
    <row r="350">
      <c r="A350" s="486"/>
      <c r="B350" s="482"/>
      <c r="C350" s="497"/>
      <c r="D350" s="497"/>
      <c r="E350" s="497"/>
      <c r="F350" s="497"/>
      <c r="G350" s="497"/>
      <c r="H350" s="497"/>
      <c r="I350" s="497"/>
      <c r="J350" s="497"/>
      <c r="K350" s="497"/>
      <c r="L350" s="485"/>
      <c r="M350" s="485"/>
      <c r="N350" s="485"/>
      <c r="O350" s="485"/>
      <c r="P350" s="485"/>
      <c r="Q350" s="485"/>
      <c r="R350" s="485"/>
      <c r="S350" s="485"/>
      <c r="T350" s="485"/>
      <c r="U350" s="485"/>
      <c r="V350" s="485"/>
      <c r="W350" s="485"/>
      <c r="X350" s="485"/>
      <c r="Y350" s="485"/>
      <c r="Z350" s="485"/>
      <c r="AA350" s="485"/>
    </row>
    <row r="351">
      <c r="A351" s="486"/>
      <c r="B351" s="482"/>
      <c r="C351" s="497"/>
      <c r="D351" s="497"/>
      <c r="E351" s="497"/>
      <c r="F351" s="497"/>
      <c r="G351" s="497"/>
      <c r="H351" s="497"/>
      <c r="I351" s="497"/>
      <c r="J351" s="497"/>
      <c r="K351" s="497"/>
      <c r="L351" s="485"/>
      <c r="M351" s="485"/>
      <c r="N351" s="485"/>
      <c r="O351" s="485"/>
      <c r="P351" s="485"/>
      <c r="Q351" s="485"/>
      <c r="R351" s="485"/>
      <c r="S351" s="485"/>
      <c r="T351" s="485"/>
      <c r="U351" s="485"/>
      <c r="V351" s="485"/>
      <c r="W351" s="485"/>
      <c r="X351" s="485"/>
      <c r="Y351" s="485"/>
      <c r="Z351" s="485"/>
      <c r="AA351" s="485"/>
    </row>
    <row r="352">
      <c r="A352" s="486"/>
      <c r="B352" s="482"/>
      <c r="C352" s="497"/>
      <c r="D352" s="497"/>
      <c r="E352" s="497"/>
      <c r="F352" s="497"/>
      <c r="G352" s="497"/>
      <c r="H352" s="497"/>
      <c r="I352" s="497"/>
      <c r="J352" s="497"/>
      <c r="K352" s="497"/>
      <c r="L352" s="485"/>
      <c r="M352" s="485"/>
      <c r="N352" s="485"/>
      <c r="O352" s="485"/>
      <c r="P352" s="485"/>
      <c r="Q352" s="485"/>
      <c r="R352" s="485"/>
      <c r="S352" s="485"/>
      <c r="T352" s="485"/>
      <c r="U352" s="485"/>
      <c r="V352" s="485"/>
      <c r="W352" s="485"/>
      <c r="X352" s="485"/>
      <c r="Y352" s="485"/>
      <c r="Z352" s="485"/>
      <c r="AA352" s="485"/>
    </row>
    <row r="353">
      <c r="A353" s="486"/>
      <c r="B353" s="482"/>
      <c r="C353" s="497"/>
      <c r="D353" s="497"/>
      <c r="E353" s="497"/>
      <c r="F353" s="497"/>
      <c r="G353" s="497"/>
      <c r="H353" s="497"/>
      <c r="I353" s="497"/>
      <c r="J353" s="497"/>
      <c r="K353" s="497"/>
      <c r="L353" s="485"/>
      <c r="M353" s="485"/>
      <c r="N353" s="485"/>
      <c r="O353" s="485"/>
      <c r="P353" s="485"/>
      <c r="Q353" s="485"/>
      <c r="R353" s="485"/>
      <c r="S353" s="485"/>
      <c r="T353" s="485"/>
      <c r="U353" s="485"/>
      <c r="V353" s="485"/>
      <c r="W353" s="485"/>
      <c r="X353" s="485"/>
      <c r="Y353" s="485"/>
      <c r="Z353" s="485"/>
      <c r="AA353" s="485"/>
    </row>
    <row r="354">
      <c r="A354" s="486"/>
      <c r="B354" s="482"/>
      <c r="C354" s="497"/>
      <c r="D354" s="497"/>
      <c r="E354" s="497"/>
      <c r="F354" s="497"/>
      <c r="G354" s="497"/>
      <c r="H354" s="497"/>
      <c r="I354" s="497"/>
      <c r="J354" s="497"/>
      <c r="K354" s="497"/>
      <c r="L354" s="485"/>
      <c r="M354" s="485"/>
      <c r="N354" s="485"/>
      <c r="O354" s="485"/>
      <c r="P354" s="485"/>
      <c r="Q354" s="485"/>
      <c r="R354" s="485"/>
      <c r="S354" s="485"/>
      <c r="T354" s="485"/>
      <c r="U354" s="485"/>
      <c r="V354" s="485"/>
      <c r="W354" s="485"/>
      <c r="X354" s="485"/>
      <c r="Y354" s="485"/>
      <c r="Z354" s="485"/>
      <c r="AA354" s="485"/>
    </row>
    <row r="355">
      <c r="A355" s="486"/>
      <c r="B355" s="482"/>
      <c r="C355" s="497"/>
      <c r="D355" s="497"/>
      <c r="E355" s="497"/>
      <c r="F355" s="497"/>
      <c r="G355" s="497"/>
      <c r="H355" s="497"/>
      <c r="I355" s="497"/>
      <c r="J355" s="497"/>
      <c r="K355" s="497"/>
      <c r="L355" s="485"/>
      <c r="M355" s="485"/>
      <c r="N355" s="485"/>
      <c r="O355" s="485"/>
      <c r="P355" s="485"/>
      <c r="Q355" s="485"/>
      <c r="R355" s="485"/>
      <c r="S355" s="485"/>
      <c r="T355" s="485"/>
      <c r="U355" s="485"/>
      <c r="V355" s="485"/>
      <c r="W355" s="485"/>
      <c r="X355" s="485"/>
      <c r="Y355" s="485"/>
      <c r="Z355" s="485"/>
      <c r="AA355" s="485"/>
    </row>
    <row r="356">
      <c r="A356" s="486"/>
      <c r="B356" s="482"/>
      <c r="C356" s="497"/>
      <c r="D356" s="497"/>
      <c r="E356" s="497"/>
      <c r="F356" s="497"/>
      <c r="G356" s="497"/>
      <c r="H356" s="497"/>
      <c r="I356" s="497"/>
      <c r="J356" s="497"/>
      <c r="K356" s="497"/>
      <c r="L356" s="485"/>
      <c r="M356" s="485"/>
      <c r="N356" s="485"/>
      <c r="O356" s="485"/>
      <c r="P356" s="485"/>
      <c r="Q356" s="485"/>
      <c r="R356" s="485"/>
      <c r="S356" s="485"/>
      <c r="T356" s="485"/>
      <c r="U356" s="485"/>
      <c r="V356" s="485"/>
      <c r="W356" s="485"/>
      <c r="X356" s="485"/>
      <c r="Y356" s="485"/>
      <c r="Z356" s="485"/>
      <c r="AA356" s="485"/>
    </row>
    <row r="357">
      <c r="A357" s="486"/>
      <c r="B357" s="482"/>
      <c r="C357" s="497"/>
      <c r="D357" s="497"/>
      <c r="E357" s="497"/>
      <c r="F357" s="497"/>
      <c r="G357" s="497"/>
      <c r="H357" s="497"/>
      <c r="I357" s="497"/>
      <c r="J357" s="497"/>
      <c r="K357" s="497"/>
      <c r="L357" s="485"/>
      <c r="M357" s="485"/>
      <c r="N357" s="485"/>
      <c r="O357" s="485"/>
      <c r="P357" s="485"/>
      <c r="Q357" s="485"/>
      <c r="R357" s="485"/>
      <c r="S357" s="485"/>
      <c r="T357" s="485"/>
      <c r="U357" s="485"/>
      <c r="V357" s="485"/>
      <c r="W357" s="485"/>
      <c r="X357" s="485"/>
      <c r="Y357" s="485"/>
      <c r="Z357" s="485"/>
      <c r="AA357" s="485"/>
    </row>
    <row r="358">
      <c r="A358" s="486"/>
      <c r="B358" s="482"/>
      <c r="C358" s="497"/>
      <c r="D358" s="497"/>
      <c r="E358" s="497"/>
      <c r="F358" s="497"/>
      <c r="G358" s="497"/>
      <c r="H358" s="497"/>
      <c r="I358" s="497"/>
      <c r="J358" s="497"/>
      <c r="K358" s="497"/>
      <c r="L358" s="485"/>
      <c r="M358" s="485"/>
      <c r="N358" s="485"/>
      <c r="O358" s="485"/>
      <c r="P358" s="485"/>
      <c r="Q358" s="485"/>
      <c r="R358" s="485"/>
      <c r="S358" s="485"/>
      <c r="T358" s="485"/>
      <c r="U358" s="485"/>
      <c r="V358" s="485"/>
      <c r="W358" s="485"/>
      <c r="X358" s="485"/>
      <c r="Y358" s="485"/>
      <c r="Z358" s="485"/>
      <c r="AA358" s="485"/>
    </row>
    <row r="359">
      <c r="A359" s="486"/>
      <c r="B359" s="482"/>
      <c r="C359" s="497"/>
      <c r="D359" s="497"/>
      <c r="E359" s="497"/>
      <c r="F359" s="497"/>
      <c r="G359" s="497"/>
      <c r="H359" s="497"/>
      <c r="I359" s="497"/>
      <c r="J359" s="497"/>
      <c r="K359" s="497"/>
      <c r="L359" s="485"/>
      <c r="M359" s="485"/>
      <c r="N359" s="485"/>
      <c r="O359" s="485"/>
      <c r="P359" s="485"/>
      <c r="Q359" s="485"/>
      <c r="R359" s="485"/>
      <c r="S359" s="485"/>
      <c r="T359" s="485"/>
      <c r="U359" s="485"/>
      <c r="V359" s="485"/>
      <c r="W359" s="485"/>
      <c r="X359" s="485"/>
      <c r="Y359" s="485"/>
      <c r="Z359" s="485"/>
      <c r="AA359" s="485"/>
    </row>
    <row r="360">
      <c r="A360" s="486"/>
      <c r="B360" s="482"/>
      <c r="C360" s="497"/>
      <c r="D360" s="497"/>
      <c r="E360" s="497"/>
      <c r="F360" s="497"/>
      <c r="G360" s="497"/>
      <c r="H360" s="497"/>
      <c r="I360" s="497"/>
      <c r="J360" s="497"/>
      <c r="K360" s="497"/>
      <c r="L360" s="485"/>
      <c r="M360" s="485"/>
      <c r="N360" s="485"/>
      <c r="O360" s="485"/>
      <c r="P360" s="485"/>
      <c r="Q360" s="485"/>
      <c r="R360" s="485"/>
      <c r="S360" s="485"/>
      <c r="T360" s="485"/>
      <c r="U360" s="485"/>
      <c r="V360" s="485"/>
      <c r="W360" s="485"/>
      <c r="X360" s="485"/>
      <c r="Y360" s="485"/>
      <c r="Z360" s="485"/>
      <c r="AA360" s="485"/>
    </row>
    <row r="361">
      <c r="A361" s="486"/>
      <c r="B361" s="482"/>
      <c r="C361" s="497"/>
      <c r="D361" s="497"/>
      <c r="E361" s="497"/>
      <c r="F361" s="497"/>
      <c r="G361" s="497"/>
      <c r="H361" s="497"/>
      <c r="I361" s="497"/>
      <c r="J361" s="497"/>
      <c r="K361" s="497"/>
      <c r="L361" s="485"/>
      <c r="M361" s="485"/>
      <c r="N361" s="485"/>
      <c r="O361" s="485"/>
      <c r="P361" s="485"/>
      <c r="Q361" s="485"/>
      <c r="R361" s="485"/>
      <c r="S361" s="485"/>
      <c r="T361" s="485"/>
      <c r="U361" s="485"/>
      <c r="V361" s="485"/>
      <c r="W361" s="485"/>
      <c r="X361" s="485"/>
      <c r="Y361" s="485"/>
      <c r="Z361" s="485"/>
      <c r="AA361" s="485"/>
    </row>
    <row r="362">
      <c r="A362" s="486"/>
      <c r="B362" s="482"/>
      <c r="C362" s="497"/>
      <c r="D362" s="497"/>
      <c r="E362" s="497"/>
      <c r="F362" s="497"/>
      <c r="G362" s="497"/>
      <c r="H362" s="497"/>
      <c r="I362" s="497"/>
      <c r="J362" s="497"/>
      <c r="K362" s="497"/>
      <c r="L362" s="485"/>
      <c r="M362" s="485"/>
      <c r="N362" s="485"/>
      <c r="O362" s="485"/>
      <c r="P362" s="485"/>
      <c r="Q362" s="485"/>
      <c r="R362" s="485"/>
      <c r="S362" s="485"/>
      <c r="T362" s="485"/>
      <c r="U362" s="485"/>
      <c r="V362" s="485"/>
      <c r="W362" s="485"/>
      <c r="X362" s="485"/>
      <c r="Y362" s="485"/>
      <c r="Z362" s="485"/>
      <c r="AA362" s="485"/>
    </row>
    <row r="363">
      <c r="A363" s="486"/>
      <c r="B363" s="482"/>
      <c r="C363" s="497"/>
      <c r="D363" s="497"/>
      <c r="E363" s="497"/>
      <c r="F363" s="497"/>
      <c r="G363" s="497"/>
      <c r="H363" s="497"/>
      <c r="I363" s="497"/>
      <c r="J363" s="497"/>
      <c r="K363" s="497"/>
      <c r="L363" s="485"/>
      <c r="M363" s="485"/>
      <c r="N363" s="485"/>
      <c r="O363" s="485"/>
      <c r="P363" s="485"/>
      <c r="Q363" s="485"/>
      <c r="R363" s="485"/>
      <c r="S363" s="485"/>
      <c r="T363" s="485"/>
      <c r="U363" s="485"/>
      <c r="V363" s="485"/>
      <c r="W363" s="485"/>
      <c r="X363" s="485"/>
      <c r="Y363" s="485"/>
      <c r="Z363" s="485"/>
      <c r="AA363" s="485"/>
    </row>
    <row r="364">
      <c r="A364" s="486"/>
      <c r="B364" s="482"/>
      <c r="C364" s="497"/>
      <c r="D364" s="497"/>
      <c r="E364" s="497"/>
      <c r="F364" s="497"/>
      <c r="G364" s="497"/>
      <c r="H364" s="497"/>
      <c r="I364" s="497"/>
      <c r="J364" s="497"/>
      <c r="K364" s="497"/>
      <c r="L364" s="485"/>
      <c r="M364" s="485"/>
      <c r="N364" s="485"/>
      <c r="O364" s="485"/>
      <c r="P364" s="485"/>
      <c r="Q364" s="485"/>
      <c r="R364" s="485"/>
      <c r="S364" s="485"/>
      <c r="T364" s="485"/>
      <c r="U364" s="485"/>
      <c r="V364" s="485"/>
      <c r="W364" s="485"/>
      <c r="X364" s="485"/>
      <c r="Y364" s="485"/>
      <c r="Z364" s="485"/>
      <c r="AA364" s="485"/>
    </row>
    <row r="365">
      <c r="A365" s="486"/>
      <c r="B365" s="482"/>
      <c r="C365" s="497"/>
      <c r="D365" s="497"/>
      <c r="E365" s="497"/>
      <c r="F365" s="497"/>
      <c r="G365" s="497"/>
      <c r="H365" s="497"/>
      <c r="I365" s="497"/>
      <c r="J365" s="497"/>
      <c r="K365" s="497"/>
      <c r="L365" s="485"/>
      <c r="M365" s="485"/>
      <c r="N365" s="485"/>
      <c r="O365" s="485"/>
      <c r="P365" s="485"/>
      <c r="Q365" s="485"/>
      <c r="R365" s="485"/>
      <c r="S365" s="485"/>
      <c r="T365" s="485"/>
      <c r="U365" s="485"/>
      <c r="V365" s="485"/>
      <c r="W365" s="485"/>
      <c r="X365" s="485"/>
      <c r="Y365" s="485"/>
      <c r="Z365" s="485"/>
      <c r="AA365" s="485"/>
    </row>
    <row r="366">
      <c r="A366" s="486"/>
      <c r="B366" s="482"/>
      <c r="C366" s="497"/>
      <c r="D366" s="497"/>
      <c r="E366" s="497"/>
      <c r="F366" s="497"/>
      <c r="G366" s="497"/>
      <c r="H366" s="497"/>
      <c r="I366" s="497"/>
      <c r="J366" s="497"/>
      <c r="K366" s="497"/>
      <c r="L366" s="485"/>
      <c r="M366" s="485"/>
      <c r="N366" s="485"/>
      <c r="O366" s="485"/>
      <c r="P366" s="485"/>
      <c r="Q366" s="485"/>
      <c r="R366" s="485"/>
      <c r="S366" s="485"/>
      <c r="T366" s="485"/>
      <c r="U366" s="485"/>
      <c r="V366" s="485"/>
      <c r="W366" s="485"/>
      <c r="X366" s="485"/>
      <c r="Y366" s="485"/>
      <c r="Z366" s="485"/>
      <c r="AA366" s="485"/>
    </row>
    <row r="367">
      <c r="A367" s="486"/>
      <c r="B367" s="482"/>
      <c r="C367" s="497"/>
      <c r="D367" s="497"/>
      <c r="E367" s="497"/>
      <c r="F367" s="497"/>
      <c r="G367" s="497"/>
      <c r="H367" s="497"/>
      <c r="I367" s="497"/>
      <c r="J367" s="497"/>
      <c r="K367" s="497"/>
      <c r="L367" s="485"/>
      <c r="M367" s="485"/>
      <c r="N367" s="485"/>
      <c r="O367" s="485"/>
      <c r="P367" s="485"/>
      <c r="Q367" s="485"/>
      <c r="R367" s="485"/>
      <c r="S367" s="485"/>
      <c r="T367" s="485"/>
      <c r="U367" s="485"/>
      <c r="V367" s="485"/>
      <c r="W367" s="485"/>
      <c r="X367" s="485"/>
      <c r="Y367" s="485"/>
      <c r="Z367" s="485"/>
      <c r="AA367" s="485"/>
    </row>
    <row r="368">
      <c r="A368" s="486"/>
      <c r="B368" s="482"/>
      <c r="C368" s="497"/>
      <c r="D368" s="497"/>
      <c r="E368" s="497"/>
      <c r="F368" s="497"/>
      <c r="G368" s="497"/>
      <c r="H368" s="497"/>
      <c r="I368" s="497"/>
      <c r="J368" s="497"/>
      <c r="K368" s="497"/>
      <c r="L368" s="485"/>
      <c r="M368" s="485"/>
      <c r="N368" s="485"/>
      <c r="O368" s="485"/>
      <c r="P368" s="485"/>
      <c r="Q368" s="485"/>
      <c r="R368" s="485"/>
      <c r="S368" s="485"/>
      <c r="T368" s="485"/>
      <c r="U368" s="485"/>
      <c r="V368" s="485"/>
      <c r="W368" s="485"/>
      <c r="X368" s="485"/>
      <c r="Y368" s="485"/>
      <c r="Z368" s="485"/>
      <c r="AA368" s="485"/>
    </row>
    <row r="369">
      <c r="A369" s="486"/>
      <c r="B369" s="482"/>
      <c r="C369" s="497"/>
      <c r="D369" s="497"/>
      <c r="E369" s="497"/>
      <c r="F369" s="497"/>
      <c r="G369" s="497"/>
      <c r="H369" s="497"/>
      <c r="I369" s="497"/>
      <c r="J369" s="497"/>
      <c r="K369" s="497"/>
      <c r="L369" s="485"/>
      <c r="M369" s="485"/>
      <c r="N369" s="485"/>
      <c r="O369" s="485"/>
      <c r="P369" s="485"/>
      <c r="Q369" s="485"/>
      <c r="R369" s="485"/>
      <c r="S369" s="485"/>
      <c r="T369" s="485"/>
      <c r="U369" s="485"/>
      <c r="V369" s="485"/>
      <c r="W369" s="485"/>
      <c r="X369" s="485"/>
      <c r="Y369" s="485"/>
      <c r="Z369" s="485"/>
      <c r="AA369" s="485"/>
    </row>
    <row r="370">
      <c r="A370" s="486"/>
      <c r="B370" s="482"/>
      <c r="C370" s="497"/>
      <c r="D370" s="497"/>
      <c r="E370" s="497"/>
      <c r="F370" s="497"/>
      <c r="G370" s="497"/>
      <c r="H370" s="497"/>
      <c r="I370" s="497"/>
      <c r="J370" s="497"/>
      <c r="K370" s="497"/>
      <c r="L370" s="485"/>
      <c r="M370" s="485"/>
      <c r="N370" s="485"/>
      <c r="O370" s="485"/>
      <c r="P370" s="485"/>
      <c r="Q370" s="485"/>
      <c r="R370" s="485"/>
      <c r="S370" s="485"/>
      <c r="T370" s="485"/>
      <c r="U370" s="485"/>
      <c r="V370" s="485"/>
      <c r="W370" s="485"/>
      <c r="X370" s="485"/>
      <c r="Y370" s="485"/>
      <c r="Z370" s="485"/>
      <c r="AA370" s="485"/>
    </row>
    <row r="371">
      <c r="A371" s="486"/>
      <c r="B371" s="482"/>
      <c r="C371" s="497"/>
      <c r="D371" s="497"/>
      <c r="E371" s="497"/>
      <c r="F371" s="497"/>
      <c r="G371" s="497"/>
      <c r="H371" s="497"/>
      <c r="I371" s="497"/>
      <c r="J371" s="497"/>
      <c r="K371" s="497"/>
      <c r="L371" s="485"/>
      <c r="M371" s="485"/>
      <c r="N371" s="485"/>
      <c r="O371" s="485"/>
      <c r="P371" s="485"/>
      <c r="Q371" s="485"/>
      <c r="R371" s="485"/>
      <c r="S371" s="485"/>
      <c r="T371" s="485"/>
      <c r="U371" s="485"/>
      <c r="V371" s="485"/>
      <c r="W371" s="485"/>
      <c r="X371" s="485"/>
      <c r="Y371" s="485"/>
      <c r="Z371" s="485"/>
      <c r="AA371" s="485"/>
    </row>
    <row r="372">
      <c r="A372" s="486"/>
      <c r="B372" s="482"/>
      <c r="C372" s="497"/>
      <c r="D372" s="497"/>
      <c r="E372" s="497"/>
      <c r="F372" s="497"/>
      <c r="G372" s="497"/>
      <c r="H372" s="497"/>
      <c r="I372" s="497"/>
      <c r="J372" s="497"/>
      <c r="K372" s="497"/>
      <c r="L372" s="485"/>
      <c r="M372" s="485"/>
      <c r="N372" s="485"/>
      <c r="O372" s="485"/>
      <c r="P372" s="485"/>
      <c r="Q372" s="485"/>
      <c r="R372" s="485"/>
      <c r="S372" s="485"/>
      <c r="T372" s="485"/>
      <c r="U372" s="485"/>
      <c r="V372" s="485"/>
      <c r="W372" s="485"/>
      <c r="X372" s="485"/>
      <c r="Y372" s="485"/>
      <c r="Z372" s="485"/>
      <c r="AA372" s="485"/>
    </row>
    <row r="373">
      <c r="A373" s="486"/>
      <c r="B373" s="482"/>
      <c r="C373" s="497"/>
      <c r="D373" s="497"/>
      <c r="E373" s="497"/>
      <c r="F373" s="497"/>
      <c r="G373" s="497"/>
      <c r="H373" s="497"/>
      <c r="I373" s="497"/>
      <c r="J373" s="497"/>
      <c r="K373" s="497"/>
      <c r="L373" s="485"/>
      <c r="M373" s="485"/>
      <c r="N373" s="485"/>
      <c r="O373" s="485"/>
      <c r="P373" s="485"/>
      <c r="Q373" s="485"/>
      <c r="R373" s="485"/>
      <c r="S373" s="485"/>
      <c r="T373" s="485"/>
      <c r="U373" s="485"/>
      <c r="V373" s="485"/>
      <c r="W373" s="485"/>
      <c r="X373" s="485"/>
      <c r="Y373" s="485"/>
      <c r="Z373" s="485"/>
      <c r="AA373" s="485"/>
    </row>
    <row r="374">
      <c r="A374" s="486"/>
      <c r="B374" s="482"/>
      <c r="C374" s="497"/>
      <c r="D374" s="497"/>
      <c r="E374" s="497"/>
      <c r="F374" s="497"/>
      <c r="G374" s="497"/>
      <c r="H374" s="497"/>
      <c r="I374" s="497"/>
      <c r="J374" s="497"/>
      <c r="K374" s="497"/>
      <c r="L374" s="485"/>
      <c r="M374" s="485"/>
      <c r="N374" s="485"/>
      <c r="O374" s="485"/>
      <c r="P374" s="485"/>
      <c r="Q374" s="485"/>
      <c r="R374" s="485"/>
      <c r="S374" s="485"/>
      <c r="T374" s="485"/>
      <c r="U374" s="485"/>
      <c r="V374" s="485"/>
      <c r="W374" s="485"/>
      <c r="X374" s="485"/>
      <c r="Y374" s="485"/>
      <c r="Z374" s="485"/>
      <c r="AA374" s="485"/>
    </row>
    <row r="375">
      <c r="A375" s="486"/>
      <c r="B375" s="482"/>
      <c r="C375" s="497"/>
      <c r="D375" s="497"/>
      <c r="E375" s="497"/>
      <c r="F375" s="497"/>
      <c r="G375" s="497"/>
      <c r="H375" s="497"/>
      <c r="I375" s="497"/>
      <c r="J375" s="497"/>
      <c r="K375" s="497"/>
      <c r="L375" s="485"/>
      <c r="M375" s="485"/>
      <c r="N375" s="485"/>
      <c r="O375" s="485"/>
      <c r="P375" s="485"/>
      <c r="Q375" s="485"/>
      <c r="R375" s="485"/>
      <c r="S375" s="485"/>
      <c r="T375" s="485"/>
      <c r="U375" s="485"/>
      <c r="V375" s="485"/>
      <c r="W375" s="485"/>
      <c r="X375" s="485"/>
      <c r="Y375" s="485"/>
      <c r="Z375" s="485"/>
      <c r="AA375" s="485"/>
    </row>
    <row r="376">
      <c r="A376" s="486"/>
      <c r="B376" s="482"/>
      <c r="C376" s="497"/>
      <c r="D376" s="497"/>
      <c r="E376" s="497"/>
      <c r="F376" s="497"/>
      <c r="G376" s="497"/>
      <c r="H376" s="497"/>
      <c r="I376" s="497"/>
      <c r="J376" s="497"/>
      <c r="K376" s="497"/>
      <c r="L376" s="485"/>
      <c r="M376" s="485"/>
      <c r="N376" s="485"/>
      <c r="O376" s="485"/>
      <c r="P376" s="485"/>
      <c r="Q376" s="485"/>
      <c r="R376" s="485"/>
      <c r="S376" s="485"/>
      <c r="T376" s="485"/>
      <c r="U376" s="485"/>
      <c r="V376" s="485"/>
      <c r="W376" s="485"/>
      <c r="X376" s="485"/>
      <c r="Y376" s="485"/>
      <c r="Z376" s="485"/>
      <c r="AA376" s="485"/>
    </row>
    <row r="377">
      <c r="A377" s="486"/>
      <c r="B377" s="482"/>
      <c r="C377" s="497"/>
      <c r="D377" s="497"/>
      <c r="E377" s="497"/>
      <c r="F377" s="497"/>
      <c r="G377" s="497"/>
      <c r="H377" s="497"/>
      <c r="I377" s="497"/>
      <c r="J377" s="497"/>
      <c r="K377" s="497"/>
      <c r="L377" s="485"/>
      <c r="M377" s="485"/>
      <c r="N377" s="485"/>
      <c r="O377" s="485"/>
      <c r="P377" s="485"/>
      <c r="Q377" s="485"/>
      <c r="R377" s="485"/>
      <c r="S377" s="485"/>
      <c r="T377" s="485"/>
      <c r="U377" s="485"/>
      <c r="V377" s="485"/>
      <c r="W377" s="485"/>
      <c r="X377" s="485"/>
      <c r="Y377" s="485"/>
      <c r="Z377" s="485"/>
      <c r="AA377" s="485"/>
    </row>
    <row r="378">
      <c r="A378" s="486"/>
      <c r="B378" s="482"/>
      <c r="C378" s="497"/>
      <c r="D378" s="497"/>
      <c r="E378" s="497"/>
      <c r="F378" s="497"/>
      <c r="G378" s="497"/>
      <c r="H378" s="497"/>
      <c r="I378" s="497"/>
      <c r="J378" s="497"/>
      <c r="K378" s="497"/>
      <c r="L378" s="485"/>
      <c r="M378" s="485"/>
      <c r="N378" s="485"/>
      <c r="O378" s="485"/>
      <c r="P378" s="485"/>
      <c r="Q378" s="485"/>
      <c r="R378" s="485"/>
      <c r="S378" s="485"/>
      <c r="T378" s="485"/>
      <c r="U378" s="485"/>
      <c r="V378" s="485"/>
      <c r="W378" s="485"/>
      <c r="X378" s="485"/>
      <c r="Y378" s="485"/>
      <c r="Z378" s="485"/>
      <c r="AA378" s="485"/>
    </row>
    <row r="379">
      <c r="A379" s="486"/>
      <c r="B379" s="482"/>
      <c r="C379" s="497"/>
      <c r="D379" s="497"/>
      <c r="E379" s="497"/>
      <c r="F379" s="497"/>
      <c r="G379" s="497"/>
      <c r="H379" s="497"/>
      <c r="I379" s="497"/>
      <c r="J379" s="497"/>
      <c r="K379" s="497"/>
      <c r="L379" s="485"/>
      <c r="M379" s="485"/>
      <c r="N379" s="485"/>
      <c r="O379" s="485"/>
      <c r="P379" s="485"/>
      <c r="Q379" s="485"/>
      <c r="R379" s="485"/>
      <c r="S379" s="485"/>
      <c r="T379" s="485"/>
      <c r="U379" s="485"/>
      <c r="V379" s="485"/>
      <c r="W379" s="485"/>
      <c r="X379" s="485"/>
      <c r="Y379" s="485"/>
      <c r="Z379" s="485"/>
      <c r="AA379" s="485"/>
    </row>
    <row r="380">
      <c r="A380" s="486"/>
      <c r="B380" s="482"/>
      <c r="C380" s="497"/>
      <c r="D380" s="497"/>
      <c r="E380" s="497"/>
      <c r="F380" s="497"/>
      <c r="G380" s="497"/>
      <c r="H380" s="497"/>
      <c r="I380" s="497"/>
      <c r="J380" s="497"/>
      <c r="K380" s="497"/>
      <c r="L380" s="485"/>
      <c r="M380" s="485"/>
      <c r="N380" s="485"/>
      <c r="O380" s="485"/>
      <c r="P380" s="485"/>
      <c r="Q380" s="485"/>
      <c r="R380" s="485"/>
      <c r="S380" s="485"/>
      <c r="T380" s="485"/>
      <c r="U380" s="485"/>
      <c r="V380" s="485"/>
      <c r="W380" s="485"/>
      <c r="X380" s="485"/>
      <c r="Y380" s="485"/>
      <c r="Z380" s="485"/>
      <c r="AA380" s="485"/>
    </row>
    <row r="381">
      <c r="A381" s="486"/>
      <c r="B381" s="482"/>
      <c r="C381" s="497"/>
      <c r="D381" s="497"/>
      <c r="E381" s="497"/>
      <c r="F381" s="497"/>
      <c r="G381" s="497"/>
      <c r="H381" s="497"/>
      <c r="I381" s="497"/>
      <c r="J381" s="497"/>
      <c r="K381" s="497"/>
      <c r="L381" s="485"/>
      <c r="M381" s="485"/>
      <c r="N381" s="485"/>
      <c r="O381" s="485"/>
      <c r="P381" s="485"/>
      <c r="Q381" s="485"/>
      <c r="R381" s="485"/>
      <c r="S381" s="485"/>
      <c r="T381" s="485"/>
      <c r="U381" s="485"/>
      <c r="V381" s="485"/>
      <c r="W381" s="485"/>
      <c r="X381" s="485"/>
      <c r="Y381" s="485"/>
      <c r="Z381" s="485"/>
      <c r="AA381" s="485"/>
    </row>
    <row r="382">
      <c r="A382" s="486"/>
      <c r="B382" s="482"/>
      <c r="C382" s="497"/>
      <c r="D382" s="497"/>
      <c r="E382" s="497"/>
      <c r="F382" s="497"/>
      <c r="G382" s="497"/>
      <c r="H382" s="497"/>
      <c r="I382" s="497"/>
      <c r="J382" s="497"/>
      <c r="K382" s="497"/>
      <c r="L382" s="485"/>
      <c r="M382" s="485"/>
      <c r="N382" s="485"/>
      <c r="O382" s="485"/>
      <c r="P382" s="485"/>
      <c r="Q382" s="485"/>
      <c r="R382" s="485"/>
      <c r="S382" s="485"/>
      <c r="T382" s="485"/>
      <c r="U382" s="485"/>
      <c r="V382" s="485"/>
      <c r="W382" s="485"/>
      <c r="X382" s="485"/>
      <c r="Y382" s="485"/>
      <c r="Z382" s="485"/>
      <c r="AA382" s="485"/>
    </row>
    <row r="383">
      <c r="A383" s="486"/>
      <c r="B383" s="482"/>
      <c r="C383" s="497"/>
      <c r="D383" s="497"/>
      <c r="E383" s="497"/>
      <c r="F383" s="497"/>
      <c r="G383" s="497"/>
      <c r="H383" s="497"/>
      <c r="I383" s="497"/>
      <c r="J383" s="497"/>
      <c r="K383" s="497"/>
      <c r="L383" s="485"/>
      <c r="M383" s="485"/>
      <c r="N383" s="485"/>
      <c r="O383" s="485"/>
      <c r="P383" s="485"/>
      <c r="Q383" s="485"/>
      <c r="R383" s="485"/>
      <c r="S383" s="485"/>
      <c r="T383" s="485"/>
      <c r="U383" s="485"/>
      <c r="V383" s="485"/>
      <c r="W383" s="485"/>
      <c r="X383" s="485"/>
      <c r="Y383" s="485"/>
      <c r="Z383" s="485"/>
      <c r="AA383" s="485"/>
    </row>
    <row r="384">
      <c r="A384" s="486"/>
      <c r="B384" s="482"/>
      <c r="C384" s="497"/>
      <c r="D384" s="497"/>
      <c r="E384" s="497"/>
      <c r="F384" s="497"/>
      <c r="G384" s="497"/>
      <c r="H384" s="497"/>
      <c r="I384" s="497"/>
      <c r="J384" s="497"/>
      <c r="K384" s="497"/>
      <c r="L384" s="485"/>
      <c r="M384" s="485"/>
      <c r="N384" s="485"/>
      <c r="O384" s="485"/>
      <c r="P384" s="485"/>
      <c r="Q384" s="485"/>
      <c r="R384" s="485"/>
      <c r="S384" s="485"/>
      <c r="T384" s="485"/>
      <c r="U384" s="485"/>
      <c r="V384" s="485"/>
      <c r="W384" s="485"/>
      <c r="X384" s="485"/>
      <c r="Y384" s="485"/>
      <c r="Z384" s="485"/>
      <c r="AA384" s="485"/>
    </row>
    <row r="385">
      <c r="A385" s="486"/>
      <c r="B385" s="482"/>
      <c r="C385" s="497"/>
      <c r="D385" s="497"/>
      <c r="E385" s="497"/>
      <c r="F385" s="497"/>
      <c r="G385" s="497"/>
      <c r="H385" s="497"/>
      <c r="I385" s="497"/>
      <c r="J385" s="497"/>
      <c r="K385" s="497"/>
      <c r="L385" s="485"/>
      <c r="M385" s="485"/>
      <c r="N385" s="485"/>
      <c r="O385" s="485"/>
      <c r="P385" s="485"/>
      <c r="Q385" s="485"/>
      <c r="R385" s="485"/>
      <c r="S385" s="485"/>
      <c r="T385" s="485"/>
      <c r="U385" s="485"/>
      <c r="V385" s="485"/>
      <c r="W385" s="485"/>
      <c r="X385" s="485"/>
      <c r="Y385" s="485"/>
      <c r="Z385" s="485"/>
      <c r="AA385" s="485"/>
    </row>
    <row r="386">
      <c r="A386" s="486"/>
      <c r="B386" s="482"/>
      <c r="C386" s="497"/>
      <c r="D386" s="497"/>
      <c r="E386" s="497"/>
      <c r="F386" s="497"/>
      <c r="G386" s="497"/>
      <c r="H386" s="497"/>
      <c r="I386" s="497"/>
      <c r="J386" s="497"/>
      <c r="K386" s="497"/>
      <c r="L386" s="485"/>
      <c r="M386" s="485"/>
      <c r="N386" s="485"/>
      <c r="O386" s="485"/>
      <c r="P386" s="485"/>
      <c r="Q386" s="485"/>
      <c r="R386" s="485"/>
      <c r="S386" s="485"/>
      <c r="T386" s="485"/>
      <c r="U386" s="485"/>
      <c r="V386" s="485"/>
      <c r="W386" s="485"/>
      <c r="X386" s="485"/>
      <c r="Y386" s="485"/>
      <c r="Z386" s="485"/>
      <c r="AA386" s="485"/>
    </row>
    <row r="387">
      <c r="A387" s="486"/>
      <c r="B387" s="482"/>
      <c r="C387" s="497"/>
      <c r="D387" s="497"/>
      <c r="E387" s="497"/>
      <c r="F387" s="497"/>
      <c r="G387" s="497"/>
      <c r="H387" s="497"/>
      <c r="I387" s="497"/>
      <c r="J387" s="497"/>
      <c r="K387" s="497"/>
      <c r="L387" s="485"/>
      <c r="M387" s="485"/>
      <c r="N387" s="485"/>
      <c r="O387" s="485"/>
      <c r="P387" s="485"/>
      <c r="Q387" s="485"/>
      <c r="R387" s="485"/>
      <c r="S387" s="485"/>
      <c r="T387" s="485"/>
      <c r="U387" s="485"/>
      <c r="V387" s="485"/>
      <c r="W387" s="485"/>
      <c r="X387" s="485"/>
      <c r="Y387" s="485"/>
      <c r="Z387" s="485"/>
      <c r="AA387" s="485"/>
    </row>
    <row r="388">
      <c r="A388" s="486"/>
      <c r="B388" s="482"/>
      <c r="C388" s="497"/>
      <c r="D388" s="497"/>
      <c r="E388" s="497"/>
      <c r="F388" s="497"/>
      <c r="G388" s="497"/>
      <c r="H388" s="497"/>
      <c r="I388" s="497"/>
      <c r="J388" s="497"/>
      <c r="K388" s="497"/>
      <c r="L388" s="485"/>
      <c r="M388" s="485"/>
      <c r="N388" s="485"/>
      <c r="O388" s="485"/>
      <c r="P388" s="485"/>
      <c r="Q388" s="485"/>
      <c r="R388" s="485"/>
      <c r="S388" s="485"/>
      <c r="T388" s="485"/>
      <c r="U388" s="485"/>
      <c r="V388" s="485"/>
      <c r="W388" s="485"/>
      <c r="X388" s="485"/>
      <c r="Y388" s="485"/>
      <c r="Z388" s="485"/>
      <c r="AA388" s="485"/>
    </row>
    <row r="389">
      <c r="A389" s="486"/>
      <c r="B389" s="482"/>
      <c r="C389" s="497"/>
      <c r="D389" s="497"/>
      <c r="E389" s="497"/>
      <c r="F389" s="497"/>
      <c r="G389" s="497"/>
      <c r="H389" s="497"/>
      <c r="I389" s="497"/>
      <c r="J389" s="497"/>
      <c r="K389" s="497"/>
      <c r="L389" s="485"/>
      <c r="M389" s="485"/>
      <c r="N389" s="485"/>
      <c r="O389" s="485"/>
      <c r="P389" s="485"/>
      <c r="Q389" s="485"/>
      <c r="R389" s="485"/>
      <c r="S389" s="485"/>
      <c r="T389" s="485"/>
      <c r="U389" s="485"/>
      <c r="V389" s="485"/>
      <c r="W389" s="485"/>
      <c r="X389" s="485"/>
      <c r="Y389" s="485"/>
      <c r="Z389" s="485"/>
      <c r="AA389" s="485"/>
    </row>
    <row r="390">
      <c r="A390" s="486"/>
      <c r="B390" s="482"/>
      <c r="C390" s="497"/>
      <c r="D390" s="497"/>
      <c r="E390" s="497"/>
      <c r="F390" s="497"/>
      <c r="G390" s="497"/>
      <c r="H390" s="497"/>
      <c r="I390" s="497"/>
      <c r="J390" s="497"/>
      <c r="K390" s="497"/>
      <c r="L390" s="485"/>
      <c r="M390" s="485"/>
      <c r="N390" s="485"/>
      <c r="O390" s="485"/>
      <c r="P390" s="485"/>
      <c r="Q390" s="485"/>
      <c r="R390" s="485"/>
      <c r="S390" s="485"/>
      <c r="T390" s="485"/>
      <c r="U390" s="485"/>
      <c r="V390" s="485"/>
      <c r="W390" s="485"/>
      <c r="X390" s="485"/>
      <c r="Y390" s="485"/>
      <c r="Z390" s="485"/>
      <c r="AA390" s="485"/>
    </row>
    <row r="391">
      <c r="A391" s="486"/>
      <c r="B391" s="482"/>
      <c r="C391" s="497"/>
      <c r="D391" s="497"/>
      <c r="E391" s="497"/>
      <c r="F391" s="497"/>
      <c r="G391" s="497"/>
      <c r="H391" s="497"/>
      <c r="I391" s="497"/>
      <c r="J391" s="497"/>
      <c r="K391" s="497"/>
      <c r="L391" s="485"/>
      <c r="M391" s="485"/>
      <c r="N391" s="485"/>
      <c r="O391" s="485"/>
      <c r="P391" s="485"/>
      <c r="Q391" s="485"/>
      <c r="R391" s="485"/>
      <c r="S391" s="485"/>
      <c r="T391" s="485"/>
      <c r="U391" s="485"/>
      <c r="V391" s="485"/>
      <c r="W391" s="485"/>
      <c r="X391" s="485"/>
      <c r="Y391" s="485"/>
      <c r="Z391" s="485"/>
      <c r="AA391" s="485"/>
    </row>
    <row r="392">
      <c r="A392" s="486"/>
      <c r="B392" s="482"/>
      <c r="C392" s="497"/>
      <c r="D392" s="497"/>
      <c r="E392" s="497"/>
      <c r="F392" s="497"/>
      <c r="G392" s="497"/>
      <c r="H392" s="497"/>
      <c r="I392" s="497"/>
      <c r="J392" s="497"/>
      <c r="K392" s="497"/>
      <c r="L392" s="485"/>
      <c r="M392" s="485"/>
      <c r="N392" s="485"/>
      <c r="O392" s="485"/>
      <c r="P392" s="485"/>
      <c r="Q392" s="485"/>
      <c r="R392" s="485"/>
      <c r="S392" s="485"/>
      <c r="T392" s="485"/>
      <c r="U392" s="485"/>
      <c r="V392" s="485"/>
      <c r="W392" s="485"/>
      <c r="X392" s="485"/>
      <c r="Y392" s="485"/>
      <c r="Z392" s="485"/>
      <c r="AA392" s="485"/>
    </row>
    <row r="393">
      <c r="A393" s="486"/>
      <c r="B393" s="482"/>
      <c r="C393" s="497"/>
      <c r="D393" s="497"/>
      <c r="E393" s="497"/>
      <c r="F393" s="497"/>
      <c r="G393" s="497"/>
      <c r="H393" s="497"/>
      <c r="I393" s="497"/>
      <c r="J393" s="497"/>
      <c r="K393" s="497"/>
      <c r="L393" s="485"/>
      <c r="M393" s="485"/>
      <c r="N393" s="485"/>
      <c r="O393" s="485"/>
      <c r="P393" s="485"/>
      <c r="Q393" s="485"/>
      <c r="R393" s="485"/>
      <c r="S393" s="485"/>
      <c r="T393" s="485"/>
      <c r="U393" s="485"/>
      <c r="V393" s="485"/>
      <c r="W393" s="485"/>
      <c r="X393" s="485"/>
      <c r="Y393" s="485"/>
      <c r="Z393" s="485"/>
      <c r="AA393" s="485"/>
    </row>
    <row r="394">
      <c r="A394" s="486"/>
      <c r="B394" s="482"/>
      <c r="C394" s="497"/>
      <c r="D394" s="497"/>
      <c r="E394" s="497"/>
      <c r="F394" s="497"/>
      <c r="G394" s="497"/>
      <c r="H394" s="497"/>
      <c r="I394" s="497"/>
      <c r="J394" s="497"/>
      <c r="K394" s="497"/>
      <c r="L394" s="485"/>
      <c r="M394" s="485"/>
      <c r="N394" s="485"/>
      <c r="O394" s="485"/>
      <c r="P394" s="485"/>
      <c r="Q394" s="485"/>
      <c r="R394" s="485"/>
      <c r="S394" s="485"/>
      <c r="T394" s="485"/>
      <c r="U394" s="485"/>
      <c r="V394" s="485"/>
      <c r="W394" s="485"/>
      <c r="X394" s="485"/>
      <c r="Y394" s="485"/>
      <c r="Z394" s="485"/>
      <c r="AA394" s="485"/>
    </row>
    <row r="395">
      <c r="A395" s="486"/>
      <c r="B395" s="482"/>
      <c r="C395" s="497"/>
      <c r="D395" s="497"/>
      <c r="E395" s="497"/>
      <c r="F395" s="497"/>
      <c r="G395" s="497"/>
      <c r="H395" s="497"/>
      <c r="I395" s="497"/>
      <c r="J395" s="497"/>
      <c r="K395" s="497"/>
      <c r="L395" s="485"/>
      <c r="M395" s="485"/>
      <c r="N395" s="485"/>
      <c r="O395" s="485"/>
      <c r="P395" s="485"/>
      <c r="Q395" s="485"/>
      <c r="R395" s="485"/>
      <c r="S395" s="485"/>
      <c r="T395" s="485"/>
      <c r="U395" s="485"/>
      <c r="V395" s="485"/>
      <c r="W395" s="485"/>
      <c r="X395" s="485"/>
      <c r="Y395" s="485"/>
      <c r="Z395" s="485"/>
      <c r="AA395" s="485"/>
    </row>
    <row r="396">
      <c r="A396" s="486"/>
      <c r="B396" s="482"/>
      <c r="C396" s="497"/>
      <c r="D396" s="497"/>
      <c r="E396" s="497"/>
      <c r="F396" s="497"/>
      <c r="G396" s="497"/>
      <c r="H396" s="497"/>
      <c r="I396" s="497"/>
      <c r="J396" s="497"/>
      <c r="K396" s="497"/>
      <c r="L396" s="485"/>
      <c r="M396" s="485"/>
      <c r="N396" s="485"/>
      <c r="O396" s="485"/>
      <c r="P396" s="485"/>
      <c r="Q396" s="485"/>
      <c r="R396" s="485"/>
      <c r="S396" s="485"/>
      <c r="T396" s="485"/>
      <c r="U396" s="485"/>
      <c r="V396" s="485"/>
      <c r="W396" s="485"/>
      <c r="X396" s="485"/>
      <c r="Y396" s="485"/>
      <c r="Z396" s="485"/>
      <c r="AA396" s="485"/>
    </row>
    <row r="397">
      <c r="A397" s="486"/>
      <c r="B397" s="482"/>
      <c r="C397" s="497"/>
      <c r="D397" s="497"/>
      <c r="E397" s="497"/>
      <c r="F397" s="497"/>
      <c r="G397" s="497"/>
      <c r="H397" s="497"/>
      <c r="I397" s="497"/>
      <c r="J397" s="497"/>
      <c r="K397" s="497"/>
      <c r="L397" s="485"/>
      <c r="M397" s="485"/>
      <c r="N397" s="485"/>
      <c r="O397" s="485"/>
      <c r="P397" s="485"/>
      <c r="Q397" s="485"/>
      <c r="R397" s="485"/>
      <c r="S397" s="485"/>
      <c r="T397" s="485"/>
      <c r="U397" s="485"/>
      <c r="V397" s="485"/>
      <c r="W397" s="485"/>
      <c r="X397" s="485"/>
      <c r="Y397" s="485"/>
      <c r="Z397" s="485"/>
      <c r="AA397" s="485"/>
    </row>
    <row r="398">
      <c r="A398" s="486"/>
      <c r="B398" s="482"/>
      <c r="C398" s="497"/>
      <c r="D398" s="497"/>
      <c r="E398" s="497"/>
      <c r="F398" s="497"/>
      <c r="G398" s="497"/>
      <c r="H398" s="497"/>
      <c r="I398" s="497"/>
      <c r="J398" s="497"/>
      <c r="K398" s="497"/>
      <c r="L398" s="485"/>
      <c r="M398" s="485"/>
      <c r="N398" s="485"/>
      <c r="O398" s="485"/>
      <c r="P398" s="485"/>
      <c r="Q398" s="485"/>
      <c r="R398" s="485"/>
      <c r="S398" s="485"/>
      <c r="T398" s="485"/>
      <c r="U398" s="485"/>
      <c r="V398" s="485"/>
      <c r="W398" s="485"/>
      <c r="X398" s="485"/>
      <c r="Y398" s="485"/>
      <c r="Z398" s="485"/>
      <c r="AA398" s="485"/>
    </row>
    <row r="399">
      <c r="A399" s="486"/>
      <c r="B399" s="482"/>
      <c r="C399" s="497"/>
      <c r="D399" s="497"/>
      <c r="E399" s="497"/>
      <c r="F399" s="497"/>
      <c r="G399" s="497"/>
      <c r="H399" s="497"/>
      <c r="I399" s="497"/>
      <c r="J399" s="497"/>
      <c r="K399" s="497"/>
      <c r="L399" s="485"/>
      <c r="M399" s="485"/>
      <c r="N399" s="485"/>
      <c r="O399" s="485"/>
      <c r="P399" s="485"/>
      <c r="Q399" s="485"/>
      <c r="R399" s="485"/>
      <c r="S399" s="485"/>
      <c r="T399" s="485"/>
      <c r="U399" s="485"/>
      <c r="V399" s="485"/>
      <c r="W399" s="485"/>
      <c r="X399" s="485"/>
      <c r="Y399" s="485"/>
      <c r="Z399" s="485"/>
      <c r="AA399" s="485"/>
    </row>
    <row r="400">
      <c r="A400" s="486"/>
      <c r="B400" s="482"/>
      <c r="C400" s="497"/>
      <c r="D400" s="497"/>
      <c r="E400" s="497"/>
      <c r="F400" s="497"/>
      <c r="G400" s="497"/>
      <c r="H400" s="497"/>
      <c r="I400" s="497"/>
      <c r="J400" s="497"/>
      <c r="K400" s="497"/>
      <c r="L400" s="485"/>
      <c r="M400" s="485"/>
      <c r="N400" s="485"/>
      <c r="O400" s="485"/>
      <c r="P400" s="485"/>
      <c r="Q400" s="485"/>
      <c r="R400" s="485"/>
      <c r="S400" s="485"/>
      <c r="T400" s="485"/>
      <c r="U400" s="485"/>
      <c r="V400" s="485"/>
      <c r="W400" s="485"/>
      <c r="X400" s="485"/>
      <c r="Y400" s="485"/>
      <c r="Z400" s="485"/>
      <c r="AA400" s="485"/>
    </row>
    <row r="401">
      <c r="A401" s="486"/>
      <c r="B401" s="482"/>
      <c r="C401" s="497"/>
      <c r="D401" s="497"/>
      <c r="E401" s="497"/>
      <c r="F401" s="497"/>
      <c r="G401" s="497"/>
      <c r="H401" s="497"/>
      <c r="I401" s="497"/>
      <c r="J401" s="497"/>
      <c r="K401" s="497"/>
      <c r="L401" s="485"/>
      <c r="M401" s="485"/>
      <c r="N401" s="485"/>
      <c r="O401" s="485"/>
      <c r="P401" s="485"/>
      <c r="Q401" s="485"/>
      <c r="R401" s="485"/>
      <c r="S401" s="485"/>
      <c r="T401" s="485"/>
      <c r="U401" s="485"/>
      <c r="V401" s="485"/>
      <c r="W401" s="485"/>
      <c r="X401" s="485"/>
      <c r="Y401" s="485"/>
      <c r="Z401" s="485"/>
      <c r="AA401" s="485"/>
    </row>
    <row r="402">
      <c r="A402" s="486"/>
      <c r="B402" s="482"/>
      <c r="C402" s="497"/>
      <c r="D402" s="497"/>
      <c r="E402" s="497"/>
      <c r="F402" s="497"/>
      <c r="G402" s="497"/>
      <c r="H402" s="497"/>
      <c r="I402" s="497"/>
      <c r="J402" s="497"/>
      <c r="K402" s="497"/>
      <c r="L402" s="485"/>
      <c r="M402" s="485"/>
      <c r="N402" s="485"/>
      <c r="O402" s="485"/>
      <c r="P402" s="485"/>
      <c r="Q402" s="485"/>
      <c r="R402" s="485"/>
      <c r="S402" s="485"/>
      <c r="T402" s="485"/>
      <c r="U402" s="485"/>
      <c r="V402" s="485"/>
      <c r="W402" s="485"/>
      <c r="X402" s="485"/>
      <c r="Y402" s="485"/>
      <c r="Z402" s="485"/>
      <c r="AA402" s="485"/>
    </row>
    <row r="403">
      <c r="A403" s="486"/>
      <c r="B403" s="482"/>
      <c r="C403" s="497"/>
      <c r="D403" s="497"/>
      <c r="E403" s="497"/>
      <c r="F403" s="497"/>
      <c r="G403" s="497"/>
      <c r="H403" s="497"/>
      <c r="I403" s="497"/>
      <c r="J403" s="497"/>
      <c r="K403" s="497"/>
      <c r="L403" s="485"/>
      <c r="M403" s="485"/>
      <c r="N403" s="485"/>
      <c r="O403" s="485"/>
      <c r="P403" s="485"/>
      <c r="Q403" s="485"/>
      <c r="R403" s="485"/>
      <c r="S403" s="485"/>
      <c r="T403" s="485"/>
      <c r="U403" s="485"/>
      <c r="V403" s="485"/>
      <c r="W403" s="485"/>
      <c r="X403" s="485"/>
      <c r="Y403" s="485"/>
      <c r="Z403" s="485"/>
      <c r="AA403" s="485"/>
    </row>
    <row r="404">
      <c r="A404" s="486"/>
      <c r="B404" s="482"/>
      <c r="C404" s="497"/>
      <c r="D404" s="497"/>
      <c r="E404" s="497"/>
      <c r="F404" s="497"/>
      <c r="G404" s="497"/>
      <c r="H404" s="497"/>
      <c r="I404" s="497"/>
      <c r="J404" s="497"/>
      <c r="K404" s="497"/>
      <c r="L404" s="485"/>
      <c r="M404" s="485"/>
      <c r="N404" s="485"/>
      <c r="O404" s="485"/>
      <c r="P404" s="485"/>
      <c r="Q404" s="485"/>
      <c r="R404" s="485"/>
      <c r="S404" s="485"/>
      <c r="T404" s="485"/>
      <c r="U404" s="485"/>
      <c r="V404" s="485"/>
      <c r="W404" s="485"/>
      <c r="X404" s="485"/>
      <c r="Y404" s="485"/>
      <c r="Z404" s="485"/>
      <c r="AA404" s="485"/>
    </row>
    <row r="405">
      <c r="A405" s="486"/>
      <c r="B405" s="482"/>
      <c r="C405" s="497"/>
      <c r="D405" s="497"/>
      <c r="E405" s="497"/>
      <c r="F405" s="497"/>
      <c r="G405" s="497"/>
      <c r="H405" s="497"/>
      <c r="I405" s="497"/>
      <c r="J405" s="497"/>
      <c r="K405" s="497"/>
      <c r="L405" s="485"/>
      <c r="M405" s="485"/>
      <c r="N405" s="485"/>
      <c r="O405" s="485"/>
      <c r="P405" s="485"/>
      <c r="Q405" s="485"/>
      <c r="R405" s="485"/>
      <c r="S405" s="485"/>
      <c r="T405" s="485"/>
      <c r="U405" s="485"/>
      <c r="V405" s="485"/>
      <c r="W405" s="485"/>
      <c r="X405" s="485"/>
      <c r="Y405" s="485"/>
      <c r="Z405" s="485"/>
      <c r="AA405" s="485"/>
    </row>
    <row r="406">
      <c r="A406" s="486"/>
      <c r="B406" s="482"/>
      <c r="C406" s="497"/>
      <c r="D406" s="497"/>
      <c r="E406" s="497"/>
      <c r="F406" s="497"/>
      <c r="G406" s="497"/>
      <c r="H406" s="497"/>
      <c r="I406" s="497"/>
      <c r="J406" s="497"/>
      <c r="K406" s="497"/>
      <c r="L406" s="485"/>
      <c r="M406" s="485"/>
      <c r="N406" s="485"/>
      <c r="O406" s="485"/>
      <c r="P406" s="485"/>
      <c r="Q406" s="485"/>
      <c r="R406" s="485"/>
      <c r="S406" s="485"/>
      <c r="T406" s="485"/>
      <c r="U406" s="485"/>
      <c r="V406" s="485"/>
      <c r="W406" s="485"/>
      <c r="X406" s="485"/>
      <c r="Y406" s="485"/>
      <c r="Z406" s="485"/>
      <c r="AA406" s="485"/>
    </row>
    <row r="407">
      <c r="A407" s="486"/>
      <c r="B407" s="482"/>
      <c r="C407" s="497"/>
      <c r="D407" s="497"/>
      <c r="E407" s="497"/>
      <c r="F407" s="497"/>
      <c r="G407" s="497"/>
      <c r="H407" s="497"/>
      <c r="I407" s="497"/>
      <c r="J407" s="497"/>
      <c r="K407" s="497"/>
      <c r="L407" s="485"/>
      <c r="M407" s="485"/>
      <c r="N407" s="485"/>
      <c r="O407" s="485"/>
      <c r="P407" s="485"/>
      <c r="Q407" s="485"/>
      <c r="R407" s="485"/>
      <c r="S407" s="485"/>
      <c r="T407" s="485"/>
      <c r="U407" s="485"/>
      <c r="V407" s="485"/>
      <c r="W407" s="485"/>
      <c r="X407" s="485"/>
      <c r="Y407" s="485"/>
      <c r="Z407" s="485"/>
      <c r="AA407" s="485"/>
    </row>
    <row r="408">
      <c r="A408" s="486"/>
      <c r="B408" s="482"/>
      <c r="C408" s="497"/>
      <c r="D408" s="497"/>
      <c r="E408" s="497"/>
      <c r="F408" s="497"/>
      <c r="G408" s="497"/>
      <c r="H408" s="497"/>
      <c r="I408" s="497"/>
      <c r="J408" s="497"/>
      <c r="K408" s="497"/>
      <c r="L408" s="485"/>
      <c r="M408" s="485"/>
      <c r="N408" s="485"/>
      <c r="O408" s="485"/>
      <c r="P408" s="485"/>
      <c r="Q408" s="485"/>
      <c r="R408" s="485"/>
      <c r="S408" s="485"/>
      <c r="T408" s="485"/>
      <c r="U408" s="485"/>
      <c r="V408" s="485"/>
      <c r="W408" s="485"/>
      <c r="X408" s="485"/>
      <c r="Y408" s="485"/>
      <c r="Z408" s="485"/>
      <c r="AA408" s="485"/>
    </row>
    <row r="409">
      <c r="A409" s="486"/>
      <c r="B409" s="482"/>
      <c r="C409" s="497"/>
      <c r="D409" s="497"/>
      <c r="E409" s="497"/>
      <c r="F409" s="497"/>
      <c r="G409" s="497"/>
      <c r="H409" s="497"/>
      <c r="I409" s="497"/>
      <c r="J409" s="497"/>
      <c r="K409" s="497"/>
      <c r="L409" s="485"/>
      <c r="M409" s="485"/>
      <c r="N409" s="485"/>
      <c r="O409" s="485"/>
      <c r="P409" s="485"/>
      <c r="Q409" s="485"/>
      <c r="R409" s="485"/>
      <c r="S409" s="485"/>
      <c r="T409" s="485"/>
      <c r="U409" s="485"/>
      <c r="V409" s="485"/>
      <c r="W409" s="485"/>
      <c r="X409" s="485"/>
      <c r="Y409" s="485"/>
      <c r="Z409" s="485"/>
      <c r="AA409" s="485"/>
    </row>
    <row r="410">
      <c r="A410" s="486"/>
      <c r="B410" s="482"/>
      <c r="C410" s="497"/>
      <c r="D410" s="497"/>
      <c r="E410" s="497"/>
      <c r="F410" s="497"/>
      <c r="G410" s="497"/>
      <c r="H410" s="497"/>
      <c r="I410" s="497"/>
      <c r="J410" s="497"/>
      <c r="K410" s="497"/>
      <c r="L410" s="485"/>
      <c r="M410" s="485"/>
      <c r="N410" s="485"/>
      <c r="O410" s="485"/>
      <c r="P410" s="485"/>
      <c r="Q410" s="485"/>
      <c r="R410" s="485"/>
      <c r="S410" s="485"/>
      <c r="T410" s="485"/>
      <c r="U410" s="485"/>
      <c r="V410" s="485"/>
      <c r="W410" s="485"/>
      <c r="X410" s="485"/>
      <c r="Y410" s="485"/>
      <c r="Z410" s="485"/>
      <c r="AA410" s="485"/>
    </row>
    <row r="411">
      <c r="A411" s="486"/>
      <c r="B411" s="482"/>
      <c r="C411" s="497"/>
      <c r="D411" s="497"/>
      <c r="E411" s="497"/>
      <c r="F411" s="497"/>
      <c r="G411" s="497"/>
      <c r="H411" s="497"/>
      <c r="I411" s="497"/>
      <c r="J411" s="497"/>
      <c r="K411" s="497"/>
      <c r="L411" s="485"/>
      <c r="M411" s="485"/>
      <c r="N411" s="485"/>
      <c r="O411" s="485"/>
      <c r="P411" s="485"/>
      <c r="Q411" s="485"/>
      <c r="R411" s="485"/>
      <c r="S411" s="485"/>
      <c r="T411" s="485"/>
      <c r="U411" s="485"/>
      <c r="V411" s="485"/>
      <c r="W411" s="485"/>
      <c r="X411" s="485"/>
      <c r="Y411" s="485"/>
      <c r="Z411" s="485"/>
      <c r="AA411" s="485"/>
    </row>
    <row r="412">
      <c r="A412" s="486"/>
      <c r="B412" s="482"/>
      <c r="C412" s="497"/>
      <c r="D412" s="497"/>
      <c r="E412" s="497"/>
      <c r="F412" s="497"/>
      <c r="G412" s="497"/>
      <c r="H412" s="497"/>
      <c r="I412" s="497"/>
      <c r="J412" s="497"/>
      <c r="K412" s="497"/>
      <c r="L412" s="485"/>
      <c r="M412" s="485"/>
      <c r="N412" s="485"/>
      <c r="O412" s="485"/>
      <c r="P412" s="485"/>
      <c r="Q412" s="485"/>
      <c r="R412" s="485"/>
      <c r="S412" s="485"/>
      <c r="T412" s="485"/>
      <c r="U412" s="485"/>
      <c r="V412" s="485"/>
      <c r="W412" s="485"/>
      <c r="X412" s="485"/>
      <c r="Y412" s="485"/>
      <c r="Z412" s="485"/>
      <c r="AA412" s="485"/>
    </row>
    <row r="413">
      <c r="A413" s="486"/>
      <c r="B413" s="482"/>
      <c r="C413" s="497"/>
      <c r="D413" s="497"/>
      <c r="E413" s="497"/>
      <c r="F413" s="497"/>
      <c r="G413" s="497"/>
      <c r="H413" s="497"/>
      <c r="I413" s="497"/>
      <c r="J413" s="497"/>
      <c r="K413" s="497"/>
      <c r="L413" s="485"/>
      <c r="M413" s="485"/>
      <c r="N413" s="485"/>
      <c r="O413" s="485"/>
      <c r="P413" s="485"/>
      <c r="Q413" s="485"/>
      <c r="R413" s="485"/>
      <c r="S413" s="485"/>
      <c r="T413" s="485"/>
      <c r="U413" s="485"/>
      <c r="V413" s="485"/>
      <c r="W413" s="485"/>
      <c r="X413" s="485"/>
      <c r="Y413" s="485"/>
      <c r="Z413" s="485"/>
      <c r="AA413" s="485"/>
    </row>
    <row r="414">
      <c r="A414" s="486"/>
      <c r="B414" s="482"/>
      <c r="C414" s="497"/>
      <c r="D414" s="497"/>
      <c r="E414" s="497"/>
      <c r="F414" s="497"/>
      <c r="G414" s="497"/>
      <c r="H414" s="497"/>
      <c r="I414" s="497"/>
      <c r="J414" s="497"/>
      <c r="K414" s="497"/>
      <c r="L414" s="485"/>
      <c r="M414" s="485"/>
      <c r="N414" s="485"/>
      <c r="O414" s="485"/>
      <c r="P414" s="485"/>
      <c r="Q414" s="485"/>
      <c r="R414" s="485"/>
      <c r="S414" s="485"/>
      <c r="T414" s="485"/>
      <c r="U414" s="485"/>
      <c r="V414" s="485"/>
      <c r="W414" s="485"/>
      <c r="X414" s="485"/>
      <c r="Y414" s="485"/>
      <c r="Z414" s="485"/>
      <c r="AA414" s="485"/>
    </row>
    <row r="415">
      <c r="A415" s="486"/>
      <c r="B415" s="482"/>
      <c r="C415" s="497"/>
      <c r="D415" s="497"/>
      <c r="E415" s="497"/>
      <c r="F415" s="497"/>
      <c r="G415" s="497"/>
      <c r="H415" s="497"/>
      <c r="I415" s="497"/>
      <c r="J415" s="497"/>
      <c r="K415" s="497"/>
      <c r="L415" s="485"/>
      <c r="M415" s="485"/>
      <c r="N415" s="485"/>
      <c r="O415" s="485"/>
      <c r="P415" s="485"/>
      <c r="Q415" s="485"/>
      <c r="R415" s="485"/>
      <c r="S415" s="485"/>
      <c r="T415" s="485"/>
      <c r="U415" s="485"/>
      <c r="V415" s="485"/>
      <c r="W415" s="485"/>
      <c r="X415" s="485"/>
      <c r="Y415" s="485"/>
      <c r="Z415" s="485"/>
      <c r="AA415" s="485"/>
    </row>
    <row r="416">
      <c r="A416" s="486"/>
      <c r="B416" s="482"/>
      <c r="C416" s="497"/>
      <c r="D416" s="497"/>
      <c r="E416" s="497"/>
      <c r="F416" s="497"/>
      <c r="G416" s="497"/>
      <c r="H416" s="497"/>
      <c r="I416" s="497"/>
      <c r="J416" s="497"/>
      <c r="K416" s="497"/>
      <c r="L416" s="485"/>
      <c r="M416" s="485"/>
      <c r="N416" s="485"/>
      <c r="O416" s="485"/>
      <c r="P416" s="485"/>
      <c r="Q416" s="485"/>
      <c r="R416" s="485"/>
      <c r="S416" s="485"/>
      <c r="T416" s="485"/>
      <c r="U416" s="485"/>
      <c r="V416" s="485"/>
      <c r="W416" s="485"/>
      <c r="X416" s="485"/>
      <c r="Y416" s="485"/>
      <c r="Z416" s="485"/>
      <c r="AA416" s="485"/>
    </row>
    <row r="417">
      <c r="A417" s="486"/>
      <c r="B417" s="482"/>
      <c r="C417" s="497"/>
      <c r="D417" s="497"/>
      <c r="E417" s="497"/>
      <c r="F417" s="497"/>
      <c r="G417" s="497"/>
      <c r="H417" s="497"/>
      <c r="I417" s="497"/>
      <c r="J417" s="497"/>
      <c r="K417" s="497"/>
      <c r="L417" s="485"/>
      <c r="M417" s="485"/>
      <c r="N417" s="485"/>
      <c r="O417" s="485"/>
      <c r="P417" s="485"/>
      <c r="Q417" s="485"/>
      <c r="R417" s="485"/>
      <c r="S417" s="485"/>
      <c r="T417" s="485"/>
      <c r="U417" s="485"/>
      <c r="V417" s="485"/>
      <c r="W417" s="485"/>
      <c r="X417" s="485"/>
      <c r="Y417" s="485"/>
      <c r="Z417" s="485"/>
      <c r="AA417" s="485"/>
    </row>
    <row r="418">
      <c r="A418" s="486"/>
      <c r="B418" s="482"/>
      <c r="C418" s="497"/>
      <c r="D418" s="497"/>
      <c r="E418" s="497"/>
      <c r="F418" s="497"/>
      <c r="G418" s="497"/>
      <c r="H418" s="497"/>
      <c r="I418" s="497"/>
      <c r="J418" s="497"/>
      <c r="K418" s="497"/>
      <c r="L418" s="485"/>
      <c r="M418" s="485"/>
      <c r="N418" s="485"/>
      <c r="O418" s="485"/>
      <c r="P418" s="485"/>
      <c r="Q418" s="485"/>
      <c r="R418" s="485"/>
      <c r="S418" s="485"/>
      <c r="T418" s="485"/>
      <c r="U418" s="485"/>
      <c r="V418" s="485"/>
      <c r="W418" s="485"/>
      <c r="X418" s="485"/>
      <c r="Y418" s="485"/>
      <c r="Z418" s="485"/>
      <c r="AA418" s="485"/>
    </row>
    <row r="419">
      <c r="A419" s="486"/>
      <c r="B419" s="482"/>
      <c r="C419" s="497"/>
      <c r="D419" s="497"/>
      <c r="E419" s="497"/>
      <c r="F419" s="497"/>
      <c r="G419" s="497"/>
      <c r="H419" s="497"/>
      <c r="I419" s="497"/>
      <c r="J419" s="497"/>
      <c r="K419" s="497"/>
      <c r="L419" s="485"/>
      <c r="M419" s="485"/>
      <c r="N419" s="485"/>
      <c r="O419" s="485"/>
      <c r="P419" s="485"/>
      <c r="Q419" s="485"/>
      <c r="R419" s="485"/>
      <c r="S419" s="485"/>
      <c r="T419" s="485"/>
      <c r="U419" s="485"/>
      <c r="V419" s="485"/>
      <c r="W419" s="485"/>
      <c r="X419" s="485"/>
      <c r="Y419" s="485"/>
      <c r="Z419" s="485"/>
      <c r="AA419" s="485"/>
    </row>
    <row r="420">
      <c r="A420" s="486"/>
      <c r="B420" s="482"/>
      <c r="C420" s="497"/>
      <c r="D420" s="497"/>
      <c r="E420" s="497"/>
      <c r="F420" s="497"/>
      <c r="G420" s="497"/>
      <c r="H420" s="497"/>
      <c r="I420" s="497"/>
      <c r="J420" s="497"/>
      <c r="K420" s="497"/>
      <c r="L420" s="485"/>
      <c r="M420" s="485"/>
      <c r="N420" s="485"/>
      <c r="O420" s="485"/>
      <c r="P420" s="485"/>
      <c r="Q420" s="485"/>
      <c r="R420" s="485"/>
      <c r="S420" s="485"/>
      <c r="T420" s="485"/>
      <c r="U420" s="485"/>
      <c r="V420" s="485"/>
      <c r="W420" s="485"/>
      <c r="X420" s="485"/>
      <c r="Y420" s="485"/>
      <c r="Z420" s="485"/>
      <c r="AA420" s="485"/>
    </row>
    <row r="421">
      <c r="A421" s="486"/>
      <c r="B421" s="482"/>
      <c r="C421" s="497"/>
      <c r="D421" s="497"/>
      <c r="E421" s="497"/>
      <c r="F421" s="497"/>
      <c r="G421" s="497"/>
      <c r="H421" s="497"/>
      <c r="I421" s="497"/>
      <c r="J421" s="497"/>
      <c r="K421" s="497"/>
      <c r="L421" s="485"/>
      <c r="M421" s="485"/>
      <c r="N421" s="485"/>
      <c r="O421" s="485"/>
      <c r="P421" s="485"/>
      <c r="Q421" s="485"/>
      <c r="R421" s="485"/>
      <c r="S421" s="485"/>
      <c r="T421" s="485"/>
      <c r="U421" s="485"/>
      <c r="V421" s="485"/>
      <c r="W421" s="485"/>
      <c r="X421" s="485"/>
      <c r="Y421" s="485"/>
      <c r="Z421" s="485"/>
      <c r="AA421" s="485"/>
    </row>
    <row r="422">
      <c r="A422" s="486"/>
      <c r="B422" s="482"/>
      <c r="C422" s="497"/>
      <c r="D422" s="497"/>
      <c r="E422" s="497"/>
      <c r="F422" s="497"/>
      <c r="G422" s="497"/>
      <c r="H422" s="497"/>
      <c r="I422" s="497"/>
      <c r="J422" s="497"/>
      <c r="K422" s="497"/>
      <c r="L422" s="485"/>
      <c r="M422" s="485"/>
      <c r="N422" s="485"/>
      <c r="O422" s="485"/>
      <c r="P422" s="485"/>
      <c r="Q422" s="485"/>
      <c r="R422" s="485"/>
      <c r="S422" s="485"/>
      <c r="T422" s="485"/>
      <c r="U422" s="485"/>
      <c r="V422" s="485"/>
      <c r="W422" s="485"/>
      <c r="X422" s="485"/>
      <c r="Y422" s="485"/>
      <c r="Z422" s="485"/>
      <c r="AA422" s="485"/>
    </row>
    <row r="423">
      <c r="A423" s="486"/>
      <c r="B423" s="482"/>
      <c r="C423" s="497"/>
      <c r="D423" s="497"/>
      <c r="E423" s="497"/>
      <c r="F423" s="497"/>
      <c r="G423" s="497"/>
      <c r="H423" s="497"/>
      <c r="I423" s="497"/>
      <c r="J423" s="497"/>
      <c r="K423" s="497"/>
      <c r="L423" s="485"/>
      <c r="M423" s="485"/>
      <c r="N423" s="485"/>
      <c r="O423" s="485"/>
      <c r="P423" s="485"/>
      <c r="Q423" s="485"/>
      <c r="R423" s="485"/>
      <c r="S423" s="485"/>
      <c r="T423" s="485"/>
      <c r="U423" s="485"/>
      <c r="V423" s="485"/>
      <c r="W423" s="485"/>
      <c r="X423" s="485"/>
      <c r="Y423" s="485"/>
      <c r="Z423" s="485"/>
      <c r="AA423" s="485"/>
    </row>
    <row r="424">
      <c r="A424" s="486"/>
      <c r="B424" s="482"/>
      <c r="C424" s="497"/>
      <c r="D424" s="497"/>
      <c r="E424" s="497"/>
      <c r="F424" s="497"/>
      <c r="G424" s="497"/>
      <c r="H424" s="497"/>
      <c r="I424" s="497"/>
      <c r="J424" s="497"/>
      <c r="K424" s="497"/>
      <c r="L424" s="485"/>
      <c r="M424" s="485"/>
      <c r="N424" s="485"/>
      <c r="O424" s="485"/>
      <c r="P424" s="485"/>
      <c r="Q424" s="485"/>
      <c r="R424" s="485"/>
      <c r="S424" s="485"/>
      <c r="T424" s="485"/>
      <c r="U424" s="485"/>
      <c r="V424" s="485"/>
      <c r="W424" s="485"/>
      <c r="X424" s="485"/>
      <c r="Y424" s="485"/>
      <c r="Z424" s="485"/>
      <c r="AA424" s="485"/>
    </row>
    <row r="425">
      <c r="A425" s="486"/>
      <c r="B425" s="482"/>
      <c r="C425" s="497"/>
      <c r="D425" s="497"/>
      <c r="E425" s="497"/>
      <c r="F425" s="497"/>
      <c r="G425" s="497"/>
      <c r="H425" s="497"/>
      <c r="I425" s="497"/>
      <c r="J425" s="497"/>
      <c r="K425" s="497"/>
      <c r="L425" s="485"/>
      <c r="M425" s="485"/>
      <c r="N425" s="485"/>
      <c r="O425" s="485"/>
      <c r="P425" s="485"/>
      <c r="Q425" s="485"/>
      <c r="R425" s="485"/>
      <c r="S425" s="485"/>
      <c r="T425" s="485"/>
      <c r="U425" s="485"/>
      <c r="V425" s="485"/>
      <c r="W425" s="485"/>
      <c r="X425" s="485"/>
      <c r="Y425" s="485"/>
      <c r="Z425" s="485"/>
      <c r="AA425" s="485"/>
    </row>
    <row r="426">
      <c r="A426" s="486"/>
      <c r="B426" s="482"/>
      <c r="C426" s="497"/>
      <c r="D426" s="497"/>
      <c r="E426" s="497"/>
      <c r="F426" s="497"/>
      <c r="G426" s="497"/>
      <c r="H426" s="497"/>
      <c r="I426" s="497"/>
      <c r="J426" s="497"/>
      <c r="K426" s="497"/>
      <c r="L426" s="485"/>
      <c r="M426" s="485"/>
      <c r="N426" s="485"/>
      <c r="O426" s="485"/>
      <c r="P426" s="485"/>
      <c r="Q426" s="485"/>
      <c r="R426" s="485"/>
      <c r="S426" s="485"/>
      <c r="T426" s="485"/>
      <c r="U426" s="485"/>
      <c r="V426" s="485"/>
      <c r="W426" s="485"/>
      <c r="X426" s="485"/>
      <c r="Y426" s="485"/>
      <c r="Z426" s="485"/>
      <c r="AA426" s="485"/>
    </row>
    <row r="427">
      <c r="A427" s="486"/>
      <c r="B427" s="482"/>
      <c r="C427" s="497"/>
      <c r="D427" s="497"/>
      <c r="E427" s="497"/>
      <c r="F427" s="497"/>
      <c r="G427" s="497"/>
      <c r="H427" s="497"/>
      <c r="I427" s="497"/>
      <c r="J427" s="497"/>
      <c r="K427" s="497"/>
      <c r="L427" s="485"/>
      <c r="M427" s="485"/>
      <c r="N427" s="485"/>
      <c r="O427" s="485"/>
      <c r="P427" s="485"/>
      <c r="Q427" s="485"/>
      <c r="R427" s="485"/>
      <c r="S427" s="485"/>
      <c r="T427" s="485"/>
      <c r="U427" s="485"/>
      <c r="V427" s="485"/>
      <c r="W427" s="485"/>
      <c r="X427" s="485"/>
      <c r="Y427" s="485"/>
      <c r="Z427" s="485"/>
      <c r="AA427" s="485"/>
    </row>
    <row r="428">
      <c r="A428" s="486"/>
      <c r="B428" s="482"/>
      <c r="C428" s="497"/>
      <c r="D428" s="497"/>
      <c r="E428" s="497"/>
      <c r="F428" s="497"/>
      <c r="G428" s="497"/>
      <c r="H428" s="497"/>
      <c r="I428" s="497"/>
      <c r="J428" s="497"/>
      <c r="K428" s="497"/>
      <c r="L428" s="485"/>
      <c r="M428" s="485"/>
      <c r="N428" s="485"/>
      <c r="O428" s="485"/>
      <c r="P428" s="485"/>
      <c r="Q428" s="485"/>
      <c r="R428" s="485"/>
      <c r="S428" s="485"/>
      <c r="T428" s="485"/>
      <c r="U428" s="485"/>
      <c r="V428" s="485"/>
      <c r="W428" s="485"/>
      <c r="X428" s="485"/>
      <c r="Y428" s="485"/>
      <c r="Z428" s="485"/>
      <c r="AA428" s="485"/>
    </row>
    <row r="429">
      <c r="A429" s="486"/>
      <c r="B429" s="482"/>
      <c r="C429" s="497"/>
      <c r="D429" s="497"/>
      <c r="E429" s="497"/>
      <c r="F429" s="497"/>
      <c r="G429" s="497"/>
      <c r="H429" s="497"/>
      <c r="I429" s="497"/>
      <c r="J429" s="497"/>
      <c r="K429" s="497"/>
      <c r="L429" s="485"/>
      <c r="M429" s="485"/>
      <c r="N429" s="485"/>
      <c r="O429" s="485"/>
      <c r="P429" s="485"/>
      <c r="Q429" s="485"/>
      <c r="R429" s="485"/>
      <c r="S429" s="485"/>
      <c r="T429" s="485"/>
      <c r="U429" s="485"/>
      <c r="V429" s="485"/>
      <c r="W429" s="485"/>
      <c r="X429" s="485"/>
      <c r="Y429" s="485"/>
      <c r="Z429" s="485"/>
      <c r="AA429" s="485"/>
    </row>
    <row r="430">
      <c r="A430" s="486"/>
      <c r="B430" s="482"/>
      <c r="C430" s="497"/>
      <c r="D430" s="497"/>
      <c r="E430" s="497"/>
      <c r="F430" s="497"/>
      <c r="G430" s="497"/>
      <c r="H430" s="497"/>
      <c r="I430" s="497"/>
      <c r="J430" s="497"/>
      <c r="K430" s="497"/>
      <c r="L430" s="485"/>
      <c r="M430" s="485"/>
      <c r="N430" s="485"/>
      <c r="O430" s="485"/>
      <c r="P430" s="485"/>
      <c r="Q430" s="485"/>
      <c r="R430" s="485"/>
      <c r="S430" s="485"/>
      <c r="T430" s="485"/>
      <c r="U430" s="485"/>
      <c r="V430" s="485"/>
      <c r="W430" s="485"/>
      <c r="X430" s="485"/>
      <c r="Y430" s="485"/>
      <c r="Z430" s="485"/>
      <c r="AA430" s="485"/>
    </row>
    <row r="431">
      <c r="A431" s="486"/>
      <c r="B431" s="482"/>
      <c r="C431" s="497"/>
      <c r="D431" s="497"/>
      <c r="E431" s="497"/>
      <c r="F431" s="497"/>
      <c r="G431" s="497"/>
      <c r="H431" s="497"/>
      <c r="I431" s="497"/>
      <c r="J431" s="497"/>
      <c r="K431" s="497"/>
      <c r="L431" s="485"/>
      <c r="M431" s="485"/>
      <c r="N431" s="485"/>
      <c r="O431" s="485"/>
      <c r="P431" s="485"/>
      <c r="Q431" s="485"/>
      <c r="R431" s="485"/>
      <c r="S431" s="485"/>
      <c r="T431" s="485"/>
      <c r="U431" s="485"/>
      <c r="V431" s="485"/>
      <c r="W431" s="485"/>
      <c r="X431" s="485"/>
      <c r="Y431" s="485"/>
      <c r="Z431" s="485"/>
      <c r="AA431" s="485"/>
    </row>
    <row r="432">
      <c r="A432" s="486"/>
      <c r="B432" s="482"/>
      <c r="C432" s="497"/>
      <c r="D432" s="497"/>
      <c r="E432" s="497"/>
      <c r="F432" s="497"/>
      <c r="G432" s="497"/>
      <c r="H432" s="497"/>
      <c r="I432" s="497"/>
      <c r="J432" s="497"/>
      <c r="K432" s="497"/>
      <c r="L432" s="485"/>
      <c r="M432" s="485"/>
      <c r="N432" s="485"/>
      <c r="O432" s="485"/>
      <c r="P432" s="485"/>
      <c r="Q432" s="485"/>
      <c r="R432" s="485"/>
      <c r="S432" s="485"/>
      <c r="T432" s="485"/>
      <c r="U432" s="485"/>
      <c r="V432" s="485"/>
      <c r="W432" s="485"/>
      <c r="X432" s="485"/>
      <c r="Y432" s="485"/>
      <c r="Z432" s="485"/>
      <c r="AA432" s="485"/>
    </row>
    <row r="433">
      <c r="A433" s="486"/>
      <c r="B433" s="482"/>
      <c r="C433" s="497"/>
      <c r="D433" s="497"/>
      <c r="E433" s="497"/>
      <c r="F433" s="497"/>
      <c r="G433" s="497"/>
      <c r="H433" s="497"/>
      <c r="I433" s="497"/>
      <c r="J433" s="497"/>
      <c r="K433" s="497"/>
      <c r="L433" s="485"/>
      <c r="M433" s="485"/>
      <c r="N433" s="485"/>
      <c r="O433" s="485"/>
      <c r="P433" s="485"/>
      <c r="Q433" s="485"/>
      <c r="R433" s="485"/>
      <c r="S433" s="485"/>
      <c r="T433" s="485"/>
      <c r="U433" s="485"/>
      <c r="V433" s="485"/>
      <c r="W433" s="485"/>
      <c r="X433" s="485"/>
      <c r="Y433" s="485"/>
      <c r="Z433" s="485"/>
      <c r="AA433" s="485"/>
    </row>
    <row r="434">
      <c r="A434" s="486"/>
      <c r="B434" s="482"/>
      <c r="C434" s="497"/>
      <c r="D434" s="497"/>
      <c r="E434" s="497"/>
      <c r="F434" s="497"/>
      <c r="G434" s="497"/>
      <c r="H434" s="497"/>
      <c r="I434" s="497"/>
      <c r="J434" s="497"/>
      <c r="K434" s="497"/>
      <c r="L434" s="485"/>
      <c r="M434" s="485"/>
      <c r="N434" s="485"/>
      <c r="O434" s="485"/>
      <c r="P434" s="485"/>
      <c r="Q434" s="485"/>
      <c r="R434" s="485"/>
      <c r="S434" s="485"/>
      <c r="T434" s="485"/>
      <c r="U434" s="485"/>
      <c r="V434" s="485"/>
      <c r="W434" s="485"/>
      <c r="X434" s="485"/>
      <c r="Y434" s="485"/>
      <c r="Z434" s="485"/>
      <c r="AA434" s="485"/>
    </row>
    <row r="435">
      <c r="A435" s="486"/>
      <c r="B435" s="482"/>
      <c r="C435" s="497"/>
      <c r="D435" s="497"/>
      <c r="E435" s="497"/>
      <c r="F435" s="497"/>
      <c r="G435" s="497"/>
      <c r="H435" s="497"/>
      <c r="I435" s="497"/>
      <c r="J435" s="497"/>
      <c r="K435" s="497"/>
      <c r="L435" s="485"/>
      <c r="M435" s="485"/>
      <c r="N435" s="485"/>
      <c r="O435" s="485"/>
      <c r="P435" s="485"/>
      <c r="Q435" s="485"/>
      <c r="R435" s="485"/>
      <c r="S435" s="485"/>
      <c r="T435" s="485"/>
      <c r="U435" s="485"/>
      <c r="V435" s="485"/>
      <c r="W435" s="485"/>
      <c r="X435" s="485"/>
      <c r="Y435" s="485"/>
      <c r="Z435" s="485"/>
      <c r="AA435" s="485"/>
    </row>
    <row r="436">
      <c r="A436" s="486"/>
      <c r="B436" s="482"/>
      <c r="C436" s="497"/>
      <c r="D436" s="497"/>
      <c r="E436" s="497"/>
      <c r="F436" s="497"/>
      <c r="G436" s="497"/>
      <c r="H436" s="497"/>
      <c r="I436" s="497"/>
      <c r="J436" s="497"/>
      <c r="K436" s="497"/>
      <c r="L436" s="485"/>
      <c r="M436" s="485"/>
      <c r="N436" s="485"/>
      <c r="O436" s="485"/>
      <c r="P436" s="485"/>
      <c r="Q436" s="485"/>
      <c r="R436" s="485"/>
      <c r="S436" s="485"/>
      <c r="T436" s="485"/>
      <c r="U436" s="485"/>
      <c r="V436" s="485"/>
      <c r="W436" s="485"/>
      <c r="X436" s="485"/>
      <c r="Y436" s="485"/>
      <c r="Z436" s="485"/>
      <c r="AA436" s="485"/>
    </row>
    <row r="437">
      <c r="A437" s="486"/>
      <c r="B437" s="482"/>
      <c r="C437" s="497"/>
      <c r="D437" s="497"/>
      <c r="E437" s="497"/>
      <c r="F437" s="497"/>
      <c r="G437" s="497"/>
      <c r="H437" s="497"/>
      <c r="I437" s="497"/>
      <c r="J437" s="497"/>
      <c r="K437" s="497"/>
      <c r="L437" s="485"/>
      <c r="M437" s="485"/>
      <c r="N437" s="485"/>
      <c r="O437" s="485"/>
      <c r="P437" s="485"/>
      <c r="Q437" s="485"/>
      <c r="R437" s="485"/>
      <c r="S437" s="485"/>
      <c r="T437" s="485"/>
      <c r="U437" s="485"/>
      <c r="V437" s="485"/>
      <c r="W437" s="485"/>
      <c r="X437" s="485"/>
      <c r="Y437" s="485"/>
      <c r="Z437" s="485"/>
      <c r="AA437" s="485"/>
    </row>
    <row r="438">
      <c r="A438" s="486"/>
      <c r="B438" s="482"/>
      <c r="C438" s="497"/>
      <c r="D438" s="497"/>
      <c r="E438" s="497"/>
      <c r="F438" s="497"/>
      <c r="G438" s="497"/>
      <c r="H438" s="497"/>
      <c r="I438" s="497"/>
      <c r="J438" s="497"/>
      <c r="K438" s="497"/>
      <c r="L438" s="485"/>
      <c r="M438" s="485"/>
      <c r="N438" s="485"/>
      <c r="O438" s="485"/>
      <c r="P438" s="485"/>
      <c r="Q438" s="485"/>
      <c r="R438" s="485"/>
      <c r="S438" s="485"/>
      <c r="T438" s="485"/>
      <c r="U438" s="485"/>
      <c r="V438" s="485"/>
      <c r="W438" s="485"/>
      <c r="X438" s="485"/>
      <c r="Y438" s="485"/>
      <c r="Z438" s="485"/>
      <c r="AA438" s="485"/>
    </row>
    <row r="439">
      <c r="A439" s="486"/>
      <c r="B439" s="482"/>
      <c r="C439" s="497"/>
      <c r="D439" s="497"/>
      <c r="E439" s="497"/>
      <c r="F439" s="497"/>
      <c r="G439" s="497"/>
      <c r="H439" s="497"/>
      <c r="I439" s="497"/>
      <c r="J439" s="497"/>
      <c r="K439" s="497"/>
      <c r="L439" s="485"/>
      <c r="M439" s="485"/>
      <c r="N439" s="485"/>
      <c r="O439" s="485"/>
      <c r="P439" s="485"/>
      <c r="Q439" s="485"/>
      <c r="R439" s="485"/>
      <c r="S439" s="485"/>
      <c r="T439" s="485"/>
      <c r="U439" s="485"/>
      <c r="V439" s="485"/>
      <c r="W439" s="485"/>
      <c r="X439" s="485"/>
      <c r="Y439" s="485"/>
      <c r="Z439" s="485"/>
      <c r="AA439" s="485"/>
    </row>
    <row r="440">
      <c r="A440" s="486"/>
      <c r="B440" s="482"/>
      <c r="C440" s="497"/>
      <c r="D440" s="497"/>
      <c r="E440" s="497"/>
      <c r="F440" s="497"/>
      <c r="G440" s="497"/>
      <c r="H440" s="497"/>
      <c r="I440" s="497"/>
      <c r="J440" s="497"/>
      <c r="K440" s="497"/>
      <c r="L440" s="485"/>
      <c r="M440" s="485"/>
      <c r="N440" s="485"/>
      <c r="O440" s="485"/>
      <c r="P440" s="485"/>
      <c r="Q440" s="485"/>
      <c r="R440" s="485"/>
      <c r="S440" s="485"/>
      <c r="T440" s="485"/>
      <c r="U440" s="485"/>
      <c r="V440" s="485"/>
      <c r="W440" s="485"/>
      <c r="X440" s="485"/>
      <c r="Y440" s="485"/>
      <c r="Z440" s="485"/>
      <c r="AA440" s="485"/>
    </row>
    <row r="441">
      <c r="A441" s="486"/>
      <c r="B441" s="482"/>
      <c r="C441" s="497"/>
      <c r="D441" s="497"/>
      <c r="E441" s="497"/>
      <c r="F441" s="497"/>
      <c r="G441" s="497"/>
      <c r="H441" s="497"/>
      <c r="I441" s="497"/>
      <c r="J441" s="497"/>
      <c r="K441" s="497"/>
      <c r="L441" s="485"/>
      <c r="M441" s="485"/>
      <c r="N441" s="485"/>
      <c r="O441" s="485"/>
      <c r="P441" s="485"/>
      <c r="Q441" s="485"/>
      <c r="R441" s="485"/>
      <c r="S441" s="485"/>
      <c r="T441" s="485"/>
      <c r="U441" s="485"/>
      <c r="V441" s="485"/>
      <c r="W441" s="485"/>
      <c r="X441" s="485"/>
      <c r="Y441" s="485"/>
      <c r="Z441" s="485"/>
      <c r="AA441" s="485"/>
    </row>
    <row r="442">
      <c r="A442" s="486"/>
      <c r="B442" s="482"/>
      <c r="C442" s="497"/>
      <c r="D442" s="497"/>
      <c r="E442" s="497"/>
      <c r="F442" s="497"/>
      <c r="G442" s="497"/>
      <c r="H442" s="497"/>
      <c r="I442" s="497"/>
      <c r="J442" s="497"/>
      <c r="K442" s="497"/>
      <c r="L442" s="485"/>
      <c r="M442" s="485"/>
      <c r="N442" s="485"/>
      <c r="O442" s="485"/>
      <c r="P442" s="485"/>
      <c r="Q442" s="485"/>
      <c r="R442" s="485"/>
      <c r="S442" s="485"/>
      <c r="T442" s="485"/>
      <c r="U442" s="485"/>
      <c r="V442" s="485"/>
      <c r="W442" s="485"/>
      <c r="X442" s="485"/>
      <c r="Y442" s="485"/>
      <c r="Z442" s="485"/>
      <c r="AA442" s="485"/>
    </row>
    <row r="443">
      <c r="A443" s="486"/>
      <c r="B443" s="482"/>
      <c r="C443" s="497"/>
      <c r="D443" s="497"/>
      <c r="E443" s="497"/>
      <c r="F443" s="497"/>
      <c r="G443" s="497"/>
      <c r="H443" s="497"/>
      <c r="I443" s="497"/>
      <c r="J443" s="497"/>
      <c r="K443" s="497"/>
      <c r="L443" s="485"/>
      <c r="M443" s="485"/>
      <c r="N443" s="485"/>
      <c r="O443" s="485"/>
      <c r="P443" s="485"/>
      <c r="Q443" s="485"/>
      <c r="R443" s="485"/>
      <c r="S443" s="485"/>
      <c r="T443" s="485"/>
      <c r="U443" s="485"/>
      <c r="V443" s="485"/>
      <c r="W443" s="485"/>
      <c r="X443" s="485"/>
      <c r="Y443" s="485"/>
      <c r="Z443" s="485"/>
      <c r="AA443" s="485"/>
    </row>
    <row r="444">
      <c r="A444" s="486"/>
      <c r="B444" s="482"/>
      <c r="C444" s="497"/>
      <c r="D444" s="497"/>
      <c r="E444" s="497"/>
      <c r="F444" s="497"/>
      <c r="G444" s="497"/>
      <c r="H444" s="497"/>
      <c r="I444" s="497"/>
      <c r="J444" s="497"/>
      <c r="K444" s="497"/>
      <c r="L444" s="485"/>
      <c r="M444" s="485"/>
      <c r="N444" s="485"/>
      <c r="O444" s="485"/>
      <c r="P444" s="485"/>
      <c r="Q444" s="485"/>
      <c r="R444" s="485"/>
      <c r="S444" s="485"/>
      <c r="T444" s="485"/>
      <c r="U444" s="485"/>
      <c r="V444" s="485"/>
      <c r="W444" s="485"/>
      <c r="X444" s="485"/>
      <c r="Y444" s="485"/>
      <c r="Z444" s="485"/>
      <c r="AA444" s="485"/>
    </row>
    <row r="445">
      <c r="A445" s="486"/>
      <c r="B445" s="482"/>
      <c r="C445" s="497"/>
      <c r="D445" s="497"/>
      <c r="E445" s="497"/>
      <c r="F445" s="497"/>
      <c r="G445" s="497"/>
      <c r="H445" s="497"/>
      <c r="I445" s="497"/>
      <c r="J445" s="497"/>
      <c r="K445" s="497"/>
      <c r="L445" s="485"/>
      <c r="M445" s="485"/>
      <c r="N445" s="485"/>
      <c r="O445" s="485"/>
      <c r="P445" s="485"/>
      <c r="Q445" s="485"/>
      <c r="R445" s="485"/>
      <c r="S445" s="485"/>
      <c r="T445" s="485"/>
      <c r="U445" s="485"/>
      <c r="V445" s="485"/>
      <c r="W445" s="485"/>
      <c r="X445" s="485"/>
      <c r="Y445" s="485"/>
      <c r="Z445" s="485"/>
      <c r="AA445" s="485"/>
    </row>
    <row r="446">
      <c r="A446" s="486"/>
      <c r="B446" s="482"/>
      <c r="C446" s="497"/>
      <c r="D446" s="497"/>
      <c r="E446" s="497"/>
      <c r="F446" s="497"/>
      <c r="G446" s="497"/>
      <c r="H446" s="497"/>
      <c r="I446" s="497"/>
      <c r="J446" s="497"/>
      <c r="K446" s="497"/>
      <c r="L446" s="485"/>
      <c r="M446" s="485"/>
      <c r="N446" s="485"/>
      <c r="O446" s="485"/>
      <c r="P446" s="485"/>
      <c r="Q446" s="485"/>
      <c r="R446" s="485"/>
      <c r="S446" s="485"/>
      <c r="T446" s="485"/>
      <c r="U446" s="485"/>
      <c r="V446" s="485"/>
      <c r="W446" s="485"/>
      <c r="X446" s="485"/>
      <c r="Y446" s="485"/>
      <c r="Z446" s="485"/>
      <c r="AA446" s="485"/>
    </row>
    <row r="447">
      <c r="A447" s="486"/>
      <c r="B447" s="482"/>
      <c r="C447" s="497"/>
      <c r="D447" s="497"/>
      <c r="E447" s="497"/>
      <c r="F447" s="497"/>
      <c r="G447" s="497"/>
      <c r="H447" s="497"/>
      <c r="I447" s="497"/>
      <c r="J447" s="497"/>
      <c r="K447" s="497"/>
      <c r="L447" s="485"/>
      <c r="M447" s="485"/>
      <c r="N447" s="485"/>
      <c r="O447" s="485"/>
      <c r="P447" s="485"/>
      <c r="Q447" s="485"/>
      <c r="R447" s="485"/>
      <c r="S447" s="485"/>
      <c r="T447" s="485"/>
      <c r="U447" s="485"/>
      <c r="V447" s="485"/>
      <c r="W447" s="485"/>
      <c r="X447" s="485"/>
      <c r="Y447" s="485"/>
      <c r="Z447" s="485"/>
      <c r="AA447" s="485"/>
    </row>
    <row r="448">
      <c r="A448" s="486"/>
      <c r="B448" s="482"/>
      <c r="C448" s="497"/>
      <c r="D448" s="497"/>
      <c r="E448" s="497"/>
      <c r="F448" s="497"/>
      <c r="G448" s="497"/>
      <c r="H448" s="497"/>
      <c r="I448" s="497"/>
      <c r="J448" s="497"/>
      <c r="K448" s="497"/>
      <c r="L448" s="485"/>
      <c r="M448" s="485"/>
      <c r="N448" s="485"/>
      <c r="O448" s="485"/>
      <c r="P448" s="485"/>
      <c r="Q448" s="485"/>
      <c r="R448" s="485"/>
      <c r="S448" s="485"/>
      <c r="T448" s="485"/>
      <c r="U448" s="485"/>
      <c r="V448" s="485"/>
      <c r="W448" s="485"/>
      <c r="X448" s="485"/>
      <c r="Y448" s="485"/>
      <c r="Z448" s="485"/>
      <c r="AA448" s="485"/>
    </row>
    <row r="449">
      <c r="A449" s="486"/>
      <c r="B449" s="482"/>
      <c r="C449" s="497"/>
      <c r="D449" s="497"/>
      <c r="E449" s="497"/>
      <c r="F449" s="497"/>
      <c r="G449" s="497"/>
      <c r="H449" s="497"/>
      <c r="I449" s="497"/>
      <c r="J449" s="497"/>
      <c r="K449" s="497"/>
      <c r="L449" s="485"/>
      <c r="M449" s="485"/>
      <c r="N449" s="485"/>
      <c r="O449" s="485"/>
      <c r="P449" s="485"/>
      <c r="Q449" s="485"/>
      <c r="R449" s="485"/>
      <c r="S449" s="485"/>
      <c r="T449" s="485"/>
      <c r="U449" s="485"/>
      <c r="V449" s="485"/>
      <c r="W449" s="485"/>
      <c r="X449" s="485"/>
      <c r="Y449" s="485"/>
      <c r="Z449" s="485"/>
      <c r="AA449" s="485"/>
    </row>
    <row r="450">
      <c r="A450" s="486"/>
      <c r="B450" s="482"/>
      <c r="C450" s="497"/>
      <c r="D450" s="497"/>
      <c r="E450" s="497"/>
      <c r="F450" s="497"/>
      <c r="G450" s="497"/>
      <c r="H450" s="497"/>
      <c r="I450" s="497"/>
      <c r="J450" s="497"/>
      <c r="K450" s="497"/>
      <c r="L450" s="485"/>
      <c r="M450" s="485"/>
      <c r="N450" s="485"/>
      <c r="O450" s="485"/>
      <c r="P450" s="485"/>
      <c r="Q450" s="485"/>
      <c r="R450" s="485"/>
      <c r="S450" s="485"/>
      <c r="T450" s="485"/>
      <c r="U450" s="485"/>
      <c r="V450" s="485"/>
      <c r="W450" s="485"/>
      <c r="X450" s="485"/>
      <c r="Y450" s="485"/>
      <c r="Z450" s="485"/>
      <c r="AA450" s="485"/>
    </row>
    <row r="451">
      <c r="A451" s="486"/>
      <c r="B451" s="482"/>
      <c r="C451" s="497"/>
      <c r="D451" s="497"/>
      <c r="E451" s="497"/>
      <c r="F451" s="497"/>
      <c r="G451" s="497"/>
      <c r="H451" s="497"/>
      <c r="I451" s="497"/>
      <c r="J451" s="497"/>
      <c r="K451" s="497"/>
      <c r="L451" s="485"/>
      <c r="M451" s="485"/>
      <c r="N451" s="485"/>
      <c r="O451" s="485"/>
      <c r="P451" s="485"/>
      <c r="Q451" s="485"/>
      <c r="R451" s="485"/>
      <c r="S451" s="485"/>
      <c r="T451" s="485"/>
      <c r="U451" s="485"/>
      <c r="V451" s="485"/>
      <c r="W451" s="485"/>
      <c r="X451" s="485"/>
      <c r="Y451" s="485"/>
      <c r="Z451" s="485"/>
      <c r="AA451" s="485"/>
    </row>
    <row r="452">
      <c r="A452" s="486"/>
      <c r="B452" s="482"/>
      <c r="C452" s="497"/>
      <c r="D452" s="497"/>
      <c r="E452" s="497"/>
      <c r="F452" s="497"/>
      <c r="G452" s="497"/>
      <c r="H452" s="497"/>
      <c r="I452" s="497"/>
      <c r="J452" s="497"/>
      <c r="K452" s="497"/>
      <c r="L452" s="485"/>
      <c r="M452" s="485"/>
      <c r="N452" s="485"/>
      <c r="O452" s="485"/>
      <c r="P452" s="485"/>
      <c r="Q452" s="485"/>
      <c r="R452" s="485"/>
      <c r="S452" s="485"/>
      <c r="T452" s="485"/>
      <c r="U452" s="485"/>
      <c r="V452" s="485"/>
      <c r="W452" s="485"/>
      <c r="X452" s="485"/>
      <c r="Y452" s="485"/>
      <c r="Z452" s="485"/>
      <c r="AA452" s="485"/>
    </row>
    <row r="453">
      <c r="A453" s="486"/>
      <c r="B453" s="482"/>
      <c r="C453" s="497"/>
      <c r="D453" s="497"/>
      <c r="E453" s="497"/>
      <c r="F453" s="497"/>
      <c r="G453" s="497"/>
      <c r="H453" s="497"/>
      <c r="I453" s="497"/>
      <c r="J453" s="497"/>
      <c r="K453" s="497"/>
      <c r="L453" s="485"/>
      <c r="M453" s="485"/>
      <c r="N453" s="485"/>
      <c r="O453" s="485"/>
      <c r="P453" s="485"/>
      <c r="Q453" s="485"/>
      <c r="R453" s="485"/>
      <c r="S453" s="485"/>
      <c r="T453" s="485"/>
      <c r="U453" s="485"/>
      <c r="V453" s="485"/>
      <c r="W453" s="485"/>
      <c r="X453" s="485"/>
      <c r="Y453" s="485"/>
      <c r="Z453" s="485"/>
      <c r="AA453" s="485"/>
    </row>
    <row r="454">
      <c r="A454" s="486"/>
      <c r="B454" s="482"/>
      <c r="C454" s="497"/>
      <c r="D454" s="497"/>
      <c r="E454" s="497"/>
      <c r="F454" s="497"/>
      <c r="G454" s="497"/>
      <c r="H454" s="497"/>
      <c r="I454" s="497"/>
      <c r="J454" s="497"/>
      <c r="K454" s="497"/>
      <c r="L454" s="485"/>
      <c r="M454" s="485"/>
      <c r="N454" s="485"/>
      <c r="O454" s="485"/>
      <c r="P454" s="485"/>
      <c r="Q454" s="485"/>
      <c r="R454" s="485"/>
      <c r="S454" s="485"/>
      <c r="T454" s="485"/>
      <c r="U454" s="485"/>
      <c r="V454" s="485"/>
      <c r="W454" s="485"/>
      <c r="X454" s="485"/>
      <c r="Y454" s="485"/>
      <c r="Z454" s="485"/>
      <c r="AA454" s="485"/>
    </row>
    <row r="455">
      <c r="A455" s="486"/>
      <c r="B455" s="482"/>
      <c r="C455" s="497"/>
      <c r="D455" s="497"/>
      <c r="E455" s="497"/>
      <c r="F455" s="497"/>
      <c r="G455" s="497"/>
      <c r="H455" s="497"/>
      <c r="I455" s="497"/>
      <c r="J455" s="497"/>
      <c r="K455" s="497"/>
      <c r="L455" s="485"/>
      <c r="M455" s="485"/>
      <c r="N455" s="485"/>
      <c r="O455" s="485"/>
      <c r="P455" s="485"/>
      <c r="Q455" s="485"/>
      <c r="R455" s="485"/>
      <c r="S455" s="485"/>
      <c r="T455" s="485"/>
      <c r="U455" s="485"/>
      <c r="V455" s="485"/>
      <c r="W455" s="485"/>
      <c r="X455" s="485"/>
      <c r="Y455" s="485"/>
      <c r="Z455" s="485"/>
      <c r="AA455" s="485"/>
    </row>
    <row r="456">
      <c r="A456" s="486"/>
      <c r="B456" s="482"/>
      <c r="C456" s="497"/>
      <c r="D456" s="497"/>
      <c r="E456" s="497"/>
      <c r="F456" s="497"/>
      <c r="G456" s="497"/>
      <c r="H456" s="497"/>
      <c r="I456" s="497"/>
      <c r="J456" s="497"/>
      <c r="K456" s="497"/>
      <c r="L456" s="485"/>
      <c r="M456" s="485"/>
      <c r="N456" s="485"/>
      <c r="O456" s="485"/>
      <c r="P456" s="485"/>
      <c r="Q456" s="485"/>
      <c r="R456" s="485"/>
      <c r="S456" s="485"/>
      <c r="T456" s="485"/>
      <c r="U456" s="485"/>
      <c r="V456" s="485"/>
      <c r="W456" s="485"/>
      <c r="X456" s="485"/>
      <c r="Y456" s="485"/>
      <c r="Z456" s="485"/>
      <c r="AA456" s="485"/>
    </row>
    <row r="457">
      <c r="A457" s="486"/>
      <c r="B457" s="482"/>
      <c r="C457" s="497"/>
      <c r="D457" s="497"/>
      <c r="E457" s="497"/>
      <c r="F457" s="497"/>
      <c r="G457" s="497"/>
      <c r="H457" s="497"/>
      <c r="I457" s="497"/>
      <c r="J457" s="497"/>
      <c r="K457" s="497"/>
      <c r="L457" s="485"/>
      <c r="M457" s="485"/>
      <c r="N457" s="485"/>
      <c r="O457" s="485"/>
      <c r="P457" s="485"/>
      <c r="Q457" s="485"/>
      <c r="R457" s="485"/>
      <c r="S457" s="485"/>
      <c r="T457" s="485"/>
      <c r="U457" s="485"/>
      <c r="V457" s="485"/>
      <c r="W457" s="485"/>
      <c r="X457" s="485"/>
      <c r="Y457" s="485"/>
      <c r="Z457" s="485"/>
      <c r="AA457" s="485"/>
    </row>
    <row r="458">
      <c r="A458" s="486"/>
      <c r="B458" s="482"/>
      <c r="C458" s="497"/>
      <c r="D458" s="497"/>
      <c r="E458" s="497"/>
      <c r="F458" s="497"/>
      <c r="G458" s="497"/>
      <c r="H458" s="497"/>
      <c r="I458" s="497"/>
      <c r="J458" s="497"/>
      <c r="K458" s="497"/>
      <c r="L458" s="485"/>
      <c r="M458" s="485"/>
      <c r="N458" s="485"/>
      <c r="O458" s="485"/>
      <c r="P458" s="485"/>
      <c r="Q458" s="485"/>
      <c r="R458" s="485"/>
      <c r="S458" s="485"/>
      <c r="T458" s="485"/>
      <c r="U458" s="485"/>
      <c r="V458" s="485"/>
      <c r="W458" s="485"/>
      <c r="X458" s="485"/>
      <c r="Y458" s="485"/>
      <c r="Z458" s="485"/>
      <c r="AA458" s="485"/>
    </row>
    <row r="459">
      <c r="A459" s="486"/>
      <c r="B459" s="482"/>
      <c r="C459" s="497"/>
      <c r="D459" s="497"/>
      <c r="E459" s="497"/>
      <c r="F459" s="497"/>
      <c r="G459" s="497"/>
      <c r="H459" s="497"/>
      <c r="I459" s="497"/>
      <c r="J459" s="497"/>
      <c r="K459" s="497"/>
      <c r="L459" s="485"/>
      <c r="M459" s="485"/>
      <c r="N459" s="485"/>
      <c r="O459" s="485"/>
      <c r="P459" s="485"/>
      <c r="Q459" s="485"/>
      <c r="R459" s="485"/>
      <c r="S459" s="485"/>
      <c r="T459" s="485"/>
      <c r="U459" s="485"/>
      <c r="V459" s="485"/>
      <c r="W459" s="485"/>
      <c r="X459" s="485"/>
      <c r="Y459" s="485"/>
      <c r="Z459" s="485"/>
      <c r="AA459" s="485"/>
    </row>
    <row r="460">
      <c r="A460" s="486"/>
      <c r="B460" s="482"/>
      <c r="C460" s="497"/>
      <c r="D460" s="497"/>
      <c r="E460" s="497"/>
      <c r="F460" s="497"/>
      <c r="G460" s="497"/>
      <c r="H460" s="497"/>
      <c r="I460" s="497"/>
      <c r="J460" s="497"/>
      <c r="K460" s="497"/>
      <c r="L460" s="485"/>
      <c r="M460" s="485"/>
      <c r="N460" s="485"/>
      <c r="O460" s="485"/>
      <c r="P460" s="485"/>
      <c r="Q460" s="485"/>
      <c r="R460" s="485"/>
      <c r="S460" s="485"/>
      <c r="T460" s="485"/>
      <c r="U460" s="485"/>
      <c r="V460" s="485"/>
      <c r="W460" s="485"/>
      <c r="X460" s="485"/>
      <c r="Y460" s="485"/>
      <c r="Z460" s="485"/>
      <c r="AA460" s="485"/>
    </row>
    <row r="461">
      <c r="A461" s="486"/>
      <c r="B461" s="482"/>
      <c r="C461" s="497"/>
      <c r="D461" s="497"/>
      <c r="E461" s="497"/>
      <c r="F461" s="497"/>
      <c r="G461" s="497"/>
      <c r="H461" s="497"/>
      <c r="I461" s="497"/>
      <c r="J461" s="497"/>
      <c r="K461" s="497"/>
      <c r="L461" s="485"/>
      <c r="M461" s="485"/>
      <c r="N461" s="485"/>
      <c r="O461" s="485"/>
      <c r="P461" s="485"/>
      <c r="Q461" s="485"/>
      <c r="R461" s="485"/>
      <c r="S461" s="485"/>
      <c r="T461" s="485"/>
      <c r="U461" s="485"/>
      <c r="V461" s="485"/>
      <c r="W461" s="485"/>
      <c r="X461" s="485"/>
      <c r="Y461" s="485"/>
      <c r="Z461" s="485"/>
      <c r="AA461" s="485"/>
    </row>
    <row r="462">
      <c r="A462" s="486"/>
      <c r="B462" s="482"/>
      <c r="C462" s="497"/>
      <c r="D462" s="497"/>
      <c r="E462" s="497"/>
      <c r="F462" s="497"/>
      <c r="G462" s="497"/>
      <c r="H462" s="497"/>
      <c r="I462" s="497"/>
      <c r="J462" s="497"/>
      <c r="K462" s="497"/>
      <c r="L462" s="485"/>
      <c r="M462" s="485"/>
      <c r="N462" s="485"/>
      <c r="O462" s="485"/>
      <c r="P462" s="485"/>
      <c r="Q462" s="485"/>
      <c r="R462" s="485"/>
      <c r="S462" s="485"/>
      <c r="T462" s="485"/>
      <c r="U462" s="485"/>
      <c r="V462" s="485"/>
      <c r="W462" s="485"/>
      <c r="X462" s="485"/>
      <c r="Y462" s="485"/>
      <c r="Z462" s="485"/>
      <c r="AA462" s="485"/>
    </row>
    <row r="463">
      <c r="A463" s="486"/>
      <c r="B463" s="482"/>
      <c r="C463" s="497"/>
      <c r="D463" s="497"/>
      <c r="E463" s="497"/>
      <c r="F463" s="497"/>
      <c r="G463" s="497"/>
      <c r="H463" s="497"/>
      <c r="I463" s="497"/>
      <c r="J463" s="497"/>
      <c r="K463" s="497"/>
      <c r="L463" s="485"/>
      <c r="M463" s="485"/>
      <c r="N463" s="485"/>
      <c r="O463" s="485"/>
      <c r="P463" s="485"/>
      <c r="Q463" s="485"/>
      <c r="R463" s="485"/>
      <c r="S463" s="485"/>
      <c r="T463" s="485"/>
      <c r="U463" s="485"/>
      <c r="V463" s="485"/>
      <c r="W463" s="485"/>
      <c r="X463" s="485"/>
      <c r="Y463" s="485"/>
      <c r="Z463" s="485"/>
      <c r="AA463" s="485"/>
    </row>
    <row r="464">
      <c r="A464" s="486"/>
      <c r="B464" s="482"/>
      <c r="C464" s="497"/>
      <c r="D464" s="497"/>
      <c r="E464" s="497"/>
      <c r="F464" s="497"/>
      <c r="G464" s="497"/>
      <c r="H464" s="497"/>
      <c r="I464" s="497"/>
      <c r="J464" s="497"/>
      <c r="K464" s="497"/>
      <c r="L464" s="485"/>
      <c r="M464" s="485"/>
      <c r="N464" s="485"/>
      <c r="O464" s="485"/>
      <c r="P464" s="485"/>
      <c r="Q464" s="485"/>
      <c r="R464" s="485"/>
      <c r="S464" s="485"/>
      <c r="T464" s="485"/>
      <c r="U464" s="485"/>
      <c r="V464" s="485"/>
      <c r="W464" s="485"/>
      <c r="X464" s="485"/>
      <c r="Y464" s="485"/>
      <c r="Z464" s="485"/>
      <c r="AA464" s="485"/>
    </row>
    <row r="465">
      <c r="A465" s="486"/>
      <c r="B465" s="482"/>
      <c r="C465" s="497"/>
      <c r="D465" s="497"/>
      <c r="E465" s="497"/>
      <c r="F465" s="497"/>
      <c r="G465" s="497"/>
      <c r="H465" s="497"/>
      <c r="I465" s="497"/>
      <c r="J465" s="497"/>
      <c r="K465" s="497"/>
      <c r="L465" s="485"/>
      <c r="M465" s="485"/>
      <c r="N465" s="485"/>
      <c r="O465" s="485"/>
      <c r="P465" s="485"/>
      <c r="Q465" s="485"/>
      <c r="R465" s="485"/>
      <c r="S465" s="485"/>
      <c r="T465" s="485"/>
      <c r="U465" s="485"/>
      <c r="V465" s="485"/>
      <c r="W465" s="485"/>
      <c r="X465" s="485"/>
      <c r="Y465" s="485"/>
      <c r="Z465" s="485"/>
      <c r="AA465" s="485"/>
    </row>
    <row r="466">
      <c r="A466" s="486"/>
      <c r="B466" s="482"/>
      <c r="C466" s="497"/>
      <c r="D466" s="497"/>
      <c r="E466" s="497"/>
      <c r="F466" s="497"/>
      <c r="G466" s="497"/>
      <c r="H466" s="497"/>
      <c r="I466" s="497"/>
      <c r="J466" s="497"/>
      <c r="K466" s="497"/>
      <c r="L466" s="485"/>
      <c r="M466" s="485"/>
      <c r="N466" s="485"/>
      <c r="O466" s="485"/>
      <c r="P466" s="485"/>
      <c r="Q466" s="485"/>
      <c r="R466" s="485"/>
      <c r="S466" s="485"/>
      <c r="T466" s="485"/>
      <c r="U466" s="485"/>
      <c r="V466" s="485"/>
      <c r="W466" s="485"/>
      <c r="X466" s="485"/>
      <c r="Y466" s="485"/>
      <c r="Z466" s="485"/>
      <c r="AA466" s="485"/>
    </row>
    <row r="467">
      <c r="A467" s="486"/>
      <c r="B467" s="482"/>
      <c r="C467" s="497"/>
      <c r="D467" s="497"/>
      <c r="E467" s="497"/>
      <c r="F467" s="497"/>
      <c r="G467" s="497"/>
      <c r="H467" s="497"/>
      <c r="I467" s="497"/>
      <c r="J467" s="497"/>
      <c r="K467" s="497"/>
      <c r="L467" s="485"/>
      <c r="M467" s="485"/>
      <c r="N467" s="485"/>
      <c r="O467" s="485"/>
      <c r="P467" s="485"/>
      <c r="Q467" s="485"/>
      <c r="R467" s="485"/>
      <c r="S467" s="485"/>
      <c r="T467" s="485"/>
      <c r="U467" s="485"/>
      <c r="V467" s="485"/>
      <c r="W467" s="485"/>
      <c r="X467" s="485"/>
      <c r="Y467" s="485"/>
      <c r="Z467" s="485"/>
      <c r="AA467" s="485"/>
    </row>
    <row r="468">
      <c r="A468" s="486"/>
      <c r="B468" s="482"/>
      <c r="C468" s="497"/>
      <c r="D468" s="497"/>
      <c r="E468" s="497"/>
      <c r="F468" s="497"/>
      <c r="G468" s="497"/>
      <c r="H468" s="497"/>
      <c r="I468" s="497"/>
      <c r="J468" s="497"/>
      <c r="K468" s="497"/>
      <c r="L468" s="485"/>
      <c r="M468" s="485"/>
      <c r="N468" s="485"/>
      <c r="O468" s="485"/>
      <c r="P468" s="485"/>
      <c r="Q468" s="485"/>
      <c r="R468" s="485"/>
      <c r="S468" s="485"/>
      <c r="T468" s="485"/>
      <c r="U468" s="485"/>
      <c r="V468" s="485"/>
      <c r="W468" s="485"/>
      <c r="X468" s="485"/>
      <c r="Y468" s="485"/>
      <c r="Z468" s="485"/>
      <c r="AA468" s="485"/>
    </row>
    <row r="469">
      <c r="A469" s="486"/>
      <c r="B469" s="482"/>
      <c r="C469" s="497"/>
      <c r="D469" s="497"/>
      <c r="E469" s="497"/>
      <c r="F469" s="497"/>
      <c r="G469" s="497"/>
      <c r="H469" s="497"/>
      <c r="I469" s="497"/>
      <c r="J469" s="497"/>
      <c r="K469" s="497"/>
      <c r="L469" s="485"/>
      <c r="M469" s="485"/>
      <c r="N469" s="485"/>
      <c r="O469" s="485"/>
      <c r="P469" s="485"/>
      <c r="Q469" s="485"/>
      <c r="R469" s="485"/>
      <c r="S469" s="485"/>
      <c r="T469" s="485"/>
      <c r="U469" s="485"/>
      <c r="V469" s="485"/>
      <c r="W469" s="485"/>
      <c r="X469" s="485"/>
      <c r="Y469" s="485"/>
      <c r="Z469" s="485"/>
      <c r="AA469" s="485"/>
    </row>
    <row r="470">
      <c r="A470" s="486"/>
      <c r="B470" s="482"/>
      <c r="C470" s="497"/>
      <c r="D470" s="497"/>
      <c r="E470" s="497"/>
      <c r="F470" s="497"/>
      <c r="G470" s="497"/>
      <c r="H470" s="497"/>
      <c r="I470" s="497"/>
      <c r="J470" s="497"/>
      <c r="K470" s="497"/>
      <c r="L470" s="485"/>
      <c r="M470" s="485"/>
      <c r="N470" s="485"/>
      <c r="O470" s="485"/>
      <c r="P470" s="485"/>
      <c r="Q470" s="485"/>
      <c r="R470" s="485"/>
      <c r="S470" s="485"/>
      <c r="T470" s="485"/>
      <c r="U470" s="485"/>
      <c r="V470" s="485"/>
      <c r="W470" s="485"/>
      <c r="X470" s="485"/>
      <c r="Y470" s="485"/>
      <c r="Z470" s="485"/>
      <c r="AA470" s="485"/>
    </row>
    <row r="471">
      <c r="A471" s="486"/>
      <c r="B471" s="482"/>
      <c r="C471" s="497"/>
      <c r="D471" s="497"/>
      <c r="E471" s="497"/>
      <c r="F471" s="497"/>
      <c r="G471" s="497"/>
      <c r="H471" s="497"/>
      <c r="I471" s="497"/>
      <c r="J471" s="497"/>
      <c r="K471" s="497"/>
      <c r="L471" s="485"/>
      <c r="M471" s="485"/>
      <c r="N471" s="485"/>
      <c r="O471" s="485"/>
      <c r="P471" s="485"/>
      <c r="Q471" s="485"/>
      <c r="R471" s="485"/>
      <c r="S471" s="485"/>
      <c r="T471" s="485"/>
      <c r="U471" s="485"/>
      <c r="V471" s="485"/>
      <c r="W471" s="485"/>
      <c r="X471" s="485"/>
      <c r="Y471" s="485"/>
      <c r="Z471" s="485"/>
      <c r="AA471" s="485"/>
    </row>
    <row r="472">
      <c r="A472" s="486"/>
      <c r="B472" s="482"/>
      <c r="C472" s="497"/>
      <c r="D472" s="497"/>
      <c r="E472" s="497"/>
      <c r="F472" s="497"/>
      <c r="G472" s="497"/>
      <c r="H472" s="497"/>
      <c r="I472" s="497"/>
      <c r="J472" s="497"/>
      <c r="K472" s="497"/>
      <c r="L472" s="485"/>
      <c r="M472" s="485"/>
      <c r="N472" s="485"/>
      <c r="O472" s="485"/>
      <c r="P472" s="485"/>
      <c r="Q472" s="485"/>
      <c r="R472" s="485"/>
      <c r="S472" s="485"/>
      <c r="T472" s="485"/>
      <c r="U472" s="485"/>
      <c r="V472" s="485"/>
      <c r="W472" s="485"/>
      <c r="X472" s="485"/>
      <c r="Y472" s="485"/>
      <c r="Z472" s="485"/>
      <c r="AA472" s="485"/>
    </row>
    <row r="473">
      <c r="A473" s="486"/>
      <c r="B473" s="482"/>
      <c r="C473" s="497"/>
      <c r="D473" s="497"/>
      <c r="E473" s="497"/>
      <c r="F473" s="497"/>
      <c r="G473" s="497"/>
      <c r="H473" s="497"/>
      <c r="I473" s="497"/>
      <c r="J473" s="497"/>
      <c r="K473" s="497"/>
      <c r="L473" s="485"/>
      <c r="M473" s="485"/>
      <c r="N473" s="485"/>
      <c r="O473" s="485"/>
      <c r="P473" s="485"/>
      <c r="Q473" s="485"/>
      <c r="R473" s="485"/>
      <c r="S473" s="485"/>
      <c r="T473" s="485"/>
      <c r="U473" s="485"/>
      <c r="V473" s="485"/>
      <c r="W473" s="485"/>
      <c r="X473" s="485"/>
      <c r="Y473" s="485"/>
      <c r="Z473" s="485"/>
      <c r="AA473" s="485"/>
    </row>
    <row r="474">
      <c r="A474" s="486"/>
      <c r="B474" s="482"/>
      <c r="C474" s="497"/>
      <c r="D474" s="497"/>
      <c r="E474" s="497"/>
      <c r="F474" s="497"/>
      <c r="G474" s="497"/>
      <c r="H474" s="497"/>
      <c r="I474" s="497"/>
      <c r="J474" s="497"/>
      <c r="K474" s="497"/>
      <c r="L474" s="485"/>
      <c r="M474" s="485"/>
      <c r="N474" s="485"/>
      <c r="O474" s="485"/>
      <c r="P474" s="485"/>
      <c r="Q474" s="485"/>
      <c r="R474" s="485"/>
      <c r="S474" s="485"/>
      <c r="T474" s="485"/>
      <c r="U474" s="485"/>
      <c r="V474" s="485"/>
      <c r="W474" s="485"/>
      <c r="X474" s="485"/>
      <c r="Y474" s="485"/>
      <c r="Z474" s="485"/>
      <c r="AA474" s="485"/>
    </row>
    <row r="475">
      <c r="A475" s="486"/>
      <c r="B475" s="482"/>
      <c r="C475" s="497"/>
      <c r="D475" s="497"/>
      <c r="E475" s="497"/>
      <c r="F475" s="497"/>
      <c r="G475" s="497"/>
      <c r="H475" s="497"/>
      <c r="I475" s="497"/>
      <c r="J475" s="497"/>
      <c r="K475" s="497"/>
      <c r="L475" s="485"/>
      <c r="M475" s="485"/>
      <c r="N475" s="485"/>
      <c r="O475" s="485"/>
      <c r="P475" s="485"/>
      <c r="Q475" s="485"/>
      <c r="R475" s="485"/>
      <c r="S475" s="485"/>
      <c r="T475" s="485"/>
      <c r="U475" s="485"/>
      <c r="V475" s="485"/>
      <c r="W475" s="485"/>
      <c r="X475" s="485"/>
      <c r="Y475" s="485"/>
      <c r="Z475" s="485"/>
      <c r="AA475" s="485"/>
    </row>
    <row r="476">
      <c r="A476" s="486"/>
      <c r="B476" s="482"/>
      <c r="C476" s="497"/>
      <c r="D476" s="497"/>
      <c r="E476" s="497"/>
      <c r="F476" s="497"/>
      <c r="G476" s="497"/>
      <c r="H476" s="497"/>
      <c r="I476" s="497"/>
      <c r="J476" s="497"/>
      <c r="K476" s="497"/>
      <c r="L476" s="485"/>
      <c r="M476" s="485"/>
      <c r="N476" s="485"/>
      <c r="O476" s="485"/>
      <c r="P476" s="485"/>
      <c r="Q476" s="485"/>
      <c r="R476" s="485"/>
      <c r="S476" s="485"/>
      <c r="T476" s="485"/>
      <c r="U476" s="485"/>
      <c r="V476" s="485"/>
      <c r="W476" s="485"/>
      <c r="X476" s="485"/>
      <c r="Y476" s="485"/>
      <c r="Z476" s="485"/>
      <c r="AA476" s="485"/>
    </row>
    <row r="477">
      <c r="A477" s="486"/>
      <c r="B477" s="482"/>
      <c r="C477" s="497"/>
      <c r="D477" s="497"/>
      <c r="E477" s="497"/>
      <c r="F477" s="497"/>
      <c r="G477" s="497"/>
      <c r="H477" s="497"/>
      <c r="I477" s="497"/>
      <c r="J477" s="497"/>
      <c r="K477" s="497"/>
      <c r="L477" s="485"/>
      <c r="M477" s="485"/>
      <c r="N477" s="485"/>
      <c r="O477" s="485"/>
      <c r="P477" s="485"/>
      <c r="Q477" s="485"/>
      <c r="R477" s="485"/>
      <c r="S477" s="485"/>
      <c r="T477" s="485"/>
      <c r="U477" s="485"/>
      <c r="V477" s="485"/>
      <c r="W477" s="485"/>
      <c r="X477" s="485"/>
      <c r="Y477" s="485"/>
      <c r="Z477" s="485"/>
      <c r="AA477" s="485"/>
    </row>
    <row r="478">
      <c r="A478" s="486"/>
      <c r="B478" s="482"/>
      <c r="C478" s="497"/>
      <c r="D478" s="497"/>
      <c r="E478" s="497"/>
      <c r="F478" s="497"/>
      <c r="G478" s="497"/>
      <c r="H478" s="497"/>
      <c r="I478" s="497"/>
      <c r="J478" s="497"/>
      <c r="K478" s="497"/>
      <c r="L478" s="485"/>
      <c r="M478" s="485"/>
      <c r="N478" s="485"/>
      <c r="O478" s="485"/>
      <c r="P478" s="485"/>
      <c r="Q478" s="485"/>
      <c r="R478" s="485"/>
      <c r="S478" s="485"/>
      <c r="T478" s="485"/>
      <c r="U478" s="485"/>
      <c r="V478" s="485"/>
      <c r="W478" s="485"/>
      <c r="X478" s="485"/>
      <c r="Y478" s="485"/>
      <c r="Z478" s="485"/>
      <c r="AA478" s="485"/>
    </row>
    <row r="479">
      <c r="A479" s="486"/>
      <c r="B479" s="482"/>
      <c r="C479" s="497"/>
      <c r="D479" s="497"/>
      <c r="E479" s="497"/>
      <c r="F479" s="497"/>
      <c r="G479" s="497"/>
      <c r="H479" s="497"/>
      <c r="I479" s="497"/>
      <c r="J479" s="497"/>
      <c r="K479" s="497"/>
      <c r="L479" s="485"/>
      <c r="M479" s="485"/>
      <c r="N479" s="485"/>
      <c r="O479" s="485"/>
      <c r="P479" s="485"/>
      <c r="Q479" s="485"/>
      <c r="R479" s="485"/>
      <c r="S479" s="485"/>
      <c r="T479" s="485"/>
      <c r="U479" s="485"/>
      <c r="V479" s="485"/>
      <c r="W479" s="485"/>
      <c r="X479" s="485"/>
      <c r="Y479" s="485"/>
      <c r="Z479" s="485"/>
      <c r="AA479" s="485"/>
    </row>
    <row r="480">
      <c r="A480" s="486"/>
      <c r="B480" s="482"/>
      <c r="C480" s="497"/>
      <c r="D480" s="497"/>
      <c r="E480" s="497"/>
      <c r="F480" s="497"/>
      <c r="G480" s="497"/>
      <c r="H480" s="497"/>
      <c r="I480" s="497"/>
      <c r="J480" s="497"/>
      <c r="K480" s="497"/>
      <c r="L480" s="485"/>
      <c r="M480" s="485"/>
      <c r="N480" s="485"/>
      <c r="O480" s="485"/>
      <c r="P480" s="485"/>
      <c r="Q480" s="485"/>
      <c r="R480" s="485"/>
      <c r="S480" s="485"/>
      <c r="T480" s="485"/>
      <c r="U480" s="485"/>
      <c r="V480" s="485"/>
      <c r="W480" s="485"/>
      <c r="X480" s="485"/>
      <c r="Y480" s="485"/>
      <c r="Z480" s="485"/>
      <c r="AA480" s="485"/>
    </row>
    <row r="481">
      <c r="A481" s="486"/>
      <c r="B481" s="482"/>
      <c r="C481" s="497"/>
      <c r="D481" s="497"/>
      <c r="E481" s="497"/>
      <c r="F481" s="497"/>
      <c r="G481" s="497"/>
      <c r="H481" s="497"/>
      <c r="I481" s="497"/>
      <c r="J481" s="497"/>
      <c r="K481" s="497"/>
      <c r="L481" s="485"/>
      <c r="M481" s="485"/>
      <c r="N481" s="485"/>
      <c r="O481" s="485"/>
      <c r="P481" s="485"/>
      <c r="Q481" s="485"/>
      <c r="R481" s="485"/>
      <c r="S481" s="485"/>
      <c r="T481" s="485"/>
      <c r="U481" s="485"/>
      <c r="V481" s="485"/>
      <c r="W481" s="485"/>
      <c r="X481" s="485"/>
      <c r="Y481" s="485"/>
      <c r="Z481" s="485"/>
      <c r="AA481" s="485"/>
    </row>
    <row r="482">
      <c r="A482" s="486"/>
      <c r="B482" s="482"/>
      <c r="C482" s="497"/>
      <c r="D482" s="497"/>
      <c r="E482" s="497"/>
      <c r="F482" s="497"/>
      <c r="G482" s="497"/>
      <c r="H482" s="497"/>
      <c r="I482" s="497"/>
      <c r="J482" s="497"/>
      <c r="K482" s="497"/>
      <c r="L482" s="485"/>
      <c r="M482" s="485"/>
      <c r="N482" s="485"/>
      <c r="O482" s="485"/>
      <c r="P482" s="485"/>
      <c r="Q482" s="485"/>
      <c r="R482" s="485"/>
      <c r="S482" s="485"/>
      <c r="T482" s="485"/>
      <c r="U482" s="485"/>
      <c r="V482" s="485"/>
      <c r="W482" s="485"/>
      <c r="X482" s="485"/>
      <c r="Y482" s="485"/>
      <c r="Z482" s="485"/>
      <c r="AA482" s="485"/>
    </row>
    <row r="483">
      <c r="A483" s="486"/>
      <c r="B483" s="482"/>
      <c r="C483" s="497"/>
      <c r="D483" s="497"/>
      <c r="E483" s="497"/>
      <c r="F483" s="497"/>
      <c r="G483" s="497"/>
      <c r="H483" s="497"/>
      <c r="I483" s="497"/>
      <c r="J483" s="497"/>
      <c r="K483" s="497"/>
      <c r="L483" s="485"/>
      <c r="M483" s="485"/>
      <c r="N483" s="485"/>
      <c r="O483" s="485"/>
      <c r="P483" s="485"/>
      <c r="Q483" s="485"/>
      <c r="R483" s="485"/>
      <c r="S483" s="485"/>
      <c r="T483" s="485"/>
      <c r="U483" s="485"/>
      <c r="V483" s="485"/>
      <c r="W483" s="485"/>
      <c r="X483" s="485"/>
      <c r="Y483" s="485"/>
      <c r="Z483" s="485"/>
      <c r="AA483" s="485"/>
    </row>
    <row r="484">
      <c r="A484" s="486"/>
      <c r="B484" s="482"/>
      <c r="C484" s="497"/>
      <c r="D484" s="497"/>
      <c r="E484" s="497"/>
      <c r="F484" s="497"/>
      <c r="G484" s="497"/>
      <c r="H484" s="497"/>
      <c r="I484" s="497"/>
      <c r="J484" s="497"/>
      <c r="K484" s="497"/>
      <c r="L484" s="485"/>
      <c r="M484" s="485"/>
      <c r="N484" s="485"/>
      <c r="O484" s="485"/>
      <c r="P484" s="485"/>
      <c r="Q484" s="485"/>
      <c r="R484" s="485"/>
      <c r="S484" s="485"/>
      <c r="T484" s="485"/>
      <c r="U484" s="485"/>
      <c r="V484" s="485"/>
      <c r="W484" s="485"/>
      <c r="X484" s="485"/>
      <c r="Y484" s="485"/>
      <c r="Z484" s="485"/>
      <c r="AA484" s="485"/>
    </row>
    <row r="485">
      <c r="A485" s="486"/>
      <c r="B485" s="482"/>
      <c r="C485" s="497"/>
      <c r="D485" s="497"/>
      <c r="E485" s="497"/>
      <c r="F485" s="497"/>
      <c r="G485" s="497"/>
      <c r="H485" s="497"/>
      <c r="I485" s="497"/>
      <c r="J485" s="497"/>
      <c r="K485" s="497"/>
      <c r="L485" s="485"/>
      <c r="M485" s="485"/>
      <c r="N485" s="485"/>
      <c r="O485" s="485"/>
      <c r="P485" s="485"/>
      <c r="Q485" s="485"/>
      <c r="R485" s="485"/>
      <c r="S485" s="485"/>
      <c r="T485" s="485"/>
      <c r="U485" s="485"/>
      <c r="V485" s="485"/>
      <c r="W485" s="485"/>
      <c r="X485" s="485"/>
      <c r="Y485" s="485"/>
      <c r="Z485" s="485"/>
      <c r="AA485" s="485"/>
    </row>
    <row r="486">
      <c r="A486" s="486"/>
      <c r="B486" s="482"/>
      <c r="C486" s="497"/>
      <c r="D486" s="497"/>
      <c r="E486" s="497"/>
      <c r="F486" s="497"/>
      <c r="G486" s="497"/>
      <c r="H486" s="497"/>
      <c r="I486" s="497"/>
      <c r="J486" s="497"/>
      <c r="K486" s="497"/>
      <c r="L486" s="485"/>
      <c r="M486" s="485"/>
      <c r="N486" s="485"/>
      <c r="O486" s="485"/>
      <c r="P486" s="485"/>
      <c r="Q486" s="485"/>
      <c r="R486" s="485"/>
      <c r="S486" s="485"/>
      <c r="T486" s="485"/>
      <c r="U486" s="485"/>
      <c r="V486" s="485"/>
      <c r="W486" s="485"/>
      <c r="X486" s="485"/>
      <c r="Y486" s="485"/>
      <c r="Z486" s="485"/>
      <c r="AA486" s="485"/>
    </row>
    <row r="487">
      <c r="A487" s="486"/>
      <c r="B487" s="482"/>
      <c r="C487" s="497"/>
      <c r="D487" s="497"/>
      <c r="E487" s="497"/>
      <c r="F487" s="497"/>
      <c r="G487" s="497"/>
      <c r="H487" s="497"/>
      <c r="I487" s="497"/>
      <c r="J487" s="497"/>
      <c r="K487" s="497"/>
      <c r="L487" s="485"/>
      <c r="M487" s="485"/>
      <c r="N487" s="485"/>
      <c r="O487" s="485"/>
      <c r="P487" s="485"/>
      <c r="Q487" s="485"/>
      <c r="R487" s="485"/>
      <c r="S487" s="485"/>
      <c r="T487" s="485"/>
      <c r="U487" s="485"/>
      <c r="V487" s="485"/>
      <c r="W487" s="485"/>
      <c r="X487" s="485"/>
      <c r="Y487" s="485"/>
      <c r="Z487" s="485"/>
      <c r="AA487" s="485"/>
    </row>
    <row r="488">
      <c r="A488" s="486"/>
      <c r="B488" s="482"/>
      <c r="C488" s="497"/>
      <c r="D488" s="497"/>
      <c r="E488" s="497"/>
      <c r="F488" s="497"/>
      <c r="G488" s="497"/>
      <c r="H488" s="497"/>
      <c r="I488" s="497"/>
      <c r="J488" s="497"/>
      <c r="K488" s="497"/>
      <c r="L488" s="485"/>
      <c r="M488" s="485"/>
      <c r="N488" s="485"/>
      <c r="O488" s="485"/>
      <c r="P488" s="485"/>
      <c r="Q488" s="485"/>
      <c r="R488" s="485"/>
      <c r="S488" s="485"/>
      <c r="T488" s="485"/>
      <c r="U488" s="485"/>
      <c r="V488" s="485"/>
      <c r="W488" s="485"/>
      <c r="X488" s="485"/>
      <c r="Y488" s="485"/>
      <c r="Z488" s="485"/>
      <c r="AA488" s="485"/>
    </row>
    <row r="489">
      <c r="A489" s="486"/>
      <c r="B489" s="482"/>
      <c r="C489" s="497"/>
      <c r="D489" s="497"/>
      <c r="E489" s="497"/>
      <c r="F489" s="497"/>
      <c r="G489" s="497"/>
      <c r="H489" s="497"/>
      <c r="I489" s="497"/>
      <c r="J489" s="497"/>
      <c r="K489" s="497"/>
      <c r="L489" s="485"/>
      <c r="M489" s="485"/>
      <c r="N489" s="485"/>
      <c r="O489" s="485"/>
      <c r="P489" s="485"/>
      <c r="Q489" s="485"/>
      <c r="R489" s="485"/>
      <c r="S489" s="485"/>
      <c r="T489" s="485"/>
      <c r="U489" s="485"/>
      <c r="V489" s="485"/>
      <c r="W489" s="485"/>
      <c r="X489" s="485"/>
      <c r="Y489" s="485"/>
      <c r="Z489" s="485"/>
      <c r="AA489" s="485"/>
    </row>
    <row r="490">
      <c r="A490" s="486"/>
      <c r="B490" s="482"/>
      <c r="C490" s="497"/>
      <c r="D490" s="497"/>
      <c r="E490" s="497"/>
      <c r="F490" s="497"/>
      <c r="G490" s="497"/>
      <c r="H490" s="497"/>
      <c r="I490" s="497"/>
      <c r="J490" s="497"/>
      <c r="K490" s="497"/>
      <c r="L490" s="485"/>
      <c r="M490" s="485"/>
      <c r="N490" s="485"/>
      <c r="O490" s="485"/>
      <c r="P490" s="485"/>
      <c r="Q490" s="485"/>
      <c r="R490" s="485"/>
      <c r="S490" s="485"/>
      <c r="T490" s="485"/>
      <c r="U490" s="485"/>
      <c r="V490" s="485"/>
      <c r="W490" s="485"/>
      <c r="X490" s="485"/>
      <c r="Y490" s="485"/>
      <c r="Z490" s="485"/>
      <c r="AA490" s="485"/>
    </row>
    <row r="491">
      <c r="A491" s="486"/>
      <c r="B491" s="482"/>
      <c r="C491" s="497"/>
      <c r="D491" s="497"/>
      <c r="E491" s="497"/>
      <c r="F491" s="497"/>
      <c r="G491" s="497"/>
      <c r="H491" s="497"/>
      <c r="I491" s="497"/>
      <c r="J491" s="497"/>
      <c r="K491" s="497"/>
      <c r="L491" s="485"/>
      <c r="M491" s="485"/>
      <c r="N491" s="485"/>
      <c r="O491" s="485"/>
      <c r="P491" s="485"/>
      <c r="Q491" s="485"/>
      <c r="R491" s="485"/>
      <c r="S491" s="485"/>
      <c r="T491" s="485"/>
      <c r="U491" s="485"/>
      <c r="V491" s="485"/>
      <c r="W491" s="485"/>
      <c r="X491" s="485"/>
      <c r="Y491" s="485"/>
      <c r="Z491" s="485"/>
      <c r="AA491" s="485"/>
    </row>
    <row r="492">
      <c r="A492" s="486"/>
      <c r="B492" s="482"/>
      <c r="C492" s="497"/>
      <c r="D492" s="497"/>
      <c r="E492" s="497"/>
      <c r="F492" s="497"/>
      <c r="G492" s="497"/>
      <c r="H492" s="497"/>
      <c r="I492" s="497"/>
      <c r="J492" s="497"/>
      <c r="K492" s="497"/>
      <c r="L492" s="485"/>
      <c r="M492" s="485"/>
      <c r="N492" s="485"/>
      <c r="O492" s="485"/>
      <c r="P492" s="485"/>
      <c r="Q492" s="485"/>
      <c r="R492" s="485"/>
      <c r="S492" s="485"/>
      <c r="T492" s="485"/>
      <c r="U492" s="485"/>
      <c r="V492" s="485"/>
      <c r="W492" s="485"/>
      <c r="X492" s="485"/>
      <c r="Y492" s="485"/>
      <c r="Z492" s="485"/>
      <c r="AA492" s="485"/>
    </row>
    <row r="493">
      <c r="A493" s="486"/>
      <c r="B493" s="482"/>
      <c r="C493" s="497"/>
      <c r="D493" s="497"/>
      <c r="E493" s="497"/>
      <c r="F493" s="497"/>
      <c r="G493" s="497"/>
      <c r="H493" s="497"/>
      <c r="I493" s="497"/>
      <c r="J493" s="497"/>
      <c r="K493" s="497"/>
      <c r="L493" s="485"/>
      <c r="M493" s="485"/>
      <c r="N493" s="485"/>
      <c r="O493" s="485"/>
      <c r="P493" s="485"/>
      <c r="Q493" s="485"/>
      <c r="R493" s="485"/>
      <c r="S493" s="485"/>
      <c r="T493" s="485"/>
      <c r="U493" s="485"/>
      <c r="V493" s="485"/>
      <c r="W493" s="485"/>
      <c r="X493" s="485"/>
      <c r="Y493" s="485"/>
      <c r="Z493" s="485"/>
      <c r="AA493" s="485"/>
    </row>
    <row r="494">
      <c r="A494" s="486"/>
      <c r="B494" s="482"/>
      <c r="C494" s="497"/>
      <c r="D494" s="497"/>
      <c r="E494" s="497"/>
      <c r="F494" s="497"/>
      <c r="G494" s="497"/>
      <c r="H494" s="497"/>
      <c r="I494" s="497"/>
      <c r="J494" s="497"/>
      <c r="K494" s="497"/>
      <c r="L494" s="485"/>
      <c r="M494" s="485"/>
      <c r="N494" s="485"/>
      <c r="O494" s="485"/>
      <c r="P494" s="485"/>
      <c r="Q494" s="485"/>
      <c r="R494" s="485"/>
      <c r="S494" s="485"/>
      <c r="T494" s="485"/>
      <c r="U494" s="485"/>
      <c r="V494" s="485"/>
      <c r="W494" s="485"/>
      <c r="X494" s="485"/>
      <c r="Y494" s="485"/>
      <c r="Z494" s="485"/>
      <c r="AA494" s="485"/>
    </row>
    <row r="495">
      <c r="A495" s="486"/>
      <c r="B495" s="482"/>
      <c r="C495" s="497"/>
      <c r="D495" s="497"/>
      <c r="E495" s="497"/>
      <c r="F495" s="497"/>
      <c r="G495" s="497"/>
      <c r="H495" s="497"/>
      <c r="I495" s="497"/>
      <c r="J495" s="497"/>
      <c r="K495" s="497"/>
      <c r="L495" s="485"/>
      <c r="M495" s="485"/>
      <c r="N495" s="485"/>
      <c r="O495" s="485"/>
      <c r="P495" s="485"/>
      <c r="Q495" s="485"/>
      <c r="R495" s="485"/>
      <c r="S495" s="485"/>
      <c r="T495" s="485"/>
      <c r="U495" s="485"/>
      <c r="V495" s="485"/>
      <c r="W495" s="485"/>
      <c r="X495" s="485"/>
      <c r="Y495" s="485"/>
      <c r="Z495" s="485"/>
      <c r="AA495" s="485"/>
    </row>
    <row r="496">
      <c r="A496" s="486"/>
      <c r="B496" s="482"/>
      <c r="C496" s="497"/>
      <c r="D496" s="497"/>
      <c r="E496" s="497"/>
      <c r="F496" s="497"/>
      <c r="G496" s="497"/>
      <c r="H496" s="497"/>
      <c r="I496" s="497"/>
      <c r="J496" s="497"/>
      <c r="K496" s="497"/>
      <c r="L496" s="485"/>
      <c r="M496" s="485"/>
      <c r="N496" s="485"/>
      <c r="O496" s="485"/>
      <c r="P496" s="485"/>
      <c r="Q496" s="485"/>
      <c r="R496" s="485"/>
      <c r="S496" s="485"/>
      <c r="T496" s="485"/>
      <c r="U496" s="485"/>
      <c r="V496" s="485"/>
      <c r="W496" s="485"/>
      <c r="X496" s="485"/>
      <c r="Y496" s="485"/>
      <c r="Z496" s="485"/>
      <c r="AA496" s="485"/>
    </row>
    <row r="497">
      <c r="A497" s="486"/>
      <c r="B497" s="482"/>
      <c r="C497" s="497"/>
      <c r="D497" s="497"/>
      <c r="E497" s="497"/>
      <c r="F497" s="497"/>
      <c r="G497" s="497"/>
      <c r="H497" s="497"/>
      <c r="I497" s="497"/>
      <c r="J497" s="497"/>
      <c r="K497" s="497"/>
      <c r="L497" s="485"/>
      <c r="M497" s="485"/>
      <c r="N497" s="485"/>
      <c r="O497" s="485"/>
      <c r="P497" s="485"/>
      <c r="Q497" s="485"/>
      <c r="R497" s="485"/>
      <c r="S497" s="485"/>
      <c r="T497" s="485"/>
      <c r="U497" s="485"/>
      <c r="V497" s="485"/>
      <c r="W497" s="485"/>
      <c r="X497" s="485"/>
      <c r="Y497" s="485"/>
      <c r="Z497" s="485"/>
      <c r="AA497" s="485"/>
    </row>
    <row r="498">
      <c r="A498" s="486"/>
      <c r="B498" s="482"/>
      <c r="C498" s="497"/>
      <c r="D498" s="497"/>
      <c r="E498" s="497"/>
      <c r="F498" s="497"/>
      <c r="G498" s="497"/>
      <c r="H498" s="497"/>
      <c r="I498" s="497"/>
      <c r="J498" s="497"/>
      <c r="K498" s="497"/>
      <c r="L498" s="485"/>
      <c r="M498" s="485"/>
      <c r="N498" s="485"/>
      <c r="O498" s="485"/>
      <c r="P498" s="485"/>
      <c r="Q498" s="485"/>
      <c r="R498" s="485"/>
      <c r="S498" s="485"/>
      <c r="T498" s="485"/>
      <c r="U498" s="485"/>
      <c r="V498" s="485"/>
      <c r="W498" s="485"/>
      <c r="X498" s="485"/>
      <c r="Y498" s="485"/>
      <c r="Z498" s="485"/>
      <c r="AA498" s="485"/>
    </row>
    <row r="499">
      <c r="A499" s="486"/>
      <c r="B499" s="482"/>
      <c r="C499" s="497"/>
      <c r="D499" s="497"/>
      <c r="E499" s="497"/>
      <c r="F499" s="497"/>
      <c r="G499" s="497"/>
      <c r="H499" s="497"/>
      <c r="I499" s="497"/>
      <c r="J499" s="497"/>
      <c r="K499" s="497"/>
      <c r="L499" s="485"/>
      <c r="M499" s="485"/>
      <c r="N499" s="485"/>
      <c r="O499" s="485"/>
      <c r="P499" s="485"/>
      <c r="Q499" s="485"/>
      <c r="R499" s="485"/>
      <c r="S499" s="485"/>
      <c r="T499" s="485"/>
      <c r="U499" s="485"/>
      <c r="V499" s="485"/>
      <c r="W499" s="485"/>
      <c r="X499" s="485"/>
      <c r="Y499" s="485"/>
      <c r="Z499" s="485"/>
      <c r="AA499" s="485"/>
    </row>
    <row r="500">
      <c r="A500" s="486"/>
      <c r="B500" s="482"/>
      <c r="C500" s="497"/>
      <c r="D500" s="497"/>
      <c r="E500" s="497"/>
      <c r="F500" s="497"/>
      <c r="G500" s="497"/>
      <c r="H500" s="497"/>
      <c r="I500" s="497"/>
      <c r="J500" s="497"/>
      <c r="K500" s="497"/>
      <c r="L500" s="485"/>
      <c r="M500" s="485"/>
      <c r="N500" s="485"/>
      <c r="O500" s="485"/>
      <c r="P500" s="485"/>
      <c r="Q500" s="485"/>
      <c r="R500" s="485"/>
      <c r="S500" s="485"/>
      <c r="T500" s="485"/>
      <c r="U500" s="485"/>
      <c r="V500" s="485"/>
      <c r="W500" s="485"/>
      <c r="X500" s="485"/>
      <c r="Y500" s="485"/>
      <c r="Z500" s="485"/>
      <c r="AA500" s="485"/>
    </row>
    <row r="501">
      <c r="A501" s="486"/>
      <c r="B501" s="482"/>
      <c r="C501" s="497"/>
      <c r="D501" s="497"/>
      <c r="E501" s="497"/>
      <c r="F501" s="497"/>
      <c r="G501" s="497"/>
      <c r="H501" s="497"/>
      <c r="I501" s="497"/>
      <c r="J501" s="497"/>
      <c r="K501" s="497"/>
      <c r="L501" s="485"/>
      <c r="M501" s="485"/>
      <c r="N501" s="485"/>
      <c r="O501" s="485"/>
      <c r="P501" s="485"/>
      <c r="Q501" s="485"/>
      <c r="R501" s="485"/>
      <c r="S501" s="485"/>
      <c r="T501" s="485"/>
      <c r="U501" s="485"/>
      <c r="V501" s="485"/>
      <c r="W501" s="485"/>
      <c r="X501" s="485"/>
      <c r="Y501" s="485"/>
      <c r="Z501" s="485"/>
      <c r="AA501" s="485"/>
    </row>
    <row r="502">
      <c r="A502" s="486"/>
      <c r="B502" s="482"/>
      <c r="C502" s="497"/>
      <c r="D502" s="497"/>
      <c r="E502" s="497"/>
      <c r="F502" s="497"/>
      <c r="G502" s="497"/>
      <c r="H502" s="497"/>
      <c r="I502" s="497"/>
      <c r="J502" s="497"/>
      <c r="K502" s="497"/>
      <c r="L502" s="485"/>
      <c r="M502" s="485"/>
      <c r="N502" s="485"/>
      <c r="O502" s="485"/>
      <c r="P502" s="485"/>
      <c r="Q502" s="485"/>
      <c r="R502" s="485"/>
      <c r="S502" s="485"/>
      <c r="T502" s="485"/>
      <c r="U502" s="485"/>
      <c r="V502" s="485"/>
      <c r="W502" s="485"/>
      <c r="X502" s="485"/>
      <c r="Y502" s="485"/>
      <c r="Z502" s="485"/>
      <c r="AA502" s="485"/>
    </row>
    <row r="503">
      <c r="A503" s="486"/>
      <c r="B503" s="482"/>
      <c r="C503" s="497"/>
      <c r="D503" s="497"/>
      <c r="E503" s="497"/>
      <c r="F503" s="497"/>
      <c r="G503" s="497"/>
      <c r="H503" s="497"/>
      <c r="I503" s="497"/>
      <c r="J503" s="497"/>
      <c r="K503" s="497"/>
      <c r="L503" s="485"/>
      <c r="M503" s="485"/>
      <c r="N503" s="485"/>
      <c r="O503" s="485"/>
      <c r="P503" s="485"/>
      <c r="Q503" s="485"/>
      <c r="R503" s="485"/>
      <c r="S503" s="485"/>
      <c r="T503" s="485"/>
      <c r="U503" s="485"/>
      <c r="V503" s="485"/>
      <c r="W503" s="485"/>
      <c r="X503" s="485"/>
      <c r="Y503" s="485"/>
      <c r="Z503" s="485"/>
      <c r="AA503" s="485"/>
    </row>
    <row r="504">
      <c r="A504" s="486"/>
      <c r="B504" s="482"/>
      <c r="C504" s="497"/>
      <c r="D504" s="497"/>
      <c r="E504" s="497"/>
      <c r="F504" s="497"/>
      <c r="G504" s="497"/>
      <c r="H504" s="497"/>
      <c r="I504" s="497"/>
      <c r="J504" s="497"/>
      <c r="K504" s="497"/>
      <c r="L504" s="485"/>
      <c r="M504" s="485"/>
      <c r="N504" s="485"/>
      <c r="O504" s="485"/>
      <c r="P504" s="485"/>
      <c r="Q504" s="485"/>
      <c r="R504" s="485"/>
      <c r="S504" s="485"/>
      <c r="T504" s="485"/>
      <c r="U504" s="485"/>
      <c r="V504" s="485"/>
      <c r="W504" s="485"/>
      <c r="X504" s="485"/>
      <c r="Y504" s="485"/>
      <c r="Z504" s="485"/>
      <c r="AA504" s="485"/>
    </row>
    <row r="505">
      <c r="A505" s="486"/>
      <c r="B505" s="482"/>
      <c r="C505" s="497"/>
      <c r="D505" s="497"/>
      <c r="E505" s="497"/>
      <c r="F505" s="497"/>
      <c r="G505" s="497"/>
      <c r="H505" s="497"/>
      <c r="I505" s="497"/>
      <c r="J505" s="497"/>
      <c r="K505" s="497"/>
      <c r="L505" s="485"/>
      <c r="M505" s="485"/>
      <c r="N505" s="485"/>
      <c r="O505" s="485"/>
      <c r="P505" s="485"/>
      <c r="Q505" s="485"/>
      <c r="R505" s="485"/>
      <c r="S505" s="485"/>
      <c r="T505" s="485"/>
      <c r="U505" s="485"/>
      <c r="V505" s="485"/>
      <c r="W505" s="485"/>
      <c r="X505" s="485"/>
      <c r="Y505" s="485"/>
      <c r="Z505" s="485"/>
      <c r="AA505" s="485"/>
    </row>
    <row r="506">
      <c r="A506" s="486"/>
      <c r="B506" s="482"/>
      <c r="C506" s="497"/>
      <c r="D506" s="497"/>
      <c r="E506" s="497"/>
      <c r="F506" s="497"/>
      <c r="G506" s="497"/>
      <c r="H506" s="497"/>
      <c r="I506" s="497"/>
      <c r="J506" s="497"/>
      <c r="K506" s="497"/>
      <c r="L506" s="485"/>
      <c r="M506" s="485"/>
      <c r="N506" s="485"/>
      <c r="O506" s="485"/>
      <c r="P506" s="485"/>
      <c r="Q506" s="485"/>
      <c r="R506" s="485"/>
      <c r="S506" s="485"/>
      <c r="T506" s="485"/>
      <c r="U506" s="485"/>
      <c r="V506" s="485"/>
      <c r="W506" s="485"/>
      <c r="X506" s="485"/>
      <c r="Y506" s="485"/>
      <c r="Z506" s="485"/>
      <c r="AA506" s="485"/>
    </row>
    <row r="507">
      <c r="A507" s="486"/>
      <c r="B507" s="482"/>
      <c r="C507" s="497"/>
      <c r="D507" s="497"/>
      <c r="E507" s="497"/>
      <c r="F507" s="497"/>
      <c r="G507" s="497"/>
      <c r="H507" s="497"/>
      <c r="I507" s="497"/>
      <c r="J507" s="497"/>
      <c r="K507" s="497"/>
      <c r="L507" s="485"/>
      <c r="M507" s="485"/>
      <c r="N507" s="485"/>
      <c r="O507" s="485"/>
      <c r="P507" s="485"/>
      <c r="Q507" s="485"/>
      <c r="R507" s="485"/>
      <c r="S507" s="485"/>
      <c r="T507" s="485"/>
      <c r="U507" s="485"/>
      <c r="V507" s="485"/>
      <c r="W507" s="485"/>
      <c r="X507" s="485"/>
      <c r="Y507" s="485"/>
      <c r="Z507" s="485"/>
      <c r="AA507" s="485"/>
    </row>
    <row r="508">
      <c r="A508" s="486"/>
      <c r="B508" s="482"/>
      <c r="C508" s="497"/>
      <c r="D508" s="497"/>
      <c r="E508" s="497"/>
      <c r="F508" s="497"/>
      <c r="G508" s="497"/>
      <c r="H508" s="497"/>
      <c r="I508" s="497"/>
      <c r="J508" s="497"/>
      <c r="K508" s="497"/>
      <c r="L508" s="485"/>
      <c r="M508" s="485"/>
      <c r="N508" s="485"/>
      <c r="O508" s="485"/>
      <c r="P508" s="485"/>
      <c r="Q508" s="485"/>
      <c r="R508" s="485"/>
      <c r="S508" s="485"/>
      <c r="T508" s="485"/>
      <c r="U508" s="485"/>
      <c r="V508" s="485"/>
      <c r="W508" s="485"/>
      <c r="X508" s="485"/>
      <c r="Y508" s="485"/>
      <c r="Z508" s="485"/>
      <c r="AA508" s="485"/>
    </row>
    <row r="509">
      <c r="A509" s="486"/>
      <c r="B509" s="482"/>
      <c r="C509" s="497"/>
      <c r="D509" s="497"/>
      <c r="E509" s="497"/>
      <c r="F509" s="497"/>
      <c r="G509" s="497"/>
      <c r="H509" s="497"/>
      <c r="I509" s="497"/>
      <c r="J509" s="497"/>
      <c r="K509" s="497"/>
      <c r="L509" s="485"/>
      <c r="M509" s="485"/>
      <c r="N509" s="485"/>
      <c r="O509" s="485"/>
      <c r="P509" s="485"/>
      <c r="Q509" s="485"/>
      <c r="R509" s="485"/>
      <c r="S509" s="485"/>
      <c r="T509" s="485"/>
      <c r="U509" s="485"/>
      <c r="V509" s="485"/>
      <c r="W509" s="485"/>
      <c r="X509" s="485"/>
      <c r="Y509" s="485"/>
      <c r="Z509" s="485"/>
      <c r="AA509" s="485"/>
    </row>
    <row r="510">
      <c r="A510" s="486"/>
      <c r="B510" s="482"/>
      <c r="C510" s="497"/>
      <c r="D510" s="497"/>
      <c r="E510" s="497"/>
      <c r="F510" s="497"/>
      <c r="G510" s="497"/>
      <c r="H510" s="497"/>
      <c r="I510" s="497"/>
      <c r="J510" s="497"/>
      <c r="K510" s="497"/>
      <c r="L510" s="485"/>
      <c r="M510" s="485"/>
      <c r="N510" s="485"/>
      <c r="O510" s="485"/>
      <c r="P510" s="485"/>
      <c r="Q510" s="485"/>
      <c r="R510" s="485"/>
      <c r="S510" s="485"/>
      <c r="T510" s="485"/>
      <c r="U510" s="485"/>
      <c r="V510" s="485"/>
      <c r="W510" s="485"/>
      <c r="X510" s="485"/>
      <c r="Y510" s="485"/>
      <c r="Z510" s="485"/>
      <c r="AA510" s="485"/>
    </row>
    <row r="511">
      <c r="A511" s="486"/>
      <c r="B511" s="482"/>
      <c r="C511" s="497"/>
      <c r="D511" s="497"/>
      <c r="E511" s="497"/>
      <c r="F511" s="497"/>
      <c r="G511" s="497"/>
      <c r="H511" s="497"/>
      <c r="I511" s="497"/>
      <c r="J511" s="497"/>
      <c r="K511" s="497"/>
      <c r="L511" s="485"/>
      <c r="M511" s="485"/>
      <c r="N511" s="485"/>
      <c r="O511" s="485"/>
      <c r="P511" s="485"/>
      <c r="Q511" s="485"/>
      <c r="R511" s="485"/>
      <c r="S511" s="485"/>
      <c r="T511" s="485"/>
      <c r="U511" s="485"/>
      <c r="V511" s="485"/>
      <c r="W511" s="485"/>
      <c r="X511" s="485"/>
      <c r="Y511" s="485"/>
      <c r="Z511" s="485"/>
      <c r="AA511" s="485"/>
    </row>
    <row r="512">
      <c r="A512" s="486"/>
      <c r="B512" s="482"/>
      <c r="C512" s="497"/>
      <c r="D512" s="497"/>
      <c r="E512" s="497"/>
      <c r="F512" s="497"/>
      <c r="G512" s="497"/>
      <c r="H512" s="497"/>
      <c r="I512" s="497"/>
      <c r="J512" s="497"/>
      <c r="K512" s="497"/>
      <c r="L512" s="485"/>
      <c r="M512" s="485"/>
      <c r="N512" s="485"/>
      <c r="O512" s="485"/>
      <c r="P512" s="485"/>
      <c r="Q512" s="485"/>
      <c r="R512" s="485"/>
      <c r="S512" s="485"/>
      <c r="T512" s="485"/>
      <c r="U512" s="485"/>
      <c r="V512" s="485"/>
      <c r="W512" s="485"/>
      <c r="X512" s="485"/>
      <c r="Y512" s="485"/>
      <c r="Z512" s="485"/>
      <c r="AA512" s="485"/>
    </row>
    <row r="513">
      <c r="A513" s="486"/>
      <c r="B513" s="482"/>
      <c r="C513" s="497"/>
      <c r="D513" s="497"/>
      <c r="E513" s="497"/>
      <c r="F513" s="497"/>
      <c r="G513" s="497"/>
      <c r="H513" s="497"/>
      <c r="I513" s="497"/>
      <c r="J513" s="497"/>
      <c r="K513" s="497"/>
      <c r="L513" s="485"/>
      <c r="M513" s="485"/>
      <c r="N513" s="485"/>
      <c r="O513" s="485"/>
      <c r="P513" s="485"/>
      <c r="Q513" s="485"/>
      <c r="R513" s="485"/>
      <c r="S513" s="485"/>
      <c r="T513" s="485"/>
      <c r="U513" s="485"/>
      <c r="V513" s="485"/>
      <c r="W513" s="485"/>
      <c r="X513" s="485"/>
      <c r="Y513" s="485"/>
      <c r="Z513" s="485"/>
      <c r="AA513" s="485"/>
    </row>
    <row r="514">
      <c r="A514" s="486"/>
      <c r="B514" s="482"/>
      <c r="C514" s="497"/>
      <c r="D514" s="497"/>
      <c r="E514" s="497"/>
      <c r="F514" s="497"/>
      <c r="G514" s="497"/>
      <c r="H514" s="497"/>
      <c r="I514" s="497"/>
      <c r="J514" s="497"/>
      <c r="K514" s="497"/>
      <c r="L514" s="485"/>
      <c r="M514" s="485"/>
      <c r="N514" s="485"/>
      <c r="O514" s="485"/>
      <c r="P514" s="485"/>
      <c r="Q514" s="485"/>
      <c r="R514" s="485"/>
      <c r="S514" s="485"/>
      <c r="T514" s="485"/>
      <c r="U514" s="485"/>
      <c r="V514" s="485"/>
      <c r="W514" s="485"/>
      <c r="X514" s="485"/>
      <c r="Y514" s="485"/>
      <c r="Z514" s="485"/>
      <c r="AA514" s="485"/>
    </row>
    <row r="515">
      <c r="A515" s="486"/>
      <c r="B515" s="482"/>
      <c r="C515" s="497"/>
      <c r="D515" s="497"/>
      <c r="E515" s="497"/>
      <c r="F515" s="497"/>
      <c r="G515" s="497"/>
      <c r="H515" s="497"/>
      <c r="I515" s="497"/>
      <c r="J515" s="497"/>
      <c r="K515" s="497"/>
      <c r="L515" s="485"/>
      <c r="M515" s="485"/>
      <c r="N515" s="485"/>
      <c r="O515" s="485"/>
      <c r="P515" s="485"/>
      <c r="Q515" s="485"/>
      <c r="R515" s="485"/>
      <c r="S515" s="485"/>
      <c r="T515" s="485"/>
      <c r="U515" s="485"/>
      <c r="V515" s="485"/>
      <c r="W515" s="485"/>
      <c r="X515" s="485"/>
      <c r="Y515" s="485"/>
      <c r="Z515" s="485"/>
      <c r="AA515" s="485"/>
    </row>
    <row r="516">
      <c r="A516" s="486"/>
      <c r="B516" s="482"/>
      <c r="C516" s="497"/>
      <c r="D516" s="497"/>
      <c r="E516" s="497"/>
      <c r="F516" s="497"/>
      <c r="G516" s="497"/>
      <c r="H516" s="497"/>
      <c r="I516" s="497"/>
      <c r="J516" s="497"/>
      <c r="K516" s="497"/>
      <c r="L516" s="485"/>
      <c r="M516" s="485"/>
      <c r="N516" s="485"/>
      <c r="O516" s="485"/>
      <c r="P516" s="485"/>
      <c r="Q516" s="485"/>
      <c r="R516" s="485"/>
      <c r="S516" s="485"/>
      <c r="T516" s="485"/>
      <c r="U516" s="485"/>
      <c r="V516" s="485"/>
      <c r="W516" s="485"/>
      <c r="X516" s="485"/>
      <c r="Y516" s="485"/>
      <c r="Z516" s="485"/>
      <c r="AA516" s="485"/>
    </row>
    <row r="517">
      <c r="A517" s="486"/>
      <c r="B517" s="482"/>
      <c r="C517" s="497"/>
      <c r="D517" s="497"/>
      <c r="E517" s="497"/>
      <c r="F517" s="497"/>
      <c r="G517" s="497"/>
      <c r="H517" s="497"/>
      <c r="I517" s="497"/>
      <c r="J517" s="497"/>
      <c r="K517" s="497"/>
      <c r="L517" s="485"/>
      <c r="M517" s="485"/>
      <c r="N517" s="485"/>
      <c r="O517" s="485"/>
      <c r="P517" s="485"/>
      <c r="Q517" s="485"/>
      <c r="R517" s="485"/>
      <c r="S517" s="485"/>
      <c r="T517" s="485"/>
      <c r="U517" s="485"/>
      <c r="V517" s="485"/>
      <c r="W517" s="485"/>
      <c r="X517" s="485"/>
      <c r="Y517" s="485"/>
      <c r="Z517" s="485"/>
      <c r="AA517" s="485"/>
    </row>
    <row r="518">
      <c r="A518" s="486"/>
      <c r="B518" s="482"/>
      <c r="C518" s="497"/>
      <c r="D518" s="497"/>
      <c r="E518" s="497"/>
      <c r="F518" s="497"/>
      <c r="G518" s="497"/>
      <c r="H518" s="497"/>
      <c r="I518" s="497"/>
      <c r="J518" s="497"/>
      <c r="K518" s="497"/>
      <c r="L518" s="485"/>
      <c r="M518" s="485"/>
      <c r="N518" s="485"/>
      <c r="O518" s="485"/>
      <c r="P518" s="485"/>
      <c r="Q518" s="485"/>
      <c r="R518" s="485"/>
      <c r="S518" s="485"/>
      <c r="T518" s="485"/>
      <c r="U518" s="485"/>
      <c r="V518" s="485"/>
      <c r="W518" s="485"/>
      <c r="X518" s="485"/>
      <c r="Y518" s="485"/>
      <c r="Z518" s="485"/>
      <c r="AA518" s="485"/>
    </row>
    <row r="519">
      <c r="A519" s="486"/>
      <c r="B519" s="482"/>
      <c r="C519" s="497"/>
      <c r="D519" s="497"/>
      <c r="E519" s="497"/>
      <c r="F519" s="497"/>
      <c r="G519" s="497"/>
      <c r="H519" s="497"/>
      <c r="I519" s="497"/>
      <c r="J519" s="497"/>
      <c r="K519" s="497"/>
      <c r="L519" s="485"/>
      <c r="M519" s="485"/>
      <c r="N519" s="485"/>
      <c r="O519" s="485"/>
      <c r="P519" s="485"/>
      <c r="Q519" s="485"/>
      <c r="R519" s="485"/>
      <c r="S519" s="485"/>
      <c r="T519" s="485"/>
      <c r="U519" s="485"/>
      <c r="V519" s="485"/>
      <c r="W519" s="485"/>
      <c r="X519" s="485"/>
      <c r="Y519" s="485"/>
      <c r="Z519" s="485"/>
      <c r="AA519" s="485"/>
    </row>
    <row r="520">
      <c r="A520" s="486"/>
      <c r="B520" s="482"/>
      <c r="C520" s="497"/>
      <c r="D520" s="497"/>
      <c r="E520" s="497"/>
      <c r="F520" s="497"/>
      <c r="G520" s="497"/>
      <c r="H520" s="497"/>
      <c r="I520" s="497"/>
      <c r="J520" s="497"/>
      <c r="K520" s="497"/>
      <c r="L520" s="485"/>
      <c r="M520" s="485"/>
      <c r="N520" s="485"/>
      <c r="O520" s="485"/>
      <c r="P520" s="485"/>
      <c r="Q520" s="485"/>
      <c r="R520" s="485"/>
      <c r="S520" s="485"/>
      <c r="T520" s="485"/>
      <c r="U520" s="485"/>
      <c r="V520" s="485"/>
      <c r="W520" s="485"/>
      <c r="X520" s="485"/>
      <c r="Y520" s="485"/>
      <c r="Z520" s="485"/>
      <c r="AA520" s="485"/>
    </row>
    <row r="521">
      <c r="A521" s="486"/>
      <c r="B521" s="482"/>
      <c r="C521" s="497"/>
      <c r="D521" s="497"/>
      <c r="E521" s="497"/>
      <c r="F521" s="497"/>
      <c r="G521" s="497"/>
      <c r="H521" s="497"/>
      <c r="I521" s="497"/>
      <c r="J521" s="497"/>
      <c r="K521" s="497"/>
      <c r="L521" s="485"/>
      <c r="M521" s="485"/>
      <c r="N521" s="485"/>
      <c r="O521" s="485"/>
      <c r="P521" s="485"/>
      <c r="Q521" s="485"/>
      <c r="R521" s="485"/>
      <c r="S521" s="485"/>
      <c r="T521" s="485"/>
      <c r="U521" s="485"/>
      <c r="V521" s="485"/>
      <c r="W521" s="485"/>
      <c r="X521" s="485"/>
      <c r="Y521" s="485"/>
      <c r="Z521" s="485"/>
      <c r="AA521" s="485"/>
    </row>
    <row r="522">
      <c r="A522" s="486"/>
      <c r="B522" s="482"/>
      <c r="C522" s="497"/>
      <c r="D522" s="497"/>
      <c r="E522" s="497"/>
      <c r="F522" s="497"/>
      <c r="G522" s="497"/>
      <c r="H522" s="497"/>
      <c r="I522" s="497"/>
      <c r="J522" s="497"/>
      <c r="K522" s="497"/>
      <c r="L522" s="485"/>
      <c r="M522" s="485"/>
      <c r="N522" s="485"/>
      <c r="O522" s="485"/>
      <c r="P522" s="485"/>
      <c r="Q522" s="485"/>
      <c r="R522" s="485"/>
      <c r="S522" s="485"/>
      <c r="T522" s="485"/>
      <c r="U522" s="485"/>
      <c r="V522" s="485"/>
      <c r="W522" s="485"/>
      <c r="X522" s="485"/>
      <c r="Y522" s="485"/>
      <c r="Z522" s="485"/>
      <c r="AA522" s="485"/>
    </row>
    <row r="523">
      <c r="A523" s="486"/>
      <c r="B523" s="482"/>
      <c r="C523" s="497"/>
      <c r="D523" s="497"/>
      <c r="E523" s="497"/>
      <c r="F523" s="497"/>
      <c r="G523" s="497"/>
      <c r="H523" s="497"/>
      <c r="I523" s="497"/>
      <c r="J523" s="497"/>
      <c r="K523" s="497"/>
      <c r="L523" s="485"/>
      <c r="M523" s="485"/>
      <c r="N523" s="485"/>
      <c r="O523" s="485"/>
      <c r="P523" s="485"/>
      <c r="Q523" s="485"/>
      <c r="R523" s="485"/>
      <c r="S523" s="485"/>
      <c r="T523" s="485"/>
      <c r="U523" s="485"/>
      <c r="V523" s="485"/>
      <c r="W523" s="485"/>
      <c r="X523" s="485"/>
      <c r="Y523" s="485"/>
      <c r="Z523" s="485"/>
      <c r="AA523" s="485"/>
    </row>
    <row r="524">
      <c r="A524" s="486"/>
      <c r="B524" s="482"/>
      <c r="C524" s="497"/>
      <c r="D524" s="497"/>
      <c r="E524" s="497"/>
      <c r="F524" s="497"/>
      <c r="G524" s="497"/>
      <c r="H524" s="497"/>
      <c r="I524" s="497"/>
      <c r="J524" s="497"/>
      <c r="K524" s="497"/>
      <c r="L524" s="485"/>
      <c r="M524" s="485"/>
      <c r="N524" s="485"/>
      <c r="O524" s="485"/>
      <c r="P524" s="485"/>
      <c r="Q524" s="485"/>
      <c r="R524" s="485"/>
      <c r="S524" s="485"/>
      <c r="T524" s="485"/>
      <c r="U524" s="485"/>
      <c r="V524" s="485"/>
      <c r="W524" s="485"/>
      <c r="X524" s="485"/>
      <c r="Y524" s="485"/>
      <c r="Z524" s="485"/>
      <c r="AA524" s="485"/>
    </row>
    <row r="525">
      <c r="A525" s="486"/>
      <c r="B525" s="482"/>
      <c r="C525" s="497"/>
      <c r="D525" s="497"/>
      <c r="E525" s="497"/>
      <c r="F525" s="497"/>
      <c r="G525" s="497"/>
      <c r="H525" s="497"/>
      <c r="I525" s="497"/>
      <c r="J525" s="497"/>
      <c r="K525" s="497"/>
      <c r="L525" s="485"/>
      <c r="M525" s="485"/>
      <c r="N525" s="485"/>
      <c r="O525" s="485"/>
      <c r="P525" s="485"/>
      <c r="Q525" s="485"/>
      <c r="R525" s="485"/>
      <c r="S525" s="485"/>
      <c r="T525" s="485"/>
      <c r="U525" s="485"/>
      <c r="V525" s="485"/>
      <c r="W525" s="485"/>
      <c r="X525" s="485"/>
      <c r="Y525" s="485"/>
      <c r="Z525" s="485"/>
      <c r="AA525" s="485"/>
    </row>
    <row r="526">
      <c r="A526" s="486"/>
      <c r="B526" s="482"/>
      <c r="C526" s="497"/>
      <c r="D526" s="497"/>
      <c r="E526" s="497"/>
      <c r="F526" s="497"/>
      <c r="G526" s="497"/>
      <c r="H526" s="497"/>
      <c r="I526" s="497"/>
      <c r="J526" s="497"/>
      <c r="K526" s="497"/>
      <c r="L526" s="485"/>
      <c r="M526" s="485"/>
      <c r="N526" s="485"/>
      <c r="O526" s="485"/>
      <c r="P526" s="485"/>
      <c r="Q526" s="485"/>
      <c r="R526" s="485"/>
      <c r="S526" s="485"/>
      <c r="T526" s="485"/>
      <c r="U526" s="485"/>
      <c r="V526" s="485"/>
      <c r="W526" s="485"/>
      <c r="X526" s="485"/>
      <c r="Y526" s="485"/>
      <c r="Z526" s="485"/>
      <c r="AA526" s="485"/>
    </row>
    <row r="527">
      <c r="A527" s="486"/>
      <c r="B527" s="482"/>
      <c r="C527" s="497"/>
      <c r="D527" s="497"/>
      <c r="E527" s="497"/>
      <c r="F527" s="497"/>
      <c r="G527" s="497"/>
      <c r="H527" s="497"/>
      <c r="I527" s="497"/>
      <c r="J527" s="497"/>
      <c r="K527" s="497"/>
      <c r="L527" s="485"/>
      <c r="M527" s="485"/>
      <c r="N527" s="485"/>
      <c r="O527" s="485"/>
      <c r="P527" s="485"/>
      <c r="Q527" s="485"/>
      <c r="R527" s="485"/>
      <c r="S527" s="485"/>
      <c r="T527" s="485"/>
      <c r="U527" s="485"/>
      <c r="V527" s="485"/>
      <c r="W527" s="485"/>
      <c r="X527" s="485"/>
      <c r="Y527" s="485"/>
      <c r="Z527" s="485"/>
      <c r="AA527" s="485"/>
    </row>
    <row r="528">
      <c r="A528" s="486"/>
      <c r="B528" s="482"/>
      <c r="C528" s="497"/>
      <c r="D528" s="497"/>
      <c r="E528" s="497"/>
      <c r="F528" s="497"/>
      <c r="G528" s="497"/>
      <c r="H528" s="497"/>
      <c r="I528" s="497"/>
      <c r="J528" s="497"/>
      <c r="K528" s="497"/>
      <c r="L528" s="485"/>
      <c r="M528" s="485"/>
      <c r="N528" s="485"/>
      <c r="O528" s="485"/>
      <c r="P528" s="485"/>
      <c r="Q528" s="485"/>
      <c r="R528" s="485"/>
      <c r="S528" s="485"/>
      <c r="T528" s="485"/>
      <c r="U528" s="485"/>
      <c r="V528" s="485"/>
      <c r="W528" s="485"/>
      <c r="X528" s="485"/>
      <c r="Y528" s="485"/>
      <c r="Z528" s="485"/>
      <c r="AA528" s="485"/>
    </row>
    <row r="529">
      <c r="A529" s="486"/>
      <c r="B529" s="482"/>
      <c r="C529" s="497"/>
      <c r="D529" s="497"/>
      <c r="E529" s="497"/>
      <c r="F529" s="497"/>
      <c r="G529" s="497"/>
      <c r="H529" s="497"/>
      <c r="I529" s="497"/>
      <c r="J529" s="497"/>
      <c r="K529" s="497"/>
      <c r="L529" s="485"/>
      <c r="M529" s="485"/>
      <c r="N529" s="485"/>
      <c r="O529" s="485"/>
      <c r="P529" s="485"/>
      <c r="Q529" s="485"/>
      <c r="R529" s="485"/>
      <c r="S529" s="485"/>
      <c r="T529" s="485"/>
      <c r="U529" s="485"/>
      <c r="V529" s="485"/>
      <c r="W529" s="485"/>
      <c r="X529" s="485"/>
      <c r="Y529" s="485"/>
      <c r="Z529" s="485"/>
      <c r="AA529" s="485"/>
    </row>
    <row r="530">
      <c r="A530" s="486"/>
      <c r="B530" s="482"/>
      <c r="C530" s="497"/>
      <c r="D530" s="497"/>
      <c r="E530" s="497"/>
      <c r="F530" s="497"/>
      <c r="G530" s="497"/>
      <c r="H530" s="497"/>
      <c r="I530" s="497"/>
      <c r="J530" s="497"/>
      <c r="K530" s="497"/>
      <c r="L530" s="485"/>
      <c r="M530" s="485"/>
      <c r="N530" s="485"/>
      <c r="O530" s="485"/>
      <c r="P530" s="485"/>
      <c r="Q530" s="485"/>
      <c r="R530" s="485"/>
      <c r="S530" s="485"/>
      <c r="T530" s="485"/>
      <c r="U530" s="485"/>
      <c r="V530" s="485"/>
      <c r="W530" s="485"/>
      <c r="X530" s="485"/>
      <c r="Y530" s="485"/>
      <c r="Z530" s="485"/>
      <c r="AA530" s="485"/>
    </row>
    <row r="531">
      <c r="A531" s="486"/>
      <c r="B531" s="482"/>
      <c r="C531" s="497"/>
      <c r="D531" s="497"/>
      <c r="E531" s="497"/>
      <c r="F531" s="497"/>
      <c r="G531" s="497"/>
      <c r="H531" s="497"/>
      <c r="I531" s="497"/>
      <c r="J531" s="497"/>
      <c r="K531" s="497"/>
      <c r="L531" s="485"/>
      <c r="M531" s="485"/>
      <c r="N531" s="485"/>
      <c r="O531" s="485"/>
      <c r="P531" s="485"/>
      <c r="Q531" s="485"/>
      <c r="R531" s="485"/>
      <c r="S531" s="485"/>
      <c r="T531" s="485"/>
      <c r="U531" s="485"/>
      <c r="V531" s="485"/>
      <c r="W531" s="485"/>
      <c r="X531" s="485"/>
      <c r="Y531" s="485"/>
      <c r="Z531" s="485"/>
      <c r="AA531" s="485"/>
    </row>
    <row r="532">
      <c r="A532" s="486"/>
      <c r="B532" s="482"/>
      <c r="C532" s="497"/>
      <c r="D532" s="497"/>
      <c r="E532" s="497"/>
      <c r="F532" s="497"/>
      <c r="G532" s="497"/>
      <c r="H532" s="497"/>
      <c r="I532" s="497"/>
      <c r="J532" s="497"/>
      <c r="K532" s="497"/>
      <c r="L532" s="485"/>
      <c r="M532" s="485"/>
      <c r="N532" s="485"/>
      <c r="O532" s="485"/>
      <c r="P532" s="485"/>
      <c r="Q532" s="485"/>
      <c r="R532" s="485"/>
      <c r="S532" s="485"/>
      <c r="T532" s="485"/>
      <c r="U532" s="485"/>
      <c r="V532" s="485"/>
      <c r="W532" s="485"/>
      <c r="X532" s="485"/>
      <c r="Y532" s="485"/>
      <c r="Z532" s="485"/>
      <c r="AA532" s="485"/>
    </row>
    <row r="533">
      <c r="A533" s="486"/>
      <c r="B533" s="482"/>
      <c r="C533" s="497"/>
      <c r="D533" s="497"/>
      <c r="E533" s="497"/>
      <c r="F533" s="497"/>
      <c r="G533" s="497"/>
      <c r="H533" s="497"/>
      <c r="I533" s="497"/>
      <c r="J533" s="497"/>
      <c r="K533" s="497"/>
      <c r="L533" s="485"/>
      <c r="M533" s="485"/>
      <c r="N533" s="485"/>
      <c r="O533" s="485"/>
      <c r="P533" s="485"/>
      <c r="Q533" s="485"/>
      <c r="R533" s="485"/>
      <c r="S533" s="485"/>
      <c r="T533" s="485"/>
      <c r="U533" s="485"/>
      <c r="V533" s="485"/>
      <c r="W533" s="485"/>
      <c r="X533" s="485"/>
      <c r="Y533" s="485"/>
      <c r="Z533" s="485"/>
      <c r="AA533" s="485"/>
    </row>
    <row r="534">
      <c r="A534" s="486"/>
      <c r="B534" s="482"/>
      <c r="C534" s="497"/>
      <c r="D534" s="497"/>
      <c r="E534" s="497"/>
      <c r="F534" s="497"/>
      <c r="G534" s="497"/>
      <c r="H534" s="497"/>
      <c r="I534" s="497"/>
      <c r="J534" s="497"/>
      <c r="K534" s="497"/>
      <c r="L534" s="485"/>
      <c r="M534" s="485"/>
      <c r="N534" s="485"/>
      <c r="O534" s="485"/>
      <c r="P534" s="485"/>
      <c r="Q534" s="485"/>
      <c r="R534" s="485"/>
      <c r="S534" s="485"/>
      <c r="T534" s="485"/>
      <c r="U534" s="485"/>
      <c r="V534" s="485"/>
      <c r="W534" s="485"/>
      <c r="X534" s="485"/>
      <c r="Y534" s="485"/>
      <c r="Z534" s="485"/>
      <c r="AA534" s="485"/>
    </row>
    <row r="535">
      <c r="A535" s="486"/>
      <c r="B535" s="482"/>
      <c r="C535" s="497"/>
      <c r="D535" s="497"/>
      <c r="E535" s="497"/>
      <c r="F535" s="497"/>
      <c r="G535" s="497"/>
      <c r="H535" s="497"/>
      <c r="I535" s="497"/>
      <c r="J535" s="497"/>
      <c r="K535" s="497"/>
      <c r="L535" s="485"/>
      <c r="M535" s="485"/>
      <c r="N535" s="485"/>
      <c r="O535" s="485"/>
      <c r="P535" s="485"/>
      <c r="Q535" s="485"/>
      <c r="R535" s="485"/>
      <c r="S535" s="485"/>
      <c r="T535" s="485"/>
      <c r="U535" s="485"/>
      <c r="V535" s="485"/>
      <c r="W535" s="485"/>
      <c r="X535" s="485"/>
      <c r="Y535" s="485"/>
      <c r="Z535" s="485"/>
      <c r="AA535" s="485"/>
    </row>
    <row r="536">
      <c r="A536" s="486"/>
      <c r="B536" s="482"/>
      <c r="C536" s="497"/>
      <c r="D536" s="497"/>
      <c r="E536" s="497"/>
      <c r="F536" s="497"/>
      <c r="G536" s="497"/>
      <c r="H536" s="497"/>
      <c r="I536" s="497"/>
      <c r="J536" s="497"/>
      <c r="K536" s="497"/>
      <c r="L536" s="485"/>
      <c r="M536" s="485"/>
      <c r="N536" s="485"/>
      <c r="O536" s="485"/>
      <c r="P536" s="485"/>
      <c r="Q536" s="485"/>
      <c r="R536" s="485"/>
      <c r="S536" s="485"/>
      <c r="T536" s="485"/>
      <c r="U536" s="485"/>
      <c r="V536" s="485"/>
      <c r="W536" s="485"/>
      <c r="X536" s="485"/>
      <c r="Y536" s="485"/>
      <c r="Z536" s="485"/>
      <c r="AA536" s="485"/>
    </row>
    <row r="537">
      <c r="A537" s="486"/>
      <c r="B537" s="482"/>
      <c r="C537" s="497"/>
      <c r="D537" s="497"/>
      <c r="E537" s="497"/>
      <c r="F537" s="497"/>
      <c r="G537" s="497"/>
      <c r="H537" s="497"/>
      <c r="I537" s="497"/>
      <c r="J537" s="497"/>
      <c r="K537" s="497"/>
      <c r="L537" s="485"/>
      <c r="M537" s="485"/>
      <c r="N537" s="485"/>
      <c r="O537" s="485"/>
      <c r="P537" s="485"/>
      <c r="Q537" s="485"/>
      <c r="R537" s="485"/>
      <c r="S537" s="485"/>
      <c r="T537" s="485"/>
      <c r="U537" s="485"/>
      <c r="V537" s="485"/>
      <c r="W537" s="485"/>
      <c r="X537" s="485"/>
      <c r="Y537" s="485"/>
      <c r="Z537" s="485"/>
      <c r="AA537" s="485"/>
    </row>
    <row r="538">
      <c r="A538" s="486"/>
      <c r="B538" s="482"/>
      <c r="C538" s="497"/>
      <c r="D538" s="497"/>
      <c r="E538" s="497"/>
      <c r="F538" s="497"/>
      <c r="G538" s="497"/>
      <c r="H538" s="497"/>
      <c r="I538" s="497"/>
      <c r="J538" s="497"/>
      <c r="K538" s="497"/>
      <c r="L538" s="485"/>
      <c r="M538" s="485"/>
      <c r="N538" s="485"/>
      <c r="O538" s="485"/>
      <c r="P538" s="485"/>
      <c r="Q538" s="485"/>
      <c r="R538" s="485"/>
      <c r="S538" s="485"/>
      <c r="T538" s="485"/>
      <c r="U538" s="485"/>
      <c r="V538" s="485"/>
      <c r="W538" s="485"/>
      <c r="X538" s="485"/>
      <c r="Y538" s="485"/>
      <c r="Z538" s="485"/>
      <c r="AA538" s="485"/>
    </row>
    <row r="539">
      <c r="A539" s="486"/>
      <c r="B539" s="482"/>
      <c r="C539" s="497"/>
      <c r="D539" s="497"/>
      <c r="E539" s="497"/>
      <c r="F539" s="497"/>
      <c r="G539" s="497"/>
      <c r="H539" s="497"/>
      <c r="I539" s="497"/>
      <c r="J539" s="497"/>
      <c r="K539" s="497"/>
      <c r="L539" s="485"/>
      <c r="M539" s="485"/>
      <c r="N539" s="485"/>
      <c r="O539" s="485"/>
      <c r="P539" s="485"/>
      <c r="Q539" s="485"/>
      <c r="R539" s="485"/>
      <c r="S539" s="485"/>
      <c r="T539" s="485"/>
      <c r="U539" s="485"/>
      <c r="V539" s="485"/>
      <c r="W539" s="485"/>
      <c r="X539" s="485"/>
      <c r="Y539" s="485"/>
      <c r="Z539" s="485"/>
      <c r="AA539" s="485"/>
    </row>
    <row r="540">
      <c r="A540" s="486"/>
      <c r="B540" s="482"/>
      <c r="C540" s="497"/>
      <c r="D540" s="497"/>
      <c r="E540" s="497"/>
      <c r="F540" s="497"/>
      <c r="G540" s="497"/>
      <c r="H540" s="497"/>
      <c r="I540" s="497"/>
      <c r="J540" s="497"/>
      <c r="K540" s="497"/>
      <c r="L540" s="485"/>
      <c r="M540" s="485"/>
      <c r="N540" s="485"/>
      <c r="O540" s="485"/>
      <c r="P540" s="485"/>
      <c r="Q540" s="485"/>
      <c r="R540" s="485"/>
      <c r="S540" s="485"/>
      <c r="T540" s="485"/>
      <c r="U540" s="485"/>
      <c r="V540" s="485"/>
      <c r="W540" s="485"/>
      <c r="X540" s="485"/>
      <c r="Y540" s="485"/>
      <c r="Z540" s="485"/>
      <c r="AA540" s="485"/>
    </row>
    <row r="541">
      <c r="A541" s="486"/>
      <c r="B541" s="482"/>
      <c r="C541" s="497"/>
      <c r="D541" s="497"/>
      <c r="E541" s="497"/>
      <c r="F541" s="497"/>
      <c r="G541" s="497"/>
      <c r="H541" s="497"/>
      <c r="I541" s="497"/>
      <c r="J541" s="497"/>
      <c r="K541" s="497"/>
      <c r="L541" s="485"/>
      <c r="M541" s="485"/>
      <c r="N541" s="485"/>
      <c r="O541" s="485"/>
      <c r="P541" s="485"/>
      <c r="Q541" s="485"/>
      <c r="R541" s="485"/>
      <c r="S541" s="485"/>
      <c r="T541" s="485"/>
      <c r="U541" s="485"/>
      <c r="V541" s="485"/>
      <c r="W541" s="485"/>
      <c r="X541" s="485"/>
      <c r="Y541" s="485"/>
      <c r="Z541" s="485"/>
      <c r="AA541" s="485"/>
    </row>
    <row r="542">
      <c r="A542" s="486"/>
      <c r="B542" s="482"/>
      <c r="C542" s="497"/>
      <c r="D542" s="497"/>
      <c r="E542" s="497"/>
      <c r="F542" s="497"/>
      <c r="G542" s="497"/>
      <c r="H542" s="497"/>
      <c r="I542" s="497"/>
      <c r="J542" s="497"/>
      <c r="K542" s="497"/>
      <c r="L542" s="485"/>
      <c r="M542" s="485"/>
      <c r="N542" s="485"/>
      <c r="O542" s="485"/>
      <c r="P542" s="485"/>
      <c r="Q542" s="485"/>
      <c r="R542" s="485"/>
      <c r="S542" s="485"/>
      <c r="T542" s="485"/>
      <c r="U542" s="485"/>
      <c r="V542" s="485"/>
      <c r="W542" s="485"/>
      <c r="X542" s="485"/>
      <c r="Y542" s="485"/>
      <c r="Z542" s="485"/>
      <c r="AA542" s="485"/>
    </row>
    <row r="543">
      <c r="A543" s="486"/>
      <c r="B543" s="482"/>
      <c r="C543" s="497"/>
      <c r="D543" s="497"/>
      <c r="E543" s="497"/>
      <c r="F543" s="497"/>
      <c r="G543" s="497"/>
      <c r="H543" s="497"/>
      <c r="I543" s="497"/>
      <c r="J543" s="497"/>
      <c r="K543" s="497"/>
      <c r="L543" s="485"/>
      <c r="M543" s="485"/>
      <c r="N543" s="485"/>
      <c r="O543" s="485"/>
      <c r="P543" s="485"/>
      <c r="Q543" s="485"/>
      <c r="R543" s="485"/>
      <c r="S543" s="485"/>
      <c r="T543" s="485"/>
      <c r="U543" s="485"/>
      <c r="V543" s="485"/>
      <c r="W543" s="485"/>
      <c r="X543" s="485"/>
      <c r="Y543" s="485"/>
      <c r="Z543" s="485"/>
      <c r="AA543" s="485"/>
    </row>
    <row r="544">
      <c r="A544" s="486"/>
      <c r="B544" s="482"/>
      <c r="C544" s="497"/>
      <c r="D544" s="497"/>
      <c r="E544" s="497"/>
      <c r="F544" s="497"/>
      <c r="G544" s="497"/>
      <c r="H544" s="497"/>
      <c r="I544" s="497"/>
      <c r="J544" s="497"/>
      <c r="K544" s="497"/>
      <c r="L544" s="485"/>
      <c r="M544" s="485"/>
      <c r="N544" s="485"/>
      <c r="O544" s="485"/>
      <c r="P544" s="485"/>
      <c r="Q544" s="485"/>
      <c r="R544" s="485"/>
      <c r="S544" s="485"/>
      <c r="T544" s="485"/>
      <c r="U544" s="485"/>
      <c r="V544" s="485"/>
      <c r="W544" s="485"/>
      <c r="X544" s="485"/>
      <c r="Y544" s="485"/>
      <c r="Z544" s="485"/>
      <c r="AA544" s="485"/>
    </row>
    <row r="545">
      <c r="A545" s="486"/>
      <c r="B545" s="482"/>
      <c r="C545" s="497"/>
      <c r="D545" s="497"/>
      <c r="E545" s="497"/>
      <c r="F545" s="497"/>
      <c r="G545" s="497"/>
      <c r="H545" s="497"/>
      <c r="I545" s="497"/>
      <c r="J545" s="497"/>
      <c r="K545" s="497"/>
      <c r="L545" s="485"/>
      <c r="M545" s="485"/>
      <c r="N545" s="485"/>
      <c r="O545" s="485"/>
      <c r="P545" s="485"/>
      <c r="Q545" s="485"/>
      <c r="R545" s="485"/>
      <c r="S545" s="485"/>
      <c r="T545" s="485"/>
      <c r="U545" s="485"/>
      <c r="V545" s="485"/>
      <c r="W545" s="485"/>
      <c r="X545" s="485"/>
      <c r="Y545" s="485"/>
      <c r="Z545" s="485"/>
      <c r="AA545" s="485"/>
    </row>
    <row r="546">
      <c r="A546" s="486"/>
      <c r="B546" s="482"/>
      <c r="C546" s="497"/>
      <c r="D546" s="497"/>
      <c r="E546" s="497"/>
      <c r="F546" s="497"/>
      <c r="G546" s="497"/>
      <c r="H546" s="497"/>
      <c r="I546" s="497"/>
      <c r="J546" s="497"/>
      <c r="K546" s="497"/>
      <c r="L546" s="485"/>
      <c r="M546" s="485"/>
      <c r="N546" s="485"/>
      <c r="O546" s="485"/>
      <c r="P546" s="485"/>
      <c r="Q546" s="485"/>
      <c r="R546" s="485"/>
      <c r="S546" s="485"/>
      <c r="T546" s="485"/>
      <c r="U546" s="485"/>
      <c r="V546" s="485"/>
      <c r="W546" s="485"/>
      <c r="X546" s="485"/>
      <c r="Y546" s="485"/>
      <c r="Z546" s="485"/>
      <c r="AA546" s="485"/>
    </row>
    <row r="547">
      <c r="A547" s="486"/>
      <c r="B547" s="482"/>
      <c r="C547" s="497"/>
      <c r="D547" s="497"/>
      <c r="E547" s="497"/>
      <c r="F547" s="497"/>
      <c r="G547" s="497"/>
      <c r="H547" s="497"/>
      <c r="I547" s="497"/>
      <c r="J547" s="497"/>
      <c r="K547" s="497"/>
      <c r="L547" s="485"/>
      <c r="M547" s="485"/>
      <c r="N547" s="485"/>
      <c r="O547" s="485"/>
      <c r="P547" s="485"/>
      <c r="Q547" s="485"/>
      <c r="R547" s="485"/>
      <c r="S547" s="485"/>
      <c r="T547" s="485"/>
      <c r="U547" s="485"/>
      <c r="V547" s="485"/>
      <c r="W547" s="485"/>
      <c r="X547" s="485"/>
      <c r="Y547" s="485"/>
      <c r="Z547" s="485"/>
      <c r="AA547" s="485"/>
    </row>
    <row r="548">
      <c r="A548" s="486"/>
      <c r="B548" s="482"/>
      <c r="C548" s="497"/>
      <c r="D548" s="497"/>
      <c r="E548" s="497"/>
      <c r="F548" s="497"/>
      <c r="G548" s="497"/>
      <c r="H548" s="497"/>
      <c r="I548" s="497"/>
      <c r="J548" s="497"/>
      <c r="K548" s="497"/>
      <c r="L548" s="485"/>
      <c r="M548" s="485"/>
      <c r="N548" s="485"/>
      <c r="O548" s="485"/>
      <c r="P548" s="485"/>
      <c r="Q548" s="485"/>
      <c r="R548" s="485"/>
      <c r="S548" s="485"/>
      <c r="T548" s="485"/>
      <c r="U548" s="485"/>
      <c r="V548" s="485"/>
      <c r="W548" s="485"/>
      <c r="X548" s="485"/>
      <c r="Y548" s="485"/>
      <c r="Z548" s="485"/>
      <c r="AA548" s="485"/>
    </row>
    <row r="549">
      <c r="A549" s="486"/>
      <c r="B549" s="482"/>
      <c r="C549" s="497"/>
      <c r="D549" s="497"/>
      <c r="E549" s="497"/>
      <c r="F549" s="497"/>
      <c r="G549" s="497"/>
      <c r="H549" s="497"/>
      <c r="I549" s="497"/>
      <c r="J549" s="497"/>
      <c r="K549" s="497"/>
      <c r="L549" s="485"/>
      <c r="M549" s="485"/>
      <c r="N549" s="485"/>
      <c r="O549" s="485"/>
      <c r="P549" s="485"/>
      <c r="Q549" s="485"/>
      <c r="R549" s="485"/>
      <c r="S549" s="485"/>
      <c r="T549" s="485"/>
      <c r="U549" s="485"/>
      <c r="V549" s="485"/>
      <c r="W549" s="485"/>
      <c r="X549" s="485"/>
      <c r="Y549" s="485"/>
      <c r="Z549" s="485"/>
      <c r="AA549" s="485"/>
    </row>
    <row r="550">
      <c r="A550" s="486"/>
      <c r="B550" s="482"/>
      <c r="C550" s="497"/>
      <c r="D550" s="497"/>
      <c r="E550" s="497"/>
      <c r="F550" s="497"/>
      <c r="G550" s="497"/>
      <c r="H550" s="497"/>
      <c r="I550" s="497"/>
      <c r="J550" s="497"/>
      <c r="K550" s="497"/>
      <c r="L550" s="485"/>
      <c r="M550" s="485"/>
      <c r="N550" s="485"/>
      <c r="O550" s="485"/>
      <c r="P550" s="485"/>
      <c r="Q550" s="485"/>
      <c r="R550" s="485"/>
      <c r="S550" s="485"/>
      <c r="T550" s="485"/>
      <c r="U550" s="485"/>
      <c r="V550" s="485"/>
      <c r="W550" s="485"/>
      <c r="X550" s="485"/>
      <c r="Y550" s="485"/>
      <c r="Z550" s="485"/>
      <c r="AA550" s="485"/>
    </row>
    <row r="551">
      <c r="A551" s="486"/>
      <c r="B551" s="482"/>
      <c r="C551" s="497"/>
      <c r="D551" s="497"/>
      <c r="E551" s="497"/>
      <c r="F551" s="497"/>
      <c r="G551" s="497"/>
      <c r="H551" s="497"/>
      <c r="I551" s="497"/>
      <c r="J551" s="497"/>
      <c r="K551" s="497"/>
      <c r="L551" s="485"/>
      <c r="M551" s="485"/>
      <c r="N551" s="485"/>
      <c r="O551" s="485"/>
      <c r="P551" s="485"/>
      <c r="Q551" s="485"/>
      <c r="R551" s="485"/>
      <c r="S551" s="485"/>
      <c r="T551" s="485"/>
      <c r="U551" s="485"/>
      <c r="V551" s="485"/>
      <c r="W551" s="485"/>
      <c r="X551" s="485"/>
      <c r="Y551" s="485"/>
      <c r="Z551" s="485"/>
      <c r="AA551" s="485"/>
    </row>
    <row r="552">
      <c r="A552" s="486"/>
      <c r="B552" s="482"/>
      <c r="C552" s="497"/>
      <c r="D552" s="497"/>
      <c r="E552" s="497"/>
      <c r="F552" s="497"/>
      <c r="G552" s="497"/>
      <c r="H552" s="497"/>
      <c r="I552" s="497"/>
      <c r="J552" s="497"/>
      <c r="K552" s="497"/>
      <c r="L552" s="485"/>
      <c r="M552" s="485"/>
      <c r="N552" s="485"/>
      <c r="O552" s="485"/>
      <c r="P552" s="485"/>
      <c r="Q552" s="485"/>
      <c r="R552" s="485"/>
      <c r="S552" s="485"/>
      <c r="T552" s="485"/>
      <c r="U552" s="485"/>
      <c r="V552" s="485"/>
      <c r="W552" s="485"/>
      <c r="X552" s="485"/>
      <c r="Y552" s="485"/>
      <c r="Z552" s="485"/>
      <c r="AA552" s="485"/>
    </row>
    <row r="553">
      <c r="A553" s="486"/>
      <c r="B553" s="482"/>
      <c r="C553" s="497"/>
      <c r="D553" s="497"/>
      <c r="E553" s="497"/>
      <c r="F553" s="497"/>
      <c r="G553" s="497"/>
      <c r="H553" s="497"/>
      <c r="I553" s="497"/>
      <c r="J553" s="497"/>
      <c r="K553" s="497"/>
      <c r="L553" s="485"/>
      <c r="M553" s="485"/>
      <c r="N553" s="485"/>
      <c r="O553" s="485"/>
      <c r="P553" s="485"/>
      <c r="Q553" s="485"/>
      <c r="R553" s="485"/>
      <c r="S553" s="485"/>
      <c r="T553" s="485"/>
      <c r="U553" s="485"/>
      <c r="V553" s="485"/>
      <c r="W553" s="485"/>
      <c r="X553" s="485"/>
      <c r="Y553" s="485"/>
      <c r="Z553" s="485"/>
      <c r="AA553" s="485"/>
    </row>
    <row r="554">
      <c r="A554" s="486"/>
      <c r="B554" s="482"/>
      <c r="C554" s="497"/>
      <c r="D554" s="497"/>
      <c r="E554" s="497"/>
      <c r="F554" s="497"/>
      <c r="G554" s="497"/>
      <c r="H554" s="497"/>
      <c r="I554" s="497"/>
      <c r="J554" s="497"/>
      <c r="K554" s="497"/>
      <c r="L554" s="485"/>
      <c r="M554" s="485"/>
      <c r="N554" s="485"/>
      <c r="O554" s="485"/>
      <c r="P554" s="485"/>
      <c r="Q554" s="485"/>
      <c r="R554" s="485"/>
      <c r="S554" s="485"/>
      <c r="T554" s="485"/>
      <c r="U554" s="485"/>
      <c r="V554" s="485"/>
      <c r="W554" s="485"/>
      <c r="X554" s="485"/>
      <c r="Y554" s="485"/>
      <c r="Z554" s="485"/>
      <c r="AA554" s="485"/>
    </row>
    <row r="555">
      <c r="A555" s="486"/>
      <c r="B555" s="482"/>
      <c r="C555" s="497"/>
      <c r="D555" s="497"/>
      <c r="E555" s="497"/>
      <c r="F555" s="497"/>
      <c r="G555" s="497"/>
      <c r="H555" s="497"/>
      <c r="I555" s="497"/>
      <c r="J555" s="497"/>
      <c r="K555" s="497"/>
      <c r="L555" s="485"/>
      <c r="M555" s="485"/>
      <c r="N555" s="485"/>
      <c r="O555" s="485"/>
      <c r="P555" s="485"/>
      <c r="Q555" s="485"/>
      <c r="R555" s="485"/>
      <c r="S555" s="485"/>
      <c r="T555" s="485"/>
      <c r="U555" s="485"/>
      <c r="V555" s="485"/>
      <c r="W555" s="485"/>
      <c r="X555" s="485"/>
      <c r="Y555" s="485"/>
      <c r="Z555" s="485"/>
      <c r="AA555" s="485"/>
    </row>
    <row r="556">
      <c r="A556" s="486"/>
      <c r="B556" s="482"/>
      <c r="C556" s="497"/>
      <c r="D556" s="497"/>
      <c r="E556" s="497"/>
      <c r="F556" s="497"/>
      <c r="G556" s="497"/>
      <c r="H556" s="497"/>
      <c r="I556" s="497"/>
      <c r="J556" s="497"/>
      <c r="K556" s="497"/>
      <c r="L556" s="485"/>
      <c r="M556" s="485"/>
      <c r="N556" s="485"/>
      <c r="O556" s="485"/>
      <c r="P556" s="485"/>
      <c r="Q556" s="485"/>
      <c r="R556" s="485"/>
      <c r="S556" s="485"/>
      <c r="T556" s="485"/>
      <c r="U556" s="485"/>
      <c r="V556" s="485"/>
      <c r="W556" s="485"/>
      <c r="X556" s="485"/>
      <c r="Y556" s="485"/>
      <c r="Z556" s="485"/>
      <c r="AA556" s="485"/>
    </row>
    <row r="557">
      <c r="A557" s="486"/>
      <c r="B557" s="482"/>
      <c r="C557" s="497"/>
      <c r="D557" s="497"/>
      <c r="E557" s="497"/>
      <c r="F557" s="497"/>
      <c r="G557" s="497"/>
      <c r="H557" s="497"/>
      <c r="I557" s="497"/>
      <c r="J557" s="497"/>
      <c r="K557" s="497"/>
      <c r="L557" s="485"/>
      <c r="M557" s="485"/>
      <c r="N557" s="485"/>
      <c r="O557" s="485"/>
      <c r="P557" s="485"/>
      <c r="Q557" s="485"/>
      <c r="R557" s="485"/>
      <c r="S557" s="485"/>
      <c r="T557" s="485"/>
      <c r="U557" s="485"/>
      <c r="V557" s="485"/>
      <c r="W557" s="485"/>
      <c r="X557" s="485"/>
      <c r="Y557" s="485"/>
      <c r="Z557" s="485"/>
      <c r="AA557" s="485"/>
    </row>
    <row r="558">
      <c r="A558" s="486"/>
      <c r="B558" s="482"/>
      <c r="C558" s="497"/>
      <c r="D558" s="497"/>
      <c r="E558" s="497"/>
      <c r="F558" s="497"/>
      <c r="G558" s="497"/>
      <c r="H558" s="497"/>
      <c r="I558" s="497"/>
      <c r="J558" s="497"/>
      <c r="K558" s="497"/>
      <c r="L558" s="485"/>
      <c r="M558" s="485"/>
      <c r="N558" s="485"/>
      <c r="O558" s="485"/>
      <c r="P558" s="485"/>
      <c r="Q558" s="485"/>
      <c r="R558" s="485"/>
      <c r="S558" s="485"/>
      <c r="T558" s="485"/>
      <c r="U558" s="485"/>
      <c r="V558" s="485"/>
      <c r="W558" s="485"/>
      <c r="X558" s="485"/>
      <c r="Y558" s="485"/>
      <c r="Z558" s="485"/>
      <c r="AA558" s="485"/>
    </row>
    <row r="559">
      <c r="A559" s="486"/>
      <c r="B559" s="482"/>
      <c r="C559" s="497"/>
      <c r="D559" s="497"/>
      <c r="E559" s="497"/>
      <c r="F559" s="497"/>
      <c r="G559" s="497"/>
      <c r="H559" s="497"/>
      <c r="I559" s="497"/>
      <c r="J559" s="497"/>
      <c r="K559" s="497"/>
      <c r="L559" s="485"/>
      <c r="M559" s="485"/>
      <c r="N559" s="485"/>
      <c r="O559" s="485"/>
      <c r="P559" s="485"/>
      <c r="Q559" s="485"/>
      <c r="R559" s="485"/>
      <c r="S559" s="485"/>
      <c r="T559" s="485"/>
      <c r="U559" s="485"/>
      <c r="V559" s="485"/>
      <c r="W559" s="485"/>
      <c r="X559" s="485"/>
      <c r="Y559" s="485"/>
      <c r="Z559" s="485"/>
      <c r="AA559" s="485"/>
    </row>
    <row r="560">
      <c r="A560" s="486"/>
      <c r="B560" s="482"/>
      <c r="C560" s="497"/>
      <c r="D560" s="497"/>
      <c r="E560" s="497"/>
      <c r="F560" s="497"/>
      <c r="G560" s="497"/>
      <c r="H560" s="497"/>
      <c r="I560" s="497"/>
      <c r="J560" s="497"/>
      <c r="K560" s="497"/>
      <c r="L560" s="485"/>
      <c r="M560" s="485"/>
      <c r="N560" s="485"/>
      <c r="O560" s="485"/>
      <c r="P560" s="485"/>
      <c r="Q560" s="485"/>
      <c r="R560" s="485"/>
      <c r="S560" s="485"/>
      <c r="T560" s="485"/>
      <c r="U560" s="485"/>
      <c r="V560" s="485"/>
      <c r="W560" s="485"/>
      <c r="X560" s="485"/>
      <c r="Y560" s="485"/>
      <c r="Z560" s="485"/>
      <c r="AA560" s="485"/>
    </row>
    <row r="561">
      <c r="A561" s="486"/>
      <c r="B561" s="482"/>
      <c r="C561" s="497"/>
      <c r="D561" s="497"/>
      <c r="E561" s="497"/>
      <c r="F561" s="497"/>
      <c r="G561" s="497"/>
      <c r="H561" s="497"/>
      <c r="I561" s="497"/>
      <c r="J561" s="497"/>
      <c r="K561" s="497"/>
      <c r="L561" s="485"/>
      <c r="M561" s="485"/>
      <c r="N561" s="485"/>
      <c r="O561" s="485"/>
      <c r="P561" s="485"/>
      <c r="Q561" s="485"/>
      <c r="R561" s="485"/>
      <c r="S561" s="485"/>
      <c r="T561" s="485"/>
      <c r="U561" s="485"/>
      <c r="V561" s="485"/>
      <c r="W561" s="485"/>
      <c r="X561" s="485"/>
      <c r="Y561" s="485"/>
      <c r="Z561" s="485"/>
      <c r="AA561" s="485"/>
    </row>
    <row r="562">
      <c r="A562" s="486"/>
      <c r="B562" s="482"/>
      <c r="C562" s="497"/>
      <c r="D562" s="497"/>
      <c r="E562" s="497"/>
      <c r="F562" s="497"/>
      <c r="G562" s="497"/>
      <c r="H562" s="497"/>
      <c r="I562" s="497"/>
      <c r="J562" s="497"/>
      <c r="K562" s="497"/>
      <c r="L562" s="485"/>
      <c r="M562" s="485"/>
      <c r="N562" s="485"/>
      <c r="O562" s="485"/>
      <c r="P562" s="485"/>
      <c r="Q562" s="485"/>
      <c r="R562" s="485"/>
      <c r="S562" s="485"/>
      <c r="T562" s="485"/>
      <c r="U562" s="485"/>
      <c r="V562" s="485"/>
      <c r="W562" s="485"/>
      <c r="X562" s="485"/>
      <c r="Y562" s="485"/>
      <c r="Z562" s="485"/>
      <c r="AA562" s="485"/>
    </row>
    <row r="563">
      <c r="A563" s="486"/>
      <c r="B563" s="482"/>
      <c r="C563" s="497"/>
      <c r="D563" s="497"/>
      <c r="E563" s="497"/>
      <c r="F563" s="497"/>
      <c r="G563" s="497"/>
      <c r="H563" s="497"/>
      <c r="I563" s="497"/>
      <c r="J563" s="497"/>
      <c r="K563" s="497"/>
      <c r="L563" s="485"/>
      <c r="M563" s="485"/>
      <c r="N563" s="485"/>
      <c r="O563" s="485"/>
      <c r="P563" s="485"/>
      <c r="Q563" s="485"/>
      <c r="R563" s="485"/>
      <c r="S563" s="485"/>
      <c r="T563" s="485"/>
      <c r="U563" s="485"/>
      <c r="V563" s="485"/>
      <c r="W563" s="485"/>
      <c r="X563" s="485"/>
      <c r="Y563" s="485"/>
      <c r="Z563" s="485"/>
      <c r="AA563" s="485"/>
    </row>
    <row r="564">
      <c r="A564" s="486"/>
      <c r="B564" s="482"/>
      <c r="C564" s="497"/>
      <c r="D564" s="497"/>
      <c r="E564" s="497"/>
      <c r="F564" s="497"/>
      <c r="G564" s="497"/>
      <c r="H564" s="497"/>
      <c r="I564" s="497"/>
      <c r="J564" s="497"/>
      <c r="K564" s="497"/>
      <c r="L564" s="485"/>
      <c r="M564" s="485"/>
      <c r="N564" s="485"/>
      <c r="O564" s="485"/>
      <c r="P564" s="485"/>
      <c r="Q564" s="485"/>
      <c r="R564" s="485"/>
      <c r="S564" s="485"/>
      <c r="T564" s="485"/>
      <c r="U564" s="485"/>
      <c r="V564" s="485"/>
      <c r="W564" s="485"/>
      <c r="X564" s="485"/>
      <c r="Y564" s="485"/>
      <c r="Z564" s="485"/>
      <c r="AA564" s="485"/>
    </row>
    <row r="565">
      <c r="A565" s="486"/>
      <c r="B565" s="482"/>
      <c r="C565" s="497"/>
      <c r="D565" s="497"/>
      <c r="E565" s="497"/>
      <c r="F565" s="497"/>
      <c r="G565" s="497"/>
      <c r="H565" s="497"/>
      <c r="I565" s="497"/>
      <c r="J565" s="497"/>
      <c r="K565" s="497"/>
      <c r="L565" s="485"/>
      <c r="M565" s="485"/>
      <c r="N565" s="485"/>
      <c r="O565" s="485"/>
      <c r="P565" s="485"/>
      <c r="Q565" s="485"/>
      <c r="R565" s="485"/>
      <c r="S565" s="485"/>
      <c r="T565" s="485"/>
      <c r="U565" s="485"/>
      <c r="V565" s="485"/>
      <c r="W565" s="485"/>
      <c r="X565" s="485"/>
      <c r="Y565" s="485"/>
      <c r="Z565" s="485"/>
      <c r="AA565" s="485"/>
    </row>
    <row r="566">
      <c r="A566" s="486"/>
      <c r="B566" s="482"/>
      <c r="C566" s="497"/>
      <c r="D566" s="497"/>
      <c r="E566" s="497"/>
      <c r="F566" s="497"/>
      <c r="G566" s="497"/>
      <c r="H566" s="497"/>
      <c r="I566" s="497"/>
      <c r="J566" s="497"/>
      <c r="K566" s="497"/>
      <c r="L566" s="485"/>
      <c r="M566" s="485"/>
      <c r="N566" s="485"/>
      <c r="O566" s="485"/>
      <c r="P566" s="485"/>
      <c r="Q566" s="485"/>
      <c r="R566" s="485"/>
      <c r="S566" s="485"/>
      <c r="T566" s="485"/>
      <c r="U566" s="485"/>
      <c r="V566" s="485"/>
      <c r="W566" s="485"/>
      <c r="X566" s="485"/>
      <c r="Y566" s="485"/>
      <c r="Z566" s="485"/>
      <c r="AA566" s="485"/>
    </row>
    <row r="567">
      <c r="A567" s="486"/>
      <c r="B567" s="482"/>
      <c r="C567" s="497"/>
      <c r="D567" s="497"/>
      <c r="E567" s="497"/>
      <c r="F567" s="497"/>
      <c r="G567" s="497"/>
      <c r="H567" s="497"/>
      <c r="I567" s="497"/>
      <c r="J567" s="497"/>
      <c r="K567" s="497"/>
      <c r="L567" s="485"/>
      <c r="M567" s="485"/>
      <c r="N567" s="485"/>
      <c r="O567" s="485"/>
      <c r="P567" s="485"/>
      <c r="Q567" s="485"/>
      <c r="R567" s="485"/>
      <c r="S567" s="485"/>
      <c r="T567" s="485"/>
      <c r="U567" s="485"/>
      <c r="V567" s="485"/>
      <c r="W567" s="485"/>
      <c r="X567" s="485"/>
      <c r="Y567" s="485"/>
      <c r="Z567" s="485"/>
      <c r="AA567" s="485"/>
    </row>
    <row r="568">
      <c r="A568" s="486"/>
      <c r="B568" s="482"/>
      <c r="C568" s="497"/>
      <c r="D568" s="497"/>
      <c r="E568" s="497"/>
      <c r="F568" s="497"/>
      <c r="G568" s="497"/>
      <c r="H568" s="497"/>
      <c r="I568" s="497"/>
      <c r="J568" s="497"/>
      <c r="K568" s="497"/>
      <c r="L568" s="485"/>
      <c r="M568" s="485"/>
      <c r="N568" s="485"/>
      <c r="O568" s="485"/>
      <c r="P568" s="485"/>
      <c r="Q568" s="485"/>
      <c r="R568" s="485"/>
      <c r="S568" s="485"/>
      <c r="T568" s="485"/>
      <c r="U568" s="485"/>
      <c r="V568" s="485"/>
      <c r="W568" s="485"/>
      <c r="X568" s="485"/>
      <c r="Y568" s="485"/>
      <c r="Z568" s="485"/>
      <c r="AA568" s="485"/>
    </row>
    <row r="569">
      <c r="A569" s="486"/>
      <c r="B569" s="482"/>
      <c r="C569" s="497"/>
      <c r="D569" s="497"/>
      <c r="E569" s="497"/>
      <c r="F569" s="497"/>
      <c r="G569" s="497"/>
      <c r="H569" s="497"/>
      <c r="I569" s="497"/>
      <c r="J569" s="497"/>
      <c r="K569" s="497"/>
      <c r="L569" s="485"/>
      <c r="M569" s="485"/>
      <c r="N569" s="485"/>
      <c r="O569" s="485"/>
      <c r="P569" s="485"/>
      <c r="Q569" s="485"/>
      <c r="R569" s="485"/>
      <c r="S569" s="485"/>
      <c r="T569" s="485"/>
      <c r="U569" s="485"/>
      <c r="V569" s="485"/>
      <c r="W569" s="485"/>
      <c r="X569" s="485"/>
      <c r="Y569" s="485"/>
      <c r="Z569" s="485"/>
      <c r="AA569" s="485"/>
    </row>
    <row r="570">
      <c r="A570" s="486"/>
      <c r="B570" s="482"/>
      <c r="C570" s="497"/>
      <c r="D570" s="497"/>
      <c r="E570" s="497"/>
      <c r="F570" s="497"/>
      <c r="G570" s="497"/>
      <c r="H570" s="497"/>
      <c r="I570" s="497"/>
      <c r="J570" s="497"/>
      <c r="K570" s="497"/>
      <c r="L570" s="485"/>
      <c r="M570" s="485"/>
      <c r="N570" s="485"/>
      <c r="O570" s="485"/>
      <c r="P570" s="485"/>
      <c r="Q570" s="485"/>
      <c r="R570" s="485"/>
      <c r="S570" s="485"/>
      <c r="T570" s="485"/>
      <c r="U570" s="485"/>
      <c r="V570" s="485"/>
      <c r="W570" s="485"/>
      <c r="X570" s="485"/>
      <c r="Y570" s="485"/>
      <c r="Z570" s="485"/>
      <c r="AA570" s="485"/>
    </row>
    <row r="571">
      <c r="A571" s="486"/>
      <c r="B571" s="482"/>
      <c r="C571" s="497"/>
      <c r="D571" s="497"/>
      <c r="E571" s="497"/>
      <c r="F571" s="497"/>
      <c r="G571" s="497"/>
      <c r="H571" s="497"/>
      <c r="I571" s="497"/>
      <c r="J571" s="497"/>
      <c r="K571" s="497"/>
      <c r="L571" s="485"/>
      <c r="M571" s="485"/>
      <c r="N571" s="485"/>
      <c r="O571" s="485"/>
      <c r="P571" s="485"/>
      <c r="Q571" s="485"/>
      <c r="R571" s="485"/>
      <c r="S571" s="485"/>
      <c r="T571" s="485"/>
      <c r="U571" s="485"/>
      <c r="V571" s="485"/>
      <c r="W571" s="485"/>
      <c r="X571" s="485"/>
      <c r="Y571" s="485"/>
      <c r="Z571" s="485"/>
      <c r="AA571" s="485"/>
    </row>
    <row r="572">
      <c r="A572" s="486"/>
      <c r="B572" s="482"/>
      <c r="C572" s="497"/>
      <c r="D572" s="497"/>
      <c r="E572" s="497"/>
      <c r="F572" s="497"/>
      <c r="G572" s="497"/>
      <c r="H572" s="497"/>
      <c r="I572" s="497"/>
      <c r="J572" s="497"/>
      <c r="K572" s="497"/>
      <c r="L572" s="485"/>
      <c r="M572" s="485"/>
      <c r="N572" s="485"/>
      <c r="O572" s="485"/>
      <c r="P572" s="485"/>
      <c r="Q572" s="485"/>
      <c r="R572" s="485"/>
      <c r="S572" s="485"/>
      <c r="T572" s="485"/>
      <c r="U572" s="485"/>
      <c r="V572" s="485"/>
      <c r="W572" s="485"/>
      <c r="X572" s="485"/>
      <c r="Y572" s="485"/>
      <c r="Z572" s="485"/>
      <c r="AA572" s="485"/>
    </row>
    <row r="573">
      <c r="A573" s="486"/>
      <c r="B573" s="482"/>
      <c r="C573" s="497"/>
      <c r="D573" s="497"/>
      <c r="E573" s="497"/>
      <c r="F573" s="497"/>
      <c r="G573" s="497"/>
      <c r="H573" s="497"/>
      <c r="I573" s="497"/>
      <c r="J573" s="497"/>
      <c r="K573" s="497"/>
      <c r="L573" s="485"/>
      <c r="M573" s="485"/>
      <c r="N573" s="485"/>
      <c r="O573" s="485"/>
      <c r="P573" s="485"/>
      <c r="Q573" s="485"/>
      <c r="R573" s="485"/>
      <c r="S573" s="485"/>
      <c r="T573" s="485"/>
      <c r="U573" s="485"/>
      <c r="V573" s="485"/>
      <c r="W573" s="485"/>
      <c r="X573" s="485"/>
      <c r="Y573" s="485"/>
      <c r="Z573" s="485"/>
      <c r="AA573" s="485"/>
    </row>
    <row r="574">
      <c r="A574" s="486"/>
      <c r="B574" s="482"/>
      <c r="C574" s="497"/>
      <c r="D574" s="497"/>
      <c r="E574" s="497"/>
      <c r="F574" s="497"/>
      <c r="G574" s="497"/>
      <c r="H574" s="497"/>
      <c r="I574" s="497"/>
      <c r="J574" s="497"/>
      <c r="K574" s="497"/>
      <c r="L574" s="485"/>
      <c r="M574" s="485"/>
      <c r="N574" s="485"/>
      <c r="O574" s="485"/>
      <c r="P574" s="485"/>
      <c r="Q574" s="485"/>
      <c r="R574" s="485"/>
      <c r="S574" s="485"/>
      <c r="T574" s="485"/>
      <c r="U574" s="485"/>
      <c r="V574" s="485"/>
      <c r="W574" s="485"/>
      <c r="X574" s="485"/>
      <c r="Y574" s="485"/>
      <c r="Z574" s="485"/>
      <c r="AA574" s="485"/>
    </row>
    <row r="575">
      <c r="A575" s="486"/>
      <c r="B575" s="482"/>
      <c r="C575" s="497"/>
      <c r="D575" s="497"/>
      <c r="E575" s="497"/>
      <c r="F575" s="497"/>
      <c r="G575" s="497"/>
      <c r="H575" s="497"/>
      <c r="I575" s="497"/>
      <c r="J575" s="497"/>
      <c r="K575" s="497"/>
      <c r="L575" s="485"/>
      <c r="M575" s="485"/>
      <c r="N575" s="485"/>
      <c r="O575" s="485"/>
      <c r="P575" s="485"/>
      <c r="Q575" s="485"/>
      <c r="R575" s="485"/>
      <c r="S575" s="485"/>
      <c r="T575" s="485"/>
      <c r="U575" s="485"/>
      <c r="V575" s="485"/>
      <c r="W575" s="485"/>
      <c r="X575" s="485"/>
      <c r="Y575" s="485"/>
      <c r="Z575" s="485"/>
      <c r="AA575" s="485"/>
    </row>
    <row r="576">
      <c r="A576" s="486"/>
      <c r="B576" s="482"/>
      <c r="C576" s="497"/>
      <c r="D576" s="497"/>
      <c r="E576" s="497"/>
      <c r="F576" s="497"/>
      <c r="G576" s="497"/>
      <c r="H576" s="497"/>
      <c r="I576" s="497"/>
      <c r="J576" s="497"/>
      <c r="K576" s="497"/>
      <c r="L576" s="485"/>
      <c r="M576" s="485"/>
      <c r="N576" s="485"/>
      <c r="O576" s="485"/>
      <c r="P576" s="485"/>
      <c r="Q576" s="485"/>
      <c r="R576" s="485"/>
      <c r="S576" s="485"/>
      <c r="T576" s="485"/>
      <c r="U576" s="485"/>
      <c r="V576" s="485"/>
      <c r="W576" s="485"/>
      <c r="X576" s="485"/>
      <c r="Y576" s="485"/>
      <c r="Z576" s="485"/>
      <c r="AA576" s="485"/>
    </row>
    <row r="577">
      <c r="A577" s="486"/>
      <c r="B577" s="482"/>
      <c r="C577" s="497"/>
      <c r="D577" s="497"/>
      <c r="E577" s="497"/>
      <c r="F577" s="497"/>
      <c r="G577" s="497"/>
      <c r="H577" s="497"/>
      <c r="I577" s="497"/>
      <c r="J577" s="497"/>
      <c r="K577" s="497"/>
      <c r="L577" s="485"/>
      <c r="M577" s="485"/>
      <c r="N577" s="485"/>
      <c r="O577" s="485"/>
      <c r="P577" s="485"/>
      <c r="Q577" s="485"/>
      <c r="R577" s="485"/>
      <c r="S577" s="485"/>
      <c r="T577" s="485"/>
      <c r="U577" s="485"/>
      <c r="V577" s="485"/>
      <c r="W577" s="485"/>
      <c r="X577" s="485"/>
      <c r="Y577" s="485"/>
      <c r="Z577" s="485"/>
      <c r="AA577" s="485"/>
    </row>
    <row r="578">
      <c r="A578" s="486"/>
      <c r="B578" s="482"/>
      <c r="C578" s="497"/>
      <c r="D578" s="497"/>
      <c r="E578" s="497"/>
      <c r="F578" s="497"/>
      <c r="G578" s="497"/>
      <c r="H578" s="497"/>
      <c r="I578" s="497"/>
      <c r="J578" s="497"/>
      <c r="K578" s="497"/>
      <c r="L578" s="485"/>
      <c r="M578" s="485"/>
      <c r="N578" s="485"/>
      <c r="O578" s="485"/>
      <c r="P578" s="485"/>
      <c r="Q578" s="485"/>
      <c r="R578" s="485"/>
      <c r="S578" s="485"/>
      <c r="T578" s="485"/>
      <c r="U578" s="485"/>
      <c r="V578" s="485"/>
      <c r="W578" s="485"/>
      <c r="X578" s="485"/>
      <c r="Y578" s="485"/>
      <c r="Z578" s="485"/>
      <c r="AA578" s="485"/>
    </row>
    <row r="579">
      <c r="A579" s="486"/>
      <c r="B579" s="482"/>
      <c r="C579" s="497"/>
      <c r="D579" s="497"/>
      <c r="E579" s="497"/>
      <c r="F579" s="497"/>
      <c r="G579" s="497"/>
      <c r="H579" s="497"/>
      <c r="I579" s="497"/>
      <c r="J579" s="497"/>
      <c r="K579" s="497"/>
      <c r="L579" s="485"/>
      <c r="M579" s="485"/>
      <c r="N579" s="485"/>
      <c r="O579" s="485"/>
      <c r="P579" s="485"/>
      <c r="Q579" s="485"/>
      <c r="R579" s="485"/>
      <c r="S579" s="485"/>
      <c r="T579" s="485"/>
      <c r="U579" s="485"/>
      <c r="V579" s="485"/>
      <c r="W579" s="485"/>
      <c r="X579" s="485"/>
      <c r="Y579" s="485"/>
      <c r="Z579" s="485"/>
      <c r="AA579" s="485"/>
    </row>
    <row r="580">
      <c r="A580" s="486"/>
      <c r="B580" s="482"/>
      <c r="C580" s="497"/>
      <c r="D580" s="497"/>
      <c r="E580" s="497"/>
      <c r="F580" s="497"/>
      <c r="G580" s="497"/>
      <c r="H580" s="497"/>
      <c r="I580" s="497"/>
      <c r="J580" s="497"/>
      <c r="K580" s="497"/>
      <c r="L580" s="485"/>
      <c r="M580" s="485"/>
      <c r="N580" s="485"/>
      <c r="O580" s="485"/>
      <c r="P580" s="485"/>
      <c r="Q580" s="485"/>
      <c r="R580" s="485"/>
      <c r="S580" s="485"/>
      <c r="T580" s="485"/>
      <c r="U580" s="485"/>
      <c r="V580" s="485"/>
      <c r="W580" s="485"/>
      <c r="X580" s="485"/>
      <c r="Y580" s="485"/>
      <c r="Z580" s="485"/>
      <c r="AA580" s="485"/>
    </row>
    <row r="581">
      <c r="A581" s="486"/>
      <c r="B581" s="482"/>
      <c r="C581" s="497"/>
      <c r="D581" s="497"/>
      <c r="E581" s="497"/>
      <c r="F581" s="497"/>
      <c r="G581" s="497"/>
      <c r="H581" s="497"/>
      <c r="I581" s="497"/>
      <c r="J581" s="497"/>
      <c r="K581" s="497"/>
      <c r="L581" s="485"/>
      <c r="M581" s="485"/>
      <c r="N581" s="485"/>
      <c r="O581" s="485"/>
      <c r="P581" s="485"/>
      <c r="Q581" s="485"/>
      <c r="R581" s="485"/>
      <c r="S581" s="485"/>
      <c r="T581" s="485"/>
      <c r="U581" s="485"/>
      <c r="V581" s="485"/>
      <c r="W581" s="485"/>
      <c r="X581" s="485"/>
      <c r="Y581" s="485"/>
      <c r="Z581" s="485"/>
      <c r="AA581" s="485"/>
    </row>
    <row r="582">
      <c r="A582" s="486"/>
      <c r="B582" s="482"/>
      <c r="C582" s="497"/>
      <c r="D582" s="497"/>
      <c r="E582" s="497"/>
      <c r="F582" s="497"/>
      <c r="G582" s="497"/>
      <c r="H582" s="497"/>
      <c r="I582" s="497"/>
      <c r="J582" s="497"/>
      <c r="K582" s="497"/>
      <c r="L582" s="485"/>
      <c r="M582" s="485"/>
      <c r="N582" s="485"/>
      <c r="O582" s="485"/>
      <c r="P582" s="485"/>
      <c r="Q582" s="485"/>
      <c r="R582" s="485"/>
      <c r="S582" s="485"/>
      <c r="T582" s="485"/>
      <c r="U582" s="485"/>
      <c r="V582" s="485"/>
      <c r="W582" s="485"/>
      <c r="X582" s="485"/>
      <c r="Y582" s="485"/>
      <c r="Z582" s="485"/>
      <c r="AA582" s="485"/>
    </row>
    <row r="583">
      <c r="A583" s="486"/>
      <c r="B583" s="482"/>
      <c r="C583" s="497"/>
      <c r="D583" s="497"/>
      <c r="E583" s="497"/>
      <c r="F583" s="497"/>
      <c r="G583" s="497"/>
      <c r="H583" s="497"/>
      <c r="I583" s="497"/>
      <c r="J583" s="497"/>
      <c r="K583" s="497"/>
      <c r="L583" s="485"/>
      <c r="M583" s="485"/>
      <c r="N583" s="485"/>
      <c r="O583" s="485"/>
      <c r="P583" s="485"/>
      <c r="Q583" s="485"/>
      <c r="R583" s="485"/>
      <c r="S583" s="485"/>
      <c r="T583" s="485"/>
      <c r="U583" s="485"/>
      <c r="V583" s="485"/>
      <c r="W583" s="485"/>
      <c r="X583" s="485"/>
      <c r="Y583" s="485"/>
      <c r="Z583" s="485"/>
      <c r="AA583" s="485"/>
    </row>
    <row r="584">
      <c r="A584" s="486"/>
      <c r="B584" s="482"/>
      <c r="C584" s="497"/>
      <c r="D584" s="497"/>
      <c r="E584" s="497"/>
      <c r="F584" s="497"/>
      <c r="G584" s="497"/>
      <c r="H584" s="497"/>
      <c r="I584" s="497"/>
      <c r="J584" s="497"/>
      <c r="K584" s="497"/>
      <c r="L584" s="485"/>
      <c r="M584" s="485"/>
      <c r="N584" s="485"/>
      <c r="O584" s="485"/>
      <c r="P584" s="485"/>
      <c r="Q584" s="485"/>
      <c r="R584" s="485"/>
      <c r="S584" s="485"/>
      <c r="T584" s="485"/>
      <c r="U584" s="485"/>
      <c r="V584" s="485"/>
      <c r="W584" s="485"/>
      <c r="X584" s="485"/>
      <c r="Y584" s="485"/>
      <c r="Z584" s="485"/>
      <c r="AA584" s="485"/>
    </row>
    <row r="585">
      <c r="A585" s="486"/>
      <c r="B585" s="482"/>
      <c r="C585" s="497"/>
      <c r="D585" s="497"/>
      <c r="E585" s="497"/>
      <c r="F585" s="497"/>
      <c r="G585" s="497"/>
      <c r="H585" s="497"/>
      <c r="I585" s="497"/>
      <c r="J585" s="497"/>
      <c r="K585" s="497"/>
      <c r="L585" s="485"/>
      <c r="M585" s="485"/>
      <c r="N585" s="485"/>
      <c r="O585" s="485"/>
      <c r="P585" s="485"/>
      <c r="Q585" s="485"/>
      <c r="R585" s="485"/>
      <c r="S585" s="485"/>
      <c r="T585" s="485"/>
      <c r="U585" s="485"/>
      <c r="V585" s="485"/>
      <c r="W585" s="485"/>
      <c r="X585" s="485"/>
      <c r="Y585" s="485"/>
      <c r="Z585" s="485"/>
      <c r="AA585" s="485"/>
    </row>
    <row r="586">
      <c r="A586" s="486"/>
      <c r="B586" s="482"/>
      <c r="C586" s="497"/>
      <c r="D586" s="497"/>
      <c r="E586" s="497"/>
      <c r="F586" s="497"/>
      <c r="G586" s="497"/>
      <c r="H586" s="497"/>
      <c r="I586" s="497"/>
      <c r="J586" s="497"/>
      <c r="K586" s="497"/>
      <c r="L586" s="485"/>
      <c r="M586" s="485"/>
      <c r="N586" s="485"/>
      <c r="O586" s="485"/>
      <c r="P586" s="485"/>
      <c r="Q586" s="485"/>
      <c r="R586" s="485"/>
      <c r="S586" s="485"/>
      <c r="T586" s="485"/>
      <c r="U586" s="485"/>
      <c r="V586" s="485"/>
      <c r="W586" s="485"/>
      <c r="X586" s="485"/>
      <c r="Y586" s="485"/>
      <c r="Z586" s="485"/>
      <c r="AA586" s="485"/>
    </row>
    <row r="587">
      <c r="A587" s="486"/>
      <c r="B587" s="482"/>
      <c r="C587" s="497"/>
      <c r="D587" s="497"/>
      <c r="E587" s="497"/>
      <c r="F587" s="497"/>
      <c r="G587" s="497"/>
      <c r="H587" s="497"/>
      <c r="I587" s="497"/>
      <c r="J587" s="497"/>
      <c r="K587" s="497"/>
      <c r="L587" s="485"/>
      <c r="M587" s="485"/>
      <c r="N587" s="485"/>
      <c r="O587" s="485"/>
      <c r="P587" s="485"/>
      <c r="Q587" s="485"/>
      <c r="R587" s="485"/>
      <c r="S587" s="485"/>
      <c r="T587" s="485"/>
      <c r="U587" s="485"/>
      <c r="V587" s="485"/>
      <c r="W587" s="485"/>
      <c r="X587" s="485"/>
      <c r="Y587" s="485"/>
      <c r="Z587" s="485"/>
      <c r="AA587" s="485"/>
    </row>
    <row r="588">
      <c r="A588" s="486"/>
      <c r="B588" s="482"/>
      <c r="C588" s="497"/>
      <c r="D588" s="497"/>
      <c r="E588" s="497"/>
      <c r="F588" s="497"/>
      <c r="G588" s="497"/>
      <c r="H588" s="497"/>
      <c r="I588" s="497"/>
      <c r="J588" s="497"/>
      <c r="K588" s="497"/>
      <c r="L588" s="485"/>
      <c r="M588" s="485"/>
      <c r="N588" s="485"/>
      <c r="O588" s="485"/>
      <c r="P588" s="485"/>
      <c r="Q588" s="485"/>
      <c r="R588" s="485"/>
      <c r="S588" s="485"/>
      <c r="T588" s="485"/>
      <c r="U588" s="485"/>
      <c r="V588" s="485"/>
      <c r="W588" s="485"/>
      <c r="X588" s="485"/>
      <c r="Y588" s="485"/>
      <c r="Z588" s="485"/>
      <c r="AA588" s="485"/>
    </row>
    <row r="589">
      <c r="A589" s="486"/>
      <c r="B589" s="482"/>
      <c r="C589" s="497"/>
      <c r="D589" s="497"/>
      <c r="E589" s="497"/>
      <c r="F589" s="497"/>
      <c r="G589" s="497"/>
      <c r="H589" s="497"/>
      <c r="I589" s="497"/>
      <c r="J589" s="497"/>
      <c r="K589" s="497"/>
      <c r="L589" s="485"/>
      <c r="M589" s="485"/>
      <c r="N589" s="485"/>
      <c r="O589" s="485"/>
      <c r="P589" s="485"/>
      <c r="Q589" s="485"/>
      <c r="R589" s="485"/>
      <c r="S589" s="485"/>
      <c r="T589" s="485"/>
      <c r="U589" s="485"/>
      <c r="V589" s="485"/>
      <c r="W589" s="485"/>
      <c r="X589" s="485"/>
      <c r="Y589" s="485"/>
      <c r="Z589" s="485"/>
      <c r="AA589" s="485"/>
    </row>
    <row r="590">
      <c r="A590" s="486"/>
      <c r="B590" s="482"/>
      <c r="C590" s="497"/>
      <c r="D590" s="497"/>
      <c r="E590" s="497"/>
      <c r="F590" s="497"/>
      <c r="G590" s="497"/>
      <c r="H590" s="497"/>
      <c r="I590" s="497"/>
      <c r="J590" s="497"/>
      <c r="K590" s="497"/>
      <c r="L590" s="485"/>
      <c r="M590" s="485"/>
      <c r="N590" s="485"/>
      <c r="O590" s="485"/>
      <c r="P590" s="485"/>
      <c r="Q590" s="485"/>
      <c r="R590" s="485"/>
      <c r="S590" s="485"/>
      <c r="T590" s="485"/>
      <c r="U590" s="485"/>
      <c r="V590" s="485"/>
      <c r="W590" s="485"/>
      <c r="X590" s="485"/>
      <c r="Y590" s="485"/>
      <c r="Z590" s="485"/>
      <c r="AA590" s="485"/>
    </row>
    <row r="591">
      <c r="A591" s="486"/>
      <c r="B591" s="482"/>
      <c r="C591" s="497"/>
      <c r="D591" s="497"/>
      <c r="E591" s="497"/>
      <c r="F591" s="497"/>
      <c r="G591" s="497"/>
      <c r="H591" s="497"/>
      <c r="I591" s="497"/>
      <c r="J591" s="497"/>
      <c r="K591" s="497"/>
      <c r="L591" s="485"/>
      <c r="M591" s="485"/>
      <c r="N591" s="485"/>
      <c r="O591" s="485"/>
      <c r="P591" s="485"/>
      <c r="Q591" s="485"/>
      <c r="R591" s="485"/>
      <c r="S591" s="485"/>
      <c r="T591" s="485"/>
      <c r="U591" s="485"/>
      <c r="V591" s="485"/>
      <c r="W591" s="485"/>
      <c r="X591" s="485"/>
      <c r="Y591" s="485"/>
      <c r="Z591" s="485"/>
      <c r="AA591" s="485"/>
    </row>
    <row r="592">
      <c r="A592" s="486"/>
      <c r="B592" s="482"/>
      <c r="C592" s="497"/>
      <c r="D592" s="497"/>
      <c r="E592" s="497"/>
      <c r="F592" s="497"/>
      <c r="G592" s="497"/>
      <c r="H592" s="497"/>
      <c r="I592" s="497"/>
      <c r="J592" s="497"/>
      <c r="K592" s="497"/>
      <c r="L592" s="485"/>
      <c r="M592" s="485"/>
      <c r="N592" s="485"/>
      <c r="O592" s="485"/>
      <c r="P592" s="485"/>
      <c r="Q592" s="485"/>
      <c r="R592" s="485"/>
      <c r="S592" s="485"/>
      <c r="T592" s="485"/>
      <c r="U592" s="485"/>
      <c r="V592" s="485"/>
      <c r="W592" s="485"/>
      <c r="X592" s="485"/>
      <c r="Y592" s="485"/>
      <c r="Z592" s="485"/>
      <c r="AA592" s="485"/>
    </row>
    <row r="593">
      <c r="A593" s="486"/>
      <c r="B593" s="482"/>
      <c r="C593" s="497"/>
      <c r="D593" s="497"/>
      <c r="E593" s="497"/>
      <c r="F593" s="497"/>
      <c r="G593" s="497"/>
      <c r="H593" s="497"/>
      <c r="I593" s="497"/>
      <c r="J593" s="497"/>
      <c r="K593" s="497"/>
      <c r="L593" s="485"/>
      <c r="M593" s="485"/>
      <c r="N593" s="485"/>
      <c r="O593" s="485"/>
      <c r="P593" s="485"/>
      <c r="Q593" s="485"/>
      <c r="R593" s="485"/>
      <c r="S593" s="485"/>
      <c r="T593" s="485"/>
      <c r="U593" s="485"/>
      <c r="V593" s="485"/>
      <c r="W593" s="485"/>
      <c r="X593" s="485"/>
      <c r="Y593" s="485"/>
      <c r="Z593" s="485"/>
      <c r="AA593" s="485"/>
    </row>
    <row r="594">
      <c r="A594" s="486"/>
      <c r="B594" s="482"/>
      <c r="C594" s="497"/>
      <c r="D594" s="497"/>
      <c r="E594" s="497"/>
      <c r="F594" s="497"/>
      <c r="G594" s="497"/>
      <c r="H594" s="497"/>
      <c r="I594" s="497"/>
      <c r="J594" s="497"/>
      <c r="K594" s="497"/>
      <c r="L594" s="485"/>
      <c r="M594" s="485"/>
      <c r="N594" s="485"/>
      <c r="O594" s="485"/>
      <c r="P594" s="485"/>
      <c r="Q594" s="485"/>
      <c r="R594" s="485"/>
      <c r="S594" s="485"/>
      <c r="T594" s="485"/>
      <c r="U594" s="485"/>
      <c r="V594" s="485"/>
      <c r="W594" s="485"/>
      <c r="X594" s="485"/>
      <c r="Y594" s="485"/>
      <c r="Z594" s="485"/>
      <c r="AA594" s="485"/>
    </row>
    <row r="595">
      <c r="A595" s="486"/>
      <c r="B595" s="482"/>
      <c r="C595" s="497"/>
      <c r="D595" s="497"/>
      <c r="E595" s="497"/>
      <c r="F595" s="497"/>
      <c r="G595" s="497"/>
      <c r="H595" s="497"/>
      <c r="I595" s="497"/>
      <c r="J595" s="497"/>
      <c r="K595" s="497"/>
      <c r="L595" s="485"/>
      <c r="M595" s="485"/>
      <c r="N595" s="485"/>
      <c r="O595" s="485"/>
      <c r="P595" s="485"/>
      <c r="Q595" s="485"/>
      <c r="R595" s="485"/>
      <c r="S595" s="485"/>
      <c r="T595" s="485"/>
      <c r="U595" s="485"/>
      <c r="V595" s="485"/>
      <c r="W595" s="485"/>
      <c r="X595" s="485"/>
      <c r="Y595" s="485"/>
      <c r="Z595" s="485"/>
      <c r="AA595" s="485"/>
    </row>
    <row r="596">
      <c r="A596" s="486"/>
      <c r="B596" s="482"/>
      <c r="C596" s="497"/>
      <c r="D596" s="497"/>
      <c r="E596" s="497"/>
      <c r="F596" s="497"/>
      <c r="G596" s="497"/>
      <c r="H596" s="497"/>
      <c r="I596" s="497"/>
      <c r="J596" s="497"/>
      <c r="K596" s="497"/>
      <c r="L596" s="485"/>
      <c r="M596" s="485"/>
      <c r="N596" s="485"/>
      <c r="O596" s="485"/>
      <c r="P596" s="485"/>
      <c r="Q596" s="485"/>
      <c r="R596" s="485"/>
      <c r="S596" s="485"/>
      <c r="T596" s="485"/>
      <c r="U596" s="485"/>
      <c r="V596" s="485"/>
      <c r="W596" s="485"/>
      <c r="X596" s="485"/>
      <c r="Y596" s="485"/>
      <c r="Z596" s="485"/>
      <c r="AA596" s="485"/>
    </row>
    <row r="597">
      <c r="A597" s="486"/>
      <c r="B597" s="482"/>
      <c r="C597" s="497"/>
      <c r="D597" s="497"/>
      <c r="E597" s="497"/>
      <c r="F597" s="497"/>
      <c r="G597" s="497"/>
      <c r="H597" s="497"/>
      <c r="I597" s="497"/>
      <c r="J597" s="497"/>
      <c r="K597" s="497"/>
      <c r="L597" s="485"/>
      <c r="M597" s="485"/>
      <c r="N597" s="485"/>
      <c r="O597" s="485"/>
      <c r="P597" s="485"/>
      <c r="Q597" s="485"/>
      <c r="R597" s="485"/>
      <c r="S597" s="485"/>
      <c r="T597" s="485"/>
      <c r="U597" s="485"/>
      <c r="V597" s="485"/>
      <c r="W597" s="485"/>
      <c r="X597" s="485"/>
      <c r="Y597" s="485"/>
      <c r="Z597" s="485"/>
      <c r="AA597" s="485"/>
    </row>
    <row r="598">
      <c r="A598" s="486"/>
      <c r="B598" s="482"/>
      <c r="C598" s="497"/>
      <c r="D598" s="497"/>
      <c r="E598" s="497"/>
      <c r="F598" s="497"/>
      <c r="G598" s="497"/>
      <c r="H598" s="497"/>
      <c r="I598" s="497"/>
      <c r="J598" s="497"/>
      <c r="K598" s="497"/>
      <c r="L598" s="485"/>
      <c r="M598" s="485"/>
      <c r="N598" s="485"/>
      <c r="O598" s="485"/>
      <c r="P598" s="485"/>
      <c r="Q598" s="485"/>
      <c r="R598" s="485"/>
      <c r="S598" s="485"/>
      <c r="T598" s="485"/>
      <c r="U598" s="485"/>
      <c r="V598" s="485"/>
      <c r="W598" s="485"/>
      <c r="X598" s="485"/>
      <c r="Y598" s="485"/>
      <c r="Z598" s="485"/>
      <c r="AA598" s="485"/>
    </row>
    <row r="599">
      <c r="A599" s="486"/>
      <c r="B599" s="482"/>
      <c r="C599" s="497"/>
      <c r="D599" s="497"/>
      <c r="E599" s="497"/>
      <c r="F599" s="497"/>
      <c r="G599" s="497"/>
      <c r="H599" s="497"/>
      <c r="I599" s="497"/>
      <c r="J599" s="497"/>
      <c r="K599" s="497"/>
      <c r="L599" s="485"/>
      <c r="M599" s="485"/>
      <c r="N599" s="485"/>
      <c r="O599" s="485"/>
      <c r="P599" s="485"/>
      <c r="Q599" s="485"/>
      <c r="R599" s="485"/>
      <c r="S599" s="485"/>
      <c r="T599" s="485"/>
      <c r="U599" s="485"/>
      <c r="V599" s="485"/>
      <c r="W599" s="485"/>
      <c r="X599" s="485"/>
      <c r="Y599" s="485"/>
      <c r="Z599" s="485"/>
      <c r="AA599" s="485"/>
    </row>
    <row r="600">
      <c r="A600" s="486"/>
      <c r="B600" s="482"/>
      <c r="C600" s="497"/>
      <c r="D600" s="497"/>
      <c r="E600" s="497"/>
      <c r="F600" s="497"/>
      <c r="G600" s="497"/>
      <c r="H600" s="497"/>
      <c r="I600" s="497"/>
      <c r="J600" s="497"/>
      <c r="K600" s="497"/>
      <c r="L600" s="485"/>
      <c r="M600" s="485"/>
      <c r="N600" s="485"/>
      <c r="O600" s="485"/>
      <c r="P600" s="485"/>
      <c r="Q600" s="485"/>
      <c r="R600" s="485"/>
      <c r="S600" s="485"/>
      <c r="T600" s="485"/>
      <c r="U600" s="485"/>
      <c r="V600" s="485"/>
      <c r="W600" s="485"/>
      <c r="X600" s="485"/>
      <c r="Y600" s="485"/>
      <c r="Z600" s="485"/>
      <c r="AA600" s="485"/>
    </row>
    <row r="601">
      <c r="A601" s="486"/>
      <c r="B601" s="482"/>
      <c r="C601" s="497"/>
      <c r="D601" s="497"/>
      <c r="E601" s="497"/>
      <c r="F601" s="497"/>
      <c r="G601" s="497"/>
      <c r="H601" s="497"/>
      <c r="I601" s="497"/>
      <c r="J601" s="497"/>
      <c r="K601" s="497"/>
      <c r="L601" s="485"/>
      <c r="M601" s="485"/>
      <c r="N601" s="485"/>
      <c r="O601" s="485"/>
      <c r="P601" s="485"/>
      <c r="Q601" s="485"/>
      <c r="R601" s="485"/>
      <c r="S601" s="485"/>
      <c r="T601" s="485"/>
      <c r="U601" s="485"/>
      <c r="V601" s="485"/>
      <c r="W601" s="485"/>
      <c r="X601" s="485"/>
      <c r="Y601" s="485"/>
      <c r="Z601" s="485"/>
      <c r="AA601" s="485"/>
    </row>
    <row r="602">
      <c r="A602" s="486"/>
      <c r="B602" s="482"/>
      <c r="C602" s="497"/>
      <c r="D602" s="497"/>
      <c r="E602" s="497"/>
      <c r="F602" s="497"/>
      <c r="G602" s="497"/>
      <c r="H602" s="497"/>
      <c r="I602" s="497"/>
      <c r="J602" s="497"/>
      <c r="K602" s="497"/>
      <c r="L602" s="485"/>
      <c r="M602" s="485"/>
      <c r="N602" s="485"/>
      <c r="O602" s="485"/>
      <c r="P602" s="485"/>
      <c r="Q602" s="485"/>
      <c r="R602" s="485"/>
      <c r="S602" s="485"/>
      <c r="T602" s="485"/>
      <c r="U602" s="485"/>
      <c r="V602" s="485"/>
      <c r="W602" s="485"/>
      <c r="X602" s="485"/>
      <c r="Y602" s="485"/>
      <c r="Z602" s="485"/>
      <c r="AA602" s="485"/>
    </row>
    <row r="603">
      <c r="A603" s="486"/>
      <c r="B603" s="482"/>
      <c r="C603" s="497"/>
      <c r="D603" s="497"/>
      <c r="E603" s="497"/>
      <c r="F603" s="497"/>
      <c r="G603" s="497"/>
      <c r="H603" s="497"/>
      <c r="I603" s="497"/>
      <c r="J603" s="497"/>
      <c r="K603" s="497"/>
      <c r="L603" s="485"/>
      <c r="M603" s="485"/>
      <c r="N603" s="485"/>
      <c r="O603" s="485"/>
      <c r="P603" s="485"/>
      <c r="Q603" s="485"/>
      <c r="R603" s="485"/>
      <c r="S603" s="485"/>
      <c r="T603" s="485"/>
      <c r="U603" s="485"/>
      <c r="V603" s="485"/>
      <c r="W603" s="485"/>
      <c r="X603" s="485"/>
      <c r="Y603" s="485"/>
      <c r="Z603" s="485"/>
      <c r="AA603" s="485"/>
    </row>
    <row r="604">
      <c r="A604" s="486"/>
      <c r="B604" s="482"/>
      <c r="C604" s="497"/>
      <c r="D604" s="497"/>
      <c r="E604" s="497"/>
      <c r="F604" s="497"/>
      <c r="G604" s="497"/>
      <c r="H604" s="497"/>
      <c r="I604" s="497"/>
      <c r="J604" s="497"/>
      <c r="K604" s="497"/>
      <c r="L604" s="485"/>
      <c r="M604" s="485"/>
      <c r="N604" s="485"/>
      <c r="O604" s="485"/>
      <c r="P604" s="485"/>
      <c r="Q604" s="485"/>
      <c r="R604" s="485"/>
      <c r="S604" s="485"/>
      <c r="T604" s="485"/>
      <c r="U604" s="485"/>
      <c r="V604" s="485"/>
      <c r="W604" s="485"/>
      <c r="X604" s="485"/>
      <c r="Y604" s="485"/>
      <c r="Z604" s="485"/>
      <c r="AA604" s="485"/>
    </row>
    <row r="605">
      <c r="A605" s="486"/>
      <c r="B605" s="482"/>
      <c r="C605" s="497"/>
      <c r="D605" s="497"/>
      <c r="E605" s="497"/>
      <c r="F605" s="497"/>
      <c r="G605" s="497"/>
      <c r="H605" s="497"/>
      <c r="I605" s="497"/>
      <c r="J605" s="497"/>
      <c r="K605" s="497"/>
      <c r="L605" s="485"/>
      <c r="M605" s="485"/>
      <c r="N605" s="485"/>
      <c r="O605" s="485"/>
      <c r="P605" s="485"/>
      <c r="Q605" s="485"/>
      <c r="R605" s="485"/>
      <c r="S605" s="485"/>
      <c r="T605" s="485"/>
      <c r="U605" s="485"/>
      <c r="V605" s="485"/>
      <c r="W605" s="485"/>
      <c r="X605" s="485"/>
      <c r="Y605" s="485"/>
      <c r="Z605" s="485"/>
      <c r="AA605" s="485"/>
    </row>
    <row r="606">
      <c r="A606" s="486"/>
      <c r="B606" s="482"/>
      <c r="C606" s="497"/>
      <c r="D606" s="497"/>
      <c r="E606" s="497"/>
      <c r="F606" s="497"/>
      <c r="G606" s="497"/>
      <c r="H606" s="497"/>
      <c r="I606" s="497"/>
      <c r="J606" s="497"/>
      <c r="K606" s="497"/>
      <c r="L606" s="485"/>
      <c r="M606" s="485"/>
      <c r="N606" s="485"/>
      <c r="O606" s="485"/>
      <c r="P606" s="485"/>
      <c r="Q606" s="485"/>
      <c r="R606" s="485"/>
      <c r="S606" s="485"/>
      <c r="T606" s="485"/>
      <c r="U606" s="485"/>
      <c r="V606" s="485"/>
      <c r="W606" s="485"/>
      <c r="X606" s="485"/>
      <c r="Y606" s="485"/>
      <c r="Z606" s="485"/>
      <c r="AA606" s="485"/>
    </row>
    <row r="607">
      <c r="A607" s="486"/>
      <c r="B607" s="482"/>
      <c r="C607" s="497"/>
      <c r="D607" s="497"/>
      <c r="E607" s="497"/>
      <c r="F607" s="497"/>
      <c r="G607" s="497"/>
      <c r="H607" s="497"/>
      <c r="I607" s="497"/>
      <c r="J607" s="497"/>
      <c r="K607" s="497"/>
      <c r="L607" s="485"/>
      <c r="M607" s="485"/>
      <c r="N607" s="485"/>
      <c r="O607" s="485"/>
      <c r="P607" s="485"/>
      <c r="Q607" s="485"/>
      <c r="R607" s="485"/>
      <c r="S607" s="485"/>
      <c r="T607" s="485"/>
      <c r="U607" s="485"/>
      <c r="V607" s="485"/>
      <c r="W607" s="485"/>
      <c r="X607" s="485"/>
      <c r="Y607" s="485"/>
      <c r="Z607" s="485"/>
      <c r="AA607" s="485"/>
    </row>
    <row r="608">
      <c r="A608" s="486"/>
      <c r="B608" s="482"/>
      <c r="C608" s="497"/>
      <c r="D608" s="497"/>
      <c r="E608" s="497"/>
      <c r="F608" s="497"/>
      <c r="G608" s="497"/>
      <c r="H608" s="497"/>
      <c r="I608" s="497"/>
      <c r="J608" s="497"/>
      <c r="K608" s="497"/>
      <c r="L608" s="485"/>
      <c r="M608" s="485"/>
      <c r="N608" s="485"/>
      <c r="O608" s="485"/>
      <c r="P608" s="485"/>
      <c r="Q608" s="485"/>
      <c r="R608" s="485"/>
      <c r="S608" s="485"/>
      <c r="T608" s="485"/>
      <c r="U608" s="485"/>
      <c r="V608" s="485"/>
      <c r="W608" s="485"/>
      <c r="X608" s="485"/>
      <c r="Y608" s="485"/>
      <c r="Z608" s="485"/>
      <c r="AA608" s="485"/>
    </row>
    <row r="609">
      <c r="A609" s="486"/>
      <c r="B609" s="482"/>
      <c r="C609" s="497"/>
      <c r="D609" s="497"/>
      <c r="E609" s="497"/>
      <c r="F609" s="497"/>
      <c r="G609" s="497"/>
      <c r="H609" s="497"/>
      <c r="I609" s="497"/>
      <c r="J609" s="497"/>
      <c r="K609" s="497"/>
      <c r="L609" s="485"/>
      <c r="M609" s="485"/>
      <c r="N609" s="485"/>
      <c r="O609" s="485"/>
      <c r="P609" s="485"/>
      <c r="Q609" s="485"/>
      <c r="R609" s="485"/>
      <c r="S609" s="485"/>
      <c r="T609" s="485"/>
      <c r="U609" s="485"/>
      <c r="V609" s="485"/>
      <c r="W609" s="485"/>
      <c r="X609" s="485"/>
      <c r="Y609" s="485"/>
      <c r="Z609" s="485"/>
      <c r="AA609" s="485"/>
    </row>
    <row r="610">
      <c r="A610" s="486"/>
      <c r="B610" s="482"/>
      <c r="C610" s="497"/>
      <c r="D610" s="497"/>
      <c r="E610" s="497"/>
      <c r="F610" s="497"/>
      <c r="G610" s="497"/>
      <c r="H610" s="497"/>
      <c r="I610" s="497"/>
      <c r="J610" s="497"/>
      <c r="K610" s="497"/>
      <c r="L610" s="485"/>
      <c r="M610" s="485"/>
      <c r="N610" s="485"/>
      <c r="O610" s="485"/>
      <c r="P610" s="485"/>
      <c r="Q610" s="485"/>
      <c r="R610" s="485"/>
      <c r="S610" s="485"/>
      <c r="T610" s="485"/>
      <c r="U610" s="485"/>
      <c r="V610" s="485"/>
      <c r="W610" s="485"/>
      <c r="X610" s="485"/>
      <c r="Y610" s="485"/>
      <c r="Z610" s="485"/>
      <c r="AA610" s="485"/>
    </row>
    <row r="611">
      <c r="A611" s="486"/>
      <c r="B611" s="482"/>
      <c r="C611" s="497"/>
      <c r="D611" s="497"/>
      <c r="E611" s="497"/>
      <c r="F611" s="497"/>
      <c r="G611" s="497"/>
      <c r="H611" s="497"/>
      <c r="I611" s="497"/>
      <c r="J611" s="497"/>
      <c r="K611" s="497"/>
      <c r="L611" s="485"/>
      <c r="M611" s="485"/>
      <c r="N611" s="485"/>
      <c r="O611" s="485"/>
      <c r="P611" s="485"/>
      <c r="Q611" s="485"/>
      <c r="R611" s="485"/>
      <c r="S611" s="485"/>
      <c r="T611" s="485"/>
      <c r="U611" s="485"/>
      <c r="V611" s="485"/>
      <c r="W611" s="485"/>
      <c r="X611" s="485"/>
      <c r="Y611" s="485"/>
      <c r="Z611" s="485"/>
      <c r="AA611" s="485"/>
    </row>
    <row r="612">
      <c r="A612" s="486"/>
      <c r="B612" s="482"/>
      <c r="C612" s="497"/>
      <c r="D612" s="497"/>
      <c r="E612" s="497"/>
      <c r="F612" s="497"/>
      <c r="G612" s="497"/>
      <c r="H612" s="497"/>
      <c r="I612" s="497"/>
      <c r="J612" s="497"/>
      <c r="K612" s="497"/>
      <c r="L612" s="485"/>
      <c r="M612" s="485"/>
      <c r="N612" s="485"/>
      <c r="O612" s="485"/>
      <c r="P612" s="485"/>
      <c r="Q612" s="485"/>
      <c r="R612" s="485"/>
      <c r="S612" s="485"/>
      <c r="T612" s="485"/>
      <c r="U612" s="485"/>
      <c r="V612" s="485"/>
      <c r="W612" s="485"/>
      <c r="X612" s="485"/>
      <c r="Y612" s="485"/>
      <c r="Z612" s="485"/>
      <c r="AA612" s="485"/>
    </row>
    <row r="613">
      <c r="A613" s="486"/>
      <c r="B613" s="482"/>
      <c r="C613" s="497"/>
      <c r="D613" s="497"/>
      <c r="E613" s="497"/>
      <c r="F613" s="497"/>
      <c r="G613" s="497"/>
      <c r="H613" s="497"/>
      <c r="I613" s="497"/>
      <c r="J613" s="497"/>
      <c r="K613" s="497"/>
      <c r="L613" s="485"/>
      <c r="M613" s="485"/>
      <c r="N613" s="485"/>
      <c r="O613" s="485"/>
      <c r="P613" s="485"/>
      <c r="Q613" s="485"/>
      <c r="R613" s="485"/>
      <c r="S613" s="485"/>
      <c r="T613" s="485"/>
      <c r="U613" s="485"/>
      <c r="V613" s="485"/>
      <c r="W613" s="485"/>
      <c r="X613" s="485"/>
      <c r="Y613" s="485"/>
      <c r="Z613" s="485"/>
      <c r="AA613" s="485"/>
    </row>
    <row r="614">
      <c r="A614" s="486"/>
      <c r="B614" s="482"/>
      <c r="C614" s="497"/>
      <c r="D614" s="497"/>
      <c r="E614" s="497"/>
      <c r="F614" s="497"/>
      <c r="G614" s="497"/>
      <c r="H614" s="497"/>
      <c r="I614" s="497"/>
      <c r="J614" s="497"/>
      <c r="K614" s="497"/>
      <c r="L614" s="485"/>
      <c r="M614" s="485"/>
      <c r="N614" s="485"/>
      <c r="O614" s="485"/>
      <c r="P614" s="485"/>
      <c r="Q614" s="485"/>
      <c r="R614" s="485"/>
      <c r="S614" s="485"/>
      <c r="T614" s="485"/>
      <c r="U614" s="485"/>
      <c r="V614" s="485"/>
      <c r="W614" s="485"/>
      <c r="X614" s="485"/>
      <c r="Y614" s="485"/>
      <c r="Z614" s="485"/>
      <c r="AA614" s="485"/>
    </row>
    <row r="615">
      <c r="A615" s="486"/>
      <c r="B615" s="482"/>
      <c r="C615" s="497"/>
      <c r="D615" s="497"/>
      <c r="E615" s="497"/>
      <c r="F615" s="497"/>
      <c r="G615" s="497"/>
      <c r="H615" s="497"/>
      <c r="I615" s="497"/>
      <c r="J615" s="497"/>
      <c r="K615" s="497"/>
      <c r="L615" s="485"/>
      <c r="M615" s="485"/>
      <c r="N615" s="485"/>
      <c r="O615" s="485"/>
      <c r="P615" s="485"/>
      <c r="Q615" s="485"/>
      <c r="R615" s="485"/>
      <c r="S615" s="485"/>
      <c r="T615" s="485"/>
      <c r="U615" s="485"/>
      <c r="V615" s="485"/>
      <c r="W615" s="485"/>
      <c r="X615" s="485"/>
      <c r="Y615" s="485"/>
      <c r="Z615" s="485"/>
      <c r="AA615" s="485"/>
    </row>
    <row r="616">
      <c r="A616" s="486"/>
      <c r="B616" s="482"/>
      <c r="C616" s="497"/>
      <c r="D616" s="497"/>
      <c r="E616" s="497"/>
      <c r="F616" s="497"/>
      <c r="G616" s="497"/>
      <c r="H616" s="497"/>
      <c r="I616" s="497"/>
      <c r="J616" s="497"/>
      <c r="K616" s="497"/>
      <c r="L616" s="485"/>
      <c r="M616" s="485"/>
      <c r="N616" s="485"/>
      <c r="O616" s="485"/>
      <c r="P616" s="485"/>
      <c r="Q616" s="485"/>
      <c r="R616" s="485"/>
      <c r="S616" s="485"/>
      <c r="T616" s="485"/>
      <c r="U616" s="485"/>
      <c r="V616" s="485"/>
      <c r="W616" s="485"/>
      <c r="X616" s="485"/>
      <c r="Y616" s="485"/>
      <c r="Z616" s="485"/>
      <c r="AA616" s="485"/>
    </row>
    <row r="617">
      <c r="A617" s="486"/>
      <c r="B617" s="482"/>
      <c r="C617" s="497"/>
      <c r="D617" s="497"/>
      <c r="E617" s="497"/>
      <c r="F617" s="497"/>
      <c r="G617" s="497"/>
      <c r="H617" s="497"/>
      <c r="I617" s="497"/>
      <c r="J617" s="497"/>
      <c r="K617" s="497"/>
      <c r="L617" s="485"/>
      <c r="M617" s="485"/>
      <c r="N617" s="485"/>
      <c r="O617" s="485"/>
      <c r="P617" s="485"/>
      <c r="Q617" s="485"/>
      <c r="R617" s="485"/>
      <c r="S617" s="485"/>
      <c r="T617" s="485"/>
      <c r="U617" s="485"/>
      <c r="V617" s="485"/>
      <c r="W617" s="485"/>
      <c r="X617" s="485"/>
      <c r="Y617" s="485"/>
      <c r="Z617" s="485"/>
      <c r="AA617" s="485"/>
    </row>
    <row r="618">
      <c r="A618" s="486"/>
      <c r="B618" s="482"/>
      <c r="C618" s="497"/>
      <c r="D618" s="497"/>
      <c r="E618" s="497"/>
      <c r="F618" s="497"/>
      <c r="G618" s="497"/>
      <c r="H618" s="497"/>
      <c r="I618" s="497"/>
      <c r="J618" s="497"/>
      <c r="K618" s="497"/>
      <c r="L618" s="485"/>
      <c r="M618" s="485"/>
      <c r="N618" s="485"/>
      <c r="O618" s="485"/>
      <c r="P618" s="485"/>
      <c r="Q618" s="485"/>
      <c r="R618" s="485"/>
      <c r="S618" s="485"/>
      <c r="T618" s="485"/>
      <c r="U618" s="485"/>
      <c r="V618" s="485"/>
      <c r="W618" s="485"/>
      <c r="X618" s="485"/>
      <c r="Y618" s="485"/>
      <c r="Z618" s="485"/>
      <c r="AA618" s="485"/>
    </row>
    <row r="619">
      <c r="A619" s="486"/>
      <c r="B619" s="482"/>
      <c r="C619" s="497"/>
      <c r="D619" s="497"/>
      <c r="E619" s="497"/>
      <c r="F619" s="497"/>
      <c r="G619" s="497"/>
      <c r="H619" s="497"/>
      <c r="I619" s="497"/>
      <c r="J619" s="497"/>
      <c r="K619" s="497"/>
      <c r="L619" s="485"/>
      <c r="M619" s="485"/>
      <c r="N619" s="485"/>
      <c r="O619" s="485"/>
      <c r="P619" s="485"/>
      <c r="Q619" s="485"/>
      <c r="R619" s="485"/>
      <c r="S619" s="485"/>
      <c r="T619" s="485"/>
      <c r="U619" s="485"/>
      <c r="V619" s="485"/>
      <c r="W619" s="485"/>
      <c r="X619" s="485"/>
      <c r="Y619" s="485"/>
      <c r="Z619" s="485"/>
      <c r="AA619" s="485"/>
    </row>
    <row r="620">
      <c r="A620" s="486"/>
      <c r="B620" s="482"/>
      <c r="C620" s="497"/>
      <c r="D620" s="497"/>
      <c r="E620" s="497"/>
      <c r="F620" s="497"/>
      <c r="G620" s="497"/>
      <c r="H620" s="497"/>
      <c r="I620" s="497"/>
      <c r="J620" s="497"/>
      <c r="K620" s="497"/>
      <c r="L620" s="485"/>
      <c r="M620" s="485"/>
      <c r="N620" s="485"/>
      <c r="O620" s="485"/>
      <c r="P620" s="485"/>
      <c r="Q620" s="485"/>
      <c r="R620" s="485"/>
      <c r="S620" s="485"/>
      <c r="T620" s="485"/>
      <c r="U620" s="485"/>
      <c r="V620" s="485"/>
      <c r="W620" s="485"/>
      <c r="X620" s="485"/>
      <c r="Y620" s="485"/>
      <c r="Z620" s="485"/>
      <c r="AA620" s="485"/>
    </row>
    <row r="621">
      <c r="A621" s="486"/>
      <c r="B621" s="482"/>
      <c r="C621" s="497"/>
      <c r="D621" s="497"/>
      <c r="E621" s="497"/>
      <c r="F621" s="497"/>
      <c r="G621" s="497"/>
      <c r="H621" s="497"/>
      <c r="I621" s="497"/>
      <c r="J621" s="497"/>
      <c r="K621" s="497"/>
      <c r="L621" s="485"/>
      <c r="M621" s="485"/>
      <c r="N621" s="485"/>
      <c r="O621" s="485"/>
      <c r="P621" s="485"/>
      <c r="Q621" s="485"/>
      <c r="R621" s="485"/>
      <c r="S621" s="485"/>
      <c r="T621" s="485"/>
      <c r="U621" s="485"/>
      <c r="V621" s="485"/>
      <c r="W621" s="485"/>
      <c r="X621" s="485"/>
      <c r="Y621" s="485"/>
      <c r="Z621" s="485"/>
      <c r="AA621" s="485"/>
    </row>
    <row r="622">
      <c r="A622" s="486"/>
      <c r="B622" s="482"/>
      <c r="C622" s="497"/>
      <c r="D622" s="497"/>
      <c r="E622" s="497"/>
      <c r="F622" s="497"/>
      <c r="G622" s="497"/>
      <c r="H622" s="497"/>
      <c r="I622" s="497"/>
      <c r="J622" s="497"/>
      <c r="K622" s="497"/>
      <c r="L622" s="485"/>
      <c r="M622" s="485"/>
      <c r="N622" s="485"/>
      <c r="O622" s="485"/>
      <c r="P622" s="485"/>
      <c r="Q622" s="485"/>
      <c r="R622" s="485"/>
      <c r="S622" s="485"/>
      <c r="T622" s="485"/>
      <c r="U622" s="485"/>
      <c r="V622" s="485"/>
      <c r="W622" s="485"/>
      <c r="X622" s="485"/>
      <c r="Y622" s="485"/>
      <c r="Z622" s="485"/>
      <c r="AA622" s="485"/>
    </row>
    <row r="623">
      <c r="A623" s="486"/>
      <c r="B623" s="482"/>
      <c r="C623" s="497"/>
      <c r="D623" s="497"/>
      <c r="E623" s="497"/>
      <c r="F623" s="497"/>
      <c r="G623" s="497"/>
      <c r="H623" s="497"/>
      <c r="I623" s="497"/>
      <c r="J623" s="497"/>
      <c r="K623" s="497"/>
      <c r="L623" s="485"/>
      <c r="M623" s="485"/>
      <c r="N623" s="485"/>
      <c r="O623" s="485"/>
      <c r="P623" s="485"/>
      <c r="Q623" s="485"/>
      <c r="R623" s="485"/>
      <c r="S623" s="485"/>
      <c r="T623" s="485"/>
      <c r="U623" s="485"/>
      <c r="V623" s="485"/>
      <c r="W623" s="485"/>
      <c r="X623" s="485"/>
      <c r="Y623" s="485"/>
      <c r="Z623" s="485"/>
      <c r="AA623" s="485"/>
    </row>
    <row r="624">
      <c r="A624" s="486"/>
      <c r="B624" s="482"/>
      <c r="C624" s="497"/>
      <c r="D624" s="497"/>
      <c r="E624" s="497"/>
      <c r="F624" s="497"/>
      <c r="G624" s="497"/>
      <c r="H624" s="497"/>
      <c r="I624" s="497"/>
      <c r="J624" s="497"/>
      <c r="K624" s="497"/>
      <c r="L624" s="485"/>
      <c r="M624" s="485"/>
      <c r="N624" s="485"/>
      <c r="O624" s="485"/>
      <c r="P624" s="485"/>
      <c r="Q624" s="485"/>
      <c r="R624" s="485"/>
      <c r="S624" s="485"/>
      <c r="T624" s="485"/>
      <c r="U624" s="485"/>
      <c r="V624" s="485"/>
      <c r="W624" s="485"/>
      <c r="X624" s="485"/>
      <c r="Y624" s="485"/>
      <c r="Z624" s="485"/>
      <c r="AA624" s="485"/>
    </row>
    <row r="625">
      <c r="A625" s="486"/>
      <c r="B625" s="482"/>
      <c r="C625" s="497"/>
      <c r="D625" s="497"/>
      <c r="E625" s="497"/>
      <c r="F625" s="497"/>
      <c r="G625" s="497"/>
      <c r="H625" s="497"/>
      <c r="I625" s="497"/>
      <c r="J625" s="497"/>
      <c r="K625" s="497"/>
      <c r="L625" s="485"/>
      <c r="M625" s="485"/>
      <c r="N625" s="485"/>
      <c r="O625" s="485"/>
      <c r="P625" s="485"/>
      <c r="Q625" s="485"/>
      <c r="R625" s="485"/>
      <c r="S625" s="485"/>
      <c r="T625" s="485"/>
      <c r="U625" s="485"/>
      <c r="V625" s="485"/>
      <c r="W625" s="485"/>
      <c r="X625" s="485"/>
      <c r="Y625" s="485"/>
      <c r="Z625" s="485"/>
      <c r="AA625" s="485"/>
    </row>
    <row r="626">
      <c r="A626" s="486"/>
      <c r="B626" s="482"/>
      <c r="C626" s="497"/>
      <c r="D626" s="497"/>
      <c r="E626" s="497"/>
      <c r="F626" s="497"/>
      <c r="G626" s="497"/>
      <c r="H626" s="497"/>
      <c r="I626" s="497"/>
      <c r="J626" s="497"/>
      <c r="K626" s="497"/>
      <c r="L626" s="485"/>
      <c r="M626" s="485"/>
      <c r="N626" s="485"/>
      <c r="O626" s="485"/>
      <c r="P626" s="485"/>
      <c r="Q626" s="485"/>
      <c r="R626" s="485"/>
      <c r="S626" s="485"/>
      <c r="T626" s="485"/>
      <c r="U626" s="485"/>
      <c r="V626" s="485"/>
      <c r="W626" s="485"/>
      <c r="X626" s="485"/>
      <c r="Y626" s="485"/>
      <c r="Z626" s="485"/>
      <c r="AA626" s="485"/>
    </row>
    <row r="627">
      <c r="A627" s="486"/>
      <c r="B627" s="482"/>
      <c r="C627" s="497"/>
      <c r="D627" s="497"/>
      <c r="E627" s="497"/>
      <c r="F627" s="497"/>
      <c r="G627" s="497"/>
      <c r="H627" s="497"/>
      <c r="I627" s="497"/>
      <c r="J627" s="497"/>
      <c r="K627" s="497"/>
      <c r="L627" s="485"/>
      <c r="M627" s="485"/>
      <c r="N627" s="485"/>
      <c r="O627" s="485"/>
      <c r="P627" s="485"/>
      <c r="Q627" s="485"/>
      <c r="R627" s="485"/>
      <c r="S627" s="485"/>
      <c r="T627" s="485"/>
      <c r="U627" s="485"/>
      <c r="V627" s="485"/>
      <c r="W627" s="485"/>
      <c r="X627" s="485"/>
      <c r="Y627" s="485"/>
      <c r="Z627" s="485"/>
      <c r="AA627" s="485"/>
    </row>
    <row r="628">
      <c r="A628" s="486"/>
      <c r="B628" s="482"/>
      <c r="C628" s="497"/>
      <c r="D628" s="497"/>
      <c r="E628" s="497"/>
      <c r="F628" s="497"/>
      <c r="G628" s="497"/>
      <c r="H628" s="497"/>
      <c r="I628" s="497"/>
      <c r="J628" s="497"/>
      <c r="K628" s="497"/>
      <c r="L628" s="485"/>
      <c r="M628" s="485"/>
      <c r="N628" s="485"/>
      <c r="O628" s="485"/>
      <c r="P628" s="485"/>
      <c r="Q628" s="485"/>
      <c r="R628" s="485"/>
      <c r="S628" s="485"/>
      <c r="T628" s="485"/>
      <c r="U628" s="485"/>
      <c r="V628" s="485"/>
      <c r="W628" s="485"/>
      <c r="X628" s="485"/>
      <c r="Y628" s="485"/>
      <c r="Z628" s="485"/>
      <c r="AA628" s="485"/>
    </row>
    <row r="629">
      <c r="A629" s="486"/>
      <c r="B629" s="482"/>
      <c r="C629" s="497"/>
      <c r="D629" s="497"/>
      <c r="E629" s="497"/>
      <c r="F629" s="497"/>
      <c r="G629" s="497"/>
      <c r="H629" s="497"/>
      <c r="I629" s="497"/>
      <c r="J629" s="497"/>
      <c r="K629" s="497"/>
      <c r="L629" s="485"/>
      <c r="M629" s="485"/>
      <c r="N629" s="485"/>
      <c r="O629" s="485"/>
      <c r="P629" s="485"/>
      <c r="Q629" s="485"/>
      <c r="R629" s="485"/>
      <c r="S629" s="485"/>
      <c r="T629" s="485"/>
      <c r="U629" s="485"/>
      <c r="V629" s="485"/>
      <c r="W629" s="485"/>
      <c r="X629" s="485"/>
      <c r="Y629" s="485"/>
      <c r="Z629" s="485"/>
      <c r="AA629" s="485"/>
    </row>
    <row r="630">
      <c r="A630" s="486"/>
      <c r="B630" s="482"/>
      <c r="C630" s="497"/>
      <c r="D630" s="497"/>
      <c r="E630" s="497"/>
      <c r="F630" s="497"/>
      <c r="G630" s="497"/>
      <c r="H630" s="497"/>
      <c r="I630" s="497"/>
      <c r="J630" s="497"/>
      <c r="K630" s="497"/>
      <c r="L630" s="485"/>
      <c r="M630" s="485"/>
      <c r="N630" s="485"/>
      <c r="O630" s="485"/>
      <c r="P630" s="485"/>
      <c r="Q630" s="485"/>
      <c r="R630" s="485"/>
      <c r="S630" s="485"/>
      <c r="T630" s="485"/>
      <c r="U630" s="485"/>
      <c r="V630" s="485"/>
      <c r="W630" s="485"/>
      <c r="X630" s="485"/>
      <c r="Y630" s="485"/>
      <c r="Z630" s="485"/>
      <c r="AA630" s="485"/>
    </row>
    <row r="631">
      <c r="A631" s="486"/>
      <c r="B631" s="482"/>
      <c r="C631" s="497"/>
      <c r="D631" s="497"/>
      <c r="E631" s="497"/>
      <c r="F631" s="497"/>
      <c r="G631" s="497"/>
      <c r="H631" s="497"/>
      <c r="I631" s="497"/>
      <c r="J631" s="497"/>
      <c r="K631" s="497"/>
      <c r="L631" s="485"/>
      <c r="M631" s="485"/>
      <c r="N631" s="485"/>
      <c r="O631" s="485"/>
      <c r="P631" s="485"/>
      <c r="Q631" s="485"/>
      <c r="R631" s="485"/>
      <c r="S631" s="485"/>
      <c r="T631" s="485"/>
      <c r="U631" s="485"/>
      <c r="V631" s="485"/>
      <c r="W631" s="485"/>
      <c r="X631" s="485"/>
      <c r="Y631" s="485"/>
      <c r="Z631" s="485"/>
      <c r="AA631" s="485"/>
    </row>
    <row r="632">
      <c r="A632" s="486"/>
      <c r="B632" s="482"/>
      <c r="C632" s="497"/>
      <c r="D632" s="497"/>
      <c r="E632" s="497"/>
      <c r="F632" s="497"/>
      <c r="G632" s="497"/>
      <c r="H632" s="497"/>
      <c r="I632" s="497"/>
      <c r="J632" s="497"/>
      <c r="K632" s="497"/>
      <c r="L632" s="485"/>
      <c r="M632" s="485"/>
      <c r="N632" s="485"/>
      <c r="O632" s="485"/>
      <c r="P632" s="485"/>
      <c r="Q632" s="485"/>
      <c r="R632" s="485"/>
      <c r="S632" s="485"/>
      <c r="T632" s="485"/>
      <c r="U632" s="485"/>
      <c r="V632" s="485"/>
      <c r="W632" s="485"/>
      <c r="X632" s="485"/>
      <c r="Y632" s="485"/>
      <c r="Z632" s="485"/>
      <c r="AA632" s="485"/>
    </row>
    <row r="633">
      <c r="A633" s="486"/>
      <c r="B633" s="482"/>
      <c r="C633" s="497"/>
      <c r="D633" s="497"/>
      <c r="E633" s="497"/>
      <c r="F633" s="497"/>
      <c r="G633" s="497"/>
      <c r="H633" s="497"/>
      <c r="I633" s="497"/>
      <c r="J633" s="497"/>
      <c r="K633" s="497"/>
      <c r="L633" s="485"/>
      <c r="M633" s="485"/>
      <c r="N633" s="485"/>
      <c r="O633" s="485"/>
      <c r="P633" s="485"/>
      <c r="Q633" s="485"/>
      <c r="R633" s="485"/>
      <c r="S633" s="485"/>
      <c r="T633" s="485"/>
      <c r="U633" s="485"/>
      <c r="V633" s="485"/>
      <c r="W633" s="485"/>
      <c r="X633" s="485"/>
      <c r="Y633" s="485"/>
      <c r="Z633" s="485"/>
      <c r="AA633" s="485"/>
    </row>
    <row r="634">
      <c r="A634" s="486"/>
      <c r="B634" s="482"/>
      <c r="C634" s="497"/>
      <c r="D634" s="497"/>
      <c r="E634" s="497"/>
      <c r="F634" s="497"/>
      <c r="G634" s="497"/>
      <c r="H634" s="497"/>
      <c r="I634" s="497"/>
      <c r="J634" s="497"/>
      <c r="K634" s="497"/>
      <c r="L634" s="485"/>
      <c r="M634" s="485"/>
      <c r="N634" s="485"/>
      <c r="O634" s="485"/>
      <c r="P634" s="485"/>
      <c r="Q634" s="485"/>
      <c r="R634" s="485"/>
      <c r="S634" s="485"/>
      <c r="T634" s="485"/>
      <c r="U634" s="485"/>
      <c r="V634" s="485"/>
      <c r="W634" s="485"/>
      <c r="X634" s="485"/>
      <c r="Y634" s="485"/>
      <c r="Z634" s="485"/>
      <c r="AA634" s="485"/>
    </row>
    <row r="635">
      <c r="A635" s="486"/>
      <c r="B635" s="482"/>
      <c r="C635" s="497"/>
      <c r="D635" s="497"/>
      <c r="E635" s="497"/>
      <c r="F635" s="497"/>
      <c r="G635" s="497"/>
      <c r="H635" s="497"/>
      <c r="I635" s="497"/>
      <c r="J635" s="497"/>
      <c r="K635" s="497"/>
      <c r="L635" s="485"/>
      <c r="M635" s="485"/>
      <c r="N635" s="485"/>
      <c r="O635" s="485"/>
      <c r="P635" s="485"/>
      <c r="Q635" s="485"/>
      <c r="R635" s="485"/>
      <c r="S635" s="485"/>
      <c r="T635" s="485"/>
      <c r="U635" s="485"/>
      <c r="V635" s="485"/>
      <c r="W635" s="485"/>
      <c r="X635" s="485"/>
      <c r="Y635" s="485"/>
      <c r="Z635" s="485"/>
      <c r="AA635" s="485"/>
    </row>
    <row r="636">
      <c r="A636" s="486"/>
      <c r="B636" s="482"/>
      <c r="C636" s="497"/>
      <c r="D636" s="497"/>
      <c r="E636" s="497"/>
      <c r="F636" s="497"/>
      <c r="G636" s="497"/>
      <c r="H636" s="497"/>
      <c r="I636" s="497"/>
      <c r="J636" s="497"/>
      <c r="K636" s="497"/>
      <c r="L636" s="485"/>
      <c r="M636" s="485"/>
      <c r="N636" s="485"/>
      <c r="O636" s="485"/>
      <c r="P636" s="485"/>
      <c r="Q636" s="485"/>
      <c r="R636" s="485"/>
      <c r="S636" s="485"/>
      <c r="T636" s="485"/>
      <c r="U636" s="485"/>
      <c r="V636" s="485"/>
      <c r="W636" s="485"/>
      <c r="X636" s="485"/>
      <c r="Y636" s="485"/>
      <c r="Z636" s="485"/>
      <c r="AA636" s="485"/>
    </row>
    <row r="637">
      <c r="A637" s="486"/>
      <c r="B637" s="482"/>
      <c r="C637" s="497"/>
      <c r="D637" s="497"/>
      <c r="E637" s="497"/>
      <c r="F637" s="497"/>
      <c r="G637" s="497"/>
      <c r="H637" s="497"/>
      <c r="I637" s="497"/>
      <c r="J637" s="497"/>
      <c r="K637" s="497"/>
      <c r="L637" s="485"/>
      <c r="M637" s="485"/>
      <c r="N637" s="485"/>
      <c r="O637" s="485"/>
      <c r="P637" s="485"/>
      <c r="Q637" s="485"/>
      <c r="R637" s="485"/>
      <c r="S637" s="485"/>
      <c r="T637" s="485"/>
      <c r="U637" s="485"/>
      <c r="V637" s="485"/>
      <c r="W637" s="485"/>
      <c r="X637" s="485"/>
      <c r="Y637" s="485"/>
      <c r="Z637" s="485"/>
      <c r="AA637" s="485"/>
    </row>
    <row r="638">
      <c r="A638" s="486"/>
      <c r="B638" s="482"/>
      <c r="C638" s="497"/>
      <c r="D638" s="497"/>
      <c r="E638" s="497"/>
      <c r="F638" s="497"/>
      <c r="G638" s="497"/>
      <c r="H638" s="497"/>
      <c r="I638" s="497"/>
      <c r="J638" s="497"/>
      <c r="K638" s="497"/>
      <c r="L638" s="485"/>
      <c r="M638" s="485"/>
      <c r="N638" s="485"/>
      <c r="O638" s="485"/>
      <c r="P638" s="485"/>
      <c r="Q638" s="485"/>
      <c r="R638" s="485"/>
      <c r="S638" s="485"/>
      <c r="T638" s="485"/>
      <c r="U638" s="485"/>
      <c r="V638" s="485"/>
      <c r="W638" s="485"/>
      <c r="X638" s="485"/>
      <c r="Y638" s="485"/>
      <c r="Z638" s="485"/>
      <c r="AA638" s="485"/>
    </row>
    <row r="639">
      <c r="A639" s="486"/>
      <c r="B639" s="482"/>
      <c r="C639" s="497"/>
      <c r="D639" s="497"/>
      <c r="E639" s="497"/>
      <c r="F639" s="497"/>
      <c r="G639" s="497"/>
      <c r="H639" s="497"/>
      <c r="I639" s="497"/>
      <c r="J639" s="497"/>
      <c r="K639" s="497"/>
      <c r="L639" s="485"/>
      <c r="M639" s="485"/>
      <c r="N639" s="485"/>
      <c r="O639" s="485"/>
      <c r="P639" s="485"/>
      <c r="Q639" s="485"/>
      <c r="R639" s="485"/>
      <c r="S639" s="485"/>
      <c r="T639" s="485"/>
      <c r="U639" s="485"/>
      <c r="V639" s="485"/>
      <c r="W639" s="485"/>
      <c r="X639" s="485"/>
      <c r="Y639" s="485"/>
      <c r="Z639" s="485"/>
      <c r="AA639" s="485"/>
    </row>
    <row r="640">
      <c r="A640" s="486"/>
      <c r="B640" s="482"/>
      <c r="C640" s="497"/>
      <c r="D640" s="497"/>
      <c r="E640" s="497"/>
      <c r="F640" s="497"/>
      <c r="G640" s="497"/>
      <c r="H640" s="497"/>
      <c r="I640" s="497"/>
      <c r="J640" s="497"/>
      <c r="K640" s="497"/>
      <c r="L640" s="485"/>
      <c r="M640" s="485"/>
      <c r="N640" s="485"/>
      <c r="O640" s="485"/>
      <c r="P640" s="485"/>
      <c r="Q640" s="485"/>
      <c r="R640" s="485"/>
      <c r="S640" s="485"/>
      <c r="T640" s="485"/>
      <c r="U640" s="485"/>
      <c r="V640" s="485"/>
      <c r="W640" s="485"/>
      <c r="X640" s="485"/>
      <c r="Y640" s="485"/>
      <c r="Z640" s="485"/>
      <c r="AA640" s="485"/>
    </row>
    <row r="641">
      <c r="A641" s="486"/>
      <c r="B641" s="482"/>
      <c r="C641" s="497"/>
      <c r="D641" s="497"/>
      <c r="E641" s="497"/>
      <c r="F641" s="497"/>
      <c r="G641" s="497"/>
      <c r="H641" s="497"/>
      <c r="I641" s="497"/>
      <c r="J641" s="497"/>
      <c r="K641" s="497"/>
      <c r="L641" s="485"/>
      <c r="M641" s="485"/>
      <c r="N641" s="485"/>
      <c r="O641" s="485"/>
      <c r="P641" s="485"/>
      <c r="Q641" s="485"/>
      <c r="R641" s="485"/>
      <c r="S641" s="485"/>
      <c r="T641" s="485"/>
      <c r="U641" s="485"/>
      <c r="V641" s="485"/>
      <c r="W641" s="485"/>
      <c r="X641" s="485"/>
      <c r="Y641" s="485"/>
      <c r="Z641" s="485"/>
      <c r="AA641" s="485"/>
    </row>
    <row r="642">
      <c r="A642" s="486"/>
      <c r="B642" s="482"/>
      <c r="C642" s="497"/>
      <c r="D642" s="497"/>
      <c r="E642" s="497"/>
      <c r="F642" s="497"/>
      <c r="G642" s="497"/>
      <c r="H642" s="497"/>
      <c r="I642" s="497"/>
      <c r="J642" s="497"/>
      <c r="K642" s="497"/>
      <c r="L642" s="485"/>
      <c r="M642" s="485"/>
      <c r="N642" s="485"/>
      <c r="O642" s="485"/>
      <c r="P642" s="485"/>
      <c r="Q642" s="485"/>
      <c r="R642" s="485"/>
      <c r="S642" s="485"/>
      <c r="T642" s="485"/>
      <c r="U642" s="485"/>
      <c r="V642" s="485"/>
      <c r="W642" s="485"/>
      <c r="X642" s="485"/>
      <c r="Y642" s="485"/>
      <c r="Z642" s="485"/>
      <c r="AA642" s="485"/>
    </row>
    <row r="643">
      <c r="A643" s="486"/>
      <c r="B643" s="482"/>
      <c r="C643" s="497"/>
      <c r="D643" s="497"/>
      <c r="E643" s="497"/>
      <c r="F643" s="497"/>
      <c r="G643" s="497"/>
      <c r="H643" s="497"/>
      <c r="I643" s="497"/>
      <c r="J643" s="497"/>
      <c r="K643" s="497"/>
      <c r="L643" s="485"/>
      <c r="M643" s="485"/>
      <c r="N643" s="485"/>
      <c r="O643" s="485"/>
      <c r="P643" s="485"/>
      <c r="Q643" s="485"/>
      <c r="R643" s="485"/>
      <c r="S643" s="485"/>
      <c r="T643" s="485"/>
      <c r="U643" s="485"/>
      <c r="V643" s="485"/>
      <c r="W643" s="485"/>
      <c r="X643" s="485"/>
      <c r="Y643" s="485"/>
      <c r="Z643" s="485"/>
      <c r="AA643" s="485"/>
    </row>
    <row r="644">
      <c r="A644" s="486"/>
      <c r="B644" s="482"/>
      <c r="C644" s="497"/>
      <c r="D644" s="497"/>
      <c r="E644" s="497"/>
      <c r="F644" s="497"/>
      <c r="G644" s="497"/>
      <c r="H644" s="497"/>
      <c r="I644" s="497"/>
      <c r="J644" s="497"/>
      <c r="K644" s="497"/>
      <c r="L644" s="485"/>
      <c r="M644" s="485"/>
      <c r="N644" s="485"/>
      <c r="O644" s="485"/>
      <c r="P644" s="485"/>
      <c r="Q644" s="485"/>
      <c r="R644" s="485"/>
      <c r="S644" s="485"/>
      <c r="T644" s="485"/>
      <c r="U644" s="485"/>
      <c r="V644" s="485"/>
      <c r="W644" s="485"/>
      <c r="X644" s="485"/>
      <c r="Y644" s="485"/>
      <c r="Z644" s="485"/>
      <c r="AA644" s="485"/>
    </row>
    <row r="645">
      <c r="A645" s="486"/>
      <c r="B645" s="482"/>
      <c r="C645" s="497"/>
      <c r="D645" s="497"/>
      <c r="E645" s="497"/>
      <c r="F645" s="497"/>
      <c r="G645" s="497"/>
      <c r="H645" s="497"/>
      <c r="I645" s="497"/>
      <c r="J645" s="497"/>
      <c r="K645" s="497"/>
      <c r="L645" s="485"/>
      <c r="M645" s="485"/>
      <c r="N645" s="485"/>
      <c r="O645" s="485"/>
      <c r="P645" s="485"/>
      <c r="Q645" s="485"/>
      <c r="R645" s="485"/>
      <c r="S645" s="485"/>
      <c r="T645" s="485"/>
      <c r="U645" s="485"/>
      <c r="V645" s="485"/>
      <c r="W645" s="485"/>
      <c r="X645" s="485"/>
      <c r="Y645" s="485"/>
      <c r="Z645" s="485"/>
      <c r="AA645" s="485"/>
    </row>
    <row r="646">
      <c r="A646" s="486"/>
      <c r="B646" s="482"/>
      <c r="C646" s="497"/>
      <c r="D646" s="497"/>
      <c r="E646" s="497"/>
      <c r="F646" s="497"/>
      <c r="G646" s="497"/>
      <c r="H646" s="497"/>
      <c r="I646" s="497"/>
      <c r="J646" s="497"/>
      <c r="K646" s="497"/>
      <c r="L646" s="485"/>
      <c r="M646" s="485"/>
      <c r="N646" s="485"/>
      <c r="O646" s="485"/>
      <c r="P646" s="485"/>
      <c r="Q646" s="485"/>
      <c r="R646" s="485"/>
      <c r="S646" s="485"/>
      <c r="T646" s="485"/>
      <c r="U646" s="485"/>
      <c r="V646" s="485"/>
      <c r="W646" s="485"/>
      <c r="X646" s="485"/>
      <c r="Y646" s="485"/>
      <c r="Z646" s="485"/>
      <c r="AA646" s="485"/>
    </row>
    <row r="647">
      <c r="A647" s="486"/>
      <c r="B647" s="482"/>
      <c r="C647" s="497"/>
      <c r="D647" s="497"/>
      <c r="E647" s="497"/>
      <c r="F647" s="497"/>
      <c r="G647" s="497"/>
      <c r="H647" s="497"/>
      <c r="I647" s="497"/>
      <c r="J647" s="497"/>
      <c r="K647" s="497"/>
      <c r="L647" s="485"/>
      <c r="M647" s="485"/>
      <c r="N647" s="485"/>
      <c r="O647" s="485"/>
      <c r="P647" s="485"/>
      <c r="Q647" s="485"/>
      <c r="R647" s="485"/>
      <c r="S647" s="485"/>
      <c r="T647" s="485"/>
      <c r="U647" s="485"/>
      <c r="V647" s="485"/>
      <c r="W647" s="485"/>
      <c r="X647" s="485"/>
      <c r="Y647" s="485"/>
      <c r="Z647" s="485"/>
      <c r="AA647" s="485"/>
    </row>
    <row r="648">
      <c r="A648" s="486"/>
      <c r="B648" s="482"/>
      <c r="C648" s="497"/>
      <c r="D648" s="497"/>
      <c r="E648" s="497"/>
      <c r="F648" s="497"/>
      <c r="G648" s="497"/>
      <c r="H648" s="497"/>
      <c r="I648" s="497"/>
      <c r="J648" s="497"/>
      <c r="K648" s="497"/>
      <c r="L648" s="485"/>
      <c r="M648" s="485"/>
      <c r="N648" s="485"/>
      <c r="O648" s="485"/>
      <c r="P648" s="485"/>
      <c r="Q648" s="485"/>
      <c r="R648" s="485"/>
      <c r="S648" s="485"/>
      <c r="T648" s="485"/>
      <c r="U648" s="485"/>
      <c r="V648" s="485"/>
      <c r="W648" s="485"/>
      <c r="X648" s="485"/>
      <c r="Y648" s="485"/>
      <c r="Z648" s="485"/>
      <c r="AA648" s="485"/>
    </row>
    <row r="649">
      <c r="A649" s="486"/>
      <c r="B649" s="482"/>
      <c r="C649" s="497"/>
      <c r="D649" s="497"/>
      <c r="E649" s="497"/>
      <c r="F649" s="497"/>
      <c r="G649" s="497"/>
      <c r="H649" s="497"/>
      <c r="I649" s="497"/>
      <c r="J649" s="497"/>
      <c r="K649" s="497"/>
      <c r="L649" s="485"/>
      <c r="M649" s="485"/>
      <c r="N649" s="485"/>
      <c r="O649" s="485"/>
      <c r="P649" s="485"/>
      <c r="Q649" s="485"/>
      <c r="R649" s="485"/>
      <c r="S649" s="485"/>
      <c r="T649" s="485"/>
      <c r="U649" s="485"/>
      <c r="V649" s="485"/>
      <c r="W649" s="485"/>
      <c r="X649" s="485"/>
      <c r="Y649" s="485"/>
      <c r="Z649" s="485"/>
      <c r="AA649" s="485"/>
    </row>
    <row r="650">
      <c r="A650" s="486"/>
      <c r="B650" s="482"/>
      <c r="C650" s="497"/>
      <c r="D650" s="497"/>
      <c r="E650" s="497"/>
      <c r="F650" s="497"/>
      <c r="G650" s="497"/>
      <c r="H650" s="497"/>
      <c r="I650" s="497"/>
      <c r="J650" s="497"/>
      <c r="K650" s="497"/>
      <c r="L650" s="485"/>
      <c r="M650" s="485"/>
      <c r="N650" s="485"/>
      <c r="O650" s="485"/>
      <c r="P650" s="485"/>
      <c r="Q650" s="485"/>
      <c r="R650" s="485"/>
      <c r="S650" s="485"/>
      <c r="T650" s="485"/>
      <c r="U650" s="485"/>
      <c r="V650" s="485"/>
      <c r="W650" s="485"/>
      <c r="X650" s="485"/>
      <c r="Y650" s="485"/>
      <c r="Z650" s="485"/>
      <c r="AA650" s="485"/>
    </row>
    <row r="651">
      <c r="A651" s="486"/>
      <c r="B651" s="482"/>
      <c r="C651" s="497"/>
      <c r="D651" s="497"/>
      <c r="E651" s="497"/>
      <c r="F651" s="497"/>
      <c r="G651" s="497"/>
      <c r="H651" s="497"/>
      <c r="I651" s="497"/>
      <c r="J651" s="497"/>
      <c r="K651" s="497"/>
      <c r="L651" s="485"/>
      <c r="M651" s="485"/>
      <c r="N651" s="485"/>
      <c r="O651" s="485"/>
      <c r="P651" s="485"/>
      <c r="Q651" s="485"/>
      <c r="R651" s="485"/>
      <c r="S651" s="485"/>
      <c r="T651" s="485"/>
      <c r="U651" s="485"/>
      <c r="V651" s="485"/>
      <c r="W651" s="485"/>
      <c r="X651" s="485"/>
      <c r="Y651" s="485"/>
      <c r="Z651" s="485"/>
      <c r="AA651" s="485"/>
    </row>
    <row r="652">
      <c r="A652" s="486"/>
      <c r="B652" s="482"/>
      <c r="C652" s="497"/>
      <c r="D652" s="497"/>
      <c r="E652" s="497"/>
      <c r="F652" s="497"/>
      <c r="G652" s="497"/>
      <c r="H652" s="497"/>
      <c r="I652" s="497"/>
      <c r="J652" s="497"/>
      <c r="K652" s="497"/>
      <c r="L652" s="485"/>
      <c r="M652" s="485"/>
      <c r="N652" s="485"/>
      <c r="O652" s="485"/>
      <c r="P652" s="485"/>
      <c r="Q652" s="485"/>
      <c r="R652" s="485"/>
      <c r="S652" s="485"/>
      <c r="T652" s="485"/>
      <c r="U652" s="485"/>
      <c r="V652" s="485"/>
      <c r="W652" s="485"/>
      <c r="X652" s="485"/>
      <c r="Y652" s="485"/>
      <c r="Z652" s="485"/>
      <c r="AA652" s="485"/>
    </row>
    <row r="653">
      <c r="A653" s="486"/>
      <c r="B653" s="482"/>
      <c r="C653" s="497"/>
      <c r="D653" s="497"/>
      <c r="E653" s="497"/>
      <c r="F653" s="497"/>
      <c r="G653" s="497"/>
      <c r="H653" s="497"/>
      <c r="I653" s="497"/>
      <c r="J653" s="497"/>
      <c r="K653" s="497"/>
      <c r="L653" s="485"/>
      <c r="M653" s="485"/>
      <c r="N653" s="485"/>
      <c r="O653" s="485"/>
      <c r="P653" s="485"/>
      <c r="Q653" s="485"/>
      <c r="R653" s="485"/>
      <c r="S653" s="485"/>
      <c r="T653" s="485"/>
      <c r="U653" s="485"/>
      <c r="V653" s="485"/>
      <c r="W653" s="485"/>
      <c r="X653" s="485"/>
      <c r="Y653" s="485"/>
      <c r="Z653" s="485"/>
      <c r="AA653" s="485"/>
    </row>
    <row r="654">
      <c r="A654" s="486"/>
      <c r="B654" s="482"/>
      <c r="C654" s="497"/>
      <c r="D654" s="497"/>
      <c r="E654" s="497"/>
      <c r="F654" s="497"/>
      <c r="G654" s="497"/>
      <c r="H654" s="497"/>
      <c r="I654" s="497"/>
      <c r="J654" s="497"/>
      <c r="K654" s="497"/>
      <c r="L654" s="485"/>
      <c r="M654" s="485"/>
      <c r="N654" s="485"/>
      <c r="O654" s="485"/>
      <c r="P654" s="485"/>
      <c r="Q654" s="485"/>
      <c r="R654" s="485"/>
      <c r="S654" s="485"/>
      <c r="T654" s="485"/>
      <c r="U654" s="485"/>
      <c r="V654" s="485"/>
      <c r="W654" s="485"/>
      <c r="X654" s="485"/>
      <c r="Y654" s="485"/>
      <c r="Z654" s="485"/>
      <c r="AA654" s="485"/>
    </row>
    <row r="655">
      <c r="A655" s="486"/>
      <c r="B655" s="482"/>
      <c r="C655" s="497"/>
      <c r="D655" s="497"/>
      <c r="E655" s="497"/>
      <c r="F655" s="497"/>
      <c r="G655" s="497"/>
      <c r="H655" s="497"/>
      <c r="I655" s="497"/>
      <c r="J655" s="497"/>
      <c r="K655" s="497"/>
      <c r="L655" s="485"/>
      <c r="M655" s="485"/>
      <c r="N655" s="485"/>
      <c r="O655" s="485"/>
      <c r="P655" s="485"/>
      <c r="Q655" s="485"/>
      <c r="R655" s="485"/>
      <c r="S655" s="485"/>
      <c r="T655" s="485"/>
      <c r="U655" s="485"/>
      <c r="V655" s="485"/>
      <c r="W655" s="485"/>
      <c r="X655" s="485"/>
      <c r="Y655" s="485"/>
      <c r="Z655" s="485"/>
      <c r="AA655" s="485"/>
    </row>
    <row r="656">
      <c r="A656" s="486"/>
      <c r="B656" s="482"/>
      <c r="C656" s="497"/>
      <c r="D656" s="497"/>
      <c r="E656" s="497"/>
      <c r="F656" s="497"/>
      <c r="G656" s="497"/>
      <c r="H656" s="497"/>
      <c r="I656" s="497"/>
      <c r="J656" s="497"/>
      <c r="K656" s="497"/>
      <c r="L656" s="485"/>
      <c r="M656" s="485"/>
      <c r="N656" s="485"/>
      <c r="O656" s="485"/>
      <c r="P656" s="485"/>
      <c r="Q656" s="485"/>
      <c r="R656" s="485"/>
      <c r="S656" s="485"/>
      <c r="T656" s="485"/>
      <c r="U656" s="485"/>
      <c r="V656" s="485"/>
      <c r="W656" s="485"/>
      <c r="X656" s="485"/>
      <c r="Y656" s="485"/>
      <c r="Z656" s="485"/>
      <c r="AA656" s="485"/>
    </row>
    <row r="657">
      <c r="A657" s="486"/>
      <c r="B657" s="482"/>
      <c r="C657" s="497"/>
      <c r="D657" s="497"/>
      <c r="E657" s="497"/>
      <c r="F657" s="497"/>
      <c r="G657" s="497"/>
      <c r="H657" s="497"/>
      <c r="I657" s="497"/>
      <c r="J657" s="497"/>
      <c r="K657" s="497"/>
      <c r="L657" s="485"/>
      <c r="M657" s="485"/>
      <c r="N657" s="485"/>
      <c r="O657" s="485"/>
      <c r="P657" s="485"/>
      <c r="Q657" s="485"/>
      <c r="R657" s="485"/>
      <c r="S657" s="485"/>
      <c r="T657" s="485"/>
      <c r="U657" s="485"/>
      <c r="V657" s="485"/>
      <c r="W657" s="485"/>
      <c r="X657" s="485"/>
      <c r="Y657" s="485"/>
      <c r="Z657" s="485"/>
      <c r="AA657" s="485"/>
    </row>
    <row r="658">
      <c r="A658" s="486"/>
      <c r="B658" s="482"/>
      <c r="C658" s="497"/>
      <c r="D658" s="497"/>
      <c r="E658" s="497"/>
      <c r="F658" s="497"/>
      <c r="G658" s="497"/>
      <c r="H658" s="497"/>
      <c r="I658" s="497"/>
      <c r="J658" s="497"/>
      <c r="K658" s="497"/>
      <c r="L658" s="485"/>
      <c r="M658" s="485"/>
      <c r="N658" s="485"/>
      <c r="O658" s="485"/>
      <c r="P658" s="485"/>
      <c r="Q658" s="485"/>
      <c r="R658" s="485"/>
      <c r="S658" s="485"/>
      <c r="T658" s="485"/>
      <c r="U658" s="485"/>
      <c r="V658" s="485"/>
      <c r="W658" s="485"/>
      <c r="X658" s="485"/>
      <c r="Y658" s="485"/>
      <c r="Z658" s="485"/>
      <c r="AA658" s="485"/>
    </row>
    <row r="659">
      <c r="A659" s="486"/>
      <c r="B659" s="482"/>
      <c r="C659" s="497"/>
      <c r="D659" s="497"/>
      <c r="E659" s="497"/>
      <c r="F659" s="497"/>
      <c r="G659" s="497"/>
      <c r="H659" s="497"/>
      <c r="I659" s="497"/>
      <c r="J659" s="497"/>
      <c r="K659" s="497"/>
      <c r="L659" s="485"/>
      <c r="M659" s="485"/>
      <c r="N659" s="485"/>
      <c r="O659" s="485"/>
      <c r="P659" s="485"/>
      <c r="Q659" s="485"/>
      <c r="R659" s="485"/>
      <c r="S659" s="485"/>
      <c r="T659" s="485"/>
      <c r="U659" s="485"/>
      <c r="V659" s="485"/>
      <c r="W659" s="485"/>
      <c r="X659" s="485"/>
      <c r="Y659" s="485"/>
      <c r="Z659" s="485"/>
      <c r="AA659" s="485"/>
    </row>
    <row r="660">
      <c r="A660" s="486"/>
      <c r="B660" s="482"/>
      <c r="C660" s="497"/>
      <c r="D660" s="497"/>
      <c r="E660" s="497"/>
      <c r="F660" s="497"/>
      <c r="G660" s="497"/>
      <c r="H660" s="497"/>
      <c r="I660" s="497"/>
      <c r="J660" s="497"/>
      <c r="K660" s="497"/>
      <c r="L660" s="485"/>
      <c r="M660" s="485"/>
      <c r="N660" s="485"/>
      <c r="O660" s="485"/>
      <c r="P660" s="485"/>
      <c r="Q660" s="485"/>
      <c r="R660" s="485"/>
      <c r="S660" s="485"/>
      <c r="T660" s="485"/>
      <c r="U660" s="485"/>
      <c r="V660" s="485"/>
      <c r="W660" s="485"/>
      <c r="X660" s="485"/>
      <c r="Y660" s="485"/>
      <c r="Z660" s="485"/>
      <c r="AA660" s="485"/>
    </row>
    <row r="661">
      <c r="A661" s="486"/>
      <c r="B661" s="482"/>
      <c r="C661" s="497"/>
      <c r="D661" s="497"/>
      <c r="E661" s="497"/>
      <c r="F661" s="497"/>
      <c r="G661" s="497"/>
      <c r="H661" s="497"/>
      <c r="I661" s="497"/>
      <c r="J661" s="497"/>
      <c r="K661" s="497"/>
      <c r="L661" s="485"/>
      <c r="M661" s="485"/>
      <c r="N661" s="485"/>
      <c r="O661" s="485"/>
      <c r="P661" s="485"/>
      <c r="Q661" s="485"/>
      <c r="R661" s="485"/>
      <c r="S661" s="485"/>
      <c r="T661" s="485"/>
      <c r="U661" s="485"/>
      <c r="V661" s="485"/>
      <c r="W661" s="485"/>
      <c r="X661" s="485"/>
      <c r="Y661" s="485"/>
      <c r="Z661" s="485"/>
      <c r="AA661" s="485"/>
    </row>
    <row r="662">
      <c r="A662" s="486"/>
      <c r="B662" s="482"/>
      <c r="C662" s="497"/>
      <c r="D662" s="497"/>
      <c r="E662" s="497"/>
      <c r="F662" s="497"/>
      <c r="G662" s="497"/>
      <c r="H662" s="497"/>
      <c r="I662" s="497"/>
      <c r="J662" s="497"/>
      <c r="K662" s="497"/>
      <c r="L662" s="485"/>
      <c r="M662" s="485"/>
      <c r="N662" s="485"/>
      <c r="O662" s="485"/>
      <c r="P662" s="485"/>
      <c r="Q662" s="485"/>
      <c r="R662" s="485"/>
      <c r="S662" s="485"/>
      <c r="T662" s="485"/>
      <c r="U662" s="485"/>
      <c r="V662" s="485"/>
      <c r="W662" s="485"/>
      <c r="X662" s="485"/>
      <c r="Y662" s="485"/>
      <c r="Z662" s="485"/>
      <c r="AA662" s="485"/>
    </row>
    <row r="663">
      <c r="A663" s="486"/>
      <c r="B663" s="482"/>
      <c r="C663" s="497"/>
      <c r="D663" s="497"/>
      <c r="E663" s="497"/>
      <c r="F663" s="497"/>
      <c r="G663" s="497"/>
      <c r="H663" s="497"/>
      <c r="I663" s="497"/>
      <c r="J663" s="497"/>
      <c r="K663" s="497"/>
      <c r="L663" s="485"/>
      <c r="M663" s="485"/>
      <c r="N663" s="485"/>
      <c r="O663" s="485"/>
      <c r="P663" s="485"/>
      <c r="Q663" s="485"/>
      <c r="R663" s="485"/>
      <c r="S663" s="485"/>
      <c r="T663" s="485"/>
      <c r="U663" s="485"/>
      <c r="V663" s="485"/>
      <c r="W663" s="485"/>
      <c r="X663" s="485"/>
      <c r="Y663" s="485"/>
      <c r="Z663" s="485"/>
      <c r="AA663" s="485"/>
    </row>
    <row r="664">
      <c r="A664" s="486"/>
      <c r="B664" s="482"/>
      <c r="C664" s="497"/>
      <c r="D664" s="497"/>
      <c r="E664" s="497"/>
      <c r="F664" s="497"/>
      <c r="G664" s="497"/>
      <c r="H664" s="497"/>
      <c r="I664" s="497"/>
      <c r="J664" s="497"/>
      <c r="K664" s="497"/>
      <c r="L664" s="485"/>
      <c r="M664" s="485"/>
      <c r="N664" s="485"/>
      <c r="O664" s="485"/>
      <c r="P664" s="485"/>
      <c r="Q664" s="485"/>
      <c r="R664" s="485"/>
      <c r="S664" s="485"/>
      <c r="T664" s="485"/>
      <c r="U664" s="485"/>
      <c r="V664" s="485"/>
      <c r="W664" s="485"/>
      <c r="X664" s="485"/>
      <c r="Y664" s="485"/>
      <c r="Z664" s="485"/>
      <c r="AA664" s="485"/>
    </row>
    <row r="665">
      <c r="A665" s="486"/>
      <c r="B665" s="482"/>
      <c r="C665" s="497"/>
      <c r="D665" s="497"/>
      <c r="E665" s="497"/>
      <c r="F665" s="497"/>
      <c r="G665" s="497"/>
      <c r="H665" s="497"/>
      <c r="I665" s="497"/>
      <c r="J665" s="497"/>
      <c r="K665" s="497"/>
      <c r="L665" s="485"/>
      <c r="M665" s="485"/>
      <c r="N665" s="485"/>
      <c r="O665" s="485"/>
      <c r="P665" s="485"/>
      <c r="Q665" s="485"/>
      <c r="R665" s="485"/>
      <c r="S665" s="485"/>
      <c r="T665" s="485"/>
      <c r="U665" s="485"/>
      <c r="V665" s="485"/>
      <c r="W665" s="485"/>
      <c r="X665" s="485"/>
      <c r="Y665" s="485"/>
      <c r="Z665" s="485"/>
      <c r="AA665" s="485"/>
    </row>
    <row r="666">
      <c r="A666" s="486"/>
      <c r="B666" s="482"/>
      <c r="C666" s="497"/>
      <c r="D666" s="497"/>
      <c r="E666" s="497"/>
      <c r="F666" s="497"/>
      <c r="G666" s="497"/>
      <c r="H666" s="497"/>
      <c r="I666" s="497"/>
      <c r="J666" s="497"/>
      <c r="K666" s="497"/>
      <c r="L666" s="485"/>
      <c r="M666" s="485"/>
      <c r="N666" s="485"/>
      <c r="O666" s="485"/>
      <c r="P666" s="485"/>
      <c r="Q666" s="485"/>
      <c r="R666" s="485"/>
      <c r="S666" s="485"/>
      <c r="T666" s="485"/>
      <c r="U666" s="485"/>
      <c r="V666" s="485"/>
      <c r="W666" s="485"/>
      <c r="X666" s="485"/>
      <c r="Y666" s="485"/>
      <c r="Z666" s="485"/>
      <c r="AA666" s="485"/>
    </row>
    <row r="667">
      <c r="A667" s="486"/>
      <c r="B667" s="482"/>
      <c r="C667" s="497"/>
      <c r="D667" s="497"/>
      <c r="E667" s="497"/>
      <c r="F667" s="497"/>
      <c r="G667" s="497"/>
      <c r="H667" s="497"/>
      <c r="I667" s="497"/>
      <c r="J667" s="497"/>
      <c r="K667" s="497"/>
      <c r="L667" s="485"/>
      <c r="M667" s="485"/>
      <c r="N667" s="485"/>
      <c r="O667" s="485"/>
      <c r="P667" s="485"/>
      <c r="Q667" s="485"/>
      <c r="R667" s="485"/>
      <c r="S667" s="485"/>
      <c r="T667" s="485"/>
      <c r="U667" s="485"/>
      <c r="V667" s="485"/>
      <c r="W667" s="485"/>
      <c r="X667" s="485"/>
      <c r="Y667" s="485"/>
      <c r="Z667" s="485"/>
      <c r="AA667" s="485"/>
    </row>
    <row r="668">
      <c r="A668" s="486"/>
      <c r="B668" s="482"/>
      <c r="C668" s="497"/>
      <c r="D668" s="497"/>
      <c r="E668" s="497"/>
      <c r="F668" s="497"/>
      <c r="G668" s="497"/>
      <c r="H668" s="497"/>
      <c r="I668" s="497"/>
      <c r="J668" s="497"/>
      <c r="K668" s="497"/>
      <c r="L668" s="485"/>
      <c r="M668" s="485"/>
      <c r="N668" s="485"/>
      <c r="O668" s="485"/>
      <c r="P668" s="485"/>
      <c r="Q668" s="485"/>
      <c r="R668" s="485"/>
      <c r="S668" s="485"/>
      <c r="T668" s="485"/>
      <c r="U668" s="485"/>
      <c r="V668" s="485"/>
      <c r="W668" s="485"/>
      <c r="X668" s="485"/>
      <c r="Y668" s="485"/>
      <c r="Z668" s="485"/>
      <c r="AA668" s="485"/>
    </row>
    <row r="669">
      <c r="A669" s="486"/>
      <c r="B669" s="482"/>
      <c r="C669" s="497"/>
      <c r="D669" s="497"/>
      <c r="E669" s="497"/>
      <c r="F669" s="497"/>
      <c r="G669" s="497"/>
      <c r="H669" s="497"/>
      <c r="I669" s="497"/>
      <c r="J669" s="497"/>
      <c r="K669" s="497"/>
      <c r="L669" s="485"/>
      <c r="M669" s="485"/>
      <c r="N669" s="485"/>
      <c r="O669" s="485"/>
      <c r="P669" s="485"/>
      <c r="Q669" s="485"/>
      <c r="R669" s="485"/>
      <c r="S669" s="485"/>
      <c r="T669" s="485"/>
      <c r="U669" s="485"/>
      <c r="V669" s="485"/>
      <c r="W669" s="485"/>
      <c r="X669" s="485"/>
      <c r="Y669" s="485"/>
      <c r="Z669" s="485"/>
      <c r="AA669" s="485"/>
    </row>
    <row r="670">
      <c r="A670" s="486"/>
      <c r="B670" s="482"/>
      <c r="C670" s="497"/>
      <c r="D670" s="497"/>
      <c r="E670" s="497"/>
      <c r="F670" s="497"/>
      <c r="G670" s="497"/>
      <c r="H670" s="497"/>
      <c r="I670" s="497"/>
      <c r="J670" s="497"/>
      <c r="K670" s="497"/>
      <c r="L670" s="485"/>
      <c r="M670" s="485"/>
      <c r="N670" s="485"/>
      <c r="O670" s="485"/>
      <c r="P670" s="485"/>
      <c r="Q670" s="485"/>
      <c r="R670" s="485"/>
      <c r="S670" s="485"/>
      <c r="T670" s="485"/>
      <c r="U670" s="485"/>
      <c r="V670" s="485"/>
      <c r="W670" s="485"/>
      <c r="X670" s="485"/>
      <c r="Y670" s="485"/>
      <c r="Z670" s="485"/>
      <c r="AA670" s="485"/>
    </row>
    <row r="671">
      <c r="A671" s="486"/>
      <c r="B671" s="482"/>
      <c r="C671" s="497"/>
      <c r="D671" s="497"/>
      <c r="E671" s="497"/>
      <c r="F671" s="497"/>
      <c r="G671" s="497"/>
      <c r="H671" s="497"/>
      <c r="I671" s="497"/>
      <c r="J671" s="497"/>
      <c r="K671" s="497"/>
      <c r="L671" s="485"/>
      <c r="M671" s="485"/>
      <c r="N671" s="485"/>
      <c r="O671" s="485"/>
      <c r="P671" s="485"/>
      <c r="Q671" s="485"/>
      <c r="R671" s="485"/>
      <c r="S671" s="485"/>
      <c r="T671" s="485"/>
      <c r="U671" s="485"/>
      <c r="V671" s="485"/>
      <c r="W671" s="485"/>
      <c r="X671" s="485"/>
      <c r="Y671" s="485"/>
      <c r="Z671" s="485"/>
      <c r="AA671" s="485"/>
    </row>
    <row r="672">
      <c r="A672" s="486"/>
      <c r="B672" s="482"/>
      <c r="C672" s="497"/>
      <c r="D672" s="497"/>
      <c r="E672" s="497"/>
      <c r="F672" s="497"/>
      <c r="G672" s="497"/>
      <c r="H672" s="497"/>
      <c r="I672" s="497"/>
      <c r="J672" s="497"/>
      <c r="K672" s="497"/>
      <c r="L672" s="485"/>
      <c r="M672" s="485"/>
      <c r="N672" s="485"/>
      <c r="O672" s="485"/>
      <c r="P672" s="485"/>
      <c r="Q672" s="485"/>
      <c r="R672" s="485"/>
      <c r="S672" s="485"/>
      <c r="T672" s="485"/>
      <c r="U672" s="485"/>
      <c r="V672" s="485"/>
      <c r="W672" s="485"/>
      <c r="X672" s="485"/>
      <c r="Y672" s="485"/>
      <c r="Z672" s="485"/>
      <c r="AA672" s="485"/>
    </row>
    <row r="673">
      <c r="A673" s="486"/>
      <c r="B673" s="482"/>
      <c r="C673" s="497"/>
      <c r="D673" s="497"/>
      <c r="E673" s="497"/>
      <c r="F673" s="497"/>
      <c r="G673" s="497"/>
      <c r="H673" s="497"/>
      <c r="I673" s="497"/>
      <c r="J673" s="497"/>
      <c r="K673" s="497"/>
      <c r="L673" s="485"/>
      <c r="M673" s="485"/>
      <c r="N673" s="485"/>
      <c r="O673" s="485"/>
      <c r="P673" s="485"/>
      <c r="Q673" s="485"/>
      <c r="R673" s="485"/>
      <c r="S673" s="485"/>
      <c r="T673" s="485"/>
      <c r="U673" s="485"/>
      <c r="V673" s="485"/>
      <c r="W673" s="485"/>
      <c r="X673" s="485"/>
      <c r="Y673" s="485"/>
      <c r="Z673" s="485"/>
      <c r="AA673" s="485"/>
    </row>
    <row r="674">
      <c r="A674" s="486"/>
      <c r="B674" s="482"/>
      <c r="C674" s="497"/>
      <c r="D674" s="497"/>
      <c r="E674" s="497"/>
      <c r="F674" s="497"/>
      <c r="G674" s="497"/>
      <c r="H674" s="497"/>
      <c r="I674" s="497"/>
      <c r="J674" s="497"/>
      <c r="K674" s="497"/>
      <c r="L674" s="485"/>
      <c r="M674" s="485"/>
      <c r="N674" s="485"/>
      <c r="O674" s="485"/>
      <c r="P674" s="485"/>
      <c r="Q674" s="485"/>
      <c r="R674" s="485"/>
      <c r="S674" s="485"/>
      <c r="T674" s="485"/>
      <c r="U674" s="485"/>
      <c r="V674" s="485"/>
      <c r="W674" s="485"/>
      <c r="X674" s="485"/>
      <c r="Y674" s="485"/>
      <c r="Z674" s="485"/>
      <c r="AA674" s="485"/>
    </row>
    <row r="675">
      <c r="A675" s="486"/>
      <c r="B675" s="482"/>
      <c r="C675" s="497"/>
      <c r="D675" s="497"/>
      <c r="E675" s="497"/>
      <c r="F675" s="497"/>
      <c r="G675" s="497"/>
      <c r="H675" s="497"/>
      <c r="I675" s="497"/>
      <c r="J675" s="497"/>
      <c r="K675" s="497"/>
      <c r="L675" s="485"/>
      <c r="M675" s="485"/>
      <c r="N675" s="485"/>
      <c r="O675" s="485"/>
      <c r="P675" s="485"/>
      <c r="Q675" s="485"/>
      <c r="R675" s="485"/>
      <c r="S675" s="485"/>
      <c r="T675" s="485"/>
      <c r="U675" s="485"/>
      <c r="V675" s="485"/>
      <c r="W675" s="485"/>
      <c r="X675" s="485"/>
      <c r="Y675" s="485"/>
      <c r="Z675" s="485"/>
      <c r="AA675" s="485"/>
    </row>
    <row r="676">
      <c r="A676" s="486"/>
      <c r="B676" s="482"/>
      <c r="C676" s="497"/>
      <c r="D676" s="497"/>
      <c r="E676" s="497"/>
      <c r="F676" s="497"/>
      <c r="G676" s="497"/>
      <c r="H676" s="497"/>
      <c r="I676" s="497"/>
      <c r="J676" s="497"/>
      <c r="K676" s="497"/>
      <c r="L676" s="485"/>
      <c r="M676" s="485"/>
      <c r="N676" s="485"/>
      <c r="O676" s="485"/>
      <c r="P676" s="485"/>
      <c r="Q676" s="485"/>
      <c r="R676" s="485"/>
      <c r="S676" s="485"/>
      <c r="T676" s="485"/>
      <c r="U676" s="485"/>
      <c r="V676" s="485"/>
      <c r="W676" s="485"/>
      <c r="X676" s="485"/>
      <c r="Y676" s="485"/>
      <c r="Z676" s="485"/>
      <c r="AA676" s="485"/>
    </row>
    <row r="677">
      <c r="A677" s="486"/>
      <c r="B677" s="482"/>
      <c r="C677" s="497"/>
      <c r="D677" s="497"/>
      <c r="E677" s="497"/>
      <c r="F677" s="497"/>
      <c r="G677" s="497"/>
      <c r="H677" s="497"/>
      <c r="I677" s="497"/>
      <c r="J677" s="497"/>
      <c r="K677" s="497"/>
      <c r="L677" s="485"/>
      <c r="M677" s="485"/>
      <c r="N677" s="485"/>
      <c r="O677" s="485"/>
      <c r="P677" s="485"/>
      <c r="Q677" s="485"/>
      <c r="R677" s="485"/>
      <c r="S677" s="485"/>
      <c r="T677" s="485"/>
      <c r="U677" s="485"/>
      <c r="V677" s="485"/>
      <c r="W677" s="485"/>
      <c r="X677" s="485"/>
      <c r="Y677" s="485"/>
      <c r="Z677" s="485"/>
      <c r="AA677" s="485"/>
    </row>
    <row r="678">
      <c r="A678" s="486"/>
      <c r="B678" s="482"/>
      <c r="C678" s="497"/>
      <c r="D678" s="497"/>
      <c r="E678" s="497"/>
      <c r="F678" s="497"/>
      <c r="G678" s="497"/>
      <c r="H678" s="497"/>
      <c r="I678" s="497"/>
      <c r="J678" s="497"/>
      <c r="K678" s="497"/>
      <c r="L678" s="485"/>
      <c r="M678" s="485"/>
      <c r="N678" s="485"/>
      <c r="O678" s="485"/>
      <c r="P678" s="485"/>
      <c r="Q678" s="485"/>
      <c r="R678" s="485"/>
      <c r="S678" s="485"/>
      <c r="T678" s="485"/>
      <c r="U678" s="485"/>
      <c r="V678" s="485"/>
      <c r="W678" s="485"/>
      <c r="X678" s="485"/>
      <c r="Y678" s="485"/>
      <c r="Z678" s="485"/>
      <c r="AA678" s="485"/>
    </row>
    <row r="679">
      <c r="A679" s="486"/>
      <c r="B679" s="482"/>
      <c r="C679" s="497"/>
      <c r="D679" s="497"/>
      <c r="E679" s="497"/>
      <c r="F679" s="497"/>
      <c r="G679" s="497"/>
      <c r="H679" s="497"/>
      <c r="I679" s="497"/>
      <c r="J679" s="497"/>
      <c r="K679" s="497"/>
      <c r="L679" s="485"/>
      <c r="M679" s="485"/>
      <c r="N679" s="485"/>
      <c r="O679" s="485"/>
      <c r="P679" s="485"/>
      <c r="Q679" s="485"/>
      <c r="R679" s="485"/>
      <c r="S679" s="485"/>
      <c r="T679" s="485"/>
      <c r="U679" s="485"/>
      <c r="V679" s="485"/>
      <c r="W679" s="485"/>
      <c r="X679" s="485"/>
      <c r="Y679" s="485"/>
      <c r="Z679" s="485"/>
      <c r="AA679" s="485"/>
    </row>
    <row r="680">
      <c r="A680" s="486"/>
      <c r="B680" s="482"/>
      <c r="C680" s="497"/>
      <c r="D680" s="497"/>
      <c r="E680" s="497"/>
      <c r="F680" s="497"/>
      <c r="G680" s="497"/>
      <c r="H680" s="497"/>
      <c r="I680" s="497"/>
      <c r="J680" s="497"/>
      <c r="K680" s="497"/>
      <c r="L680" s="485"/>
      <c r="M680" s="485"/>
      <c r="N680" s="485"/>
      <c r="O680" s="485"/>
      <c r="P680" s="485"/>
      <c r="Q680" s="485"/>
      <c r="R680" s="485"/>
      <c r="S680" s="485"/>
      <c r="T680" s="485"/>
      <c r="U680" s="485"/>
      <c r="V680" s="485"/>
      <c r="W680" s="485"/>
      <c r="X680" s="485"/>
      <c r="Y680" s="485"/>
      <c r="Z680" s="485"/>
      <c r="AA680" s="485"/>
    </row>
    <row r="681">
      <c r="A681" s="486"/>
      <c r="B681" s="482"/>
      <c r="C681" s="497"/>
      <c r="D681" s="497"/>
      <c r="E681" s="497"/>
      <c r="F681" s="497"/>
      <c r="G681" s="497"/>
      <c r="H681" s="497"/>
      <c r="I681" s="497"/>
      <c r="J681" s="497"/>
      <c r="K681" s="497"/>
      <c r="L681" s="485"/>
      <c r="M681" s="485"/>
      <c r="N681" s="485"/>
      <c r="O681" s="485"/>
      <c r="P681" s="485"/>
      <c r="Q681" s="485"/>
      <c r="R681" s="485"/>
      <c r="S681" s="485"/>
      <c r="T681" s="485"/>
      <c r="U681" s="485"/>
      <c r="V681" s="485"/>
      <c r="W681" s="485"/>
      <c r="X681" s="485"/>
      <c r="Y681" s="485"/>
      <c r="Z681" s="485"/>
      <c r="AA681" s="485"/>
    </row>
    <row r="682">
      <c r="A682" s="486"/>
      <c r="B682" s="482"/>
      <c r="C682" s="497"/>
      <c r="D682" s="497"/>
      <c r="E682" s="497"/>
      <c r="F682" s="497"/>
      <c r="G682" s="497"/>
      <c r="H682" s="497"/>
      <c r="I682" s="497"/>
      <c r="J682" s="497"/>
      <c r="K682" s="497"/>
      <c r="L682" s="485"/>
      <c r="M682" s="485"/>
      <c r="N682" s="485"/>
      <c r="O682" s="485"/>
      <c r="P682" s="485"/>
      <c r="Q682" s="485"/>
      <c r="R682" s="485"/>
      <c r="S682" s="485"/>
      <c r="T682" s="485"/>
      <c r="U682" s="485"/>
      <c r="V682" s="485"/>
      <c r="W682" s="485"/>
      <c r="X682" s="485"/>
      <c r="Y682" s="485"/>
      <c r="Z682" s="485"/>
      <c r="AA682" s="485"/>
    </row>
    <row r="683">
      <c r="A683" s="486"/>
      <c r="B683" s="482"/>
      <c r="C683" s="497"/>
      <c r="D683" s="497"/>
      <c r="E683" s="497"/>
      <c r="F683" s="497"/>
      <c r="G683" s="497"/>
      <c r="H683" s="497"/>
      <c r="I683" s="497"/>
      <c r="J683" s="497"/>
      <c r="K683" s="497"/>
      <c r="L683" s="485"/>
      <c r="M683" s="485"/>
      <c r="N683" s="485"/>
      <c r="O683" s="485"/>
      <c r="P683" s="485"/>
      <c r="Q683" s="485"/>
      <c r="R683" s="485"/>
      <c r="S683" s="485"/>
      <c r="T683" s="485"/>
      <c r="U683" s="485"/>
      <c r="V683" s="485"/>
      <c r="W683" s="485"/>
      <c r="X683" s="485"/>
      <c r="Y683" s="485"/>
      <c r="Z683" s="485"/>
      <c r="AA683" s="485"/>
    </row>
    <row r="684">
      <c r="A684" s="486"/>
      <c r="B684" s="482"/>
      <c r="C684" s="497"/>
      <c r="D684" s="497"/>
      <c r="E684" s="497"/>
      <c r="F684" s="497"/>
      <c r="G684" s="497"/>
      <c r="H684" s="497"/>
      <c r="I684" s="497"/>
      <c r="J684" s="497"/>
      <c r="K684" s="497"/>
      <c r="L684" s="485"/>
      <c r="M684" s="485"/>
      <c r="N684" s="485"/>
      <c r="O684" s="485"/>
      <c r="P684" s="485"/>
      <c r="Q684" s="485"/>
      <c r="R684" s="485"/>
      <c r="S684" s="485"/>
      <c r="T684" s="485"/>
      <c r="U684" s="485"/>
      <c r="V684" s="485"/>
      <c r="W684" s="485"/>
      <c r="X684" s="485"/>
      <c r="Y684" s="485"/>
      <c r="Z684" s="485"/>
      <c r="AA684" s="485"/>
    </row>
    <row r="685">
      <c r="A685" s="486"/>
      <c r="B685" s="482"/>
      <c r="C685" s="497"/>
      <c r="D685" s="497"/>
      <c r="E685" s="497"/>
      <c r="F685" s="497"/>
      <c r="G685" s="497"/>
      <c r="H685" s="497"/>
      <c r="I685" s="497"/>
      <c r="J685" s="497"/>
      <c r="K685" s="497"/>
      <c r="L685" s="485"/>
      <c r="M685" s="485"/>
      <c r="N685" s="485"/>
      <c r="O685" s="485"/>
      <c r="P685" s="485"/>
      <c r="Q685" s="485"/>
      <c r="R685" s="485"/>
      <c r="S685" s="485"/>
      <c r="T685" s="485"/>
      <c r="U685" s="485"/>
      <c r="V685" s="485"/>
      <c r="W685" s="485"/>
      <c r="X685" s="485"/>
      <c r="Y685" s="485"/>
      <c r="Z685" s="485"/>
      <c r="AA685" s="485"/>
    </row>
    <row r="686">
      <c r="A686" s="486"/>
      <c r="B686" s="482"/>
      <c r="C686" s="497"/>
      <c r="D686" s="497"/>
      <c r="E686" s="497"/>
      <c r="F686" s="497"/>
      <c r="G686" s="497"/>
      <c r="H686" s="497"/>
      <c r="I686" s="497"/>
      <c r="J686" s="497"/>
      <c r="K686" s="497"/>
      <c r="L686" s="485"/>
      <c r="M686" s="485"/>
      <c r="N686" s="485"/>
      <c r="O686" s="485"/>
      <c r="P686" s="485"/>
      <c r="Q686" s="485"/>
      <c r="R686" s="485"/>
      <c r="S686" s="485"/>
      <c r="T686" s="485"/>
      <c r="U686" s="485"/>
      <c r="V686" s="485"/>
      <c r="W686" s="485"/>
      <c r="X686" s="485"/>
      <c r="Y686" s="485"/>
      <c r="Z686" s="485"/>
      <c r="AA686" s="485"/>
    </row>
    <row r="687">
      <c r="A687" s="486"/>
      <c r="B687" s="482"/>
      <c r="C687" s="497"/>
      <c r="D687" s="497"/>
      <c r="E687" s="497"/>
      <c r="F687" s="497"/>
      <c r="G687" s="497"/>
      <c r="H687" s="497"/>
      <c r="I687" s="497"/>
      <c r="J687" s="497"/>
      <c r="K687" s="497"/>
      <c r="L687" s="485"/>
      <c r="M687" s="485"/>
      <c r="N687" s="485"/>
      <c r="O687" s="485"/>
      <c r="P687" s="485"/>
      <c r="Q687" s="485"/>
      <c r="R687" s="485"/>
      <c r="S687" s="485"/>
      <c r="T687" s="485"/>
      <c r="U687" s="485"/>
      <c r="V687" s="485"/>
      <c r="W687" s="485"/>
      <c r="X687" s="485"/>
      <c r="Y687" s="485"/>
      <c r="Z687" s="485"/>
      <c r="AA687" s="485"/>
    </row>
    <row r="688">
      <c r="A688" s="486"/>
      <c r="B688" s="482"/>
      <c r="C688" s="497"/>
      <c r="D688" s="497"/>
      <c r="E688" s="497"/>
      <c r="F688" s="497"/>
      <c r="G688" s="497"/>
      <c r="H688" s="497"/>
      <c r="I688" s="497"/>
      <c r="J688" s="497"/>
      <c r="K688" s="497"/>
      <c r="L688" s="485"/>
      <c r="M688" s="485"/>
      <c r="N688" s="485"/>
      <c r="O688" s="485"/>
      <c r="P688" s="485"/>
      <c r="Q688" s="485"/>
      <c r="R688" s="485"/>
      <c r="S688" s="485"/>
      <c r="T688" s="485"/>
      <c r="U688" s="485"/>
      <c r="V688" s="485"/>
      <c r="W688" s="485"/>
      <c r="X688" s="485"/>
      <c r="Y688" s="485"/>
      <c r="Z688" s="485"/>
      <c r="AA688" s="485"/>
    </row>
    <row r="689">
      <c r="A689" s="486"/>
      <c r="B689" s="482"/>
      <c r="C689" s="497"/>
      <c r="D689" s="497"/>
      <c r="E689" s="497"/>
      <c r="F689" s="497"/>
      <c r="G689" s="497"/>
      <c r="H689" s="497"/>
      <c r="I689" s="497"/>
      <c r="J689" s="497"/>
      <c r="K689" s="497"/>
      <c r="L689" s="485"/>
      <c r="M689" s="485"/>
      <c r="N689" s="485"/>
      <c r="O689" s="485"/>
      <c r="P689" s="485"/>
      <c r="Q689" s="485"/>
      <c r="R689" s="485"/>
      <c r="S689" s="485"/>
      <c r="T689" s="485"/>
      <c r="U689" s="485"/>
      <c r="V689" s="485"/>
      <c r="W689" s="485"/>
      <c r="X689" s="485"/>
      <c r="Y689" s="485"/>
      <c r="Z689" s="485"/>
      <c r="AA689" s="485"/>
    </row>
    <row r="690">
      <c r="A690" s="486"/>
      <c r="B690" s="482"/>
      <c r="C690" s="497"/>
      <c r="D690" s="497"/>
      <c r="E690" s="497"/>
      <c r="F690" s="497"/>
      <c r="G690" s="497"/>
      <c r="H690" s="497"/>
      <c r="I690" s="497"/>
      <c r="J690" s="497"/>
      <c r="K690" s="497"/>
      <c r="L690" s="485"/>
      <c r="M690" s="485"/>
      <c r="N690" s="485"/>
      <c r="O690" s="485"/>
      <c r="P690" s="485"/>
      <c r="Q690" s="485"/>
      <c r="R690" s="485"/>
      <c r="S690" s="485"/>
      <c r="T690" s="485"/>
      <c r="U690" s="485"/>
      <c r="V690" s="485"/>
      <c r="W690" s="485"/>
      <c r="X690" s="485"/>
      <c r="Y690" s="485"/>
      <c r="Z690" s="485"/>
      <c r="AA690" s="485"/>
    </row>
    <row r="691">
      <c r="A691" s="486"/>
      <c r="B691" s="482"/>
      <c r="C691" s="497"/>
      <c r="D691" s="497"/>
      <c r="E691" s="497"/>
      <c r="F691" s="497"/>
      <c r="G691" s="497"/>
      <c r="H691" s="497"/>
      <c r="I691" s="497"/>
      <c r="J691" s="497"/>
      <c r="K691" s="497"/>
      <c r="L691" s="485"/>
      <c r="M691" s="485"/>
      <c r="N691" s="485"/>
      <c r="O691" s="485"/>
      <c r="P691" s="485"/>
      <c r="Q691" s="485"/>
      <c r="R691" s="485"/>
      <c r="S691" s="485"/>
      <c r="T691" s="485"/>
      <c r="U691" s="485"/>
      <c r="V691" s="485"/>
      <c r="W691" s="485"/>
      <c r="X691" s="485"/>
      <c r="Y691" s="485"/>
      <c r="Z691" s="485"/>
      <c r="AA691" s="485"/>
    </row>
    <row r="692">
      <c r="A692" s="486"/>
      <c r="B692" s="482"/>
      <c r="C692" s="497"/>
      <c r="D692" s="497"/>
      <c r="E692" s="497"/>
      <c r="F692" s="497"/>
      <c r="G692" s="497"/>
      <c r="H692" s="497"/>
      <c r="I692" s="497"/>
      <c r="J692" s="497"/>
      <c r="K692" s="497"/>
      <c r="L692" s="485"/>
      <c r="M692" s="485"/>
      <c r="N692" s="485"/>
      <c r="O692" s="485"/>
      <c r="P692" s="485"/>
      <c r="Q692" s="485"/>
      <c r="R692" s="485"/>
      <c r="S692" s="485"/>
      <c r="T692" s="485"/>
      <c r="U692" s="485"/>
      <c r="V692" s="485"/>
      <c r="W692" s="485"/>
      <c r="X692" s="485"/>
      <c r="Y692" s="485"/>
      <c r="Z692" s="485"/>
      <c r="AA692" s="485"/>
    </row>
    <row r="693">
      <c r="A693" s="486"/>
      <c r="B693" s="482"/>
      <c r="C693" s="497"/>
      <c r="D693" s="497"/>
      <c r="E693" s="497"/>
      <c r="F693" s="497"/>
      <c r="G693" s="497"/>
      <c r="H693" s="497"/>
      <c r="I693" s="497"/>
      <c r="J693" s="497"/>
      <c r="K693" s="497"/>
      <c r="L693" s="485"/>
      <c r="M693" s="485"/>
      <c r="N693" s="485"/>
      <c r="O693" s="485"/>
      <c r="P693" s="485"/>
      <c r="Q693" s="485"/>
      <c r="R693" s="485"/>
      <c r="S693" s="485"/>
      <c r="T693" s="485"/>
      <c r="U693" s="485"/>
      <c r="V693" s="485"/>
      <c r="W693" s="485"/>
      <c r="X693" s="485"/>
      <c r="Y693" s="485"/>
      <c r="Z693" s="485"/>
      <c r="AA693" s="485"/>
    </row>
    <row r="694">
      <c r="A694" s="486"/>
      <c r="B694" s="482"/>
      <c r="C694" s="497"/>
      <c r="D694" s="497"/>
      <c r="E694" s="497"/>
      <c r="F694" s="497"/>
      <c r="G694" s="497"/>
      <c r="H694" s="497"/>
      <c r="I694" s="497"/>
      <c r="J694" s="497"/>
      <c r="K694" s="497"/>
      <c r="L694" s="485"/>
      <c r="M694" s="485"/>
      <c r="N694" s="485"/>
      <c r="O694" s="485"/>
      <c r="P694" s="485"/>
      <c r="Q694" s="485"/>
      <c r="R694" s="485"/>
      <c r="S694" s="485"/>
      <c r="T694" s="485"/>
      <c r="U694" s="485"/>
      <c r="V694" s="485"/>
      <c r="W694" s="485"/>
      <c r="X694" s="485"/>
      <c r="Y694" s="485"/>
      <c r="Z694" s="485"/>
      <c r="AA694" s="485"/>
    </row>
    <row r="695">
      <c r="A695" s="486"/>
      <c r="B695" s="482"/>
      <c r="C695" s="497"/>
      <c r="D695" s="497"/>
      <c r="E695" s="497"/>
      <c r="F695" s="497"/>
      <c r="G695" s="497"/>
      <c r="H695" s="497"/>
      <c r="I695" s="497"/>
      <c r="J695" s="497"/>
      <c r="K695" s="497"/>
      <c r="L695" s="485"/>
      <c r="M695" s="485"/>
      <c r="N695" s="485"/>
      <c r="O695" s="485"/>
      <c r="P695" s="485"/>
      <c r="Q695" s="485"/>
      <c r="R695" s="485"/>
      <c r="S695" s="485"/>
      <c r="T695" s="485"/>
      <c r="U695" s="485"/>
      <c r="V695" s="485"/>
      <c r="W695" s="485"/>
      <c r="X695" s="485"/>
      <c r="Y695" s="485"/>
      <c r="Z695" s="485"/>
      <c r="AA695" s="485"/>
    </row>
    <row r="696">
      <c r="A696" s="486"/>
      <c r="B696" s="482"/>
      <c r="C696" s="497"/>
      <c r="D696" s="497"/>
      <c r="E696" s="497"/>
      <c r="F696" s="497"/>
      <c r="G696" s="497"/>
      <c r="H696" s="497"/>
      <c r="I696" s="497"/>
      <c r="J696" s="497"/>
      <c r="K696" s="497"/>
      <c r="L696" s="485"/>
      <c r="M696" s="485"/>
      <c r="N696" s="485"/>
      <c r="O696" s="485"/>
      <c r="P696" s="485"/>
      <c r="Q696" s="485"/>
      <c r="R696" s="485"/>
      <c r="S696" s="485"/>
      <c r="T696" s="485"/>
      <c r="U696" s="485"/>
      <c r="V696" s="485"/>
      <c r="W696" s="485"/>
      <c r="X696" s="485"/>
      <c r="Y696" s="485"/>
      <c r="Z696" s="485"/>
      <c r="AA696" s="485"/>
    </row>
    <row r="697">
      <c r="A697" s="486"/>
      <c r="B697" s="482"/>
      <c r="C697" s="497"/>
      <c r="D697" s="497"/>
      <c r="E697" s="497"/>
      <c r="F697" s="497"/>
      <c r="G697" s="497"/>
      <c r="H697" s="497"/>
      <c r="I697" s="497"/>
      <c r="J697" s="497"/>
      <c r="K697" s="497"/>
      <c r="L697" s="485"/>
      <c r="M697" s="485"/>
      <c r="N697" s="485"/>
      <c r="O697" s="485"/>
      <c r="P697" s="485"/>
      <c r="Q697" s="485"/>
      <c r="R697" s="485"/>
      <c r="S697" s="485"/>
      <c r="T697" s="485"/>
      <c r="U697" s="485"/>
      <c r="V697" s="485"/>
      <c r="W697" s="485"/>
      <c r="X697" s="485"/>
      <c r="Y697" s="485"/>
      <c r="Z697" s="485"/>
      <c r="AA697" s="485"/>
    </row>
    <row r="698">
      <c r="A698" s="486"/>
      <c r="B698" s="482"/>
      <c r="C698" s="497"/>
      <c r="D698" s="497"/>
      <c r="E698" s="497"/>
      <c r="F698" s="497"/>
      <c r="G698" s="497"/>
      <c r="H698" s="497"/>
      <c r="I698" s="497"/>
      <c r="J698" s="497"/>
      <c r="K698" s="497"/>
      <c r="L698" s="485"/>
      <c r="M698" s="485"/>
      <c r="N698" s="485"/>
      <c r="O698" s="485"/>
      <c r="P698" s="485"/>
      <c r="Q698" s="485"/>
      <c r="R698" s="485"/>
      <c r="S698" s="485"/>
      <c r="T698" s="485"/>
      <c r="U698" s="485"/>
      <c r="V698" s="485"/>
      <c r="W698" s="485"/>
      <c r="X698" s="485"/>
      <c r="Y698" s="485"/>
      <c r="Z698" s="485"/>
      <c r="AA698" s="485"/>
    </row>
    <row r="699">
      <c r="A699" s="486"/>
      <c r="B699" s="482"/>
      <c r="C699" s="497"/>
      <c r="D699" s="497"/>
      <c r="E699" s="497"/>
      <c r="F699" s="497"/>
      <c r="G699" s="497"/>
      <c r="H699" s="497"/>
      <c r="I699" s="497"/>
      <c r="J699" s="497"/>
      <c r="K699" s="497"/>
      <c r="L699" s="485"/>
      <c r="M699" s="485"/>
      <c r="N699" s="485"/>
      <c r="O699" s="485"/>
      <c r="P699" s="485"/>
      <c r="Q699" s="485"/>
      <c r="R699" s="485"/>
      <c r="S699" s="485"/>
      <c r="T699" s="485"/>
      <c r="U699" s="485"/>
      <c r="V699" s="485"/>
      <c r="W699" s="485"/>
      <c r="X699" s="485"/>
      <c r="Y699" s="485"/>
      <c r="Z699" s="485"/>
      <c r="AA699" s="485"/>
    </row>
    <row r="700">
      <c r="A700" s="486"/>
      <c r="B700" s="482"/>
      <c r="C700" s="497"/>
      <c r="D700" s="497"/>
      <c r="E700" s="497"/>
      <c r="F700" s="497"/>
      <c r="G700" s="497"/>
      <c r="H700" s="497"/>
      <c r="I700" s="497"/>
      <c r="J700" s="497"/>
      <c r="K700" s="497"/>
      <c r="L700" s="485"/>
      <c r="M700" s="485"/>
      <c r="N700" s="485"/>
      <c r="O700" s="485"/>
      <c r="P700" s="485"/>
      <c r="Q700" s="485"/>
      <c r="R700" s="485"/>
      <c r="S700" s="485"/>
      <c r="T700" s="485"/>
      <c r="U700" s="485"/>
      <c r="V700" s="485"/>
      <c r="W700" s="485"/>
      <c r="X700" s="485"/>
      <c r="Y700" s="485"/>
      <c r="Z700" s="485"/>
      <c r="AA700" s="485"/>
    </row>
    <row r="701">
      <c r="A701" s="486"/>
      <c r="B701" s="482"/>
      <c r="C701" s="497"/>
      <c r="D701" s="497"/>
      <c r="E701" s="497"/>
      <c r="F701" s="497"/>
      <c r="G701" s="497"/>
      <c r="H701" s="497"/>
      <c r="I701" s="497"/>
      <c r="J701" s="497"/>
      <c r="K701" s="497"/>
      <c r="L701" s="485"/>
      <c r="M701" s="485"/>
      <c r="N701" s="485"/>
      <c r="O701" s="485"/>
      <c r="P701" s="485"/>
      <c r="Q701" s="485"/>
      <c r="R701" s="485"/>
      <c r="S701" s="485"/>
      <c r="T701" s="485"/>
      <c r="U701" s="485"/>
      <c r="V701" s="485"/>
      <c r="W701" s="485"/>
      <c r="X701" s="485"/>
      <c r="Y701" s="485"/>
      <c r="Z701" s="485"/>
      <c r="AA701" s="485"/>
    </row>
    <row r="702">
      <c r="A702" s="486"/>
      <c r="B702" s="482"/>
      <c r="C702" s="497"/>
      <c r="D702" s="497"/>
      <c r="E702" s="497"/>
      <c r="F702" s="497"/>
      <c r="G702" s="497"/>
      <c r="H702" s="497"/>
      <c r="I702" s="497"/>
      <c r="J702" s="497"/>
      <c r="K702" s="497"/>
      <c r="L702" s="485"/>
      <c r="M702" s="485"/>
      <c r="N702" s="485"/>
      <c r="O702" s="485"/>
      <c r="P702" s="485"/>
      <c r="Q702" s="485"/>
      <c r="R702" s="485"/>
      <c r="S702" s="485"/>
      <c r="T702" s="485"/>
      <c r="U702" s="485"/>
      <c r="V702" s="485"/>
      <c r="W702" s="485"/>
      <c r="X702" s="485"/>
      <c r="Y702" s="485"/>
      <c r="Z702" s="485"/>
      <c r="AA702" s="485"/>
    </row>
    <row r="703">
      <c r="A703" s="486"/>
      <c r="B703" s="482"/>
      <c r="C703" s="497"/>
      <c r="D703" s="497"/>
      <c r="E703" s="497"/>
      <c r="F703" s="497"/>
      <c r="G703" s="497"/>
      <c r="H703" s="497"/>
      <c r="I703" s="497"/>
      <c r="J703" s="497"/>
      <c r="K703" s="497"/>
      <c r="L703" s="485"/>
      <c r="M703" s="485"/>
      <c r="N703" s="485"/>
      <c r="O703" s="485"/>
      <c r="P703" s="485"/>
      <c r="Q703" s="485"/>
      <c r="R703" s="485"/>
      <c r="S703" s="485"/>
      <c r="T703" s="485"/>
      <c r="U703" s="485"/>
      <c r="V703" s="485"/>
      <c r="W703" s="485"/>
      <c r="X703" s="485"/>
      <c r="Y703" s="485"/>
      <c r="Z703" s="485"/>
      <c r="AA703" s="485"/>
    </row>
    <row r="704">
      <c r="A704" s="486"/>
      <c r="B704" s="482"/>
      <c r="C704" s="497"/>
      <c r="D704" s="497"/>
      <c r="E704" s="497"/>
      <c r="F704" s="497"/>
      <c r="G704" s="497"/>
      <c r="H704" s="497"/>
      <c r="I704" s="497"/>
      <c r="J704" s="497"/>
      <c r="K704" s="497"/>
      <c r="L704" s="485"/>
      <c r="M704" s="485"/>
      <c r="N704" s="485"/>
      <c r="O704" s="485"/>
      <c r="P704" s="485"/>
      <c r="Q704" s="485"/>
      <c r="R704" s="485"/>
      <c r="S704" s="485"/>
      <c r="T704" s="485"/>
      <c r="U704" s="485"/>
      <c r="V704" s="485"/>
      <c r="W704" s="485"/>
      <c r="X704" s="485"/>
      <c r="Y704" s="485"/>
      <c r="Z704" s="485"/>
      <c r="AA704" s="485"/>
    </row>
    <row r="705">
      <c r="A705" s="486"/>
      <c r="B705" s="482"/>
      <c r="C705" s="497"/>
      <c r="D705" s="497"/>
      <c r="E705" s="497"/>
      <c r="F705" s="497"/>
      <c r="G705" s="497"/>
      <c r="H705" s="497"/>
      <c r="I705" s="497"/>
      <c r="J705" s="497"/>
      <c r="K705" s="497"/>
      <c r="L705" s="485"/>
      <c r="M705" s="485"/>
      <c r="N705" s="485"/>
      <c r="O705" s="485"/>
      <c r="P705" s="485"/>
      <c r="Q705" s="485"/>
      <c r="R705" s="485"/>
      <c r="S705" s="485"/>
      <c r="T705" s="485"/>
      <c r="U705" s="485"/>
      <c r="V705" s="485"/>
      <c r="W705" s="485"/>
      <c r="X705" s="485"/>
      <c r="Y705" s="485"/>
      <c r="Z705" s="485"/>
      <c r="AA705" s="485"/>
    </row>
    <row r="706">
      <c r="A706" s="486"/>
      <c r="B706" s="482"/>
      <c r="C706" s="497"/>
      <c r="D706" s="497"/>
      <c r="E706" s="497"/>
      <c r="F706" s="497"/>
      <c r="G706" s="497"/>
      <c r="H706" s="497"/>
      <c r="I706" s="497"/>
      <c r="J706" s="497"/>
      <c r="K706" s="497"/>
      <c r="L706" s="485"/>
      <c r="M706" s="485"/>
      <c r="N706" s="485"/>
      <c r="O706" s="485"/>
      <c r="P706" s="485"/>
      <c r="Q706" s="485"/>
      <c r="R706" s="485"/>
      <c r="S706" s="485"/>
      <c r="T706" s="485"/>
      <c r="U706" s="485"/>
      <c r="V706" s="485"/>
      <c r="W706" s="485"/>
      <c r="X706" s="485"/>
      <c r="Y706" s="485"/>
      <c r="Z706" s="485"/>
      <c r="AA706" s="485"/>
    </row>
    <row r="707">
      <c r="A707" s="486"/>
      <c r="B707" s="482"/>
      <c r="C707" s="497"/>
      <c r="D707" s="497"/>
      <c r="E707" s="497"/>
      <c r="F707" s="497"/>
      <c r="G707" s="497"/>
      <c r="H707" s="497"/>
      <c r="I707" s="497"/>
      <c r="J707" s="497"/>
      <c r="K707" s="497"/>
      <c r="L707" s="485"/>
      <c r="M707" s="485"/>
      <c r="N707" s="485"/>
      <c r="O707" s="485"/>
      <c r="P707" s="485"/>
      <c r="Q707" s="485"/>
      <c r="R707" s="485"/>
      <c r="S707" s="485"/>
      <c r="T707" s="485"/>
      <c r="U707" s="485"/>
      <c r="V707" s="485"/>
      <c r="W707" s="485"/>
      <c r="X707" s="485"/>
      <c r="Y707" s="485"/>
      <c r="Z707" s="485"/>
      <c r="AA707" s="485"/>
    </row>
    <row r="708">
      <c r="A708" s="486"/>
      <c r="B708" s="482"/>
      <c r="C708" s="497"/>
      <c r="D708" s="497"/>
      <c r="E708" s="497"/>
      <c r="F708" s="497"/>
      <c r="G708" s="497"/>
      <c r="H708" s="497"/>
      <c r="I708" s="497"/>
      <c r="J708" s="497"/>
      <c r="K708" s="497"/>
      <c r="L708" s="485"/>
      <c r="M708" s="485"/>
      <c r="N708" s="485"/>
      <c r="O708" s="485"/>
      <c r="P708" s="485"/>
      <c r="Q708" s="485"/>
      <c r="R708" s="485"/>
      <c r="S708" s="485"/>
      <c r="T708" s="485"/>
      <c r="U708" s="485"/>
      <c r="V708" s="485"/>
      <c r="W708" s="485"/>
      <c r="X708" s="485"/>
      <c r="Y708" s="485"/>
      <c r="Z708" s="485"/>
      <c r="AA708" s="485"/>
    </row>
    <row r="709">
      <c r="A709" s="486"/>
      <c r="B709" s="482"/>
      <c r="C709" s="497"/>
      <c r="D709" s="497"/>
      <c r="E709" s="497"/>
      <c r="F709" s="497"/>
      <c r="G709" s="497"/>
      <c r="H709" s="497"/>
      <c r="I709" s="497"/>
      <c r="J709" s="497"/>
      <c r="K709" s="497"/>
      <c r="L709" s="485"/>
      <c r="M709" s="485"/>
      <c r="N709" s="485"/>
      <c r="O709" s="485"/>
      <c r="P709" s="485"/>
      <c r="Q709" s="485"/>
      <c r="R709" s="485"/>
      <c r="S709" s="485"/>
      <c r="T709" s="485"/>
      <c r="U709" s="485"/>
      <c r="V709" s="485"/>
      <c r="W709" s="485"/>
      <c r="X709" s="485"/>
      <c r="Y709" s="485"/>
      <c r="Z709" s="485"/>
      <c r="AA709" s="485"/>
    </row>
    <row r="710">
      <c r="A710" s="486"/>
      <c r="B710" s="482"/>
      <c r="C710" s="497"/>
      <c r="D710" s="497"/>
      <c r="E710" s="497"/>
      <c r="F710" s="497"/>
      <c r="G710" s="497"/>
      <c r="H710" s="497"/>
      <c r="I710" s="497"/>
      <c r="J710" s="497"/>
      <c r="K710" s="497"/>
      <c r="L710" s="485"/>
      <c r="M710" s="485"/>
      <c r="N710" s="485"/>
      <c r="O710" s="485"/>
      <c r="P710" s="485"/>
      <c r="Q710" s="485"/>
      <c r="R710" s="485"/>
      <c r="S710" s="485"/>
      <c r="T710" s="485"/>
      <c r="U710" s="485"/>
      <c r="V710" s="485"/>
      <c r="W710" s="485"/>
      <c r="X710" s="485"/>
      <c r="Y710" s="485"/>
      <c r="Z710" s="485"/>
      <c r="AA710" s="485"/>
    </row>
    <row r="711">
      <c r="A711" s="486"/>
      <c r="B711" s="482"/>
      <c r="C711" s="497"/>
      <c r="D711" s="497"/>
      <c r="E711" s="497"/>
      <c r="F711" s="497"/>
      <c r="G711" s="497"/>
      <c r="H711" s="497"/>
      <c r="I711" s="497"/>
      <c r="J711" s="497"/>
      <c r="K711" s="497"/>
      <c r="L711" s="485"/>
      <c r="M711" s="485"/>
      <c r="N711" s="485"/>
      <c r="O711" s="485"/>
      <c r="P711" s="485"/>
      <c r="Q711" s="485"/>
      <c r="R711" s="485"/>
      <c r="S711" s="485"/>
      <c r="T711" s="485"/>
      <c r="U711" s="485"/>
      <c r="V711" s="485"/>
      <c r="W711" s="485"/>
      <c r="X711" s="485"/>
      <c r="Y711" s="485"/>
      <c r="Z711" s="485"/>
      <c r="AA711" s="485"/>
    </row>
    <row r="712">
      <c r="A712" s="486"/>
      <c r="B712" s="482"/>
      <c r="C712" s="497"/>
      <c r="D712" s="497"/>
      <c r="E712" s="497"/>
      <c r="F712" s="497"/>
      <c r="G712" s="497"/>
      <c r="H712" s="497"/>
      <c r="I712" s="497"/>
      <c r="J712" s="497"/>
      <c r="K712" s="497"/>
      <c r="L712" s="485"/>
      <c r="M712" s="485"/>
      <c r="N712" s="485"/>
      <c r="O712" s="485"/>
      <c r="P712" s="485"/>
      <c r="Q712" s="485"/>
      <c r="R712" s="485"/>
      <c r="S712" s="485"/>
      <c r="T712" s="485"/>
      <c r="U712" s="485"/>
      <c r="V712" s="485"/>
      <c r="W712" s="485"/>
      <c r="X712" s="485"/>
      <c r="Y712" s="485"/>
      <c r="Z712" s="485"/>
      <c r="AA712" s="485"/>
    </row>
    <row r="713">
      <c r="A713" s="486"/>
      <c r="B713" s="482"/>
      <c r="C713" s="497"/>
      <c r="D713" s="497"/>
      <c r="E713" s="497"/>
      <c r="F713" s="497"/>
      <c r="G713" s="497"/>
      <c r="H713" s="497"/>
      <c r="I713" s="497"/>
      <c r="J713" s="497"/>
      <c r="K713" s="497"/>
      <c r="L713" s="485"/>
      <c r="M713" s="485"/>
      <c r="N713" s="485"/>
      <c r="O713" s="485"/>
      <c r="P713" s="485"/>
      <c r="Q713" s="485"/>
      <c r="R713" s="485"/>
      <c r="S713" s="485"/>
      <c r="T713" s="485"/>
      <c r="U713" s="485"/>
      <c r="V713" s="485"/>
      <c r="W713" s="485"/>
      <c r="X713" s="485"/>
      <c r="Y713" s="485"/>
      <c r="Z713" s="485"/>
      <c r="AA713" s="485"/>
    </row>
    <row r="714">
      <c r="A714" s="486"/>
      <c r="B714" s="482"/>
      <c r="C714" s="497"/>
      <c r="D714" s="497"/>
      <c r="E714" s="497"/>
      <c r="F714" s="497"/>
      <c r="G714" s="497"/>
      <c r="H714" s="497"/>
      <c r="I714" s="497"/>
      <c r="J714" s="497"/>
      <c r="K714" s="497"/>
      <c r="L714" s="485"/>
      <c r="M714" s="485"/>
      <c r="N714" s="485"/>
      <c r="O714" s="485"/>
      <c r="P714" s="485"/>
      <c r="Q714" s="485"/>
      <c r="R714" s="485"/>
      <c r="S714" s="485"/>
      <c r="T714" s="485"/>
      <c r="U714" s="485"/>
      <c r="V714" s="485"/>
      <c r="W714" s="485"/>
      <c r="X714" s="485"/>
      <c r="Y714" s="485"/>
      <c r="Z714" s="485"/>
      <c r="AA714" s="485"/>
    </row>
    <row r="715">
      <c r="A715" s="486"/>
      <c r="B715" s="482"/>
      <c r="C715" s="497"/>
      <c r="D715" s="497"/>
      <c r="E715" s="497"/>
      <c r="F715" s="497"/>
      <c r="G715" s="497"/>
      <c r="H715" s="497"/>
      <c r="I715" s="497"/>
      <c r="J715" s="497"/>
      <c r="K715" s="497"/>
      <c r="L715" s="485"/>
      <c r="M715" s="485"/>
      <c r="N715" s="485"/>
      <c r="O715" s="485"/>
      <c r="P715" s="485"/>
      <c r="Q715" s="485"/>
      <c r="R715" s="485"/>
      <c r="S715" s="485"/>
      <c r="T715" s="485"/>
      <c r="U715" s="485"/>
      <c r="V715" s="485"/>
      <c r="W715" s="485"/>
      <c r="X715" s="485"/>
      <c r="Y715" s="485"/>
      <c r="Z715" s="485"/>
      <c r="AA715" s="485"/>
    </row>
    <row r="716">
      <c r="A716" s="486"/>
      <c r="B716" s="482"/>
      <c r="C716" s="497"/>
      <c r="D716" s="497"/>
      <c r="E716" s="497"/>
      <c r="F716" s="497"/>
      <c r="G716" s="497"/>
      <c r="H716" s="497"/>
      <c r="I716" s="497"/>
      <c r="J716" s="497"/>
      <c r="K716" s="497"/>
      <c r="L716" s="485"/>
      <c r="M716" s="485"/>
      <c r="N716" s="485"/>
      <c r="O716" s="485"/>
      <c r="P716" s="485"/>
      <c r="Q716" s="485"/>
      <c r="R716" s="485"/>
      <c r="S716" s="485"/>
      <c r="T716" s="485"/>
      <c r="U716" s="485"/>
      <c r="V716" s="485"/>
      <c r="W716" s="485"/>
      <c r="X716" s="485"/>
      <c r="Y716" s="485"/>
      <c r="Z716" s="485"/>
      <c r="AA716" s="485"/>
    </row>
    <row r="717">
      <c r="A717" s="486"/>
      <c r="B717" s="482"/>
      <c r="C717" s="497"/>
      <c r="D717" s="497"/>
      <c r="E717" s="497"/>
      <c r="F717" s="497"/>
      <c r="G717" s="497"/>
      <c r="H717" s="497"/>
      <c r="I717" s="497"/>
      <c r="J717" s="497"/>
      <c r="K717" s="497"/>
      <c r="L717" s="485"/>
      <c r="M717" s="485"/>
      <c r="N717" s="485"/>
      <c r="O717" s="485"/>
      <c r="P717" s="485"/>
      <c r="Q717" s="485"/>
      <c r="R717" s="485"/>
      <c r="S717" s="485"/>
      <c r="T717" s="485"/>
      <c r="U717" s="485"/>
      <c r="V717" s="485"/>
      <c r="W717" s="485"/>
      <c r="X717" s="485"/>
      <c r="Y717" s="485"/>
      <c r="Z717" s="485"/>
      <c r="AA717" s="485"/>
    </row>
    <row r="718">
      <c r="A718" s="486"/>
      <c r="B718" s="482"/>
      <c r="C718" s="497"/>
      <c r="D718" s="497"/>
      <c r="E718" s="497"/>
      <c r="F718" s="497"/>
      <c r="G718" s="497"/>
      <c r="H718" s="497"/>
      <c r="I718" s="497"/>
      <c r="J718" s="497"/>
      <c r="K718" s="497"/>
      <c r="L718" s="485"/>
      <c r="M718" s="485"/>
      <c r="N718" s="485"/>
      <c r="O718" s="485"/>
      <c r="P718" s="485"/>
      <c r="Q718" s="485"/>
      <c r="R718" s="485"/>
      <c r="S718" s="485"/>
      <c r="T718" s="485"/>
      <c r="U718" s="485"/>
      <c r="V718" s="485"/>
      <c r="W718" s="485"/>
      <c r="X718" s="485"/>
      <c r="Y718" s="485"/>
      <c r="Z718" s="485"/>
      <c r="AA718" s="485"/>
    </row>
    <row r="719">
      <c r="A719" s="486"/>
      <c r="B719" s="482"/>
      <c r="C719" s="497"/>
      <c r="D719" s="497"/>
      <c r="E719" s="497"/>
      <c r="F719" s="497"/>
      <c r="G719" s="497"/>
      <c r="H719" s="497"/>
      <c r="I719" s="497"/>
      <c r="J719" s="497"/>
      <c r="K719" s="497"/>
      <c r="L719" s="485"/>
      <c r="M719" s="485"/>
      <c r="N719" s="485"/>
      <c r="O719" s="485"/>
      <c r="P719" s="485"/>
      <c r="Q719" s="485"/>
      <c r="R719" s="485"/>
      <c r="S719" s="485"/>
      <c r="T719" s="485"/>
      <c r="U719" s="485"/>
      <c r="V719" s="485"/>
      <c r="W719" s="485"/>
      <c r="X719" s="485"/>
      <c r="Y719" s="485"/>
      <c r="Z719" s="485"/>
      <c r="AA719" s="485"/>
    </row>
    <row r="720">
      <c r="A720" s="486"/>
      <c r="B720" s="482"/>
      <c r="C720" s="497"/>
      <c r="D720" s="497"/>
      <c r="E720" s="497"/>
      <c r="F720" s="497"/>
      <c r="G720" s="497"/>
      <c r="H720" s="497"/>
      <c r="I720" s="497"/>
      <c r="J720" s="497"/>
      <c r="K720" s="497"/>
      <c r="L720" s="485"/>
      <c r="M720" s="485"/>
      <c r="N720" s="485"/>
      <c r="O720" s="485"/>
      <c r="P720" s="485"/>
      <c r="Q720" s="485"/>
      <c r="R720" s="485"/>
      <c r="S720" s="485"/>
      <c r="T720" s="485"/>
      <c r="U720" s="485"/>
      <c r="V720" s="485"/>
      <c r="W720" s="485"/>
      <c r="X720" s="485"/>
      <c r="Y720" s="485"/>
      <c r="Z720" s="485"/>
      <c r="AA720" s="485"/>
    </row>
    <row r="721">
      <c r="A721" s="486"/>
      <c r="B721" s="482"/>
      <c r="C721" s="497"/>
      <c r="D721" s="497"/>
      <c r="E721" s="497"/>
      <c r="F721" s="497"/>
      <c r="G721" s="497"/>
      <c r="H721" s="497"/>
      <c r="I721" s="497"/>
      <c r="J721" s="497"/>
      <c r="K721" s="497"/>
      <c r="L721" s="485"/>
      <c r="M721" s="485"/>
      <c r="N721" s="485"/>
      <c r="O721" s="485"/>
      <c r="P721" s="485"/>
      <c r="Q721" s="485"/>
      <c r="R721" s="485"/>
      <c r="S721" s="485"/>
      <c r="T721" s="485"/>
      <c r="U721" s="485"/>
      <c r="V721" s="485"/>
      <c r="W721" s="485"/>
      <c r="X721" s="485"/>
      <c r="Y721" s="485"/>
      <c r="Z721" s="485"/>
      <c r="AA721" s="485"/>
    </row>
    <row r="722">
      <c r="A722" s="486"/>
      <c r="B722" s="482"/>
      <c r="C722" s="497"/>
      <c r="D722" s="497"/>
      <c r="E722" s="497"/>
      <c r="F722" s="497"/>
      <c r="G722" s="497"/>
      <c r="H722" s="497"/>
      <c r="I722" s="497"/>
      <c r="J722" s="497"/>
      <c r="K722" s="497"/>
      <c r="L722" s="485"/>
      <c r="M722" s="485"/>
      <c r="N722" s="485"/>
      <c r="O722" s="485"/>
      <c r="P722" s="485"/>
      <c r="Q722" s="485"/>
      <c r="R722" s="485"/>
      <c r="S722" s="485"/>
      <c r="T722" s="485"/>
      <c r="U722" s="485"/>
      <c r="V722" s="485"/>
      <c r="W722" s="485"/>
      <c r="X722" s="485"/>
      <c r="Y722" s="485"/>
      <c r="Z722" s="485"/>
      <c r="AA722" s="485"/>
    </row>
    <row r="723">
      <c r="A723" s="486"/>
      <c r="B723" s="482"/>
      <c r="C723" s="497"/>
      <c r="D723" s="497"/>
      <c r="E723" s="497"/>
      <c r="F723" s="497"/>
      <c r="G723" s="497"/>
      <c r="H723" s="497"/>
      <c r="I723" s="497"/>
      <c r="J723" s="497"/>
      <c r="K723" s="497"/>
      <c r="L723" s="485"/>
      <c r="M723" s="485"/>
      <c r="N723" s="485"/>
      <c r="O723" s="485"/>
      <c r="P723" s="485"/>
      <c r="Q723" s="485"/>
      <c r="R723" s="485"/>
      <c r="S723" s="485"/>
      <c r="T723" s="485"/>
      <c r="U723" s="485"/>
      <c r="V723" s="485"/>
      <c r="W723" s="485"/>
      <c r="X723" s="485"/>
      <c r="Y723" s="485"/>
      <c r="Z723" s="485"/>
      <c r="AA723" s="485"/>
    </row>
    <row r="724">
      <c r="A724" s="486"/>
      <c r="B724" s="482"/>
      <c r="C724" s="497"/>
      <c r="D724" s="497"/>
      <c r="E724" s="497"/>
      <c r="F724" s="497"/>
      <c r="G724" s="497"/>
      <c r="H724" s="497"/>
      <c r="I724" s="497"/>
      <c r="J724" s="497"/>
      <c r="K724" s="497"/>
      <c r="L724" s="485"/>
      <c r="M724" s="485"/>
      <c r="N724" s="485"/>
      <c r="O724" s="485"/>
      <c r="P724" s="485"/>
      <c r="Q724" s="485"/>
      <c r="R724" s="485"/>
      <c r="S724" s="485"/>
      <c r="T724" s="485"/>
      <c r="U724" s="485"/>
      <c r="V724" s="485"/>
      <c r="W724" s="485"/>
      <c r="X724" s="485"/>
      <c r="Y724" s="485"/>
      <c r="Z724" s="485"/>
      <c r="AA724" s="485"/>
    </row>
    <row r="725">
      <c r="A725" s="486"/>
      <c r="B725" s="482"/>
      <c r="C725" s="497"/>
      <c r="D725" s="497"/>
      <c r="E725" s="497"/>
      <c r="F725" s="497"/>
      <c r="G725" s="497"/>
      <c r="H725" s="497"/>
      <c r="I725" s="497"/>
      <c r="J725" s="497"/>
      <c r="K725" s="497"/>
      <c r="L725" s="485"/>
      <c r="M725" s="485"/>
      <c r="N725" s="485"/>
      <c r="O725" s="485"/>
      <c r="P725" s="485"/>
      <c r="Q725" s="485"/>
      <c r="R725" s="485"/>
      <c r="S725" s="485"/>
      <c r="T725" s="485"/>
      <c r="U725" s="485"/>
      <c r="V725" s="485"/>
      <c r="W725" s="485"/>
      <c r="X725" s="485"/>
      <c r="Y725" s="485"/>
      <c r="Z725" s="485"/>
      <c r="AA725" s="485"/>
    </row>
    <row r="726">
      <c r="A726" s="486"/>
      <c r="B726" s="482"/>
      <c r="C726" s="497"/>
      <c r="D726" s="497"/>
      <c r="E726" s="497"/>
      <c r="F726" s="497"/>
      <c r="G726" s="497"/>
      <c r="H726" s="497"/>
      <c r="I726" s="497"/>
      <c r="J726" s="497"/>
      <c r="K726" s="497"/>
      <c r="L726" s="485"/>
      <c r="M726" s="485"/>
      <c r="N726" s="485"/>
      <c r="O726" s="485"/>
      <c r="P726" s="485"/>
      <c r="Q726" s="485"/>
      <c r="R726" s="485"/>
      <c r="S726" s="485"/>
      <c r="T726" s="485"/>
      <c r="U726" s="485"/>
      <c r="V726" s="485"/>
      <c r="W726" s="485"/>
      <c r="X726" s="485"/>
      <c r="Y726" s="485"/>
      <c r="Z726" s="485"/>
      <c r="AA726" s="485"/>
    </row>
    <row r="727">
      <c r="A727" s="486"/>
      <c r="B727" s="482"/>
      <c r="C727" s="497"/>
      <c r="D727" s="497"/>
      <c r="E727" s="497"/>
      <c r="F727" s="497"/>
      <c r="G727" s="497"/>
      <c r="H727" s="497"/>
      <c r="I727" s="497"/>
      <c r="J727" s="497"/>
      <c r="K727" s="497"/>
      <c r="L727" s="485"/>
      <c r="M727" s="485"/>
      <c r="N727" s="485"/>
      <c r="O727" s="485"/>
      <c r="P727" s="485"/>
      <c r="Q727" s="485"/>
      <c r="R727" s="485"/>
      <c r="S727" s="485"/>
      <c r="T727" s="485"/>
      <c r="U727" s="485"/>
      <c r="V727" s="485"/>
      <c r="W727" s="485"/>
      <c r="X727" s="485"/>
      <c r="Y727" s="485"/>
      <c r="Z727" s="485"/>
      <c r="AA727" s="485"/>
    </row>
    <row r="728">
      <c r="A728" s="486"/>
      <c r="B728" s="482"/>
      <c r="C728" s="497"/>
      <c r="D728" s="497"/>
      <c r="E728" s="497"/>
      <c r="F728" s="497"/>
      <c r="G728" s="497"/>
      <c r="H728" s="497"/>
      <c r="I728" s="497"/>
      <c r="J728" s="497"/>
      <c r="K728" s="497"/>
      <c r="L728" s="485"/>
      <c r="M728" s="485"/>
      <c r="N728" s="485"/>
      <c r="O728" s="485"/>
      <c r="P728" s="485"/>
      <c r="Q728" s="485"/>
      <c r="R728" s="485"/>
      <c r="S728" s="485"/>
      <c r="T728" s="485"/>
      <c r="U728" s="485"/>
      <c r="V728" s="485"/>
      <c r="W728" s="485"/>
      <c r="X728" s="485"/>
      <c r="Y728" s="485"/>
      <c r="Z728" s="485"/>
      <c r="AA728" s="485"/>
    </row>
    <row r="729">
      <c r="A729" s="486"/>
      <c r="B729" s="482"/>
      <c r="C729" s="497"/>
      <c r="D729" s="497"/>
      <c r="E729" s="497"/>
      <c r="F729" s="497"/>
      <c r="G729" s="497"/>
      <c r="H729" s="497"/>
      <c r="I729" s="497"/>
      <c r="J729" s="497"/>
      <c r="K729" s="497"/>
      <c r="L729" s="485"/>
      <c r="M729" s="485"/>
      <c r="N729" s="485"/>
      <c r="O729" s="485"/>
      <c r="P729" s="485"/>
      <c r="Q729" s="485"/>
      <c r="R729" s="485"/>
      <c r="S729" s="485"/>
      <c r="T729" s="485"/>
      <c r="U729" s="485"/>
      <c r="V729" s="485"/>
      <c r="W729" s="485"/>
      <c r="X729" s="485"/>
      <c r="Y729" s="485"/>
      <c r="Z729" s="485"/>
      <c r="AA729" s="485"/>
    </row>
    <row r="730">
      <c r="A730" s="486"/>
      <c r="B730" s="482"/>
      <c r="C730" s="497"/>
      <c r="D730" s="497"/>
      <c r="E730" s="497"/>
      <c r="F730" s="497"/>
      <c r="G730" s="497"/>
      <c r="H730" s="497"/>
      <c r="I730" s="497"/>
      <c r="J730" s="497"/>
      <c r="K730" s="497"/>
      <c r="L730" s="485"/>
      <c r="M730" s="485"/>
      <c r="N730" s="485"/>
      <c r="O730" s="485"/>
      <c r="P730" s="485"/>
      <c r="Q730" s="485"/>
      <c r="R730" s="485"/>
      <c r="S730" s="485"/>
      <c r="T730" s="485"/>
      <c r="U730" s="485"/>
      <c r="V730" s="485"/>
      <c r="W730" s="485"/>
      <c r="X730" s="485"/>
      <c r="Y730" s="485"/>
      <c r="Z730" s="485"/>
      <c r="AA730" s="485"/>
    </row>
    <row r="731">
      <c r="A731" s="486"/>
      <c r="B731" s="482"/>
      <c r="C731" s="497"/>
      <c r="D731" s="497"/>
      <c r="E731" s="497"/>
      <c r="F731" s="497"/>
      <c r="G731" s="497"/>
      <c r="H731" s="497"/>
      <c r="I731" s="497"/>
      <c r="J731" s="497"/>
      <c r="K731" s="497"/>
      <c r="L731" s="485"/>
      <c r="M731" s="485"/>
      <c r="N731" s="485"/>
      <c r="O731" s="485"/>
      <c r="P731" s="485"/>
      <c r="Q731" s="485"/>
      <c r="R731" s="485"/>
      <c r="S731" s="485"/>
      <c r="T731" s="485"/>
      <c r="U731" s="485"/>
      <c r="V731" s="485"/>
      <c r="W731" s="485"/>
      <c r="X731" s="485"/>
      <c r="Y731" s="485"/>
      <c r="Z731" s="485"/>
      <c r="AA731" s="485"/>
    </row>
    <row r="732">
      <c r="A732" s="486"/>
      <c r="B732" s="482"/>
      <c r="C732" s="497"/>
      <c r="D732" s="497"/>
      <c r="E732" s="497"/>
      <c r="F732" s="497"/>
      <c r="G732" s="497"/>
      <c r="H732" s="497"/>
      <c r="I732" s="497"/>
      <c r="J732" s="497"/>
      <c r="K732" s="497"/>
      <c r="L732" s="485"/>
      <c r="M732" s="485"/>
      <c r="N732" s="485"/>
      <c r="O732" s="485"/>
      <c r="P732" s="485"/>
      <c r="Q732" s="485"/>
      <c r="R732" s="485"/>
      <c r="S732" s="485"/>
      <c r="T732" s="485"/>
      <c r="U732" s="485"/>
      <c r="V732" s="485"/>
      <c r="W732" s="485"/>
      <c r="X732" s="485"/>
      <c r="Y732" s="485"/>
      <c r="Z732" s="485"/>
      <c r="AA732" s="485"/>
    </row>
    <row r="733">
      <c r="A733" s="486"/>
      <c r="B733" s="482"/>
      <c r="C733" s="497"/>
      <c r="D733" s="497"/>
      <c r="E733" s="497"/>
      <c r="F733" s="497"/>
      <c r="G733" s="497"/>
      <c r="H733" s="497"/>
      <c r="I733" s="497"/>
      <c r="J733" s="497"/>
      <c r="K733" s="497"/>
      <c r="L733" s="485"/>
      <c r="M733" s="485"/>
      <c r="N733" s="485"/>
      <c r="O733" s="485"/>
      <c r="P733" s="485"/>
      <c r="Q733" s="485"/>
      <c r="R733" s="485"/>
      <c r="S733" s="485"/>
      <c r="T733" s="485"/>
      <c r="U733" s="485"/>
      <c r="V733" s="485"/>
      <c r="W733" s="485"/>
      <c r="X733" s="485"/>
      <c r="Y733" s="485"/>
      <c r="Z733" s="485"/>
      <c r="AA733" s="485"/>
    </row>
    <row r="734">
      <c r="A734" s="486"/>
      <c r="B734" s="482"/>
      <c r="C734" s="497"/>
      <c r="D734" s="497"/>
      <c r="E734" s="497"/>
      <c r="F734" s="497"/>
      <c r="G734" s="497"/>
      <c r="H734" s="497"/>
      <c r="I734" s="497"/>
      <c r="J734" s="497"/>
      <c r="K734" s="497"/>
      <c r="L734" s="485"/>
      <c r="M734" s="485"/>
      <c r="N734" s="485"/>
      <c r="O734" s="485"/>
      <c r="P734" s="485"/>
      <c r="Q734" s="485"/>
      <c r="R734" s="485"/>
      <c r="S734" s="485"/>
      <c r="T734" s="485"/>
      <c r="U734" s="485"/>
      <c r="V734" s="485"/>
      <c r="W734" s="485"/>
      <c r="X734" s="485"/>
      <c r="Y734" s="485"/>
      <c r="Z734" s="485"/>
      <c r="AA734" s="485"/>
    </row>
    <row r="735">
      <c r="A735" s="486"/>
      <c r="B735" s="482"/>
      <c r="C735" s="497"/>
      <c r="D735" s="497"/>
      <c r="E735" s="497"/>
      <c r="F735" s="497"/>
      <c r="G735" s="497"/>
      <c r="H735" s="497"/>
      <c r="I735" s="497"/>
      <c r="J735" s="497"/>
      <c r="K735" s="497"/>
      <c r="L735" s="485"/>
      <c r="M735" s="485"/>
      <c r="N735" s="485"/>
      <c r="O735" s="485"/>
      <c r="P735" s="485"/>
      <c r="Q735" s="485"/>
      <c r="R735" s="485"/>
      <c r="S735" s="485"/>
      <c r="T735" s="485"/>
      <c r="U735" s="485"/>
      <c r="V735" s="485"/>
      <c r="W735" s="485"/>
      <c r="X735" s="485"/>
      <c r="Y735" s="485"/>
      <c r="Z735" s="485"/>
      <c r="AA735" s="485"/>
    </row>
    <row r="736">
      <c r="A736" s="486"/>
      <c r="B736" s="482"/>
      <c r="C736" s="497"/>
      <c r="D736" s="497"/>
      <c r="E736" s="497"/>
      <c r="F736" s="497"/>
      <c r="G736" s="497"/>
      <c r="H736" s="497"/>
      <c r="I736" s="497"/>
      <c r="J736" s="497"/>
      <c r="K736" s="497"/>
      <c r="L736" s="485"/>
      <c r="M736" s="485"/>
      <c r="N736" s="485"/>
      <c r="O736" s="485"/>
      <c r="P736" s="485"/>
      <c r="Q736" s="485"/>
      <c r="R736" s="485"/>
      <c r="S736" s="485"/>
      <c r="T736" s="485"/>
      <c r="U736" s="485"/>
      <c r="V736" s="485"/>
      <c r="W736" s="485"/>
      <c r="X736" s="485"/>
      <c r="Y736" s="485"/>
      <c r="Z736" s="485"/>
      <c r="AA736" s="485"/>
    </row>
    <row r="737">
      <c r="A737" s="486"/>
      <c r="B737" s="482"/>
      <c r="C737" s="497"/>
      <c r="D737" s="497"/>
      <c r="E737" s="497"/>
      <c r="F737" s="497"/>
      <c r="G737" s="497"/>
      <c r="H737" s="497"/>
      <c r="I737" s="497"/>
      <c r="J737" s="497"/>
      <c r="K737" s="497"/>
      <c r="L737" s="485"/>
      <c r="M737" s="485"/>
      <c r="N737" s="485"/>
      <c r="O737" s="485"/>
      <c r="P737" s="485"/>
      <c r="Q737" s="485"/>
      <c r="R737" s="485"/>
      <c r="S737" s="485"/>
      <c r="T737" s="485"/>
      <c r="U737" s="485"/>
      <c r="V737" s="485"/>
      <c r="W737" s="485"/>
      <c r="X737" s="485"/>
      <c r="Y737" s="485"/>
      <c r="Z737" s="485"/>
      <c r="AA737" s="485"/>
    </row>
    <row r="738">
      <c r="A738" s="486"/>
      <c r="B738" s="482"/>
      <c r="C738" s="497"/>
      <c r="D738" s="497"/>
      <c r="E738" s="497"/>
      <c r="F738" s="497"/>
      <c r="G738" s="497"/>
      <c r="H738" s="497"/>
      <c r="I738" s="497"/>
      <c r="J738" s="497"/>
      <c r="K738" s="497"/>
      <c r="L738" s="485"/>
      <c r="M738" s="485"/>
      <c r="N738" s="485"/>
      <c r="O738" s="485"/>
      <c r="P738" s="485"/>
      <c r="Q738" s="485"/>
      <c r="R738" s="485"/>
      <c r="S738" s="485"/>
      <c r="T738" s="485"/>
      <c r="U738" s="485"/>
      <c r="V738" s="485"/>
      <c r="W738" s="485"/>
      <c r="X738" s="485"/>
      <c r="Y738" s="485"/>
      <c r="Z738" s="485"/>
      <c r="AA738" s="485"/>
    </row>
    <row r="739">
      <c r="A739" s="486"/>
      <c r="B739" s="482"/>
      <c r="C739" s="497"/>
      <c r="D739" s="497"/>
      <c r="E739" s="497"/>
      <c r="F739" s="497"/>
      <c r="G739" s="497"/>
      <c r="H739" s="497"/>
      <c r="I739" s="497"/>
      <c r="J739" s="497"/>
      <c r="K739" s="497"/>
      <c r="L739" s="485"/>
      <c r="M739" s="485"/>
      <c r="N739" s="485"/>
      <c r="O739" s="485"/>
      <c r="P739" s="485"/>
      <c r="Q739" s="485"/>
      <c r="R739" s="485"/>
      <c r="S739" s="485"/>
      <c r="T739" s="485"/>
      <c r="U739" s="485"/>
      <c r="V739" s="485"/>
      <c r="W739" s="485"/>
      <c r="X739" s="485"/>
      <c r="Y739" s="485"/>
      <c r="Z739" s="485"/>
      <c r="AA739" s="485"/>
    </row>
    <row r="740">
      <c r="A740" s="486"/>
      <c r="B740" s="482"/>
      <c r="C740" s="497"/>
      <c r="D740" s="497"/>
      <c r="E740" s="497"/>
      <c r="F740" s="497"/>
      <c r="G740" s="497"/>
      <c r="H740" s="497"/>
      <c r="I740" s="497"/>
      <c r="J740" s="497"/>
      <c r="K740" s="497"/>
      <c r="L740" s="485"/>
      <c r="M740" s="485"/>
      <c r="N740" s="485"/>
      <c r="O740" s="485"/>
      <c r="P740" s="485"/>
      <c r="Q740" s="485"/>
      <c r="R740" s="485"/>
      <c r="S740" s="485"/>
      <c r="T740" s="485"/>
      <c r="U740" s="485"/>
      <c r="V740" s="485"/>
      <c r="W740" s="485"/>
      <c r="X740" s="485"/>
      <c r="Y740" s="485"/>
      <c r="Z740" s="485"/>
      <c r="AA740" s="485"/>
    </row>
    <row r="741">
      <c r="A741" s="486"/>
      <c r="B741" s="482"/>
      <c r="C741" s="497"/>
      <c r="D741" s="497"/>
      <c r="E741" s="497"/>
      <c r="F741" s="497"/>
      <c r="G741" s="497"/>
      <c r="H741" s="497"/>
      <c r="I741" s="497"/>
      <c r="J741" s="497"/>
      <c r="K741" s="497"/>
      <c r="L741" s="485"/>
      <c r="M741" s="485"/>
      <c r="N741" s="485"/>
      <c r="O741" s="485"/>
      <c r="P741" s="485"/>
      <c r="Q741" s="485"/>
      <c r="R741" s="485"/>
      <c r="S741" s="485"/>
      <c r="T741" s="485"/>
      <c r="U741" s="485"/>
      <c r="V741" s="485"/>
      <c r="W741" s="485"/>
      <c r="X741" s="485"/>
      <c r="Y741" s="485"/>
      <c r="Z741" s="485"/>
      <c r="AA741" s="485"/>
    </row>
    <row r="742">
      <c r="A742" s="486"/>
      <c r="B742" s="482"/>
      <c r="C742" s="497"/>
      <c r="D742" s="497"/>
      <c r="E742" s="497"/>
      <c r="F742" s="497"/>
      <c r="G742" s="497"/>
      <c r="H742" s="497"/>
      <c r="I742" s="497"/>
      <c r="J742" s="497"/>
      <c r="K742" s="497"/>
      <c r="L742" s="485"/>
      <c r="M742" s="485"/>
      <c r="N742" s="485"/>
      <c r="O742" s="485"/>
      <c r="P742" s="485"/>
      <c r="Q742" s="485"/>
      <c r="R742" s="485"/>
      <c r="S742" s="485"/>
      <c r="T742" s="485"/>
      <c r="U742" s="485"/>
      <c r="V742" s="485"/>
      <c r="W742" s="485"/>
      <c r="X742" s="485"/>
      <c r="Y742" s="485"/>
      <c r="Z742" s="485"/>
      <c r="AA742" s="485"/>
    </row>
    <row r="743">
      <c r="A743" s="486"/>
      <c r="B743" s="482"/>
      <c r="C743" s="497"/>
      <c r="D743" s="497"/>
      <c r="E743" s="497"/>
      <c r="F743" s="497"/>
      <c r="G743" s="497"/>
      <c r="H743" s="497"/>
      <c r="I743" s="497"/>
      <c r="J743" s="497"/>
      <c r="K743" s="497"/>
      <c r="L743" s="485"/>
      <c r="M743" s="485"/>
      <c r="N743" s="485"/>
      <c r="O743" s="485"/>
      <c r="P743" s="485"/>
      <c r="Q743" s="485"/>
      <c r="R743" s="485"/>
      <c r="S743" s="485"/>
      <c r="T743" s="485"/>
      <c r="U743" s="485"/>
      <c r="V743" s="485"/>
      <c r="W743" s="485"/>
      <c r="X743" s="485"/>
      <c r="Y743" s="485"/>
      <c r="Z743" s="485"/>
      <c r="AA743" s="485"/>
    </row>
    <row r="744">
      <c r="A744" s="486"/>
      <c r="B744" s="482"/>
      <c r="C744" s="497"/>
      <c r="D744" s="497"/>
      <c r="E744" s="497"/>
      <c r="F744" s="497"/>
      <c r="G744" s="497"/>
      <c r="H744" s="497"/>
      <c r="I744" s="497"/>
      <c r="J744" s="497"/>
      <c r="K744" s="497"/>
      <c r="L744" s="485"/>
      <c r="M744" s="485"/>
      <c r="N744" s="485"/>
      <c r="O744" s="485"/>
      <c r="P744" s="485"/>
      <c r="Q744" s="485"/>
      <c r="R744" s="485"/>
      <c r="S744" s="485"/>
      <c r="T744" s="485"/>
      <c r="U744" s="485"/>
      <c r="V744" s="485"/>
      <c r="W744" s="485"/>
      <c r="X744" s="485"/>
      <c r="Y744" s="485"/>
      <c r="Z744" s="485"/>
      <c r="AA744" s="485"/>
    </row>
    <row r="745">
      <c r="A745" s="486"/>
      <c r="B745" s="482"/>
      <c r="C745" s="497"/>
      <c r="D745" s="497"/>
      <c r="E745" s="497"/>
      <c r="F745" s="497"/>
      <c r="G745" s="497"/>
      <c r="H745" s="497"/>
      <c r="I745" s="497"/>
      <c r="J745" s="497"/>
      <c r="K745" s="497"/>
      <c r="L745" s="485"/>
      <c r="M745" s="485"/>
      <c r="N745" s="485"/>
      <c r="O745" s="485"/>
      <c r="P745" s="485"/>
      <c r="Q745" s="485"/>
      <c r="R745" s="485"/>
      <c r="S745" s="485"/>
      <c r="T745" s="485"/>
      <c r="U745" s="485"/>
      <c r="V745" s="485"/>
      <c r="W745" s="485"/>
      <c r="X745" s="485"/>
      <c r="Y745" s="485"/>
      <c r="Z745" s="485"/>
      <c r="AA745" s="485"/>
    </row>
    <row r="746">
      <c r="A746" s="486"/>
      <c r="B746" s="482"/>
      <c r="C746" s="497"/>
      <c r="D746" s="497"/>
      <c r="E746" s="497"/>
      <c r="F746" s="497"/>
      <c r="G746" s="497"/>
      <c r="H746" s="497"/>
      <c r="I746" s="497"/>
      <c r="J746" s="497"/>
      <c r="K746" s="497"/>
      <c r="L746" s="485"/>
      <c r="M746" s="485"/>
      <c r="N746" s="485"/>
      <c r="O746" s="485"/>
      <c r="P746" s="485"/>
      <c r="Q746" s="485"/>
      <c r="R746" s="485"/>
      <c r="S746" s="485"/>
      <c r="T746" s="485"/>
      <c r="U746" s="485"/>
      <c r="V746" s="485"/>
      <c r="W746" s="485"/>
      <c r="X746" s="485"/>
      <c r="Y746" s="485"/>
      <c r="Z746" s="485"/>
      <c r="AA746" s="485"/>
    </row>
    <row r="747">
      <c r="A747" s="486"/>
      <c r="B747" s="482"/>
      <c r="C747" s="497"/>
      <c r="D747" s="497"/>
      <c r="E747" s="497"/>
      <c r="F747" s="497"/>
      <c r="G747" s="497"/>
      <c r="H747" s="497"/>
      <c r="I747" s="497"/>
      <c r="J747" s="497"/>
      <c r="K747" s="497"/>
      <c r="L747" s="485"/>
      <c r="M747" s="485"/>
      <c r="N747" s="485"/>
      <c r="O747" s="485"/>
      <c r="P747" s="485"/>
      <c r="Q747" s="485"/>
      <c r="R747" s="485"/>
      <c r="S747" s="485"/>
      <c r="T747" s="485"/>
      <c r="U747" s="485"/>
      <c r="V747" s="485"/>
      <c r="W747" s="485"/>
      <c r="X747" s="485"/>
      <c r="Y747" s="485"/>
      <c r="Z747" s="485"/>
      <c r="AA747" s="485"/>
    </row>
    <row r="748">
      <c r="A748" s="486"/>
      <c r="B748" s="482"/>
      <c r="C748" s="497"/>
      <c r="D748" s="497"/>
      <c r="E748" s="497"/>
      <c r="F748" s="497"/>
      <c r="G748" s="497"/>
      <c r="H748" s="497"/>
      <c r="I748" s="497"/>
      <c r="J748" s="497"/>
      <c r="K748" s="497"/>
      <c r="L748" s="485"/>
      <c r="M748" s="485"/>
      <c r="N748" s="485"/>
      <c r="O748" s="485"/>
      <c r="P748" s="485"/>
      <c r="Q748" s="485"/>
      <c r="R748" s="485"/>
      <c r="S748" s="485"/>
      <c r="T748" s="485"/>
      <c r="U748" s="485"/>
      <c r="V748" s="485"/>
      <c r="W748" s="485"/>
      <c r="X748" s="485"/>
      <c r="Y748" s="485"/>
      <c r="Z748" s="485"/>
      <c r="AA748" s="485"/>
    </row>
    <row r="749">
      <c r="A749" s="486"/>
      <c r="B749" s="482"/>
      <c r="C749" s="497"/>
      <c r="D749" s="497"/>
      <c r="E749" s="497"/>
      <c r="F749" s="497"/>
      <c r="G749" s="497"/>
      <c r="H749" s="497"/>
      <c r="I749" s="497"/>
      <c r="J749" s="497"/>
      <c r="K749" s="497"/>
      <c r="L749" s="485"/>
      <c r="M749" s="485"/>
      <c r="N749" s="485"/>
      <c r="O749" s="485"/>
      <c r="P749" s="485"/>
      <c r="Q749" s="485"/>
      <c r="R749" s="485"/>
      <c r="S749" s="485"/>
      <c r="T749" s="485"/>
      <c r="U749" s="485"/>
      <c r="V749" s="485"/>
      <c r="W749" s="485"/>
      <c r="X749" s="485"/>
      <c r="Y749" s="485"/>
      <c r="Z749" s="485"/>
      <c r="AA749" s="485"/>
    </row>
    <row r="750">
      <c r="A750" s="486"/>
      <c r="B750" s="482"/>
      <c r="C750" s="497"/>
      <c r="D750" s="497"/>
      <c r="E750" s="497"/>
      <c r="F750" s="497"/>
      <c r="G750" s="497"/>
      <c r="H750" s="497"/>
      <c r="I750" s="497"/>
      <c r="J750" s="497"/>
      <c r="K750" s="497"/>
      <c r="L750" s="485"/>
      <c r="M750" s="485"/>
      <c r="N750" s="485"/>
      <c r="O750" s="485"/>
      <c r="P750" s="485"/>
      <c r="Q750" s="485"/>
      <c r="R750" s="485"/>
      <c r="S750" s="485"/>
      <c r="T750" s="485"/>
      <c r="U750" s="485"/>
      <c r="V750" s="485"/>
      <c r="W750" s="485"/>
      <c r="X750" s="485"/>
      <c r="Y750" s="485"/>
      <c r="Z750" s="485"/>
      <c r="AA750" s="485"/>
    </row>
    <row r="751">
      <c r="A751" s="486"/>
      <c r="B751" s="482"/>
      <c r="C751" s="497"/>
      <c r="D751" s="497"/>
      <c r="E751" s="497"/>
      <c r="F751" s="497"/>
      <c r="G751" s="497"/>
      <c r="H751" s="497"/>
      <c r="I751" s="497"/>
      <c r="J751" s="497"/>
      <c r="K751" s="497"/>
      <c r="L751" s="485"/>
      <c r="M751" s="485"/>
      <c r="N751" s="485"/>
      <c r="O751" s="485"/>
      <c r="P751" s="485"/>
      <c r="Q751" s="485"/>
      <c r="R751" s="485"/>
      <c r="S751" s="485"/>
      <c r="T751" s="485"/>
      <c r="U751" s="485"/>
      <c r="V751" s="485"/>
      <c r="W751" s="485"/>
      <c r="X751" s="485"/>
      <c r="Y751" s="485"/>
      <c r="Z751" s="485"/>
      <c r="AA751" s="485"/>
    </row>
    <row r="752">
      <c r="A752" s="486"/>
      <c r="B752" s="482"/>
      <c r="C752" s="497"/>
      <c r="D752" s="497"/>
      <c r="E752" s="497"/>
      <c r="F752" s="497"/>
      <c r="G752" s="497"/>
      <c r="H752" s="497"/>
      <c r="I752" s="497"/>
      <c r="J752" s="497"/>
      <c r="K752" s="497"/>
      <c r="L752" s="485"/>
      <c r="M752" s="485"/>
      <c r="N752" s="485"/>
      <c r="O752" s="485"/>
      <c r="P752" s="485"/>
      <c r="Q752" s="485"/>
      <c r="R752" s="485"/>
      <c r="S752" s="485"/>
      <c r="T752" s="485"/>
      <c r="U752" s="485"/>
      <c r="V752" s="485"/>
      <c r="W752" s="485"/>
      <c r="X752" s="485"/>
      <c r="Y752" s="485"/>
      <c r="Z752" s="485"/>
      <c r="AA752" s="485"/>
    </row>
    <row r="753">
      <c r="A753" s="486"/>
      <c r="B753" s="482"/>
      <c r="C753" s="497"/>
      <c r="D753" s="497"/>
      <c r="E753" s="497"/>
      <c r="F753" s="497"/>
      <c r="G753" s="497"/>
      <c r="H753" s="497"/>
      <c r="I753" s="497"/>
      <c r="J753" s="497"/>
      <c r="K753" s="497"/>
      <c r="L753" s="485"/>
      <c r="M753" s="485"/>
      <c r="N753" s="485"/>
      <c r="O753" s="485"/>
      <c r="P753" s="485"/>
      <c r="Q753" s="485"/>
      <c r="R753" s="485"/>
      <c r="S753" s="485"/>
      <c r="T753" s="485"/>
      <c r="U753" s="485"/>
      <c r="V753" s="485"/>
      <c r="W753" s="485"/>
      <c r="X753" s="485"/>
      <c r="Y753" s="485"/>
      <c r="Z753" s="485"/>
      <c r="AA753" s="485"/>
    </row>
    <row r="754">
      <c r="A754" s="486"/>
      <c r="B754" s="482"/>
      <c r="C754" s="497"/>
      <c r="D754" s="497"/>
      <c r="E754" s="497"/>
      <c r="F754" s="497"/>
      <c r="G754" s="497"/>
      <c r="H754" s="497"/>
      <c r="I754" s="497"/>
      <c r="J754" s="497"/>
      <c r="K754" s="497"/>
      <c r="L754" s="485"/>
      <c r="M754" s="485"/>
      <c r="N754" s="485"/>
      <c r="O754" s="485"/>
      <c r="P754" s="485"/>
      <c r="Q754" s="485"/>
      <c r="R754" s="485"/>
      <c r="S754" s="485"/>
      <c r="T754" s="485"/>
      <c r="U754" s="485"/>
      <c r="V754" s="485"/>
      <c r="W754" s="485"/>
      <c r="X754" s="485"/>
      <c r="Y754" s="485"/>
      <c r="Z754" s="485"/>
      <c r="AA754" s="485"/>
    </row>
    <row r="755">
      <c r="A755" s="486"/>
      <c r="B755" s="482"/>
      <c r="C755" s="497"/>
      <c r="D755" s="497"/>
      <c r="E755" s="497"/>
      <c r="F755" s="497"/>
      <c r="G755" s="497"/>
      <c r="H755" s="497"/>
      <c r="I755" s="497"/>
      <c r="J755" s="497"/>
      <c r="K755" s="497"/>
      <c r="L755" s="485"/>
      <c r="M755" s="485"/>
      <c r="N755" s="485"/>
      <c r="O755" s="485"/>
      <c r="P755" s="485"/>
      <c r="Q755" s="485"/>
      <c r="R755" s="485"/>
      <c r="S755" s="485"/>
      <c r="T755" s="485"/>
      <c r="U755" s="485"/>
      <c r="V755" s="485"/>
      <c r="W755" s="485"/>
      <c r="X755" s="485"/>
      <c r="Y755" s="485"/>
      <c r="Z755" s="485"/>
      <c r="AA755" s="485"/>
    </row>
    <row r="756">
      <c r="A756" s="486"/>
      <c r="B756" s="482"/>
      <c r="C756" s="497"/>
      <c r="D756" s="497"/>
      <c r="E756" s="497"/>
      <c r="F756" s="497"/>
      <c r="G756" s="497"/>
      <c r="H756" s="497"/>
      <c r="I756" s="497"/>
      <c r="J756" s="497"/>
      <c r="K756" s="497"/>
      <c r="L756" s="485"/>
      <c r="M756" s="485"/>
      <c r="N756" s="485"/>
      <c r="O756" s="485"/>
      <c r="P756" s="485"/>
      <c r="Q756" s="485"/>
      <c r="R756" s="485"/>
      <c r="S756" s="485"/>
      <c r="T756" s="485"/>
      <c r="U756" s="485"/>
      <c r="V756" s="485"/>
      <c r="W756" s="485"/>
      <c r="X756" s="485"/>
      <c r="Y756" s="485"/>
      <c r="Z756" s="485"/>
      <c r="AA756" s="485"/>
    </row>
    <row r="757">
      <c r="A757" s="486"/>
      <c r="B757" s="482"/>
      <c r="C757" s="497"/>
      <c r="D757" s="497"/>
      <c r="E757" s="497"/>
      <c r="F757" s="497"/>
      <c r="G757" s="497"/>
      <c r="H757" s="497"/>
      <c r="I757" s="497"/>
      <c r="J757" s="497"/>
      <c r="K757" s="497"/>
      <c r="L757" s="485"/>
      <c r="M757" s="485"/>
      <c r="N757" s="485"/>
      <c r="O757" s="485"/>
      <c r="P757" s="485"/>
      <c r="Q757" s="485"/>
      <c r="R757" s="485"/>
      <c r="S757" s="485"/>
      <c r="T757" s="485"/>
      <c r="U757" s="485"/>
      <c r="V757" s="485"/>
      <c r="W757" s="485"/>
      <c r="X757" s="485"/>
      <c r="Y757" s="485"/>
      <c r="Z757" s="485"/>
      <c r="AA757" s="485"/>
    </row>
    <row r="758">
      <c r="A758" s="486"/>
      <c r="B758" s="482"/>
      <c r="C758" s="497"/>
      <c r="D758" s="497"/>
      <c r="E758" s="497"/>
      <c r="F758" s="497"/>
      <c r="G758" s="497"/>
      <c r="H758" s="497"/>
      <c r="I758" s="497"/>
      <c r="J758" s="497"/>
      <c r="K758" s="497"/>
      <c r="L758" s="485"/>
      <c r="M758" s="485"/>
      <c r="N758" s="485"/>
      <c r="O758" s="485"/>
      <c r="P758" s="485"/>
      <c r="Q758" s="485"/>
      <c r="R758" s="485"/>
      <c r="S758" s="485"/>
      <c r="T758" s="485"/>
      <c r="U758" s="485"/>
      <c r="V758" s="485"/>
      <c r="W758" s="485"/>
      <c r="X758" s="485"/>
      <c r="Y758" s="485"/>
      <c r="Z758" s="485"/>
      <c r="AA758" s="485"/>
    </row>
    <row r="759">
      <c r="A759" s="486"/>
      <c r="B759" s="482"/>
      <c r="C759" s="497"/>
      <c r="D759" s="497"/>
      <c r="E759" s="497"/>
      <c r="F759" s="497"/>
      <c r="G759" s="497"/>
      <c r="H759" s="497"/>
      <c r="I759" s="497"/>
      <c r="J759" s="497"/>
      <c r="K759" s="497"/>
      <c r="L759" s="485"/>
      <c r="M759" s="485"/>
      <c r="N759" s="485"/>
      <c r="O759" s="485"/>
      <c r="P759" s="485"/>
      <c r="Q759" s="485"/>
      <c r="R759" s="485"/>
      <c r="S759" s="485"/>
      <c r="T759" s="485"/>
      <c r="U759" s="485"/>
      <c r="V759" s="485"/>
      <c r="W759" s="485"/>
      <c r="X759" s="485"/>
      <c r="Y759" s="485"/>
      <c r="Z759" s="485"/>
      <c r="AA759" s="485"/>
    </row>
    <row r="760">
      <c r="A760" s="486"/>
      <c r="B760" s="482"/>
      <c r="C760" s="497"/>
      <c r="D760" s="497"/>
      <c r="E760" s="497"/>
      <c r="F760" s="497"/>
      <c r="G760" s="497"/>
      <c r="H760" s="497"/>
      <c r="I760" s="497"/>
      <c r="J760" s="497"/>
      <c r="K760" s="497"/>
      <c r="L760" s="485"/>
      <c r="M760" s="485"/>
      <c r="N760" s="485"/>
      <c r="O760" s="485"/>
      <c r="P760" s="485"/>
      <c r="Q760" s="485"/>
      <c r="R760" s="485"/>
      <c r="S760" s="485"/>
      <c r="T760" s="485"/>
      <c r="U760" s="485"/>
      <c r="V760" s="485"/>
      <c r="W760" s="485"/>
      <c r="X760" s="485"/>
      <c r="Y760" s="485"/>
      <c r="Z760" s="485"/>
      <c r="AA760" s="485"/>
    </row>
    <row r="761">
      <c r="A761" s="486"/>
      <c r="B761" s="482"/>
      <c r="C761" s="497"/>
      <c r="D761" s="497"/>
      <c r="E761" s="497"/>
      <c r="F761" s="497"/>
      <c r="G761" s="497"/>
      <c r="H761" s="497"/>
      <c r="I761" s="497"/>
      <c r="J761" s="497"/>
      <c r="K761" s="497"/>
      <c r="L761" s="485"/>
      <c r="M761" s="485"/>
      <c r="N761" s="485"/>
      <c r="O761" s="485"/>
      <c r="P761" s="485"/>
      <c r="Q761" s="485"/>
      <c r="R761" s="485"/>
      <c r="S761" s="485"/>
      <c r="T761" s="485"/>
      <c r="U761" s="485"/>
      <c r="V761" s="485"/>
      <c r="W761" s="485"/>
      <c r="X761" s="485"/>
      <c r="Y761" s="485"/>
      <c r="Z761" s="485"/>
      <c r="AA761" s="485"/>
    </row>
    <row r="762">
      <c r="A762" s="486"/>
      <c r="B762" s="482"/>
      <c r="C762" s="497"/>
      <c r="D762" s="497"/>
      <c r="E762" s="497"/>
      <c r="F762" s="497"/>
      <c r="G762" s="497"/>
      <c r="H762" s="497"/>
      <c r="I762" s="497"/>
      <c r="J762" s="497"/>
      <c r="K762" s="497"/>
      <c r="L762" s="485"/>
      <c r="M762" s="485"/>
      <c r="N762" s="485"/>
      <c r="O762" s="485"/>
      <c r="P762" s="485"/>
      <c r="Q762" s="485"/>
      <c r="R762" s="485"/>
      <c r="S762" s="485"/>
      <c r="T762" s="485"/>
      <c r="U762" s="485"/>
      <c r="V762" s="485"/>
      <c r="W762" s="485"/>
      <c r="X762" s="485"/>
      <c r="Y762" s="485"/>
      <c r="Z762" s="485"/>
      <c r="AA762" s="485"/>
    </row>
    <row r="763">
      <c r="A763" s="486"/>
      <c r="B763" s="482"/>
      <c r="C763" s="497"/>
      <c r="D763" s="497"/>
      <c r="E763" s="497"/>
      <c r="F763" s="497"/>
      <c r="G763" s="497"/>
      <c r="H763" s="497"/>
      <c r="I763" s="497"/>
      <c r="J763" s="497"/>
      <c r="K763" s="497"/>
      <c r="L763" s="485"/>
      <c r="M763" s="485"/>
      <c r="N763" s="485"/>
      <c r="O763" s="485"/>
      <c r="P763" s="485"/>
      <c r="Q763" s="485"/>
      <c r="R763" s="485"/>
      <c r="S763" s="485"/>
      <c r="T763" s="485"/>
      <c r="U763" s="485"/>
      <c r="V763" s="485"/>
      <c r="W763" s="485"/>
      <c r="X763" s="485"/>
      <c r="Y763" s="485"/>
      <c r="Z763" s="485"/>
      <c r="AA763" s="485"/>
    </row>
    <row r="764">
      <c r="A764" s="486"/>
      <c r="B764" s="482"/>
      <c r="C764" s="497"/>
      <c r="D764" s="497"/>
      <c r="E764" s="497"/>
      <c r="F764" s="497"/>
      <c r="G764" s="497"/>
      <c r="H764" s="497"/>
      <c r="I764" s="497"/>
      <c r="J764" s="497"/>
      <c r="K764" s="497"/>
      <c r="L764" s="485"/>
      <c r="M764" s="485"/>
      <c r="N764" s="485"/>
      <c r="O764" s="485"/>
      <c r="P764" s="485"/>
      <c r="Q764" s="485"/>
      <c r="R764" s="485"/>
      <c r="S764" s="485"/>
      <c r="T764" s="485"/>
      <c r="U764" s="485"/>
      <c r="V764" s="485"/>
      <c r="W764" s="485"/>
      <c r="X764" s="485"/>
      <c r="Y764" s="485"/>
      <c r="Z764" s="485"/>
      <c r="AA764" s="485"/>
    </row>
    <row r="765">
      <c r="A765" s="486"/>
      <c r="B765" s="482"/>
      <c r="C765" s="497"/>
      <c r="D765" s="497"/>
      <c r="E765" s="497"/>
      <c r="F765" s="497"/>
      <c r="G765" s="497"/>
      <c r="H765" s="497"/>
      <c r="I765" s="497"/>
      <c r="J765" s="497"/>
      <c r="K765" s="497"/>
      <c r="L765" s="485"/>
      <c r="M765" s="485"/>
      <c r="N765" s="485"/>
      <c r="O765" s="485"/>
      <c r="P765" s="485"/>
      <c r="Q765" s="485"/>
      <c r="R765" s="485"/>
      <c r="S765" s="485"/>
      <c r="T765" s="485"/>
      <c r="U765" s="485"/>
      <c r="V765" s="485"/>
      <c r="W765" s="485"/>
      <c r="X765" s="485"/>
      <c r="Y765" s="485"/>
      <c r="Z765" s="485"/>
      <c r="AA765" s="485"/>
    </row>
    <row r="766">
      <c r="A766" s="486"/>
      <c r="B766" s="482"/>
      <c r="C766" s="497"/>
      <c r="D766" s="497"/>
      <c r="E766" s="497"/>
      <c r="F766" s="497"/>
      <c r="G766" s="497"/>
      <c r="H766" s="497"/>
      <c r="I766" s="497"/>
      <c r="J766" s="497"/>
      <c r="K766" s="497"/>
      <c r="L766" s="485"/>
      <c r="M766" s="485"/>
      <c r="N766" s="485"/>
      <c r="O766" s="485"/>
      <c r="P766" s="485"/>
      <c r="Q766" s="485"/>
      <c r="R766" s="485"/>
      <c r="S766" s="485"/>
      <c r="T766" s="485"/>
      <c r="U766" s="485"/>
      <c r="V766" s="485"/>
      <c r="W766" s="485"/>
      <c r="X766" s="485"/>
      <c r="Y766" s="485"/>
      <c r="Z766" s="485"/>
      <c r="AA766" s="485"/>
    </row>
    <row r="767">
      <c r="A767" s="486"/>
      <c r="B767" s="482"/>
      <c r="C767" s="497"/>
      <c r="D767" s="497"/>
      <c r="E767" s="497"/>
      <c r="F767" s="497"/>
      <c r="G767" s="497"/>
      <c r="H767" s="497"/>
      <c r="I767" s="497"/>
      <c r="J767" s="497"/>
      <c r="K767" s="497"/>
      <c r="L767" s="485"/>
      <c r="M767" s="485"/>
      <c r="N767" s="485"/>
      <c r="O767" s="485"/>
      <c r="P767" s="485"/>
      <c r="Q767" s="485"/>
      <c r="R767" s="485"/>
      <c r="S767" s="485"/>
      <c r="T767" s="485"/>
      <c r="U767" s="485"/>
      <c r="V767" s="485"/>
      <c r="W767" s="485"/>
      <c r="X767" s="485"/>
      <c r="Y767" s="485"/>
      <c r="Z767" s="485"/>
      <c r="AA767" s="485"/>
    </row>
    <row r="768">
      <c r="A768" s="486"/>
      <c r="B768" s="482"/>
      <c r="C768" s="497"/>
      <c r="D768" s="497"/>
      <c r="E768" s="497"/>
      <c r="F768" s="497"/>
      <c r="G768" s="497"/>
      <c r="H768" s="497"/>
      <c r="I768" s="497"/>
      <c r="J768" s="497"/>
      <c r="K768" s="497"/>
      <c r="L768" s="485"/>
      <c r="M768" s="485"/>
      <c r="N768" s="485"/>
      <c r="O768" s="485"/>
      <c r="P768" s="485"/>
      <c r="Q768" s="485"/>
      <c r="R768" s="485"/>
      <c r="S768" s="485"/>
      <c r="T768" s="485"/>
      <c r="U768" s="485"/>
      <c r="V768" s="485"/>
      <c r="W768" s="485"/>
      <c r="X768" s="485"/>
      <c r="Y768" s="485"/>
      <c r="Z768" s="485"/>
      <c r="AA768" s="485"/>
    </row>
    <row r="769">
      <c r="A769" s="486"/>
      <c r="B769" s="482"/>
      <c r="C769" s="497"/>
      <c r="D769" s="497"/>
      <c r="E769" s="497"/>
      <c r="F769" s="497"/>
      <c r="G769" s="497"/>
      <c r="H769" s="497"/>
      <c r="I769" s="497"/>
      <c r="J769" s="497"/>
      <c r="K769" s="497"/>
      <c r="L769" s="485"/>
      <c r="M769" s="485"/>
      <c r="N769" s="485"/>
      <c r="O769" s="485"/>
      <c r="P769" s="485"/>
      <c r="Q769" s="485"/>
      <c r="R769" s="485"/>
      <c r="S769" s="485"/>
      <c r="T769" s="485"/>
      <c r="U769" s="485"/>
      <c r="V769" s="485"/>
      <c r="W769" s="485"/>
      <c r="X769" s="485"/>
      <c r="Y769" s="485"/>
      <c r="Z769" s="485"/>
      <c r="AA769" s="485"/>
    </row>
    <row r="770">
      <c r="A770" s="486"/>
      <c r="B770" s="482"/>
      <c r="C770" s="497"/>
      <c r="D770" s="497"/>
      <c r="E770" s="497"/>
      <c r="F770" s="497"/>
      <c r="G770" s="497"/>
      <c r="H770" s="497"/>
      <c r="I770" s="497"/>
      <c r="J770" s="497"/>
      <c r="K770" s="497"/>
      <c r="L770" s="485"/>
      <c r="M770" s="485"/>
      <c r="N770" s="485"/>
      <c r="O770" s="485"/>
      <c r="P770" s="485"/>
      <c r="Q770" s="485"/>
      <c r="R770" s="485"/>
      <c r="S770" s="485"/>
      <c r="T770" s="485"/>
      <c r="U770" s="485"/>
      <c r="V770" s="485"/>
      <c r="W770" s="485"/>
      <c r="X770" s="485"/>
      <c r="Y770" s="485"/>
      <c r="Z770" s="485"/>
      <c r="AA770" s="485"/>
    </row>
    <row r="771">
      <c r="A771" s="486"/>
      <c r="B771" s="482"/>
      <c r="C771" s="497"/>
      <c r="D771" s="497"/>
      <c r="E771" s="497"/>
      <c r="F771" s="497"/>
      <c r="G771" s="497"/>
      <c r="H771" s="497"/>
      <c r="I771" s="497"/>
      <c r="J771" s="497"/>
      <c r="K771" s="497"/>
      <c r="L771" s="485"/>
      <c r="M771" s="485"/>
      <c r="N771" s="485"/>
      <c r="O771" s="485"/>
      <c r="P771" s="485"/>
      <c r="Q771" s="485"/>
      <c r="R771" s="485"/>
      <c r="S771" s="485"/>
      <c r="T771" s="485"/>
      <c r="U771" s="485"/>
      <c r="V771" s="485"/>
      <c r="W771" s="485"/>
      <c r="X771" s="485"/>
      <c r="Y771" s="485"/>
      <c r="Z771" s="485"/>
      <c r="AA771" s="485"/>
    </row>
    <row r="772">
      <c r="A772" s="486"/>
      <c r="B772" s="482"/>
      <c r="C772" s="497"/>
      <c r="D772" s="497"/>
      <c r="E772" s="497"/>
      <c r="F772" s="497"/>
      <c r="G772" s="497"/>
      <c r="H772" s="497"/>
      <c r="I772" s="497"/>
      <c r="J772" s="497"/>
      <c r="K772" s="497"/>
      <c r="L772" s="485"/>
      <c r="M772" s="485"/>
      <c r="N772" s="485"/>
      <c r="O772" s="485"/>
      <c r="P772" s="485"/>
      <c r="Q772" s="485"/>
      <c r="R772" s="485"/>
      <c r="S772" s="485"/>
      <c r="T772" s="485"/>
      <c r="U772" s="485"/>
      <c r="V772" s="485"/>
      <c r="W772" s="485"/>
      <c r="X772" s="485"/>
      <c r="Y772" s="485"/>
      <c r="Z772" s="485"/>
      <c r="AA772" s="485"/>
    </row>
    <row r="773">
      <c r="A773" s="486"/>
      <c r="B773" s="482"/>
      <c r="C773" s="497"/>
      <c r="D773" s="497"/>
      <c r="E773" s="497"/>
      <c r="F773" s="497"/>
      <c r="G773" s="497"/>
      <c r="H773" s="497"/>
      <c r="I773" s="497"/>
      <c r="J773" s="497"/>
      <c r="K773" s="497"/>
      <c r="L773" s="485"/>
      <c r="M773" s="485"/>
      <c r="N773" s="485"/>
      <c r="O773" s="485"/>
      <c r="P773" s="485"/>
      <c r="Q773" s="485"/>
      <c r="R773" s="485"/>
      <c r="S773" s="485"/>
      <c r="T773" s="485"/>
      <c r="U773" s="485"/>
      <c r="V773" s="485"/>
      <c r="W773" s="485"/>
      <c r="X773" s="485"/>
      <c r="Y773" s="485"/>
      <c r="Z773" s="485"/>
      <c r="AA773" s="485"/>
    </row>
    <row r="774">
      <c r="A774" s="486"/>
      <c r="B774" s="482"/>
      <c r="C774" s="497"/>
      <c r="D774" s="497"/>
      <c r="E774" s="497"/>
      <c r="F774" s="497"/>
      <c r="G774" s="497"/>
      <c r="H774" s="497"/>
      <c r="I774" s="497"/>
      <c r="J774" s="497"/>
      <c r="K774" s="497"/>
      <c r="L774" s="485"/>
      <c r="M774" s="485"/>
      <c r="N774" s="485"/>
      <c r="O774" s="485"/>
      <c r="P774" s="485"/>
      <c r="Q774" s="485"/>
      <c r="R774" s="485"/>
      <c r="S774" s="485"/>
      <c r="T774" s="485"/>
      <c r="U774" s="485"/>
      <c r="V774" s="485"/>
      <c r="W774" s="485"/>
      <c r="X774" s="485"/>
      <c r="Y774" s="485"/>
      <c r="Z774" s="485"/>
      <c r="AA774" s="485"/>
    </row>
    <row r="775">
      <c r="A775" s="486"/>
      <c r="B775" s="482"/>
      <c r="C775" s="497"/>
      <c r="D775" s="497"/>
      <c r="E775" s="497"/>
      <c r="F775" s="497"/>
      <c r="G775" s="497"/>
      <c r="H775" s="497"/>
      <c r="I775" s="497"/>
      <c r="J775" s="497"/>
      <c r="K775" s="497"/>
      <c r="L775" s="485"/>
      <c r="M775" s="485"/>
      <c r="N775" s="485"/>
      <c r="O775" s="485"/>
      <c r="P775" s="485"/>
      <c r="Q775" s="485"/>
      <c r="R775" s="485"/>
      <c r="S775" s="485"/>
      <c r="T775" s="485"/>
      <c r="U775" s="485"/>
      <c r="V775" s="485"/>
      <c r="W775" s="485"/>
      <c r="X775" s="485"/>
      <c r="Y775" s="485"/>
      <c r="Z775" s="485"/>
      <c r="AA775" s="485"/>
    </row>
    <row r="776">
      <c r="A776" s="486"/>
      <c r="B776" s="482"/>
      <c r="C776" s="497"/>
      <c r="D776" s="497"/>
      <c r="E776" s="497"/>
      <c r="F776" s="497"/>
      <c r="G776" s="497"/>
      <c r="H776" s="497"/>
      <c r="I776" s="497"/>
      <c r="J776" s="497"/>
      <c r="K776" s="497"/>
      <c r="L776" s="485"/>
      <c r="M776" s="485"/>
      <c r="N776" s="485"/>
      <c r="O776" s="485"/>
      <c r="P776" s="485"/>
      <c r="Q776" s="485"/>
      <c r="R776" s="485"/>
      <c r="S776" s="485"/>
      <c r="T776" s="485"/>
      <c r="U776" s="485"/>
      <c r="V776" s="485"/>
      <c r="W776" s="485"/>
      <c r="X776" s="485"/>
      <c r="Y776" s="485"/>
      <c r="Z776" s="485"/>
      <c r="AA776" s="485"/>
    </row>
    <row r="777">
      <c r="A777" s="486"/>
      <c r="B777" s="482"/>
      <c r="C777" s="497"/>
      <c r="D777" s="497"/>
      <c r="E777" s="497"/>
      <c r="F777" s="497"/>
      <c r="G777" s="497"/>
      <c r="H777" s="497"/>
      <c r="I777" s="497"/>
      <c r="J777" s="497"/>
      <c r="K777" s="497"/>
      <c r="L777" s="485"/>
      <c r="M777" s="485"/>
      <c r="N777" s="485"/>
      <c r="O777" s="485"/>
      <c r="P777" s="485"/>
      <c r="Q777" s="485"/>
      <c r="R777" s="485"/>
      <c r="S777" s="485"/>
      <c r="T777" s="485"/>
      <c r="U777" s="485"/>
      <c r="V777" s="485"/>
      <c r="W777" s="485"/>
      <c r="X777" s="485"/>
      <c r="Y777" s="485"/>
      <c r="Z777" s="485"/>
      <c r="AA777" s="485"/>
    </row>
    <row r="778">
      <c r="A778" s="486"/>
      <c r="B778" s="482"/>
      <c r="C778" s="497"/>
      <c r="D778" s="497"/>
      <c r="E778" s="497"/>
      <c r="F778" s="497"/>
      <c r="G778" s="497"/>
      <c r="H778" s="497"/>
      <c r="I778" s="497"/>
      <c r="J778" s="497"/>
      <c r="K778" s="497"/>
      <c r="L778" s="485"/>
      <c r="M778" s="485"/>
      <c r="N778" s="485"/>
      <c r="O778" s="485"/>
      <c r="P778" s="485"/>
      <c r="Q778" s="485"/>
      <c r="R778" s="485"/>
      <c r="S778" s="485"/>
      <c r="T778" s="485"/>
      <c r="U778" s="485"/>
      <c r="V778" s="485"/>
      <c r="W778" s="485"/>
      <c r="X778" s="485"/>
      <c r="Y778" s="485"/>
      <c r="Z778" s="485"/>
      <c r="AA778" s="485"/>
    </row>
    <row r="779">
      <c r="A779" s="486"/>
      <c r="B779" s="482"/>
      <c r="C779" s="497"/>
      <c r="D779" s="497"/>
      <c r="E779" s="497"/>
      <c r="F779" s="497"/>
      <c r="G779" s="497"/>
      <c r="H779" s="497"/>
      <c r="I779" s="497"/>
      <c r="J779" s="497"/>
      <c r="K779" s="497"/>
      <c r="L779" s="485"/>
      <c r="M779" s="485"/>
      <c r="N779" s="485"/>
      <c r="O779" s="485"/>
      <c r="P779" s="485"/>
      <c r="Q779" s="485"/>
      <c r="R779" s="485"/>
      <c r="S779" s="485"/>
      <c r="T779" s="485"/>
      <c r="U779" s="485"/>
      <c r="V779" s="485"/>
      <c r="W779" s="485"/>
      <c r="X779" s="485"/>
      <c r="Y779" s="485"/>
      <c r="Z779" s="485"/>
      <c r="AA779" s="485"/>
    </row>
    <row r="780">
      <c r="A780" s="486"/>
      <c r="B780" s="482"/>
      <c r="C780" s="497"/>
      <c r="D780" s="497"/>
      <c r="E780" s="497"/>
      <c r="F780" s="497"/>
      <c r="G780" s="497"/>
      <c r="H780" s="497"/>
      <c r="I780" s="497"/>
      <c r="J780" s="497"/>
      <c r="K780" s="497"/>
      <c r="L780" s="485"/>
      <c r="M780" s="485"/>
      <c r="N780" s="485"/>
      <c r="O780" s="485"/>
      <c r="P780" s="485"/>
      <c r="Q780" s="485"/>
      <c r="R780" s="485"/>
      <c r="S780" s="485"/>
      <c r="T780" s="485"/>
      <c r="U780" s="485"/>
      <c r="V780" s="485"/>
      <c r="W780" s="485"/>
      <c r="X780" s="485"/>
      <c r="Y780" s="485"/>
      <c r="Z780" s="485"/>
      <c r="AA780" s="485"/>
    </row>
    <row r="781">
      <c r="A781" s="486"/>
      <c r="B781" s="482"/>
      <c r="C781" s="497"/>
      <c r="D781" s="497"/>
      <c r="E781" s="497"/>
      <c r="F781" s="497"/>
      <c r="G781" s="497"/>
      <c r="H781" s="497"/>
      <c r="I781" s="497"/>
      <c r="J781" s="497"/>
      <c r="K781" s="497"/>
      <c r="L781" s="485"/>
      <c r="M781" s="485"/>
      <c r="N781" s="485"/>
      <c r="O781" s="485"/>
      <c r="P781" s="485"/>
      <c r="Q781" s="485"/>
      <c r="R781" s="485"/>
      <c r="S781" s="485"/>
      <c r="T781" s="485"/>
      <c r="U781" s="485"/>
      <c r="V781" s="485"/>
      <c r="W781" s="485"/>
      <c r="X781" s="485"/>
      <c r="Y781" s="485"/>
      <c r="Z781" s="485"/>
      <c r="AA781" s="485"/>
    </row>
    <row r="782">
      <c r="A782" s="486"/>
      <c r="B782" s="482"/>
      <c r="C782" s="497"/>
      <c r="D782" s="497"/>
      <c r="E782" s="497"/>
      <c r="F782" s="497"/>
      <c r="G782" s="497"/>
      <c r="H782" s="497"/>
      <c r="I782" s="497"/>
      <c r="J782" s="497"/>
      <c r="K782" s="497"/>
      <c r="L782" s="485"/>
      <c r="M782" s="485"/>
      <c r="N782" s="485"/>
      <c r="O782" s="485"/>
      <c r="P782" s="485"/>
      <c r="Q782" s="485"/>
      <c r="R782" s="485"/>
      <c r="S782" s="485"/>
      <c r="T782" s="485"/>
      <c r="U782" s="485"/>
      <c r="V782" s="485"/>
      <c r="W782" s="485"/>
      <c r="X782" s="485"/>
      <c r="Y782" s="485"/>
      <c r="Z782" s="485"/>
      <c r="AA782" s="485"/>
    </row>
    <row r="783">
      <c r="A783" s="486"/>
      <c r="B783" s="482"/>
      <c r="C783" s="497"/>
      <c r="D783" s="497"/>
      <c r="E783" s="497"/>
      <c r="F783" s="497"/>
      <c r="G783" s="497"/>
      <c r="H783" s="497"/>
      <c r="I783" s="497"/>
      <c r="J783" s="497"/>
      <c r="K783" s="497"/>
      <c r="L783" s="485"/>
      <c r="M783" s="485"/>
      <c r="N783" s="485"/>
      <c r="O783" s="485"/>
      <c r="P783" s="485"/>
      <c r="Q783" s="485"/>
      <c r="R783" s="485"/>
      <c r="S783" s="485"/>
      <c r="T783" s="485"/>
      <c r="U783" s="485"/>
      <c r="V783" s="485"/>
      <c r="W783" s="485"/>
      <c r="X783" s="485"/>
      <c r="Y783" s="485"/>
      <c r="Z783" s="485"/>
      <c r="AA783" s="485"/>
    </row>
    <row r="784">
      <c r="A784" s="486"/>
      <c r="B784" s="482"/>
      <c r="C784" s="497"/>
      <c r="D784" s="497"/>
      <c r="E784" s="497"/>
      <c r="F784" s="497"/>
      <c r="G784" s="497"/>
      <c r="H784" s="497"/>
      <c r="I784" s="497"/>
      <c r="J784" s="497"/>
      <c r="K784" s="497"/>
      <c r="L784" s="485"/>
      <c r="M784" s="485"/>
      <c r="N784" s="485"/>
      <c r="O784" s="485"/>
      <c r="P784" s="485"/>
      <c r="Q784" s="485"/>
      <c r="R784" s="485"/>
      <c r="S784" s="485"/>
      <c r="T784" s="485"/>
      <c r="U784" s="485"/>
      <c r="V784" s="485"/>
      <c r="W784" s="485"/>
      <c r="X784" s="485"/>
      <c r="Y784" s="485"/>
      <c r="Z784" s="485"/>
      <c r="AA784" s="485"/>
    </row>
    <row r="785">
      <c r="A785" s="486"/>
      <c r="B785" s="482"/>
      <c r="C785" s="497"/>
      <c r="D785" s="497"/>
      <c r="E785" s="497"/>
      <c r="F785" s="497"/>
      <c r="G785" s="497"/>
      <c r="H785" s="497"/>
      <c r="I785" s="497"/>
      <c r="J785" s="497"/>
      <c r="K785" s="497"/>
      <c r="L785" s="485"/>
      <c r="M785" s="485"/>
      <c r="N785" s="485"/>
      <c r="O785" s="485"/>
      <c r="P785" s="485"/>
      <c r="Q785" s="485"/>
      <c r="R785" s="485"/>
      <c r="S785" s="485"/>
      <c r="T785" s="485"/>
      <c r="U785" s="485"/>
      <c r="V785" s="485"/>
      <c r="W785" s="485"/>
      <c r="X785" s="485"/>
      <c r="Y785" s="485"/>
      <c r="Z785" s="485"/>
      <c r="AA785" s="485"/>
    </row>
    <row r="786">
      <c r="A786" s="486"/>
      <c r="B786" s="482"/>
      <c r="C786" s="497"/>
      <c r="D786" s="497"/>
      <c r="E786" s="497"/>
      <c r="F786" s="497"/>
      <c r="G786" s="497"/>
      <c r="H786" s="497"/>
      <c r="I786" s="497"/>
      <c r="J786" s="497"/>
      <c r="K786" s="497"/>
      <c r="L786" s="485"/>
      <c r="M786" s="485"/>
      <c r="N786" s="485"/>
      <c r="O786" s="485"/>
      <c r="P786" s="485"/>
      <c r="Q786" s="485"/>
      <c r="R786" s="485"/>
      <c r="S786" s="485"/>
      <c r="T786" s="485"/>
      <c r="U786" s="485"/>
      <c r="V786" s="485"/>
      <c r="W786" s="485"/>
      <c r="X786" s="485"/>
      <c r="Y786" s="485"/>
      <c r="Z786" s="485"/>
      <c r="AA786" s="485"/>
    </row>
    <row r="787">
      <c r="A787" s="486"/>
      <c r="B787" s="482"/>
      <c r="C787" s="497"/>
      <c r="D787" s="497"/>
      <c r="E787" s="497"/>
      <c r="F787" s="497"/>
      <c r="G787" s="497"/>
      <c r="H787" s="497"/>
      <c r="I787" s="497"/>
      <c r="J787" s="497"/>
      <c r="K787" s="497"/>
      <c r="L787" s="485"/>
      <c r="M787" s="485"/>
      <c r="N787" s="485"/>
      <c r="O787" s="485"/>
      <c r="P787" s="485"/>
      <c r="Q787" s="485"/>
      <c r="R787" s="485"/>
      <c r="S787" s="485"/>
      <c r="T787" s="485"/>
      <c r="U787" s="485"/>
      <c r="V787" s="485"/>
      <c r="W787" s="485"/>
      <c r="X787" s="485"/>
      <c r="Y787" s="485"/>
      <c r="Z787" s="485"/>
      <c r="AA787" s="485"/>
    </row>
    <row r="788">
      <c r="A788" s="486"/>
      <c r="B788" s="482"/>
      <c r="C788" s="497"/>
      <c r="D788" s="497"/>
      <c r="E788" s="497"/>
      <c r="F788" s="497"/>
      <c r="G788" s="497"/>
      <c r="H788" s="497"/>
      <c r="I788" s="497"/>
      <c r="J788" s="497"/>
      <c r="K788" s="497"/>
      <c r="L788" s="485"/>
      <c r="M788" s="485"/>
      <c r="N788" s="485"/>
      <c r="O788" s="485"/>
      <c r="P788" s="485"/>
      <c r="Q788" s="485"/>
      <c r="R788" s="485"/>
      <c r="S788" s="485"/>
      <c r="T788" s="485"/>
      <c r="U788" s="485"/>
      <c r="V788" s="485"/>
      <c r="W788" s="485"/>
      <c r="X788" s="485"/>
      <c r="Y788" s="485"/>
      <c r="Z788" s="485"/>
      <c r="AA788" s="485"/>
    </row>
    <row r="789">
      <c r="A789" s="486"/>
      <c r="B789" s="482"/>
      <c r="C789" s="497"/>
      <c r="D789" s="497"/>
      <c r="E789" s="497"/>
      <c r="F789" s="497"/>
      <c r="G789" s="497"/>
      <c r="H789" s="497"/>
      <c r="I789" s="497"/>
      <c r="J789" s="497"/>
      <c r="K789" s="497"/>
      <c r="L789" s="485"/>
      <c r="M789" s="485"/>
      <c r="N789" s="485"/>
      <c r="O789" s="485"/>
      <c r="P789" s="485"/>
      <c r="Q789" s="485"/>
      <c r="R789" s="485"/>
      <c r="S789" s="485"/>
      <c r="T789" s="485"/>
      <c r="U789" s="485"/>
      <c r="V789" s="485"/>
      <c r="W789" s="485"/>
      <c r="X789" s="485"/>
      <c r="Y789" s="485"/>
      <c r="Z789" s="485"/>
      <c r="AA789" s="485"/>
    </row>
    <row r="790">
      <c r="A790" s="486"/>
      <c r="B790" s="482"/>
      <c r="C790" s="497"/>
      <c r="D790" s="497"/>
      <c r="E790" s="497"/>
      <c r="F790" s="497"/>
      <c r="G790" s="497"/>
      <c r="H790" s="497"/>
      <c r="I790" s="497"/>
      <c r="J790" s="497"/>
      <c r="K790" s="497"/>
      <c r="L790" s="485"/>
      <c r="M790" s="485"/>
      <c r="N790" s="485"/>
      <c r="O790" s="485"/>
      <c r="P790" s="485"/>
      <c r="Q790" s="485"/>
      <c r="R790" s="485"/>
      <c r="S790" s="485"/>
      <c r="T790" s="485"/>
      <c r="U790" s="485"/>
      <c r="V790" s="485"/>
      <c r="W790" s="485"/>
      <c r="X790" s="485"/>
      <c r="Y790" s="485"/>
      <c r="Z790" s="485"/>
      <c r="AA790" s="485"/>
    </row>
    <row r="791">
      <c r="A791" s="486"/>
      <c r="B791" s="482"/>
      <c r="C791" s="497"/>
      <c r="D791" s="497"/>
      <c r="E791" s="497"/>
      <c r="F791" s="497"/>
      <c r="G791" s="497"/>
      <c r="H791" s="497"/>
      <c r="I791" s="497"/>
      <c r="J791" s="497"/>
      <c r="K791" s="497"/>
      <c r="L791" s="485"/>
      <c r="M791" s="485"/>
      <c r="N791" s="485"/>
      <c r="O791" s="485"/>
      <c r="P791" s="485"/>
      <c r="Q791" s="485"/>
      <c r="R791" s="485"/>
      <c r="S791" s="485"/>
      <c r="T791" s="485"/>
      <c r="U791" s="485"/>
      <c r="V791" s="485"/>
      <c r="W791" s="485"/>
      <c r="X791" s="485"/>
      <c r="Y791" s="485"/>
      <c r="Z791" s="485"/>
      <c r="AA791" s="485"/>
    </row>
    <row r="792">
      <c r="A792" s="486"/>
      <c r="B792" s="482"/>
      <c r="C792" s="497"/>
      <c r="D792" s="497"/>
      <c r="E792" s="497"/>
      <c r="F792" s="497"/>
      <c r="G792" s="497"/>
      <c r="H792" s="497"/>
      <c r="I792" s="497"/>
      <c r="J792" s="497"/>
      <c r="K792" s="497"/>
      <c r="L792" s="485"/>
      <c r="M792" s="485"/>
      <c r="N792" s="485"/>
      <c r="O792" s="485"/>
      <c r="P792" s="485"/>
      <c r="Q792" s="485"/>
      <c r="R792" s="485"/>
      <c r="S792" s="485"/>
      <c r="T792" s="485"/>
      <c r="U792" s="485"/>
      <c r="V792" s="485"/>
      <c r="W792" s="485"/>
      <c r="X792" s="485"/>
      <c r="Y792" s="485"/>
      <c r="Z792" s="485"/>
      <c r="AA792" s="485"/>
    </row>
    <row r="793">
      <c r="A793" s="486"/>
      <c r="B793" s="482"/>
      <c r="C793" s="497"/>
      <c r="D793" s="497"/>
      <c r="E793" s="497"/>
      <c r="F793" s="497"/>
      <c r="G793" s="497"/>
      <c r="H793" s="497"/>
      <c r="I793" s="497"/>
      <c r="J793" s="497"/>
      <c r="K793" s="497"/>
      <c r="L793" s="485"/>
      <c r="M793" s="485"/>
      <c r="N793" s="485"/>
      <c r="O793" s="485"/>
      <c r="P793" s="485"/>
      <c r="Q793" s="485"/>
      <c r="R793" s="485"/>
      <c r="S793" s="485"/>
      <c r="T793" s="485"/>
      <c r="U793" s="485"/>
      <c r="V793" s="485"/>
      <c r="W793" s="485"/>
      <c r="X793" s="485"/>
      <c r="Y793" s="485"/>
      <c r="Z793" s="485"/>
      <c r="AA793" s="485"/>
    </row>
    <row r="794">
      <c r="A794" s="486"/>
      <c r="B794" s="482"/>
      <c r="C794" s="497"/>
      <c r="D794" s="497"/>
      <c r="E794" s="497"/>
      <c r="F794" s="497"/>
      <c r="G794" s="497"/>
      <c r="H794" s="497"/>
      <c r="I794" s="497"/>
      <c r="J794" s="497"/>
      <c r="K794" s="497"/>
      <c r="L794" s="485"/>
      <c r="M794" s="485"/>
      <c r="N794" s="485"/>
      <c r="O794" s="485"/>
      <c r="P794" s="485"/>
      <c r="Q794" s="485"/>
      <c r="R794" s="485"/>
      <c r="S794" s="485"/>
      <c r="T794" s="485"/>
      <c r="U794" s="485"/>
      <c r="V794" s="485"/>
      <c r="W794" s="485"/>
      <c r="X794" s="485"/>
      <c r="Y794" s="485"/>
      <c r="Z794" s="485"/>
      <c r="AA794" s="485"/>
    </row>
    <row r="795">
      <c r="A795" s="486"/>
      <c r="B795" s="482"/>
      <c r="C795" s="497"/>
      <c r="D795" s="497"/>
      <c r="E795" s="497"/>
      <c r="F795" s="497"/>
      <c r="G795" s="497"/>
      <c r="H795" s="497"/>
      <c r="I795" s="497"/>
      <c r="J795" s="497"/>
      <c r="K795" s="497"/>
      <c r="L795" s="485"/>
      <c r="M795" s="485"/>
      <c r="N795" s="485"/>
      <c r="O795" s="485"/>
      <c r="P795" s="485"/>
      <c r="Q795" s="485"/>
      <c r="R795" s="485"/>
      <c r="S795" s="485"/>
      <c r="T795" s="485"/>
      <c r="U795" s="485"/>
      <c r="V795" s="485"/>
      <c r="W795" s="485"/>
      <c r="X795" s="485"/>
      <c r="Y795" s="485"/>
      <c r="Z795" s="485"/>
      <c r="AA795" s="485"/>
    </row>
    <row r="796">
      <c r="A796" s="486"/>
      <c r="B796" s="482"/>
      <c r="C796" s="497"/>
      <c r="D796" s="497"/>
      <c r="E796" s="497"/>
      <c r="F796" s="497"/>
      <c r="G796" s="497"/>
      <c r="H796" s="497"/>
      <c r="I796" s="497"/>
      <c r="J796" s="497"/>
      <c r="K796" s="497"/>
      <c r="L796" s="485"/>
      <c r="M796" s="485"/>
      <c r="N796" s="485"/>
      <c r="O796" s="485"/>
      <c r="P796" s="485"/>
      <c r="Q796" s="485"/>
      <c r="R796" s="485"/>
      <c r="S796" s="485"/>
      <c r="T796" s="485"/>
      <c r="U796" s="485"/>
      <c r="V796" s="485"/>
      <c r="W796" s="485"/>
      <c r="X796" s="485"/>
      <c r="Y796" s="485"/>
      <c r="Z796" s="485"/>
      <c r="AA796" s="485"/>
    </row>
    <row r="797">
      <c r="A797" s="486"/>
      <c r="B797" s="482"/>
      <c r="C797" s="497"/>
      <c r="D797" s="497"/>
      <c r="E797" s="497"/>
      <c r="F797" s="497"/>
      <c r="G797" s="497"/>
      <c r="H797" s="497"/>
      <c r="I797" s="497"/>
      <c r="J797" s="497"/>
      <c r="K797" s="497"/>
      <c r="L797" s="485"/>
      <c r="M797" s="485"/>
      <c r="N797" s="485"/>
      <c r="O797" s="485"/>
      <c r="P797" s="485"/>
      <c r="Q797" s="485"/>
      <c r="R797" s="485"/>
      <c r="S797" s="485"/>
      <c r="T797" s="485"/>
      <c r="U797" s="485"/>
      <c r="V797" s="485"/>
      <c r="W797" s="485"/>
      <c r="X797" s="485"/>
      <c r="Y797" s="485"/>
      <c r="Z797" s="485"/>
      <c r="AA797" s="485"/>
    </row>
    <row r="798">
      <c r="A798" s="486"/>
      <c r="B798" s="482"/>
      <c r="C798" s="497"/>
      <c r="D798" s="497"/>
      <c r="E798" s="497"/>
      <c r="F798" s="497"/>
      <c r="G798" s="497"/>
      <c r="H798" s="497"/>
      <c r="I798" s="497"/>
      <c r="J798" s="497"/>
      <c r="K798" s="497"/>
      <c r="L798" s="485"/>
      <c r="M798" s="485"/>
      <c r="N798" s="485"/>
      <c r="O798" s="485"/>
      <c r="P798" s="485"/>
      <c r="Q798" s="485"/>
      <c r="R798" s="485"/>
      <c r="S798" s="485"/>
      <c r="T798" s="485"/>
      <c r="U798" s="485"/>
      <c r="V798" s="485"/>
      <c r="W798" s="485"/>
      <c r="X798" s="485"/>
      <c r="Y798" s="485"/>
      <c r="Z798" s="485"/>
      <c r="AA798" s="485"/>
    </row>
    <row r="799">
      <c r="A799" s="486"/>
      <c r="B799" s="482"/>
      <c r="C799" s="497"/>
      <c r="D799" s="497"/>
      <c r="E799" s="497"/>
      <c r="F799" s="497"/>
      <c r="G799" s="497"/>
      <c r="H799" s="497"/>
      <c r="I799" s="497"/>
      <c r="J799" s="497"/>
      <c r="K799" s="497"/>
      <c r="L799" s="485"/>
      <c r="M799" s="485"/>
      <c r="N799" s="485"/>
      <c r="O799" s="485"/>
      <c r="P799" s="485"/>
      <c r="Q799" s="485"/>
      <c r="R799" s="485"/>
      <c r="S799" s="485"/>
      <c r="T799" s="485"/>
      <c r="U799" s="485"/>
      <c r="V799" s="485"/>
      <c r="W799" s="485"/>
      <c r="X799" s="485"/>
      <c r="Y799" s="485"/>
      <c r="Z799" s="485"/>
      <c r="AA799" s="485"/>
    </row>
    <row r="800">
      <c r="A800" s="486"/>
      <c r="B800" s="482"/>
      <c r="C800" s="497"/>
      <c r="D800" s="497"/>
      <c r="E800" s="497"/>
      <c r="F800" s="497"/>
      <c r="G800" s="497"/>
      <c r="H800" s="497"/>
      <c r="I800" s="497"/>
      <c r="J800" s="497"/>
      <c r="K800" s="497"/>
      <c r="L800" s="485"/>
      <c r="M800" s="485"/>
      <c r="N800" s="485"/>
      <c r="O800" s="485"/>
      <c r="P800" s="485"/>
      <c r="Q800" s="485"/>
      <c r="R800" s="485"/>
      <c r="S800" s="485"/>
      <c r="T800" s="485"/>
      <c r="U800" s="485"/>
      <c r="V800" s="485"/>
      <c r="W800" s="485"/>
      <c r="X800" s="485"/>
      <c r="Y800" s="485"/>
      <c r="Z800" s="485"/>
      <c r="AA800" s="485"/>
    </row>
    <row r="801">
      <c r="A801" s="486"/>
      <c r="B801" s="482"/>
      <c r="C801" s="497"/>
      <c r="D801" s="497"/>
      <c r="E801" s="497"/>
      <c r="F801" s="497"/>
      <c r="G801" s="497"/>
      <c r="H801" s="497"/>
      <c r="I801" s="497"/>
      <c r="J801" s="497"/>
      <c r="K801" s="497"/>
      <c r="L801" s="485"/>
      <c r="M801" s="485"/>
      <c r="N801" s="485"/>
      <c r="O801" s="485"/>
      <c r="P801" s="485"/>
      <c r="Q801" s="485"/>
      <c r="R801" s="485"/>
      <c r="S801" s="485"/>
      <c r="T801" s="485"/>
      <c r="U801" s="485"/>
      <c r="V801" s="485"/>
      <c r="W801" s="485"/>
      <c r="X801" s="485"/>
      <c r="Y801" s="485"/>
      <c r="Z801" s="485"/>
      <c r="AA801" s="485"/>
    </row>
    <row r="802">
      <c r="A802" s="486"/>
      <c r="B802" s="482"/>
      <c r="C802" s="497"/>
      <c r="D802" s="497"/>
      <c r="E802" s="497"/>
      <c r="F802" s="497"/>
      <c r="G802" s="497"/>
      <c r="H802" s="497"/>
      <c r="I802" s="497"/>
      <c r="J802" s="497"/>
      <c r="K802" s="497"/>
      <c r="L802" s="485"/>
      <c r="M802" s="485"/>
      <c r="N802" s="485"/>
      <c r="O802" s="485"/>
      <c r="P802" s="485"/>
      <c r="Q802" s="485"/>
      <c r="R802" s="485"/>
      <c r="S802" s="485"/>
      <c r="T802" s="485"/>
      <c r="U802" s="485"/>
      <c r="V802" s="485"/>
      <c r="W802" s="485"/>
      <c r="X802" s="485"/>
      <c r="Y802" s="485"/>
      <c r="Z802" s="485"/>
      <c r="AA802" s="485"/>
    </row>
    <row r="803">
      <c r="A803" s="486"/>
      <c r="B803" s="482"/>
      <c r="C803" s="497"/>
      <c r="D803" s="497"/>
      <c r="E803" s="497"/>
      <c r="F803" s="497"/>
      <c r="G803" s="497"/>
      <c r="H803" s="497"/>
      <c r="I803" s="497"/>
      <c r="J803" s="497"/>
      <c r="K803" s="497"/>
      <c r="L803" s="485"/>
      <c r="M803" s="485"/>
      <c r="N803" s="485"/>
      <c r="O803" s="485"/>
      <c r="P803" s="485"/>
      <c r="Q803" s="485"/>
      <c r="R803" s="485"/>
      <c r="S803" s="485"/>
      <c r="T803" s="485"/>
      <c r="U803" s="485"/>
      <c r="V803" s="485"/>
      <c r="W803" s="485"/>
      <c r="X803" s="485"/>
      <c r="Y803" s="485"/>
      <c r="Z803" s="485"/>
      <c r="AA803" s="485"/>
    </row>
    <row r="804">
      <c r="A804" s="486"/>
      <c r="B804" s="482"/>
      <c r="C804" s="497"/>
      <c r="D804" s="497"/>
      <c r="E804" s="497"/>
      <c r="F804" s="497"/>
      <c r="G804" s="497"/>
      <c r="H804" s="497"/>
      <c r="I804" s="497"/>
      <c r="J804" s="497"/>
      <c r="K804" s="497"/>
      <c r="L804" s="485"/>
      <c r="M804" s="485"/>
      <c r="N804" s="485"/>
      <c r="O804" s="485"/>
      <c r="P804" s="485"/>
      <c r="Q804" s="485"/>
      <c r="R804" s="485"/>
      <c r="S804" s="485"/>
      <c r="T804" s="485"/>
      <c r="U804" s="485"/>
      <c r="V804" s="485"/>
      <c r="W804" s="485"/>
      <c r="X804" s="485"/>
      <c r="Y804" s="485"/>
      <c r="Z804" s="485"/>
      <c r="AA804" s="485"/>
    </row>
    <row r="805">
      <c r="A805" s="486"/>
      <c r="B805" s="482"/>
      <c r="C805" s="497"/>
      <c r="D805" s="497"/>
      <c r="E805" s="497"/>
      <c r="F805" s="497"/>
      <c r="G805" s="497"/>
      <c r="H805" s="497"/>
      <c r="I805" s="497"/>
      <c r="J805" s="497"/>
      <c r="K805" s="497"/>
      <c r="L805" s="485"/>
      <c r="M805" s="485"/>
      <c r="N805" s="485"/>
      <c r="O805" s="485"/>
      <c r="P805" s="485"/>
      <c r="Q805" s="485"/>
      <c r="R805" s="485"/>
      <c r="S805" s="485"/>
      <c r="T805" s="485"/>
      <c r="U805" s="485"/>
      <c r="V805" s="485"/>
      <c r="W805" s="485"/>
      <c r="X805" s="485"/>
      <c r="Y805" s="485"/>
      <c r="Z805" s="485"/>
      <c r="AA805" s="485"/>
    </row>
    <row r="806">
      <c r="A806" s="486"/>
      <c r="B806" s="482"/>
      <c r="C806" s="497"/>
      <c r="D806" s="497"/>
      <c r="E806" s="497"/>
      <c r="F806" s="497"/>
      <c r="G806" s="497"/>
      <c r="H806" s="497"/>
      <c r="I806" s="497"/>
      <c r="J806" s="497"/>
      <c r="K806" s="497"/>
      <c r="L806" s="485"/>
      <c r="M806" s="485"/>
      <c r="N806" s="485"/>
      <c r="O806" s="485"/>
      <c r="P806" s="485"/>
      <c r="Q806" s="485"/>
      <c r="R806" s="485"/>
      <c r="S806" s="485"/>
      <c r="T806" s="485"/>
      <c r="U806" s="485"/>
      <c r="V806" s="485"/>
      <c r="W806" s="485"/>
      <c r="X806" s="485"/>
      <c r="Y806" s="485"/>
      <c r="Z806" s="485"/>
      <c r="AA806" s="485"/>
    </row>
    <row r="807">
      <c r="A807" s="486"/>
      <c r="B807" s="482"/>
      <c r="C807" s="497"/>
      <c r="D807" s="497"/>
      <c r="E807" s="497"/>
      <c r="F807" s="497"/>
      <c r="G807" s="497"/>
      <c r="H807" s="497"/>
      <c r="I807" s="497"/>
      <c r="J807" s="497"/>
      <c r="K807" s="497"/>
      <c r="L807" s="485"/>
      <c r="M807" s="485"/>
      <c r="N807" s="485"/>
      <c r="O807" s="485"/>
      <c r="P807" s="485"/>
      <c r="Q807" s="485"/>
      <c r="R807" s="485"/>
      <c r="S807" s="485"/>
      <c r="T807" s="485"/>
      <c r="U807" s="485"/>
      <c r="V807" s="485"/>
      <c r="W807" s="485"/>
      <c r="X807" s="485"/>
      <c r="Y807" s="485"/>
      <c r="Z807" s="485"/>
      <c r="AA807" s="485"/>
    </row>
    <row r="808">
      <c r="A808" s="486"/>
      <c r="B808" s="482"/>
      <c r="C808" s="497"/>
      <c r="D808" s="497"/>
      <c r="E808" s="497"/>
      <c r="F808" s="497"/>
      <c r="G808" s="497"/>
      <c r="H808" s="497"/>
      <c r="I808" s="497"/>
      <c r="J808" s="497"/>
      <c r="K808" s="497"/>
      <c r="L808" s="485"/>
      <c r="M808" s="485"/>
      <c r="N808" s="485"/>
      <c r="O808" s="485"/>
      <c r="P808" s="485"/>
      <c r="Q808" s="485"/>
      <c r="R808" s="485"/>
      <c r="S808" s="485"/>
      <c r="T808" s="485"/>
      <c r="U808" s="485"/>
      <c r="V808" s="485"/>
      <c r="W808" s="485"/>
      <c r="X808" s="485"/>
      <c r="Y808" s="485"/>
      <c r="Z808" s="485"/>
      <c r="AA808" s="485"/>
    </row>
    <row r="809">
      <c r="A809" s="486"/>
      <c r="B809" s="482"/>
      <c r="C809" s="497"/>
      <c r="D809" s="497"/>
      <c r="E809" s="497"/>
      <c r="F809" s="497"/>
      <c r="G809" s="497"/>
      <c r="H809" s="497"/>
      <c r="I809" s="497"/>
      <c r="J809" s="497"/>
      <c r="K809" s="497"/>
      <c r="L809" s="485"/>
      <c r="M809" s="485"/>
      <c r="N809" s="485"/>
      <c r="O809" s="485"/>
      <c r="P809" s="485"/>
      <c r="Q809" s="485"/>
      <c r="R809" s="485"/>
      <c r="S809" s="485"/>
      <c r="T809" s="485"/>
      <c r="U809" s="485"/>
      <c r="V809" s="485"/>
      <c r="W809" s="485"/>
      <c r="X809" s="485"/>
      <c r="Y809" s="485"/>
      <c r="Z809" s="485"/>
      <c r="AA809" s="485"/>
    </row>
    <row r="810">
      <c r="A810" s="486"/>
      <c r="B810" s="482"/>
      <c r="C810" s="497"/>
      <c r="D810" s="497"/>
      <c r="E810" s="497"/>
      <c r="F810" s="497"/>
      <c r="G810" s="497"/>
      <c r="H810" s="497"/>
      <c r="I810" s="497"/>
      <c r="J810" s="497"/>
      <c r="K810" s="497"/>
      <c r="L810" s="485"/>
      <c r="M810" s="485"/>
      <c r="N810" s="485"/>
      <c r="O810" s="485"/>
      <c r="P810" s="485"/>
      <c r="Q810" s="485"/>
      <c r="R810" s="485"/>
      <c r="S810" s="485"/>
      <c r="T810" s="485"/>
      <c r="U810" s="485"/>
      <c r="V810" s="485"/>
      <c r="W810" s="485"/>
      <c r="X810" s="485"/>
      <c r="Y810" s="485"/>
      <c r="Z810" s="485"/>
      <c r="AA810" s="485"/>
    </row>
    <row r="811">
      <c r="A811" s="486"/>
      <c r="B811" s="482"/>
      <c r="C811" s="497"/>
      <c r="D811" s="497"/>
      <c r="E811" s="497"/>
      <c r="F811" s="497"/>
      <c r="G811" s="497"/>
      <c r="H811" s="497"/>
      <c r="I811" s="497"/>
      <c r="J811" s="497"/>
      <c r="K811" s="497"/>
      <c r="L811" s="485"/>
      <c r="M811" s="485"/>
      <c r="N811" s="485"/>
      <c r="O811" s="485"/>
      <c r="P811" s="485"/>
      <c r="Q811" s="485"/>
      <c r="R811" s="485"/>
      <c r="S811" s="485"/>
      <c r="T811" s="485"/>
      <c r="U811" s="485"/>
      <c r="V811" s="485"/>
      <c r="W811" s="485"/>
      <c r="X811" s="485"/>
      <c r="Y811" s="485"/>
      <c r="Z811" s="485"/>
      <c r="AA811" s="485"/>
    </row>
    <row r="812">
      <c r="A812" s="486"/>
      <c r="B812" s="482"/>
      <c r="C812" s="497"/>
      <c r="D812" s="497"/>
      <c r="E812" s="497"/>
      <c r="F812" s="497"/>
      <c r="G812" s="497"/>
      <c r="H812" s="497"/>
      <c r="I812" s="497"/>
      <c r="J812" s="497"/>
      <c r="K812" s="497"/>
      <c r="L812" s="485"/>
      <c r="M812" s="485"/>
      <c r="N812" s="485"/>
      <c r="O812" s="485"/>
      <c r="P812" s="485"/>
      <c r="Q812" s="485"/>
      <c r="R812" s="485"/>
      <c r="S812" s="485"/>
      <c r="T812" s="485"/>
      <c r="U812" s="485"/>
      <c r="V812" s="485"/>
      <c r="W812" s="485"/>
      <c r="X812" s="485"/>
      <c r="Y812" s="485"/>
      <c r="Z812" s="485"/>
      <c r="AA812" s="485"/>
    </row>
    <row r="813">
      <c r="A813" s="486"/>
      <c r="B813" s="482"/>
      <c r="C813" s="497"/>
      <c r="D813" s="497"/>
      <c r="E813" s="497"/>
      <c r="F813" s="497"/>
      <c r="G813" s="497"/>
      <c r="H813" s="497"/>
      <c r="I813" s="497"/>
      <c r="J813" s="497"/>
      <c r="K813" s="497"/>
      <c r="L813" s="485"/>
      <c r="M813" s="485"/>
      <c r="N813" s="485"/>
      <c r="O813" s="485"/>
      <c r="P813" s="485"/>
      <c r="Q813" s="485"/>
      <c r="R813" s="485"/>
      <c r="S813" s="485"/>
      <c r="T813" s="485"/>
      <c r="U813" s="485"/>
      <c r="V813" s="485"/>
      <c r="W813" s="485"/>
      <c r="X813" s="485"/>
      <c r="Y813" s="485"/>
      <c r="Z813" s="485"/>
      <c r="AA813" s="485"/>
    </row>
    <row r="814">
      <c r="A814" s="486"/>
      <c r="B814" s="482"/>
      <c r="C814" s="497"/>
      <c r="D814" s="497"/>
      <c r="E814" s="497"/>
      <c r="F814" s="497"/>
      <c r="G814" s="497"/>
      <c r="H814" s="497"/>
      <c r="I814" s="497"/>
      <c r="J814" s="497"/>
      <c r="K814" s="497"/>
      <c r="L814" s="485"/>
      <c r="M814" s="485"/>
      <c r="N814" s="485"/>
      <c r="O814" s="485"/>
      <c r="P814" s="485"/>
      <c r="Q814" s="485"/>
      <c r="R814" s="485"/>
      <c r="S814" s="485"/>
      <c r="T814" s="485"/>
      <c r="U814" s="485"/>
      <c r="V814" s="485"/>
      <c r="W814" s="485"/>
      <c r="X814" s="485"/>
      <c r="Y814" s="485"/>
      <c r="Z814" s="485"/>
      <c r="AA814" s="485"/>
    </row>
    <row r="815">
      <c r="A815" s="486"/>
      <c r="B815" s="482"/>
      <c r="C815" s="497"/>
      <c r="D815" s="497"/>
      <c r="E815" s="497"/>
      <c r="F815" s="497"/>
      <c r="G815" s="497"/>
      <c r="H815" s="497"/>
      <c r="I815" s="497"/>
      <c r="J815" s="497"/>
      <c r="K815" s="497"/>
      <c r="L815" s="485"/>
      <c r="M815" s="485"/>
      <c r="N815" s="485"/>
      <c r="O815" s="485"/>
      <c r="P815" s="485"/>
      <c r="Q815" s="485"/>
      <c r="R815" s="485"/>
      <c r="S815" s="485"/>
      <c r="T815" s="485"/>
      <c r="U815" s="485"/>
      <c r="V815" s="485"/>
      <c r="W815" s="485"/>
      <c r="X815" s="485"/>
      <c r="Y815" s="485"/>
      <c r="Z815" s="485"/>
      <c r="AA815" s="485"/>
    </row>
    <row r="816">
      <c r="A816" s="486"/>
      <c r="B816" s="482"/>
      <c r="C816" s="497"/>
      <c r="D816" s="497"/>
      <c r="E816" s="497"/>
      <c r="F816" s="497"/>
      <c r="G816" s="497"/>
      <c r="H816" s="497"/>
      <c r="I816" s="497"/>
      <c r="J816" s="497"/>
      <c r="K816" s="497"/>
      <c r="L816" s="485"/>
      <c r="M816" s="485"/>
      <c r="N816" s="485"/>
      <c r="O816" s="485"/>
      <c r="P816" s="485"/>
      <c r="Q816" s="485"/>
      <c r="R816" s="485"/>
      <c r="S816" s="485"/>
      <c r="T816" s="485"/>
      <c r="U816" s="485"/>
      <c r="V816" s="485"/>
      <c r="W816" s="485"/>
      <c r="X816" s="485"/>
      <c r="Y816" s="485"/>
      <c r="Z816" s="485"/>
      <c r="AA816" s="485"/>
    </row>
    <row r="817">
      <c r="A817" s="486"/>
      <c r="B817" s="482"/>
      <c r="C817" s="497"/>
      <c r="D817" s="497"/>
      <c r="E817" s="497"/>
      <c r="F817" s="497"/>
      <c r="G817" s="497"/>
      <c r="H817" s="497"/>
      <c r="I817" s="497"/>
      <c r="J817" s="497"/>
      <c r="K817" s="497"/>
      <c r="L817" s="485"/>
      <c r="M817" s="485"/>
      <c r="N817" s="485"/>
      <c r="O817" s="485"/>
      <c r="P817" s="485"/>
      <c r="Q817" s="485"/>
      <c r="R817" s="485"/>
      <c r="S817" s="485"/>
      <c r="T817" s="485"/>
      <c r="U817" s="485"/>
      <c r="V817" s="485"/>
      <c r="W817" s="485"/>
      <c r="X817" s="485"/>
      <c r="Y817" s="485"/>
      <c r="Z817" s="485"/>
      <c r="AA817" s="485"/>
    </row>
    <row r="818">
      <c r="A818" s="486"/>
      <c r="B818" s="482"/>
      <c r="C818" s="497"/>
      <c r="D818" s="497"/>
      <c r="E818" s="497"/>
      <c r="F818" s="497"/>
      <c r="G818" s="497"/>
      <c r="H818" s="497"/>
      <c r="I818" s="497"/>
      <c r="J818" s="497"/>
      <c r="K818" s="497"/>
      <c r="L818" s="485"/>
      <c r="M818" s="485"/>
      <c r="N818" s="485"/>
      <c r="O818" s="485"/>
      <c r="P818" s="485"/>
      <c r="Q818" s="485"/>
      <c r="R818" s="485"/>
      <c r="S818" s="485"/>
      <c r="T818" s="485"/>
      <c r="U818" s="485"/>
      <c r="V818" s="485"/>
      <c r="W818" s="485"/>
      <c r="X818" s="485"/>
      <c r="Y818" s="485"/>
      <c r="Z818" s="485"/>
      <c r="AA818" s="485"/>
    </row>
    <row r="819">
      <c r="A819" s="486"/>
      <c r="B819" s="482"/>
      <c r="C819" s="497"/>
      <c r="D819" s="497"/>
      <c r="E819" s="497"/>
      <c r="F819" s="497"/>
      <c r="G819" s="497"/>
      <c r="H819" s="497"/>
      <c r="I819" s="497"/>
      <c r="J819" s="497"/>
      <c r="K819" s="497"/>
      <c r="L819" s="485"/>
      <c r="M819" s="485"/>
      <c r="N819" s="485"/>
      <c r="O819" s="485"/>
      <c r="P819" s="485"/>
      <c r="Q819" s="485"/>
      <c r="R819" s="485"/>
      <c r="S819" s="485"/>
      <c r="T819" s="485"/>
      <c r="U819" s="485"/>
      <c r="V819" s="485"/>
      <c r="W819" s="485"/>
      <c r="X819" s="485"/>
      <c r="Y819" s="485"/>
      <c r="Z819" s="485"/>
      <c r="AA819" s="485"/>
    </row>
    <row r="820">
      <c r="A820" s="486"/>
      <c r="B820" s="482"/>
      <c r="C820" s="497"/>
      <c r="D820" s="497"/>
      <c r="E820" s="497"/>
      <c r="F820" s="497"/>
      <c r="G820" s="497"/>
      <c r="H820" s="497"/>
      <c r="I820" s="497"/>
      <c r="J820" s="497"/>
      <c r="K820" s="497"/>
      <c r="L820" s="485"/>
      <c r="M820" s="485"/>
      <c r="N820" s="485"/>
      <c r="O820" s="485"/>
      <c r="P820" s="485"/>
      <c r="Q820" s="485"/>
      <c r="R820" s="485"/>
      <c r="S820" s="485"/>
      <c r="T820" s="485"/>
      <c r="U820" s="485"/>
      <c r="V820" s="485"/>
      <c r="W820" s="485"/>
      <c r="X820" s="485"/>
      <c r="Y820" s="485"/>
      <c r="Z820" s="485"/>
      <c r="AA820" s="485"/>
    </row>
    <row r="821">
      <c r="A821" s="486"/>
      <c r="B821" s="482"/>
      <c r="C821" s="497"/>
      <c r="D821" s="497"/>
      <c r="E821" s="497"/>
      <c r="F821" s="497"/>
      <c r="G821" s="497"/>
      <c r="H821" s="497"/>
      <c r="I821" s="497"/>
      <c r="J821" s="497"/>
      <c r="K821" s="497"/>
      <c r="L821" s="485"/>
      <c r="M821" s="485"/>
      <c r="N821" s="485"/>
      <c r="O821" s="485"/>
      <c r="P821" s="485"/>
      <c r="Q821" s="485"/>
      <c r="R821" s="485"/>
      <c r="S821" s="485"/>
      <c r="T821" s="485"/>
      <c r="U821" s="485"/>
      <c r="V821" s="485"/>
      <c r="W821" s="485"/>
      <c r="X821" s="485"/>
      <c r="Y821" s="485"/>
      <c r="Z821" s="485"/>
      <c r="AA821" s="485"/>
    </row>
    <row r="822">
      <c r="A822" s="486"/>
      <c r="B822" s="482"/>
      <c r="C822" s="497"/>
      <c r="D822" s="497"/>
      <c r="E822" s="497"/>
      <c r="F822" s="497"/>
      <c r="G822" s="497"/>
      <c r="H822" s="497"/>
      <c r="I822" s="497"/>
      <c r="J822" s="497"/>
      <c r="K822" s="497"/>
      <c r="L822" s="485"/>
      <c r="M822" s="485"/>
      <c r="N822" s="485"/>
      <c r="O822" s="485"/>
      <c r="P822" s="485"/>
      <c r="Q822" s="485"/>
      <c r="R822" s="485"/>
      <c r="S822" s="485"/>
      <c r="T822" s="485"/>
      <c r="U822" s="485"/>
      <c r="V822" s="485"/>
      <c r="W822" s="485"/>
      <c r="X822" s="485"/>
      <c r="Y822" s="485"/>
      <c r="Z822" s="485"/>
      <c r="AA822" s="485"/>
    </row>
    <row r="823">
      <c r="A823" s="486"/>
      <c r="B823" s="482"/>
      <c r="C823" s="497"/>
      <c r="D823" s="497"/>
      <c r="E823" s="497"/>
      <c r="F823" s="497"/>
      <c r="G823" s="497"/>
      <c r="H823" s="497"/>
      <c r="I823" s="497"/>
      <c r="J823" s="497"/>
      <c r="K823" s="497"/>
      <c r="L823" s="485"/>
      <c r="M823" s="485"/>
      <c r="N823" s="485"/>
      <c r="O823" s="485"/>
      <c r="P823" s="485"/>
      <c r="Q823" s="485"/>
      <c r="R823" s="485"/>
      <c r="S823" s="485"/>
      <c r="T823" s="485"/>
      <c r="U823" s="485"/>
      <c r="V823" s="485"/>
      <c r="W823" s="485"/>
      <c r="X823" s="485"/>
      <c r="Y823" s="485"/>
      <c r="Z823" s="485"/>
      <c r="AA823" s="485"/>
    </row>
    <row r="824">
      <c r="A824" s="486"/>
      <c r="B824" s="482"/>
      <c r="C824" s="497"/>
      <c r="D824" s="497"/>
      <c r="E824" s="497"/>
      <c r="F824" s="497"/>
      <c r="G824" s="497"/>
      <c r="H824" s="497"/>
      <c r="I824" s="497"/>
      <c r="J824" s="497"/>
      <c r="K824" s="497"/>
      <c r="L824" s="485"/>
      <c r="M824" s="485"/>
      <c r="N824" s="485"/>
      <c r="O824" s="485"/>
      <c r="P824" s="485"/>
      <c r="Q824" s="485"/>
      <c r="R824" s="485"/>
      <c r="S824" s="485"/>
      <c r="T824" s="485"/>
      <c r="U824" s="485"/>
      <c r="V824" s="485"/>
      <c r="W824" s="485"/>
      <c r="X824" s="485"/>
      <c r="Y824" s="485"/>
      <c r="Z824" s="485"/>
      <c r="AA824" s="485"/>
    </row>
    <row r="825">
      <c r="A825" s="486"/>
      <c r="B825" s="482"/>
      <c r="C825" s="497"/>
      <c r="D825" s="497"/>
      <c r="E825" s="497"/>
      <c r="F825" s="497"/>
      <c r="G825" s="497"/>
      <c r="H825" s="497"/>
      <c r="I825" s="497"/>
      <c r="J825" s="497"/>
      <c r="K825" s="497"/>
      <c r="L825" s="485"/>
      <c r="M825" s="485"/>
      <c r="N825" s="485"/>
      <c r="O825" s="485"/>
      <c r="P825" s="485"/>
      <c r="Q825" s="485"/>
      <c r="R825" s="485"/>
      <c r="S825" s="485"/>
      <c r="T825" s="485"/>
      <c r="U825" s="485"/>
      <c r="V825" s="485"/>
      <c r="W825" s="485"/>
      <c r="X825" s="485"/>
      <c r="Y825" s="485"/>
      <c r="Z825" s="485"/>
      <c r="AA825" s="485"/>
    </row>
    <row r="826">
      <c r="A826" s="486"/>
      <c r="B826" s="482"/>
      <c r="C826" s="497"/>
      <c r="D826" s="497"/>
      <c r="E826" s="497"/>
      <c r="F826" s="497"/>
      <c r="G826" s="497"/>
      <c r="H826" s="497"/>
      <c r="I826" s="497"/>
      <c r="J826" s="497"/>
      <c r="K826" s="497"/>
      <c r="L826" s="485"/>
      <c r="M826" s="485"/>
      <c r="N826" s="485"/>
      <c r="O826" s="485"/>
      <c r="P826" s="485"/>
      <c r="Q826" s="485"/>
      <c r="R826" s="485"/>
      <c r="S826" s="485"/>
      <c r="T826" s="485"/>
      <c r="U826" s="485"/>
      <c r="V826" s="485"/>
      <c r="W826" s="485"/>
      <c r="X826" s="485"/>
      <c r="Y826" s="485"/>
      <c r="Z826" s="485"/>
      <c r="AA826" s="485"/>
    </row>
    <row r="827">
      <c r="A827" s="486"/>
      <c r="B827" s="482"/>
      <c r="C827" s="497"/>
      <c r="D827" s="497"/>
      <c r="E827" s="497"/>
      <c r="F827" s="497"/>
      <c r="G827" s="497"/>
      <c r="H827" s="497"/>
      <c r="I827" s="497"/>
      <c r="J827" s="497"/>
      <c r="K827" s="497"/>
      <c r="L827" s="485"/>
      <c r="M827" s="485"/>
      <c r="N827" s="485"/>
      <c r="O827" s="485"/>
      <c r="P827" s="485"/>
      <c r="Q827" s="485"/>
      <c r="R827" s="485"/>
      <c r="S827" s="485"/>
      <c r="T827" s="485"/>
      <c r="U827" s="485"/>
      <c r="V827" s="485"/>
      <c r="W827" s="485"/>
      <c r="X827" s="485"/>
      <c r="Y827" s="485"/>
      <c r="Z827" s="485"/>
      <c r="AA827" s="485"/>
    </row>
    <row r="828">
      <c r="A828" s="486"/>
      <c r="B828" s="482"/>
      <c r="C828" s="497"/>
      <c r="D828" s="497"/>
      <c r="E828" s="497"/>
      <c r="F828" s="497"/>
      <c r="G828" s="497"/>
      <c r="H828" s="497"/>
      <c r="I828" s="497"/>
      <c r="J828" s="497"/>
      <c r="K828" s="497"/>
      <c r="L828" s="485"/>
      <c r="M828" s="485"/>
      <c r="N828" s="485"/>
      <c r="O828" s="485"/>
      <c r="P828" s="485"/>
      <c r="Q828" s="485"/>
      <c r="R828" s="485"/>
      <c r="S828" s="485"/>
      <c r="T828" s="485"/>
      <c r="U828" s="485"/>
      <c r="V828" s="485"/>
      <c r="W828" s="485"/>
      <c r="X828" s="485"/>
      <c r="Y828" s="485"/>
      <c r="Z828" s="485"/>
      <c r="AA828" s="485"/>
    </row>
    <row r="829">
      <c r="A829" s="486"/>
      <c r="B829" s="482"/>
      <c r="C829" s="497"/>
      <c r="D829" s="497"/>
      <c r="E829" s="497"/>
      <c r="F829" s="497"/>
      <c r="G829" s="497"/>
      <c r="H829" s="497"/>
      <c r="I829" s="497"/>
      <c r="J829" s="497"/>
      <c r="K829" s="497"/>
      <c r="L829" s="485"/>
      <c r="M829" s="485"/>
      <c r="N829" s="485"/>
      <c r="O829" s="485"/>
      <c r="P829" s="485"/>
      <c r="Q829" s="485"/>
      <c r="R829" s="485"/>
      <c r="S829" s="485"/>
      <c r="T829" s="485"/>
      <c r="U829" s="485"/>
      <c r="V829" s="485"/>
      <c r="W829" s="485"/>
      <c r="X829" s="485"/>
      <c r="Y829" s="485"/>
      <c r="Z829" s="485"/>
      <c r="AA829" s="485"/>
    </row>
    <row r="830">
      <c r="A830" s="486"/>
      <c r="B830" s="482"/>
      <c r="C830" s="497"/>
      <c r="D830" s="497"/>
      <c r="E830" s="497"/>
      <c r="F830" s="497"/>
      <c r="G830" s="497"/>
      <c r="H830" s="497"/>
      <c r="I830" s="497"/>
      <c r="J830" s="497"/>
      <c r="K830" s="497"/>
      <c r="L830" s="485"/>
      <c r="M830" s="485"/>
      <c r="N830" s="485"/>
      <c r="O830" s="485"/>
      <c r="P830" s="485"/>
      <c r="Q830" s="485"/>
      <c r="R830" s="485"/>
      <c r="S830" s="485"/>
      <c r="T830" s="485"/>
      <c r="U830" s="485"/>
      <c r="V830" s="485"/>
      <c r="W830" s="485"/>
      <c r="X830" s="485"/>
      <c r="Y830" s="485"/>
      <c r="Z830" s="485"/>
      <c r="AA830" s="485"/>
    </row>
    <row r="831">
      <c r="A831" s="486"/>
      <c r="B831" s="482"/>
      <c r="C831" s="497"/>
      <c r="D831" s="497"/>
      <c r="E831" s="497"/>
      <c r="F831" s="497"/>
      <c r="G831" s="497"/>
      <c r="H831" s="497"/>
      <c r="I831" s="497"/>
      <c r="J831" s="497"/>
      <c r="K831" s="497"/>
      <c r="L831" s="485"/>
      <c r="M831" s="485"/>
      <c r="N831" s="485"/>
      <c r="O831" s="485"/>
      <c r="P831" s="485"/>
      <c r="Q831" s="485"/>
      <c r="R831" s="485"/>
      <c r="S831" s="485"/>
      <c r="T831" s="485"/>
      <c r="U831" s="485"/>
      <c r="V831" s="485"/>
      <c r="W831" s="485"/>
      <c r="X831" s="485"/>
      <c r="Y831" s="485"/>
      <c r="Z831" s="485"/>
      <c r="AA831" s="485"/>
    </row>
    <row r="832">
      <c r="A832" s="486"/>
      <c r="B832" s="482"/>
      <c r="C832" s="497"/>
      <c r="D832" s="497"/>
      <c r="E832" s="497"/>
      <c r="F832" s="497"/>
      <c r="G832" s="497"/>
      <c r="H832" s="497"/>
      <c r="I832" s="497"/>
      <c r="J832" s="497"/>
      <c r="K832" s="497"/>
      <c r="L832" s="485"/>
      <c r="M832" s="485"/>
      <c r="N832" s="485"/>
      <c r="O832" s="485"/>
      <c r="P832" s="485"/>
      <c r="Q832" s="485"/>
      <c r="R832" s="485"/>
      <c r="S832" s="485"/>
      <c r="T832" s="485"/>
      <c r="U832" s="485"/>
      <c r="V832" s="485"/>
      <c r="W832" s="485"/>
      <c r="X832" s="485"/>
      <c r="Y832" s="485"/>
      <c r="Z832" s="485"/>
      <c r="AA832" s="485"/>
    </row>
    <row r="833">
      <c r="A833" s="486"/>
      <c r="B833" s="482"/>
      <c r="C833" s="497"/>
      <c r="D833" s="497"/>
      <c r="E833" s="497"/>
      <c r="F833" s="497"/>
      <c r="G833" s="497"/>
      <c r="H833" s="497"/>
      <c r="I833" s="497"/>
      <c r="J833" s="497"/>
      <c r="K833" s="497"/>
      <c r="L833" s="485"/>
      <c r="M833" s="485"/>
      <c r="N833" s="485"/>
      <c r="O833" s="485"/>
      <c r="P833" s="485"/>
      <c r="Q833" s="485"/>
      <c r="R833" s="485"/>
      <c r="S833" s="485"/>
      <c r="T833" s="485"/>
      <c r="U833" s="485"/>
      <c r="V833" s="485"/>
      <c r="W833" s="485"/>
      <c r="X833" s="485"/>
      <c r="Y833" s="485"/>
      <c r="Z833" s="485"/>
      <c r="AA833" s="485"/>
    </row>
    <row r="834">
      <c r="A834" s="486"/>
      <c r="B834" s="482"/>
      <c r="C834" s="497"/>
      <c r="D834" s="497"/>
      <c r="E834" s="497"/>
      <c r="F834" s="497"/>
      <c r="G834" s="497"/>
      <c r="H834" s="497"/>
      <c r="I834" s="497"/>
      <c r="J834" s="497"/>
      <c r="K834" s="497"/>
      <c r="L834" s="485"/>
      <c r="M834" s="485"/>
      <c r="N834" s="485"/>
      <c r="O834" s="485"/>
      <c r="P834" s="485"/>
      <c r="Q834" s="485"/>
      <c r="R834" s="485"/>
      <c r="S834" s="485"/>
      <c r="T834" s="485"/>
      <c r="U834" s="485"/>
      <c r="V834" s="485"/>
      <c r="W834" s="485"/>
      <c r="X834" s="485"/>
      <c r="Y834" s="485"/>
      <c r="Z834" s="485"/>
      <c r="AA834" s="485"/>
    </row>
    <row r="835">
      <c r="A835" s="486"/>
      <c r="B835" s="482"/>
      <c r="C835" s="497"/>
      <c r="D835" s="497"/>
      <c r="E835" s="497"/>
      <c r="F835" s="497"/>
      <c r="G835" s="497"/>
      <c r="H835" s="497"/>
      <c r="I835" s="497"/>
      <c r="J835" s="497"/>
      <c r="K835" s="497"/>
      <c r="L835" s="485"/>
      <c r="M835" s="485"/>
      <c r="N835" s="485"/>
      <c r="O835" s="485"/>
      <c r="P835" s="485"/>
      <c r="Q835" s="485"/>
      <c r="R835" s="485"/>
      <c r="S835" s="485"/>
      <c r="T835" s="485"/>
      <c r="U835" s="485"/>
      <c r="V835" s="485"/>
      <c r="W835" s="485"/>
      <c r="X835" s="485"/>
      <c r="Y835" s="485"/>
      <c r="Z835" s="485"/>
      <c r="AA835" s="485"/>
    </row>
    <row r="836">
      <c r="A836" s="486"/>
      <c r="B836" s="482"/>
      <c r="C836" s="497"/>
      <c r="D836" s="497"/>
      <c r="E836" s="497"/>
      <c r="F836" s="497"/>
      <c r="G836" s="497"/>
      <c r="H836" s="497"/>
      <c r="I836" s="497"/>
      <c r="J836" s="497"/>
      <c r="K836" s="497"/>
      <c r="L836" s="485"/>
      <c r="M836" s="485"/>
      <c r="N836" s="485"/>
      <c r="O836" s="485"/>
      <c r="P836" s="485"/>
      <c r="Q836" s="485"/>
      <c r="R836" s="485"/>
      <c r="S836" s="485"/>
      <c r="T836" s="485"/>
      <c r="U836" s="485"/>
      <c r="V836" s="485"/>
      <c r="W836" s="485"/>
      <c r="X836" s="485"/>
      <c r="Y836" s="485"/>
      <c r="Z836" s="485"/>
      <c r="AA836" s="485"/>
    </row>
    <row r="837">
      <c r="A837" s="486"/>
      <c r="B837" s="482"/>
      <c r="C837" s="497"/>
      <c r="D837" s="497"/>
      <c r="E837" s="497"/>
      <c r="F837" s="497"/>
      <c r="G837" s="497"/>
      <c r="H837" s="497"/>
      <c r="I837" s="497"/>
      <c r="J837" s="497"/>
      <c r="K837" s="497"/>
      <c r="L837" s="485"/>
      <c r="M837" s="485"/>
      <c r="N837" s="485"/>
      <c r="O837" s="485"/>
      <c r="P837" s="485"/>
      <c r="Q837" s="485"/>
      <c r="R837" s="485"/>
      <c r="S837" s="485"/>
      <c r="T837" s="485"/>
      <c r="U837" s="485"/>
      <c r="V837" s="485"/>
      <c r="W837" s="485"/>
      <c r="X837" s="485"/>
      <c r="Y837" s="485"/>
      <c r="Z837" s="485"/>
      <c r="AA837" s="485"/>
    </row>
    <row r="838">
      <c r="A838" s="486"/>
      <c r="B838" s="482"/>
      <c r="C838" s="497"/>
      <c r="D838" s="497"/>
      <c r="E838" s="497"/>
      <c r="F838" s="497"/>
      <c r="G838" s="497"/>
      <c r="H838" s="497"/>
      <c r="I838" s="497"/>
      <c r="J838" s="497"/>
      <c r="K838" s="497"/>
      <c r="L838" s="485"/>
      <c r="M838" s="485"/>
      <c r="N838" s="485"/>
      <c r="O838" s="485"/>
      <c r="P838" s="485"/>
      <c r="Q838" s="485"/>
      <c r="R838" s="485"/>
      <c r="S838" s="485"/>
      <c r="T838" s="485"/>
      <c r="U838" s="485"/>
      <c r="V838" s="485"/>
      <c r="W838" s="485"/>
      <c r="X838" s="485"/>
      <c r="Y838" s="485"/>
      <c r="Z838" s="485"/>
      <c r="AA838" s="485"/>
    </row>
    <row r="839">
      <c r="A839" s="486"/>
      <c r="B839" s="482"/>
      <c r="C839" s="497"/>
      <c r="D839" s="497"/>
      <c r="E839" s="497"/>
      <c r="F839" s="497"/>
      <c r="G839" s="497"/>
      <c r="H839" s="497"/>
      <c r="I839" s="497"/>
      <c r="J839" s="497"/>
      <c r="K839" s="497"/>
      <c r="L839" s="485"/>
      <c r="M839" s="485"/>
      <c r="N839" s="485"/>
      <c r="O839" s="485"/>
      <c r="P839" s="485"/>
      <c r="Q839" s="485"/>
      <c r="R839" s="485"/>
      <c r="S839" s="485"/>
      <c r="T839" s="485"/>
      <c r="U839" s="485"/>
      <c r="V839" s="485"/>
      <c r="W839" s="485"/>
      <c r="X839" s="485"/>
      <c r="Y839" s="485"/>
      <c r="Z839" s="485"/>
      <c r="AA839" s="485"/>
    </row>
    <row r="840">
      <c r="A840" s="486"/>
      <c r="B840" s="482"/>
      <c r="C840" s="497"/>
      <c r="D840" s="497"/>
      <c r="E840" s="497"/>
      <c r="F840" s="497"/>
      <c r="G840" s="497"/>
      <c r="H840" s="497"/>
      <c r="I840" s="497"/>
      <c r="J840" s="497"/>
      <c r="K840" s="497"/>
      <c r="L840" s="485"/>
      <c r="M840" s="485"/>
      <c r="N840" s="485"/>
      <c r="O840" s="485"/>
      <c r="P840" s="485"/>
      <c r="Q840" s="485"/>
      <c r="R840" s="485"/>
      <c r="S840" s="485"/>
      <c r="T840" s="485"/>
      <c r="U840" s="485"/>
      <c r="V840" s="485"/>
      <c r="W840" s="485"/>
      <c r="X840" s="485"/>
      <c r="Y840" s="485"/>
      <c r="Z840" s="485"/>
      <c r="AA840" s="485"/>
    </row>
    <row r="841">
      <c r="A841" s="486"/>
      <c r="B841" s="482"/>
      <c r="C841" s="497"/>
      <c r="D841" s="497"/>
      <c r="E841" s="497"/>
      <c r="F841" s="497"/>
      <c r="G841" s="497"/>
      <c r="H841" s="497"/>
      <c r="I841" s="497"/>
      <c r="J841" s="497"/>
      <c r="K841" s="497"/>
      <c r="L841" s="485"/>
      <c r="M841" s="485"/>
      <c r="N841" s="485"/>
      <c r="O841" s="485"/>
      <c r="P841" s="485"/>
      <c r="Q841" s="485"/>
      <c r="R841" s="485"/>
      <c r="S841" s="485"/>
      <c r="T841" s="485"/>
      <c r="U841" s="485"/>
      <c r="V841" s="485"/>
      <c r="W841" s="485"/>
      <c r="X841" s="485"/>
      <c r="Y841" s="485"/>
      <c r="Z841" s="485"/>
      <c r="AA841" s="485"/>
    </row>
    <row r="842">
      <c r="A842" s="486"/>
      <c r="B842" s="482"/>
      <c r="C842" s="497"/>
      <c r="D842" s="497"/>
      <c r="E842" s="497"/>
      <c r="F842" s="497"/>
      <c r="G842" s="497"/>
      <c r="H842" s="497"/>
      <c r="I842" s="497"/>
      <c r="J842" s="497"/>
      <c r="K842" s="497"/>
      <c r="L842" s="485"/>
      <c r="M842" s="485"/>
      <c r="N842" s="485"/>
      <c r="O842" s="485"/>
      <c r="P842" s="485"/>
      <c r="Q842" s="485"/>
      <c r="R842" s="485"/>
      <c r="S842" s="485"/>
      <c r="T842" s="485"/>
      <c r="U842" s="485"/>
      <c r="V842" s="485"/>
      <c r="W842" s="485"/>
      <c r="X842" s="485"/>
      <c r="Y842" s="485"/>
      <c r="Z842" s="485"/>
      <c r="AA842" s="485"/>
    </row>
    <row r="843">
      <c r="A843" s="486"/>
      <c r="B843" s="482"/>
      <c r="C843" s="497"/>
      <c r="D843" s="497"/>
      <c r="E843" s="497"/>
      <c r="F843" s="497"/>
      <c r="G843" s="497"/>
      <c r="H843" s="497"/>
      <c r="I843" s="497"/>
      <c r="J843" s="497"/>
      <c r="K843" s="497"/>
      <c r="L843" s="485"/>
      <c r="M843" s="485"/>
      <c r="N843" s="485"/>
      <c r="O843" s="485"/>
      <c r="P843" s="485"/>
      <c r="Q843" s="485"/>
      <c r="R843" s="485"/>
      <c r="S843" s="485"/>
      <c r="T843" s="485"/>
      <c r="U843" s="485"/>
      <c r="V843" s="485"/>
      <c r="W843" s="485"/>
      <c r="X843" s="485"/>
      <c r="Y843" s="485"/>
      <c r="Z843" s="485"/>
      <c r="AA843" s="485"/>
    </row>
    <row r="844">
      <c r="A844" s="486"/>
      <c r="B844" s="482"/>
      <c r="C844" s="497"/>
      <c r="D844" s="497"/>
      <c r="E844" s="497"/>
      <c r="F844" s="497"/>
      <c r="G844" s="497"/>
      <c r="H844" s="497"/>
      <c r="I844" s="497"/>
      <c r="J844" s="497"/>
      <c r="K844" s="497"/>
      <c r="L844" s="485"/>
      <c r="M844" s="485"/>
      <c r="N844" s="485"/>
      <c r="O844" s="485"/>
      <c r="P844" s="485"/>
      <c r="Q844" s="485"/>
      <c r="R844" s="485"/>
      <c r="S844" s="485"/>
      <c r="T844" s="485"/>
      <c r="U844" s="485"/>
      <c r="V844" s="485"/>
      <c r="W844" s="485"/>
      <c r="X844" s="485"/>
      <c r="Y844" s="485"/>
      <c r="Z844" s="485"/>
      <c r="AA844" s="485"/>
    </row>
    <row r="845">
      <c r="A845" s="486"/>
      <c r="B845" s="482"/>
      <c r="C845" s="497"/>
      <c r="D845" s="497"/>
      <c r="E845" s="497"/>
      <c r="F845" s="497"/>
      <c r="G845" s="497"/>
      <c r="H845" s="497"/>
      <c r="I845" s="497"/>
      <c r="J845" s="497"/>
      <c r="K845" s="497"/>
      <c r="L845" s="485"/>
      <c r="M845" s="485"/>
      <c r="N845" s="485"/>
      <c r="O845" s="485"/>
      <c r="P845" s="485"/>
      <c r="Q845" s="485"/>
      <c r="R845" s="485"/>
      <c r="S845" s="485"/>
      <c r="T845" s="485"/>
      <c r="U845" s="485"/>
      <c r="V845" s="485"/>
      <c r="W845" s="485"/>
      <c r="X845" s="485"/>
      <c r="Y845" s="485"/>
      <c r="Z845" s="485"/>
      <c r="AA845" s="485"/>
    </row>
    <row r="846">
      <c r="A846" s="486"/>
      <c r="B846" s="482"/>
      <c r="C846" s="497"/>
      <c r="D846" s="497"/>
      <c r="E846" s="497"/>
      <c r="F846" s="497"/>
      <c r="G846" s="497"/>
      <c r="H846" s="497"/>
      <c r="I846" s="497"/>
      <c r="J846" s="497"/>
      <c r="K846" s="497"/>
      <c r="L846" s="485"/>
      <c r="M846" s="485"/>
      <c r="N846" s="485"/>
      <c r="O846" s="485"/>
      <c r="P846" s="485"/>
      <c r="Q846" s="485"/>
      <c r="R846" s="485"/>
      <c r="S846" s="485"/>
      <c r="T846" s="485"/>
      <c r="U846" s="485"/>
      <c r="V846" s="485"/>
      <c r="W846" s="485"/>
      <c r="X846" s="485"/>
      <c r="Y846" s="485"/>
      <c r="Z846" s="485"/>
      <c r="AA846" s="485"/>
    </row>
    <row r="847">
      <c r="A847" s="486"/>
      <c r="B847" s="482"/>
      <c r="C847" s="497"/>
      <c r="D847" s="497"/>
      <c r="E847" s="497"/>
      <c r="F847" s="497"/>
      <c r="G847" s="497"/>
      <c r="H847" s="497"/>
      <c r="I847" s="497"/>
      <c r="J847" s="497"/>
      <c r="K847" s="497"/>
      <c r="L847" s="485"/>
      <c r="M847" s="485"/>
      <c r="N847" s="485"/>
      <c r="O847" s="485"/>
      <c r="P847" s="485"/>
      <c r="Q847" s="485"/>
      <c r="R847" s="485"/>
      <c r="S847" s="485"/>
      <c r="T847" s="485"/>
      <c r="U847" s="485"/>
      <c r="V847" s="485"/>
      <c r="W847" s="485"/>
      <c r="X847" s="485"/>
      <c r="Y847" s="485"/>
      <c r="Z847" s="485"/>
      <c r="AA847" s="485"/>
    </row>
    <row r="848">
      <c r="A848" s="486"/>
      <c r="B848" s="482"/>
      <c r="C848" s="497"/>
      <c r="D848" s="497"/>
      <c r="E848" s="497"/>
      <c r="F848" s="497"/>
      <c r="G848" s="497"/>
      <c r="H848" s="497"/>
      <c r="I848" s="497"/>
      <c r="J848" s="497"/>
      <c r="K848" s="497"/>
      <c r="L848" s="485"/>
      <c r="M848" s="485"/>
      <c r="N848" s="485"/>
      <c r="O848" s="485"/>
      <c r="P848" s="485"/>
      <c r="Q848" s="485"/>
      <c r="R848" s="485"/>
      <c r="S848" s="485"/>
      <c r="T848" s="485"/>
      <c r="U848" s="485"/>
      <c r="V848" s="485"/>
      <c r="W848" s="485"/>
      <c r="X848" s="485"/>
      <c r="Y848" s="485"/>
      <c r="Z848" s="485"/>
      <c r="AA848" s="485"/>
    </row>
    <row r="849">
      <c r="A849" s="486"/>
      <c r="B849" s="482"/>
      <c r="C849" s="497"/>
      <c r="D849" s="497"/>
      <c r="E849" s="497"/>
      <c r="F849" s="497"/>
      <c r="G849" s="497"/>
      <c r="H849" s="497"/>
      <c r="I849" s="497"/>
      <c r="J849" s="497"/>
      <c r="K849" s="497"/>
      <c r="L849" s="485"/>
      <c r="M849" s="485"/>
      <c r="N849" s="485"/>
      <c r="O849" s="485"/>
      <c r="P849" s="485"/>
      <c r="Q849" s="485"/>
      <c r="R849" s="485"/>
      <c r="S849" s="485"/>
      <c r="T849" s="485"/>
      <c r="U849" s="485"/>
      <c r="V849" s="485"/>
      <c r="W849" s="485"/>
      <c r="X849" s="485"/>
      <c r="Y849" s="485"/>
      <c r="Z849" s="485"/>
      <c r="AA849" s="485"/>
    </row>
    <row r="850">
      <c r="A850" s="486"/>
      <c r="B850" s="482"/>
      <c r="C850" s="497"/>
      <c r="D850" s="497"/>
      <c r="E850" s="497"/>
      <c r="F850" s="497"/>
      <c r="G850" s="497"/>
      <c r="H850" s="497"/>
      <c r="I850" s="497"/>
      <c r="J850" s="497"/>
      <c r="K850" s="497"/>
      <c r="L850" s="485"/>
      <c r="M850" s="485"/>
      <c r="N850" s="485"/>
      <c r="O850" s="485"/>
      <c r="P850" s="485"/>
      <c r="Q850" s="485"/>
      <c r="R850" s="485"/>
      <c r="S850" s="485"/>
      <c r="T850" s="485"/>
      <c r="U850" s="485"/>
      <c r="V850" s="485"/>
      <c r="W850" s="485"/>
      <c r="X850" s="485"/>
      <c r="Y850" s="485"/>
      <c r="Z850" s="485"/>
      <c r="AA850" s="485"/>
    </row>
    <row r="851">
      <c r="A851" s="486"/>
      <c r="B851" s="482"/>
      <c r="C851" s="497"/>
      <c r="D851" s="497"/>
      <c r="E851" s="497"/>
      <c r="F851" s="497"/>
      <c r="G851" s="497"/>
      <c r="H851" s="497"/>
      <c r="I851" s="497"/>
      <c r="J851" s="497"/>
      <c r="K851" s="497"/>
      <c r="L851" s="485"/>
      <c r="M851" s="485"/>
      <c r="N851" s="485"/>
      <c r="O851" s="485"/>
      <c r="P851" s="485"/>
      <c r="Q851" s="485"/>
      <c r="R851" s="485"/>
      <c r="S851" s="485"/>
      <c r="T851" s="485"/>
      <c r="U851" s="485"/>
      <c r="V851" s="485"/>
      <c r="W851" s="485"/>
      <c r="X851" s="485"/>
      <c r="Y851" s="485"/>
      <c r="Z851" s="485"/>
      <c r="AA851" s="485"/>
    </row>
    <row r="852">
      <c r="A852" s="486"/>
      <c r="B852" s="482"/>
      <c r="C852" s="497"/>
      <c r="D852" s="497"/>
      <c r="E852" s="497"/>
      <c r="F852" s="497"/>
      <c r="G852" s="497"/>
      <c r="H852" s="497"/>
      <c r="I852" s="497"/>
      <c r="J852" s="497"/>
      <c r="K852" s="497"/>
      <c r="L852" s="485"/>
      <c r="M852" s="485"/>
      <c r="N852" s="485"/>
      <c r="O852" s="485"/>
      <c r="P852" s="485"/>
      <c r="Q852" s="485"/>
      <c r="R852" s="485"/>
      <c r="S852" s="485"/>
      <c r="T852" s="485"/>
      <c r="U852" s="485"/>
      <c r="V852" s="485"/>
      <c r="W852" s="485"/>
      <c r="X852" s="485"/>
      <c r="Y852" s="485"/>
      <c r="Z852" s="485"/>
      <c r="AA852" s="485"/>
    </row>
    <row r="853">
      <c r="A853" s="486"/>
      <c r="B853" s="482"/>
      <c r="C853" s="497"/>
      <c r="D853" s="497"/>
      <c r="E853" s="497"/>
      <c r="F853" s="497"/>
      <c r="G853" s="497"/>
      <c r="H853" s="497"/>
      <c r="I853" s="497"/>
      <c r="J853" s="497"/>
      <c r="K853" s="497"/>
      <c r="L853" s="485"/>
      <c r="M853" s="485"/>
      <c r="N853" s="485"/>
      <c r="O853" s="485"/>
      <c r="P853" s="485"/>
      <c r="Q853" s="485"/>
      <c r="R853" s="485"/>
      <c r="S853" s="485"/>
      <c r="T853" s="485"/>
      <c r="U853" s="485"/>
      <c r="V853" s="485"/>
      <c r="W853" s="485"/>
      <c r="X853" s="485"/>
      <c r="Y853" s="485"/>
      <c r="Z853" s="485"/>
      <c r="AA853" s="485"/>
    </row>
    <row r="854">
      <c r="A854" s="486"/>
      <c r="B854" s="482"/>
      <c r="C854" s="497"/>
      <c r="D854" s="497"/>
      <c r="E854" s="497"/>
      <c r="F854" s="497"/>
      <c r="G854" s="497"/>
      <c r="H854" s="497"/>
      <c r="I854" s="497"/>
      <c r="J854" s="497"/>
      <c r="K854" s="497"/>
      <c r="L854" s="485"/>
      <c r="M854" s="485"/>
      <c r="N854" s="485"/>
      <c r="O854" s="485"/>
      <c r="P854" s="485"/>
      <c r="Q854" s="485"/>
      <c r="R854" s="485"/>
      <c r="S854" s="485"/>
      <c r="T854" s="485"/>
      <c r="U854" s="485"/>
      <c r="V854" s="485"/>
      <c r="W854" s="485"/>
      <c r="X854" s="485"/>
      <c r="Y854" s="485"/>
      <c r="Z854" s="485"/>
      <c r="AA854" s="485"/>
    </row>
    <row r="855">
      <c r="A855" s="486"/>
      <c r="B855" s="482"/>
      <c r="C855" s="497"/>
      <c r="D855" s="497"/>
      <c r="E855" s="497"/>
      <c r="F855" s="497"/>
      <c r="G855" s="497"/>
      <c r="H855" s="497"/>
      <c r="I855" s="497"/>
      <c r="J855" s="497"/>
      <c r="K855" s="497"/>
      <c r="L855" s="485"/>
      <c r="M855" s="485"/>
      <c r="N855" s="485"/>
      <c r="O855" s="485"/>
      <c r="P855" s="485"/>
      <c r="Q855" s="485"/>
      <c r="R855" s="485"/>
      <c r="S855" s="485"/>
      <c r="T855" s="485"/>
      <c r="U855" s="485"/>
      <c r="V855" s="485"/>
      <c r="W855" s="485"/>
      <c r="X855" s="485"/>
      <c r="Y855" s="485"/>
      <c r="Z855" s="485"/>
      <c r="AA855" s="485"/>
    </row>
    <row r="856">
      <c r="A856" s="486"/>
      <c r="B856" s="482"/>
      <c r="C856" s="497"/>
      <c r="D856" s="497"/>
      <c r="E856" s="497"/>
      <c r="F856" s="497"/>
      <c r="G856" s="497"/>
      <c r="H856" s="497"/>
      <c r="I856" s="497"/>
      <c r="J856" s="497"/>
      <c r="K856" s="497"/>
      <c r="L856" s="485"/>
      <c r="M856" s="485"/>
      <c r="N856" s="485"/>
      <c r="O856" s="485"/>
      <c r="P856" s="485"/>
      <c r="Q856" s="485"/>
      <c r="R856" s="485"/>
      <c r="S856" s="485"/>
      <c r="T856" s="485"/>
      <c r="U856" s="485"/>
      <c r="V856" s="485"/>
      <c r="W856" s="485"/>
      <c r="X856" s="485"/>
      <c r="Y856" s="485"/>
      <c r="Z856" s="485"/>
      <c r="AA856" s="485"/>
    </row>
    <row r="857">
      <c r="A857" s="486"/>
      <c r="B857" s="482"/>
      <c r="C857" s="497"/>
      <c r="D857" s="497"/>
      <c r="E857" s="497"/>
      <c r="F857" s="497"/>
      <c r="G857" s="497"/>
      <c r="H857" s="497"/>
      <c r="I857" s="497"/>
      <c r="J857" s="497"/>
      <c r="K857" s="497"/>
      <c r="L857" s="485"/>
      <c r="M857" s="485"/>
      <c r="N857" s="485"/>
      <c r="O857" s="485"/>
      <c r="P857" s="485"/>
      <c r="Q857" s="485"/>
      <c r="R857" s="485"/>
      <c r="S857" s="485"/>
      <c r="T857" s="485"/>
      <c r="U857" s="485"/>
      <c r="V857" s="485"/>
      <c r="W857" s="485"/>
      <c r="X857" s="485"/>
      <c r="Y857" s="485"/>
      <c r="Z857" s="485"/>
      <c r="AA857" s="485"/>
    </row>
    <row r="858">
      <c r="A858" s="486"/>
      <c r="B858" s="482"/>
      <c r="C858" s="497"/>
      <c r="D858" s="497"/>
      <c r="E858" s="497"/>
      <c r="F858" s="497"/>
      <c r="G858" s="497"/>
      <c r="H858" s="497"/>
      <c r="I858" s="497"/>
      <c r="J858" s="497"/>
      <c r="K858" s="497"/>
      <c r="L858" s="485"/>
      <c r="M858" s="485"/>
      <c r="N858" s="485"/>
      <c r="O858" s="485"/>
      <c r="P858" s="485"/>
      <c r="Q858" s="485"/>
      <c r="R858" s="485"/>
      <c r="S858" s="485"/>
      <c r="T858" s="485"/>
      <c r="U858" s="485"/>
      <c r="V858" s="485"/>
      <c r="W858" s="485"/>
      <c r="X858" s="485"/>
      <c r="Y858" s="485"/>
      <c r="Z858" s="485"/>
      <c r="AA858" s="485"/>
    </row>
    <row r="859">
      <c r="A859" s="486"/>
      <c r="B859" s="482"/>
      <c r="C859" s="497"/>
      <c r="D859" s="497"/>
      <c r="E859" s="497"/>
      <c r="F859" s="497"/>
      <c r="G859" s="497"/>
      <c r="H859" s="497"/>
      <c r="I859" s="497"/>
      <c r="J859" s="497"/>
      <c r="K859" s="497"/>
      <c r="L859" s="485"/>
      <c r="M859" s="485"/>
      <c r="N859" s="485"/>
      <c r="O859" s="485"/>
      <c r="P859" s="485"/>
      <c r="Q859" s="485"/>
      <c r="R859" s="485"/>
      <c r="S859" s="485"/>
      <c r="T859" s="485"/>
      <c r="U859" s="485"/>
      <c r="V859" s="485"/>
      <c r="W859" s="485"/>
      <c r="X859" s="485"/>
      <c r="Y859" s="485"/>
      <c r="Z859" s="485"/>
      <c r="AA859" s="485"/>
    </row>
    <row r="860">
      <c r="A860" s="486"/>
      <c r="B860" s="482"/>
      <c r="C860" s="497"/>
      <c r="D860" s="497"/>
      <c r="E860" s="497"/>
      <c r="F860" s="497"/>
      <c r="G860" s="497"/>
      <c r="H860" s="497"/>
      <c r="I860" s="497"/>
      <c r="J860" s="497"/>
      <c r="K860" s="497"/>
      <c r="L860" s="485"/>
      <c r="M860" s="485"/>
      <c r="N860" s="485"/>
      <c r="O860" s="485"/>
      <c r="P860" s="485"/>
      <c r="Q860" s="485"/>
      <c r="R860" s="485"/>
      <c r="S860" s="485"/>
      <c r="T860" s="485"/>
      <c r="U860" s="485"/>
      <c r="V860" s="485"/>
      <c r="W860" s="485"/>
      <c r="X860" s="485"/>
      <c r="Y860" s="485"/>
      <c r="Z860" s="485"/>
      <c r="AA860" s="485"/>
    </row>
    <row r="861">
      <c r="A861" s="486"/>
      <c r="B861" s="482"/>
      <c r="C861" s="497"/>
      <c r="D861" s="497"/>
      <c r="E861" s="497"/>
      <c r="F861" s="497"/>
      <c r="G861" s="497"/>
      <c r="H861" s="497"/>
      <c r="I861" s="497"/>
      <c r="J861" s="497"/>
      <c r="K861" s="497"/>
      <c r="L861" s="485"/>
      <c r="M861" s="485"/>
      <c r="N861" s="485"/>
      <c r="O861" s="485"/>
      <c r="P861" s="485"/>
      <c r="Q861" s="485"/>
      <c r="R861" s="485"/>
      <c r="S861" s="485"/>
      <c r="T861" s="485"/>
      <c r="U861" s="485"/>
      <c r="V861" s="485"/>
      <c r="W861" s="485"/>
      <c r="X861" s="485"/>
      <c r="Y861" s="485"/>
      <c r="Z861" s="485"/>
      <c r="AA861" s="485"/>
    </row>
    <row r="862">
      <c r="A862" s="486"/>
      <c r="B862" s="482"/>
      <c r="C862" s="497"/>
      <c r="D862" s="497"/>
      <c r="E862" s="497"/>
      <c r="F862" s="497"/>
      <c r="G862" s="497"/>
      <c r="H862" s="497"/>
      <c r="I862" s="497"/>
      <c r="J862" s="497"/>
      <c r="K862" s="497"/>
      <c r="L862" s="485"/>
      <c r="M862" s="485"/>
      <c r="N862" s="485"/>
      <c r="O862" s="485"/>
      <c r="P862" s="485"/>
      <c r="Q862" s="485"/>
      <c r="R862" s="485"/>
      <c r="S862" s="485"/>
      <c r="T862" s="485"/>
      <c r="U862" s="485"/>
      <c r="V862" s="485"/>
      <c r="W862" s="485"/>
      <c r="X862" s="485"/>
      <c r="Y862" s="485"/>
      <c r="Z862" s="485"/>
      <c r="AA862" s="485"/>
    </row>
    <row r="863">
      <c r="A863" s="486"/>
      <c r="B863" s="482"/>
      <c r="C863" s="497"/>
      <c r="D863" s="497"/>
      <c r="E863" s="497"/>
      <c r="F863" s="497"/>
      <c r="G863" s="497"/>
      <c r="H863" s="497"/>
      <c r="I863" s="497"/>
      <c r="J863" s="497"/>
      <c r="K863" s="497"/>
      <c r="L863" s="485"/>
      <c r="M863" s="485"/>
      <c r="N863" s="485"/>
      <c r="O863" s="485"/>
      <c r="P863" s="485"/>
      <c r="Q863" s="485"/>
      <c r="R863" s="485"/>
      <c r="S863" s="485"/>
      <c r="T863" s="485"/>
      <c r="U863" s="485"/>
      <c r="V863" s="485"/>
      <c r="W863" s="485"/>
      <c r="X863" s="485"/>
      <c r="Y863" s="485"/>
      <c r="Z863" s="485"/>
      <c r="AA863" s="485"/>
    </row>
    <row r="864">
      <c r="A864" s="486"/>
      <c r="B864" s="482"/>
      <c r="C864" s="497"/>
      <c r="D864" s="497"/>
      <c r="E864" s="497"/>
      <c r="F864" s="497"/>
      <c r="G864" s="497"/>
      <c r="H864" s="497"/>
      <c r="I864" s="497"/>
      <c r="J864" s="497"/>
      <c r="K864" s="497"/>
      <c r="L864" s="485"/>
      <c r="M864" s="485"/>
      <c r="N864" s="485"/>
      <c r="O864" s="485"/>
      <c r="P864" s="485"/>
      <c r="Q864" s="485"/>
      <c r="R864" s="485"/>
      <c r="S864" s="485"/>
      <c r="T864" s="485"/>
      <c r="U864" s="485"/>
      <c r="V864" s="485"/>
      <c r="W864" s="485"/>
      <c r="X864" s="485"/>
      <c r="Y864" s="485"/>
      <c r="Z864" s="485"/>
      <c r="AA864" s="485"/>
    </row>
    <row r="865">
      <c r="A865" s="486"/>
      <c r="B865" s="482"/>
      <c r="C865" s="497"/>
      <c r="D865" s="497"/>
      <c r="E865" s="497"/>
      <c r="F865" s="497"/>
      <c r="G865" s="497"/>
      <c r="H865" s="497"/>
      <c r="I865" s="497"/>
      <c r="J865" s="497"/>
      <c r="K865" s="497"/>
      <c r="L865" s="485"/>
      <c r="M865" s="485"/>
      <c r="N865" s="485"/>
      <c r="O865" s="485"/>
      <c r="P865" s="485"/>
      <c r="Q865" s="485"/>
      <c r="R865" s="485"/>
      <c r="S865" s="485"/>
      <c r="T865" s="485"/>
      <c r="U865" s="485"/>
      <c r="V865" s="485"/>
      <c r="W865" s="485"/>
      <c r="X865" s="485"/>
      <c r="Y865" s="485"/>
      <c r="Z865" s="485"/>
      <c r="AA865" s="485"/>
    </row>
    <row r="866">
      <c r="A866" s="486"/>
      <c r="B866" s="482"/>
      <c r="C866" s="497"/>
      <c r="D866" s="497"/>
      <c r="E866" s="497"/>
      <c r="F866" s="497"/>
      <c r="G866" s="497"/>
      <c r="H866" s="497"/>
      <c r="I866" s="497"/>
      <c r="J866" s="497"/>
      <c r="K866" s="497"/>
      <c r="L866" s="485"/>
      <c r="M866" s="485"/>
      <c r="N866" s="485"/>
      <c r="O866" s="485"/>
      <c r="P866" s="485"/>
      <c r="Q866" s="485"/>
      <c r="R866" s="485"/>
      <c r="S866" s="485"/>
      <c r="T866" s="485"/>
      <c r="U866" s="485"/>
      <c r="V866" s="485"/>
      <c r="W866" s="485"/>
      <c r="X866" s="485"/>
      <c r="Y866" s="485"/>
      <c r="Z866" s="485"/>
      <c r="AA866" s="485"/>
    </row>
    <row r="867">
      <c r="A867" s="486"/>
      <c r="B867" s="482"/>
      <c r="C867" s="497"/>
      <c r="D867" s="497"/>
      <c r="E867" s="497"/>
      <c r="F867" s="497"/>
      <c r="G867" s="497"/>
      <c r="H867" s="497"/>
      <c r="I867" s="497"/>
      <c r="J867" s="497"/>
      <c r="K867" s="497"/>
      <c r="L867" s="485"/>
      <c r="M867" s="485"/>
      <c r="N867" s="485"/>
      <c r="O867" s="485"/>
      <c r="P867" s="485"/>
      <c r="Q867" s="485"/>
      <c r="R867" s="485"/>
      <c r="S867" s="485"/>
      <c r="T867" s="485"/>
      <c r="U867" s="485"/>
      <c r="V867" s="485"/>
      <c r="W867" s="485"/>
      <c r="X867" s="485"/>
      <c r="Y867" s="485"/>
      <c r="Z867" s="485"/>
      <c r="AA867" s="485"/>
    </row>
    <row r="868">
      <c r="A868" s="486"/>
      <c r="B868" s="482"/>
      <c r="C868" s="497"/>
      <c r="D868" s="497"/>
      <c r="E868" s="497"/>
      <c r="F868" s="497"/>
      <c r="G868" s="497"/>
      <c r="H868" s="497"/>
      <c r="I868" s="497"/>
      <c r="J868" s="497"/>
      <c r="K868" s="497"/>
      <c r="L868" s="485"/>
      <c r="M868" s="485"/>
      <c r="N868" s="485"/>
      <c r="O868" s="485"/>
      <c r="P868" s="485"/>
      <c r="Q868" s="485"/>
      <c r="R868" s="485"/>
      <c r="S868" s="485"/>
      <c r="T868" s="485"/>
      <c r="U868" s="485"/>
      <c r="V868" s="485"/>
      <c r="W868" s="485"/>
      <c r="X868" s="485"/>
      <c r="Y868" s="485"/>
      <c r="Z868" s="485"/>
      <c r="AA868" s="485"/>
    </row>
    <row r="869">
      <c r="A869" s="486"/>
      <c r="B869" s="482"/>
      <c r="C869" s="497"/>
      <c r="D869" s="497"/>
      <c r="E869" s="497"/>
      <c r="F869" s="497"/>
      <c r="G869" s="497"/>
      <c r="H869" s="497"/>
      <c r="I869" s="497"/>
      <c r="J869" s="497"/>
      <c r="K869" s="497"/>
      <c r="L869" s="485"/>
      <c r="M869" s="485"/>
      <c r="N869" s="485"/>
      <c r="O869" s="485"/>
      <c r="P869" s="485"/>
      <c r="Q869" s="485"/>
      <c r="R869" s="485"/>
      <c r="S869" s="485"/>
      <c r="T869" s="485"/>
      <c r="U869" s="485"/>
      <c r="V869" s="485"/>
      <c r="W869" s="485"/>
      <c r="X869" s="485"/>
      <c r="Y869" s="485"/>
      <c r="Z869" s="485"/>
      <c r="AA869" s="485"/>
    </row>
    <row r="870">
      <c r="A870" s="486"/>
      <c r="B870" s="482"/>
      <c r="C870" s="497"/>
      <c r="D870" s="497"/>
      <c r="E870" s="497"/>
      <c r="F870" s="497"/>
      <c r="G870" s="497"/>
      <c r="H870" s="497"/>
      <c r="I870" s="497"/>
      <c r="J870" s="497"/>
      <c r="K870" s="497"/>
      <c r="L870" s="485"/>
      <c r="M870" s="485"/>
      <c r="N870" s="485"/>
      <c r="O870" s="485"/>
      <c r="P870" s="485"/>
      <c r="Q870" s="485"/>
      <c r="R870" s="485"/>
      <c r="S870" s="485"/>
      <c r="T870" s="485"/>
      <c r="U870" s="485"/>
      <c r="V870" s="485"/>
      <c r="W870" s="485"/>
      <c r="X870" s="485"/>
      <c r="Y870" s="485"/>
      <c r="Z870" s="485"/>
      <c r="AA870" s="485"/>
    </row>
    <row r="871">
      <c r="A871" s="486"/>
      <c r="B871" s="482"/>
      <c r="C871" s="497"/>
      <c r="D871" s="497"/>
      <c r="E871" s="497"/>
      <c r="F871" s="497"/>
      <c r="G871" s="497"/>
      <c r="H871" s="497"/>
      <c r="I871" s="497"/>
      <c r="J871" s="497"/>
      <c r="K871" s="497"/>
      <c r="L871" s="485"/>
      <c r="M871" s="485"/>
      <c r="N871" s="485"/>
      <c r="O871" s="485"/>
      <c r="P871" s="485"/>
      <c r="Q871" s="485"/>
      <c r="R871" s="485"/>
      <c r="S871" s="485"/>
      <c r="T871" s="485"/>
      <c r="U871" s="485"/>
      <c r="V871" s="485"/>
      <c r="W871" s="485"/>
      <c r="X871" s="485"/>
      <c r="Y871" s="485"/>
      <c r="Z871" s="485"/>
      <c r="AA871" s="485"/>
    </row>
    <row r="872">
      <c r="A872" s="486"/>
      <c r="B872" s="482"/>
      <c r="C872" s="497"/>
      <c r="D872" s="497"/>
      <c r="E872" s="497"/>
      <c r="F872" s="497"/>
      <c r="G872" s="497"/>
      <c r="H872" s="497"/>
      <c r="I872" s="497"/>
      <c r="J872" s="497"/>
      <c r="K872" s="497"/>
      <c r="L872" s="485"/>
      <c r="M872" s="485"/>
      <c r="N872" s="485"/>
      <c r="O872" s="485"/>
      <c r="P872" s="485"/>
      <c r="Q872" s="485"/>
      <c r="R872" s="485"/>
      <c r="S872" s="485"/>
      <c r="T872" s="485"/>
      <c r="U872" s="485"/>
      <c r="V872" s="485"/>
      <c r="W872" s="485"/>
      <c r="X872" s="485"/>
      <c r="Y872" s="485"/>
      <c r="Z872" s="485"/>
      <c r="AA872" s="485"/>
    </row>
    <row r="873">
      <c r="A873" s="486"/>
      <c r="B873" s="482"/>
      <c r="C873" s="497"/>
      <c r="D873" s="497"/>
      <c r="E873" s="497"/>
      <c r="F873" s="497"/>
      <c r="G873" s="497"/>
      <c r="H873" s="497"/>
      <c r="I873" s="497"/>
      <c r="J873" s="497"/>
      <c r="K873" s="497"/>
      <c r="L873" s="485"/>
      <c r="M873" s="485"/>
      <c r="N873" s="485"/>
      <c r="O873" s="485"/>
      <c r="P873" s="485"/>
      <c r="Q873" s="485"/>
      <c r="R873" s="485"/>
      <c r="S873" s="485"/>
      <c r="T873" s="485"/>
      <c r="U873" s="485"/>
      <c r="V873" s="485"/>
      <c r="W873" s="485"/>
      <c r="X873" s="485"/>
      <c r="Y873" s="485"/>
      <c r="Z873" s="485"/>
      <c r="AA873" s="485"/>
    </row>
    <row r="874">
      <c r="A874" s="486"/>
      <c r="B874" s="482"/>
      <c r="C874" s="497"/>
      <c r="D874" s="497"/>
      <c r="E874" s="497"/>
      <c r="F874" s="497"/>
      <c r="G874" s="497"/>
      <c r="H874" s="497"/>
      <c r="I874" s="497"/>
      <c r="J874" s="497"/>
      <c r="K874" s="497"/>
      <c r="L874" s="485"/>
      <c r="M874" s="485"/>
      <c r="N874" s="485"/>
      <c r="O874" s="485"/>
      <c r="P874" s="485"/>
      <c r="Q874" s="485"/>
      <c r="R874" s="485"/>
      <c r="S874" s="485"/>
      <c r="T874" s="485"/>
      <c r="U874" s="485"/>
      <c r="V874" s="485"/>
      <c r="W874" s="485"/>
      <c r="X874" s="485"/>
      <c r="Y874" s="485"/>
      <c r="Z874" s="485"/>
      <c r="AA874" s="485"/>
    </row>
    <row r="875">
      <c r="A875" s="486"/>
      <c r="B875" s="482"/>
      <c r="C875" s="497"/>
      <c r="D875" s="497"/>
      <c r="E875" s="497"/>
      <c r="F875" s="497"/>
      <c r="G875" s="497"/>
      <c r="H875" s="497"/>
      <c r="I875" s="497"/>
      <c r="J875" s="497"/>
      <c r="K875" s="497"/>
      <c r="L875" s="485"/>
      <c r="M875" s="485"/>
      <c r="N875" s="485"/>
      <c r="O875" s="485"/>
      <c r="P875" s="485"/>
      <c r="Q875" s="485"/>
      <c r="R875" s="485"/>
      <c r="S875" s="485"/>
      <c r="T875" s="485"/>
      <c r="U875" s="485"/>
      <c r="V875" s="485"/>
      <c r="W875" s="485"/>
      <c r="X875" s="485"/>
      <c r="Y875" s="485"/>
      <c r="Z875" s="485"/>
      <c r="AA875" s="485"/>
    </row>
    <row r="876">
      <c r="A876" s="486"/>
      <c r="B876" s="482"/>
      <c r="C876" s="497"/>
      <c r="D876" s="497"/>
      <c r="E876" s="497"/>
      <c r="F876" s="497"/>
      <c r="G876" s="497"/>
      <c r="H876" s="497"/>
      <c r="I876" s="497"/>
      <c r="J876" s="497"/>
      <c r="K876" s="497"/>
      <c r="L876" s="485"/>
      <c r="M876" s="485"/>
      <c r="N876" s="485"/>
      <c r="O876" s="485"/>
      <c r="P876" s="485"/>
      <c r="Q876" s="485"/>
      <c r="R876" s="485"/>
      <c r="S876" s="485"/>
      <c r="T876" s="485"/>
      <c r="U876" s="485"/>
      <c r="V876" s="485"/>
      <c r="W876" s="485"/>
      <c r="X876" s="485"/>
      <c r="Y876" s="485"/>
      <c r="Z876" s="485"/>
      <c r="AA876" s="485"/>
    </row>
    <row r="877">
      <c r="A877" s="486"/>
      <c r="B877" s="482"/>
      <c r="C877" s="497"/>
      <c r="D877" s="497"/>
      <c r="E877" s="497"/>
      <c r="F877" s="497"/>
      <c r="G877" s="497"/>
      <c r="H877" s="497"/>
      <c r="I877" s="497"/>
      <c r="J877" s="497"/>
      <c r="K877" s="497"/>
      <c r="L877" s="485"/>
      <c r="M877" s="485"/>
      <c r="N877" s="485"/>
      <c r="O877" s="485"/>
      <c r="P877" s="485"/>
      <c r="Q877" s="485"/>
      <c r="R877" s="485"/>
      <c r="S877" s="485"/>
      <c r="T877" s="485"/>
      <c r="U877" s="485"/>
      <c r="V877" s="485"/>
      <c r="W877" s="485"/>
      <c r="X877" s="485"/>
      <c r="Y877" s="485"/>
      <c r="Z877" s="485"/>
      <c r="AA877" s="485"/>
    </row>
    <row r="878">
      <c r="A878" s="486"/>
      <c r="B878" s="482"/>
      <c r="C878" s="497"/>
      <c r="D878" s="497"/>
      <c r="E878" s="497"/>
      <c r="F878" s="497"/>
      <c r="G878" s="497"/>
      <c r="H878" s="497"/>
      <c r="I878" s="497"/>
      <c r="J878" s="497"/>
      <c r="K878" s="497"/>
      <c r="L878" s="485"/>
      <c r="M878" s="485"/>
      <c r="N878" s="485"/>
      <c r="O878" s="485"/>
      <c r="P878" s="485"/>
      <c r="Q878" s="485"/>
      <c r="R878" s="485"/>
      <c r="S878" s="485"/>
      <c r="T878" s="485"/>
      <c r="U878" s="485"/>
      <c r="V878" s="485"/>
      <c r="W878" s="485"/>
      <c r="X878" s="485"/>
      <c r="Y878" s="485"/>
      <c r="Z878" s="485"/>
      <c r="AA878" s="485"/>
    </row>
    <row r="879">
      <c r="A879" s="486"/>
      <c r="B879" s="482"/>
      <c r="C879" s="497"/>
      <c r="D879" s="497"/>
      <c r="E879" s="497"/>
      <c r="F879" s="497"/>
      <c r="G879" s="497"/>
      <c r="H879" s="497"/>
      <c r="I879" s="497"/>
      <c r="J879" s="497"/>
      <c r="K879" s="497"/>
      <c r="L879" s="485"/>
      <c r="M879" s="485"/>
      <c r="N879" s="485"/>
      <c r="O879" s="485"/>
      <c r="P879" s="485"/>
      <c r="Q879" s="485"/>
      <c r="R879" s="485"/>
      <c r="S879" s="485"/>
      <c r="T879" s="485"/>
      <c r="U879" s="485"/>
      <c r="V879" s="485"/>
      <c r="W879" s="485"/>
      <c r="X879" s="485"/>
      <c r="Y879" s="485"/>
      <c r="Z879" s="485"/>
      <c r="AA879" s="485"/>
    </row>
    <row r="880">
      <c r="A880" s="486"/>
      <c r="B880" s="482"/>
      <c r="C880" s="497"/>
      <c r="D880" s="497"/>
      <c r="E880" s="497"/>
      <c r="F880" s="497"/>
      <c r="G880" s="497"/>
      <c r="H880" s="497"/>
      <c r="I880" s="497"/>
      <c r="J880" s="497"/>
      <c r="K880" s="497"/>
      <c r="L880" s="485"/>
      <c r="M880" s="485"/>
      <c r="N880" s="485"/>
      <c r="O880" s="485"/>
      <c r="P880" s="485"/>
      <c r="Q880" s="485"/>
      <c r="R880" s="485"/>
      <c r="S880" s="485"/>
      <c r="T880" s="485"/>
      <c r="U880" s="485"/>
      <c r="V880" s="485"/>
      <c r="W880" s="485"/>
      <c r="X880" s="485"/>
      <c r="Y880" s="485"/>
      <c r="Z880" s="485"/>
      <c r="AA880" s="485"/>
    </row>
    <row r="881">
      <c r="A881" s="486"/>
      <c r="B881" s="482"/>
      <c r="C881" s="497"/>
      <c r="D881" s="497"/>
      <c r="E881" s="497"/>
      <c r="F881" s="497"/>
      <c r="G881" s="497"/>
      <c r="H881" s="497"/>
      <c r="I881" s="497"/>
      <c r="J881" s="497"/>
      <c r="K881" s="497"/>
      <c r="L881" s="485"/>
      <c r="M881" s="485"/>
      <c r="N881" s="485"/>
      <c r="O881" s="485"/>
      <c r="P881" s="485"/>
      <c r="Q881" s="485"/>
      <c r="R881" s="485"/>
      <c r="S881" s="485"/>
      <c r="T881" s="485"/>
      <c r="U881" s="485"/>
      <c r="V881" s="485"/>
      <c r="W881" s="485"/>
      <c r="X881" s="485"/>
      <c r="Y881" s="485"/>
      <c r="Z881" s="485"/>
      <c r="AA881" s="485"/>
    </row>
    <row r="882">
      <c r="A882" s="486"/>
      <c r="B882" s="482"/>
      <c r="C882" s="497"/>
      <c r="D882" s="497"/>
      <c r="E882" s="497"/>
      <c r="F882" s="497"/>
      <c r="G882" s="497"/>
      <c r="H882" s="497"/>
      <c r="I882" s="497"/>
      <c r="J882" s="497"/>
      <c r="K882" s="497"/>
      <c r="L882" s="485"/>
      <c r="M882" s="485"/>
      <c r="N882" s="485"/>
      <c r="O882" s="485"/>
      <c r="P882" s="485"/>
      <c r="Q882" s="485"/>
      <c r="R882" s="485"/>
      <c r="S882" s="485"/>
      <c r="T882" s="485"/>
      <c r="U882" s="485"/>
      <c r="V882" s="485"/>
      <c r="W882" s="485"/>
      <c r="X882" s="485"/>
      <c r="Y882" s="485"/>
      <c r="Z882" s="485"/>
      <c r="AA882" s="485"/>
    </row>
    <row r="883">
      <c r="A883" s="486"/>
      <c r="B883" s="482"/>
      <c r="C883" s="497"/>
      <c r="D883" s="497"/>
      <c r="E883" s="497"/>
      <c r="F883" s="497"/>
      <c r="G883" s="497"/>
      <c r="H883" s="497"/>
      <c r="I883" s="497"/>
      <c r="J883" s="497"/>
      <c r="K883" s="497"/>
      <c r="L883" s="485"/>
      <c r="M883" s="485"/>
      <c r="N883" s="485"/>
      <c r="O883" s="485"/>
      <c r="P883" s="485"/>
      <c r="Q883" s="485"/>
      <c r="R883" s="485"/>
      <c r="S883" s="485"/>
      <c r="T883" s="485"/>
      <c r="U883" s="485"/>
      <c r="V883" s="485"/>
      <c r="W883" s="485"/>
      <c r="X883" s="485"/>
      <c r="Y883" s="485"/>
      <c r="Z883" s="485"/>
      <c r="AA883" s="485"/>
    </row>
    <row r="884">
      <c r="A884" s="486"/>
      <c r="B884" s="482"/>
      <c r="C884" s="497"/>
      <c r="D884" s="497"/>
      <c r="E884" s="497"/>
      <c r="F884" s="497"/>
      <c r="G884" s="497"/>
      <c r="H884" s="497"/>
      <c r="I884" s="497"/>
      <c r="J884" s="497"/>
      <c r="K884" s="497"/>
      <c r="L884" s="485"/>
      <c r="M884" s="485"/>
      <c r="N884" s="485"/>
      <c r="O884" s="485"/>
      <c r="P884" s="485"/>
      <c r="Q884" s="485"/>
      <c r="R884" s="485"/>
      <c r="S884" s="485"/>
      <c r="T884" s="485"/>
      <c r="U884" s="485"/>
      <c r="V884" s="485"/>
      <c r="W884" s="485"/>
      <c r="X884" s="485"/>
      <c r="Y884" s="485"/>
      <c r="Z884" s="485"/>
      <c r="AA884" s="485"/>
    </row>
    <row r="885">
      <c r="A885" s="486"/>
      <c r="B885" s="482"/>
      <c r="C885" s="497"/>
      <c r="D885" s="497"/>
      <c r="E885" s="497"/>
      <c r="F885" s="497"/>
      <c r="G885" s="497"/>
      <c r="H885" s="497"/>
      <c r="I885" s="497"/>
      <c r="J885" s="497"/>
      <c r="K885" s="497"/>
      <c r="L885" s="485"/>
      <c r="M885" s="485"/>
      <c r="N885" s="485"/>
      <c r="O885" s="485"/>
      <c r="P885" s="485"/>
      <c r="Q885" s="485"/>
      <c r="R885" s="485"/>
      <c r="S885" s="485"/>
      <c r="T885" s="485"/>
      <c r="U885" s="485"/>
      <c r="V885" s="485"/>
      <c r="W885" s="485"/>
      <c r="X885" s="485"/>
      <c r="Y885" s="485"/>
      <c r="Z885" s="485"/>
      <c r="AA885" s="485"/>
    </row>
    <row r="886">
      <c r="A886" s="486"/>
      <c r="B886" s="482"/>
      <c r="C886" s="497"/>
      <c r="D886" s="497"/>
      <c r="E886" s="497"/>
      <c r="F886" s="497"/>
      <c r="G886" s="497"/>
      <c r="H886" s="497"/>
      <c r="I886" s="497"/>
      <c r="J886" s="497"/>
      <c r="K886" s="497"/>
      <c r="L886" s="485"/>
      <c r="M886" s="485"/>
      <c r="N886" s="485"/>
      <c r="O886" s="485"/>
      <c r="P886" s="485"/>
      <c r="Q886" s="485"/>
      <c r="R886" s="485"/>
      <c r="S886" s="485"/>
      <c r="T886" s="485"/>
      <c r="U886" s="485"/>
      <c r="V886" s="485"/>
      <c r="W886" s="485"/>
      <c r="X886" s="485"/>
      <c r="Y886" s="485"/>
      <c r="Z886" s="485"/>
      <c r="AA886" s="485"/>
    </row>
    <row r="887">
      <c r="A887" s="486"/>
      <c r="B887" s="482"/>
      <c r="C887" s="497"/>
      <c r="D887" s="497"/>
      <c r="E887" s="497"/>
      <c r="F887" s="497"/>
      <c r="G887" s="497"/>
      <c r="H887" s="497"/>
      <c r="I887" s="497"/>
      <c r="J887" s="497"/>
      <c r="K887" s="497"/>
      <c r="L887" s="485"/>
      <c r="M887" s="485"/>
      <c r="N887" s="485"/>
      <c r="O887" s="485"/>
      <c r="P887" s="485"/>
      <c r="Q887" s="485"/>
      <c r="R887" s="485"/>
      <c r="S887" s="485"/>
      <c r="T887" s="485"/>
      <c r="U887" s="485"/>
      <c r="V887" s="485"/>
      <c r="W887" s="485"/>
      <c r="X887" s="485"/>
      <c r="Y887" s="485"/>
      <c r="Z887" s="485"/>
      <c r="AA887" s="485"/>
    </row>
    <row r="888">
      <c r="A888" s="486"/>
      <c r="B888" s="482"/>
      <c r="C888" s="497"/>
      <c r="D888" s="497"/>
      <c r="E888" s="497"/>
      <c r="F888" s="497"/>
      <c r="G888" s="497"/>
      <c r="H888" s="497"/>
      <c r="I888" s="497"/>
      <c r="J888" s="497"/>
      <c r="K888" s="497"/>
      <c r="L888" s="485"/>
      <c r="M888" s="485"/>
      <c r="N888" s="485"/>
      <c r="O888" s="485"/>
      <c r="P888" s="485"/>
      <c r="Q888" s="485"/>
      <c r="R888" s="485"/>
      <c r="S888" s="485"/>
      <c r="T888" s="485"/>
      <c r="U888" s="485"/>
      <c r="V888" s="485"/>
      <c r="W888" s="485"/>
      <c r="X888" s="485"/>
      <c r="Y888" s="485"/>
      <c r="Z888" s="485"/>
      <c r="AA888" s="485"/>
    </row>
    <row r="889">
      <c r="A889" s="486"/>
      <c r="B889" s="482"/>
      <c r="C889" s="497"/>
      <c r="D889" s="497"/>
      <c r="E889" s="497"/>
      <c r="F889" s="497"/>
      <c r="G889" s="497"/>
      <c r="H889" s="497"/>
      <c r="I889" s="497"/>
      <c r="J889" s="497"/>
      <c r="K889" s="497"/>
      <c r="L889" s="485"/>
      <c r="M889" s="485"/>
      <c r="N889" s="485"/>
      <c r="O889" s="485"/>
      <c r="P889" s="485"/>
      <c r="Q889" s="485"/>
      <c r="R889" s="485"/>
      <c r="S889" s="485"/>
      <c r="T889" s="485"/>
      <c r="U889" s="485"/>
      <c r="V889" s="485"/>
      <c r="W889" s="485"/>
      <c r="X889" s="485"/>
      <c r="Y889" s="485"/>
      <c r="Z889" s="485"/>
      <c r="AA889" s="485"/>
    </row>
    <row r="890">
      <c r="A890" s="486"/>
      <c r="B890" s="482"/>
      <c r="C890" s="497"/>
      <c r="D890" s="497"/>
      <c r="E890" s="497"/>
      <c r="F890" s="497"/>
      <c r="G890" s="497"/>
      <c r="H890" s="497"/>
      <c r="I890" s="497"/>
      <c r="J890" s="497"/>
      <c r="K890" s="497"/>
      <c r="L890" s="485"/>
      <c r="M890" s="485"/>
      <c r="N890" s="485"/>
      <c r="O890" s="485"/>
      <c r="P890" s="485"/>
      <c r="Q890" s="485"/>
      <c r="R890" s="485"/>
      <c r="S890" s="485"/>
      <c r="T890" s="485"/>
      <c r="U890" s="485"/>
      <c r="V890" s="485"/>
      <c r="W890" s="485"/>
      <c r="X890" s="485"/>
      <c r="Y890" s="485"/>
      <c r="Z890" s="485"/>
      <c r="AA890" s="485"/>
    </row>
    <row r="891">
      <c r="A891" s="486"/>
      <c r="B891" s="482"/>
      <c r="C891" s="497"/>
      <c r="D891" s="497"/>
      <c r="E891" s="497"/>
      <c r="F891" s="497"/>
      <c r="G891" s="497"/>
      <c r="H891" s="497"/>
      <c r="I891" s="497"/>
      <c r="J891" s="497"/>
      <c r="K891" s="497"/>
      <c r="L891" s="485"/>
      <c r="M891" s="485"/>
      <c r="N891" s="485"/>
      <c r="O891" s="485"/>
      <c r="P891" s="485"/>
      <c r="Q891" s="485"/>
      <c r="R891" s="485"/>
      <c r="S891" s="485"/>
      <c r="T891" s="485"/>
      <c r="U891" s="485"/>
      <c r="V891" s="485"/>
      <c r="W891" s="485"/>
      <c r="X891" s="485"/>
      <c r="Y891" s="485"/>
      <c r="Z891" s="485"/>
      <c r="AA891" s="485"/>
    </row>
    <row r="892">
      <c r="A892" s="486"/>
      <c r="B892" s="482"/>
      <c r="C892" s="497"/>
      <c r="D892" s="497"/>
      <c r="E892" s="497"/>
      <c r="F892" s="497"/>
      <c r="G892" s="497"/>
      <c r="H892" s="497"/>
      <c r="I892" s="497"/>
      <c r="J892" s="497"/>
      <c r="K892" s="497"/>
      <c r="L892" s="485"/>
      <c r="M892" s="485"/>
      <c r="N892" s="485"/>
      <c r="O892" s="485"/>
      <c r="P892" s="485"/>
      <c r="Q892" s="485"/>
      <c r="R892" s="485"/>
      <c r="S892" s="485"/>
      <c r="T892" s="485"/>
      <c r="U892" s="485"/>
      <c r="V892" s="485"/>
      <c r="W892" s="485"/>
      <c r="X892" s="485"/>
      <c r="Y892" s="485"/>
      <c r="Z892" s="485"/>
      <c r="AA892" s="485"/>
    </row>
    <row r="893">
      <c r="A893" s="486"/>
      <c r="B893" s="482"/>
      <c r="C893" s="497"/>
      <c r="D893" s="497"/>
      <c r="E893" s="497"/>
      <c r="F893" s="497"/>
      <c r="G893" s="497"/>
      <c r="H893" s="497"/>
      <c r="I893" s="497"/>
      <c r="J893" s="497"/>
      <c r="K893" s="497"/>
      <c r="L893" s="485"/>
      <c r="M893" s="485"/>
      <c r="N893" s="485"/>
      <c r="O893" s="485"/>
      <c r="P893" s="485"/>
      <c r="Q893" s="485"/>
      <c r="R893" s="485"/>
      <c r="S893" s="485"/>
      <c r="T893" s="485"/>
      <c r="U893" s="485"/>
      <c r="V893" s="485"/>
      <c r="W893" s="485"/>
      <c r="X893" s="485"/>
      <c r="Y893" s="485"/>
      <c r="Z893" s="485"/>
      <c r="AA893" s="485"/>
    </row>
    <row r="894">
      <c r="A894" s="486"/>
      <c r="B894" s="482"/>
      <c r="C894" s="497"/>
      <c r="D894" s="497"/>
      <c r="E894" s="497"/>
      <c r="F894" s="497"/>
      <c r="G894" s="497"/>
      <c r="H894" s="497"/>
      <c r="I894" s="497"/>
      <c r="J894" s="497"/>
      <c r="K894" s="497"/>
      <c r="L894" s="485"/>
      <c r="M894" s="485"/>
      <c r="N894" s="485"/>
      <c r="O894" s="485"/>
      <c r="P894" s="485"/>
      <c r="Q894" s="485"/>
      <c r="R894" s="485"/>
      <c r="S894" s="485"/>
      <c r="T894" s="485"/>
      <c r="U894" s="485"/>
      <c r="V894" s="485"/>
      <c r="W894" s="485"/>
      <c r="X894" s="485"/>
      <c r="Y894" s="485"/>
      <c r="Z894" s="485"/>
      <c r="AA894" s="485"/>
    </row>
    <row r="895">
      <c r="A895" s="486"/>
      <c r="B895" s="482"/>
      <c r="C895" s="497"/>
      <c r="D895" s="497"/>
      <c r="E895" s="497"/>
      <c r="F895" s="497"/>
      <c r="G895" s="497"/>
      <c r="H895" s="497"/>
      <c r="I895" s="497"/>
      <c r="J895" s="497"/>
      <c r="K895" s="497"/>
      <c r="L895" s="485"/>
      <c r="M895" s="485"/>
      <c r="N895" s="485"/>
      <c r="O895" s="485"/>
      <c r="P895" s="485"/>
      <c r="Q895" s="485"/>
      <c r="R895" s="485"/>
      <c r="S895" s="485"/>
      <c r="T895" s="485"/>
      <c r="U895" s="485"/>
      <c r="V895" s="485"/>
      <c r="W895" s="485"/>
      <c r="X895" s="485"/>
      <c r="Y895" s="485"/>
      <c r="Z895" s="485"/>
      <c r="AA895" s="485"/>
    </row>
    <row r="896">
      <c r="A896" s="486"/>
      <c r="B896" s="482"/>
      <c r="C896" s="497"/>
      <c r="D896" s="497"/>
      <c r="E896" s="497"/>
      <c r="F896" s="497"/>
      <c r="G896" s="497"/>
      <c r="H896" s="497"/>
      <c r="I896" s="497"/>
      <c r="J896" s="497"/>
      <c r="K896" s="497"/>
      <c r="L896" s="485"/>
      <c r="M896" s="485"/>
      <c r="N896" s="485"/>
      <c r="O896" s="485"/>
      <c r="P896" s="485"/>
      <c r="Q896" s="485"/>
      <c r="R896" s="485"/>
      <c r="S896" s="485"/>
      <c r="T896" s="485"/>
      <c r="U896" s="485"/>
      <c r="V896" s="485"/>
      <c r="W896" s="485"/>
      <c r="X896" s="485"/>
      <c r="Y896" s="485"/>
      <c r="Z896" s="485"/>
      <c r="AA896" s="485"/>
    </row>
    <row r="897">
      <c r="A897" s="486"/>
      <c r="B897" s="482"/>
      <c r="C897" s="497"/>
      <c r="D897" s="497"/>
      <c r="E897" s="497"/>
      <c r="F897" s="497"/>
      <c r="G897" s="497"/>
      <c r="H897" s="497"/>
      <c r="I897" s="497"/>
      <c r="J897" s="497"/>
      <c r="K897" s="497"/>
      <c r="L897" s="485"/>
      <c r="M897" s="485"/>
      <c r="N897" s="485"/>
      <c r="O897" s="485"/>
      <c r="P897" s="485"/>
      <c r="Q897" s="485"/>
      <c r="R897" s="485"/>
      <c r="S897" s="485"/>
      <c r="T897" s="485"/>
      <c r="U897" s="485"/>
      <c r="V897" s="485"/>
      <c r="W897" s="485"/>
      <c r="X897" s="485"/>
      <c r="Y897" s="485"/>
      <c r="Z897" s="485"/>
      <c r="AA897" s="485"/>
    </row>
    <row r="898">
      <c r="A898" s="486"/>
      <c r="B898" s="482"/>
      <c r="C898" s="497"/>
      <c r="D898" s="497"/>
      <c r="E898" s="497"/>
      <c r="F898" s="497"/>
      <c r="G898" s="497"/>
      <c r="H898" s="497"/>
      <c r="I898" s="497"/>
      <c r="J898" s="497"/>
      <c r="K898" s="497"/>
      <c r="L898" s="485"/>
      <c r="M898" s="485"/>
      <c r="N898" s="485"/>
      <c r="O898" s="485"/>
      <c r="P898" s="485"/>
      <c r="Q898" s="485"/>
      <c r="R898" s="485"/>
      <c r="S898" s="485"/>
      <c r="T898" s="485"/>
      <c r="U898" s="485"/>
      <c r="V898" s="485"/>
      <c r="W898" s="485"/>
      <c r="X898" s="485"/>
      <c r="Y898" s="485"/>
      <c r="Z898" s="485"/>
      <c r="AA898" s="485"/>
    </row>
    <row r="899">
      <c r="A899" s="486"/>
      <c r="B899" s="482"/>
      <c r="C899" s="497"/>
      <c r="D899" s="497"/>
      <c r="E899" s="497"/>
      <c r="F899" s="497"/>
      <c r="G899" s="497"/>
      <c r="H899" s="497"/>
      <c r="I899" s="497"/>
      <c r="J899" s="497"/>
      <c r="K899" s="497"/>
      <c r="L899" s="485"/>
      <c r="M899" s="485"/>
      <c r="N899" s="485"/>
      <c r="O899" s="485"/>
      <c r="P899" s="485"/>
      <c r="Q899" s="485"/>
      <c r="R899" s="485"/>
      <c r="S899" s="485"/>
      <c r="T899" s="485"/>
      <c r="U899" s="485"/>
      <c r="V899" s="485"/>
      <c r="W899" s="485"/>
      <c r="X899" s="485"/>
      <c r="Y899" s="485"/>
      <c r="Z899" s="485"/>
      <c r="AA899" s="485"/>
    </row>
    <row r="900">
      <c r="A900" s="486"/>
      <c r="B900" s="482"/>
      <c r="C900" s="497"/>
      <c r="D900" s="497"/>
      <c r="E900" s="497"/>
      <c r="F900" s="497"/>
      <c r="G900" s="497"/>
      <c r="H900" s="497"/>
      <c r="I900" s="497"/>
      <c r="J900" s="497"/>
      <c r="K900" s="497"/>
      <c r="L900" s="485"/>
      <c r="M900" s="485"/>
      <c r="N900" s="485"/>
      <c r="O900" s="485"/>
      <c r="P900" s="485"/>
      <c r="Q900" s="485"/>
      <c r="R900" s="485"/>
      <c r="S900" s="485"/>
      <c r="T900" s="485"/>
      <c r="U900" s="485"/>
      <c r="V900" s="485"/>
      <c r="W900" s="485"/>
      <c r="X900" s="485"/>
      <c r="Y900" s="485"/>
      <c r="Z900" s="485"/>
      <c r="AA900" s="485"/>
    </row>
    <row r="901">
      <c r="A901" s="486"/>
      <c r="B901" s="482"/>
      <c r="C901" s="497"/>
      <c r="D901" s="497"/>
      <c r="E901" s="497"/>
      <c r="F901" s="497"/>
      <c r="G901" s="497"/>
      <c r="H901" s="497"/>
      <c r="I901" s="497"/>
      <c r="J901" s="497"/>
      <c r="K901" s="497"/>
      <c r="L901" s="485"/>
      <c r="M901" s="485"/>
      <c r="N901" s="485"/>
      <c r="O901" s="485"/>
      <c r="P901" s="485"/>
      <c r="Q901" s="485"/>
      <c r="R901" s="485"/>
      <c r="S901" s="485"/>
      <c r="T901" s="485"/>
      <c r="U901" s="485"/>
      <c r="V901" s="485"/>
      <c r="W901" s="485"/>
      <c r="X901" s="485"/>
      <c r="Y901" s="485"/>
      <c r="Z901" s="485"/>
      <c r="AA901" s="485"/>
    </row>
    <row r="902">
      <c r="A902" s="486"/>
      <c r="B902" s="482"/>
      <c r="C902" s="497"/>
      <c r="D902" s="497"/>
      <c r="E902" s="497"/>
      <c r="F902" s="497"/>
      <c r="G902" s="497"/>
      <c r="H902" s="497"/>
      <c r="I902" s="497"/>
      <c r="J902" s="497"/>
      <c r="K902" s="497"/>
      <c r="L902" s="485"/>
      <c r="M902" s="485"/>
      <c r="N902" s="485"/>
      <c r="O902" s="485"/>
      <c r="P902" s="485"/>
      <c r="Q902" s="485"/>
      <c r="R902" s="485"/>
      <c r="S902" s="485"/>
      <c r="T902" s="485"/>
      <c r="U902" s="485"/>
      <c r="V902" s="485"/>
      <c r="W902" s="485"/>
      <c r="X902" s="485"/>
      <c r="Y902" s="485"/>
      <c r="Z902" s="485"/>
      <c r="AA902" s="485"/>
    </row>
    <row r="903">
      <c r="A903" s="486"/>
      <c r="B903" s="482"/>
      <c r="C903" s="497"/>
      <c r="D903" s="497"/>
      <c r="E903" s="497"/>
      <c r="F903" s="497"/>
      <c r="G903" s="497"/>
      <c r="H903" s="497"/>
      <c r="I903" s="497"/>
      <c r="J903" s="497"/>
      <c r="K903" s="497"/>
      <c r="L903" s="485"/>
      <c r="M903" s="485"/>
      <c r="N903" s="485"/>
      <c r="O903" s="485"/>
      <c r="P903" s="485"/>
      <c r="Q903" s="485"/>
      <c r="R903" s="485"/>
      <c r="S903" s="485"/>
      <c r="T903" s="485"/>
      <c r="U903" s="485"/>
      <c r="V903" s="485"/>
      <c r="W903" s="485"/>
      <c r="X903" s="485"/>
      <c r="Y903" s="485"/>
      <c r="Z903" s="485"/>
      <c r="AA903" s="485"/>
    </row>
    <row r="904">
      <c r="A904" s="486"/>
      <c r="B904" s="482"/>
      <c r="C904" s="497"/>
      <c r="D904" s="497"/>
      <c r="E904" s="497"/>
      <c r="F904" s="497"/>
      <c r="G904" s="497"/>
      <c r="H904" s="497"/>
      <c r="I904" s="497"/>
      <c r="J904" s="497"/>
      <c r="K904" s="497"/>
      <c r="L904" s="485"/>
      <c r="M904" s="485"/>
      <c r="N904" s="485"/>
      <c r="O904" s="485"/>
      <c r="P904" s="485"/>
      <c r="Q904" s="485"/>
      <c r="R904" s="485"/>
      <c r="S904" s="485"/>
      <c r="T904" s="485"/>
      <c r="U904" s="485"/>
      <c r="V904" s="485"/>
      <c r="W904" s="485"/>
      <c r="X904" s="485"/>
      <c r="Y904" s="485"/>
      <c r="Z904" s="485"/>
      <c r="AA904" s="485"/>
    </row>
    <row r="905">
      <c r="A905" s="486"/>
      <c r="B905" s="482"/>
      <c r="C905" s="497"/>
      <c r="D905" s="497"/>
      <c r="E905" s="497"/>
      <c r="F905" s="497"/>
      <c r="G905" s="497"/>
      <c r="H905" s="497"/>
      <c r="I905" s="497"/>
      <c r="J905" s="497"/>
      <c r="K905" s="497"/>
      <c r="L905" s="485"/>
      <c r="M905" s="485"/>
      <c r="N905" s="485"/>
      <c r="O905" s="485"/>
      <c r="P905" s="485"/>
      <c r="Q905" s="485"/>
      <c r="R905" s="485"/>
      <c r="S905" s="485"/>
      <c r="T905" s="485"/>
      <c r="U905" s="485"/>
      <c r="V905" s="485"/>
      <c r="W905" s="485"/>
      <c r="X905" s="485"/>
      <c r="Y905" s="485"/>
      <c r="Z905" s="485"/>
      <c r="AA905" s="485"/>
    </row>
    <row r="906">
      <c r="A906" s="486"/>
      <c r="B906" s="482"/>
      <c r="C906" s="497"/>
      <c r="D906" s="497"/>
      <c r="E906" s="497"/>
      <c r="F906" s="497"/>
      <c r="G906" s="497"/>
      <c r="H906" s="497"/>
      <c r="I906" s="497"/>
      <c r="J906" s="497"/>
      <c r="K906" s="497"/>
      <c r="L906" s="485"/>
      <c r="M906" s="485"/>
      <c r="N906" s="485"/>
      <c r="O906" s="485"/>
      <c r="P906" s="485"/>
      <c r="Q906" s="485"/>
      <c r="R906" s="485"/>
      <c r="S906" s="485"/>
      <c r="T906" s="485"/>
      <c r="U906" s="485"/>
      <c r="V906" s="485"/>
      <c r="W906" s="485"/>
      <c r="X906" s="485"/>
      <c r="Y906" s="485"/>
      <c r="Z906" s="485"/>
      <c r="AA906" s="485"/>
    </row>
    <row r="907">
      <c r="A907" s="486"/>
      <c r="B907" s="482"/>
      <c r="C907" s="497"/>
      <c r="D907" s="497"/>
      <c r="E907" s="497"/>
      <c r="F907" s="497"/>
      <c r="G907" s="497"/>
      <c r="H907" s="497"/>
      <c r="I907" s="497"/>
      <c r="J907" s="497"/>
      <c r="K907" s="497"/>
      <c r="L907" s="485"/>
      <c r="M907" s="485"/>
      <c r="N907" s="485"/>
      <c r="O907" s="485"/>
      <c r="P907" s="485"/>
      <c r="Q907" s="485"/>
      <c r="R907" s="485"/>
      <c r="S907" s="485"/>
      <c r="T907" s="485"/>
      <c r="U907" s="485"/>
      <c r="V907" s="485"/>
      <c r="W907" s="485"/>
      <c r="X907" s="485"/>
      <c r="Y907" s="485"/>
      <c r="Z907" s="485"/>
      <c r="AA907" s="485"/>
    </row>
    <row r="908">
      <c r="A908" s="486"/>
      <c r="B908" s="482"/>
      <c r="C908" s="497"/>
      <c r="D908" s="497"/>
      <c r="E908" s="497"/>
      <c r="F908" s="497"/>
      <c r="G908" s="497"/>
      <c r="H908" s="497"/>
      <c r="I908" s="497"/>
      <c r="J908" s="497"/>
      <c r="K908" s="497"/>
      <c r="L908" s="485"/>
      <c r="M908" s="485"/>
      <c r="N908" s="485"/>
      <c r="O908" s="485"/>
      <c r="P908" s="485"/>
      <c r="Q908" s="485"/>
      <c r="R908" s="485"/>
      <c r="S908" s="485"/>
      <c r="T908" s="485"/>
      <c r="U908" s="485"/>
      <c r="V908" s="485"/>
      <c r="W908" s="485"/>
      <c r="X908" s="485"/>
      <c r="Y908" s="485"/>
      <c r="Z908" s="485"/>
      <c r="AA908" s="485"/>
    </row>
    <row r="909">
      <c r="A909" s="486"/>
      <c r="B909" s="482"/>
      <c r="C909" s="497"/>
      <c r="D909" s="497"/>
      <c r="E909" s="497"/>
      <c r="F909" s="497"/>
      <c r="G909" s="497"/>
      <c r="H909" s="497"/>
      <c r="I909" s="497"/>
      <c r="J909" s="497"/>
      <c r="K909" s="497"/>
      <c r="L909" s="485"/>
      <c r="M909" s="485"/>
      <c r="N909" s="485"/>
      <c r="O909" s="485"/>
      <c r="P909" s="485"/>
      <c r="Q909" s="485"/>
      <c r="R909" s="485"/>
      <c r="S909" s="485"/>
      <c r="T909" s="485"/>
      <c r="U909" s="485"/>
      <c r="V909" s="485"/>
      <c r="W909" s="485"/>
      <c r="X909" s="485"/>
      <c r="Y909" s="485"/>
      <c r="Z909" s="485"/>
      <c r="AA909" s="485"/>
    </row>
    <row r="910">
      <c r="A910" s="486"/>
      <c r="B910" s="482"/>
      <c r="C910" s="497"/>
      <c r="D910" s="497"/>
      <c r="E910" s="497"/>
      <c r="F910" s="497"/>
      <c r="G910" s="497"/>
      <c r="H910" s="497"/>
      <c r="I910" s="497"/>
      <c r="J910" s="497"/>
      <c r="K910" s="497"/>
      <c r="L910" s="485"/>
      <c r="M910" s="485"/>
      <c r="N910" s="485"/>
      <c r="O910" s="485"/>
      <c r="P910" s="485"/>
      <c r="Q910" s="485"/>
      <c r="R910" s="485"/>
      <c r="S910" s="485"/>
      <c r="T910" s="485"/>
      <c r="U910" s="485"/>
      <c r="V910" s="485"/>
      <c r="W910" s="485"/>
      <c r="X910" s="485"/>
      <c r="Y910" s="485"/>
      <c r="Z910" s="485"/>
      <c r="AA910" s="485"/>
    </row>
    <row r="911">
      <c r="A911" s="486"/>
      <c r="B911" s="482"/>
      <c r="C911" s="497"/>
      <c r="D911" s="497"/>
      <c r="E911" s="497"/>
      <c r="F911" s="497"/>
      <c r="G911" s="497"/>
      <c r="H911" s="497"/>
      <c r="I911" s="497"/>
      <c r="J911" s="497"/>
      <c r="K911" s="497"/>
      <c r="L911" s="485"/>
      <c r="M911" s="485"/>
      <c r="N911" s="485"/>
      <c r="O911" s="485"/>
      <c r="P911" s="485"/>
      <c r="Q911" s="485"/>
      <c r="R911" s="485"/>
      <c r="S911" s="485"/>
      <c r="T911" s="485"/>
      <c r="U911" s="485"/>
      <c r="V911" s="485"/>
      <c r="W911" s="485"/>
      <c r="X911" s="485"/>
      <c r="Y911" s="485"/>
      <c r="Z911" s="485"/>
      <c r="AA911" s="485"/>
    </row>
    <row r="912">
      <c r="A912" s="486"/>
      <c r="B912" s="482"/>
      <c r="C912" s="497"/>
      <c r="D912" s="497"/>
      <c r="E912" s="497"/>
      <c r="F912" s="497"/>
      <c r="G912" s="497"/>
      <c r="H912" s="497"/>
      <c r="I912" s="497"/>
      <c r="J912" s="497"/>
      <c r="K912" s="497"/>
      <c r="L912" s="485"/>
      <c r="M912" s="485"/>
      <c r="N912" s="485"/>
      <c r="O912" s="485"/>
      <c r="P912" s="485"/>
      <c r="Q912" s="485"/>
      <c r="R912" s="485"/>
      <c r="S912" s="485"/>
      <c r="T912" s="485"/>
      <c r="U912" s="485"/>
      <c r="V912" s="485"/>
      <c r="W912" s="485"/>
      <c r="X912" s="485"/>
      <c r="Y912" s="485"/>
      <c r="Z912" s="485"/>
      <c r="AA912" s="485"/>
    </row>
    <row r="913">
      <c r="A913" s="486"/>
      <c r="B913" s="482"/>
      <c r="C913" s="497"/>
      <c r="D913" s="497"/>
      <c r="E913" s="497"/>
      <c r="F913" s="497"/>
      <c r="G913" s="497"/>
      <c r="H913" s="497"/>
      <c r="I913" s="497"/>
      <c r="J913" s="497"/>
      <c r="K913" s="497"/>
      <c r="L913" s="485"/>
      <c r="M913" s="485"/>
      <c r="N913" s="485"/>
      <c r="O913" s="485"/>
      <c r="P913" s="485"/>
      <c r="Q913" s="485"/>
      <c r="R913" s="485"/>
      <c r="S913" s="485"/>
      <c r="T913" s="485"/>
      <c r="U913" s="485"/>
      <c r="V913" s="485"/>
      <c r="W913" s="485"/>
      <c r="X913" s="485"/>
      <c r="Y913" s="485"/>
      <c r="Z913" s="485"/>
      <c r="AA913" s="485"/>
    </row>
    <row r="914">
      <c r="A914" s="486"/>
      <c r="B914" s="482"/>
      <c r="C914" s="497"/>
      <c r="D914" s="497"/>
      <c r="E914" s="497"/>
      <c r="F914" s="497"/>
      <c r="G914" s="497"/>
      <c r="H914" s="497"/>
      <c r="I914" s="497"/>
      <c r="J914" s="497"/>
      <c r="K914" s="497"/>
      <c r="L914" s="485"/>
      <c r="M914" s="485"/>
      <c r="N914" s="485"/>
      <c r="O914" s="485"/>
      <c r="P914" s="485"/>
      <c r="Q914" s="485"/>
      <c r="R914" s="485"/>
      <c r="S914" s="485"/>
      <c r="T914" s="485"/>
      <c r="U914" s="485"/>
      <c r="V914" s="485"/>
      <c r="W914" s="485"/>
      <c r="X914" s="485"/>
      <c r="Y914" s="485"/>
      <c r="Z914" s="485"/>
      <c r="AA914" s="485"/>
    </row>
    <row r="915">
      <c r="A915" s="486"/>
      <c r="B915" s="482"/>
      <c r="C915" s="497"/>
      <c r="D915" s="497"/>
      <c r="E915" s="497"/>
      <c r="F915" s="497"/>
      <c r="G915" s="497"/>
      <c r="H915" s="497"/>
      <c r="I915" s="497"/>
      <c r="J915" s="497"/>
      <c r="K915" s="497"/>
      <c r="L915" s="485"/>
      <c r="M915" s="485"/>
      <c r="N915" s="485"/>
      <c r="O915" s="485"/>
      <c r="P915" s="485"/>
      <c r="Q915" s="485"/>
      <c r="R915" s="485"/>
      <c r="S915" s="485"/>
      <c r="T915" s="485"/>
      <c r="U915" s="485"/>
      <c r="V915" s="485"/>
      <c r="W915" s="485"/>
      <c r="X915" s="485"/>
      <c r="Y915" s="485"/>
      <c r="Z915" s="485"/>
      <c r="AA915" s="485"/>
    </row>
    <row r="916">
      <c r="A916" s="486"/>
      <c r="B916" s="482"/>
      <c r="C916" s="497"/>
      <c r="D916" s="497"/>
      <c r="E916" s="497"/>
      <c r="F916" s="497"/>
      <c r="G916" s="497"/>
      <c r="H916" s="497"/>
      <c r="I916" s="497"/>
      <c r="J916" s="497"/>
      <c r="K916" s="497"/>
      <c r="L916" s="485"/>
      <c r="M916" s="485"/>
      <c r="N916" s="485"/>
      <c r="O916" s="485"/>
      <c r="P916" s="485"/>
      <c r="Q916" s="485"/>
      <c r="R916" s="485"/>
      <c r="S916" s="485"/>
      <c r="T916" s="485"/>
      <c r="U916" s="485"/>
      <c r="V916" s="485"/>
      <c r="W916" s="485"/>
      <c r="X916" s="485"/>
      <c r="Y916" s="485"/>
      <c r="Z916" s="485"/>
      <c r="AA916" s="485"/>
    </row>
    <row r="917">
      <c r="A917" s="486"/>
      <c r="B917" s="482"/>
      <c r="C917" s="497"/>
      <c r="D917" s="497"/>
      <c r="E917" s="497"/>
      <c r="F917" s="497"/>
      <c r="G917" s="497"/>
      <c r="H917" s="497"/>
      <c r="I917" s="497"/>
      <c r="J917" s="497"/>
      <c r="K917" s="497"/>
      <c r="L917" s="485"/>
      <c r="M917" s="485"/>
      <c r="N917" s="485"/>
      <c r="O917" s="485"/>
      <c r="P917" s="485"/>
      <c r="Q917" s="485"/>
      <c r="R917" s="485"/>
      <c r="S917" s="485"/>
      <c r="T917" s="485"/>
      <c r="U917" s="485"/>
      <c r="V917" s="485"/>
      <c r="W917" s="485"/>
      <c r="X917" s="485"/>
      <c r="Y917" s="485"/>
      <c r="Z917" s="485"/>
      <c r="AA917" s="485"/>
    </row>
    <row r="918">
      <c r="A918" s="486"/>
      <c r="B918" s="482"/>
      <c r="C918" s="497"/>
      <c r="D918" s="497"/>
      <c r="E918" s="497"/>
      <c r="F918" s="497"/>
      <c r="G918" s="497"/>
      <c r="H918" s="497"/>
      <c r="I918" s="497"/>
      <c r="J918" s="497"/>
      <c r="K918" s="497"/>
      <c r="L918" s="485"/>
      <c r="M918" s="485"/>
      <c r="N918" s="485"/>
      <c r="O918" s="485"/>
      <c r="P918" s="485"/>
      <c r="Q918" s="485"/>
      <c r="R918" s="485"/>
      <c r="S918" s="485"/>
      <c r="T918" s="485"/>
      <c r="U918" s="485"/>
      <c r="V918" s="485"/>
      <c r="W918" s="485"/>
      <c r="X918" s="485"/>
      <c r="Y918" s="485"/>
      <c r="Z918" s="485"/>
      <c r="AA918" s="485"/>
    </row>
    <row r="919">
      <c r="A919" s="486"/>
      <c r="B919" s="482"/>
      <c r="C919" s="497"/>
      <c r="D919" s="497"/>
      <c r="E919" s="497"/>
      <c r="F919" s="497"/>
      <c r="G919" s="497"/>
      <c r="H919" s="497"/>
      <c r="I919" s="497"/>
      <c r="J919" s="497"/>
      <c r="K919" s="497"/>
      <c r="L919" s="485"/>
      <c r="M919" s="485"/>
      <c r="N919" s="485"/>
      <c r="O919" s="485"/>
      <c r="P919" s="485"/>
      <c r="Q919" s="485"/>
      <c r="R919" s="485"/>
      <c r="S919" s="485"/>
      <c r="T919" s="485"/>
      <c r="U919" s="485"/>
      <c r="V919" s="485"/>
      <c r="W919" s="485"/>
      <c r="X919" s="485"/>
      <c r="Y919" s="485"/>
      <c r="Z919" s="485"/>
      <c r="AA919" s="485"/>
    </row>
    <row r="920">
      <c r="A920" s="486"/>
      <c r="B920" s="482"/>
      <c r="C920" s="497"/>
      <c r="D920" s="497"/>
      <c r="E920" s="497"/>
      <c r="F920" s="497"/>
      <c r="G920" s="497"/>
      <c r="H920" s="497"/>
      <c r="I920" s="497"/>
      <c r="J920" s="497"/>
      <c r="K920" s="497"/>
      <c r="L920" s="485"/>
      <c r="M920" s="485"/>
      <c r="N920" s="485"/>
      <c r="O920" s="485"/>
      <c r="P920" s="485"/>
      <c r="Q920" s="485"/>
      <c r="R920" s="485"/>
      <c r="S920" s="485"/>
      <c r="T920" s="485"/>
      <c r="U920" s="485"/>
      <c r="V920" s="485"/>
      <c r="W920" s="485"/>
      <c r="X920" s="485"/>
      <c r="Y920" s="485"/>
      <c r="Z920" s="485"/>
      <c r="AA920" s="485"/>
    </row>
    <row r="921">
      <c r="A921" s="486"/>
      <c r="B921" s="482"/>
      <c r="C921" s="497"/>
      <c r="D921" s="497"/>
      <c r="E921" s="497"/>
      <c r="F921" s="497"/>
      <c r="G921" s="497"/>
      <c r="H921" s="497"/>
      <c r="I921" s="497"/>
      <c r="J921" s="497"/>
      <c r="K921" s="497"/>
      <c r="L921" s="485"/>
      <c r="M921" s="485"/>
      <c r="N921" s="485"/>
      <c r="O921" s="485"/>
      <c r="P921" s="485"/>
      <c r="Q921" s="485"/>
      <c r="R921" s="485"/>
      <c r="S921" s="485"/>
      <c r="T921" s="485"/>
      <c r="U921" s="485"/>
      <c r="V921" s="485"/>
      <c r="W921" s="485"/>
      <c r="X921" s="485"/>
      <c r="Y921" s="485"/>
      <c r="Z921" s="485"/>
      <c r="AA921" s="485"/>
    </row>
    <row r="922">
      <c r="A922" s="486"/>
      <c r="B922" s="482"/>
      <c r="C922" s="497"/>
      <c r="D922" s="497"/>
      <c r="E922" s="497"/>
      <c r="F922" s="497"/>
      <c r="G922" s="497"/>
      <c r="H922" s="497"/>
      <c r="I922" s="497"/>
      <c r="J922" s="497"/>
      <c r="K922" s="497"/>
      <c r="L922" s="485"/>
      <c r="M922" s="485"/>
      <c r="N922" s="485"/>
      <c r="O922" s="485"/>
      <c r="P922" s="485"/>
      <c r="Q922" s="485"/>
      <c r="R922" s="485"/>
      <c r="S922" s="485"/>
      <c r="T922" s="485"/>
      <c r="U922" s="485"/>
      <c r="V922" s="485"/>
      <c r="W922" s="485"/>
      <c r="X922" s="485"/>
      <c r="Y922" s="485"/>
      <c r="Z922" s="485"/>
      <c r="AA922" s="485"/>
    </row>
    <row r="923">
      <c r="A923" s="486"/>
      <c r="B923" s="482"/>
      <c r="C923" s="497"/>
      <c r="D923" s="497"/>
      <c r="E923" s="497"/>
      <c r="F923" s="497"/>
      <c r="G923" s="497"/>
      <c r="H923" s="497"/>
      <c r="I923" s="497"/>
      <c r="J923" s="497"/>
      <c r="K923" s="497"/>
      <c r="L923" s="485"/>
      <c r="M923" s="485"/>
      <c r="N923" s="485"/>
      <c r="O923" s="485"/>
      <c r="P923" s="485"/>
      <c r="Q923" s="485"/>
      <c r="R923" s="485"/>
      <c r="S923" s="485"/>
      <c r="T923" s="485"/>
      <c r="U923" s="485"/>
      <c r="V923" s="485"/>
      <c r="W923" s="485"/>
      <c r="X923" s="485"/>
      <c r="Y923" s="485"/>
      <c r="Z923" s="485"/>
      <c r="AA923" s="485"/>
    </row>
    <row r="924">
      <c r="A924" s="486"/>
      <c r="B924" s="482"/>
      <c r="C924" s="497"/>
      <c r="D924" s="497"/>
      <c r="E924" s="497"/>
      <c r="F924" s="497"/>
      <c r="G924" s="497"/>
      <c r="H924" s="497"/>
      <c r="I924" s="497"/>
      <c r="J924" s="497"/>
      <c r="K924" s="497"/>
      <c r="L924" s="485"/>
      <c r="M924" s="485"/>
      <c r="N924" s="485"/>
      <c r="O924" s="485"/>
      <c r="P924" s="485"/>
      <c r="Q924" s="485"/>
      <c r="R924" s="485"/>
      <c r="S924" s="485"/>
      <c r="T924" s="485"/>
      <c r="U924" s="485"/>
      <c r="V924" s="485"/>
      <c r="W924" s="485"/>
      <c r="X924" s="485"/>
      <c r="Y924" s="485"/>
      <c r="Z924" s="485"/>
      <c r="AA924" s="485"/>
    </row>
    <row r="925">
      <c r="A925" s="486"/>
      <c r="B925" s="482"/>
      <c r="C925" s="497"/>
      <c r="D925" s="497"/>
      <c r="E925" s="497"/>
      <c r="F925" s="497"/>
      <c r="G925" s="497"/>
      <c r="H925" s="497"/>
      <c r="I925" s="497"/>
      <c r="J925" s="497"/>
      <c r="K925" s="497"/>
      <c r="L925" s="485"/>
      <c r="M925" s="485"/>
      <c r="N925" s="485"/>
      <c r="O925" s="485"/>
      <c r="P925" s="485"/>
      <c r="Q925" s="485"/>
      <c r="R925" s="485"/>
      <c r="S925" s="485"/>
      <c r="T925" s="485"/>
      <c r="U925" s="485"/>
      <c r="V925" s="485"/>
      <c r="W925" s="485"/>
      <c r="X925" s="485"/>
      <c r="Y925" s="485"/>
      <c r="Z925" s="485"/>
      <c r="AA925" s="485"/>
    </row>
    <row r="926">
      <c r="A926" s="486"/>
      <c r="B926" s="482"/>
      <c r="C926" s="497"/>
      <c r="D926" s="497"/>
      <c r="E926" s="497"/>
      <c r="F926" s="497"/>
      <c r="G926" s="497"/>
      <c r="H926" s="497"/>
      <c r="I926" s="497"/>
      <c r="J926" s="497"/>
      <c r="K926" s="497"/>
      <c r="L926" s="485"/>
      <c r="M926" s="485"/>
      <c r="N926" s="485"/>
      <c r="O926" s="485"/>
      <c r="P926" s="485"/>
      <c r="Q926" s="485"/>
      <c r="R926" s="485"/>
      <c r="S926" s="485"/>
      <c r="T926" s="485"/>
      <c r="U926" s="485"/>
      <c r="V926" s="485"/>
      <c r="W926" s="485"/>
      <c r="X926" s="485"/>
      <c r="Y926" s="485"/>
      <c r="Z926" s="485"/>
      <c r="AA926" s="485"/>
    </row>
    <row r="927">
      <c r="A927" s="486"/>
      <c r="B927" s="482"/>
      <c r="C927" s="497"/>
      <c r="D927" s="497"/>
      <c r="E927" s="497"/>
      <c r="F927" s="497"/>
      <c r="G927" s="497"/>
      <c r="H927" s="497"/>
      <c r="I927" s="497"/>
      <c r="J927" s="497"/>
      <c r="K927" s="497"/>
      <c r="L927" s="485"/>
      <c r="M927" s="485"/>
      <c r="N927" s="485"/>
      <c r="O927" s="485"/>
      <c r="P927" s="485"/>
      <c r="Q927" s="485"/>
      <c r="R927" s="485"/>
      <c r="S927" s="485"/>
      <c r="T927" s="485"/>
      <c r="U927" s="485"/>
      <c r="V927" s="485"/>
      <c r="W927" s="485"/>
      <c r="X927" s="485"/>
      <c r="Y927" s="485"/>
      <c r="Z927" s="485"/>
      <c r="AA927" s="485"/>
    </row>
    <row r="928">
      <c r="A928" s="486"/>
      <c r="B928" s="482"/>
      <c r="C928" s="497"/>
      <c r="D928" s="497"/>
      <c r="E928" s="497"/>
      <c r="F928" s="497"/>
      <c r="G928" s="497"/>
      <c r="H928" s="497"/>
      <c r="I928" s="497"/>
      <c r="J928" s="497"/>
      <c r="K928" s="497"/>
      <c r="L928" s="485"/>
      <c r="M928" s="485"/>
      <c r="N928" s="485"/>
      <c r="O928" s="485"/>
      <c r="P928" s="485"/>
      <c r="Q928" s="485"/>
      <c r="R928" s="485"/>
      <c r="S928" s="485"/>
      <c r="T928" s="485"/>
      <c r="U928" s="485"/>
      <c r="V928" s="485"/>
      <c r="W928" s="485"/>
      <c r="X928" s="485"/>
      <c r="Y928" s="485"/>
      <c r="Z928" s="485"/>
      <c r="AA928" s="485"/>
    </row>
    <row r="929">
      <c r="A929" s="486"/>
      <c r="B929" s="482"/>
      <c r="C929" s="497"/>
      <c r="D929" s="497"/>
      <c r="E929" s="497"/>
      <c r="F929" s="497"/>
      <c r="G929" s="497"/>
      <c r="H929" s="497"/>
      <c r="I929" s="497"/>
      <c r="J929" s="497"/>
      <c r="K929" s="497"/>
      <c r="L929" s="485"/>
      <c r="M929" s="485"/>
      <c r="N929" s="485"/>
      <c r="O929" s="485"/>
      <c r="P929" s="485"/>
      <c r="Q929" s="485"/>
      <c r="R929" s="485"/>
      <c r="S929" s="485"/>
      <c r="T929" s="485"/>
      <c r="U929" s="485"/>
      <c r="V929" s="485"/>
      <c r="W929" s="485"/>
      <c r="X929" s="485"/>
      <c r="Y929" s="485"/>
      <c r="Z929" s="485"/>
      <c r="AA929" s="485"/>
    </row>
    <row r="930">
      <c r="A930" s="486"/>
      <c r="B930" s="482"/>
      <c r="C930" s="497"/>
      <c r="D930" s="497"/>
      <c r="E930" s="497"/>
      <c r="F930" s="497"/>
      <c r="G930" s="497"/>
      <c r="H930" s="497"/>
      <c r="I930" s="497"/>
      <c r="J930" s="497"/>
      <c r="K930" s="497"/>
      <c r="L930" s="485"/>
      <c r="M930" s="485"/>
      <c r="N930" s="485"/>
      <c r="O930" s="485"/>
      <c r="P930" s="485"/>
      <c r="Q930" s="485"/>
      <c r="R930" s="485"/>
      <c r="S930" s="485"/>
      <c r="T930" s="485"/>
      <c r="U930" s="485"/>
      <c r="V930" s="485"/>
      <c r="W930" s="485"/>
      <c r="X930" s="485"/>
      <c r="Y930" s="485"/>
      <c r="Z930" s="485"/>
      <c r="AA930" s="485"/>
    </row>
    <row r="931">
      <c r="A931" s="486"/>
      <c r="B931" s="482"/>
      <c r="C931" s="497"/>
      <c r="D931" s="497"/>
      <c r="E931" s="497"/>
      <c r="F931" s="497"/>
      <c r="G931" s="497"/>
      <c r="H931" s="497"/>
      <c r="I931" s="497"/>
      <c r="J931" s="497"/>
      <c r="K931" s="497"/>
      <c r="L931" s="485"/>
      <c r="M931" s="485"/>
      <c r="N931" s="485"/>
      <c r="O931" s="485"/>
      <c r="P931" s="485"/>
      <c r="Q931" s="485"/>
      <c r="R931" s="485"/>
      <c r="S931" s="485"/>
      <c r="T931" s="485"/>
      <c r="U931" s="485"/>
      <c r="V931" s="485"/>
      <c r="W931" s="485"/>
      <c r="X931" s="485"/>
      <c r="Y931" s="485"/>
      <c r="Z931" s="485"/>
      <c r="AA931" s="485"/>
    </row>
    <row r="932">
      <c r="A932" s="486"/>
      <c r="B932" s="482"/>
      <c r="C932" s="497"/>
      <c r="D932" s="497"/>
      <c r="E932" s="497"/>
      <c r="F932" s="497"/>
      <c r="G932" s="497"/>
      <c r="H932" s="497"/>
      <c r="I932" s="497"/>
      <c r="J932" s="497"/>
      <c r="K932" s="497"/>
      <c r="L932" s="485"/>
      <c r="M932" s="485"/>
      <c r="N932" s="485"/>
      <c r="O932" s="485"/>
      <c r="P932" s="485"/>
      <c r="Q932" s="485"/>
      <c r="R932" s="485"/>
      <c r="S932" s="485"/>
      <c r="T932" s="485"/>
      <c r="U932" s="485"/>
      <c r="V932" s="485"/>
      <c r="W932" s="485"/>
      <c r="X932" s="485"/>
      <c r="Y932" s="485"/>
      <c r="Z932" s="485"/>
      <c r="AA932" s="485"/>
    </row>
    <row r="933">
      <c r="A933" s="486"/>
      <c r="B933" s="482"/>
      <c r="C933" s="497"/>
      <c r="D933" s="497"/>
      <c r="E933" s="497"/>
      <c r="F933" s="497"/>
      <c r="G933" s="497"/>
      <c r="H933" s="497"/>
      <c r="I933" s="497"/>
      <c r="J933" s="497"/>
      <c r="K933" s="497"/>
      <c r="L933" s="485"/>
      <c r="M933" s="485"/>
      <c r="N933" s="485"/>
      <c r="O933" s="485"/>
      <c r="P933" s="485"/>
      <c r="Q933" s="485"/>
      <c r="R933" s="485"/>
      <c r="S933" s="485"/>
      <c r="T933" s="485"/>
      <c r="U933" s="485"/>
      <c r="V933" s="485"/>
      <c r="W933" s="485"/>
      <c r="X933" s="485"/>
      <c r="Y933" s="485"/>
      <c r="Z933" s="485"/>
      <c r="AA933" s="485"/>
    </row>
    <row r="934">
      <c r="A934" s="486"/>
      <c r="B934" s="482"/>
      <c r="C934" s="497"/>
      <c r="D934" s="497"/>
      <c r="E934" s="497"/>
      <c r="F934" s="497"/>
      <c r="G934" s="497"/>
      <c r="H934" s="497"/>
      <c r="I934" s="497"/>
      <c r="J934" s="497"/>
      <c r="K934" s="497"/>
      <c r="L934" s="485"/>
      <c r="M934" s="485"/>
      <c r="N934" s="485"/>
      <c r="O934" s="485"/>
      <c r="P934" s="485"/>
      <c r="Q934" s="485"/>
      <c r="R934" s="485"/>
      <c r="S934" s="485"/>
      <c r="T934" s="485"/>
      <c r="U934" s="485"/>
      <c r="V934" s="485"/>
      <c r="W934" s="485"/>
      <c r="X934" s="485"/>
      <c r="Y934" s="485"/>
      <c r="Z934" s="485"/>
      <c r="AA934" s="485"/>
    </row>
    <row r="935">
      <c r="A935" s="486"/>
      <c r="B935" s="482"/>
      <c r="C935" s="497"/>
      <c r="D935" s="497"/>
      <c r="E935" s="497"/>
      <c r="F935" s="497"/>
      <c r="G935" s="497"/>
      <c r="H935" s="497"/>
      <c r="I935" s="497"/>
      <c r="J935" s="497"/>
      <c r="K935" s="497"/>
      <c r="L935" s="485"/>
      <c r="M935" s="485"/>
      <c r="N935" s="485"/>
      <c r="O935" s="485"/>
      <c r="P935" s="485"/>
      <c r="Q935" s="485"/>
      <c r="R935" s="485"/>
      <c r="S935" s="485"/>
      <c r="T935" s="485"/>
      <c r="U935" s="485"/>
      <c r="V935" s="485"/>
      <c r="W935" s="485"/>
      <c r="X935" s="485"/>
      <c r="Y935" s="485"/>
      <c r="Z935" s="485"/>
      <c r="AA935" s="485"/>
    </row>
    <row r="936">
      <c r="A936" s="486"/>
      <c r="B936" s="482"/>
      <c r="C936" s="497"/>
      <c r="D936" s="497"/>
      <c r="E936" s="497"/>
      <c r="F936" s="497"/>
      <c r="G936" s="497"/>
      <c r="H936" s="497"/>
      <c r="I936" s="497"/>
      <c r="J936" s="497"/>
      <c r="K936" s="497"/>
      <c r="L936" s="485"/>
      <c r="M936" s="485"/>
      <c r="N936" s="485"/>
      <c r="O936" s="485"/>
      <c r="P936" s="485"/>
      <c r="Q936" s="485"/>
      <c r="R936" s="485"/>
      <c r="S936" s="485"/>
      <c r="T936" s="485"/>
      <c r="U936" s="485"/>
      <c r="V936" s="485"/>
      <c r="W936" s="485"/>
      <c r="X936" s="485"/>
      <c r="Y936" s="485"/>
      <c r="Z936" s="485"/>
      <c r="AA936" s="485"/>
    </row>
    <row r="937">
      <c r="A937" s="486"/>
      <c r="B937" s="482"/>
      <c r="C937" s="497"/>
      <c r="D937" s="497"/>
      <c r="E937" s="497"/>
      <c r="F937" s="497"/>
      <c r="G937" s="497"/>
      <c r="H937" s="497"/>
      <c r="I937" s="497"/>
      <c r="J937" s="497"/>
      <c r="K937" s="497"/>
      <c r="L937" s="485"/>
      <c r="M937" s="485"/>
      <c r="N937" s="485"/>
      <c r="O937" s="485"/>
      <c r="P937" s="485"/>
      <c r="Q937" s="485"/>
      <c r="R937" s="485"/>
      <c r="S937" s="485"/>
      <c r="T937" s="485"/>
      <c r="U937" s="485"/>
      <c r="V937" s="485"/>
      <c r="W937" s="485"/>
      <c r="X937" s="485"/>
      <c r="Y937" s="485"/>
      <c r="Z937" s="485"/>
      <c r="AA937" s="485"/>
    </row>
    <row r="938">
      <c r="A938" s="486"/>
      <c r="B938" s="482"/>
      <c r="C938" s="497"/>
      <c r="D938" s="497"/>
      <c r="E938" s="497"/>
      <c r="F938" s="497"/>
      <c r="G938" s="497"/>
      <c r="H938" s="497"/>
      <c r="I938" s="497"/>
      <c r="J938" s="497"/>
      <c r="K938" s="497"/>
      <c r="L938" s="485"/>
      <c r="M938" s="485"/>
      <c r="N938" s="485"/>
      <c r="O938" s="485"/>
      <c r="P938" s="485"/>
      <c r="Q938" s="485"/>
      <c r="R938" s="485"/>
      <c r="S938" s="485"/>
      <c r="T938" s="485"/>
      <c r="U938" s="485"/>
      <c r="V938" s="485"/>
      <c r="W938" s="485"/>
      <c r="X938" s="485"/>
      <c r="Y938" s="485"/>
      <c r="Z938" s="485"/>
      <c r="AA938" s="485"/>
    </row>
    <row r="939">
      <c r="A939" s="486"/>
      <c r="B939" s="482"/>
      <c r="C939" s="497"/>
      <c r="D939" s="497"/>
      <c r="E939" s="497"/>
      <c r="F939" s="497"/>
      <c r="G939" s="497"/>
      <c r="H939" s="497"/>
      <c r="I939" s="497"/>
      <c r="J939" s="497"/>
      <c r="K939" s="497"/>
      <c r="L939" s="485"/>
      <c r="M939" s="485"/>
      <c r="N939" s="485"/>
      <c r="O939" s="485"/>
      <c r="P939" s="485"/>
      <c r="Q939" s="485"/>
      <c r="R939" s="485"/>
      <c r="S939" s="485"/>
      <c r="T939" s="485"/>
      <c r="U939" s="485"/>
      <c r="V939" s="485"/>
      <c r="W939" s="485"/>
      <c r="X939" s="485"/>
      <c r="Y939" s="485"/>
      <c r="Z939" s="485"/>
      <c r="AA939" s="485"/>
    </row>
    <row r="940">
      <c r="A940" s="486"/>
      <c r="B940" s="482"/>
      <c r="C940" s="497"/>
      <c r="D940" s="497"/>
      <c r="E940" s="497"/>
      <c r="F940" s="497"/>
      <c r="G940" s="497"/>
      <c r="H940" s="497"/>
      <c r="I940" s="497"/>
      <c r="J940" s="497"/>
      <c r="K940" s="497"/>
      <c r="L940" s="485"/>
      <c r="M940" s="485"/>
      <c r="N940" s="485"/>
      <c r="O940" s="485"/>
      <c r="P940" s="485"/>
      <c r="Q940" s="485"/>
      <c r="R940" s="485"/>
      <c r="S940" s="485"/>
      <c r="T940" s="485"/>
      <c r="U940" s="485"/>
      <c r="V940" s="485"/>
      <c r="W940" s="485"/>
      <c r="X940" s="485"/>
      <c r="Y940" s="485"/>
      <c r="Z940" s="485"/>
      <c r="AA940" s="485"/>
    </row>
    <row r="941">
      <c r="A941" s="486"/>
      <c r="B941" s="482"/>
      <c r="C941" s="497"/>
      <c r="D941" s="497"/>
      <c r="E941" s="497"/>
      <c r="F941" s="497"/>
      <c r="G941" s="497"/>
      <c r="H941" s="497"/>
      <c r="I941" s="497"/>
      <c r="J941" s="497"/>
      <c r="K941" s="497"/>
      <c r="L941" s="485"/>
      <c r="M941" s="485"/>
      <c r="N941" s="485"/>
      <c r="O941" s="485"/>
      <c r="P941" s="485"/>
      <c r="Q941" s="485"/>
      <c r="R941" s="485"/>
      <c r="S941" s="485"/>
      <c r="T941" s="485"/>
      <c r="U941" s="485"/>
      <c r="V941" s="485"/>
      <c r="W941" s="485"/>
      <c r="X941" s="485"/>
      <c r="Y941" s="485"/>
      <c r="Z941" s="485"/>
      <c r="AA941" s="485"/>
    </row>
    <row r="942">
      <c r="A942" s="486"/>
      <c r="B942" s="482"/>
      <c r="C942" s="497"/>
      <c r="D942" s="497"/>
      <c r="E942" s="497"/>
      <c r="F942" s="497"/>
      <c r="G942" s="497"/>
      <c r="H942" s="497"/>
      <c r="I942" s="497"/>
      <c r="J942" s="497"/>
      <c r="K942" s="497"/>
      <c r="L942" s="485"/>
      <c r="M942" s="485"/>
      <c r="N942" s="485"/>
      <c r="O942" s="485"/>
      <c r="P942" s="485"/>
      <c r="Q942" s="485"/>
      <c r="R942" s="485"/>
      <c r="S942" s="485"/>
      <c r="T942" s="485"/>
      <c r="U942" s="485"/>
      <c r="V942" s="485"/>
      <c r="W942" s="485"/>
      <c r="X942" s="485"/>
      <c r="Y942" s="485"/>
      <c r="Z942" s="485"/>
      <c r="AA942" s="485"/>
    </row>
    <row r="943">
      <c r="A943" s="486"/>
      <c r="B943" s="482"/>
      <c r="C943" s="497"/>
      <c r="D943" s="497"/>
      <c r="E943" s="497"/>
      <c r="F943" s="497"/>
      <c r="G943" s="497"/>
      <c r="H943" s="497"/>
      <c r="I943" s="497"/>
      <c r="J943" s="497"/>
      <c r="K943" s="497"/>
      <c r="L943" s="485"/>
      <c r="M943" s="485"/>
      <c r="N943" s="485"/>
      <c r="O943" s="485"/>
      <c r="P943" s="485"/>
      <c r="Q943" s="485"/>
      <c r="R943" s="485"/>
      <c r="S943" s="485"/>
      <c r="T943" s="485"/>
      <c r="U943" s="485"/>
      <c r="V943" s="485"/>
      <c r="W943" s="485"/>
      <c r="X943" s="485"/>
      <c r="Y943" s="485"/>
      <c r="Z943" s="485"/>
      <c r="AA943" s="485"/>
    </row>
    <row r="944">
      <c r="A944" s="486"/>
      <c r="B944" s="482"/>
      <c r="C944" s="497"/>
      <c r="D944" s="497"/>
      <c r="E944" s="497"/>
      <c r="F944" s="497"/>
      <c r="G944" s="497"/>
      <c r="H944" s="497"/>
      <c r="I944" s="497"/>
      <c r="J944" s="497"/>
      <c r="K944" s="497"/>
      <c r="L944" s="485"/>
      <c r="M944" s="485"/>
      <c r="N944" s="485"/>
      <c r="O944" s="485"/>
      <c r="P944" s="485"/>
      <c r="Q944" s="485"/>
      <c r="R944" s="485"/>
      <c r="S944" s="485"/>
      <c r="T944" s="485"/>
      <c r="U944" s="485"/>
      <c r="V944" s="485"/>
      <c r="W944" s="485"/>
      <c r="X944" s="485"/>
      <c r="Y944" s="485"/>
      <c r="Z944" s="485"/>
      <c r="AA944" s="485"/>
    </row>
    <row r="945">
      <c r="A945" s="486"/>
      <c r="B945" s="482"/>
      <c r="C945" s="497"/>
      <c r="D945" s="497"/>
      <c r="E945" s="497"/>
      <c r="F945" s="497"/>
      <c r="G945" s="497"/>
      <c r="H945" s="497"/>
      <c r="I945" s="497"/>
      <c r="J945" s="497"/>
      <c r="K945" s="497"/>
      <c r="L945" s="485"/>
      <c r="M945" s="485"/>
      <c r="N945" s="485"/>
      <c r="O945" s="485"/>
      <c r="P945" s="485"/>
      <c r="Q945" s="485"/>
      <c r="R945" s="485"/>
      <c r="S945" s="485"/>
      <c r="T945" s="485"/>
      <c r="U945" s="485"/>
      <c r="V945" s="485"/>
      <c r="W945" s="485"/>
      <c r="X945" s="485"/>
      <c r="Y945" s="485"/>
      <c r="Z945" s="485"/>
      <c r="AA945" s="485"/>
    </row>
    <row r="946">
      <c r="A946" s="486"/>
      <c r="B946" s="482"/>
      <c r="C946" s="497"/>
      <c r="D946" s="497"/>
      <c r="E946" s="497"/>
      <c r="F946" s="497"/>
      <c r="G946" s="497"/>
      <c r="H946" s="497"/>
      <c r="I946" s="497"/>
      <c r="J946" s="497"/>
      <c r="K946" s="497"/>
      <c r="L946" s="485"/>
      <c r="M946" s="485"/>
      <c r="N946" s="485"/>
      <c r="O946" s="485"/>
      <c r="P946" s="485"/>
      <c r="Q946" s="485"/>
      <c r="R946" s="485"/>
      <c r="S946" s="485"/>
      <c r="T946" s="485"/>
      <c r="U946" s="485"/>
      <c r="V946" s="485"/>
      <c r="W946" s="485"/>
      <c r="X946" s="485"/>
      <c r="Y946" s="485"/>
      <c r="Z946" s="485"/>
      <c r="AA946" s="485"/>
    </row>
    <row r="947">
      <c r="A947" s="486"/>
      <c r="B947" s="482"/>
      <c r="C947" s="497"/>
      <c r="D947" s="497"/>
      <c r="E947" s="497"/>
      <c r="F947" s="497"/>
      <c r="G947" s="497"/>
      <c r="H947" s="497"/>
      <c r="I947" s="497"/>
      <c r="J947" s="497"/>
      <c r="K947" s="497"/>
      <c r="L947" s="485"/>
      <c r="M947" s="485"/>
      <c r="N947" s="485"/>
      <c r="O947" s="485"/>
      <c r="P947" s="485"/>
      <c r="Q947" s="485"/>
      <c r="R947" s="485"/>
      <c r="S947" s="485"/>
      <c r="T947" s="485"/>
      <c r="U947" s="485"/>
      <c r="V947" s="485"/>
      <c r="W947" s="485"/>
      <c r="X947" s="485"/>
      <c r="Y947" s="485"/>
      <c r="Z947" s="485"/>
      <c r="AA947" s="485"/>
    </row>
    <row r="948">
      <c r="A948" s="486"/>
      <c r="B948" s="482"/>
      <c r="C948" s="497"/>
      <c r="D948" s="497"/>
      <c r="E948" s="497"/>
      <c r="F948" s="497"/>
      <c r="G948" s="497"/>
      <c r="H948" s="497"/>
      <c r="I948" s="497"/>
      <c r="J948" s="497"/>
      <c r="K948" s="497"/>
      <c r="L948" s="485"/>
      <c r="M948" s="485"/>
      <c r="N948" s="485"/>
      <c r="O948" s="485"/>
      <c r="P948" s="485"/>
      <c r="Q948" s="485"/>
      <c r="R948" s="485"/>
      <c r="S948" s="485"/>
      <c r="T948" s="485"/>
      <c r="U948" s="485"/>
      <c r="V948" s="485"/>
      <c r="W948" s="485"/>
      <c r="X948" s="485"/>
      <c r="Y948" s="485"/>
      <c r="Z948" s="485"/>
      <c r="AA948" s="485"/>
    </row>
    <row r="949">
      <c r="A949" s="486"/>
      <c r="B949" s="482"/>
      <c r="C949" s="497"/>
      <c r="D949" s="497"/>
      <c r="E949" s="497"/>
      <c r="F949" s="497"/>
      <c r="G949" s="497"/>
      <c r="H949" s="497"/>
      <c r="I949" s="497"/>
      <c r="J949" s="497"/>
      <c r="K949" s="497"/>
      <c r="L949" s="485"/>
      <c r="M949" s="485"/>
      <c r="N949" s="485"/>
      <c r="O949" s="485"/>
      <c r="P949" s="485"/>
      <c r="Q949" s="485"/>
      <c r="R949" s="485"/>
      <c r="S949" s="485"/>
      <c r="T949" s="485"/>
      <c r="U949" s="485"/>
      <c r="V949" s="485"/>
      <c r="W949" s="485"/>
      <c r="X949" s="485"/>
      <c r="Y949" s="485"/>
      <c r="Z949" s="485"/>
      <c r="AA949" s="485"/>
    </row>
    <row r="950">
      <c r="A950" s="486"/>
      <c r="B950" s="482"/>
      <c r="C950" s="497"/>
      <c r="D950" s="497"/>
      <c r="E950" s="497"/>
      <c r="F950" s="497"/>
      <c r="G950" s="497"/>
      <c r="H950" s="497"/>
      <c r="I950" s="497"/>
      <c r="J950" s="497"/>
      <c r="K950" s="497"/>
      <c r="L950" s="485"/>
      <c r="M950" s="485"/>
      <c r="N950" s="485"/>
      <c r="O950" s="485"/>
      <c r="P950" s="485"/>
      <c r="Q950" s="485"/>
      <c r="R950" s="485"/>
      <c r="S950" s="485"/>
      <c r="T950" s="485"/>
      <c r="U950" s="485"/>
      <c r="V950" s="485"/>
      <c r="W950" s="485"/>
      <c r="X950" s="485"/>
      <c r="Y950" s="485"/>
      <c r="Z950" s="485"/>
      <c r="AA950" s="485"/>
    </row>
    <row r="951">
      <c r="A951" s="486"/>
      <c r="B951" s="482"/>
      <c r="C951" s="497"/>
      <c r="D951" s="497"/>
      <c r="E951" s="497"/>
      <c r="F951" s="497"/>
      <c r="G951" s="497"/>
      <c r="H951" s="497"/>
      <c r="I951" s="497"/>
      <c r="J951" s="497"/>
      <c r="K951" s="497"/>
      <c r="L951" s="485"/>
      <c r="M951" s="485"/>
      <c r="N951" s="485"/>
      <c r="O951" s="485"/>
      <c r="P951" s="485"/>
      <c r="Q951" s="485"/>
      <c r="R951" s="485"/>
      <c r="S951" s="485"/>
      <c r="T951" s="485"/>
      <c r="U951" s="485"/>
      <c r="V951" s="485"/>
      <c r="W951" s="485"/>
      <c r="X951" s="485"/>
      <c r="Y951" s="485"/>
      <c r="Z951" s="485"/>
      <c r="AA951" s="485"/>
    </row>
    <row r="952">
      <c r="A952" s="486"/>
      <c r="B952" s="482"/>
      <c r="C952" s="497"/>
      <c r="D952" s="497"/>
      <c r="E952" s="497"/>
      <c r="F952" s="497"/>
      <c r="G952" s="497"/>
      <c r="H952" s="497"/>
      <c r="I952" s="497"/>
      <c r="J952" s="497"/>
      <c r="K952" s="497"/>
      <c r="L952" s="485"/>
      <c r="M952" s="485"/>
      <c r="N952" s="485"/>
      <c r="O952" s="485"/>
      <c r="P952" s="485"/>
      <c r="Q952" s="485"/>
      <c r="R952" s="485"/>
      <c r="S952" s="485"/>
      <c r="T952" s="485"/>
      <c r="U952" s="485"/>
      <c r="V952" s="485"/>
      <c r="W952" s="485"/>
      <c r="X952" s="485"/>
      <c r="Y952" s="485"/>
      <c r="Z952" s="485"/>
      <c r="AA952" s="485"/>
    </row>
    <row r="953">
      <c r="A953" s="486"/>
      <c r="B953" s="482"/>
      <c r="C953" s="497"/>
      <c r="D953" s="497"/>
      <c r="E953" s="497"/>
      <c r="F953" s="497"/>
      <c r="G953" s="497"/>
      <c r="H953" s="497"/>
      <c r="I953" s="497"/>
      <c r="J953" s="497"/>
      <c r="K953" s="497"/>
      <c r="L953" s="485"/>
      <c r="M953" s="485"/>
      <c r="N953" s="485"/>
      <c r="O953" s="485"/>
      <c r="P953" s="485"/>
      <c r="Q953" s="485"/>
      <c r="R953" s="485"/>
      <c r="S953" s="485"/>
      <c r="T953" s="485"/>
      <c r="U953" s="485"/>
      <c r="V953" s="485"/>
      <c r="W953" s="485"/>
      <c r="X953" s="485"/>
      <c r="Y953" s="485"/>
      <c r="Z953" s="485"/>
      <c r="AA953" s="485"/>
    </row>
    <row r="954">
      <c r="A954" s="486"/>
      <c r="B954" s="482"/>
      <c r="C954" s="497"/>
      <c r="D954" s="497"/>
      <c r="E954" s="497"/>
      <c r="F954" s="497"/>
      <c r="G954" s="497"/>
      <c r="H954" s="497"/>
      <c r="I954" s="497"/>
      <c r="J954" s="497"/>
      <c r="K954" s="497"/>
      <c r="L954" s="485"/>
      <c r="M954" s="485"/>
      <c r="N954" s="485"/>
      <c r="O954" s="485"/>
      <c r="P954" s="485"/>
      <c r="Q954" s="485"/>
      <c r="R954" s="485"/>
      <c r="S954" s="485"/>
      <c r="T954" s="485"/>
      <c r="U954" s="485"/>
      <c r="V954" s="485"/>
      <c r="W954" s="485"/>
      <c r="X954" s="485"/>
      <c r="Y954" s="485"/>
      <c r="Z954" s="485"/>
      <c r="AA954" s="485"/>
    </row>
    <row r="955">
      <c r="A955" s="486"/>
      <c r="B955" s="482"/>
      <c r="C955" s="497"/>
      <c r="D955" s="497"/>
      <c r="E955" s="497"/>
      <c r="F955" s="497"/>
      <c r="G955" s="497"/>
      <c r="H955" s="497"/>
      <c r="I955" s="497"/>
      <c r="J955" s="497"/>
      <c r="K955" s="497"/>
      <c r="L955" s="485"/>
      <c r="M955" s="485"/>
      <c r="N955" s="485"/>
      <c r="O955" s="485"/>
      <c r="P955" s="485"/>
      <c r="Q955" s="485"/>
      <c r="R955" s="485"/>
      <c r="S955" s="485"/>
      <c r="T955" s="485"/>
      <c r="U955" s="485"/>
      <c r="V955" s="485"/>
      <c r="W955" s="485"/>
      <c r="X955" s="485"/>
      <c r="Y955" s="485"/>
      <c r="Z955" s="485"/>
      <c r="AA955" s="485"/>
    </row>
    <row r="956">
      <c r="A956" s="486"/>
      <c r="B956" s="482"/>
      <c r="C956" s="497"/>
      <c r="D956" s="497"/>
      <c r="E956" s="497"/>
      <c r="F956" s="497"/>
      <c r="G956" s="497"/>
      <c r="H956" s="497"/>
      <c r="I956" s="497"/>
      <c r="J956" s="497"/>
      <c r="K956" s="497"/>
      <c r="L956" s="485"/>
      <c r="M956" s="485"/>
      <c r="N956" s="485"/>
      <c r="O956" s="485"/>
      <c r="P956" s="485"/>
      <c r="Q956" s="485"/>
      <c r="R956" s="485"/>
      <c r="S956" s="485"/>
      <c r="T956" s="485"/>
      <c r="U956" s="485"/>
      <c r="V956" s="485"/>
      <c r="W956" s="485"/>
      <c r="X956" s="485"/>
      <c r="Y956" s="485"/>
      <c r="Z956" s="485"/>
      <c r="AA956" s="485"/>
    </row>
    <row r="957">
      <c r="A957" s="486"/>
      <c r="B957" s="482"/>
      <c r="C957" s="497"/>
      <c r="D957" s="497"/>
      <c r="E957" s="497"/>
      <c r="F957" s="497"/>
      <c r="G957" s="497"/>
      <c r="H957" s="497"/>
      <c r="I957" s="497"/>
      <c r="J957" s="497"/>
      <c r="K957" s="497"/>
      <c r="L957" s="485"/>
      <c r="M957" s="485"/>
      <c r="N957" s="485"/>
      <c r="O957" s="485"/>
      <c r="P957" s="485"/>
      <c r="Q957" s="485"/>
      <c r="R957" s="485"/>
      <c r="S957" s="485"/>
      <c r="T957" s="485"/>
      <c r="U957" s="485"/>
      <c r="V957" s="485"/>
      <c r="W957" s="485"/>
      <c r="X957" s="485"/>
      <c r="Y957" s="485"/>
      <c r="Z957" s="485"/>
      <c r="AA957" s="485"/>
    </row>
    <row r="958">
      <c r="A958" s="486"/>
      <c r="B958" s="482"/>
      <c r="C958" s="497"/>
      <c r="D958" s="497"/>
      <c r="E958" s="497"/>
      <c r="F958" s="497"/>
      <c r="G958" s="497"/>
      <c r="H958" s="497"/>
      <c r="I958" s="497"/>
      <c r="J958" s="497"/>
      <c r="K958" s="497"/>
      <c r="L958" s="485"/>
      <c r="M958" s="485"/>
      <c r="N958" s="485"/>
      <c r="O958" s="485"/>
      <c r="P958" s="485"/>
      <c r="Q958" s="485"/>
      <c r="R958" s="485"/>
      <c r="S958" s="485"/>
      <c r="T958" s="485"/>
      <c r="U958" s="485"/>
      <c r="V958" s="485"/>
      <c r="W958" s="485"/>
      <c r="X958" s="485"/>
      <c r="Y958" s="485"/>
      <c r="Z958" s="485"/>
      <c r="AA958" s="485"/>
    </row>
    <row r="959">
      <c r="A959" s="486"/>
      <c r="B959" s="482"/>
      <c r="C959" s="497"/>
      <c r="D959" s="497"/>
      <c r="E959" s="497"/>
      <c r="F959" s="497"/>
      <c r="G959" s="497"/>
      <c r="H959" s="497"/>
      <c r="I959" s="497"/>
      <c r="J959" s="497"/>
      <c r="K959" s="497"/>
      <c r="L959" s="485"/>
      <c r="M959" s="485"/>
      <c r="N959" s="485"/>
      <c r="O959" s="485"/>
      <c r="P959" s="485"/>
      <c r="Q959" s="485"/>
      <c r="R959" s="485"/>
      <c r="S959" s="485"/>
      <c r="T959" s="485"/>
      <c r="U959" s="485"/>
      <c r="V959" s="485"/>
      <c r="W959" s="485"/>
      <c r="X959" s="485"/>
      <c r="Y959" s="485"/>
      <c r="Z959" s="485"/>
      <c r="AA959" s="485"/>
    </row>
    <row r="960">
      <c r="A960" s="486"/>
      <c r="B960" s="482"/>
      <c r="C960" s="497"/>
      <c r="D960" s="497"/>
      <c r="E960" s="497"/>
      <c r="F960" s="497"/>
      <c r="G960" s="497"/>
      <c r="H960" s="497"/>
      <c r="I960" s="497"/>
      <c r="J960" s="497"/>
      <c r="K960" s="497"/>
      <c r="L960" s="485"/>
      <c r="M960" s="485"/>
      <c r="N960" s="485"/>
      <c r="O960" s="485"/>
      <c r="P960" s="485"/>
      <c r="Q960" s="485"/>
      <c r="R960" s="485"/>
      <c r="S960" s="485"/>
      <c r="T960" s="485"/>
      <c r="U960" s="485"/>
      <c r="V960" s="485"/>
      <c r="W960" s="485"/>
      <c r="X960" s="485"/>
      <c r="Y960" s="485"/>
      <c r="Z960" s="485"/>
      <c r="AA960" s="485"/>
    </row>
    <row r="961">
      <c r="A961" s="486"/>
      <c r="B961" s="482"/>
      <c r="C961" s="497"/>
      <c r="D961" s="497"/>
      <c r="E961" s="497"/>
      <c r="F961" s="497"/>
      <c r="G961" s="497"/>
      <c r="H961" s="497"/>
      <c r="I961" s="497"/>
      <c r="J961" s="497"/>
      <c r="K961" s="497"/>
      <c r="L961" s="485"/>
      <c r="M961" s="485"/>
      <c r="N961" s="485"/>
      <c r="O961" s="485"/>
      <c r="P961" s="485"/>
      <c r="Q961" s="485"/>
      <c r="R961" s="485"/>
      <c r="S961" s="485"/>
      <c r="T961" s="485"/>
      <c r="U961" s="485"/>
      <c r="V961" s="485"/>
      <c r="W961" s="485"/>
      <c r="X961" s="485"/>
      <c r="Y961" s="485"/>
      <c r="Z961" s="485"/>
      <c r="AA961" s="485"/>
    </row>
    <row r="962">
      <c r="A962" s="486"/>
      <c r="B962" s="482"/>
      <c r="C962" s="497"/>
      <c r="D962" s="497"/>
      <c r="E962" s="497"/>
      <c r="F962" s="497"/>
      <c r="G962" s="497"/>
      <c r="H962" s="497"/>
      <c r="I962" s="497"/>
      <c r="J962" s="497"/>
      <c r="K962" s="497"/>
      <c r="L962" s="485"/>
      <c r="M962" s="485"/>
      <c r="N962" s="485"/>
      <c r="O962" s="485"/>
      <c r="P962" s="485"/>
      <c r="Q962" s="485"/>
      <c r="R962" s="485"/>
      <c r="S962" s="485"/>
      <c r="T962" s="485"/>
      <c r="U962" s="485"/>
      <c r="V962" s="485"/>
      <c r="W962" s="485"/>
      <c r="X962" s="485"/>
      <c r="Y962" s="485"/>
      <c r="Z962" s="485"/>
      <c r="AA962" s="485"/>
    </row>
    <row r="963">
      <c r="A963" s="486"/>
      <c r="B963" s="482"/>
      <c r="C963" s="497"/>
      <c r="D963" s="497"/>
      <c r="E963" s="497"/>
      <c r="F963" s="497"/>
      <c r="G963" s="497"/>
      <c r="H963" s="497"/>
      <c r="I963" s="497"/>
      <c r="J963" s="497"/>
      <c r="K963" s="497"/>
      <c r="L963" s="485"/>
      <c r="M963" s="485"/>
      <c r="N963" s="485"/>
      <c r="O963" s="485"/>
      <c r="P963" s="485"/>
      <c r="Q963" s="485"/>
      <c r="R963" s="485"/>
      <c r="S963" s="485"/>
      <c r="T963" s="485"/>
      <c r="U963" s="485"/>
      <c r="V963" s="485"/>
      <c r="W963" s="485"/>
      <c r="X963" s="485"/>
      <c r="Y963" s="485"/>
      <c r="Z963" s="485"/>
      <c r="AA963" s="485"/>
    </row>
    <row r="964">
      <c r="A964" s="486"/>
      <c r="B964" s="482"/>
      <c r="C964" s="497"/>
      <c r="D964" s="497"/>
      <c r="E964" s="497"/>
      <c r="F964" s="497"/>
      <c r="G964" s="497"/>
      <c r="H964" s="497"/>
      <c r="I964" s="497"/>
      <c r="J964" s="497"/>
      <c r="K964" s="497"/>
      <c r="L964" s="485"/>
      <c r="M964" s="485"/>
      <c r="N964" s="485"/>
      <c r="O964" s="485"/>
      <c r="P964" s="485"/>
      <c r="Q964" s="485"/>
      <c r="R964" s="485"/>
      <c r="S964" s="485"/>
      <c r="T964" s="485"/>
      <c r="U964" s="485"/>
      <c r="V964" s="485"/>
      <c r="W964" s="485"/>
      <c r="X964" s="485"/>
      <c r="Y964" s="485"/>
      <c r="Z964" s="485"/>
      <c r="AA964" s="485"/>
    </row>
    <row r="965">
      <c r="A965" s="486"/>
      <c r="B965" s="482"/>
      <c r="C965" s="497"/>
      <c r="D965" s="497"/>
      <c r="E965" s="497"/>
      <c r="F965" s="497"/>
      <c r="G965" s="497"/>
      <c r="H965" s="497"/>
      <c r="I965" s="497"/>
      <c r="J965" s="497"/>
      <c r="K965" s="497"/>
      <c r="L965" s="485"/>
      <c r="M965" s="485"/>
      <c r="N965" s="485"/>
      <c r="O965" s="485"/>
      <c r="P965" s="485"/>
      <c r="Q965" s="485"/>
      <c r="R965" s="485"/>
      <c r="S965" s="485"/>
      <c r="T965" s="485"/>
      <c r="U965" s="485"/>
      <c r="V965" s="485"/>
      <c r="W965" s="485"/>
      <c r="X965" s="485"/>
      <c r="Y965" s="485"/>
      <c r="Z965" s="485"/>
      <c r="AA965" s="485"/>
    </row>
    <row r="966">
      <c r="A966" s="486"/>
      <c r="B966" s="482"/>
      <c r="C966" s="497"/>
      <c r="D966" s="497"/>
      <c r="E966" s="497"/>
      <c r="F966" s="497"/>
      <c r="G966" s="497"/>
      <c r="H966" s="497"/>
      <c r="I966" s="497"/>
      <c r="J966" s="497"/>
      <c r="K966" s="497"/>
      <c r="L966" s="485"/>
      <c r="M966" s="485"/>
      <c r="N966" s="485"/>
      <c r="O966" s="485"/>
      <c r="P966" s="485"/>
      <c r="Q966" s="485"/>
      <c r="R966" s="485"/>
      <c r="S966" s="485"/>
      <c r="T966" s="485"/>
      <c r="U966" s="485"/>
      <c r="V966" s="485"/>
      <c r="W966" s="485"/>
      <c r="X966" s="485"/>
      <c r="Y966" s="485"/>
      <c r="Z966" s="485"/>
      <c r="AA966" s="485"/>
    </row>
    <row r="967">
      <c r="A967" s="486"/>
      <c r="B967" s="482"/>
      <c r="C967" s="497"/>
      <c r="D967" s="497"/>
      <c r="E967" s="497"/>
      <c r="F967" s="497"/>
      <c r="G967" s="497"/>
      <c r="H967" s="497"/>
      <c r="I967" s="497"/>
      <c r="J967" s="497"/>
      <c r="K967" s="497"/>
      <c r="L967" s="485"/>
      <c r="M967" s="485"/>
      <c r="N967" s="485"/>
      <c r="O967" s="485"/>
      <c r="P967" s="485"/>
      <c r="Q967" s="485"/>
      <c r="R967" s="485"/>
      <c r="S967" s="485"/>
      <c r="T967" s="485"/>
      <c r="U967" s="485"/>
      <c r="V967" s="485"/>
      <c r="W967" s="485"/>
      <c r="X967" s="485"/>
      <c r="Y967" s="485"/>
      <c r="Z967" s="485"/>
      <c r="AA967" s="485"/>
    </row>
    <row r="968">
      <c r="A968" s="486"/>
      <c r="B968" s="482"/>
      <c r="C968" s="497"/>
      <c r="D968" s="497"/>
      <c r="E968" s="497"/>
      <c r="F968" s="497"/>
      <c r="G968" s="497"/>
      <c r="H968" s="497"/>
      <c r="I968" s="497"/>
      <c r="J968" s="497"/>
      <c r="K968" s="497"/>
      <c r="L968" s="485"/>
      <c r="M968" s="485"/>
      <c r="N968" s="485"/>
      <c r="O968" s="485"/>
      <c r="P968" s="485"/>
      <c r="Q968" s="485"/>
      <c r="R968" s="485"/>
      <c r="S968" s="485"/>
      <c r="T968" s="485"/>
      <c r="U968" s="485"/>
      <c r="V968" s="485"/>
      <c r="W968" s="485"/>
      <c r="X968" s="485"/>
      <c r="Y968" s="485"/>
      <c r="Z968" s="485"/>
      <c r="AA968" s="485"/>
    </row>
    <row r="969">
      <c r="A969" s="486"/>
      <c r="B969" s="482"/>
      <c r="C969" s="497"/>
      <c r="D969" s="497"/>
      <c r="E969" s="497"/>
      <c r="F969" s="497"/>
      <c r="G969" s="497"/>
      <c r="H969" s="497"/>
      <c r="I969" s="497"/>
      <c r="J969" s="497"/>
      <c r="K969" s="497"/>
      <c r="L969" s="485"/>
      <c r="M969" s="485"/>
      <c r="N969" s="485"/>
      <c r="O969" s="485"/>
      <c r="P969" s="485"/>
      <c r="Q969" s="485"/>
      <c r="R969" s="485"/>
      <c r="S969" s="485"/>
      <c r="T969" s="485"/>
      <c r="U969" s="485"/>
      <c r="V969" s="485"/>
      <c r="W969" s="485"/>
      <c r="X969" s="485"/>
      <c r="Y969" s="485"/>
      <c r="Z969" s="485"/>
      <c r="AA969" s="485"/>
    </row>
    <row r="970">
      <c r="A970" s="486"/>
      <c r="B970" s="482"/>
      <c r="C970" s="497"/>
      <c r="D970" s="497"/>
      <c r="E970" s="497"/>
      <c r="F970" s="497"/>
      <c r="G970" s="497"/>
      <c r="H970" s="497"/>
      <c r="I970" s="497"/>
      <c r="J970" s="497"/>
      <c r="K970" s="497"/>
      <c r="L970" s="485"/>
      <c r="M970" s="485"/>
      <c r="N970" s="485"/>
      <c r="O970" s="485"/>
      <c r="P970" s="485"/>
      <c r="Q970" s="485"/>
      <c r="R970" s="485"/>
      <c r="S970" s="485"/>
      <c r="T970" s="485"/>
      <c r="U970" s="485"/>
      <c r="V970" s="485"/>
      <c r="W970" s="485"/>
      <c r="X970" s="485"/>
      <c r="Y970" s="485"/>
      <c r="Z970" s="485"/>
      <c r="AA970" s="485"/>
    </row>
    <row r="971">
      <c r="A971" s="486"/>
      <c r="B971" s="482"/>
      <c r="C971" s="497"/>
      <c r="D971" s="497"/>
      <c r="E971" s="497"/>
      <c r="F971" s="497"/>
      <c r="G971" s="497"/>
      <c r="H971" s="497"/>
      <c r="I971" s="497"/>
      <c r="J971" s="497"/>
      <c r="K971" s="497"/>
      <c r="L971" s="485"/>
      <c r="M971" s="485"/>
      <c r="N971" s="485"/>
      <c r="O971" s="485"/>
      <c r="P971" s="485"/>
      <c r="Q971" s="485"/>
      <c r="R971" s="485"/>
      <c r="S971" s="485"/>
      <c r="T971" s="485"/>
      <c r="U971" s="485"/>
      <c r="V971" s="485"/>
      <c r="W971" s="485"/>
      <c r="X971" s="485"/>
      <c r="Y971" s="485"/>
      <c r="Z971" s="485"/>
      <c r="AA971" s="485"/>
    </row>
    <row r="972">
      <c r="A972" s="486"/>
      <c r="B972" s="482"/>
      <c r="C972" s="497"/>
      <c r="D972" s="497"/>
      <c r="E972" s="497"/>
      <c r="F972" s="497"/>
      <c r="G972" s="497"/>
      <c r="H972" s="497"/>
      <c r="I972" s="497"/>
      <c r="J972" s="497"/>
      <c r="K972" s="497"/>
      <c r="L972" s="485"/>
      <c r="M972" s="485"/>
      <c r="N972" s="485"/>
      <c r="O972" s="485"/>
      <c r="P972" s="485"/>
      <c r="Q972" s="485"/>
      <c r="R972" s="485"/>
      <c r="S972" s="485"/>
      <c r="T972" s="485"/>
      <c r="U972" s="485"/>
      <c r="V972" s="485"/>
      <c r="W972" s="485"/>
      <c r="X972" s="485"/>
      <c r="Y972" s="485"/>
      <c r="Z972" s="485"/>
      <c r="AA972" s="485"/>
    </row>
    <row r="973">
      <c r="A973" s="486"/>
      <c r="B973" s="482"/>
      <c r="C973" s="497"/>
      <c r="D973" s="497"/>
      <c r="E973" s="497"/>
      <c r="F973" s="497"/>
      <c r="G973" s="497"/>
      <c r="H973" s="497"/>
      <c r="I973" s="497"/>
      <c r="J973" s="497"/>
      <c r="K973" s="497"/>
      <c r="L973" s="485"/>
      <c r="M973" s="485"/>
      <c r="N973" s="485"/>
      <c r="O973" s="485"/>
      <c r="P973" s="485"/>
      <c r="Q973" s="485"/>
      <c r="R973" s="485"/>
      <c r="S973" s="485"/>
      <c r="T973" s="485"/>
      <c r="U973" s="485"/>
      <c r="V973" s="485"/>
      <c r="W973" s="485"/>
      <c r="X973" s="485"/>
      <c r="Y973" s="485"/>
      <c r="Z973" s="485"/>
      <c r="AA973" s="485"/>
    </row>
    <row r="974">
      <c r="A974" s="486"/>
      <c r="B974" s="482"/>
      <c r="C974" s="497"/>
      <c r="D974" s="497"/>
      <c r="E974" s="497"/>
      <c r="F974" s="497"/>
      <c r="G974" s="497"/>
      <c r="H974" s="497"/>
      <c r="I974" s="497"/>
      <c r="J974" s="497"/>
      <c r="K974" s="497"/>
      <c r="L974" s="485"/>
      <c r="M974" s="485"/>
      <c r="N974" s="485"/>
      <c r="O974" s="485"/>
      <c r="P974" s="485"/>
      <c r="Q974" s="485"/>
      <c r="R974" s="485"/>
      <c r="S974" s="485"/>
      <c r="T974" s="485"/>
      <c r="U974" s="485"/>
      <c r="V974" s="485"/>
      <c r="W974" s="485"/>
      <c r="X974" s="485"/>
      <c r="Y974" s="485"/>
      <c r="Z974" s="485"/>
      <c r="AA974" s="485"/>
    </row>
    <row r="975">
      <c r="A975" s="486"/>
      <c r="B975" s="482"/>
      <c r="C975" s="497"/>
      <c r="D975" s="497"/>
      <c r="E975" s="497"/>
      <c r="F975" s="497"/>
      <c r="G975" s="497"/>
      <c r="H975" s="497"/>
      <c r="I975" s="497"/>
      <c r="J975" s="497"/>
      <c r="K975" s="497"/>
      <c r="L975" s="485"/>
      <c r="M975" s="485"/>
      <c r="N975" s="485"/>
      <c r="O975" s="485"/>
      <c r="P975" s="485"/>
      <c r="Q975" s="485"/>
      <c r="R975" s="485"/>
      <c r="S975" s="485"/>
      <c r="T975" s="485"/>
      <c r="U975" s="485"/>
      <c r="V975" s="485"/>
      <c r="W975" s="485"/>
      <c r="X975" s="485"/>
      <c r="Y975" s="485"/>
      <c r="Z975" s="485"/>
      <c r="AA975" s="485"/>
    </row>
    <row r="976">
      <c r="A976" s="486"/>
      <c r="B976" s="482"/>
      <c r="C976" s="497"/>
      <c r="D976" s="497"/>
      <c r="E976" s="497"/>
      <c r="F976" s="497"/>
      <c r="G976" s="497"/>
      <c r="H976" s="497"/>
      <c r="I976" s="497"/>
      <c r="J976" s="497"/>
      <c r="K976" s="497"/>
      <c r="L976" s="485"/>
      <c r="M976" s="485"/>
      <c r="N976" s="485"/>
      <c r="O976" s="485"/>
      <c r="P976" s="485"/>
      <c r="Q976" s="485"/>
      <c r="R976" s="485"/>
      <c r="S976" s="485"/>
      <c r="T976" s="485"/>
      <c r="U976" s="485"/>
      <c r="V976" s="485"/>
      <c r="W976" s="485"/>
      <c r="X976" s="485"/>
      <c r="Y976" s="485"/>
      <c r="Z976" s="485"/>
      <c r="AA976" s="485"/>
    </row>
    <row r="977">
      <c r="A977" s="486"/>
      <c r="B977" s="482"/>
      <c r="C977" s="497"/>
      <c r="D977" s="497"/>
      <c r="E977" s="497"/>
      <c r="F977" s="497"/>
      <c r="G977" s="497"/>
      <c r="H977" s="497"/>
      <c r="I977" s="497"/>
      <c r="J977" s="497"/>
      <c r="K977" s="497"/>
      <c r="L977" s="485"/>
      <c r="M977" s="485"/>
      <c r="N977" s="485"/>
      <c r="O977" s="485"/>
      <c r="P977" s="485"/>
      <c r="Q977" s="485"/>
      <c r="R977" s="485"/>
      <c r="S977" s="485"/>
      <c r="T977" s="485"/>
      <c r="U977" s="485"/>
      <c r="V977" s="485"/>
      <c r="W977" s="485"/>
      <c r="X977" s="485"/>
      <c r="Y977" s="485"/>
      <c r="Z977" s="485"/>
      <c r="AA977" s="485"/>
    </row>
    <row r="978">
      <c r="A978" s="486"/>
      <c r="B978" s="482"/>
      <c r="C978" s="497"/>
      <c r="D978" s="497"/>
      <c r="E978" s="497"/>
      <c r="F978" s="497"/>
      <c r="G978" s="497"/>
      <c r="H978" s="497"/>
      <c r="I978" s="497"/>
      <c r="J978" s="497"/>
      <c r="K978" s="497"/>
      <c r="L978" s="485"/>
      <c r="M978" s="485"/>
      <c r="N978" s="485"/>
      <c r="O978" s="485"/>
      <c r="P978" s="485"/>
      <c r="Q978" s="485"/>
      <c r="R978" s="485"/>
      <c r="S978" s="485"/>
      <c r="T978" s="485"/>
      <c r="U978" s="485"/>
      <c r="V978" s="485"/>
      <c r="W978" s="485"/>
      <c r="X978" s="485"/>
      <c r="Y978" s="485"/>
      <c r="Z978" s="485"/>
      <c r="AA978" s="485"/>
    </row>
    <row r="979">
      <c r="A979" s="486"/>
      <c r="B979" s="482"/>
      <c r="C979" s="497"/>
      <c r="D979" s="497"/>
      <c r="E979" s="497"/>
      <c r="F979" s="497"/>
      <c r="G979" s="497"/>
      <c r="H979" s="497"/>
      <c r="I979" s="497"/>
      <c r="J979" s="497"/>
      <c r="K979" s="497"/>
      <c r="L979" s="485"/>
      <c r="M979" s="485"/>
      <c r="N979" s="485"/>
      <c r="O979" s="485"/>
      <c r="P979" s="485"/>
      <c r="Q979" s="485"/>
      <c r="R979" s="485"/>
      <c r="S979" s="485"/>
      <c r="T979" s="485"/>
      <c r="U979" s="485"/>
      <c r="V979" s="485"/>
      <c r="W979" s="485"/>
      <c r="X979" s="485"/>
      <c r="Y979" s="485"/>
      <c r="Z979" s="485"/>
      <c r="AA979" s="485"/>
    </row>
    <row r="980">
      <c r="A980" s="486"/>
      <c r="B980" s="482"/>
      <c r="C980" s="497"/>
      <c r="D980" s="497"/>
      <c r="E980" s="497"/>
      <c r="F980" s="497"/>
      <c r="G980" s="497"/>
      <c r="H980" s="497"/>
      <c r="I980" s="497"/>
      <c r="J980" s="497"/>
      <c r="K980" s="497"/>
      <c r="L980" s="485"/>
      <c r="M980" s="485"/>
      <c r="N980" s="485"/>
      <c r="O980" s="485"/>
      <c r="P980" s="485"/>
      <c r="Q980" s="485"/>
      <c r="R980" s="485"/>
      <c r="S980" s="485"/>
      <c r="T980" s="485"/>
      <c r="U980" s="485"/>
      <c r="V980" s="485"/>
      <c r="W980" s="485"/>
      <c r="X980" s="485"/>
      <c r="Y980" s="485"/>
      <c r="Z980" s="485"/>
      <c r="AA980" s="485"/>
    </row>
    <row r="981">
      <c r="A981" s="486"/>
      <c r="B981" s="482"/>
      <c r="C981" s="497"/>
      <c r="D981" s="497"/>
      <c r="E981" s="497"/>
      <c r="F981" s="497"/>
      <c r="G981" s="497"/>
      <c r="H981" s="497"/>
      <c r="I981" s="497"/>
      <c r="J981" s="497"/>
      <c r="K981" s="497"/>
      <c r="L981" s="485"/>
      <c r="M981" s="485"/>
      <c r="N981" s="485"/>
      <c r="O981" s="485"/>
      <c r="P981" s="485"/>
      <c r="Q981" s="485"/>
      <c r="R981" s="485"/>
      <c r="S981" s="485"/>
      <c r="T981" s="485"/>
      <c r="U981" s="485"/>
      <c r="V981" s="485"/>
      <c r="W981" s="485"/>
      <c r="X981" s="485"/>
      <c r="Y981" s="485"/>
      <c r="Z981" s="485"/>
      <c r="AA981" s="485"/>
    </row>
    <row r="982">
      <c r="A982" s="486"/>
      <c r="B982" s="482"/>
      <c r="C982" s="497"/>
      <c r="D982" s="497"/>
      <c r="E982" s="497"/>
      <c r="F982" s="497"/>
      <c r="G982" s="497"/>
      <c r="H982" s="497"/>
      <c r="I982" s="497"/>
      <c r="J982" s="497"/>
      <c r="K982" s="497"/>
      <c r="L982" s="485"/>
      <c r="M982" s="485"/>
      <c r="N982" s="485"/>
      <c r="O982" s="485"/>
      <c r="P982" s="485"/>
      <c r="Q982" s="485"/>
      <c r="R982" s="485"/>
      <c r="S982" s="485"/>
      <c r="T982" s="485"/>
      <c r="U982" s="485"/>
      <c r="V982" s="485"/>
      <c r="W982" s="485"/>
      <c r="X982" s="485"/>
      <c r="Y982" s="485"/>
      <c r="Z982" s="485"/>
      <c r="AA982" s="485"/>
    </row>
    <row r="983">
      <c r="A983" s="486"/>
      <c r="B983" s="482"/>
      <c r="C983" s="497"/>
      <c r="D983" s="497"/>
      <c r="E983" s="497"/>
      <c r="F983" s="497"/>
      <c r="G983" s="497"/>
      <c r="H983" s="497"/>
      <c r="I983" s="497"/>
      <c r="J983" s="497"/>
      <c r="K983" s="497"/>
      <c r="L983" s="485"/>
      <c r="M983" s="485"/>
      <c r="N983" s="485"/>
      <c r="O983" s="485"/>
      <c r="P983" s="485"/>
      <c r="Q983" s="485"/>
      <c r="R983" s="485"/>
      <c r="S983" s="485"/>
      <c r="T983" s="485"/>
      <c r="U983" s="485"/>
      <c r="V983" s="485"/>
      <c r="W983" s="485"/>
      <c r="X983" s="485"/>
      <c r="Y983" s="485"/>
      <c r="Z983" s="485"/>
      <c r="AA983" s="485"/>
    </row>
    <row r="984">
      <c r="A984" s="486"/>
      <c r="B984" s="482"/>
      <c r="C984" s="497"/>
      <c r="D984" s="497"/>
      <c r="E984" s="497"/>
      <c r="F984" s="497"/>
      <c r="G984" s="497"/>
      <c r="H984" s="497"/>
      <c r="I984" s="497"/>
      <c r="J984" s="497"/>
      <c r="K984" s="497"/>
      <c r="L984" s="485"/>
      <c r="M984" s="485"/>
      <c r="N984" s="485"/>
      <c r="O984" s="485"/>
      <c r="P984" s="485"/>
      <c r="Q984" s="485"/>
      <c r="R984" s="485"/>
      <c r="S984" s="485"/>
      <c r="T984" s="485"/>
      <c r="U984" s="485"/>
      <c r="V984" s="485"/>
      <c r="W984" s="485"/>
      <c r="X984" s="485"/>
      <c r="Y984" s="485"/>
      <c r="Z984" s="485"/>
      <c r="AA984" s="485"/>
    </row>
    <row r="985">
      <c r="A985" s="486"/>
      <c r="B985" s="482"/>
      <c r="C985" s="497"/>
      <c r="D985" s="497"/>
      <c r="E985" s="497"/>
      <c r="F985" s="497"/>
      <c r="G985" s="497"/>
      <c r="H985" s="497"/>
      <c r="I985" s="497"/>
      <c r="J985" s="497"/>
      <c r="K985" s="497"/>
      <c r="L985" s="485"/>
      <c r="M985" s="485"/>
      <c r="N985" s="485"/>
      <c r="O985" s="485"/>
      <c r="P985" s="485"/>
      <c r="Q985" s="485"/>
      <c r="R985" s="485"/>
      <c r="S985" s="485"/>
      <c r="T985" s="485"/>
      <c r="U985" s="485"/>
      <c r="V985" s="485"/>
      <c r="W985" s="485"/>
      <c r="X985" s="485"/>
      <c r="Y985" s="485"/>
      <c r="Z985" s="485"/>
      <c r="AA985" s="485"/>
    </row>
    <row r="986">
      <c r="A986" s="486"/>
      <c r="B986" s="482"/>
      <c r="C986" s="497"/>
      <c r="D986" s="497"/>
      <c r="E986" s="497"/>
      <c r="F986" s="497"/>
      <c r="G986" s="497"/>
      <c r="H986" s="497"/>
      <c r="I986" s="497"/>
      <c r="J986" s="497"/>
      <c r="K986" s="497"/>
      <c r="L986" s="485"/>
      <c r="M986" s="485"/>
      <c r="N986" s="485"/>
      <c r="O986" s="485"/>
      <c r="P986" s="485"/>
      <c r="Q986" s="485"/>
      <c r="R986" s="485"/>
      <c r="S986" s="485"/>
      <c r="T986" s="485"/>
      <c r="U986" s="485"/>
      <c r="V986" s="485"/>
      <c r="W986" s="485"/>
      <c r="X986" s="485"/>
      <c r="Y986" s="485"/>
      <c r="Z986" s="485"/>
      <c r="AA986" s="485"/>
    </row>
    <row r="987">
      <c r="A987" s="486"/>
      <c r="B987" s="482"/>
      <c r="C987" s="497"/>
      <c r="D987" s="497"/>
      <c r="E987" s="497"/>
      <c r="F987" s="497"/>
      <c r="G987" s="497"/>
      <c r="H987" s="497"/>
      <c r="I987" s="497"/>
      <c r="J987" s="497"/>
      <c r="K987" s="497"/>
      <c r="L987" s="485"/>
      <c r="M987" s="485"/>
      <c r="N987" s="485"/>
      <c r="O987" s="485"/>
      <c r="P987" s="485"/>
      <c r="Q987" s="485"/>
      <c r="R987" s="485"/>
      <c r="S987" s="485"/>
      <c r="T987" s="485"/>
      <c r="U987" s="485"/>
      <c r="V987" s="485"/>
      <c r="W987" s="485"/>
      <c r="X987" s="485"/>
      <c r="Y987" s="485"/>
      <c r="Z987" s="485"/>
      <c r="AA987" s="485"/>
    </row>
    <row r="988">
      <c r="A988" s="486"/>
      <c r="B988" s="482"/>
      <c r="C988" s="497"/>
      <c r="D988" s="497"/>
      <c r="E988" s="497"/>
      <c r="F988" s="497"/>
      <c r="G988" s="497"/>
      <c r="H988" s="497"/>
      <c r="I988" s="497"/>
      <c r="J988" s="497"/>
      <c r="K988" s="497"/>
      <c r="L988" s="485"/>
      <c r="M988" s="485"/>
      <c r="N988" s="485"/>
      <c r="O988" s="485"/>
      <c r="P988" s="485"/>
      <c r="Q988" s="485"/>
      <c r="R988" s="485"/>
      <c r="S988" s="485"/>
      <c r="T988" s="485"/>
      <c r="U988" s="485"/>
      <c r="V988" s="485"/>
      <c r="W988" s="485"/>
      <c r="X988" s="485"/>
      <c r="Y988" s="485"/>
      <c r="Z988" s="485"/>
      <c r="AA988" s="485"/>
    </row>
    <row r="989">
      <c r="A989" s="486"/>
      <c r="B989" s="482"/>
      <c r="C989" s="497"/>
      <c r="D989" s="497"/>
      <c r="E989" s="497"/>
      <c r="F989" s="497"/>
      <c r="G989" s="497"/>
      <c r="H989" s="497"/>
      <c r="I989" s="497"/>
      <c r="J989" s="497"/>
      <c r="K989" s="497"/>
      <c r="L989" s="485"/>
      <c r="M989" s="485"/>
      <c r="N989" s="485"/>
      <c r="O989" s="485"/>
      <c r="P989" s="485"/>
      <c r="Q989" s="485"/>
      <c r="R989" s="485"/>
      <c r="S989" s="485"/>
      <c r="T989" s="485"/>
      <c r="U989" s="485"/>
      <c r="V989" s="485"/>
      <c r="W989" s="485"/>
      <c r="X989" s="485"/>
      <c r="Y989" s="485"/>
      <c r="Z989" s="485"/>
      <c r="AA989" s="485"/>
    </row>
    <row r="990">
      <c r="A990" s="486"/>
      <c r="B990" s="482"/>
      <c r="C990" s="497"/>
      <c r="D990" s="497"/>
      <c r="E990" s="497"/>
      <c r="F990" s="497"/>
      <c r="G990" s="497"/>
      <c r="H990" s="497"/>
      <c r="I990" s="497"/>
      <c r="J990" s="497"/>
      <c r="K990" s="497"/>
      <c r="L990" s="485"/>
      <c r="M990" s="485"/>
      <c r="N990" s="485"/>
      <c r="O990" s="485"/>
      <c r="P990" s="485"/>
      <c r="Q990" s="485"/>
      <c r="R990" s="485"/>
      <c r="S990" s="485"/>
      <c r="T990" s="485"/>
      <c r="U990" s="485"/>
      <c r="V990" s="485"/>
      <c r="W990" s="485"/>
      <c r="X990" s="485"/>
      <c r="Y990" s="485"/>
      <c r="Z990" s="485"/>
      <c r="AA990" s="485"/>
    </row>
    <row r="991">
      <c r="A991" s="486"/>
      <c r="B991" s="482"/>
      <c r="C991" s="497"/>
      <c r="D991" s="497"/>
      <c r="E991" s="497"/>
      <c r="F991" s="497"/>
      <c r="G991" s="497"/>
      <c r="H991" s="497"/>
      <c r="I991" s="497"/>
      <c r="J991" s="497"/>
      <c r="K991" s="497"/>
      <c r="L991" s="485"/>
      <c r="M991" s="485"/>
      <c r="N991" s="485"/>
      <c r="O991" s="485"/>
      <c r="P991" s="485"/>
      <c r="Q991" s="485"/>
      <c r="R991" s="485"/>
      <c r="S991" s="485"/>
      <c r="T991" s="485"/>
      <c r="U991" s="485"/>
      <c r="V991" s="485"/>
      <c r="W991" s="485"/>
      <c r="X991" s="485"/>
      <c r="Y991" s="485"/>
      <c r="Z991" s="485"/>
      <c r="AA991" s="485"/>
    </row>
    <row r="992">
      <c r="A992" s="486"/>
      <c r="B992" s="482"/>
      <c r="C992" s="497"/>
      <c r="D992" s="497"/>
      <c r="E992" s="497"/>
      <c r="F992" s="497"/>
      <c r="G992" s="497"/>
      <c r="H992" s="497"/>
      <c r="I992" s="497"/>
      <c r="J992" s="497"/>
      <c r="K992" s="497"/>
      <c r="L992" s="485"/>
      <c r="M992" s="485"/>
      <c r="N992" s="485"/>
      <c r="O992" s="485"/>
      <c r="P992" s="485"/>
      <c r="Q992" s="485"/>
      <c r="R992" s="485"/>
      <c r="S992" s="485"/>
      <c r="T992" s="485"/>
      <c r="U992" s="485"/>
      <c r="V992" s="485"/>
      <c r="W992" s="485"/>
      <c r="X992" s="485"/>
      <c r="Y992" s="485"/>
      <c r="Z992" s="485"/>
      <c r="AA992" s="485"/>
    </row>
    <row r="993">
      <c r="A993" s="486"/>
      <c r="B993" s="482"/>
      <c r="C993" s="497"/>
      <c r="D993" s="497"/>
      <c r="E993" s="497"/>
      <c r="F993" s="497"/>
      <c r="G993" s="497"/>
      <c r="H993" s="497"/>
      <c r="I993" s="497"/>
      <c r="J993" s="497"/>
      <c r="K993" s="497"/>
      <c r="L993" s="485"/>
      <c r="M993" s="485"/>
      <c r="N993" s="485"/>
      <c r="O993" s="485"/>
      <c r="P993" s="485"/>
      <c r="Q993" s="485"/>
      <c r="R993" s="485"/>
      <c r="S993" s="485"/>
      <c r="T993" s="485"/>
      <c r="U993" s="485"/>
      <c r="V993" s="485"/>
      <c r="W993" s="485"/>
      <c r="X993" s="485"/>
      <c r="Y993" s="485"/>
      <c r="Z993" s="485"/>
      <c r="AA993" s="485"/>
    </row>
    <row r="994">
      <c r="A994" s="486"/>
      <c r="B994" s="482"/>
      <c r="C994" s="497"/>
      <c r="D994" s="497"/>
      <c r="E994" s="497"/>
      <c r="F994" s="497"/>
      <c r="G994" s="497"/>
      <c r="H994" s="497"/>
      <c r="I994" s="497"/>
      <c r="J994" s="497"/>
      <c r="K994" s="497"/>
      <c r="L994" s="485"/>
      <c r="M994" s="485"/>
      <c r="N994" s="485"/>
      <c r="O994" s="485"/>
      <c r="P994" s="485"/>
      <c r="Q994" s="485"/>
      <c r="R994" s="485"/>
      <c r="S994" s="485"/>
      <c r="T994" s="485"/>
      <c r="U994" s="485"/>
      <c r="V994" s="485"/>
      <c r="W994" s="485"/>
      <c r="X994" s="485"/>
      <c r="Y994" s="485"/>
      <c r="Z994" s="485"/>
      <c r="AA994" s="485"/>
    </row>
    <row r="995">
      <c r="A995" s="486"/>
      <c r="B995" s="482"/>
      <c r="C995" s="497"/>
      <c r="D995" s="497"/>
      <c r="E995" s="497"/>
      <c r="F995" s="497"/>
      <c r="G995" s="497"/>
      <c r="H995" s="497"/>
      <c r="I995" s="497"/>
      <c r="J995" s="497"/>
      <c r="K995" s="497"/>
      <c r="L995" s="485"/>
      <c r="M995" s="485"/>
      <c r="N995" s="485"/>
      <c r="O995" s="485"/>
      <c r="P995" s="485"/>
      <c r="Q995" s="485"/>
      <c r="R995" s="485"/>
      <c r="S995" s="485"/>
      <c r="T995" s="485"/>
      <c r="U995" s="485"/>
      <c r="V995" s="485"/>
      <c r="W995" s="485"/>
      <c r="X995" s="485"/>
      <c r="Y995" s="485"/>
      <c r="Z995" s="485"/>
      <c r="AA995" s="485"/>
    </row>
    <row r="996">
      <c r="A996" s="486"/>
      <c r="B996" s="482"/>
      <c r="C996" s="497"/>
      <c r="D996" s="497"/>
      <c r="E996" s="497"/>
      <c r="F996" s="497"/>
      <c r="G996" s="497"/>
      <c r="H996" s="497"/>
      <c r="I996" s="497"/>
      <c r="J996" s="497"/>
      <c r="K996" s="497"/>
      <c r="L996" s="485"/>
      <c r="M996" s="485"/>
      <c r="N996" s="485"/>
      <c r="O996" s="485"/>
      <c r="P996" s="485"/>
      <c r="Q996" s="485"/>
      <c r="R996" s="485"/>
      <c r="S996" s="485"/>
      <c r="T996" s="485"/>
      <c r="U996" s="485"/>
      <c r="V996" s="485"/>
      <c r="W996" s="485"/>
      <c r="X996" s="485"/>
      <c r="Y996" s="485"/>
      <c r="Z996" s="485"/>
      <c r="AA996" s="485"/>
    </row>
    <row r="997">
      <c r="A997" s="486"/>
      <c r="B997" s="482"/>
      <c r="C997" s="497"/>
      <c r="D997" s="497"/>
      <c r="E997" s="497"/>
      <c r="F997" s="497"/>
      <c r="G997" s="497"/>
      <c r="H997" s="497"/>
      <c r="I997" s="497"/>
      <c r="J997" s="497"/>
      <c r="K997" s="497"/>
      <c r="L997" s="485"/>
      <c r="M997" s="485"/>
      <c r="N997" s="485"/>
      <c r="O997" s="485"/>
      <c r="P997" s="485"/>
      <c r="Q997" s="485"/>
      <c r="R997" s="485"/>
      <c r="S997" s="485"/>
      <c r="T997" s="485"/>
      <c r="U997" s="485"/>
      <c r="V997" s="485"/>
      <c r="W997" s="485"/>
      <c r="X997" s="485"/>
      <c r="Y997" s="485"/>
      <c r="Z997" s="485"/>
      <c r="AA997" s="485"/>
    </row>
    <row r="998">
      <c r="A998" s="486"/>
      <c r="B998" s="482"/>
      <c r="C998" s="497"/>
      <c r="D998" s="497"/>
      <c r="E998" s="497"/>
      <c r="F998" s="497"/>
      <c r="G998" s="497"/>
      <c r="H998" s="497"/>
      <c r="I998" s="497"/>
      <c r="J998" s="497"/>
      <c r="K998" s="497"/>
      <c r="L998" s="485"/>
      <c r="M998" s="485"/>
      <c r="N998" s="485"/>
      <c r="O998" s="485"/>
      <c r="P998" s="485"/>
      <c r="Q998" s="485"/>
      <c r="R998" s="485"/>
      <c r="S998" s="485"/>
      <c r="T998" s="485"/>
      <c r="U998" s="485"/>
      <c r="V998" s="485"/>
      <c r="W998" s="485"/>
      <c r="X998" s="485"/>
      <c r="Y998" s="485"/>
      <c r="Z998" s="485"/>
      <c r="AA998" s="485"/>
    </row>
    <row r="999">
      <c r="A999" s="486"/>
      <c r="B999" s="482"/>
      <c r="C999" s="497"/>
      <c r="D999" s="497"/>
      <c r="E999" s="497"/>
      <c r="F999" s="497"/>
      <c r="G999" s="497"/>
      <c r="H999" s="497"/>
      <c r="I999" s="497"/>
      <c r="J999" s="497"/>
      <c r="K999" s="497"/>
      <c r="L999" s="485"/>
      <c r="M999" s="485"/>
      <c r="N999" s="485"/>
      <c r="O999" s="485"/>
      <c r="P999" s="485"/>
      <c r="Q999" s="485"/>
      <c r="R999" s="485"/>
      <c r="S999" s="485"/>
      <c r="T999" s="485"/>
      <c r="U999" s="485"/>
      <c r="V999" s="485"/>
      <c r="W999" s="485"/>
      <c r="X999" s="485"/>
      <c r="Y999" s="485"/>
      <c r="Z999" s="485"/>
      <c r="AA999" s="485"/>
    </row>
    <row r="1000">
      <c r="A1000" s="486"/>
      <c r="B1000" s="482"/>
      <c r="C1000" s="497"/>
      <c r="D1000" s="497"/>
      <c r="E1000" s="497"/>
      <c r="F1000" s="497"/>
      <c r="G1000" s="497"/>
      <c r="H1000" s="497"/>
      <c r="I1000" s="497"/>
      <c r="J1000" s="497"/>
      <c r="K1000" s="497"/>
      <c r="L1000" s="485"/>
      <c r="M1000" s="485"/>
      <c r="N1000" s="485"/>
      <c r="O1000" s="485"/>
      <c r="P1000" s="485"/>
      <c r="Q1000" s="485"/>
      <c r="R1000" s="485"/>
      <c r="S1000" s="485"/>
      <c r="T1000" s="485"/>
      <c r="U1000" s="485"/>
      <c r="V1000" s="485"/>
      <c r="W1000" s="485"/>
      <c r="X1000" s="485"/>
      <c r="Y1000" s="485"/>
      <c r="Z1000" s="485"/>
      <c r="AA1000" s="485"/>
    </row>
  </sheetData>
  <mergeCells count="10">
    <mergeCell ref="I3:J3"/>
    <mergeCell ref="B5:J5"/>
    <mergeCell ref="B16:J16"/>
    <mergeCell ref="B2:J2"/>
    <mergeCell ref="B3:B4"/>
    <mergeCell ref="C3:C4"/>
    <mergeCell ref="D3:D4"/>
    <mergeCell ref="E3:E4"/>
    <mergeCell ref="F3:F4"/>
    <mergeCell ref="G3:H3"/>
  </mergeCells>
  <printOptions horizontalCentered="1"/>
  <pageMargins bottom="0.75" footer="0.0" header="0.0" left="0.25" right="0.25" top="0.75"/>
  <pageSetup fitToHeight="0" paperSize="9" cellComments="atEnd" orientation="portrait"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
    <col customWidth="1" min="2" max="2" width="9.38"/>
    <col hidden="1" min="3" max="3" width="12.63"/>
    <col customWidth="1" min="5" max="5" width="11.0"/>
    <col hidden="1" min="6" max="6" width="12.63"/>
    <col customWidth="1" min="7" max="7" width="10.75"/>
    <col customWidth="1" min="8" max="8" width="10.38"/>
    <col hidden="1" min="9" max="9" width="12.63"/>
    <col customWidth="1" min="12" max="13" width="12.75"/>
    <col customWidth="1" min="14" max="14" width="11.63"/>
  </cols>
  <sheetData>
    <row r="1" ht="15.75" customHeight="1">
      <c r="A1" s="501"/>
      <c r="B1" s="502"/>
      <c r="C1" s="502"/>
      <c r="D1" s="502"/>
      <c r="E1" s="502"/>
      <c r="F1" s="502"/>
      <c r="G1" s="502"/>
      <c r="H1" s="502"/>
      <c r="I1" s="502"/>
      <c r="J1" s="243"/>
      <c r="K1" s="502"/>
      <c r="L1" s="502"/>
      <c r="M1" s="502"/>
      <c r="N1" s="502"/>
      <c r="O1" s="243"/>
      <c r="P1" s="243"/>
      <c r="Q1" s="243"/>
      <c r="R1" s="243"/>
      <c r="S1" s="243"/>
      <c r="T1" s="243"/>
      <c r="U1" s="243"/>
    </row>
    <row r="2" ht="29.25" customHeight="1">
      <c r="A2" s="501"/>
      <c r="B2" s="503" t="s">
        <v>2967</v>
      </c>
      <c r="C2" s="45"/>
      <c r="D2" s="45"/>
      <c r="E2" s="45"/>
      <c r="F2" s="45"/>
      <c r="G2" s="45"/>
      <c r="H2" s="46"/>
      <c r="J2" s="243"/>
      <c r="K2" s="502"/>
      <c r="L2" s="502"/>
      <c r="M2" s="502"/>
      <c r="N2" s="502"/>
      <c r="O2" s="243"/>
      <c r="P2" s="243"/>
      <c r="Q2" s="243"/>
      <c r="R2" s="243"/>
      <c r="S2" s="243"/>
      <c r="T2" s="243"/>
      <c r="U2" s="243"/>
    </row>
    <row r="3">
      <c r="A3" s="304"/>
      <c r="B3" s="28" t="s">
        <v>24</v>
      </c>
      <c r="C3" s="504" t="s">
        <v>6</v>
      </c>
      <c r="D3" s="505" t="s">
        <v>2808</v>
      </c>
      <c r="E3" s="489" t="s">
        <v>8</v>
      </c>
      <c r="F3" s="506" t="s">
        <v>26</v>
      </c>
      <c r="G3" s="507" t="s">
        <v>2970</v>
      </c>
      <c r="H3" s="46"/>
      <c r="I3" s="504" t="s">
        <v>6</v>
      </c>
      <c r="J3" s="243"/>
      <c r="K3" s="242"/>
      <c r="L3" s="242"/>
      <c r="M3" s="242"/>
      <c r="N3" s="242"/>
      <c r="O3" s="242"/>
      <c r="P3" s="242"/>
      <c r="Q3" s="243"/>
      <c r="R3" s="243"/>
      <c r="S3" s="243"/>
      <c r="T3" s="243"/>
      <c r="U3" s="243"/>
    </row>
    <row r="4">
      <c r="A4" s="15"/>
      <c r="B4" s="41"/>
      <c r="C4" s="41"/>
      <c r="D4" s="41"/>
      <c r="E4" s="41"/>
      <c r="F4" s="41"/>
      <c r="G4" s="508" t="s">
        <v>2814</v>
      </c>
      <c r="H4" s="508" t="s">
        <v>2815</v>
      </c>
      <c r="I4" s="41"/>
      <c r="J4" s="243"/>
      <c r="K4" s="242"/>
      <c r="L4" s="242"/>
      <c r="M4" s="242"/>
      <c r="N4" s="242"/>
      <c r="O4" s="242"/>
      <c r="P4" s="242"/>
      <c r="Q4" s="243"/>
      <c r="R4" s="243"/>
      <c r="S4" s="243"/>
      <c r="T4" s="243"/>
      <c r="U4" s="243"/>
    </row>
    <row r="5" ht="29.25" customHeight="1">
      <c r="A5" s="501"/>
      <c r="B5" s="503" t="s">
        <v>2971</v>
      </c>
      <c r="C5" s="45"/>
      <c r="D5" s="45"/>
      <c r="E5" s="45"/>
      <c r="F5" s="45"/>
      <c r="G5" s="45"/>
      <c r="H5" s="46"/>
      <c r="J5" s="243"/>
      <c r="K5" s="242"/>
      <c r="L5" s="242"/>
      <c r="M5" s="242"/>
      <c r="N5" s="242"/>
      <c r="O5" s="242"/>
      <c r="P5" s="242"/>
      <c r="Q5" s="243"/>
      <c r="R5" s="243"/>
      <c r="S5" s="243"/>
      <c r="T5" s="243"/>
      <c r="U5" s="243"/>
    </row>
    <row r="6">
      <c r="A6" s="15"/>
      <c r="B6" s="508">
        <v>110.0</v>
      </c>
      <c r="C6" s="508">
        <v>10.3</v>
      </c>
      <c r="D6" s="508" t="s">
        <v>2973</v>
      </c>
      <c r="E6" s="509">
        <v>2987.0</v>
      </c>
      <c r="F6" s="510">
        <f t="shared" ref="F6:F11" si="1">IFERROR(E6/C6,"")</f>
        <v>290</v>
      </c>
      <c r="G6" s="508">
        <v>3.2</v>
      </c>
      <c r="H6" s="508">
        <v>3.7</v>
      </c>
      <c r="I6" s="508">
        <v>10.3</v>
      </c>
      <c r="J6" s="243"/>
      <c r="K6" s="242"/>
      <c r="L6" s="242"/>
      <c r="M6" s="242"/>
      <c r="N6" s="242"/>
      <c r="O6" s="242"/>
      <c r="P6" s="242"/>
      <c r="Q6" s="243"/>
      <c r="R6" s="243"/>
      <c r="S6" s="243"/>
      <c r="T6" s="243"/>
      <c r="U6" s="243"/>
    </row>
    <row r="7">
      <c r="A7" s="15"/>
      <c r="B7" s="508">
        <v>125.0</v>
      </c>
      <c r="C7" s="508">
        <v>15.8</v>
      </c>
      <c r="D7" s="508" t="s">
        <v>2974</v>
      </c>
      <c r="E7" s="509">
        <v>4582.0</v>
      </c>
      <c r="F7" s="510">
        <f t="shared" si="1"/>
        <v>290</v>
      </c>
      <c r="G7" s="508">
        <v>3.7</v>
      </c>
      <c r="H7" s="508">
        <v>4.4</v>
      </c>
      <c r="I7" s="508">
        <v>15.8</v>
      </c>
      <c r="J7" s="243"/>
      <c r="K7" s="242"/>
      <c r="L7" s="242"/>
      <c r="M7" s="242"/>
      <c r="N7" s="242"/>
      <c r="O7" s="242"/>
      <c r="P7" s="242"/>
      <c r="Q7" s="243"/>
      <c r="R7" s="243"/>
      <c r="S7" s="243"/>
      <c r="T7" s="243"/>
      <c r="U7" s="243"/>
    </row>
    <row r="8">
      <c r="A8" s="15"/>
      <c r="B8" s="508">
        <v>160.0</v>
      </c>
      <c r="C8" s="508">
        <v>21.8</v>
      </c>
      <c r="D8" s="508" t="s">
        <v>2975</v>
      </c>
      <c r="E8" s="509">
        <v>6322.0</v>
      </c>
      <c r="F8" s="510">
        <f t="shared" si="1"/>
        <v>290</v>
      </c>
      <c r="G8" s="508">
        <v>4.7</v>
      </c>
      <c r="H8" s="508">
        <v>5.4</v>
      </c>
      <c r="I8" s="508">
        <v>21.8</v>
      </c>
      <c r="J8" s="243"/>
      <c r="K8" s="242"/>
      <c r="L8" s="242"/>
      <c r="M8" s="242"/>
      <c r="N8" s="242"/>
      <c r="O8" s="242"/>
      <c r="P8" s="242"/>
      <c r="Q8" s="243"/>
      <c r="R8" s="243"/>
      <c r="S8" s="243"/>
      <c r="T8" s="243"/>
      <c r="U8" s="243"/>
    </row>
    <row r="9">
      <c r="A9" s="15"/>
      <c r="B9" s="508">
        <v>200.0</v>
      </c>
      <c r="C9" s="508">
        <v>34.5</v>
      </c>
      <c r="D9" s="508" t="s">
        <v>2976</v>
      </c>
      <c r="E9" s="509">
        <v>10005.0</v>
      </c>
      <c r="F9" s="510">
        <f t="shared" si="1"/>
        <v>290</v>
      </c>
      <c r="G9" s="508">
        <v>5.9</v>
      </c>
      <c r="H9" s="508">
        <v>6.7</v>
      </c>
      <c r="I9" s="508">
        <v>34.5</v>
      </c>
      <c r="J9" s="243"/>
      <c r="K9" s="242"/>
      <c r="L9" s="242"/>
      <c r="M9" s="242"/>
      <c r="N9" s="242"/>
      <c r="O9" s="242"/>
      <c r="P9" s="242"/>
      <c r="Q9" s="243"/>
      <c r="R9" s="243"/>
      <c r="S9" s="243"/>
      <c r="T9" s="243"/>
      <c r="U9" s="243"/>
    </row>
    <row r="10">
      <c r="A10" s="15"/>
      <c r="B10" s="508">
        <v>250.0</v>
      </c>
      <c r="C10" s="508">
        <v>54.5</v>
      </c>
      <c r="D10" s="508" t="s">
        <v>2977</v>
      </c>
      <c r="E10" s="509">
        <v>15805.0</v>
      </c>
      <c r="F10" s="510">
        <f t="shared" si="1"/>
        <v>290</v>
      </c>
      <c r="G10" s="508">
        <v>7.3</v>
      </c>
      <c r="H10" s="508">
        <v>8.3</v>
      </c>
      <c r="I10" s="508">
        <v>54.5</v>
      </c>
      <c r="J10" s="243"/>
      <c r="K10" s="15"/>
      <c r="L10" s="15"/>
      <c r="M10" s="15"/>
      <c r="N10" s="15"/>
      <c r="O10" s="511"/>
      <c r="P10" s="511"/>
      <c r="Q10" s="243"/>
      <c r="R10" s="243"/>
      <c r="S10" s="243"/>
      <c r="T10" s="243"/>
      <c r="U10" s="243"/>
    </row>
    <row r="11">
      <c r="A11" s="15"/>
      <c r="B11" s="508">
        <v>315.0</v>
      </c>
      <c r="C11" s="512">
        <v>87.0</v>
      </c>
      <c r="D11" s="508" t="s">
        <v>2978</v>
      </c>
      <c r="E11" s="509">
        <v>25230.0</v>
      </c>
      <c r="F11" s="510">
        <f t="shared" si="1"/>
        <v>290</v>
      </c>
      <c r="G11" s="508">
        <v>9.2</v>
      </c>
      <c r="H11" s="508">
        <v>10.4</v>
      </c>
      <c r="I11" s="512">
        <v>87.0</v>
      </c>
      <c r="J11" s="243"/>
      <c r="K11" s="15"/>
      <c r="L11" s="15"/>
      <c r="M11" s="15"/>
      <c r="N11" s="15"/>
      <c r="O11" s="502"/>
      <c r="P11" s="502"/>
      <c r="Q11" s="243"/>
      <c r="R11" s="243"/>
      <c r="S11" s="243"/>
      <c r="T11" s="243"/>
      <c r="U11" s="243"/>
    </row>
    <row r="12">
      <c r="A12" s="15"/>
      <c r="B12" s="513"/>
      <c r="C12" s="513"/>
      <c r="D12" s="513"/>
      <c r="E12" s="513"/>
      <c r="F12" s="513"/>
      <c r="G12" s="513"/>
      <c r="H12" s="513"/>
      <c r="I12" s="513"/>
      <c r="J12" s="243"/>
      <c r="K12" s="15"/>
      <c r="L12" s="15"/>
      <c r="M12" s="15"/>
      <c r="N12" s="15"/>
      <c r="O12" s="243"/>
      <c r="P12" s="243"/>
      <c r="Q12" s="243"/>
      <c r="R12" s="243"/>
      <c r="S12" s="243"/>
      <c r="T12" s="243"/>
      <c r="U12" s="243"/>
    </row>
    <row r="13" ht="29.25" customHeight="1">
      <c r="A13" s="15"/>
      <c r="B13" s="503" t="s">
        <v>2980</v>
      </c>
      <c r="C13" s="45"/>
      <c r="D13" s="45"/>
      <c r="E13" s="45"/>
      <c r="F13" s="45"/>
      <c r="G13" s="45"/>
      <c r="H13" s="46"/>
      <c r="J13" s="243"/>
      <c r="K13" s="15"/>
      <c r="L13" s="15"/>
      <c r="M13" s="15"/>
      <c r="N13" s="15"/>
      <c r="O13" s="243"/>
      <c r="P13" s="243"/>
      <c r="Q13" s="243"/>
      <c r="R13" s="243"/>
      <c r="S13" s="243"/>
      <c r="T13" s="243"/>
      <c r="U13" s="243"/>
    </row>
    <row r="14">
      <c r="A14" s="15"/>
      <c r="B14" s="430">
        <v>110.0</v>
      </c>
      <c r="C14" s="430"/>
      <c r="D14" s="430" t="s">
        <v>2981</v>
      </c>
      <c r="E14" s="509">
        <v>2196.0</v>
      </c>
      <c r="F14" s="514"/>
      <c r="G14" s="508"/>
      <c r="H14" s="508"/>
      <c r="I14" s="430"/>
      <c r="J14" s="243"/>
      <c r="K14" s="15"/>
      <c r="L14" s="15"/>
      <c r="M14" s="15"/>
      <c r="N14" s="15"/>
      <c r="O14" s="243"/>
      <c r="P14" s="243"/>
      <c r="Q14" s="243"/>
      <c r="R14" s="243"/>
      <c r="S14" s="243"/>
      <c r="T14" s="243"/>
      <c r="U14" s="243"/>
    </row>
    <row r="15">
      <c r="A15" s="15"/>
      <c r="B15" s="430">
        <v>125.0</v>
      </c>
      <c r="C15" s="430"/>
      <c r="D15" s="430" t="s">
        <v>2982</v>
      </c>
      <c r="E15" s="509">
        <v>2896.0</v>
      </c>
      <c r="F15" s="514"/>
      <c r="G15" s="508"/>
      <c r="H15" s="508"/>
      <c r="I15" s="430"/>
      <c r="J15" s="243"/>
      <c r="K15" s="15"/>
      <c r="L15" s="15"/>
      <c r="M15" s="15"/>
      <c r="N15" s="15"/>
      <c r="O15" s="243"/>
      <c r="P15" s="243"/>
      <c r="Q15" s="243"/>
      <c r="R15" s="243"/>
      <c r="S15" s="243"/>
      <c r="T15" s="243"/>
      <c r="U15" s="243"/>
    </row>
    <row r="16">
      <c r="A16" s="15"/>
      <c r="B16" s="430">
        <v>160.0</v>
      </c>
      <c r="C16" s="430"/>
      <c r="D16" s="430" t="s">
        <v>2983</v>
      </c>
      <c r="E16" s="509">
        <v>4790.0</v>
      </c>
      <c r="F16" s="514"/>
      <c r="G16" s="508"/>
      <c r="H16" s="508"/>
      <c r="I16" s="430"/>
      <c r="J16" s="243"/>
      <c r="K16" s="15"/>
      <c r="L16" s="15"/>
      <c r="M16" s="15"/>
      <c r="N16" s="15"/>
      <c r="O16" s="243"/>
      <c r="P16" s="243"/>
      <c r="Q16" s="243"/>
      <c r="R16" s="243"/>
      <c r="S16" s="243"/>
      <c r="T16" s="243"/>
      <c r="U16" s="243"/>
    </row>
    <row r="17">
      <c r="A17" s="15"/>
      <c r="B17" s="430">
        <v>200.0</v>
      </c>
      <c r="C17" s="430"/>
      <c r="D17" s="430" t="s">
        <v>2984</v>
      </c>
      <c r="E17" s="509">
        <v>7368.0</v>
      </c>
      <c r="F17" s="514"/>
      <c r="G17" s="508"/>
      <c r="H17" s="508"/>
      <c r="I17" s="430"/>
      <c r="J17" s="243"/>
      <c r="K17" s="15"/>
      <c r="L17" s="15"/>
      <c r="M17" s="15"/>
      <c r="N17" s="15"/>
      <c r="O17" s="243"/>
      <c r="P17" s="243"/>
      <c r="Q17" s="243"/>
      <c r="R17" s="243"/>
      <c r="S17" s="243"/>
      <c r="T17" s="243"/>
      <c r="U17" s="243"/>
    </row>
    <row r="18">
      <c r="A18" s="15"/>
      <c r="B18" s="15"/>
      <c r="C18" s="15"/>
      <c r="D18" s="15"/>
      <c r="E18" s="15"/>
      <c r="F18" s="15"/>
      <c r="G18" s="15"/>
      <c r="H18" s="15"/>
      <c r="I18" s="15"/>
      <c r="J18" s="243"/>
      <c r="K18" s="15"/>
      <c r="L18" s="15"/>
      <c r="M18" s="15"/>
      <c r="N18" s="15"/>
      <c r="O18" s="243"/>
      <c r="P18" s="243"/>
      <c r="Q18" s="243"/>
      <c r="R18" s="243"/>
      <c r="S18" s="243"/>
      <c r="T18" s="243"/>
      <c r="U18" s="243"/>
    </row>
    <row r="19">
      <c r="A19" s="15"/>
      <c r="B19" s="15"/>
      <c r="C19" s="15"/>
      <c r="D19" s="15"/>
      <c r="E19" s="15"/>
      <c r="F19" s="15"/>
      <c r="G19" s="15"/>
      <c r="H19" s="15"/>
      <c r="I19" s="15"/>
      <c r="J19" s="243"/>
      <c r="K19" s="15"/>
      <c r="L19" s="15"/>
      <c r="M19" s="15"/>
      <c r="N19" s="15"/>
      <c r="O19" s="243"/>
      <c r="P19" s="243"/>
      <c r="Q19" s="243"/>
      <c r="R19" s="243"/>
      <c r="S19" s="243"/>
      <c r="T19" s="243"/>
      <c r="U19" s="243"/>
    </row>
    <row r="20">
      <c r="A20" s="15"/>
      <c r="B20" s="15"/>
      <c r="C20" s="15"/>
      <c r="D20" s="15"/>
      <c r="E20" s="15"/>
      <c r="F20" s="15"/>
      <c r="G20" s="15"/>
      <c r="H20" s="15"/>
      <c r="I20" s="15"/>
      <c r="J20" s="243"/>
      <c r="K20" s="15"/>
      <c r="L20" s="15"/>
      <c r="M20" s="15"/>
      <c r="N20" s="15"/>
      <c r="O20" s="243"/>
      <c r="P20" s="243"/>
      <c r="Q20" s="243"/>
      <c r="R20" s="243"/>
      <c r="S20" s="243"/>
      <c r="T20" s="243"/>
      <c r="U20" s="243"/>
    </row>
    <row r="21">
      <c r="A21" s="15"/>
      <c r="B21" s="15"/>
      <c r="C21" s="15"/>
      <c r="D21" s="15"/>
      <c r="E21" s="15"/>
      <c r="F21" s="15"/>
      <c r="G21" s="15"/>
      <c r="H21" s="15"/>
      <c r="I21" s="15"/>
      <c r="J21" s="243"/>
      <c r="K21" s="15"/>
      <c r="L21" s="15"/>
      <c r="M21" s="15"/>
      <c r="N21" s="15"/>
      <c r="O21" s="243"/>
      <c r="P21" s="243"/>
      <c r="Q21" s="243"/>
      <c r="R21" s="243"/>
      <c r="S21" s="243"/>
      <c r="T21" s="243"/>
      <c r="U21" s="243"/>
    </row>
    <row r="22">
      <c r="A22" s="15"/>
      <c r="B22" s="15"/>
      <c r="C22" s="15"/>
      <c r="D22" s="15"/>
      <c r="E22" s="15"/>
      <c r="F22" s="15"/>
      <c r="G22" s="15"/>
      <c r="H22" s="15"/>
      <c r="I22" s="15"/>
      <c r="J22" s="243"/>
      <c r="K22" s="15"/>
      <c r="L22" s="15"/>
      <c r="M22" s="15"/>
      <c r="N22" s="15"/>
      <c r="O22" s="243"/>
      <c r="P22" s="243"/>
      <c r="Q22" s="243"/>
      <c r="R22" s="243"/>
      <c r="S22" s="243"/>
      <c r="T22" s="243"/>
      <c r="U22" s="243"/>
    </row>
    <row r="23">
      <c r="A23" s="15"/>
      <c r="B23" s="15"/>
      <c r="C23" s="15"/>
      <c r="D23" s="15"/>
      <c r="E23" s="15"/>
      <c r="F23" s="15"/>
      <c r="G23" s="15"/>
      <c r="H23" s="15"/>
      <c r="I23" s="15"/>
      <c r="J23" s="243"/>
      <c r="K23" s="15"/>
      <c r="L23" s="15"/>
      <c r="M23" s="15"/>
      <c r="N23" s="15"/>
      <c r="O23" s="243"/>
      <c r="P23" s="243"/>
      <c r="Q23" s="243"/>
      <c r="R23" s="243"/>
      <c r="S23" s="243"/>
      <c r="T23" s="243"/>
      <c r="U23" s="243"/>
    </row>
    <row r="24">
      <c r="A24" s="15"/>
      <c r="B24" s="15"/>
      <c r="C24" s="15"/>
      <c r="D24" s="15"/>
      <c r="E24" s="15"/>
      <c r="F24" s="15"/>
      <c r="G24" s="15"/>
      <c r="H24" s="15"/>
      <c r="I24" s="15"/>
      <c r="J24" s="243"/>
      <c r="K24" s="15"/>
      <c r="L24" s="15"/>
      <c r="M24" s="15"/>
      <c r="N24" s="15"/>
      <c r="O24" s="243"/>
      <c r="P24" s="243"/>
      <c r="Q24" s="243"/>
      <c r="R24" s="243"/>
      <c r="S24" s="243"/>
      <c r="T24" s="243"/>
      <c r="U24" s="243"/>
    </row>
    <row r="25">
      <c r="A25" s="15"/>
      <c r="B25" s="15"/>
      <c r="C25" s="15"/>
      <c r="D25" s="15"/>
      <c r="E25" s="15"/>
      <c r="F25" s="15"/>
      <c r="G25" s="15"/>
      <c r="H25" s="15"/>
      <c r="I25" s="15"/>
      <c r="J25" s="243"/>
      <c r="K25" s="15"/>
      <c r="L25" s="15"/>
      <c r="M25" s="15"/>
      <c r="N25" s="15"/>
      <c r="O25" s="243"/>
      <c r="P25" s="243"/>
      <c r="Q25" s="243"/>
      <c r="R25" s="243"/>
      <c r="S25" s="243"/>
      <c r="T25" s="243"/>
      <c r="U25" s="243"/>
    </row>
    <row r="26">
      <c r="A26" s="15"/>
      <c r="B26" s="15"/>
      <c r="C26" s="15"/>
      <c r="D26" s="15"/>
      <c r="E26" s="15"/>
      <c r="F26" s="15"/>
      <c r="G26" s="15"/>
      <c r="H26" s="15"/>
      <c r="I26" s="15"/>
      <c r="J26" s="243"/>
      <c r="K26" s="15"/>
      <c r="L26" s="15"/>
      <c r="M26" s="15"/>
      <c r="N26" s="15"/>
      <c r="O26" s="243"/>
      <c r="P26" s="243"/>
      <c r="Q26" s="243"/>
      <c r="R26" s="243"/>
      <c r="S26" s="243"/>
      <c r="T26" s="243"/>
      <c r="U26" s="243"/>
    </row>
    <row r="27">
      <c r="A27" s="15"/>
      <c r="B27" s="15"/>
      <c r="C27" s="15"/>
      <c r="D27" s="15"/>
      <c r="E27" s="15"/>
      <c r="F27" s="15"/>
      <c r="G27" s="15"/>
      <c r="H27" s="15"/>
      <c r="I27" s="15"/>
      <c r="J27" s="243"/>
      <c r="K27" s="15"/>
      <c r="L27" s="15"/>
      <c r="M27" s="15"/>
      <c r="N27" s="15"/>
      <c r="O27" s="243"/>
      <c r="P27" s="243"/>
      <c r="Q27" s="243"/>
      <c r="R27" s="243"/>
      <c r="S27" s="243"/>
      <c r="T27" s="243"/>
      <c r="U27" s="243"/>
    </row>
    <row r="28">
      <c r="A28" s="15"/>
      <c r="B28" s="15"/>
      <c r="C28" s="15"/>
      <c r="D28" s="15"/>
      <c r="E28" s="15"/>
      <c r="F28" s="15"/>
      <c r="G28" s="15"/>
      <c r="H28" s="15"/>
      <c r="I28" s="15"/>
      <c r="J28" s="243"/>
      <c r="K28" s="15"/>
      <c r="L28" s="15"/>
      <c r="M28" s="15"/>
      <c r="N28" s="15"/>
      <c r="O28" s="243"/>
      <c r="P28" s="243"/>
      <c r="Q28" s="243"/>
      <c r="R28" s="243"/>
      <c r="S28" s="243"/>
      <c r="T28" s="243"/>
      <c r="U28" s="243"/>
    </row>
    <row r="29">
      <c r="A29" s="15"/>
      <c r="B29" s="15"/>
      <c r="C29" s="15"/>
      <c r="D29" s="15"/>
      <c r="E29" s="15"/>
      <c r="F29" s="15"/>
      <c r="G29" s="15"/>
      <c r="H29" s="15"/>
      <c r="I29" s="15"/>
      <c r="J29" s="243"/>
      <c r="K29" s="15"/>
      <c r="L29" s="15"/>
      <c r="M29" s="15"/>
      <c r="N29" s="15"/>
      <c r="O29" s="243"/>
      <c r="P29" s="243"/>
      <c r="Q29" s="243"/>
      <c r="R29" s="243"/>
      <c r="S29" s="243"/>
      <c r="T29" s="243"/>
      <c r="U29" s="243"/>
    </row>
    <row r="30">
      <c r="A30" s="15"/>
      <c r="B30" s="15"/>
      <c r="C30" s="15"/>
      <c r="D30" s="15"/>
      <c r="E30" s="15"/>
      <c r="F30" s="15"/>
      <c r="G30" s="15"/>
      <c r="H30" s="15"/>
      <c r="I30" s="15"/>
      <c r="J30" s="243"/>
      <c r="K30" s="15"/>
      <c r="L30" s="15"/>
      <c r="M30" s="15"/>
      <c r="N30" s="15"/>
      <c r="O30" s="243"/>
      <c r="P30" s="243"/>
      <c r="Q30" s="243"/>
      <c r="R30" s="243"/>
      <c r="S30" s="243"/>
      <c r="T30" s="243"/>
      <c r="U30" s="243"/>
    </row>
    <row r="31">
      <c r="A31" s="15"/>
      <c r="B31" s="15"/>
      <c r="C31" s="15"/>
      <c r="D31" s="15"/>
      <c r="E31" s="15"/>
      <c r="F31" s="15"/>
      <c r="G31" s="15"/>
      <c r="H31" s="15"/>
      <c r="I31" s="15"/>
      <c r="J31" s="243"/>
      <c r="K31" s="15"/>
      <c r="L31" s="15"/>
      <c r="M31" s="15"/>
      <c r="N31" s="15"/>
      <c r="O31" s="243"/>
      <c r="P31" s="243"/>
      <c r="Q31" s="243"/>
      <c r="R31" s="243"/>
      <c r="S31" s="243"/>
      <c r="T31" s="243"/>
      <c r="U31" s="243"/>
    </row>
    <row r="32">
      <c r="A32" s="15"/>
      <c r="B32" s="15"/>
      <c r="C32" s="15"/>
      <c r="D32" s="15"/>
      <c r="E32" s="15"/>
      <c r="F32" s="15"/>
      <c r="G32" s="15"/>
      <c r="H32" s="15"/>
      <c r="I32" s="15"/>
      <c r="J32" s="243"/>
      <c r="K32" s="15"/>
      <c r="L32" s="15"/>
      <c r="M32" s="15"/>
      <c r="N32" s="15"/>
      <c r="O32" s="243"/>
      <c r="P32" s="243"/>
      <c r="Q32" s="243"/>
      <c r="R32" s="243"/>
      <c r="S32" s="243"/>
      <c r="T32" s="243"/>
      <c r="U32" s="243"/>
    </row>
    <row r="33">
      <c r="A33" s="15"/>
      <c r="B33" s="15"/>
      <c r="C33" s="15"/>
      <c r="D33" s="15"/>
      <c r="E33" s="15"/>
      <c r="F33" s="15"/>
      <c r="G33" s="15"/>
      <c r="H33" s="15"/>
      <c r="I33" s="15"/>
      <c r="J33" s="243"/>
      <c r="K33" s="15"/>
      <c r="L33" s="15"/>
      <c r="M33" s="15"/>
      <c r="N33" s="15"/>
      <c r="O33" s="243"/>
      <c r="P33" s="243"/>
      <c r="Q33" s="243"/>
      <c r="R33" s="243"/>
      <c r="S33" s="243"/>
      <c r="T33" s="243"/>
      <c r="U33" s="243"/>
    </row>
    <row r="34">
      <c r="A34" s="15"/>
      <c r="B34" s="15"/>
      <c r="C34" s="15"/>
      <c r="D34" s="15"/>
      <c r="E34" s="15"/>
      <c r="F34" s="15"/>
      <c r="G34" s="15"/>
      <c r="H34" s="15"/>
      <c r="I34" s="15"/>
      <c r="J34" s="243"/>
      <c r="K34" s="15"/>
      <c r="L34" s="15"/>
      <c r="M34" s="15"/>
      <c r="N34" s="15"/>
      <c r="O34" s="243"/>
      <c r="P34" s="243"/>
      <c r="Q34" s="243"/>
      <c r="R34" s="243"/>
      <c r="S34" s="243"/>
      <c r="T34" s="243"/>
      <c r="U34" s="243"/>
    </row>
    <row r="35">
      <c r="A35" s="15"/>
      <c r="B35" s="15"/>
      <c r="C35" s="15"/>
      <c r="D35" s="15"/>
      <c r="E35" s="15"/>
      <c r="F35" s="15"/>
      <c r="G35" s="15"/>
      <c r="H35" s="15"/>
      <c r="I35" s="15"/>
      <c r="J35" s="243"/>
      <c r="K35" s="15"/>
      <c r="L35" s="15"/>
      <c r="M35" s="15"/>
      <c r="N35" s="15"/>
      <c r="O35" s="243"/>
      <c r="P35" s="243"/>
      <c r="Q35" s="243"/>
      <c r="R35" s="243"/>
      <c r="S35" s="243"/>
      <c r="T35" s="243"/>
      <c r="U35" s="243"/>
    </row>
    <row r="36">
      <c r="A36" s="15"/>
      <c r="B36" s="15"/>
      <c r="C36" s="15"/>
      <c r="D36" s="15"/>
      <c r="E36" s="15"/>
      <c r="F36" s="15"/>
      <c r="G36" s="15"/>
      <c r="H36" s="15"/>
      <c r="I36" s="15"/>
      <c r="J36" s="243"/>
      <c r="K36" s="15"/>
      <c r="L36" s="15"/>
      <c r="M36" s="15"/>
      <c r="N36" s="15"/>
      <c r="O36" s="243"/>
      <c r="P36" s="243"/>
      <c r="Q36" s="243"/>
      <c r="R36" s="243"/>
      <c r="S36" s="243"/>
      <c r="T36" s="243"/>
      <c r="U36" s="243"/>
    </row>
    <row r="37">
      <c r="A37" s="15"/>
      <c r="B37" s="15"/>
      <c r="C37" s="15"/>
      <c r="D37" s="15"/>
      <c r="E37" s="15"/>
      <c r="F37" s="15"/>
      <c r="G37" s="15"/>
      <c r="H37" s="15"/>
      <c r="I37" s="15"/>
      <c r="J37" s="243"/>
      <c r="K37" s="15"/>
      <c r="L37" s="15"/>
      <c r="M37" s="15"/>
      <c r="N37" s="15"/>
      <c r="O37" s="243"/>
      <c r="P37" s="243"/>
      <c r="Q37" s="243"/>
      <c r="R37" s="243"/>
      <c r="S37" s="243"/>
      <c r="T37" s="243"/>
      <c r="U37" s="243"/>
    </row>
    <row r="38">
      <c r="A38" s="15"/>
      <c r="B38" s="15"/>
      <c r="C38" s="15"/>
      <c r="D38" s="15"/>
      <c r="E38" s="15"/>
      <c r="F38" s="15"/>
      <c r="G38" s="15"/>
      <c r="H38" s="15"/>
      <c r="I38" s="15"/>
      <c r="J38" s="243"/>
      <c r="K38" s="15"/>
      <c r="L38" s="15"/>
      <c r="M38" s="15"/>
      <c r="N38" s="15"/>
      <c r="O38" s="243"/>
      <c r="P38" s="243"/>
      <c r="Q38" s="243"/>
      <c r="R38" s="243"/>
      <c r="S38" s="243"/>
      <c r="T38" s="243"/>
      <c r="U38" s="243"/>
    </row>
    <row r="39">
      <c r="A39" s="15"/>
      <c r="B39" s="15"/>
      <c r="C39" s="15"/>
      <c r="D39" s="15"/>
      <c r="E39" s="15"/>
      <c r="F39" s="15"/>
      <c r="G39" s="15"/>
      <c r="H39" s="15"/>
      <c r="I39" s="15"/>
      <c r="J39" s="243"/>
      <c r="K39" s="15"/>
      <c r="L39" s="15"/>
      <c r="M39" s="15"/>
      <c r="N39" s="15"/>
      <c r="O39" s="243"/>
      <c r="P39" s="243"/>
      <c r="Q39" s="243"/>
      <c r="R39" s="243"/>
      <c r="S39" s="243"/>
      <c r="T39" s="243"/>
      <c r="U39" s="243"/>
    </row>
    <row r="40">
      <c r="A40" s="15"/>
      <c r="B40" s="15"/>
      <c r="C40" s="15"/>
      <c r="D40" s="15"/>
      <c r="E40" s="15"/>
      <c r="F40" s="15"/>
      <c r="G40" s="15"/>
      <c r="H40" s="15"/>
      <c r="I40" s="15"/>
      <c r="J40" s="243"/>
      <c r="K40" s="15"/>
      <c r="L40" s="15"/>
      <c r="M40" s="15"/>
      <c r="N40" s="15"/>
      <c r="O40" s="243"/>
      <c r="P40" s="243"/>
      <c r="Q40" s="243"/>
      <c r="R40" s="243"/>
      <c r="S40" s="243"/>
      <c r="T40" s="243"/>
      <c r="U40" s="243"/>
    </row>
    <row r="41">
      <c r="A41" s="15"/>
      <c r="B41" s="15"/>
      <c r="C41" s="15"/>
      <c r="D41" s="15"/>
      <c r="E41" s="15"/>
      <c r="F41" s="15"/>
      <c r="G41" s="15"/>
      <c r="H41" s="15"/>
      <c r="I41" s="15"/>
      <c r="J41" s="243"/>
      <c r="K41" s="15"/>
      <c r="L41" s="15"/>
      <c r="M41" s="15"/>
      <c r="N41" s="15"/>
      <c r="O41" s="243"/>
      <c r="P41" s="243"/>
      <c r="Q41" s="243"/>
      <c r="R41" s="243"/>
      <c r="S41" s="243"/>
      <c r="T41" s="243"/>
      <c r="U41" s="243"/>
    </row>
    <row r="42">
      <c r="A42" s="15"/>
      <c r="B42" s="15"/>
      <c r="C42" s="15"/>
      <c r="D42" s="15"/>
      <c r="E42" s="15"/>
      <c r="F42" s="15"/>
      <c r="G42" s="15"/>
      <c r="H42" s="15"/>
      <c r="I42" s="15"/>
      <c r="J42" s="243"/>
      <c r="K42" s="15"/>
      <c r="L42" s="15"/>
      <c r="M42" s="15"/>
      <c r="N42" s="15"/>
      <c r="O42" s="243"/>
      <c r="P42" s="243"/>
      <c r="Q42" s="243"/>
      <c r="R42" s="243"/>
      <c r="S42" s="243"/>
      <c r="T42" s="243"/>
      <c r="U42" s="243"/>
    </row>
    <row r="43">
      <c r="A43" s="15"/>
      <c r="B43" s="15"/>
      <c r="C43" s="15"/>
      <c r="D43" s="15"/>
      <c r="E43" s="15"/>
      <c r="F43" s="15"/>
      <c r="G43" s="15"/>
      <c r="H43" s="15"/>
      <c r="I43" s="15"/>
      <c r="J43" s="243"/>
      <c r="K43" s="15"/>
      <c r="L43" s="15"/>
      <c r="M43" s="15"/>
      <c r="N43" s="15"/>
      <c r="O43" s="243"/>
      <c r="P43" s="243"/>
      <c r="Q43" s="243"/>
      <c r="R43" s="243"/>
      <c r="S43" s="243"/>
      <c r="T43" s="243"/>
      <c r="U43" s="243"/>
    </row>
    <row r="44">
      <c r="A44" s="15"/>
      <c r="B44" s="15"/>
      <c r="C44" s="15"/>
      <c r="D44" s="15"/>
      <c r="E44" s="15"/>
      <c r="F44" s="15"/>
      <c r="G44" s="15"/>
      <c r="H44" s="15"/>
      <c r="I44" s="15"/>
      <c r="J44" s="243"/>
      <c r="K44" s="15"/>
      <c r="L44" s="15"/>
      <c r="M44" s="15"/>
      <c r="N44" s="15"/>
      <c r="O44" s="243"/>
      <c r="P44" s="243"/>
      <c r="Q44" s="243"/>
      <c r="R44" s="243"/>
      <c r="S44" s="243"/>
      <c r="T44" s="243"/>
      <c r="U44" s="243"/>
    </row>
    <row r="45">
      <c r="A45" s="15"/>
      <c r="B45" s="15"/>
      <c r="C45" s="15"/>
      <c r="D45" s="15"/>
      <c r="E45" s="15"/>
      <c r="F45" s="15"/>
      <c r="G45" s="15"/>
      <c r="H45" s="15"/>
      <c r="I45" s="15"/>
      <c r="J45" s="243"/>
      <c r="K45" s="15"/>
      <c r="L45" s="15"/>
      <c r="M45" s="15"/>
      <c r="N45" s="15"/>
      <c r="O45" s="243"/>
      <c r="P45" s="243"/>
      <c r="Q45" s="243"/>
      <c r="R45" s="243"/>
      <c r="S45" s="243"/>
      <c r="T45" s="243"/>
      <c r="U45" s="243"/>
    </row>
    <row r="46">
      <c r="A46" s="15"/>
      <c r="B46" s="15"/>
      <c r="C46" s="15"/>
      <c r="D46" s="15"/>
      <c r="E46" s="15"/>
      <c r="F46" s="15"/>
      <c r="G46" s="15"/>
      <c r="H46" s="15"/>
      <c r="I46" s="15"/>
      <c r="J46" s="243"/>
      <c r="K46" s="15"/>
      <c r="L46" s="15"/>
      <c r="M46" s="15"/>
      <c r="N46" s="15"/>
      <c r="O46" s="243"/>
      <c r="P46" s="243"/>
      <c r="Q46" s="243"/>
      <c r="R46" s="243"/>
      <c r="S46" s="243"/>
      <c r="T46" s="243"/>
      <c r="U46" s="243"/>
    </row>
    <row r="47">
      <c r="A47" s="15"/>
      <c r="B47" s="15"/>
      <c r="C47" s="15"/>
      <c r="D47" s="15"/>
      <c r="E47" s="15"/>
      <c r="F47" s="15"/>
      <c r="G47" s="15"/>
      <c r="H47" s="15"/>
      <c r="I47" s="15"/>
      <c r="J47" s="243"/>
      <c r="K47" s="15"/>
      <c r="L47" s="15"/>
      <c r="M47" s="15"/>
      <c r="N47" s="15"/>
      <c r="O47" s="243"/>
      <c r="P47" s="243"/>
      <c r="Q47" s="243"/>
      <c r="R47" s="243"/>
      <c r="S47" s="243"/>
      <c r="T47" s="243"/>
      <c r="U47" s="243"/>
    </row>
    <row r="48">
      <c r="A48" s="15"/>
      <c r="B48" s="15"/>
      <c r="C48" s="15"/>
      <c r="D48" s="15"/>
      <c r="E48" s="15"/>
      <c r="F48" s="15"/>
      <c r="G48" s="15"/>
      <c r="H48" s="15"/>
      <c r="I48" s="15"/>
      <c r="J48" s="243"/>
      <c r="K48" s="15"/>
      <c r="L48" s="15"/>
      <c r="M48" s="15"/>
      <c r="N48" s="15"/>
      <c r="O48" s="243"/>
      <c r="P48" s="243"/>
      <c r="Q48" s="243"/>
      <c r="R48" s="243"/>
      <c r="S48" s="243"/>
      <c r="T48" s="243"/>
      <c r="U48" s="243"/>
    </row>
    <row r="49">
      <c r="A49" s="15"/>
      <c r="B49" s="15"/>
      <c r="C49" s="15"/>
      <c r="D49" s="15"/>
      <c r="E49" s="15"/>
      <c r="F49" s="15"/>
      <c r="G49" s="15"/>
      <c r="H49" s="15"/>
      <c r="I49" s="15"/>
      <c r="J49" s="243"/>
      <c r="K49" s="15"/>
      <c r="L49" s="15"/>
      <c r="M49" s="15"/>
      <c r="N49" s="15"/>
      <c r="O49" s="243"/>
      <c r="P49" s="243"/>
      <c r="Q49" s="243"/>
      <c r="R49" s="243"/>
      <c r="S49" s="243"/>
      <c r="T49" s="243"/>
      <c r="U49" s="243"/>
    </row>
    <row r="50">
      <c r="A50" s="15"/>
      <c r="B50" s="15"/>
      <c r="C50" s="15"/>
      <c r="D50" s="15"/>
      <c r="E50" s="15"/>
      <c r="F50" s="15"/>
      <c r="G50" s="15"/>
      <c r="H50" s="15"/>
      <c r="I50" s="15"/>
      <c r="J50" s="243"/>
      <c r="K50" s="15"/>
      <c r="L50" s="15"/>
      <c r="M50" s="15"/>
      <c r="N50" s="15"/>
      <c r="O50" s="243"/>
      <c r="P50" s="243"/>
      <c r="Q50" s="243"/>
      <c r="R50" s="243"/>
      <c r="S50" s="243"/>
      <c r="T50" s="243"/>
      <c r="U50" s="243"/>
    </row>
    <row r="51">
      <c r="A51" s="15"/>
      <c r="B51" s="15"/>
      <c r="C51" s="15"/>
      <c r="D51" s="15"/>
      <c r="E51" s="15"/>
      <c r="F51" s="15"/>
      <c r="G51" s="15"/>
      <c r="H51" s="15"/>
      <c r="I51" s="15"/>
      <c r="J51" s="243"/>
      <c r="K51" s="15"/>
      <c r="L51" s="15"/>
      <c r="M51" s="15"/>
      <c r="N51" s="15"/>
      <c r="O51" s="243"/>
      <c r="P51" s="243"/>
      <c r="Q51" s="243"/>
      <c r="R51" s="243"/>
      <c r="S51" s="243"/>
      <c r="T51" s="243"/>
      <c r="U51" s="243"/>
    </row>
    <row r="52">
      <c r="A52" s="15"/>
      <c r="B52" s="15"/>
      <c r="C52" s="15"/>
      <c r="D52" s="15"/>
      <c r="E52" s="15"/>
      <c r="F52" s="15"/>
      <c r="G52" s="15"/>
      <c r="H52" s="15"/>
      <c r="I52" s="15"/>
      <c r="J52" s="243"/>
      <c r="K52" s="15"/>
      <c r="L52" s="15"/>
      <c r="M52" s="15"/>
      <c r="N52" s="15"/>
      <c r="O52" s="243"/>
      <c r="P52" s="243"/>
      <c r="Q52" s="243"/>
      <c r="R52" s="243"/>
      <c r="S52" s="243"/>
      <c r="T52" s="243"/>
      <c r="U52" s="243"/>
    </row>
    <row r="53">
      <c r="A53" s="15"/>
      <c r="B53" s="15"/>
      <c r="C53" s="15"/>
      <c r="D53" s="15"/>
      <c r="E53" s="15"/>
      <c r="F53" s="15"/>
      <c r="G53" s="15"/>
      <c r="H53" s="15"/>
      <c r="I53" s="15"/>
      <c r="J53" s="243"/>
      <c r="K53" s="15"/>
      <c r="L53" s="15"/>
      <c r="M53" s="15"/>
      <c r="N53" s="15"/>
      <c r="O53" s="243"/>
      <c r="P53" s="243"/>
      <c r="Q53" s="243"/>
      <c r="R53" s="243"/>
      <c r="S53" s="243"/>
      <c r="T53" s="243"/>
      <c r="U53" s="243"/>
    </row>
    <row r="54">
      <c r="A54" s="15"/>
      <c r="B54" s="15"/>
      <c r="C54" s="15"/>
      <c r="D54" s="15"/>
      <c r="E54" s="15"/>
      <c r="F54" s="15"/>
      <c r="G54" s="15"/>
      <c r="H54" s="15"/>
      <c r="I54" s="15"/>
      <c r="J54" s="243"/>
      <c r="K54" s="15"/>
      <c r="L54" s="15"/>
      <c r="M54" s="15"/>
      <c r="N54" s="15"/>
      <c r="O54" s="243"/>
      <c r="P54" s="243"/>
      <c r="Q54" s="243"/>
      <c r="R54" s="243"/>
      <c r="S54" s="243"/>
      <c r="T54" s="243"/>
      <c r="U54" s="243"/>
    </row>
    <row r="55">
      <c r="A55" s="15"/>
      <c r="B55" s="15"/>
      <c r="C55" s="15"/>
      <c r="D55" s="15"/>
      <c r="E55" s="15"/>
      <c r="F55" s="15"/>
      <c r="G55" s="15"/>
      <c r="H55" s="15"/>
      <c r="I55" s="15"/>
      <c r="J55" s="243"/>
      <c r="K55" s="15"/>
      <c r="L55" s="15"/>
      <c r="M55" s="15"/>
      <c r="N55" s="15"/>
      <c r="O55" s="243"/>
      <c r="P55" s="243"/>
      <c r="Q55" s="243"/>
      <c r="R55" s="243"/>
      <c r="S55" s="243"/>
      <c r="T55" s="243"/>
      <c r="U55" s="243"/>
    </row>
    <row r="56">
      <c r="A56" s="15"/>
      <c r="B56" s="15"/>
      <c r="C56" s="15"/>
      <c r="D56" s="15"/>
      <c r="E56" s="15"/>
      <c r="F56" s="15"/>
      <c r="G56" s="15"/>
      <c r="H56" s="15"/>
      <c r="I56" s="15"/>
      <c r="J56" s="243"/>
      <c r="K56" s="15"/>
      <c r="L56" s="15"/>
      <c r="M56" s="15"/>
      <c r="N56" s="15"/>
      <c r="O56" s="243"/>
      <c r="P56" s="243"/>
      <c r="Q56" s="243"/>
      <c r="R56" s="243"/>
      <c r="S56" s="243"/>
      <c r="T56" s="243"/>
      <c r="U56" s="243"/>
    </row>
    <row r="57">
      <c r="A57" s="15"/>
      <c r="B57" s="15"/>
      <c r="C57" s="15"/>
      <c r="D57" s="15"/>
      <c r="E57" s="15"/>
      <c r="F57" s="15"/>
      <c r="G57" s="15"/>
      <c r="H57" s="15"/>
      <c r="I57" s="15"/>
      <c r="J57" s="243"/>
      <c r="K57" s="15"/>
      <c r="L57" s="15"/>
      <c r="M57" s="15"/>
      <c r="N57" s="15"/>
      <c r="O57" s="243"/>
      <c r="P57" s="243"/>
      <c r="Q57" s="243"/>
      <c r="R57" s="243"/>
      <c r="S57" s="243"/>
      <c r="T57" s="243"/>
      <c r="U57" s="243"/>
    </row>
    <row r="58">
      <c r="A58" s="15"/>
      <c r="B58" s="15"/>
      <c r="C58" s="15"/>
      <c r="D58" s="15"/>
      <c r="E58" s="15"/>
      <c r="F58" s="15"/>
      <c r="G58" s="15"/>
      <c r="H58" s="15"/>
      <c r="I58" s="15"/>
      <c r="J58" s="243"/>
      <c r="K58" s="15"/>
      <c r="L58" s="15"/>
      <c r="M58" s="15"/>
      <c r="N58" s="15"/>
      <c r="O58" s="243"/>
      <c r="P58" s="243"/>
      <c r="Q58" s="243"/>
      <c r="R58" s="243"/>
      <c r="S58" s="243"/>
      <c r="T58" s="243"/>
      <c r="U58" s="243"/>
    </row>
    <row r="59">
      <c r="A59" s="15"/>
      <c r="B59" s="15"/>
      <c r="C59" s="15"/>
      <c r="D59" s="15"/>
      <c r="E59" s="15"/>
      <c r="F59" s="15"/>
      <c r="G59" s="15"/>
      <c r="H59" s="15"/>
      <c r="I59" s="15"/>
      <c r="J59" s="243"/>
      <c r="K59" s="15"/>
      <c r="L59" s="15"/>
      <c r="M59" s="15"/>
      <c r="N59" s="15"/>
      <c r="O59" s="243"/>
      <c r="P59" s="243"/>
      <c r="Q59" s="243"/>
      <c r="R59" s="243"/>
      <c r="S59" s="243"/>
      <c r="T59" s="243"/>
      <c r="U59" s="243"/>
    </row>
    <row r="60">
      <c r="A60" s="15"/>
      <c r="B60" s="15"/>
      <c r="C60" s="15"/>
      <c r="D60" s="15"/>
      <c r="E60" s="15"/>
      <c r="F60" s="15"/>
      <c r="G60" s="15"/>
      <c r="H60" s="15"/>
      <c r="I60" s="15"/>
      <c r="J60" s="243"/>
      <c r="K60" s="15"/>
      <c r="L60" s="15"/>
      <c r="M60" s="15"/>
      <c r="N60" s="15"/>
      <c r="O60" s="243"/>
      <c r="P60" s="243"/>
      <c r="Q60" s="243"/>
      <c r="R60" s="243"/>
      <c r="S60" s="243"/>
      <c r="T60" s="243"/>
      <c r="U60" s="243"/>
    </row>
    <row r="61">
      <c r="A61" s="15"/>
      <c r="B61" s="15"/>
      <c r="C61" s="15"/>
      <c r="D61" s="15"/>
      <c r="E61" s="15"/>
      <c r="F61" s="15"/>
      <c r="G61" s="15"/>
      <c r="H61" s="15"/>
      <c r="I61" s="15"/>
      <c r="J61" s="243"/>
      <c r="K61" s="15"/>
      <c r="L61" s="15"/>
      <c r="M61" s="15"/>
      <c r="N61" s="15"/>
      <c r="O61" s="243"/>
      <c r="P61" s="243"/>
      <c r="Q61" s="243"/>
      <c r="R61" s="243"/>
      <c r="S61" s="243"/>
      <c r="T61" s="243"/>
      <c r="U61" s="243"/>
    </row>
    <row r="62">
      <c r="A62" s="15"/>
      <c r="B62" s="15"/>
      <c r="C62" s="15"/>
      <c r="D62" s="15"/>
      <c r="E62" s="15"/>
      <c r="F62" s="15"/>
      <c r="G62" s="15"/>
      <c r="H62" s="15"/>
      <c r="I62" s="15"/>
      <c r="J62" s="243"/>
      <c r="K62" s="15"/>
      <c r="L62" s="15"/>
      <c r="M62" s="15"/>
      <c r="N62" s="15"/>
      <c r="O62" s="243"/>
      <c r="P62" s="243"/>
      <c r="Q62" s="243"/>
      <c r="R62" s="243"/>
      <c r="S62" s="243"/>
      <c r="T62" s="243"/>
      <c r="U62" s="243"/>
    </row>
    <row r="63">
      <c r="A63" s="15"/>
      <c r="B63" s="15"/>
      <c r="C63" s="15"/>
      <c r="D63" s="15"/>
      <c r="E63" s="15"/>
      <c r="F63" s="15"/>
      <c r="G63" s="15"/>
      <c r="H63" s="15"/>
      <c r="I63" s="15"/>
      <c r="J63" s="243"/>
      <c r="K63" s="15"/>
      <c r="L63" s="15"/>
      <c r="M63" s="15"/>
      <c r="N63" s="15"/>
      <c r="O63" s="243"/>
      <c r="P63" s="243"/>
      <c r="Q63" s="243"/>
      <c r="R63" s="243"/>
      <c r="S63" s="243"/>
      <c r="T63" s="243"/>
      <c r="U63" s="243"/>
    </row>
    <row r="64">
      <c r="A64" s="15"/>
      <c r="B64" s="15"/>
      <c r="C64" s="15"/>
      <c r="D64" s="15"/>
      <c r="E64" s="15"/>
      <c r="F64" s="15"/>
      <c r="G64" s="15"/>
      <c r="H64" s="15"/>
      <c r="I64" s="15"/>
      <c r="J64" s="243"/>
      <c r="K64" s="15"/>
      <c r="L64" s="15"/>
      <c r="M64" s="15"/>
      <c r="N64" s="15"/>
      <c r="O64" s="243"/>
      <c r="P64" s="243"/>
      <c r="Q64" s="243"/>
      <c r="R64" s="243"/>
      <c r="S64" s="243"/>
      <c r="T64" s="243"/>
      <c r="U64" s="243"/>
    </row>
    <row r="65">
      <c r="A65" s="15"/>
      <c r="B65" s="15"/>
      <c r="C65" s="15"/>
      <c r="D65" s="15"/>
      <c r="E65" s="15"/>
      <c r="F65" s="15"/>
      <c r="G65" s="15"/>
      <c r="H65" s="15"/>
      <c r="I65" s="15"/>
      <c r="J65" s="243"/>
      <c r="K65" s="15"/>
      <c r="L65" s="15"/>
      <c r="M65" s="15"/>
      <c r="N65" s="15"/>
      <c r="O65" s="243"/>
      <c r="P65" s="243"/>
      <c r="Q65" s="243"/>
      <c r="R65" s="243"/>
      <c r="S65" s="243"/>
      <c r="T65" s="243"/>
      <c r="U65" s="243"/>
    </row>
    <row r="66">
      <c r="A66" s="15"/>
      <c r="B66" s="15"/>
      <c r="C66" s="15"/>
      <c r="D66" s="15"/>
      <c r="E66" s="15"/>
      <c r="F66" s="15"/>
      <c r="G66" s="15"/>
      <c r="H66" s="15"/>
      <c r="I66" s="15"/>
      <c r="J66" s="243"/>
      <c r="K66" s="15"/>
      <c r="L66" s="15"/>
      <c r="M66" s="15"/>
      <c r="N66" s="15"/>
      <c r="O66" s="243"/>
      <c r="P66" s="243"/>
      <c r="Q66" s="243"/>
      <c r="R66" s="243"/>
      <c r="S66" s="243"/>
      <c r="T66" s="243"/>
      <c r="U66" s="243"/>
    </row>
    <row r="67">
      <c r="A67" s="15"/>
      <c r="B67" s="15"/>
      <c r="C67" s="15"/>
      <c r="D67" s="15"/>
      <c r="E67" s="15"/>
      <c r="F67" s="15"/>
      <c r="G67" s="15"/>
      <c r="H67" s="15"/>
      <c r="I67" s="15"/>
      <c r="J67" s="243"/>
      <c r="K67" s="15"/>
      <c r="L67" s="15"/>
      <c r="M67" s="15"/>
      <c r="N67" s="15"/>
      <c r="O67" s="243"/>
      <c r="P67" s="243"/>
      <c r="Q67" s="243"/>
      <c r="R67" s="243"/>
      <c r="S67" s="243"/>
      <c r="T67" s="243"/>
      <c r="U67" s="243"/>
    </row>
    <row r="68">
      <c r="A68" s="15"/>
      <c r="B68" s="15"/>
      <c r="C68" s="15"/>
      <c r="D68" s="15"/>
      <c r="E68" s="15"/>
      <c r="F68" s="15"/>
      <c r="G68" s="15"/>
      <c r="H68" s="15"/>
      <c r="I68" s="15"/>
      <c r="J68" s="243"/>
      <c r="K68" s="15"/>
      <c r="L68" s="15"/>
      <c r="M68" s="15"/>
      <c r="N68" s="15"/>
      <c r="O68" s="243"/>
      <c r="P68" s="243"/>
      <c r="Q68" s="243"/>
      <c r="R68" s="243"/>
      <c r="S68" s="243"/>
      <c r="T68" s="243"/>
      <c r="U68" s="243"/>
    </row>
    <row r="69">
      <c r="A69" s="15"/>
      <c r="B69" s="15"/>
      <c r="C69" s="15"/>
      <c r="D69" s="15"/>
      <c r="E69" s="15"/>
      <c r="F69" s="15"/>
      <c r="G69" s="15"/>
      <c r="H69" s="15"/>
      <c r="I69" s="15"/>
      <c r="J69" s="243"/>
      <c r="K69" s="15"/>
      <c r="L69" s="15"/>
      <c r="M69" s="15"/>
      <c r="N69" s="15"/>
      <c r="O69" s="243"/>
      <c r="P69" s="243"/>
      <c r="Q69" s="243"/>
      <c r="R69" s="243"/>
      <c r="S69" s="243"/>
      <c r="T69" s="243"/>
      <c r="U69" s="243"/>
    </row>
    <row r="70">
      <c r="A70" s="15"/>
      <c r="B70" s="15"/>
      <c r="C70" s="15"/>
      <c r="D70" s="15"/>
      <c r="E70" s="15"/>
      <c r="F70" s="15"/>
      <c r="G70" s="15"/>
      <c r="H70" s="15"/>
      <c r="I70" s="15"/>
      <c r="J70" s="243"/>
      <c r="K70" s="15"/>
      <c r="L70" s="15"/>
      <c r="M70" s="15"/>
      <c r="N70" s="15"/>
      <c r="O70" s="243"/>
      <c r="P70" s="243"/>
      <c r="Q70" s="243"/>
      <c r="R70" s="243"/>
      <c r="S70" s="243"/>
      <c r="T70" s="243"/>
      <c r="U70" s="243"/>
    </row>
    <row r="71">
      <c r="A71" s="15"/>
      <c r="B71" s="15"/>
      <c r="C71" s="15"/>
      <c r="D71" s="15"/>
      <c r="E71" s="15"/>
      <c r="F71" s="15"/>
      <c r="G71" s="15"/>
      <c r="H71" s="15"/>
      <c r="I71" s="15"/>
      <c r="J71" s="243"/>
      <c r="K71" s="15"/>
      <c r="L71" s="15"/>
      <c r="M71" s="15"/>
      <c r="N71" s="15"/>
      <c r="O71" s="243"/>
      <c r="P71" s="243"/>
      <c r="Q71" s="243"/>
      <c r="R71" s="243"/>
      <c r="S71" s="243"/>
      <c r="T71" s="243"/>
      <c r="U71" s="243"/>
    </row>
    <row r="72">
      <c r="A72" s="15"/>
      <c r="B72" s="15"/>
      <c r="C72" s="15"/>
      <c r="D72" s="15"/>
      <c r="E72" s="15"/>
      <c r="F72" s="15"/>
      <c r="G72" s="15"/>
      <c r="H72" s="15"/>
      <c r="I72" s="15"/>
      <c r="J72" s="243"/>
      <c r="K72" s="15"/>
      <c r="L72" s="15"/>
      <c r="M72" s="15"/>
      <c r="N72" s="15"/>
      <c r="O72" s="243"/>
      <c r="P72" s="243"/>
      <c r="Q72" s="243"/>
      <c r="R72" s="243"/>
      <c r="S72" s="243"/>
      <c r="T72" s="243"/>
      <c r="U72" s="243"/>
    </row>
    <row r="73">
      <c r="A73" s="15"/>
      <c r="B73" s="15"/>
      <c r="C73" s="15"/>
      <c r="D73" s="15"/>
      <c r="E73" s="15"/>
      <c r="F73" s="15"/>
      <c r="G73" s="15"/>
      <c r="H73" s="15"/>
      <c r="I73" s="15"/>
      <c r="J73" s="243"/>
      <c r="K73" s="15"/>
      <c r="L73" s="15"/>
      <c r="M73" s="15"/>
      <c r="N73" s="15"/>
      <c r="O73" s="243"/>
      <c r="P73" s="243"/>
      <c r="Q73" s="243"/>
      <c r="R73" s="243"/>
      <c r="S73" s="243"/>
      <c r="T73" s="243"/>
      <c r="U73" s="243"/>
    </row>
    <row r="74">
      <c r="A74" s="15"/>
      <c r="B74" s="15"/>
      <c r="C74" s="15"/>
      <c r="D74" s="15"/>
      <c r="E74" s="15"/>
      <c r="F74" s="15"/>
      <c r="G74" s="15"/>
      <c r="H74" s="15"/>
      <c r="I74" s="15"/>
      <c r="J74" s="243"/>
      <c r="K74" s="15"/>
      <c r="L74" s="15"/>
      <c r="M74" s="15"/>
      <c r="N74" s="15"/>
      <c r="O74" s="243"/>
      <c r="P74" s="243"/>
      <c r="Q74" s="243"/>
      <c r="R74" s="243"/>
      <c r="S74" s="243"/>
      <c r="T74" s="243"/>
      <c r="U74" s="243"/>
    </row>
    <row r="75">
      <c r="A75" s="15"/>
      <c r="B75" s="15"/>
      <c r="C75" s="15"/>
      <c r="D75" s="15"/>
      <c r="E75" s="15"/>
      <c r="F75" s="15"/>
      <c r="G75" s="15"/>
      <c r="H75" s="15"/>
      <c r="I75" s="15"/>
      <c r="J75" s="243"/>
      <c r="K75" s="15"/>
      <c r="L75" s="15"/>
      <c r="M75" s="15"/>
      <c r="N75" s="15"/>
      <c r="O75" s="243"/>
      <c r="P75" s="243"/>
      <c r="Q75" s="243"/>
      <c r="R75" s="243"/>
      <c r="S75" s="243"/>
      <c r="T75" s="243"/>
      <c r="U75" s="243"/>
    </row>
    <row r="76">
      <c r="A76" s="15"/>
      <c r="B76" s="15"/>
      <c r="C76" s="15"/>
      <c r="D76" s="15"/>
      <c r="E76" s="15"/>
      <c r="F76" s="15"/>
      <c r="G76" s="15"/>
      <c r="H76" s="15"/>
      <c r="I76" s="15"/>
      <c r="J76" s="243"/>
      <c r="K76" s="15"/>
      <c r="L76" s="15"/>
      <c r="M76" s="15"/>
      <c r="N76" s="15"/>
      <c r="O76" s="243"/>
      <c r="P76" s="243"/>
      <c r="Q76" s="243"/>
      <c r="R76" s="243"/>
      <c r="S76" s="243"/>
      <c r="T76" s="243"/>
      <c r="U76" s="243"/>
    </row>
    <row r="77">
      <c r="A77" s="15"/>
      <c r="B77" s="15"/>
      <c r="C77" s="15"/>
      <c r="D77" s="15"/>
      <c r="E77" s="15"/>
      <c r="F77" s="15"/>
      <c r="G77" s="15"/>
      <c r="H77" s="15"/>
      <c r="I77" s="15"/>
      <c r="J77" s="243"/>
      <c r="K77" s="15"/>
      <c r="L77" s="15"/>
      <c r="M77" s="15"/>
      <c r="N77" s="15"/>
      <c r="O77" s="243"/>
      <c r="P77" s="243"/>
      <c r="Q77" s="243"/>
      <c r="R77" s="243"/>
      <c r="S77" s="243"/>
      <c r="T77" s="243"/>
      <c r="U77" s="243"/>
    </row>
    <row r="78">
      <c r="A78" s="15"/>
      <c r="B78" s="15"/>
      <c r="C78" s="15"/>
      <c r="D78" s="15"/>
      <c r="E78" s="15"/>
      <c r="F78" s="15"/>
      <c r="G78" s="15"/>
      <c r="H78" s="15"/>
      <c r="I78" s="15"/>
      <c r="J78" s="243"/>
      <c r="K78" s="15"/>
      <c r="L78" s="15"/>
      <c r="M78" s="15"/>
      <c r="N78" s="15"/>
      <c r="O78" s="243"/>
      <c r="P78" s="243"/>
      <c r="Q78" s="243"/>
      <c r="R78" s="243"/>
      <c r="S78" s="243"/>
      <c r="T78" s="243"/>
      <c r="U78" s="243"/>
    </row>
    <row r="79">
      <c r="A79" s="15"/>
      <c r="B79" s="15"/>
      <c r="C79" s="15"/>
      <c r="D79" s="15"/>
      <c r="E79" s="15"/>
      <c r="F79" s="15"/>
      <c r="G79" s="15"/>
      <c r="H79" s="15"/>
      <c r="I79" s="15"/>
      <c r="J79" s="243"/>
      <c r="K79" s="15"/>
      <c r="L79" s="15"/>
      <c r="M79" s="15"/>
      <c r="N79" s="15"/>
      <c r="O79" s="243"/>
      <c r="P79" s="243"/>
      <c r="Q79" s="243"/>
      <c r="R79" s="243"/>
      <c r="S79" s="243"/>
      <c r="T79" s="243"/>
      <c r="U79" s="243"/>
    </row>
    <row r="80">
      <c r="A80" s="15"/>
      <c r="B80" s="15"/>
      <c r="C80" s="15"/>
      <c r="D80" s="15"/>
      <c r="E80" s="15"/>
      <c r="F80" s="15"/>
      <c r="G80" s="15"/>
      <c r="H80" s="15"/>
      <c r="I80" s="15"/>
      <c r="J80" s="243"/>
      <c r="K80" s="15"/>
      <c r="L80" s="15"/>
      <c r="M80" s="15"/>
      <c r="N80" s="15"/>
      <c r="O80" s="243"/>
      <c r="P80" s="243"/>
      <c r="Q80" s="243"/>
      <c r="R80" s="243"/>
      <c r="S80" s="243"/>
      <c r="T80" s="243"/>
      <c r="U80" s="243"/>
    </row>
    <row r="81">
      <c r="A81" s="15"/>
      <c r="B81" s="15"/>
      <c r="C81" s="15"/>
      <c r="D81" s="15"/>
      <c r="E81" s="15"/>
      <c r="F81" s="15"/>
      <c r="G81" s="15"/>
      <c r="H81" s="15"/>
      <c r="I81" s="15"/>
      <c r="J81" s="243"/>
      <c r="K81" s="15"/>
      <c r="L81" s="15"/>
      <c r="M81" s="15"/>
      <c r="N81" s="15"/>
      <c r="O81" s="243"/>
      <c r="P81" s="243"/>
      <c r="Q81" s="243"/>
      <c r="R81" s="243"/>
      <c r="S81" s="243"/>
      <c r="T81" s="243"/>
      <c r="U81" s="243"/>
    </row>
    <row r="82">
      <c r="A82" s="15"/>
      <c r="B82" s="15"/>
      <c r="C82" s="15"/>
      <c r="D82" s="15"/>
      <c r="E82" s="15"/>
      <c r="F82" s="15"/>
      <c r="G82" s="15"/>
      <c r="H82" s="15"/>
      <c r="I82" s="15"/>
      <c r="J82" s="243"/>
      <c r="K82" s="15"/>
      <c r="L82" s="15"/>
      <c r="M82" s="15"/>
      <c r="N82" s="15"/>
      <c r="O82" s="243"/>
      <c r="P82" s="243"/>
      <c r="Q82" s="243"/>
      <c r="R82" s="243"/>
      <c r="S82" s="243"/>
      <c r="T82" s="243"/>
      <c r="U82" s="243"/>
    </row>
    <row r="83">
      <c r="A83" s="15"/>
      <c r="B83" s="15"/>
      <c r="C83" s="15"/>
      <c r="D83" s="15"/>
      <c r="E83" s="15"/>
      <c r="F83" s="15"/>
      <c r="G83" s="15"/>
      <c r="H83" s="15"/>
      <c r="I83" s="15"/>
      <c r="J83" s="243"/>
      <c r="K83" s="15"/>
      <c r="L83" s="15"/>
      <c r="M83" s="15"/>
      <c r="N83" s="15"/>
      <c r="O83" s="243"/>
      <c r="P83" s="243"/>
      <c r="Q83" s="243"/>
      <c r="R83" s="243"/>
      <c r="S83" s="243"/>
      <c r="T83" s="243"/>
      <c r="U83" s="243"/>
    </row>
    <row r="84">
      <c r="A84" s="15"/>
      <c r="B84" s="15"/>
      <c r="C84" s="15"/>
      <c r="D84" s="15"/>
      <c r="E84" s="15"/>
      <c r="F84" s="15"/>
      <c r="G84" s="15"/>
      <c r="H84" s="15"/>
      <c r="I84" s="15"/>
      <c r="J84" s="243"/>
      <c r="K84" s="15"/>
      <c r="L84" s="15"/>
      <c r="M84" s="15"/>
      <c r="N84" s="15"/>
      <c r="O84" s="243"/>
      <c r="P84" s="243"/>
      <c r="Q84" s="243"/>
      <c r="R84" s="243"/>
      <c r="S84" s="243"/>
      <c r="T84" s="243"/>
      <c r="U84" s="243"/>
    </row>
    <row r="85">
      <c r="A85" s="15"/>
      <c r="B85" s="15"/>
      <c r="C85" s="15"/>
      <c r="D85" s="15"/>
      <c r="E85" s="15"/>
      <c r="F85" s="15"/>
      <c r="G85" s="15"/>
      <c r="H85" s="15"/>
      <c r="I85" s="15"/>
      <c r="J85" s="243"/>
      <c r="K85" s="15"/>
      <c r="L85" s="15"/>
      <c r="M85" s="15"/>
      <c r="N85" s="15"/>
      <c r="O85" s="243"/>
      <c r="P85" s="243"/>
      <c r="Q85" s="243"/>
      <c r="R85" s="243"/>
      <c r="S85" s="243"/>
      <c r="T85" s="243"/>
      <c r="U85" s="243"/>
    </row>
    <row r="86">
      <c r="A86" s="15"/>
      <c r="B86" s="15"/>
      <c r="C86" s="15"/>
      <c r="D86" s="15"/>
      <c r="E86" s="15"/>
      <c r="F86" s="15"/>
      <c r="G86" s="15"/>
      <c r="H86" s="15"/>
      <c r="I86" s="15"/>
      <c r="J86" s="243"/>
      <c r="K86" s="15"/>
      <c r="L86" s="15"/>
      <c r="M86" s="15"/>
      <c r="N86" s="15"/>
      <c r="O86" s="243"/>
      <c r="P86" s="243"/>
      <c r="Q86" s="243"/>
      <c r="R86" s="243"/>
      <c r="S86" s="243"/>
      <c r="T86" s="243"/>
      <c r="U86" s="243"/>
    </row>
    <row r="87">
      <c r="A87" s="15"/>
      <c r="B87" s="15"/>
      <c r="C87" s="15"/>
      <c r="D87" s="15"/>
      <c r="E87" s="15"/>
      <c r="F87" s="15"/>
      <c r="G87" s="15"/>
      <c r="H87" s="15"/>
      <c r="I87" s="15"/>
      <c r="J87" s="243"/>
      <c r="K87" s="15"/>
      <c r="L87" s="15"/>
      <c r="M87" s="15"/>
      <c r="N87" s="15"/>
      <c r="O87" s="243"/>
      <c r="P87" s="243"/>
      <c r="Q87" s="243"/>
      <c r="R87" s="243"/>
      <c r="S87" s="243"/>
      <c r="T87" s="243"/>
      <c r="U87" s="243"/>
    </row>
    <row r="88">
      <c r="A88" s="15"/>
      <c r="B88" s="15"/>
      <c r="C88" s="15"/>
      <c r="D88" s="15"/>
      <c r="E88" s="15"/>
      <c r="F88" s="15"/>
      <c r="G88" s="15"/>
      <c r="H88" s="15"/>
      <c r="I88" s="15"/>
      <c r="J88" s="243"/>
      <c r="K88" s="15"/>
      <c r="L88" s="15"/>
      <c r="M88" s="15"/>
      <c r="N88" s="15"/>
      <c r="O88" s="243"/>
      <c r="P88" s="243"/>
      <c r="Q88" s="243"/>
      <c r="R88" s="243"/>
      <c r="S88" s="243"/>
      <c r="T88" s="243"/>
      <c r="U88" s="243"/>
    </row>
    <row r="89">
      <c r="A89" s="15"/>
      <c r="B89" s="15"/>
      <c r="C89" s="15"/>
      <c r="D89" s="15"/>
      <c r="E89" s="15"/>
      <c r="F89" s="15"/>
      <c r="G89" s="15"/>
      <c r="H89" s="15"/>
      <c r="I89" s="15"/>
      <c r="J89" s="243"/>
      <c r="K89" s="15"/>
      <c r="L89" s="15"/>
      <c r="M89" s="15"/>
      <c r="N89" s="15"/>
      <c r="O89" s="243"/>
      <c r="P89" s="243"/>
      <c r="Q89" s="243"/>
      <c r="R89" s="243"/>
      <c r="S89" s="243"/>
      <c r="T89" s="243"/>
      <c r="U89" s="243"/>
    </row>
    <row r="90">
      <c r="A90" s="15"/>
      <c r="B90" s="15"/>
      <c r="C90" s="15"/>
      <c r="D90" s="15"/>
      <c r="E90" s="15"/>
      <c r="F90" s="15"/>
      <c r="G90" s="15"/>
      <c r="H90" s="15"/>
      <c r="I90" s="15"/>
      <c r="J90" s="243"/>
      <c r="K90" s="15"/>
      <c r="L90" s="15"/>
      <c r="M90" s="15"/>
      <c r="N90" s="15"/>
      <c r="O90" s="243"/>
      <c r="P90" s="243"/>
      <c r="Q90" s="243"/>
      <c r="R90" s="243"/>
      <c r="S90" s="243"/>
      <c r="T90" s="243"/>
      <c r="U90" s="243"/>
    </row>
    <row r="91">
      <c r="A91" s="15"/>
      <c r="B91" s="15"/>
      <c r="C91" s="15"/>
      <c r="D91" s="15"/>
      <c r="E91" s="15"/>
      <c r="F91" s="15"/>
      <c r="G91" s="15"/>
      <c r="H91" s="15"/>
      <c r="I91" s="15"/>
      <c r="J91" s="243"/>
      <c r="K91" s="15"/>
      <c r="L91" s="15"/>
      <c r="M91" s="15"/>
      <c r="N91" s="15"/>
      <c r="O91" s="243"/>
      <c r="P91" s="243"/>
      <c r="Q91" s="243"/>
      <c r="R91" s="243"/>
      <c r="S91" s="243"/>
      <c r="T91" s="243"/>
      <c r="U91" s="243"/>
    </row>
    <row r="92">
      <c r="A92" s="15"/>
      <c r="B92" s="15"/>
      <c r="C92" s="15"/>
      <c r="D92" s="15"/>
      <c r="E92" s="15"/>
      <c r="F92" s="15"/>
      <c r="G92" s="15"/>
      <c r="H92" s="15"/>
      <c r="I92" s="15"/>
      <c r="J92" s="243"/>
      <c r="K92" s="15"/>
      <c r="L92" s="15"/>
      <c r="M92" s="15"/>
      <c r="N92" s="15"/>
      <c r="O92" s="243"/>
      <c r="P92" s="243"/>
      <c r="Q92" s="243"/>
      <c r="R92" s="243"/>
      <c r="S92" s="243"/>
      <c r="T92" s="243"/>
      <c r="U92" s="243"/>
    </row>
    <row r="93">
      <c r="A93" s="15"/>
      <c r="B93" s="15"/>
      <c r="C93" s="15"/>
      <c r="D93" s="15"/>
      <c r="E93" s="15"/>
      <c r="F93" s="15"/>
      <c r="G93" s="15"/>
      <c r="H93" s="15"/>
      <c r="I93" s="15"/>
      <c r="J93" s="243"/>
      <c r="K93" s="15"/>
      <c r="L93" s="15"/>
      <c r="M93" s="15"/>
      <c r="N93" s="15"/>
      <c r="O93" s="243"/>
      <c r="P93" s="243"/>
      <c r="Q93" s="243"/>
      <c r="R93" s="243"/>
      <c r="S93" s="243"/>
      <c r="T93" s="243"/>
      <c r="U93" s="243"/>
    </row>
    <row r="94">
      <c r="A94" s="15"/>
      <c r="B94" s="15"/>
      <c r="C94" s="15"/>
      <c r="D94" s="15"/>
      <c r="E94" s="15"/>
      <c r="F94" s="15"/>
      <c r="G94" s="15"/>
      <c r="H94" s="15"/>
      <c r="I94" s="15"/>
      <c r="J94" s="243"/>
      <c r="K94" s="15"/>
      <c r="L94" s="15"/>
      <c r="M94" s="15"/>
      <c r="N94" s="15"/>
      <c r="O94" s="243"/>
      <c r="P94" s="243"/>
      <c r="Q94" s="243"/>
      <c r="R94" s="243"/>
      <c r="S94" s="243"/>
      <c r="T94" s="243"/>
      <c r="U94" s="243"/>
    </row>
    <row r="95">
      <c r="A95" s="15"/>
      <c r="B95" s="15"/>
      <c r="C95" s="15"/>
      <c r="D95" s="15"/>
      <c r="E95" s="15"/>
      <c r="F95" s="15"/>
      <c r="G95" s="15"/>
      <c r="H95" s="15"/>
      <c r="I95" s="15"/>
      <c r="J95" s="243"/>
      <c r="K95" s="15"/>
      <c r="L95" s="15"/>
      <c r="M95" s="15"/>
      <c r="N95" s="15"/>
      <c r="O95" s="243"/>
      <c r="P95" s="243"/>
      <c r="Q95" s="243"/>
      <c r="R95" s="243"/>
      <c r="S95" s="243"/>
      <c r="T95" s="243"/>
      <c r="U95" s="243"/>
    </row>
    <row r="96">
      <c r="A96" s="15"/>
      <c r="B96" s="15"/>
      <c r="C96" s="15"/>
      <c r="D96" s="15"/>
      <c r="E96" s="15"/>
      <c r="F96" s="15"/>
      <c r="G96" s="15"/>
      <c r="H96" s="15"/>
      <c r="I96" s="15"/>
      <c r="J96" s="243"/>
      <c r="K96" s="15"/>
      <c r="L96" s="15"/>
      <c r="M96" s="15"/>
      <c r="N96" s="15"/>
      <c r="O96" s="243"/>
      <c r="P96" s="243"/>
      <c r="Q96" s="243"/>
      <c r="R96" s="243"/>
      <c r="S96" s="243"/>
      <c r="T96" s="243"/>
      <c r="U96" s="243"/>
    </row>
    <row r="97">
      <c r="A97" s="15"/>
      <c r="B97" s="15"/>
      <c r="C97" s="15"/>
      <c r="D97" s="15"/>
      <c r="E97" s="15"/>
      <c r="F97" s="15"/>
      <c r="G97" s="15"/>
      <c r="H97" s="15"/>
      <c r="I97" s="15"/>
      <c r="J97" s="243"/>
      <c r="K97" s="15"/>
      <c r="L97" s="15"/>
      <c r="M97" s="15"/>
      <c r="N97" s="15"/>
      <c r="O97" s="243"/>
      <c r="P97" s="243"/>
      <c r="Q97" s="243"/>
      <c r="R97" s="243"/>
      <c r="S97" s="243"/>
      <c r="T97" s="243"/>
      <c r="U97" s="243"/>
    </row>
    <row r="98">
      <c r="A98" s="15"/>
      <c r="B98" s="15"/>
      <c r="C98" s="15"/>
      <c r="D98" s="15"/>
      <c r="E98" s="15"/>
      <c r="F98" s="15"/>
      <c r="G98" s="15"/>
      <c r="H98" s="15"/>
      <c r="I98" s="15"/>
      <c r="J98" s="243"/>
      <c r="K98" s="15"/>
      <c r="L98" s="15"/>
      <c r="M98" s="15"/>
      <c r="N98" s="15"/>
      <c r="O98" s="243"/>
      <c r="P98" s="243"/>
      <c r="Q98" s="243"/>
      <c r="R98" s="243"/>
      <c r="S98" s="243"/>
      <c r="T98" s="243"/>
      <c r="U98" s="243"/>
    </row>
    <row r="99">
      <c r="A99" s="15"/>
      <c r="B99" s="15"/>
      <c r="C99" s="15"/>
      <c r="D99" s="15"/>
      <c r="E99" s="15"/>
      <c r="F99" s="15"/>
      <c r="G99" s="15"/>
      <c r="H99" s="15"/>
      <c r="I99" s="15"/>
      <c r="J99" s="243"/>
      <c r="K99" s="15"/>
      <c r="L99" s="15"/>
      <c r="M99" s="15"/>
      <c r="N99" s="15"/>
      <c r="O99" s="243"/>
      <c r="P99" s="243"/>
      <c r="Q99" s="243"/>
      <c r="R99" s="243"/>
      <c r="S99" s="243"/>
      <c r="T99" s="243"/>
      <c r="U99" s="243"/>
    </row>
    <row r="100">
      <c r="A100" s="15"/>
      <c r="B100" s="15"/>
      <c r="C100" s="15"/>
      <c r="D100" s="15"/>
      <c r="E100" s="15"/>
      <c r="F100" s="15"/>
      <c r="G100" s="15"/>
      <c r="H100" s="15"/>
      <c r="I100" s="15"/>
      <c r="J100" s="243"/>
      <c r="K100" s="15"/>
      <c r="L100" s="15"/>
      <c r="M100" s="15"/>
      <c r="N100" s="15"/>
      <c r="O100" s="243"/>
      <c r="P100" s="243"/>
      <c r="Q100" s="243"/>
      <c r="R100" s="243"/>
      <c r="S100" s="243"/>
      <c r="T100" s="243"/>
      <c r="U100" s="243"/>
    </row>
    <row r="101">
      <c r="A101" s="15"/>
      <c r="B101" s="15"/>
      <c r="C101" s="15"/>
      <c r="D101" s="15"/>
      <c r="E101" s="15"/>
      <c r="F101" s="15"/>
      <c r="G101" s="15"/>
      <c r="H101" s="15"/>
      <c r="I101" s="15"/>
      <c r="J101" s="243"/>
      <c r="K101" s="15"/>
      <c r="L101" s="15"/>
      <c r="M101" s="15"/>
      <c r="N101" s="15"/>
      <c r="O101" s="243"/>
      <c r="P101" s="243"/>
      <c r="Q101" s="243"/>
      <c r="R101" s="243"/>
      <c r="S101" s="243"/>
      <c r="T101" s="243"/>
      <c r="U101" s="243"/>
    </row>
    <row r="102">
      <c r="A102" s="15"/>
      <c r="B102" s="15"/>
      <c r="C102" s="15"/>
      <c r="D102" s="15"/>
      <c r="E102" s="15"/>
      <c r="F102" s="15"/>
      <c r="G102" s="15"/>
      <c r="H102" s="15"/>
      <c r="I102" s="15"/>
      <c r="J102" s="243"/>
      <c r="K102" s="15"/>
      <c r="L102" s="15"/>
      <c r="M102" s="15"/>
      <c r="N102" s="15"/>
      <c r="O102" s="243"/>
      <c r="P102" s="243"/>
      <c r="Q102" s="243"/>
      <c r="R102" s="243"/>
      <c r="S102" s="243"/>
      <c r="T102" s="243"/>
      <c r="U102" s="243"/>
    </row>
    <row r="103">
      <c r="A103" s="15"/>
      <c r="B103" s="15"/>
      <c r="C103" s="15"/>
      <c r="D103" s="15"/>
      <c r="E103" s="15"/>
      <c r="F103" s="15"/>
      <c r="G103" s="15"/>
      <c r="H103" s="15"/>
      <c r="I103" s="15"/>
      <c r="J103" s="243"/>
      <c r="K103" s="15"/>
      <c r="L103" s="15"/>
      <c r="M103" s="15"/>
      <c r="N103" s="15"/>
      <c r="O103" s="243"/>
      <c r="P103" s="243"/>
      <c r="Q103" s="243"/>
      <c r="R103" s="243"/>
      <c r="S103" s="243"/>
      <c r="T103" s="243"/>
      <c r="U103" s="243"/>
    </row>
    <row r="104">
      <c r="A104" s="15"/>
      <c r="B104" s="15"/>
      <c r="C104" s="15"/>
      <c r="D104" s="15"/>
      <c r="E104" s="15"/>
      <c r="F104" s="15"/>
      <c r="G104" s="15"/>
      <c r="H104" s="15"/>
      <c r="I104" s="15"/>
      <c r="J104" s="243"/>
      <c r="K104" s="15"/>
      <c r="L104" s="15"/>
      <c r="M104" s="15"/>
      <c r="N104" s="15"/>
      <c r="O104" s="243"/>
      <c r="P104" s="243"/>
      <c r="Q104" s="243"/>
      <c r="R104" s="243"/>
      <c r="S104" s="243"/>
      <c r="T104" s="243"/>
      <c r="U104" s="243"/>
    </row>
    <row r="105">
      <c r="A105" s="15"/>
      <c r="B105" s="15"/>
      <c r="C105" s="15"/>
      <c r="D105" s="15"/>
      <c r="E105" s="15"/>
      <c r="F105" s="15"/>
      <c r="G105" s="15"/>
      <c r="H105" s="15"/>
      <c r="I105" s="15"/>
      <c r="J105" s="243"/>
      <c r="K105" s="15"/>
      <c r="L105" s="15"/>
      <c r="M105" s="15"/>
      <c r="N105" s="15"/>
      <c r="O105" s="243"/>
      <c r="P105" s="243"/>
      <c r="Q105" s="243"/>
      <c r="R105" s="243"/>
      <c r="S105" s="243"/>
      <c r="T105" s="243"/>
      <c r="U105" s="243"/>
    </row>
    <row r="106">
      <c r="A106" s="15"/>
      <c r="B106" s="15"/>
      <c r="C106" s="15"/>
      <c r="D106" s="15"/>
      <c r="E106" s="15"/>
      <c r="F106" s="15"/>
      <c r="G106" s="15"/>
      <c r="H106" s="15"/>
      <c r="I106" s="15"/>
      <c r="J106" s="243"/>
      <c r="K106" s="15"/>
      <c r="L106" s="15"/>
      <c r="M106" s="15"/>
      <c r="N106" s="15"/>
      <c r="O106" s="243"/>
      <c r="P106" s="243"/>
      <c r="Q106" s="243"/>
      <c r="R106" s="243"/>
      <c r="S106" s="243"/>
      <c r="T106" s="243"/>
      <c r="U106" s="243"/>
    </row>
    <row r="107">
      <c r="A107" s="15"/>
      <c r="B107" s="15"/>
      <c r="C107" s="15"/>
      <c r="D107" s="15"/>
      <c r="E107" s="15"/>
      <c r="F107" s="15"/>
      <c r="G107" s="15"/>
      <c r="H107" s="15"/>
      <c r="I107" s="15"/>
      <c r="J107" s="243"/>
      <c r="K107" s="15"/>
      <c r="L107" s="15"/>
      <c r="M107" s="15"/>
      <c r="N107" s="15"/>
      <c r="O107" s="243"/>
      <c r="P107" s="243"/>
      <c r="Q107" s="243"/>
      <c r="R107" s="243"/>
      <c r="S107" s="243"/>
      <c r="T107" s="243"/>
      <c r="U107" s="243"/>
    </row>
    <row r="108">
      <c r="A108" s="15"/>
      <c r="B108" s="15"/>
      <c r="C108" s="15"/>
      <c r="D108" s="15"/>
      <c r="E108" s="15"/>
      <c r="F108" s="15"/>
      <c r="G108" s="15"/>
      <c r="H108" s="15"/>
      <c r="I108" s="15"/>
      <c r="J108" s="243"/>
      <c r="K108" s="15"/>
      <c r="L108" s="15"/>
      <c r="M108" s="15"/>
      <c r="N108" s="15"/>
      <c r="O108" s="243"/>
      <c r="P108" s="243"/>
      <c r="Q108" s="243"/>
      <c r="R108" s="243"/>
      <c r="S108" s="243"/>
      <c r="T108" s="243"/>
      <c r="U108" s="243"/>
    </row>
    <row r="109">
      <c r="A109" s="15"/>
      <c r="B109" s="15"/>
      <c r="C109" s="15"/>
      <c r="D109" s="15"/>
      <c r="E109" s="15"/>
      <c r="F109" s="15"/>
      <c r="G109" s="15"/>
      <c r="H109" s="15"/>
      <c r="I109" s="15"/>
      <c r="J109" s="243"/>
      <c r="K109" s="15"/>
      <c r="L109" s="15"/>
      <c r="M109" s="15"/>
      <c r="N109" s="15"/>
      <c r="O109" s="243"/>
      <c r="P109" s="243"/>
      <c r="Q109" s="243"/>
      <c r="R109" s="243"/>
      <c r="S109" s="243"/>
      <c r="T109" s="243"/>
      <c r="U109" s="243"/>
    </row>
    <row r="110">
      <c r="A110" s="15"/>
      <c r="B110" s="15"/>
      <c r="C110" s="15"/>
      <c r="D110" s="15"/>
      <c r="E110" s="15"/>
      <c r="F110" s="15"/>
      <c r="G110" s="15"/>
      <c r="H110" s="15"/>
      <c r="I110" s="15"/>
      <c r="J110" s="243"/>
      <c r="K110" s="15"/>
      <c r="L110" s="15"/>
      <c r="M110" s="15"/>
      <c r="N110" s="15"/>
      <c r="O110" s="243"/>
      <c r="P110" s="243"/>
      <c r="Q110" s="243"/>
      <c r="R110" s="243"/>
      <c r="S110" s="243"/>
      <c r="T110" s="243"/>
      <c r="U110" s="243"/>
    </row>
    <row r="111">
      <c r="A111" s="15"/>
      <c r="B111" s="15"/>
      <c r="C111" s="15"/>
      <c r="D111" s="15"/>
      <c r="E111" s="15"/>
      <c r="F111" s="15"/>
      <c r="G111" s="15"/>
      <c r="H111" s="15"/>
      <c r="I111" s="15"/>
      <c r="J111" s="243"/>
      <c r="K111" s="15"/>
      <c r="L111" s="15"/>
      <c r="M111" s="15"/>
      <c r="N111" s="15"/>
      <c r="O111" s="243"/>
      <c r="P111" s="243"/>
      <c r="Q111" s="243"/>
      <c r="R111" s="243"/>
      <c r="S111" s="243"/>
      <c r="T111" s="243"/>
      <c r="U111" s="243"/>
    </row>
    <row r="112">
      <c r="A112" s="15"/>
      <c r="B112" s="15"/>
      <c r="C112" s="15"/>
      <c r="D112" s="15"/>
      <c r="E112" s="15"/>
      <c r="F112" s="15"/>
      <c r="G112" s="15"/>
      <c r="H112" s="15"/>
      <c r="I112" s="15"/>
      <c r="J112" s="243"/>
      <c r="K112" s="15"/>
      <c r="L112" s="15"/>
      <c r="M112" s="15"/>
      <c r="N112" s="15"/>
      <c r="O112" s="243"/>
      <c r="P112" s="243"/>
      <c r="Q112" s="243"/>
      <c r="R112" s="243"/>
      <c r="S112" s="243"/>
      <c r="T112" s="243"/>
      <c r="U112" s="243"/>
    </row>
    <row r="113">
      <c r="A113" s="15"/>
      <c r="B113" s="15"/>
      <c r="C113" s="15"/>
      <c r="D113" s="15"/>
      <c r="E113" s="15"/>
      <c r="F113" s="15"/>
      <c r="G113" s="15"/>
      <c r="H113" s="15"/>
      <c r="I113" s="15"/>
      <c r="J113" s="243"/>
      <c r="K113" s="15"/>
      <c r="L113" s="15"/>
      <c r="M113" s="15"/>
      <c r="N113" s="15"/>
      <c r="O113" s="243"/>
      <c r="P113" s="243"/>
      <c r="Q113" s="243"/>
      <c r="R113" s="243"/>
      <c r="S113" s="243"/>
      <c r="T113" s="243"/>
      <c r="U113" s="243"/>
    </row>
    <row r="114">
      <c r="A114" s="15"/>
      <c r="B114" s="15"/>
      <c r="C114" s="15"/>
      <c r="D114" s="15"/>
      <c r="E114" s="15"/>
      <c r="F114" s="15"/>
      <c r="G114" s="15"/>
      <c r="H114" s="15"/>
      <c r="I114" s="15"/>
      <c r="J114" s="243"/>
      <c r="K114" s="15"/>
      <c r="L114" s="15"/>
      <c r="M114" s="15"/>
      <c r="N114" s="15"/>
      <c r="O114" s="243"/>
      <c r="P114" s="243"/>
      <c r="Q114" s="243"/>
      <c r="R114" s="243"/>
      <c r="S114" s="243"/>
      <c r="T114" s="243"/>
      <c r="U114" s="243"/>
    </row>
    <row r="115">
      <c r="A115" s="15"/>
      <c r="B115" s="15"/>
      <c r="C115" s="15"/>
      <c r="D115" s="15"/>
      <c r="E115" s="15"/>
      <c r="F115" s="15"/>
      <c r="G115" s="15"/>
      <c r="H115" s="15"/>
      <c r="I115" s="15"/>
      <c r="J115" s="243"/>
      <c r="K115" s="15"/>
      <c r="L115" s="15"/>
      <c r="M115" s="15"/>
      <c r="N115" s="15"/>
      <c r="O115" s="243"/>
      <c r="P115" s="243"/>
      <c r="Q115" s="243"/>
      <c r="R115" s="243"/>
      <c r="S115" s="243"/>
      <c r="T115" s="243"/>
      <c r="U115" s="243"/>
    </row>
    <row r="116">
      <c r="A116" s="15"/>
      <c r="B116" s="15"/>
      <c r="C116" s="15"/>
      <c r="D116" s="15"/>
      <c r="E116" s="15"/>
      <c r="F116" s="15"/>
      <c r="G116" s="15"/>
      <c r="H116" s="15"/>
      <c r="I116" s="15"/>
      <c r="J116" s="243"/>
      <c r="K116" s="15"/>
      <c r="L116" s="15"/>
      <c r="M116" s="15"/>
      <c r="N116" s="15"/>
      <c r="O116" s="243"/>
      <c r="P116" s="243"/>
      <c r="Q116" s="243"/>
      <c r="R116" s="243"/>
      <c r="S116" s="243"/>
      <c r="T116" s="243"/>
      <c r="U116" s="243"/>
    </row>
    <row r="117">
      <c r="A117" s="15"/>
      <c r="B117" s="15"/>
      <c r="C117" s="15"/>
      <c r="D117" s="15"/>
      <c r="E117" s="15"/>
      <c r="F117" s="15"/>
      <c r="G117" s="15"/>
      <c r="H117" s="15"/>
      <c r="I117" s="15"/>
      <c r="J117" s="243"/>
      <c r="K117" s="15"/>
      <c r="L117" s="15"/>
      <c r="M117" s="15"/>
      <c r="N117" s="15"/>
      <c r="O117" s="243"/>
      <c r="P117" s="243"/>
      <c r="Q117" s="243"/>
      <c r="R117" s="243"/>
      <c r="S117" s="243"/>
      <c r="T117" s="243"/>
      <c r="U117" s="243"/>
    </row>
    <row r="118">
      <c r="A118" s="15"/>
      <c r="B118" s="15"/>
      <c r="C118" s="15"/>
      <c r="D118" s="15"/>
      <c r="E118" s="15"/>
      <c r="F118" s="15"/>
      <c r="G118" s="15"/>
      <c r="H118" s="15"/>
      <c r="I118" s="15"/>
      <c r="J118" s="243"/>
      <c r="K118" s="15"/>
      <c r="L118" s="15"/>
      <c r="M118" s="15"/>
      <c r="N118" s="15"/>
      <c r="O118" s="243"/>
      <c r="P118" s="243"/>
      <c r="Q118" s="243"/>
      <c r="R118" s="243"/>
      <c r="S118" s="243"/>
      <c r="T118" s="243"/>
      <c r="U118" s="243"/>
    </row>
    <row r="119">
      <c r="A119" s="15"/>
      <c r="B119" s="15"/>
      <c r="C119" s="15"/>
      <c r="D119" s="15"/>
      <c r="E119" s="15"/>
      <c r="F119" s="15"/>
      <c r="G119" s="15"/>
      <c r="H119" s="15"/>
      <c r="I119" s="15"/>
      <c r="J119" s="243"/>
      <c r="K119" s="15"/>
      <c r="L119" s="15"/>
      <c r="M119" s="15"/>
      <c r="N119" s="15"/>
      <c r="O119" s="243"/>
      <c r="P119" s="243"/>
      <c r="Q119" s="243"/>
      <c r="R119" s="243"/>
      <c r="S119" s="243"/>
      <c r="T119" s="243"/>
      <c r="U119" s="243"/>
    </row>
    <row r="120">
      <c r="A120" s="15"/>
      <c r="B120" s="15"/>
      <c r="C120" s="15"/>
      <c r="D120" s="15"/>
      <c r="E120" s="15"/>
      <c r="F120" s="15"/>
      <c r="G120" s="15"/>
      <c r="H120" s="15"/>
      <c r="I120" s="15"/>
      <c r="J120" s="243"/>
      <c r="K120" s="15"/>
      <c r="L120" s="15"/>
      <c r="M120" s="15"/>
      <c r="N120" s="15"/>
      <c r="O120" s="243"/>
      <c r="P120" s="243"/>
      <c r="Q120" s="243"/>
      <c r="R120" s="243"/>
      <c r="S120" s="243"/>
      <c r="T120" s="243"/>
      <c r="U120" s="243"/>
    </row>
    <row r="121">
      <c r="A121" s="15"/>
      <c r="B121" s="15"/>
      <c r="C121" s="15"/>
      <c r="D121" s="15"/>
      <c r="E121" s="15"/>
      <c r="F121" s="15"/>
      <c r="G121" s="15"/>
      <c r="H121" s="15"/>
      <c r="I121" s="15"/>
      <c r="J121" s="243"/>
      <c r="K121" s="15"/>
      <c r="L121" s="15"/>
      <c r="M121" s="15"/>
      <c r="N121" s="15"/>
      <c r="O121" s="243"/>
      <c r="P121" s="243"/>
      <c r="Q121" s="243"/>
      <c r="R121" s="243"/>
      <c r="S121" s="243"/>
      <c r="T121" s="243"/>
      <c r="U121" s="243"/>
    </row>
    <row r="122">
      <c r="A122" s="15"/>
      <c r="B122" s="15"/>
      <c r="C122" s="15"/>
      <c r="D122" s="15"/>
      <c r="E122" s="15"/>
      <c r="F122" s="15"/>
      <c r="G122" s="15"/>
      <c r="H122" s="15"/>
      <c r="I122" s="15"/>
      <c r="J122" s="243"/>
      <c r="K122" s="15"/>
      <c r="L122" s="15"/>
      <c r="M122" s="15"/>
      <c r="N122" s="15"/>
      <c r="O122" s="243"/>
      <c r="P122" s="243"/>
      <c r="Q122" s="243"/>
      <c r="R122" s="243"/>
      <c r="S122" s="243"/>
      <c r="T122" s="243"/>
      <c r="U122" s="243"/>
    </row>
    <row r="123">
      <c r="A123" s="15"/>
      <c r="B123" s="15"/>
      <c r="C123" s="15"/>
      <c r="D123" s="15"/>
      <c r="E123" s="15"/>
      <c r="F123" s="15"/>
      <c r="G123" s="15"/>
      <c r="H123" s="15"/>
      <c r="I123" s="15"/>
      <c r="J123" s="243"/>
      <c r="K123" s="15"/>
      <c r="L123" s="15"/>
      <c r="M123" s="15"/>
      <c r="N123" s="15"/>
      <c r="O123" s="243"/>
      <c r="P123" s="243"/>
      <c r="Q123" s="243"/>
      <c r="R123" s="243"/>
      <c r="S123" s="243"/>
      <c r="T123" s="243"/>
      <c r="U123" s="243"/>
    </row>
    <row r="124">
      <c r="A124" s="15"/>
      <c r="B124" s="15"/>
      <c r="C124" s="15"/>
      <c r="D124" s="15"/>
      <c r="E124" s="15"/>
      <c r="F124" s="15"/>
      <c r="G124" s="15"/>
      <c r="H124" s="15"/>
      <c r="I124" s="15"/>
      <c r="J124" s="243"/>
      <c r="K124" s="15"/>
      <c r="L124" s="15"/>
      <c r="M124" s="15"/>
      <c r="N124" s="15"/>
      <c r="O124" s="243"/>
      <c r="P124" s="243"/>
      <c r="Q124" s="243"/>
      <c r="R124" s="243"/>
      <c r="S124" s="243"/>
      <c r="T124" s="243"/>
      <c r="U124" s="243"/>
    </row>
    <row r="125">
      <c r="A125" s="15"/>
      <c r="B125" s="15"/>
      <c r="C125" s="15"/>
      <c r="D125" s="15"/>
      <c r="E125" s="15"/>
      <c r="F125" s="15"/>
      <c r="G125" s="15"/>
      <c r="H125" s="15"/>
      <c r="I125" s="15"/>
      <c r="J125" s="243"/>
      <c r="K125" s="15"/>
      <c r="L125" s="15"/>
      <c r="M125" s="15"/>
      <c r="N125" s="15"/>
      <c r="O125" s="243"/>
      <c r="P125" s="243"/>
      <c r="Q125" s="243"/>
      <c r="R125" s="243"/>
      <c r="S125" s="243"/>
      <c r="T125" s="243"/>
      <c r="U125" s="243"/>
    </row>
    <row r="126">
      <c r="A126" s="15"/>
      <c r="B126" s="15"/>
      <c r="C126" s="15"/>
      <c r="D126" s="15"/>
      <c r="E126" s="15"/>
      <c r="F126" s="15"/>
      <c r="G126" s="15"/>
      <c r="H126" s="15"/>
      <c r="I126" s="15"/>
      <c r="J126" s="243"/>
      <c r="K126" s="15"/>
      <c r="L126" s="15"/>
      <c r="M126" s="15"/>
      <c r="N126" s="15"/>
      <c r="O126" s="243"/>
      <c r="P126" s="243"/>
      <c r="Q126" s="243"/>
      <c r="R126" s="243"/>
      <c r="S126" s="243"/>
      <c r="T126" s="243"/>
      <c r="U126" s="243"/>
    </row>
    <row r="127">
      <c r="A127" s="15"/>
      <c r="B127" s="15"/>
      <c r="C127" s="15"/>
      <c r="D127" s="15"/>
      <c r="E127" s="15"/>
      <c r="F127" s="15"/>
      <c r="G127" s="15"/>
      <c r="H127" s="15"/>
      <c r="I127" s="15"/>
      <c r="J127" s="243"/>
      <c r="K127" s="15"/>
      <c r="L127" s="15"/>
      <c r="M127" s="15"/>
      <c r="N127" s="15"/>
      <c r="O127" s="243"/>
      <c r="P127" s="243"/>
      <c r="Q127" s="243"/>
      <c r="R127" s="243"/>
      <c r="S127" s="243"/>
      <c r="T127" s="243"/>
      <c r="U127" s="243"/>
    </row>
    <row r="128">
      <c r="A128" s="15"/>
      <c r="B128" s="15"/>
      <c r="C128" s="15"/>
      <c r="D128" s="15"/>
      <c r="E128" s="15"/>
      <c r="F128" s="15"/>
      <c r="G128" s="15"/>
      <c r="H128" s="15"/>
      <c r="I128" s="15"/>
      <c r="J128" s="243"/>
      <c r="K128" s="15"/>
      <c r="L128" s="15"/>
      <c r="M128" s="15"/>
      <c r="N128" s="15"/>
      <c r="O128" s="243"/>
      <c r="P128" s="243"/>
      <c r="Q128" s="243"/>
      <c r="R128" s="243"/>
      <c r="S128" s="243"/>
      <c r="T128" s="243"/>
      <c r="U128" s="243"/>
    </row>
    <row r="129">
      <c r="A129" s="15"/>
      <c r="B129" s="15"/>
      <c r="C129" s="15"/>
      <c r="D129" s="15"/>
      <c r="E129" s="15"/>
      <c r="F129" s="15"/>
      <c r="G129" s="15"/>
      <c r="H129" s="15"/>
      <c r="I129" s="15"/>
      <c r="J129" s="243"/>
      <c r="K129" s="15"/>
      <c r="L129" s="15"/>
      <c r="M129" s="15"/>
      <c r="N129" s="15"/>
      <c r="O129" s="243"/>
      <c r="P129" s="243"/>
      <c r="Q129" s="243"/>
      <c r="R129" s="243"/>
      <c r="S129" s="243"/>
      <c r="T129" s="243"/>
      <c r="U129" s="243"/>
    </row>
    <row r="130">
      <c r="A130" s="15"/>
      <c r="B130" s="15"/>
      <c r="C130" s="15"/>
      <c r="D130" s="15"/>
      <c r="E130" s="15"/>
      <c r="F130" s="15"/>
      <c r="G130" s="15"/>
      <c r="H130" s="15"/>
      <c r="I130" s="15"/>
      <c r="J130" s="243"/>
      <c r="K130" s="15"/>
      <c r="L130" s="15"/>
      <c r="M130" s="15"/>
      <c r="N130" s="15"/>
      <c r="O130" s="243"/>
      <c r="P130" s="243"/>
      <c r="Q130" s="243"/>
      <c r="R130" s="243"/>
      <c r="S130" s="243"/>
      <c r="T130" s="243"/>
      <c r="U130" s="243"/>
    </row>
    <row r="131">
      <c r="A131" s="15"/>
      <c r="B131" s="15"/>
      <c r="C131" s="15"/>
      <c r="D131" s="15"/>
      <c r="E131" s="15"/>
      <c r="F131" s="15"/>
      <c r="G131" s="15"/>
      <c r="H131" s="15"/>
      <c r="I131" s="15"/>
      <c r="J131" s="243"/>
      <c r="K131" s="15"/>
      <c r="L131" s="15"/>
      <c r="M131" s="15"/>
      <c r="N131" s="15"/>
      <c r="O131" s="243"/>
      <c r="P131" s="243"/>
      <c r="Q131" s="243"/>
      <c r="R131" s="243"/>
      <c r="S131" s="243"/>
      <c r="T131" s="243"/>
      <c r="U131" s="243"/>
    </row>
    <row r="132">
      <c r="A132" s="15"/>
      <c r="B132" s="15"/>
      <c r="C132" s="15"/>
      <c r="D132" s="15"/>
      <c r="E132" s="15"/>
      <c r="F132" s="15"/>
      <c r="G132" s="15"/>
      <c r="H132" s="15"/>
      <c r="I132" s="15"/>
      <c r="J132" s="243"/>
      <c r="K132" s="15"/>
      <c r="L132" s="15"/>
      <c r="M132" s="15"/>
      <c r="N132" s="15"/>
      <c r="O132" s="243"/>
      <c r="P132" s="243"/>
      <c r="Q132" s="243"/>
      <c r="R132" s="243"/>
      <c r="S132" s="243"/>
      <c r="T132" s="243"/>
      <c r="U132" s="243"/>
    </row>
    <row r="133">
      <c r="A133" s="15"/>
      <c r="B133" s="15"/>
      <c r="C133" s="15"/>
      <c r="D133" s="15"/>
      <c r="E133" s="15"/>
      <c r="F133" s="15"/>
      <c r="G133" s="15"/>
      <c r="H133" s="15"/>
      <c r="I133" s="15"/>
      <c r="J133" s="243"/>
      <c r="K133" s="15"/>
      <c r="L133" s="15"/>
      <c r="M133" s="15"/>
      <c r="N133" s="15"/>
      <c r="O133" s="243"/>
      <c r="P133" s="243"/>
      <c r="Q133" s="243"/>
      <c r="R133" s="243"/>
      <c r="S133" s="243"/>
      <c r="T133" s="243"/>
      <c r="U133" s="243"/>
    </row>
    <row r="134">
      <c r="A134" s="15"/>
      <c r="B134" s="15"/>
      <c r="C134" s="15"/>
      <c r="D134" s="15"/>
      <c r="E134" s="15"/>
      <c r="F134" s="15"/>
      <c r="G134" s="15"/>
      <c r="H134" s="15"/>
      <c r="I134" s="15"/>
      <c r="J134" s="243"/>
      <c r="K134" s="15"/>
      <c r="L134" s="15"/>
      <c r="M134" s="15"/>
      <c r="N134" s="15"/>
      <c r="O134" s="243"/>
      <c r="P134" s="243"/>
      <c r="Q134" s="243"/>
      <c r="R134" s="243"/>
      <c r="S134" s="243"/>
      <c r="T134" s="243"/>
      <c r="U134" s="243"/>
    </row>
    <row r="135">
      <c r="A135" s="15"/>
      <c r="B135" s="15"/>
      <c r="C135" s="15"/>
      <c r="D135" s="15"/>
      <c r="E135" s="15"/>
      <c r="F135" s="15"/>
      <c r="G135" s="15"/>
      <c r="H135" s="15"/>
      <c r="I135" s="15"/>
      <c r="J135" s="243"/>
      <c r="K135" s="15"/>
      <c r="L135" s="15"/>
      <c r="M135" s="15"/>
      <c r="N135" s="15"/>
      <c r="O135" s="243"/>
      <c r="P135" s="243"/>
      <c r="Q135" s="243"/>
      <c r="R135" s="243"/>
      <c r="S135" s="243"/>
      <c r="T135" s="243"/>
      <c r="U135" s="243"/>
    </row>
    <row r="136">
      <c r="A136" s="15"/>
      <c r="B136" s="15"/>
      <c r="C136" s="15"/>
      <c r="D136" s="15"/>
      <c r="E136" s="15"/>
      <c r="F136" s="15"/>
      <c r="G136" s="15"/>
      <c r="H136" s="15"/>
      <c r="I136" s="15"/>
      <c r="J136" s="243"/>
      <c r="K136" s="15"/>
      <c r="L136" s="15"/>
      <c r="M136" s="15"/>
      <c r="N136" s="15"/>
      <c r="O136" s="243"/>
      <c r="P136" s="243"/>
      <c r="Q136" s="243"/>
      <c r="R136" s="243"/>
      <c r="S136" s="243"/>
      <c r="T136" s="243"/>
      <c r="U136" s="243"/>
    </row>
    <row r="137">
      <c r="A137" s="15"/>
      <c r="B137" s="15"/>
      <c r="C137" s="15"/>
      <c r="D137" s="15"/>
      <c r="E137" s="15"/>
      <c r="F137" s="15"/>
      <c r="G137" s="15"/>
      <c r="H137" s="15"/>
      <c r="I137" s="15"/>
      <c r="J137" s="243"/>
      <c r="K137" s="15"/>
      <c r="L137" s="15"/>
      <c r="M137" s="15"/>
      <c r="N137" s="15"/>
      <c r="O137" s="243"/>
      <c r="P137" s="243"/>
      <c r="Q137" s="243"/>
      <c r="R137" s="243"/>
      <c r="S137" s="243"/>
      <c r="T137" s="243"/>
      <c r="U137" s="243"/>
    </row>
    <row r="138">
      <c r="A138" s="15"/>
      <c r="B138" s="15"/>
      <c r="C138" s="15"/>
      <c r="D138" s="15"/>
      <c r="E138" s="15"/>
      <c r="F138" s="15"/>
      <c r="G138" s="15"/>
      <c r="H138" s="15"/>
      <c r="I138" s="15"/>
      <c r="J138" s="243"/>
      <c r="K138" s="15"/>
      <c r="L138" s="15"/>
      <c r="M138" s="15"/>
      <c r="N138" s="15"/>
      <c r="O138" s="243"/>
      <c r="P138" s="243"/>
      <c r="Q138" s="243"/>
      <c r="R138" s="243"/>
      <c r="S138" s="243"/>
      <c r="T138" s="243"/>
      <c r="U138" s="243"/>
    </row>
    <row r="139">
      <c r="A139" s="15"/>
      <c r="B139" s="15"/>
      <c r="C139" s="15"/>
      <c r="D139" s="15"/>
      <c r="E139" s="15"/>
      <c r="F139" s="15"/>
      <c r="G139" s="15"/>
      <c r="H139" s="15"/>
      <c r="I139" s="15"/>
      <c r="J139" s="243"/>
      <c r="K139" s="15"/>
      <c r="L139" s="15"/>
      <c r="M139" s="15"/>
      <c r="N139" s="15"/>
      <c r="O139" s="243"/>
      <c r="P139" s="243"/>
      <c r="Q139" s="243"/>
      <c r="R139" s="243"/>
      <c r="S139" s="243"/>
      <c r="T139" s="243"/>
      <c r="U139" s="243"/>
    </row>
    <row r="140">
      <c r="A140" s="15"/>
      <c r="B140" s="15"/>
      <c r="C140" s="15"/>
      <c r="D140" s="15"/>
      <c r="E140" s="15"/>
      <c r="F140" s="15"/>
      <c r="G140" s="15"/>
      <c r="H140" s="15"/>
      <c r="I140" s="15"/>
      <c r="J140" s="243"/>
      <c r="K140" s="15"/>
      <c r="L140" s="15"/>
      <c r="M140" s="15"/>
      <c r="N140" s="15"/>
      <c r="O140" s="243"/>
      <c r="P140" s="243"/>
      <c r="Q140" s="243"/>
      <c r="R140" s="243"/>
      <c r="S140" s="243"/>
      <c r="T140" s="243"/>
      <c r="U140" s="243"/>
    </row>
    <row r="141">
      <c r="A141" s="15"/>
      <c r="B141" s="15"/>
      <c r="C141" s="15"/>
      <c r="D141" s="15"/>
      <c r="E141" s="15"/>
      <c r="F141" s="15"/>
      <c r="G141" s="15"/>
      <c r="H141" s="15"/>
      <c r="I141" s="15"/>
      <c r="J141" s="243"/>
      <c r="K141" s="15"/>
      <c r="L141" s="15"/>
      <c r="M141" s="15"/>
      <c r="N141" s="15"/>
      <c r="O141" s="243"/>
      <c r="P141" s="243"/>
      <c r="Q141" s="243"/>
      <c r="R141" s="243"/>
      <c r="S141" s="243"/>
      <c r="T141" s="243"/>
      <c r="U141" s="243"/>
    </row>
    <row r="142">
      <c r="A142" s="15"/>
      <c r="B142" s="15"/>
      <c r="C142" s="15"/>
      <c r="D142" s="15"/>
      <c r="E142" s="15"/>
      <c r="F142" s="15"/>
      <c r="G142" s="15"/>
      <c r="H142" s="15"/>
      <c r="I142" s="15"/>
      <c r="J142" s="243"/>
      <c r="K142" s="15"/>
      <c r="L142" s="15"/>
      <c r="M142" s="15"/>
      <c r="N142" s="15"/>
      <c r="O142" s="243"/>
      <c r="P142" s="243"/>
      <c r="Q142" s="243"/>
      <c r="R142" s="243"/>
      <c r="S142" s="243"/>
      <c r="T142" s="243"/>
      <c r="U142" s="243"/>
    </row>
    <row r="143">
      <c r="A143" s="15"/>
      <c r="B143" s="15"/>
      <c r="C143" s="15"/>
      <c r="D143" s="15"/>
      <c r="E143" s="15"/>
      <c r="F143" s="15"/>
      <c r="G143" s="15"/>
      <c r="H143" s="15"/>
      <c r="I143" s="15"/>
      <c r="J143" s="243"/>
      <c r="K143" s="15"/>
      <c r="L143" s="15"/>
      <c r="M143" s="15"/>
      <c r="N143" s="15"/>
      <c r="O143" s="243"/>
      <c r="P143" s="243"/>
      <c r="Q143" s="243"/>
      <c r="R143" s="243"/>
      <c r="S143" s="243"/>
      <c r="T143" s="243"/>
      <c r="U143" s="243"/>
    </row>
    <row r="144">
      <c r="A144" s="15"/>
      <c r="B144" s="15"/>
      <c r="C144" s="15"/>
      <c r="D144" s="15"/>
      <c r="E144" s="15"/>
      <c r="F144" s="15"/>
      <c r="G144" s="15"/>
      <c r="H144" s="15"/>
      <c r="I144" s="15"/>
      <c r="J144" s="243"/>
      <c r="K144" s="15"/>
      <c r="L144" s="15"/>
      <c r="M144" s="15"/>
      <c r="N144" s="15"/>
      <c r="O144" s="243"/>
      <c r="P144" s="243"/>
      <c r="Q144" s="243"/>
      <c r="R144" s="243"/>
      <c r="S144" s="243"/>
      <c r="T144" s="243"/>
      <c r="U144" s="243"/>
    </row>
    <row r="145">
      <c r="A145" s="15"/>
      <c r="B145" s="15"/>
      <c r="C145" s="15"/>
      <c r="D145" s="15"/>
      <c r="E145" s="15"/>
      <c r="F145" s="15"/>
      <c r="G145" s="15"/>
      <c r="H145" s="15"/>
      <c r="I145" s="15"/>
      <c r="J145" s="243"/>
      <c r="K145" s="15"/>
      <c r="L145" s="15"/>
      <c r="M145" s="15"/>
      <c r="N145" s="15"/>
      <c r="O145" s="243"/>
      <c r="P145" s="243"/>
      <c r="Q145" s="243"/>
      <c r="R145" s="243"/>
      <c r="S145" s="243"/>
      <c r="T145" s="243"/>
      <c r="U145" s="243"/>
    </row>
    <row r="146">
      <c r="A146" s="15"/>
      <c r="B146" s="15"/>
      <c r="C146" s="15"/>
      <c r="D146" s="15"/>
      <c r="E146" s="15"/>
      <c r="F146" s="15"/>
      <c r="G146" s="15"/>
      <c r="H146" s="15"/>
      <c r="I146" s="15"/>
      <c r="J146" s="243"/>
      <c r="K146" s="15"/>
      <c r="L146" s="15"/>
      <c r="M146" s="15"/>
      <c r="N146" s="15"/>
      <c r="O146" s="243"/>
      <c r="P146" s="243"/>
      <c r="Q146" s="243"/>
      <c r="R146" s="243"/>
      <c r="S146" s="243"/>
      <c r="T146" s="243"/>
      <c r="U146" s="243"/>
    </row>
    <row r="147">
      <c r="A147" s="15"/>
      <c r="B147" s="15"/>
      <c r="C147" s="15"/>
      <c r="D147" s="15"/>
      <c r="E147" s="15"/>
      <c r="F147" s="15"/>
      <c r="G147" s="15"/>
      <c r="H147" s="15"/>
      <c r="I147" s="15"/>
      <c r="J147" s="243"/>
      <c r="K147" s="15"/>
      <c r="L147" s="15"/>
      <c r="M147" s="15"/>
      <c r="N147" s="15"/>
      <c r="O147" s="243"/>
      <c r="P147" s="243"/>
      <c r="Q147" s="243"/>
      <c r="R147" s="243"/>
      <c r="S147" s="243"/>
      <c r="T147" s="243"/>
      <c r="U147" s="243"/>
    </row>
    <row r="148">
      <c r="A148" s="15"/>
      <c r="B148" s="15"/>
      <c r="C148" s="15"/>
      <c r="D148" s="15"/>
      <c r="E148" s="15"/>
      <c r="F148" s="15"/>
      <c r="G148" s="15"/>
      <c r="H148" s="15"/>
      <c r="I148" s="15"/>
      <c r="J148" s="243"/>
      <c r="K148" s="15"/>
      <c r="L148" s="15"/>
      <c r="M148" s="15"/>
      <c r="N148" s="15"/>
      <c r="O148" s="243"/>
      <c r="P148" s="243"/>
      <c r="Q148" s="243"/>
      <c r="R148" s="243"/>
      <c r="S148" s="243"/>
      <c r="T148" s="243"/>
      <c r="U148" s="243"/>
    </row>
    <row r="149">
      <c r="A149" s="15"/>
      <c r="B149" s="15"/>
      <c r="C149" s="15"/>
      <c r="D149" s="15"/>
      <c r="E149" s="15"/>
      <c r="F149" s="15"/>
      <c r="G149" s="15"/>
      <c r="H149" s="15"/>
      <c r="I149" s="15"/>
      <c r="J149" s="243"/>
      <c r="K149" s="15"/>
      <c r="L149" s="15"/>
      <c r="M149" s="15"/>
      <c r="N149" s="15"/>
      <c r="O149" s="243"/>
      <c r="P149" s="243"/>
      <c r="Q149" s="243"/>
      <c r="R149" s="243"/>
      <c r="S149" s="243"/>
      <c r="T149" s="243"/>
      <c r="U149" s="243"/>
    </row>
    <row r="150">
      <c r="A150" s="15"/>
      <c r="B150" s="15"/>
      <c r="C150" s="15"/>
      <c r="D150" s="15"/>
      <c r="E150" s="15"/>
      <c r="F150" s="15"/>
      <c r="G150" s="15"/>
      <c r="H150" s="15"/>
      <c r="I150" s="15"/>
      <c r="J150" s="243"/>
      <c r="K150" s="15"/>
      <c r="L150" s="15"/>
      <c r="M150" s="15"/>
      <c r="N150" s="15"/>
      <c r="O150" s="243"/>
      <c r="P150" s="243"/>
      <c r="Q150" s="243"/>
      <c r="R150" s="243"/>
      <c r="S150" s="243"/>
      <c r="T150" s="243"/>
      <c r="U150" s="243"/>
    </row>
    <row r="151">
      <c r="A151" s="15"/>
      <c r="B151" s="15"/>
      <c r="C151" s="15"/>
      <c r="D151" s="15"/>
      <c r="E151" s="15"/>
      <c r="F151" s="15"/>
      <c r="G151" s="15"/>
      <c r="H151" s="15"/>
      <c r="I151" s="15"/>
      <c r="J151" s="243"/>
      <c r="K151" s="15"/>
      <c r="L151" s="15"/>
      <c r="M151" s="15"/>
      <c r="N151" s="15"/>
      <c r="O151" s="243"/>
      <c r="P151" s="243"/>
      <c r="Q151" s="243"/>
      <c r="R151" s="243"/>
      <c r="S151" s="243"/>
      <c r="T151" s="243"/>
      <c r="U151" s="243"/>
    </row>
    <row r="152">
      <c r="A152" s="15"/>
      <c r="B152" s="15"/>
      <c r="C152" s="15"/>
      <c r="D152" s="15"/>
      <c r="E152" s="15"/>
      <c r="F152" s="15"/>
      <c r="G152" s="15"/>
      <c r="H152" s="15"/>
      <c r="I152" s="15"/>
      <c r="J152" s="243"/>
      <c r="K152" s="15"/>
      <c r="L152" s="15"/>
      <c r="M152" s="15"/>
      <c r="N152" s="15"/>
      <c r="O152" s="243"/>
      <c r="P152" s="243"/>
      <c r="Q152" s="243"/>
      <c r="R152" s="243"/>
      <c r="S152" s="243"/>
      <c r="T152" s="243"/>
      <c r="U152" s="243"/>
    </row>
    <row r="153">
      <c r="A153" s="15"/>
      <c r="B153" s="15"/>
      <c r="C153" s="15"/>
      <c r="D153" s="15"/>
      <c r="E153" s="15"/>
      <c r="F153" s="15"/>
      <c r="G153" s="15"/>
      <c r="H153" s="15"/>
      <c r="I153" s="15"/>
      <c r="J153" s="243"/>
      <c r="K153" s="15"/>
      <c r="L153" s="15"/>
      <c r="M153" s="15"/>
      <c r="N153" s="15"/>
      <c r="O153" s="243"/>
      <c r="P153" s="243"/>
      <c r="Q153" s="243"/>
      <c r="R153" s="243"/>
      <c r="S153" s="243"/>
      <c r="T153" s="243"/>
      <c r="U153" s="243"/>
    </row>
    <row r="154">
      <c r="A154" s="15"/>
      <c r="B154" s="15"/>
      <c r="C154" s="15"/>
      <c r="D154" s="15"/>
      <c r="E154" s="15"/>
      <c r="F154" s="15"/>
      <c r="G154" s="15"/>
      <c r="H154" s="15"/>
      <c r="I154" s="15"/>
      <c r="J154" s="243"/>
      <c r="K154" s="15"/>
      <c r="L154" s="15"/>
      <c r="M154" s="15"/>
      <c r="N154" s="15"/>
      <c r="O154" s="243"/>
      <c r="P154" s="243"/>
      <c r="Q154" s="243"/>
      <c r="R154" s="243"/>
      <c r="S154" s="243"/>
      <c r="T154" s="243"/>
      <c r="U154" s="243"/>
    </row>
    <row r="155">
      <c r="A155" s="15"/>
      <c r="B155" s="15"/>
      <c r="C155" s="15"/>
      <c r="D155" s="15"/>
      <c r="E155" s="15"/>
      <c r="F155" s="15"/>
      <c r="G155" s="15"/>
      <c r="H155" s="15"/>
      <c r="I155" s="15"/>
      <c r="J155" s="243"/>
      <c r="K155" s="15"/>
      <c r="L155" s="15"/>
      <c r="M155" s="15"/>
      <c r="N155" s="15"/>
      <c r="O155" s="243"/>
      <c r="P155" s="243"/>
      <c r="Q155" s="243"/>
      <c r="R155" s="243"/>
      <c r="S155" s="243"/>
      <c r="T155" s="243"/>
      <c r="U155" s="243"/>
    </row>
    <row r="156">
      <c r="A156" s="15"/>
      <c r="B156" s="15"/>
      <c r="C156" s="15"/>
      <c r="D156" s="15"/>
      <c r="E156" s="15"/>
      <c r="F156" s="15"/>
      <c r="G156" s="15"/>
      <c r="H156" s="15"/>
      <c r="I156" s="15"/>
      <c r="J156" s="243"/>
      <c r="K156" s="15"/>
      <c r="L156" s="15"/>
      <c r="M156" s="15"/>
      <c r="N156" s="15"/>
      <c r="O156" s="243"/>
      <c r="P156" s="243"/>
      <c r="Q156" s="243"/>
      <c r="R156" s="243"/>
      <c r="S156" s="243"/>
      <c r="T156" s="243"/>
      <c r="U156" s="243"/>
    </row>
    <row r="157">
      <c r="A157" s="15"/>
      <c r="B157" s="15"/>
      <c r="C157" s="15"/>
      <c r="D157" s="15"/>
      <c r="E157" s="15"/>
      <c r="F157" s="15"/>
      <c r="G157" s="15"/>
      <c r="H157" s="15"/>
      <c r="I157" s="15"/>
      <c r="J157" s="243"/>
      <c r="K157" s="15"/>
      <c r="L157" s="15"/>
      <c r="M157" s="15"/>
      <c r="N157" s="15"/>
      <c r="O157" s="243"/>
      <c r="P157" s="243"/>
      <c r="Q157" s="243"/>
      <c r="R157" s="243"/>
      <c r="S157" s="243"/>
      <c r="T157" s="243"/>
      <c r="U157" s="243"/>
    </row>
    <row r="158">
      <c r="A158" s="15"/>
      <c r="B158" s="15"/>
      <c r="C158" s="15"/>
      <c r="D158" s="15"/>
      <c r="E158" s="15"/>
      <c r="F158" s="15"/>
      <c r="G158" s="15"/>
      <c r="H158" s="15"/>
      <c r="I158" s="15"/>
      <c r="J158" s="243"/>
      <c r="K158" s="15"/>
      <c r="L158" s="15"/>
      <c r="M158" s="15"/>
      <c r="N158" s="15"/>
      <c r="O158" s="243"/>
      <c r="P158" s="243"/>
      <c r="Q158" s="243"/>
      <c r="R158" s="243"/>
      <c r="S158" s="243"/>
      <c r="T158" s="243"/>
      <c r="U158" s="243"/>
    </row>
    <row r="159">
      <c r="A159" s="15"/>
      <c r="B159" s="15"/>
      <c r="C159" s="15"/>
      <c r="D159" s="15"/>
      <c r="E159" s="15"/>
      <c r="F159" s="15"/>
      <c r="G159" s="15"/>
      <c r="H159" s="15"/>
      <c r="I159" s="15"/>
      <c r="J159" s="243"/>
      <c r="K159" s="15"/>
      <c r="L159" s="15"/>
      <c r="M159" s="15"/>
      <c r="N159" s="15"/>
      <c r="O159" s="243"/>
      <c r="P159" s="243"/>
      <c r="Q159" s="243"/>
      <c r="R159" s="243"/>
      <c r="S159" s="243"/>
      <c r="T159" s="243"/>
      <c r="U159" s="243"/>
    </row>
    <row r="160">
      <c r="A160" s="15"/>
      <c r="B160" s="15"/>
      <c r="C160" s="15"/>
      <c r="D160" s="15"/>
      <c r="E160" s="15"/>
      <c r="F160" s="15"/>
      <c r="G160" s="15"/>
      <c r="H160" s="15"/>
      <c r="I160" s="15"/>
      <c r="J160" s="243"/>
      <c r="K160" s="15"/>
      <c r="L160" s="15"/>
      <c r="M160" s="15"/>
      <c r="N160" s="15"/>
      <c r="O160" s="243"/>
      <c r="P160" s="243"/>
      <c r="Q160" s="243"/>
      <c r="R160" s="243"/>
      <c r="S160" s="243"/>
      <c r="T160" s="243"/>
      <c r="U160" s="243"/>
    </row>
    <row r="161">
      <c r="A161" s="15"/>
      <c r="B161" s="15"/>
      <c r="C161" s="15"/>
      <c r="D161" s="15"/>
      <c r="E161" s="15"/>
      <c r="F161" s="15"/>
      <c r="G161" s="15"/>
      <c r="H161" s="15"/>
      <c r="I161" s="15"/>
      <c r="J161" s="243"/>
      <c r="K161" s="15"/>
      <c r="L161" s="15"/>
      <c r="M161" s="15"/>
      <c r="N161" s="15"/>
      <c r="O161" s="243"/>
      <c r="P161" s="243"/>
      <c r="Q161" s="243"/>
      <c r="R161" s="243"/>
      <c r="S161" s="243"/>
      <c r="T161" s="243"/>
      <c r="U161" s="243"/>
    </row>
    <row r="162">
      <c r="A162" s="15"/>
      <c r="B162" s="15"/>
      <c r="C162" s="15"/>
      <c r="D162" s="15"/>
      <c r="E162" s="15"/>
      <c r="F162" s="15"/>
      <c r="G162" s="15"/>
      <c r="H162" s="15"/>
      <c r="I162" s="15"/>
      <c r="J162" s="243"/>
      <c r="K162" s="15"/>
      <c r="L162" s="15"/>
      <c r="M162" s="15"/>
      <c r="N162" s="15"/>
      <c r="O162" s="243"/>
      <c r="P162" s="243"/>
      <c r="Q162" s="243"/>
      <c r="R162" s="243"/>
      <c r="S162" s="243"/>
      <c r="T162" s="243"/>
      <c r="U162" s="243"/>
    </row>
    <row r="163">
      <c r="A163" s="15"/>
      <c r="B163" s="15"/>
      <c r="C163" s="15"/>
      <c r="D163" s="15"/>
      <c r="E163" s="15"/>
      <c r="F163" s="15"/>
      <c r="G163" s="15"/>
      <c r="H163" s="15"/>
      <c r="I163" s="15"/>
      <c r="J163" s="243"/>
      <c r="K163" s="15"/>
      <c r="L163" s="15"/>
      <c r="M163" s="15"/>
      <c r="N163" s="15"/>
      <c r="O163" s="243"/>
      <c r="P163" s="243"/>
      <c r="Q163" s="243"/>
      <c r="R163" s="243"/>
      <c r="S163" s="243"/>
      <c r="T163" s="243"/>
      <c r="U163" s="243"/>
    </row>
    <row r="164">
      <c r="A164" s="15"/>
      <c r="B164" s="15"/>
      <c r="C164" s="15"/>
      <c r="D164" s="15"/>
      <c r="E164" s="15"/>
      <c r="F164" s="15"/>
      <c r="G164" s="15"/>
      <c r="H164" s="15"/>
      <c r="I164" s="15"/>
      <c r="J164" s="243"/>
      <c r="K164" s="15"/>
      <c r="L164" s="15"/>
      <c r="M164" s="15"/>
      <c r="N164" s="15"/>
      <c r="O164" s="243"/>
      <c r="P164" s="243"/>
      <c r="Q164" s="243"/>
      <c r="R164" s="243"/>
      <c r="S164" s="243"/>
      <c r="T164" s="243"/>
      <c r="U164" s="243"/>
    </row>
    <row r="165">
      <c r="A165" s="15"/>
      <c r="B165" s="15"/>
      <c r="C165" s="15"/>
      <c r="D165" s="15"/>
      <c r="E165" s="15"/>
      <c r="F165" s="15"/>
      <c r="G165" s="15"/>
      <c r="H165" s="15"/>
      <c r="I165" s="15"/>
      <c r="J165" s="243"/>
      <c r="K165" s="15"/>
      <c r="L165" s="15"/>
      <c r="M165" s="15"/>
      <c r="N165" s="15"/>
      <c r="O165" s="243"/>
      <c r="P165" s="243"/>
      <c r="Q165" s="243"/>
      <c r="R165" s="243"/>
      <c r="S165" s="243"/>
      <c r="T165" s="243"/>
      <c r="U165" s="243"/>
    </row>
    <row r="166">
      <c r="A166" s="15"/>
      <c r="B166" s="15"/>
      <c r="C166" s="15"/>
      <c r="D166" s="15"/>
      <c r="E166" s="15"/>
      <c r="F166" s="15"/>
      <c r="G166" s="15"/>
      <c r="H166" s="15"/>
      <c r="I166" s="15"/>
      <c r="J166" s="243"/>
      <c r="K166" s="15"/>
      <c r="L166" s="15"/>
      <c r="M166" s="15"/>
      <c r="N166" s="15"/>
      <c r="O166" s="243"/>
      <c r="P166" s="243"/>
      <c r="Q166" s="243"/>
      <c r="R166" s="243"/>
      <c r="S166" s="243"/>
      <c r="T166" s="243"/>
      <c r="U166" s="243"/>
    </row>
    <row r="167">
      <c r="A167" s="15"/>
      <c r="B167" s="15"/>
      <c r="C167" s="15"/>
      <c r="D167" s="15"/>
      <c r="E167" s="15"/>
      <c r="F167" s="15"/>
      <c r="G167" s="15"/>
      <c r="H167" s="15"/>
      <c r="I167" s="15"/>
      <c r="J167" s="243"/>
      <c r="K167" s="15"/>
      <c r="L167" s="15"/>
      <c r="M167" s="15"/>
      <c r="N167" s="15"/>
      <c r="O167" s="243"/>
      <c r="P167" s="243"/>
      <c r="Q167" s="243"/>
      <c r="R167" s="243"/>
      <c r="S167" s="243"/>
      <c r="T167" s="243"/>
      <c r="U167" s="243"/>
    </row>
    <row r="168">
      <c r="A168" s="15"/>
      <c r="B168" s="15"/>
      <c r="C168" s="15"/>
      <c r="D168" s="15"/>
      <c r="E168" s="15"/>
      <c r="F168" s="15"/>
      <c r="G168" s="15"/>
      <c r="H168" s="15"/>
      <c r="I168" s="15"/>
      <c r="J168" s="243"/>
      <c r="K168" s="15"/>
      <c r="L168" s="15"/>
      <c r="M168" s="15"/>
      <c r="N168" s="15"/>
      <c r="O168" s="243"/>
      <c r="P168" s="243"/>
      <c r="Q168" s="243"/>
      <c r="R168" s="243"/>
      <c r="S168" s="243"/>
      <c r="T168" s="243"/>
      <c r="U168" s="243"/>
    </row>
    <row r="169">
      <c r="A169" s="15"/>
      <c r="B169" s="15"/>
      <c r="C169" s="15"/>
      <c r="D169" s="15"/>
      <c r="E169" s="15"/>
      <c r="F169" s="15"/>
      <c r="G169" s="15"/>
      <c r="H169" s="15"/>
      <c r="I169" s="15"/>
      <c r="J169" s="243"/>
      <c r="K169" s="15"/>
      <c r="L169" s="15"/>
      <c r="M169" s="15"/>
      <c r="N169" s="15"/>
      <c r="O169" s="243"/>
      <c r="P169" s="243"/>
      <c r="Q169" s="243"/>
      <c r="R169" s="243"/>
      <c r="S169" s="243"/>
      <c r="T169" s="243"/>
      <c r="U169" s="243"/>
    </row>
    <row r="170">
      <c r="A170" s="15"/>
      <c r="B170" s="15"/>
      <c r="C170" s="15"/>
      <c r="D170" s="15"/>
      <c r="E170" s="15"/>
      <c r="F170" s="15"/>
      <c r="G170" s="15"/>
      <c r="H170" s="15"/>
      <c r="I170" s="15"/>
      <c r="J170" s="243"/>
      <c r="K170" s="15"/>
      <c r="L170" s="15"/>
      <c r="M170" s="15"/>
      <c r="N170" s="15"/>
      <c r="O170" s="243"/>
      <c r="P170" s="243"/>
      <c r="Q170" s="243"/>
      <c r="R170" s="243"/>
      <c r="S170" s="243"/>
      <c r="T170" s="243"/>
      <c r="U170" s="243"/>
    </row>
    <row r="171">
      <c r="A171" s="15"/>
      <c r="B171" s="15"/>
      <c r="C171" s="15"/>
      <c r="D171" s="15"/>
      <c r="E171" s="15"/>
      <c r="F171" s="15"/>
      <c r="G171" s="15"/>
      <c r="H171" s="15"/>
      <c r="I171" s="15"/>
      <c r="J171" s="243"/>
      <c r="K171" s="15"/>
      <c r="L171" s="15"/>
      <c r="M171" s="15"/>
      <c r="N171" s="15"/>
      <c r="O171" s="243"/>
      <c r="P171" s="243"/>
      <c r="Q171" s="243"/>
      <c r="R171" s="243"/>
      <c r="S171" s="243"/>
      <c r="T171" s="243"/>
      <c r="U171" s="243"/>
    </row>
    <row r="172">
      <c r="A172" s="15"/>
      <c r="B172" s="15"/>
      <c r="C172" s="15"/>
      <c r="D172" s="15"/>
      <c r="E172" s="15"/>
      <c r="F172" s="15"/>
      <c r="G172" s="15"/>
      <c r="H172" s="15"/>
      <c r="I172" s="15"/>
      <c r="J172" s="243"/>
      <c r="K172" s="15"/>
      <c r="L172" s="15"/>
      <c r="M172" s="15"/>
      <c r="N172" s="15"/>
      <c r="O172" s="243"/>
      <c r="P172" s="243"/>
      <c r="Q172" s="243"/>
      <c r="R172" s="243"/>
      <c r="S172" s="243"/>
      <c r="T172" s="243"/>
      <c r="U172" s="243"/>
    </row>
    <row r="173">
      <c r="A173" s="15"/>
      <c r="B173" s="15"/>
      <c r="C173" s="15"/>
      <c r="D173" s="15"/>
      <c r="E173" s="15"/>
      <c r="F173" s="15"/>
      <c r="G173" s="15"/>
      <c r="H173" s="15"/>
      <c r="I173" s="15"/>
      <c r="J173" s="243"/>
      <c r="K173" s="15"/>
      <c r="L173" s="15"/>
      <c r="M173" s="15"/>
      <c r="N173" s="15"/>
      <c r="O173" s="243"/>
      <c r="P173" s="243"/>
      <c r="Q173" s="243"/>
      <c r="R173" s="243"/>
      <c r="S173" s="243"/>
      <c r="T173" s="243"/>
      <c r="U173" s="243"/>
    </row>
    <row r="174">
      <c r="A174" s="15"/>
      <c r="B174" s="15"/>
      <c r="C174" s="15"/>
      <c r="D174" s="15"/>
      <c r="E174" s="15"/>
      <c r="F174" s="15"/>
      <c r="G174" s="15"/>
      <c r="H174" s="15"/>
      <c r="I174" s="15"/>
      <c r="J174" s="243"/>
      <c r="K174" s="15"/>
      <c r="L174" s="15"/>
      <c r="M174" s="15"/>
      <c r="N174" s="15"/>
      <c r="O174" s="243"/>
      <c r="P174" s="243"/>
      <c r="Q174" s="243"/>
      <c r="R174" s="243"/>
      <c r="S174" s="243"/>
      <c r="T174" s="243"/>
      <c r="U174" s="243"/>
    </row>
    <row r="175">
      <c r="A175" s="15"/>
      <c r="B175" s="15"/>
      <c r="C175" s="15"/>
      <c r="D175" s="15"/>
      <c r="E175" s="15"/>
      <c r="F175" s="15"/>
      <c r="G175" s="15"/>
      <c r="H175" s="15"/>
      <c r="I175" s="15"/>
      <c r="J175" s="243"/>
      <c r="K175" s="15"/>
      <c r="L175" s="15"/>
      <c r="M175" s="15"/>
      <c r="N175" s="15"/>
      <c r="O175" s="243"/>
      <c r="P175" s="243"/>
      <c r="Q175" s="243"/>
      <c r="R175" s="243"/>
      <c r="S175" s="243"/>
      <c r="T175" s="243"/>
      <c r="U175" s="243"/>
    </row>
    <row r="176">
      <c r="A176" s="15"/>
      <c r="B176" s="15"/>
      <c r="C176" s="15"/>
      <c r="D176" s="15"/>
      <c r="E176" s="15"/>
      <c r="F176" s="15"/>
      <c r="G176" s="15"/>
      <c r="H176" s="15"/>
      <c r="I176" s="15"/>
      <c r="J176" s="243"/>
      <c r="K176" s="15"/>
      <c r="L176" s="15"/>
      <c r="M176" s="15"/>
      <c r="N176" s="15"/>
      <c r="O176" s="243"/>
      <c r="P176" s="243"/>
      <c r="Q176" s="243"/>
      <c r="R176" s="243"/>
      <c r="S176" s="243"/>
      <c r="T176" s="243"/>
      <c r="U176" s="243"/>
    </row>
    <row r="177">
      <c r="A177" s="15"/>
      <c r="B177" s="15"/>
      <c r="C177" s="15"/>
      <c r="D177" s="15"/>
      <c r="E177" s="15"/>
      <c r="F177" s="15"/>
      <c r="G177" s="15"/>
      <c r="H177" s="15"/>
      <c r="I177" s="15"/>
      <c r="J177" s="243"/>
      <c r="K177" s="15"/>
      <c r="L177" s="15"/>
      <c r="M177" s="15"/>
      <c r="N177" s="15"/>
      <c r="O177" s="243"/>
      <c r="P177" s="243"/>
      <c r="Q177" s="243"/>
      <c r="R177" s="243"/>
      <c r="S177" s="243"/>
      <c r="T177" s="243"/>
      <c r="U177" s="243"/>
    </row>
    <row r="178">
      <c r="A178" s="15"/>
      <c r="B178" s="15"/>
      <c r="C178" s="15"/>
      <c r="D178" s="15"/>
      <c r="E178" s="15"/>
      <c r="F178" s="15"/>
      <c r="G178" s="15"/>
      <c r="H178" s="15"/>
      <c r="I178" s="15"/>
      <c r="J178" s="243"/>
      <c r="K178" s="15"/>
      <c r="L178" s="15"/>
      <c r="M178" s="15"/>
      <c r="N178" s="15"/>
      <c r="O178" s="243"/>
      <c r="P178" s="243"/>
      <c r="Q178" s="243"/>
      <c r="R178" s="243"/>
      <c r="S178" s="243"/>
      <c r="T178" s="243"/>
      <c r="U178" s="243"/>
    </row>
    <row r="179">
      <c r="A179" s="15"/>
      <c r="B179" s="15"/>
      <c r="C179" s="15"/>
      <c r="D179" s="15"/>
      <c r="E179" s="15"/>
      <c r="F179" s="15"/>
      <c r="G179" s="15"/>
      <c r="H179" s="15"/>
      <c r="I179" s="15"/>
      <c r="J179" s="243"/>
      <c r="K179" s="15"/>
      <c r="L179" s="15"/>
      <c r="M179" s="15"/>
      <c r="N179" s="15"/>
      <c r="O179" s="243"/>
      <c r="P179" s="243"/>
      <c r="Q179" s="243"/>
      <c r="R179" s="243"/>
      <c r="S179" s="243"/>
      <c r="T179" s="243"/>
      <c r="U179" s="243"/>
    </row>
    <row r="180">
      <c r="A180" s="15"/>
      <c r="B180" s="15"/>
      <c r="C180" s="15"/>
      <c r="D180" s="15"/>
      <c r="E180" s="15"/>
      <c r="F180" s="15"/>
      <c r="G180" s="15"/>
      <c r="H180" s="15"/>
      <c r="I180" s="15"/>
      <c r="J180" s="243"/>
      <c r="K180" s="15"/>
      <c r="L180" s="15"/>
      <c r="M180" s="15"/>
      <c r="N180" s="15"/>
      <c r="O180" s="243"/>
      <c r="P180" s="243"/>
      <c r="Q180" s="243"/>
      <c r="R180" s="243"/>
      <c r="S180" s="243"/>
      <c r="T180" s="243"/>
      <c r="U180" s="243"/>
    </row>
    <row r="181">
      <c r="A181" s="15"/>
      <c r="B181" s="15"/>
      <c r="C181" s="15"/>
      <c r="D181" s="15"/>
      <c r="E181" s="15"/>
      <c r="F181" s="15"/>
      <c r="G181" s="15"/>
      <c r="H181" s="15"/>
      <c r="I181" s="15"/>
      <c r="J181" s="243"/>
      <c r="K181" s="15"/>
      <c r="L181" s="15"/>
      <c r="M181" s="15"/>
      <c r="N181" s="15"/>
      <c r="O181" s="243"/>
      <c r="P181" s="243"/>
      <c r="Q181" s="243"/>
      <c r="R181" s="243"/>
      <c r="S181" s="243"/>
      <c r="T181" s="243"/>
      <c r="U181" s="243"/>
    </row>
    <row r="182">
      <c r="A182" s="15"/>
      <c r="B182" s="15"/>
      <c r="C182" s="15"/>
      <c r="D182" s="15"/>
      <c r="E182" s="15"/>
      <c r="F182" s="15"/>
      <c r="G182" s="15"/>
      <c r="H182" s="15"/>
      <c r="I182" s="15"/>
      <c r="J182" s="243"/>
      <c r="K182" s="15"/>
      <c r="L182" s="15"/>
      <c r="M182" s="15"/>
      <c r="N182" s="15"/>
      <c r="O182" s="243"/>
      <c r="P182" s="243"/>
      <c r="Q182" s="243"/>
      <c r="R182" s="243"/>
      <c r="S182" s="243"/>
      <c r="T182" s="243"/>
      <c r="U182" s="243"/>
    </row>
    <row r="183">
      <c r="A183" s="15"/>
      <c r="B183" s="15"/>
      <c r="C183" s="15"/>
      <c r="D183" s="15"/>
      <c r="E183" s="15"/>
      <c r="F183" s="15"/>
      <c r="G183" s="15"/>
      <c r="H183" s="15"/>
      <c r="I183" s="15"/>
      <c r="J183" s="243"/>
      <c r="K183" s="15"/>
      <c r="L183" s="15"/>
      <c r="M183" s="15"/>
      <c r="N183" s="15"/>
      <c r="O183" s="243"/>
      <c r="P183" s="243"/>
      <c r="Q183" s="243"/>
      <c r="R183" s="243"/>
      <c r="S183" s="243"/>
      <c r="T183" s="243"/>
      <c r="U183" s="243"/>
    </row>
    <row r="184">
      <c r="A184" s="15"/>
      <c r="B184" s="15"/>
      <c r="C184" s="15"/>
      <c r="D184" s="15"/>
      <c r="E184" s="15"/>
      <c r="F184" s="15"/>
      <c r="G184" s="15"/>
      <c r="H184" s="15"/>
      <c r="I184" s="15"/>
      <c r="J184" s="243"/>
      <c r="K184" s="15"/>
      <c r="L184" s="15"/>
      <c r="M184" s="15"/>
      <c r="N184" s="15"/>
      <c r="O184" s="243"/>
      <c r="P184" s="243"/>
      <c r="Q184" s="243"/>
      <c r="R184" s="243"/>
      <c r="S184" s="243"/>
      <c r="T184" s="243"/>
      <c r="U184" s="243"/>
    </row>
    <row r="185">
      <c r="A185" s="15"/>
      <c r="B185" s="15"/>
      <c r="C185" s="15"/>
      <c r="D185" s="15"/>
      <c r="E185" s="15"/>
      <c r="F185" s="15"/>
      <c r="G185" s="15"/>
      <c r="H185" s="15"/>
      <c r="I185" s="15"/>
      <c r="J185" s="243"/>
      <c r="K185" s="15"/>
      <c r="L185" s="15"/>
      <c r="M185" s="15"/>
      <c r="N185" s="15"/>
      <c r="O185" s="243"/>
      <c r="P185" s="243"/>
      <c r="Q185" s="243"/>
      <c r="R185" s="243"/>
      <c r="S185" s="243"/>
      <c r="T185" s="243"/>
      <c r="U185" s="243"/>
    </row>
    <row r="186">
      <c r="A186" s="15"/>
      <c r="B186" s="15"/>
      <c r="C186" s="15"/>
      <c r="D186" s="15"/>
      <c r="E186" s="15"/>
      <c r="F186" s="15"/>
      <c r="G186" s="15"/>
      <c r="H186" s="15"/>
      <c r="I186" s="15"/>
      <c r="J186" s="243"/>
      <c r="K186" s="15"/>
      <c r="L186" s="15"/>
      <c r="M186" s="15"/>
      <c r="N186" s="15"/>
      <c r="O186" s="243"/>
      <c r="P186" s="243"/>
      <c r="Q186" s="243"/>
      <c r="R186" s="243"/>
      <c r="S186" s="243"/>
      <c r="T186" s="243"/>
      <c r="U186" s="243"/>
    </row>
    <row r="187">
      <c r="A187" s="15"/>
      <c r="B187" s="15"/>
      <c r="C187" s="15"/>
      <c r="D187" s="15"/>
      <c r="E187" s="15"/>
      <c r="F187" s="15"/>
      <c r="G187" s="15"/>
      <c r="H187" s="15"/>
      <c r="I187" s="15"/>
      <c r="J187" s="243"/>
      <c r="K187" s="15"/>
      <c r="L187" s="15"/>
      <c r="M187" s="15"/>
      <c r="N187" s="15"/>
      <c r="O187" s="243"/>
      <c r="P187" s="243"/>
      <c r="Q187" s="243"/>
      <c r="R187" s="243"/>
      <c r="S187" s="243"/>
      <c r="T187" s="243"/>
      <c r="U187" s="243"/>
    </row>
    <row r="188">
      <c r="A188" s="15"/>
      <c r="B188" s="15"/>
      <c r="C188" s="15"/>
      <c r="D188" s="15"/>
      <c r="E188" s="15"/>
      <c r="F188" s="15"/>
      <c r="G188" s="15"/>
      <c r="H188" s="15"/>
      <c r="I188" s="15"/>
      <c r="J188" s="243"/>
      <c r="K188" s="15"/>
      <c r="L188" s="15"/>
      <c r="M188" s="15"/>
      <c r="N188" s="15"/>
      <c r="O188" s="243"/>
      <c r="P188" s="243"/>
      <c r="Q188" s="243"/>
      <c r="R188" s="243"/>
      <c r="S188" s="243"/>
      <c r="T188" s="243"/>
      <c r="U188" s="243"/>
    </row>
    <row r="189">
      <c r="A189" s="15"/>
      <c r="B189" s="15"/>
      <c r="C189" s="15"/>
      <c r="D189" s="15"/>
      <c r="E189" s="15"/>
      <c r="F189" s="15"/>
      <c r="G189" s="15"/>
      <c r="H189" s="15"/>
      <c r="I189" s="15"/>
      <c r="J189" s="243"/>
      <c r="K189" s="15"/>
      <c r="L189" s="15"/>
      <c r="M189" s="15"/>
      <c r="N189" s="15"/>
      <c r="O189" s="243"/>
      <c r="P189" s="243"/>
      <c r="Q189" s="243"/>
      <c r="R189" s="243"/>
      <c r="S189" s="243"/>
      <c r="T189" s="243"/>
      <c r="U189" s="243"/>
    </row>
    <row r="190">
      <c r="A190" s="15"/>
      <c r="B190" s="15"/>
      <c r="C190" s="15"/>
      <c r="D190" s="15"/>
      <c r="E190" s="15"/>
      <c r="F190" s="15"/>
      <c r="G190" s="15"/>
      <c r="H190" s="15"/>
      <c r="I190" s="15"/>
      <c r="J190" s="243"/>
      <c r="K190" s="15"/>
      <c r="L190" s="15"/>
      <c r="M190" s="15"/>
      <c r="N190" s="15"/>
      <c r="O190" s="243"/>
      <c r="P190" s="243"/>
      <c r="Q190" s="243"/>
      <c r="R190" s="243"/>
      <c r="S190" s="243"/>
      <c r="T190" s="243"/>
      <c r="U190" s="243"/>
    </row>
    <row r="191">
      <c r="A191" s="15"/>
      <c r="B191" s="15"/>
      <c r="C191" s="15"/>
      <c r="D191" s="15"/>
      <c r="E191" s="15"/>
      <c r="F191" s="15"/>
      <c r="G191" s="15"/>
      <c r="H191" s="15"/>
      <c r="I191" s="15"/>
      <c r="J191" s="243"/>
      <c r="K191" s="15"/>
      <c r="L191" s="15"/>
      <c r="M191" s="15"/>
      <c r="N191" s="15"/>
      <c r="O191" s="243"/>
      <c r="P191" s="243"/>
      <c r="Q191" s="243"/>
      <c r="R191" s="243"/>
      <c r="S191" s="243"/>
      <c r="T191" s="243"/>
      <c r="U191" s="243"/>
    </row>
    <row r="192">
      <c r="A192" s="15"/>
      <c r="B192" s="15"/>
      <c r="C192" s="15"/>
      <c r="D192" s="15"/>
      <c r="E192" s="15"/>
      <c r="F192" s="15"/>
      <c r="G192" s="15"/>
      <c r="H192" s="15"/>
      <c r="I192" s="15"/>
      <c r="J192" s="243"/>
      <c r="K192" s="15"/>
      <c r="L192" s="15"/>
      <c r="M192" s="15"/>
      <c r="N192" s="15"/>
      <c r="O192" s="243"/>
      <c r="P192" s="243"/>
      <c r="Q192" s="243"/>
      <c r="R192" s="243"/>
      <c r="S192" s="243"/>
      <c r="T192" s="243"/>
      <c r="U192" s="243"/>
    </row>
    <row r="193">
      <c r="A193" s="15"/>
      <c r="B193" s="15"/>
      <c r="C193" s="15"/>
      <c r="D193" s="15"/>
      <c r="E193" s="15"/>
      <c r="F193" s="15"/>
      <c r="G193" s="15"/>
      <c r="H193" s="15"/>
      <c r="I193" s="15"/>
      <c r="J193" s="243"/>
      <c r="K193" s="15"/>
      <c r="L193" s="15"/>
      <c r="M193" s="15"/>
      <c r="N193" s="15"/>
      <c r="O193" s="243"/>
      <c r="P193" s="243"/>
      <c r="Q193" s="243"/>
      <c r="R193" s="243"/>
      <c r="S193" s="243"/>
      <c r="T193" s="243"/>
      <c r="U193" s="243"/>
    </row>
    <row r="194">
      <c r="A194" s="15"/>
      <c r="B194" s="15"/>
      <c r="C194" s="15"/>
      <c r="D194" s="15"/>
      <c r="E194" s="15"/>
      <c r="F194" s="15"/>
      <c r="G194" s="15"/>
      <c r="H194" s="15"/>
      <c r="I194" s="15"/>
      <c r="J194" s="243"/>
      <c r="K194" s="15"/>
      <c r="L194" s="15"/>
      <c r="M194" s="15"/>
      <c r="N194" s="15"/>
      <c r="O194" s="243"/>
      <c r="P194" s="243"/>
      <c r="Q194" s="243"/>
      <c r="R194" s="243"/>
      <c r="S194" s="243"/>
      <c r="T194" s="243"/>
      <c r="U194" s="243"/>
    </row>
    <row r="195">
      <c r="A195" s="15"/>
      <c r="B195" s="15"/>
      <c r="C195" s="15"/>
      <c r="D195" s="15"/>
      <c r="E195" s="15"/>
      <c r="F195" s="15"/>
      <c r="G195" s="15"/>
      <c r="H195" s="15"/>
      <c r="I195" s="15"/>
      <c r="J195" s="243"/>
      <c r="K195" s="15"/>
      <c r="L195" s="15"/>
      <c r="M195" s="15"/>
      <c r="N195" s="15"/>
      <c r="O195" s="243"/>
      <c r="P195" s="243"/>
      <c r="Q195" s="243"/>
      <c r="R195" s="243"/>
      <c r="S195" s="243"/>
      <c r="T195" s="243"/>
      <c r="U195" s="243"/>
    </row>
    <row r="196">
      <c r="A196" s="15"/>
      <c r="B196" s="15"/>
      <c r="C196" s="15"/>
      <c r="D196" s="15"/>
      <c r="E196" s="15"/>
      <c r="F196" s="15"/>
      <c r="G196" s="15"/>
      <c r="H196" s="15"/>
      <c r="I196" s="15"/>
      <c r="J196" s="243"/>
      <c r="K196" s="15"/>
      <c r="L196" s="15"/>
      <c r="M196" s="15"/>
      <c r="N196" s="15"/>
      <c r="O196" s="243"/>
      <c r="P196" s="243"/>
      <c r="Q196" s="243"/>
      <c r="R196" s="243"/>
      <c r="S196" s="243"/>
      <c r="T196" s="243"/>
      <c r="U196" s="243"/>
    </row>
    <row r="197">
      <c r="A197" s="15"/>
      <c r="B197" s="15"/>
      <c r="C197" s="15"/>
      <c r="D197" s="15"/>
      <c r="E197" s="15"/>
      <c r="F197" s="15"/>
      <c r="G197" s="15"/>
      <c r="H197" s="15"/>
      <c r="I197" s="15"/>
      <c r="J197" s="243"/>
      <c r="K197" s="15"/>
      <c r="L197" s="15"/>
      <c r="M197" s="15"/>
      <c r="N197" s="15"/>
      <c r="O197" s="243"/>
      <c r="P197" s="243"/>
      <c r="Q197" s="243"/>
      <c r="R197" s="243"/>
      <c r="S197" s="243"/>
      <c r="T197" s="243"/>
      <c r="U197" s="243"/>
    </row>
    <row r="198">
      <c r="A198" s="15"/>
      <c r="B198" s="15"/>
      <c r="C198" s="15"/>
      <c r="D198" s="15"/>
      <c r="E198" s="15"/>
      <c r="F198" s="15"/>
      <c r="G198" s="15"/>
      <c r="H198" s="15"/>
      <c r="I198" s="15"/>
      <c r="J198" s="243"/>
      <c r="K198" s="15"/>
      <c r="L198" s="15"/>
      <c r="M198" s="15"/>
      <c r="N198" s="15"/>
      <c r="O198" s="243"/>
      <c r="P198" s="243"/>
      <c r="Q198" s="243"/>
      <c r="R198" s="243"/>
      <c r="S198" s="243"/>
      <c r="T198" s="243"/>
      <c r="U198" s="243"/>
    </row>
    <row r="199">
      <c r="A199" s="15"/>
      <c r="B199" s="15"/>
      <c r="C199" s="15"/>
      <c r="D199" s="15"/>
      <c r="E199" s="15"/>
      <c r="F199" s="15"/>
      <c r="G199" s="15"/>
      <c r="H199" s="15"/>
      <c r="I199" s="15"/>
      <c r="J199" s="243"/>
      <c r="K199" s="15"/>
      <c r="L199" s="15"/>
      <c r="M199" s="15"/>
      <c r="N199" s="15"/>
      <c r="O199" s="243"/>
      <c r="P199" s="243"/>
      <c r="Q199" s="243"/>
      <c r="R199" s="243"/>
      <c r="S199" s="243"/>
      <c r="T199" s="243"/>
      <c r="U199" s="243"/>
    </row>
    <row r="200">
      <c r="A200" s="15"/>
      <c r="B200" s="15"/>
      <c r="C200" s="15"/>
      <c r="D200" s="15"/>
      <c r="E200" s="15"/>
      <c r="F200" s="15"/>
      <c r="G200" s="15"/>
      <c r="H200" s="15"/>
      <c r="I200" s="15"/>
      <c r="J200" s="243"/>
      <c r="K200" s="15"/>
      <c r="L200" s="15"/>
      <c r="M200" s="15"/>
      <c r="N200" s="15"/>
      <c r="O200" s="243"/>
      <c r="P200" s="243"/>
      <c r="Q200" s="243"/>
      <c r="R200" s="243"/>
      <c r="S200" s="243"/>
      <c r="T200" s="243"/>
      <c r="U200" s="243"/>
    </row>
    <row r="201">
      <c r="A201" s="15"/>
      <c r="B201" s="15"/>
      <c r="C201" s="15"/>
      <c r="D201" s="15"/>
      <c r="E201" s="15"/>
      <c r="F201" s="15"/>
      <c r="G201" s="15"/>
      <c r="H201" s="15"/>
      <c r="I201" s="15"/>
      <c r="J201" s="243"/>
      <c r="K201" s="15"/>
      <c r="L201" s="15"/>
      <c r="M201" s="15"/>
      <c r="N201" s="15"/>
      <c r="O201" s="243"/>
      <c r="P201" s="243"/>
      <c r="Q201" s="243"/>
      <c r="R201" s="243"/>
      <c r="S201" s="243"/>
      <c r="T201" s="243"/>
      <c r="U201" s="243"/>
    </row>
    <row r="202">
      <c r="A202" s="15"/>
      <c r="B202" s="15"/>
      <c r="C202" s="15"/>
      <c r="D202" s="15"/>
      <c r="E202" s="15"/>
      <c r="F202" s="15"/>
      <c r="G202" s="15"/>
      <c r="H202" s="15"/>
      <c r="I202" s="15"/>
      <c r="J202" s="243"/>
      <c r="K202" s="15"/>
      <c r="L202" s="15"/>
      <c r="M202" s="15"/>
      <c r="N202" s="15"/>
      <c r="O202" s="243"/>
      <c r="P202" s="243"/>
      <c r="Q202" s="243"/>
      <c r="R202" s="243"/>
      <c r="S202" s="243"/>
      <c r="T202" s="243"/>
      <c r="U202" s="243"/>
    </row>
    <row r="203">
      <c r="A203" s="15"/>
      <c r="B203" s="15"/>
      <c r="C203" s="15"/>
      <c r="D203" s="15"/>
      <c r="E203" s="15"/>
      <c r="F203" s="15"/>
      <c r="G203" s="15"/>
      <c r="H203" s="15"/>
      <c r="I203" s="15"/>
      <c r="J203" s="243"/>
      <c r="K203" s="15"/>
      <c r="L203" s="15"/>
      <c r="M203" s="15"/>
      <c r="N203" s="15"/>
      <c r="O203" s="243"/>
      <c r="P203" s="243"/>
      <c r="Q203" s="243"/>
      <c r="R203" s="243"/>
      <c r="S203" s="243"/>
      <c r="T203" s="243"/>
      <c r="U203" s="243"/>
    </row>
    <row r="204">
      <c r="A204" s="15"/>
      <c r="B204" s="15"/>
      <c r="C204" s="15"/>
      <c r="D204" s="15"/>
      <c r="E204" s="15"/>
      <c r="F204" s="15"/>
      <c r="G204" s="15"/>
      <c r="H204" s="15"/>
      <c r="I204" s="15"/>
      <c r="J204" s="243"/>
      <c r="K204" s="15"/>
      <c r="L204" s="15"/>
      <c r="M204" s="15"/>
      <c r="N204" s="15"/>
      <c r="O204" s="243"/>
      <c r="P204" s="243"/>
      <c r="Q204" s="243"/>
      <c r="R204" s="243"/>
      <c r="S204" s="243"/>
      <c r="T204" s="243"/>
      <c r="U204" s="243"/>
    </row>
    <row r="205">
      <c r="A205" s="15"/>
      <c r="B205" s="15"/>
      <c r="C205" s="15"/>
      <c r="D205" s="15"/>
      <c r="E205" s="15"/>
      <c r="F205" s="15"/>
      <c r="G205" s="15"/>
      <c r="H205" s="15"/>
      <c r="I205" s="15"/>
      <c r="J205" s="243"/>
      <c r="K205" s="15"/>
      <c r="L205" s="15"/>
      <c r="M205" s="15"/>
      <c r="N205" s="15"/>
      <c r="O205" s="243"/>
      <c r="P205" s="243"/>
      <c r="Q205" s="243"/>
      <c r="R205" s="243"/>
      <c r="S205" s="243"/>
      <c r="T205" s="243"/>
      <c r="U205" s="243"/>
    </row>
    <row r="206">
      <c r="A206" s="15"/>
      <c r="B206" s="15"/>
      <c r="C206" s="15"/>
      <c r="D206" s="15"/>
      <c r="E206" s="15"/>
      <c r="F206" s="15"/>
      <c r="G206" s="15"/>
      <c r="H206" s="15"/>
      <c r="I206" s="15"/>
      <c r="J206" s="243"/>
      <c r="K206" s="15"/>
      <c r="L206" s="15"/>
      <c r="M206" s="15"/>
      <c r="N206" s="15"/>
      <c r="O206" s="243"/>
      <c r="P206" s="243"/>
      <c r="Q206" s="243"/>
      <c r="R206" s="243"/>
      <c r="S206" s="243"/>
      <c r="T206" s="243"/>
      <c r="U206" s="243"/>
    </row>
    <row r="207">
      <c r="A207" s="15"/>
      <c r="B207" s="15"/>
      <c r="C207" s="15"/>
      <c r="D207" s="15"/>
      <c r="E207" s="15"/>
      <c r="F207" s="15"/>
      <c r="G207" s="15"/>
      <c r="H207" s="15"/>
      <c r="I207" s="15"/>
      <c r="J207" s="243"/>
      <c r="K207" s="15"/>
      <c r="L207" s="15"/>
      <c r="M207" s="15"/>
      <c r="N207" s="15"/>
      <c r="O207" s="243"/>
      <c r="P207" s="243"/>
      <c r="Q207" s="243"/>
      <c r="R207" s="243"/>
      <c r="S207" s="243"/>
      <c r="T207" s="243"/>
      <c r="U207" s="243"/>
    </row>
    <row r="208">
      <c r="A208" s="15"/>
      <c r="B208" s="15"/>
      <c r="C208" s="15"/>
      <c r="D208" s="15"/>
      <c r="E208" s="15"/>
      <c r="F208" s="15"/>
      <c r="G208" s="15"/>
      <c r="H208" s="15"/>
      <c r="I208" s="15"/>
      <c r="J208" s="243"/>
      <c r="K208" s="15"/>
      <c r="L208" s="15"/>
      <c r="M208" s="15"/>
      <c r="N208" s="15"/>
      <c r="O208" s="243"/>
      <c r="P208" s="243"/>
      <c r="Q208" s="243"/>
      <c r="R208" s="243"/>
      <c r="S208" s="243"/>
      <c r="T208" s="243"/>
      <c r="U208" s="243"/>
    </row>
    <row r="209">
      <c r="A209" s="15"/>
      <c r="B209" s="15"/>
      <c r="C209" s="15"/>
      <c r="D209" s="15"/>
      <c r="E209" s="15"/>
      <c r="F209" s="15"/>
      <c r="G209" s="15"/>
      <c r="H209" s="15"/>
      <c r="I209" s="15"/>
      <c r="J209" s="243"/>
      <c r="K209" s="15"/>
      <c r="L209" s="15"/>
      <c r="M209" s="15"/>
      <c r="N209" s="15"/>
      <c r="O209" s="243"/>
      <c r="P209" s="243"/>
      <c r="Q209" s="243"/>
      <c r="R209" s="243"/>
      <c r="S209" s="243"/>
      <c r="T209" s="243"/>
      <c r="U209" s="243"/>
    </row>
    <row r="210">
      <c r="A210" s="15"/>
      <c r="B210" s="15"/>
      <c r="C210" s="15"/>
      <c r="D210" s="15"/>
      <c r="E210" s="15"/>
      <c r="F210" s="15"/>
      <c r="G210" s="15"/>
      <c r="H210" s="15"/>
      <c r="I210" s="15"/>
      <c r="J210" s="243"/>
      <c r="K210" s="15"/>
      <c r="L210" s="15"/>
      <c r="M210" s="15"/>
      <c r="N210" s="15"/>
      <c r="O210" s="243"/>
      <c r="P210" s="243"/>
      <c r="Q210" s="243"/>
      <c r="R210" s="243"/>
      <c r="S210" s="243"/>
      <c r="T210" s="243"/>
      <c r="U210" s="243"/>
    </row>
    <row r="211">
      <c r="A211" s="15"/>
      <c r="B211" s="15"/>
      <c r="C211" s="15"/>
      <c r="D211" s="15"/>
      <c r="E211" s="15"/>
      <c r="F211" s="15"/>
      <c r="G211" s="15"/>
      <c r="H211" s="15"/>
      <c r="I211" s="15"/>
      <c r="J211" s="243"/>
      <c r="K211" s="15"/>
      <c r="L211" s="15"/>
      <c r="M211" s="15"/>
      <c r="N211" s="15"/>
      <c r="O211" s="243"/>
      <c r="P211" s="243"/>
      <c r="Q211" s="243"/>
      <c r="R211" s="243"/>
      <c r="S211" s="243"/>
      <c r="T211" s="243"/>
      <c r="U211" s="243"/>
    </row>
    <row r="212">
      <c r="A212" s="15"/>
      <c r="B212" s="15"/>
      <c r="C212" s="15"/>
      <c r="D212" s="15"/>
      <c r="E212" s="15"/>
      <c r="F212" s="15"/>
      <c r="G212" s="15"/>
      <c r="H212" s="15"/>
      <c r="I212" s="15"/>
      <c r="J212" s="243"/>
      <c r="K212" s="15"/>
      <c r="L212" s="15"/>
      <c r="M212" s="15"/>
      <c r="N212" s="15"/>
      <c r="O212" s="243"/>
      <c r="P212" s="243"/>
      <c r="Q212" s="243"/>
      <c r="R212" s="243"/>
      <c r="S212" s="243"/>
      <c r="T212" s="243"/>
      <c r="U212" s="243"/>
    </row>
    <row r="213">
      <c r="A213" s="15"/>
      <c r="B213" s="15"/>
      <c r="C213" s="15"/>
      <c r="D213" s="15"/>
      <c r="E213" s="15"/>
      <c r="F213" s="15"/>
      <c r="G213" s="15"/>
      <c r="H213" s="15"/>
      <c r="I213" s="15"/>
      <c r="J213" s="243"/>
      <c r="K213" s="15"/>
      <c r="L213" s="15"/>
      <c r="M213" s="15"/>
      <c r="N213" s="15"/>
      <c r="O213" s="243"/>
      <c r="P213" s="243"/>
      <c r="Q213" s="243"/>
      <c r="R213" s="243"/>
      <c r="S213" s="243"/>
      <c r="T213" s="243"/>
      <c r="U213" s="243"/>
    </row>
    <row r="214">
      <c r="A214" s="15"/>
      <c r="B214" s="15"/>
      <c r="C214" s="15"/>
      <c r="D214" s="15"/>
      <c r="E214" s="15"/>
      <c r="F214" s="15"/>
      <c r="G214" s="15"/>
      <c r="H214" s="15"/>
      <c r="I214" s="15"/>
      <c r="J214" s="243"/>
      <c r="K214" s="15"/>
      <c r="L214" s="15"/>
      <c r="M214" s="15"/>
      <c r="N214" s="15"/>
      <c r="O214" s="243"/>
      <c r="P214" s="243"/>
      <c r="Q214" s="243"/>
      <c r="R214" s="243"/>
      <c r="S214" s="243"/>
      <c r="T214" s="243"/>
      <c r="U214" s="243"/>
    </row>
    <row r="215">
      <c r="A215" s="15"/>
      <c r="B215" s="15"/>
      <c r="C215" s="15"/>
      <c r="D215" s="15"/>
      <c r="E215" s="15"/>
      <c r="F215" s="15"/>
      <c r="G215" s="15"/>
      <c r="H215" s="15"/>
      <c r="I215" s="15"/>
      <c r="J215" s="243"/>
      <c r="K215" s="15"/>
      <c r="L215" s="15"/>
      <c r="M215" s="15"/>
      <c r="N215" s="15"/>
      <c r="O215" s="243"/>
      <c r="P215" s="243"/>
      <c r="Q215" s="243"/>
      <c r="R215" s="243"/>
      <c r="S215" s="243"/>
      <c r="T215" s="243"/>
      <c r="U215" s="243"/>
    </row>
    <row r="216">
      <c r="A216" s="15"/>
      <c r="B216" s="15"/>
      <c r="C216" s="15"/>
      <c r="D216" s="15"/>
      <c r="E216" s="15"/>
      <c r="F216" s="15"/>
      <c r="G216" s="15"/>
      <c r="H216" s="15"/>
      <c r="I216" s="15"/>
      <c r="J216" s="243"/>
      <c r="K216" s="15"/>
      <c r="L216" s="15"/>
      <c r="M216" s="15"/>
      <c r="N216" s="15"/>
      <c r="O216" s="243"/>
      <c r="P216" s="243"/>
      <c r="Q216" s="243"/>
      <c r="R216" s="243"/>
      <c r="S216" s="243"/>
      <c r="T216" s="243"/>
      <c r="U216" s="243"/>
    </row>
    <row r="217">
      <c r="A217" s="15"/>
      <c r="B217" s="15"/>
      <c r="C217" s="15"/>
      <c r="D217" s="15"/>
      <c r="E217" s="15"/>
      <c r="F217" s="15"/>
      <c r="G217" s="15"/>
      <c r="H217" s="15"/>
      <c r="I217" s="15"/>
      <c r="J217" s="243"/>
      <c r="K217" s="15"/>
      <c r="L217" s="15"/>
      <c r="M217" s="15"/>
      <c r="N217" s="15"/>
      <c r="O217" s="243"/>
      <c r="P217" s="243"/>
      <c r="Q217" s="243"/>
      <c r="R217" s="243"/>
      <c r="S217" s="243"/>
      <c r="T217" s="243"/>
      <c r="U217" s="243"/>
    </row>
    <row r="218">
      <c r="A218" s="15"/>
      <c r="B218" s="15"/>
      <c r="C218" s="15"/>
      <c r="D218" s="15"/>
      <c r="E218" s="15"/>
      <c r="F218" s="15"/>
      <c r="G218" s="15"/>
      <c r="H218" s="15"/>
      <c r="I218" s="15"/>
      <c r="J218" s="243"/>
      <c r="K218" s="15"/>
      <c r="L218" s="15"/>
      <c r="M218" s="15"/>
      <c r="N218" s="15"/>
      <c r="O218" s="243"/>
      <c r="P218" s="243"/>
      <c r="Q218" s="243"/>
      <c r="R218" s="243"/>
      <c r="S218" s="243"/>
      <c r="T218" s="243"/>
      <c r="U218" s="243"/>
    </row>
    <row r="219">
      <c r="A219" s="15"/>
      <c r="B219" s="15"/>
      <c r="C219" s="15"/>
      <c r="D219" s="15"/>
      <c r="E219" s="15"/>
      <c r="F219" s="15"/>
      <c r="G219" s="15"/>
      <c r="H219" s="15"/>
      <c r="I219" s="15"/>
      <c r="J219" s="243"/>
      <c r="K219" s="15"/>
      <c r="L219" s="15"/>
      <c r="M219" s="15"/>
      <c r="N219" s="15"/>
      <c r="O219" s="243"/>
      <c r="P219" s="243"/>
      <c r="Q219" s="243"/>
      <c r="R219" s="243"/>
      <c r="S219" s="243"/>
      <c r="T219" s="243"/>
      <c r="U219" s="243"/>
    </row>
    <row r="220">
      <c r="A220" s="15"/>
      <c r="B220" s="15"/>
      <c r="C220" s="15"/>
      <c r="D220" s="15"/>
      <c r="E220" s="15"/>
      <c r="F220" s="15"/>
      <c r="G220" s="15"/>
      <c r="H220" s="15"/>
      <c r="I220" s="15"/>
      <c r="J220" s="243"/>
      <c r="K220" s="15"/>
      <c r="L220" s="15"/>
      <c r="M220" s="15"/>
      <c r="N220" s="15"/>
      <c r="O220" s="243"/>
      <c r="P220" s="243"/>
      <c r="Q220" s="243"/>
      <c r="R220" s="243"/>
      <c r="S220" s="243"/>
      <c r="T220" s="243"/>
      <c r="U220" s="243"/>
    </row>
    <row r="221">
      <c r="A221" s="15"/>
      <c r="B221" s="15"/>
      <c r="C221" s="15"/>
      <c r="D221" s="15"/>
      <c r="E221" s="15"/>
      <c r="F221" s="15"/>
      <c r="G221" s="15"/>
      <c r="H221" s="15"/>
      <c r="I221" s="15"/>
      <c r="J221" s="243"/>
      <c r="K221" s="15"/>
      <c r="L221" s="15"/>
      <c r="M221" s="15"/>
      <c r="N221" s="15"/>
      <c r="O221" s="243"/>
      <c r="P221" s="243"/>
      <c r="Q221" s="243"/>
      <c r="R221" s="243"/>
      <c r="S221" s="243"/>
      <c r="T221" s="243"/>
      <c r="U221" s="243"/>
    </row>
    <row r="222">
      <c r="A222" s="15"/>
      <c r="B222" s="15"/>
      <c r="C222" s="15"/>
      <c r="D222" s="15"/>
      <c r="E222" s="15"/>
      <c r="F222" s="15"/>
      <c r="G222" s="15"/>
      <c r="H222" s="15"/>
      <c r="I222" s="15"/>
      <c r="J222" s="243"/>
      <c r="K222" s="15"/>
      <c r="L222" s="15"/>
      <c r="M222" s="15"/>
      <c r="N222" s="15"/>
      <c r="O222" s="243"/>
      <c r="P222" s="243"/>
      <c r="Q222" s="243"/>
      <c r="R222" s="243"/>
      <c r="S222" s="243"/>
      <c r="T222" s="243"/>
      <c r="U222" s="243"/>
    </row>
    <row r="223">
      <c r="A223" s="15"/>
      <c r="B223" s="15"/>
      <c r="C223" s="15"/>
      <c r="D223" s="15"/>
      <c r="E223" s="15"/>
      <c r="F223" s="15"/>
      <c r="G223" s="15"/>
      <c r="H223" s="15"/>
      <c r="I223" s="15"/>
      <c r="J223" s="243"/>
      <c r="K223" s="15"/>
      <c r="L223" s="15"/>
      <c r="M223" s="15"/>
      <c r="N223" s="15"/>
      <c r="O223" s="243"/>
      <c r="P223" s="243"/>
      <c r="Q223" s="243"/>
      <c r="R223" s="243"/>
      <c r="S223" s="243"/>
      <c r="T223" s="243"/>
      <c r="U223" s="243"/>
    </row>
    <row r="224">
      <c r="A224" s="15"/>
      <c r="B224" s="15"/>
      <c r="C224" s="15"/>
      <c r="D224" s="15"/>
      <c r="E224" s="15"/>
      <c r="F224" s="15"/>
      <c r="G224" s="15"/>
      <c r="H224" s="15"/>
      <c r="I224" s="15"/>
      <c r="J224" s="243"/>
      <c r="K224" s="15"/>
      <c r="L224" s="15"/>
      <c r="M224" s="15"/>
      <c r="N224" s="15"/>
      <c r="O224" s="243"/>
      <c r="P224" s="243"/>
      <c r="Q224" s="243"/>
      <c r="R224" s="243"/>
      <c r="S224" s="243"/>
      <c r="T224" s="243"/>
      <c r="U224" s="243"/>
    </row>
    <row r="225">
      <c r="A225" s="15"/>
      <c r="B225" s="15"/>
      <c r="C225" s="15"/>
      <c r="D225" s="15"/>
      <c r="E225" s="15"/>
      <c r="F225" s="15"/>
      <c r="G225" s="15"/>
      <c r="H225" s="15"/>
      <c r="I225" s="15"/>
      <c r="J225" s="243"/>
      <c r="K225" s="15"/>
      <c r="L225" s="15"/>
      <c r="M225" s="15"/>
      <c r="N225" s="15"/>
      <c r="O225" s="243"/>
      <c r="P225" s="243"/>
      <c r="Q225" s="243"/>
      <c r="R225" s="243"/>
      <c r="S225" s="243"/>
      <c r="T225" s="243"/>
      <c r="U225" s="243"/>
    </row>
    <row r="226">
      <c r="A226" s="15"/>
      <c r="B226" s="15"/>
      <c r="C226" s="15"/>
      <c r="D226" s="15"/>
      <c r="E226" s="15"/>
      <c r="F226" s="15"/>
      <c r="G226" s="15"/>
      <c r="H226" s="15"/>
      <c r="I226" s="15"/>
      <c r="J226" s="243"/>
      <c r="K226" s="15"/>
      <c r="L226" s="15"/>
      <c r="M226" s="15"/>
      <c r="N226" s="15"/>
      <c r="O226" s="243"/>
      <c r="P226" s="243"/>
      <c r="Q226" s="243"/>
      <c r="R226" s="243"/>
      <c r="S226" s="243"/>
      <c r="T226" s="243"/>
      <c r="U226" s="243"/>
    </row>
    <row r="227">
      <c r="A227" s="15"/>
      <c r="B227" s="15"/>
      <c r="C227" s="15"/>
      <c r="D227" s="15"/>
      <c r="E227" s="15"/>
      <c r="F227" s="15"/>
      <c r="G227" s="15"/>
      <c r="H227" s="15"/>
      <c r="I227" s="15"/>
      <c r="J227" s="243"/>
      <c r="K227" s="15"/>
      <c r="L227" s="15"/>
      <c r="M227" s="15"/>
      <c r="N227" s="15"/>
      <c r="O227" s="243"/>
      <c r="P227" s="243"/>
      <c r="Q227" s="243"/>
      <c r="R227" s="243"/>
      <c r="S227" s="243"/>
      <c r="T227" s="243"/>
      <c r="U227" s="243"/>
    </row>
    <row r="228">
      <c r="A228" s="15"/>
      <c r="B228" s="15"/>
      <c r="C228" s="15"/>
      <c r="D228" s="15"/>
      <c r="E228" s="15"/>
      <c r="F228" s="15"/>
      <c r="G228" s="15"/>
      <c r="H228" s="15"/>
      <c r="I228" s="15"/>
      <c r="J228" s="243"/>
      <c r="K228" s="15"/>
      <c r="L228" s="15"/>
      <c r="M228" s="15"/>
      <c r="N228" s="15"/>
      <c r="O228" s="243"/>
      <c r="P228" s="243"/>
      <c r="Q228" s="243"/>
      <c r="R228" s="243"/>
      <c r="S228" s="243"/>
      <c r="T228" s="243"/>
      <c r="U228" s="243"/>
    </row>
    <row r="229">
      <c r="A229" s="15"/>
      <c r="B229" s="15"/>
      <c r="C229" s="15"/>
      <c r="D229" s="15"/>
      <c r="E229" s="15"/>
      <c r="F229" s="15"/>
      <c r="G229" s="15"/>
      <c r="H229" s="15"/>
      <c r="I229" s="15"/>
      <c r="J229" s="243"/>
      <c r="K229" s="15"/>
      <c r="L229" s="15"/>
      <c r="M229" s="15"/>
      <c r="N229" s="15"/>
      <c r="O229" s="243"/>
      <c r="P229" s="243"/>
      <c r="Q229" s="243"/>
      <c r="R229" s="243"/>
      <c r="S229" s="243"/>
      <c r="T229" s="243"/>
      <c r="U229" s="243"/>
    </row>
    <row r="230">
      <c r="A230" s="15"/>
      <c r="B230" s="15"/>
      <c r="C230" s="15"/>
      <c r="D230" s="15"/>
      <c r="E230" s="15"/>
      <c r="F230" s="15"/>
      <c r="G230" s="15"/>
      <c r="H230" s="15"/>
      <c r="I230" s="15"/>
      <c r="J230" s="243"/>
      <c r="K230" s="15"/>
      <c r="L230" s="15"/>
      <c r="M230" s="15"/>
      <c r="N230" s="15"/>
      <c r="O230" s="243"/>
      <c r="P230" s="243"/>
      <c r="Q230" s="243"/>
      <c r="R230" s="243"/>
      <c r="S230" s="243"/>
      <c r="T230" s="243"/>
      <c r="U230" s="243"/>
    </row>
    <row r="231">
      <c r="A231" s="15"/>
      <c r="B231" s="15"/>
      <c r="C231" s="15"/>
      <c r="D231" s="15"/>
      <c r="E231" s="15"/>
      <c r="F231" s="15"/>
      <c r="G231" s="15"/>
      <c r="H231" s="15"/>
      <c r="I231" s="15"/>
      <c r="J231" s="243"/>
      <c r="K231" s="15"/>
      <c r="L231" s="15"/>
      <c r="M231" s="15"/>
      <c r="N231" s="15"/>
      <c r="O231" s="243"/>
      <c r="P231" s="243"/>
      <c r="Q231" s="243"/>
      <c r="R231" s="243"/>
      <c r="S231" s="243"/>
      <c r="T231" s="243"/>
      <c r="U231" s="243"/>
    </row>
    <row r="232">
      <c r="A232" s="15"/>
      <c r="B232" s="15"/>
      <c r="C232" s="15"/>
      <c r="D232" s="15"/>
      <c r="E232" s="15"/>
      <c r="F232" s="15"/>
      <c r="G232" s="15"/>
      <c r="H232" s="15"/>
      <c r="I232" s="15"/>
      <c r="J232" s="243"/>
      <c r="K232" s="15"/>
      <c r="L232" s="15"/>
      <c r="M232" s="15"/>
      <c r="N232" s="15"/>
      <c r="O232" s="243"/>
      <c r="P232" s="243"/>
      <c r="Q232" s="243"/>
      <c r="R232" s="243"/>
      <c r="S232" s="243"/>
      <c r="T232" s="243"/>
      <c r="U232" s="243"/>
    </row>
    <row r="233">
      <c r="A233" s="15"/>
      <c r="B233" s="15"/>
      <c r="C233" s="15"/>
      <c r="D233" s="15"/>
      <c r="E233" s="15"/>
      <c r="F233" s="15"/>
      <c r="G233" s="15"/>
      <c r="H233" s="15"/>
      <c r="I233" s="15"/>
      <c r="J233" s="243"/>
      <c r="K233" s="15"/>
      <c r="L233" s="15"/>
      <c r="M233" s="15"/>
      <c r="N233" s="15"/>
      <c r="O233" s="243"/>
      <c r="P233" s="243"/>
      <c r="Q233" s="243"/>
      <c r="R233" s="243"/>
      <c r="S233" s="243"/>
      <c r="T233" s="243"/>
      <c r="U233" s="243"/>
    </row>
    <row r="234">
      <c r="A234" s="15"/>
      <c r="B234" s="15"/>
      <c r="C234" s="15"/>
      <c r="D234" s="15"/>
      <c r="E234" s="15"/>
      <c r="F234" s="15"/>
      <c r="G234" s="15"/>
      <c r="H234" s="15"/>
      <c r="I234" s="15"/>
      <c r="J234" s="243"/>
      <c r="K234" s="15"/>
      <c r="L234" s="15"/>
      <c r="M234" s="15"/>
      <c r="N234" s="15"/>
      <c r="O234" s="243"/>
      <c r="P234" s="243"/>
      <c r="Q234" s="243"/>
      <c r="R234" s="243"/>
      <c r="S234" s="243"/>
      <c r="T234" s="243"/>
      <c r="U234" s="243"/>
    </row>
    <row r="235">
      <c r="A235" s="15"/>
      <c r="B235" s="15"/>
      <c r="C235" s="15"/>
      <c r="D235" s="15"/>
      <c r="E235" s="15"/>
      <c r="F235" s="15"/>
      <c r="G235" s="15"/>
      <c r="H235" s="15"/>
      <c r="I235" s="15"/>
      <c r="J235" s="243"/>
      <c r="K235" s="15"/>
      <c r="L235" s="15"/>
      <c r="M235" s="15"/>
      <c r="N235" s="15"/>
      <c r="O235" s="243"/>
      <c r="P235" s="243"/>
      <c r="Q235" s="243"/>
      <c r="R235" s="243"/>
      <c r="S235" s="243"/>
      <c r="T235" s="243"/>
      <c r="U235" s="243"/>
    </row>
    <row r="236">
      <c r="A236" s="15"/>
      <c r="B236" s="15"/>
      <c r="C236" s="15"/>
      <c r="D236" s="15"/>
      <c r="E236" s="15"/>
      <c r="F236" s="15"/>
      <c r="G236" s="15"/>
      <c r="H236" s="15"/>
      <c r="I236" s="15"/>
      <c r="J236" s="243"/>
      <c r="K236" s="15"/>
      <c r="L236" s="15"/>
      <c r="M236" s="15"/>
      <c r="N236" s="15"/>
      <c r="O236" s="243"/>
      <c r="P236" s="243"/>
      <c r="Q236" s="243"/>
      <c r="R236" s="243"/>
      <c r="S236" s="243"/>
      <c r="T236" s="243"/>
      <c r="U236" s="243"/>
    </row>
    <row r="237">
      <c r="A237" s="15"/>
      <c r="B237" s="15"/>
      <c r="C237" s="15"/>
      <c r="D237" s="15"/>
      <c r="E237" s="15"/>
      <c r="F237" s="15"/>
      <c r="G237" s="15"/>
      <c r="H237" s="15"/>
      <c r="I237" s="15"/>
      <c r="J237" s="243"/>
      <c r="K237" s="15"/>
      <c r="L237" s="15"/>
      <c r="M237" s="15"/>
      <c r="N237" s="15"/>
      <c r="O237" s="243"/>
      <c r="P237" s="243"/>
      <c r="Q237" s="243"/>
      <c r="R237" s="243"/>
      <c r="S237" s="243"/>
      <c r="T237" s="243"/>
      <c r="U237" s="243"/>
    </row>
    <row r="238">
      <c r="A238" s="15"/>
      <c r="B238" s="15"/>
      <c r="C238" s="15"/>
      <c r="D238" s="15"/>
      <c r="E238" s="15"/>
      <c r="F238" s="15"/>
      <c r="G238" s="15"/>
      <c r="H238" s="15"/>
      <c r="I238" s="15"/>
      <c r="J238" s="243"/>
      <c r="K238" s="15"/>
      <c r="L238" s="15"/>
      <c r="M238" s="15"/>
      <c r="N238" s="15"/>
      <c r="O238" s="243"/>
      <c r="P238" s="243"/>
      <c r="Q238" s="243"/>
      <c r="R238" s="243"/>
      <c r="S238" s="243"/>
      <c r="T238" s="243"/>
      <c r="U238" s="243"/>
    </row>
    <row r="239">
      <c r="A239" s="15"/>
      <c r="B239" s="15"/>
      <c r="C239" s="15"/>
      <c r="D239" s="15"/>
      <c r="E239" s="15"/>
      <c r="F239" s="15"/>
      <c r="G239" s="15"/>
      <c r="H239" s="15"/>
      <c r="I239" s="15"/>
      <c r="J239" s="243"/>
      <c r="K239" s="15"/>
      <c r="L239" s="15"/>
      <c r="M239" s="15"/>
      <c r="N239" s="15"/>
      <c r="O239" s="243"/>
      <c r="P239" s="243"/>
      <c r="Q239" s="243"/>
      <c r="R239" s="243"/>
      <c r="S239" s="243"/>
      <c r="T239" s="243"/>
      <c r="U239" s="243"/>
    </row>
    <row r="240">
      <c r="A240" s="15"/>
      <c r="B240" s="15"/>
      <c r="C240" s="15"/>
      <c r="D240" s="15"/>
      <c r="E240" s="15"/>
      <c r="F240" s="15"/>
      <c r="G240" s="15"/>
      <c r="H240" s="15"/>
      <c r="I240" s="15"/>
      <c r="J240" s="243"/>
      <c r="K240" s="15"/>
      <c r="L240" s="15"/>
      <c r="M240" s="15"/>
      <c r="N240" s="15"/>
      <c r="O240" s="243"/>
      <c r="P240" s="243"/>
      <c r="Q240" s="243"/>
      <c r="R240" s="243"/>
      <c r="S240" s="243"/>
      <c r="T240" s="243"/>
      <c r="U240" s="243"/>
    </row>
    <row r="241">
      <c r="A241" s="15"/>
      <c r="B241" s="15"/>
      <c r="C241" s="15"/>
      <c r="D241" s="15"/>
      <c r="E241" s="15"/>
      <c r="F241" s="15"/>
      <c r="G241" s="15"/>
      <c r="H241" s="15"/>
      <c r="I241" s="15"/>
      <c r="J241" s="243"/>
      <c r="K241" s="15"/>
      <c r="L241" s="15"/>
      <c r="M241" s="15"/>
      <c r="N241" s="15"/>
      <c r="O241" s="243"/>
      <c r="P241" s="243"/>
      <c r="Q241" s="243"/>
      <c r="R241" s="243"/>
      <c r="S241" s="243"/>
      <c r="T241" s="243"/>
      <c r="U241" s="243"/>
    </row>
    <row r="242">
      <c r="A242" s="15"/>
      <c r="B242" s="15"/>
      <c r="C242" s="15"/>
      <c r="D242" s="15"/>
      <c r="E242" s="15"/>
      <c r="F242" s="15"/>
      <c r="G242" s="15"/>
      <c r="H242" s="15"/>
      <c r="I242" s="15"/>
      <c r="J242" s="243"/>
      <c r="K242" s="15"/>
      <c r="L242" s="15"/>
      <c r="M242" s="15"/>
      <c r="N242" s="15"/>
      <c r="O242" s="243"/>
      <c r="P242" s="243"/>
      <c r="Q242" s="243"/>
      <c r="R242" s="243"/>
      <c r="S242" s="243"/>
      <c r="T242" s="243"/>
      <c r="U242" s="243"/>
    </row>
    <row r="243">
      <c r="A243" s="15"/>
      <c r="B243" s="15"/>
      <c r="C243" s="15"/>
      <c r="D243" s="15"/>
      <c r="E243" s="15"/>
      <c r="F243" s="15"/>
      <c r="G243" s="15"/>
      <c r="H243" s="15"/>
      <c r="I243" s="15"/>
      <c r="J243" s="243"/>
      <c r="K243" s="15"/>
      <c r="L243" s="15"/>
      <c r="M243" s="15"/>
      <c r="N243" s="15"/>
      <c r="O243" s="243"/>
      <c r="P243" s="243"/>
      <c r="Q243" s="243"/>
      <c r="R243" s="243"/>
      <c r="S243" s="243"/>
      <c r="T243" s="243"/>
      <c r="U243" s="243"/>
    </row>
    <row r="244">
      <c r="A244" s="15"/>
      <c r="B244" s="15"/>
      <c r="C244" s="15"/>
      <c r="D244" s="15"/>
      <c r="E244" s="15"/>
      <c r="F244" s="15"/>
      <c r="G244" s="15"/>
      <c r="H244" s="15"/>
      <c r="I244" s="15"/>
      <c r="J244" s="243"/>
      <c r="K244" s="15"/>
      <c r="L244" s="15"/>
      <c r="M244" s="15"/>
      <c r="N244" s="15"/>
      <c r="O244" s="243"/>
      <c r="P244" s="243"/>
      <c r="Q244" s="243"/>
      <c r="R244" s="243"/>
      <c r="S244" s="243"/>
      <c r="T244" s="243"/>
      <c r="U244" s="243"/>
    </row>
    <row r="245">
      <c r="A245" s="15"/>
      <c r="B245" s="15"/>
      <c r="C245" s="15"/>
      <c r="D245" s="15"/>
      <c r="E245" s="15"/>
      <c r="F245" s="15"/>
      <c r="G245" s="15"/>
      <c r="H245" s="15"/>
      <c r="I245" s="15"/>
      <c r="J245" s="243"/>
      <c r="K245" s="15"/>
      <c r="L245" s="15"/>
      <c r="M245" s="15"/>
      <c r="N245" s="15"/>
      <c r="O245" s="243"/>
      <c r="P245" s="243"/>
      <c r="Q245" s="243"/>
      <c r="R245" s="243"/>
      <c r="S245" s="243"/>
      <c r="T245" s="243"/>
      <c r="U245" s="243"/>
    </row>
    <row r="246">
      <c r="A246" s="15"/>
      <c r="B246" s="15"/>
      <c r="C246" s="15"/>
      <c r="D246" s="15"/>
      <c r="E246" s="15"/>
      <c r="F246" s="15"/>
      <c r="G246" s="15"/>
      <c r="H246" s="15"/>
      <c r="I246" s="15"/>
      <c r="J246" s="243"/>
      <c r="K246" s="15"/>
      <c r="L246" s="15"/>
      <c r="M246" s="15"/>
      <c r="N246" s="15"/>
      <c r="O246" s="243"/>
      <c r="P246" s="243"/>
      <c r="Q246" s="243"/>
      <c r="R246" s="243"/>
      <c r="S246" s="243"/>
      <c r="T246" s="243"/>
      <c r="U246" s="243"/>
    </row>
    <row r="247">
      <c r="A247" s="15"/>
      <c r="B247" s="15"/>
      <c r="C247" s="15"/>
      <c r="D247" s="15"/>
      <c r="E247" s="15"/>
      <c r="F247" s="15"/>
      <c r="G247" s="15"/>
      <c r="H247" s="15"/>
      <c r="I247" s="15"/>
      <c r="J247" s="243"/>
      <c r="K247" s="15"/>
      <c r="L247" s="15"/>
      <c r="M247" s="15"/>
      <c r="N247" s="15"/>
      <c r="O247" s="243"/>
      <c r="P247" s="243"/>
      <c r="Q247" s="243"/>
      <c r="R247" s="243"/>
      <c r="S247" s="243"/>
      <c r="T247" s="243"/>
      <c r="U247" s="243"/>
    </row>
    <row r="248">
      <c r="A248" s="15"/>
      <c r="B248" s="15"/>
      <c r="C248" s="15"/>
      <c r="D248" s="15"/>
      <c r="E248" s="15"/>
      <c r="F248" s="15"/>
      <c r="G248" s="15"/>
      <c r="H248" s="15"/>
      <c r="I248" s="15"/>
      <c r="J248" s="243"/>
      <c r="K248" s="15"/>
      <c r="L248" s="15"/>
      <c r="M248" s="15"/>
      <c r="N248" s="15"/>
      <c r="O248" s="243"/>
      <c r="P248" s="243"/>
      <c r="Q248" s="243"/>
      <c r="R248" s="243"/>
      <c r="S248" s="243"/>
      <c r="T248" s="243"/>
      <c r="U248" s="243"/>
    </row>
    <row r="249">
      <c r="A249" s="15"/>
      <c r="B249" s="15"/>
      <c r="C249" s="15"/>
      <c r="D249" s="15"/>
      <c r="E249" s="15"/>
      <c r="F249" s="15"/>
      <c r="G249" s="15"/>
      <c r="H249" s="15"/>
      <c r="I249" s="15"/>
      <c r="J249" s="243"/>
      <c r="K249" s="15"/>
      <c r="L249" s="15"/>
      <c r="M249" s="15"/>
      <c r="N249" s="15"/>
      <c r="O249" s="243"/>
      <c r="P249" s="243"/>
      <c r="Q249" s="243"/>
      <c r="R249" s="243"/>
      <c r="S249" s="243"/>
      <c r="T249" s="243"/>
      <c r="U249" s="243"/>
    </row>
    <row r="250">
      <c r="A250" s="15"/>
      <c r="B250" s="15"/>
      <c r="C250" s="15"/>
      <c r="D250" s="15"/>
      <c r="E250" s="15"/>
      <c r="F250" s="15"/>
      <c r="G250" s="15"/>
      <c r="H250" s="15"/>
      <c r="I250" s="15"/>
      <c r="J250" s="243"/>
      <c r="K250" s="15"/>
      <c r="L250" s="15"/>
      <c r="M250" s="15"/>
      <c r="N250" s="15"/>
      <c r="O250" s="243"/>
      <c r="P250" s="243"/>
      <c r="Q250" s="243"/>
      <c r="R250" s="243"/>
      <c r="S250" s="243"/>
      <c r="T250" s="243"/>
      <c r="U250" s="243"/>
    </row>
    <row r="251">
      <c r="A251" s="15"/>
      <c r="B251" s="15"/>
      <c r="C251" s="15"/>
      <c r="D251" s="15"/>
      <c r="E251" s="15"/>
      <c r="F251" s="15"/>
      <c r="G251" s="15"/>
      <c r="H251" s="15"/>
      <c r="I251" s="15"/>
      <c r="J251" s="243"/>
      <c r="K251" s="15"/>
      <c r="L251" s="15"/>
      <c r="M251" s="15"/>
      <c r="N251" s="15"/>
      <c r="O251" s="243"/>
      <c r="P251" s="243"/>
      <c r="Q251" s="243"/>
      <c r="R251" s="243"/>
      <c r="S251" s="243"/>
      <c r="T251" s="243"/>
      <c r="U251" s="243"/>
    </row>
    <row r="252">
      <c r="A252" s="15"/>
      <c r="B252" s="15"/>
      <c r="C252" s="15"/>
      <c r="D252" s="15"/>
      <c r="E252" s="15"/>
      <c r="F252" s="15"/>
      <c r="G252" s="15"/>
      <c r="H252" s="15"/>
      <c r="I252" s="15"/>
      <c r="J252" s="243"/>
      <c r="K252" s="15"/>
      <c r="L252" s="15"/>
      <c r="M252" s="15"/>
      <c r="N252" s="15"/>
      <c r="O252" s="243"/>
      <c r="P252" s="243"/>
      <c r="Q252" s="243"/>
      <c r="R252" s="243"/>
      <c r="S252" s="243"/>
      <c r="T252" s="243"/>
      <c r="U252" s="243"/>
    </row>
    <row r="253">
      <c r="A253" s="15"/>
      <c r="B253" s="15"/>
      <c r="C253" s="15"/>
      <c r="D253" s="15"/>
      <c r="E253" s="15"/>
      <c r="F253" s="15"/>
      <c r="G253" s="15"/>
      <c r="H253" s="15"/>
      <c r="I253" s="15"/>
      <c r="J253" s="243"/>
      <c r="K253" s="15"/>
      <c r="L253" s="15"/>
      <c r="M253" s="15"/>
      <c r="N253" s="15"/>
      <c r="O253" s="243"/>
      <c r="P253" s="243"/>
      <c r="Q253" s="243"/>
      <c r="R253" s="243"/>
      <c r="S253" s="243"/>
      <c r="T253" s="243"/>
      <c r="U253" s="243"/>
    </row>
    <row r="254">
      <c r="A254" s="15"/>
      <c r="B254" s="15"/>
      <c r="C254" s="15"/>
      <c r="D254" s="15"/>
      <c r="E254" s="15"/>
      <c r="F254" s="15"/>
      <c r="G254" s="15"/>
      <c r="H254" s="15"/>
      <c r="I254" s="15"/>
      <c r="J254" s="243"/>
      <c r="K254" s="15"/>
      <c r="L254" s="15"/>
      <c r="M254" s="15"/>
      <c r="N254" s="15"/>
      <c r="O254" s="243"/>
      <c r="P254" s="243"/>
      <c r="Q254" s="243"/>
      <c r="R254" s="243"/>
      <c r="S254" s="243"/>
      <c r="T254" s="243"/>
      <c r="U254" s="243"/>
    </row>
    <row r="255">
      <c r="A255" s="15"/>
      <c r="B255" s="15"/>
      <c r="C255" s="15"/>
      <c r="D255" s="15"/>
      <c r="E255" s="15"/>
      <c r="F255" s="15"/>
      <c r="G255" s="15"/>
      <c r="H255" s="15"/>
      <c r="I255" s="15"/>
      <c r="J255" s="243"/>
      <c r="K255" s="15"/>
      <c r="L255" s="15"/>
      <c r="M255" s="15"/>
      <c r="N255" s="15"/>
      <c r="O255" s="243"/>
      <c r="P255" s="243"/>
      <c r="Q255" s="243"/>
      <c r="R255" s="243"/>
      <c r="S255" s="243"/>
      <c r="T255" s="243"/>
      <c r="U255" s="243"/>
    </row>
    <row r="256">
      <c r="A256" s="15"/>
      <c r="B256" s="15"/>
      <c r="C256" s="15"/>
      <c r="D256" s="15"/>
      <c r="E256" s="15"/>
      <c r="F256" s="15"/>
      <c r="G256" s="15"/>
      <c r="H256" s="15"/>
      <c r="I256" s="15"/>
      <c r="J256" s="243"/>
      <c r="K256" s="15"/>
      <c r="L256" s="15"/>
      <c r="M256" s="15"/>
      <c r="N256" s="15"/>
      <c r="O256" s="243"/>
      <c r="P256" s="243"/>
      <c r="Q256" s="243"/>
      <c r="R256" s="243"/>
      <c r="S256" s="243"/>
      <c r="T256" s="243"/>
      <c r="U256" s="243"/>
    </row>
    <row r="257">
      <c r="A257" s="15"/>
      <c r="B257" s="15"/>
      <c r="C257" s="15"/>
      <c r="D257" s="15"/>
      <c r="E257" s="15"/>
      <c r="F257" s="15"/>
      <c r="G257" s="15"/>
      <c r="H257" s="15"/>
      <c r="I257" s="15"/>
      <c r="J257" s="243"/>
      <c r="K257" s="15"/>
      <c r="L257" s="15"/>
      <c r="M257" s="15"/>
      <c r="N257" s="15"/>
      <c r="O257" s="243"/>
      <c r="P257" s="243"/>
      <c r="Q257" s="243"/>
      <c r="R257" s="243"/>
      <c r="S257" s="243"/>
      <c r="T257" s="243"/>
      <c r="U257" s="243"/>
    </row>
    <row r="258">
      <c r="A258" s="15"/>
      <c r="B258" s="15"/>
      <c r="C258" s="15"/>
      <c r="D258" s="15"/>
      <c r="E258" s="15"/>
      <c r="F258" s="15"/>
      <c r="G258" s="15"/>
      <c r="H258" s="15"/>
      <c r="I258" s="15"/>
      <c r="J258" s="243"/>
      <c r="K258" s="15"/>
      <c r="L258" s="15"/>
      <c r="M258" s="15"/>
      <c r="N258" s="15"/>
      <c r="O258" s="243"/>
      <c r="P258" s="243"/>
      <c r="Q258" s="243"/>
      <c r="R258" s="243"/>
      <c r="S258" s="243"/>
      <c r="T258" s="243"/>
      <c r="U258" s="243"/>
    </row>
    <row r="259">
      <c r="A259" s="15"/>
      <c r="B259" s="15"/>
      <c r="C259" s="15"/>
      <c r="D259" s="15"/>
      <c r="E259" s="15"/>
      <c r="F259" s="15"/>
      <c r="G259" s="15"/>
      <c r="H259" s="15"/>
      <c r="I259" s="15"/>
      <c r="J259" s="243"/>
      <c r="K259" s="15"/>
      <c r="L259" s="15"/>
      <c r="M259" s="15"/>
      <c r="N259" s="15"/>
      <c r="O259" s="243"/>
      <c r="P259" s="243"/>
      <c r="Q259" s="243"/>
      <c r="R259" s="243"/>
      <c r="S259" s="243"/>
      <c r="T259" s="243"/>
      <c r="U259" s="243"/>
    </row>
    <row r="260">
      <c r="A260" s="15"/>
      <c r="B260" s="15"/>
      <c r="C260" s="15"/>
      <c r="D260" s="15"/>
      <c r="E260" s="15"/>
      <c r="F260" s="15"/>
      <c r="G260" s="15"/>
      <c r="H260" s="15"/>
      <c r="I260" s="15"/>
      <c r="J260" s="243"/>
      <c r="K260" s="15"/>
      <c r="L260" s="15"/>
      <c r="M260" s="15"/>
      <c r="N260" s="15"/>
      <c r="O260" s="243"/>
      <c r="P260" s="243"/>
      <c r="Q260" s="243"/>
      <c r="R260" s="243"/>
      <c r="S260" s="243"/>
      <c r="T260" s="243"/>
      <c r="U260" s="243"/>
    </row>
    <row r="261">
      <c r="A261" s="15"/>
      <c r="B261" s="15"/>
      <c r="C261" s="15"/>
      <c r="D261" s="15"/>
      <c r="E261" s="15"/>
      <c r="F261" s="15"/>
      <c r="G261" s="15"/>
      <c r="H261" s="15"/>
      <c r="I261" s="15"/>
      <c r="J261" s="243"/>
      <c r="K261" s="15"/>
      <c r="L261" s="15"/>
      <c r="M261" s="15"/>
      <c r="N261" s="15"/>
      <c r="O261" s="243"/>
      <c r="P261" s="243"/>
      <c r="Q261" s="243"/>
      <c r="R261" s="243"/>
      <c r="S261" s="243"/>
      <c r="T261" s="243"/>
      <c r="U261" s="243"/>
    </row>
    <row r="262">
      <c r="A262" s="15"/>
      <c r="B262" s="15"/>
      <c r="C262" s="15"/>
      <c r="D262" s="15"/>
      <c r="E262" s="15"/>
      <c r="F262" s="15"/>
      <c r="G262" s="15"/>
      <c r="H262" s="15"/>
      <c r="I262" s="15"/>
      <c r="J262" s="243"/>
      <c r="K262" s="15"/>
      <c r="L262" s="15"/>
      <c r="M262" s="15"/>
      <c r="N262" s="15"/>
      <c r="O262" s="243"/>
      <c r="P262" s="243"/>
      <c r="Q262" s="243"/>
      <c r="R262" s="243"/>
      <c r="S262" s="243"/>
      <c r="T262" s="243"/>
      <c r="U262" s="243"/>
    </row>
    <row r="263">
      <c r="A263" s="15"/>
      <c r="B263" s="15"/>
      <c r="C263" s="15"/>
      <c r="D263" s="15"/>
      <c r="E263" s="15"/>
      <c r="F263" s="15"/>
      <c r="G263" s="15"/>
      <c r="H263" s="15"/>
      <c r="I263" s="15"/>
      <c r="J263" s="243"/>
      <c r="K263" s="15"/>
      <c r="L263" s="15"/>
      <c r="M263" s="15"/>
      <c r="N263" s="15"/>
      <c r="O263" s="243"/>
      <c r="P263" s="243"/>
      <c r="Q263" s="243"/>
      <c r="R263" s="243"/>
      <c r="S263" s="243"/>
      <c r="T263" s="243"/>
      <c r="U263" s="243"/>
    </row>
    <row r="264">
      <c r="A264" s="15"/>
      <c r="B264" s="15"/>
      <c r="C264" s="15"/>
      <c r="D264" s="15"/>
      <c r="E264" s="15"/>
      <c r="F264" s="15"/>
      <c r="G264" s="15"/>
      <c r="H264" s="15"/>
      <c r="I264" s="15"/>
      <c r="J264" s="243"/>
      <c r="K264" s="15"/>
      <c r="L264" s="15"/>
      <c r="M264" s="15"/>
      <c r="N264" s="15"/>
      <c r="O264" s="243"/>
      <c r="P264" s="243"/>
      <c r="Q264" s="243"/>
      <c r="R264" s="243"/>
      <c r="S264" s="243"/>
      <c r="T264" s="243"/>
      <c r="U264" s="243"/>
    </row>
    <row r="265">
      <c r="A265" s="15"/>
      <c r="B265" s="15"/>
      <c r="C265" s="15"/>
      <c r="D265" s="15"/>
      <c r="E265" s="15"/>
      <c r="F265" s="15"/>
      <c r="G265" s="15"/>
      <c r="H265" s="15"/>
      <c r="I265" s="15"/>
      <c r="J265" s="243"/>
      <c r="K265" s="15"/>
      <c r="L265" s="15"/>
      <c r="M265" s="15"/>
      <c r="N265" s="15"/>
      <c r="O265" s="243"/>
      <c r="P265" s="243"/>
      <c r="Q265" s="243"/>
      <c r="R265" s="243"/>
      <c r="S265" s="243"/>
      <c r="T265" s="243"/>
      <c r="U265" s="243"/>
    </row>
    <row r="266">
      <c r="A266" s="15"/>
      <c r="B266" s="15"/>
      <c r="C266" s="15"/>
      <c r="D266" s="15"/>
      <c r="E266" s="15"/>
      <c r="F266" s="15"/>
      <c r="G266" s="15"/>
      <c r="H266" s="15"/>
      <c r="I266" s="15"/>
      <c r="J266" s="243"/>
      <c r="K266" s="15"/>
      <c r="L266" s="15"/>
      <c r="M266" s="15"/>
      <c r="N266" s="15"/>
      <c r="O266" s="243"/>
      <c r="P266" s="243"/>
      <c r="Q266" s="243"/>
      <c r="R266" s="243"/>
      <c r="S266" s="243"/>
      <c r="T266" s="243"/>
      <c r="U266" s="243"/>
    </row>
    <row r="267">
      <c r="A267" s="15"/>
      <c r="B267" s="15"/>
      <c r="C267" s="15"/>
      <c r="D267" s="15"/>
      <c r="E267" s="15"/>
      <c r="F267" s="15"/>
      <c r="G267" s="15"/>
      <c r="H267" s="15"/>
      <c r="I267" s="15"/>
      <c r="J267" s="243"/>
      <c r="K267" s="15"/>
      <c r="L267" s="15"/>
      <c r="M267" s="15"/>
      <c r="N267" s="15"/>
      <c r="O267" s="243"/>
      <c r="P267" s="243"/>
      <c r="Q267" s="243"/>
      <c r="R267" s="243"/>
      <c r="S267" s="243"/>
      <c r="T267" s="243"/>
      <c r="U267" s="243"/>
    </row>
    <row r="268">
      <c r="A268" s="15"/>
      <c r="B268" s="15"/>
      <c r="C268" s="15"/>
      <c r="D268" s="15"/>
      <c r="E268" s="15"/>
      <c r="F268" s="15"/>
      <c r="G268" s="15"/>
      <c r="H268" s="15"/>
      <c r="I268" s="15"/>
      <c r="J268" s="243"/>
      <c r="K268" s="15"/>
      <c r="L268" s="15"/>
      <c r="M268" s="15"/>
      <c r="N268" s="15"/>
      <c r="O268" s="243"/>
      <c r="P268" s="243"/>
      <c r="Q268" s="243"/>
      <c r="R268" s="243"/>
      <c r="S268" s="243"/>
      <c r="T268" s="243"/>
      <c r="U268" s="243"/>
    </row>
    <row r="269">
      <c r="A269" s="15"/>
      <c r="B269" s="15"/>
      <c r="C269" s="15"/>
      <c r="D269" s="15"/>
      <c r="E269" s="15"/>
      <c r="F269" s="15"/>
      <c r="G269" s="15"/>
      <c r="H269" s="15"/>
      <c r="I269" s="15"/>
      <c r="J269" s="243"/>
      <c r="K269" s="15"/>
      <c r="L269" s="15"/>
      <c r="M269" s="15"/>
      <c r="N269" s="15"/>
      <c r="O269" s="243"/>
      <c r="P269" s="243"/>
      <c r="Q269" s="243"/>
      <c r="R269" s="243"/>
      <c r="S269" s="243"/>
      <c r="T269" s="243"/>
      <c r="U269" s="243"/>
    </row>
    <row r="270">
      <c r="A270" s="15"/>
      <c r="B270" s="15"/>
      <c r="C270" s="15"/>
      <c r="D270" s="15"/>
      <c r="E270" s="15"/>
      <c r="F270" s="15"/>
      <c r="G270" s="15"/>
      <c r="H270" s="15"/>
      <c r="I270" s="15"/>
      <c r="J270" s="243"/>
      <c r="K270" s="15"/>
      <c r="L270" s="15"/>
      <c r="M270" s="15"/>
      <c r="N270" s="15"/>
      <c r="O270" s="243"/>
      <c r="P270" s="243"/>
      <c r="Q270" s="243"/>
      <c r="R270" s="243"/>
      <c r="S270" s="243"/>
      <c r="T270" s="243"/>
      <c r="U270" s="243"/>
    </row>
    <row r="271">
      <c r="A271" s="15"/>
      <c r="B271" s="15"/>
      <c r="C271" s="15"/>
      <c r="D271" s="15"/>
      <c r="E271" s="15"/>
      <c r="F271" s="15"/>
      <c r="G271" s="15"/>
      <c r="H271" s="15"/>
      <c r="I271" s="15"/>
      <c r="J271" s="243"/>
      <c r="K271" s="15"/>
      <c r="L271" s="15"/>
      <c r="M271" s="15"/>
      <c r="N271" s="15"/>
      <c r="O271" s="243"/>
      <c r="P271" s="243"/>
      <c r="Q271" s="243"/>
      <c r="R271" s="243"/>
      <c r="S271" s="243"/>
      <c r="T271" s="243"/>
      <c r="U271" s="243"/>
    </row>
    <row r="272">
      <c r="A272" s="15"/>
      <c r="B272" s="15"/>
      <c r="C272" s="15"/>
      <c r="D272" s="15"/>
      <c r="E272" s="15"/>
      <c r="F272" s="15"/>
      <c r="G272" s="15"/>
      <c r="H272" s="15"/>
      <c r="I272" s="15"/>
      <c r="J272" s="243"/>
      <c r="K272" s="15"/>
      <c r="L272" s="15"/>
      <c r="M272" s="15"/>
      <c r="N272" s="15"/>
      <c r="O272" s="243"/>
      <c r="P272" s="243"/>
      <c r="Q272" s="243"/>
      <c r="R272" s="243"/>
      <c r="S272" s="243"/>
      <c r="T272" s="243"/>
      <c r="U272" s="243"/>
    </row>
    <row r="273">
      <c r="A273" s="15"/>
      <c r="B273" s="15"/>
      <c r="C273" s="15"/>
      <c r="D273" s="15"/>
      <c r="E273" s="15"/>
      <c r="F273" s="15"/>
      <c r="G273" s="15"/>
      <c r="H273" s="15"/>
      <c r="I273" s="15"/>
      <c r="J273" s="243"/>
      <c r="K273" s="15"/>
      <c r="L273" s="15"/>
      <c r="M273" s="15"/>
      <c r="N273" s="15"/>
      <c r="O273" s="243"/>
      <c r="P273" s="243"/>
      <c r="Q273" s="243"/>
      <c r="R273" s="243"/>
      <c r="S273" s="243"/>
      <c r="T273" s="243"/>
      <c r="U273" s="243"/>
    </row>
    <row r="274">
      <c r="A274" s="15"/>
      <c r="B274" s="15"/>
      <c r="C274" s="15"/>
      <c r="D274" s="15"/>
      <c r="E274" s="15"/>
      <c r="F274" s="15"/>
      <c r="G274" s="15"/>
      <c r="H274" s="15"/>
      <c r="I274" s="15"/>
      <c r="J274" s="243"/>
      <c r="K274" s="15"/>
      <c r="L274" s="15"/>
      <c r="M274" s="15"/>
      <c r="N274" s="15"/>
      <c r="O274" s="243"/>
      <c r="P274" s="243"/>
      <c r="Q274" s="243"/>
      <c r="R274" s="243"/>
      <c r="S274" s="243"/>
      <c r="T274" s="243"/>
      <c r="U274" s="243"/>
    </row>
    <row r="275">
      <c r="A275" s="15"/>
      <c r="B275" s="15"/>
      <c r="C275" s="15"/>
      <c r="D275" s="15"/>
      <c r="E275" s="15"/>
      <c r="F275" s="15"/>
      <c r="G275" s="15"/>
      <c r="H275" s="15"/>
      <c r="I275" s="15"/>
      <c r="J275" s="243"/>
      <c r="K275" s="15"/>
      <c r="L275" s="15"/>
      <c r="M275" s="15"/>
      <c r="N275" s="15"/>
      <c r="O275" s="243"/>
      <c r="P275" s="243"/>
      <c r="Q275" s="243"/>
      <c r="R275" s="243"/>
      <c r="S275" s="243"/>
      <c r="T275" s="243"/>
      <c r="U275" s="243"/>
    </row>
    <row r="276">
      <c r="A276" s="15"/>
      <c r="B276" s="15"/>
      <c r="C276" s="15"/>
      <c r="D276" s="15"/>
      <c r="E276" s="15"/>
      <c r="F276" s="15"/>
      <c r="G276" s="15"/>
      <c r="H276" s="15"/>
      <c r="I276" s="15"/>
      <c r="J276" s="243"/>
      <c r="K276" s="15"/>
      <c r="L276" s="15"/>
      <c r="M276" s="15"/>
      <c r="N276" s="15"/>
      <c r="O276" s="243"/>
      <c r="P276" s="243"/>
      <c r="Q276" s="243"/>
      <c r="R276" s="243"/>
      <c r="S276" s="243"/>
      <c r="T276" s="243"/>
      <c r="U276" s="243"/>
    </row>
    <row r="277">
      <c r="A277" s="15"/>
      <c r="B277" s="15"/>
      <c r="C277" s="15"/>
      <c r="D277" s="15"/>
      <c r="E277" s="15"/>
      <c r="F277" s="15"/>
      <c r="G277" s="15"/>
      <c r="H277" s="15"/>
      <c r="I277" s="15"/>
      <c r="J277" s="243"/>
      <c r="K277" s="15"/>
      <c r="L277" s="15"/>
      <c r="M277" s="15"/>
      <c r="N277" s="15"/>
      <c r="O277" s="243"/>
      <c r="P277" s="243"/>
      <c r="Q277" s="243"/>
      <c r="R277" s="243"/>
      <c r="S277" s="243"/>
      <c r="T277" s="243"/>
      <c r="U277" s="243"/>
    </row>
    <row r="278">
      <c r="A278" s="15"/>
      <c r="B278" s="15"/>
      <c r="C278" s="15"/>
      <c r="D278" s="15"/>
      <c r="E278" s="15"/>
      <c r="F278" s="15"/>
      <c r="G278" s="15"/>
      <c r="H278" s="15"/>
      <c r="I278" s="15"/>
      <c r="J278" s="243"/>
      <c r="K278" s="15"/>
      <c r="L278" s="15"/>
      <c r="M278" s="15"/>
      <c r="N278" s="15"/>
      <c r="O278" s="243"/>
      <c r="P278" s="243"/>
      <c r="Q278" s="243"/>
      <c r="R278" s="243"/>
      <c r="S278" s="243"/>
      <c r="T278" s="243"/>
      <c r="U278" s="243"/>
    </row>
    <row r="279">
      <c r="A279" s="15"/>
      <c r="B279" s="15"/>
      <c r="C279" s="15"/>
      <c r="D279" s="15"/>
      <c r="E279" s="15"/>
      <c r="F279" s="15"/>
      <c r="G279" s="15"/>
      <c r="H279" s="15"/>
      <c r="I279" s="15"/>
      <c r="J279" s="243"/>
      <c r="K279" s="15"/>
      <c r="L279" s="15"/>
      <c r="M279" s="15"/>
      <c r="N279" s="15"/>
      <c r="O279" s="243"/>
      <c r="P279" s="243"/>
      <c r="Q279" s="243"/>
      <c r="R279" s="243"/>
      <c r="S279" s="243"/>
      <c r="T279" s="243"/>
      <c r="U279" s="243"/>
    </row>
    <row r="280">
      <c r="A280" s="15"/>
      <c r="B280" s="15"/>
      <c r="C280" s="15"/>
      <c r="D280" s="15"/>
      <c r="E280" s="15"/>
      <c r="F280" s="15"/>
      <c r="G280" s="15"/>
      <c r="H280" s="15"/>
      <c r="I280" s="15"/>
      <c r="J280" s="243"/>
      <c r="K280" s="15"/>
      <c r="L280" s="15"/>
      <c r="M280" s="15"/>
      <c r="N280" s="15"/>
      <c r="O280" s="243"/>
      <c r="P280" s="243"/>
      <c r="Q280" s="243"/>
      <c r="R280" s="243"/>
      <c r="S280" s="243"/>
      <c r="T280" s="243"/>
      <c r="U280" s="243"/>
    </row>
    <row r="281">
      <c r="A281" s="15"/>
      <c r="B281" s="15"/>
      <c r="C281" s="15"/>
      <c r="D281" s="15"/>
      <c r="E281" s="15"/>
      <c r="F281" s="15"/>
      <c r="G281" s="15"/>
      <c r="H281" s="15"/>
      <c r="I281" s="15"/>
      <c r="J281" s="243"/>
      <c r="K281" s="15"/>
      <c r="L281" s="15"/>
      <c r="M281" s="15"/>
      <c r="N281" s="15"/>
      <c r="O281" s="243"/>
      <c r="P281" s="243"/>
      <c r="Q281" s="243"/>
      <c r="R281" s="243"/>
      <c r="S281" s="243"/>
      <c r="T281" s="243"/>
      <c r="U281" s="243"/>
    </row>
    <row r="282">
      <c r="A282" s="15"/>
      <c r="B282" s="15"/>
      <c r="C282" s="15"/>
      <c r="D282" s="15"/>
      <c r="E282" s="15"/>
      <c r="F282" s="15"/>
      <c r="G282" s="15"/>
      <c r="H282" s="15"/>
      <c r="I282" s="15"/>
      <c r="J282" s="243"/>
      <c r="K282" s="15"/>
      <c r="L282" s="15"/>
      <c r="M282" s="15"/>
      <c r="N282" s="15"/>
      <c r="O282" s="243"/>
      <c r="P282" s="243"/>
      <c r="Q282" s="243"/>
      <c r="R282" s="243"/>
      <c r="S282" s="243"/>
      <c r="T282" s="243"/>
      <c r="U282" s="243"/>
    </row>
    <row r="283">
      <c r="A283" s="15"/>
      <c r="B283" s="15"/>
      <c r="C283" s="15"/>
      <c r="D283" s="15"/>
      <c r="E283" s="15"/>
      <c r="F283" s="15"/>
      <c r="G283" s="15"/>
      <c r="H283" s="15"/>
      <c r="I283" s="15"/>
      <c r="J283" s="243"/>
      <c r="K283" s="15"/>
      <c r="L283" s="15"/>
      <c r="M283" s="15"/>
      <c r="N283" s="15"/>
      <c r="O283" s="243"/>
      <c r="P283" s="243"/>
      <c r="Q283" s="243"/>
      <c r="R283" s="243"/>
      <c r="S283" s="243"/>
      <c r="T283" s="243"/>
      <c r="U283" s="243"/>
    </row>
    <row r="284">
      <c r="A284" s="15"/>
      <c r="B284" s="15"/>
      <c r="C284" s="15"/>
      <c r="D284" s="15"/>
      <c r="E284" s="15"/>
      <c r="F284" s="15"/>
      <c r="G284" s="15"/>
      <c r="H284" s="15"/>
      <c r="I284" s="15"/>
      <c r="J284" s="243"/>
      <c r="K284" s="15"/>
      <c r="L284" s="15"/>
      <c r="M284" s="15"/>
      <c r="N284" s="15"/>
      <c r="O284" s="243"/>
      <c r="P284" s="243"/>
      <c r="Q284" s="243"/>
      <c r="R284" s="243"/>
      <c r="S284" s="243"/>
      <c r="T284" s="243"/>
      <c r="U284" s="243"/>
    </row>
    <row r="285">
      <c r="A285" s="15"/>
      <c r="B285" s="15"/>
      <c r="C285" s="15"/>
      <c r="D285" s="15"/>
      <c r="E285" s="15"/>
      <c r="F285" s="15"/>
      <c r="G285" s="15"/>
      <c r="H285" s="15"/>
      <c r="I285" s="15"/>
      <c r="J285" s="243"/>
      <c r="K285" s="15"/>
      <c r="L285" s="15"/>
      <c r="M285" s="15"/>
      <c r="N285" s="15"/>
      <c r="O285" s="243"/>
      <c r="P285" s="243"/>
      <c r="Q285" s="243"/>
      <c r="R285" s="243"/>
      <c r="S285" s="243"/>
      <c r="T285" s="243"/>
      <c r="U285" s="243"/>
    </row>
    <row r="286">
      <c r="A286" s="15"/>
      <c r="B286" s="15"/>
      <c r="C286" s="15"/>
      <c r="D286" s="15"/>
      <c r="E286" s="15"/>
      <c r="F286" s="15"/>
      <c r="G286" s="15"/>
      <c r="H286" s="15"/>
      <c r="I286" s="15"/>
      <c r="J286" s="243"/>
      <c r="K286" s="15"/>
      <c r="L286" s="15"/>
      <c r="M286" s="15"/>
      <c r="N286" s="15"/>
      <c r="O286" s="243"/>
      <c r="P286" s="243"/>
      <c r="Q286" s="243"/>
      <c r="R286" s="243"/>
      <c r="S286" s="243"/>
      <c r="T286" s="243"/>
      <c r="U286" s="243"/>
    </row>
    <row r="287">
      <c r="A287" s="15"/>
      <c r="B287" s="15"/>
      <c r="C287" s="15"/>
      <c r="D287" s="15"/>
      <c r="E287" s="15"/>
      <c r="F287" s="15"/>
      <c r="G287" s="15"/>
      <c r="H287" s="15"/>
      <c r="I287" s="15"/>
      <c r="J287" s="243"/>
      <c r="K287" s="15"/>
      <c r="L287" s="15"/>
      <c r="M287" s="15"/>
      <c r="N287" s="15"/>
      <c r="O287" s="243"/>
      <c r="P287" s="243"/>
      <c r="Q287" s="243"/>
      <c r="R287" s="243"/>
      <c r="S287" s="243"/>
      <c r="T287" s="243"/>
      <c r="U287" s="243"/>
    </row>
    <row r="288">
      <c r="A288" s="15"/>
      <c r="B288" s="15"/>
      <c r="C288" s="15"/>
      <c r="D288" s="15"/>
      <c r="E288" s="15"/>
      <c r="F288" s="15"/>
      <c r="G288" s="15"/>
      <c r="H288" s="15"/>
      <c r="I288" s="15"/>
      <c r="J288" s="243"/>
      <c r="K288" s="15"/>
      <c r="L288" s="15"/>
      <c r="M288" s="15"/>
      <c r="N288" s="15"/>
      <c r="O288" s="243"/>
      <c r="P288" s="243"/>
      <c r="Q288" s="243"/>
      <c r="R288" s="243"/>
      <c r="S288" s="243"/>
      <c r="T288" s="243"/>
      <c r="U288" s="243"/>
    </row>
    <row r="289">
      <c r="A289" s="15"/>
      <c r="B289" s="15"/>
      <c r="C289" s="15"/>
      <c r="D289" s="15"/>
      <c r="E289" s="15"/>
      <c r="F289" s="15"/>
      <c r="G289" s="15"/>
      <c r="H289" s="15"/>
      <c r="I289" s="15"/>
      <c r="J289" s="243"/>
      <c r="K289" s="15"/>
      <c r="L289" s="15"/>
      <c r="M289" s="15"/>
      <c r="N289" s="15"/>
      <c r="O289" s="243"/>
      <c r="P289" s="243"/>
      <c r="Q289" s="243"/>
      <c r="R289" s="243"/>
      <c r="S289" s="243"/>
      <c r="T289" s="243"/>
      <c r="U289" s="243"/>
    </row>
    <row r="290">
      <c r="A290" s="15"/>
      <c r="B290" s="15"/>
      <c r="C290" s="15"/>
      <c r="D290" s="15"/>
      <c r="E290" s="15"/>
      <c r="F290" s="15"/>
      <c r="G290" s="15"/>
      <c r="H290" s="15"/>
      <c r="I290" s="15"/>
      <c r="J290" s="243"/>
      <c r="K290" s="15"/>
      <c r="L290" s="15"/>
      <c r="M290" s="15"/>
      <c r="N290" s="15"/>
      <c r="O290" s="243"/>
      <c r="P290" s="243"/>
      <c r="Q290" s="243"/>
      <c r="R290" s="243"/>
      <c r="S290" s="243"/>
      <c r="T290" s="243"/>
      <c r="U290" s="243"/>
    </row>
    <row r="291">
      <c r="A291" s="15"/>
      <c r="B291" s="15"/>
      <c r="C291" s="15"/>
      <c r="D291" s="15"/>
      <c r="E291" s="15"/>
      <c r="F291" s="15"/>
      <c r="G291" s="15"/>
      <c r="H291" s="15"/>
      <c r="I291" s="15"/>
      <c r="J291" s="243"/>
      <c r="K291" s="15"/>
      <c r="L291" s="15"/>
      <c r="M291" s="15"/>
      <c r="N291" s="15"/>
      <c r="O291" s="243"/>
      <c r="P291" s="243"/>
      <c r="Q291" s="243"/>
      <c r="R291" s="243"/>
      <c r="S291" s="243"/>
      <c r="T291" s="243"/>
      <c r="U291" s="243"/>
    </row>
    <row r="292">
      <c r="A292" s="15"/>
      <c r="B292" s="15"/>
      <c r="C292" s="15"/>
      <c r="D292" s="15"/>
      <c r="E292" s="15"/>
      <c r="F292" s="15"/>
      <c r="G292" s="15"/>
      <c r="H292" s="15"/>
      <c r="I292" s="15"/>
      <c r="J292" s="243"/>
      <c r="K292" s="15"/>
      <c r="L292" s="15"/>
      <c r="M292" s="15"/>
      <c r="N292" s="15"/>
      <c r="O292" s="243"/>
      <c r="P292" s="243"/>
      <c r="Q292" s="243"/>
      <c r="R292" s="243"/>
      <c r="S292" s="243"/>
      <c r="T292" s="243"/>
      <c r="U292" s="243"/>
    </row>
    <row r="293">
      <c r="A293" s="15"/>
      <c r="B293" s="15"/>
      <c r="C293" s="15"/>
      <c r="D293" s="15"/>
      <c r="E293" s="15"/>
      <c r="F293" s="15"/>
      <c r="G293" s="15"/>
      <c r="H293" s="15"/>
      <c r="I293" s="15"/>
      <c r="J293" s="243"/>
      <c r="K293" s="15"/>
      <c r="L293" s="15"/>
      <c r="M293" s="15"/>
      <c r="N293" s="15"/>
      <c r="O293" s="243"/>
      <c r="P293" s="243"/>
      <c r="Q293" s="243"/>
      <c r="R293" s="243"/>
      <c r="S293" s="243"/>
      <c r="T293" s="243"/>
      <c r="U293" s="243"/>
    </row>
    <row r="294">
      <c r="A294" s="15"/>
      <c r="B294" s="15"/>
      <c r="C294" s="15"/>
      <c r="D294" s="15"/>
      <c r="E294" s="15"/>
      <c r="F294" s="15"/>
      <c r="G294" s="15"/>
      <c r="H294" s="15"/>
      <c r="I294" s="15"/>
      <c r="J294" s="243"/>
      <c r="K294" s="15"/>
      <c r="L294" s="15"/>
      <c r="M294" s="15"/>
      <c r="N294" s="15"/>
      <c r="O294" s="243"/>
      <c r="P294" s="243"/>
      <c r="Q294" s="243"/>
      <c r="R294" s="243"/>
      <c r="S294" s="243"/>
      <c r="T294" s="243"/>
      <c r="U294" s="243"/>
    </row>
    <row r="295">
      <c r="A295" s="15"/>
      <c r="B295" s="15"/>
      <c r="C295" s="15"/>
      <c r="D295" s="15"/>
      <c r="E295" s="15"/>
      <c r="F295" s="15"/>
      <c r="G295" s="15"/>
      <c r="H295" s="15"/>
      <c r="I295" s="15"/>
      <c r="J295" s="243"/>
      <c r="K295" s="15"/>
      <c r="L295" s="15"/>
      <c r="M295" s="15"/>
      <c r="N295" s="15"/>
      <c r="O295" s="243"/>
      <c r="P295" s="243"/>
      <c r="Q295" s="243"/>
      <c r="R295" s="243"/>
      <c r="S295" s="243"/>
      <c r="T295" s="243"/>
      <c r="U295" s="243"/>
    </row>
    <row r="296">
      <c r="A296" s="15"/>
      <c r="B296" s="15"/>
      <c r="C296" s="15"/>
      <c r="D296" s="15"/>
      <c r="E296" s="15"/>
      <c r="F296" s="15"/>
      <c r="G296" s="15"/>
      <c r="H296" s="15"/>
      <c r="I296" s="15"/>
      <c r="J296" s="243"/>
      <c r="K296" s="15"/>
      <c r="L296" s="15"/>
      <c r="M296" s="15"/>
      <c r="N296" s="15"/>
      <c r="O296" s="243"/>
      <c r="P296" s="243"/>
      <c r="Q296" s="243"/>
      <c r="R296" s="243"/>
      <c r="S296" s="243"/>
      <c r="T296" s="243"/>
      <c r="U296" s="243"/>
    </row>
    <row r="297">
      <c r="A297" s="15"/>
      <c r="B297" s="15"/>
      <c r="C297" s="15"/>
      <c r="D297" s="15"/>
      <c r="E297" s="15"/>
      <c r="F297" s="15"/>
      <c r="G297" s="15"/>
      <c r="H297" s="15"/>
      <c r="I297" s="15"/>
      <c r="J297" s="243"/>
      <c r="K297" s="15"/>
      <c r="L297" s="15"/>
      <c r="M297" s="15"/>
      <c r="N297" s="15"/>
      <c r="O297" s="243"/>
      <c r="P297" s="243"/>
      <c r="Q297" s="243"/>
      <c r="R297" s="243"/>
      <c r="S297" s="243"/>
      <c r="T297" s="243"/>
      <c r="U297" s="243"/>
    </row>
    <row r="298">
      <c r="A298" s="15"/>
      <c r="B298" s="15"/>
      <c r="C298" s="15"/>
      <c r="D298" s="15"/>
      <c r="E298" s="15"/>
      <c r="F298" s="15"/>
      <c r="G298" s="15"/>
      <c r="H298" s="15"/>
      <c r="I298" s="15"/>
      <c r="J298" s="243"/>
      <c r="K298" s="15"/>
      <c r="L298" s="15"/>
      <c r="M298" s="15"/>
      <c r="N298" s="15"/>
      <c r="O298" s="243"/>
      <c r="P298" s="243"/>
      <c r="Q298" s="243"/>
      <c r="R298" s="243"/>
      <c r="S298" s="243"/>
      <c r="T298" s="243"/>
      <c r="U298" s="243"/>
    </row>
    <row r="299">
      <c r="A299" s="15"/>
      <c r="B299" s="15"/>
      <c r="C299" s="15"/>
      <c r="D299" s="15"/>
      <c r="E299" s="15"/>
      <c r="F299" s="15"/>
      <c r="G299" s="15"/>
      <c r="H299" s="15"/>
      <c r="I299" s="15"/>
      <c r="J299" s="243"/>
      <c r="K299" s="15"/>
      <c r="L299" s="15"/>
      <c r="M299" s="15"/>
      <c r="N299" s="15"/>
      <c r="O299" s="243"/>
      <c r="P299" s="243"/>
      <c r="Q299" s="243"/>
      <c r="R299" s="243"/>
      <c r="S299" s="243"/>
      <c r="T299" s="243"/>
      <c r="U299" s="243"/>
    </row>
    <row r="300">
      <c r="A300" s="15"/>
      <c r="B300" s="15"/>
      <c r="C300" s="15"/>
      <c r="D300" s="15"/>
      <c r="E300" s="15"/>
      <c r="F300" s="15"/>
      <c r="G300" s="15"/>
      <c r="H300" s="15"/>
      <c r="I300" s="15"/>
      <c r="J300" s="243"/>
      <c r="K300" s="15"/>
      <c r="L300" s="15"/>
      <c r="M300" s="15"/>
      <c r="N300" s="15"/>
      <c r="O300" s="243"/>
      <c r="P300" s="243"/>
      <c r="Q300" s="243"/>
      <c r="R300" s="243"/>
      <c r="S300" s="243"/>
      <c r="T300" s="243"/>
      <c r="U300" s="243"/>
    </row>
    <row r="301">
      <c r="A301" s="15"/>
      <c r="B301" s="15"/>
      <c r="C301" s="15"/>
      <c r="D301" s="15"/>
      <c r="E301" s="15"/>
      <c r="F301" s="15"/>
      <c r="G301" s="15"/>
      <c r="H301" s="15"/>
      <c r="I301" s="15"/>
      <c r="J301" s="243"/>
      <c r="K301" s="15"/>
      <c r="L301" s="15"/>
      <c r="M301" s="15"/>
      <c r="N301" s="15"/>
      <c r="O301" s="243"/>
      <c r="P301" s="243"/>
      <c r="Q301" s="243"/>
      <c r="R301" s="243"/>
      <c r="S301" s="243"/>
      <c r="T301" s="243"/>
      <c r="U301" s="243"/>
    </row>
    <row r="302">
      <c r="A302" s="15"/>
      <c r="B302" s="15"/>
      <c r="C302" s="15"/>
      <c r="D302" s="15"/>
      <c r="E302" s="15"/>
      <c r="F302" s="15"/>
      <c r="G302" s="15"/>
      <c r="H302" s="15"/>
      <c r="I302" s="15"/>
      <c r="J302" s="243"/>
      <c r="K302" s="15"/>
      <c r="L302" s="15"/>
      <c r="M302" s="15"/>
      <c r="N302" s="15"/>
      <c r="O302" s="243"/>
      <c r="P302" s="243"/>
      <c r="Q302" s="243"/>
      <c r="R302" s="243"/>
      <c r="S302" s="243"/>
      <c r="T302" s="243"/>
      <c r="U302" s="243"/>
    </row>
    <row r="303">
      <c r="A303" s="15"/>
      <c r="B303" s="15"/>
      <c r="C303" s="15"/>
      <c r="D303" s="15"/>
      <c r="E303" s="15"/>
      <c r="F303" s="15"/>
      <c r="G303" s="15"/>
      <c r="H303" s="15"/>
      <c r="I303" s="15"/>
      <c r="J303" s="243"/>
      <c r="K303" s="15"/>
      <c r="L303" s="15"/>
      <c r="M303" s="15"/>
      <c r="N303" s="15"/>
      <c r="O303" s="243"/>
      <c r="P303" s="243"/>
      <c r="Q303" s="243"/>
      <c r="R303" s="243"/>
      <c r="S303" s="243"/>
      <c r="T303" s="243"/>
      <c r="U303" s="243"/>
    </row>
    <row r="304">
      <c r="A304" s="15"/>
      <c r="B304" s="15"/>
      <c r="C304" s="15"/>
      <c r="D304" s="15"/>
      <c r="E304" s="15"/>
      <c r="F304" s="15"/>
      <c r="G304" s="15"/>
      <c r="H304" s="15"/>
      <c r="I304" s="15"/>
      <c r="J304" s="243"/>
      <c r="K304" s="15"/>
      <c r="L304" s="15"/>
      <c r="M304" s="15"/>
      <c r="N304" s="15"/>
      <c r="O304" s="243"/>
      <c r="P304" s="243"/>
      <c r="Q304" s="243"/>
      <c r="R304" s="243"/>
      <c r="S304" s="243"/>
      <c r="T304" s="243"/>
      <c r="U304" s="243"/>
    </row>
    <row r="305">
      <c r="A305" s="15"/>
      <c r="B305" s="15"/>
      <c r="C305" s="15"/>
      <c r="D305" s="15"/>
      <c r="E305" s="15"/>
      <c r="F305" s="15"/>
      <c r="G305" s="15"/>
      <c r="H305" s="15"/>
      <c r="I305" s="15"/>
      <c r="J305" s="243"/>
      <c r="K305" s="15"/>
      <c r="L305" s="15"/>
      <c r="M305" s="15"/>
      <c r="N305" s="15"/>
      <c r="O305" s="243"/>
      <c r="P305" s="243"/>
      <c r="Q305" s="243"/>
      <c r="R305" s="243"/>
      <c r="S305" s="243"/>
      <c r="T305" s="243"/>
      <c r="U305" s="243"/>
    </row>
    <row r="306">
      <c r="A306" s="15"/>
      <c r="B306" s="15"/>
      <c r="C306" s="15"/>
      <c r="D306" s="15"/>
      <c r="E306" s="15"/>
      <c r="F306" s="15"/>
      <c r="G306" s="15"/>
      <c r="H306" s="15"/>
      <c r="I306" s="15"/>
      <c r="J306" s="243"/>
      <c r="K306" s="15"/>
      <c r="L306" s="15"/>
      <c r="M306" s="15"/>
      <c r="N306" s="15"/>
      <c r="O306" s="243"/>
      <c r="P306" s="243"/>
      <c r="Q306" s="243"/>
      <c r="R306" s="243"/>
      <c r="S306" s="243"/>
      <c r="T306" s="243"/>
      <c r="U306" s="243"/>
    </row>
    <row r="307">
      <c r="A307" s="15"/>
      <c r="B307" s="15"/>
      <c r="C307" s="15"/>
      <c r="D307" s="15"/>
      <c r="E307" s="15"/>
      <c r="F307" s="15"/>
      <c r="G307" s="15"/>
      <c r="H307" s="15"/>
      <c r="I307" s="15"/>
      <c r="J307" s="243"/>
      <c r="K307" s="15"/>
      <c r="L307" s="15"/>
      <c r="M307" s="15"/>
      <c r="N307" s="15"/>
      <c r="O307" s="243"/>
      <c r="P307" s="243"/>
      <c r="Q307" s="243"/>
      <c r="R307" s="243"/>
      <c r="S307" s="243"/>
      <c r="T307" s="243"/>
      <c r="U307" s="243"/>
    </row>
    <row r="308">
      <c r="A308" s="15"/>
      <c r="B308" s="15"/>
      <c r="C308" s="15"/>
      <c r="D308" s="15"/>
      <c r="E308" s="15"/>
      <c r="F308" s="15"/>
      <c r="G308" s="15"/>
      <c r="H308" s="15"/>
      <c r="I308" s="15"/>
      <c r="J308" s="243"/>
      <c r="K308" s="15"/>
      <c r="L308" s="15"/>
      <c r="M308" s="15"/>
      <c r="N308" s="15"/>
      <c r="O308" s="243"/>
      <c r="P308" s="243"/>
      <c r="Q308" s="243"/>
      <c r="R308" s="243"/>
      <c r="S308" s="243"/>
      <c r="T308" s="243"/>
      <c r="U308" s="243"/>
    </row>
    <row r="309">
      <c r="A309" s="15"/>
      <c r="B309" s="15"/>
      <c r="C309" s="15"/>
      <c r="D309" s="15"/>
      <c r="E309" s="15"/>
      <c r="F309" s="15"/>
      <c r="G309" s="15"/>
      <c r="H309" s="15"/>
      <c r="I309" s="15"/>
      <c r="J309" s="243"/>
      <c r="K309" s="15"/>
      <c r="L309" s="15"/>
      <c r="M309" s="15"/>
      <c r="N309" s="15"/>
      <c r="O309" s="243"/>
      <c r="P309" s="243"/>
      <c r="Q309" s="243"/>
      <c r="R309" s="243"/>
      <c r="S309" s="243"/>
      <c r="T309" s="243"/>
      <c r="U309" s="243"/>
    </row>
    <row r="310">
      <c r="A310" s="15"/>
      <c r="B310" s="15"/>
      <c r="C310" s="15"/>
      <c r="D310" s="15"/>
      <c r="E310" s="15"/>
      <c r="F310" s="15"/>
      <c r="G310" s="15"/>
      <c r="H310" s="15"/>
      <c r="I310" s="15"/>
      <c r="J310" s="243"/>
      <c r="K310" s="15"/>
      <c r="L310" s="15"/>
      <c r="M310" s="15"/>
      <c r="N310" s="15"/>
      <c r="O310" s="243"/>
      <c r="P310" s="243"/>
      <c r="Q310" s="243"/>
      <c r="R310" s="243"/>
      <c r="S310" s="243"/>
      <c r="T310" s="243"/>
      <c r="U310" s="243"/>
    </row>
    <row r="311">
      <c r="A311" s="15"/>
      <c r="B311" s="15"/>
      <c r="C311" s="15"/>
      <c r="D311" s="15"/>
      <c r="E311" s="15"/>
      <c r="F311" s="15"/>
      <c r="G311" s="15"/>
      <c r="H311" s="15"/>
      <c r="I311" s="15"/>
      <c r="J311" s="243"/>
      <c r="K311" s="15"/>
      <c r="L311" s="15"/>
      <c r="M311" s="15"/>
      <c r="N311" s="15"/>
      <c r="O311" s="243"/>
      <c r="P311" s="243"/>
      <c r="Q311" s="243"/>
      <c r="R311" s="243"/>
      <c r="S311" s="243"/>
      <c r="T311" s="243"/>
      <c r="U311" s="243"/>
    </row>
    <row r="312">
      <c r="A312" s="15"/>
      <c r="B312" s="15"/>
      <c r="C312" s="15"/>
      <c r="D312" s="15"/>
      <c r="E312" s="15"/>
      <c r="F312" s="15"/>
      <c r="G312" s="15"/>
      <c r="H312" s="15"/>
      <c r="I312" s="15"/>
      <c r="J312" s="243"/>
      <c r="K312" s="15"/>
      <c r="L312" s="15"/>
      <c r="M312" s="15"/>
      <c r="N312" s="15"/>
      <c r="O312" s="243"/>
      <c r="P312" s="243"/>
      <c r="Q312" s="243"/>
      <c r="R312" s="243"/>
      <c r="S312" s="243"/>
      <c r="T312" s="243"/>
      <c r="U312" s="243"/>
    </row>
    <row r="313">
      <c r="A313" s="15"/>
      <c r="B313" s="15"/>
      <c r="C313" s="15"/>
      <c r="D313" s="15"/>
      <c r="E313" s="15"/>
      <c r="F313" s="15"/>
      <c r="G313" s="15"/>
      <c r="H313" s="15"/>
      <c r="I313" s="15"/>
      <c r="J313" s="243"/>
      <c r="K313" s="15"/>
      <c r="L313" s="15"/>
      <c r="M313" s="15"/>
      <c r="N313" s="15"/>
      <c r="O313" s="243"/>
      <c r="P313" s="243"/>
      <c r="Q313" s="243"/>
      <c r="R313" s="243"/>
      <c r="S313" s="243"/>
      <c r="T313" s="243"/>
      <c r="U313" s="243"/>
    </row>
    <row r="314">
      <c r="A314" s="15"/>
      <c r="B314" s="15"/>
      <c r="C314" s="15"/>
      <c r="D314" s="15"/>
      <c r="E314" s="15"/>
      <c r="F314" s="15"/>
      <c r="G314" s="15"/>
      <c r="H314" s="15"/>
      <c r="I314" s="15"/>
      <c r="J314" s="243"/>
      <c r="K314" s="15"/>
      <c r="L314" s="15"/>
      <c r="M314" s="15"/>
      <c r="N314" s="15"/>
      <c r="O314" s="243"/>
      <c r="P314" s="243"/>
      <c r="Q314" s="243"/>
      <c r="R314" s="243"/>
      <c r="S314" s="243"/>
      <c r="T314" s="243"/>
      <c r="U314" s="243"/>
    </row>
    <row r="315">
      <c r="A315" s="15"/>
      <c r="B315" s="15"/>
      <c r="C315" s="15"/>
      <c r="D315" s="15"/>
      <c r="E315" s="15"/>
      <c r="F315" s="15"/>
      <c r="G315" s="15"/>
      <c r="H315" s="15"/>
      <c r="I315" s="15"/>
      <c r="J315" s="243"/>
      <c r="K315" s="15"/>
      <c r="L315" s="15"/>
      <c r="M315" s="15"/>
      <c r="N315" s="15"/>
      <c r="O315" s="243"/>
      <c r="P315" s="243"/>
      <c r="Q315" s="243"/>
      <c r="R315" s="243"/>
      <c r="S315" s="243"/>
      <c r="T315" s="243"/>
      <c r="U315" s="243"/>
    </row>
    <row r="316">
      <c r="A316" s="15"/>
      <c r="B316" s="15"/>
      <c r="C316" s="15"/>
      <c r="D316" s="15"/>
      <c r="E316" s="15"/>
      <c r="F316" s="15"/>
      <c r="G316" s="15"/>
      <c r="H316" s="15"/>
      <c r="I316" s="15"/>
      <c r="J316" s="243"/>
      <c r="K316" s="15"/>
      <c r="L316" s="15"/>
      <c r="M316" s="15"/>
      <c r="N316" s="15"/>
      <c r="O316" s="243"/>
      <c r="P316" s="243"/>
      <c r="Q316" s="243"/>
      <c r="R316" s="243"/>
      <c r="S316" s="243"/>
      <c r="T316" s="243"/>
      <c r="U316" s="243"/>
    </row>
    <row r="317">
      <c r="A317" s="15"/>
      <c r="B317" s="15"/>
      <c r="C317" s="15"/>
      <c r="D317" s="15"/>
      <c r="E317" s="15"/>
      <c r="F317" s="15"/>
      <c r="G317" s="15"/>
      <c r="H317" s="15"/>
      <c r="I317" s="15"/>
      <c r="J317" s="243"/>
      <c r="K317" s="15"/>
      <c r="L317" s="15"/>
      <c r="M317" s="15"/>
      <c r="N317" s="15"/>
      <c r="O317" s="243"/>
      <c r="P317" s="243"/>
      <c r="Q317" s="243"/>
      <c r="R317" s="243"/>
      <c r="S317" s="243"/>
      <c r="T317" s="243"/>
      <c r="U317" s="243"/>
    </row>
    <row r="318">
      <c r="A318" s="15"/>
      <c r="B318" s="15"/>
      <c r="C318" s="15"/>
      <c r="D318" s="15"/>
      <c r="E318" s="15"/>
      <c r="F318" s="15"/>
      <c r="G318" s="15"/>
      <c r="H318" s="15"/>
      <c r="I318" s="15"/>
      <c r="J318" s="243"/>
      <c r="K318" s="15"/>
      <c r="L318" s="15"/>
      <c r="M318" s="15"/>
      <c r="N318" s="15"/>
      <c r="O318" s="243"/>
      <c r="P318" s="243"/>
      <c r="Q318" s="243"/>
      <c r="R318" s="243"/>
      <c r="S318" s="243"/>
      <c r="T318" s="243"/>
      <c r="U318" s="243"/>
    </row>
    <row r="319">
      <c r="A319" s="15"/>
      <c r="B319" s="15"/>
      <c r="C319" s="15"/>
      <c r="D319" s="15"/>
      <c r="E319" s="15"/>
      <c r="F319" s="15"/>
      <c r="G319" s="15"/>
      <c r="H319" s="15"/>
      <c r="I319" s="15"/>
      <c r="J319" s="243"/>
      <c r="K319" s="15"/>
      <c r="L319" s="15"/>
      <c r="M319" s="15"/>
      <c r="N319" s="15"/>
      <c r="O319" s="243"/>
      <c r="P319" s="243"/>
      <c r="Q319" s="243"/>
      <c r="R319" s="243"/>
      <c r="S319" s="243"/>
      <c r="T319" s="243"/>
      <c r="U319" s="243"/>
    </row>
    <row r="320">
      <c r="A320" s="15"/>
      <c r="B320" s="15"/>
      <c r="C320" s="15"/>
      <c r="D320" s="15"/>
      <c r="E320" s="15"/>
      <c r="F320" s="15"/>
      <c r="G320" s="15"/>
      <c r="H320" s="15"/>
      <c r="I320" s="15"/>
      <c r="J320" s="243"/>
      <c r="K320" s="15"/>
      <c r="L320" s="15"/>
      <c r="M320" s="15"/>
      <c r="N320" s="15"/>
      <c r="O320" s="243"/>
      <c r="P320" s="243"/>
      <c r="Q320" s="243"/>
      <c r="R320" s="243"/>
      <c r="S320" s="243"/>
      <c r="T320" s="243"/>
      <c r="U320" s="243"/>
    </row>
    <row r="321">
      <c r="A321" s="15"/>
      <c r="B321" s="15"/>
      <c r="C321" s="15"/>
      <c r="D321" s="15"/>
      <c r="E321" s="15"/>
      <c r="F321" s="15"/>
      <c r="G321" s="15"/>
      <c r="H321" s="15"/>
      <c r="I321" s="15"/>
      <c r="J321" s="243"/>
      <c r="K321" s="15"/>
      <c r="L321" s="15"/>
      <c r="M321" s="15"/>
      <c r="N321" s="15"/>
      <c r="O321" s="243"/>
      <c r="P321" s="243"/>
      <c r="Q321" s="243"/>
      <c r="R321" s="243"/>
      <c r="S321" s="243"/>
      <c r="T321" s="243"/>
      <c r="U321" s="243"/>
    </row>
    <row r="322">
      <c r="A322" s="15"/>
      <c r="B322" s="15"/>
      <c r="C322" s="15"/>
      <c r="D322" s="15"/>
      <c r="E322" s="15"/>
      <c r="F322" s="15"/>
      <c r="G322" s="15"/>
      <c r="H322" s="15"/>
      <c r="I322" s="15"/>
      <c r="J322" s="243"/>
      <c r="K322" s="15"/>
      <c r="L322" s="15"/>
      <c r="M322" s="15"/>
      <c r="N322" s="15"/>
      <c r="O322" s="243"/>
      <c r="P322" s="243"/>
      <c r="Q322" s="243"/>
      <c r="R322" s="243"/>
      <c r="S322" s="243"/>
      <c r="T322" s="243"/>
      <c r="U322" s="243"/>
    </row>
    <row r="323">
      <c r="A323" s="15"/>
      <c r="B323" s="15"/>
      <c r="C323" s="15"/>
      <c r="D323" s="15"/>
      <c r="E323" s="15"/>
      <c r="F323" s="15"/>
      <c r="G323" s="15"/>
      <c r="H323" s="15"/>
      <c r="I323" s="15"/>
      <c r="J323" s="243"/>
      <c r="K323" s="15"/>
      <c r="L323" s="15"/>
      <c r="M323" s="15"/>
      <c r="N323" s="15"/>
      <c r="O323" s="243"/>
      <c r="P323" s="243"/>
      <c r="Q323" s="243"/>
      <c r="R323" s="243"/>
      <c r="S323" s="243"/>
      <c r="T323" s="243"/>
      <c r="U323" s="243"/>
    </row>
    <row r="324">
      <c r="A324" s="15"/>
      <c r="B324" s="15"/>
      <c r="C324" s="15"/>
      <c r="D324" s="15"/>
      <c r="E324" s="15"/>
      <c r="F324" s="15"/>
      <c r="G324" s="15"/>
      <c r="H324" s="15"/>
      <c r="I324" s="15"/>
      <c r="J324" s="243"/>
      <c r="K324" s="15"/>
      <c r="L324" s="15"/>
      <c r="M324" s="15"/>
      <c r="N324" s="15"/>
      <c r="O324" s="243"/>
      <c r="P324" s="243"/>
      <c r="Q324" s="243"/>
      <c r="R324" s="243"/>
      <c r="S324" s="243"/>
      <c r="T324" s="243"/>
      <c r="U324" s="243"/>
    </row>
    <row r="325">
      <c r="A325" s="15"/>
      <c r="B325" s="15"/>
      <c r="C325" s="15"/>
      <c r="D325" s="15"/>
      <c r="E325" s="15"/>
      <c r="F325" s="15"/>
      <c r="G325" s="15"/>
      <c r="H325" s="15"/>
      <c r="I325" s="15"/>
      <c r="J325" s="243"/>
      <c r="K325" s="15"/>
      <c r="L325" s="15"/>
      <c r="M325" s="15"/>
      <c r="N325" s="15"/>
      <c r="O325" s="243"/>
      <c r="P325" s="243"/>
      <c r="Q325" s="243"/>
      <c r="R325" s="243"/>
      <c r="S325" s="243"/>
      <c r="T325" s="243"/>
      <c r="U325" s="243"/>
    </row>
    <row r="326">
      <c r="A326" s="15"/>
      <c r="B326" s="15"/>
      <c r="C326" s="15"/>
      <c r="D326" s="15"/>
      <c r="E326" s="15"/>
      <c r="F326" s="15"/>
      <c r="G326" s="15"/>
      <c r="H326" s="15"/>
      <c r="I326" s="15"/>
      <c r="J326" s="243"/>
      <c r="K326" s="15"/>
      <c r="L326" s="15"/>
      <c r="M326" s="15"/>
      <c r="N326" s="15"/>
      <c r="O326" s="243"/>
      <c r="P326" s="243"/>
      <c r="Q326" s="243"/>
      <c r="R326" s="243"/>
      <c r="S326" s="243"/>
      <c r="T326" s="243"/>
      <c r="U326" s="243"/>
    </row>
    <row r="327">
      <c r="A327" s="15"/>
      <c r="B327" s="15"/>
      <c r="C327" s="15"/>
      <c r="D327" s="15"/>
      <c r="E327" s="15"/>
      <c r="F327" s="15"/>
      <c r="G327" s="15"/>
      <c r="H327" s="15"/>
      <c r="I327" s="15"/>
      <c r="J327" s="243"/>
      <c r="K327" s="15"/>
      <c r="L327" s="15"/>
      <c r="M327" s="15"/>
      <c r="N327" s="15"/>
      <c r="O327" s="243"/>
      <c r="P327" s="243"/>
      <c r="Q327" s="243"/>
      <c r="R327" s="243"/>
      <c r="S327" s="243"/>
      <c r="T327" s="243"/>
      <c r="U327" s="243"/>
    </row>
    <row r="328">
      <c r="A328" s="15"/>
      <c r="B328" s="15"/>
      <c r="C328" s="15"/>
      <c r="D328" s="15"/>
      <c r="E328" s="15"/>
      <c r="F328" s="15"/>
      <c r="G328" s="15"/>
      <c r="H328" s="15"/>
      <c r="I328" s="15"/>
      <c r="J328" s="243"/>
      <c r="K328" s="15"/>
      <c r="L328" s="15"/>
      <c r="M328" s="15"/>
      <c r="N328" s="15"/>
      <c r="O328" s="243"/>
      <c r="P328" s="243"/>
      <c r="Q328" s="243"/>
      <c r="R328" s="243"/>
      <c r="S328" s="243"/>
      <c r="T328" s="243"/>
      <c r="U328" s="243"/>
    </row>
    <row r="329">
      <c r="A329" s="15"/>
      <c r="B329" s="15"/>
      <c r="C329" s="15"/>
      <c r="D329" s="15"/>
      <c r="E329" s="15"/>
      <c r="F329" s="15"/>
      <c r="G329" s="15"/>
      <c r="H329" s="15"/>
      <c r="I329" s="15"/>
      <c r="J329" s="243"/>
      <c r="K329" s="15"/>
      <c r="L329" s="15"/>
      <c r="M329" s="15"/>
      <c r="N329" s="15"/>
      <c r="O329" s="243"/>
      <c r="P329" s="243"/>
      <c r="Q329" s="243"/>
      <c r="R329" s="243"/>
      <c r="S329" s="243"/>
      <c r="T329" s="243"/>
      <c r="U329" s="243"/>
    </row>
    <row r="330">
      <c r="A330" s="15"/>
      <c r="B330" s="15"/>
      <c r="C330" s="15"/>
      <c r="D330" s="15"/>
      <c r="E330" s="15"/>
      <c r="F330" s="15"/>
      <c r="G330" s="15"/>
      <c r="H330" s="15"/>
      <c r="I330" s="15"/>
      <c r="J330" s="243"/>
      <c r="K330" s="15"/>
      <c r="L330" s="15"/>
      <c r="M330" s="15"/>
      <c r="N330" s="15"/>
      <c r="O330" s="243"/>
      <c r="P330" s="243"/>
      <c r="Q330" s="243"/>
      <c r="R330" s="243"/>
      <c r="S330" s="243"/>
      <c r="T330" s="243"/>
      <c r="U330" s="243"/>
    </row>
    <row r="331">
      <c r="A331" s="15"/>
      <c r="B331" s="15"/>
      <c r="C331" s="15"/>
      <c r="D331" s="15"/>
      <c r="E331" s="15"/>
      <c r="F331" s="15"/>
      <c r="G331" s="15"/>
      <c r="H331" s="15"/>
      <c r="I331" s="15"/>
      <c r="J331" s="243"/>
      <c r="K331" s="15"/>
      <c r="L331" s="15"/>
      <c r="M331" s="15"/>
      <c r="N331" s="15"/>
      <c r="O331" s="243"/>
      <c r="P331" s="243"/>
      <c r="Q331" s="243"/>
      <c r="R331" s="243"/>
      <c r="S331" s="243"/>
      <c r="T331" s="243"/>
      <c r="U331" s="243"/>
    </row>
    <row r="332">
      <c r="A332" s="15"/>
      <c r="B332" s="15"/>
      <c r="C332" s="15"/>
      <c r="D332" s="15"/>
      <c r="E332" s="15"/>
      <c r="F332" s="15"/>
      <c r="G332" s="15"/>
      <c r="H332" s="15"/>
      <c r="I332" s="15"/>
      <c r="J332" s="243"/>
      <c r="K332" s="15"/>
      <c r="L332" s="15"/>
      <c r="M332" s="15"/>
      <c r="N332" s="15"/>
      <c r="O332" s="243"/>
      <c r="P332" s="243"/>
      <c r="Q332" s="243"/>
      <c r="R332" s="243"/>
      <c r="S332" s="243"/>
      <c r="T332" s="243"/>
      <c r="U332" s="243"/>
    </row>
    <row r="333">
      <c r="A333" s="15"/>
      <c r="B333" s="15"/>
      <c r="C333" s="15"/>
      <c r="D333" s="15"/>
      <c r="E333" s="15"/>
      <c r="F333" s="15"/>
      <c r="G333" s="15"/>
      <c r="H333" s="15"/>
      <c r="I333" s="15"/>
      <c r="J333" s="243"/>
      <c r="K333" s="15"/>
      <c r="L333" s="15"/>
      <c r="M333" s="15"/>
      <c r="N333" s="15"/>
      <c r="O333" s="243"/>
      <c r="P333" s="243"/>
      <c r="Q333" s="243"/>
      <c r="R333" s="243"/>
      <c r="S333" s="243"/>
      <c r="T333" s="243"/>
      <c r="U333" s="243"/>
    </row>
    <row r="334">
      <c r="A334" s="15"/>
      <c r="B334" s="15"/>
      <c r="C334" s="15"/>
      <c r="D334" s="15"/>
      <c r="E334" s="15"/>
      <c r="F334" s="15"/>
      <c r="G334" s="15"/>
      <c r="H334" s="15"/>
      <c r="I334" s="15"/>
      <c r="J334" s="243"/>
      <c r="K334" s="15"/>
      <c r="L334" s="15"/>
      <c r="M334" s="15"/>
      <c r="N334" s="15"/>
      <c r="O334" s="243"/>
      <c r="P334" s="243"/>
      <c r="Q334" s="243"/>
      <c r="R334" s="243"/>
      <c r="S334" s="243"/>
      <c r="T334" s="243"/>
      <c r="U334" s="243"/>
    </row>
    <row r="335">
      <c r="A335" s="15"/>
      <c r="B335" s="15"/>
      <c r="C335" s="15"/>
      <c r="D335" s="15"/>
      <c r="E335" s="15"/>
      <c r="F335" s="15"/>
      <c r="G335" s="15"/>
      <c r="H335" s="15"/>
      <c r="I335" s="15"/>
      <c r="J335" s="243"/>
      <c r="K335" s="15"/>
      <c r="L335" s="15"/>
      <c r="M335" s="15"/>
      <c r="N335" s="15"/>
      <c r="O335" s="243"/>
      <c r="P335" s="243"/>
      <c r="Q335" s="243"/>
      <c r="R335" s="243"/>
      <c r="S335" s="243"/>
      <c r="T335" s="243"/>
      <c r="U335" s="243"/>
    </row>
    <row r="336">
      <c r="A336" s="15"/>
      <c r="B336" s="15"/>
      <c r="C336" s="15"/>
      <c r="D336" s="15"/>
      <c r="E336" s="15"/>
      <c r="F336" s="15"/>
      <c r="G336" s="15"/>
      <c r="H336" s="15"/>
      <c r="I336" s="15"/>
      <c r="J336" s="243"/>
      <c r="K336" s="15"/>
      <c r="L336" s="15"/>
      <c r="M336" s="15"/>
      <c r="N336" s="15"/>
      <c r="O336" s="243"/>
      <c r="P336" s="243"/>
      <c r="Q336" s="243"/>
      <c r="R336" s="243"/>
      <c r="S336" s="243"/>
      <c r="T336" s="243"/>
      <c r="U336" s="243"/>
    </row>
    <row r="337">
      <c r="A337" s="15"/>
      <c r="B337" s="15"/>
      <c r="C337" s="15"/>
      <c r="D337" s="15"/>
      <c r="E337" s="15"/>
      <c r="F337" s="15"/>
      <c r="G337" s="15"/>
      <c r="H337" s="15"/>
      <c r="I337" s="15"/>
      <c r="J337" s="243"/>
      <c r="K337" s="15"/>
      <c r="L337" s="15"/>
      <c r="M337" s="15"/>
      <c r="N337" s="15"/>
      <c r="O337" s="243"/>
      <c r="P337" s="243"/>
      <c r="Q337" s="243"/>
      <c r="R337" s="243"/>
      <c r="S337" s="243"/>
      <c r="T337" s="243"/>
      <c r="U337" s="243"/>
    </row>
    <row r="338">
      <c r="A338" s="15"/>
      <c r="B338" s="15"/>
      <c r="C338" s="15"/>
      <c r="D338" s="15"/>
      <c r="E338" s="15"/>
      <c r="F338" s="15"/>
      <c r="G338" s="15"/>
      <c r="H338" s="15"/>
      <c r="I338" s="15"/>
      <c r="J338" s="243"/>
      <c r="K338" s="15"/>
      <c r="L338" s="15"/>
      <c r="M338" s="15"/>
      <c r="N338" s="15"/>
      <c r="O338" s="243"/>
      <c r="P338" s="243"/>
      <c r="Q338" s="243"/>
      <c r="R338" s="243"/>
      <c r="S338" s="243"/>
      <c r="T338" s="243"/>
      <c r="U338" s="243"/>
    </row>
    <row r="339">
      <c r="A339" s="15"/>
      <c r="B339" s="15"/>
      <c r="C339" s="15"/>
      <c r="D339" s="15"/>
      <c r="E339" s="15"/>
      <c r="F339" s="15"/>
      <c r="G339" s="15"/>
      <c r="H339" s="15"/>
      <c r="I339" s="15"/>
      <c r="J339" s="243"/>
      <c r="K339" s="15"/>
      <c r="L339" s="15"/>
      <c r="M339" s="15"/>
      <c r="N339" s="15"/>
      <c r="O339" s="243"/>
      <c r="P339" s="243"/>
      <c r="Q339" s="243"/>
      <c r="R339" s="243"/>
      <c r="S339" s="243"/>
      <c r="T339" s="243"/>
      <c r="U339" s="243"/>
    </row>
    <row r="340">
      <c r="A340" s="15"/>
      <c r="B340" s="15"/>
      <c r="C340" s="15"/>
      <c r="D340" s="15"/>
      <c r="E340" s="15"/>
      <c r="F340" s="15"/>
      <c r="G340" s="15"/>
      <c r="H340" s="15"/>
      <c r="I340" s="15"/>
      <c r="J340" s="243"/>
      <c r="K340" s="15"/>
      <c r="L340" s="15"/>
      <c r="M340" s="15"/>
      <c r="N340" s="15"/>
      <c r="O340" s="243"/>
      <c r="P340" s="243"/>
      <c r="Q340" s="243"/>
      <c r="R340" s="243"/>
      <c r="S340" s="243"/>
      <c r="T340" s="243"/>
      <c r="U340" s="243"/>
    </row>
    <row r="341">
      <c r="A341" s="15"/>
      <c r="B341" s="15"/>
      <c r="C341" s="15"/>
      <c r="D341" s="15"/>
      <c r="E341" s="15"/>
      <c r="F341" s="15"/>
      <c r="G341" s="15"/>
      <c r="H341" s="15"/>
      <c r="I341" s="15"/>
      <c r="J341" s="243"/>
      <c r="K341" s="15"/>
      <c r="L341" s="15"/>
      <c r="M341" s="15"/>
      <c r="N341" s="15"/>
      <c r="O341" s="243"/>
      <c r="P341" s="243"/>
      <c r="Q341" s="243"/>
      <c r="R341" s="243"/>
      <c r="S341" s="243"/>
      <c r="T341" s="243"/>
      <c r="U341" s="243"/>
    </row>
    <row r="342">
      <c r="A342" s="15"/>
      <c r="B342" s="15"/>
      <c r="C342" s="15"/>
      <c r="D342" s="15"/>
      <c r="E342" s="15"/>
      <c r="F342" s="15"/>
      <c r="G342" s="15"/>
      <c r="H342" s="15"/>
      <c r="I342" s="15"/>
      <c r="J342" s="243"/>
      <c r="K342" s="15"/>
      <c r="L342" s="15"/>
      <c r="M342" s="15"/>
      <c r="N342" s="15"/>
      <c r="O342" s="243"/>
      <c r="P342" s="243"/>
      <c r="Q342" s="243"/>
      <c r="R342" s="243"/>
      <c r="S342" s="243"/>
      <c r="T342" s="243"/>
      <c r="U342" s="243"/>
    </row>
    <row r="343">
      <c r="A343" s="15"/>
      <c r="B343" s="15"/>
      <c r="C343" s="15"/>
      <c r="D343" s="15"/>
      <c r="E343" s="15"/>
      <c r="F343" s="15"/>
      <c r="G343" s="15"/>
      <c r="H343" s="15"/>
      <c r="I343" s="15"/>
      <c r="J343" s="243"/>
      <c r="K343" s="15"/>
      <c r="L343" s="15"/>
      <c r="M343" s="15"/>
      <c r="N343" s="15"/>
      <c r="O343" s="243"/>
      <c r="P343" s="243"/>
      <c r="Q343" s="243"/>
      <c r="R343" s="243"/>
      <c r="S343" s="243"/>
      <c r="T343" s="243"/>
      <c r="U343" s="243"/>
    </row>
    <row r="344">
      <c r="A344" s="15"/>
      <c r="B344" s="15"/>
      <c r="C344" s="15"/>
      <c r="D344" s="15"/>
      <c r="E344" s="15"/>
      <c r="F344" s="15"/>
      <c r="G344" s="15"/>
      <c r="H344" s="15"/>
      <c r="I344" s="15"/>
      <c r="J344" s="243"/>
      <c r="K344" s="15"/>
      <c r="L344" s="15"/>
      <c r="M344" s="15"/>
      <c r="N344" s="15"/>
      <c r="O344" s="243"/>
      <c r="P344" s="243"/>
      <c r="Q344" s="243"/>
      <c r="R344" s="243"/>
      <c r="S344" s="243"/>
      <c r="T344" s="243"/>
      <c r="U344" s="243"/>
    </row>
    <row r="345">
      <c r="A345" s="15"/>
      <c r="B345" s="15"/>
      <c r="C345" s="15"/>
      <c r="D345" s="15"/>
      <c r="E345" s="15"/>
      <c r="F345" s="15"/>
      <c r="G345" s="15"/>
      <c r="H345" s="15"/>
      <c r="I345" s="15"/>
      <c r="J345" s="243"/>
      <c r="K345" s="15"/>
      <c r="L345" s="15"/>
      <c r="M345" s="15"/>
      <c r="N345" s="15"/>
      <c r="O345" s="243"/>
      <c r="P345" s="243"/>
      <c r="Q345" s="243"/>
      <c r="R345" s="243"/>
      <c r="S345" s="243"/>
      <c r="T345" s="243"/>
      <c r="U345" s="243"/>
    </row>
    <row r="346">
      <c r="A346" s="15"/>
      <c r="B346" s="15"/>
      <c r="C346" s="15"/>
      <c r="D346" s="15"/>
      <c r="E346" s="15"/>
      <c r="F346" s="15"/>
      <c r="G346" s="15"/>
      <c r="H346" s="15"/>
      <c r="I346" s="15"/>
      <c r="J346" s="243"/>
      <c r="K346" s="15"/>
      <c r="L346" s="15"/>
      <c r="M346" s="15"/>
      <c r="N346" s="15"/>
      <c r="O346" s="243"/>
      <c r="P346" s="243"/>
      <c r="Q346" s="243"/>
      <c r="R346" s="243"/>
      <c r="S346" s="243"/>
      <c r="T346" s="243"/>
      <c r="U346" s="243"/>
    </row>
    <row r="347">
      <c r="A347" s="15"/>
      <c r="B347" s="15"/>
      <c r="C347" s="15"/>
      <c r="D347" s="15"/>
      <c r="E347" s="15"/>
      <c r="F347" s="15"/>
      <c r="G347" s="15"/>
      <c r="H347" s="15"/>
      <c r="I347" s="15"/>
      <c r="J347" s="243"/>
      <c r="K347" s="15"/>
      <c r="L347" s="15"/>
      <c r="M347" s="15"/>
      <c r="N347" s="15"/>
      <c r="O347" s="243"/>
      <c r="P347" s="243"/>
      <c r="Q347" s="243"/>
      <c r="R347" s="243"/>
      <c r="S347" s="243"/>
      <c r="T347" s="243"/>
      <c r="U347" s="243"/>
    </row>
    <row r="348">
      <c r="A348" s="15"/>
      <c r="B348" s="15"/>
      <c r="C348" s="15"/>
      <c r="D348" s="15"/>
      <c r="E348" s="15"/>
      <c r="F348" s="15"/>
      <c r="G348" s="15"/>
      <c r="H348" s="15"/>
      <c r="I348" s="15"/>
      <c r="J348" s="243"/>
      <c r="K348" s="15"/>
      <c r="L348" s="15"/>
      <c r="M348" s="15"/>
      <c r="N348" s="15"/>
      <c r="O348" s="243"/>
      <c r="P348" s="243"/>
      <c r="Q348" s="243"/>
      <c r="R348" s="243"/>
      <c r="S348" s="243"/>
      <c r="T348" s="243"/>
      <c r="U348" s="243"/>
    </row>
    <row r="349">
      <c r="A349" s="15"/>
      <c r="B349" s="15"/>
      <c r="C349" s="15"/>
      <c r="D349" s="15"/>
      <c r="E349" s="15"/>
      <c r="F349" s="15"/>
      <c r="G349" s="15"/>
      <c r="H349" s="15"/>
      <c r="I349" s="15"/>
      <c r="J349" s="243"/>
      <c r="K349" s="15"/>
      <c r="L349" s="15"/>
      <c r="M349" s="15"/>
      <c r="N349" s="15"/>
      <c r="O349" s="243"/>
      <c r="P349" s="243"/>
      <c r="Q349" s="243"/>
      <c r="R349" s="243"/>
      <c r="S349" s="243"/>
      <c r="T349" s="243"/>
      <c r="U349" s="243"/>
    </row>
    <row r="350">
      <c r="A350" s="15"/>
      <c r="B350" s="15"/>
      <c r="C350" s="15"/>
      <c r="D350" s="15"/>
      <c r="E350" s="15"/>
      <c r="F350" s="15"/>
      <c r="G350" s="15"/>
      <c r="H350" s="15"/>
      <c r="I350" s="15"/>
      <c r="J350" s="243"/>
      <c r="K350" s="15"/>
      <c r="L350" s="15"/>
      <c r="M350" s="15"/>
      <c r="N350" s="15"/>
      <c r="O350" s="243"/>
      <c r="P350" s="243"/>
      <c r="Q350" s="243"/>
      <c r="R350" s="243"/>
      <c r="S350" s="243"/>
      <c r="T350" s="243"/>
      <c r="U350" s="243"/>
    </row>
    <row r="351">
      <c r="A351" s="15"/>
      <c r="B351" s="15"/>
      <c r="C351" s="15"/>
      <c r="D351" s="15"/>
      <c r="E351" s="15"/>
      <c r="F351" s="15"/>
      <c r="G351" s="15"/>
      <c r="H351" s="15"/>
      <c r="I351" s="15"/>
      <c r="J351" s="243"/>
      <c r="K351" s="15"/>
      <c r="L351" s="15"/>
      <c r="M351" s="15"/>
      <c r="N351" s="15"/>
      <c r="O351" s="243"/>
      <c r="P351" s="243"/>
      <c r="Q351" s="243"/>
      <c r="R351" s="243"/>
      <c r="S351" s="243"/>
      <c r="T351" s="243"/>
      <c r="U351" s="243"/>
    </row>
    <row r="352">
      <c r="A352" s="15"/>
      <c r="B352" s="15"/>
      <c r="C352" s="15"/>
      <c r="D352" s="15"/>
      <c r="E352" s="15"/>
      <c r="F352" s="15"/>
      <c r="G352" s="15"/>
      <c r="H352" s="15"/>
      <c r="I352" s="15"/>
      <c r="J352" s="243"/>
      <c r="K352" s="15"/>
      <c r="L352" s="15"/>
      <c r="M352" s="15"/>
      <c r="N352" s="15"/>
      <c r="O352" s="243"/>
      <c r="P352" s="243"/>
      <c r="Q352" s="243"/>
      <c r="R352" s="243"/>
      <c r="S352" s="243"/>
      <c r="T352" s="243"/>
      <c r="U352" s="243"/>
    </row>
    <row r="353">
      <c r="A353" s="15"/>
      <c r="B353" s="15"/>
      <c r="C353" s="15"/>
      <c r="D353" s="15"/>
      <c r="E353" s="15"/>
      <c r="F353" s="15"/>
      <c r="G353" s="15"/>
      <c r="H353" s="15"/>
      <c r="I353" s="15"/>
      <c r="J353" s="243"/>
      <c r="K353" s="15"/>
      <c r="L353" s="15"/>
      <c r="M353" s="15"/>
      <c r="N353" s="15"/>
      <c r="O353" s="243"/>
      <c r="P353" s="243"/>
      <c r="Q353" s="243"/>
      <c r="R353" s="243"/>
      <c r="S353" s="243"/>
      <c r="T353" s="243"/>
      <c r="U353" s="243"/>
    </row>
    <row r="354">
      <c r="A354" s="15"/>
      <c r="B354" s="15"/>
      <c r="C354" s="15"/>
      <c r="D354" s="15"/>
      <c r="E354" s="15"/>
      <c r="F354" s="15"/>
      <c r="G354" s="15"/>
      <c r="H354" s="15"/>
      <c r="I354" s="15"/>
      <c r="J354" s="243"/>
      <c r="K354" s="15"/>
      <c r="L354" s="15"/>
      <c r="M354" s="15"/>
      <c r="N354" s="15"/>
      <c r="O354" s="243"/>
      <c r="P354" s="243"/>
      <c r="Q354" s="243"/>
      <c r="R354" s="243"/>
      <c r="S354" s="243"/>
      <c r="T354" s="243"/>
      <c r="U354" s="243"/>
    </row>
    <row r="355">
      <c r="A355" s="15"/>
      <c r="B355" s="15"/>
      <c r="C355" s="15"/>
      <c r="D355" s="15"/>
      <c r="E355" s="15"/>
      <c r="F355" s="15"/>
      <c r="G355" s="15"/>
      <c r="H355" s="15"/>
      <c r="I355" s="15"/>
      <c r="J355" s="243"/>
      <c r="K355" s="15"/>
      <c r="L355" s="15"/>
      <c r="M355" s="15"/>
      <c r="N355" s="15"/>
      <c r="O355" s="243"/>
      <c r="P355" s="243"/>
      <c r="Q355" s="243"/>
      <c r="R355" s="243"/>
      <c r="S355" s="243"/>
      <c r="T355" s="243"/>
      <c r="U355" s="243"/>
    </row>
    <row r="356">
      <c r="A356" s="15"/>
      <c r="B356" s="15"/>
      <c r="C356" s="15"/>
      <c r="D356" s="15"/>
      <c r="E356" s="15"/>
      <c r="F356" s="15"/>
      <c r="G356" s="15"/>
      <c r="H356" s="15"/>
      <c r="I356" s="15"/>
      <c r="J356" s="243"/>
      <c r="K356" s="15"/>
      <c r="L356" s="15"/>
      <c r="M356" s="15"/>
      <c r="N356" s="15"/>
      <c r="O356" s="243"/>
      <c r="P356" s="243"/>
      <c r="Q356" s="243"/>
      <c r="R356" s="243"/>
      <c r="S356" s="243"/>
      <c r="T356" s="243"/>
      <c r="U356" s="243"/>
    </row>
    <row r="357">
      <c r="A357" s="15"/>
      <c r="B357" s="15"/>
      <c r="C357" s="15"/>
      <c r="D357" s="15"/>
      <c r="E357" s="15"/>
      <c r="F357" s="15"/>
      <c r="G357" s="15"/>
      <c r="H357" s="15"/>
      <c r="I357" s="15"/>
      <c r="J357" s="243"/>
      <c r="K357" s="15"/>
      <c r="L357" s="15"/>
      <c r="M357" s="15"/>
      <c r="N357" s="15"/>
      <c r="O357" s="243"/>
      <c r="P357" s="243"/>
      <c r="Q357" s="243"/>
      <c r="R357" s="243"/>
      <c r="S357" s="243"/>
      <c r="T357" s="243"/>
      <c r="U357" s="243"/>
    </row>
    <row r="358">
      <c r="A358" s="15"/>
      <c r="B358" s="15"/>
      <c r="C358" s="15"/>
      <c r="D358" s="15"/>
      <c r="E358" s="15"/>
      <c r="F358" s="15"/>
      <c r="G358" s="15"/>
      <c r="H358" s="15"/>
      <c r="I358" s="15"/>
      <c r="J358" s="243"/>
      <c r="K358" s="15"/>
      <c r="L358" s="15"/>
      <c r="M358" s="15"/>
      <c r="N358" s="15"/>
      <c r="O358" s="243"/>
      <c r="P358" s="243"/>
      <c r="Q358" s="243"/>
      <c r="R358" s="243"/>
      <c r="S358" s="243"/>
      <c r="T358" s="243"/>
      <c r="U358" s="243"/>
    </row>
    <row r="359">
      <c r="A359" s="15"/>
      <c r="B359" s="15"/>
      <c r="C359" s="15"/>
      <c r="D359" s="15"/>
      <c r="E359" s="15"/>
      <c r="F359" s="15"/>
      <c r="G359" s="15"/>
      <c r="H359" s="15"/>
      <c r="I359" s="15"/>
      <c r="J359" s="243"/>
      <c r="K359" s="15"/>
      <c r="L359" s="15"/>
      <c r="M359" s="15"/>
      <c r="N359" s="15"/>
      <c r="O359" s="243"/>
      <c r="P359" s="243"/>
      <c r="Q359" s="243"/>
      <c r="R359" s="243"/>
      <c r="S359" s="243"/>
      <c r="T359" s="243"/>
      <c r="U359" s="243"/>
    </row>
    <row r="360">
      <c r="A360" s="15"/>
      <c r="B360" s="15"/>
      <c r="C360" s="15"/>
      <c r="D360" s="15"/>
      <c r="E360" s="15"/>
      <c r="F360" s="15"/>
      <c r="G360" s="15"/>
      <c r="H360" s="15"/>
      <c r="I360" s="15"/>
      <c r="J360" s="243"/>
      <c r="K360" s="15"/>
      <c r="L360" s="15"/>
      <c r="M360" s="15"/>
      <c r="N360" s="15"/>
      <c r="O360" s="243"/>
      <c r="P360" s="243"/>
      <c r="Q360" s="243"/>
      <c r="R360" s="243"/>
      <c r="S360" s="243"/>
      <c r="T360" s="243"/>
      <c r="U360" s="243"/>
    </row>
    <row r="361">
      <c r="A361" s="15"/>
      <c r="B361" s="15"/>
      <c r="C361" s="15"/>
      <c r="D361" s="15"/>
      <c r="E361" s="15"/>
      <c r="F361" s="15"/>
      <c r="G361" s="15"/>
      <c r="H361" s="15"/>
      <c r="I361" s="15"/>
      <c r="J361" s="243"/>
      <c r="K361" s="15"/>
      <c r="L361" s="15"/>
      <c r="M361" s="15"/>
      <c r="N361" s="15"/>
      <c r="O361" s="243"/>
      <c r="P361" s="243"/>
      <c r="Q361" s="243"/>
      <c r="R361" s="243"/>
      <c r="S361" s="243"/>
      <c r="T361" s="243"/>
      <c r="U361" s="243"/>
    </row>
    <row r="362">
      <c r="A362" s="15"/>
      <c r="B362" s="15"/>
      <c r="C362" s="15"/>
      <c r="D362" s="15"/>
      <c r="E362" s="15"/>
      <c r="F362" s="15"/>
      <c r="G362" s="15"/>
      <c r="H362" s="15"/>
      <c r="I362" s="15"/>
      <c r="J362" s="243"/>
      <c r="K362" s="15"/>
      <c r="L362" s="15"/>
      <c r="M362" s="15"/>
      <c r="N362" s="15"/>
      <c r="O362" s="243"/>
      <c r="P362" s="243"/>
      <c r="Q362" s="243"/>
      <c r="R362" s="243"/>
      <c r="S362" s="243"/>
      <c r="T362" s="243"/>
      <c r="U362" s="243"/>
    </row>
    <row r="363">
      <c r="A363" s="15"/>
      <c r="B363" s="15"/>
      <c r="C363" s="15"/>
      <c r="D363" s="15"/>
      <c r="E363" s="15"/>
      <c r="F363" s="15"/>
      <c r="G363" s="15"/>
      <c r="H363" s="15"/>
      <c r="I363" s="15"/>
      <c r="J363" s="243"/>
      <c r="K363" s="15"/>
      <c r="L363" s="15"/>
      <c r="M363" s="15"/>
      <c r="N363" s="15"/>
      <c r="O363" s="243"/>
      <c r="P363" s="243"/>
      <c r="Q363" s="243"/>
      <c r="R363" s="243"/>
      <c r="S363" s="243"/>
      <c r="T363" s="243"/>
      <c r="U363" s="243"/>
    </row>
    <row r="364">
      <c r="A364" s="15"/>
      <c r="B364" s="15"/>
      <c r="C364" s="15"/>
      <c r="D364" s="15"/>
      <c r="E364" s="15"/>
      <c r="F364" s="15"/>
      <c r="G364" s="15"/>
      <c r="H364" s="15"/>
      <c r="I364" s="15"/>
      <c r="J364" s="243"/>
      <c r="K364" s="15"/>
      <c r="L364" s="15"/>
      <c r="M364" s="15"/>
      <c r="N364" s="15"/>
      <c r="O364" s="243"/>
      <c r="P364" s="243"/>
      <c r="Q364" s="243"/>
      <c r="R364" s="243"/>
      <c r="S364" s="243"/>
      <c r="T364" s="243"/>
      <c r="U364" s="243"/>
    </row>
    <row r="365">
      <c r="A365" s="15"/>
      <c r="B365" s="15"/>
      <c r="C365" s="15"/>
      <c r="D365" s="15"/>
      <c r="E365" s="15"/>
      <c r="F365" s="15"/>
      <c r="G365" s="15"/>
      <c r="H365" s="15"/>
      <c r="I365" s="15"/>
      <c r="J365" s="243"/>
      <c r="K365" s="15"/>
      <c r="L365" s="15"/>
      <c r="M365" s="15"/>
      <c r="N365" s="15"/>
      <c r="O365" s="243"/>
      <c r="P365" s="243"/>
      <c r="Q365" s="243"/>
      <c r="R365" s="243"/>
      <c r="S365" s="243"/>
      <c r="T365" s="243"/>
      <c r="U365" s="243"/>
    </row>
    <row r="366">
      <c r="A366" s="15"/>
      <c r="B366" s="15"/>
      <c r="C366" s="15"/>
      <c r="D366" s="15"/>
      <c r="E366" s="15"/>
      <c r="F366" s="15"/>
      <c r="G366" s="15"/>
      <c r="H366" s="15"/>
      <c r="I366" s="15"/>
      <c r="J366" s="243"/>
      <c r="K366" s="15"/>
      <c r="L366" s="15"/>
      <c r="M366" s="15"/>
      <c r="N366" s="15"/>
      <c r="O366" s="243"/>
      <c r="P366" s="243"/>
      <c r="Q366" s="243"/>
      <c r="R366" s="243"/>
      <c r="S366" s="243"/>
      <c r="T366" s="243"/>
      <c r="U366" s="243"/>
    </row>
    <row r="367">
      <c r="A367" s="15"/>
      <c r="B367" s="15"/>
      <c r="C367" s="15"/>
      <c r="D367" s="15"/>
      <c r="E367" s="15"/>
      <c r="F367" s="15"/>
      <c r="G367" s="15"/>
      <c r="H367" s="15"/>
      <c r="I367" s="15"/>
      <c r="J367" s="243"/>
      <c r="K367" s="15"/>
      <c r="L367" s="15"/>
      <c r="M367" s="15"/>
      <c r="N367" s="15"/>
      <c r="O367" s="243"/>
      <c r="P367" s="243"/>
      <c r="Q367" s="243"/>
      <c r="R367" s="243"/>
      <c r="S367" s="243"/>
      <c r="T367" s="243"/>
      <c r="U367" s="243"/>
    </row>
    <row r="368">
      <c r="A368" s="15"/>
      <c r="B368" s="15"/>
      <c r="C368" s="15"/>
      <c r="D368" s="15"/>
      <c r="E368" s="15"/>
      <c r="F368" s="15"/>
      <c r="G368" s="15"/>
      <c r="H368" s="15"/>
      <c r="I368" s="15"/>
      <c r="J368" s="243"/>
      <c r="K368" s="15"/>
      <c r="L368" s="15"/>
      <c r="M368" s="15"/>
      <c r="N368" s="15"/>
      <c r="O368" s="243"/>
      <c r="P368" s="243"/>
      <c r="Q368" s="243"/>
      <c r="R368" s="243"/>
      <c r="S368" s="243"/>
      <c r="T368" s="243"/>
      <c r="U368" s="243"/>
    </row>
    <row r="369">
      <c r="A369" s="15"/>
      <c r="B369" s="15"/>
      <c r="C369" s="15"/>
      <c r="D369" s="15"/>
      <c r="E369" s="15"/>
      <c r="F369" s="15"/>
      <c r="G369" s="15"/>
      <c r="H369" s="15"/>
      <c r="I369" s="15"/>
      <c r="J369" s="243"/>
      <c r="K369" s="15"/>
      <c r="L369" s="15"/>
      <c r="M369" s="15"/>
      <c r="N369" s="15"/>
      <c r="O369" s="243"/>
      <c r="P369" s="243"/>
      <c r="Q369" s="243"/>
      <c r="R369" s="243"/>
      <c r="S369" s="243"/>
      <c r="T369" s="243"/>
      <c r="U369" s="243"/>
    </row>
    <row r="370">
      <c r="A370" s="15"/>
      <c r="B370" s="15"/>
      <c r="C370" s="15"/>
      <c r="D370" s="15"/>
      <c r="E370" s="15"/>
      <c r="F370" s="15"/>
      <c r="G370" s="15"/>
      <c r="H370" s="15"/>
      <c r="I370" s="15"/>
      <c r="J370" s="243"/>
      <c r="K370" s="15"/>
      <c r="L370" s="15"/>
      <c r="M370" s="15"/>
      <c r="N370" s="15"/>
      <c r="O370" s="243"/>
      <c r="P370" s="243"/>
      <c r="Q370" s="243"/>
      <c r="R370" s="243"/>
      <c r="S370" s="243"/>
      <c r="T370" s="243"/>
      <c r="U370" s="243"/>
    </row>
    <row r="371">
      <c r="A371" s="15"/>
      <c r="B371" s="15"/>
      <c r="C371" s="15"/>
      <c r="D371" s="15"/>
      <c r="E371" s="15"/>
      <c r="F371" s="15"/>
      <c r="G371" s="15"/>
      <c r="H371" s="15"/>
      <c r="I371" s="15"/>
      <c r="J371" s="243"/>
      <c r="K371" s="15"/>
      <c r="L371" s="15"/>
      <c r="M371" s="15"/>
      <c r="N371" s="15"/>
      <c r="O371" s="243"/>
      <c r="P371" s="243"/>
      <c r="Q371" s="243"/>
      <c r="R371" s="243"/>
      <c r="S371" s="243"/>
      <c r="T371" s="243"/>
      <c r="U371" s="243"/>
    </row>
    <row r="372">
      <c r="A372" s="15"/>
      <c r="B372" s="15"/>
      <c r="C372" s="15"/>
      <c r="D372" s="15"/>
      <c r="E372" s="15"/>
      <c r="F372" s="15"/>
      <c r="G372" s="15"/>
      <c r="H372" s="15"/>
      <c r="I372" s="15"/>
      <c r="J372" s="243"/>
      <c r="K372" s="15"/>
      <c r="L372" s="15"/>
      <c r="M372" s="15"/>
      <c r="N372" s="15"/>
      <c r="O372" s="243"/>
      <c r="P372" s="243"/>
      <c r="Q372" s="243"/>
      <c r="R372" s="243"/>
      <c r="S372" s="243"/>
      <c r="T372" s="243"/>
      <c r="U372" s="243"/>
    </row>
    <row r="373">
      <c r="A373" s="15"/>
      <c r="B373" s="15"/>
      <c r="C373" s="15"/>
      <c r="D373" s="15"/>
      <c r="E373" s="15"/>
      <c r="F373" s="15"/>
      <c r="G373" s="15"/>
      <c r="H373" s="15"/>
      <c r="I373" s="15"/>
      <c r="J373" s="243"/>
      <c r="K373" s="15"/>
      <c r="L373" s="15"/>
      <c r="M373" s="15"/>
      <c r="N373" s="15"/>
      <c r="O373" s="243"/>
      <c r="P373" s="243"/>
      <c r="Q373" s="243"/>
      <c r="R373" s="243"/>
      <c r="S373" s="243"/>
      <c r="T373" s="243"/>
      <c r="U373" s="243"/>
    </row>
    <row r="374">
      <c r="A374" s="15"/>
      <c r="B374" s="15"/>
      <c r="C374" s="15"/>
      <c r="D374" s="15"/>
      <c r="E374" s="15"/>
      <c r="F374" s="15"/>
      <c r="G374" s="15"/>
      <c r="H374" s="15"/>
      <c r="I374" s="15"/>
      <c r="J374" s="243"/>
      <c r="K374" s="15"/>
      <c r="L374" s="15"/>
      <c r="M374" s="15"/>
      <c r="N374" s="15"/>
      <c r="O374" s="243"/>
      <c r="P374" s="243"/>
      <c r="Q374" s="243"/>
      <c r="R374" s="243"/>
      <c r="S374" s="243"/>
      <c r="T374" s="243"/>
      <c r="U374" s="243"/>
    </row>
    <row r="375">
      <c r="A375" s="15"/>
      <c r="B375" s="15"/>
      <c r="C375" s="15"/>
      <c r="D375" s="15"/>
      <c r="E375" s="15"/>
      <c r="F375" s="15"/>
      <c r="G375" s="15"/>
      <c r="H375" s="15"/>
      <c r="I375" s="15"/>
      <c r="J375" s="243"/>
      <c r="K375" s="15"/>
      <c r="L375" s="15"/>
      <c r="M375" s="15"/>
      <c r="N375" s="15"/>
      <c r="O375" s="243"/>
      <c r="P375" s="243"/>
      <c r="Q375" s="243"/>
      <c r="R375" s="243"/>
      <c r="S375" s="243"/>
      <c r="T375" s="243"/>
      <c r="U375" s="243"/>
    </row>
    <row r="376">
      <c r="A376" s="15"/>
      <c r="B376" s="15"/>
      <c r="C376" s="15"/>
      <c r="D376" s="15"/>
      <c r="E376" s="15"/>
      <c r="F376" s="15"/>
      <c r="G376" s="15"/>
      <c r="H376" s="15"/>
      <c r="I376" s="15"/>
      <c r="J376" s="243"/>
      <c r="K376" s="15"/>
      <c r="L376" s="15"/>
      <c r="M376" s="15"/>
      <c r="N376" s="15"/>
      <c r="O376" s="243"/>
      <c r="P376" s="243"/>
      <c r="Q376" s="243"/>
      <c r="R376" s="243"/>
      <c r="S376" s="243"/>
      <c r="T376" s="243"/>
      <c r="U376" s="243"/>
    </row>
    <row r="377">
      <c r="A377" s="15"/>
      <c r="B377" s="15"/>
      <c r="C377" s="15"/>
      <c r="D377" s="15"/>
      <c r="E377" s="15"/>
      <c r="F377" s="15"/>
      <c r="G377" s="15"/>
      <c r="H377" s="15"/>
      <c r="I377" s="15"/>
      <c r="J377" s="243"/>
      <c r="K377" s="15"/>
      <c r="L377" s="15"/>
      <c r="M377" s="15"/>
      <c r="N377" s="15"/>
      <c r="O377" s="243"/>
      <c r="P377" s="243"/>
      <c r="Q377" s="243"/>
      <c r="R377" s="243"/>
      <c r="S377" s="243"/>
      <c r="T377" s="243"/>
      <c r="U377" s="243"/>
    </row>
    <row r="378">
      <c r="A378" s="15"/>
      <c r="B378" s="15"/>
      <c r="C378" s="15"/>
      <c r="D378" s="15"/>
      <c r="E378" s="15"/>
      <c r="F378" s="15"/>
      <c r="G378" s="15"/>
      <c r="H378" s="15"/>
      <c r="I378" s="15"/>
      <c r="J378" s="243"/>
      <c r="K378" s="15"/>
      <c r="L378" s="15"/>
      <c r="M378" s="15"/>
      <c r="N378" s="15"/>
      <c r="O378" s="243"/>
      <c r="P378" s="243"/>
      <c r="Q378" s="243"/>
      <c r="R378" s="243"/>
      <c r="S378" s="243"/>
      <c r="T378" s="243"/>
      <c r="U378" s="243"/>
    </row>
    <row r="379">
      <c r="A379" s="15"/>
      <c r="B379" s="15"/>
      <c r="C379" s="15"/>
      <c r="D379" s="15"/>
      <c r="E379" s="15"/>
      <c r="F379" s="15"/>
      <c r="G379" s="15"/>
      <c r="H379" s="15"/>
      <c r="I379" s="15"/>
      <c r="J379" s="243"/>
      <c r="K379" s="15"/>
      <c r="L379" s="15"/>
      <c r="M379" s="15"/>
      <c r="N379" s="15"/>
      <c r="O379" s="243"/>
      <c r="P379" s="243"/>
      <c r="Q379" s="243"/>
      <c r="R379" s="243"/>
      <c r="S379" s="243"/>
      <c r="T379" s="243"/>
      <c r="U379" s="243"/>
    </row>
    <row r="380">
      <c r="A380" s="15"/>
      <c r="B380" s="15"/>
      <c r="C380" s="15"/>
      <c r="D380" s="15"/>
      <c r="E380" s="15"/>
      <c r="F380" s="15"/>
      <c r="G380" s="15"/>
      <c r="H380" s="15"/>
      <c r="I380" s="15"/>
      <c r="J380" s="243"/>
      <c r="K380" s="15"/>
      <c r="L380" s="15"/>
      <c r="M380" s="15"/>
      <c r="N380" s="15"/>
      <c r="O380" s="243"/>
      <c r="P380" s="243"/>
      <c r="Q380" s="243"/>
      <c r="R380" s="243"/>
      <c r="S380" s="243"/>
      <c r="T380" s="243"/>
      <c r="U380" s="243"/>
    </row>
    <row r="381">
      <c r="A381" s="15"/>
      <c r="B381" s="15"/>
      <c r="C381" s="15"/>
      <c r="D381" s="15"/>
      <c r="E381" s="15"/>
      <c r="F381" s="15"/>
      <c r="G381" s="15"/>
      <c r="H381" s="15"/>
      <c r="I381" s="15"/>
      <c r="J381" s="243"/>
      <c r="K381" s="15"/>
      <c r="L381" s="15"/>
      <c r="M381" s="15"/>
      <c r="N381" s="15"/>
      <c r="O381" s="243"/>
      <c r="P381" s="243"/>
      <c r="Q381" s="243"/>
      <c r="R381" s="243"/>
      <c r="S381" s="243"/>
      <c r="T381" s="243"/>
      <c r="U381" s="243"/>
    </row>
    <row r="382">
      <c r="A382" s="15"/>
      <c r="B382" s="15"/>
      <c r="C382" s="15"/>
      <c r="D382" s="15"/>
      <c r="E382" s="15"/>
      <c r="F382" s="15"/>
      <c r="G382" s="15"/>
      <c r="H382" s="15"/>
      <c r="I382" s="15"/>
      <c r="J382" s="243"/>
      <c r="K382" s="15"/>
      <c r="L382" s="15"/>
      <c r="M382" s="15"/>
      <c r="N382" s="15"/>
      <c r="O382" s="243"/>
      <c r="P382" s="243"/>
      <c r="Q382" s="243"/>
      <c r="R382" s="243"/>
      <c r="S382" s="243"/>
      <c r="T382" s="243"/>
      <c r="U382" s="243"/>
    </row>
    <row r="383">
      <c r="A383" s="15"/>
      <c r="B383" s="15"/>
      <c r="C383" s="15"/>
      <c r="D383" s="15"/>
      <c r="E383" s="15"/>
      <c r="F383" s="15"/>
      <c r="G383" s="15"/>
      <c r="H383" s="15"/>
      <c r="I383" s="15"/>
      <c r="J383" s="243"/>
      <c r="K383" s="15"/>
      <c r="L383" s="15"/>
      <c r="M383" s="15"/>
      <c r="N383" s="15"/>
      <c r="O383" s="243"/>
      <c r="P383" s="243"/>
      <c r="Q383" s="243"/>
      <c r="R383" s="243"/>
      <c r="S383" s="243"/>
      <c r="T383" s="243"/>
      <c r="U383" s="243"/>
    </row>
    <row r="384">
      <c r="A384" s="15"/>
      <c r="B384" s="15"/>
      <c r="C384" s="15"/>
      <c r="D384" s="15"/>
      <c r="E384" s="15"/>
      <c r="F384" s="15"/>
      <c r="G384" s="15"/>
      <c r="H384" s="15"/>
      <c r="I384" s="15"/>
      <c r="J384" s="243"/>
      <c r="K384" s="15"/>
      <c r="L384" s="15"/>
      <c r="M384" s="15"/>
      <c r="N384" s="15"/>
      <c r="O384" s="243"/>
      <c r="P384" s="243"/>
      <c r="Q384" s="243"/>
      <c r="R384" s="243"/>
      <c r="S384" s="243"/>
      <c r="T384" s="243"/>
      <c r="U384" s="243"/>
    </row>
    <row r="385">
      <c r="A385" s="15"/>
      <c r="B385" s="15"/>
      <c r="C385" s="15"/>
      <c r="D385" s="15"/>
      <c r="E385" s="15"/>
      <c r="F385" s="15"/>
      <c r="G385" s="15"/>
      <c r="H385" s="15"/>
      <c r="I385" s="15"/>
      <c r="J385" s="243"/>
      <c r="K385" s="15"/>
      <c r="L385" s="15"/>
      <c r="M385" s="15"/>
      <c r="N385" s="15"/>
      <c r="O385" s="243"/>
      <c r="P385" s="243"/>
      <c r="Q385" s="243"/>
      <c r="R385" s="243"/>
      <c r="S385" s="243"/>
      <c r="T385" s="243"/>
      <c r="U385" s="243"/>
    </row>
    <row r="386">
      <c r="A386" s="15"/>
      <c r="B386" s="15"/>
      <c r="C386" s="15"/>
      <c r="D386" s="15"/>
      <c r="E386" s="15"/>
      <c r="F386" s="15"/>
      <c r="G386" s="15"/>
      <c r="H386" s="15"/>
      <c r="I386" s="15"/>
      <c r="J386" s="243"/>
      <c r="K386" s="15"/>
      <c r="L386" s="15"/>
      <c r="M386" s="15"/>
      <c r="N386" s="15"/>
      <c r="O386" s="243"/>
      <c r="P386" s="243"/>
      <c r="Q386" s="243"/>
      <c r="R386" s="243"/>
      <c r="S386" s="243"/>
      <c r="T386" s="243"/>
      <c r="U386" s="243"/>
    </row>
    <row r="387">
      <c r="A387" s="15"/>
      <c r="B387" s="15"/>
      <c r="C387" s="15"/>
      <c r="D387" s="15"/>
      <c r="E387" s="15"/>
      <c r="F387" s="15"/>
      <c r="G387" s="15"/>
      <c r="H387" s="15"/>
      <c r="I387" s="15"/>
      <c r="J387" s="243"/>
      <c r="K387" s="15"/>
      <c r="L387" s="15"/>
      <c r="M387" s="15"/>
      <c r="N387" s="15"/>
      <c r="O387" s="243"/>
      <c r="P387" s="243"/>
      <c r="Q387" s="243"/>
      <c r="R387" s="243"/>
      <c r="S387" s="243"/>
      <c r="T387" s="243"/>
      <c r="U387" s="243"/>
    </row>
    <row r="388">
      <c r="A388" s="15"/>
      <c r="B388" s="15"/>
      <c r="C388" s="15"/>
      <c r="D388" s="15"/>
      <c r="E388" s="15"/>
      <c r="F388" s="15"/>
      <c r="G388" s="15"/>
      <c r="H388" s="15"/>
      <c r="I388" s="15"/>
      <c r="J388" s="243"/>
      <c r="K388" s="15"/>
      <c r="L388" s="15"/>
      <c r="M388" s="15"/>
      <c r="N388" s="15"/>
      <c r="O388" s="243"/>
      <c r="P388" s="243"/>
      <c r="Q388" s="243"/>
      <c r="R388" s="243"/>
      <c r="S388" s="243"/>
      <c r="T388" s="243"/>
      <c r="U388" s="243"/>
    </row>
    <row r="389">
      <c r="A389" s="15"/>
      <c r="B389" s="15"/>
      <c r="C389" s="15"/>
      <c r="D389" s="15"/>
      <c r="E389" s="15"/>
      <c r="F389" s="15"/>
      <c r="G389" s="15"/>
      <c r="H389" s="15"/>
      <c r="I389" s="15"/>
      <c r="J389" s="243"/>
      <c r="K389" s="15"/>
      <c r="L389" s="15"/>
      <c r="M389" s="15"/>
      <c r="N389" s="15"/>
      <c r="O389" s="243"/>
      <c r="P389" s="243"/>
      <c r="Q389" s="243"/>
      <c r="R389" s="243"/>
      <c r="S389" s="243"/>
      <c r="T389" s="243"/>
      <c r="U389" s="243"/>
    </row>
    <row r="390">
      <c r="A390" s="15"/>
      <c r="B390" s="15"/>
      <c r="C390" s="15"/>
      <c r="D390" s="15"/>
      <c r="E390" s="15"/>
      <c r="F390" s="15"/>
      <c r="G390" s="15"/>
      <c r="H390" s="15"/>
      <c r="I390" s="15"/>
      <c r="J390" s="243"/>
      <c r="K390" s="15"/>
      <c r="L390" s="15"/>
      <c r="M390" s="15"/>
      <c r="N390" s="15"/>
      <c r="O390" s="243"/>
      <c r="P390" s="243"/>
      <c r="Q390" s="243"/>
      <c r="R390" s="243"/>
      <c r="S390" s="243"/>
      <c r="T390" s="243"/>
      <c r="U390" s="243"/>
    </row>
    <row r="391">
      <c r="A391" s="15"/>
      <c r="B391" s="15"/>
      <c r="C391" s="15"/>
      <c r="D391" s="15"/>
      <c r="E391" s="15"/>
      <c r="F391" s="15"/>
      <c r="G391" s="15"/>
      <c r="H391" s="15"/>
      <c r="I391" s="15"/>
      <c r="J391" s="243"/>
      <c r="K391" s="15"/>
      <c r="L391" s="15"/>
      <c r="M391" s="15"/>
      <c r="N391" s="15"/>
      <c r="O391" s="243"/>
      <c r="P391" s="243"/>
      <c r="Q391" s="243"/>
      <c r="R391" s="243"/>
      <c r="S391" s="243"/>
      <c r="T391" s="243"/>
      <c r="U391" s="243"/>
    </row>
    <row r="392">
      <c r="A392" s="15"/>
      <c r="B392" s="15"/>
      <c r="C392" s="15"/>
      <c r="D392" s="15"/>
      <c r="E392" s="15"/>
      <c r="F392" s="15"/>
      <c r="G392" s="15"/>
      <c r="H392" s="15"/>
      <c r="I392" s="15"/>
      <c r="J392" s="243"/>
      <c r="K392" s="15"/>
      <c r="L392" s="15"/>
      <c r="M392" s="15"/>
      <c r="N392" s="15"/>
      <c r="O392" s="243"/>
      <c r="P392" s="243"/>
      <c r="Q392" s="243"/>
      <c r="R392" s="243"/>
      <c r="S392" s="243"/>
      <c r="T392" s="243"/>
      <c r="U392" s="243"/>
    </row>
    <row r="393">
      <c r="A393" s="15"/>
      <c r="B393" s="15"/>
      <c r="C393" s="15"/>
      <c r="D393" s="15"/>
      <c r="E393" s="15"/>
      <c r="F393" s="15"/>
      <c r="G393" s="15"/>
      <c r="H393" s="15"/>
      <c r="I393" s="15"/>
      <c r="J393" s="243"/>
      <c r="K393" s="15"/>
      <c r="L393" s="15"/>
      <c r="M393" s="15"/>
      <c r="N393" s="15"/>
      <c r="O393" s="243"/>
      <c r="P393" s="243"/>
      <c r="Q393" s="243"/>
      <c r="R393" s="243"/>
      <c r="S393" s="243"/>
      <c r="T393" s="243"/>
      <c r="U393" s="243"/>
    </row>
    <row r="394">
      <c r="A394" s="15"/>
      <c r="B394" s="15"/>
      <c r="C394" s="15"/>
      <c r="D394" s="15"/>
      <c r="E394" s="15"/>
      <c r="F394" s="15"/>
      <c r="G394" s="15"/>
      <c r="H394" s="15"/>
      <c r="I394" s="15"/>
      <c r="J394" s="243"/>
      <c r="K394" s="15"/>
      <c r="L394" s="15"/>
      <c r="M394" s="15"/>
      <c r="N394" s="15"/>
      <c r="O394" s="243"/>
      <c r="P394" s="243"/>
      <c r="Q394" s="243"/>
      <c r="R394" s="243"/>
      <c r="S394" s="243"/>
      <c r="T394" s="243"/>
      <c r="U394" s="243"/>
    </row>
    <row r="395">
      <c r="A395" s="15"/>
      <c r="B395" s="15"/>
      <c r="C395" s="15"/>
      <c r="D395" s="15"/>
      <c r="E395" s="15"/>
      <c r="F395" s="15"/>
      <c r="G395" s="15"/>
      <c r="H395" s="15"/>
      <c r="I395" s="15"/>
      <c r="J395" s="243"/>
      <c r="K395" s="15"/>
      <c r="L395" s="15"/>
      <c r="M395" s="15"/>
      <c r="N395" s="15"/>
      <c r="O395" s="243"/>
      <c r="P395" s="243"/>
      <c r="Q395" s="243"/>
      <c r="R395" s="243"/>
      <c r="S395" s="243"/>
      <c r="T395" s="243"/>
      <c r="U395" s="243"/>
    </row>
    <row r="396">
      <c r="A396" s="15"/>
      <c r="B396" s="15"/>
      <c r="C396" s="15"/>
      <c r="D396" s="15"/>
      <c r="E396" s="15"/>
      <c r="F396" s="15"/>
      <c r="G396" s="15"/>
      <c r="H396" s="15"/>
      <c r="I396" s="15"/>
      <c r="J396" s="243"/>
      <c r="K396" s="15"/>
      <c r="L396" s="15"/>
      <c r="M396" s="15"/>
      <c r="N396" s="15"/>
      <c r="O396" s="243"/>
      <c r="P396" s="243"/>
      <c r="Q396" s="243"/>
      <c r="R396" s="243"/>
      <c r="S396" s="243"/>
      <c r="T396" s="243"/>
      <c r="U396" s="243"/>
    </row>
    <row r="397">
      <c r="A397" s="15"/>
      <c r="B397" s="15"/>
      <c r="C397" s="15"/>
      <c r="D397" s="15"/>
      <c r="E397" s="15"/>
      <c r="F397" s="15"/>
      <c r="G397" s="15"/>
      <c r="H397" s="15"/>
      <c r="I397" s="15"/>
      <c r="J397" s="243"/>
      <c r="K397" s="15"/>
      <c r="L397" s="15"/>
      <c r="M397" s="15"/>
      <c r="N397" s="15"/>
      <c r="O397" s="243"/>
      <c r="P397" s="243"/>
      <c r="Q397" s="243"/>
      <c r="R397" s="243"/>
      <c r="S397" s="243"/>
      <c r="T397" s="243"/>
      <c r="U397" s="243"/>
    </row>
    <row r="398">
      <c r="A398" s="15"/>
      <c r="B398" s="15"/>
      <c r="C398" s="15"/>
      <c r="D398" s="15"/>
      <c r="E398" s="15"/>
      <c r="F398" s="15"/>
      <c r="G398" s="15"/>
      <c r="H398" s="15"/>
      <c r="I398" s="15"/>
      <c r="J398" s="243"/>
      <c r="K398" s="15"/>
      <c r="L398" s="15"/>
      <c r="M398" s="15"/>
      <c r="N398" s="15"/>
      <c r="O398" s="243"/>
      <c r="P398" s="243"/>
      <c r="Q398" s="243"/>
      <c r="R398" s="243"/>
      <c r="S398" s="243"/>
      <c r="T398" s="243"/>
      <c r="U398" s="243"/>
    </row>
    <row r="399">
      <c r="A399" s="15"/>
      <c r="B399" s="15"/>
      <c r="C399" s="15"/>
      <c r="D399" s="15"/>
      <c r="E399" s="15"/>
      <c r="F399" s="15"/>
      <c r="G399" s="15"/>
      <c r="H399" s="15"/>
      <c r="I399" s="15"/>
      <c r="J399" s="243"/>
      <c r="K399" s="15"/>
      <c r="L399" s="15"/>
      <c r="M399" s="15"/>
      <c r="N399" s="15"/>
      <c r="O399" s="243"/>
      <c r="P399" s="243"/>
      <c r="Q399" s="243"/>
      <c r="R399" s="243"/>
      <c r="S399" s="243"/>
      <c r="T399" s="243"/>
      <c r="U399" s="243"/>
    </row>
    <row r="400">
      <c r="A400" s="15"/>
      <c r="B400" s="15"/>
      <c r="C400" s="15"/>
      <c r="D400" s="15"/>
      <c r="E400" s="15"/>
      <c r="F400" s="15"/>
      <c r="G400" s="15"/>
      <c r="H400" s="15"/>
      <c r="I400" s="15"/>
      <c r="J400" s="243"/>
      <c r="K400" s="15"/>
      <c r="L400" s="15"/>
      <c r="M400" s="15"/>
      <c r="N400" s="15"/>
      <c r="O400" s="243"/>
      <c r="P400" s="243"/>
      <c r="Q400" s="243"/>
      <c r="R400" s="243"/>
      <c r="S400" s="243"/>
      <c r="T400" s="243"/>
      <c r="U400" s="243"/>
    </row>
    <row r="401">
      <c r="A401" s="15"/>
      <c r="B401" s="15"/>
      <c r="C401" s="15"/>
      <c r="D401" s="15"/>
      <c r="E401" s="15"/>
      <c r="F401" s="15"/>
      <c r="G401" s="15"/>
      <c r="H401" s="15"/>
      <c r="I401" s="15"/>
      <c r="J401" s="243"/>
      <c r="K401" s="15"/>
      <c r="L401" s="15"/>
      <c r="M401" s="15"/>
      <c r="N401" s="15"/>
      <c r="O401" s="243"/>
      <c r="P401" s="243"/>
      <c r="Q401" s="243"/>
      <c r="R401" s="243"/>
      <c r="S401" s="243"/>
      <c r="T401" s="243"/>
      <c r="U401" s="243"/>
    </row>
    <row r="402">
      <c r="A402" s="15"/>
      <c r="B402" s="15"/>
      <c r="C402" s="15"/>
      <c r="D402" s="15"/>
      <c r="E402" s="15"/>
      <c r="F402" s="15"/>
      <c r="G402" s="15"/>
      <c r="H402" s="15"/>
      <c r="I402" s="15"/>
      <c r="J402" s="243"/>
      <c r="K402" s="15"/>
      <c r="L402" s="15"/>
      <c r="M402" s="15"/>
      <c r="N402" s="15"/>
      <c r="O402" s="243"/>
      <c r="P402" s="243"/>
      <c r="Q402" s="243"/>
      <c r="R402" s="243"/>
      <c r="S402" s="243"/>
      <c r="T402" s="243"/>
      <c r="U402" s="243"/>
    </row>
    <row r="403">
      <c r="A403" s="15"/>
      <c r="B403" s="15"/>
      <c r="C403" s="15"/>
      <c r="D403" s="15"/>
      <c r="E403" s="15"/>
      <c r="F403" s="15"/>
      <c r="G403" s="15"/>
      <c r="H403" s="15"/>
      <c r="I403" s="15"/>
      <c r="J403" s="243"/>
      <c r="K403" s="15"/>
      <c r="L403" s="15"/>
      <c r="M403" s="15"/>
      <c r="N403" s="15"/>
      <c r="O403" s="243"/>
      <c r="P403" s="243"/>
      <c r="Q403" s="243"/>
      <c r="R403" s="243"/>
      <c r="S403" s="243"/>
      <c r="T403" s="243"/>
      <c r="U403" s="243"/>
    </row>
    <row r="404">
      <c r="A404" s="15"/>
      <c r="B404" s="15"/>
      <c r="C404" s="15"/>
      <c r="D404" s="15"/>
      <c r="E404" s="15"/>
      <c r="F404" s="15"/>
      <c r="G404" s="15"/>
      <c r="H404" s="15"/>
      <c r="I404" s="15"/>
      <c r="J404" s="243"/>
      <c r="K404" s="15"/>
      <c r="L404" s="15"/>
      <c r="M404" s="15"/>
      <c r="N404" s="15"/>
      <c r="O404" s="243"/>
      <c r="P404" s="243"/>
      <c r="Q404" s="243"/>
      <c r="R404" s="243"/>
      <c r="S404" s="243"/>
      <c r="T404" s="243"/>
      <c r="U404" s="243"/>
    </row>
    <row r="405">
      <c r="A405" s="15"/>
      <c r="B405" s="15"/>
      <c r="C405" s="15"/>
      <c r="D405" s="15"/>
      <c r="E405" s="15"/>
      <c r="F405" s="15"/>
      <c r="G405" s="15"/>
      <c r="H405" s="15"/>
      <c r="I405" s="15"/>
      <c r="J405" s="243"/>
      <c r="K405" s="15"/>
      <c r="L405" s="15"/>
      <c r="M405" s="15"/>
      <c r="N405" s="15"/>
      <c r="O405" s="243"/>
      <c r="P405" s="243"/>
      <c r="Q405" s="243"/>
      <c r="R405" s="243"/>
      <c r="S405" s="243"/>
      <c r="T405" s="243"/>
      <c r="U405" s="243"/>
    </row>
    <row r="406">
      <c r="A406" s="15"/>
      <c r="B406" s="15"/>
      <c r="C406" s="15"/>
      <c r="D406" s="15"/>
      <c r="E406" s="15"/>
      <c r="F406" s="15"/>
      <c r="G406" s="15"/>
      <c r="H406" s="15"/>
      <c r="I406" s="15"/>
      <c r="J406" s="243"/>
      <c r="K406" s="15"/>
      <c r="L406" s="15"/>
      <c r="M406" s="15"/>
      <c r="N406" s="15"/>
      <c r="O406" s="243"/>
      <c r="P406" s="243"/>
      <c r="Q406" s="243"/>
      <c r="R406" s="243"/>
      <c r="S406" s="243"/>
      <c r="T406" s="243"/>
      <c r="U406" s="243"/>
    </row>
    <row r="407">
      <c r="A407" s="15"/>
      <c r="B407" s="15"/>
      <c r="C407" s="15"/>
      <c r="D407" s="15"/>
      <c r="E407" s="15"/>
      <c r="F407" s="15"/>
      <c r="G407" s="15"/>
      <c r="H407" s="15"/>
      <c r="I407" s="15"/>
      <c r="J407" s="243"/>
      <c r="K407" s="15"/>
      <c r="L407" s="15"/>
      <c r="M407" s="15"/>
      <c r="N407" s="15"/>
      <c r="O407" s="243"/>
      <c r="P407" s="243"/>
      <c r="Q407" s="243"/>
      <c r="R407" s="243"/>
      <c r="S407" s="243"/>
      <c r="T407" s="243"/>
      <c r="U407" s="243"/>
    </row>
    <row r="408">
      <c r="A408" s="15"/>
      <c r="B408" s="15"/>
      <c r="C408" s="15"/>
      <c r="D408" s="15"/>
      <c r="E408" s="15"/>
      <c r="F408" s="15"/>
      <c r="G408" s="15"/>
      <c r="H408" s="15"/>
      <c r="I408" s="15"/>
      <c r="J408" s="243"/>
      <c r="K408" s="15"/>
      <c r="L408" s="15"/>
      <c r="M408" s="15"/>
      <c r="N408" s="15"/>
      <c r="O408" s="243"/>
      <c r="P408" s="243"/>
      <c r="Q408" s="243"/>
      <c r="R408" s="243"/>
      <c r="S408" s="243"/>
      <c r="T408" s="243"/>
      <c r="U408" s="243"/>
    </row>
    <row r="409">
      <c r="A409" s="15"/>
      <c r="B409" s="15"/>
      <c r="C409" s="15"/>
      <c r="D409" s="15"/>
      <c r="E409" s="15"/>
      <c r="F409" s="15"/>
      <c r="G409" s="15"/>
      <c r="H409" s="15"/>
      <c r="I409" s="15"/>
      <c r="J409" s="243"/>
      <c r="K409" s="15"/>
      <c r="L409" s="15"/>
      <c r="M409" s="15"/>
      <c r="N409" s="15"/>
      <c r="O409" s="243"/>
      <c r="P409" s="243"/>
      <c r="Q409" s="243"/>
      <c r="R409" s="243"/>
      <c r="S409" s="243"/>
      <c r="T409" s="243"/>
      <c r="U409" s="243"/>
    </row>
    <row r="410">
      <c r="A410" s="15"/>
      <c r="B410" s="15"/>
      <c r="C410" s="15"/>
      <c r="D410" s="15"/>
      <c r="E410" s="15"/>
      <c r="F410" s="15"/>
      <c r="G410" s="15"/>
      <c r="H410" s="15"/>
      <c r="I410" s="15"/>
      <c r="J410" s="243"/>
      <c r="K410" s="15"/>
      <c r="L410" s="15"/>
      <c r="M410" s="15"/>
      <c r="N410" s="15"/>
      <c r="O410" s="243"/>
      <c r="P410" s="243"/>
      <c r="Q410" s="243"/>
      <c r="R410" s="243"/>
      <c r="S410" s="243"/>
      <c r="T410" s="243"/>
      <c r="U410" s="243"/>
    </row>
    <row r="411">
      <c r="A411" s="15"/>
      <c r="B411" s="15"/>
      <c r="C411" s="15"/>
      <c r="D411" s="15"/>
      <c r="E411" s="15"/>
      <c r="F411" s="15"/>
      <c r="G411" s="15"/>
      <c r="H411" s="15"/>
      <c r="I411" s="15"/>
      <c r="J411" s="243"/>
      <c r="K411" s="15"/>
      <c r="L411" s="15"/>
      <c r="M411" s="15"/>
      <c r="N411" s="15"/>
      <c r="O411" s="243"/>
      <c r="P411" s="243"/>
      <c r="Q411" s="243"/>
      <c r="R411" s="243"/>
      <c r="S411" s="243"/>
      <c r="T411" s="243"/>
      <c r="U411" s="243"/>
    </row>
    <row r="412">
      <c r="A412" s="15"/>
      <c r="B412" s="15"/>
      <c r="C412" s="15"/>
      <c r="D412" s="15"/>
      <c r="E412" s="15"/>
      <c r="F412" s="15"/>
      <c r="G412" s="15"/>
      <c r="H412" s="15"/>
      <c r="I412" s="15"/>
      <c r="J412" s="243"/>
      <c r="K412" s="15"/>
      <c r="L412" s="15"/>
      <c r="M412" s="15"/>
      <c r="N412" s="15"/>
      <c r="O412" s="243"/>
      <c r="P412" s="243"/>
      <c r="Q412" s="243"/>
      <c r="R412" s="243"/>
      <c r="S412" s="243"/>
      <c r="T412" s="243"/>
      <c r="U412" s="243"/>
    </row>
    <row r="413">
      <c r="A413" s="15"/>
      <c r="B413" s="15"/>
      <c r="C413" s="15"/>
      <c r="D413" s="15"/>
      <c r="E413" s="15"/>
      <c r="F413" s="15"/>
      <c r="G413" s="15"/>
      <c r="H413" s="15"/>
      <c r="I413" s="15"/>
      <c r="J413" s="243"/>
      <c r="K413" s="15"/>
      <c r="L413" s="15"/>
      <c r="M413" s="15"/>
      <c r="N413" s="15"/>
      <c r="O413" s="243"/>
      <c r="P413" s="243"/>
      <c r="Q413" s="243"/>
      <c r="R413" s="243"/>
      <c r="S413" s="243"/>
      <c r="T413" s="243"/>
      <c r="U413" s="243"/>
    </row>
    <row r="414">
      <c r="A414" s="15"/>
      <c r="B414" s="15"/>
      <c r="C414" s="15"/>
      <c r="D414" s="15"/>
      <c r="E414" s="15"/>
      <c r="F414" s="15"/>
      <c r="G414" s="15"/>
      <c r="H414" s="15"/>
      <c r="I414" s="15"/>
      <c r="J414" s="243"/>
      <c r="K414" s="15"/>
      <c r="L414" s="15"/>
      <c r="M414" s="15"/>
      <c r="N414" s="15"/>
      <c r="O414" s="243"/>
      <c r="P414" s="243"/>
      <c r="Q414" s="243"/>
      <c r="R414" s="243"/>
      <c r="S414" s="243"/>
      <c r="T414" s="243"/>
      <c r="U414" s="243"/>
    </row>
    <row r="415">
      <c r="A415" s="15"/>
      <c r="B415" s="15"/>
      <c r="C415" s="15"/>
      <c r="D415" s="15"/>
      <c r="E415" s="15"/>
      <c r="F415" s="15"/>
      <c r="G415" s="15"/>
      <c r="H415" s="15"/>
      <c r="I415" s="15"/>
      <c r="J415" s="243"/>
      <c r="K415" s="15"/>
      <c r="L415" s="15"/>
      <c r="M415" s="15"/>
      <c r="N415" s="15"/>
      <c r="O415" s="243"/>
      <c r="P415" s="243"/>
      <c r="Q415" s="243"/>
      <c r="R415" s="243"/>
      <c r="S415" s="243"/>
      <c r="T415" s="243"/>
      <c r="U415" s="243"/>
    </row>
    <row r="416">
      <c r="A416" s="15"/>
      <c r="B416" s="15"/>
      <c r="C416" s="15"/>
      <c r="D416" s="15"/>
      <c r="E416" s="15"/>
      <c r="F416" s="15"/>
      <c r="G416" s="15"/>
      <c r="H416" s="15"/>
      <c r="I416" s="15"/>
      <c r="J416" s="243"/>
      <c r="K416" s="15"/>
      <c r="L416" s="15"/>
      <c r="M416" s="15"/>
      <c r="N416" s="15"/>
      <c r="O416" s="243"/>
      <c r="P416" s="243"/>
      <c r="Q416" s="243"/>
      <c r="R416" s="243"/>
      <c r="S416" s="243"/>
      <c r="T416" s="243"/>
      <c r="U416" s="243"/>
    </row>
    <row r="417">
      <c r="A417" s="15"/>
      <c r="B417" s="15"/>
      <c r="C417" s="15"/>
      <c r="D417" s="15"/>
      <c r="E417" s="15"/>
      <c r="F417" s="15"/>
      <c r="G417" s="15"/>
      <c r="H417" s="15"/>
      <c r="I417" s="15"/>
      <c r="J417" s="243"/>
      <c r="K417" s="15"/>
      <c r="L417" s="15"/>
      <c r="M417" s="15"/>
      <c r="N417" s="15"/>
      <c r="O417" s="243"/>
      <c r="P417" s="243"/>
      <c r="Q417" s="243"/>
      <c r="R417" s="243"/>
      <c r="S417" s="243"/>
      <c r="T417" s="243"/>
      <c r="U417" s="243"/>
    </row>
    <row r="418">
      <c r="A418" s="15"/>
      <c r="B418" s="15"/>
      <c r="C418" s="15"/>
      <c r="D418" s="15"/>
      <c r="E418" s="15"/>
      <c r="F418" s="15"/>
      <c r="G418" s="15"/>
      <c r="H418" s="15"/>
      <c r="I418" s="15"/>
      <c r="J418" s="243"/>
      <c r="K418" s="15"/>
      <c r="L418" s="15"/>
      <c r="M418" s="15"/>
      <c r="N418" s="15"/>
      <c r="O418" s="243"/>
      <c r="P418" s="243"/>
      <c r="Q418" s="243"/>
      <c r="R418" s="243"/>
      <c r="S418" s="243"/>
      <c r="T418" s="243"/>
      <c r="U418" s="243"/>
    </row>
    <row r="419">
      <c r="A419" s="15"/>
      <c r="B419" s="15"/>
      <c r="C419" s="15"/>
      <c r="D419" s="15"/>
      <c r="E419" s="15"/>
      <c r="F419" s="15"/>
      <c r="G419" s="15"/>
      <c r="H419" s="15"/>
      <c r="I419" s="15"/>
      <c r="J419" s="243"/>
      <c r="K419" s="15"/>
      <c r="L419" s="15"/>
      <c r="M419" s="15"/>
      <c r="N419" s="15"/>
      <c r="O419" s="243"/>
      <c r="P419" s="243"/>
      <c r="Q419" s="243"/>
      <c r="R419" s="243"/>
      <c r="S419" s="243"/>
      <c r="T419" s="243"/>
      <c r="U419" s="243"/>
    </row>
    <row r="420">
      <c r="A420" s="15"/>
      <c r="B420" s="15"/>
      <c r="C420" s="15"/>
      <c r="D420" s="15"/>
      <c r="E420" s="15"/>
      <c r="F420" s="15"/>
      <c r="G420" s="15"/>
      <c r="H420" s="15"/>
      <c r="I420" s="15"/>
      <c r="J420" s="243"/>
      <c r="K420" s="15"/>
      <c r="L420" s="15"/>
      <c r="M420" s="15"/>
      <c r="N420" s="15"/>
      <c r="O420" s="243"/>
      <c r="P420" s="243"/>
      <c r="Q420" s="243"/>
      <c r="R420" s="243"/>
      <c r="S420" s="243"/>
      <c r="T420" s="243"/>
      <c r="U420" s="243"/>
    </row>
    <row r="421">
      <c r="A421" s="15"/>
      <c r="B421" s="15"/>
      <c r="C421" s="15"/>
      <c r="D421" s="15"/>
      <c r="E421" s="15"/>
      <c r="F421" s="15"/>
      <c r="G421" s="15"/>
      <c r="H421" s="15"/>
      <c r="I421" s="15"/>
      <c r="J421" s="243"/>
      <c r="K421" s="15"/>
      <c r="L421" s="15"/>
      <c r="M421" s="15"/>
      <c r="N421" s="15"/>
      <c r="O421" s="243"/>
      <c r="P421" s="243"/>
      <c r="Q421" s="243"/>
      <c r="R421" s="243"/>
      <c r="S421" s="243"/>
      <c r="T421" s="243"/>
      <c r="U421" s="243"/>
    </row>
    <row r="422">
      <c r="A422" s="15"/>
      <c r="B422" s="15"/>
      <c r="C422" s="15"/>
      <c r="D422" s="15"/>
      <c r="E422" s="15"/>
      <c r="F422" s="15"/>
      <c r="G422" s="15"/>
      <c r="H422" s="15"/>
      <c r="I422" s="15"/>
      <c r="J422" s="243"/>
      <c r="K422" s="15"/>
      <c r="L422" s="15"/>
      <c r="M422" s="15"/>
      <c r="N422" s="15"/>
      <c r="O422" s="243"/>
      <c r="P422" s="243"/>
      <c r="Q422" s="243"/>
      <c r="R422" s="243"/>
      <c r="S422" s="243"/>
      <c r="T422" s="243"/>
      <c r="U422" s="243"/>
    </row>
    <row r="423">
      <c r="A423" s="15"/>
      <c r="B423" s="15"/>
      <c r="C423" s="15"/>
      <c r="D423" s="15"/>
      <c r="E423" s="15"/>
      <c r="F423" s="15"/>
      <c r="G423" s="15"/>
      <c r="H423" s="15"/>
      <c r="I423" s="15"/>
      <c r="J423" s="243"/>
      <c r="K423" s="15"/>
      <c r="L423" s="15"/>
      <c r="M423" s="15"/>
      <c r="N423" s="15"/>
      <c r="O423" s="243"/>
      <c r="P423" s="243"/>
      <c r="Q423" s="243"/>
      <c r="R423" s="243"/>
      <c r="S423" s="243"/>
      <c r="T423" s="243"/>
      <c r="U423" s="243"/>
    </row>
    <row r="424">
      <c r="A424" s="15"/>
      <c r="B424" s="15"/>
      <c r="C424" s="15"/>
      <c r="D424" s="15"/>
      <c r="E424" s="15"/>
      <c r="F424" s="15"/>
      <c r="G424" s="15"/>
      <c r="H424" s="15"/>
      <c r="I424" s="15"/>
      <c r="J424" s="243"/>
      <c r="K424" s="15"/>
      <c r="L424" s="15"/>
      <c r="M424" s="15"/>
      <c r="N424" s="15"/>
      <c r="O424" s="243"/>
      <c r="P424" s="243"/>
      <c r="Q424" s="243"/>
      <c r="R424" s="243"/>
      <c r="S424" s="243"/>
      <c r="T424" s="243"/>
      <c r="U424" s="243"/>
    </row>
    <row r="425">
      <c r="A425" s="15"/>
      <c r="B425" s="15"/>
      <c r="C425" s="15"/>
      <c r="D425" s="15"/>
      <c r="E425" s="15"/>
      <c r="F425" s="15"/>
      <c r="G425" s="15"/>
      <c r="H425" s="15"/>
      <c r="I425" s="15"/>
      <c r="J425" s="243"/>
      <c r="K425" s="15"/>
      <c r="L425" s="15"/>
      <c r="M425" s="15"/>
      <c r="N425" s="15"/>
      <c r="O425" s="243"/>
      <c r="P425" s="243"/>
      <c r="Q425" s="243"/>
      <c r="R425" s="243"/>
      <c r="S425" s="243"/>
      <c r="T425" s="243"/>
      <c r="U425" s="243"/>
    </row>
    <row r="426">
      <c r="A426" s="15"/>
      <c r="B426" s="15"/>
      <c r="C426" s="15"/>
      <c r="D426" s="15"/>
      <c r="E426" s="15"/>
      <c r="F426" s="15"/>
      <c r="G426" s="15"/>
      <c r="H426" s="15"/>
      <c r="I426" s="15"/>
      <c r="J426" s="243"/>
      <c r="K426" s="15"/>
      <c r="L426" s="15"/>
      <c r="M426" s="15"/>
      <c r="N426" s="15"/>
      <c r="O426" s="243"/>
      <c r="P426" s="243"/>
      <c r="Q426" s="243"/>
      <c r="R426" s="243"/>
      <c r="S426" s="243"/>
      <c r="T426" s="243"/>
      <c r="U426" s="243"/>
    </row>
    <row r="427">
      <c r="A427" s="15"/>
      <c r="B427" s="15"/>
      <c r="C427" s="15"/>
      <c r="D427" s="15"/>
      <c r="E427" s="15"/>
      <c r="F427" s="15"/>
      <c r="G427" s="15"/>
      <c r="H427" s="15"/>
      <c r="I427" s="15"/>
      <c r="J427" s="243"/>
      <c r="K427" s="15"/>
      <c r="L427" s="15"/>
      <c r="M427" s="15"/>
      <c r="N427" s="15"/>
      <c r="O427" s="243"/>
      <c r="P427" s="243"/>
      <c r="Q427" s="243"/>
      <c r="R427" s="243"/>
      <c r="S427" s="243"/>
      <c r="T427" s="243"/>
      <c r="U427" s="243"/>
    </row>
    <row r="428">
      <c r="A428" s="15"/>
      <c r="B428" s="15"/>
      <c r="C428" s="15"/>
      <c r="D428" s="15"/>
      <c r="E428" s="15"/>
      <c r="F428" s="15"/>
      <c r="G428" s="15"/>
      <c r="H428" s="15"/>
      <c r="I428" s="15"/>
      <c r="J428" s="243"/>
      <c r="K428" s="15"/>
      <c r="L428" s="15"/>
      <c r="M428" s="15"/>
      <c r="N428" s="15"/>
      <c r="O428" s="243"/>
      <c r="P428" s="243"/>
      <c r="Q428" s="243"/>
      <c r="R428" s="243"/>
      <c r="S428" s="243"/>
      <c r="T428" s="243"/>
      <c r="U428" s="243"/>
    </row>
    <row r="429">
      <c r="A429" s="15"/>
      <c r="B429" s="15"/>
      <c r="C429" s="15"/>
      <c r="D429" s="15"/>
      <c r="E429" s="15"/>
      <c r="F429" s="15"/>
      <c r="G429" s="15"/>
      <c r="H429" s="15"/>
      <c r="I429" s="15"/>
      <c r="J429" s="243"/>
      <c r="K429" s="15"/>
      <c r="L429" s="15"/>
      <c r="M429" s="15"/>
      <c r="N429" s="15"/>
      <c r="O429" s="243"/>
      <c r="P429" s="243"/>
      <c r="Q429" s="243"/>
      <c r="R429" s="243"/>
      <c r="S429" s="243"/>
      <c r="T429" s="243"/>
      <c r="U429" s="243"/>
    </row>
    <row r="430">
      <c r="A430" s="15"/>
      <c r="B430" s="15"/>
      <c r="C430" s="15"/>
      <c r="D430" s="15"/>
      <c r="E430" s="15"/>
      <c r="F430" s="15"/>
      <c r="G430" s="15"/>
      <c r="H430" s="15"/>
      <c r="I430" s="15"/>
      <c r="J430" s="243"/>
      <c r="K430" s="15"/>
      <c r="L430" s="15"/>
      <c r="M430" s="15"/>
      <c r="N430" s="15"/>
      <c r="O430" s="243"/>
      <c r="P430" s="243"/>
      <c r="Q430" s="243"/>
      <c r="R430" s="243"/>
      <c r="S430" s="243"/>
      <c r="T430" s="243"/>
      <c r="U430" s="243"/>
    </row>
    <row r="431">
      <c r="A431" s="15"/>
      <c r="B431" s="15"/>
      <c r="C431" s="15"/>
      <c r="D431" s="15"/>
      <c r="E431" s="15"/>
      <c r="F431" s="15"/>
      <c r="G431" s="15"/>
      <c r="H431" s="15"/>
      <c r="I431" s="15"/>
      <c r="J431" s="243"/>
      <c r="K431" s="15"/>
      <c r="L431" s="15"/>
      <c r="M431" s="15"/>
      <c r="N431" s="15"/>
      <c r="O431" s="243"/>
      <c r="P431" s="243"/>
      <c r="Q431" s="243"/>
      <c r="R431" s="243"/>
      <c r="S431" s="243"/>
      <c r="T431" s="243"/>
      <c r="U431" s="243"/>
    </row>
    <row r="432">
      <c r="A432" s="15"/>
      <c r="B432" s="15"/>
      <c r="C432" s="15"/>
      <c r="D432" s="15"/>
      <c r="E432" s="15"/>
      <c r="F432" s="15"/>
      <c r="G432" s="15"/>
      <c r="H432" s="15"/>
      <c r="I432" s="15"/>
      <c r="J432" s="243"/>
      <c r="K432" s="15"/>
      <c r="L432" s="15"/>
      <c r="M432" s="15"/>
      <c r="N432" s="15"/>
      <c r="O432" s="243"/>
      <c r="P432" s="243"/>
      <c r="Q432" s="243"/>
      <c r="R432" s="243"/>
      <c r="S432" s="243"/>
      <c r="T432" s="243"/>
      <c r="U432" s="243"/>
    </row>
    <row r="433">
      <c r="A433" s="15"/>
      <c r="B433" s="15"/>
      <c r="C433" s="15"/>
      <c r="D433" s="15"/>
      <c r="E433" s="15"/>
      <c r="F433" s="15"/>
      <c r="G433" s="15"/>
      <c r="H433" s="15"/>
      <c r="I433" s="15"/>
      <c r="J433" s="243"/>
      <c r="K433" s="15"/>
      <c r="L433" s="15"/>
      <c r="M433" s="15"/>
      <c r="N433" s="15"/>
      <c r="O433" s="243"/>
      <c r="P433" s="243"/>
      <c r="Q433" s="243"/>
      <c r="R433" s="243"/>
      <c r="S433" s="243"/>
      <c r="T433" s="243"/>
      <c r="U433" s="243"/>
    </row>
    <row r="434">
      <c r="A434" s="15"/>
      <c r="B434" s="15"/>
      <c r="C434" s="15"/>
      <c r="D434" s="15"/>
      <c r="E434" s="15"/>
      <c r="F434" s="15"/>
      <c r="G434" s="15"/>
      <c r="H434" s="15"/>
      <c r="I434" s="15"/>
      <c r="J434" s="243"/>
      <c r="K434" s="15"/>
      <c r="L434" s="15"/>
      <c r="M434" s="15"/>
      <c r="N434" s="15"/>
      <c r="O434" s="243"/>
      <c r="P434" s="243"/>
      <c r="Q434" s="243"/>
      <c r="R434" s="243"/>
      <c r="S434" s="243"/>
      <c r="T434" s="243"/>
      <c r="U434" s="243"/>
    </row>
    <row r="435">
      <c r="A435" s="15"/>
      <c r="B435" s="15"/>
      <c r="C435" s="15"/>
      <c r="D435" s="15"/>
      <c r="E435" s="15"/>
      <c r="F435" s="15"/>
      <c r="G435" s="15"/>
      <c r="H435" s="15"/>
      <c r="I435" s="15"/>
      <c r="J435" s="243"/>
      <c r="K435" s="15"/>
      <c r="L435" s="15"/>
      <c r="M435" s="15"/>
      <c r="N435" s="15"/>
      <c r="O435" s="243"/>
      <c r="P435" s="243"/>
      <c r="Q435" s="243"/>
      <c r="R435" s="243"/>
      <c r="S435" s="243"/>
      <c r="T435" s="243"/>
      <c r="U435" s="243"/>
    </row>
    <row r="436">
      <c r="A436" s="15"/>
      <c r="B436" s="15"/>
      <c r="C436" s="15"/>
      <c r="D436" s="15"/>
      <c r="E436" s="15"/>
      <c r="F436" s="15"/>
      <c r="G436" s="15"/>
      <c r="H436" s="15"/>
      <c r="I436" s="15"/>
      <c r="J436" s="243"/>
      <c r="K436" s="15"/>
      <c r="L436" s="15"/>
      <c r="M436" s="15"/>
      <c r="N436" s="15"/>
      <c r="O436" s="243"/>
      <c r="P436" s="243"/>
      <c r="Q436" s="243"/>
      <c r="R436" s="243"/>
      <c r="S436" s="243"/>
      <c r="T436" s="243"/>
      <c r="U436" s="243"/>
    </row>
    <row r="437">
      <c r="A437" s="15"/>
      <c r="B437" s="15"/>
      <c r="C437" s="15"/>
      <c r="D437" s="15"/>
      <c r="E437" s="15"/>
      <c r="F437" s="15"/>
      <c r="G437" s="15"/>
      <c r="H437" s="15"/>
      <c r="I437" s="15"/>
      <c r="J437" s="243"/>
      <c r="K437" s="15"/>
      <c r="L437" s="15"/>
      <c r="M437" s="15"/>
      <c r="N437" s="15"/>
      <c r="O437" s="243"/>
      <c r="P437" s="243"/>
      <c r="Q437" s="243"/>
      <c r="R437" s="243"/>
      <c r="S437" s="243"/>
      <c r="T437" s="243"/>
      <c r="U437" s="243"/>
    </row>
    <row r="438">
      <c r="A438" s="15"/>
      <c r="B438" s="15"/>
      <c r="C438" s="15"/>
      <c r="D438" s="15"/>
      <c r="E438" s="15"/>
      <c r="F438" s="15"/>
      <c r="G438" s="15"/>
      <c r="H438" s="15"/>
      <c r="I438" s="15"/>
      <c r="J438" s="243"/>
      <c r="K438" s="15"/>
      <c r="L438" s="15"/>
      <c r="M438" s="15"/>
      <c r="N438" s="15"/>
      <c r="O438" s="243"/>
      <c r="P438" s="243"/>
      <c r="Q438" s="243"/>
      <c r="R438" s="243"/>
      <c r="S438" s="243"/>
      <c r="T438" s="243"/>
      <c r="U438" s="243"/>
    </row>
    <row r="439">
      <c r="A439" s="15"/>
      <c r="B439" s="15"/>
      <c r="C439" s="15"/>
      <c r="D439" s="15"/>
      <c r="E439" s="15"/>
      <c r="F439" s="15"/>
      <c r="G439" s="15"/>
      <c r="H439" s="15"/>
      <c r="I439" s="15"/>
      <c r="J439" s="243"/>
      <c r="K439" s="15"/>
      <c r="L439" s="15"/>
      <c r="M439" s="15"/>
      <c r="N439" s="15"/>
      <c r="O439" s="243"/>
      <c r="P439" s="243"/>
      <c r="Q439" s="243"/>
      <c r="R439" s="243"/>
      <c r="S439" s="243"/>
      <c r="T439" s="243"/>
      <c r="U439" s="243"/>
    </row>
    <row r="440">
      <c r="A440" s="15"/>
      <c r="B440" s="15"/>
      <c r="C440" s="15"/>
      <c r="D440" s="15"/>
      <c r="E440" s="15"/>
      <c r="F440" s="15"/>
      <c r="G440" s="15"/>
      <c r="H440" s="15"/>
      <c r="I440" s="15"/>
      <c r="J440" s="243"/>
      <c r="K440" s="15"/>
      <c r="L440" s="15"/>
      <c r="M440" s="15"/>
      <c r="N440" s="15"/>
      <c r="O440" s="243"/>
      <c r="P440" s="243"/>
      <c r="Q440" s="243"/>
      <c r="R440" s="243"/>
      <c r="S440" s="243"/>
      <c r="T440" s="243"/>
      <c r="U440" s="243"/>
    </row>
    <row r="441">
      <c r="A441" s="15"/>
      <c r="B441" s="15"/>
      <c r="C441" s="15"/>
      <c r="D441" s="15"/>
      <c r="E441" s="15"/>
      <c r="F441" s="15"/>
      <c r="G441" s="15"/>
      <c r="H441" s="15"/>
      <c r="I441" s="15"/>
      <c r="J441" s="243"/>
      <c r="K441" s="15"/>
      <c r="L441" s="15"/>
      <c r="M441" s="15"/>
      <c r="N441" s="15"/>
      <c r="O441" s="243"/>
      <c r="P441" s="243"/>
      <c r="Q441" s="243"/>
      <c r="R441" s="243"/>
      <c r="S441" s="243"/>
      <c r="T441" s="243"/>
      <c r="U441" s="243"/>
    </row>
    <row r="442">
      <c r="A442" s="15"/>
      <c r="B442" s="15"/>
      <c r="C442" s="15"/>
      <c r="D442" s="15"/>
      <c r="E442" s="15"/>
      <c r="F442" s="15"/>
      <c r="G442" s="15"/>
      <c r="H442" s="15"/>
      <c r="I442" s="15"/>
      <c r="J442" s="243"/>
      <c r="K442" s="15"/>
      <c r="L442" s="15"/>
      <c r="M442" s="15"/>
      <c r="N442" s="15"/>
      <c r="O442" s="243"/>
      <c r="P442" s="243"/>
      <c r="Q442" s="243"/>
      <c r="R442" s="243"/>
      <c r="S442" s="243"/>
      <c r="T442" s="243"/>
      <c r="U442" s="243"/>
    </row>
    <row r="443">
      <c r="A443" s="15"/>
      <c r="B443" s="15"/>
      <c r="C443" s="15"/>
      <c r="D443" s="15"/>
      <c r="E443" s="15"/>
      <c r="F443" s="15"/>
      <c r="G443" s="15"/>
      <c r="H443" s="15"/>
      <c r="I443" s="15"/>
      <c r="J443" s="243"/>
      <c r="K443" s="15"/>
      <c r="L443" s="15"/>
      <c r="M443" s="15"/>
      <c r="N443" s="15"/>
      <c r="O443" s="243"/>
      <c r="P443" s="243"/>
      <c r="Q443" s="243"/>
      <c r="R443" s="243"/>
      <c r="S443" s="243"/>
      <c r="T443" s="243"/>
      <c r="U443" s="243"/>
    </row>
    <row r="444">
      <c r="A444" s="15"/>
      <c r="B444" s="15"/>
      <c r="C444" s="15"/>
      <c r="D444" s="15"/>
      <c r="E444" s="15"/>
      <c r="F444" s="15"/>
      <c r="G444" s="15"/>
      <c r="H444" s="15"/>
      <c r="I444" s="15"/>
      <c r="J444" s="243"/>
      <c r="K444" s="15"/>
      <c r="L444" s="15"/>
      <c r="M444" s="15"/>
      <c r="N444" s="15"/>
      <c r="O444" s="243"/>
      <c r="P444" s="243"/>
      <c r="Q444" s="243"/>
      <c r="R444" s="243"/>
      <c r="S444" s="243"/>
      <c r="T444" s="243"/>
      <c r="U444" s="243"/>
    </row>
    <row r="445">
      <c r="A445" s="15"/>
      <c r="B445" s="15"/>
      <c r="C445" s="15"/>
      <c r="D445" s="15"/>
      <c r="E445" s="15"/>
      <c r="F445" s="15"/>
      <c r="G445" s="15"/>
      <c r="H445" s="15"/>
      <c r="I445" s="15"/>
      <c r="J445" s="243"/>
      <c r="K445" s="15"/>
      <c r="L445" s="15"/>
      <c r="M445" s="15"/>
      <c r="N445" s="15"/>
      <c r="O445" s="243"/>
      <c r="P445" s="243"/>
      <c r="Q445" s="243"/>
      <c r="R445" s="243"/>
      <c r="S445" s="243"/>
      <c r="T445" s="243"/>
      <c r="U445" s="243"/>
    </row>
    <row r="446">
      <c r="A446" s="15"/>
      <c r="B446" s="15"/>
      <c r="C446" s="15"/>
      <c r="D446" s="15"/>
      <c r="E446" s="15"/>
      <c r="F446" s="15"/>
      <c r="G446" s="15"/>
      <c r="H446" s="15"/>
      <c r="I446" s="15"/>
      <c r="J446" s="243"/>
      <c r="K446" s="15"/>
      <c r="L446" s="15"/>
      <c r="M446" s="15"/>
      <c r="N446" s="15"/>
      <c r="O446" s="243"/>
      <c r="P446" s="243"/>
      <c r="Q446" s="243"/>
      <c r="R446" s="243"/>
      <c r="S446" s="243"/>
      <c r="T446" s="243"/>
      <c r="U446" s="243"/>
    </row>
    <row r="447">
      <c r="A447" s="15"/>
      <c r="B447" s="15"/>
      <c r="C447" s="15"/>
      <c r="D447" s="15"/>
      <c r="E447" s="15"/>
      <c r="F447" s="15"/>
      <c r="G447" s="15"/>
      <c r="H447" s="15"/>
      <c r="I447" s="15"/>
      <c r="J447" s="243"/>
      <c r="K447" s="15"/>
      <c r="L447" s="15"/>
      <c r="M447" s="15"/>
      <c r="N447" s="15"/>
      <c r="O447" s="243"/>
      <c r="P447" s="243"/>
      <c r="Q447" s="243"/>
      <c r="R447" s="243"/>
      <c r="S447" s="243"/>
      <c r="T447" s="243"/>
      <c r="U447" s="243"/>
    </row>
    <row r="448">
      <c r="A448" s="15"/>
      <c r="B448" s="15"/>
      <c r="C448" s="15"/>
      <c r="D448" s="15"/>
      <c r="E448" s="15"/>
      <c r="F448" s="15"/>
      <c r="G448" s="15"/>
      <c r="H448" s="15"/>
      <c r="I448" s="15"/>
      <c r="J448" s="243"/>
      <c r="K448" s="15"/>
      <c r="L448" s="15"/>
      <c r="M448" s="15"/>
      <c r="N448" s="15"/>
      <c r="O448" s="243"/>
      <c r="P448" s="243"/>
      <c r="Q448" s="243"/>
      <c r="R448" s="243"/>
      <c r="S448" s="243"/>
      <c r="T448" s="243"/>
      <c r="U448" s="243"/>
    </row>
    <row r="449">
      <c r="A449" s="15"/>
      <c r="B449" s="15"/>
      <c r="C449" s="15"/>
      <c r="D449" s="15"/>
      <c r="E449" s="15"/>
      <c r="F449" s="15"/>
      <c r="G449" s="15"/>
      <c r="H449" s="15"/>
      <c r="I449" s="15"/>
      <c r="J449" s="243"/>
      <c r="K449" s="15"/>
      <c r="L449" s="15"/>
      <c r="M449" s="15"/>
      <c r="N449" s="15"/>
      <c r="O449" s="243"/>
      <c r="P449" s="243"/>
      <c r="Q449" s="243"/>
      <c r="R449" s="243"/>
      <c r="S449" s="243"/>
      <c r="T449" s="243"/>
      <c r="U449" s="243"/>
    </row>
    <row r="450">
      <c r="A450" s="15"/>
      <c r="B450" s="15"/>
      <c r="C450" s="15"/>
      <c r="D450" s="15"/>
      <c r="E450" s="15"/>
      <c r="F450" s="15"/>
      <c r="G450" s="15"/>
      <c r="H450" s="15"/>
      <c r="I450" s="15"/>
      <c r="J450" s="243"/>
      <c r="K450" s="15"/>
      <c r="L450" s="15"/>
      <c r="M450" s="15"/>
      <c r="N450" s="15"/>
      <c r="O450" s="243"/>
      <c r="P450" s="243"/>
      <c r="Q450" s="243"/>
      <c r="R450" s="243"/>
      <c r="S450" s="243"/>
      <c r="T450" s="243"/>
      <c r="U450" s="243"/>
    </row>
    <row r="451">
      <c r="A451" s="15"/>
      <c r="B451" s="15"/>
      <c r="C451" s="15"/>
      <c r="D451" s="15"/>
      <c r="E451" s="15"/>
      <c r="F451" s="15"/>
      <c r="G451" s="15"/>
      <c r="H451" s="15"/>
      <c r="I451" s="15"/>
      <c r="J451" s="243"/>
      <c r="K451" s="15"/>
      <c r="L451" s="15"/>
      <c r="M451" s="15"/>
      <c r="N451" s="15"/>
      <c r="O451" s="243"/>
      <c r="P451" s="243"/>
      <c r="Q451" s="243"/>
      <c r="R451" s="243"/>
      <c r="S451" s="243"/>
      <c r="T451" s="243"/>
      <c r="U451" s="243"/>
    </row>
    <row r="452">
      <c r="A452" s="15"/>
      <c r="B452" s="15"/>
      <c r="C452" s="15"/>
      <c r="D452" s="15"/>
      <c r="E452" s="15"/>
      <c r="F452" s="15"/>
      <c r="G452" s="15"/>
      <c r="H452" s="15"/>
      <c r="I452" s="15"/>
      <c r="J452" s="243"/>
      <c r="K452" s="15"/>
      <c r="L452" s="15"/>
      <c r="M452" s="15"/>
      <c r="N452" s="15"/>
      <c r="O452" s="243"/>
      <c r="P452" s="243"/>
      <c r="Q452" s="243"/>
      <c r="R452" s="243"/>
      <c r="S452" s="243"/>
      <c r="T452" s="243"/>
      <c r="U452" s="243"/>
    </row>
    <row r="453">
      <c r="A453" s="15"/>
      <c r="B453" s="15"/>
      <c r="C453" s="15"/>
      <c r="D453" s="15"/>
      <c r="E453" s="15"/>
      <c r="F453" s="15"/>
      <c r="G453" s="15"/>
      <c r="H453" s="15"/>
      <c r="I453" s="15"/>
      <c r="J453" s="243"/>
      <c r="K453" s="15"/>
      <c r="L453" s="15"/>
      <c r="M453" s="15"/>
      <c r="N453" s="15"/>
      <c r="O453" s="243"/>
      <c r="P453" s="243"/>
      <c r="Q453" s="243"/>
      <c r="R453" s="243"/>
      <c r="S453" s="243"/>
      <c r="T453" s="243"/>
      <c r="U453" s="243"/>
    </row>
    <row r="454">
      <c r="A454" s="15"/>
      <c r="B454" s="15"/>
      <c r="C454" s="15"/>
      <c r="D454" s="15"/>
      <c r="E454" s="15"/>
      <c r="F454" s="15"/>
      <c r="G454" s="15"/>
      <c r="H454" s="15"/>
      <c r="I454" s="15"/>
      <c r="J454" s="243"/>
      <c r="K454" s="15"/>
      <c r="L454" s="15"/>
      <c r="M454" s="15"/>
      <c r="N454" s="15"/>
      <c r="O454" s="243"/>
      <c r="P454" s="243"/>
      <c r="Q454" s="243"/>
      <c r="R454" s="243"/>
      <c r="S454" s="243"/>
      <c r="T454" s="243"/>
      <c r="U454" s="243"/>
    </row>
    <row r="455">
      <c r="A455" s="15"/>
      <c r="B455" s="15"/>
      <c r="C455" s="15"/>
      <c r="D455" s="15"/>
      <c r="E455" s="15"/>
      <c r="F455" s="15"/>
      <c r="G455" s="15"/>
      <c r="H455" s="15"/>
      <c r="I455" s="15"/>
      <c r="J455" s="243"/>
      <c r="K455" s="15"/>
      <c r="L455" s="15"/>
      <c r="M455" s="15"/>
      <c r="N455" s="15"/>
      <c r="O455" s="243"/>
      <c r="P455" s="243"/>
      <c r="Q455" s="243"/>
      <c r="R455" s="243"/>
      <c r="S455" s="243"/>
      <c r="T455" s="243"/>
      <c r="U455" s="243"/>
    </row>
    <row r="456">
      <c r="A456" s="15"/>
      <c r="B456" s="15"/>
      <c r="C456" s="15"/>
      <c r="D456" s="15"/>
      <c r="E456" s="15"/>
      <c r="F456" s="15"/>
      <c r="G456" s="15"/>
      <c r="H456" s="15"/>
      <c r="I456" s="15"/>
      <c r="J456" s="243"/>
      <c r="K456" s="15"/>
      <c r="L456" s="15"/>
      <c r="M456" s="15"/>
      <c r="N456" s="15"/>
      <c r="O456" s="243"/>
      <c r="P456" s="243"/>
      <c r="Q456" s="243"/>
      <c r="R456" s="243"/>
      <c r="S456" s="243"/>
      <c r="T456" s="243"/>
      <c r="U456" s="243"/>
    </row>
    <row r="457">
      <c r="A457" s="15"/>
      <c r="B457" s="15"/>
      <c r="C457" s="15"/>
      <c r="D457" s="15"/>
      <c r="E457" s="15"/>
      <c r="F457" s="15"/>
      <c r="G457" s="15"/>
      <c r="H457" s="15"/>
      <c r="I457" s="15"/>
      <c r="J457" s="243"/>
      <c r="K457" s="15"/>
      <c r="L457" s="15"/>
      <c r="M457" s="15"/>
      <c r="N457" s="15"/>
      <c r="O457" s="243"/>
      <c r="P457" s="243"/>
      <c r="Q457" s="243"/>
      <c r="R457" s="243"/>
      <c r="S457" s="243"/>
      <c r="T457" s="243"/>
      <c r="U457" s="243"/>
    </row>
    <row r="458">
      <c r="A458" s="15"/>
      <c r="B458" s="15"/>
      <c r="C458" s="15"/>
      <c r="D458" s="15"/>
      <c r="E458" s="15"/>
      <c r="F458" s="15"/>
      <c r="G458" s="15"/>
      <c r="H458" s="15"/>
      <c r="I458" s="15"/>
      <c r="J458" s="243"/>
      <c r="K458" s="15"/>
      <c r="L458" s="15"/>
      <c r="M458" s="15"/>
      <c r="N458" s="15"/>
      <c r="O458" s="243"/>
      <c r="P458" s="243"/>
      <c r="Q458" s="243"/>
      <c r="R458" s="243"/>
      <c r="S458" s="243"/>
      <c r="T458" s="243"/>
      <c r="U458" s="243"/>
    </row>
    <row r="459">
      <c r="A459" s="15"/>
      <c r="B459" s="15"/>
      <c r="C459" s="15"/>
      <c r="D459" s="15"/>
      <c r="E459" s="15"/>
      <c r="F459" s="15"/>
      <c r="G459" s="15"/>
      <c r="H459" s="15"/>
      <c r="I459" s="15"/>
      <c r="J459" s="243"/>
      <c r="K459" s="15"/>
      <c r="L459" s="15"/>
      <c r="M459" s="15"/>
      <c r="N459" s="15"/>
      <c r="O459" s="243"/>
      <c r="P459" s="243"/>
      <c r="Q459" s="243"/>
      <c r="R459" s="243"/>
      <c r="S459" s="243"/>
      <c r="T459" s="243"/>
      <c r="U459" s="243"/>
    </row>
    <row r="460">
      <c r="A460" s="15"/>
      <c r="B460" s="15"/>
      <c r="C460" s="15"/>
      <c r="D460" s="15"/>
      <c r="E460" s="15"/>
      <c r="F460" s="15"/>
      <c r="G460" s="15"/>
      <c r="H460" s="15"/>
      <c r="I460" s="15"/>
      <c r="J460" s="243"/>
      <c r="K460" s="15"/>
      <c r="L460" s="15"/>
      <c r="M460" s="15"/>
      <c r="N460" s="15"/>
      <c r="O460" s="243"/>
      <c r="P460" s="243"/>
      <c r="Q460" s="243"/>
      <c r="R460" s="243"/>
      <c r="S460" s="243"/>
      <c r="T460" s="243"/>
      <c r="U460" s="243"/>
    </row>
    <row r="461">
      <c r="A461" s="15"/>
      <c r="B461" s="15"/>
      <c r="C461" s="15"/>
      <c r="D461" s="15"/>
      <c r="E461" s="15"/>
      <c r="F461" s="15"/>
      <c r="G461" s="15"/>
      <c r="H461" s="15"/>
      <c r="I461" s="15"/>
      <c r="J461" s="243"/>
      <c r="K461" s="15"/>
      <c r="L461" s="15"/>
      <c r="M461" s="15"/>
      <c r="N461" s="15"/>
      <c r="O461" s="243"/>
      <c r="P461" s="243"/>
      <c r="Q461" s="243"/>
      <c r="R461" s="243"/>
      <c r="S461" s="243"/>
      <c r="T461" s="243"/>
      <c r="U461" s="243"/>
    </row>
    <row r="462">
      <c r="A462" s="15"/>
      <c r="B462" s="15"/>
      <c r="C462" s="15"/>
      <c r="D462" s="15"/>
      <c r="E462" s="15"/>
      <c r="F462" s="15"/>
      <c r="G462" s="15"/>
      <c r="H462" s="15"/>
      <c r="I462" s="15"/>
      <c r="J462" s="243"/>
      <c r="K462" s="15"/>
      <c r="L462" s="15"/>
      <c r="M462" s="15"/>
      <c r="N462" s="15"/>
      <c r="O462" s="243"/>
      <c r="P462" s="243"/>
      <c r="Q462" s="243"/>
      <c r="R462" s="243"/>
      <c r="S462" s="243"/>
      <c r="T462" s="243"/>
      <c r="U462" s="243"/>
    </row>
    <row r="463">
      <c r="A463" s="15"/>
      <c r="B463" s="15"/>
      <c r="C463" s="15"/>
      <c r="D463" s="15"/>
      <c r="E463" s="15"/>
      <c r="F463" s="15"/>
      <c r="G463" s="15"/>
      <c r="H463" s="15"/>
      <c r="I463" s="15"/>
      <c r="J463" s="243"/>
      <c r="K463" s="15"/>
      <c r="L463" s="15"/>
      <c r="M463" s="15"/>
      <c r="N463" s="15"/>
      <c r="O463" s="243"/>
      <c r="P463" s="243"/>
      <c r="Q463" s="243"/>
      <c r="R463" s="243"/>
      <c r="S463" s="243"/>
      <c r="T463" s="243"/>
      <c r="U463" s="243"/>
    </row>
    <row r="464">
      <c r="A464" s="15"/>
      <c r="B464" s="15"/>
      <c r="C464" s="15"/>
      <c r="D464" s="15"/>
      <c r="E464" s="15"/>
      <c r="F464" s="15"/>
      <c r="G464" s="15"/>
      <c r="H464" s="15"/>
      <c r="I464" s="15"/>
      <c r="J464" s="243"/>
      <c r="K464" s="15"/>
      <c r="L464" s="15"/>
      <c r="M464" s="15"/>
      <c r="N464" s="15"/>
      <c r="O464" s="243"/>
      <c r="P464" s="243"/>
      <c r="Q464" s="243"/>
      <c r="R464" s="243"/>
      <c r="S464" s="243"/>
      <c r="T464" s="243"/>
      <c r="U464" s="243"/>
    </row>
    <row r="465">
      <c r="A465" s="15"/>
      <c r="B465" s="15"/>
      <c r="C465" s="15"/>
      <c r="D465" s="15"/>
      <c r="E465" s="15"/>
      <c r="F465" s="15"/>
      <c r="G465" s="15"/>
      <c r="H465" s="15"/>
      <c r="I465" s="15"/>
      <c r="J465" s="243"/>
      <c r="K465" s="15"/>
      <c r="L465" s="15"/>
      <c r="M465" s="15"/>
      <c r="N465" s="15"/>
      <c r="O465" s="243"/>
      <c r="P465" s="243"/>
      <c r="Q465" s="243"/>
      <c r="R465" s="243"/>
      <c r="S465" s="243"/>
      <c r="T465" s="243"/>
      <c r="U465" s="243"/>
    </row>
    <row r="466">
      <c r="A466" s="15"/>
      <c r="B466" s="15"/>
      <c r="C466" s="15"/>
      <c r="D466" s="15"/>
      <c r="E466" s="15"/>
      <c r="F466" s="15"/>
      <c r="G466" s="15"/>
      <c r="H466" s="15"/>
      <c r="I466" s="15"/>
      <c r="J466" s="243"/>
      <c r="K466" s="15"/>
      <c r="L466" s="15"/>
      <c r="M466" s="15"/>
      <c r="N466" s="15"/>
      <c r="O466" s="243"/>
      <c r="P466" s="243"/>
      <c r="Q466" s="243"/>
      <c r="R466" s="243"/>
      <c r="S466" s="243"/>
      <c r="T466" s="243"/>
      <c r="U466" s="243"/>
    </row>
    <row r="467">
      <c r="A467" s="15"/>
      <c r="B467" s="15"/>
      <c r="C467" s="15"/>
      <c r="D467" s="15"/>
      <c r="E467" s="15"/>
      <c r="F467" s="15"/>
      <c r="G467" s="15"/>
      <c r="H467" s="15"/>
      <c r="I467" s="15"/>
      <c r="J467" s="243"/>
      <c r="K467" s="15"/>
      <c r="L467" s="15"/>
      <c r="M467" s="15"/>
      <c r="N467" s="15"/>
      <c r="O467" s="243"/>
      <c r="P467" s="243"/>
      <c r="Q467" s="243"/>
      <c r="R467" s="243"/>
      <c r="S467" s="243"/>
      <c r="T467" s="243"/>
      <c r="U467" s="243"/>
    </row>
    <row r="468">
      <c r="A468" s="15"/>
      <c r="B468" s="15"/>
      <c r="C468" s="15"/>
      <c r="D468" s="15"/>
      <c r="E468" s="15"/>
      <c r="F468" s="15"/>
      <c r="G468" s="15"/>
      <c r="H468" s="15"/>
      <c r="I468" s="15"/>
      <c r="J468" s="243"/>
      <c r="K468" s="15"/>
      <c r="L468" s="15"/>
      <c r="M468" s="15"/>
      <c r="N468" s="15"/>
      <c r="O468" s="243"/>
      <c r="P468" s="243"/>
      <c r="Q468" s="243"/>
      <c r="R468" s="243"/>
      <c r="S468" s="243"/>
      <c r="T468" s="243"/>
      <c r="U468" s="243"/>
    </row>
    <row r="469">
      <c r="A469" s="15"/>
      <c r="B469" s="15"/>
      <c r="C469" s="15"/>
      <c r="D469" s="15"/>
      <c r="E469" s="15"/>
      <c r="F469" s="15"/>
      <c r="G469" s="15"/>
      <c r="H469" s="15"/>
      <c r="I469" s="15"/>
      <c r="J469" s="243"/>
      <c r="K469" s="15"/>
      <c r="L469" s="15"/>
      <c r="M469" s="15"/>
      <c r="N469" s="15"/>
      <c r="O469" s="243"/>
      <c r="P469" s="243"/>
      <c r="Q469" s="243"/>
      <c r="R469" s="243"/>
      <c r="S469" s="243"/>
      <c r="T469" s="243"/>
      <c r="U469" s="243"/>
    </row>
    <row r="470">
      <c r="A470" s="15"/>
      <c r="B470" s="15"/>
      <c r="C470" s="15"/>
      <c r="D470" s="15"/>
      <c r="E470" s="15"/>
      <c r="F470" s="15"/>
      <c r="G470" s="15"/>
      <c r="H470" s="15"/>
      <c r="I470" s="15"/>
      <c r="J470" s="243"/>
      <c r="K470" s="15"/>
      <c r="L470" s="15"/>
      <c r="M470" s="15"/>
      <c r="N470" s="15"/>
      <c r="O470" s="243"/>
      <c r="P470" s="243"/>
      <c r="Q470" s="243"/>
      <c r="R470" s="243"/>
      <c r="S470" s="243"/>
      <c r="T470" s="243"/>
      <c r="U470" s="243"/>
    </row>
    <row r="471">
      <c r="A471" s="15"/>
      <c r="B471" s="15"/>
      <c r="C471" s="15"/>
      <c r="D471" s="15"/>
      <c r="E471" s="15"/>
      <c r="F471" s="15"/>
      <c r="G471" s="15"/>
      <c r="H471" s="15"/>
      <c r="I471" s="15"/>
      <c r="J471" s="243"/>
      <c r="K471" s="15"/>
      <c r="L471" s="15"/>
      <c r="M471" s="15"/>
      <c r="N471" s="15"/>
      <c r="O471" s="243"/>
      <c r="P471" s="243"/>
      <c r="Q471" s="243"/>
      <c r="R471" s="243"/>
      <c r="S471" s="243"/>
      <c r="T471" s="243"/>
      <c r="U471" s="243"/>
    </row>
    <row r="472">
      <c r="A472" s="15"/>
      <c r="B472" s="15"/>
      <c r="C472" s="15"/>
      <c r="D472" s="15"/>
      <c r="E472" s="15"/>
      <c r="F472" s="15"/>
      <c r="G472" s="15"/>
      <c r="H472" s="15"/>
      <c r="I472" s="15"/>
      <c r="J472" s="243"/>
      <c r="K472" s="15"/>
      <c r="L472" s="15"/>
      <c r="M472" s="15"/>
      <c r="N472" s="15"/>
      <c r="O472" s="243"/>
      <c r="P472" s="243"/>
      <c r="Q472" s="243"/>
      <c r="R472" s="243"/>
      <c r="S472" s="243"/>
      <c r="T472" s="243"/>
      <c r="U472" s="243"/>
    </row>
    <row r="473">
      <c r="A473" s="15"/>
      <c r="B473" s="15"/>
      <c r="C473" s="15"/>
      <c r="D473" s="15"/>
      <c r="E473" s="15"/>
      <c r="F473" s="15"/>
      <c r="G473" s="15"/>
      <c r="H473" s="15"/>
      <c r="I473" s="15"/>
      <c r="J473" s="243"/>
      <c r="K473" s="15"/>
      <c r="L473" s="15"/>
      <c r="M473" s="15"/>
      <c r="N473" s="15"/>
      <c r="O473" s="243"/>
      <c r="P473" s="243"/>
      <c r="Q473" s="243"/>
      <c r="R473" s="243"/>
      <c r="S473" s="243"/>
      <c r="T473" s="243"/>
      <c r="U473" s="243"/>
    </row>
    <row r="474">
      <c r="A474" s="15"/>
      <c r="B474" s="15"/>
      <c r="C474" s="15"/>
      <c r="D474" s="15"/>
      <c r="E474" s="15"/>
      <c r="F474" s="15"/>
      <c r="G474" s="15"/>
      <c r="H474" s="15"/>
      <c r="I474" s="15"/>
      <c r="J474" s="243"/>
      <c r="K474" s="15"/>
      <c r="L474" s="15"/>
      <c r="M474" s="15"/>
      <c r="N474" s="15"/>
      <c r="O474" s="243"/>
      <c r="P474" s="243"/>
      <c r="Q474" s="243"/>
      <c r="R474" s="243"/>
      <c r="S474" s="243"/>
      <c r="T474" s="243"/>
      <c r="U474" s="243"/>
    </row>
    <row r="475">
      <c r="A475" s="15"/>
      <c r="B475" s="15"/>
      <c r="C475" s="15"/>
      <c r="D475" s="15"/>
      <c r="E475" s="15"/>
      <c r="F475" s="15"/>
      <c r="G475" s="15"/>
      <c r="H475" s="15"/>
      <c r="I475" s="15"/>
      <c r="J475" s="243"/>
      <c r="K475" s="15"/>
      <c r="L475" s="15"/>
      <c r="M475" s="15"/>
      <c r="N475" s="15"/>
      <c r="O475" s="243"/>
      <c r="P475" s="243"/>
      <c r="Q475" s="243"/>
      <c r="R475" s="243"/>
      <c r="S475" s="243"/>
      <c r="T475" s="243"/>
      <c r="U475" s="243"/>
    </row>
    <row r="476">
      <c r="A476" s="15"/>
      <c r="B476" s="15"/>
      <c r="C476" s="15"/>
      <c r="D476" s="15"/>
      <c r="E476" s="15"/>
      <c r="F476" s="15"/>
      <c r="G476" s="15"/>
      <c r="H476" s="15"/>
      <c r="I476" s="15"/>
      <c r="J476" s="243"/>
      <c r="K476" s="15"/>
      <c r="L476" s="15"/>
      <c r="M476" s="15"/>
      <c r="N476" s="15"/>
      <c r="O476" s="243"/>
      <c r="P476" s="243"/>
      <c r="Q476" s="243"/>
      <c r="R476" s="243"/>
      <c r="S476" s="243"/>
      <c r="T476" s="243"/>
      <c r="U476" s="243"/>
    </row>
    <row r="477">
      <c r="A477" s="15"/>
      <c r="B477" s="15"/>
      <c r="C477" s="15"/>
      <c r="D477" s="15"/>
      <c r="E477" s="15"/>
      <c r="F477" s="15"/>
      <c r="G477" s="15"/>
      <c r="H477" s="15"/>
      <c r="I477" s="15"/>
      <c r="J477" s="243"/>
      <c r="K477" s="15"/>
      <c r="L477" s="15"/>
      <c r="M477" s="15"/>
      <c r="N477" s="15"/>
      <c r="O477" s="243"/>
      <c r="P477" s="243"/>
      <c r="Q477" s="243"/>
      <c r="R477" s="243"/>
      <c r="S477" s="243"/>
      <c r="T477" s="243"/>
      <c r="U477" s="243"/>
    </row>
    <row r="478">
      <c r="A478" s="15"/>
      <c r="B478" s="15"/>
      <c r="C478" s="15"/>
      <c r="D478" s="15"/>
      <c r="E478" s="15"/>
      <c r="F478" s="15"/>
      <c r="G478" s="15"/>
      <c r="H478" s="15"/>
      <c r="I478" s="15"/>
      <c r="J478" s="243"/>
      <c r="K478" s="15"/>
      <c r="L478" s="15"/>
      <c r="M478" s="15"/>
      <c r="N478" s="15"/>
      <c r="O478" s="243"/>
      <c r="P478" s="243"/>
      <c r="Q478" s="243"/>
      <c r="R478" s="243"/>
      <c r="S478" s="243"/>
      <c r="T478" s="243"/>
      <c r="U478" s="243"/>
    </row>
    <row r="479">
      <c r="A479" s="15"/>
      <c r="B479" s="15"/>
      <c r="C479" s="15"/>
      <c r="D479" s="15"/>
      <c r="E479" s="15"/>
      <c r="F479" s="15"/>
      <c r="G479" s="15"/>
      <c r="H479" s="15"/>
      <c r="I479" s="15"/>
      <c r="J479" s="243"/>
      <c r="K479" s="15"/>
      <c r="L479" s="15"/>
      <c r="M479" s="15"/>
      <c r="N479" s="15"/>
      <c r="O479" s="243"/>
      <c r="P479" s="243"/>
      <c r="Q479" s="243"/>
      <c r="R479" s="243"/>
      <c r="S479" s="243"/>
      <c r="T479" s="243"/>
      <c r="U479" s="243"/>
    </row>
    <row r="480">
      <c r="A480" s="15"/>
      <c r="B480" s="15"/>
      <c r="C480" s="15"/>
      <c r="D480" s="15"/>
      <c r="E480" s="15"/>
      <c r="F480" s="15"/>
      <c r="G480" s="15"/>
      <c r="H480" s="15"/>
      <c r="I480" s="15"/>
      <c r="J480" s="243"/>
      <c r="K480" s="15"/>
      <c r="L480" s="15"/>
      <c r="M480" s="15"/>
      <c r="N480" s="15"/>
      <c r="O480" s="243"/>
      <c r="P480" s="243"/>
      <c r="Q480" s="243"/>
      <c r="R480" s="243"/>
      <c r="S480" s="243"/>
      <c r="T480" s="243"/>
      <c r="U480" s="243"/>
    </row>
    <row r="481">
      <c r="A481" s="15"/>
      <c r="B481" s="15"/>
      <c r="C481" s="15"/>
      <c r="D481" s="15"/>
      <c r="E481" s="15"/>
      <c r="F481" s="15"/>
      <c r="G481" s="15"/>
      <c r="H481" s="15"/>
      <c r="I481" s="15"/>
      <c r="J481" s="243"/>
      <c r="K481" s="15"/>
      <c r="L481" s="15"/>
      <c r="M481" s="15"/>
      <c r="N481" s="15"/>
      <c r="O481" s="243"/>
      <c r="P481" s="243"/>
      <c r="Q481" s="243"/>
      <c r="R481" s="243"/>
      <c r="S481" s="243"/>
      <c r="T481" s="243"/>
      <c r="U481" s="243"/>
    </row>
    <row r="482">
      <c r="A482" s="15"/>
      <c r="B482" s="15"/>
      <c r="C482" s="15"/>
      <c r="D482" s="15"/>
      <c r="E482" s="15"/>
      <c r="F482" s="15"/>
      <c r="G482" s="15"/>
      <c r="H482" s="15"/>
      <c r="I482" s="15"/>
      <c r="J482" s="243"/>
      <c r="K482" s="15"/>
      <c r="L482" s="15"/>
      <c r="M482" s="15"/>
      <c r="N482" s="15"/>
      <c r="O482" s="243"/>
      <c r="P482" s="243"/>
      <c r="Q482" s="243"/>
      <c r="R482" s="243"/>
      <c r="S482" s="243"/>
      <c r="T482" s="243"/>
      <c r="U482" s="243"/>
    </row>
    <row r="483">
      <c r="A483" s="15"/>
      <c r="B483" s="15"/>
      <c r="C483" s="15"/>
      <c r="D483" s="15"/>
      <c r="E483" s="15"/>
      <c r="F483" s="15"/>
      <c r="G483" s="15"/>
      <c r="H483" s="15"/>
      <c r="I483" s="15"/>
      <c r="J483" s="243"/>
      <c r="K483" s="15"/>
      <c r="L483" s="15"/>
      <c r="M483" s="15"/>
      <c r="N483" s="15"/>
      <c r="O483" s="243"/>
      <c r="P483" s="243"/>
      <c r="Q483" s="243"/>
      <c r="R483" s="243"/>
      <c r="S483" s="243"/>
      <c r="T483" s="243"/>
      <c r="U483" s="243"/>
    </row>
    <row r="484">
      <c r="A484" s="15"/>
      <c r="B484" s="15"/>
      <c r="C484" s="15"/>
      <c r="D484" s="15"/>
      <c r="E484" s="15"/>
      <c r="F484" s="15"/>
      <c r="G484" s="15"/>
      <c r="H484" s="15"/>
      <c r="I484" s="15"/>
      <c r="J484" s="243"/>
      <c r="K484" s="15"/>
      <c r="L484" s="15"/>
      <c r="M484" s="15"/>
      <c r="N484" s="15"/>
      <c r="O484" s="243"/>
      <c r="P484" s="243"/>
      <c r="Q484" s="243"/>
      <c r="R484" s="243"/>
      <c r="S484" s="243"/>
      <c r="T484" s="243"/>
      <c r="U484" s="243"/>
    </row>
    <row r="485">
      <c r="A485" s="15"/>
      <c r="B485" s="15"/>
      <c r="C485" s="15"/>
      <c r="D485" s="15"/>
      <c r="E485" s="15"/>
      <c r="F485" s="15"/>
      <c r="G485" s="15"/>
      <c r="H485" s="15"/>
      <c r="I485" s="15"/>
      <c r="J485" s="243"/>
      <c r="K485" s="15"/>
      <c r="L485" s="15"/>
      <c r="M485" s="15"/>
      <c r="N485" s="15"/>
      <c r="O485" s="243"/>
      <c r="P485" s="243"/>
      <c r="Q485" s="243"/>
      <c r="R485" s="243"/>
      <c r="S485" s="243"/>
      <c r="T485" s="243"/>
      <c r="U485" s="243"/>
    </row>
    <row r="486">
      <c r="A486" s="15"/>
      <c r="B486" s="15"/>
      <c r="C486" s="15"/>
      <c r="D486" s="15"/>
      <c r="E486" s="15"/>
      <c r="F486" s="15"/>
      <c r="G486" s="15"/>
      <c r="H486" s="15"/>
      <c r="I486" s="15"/>
      <c r="J486" s="243"/>
      <c r="K486" s="15"/>
      <c r="L486" s="15"/>
      <c r="M486" s="15"/>
      <c r="N486" s="15"/>
      <c r="O486" s="243"/>
      <c r="P486" s="243"/>
      <c r="Q486" s="243"/>
      <c r="R486" s="243"/>
      <c r="S486" s="243"/>
      <c r="T486" s="243"/>
      <c r="U486" s="243"/>
    </row>
    <row r="487">
      <c r="A487" s="15"/>
      <c r="B487" s="15"/>
      <c r="C487" s="15"/>
      <c r="D487" s="15"/>
      <c r="E487" s="15"/>
      <c r="F487" s="15"/>
      <c r="G487" s="15"/>
      <c r="H487" s="15"/>
      <c r="I487" s="15"/>
      <c r="J487" s="243"/>
      <c r="K487" s="15"/>
      <c r="L487" s="15"/>
      <c r="M487" s="15"/>
      <c r="N487" s="15"/>
      <c r="O487" s="243"/>
      <c r="P487" s="243"/>
      <c r="Q487" s="243"/>
      <c r="R487" s="243"/>
      <c r="S487" s="243"/>
      <c r="T487" s="243"/>
      <c r="U487" s="243"/>
    </row>
    <row r="488">
      <c r="A488" s="15"/>
      <c r="B488" s="15"/>
      <c r="C488" s="15"/>
      <c r="D488" s="15"/>
      <c r="E488" s="15"/>
      <c r="F488" s="15"/>
      <c r="G488" s="15"/>
      <c r="H488" s="15"/>
      <c r="I488" s="15"/>
      <c r="J488" s="243"/>
      <c r="K488" s="15"/>
      <c r="L488" s="15"/>
      <c r="M488" s="15"/>
      <c r="N488" s="15"/>
      <c r="O488" s="243"/>
      <c r="P488" s="243"/>
      <c r="Q488" s="243"/>
      <c r="R488" s="243"/>
      <c r="S488" s="243"/>
      <c r="T488" s="243"/>
      <c r="U488" s="243"/>
    </row>
    <row r="489">
      <c r="A489" s="15"/>
      <c r="B489" s="15"/>
      <c r="C489" s="15"/>
      <c r="D489" s="15"/>
      <c r="E489" s="15"/>
      <c r="F489" s="15"/>
      <c r="G489" s="15"/>
      <c r="H489" s="15"/>
      <c r="I489" s="15"/>
      <c r="J489" s="243"/>
      <c r="K489" s="15"/>
      <c r="L489" s="15"/>
      <c r="M489" s="15"/>
      <c r="N489" s="15"/>
      <c r="O489" s="243"/>
      <c r="P489" s="243"/>
      <c r="Q489" s="243"/>
      <c r="R489" s="243"/>
      <c r="S489" s="243"/>
      <c r="T489" s="243"/>
      <c r="U489" s="243"/>
    </row>
    <row r="490">
      <c r="A490" s="15"/>
      <c r="B490" s="15"/>
      <c r="C490" s="15"/>
      <c r="D490" s="15"/>
      <c r="E490" s="15"/>
      <c r="F490" s="15"/>
      <c r="G490" s="15"/>
      <c r="H490" s="15"/>
      <c r="I490" s="15"/>
      <c r="J490" s="243"/>
      <c r="K490" s="15"/>
      <c r="L490" s="15"/>
      <c r="M490" s="15"/>
      <c r="N490" s="15"/>
      <c r="O490" s="243"/>
      <c r="P490" s="243"/>
      <c r="Q490" s="243"/>
      <c r="R490" s="243"/>
      <c r="S490" s="243"/>
      <c r="T490" s="243"/>
      <c r="U490" s="243"/>
    </row>
    <row r="491">
      <c r="A491" s="15"/>
      <c r="B491" s="15"/>
      <c r="C491" s="15"/>
      <c r="D491" s="15"/>
      <c r="E491" s="15"/>
      <c r="F491" s="15"/>
      <c r="G491" s="15"/>
      <c r="H491" s="15"/>
      <c r="I491" s="15"/>
      <c r="J491" s="243"/>
      <c r="K491" s="15"/>
      <c r="L491" s="15"/>
      <c r="M491" s="15"/>
      <c r="N491" s="15"/>
      <c r="O491" s="243"/>
      <c r="P491" s="243"/>
      <c r="Q491" s="243"/>
      <c r="R491" s="243"/>
      <c r="S491" s="243"/>
      <c r="T491" s="243"/>
      <c r="U491" s="243"/>
    </row>
    <row r="492">
      <c r="A492" s="15"/>
      <c r="B492" s="15"/>
      <c r="C492" s="15"/>
      <c r="D492" s="15"/>
      <c r="E492" s="15"/>
      <c r="F492" s="15"/>
      <c r="G492" s="15"/>
      <c r="H492" s="15"/>
      <c r="I492" s="15"/>
      <c r="J492" s="243"/>
      <c r="K492" s="15"/>
      <c r="L492" s="15"/>
      <c r="M492" s="15"/>
      <c r="N492" s="15"/>
      <c r="O492" s="243"/>
      <c r="P492" s="243"/>
      <c r="Q492" s="243"/>
      <c r="R492" s="243"/>
      <c r="S492" s="243"/>
      <c r="T492" s="243"/>
      <c r="U492" s="243"/>
    </row>
    <row r="493">
      <c r="A493" s="15"/>
      <c r="B493" s="15"/>
      <c r="C493" s="15"/>
      <c r="D493" s="15"/>
      <c r="E493" s="15"/>
      <c r="F493" s="15"/>
      <c r="G493" s="15"/>
      <c r="H493" s="15"/>
      <c r="I493" s="15"/>
      <c r="J493" s="243"/>
      <c r="K493" s="15"/>
      <c r="L493" s="15"/>
      <c r="M493" s="15"/>
      <c r="N493" s="15"/>
      <c r="O493" s="243"/>
      <c r="P493" s="243"/>
      <c r="Q493" s="243"/>
      <c r="R493" s="243"/>
      <c r="S493" s="243"/>
      <c r="T493" s="243"/>
      <c r="U493" s="243"/>
    </row>
    <row r="494">
      <c r="A494" s="15"/>
      <c r="B494" s="15"/>
      <c r="C494" s="15"/>
      <c r="D494" s="15"/>
      <c r="E494" s="15"/>
      <c r="F494" s="15"/>
      <c r="G494" s="15"/>
      <c r="H494" s="15"/>
      <c r="I494" s="15"/>
      <c r="J494" s="243"/>
      <c r="K494" s="15"/>
      <c r="L494" s="15"/>
      <c r="M494" s="15"/>
      <c r="N494" s="15"/>
      <c r="O494" s="243"/>
      <c r="P494" s="243"/>
      <c r="Q494" s="243"/>
      <c r="R494" s="243"/>
      <c r="S494" s="243"/>
      <c r="T494" s="243"/>
      <c r="U494" s="243"/>
    </row>
    <row r="495">
      <c r="A495" s="15"/>
      <c r="B495" s="15"/>
      <c r="C495" s="15"/>
      <c r="D495" s="15"/>
      <c r="E495" s="15"/>
      <c r="F495" s="15"/>
      <c r="G495" s="15"/>
      <c r="H495" s="15"/>
      <c r="I495" s="15"/>
      <c r="J495" s="243"/>
      <c r="K495" s="15"/>
      <c r="L495" s="15"/>
      <c r="M495" s="15"/>
      <c r="N495" s="15"/>
      <c r="O495" s="243"/>
      <c r="P495" s="243"/>
      <c r="Q495" s="243"/>
      <c r="R495" s="243"/>
      <c r="S495" s="243"/>
      <c r="T495" s="243"/>
      <c r="U495" s="243"/>
    </row>
    <row r="496">
      <c r="A496" s="15"/>
      <c r="B496" s="15"/>
      <c r="C496" s="15"/>
      <c r="D496" s="15"/>
      <c r="E496" s="15"/>
      <c r="F496" s="15"/>
      <c r="G496" s="15"/>
      <c r="H496" s="15"/>
      <c r="I496" s="15"/>
      <c r="J496" s="243"/>
      <c r="K496" s="15"/>
      <c r="L496" s="15"/>
      <c r="M496" s="15"/>
      <c r="N496" s="15"/>
      <c r="O496" s="243"/>
      <c r="P496" s="243"/>
      <c r="Q496" s="243"/>
      <c r="R496" s="243"/>
      <c r="S496" s="243"/>
      <c r="T496" s="243"/>
      <c r="U496" s="243"/>
    </row>
    <row r="497">
      <c r="A497" s="15"/>
      <c r="B497" s="15"/>
      <c r="C497" s="15"/>
      <c r="D497" s="15"/>
      <c r="E497" s="15"/>
      <c r="F497" s="15"/>
      <c r="G497" s="15"/>
      <c r="H497" s="15"/>
      <c r="I497" s="15"/>
      <c r="J497" s="243"/>
      <c r="K497" s="15"/>
      <c r="L497" s="15"/>
      <c r="M497" s="15"/>
      <c r="N497" s="15"/>
      <c r="O497" s="243"/>
      <c r="P497" s="243"/>
      <c r="Q497" s="243"/>
      <c r="R497" s="243"/>
      <c r="S497" s="243"/>
      <c r="T497" s="243"/>
      <c r="U497" s="243"/>
    </row>
    <row r="498">
      <c r="A498" s="15"/>
      <c r="B498" s="15"/>
      <c r="C498" s="15"/>
      <c r="D498" s="15"/>
      <c r="E498" s="15"/>
      <c r="F498" s="15"/>
      <c r="G498" s="15"/>
      <c r="H498" s="15"/>
      <c r="I498" s="15"/>
      <c r="J498" s="243"/>
      <c r="K498" s="15"/>
      <c r="L498" s="15"/>
      <c r="M498" s="15"/>
      <c r="N498" s="15"/>
      <c r="O498" s="243"/>
      <c r="P498" s="243"/>
      <c r="Q498" s="243"/>
      <c r="R498" s="243"/>
      <c r="S498" s="243"/>
      <c r="T498" s="243"/>
      <c r="U498" s="243"/>
    </row>
    <row r="499">
      <c r="A499" s="15"/>
      <c r="B499" s="15"/>
      <c r="C499" s="15"/>
      <c r="D499" s="15"/>
      <c r="E499" s="15"/>
      <c r="F499" s="15"/>
      <c r="G499" s="15"/>
      <c r="H499" s="15"/>
      <c r="I499" s="15"/>
      <c r="J499" s="243"/>
      <c r="K499" s="15"/>
      <c r="L499" s="15"/>
      <c r="M499" s="15"/>
      <c r="N499" s="15"/>
      <c r="O499" s="243"/>
      <c r="P499" s="243"/>
      <c r="Q499" s="243"/>
      <c r="R499" s="243"/>
      <c r="S499" s="243"/>
      <c r="T499" s="243"/>
      <c r="U499" s="243"/>
    </row>
    <row r="500">
      <c r="A500" s="15"/>
      <c r="B500" s="15"/>
      <c r="C500" s="15"/>
      <c r="D500" s="15"/>
      <c r="E500" s="15"/>
      <c r="F500" s="15"/>
      <c r="G500" s="15"/>
      <c r="H500" s="15"/>
      <c r="I500" s="15"/>
      <c r="J500" s="243"/>
      <c r="K500" s="15"/>
      <c r="L500" s="15"/>
      <c r="M500" s="15"/>
      <c r="N500" s="15"/>
      <c r="O500" s="243"/>
      <c r="P500" s="243"/>
      <c r="Q500" s="243"/>
      <c r="R500" s="243"/>
      <c r="S500" s="243"/>
      <c r="T500" s="243"/>
      <c r="U500" s="243"/>
    </row>
    <row r="501">
      <c r="A501" s="15"/>
      <c r="B501" s="15"/>
      <c r="C501" s="15"/>
      <c r="D501" s="15"/>
      <c r="E501" s="15"/>
      <c r="F501" s="15"/>
      <c r="G501" s="15"/>
      <c r="H501" s="15"/>
      <c r="I501" s="15"/>
      <c r="J501" s="243"/>
      <c r="K501" s="15"/>
      <c r="L501" s="15"/>
      <c r="M501" s="15"/>
      <c r="N501" s="15"/>
      <c r="O501" s="243"/>
      <c r="P501" s="243"/>
      <c r="Q501" s="243"/>
      <c r="R501" s="243"/>
      <c r="S501" s="243"/>
      <c r="T501" s="243"/>
      <c r="U501" s="243"/>
    </row>
    <row r="502">
      <c r="A502" s="15"/>
      <c r="B502" s="15"/>
      <c r="C502" s="15"/>
      <c r="D502" s="15"/>
      <c r="E502" s="15"/>
      <c r="F502" s="15"/>
      <c r="G502" s="15"/>
      <c r="H502" s="15"/>
      <c r="I502" s="15"/>
      <c r="J502" s="243"/>
      <c r="K502" s="15"/>
      <c r="L502" s="15"/>
      <c r="M502" s="15"/>
      <c r="N502" s="15"/>
      <c r="O502" s="243"/>
      <c r="P502" s="243"/>
      <c r="Q502" s="243"/>
      <c r="R502" s="243"/>
      <c r="S502" s="243"/>
      <c r="T502" s="243"/>
      <c r="U502" s="243"/>
    </row>
    <row r="503">
      <c r="A503" s="15"/>
      <c r="B503" s="15"/>
      <c r="C503" s="15"/>
      <c r="D503" s="15"/>
      <c r="E503" s="15"/>
      <c r="F503" s="15"/>
      <c r="G503" s="15"/>
      <c r="H503" s="15"/>
      <c r="I503" s="15"/>
      <c r="J503" s="243"/>
      <c r="K503" s="15"/>
      <c r="L503" s="15"/>
      <c r="M503" s="15"/>
      <c r="N503" s="15"/>
      <c r="O503" s="243"/>
      <c r="P503" s="243"/>
      <c r="Q503" s="243"/>
      <c r="R503" s="243"/>
      <c r="S503" s="243"/>
      <c r="T503" s="243"/>
      <c r="U503" s="243"/>
    </row>
    <row r="504">
      <c r="A504" s="15"/>
      <c r="B504" s="15"/>
      <c r="C504" s="15"/>
      <c r="D504" s="15"/>
      <c r="E504" s="15"/>
      <c r="F504" s="15"/>
      <c r="G504" s="15"/>
      <c r="H504" s="15"/>
      <c r="I504" s="15"/>
      <c r="J504" s="243"/>
      <c r="K504" s="15"/>
      <c r="L504" s="15"/>
      <c r="M504" s="15"/>
      <c r="N504" s="15"/>
      <c r="O504" s="243"/>
      <c r="P504" s="243"/>
      <c r="Q504" s="243"/>
      <c r="R504" s="243"/>
      <c r="S504" s="243"/>
      <c r="T504" s="243"/>
      <c r="U504" s="243"/>
    </row>
    <row r="505">
      <c r="A505" s="15"/>
      <c r="B505" s="15"/>
      <c r="C505" s="15"/>
      <c r="D505" s="15"/>
      <c r="E505" s="15"/>
      <c r="F505" s="15"/>
      <c r="G505" s="15"/>
      <c r="H505" s="15"/>
      <c r="I505" s="15"/>
      <c r="J505" s="243"/>
      <c r="K505" s="15"/>
      <c r="L505" s="15"/>
      <c r="M505" s="15"/>
      <c r="N505" s="15"/>
      <c r="O505" s="243"/>
      <c r="P505" s="243"/>
      <c r="Q505" s="243"/>
      <c r="R505" s="243"/>
      <c r="S505" s="243"/>
      <c r="T505" s="243"/>
      <c r="U505" s="243"/>
    </row>
    <row r="506">
      <c r="A506" s="15"/>
      <c r="B506" s="15"/>
      <c r="C506" s="15"/>
      <c r="D506" s="15"/>
      <c r="E506" s="15"/>
      <c r="F506" s="15"/>
      <c r="G506" s="15"/>
      <c r="H506" s="15"/>
      <c r="I506" s="15"/>
      <c r="J506" s="243"/>
      <c r="K506" s="15"/>
      <c r="L506" s="15"/>
      <c r="M506" s="15"/>
      <c r="N506" s="15"/>
      <c r="O506" s="243"/>
      <c r="P506" s="243"/>
      <c r="Q506" s="243"/>
      <c r="R506" s="243"/>
      <c r="S506" s="243"/>
      <c r="T506" s="243"/>
      <c r="U506" s="243"/>
    </row>
    <row r="507">
      <c r="A507" s="15"/>
      <c r="B507" s="15"/>
      <c r="C507" s="15"/>
      <c r="D507" s="15"/>
      <c r="E507" s="15"/>
      <c r="F507" s="15"/>
      <c r="G507" s="15"/>
      <c r="H507" s="15"/>
      <c r="I507" s="15"/>
      <c r="J507" s="243"/>
      <c r="K507" s="15"/>
      <c r="L507" s="15"/>
      <c r="M507" s="15"/>
      <c r="N507" s="15"/>
      <c r="O507" s="243"/>
      <c r="P507" s="243"/>
      <c r="Q507" s="243"/>
      <c r="R507" s="243"/>
      <c r="S507" s="243"/>
      <c r="T507" s="243"/>
      <c r="U507" s="243"/>
    </row>
    <row r="508">
      <c r="A508" s="15"/>
      <c r="B508" s="15"/>
      <c r="C508" s="15"/>
      <c r="D508" s="15"/>
      <c r="E508" s="15"/>
      <c r="F508" s="15"/>
      <c r="G508" s="15"/>
      <c r="H508" s="15"/>
      <c r="I508" s="15"/>
      <c r="J508" s="243"/>
      <c r="K508" s="15"/>
      <c r="L508" s="15"/>
      <c r="M508" s="15"/>
      <c r="N508" s="15"/>
      <c r="O508" s="243"/>
      <c r="P508" s="243"/>
      <c r="Q508" s="243"/>
      <c r="R508" s="243"/>
      <c r="S508" s="243"/>
      <c r="T508" s="243"/>
      <c r="U508" s="243"/>
    </row>
    <row r="509">
      <c r="A509" s="15"/>
      <c r="B509" s="15"/>
      <c r="C509" s="15"/>
      <c r="D509" s="15"/>
      <c r="E509" s="15"/>
      <c r="F509" s="15"/>
      <c r="G509" s="15"/>
      <c r="H509" s="15"/>
      <c r="I509" s="15"/>
      <c r="J509" s="243"/>
      <c r="K509" s="15"/>
      <c r="L509" s="15"/>
      <c r="M509" s="15"/>
      <c r="N509" s="15"/>
      <c r="O509" s="243"/>
      <c r="P509" s="243"/>
      <c r="Q509" s="243"/>
      <c r="R509" s="243"/>
      <c r="S509" s="243"/>
      <c r="T509" s="243"/>
      <c r="U509" s="243"/>
    </row>
    <row r="510">
      <c r="A510" s="15"/>
      <c r="B510" s="15"/>
      <c r="C510" s="15"/>
      <c r="D510" s="15"/>
      <c r="E510" s="15"/>
      <c r="F510" s="15"/>
      <c r="G510" s="15"/>
      <c r="H510" s="15"/>
      <c r="I510" s="15"/>
      <c r="J510" s="243"/>
      <c r="K510" s="15"/>
      <c r="L510" s="15"/>
      <c r="M510" s="15"/>
      <c r="N510" s="15"/>
      <c r="O510" s="243"/>
      <c r="P510" s="243"/>
      <c r="Q510" s="243"/>
      <c r="R510" s="243"/>
      <c r="S510" s="243"/>
      <c r="T510" s="243"/>
      <c r="U510" s="243"/>
    </row>
    <row r="511">
      <c r="A511" s="15"/>
      <c r="B511" s="15"/>
      <c r="C511" s="15"/>
      <c r="D511" s="15"/>
      <c r="E511" s="15"/>
      <c r="F511" s="15"/>
      <c r="G511" s="15"/>
      <c r="H511" s="15"/>
      <c r="I511" s="15"/>
      <c r="J511" s="243"/>
      <c r="K511" s="15"/>
      <c r="L511" s="15"/>
      <c r="M511" s="15"/>
      <c r="N511" s="15"/>
      <c r="O511" s="243"/>
      <c r="P511" s="243"/>
      <c r="Q511" s="243"/>
      <c r="R511" s="243"/>
      <c r="S511" s="243"/>
      <c r="T511" s="243"/>
      <c r="U511" s="243"/>
    </row>
    <row r="512">
      <c r="A512" s="15"/>
      <c r="B512" s="15"/>
      <c r="C512" s="15"/>
      <c r="D512" s="15"/>
      <c r="E512" s="15"/>
      <c r="F512" s="15"/>
      <c r="G512" s="15"/>
      <c r="H512" s="15"/>
      <c r="I512" s="15"/>
      <c r="J512" s="243"/>
      <c r="K512" s="15"/>
      <c r="L512" s="15"/>
      <c r="M512" s="15"/>
      <c r="N512" s="15"/>
      <c r="O512" s="243"/>
      <c r="P512" s="243"/>
      <c r="Q512" s="243"/>
      <c r="R512" s="243"/>
      <c r="S512" s="243"/>
      <c r="T512" s="243"/>
      <c r="U512" s="243"/>
    </row>
    <row r="513">
      <c r="A513" s="15"/>
      <c r="B513" s="15"/>
      <c r="C513" s="15"/>
      <c r="D513" s="15"/>
      <c r="E513" s="15"/>
      <c r="F513" s="15"/>
      <c r="G513" s="15"/>
      <c r="H513" s="15"/>
      <c r="I513" s="15"/>
      <c r="J513" s="243"/>
      <c r="K513" s="15"/>
      <c r="L513" s="15"/>
      <c r="M513" s="15"/>
      <c r="N513" s="15"/>
      <c r="O513" s="243"/>
      <c r="P513" s="243"/>
      <c r="Q513" s="243"/>
      <c r="R513" s="243"/>
      <c r="S513" s="243"/>
      <c r="T513" s="243"/>
      <c r="U513" s="243"/>
    </row>
    <row r="514">
      <c r="A514" s="15"/>
      <c r="B514" s="15"/>
      <c r="C514" s="15"/>
      <c r="D514" s="15"/>
      <c r="E514" s="15"/>
      <c r="F514" s="15"/>
      <c r="G514" s="15"/>
      <c r="H514" s="15"/>
      <c r="I514" s="15"/>
      <c r="J514" s="243"/>
      <c r="K514" s="15"/>
      <c r="L514" s="15"/>
      <c r="M514" s="15"/>
      <c r="N514" s="15"/>
      <c r="O514" s="243"/>
      <c r="P514" s="243"/>
      <c r="Q514" s="243"/>
      <c r="R514" s="243"/>
      <c r="S514" s="243"/>
      <c r="T514" s="243"/>
      <c r="U514" s="243"/>
    </row>
    <row r="515">
      <c r="A515" s="15"/>
      <c r="B515" s="15"/>
      <c r="C515" s="15"/>
      <c r="D515" s="15"/>
      <c r="E515" s="15"/>
      <c r="F515" s="15"/>
      <c r="G515" s="15"/>
      <c r="H515" s="15"/>
      <c r="I515" s="15"/>
      <c r="J515" s="243"/>
      <c r="K515" s="15"/>
      <c r="L515" s="15"/>
      <c r="M515" s="15"/>
      <c r="N515" s="15"/>
      <c r="O515" s="243"/>
      <c r="P515" s="243"/>
      <c r="Q515" s="243"/>
      <c r="R515" s="243"/>
      <c r="S515" s="243"/>
      <c r="T515" s="243"/>
      <c r="U515" s="243"/>
    </row>
    <row r="516">
      <c r="A516" s="15"/>
      <c r="B516" s="15"/>
      <c r="C516" s="15"/>
      <c r="D516" s="15"/>
      <c r="E516" s="15"/>
      <c r="F516" s="15"/>
      <c r="G516" s="15"/>
      <c r="H516" s="15"/>
      <c r="I516" s="15"/>
      <c r="J516" s="243"/>
      <c r="K516" s="15"/>
      <c r="L516" s="15"/>
      <c r="M516" s="15"/>
      <c r="N516" s="15"/>
      <c r="O516" s="243"/>
      <c r="P516" s="243"/>
      <c r="Q516" s="243"/>
      <c r="R516" s="243"/>
      <c r="S516" s="243"/>
      <c r="T516" s="243"/>
      <c r="U516" s="243"/>
    </row>
    <row r="517">
      <c r="A517" s="15"/>
      <c r="B517" s="15"/>
      <c r="C517" s="15"/>
      <c r="D517" s="15"/>
      <c r="E517" s="15"/>
      <c r="F517" s="15"/>
      <c r="G517" s="15"/>
      <c r="H517" s="15"/>
      <c r="I517" s="15"/>
      <c r="J517" s="243"/>
      <c r="K517" s="15"/>
      <c r="L517" s="15"/>
      <c r="M517" s="15"/>
      <c r="N517" s="15"/>
      <c r="O517" s="243"/>
      <c r="P517" s="243"/>
      <c r="Q517" s="243"/>
      <c r="R517" s="243"/>
      <c r="S517" s="243"/>
      <c r="T517" s="243"/>
      <c r="U517" s="243"/>
    </row>
    <row r="518">
      <c r="A518" s="15"/>
      <c r="B518" s="15"/>
      <c r="C518" s="15"/>
      <c r="D518" s="15"/>
      <c r="E518" s="15"/>
      <c r="F518" s="15"/>
      <c r="G518" s="15"/>
      <c r="H518" s="15"/>
      <c r="I518" s="15"/>
      <c r="J518" s="243"/>
      <c r="K518" s="15"/>
      <c r="L518" s="15"/>
      <c r="M518" s="15"/>
      <c r="N518" s="15"/>
      <c r="O518" s="243"/>
      <c r="P518" s="243"/>
      <c r="Q518" s="243"/>
      <c r="R518" s="243"/>
      <c r="S518" s="243"/>
      <c r="T518" s="243"/>
      <c r="U518" s="243"/>
    </row>
    <row r="519">
      <c r="A519" s="15"/>
      <c r="B519" s="15"/>
      <c r="C519" s="15"/>
      <c r="D519" s="15"/>
      <c r="E519" s="15"/>
      <c r="F519" s="15"/>
      <c r="G519" s="15"/>
      <c r="H519" s="15"/>
      <c r="I519" s="15"/>
      <c r="J519" s="243"/>
      <c r="K519" s="15"/>
      <c r="L519" s="15"/>
      <c r="M519" s="15"/>
      <c r="N519" s="15"/>
      <c r="O519" s="243"/>
      <c r="P519" s="243"/>
      <c r="Q519" s="243"/>
      <c r="R519" s="243"/>
      <c r="S519" s="243"/>
      <c r="T519" s="243"/>
      <c r="U519" s="243"/>
    </row>
    <row r="520">
      <c r="A520" s="15"/>
      <c r="B520" s="15"/>
      <c r="C520" s="15"/>
      <c r="D520" s="15"/>
      <c r="E520" s="15"/>
      <c r="F520" s="15"/>
      <c r="G520" s="15"/>
      <c r="H520" s="15"/>
      <c r="I520" s="15"/>
      <c r="J520" s="243"/>
      <c r="K520" s="15"/>
      <c r="L520" s="15"/>
      <c r="M520" s="15"/>
      <c r="N520" s="15"/>
      <c r="O520" s="243"/>
      <c r="P520" s="243"/>
      <c r="Q520" s="243"/>
      <c r="R520" s="243"/>
      <c r="S520" s="243"/>
      <c r="T520" s="243"/>
      <c r="U520" s="243"/>
    </row>
    <row r="521">
      <c r="A521" s="15"/>
      <c r="B521" s="15"/>
      <c r="C521" s="15"/>
      <c r="D521" s="15"/>
      <c r="E521" s="15"/>
      <c r="F521" s="15"/>
      <c r="G521" s="15"/>
      <c r="H521" s="15"/>
      <c r="I521" s="15"/>
      <c r="J521" s="243"/>
      <c r="K521" s="15"/>
      <c r="L521" s="15"/>
      <c r="M521" s="15"/>
      <c r="N521" s="15"/>
      <c r="O521" s="243"/>
      <c r="P521" s="243"/>
      <c r="Q521" s="243"/>
      <c r="R521" s="243"/>
      <c r="S521" s="243"/>
      <c r="T521" s="243"/>
      <c r="U521" s="243"/>
    </row>
    <row r="522">
      <c r="A522" s="15"/>
      <c r="B522" s="15"/>
      <c r="C522" s="15"/>
      <c r="D522" s="15"/>
      <c r="E522" s="15"/>
      <c r="F522" s="15"/>
      <c r="G522" s="15"/>
      <c r="H522" s="15"/>
      <c r="I522" s="15"/>
      <c r="J522" s="243"/>
      <c r="K522" s="15"/>
      <c r="L522" s="15"/>
      <c r="M522" s="15"/>
      <c r="N522" s="15"/>
      <c r="O522" s="243"/>
      <c r="P522" s="243"/>
      <c r="Q522" s="243"/>
      <c r="R522" s="243"/>
      <c r="S522" s="243"/>
      <c r="T522" s="243"/>
      <c r="U522" s="243"/>
    </row>
    <row r="523">
      <c r="A523" s="15"/>
      <c r="B523" s="15"/>
      <c r="C523" s="15"/>
      <c r="D523" s="15"/>
      <c r="E523" s="15"/>
      <c r="F523" s="15"/>
      <c r="G523" s="15"/>
      <c r="H523" s="15"/>
      <c r="I523" s="15"/>
      <c r="J523" s="243"/>
      <c r="K523" s="15"/>
      <c r="L523" s="15"/>
      <c r="M523" s="15"/>
      <c r="N523" s="15"/>
      <c r="O523" s="243"/>
      <c r="P523" s="243"/>
      <c r="Q523" s="243"/>
      <c r="R523" s="243"/>
      <c r="S523" s="243"/>
      <c r="T523" s="243"/>
      <c r="U523" s="243"/>
    </row>
    <row r="524">
      <c r="A524" s="15"/>
      <c r="B524" s="15"/>
      <c r="C524" s="15"/>
      <c r="D524" s="15"/>
      <c r="E524" s="15"/>
      <c r="F524" s="15"/>
      <c r="G524" s="15"/>
      <c r="H524" s="15"/>
      <c r="I524" s="15"/>
      <c r="J524" s="243"/>
      <c r="K524" s="15"/>
      <c r="L524" s="15"/>
      <c r="M524" s="15"/>
      <c r="N524" s="15"/>
      <c r="O524" s="243"/>
      <c r="P524" s="243"/>
      <c r="Q524" s="243"/>
      <c r="R524" s="243"/>
      <c r="S524" s="243"/>
      <c r="T524" s="243"/>
      <c r="U524" s="243"/>
    </row>
    <row r="525">
      <c r="A525" s="15"/>
      <c r="B525" s="15"/>
      <c r="C525" s="15"/>
      <c r="D525" s="15"/>
      <c r="E525" s="15"/>
      <c r="F525" s="15"/>
      <c r="G525" s="15"/>
      <c r="H525" s="15"/>
      <c r="I525" s="15"/>
      <c r="J525" s="243"/>
      <c r="K525" s="15"/>
      <c r="L525" s="15"/>
      <c r="M525" s="15"/>
      <c r="N525" s="15"/>
      <c r="O525" s="243"/>
      <c r="P525" s="243"/>
      <c r="Q525" s="243"/>
      <c r="R525" s="243"/>
      <c r="S525" s="243"/>
      <c r="T525" s="243"/>
      <c r="U525" s="243"/>
    </row>
    <row r="526">
      <c r="A526" s="15"/>
      <c r="B526" s="15"/>
      <c r="C526" s="15"/>
      <c r="D526" s="15"/>
      <c r="E526" s="15"/>
      <c r="F526" s="15"/>
      <c r="G526" s="15"/>
      <c r="H526" s="15"/>
      <c r="I526" s="15"/>
      <c r="J526" s="243"/>
      <c r="K526" s="15"/>
      <c r="L526" s="15"/>
      <c r="M526" s="15"/>
      <c r="N526" s="15"/>
      <c r="O526" s="243"/>
      <c r="P526" s="243"/>
      <c r="Q526" s="243"/>
      <c r="R526" s="243"/>
      <c r="S526" s="243"/>
      <c r="T526" s="243"/>
      <c r="U526" s="243"/>
    </row>
    <row r="527">
      <c r="A527" s="15"/>
      <c r="B527" s="15"/>
      <c r="C527" s="15"/>
      <c r="D527" s="15"/>
      <c r="E527" s="15"/>
      <c r="F527" s="15"/>
      <c r="G527" s="15"/>
      <c r="H527" s="15"/>
      <c r="I527" s="15"/>
      <c r="J527" s="243"/>
      <c r="K527" s="15"/>
      <c r="L527" s="15"/>
      <c r="M527" s="15"/>
      <c r="N527" s="15"/>
      <c r="O527" s="243"/>
      <c r="P527" s="243"/>
      <c r="Q527" s="243"/>
      <c r="R527" s="243"/>
      <c r="S527" s="243"/>
      <c r="T527" s="243"/>
      <c r="U527" s="243"/>
    </row>
    <row r="528">
      <c r="A528" s="15"/>
      <c r="B528" s="15"/>
      <c r="C528" s="15"/>
      <c r="D528" s="15"/>
      <c r="E528" s="15"/>
      <c r="F528" s="15"/>
      <c r="G528" s="15"/>
      <c r="H528" s="15"/>
      <c r="I528" s="15"/>
      <c r="J528" s="243"/>
      <c r="K528" s="15"/>
      <c r="L528" s="15"/>
      <c r="M528" s="15"/>
      <c r="N528" s="15"/>
      <c r="O528" s="243"/>
      <c r="P528" s="243"/>
      <c r="Q528" s="243"/>
      <c r="R528" s="243"/>
      <c r="S528" s="243"/>
      <c r="T528" s="243"/>
      <c r="U528" s="243"/>
    </row>
    <row r="529">
      <c r="A529" s="15"/>
      <c r="B529" s="15"/>
      <c r="C529" s="15"/>
      <c r="D529" s="15"/>
      <c r="E529" s="15"/>
      <c r="F529" s="15"/>
      <c r="G529" s="15"/>
      <c r="H529" s="15"/>
      <c r="I529" s="15"/>
      <c r="J529" s="243"/>
      <c r="K529" s="15"/>
      <c r="L529" s="15"/>
      <c r="M529" s="15"/>
      <c r="N529" s="15"/>
      <c r="O529" s="243"/>
      <c r="P529" s="243"/>
      <c r="Q529" s="243"/>
      <c r="R529" s="243"/>
      <c r="S529" s="243"/>
      <c r="T529" s="243"/>
      <c r="U529" s="243"/>
    </row>
    <row r="530">
      <c r="A530" s="15"/>
      <c r="B530" s="15"/>
      <c r="C530" s="15"/>
      <c r="D530" s="15"/>
      <c r="E530" s="15"/>
      <c r="F530" s="15"/>
      <c r="G530" s="15"/>
      <c r="H530" s="15"/>
      <c r="I530" s="15"/>
      <c r="J530" s="243"/>
      <c r="K530" s="15"/>
      <c r="L530" s="15"/>
      <c r="M530" s="15"/>
      <c r="N530" s="15"/>
      <c r="O530" s="243"/>
      <c r="P530" s="243"/>
      <c r="Q530" s="243"/>
      <c r="R530" s="243"/>
      <c r="S530" s="243"/>
      <c r="T530" s="243"/>
      <c r="U530" s="243"/>
    </row>
    <row r="531">
      <c r="A531" s="15"/>
      <c r="B531" s="15"/>
      <c r="C531" s="15"/>
      <c r="D531" s="15"/>
      <c r="E531" s="15"/>
      <c r="F531" s="15"/>
      <c r="G531" s="15"/>
      <c r="H531" s="15"/>
      <c r="I531" s="15"/>
      <c r="J531" s="243"/>
      <c r="K531" s="15"/>
      <c r="L531" s="15"/>
      <c r="M531" s="15"/>
      <c r="N531" s="15"/>
      <c r="O531" s="243"/>
      <c r="P531" s="243"/>
      <c r="Q531" s="243"/>
      <c r="R531" s="243"/>
      <c r="S531" s="243"/>
      <c r="T531" s="243"/>
      <c r="U531" s="243"/>
    </row>
    <row r="532">
      <c r="A532" s="15"/>
      <c r="B532" s="15"/>
      <c r="C532" s="15"/>
      <c r="D532" s="15"/>
      <c r="E532" s="15"/>
      <c r="F532" s="15"/>
      <c r="G532" s="15"/>
      <c r="H532" s="15"/>
      <c r="I532" s="15"/>
      <c r="J532" s="243"/>
      <c r="K532" s="15"/>
      <c r="L532" s="15"/>
      <c r="M532" s="15"/>
      <c r="N532" s="15"/>
      <c r="O532" s="243"/>
      <c r="P532" s="243"/>
      <c r="Q532" s="243"/>
      <c r="R532" s="243"/>
      <c r="S532" s="243"/>
      <c r="T532" s="243"/>
      <c r="U532" s="243"/>
    </row>
    <row r="533">
      <c r="A533" s="15"/>
      <c r="B533" s="15"/>
      <c r="C533" s="15"/>
      <c r="D533" s="15"/>
      <c r="E533" s="15"/>
      <c r="F533" s="15"/>
      <c r="G533" s="15"/>
      <c r="H533" s="15"/>
      <c r="I533" s="15"/>
      <c r="J533" s="243"/>
      <c r="K533" s="15"/>
      <c r="L533" s="15"/>
      <c r="M533" s="15"/>
      <c r="N533" s="15"/>
      <c r="O533" s="243"/>
      <c r="P533" s="243"/>
      <c r="Q533" s="243"/>
      <c r="R533" s="243"/>
      <c r="S533" s="243"/>
      <c r="T533" s="243"/>
      <c r="U533" s="243"/>
    </row>
    <row r="534">
      <c r="A534" s="15"/>
      <c r="B534" s="15"/>
      <c r="C534" s="15"/>
      <c r="D534" s="15"/>
      <c r="E534" s="15"/>
      <c r="F534" s="15"/>
      <c r="G534" s="15"/>
      <c r="H534" s="15"/>
      <c r="I534" s="15"/>
      <c r="J534" s="243"/>
      <c r="K534" s="15"/>
      <c r="L534" s="15"/>
      <c r="M534" s="15"/>
      <c r="N534" s="15"/>
      <c r="O534" s="243"/>
      <c r="P534" s="243"/>
      <c r="Q534" s="243"/>
      <c r="R534" s="243"/>
      <c r="S534" s="243"/>
      <c r="T534" s="243"/>
      <c r="U534" s="243"/>
    </row>
    <row r="535">
      <c r="A535" s="15"/>
      <c r="B535" s="15"/>
      <c r="C535" s="15"/>
      <c r="D535" s="15"/>
      <c r="E535" s="15"/>
      <c r="F535" s="15"/>
      <c r="G535" s="15"/>
      <c r="H535" s="15"/>
      <c r="I535" s="15"/>
      <c r="J535" s="243"/>
      <c r="K535" s="15"/>
      <c r="L535" s="15"/>
      <c r="M535" s="15"/>
      <c r="N535" s="15"/>
      <c r="O535" s="243"/>
      <c r="P535" s="243"/>
      <c r="Q535" s="243"/>
      <c r="R535" s="243"/>
      <c r="S535" s="243"/>
      <c r="T535" s="243"/>
      <c r="U535" s="243"/>
    </row>
    <row r="536">
      <c r="A536" s="15"/>
      <c r="B536" s="15"/>
      <c r="C536" s="15"/>
      <c r="D536" s="15"/>
      <c r="E536" s="15"/>
      <c r="F536" s="15"/>
      <c r="G536" s="15"/>
      <c r="H536" s="15"/>
      <c r="I536" s="15"/>
      <c r="J536" s="243"/>
      <c r="K536" s="15"/>
      <c r="L536" s="15"/>
      <c r="M536" s="15"/>
      <c r="N536" s="15"/>
      <c r="O536" s="243"/>
      <c r="P536" s="243"/>
      <c r="Q536" s="243"/>
      <c r="R536" s="243"/>
      <c r="S536" s="243"/>
      <c r="T536" s="243"/>
      <c r="U536" s="243"/>
    </row>
    <row r="537">
      <c r="A537" s="15"/>
      <c r="B537" s="15"/>
      <c r="C537" s="15"/>
      <c r="D537" s="15"/>
      <c r="E537" s="15"/>
      <c r="F537" s="15"/>
      <c r="G537" s="15"/>
      <c r="H537" s="15"/>
      <c r="I537" s="15"/>
      <c r="J537" s="243"/>
      <c r="K537" s="15"/>
      <c r="L537" s="15"/>
      <c r="M537" s="15"/>
      <c r="N537" s="15"/>
      <c r="O537" s="243"/>
      <c r="P537" s="243"/>
      <c r="Q537" s="243"/>
      <c r="R537" s="243"/>
      <c r="S537" s="243"/>
      <c r="T537" s="243"/>
      <c r="U537" s="243"/>
    </row>
    <row r="538">
      <c r="A538" s="15"/>
      <c r="B538" s="15"/>
      <c r="C538" s="15"/>
      <c r="D538" s="15"/>
      <c r="E538" s="15"/>
      <c r="F538" s="15"/>
      <c r="G538" s="15"/>
      <c r="H538" s="15"/>
      <c r="I538" s="15"/>
      <c r="J538" s="243"/>
      <c r="K538" s="15"/>
      <c r="L538" s="15"/>
      <c r="M538" s="15"/>
      <c r="N538" s="15"/>
      <c r="O538" s="243"/>
      <c r="P538" s="243"/>
      <c r="Q538" s="243"/>
      <c r="R538" s="243"/>
      <c r="S538" s="243"/>
      <c r="T538" s="243"/>
      <c r="U538" s="243"/>
    </row>
    <row r="539">
      <c r="A539" s="15"/>
      <c r="B539" s="15"/>
      <c r="C539" s="15"/>
      <c r="D539" s="15"/>
      <c r="E539" s="15"/>
      <c r="F539" s="15"/>
      <c r="G539" s="15"/>
      <c r="H539" s="15"/>
      <c r="I539" s="15"/>
      <c r="J539" s="243"/>
      <c r="K539" s="15"/>
      <c r="L539" s="15"/>
      <c r="M539" s="15"/>
      <c r="N539" s="15"/>
      <c r="O539" s="243"/>
      <c r="P539" s="243"/>
      <c r="Q539" s="243"/>
      <c r="R539" s="243"/>
      <c r="S539" s="243"/>
      <c r="T539" s="243"/>
      <c r="U539" s="243"/>
    </row>
    <row r="540">
      <c r="A540" s="15"/>
      <c r="B540" s="15"/>
      <c r="C540" s="15"/>
      <c r="D540" s="15"/>
      <c r="E540" s="15"/>
      <c r="F540" s="15"/>
      <c r="G540" s="15"/>
      <c r="H540" s="15"/>
      <c r="I540" s="15"/>
      <c r="J540" s="243"/>
      <c r="K540" s="15"/>
      <c r="L540" s="15"/>
      <c r="M540" s="15"/>
      <c r="N540" s="15"/>
      <c r="O540" s="243"/>
      <c r="P540" s="243"/>
      <c r="Q540" s="243"/>
      <c r="R540" s="243"/>
      <c r="S540" s="243"/>
      <c r="T540" s="243"/>
      <c r="U540" s="243"/>
    </row>
    <row r="541">
      <c r="A541" s="15"/>
      <c r="B541" s="15"/>
      <c r="C541" s="15"/>
      <c r="D541" s="15"/>
      <c r="E541" s="15"/>
      <c r="F541" s="15"/>
      <c r="G541" s="15"/>
      <c r="H541" s="15"/>
      <c r="I541" s="15"/>
      <c r="J541" s="243"/>
      <c r="K541" s="15"/>
      <c r="L541" s="15"/>
      <c r="M541" s="15"/>
      <c r="N541" s="15"/>
      <c r="O541" s="243"/>
      <c r="P541" s="243"/>
      <c r="Q541" s="243"/>
      <c r="R541" s="243"/>
      <c r="S541" s="243"/>
      <c r="T541" s="243"/>
      <c r="U541" s="243"/>
    </row>
    <row r="542">
      <c r="A542" s="15"/>
      <c r="B542" s="15"/>
      <c r="C542" s="15"/>
      <c r="D542" s="15"/>
      <c r="E542" s="15"/>
      <c r="F542" s="15"/>
      <c r="G542" s="15"/>
      <c r="H542" s="15"/>
      <c r="I542" s="15"/>
      <c r="J542" s="243"/>
      <c r="K542" s="15"/>
      <c r="L542" s="15"/>
      <c r="M542" s="15"/>
      <c r="N542" s="15"/>
      <c r="O542" s="243"/>
      <c r="P542" s="243"/>
      <c r="Q542" s="243"/>
      <c r="R542" s="243"/>
      <c r="S542" s="243"/>
      <c r="T542" s="243"/>
      <c r="U542" s="243"/>
    </row>
    <row r="543">
      <c r="A543" s="15"/>
      <c r="B543" s="15"/>
      <c r="C543" s="15"/>
      <c r="D543" s="15"/>
      <c r="E543" s="15"/>
      <c r="F543" s="15"/>
      <c r="G543" s="15"/>
      <c r="H543" s="15"/>
      <c r="I543" s="15"/>
      <c r="J543" s="243"/>
      <c r="K543" s="15"/>
      <c r="L543" s="15"/>
      <c r="M543" s="15"/>
      <c r="N543" s="15"/>
      <c r="O543" s="243"/>
      <c r="P543" s="243"/>
      <c r="Q543" s="243"/>
      <c r="R543" s="243"/>
      <c r="S543" s="243"/>
      <c r="T543" s="243"/>
      <c r="U543" s="243"/>
    </row>
    <row r="544">
      <c r="A544" s="15"/>
      <c r="B544" s="15"/>
      <c r="C544" s="15"/>
      <c r="D544" s="15"/>
      <c r="E544" s="15"/>
      <c r="F544" s="15"/>
      <c r="G544" s="15"/>
      <c r="H544" s="15"/>
      <c r="I544" s="15"/>
      <c r="J544" s="243"/>
      <c r="K544" s="15"/>
      <c r="L544" s="15"/>
      <c r="M544" s="15"/>
      <c r="N544" s="15"/>
      <c r="O544" s="243"/>
      <c r="P544" s="243"/>
      <c r="Q544" s="243"/>
      <c r="R544" s="243"/>
      <c r="S544" s="243"/>
      <c r="T544" s="243"/>
      <c r="U544" s="243"/>
    </row>
    <row r="545">
      <c r="A545" s="15"/>
      <c r="B545" s="15"/>
      <c r="C545" s="15"/>
      <c r="D545" s="15"/>
      <c r="E545" s="15"/>
      <c r="F545" s="15"/>
      <c r="G545" s="15"/>
      <c r="H545" s="15"/>
      <c r="I545" s="15"/>
      <c r="J545" s="243"/>
      <c r="K545" s="15"/>
      <c r="L545" s="15"/>
      <c r="M545" s="15"/>
      <c r="N545" s="15"/>
      <c r="O545" s="243"/>
      <c r="P545" s="243"/>
      <c r="Q545" s="243"/>
      <c r="R545" s="243"/>
      <c r="S545" s="243"/>
      <c r="T545" s="243"/>
      <c r="U545" s="243"/>
    </row>
    <row r="546">
      <c r="A546" s="15"/>
      <c r="B546" s="15"/>
      <c r="C546" s="15"/>
      <c r="D546" s="15"/>
      <c r="E546" s="15"/>
      <c r="F546" s="15"/>
      <c r="G546" s="15"/>
      <c r="H546" s="15"/>
      <c r="I546" s="15"/>
      <c r="J546" s="243"/>
      <c r="K546" s="15"/>
      <c r="L546" s="15"/>
      <c r="M546" s="15"/>
      <c r="N546" s="15"/>
      <c r="O546" s="243"/>
      <c r="P546" s="243"/>
      <c r="Q546" s="243"/>
      <c r="R546" s="243"/>
      <c r="S546" s="243"/>
      <c r="T546" s="243"/>
      <c r="U546" s="243"/>
    </row>
    <row r="547">
      <c r="A547" s="15"/>
      <c r="B547" s="15"/>
      <c r="C547" s="15"/>
      <c r="D547" s="15"/>
      <c r="E547" s="15"/>
      <c r="F547" s="15"/>
      <c r="G547" s="15"/>
      <c r="H547" s="15"/>
      <c r="I547" s="15"/>
      <c r="J547" s="243"/>
      <c r="K547" s="15"/>
      <c r="L547" s="15"/>
      <c r="M547" s="15"/>
      <c r="N547" s="15"/>
      <c r="O547" s="243"/>
      <c r="P547" s="243"/>
      <c r="Q547" s="243"/>
      <c r="R547" s="243"/>
      <c r="S547" s="243"/>
      <c r="T547" s="243"/>
      <c r="U547" s="243"/>
    </row>
    <row r="548">
      <c r="A548" s="15"/>
      <c r="B548" s="15"/>
      <c r="C548" s="15"/>
      <c r="D548" s="15"/>
      <c r="E548" s="15"/>
      <c r="F548" s="15"/>
      <c r="G548" s="15"/>
      <c r="H548" s="15"/>
      <c r="I548" s="15"/>
      <c r="J548" s="243"/>
      <c r="K548" s="15"/>
      <c r="L548" s="15"/>
      <c r="M548" s="15"/>
      <c r="N548" s="15"/>
      <c r="O548" s="243"/>
      <c r="P548" s="243"/>
      <c r="Q548" s="243"/>
      <c r="R548" s="243"/>
      <c r="S548" s="243"/>
      <c r="T548" s="243"/>
      <c r="U548" s="243"/>
    </row>
    <row r="549">
      <c r="A549" s="15"/>
      <c r="B549" s="15"/>
      <c r="C549" s="15"/>
      <c r="D549" s="15"/>
      <c r="E549" s="15"/>
      <c r="F549" s="15"/>
      <c r="G549" s="15"/>
      <c r="H549" s="15"/>
      <c r="I549" s="15"/>
      <c r="J549" s="243"/>
      <c r="K549" s="15"/>
      <c r="L549" s="15"/>
      <c r="M549" s="15"/>
      <c r="N549" s="15"/>
      <c r="O549" s="243"/>
      <c r="P549" s="243"/>
      <c r="Q549" s="243"/>
      <c r="R549" s="243"/>
      <c r="S549" s="243"/>
      <c r="T549" s="243"/>
      <c r="U549" s="243"/>
    </row>
    <row r="550">
      <c r="A550" s="15"/>
      <c r="B550" s="15"/>
      <c r="C550" s="15"/>
      <c r="D550" s="15"/>
      <c r="E550" s="15"/>
      <c r="F550" s="15"/>
      <c r="G550" s="15"/>
      <c r="H550" s="15"/>
      <c r="I550" s="15"/>
      <c r="J550" s="243"/>
      <c r="K550" s="15"/>
      <c r="L550" s="15"/>
      <c r="M550" s="15"/>
      <c r="N550" s="15"/>
      <c r="O550" s="243"/>
      <c r="P550" s="243"/>
      <c r="Q550" s="243"/>
      <c r="R550" s="243"/>
      <c r="S550" s="243"/>
      <c r="T550" s="243"/>
      <c r="U550" s="243"/>
    </row>
    <row r="551">
      <c r="A551" s="15"/>
      <c r="B551" s="15"/>
      <c r="C551" s="15"/>
      <c r="D551" s="15"/>
      <c r="E551" s="15"/>
      <c r="F551" s="15"/>
      <c r="G551" s="15"/>
      <c r="H551" s="15"/>
      <c r="I551" s="15"/>
      <c r="J551" s="243"/>
      <c r="K551" s="15"/>
      <c r="L551" s="15"/>
      <c r="M551" s="15"/>
      <c r="N551" s="15"/>
      <c r="O551" s="243"/>
      <c r="P551" s="243"/>
      <c r="Q551" s="243"/>
      <c r="R551" s="243"/>
      <c r="S551" s="243"/>
      <c r="T551" s="243"/>
      <c r="U551" s="243"/>
    </row>
    <row r="552">
      <c r="A552" s="15"/>
      <c r="B552" s="15"/>
      <c r="C552" s="15"/>
      <c r="D552" s="15"/>
      <c r="E552" s="15"/>
      <c r="F552" s="15"/>
      <c r="G552" s="15"/>
      <c r="H552" s="15"/>
      <c r="I552" s="15"/>
      <c r="J552" s="243"/>
      <c r="K552" s="15"/>
      <c r="L552" s="15"/>
      <c r="M552" s="15"/>
      <c r="N552" s="15"/>
      <c r="O552" s="243"/>
      <c r="P552" s="243"/>
      <c r="Q552" s="243"/>
      <c r="R552" s="243"/>
      <c r="S552" s="243"/>
      <c r="T552" s="243"/>
      <c r="U552" s="243"/>
    </row>
    <row r="553">
      <c r="A553" s="15"/>
      <c r="B553" s="15"/>
      <c r="C553" s="15"/>
      <c r="D553" s="15"/>
      <c r="E553" s="15"/>
      <c r="F553" s="15"/>
      <c r="G553" s="15"/>
      <c r="H553" s="15"/>
      <c r="I553" s="15"/>
      <c r="J553" s="243"/>
      <c r="K553" s="15"/>
      <c r="L553" s="15"/>
      <c r="M553" s="15"/>
      <c r="N553" s="15"/>
      <c r="O553" s="243"/>
      <c r="P553" s="243"/>
      <c r="Q553" s="243"/>
      <c r="R553" s="243"/>
      <c r="S553" s="243"/>
      <c r="T553" s="243"/>
      <c r="U553" s="243"/>
    </row>
    <row r="554">
      <c r="A554" s="15"/>
      <c r="B554" s="15"/>
      <c r="C554" s="15"/>
      <c r="D554" s="15"/>
      <c r="E554" s="15"/>
      <c r="F554" s="15"/>
      <c r="G554" s="15"/>
      <c r="H554" s="15"/>
      <c r="I554" s="15"/>
      <c r="J554" s="243"/>
      <c r="K554" s="15"/>
      <c r="L554" s="15"/>
      <c r="M554" s="15"/>
      <c r="N554" s="15"/>
      <c r="O554" s="243"/>
      <c r="P554" s="243"/>
      <c r="Q554" s="243"/>
      <c r="R554" s="243"/>
      <c r="S554" s="243"/>
      <c r="T554" s="243"/>
      <c r="U554" s="243"/>
    </row>
    <row r="555">
      <c r="A555" s="15"/>
      <c r="B555" s="15"/>
      <c r="C555" s="15"/>
      <c r="D555" s="15"/>
      <c r="E555" s="15"/>
      <c r="F555" s="15"/>
      <c r="G555" s="15"/>
      <c r="H555" s="15"/>
      <c r="I555" s="15"/>
      <c r="J555" s="243"/>
      <c r="K555" s="15"/>
      <c r="L555" s="15"/>
      <c r="M555" s="15"/>
      <c r="N555" s="15"/>
      <c r="O555" s="243"/>
      <c r="P555" s="243"/>
      <c r="Q555" s="243"/>
      <c r="R555" s="243"/>
      <c r="S555" s="243"/>
      <c r="T555" s="243"/>
      <c r="U555" s="243"/>
    </row>
    <row r="556">
      <c r="A556" s="15"/>
      <c r="B556" s="15"/>
      <c r="C556" s="15"/>
      <c r="D556" s="15"/>
      <c r="E556" s="15"/>
      <c r="F556" s="15"/>
      <c r="G556" s="15"/>
      <c r="H556" s="15"/>
      <c r="I556" s="15"/>
      <c r="J556" s="243"/>
      <c r="K556" s="15"/>
      <c r="L556" s="15"/>
      <c r="M556" s="15"/>
      <c r="N556" s="15"/>
      <c r="O556" s="243"/>
      <c r="P556" s="243"/>
      <c r="Q556" s="243"/>
      <c r="R556" s="243"/>
      <c r="S556" s="243"/>
      <c r="T556" s="243"/>
      <c r="U556" s="243"/>
    </row>
    <row r="557">
      <c r="A557" s="15"/>
      <c r="B557" s="15"/>
      <c r="C557" s="15"/>
      <c r="D557" s="15"/>
      <c r="E557" s="15"/>
      <c r="F557" s="15"/>
      <c r="G557" s="15"/>
      <c r="H557" s="15"/>
      <c r="I557" s="15"/>
      <c r="J557" s="243"/>
      <c r="K557" s="15"/>
      <c r="L557" s="15"/>
      <c r="M557" s="15"/>
      <c r="N557" s="15"/>
      <c r="O557" s="243"/>
      <c r="P557" s="243"/>
      <c r="Q557" s="243"/>
      <c r="R557" s="243"/>
      <c r="S557" s="243"/>
      <c r="T557" s="243"/>
      <c r="U557" s="243"/>
    </row>
    <row r="558">
      <c r="A558" s="15"/>
      <c r="B558" s="15"/>
      <c r="C558" s="15"/>
      <c r="D558" s="15"/>
      <c r="E558" s="15"/>
      <c r="F558" s="15"/>
      <c r="G558" s="15"/>
      <c r="H558" s="15"/>
      <c r="I558" s="15"/>
      <c r="J558" s="243"/>
      <c r="K558" s="15"/>
      <c r="L558" s="15"/>
      <c r="M558" s="15"/>
      <c r="N558" s="15"/>
      <c r="O558" s="243"/>
      <c r="P558" s="243"/>
      <c r="Q558" s="243"/>
      <c r="R558" s="243"/>
      <c r="S558" s="243"/>
      <c r="T558" s="243"/>
      <c r="U558" s="243"/>
    </row>
    <row r="559">
      <c r="A559" s="15"/>
      <c r="B559" s="15"/>
      <c r="C559" s="15"/>
      <c r="D559" s="15"/>
      <c r="E559" s="15"/>
      <c r="F559" s="15"/>
      <c r="G559" s="15"/>
      <c r="H559" s="15"/>
      <c r="I559" s="15"/>
      <c r="J559" s="243"/>
      <c r="K559" s="15"/>
      <c r="L559" s="15"/>
      <c r="M559" s="15"/>
      <c r="N559" s="15"/>
      <c r="O559" s="243"/>
      <c r="P559" s="243"/>
      <c r="Q559" s="243"/>
      <c r="R559" s="243"/>
      <c r="S559" s="243"/>
      <c r="T559" s="243"/>
      <c r="U559" s="243"/>
    </row>
    <row r="560">
      <c r="A560" s="15"/>
      <c r="B560" s="15"/>
      <c r="C560" s="15"/>
      <c r="D560" s="15"/>
      <c r="E560" s="15"/>
      <c r="F560" s="15"/>
      <c r="G560" s="15"/>
      <c r="H560" s="15"/>
      <c r="I560" s="15"/>
      <c r="J560" s="243"/>
      <c r="K560" s="15"/>
      <c r="L560" s="15"/>
      <c r="M560" s="15"/>
      <c r="N560" s="15"/>
      <c r="O560" s="243"/>
      <c r="P560" s="243"/>
      <c r="Q560" s="243"/>
      <c r="R560" s="243"/>
      <c r="S560" s="243"/>
      <c r="T560" s="243"/>
      <c r="U560" s="243"/>
    </row>
    <row r="561">
      <c r="A561" s="15"/>
      <c r="B561" s="15"/>
      <c r="C561" s="15"/>
      <c r="D561" s="15"/>
      <c r="E561" s="15"/>
      <c r="F561" s="15"/>
      <c r="G561" s="15"/>
      <c r="H561" s="15"/>
      <c r="I561" s="15"/>
      <c r="J561" s="243"/>
      <c r="K561" s="15"/>
      <c r="L561" s="15"/>
      <c r="M561" s="15"/>
      <c r="N561" s="15"/>
      <c r="O561" s="243"/>
      <c r="P561" s="243"/>
      <c r="Q561" s="243"/>
      <c r="R561" s="243"/>
      <c r="S561" s="243"/>
      <c r="T561" s="243"/>
      <c r="U561" s="243"/>
    </row>
    <row r="562">
      <c r="A562" s="15"/>
      <c r="B562" s="15"/>
      <c r="C562" s="15"/>
      <c r="D562" s="15"/>
      <c r="E562" s="15"/>
      <c r="F562" s="15"/>
      <c r="G562" s="15"/>
      <c r="H562" s="15"/>
      <c r="I562" s="15"/>
      <c r="J562" s="243"/>
      <c r="K562" s="15"/>
      <c r="L562" s="15"/>
      <c r="M562" s="15"/>
      <c r="N562" s="15"/>
      <c r="O562" s="243"/>
      <c r="P562" s="243"/>
      <c r="Q562" s="243"/>
      <c r="R562" s="243"/>
      <c r="S562" s="243"/>
      <c r="T562" s="243"/>
      <c r="U562" s="243"/>
    </row>
    <row r="563">
      <c r="A563" s="15"/>
      <c r="B563" s="15"/>
      <c r="C563" s="15"/>
      <c r="D563" s="15"/>
      <c r="E563" s="15"/>
      <c r="F563" s="15"/>
      <c r="G563" s="15"/>
      <c r="H563" s="15"/>
      <c r="I563" s="15"/>
      <c r="J563" s="243"/>
      <c r="K563" s="15"/>
      <c r="L563" s="15"/>
      <c r="M563" s="15"/>
      <c r="N563" s="15"/>
      <c r="O563" s="243"/>
      <c r="P563" s="243"/>
      <c r="Q563" s="243"/>
      <c r="R563" s="243"/>
      <c r="S563" s="243"/>
      <c r="T563" s="243"/>
      <c r="U563" s="243"/>
    </row>
    <row r="564">
      <c r="A564" s="15"/>
      <c r="B564" s="15"/>
      <c r="C564" s="15"/>
      <c r="D564" s="15"/>
      <c r="E564" s="15"/>
      <c r="F564" s="15"/>
      <c r="G564" s="15"/>
      <c r="H564" s="15"/>
      <c r="I564" s="15"/>
      <c r="J564" s="243"/>
      <c r="K564" s="15"/>
      <c r="L564" s="15"/>
      <c r="M564" s="15"/>
      <c r="N564" s="15"/>
      <c r="O564" s="243"/>
      <c r="P564" s="243"/>
      <c r="Q564" s="243"/>
      <c r="R564" s="243"/>
      <c r="S564" s="243"/>
      <c r="T564" s="243"/>
      <c r="U564" s="243"/>
    </row>
    <row r="565">
      <c r="A565" s="15"/>
      <c r="B565" s="15"/>
      <c r="C565" s="15"/>
      <c r="D565" s="15"/>
      <c r="E565" s="15"/>
      <c r="F565" s="15"/>
      <c r="G565" s="15"/>
      <c r="H565" s="15"/>
      <c r="I565" s="15"/>
      <c r="J565" s="243"/>
      <c r="K565" s="15"/>
      <c r="L565" s="15"/>
      <c r="M565" s="15"/>
      <c r="N565" s="15"/>
      <c r="O565" s="243"/>
      <c r="P565" s="243"/>
      <c r="Q565" s="243"/>
      <c r="R565" s="243"/>
      <c r="S565" s="243"/>
      <c r="T565" s="243"/>
      <c r="U565" s="243"/>
    </row>
    <row r="566">
      <c r="A566" s="15"/>
      <c r="B566" s="15"/>
      <c r="C566" s="15"/>
      <c r="D566" s="15"/>
      <c r="E566" s="15"/>
      <c r="F566" s="15"/>
      <c r="G566" s="15"/>
      <c r="H566" s="15"/>
      <c r="I566" s="15"/>
      <c r="J566" s="243"/>
      <c r="K566" s="15"/>
      <c r="L566" s="15"/>
      <c r="M566" s="15"/>
      <c r="N566" s="15"/>
      <c r="O566" s="243"/>
      <c r="P566" s="243"/>
      <c r="Q566" s="243"/>
      <c r="R566" s="243"/>
      <c r="S566" s="243"/>
      <c r="T566" s="243"/>
      <c r="U566" s="243"/>
    </row>
    <row r="567">
      <c r="A567" s="15"/>
      <c r="B567" s="15"/>
      <c r="C567" s="15"/>
      <c r="D567" s="15"/>
      <c r="E567" s="15"/>
      <c r="F567" s="15"/>
      <c r="G567" s="15"/>
      <c r="H567" s="15"/>
      <c r="I567" s="15"/>
      <c r="J567" s="243"/>
      <c r="K567" s="15"/>
      <c r="L567" s="15"/>
      <c r="M567" s="15"/>
      <c r="N567" s="15"/>
      <c r="O567" s="243"/>
      <c r="P567" s="243"/>
      <c r="Q567" s="243"/>
      <c r="R567" s="243"/>
      <c r="S567" s="243"/>
      <c r="T567" s="243"/>
      <c r="U567" s="243"/>
    </row>
    <row r="568">
      <c r="A568" s="15"/>
      <c r="B568" s="15"/>
      <c r="C568" s="15"/>
      <c r="D568" s="15"/>
      <c r="E568" s="15"/>
      <c r="F568" s="15"/>
      <c r="G568" s="15"/>
      <c r="H568" s="15"/>
      <c r="I568" s="15"/>
      <c r="J568" s="243"/>
      <c r="K568" s="15"/>
      <c r="L568" s="15"/>
      <c r="M568" s="15"/>
      <c r="N568" s="15"/>
      <c r="O568" s="243"/>
      <c r="P568" s="243"/>
      <c r="Q568" s="243"/>
      <c r="R568" s="243"/>
      <c r="S568" s="243"/>
      <c r="T568" s="243"/>
      <c r="U568" s="243"/>
    </row>
    <row r="569">
      <c r="A569" s="15"/>
      <c r="B569" s="15"/>
      <c r="C569" s="15"/>
      <c r="D569" s="15"/>
      <c r="E569" s="15"/>
      <c r="F569" s="15"/>
      <c r="G569" s="15"/>
      <c r="H569" s="15"/>
      <c r="I569" s="15"/>
      <c r="J569" s="243"/>
      <c r="K569" s="15"/>
      <c r="L569" s="15"/>
      <c r="M569" s="15"/>
      <c r="N569" s="15"/>
      <c r="O569" s="243"/>
      <c r="P569" s="243"/>
      <c r="Q569" s="243"/>
      <c r="R569" s="243"/>
      <c r="S569" s="243"/>
      <c r="T569" s="243"/>
      <c r="U569" s="243"/>
    </row>
    <row r="570">
      <c r="A570" s="15"/>
      <c r="B570" s="15"/>
      <c r="C570" s="15"/>
      <c r="D570" s="15"/>
      <c r="E570" s="15"/>
      <c r="F570" s="15"/>
      <c r="G570" s="15"/>
      <c r="H570" s="15"/>
      <c r="I570" s="15"/>
      <c r="J570" s="243"/>
      <c r="K570" s="15"/>
      <c r="L570" s="15"/>
      <c r="M570" s="15"/>
      <c r="N570" s="15"/>
      <c r="O570" s="243"/>
      <c r="P570" s="243"/>
      <c r="Q570" s="243"/>
      <c r="R570" s="243"/>
      <c r="S570" s="243"/>
      <c r="T570" s="243"/>
      <c r="U570" s="243"/>
    </row>
    <row r="571">
      <c r="A571" s="15"/>
      <c r="B571" s="15"/>
      <c r="C571" s="15"/>
      <c r="D571" s="15"/>
      <c r="E571" s="15"/>
      <c r="F571" s="15"/>
      <c r="G571" s="15"/>
      <c r="H571" s="15"/>
      <c r="I571" s="15"/>
      <c r="J571" s="243"/>
      <c r="K571" s="15"/>
      <c r="L571" s="15"/>
      <c r="M571" s="15"/>
      <c r="N571" s="15"/>
      <c r="O571" s="243"/>
      <c r="P571" s="243"/>
      <c r="Q571" s="243"/>
      <c r="R571" s="243"/>
      <c r="S571" s="243"/>
      <c r="T571" s="243"/>
      <c r="U571" s="243"/>
    </row>
    <row r="572">
      <c r="A572" s="15"/>
      <c r="B572" s="15"/>
      <c r="C572" s="15"/>
      <c r="D572" s="15"/>
      <c r="E572" s="15"/>
      <c r="F572" s="15"/>
      <c r="G572" s="15"/>
      <c r="H572" s="15"/>
      <c r="I572" s="15"/>
      <c r="J572" s="243"/>
      <c r="K572" s="15"/>
      <c r="L572" s="15"/>
      <c r="M572" s="15"/>
      <c r="N572" s="15"/>
      <c r="O572" s="243"/>
      <c r="P572" s="243"/>
      <c r="Q572" s="243"/>
      <c r="R572" s="243"/>
      <c r="S572" s="243"/>
      <c r="T572" s="243"/>
      <c r="U572" s="243"/>
    </row>
    <row r="573">
      <c r="A573" s="15"/>
      <c r="B573" s="15"/>
      <c r="C573" s="15"/>
      <c r="D573" s="15"/>
      <c r="E573" s="15"/>
      <c r="F573" s="15"/>
      <c r="G573" s="15"/>
      <c r="H573" s="15"/>
      <c r="I573" s="15"/>
      <c r="J573" s="243"/>
      <c r="K573" s="15"/>
      <c r="L573" s="15"/>
      <c r="M573" s="15"/>
      <c r="N573" s="15"/>
      <c r="O573" s="243"/>
      <c r="P573" s="243"/>
      <c r="Q573" s="243"/>
      <c r="R573" s="243"/>
      <c r="S573" s="243"/>
      <c r="T573" s="243"/>
      <c r="U573" s="243"/>
    </row>
    <row r="574">
      <c r="A574" s="15"/>
      <c r="B574" s="15"/>
      <c r="C574" s="15"/>
      <c r="D574" s="15"/>
      <c r="E574" s="15"/>
      <c r="F574" s="15"/>
      <c r="G574" s="15"/>
      <c r="H574" s="15"/>
      <c r="I574" s="15"/>
      <c r="J574" s="243"/>
      <c r="K574" s="15"/>
      <c r="L574" s="15"/>
      <c r="M574" s="15"/>
      <c r="N574" s="15"/>
      <c r="O574" s="243"/>
      <c r="P574" s="243"/>
      <c r="Q574" s="243"/>
      <c r="R574" s="243"/>
      <c r="S574" s="243"/>
      <c r="T574" s="243"/>
      <c r="U574" s="243"/>
    </row>
    <row r="575">
      <c r="A575" s="15"/>
      <c r="B575" s="15"/>
      <c r="C575" s="15"/>
      <c r="D575" s="15"/>
      <c r="E575" s="15"/>
      <c r="F575" s="15"/>
      <c r="G575" s="15"/>
      <c r="H575" s="15"/>
      <c r="I575" s="15"/>
      <c r="J575" s="243"/>
      <c r="K575" s="15"/>
      <c r="L575" s="15"/>
      <c r="M575" s="15"/>
      <c r="N575" s="15"/>
      <c r="O575" s="243"/>
      <c r="P575" s="243"/>
      <c r="Q575" s="243"/>
      <c r="R575" s="243"/>
      <c r="S575" s="243"/>
      <c r="T575" s="243"/>
      <c r="U575" s="243"/>
    </row>
    <row r="576">
      <c r="A576" s="15"/>
      <c r="B576" s="15"/>
      <c r="C576" s="15"/>
      <c r="D576" s="15"/>
      <c r="E576" s="15"/>
      <c r="F576" s="15"/>
      <c r="G576" s="15"/>
      <c r="H576" s="15"/>
      <c r="I576" s="15"/>
      <c r="J576" s="243"/>
      <c r="K576" s="15"/>
      <c r="L576" s="15"/>
      <c r="M576" s="15"/>
      <c r="N576" s="15"/>
      <c r="O576" s="243"/>
      <c r="P576" s="243"/>
      <c r="Q576" s="243"/>
      <c r="R576" s="243"/>
      <c r="S576" s="243"/>
      <c r="T576" s="243"/>
      <c r="U576" s="243"/>
    </row>
    <row r="577">
      <c r="A577" s="15"/>
      <c r="B577" s="15"/>
      <c r="C577" s="15"/>
      <c r="D577" s="15"/>
      <c r="E577" s="15"/>
      <c r="F577" s="15"/>
      <c r="G577" s="15"/>
      <c r="H577" s="15"/>
      <c r="I577" s="15"/>
      <c r="J577" s="243"/>
      <c r="K577" s="15"/>
      <c r="L577" s="15"/>
      <c r="M577" s="15"/>
      <c r="N577" s="15"/>
      <c r="O577" s="243"/>
      <c r="P577" s="243"/>
      <c r="Q577" s="243"/>
      <c r="R577" s="243"/>
      <c r="S577" s="243"/>
      <c r="T577" s="243"/>
      <c r="U577" s="243"/>
    </row>
    <row r="578">
      <c r="A578" s="15"/>
      <c r="B578" s="15"/>
      <c r="C578" s="15"/>
      <c r="D578" s="15"/>
      <c r="E578" s="15"/>
      <c r="F578" s="15"/>
      <c r="G578" s="15"/>
      <c r="H578" s="15"/>
      <c r="I578" s="15"/>
      <c r="J578" s="243"/>
      <c r="K578" s="15"/>
      <c r="L578" s="15"/>
      <c r="M578" s="15"/>
      <c r="N578" s="15"/>
      <c r="O578" s="243"/>
      <c r="P578" s="243"/>
      <c r="Q578" s="243"/>
      <c r="R578" s="243"/>
      <c r="S578" s="243"/>
      <c r="T578" s="243"/>
      <c r="U578" s="243"/>
    </row>
    <row r="579">
      <c r="A579" s="15"/>
      <c r="B579" s="15"/>
      <c r="C579" s="15"/>
      <c r="D579" s="15"/>
      <c r="E579" s="15"/>
      <c r="F579" s="15"/>
      <c r="G579" s="15"/>
      <c r="H579" s="15"/>
      <c r="I579" s="15"/>
      <c r="J579" s="243"/>
      <c r="K579" s="15"/>
      <c r="L579" s="15"/>
      <c r="M579" s="15"/>
      <c r="N579" s="15"/>
      <c r="O579" s="243"/>
      <c r="P579" s="243"/>
      <c r="Q579" s="243"/>
      <c r="R579" s="243"/>
      <c r="S579" s="243"/>
      <c r="T579" s="243"/>
      <c r="U579" s="243"/>
    </row>
    <row r="580">
      <c r="A580" s="15"/>
      <c r="B580" s="15"/>
      <c r="C580" s="15"/>
      <c r="D580" s="15"/>
      <c r="E580" s="15"/>
      <c r="F580" s="15"/>
      <c r="G580" s="15"/>
      <c r="H580" s="15"/>
      <c r="I580" s="15"/>
      <c r="J580" s="243"/>
      <c r="K580" s="15"/>
      <c r="L580" s="15"/>
      <c r="M580" s="15"/>
      <c r="N580" s="15"/>
      <c r="O580" s="243"/>
      <c r="P580" s="243"/>
      <c r="Q580" s="243"/>
      <c r="R580" s="243"/>
      <c r="S580" s="243"/>
      <c r="T580" s="243"/>
      <c r="U580" s="243"/>
    </row>
    <row r="581">
      <c r="A581" s="15"/>
      <c r="B581" s="15"/>
      <c r="C581" s="15"/>
      <c r="D581" s="15"/>
      <c r="E581" s="15"/>
      <c r="F581" s="15"/>
      <c r="G581" s="15"/>
      <c r="H581" s="15"/>
      <c r="I581" s="15"/>
      <c r="J581" s="243"/>
      <c r="K581" s="15"/>
      <c r="L581" s="15"/>
      <c r="M581" s="15"/>
      <c r="N581" s="15"/>
      <c r="O581" s="243"/>
      <c r="P581" s="243"/>
      <c r="Q581" s="243"/>
      <c r="R581" s="243"/>
      <c r="S581" s="243"/>
      <c r="T581" s="243"/>
      <c r="U581" s="243"/>
    </row>
    <row r="582">
      <c r="A582" s="15"/>
      <c r="B582" s="15"/>
      <c r="C582" s="15"/>
      <c r="D582" s="15"/>
      <c r="E582" s="15"/>
      <c r="F582" s="15"/>
      <c r="G582" s="15"/>
      <c r="H582" s="15"/>
      <c r="I582" s="15"/>
      <c r="J582" s="243"/>
      <c r="K582" s="15"/>
      <c r="L582" s="15"/>
      <c r="M582" s="15"/>
      <c r="N582" s="15"/>
      <c r="O582" s="243"/>
      <c r="P582" s="243"/>
      <c r="Q582" s="243"/>
      <c r="R582" s="243"/>
      <c r="S582" s="243"/>
      <c r="T582" s="243"/>
      <c r="U582" s="243"/>
    </row>
    <row r="583">
      <c r="A583" s="15"/>
      <c r="B583" s="15"/>
      <c r="C583" s="15"/>
      <c r="D583" s="15"/>
      <c r="E583" s="15"/>
      <c r="F583" s="15"/>
      <c r="G583" s="15"/>
      <c r="H583" s="15"/>
      <c r="I583" s="15"/>
      <c r="J583" s="243"/>
      <c r="K583" s="15"/>
      <c r="L583" s="15"/>
      <c r="M583" s="15"/>
      <c r="N583" s="15"/>
      <c r="O583" s="243"/>
      <c r="P583" s="243"/>
      <c r="Q583" s="243"/>
      <c r="R583" s="243"/>
      <c r="S583" s="243"/>
      <c r="T583" s="243"/>
      <c r="U583" s="243"/>
    </row>
    <row r="584">
      <c r="A584" s="15"/>
      <c r="B584" s="15"/>
      <c r="C584" s="15"/>
      <c r="D584" s="15"/>
      <c r="E584" s="15"/>
      <c r="F584" s="15"/>
      <c r="G584" s="15"/>
      <c r="H584" s="15"/>
      <c r="I584" s="15"/>
      <c r="J584" s="243"/>
      <c r="K584" s="15"/>
      <c r="L584" s="15"/>
      <c r="M584" s="15"/>
      <c r="N584" s="15"/>
      <c r="O584" s="243"/>
      <c r="P584" s="243"/>
      <c r="Q584" s="243"/>
      <c r="R584" s="243"/>
      <c r="S584" s="243"/>
      <c r="T584" s="243"/>
      <c r="U584" s="243"/>
    </row>
    <row r="585">
      <c r="A585" s="15"/>
      <c r="B585" s="15"/>
      <c r="C585" s="15"/>
      <c r="D585" s="15"/>
      <c r="E585" s="15"/>
      <c r="F585" s="15"/>
      <c r="G585" s="15"/>
      <c r="H585" s="15"/>
      <c r="I585" s="15"/>
      <c r="J585" s="243"/>
      <c r="K585" s="15"/>
      <c r="L585" s="15"/>
      <c r="M585" s="15"/>
      <c r="N585" s="15"/>
      <c r="O585" s="243"/>
      <c r="P585" s="243"/>
      <c r="Q585" s="243"/>
      <c r="R585" s="243"/>
      <c r="S585" s="243"/>
      <c r="T585" s="243"/>
      <c r="U585" s="243"/>
    </row>
    <row r="586">
      <c r="A586" s="15"/>
      <c r="B586" s="15"/>
      <c r="C586" s="15"/>
      <c r="D586" s="15"/>
      <c r="E586" s="15"/>
      <c r="F586" s="15"/>
      <c r="G586" s="15"/>
      <c r="H586" s="15"/>
      <c r="I586" s="15"/>
      <c r="J586" s="243"/>
      <c r="K586" s="15"/>
      <c r="L586" s="15"/>
      <c r="M586" s="15"/>
      <c r="N586" s="15"/>
      <c r="O586" s="243"/>
      <c r="P586" s="243"/>
      <c r="Q586" s="243"/>
      <c r="R586" s="243"/>
      <c r="S586" s="243"/>
      <c r="T586" s="243"/>
      <c r="U586" s="243"/>
    </row>
    <row r="587">
      <c r="A587" s="15"/>
      <c r="B587" s="15"/>
      <c r="C587" s="15"/>
      <c r="D587" s="15"/>
      <c r="E587" s="15"/>
      <c r="F587" s="15"/>
      <c r="G587" s="15"/>
      <c r="H587" s="15"/>
      <c r="I587" s="15"/>
      <c r="J587" s="243"/>
      <c r="K587" s="15"/>
      <c r="L587" s="15"/>
      <c r="M587" s="15"/>
      <c r="N587" s="15"/>
      <c r="O587" s="243"/>
      <c r="P587" s="243"/>
      <c r="Q587" s="243"/>
      <c r="R587" s="243"/>
      <c r="S587" s="243"/>
      <c r="T587" s="243"/>
      <c r="U587" s="243"/>
    </row>
    <row r="588">
      <c r="A588" s="15"/>
      <c r="B588" s="15"/>
      <c r="C588" s="15"/>
      <c r="D588" s="15"/>
      <c r="E588" s="15"/>
      <c r="F588" s="15"/>
      <c r="G588" s="15"/>
      <c r="H588" s="15"/>
      <c r="I588" s="15"/>
      <c r="J588" s="243"/>
      <c r="K588" s="15"/>
      <c r="L588" s="15"/>
      <c r="M588" s="15"/>
      <c r="N588" s="15"/>
      <c r="O588" s="243"/>
      <c r="P588" s="243"/>
      <c r="Q588" s="243"/>
      <c r="R588" s="243"/>
      <c r="S588" s="243"/>
      <c r="T588" s="243"/>
      <c r="U588" s="243"/>
    </row>
    <row r="589">
      <c r="A589" s="15"/>
      <c r="B589" s="15"/>
      <c r="C589" s="15"/>
      <c r="D589" s="15"/>
      <c r="E589" s="15"/>
      <c r="F589" s="15"/>
      <c r="G589" s="15"/>
      <c r="H589" s="15"/>
      <c r="I589" s="15"/>
      <c r="J589" s="243"/>
      <c r="K589" s="15"/>
      <c r="L589" s="15"/>
      <c r="M589" s="15"/>
      <c r="N589" s="15"/>
      <c r="O589" s="243"/>
      <c r="P589" s="243"/>
      <c r="Q589" s="243"/>
      <c r="R589" s="243"/>
      <c r="S589" s="243"/>
      <c r="T589" s="243"/>
      <c r="U589" s="243"/>
    </row>
    <row r="590">
      <c r="A590" s="15"/>
      <c r="B590" s="15"/>
      <c r="C590" s="15"/>
      <c r="D590" s="15"/>
      <c r="E590" s="15"/>
      <c r="F590" s="15"/>
      <c r="G590" s="15"/>
      <c r="H590" s="15"/>
      <c r="I590" s="15"/>
      <c r="J590" s="243"/>
      <c r="K590" s="15"/>
      <c r="L590" s="15"/>
      <c r="M590" s="15"/>
      <c r="N590" s="15"/>
      <c r="O590" s="243"/>
      <c r="P590" s="243"/>
      <c r="Q590" s="243"/>
      <c r="R590" s="243"/>
      <c r="S590" s="243"/>
      <c r="T590" s="243"/>
      <c r="U590" s="243"/>
    </row>
    <row r="591">
      <c r="A591" s="15"/>
      <c r="B591" s="15"/>
      <c r="C591" s="15"/>
      <c r="D591" s="15"/>
      <c r="E591" s="15"/>
      <c r="F591" s="15"/>
      <c r="G591" s="15"/>
      <c r="H591" s="15"/>
      <c r="I591" s="15"/>
      <c r="J591" s="243"/>
      <c r="K591" s="15"/>
      <c r="L591" s="15"/>
      <c r="M591" s="15"/>
      <c r="N591" s="15"/>
      <c r="O591" s="243"/>
      <c r="P591" s="243"/>
      <c r="Q591" s="243"/>
      <c r="R591" s="243"/>
      <c r="S591" s="243"/>
      <c r="T591" s="243"/>
      <c r="U591" s="243"/>
    </row>
    <row r="592">
      <c r="A592" s="15"/>
      <c r="B592" s="15"/>
      <c r="C592" s="15"/>
      <c r="D592" s="15"/>
      <c r="E592" s="15"/>
      <c r="F592" s="15"/>
      <c r="G592" s="15"/>
      <c r="H592" s="15"/>
      <c r="I592" s="15"/>
      <c r="J592" s="243"/>
      <c r="K592" s="15"/>
      <c r="L592" s="15"/>
      <c r="M592" s="15"/>
      <c r="N592" s="15"/>
      <c r="O592" s="243"/>
      <c r="P592" s="243"/>
      <c r="Q592" s="243"/>
      <c r="R592" s="243"/>
      <c r="S592" s="243"/>
      <c r="T592" s="243"/>
      <c r="U592" s="243"/>
    </row>
    <row r="593">
      <c r="A593" s="15"/>
      <c r="B593" s="15"/>
      <c r="C593" s="15"/>
      <c r="D593" s="15"/>
      <c r="E593" s="15"/>
      <c r="F593" s="15"/>
      <c r="G593" s="15"/>
      <c r="H593" s="15"/>
      <c r="I593" s="15"/>
      <c r="J593" s="243"/>
      <c r="K593" s="15"/>
      <c r="L593" s="15"/>
      <c r="M593" s="15"/>
      <c r="N593" s="15"/>
      <c r="O593" s="243"/>
      <c r="P593" s="243"/>
      <c r="Q593" s="243"/>
      <c r="R593" s="243"/>
      <c r="S593" s="243"/>
      <c r="T593" s="243"/>
      <c r="U593" s="243"/>
    </row>
    <row r="594">
      <c r="A594" s="15"/>
      <c r="B594" s="15"/>
      <c r="C594" s="15"/>
      <c r="D594" s="15"/>
      <c r="E594" s="15"/>
      <c r="F594" s="15"/>
      <c r="G594" s="15"/>
      <c r="H594" s="15"/>
      <c r="I594" s="15"/>
      <c r="J594" s="243"/>
      <c r="K594" s="15"/>
      <c r="L594" s="15"/>
      <c r="M594" s="15"/>
      <c r="N594" s="15"/>
      <c r="O594" s="243"/>
      <c r="P594" s="243"/>
      <c r="Q594" s="243"/>
      <c r="R594" s="243"/>
      <c r="S594" s="243"/>
      <c r="T594" s="243"/>
      <c r="U594" s="243"/>
    </row>
    <row r="595">
      <c r="A595" s="15"/>
      <c r="B595" s="15"/>
      <c r="C595" s="15"/>
      <c r="D595" s="15"/>
      <c r="E595" s="15"/>
      <c r="F595" s="15"/>
      <c r="G595" s="15"/>
      <c r="H595" s="15"/>
      <c r="I595" s="15"/>
      <c r="J595" s="243"/>
      <c r="K595" s="15"/>
      <c r="L595" s="15"/>
      <c r="M595" s="15"/>
      <c r="N595" s="15"/>
      <c r="O595" s="243"/>
      <c r="P595" s="243"/>
      <c r="Q595" s="243"/>
      <c r="R595" s="243"/>
      <c r="S595" s="243"/>
      <c r="T595" s="243"/>
      <c r="U595" s="243"/>
    </row>
    <row r="596">
      <c r="A596" s="15"/>
      <c r="B596" s="15"/>
      <c r="C596" s="15"/>
      <c r="D596" s="15"/>
      <c r="E596" s="15"/>
      <c r="F596" s="15"/>
      <c r="G596" s="15"/>
      <c r="H596" s="15"/>
      <c r="I596" s="15"/>
      <c r="J596" s="243"/>
      <c r="K596" s="15"/>
      <c r="L596" s="15"/>
      <c r="M596" s="15"/>
      <c r="N596" s="15"/>
      <c r="O596" s="243"/>
      <c r="P596" s="243"/>
      <c r="Q596" s="243"/>
      <c r="R596" s="243"/>
      <c r="S596" s="243"/>
      <c r="T596" s="243"/>
      <c r="U596" s="243"/>
    </row>
    <row r="597">
      <c r="A597" s="15"/>
      <c r="B597" s="15"/>
      <c r="C597" s="15"/>
      <c r="D597" s="15"/>
      <c r="E597" s="15"/>
      <c r="F597" s="15"/>
      <c r="G597" s="15"/>
      <c r="H597" s="15"/>
      <c r="I597" s="15"/>
      <c r="J597" s="243"/>
      <c r="K597" s="15"/>
      <c r="L597" s="15"/>
      <c r="M597" s="15"/>
      <c r="N597" s="15"/>
      <c r="O597" s="243"/>
      <c r="P597" s="243"/>
      <c r="Q597" s="243"/>
      <c r="R597" s="243"/>
      <c r="S597" s="243"/>
      <c r="T597" s="243"/>
      <c r="U597" s="243"/>
    </row>
    <row r="598">
      <c r="A598" s="15"/>
      <c r="B598" s="15"/>
      <c r="C598" s="15"/>
      <c r="D598" s="15"/>
      <c r="E598" s="15"/>
      <c r="F598" s="15"/>
      <c r="G598" s="15"/>
      <c r="H598" s="15"/>
      <c r="I598" s="15"/>
      <c r="J598" s="243"/>
      <c r="K598" s="15"/>
      <c r="L598" s="15"/>
      <c r="M598" s="15"/>
      <c r="N598" s="15"/>
      <c r="O598" s="243"/>
      <c r="P598" s="243"/>
      <c r="Q598" s="243"/>
      <c r="R598" s="243"/>
      <c r="S598" s="243"/>
      <c r="T598" s="243"/>
      <c r="U598" s="243"/>
    </row>
    <row r="599">
      <c r="A599" s="15"/>
      <c r="B599" s="15"/>
      <c r="C599" s="15"/>
      <c r="D599" s="15"/>
      <c r="E599" s="15"/>
      <c r="F599" s="15"/>
      <c r="G599" s="15"/>
      <c r="H599" s="15"/>
      <c r="I599" s="15"/>
      <c r="J599" s="243"/>
      <c r="K599" s="15"/>
      <c r="L599" s="15"/>
      <c r="M599" s="15"/>
      <c r="N599" s="15"/>
      <c r="O599" s="243"/>
      <c r="P599" s="243"/>
      <c r="Q599" s="243"/>
      <c r="R599" s="243"/>
      <c r="S599" s="243"/>
      <c r="T599" s="243"/>
      <c r="U599" s="243"/>
    </row>
    <row r="600">
      <c r="A600" s="15"/>
      <c r="B600" s="15"/>
      <c r="C600" s="15"/>
      <c r="D600" s="15"/>
      <c r="E600" s="15"/>
      <c r="F600" s="15"/>
      <c r="G600" s="15"/>
      <c r="H600" s="15"/>
      <c r="I600" s="15"/>
      <c r="J600" s="243"/>
      <c r="K600" s="15"/>
      <c r="L600" s="15"/>
      <c r="M600" s="15"/>
      <c r="N600" s="15"/>
      <c r="O600" s="243"/>
      <c r="P600" s="243"/>
      <c r="Q600" s="243"/>
      <c r="R600" s="243"/>
      <c r="S600" s="243"/>
      <c r="T600" s="243"/>
      <c r="U600" s="243"/>
    </row>
    <row r="601">
      <c r="A601" s="15"/>
      <c r="B601" s="15"/>
      <c r="C601" s="15"/>
      <c r="D601" s="15"/>
      <c r="E601" s="15"/>
      <c r="F601" s="15"/>
      <c r="G601" s="15"/>
      <c r="H601" s="15"/>
      <c r="I601" s="15"/>
      <c r="J601" s="243"/>
      <c r="K601" s="15"/>
      <c r="L601" s="15"/>
      <c r="M601" s="15"/>
      <c r="N601" s="15"/>
      <c r="O601" s="243"/>
      <c r="P601" s="243"/>
      <c r="Q601" s="243"/>
      <c r="R601" s="243"/>
      <c r="S601" s="243"/>
      <c r="T601" s="243"/>
      <c r="U601" s="243"/>
    </row>
    <row r="602">
      <c r="A602" s="15"/>
      <c r="B602" s="15"/>
      <c r="C602" s="15"/>
      <c r="D602" s="15"/>
      <c r="E602" s="15"/>
      <c r="F602" s="15"/>
      <c r="G602" s="15"/>
      <c r="H602" s="15"/>
      <c r="I602" s="15"/>
      <c r="J602" s="243"/>
      <c r="K602" s="15"/>
      <c r="L602" s="15"/>
      <c r="M602" s="15"/>
      <c r="N602" s="15"/>
      <c r="O602" s="243"/>
      <c r="P602" s="243"/>
      <c r="Q602" s="243"/>
      <c r="R602" s="243"/>
      <c r="S602" s="243"/>
      <c r="T602" s="243"/>
      <c r="U602" s="243"/>
    </row>
    <row r="603">
      <c r="A603" s="15"/>
      <c r="B603" s="15"/>
      <c r="C603" s="15"/>
      <c r="D603" s="15"/>
      <c r="E603" s="15"/>
      <c r="F603" s="15"/>
      <c r="G603" s="15"/>
      <c r="H603" s="15"/>
      <c r="I603" s="15"/>
      <c r="J603" s="243"/>
      <c r="K603" s="15"/>
      <c r="L603" s="15"/>
      <c r="M603" s="15"/>
      <c r="N603" s="15"/>
      <c r="O603" s="243"/>
      <c r="P603" s="243"/>
      <c r="Q603" s="243"/>
      <c r="R603" s="243"/>
      <c r="S603" s="243"/>
      <c r="T603" s="243"/>
      <c r="U603" s="243"/>
    </row>
    <row r="604">
      <c r="A604" s="15"/>
      <c r="B604" s="15"/>
      <c r="C604" s="15"/>
      <c r="D604" s="15"/>
      <c r="E604" s="15"/>
      <c r="F604" s="15"/>
      <c r="G604" s="15"/>
      <c r="H604" s="15"/>
      <c r="I604" s="15"/>
      <c r="J604" s="243"/>
      <c r="K604" s="15"/>
      <c r="L604" s="15"/>
      <c r="M604" s="15"/>
      <c r="N604" s="15"/>
      <c r="O604" s="243"/>
      <c r="P604" s="243"/>
      <c r="Q604" s="243"/>
      <c r="R604" s="243"/>
      <c r="S604" s="243"/>
      <c r="T604" s="243"/>
      <c r="U604" s="243"/>
    </row>
    <row r="605">
      <c r="A605" s="15"/>
      <c r="B605" s="15"/>
      <c r="C605" s="15"/>
      <c r="D605" s="15"/>
      <c r="E605" s="15"/>
      <c r="F605" s="15"/>
      <c r="G605" s="15"/>
      <c r="H605" s="15"/>
      <c r="I605" s="15"/>
      <c r="J605" s="243"/>
      <c r="K605" s="15"/>
      <c r="L605" s="15"/>
      <c r="M605" s="15"/>
      <c r="N605" s="15"/>
      <c r="O605" s="243"/>
      <c r="P605" s="243"/>
      <c r="Q605" s="243"/>
      <c r="R605" s="243"/>
      <c r="S605" s="243"/>
      <c r="T605" s="243"/>
      <c r="U605" s="243"/>
    </row>
    <row r="606">
      <c r="A606" s="15"/>
      <c r="B606" s="15"/>
      <c r="C606" s="15"/>
      <c r="D606" s="15"/>
      <c r="E606" s="15"/>
      <c r="F606" s="15"/>
      <c r="G606" s="15"/>
      <c r="H606" s="15"/>
      <c r="I606" s="15"/>
      <c r="J606" s="243"/>
      <c r="K606" s="15"/>
      <c r="L606" s="15"/>
      <c r="M606" s="15"/>
      <c r="N606" s="15"/>
      <c r="O606" s="243"/>
      <c r="P606" s="243"/>
      <c r="Q606" s="243"/>
      <c r="R606" s="243"/>
      <c r="S606" s="243"/>
      <c r="T606" s="243"/>
      <c r="U606" s="243"/>
    </row>
    <row r="607">
      <c r="A607" s="15"/>
      <c r="B607" s="15"/>
      <c r="C607" s="15"/>
      <c r="D607" s="15"/>
      <c r="E607" s="15"/>
      <c r="F607" s="15"/>
      <c r="G607" s="15"/>
      <c r="H607" s="15"/>
      <c r="I607" s="15"/>
      <c r="J607" s="243"/>
      <c r="K607" s="15"/>
      <c r="L607" s="15"/>
      <c r="M607" s="15"/>
      <c r="N607" s="15"/>
      <c r="O607" s="243"/>
      <c r="P607" s="243"/>
      <c r="Q607" s="243"/>
      <c r="R607" s="243"/>
      <c r="S607" s="243"/>
      <c r="T607" s="243"/>
      <c r="U607" s="243"/>
    </row>
    <row r="608">
      <c r="A608" s="15"/>
      <c r="B608" s="15"/>
      <c r="C608" s="15"/>
      <c r="D608" s="15"/>
      <c r="E608" s="15"/>
      <c r="F608" s="15"/>
      <c r="G608" s="15"/>
      <c r="H608" s="15"/>
      <c r="I608" s="15"/>
      <c r="J608" s="243"/>
      <c r="K608" s="15"/>
      <c r="L608" s="15"/>
      <c r="M608" s="15"/>
      <c r="N608" s="15"/>
      <c r="O608" s="243"/>
      <c r="P608" s="243"/>
      <c r="Q608" s="243"/>
      <c r="R608" s="243"/>
      <c r="S608" s="243"/>
      <c r="T608" s="243"/>
      <c r="U608" s="243"/>
    </row>
    <row r="609">
      <c r="A609" s="15"/>
      <c r="B609" s="15"/>
      <c r="C609" s="15"/>
      <c r="D609" s="15"/>
      <c r="E609" s="15"/>
      <c r="F609" s="15"/>
      <c r="G609" s="15"/>
      <c r="H609" s="15"/>
      <c r="I609" s="15"/>
      <c r="J609" s="243"/>
      <c r="K609" s="15"/>
      <c r="L609" s="15"/>
      <c r="M609" s="15"/>
      <c r="N609" s="15"/>
      <c r="O609" s="243"/>
      <c r="P609" s="243"/>
      <c r="Q609" s="243"/>
      <c r="R609" s="243"/>
      <c r="S609" s="243"/>
      <c r="T609" s="243"/>
      <c r="U609" s="243"/>
    </row>
    <row r="610">
      <c r="A610" s="15"/>
      <c r="B610" s="15"/>
      <c r="C610" s="15"/>
      <c r="D610" s="15"/>
      <c r="E610" s="15"/>
      <c r="F610" s="15"/>
      <c r="G610" s="15"/>
      <c r="H610" s="15"/>
      <c r="I610" s="15"/>
      <c r="J610" s="243"/>
      <c r="K610" s="15"/>
      <c r="L610" s="15"/>
      <c r="M610" s="15"/>
      <c r="N610" s="15"/>
      <c r="O610" s="243"/>
      <c r="P610" s="243"/>
      <c r="Q610" s="243"/>
      <c r="R610" s="243"/>
      <c r="S610" s="243"/>
      <c r="T610" s="243"/>
      <c r="U610" s="243"/>
    </row>
    <row r="611">
      <c r="A611" s="15"/>
      <c r="B611" s="15"/>
      <c r="C611" s="15"/>
      <c r="D611" s="15"/>
      <c r="E611" s="15"/>
      <c r="F611" s="15"/>
      <c r="G611" s="15"/>
      <c r="H611" s="15"/>
      <c r="I611" s="15"/>
      <c r="J611" s="243"/>
      <c r="K611" s="15"/>
      <c r="L611" s="15"/>
      <c r="M611" s="15"/>
      <c r="N611" s="15"/>
      <c r="O611" s="243"/>
      <c r="P611" s="243"/>
      <c r="Q611" s="243"/>
      <c r="R611" s="243"/>
      <c r="S611" s="243"/>
      <c r="T611" s="243"/>
      <c r="U611" s="243"/>
    </row>
    <row r="612">
      <c r="A612" s="15"/>
      <c r="B612" s="15"/>
      <c r="C612" s="15"/>
      <c r="D612" s="15"/>
      <c r="E612" s="15"/>
      <c r="F612" s="15"/>
      <c r="G612" s="15"/>
      <c r="H612" s="15"/>
      <c r="I612" s="15"/>
      <c r="J612" s="243"/>
      <c r="K612" s="15"/>
      <c r="L612" s="15"/>
      <c r="M612" s="15"/>
      <c r="N612" s="15"/>
      <c r="O612" s="243"/>
      <c r="P612" s="243"/>
      <c r="Q612" s="243"/>
      <c r="R612" s="243"/>
      <c r="S612" s="243"/>
      <c r="T612" s="243"/>
      <c r="U612" s="243"/>
    </row>
    <row r="613">
      <c r="A613" s="15"/>
      <c r="B613" s="15"/>
      <c r="C613" s="15"/>
      <c r="D613" s="15"/>
      <c r="E613" s="15"/>
      <c r="F613" s="15"/>
      <c r="G613" s="15"/>
      <c r="H613" s="15"/>
      <c r="I613" s="15"/>
      <c r="J613" s="243"/>
      <c r="K613" s="15"/>
      <c r="L613" s="15"/>
      <c r="M613" s="15"/>
      <c r="N613" s="15"/>
      <c r="O613" s="243"/>
      <c r="P613" s="243"/>
      <c r="Q613" s="243"/>
      <c r="R613" s="243"/>
      <c r="S613" s="243"/>
      <c r="T613" s="243"/>
      <c r="U613" s="243"/>
    </row>
    <row r="614">
      <c r="A614" s="15"/>
      <c r="B614" s="15"/>
      <c r="C614" s="15"/>
      <c r="D614" s="15"/>
      <c r="E614" s="15"/>
      <c r="F614" s="15"/>
      <c r="G614" s="15"/>
      <c r="H614" s="15"/>
      <c r="I614" s="15"/>
      <c r="J614" s="243"/>
      <c r="K614" s="15"/>
      <c r="L614" s="15"/>
      <c r="M614" s="15"/>
      <c r="N614" s="15"/>
      <c r="O614" s="243"/>
      <c r="P614" s="243"/>
      <c r="Q614" s="243"/>
      <c r="R614" s="243"/>
      <c r="S614" s="243"/>
      <c r="T614" s="243"/>
      <c r="U614" s="243"/>
    </row>
    <row r="615">
      <c r="A615" s="15"/>
      <c r="B615" s="15"/>
      <c r="C615" s="15"/>
      <c r="D615" s="15"/>
      <c r="E615" s="15"/>
      <c r="F615" s="15"/>
      <c r="G615" s="15"/>
      <c r="H615" s="15"/>
      <c r="I615" s="15"/>
      <c r="J615" s="243"/>
      <c r="K615" s="15"/>
      <c r="L615" s="15"/>
      <c r="M615" s="15"/>
      <c r="N615" s="15"/>
      <c r="O615" s="243"/>
      <c r="P615" s="243"/>
      <c r="Q615" s="243"/>
      <c r="R615" s="243"/>
      <c r="S615" s="243"/>
      <c r="T615" s="243"/>
      <c r="U615" s="243"/>
    </row>
    <row r="616">
      <c r="A616" s="15"/>
      <c r="B616" s="15"/>
      <c r="C616" s="15"/>
      <c r="D616" s="15"/>
      <c r="E616" s="15"/>
      <c r="F616" s="15"/>
      <c r="G616" s="15"/>
      <c r="H616" s="15"/>
      <c r="I616" s="15"/>
      <c r="J616" s="243"/>
      <c r="K616" s="15"/>
      <c r="L616" s="15"/>
      <c r="M616" s="15"/>
      <c r="N616" s="15"/>
      <c r="O616" s="243"/>
      <c r="P616" s="243"/>
      <c r="Q616" s="243"/>
      <c r="R616" s="243"/>
      <c r="S616" s="243"/>
      <c r="T616" s="243"/>
      <c r="U616" s="243"/>
    </row>
    <row r="617">
      <c r="A617" s="15"/>
      <c r="B617" s="15"/>
      <c r="C617" s="15"/>
      <c r="D617" s="15"/>
      <c r="E617" s="15"/>
      <c r="F617" s="15"/>
      <c r="G617" s="15"/>
      <c r="H617" s="15"/>
      <c r="I617" s="15"/>
      <c r="J617" s="243"/>
      <c r="K617" s="15"/>
      <c r="L617" s="15"/>
      <c r="M617" s="15"/>
      <c r="N617" s="15"/>
      <c r="O617" s="243"/>
      <c r="P617" s="243"/>
      <c r="Q617" s="243"/>
      <c r="R617" s="243"/>
      <c r="S617" s="243"/>
      <c r="T617" s="243"/>
      <c r="U617" s="243"/>
    </row>
    <row r="618">
      <c r="A618" s="15"/>
      <c r="B618" s="15"/>
      <c r="C618" s="15"/>
      <c r="D618" s="15"/>
      <c r="E618" s="15"/>
      <c r="F618" s="15"/>
      <c r="G618" s="15"/>
      <c r="H618" s="15"/>
      <c r="I618" s="15"/>
      <c r="J618" s="243"/>
      <c r="K618" s="15"/>
      <c r="L618" s="15"/>
      <c r="M618" s="15"/>
      <c r="N618" s="15"/>
      <c r="O618" s="243"/>
      <c r="P618" s="243"/>
      <c r="Q618" s="243"/>
      <c r="R618" s="243"/>
      <c r="S618" s="243"/>
      <c r="T618" s="243"/>
      <c r="U618" s="243"/>
    </row>
    <row r="619">
      <c r="A619" s="15"/>
      <c r="B619" s="15"/>
      <c r="C619" s="15"/>
      <c r="D619" s="15"/>
      <c r="E619" s="15"/>
      <c r="F619" s="15"/>
      <c r="G619" s="15"/>
      <c r="H619" s="15"/>
      <c r="I619" s="15"/>
      <c r="J619" s="243"/>
      <c r="K619" s="15"/>
      <c r="L619" s="15"/>
      <c r="M619" s="15"/>
      <c r="N619" s="15"/>
      <c r="O619" s="243"/>
      <c r="P619" s="243"/>
      <c r="Q619" s="243"/>
      <c r="R619" s="243"/>
      <c r="S619" s="243"/>
      <c r="T619" s="243"/>
      <c r="U619" s="243"/>
    </row>
    <row r="620">
      <c r="A620" s="15"/>
      <c r="B620" s="15"/>
      <c r="C620" s="15"/>
      <c r="D620" s="15"/>
      <c r="E620" s="15"/>
      <c r="F620" s="15"/>
      <c r="G620" s="15"/>
      <c r="H620" s="15"/>
      <c r="I620" s="15"/>
      <c r="J620" s="243"/>
      <c r="K620" s="15"/>
      <c r="L620" s="15"/>
      <c r="M620" s="15"/>
      <c r="N620" s="15"/>
      <c r="O620" s="243"/>
      <c r="P620" s="243"/>
      <c r="Q620" s="243"/>
      <c r="R620" s="243"/>
      <c r="S620" s="243"/>
      <c r="T620" s="243"/>
      <c r="U620" s="243"/>
    </row>
    <row r="621">
      <c r="A621" s="15"/>
      <c r="B621" s="15"/>
      <c r="C621" s="15"/>
      <c r="D621" s="15"/>
      <c r="E621" s="15"/>
      <c r="F621" s="15"/>
      <c r="G621" s="15"/>
      <c r="H621" s="15"/>
      <c r="I621" s="15"/>
      <c r="J621" s="243"/>
      <c r="K621" s="15"/>
      <c r="L621" s="15"/>
      <c r="M621" s="15"/>
      <c r="N621" s="15"/>
      <c r="O621" s="243"/>
      <c r="P621" s="243"/>
      <c r="Q621" s="243"/>
      <c r="R621" s="243"/>
      <c r="S621" s="243"/>
      <c r="T621" s="243"/>
      <c r="U621" s="243"/>
    </row>
    <row r="622">
      <c r="A622" s="15"/>
      <c r="B622" s="15"/>
      <c r="C622" s="15"/>
      <c r="D622" s="15"/>
      <c r="E622" s="15"/>
      <c r="F622" s="15"/>
      <c r="G622" s="15"/>
      <c r="H622" s="15"/>
      <c r="I622" s="15"/>
      <c r="J622" s="243"/>
      <c r="K622" s="15"/>
      <c r="L622" s="15"/>
      <c r="M622" s="15"/>
      <c r="N622" s="15"/>
      <c r="O622" s="243"/>
      <c r="P622" s="243"/>
      <c r="Q622" s="243"/>
      <c r="R622" s="243"/>
      <c r="S622" s="243"/>
      <c r="T622" s="243"/>
      <c r="U622" s="243"/>
    </row>
    <row r="623">
      <c r="A623" s="15"/>
      <c r="B623" s="15"/>
      <c r="C623" s="15"/>
      <c r="D623" s="15"/>
      <c r="E623" s="15"/>
      <c r="F623" s="15"/>
      <c r="G623" s="15"/>
      <c r="H623" s="15"/>
      <c r="I623" s="15"/>
      <c r="J623" s="243"/>
      <c r="K623" s="15"/>
      <c r="L623" s="15"/>
      <c r="M623" s="15"/>
      <c r="N623" s="15"/>
      <c r="O623" s="243"/>
      <c r="P623" s="243"/>
      <c r="Q623" s="243"/>
      <c r="R623" s="243"/>
      <c r="S623" s="243"/>
      <c r="T623" s="243"/>
      <c r="U623" s="243"/>
    </row>
    <row r="624">
      <c r="A624" s="15"/>
      <c r="B624" s="15"/>
      <c r="C624" s="15"/>
      <c r="D624" s="15"/>
      <c r="E624" s="15"/>
      <c r="F624" s="15"/>
      <c r="G624" s="15"/>
      <c r="H624" s="15"/>
      <c r="I624" s="15"/>
      <c r="J624" s="243"/>
      <c r="K624" s="15"/>
      <c r="L624" s="15"/>
      <c r="M624" s="15"/>
      <c r="N624" s="15"/>
      <c r="O624" s="243"/>
      <c r="P624" s="243"/>
      <c r="Q624" s="243"/>
      <c r="R624" s="243"/>
      <c r="S624" s="243"/>
      <c r="T624" s="243"/>
      <c r="U624" s="243"/>
    </row>
    <row r="625">
      <c r="A625" s="15"/>
      <c r="B625" s="15"/>
      <c r="C625" s="15"/>
      <c r="D625" s="15"/>
      <c r="E625" s="15"/>
      <c r="F625" s="15"/>
      <c r="G625" s="15"/>
      <c r="H625" s="15"/>
      <c r="I625" s="15"/>
      <c r="J625" s="243"/>
      <c r="K625" s="15"/>
      <c r="L625" s="15"/>
      <c r="M625" s="15"/>
      <c r="N625" s="15"/>
      <c r="O625" s="243"/>
      <c r="P625" s="243"/>
      <c r="Q625" s="243"/>
      <c r="R625" s="243"/>
      <c r="S625" s="243"/>
      <c r="T625" s="243"/>
      <c r="U625" s="243"/>
    </row>
    <row r="626">
      <c r="A626" s="15"/>
      <c r="B626" s="15"/>
      <c r="C626" s="15"/>
      <c r="D626" s="15"/>
      <c r="E626" s="15"/>
      <c r="F626" s="15"/>
      <c r="G626" s="15"/>
      <c r="H626" s="15"/>
      <c r="I626" s="15"/>
      <c r="J626" s="243"/>
      <c r="K626" s="15"/>
      <c r="L626" s="15"/>
      <c r="M626" s="15"/>
      <c r="N626" s="15"/>
      <c r="O626" s="243"/>
      <c r="P626" s="243"/>
      <c r="Q626" s="243"/>
      <c r="R626" s="243"/>
      <c r="S626" s="243"/>
      <c r="T626" s="243"/>
      <c r="U626" s="243"/>
    </row>
    <row r="627">
      <c r="A627" s="15"/>
      <c r="B627" s="15"/>
      <c r="C627" s="15"/>
      <c r="D627" s="15"/>
      <c r="E627" s="15"/>
      <c r="F627" s="15"/>
      <c r="G627" s="15"/>
      <c r="H627" s="15"/>
      <c r="I627" s="15"/>
      <c r="J627" s="243"/>
      <c r="K627" s="15"/>
      <c r="L627" s="15"/>
      <c r="M627" s="15"/>
      <c r="N627" s="15"/>
      <c r="O627" s="243"/>
      <c r="P627" s="243"/>
      <c r="Q627" s="243"/>
      <c r="R627" s="243"/>
      <c r="S627" s="243"/>
      <c r="T627" s="243"/>
      <c r="U627" s="243"/>
    </row>
    <row r="628">
      <c r="A628" s="15"/>
      <c r="B628" s="15"/>
      <c r="C628" s="15"/>
      <c r="D628" s="15"/>
      <c r="E628" s="15"/>
      <c r="F628" s="15"/>
      <c r="G628" s="15"/>
      <c r="H628" s="15"/>
      <c r="I628" s="15"/>
      <c r="J628" s="243"/>
      <c r="K628" s="15"/>
      <c r="L628" s="15"/>
      <c r="M628" s="15"/>
      <c r="N628" s="15"/>
      <c r="O628" s="243"/>
      <c r="P628" s="243"/>
      <c r="Q628" s="243"/>
      <c r="R628" s="243"/>
      <c r="S628" s="243"/>
      <c r="T628" s="243"/>
      <c r="U628" s="243"/>
    </row>
    <row r="629">
      <c r="A629" s="15"/>
      <c r="B629" s="15"/>
      <c r="C629" s="15"/>
      <c r="D629" s="15"/>
      <c r="E629" s="15"/>
      <c r="F629" s="15"/>
      <c r="G629" s="15"/>
      <c r="H629" s="15"/>
      <c r="I629" s="15"/>
      <c r="J629" s="243"/>
      <c r="K629" s="15"/>
      <c r="L629" s="15"/>
      <c r="M629" s="15"/>
      <c r="N629" s="15"/>
      <c r="O629" s="243"/>
      <c r="P629" s="243"/>
      <c r="Q629" s="243"/>
      <c r="R629" s="243"/>
      <c r="S629" s="243"/>
      <c r="T629" s="243"/>
      <c r="U629" s="243"/>
    </row>
    <row r="630">
      <c r="A630" s="15"/>
      <c r="B630" s="15"/>
      <c r="C630" s="15"/>
      <c r="D630" s="15"/>
      <c r="E630" s="15"/>
      <c r="F630" s="15"/>
      <c r="G630" s="15"/>
      <c r="H630" s="15"/>
      <c r="I630" s="15"/>
      <c r="J630" s="243"/>
      <c r="K630" s="15"/>
      <c r="L630" s="15"/>
      <c r="M630" s="15"/>
      <c r="N630" s="15"/>
      <c r="O630" s="243"/>
      <c r="P630" s="243"/>
      <c r="Q630" s="243"/>
      <c r="R630" s="243"/>
      <c r="S630" s="243"/>
      <c r="T630" s="243"/>
      <c r="U630" s="243"/>
    </row>
    <row r="631">
      <c r="A631" s="15"/>
      <c r="B631" s="15"/>
      <c r="C631" s="15"/>
      <c r="D631" s="15"/>
      <c r="E631" s="15"/>
      <c r="F631" s="15"/>
      <c r="G631" s="15"/>
      <c r="H631" s="15"/>
      <c r="I631" s="15"/>
      <c r="J631" s="243"/>
      <c r="K631" s="15"/>
      <c r="L631" s="15"/>
      <c r="M631" s="15"/>
      <c r="N631" s="15"/>
      <c r="O631" s="243"/>
      <c r="P631" s="243"/>
      <c r="Q631" s="243"/>
      <c r="R631" s="243"/>
      <c r="S631" s="243"/>
      <c r="T631" s="243"/>
      <c r="U631" s="243"/>
    </row>
    <row r="632">
      <c r="A632" s="15"/>
      <c r="B632" s="15"/>
      <c r="C632" s="15"/>
      <c r="D632" s="15"/>
      <c r="E632" s="15"/>
      <c r="F632" s="15"/>
      <c r="G632" s="15"/>
      <c r="H632" s="15"/>
      <c r="I632" s="15"/>
      <c r="J632" s="243"/>
      <c r="K632" s="15"/>
      <c r="L632" s="15"/>
      <c r="M632" s="15"/>
      <c r="N632" s="15"/>
      <c r="O632" s="243"/>
      <c r="P632" s="243"/>
      <c r="Q632" s="243"/>
      <c r="R632" s="243"/>
      <c r="S632" s="243"/>
      <c r="T632" s="243"/>
      <c r="U632" s="243"/>
    </row>
    <row r="633">
      <c r="A633" s="15"/>
      <c r="B633" s="15"/>
      <c r="C633" s="15"/>
      <c r="D633" s="15"/>
      <c r="E633" s="15"/>
      <c r="F633" s="15"/>
      <c r="G633" s="15"/>
      <c r="H633" s="15"/>
      <c r="I633" s="15"/>
      <c r="J633" s="243"/>
      <c r="K633" s="15"/>
      <c r="L633" s="15"/>
      <c r="M633" s="15"/>
      <c r="N633" s="15"/>
      <c r="O633" s="243"/>
      <c r="P633" s="243"/>
      <c r="Q633" s="243"/>
      <c r="R633" s="243"/>
      <c r="S633" s="243"/>
      <c r="T633" s="243"/>
      <c r="U633" s="243"/>
    </row>
    <row r="634">
      <c r="A634" s="15"/>
      <c r="B634" s="15"/>
      <c r="C634" s="15"/>
      <c r="D634" s="15"/>
      <c r="E634" s="15"/>
      <c r="F634" s="15"/>
      <c r="G634" s="15"/>
      <c r="H634" s="15"/>
      <c r="I634" s="15"/>
      <c r="J634" s="243"/>
      <c r="K634" s="15"/>
      <c r="L634" s="15"/>
      <c r="M634" s="15"/>
      <c r="N634" s="15"/>
      <c r="O634" s="243"/>
      <c r="P634" s="243"/>
      <c r="Q634" s="243"/>
      <c r="R634" s="243"/>
      <c r="S634" s="243"/>
      <c r="T634" s="243"/>
      <c r="U634" s="243"/>
    </row>
    <row r="635">
      <c r="A635" s="15"/>
      <c r="B635" s="15"/>
      <c r="C635" s="15"/>
      <c r="D635" s="15"/>
      <c r="E635" s="15"/>
      <c r="F635" s="15"/>
      <c r="G635" s="15"/>
      <c r="H635" s="15"/>
      <c r="I635" s="15"/>
      <c r="J635" s="243"/>
      <c r="K635" s="15"/>
      <c r="L635" s="15"/>
      <c r="M635" s="15"/>
      <c r="N635" s="15"/>
      <c r="O635" s="243"/>
      <c r="P635" s="243"/>
      <c r="Q635" s="243"/>
      <c r="R635" s="243"/>
      <c r="S635" s="243"/>
      <c r="T635" s="243"/>
      <c r="U635" s="243"/>
    </row>
    <row r="636">
      <c r="A636" s="15"/>
      <c r="B636" s="15"/>
      <c r="C636" s="15"/>
      <c r="D636" s="15"/>
      <c r="E636" s="15"/>
      <c r="F636" s="15"/>
      <c r="G636" s="15"/>
      <c r="H636" s="15"/>
      <c r="I636" s="15"/>
      <c r="J636" s="243"/>
      <c r="K636" s="15"/>
      <c r="L636" s="15"/>
      <c r="M636" s="15"/>
      <c r="N636" s="15"/>
      <c r="O636" s="243"/>
      <c r="P636" s="243"/>
      <c r="Q636" s="243"/>
      <c r="R636" s="243"/>
      <c r="S636" s="243"/>
      <c r="T636" s="243"/>
      <c r="U636" s="243"/>
    </row>
    <row r="637">
      <c r="A637" s="15"/>
      <c r="B637" s="15"/>
      <c r="C637" s="15"/>
      <c r="D637" s="15"/>
      <c r="E637" s="15"/>
      <c r="F637" s="15"/>
      <c r="G637" s="15"/>
      <c r="H637" s="15"/>
      <c r="I637" s="15"/>
      <c r="J637" s="243"/>
      <c r="K637" s="15"/>
      <c r="L637" s="15"/>
      <c r="M637" s="15"/>
      <c r="N637" s="15"/>
      <c r="O637" s="243"/>
      <c r="P637" s="243"/>
      <c r="Q637" s="243"/>
      <c r="R637" s="243"/>
      <c r="S637" s="243"/>
      <c r="T637" s="243"/>
      <c r="U637" s="243"/>
    </row>
    <row r="638">
      <c r="A638" s="15"/>
      <c r="B638" s="15"/>
      <c r="C638" s="15"/>
      <c r="D638" s="15"/>
      <c r="E638" s="15"/>
      <c r="F638" s="15"/>
      <c r="G638" s="15"/>
      <c r="H638" s="15"/>
      <c r="I638" s="15"/>
      <c r="J638" s="243"/>
      <c r="K638" s="15"/>
      <c r="L638" s="15"/>
      <c r="M638" s="15"/>
      <c r="N638" s="15"/>
      <c r="O638" s="243"/>
      <c r="P638" s="243"/>
      <c r="Q638" s="243"/>
      <c r="R638" s="243"/>
      <c r="S638" s="243"/>
      <c r="T638" s="243"/>
      <c r="U638" s="243"/>
    </row>
    <row r="639">
      <c r="A639" s="15"/>
      <c r="B639" s="15"/>
      <c r="C639" s="15"/>
      <c r="D639" s="15"/>
      <c r="E639" s="15"/>
      <c r="F639" s="15"/>
      <c r="G639" s="15"/>
      <c r="H639" s="15"/>
      <c r="I639" s="15"/>
      <c r="J639" s="243"/>
      <c r="K639" s="15"/>
      <c r="L639" s="15"/>
      <c r="M639" s="15"/>
      <c r="N639" s="15"/>
      <c r="O639" s="243"/>
      <c r="P639" s="243"/>
      <c r="Q639" s="243"/>
      <c r="R639" s="243"/>
      <c r="S639" s="243"/>
      <c r="T639" s="243"/>
      <c r="U639" s="243"/>
    </row>
    <row r="640">
      <c r="A640" s="15"/>
      <c r="B640" s="15"/>
      <c r="C640" s="15"/>
      <c r="D640" s="15"/>
      <c r="E640" s="15"/>
      <c r="F640" s="15"/>
      <c r="G640" s="15"/>
      <c r="H640" s="15"/>
      <c r="I640" s="15"/>
      <c r="J640" s="243"/>
      <c r="K640" s="15"/>
      <c r="L640" s="15"/>
      <c r="M640" s="15"/>
      <c r="N640" s="15"/>
      <c r="O640" s="243"/>
      <c r="P640" s="243"/>
      <c r="Q640" s="243"/>
      <c r="R640" s="243"/>
      <c r="S640" s="243"/>
      <c r="T640" s="243"/>
      <c r="U640" s="243"/>
    </row>
    <row r="641">
      <c r="A641" s="15"/>
      <c r="B641" s="15"/>
      <c r="C641" s="15"/>
      <c r="D641" s="15"/>
      <c r="E641" s="15"/>
      <c r="F641" s="15"/>
      <c r="G641" s="15"/>
      <c r="H641" s="15"/>
      <c r="I641" s="15"/>
      <c r="J641" s="243"/>
      <c r="K641" s="15"/>
      <c r="L641" s="15"/>
      <c r="M641" s="15"/>
      <c r="N641" s="15"/>
      <c r="O641" s="243"/>
      <c r="P641" s="243"/>
      <c r="Q641" s="243"/>
      <c r="R641" s="243"/>
      <c r="S641" s="243"/>
      <c r="T641" s="243"/>
      <c r="U641" s="243"/>
    </row>
    <row r="642">
      <c r="A642" s="15"/>
      <c r="B642" s="15"/>
      <c r="C642" s="15"/>
      <c r="D642" s="15"/>
      <c r="E642" s="15"/>
      <c r="F642" s="15"/>
      <c r="G642" s="15"/>
      <c r="H642" s="15"/>
      <c r="I642" s="15"/>
      <c r="J642" s="243"/>
      <c r="K642" s="15"/>
      <c r="L642" s="15"/>
      <c r="M642" s="15"/>
      <c r="N642" s="15"/>
      <c r="O642" s="243"/>
      <c r="P642" s="243"/>
      <c r="Q642" s="243"/>
      <c r="R642" s="243"/>
      <c r="S642" s="243"/>
      <c r="T642" s="243"/>
      <c r="U642" s="243"/>
    </row>
    <row r="643">
      <c r="A643" s="15"/>
      <c r="B643" s="15"/>
      <c r="C643" s="15"/>
      <c r="D643" s="15"/>
      <c r="E643" s="15"/>
      <c r="F643" s="15"/>
      <c r="G643" s="15"/>
      <c r="H643" s="15"/>
      <c r="I643" s="15"/>
      <c r="J643" s="243"/>
      <c r="K643" s="15"/>
      <c r="L643" s="15"/>
      <c r="M643" s="15"/>
      <c r="N643" s="15"/>
      <c r="O643" s="243"/>
      <c r="P643" s="243"/>
      <c r="Q643" s="243"/>
      <c r="R643" s="243"/>
      <c r="S643" s="243"/>
      <c r="T643" s="243"/>
      <c r="U643" s="243"/>
    </row>
    <row r="644">
      <c r="A644" s="15"/>
      <c r="B644" s="15"/>
      <c r="C644" s="15"/>
      <c r="D644" s="15"/>
      <c r="E644" s="15"/>
      <c r="F644" s="15"/>
      <c r="G644" s="15"/>
      <c r="H644" s="15"/>
      <c r="I644" s="15"/>
      <c r="J644" s="243"/>
      <c r="K644" s="15"/>
      <c r="L644" s="15"/>
      <c r="M644" s="15"/>
      <c r="N644" s="15"/>
      <c r="O644" s="243"/>
      <c r="P644" s="243"/>
      <c r="Q644" s="243"/>
      <c r="R644" s="243"/>
      <c r="S644" s="243"/>
      <c r="T644" s="243"/>
      <c r="U644" s="243"/>
    </row>
    <row r="645">
      <c r="A645" s="15"/>
      <c r="B645" s="15"/>
      <c r="C645" s="15"/>
      <c r="D645" s="15"/>
      <c r="E645" s="15"/>
      <c r="F645" s="15"/>
      <c r="G645" s="15"/>
      <c r="H645" s="15"/>
      <c r="I645" s="15"/>
      <c r="J645" s="243"/>
      <c r="K645" s="15"/>
      <c r="L645" s="15"/>
      <c r="M645" s="15"/>
      <c r="N645" s="15"/>
      <c r="O645" s="243"/>
      <c r="P645" s="243"/>
      <c r="Q645" s="243"/>
      <c r="R645" s="243"/>
      <c r="S645" s="243"/>
      <c r="T645" s="243"/>
      <c r="U645" s="243"/>
    </row>
    <row r="646">
      <c r="A646" s="15"/>
      <c r="B646" s="15"/>
      <c r="C646" s="15"/>
      <c r="D646" s="15"/>
      <c r="E646" s="15"/>
      <c r="F646" s="15"/>
      <c r="G646" s="15"/>
      <c r="H646" s="15"/>
      <c r="I646" s="15"/>
      <c r="J646" s="243"/>
      <c r="K646" s="15"/>
      <c r="L646" s="15"/>
      <c r="M646" s="15"/>
      <c r="N646" s="15"/>
      <c r="O646" s="243"/>
      <c r="P646" s="243"/>
      <c r="Q646" s="243"/>
      <c r="R646" s="243"/>
      <c r="S646" s="243"/>
      <c r="T646" s="243"/>
      <c r="U646" s="243"/>
    </row>
    <row r="647">
      <c r="A647" s="15"/>
      <c r="B647" s="15"/>
      <c r="C647" s="15"/>
      <c r="D647" s="15"/>
      <c r="E647" s="15"/>
      <c r="F647" s="15"/>
      <c r="G647" s="15"/>
      <c r="H647" s="15"/>
      <c r="I647" s="15"/>
      <c r="J647" s="243"/>
      <c r="K647" s="15"/>
      <c r="L647" s="15"/>
      <c r="M647" s="15"/>
      <c r="N647" s="15"/>
      <c r="O647" s="243"/>
      <c r="P647" s="243"/>
      <c r="Q647" s="243"/>
      <c r="R647" s="243"/>
      <c r="S647" s="243"/>
      <c r="T647" s="243"/>
      <c r="U647" s="243"/>
    </row>
    <row r="648">
      <c r="A648" s="15"/>
      <c r="B648" s="15"/>
      <c r="C648" s="15"/>
      <c r="D648" s="15"/>
      <c r="E648" s="15"/>
      <c r="F648" s="15"/>
      <c r="G648" s="15"/>
      <c r="H648" s="15"/>
      <c r="I648" s="15"/>
      <c r="J648" s="243"/>
      <c r="K648" s="15"/>
      <c r="L648" s="15"/>
      <c r="M648" s="15"/>
      <c r="N648" s="15"/>
      <c r="O648" s="243"/>
      <c r="P648" s="243"/>
      <c r="Q648" s="243"/>
      <c r="R648" s="243"/>
      <c r="S648" s="243"/>
      <c r="T648" s="243"/>
      <c r="U648" s="243"/>
    </row>
    <row r="649">
      <c r="A649" s="15"/>
      <c r="B649" s="15"/>
      <c r="C649" s="15"/>
      <c r="D649" s="15"/>
      <c r="E649" s="15"/>
      <c r="F649" s="15"/>
      <c r="G649" s="15"/>
      <c r="H649" s="15"/>
      <c r="I649" s="15"/>
      <c r="J649" s="243"/>
      <c r="K649" s="15"/>
      <c r="L649" s="15"/>
      <c r="M649" s="15"/>
      <c r="N649" s="15"/>
      <c r="O649" s="243"/>
      <c r="P649" s="243"/>
      <c r="Q649" s="243"/>
      <c r="R649" s="243"/>
      <c r="S649" s="243"/>
      <c r="T649" s="243"/>
      <c r="U649" s="243"/>
    </row>
    <row r="650">
      <c r="A650" s="15"/>
      <c r="B650" s="15"/>
      <c r="C650" s="15"/>
      <c r="D650" s="15"/>
      <c r="E650" s="15"/>
      <c r="F650" s="15"/>
      <c r="G650" s="15"/>
      <c r="H650" s="15"/>
      <c r="I650" s="15"/>
      <c r="J650" s="243"/>
      <c r="K650" s="15"/>
      <c r="L650" s="15"/>
      <c r="M650" s="15"/>
      <c r="N650" s="15"/>
      <c r="O650" s="243"/>
      <c r="P650" s="243"/>
      <c r="Q650" s="243"/>
      <c r="R650" s="243"/>
      <c r="S650" s="243"/>
      <c r="T650" s="243"/>
      <c r="U650" s="243"/>
    </row>
    <row r="651">
      <c r="A651" s="15"/>
      <c r="B651" s="15"/>
      <c r="C651" s="15"/>
      <c r="D651" s="15"/>
      <c r="E651" s="15"/>
      <c r="F651" s="15"/>
      <c r="G651" s="15"/>
      <c r="H651" s="15"/>
      <c r="I651" s="15"/>
      <c r="J651" s="243"/>
      <c r="K651" s="15"/>
      <c r="L651" s="15"/>
      <c r="M651" s="15"/>
      <c r="N651" s="15"/>
      <c r="O651" s="243"/>
      <c r="P651" s="243"/>
      <c r="Q651" s="243"/>
      <c r="R651" s="243"/>
      <c r="S651" s="243"/>
      <c r="T651" s="243"/>
      <c r="U651" s="243"/>
    </row>
    <row r="652">
      <c r="A652" s="15"/>
      <c r="B652" s="15"/>
      <c r="C652" s="15"/>
      <c r="D652" s="15"/>
      <c r="E652" s="15"/>
      <c r="F652" s="15"/>
      <c r="G652" s="15"/>
      <c r="H652" s="15"/>
      <c r="I652" s="15"/>
      <c r="J652" s="243"/>
      <c r="K652" s="15"/>
      <c r="L652" s="15"/>
      <c r="M652" s="15"/>
      <c r="N652" s="15"/>
      <c r="O652" s="243"/>
      <c r="P652" s="243"/>
      <c r="Q652" s="243"/>
      <c r="R652" s="243"/>
      <c r="S652" s="243"/>
      <c r="T652" s="243"/>
      <c r="U652" s="243"/>
    </row>
    <row r="653">
      <c r="A653" s="15"/>
      <c r="B653" s="15"/>
      <c r="C653" s="15"/>
      <c r="D653" s="15"/>
      <c r="E653" s="15"/>
      <c r="F653" s="15"/>
      <c r="G653" s="15"/>
      <c r="H653" s="15"/>
      <c r="I653" s="15"/>
      <c r="J653" s="243"/>
      <c r="K653" s="15"/>
      <c r="L653" s="15"/>
      <c r="M653" s="15"/>
      <c r="N653" s="15"/>
      <c r="O653" s="243"/>
      <c r="P653" s="243"/>
      <c r="Q653" s="243"/>
      <c r="R653" s="243"/>
      <c r="S653" s="243"/>
      <c r="T653" s="243"/>
      <c r="U653" s="243"/>
    </row>
    <row r="654">
      <c r="A654" s="15"/>
      <c r="B654" s="15"/>
      <c r="C654" s="15"/>
      <c r="D654" s="15"/>
      <c r="E654" s="15"/>
      <c r="F654" s="15"/>
      <c r="G654" s="15"/>
      <c r="H654" s="15"/>
      <c r="I654" s="15"/>
      <c r="J654" s="243"/>
      <c r="K654" s="15"/>
      <c r="L654" s="15"/>
      <c r="M654" s="15"/>
      <c r="N654" s="15"/>
      <c r="O654" s="243"/>
      <c r="P654" s="243"/>
      <c r="Q654" s="243"/>
      <c r="R654" s="243"/>
      <c r="S654" s="243"/>
      <c r="T654" s="243"/>
      <c r="U654" s="243"/>
    </row>
    <row r="655">
      <c r="A655" s="15"/>
      <c r="B655" s="15"/>
      <c r="C655" s="15"/>
      <c r="D655" s="15"/>
      <c r="E655" s="15"/>
      <c r="F655" s="15"/>
      <c r="G655" s="15"/>
      <c r="H655" s="15"/>
      <c r="I655" s="15"/>
      <c r="J655" s="243"/>
      <c r="K655" s="15"/>
      <c r="L655" s="15"/>
      <c r="M655" s="15"/>
      <c r="N655" s="15"/>
      <c r="O655" s="243"/>
      <c r="P655" s="243"/>
      <c r="Q655" s="243"/>
      <c r="R655" s="243"/>
      <c r="S655" s="243"/>
      <c r="T655" s="243"/>
      <c r="U655" s="243"/>
    </row>
    <row r="656">
      <c r="A656" s="15"/>
      <c r="B656" s="15"/>
      <c r="C656" s="15"/>
      <c r="D656" s="15"/>
      <c r="E656" s="15"/>
      <c r="F656" s="15"/>
      <c r="G656" s="15"/>
      <c r="H656" s="15"/>
      <c r="I656" s="15"/>
      <c r="J656" s="243"/>
      <c r="K656" s="15"/>
      <c r="L656" s="15"/>
      <c r="M656" s="15"/>
      <c r="N656" s="15"/>
      <c r="O656" s="243"/>
      <c r="P656" s="243"/>
      <c r="Q656" s="243"/>
      <c r="R656" s="243"/>
      <c r="S656" s="243"/>
      <c r="T656" s="243"/>
      <c r="U656" s="243"/>
    </row>
    <row r="657">
      <c r="A657" s="15"/>
      <c r="B657" s="15"/>
      <c r="C657" s="15"/>
      <c r="D657" s="15"/>
      <c r="E657" s="15"/>
      <c r="F657" s="15"/>
      <c r="G657" s="15"/>
      <c r="H657" s="15"/>
      <c r="I657" s="15"/>
      <c r="J657" s="243"/>
      <c r="K657" s="15"/>
      <c r="L657" s="15"/>
      <c r="M657" s="15"/>
      <c r="N657" s="15"/>
      <c r="O657" s="243"/>
      <c r="P657" s="243"/>
      <c r="Q657" s="243"/>
      <c r="R657" s="243"/>
      <c r="S657" s="243"/>
      <c r="T657" s="243"/>
      <c r="U657" s="243"/>
    </row>
    <row r="658">
      <c r="A658" s="15"/>
      <c r="B658" s="15"/>
      <c r="C658" s="15"/>
      <c r="D658" s="15"/>
      <c r="E658" s="15"/>
      <c r="F658" s="15"/>
      <c r="G658" s="15"/>
      <c r="H658" s="15"/>
      <c r="I658" s="15"/>
      <c r="J658" s="243"/>
      <c r="K658" s="15"/>
      <c r="L658" s="15"/>
      <c r="M658" s="15"/>
      <c r="N658" s="15"/>
      <c r="O658" s="243"/>
      <c r="P658" s="243"/>
      <c r="Q658" s="243"/>
      <c r="R658" s="243"/>
      <c r="S658" s="243"/>
      <c r="T658" s="243"/>
      <c r="U658" s="243"/>
    </row>
    <row r="659">
      <c r="A659" s="15"/>
      <c r="B659" s="15"/>
      <c r="C659" s="15"/>
      <c r="D659" s="15"/>
      <c r="E659" s="15"/>
      <c r="F659" s="15"/>
      <c r="G659" s="15"/>
      <c r="H659" s="15"/>
      <c r="I659" s="15"/>
      <c r="J659" s="243"/>
      <c r="K659" s="15"/>
      <c r="L659" s="15"/>
      <c r="M659" s="15"/>
      <c r="N659" s="15"/>
      <c r="O659" s="243"/>
      <c r="P659" s="243"/>
      <c r="Q659" s="243"/>
      <c r="R659" s="243"/>
      <c r="S659" s="243"/>
      <c r="T659" s="243"/>
      <c r="U659" s="243"/>
    </row>
    <row r="660">
      <c r="A660" s="15"/>
      <c r="B660" s="15"/>
      <c r="C660" s="15"/>
      <c r="D660" s="15"/>
      <c r="E660" s="15"/>
      <c r="F660" s="15"/>
      <c r="G660" s="15"/>
      <c r="H660" s="15"/>
      <c r="I660" s="15"/>
      <c r="J660" s="243"/>
      <c r="K660" s="15"/>
      <c r="L660" s="15"/>
      <c r="M660" s="15"/>
      <c r="N660" s="15"/>
      <c r="O660" s="243"/>
      <c r="P660" s="243"/>
      <c r="Q660" s="243"/>
      <c r="R660" s="243"/>
      <c r="S660" s="243"/>
      <c r="T660" s="243"/>
      <c r="U660" s="243"/>
    </row>
    <row r="661">
      <c r="A661" s="15"/>
      <c r="B661" s="15"/>
      <c r="C661" s="15"/>
      <c r="D661" s="15"/>
      <c r="E661" s="15"/>
      <c r="F661" s="15"/>
      <c r="G661" s="15"/>
      <c r="H661" s="15"/>
      <c r="I661" s="15"/>
      <c r="J661" s="243"/>
      <c r="K661" s="15"/>
      <c r="L661" s="15"/>
      <c r="M661" s="15"/>
      <c r="N661" s="15"/>
      <c r="O661" s="243"/>
      <c r="P661" s="243"/>
      <c r="Q661" s="243"/>
      <c r="R661" s="243"/>
      <c r="S661" s="243"/>
      <c r="T661" s="243"/>
      <c r="U661" s="243"/>
    </row>
    <row r="662">
      <c r="A662" s="15"/>
      <c r="B662" s="15"/>
      <c r="C662" s="15"/>
      <c r="D662" s="15"/>
      <c r="E662" s="15"/>
      <c r="F662" s="15"/>
      <c r="G662" s="15"/>
      <c r="H662" s="15"/>
      <c r="I662" s="15"/>
      <c r="J662" s="243"/>
      <c r="K662" s="15"/>
      <c r="L662" s="15"/>
      <c r="M662" s="15"/>
      <c r="N662" s="15"/>
      <c r="O662" s="243"/>
      <c r="P662" s="243"/>
      <c r="Q662" s="243"/>
      <c r="R662" s="243"/>
      <c r="S662" s="243"/>
      <c r="T662" s="243"/>
      <c r="U662" s="243"/>
    </row>
    <row r="663">
      <c r="A663" s="15"/>
      <c r="B663" s="15"/>
      <c r="C663" s="15"/>
      <c r="D663" s="15"/>
      <c r="E663" s="15"/>
      <c r="F663" s="15"/>
      <c r="G663" s="15"/>
      <c r="H663" s="15"/>
      <c r="I663" s="15"/>
      <c r="J663" s="243"/>
      <c r="K663" s="15"/>
      <c r="L663" s="15"/>
      <c r="M663" s="15"/>
      <c r="N663" s="15"/>
      <c r="O663" s="243"/>
      <c r="P663" s="243"/>
      <c r="Q663" s="243"/>
      <c r="R663" s="243"/>
      <c r="S663" s="243"/>
      <c r="T663" s="243"/>
      <c r="U663" s="243"/>
    </row>
    <row r="664">
      <c r="A664" s="15"/>
      <c r="B664" s="15"/>
      <c r="C664" s="15"/>
      <c r="D664" s="15"/>
      <c r="E664" s="15"/>
      <c r="F664" s="15"/>
      <c r="G664" s="15"/>
      <c r="H664" s="15"/>
      <c r="I664" s="15"/>
      <c r="J664" s="243"/>
      <c r="K664" s="15"/>
      <c r="L664" s="15"/>
      <c r="M664" s="15"/>
      <c r="N664" s="15"/>
      <c r="O664" s="243"/>
      <c r="P664" s="243"/>
      <c r="Q664" s="243"/>
      <c r="R664" s="243"/>
      <c r="S664" s="243"/>
      <c r="T664" s="243"/>
      <c r="U664" s="243"/>
    </row>
    <row r="665">
      <c r="A665" s="15"/>
      <c r="B665" s="15"/>
      <c r="C665" s="15"/>
      <c r="D665" s="15"/>
      <c r="E665" s="15"/>
      <c r="F665" s="15"/>
      <c r="G665" s="15"/>
      <c r="H665" s="15"/>
      <c r="I665" s="15"/>
      <c r="J665" s="243"/>
      <c r="K665" s="15"/>
      <c r="L665" s="15"/>
      <c r="M665" s="15"/>
      <c r="N665" s="15"/>
      <c r="O665" s="243"/>
      <c r="P665" s="243"/>
      <c r="Q665" s="243"/>
      <c r="R665" s="243"/>
      <c r="S665" s="243"/>
      <c r="T665" s="243"/>
      <c r="U665" s="243"/>
    </row>
    <row r="666">
      <c r="A666" s="15"/>
      <c r="B666" s="15"/>
      <c r="C666" s="15"/>
      <c r="D666" s="15"/>
      <c r="E666" s="15"/>
      <c r="F666" s="15"/>
      <c r="G666" s="15"/>
      <c r="H666" s="15"/>
      <c r="I666" s="15"/>
      <c r="J666" s="243"/>
      <c r="K666" s="15"/>
      <c r="L666" s="15"/>
      <c r="M666" s="15"/>
      <c r="N666" s="15"/>
      <c r="O666" s="243"/>
      <c r="P666" s="243"/>
      <c r="Q666" s="243"/>
      <c r="R666" s="243"/>
      <c r="S666" s="243"/>
      <c r="T666" s="243"/>
      <c r="U666" s="243"/>
    </row>
    <row r="667">
      <c r="A667" s="15"/>
      <c r="B667" s="15"/>
      <c r="C667" s="15"/>
      <c r="D667" s="15"/>
      <c r="E667" s="15"/>
      <c r="F667" s="15"/>
      <c r="G667" s="15"/>
      <c r="H667" s="15"/>
      <c r="I667" s="15"/>
      <c r="J667" s="243"/>
      <c r="K667" s="15"/>
      <c r="L667" s="15"/>
      <c r="M667" s="15"/>
      <c r="N667" s="15"/>
      <c r="O667" s="243"/>
      <c r="P667" s="243"/>
      <c r="Q667" s="243"/>
      <c r="R667" s="243"/>
      <c r="S667" s="243"/>
      <c r="T667" s="243"/>
      <c r="U667" s="243"/>
    </row>
    <row r="668">
      <c r="A668" s="15"/>
      <c r="B668" s="15"/>
      <c r="C668" s="15"/>
      <c r="D668" s="15"/>
      <c r="E668" s="15"/>
      <c r="F668" s="15"/>
      <c r="G668" s="15"/>
      <c r="H668" s="15"/>
      <c r="I668" s="15"/>
      <c r="J668" s="243"/>
      <c r="K668" s="15"/>
      <c r="L668" s="15"/>
      <c r="M668" s="15"/>
      <c r="N668" s="15"/>
      <c r="O668" s="243"/>
      <c r="P668" s="243"/>
      <c r="Q668" s="243"/>
      <c r="R668" s="243"/>
      <c r="S668" s="243"/>
      <c r="T668" s="243"/>
      <c r="U668" s="243"/>
    </row>
    <row r="669">
      <c r="A669" s="15"/>
      <c r="B669" s="15"/>
      <c r="C669" s="15"/>
      <c r="D669" s="15"/>
      <c r="E669" s="15"/>
      <c r="F669" s="15"/>
      <c r="G669" s="15"/>
      <c r="H669" s="15"/>
      <c r="I669" s="15"/>
      <c r="J669" s="243"/>
      <c r="K669" s="15"/>
      <c r="L669" s="15"/>
      <c r="M669" s="15"/>
      <c r="N669" s="15"/>
      <c r="O669" s="243"/>
      <c r="P669" s="243"/>
      <c r="Q669" s="243"/>
      <c r="R669" s="243"/>
      <c r="S669" s="243"/>
      <c r="T669" s="243"/>
      <c r="U669" s="243"/>
    </row>
    <row r="670">
      <c r="A670" s="15"/>
      <c r="B670" s="15"/>
      <c r="C670" s="15"/>
      <c r="D670" s="15"/>
      <c r="E670" s="15"/>
      <c r="F670" s="15"/>
      <c r="G670" s="15"/>
      <c r="H670" s="15"/>
      <c r="I670" s="15"/>
      <c r="J670" s="243"/>
      <c r="K670" s="15"/>
      <c r="L670" s="15"/>
      <c r="M670" s="15"/>
      <c r="N670" s="15"/>
      <c r="O670" s="243"/>
      <c r="P670" s="243"/>
      <c r="Q670" s="243"/>
      <c r="R670" s="243"/>
      <c r="S670" s="243"/>
      <c r="T670" s="243"/>
      <c r="U670" s="243"/>
    </row>
    <row r="671">
      <c r="A671" s="15"/>
      <c r="B671" s="15"/>
      <c r="C671" s="15"/>
      <c r="D671" s="15"/>
      <c r="E671" s="15"/>
      <c r="F671" s="15"/>
      <c r="G671" s="15"/>
      <c r="H671" s="15"/>
      <c r="I671" s="15"/>
      <c r="J671" s="243"/>
      <c r="K671" s="15"/>
      <c r="L671" s="15"/>
      <c r="M671" s="15"/>
      <c r="N671" s="15"/>
      <c r="O671" s="243"/>
      <c r="P671" s="243"/>
      <c r="Q671" s="243"/>
      <c r="R671" s="243"/>
      <c r="S671" s="243"/>
      <c r="T671" s="243"/>
      <c r="U671" s="243"/>
    </row>
    <row r="672">
      <c r="A672" s="15"/>
      <c r="B672" s="15"/>
      <c r="C672" s="15"/>
      <c r="D672" s="15"/>
      <c r="E672" s="15"/>
      <c r="F672" s="15"/>
      <c r="G672" s="15"/>
      <c r="H672" s="15"/>
      <c r="I672" s="15"/>
      <c r="J672" s="243"/>
      <c r="K672" s="15"/>
      <c r="L672" s="15"/>
      <c r="M672" s="15"/>
      <c r="N672" s="15"/>
      <c r="O672" s="243"/>
      <c r="P672" s="243"/>
      <c r="Q672" s="243"/>
      <c r="R672" s="243"/>
      <c r="S672" s="243"/>
      <c r="T672" s="243"/>
      <c r="U672" s="243"/>
    </row>
    <row r="673">
      <c r="A673" s="15"/>
      <c r="B673" s="15"/>
      <c r="C673" s="15"/>
      <c r="D673" s="15"/>
      <c r="E673" s="15"/>
      <c r="F673" s="15"/>
      <c r="G673" s="15"/>
      <c r="H673" s="15"/>
      <c r="I673" s="15"/>
      <c r="J673" s="243"/>
      <c r="K673" s="15"/>
      <c r="L673" s="15"/>
      <c r="M673" s="15"/>
      <c r="N673" s="15"/>
      <c r="O673" s="243"/>
      <c r="P673" s="243"/>
      <c r="Q673" s="243"/>
      <c r="R673" s="243"/>
      <c r="S673" s="243"/>
      <c r="T673" s="243"/>
      <c r="U673" s="243"/>
    </row>
    <row r="674">
      <c r="A674" s="15"/>
      <c r="B674" s="15"/>
      <c r="C674" s="15"/>
      <c r="D674" s="15"/>
      <c r="E674" s="15"/>
      <c r="F674" s="15"/>
      <c r="G674" s="15"/>
      <c r="H674" s="15"/>
      <c r="I674" s="15"/>
      <c r="J674" s="243"/>
      <c r="K674" s="15"/>
      <c r="L674" s="15"/>
      <c r="M674" s="15"/>
      <c r="N674" s="15"/>
      <c r="O674" s="243"/>
      <c r="P674" s="243"/>
      <c r="Q674" s="243"/>
      <c r="R674" s="243"/>
      <c r="S674" s="243"/>
      <c r="T674" s="243"/>
      <c r="U674" s="243"/>
    </row>
    <row r="675">
      <c r="A675" s="15"/>
      <c r="B675" s="15"/>
      <c r="C675" s="15"/>
      <c r="D675" s="15"/>
      <c r="E675" s="15"/>
      <c r="F675" s="15"/>
      <c r="G675" s="15"/>
      <c r="H675" s="15"/>
      <c r="I675" s="15"/>
      <c r="J675" s="243"/>
      <c r="K675" s="15"/>
      <c r="L675" s="15"/>
      <c r="M675" s="15"/>
      <c r="N675" s="15"/>
      <c r="O675" s="243"/>
      <c r="P675" s="243"/>
      <c r="Q675" s="243"/>
      <c r="R675" s="243"/>
      <c r="S675" s="243"/>
      <c r="T675" s="243"/>
      <c r="U675" s="243"/>
    </row>
    <row r="676">
      <c r="A676" s="15"/>
      <c r="B676" s="15"/>
      <c r="C676" s="15"/>
      <c r="D676" s="15"/>
      <c r="E676" s="15"/>
      <c r="F676" s="15"/>
      <c r="G676" s="15"/>
      <c r="H676" s="15"/>
      <c r="I676" s="15"/>
      <c r="J676" s="243"/>
      <c r="K676" s="15"/>
      <c r="L676" s="15"/>
      <c r="M676" s="15"/>
      <c r="N676" s="15"/>
      <c r="O676" s="243"/>
      <c r="P676" s="243"/>
      <c r="Q676" s="243"/>
      <c r="R676" s="243"/>
      <c r="S676" s="243"/>
      <c r="T676" s="243"/>
      <c r="U676" s="243"/>
    </row>
    <row r="677">
      <c r="A677" s="15"/>
      <c r="B677" s="15"/>
      <c r="C677" s="15"/>
      <c r="D677" s="15"/>
      <c r="E677" s="15"/>
      <c r="F677" s="15"/>
      <c r="G677" s="15"/>
      <c r="H677" s="15"/>
      <c r="I677" s="15"/>
      <c r="J677" s="243"/>
      <c r="K677" s="15"/>
      <c r="L677" s="15"/>
      <c r="M677" s="15"/>
      <c r="N677" s="15"/>
      <c r="O677" s="243"/>
      <c r="P677" s="243"/>
      <c r="Q677" s="243"/>
      <c r="R677" s="243"/>
      <c r="S677" s="243"/>
      <c r="T677" s="243"/>
      <c r="U677" s="243"/>
    </row>
    <row r="678">
      <c r="A678" s="15"/>
      <c r="B678" s="15"/>
      <c r="C678" s="15"/>
      <c r="D678" s="15"/>
      <c r="E678" s="15"/>
      <c r="F678" s="15"/>
      <c r="G678" s="15"/>
      <c r="H678" s="15"/>
      <c r="I678" s="15"/>
      <c r="J678" s="243"/>
      <c r="K678" s="15"/>
      <c r="L678" s="15"/>
      <c r="M678" s="15"/>
      <c r="N678" s="15"/>
      <c r="O678" s="243"/>
      <c r="P678" s="243"/>
      <c r="Q678" s="243"/>
      <c r="R678" s="243"/>
      <c r="S678" s="243"/>
      <c r="T678" s="243"/>
      <c r="U678" s="243"/>
    </row>
    <row r="679">
      <c r="A679" s="15"/>
      <c r="B679" s="15"/>
      <c r="C679" s="15"/>
      <c r="D679" s="15"/>
      <c r="E679" s="15"/>
      <c r="F679" s="15"/>
      <c r="G679" s="15"/>
      <c r="H679" s="15"/>
      <c r="I679" s="15"/>
      <c r="J679" s="243"/>
      <c r="K679" s="15"/>
      <c r="L679" s="15"/>
      <c r="M679" s="15"/>
      <c r="N679" s="15"/>
      <c r="O679" s="243"/>
      <c r="P679" s="243"/>
      <c r="Q679" s="243"/>
      <c r="R679" s="243"/>
      <c r="S679" s="243"/>
      <c r="T679" s="243"/>
      <c r="U679" s="243"/>
    </row>
    <row r="680">
      <c r="A680" s="15"/>
      <c r="B680" s="15"/>
      <c r="C680" s="15"/>
      <c r="D680" s="15"/>
      <c r="E680" s="15"/>
      <c r="F680" s="15"/>
      <c r="G680" s="15"/>
      <c r="H680" s="15"/>
      <c r="I680" s="15"/>
      <c r="J680" s="243"/>
      <c r="K680" s="15"/>
      <c r="L680" s="15"/>
      <c r="M680" s="15"/>
      <c r="N680" s="15"/>
      <c r="O680" s="243"/>
      <c r="P680" s="243"/>
      <c r="Q680" s="243"/>
      <c r="R680" s="243"/>
      <c r="S680" s="243"/>
      <c r="T680" s="243"/>
      <c r="U680" s="243"/>
    </row>
    <row r="681">
      <c r="A681" s="15"/>
      <c r="B681" s="15"/>
      <c r="C681" s="15"/>
      <c r="D681" s="15"/>
      <c r="E681" s="15"/>
      <c r="F681" s="15"/>
      <c r="G681" s="15"/>
      <c r="H681" s="15"/>
      <c r="I681" s="15"/>
      <c r="J681" s="243"/>
      <c r="K681" s="15"/>
      <c r="L681" s="15"/>
      <c r="M681" s="15"/>
      <c r="N681" s="15"/>
      <c r="O681" s="243"/>
      <c r="P681" s="243"/>
      <c r="Q681" s="243"/>
      <c r="R681" s="243"/>
      <c r="S681" s="243"/>
      <c r="T681" s="243"/>
      <c r="U681" s="243"/>
    </row>
    <row r="682">
      <c r="A682" s="15"/>
      <c r="B682" s="15"/>
      <c r="C682" s="15"/>
      <c r="D682" s="15"/>
      <c r="E682" s="15"/>
      <c r="F682" s="15"/>
      <c r="G682" s="15"/>
      <c r="H682" s="15"/>
      <c r="I682" s="15"/>
      <c r="J682" s="243"/>
      <c r="K682" s="15"/>
      <c r="L682" s="15"/>
      <c r="M682" s="15"/>
      <c r="N682" s="15"/>
      <c r="O682" s="243"/>
      <c r="P682" s="243"/>
      <c r="Q682" s="243"/>
      <c r="R682" s="243"/>
      <c r="S682" s="243"/>
      <c r="T682" s="243"/>
      <c r="U682" s="243"/>
    </row>
    <row r="683">
      <c r="A683" s="15"/>
      <c r="B683" s="15"/>
      <c r="C683" s="15"/>
      <c r="D683" s="15"/>
      <c r="E683" s="15"/>
      <c r="F683" s="15"/>
      <c r="G683" s="15"/>
      <c r="H683" s="15"/>
      <c r="I683" s="15"/>
      <c r="J683" s="243"/>
      <c r="K683" s="15"/>
      <c r="L683" s="15"/>
      <c r="M683" s="15"/>
      <c r="N683" s="15"/>
      <c r="O683" s="243"/>
      <c r="P683" s="243"/>
      <c r="Q683" s="243"/>
      <c r="R683" s="243"/>
      <c r="S683" s="243"/>
      <c r="T683" s="243"/>
      <c r="U683" s="243"/>
    </row>
    <row r="684">
      <c r="A684" s="15"/>
      <c r="B684" s="15"/>
      <c r="C684" s="15"/>
      <c r="D684" s="15"/>
      <c r="E684" s="15"/>
      <c r="F684" s="15"/>
      <c r="G684" s="15"/>
      <c r="H684" s="15"/>
      <c r="I684" s="15"/>
      <c r="J684" s="243"/>
      <c r="K684" s="15"/>
      <c r="L684" s="15"/>
      <c r="M684" s="15"/>
      <c r="N684" s="15"/>
      <c r="O684" s="243"/>
      <c r="P684" s="243"/>
      <c r="Q684" s="243"/>
      <c r="R684" s="243"/>
      <c r="S684" s="243"/>
      <c r="T684" s="243"/>
      <c r="U684" s="243"/>
    </row>
    <row r="685">
      <c r="A685" s="15"/>
      <c r="B685" s="15"/>
      <c r="C685" s="15"/>
      <c r="D685" s="15"/>
      <c r="E685" s="15"/>
      <c r="F685" s="15"/>
      <c r="G685" s="15"/>
      <c r="H685" s="15"/>
      <c r="I685" s="15"/>
      <c r="J685" s="243"/>
      <c r="K685" s="15"/>
      <c r="L685" s="15"/>
      <c r="M685" s="15"/>
      <c r="N685" s="15"/>
      <c r="O685" s="243"/>
      <c r="P685" s="243"/>
      <c r="Q685" s="243"/>
      <c r="R685" s="243"/>
      <c r="S685" s="243"/>
      <c r="T685" s="243"/>
      <c r="U685" s="243"/>
    </row>
    <row r="686">
      <c r="A686" s="15"/>
      <c r="B686" s="15"/>
      <c r="C686" s="15"/>
      <c r="D686" s="15"/>
      <c r="E686" s="15"/>
      <c r="F686" s="15"/>
      <c r="G686" s="15"/>
      <c r="H686" s="15"/>
      <c r="I686" s="15"/>
      <c r="J686" s="243"/>
      <c r="K686" s="15"/>
      <c r="L686" s="15"/>
      <c r="M686" s="15"/>
      <c r="N686" s="15"/>
      <c r="O686" s="243"/>
      <c r="P686" s="243"/>
      <c r="Q686" s="243"/>
      <c r="R686" s="243"/>
      <c r="S686" s="243"/>
      <c r="T686" s="243"/>
      <c r="U686" s="243"/>
    </row>
    <row r="687">
      <c r="A687" s="15"/>
      <c r="B687" s="15"/>
      <c r="C687" s="15"/>
      <c r="D687" s="15"/>
      <c r="E687" s="15"/>
      <c r="F687" s="15"/>
      <c r="G687" s="15"/>
      <c r="H687" s="15"/>
      <c r="I687" s="15"/>
      <c r="J687" s="243"/>
      <c r="K687" s="15"/>
      <c r="L687" s="15"/>
      <c r="M687" s="15"/>
      <c r="N687" s="15"/>
      <c r="O687" s="243"/>
      <c r="P687" s="243"/>
      <c r="Q687" s="243"/>
      <c r="R687" s="243"/>
      <c r="S687" s="243"/>
      <c r="T687" s="243"/>
      <c r="U687" s="243"/>
    </row>
    <row r="688">
      <c r="A688" s="15"/>
      <c r="B688" s="15"/>
      <c r="C688" s="15"/>
      <c r="D688" s="15"/>
      <c r="E688" s="15"/>
      <c r="F688" s="15"/>
      <c r="G688" s="15"/>
      <c r="H688" s="15"/>
      <c r="I688" s="15"/>
      <c r="J688" s="243"/>
      <c r="K688" s="15"/>
      <c r="L688" s="15"/>
      <c r="M688" s="15"/>
      <c r="N688" s="15"/>
      <c r="O688" s="243"/>
      <c r="P688" s="243"/>
      <c r="Q688" s="243"/>
      <c r="R688" s="243"/>
      <c r="S688" s="243"/>
      <c r="T688" s="243"/>
      <c r="U688" s="243"/>
    </row>
    <row r="689">
      <c r="A689" s="15"/>
      <c r="B689" s="15"/>
      <c r="C689" s="15"/>
      <c r="D689" s="15"/>
      <c r="E689" s="15"/>
      <c r="F689" s="15"/>
      <c r="G689" s="15"/>
      <c r="H689" s="15"/>
      <c r="I689" s="15"/>
      <c r="J689" s="243"/>
      <c r="K689" s="15"/>
      <c r="L689" s="15"/>
      <c r="M689" s="15"/>
      <c r="N689" s="15"/>
      <c r="O689" s="243"/>
      <c r="P689" s="243"/>
      <c r="Q689" s="243"/>
      <c r="R689" s="243"/>
      <c r="S689" s="243"/>
      <c r="T689" s="243"/>
      <c r="U689" s="243"/>
    </row>
    <row r="690">
      <c r="A690" s="15"/>
      <c r="B690" s="15"/>
      <c r="C690" s="15"/>
      <c r="D690" s="15"/>
      <c r="E690" s="15"/>
      <c r="F690" s="15"/>
      <c r="G690" s="15"/>
      <c r="H690" s="15"/>
      <c r="I690" s="15"/>
      <c r="J690" s="243"/>
      <c r="K690" s="15"/>
      <c r="L690" s="15"/>
      <c r="M690" s="15"/>
      <c r="N690" s="15"/>
      <c r="O690" s="243"/>
      <c r="P690" s="243"/>
      <c r="Q690" s="243"/>
      <c r="R690" s="243"/>
      <c r="S690" s="243"/>
      <c r="T690" s="243"/>
      <c r="U690" s="243"/>
    </row>
    <row r="691">
      <c r="A691" s="15"/>
      <c r="B691" s="15"/>
      <c r="C691" s="15"/>
      <c r="D691" s="15"/>
      <c r="E691" s="15"/>
      <c r="F691" s="15"/>
      <c r="G691" s="15"/>
      <c r="H691" s="15"/>
      <c r="I691" s="15"/>
      <c r="J691" s="243"/>
      <c r="K691" s="15"/>
      <c r="L691" s="15"/>
      <c r="M691" s="15"/>
      <c r="N691" s="15"/>
      <c r="O691" s="243"/>
      <c r="P691" s="243"/>
      <c r="Q691" s="243"/>
      <c r="R691" s="243"/>
      <c r="S691" s="243"/>
      <c r="T691" s="243"/>
      <c r="U691" s="243"/>
    </row>
    <row r="692">
      <c r="A692" s="15"/>
      <c r="B692" s="15"/>
      <c r="C692" s="15"/>
      <c r="D692" s="15"/>
      <c r="E692" s="15"/>
      <c r="F692" s="15"/>
      <c r="G692" s="15"/>
      <c r="H692" s="15"/>
      <c r="I692" s="15"/>
      <c r="J692" s="243"/>
      <c r="K692" s="15"/>
      <c r="L692" s="15"/>
      <c r="M692" s="15"/>
      <c r="N692" s="15"/>
      <c r="O692" s="243"/>
      <c r="P692" s="243"/>
      <c r="Q692" s="243"/>
      <c r="R692" s="243"/>
      <c r="S692" s="243"/>
      <c r="T692" s="243"/>
      <c r="U692" s="243"/>
    </row>
    <row r="693">
      <c r="A693" s="15"/>
      <c r="B693" s="15"/>
      <c r="C693" s="15"/>
      <c r="D693" s="15"/>
      <c r="E693" s="15"/>
      <c r="F693" s="15"/>
      <c r="G693" s="15"/>
      <c r="H693" s="15"/>
      <c r="I693" s="15"/>
      <c r="J693" s="243"/>
      <c r="K693" s="15"/>
      <c r="L693" s="15"/>
      <c r="M693" s="15"/>
      <c r="N693" s="15"/>
      <c r="O693" s="243"/>
      <c r="P693" s="243"/>
      <c r="Q693" s="243"/>
      <c r="R693" s="243"/>
      <c r="S693" s="243"/>
      <c r="T693" s="243"/>
      <c r="U693" s="243"/>
    </row>
    <row r="694">
      <c r="A694" s="15"/>
      <c r="B694" s="15"/>
      <c r="C694" s="15"/>
      <c r="D694" s="15"/>
      <c r="E694" s="15"/>
      <c r="F694" s="15"/>
      <c r="G694" s="15"/>
      <c r="H694" s="15"/>
      <c r="I694" s="15"/>
      <c r="J694" s="243"/>
      <c r="K694" s="15"/>
      <c r="L694" s="15"/>
      <c r="M694" s="15"/>
      <c r="N694" s="15"/>
      <c r="O694" s="243"/>
      <c r="P694" s="243"/>
      <c r="Q694" s="243"/>
      <c r="R694" s="243"/>
      <c r="S694" s="243"/>
      <c r="T694" s="243"/>
      <c r="U694" s="243"/>
    </row>
    <row r="695">
      <c r="A695" s="15"/>
      <c r="B695" s="15"/>
      <c r="C695" s="15"/>
      <c r="D695" s="15"/>
      <c r="E695" s="15"/>
      <c r="F695" s="15"/>
      <c r="G695" s="15"/>
      <c r="H695" s="15"/>
      <c r="I695" s="15"/>
      <c r="J695" s="243"/>
      <c r="K695" s="15"/>
      <c r="L695" s="15"/>
      <c r="M695" s="15"/>
      <c r="N695" s="15"/>
      <c r="O695" s="243"/>
      <c r="P695" s="243"/>
      <c r="Q695" s="243"/>
      <c r="R695" s="243"/>
      <c r="S695" s="243"/>
      <c r="T695" s="243"/>
      <c r="U695" s="243"/>
    </row>
    <row r="696">
      <c r="A696" s="15"/>
      <c r="B696" s="15"/>
      <c r="C696" s="15"/>
      <c r="D696" s="15"/>
      <c r="E696" s="15"/>
      <c r="F696" s="15"/>
      <c r="G696" s="15"/>
      <c r="H696" s="15"/>
      <c r="I696" s="15"/>
      <c r="J696" s="243"/>
      <c r="K696" s="15"/>
      <c r="L696" s="15"/>
      <c r="M696" s="15"/>
      <c r="N696" s="15"/>
      <c r="O696" s="243"/>
      <c r="P696" s="243"/>
      <c r="Q696" s="243"/>
      <c r="R696" s="243"/>
      <c r="S696" s="243"/>
      <c r="T696" s="243"/>
      <c r="U696" s="243"/>
    </row>
    <row r="697">
      <c r="A697" s="15"/>
      <c r="B697" s="15"/>
      <c r="C697" s="15"/>
      <c r="D697" s="15"/>
      <c r="E697" s="15"/>
      <c r="F697" s="15"/>
      <c r="G697" s="15"/>
      <c r="H697" s="15"/>
      <c r="I697" s="15"/>
      <c r="J697" s="243"/>
      <c r="K697" s="15"/>
      <c r="L697" s="15"/>
      <c r="M697" s="15"/>
      <c r="N697" s="15"/>
      <c r="O697" s="243"/>
      <c r="P697" s="243"/>
      <c r="Q697" s="243"/>
      <c r="R697" s="243"/>
      <c r="S697" s="243"/>
      <c r="T697" s="243"/>
      <c r="U697" s="243"/>
    </row>
    <row r="698">
      <c r="A698" s="15"/>
      <c r="B698" s="15"/>
      <c r="C698" s="15"/>
      <c r="D698" s="15"/>
      <c r="E698" s="15"/>
      <c r="F698" s="15"/>
      <c r="G698" s="15"/>
      <c r="H698" s="15"/>
      <c r="I698" s="15"/>
      <c r="J698" s="243"/>
      <c r="K698" s="15"/>
      <c r="L698" s="15"/>
      <c r="M698" s="15"/>
      <c r="N698" s="15"/>
      <c r="O698" s="243"/>
      <c r="P698" s="243"/>
      <c r="Q698" s="243"/>
      <c r="R698" s="243"/>
      <c r="S698" s="243"/>
      <c r="T698" s="243"/>
      <c r="U698" s="243"/>
    </row>
    <row r="699">
      <c r="A699" s="15"/>
      <c r="B699" s="15"/>
      <c r="C699" s="15"/>
      <c r="D699" s="15"/>
      <c r="E699" s="15"/>
      <c r="F699" s="15"/>
      <c r="G699" s="15"/>
      <c r="H699" s="15"/>
      <c r="I699" s="15"/>
      <c r="J699" s="243"/>
      <c r="K699" s="15"/>
      <c r="L699" s="15"/>
      <c r="M699" s="15"/>
      <c r="N699" s="15"/>
      <c r="O699" s="243"/>
      <c r="P699" s="243"/>
      <c r="Q699" s="243"/>
      <c r="R699" s="243"/>
      <c r="S699" s="243"/>
      <c r="T699" s="243"/>
      <c r="U699" s="243"/>
    </row>
    <row r="700">
      <c r="A700" s="15"/>
      <c r="B700" s="15"/>
      <c r="C700" s="15"/>
      <c r="D700" s="15"/>
      <c r="E700" s="15"/>
      <c r="F700" s="15"/>
      <c r="G700" s="15"/>
      <c r="H700" s="15"/>
      <c r="I700" s="15"/>
      <c r="J700" s="243"/>
      <c r="K700" s="15"/>
      <c r="L700" s="15"/>
      <c r="M700" s="15"/>
      <c r="N700" s="15"/>
      <c r="O700" s="243"/>
      <c r="P700" s="243"/>
      <c r="Q700" s="243"/>
      <c r="R700" s="243"/>
      <c r="S700" s="243"/>
      <c r="T700" s="243"/>
      <c r="U700" s="243"/>
    </row>
    <row r="701">
      <c r="A701" s="15"/>
      <c r="B701" s="15"/>
      <c r="C701" s="15"/>
      <c r="D701" s="15"/>
      <c r="E701" s="15"/>
      <c r="F701" s="15"/>
      <c r="G701" s="15"/>
      <c r="H701" s="15"/>
      <c r="I701" s="15"/>
      <c r="J701" s="243"/>
      <c r="K701" s="15"/>
      <c r="L701" s="15"/>
      <c r="M701" s="15"/>
      <c r="N701" s="15"/>
      <c r="O701" s="243"/>
      <c r="P701" s="243"/>
      <c r="Q701" s="243"/>
      <c r="R701" s="243"/>
      <c r="S701" s="243"/>
      <c r="T701" s="243"/>
      <c r="U701" s="243"/>
    </row>
    <row r="702">
      <c r="A702" s="15"/>
      <c r="B702" s="15"/>
      <c r="C702" s="15"/>
      <c r="D702" s="15"/>
      <c r="E702" s="15"/>
      <c r="F702" s="15"/>
      <c r="G702" s="15"/>
      <c r="H702" s="15"/>
      <c r="I702" s="15"/>
      <c r="J702" s="243"/>
      <c r="K702" s="15"/>
      <c r="L702" s="15"/>
      <c r="M702" s="15"/>
      <c r="N702" s="15"/>
      <c r="O702" s="243"/>
      <c r="P702" s="243"/>
      <c r="Q702" s="243"/>
      <c r="R702" s="243"/>
      <c r="S702" s="243"/>
      <c r="T702" s="243"/>
      <c r="U702" s="243"/>
    </row>
    <row r="703">
      <c r="A703" s="15"/>
      <c r="B703" s="15"/>
      <c r="C703" s="15"/>
      <c r="D703" s="15"/>
      <c r="E703" s="15"/>
      <c r="F703" s="15"/>
      <c r="G703" s="15"/>
      <c r="H703" s="15"/>
      <c r="I703" s="15"/>
      <c r="J703" s="243"/>
      <c r="K703" s="15"/>
      <c r="L703" s="15"/>
      <c r="M703" s="15"/>
      <c r="N703" s="15"/>
      <c r="O703" s="243"/>
      <c r="P703" s="243"/>
      <c r="Q703" s="243"/>
      <c r="R703" s="243"/>
      <c r="S703" s="243"/>
      <c r="T703" s="243"/>
      <c r="U703" s="243"/>
    </row>
    <row r="704">
      <c r="A704" s="15"/>
      <c r="B704" s="15"/>
      <c r="C704" s="15"/>
      <c r="D704" s="15"/>
      <c r="E704" s="15"/>
      <c r="F704" s="15"/>
      <c r="G704" s="15"/>
      <c r="H704" s="15"/>
      <c r="I704" s="15"/>
      <c r="J704" s="243"/>
      <c r="K704" s="15"/>
      <c r="L704" s="15"/>
      <c r="M704" s="15"/>
      <c r="N704" s="15"/>
      <c r="O704" s="243"/>
      <c r="P704" s="243"/>
      <c r="Q704" s="243"/>
      <c r="R704" s="243"/>
      <c r="S704" s="243"/>
      <c r="T704" s="243"/>
      <c r="U704" s="243"/>
    </row>
    <row r="705">
      <c r="A705" s="15"/>
      <c r="B705" s="15"/>
      <c r="C705" s="15"/>
      <c r="D705" s="15"/>
      <c r="E705" s="15"/>
      <c r="F705" s="15"/>
      <c r="G705" s="15"/>
      <c r="H705" s="15"/>
      <c r="I705" s="15"/>
      <c r="J705" s="243"/>
      <c r="K705" s="15"/>
      <c r="L705" s="15"/>
      <c r="M705" s="15"/>
      <c r="N705" s="15"/>
      <c r="O705" s="243"/>
      <c r="P705" s="243"/>
      <c r="Q705" s="243"/>
      <c r="R705" s="243"/>
      <c r="S705" s="243"/>
      <c r="T705" s="243"/>
      <c r="U705" s="243"/>
    </row>
    <row r="706">
      <c r="A706" s="15"/>
      <c r="B706" s="15"/>
      <c r="C706" s="15"/>
      <c r="D706" s="15"/>
      <c r="E706" s="15"/>
      <c r="F706" s="15"/>
      <c r="G706" s="15"/>
      <c r="H706" s="15"/>
      <c r="I706" s="15"/>
      <c r="J706" s="243"/>
      <c r="K706" s="15"/>
      <c r="L706" s="15"/>
      <c r="M706" s="15"/>
      <c r="N706" s="15"/>
      <c r="O706" s="243"/>
      <c r="P706" s="243"/>
      <c r="Q706" s="243"/>
      <c r="R706" s="243"/>
      <c r="S706" s="243"/>
      <c r="T706" s="243"/>
      <c r="U706" s="243"/>
    </row>
    <row r="707">
      <c r="A707" s="15"/>
      <c r="B707" s="15"/>
      <c r="C707" s="15"/>
      <c r="D707" s="15"/>
      <c r="E707" s="15"/>
      <c r="F707" s="15"/>
      <c r="G707" s="15"/>
      <c r="H707" s="15"/>
      <c r="I707" s="15"/>
      <c r="J707" s="243"/>
      <c r="K707" s="15"/>
      <c r="L707" s="15"/>
      <c r="M707" s="15"/>
      <c r="N707" s="15"/>
      <c r="O707" s="243"/>
      <c r="P707" s="243"/>
      <c r="Q707" s="243"/>
      <c r="R707" s="243"/>
      <c r="S707" s="243"/>
      <c r="T707" s="243"/>
      <c r="U707" s="243"/>
    </row>
    <row r="708">
      <c r="A708" s="15"/>
      <c r="B708" s="15"/>
      <c r="C708" s="15"/>
      <c r="D708" s="15"/>
      <c r="E708" s="15"/>
      <c r="F708" s="15"/>
      <c r="G708" s="15"/>
      <c r="H708" s="15"/>
      <c r="I708" s="15"/>
      <c r="J708" s="243"/>
      <c r="K708" s="15"/>
      <c r="L708" s="15"/>
      <c r="M708" s="15"/>
      <c r="N708" s="15"/>
      <c r="O708" s="243"/>
      <c r="P708" s="243"/>
      <c r="Q708" s="243"/>
      <c r="R708" s="243"/>
      <c r="S708" s="243"/>
      <c r="T708" s="243"/>
      <c r="U708" s="243"/>
    </row>
    <row r="709">
      <c r="A709" s="15"/>
      <c r="B709" s="15"/>
      <c r="C709" s="15"/>
      <c r="D709" s="15"/>
      <c r="E709" s="15"/>
      <c r="F709" s="15"/>
      <c r="G709" s="15"/>
      <c r="H709" s="15"/>
      <c r="I709" s="15"/>
      <c r="J709" s="243"/>
      <c r="K709" s="15"/>
      <c r="L709" s="15"/>
      <c r="M709" s="15"/>
      <c r="N709" s="15"/>
      <c r="O709" s="243"/>
      <c r="P709" s="243"/>
      <c r="Q709" s="243"/>
      <c r="R709" s="243"/>
      <c r="S709" s="243"/>
      <c r="T709" s="243"/>
      <c r="U709" s="243"/>
    </row>
    <row r="710">
      <c r="A710" s="15"/>
      <c r="B710" s="15"/>
      <c r="C710" s="15"/>
      <c r="D710" s="15"/>
      <c r="E710" s="15"/>
      <c r="F710" s="15"/>
      <c r="G710" s="15"/>
      <c r="H710" s="15"/>
      <c r="I710" s="15"/>
      <c r="J710" s="243"/>
      <c r="K710" s="15"/>
      <c r="L710" s="15"/>
      <c r="M710" s="15"/>
      <c r="N710" s="15"/>
      <c r="O710" s="243"/>
      <c r="P710" s="243"/>
      <c r="Q710" s="243"/>
      <c r="R710" s="243"/>
      <c r="S710" s="243"/>
      <c r="T710" s="243"/>
      <c r="U710" s="243"/>
    </row>
    <row r="711">
      <c r="A711" s="15"/>
      <c r="B711" s="15"/>
      <c r="C711" s="15"/>
      <c r="D711" s="15"/>
      <c r="E711" s="15"/>
      <c r="F711" s="15"/>
      <c r="G711" s="15"/>
      <c r="H711" s="15"/>
      <c r="I711" s="15"/>
      <c r="J711" s="243"/>
      <c r="K711" s="15"/>
      <c r="L711" s="15"/>
      <c r="M711" s="15"/>
      <c r="N711" s="15"/>
      <c r="O711" s="243"/>
      <c r="P711" s="243"/>
      <c r="Q711" s="243"/>
      <c r="R711" s="243"/>
      <c r="S711" s="243"/>
      <c r="T711" s="243"/>
      <c r="U711" s="243"/>
    </row>
    <row r="712">
      <c r="A712" s="15"/>
      <c r="B712" s="15"/>
      <c r="C712" s="15"/>
      <c r="D712" s="15"/>
      <c r="E712" s="15"/>
      <c r="F712" s="15"/>
      <c r="G712" s="15"/>
      <c r="H712" s="15"/>
      <c r="I712" s="15"/>
      <c r="J712" s="243"/>
      <c r="K712" s="15"/>
      <c r="L712" s="15"/>
      <c r="M712" s="15"/>
      <c r="N712" s="15"/>
      <c r="O712" s="243"/>
      <c r="P712" s="243"/>
      <c r="Q712" s="243"/>
      <c r="R712" s="243"/>
      <c r="S712" s="243"/>
      <c r="T712" s="243"/>
      <c r="U712" s="243"/>
    </row>
    <row r="713">
      <c r="A713" s="15"/>
      <c r="B713" s="15"/>
      <c r="C713" s="15"/>
      <c r="D713" s="15"/>
      <c r="E713" s="15"/>
      <c r="F713" s="15"/>
      <c r="G713" s="15"/>
      <c r="H713" s="15"/>
      <c r="I713" s="15"/>
      <c r="J713" s="243"/>
      <c r="K713" s="15"/>
      <c r="L713" s="15"/>
      <c r="M713" s="15"/>
      <c r="N713" s="15"/>
      <c r="O713" s="243"/>
      <c r="P713" s="243"/>
      <c r="Q713" s="243"/>
      <c r="R713" s="243"/>
      <c r="S713" s="243"/>
      <c r="T713" s="243"/>
      <c r="U713" s="243"/>
    </row>
    <row r="714">
      <c r="A714" s="15"/>
      <c r="B714" s="15"/>
      <c r="C714" s="15"/>
      <c r="D714" s="15"/>
      <c r="E714" s="15"/>
      <c r="F714" s="15"/>
      <c r="G714" s="15"/>
      <c r="H714" s="15"/>
      <c r="I714" s="15"/>
      <c r="J714" s="243"/>
      <c r="K714" s="15"/>
      <c r="L714" s="15"/>
      <c r="M714" s="15"/>
      <c r="N714" s="15"/>
      <c r="O714" s="243"/>
      <c r="P714" s="243"/>
      <c r="Q714" s="243"/>
      <c r="R714" s="243"/>
      <c r="S714" s="243"/>
      <c r="T714" s="243"/>
      <c r="U714" s="243"/>
    </row>
    <row r="715">
      <c r="A715" s="15"/>
      <c r="B715" s="15"/>
      <c r="C715" s="15"/>
      <c r="D715" s="15"/>
      <c r="E715" s="15"/>
      <c r="F715" s="15"/>
      <c r="G715" s="15"/>
      <c r="H715" s="15"/>
      <c r="I715" s="15"/>
      <c r="J715" s="243"/>
      <c r="K715" s="15"/>
      <c r="L715" s="15"/>
      <c r="M715" s="15"/>
      <c r="N715" s="15"/>
      <c r="O715" s="243"/>
      <c r="P715" s="243"/>
      <c r="Q715" s="243"/>
      <c r="R715" s="243"/>
      <c r="S715" s="243"/>
      <c r="T715" s="243"/>
      <c r="U715" s="243"/>
    </row>
    <row r="716">
      <c r="A716" s="15"/>
      <c r="B716" s="15"/>
      <c r="C716" s="15"/>
      <c r="D716" s="15"/>
      <c r="E716" s="15"/>
      <c r="F716" s="15"/>
      <c r="G716" s="15"/>
      <c r="H716" s="15"/>
      <c r="I716" s="15"/>
      <c r="J716" s="243"/>
      <c r="K716" s="15"/>
      <c r="L716" s="15"/>
      <c r="M716" s="15"/>
      <c r="N716" s="15"/>
      <c r="O716" s="243"/>
      <c r="P716" s="243"/>
      <c r="Q716" s="243"/>
      <c r="R716" s="243"/>
      <c r="S716" s="243"/>
      <c r="T716" s="243"/>
      <c r="U716" s="243"/>
    </row>
    <row r="717">
      <c r="A717" s="15"/>
      <c r="B717" s="15"/>
      <c r="C717" s="15"/>
      <c r="D717" s="15"/>
      <c r="E717" s="15"/>
      <c r="F717" s="15"/>
      <c r="G717" s="15"/>
      <c r="H717" s="15"/>
      <c r="I717" s="15"/>
      <c r="J717" s="243"/>
      <c r="K717" s="15"/>
      <c r="L717" s="15"/>
      <c r="M717" s="15"/>
      <c r="N717" s="15"/>
      <c r="O717" s="243"/>
      <c r="P717" s="243"/>
      <c r="Q717" s="243"/>
      <c r="R717" s="243"/>
      <c r="S717" s="243"/>
      <c r="T717" s="243"/>
      <c r="U717" s="243"/>
    </row>
    <row r="718">
      <c r="A718" s="15"/>
      <c r="B718" s="15"/>
      <c r="C718" s="15"/>
      <c r="D718" s="15"/>
      <c r="E718" s="15"/>
      <c r="F718" s="15"/>
      <c r="G718" s="15"/>
      <c r="H718" s="15"/>
      <c r="I718" s="15"/>
      <c r="J718" s="243"/>
      <c r="K718" s="15"/>
      <c r="L718" s="15"/>
      <c r="M718" s="15"/>
      <c r="N718" s="15"/>
      <c r="O718" s="243"/>
      <c r="P718" s="243"/>
      <c r="Q718" s="243"/>
      <c r="R718" s="243"/>
      <c r="S718" s="243"/>
      <c r="T718" s="243"/>
      <c r="U718" s="243"/>
    </row>
    <row r="719">
      <c r="A719" s="15"/>
      <c r="B719" s="15"/>
      <c r="C719" s="15"/>
      <c r="D719" s="15"/>
      <c r="E719" s="15"/>
      <c r="F719" s="15"/>
      <c r="G719" s="15"/>
      <c r="H719" s="15"/>
      <c r="I719" s="15"/>
      <c r="J719" s="243"/>
      <c r="K719" s="15"/>
      <c r="L719" s="15"/>
      <c r="M719" s="15"/>
      <c r="N719" s="15"/>
      <c r="O719" s="243"/>
      <c r="P719" s="243"/>
      <c r="Q719" s="243"/>
      <c r="R719" s="243"/>
      <c r="S719" s="243"/>
      <c r="T719" s="243"/>
      <c r="U719" s="243"/>
    </row>
    <row r="720">
      <c r="A720" s="15"/>
      <c r="B720" s="15"/>
      <c r="C720" s="15"/>
      <c r="D720" s="15"/>
      <c r="E720" s="15"/>
      <c r="F720" s="15"/>
      <c r="G720" s="15"/>
      <c r="H720" s="15"/>
      <c r="I720" s="15"/>
      <c r="J720" s="243"/>
      <c r="K720" s="15"/>
      <c r="L720" s="15"/>
      <c r="M720" s="15"/>
      <c r="N720" s="15"/>
      <c r="O720" s="243"/>
      <c r="P720" s="243"/>
      <c r="Q720" s="243"/>
      <c r="R720" s="243"/>
      <c r="S720" s="243"/>
      <c r="T720" s="243"/>
      <c r="U720" s="243"/>
    </row>
    <row r="721">
      <c r="A721" s="15"/>
      <c r="B721" s="15"/>
      <c r="C721" s="15"/>
      <c r="D721" s="15"/>
      <c r="E721" s="15"/>
      <c r="F721" s="15"/>
      <c r="G721" s="15"/>
      <c r="H721" s="15"/>
      <c r="I721" s="15"/>
      <c r="J721" s="243"/>
      <c r="K721" s="15"/>
      <c r="L721" s="15"/>
      <c r="M721" s="15"/>
      <c r="N721" s="15"/>
      <c r="O721" s="243"/>
      <c r="P721" s="243"/>
      <c r="Q721" s="243"/>
      <c r="R721" s="243"/>
      <c r="S721" s="243"/>
      <c r="T721" s="243"/>
      <c r="U721" s="243"/>
    </row>
    <row r="722">
      <c r="A722" s="15"/>
      <c r="B722" s="15"/>
      <c r="C722" s="15"/>
      <c r="D722" s="15"/>
      <c r="E722" s="15"/>
      <c r="F722" s="15"/>
      <c r="G722" s="15"/>
      <c r="H722" s="15"/>
      <c r="I722" s="15"/>
      <c r="J722" s="243"/>
      <c r="K722" s="15"/>
      <c r="L722" s="15"/>
      <c r="M722" s="15"/>
      <c r="N722" s="15"/>
      <c r="O722" s="243"/>
      <c r="P722" s="243"/>
      <c r="Q722" s="243"/>
      <c r="R722" s="243"/>
      <c r="S722" s="243"/>
      <c r="T722" s="243"/>
      <c r="U722" s="243"/>
    </row>
    <row r="723">
      <c r="A723" s="15"/>
      <c r="B723" s="15"/>
      <c r="C723" s="15"/>
      <c r="D723" s="15"/>
      <c r="E723" s="15"/>
      <c r="F723" s="15"/>
      <c r="G723" s="15"/>
      <c r="H723" s="15"/>
      <c r="I723" s="15"/>
      <c r="J723" s="243"/>
      <c r="K723" s="15"/>
      <c r="L723" s="15"/>
      <c r="M723" s="15"/>
      <c r="N723" s="15"/>
      <c r="O723" s="243"/>
      <c r="P723" s="243"/>
      <c r="Q723" s="243"/>
      <c r="R723" s="243"/>
      <c r="S723" s="243"/>
      <c r="T723" s="243"/>
      <c r="U723" s="243"/>
    </row>
    <row r="724">
      <c r="A724" s="15"/>
      <c r="B724" s="15"/>
      <c r="C724" s="15"/>
      <c r="D724" s="15"/>
      <c r="E724" s="15"/>
      <c r="F724" s="15"/>
      <c r="G724" s="15"/>
      <c r="H724" s="15"/>
      <c r="I724" s="15"/>
      <c r="J724" s="243"/>
      <c r="K724" s="15"/>
      <c r="L724" s="15"/>
      <c r="M724" s="15"/>
      <c r="N724" s="15"/>
      <c r="O724" s="243"/>
      <c r="P724" s="243"/>
      <c r="Q724" s="243"/>
      <c r="R724" s="243"/>
      <c r="S724" s="243"/>
      <c r="T724" s="243"/>
      <c r="U724" s="243"/>
    </row>
    <row r="725">
      <c r="A725" s="15"/>
      <c r="B725" s="15"/>
      <c r="C725" s="15"/>
      <c r="D725" s="15"/>
      <c r="E725" s="15"/>
      <c r="F725" s="15"/>
      <c r="G725" s="15"/>
      <c r="H725" s="15"/>
      <c r="I725" s="15"/>
      <c r="J725" s="243"/>
      <c r="K725" s="15"/>
      <c r="L725" s="15"/>
      <c r="M725" s="15"/>
      <c r="N725" s="15"/>
      <c r="O725" s="243"/>
      <c r="P725" s="243"/>
      <c r="Q725" s="243"/>
      <c r="R725" s="243"/>
      <c r="S725" s="243"/>
      <c r="T725" s="243"/>
      <c r="U725" s="243"/>
    </row>
    <row r="726">
      <c r="A726" s="15"/>
      <c r="B726" s="15"/>
      <c r="C726" s="15"/>
      <c r="D726" s="15"/>
      <c r="E726" s="15"/>
      <c r="F726" s="15"/>
      <c r="G726" s="15"/>
      <c r="H726" s="15"/>
      <c r="I726" s="15"/>
      <c r="J726" s="243"/>
      <c r="K726" s="15"/>
      <c r="L726" s="15"/>
      <c r="M726" s="15"/>
      <c r="N726" s="15"/>
      <c r="O726" s="243"/>
      <c r="P726" s="243"/>
      <c r="Q726" s="243"/>
      <c r="R726" s="243"/>
      <c r="S726" s="243"/>
      <c r="T726" s="243"/>
      <c r="U726" s="243"/>
    </row>
    <row r="727">
      <c r="A727" s="15"/>
      <c r="B727" s="15"/>
      <c r="C727" s="15"/>
      <c r="D727" s="15"/>
      <c r="E727" s="15"/>
      <c r="F727" s="15"/>
      <c r="G727" s="15"/>
      <c r="H727" s="15"/>
      <c r="I727" s="15"/>
      <c r="J727" s="243"/>
      <c r="K727" s="15"/>
      <c r="L727" s="15"/>
      <c r="M727" s="15"/>
      <c r="N727" s="15"/>
      <c r="O727" s="243"/>
      <c r="P727" s="243"/>
      <c r="Q727" s="243"/>
      <c r="R727" s="243"/>
      <c r="S727" s="243"/>
      <c r="T727" s="243"/>
      <c r="U727" s="243"/>
    </row>
    <row r="728">
      <c r="A728" s="15"/>
      <c r="B728" s="15"/>
      <c r="C728" s="15"/>
      <c r="D728" s="15"/>
      <c r="E728" s="15"/>
      <c r="F728" s="15"/>
      <c r="G728" s="15"/>
      <c r="H728" s="15"/>
      <c r="I728" s="15"/>
      <c r="J728" s="243"/>
      <c r="K728" s="15"/>
      <c r="L728" s="15"/>
      <c r="M728" s="15"/>
      <c r="N728" s="15"/>
      <c r="O728" s="243"/>
      <c r="P728" s="243"/>
      <c r="Q728" s="243"/>
      <c r="R728" s="243"/>
      <c r="S728" s="243"/>
      <c r="T728" s="243"/>
      <c r="U728" s="243"/>
    </row>
    <row r="729">
      <c r="A729" s="15"/>
      <c r="B729" s="15"/>
      <c r="C729" s="15"/>
      <c r="D729" s="15"/>
      <c r="E729" s="15"/>
      <c r="F729" s="15"/>
      <c r="G729" s="15"/>
      <c r="H729" s="15"/>
      <c r="I729" s="15"/>
      <c r="J729" s="243"/>
      <c r="K729" s="15"/>
      <c r="L729" s="15"/>
      <c r="M729" s="15"/>
      <c r="N729" s="15"/>
      <c r="O729" s="243"/>
      <c r="P729" s="243"/>
      <c r="Q729" s="243"/>
      <c r="R729" s="243"/>
      <c r="S729" s="243"/>
      <c r="T729" s="243"/>
      <c r="U729" s="243"/>
    </row>
    <row r="730">
      <c r="A730" s="15"/>
      <c r="B730" s="15"/>
      <c r="C730" s="15"/>
      <c r="D730" s="15"/>
      <c r="E730" s="15"/>
      <c r="F730" s="15"/>
      <c r="G730" s="15"/>
      <c r="H730" s="15"/>
      <c r="I730" s="15"/>
      <c r="J730" s="243"/>
      <c r="K730" s="15"/>
      <c r="L730" s="15"/>
      <c r="M730" s="15"/>
      <c r="N730" s="15"/>
      <c r="O730" s="243"/>
      <c r="P730" s="243"/>
      <c r="Q730" s="243"/>
      <c r="R730" s="243"/>
      <c r="S730" s="243"/>
      <c r="T730" s="243"/>
      <c r="U730" s="243"/>
    </row>
    <row r="731">
      <c r="A731" s="15"/>
      <c r="B731" s="15"/>
      <c r="C731" s="15"/>
      <c r="D731" s="15"/>
      <c r="E731" s="15"/>
      <c r="F731" s="15"/>
      <c r="G731" s="15"/>
      <c r="H731" s="15"/>
      <c r="I731" s="15"/>
      <c r="J731" s="243"/>
      <c r="K731" s="15"/>
      <c r="L731" s="15"/>
      <c r="M731" s="15"/>
      <c r="N731" s="15"/>
      <c r="O731" s="243"/>
      <c r="P731" s="243"/>
      <c r="Q731" s="243"/>
      <c r="R731" s="243"/>
      <c r="S731" s="243"/>
      <c r="T731" s="243"/>
      <c r="U731" s="243"/>
    </row>
    <row r="732">
      <c r="A732" s="15"/>
      <c r="B732" s="15"/>
      <c r="C732" s="15"/>
      <c r="D732" s="15"/>
      <c r="E732" s="15"/>
      <c r="F732" s="15"/>
      <c r="G732" s="15"/>
      <c r="H732" s="15"/>
      <c r="I732" s="15"/>
      <c r="J732" s="243"/>
      <c r="K732" s="15"/>
      <c r="L732" s="15"/>
      <c r="M732" s="15"/>
      <c r="N732" s="15"/>
      <c r="O732" s="243"/>
      <c r="P732" s="243"/>
      <c r="Q732" s="243"/>
      <c r="R732" s="243"/>
      <c r="S732" s="243"/>
      <c r="T732" s="243"/>
      <c r="U732" s="243"/>
    </row>
    <row r="733">
      <c r="A733" s="15"/>
      <c r="B733" s="15"/>
      <c r="C733" s="15"/>
      <c r="D733" s="15"/>
      <c r="E733" s="15"/>
      <c r="F733" s="15"/>
      <c r="G733" s="15"/>
      <c r="H733" s="15"/>
      <c r="I733" s="15"/>
      <c r="J733" s="243"/>
      <c r="K733" s="15"/>
      <c r="L733" s="15"/>
      <c r="M733" s="15"/>
      <c r="N733" s="15"/>
      <c r="O733" s="243"/>
      <c r="P733" s="243"/>
      <c r="Q733" s="243"/>
      <c r="R733" s="243"/>
      <c r="S733" s="243"/>
      <c r="T733" s="243"/>
      <c r="U733" s="243"/>
    </row>
    <row r="734">
      <c r="A734" s="15"/>
      <c r="B734" s="15"/>
      <c r="C734" s="15"/>
      <c r="D734" s="15"/>
      <c r="E734" s="15"/>
      <c r="F734" s="15"/>
      <c r="G734" s="15"/>
      <c r="H734" s="15"/>
      <c r="I734" s="15"/>
      <c r="J734" s="243"/>
      <c r="K734" s="15"/>
      <c r="L734" s="15"/>
      <c r="M734" s="15"/>
      <c r="N734" s="15"/>
      <c r="O734" s="243"/>
      <c r="P734" s="243"/>
      <c r="Q734" s="243"/>
      <c r="R734" s="243"/>
      <c r="S734" s="243"/>
      <c r="T734" s="243"/>
      <c r="U734" s="243"/>
    </row>
    <row r="735">
      <c r="A735" s="15"/>
      <c r="B735" s="15"/>
      <c r="C735" s="15"/>
      <c r="D735" s="15"/>
      <c r="E735" s="15"/>
      <c r="F735" s="15"/>
      <c r="G735" s="15"/>
      <c r="H735" s="15"/>
      <c r="I735" s="15"/>
      <c r="J735" s="243"/>
      <c r="K735" s="15"/>
      <c r="L735" s="15"/>
      <c r="M735" s="15"/>
      <c r="N735" s="15"/>
      <c r="O735" s="243"/>
      <c r="P735" s="243"/>
      <c r="Q735" s="243"/>
      <c r="R735" s="243"/>
      <c r="S735" s="243"/>
      <c r="T735" s="243"/>
      <c r="U735" s="243"/>
    </row>
    <row r="736">
      <c r="A736" s="15"/>
      <c r="B736" s="15"/>
      <c r="C736" s="15"/>
      <c r="D736" s="15"/>
      <c r="E736" s="15"/>
      <c r="F736" s="15"/>
      <c r="G736" s="15"/>
      <c r="H736" s="15"/>
      <c r="I736" s="15"/>
      <c r="J736" s="243"/>
      <c r="K736" s="15"/>
      <c r="L736" s="15"/>
      <c r="M736" s="15"/>
      <c r="N736" s="15"/>
      <c r="O736" s="243"/>
      <c r="P736" s="243"/>
      <c r="Q736" s="243"/>
      <c r="R736" s="243"/>
      <c r="S736" s="243"/>
      <c r="T736" s="243"/>
      <c r="U736" s="243"/>
    </row>
    <row r="737">
      <c r="A737" s="15"/>
      <c r="B737" s="15"/>
      <c r="C737" s="15"/>
      <c r="D737" s="15"/>
      <c r="E737" s="15"/>
      <c r="F737" s="15"/>
      <c r="G737" s="15"/>
      <c r="H737" s="15"/>
      <c r="I737" s="15"/>
      <c r="J737" s="243"/>
      <c r="K737" s="15"/>
      <c r="L737" s="15"/>
      <c r="M737" s="15"/>
      <c r="N737" s="15"/>
      <c r="O737" s="243"/>
      <c r="P737" s="243"/>
      <c r="Q737" s="243"/>
      <c r="R737" s="243"/>
      <c r="S737" s="243"/>
      <c r="T737" s="243"/>
      <c r="U737" s="243"/>
    </row>
    <row r="738">
      <c r="A738" s="15"/>
      <c r="B738" s="15"/>
      <c r="C738" s="15"/>
      <c r="D738" s="15"/>
      <c r="E738" s="15"/>
      <c r="F738" s="15"/>
      <c r="G738" s="15"/>
      <c r="H738" s="15"/>
      <c r="I738" s="15"/>
      <c r="J738" s="243"/>
      <c r="K738" s="15"/>
      <c r="L738" s="15"/>
      <c r="M738" s="15"/>
      <c r="N738" s="15"/>
      <c r="O738" s="243"/>
      <c r="P738" s="243"/>
      <c r="Q738" s="243"/>
      <c r="R738" s="243"/>
      <c r="S738" s="243"/>
      <c r="T738" s="243"/>
      <c r="U738" s="243"/>
    </row>
    <row r="739">
      <c r="A739" s="15"/>
      <c r="B739" s="15"/>
      <c r="C739" s="15"/>
      <c r="D739" s="15"/>
      <c r="E739" s="15"/>
      <c r="F739" s="15"/>
      <c r="G739" s="15"/>
      <c r="H739" s="15"/>
      <c r="I739" s="15"/>
      <c r="J739" s="243"/>
      <c r="K739" s="15"/>
      <c r="L739" s="15"/>
      <c r="M739" s="15"/>
      <c r="N739" s="15"/>
      <c r="O739" s="243"/>
      <c r="P739" s="243"/>
      <c r="Q739" s="243"/>
      <c r="R739" s="243"/>
      <c r="S739" s="243"/>
      <c r="T739" s="243"/>
      <c r="U739" s="243"/>
    </row>
    <row r="740">
      <c r="A740" s="15"/>
      <c r="B740" s="15"/>
      <c r="C740" s="15"/>
      <c r="D740" s="15"/>
      <c r="E740" s="15"/>
      <c r="F740" s="15"/>
      <c r="G740" s="15"/>
      <c r="H740" s="15"/>
      <c r="I740" s="15"/>
      <c r="J740" s="243"/>
      <c r="K740" s="15"/>
      <c r="L740" s="15"/>
      <c r="M740" s="15"/>
      <c r="N740" s="15"/>
      <c r="O740" s="243"/>
      <c r="P740" s="243"/>
      <c r="Q740" s="243"/>
      <c r="R740" s="243"/>
      <c r="S740" s="243"/>
      <c r="T740" s="243"/>
      <c r="U740" s="243"/>
    </row>
    <row r="741">
      <c r="A741" s="15"/>
      <c r="B741" s="15"/>
      <c r="C741" s="15"/>
      <c r="D741" s="15"/>
      <c r="E741" s="15"/>
      <c r="F741" s="15"/>
      <c r="G741" s="15"/>
      <c r="H741" s="15"/>
      <c r="I741" s="15"/>
      <c r="J741" s="243"/>
      <c r="K741" s="15"/>
      <c r="L741" s="15"/>
      <c r="M741" s="15"/>
      <c r="N741" s="15"/>
      <c r="O741" s="243"/>
      <c r="P741" s="243"/>
      <c r="Q741" s="243"/>
      <c r="R741" s="243"/>
      <c r="S741" s="243"/>
      <c r="T741" s="243"/>
      <c r="U741" s="243"/>
    </row>
    <row r="742">
      <c r="A742" s="15"/>
      <c r="B742" s="15"/>
      <c r="C742" s="15"/>
      <c r="D742" s="15"/>
      <c r="E742" s="15"/>
      <c r="F742" s="15"/>
      <c r="G742" s="15"/>
      <c r="H742" s="15"/>
      <c r="I742" s="15"/>
      <c r="J742" s="243"/>
      <c r="K742" s="15"/>
      <c r="L742" s="15"/>
      <c r="M742" s="15"/>
      <c r="N742" s="15"/>
      <c r="O742" s="243"/>
      <c r="P742" s="243"/>
      <c r="Q742" s="243"/>
      <c r="R742" s="243"/>
      <c r="S742" s="243"/>
      <c r="T742" s="243"/>
      <c r="U742" s="243"/>
    </row>
    <row r="743">
      <c r="A743" s="15"/>
      <c r="B743" s="15"/>
      <c r="C743" s="15"/>
      <c r="D743" s="15"/>
      <c r="E743" s="15"/>
      <c r="F743" s="15"/>
      <c r="G743" s="15"/>
      <c r="H743" s="15"/>
      <c r="I743" s="15"/>
      <c r="J743" s="243"/>
      <c r="K743" s="15"/>
      <c r="L743" s="15"/>
      <c r="M743" s="15"/>
      <c r="N743" s="15"/>
      <c r="O743" s="243"/>
      <c r="P743" s="243"/>
      <c r="Q743" s="243"/>
      <c r="R743" s="243"/>
      <c r="S743" s="243"/>
      <c r="T743" s="243"/>
      <c r="U743" s="243"/>
    </row>
    <row r="744">
      <c r="A744" s="15"/>
      <c r="B744" s="15"/>
      <c r="C744" s="15"/>
      <c r="D744" s="15"/>
      <c r="E744" s="15"/>
      <c r="F744" s="15"/>
      <c r="G744" s="15"/>
      <c r="H744" s="15"/>
      <c r="I744" s="15"/>
      <c r="J744" s="243"/>
      <c r="K744" s="15"/>
      <c r="L744" s="15"/>
      <c r="M744" s="15"/>
      <c r="N744" s="15"/>
      <c r="O744" s="243"/>
      <c r="P744" s="243"/>
      <c r="Q744" s="243"/>
      <c r="R744" s="243"/>
      <c r="S744" s="243"/>
      <c r="T744" s="243"/>
      <c r="U744" s="243"/>
    </row>
    <row r="745">
      <c r="A745" s="15"/>
      <c r="B745" s="15"/>
      <c r="C745" s="15"/>
      <c r="D745" s="15"/>
      <c r="E745" s="15"/>
      <c r="F745" s="15"/>
      <c r="G745" s="15"/>
      <c r="H745" s="15"/>
      <c r="I745" s="15"/>
      <c r="J745" s="243"/>
      <c r="K745" s="15"/>
      <c r="L745" s="15"/>
      <c r="M745" s="15"/>
      <c r="N745" s="15"/>
      <c r="O745" s="243"/>
      <c r="P745" s="243"/>
      <c r="Q745" s="243"/>
      <c r="R745" s="243"/>
      <c r="S745" s="243"/>
      <c r="T745" s="243"/>
      <c r="U745" s="243"/>
    </row>
    <row r="746">
      <c r="A746" s="15"/>
      <c r="B746" s="15"/>
      <c r="C746" s="15"/>
      <c r="D746" s="15"/>
      <c r="E746" s="15"/>
      <c r="F746" s="15"/>
      <c r="G746" s="15"/>
      <c r="H746" s="15"/>
      <c r="I746" s="15"/>
      <c r="J746" s="243"/>
      <c r="K746" s="15"/>
      <c r="L746" s="15"/>
      <c r="M746" s="15"/>
      <c r="N746" s="15"/>
      <c r="O746" s="243"/>
      <c r="P746" s="243"/>
      <c r="Q746" s="243"/>
      <c r="R746" s="243"/>
      <c r="S746" s="243"/>
      <c r="T746" s="243"/>
      <c r="U746" s="243"/>
    </row>
    <row r="747">
      <c r="A747" s="15"/>
      <c r="B747" s="15"/>
      <c r="C747" s="15"/>
      <c r="D747" s="15"/>
      <c r="E747" s="15"/>
      <c r="F747" s="15"/>
      <c r="G747" s="15"/>
      <c r="H747" s="15"/>
      <c r="I747" s="15"/>
      <c r="J747" s="243"/>
      <c r="K747" s="15"/>
      <c r="L747" s="15"/>
      <c r="M747" s="15"/>
      <c r="N747" s="15"/>
      <c r="O747" s="243"/>
      <c r="P747" s="243"/>
      <c r="Q747" s="243"/>
      <c r="R747" s="243"/>
      <c r="S747" s="243"/>
      <c r="T747" s="243"/>
      <c r="U747" s="243"/>
    </row>
    <row r="748">
      <c r="A748" s="15"/>
      <c r="B748" s="15"/>
      <c r="C748" s="15"/>
      <c r="D748" s="15"/>
      <c r="E748" s="15"/>
      <c r="F748" s="15"/>
      <c r="G748" s="15"/>
      <c r="H748" s="15"/>
      <c r="I748" s="15"/>
      <c r="J748" s="243"/>
      <c r="K748" s="15"/>
      <c r="L748" s="15"/>
      <c r="M748" s="15"/>
      <c r="N748" s="15"/>
      <c r="O748" s="243"/>
      <c r="P748" s="243"/>
      <c r="Q748" s="243"/>
      <c r="R748" s="243"/>
      <c r="S748" s="243"/>
      <c r="T748" s="243"/>
      <c r="U748" s="243"/>
    </row>
    <row r="749">
      <c r="A749" s="15"/>
      <c r="B749" s="15"/>
      <c r="C749" s="15"/>
      <c r="D749" s="15"/>
      <c r="E749" s="15"/>
      <c r="F749" s="15"/>
      <c r="G749" s="15"/>
      <c r="H749" s="15"/>
      <c r="I749" s="15"/>
      <c r="J749" s="243"/>
      <c r="K749" s="15"/>
      <c r="L749" s="15"/>
      <c r="M749" s="15"/>
      <c r="N749" s="15"/>
      <c r="O749" s="243"/>
      <c r="P749" s="243"/>
      <c r="Q749" s="243"/>
      <c r="R749" s="243"/>
      <c r="S749" s="243"/>
      <c r="T749" s="243"/>
      <c r="U749" s="243"/>
    </row>
    <row r="750">
      <c r="A750" s="15"/>
      <c r="B750" s="15"/>
      <c r="C750" s="15"/>
      <c r="D750" s="15"/>
      <c r="E750" s="15"/>
      <c r="F750" s="15"/>
      <c r="G750" s="15"/>
      <c r="H750" s="15"/>
      <c r="I750" s="15"/>
      <c r="J750" s="243"/>
      <c r="K750" s="15"/>
      <c r="L750" s="15"/>
      <c r="M750" s="15"/>
      <c r="N750" s="15"/>
      <c r="O750" s="243"/>
      <c r="P750" s="243"/>
      <c r="Q750" s="243"/>
      <c r="R750" s="243"/>
      <c r="S750" s="243"/>
      <c r="T750" s="243"/>
      <c r="U750" s="243"/>
    </row>
    <row r="751">
      <c r="A751" s="15"/>
      <c r="B751" s="15"/>
      <c r="C751" s="15"/>
      <c r="D751" s="15"/>
      <c r="E751" s="15"/>
      <c r="F751" s="15"/>
      <c r="G751" s="15"/>
      <c r="H751" s="15"/>
      <c r="I751" s="15"/>
      <c r="J751" s="243"/>
      <c r="K751" s="15"/>
      <c r="L751" s="15"/>
      <c r="M751" s="15"/>
      <c r="N751" s="15"/>
      <c r="O751" s="243"/>
      <c r="P751" s="243"/>
      <c r="Q751" s="243"/>
      <c r="R751" s="243"/>
      <c r="S751" s="243"/>
      <c r="T751" s="243"/>
      <c r="U751" s="243"/>
    </row>
    <row r="752">
      <c r="A752" s="15"/>
      <c r="B752" s="15"/>
      <c r="C752" s="15"/>
      <c r="D752" s="15"/>
      <c r="E752" s="15"/>
      <c r="F752" s="15"/>
      <c r="G752" s="15"/>
      <c r="H752" s="15"/>
      <c r="I752" s="15"/>
      <c r="J752" s="243"/>
      <c r="K752" s="15"/>
      <c r="L752" s="15"/>
      <c r="M752" s="15"/>
      <c r="N752" s="15"/>
      <c r="O752" s="243"/>
      <c r="P752" s="243"/>
      <c r="Q752" s="243"/>
      <c r="R752" s="243"/>
      <c r="S752" s="243"/>
      <c r="T752" s="243"/>
      <c r="U752" s="243"/>
    </row>
    <row r="753">
      <c r="A753" s="15"/>
      <c r="B753" s="15"/>
      <c r="C753" s="15"/>
      <c r="D753" s="15"/>
      <c r="E753" s="15"/>
      <c r="F753" s="15"/>
      <c r="G753" s="15"/>
      <c r="H753" s="15"/>
      <c r="I753" s="15"/>
      <c r="J753" s="243"/>
      <c r="K753" s="15"/>
      <c r="L753" s="15"/>
      <c r="M753" s="15"/>
      <c r="N753" s="15"/>
      <c r="O753" s="243"/>
      <c r="P753" s="243"/>
      <c r="Q753" s="243"/>
      <c r="R753" s="243"/>
      <c r="S753" s="243"/>
      <c r="T753" s="243"/>
      <c r="U753" s="243"/>
    </row>
    <row r="754">
      <c r="A754" s="15"/>
      <c r="B754" s="15"/>
      <c r="C754" s="15"/>
      <c r="D754" s="15"/>
      <c r="E754" s="15"/>
      <c r="F754" s="15"/>
      <c r="G754" s="15"/>
      <c r="H754" s="15"/>
      <c r="I754" s="15"/>
      <c r="J754" s="243"/>
      <c r="K754" s="15"/>
      <c r="L754" s="15"/>
      <c r="M754" s="15"/>
      <c r="N754" s="15"/>
      <c r="O754" s="243"/>
      <c r="P754" s="243"/>
      <c r="Q754" s="243"/>
      <c r="R754" s="243"/>
      <c r="S754" s="243"/>
      <c r="T754" s="243"/>
      <c r="U754" s="243"/>
    </row>
    <row r="755">
      <c r="A755" s="15"/>
      <c r="B755" s="15"/>
      <c r="C755" s="15"/>
      <c r="D755" s="15"/>
      <c r="E755" s="15"/>
      <c r="F755" s="15"/>
      <c r="G755" s="15"/>
      <c r="H755" s="15"/>
      <c r="I755" s="15"/>
      <c r="J755" s="243"/>
      <c r="K755" s="15"/>
      <c r="L755" s="15"/>
      <c r="M755" s="15"/>
      <c r="N755" s="15"/>
      <c r="O755" s="243"/>
      <c r="P755" s="243"/>
      <c r="Q755" s="243"/>
      <c r="R755" s="243"/>
      <c r="S755" s="243"/>
      <c r="T755" s="243"/>
      <c r="U755" s="243"/>
    </row>
    <row r="756">
      <c r="A756" s="15"/>
      <c r="B756" s="15"/>
      <c r="C756" s="15"/>
      <c r="D756" s="15"/>
      <c r="E756" s="15"/>
      <c r="F756" s="15"/>
      <c r="G756" s="15"/>
      <c r="H756" s="15"/>
      <c r="I756" s="15"/>
      <c r="J756" s="243"/>
      <c r="K756" s="15"/>
      <c r="L756" s="15"/>
      <c r="M756" s="15"/>
      <c r="N756" s="15"/>
      <c r="O756" s="243"/>
      <c r="P756" s="243"/>
      <c r="Q756" s="243"/>
      <c r="R756" s="243"/>
      <c r="S756" s="243"/>
      <c r="T756" s="243"/>
      <c r="U756" s="243"/>
    </row>
    <row r="757">
      <c r="A757" s="15"/>
      <c r="B757" s="15"/>
      <c r="C757" s="15"/>
      <c r="D757" s="15"/>
      <c r="E757" s="15"/>
      <c r="F757" s="15"/>
      <c r="G757" s="15"/>
      <c r="H757" s="15"/>
      <c r="I757" s="15"/>
      <c r="J757" s="243"/>
      <c r="K757" s="15"/>
      <c r="L757" s="15"/>
      <c r="M757" s="15"/>
      <c r="N757" s="15"/>
      <c r="O757" s="243"/>
      <c r="P757" s="243"/>
      <c r="Q757" s="243"/>
      <c r="R757" s="243"/>
      <c r="S757" s="243"/>
      <c r="T757" s="243"/>
      <c r="U757" s="243"/>
    </row>
    <row r="758">
      <c r="A758" s="15"/>
      <c r="B758" s="15"/>
      <c r="C758" s="15"/>
      <c r="D758" s="15"/>
      <c r="E758" s="15"/>
      <c r="F758" s="15"/>
      <c r="G758" s="15"/>
      <c r="H758" s="15"/>
      <c r="I758" s="15"/>
      <c r="J758" s="243"/>
      <c r="K758" s="15"/>
      <c r="L758" s="15"/>
      <c r="M758" s="15"/>
      <c r="N758" s="15"/>
      <c r="O758" s="243"/>
      <c r="P758" s="243"/>
      <c r="Q758" s="243"/>
      <c r="R758" s="243"/>
      <c r="S758" s="243"/>
      <c r="T758" s="243"/>
      <c r="U758" s="243"/>
    </row>
    <row r="759">
      <c r="A759" s="15"/>
      <c r="B759" s="15"/>
      <c r="C759" s="15"/>
      <c r="D759" s="15"/>
      <c r="E759" s="15"/>
      <c r="F759" s="15"/>
      <c r="G759" s="15"/>
      <c r="H759" s="15"/>
      <c r="I759" s="15"/>
      <c r="J759" s="243"/>
      <c r="K759" s="15"/>
      <c r="L759" s="15"/>
      <c r="M759" s="15"/>
      <c r="N759" s="15"/>
      <c r="O759" s="243"/>
      <c r="P759" s="243"/>
      <c r="Q759" s="243"/>
      <c r="R759" s="243"/>
      <c r="S759" s="243"/>
      <c r="T759" s="243"/>
      <c r="U759" s="243"/>
    </row>
    <row r="760">
      <c r="A760" s="15"/>
      <c r="B760" s="15"/>
      <c r="C760" s="15"/>
      <c r="D760" s="15"/>
      <c r="E760" s="15"/>
      <c r="F760" s="15"/>
      <c r="G760" s="15"/>
      <c r="H760" s="15"/>
      <c r="I760" s="15"/>
      <c r="J760" s="243"/>
      <c r="K760" s="15"/>
      <c r="L760" s="15"/>
      <c r="M760" s="15"/>
      <c r="N760" s="15"/>
      <c r="O760" s="243"/>
      <c r="P760" s="243"/>
      <c r="Q760" s="243"/>
      <c r="R760" s="243"/>
      <c r="S760" s="243"/>
      <c r="T760" s="243"/>
      <c r="U760" s="243"/>
    </row>
    <row r="761">
      <c r="A761" s="15"/>
      <c r="B761" s="15"/>
      <c r="C761" s="15"/>
      <c r="D761" s="15"/>
      <c r="E761" s="15"/>
      <c r="F761" s="15"/>
      <c r="G761" s="15"/>
      <c r="H761" s="15"/>
      <c r="I761" s="15"/>
      <c r="J761" s="243"/>
      <c r="K761" s="15"/>
      <c r="L761" s="15"/>
      <c r="M761" s="15"/>
      <c r="N761" s="15"/>
      <c r="O761" s="243"/>
      <c r="P761" s="243"/>
      <c r="Q761" s="243"/>
      <c r="R761" s="243"/>
      <c r="S761" s="243"/>
      <c r="T761" s="243"/>
      <c r="U761" s="243"/>
    </row>
    <row r="762">
      <c r="A762" s="15"/>
      <c r="B762" s="15"/>
      <c r="C762" s="15"/>
      <c r="D762" s="15"/>
      <c r="E762" s="15"/>
      <c r="F762" s="15"/>
      <c r="G762" s="15"/>
      <c r="H762" s="15"/>
      <c r="I762" s="15"/>
      <c r="J762" s="243"/>
      <c r="K762" s="15"/>
      <c r="L762" s="15"/>
      <c r="M762" s="15"/>
      <c r="N762" s="15"/>
      <c r="O762" s="243"/>
      <c r="P762" s="243"/>
      <c r="Q762" s="243"/>
      <c r="R762" s="243"/>
      <c r="S762" s="243"/>
      <c r="T762" s="243"/>
      <c r="U762" s="243"/>
    </row>
    <row r="763">
      <c r="A763" s="15"/>
      <c r="B763" s="15"/>
      <c r="C763" s="15"/>
      <c r="D763" s="15"/>
      <c r="E763" s="15"/>
      <c r="F763" s="15"/>
      <c r="G763" s="15"/>
      <c r="H763" s="15"/>
      <c r="I763" s="15"/>
      <c r="J763" s="243"/>
      <c r="K763" s="15"/>
      <c r="L763" s="15"/>
      <c r="M763" s="15"/>
      <c r="N763" s="15"/>
      <c r="O763" s="243"/>
      <c r="P763" s="243"/>
      <c r="Q763" s="243"/>
      <c r="R763" s="243"/>
      <c r="S763" s="243"/>
      <c r="T763" s="243"/>
      <c r="U763" s="243"/>
    </row>
    <row r="764">
      <c r="A764" s="15"/>
      <c r="B764" s="15"/>
      <c r="C764" s="15"/>
      <c r="D764" s="15"/>
      <c r="E764" s="15"/>
      <c r="F764" s="15"/>
      <c r="G764" s="15"/>
      <c r="H764" s="15"/>
      <c r="I764" s="15"/>
      <c r="J764" s="243"/>
      <c r="K764" s="15"/>
      <c r="L764" s="15"/>
      <c r="M764" s="15"/>
      <c r="N764" s="15"/>
      <c r="O764" s="243"/>
      <c r="P764" s="243"/>
      <c r="Q764" s="243"/>
      <c r="R764" s="243"/>
      <c r="S764" s="243"/>
      <c r="T764" s="243"/>
      <c r="U764" s="243"/>
    </row>
    <row r="765">
      <c r="A765" s="15"/>
      <c r="B765" s="15"/>
      <c r="C765" s="15"/>
      <c r="D765" s="15"/>
      <c r="E765" s="15"/>
      <c r="F765" s="15"/>
      <c r="G765" s="15"/>
      <c r="H765" s="15"/>
      <c r="I765" s="15"/>
      <c r="J765" s="243"/>
      <c r="K765" s="15"/>
      <c r="L765" s="15"/>
      <c r="M765" s="15"/>
      <c r="N765" s="15"/>
      <c r="O765" s="243"/>
      <c r="P765" s="243"/>
      <c r="Q765" s="243"/>
      <c r="R765" s="243"/>
      <c r="S765" s="243"/>
      <c r="T765" s="243"/>
      <c r="U765" s="243"/>
    </row>
    <row r="766">
      <c r="A766" s="15"/>
      <c r="B766" s="15"/>
      <c r="C766" s="15"/>
      <c r="D766" s="15"/>
      <c r="E766" s="15"/>
      <c r="F766" s="15"/>
      <c r="G766" s="15"/>
      <c r="H766" s="15"/>
      <c r="I766" s="15"/>
      <c r="J766" s="243"/>
      <c r="K766" s="15"/>
      <c r="L766" s="15"/>
      <c r="M766" s="15"/>
      <c r="N766" s="15"/>
      <c r="O766" s="243"/>
      <c r="P766" s="243"/>
      <c r="Q766" s="243"/>
      <c r="R766" s="243"/>
      <c r="S766" s="243"/>
      <c r="T766" s="243"/>
      <c r="U766" s="243"/>
    </row>
    <row r="767">
      <c r="A767" s="15"/>
      <c r="B767" s="15"/>
      <c r="C767" s="15"/>
      <c r="D767" s="15"/>
      <c r="E767" s="15"/>
      <c r="F767" s="15"/>
      <c r="G767" s="15"/>
      <c r="H767" s="15"/>
      <c r="I767" s="15"/>
      <c r="J767" s="243"/>
      <c r="K767" s="15"/>
      <c r="L767" s="15"/>
      <c r="M767" s="15"/>
      <c r="N767" s="15"/>
      <c r="O767" s="243"/>
      <c r="P767" s="243"/>
      <c r="Q767" s="243"/>
      <c r="R767" s="243"/>
      <c r="S767" s="243"/>
      <c r="T767" s="243"/>
      <c r="U767" s="243"/>
    </row>
    <row r="768">
      <c r="A768" s="15"/>
      <c r="B768" s="15"/>
      <c r="C768" s="15"/>
      <c r="D768" s="15"/>
      <c r="E768" s="15"/>
      <c r="F768" s="15"/>
      <c r="G768" s="15"/>
      <c r="H768" s="15"/>
      <c r="I768" s="15"/>
      <c r="J768" s="243"/>
      <c r="K768" s="15"/>
      <c r="L768" s="15"/>
      <c r="M768" s="15"/>
      <c r="N768" s="15"/>
      <c r="O768" s="243"/>
      <c r="P768" s="243"/>
      <c r="Q768" s="243"/>
      <c r="R768" s="243"/>
      <c r="S768" s="243"/>
      <c r="T768" s="243"/>
      <c r="U768" s="243"/>
    </row>
    <row r="769">
      <c r="A769" s="15"/>
      <c r="B769" s="15"/>
      <c r="C769" s="15"/>
      <c r="D769" s="15"/>
      <c r="E769" s="15"/>
      <c r="F769" s="15"/>
      <c r="G769" s="15"/>
      <c r="H769" s="15"/>
      <c r="I769" s="15"/>
      <c r="J769" s="243"/>
      <c r="K769" s="15"/>
      <c r="L769" s="15"/>
      <c r="M769" s="15"/>
      <c r="N769" s="15"/>
      <c r="O769" s="243"/>
      <c r="P769" s="243"/>
      <c r="Q769" s="243"/>
      <c r="R769" s="243"/>
      <c r="S769" s="243"/>
      <c r="T769" s="243"/>
      <c r="U769" s="243"/>
    </row>
    <row r="770">
      <c r="A770" s="15"/>
      <c r="B770" s="15"/>
      <c r="C770" s="15"/>
      <c r="D770" s="15"/>
      <c r="E770" s="15"/>
      <c r="F770" s="15"/>
      <c r="G770" s="15"/>
      <c r="H770" s="15"/>
      <c r="I770" s="15"/>
      <c r="J770" s="243"/>
      <c r="K770" s="15"/>
      <c r="L770" s="15"/>
      <c r="M770" s="15"/>
      <c r="N770" s="15"/>
      <c r="O770" s="243"/>
      <c r="P770" s="243"/>
      <c r="Q770" s="243"/>
      <c r="R770" s="243"/>
      <c r="S770" s="243"/>
      <c r="T770" s="243"/>
      <c r="U770" s="243"/>
    </row>
    <row r="771">
      <c r="A771" s="15"/>
      <c r="B771" s="15"/>
      <c r="C771" s="15"/>
      <c r="D771" s="15"/>
      <c r="E771" s="15"/>
      <c r="F771" s="15"/>
      <c r="G771" s="15"/>
      <c r="H771" s="15"/>
      <c r="I771" s="15"/>
      <c r="J771" s="243"/>
      <c r="K771" s="15"/>
      <c r="L771" s="15"/>
      <c r="M771" s="15"/>
      <c r="N771" s="15"/>
      <c r="O771" s="243"/>
      <c r="P771" s="243"/>
      <c r="Q771" s="243"/>
      <c r="R771" s="243"/>
      <c r="S771" s="243"/>
      <c r="T771" s="243"/>
      <c r="U771" s="243"/>
    </row>
    <row r="772">
      <c r="A772" s="15"/>
      <c r="B772" s="15"/>
      <c r="C772" s="15"/>
      <c r="D772" s="15"/>
      <c r="E772" s="15"/>
      <c r="F772" s="15"/>
      <c r="G772" s="15"/>
      <c r="H772" s="15"/>
      <c r="I772" s="15"/>
      <c r="J772" s="243"/>
      <c r="K772" s="15"/>
      <c r="L772" s="15"/>
      <c r="M772" s="15"/>
      <c r="N772" s="15"/>
      <c r="O772" s="243"/>
      <c r="P772" s="243"/>
      <c r="Q772" s="243"/>
      <c r="R772" s="243"/>
      <c r="S772" s="243"/>
      <c r="T772" s="243"/>
      <c r="U772" s="243"/>
    </row>
    <row r="773">
      <c r="A773" s="15"/>
      <c r="B773" s="15"/>
      <c r="C773" s="15"/>
      <c r="D773" s="15"/>
      <c r="E773" s="15"/>
      <c r="F773" s="15"/>
      <c r="G773" s="15"/>
      <c r="H773" s="15"/>
      <c r="I773" s="15"/>
      <c r="J773" s="243"/>
      <c r="K773" s="15"/>
      <c r="L773" s="15"/>
      <c r="M773" s="15"/>
      <c r="N773" s="15"/>
      <c r="O773" s="243"/>
      <c r="P773" s="243"/>
      <c r="Q773" s="243"/>
      <c r="R773" s="243"/>
      <c r="S773" s="243"/>
      <c r="T773" s="243"/>
      <c r="U773" s="243"/>
    </row>
    <row r="774">
      <c r="A774" s="15"/>
      <c r="B774" s="15"/>
      <c r="C774" s="15"/>
      <c r="D774" s="15"/>
      <c r="E774" s="15"/>
      <c r="F774" s="15"/>
      <c r="G774" s="15"/>
      <c r="H774" s="15"/>
      <c r="I774" s="15"/>
      <c r="J774" s="243"/>
      <c r="K774" s="15"/>
      <c r="L774" s="15"/>
      <c r="M774" s="15"/>
      <c r="N774" s="15"/>
      <c r="O774" s="243"/>
      <c r="P774" s="243"/>
      <c r="Q774" s="243"/>
      <c r="R774" s="243"/>
      <c r="S774" s="243"/>
      <c r="T774" s="243"/>
      <c r="U774" s="243"/>
    </row>
    <row r="775">
      <c r="A775" s="15"/>
      <c r="B775" s="15"/>
      <c r="C775" s="15"/>
      <c r="D775" s="15"/>
      <c r="E775" s="15"/>
      <c r="F775" s="15"/>
      <c r="G775" s="15"/>
      <c r="H775" s="15"/>
      <c r="I775" s="15"/>
      <c r="J775" s="243"/>
      <c r="K775" s="15"/>
      <c r="L775" s="15"/>
      <c r="M775" s="15"/>
      <c r="N775" s="15"/>
      <c r="O775" s="243"/>
      <c r="P775" s="243"/>
      <c r="Q775" s="243"/>
      <c r="R775" s="243"/>
      <c r="S775" s="243"/>
      <c r="T775" s="243"/>
      <c r="U775" s="243"/>
    </row>
    <row r="776">
      <c r="A776" s="15"/>
      <c r="B776" s="15"/>
      <c r="C776" s="15"/>
      <c r="D776" s="15"/>
      <c r="E776" s="15"/>
      <c r="F776" s="15"/>
      <c r="G776" s="15"/>
      <c r="H776" s="15"/>
      <c r="I776" s="15"/>
      <c r="J776" s="243"/>
      <c r="K776" s="15"/>
      <c r="L776" s="15"/>
      <c r="M776" s="15"/>
      <c r="N776" s="15"/>
      <c r="O776" s="243"/>
      <c r="P776" s="243"/>
      <c r="Q776" s="243"/>
      <c r="R776" s="243"/>
      <c r="S776" s="243"/>
      <c r="T776" s="243"/>
      <c r="U776" s="243"/>
    </row>
    <row r="777">
      <c r="A777" s="15"/>
      <c r="B777" s="15"/>
      <c r="C777" s="15"/>
      <c r="D777" s="15"/>
      <c r="E777" s="15"/>
      <c r="F777" s="15"/>
      <c r="G777" s="15"/>
      <c r="H777" s="15"/>
      <c r="I777" s="15"/>
      <c r="J777" s="243"/>
      <c r="K777" s="15"/>
      <c r="L777" s="15"/>
      <c r="M777" s="15"/>
      <c r="N777" s="15"/>
      <c r="O777" s="243"/>
      <c r="P777" s="243"/>
      <c r="Q777" s="243"/>
      <c r="R777" s="243"/>
      <c r="S777" s="243"/>
      <c r="T777" s="243"/>
      <c r="U777" s="243"/>
    </row>
    <row r="778">
      <c r="A778" s="15"/>
      <c r="B778" s="15"/>
      <c r="C778" s="15"/>
      <c r="D778" s="15"/>
      <c r="E778" s="15"/>
      <c r="F778" s="15"/>
      <c r="G778" s="15"/>
      <c r="H778" s="15"/>
      <c r="I778" s="15"/>
      <c r="J778" s="243"/>
      <c r="K778" s="15"/>
      <c r="L778" s="15"/>
      <c r="M778" s="15"/>
      <c r="N778" s="15"/>
      <c r="O778" s="243"/>
      <c r="P778" s="243"/>
      <c r="Q778" s="243"/>
      <c r="R778" s="243"/>
      <c r="S778" s="243"/>
      <c r="T778" s="243"/>
      <c r="U778" s="243"/>
    </row>
    <row r="779">
      <c r="A779" s="15"/>
      <c r="B779" s="15"/>
      <c r="C779" s="15"/>
      <c r="D779" s="15"/>
      <c r="E779" s="15"/>
      <c r="F779" s="15"/>
      <c r="G779" s="15"/>
      <c r="H779" s="15"/>
      <c r="I779" s="15"/>
      <c r="J779" s="243"/>
      <c r="K779" s="15"/>
      <c r="L779" s="15"/>
      <c r="M779" s="15"/>
      <c r="N779" s="15"/>
      <c r="O779" s="243"/>
      <c r="P779" s="243"/>
      <c r="Q779" s="243"/>
      <c r="R779" s="243"/>
      <c r="S779" s="243"/>
      <c r="T779" s="243"/>
      <c r="U779" s="243"/>
    </row>
    <row r="780">
      <c r="A780" s="15"/>
      <c r="B780" s="15"/>
      <c r="C780" s="15"/>
      <c r="D780" s="15"/>
      <c r="E780" s="15"/>
      <c r="F780" s="15"/>
      <c r="G780" s="15"/>
      <c r="H780" s="15"/>
      <c r="I780" s="15"/>
      <c r="J780" s="243"/>
      <c r="K780" s="15"/>
      <c r="L780" s="15"/>
      <c r="M780" s="15"/>
      <c r="N780" s="15"/>
      <c r="O780" s="243"/>
      <c r="P780" s="243"/>
      <c r="Q780" s="243"/>
      <c r="R780" s="243"/>
      <c r="S780" s="243"/>
      <c r="T780" s="243"/>
      <c r="U780" s="243"/>
    </row>
    <row r="781">
      <c r="A781" s="15"/>
      <c r="B781" s="15"/>
      <c r="C781" s="15"/>
      <c r="D781" s="15"/>
      <c r="E781" s="15"/>
      <c r="F781" s="15"/>
      <c r="G781" s="15"/>
      <c r="H781" s="15"/>
      <c r="I781" s="15"/>
      <c r="J781" s="243"/>
      <c r="K781" s="15"/>
      <c r="L781" s="15"/>
      <c r="M781" s="15"/>
      <c r="N781" s="15"/>
      <c r="O781" s="243"/>
      <c r="P781" s="243"/>
      <c r="Q781" s="243"/>
      <c r="R781" s="243"/>
      <c r="S781" s="243"/>
      <c r="T781" s="243"/>
      <c r="U781" s="243"/>
    </row>
    <row r="782">
      <c r="A782" s="15"/>
      <c r="B782" s="15"/>
      <c r="C782" s="15"/>
      <c r="D782" s="15"/>
      <c r="E782" s="15"/>
      <c r="F782" s="15"/>
      <c r="G782" s="15"/>
      <c r="H782" s="15"/>
      <c r="I782" s="15"/>
      <c r="J782" s="243"/>
      <c r="K782" s="15"/>
      <c r="L782" s="15"/>
      <c r="M782" s="15"/>
      <c r="N782" s="15"/>
      <c r="O782" s="243"/>
      <c r="P782" s="243"/>
      <c r="Q782" s="243"/>
      <c r="R782" s="243"/>
      <c r="S782" s="243"/>
      <c r="T782" s="243"/>
      <c r="U782" s="243"/>
    </row>
    <row r="783">
      <c r="A783" s="15"/>
      <c r="B783" s="15"/>
      <c r="C783" s="15"/>
      <c r="D783" s="15"/>
      <c r="E783" s="15"/>
      <c r="F783" s="15"/>
      <c r="G783" s="15"/>
      <c r="H783" s="15"/>
      <c r="I783" s="15"/>
      <c r="J783" s="243"/>
      <c r="K783" s="15"/>
      <c r="L783" s="15"/>
      <c r="M783" s="15"/>
      <c r="N783" s="15"/>
      <c r="O783" s="243"/>
      <c r="P783" s="243"/>
      <c r="Q783" s="243"/>
      <c r="R783" s="243"/>
      <c r="S783" s="243"/>
      <c r="T783" s="243"/>
      <c r="U783" s="243"/>
    </row>
    <row r="784">
      <c r="A784" s="15"/>
      <c r="B784" s="15"/>
      <c r="C784" s="15"/>
      <c r="D784" s="15"/>
      <c r="E784" s="15"/>
      <c r="F784" s="15"/>
      <c r="G784" s="15"/>
      <c r="H784" s="15"/>
      <c r="I784" s="15"/>
      <c r="J784" s="243"/>
      <c r="K784" s="15"/>
      <c r="L784" s="15"/>
      <c r="M784" s="15"/>
      <c r="N784" s="15"/>
      <c r="O784" s="243"/>
      <c r="P784" s="243"/>
      <c r="Q784" s="243"/>
      <c r="R784" s="243"/>
      <c r="S784" s="243"/>
      <c r="T784" s="243"/>
      <c r="U784" s="243"/>
    </row>
    <row r="785">
      <c r="A785" s="15"/>
      <c r="B785" s="15"/>
      <c r="C785" s="15"/>
      <c r="D785" s="15"/>
      <c r="E785" s="15"/>
      <c r="F785" s="15"/>
      <c r="G785" s="15"/>
      <c r="H785" s="15"/>
      <c r="I785" s="15"/>
      <c r="J785" s="243"/>
      <c r="K785" s="15"/>
      <c r="L785" s="15"/>
      <c r="M785" s="15"/>
      <c r="N785" s="15"/>
      <c r="O785" s="243"/>
      <c r="P785" s="243"/>
      <c r="Q785" s="243"/>
      <c r="R785" s="243"/>
      <c r="S785" s="243"/>
      <c r="T785" s="243"/>
      <c r="U785" s="243"/>
    </row>
    <row r="786">
      <c r="A786" s="15"/>
      <c r="B786" s="15"/>
      <c r="C786" s="15"/>
      <c r="D786" s="15"/>
      <c r="E786" s="15"/>
      <c r="F786" s="15"/>
      <c r="G786" s="15"/>
      <c r="H786" s="15"/>
      <c r="I786" s="15"/>
      <c r="J786" s="243"/>
      <c r="K786" s="15"/>
      <c r="L786" s="15"/>
      <c r="M786" s="15"/>
      <c r="N786" s="15"/>
      <c r="O786" s="243"/>
      <c r="P786" s="243"/>
      <c r="Q786" s="243"/>
      <c r="R786" s="243"/>
      <c r="S786" s="243"/>
      <c r="T786" s="243"/>
      <c r="U786" s="243"/>
    </row>
    <row r="787">
      <c r="A787" s="15"/>
      <c r="B787" s="15"/>
      <c r="C787" s="15"/>
      <c r="D787" s="15"/>
      <c r="E787" s="15"/>
      <c r="F787" s="15"/>
      <c r="G787" s="15"/>
      <c r="H787" s="15"/>
      <c r="I787" s="15"/>
      <c r="J787" s="243"/>
      <c r="K787" s="15"/>
      <c r="L787" s="15"/>
      <c r="M787" s="15"/>
      <c r="N787" s="15"/>
      <c r="O787" s="243"/>
      <c r="P787" s="243"/>
      <c r="Q787" s="243"/>
      <c r="R787" s="243"/>
      <c r="S787" s="243"/>
      <c r="T787" s="243"/>
      <c r="U787" s="243"/>
    </row>
    <row r="788">
      <c r="A788" s="15"/>
      <c r="B788" s="15"/>
      <c r="C788" s="15"/>
      <c r="D788" s="15"/>
      <c r="E788" s="15"/>
      <c r="F788" s="15"/>
      <c r="G788" s="15"/>
      <c r="H788" s="15"/>
      <c r="I788" s="15"/>
      <c r="J788" s="243"/>
      <c r="K788" s="15"/>
      <c r="L788" s="15"/>
      <c r="M788" s="15"/>
      <c r="N788" s="15"/>
      <c r="O788" s="243"/>
      <c r="P788" s="243"/>
      <c r="Q788" s="243"/>
      <c r="R788" s="243"/>
      <c r="S788" s="243"/>
      <c r="T788" s="243"/>
      <c r="U788" s="243"/>
    </row>
    <row r="789">
      <c r="A789" s="15"/>
      <c r="B789" s="15"/>
      <c r="C789" s="15"/>
      <c r="D789" s="15"/>
      <c r="E789" s="15"/>
      <c r="F789" s="15"/>
      <c r="G789" s="15"/>
      <c r="H789" s="15"/>
      <c r="I789" s="15"/>
      <c r="J789" s="243"/>
      <c r="K789" s="15"/>
      <c r="L789" s="15"/>
      <c r="M789" s="15"/>
      <c r="N789" s="15"/>
      <c r="O789" s="243"/>
      <c r="P789" s="243"/>
      <c r="Q789" s="243"/>
      <c r="R789" s="243"/>
      <c r="S789" s="243"/>
      <c r="T789" s="243"/>
      <c r="U789" s="243"/>
    </row>
    <row r="790">
      <c r="A790" s="15"/>
      <c r="B790" s="15"/>
      <c r="C790" s="15"/>
      <c r="D790" s="15"/>
      <c r="E790" s="15"/>
      <c r="F790" s="15"/>
      <c r="G790" s="15"/>
      <c r="H790" s="15"/>
      <c r="I790" s="15"/>
      <c r="J790" s="243"/>
      <c r="K790" s="15"/>
      <c r="L790" s="15"/>
      <c r="M790" s="15"/>
      <c r="N790" s="15"/>
      <c r="O790" s="243"/>
      <c r="P790" s="243"/>
      <c r="Q790" s="243"/>
      <c r="R790" s="243"/>
      <c r="S790" s="243"/>
      <c r="T790" s="243"/>
      <c r="U790" s="243"/>
    </row>
    <row r="791">
      <c r="A791" s="15"/>
      <c r="B791" s="15"/>
      <c r="C791" s="15"/>
      <c r="D791" s="15"/>
      <c r="E791" s="15"/>
      <c r="F791" s="15"/>
      <c r="G791" s="15"/>
      <c r="H791" s="15"/>
      <c r="I791" s="15"/>
      <c r="J791" s="243"/>
      <c r="K791" s="15"/>
      <c r="L791" s="15"/>
      <c r="M791" s="15"/>
      <c r="N791" s="15"/>
      <c r="O791" s="243"/>
      <c r="P791" s="243"/>
      <c r="Q791" s="243"/>
      <c r="R791" s="243"/>
      <c r="S791" s="243"/>
      <c r="T791" s="243"/>
      <c r="U791" s="243"/>
    </row>
    <row r="792">
      <c r="A792" s="15"/>
      <c r="B792" s="15"/>
      <c r="C792" s="15"/>
      <c r="D792" s="15"/>
      <c r="E792" s="15"/>
      <c r="F792" s="15"/>
      <c r="G792" s="15"/>
      <c r="H792" s="15"/>
      <c r="I792" s="15"/>
      <c r="J792" s="243"/>
      <c r="K792" s="15"/>
      <c r="L792" s="15"/>
      <c r="M792" s="15"/>
      <c r="N792" s="15"/>
      <c r="O792" s="243"/>
      <c r="P792" s="243"/>
      <c r="Q792" s="243"/>
      <c r="R792" s="243"/>
      <c r="S792" s="243"/>
      <c r="T792" s="243"/>
      <c r="U792" s="243"/>
    </row>
    <row r="793">
      <c r="A793" s="15"/>
      <c r="B793" s="15"/>
      <c r="C793" s="15"/>
      <c r="D793" s="15"/>
      <c r="E793" s="15"/>
      <c r="F793" s="15"/>
      <c r="G793" s="15"/>
      <c r="H793" s="15"/>
      <c r="I793" s="15"/>
      <c r="J793" s="243"/>
      <c r="K793" s="15"/>
      <c r="L793" s="15"/>
      <c r="M793" s="15"/>
      <c r="N793" s="15"/>
      <c r="O793" s="243"/>
      <c r="P793" s="243"/>
      <c r="Q793" s="243"/>
      <c r="R793" s="243"/>
      <c r="S793" s="243"/>
      <c r="T793" s="243"/>
      <c r="U793" s="243"/>
    </row>
    <row r="794">
      <c r="A794" s="15"/>
      <c r="B794" s="15"/>
      <c r="C794" s="15"/>
      <c r="D794" s="15"/>
      <c r="E794" s="15"/>
      <c r="F794" s="15"/>
      <c r="G794" s="15"/>
      <c r="H794" s="15"/>
      <c r="I794" s="15"/>
      <c r="J794" s="243"/>
      <c r="K794" s="15"/>
      <c r="L794" s="15"/>
      <c r="M794" s="15"/>
      <c r="N794" s="15"/>
      <c r="O794" s="243"/>
      <c r="P794" s="243"/>
      <c r="Q794" s="243"/>
      <c r="R794" s="243"/>
      <c r="S794" s="243"/>
      <c r="T794" s="243"/>
      <c r="U794" s="243"/>
    </row>
    <row r="795">
      <c r="A795" s="15"/>
      <c r="B795" s="15"/>
      <c r="C795" s="15"/>
      <c r="D795" s="15"/>
      <c r="E795" s="15"/>
      <c r="F795" s="15"/>
      <c r="G795" s="15"/>
      <c r="H795" s="15"/>
      <c r="I795" s="15"/>
      <c r="J795" s="243"/>
      <c r="K795" s="15"/>
      <c r="L795" s="15"/>
      <c r="M795" s="15"/>
      <c r="N795" s="15"/>
      <c r="O795" s="243"/>
      <c r="P795" s="243"/>
      <c r="Q795" s="243"/>
      <c r="R795" s="243"/>
      <c r="S795" s="243"/>
      <c r="T795" s="243"/>
      <c r="U795" s="243"/>
    </row>
    <row r="796">
      <c r="A796" s="15"/>
      <c r="B796" s="15"/>
      <c r="C796" s="15"/>
      <c r="D796" s="15"/>
      <c r="E796" s="15"/>
      <c r="F796" s="15"/>
      <c r="G796" s="15"/>
      <c r="H796" s="15"/>
      <c r="I796" s="15"/>
      <c r="J796" s="243"/>
      <c r="K796" s="15"/>
      <c r="L796" s="15"/>
      <c r="M796" s="15"/>
      <c r="N796" s="15"/>
      <c r="O796" s="243"/>
      <c r="P796" s="243"/>
      <c r="Q796" s="243"/>
      <c r="R796" s="243"/>
      <c r="S796" s="243"/>
      <c r="T796" s="243"/>
      <c r="U796" s="243"/>
    </row>
    <row r="797">
      <c r="A797" s="15"/>
      <c r="B797" s="15"/>
      <c r="C797" s="15"/>
      <c r="D797" s="15"/>
      <c r="E797" s="15"/>
      <c r="F797" s="15"/>
      <c r="G797" s="15"/>
      <c r="H797" s="15"/>
      <c r="I797" s="15"/>
      <c r="J797" s="243"/>
      <c r="K797" s="15"/>
      <c r="L797" s="15"/>
      <c r="M797" s="15"/>
      <c r="N797" s="15"/>
      <c r="O797" s="243"/>
      <c r="P797" s="243"/>
      <c r="Q797" s="243"/>
      <c r="R797" s="243"/>
      <c r="S797" s="243"/>
      <c r="T797" s="243"/>
      <c r="U797" s="243"/>
    </row>
    <row r="798">
      <c r="A798" s="15"/>
      <c r="B798" s="15"/>
      <c r="C798" s="15"/>
      <c r="D798" s="15"/>
      <c r="E798" s="15"/>
      <c r="F798" s="15"/>
      <c r="G798" s="15"/>
      <c r="H798" s="15"/>
      <c r="I798" s="15"/>
      <c r="J798" s="243"/>
      <c r="K798" s="15"/>
      <c r="L798" s="15"/>
      <c r="M798" s="15"/>
      <c r="N798" s="15"/>
      <c r="O798" s="243"/>
      <c r="P798" s="243"/>
      <c r="Q798" s="243"/>
      <c r="R798" s="243"/>
      <c r="S798" s="243"/>
      <c r="T798" s="243"/>
      <c r="U798" s="243"/>
    </row>
    <row r="799">
      <c r="A799" s="15"/>
      <c r="B799" s="15"/>
      <c r="C799" s="15"/>
      <c r="D799" s="15"/>
      <c r="E799" s="15"/>
      <c r="F799" s="15"/>
      <c r="G799" s="15"/>
      <c r="H799" s="15"/>
      <c r="I799" s="15"/>
      <c r="J799" s="243"/>
      <c r="K799" s="15"/>
      <c r="L799" s="15"/>
      <c r="M799" s="15"/>
      <c r="N799" s="15"/>
      <c r="O799" s="243"/>
      <c r="P799" s="243"/>
      <c r="Q799" s="243"/>
      <c r="R799" s="243"/>
      <c r="S799" s="243"/>
      <c r="T799" s="243"/>
      <c r="U799" s="243"/>
    </row>
    <row r="800">
      <c r="A800" s="15"/>
      <c r="B800" s="15"/>
      <c r="C800" s="15"/>
      <c r="D800" s="15"/>
      <c r="E800" s="15"/>
      <c r="F800" s="15"/>
      <c r="G800" s="15"/>
      <c r="H800" s="15"/>
      <c r="I800" s="15"/>
      <c r="J800" s="243"/>
      <c r="K800" s="15"/>
      <c r="L800" s="15"/>
      <c r="M800" s="15"/>
      <c r="N800" s="15"/>
      <c r="O800" s="243"/>
      <c r="P800" s="243"/>
      <c r="Q800" s="243"/>
      <c r="R800" s="243"/>
      <c r="S800" s="243"/>
      <c r="T800" s="243"/>
      <c r="U800" s="243"/>
    </row>
    <row r="801">
      <c r="A801" s="15"/>
      <c r="B801" s="15"/>
      <c r="C801" s="15"/>
      <c r="D801" s="15"/>
      <c r="E801" s="15"/>
      <c r="F801" s="15"/>
      <c r="G801" s="15"/>
      <c r="H801" s="15"/>
      <c r="I801" s="15"/>
      <c r="J801" s="243"/>
      <c r="K801" s="15"/>
      <c r="L801" s="15"/>
      <c r="M801" s="15"/>
      <c r="N801" s="15"/>
      <c r="O801" s="243"/>
      <c r="P801" s="243"/>
      <c r="Q801" s="243"/>
      <c r="R801" s="243"/>
      <c r="S801" s="243"/>
      <c r="T801" s="243"/>
      <c r="U801" s="243"/>
    </row>
    <row r="802">
      <c r="A802" s="15"/>
      <c r="B802" s="15"/>
      <c r="C802" s="15"/>
      <c r="D802" s="15"/>
      <c r="E802" s="15"/>
      <c r="F802" s="15"/>
      <c r="G802" s="15"/>
      <c r="H802" s="15"/>
      <c r="I802" s="15"/>
      <c r="J802" s="243"/>
      <c r="K802" s="15"/>
      <c r="L802" s="15"/>
      <c r="M802" s="15"/>
      <c r="N802" s="15"/>
      <c r="O802" s="243"/>
      <c r="P802" s="243"/>
      <c r="Q802" s="243"/>
      <c r="R802" s="243"/>
      <c r="S802" s="243"/>
      <c r="T802" s="243"/>
      <c r="U802" s="243"/>
    </row>
    <row r="803">
      <c r="A803" s="15"/>
      <c r="B803" s="15"/>
      <c r="C803" s="15"/>
      <c r="D803" s="15"/>
      <c r="E803" s="15"/>
      <c r="F803" s="15"/>
      <c r="G803" s="15"/>
      <c r="H803" s="15"/>
      <c r="I803" s="15"/>
      <c r="J803" s="243"/>
      <c r="K803" s="15"/>
      <c r="L803" s="15"/>
      <c r="M803" s="15"/>
      <c r="N803" s="15"/>
      <c r="O803" s="243"/>
      <c r="P803" s="243"/>
      <c r="Q803" s="243"/>
      <c r="R803" s="243"/>
      <c r="S803" s="243"/>
      <c r="T803" s="243"/>
      <c r="U803" s="243"/>
    </row>
    <row r="804">
      <c r="A804" s="15"/>
      <c r="B804" s="15"/>
      <c r="C804" s="15"/>
      <c r="D804" s="15"/>
      <c r="E804" s="15"/>
      <c r="F804" s="15"/>
      <c r="G804" s="15"/>
      <c r="H804" s="15"/>
      <c r="I804" s="15"/>
      <c r="J804" s="243"/>
      <c r="K804" s="15"/>
      <c r="L804" s="15"/>
      <c r="M804" s="15"/>
      <c r="N804" s="15"/>
      <c r="O804" s="243"/>
      <c r="P804" s="243"/>
      <c r="Q804" s="243"/>
      <c r="R804" s="243"/>
      <c r="S804" s="243"/>
      <c r="T804" s="243"/>
      <c r="U804" s="243"/>
    </row>
    <row r="805">
      <c r="A805" s="15"/>
      <c r="B805" s="15"/>
      <c r="C805" s="15"/>
      <c r="D805" s="15"/>
      <c r="E805" s="15"/>
      <c r="F805" s="15"/>
      <c r="G805" s="15"/>
      <c r="H805" s="15"/>
      <c r="I805" s="15"/>
      <c r="J805" s="243"/>
      <c r="K805" s="15"/>
      <c r="L805" s="15"/>
      <c r="M805" s="15"/>
      <c r="N805" s="15"/>
      <c r="O805" s="243"/>
      <c r="P805" s="243"/>
      <c r="Q805" s="243"/>
      <c r="R805" s="243"/>
      <c r="S805" s="243"/>
      <c r="T805" s="243"/>
      <c r="U805" s="243"/>
    </row>
    <row r="806">
      <c r="A806" s="15"/>
      <c r="B806" s="15"/>
      <c r="C806" s="15"/>
      <c r="D806" s="15"/>
      <c r="E806" s="15"/>
      <c r="F806" s="15"/>
      <c r="G806" s="15"/>
      <c r="H806" s="15"/>
      <c r="I806" s="15"/>
      <c r="J806" s="243"/>
      <c r="K806" s="15"/>
      <c r="L806" s="15"/>
      <c r="M806" s="15"/>
      <c r="N806" s="15"/>
      <c r="O806" s="243"/>
      <c r="P806" s="243"/>
      <c r="Q806" s="243"/>
      <c r="R806" s="243"/>
      <c r="S806" s="243"/>
      <c r="T806" s="243"/>
      <c r="U806" s="243"/>
    </row>
    <row r="807">
      <c r="A807" s="15"/>
      <c r="B807" s="15"/>
      <c r="C807" s="15"/>
      <c r="D807" s="15"/>
      <c r="E807" s="15"/>
      <c r="F807" s="15"/>
      <c r="G807" s="15"/>
      <c r="H807" s="15"/>
      <c r="I807" s="15"/>
      <c r="J807" s="243"/>
      <c r="K807" s="15"/>
      <c r="L807" s="15"/>
      <c r="M807" s="15"/>
      <c r="N807" s="15"/>
      <c r="O807" s="243"/>
      <c r="P807" s="243"/>
      <c r="Q807" s="243"/>
      <c r="R807" s="243"/>
      <c r="S807" s="243"/>
      <c r="T807" s="243"/>
      <c r="U807" s="243"/>
    </row>
    <row r="808">
      <c r="A808" s="15"/>
      <c r="B808" s="15"/>
      <c r="C808" s="15"/>
      <c r="D808" s="15"/>
      <c r="E808" s="15"/>
      <c r="F808" s="15"/>
      <c r="G808" s="15"/>
      <c r="H808" s="15"/>
      <c r="I808" s="15"/>
      <c r="J808" s="243"/>
      <c r="K808" s="15"/>
      <c r="L808" s="15"/>
      <c r="M808" s="15"/>
      <c r="N808" s="15"/>
      <c r="O808" s="243"/>
      <c r="P808" s="243"/>
      <c r="Q808" s="243"/>
      <c r="R808" s="243"/>
      <c r="S808" s="243"/>
      <c r="T808" s="243"/>
      <c r="U808" s="243"/>
    </row>
    <row r="809">
      <c r="A809" s="15"/>
      <c r="B809" s="15"/>
      <c r="C809" s="15"/>
      <c r="D809" s="15"/>
      <c r="E809" s="15"/>
      <c r="F809" s="15"/>
      <c r="G809" s="15"/>
      <c r="H809" s="15"/>
      <c r="I809" s="15"/>
      <c r="J809" s="243"/>
      <c r="K809" s="15"/>
      <c r="L809" s="15"/>
      <c r="M809" s="15"/>
      <c r="N809" s="15"/>
      <c r="O809" s="243"/>
      <c r="P809" s="243"/>
      <c r="Q809" s="243"/>
      <c r="R809" s="243"/>
      <c r="S809" s="243"/>
      <c r="T809" s="243"/>
      <c r="U809" s="243"/>
    </row>
    <row r="810">
      <c r="A810" s="15"/>
      <c r="B810" s="15"/>
      <c r="C810" s="15"/>
      <c r="D810" s="15"/>
      <c r="E810" s="15"/>
      <c r="F810" s="15"/>
      <c r="G810" s="15"/>
      <c r="H810" s="15"/>
      <c r="I810" s="15"/>
      <c r="J810" s="243"/>
      <c r="K810" s="15"/>
      <c r="L810" s="15"/>
      <c r="M810" s="15"/>
      <c r="N810" s="15"/>
      <c r="O810" s="243"/>
      <c r="P810" s="243"/>
      <c r="Q810" s="243"/>
      <c r="R810" s="243"/>
      <c r="S810" s="243"/>
      <c r="T810" s="243"/>
      <c r="U810" s="243"/>
    </row>
    <row r="811">
      <c r="A811" s="15"/>
      <c r="B811" s="15"/>
      <c r="C811" s="15"/>
      <c r="D811" s="15"/>
      <c r="E811" s="15"/>
      <c r="F811" s="15"/>
      <c r="G811" s="15"/>
      <c r="H811" s="15"/>
      <c r="I811" s="15"/>
      <c r="J811" s="243"/>
      <c r="K811" s="15"/>
      <c r="L811" s="15"/>
      <c r="M811" s="15"/>
      <c r="N811" s="15"/>
      <c r="O811" s="243"/>
      <c r="P811" s="243"/>
      <c r="Q811" s="243"/>
      <c r="R811" s="243"/>
      <c r="S811" s="243"/>
      <c r="T811" s="243"/>
      <c r="U811" s="243"/>
    </row>
    <row r="812">
      <c r="A812" s="15"/>
      <c r="B812" s="15"/>
      <c r="C812" s="15"/>
      <c r="D812" s="15"/>
      <c r="E812" s="15"/>
      <c r="F812" s="15"/>
      <c r="G812" s="15"/>
      <c r="H812" s="15"/>
      <c r="I812" s="15"/>
      <c r="J812" s="243"/>
      <c r="K812" s="15"/>
      <c r="L812" s="15"/>
      <c r="M812" s="15"/>
      <c r="N812" s="15"/>
      <c r="O812" s="243"/>
      <c r="P812" s="243"/>
      <c r="Q812" s="243"/>
      <c r="R812" s="243"/>
      <c r="S812" s="243"/>
      <c r="T812" s="243"/>
      <c r="U812" s="243"/>
    </row>
    <row r="813">
      <c r="A813" s="15"/>
      <c r="B813" s="15"/>
      <c r="C813" s="15"/>
      <c r="D813" s="15"/>
      <c r="E813" s="15"/>
      <c r="F813" s="15"/>
      <c r="G813" s="15"/>
      <c r="H813" s="15"/>
      <c r="I813" s="15"/>
      <c r="J813" s="243"/>
      <c r="K813" s="15"/>
      <c r="L813" s="15"/>
      <c r="M813" s="15"/>
      <c r="N813" s="15"/>
      <c r="O813" s="243"/>
      <c r="P813" s="243"/>
      <c r="Q813" s="243"/>
      <c r="R813" s="243"/>
      <c r="S813" s="243"/>
      <c r="T813" s="243"/>
      <c r="U813" s="243"/>
    </row>
    <row r="814">
      <c r="A814" s="15"/>
      <c r="B814" s="15"/>
      <c r="C814" s="15"/>
      <c r="D814" s="15"/>
      <c r="E814" s="15"/>
      <c r="F814" s="15"/>
      <c r="G814" s="15"/>
      <c r="H814" s="15"/>
      <c r="I814" s="15"/>
      <c r="J814" s="243"/>
      <c r="K814" s="15"/>
      <c r="L814" s="15"/>
      <c r="M814" s="15"/>
      <c r="N814" s="15"/>
      <c r="O814" s="243"/>
      <c r="P814" s="243"/>
      <c r="Q814" s="243"/>
      <c r="R814" s="243"/>
      <c r="S814" s="243"/>
      <c r="T814" s="243"/>
      <c r="U814" s="243"/>
    </row>
    <row r="815">
      <c r="A815" s="15"/>
      <c r="B815" s="15"/>
      <c r="C815" s="15"/>
      <c r="D815" s="15"/>
      <c r="E815" s="15"/>
      <c r="F815" s="15"/>
      <c r="G815" s="15"/>
      <c r="H815" s="15"/>
      <c r="I815" s="15"/>
      <c r="J815" s="243"/>
      <c r="K815" s="15"/>
      <c r="L815" s="15"/>
      <c r="M815" s="15"/>
      <c r="N815" s="15"/>
      <c r="O815" s="243"/>
      <c r="P815" s="243"/>
      <c r="Q815" s="243"/>
      <c r="R815" s="243"/>
      <c r="S815" s="243"/>
      <c r="T815" s="243"/>
      <c r="U815" s="243"/>
    </row>
    <row r="816">
      <c r="A816" s="15"/>
      <c r="B816" s="15"/>
      <c r="C816" s="15"/>
      <c r="D816" s="15"/>
      <c r="E816" s="15"/>
      <c r="F816" s="15"/>
      <c r="G816" s="15"/>
      <c r="H816" s="15"/>
      <c r="I816" s="15"/>
      <c r="J816" s="243"/>
      <c r="K816" s="15"/>
      <c r="L816" s="15"/>
      <c r="M816" s="15"/>
      <c r="N816" s="15"/>
      <c r="O816" s="243"/>
      <c r="P816" s="243"/>
      <c r="Q816" s="243"/>
      <c r="R816" s="243"/>
      <c r="S816" s="243"/>
      <c r="T816" s="243"/>
      <c r="U816" s="243"/>
    </row>
    <row r="817">
      <c r="A817" s="15"/>
      <c r="B817" s="15"/>
      <c r="C817" s="15"/>
      <c r="D817" s="15"/>
      <c r="E817" s="15"/>
      <c r="F817" s="15"/>
      <c r="G817" s="15"/>
      <c r="H817" s="15"/>
      <c r="I817" s="15"/>
      <c r="J817" s="243"/>
      <c r="K817" s="15"/>
      <c r="L817" s="15"/>
      <c r="M817" s="15"/>
      <c r="N817" s="15"/>
      <c r="O817" s="243"/>
      <c r="P817" s="243"/>
      <c r="Q817" s="243"/>
      <c r="R817" s="243"/>
      <c r="S817" s="243"/>
      <c r="T817" s="243"/>
      <c r="U817" s="243"/>
    </row>
    <row r="818">
      <c r="A818" s="15"/>
      <c r="B818" s="15"/>
      <c r="C818" s="15"/>
      <c r="D818" s="15"/>
      <c r="E818" s="15"/>
      <c r="F818" s="15"/>
      <c r="G818" s="15"/>
      <c r="H818" s="15"/>
      <c r="I818" s="15"/>
      <c r="J818" s="243"/>
      <c r="K818" s="15"/>
      <c r="L818" s="15"/>
      <c r="M818" s="15"/>
      <c r="N818" s="15"/>
      <c r="O818" s="243"/>
      <c r="P818" s="243"/>
      <c r="Q818" s="243"/>
      <c r="R818" s="243"/>
      <c r="S818" s="243"/>
      <c r="T818" s="243"/>
      <c r="U818" s="243"/>
    </row>
    <row r="819">
      <c r="A819" s="15"/>
      <c r="B819" s="15"/>
      <c r="C819" s="15"/>
      <c r="D819" s="15"/>
      <c r="E819" s="15"/>
      <c r="F819" s="15"/>
      <c r="G819" s="15"/>
      <c r="H819" s="15"/>
      <c r="I819" s="15"/>
      <c r="J819" s="243"/>
      <c r="K819" s="15"/>
      <c r="L819" s="15"/>
      <c r="M819" s="15"/>
      <c r="N819" s="15"/>
      <c r="O819" s="243"/>
      <c r="P819" s="243"/>
      <c r="Q819" s="243"/>
      <c r="R819" s="243"/>
      <c r="S819" s="243"/>
      <c r="T819" s="243"/>
      <c r="U819" s="243"/>
    </row>
    <row r="820">
      <c r="A820" s="15"/>
      <c r="B820" s="15"/>
      <c r="C820" s="15"/>
      <c r="D820" s="15"/>
      <c r="E820" s="15"/>
      <c r="F820" s="15"/>
      <c r="G820" s="15"/>
      <c r="H820" s="15"/>
      <c r="I820" s="15"/>
      <c r="J820" s="243"/>
      <c r="K820" s="15"/>
      <c r="L820" s="15"/>
      <c r="M820" s="15"/>
      <c r="N820" s="15"/>
      <c r="O820" s="243"/>
      <c r="P820" s="243"/>
      <c r="Q820" s="243"/>
      <c r="R820" s="243"/>
      <c r="S820" s="243"/>
      <c r="T820" s="243"/>
      <c r="U820" s="243"/>
    </row>
    <row r="821">
      <c r="A821" s="15"/>
      <c r="B821" s="15"/>
      <c r="C821" s="15"/>
      <c r="D821" s="15"/>
      <c r="E821" s="15"/>
      <c r="F821" s="15"/>
      <c r="G821" s="15"/>
      <c r="H821" s="15"/>
      <c r="I821" s="15"/>
      <c r="J821" s="243"/>
      <c r="K821" s="15"/>
      <c r="L821" s="15"/>
      <c r="M821" s="15"/>
      <c r="N821" s="15"/>
      <c r="O821" s="243"/>
      <c r="P821" s="243"/>
      <c r="Q821" s="243"/>
      <c r="R821" s="243"/>
      <c r="S821" s="243"/>
      <c r="T821" s="243"/>
      <c r="U821" s="243"/>
    </row>
    <row r="822">
      <c r="A822" s="15"/>
      <c r="B822" s="15"/>
      <c r="C822" s="15"/>
      <c r="D822" s="15"/>
      <c r="E822" s="15"/>
      <c r="F822" s="15"/>
      <c r="G822" s="15"/>
      <c r="H822" s="15"/>
      <c r="I822" s="15"/>
      <c r="J822" s="243"/>
      <c r="K822" s="15"/>
      <c r="L822" s="15"/>
      <c r="M822" s="15"/>
      <c r="N822" s="15"/>
      <c r="O822" s="243"/>
      <c r="P822" s="243"/>
      <c r="Q822" s="243"/>
      <c r="R822" s="243"/>
      <c r="S822" s="243"/>
      <c r="T822" s="243"/>
      <c r="U822" s="243"/>
    </row>
    <row r="823">
      <c r="A823" s="15"/>
      <c r="B823" s="15"/>
      <c r="C823" s="15"/>
      <c r="D823" s="15"/>
      <c r="E823" s="15"/>
      <c r="F823" s="15"/>
      <c r="G823" s="15"/>
      <c r="H823" s="15"/>
      <c r="I823" s="15"/>
      <c r="J823" s="243"/>
      <c r="K823" s="15"/>
      <c r="L823" s="15"/>
      <c r="M823" s="15"/>
      <c r="N823" s="15"/>
      <c r="O823" s="243"/>
      <c r="P823" s="243"/>
      <c r="Q823" s="243"/>
      <c r="R823" s="243"/>
      <c r="S823" s="243"/>
      <c r="T823" s="243"/>
      <c r="U823" s="243"/>
    </row>
    <row r="824">
      <c r="A824" s="15"/>
      <c r="B824" s="15"/>
      <c r="C824" s="15"/>
      <c r="D824" s="15"/>
      <c r="E824" s="15"/>
      <c r="F824" s="15"/>
      <c r="G824" s="15"/>
      <c r="H824" s="15"/>
      <c r="I824" s="15"/>
      <c r="J824" s="243"/>
      <c r="K824" s="15"/>
      <c r="L824" s="15"/>
      <c r="M824" s="15"/>
      <c r="N824" s="15"/>
      <c r="O824" s="243"/>
      <c r="P824" s="243"/>
      <c r="Q824" s="243"/>
      <c r="R824" s="243"/>
      <c r="S824" s="243"/>
      <c r="T824" s="243"/>
      <c r="U824" s="243"/>
    </row>
    <row r="825">
      <c r="A825" s="15"/>
      <c r="B825" s="15"/>
      <c r="C825" s="15"/>
      <c r="D825" s="15"/>
      <c r="E825" s="15"/>
      <c r="F825" s="15"/>
      <c r="G825" s="15"/>
      <c r="H825" s="15"/>
      <c r="I825" s="15"/>
      <c r="J825" s="243"/>
      <c r="K825" s="15"/>
      <c r="L825" s="15"/>
      <c r="M825" s="15"/>
      <c r="N825" s="15"/>
      <c r="O825" s="243"/>
      <c r="P825" s="243"/>
      <c r="Q825" s="243"/>
      <c r="R825" s="243"/>
      <c r="S825" s="243"/>
      <c r="T825" s="243"/>
      <c r="U825" s="243"/>
    </row>
    <row r="826">
      <c r="A826" s="15"/>
      <c r="B826" s="15"/>
      <c r="C826" s="15"/>
      <c r="D826" s="15"/>
      <c r="E826" s="15"/>
      <c r="F826" s="15"/>
      <c r="G826" s="15"/>
      <c r="H826" s="15"/>
      <c r="I826" s="15"/>
      <c r="J826" s="243"/>
      <c r="K826" s="15"/>
      <c r="L826" s="15"/>
      <c r="M826" s="15"/>
      <c r="N826" s="15"/>
      <c r="O826" s="243"/>
      <c r="P826" s="243"/>
      <c r="Q826" s="243"/>
      <c r="R826" s="243"/>
      <c r="S826" s="243"/>
      <c r="T826" s="243"/>
      <c r="U826" s="243"/>
    </row>
    <row r="827">
      <c r="A827" s="15"/>
      <c r="B827" s="15"/>
      <c r="C827" s="15"/>
      <c r="D827" s="15"/>
      <c r="E827" s="15"/>
      <c r="F827" s="15"/>
      <c r="G827" s="15"/>
      <c r="H827" s="15"/>
      <c r="I827" s="15"/>
      <c r="J827" s="243"/>
      <c r="K827" s="15"/>
      <c r="L827" s="15"/>
      <c r="M827" s="15"/>
      <c r="N827" s="15"/>
      <c r="O827" s="243"/>
      <c r="P827" s="243"/>
      <c r="Q827" s="243"/>
      <c r="R827" s="243"/>
      <c r="S827" s="243"/>
      <c r="T827" s="243"/>
      <c r="U827" s="243"/>
    </row>
    <row r="828">
      <c r="A828" s="15"/>
      <c r="B828" s="15"/>
      <c r="C828" s="15"/>
      <c r="D828" s="15"/>
      <c r="E828" s="15"/>
      <c r="F828" s="15"/>
      <c r="G828" s="15"/>
      <c r="H828" s="15"/>
      <c r="I828" s="15"/>
      <c r="J828" s="243"/>
      <c r="K828" s="15"/>
      <c r="L828" s="15"/>
      <c r="M828" s="15"/>
      <c r="N828" s="15"/>
      <c r="O828" s="243"/>
      <c r="P828" s="243"/>
      <c r="Q828" s="243"/>
      <c r="R828" s="243"/>
      <c r="S828" s="243"/>
      <c r="T828" s="243"/>
      <c r="U828" s="243"/>
    </row>
    <row r="829">
      <c r="A829" s="15"/>
      <c r="B829" s="15"/>
      <c r="C829" s="15"/>
      <c r="D829" s="15"/>
      <c r="E829" s="15"/>
      <c r="F829" s="15"/>
      <c r="G829" s="15"/>
      <c r="H829" s="15"/>
      <c r="I829" s="15"/>
      <c r="J829" s="243"/>
      <c r="K829" s="15"/>
      <c r="L829" s="15"/>
      <c r="M829" s="15"/>
      <c r="N829" s="15"/>
      <c r="O829" s="243"/>
      <c r="P829" s="243"/>
      <c r="Q829" s="243"/>
      <c r="R829" s="243"/>
      <c r="S829" s="243"/>
      <c r="T829" s="243"/>
      <c r="U829" s="243"/>
    </row>
    <row r="830">
      <c r="A830" s="15"/>
      <c r="B830" s="15"/>
      <c r="C830" s="15"/>
      <c r="D830" s="15"/>
      <c r="E830" s="15"/>
      <c r="F830" s="15"/>
      <c r="G830" s="15"/>
      <c r="H830" s="15"/>
      <c r="I830" s="15"/>
      <c r="J830" s="243"/>
      <c r="K830" s="15"/>
      <c r="L830" s="15"/>
      <c r="M830" s="15"/>
      <c r="N830" s="15"/>
      <c r="O830" s="243"/>
      <c r="P830" s="243"/>
      <c r="Q830" s="243"/>
      <c r="R830" s="243"/>
      <c r="S830" s="243"/>
      <c r="T830" s="243"/>
      <c r="U830" s="243"/>
    </row>
    <row r="831">
      <c r="A831" s="15"/>
      <c r="B831" s="15"/>
      <c r="C831" s="15"/>
      <c r="D831" s="15"/>
      <c r="E831" s="15"/>
      <c r="F831" s="15"/>
      <c r="G831" s="15"/>
      <c r="H831" s="15"/>
      <c r="I831" s="15"/>
      <c r="J831" s="243"/>
      <c r="K831" s="15"/>
      <c r="L831" s="15"/>
      <c r="M831" s="15"/>
      <c r="N831" s="15"/>
      <c r="O831" s="243"/>
      <c r="P831" s="243"/>
      <c r="Q831" s="243"/>
      <c r="R831" s="243"/>
      <c r="S831" s="243"/>
      <c r="T831" s="243"/>
      <c r="U831" s="243"/>
    </row>
    <row r="832">
      <c r="A832" s="15"/>
      <c r="B832" s="15"/>
      <c r="C832" s="15"/>
      <c r="D832" s="15"/>
      <c r="E832" s="15"/>
      <c r="F832" s="15"/>
      <c r="G832" s="15"/>
      <c r="H832" s="15"/>
      <c r="I832" s="15"/>
      <c r="J832" s="243"/>
      <c r="K832" s="15"/>
      <c r="L832" s="15"/>
      <c r="M832" s="15"/>
      <c r="N832" s="15"/>
      <c r="O832" s="243"/>
      <c r="P832" s="243"/>
      <c r="Q832" s="243"/>
      <c r="R832" s="243"/>
      <c r="S832" s="243"/>
      <c r="T832" s="243"/>
      <c r="U832" s="243"/>
    </row>
    <row r="833">
      <c r="A833" s="15"/>
      <c r="B833" s="15"/>
      <c r="C833" s="15"/>
      <c r="D833" s="15"/>
      <c r="E833" s="15"/>
      <c r="F833" s="15"/>
      <c r="G833" s="15"/>
      <c r="H833" s="15"/>
      <c r="I833" s="15"/>
      <c r="J833" s="243"/>
      <c r="K833" s="15"/>
      <c r="L833" s="15"/>
      <c r="M833" s="15"/>
      <c r="N833" s="15"/>
      <c r="O833" s="243"/>
      <c r="P833" s="243"/>
      <c r="Q833" s="243"/>
      <c r="R833" s="243"/>
      <c r="S833" s="243"/>
      <c r="T833" s="243"/>
      <c r="U833" s="243"/>
    </row>
    <row r="834">
      <c r="A834" s="15"/>
      <c r="B834" s="15"/>
      <c r="C834" s="15"/>
      <c r="D834" s="15"/>
      <c r="E834" s="15"/>
      <c r="F834" s="15"/>
      <c r="G834" s="15"/>
      <c r="H834" s="15"/>
      <c r="I834" s="15"/>
      <c r="J834" s="243"/>
      <c r="K834" s="15"/>
      <c r="L834" s="15"/>
      <c r="M834" s="15"/>
      <c r="N834" s="15"/>
      <c r="O834" s="243"/>
      <c r="P834" s="243"/>
      <c r="Q834" s="243"/>
      <c r="R834" s="243"/>
      <c r="S834" s="243"/>
      <c r="T834" s="243"/>
      <c r="U834" s="243"/>
    </row>
    <row r="835">
      <c r="A835" s="15"/>
      <c r="B835" s="15"/>
      <c r="C835" s="15"/>
      <c r="D835" s="15"/>
      <c r="E835" s="15"/>
      <c r="F835" s="15"/>
      <c r="G835" s="15"/>
      <c r="H835" s="15"/>
      <c r="I835" s="15"/>
      <c r="J835" s="243"/>
      <c r="K835" s="15"/>
      <c r="L835" s="15"/>
      <c r="M835" s="15"/>
      <c r="N835" s="15"/>
      <c r="O835" s="243"/>
      <c r="P835" s="243"/>
      <c r="Q835" s="243"/>
      <c r="R835" s="243"/>
      <c r="S835" s="243"/>
      <c r="T835" s="243"/>
      <c r="U835" s="243"/>
    </row>
    <row r="836">
      <c r="A836" s="15"/>
      <c r="B836" s="15"/>
      <c r="C836" s="15"/>
      <c r="D836" s="15"/>
      <c r="E836" s="15"/>
      <c r="F836" s="15"/>
      <c r="G836" s="15"/>
      <c r="H836" s="15"/>
      <c r="I836" s="15"/>
      <c r="J836" s="243"/>
      <c r="K836" s="15"/>
      <c r="L836" s="15"/>
      <c r="M836" s="15"/>
      <c r="N836" s="15"/>
      <c r="O836" s="243"/>
      <c r="P836" s="243"/>
      <c r="Q836" s="243"/>
      <c r="R836" s="243"/>
      <c r="S836" s="243"/>
      <c r="T836" s="243"/>
      <c r="U836" s="243"/>
    </row>
    <row r="837">
      <c r="A837" s="15"/>
      <c r="B837" s="15"/>
      <c r="C837" s="15"/>
      <c r="D837" s="15"/>
      <c r="E837" s="15"/>
      <c r="F837" s="15"/>
      <c r="G837" s="15"/>
      <c r="H837" s="15"/>
      <c r="I837" s="15"/>
      <c r="J837" s="243"/>
      <c r="K837" s="15"/>
      <c r="L837" s="15"/>
      <c r="M837" s="15"/>
      <c r="N837" s="15"/>
      <c r="O837" s="243"/>
      <c r="P837" s="243"/>
      <c r="Q837" s="243"/>
      <c r="R837" s="243"/>
      <c r="S837" s="243"/>
      <c r="T837" s="243"/>
      <c r="U837" s="243"/>
    </row>
    <row r="838">
      <c r="A838" s="15"/>
      <c r="B838" s="15"/>
      <c r="C838" s="15"/>
      <c r="D838" s="15"/>
      <c r="E838" s="15"/>
      <c r="F838" s="15"/>
      <c r="G838" s="15"/>
      <c r="H838" s="15"/>
      <c r="I838" s="15"/>
      <c r="J838" s="243"/>
      <c r="K838" s="15"/>
      <c r="L838" s="15"/>
      <c r="M838" s="15"/>
      <c r="N838" s="15"/>
      <c r="O838" s="243"/>
      <c r="P838" s="243"/>
      <c r="Q838" s="243"/>
      <c r="R838" s="243"/>
      <c r="S838" s="243"/>
      <c r="T838" s="243"/>
      <c r="U838" s="243"/>
    </row>
    <row r="839">
      <c r="A839" s="15"/>
      <c r="B839" s="15"/>
      <c r="C839" s="15"/>
      <c r="D839" s="15"/>
      <c r="E839" s="15"/>
      <c r="F839" s="15"/>
      <c r="G839" s="15"/>
      <c r="H839" s="15"/>
      <c r="I839" s="15"/>
      <c r="J839" s="243"/>
      <c r="K839" s="15"/>
      <c r="L839" s="15"/>
      <c r="M839" s="15"/>
      <c r="N839" s="15"/>
      <c r="O839" s="243"/>
      <c r="P839" s="243"/>
      <c r="Q839" s="243"/>
      <c r="R839" s="243"/>
      <c r="S839" s="243"/>
      <c r="T839" s="243"/>
      <c r="U839" s="243"/>
    </row>
    <row r="840">
      <c r="A840" s="15"/>
      <c r="B840" s="15"/>
      <c r="C840" s="15"/>
      <c r="D840" s="15"/>
      <c r="E840" s="15"/>
      <c r="F840" s="15"/>
      <c r="G840" s="15"/>
      <c r="H840" s="15"/>
      <c r="I840" s="15"/>
      <c r="J840" s="243"/>
      <c r="K840" s="15"/>
      <c r="L840" s="15"/>
      <c r="M840" s="15"/>
      <c r="N840" s="15"/>
      <c r="O840" s="243"/>
      <c r="P840" s="243"/>
      <c r="Q840" s="243"/>
      <c r="R840" s="243"/>
      <c r="S840" s="243"/>
      <c r="T840" s="243"/>
      <c r="U840" s="243"/>
    </row>
    <row r="841">
      <c r="A841" s="15"/>
      <c r="B841" s="15"/>
      <c r="C841" s="15"/>
      <c r="D841" s="15"/>
      <c r="E841" s="15"/>
      <c r="F841" s="15"/>
      <c r="G841" s="15"/>
      <c r="H841" s="15"/>
      <c r="I841" s="15"/>
      <c r="J841" s="243"/>
      <c r="K841" s="15"/>
      <c r="L841" s="15"/>
      <c r="M841" s="15"/>
      <c r="N841" s="15"/>
      <c r="O841" s="243"/>
      <c r="P841" s="243"/>
      <c r="Q841" s="243"/>
      <c r="R841" s="243"/>
      <c r="S841" s="243"/>
      <c r="T841" s="243"/>
      <c r="U841" s="243"/>
    </row>
    <row r="842">
      <c r="A842" s="15"/>
      <c r="B842" s="15"/>
      <c r="C842" s="15"/>
      <c r="D842" s="15"/>
      <c r="E842" s="15"/>
      <c r="F842" s="15"/>
      <c r="G842" s="15"/>
      <c r="H842" s="15"/>
      <c r="I842" s="15"/>
      <c r="J842" s="243"/>
      <c r="K842" s="15"/>
      <c r="L842" s="15"/>
      <c r="M842" s="15"/>
      <c r="N842" s="15"/>
      <c r="O842" s="243"/>
      <c r="P842" s="243"/>
      <c r="Q842" s="243"/>
      <c r="R842" s="243"/>
      <c r="S842" s="243"/>
      <c r="T842" s="243"/>
      <c r="U842" s="243"/>
    </row>
    <row r="843">
      <c r="A843" s="15"/>
      <c r="B843" s="15"/>
      <c r="C843" s="15"/>
      <c r="D843" s="15"/>
      <c r="E843" s="15"/>
      <c r="F843" s="15"/>
      <c r="G843" s="15"/>
      <c r="H843" s="15"/>
      <c r="I843" s="15"/>
      <c r="J843" s="243"/>
      <c r="K843" s="15"/>
      <c r="L843" s="15"/>
      <c r="M843" s="15"/>
      <c r="N843" s="15"/>
      <c r="O843" s="243"/>
      <c r="P843" s="243"/>
      <c r="Q843" s="243"/>
      <c r="R843" s="243"/>
      <c r="S843" s="243"/>
      <c r="T843" s="243"/>
      <c r="U843" s="243"/>
    </row>
    <row r="844">
      <c r="A844" s="15"/>
      <c r="B844" s="15"/>
      <c r="C844" s="15"/>
      <c r="D844" s="15"/>
      <c r="E844" s="15"/>
      <c r="F844" s="15"/>
      <c r="G844" s="15"/>
      <c r="H844" s="15"/>
      <c r="I844" s="15"/>
      <c r="J844" s="243"/>
      <c r="K844" s="15"/>
      <c r="L844" s="15"/>
      <c r="M844" s="15"/>
      <c r="N844" s="15"/>
      <c r="O844" s="243"/>
      <c r="P844" s="243"/>
      <c r="Q844" s="243"/>
      <c r="R844" s="243"/>
      <c r="S844" s="243"/>
      <c r="T844" s="243"/>
      <c r="U844" s="243"/>
    </row>
    <row r="845">
      <c r="A845" s="15"/>
      <c r="B845" s="15"/>
      <c r="C845" s="15"/>
      <c r="D845" s="15"/>
      <c r="E845" s="15"/>
      <c r="F845" s="15"/>
      <c r="G845" s="15"/>
      <c r="H845" s="15"/>
      <c r="I845" s="15"/>
      <c r="J845" s="243"/>
      <c r="K845" s="15"/>
      <c r="L845" s="15"/>
      <c r="M845" s="15"/>
      <c r="N845" s="15"/>
      <c r="O845" s="243"/>
      <c r="P845" s="243"/>
      <c r="Q845" s="243"/>
      <c r="R845" s="243"/>
      <c r="S845" s="243"/>
      <c r="T845" s="243"/>
      <c r="U845" s="243"/>
    </row>
    <row r="846">
      <c r="A846" s="15"/>
      <c r="B846" s="15"/>
      <c r="C846" s="15"/>
      <c r="D846" s="15"/>
      <c r="E846" s="15"/>
      <c r="F846" s="15"/>
      <c r="G846" s="15"/>
      <c r="H846" s="15"/>
      <c r="I846" s="15"/>
      <c r="J846" s="243"/>
      <c r="K846" s="15"/>
      <c r="L846" s="15"/>
      <c r="M846" s="15"/>
      <c r="N846" s="15"/>
      <c r="O846" s="243"/>
      <c r="P846" s="243"/>
      <c r="Q846" s="243"/>
      <c r="R846" s="243"/>
      <c r="S846" s="243"/>
      <c r="T846" s="243"/>
      <c r="U846" s="243"/>
    </row>
    <row r="847">
      <c r="A847" s="15"/>
      <c r="B847" s="15"/>
      <c r="C847" s="15"/>
      <c r="D847" s="15"/>
      <c r="E847" s="15"/>
      <c r="F847" s="15"/>
      <c r="G847" s="15"/>
      <c r="H847" s="15"/>
      <c r="I847" s="15"/>
      <c r="J847" s="243"/>
      <c r="K847" s="15"/>
      <c r="L847" s="15"/>
      <c r="M847" s="15"/>
      <c r="N847" s="15"/>
      <c r="O847" s="243"/>
      <c r="P847" s="243"/>
      <c r="Q847" s="243"/>
      <c r="R847" s="243"/>
      <c r="S847" s="243"/>
      <c r="T847" s="243"/>
      <c r="U847" s="243"/>
    </row>
    <row r="848">
      <c r="A848" s="15"/>
      <c r="B848" s="15"/>
      <c r="C848" s="15"/>
      <c r="D848" s="15"/>
      <c r="E848" s="15"/>
      <c r="F848" s="15"/>
      <c r="G848" s="15"/>
      <c r="H848" s="15"/>
      <c r="I848" s="15"/>
      <c r="J848" s="243"/>
      <c r="K848" s="15"/>
      <c r="L848" s="15"/>
      <c r="M848" s="15"/>
      <c r="N848" s="15"/>
      <c r="O848" s="243"/>
      <c r="P848" s="243"/>
      <c r="Q848" s="243"/>
      <c r="R848" s="243"/>
      <c r="S848" s="243"/>
      <c r="T848" s="243"/>
      <c r="U848" s="243"/>
    </row>
    <row r="849">
      <c r="A849" s="15"/>
      <c r="B849" s="15"/>
      <c r="C849" s="15"/>
      <c r="D849" s="15"/>
      <c r="E849" s="15"/>
      <c r="F849" s="15"/>
      <c r="G849" s="15"/>
      <c r="H849" s="15"/>
      <c r="I849" s="15"/>
      <c r="J849" s="243"/>
      <c r="K849" s="15"/>
      <c r="L849" s="15"/>
      <c r="M849" s="15"/>
      <c r="N849" s="15"/>
      <c r="O849" s="243"/>
      <c r="P849" s="243"/>
      <c r="Q849" s="243"/>
      <c r="R849" s="243"/>
      <c r="S849" s="243"/>
      <c r="T849" s="243"/>
      <c r="U849" s="243"/>
    </row>
    <row r="850">
      <c r="A850" s="15"/>
      <c r="B850" s="15"/>
      <c r="C850" s="15"/>
      <c r="D850" s="15"/>
      <c r="E850" s="15"/>
      <c r="F850" s="15"/>
      <c r="G850" s="15"/>
      <c r="H850" s="15"/>
      <c r="I850" s="15"/>
      <c r="J850" s="243"/>
      <c r="K850" s="15"/>
      <c r="L850" s="15"/>
      <c r="M850" s="15"/>
      <c r="N850" s="15"/>
      <c r="O850" s="243"/>
      <c r="P850" s="243"/>
      <c r="Q850" s="243"/>
      <c r="R850" s="243"/>
      <c r="S850" s="243"/>
      <c r="T850" s="243"/>
      <c r="U850" s="243"/>
    </row>
    <row r="851">
      <c r="A851" s="15"/>
      <c r="B851" s="15"/>
      <c r="C851" s="15"/>
      <c r="D851" s="15"/>
      <c r="E851" s="15"/>
      <c r="F851" s="15"/>
      <c r="G851" s="15"/>
      <c r="H851" s="15"/>
      <c r="I851" s="15"/>
      <c r="J851" s="243"/>
      <c r="K851" s="15"/>
      <c r="L851" s="15"/>
      <c r="M851" s="15"/>
      <c r="N851" s="15"/>
      <c r="O851" s="243"/>
      <c r="P851" s="243"/>
      <c r="Q851" s="243"/>
      <c r="R851" s="243"/>
      <c r="S851" s="243"/>
      <c r="T851" s="243"/>
      <c r="U851" s="243"/>
    </row>
    <row r="852">
      <c r="A852" s="15"/>
      <c r="B852" s="15"/>
      <c r="C852" s="15"/>
      <c r="D852" s="15"/>
      <c r="E852" s="15"/>
      <c r="F852" s="15"/>
      <c r="G852" s="15"/>
      <c r="H852" s="15"/>
      <c r="I852" s="15"/>
      <c r="J852" s="243"/>
      <c r="K852" s="15"/>
      <c r="L852" s="15"/>
      <c r="M852" s="15"/>
      <c r="N852" s="15"/>
      <c r="O852" s="243"/>
      <c r="P852" s="243"/>
      <c r="Q852" s="243"/>
      <c r="R852" s="243"/>
      <c r="S852" s="243"/>
      <c r="T852" s="243"/>
      <c r="U852" s="243"/>
    </row>
    <row r="853">
      <c r="A853" s="15"/>
      <c r="B853" s="15"/>
      <c r="C853" s="15"/>
      <c r="D853" s="15"/>
      <c r="E853" s="15"/>
      <c r="F853" s="15"/>
      <c r="G853" s="15"/>
      <c r="H853" s="15"/>
      <c r="I853" s="15"/>
      <c r="J853" s="243"/>
      <c r="K853" s="15"/>
      <c r="L853" s="15"/>
      <c r="M853" s="15"/>
      <c r="N853" s="15"/>
      <c r="O853" s="243"/>
      <c r="P853" s="243"/>
      <c r="Q853" s="243"/>
      <c r="R853" s="243"/>
      <c r="S853" s="243"/>
      <c r="T853" s="243"/>
      <c r="U853" s="243"/>
    </row>
    <row r="854">
      <c r="A854" s="15"/>
      <c r="B854" s="15"/>
      <c r="C854" s="15"/>
      <c r="D854" s="15"/>
      <c r="E854" s="15"/>
      <c r="F854" s="15"/>
      <c r="G854" s="15"/>
      <c r="H854" s="15"/>
      <c r="I854" s="15"/>
      <c r="J854" s="243"/>
      <c r="K854" s="15"/>
      <c r="L854" s="15"/>
      <c r="M854" s="15"/>
      <c r="N854" s="15"/>
      <c r="O854" s="243"/>
      <c r="P854" s="243"/>
      <c r="Q854" s="243"/>
      <c r="R854" s="243"/>
      <c r="S854" s="243"/>
      <c r="T854" s="243"/>
      <c r="U854" s="243"/>
    </row>
    <row r="855">
      <c r="A855" s="15"/>
      <c r="B855" s="15"/>
      <c r="C855" s="15"/>
      <c r="D855" s="15"/>
      <c r="E855" s="15"/>
      <c r="F855" s="15"/>
      <c r="G855" s="15"/>
      <c r="H855" s="15"/>
      <c r="I855" s="15"/>
      <c r="J855" s="243"/>
      <c r="K855" s="15"/>
      <c r="L855" s="15"/>
      <c r="M855" s="15"/>
      <c r="N855" s="15"/>
      <c r="O855" s="243"/>
      <c r="P855" s="243"/>
      <c r="Q855" s="243"/>
      <c r="R855" s="243"/>
      <c r="S855" s="243"/>
      <c r="T855" s="243"/>
      <c r="U855" s="243"/>
    </row>
    <row r="856">
      <c r="A856" s="15"/>
      <c r="B856" s="15"/>
      <c r="C856" s="15"/>
      <c r="D856" s="15"/>
      <c r="E856" s="15"/>
      <c r="F856" s="15"/>
      <c r="G856" s="15"/>
      <c r="H856" s="15"/>
      <c r="I856" s="15"/>
      <c r="J856" s="243"/>
      <c r="K856" s="15"/>
      <c r="L856" s="15"/>
      <c r="M856" s="15"/>
      <c r="N856" s="15"/>
      <c r="O856" s="243"/>
      <c r="P856" s="243"/>
      <c r="Q856" s="243"/>
      <c r="R856" s="243"/>
      <c r="S856" s="243"/>
      <c r="T856" s="243"/>
      <c r="U856" s="243"/>
    </row>
    <row r="857">
      <c r="A857" s="15"/>
      <c r="B857" s="15"/>
      <c r="C857" s="15"/>
      <c r="D857" s="15"/>
      <c r="E857" s="15"/>
      <c r="F857" s="15"/>
      <c r="G857" s="15"/>
      <c r="H857" s="15"/>
      <c r="I857" s="15"/>
      <c r="J857" s="243"/>
      <c r="K857" s="15"/>
      <c r="L857" s="15"/>
      <c r="M857" s="15"/>
      <c r="N857" s="15"/>
      <c r="O857" s="243"/>
      <c r="P857" s="243"/>
      <c r="Q857" s="243"/>
      <c r="R857" s="243"/>
      <c r="S857" s="243"/>
      <c r="T857" s="243"/>
      <c r="U857" s="243"/>
    </row>
    <row r="858">
      <c r="A858" s="15"/>
      <c r="B858" s="15"/>
      <c r="C858" s="15"/>
      <c r="D858" s="15"/>
      <c r="E858" s="15"/>
      <c r="F858" s="15"/>
      <c r="G858" s="15"/>
      <c r="H858" s="15"/>
      <c r="I858" s="15"/>
      <c r="J858" s="243"/>
      <c r="K858" s="15"/>
      <c r="L858" s="15"/>
      <c r="M858" s="15"/>
      <c r="N858" s="15"/>
      <c r="O858" s="243"/>
      <c r="P858" s="243"/>
      <c r="Q858" s="243"/>
      <c r="R858" s="243"/>
      <c r="S858" s="243"/>
      <c r="T858" s="243"/>
      <c r="U858" s="243"/>
    </row>
    <row r="859">
      <c r="A859" s="15"/>
      <c r="B859" s="15"/>
      <c r="C859" s="15"/>
      <c r="D859" s="15"/>
      <c r="E859" s="15"/>
      <c r="F859" s="15"/>
      <c r="G859" s="15"/>
      <c r="H859" s="15"/>
      <c r="I859" s="15"/>
      <c r="J859" s="243"/>
      <c r="K859" s="15"/>
      <c r="L859" s="15"/>
      <c r="M859" s="15"/>
      <c r="N859" s="15"/>
      <c r="O859" s="243"/>
      <c r="P859" s="243"/>
      <c r="Q859" s="243"/>
      <c r="R859" s="243"/>
      <c r="S859" s="243"/>
      <c r="T859" s="243"/>
      <c r="U859" s="243"/>
    </row>
    <row r="860">
      <c r="A860" s="15"/>
      <c r="B860" s="15"/>
      <c r="C860" s="15"/>
      <c r="D860" s="15"/>
      <c r="E860" s="15"/>
      <c r="F860" s="15"/>
      <c r="G860" s="15"/>
      <c r="H860" s="15"/>
      <c r="I860" s="15"/>
      <c r="J860" s="243"/>
      <c r="K860" s="15"/>
      <c r="L860" s="15"/>
      <c r="M860" s="15"/>
      <c r="N860" s="15"/>
      <c r="O860" s="243"/>
      <c r="P860" s="243"/>
      <c r="Q860" s="243"/>
      <c r="R860" s="243"/>
      <c r="S860" s="243"/>
      <c r="T860" s="243"/>
      <c r="U860" s="243"/>
    </row>
    <row r="861">
      <c r="A861" s="15"/>
      <c r="B861" s="15"/>
      <c r="C861" s="15"/>
      <c r="D861" s="15"/>
      <c r="E861" s="15"/>
      <c r="F861" s="15"/>
      <c r="G861" s="15"/>
      <c r="H861" s="15"/>
      <c r="I861" s="15"/>
      <c r="J861" s="243"/>
      <c r="K861" s="15"/>
      <c r="L861" s="15"/>
      <c r="M861" s="15"/>
      <c r="N861" s="15"/>
      <c r="O861" s="243"/>
      <c r="P861" s="243"/>
      <c r="Q861" s="243"/>
      <c r="R861" s="243"/>
      <c r="S861" s="243"/>
      <c r="T861" s="243"/>
      <c r="U861" s="243"/>
    </row>
    <row r="862">
      <c r="A862" s="15"/>
      <c r="B862" s="15"/>
      <c r="C862" s="15"/>
      <c r="D862" s="15"/>
      <c r="E862" s="15"/>
      <c r="F862" s="15"/>
      <c r="G862" s="15"/>
      <c r="H862" s="15"/>
      <c r="I862" s="15"/>
      <c r="J862" s="243"/>
      <c r="K862" s="15"/>
      <c r="L862" s="15"/>
      <c r="M862" s="15"/>
      <c r="N862" s="15"/>
      <c r="O862" s="243"/>
      <c r="P862" s="243"/>
      <c r="Q862" s="243"/>
      <c r="R862" s="243"/>
      <c r="S862" s="243"/>
      <c r="T862" s="243"/>
      <c r="U862" s="243"/>
    </row>
    <row r="863">
      <c r="A863" s="15"/>
      <c r="B863" s="15"/>
      <c r="C863" s="15"/>
      <c r="D863" s="15"/>
      <c r="E863" s="15"/>
      <c r="F863" s="15"/>
      <c r="G863" s="15"/>
      <c r="H863" s="15"/>
      <c r="I863" s="15"/>
      <c r="J863" s="243"/>
      <c r="K863" s="15"/>
      <c r="L863" s="15"/>
      <c r="M863" s="15"/>
      <c r="N863" s="15"/>
      <c r="O863" s="243"/>
      <c r="P863" s="243"/>
      <c r="Q863" s="243"/>
      <c r="R863" s="243"/>
      <c r="S863" s="243"/>
      <c r="T863" s="243"/>
      <c r="U863" s="243"/>
    </row>
    <row r="864">
      <c r="A864" s="15"/>
      <c r="B864" s="15"/>
      <c r="C864" s="15"/>
      <c r="D864" s="15"/>
      <c r="E864" s="15"/>
      <c r="F864" s="15"/>
      <c r="G864" s="15"/>
      <c r="H864" s="15"/>
      <c r="I864" s="15"/>
      <c r="J864" s="243"/>
      <c r="K864" s="15"/>
      <c r="L864" s="15"/>
      <c r="M864" s="15"/>
      <c r="N864" s="15"/>
      <c r="O864" s="243"/>
      <c r="P864" s="243"/>
      <c r="Q864" s="243"/>
      <c r="R864" s="243"/>
      <c r="S864" s="243"/>
      <c r="T864" s="243"/>
      <c r="U864" s="243"/>
    </row>
    <row r="865">
      <c r="A865" s="15"/>
      <c r="B865" s="15"/>
      <c r="C865" s="15"/>
      <c r="D865" s="15"/>
      <c r="E865" s="15"/>
      <c r="F865" s="15"/>
      <c r="G865" s="15"/>
      <c r="H865" s="15"/>
      <c r="I865" s="15"/>
      <c r="J865" s="243"/>
      <c r="K865" s="15"/>
      <c r="L865" s="15"/>
      <c r="M865" s="15"/>
      <c r="N865" s="15"/>
      <c r="O865" s="243"/>
      <c r="P865" s="243"/>
      <c r="Q865" s="243"/>
      <c r="R865" s="243"/>
      <c r="S865" s="243"/>
      <c r="T865" s="243"/>
      <c r="U865" s="243"/>
    </row>
    <row r="866">
      <c r="A866" s="15"/>
      <c r="B866" s="15"/>
      <c r="C866" s="15"/>
      <c r="D866" s="15"/>
      <c r="E866" s="15"/>
      <c r="F866" s="15"/>
      <c r="G866" s="15"/>
      <c r="H866" s="15"/>
      <c r="I866" s="15"/>
      <c r="J866" s="243"/>
      <c r="K866" s="15"/>
      <c r="L866" s="15"/>
      <c r="M866" s="15"/>
      <c r="N866" s="15"/>
      <c r="O866" s="243"/>
      <c r="P866" s="243"/>
      <c r="Q866" s="243"/>
      <c r="R866" s="243"/>
      <c r="S866" s="243"/>
      <c r="T866" s="243"/>
      <c r="U866" s="243"/>
    </row>
    <row r="867">
      <c r="A867" s="15"/>
      <c r="B867" s="15"/>
      <c r="C867" s="15"/>
      <c r="D867" s="15"/>
      <c r="E867" s="15"/>
      <c r="F867" s="15"/>
      <c r="G867" s="15"/>
      <c r="H867" s="15"/>
      <c r="I867" s="15"/>
      <c r="J867" s="243"/>
      <c r="K867" s="15"/>
      <c r="L867" s="15"/>
      <c r="M867" s="15"/>
      <c r="N867" s="15"/>
      <c r="O867" s="243"/>
      <c r="P867" s="243"/>
      <c r="Q867" s="243"/>
      <c r="R867" s="243"/>
      <c r="S867" s="243"/>
      <c r="T867" s="243"/>
      <c r="U867" s="243"/>
    </row>
    <row r="868">
      <c r="A868" s="15"/>
      <c r="B868" s="15"/>
      <c r="C868" s="15"/>
      <c r="D868" s="15"/>
      <c r="E868" s="15"/>
      <c r="F868" s="15"/>
      <c r="G868" s="15"/>
      <c r="H868" s="15"/>
      <c r="I868" s="15"/>
      <c r="J868" s="243"/>
      <c r="K868" s="15"/>
      <c r="L868" s="15"/>
      <c r="M868" s="15"/>
      <c r="N868" s="15"/>
      <c r="O868" s="243"/>
      <c r="P868" s="243"/>
      <c r="Q868" s="243"/>
      <c r="R868" s="243"/>
      <c r="S868" s="243"/>
      <c r="T868" s="243"/>
      <c r="U868" s="243"/>
    </row>
    <row r="869">
      <c r="A869" s="15"/>
      <c r="B869" s="15"/>
      <c r="C869" s="15"/>
      <c r="D869" s="15"/>
      <c r="E869" s="15"/>
      <c r="F869" s="15"/>
      <c r="G869" s="15"/>
      <c r="H869" s="15"/>
      <c r="I869" s="15"/>
      <c r="J869" s="243"/>
      <c r="K869" s="15"/>
      <c r="L869" s="15"/>
      <c r="M869" s="15"/>
      <c r="N869" s="15"/>
      <c r="O869" s="243"/>
      <c r="P869" s="243"/>
      <c r="Q869" s="243"/>
      <c r="R869" s="243"/>
      <c r="S869" s="243"/>
      <c r="T869" s="243"/>
      <c r="U869" s="243"/>
    </row>
    <row r="870">
      <c r="A870" s="15"/>
      <c r="B870" s="15"/>
      <c r="C870" s="15"/>
      <c r="D870" s="15"/>
      <c r="E870" s="15"/>
      <c r="F870" s="15"/>
      <c r="G870" s="15"/>
      <c r="H870" s="15"/>
      <c r="I870" s="15"/>
      <c r="J870" s="243"/>
      <c r="K870" s="15"/>
      <c r="L870" s="15"/>
      <c r="M870" s="15"/>
      <c r="N870" s="15"/>
      <c r="O870" s="243"/>
      <c r="P870" s="243"/>
      <c r="Q870" s="243"/>
      <c r="R870" s="243"/>
      <c r="S870" s="243"/>
      <c r="T870" s="243"/>
      <c r="U870" s="243"/>
    </row>
    <row r="871">
      <c r="A871" s="15"/>
      <c r="B871" s="15"/>
      <c r="C871" s="15"/>
      <c r="D871" s="15"/>
      <c r="E871" s="15"/>
      <c r="F871" s="15"/>
      <c r="G871" s="15"/>
      <c r="H871" s="15"/>
      <c r="I871" s="15"/>
      <c r="J871" s="243"/>
      <c r="K871" s="15"/>
      <c r="L871" s="15"/>
      <c r="M871" s="15"/>
      <c r="N871" s="15"/>
      <c r="O871" s="243"/>
      <c r="P871" s="243"/>
      <c r="Q871" s="243"/>
      <c r="R871" s="243"/>
      <c r="S871" s="243"/>
      <c r="T871" s="243"/>
      <c r="U871" s="243"/>
    </row>
    <row r="872">
      <c r="A872" s="15"/>
      <c r="B872" s="15"/>
      <c r="C872" s="15"/>
      <c r="D872" s="15"/>
      <c r="E872" s="15"/>
      <c r="F872" s="15"/>
      <c r="G872" s="15"/>
      <c r="H872" s="15"/>
      <c r="I872" s="15"/>
      <c r="J872" s="243"/>
      <c r="K872" s="15"/>
      <c r="L872" s="15"/>
      <c r="M872" s="15"/>
      <c r="N872" s="15"/>
      <c r="O872" s="243"/>
      <c r="P872" s="243"/>
      <c r="Q872" s="243"/>
      <c r="R872" s="243"/>
      <c r="S872" s="243"/>
      <c r="T872" s="243"/>
      <c r="U872" s="243"/>
    </row>
    <row r="873">
      <c r="A873" s="15"/>
      <c r="B873" s="15"/>
      <c r="C873" s="15"/>
      <c r="D873" s="15"/>
      <c r="E873" s="15"/>
      <c r="F873" s="15"/>
      <c r="G873" s="15"/>
      <c r="H873" s="15"/>
      <c r="I873" s="15"/>
      <c r="J873" s="243"/>
      <c r="K873" s="15"/>
      <c r="L873" s="15"/>
      <c r="M873" s="15"/>
      <c r="N873" s="15"/>
      <c r="O873" s="243"/>
      <c r="P873" s="243"/>
      <c r="Q873" s="243"/>
      <c r="R873" s="243"/>
      <c r="S873" s="243"/>
      <c r="T873" s="243"/>
      <c r="U873" s="243"/>
    </row>
    <row r="874">
      <c r="A874" s="15"/>
      <c r="B874" s="15"/>
      <c r="C874" s="15"/>
      <c r="D874" s="15"/>
      <c r="E874" s="15"/>
      <c r="F874" s="15"/>
      <c r="G874" s="15"/>
      <c r="H874" s="15"/>
      <c r="I874" s="15"/>
      <c r="J874" s="243"/>
      <c r="K874" s="15"/>
      <c r="L874" s="15"/>
      <c r="M874" s="15"/>
      <c r="N874" s="15"/>
      <c r="O874" s="243"/>
      <c r="P874" s="243"/>
      <c r="Q874" s="243"/>
      <c r="R874" s="243"/>
      <c r="S874" s="243"/>
      <c r="T874" s="243"/>
      <c r="U874" s="243"/>
    </row>
    <row r="875">
      <c r="A875" s="15"/>
      <c r="B875" s="15"/>
      <c r="C875" s="15"/>
      <c r="D875" s="15"/>
      <c r="E875" s="15"/>
      <c r="F875" s="15"/>
      <c r="G875" s="15"/>
      <c r="H875" s="15"/>
      <c r="I875" s="15"/>
      <c r="J875" s="243"/>
      <c r="K875" s="15"/>
      <c r="L875" s="15"/>
      <c r="M875" s="15"/>
      <c r="N875" s="15"/>
      <c r="O875" s="243"/>
      <c r="P875" s="243"/>
      <c r="Q875" s="243"/>
      <c r="R875" s="243"/>
      <c r="S875" s="243"/>
      <c r="T875" s="243"/>
      <c r="U875" s="243"/>
    </row>
    <row r="876">
      <c r="A876" s="15"/>
      <c r="B876" s="15"/>
      <c r="C876" s="15"/>
      <c r="D876" s="15"/>
      <c r="E876" s="15"/>
      <c r="F876" s="15"/>
      <c r="G876" s="15"/>
      <c r="H876" s="15"/>
      <c r="I876" s="15"/>
      <c r="J876" s="243"/>
      <c r="K876" s="15"/>
      <c r="L876" s="15"/>
      <c r="M876" s="15"/>
      <c r="N876" s="15"/>
      <c r="O876" s="243"/>
      <c r="P876" s="243"/>
      <c r="Q876" s="243"/>
      <c r="R876" s="243"/>
      <c r="S876" s="243"/>
      <c r="T876" s="243"/>
      <c r="U876" s="243"/>
    </row>
    <row r="877">
      <c r="A877" s="15"/>
      <c r="B877" s="15"/>
      <c r="C877" s="15"/>
      <c r="D877" s="15"/>
      <c r="E877" s="15"/>
      <c r="F877" s="15"/>
      <c r="G877" s="15"/>
      <c r="H877" s="15"/>
      <c r="I877" s="15"/>
      <c r="J877" s="243"/>
      <c r="K877" s="15"/>
      <c r="L877" s="15"/>
      <c r="M877" s="15"/>
      <c r="N877" s="15"/>
      <c r="O877" s="243"/>
      <c r="P877" s="243"/>
      <c r="Q877" s="243"/>
      <c r="R877" s="243"/>
      <c r="S877" s="243"/>
      <c r="T877" s="243"/>
      <c r="U877" s="243"/>
    </row>
    <row r="878">
      <c r="A878" s="15"/>
      <c r="B878" s="15"/>
      <c r="C878" s="15"/>
      <c r="D878" s="15"/>
      <c r="E878" s="15"/>
      <c r="F878" s="15"/>
      <c r="G878" s="15"/>
      <c r="H878" s="15"/>
      <c r="I878" s="15"/>
      <c r="J878" s="243"/>
      <c r="K878" s="15"/>
      <c r="L878" s="15"/>
      <c r="M878" s="15"/>
      <c r="N878" s="15"/>
      <c r="O878" s="243"/>
      <c r="P878" s="243"/>
      <c r="Q878" s="243"/>
      <c r="R878" s="243"/>
      <c r="S878" s="243"/>
      <c r="T878" s="243"/>
      <c r="U878" s="243"/>
    </row>
    <row r="879">
      <c r="A879" s="15"/>
      <c r="B879" s="15"/>
      <c r="C879" s="15"/>
      <c r="D879" s="15"/>
      <c r="E879" s="15"/>
      <c r="F879" s="15"/>
      <c r="G879" s="15"/>
      <c r="H879" s="15"/>
      <c r="I879" s="15"/>
      <c r="J879" s="243"/>
      <c r="K879" s="15"/>
      <c r="L879" s="15"/>
      <c r="M879" s="15"/>
      <c r="N879" s="15"/>
      <c r="O879" s="243"/>
      <c r="P879" s="243"/>
      <c r="Q879" s="243"/>
      <c r="R879" s="243"/>
      <c r="S879" s="243"/>
      <c r="T879" s="243"/>
      <c r="U879" s="243"/>
    </row>
    <row r="880">
      <c r="A880" s="15"/>
      <c r="B880" s="15"/>
      <c r="C880" s="15"/>
      <c r="D880" s="15"/>
      <c r="E880" s="15"/>
      <c r="F880" s="15"/>
      <c r="G880" s="15"/>
      <c r="H880" s="15"/>
      <c r="I880" s="15"/>
      <c r="J880" s="243"/>
      <c r="K880" s="15"/>
      <c r="L880" s="15"/>
      <c r="M880" s="15"/>
      <c r="N880" s="15"/>
      <c r="O880" s="243"/>
      <c r="P880" s="243"/>
      <c r="Q880" s="243"/>
      <c r="R880" s="243"/>
      <c r="S880" s="243"/>
      <c r="T880" s="243"/>
      <c r="U880" s="243"/>
    </row>
    <row r="881">
      <c r="A881" s="15"/>
      <c r="B881" s="15"/>
      <c r="C881" s="15"/>
      <c r="D881" s="15"/>
      <c r="E881" s="15"/>
      <c r="F881" s="15"/>
      <c r="G881" s="15"/>
      <c r="H881" s="15"/>
      <c r="I881" s="15"/>
      <c r="J881" s="243"/>
      <c r="K881" s="15"/>
      <c r="L881" s="15"/>
      <c r="M881" s="15"/>
      <c r="N881" s="15"/>
      <c r="O881" s="243"/>
      <c r="P881" s="243"/>
      <c r="Q881" s="243"/>
      <c r="R881" s="243"/>
      <c r="S881" s="243"/>
      <c r="T881" s="243"/>
      <c r="U881" s="243"/>
    </row>
    <row r="882">
      <c r="A882" s="15"/>
      <c r="B882" s="15"/>
      <c r="C882" s="15"/>
      <c r="D882" s="15"/>
      <c r="E882" s="15"/>
      <c r="F882" s="15"/>
      <c r="G882" s="15"/>
      <c r="H882" s="15"/>
      <c r="I882" s="15"/>
      <c r="J882" s="243"/>
      <c r="K882" s="15"/>
      <c r="L882" s="15"/>
      <c r="M882" s="15"/>
      <c r="N882" s="15"/>
      <c r="O882" s="243"/>
      <c r="P882" s="243"/>
      <c r="Q882" s="243"/>
      <c r="R882" s="243"/>
      <c r="S882" s="243"/>
      <c r="T882" s="243"/>
      <c r="U882" s="243"/>
    </row>
    <row r="883">
      <c r="A883" s="15"/>
      <c r="B883" s="15"/>
      <c r="C883" s="15"/>
      <c r="D883" s="15"/>
      <c r="E883" s="15"/>
      <c r="F883" s="15"/>
      <c r="G883" s="15"/>
      <c r="H883" s="15"/>
      <c r="I883" s="15"/>
      <c r="J883" s="243"/>
      <c r="K883" s="15"/>
      <c r="L883" s="15"/>
      <c r="M883" s="15"/>
      <c r="N883" s="15"/>
      <c r="O883" s="243"/>
      <c r="P883" s="243"/>
      <c r="Q883" s="243"/>
      <c r="R883" s="243"/>
      <c r="S883" s="243"/>
      <c r="T883" s="243"/>
      <c r="U883" s="243"/>
    </row>
    <row r="884">
      <c r="A884" s="15"/>
      <c r="B884" s="15"/>
      <c r="C884" s="15"/>
      <c r="D884" s="15"/>
      <c r="E884" s="15"/>
      <c r="F884" s="15"/>
      <c r="G884" s="15"/>
      <c r="H884" s="15"/>
      <c r="I884" s="15"/>
      <c r="J884" s="243"/>
      <c r="K884" s="15"/>
      <c r="L884" s="15"/>
      <c r="M884" s="15"/>
      <c r="N884" s="15"/>
      <c r="O884" s="243"/>
      <c r="P884" s="243"/>
      <c r="Q884" s="243"/>
      <c r="R884" s="243"/>
      <c r="S884" s="243"/>
      <c r="T884" s="243"/>
      <c r="U884" s="243"/>
    </row>
    <row r="885">
      <c r="A885" s="15"/>
      <c r="B885" s="15"/>
      <c r="C885" s="15"/>
      <c r="D885" s="15"/>
      <c r="E885" s="15"/>
      <c r="F885" s="15"/>
      <c r="G885" s="15"/>
      <c r="H885" s="15"/>
      <c r="I885" s="15"/>
      <c r="J885" s="243"/>
      <c r="K885" s="15"/>
      <c r="L885" s="15"/>
      <c r="M885" s="15"/>
      <c r="N885" s="15"/>
      <c r="O885" s="243"/>
      <c r="P885" s="243"/>
      <c r="Q885" s="243"/>
      <c r="R885" s="243"/>
      <c r="S885" s="243"/>
      <c r="T885" s="243"/>
      <c r="U885" s="243"/>
    </row>
    <row r="886">
      <c r="A886" s="15"/>
      <c r="B886" s="15"/>
      <c r="C886" s="15"/>
      <c r="D886" s="15"/>
      <c r="E886" s="15"/>
      <c r="F886" s="15"/>
      <c r="G886" s="15"/>
      <c r="H886" s="15"/>
      <c r="I886" s="15"/>
      <c r="J886" s="243"/>
      <c r="K886" s="15"/>
      <c r="L886" s="15"/>
      <c r="M886" s="15"/>
      <c r="N886" s="15"/>
      <c r="O886" s="243"/>
      <c r="P886" s="243"/>
      <c r="Q886" s="243"/>
      <c r="R886" s="243"/>
      <c r="S886" s="243"/>
      <c r="T886" s="243"/>
      <c r="U886" s="243"/>
    </row>
    <row r="887">
      <c r="A887" s="15"/>
      <c r="B887" s="15"/>
      <c r="C887" s="15"/>
      <c r="D887" s="15"/>
      <c r="E887" s="15"/>
      <c r="F887" s="15"/>
      <c r="G887" s="15"/>
      <c r="H887" s="15"/>
      <c r="I887" s="15"/>
      <c r="J887" s="243"/>
      <c r="K887" s="15"/>
      <c r="L887" s="15"/>
      <c r="M887" s="15"/>
      <c r="N887" s="15"/>
      <c r="O887" s="243"/>
      <c r="P887" s="243"/>
      <c r="Q887" s="243"/>
      <c r="R887" s="243"/>
      <c r="S887" s="243"/>
      <c r="T887" s="243"/>
      <c r="U887" s="243"/>
    </row>
    <row r="888">
      <c r="A888" s="15"/>
      <c r="B888" s="15"/>
      <c r="C888" s="15"/>
      <c r="D888" s="15"/>
      <c r="E888" s="15"/>
      <c r="F888" s="15"/>
      <c r="G888" s="15"/>
      <c r="H888" s="15"/>
      <c r="I888" s="15"/>
      <c r="J888" s="243"/>
      <c r="K888" s="15"/>
      <c r="L888" s="15"/>
      <c r="M888" s="15"/>
      <c r="N888" s="15"/>
      <c r="O888" s="243"/>
      <c r="P888" s="243"/>
      <c r="Q888" s="243"/>
      <c r="R888" s="243"/>
      <c r="S888" s="243"/>
      <c r="T888" s="243"/>
      <c r="U888" s="243"/>
    </row>
    <row r="889">
      <c r="A889" s="15"/>
      <c r="B889" s="15"/>
      <c r="C889" s="15"/>
      <c r="D889" s="15"/>
      <c r="E889" s="15"/>
      <c r="F889" s="15"/>
      <c r="G889" s="15"/>
      <c r="H889" s="15"/>
      <c r="I889" s="15"/>
      <c r="J889" s="243"/>
      <c r="K889" s="15"/>
      <c r="L889" s="15"/>
      <c r="M889" s="15"/>
      <c r="N889" s="15"/>
      <c r="O889" s="243"/>
      <c r="P889" s="243"/>
      <c r="Q889" s="243"/>
      <c r="R889" s="243"/>
      <c r="S889" s="243"/>
      <c r="T889" s="243"/>
      <c r="U889" s="243"/>
    </row>
    <row r="890">
      <c r="A890" s="15"/>
      <c r="B890" s="15"/>
      <c r="C890" s="15"/>
      <c r="D890" s="15"/>
      <c r="E890" s="15"/>
      <c r="F890" s="15"/>
      <c r="G890" s="15"/>
      <c r="H890" s="15"/>
      <c r="I890" s="15"/>
      <c r="J890" s="243"/>
      <c r="K890" s="15"/>
      <c r="L890" s="15"/>
      <c r="M890" s="15"/>
      <c r="N890" s="15"/>
      <c r="O890" s="243"/>
      <c r="P890" s="243"/>
      <c r="Q890" s="243"/>
      <c r="R890" s="243"/>
      <c r="S890" s="243"/>
      <c r="T890" s="243"/>
      <c r="U890" s="243"/>
    </row>
    <row r="891">
      <c r="A891" s="15"/>
      <c r="B891" s="15"/>
      <c r="C891" s="15"/>
      <c r="D891" s="15"/>
      <c r="E891" s="15"/>
      <c r="F891" s="15"/>
      <c r="G891" s="15"/>
      <c r="H891" s="15"/>
      <c r="I891" s="15"/>
      <c r="J891" s="243"/>
      <c r="K891" s="15"/>
      <c r="L891" s="15"/>
      <c r="M891" s="15"/>
      <c r="N891" s="15"/>
      <c r="O891" s="243"/>
      <c r="P891" s="243"/>
      <c r="Q891" s="243"/>
      <c r="R891" s="243"/>
      <c r="S891" s="243"/>
      <c r="T891" s="243"/>
      <c r="U891" s="243"/>
    </row>
    <row r="892">
      <c r="A892" s="15"/>
      <c r="B892" s="15"/>
      <c r="C892" s="15"/>
      <c r="D892" s="15"/>
      <c r="E892" s="15"/>
      <c r="F892" s="15"/>
      <c r="G892" s="15"/>
      <c r="H892" s="15"/>
      <c r="I892" s="15"/>
      <c r="J892" s="243"/>
      <c r="K892" s="15"/>
      <c r="L892" s="15"/>
      <c r="M892" s="15"/>
      <c r="N892" s="15"/>
      <c r="O892" s="243"/>
      <c r="P892" s="243"/>
      <c r="Q892" s="243"/>
      <c r="R892" s="243"/>
      <c r="S892" s="243"/>
      <c r="T892" s="243"/>
      <c r="U892" s="243"/>
    </row>
    <row r="893">
      <c r="A893" s="15"/>
      <c r="B893" s="15"/>
      <c r="C893" s="15"/>
      <c r="D893" s="15"/>
      <c r="E893" s="15"/>
      <c r="F893" s="15"/>
      <c r="G893" s="15"/>
      <c r="H893" s="15"/>
      <c r="I893" s="15"/>
      <c r="J893" s="243"/>
      <c r="K893" s="15"/>
      <c r="L893" s="15"/>
      <c r="M893" s="15"/>
      <c r="N893" s="15"/>
      <c r="O893" s="243"/>
      <c r="P893" s="243"/>
      <c r="Q893" s="243"/>
      <c r="R893" s="243"/>
      <c r="S893" s="243"/>
      <c r="T893" s="243"/>
      <c r="U893" s="243"/>
    </row>
    <row r="894">
      <c r="A894" s="15"/>
      <c r="B894" s="15"/>
      <c r="C894" s="15"/>
      <c r="D894" s="15"/>
      <c r="E894" s="15"/>
      <c r="F894" s="15"/>
      <c r="G894" s="15"/>
      <c r="H894" s="15"/>
      <c r="I894" s="15"/>
      <c r="J894" s="243"/>
      <c r="K894" s="15"/>
      <c r="L894" s="15"/>
      <c r="M894" s="15"/>
      <c r="N894" s="15"/>
      <c r="O894" s="243"/>
      <c r="P894" s="243"/>
      <c r="Q894" s="243"/>
      <c r="R894" s="243"/>
      <c r="S894" s="243"/>
      <c r="T894" s="243"/>
      <c r="U894" s="243"/>
    </row>
    <row r="895">
      <c r="A895" s="15"/>
      <c r="B895" s="15"/>
      <c r="C895" s="15"/>
      <c r="D895" s="15"/>
      <c r="E895" s="15"/>
      <c r="F895" s="15"/>
      <c r="G895" s="15"/>
      <c r="H895" s="15"/>
      <c r="I895" s="15"/>
      <c r="J895" s="243"/>
      <c r="K895" s="15"/>
      <c r="L895" s="15"/>
      <c r="M895" s="15"/>
      <c r="N895" s="15"/>
      <c r="O895" s="243"/>
      <c r="P895" s="243"/>
      <c r="Q895" s="243"/>
      <c r="R895" s="243"/>
      <c r="S895" s="243"/>
      <c r="T895" s="243"/>
      <c r="U895" s="243"/>
    </row>
    <row r="896">
      <c r="A896" s="15"/>
      <c r="B896" s="15"/>
      <c r="C896" s="15"/>
      <c r="D896" s="15"/>
      <c r="E896" s="15"/>
      <c r="F896" s="15"/>
      <c r="G896" s="15"/>
      <c r="H896" s="15"/>
      <c r="I896" s="15"/>
      <c r="J896" s="243"/>
      <c r="K896" s="15"/>
      <c r="L896" s="15"/>
      <c r="M896" s="15"/>
      <c r="N896" s="15"/>
      <c r="O896" s="243"/>
      <c r="P896" s="243"/>
      <c r="Q896" s="243"/>
      <c r="R896" s="243"/>
      <c r="S896" s="243"/>
      <c r="T896" s="243"/>
      <c r="U896" s="243"/>
    </row>
    <row r="897">
      <c r="A897" s="15"/>
      <c r="B897" s="15"/>
      <c r="C897" s="15"/>
      <c r="D897" s="15"/>
      <c r="E897" s="15"/>
      <c r="F897" s="15"/>
      <c r="G897" s="15"/>
      <c r="H897" s="15"/>
      <c r="I897" s="15"/>
      <c r="J897" s="243"/>
      <c r="K897" s="15"/>
      <c r="L897" s="15"/>
      <c r="M897" s="15"/>
      <c r="N897" s="15"/>
      <c r="O897" s="243"/>
      <c r="P897" s="243"/>
      <c r="Q897" s="243"/>
      <c r="R897" s="243"/>
      <c r="S897" s="243"/>
      <c r="T897" s="243"/>
      <c r="U897" s="243"/>
    </row>
    <row r="898">
      <c r="A898" s="15"/>
      <c r="B898" s="15"/>
      <c r="C898" s="15"/>
      <c r="D898" s="15"/>
      <c r="E898" s="15"/>
      <c r="F898" s="15"/>
      <c r="G898" s="15"/>
      <c r="H898" s="15"/>
      <c r="I898" s="15"/>
      <c r="J898" s="243"/>
      <c r="K898" s="15"/>
      <c r="L898" s="15"/>
      <c r="M898" s="15"/>
      <c r="N898" s="15"/>
      <c r="O898" s="243"/>
      <c r="P898" s="243"/>
      <c r="Q898" s="243"/>
      <c r="R898" s="243"/>
      <c r="S898" s="243"/>
      <c r="T898" s="243"/>
      <c r="U898" s="243"/>
    </row>
    <row r="899">
      <c r="A899" s="15"/>
      <c r="B899" s="15"/>
      <c r="C899" s="15"/>
      <c r="D899" s="15"/>
      <c r="E899" s="15"/>
      <c r="F899" s="15"/>
      <c r="G899" s="15"/>
      <c r="H899" s="15"/>
      <c r="I899" s="15"/>
      <c r="J899" s="243"/>
      <c r="K899" s="15"/>
      <c r="L899" s="15"/>
      <c r="M899" s="15"/>
      <c r="N899" s="15"/>
      <c r="O899" s="243"/>
      <c r="P899" s="243"/>
      <c r="Q899" s="243"/>
      <c r="R899" s="243"/>
      <c r="S899" s="243"/>
      <c r="T899" s="243"/>
      <c r="U899" s="243"/>
    </row>
    <row r="900">
      <c r="A900" s="15"/>
      <c r="B900" s="15"/>
      <c r="C900" s="15"/>
      <c r="D900" s="15"/>
      <c r="E900" s="15"/>
      <c r="F900" s="15"/>
      <c r="G900" s="15"/>
      <c r="H900" s="15"/>
      <c r="I900" s="15"/>
      <c r="J900" s="243"/>
      <c r="K900" s="15"/>
      <c r="L900" s="15"/>
      <c r="M900" s="15"/>
      <c r="N900" s="15"/>
      <c r="O900" s="243"/>
      <c r="P900" s="243"/>
      <c r="Q900" s="243"/>
      <c r="R900" s="243"/>
      <c r="S900" s="243"/>
      <c r="T900" s="243"/>
      <c r="U900" s="243"/>
    </row>
    <row r="901">
      <c r="A901" s="15"/>
      <c r="B901" s="15"/>
      <c r="C901" s="15"/>
      <c r="D901" s="15"/>
      <c r="E901" s="15"/>
      <c r="F901" s="15"/>
      <c r="G901" s="15"/>
      <c r="H901" s="15"/>
      <c r="I901" s="15"/>
      <c r="J901" s="243"/>
      <c r="K901" s="15"/>
      <c r="L901" s="15"/>
      <c r="M901" s="15"/>
      <c r="N901" s="15"/>
      <c r="O901" s="243"/>
      <c r="P901" s="243"/>
      <c r="Q901" s="243"/>
      <c r="R901" s="243"/>
      <c r="S901" s="243"/>
      <c r="T901" s="243"/>
      <c r="U901" s="243"/>
    </row>
    <row r="902">
      <c r="A902" s="15"/>
      <c r="B902" s="15"/>
      <c r="C902" s="15"/>
      <c r="D902" s="15"/>
      <c r="E902" s="15"/>
      <c r="F902" s="15"/>
      <c r="G902" s="15"/>
      <c r="H902" s="15"/>
      <c r="I902" s="15"/>
      <c r="J902" s="243"/>
      <c r="K902" s="15"/>
      <c r="L902" s="15"/>
      <c r="M902" s="15"/>
      <c r="N902" s="15"/>
      <c r="O902" s="243"/>
      <c r="P902" s="243"/>
      <c r="Q902" s="243"/>
      <c r="R902" s="243"/>
      <c r="S902" s="243"/>
      <c r="T902" s="243"/>
      <c r="U902" s="243"/>
    </row>
    <row r="903">
      <c r="A903" s="15"/>
      <c r="B903" s="15"/>
      <c r="C903" s="15"/>
      <c r="D903" s="15"/>
      <c r="E903" s="15"/>
      <c r="F903" s="15"/>
      <c r="G903" s="15"/>
      <c r="H903" s="15"/>
      <c r="I903" s="15"/>
      <c r="J903" s="243"/>
      <c r="K903" s="15"/>
      <c r="L903" s="15"/>
      <c r="M903" s="15"/>
      <c r="N903" s="15"/>
      <c r="O903" s="243"/>
      <c r="P903" s="243"/>
      <c r="Q903" s="243"/>
      <c r="R903" s="243"/>
      <c r="S903" s="243"/>
      <c r="T903" s="243"/>
      <c r="U903" s="243"/>
    </row>
    <row r="904">
      <c r="A904" s="15"/>
      <c r="B904" s="15"/>
      <c r="C904" s="15"/>
      <c r="D904" s="15"/>
      <c r="E904" s="15"/>
      <c r="F904" s="15"/>
      <c r="G904" s="15"/>
      <c r="H904" s="15"/>
      <c r="I904" s="15"/>
      <c r="J904" s="243"/>
      <c r="K904" s="15"/>
      <c r="L904" s="15"/>
      <c r="M904" s="15"/>
      <c r="N904" s="15"/>
      <c r="O904" s="243"/>
      <c r="P904" s="243"/>
      <c r="Q904" s="243"/>
      <c r="R904" s="243"/>
      <c r="S904" s="243"/>
      <c r="T904" s="243"/>
      <c r="U904" s="243"/>
    </row>
    <row r="905">
      <c r="A905" s="15"/>
      <c r="B905" s="15"/>
      <c r="C905" s="15"/>
      <c r="D905" s="15"/>
      <c r="E905" s="15"/>
      <c r="F905" s="15"/>
      <c r="G905" s="15"/>
      <c r="H905" s="15"/>
      <c r="I905" s="15"/>
      <c r="J905" s="243"/>
      <c r="K905" s="15"/>
      <c r="L905" s="15"/>
      <c r="M905" s="15"/>
      <c r="N905" s="15"/>
      <c r="O905" s="243"/>
      <c r="P905" s="243"/>
      <c r="Q905" s="243"/>
      <c r="R905" s="243"/>
      <c r="S905" s="243"/>
      <c r="T905" s="243"/>
      <c r="U905" s="243"/>
    </row>
    <row r="906">
      <c r="A906" s="15"/>
      <c r="B906" s="15"/>
      <c r="C906" s="15"/>
      <c r="D906" s="15"/>
      <c r="E906" s="15"/>
      <c r="F906" s="15"/>
      <c r="G906" s="15"/>
      <c r="H906" s="15"/>
      <c r="I906" s="15"/>
      <c r="J906" s="243"/>
      <c r="K906" s="15"/>
      <c r="L906" s="15"/>
      <c r="M906" s="15"/>
      <c r="N906" s="15"/>
      <c r="O906" s="243"/>
      <c r="P906" s="243"/>
      <c r="Q906" s="243"/>
      <c r="R906" s="243"/>
      <c r="S906" s="243"/>
      <c r="T906" s="243"/>
      <c r="U906" s="243"/>
    </row>
    <row r="907">
      <c r="A907" s="15"/>
      <c r="B907" s="15"/>
      <c r="C907" s="15"/>
      <c r="D907" s="15"/>
      <c r="E907" s="15"/>
      <c r="F907" s="15"/>
      <c r="G907" s="15"/>
      <c r="H907" s="15"/>
      <c r="I907" s="15"/>
      <c r="J907" s="243"/>
      <c r="K907" s="15"/>
      <c r="L907" s="15"/>
      <c r="M907" s="15"/>
      <c r="N907" s="15"/>
      <c r="O907" s="243"/>
      <c r="P907" s="243"/>
      <c r="Q907" s="243"/>
      <c r="R907" s="243"/>
      <c r="S907" s="243"/>
      <c r="T907" s="243"/>
      <c r="U907" s="243"/>
    </row>
    <row r="908">
      <c r="A908" s="15"/>
      <c r="B908" s="15"/>
      <c r="C908" s="15"/>
      <c r="D908" s="15"/>
      <c r="E908" s="15"/>
      <c r="F908" s="15"/>
      <c r="G908" s="15"/>
      <c r="H908" s="15"/>
      <c r="I908" s="15"/>
      <c r="J908" s="243"/>
      <c r="K908" s="15"/>
      <c r="L908" s="15"/>
      <c r="M908" s="15"/>
      <c r="N908" s="15"/>
      <c r="O908" s="243"/>
      <c r="P908" s="243"/>
      <c r="Q908" s="243"/>
      <c r="R908" s="243"/>
      <c r="S908" s="243"/>
      <c r="T908" s="243"/>
      <c r="U908" s="243"/>
    </row>
    <row r="909">
      <c r="A909" s="15"/>
      <c r="B909" s="15"/>
      <c r="C909" s="15"/>
      <c r="D909" s="15"/>
      <c r="E909" s="15"/>
      <c r="F909" s="15"/>
      <c r="G909" s="15"/>
      <c r="H909" s="15"/>
      <c r="I909" s="15"/>
      <c r="J909" s="243"/>
      <c r="K909" s="15"/>
      <c r="L909" s="15"/>
      <c r="M909" s="15"/>
      <c r="N909" s="15"/>
      <c r="O909" s="243"/>
      <c r="P909" s="243"/>
      <c r="Q909" s="243"/>
      <c r="R909" s="243"/>
      <c r="S909" s="243"/>
      <c r="T909" s="243"/>
      <c r="U909" s="243"/>
    </row>
    <row r="910">
      <c r="A910" s="15"/>
      <c r="B910" s="15"/>
      <c r="C910" s="15"/>
      <c r="D910" s="15"/>
      <c r="E910" s="15"/>
      <c r="F910" s="15"/>
      <c r="G910" s="15"/>
      <c r="H910" s="15"/>
      <c r="I910" s="15"/>
      <c r="J910" s="243"/>
      <c r="K910" s="242"/>
      <c r="L910" s="242"/>
      <c r="M910" s="242"/>
      <c r="N910" s="242"/>
      <c r="O910" s="243"/>
      <c r="P910" s="243"/>
      <c r="Q910" s="243"/>
      <c r="R910" s="243"/>
      <c r="S910" s="243"/>
      <c r="T910" s="243"/>
      <c r="U910" s="243"/>
    </row>
    <row r="911">
      <c r="A911" s="15"/>
      <c r="B911" s="15"/>
      <c r="C911" s="15"/>
      <c r="D911" s="15"/>
      <c r="E911" s="15"/>
      <c r="F911" s="15"/>
      <c r="G911" s="15"/>
      <c r="H911" s="15"/>
      <c r="I911" s="15"/>
      <c r="J911" s="243"/>
      <c r="K911" s="242"/>
      <c r="L911" s="242"/>
      <c r="M911" s="242"/>
      <c r="N911" s="242"/>
      <c r="O911" s="243"/>
      <c r="P911" s="243"/>
      <c r="Q911" s="243"/>
      <c r="R911" s="243"/>
      <c r="S911" s="243"/>
      <c r="T911" s="243"/>
      <c r="U911" s="243"/>
    </row>
  </sheetData>
  <mergeCells count="10">
    <mergeCell ref="G3:H3"/>
    <mergeCell ref="B5:H5"/>
    <mergeCell ref="B13:H13"/>
    <mergeCell ref="B2:H2"/>
    <mergeCell ref="B3:B4"/>
    <mergeCell ref="C3:C4"/>
    <mergeCell ref="D3:D4"/>
    <mergeCell ref="E3:E4"/>
    <mergeCell ref="F3:F4"/>
    <mergeCell ref="I3:I4"/>
  </mergeCells>
  <printOptions/>
  <pageMargins bottom="0.75" footer="0.0" header="0.0" left="0.25" right="0.25" top="0.75"/>
  <pageSetup fitToHeight="0" paperSize="9" cellComments="atEnd" orientation="portrait"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38"/>
    <col customWidth="1" min="2" max="2" width="7.0"/>
    <col customWidth="1" min="3" max="4" width="10.13"/>
    <col customWidth="1" min="5" max="5" width="19.25"/>
    <col customWidth="1" hidden="1" min="6" max="6" width="8.25"/>
  </cols>
  <sheetData>
    <row r="1">
      <c r="A1" s="515">
        <v>0.05</v>
      </c>
      <c r="B1" s="242"/>
      <c r="C1" s="242"/>
      <c r="D1" s="242"/>
      <c r="E1" s="242"/>
      <c r="F1" s="242"/>
      <c r="G1" s="13"/>
      <c r="H1" s="242"/>
      <c r="I1" s="242"/>
      <c r="J1" s="242"/>
      <c r="K1" s="242"/>
    </row>
    <row r="2">
      <c r="A2" s="13"/>
      <c r="B2" s="35" t="s">
        <v>0</v>
      </c>
      <c r="C2" s="516" t="s">
        <v>21</v>
      </c>
      <c r="D2" s="37" t="s">
        <v>24</v>
      </c>
      <c r="E2" s="381" t="s">
        <v>18</v>
      </c>
      <c r="F2" s="382" t="s">
        <v>2519</v>
      </c>
      <c r="G2" s="517" t="s">
        <v>8</v>
      </c>
      <c r="H2" s="242"/>
      <c r="I2" s="242"/>
      <c r="J2" s="242"/>
      <c r="K2" s="242"/>
    </row>
    <row r="3">
      <c r="A3" s="13"/>
      <c r="B3" s="41"/>
      <c r="C3" s="41"/>
      <c r="D3" s="41"/>
      <c r="E3" s="41"/>
      <c r="F3" s="41"/>
      <c r="G3" s="41"/>
      <c r="H3" s="242"/>
      <c r="I3" s="2"/>
      <c r="J3" s="2"/>
      <c r="K3" s="242"/>
    </row>
    <row r="4">
      <c r="A4" s="13"/>
      <c r="B4" s="405" t="s">
        <v>2992</v>
      </c>
      <c r="C4" s="45"/>
      <c r="D4" s="45"/>
      <c r="E4" s="45"/>
      <c r="F4" s="46"/>
      <c r="G4" s="286"/>
      <c r="H4" s="242"/>
      <c r="I4" s="242"/>
      <c r="J4" s="242"/>
      <c r="K4" s="242"/>
    </row>
    <row r="5">
      <c r="A5" s="13"/>
      <c r="B5" s="62" t="s">
        <v>2061</v>
      </c>
      <c r="C5" s="45"/>
      <c r="D5" s="45"/>
      <c r="E5" s="45"/>
      <c r="F5" s="46"/>
      <c r="G5" s="15"/>
      <c r="H5" s="242"/>
      <c r="I5" s="242"/>
      <c r="J5" s="242"/>
      <c r="K5" s="242"/>
    </row>
    <row r="6">
      <c r="A6" s="13"/>
      <c r="B6" s="151">
        <v>1.0</v>
      </c>
      <c r="C6" s="68">
        <v>4.0</v>
      </c>
      <c r="D6" s="417">
        <v>110.0</v>
      </c>
      <c r="E6" s="383" t="s">
        <v>2994</v>
      </c>
      <c r="F6" s="56">
        <v>116.8</v>
      </c>
      <c r="G6" s="318">
        <v>122.6</v>
      </c>
      <c r="H6" s="242"/>
      <c r="I6" s="242"/>
      <c r="J6" s="242"/>
      <c r="K6" s="242"/>
    </row>
    <row r="7">
      <c r="A7" s="13"/>
      <c r="B7" s="151">
        <v>2.0</v>
      </c>
      <c r="C7" s="68">
        <v>6.0</v>
      </c>
      <c r="D7" s="417">
        <v>160.0</v>
      </c>
      <c r="E7" s="383" t="s">
        <v>2995</v>
      </c>
      <c r="F7" s="56">
        <v>281.2</v>
      </c>
      <c r="G7" s="318">
        <v>295.3</v>
      </c>
      <c r="H7" s="242"/>
      <c r="I7" s="242"/>
      <c r="J7" s="242"/>
      <c r="K7" s="242"/>
    </row>
    <row r="8">
      <c r="A8" s="13"/>
      <c r="B8" s="151">
        <v>3.0</v>
      </c>
      <c r="C8" s="413">
        <v>8.0</v>
      </c>
      <c r="D8" s="417">
        <v>200.0</v>
      </c>
      <c r="E8" s="383" t="s">
        <v>2996</v>
      </c>
      <c r="F8" s="56">
        <v>492.8</v>
      </c>
      <c r="G8" s="318">
        <v>517.5</v>
      </c>
      <c r="H8" s="242"/>
      <c r="I8" s="242"/>
      <c r="J8" s="242"/>
      <c r="K8" s="242"/>
    </row>
    <row r="9">
      <c r="A9" s="13"/>
      <c r="B9" s="237" t="s">
        <v>11</v>
      </c>
      <c r="C9" s="45"/>
      <c r="D9" s="45"/>
      <c r="E9" s="45"/>
      <c r="F9" s="240">
        <f t="shared" ref="F9:G9" si="1">SUM(F6:F8)</f>
        <v>890.8</v>
      </c>
      <c r="G9" s="240">
        <f t="shared" si="1"/>
        <v>935.4</v>
      </c>
      <c r="H9" s="242"/>
      <c r="I9" s="242"/>
      <c r="J9" s="242"/>
      <c r="K9" s="242"/>
    </row>
    <row r="10">
      <c r="A10" s="13"/>
      <c r="B10" s="62" t="s">
        <v>2998</v>
      </c>
      <c r="C10" s="45"/>
      <c r="D10" s="45"/>
      <c r="E10" s="45"/>
      <c r="F10" s="46"/>
      <c r="G10" s="15"/>
      <c r="H10" s="242"/>
      <c r="I10" s="242"/>
      <c r="J10" s="242"/>
      <c r="K10" s="242"/>
    </row>
    <row r="11">
      <c r="A11" s="13"/>
      <c r="B11" s="151">
        <v>1.0</v>
      </c>
      <c r="C11" s="68">
        <v>4.0</v>
      </c>
      <c r="D11" s="417">
        <v>110.0</v>
      </c>
      <c r="E11" s="383" t="s">
        <v>3000</v>
      </c>
      <c r="F11" s="56">
        <v>302.09999999999997</v>
      </c>
      <c r="G11" s="318">
        <v>317.3</v>
      </c>
      <c r="H11" s="242"/>
      <c r="I11" s="242"/>
      <c r="J11" s="242"/>
      <c r="K11" s="242"/>
    </row>
    <row r="12">
      <c r="A12" s="13"/>
      <c r="B12" s="151">
        <v>2.0</v>
      </c>
      <c r="C12" s="68">
        <v>6.0</v>
      </c>
      <c r="D12" s="417">
        <v>160.0</v>
      </c>
      <c r="E12" s="383" t="s">
        <v>3001</v>
      </c>
      <c r="F12" s="56">
        <v>756.8</v>
      </c>
      <c r="G12" s="318">
        <v>794.6</v>
      </c>
      <c r="H12" s="242"/>
      <c r="I12" s="242"/>
      <c r="J12" s="242"/>
      <c r="K12" s="242"/>
    </row>
    <row r="13">
      <c r="A13" s="13"/>
      <c r="B13" s="151">
        <v>3.0</v>
      </c>
      <c r="C13" s="413">
        <v>8.0</v>
      </c>
      <c r="D13" s="417">
        <v>200.0</v>
      </c>
      <c r="E13" s="383" t="s">
        <v>3002</v>
      </c>
      <c r="F13" s="56">
        <v>1276.0</v>
      </c>
      <c r="G13" s="318">
        <v>1339.8</v>
      </c>
      <c r="H13" s="242"/>
      <c r="I13" s="242"/>
      <c r="J13" s="242"/>
      <c r="K13" s="242"/>
    </row>
    <row r="14">
      <c r="A14" s="13"/>
      <c r="B14" s="237" t="s">
        <v>11</v>
      </c>
      <c r="C14" s="45"/>
      <c r="D14" s="45"/>
      <c r="E14" s="45"/>
      <c r="F14" s="240">
        <f t="shared" ref="F14:G14" si="2">SUM(F11:F13)</f>
        <v>2334.9</v>
      </c>
      <c r="G14" s="240">
        <f t="shared" si="2"/>
        <v>2451.7</v>
      </c>
      <c r="H14" s="242"/>
      <c r="I14" s="242"/>
      <c r="J14" s="242"/>
      <c r="K14" s="242"/>
    </row>
    <row r="15">
      <c r="A15" s="13"/>
      <c r="B15" s="62" t="s">
        <v>2097</v>
      </c>
      <c r="C15" s="45"/>
      <c r="D15" s="45"/>
      <c r="E15" s="45"/>
      <c r="F15" s="46"/>
      <c r="G15" s="15"/>
      <c r="H15" s="242"/>
      <c r="I15" s="242"/>
      <c r="J15" s="242"/>
      <c r="K15" s="242"/>
    </row>
    <row r="16">
      <c r="A16" s="13"/>
      <c r="B16" s="151">
        <v>1.0</v>
      </c>
      <c r="C16" s="68">
        <v>4.0</v>
      </c>
      <c r="D16" s="417">
        <v>110.0</v>
      </c>
      <c r="E16" s="383" t="s">
        <v>3004</v>
      </c>
      <c r="F16" s="56">
        <v>226.1</v>
      </c>
      <c r="G16" s="318">
        <v>237.4</v>
      </c>
      <c r="H16" s="242"/>
      <c r="I16" s="242"/>
      <c r="J16" s="242"/>
      <c r="K16" s="242"/>
    </row>
    <row r="17">
      <c r="A17" s="13"/>
      <c r="B17" s="151">
        <v>2.0</v>
      </c>
      <c r="C17" s="68">
        <v>6.0</v>
      </c>
      <c r="D17" s="417">
        <v>160.0</v>
      </c>
      <c r="E17" s="383" t="s">
        <v>3005</v>
      </c>
      <c r="F17" s="56">
        <v>627.0</v>
      </c>
      <c r="G17" s="318">
        <v>658.4</v>
      </c>
      <c r="H17" s="242"/>
      <c r="I17" s="242"/>
      <c r="J17" s="242"/>
      <c r="K17" s="242"/>
    </row>
    <row r="18">
      <c r="A18" s="13"/>
      <c r="B18" s="151">
        <v>3.0</v>
      </c>
      <c r="C18" s="413">
        <v>8.0</v>
      </c>
      <c r="D18" s="417">
        <v>200.0</v>
      </c>
      <c r="E18" s="383" t="s">
        <v>3006</v>
      </c>
      <c r="F18" s="56">
        <v>898.0</v>
      </c>
      <c r="G18" s="318">
        <v>942.9</v>
      </c>
      <c r="H18" s="242"/>
      <c r="I18" s="242"/>
      <c r="J18" s="242"/>
      <c r="K18" s="242"/>
    </row>
    <row r="19">
      <c r="A19" s="13"/>
      <c r="B19" s="237" t="s">
        <v>11</v>
      </c>
      <c r="C19" s="45"/>
      <c r="D19" s="45"/>
      <c r="E19" s="45"/>
      <c r="F19" s="240">
        <f t="shared" ref="F19:G19" si="3">SUM(F16:F18)</f>
        <v>1751.1</v>
      </c>
      <c r="G19" s="240">
        <f t="shared" si="3"/>
        <v>1838.7</v>
      </c>
      <c r="H19" s="242"/>
      <c r="I19" s="242"/>
      <c r="J19" s="242"/>
      <c r="K19" s="242"/>
    </row>
    <row r="20">
      <c r="A20" s="13"/>
      <c r="B20" s="62" t="s">
        <v>2118</v>
      </c>
      <c r="C20" s="45"/>
      <c r="D20" s="45"/>
      <c r="E20" s="45"/>
      <c r="F20" s="46"/>
      <c r="G20" s="15"/>
      <c r="H20" s="242"/>
      <c r="I20" s="242"/>
      <c r="J20" s="242"/>
      <c r="K20" s="242"/>
    </row>
    <row r="21">
      <c r="A21" s="13"/>
      <c r="B21" s="151">
        <v>1.0</v>
      </c>
      <c r="C21" s="68">
        <v>4.0</v>
      </c>
      <c r="D21" s="417">
        <v>110.0</v>
      </c>
      <c r="E21" s="383" t="s">
        <v>3008</v>
      </c>
      <c r="F21" s="56">
        <v>83.9</v>
      </c>
      <c r="G21" s="318">
        <v>88.095</v>
      </c>
      <c r="H21" s="242"/>
      <c r="I21" s="242"/>
      <c r="J21" s="242"/>
      <c r="K21" s="242"/>
    </row>
    <row r="22">
      <c r="A22" s="13"/>
      <c r="B22" s="151">
        <v>2.0</v>
      </c>
      <c r="C22" s="68">
        <v>6.0</v>
      </c>
      <c r="D22" s="417">
        <v>160.0</v>
      </c>
      <c r="E22" s="383" t="s">
        <v>3009</v>
      </c>
      <c r="F22" s="56">
        <v>207.1</v>
      </c>
      <c r="G22" s="318">
        <v>217.5</v>
      </c>
      <c r="H22" s="242"/>
      <c r="I22" s="242"/>
      <c r="J22" s="242"/>
      <c r="K22" s="242"/>
    </row>
    <row r="23">
      <c r="A23" s="13"/>
      <c r="B23" s="151">
        <v>3.0</v>
      </c>
      <c r="C23" s="413">
        <v>8.0</v>
      </c>
      <c r="D23" s="417">
        <v>200.0</v>
      </c>
      <c r="E23" s="383" t="s">
        <v>3010</v>
      </c>
      <c r="F23" s="56">
        <v>414.0</v>
      </c>
      <c r="G23" s="318">
        <v>434.7</v>
      </c>
      <c r="H23" s="242"/>
      <c r="I23" s="242"/>
      <c r="J23" s="242"/>
      <c r="K23" s="242"/>
    </row>
    <row r="24">
      <c r="A24" s="13"/>
      <c r="B24" s="237" t="s">
        <v>11</v>
      </c>
      <c r="C24" s="45"/>
      <c r="D24" s="45"/>
      <c r="E24" s="45"/>
      <c r="F24" s="240">
        <f t="shared" ref="F24:G24" si="4">SUM(F21:F23)</f>
        <v>705</v>
      </c>
      <c r="G24" s="240">
        <f t="shared" si="4"/>
        <v>740.295</v>
      </c>
      <c r="H24" s="242"/>
      <c r="I24" s="242"/>
      <c r="J24" s="242"/>
      <c r="K24" s="242"/>
    </row>
    <row r="25">
      <c r="A25" s="13"/>
      <c r="B25" s="405" t="s">
        <v>3012</v>
      </c>
      <c r="C25" s="45"/>
      <c r="D25" s="45"/>
      <c r="E25" s="45"/>
      <c r="F25" s="46"/>
      <c r="G25" s="15"/>
      <c r="H25" s="242"/>
      <c r="I25" s="242"/>
      <c r="J25" s="242"/>
      <c r="K25" s="242"/>
    </row>
    <row r="26">
      <c r="A26" s="13"/>
      <c r="B26" s="518" t="s">
        <v>1882</v>
      </c>
      <c r="C26" s="45"/>
      <c r="D26" s="45"/>
      <c r="E26" s="45"/>
      <c r="F26" s="46"/>
      <c r="G26" s="243"/>
      <c r="H26" s="242"/>
      <c r="I26" s="242"/>
      <c r="J26" s="242"/>
      <c r="K26" s="242"/>
    </row>
    <row r="27">
      <c r="A27" s="13"/>
      <c r="B27" s="81">
        <v>1.0</v>
      </c>
      <c r="C27" s="519">
        <v>4.0</v>
      </c>
      <c r="D27" s="144">
        <v>110.0</v>
      </c>
      <c r="E27" s="383" t="s">
        <v>3014</v>
      </c>
      <c r="F27" s="181">
        <v>152.8</v>
      </c>
      <c r="G27" s="318">
        <v>160.5</v>
      </c>
      <c r="H27" s="242"/>
      <c r="I27" s="242"/>
      <c r="J27" s="242"/>
      <c r="K27" s="242"/>
    </row>
    <row r="28">
      <c r="A28" s="13"/>
      <c r="B28" s="81">
        <v>2.0</v>
      </c>
      <c r="C28" s="68">
        <v>6.0</v>
      </c>
      <c r="D28" s="144">
        <v>160.0</v>
      </c>
      <c r="E28" s="383" t="s">
        <v>3016</v>
      </c>
      <c r="F28" s="181">
        <v>370.0</v>
      </c>
      <c r="G28" s="318">
        <v>388.5</v>
      </c>
      <c r="H28" s="242"/>
      <c r="I28" s="242"/>
      <c r="J28" s="242"/>
      <c r="K28" s="242"/>
    </row>
    <row r="29">
      <c r="A29" s="13"/>
      <c r="B29" s="237" t="s">
        <v>11</v>
      </c>
      <c r="C29" s="45"/>
      <c r="D29" s="45"/>
      <c r="E29" s="45"/>
      <c r="F29" s="240">
        <f t="shared" ref="F29:G29" si="5">SUM(F27:F28)</f>
        <v>522.8</v>
      </c>
      <c r="G29" s="240">
        <f t="shared" si="5"/>
        <v>549</v>
      </c>
      <c r="H29" s="242"/>
      <c r="I29" s="242"/>
      <c r="J29" s="242"/>
      <c r="K29" s="242"/>
    </row>
    <row r="30">
      <c r="A30" s="13"/>
      <c r="B30" s="520"/>
      <c r="C30" s="520"/>
      <c r="D30" s="520"/>
      <c r="E30" s="521"/>
      <c r="F30" s="520"/>
      <c r="G30" s="243"/>
      <c r="H30" s="242"/>
      <c r="I30" s="242"/>
      <c r="J30" s="242"/>
      <c r="K30" s="242"/>
    </row>
    <row r="31">
      <c r="A31" s="13"/>
      <c r="B31" s="518" t="s">
        <v>1928</v>
      </c>
      <c r="C31" s="45"/>
      <c r="D31" s="45"/>
      <c r="E31" s="45"/>
      <c r="F31" s="46"/>
      <c r="G31" s="243"/>
      <c r="H31" s="242"/>
      <c r="I31" s="242"/>
      <c r="J31" s="242"/>
      <c r="K31" s="242"/>
    </row>
    <row r="32">
      <c r="A32" s="13"/>
      <c r="B32" s="81">
        <v>1.0</v>
      </c>
      <c r="C32" s="519">
        <v>4.0</v>
      </c>
      <c r="D32" s="68">
        <v>110.0</v>
      </c>
      <c r="E32" s="383" t="s">
        <v>3018</v>
      </c>
      <c r="F32" s="181">
        <v>188.0</v>
      </c>
      <c r="G32" s="318">
        <v>197.4</v>
      </c>
      <c r="H32" s="242"/>
      <c r="I32" s="242"/>
      <c r="J32" s="242"/>
      <c r="K32" s="242"/>
    </row>
    <row r="33">
      <c r="A33" s="13"/>
      <c r="B33" s="81">
        <v>2.0</v>
      </c>
      <c r="C33" s="51">
        <v>6.0</v>
      </c>
      <c r="D33" s="51">
        <v>160.0</v>
      </c>
      <c r="E33" s="383" t="s">
        <v>3019</v>
      </c>
      <c r="F33" s="181">
        <v>478.0</v>
      </c>
      <c r="G33" s="318">
        <v>501.9</v>
      </c>
      <c r="H33" s="242"/>
      <c r="I33" s="242"/>
      <c r="J33" s="242"/>
      <c r="K33" s="242"/>
    </row>
    <row r="34">
      <c r="A34" s="13"/>
      <c r="B34" s="237" t="s">
        <v>11</v>
      </c>
      <c r="C34" s="45"/>
      <c r="D34" s="45"/>
      <c r="E34" s="46"/>
      <c r="F34" s="240">
        <f t="shared" ref="F34:G34" si="6">SUM(F32:F33)</f>
        <v>666</v>
      </c>
      <c r="G34" s="240">
        <f t="shared" si="6"/>
        <v>699.3</v>
      </c>
      <c r="H34" s="242"/>
      <c r="I34" s="242"/>
      <c r="J34" s="242"/>
      <c r="K34" s="242"/>
    </row>
    <row r="35">
      <c r="A35" s="13"/>
      <c r="B35" s="243"/>
      <c r="C35" s="243"/>
      <c r="D35" s="243"/>
      <c r="E35" s="243"/>
      <c r="F35" s="243"/>
      <c r="G35" s="243"/>
      <c r="H35" s="242"/>
      <c r="I35" s="242"/>
      <c r="J35" s="242"/>
      <c r="K35" s="242"/>
    </row>
    <row r="36">
      <c r="A36" s="13"/>
      <c r="B36" s="518" t="s">
        <v>1981</v>
      </c>
      <c r="C36" s="45"/>
      <c r="D36" s="45"/>
      <c r="E36" s="45"/>
      <c r="F36" s="46"/>
      <c r="G36" s="243"/>
      <c r="H36" s="242"/>
      <c r="I36" s="242"/>
      <c r="J36" s="242"/>
      <c r="K36" s="242"/>
    </row>
    <row r="37">
      <c r="A37" s="13"/>
      <c r="B37" s="81">
        <v>1.0</v>
      </c>
      <c r="C37" s="519">
        <v>4.0</v>
      </c>
      <c r="D37" s="68">
        <v>110.0</v>
      </c>
      <c r="E37" s="383" t="s">
        <v>3022</v>
      </c>
      <c r="F37" s="181">
        <v>134.0</v>
      </c>
      <c r="G37" s="318">
        <v>140.7</v>
      </c>
      <c r="H37" s="242"/>
      <c r="I37" s="242"/>
      <c r="J37" s="242"/>
      <c r="K37" s="242"/>
    </row>
    <row r="38">
      <c r="A38" s="13"/>
      <c r="B38" s="81">
        <v>2.0</v>
      </c>
      <c r="C38" s="522">
        <v>6.0</v>
      </c>
      <c r="D38" s="51">
        <v>160.0</v>
      </c>
      <c r="E38" s="383" t="s">
        <v>3023</v>
      </c>
      <c r="F38" s="181">
        <v>306.0</v>
      </c>
      <c r="G38" s="318">
        <v>321.3</v>
      </c>
      <c r="H38" s="242"/>
      <c r="I38" s="242"/>
      <c r="J38" s="242"/>
      <c r="K38" s="242"/>
    </row>
    <row r="39">
      <c r="A39" s="13"/>
      <c r="B39" s="237" t="s">
        <v>11</v>
      </c>
      <c r="C39" s="45"/>
      <c r="D39" s="45"/>
      <c r="E39" s="46"/>
      <c r="F39" s="240">
        <f t="shared" ref="F39:G39" si="7">SUM(F37:F38)</f>
        <v>440</v>
      </c>
      <c r="G39" s="240">
        <f t="shared" si="7"/>
        <v>462</v>
      </c>
      <c r="H39" s="242"/>
      <c r="I39" s="242"/>
      <c r="J39" s="242"/>
      <c r="K39" s="242"/>
    </row>
    <row r="40">
      <c r="A40" s="13"/>
      <c r="B40" s="520"/>
      <c r="C40" s="520"/>
      <c r="D40" s="520"/>
      <c r="E40" s="521"/>
      <c r="F40" s="520"/>
      <c r="G40" s="243"/>
      <c r="H40" s="242"/>
      <c r="I40" s="242"/>
      <c r="J40" s="242"/>
      <c r="K40" s="242"/>
    </row>
    <row r="41">
      <c r="A41" s="13"/>
      <c r="B41" s="518" t="s">
        <v>2194</v>
      </c>
      <c r="C41" s="45"/>
      <c r="D41" s="45"/>
      <c r="E41" s="45"/>
      <c r="F41" s="46"/>
      <c r="G41" s="243"/>
      <c r="H41" s="242"/>
      <c r="I41" s="242"/>
      <c r="J41" s="242"/>
      <c r="K41" s="242"/>
    </row>
    <row r="42">
      <c r="A42" s="13"/>
      <c r="B42" s="81">
        <v>1.0</v>
      </c>
      <c r="C42" s="522" t="s">
        <v>2024</v>
      </c>
      <c r="D42" s="51" t="s">
        <v>2025</v>
      </c>
      <c r="E42" s="383" t="s">
        <v>3025</v>
      </c>
      <c r="F42" s="181">
        <v>258.4</v>
      </c>
      <c r="G42" s="318">
        <v>271.3</v>
      </c>
      <c r="H42" s="242"/>
      <c r="I42" s="242"/>
      <c r="J42" s="242"/>
      <c r="K42" s="242"/>
    </row>
    <row r="43">
      <c r="A43" s="13"/>
      <c r="B43" s="237" t="s">
        <v>11</v>
      </c>
      <c r="C43" s="45"/>
      <c r="D43" s="45"/>
      <c r="E43" s="46"/>
      <c r="F43" s="240">
        <f t="shared" ref="F43:G43" si="8">sum(F42)</f>
        <v>258.4</v>
      </c>
      <c r="G43" s="240">
        <f t="shared" si="8"/>
        <v>271.3</v>
      </c>
      <c r="H43" s="242"/>
      <c r="I43" s="242"/>
      <c r="J43" s="242"/>
      <c r="K43" s="242"/>
    </row>
    <row r="44">
      <c r="A44" s="13"/>
      <c r="B44" s="520"/>
      <c r="C44" s="520"/>
      <c r="D44" s="520"/>
      <c r="E44" s="521"/>
      <c r="F44" s="520"/>
      <c r="G44" s="243"/>
      <c r="H44" s="242"/>
      <c r="I44" s="242"/>
      <c r="J44" s="242"/>
      <c r="K44" s="242"/>
    </row>
    <row r="45">
      <c r="A45" s="13"/>
      <c r="B45" s="62" t="s">
        <v>172</v>
      </c>
      <c r="C45" s="45"/>
      <c r="D45" s="45"/>
      <c r="E45" s="45"/>
      <c r="F45" s="46"/>
      <c r="G45" s="243"/>
      <c r="H45" s="242"/>
      <c r="I45" s="242"/>
      <c r="J45" s="242"/>
      <c r="K45" s="242"/>
    </row>
    <row r="46">
      <c r="A46" s="13"/>
      <c r="B46" s="81">
        <v>1.0</v>
      </c>
      <c r="C46" s="519">
        <v>4.0</v>
      </c>
      <c r="D46" s="68">
        <v>110.0</v>
      </c>
      <c r="E46" s="383" t="s">
        <v>3026</v>
      </c>
      <c r="F46" s="181">
        <v>248.0</v>
      </c>
      <c r="G46" s="318">
        <v>260.4</v>
      </c>
      <c r="H46" s="242"/>
      <c r="I46" s="242"/>
      <c r="J46" s="242"/>
      <c r="K46" s="242"/>
    </row>
    <row r="47">
      <c r="A47" s="13"/>
      <c r="B47" s="81">
        <v>2.0</v>
      </c>
      <c r="C47" s="522">
        <v>6.0</v>
      </c>
      <c r="D47" s="51">
        <v>160.0</v>
      </c>
      <c r="E47" s="383" t="s">
        <v>3027</v>
      </c>
      <c r="F47" s="181">
        <v>632.0</v>
      </c>
      <c r="G47" s="318">
        <v>663.6</v>
      </c>
      <c r="H47" s="242"/>
      <c r="I47" s="242"/>
      <c r="J47" s="242"/>
      <c r="K47" s="242"/>
    </row>
    <row r="48">
      <c r="A48" s="13"/>
      <c r="B48" s="237" t="s">
        <v>11</v>
      </c>
      <c r="C48" s="45"/>
      <c r="D48" s="45"/>
      <c r="E48" s="46"/>
      <c r="F48" s="240">
        <f t="shared" ref="F48:G48" si="9">SUM(F46:F47)</f>
        <v>880</v>
      </c>
      <c r="G48" s="240">
        <f t="shared" si="9"/>
        <v>924</v>
      </c>
      <c r="H48" s="242"/>
      <c r="I48" s="242"/>
      <c r="J48" s="242"/>
      <c r="K48" s="242"/>
    </row>
    <row r="49">
      <c r="A49" s="13"/>
      <c r="B49" s="520"/>
      <c r="C49" s="520"/>
      <c r="D49" s="520"/>
      <c r="E49" s="521"/>
      <c r="F49" s="520"/>
      <c r="G49" s="243"/>
      <c r="H49" s="242"/>
      <c r="I49" s="242"/>
      <c r="J49" s="242"/>
      <c r="K49" s="242"/>
    </row>
    <row r="50">
      <c r="A50" s="13"/>
      <c r="B50" s="518" t="s">
        <v>2015</v>
      </c>
      <c r="C50" s="45"/>
      <c r="D50" s="45"/>
      <c r="E50" s="45"/>
      <c r="F50" s="46"/>
      <c r="G50" s="243"/>
      <c r="H50" s="242"/>
      <c r="I50" s="242"/>
      <c r="J50" s="242"/>
      <c r="K50" s="242"/>
    </row>
    <row r="51">
      <c r="A51" s="13"/>
      <c r="B51" s="81">
        <v>1.0</v>
      </c>
      <c r="C51" s="519" t="s">
        <v>2024</v>
      </c>
      <c r="D51" s="68" t="s">
        <v>2025</v>
      </c>
      <c r="E51" s="383" t="s">
        <v>3028</v>
      </c>
      <c r="F51" s="181">
        <v>596.0</v>
      </c>
      <c r="G51" s="318">
        <v>625.8</v>
      </c>
      <c r="H51" s="242"/>
      <c r="I51" s="242"/>
      <c r="J51" s="242"/>
      <c r="K51" s="242"/>
    </row>
    <row r="52">
      <c r="A52" s="13"/>
      <c r="B52" s="81">
        <v>2.0</v>
      </c>
      <c r="C52" s="522" t="s">
        <v>2028</v>
      </c>
      <c r="D52" s="51" t="s">
        <v>2029</v>
      </c>
      <c r="E52" s="383" t="s">
        <v>3029</v>
      </c>
      <c r="F52" s="181">
        <v>548.0</v>
      </c>
      <c r="G52" s="318">
        <v>575.4</v>
      </c>
      <c r="H52" s="242"/>
      <c r="I52" s="242"/>
      <c r="J52" s="242"/>
      <c r="K52" s="242"/>
    </row>
    <row r="53">
      <c r="A53" s="13"/>
      <c r="B53" s="237" t="s">
        <v>11</v>
      </c>
      <c r="C53" s="45"/>
      <c r="D53" s="45"/>
      <c r="E53" s="46"/>
      <c r="F53" s="240">
        <f t="shared" ref="F53:G53" si="10">SUM(F51:F52)</f>
        <v>1144</v>
      </c>
      <c r="G53" s="240">
        <f t="shared" si="10"/>
        <v>1201.2</v>
      </c>
      <c r="H53" s="242"/>
      <c r="I53" s="242"/>
      <c r="J53" s="242"/>
      <c r="K53" s="242"/>
    </row>
    <row r="54">
      <c r="A54" s="13"/>
      <c r="B54" s="520"/>
      <c r="C54" s="520"/>
      <c r="D54" s="520"/>
      <c r="E54" s="521"/>
      <c r="F54" s="520"/>
      <c r="G54" s="243"/>
      <c r="H54" s="242"/>
      <c r="I54" s="242"/>
      <c r="J54" s="242"/>
      <c r="K54" s="242"/>
    </row>
    <row r="55">
      <c r="A55" s="13"/>
      <c r="B55" s="62" t="s">
        <v>695</v>
      </c>
      <c r="C55" s="45"/>
      <c r="D55" s="45"/>
      <c r="E55" s="45"/>
      <c r="F55" s="46"/>
      <c r="G55" s="243"/>
      <c r="H55" s="242"/>
      <c r="I55" s="242"/>
      <c r="J55" s="242"/>
      <c r="K55" s="242"/>
    </row>
    <row r="56">
      <c r="A56" s="13"/>
      <c r="B56" s="81">
        <v>1.0</v>
      </c>
      <c r="C56" s="522">
        <v>4.0</v>
      </c>
      <c r="D56" s="51">
        <v>110.0</v>
      </c>
      <c r="E56" s="383" t="s">
        <v>3030</v>
      </c>
      <c r="F56" s="181">
        <v>326.0</v>
      </c>
      <c r="G56" s="318">
        <v>342.3</v>
      </c>
      <c r="H56" s="242"/>
      <c r="I56" s="242"/>
      <c r="J56" s="242"/>
      <c r="K56" s="242"/>
    </row>
    <row r="57">
      <c r="A57" s="13"/>
      <c r="B57" s="237" t="s">
        <v>11</v>
      </c>
      <c r="C57" s="45"/>
      <c r="D57" s="45"/>
      <c r="E57" s="45"/>
      <c r="F57" s="240">
        <f t="shared" ref="F57:G57" si="11">SUM(F56)</f>
        <v>326</v>
      </c>
      <c r="G57" s="240">
        <f t="shared" si="11"/>
        <v>342.3</v>
      </c>
      <c r="H57" s="242"/>
      <c r="I57" s="242"/>
      <c r="J57" s="242"/>
      <c r="K57" s="242"/>
    </row>
    <row r="58">
      <c r="A58" s="13"/>
      <c r="B58" s="518" t="s">
        <v>2125</v>
      </c>
      <c r="C58" s="45"/>
      <c r="D58" s="45"/>
      <c r="E58" s="45"/>
      <c r="F58" s="46"/>
      <c r="G58" s="243"/>
      <c r="H58" s="242"/>
      <c r="I58" s="242"/>
      <c r="J58" s="242"/>
      <c r="K58" s="242"/>
    </row>
    <row r="59">
      <c r="A59" s="13"/>
      <c r="B59" s="81">
        <v>1.0</v>
      </c>
      <c r="C59" s="519">
        <v>4.0</v>
      </c>
      <c r="D59" s="68">
        <v>110.0</v>
      </c>
      <c r="E59" s="383" t="s">
        <v>3031</v>
      </c>
      <c r="F59" s="181">
        <v>314.2</v>
      </c>
      <c r="G59" s="318">
        <v>329.9</v>
      </c>
      <c r="H59" s="242"/>
      <c r="I59" s="242"/>
      <c r="J59" s="242"/>
      <c r="K59" s="242"/>
    </row>
    <row r="60">
      <c r="A60" s="13"/>
      <c r="B60" s="81">
        <v>2.0</v>
      </c>
      <c r="C60" s="51">
        <v>6.0</v>
      </c>
      <c r="D60" s="51">
        <v>160.0</v>
      </c>
      <c r="E60" s="383" t="s">
        <v>3032</v>
      </c>
      <c r="F60" s="181">
        <v>929.2</v>
      </c>
      <c r="G60" s="318">
        <v>675.7</v>
      </c>
      <c r="H60" s="242"/>
      <c r="I60" s="242"/>
      <c r="J60" s="242"/>
      <c r="K60" s="242"/>
    </row>
    <row r="61">
      <c r="A61" s="13"/>
      <c r="B61" s="237" t="s">
        <v>11</v>
      </c>
      <c r="C61" s="45"/>
      <c r="D61" s="45"/>
      <c r="E61" s="46"/>
      <c r="F61" s="240">
        <f t="shared" ref="F61:G61" si="12">sum(F59:F60)</f>
        <v>1243.4</v>
      </c>
      <c r="G61" s="240">
        <f t="shared" si="12"/>
        <v>1005.6</v>
      </c>
      <c r="H61" s="242"/>
      <c r="I61" s="242"/>
      <c r="J61" s="242"/>
      <c r="K61" s="242"/>
    </row>
    <row r="62">
      <c r="A62" s="13"/>
      <c r="B62" s="520"/>
      <c r="C62" s="520"/>
      <c r="D62" s="520"/>
      <c r="E62" s="521"/>
      <c r="F62" s="520"/>
      <c r="G62" s="243"/>
      <c r="H62" s="242"/>
      <c r="I62" s="242"/>
      <c r="J62" s="242"/>
      <c r="K62" s="242"/>
    </row>
    <row r="63">
      <c r="A63" s="13"/>
      <c r="B63" s="518" t="s">
        <v>2234</v>
      </c>
      <c r="C63" s="45"/>
      <c r="D63" s="45"/>
      <c r="E63" s="45"/>
      <c r="F63" s="46"/>
      <c r="G63" s="243"/>
      <c r="H63" s="242"/>
      <c r="I63" s="242"/>
      <c r="J63" s="242"/>
      <c r="K63" s="242"/>
    </row>
    <row r="64">
      <c r="A64" s="13"/>
      <c r="B64" s="81">
        <v>1.0</v>
      </c>
      <c r="C64" s="519">
        <v>4.0</v>
      </c>
      <c r="D64" s="68">
        <v>110.0</v>
      </c>
      <c r="E64" s="383" t="s">
        <v>3033</v>
      </c>
      <c r="F64" s="181">
        <v>27.8</v>
      </c>
      <c r="G64" s="318">
        <v>23.2</v>
      </c>
      <c r="H64" s="242"/>
      <c r="I64" s="242"/>
      <c r="J64" s="242"/>
      <c r="K64" s="242"/>
    </row>
    <row r="65">
      <c r="A65" s="13"/>
      <c r="B65" s="81">
        <v>2.0</v>
      </c>
      <c r="C65" s="522">
        <v>6.0</v>
      </c>
      <c r="D65" s="51">
        <v>160.0</v>
      </c>
      <c r="E65" s="383" t="s">
        <v>3034</v>
      </c>
      <c r="F65" s="181">
        <v>57.4</v>
      </c>
      <c r="G65" s="318">
        <v>60.3</v>
      </c>
      <c r="H65" s="242"/>
      <c r="I65" s="242"/>
      <c r="J65" s="242"/>
      <c r="K65" s="242"/>
    </row>
    <row r="66">
      <c r="A66" s="13"/>
      <c r="B66" s="237" t="s">
        <v>11</v>
      </c>
      <c r="C66" s="45"/>
      <c r="D66" s="45"/>
      <c r="E66" s="46"/>
      <c r="F66" s="240">
        <f t="shared" ref="F66:G66" si="13">SUM(F64:F65)</f>
        <v>85.2</v>
      </c>
      <c r="G66" s="240">
        <f t="shared" si="13"/>
        <v>83.5</v>
      </c>
      <c r="H66" s="242"/>
      <c r="I66" s="242"/>
      <c r="J66" s="242"/>
      <c r="K66" s="242"/>
    </row>
    <row r="67">
      <c r="A67" s="13"/>
      <c r="B67" s="242"/>
      <c r="C67" s="242"/>
      <c r="D67" s="242"/>
      <c r="E67" s="242"/>
      <c r="F67" s="242"/>
      <c r="G67" s="13"/>
      <c r="H67" s="242"/>
      <c r="I67" s="242"/>
      <c r="J67" s="242"/>
      <c r="K67" s="242"/>
    </row>
    <row r="68">
      <c r="A68" s="13"/>
      <c r="B68" s="242"/>
      <c r="C68" s="242"/>
      <c r="D68" s="242"/>
      <c r="E68" s="242"/>
      <c r="F68" s="242"/>
      <c r="G68" s="13"/>
      <c r="H68" s="242"/>
      <c r="I68" s="242"/>
      <c r="J68" s="242"/>
      <c r="K68" s="242"/>
    </row>
    <row r="69">
      <c r="A69" s="13"/>
      <c r="B69" s="242"/>
      <c r="C69" s="242"/>
      <c r="D69" s="242"/>
      <c r="E69" s="242"/>
      <c r="F69" s="242"/>
      <c r="G69" s="13"/>
      <c r="H69" s="242"/>
      <c r="I69" s="242"/>
      <c r="J69" s="242"/>
      <c r="K69" s="242"/>
    </row>
    <row r="70">
      <c r="A70" s="13"/>
      <c r="B70" s="242"/>
      <c r="C70" s="242"/>
      <c r="D70" s="242"/>
      <c r="E70" s="242"/>
      <c r="F70" s="242"/>
      <c r="G70" s="13"/>
      <c r="H70" s="242"/>
      <c r="I70" s="242"/>
      <c r="J70" s="242"/>
      <c r="K70" s="242"/>
    </row>
    <row r="71">
      <c r="A71" s="13"/>
      <c r="B71" s="242"/>
      <c r="C71" s="242"/>
      <c r="D71" s="242"/>
      <c r="E71" s="242"/>
      <c r="F71" s="242"/>
      <c r="G71" s="13"/>
      <c r="H71" s="242"/>
      <c r="I71" s="242"/>
      <c r="J71" s="242"/>
      <c r="K71" s="242"/>
    </row>
    <row r="72">
      <c r="A72" s="13"/>
      <c r="B72" s="242"/>
      <c r="C72" s="242"/>
      <c r="D72" s="242"/>
      <c r="E72" s="242"/>
      <c r="F72" s="242"/>
      <c r="G72" s="13"/>
      <c r="H72" s="242"/>
      <c r="I72" s="242"/>
      <c r="J72" s="242"/>
      <c r="K72" s="242"/>
    </row>
    <row r="73">
      <c r="A73" s="13"/>
      <c r="B73" s="242"/>
      <c r="C73" s="242"/>
      <c r="D73" s="242"/>
      <c r="E73" s="242"/>
      <c r="F73" s="242"/>
      <c r="G73" s="13"/>
      <c r="H73" s="242"/>
      <c r="I73" s="242"/>
      <c r="J73" s="242"/>
      <c r="K73" s="242"/>
    </row>
    <row r="74">
      <c r="A74" s="13"/>
      <c r="B74" s="242"/>
      <c r="C74" s="242"/>
      <c r="D74" s="242"/>
      <c r="E74" s="242"/>
      <c r="F74" s="242"/>
      <c r="G74" s="13"/>
      <c r="H74" s="242"/>
      <c r="I74" s="242"/>
      <c r="J74" s="242"/>
      <c r="K74" s="242"/>
    </row>
    <row r="75">
      <c r="A75" s="13"/>
      <c r="B75" s="242"/>
      <c r="C75" s="242"/>
      <c r="D75" s="242"/>
      <c r="E75" s="242"/>
      <c r="F75" s="242"/>
      <c r="G75" s="13"/>
      <c r="H75" s="242"/>
      <c r="I75" s="242"/>
      <c r="J75" s="242"/>
      <c r="K75" s="242"/>
    </row>
    <row r="76">
      <c r="A76" s="13"/>
      <c r="B76" s="242"/>
      <c r="C76" s="242"/>
      <c r="D76" s="242"/>
      <c r="E76" s="242"/>
      <c r="F76" s="242"/>
      <c r="G76" s="13"/>
      <c r="H76" s="242"/>
      <c r="I76" s="242"/>
      <c r="J76" s="242"/>
      <c r="K76" s="242"/>
    </row>
    <row r="77">
      <c r="A77" s="13"/>
      <c r="B77" s="242"/>
      <c r="C77" s="242"/>
      <c r="D77" s="242"/>
      <c r="E77" s="242"/>
      <c r="F77" s="242"/>
      <c r="G77" s="13"/>
      <c r="H77" s="242"/>
      <c r="I77" s="242"/>
      <c r="J77" s="242"/>
      <c r="K77" s="242"/>
    </row>
    <row r="78">
      <c r="A78" s="13"/>
      <c r="B78" s="242"/>
      <c r="C78" s="242"/>
      <c r="D78" s="242"/>
      <c r="E78" s="242"/>
      <c r="F78" s="242"/>
      <c r="G78" s="13"/>
      <c r="H78" s="242"/>
      <c r="I78" s="242"/>
      <c r="J78" s="242"/>
      <c r="K78" s="242"/>
    </row>
    <row r="79">
      <c r="A79" s="13"/>
      <c r="B79" s="242"/>
      <c r="C79" s="242"/>
      <c r="D79" s="242"/>
      <c r="E79" s="242"/>
      <c r="F79" s="242"/>
      <c r="G79" s="13"/>
      <c r="H79" s="242"/>
      <c r="I79" s="242"/>
      <c r="J79" s="242"/>
      <c r="K79" s="242"/>
    </row>
    <row r="80">
      <c r="A80" s="13"/>
      <c r="B80" s="242"/>
      <c r="C80" s="242"/>
      <c r="D80" s="242"/>
      <c r="E80" s="242"/>
      <c r="F80" s="242"/>
      <c r="G80" s="13"/>
      <c r="H80" s="242"/>
      <c r="I80" s="242"/>
      <c r="J80" s="242"/>
      <c r="K80" s="242"/>
    </row>
    <row r="81">
      <c r="A81" s="13"/>
      <c r="B81" s="242"/>
      <c r="C81" s="242"/>
      <c r="D81" s="242"/>
      <c r="E81" s="242"/>
      <c r="F81" s="242"/>
      <c r="G81" s="13"/>
      <c r="H81" s="242"/>
      <c r="I81" s="242"/>
      <c r="J81" s="242"/>
      <c r="K81" s="242"/>
    </row>
    <row r="82">
      <c r="A82" s="13"/>
      <c r="B82" s="242"/>
      <c r="C82" s="242"/>
      <c r="D82" s="242"/>
      <c r="E82" s="242"/>
      <c r="F82" s="242"/>
      <c r="G82" s="13"/>
      <c r="H82" s="242"/>
      <c r="I82" s="242"/>
      <c r="J82" s="242"/>
      <c r="K82" s="242"/>
    </row>
    <row r="83">
      <c r="A83" s="13"/>
      <c r="B83" s="242"/>
      <c r="C83" s="242"/>
      <c r="D83" s="242"/>
      <c r="E83" s="242"/>
      <c r="F83" s="242"/>
      <c r="G83" s="13"/>
      <c r="H83" s="242"/>
      <c r="I83" s="242"/>
      <c r="J83" s="242"/>
      <c r="K83" s="242"/>
    </row>
    <row r="84">
      <c r="A84" s="13"/>
      <c r="B84" s="242"/>
      <c r="C84" s="242"/>
      <c r="D84" s="242"/>
      <c r="E84" s="242"/>
      <c r="F84" s="242"/>
      <c r="G84" s="13"/>
      <c r="H84" s="242"/>
      <c r="I84" s="242"/>
      <c r="J84" s="242"/>
      <c r="K84" s="242"/>
    </row>
    <row r="85">
      <c r="A85" s="13"/>
      <c r="B85" s="242"/>
      <c r="C85" s="242"/>
      <c r="D85" s="242"/>
      <c r="E85" s="242"/>
      <c r="F85" s="242"/>
      <c r="G85" s="13"/>
      <c r="H85" s="242"/>
      <c r="I85" s="242"/>
      <c r="J85" s="242"/>
      <c r="K85" s="242"/>
    </row>
    <row r="86">
      <c r="A86" s="13"/>
      <c r="B86" s="242"/>
      <c r="C86" s="242"/>
      <c r="D86" s="242"/>
      <c r="E86" s="242"/>
      <c r="F86" s="242"/>
      <c r="G86" s="13"/>
      <c r="H86" s="242"/>
      <c r="I86" s="242"/>
      <c r="J86" s="242"/>
      <c r="K86" s="242"/>
    </row>
    <row r="87">
      <c r="A87" s="13"/>
      <c r="B87" s="242"/>
      <c r="C87" s="242"/>
      <c r="D87" s="242"/>
      <c r="E87" s="242"/>
      <c r="F87" s="242"/>
      <c r="G87" s="13"/>
      <c r="H87" s="242"/>
      <c r="I87" s="242"/>
      <c r="J87" s="242"/>
      <c r="K87" s="242"/>
    </row>
    <row r="88">
      <c r="A88" s="13"/>
      <c r="B88" s="242"/>
      <c r="C88" s="242"/>
      <c r="D88" s="242"/>
      <c r="E88" s="242"/>
      <c r="F88" s="242"/>
      <c r="G88" s="13"/>
      <c r="H88" s="242"/>
      <c r="I88" s="242"/>
      <c r="J88" s="242"/>
      <c r="K88" s="242"/>
    </row>
    <row r="89">
      <c r="A89" s="13"/>
      <c r="B89" s="242"/>
      <c r="C89" s="242"/>
      <c r="D89" s="242"/>
      <c r="E89" s="242"/>
      <c r="F89" s="242"/>
      <c r="G89" s="13"/>
      <c r="H89" s="242"/>
      <c r="I89" s="242"/>
      <c r="J89" s="242"/>
      <c r="K89" s="242"/>
    </row>
    <row r="90">
      <c r="A90" s="13"/>
      <c r="B90" s="242"/>
      <c r="C90" s="242"/>
      <c r="D90" s="242"/>
      <c r="E90" s="242"/>
      <c r="F90" s="242"/>
      <c r="G90" s="13"/>
      <c r="H90" s="242"/>
      <c r="I90" s="242"/>
      <c r="J90" s="242"/>
      <c r="K90" s="242"/>
    </row>
    <row r="91">
      <c r="A91" s="13"/>
      <c r="B91" s="242"/>
      <c r="C91" s="242"/>
      <c r="D91" s="242"/>
      <c r="E91" s="242"/>
      <c r="F91" s="242"/>
      <c r="G91" s="13"/>
      <c r="H91" s="242"/>
      <c r="I91" s="242"/>
      <c r="J91" s="242"/>
      <c r="K91" s="242"/>
    </row>
    <row r="92">
      <c r="A92" s="13"/>
      <c r="B92" s="242"/>
      <c r="C92" s="242"/>
      <c r="D92" s="242"/>
      <c r="E92" s="242"/>
      <c r="F92" s="242"/>
      <c r="G92" s="13"/>
      <c r="H92" s="242"/>
      <c r="I92" s="242"/>
      <c r="J92" s="242"/>
      <c r="K92" s="242"/>
    </row>
    <row r="93">
      <c r="A93" s="13"/>
      <c r="B93" s="242"/>
      <c r="C93" s="242"/>
      <c r="D93" s="242"/>
      <c r="E93" s="242"/>
      <c r="F93" s="242"/>
      <c r="G93" s="13"/>
      <c r="H93" s="242"/>
      <c r="I93" s="242"/>
      <c r="J93" s="242"/>
      <c r="K93" s="242"/>
    </row>
    <row r="94">
      <c r="A94" s="13"/>
      <c r="B94" s="242"/>
      <c r="C94" s="242"/>
      <c r="D94" s="242"/>
      <c r="E94" s="242"/>
      <c r="F94" s="242"/>
      <c r="G94" s="13"/>
      <c r="H94" s="242"/>
      <c r="I94" s="242"/>
      <c r="J94" s="242"/>
      <c r="K94" s="242"/>
    </row>
    <row r="95">
      <c r="A95" s="13"/>
      <c r="B95" s="242"/>
      <c r="C95" s="242"/>
      <c r="D95" s="242"/>
      <c r="E95" s="242"/>
      <c r="F95" s="242"/>
      <c r="G95" s="13"/>
      <c r="H95" s="242"/>
      <c r="I95" s="242"/>
      <c r="J95" s="242"/>
      <c r="K95" s="242"/>
    </row>
    <row r="96">
      <c r="A96" s="13"/>
      <c r="B96" s="242"/>
      <c r="C96" s="242"/>
      <c r="D96" s="242"/>
      <c r="E96" s="242"/>
      <c r="F96" s="242"/>
      <c r="G96" s="13"/>
      <c r="H96" s="242"/>
      <c r="I96" s="242"/>
      <c r="J96" s="242"/>
      <c r="K96" s="242"/>
    </row>
    <row r="97">
      <c r="A97" s="13"/>
      <c r="B97" s="242"/>
      <c r="C97" s="242"/>
      <c r="D97" s="242"/>
      <c r="E97" s="242"/>
      <c r="F97" s="242"/>
      <c r="G97" s="13"/>
      <c r="H97" s="242"/>
      <c r="I97" s="242"/>
      <c r="J97" s="242"/>
      <c r="K97" s="242"/>
    </row>
    <row r="98">
      <c r="A98" s="13"/>
      <c r="B98" s="242"/>
      <c r="C98" s="242"/>
      <c r="D98" s="242"/>
      <c r="E98" s="242"/>
      <c r="F98" s="242"/>
      <c r="G98" s="13"/>
      <c r="H98" s="242"/>
      <c r="I98" s="242"/>
      <c r="J98" s="242"/>
      <c r="K98" s="242"/>
    </row>
    <row r="99">
      <c r="A99" s="13"/>
      <c r="B99" s="242"/>
      <c r="C99" s="242"/>
      <c r="D99" s="242"/>
      <c r="E99" s="242"/>
      <c r="F99" s="242"/>
      <c r="G99" s="13"/>
      <c r="H99" s="242"/>
      <c r="I99" s="242"/>
      <c r="J99" s="242"/>
      <c r="K99" s="242"/>
    </row>
    <row r="100">
      <c r="A100" s="13"/>
      <c r="B100" s="242"/>
      <c r="C100" s="242"/>
      <c r="D100" s="242"/>
      <c r="E100" s="242"/>
      <c r="F100" s="242"/>
      <c r="G100" s="13"/>
      <c r="H100" s="242"/>
      <c r="I100" s="242"/>
      <c r="J100" s="242"/>
      <c r="K100" s="242"/>
    </row>
    <row r="101">
      <c r="A101" s="13"/>
      <c r="B101" s="242"/>
      <c r="C101" s="242"/>
      <c r="D101" s="242"/>
      <c r="E101" s="242"/>
      <c r="F101" s="242"/>
      <c r="G101" s="13"/>
      <c r="H101" s="242"/>
      <c r="I101" s="242"/>
      <c r="J101" s="242"/>
      <c r="K101" s="242"/>
    </row>
    <row r="102">
      <c r="A102" s="13"/>
      <c r="B102" s="242"/>
      <c r="C102" s="242"/>
      <c r="D102" s="242"/>
      <c r="E102" s="242"/>
      <c r="F102" s="242"/>
      <c r="G102" s="13"/>
      <c r="H102" s="242"/>
      <c r="I102" s="242"/>
      <c r="J102" s="242"/>
      <c r="K102" s="242"/>
    </row>
    <row r="103">
      <c r="A103" s="13"/>
      <c r="B103" s="242"/>
      <c r="C103" s="242"/>
      <c r="D103" s="242"/>
      <c r="E103" s="242"/>
      <c r="F103" s="242"/>
      <c r="G103" s="13"/>
      <c r="H103" s="242"/>
      <c r="I103" s="242"/>
      <c r="J103" s="242"/>
      <c r="K103" s="242"/>
    </row>
    <row r="104">
      <c r="A104" s="13"/>
      <c r="B104" s="242"/>
      <c r="C104" s="242"/>
      <c r="D104" s="242"/>
      <c r="E104" s="242"/>
      <c r="F104" s="242"/>
      <c r="G104" s="13"/>
      <c r="H104" s="242"/>
      <c r="I104" s="242"/>
      <c r="J104" s="242"/>
      <c r="K104" s="242"/>
    </row>
    <row r="105">
      <c r="A105" s="13"/>
      <c r="B105" s="242"/>
      <c r="C105" s="242"/>
      <c r="D105" s="242"/>
      <c r="E105" s="242"/>
      <c r="F105" s="242"/>
      <c r="G105" s="13"/>
      <c r="H105" s="242"/>
      <c r="I105" s="242"/>
      <c r="J105" s="242"/>
      <c r="K105" s="242"/>
    </row>
    <row r="106">
      <c r="A106" s="13"/>
      <c r="B106" s="242"/>
      <c r="C106" s="242"/>
      <c r="D106" s="242"/>
      <c r="E106" s="242"/>
      <c r="F106" s="242"/>
      <c r="G106" s="13"/>
      <c r="H106" s="242"/>
      <c r="I106" s="242"/>
      <c r="J106" s="242"/>
      <c r="K106" s="242"/>
    </row>
    <row r="107">
      <c r="A107" s="13"/>
      <c r="B107" s="242"/>
      <c r="C107" s="242"/>
      <c r="D107" s="242"/>
      <c r="E107" s="242"/>
      <c r="F107" s="242"/>
      <c r="G107" s="13"/>
      <c r="H107" s="242"/>
      <c r="I107" s="242"/>
      <c r="J107" s="242"/>
      <c r="K107" s="242"/>
    </row>
    <row r="108">
      <c r="A108" s="13"/>
      <c r="B108" s="242"/>
      <c r="C108" s="242"/>
      <c r="D108" s="242"/>
      <c r="E108" s="242"/>
      <c r="F108" s="242"/>
      <c r="G108" s="13"/>
      <c r="H108" s="242"/>
      <c r="I108" s="242"/>
      <c r="J108" s="242"/>
      <c r="K108" s="242"/>
    </row>
    <row r="109">
      <c r="A109" s="13"/>
      <c r="B109" s="242"/>
      <c r="C109" s="242"/>
      <c r="D109" s="242"/>
      <c r="E109" s="242"/>
      <c r="F109" s="242"/>
      <c r="G109" s="13"/>
      <c r="H109" s="242"/>
      <c r="I109" s="242"/>
      <c r="J109" s="242"/>
      <c r="K109" s="242"/>
    </row>
    <row r="110">
      <c r="A110" s="13"/>
      <c r="B110" s="242"/>
      <c r="C110" s="242"/>
      <c r="D110" s="242"/>
      <c r="E110" s="242"/>
      <c r="F110" s="242"/>
      <c r="G110" s="13"/>
      <c r="H110" s="242"/>
      <c r="I110" s="242"/>
      <c r="J110" s="242"/>
      <c r="K110" s="242"/>
    </row>
    <row r="111">
      <c r="A111" s="13"/>
      <c r="B111" s="242"/>
      <c r="C111" s="242"/>
      <c r="D111" s="242"/>
      <c r="E111" s="242"/>
      <c r="F111" s="242"/>
      <c r="G111" s="13"/>
      <c r="H111" s="242"/>
      <c r="I111" s="242"/>
      <c r="J111" s="242"/>
      <c r="K111" s="242"/>
    </row>
    <row r="112">
      <c r="A112" s="13"/>
      <c r="B112" s="242"/>
      <c r="C112" s="242"/>
      <c r="D112" s="242"/>
      <c r="E112" s="242"/>
      <c r="F112" s="242"/>
      <c r="G112" s="13"/>
      <c r="H112" s="242"/>
      <c r="I112" s="242"/>
      <c r="J112" s="242"/>
      <c r="K112" s="242"/>
    </row>
    <row r="113">
      <c r="A113" s="13"/>
      <c r="B113" s="242"/>
      <c r="C113" s="242"/>
      <c r="D113" s="242"/>
      <c r="E113" s="242"/>
      <c r="F113" s="242"/>
      <c r="G113" s="13"/>
      <c r="H113" s="242"/>
      <c r="I113" s="242"/>
      <c r="J113" s="242"/>
      <c r="K113" s="242"/>
    </row>
    <row r="114">
      <c r="A114" s="13"/>
      <c r="B114" s="242"/>
      <c r="C114" s="242"/>
      <c r="D114" s="242"/>
      <c r="E114" s="242"/>
      <c r="F114" s="242"/>
      <c r="G114" s="13"/>
      <c r="H114" s="242"/>
      <c r="I114" s="242"/>
      <c r="J114" s="242"/>
      <c r="K114" s="242"/>
    </row>
    <row r="115">
      <c r="A115" s="13"/>
      <c r="B115" s="242"/>
      <c r="C115" s="242"/>
      <c r="D115" s="242"/>
      <c r="E115" s="242"/>
      <c r="F115" s="242"/>
      <c r="G115" s="13"/>
      <c r="H115" s="242"/>
      <c r="I115" s="242"/>
      <c r="J115" s="242"/>
      <c r="K115" s="242"/>
    </row>
    <row r="116">
      <c r="A116" s="13"/>
      <c r="B116" s="242"/>
      <c r="C116" s="242"/>
      <c r="D116" s="242"/>
      <c r="E116" s="242"/>
      <c r="F116" s="242"/>
      <c r="G116" s="13"/>
      <c r="H116" s="242"/>
      <c r="I116" s="242"/>
      <c r="J116" s="242"/>
      <c r="K116" s="242"/>
    </row>
    <row r="117">
      <c r="A117" s="13"/>
      <c r="B117" s="242"/>
      <c r="C117" s="242"/>
      <c r="D117" s="242"/>
      <c r="E117" s="242"/>
      <c r="F117" s="242"/>
      <c r="G117" s="13"/>
      <c r="H117" s="242"/>
      <c r="I117" s="242"/>
      <c r="J117" s="242"/>
      <c r="K117" s="242"/>
    </row>
    <row r="118">
      <c r="A118" s="13"/>
      <c r="B118" s="242"/>
      <c r="C118" s="242"/>
      <c r="D118" s="242"/>
      <c r="E118" s="242"/>
      <c r="F118" s="242"/>
      <c r="G118" s="13"/>
      <c r="H118" s="242"/>
      <c r="I118" s="242"/>
      <c r="J118" s="242"/>
      <c r="K118" s="242"/>
    </row>
    <row r="119">
      <c r="A119" s="13"/>
      <c r="B119" s="242"/>
      <c r="C119" s="242"/>
      <c r="D119" s="242"/>
      <c r="E119" s="242"/>
      <c r="F119" s="242"/>
      <c r="G119" s="13"/>
      <c r="H119" s="242"/>
      <c r="I119" s="242"/>
      <c r="J119" s="242"/>
      <c r="K119" s="242"/>
    </row>
    <row r="120">
      <c r="A120" s="13"/>
      <c r="B120" s="242"/>
      <c r="C120" s="242"/>
      <c r="D120" s="242"/>
      <c r="E120" s="242"/>
      <c r="F120" s="242"/>
      <c r="G120" s="13"/>
      <c r="H120" s="242"/>
      <c r="I120" s="242"/>
      <c r="J120" s="242"/>
      <c r="K120" s="242"/>
    </row>
    <row r="121">
      <c r="A121" s="13"/>
      <c r="B121" s="242"/>
      <c r="C121" s="242"/>
      <c r="D121" s="242"/>
      <c r="E121" s="242"/>
      <c r="F121" s="242"/>
      <c r="G121" s="13"/>
      <c r="H121" s="242"/>
      <c r="I121" s="242"/>
      <c r="J121" s="242"/>
      <c r="K121" s="242"/>
    </row>
    <row r="122">
      <c r="A122" s="13"/>
      <c r="B122" s="242"/>
      <c r="C122" s="242"/>
      <c r="D122" s="242"/>
      <c r="E122" s="242"/>
      <c r="F122" s="242"/>
      <c r="G122" s="13"/>
      <c r="H122" s="242"/>
      <c r="I122" s="242"/>
      <c r="J122" s="242"/>
      <c r="K122" s="242"/>
    </row>
    <row r="123">
      <c r="A123" s="13"/>
      <c r="B123" s="242"/>
      <c r="C123" s="242"/>
      <c r="D123" s="242"/>
      <c r="E123" s="242"/>
      <c r="F123" s="242"/>
      <c r="G123" s="13"/>
      <c r="H123" s="242"/>
      <c r="I123" s="242"/>
      <c r="J123" s="242"/>
      <c r="K123" s="242"/>
    </row>
    <row r="124">
      <c r="A124" s="13"/>
      <c r="B124" s="242"/>
      <c r="C124" s="242"/>
      <c r="D124" s="242"/>
      <c r="E124" s="242"/>
      <c r="F124" s="242"/>
      <c r="G124" s="13"/>
      <c r="H124" s="242"/>
      <c r="I124" s="242"/>
      <c r="J124" s="242"/>
      <c r="K124" s="242"/>
    </row>
    <row r="125">
      <c r="A125" s="13"/>
      <c r="B125" s="242"/>
      <c r="C125" s="242"/>
      <c r="D125" s="242"/>
      <c r="E125" s="242"/>
      <c r="F125" s="242"/>
      <c r="G125" s="13"/>
      <c r="H125" s="242"/>
      <c r="I125" s="242"/>
      <c r="J125" s="242"/>
      <c r="K125" s="242"/>
    </row>
    <row r="126">
      <c r="A126" s="13"/>
      <c r="B126" s="242"/>
      <c r="C126" s="242"/>
      <c r="D126" s="242"/>
      <c r="E126" s="242"/>
      <c r="F126" s="242"/>
      <c r="G126" s="13"/>
      <c r="H126" s="242"/>
      <c r="I126" s="242"/>
      <c r="J126" s="242"/>
      <c r="K126" s="242"/>
    </row>
    <row r="127">
      <c r="A127" s="13"/>
      <c r="B127" s="242"/>
      <c r="C127" s="242"/>
      <c r="D127" s="242"/>
      <c r="E127" s="242"/>
      <c r="F127" s="242"/>
      <c r="G127" s="13"/>
      <c r="H127" s="242"/>
      <c r="I127" s="242"/>
      <c r="J127" s="242"/>
      <c r="K127" s="242"/>
    </row>
    <row r="128">
      <c r="A128" s="13"/>
      <c r="B128" s="242"/>
      <c r="C128" s="242"/>
      <c r="D128" s="242"/>
      <c r="E128" s="242"/>
      <c r="F128" s="242"/>
      <c r="G128" s="13"/>
      <c r="H128" s="242"/>
      <c r="I128" s="242"/>
      <c r="J128" s="242"/>
      <c r="K128" s="242"/>
    </row>
    <row r="129">
      <c r="A129" s="13"/>
      <c r="B129" s="242"/>
      <c r="C129" s="242"/>
      <c r="D129" s="242"/>
      <c r="E129" s="242"/>
      <c r="F129" s="242"/>
      <c r="G129" s="13"/>
      <c r="H129" s="242"/>
      <c r="I129" s="242"/>
      <c r="J129" s="242"/>
      <c r="K129" s="242"/>
    </row>
    <row r="130">
      <c r="A130" s="13"/>
      <c r="B130" s="242"/>
      <c r="C130" s="242"/>
      <c r="D130" s="242"/>
      <c r="E130" s="242"/>
      <c r="F130" s="242"/>
      <c r="G130" s="13"/>
      <c r="H130" s="242"/>
      <c r="I130" s="242"/>
      <c r="J130" s="242"/>
      <c r="K130" s="242"/>
    </row>
    <row r="131">
      <c r="A131" s="13"/>
      <c r="B131" s="242"/>
      <c r="C131" s="242"/>
      <c r="D131" s="242"/>
      <c r="E131" s="242"/>
      <c r="F131" s="242"/>
      <c r="G131" s="13"/>
      <c r="H131" s="242"/>
      <c r="I131" s="242"/>
      <c r="J131" s="242"/>
      <c r="K131" s="242"/>
    </row>
    <row r="132">
      <c r="A132" s="13"/>
      <c r="B132" s="242"/>
      <c r="C132" s="242"/>
      <c r="D132" s="242"/>
      <c r="E132" s="242"/>
      <c r="F132" s="242"/>
      <c r="G132" s="13"/>
      <c r="H132" s="242"/>
      <c r="I132" s="242"/>
      <c r="J132" s="242"/>
      <c r="K132" s="242"/>
    </row>
    <row r="133">
      <c r="A133" s="13"/>
      <c r="B133" s="242"/>
      <c r="C133" s="242"/>
      <c r="D133" s="242"/>
      <c r="E133" s="242"/>
      <c r="F133" s="242"/>
      <c r="G133" s="13"/>
      <c r="H133" s="242"/>
      <c r="I133" s="242"/>
      <c r="J133" s="242"/>
      <c r="K133" s="242"/>
    </row>
    <row r="134">
      <c r="A134" s="13"/>
      <c r="B134" s="242"/>
      <c r="C134" s="242"/>
      <c r="D134" s="242"/>
      <c r="E134" s="242"/>
      <c r="F134" s="242"/>
      <c r="G134" s="13"/>
      <c r="H134" s="242"/>
      <c r="I134" s="242"/>
      <c r="J134" s="242"/>
      <c r="K134" s="242"/>
    </row>
    <row r="135">
      <c r="A135" s="13"/>
      <c r="B135" s="242"/>
      <c r="C135" s="242"/>
      <c r="D135" s="242"/>
      <c r="E135" s="242"/>
      <c r="F135" s="242"/>
      <c r="G135" s="13"/>
      <c r="H135" s="242"/>
      <c r="I135" s="242"/>
      <c r="J135" s="242"/>
      <c r="K135" s="242"/>
    </row>
    <row r="136">
      <c r="A136" s="13"/>
      <c r="B136" s="242"/>
      <c r="C136" s="242"/>
      <c r="D136" s="242"/>
      <c r="E136" s="242"/>
      <c r="F136" s="242"/>
      <c r="G136" s="13"/>
      <c r="H136" s="242"/>
      <c r="I136" s="242"/>
      <c r="J136" s="242"/>
      <c r="K136" s="242"/>
    </row>
    <row r="137">
      <c r="A137" s="13"/>
      <c r="B137" s="242"/>
      <c r="C137" s="242"/>
      <c r="D137" s="242"/>
      <c r="E137" s="242"/>
      <c r="F137" s="242"/>
      <c r="G137" s="13"/>
      <c r="H137" s="242"/>
      <c r="I137" s="242"/>
      <c r="J137" s="242"/>
      <c r="K137" s="242"/>
    </row>
    <row r="138">
      <c r="A138" s="13"/>
      <c r="B138" s="242"/>
      <c r="C138" s="242"/>
      <c r="D138" s="242"/>
      <c r="E138" s="242"/>
      <c r="F138" s="242"/>
      <c r="G138" s="13"/>
      <c r="H138" s="242"/>
      <c r="I138" s="242"/>
      <c r="J138" s="242"/>
      <c r="K138" s="242"/>
    </row>
    <row r="139">
      <c r="A139" s="13"/>
      <c r="B139" s="242"/>
      <c r="C139" s="242"/>
      <c r="D139" s="242"/>
      <c r="E139" s="242"/>
      <c r="F139" s="242"/>
      <c r="G139" s="13"/>
      <c r="H139" s="242"/>
      <c r="I139" s="242"/>
      <c r="J139" s="242"/>
      <c r="K139" s="242"/>
    </row>
    <row r="140">
      <c r="A140" s="13"/>
      <c r="B140" s="242"/>
      <c r="C140" s="242"/>
      <c r="D140" s="242"/>
      <c r="E140" s="242"/>
      <c r="F140" s="242"/>
      <c r="G140" s="13"/>
      <c r="H140" s="242"/>
      <c r="I140" s="242"/>
      <c r="J140" s="242"/>
      <c r="K140" s="242"/>
    </row>
    <row r="141">
      <c r="A141" s="13"/>
      <c r="B141" s="242"/>
      <c r="C141" s="242"/>
      <c r="D141" s="242"/>
      <c r="E141" s="242"/>
      <c r="F141" s="242"/>
      <c r="G141" s="13"/>
      <c r="H141" s="242"/>
      <c r="I141" s="242"/>
      <c r="J141" s="242"/>
      <c r="K141" s="242"/>
    </row>
    <row r="142">
      <c r="A142" s="13"/>
      <c r="B142" s="242"/>
      <c r="C142" s="242"/>
      <c r="D142" s="242"/>
      <c r="E142" s="242"/>
      <c r="F142" s="242"/>
      <c r="G142" s="13"/>
      <c r="H142" s="242"/>
      <c r="I142" s="242"/>
      <c r="J142" s="242"/>
      <c r="K142" s="242"/>
    </row>
    <row r="143">
      <c r="A143" s="13"/>
      <c r="B143" s="242"/>
      <c r="C143" s="242"/>
      <c r="D143" s="242"/>
      <c r="E143" s="242"/>
      <c r="F143" s="242"/>
      <c r="G143" s="13"/>
      <c r="H143" s="242"/>
      <c r="I143" s="242"/>
      <c r="J143" s="242"/>
      <c r="K143" s="242"/>
    </row>
    <row r="144">
      <c r="A144" s="13"/>
      <c r="B144" s="242"/>
      <c r="C144" s="242"/>
      <c r="D144" s="242"/>
      <c r="E144" s="242"/>
      <c r="F144" s="242"/>
      <c r="G144" s="13"/>
      <c r="H144" s="242"/>
      <c r="I144" s="242"/>
      <c r="J144" s="242"/>
      <c r="K144" s="242"/>
    </row>
    <row r="145">
      <c r="A145" s="13"/>
      <c r="B145" s="242"/>
      <c r="C145" s="242"/>
      <c r="D145" s="242"/>
      <c r="E145" s="242"/>
      <c r="F145" s="242"/>
      <c r="G145" s="13"/>
      <c r="H145" s="242"/>
      <c r="I145" s="242"/>
      <c r="J145" s="242"/>
      <c r="K145" s="242"/>
    </row>
    <row r="146">
      <c r="A146" s="13"/>
      <c r="B146" s="242"/>
      <c r="C146" s="242"/>
      <c r="D146" s="242"/>
      <c r="E146" s="242"/>
      <c r="F146" s="242"/>
      <c r="G146" s="13"/>
      <c r="H146" s="242"/>
      <c r="I146" s="242"/>
      <c r="J146" s="242"/>
      <c r="K146" s="242"/>
    </row>
    <row r="147">
      <c r="A147" s="13"/>
      <c r="B147" s="242"/>
      <c r="C147" s="242"/>
      <c r="D147" s="242"/>
      <c r="E147" s="242"/>
      <c r="F147" s="242"/>
      <c r="G147" s="13"/>
      <c r="H147" s="242"/>
      <c r="I147" s="242"/>
      <c r="J147" s="242"/>
      <c r="K147" s="242"/>
    </row>
    <row r="148">
      <c r="A148" s="13"/>
      <c r="B148" s="242"/>
      <c r="C148" s="242"/>
      <c r="D148" s="242"/>
      <c r="E148" s="242"/>
      <c r="F148" s="242"/>
      <c r="G148" s="13"/>
      <c r="H148" s="242"/>
      <c r="I148" s="242"/>
      <c r="J148" s="242"/>
      <c r="K148" s="242"/>
    </row>
    <row r="149">
      <c r="A149" s="13"/>
      <c r="B149" s="242"/>
      <c r="C149" s="242"/>
      <c r="D149" s="242"/>
      <c r="E149" s="242"/>
      <c r="F149" s="242"/>
      <c r="G149" s="13"/>
      <c r="H149" s="242"/>
      <c r="I149" s="242"/>
      <c r="J149" s="242"/>
      <c r="K149" s="242"/>
    </row>
    <row r="150">
      <c r="A150" s="13"/>
      <c r="B150" s="242"/>
      <c r="C150" s="242"/>
      <c r="D150" s="242"/>
      <c r="E150" s="242"/>
      <c r="F150" s="242"/>
      <c r="G150" s="13"/>
      <c r="H150" s="242"/>
      <c r="I150" s="242"/>
      <c r="J150" s="242"/>
      <c r="K150" s="242"/>
    </row>
    <row r="151">
      <c r="A151" s="13"/>
      <c r="B151" s="242"/>
      <c r="C151" s="242"/>
      <c r="D151" s="242"/>
      <c r="E151" s="242"/>
      <c r="F151" s="242"/>
      <c r="G151" s="13"/>
      <c r="H151" s="242"/>
      <c r="I151" s="242"/>
      <c r="J151" s="242"/>
      <c r="K151" s="242"/>
    </row>
    <row r="152">
      <c r="A152" s="13"/>
      <c r="B152" s="242"/>
      <c r="C152" s="242"/>
      <c r="D152" s="242"/>
      <c r="E152" s="242"/>
      <c r="F152" s="242"/>
      <c r="G152" s="13"/>
      <c r="H152" s="242"/>
      <c r="I152" s="242"/>
      <c r="J152" s="242"/>
      <c r="K152" s="242"/>
    </row>
    <row r="153">
      <c r="A153" s="13"/>
      <c r="B153" s="242"/>
      <c r="C153" s="242"/>
      <c r="D153" s="242"/>
      <c r="E153" s="242"/>
      <c r="F153" s="242"/>
      <c r="G153" s="13"/>
      <c r="H153" s="242"/>
      <c r="I153" s="242"/>
      <c r="J153" s="242"/>
      <c r="K153" s="242"/>
    </row>
    <row r="154">
      <c r="A154" s="13"/>
      <c r="B154" s="242"/>
      <c r="C154" s="242"/>
      <c r="D154" s="242"/>
      <c r="E154" s="242"/>
      <c r="F154" s="242"/>
      <c r="G154" s="13"/>
      <c r="H154" s="242"/>
      <c r="I154" s="242"/>
      <c r="J154" s="242"/>
      <c r="K154" s="242"/>
    </row>
    <row r="155">
      <c r="A155" s="13"/>
      <c r="B155" s="242"/>
      <c r="C155" s="242"/>
      <c r="D155" s="242"/>
      <c r="E155" s="242"/>
      <c r="F155" s="242"/>
      <c r="G155" s="13"/>
      <c r="H155" s="242"/>
      <c r="I155" s="242"/>
      <c r="J155" s="242"/>
      <c r="K155" s="242"/>
    </row>
    <row r="156">
      <c r="A156" s="13"/>
      <c r="B156" s="242"/>
      <c r="C156" s="242"/>
      <c r="D156" s="242"/>
      <c r="E156" s="242"/>
      <c r="F156" s="242"/>
      <c r="G156" s="13"/>
      <c r="H156" s="242"/>
      <c r="I156" s="242"/>
      <c r="J156" s="242"/>
      <c r="K156" s="242"/>
    </row>
    <row r="157">
      <c r="A157" s="13"/>
      <c r="B157" s="242"/>
      <c r="C157" s="242"/>
      <c r="D157" s="242"/>
      <c r="E157" s="242"/>
      <c r="F157" s="242"/>
      <c r="G157" s="13"/>
      <c r="H157" s="242"/>
      <c r="I157" s="242"/>
      <c r="J157" s="242"/>
      <c r="K157" s="242"/>
    </row>
    <row r="158">
      <c r="A158" s="13"/>
      <c r="B158" s="242"/>
      <c r="C158" s="242"/>
      <c r="D158" s="242"/>
      <c r="E158" s="242"/>
      <c r="F158" s="242"/>
      <c r="G158" s="13"/>
      <c r="H158" s="242"/>
      <c r="I158" s="242"/>
      <c r="J158" s="242"/>
      <c r="K158" s="242"/>
    </row>
    <row r="159">
      <c r="A159" s="13"/>
      <c r="B159" s="242"/>
      <c r="C159" s="242"/>
      <c r="D159" s="242"/>
      <c r="E159" s="242"/>
      <c r="F159" s="242"/>
      <c r="G159" s="13"/>
      <c r="H159" s="242"/>
      <c r="I159" s="242"/>
      <c r="J159" s="242"/>
      <c r="K159" s="242"/>
    </row>
    <row r="160">
      <c r="A160" s="13"/>
      <c r="B160" s="242"/>
      <c r="C160" s="242"/>
      <c r="D160" s="242"/>
      <c r="E160" s="242"/>
      <c r="F160" s="242"/>
      <c r="G160" s="13"/>
      <c r="H160" s="242"/>
      <c r="I160" s="242"/>
      <c r="J160" s="242"/>
      <c r="K160" s="242"/>
    </row>
    <row r="161">
      <c r="A161" s="13"/>
      <c r="B161" s="242"/>
      <c r="C161" s="242"/>
      <c r="D161" s="242"/>
      <c r="E161" s="242"/>
      <c r="F161" s="242"/>
      <c r="G161" s="13"/>
      <c r="H161" s="242"/>
      <c r="I161" s="242"/>
      <c r="J161" s="242"/>
      <c r="K161" s="242"/>
    </row>
    <row r="162">
      <c r="A162" s="13"/>
      <c r="B162" s="242"/>
      <c r="C162" s="242"/>
      <c r="D162" s="242"/>
      <c r="E162" s="242"/>
      <c r="F162" s="242"/>
      <c r="G162" s="13"/>
      <c r="H162" s="242"/>
      <c r="I162" s="242"/>
      <c r="J162" s="242"/>
      <c r="K162" s="242"/>
    </row>
    <row r="163">
      <c r="A163" s="13"/>
      <c r="B163" s="242"/>
      <c r="C163" s="242"/>
      <c r="D163" s="242"/>
      <c r="E163" s="242"/>
      <c r="F163" s="242"/>
      <c r="G163" s="13"/>
      <c r="H163" s="242"/>
      <c r="I163" s="242"/>
      <c r="J163" s="242"/>
      <c r="K163" s="242"/>
    </row>
    <row r="164">
      <c r="A164" s="13"/>
      <c r="B164" s="242"/>
      <c r="C164" s="242"/>
      <c r="D164" s="242"/>
      <c r="E164" s="242"/>
      <c r="F164" s="242"/>
      <c r="G164" s="13"/>
      <c r="H164" s="242"/>
      <c r="I164" s="242"/>
      <c r="J164" s="242"/>
      <c r="K164" s="242"/>
    </row>
    <row r="165">
      <c r="A165" s="13"/>
      <c r="B165" s="242"/>
      <c r="C165" s="242"/>
      <c r="D165" s="242"/>
      <c r="E165" s="242"/>
      <c r="F165" s="242"/>
      <c r="G165" s="13"/>
      <c r="H165" s="242"/>
      <c r="I165" s="242"/>
      <c r="J165" s="242"/>
      <c r="K165" s="242"/>
    </row>
    <row r="166">
      <c r="A166" s="13"/>
      <c r="B166" s="242"/>
      <c r="C166" s="242"/>
      <c r="D166" s="242"/>
      <c r="E166" s="242"/>
      <c r="F166" s="242"/>
      <c r="G166" s="13"/>
      <c r="H166" s="242"/>
      <c r="I166" s="242"/>
      <c r="J166" s="242"/>
      <c r="K166" s="242"/>
    </row>
    <row r="167">
      <c r="A167" s="13"/>
      <c r="B167" s="242"/>
      <c r="C167" s="242"/>
      <c r="D167" s="242"/>
      <c r="E167" s="242"/>
      <c r="F167" s="242"/>
      <c r="G167" s="13"/>
      <c r="H167" s="242"/>
      <c r="I167" s="242"/>
      <c r="J167" s="242"/>
      <c r="K167" s="242"/>
    </row>
    <row r="168">
      <c r="A168" s="13"/>
      <c r="B168" s="242"/>
      <c r="C168" s="242"/>
      <c r="D168" s="242"/>
      <c r="E168" s="242"/>
      <c r="F168" s="242"/>
      <c r="G168" s="13"/>
      <c r="H168" s="242"/>
      <c r="I168" s="242"/>
      <c r="J168" s="242"/>
      <c r="K168" s="242"/>
    </row>
    <row r="169">
      <c r="A169" s="13"/>
      <c r="B169" s="242"/>
      <c r="C169" s="242"/>
      <c r="D169" s="242"/>
      <c r="E169" s="242"/>
      <c r="F169" s="242"/>
      <c r="G169" s="13"/>
      <c r="H169" s="242"/>
      <c r="I169" s="242"/>
      <c r="J169" s="242"/>
      <c r="K169" s="242"/>
    </row>
    <row r="170">
      <c r="A170" s="13"/>
      <c r="B170" s="242"/>
      <c r="C170" s="242"/>
      <c r="D170" s="242"/>
      <c r="E170" s="242"/>
      <c r="F170" s="242"/>
      <c r="G170" s="13"/>
      <c r="H170" s="242"/>
      <c r="I170" s="242"/>
      <c r="J170" s="242"/>
      <c r="K170" s="242"/>
    </row>
    <row r="171">
      <c r="A171" s="13"/>
      <c r="B171" s="242"/>
      <c r="C171" s="242"/>
      <c r="D171" s="242"/>
      <c r="E171" s="242"/>
      <c r="F171" s="242"/>
      <c r="G171" s="13"/>
      <c r="H171" s="242"/>
      <c r="I171" s="242"/>
      <c r="J171" s="242"/>
      <c r="K171" s="242"/>
    </row>
    <row r="172">
      <c r="A172" s="13"/>
      <c r="B172" s="242"/>
      <c r="C172" s="242"/>
      <c r="D172" s="242"/>
      <c r="E172" s="242"/>
      <c r="F172" s="242"/>
      <c r="G172" s="13"/>
      <c r="H172" s="242"/>
      <c r="I172" s="242"/>
      <c r="J172" s="242"/>
      <c r="K172" s="242"/>
    </row>
    <row r="173">
      <c r="A173" s="13"/>
      <c r="B173" s="242"/>
      <c r="C173" s="242"/>
      <c r="D173" s="242"/>
      <c r="E173" s="242"/>
      <c r="F173" s="242"/>
      <c r="G173" s="13"/>
      <c r="H173" s="242"/>
      <c r="I173" s="242"/>
      <c r="J173" s="242"/>
      <c r="K173" s="242"/>
    </row>
    <row r="174">
      <c r="A174" s="13"/>
      <c r="B174" s="242"/>
      <c r="C174" s="242"/>
      <c r="D174" s="242"/>
      <c r="E174" s="242"/>
      <c r="F174" s="242"/>
      <c r="G174" s="13"/>
      <c r="H174" s="242"/>
      <c r="I174" s="242"/>
      <c r="J174" s="242"/>
      <c r="K174" s="242"/>
    </row>
    <row r="175">
      <c r="A175" s="13"/>
      <c r="B175" s="242"/>
      <c r="C175" s="242"/>
      <c r="D175" s="242"/>
      <c r="E175" s="242"/>
      <c r="F175" s="242"/>
      <c r="G175" s="13"/>
      <c r="H175" s="242"/>
      <c r="I175" s="242"/>
      <c r="J175" s="242"/>
      <c r="K175" s="242"/>
    </row>
    <row r="176">
      <c r="A176" s="13"/>
      <c r="B176" s="242"/>
      <c r="C176" s="242"/>
      <c r="D176" s="242"/>
      <c r="E176" s="242"/>
      <c r="F176" s="242"/>
      <c r="G176" s="13"/>
      <c r="H176" s="242"/>
      <c r="I176" s="242"/>
      <c r="J176" s="242"/>
      <c r="K176" s="242"/>
    </row>
    <row r="177">
      <c r="A177" s="13"/>
      <c r="B177" s="242"/>
      <c r="C177" s="242"/>
      <c r="D177" s="242"/>
      <c r="E177" s="242"/>
      <c r="F177" s="242"/>
      <c r="G177" s="13"/>
      <c r="H177" s="242"/>
      <c r="I177" s="242"/>
      <c r="J177" s="242"/>
      <c r="K177" s="242"/>
    </row>
    <row r="178">
      <c r="A178" s="13"/>
      <c r="B178" s="242"/>
      <c r="C178" s="242"/>
      <c r="D178" s="242"/>
      <c r="E178" s="242"/>
      <c r="F178" s="242"/>
      <c r="G178" s="13"/>
      <c r="H178" s="242"/>
      <c r="I178" s="242"/>
      <c r="J178" s="242"/>
      <c r="K178" s="242"/>
    </row>
    <row r="179">
      <c r="A179" s="13"/>
      <c r="B179" s="242"/>
      <c r="C179" s="242"/>
      <c r="D179" s="242"/>
      <c r="E179" s="242"/>
      <c r="F179" s="242"/>
      <c r="G179" s="13"/>
      <c r="H179" s="242"/>
      <c r="I179" s="242"/>
      <c r="J179" s="242"/>
      <c r="K179" s="242"/>
    </row>
    <row r="180">
      <c r="A180" s="13"/>
      <c r="B180" s="242"/>
      <c r="C180" s="242"/>
      <c r="D180" s="242"/>
      <c r="E180" s="242"/>
      <c r="F180" s="242"/>
      <c r="G180" s="13"/>
      <c r="H180" s="242"/>
      <c r="I180" s="242"/>
      <c r="J180" s="242"/>
      <c r="K180" s="242"/>
    </row>
    <row r="181">
      <c r="A181" s="13"/>
      <c r="B181" s="242"/>
      <c r="C181" s="242"/>
      <c r="D181" s="242"/>
      <c r="E181" s="242"/>
      <c r="F181" s="242"/>
      <c r="G181" s="13"/>
      <c r="H181" s="242"/>
      <c r="I181" s="242"/>
      <c r="J181" s="242"/>
      <c r="K181" s="242"/>
    </row>
    <row r="182">
      <c r="A182" s="13"/>
      <c r="B182" s="242"/>
      <c r="C182" s="242"/>
      <c r="D182" s="242"/>
      <c r="E182" s="242"/>
      <c r="F182" s="242"/>
      <c r="G182" s="13"/>
      <c r="H182" s="242"/>
      <c r="I182" s="242"/>
      <c r="J182" s="242"/>
      <c r="K182" s="242"/>
    </row>
    <row r="183">
      <c r="A183" s="13"/>
      <c r="B183" s="242"/>
      <c r="C183" s="242"/>
      <c r="D183" s="242"/>
      <c r="E183" s="242"/>
      <c r="F183" s="242"/>
      <c r="G183" s="13"/>
      <c r="H183" s="242"/>
      <c r="I183" s="242"/>
      <c r="J183" s="242"/>
      <c r="K183" s="242"/>
    </row>
    <row r="184">
      <c r="A184" s="13"/>
      <c r="B184" s="242"/>
      <c r="C184" s="242"/>
      <c r="D184" s="242"/>
      <c r="E184" s="242"/>
      <c r="F184" s="242"/>
      <c r="G184" s="13"/>
      <c r="H184" s="242"/>
      <c r="I184" s="242"/>
      <c r="J184" s="242"/>
      <c r="K184" s="242"/>
    </row>
    <row r="185">
      <c r="A185" s="13"/>
      <c r="B185" s="242"/>
      <c r="C185" s="242"/>
      <c r="D185" s="242"/>
      <c r="E185" s="242"/>
      <c r="F185" s="242"/>
      <c r="G185" s="13"/>
      <c r="H185" s="242"/>
      <c r="I185" s="242"/>
      <c r="J185" s="242"/>
      <c r="K185" s="242"/>
    </row>
    <row r="186">
      <c r="A186" s="13"/>
      <c r="B186" s="242"/>
      <c r="C186" s="242"/>
      <c r="D186" s="242"/>
      <c r="E186" s="242"/>
      <c r="F186" s="242"/>
      <c r="G186" s="13"/>
      <c r="H186" s="242"/>
      <c r="I186" s="242"/>
      <c r="J186" s="242"/>
      <c r="K186" s="242"/>
    </row>
    <row r="187">
      <c r="A187" s="13"/>
      <c r="B187" s="242"/>
      <c r="C187" s="242"/>
      <c r="D187" s="242"/>
      <c r="E187" s="242"/>
      <c r="F187" s="242"/>
      <c r="G187" s="13"/>
      <c r="H187" s="242"/>
      <c r="I187" s="242"/>
      <c r="J187" s="242"/>
      <c r="K187" s="242"/>
    </row>
    <row r="188">
      <c r="A188" s="13"/>
      <c r="B188" s="242"/>
      <c r="C188" s="242"/>
      <c r="D188" s="242"/>
      <c r="E188" s="242"/>
      <c r="F188" s="242"/>
      <c r="G188" s="13"/>
      <c r="H188" s="242"/>
      <c r="I188" s="242"/>
      <c r="J188" s="242"/>
      <c r="K188" s="242"/>
    </row>
    <row r="189">
      <c r="A189" s="13"/>
      <c r="B189" s="242"/>
      <c r="C189" s="242"/>
      <c r="D189" s="242"/>
      <c r="E189" s="242"/>
      <c r="F189" s="242"/>
      <c r="G189" s="13"/>
      <c r="H189" s="242"/>
      <c r="I189" s="242"/>
      <c r="J189" s="242"/>
      <c r="K189" s="242"/>
    </row>
    <row r="190">
      <c r="A190" s="13"/>
      <c r="B190" s="242"/>
      <c r="C190" s="242"/>
      <c r="D190" s="242"/>
      <c r="E190" s="242"/>
      <c r="F190" s="242"/>
      <c r="G190" s="13"/>
      <c r="H190" s="242"/>
      <c r="I190" s="242"/>
      <c r="J190" s="242"/>
      <c r="K190" s="242"/>
    </row>
    <row r="191">
      <c r="A191" s="13"/>
      <c r="B191" s="242"/>
      <c r="C191" s="242"/>
      <c r="D191" s="242"/>
      <c r="E191" s="242"/>
      <c r="F191" s="242"/>
      <c r="G191" s="13"/>
      <c r="H191" s="242"/>
      <c r="I191" s="242"/>
      <c r="J191" s="242"/>
      <c r="K191" s="242"/>
    </row>
    <row r="192">
      <c r="A192" s="13"/>
      <c r="B192" s="242"/>
      <c r="C192" s="242"/>
      <c r="D192" s="242"/>
      <c r="E192" s="242"/>
      <c r="F192" s="242"/>
      <c r="G192" s="13"/>
      <c r="H192" s="242"/>
      <c r="I192" s="242"/>
      <c r="J192" s="242"/>
      <c r="K192" s="242"/>
    </row>
    <row r="193">
      <c r="A193" s="13"/>
      <c r="B193" s="242"/>
      <c r="C193" s="242"/>
      <c r="D193" s="242"/>
      <c r="E193" s="242"/>
      <c r="F193" s="242"/>
      <c r="G193" s="13"/>
      <c r="H193" s="242"/>
      <c r="I193" s="242"/>
      <c r="J193" s="242"/>
      <c r="K193" s="242"/>
    </row>
    <row r="194">
      <c r="A194" s="13"/>
      <c r="B194" s="242"/>
      <c r="C194" s="242"/>
      <c r="D194" s="242"/>
      <c r="E194" s="242"/>
      <c r="F194" s="242"/>
      <c r="G194" s="13"/>
      <c r="H194" s="242"/>
      <c r="I194" s="242"/>
      <c r="J194" s="242"/>
      <c r="K194" s="242"/>
    </row>
    <row r="195">
      <c r="A195" s="13"/>
      <c r="B195" s="242"/>
      <c r="C195" s="242"/>
      <c r="D195" s="242"/>
      <c r="E195" s="242"/>
      <c r="F195" s="242"/>
      <c r="G195" s="13"/>
      <c r="H195" s="242"/>
      <c r="I195" s="242"/>
      <c r="J195" s="242"/>
      <c r="K195" s="242"/>
    </row>
    <row r="196">
      <c r="A196" s="13"/>
      <c r="B196" s="242"/>
      <c r="C196" s="242"/>
      <c r="D196" s="242"/>
      <c r="E196" s="242"/>
      <c r="F196" s="242"/>
      <c r="G196" s="13"/>
      <c r="H196" s="242"/>
      <c r="I196" s="242"/>
      <c r="J196" s="242"/>
      <c r="K196" s="242"/>
    </row>
    <row r="197">
      <c r="A197" s="13"/>
      <c r="B197" s="242"/>
      <c r="C197" s="242"/>
      <c r="D197" s="242"/>
      <c r="E197" s="242"/>
      <c r="F197" s="242"/>
      <c r="G197" s="13"/>
      <c r="H197" s="242"/>
      <c r="I197" s="242"/>
      <c r="J197" s="242"/>
      <c r="K197" s="242"/>
    </row>
    <row r="198">
      <c r="A198" s="13"/>
      <c r="B198" s="242"/>
      <c r="C198" s="242"/>
      <c r="D198" s="242"/>
      <c r="E198" s="242"/>
      <c r="F198" s="242"/>
      <c r="G198" s="13"/>
      <c r="H198" s="242"/>
      <c r="I198" s="242"/>
      <c r="J198" s="242"/>
      <c r="K198" s="242"/>
    </row>
    <row r="199">
      <c r="A199" s="13"/>
      <c r="B199" s="242"/>
      <c r="C199" s="242"/>
      <c r="D199" s="242"/>
      <c r="E199" s="242"/>
      <c r="F199" s="242"/>
      <c r="G199" s="13"/>
      <c r="H199" s="242"/>
      <c r="I199" s="242"/>
      <c r="J199" s="242"/>
      <c r="K199" s="242"/>
    </row>
    <row r="200">
      <c r="A200" s="13"/>
      <c r="B200" s="242"/>
      <c r="C200" s="242"/>
      <c r="D200" s="242"/>
      <c r="E200" s="242"/>
      <c r="F200" s="242"/>
      <c r="G200" s="13"/>
      <c r="H200" s="242"/>
      <c r="I200" s="242"/>
      <c r="J200" s="242"/>
      <c r="K200" s="242"/>
    </row>
    <row r="201">
      <c r="A201" s="13"/>
      <c r="B201" s="242"/>
      <c r="C201" s="242"/>
      <c r="D201" s="242"/>
      <c r="E201" s="242"/>
      <c r="F201" s="242"/>
      <c r="G201" s="13"/>
      <c r="H201" s="242"/>
      <c r="I201" s="242"/>
      <c r="J201" s="242"/>
      <c r="K201" s="242"/>
    </row>
    <row r="202">
      <c r="A202" s="13"/>
      <c r="B202" s="242"/>
      <c r="C202" s="242"/>
      <c r="D202" s="242"/>
      <c r="E202" s="242"/>
      <c r="F202" s="242"/>
      <c r="G202" s="13"/>
      <c r="H202" s="242"/>
      <c r="I202" s="242"/>
      <c r="J202" s="242"/>
      <c r="K202" s="242"/>
    </row>
    <row r="203">
      <c r="A203" s="13"/>
      <c r="B203" s="242"/>
      <c r="C203" s="242"/>
      <c r="D203" s="242"/>
      <c r="E203" s="242"/>
      <c r="F203" s="242"/>
      <c r="G203" s="13"/>
      <c r="H203" s="242"/>
      <c r="I203" s="242"/>
      <c r="J203" s="242"/>
      <c r="K203" s="242"/>
    </row>
    <row r="204">
      <c r="A204" s="13"/>
      <c r="B204" s="242"/>
      <c r="C204" s="242"/>
      <c r="D204" s="242"/>
      <c r="E204" s="242"/>
      <c r="F204" s="242"/>
      <c r="G204" s="13"/>
      <c r="H204" s="242"/>
      <c r="I204" s="242"/>
      <c r="J204" s="242"/>
      <c r="K204" s="242"/>
    </row>
    <row r="205">
      <c r="A205" s="13"/>
      <c r="B205" s="242"/>
      <c r="C205" s="242"/>
      <c r="D205" s="242"/>
      <c r="E205" s="242"/>
      <c r="F205" s="242"/>
      <c r="G205" s="13"/>
      <c r="H205" s="242"/>
      <c r="I205" s="242"/>
      <c r="J205" s="242"/>
      <c r="K205" s="242"/>
    </row>
    <row r="206">
      <c r="A206" s="13"/>
      <c r="B206" s="242"/>
      <c r="C206" s="242"/>
      <c r="D206" s="242"/>
      <c r="E206" s="242"/>
      <c r="F206" s="242"/>
      <c r="G206" s="13"/>
      <c r="H206" s="242"/>
      <c r="I206" s="242"/>
      <c r="J206" s="242"/>
      <c r="K206" s="242"/>
    </row>
    <row r="207">
      <c r="A207" s="13"/>
      <c r="B207" s="242"/>
      <c r="C207" s="242"/>
      <c r="D207" s="242"/>
      <c r="E207" s="242"/>
      <c r="F207" s="242"/>
      <c r="G207" s="13"/>
      <c r="H207" s="242"/>
      <c r="I207" s="242"/>
      <c r="J207" s="242"/>
      <c r="K207" s="242"/>
    </row>
    <row r="208">
      <c r="A208" s="13"/>
      <c r="B208" s="242"/>
      <c r="C208" s="242"/>
      <c r="D208" s="242"/>
      <c r="E208" s="242"/>
      <c r="F208" s="242"/>
      <c r="G208" s="13"/>
      <c r="H208" s="242"/>
      <c r="I208" s="242"/>
      <c r="J208" s="242"/>
      <c r="K208" s="242"/>
    </row>
    <row r="209">
      <c r="A209" s="13"/>
      <c r="B209" s="242"/>
      <c r="C209" s="242"/>
      <c r="D209" s="242"/>
      <c r="E209" s="242"/>
      <c r="F209" s="242"/>
      <c r="G209" s="13"/>
      <c r="H209" s="242"/>
      <c r="I209" s="242"/>
      <c r="J209" s="242"/>
      <c r="K209" s="242"/>
    </row>
    <row r="210">
      <c r="A210" s="13"/>
      <c r="B210" s="242"/>
      <c r="C210" s="242"/>
      <c r="D210" s="242"/>
      <c r="E210" s="242"/>
      <c r="F210" s="242"/>
      <c r="G210" s="13"/>
      <c r="H210" s="242"/>
      <c r="I210" s="242"/>
      <c r="J210" s="242"/>
      <c r="K210" s="242"/>
    </row>
    <row r="211">
      <c r="A211" s="13"/>
      <c r="B211" s="242"/>
      <c r="C211" s="242"/>
      <c r="D211" s="242"/>
      <c r="E211" s="242"/>
      <c r="F211" s="242"/>
      <c r="G211" s="13"/>
      <c r="H211" s="242"/>
      <c r="I211" s="242"/>
      <c r="J211" s="242"/>
      <c r="K211" s="242"/>
    </row>
    <row r="212">
      <c r="A212" s="13"/>
      <c r="B212" s="242"/>
      <c r="C212" s="242"/>
      <c r="D212" s="242"/>
      <c r="E212" s="242"/>
      <c r="F212" s="242"/>
      <c r="G212" s="13"/>
      <c r="H212" s="242"/>
      <c r="I212" s="242"/>
      <c r="J212" s="242"/>
      <c r="K212" s="242"/>
    </row>
    <row r="213">
      <c r="A213" s="13"/>
      <c r="B213" s="242"/>
      <c r="C213" s="242"/>
      <c r="D213" s="242"/>
      <c r="E213" s="242"/>
      <c r="F213" s="242"/>
      <c r="G213" s="13"/>
      <c r="H213" s="242"/>
      <c r="I213" s="242"/>
      <c r="J213" s="242"/>
      <c r="K213" s="242"/>
    </row>
    <row r="214">
      <c r="A214" s="13"/>
      <c r="B214" s="242"/>
      <c r="C214" s="242"/>
      <c r="D214" s="242"/>
      <c r="E214" s="242"/>
      <c r="F214" s="242"/>
      <c r="G214" s="13"/>
      <c r="H214" s="242"/>
      <c r="I214" s="242"/>
      <c r="J214" s="242"/>
      <c r="K214" s="242"/>
    </row>
    <row r="215">
      <c r="A215" s="13"/>
      <c r="B215" s="242"/>
      <c r="C215" s="242"/>
      <c r="D215" s="242"/>
      <c r="E215" s="242"/>
      <c r="F215" s="242"/>
      <c r="G215" s="13"/>
      <c r="H215" s="242"/>
      <c r="I215" s="242"/>
      <c r="J215" s="242"/>
      <c r="K215" s="242"/>
    </row>
    <row r="216">
      <c r="A216" s="13"/>
      <c r="B216" s="242"/>
      <c r="C216" s="242"/>
      <c r="D216" s="242"/>
      <c r="E216" s="242"/>
      <c r="F216" s="242"/>
      <c r="G216" s="13"/>
      <c r="H216" s="242"/>
      <c r="I216" s="242"/>
      <c r="J216" s="242"/>
      <c r="K216" s="242"/>
    </row>
    <row r="217">
      <c r="A217" s="13"/>
      <c r="B217" s="242"/>
      <c r="C217" s="242"/>
      <c r="D217" s="242"/>
      <c r="E217" s="242"/>
      <c r="F217" s="242"/>
      <c r="G217" s="13"/>
      <c r="H217" s="242"/>
      <c r="I217" s="242"/>
      <c r="J217" s="242"/>
      <c r="K217" s="242"/>
    </row>
    <row r="218">
      <c r="A218" s="13"/>
      <c r="B218" s="242"/>
      <c r="C218" s="242"/>
      <c r="D218" s="242"/>
      <c r="E218" s="242"/>
      <c r="F218" s="242"/>
      <c r="G218" s="13"/>
      <c r="H218" s="242"/>
      <c r="I218" s="242"/>
      <c r="J218" s="242"/>
      <c r="K218" s="242"/>
    </row>
    <row r="219">
      <c r="A219" s="13"/>
      <c r="B219" s="242"/>
      <c r="C219" s="242"/>
      <c r="D219" s="242"/>
      <c r="E219" s="242"/>
      <c r="F219" s="242"/>
      <c r="G219" s="13"/>
      <c r="H219" s="242"/>
      <c r="I219" s="242"/>
      <c r="J219" s="242"/>
      <c r="K219" s="242"/>
    </row>
    <row r="220">
      <c r="A220" s="13"/>
      <c r="B220" s="242"/>
      <c r="C220" s="242"/>
      <c r="D220" s="242"/>
      <c r="E220" s="242"/>
      <c r="F220" s="242"/>
      <c r="G220" s="13"/>
      <c r="H220" s="242"/>
      <c r="I220" s="242"/>
      <c r="J220" s="242"/>
      <c r="K220" s="242"/>
    </row>
    <row r="221">
      <c r="A221" s="13"/>
      <c r="B221" s="242"/>
      <c r="C221" s="242"/>
      <c r="D221" s="242"/>
      <c r="E221" s="242"/>
      <c r="F221" s="242"/>
      <c r="G221" s="13"/>
      <c r="H221" s="242"/>
      <c r="I221" s="242"/>
      <c r="J221" s="242"/>
      <c r="K221" s="242"/>
    </row>
    <row r="222">
      <c r="A222" s="13"/>
      <c r="B222" s="242"/>
      <c r="C222" s="242"/>
      <c r="D222" s="242"/>
      <c r="E222" s="242"/>
      <c r="F222" s="242"/>
      <c r="G222" s="13"/>
      <c r="H222" s="242"/>
      <c r="I222" s="242"/>
      <c r="J222" s="242"/>
      <c r="K222" s="242"/>
    </row>
    <row r="223">
      <c r="A223" s="13"/>
      <c r="B223" s="242"/>
      <c r="C223" s="242"/>
      <c r="D223" s="242"/>
      <c r="E223" s="242"/>
      <c r="F223" s="242"/>
      <c r="G223" s="13"/>
      <c r="H223" s="242"/>
      <c r="I223" s="242"/>
      <c r="J223" s="242"/>
      <c r="K223" s="242"/>
    </row>
    <row r="224">
      <c r="A224" s="13"/>
      <c r="B224" s="242"/>
      <c r="C224" s="242"/>
      <c r="D224" s="242"/>
      <c r="E224" s="242"/>
      <c r="F224" s="242"/>
      <c r="G224" s="13"/>
      <c r="H224" s="242"/>
      <c r="I224" s="242"/>
      <c r="J224" s="242"/>
      <c r="K224" s="242"/>
    </row>
    <row r="225">
      <c r="A225" s="13"/>
      <c r="B225" s="242"/>
      <c r="C225" s="242"/>
      <c r="D225" s="242"/>
      <c r="E225" s="242"/>
      <c r="F225" s="242"/>
      <c r="G225" s="13"/>
      <c r="H225" s="242"/>
      <c r="I225" s="242"/>
      <c r="J225" s="242"/>
      <c r="K225" s="242"/>
    </row>
    <row r="226">
      <c r="A226" s="13"/>
      <c r="B226" s="242"/>
      <c r="C226" s="242"/>
      <c r="D226" s="242"/>
      <c r="E226" s="242"/>
      <c r="F226" s="242"/>
      <c r="G226" s="13"/>
      <c r="H226" s="242"/>
      <c r="I226" s="242"/>
      <c r="J226" s="242"/>
      <c r="K226" s="242"/>
    </row>
    <row r="227">
      <c r="A227" s="13"/>
      <c r="B227" s="242"/>
      <c r="C227" s="242"/>
      <c r="D227" s="242"/>
      <c r="E227" s="242"/>
      <c r="F227" s="242"/>
      <c r="G227" s="13"/>
      <c r="H227" s="242"/>
      <c r="I227" s="242"/>
      <c r="J227" s="242"/>
      <c r="K227" s="242"/>
    </row>
    <row r="228">
      <c r="A228" s="13"/>
      <c r="B228" s="242"/>
      <c r="C228" s="242"/>
      <c r="D228" s="242"/>
      <c r="E228" s="242"/>
      <c r="F228" s="242"/>
      <c r="G228" s="13"/>
      <c r="H228" s="242"/>
      <c r="I228" s="242"/>
      <c r="J228" s="242"/>
      <c r="K228" s="242"/>
    </row>
    <row r="229">
      <c r="A229" s="13"/>
      <c r="B229" s="242"/>
      <c r="C229" s="242"/>
      <c r="D229" s="242"/>
      <c r="E229" s="242"/>
      <c r="F229" s="242"/>
      <c r="G229" s="13"/>
      <c r="H229" s="242"/>
      <c r="I229" s="242"/>
      <c r="J229" s="242"/>
      <c r="K229" s="242"/>
    </row>
    <row r="230">
      <c r="A230" s="13"/>
      <c r="B230" s="242"/>
      <c r="C230" s="242"/>
      <c r="D230" s="242"/>
      <c r="E230" s="242"/>
      <c r="F230" s="242"/>
      <c r="G230" s="13"/>
      <c r="H230" s="242"/>
      <c r="I230" s="242"/>
      <c r="J230" s="242"/>
      <c r="K230" s="242"/>
    </row>
    <row r="231">
      <c r="A231" s="13"/>
      <c r="B231" s="242"/>
      <c r="C231" s="242"/>
      <c r="D231" s="242"/>
      <c r="E231" s="242"/>
      <c r="F231" s="242"/>
      <c r="G231" s="13"/>
      <c r="H231" s="242"/>
      <c r="I231" s="242"/>
      <c r="J231" s="242"/>
      <c r="K231" s="242"/>
    </row>
    <row r="232">
      <c r="A232" s="13"/>
      <c r="B232" s="242"/>
      <c r="C232" s="242"/>
      <c r="D232" s="242"/>
      <c r="E232" s="242"/>
      <c r="F232" s="242"/>
      <c r="G232" s="13"/>
      <c r="H232" s="242"/>
      <c r="I232" s="242"/>
      <c r="J232" s="242"/>
      <c r="K232" s="242"/>
    </row>
    <row r="233">
      <c r="A233" s="13"/>
      <c r="B233" s="242"/>
      <c r="C233" s="242"/>
      <c r="D233" s="242"/>
      <c r="E233" s="242"/>
      <c r="F233" s="242"/>
      <c r="G233" s="13"/>
      <c r="H233" s="242"/>
      <c r="I233" s="242"/>
      <c r="J233" s="242"/>
      <c r="K233" s="242"/>
    </row>
    <row r="234">
      <c r="A234" s="13"/>
      <c r="B234" s="242"/>
      <c r="C234" s="242"/>
      <c r="D234" s="242"/>
      <c r="E234" s="242"/>
      <c r="F234" s="242"/>
      <c r="G234" s="13"/>
      <c r="H234" s="242"/>
      <c r="I234" s="242"/>
      <c r="J234" s="242"/>
      <c r="K234" s="242"/>
    </row>
    <row r="235">
      <c r="A235" s="13"/>
      <c r="B235" s="242"/>
      <c r="C235" s="242"/>
      <c r="D235" s="242"/>
      <c r="E235" s="242"/>
      <c r="F235" s="242"/>
      <c r="G235" s="13"/>
      <c r="H235" s="242"/>
      <c r="I235" s="242"/>
      <c r="J235" s="242"/>
      <c r="K235" s="242"/>
    </row>
    <row r="236">
      <c r="A236" s="13"/>
      <c r="B236" s="242"/>
      <c r="C236" s="242"/>
      <c r="D236" s="242"/>
      <c r="E236" s="242"/>
      <c r="F236" s="242"/>
      <c r="G236" s="13"/>
      <c r="H236" s="242"/>
      <c r="I236" s="242"/>
      <c r="J236" s="242"/>
      <c r="K236" s="242"/>
    </row>
    <row r="237">
      <c r="A237" s="13"/>
      <c r="B237" s="242"/>
      <c r="C237" s="242"/>
      <c r="D237" s="242"/>
      <c r="E237" s="242"/>
      <c r="F237" s="242"/>
      <c r="G237" s="13"/>
      <c r="H237" s="242"/>
      <c r="I237" s="242"/>
      <c r="J237" s="242"/>
      <c r="K237" s="242"/>
    </row>
    <row r="238">
      <c r="A238" s="13"/>
      <c r="B238" s="242"/>
      <c r="C238" s="242"/>
      <c r="D238" s="242"/>
      <c r="E238" s="242"/>
      <c r="F238" s="242"/>
      <c r="G238" s="13"/>
      <c r="H238" s="242"/>
      <c r="I238" s="242"/>
      <c r="J238" s="242"/>
      <c r="K238" s="242"/>
    </row>
    <row r="239">
      <c r="A239" s="13"/>
      <c r="B239" s="242"/>
      <c r="C239" s="242"/>
      <c r="D239" s="242"/>
      <c r="E239" s="242"/>
      <c r="F239" s="242"/>
      <c r="G239" s="13"/>
      <c r="H239" s="242"/>
      <c r="I239" s="242"/>
      <c r="J239" s="242"/>
      <c r="K239" s="242"/>
    </row>
    <row r="240">
      <c r="A240" s="13"/>
      <c r="B240" s="242"/>
      <c r="C240" s="242"/>
      <c r="D240" s="242"/>
      <c r="E240" s="242"/>
      <c r="F240" s="242"/>
      <c r="G240" s="13"/>
      <c r="H240" s="242"/>
      <c r="I240" s="242"/>
      <c r="J240" s="242"/>
      <c r="K240" s="242"/>
    </row>
    <row r="241">
      <c r="A241" s="13"/>
      <c r="B241" s="242"/>
      <c r="C241" s="242"/>
      <c r="D241" s="242"/>
      <c r="E241" s="242"/>
      <c r="F241" s="242"/>
      <c r="G241" s="13"/>
      <c r="H241" s="242"/>
      <c r="I241" s="242"/>
      <c r="J241" s="242"/>
      <c r="K241" s="242"/>
    </row>
    <row r="242">
      <c r="A242" s="13"/>
      <c r="B242" s="242"/>
      <c r="C242" s="242"/>
      <c r="D242" s="242"/>
      <c r="E242" s="242"/>
      <c r="F242" s="242"/>
      <c r="G242" s="13"/>
      <c r="H242" s="242"/>
      <c r="I242" s="242"/>
      <c r="J242" s="242"/>
      <c r="K242" s="242"/>
    </row>
    <row r="243">
      <c r="A243" s="13"/>
      <c r="B243" s="242"/>
      <c r="C243" s="242"/>
      <c r="D243" s="242"/>
      <c r="E243" s="242"/>
      <c r="F243" s="242"/>
      <c r="G243" s="13"/>
      <c r="H243" s="242"/>
      <c r="I243" s="242"/>
      <c r="J243" s="242"/>
      <c r="K243" s="242"/>
    </row>
    <row r="244">
      <c r="A244" s="13"/>
      <c r="B244" s="242"/>
      <c r="C244" s="242"/>
      <c r="D244" s="242"/>
      <c r="E244" s="242"/>
      <c r="F244" s="242"/>
      <c r="G244" s="13"/>
      <c r="H244" s="242"/>
      <c r="I244" s="242"/>
      <c r="J244" s="242"/>
      <c r="K244" s="242"/>
    </row>
    <row r="245">
      <c r="A245" s="13"/>
      <c r="B245" s="242"/>
      <c r="C245" s="242"/>
      <c r="D245" s="242"/>
      <c r="E245" s="242"/>
      <c r="F245" s="242"/>
      <c r="G245" s="13"/>
      <c r="H245" s="242"/>
      <c r="I245" s="242"/>
      <c r="J245" s="242"/>
      <c r="K245" s="242"/>
    </row>
    <row r="246">
      <c r="A246" s="13"/>
      <c r="B246" s="242"/>
      <c r="C246" s="242"/>
      <c r="D246" s="242"/>
      <c r="E246" s="242"/>
      <c r="F246" s="242"/>
      <c r="G246" s="13"/>
      <c r="H246" s="242"/>
      <c r="I246" s="242"/>
      <c r="J246" s="242"/>
      <c r="K246" s="242"/>
    </row>
    <row r="247">
      <c r="A247" s="13"/>
      <c r="B247" s="242"/>
      <c r="C247" s="242"/>
      <c r="D247" s="242"/>
      <c r="E247" s="242"/>
      <c r="F247" s="242"/>
      <c r="G247" s="13"/>
      <c r="H247" s="242"/>
      <c r="I247" s="242"/>
      <c r="J247" s="242"/>
      <c r="K247" s="242"/>
    </row>
    <row r="248">
      <c r="A248" s="13"/>
      <c r="B248" s="242"/>
      <c r="C248" s="242"/>
      <c r="D248" s="242"/>
      <c r="E248" s="242"/>
      <c r="F248" s="242"/>
      <c r="G248" s="13"/>
      <c r="H248" s="242"/>
      <c r="I248" s="242"/>
      <c r="J248" s="242"/>
      <c r="K248" s="242"/>
    </row>
    <row r="249">
      <c r="A249" s="13"/>
      <c r="B249" s="242"/>
      <c r="C249" s="242"/>
      <c r="D249" s="242"/>
      <c r="E249" s="242"/>
      <c r="F249" s="242"/>
      <c r="G249" s="13"/>
      <c r="H249" s="242"/>
      <c r="I249" s="242"/>
      <c r="J249" s="242"/>
      <c r="K249" s="242"/>
    </row>
    <row r="250">
      <c r="A250" s="13"/>
      <c r="B250" s="242"/>
      <c r="C250" s="242"/>
      <c r="D250" s="242"/>
      <c r="E250" s="242"/>
      <c r="F250" s="242"/>
      <c r="G250" s="13"/>
      <c r="H250" s="242"/>
      <c r="I250" s="242"/>
      <c r="J250" s="242"/>
      <c r="K250" s="242"/>
    </row>
    <row r="251">
      <c r="A251" s="13"/>
      <c r="B251" s="242"/>
      <c r="C251" s="242"/>
      <c r="D251" s="242"/>
      <c r="E251" s="242"/>
      <c r="F251" s="242"/>
      <c r="G251" s="13"/>
      <c r="H251" s="242"/>
      <c r="I251" s="242"/>
      <c r="J251" s="242"/>
      <c r="K251" s="242"/>
    </row>
    <row r="252">
      <c r="A252" s="13"/>
      <c r="B252" s="242"/>
      <c r="C252" s="242"/>
      <c r="D252" s="242"/>
      <c r="E252" s="242"/>
      <c r="F252" s="242"/>
      <c r="G252" s="13"/>
      <c r="H252" s="242"/>
      <c r="I252" s="242"/>
      <c r="J252" s="242"/>
      <c r="K252" s="242"/>
    </row>
    <row r="253">
      <c r="A253" s="13"/>
      <c r="B253" s="242"/>
      <c r="C253" s="242"/>
      <c r="D253" s="242"/>
      <c r="E253" s="242"/>
      <c r="F253" s="242"/>
      <c r="G253" s="13"/>
      <c r="H253" s="242"/>
      <c r="I253" s="242"/>
      <c r="J253" s="242"/>
      <c r="K253" s="242"/>
    </row>
    <row r="254">
      <c r="A254" s="13"/>
      <c r="B254" s="242"/>
      <c r="C254" s="242"/>
      <c r="D254" s="242"/>
      <c r="E254" s="242"/>
      <c r="F254" s="242"/>
      <c r="G254" s="13"/>
      <c r="H254" s="242"/>
      <c r="I254" s="242"/>
      <c r="J254" s="242"/>
      <c r="K254" s="242"/>
    </row>
    <row r="255">
      <c r="A255" s="13"/>
      <c r="B255" s="242"/>
      <c r="C255" s="242"/>
      <c r="D255" s="242"/>
      <c r="E255" s="242"/>
      <c r="F255" s="242"/>
      <c r="G255" s="13"/>
      <c r="H255" s="242"/>
      <c r="I255" s="242"/>
      <c r="J255" s="242"/>
      <c r="K255" s="242"/>
    </row>
    <row r="256">
      <c r="A256" s="13"/>
      <c r="B256" s="242"/>
      <c r="C256" s="242"/>
      <c r="D256" s="242"/>
      <c r="E256" s="242"/>
      <c r="F256" s="242"/>
      <c r="G256" s="13"/>
      <c r="H256" s="242"/>
      <c r="I256" s="242"/>
      <c r="J256" s="242"/>
      <c r="K256" s="242"/>
    </row>
    <row r="257">
      <c r="A257" s="13"/>
      <c r="B257" s="242"/>
      <c r="C257" s="242"/>
      <c r="D257" s="242"/>
      <c r="E257" s="242"/>
      <c r="F257" s="242"/>
      <c r="G257" s="13"/>
      <c r="H257" s="242"/>
      <c r="I257" s="242"/>
      <c r="J257" s="242"/>
      <c r="K257" s="242"/>
    </row>
    <row r="258">
      <c r="A258" s="13"/>
      <c r="B258" s="242"/>
      <c r="C258" s="242"/>
      <c r="D258" s="242"/>
      <c r="E258" s="242"/>
      <c r="F258" s="242"/>
      <c r="G258" s="13"/>
      <c r="H258" s="242"/>
      <c r="I258" s="242"/>
      <c r="J258" s="242"/>
      <c r="K258" s="242"/>
    </row>
    <row r="259">
      <c r="A259" s="13"/>
      <c r="B259" s="242"/>
      <c r="C259" s="242"/>
      <c r="D259" s="242"/>
      <c r="E259" s="242"/>
      <c r="F259" s="242"/>
      <c r="G259" s="13"/>
      <c r="H259" s="242"/>
      <c r="I259" s="242"/>
      <c r="J259" s="242"/>
      <c r="K259" s="242"/>
    </row>
    <row r="260">
      <c r="A260" s="13"/>
      <c r="B260" s="242"/>
      <c r="C260" s="242"/>
      <c r="D260" s="242"/>
      <c r="E260" s="242"/>
      <c r="F260" s="242"/>
      <c r="G260" s="13"/>
      <c r="H260" s="242"/>
      <c r="I260" s="242"/>
      <c r="J260" s="242"/>
      <c r="K260" s="242"/>
    </row>
    <row r="261">
      <c r="A261" s="13"/>
      <c r="B261" s="242"/>
      <c r="C261" s="242"/>
      <c r="D261" s="242"/>
      <c r="E261" s="242"/>
      <c r="F261" s="242"/>
      <c r="G261" s="13"/>
      <c r="H261" s="242"/>
      <c r="I261" s="242"/>
      <c r="J261" s="242"/>
      <c r="K261" s="242"/>
    </row>
    <row r="262">
      <c r="A262" s="13"/>
      <c r="B262" s="242"/>
      <c r="C262" s="242"/>
      <c r="D262" s="242"/>
      <c r="E262" s="242"/>
      <c r="F262" s="242"/>
      <c r="G262" s="13"/>
      <c r="H262" s="242"/>
      <c r="I262" s="242"/>
      <c r="J262" s="242"/>
      <c r="K262" s="242"/>
    </row>
    <row r="263">
      <c r="A263" s="13"/>
      <c r="B263" s="242"/>
      <c r="C263" s="242"/>
      <c r="D263" s="242"/>
      <c r="E263" s="242"/>
      <c r="F263" s="242"/>
      <c r="G263" s="13"/>
      <c r="H263" s="242"/>
      <c r="I263" s="242"/>
      <c r="J263" s="242"/>
      <c r="K263" s="242"/>
    </row>
    <row r="264">
      <c r="A264" s="13"/>
      <c r="B264" s="242"/>
      <c r="C264" s="242"/>
      <c r="D264" s="242"/>
      <c r="E264" s="242"/>
      <c r="F264" s="242"/>
      <c r="G264" s="13"/>
      <c r="H264" s="242"/>
      <c r="I264" s="242"/>
      <c r="J264" s="242"/>
      <c r="K264" s="242"/>
    </row>
    <row r="265">
      <c r="A265" s="13"/>
      <c r="B265" s="242"/>
      <c r="C265" s="242"/>
      <c r="D265" s="242"/>
      <c r="E265" s="242"/>
      <c r="F265" s="242"/>
      <c r="G265" s="13"/>
      <c r="H265" s="242"/>
      <c r="I265" s="242"/>
      <c r="J265" s="242"/>
      <c r="K265" s="242"/>
    </row>
    <row r="266">
      <c r="A266" s="13"/>
      <c r="B266" s="242"/>
      <c r="C266" s="242"/>
      <c r="D266" s="242"/>
      <c r="E266" s="242"/>
      <c r="F266" s="242"/>
      <c r="G266" s="13"/>
      <c r="H266" s="242"/>
      <c r="I266" s="242"/>
      <c r="J266" s="242"/>
      <c r="K266" s="242"/>
    </row>
    <row r="267">
      <c r="A267" s="13"/>
      <c r="B267" s="242"/>
      <c r="C267" s="242"/>
      <c r="D267" s="242"/>
      <c r="E267" s="242"/>
      <c r="F267" s="242"/>
      <c r="G267" s="13"/>
      <c r="H267" s="242"/>
      <c r="I267" s="242"/>
      <c r="J267" s="242"/>
      <c r="K267" s="242"/>
    </row>
    <row r="268">
      <c r="A268" s="13"/>
      <c r="B268" s="242"/>
      <c r="C268" s="242"/>
      <c r="D268" s="242"/>
      <c r="E268" s="242"/>
      <c r="F268" s="242"/>
      <c r="G268" s="13"/>
      <c r="H268" s="242"/>
      <c r="I268" s="242"/>
      <c r="J268" s="242"/>
      <c r="K268" s="242"/>
    </row>
    <row r="269">
      <c r="A269" s="13"/>
      <c r="B269" s="242"/>
      <c r="C269" s="242"/>
      <c r="D269" s="242"/>
      <c r="E269" s="242"/>
      <c r="F269" s="242"/>
      <c r="G269" s="13"/>
      <c r="H269" s="242"/>
      <c r="I269" s="242"/>
      <c r="J269" s="242"/>
      <c r="K269" s="242"/>
    </row>
    <row r="270">
      <c r="A270" s="13"/>
      <c r="B270" s="242"/>
      <c r="C270" s="242"/>
      <c r="D270" s="242"/>
      <c r="E270" s="242"/>
      <c r="F270" s="242"/>
      <c r="G270" s="13"/>
      <c r="H270" s="242"/>
      <c r="I270" s="242"/>
      <c r="J270" s="242"/>
      <c r="K270" s="242"/>
    </row>
    <row r="271">
      <c r="A271" s="13"/>
      <c r="B271" s="242"/>
      <c r="C271" s="242"/>
      <c r="D271" s="242"/>
      <c r="E271" s="242"/>
      <c r="F271" s="242"/>
      <c r="G271" s="13"/>
      <c r="H271" s="242"/>
      <c r="I271" s="242"/>
      <c r="J271" s="242"/>
      <c r="K271" s="242"/>
    </row>
    <row r="272">
      <c r="A272" s="13"/>
      <c r="B272" s="242"/>
      <c r="C272" s="242"/>
      <c r="D272" s="242"/>
      <c r="E272" s="242"/>
      <c r="F272" s="242"/>
      <c r="G272" s="13"/>
      <c r="H272" s="242"/>
      <c r="I272" s="242"/>
      <c r="J272" s="242"/>
      <c r="K272" s="242"/>
    </row>
    <row r="273">
      <c r="A273" s="13"/>
      <c r="B273" s="242"/>
      <c r="C273" s="242"/>
      <c r="D273" s="242"/>
      <c r="E273" s="242"/>
      <c r="F273" s="242"/>
      <c r="G273" s="13"/>
      <c r="H273" s="242"/>
      <c r="I273" s="242"/>
      <c r="J273" s="242"/>
      <c r="K273" s="242"/>
    </row>
    <row r="274">
      <c r="A274" s="13"/>
      <c r="B274" s="242"/>
      <c r="C274" s="242"/>
      <c r="D274" s="242"/>
      <c r="E274" s="242"/>
      <c r="F274" s="242"/>
      <c r="G274" s="13"/>
      <c r="H274" s="242"/>
      <c r="I274" s="242"/>
      <c r="J274" s="242"/>
      <c r="K274" s="242"/>
    </row>
    <row r="275">
      <c r="A275" s="13"/>
      <c r="B275" s="242"/>
      <c r="C275" s="242"/>
      <c r="D275" s="242"/>
      <c r="E275" s="242"/>
      <c r="F275" s="242"/>
      <c r="G275" s="13"/>
      <c r="H275" s="242"/>
      <c r="I275" s="242"/>
      <c r="J275" s="242"/>
      <c r="K275" s="242"/>
    </row>
    <row r="276">
      <c r="A276" s="13"/>
      <c r="B276" s="242"/>
      <c r="C276" s="242"/>
      <c r="D276" s="242"/>
      <c r="E276" s="242"/>
      <c r="F276" s="242"/>
      <c r="G276" s="13"/>
      <c r="H276" s="242"/>
      <c r="I276" s="242"/>
      <c r="J276" s="242"/>
      <c r="K276" s="242"/>
    </row>
    <row r="277">
      <c r="A277" s="13"/>
      <c r="B277" s="242"/>
      <c r="C277" s="242"/>
      <c r="D277" s="242"/>
      <c r="E277" s="242"/>
      <c r="F277" s="242"/>
      <c r="G277" s="13"/>
      <c r="H277" s="242"/>
      <c r="I277" s="242"/>
      <c r="J277" s="242"/>
      <c r="K277" s="242"/>
    </row>
    <row r="278">
      <c r="A278" s="13"/>
      <c r="B278" s="242"/>
      <c r="C278" s="242"/>
      <c r="D278" s="242"/>
      <c r="E278" s="242"/>
      <c r="F278" s="242"/>
      <c r="G278" s="13"/>
      <c r="H278" s="242"/>
      <c r="I278" s="242"/>
      <c r="J278" s="242"/>
      <c r="K278" s="242"/>
    </row>
    <row r="279">
      <c r="A279" s="13"/>
      <c r="B279" s="242"/>
      <c r="C279" s="242"/>
      <c r="D279" s="242"/>
      <c r="E279" s="242"/>
      <c r="F279" s="242"/>
      <c r="G279" s="13"/>
      <c r="H279" s="242"/>
      <c r="I279" s="242"/>
      <c r="J279" s="242"/>
      <c r="K279" s="242"/>
    </row>
    <row r="280">
      <c r="A280" s="13"/>
      <c r="B280" s="242"/>
      <c r="C280" s="242"/>
      <c r="D280" s="242"/>
      <c r="E280" s="242"/>
      <c r="F280" s="242"/>
      <c r="G280" s="13"/>
      <c r="H280" s="242"/>
      <c r="I280" s="242"/>
      <c r="J280" s="242"/>
      <c r="K280" s="242"/>
    </row>
    <row r="281">
      <c r="A281" s="13"/>
      <c r="B281" s="242"/>
      <c r="C281" s="242"/>
      <c r="D281" s="242"/>
      <c r="E281" s="242"/>
      <c r="F281" s="242"/>
      <c r="G281" s="13"/>
      <c r="H281" s="242"/>
      <c r="I281" s="242"/>
      <c r="J281" s="242"/>
      <c r="K281" s="242"/>
    </row>
    <row r="282">
      <c r="A282" s="13"/>
      <c r="B282" s="242"/>
      <c r="C282" s="242"/>
      <c r="D282" s="242"/>
      <c r="E282" s="242"/>
      <c r="F282" s="242"/>
      <c r="G282" s="13"/>
      <c r="H282" s="242"/>
      <c r="I282" s="242"/>
      <c r="J282" s="242"/>
      <c r="K282" s="242"/>
    </row>
    <row r="283">
      <c r="A283" s="13"/>
      <c r="B283" s="242"/>
      <c r="C283" s="242"/>
      <c r="D283" s="242"/>
      <c r="E283" s="242"/>
      <c r="F283" s="242"/>
      <c r="G283" s="13"/>
      <c r="H283" s="242"/>
      <c r="I283" s="242"/>
      <c r="J283" s="242"/>
      <c r="K283" s="242"/>
    </row>
    <row r="284">
      <c r="A284" s="13"/>
      <c r="B284" s="242"/>
      <c r="C284" s="242"/>
      <c r="D284" s="242"/>
      <c r="E284" s="242"/>
      <c r="F284" s="242"/>
      <c r="G284" s="13"/>
      <c r="H284" s="242"/>
      <c r="I284" s="242"/>
      <c r="J284" s="242"/>
      <c r="K284" s="242"/>
    </row>
    <row r="285">
      <c r="A285" s="13"/>
      <c r="B285" s="242"/>
      <c r="C285" s="242"/>
      <c r="D285" s="242"/>
      <c r="E285" s="242"/>
      <c r="F285" s="242"/>
      <c r="G285" s="13"/>
      <c r="H285" s="242"/>
      <c r="I285" s="242"/>
      <c r="J285" s="242"/>
      <c r="K285" s="242"/>
    </row>
    <row r="286">
      <c r="A286" s="13"/>
      <c r="B286" s="242"/>
      <c r="C286" s="242"/>
      <c r="D286" s="242"/>
      <c r="E286" s="242"/>
      <c r="F286" s="242"/>
      <c r="G286" s="13"/>
      <c r="H286" s="242"/>
      <c r="I286" s="242"/>
      <c r="J286" s="242"/>
      <c r="K286" s="242"/>
    </row>
    <row r="287">
      <c r="A287" s="13"/>
      <c r="B287" s="242"/>
      <c r="C287" s="242"/>
      <c r="D287" s="242"/>
      <c r="E287" s="242"/>
      <c r="F287" s="242"/>
      <c r="G287" s="13"/>
      <c r="H287" s="242"/>
      <c r="I287" s="242"/>
      <c r="J287" s="242"/>
      <c r="K287" s="242"/>
    </row>
    <row r="288">
      <c r="A288" s="13"/>
      <c r="B288" s="242"/>
      <c r="C288" s="242"/>
      <c r="D288" s="242"/>
      <c r="E288" s="242"/>
      <c r="F288" s="242"/>
      <c r="G288" s="13"/>
      <c r="H288" s="242"/>
      <c r="I288" s="242"/>
      <c r="J288" s="242"/>
      <c r="K288" s="242"/>
    </row>
    <row r="289">
      <c r="A289" s="13"/>
      <c r="B289" s="242"/>
      <c r="C289" s="242"/>
      <c r="D289" s="242"/>
      <c r="E289" s="242"/>
      <c r="F289" s="242"/>
      <c r="G289" s="13"/>
      <c r="H289" s="242"/>
      <c r="I289" s="242"/>
      <c r="J289" s="242"/>
      <c r="K289" s="242"/>
    </row>
    <row r="290">
      <c r="A290" s="13"/>
      <c r="B290" s="242"/>
      <c r="C290" s="242"/>
      <c r="D290" s="242"/>
      <c r="E290" s="242"/>
      <c r="F290" s="242"/>
      <c r="G290" s="13"/>
      <c r="H290" s="242"/>
      <c r="I290" s="242"/>
      <c r="J290" s="242"/>
      <c r="K290" s="242"/>
    </row>
    <row r="291">
      <c r="A291" s="13"/>
      <c r="B291" s="242"/>
      <c r="C291" s="242"/>
      <c r="D291" s="242"/>
      <c r="E291" s="242"/>
      <c r="F291" s="242"/>
      <c r="G291" s="13"/>
      <c r="H291" s="242"/>
      <c r="I291" s="242"/>
      <c r="J291" s="242"/>
      <c r="K291" s="242"/>
    </row>
    <row r="292">
      <c r="A292" s="13"/>
      <c r="B292" s="242"/>
      <c r="C292" s="242"/>
      <c r="D292" s="242"/>
      <c r="E292" s="242"/>
      <c r="F292" s="242"/>
      <c r="G292" s="13"/>
      <c r="H292" s="242"/>
      <c r="I292" s="242"/>
      <c r="J292" s="242"/>
      <c r="K292" s="242"/>
    </row>
    <row r="293">
      <c r="A293" s="13"/>
      <c r="B293" s="242"/>
      <c r="C293" s="242"/>
      <c r="D293" s="242"/>
      <c r="E293" s="242"/>
      <c r="F293" s="242"/>
      <c r="G293" s="13"/>
      <c r="H293" s="242"/>
      <c r="I293" s="242"/>
      <c r="J293" s="242"/>
      <c r="K293" s="242"/>
    </row>
    <row r="294">
      <c r="A294" s="13"/>
      <c r="B294" s="242"/>
      <c r="C294" s="242"/>
      <c r="D294" s="242"/>
      <c r="E294" s="242"/>
      <c r="F294" s="242"/>
      <c r="G294" s="13"/>
      <c r="H294" s="242"/>
      <c r="I294" s="242"/>
      <c r="J294" s="242"/>
      <c r="K294" s="242"/>
    </row>
    <row r="295">
      <c r="A295" s="13"/>
      <c r="B295" s="242"/>
      <c r="C295" s="242"/>
      <c r="D295" s="242"/>
      <c r="E295" s="242"/>
      <c r="F295" s="242"/>
      <c r="G295" s="13"/>
      <c r="H295" s="242"/>
      <c r="I295" s="242"/>
      <c r="J295" s="242"/>
      <c r="K295" s="242"/>
    </row>
    <row r="296">
      <c r="A296" s="13"/>
      <c r="B296" s="242"/>
      <c r="C296" s="242"/>
      <c r="D296" s="242"/>
      <c r="E296" s="242"/>
      <c r="F296" s="242"/>
      <c r="G296" s="13"/>
      <c r="H296" s="242"/>
      <c r="I296" s="242"/>
      <c r="J296" s="242"/>
      <c r="K296" s="242"/>
    </row>
    <row r="297">
      <c r="A297" s="13"/>
      <c r="B297" s="242"/>
      <c r="C297" s="242"/>
      <c r="D297" s="242"/>
      <c r="E297" s="242"/>
      <c r="F297" s="242"/>
      <c r="G297" s="13"/>
      <c r="H297" s="242"/>
      <c r="I297" s="242"/>
      <c r="J297" s="242"/>
      <c r="K297" s="242"/>
    </row>
    <row r="298">
      <c r="A298" s="13"/>
      <c r="B298" s="242"/>
      <c r="C298" s="242"/>
      <c r="D298" s="242"/>
      <c r="E298" s="242"/>
      <c r="F298" s="242"/>
      <c r="G298" s="13"/>
      <c r="H298" s="242"/>
      <c r="I298" s="242"/>
      <c r="J298" s="242"/>
      <c r="K298" s="242"/>
    </row>
    <row r="299">
      <c r="A299" s="13"/>
      <c r="B299" s="242"/>
      <c r="C299" s="242"/>
      <c r="D299" s="242"/>
      <c r="E299" s="242"/>
      <c r="F299" s="242"/>
      <c r="G299" s="13"/>
      <c r="H299" s="242"/>
      <c r="I299" s="242"/>
      <c r="J299" s="242"/>
      <c r="K299" s="242"/>
    </row>
    <row r="300">
      <c r="A300" s="13"/>
      <c r="B300" s="242"/>
      <c r="C300" s="242"/>
      <c r="D300" s="242"/>
      <c r="E300" s="242"/>
      <c r="F300" s="242"/>
      <c r="G300" s="13"/>
      <c r="H300" s="242"/>
      <c r="I300" s="242"/>
      <c r="J300" s="242"/>
      <c r="K300" s="242"/>
    </row>
    <row r="301">
      <c r="A301" s="13"/>
      <c r="B301" s="242"/>
      <c r="C301" s="242"/>
      <c r="D301" s="242"/>
      <c r="E301" s="242"/>
      <c r="F301" s="242"/>
      <c r="G301" s="13"/>
      <c r="H301" s="242"/>
      <c r="I301" s="242"/>
      <c r="J301" s="242"/>
      <c r="K301" s="242"/>
    </row>
    <row r="302">
      <c r="A302" s="13"/>
      <c r="B302" s="242"/>
      <c r="C302" s="242"/>
      <c r="D302" s="242"/>
      <c r="E302" s="242"/>
      <c r="F302" s="242"/>
      <c r="G302" s="13"/>
      <c r="H302" s="242"/>
      <c r="I302" s="242"/>
      <c r="J302" s="242"/>
      <c r="K302" s="242"/>
    </row>
    <row r="303">
      <c r="A303" s="13"/>
      <c r="B303" s="242"/>
      <c r="C303" s="242"/>
      <c r="D303" s="242"/>
      <c r="E303" s="242"/>
      <c r="F303" s="242"/>
      <c r="G303" s="13"/>
      <c r="H303" s="242"/>
      <c r="I303" s="242"/>
      <c r="J303" s="242"/>
      <c r="K303" s="242"/>
    </row>
    <row r="304">
      <c r="A304" s="13"/>
      <c r="B304" s="242"/>
      <c r="C304" s="242"/>
      <c r="D304" s="242"/>
      <c r="E304" s="242"/>
      <c r="F304" s="242"/>
      <c r="G304" s="13"/>
      <c r="H304" s="242"/>
      <c r="I304" s="242"/>
      <c r="J304" s="242"/>
      <c r="K304" s="242"/>
    </row>
    <row r="305">
      <c r="A305" s="13"/>
      <c r="B305" s="242"/>
      <c r="C305" s="242"/>
      <c r="D305" s="242"/>
      <c r="E305" s="242"/>
      <c r="F305" s="242"/>
      <c r="G305" s="13"/>
      <c r="H305" s="242"/>
      <c r="I305" s="242"/>
      <c r="J305" s="242"/>
      <c r="K305" s="242"/>
    </row>
    <row r="306">
      <c r="A306" s="13"/>
      <c r="B306" s="242"/>
      <c r="C306" s="242"/>
      <c r="D306" s="242"/>
      <c r="E306" s="242"/>
      <c r="F306" s="242"/>
      <c r="G306" s="13"/>
      <c r="H306" s="242"/>
      <c r="I306" s="242"/>
      <c r="J306" s="242"/>
      <c r="K306" s="242"/>
    </row>
    <row r="307">
      <c r="A307" s="13"/>
      <c r="B307" s="242"/>
      <c r="C307" s="242"/>
      <c r="D307" s="242"/>
      <c r="E307" s="242"/>
      <c r="F307" s="242"/>
      <c r="G307" s="13"/>
      <c r="H307" s="242"/>
      <c r="I307" s="242"/>
      <c r="J307" s="242"/>
      <c r="K307" s="242"/>
    </row>
    <row r="308">
      <c r="A308" s="13"/>
      <c r="B308" s="242"/>
      <c r="C308" s="242"/>
      <c r="D308" s="242"/>
      <c r="E308" s="242"/>
      <c r="F308" s="242"/>
      <c r="G308" s="13"/>
      <c r="H308" s="242"/>
      <c r="I308" s="242"/>
      <c r="J308" s="242"/>
      <c r="K308" s="242"/>
    </row>
    <row r="309">
      <c r="A309" s="13"/>
      <c r="B309" s="242"/>
      <c r="C309" s="242"/>
      <c r="D309" s="242"/>
      <c r="E309" s="242"/>
      <c r="F309" s="242"/>
      <c r="G309" s="13"/>
      <c r="H309" s="242"/>
      <c r="I309" s="242"/>
      <c r="J309" s="242"/>
      <c r="K309" s="242"/>
    </row>
    <row r="310">
      <c r="A310" s="13"/>
      <c r="B310" s="242"/>
      <c r="C310" s="242"/>
      <c r="D310" s="242"/>
      <c r="E310" s="242"/>
      <c r="F310" s="242"/>
      <c r="G310" s="13"/>
      <c r="H310" s="242"/>
      <c r="I310" s="242"/>
      <c r="J310" s="242"/>
      <c r="K310" s="242"/>
    </row>
    <row r="311">
      <c r="A311" s="13"/>
      <c r="B311" s="242"/>
      <c r="C311" s="242"/>
      <c r="D311" s="242"/>
      <c r="E311" s="242"/>
      <c r="F311" s="242"/>
      <c r="G311" s="13"/>
      <c r="H311" s="242"/>
      <c r="I311" s="242"/>
      <c r="J311" s="242"/>
      <c r="K311" s="242"/>
    </row>
    <row r="312">
      <c r="A312" s="13"/>
      <c r="B312" s="242"/>
      <c r="C312" s="242"/>
      <c r="D312" s="242"/>
      <c r="E312" s="242"/>
      <c r="F312" s="242"/>
      <c r="G312" s="13"/>
      <c r="H312" s="242"/>
      <c r="I312" s="242"/>
      <c r="J312" s="242"/>
      <c r="K312" s="242"/>
    </row>
    <row r="313">
      <c r="A313" s="13"/>
      <c r="B313" s="242"/>
      <c r="C313" s="242"/>
      <c r="D313" s="242"/>
      <c r="E313" s="242"/>
      <c r="F313" s="242"/>
      <c r="G313" s="13"/>
      <c r="H313" s="242"/>
      <c r="I313" s="242"/>
      <c r="J313" s="242"/>
      <c r="K313" s="242"/>
    </row>
    <row r="314">
      <c r="A314" s="13"/>
      <c r="B314" s="242"/>
      <c r="C314" s="242"/>
      <c r="D314" s="242"/>
      <c r="E314" s="242"/>
      <c r="F314" s="242"/>
      <c r="G314" s="13"/>
      <c r="H314" s="242"/>
      <c r="I314" s="242"/>
      <c r="J314" s="242"/>
      <c r="K314" s="242"/>
    </row>
    <row r="315">
      <c r="A315" s="13"/>
      <c r="B315" s="242"/>
      <c r="C315" s="242"/>
      <c r="D315" s="242"/>
      <c r="E315" s="242"/>
      <c r="F315" s="242"/>
      <c r="G315" s="13"/>
      <c r="H315" s="242"/>
      <c r="I315" s="242"/>
      <c r="J315" s="242"/>
      <c r="K315" s="242"/>
    </row>
    <row r="316">
      <c r="A316" s="13"/>
      <c r="B316" s="242"/>
      <c r="C316" s="242"/>
      <c r="D316" s="242"/>
      <c r="E316" s="242"/>
      <c r="F316" s="242"/>
      <c r="G316" s="13"/>
      <c r="H316" s="242"/>
      <c r="I316" s="242"/>
      <c r="J316" s="242"/>
      <c r="K316" s="242"/>
    </row>
    <row r="317">
      <c r="A317" s="13"/>
      <c r="B317" s="242"/>
      <c r="C317" s="242"/>
      <c r="D317" s="242"/>
      <c r="E317" s="242"/>
      <c r="F317" s="242"/>
      <c r="G317" s="13"/>
      <c r="H317" s="242"/>
      <c r="I317" s="242"/>
      <c r="J317" s="242"/>
      <c r="K317" s="242"/>
    </row>
    <row r="318">
      <c r="A318" s="13"/>
      <c r="B318" s="242"/>
      <c r="C318" s="242"/>
      <c r="D318" s="242"/>
      <c r="E318" s="242"/>
      <c r="F318" s="242"/>
      <c r="G318" s="13"/>
      <c r="H318" s="242"/>
      <c r="I318" s="242"/>
      <c r="J318" s="242"/>
      <c r="K318" s="242"/>
    </row>
    <row r="319">
      <c r="A319" s="13"/>
      <c r="B319" s="242"/>
      <c r="C319" s="242"/>
      <c r="D319" s="242"/>
      <c r="E319" s="242"/>
      <c r="F319" s="242"/>
      <c r="G319" s="13"/>
      <c r="H319" s="242"/>
      <c r="I319" s="242"/>
      <c r="J319" s="242"/>
      <c r="K319" s="242"/>
    </row>
    <row r="320">
      <c r="A320" s="13"/>
      <c r="B320" s="242"/>
      <c r="C320" s="242"/>
      <c r="D320" s="242"/>
      <c r="E320" s="242"/>
      <c r="F320" s="242"/>
      <c r="G320" s="13"/>
      <c r="H320" s="242"/>
      <c r="I320" s="242"/>
      <c r="J320" s="242"/>
      <c r="K320" s="242"/>
    </row>
    <row r="321">
      <c r="A321" s="13"/>
      <c r="B321" s="242"/>
      <c r="C321" s="242"/>
      <c r="D321" s="242"/>
      <c r="E321" s="242"/>
      <c r="F321" s="242"/>
      <c r="G321" s="13"/>
      <c r="H321" s="242"/>
      <c r="I321" s="242"/>
      <c r="J321" s="242"/>
      <c r="K321" s="242"/>
    </row>
    <row r="322">
      <c r="A322" s="13"/>
      <c r="B322" s="242"/>
      <c r="C322" s="242"/>
      <c r="D322" s="242"/>
      <c r="E322" s="242"/>
      <c r="F322" s="242"/>
      <c r="G322" s="13"/>
      <c r="H322" s="242"/>
      <c r="I322" s="242"/>
      <c r="J322" s="242"/>
      <c r="K322" s="242"/>
    </row>
    <row r="323">
      <c r="A323" s="13"/>
      <c r="B323" s="242"/>
      <c r="C323" s="242"/>
      <c r="D323" s="242"/>
      <c r="E323" s="242"/>
      <c r="F323" s="242"/>
      <c r="G323" s="13"/>
      <c r="H323" s="242"/>
      <c r="I323" s="242"/>
      <c r="J323" s="242"/>
      <c r="K323" s="242"/>
    </row>
    <row r="324">
      <c r="A324" s="13"/>
      <c r="B324" s="242"/>
      <c r="C324" s="242"/>
      <c r="D324" s="242"/>
      <c r="E324" s="242"/>
      <c r="F324" s="242"/>
      <c r="G324" s="13"/>
      <c r="H324" s="242"/>
      <c r="I324" s="242"/>
      <c r="J324" s="242"/>
      <c r="K324" s="242"/>
    </row>
    <row r="325">
      <c r="A325" s="13"/>
      <c r="B325" s="242"/>
      <c r="C325" s="242"/>
      <c r="D325" s="242"/>
      <c r="E325" s="242"/>
      <c r="F325" s="242"/>
      <c r="G325" s="13"/>
      <c r="H325" s="242"/>
      <c r="I325" s="242"/>
      <c r="J325" s="242"/>
      <c r="K325" s="242"/>
    </row>
    <row r="326">
      <c r="A326" s="13"/>
      <c r="B326" s="242"/>
      <c r="C326" s="242"/>
      <c r="D326" s="242"/>
      <c r="E326" s="242"/>
      <c r="F326" s="242"/>
      <c r="G326" s="13"/>
      <c r="H326" s="242"/>
      <c r="I326" s="242"/>
      <c r="J326" s="242"/>
      <c r="K326" s="242"/>
    </row>
    <row r="327">
      <c r="A327" s="13"/>
      <c r="B327" s="242"/>
      <c r="C327" s="242"/>
      <c r="D327" s="242"/>
      <c r="E327" s="242"/>
      <c r="F327" s="242"/>
      <c r="G327" s="13"/>
      <c r="H327" s="242"/>
      <c r="I327" s="242"/>
      <c r="J327" s="242"/>
      <c r="K327" s="242"/>
    </row>
    <row r="328">
      <c r="A328" s="13"/>
      <c r="B328" s="242"/>
      <c r="C328" s="242"/>
      <c r="D328" s="242"/>
      <c r="E328" s="242"/>
      <c r="F328" s="242"/>
      <c r="G328" s="13"/>
      <c r="H328" s="242"/>
      <c r="I328" s="242"/>
      <c r="J328" s="242"/>
      <c r="K328" s="242"/>
    </row>
    <row r="329">
      <c r="A329" s="13"/>
      <c r="B329" s="242"/>
      <c r="C329" s="242"/>
      <c r="D329" s="242"/>
      <c r="E329" s="242"/>
      <c r="F329" s="242"/>
      <c r="G329" s="13"/>
      <c r="H329" s="242"/>
      <c r="I329" s="242"/>
      <c r="J329" s="242"/>
      <c r="K329" s="242"/>
    </row>
    <row r="330">
      <c r="A330" s="13"/>
      <c r="B330" s="242"/>
      <c r="C330" s="242"/>
      <c r="D330" s="242"/>
      <c r="E330" s="242"/>
      <c r="F330" s="242"/>
      <c r="G330" s="13"/>
      <c r="H330" s="242"/>
      <c r="I330" s="242"/>
      <c r="J330" s="242"/>
      <c r="K330" s="242"/>
    </row>
    <row r="331">
      <c r="A331" s="13"/>
      <c r="B331" s="242"/>
      <c r="C331" s="242"/>
      <c r="D331" s="242"/>
      <c r="E331" s="242"/>
      <c r="F331" s="242"/>
      <c r="G331" s="13"/>
      <c r="H331" s="242"/>
      <c r="I331" s="242"/>
      <c r="J331" s="242"/>
      <c r="K331" s="242"/>
    </row>
    <row r="332">
      <c r="A332" s="13"/>
      <c r="B332" s="242"/>
      <c r="C332" s="242"/>
      <c r="D332" s="242"/>
      <c r="E332" s="242"/>
      <c r="F332" s="242"/>
      <c r="G332" s="13"/>
      <c r="H332" s="242"/>
      <c r="I332" s="242"/>
      <c r="J332" s="242"/>
      <c r="K332" s="242"/>
    </row>
    <row r="333">
      <c r="A333" s="13"/>
      <c r="B333" s="242"/>
      <c r="C333" s="242"/>
      <c r="D333" s="242"/>
      <c r="E333" s="242"/>
      <c r="F333" s="242"/>
      <c r="G333" s="13"/>
      <c r="H333" s="242"/>
      <c r="I333" s="242"/>
      <c r="J333" s="242"/>
      <c r="K333" s="242"/>
    </row>
    <row r="334">
      <c r="A334" s="13"/>
      <c r="B334" s="242"/>
      <c r="C334" s="242"/>
      <c r="D334" s="242"/>
      <c r="E334" s="242"/>
      <c r="F334" s="242"/>
      <c r="G334" s="13"/>
      <c r="H334" s="242"/>
      <c r="I334" s="242"/>
      <c r="J334" s="242"/>
      <c r="K334" s="242"/>
    </row>
    <row r="335">
      <c r="A335" s="13"/>
      <c r="B335" s="242"/>
      <c r="C335" s="242"/>
      <c r="D335" s="242"/>
      <c r="E335" s="242"/>
      <c r="F335" s="242"/>
      <c r="G335" s="13"/>
      <c r="H335" s="242"/>
      <c r="I335" s="242"/>
      <c r="J335" s="242"/>
      <c r="K335" s="242"/>
    </row>
    <row r="336">
      <c r="A336" s="13"/>
      <c r="B336" s="242"/>
      <c r="C336" s="242"/>
      <c r="D336" s="242"/>
      <c r="E336" s="242"/>
      <c r="F336" s="242"/>
      <c r="G336" s="13"/>
      <c r="H336" s="242"/>
      <c r="I336" s="242"/>
      <c r="J336" s="242"/>
      <c r="K336" s="242"/>
    </row>
    <row r="337">
      <c r="A337" s="13"/>
      <c r="B337" s="242"/>
      <c r="C337" s="242"/>
      <c r="D337" s="242"/>
      <c r="E337" s="242"/>
      <c r="F337" s="242"/>
      <c r="G337" s="13"/>
      <c r="H337" s="242"/>
      <c r="I337" s="242"/>
      <c r="J337" s="242"/>
      <c r="K337" s="242"/>
    </row>
    <row r="338">
      <c r="A338" s="13"/>
      <c r="B338" s="242"/>
      <c r="C338" s="242"/>
      <c r="D338" s="242"/>
      <c r="E338" s="242"/>
      <c r="F338" s="242"/>
      <c r="G338" s="13"/>
      <c r="H338" s="242"/>
      <c r="I338" s="242"/>
      <c r="J338" s="242"/>
      <c r="K338" s="242"/>
    </row>
    <row r="339">
      <c r="A339" s="13"/>
      <c r="B339" s="242"/>
      <c r="C339" s="242"/>
      <c r="D339" s="242"/>
      <c r="E339" s="242"/>
      <c r="F339" s="242"/>
      <c r="G339" s="13"/>
      <c r="H339" s="242"/>
      <c r="I339" s="242"/>
      <c r="J339" s="242"/>
      <c r="K339" s="242"/>
    </row>
    <row r="340">
      <c r="A340" s="13"/>
      <c r="B340" s="242"/>
      <c r="C340" s="242"/>
      <c r="D340" s="242"/>
      <c r="E340" s="242"/>
      <c r="F340" s="242"/>
      <c r="G340" s="13"/>
      <c r="H340" s="242"/>
      <c r="I340" s="242"/>
      <c r="J340" s="242"/>
      <c r="K340" s="242"/>
    </row>
    <row r="341">
      <c r="A341" s="13"/>
      <c r="B341" s="242"/>
      <c r="C341" s="242"/>
      <c r="D341" s="242"/>
      <c r="E341" s="242"/>
      <c r="F341" s="242"/>
      <c r="G341" s="13"/>
      <c r="H341" s="242"/>
      <c r="I341" s="242"/>
      <c r="J341" s="242"/>
      <c r="K341" s="242"/>
    </row>
    <row r="342">
      <c r="A342" s="13"/>
      <c r="B342" s="242"/>
      <c r="C342" s="242"/>
      <c r="D342" s="242"/>
      <c r="E342" s="242"/>
      <c r="F342" s="242"/>
      <c r="G342" s="13"/>
      <c r="H342" s="242"/>
      <c r="I342" s="242"/>
      <c r="J342" s="242"/>
      <c r="K342" s="242"/>
    </row>
    <row r="343">
      <c r="A343" s="13"/>
      <c r="B343" s="242"/>
      <c r="C343" s="242"/>
      <c r="D343" s="242"/>
      <c r="E343" s="242"/>
      <c r="F343" s="242"/>
      <c r="G343" s="13"/>
      <c r="H343" s="242"/>
      <c r="I343" s="242"/>
      <c r="J343" s="242"/>
      <c r="K343" s="242"/>
    </row>
    <row r="344">
      <c r="A344" s="13"/>
      <c r="B344" s="242"/>
      <c r="C344" s="242"/>
      <c r="D344" s="242"/>
      <c r="E344" s="242"/>
      <c r="F344" s="242"/>
      <c r="G344" s="13"/>
      <c r="H344" s="242"/>
      <c r="I344" s="242"/>
      <c r="J344" s="242"/>
      <c r="K344" s="242"/>
    </row>
    <row r="345">
      <c r="A345" s="13"/>
      <c r="B345" s="242"/>
      <c r="C345" s="242"/>
      <c r="D345" s="242"/>
      <c r="E345" s="242"/>
      <c r="F345" s="242"/>
      <c r="G345" s="13"/>
      <c r="H345" s="242"/>
      <c r="I345" s="242"/>
      <c r="J345" s="242"/>
      <c r="K345" s="242"/>
    </row>
    <row r="346">
      <c r="A346" s="13"/>
      <c r="B346" s="242"/>
      <c r="C346" s="242"/>
      <c r="D346" s="242"/>
      <c r="E346" s="242"/>
      <c r="F346" s="242"/>
      <c r="G346" s="13"/>
      <c r="H346" s="242"/>
      <c r="I346" s="242"/>
      <c r="J346" s="242"/>
      <c r="K346" s="242"/>
    </row>
    <row r="347">
      <c r="A347" s="13"/>
      <c r="B347" s="242"/>
      <c r="C347" s="242"/>
      <c r="D347" s="242"/>
      <c r="E347" s="242"/>
      <c r="F347" s="242"/>
      <c r="G347" s="13"/>
      <c r="H347" s="242"/>
      <c r="I347" s="242"/>
      <c r="J347" s="242"/>
      <c r="K347" s="242"/>
    </row>
    <row r="348">
      <c r="A348" s="13"/>
      <c r="B348" s="242"/>
      <c r="C348" s="242"/>
      <c r="D348" s="242"/>
      <c r="E348" s="242"/>
      <c r="F348" s="242"/>
      <c r="G348" s="13"/>
      <c r="H348" s="242"/>
      <c r="I348" s="242"/>
      <c r="J348" s="242"/>
      <c r="K348" s="242"/>
    </row>
    <row r="349">
      <c r="A349" s="13"/>
      <c r="B349" s="242"/>
      <c r="C349" s="242"/>
      <c r="D349" s="242"/>
      <c r="E349" s="242"/>
      <c r="F349" s="242"/>
      <c r="G349" s="13"/>
      <c r="H349" s="242"/>
      <c r="I349" s="242"/>
      <c r="J349" s="242"/>
      <c r="K349" s="242"/>
    </row>
    <row r="350">
      <c r="A350" s="13"/>
      <c r="B350" s="242"/>
      <c r="C350" s="242"/>
      <c r="D350" s="242"/>
      <c r="E350" s="242"/>
      <c r="F350" s="242"/>
      <c r="G350" s="13"/>
      <c r="H350" s="242"/>
      <c r="I350" s="242"/>
      <c r="J350" s="242"/>
      <c r="K350" s="242"/>
    </row>
    <row r="351">
      <c r="A351" s="13"/>
      <c r="B351" s="242"/>
      <c r="C351" s="242"/>
      <c r="D351" s="242"/>
      <c r="E351" s="242"/>
      <c r="F351" s="242"/>
      <c r="G351" s="13"/>
      <c r="H351" s="242"/>
      <c r="I351" s="242"/>
      <c r="J351" s="242"/>
      <c r="K351" s="242"/>
    </row>
    <row r="352">
      <c r="A352" s="13"/>
      <c r="B352" s="242"/>
      <c r="C352" s="242"/>
      <c r="D352" s="242"/>
      <c r="E352" s="242"/>
      <c r="F352" s="242"/>
      <c r="G352" s="13"/>
      <c r="H352" s="242"/>
      <c r="I352" s="242"/>
      <c r="J352" s="242"/>
      <c r="K352" s="242"/>
    </row>
    <row r="353">
      <c r="A353" s="13"/>
      <c r="B353" s="242"/>
      <c r="C353" s="242"/>
      <c r="D353" s="242"/>
      <c r="E353" s="242"/>
      <c r="F353" s="242"/>
      <c r="G353" s="13"/>
      <c r="H353" s="242"/>
      <c r="I353" s="242"/>
      <c r="J353" s="242"/>
      <c r="K353" s="242"/>
    </row>
    <row r="354">
      <c r="A354" s="13"/>
      <c r="B354" s="242"/>
      <c r="C354" s="242"/>
      <c r="D354" s="242"/>
      <c r="E354" s="242"/>
      <c r="F354" s="242"/>
      <c r="G354" s="13"/>
      <c r="H354" s="242"/>
      <c r="I354" s="242"/>
      <c r="J354" s="242"/>
      <c r="K354" s="242"/>
    </row>
    <row r="355">
      <c r="A355" s="13"/>
      <c r="B355" s="242"/>
      <c r="C355" s="242"/>
      <c r="D355" s="242"/>
      <c r="E355" s="242"/>
      <c r="F355" s="242"/>
      <c r="G355" s="13"/>
      <c r="H355" s="242"/>
      <c r="I355" s="242"/>
      <c r="J355" s="242"/>
      <c r="K355" s="242"/>
    </row>
    <row r="356">
      <c r="A356" s="13"/>
      <c r="B356" s="242"/>
      <c r="C356" s="242"/>
      <c r="D356" s="242"/>
      <c r="E356" s="242"/>
      <c r="F356" s="242"/>
      <c r="G356" s="13"/>
      <c r="H356" s="242"/>
      <c r="I356" s="242"/>
      <c r="J356" s="242"/>
      <c r="K356" s="242"/>
    </row>
    <row r="357">
      <c r="A357" s="13"/>
      <c r="B357" s="242"/>
      <c r="C357" s="242"/>
      <c r="D357" s="242"/>
      <c r="E357" s="242"/>
      <c r="F357" s="242"/>
      <c r="G357" s="13"/>
      <c r="H357" s="242"/>
      <c r="I357" s="242"/>
      <c r="J357" s="242"/>
      <c r="K357" s="242"/>
    </row>
    <row r="358">
      <c r="A358" s="13"/>
      <c r="B358" s="242"/>
      <c r="C358" s="242"/>
      <c r="D358" s="242"/>
      <c r="E358" s="242"/>
      <c r="F358" s="242"/>
      <c r="G358" s="13"/>
      <c r="H358" s="242"/>
      <c r="I358" s="242"/>
      <c r="J358" s="242"/>
      <c r="K358" s="242"/>
    </row>
    <row r="359">
      <c r="A359" s="13"/>
      <c r="B359" s="242"/>
      <c r="C359" s="242"/>
      <c r="D359" s="242"/>
      <c r="E359" s="242"/>
      <c r="F359" s="242"/>
      <c r="G359" s="13"/>
      <c r="H359" s="242"/>
      <c r="I359" s="242"/>
      <c r="J359" s="242"/>
      <c r="K359" s="242"/>
    </row>
    <row r="360">
      <c r="A360" s="13"/>
      <c r="B360" s="242"/>
      <c r="C360" s="242"/>
      <c r="D360" s="242"/>
      <c r="E360" s="242"/>
      <c r="F360" s="242"/>
      <c r="G360" s="13"/>
      <c r="H360" s="242"/>
      <c r="I360" s="242"/>
      <c r="J360" s="242"/>
      <c r="K360" s="242"/>
    </row>
    <row r="361">
      <c r="A361" s="13"/>
      <c r="B361" s="242"/>
      <c r="C361" s="242"/>
      <c r="D361" s="242"/>
      <c r="E361" s="242"/>
      <c r="F361" s="242"/>
      <c r="G361" s="13"/>
      <c r="H361" s="242"/>
      <c r="I361" s="242"/>
      <c r="J361" s="242"/>
      <c r="K361" s="242"/>
    </row>
    <row r="362">
      <c r="A362" s="13"/>
      <c r="B362" s="242"/>
      <c r="C362" s="242"/>
      <c r="D362" s="242"/>
      <c r="E362" s="242"/>
      <c r="F362" s="242"/>
      <c r="G362" s="13"/>
      <c r="H362" s="242"/>
      <c r="I362" s="242"/>
      <c r="J362" s="242"/>
      <c r="K362" s="242"/>
    </row>
    <row r="363">
      <c r="A363" s="13"/>
      <c r="B363" s="242"/>
      <c r="C363" s="242"/>
      <c r="D363" s="242"/>
      <c r="E363" s="242"/>
      <c r="F363" s="242"/>
      <c r="G363" s="13"/>
      <c r="H363" s="242"/>
      <c r="I363" s="242"/>
      <c r="J363" s="242"/>
      <c r="K363" s="242"/>
    </row>
    <row r="364">
      <c r="A364" s="13"/>
      <c r="B364" s="242"/>
      <c r="C364" s="242"/>
      <c r="D364" s="242"/>
      <c r="E364" s="242"/>
      <c r="F364" s="242"/>
      <c r="G364" s="13"/>
      <c r="H364" s="242"/>
      <c r="I364" s="242"/>
      <c r="J364" s="242"/>
      <c r="K364" s="242"/>
    </row>
    <row r="365">
      <c r="A365" s="13"/>
      <c r="B365" s="242"/>
      <c r="C365" s="242"/>
      <c r="D365" s="242"/>
      <c r="E365" s="242"/>
      <c r="F365" s="242"/>
      <c r="G365" s="13"/>
      <c r="H365" s="242"/>
      <c r="I365" s="242"/>
      <c r="J365" s="242"/>
      <c r="K365" s="242"/>
    </row>
    <row r="366">
      <c r="A366" s="13"/>
      <c r="B366" s="242"/>
      <c r="C366" s="242"/>
      <c r="D366" s="242"/>
      <c r="E366" s="242"/>
      <c r="F366" s="242"/>
      <c r="G366" s="13"/>
      <c r="H366" s="242"/>
      <c r="I366" s="242"/>
      <c r="J366" s="242"/>
      <c r="K366" s="242"/>
    </row>
    <row r="367">
      <c r="A367" s="13"/>
      <c r="B367" s="242"/>
      <c r="C367" s="242"/>
      <c r="D367" s="242"/>
      <c r="E367" s="242"/>
      <c r="F367" s="242"/>
      <c r="G367" s="13"/>
      <c r="H367" s="242"/>
      <c r="I367" s="242"/>
      <c r="J367" s="242"/>
      <c r="K367" s="242"/>
    </row>
    <row r="368">
      <c r="A368" s="13"/>
      <c r="B368" s="242"/>
      <c r="C368" s="242"/>
      <c r="D368" s="242"/>
      <c r="E368" s="242"/>
      <c r="F368" s="242"/>
      <c r="G368" s="13"/>
      <c r="H368" s="242"/>
      <c r="I368" s="242"/>
      <c r="J368" s="242"/>
      <c r="K368" s="242"/>
    </row>
    <row r="369">
      <c r="A369" s="13"/>
      <c r="B369" s="242"/>
      <c r="C369" s="242"/>
      <c r="D369" s="242"/>
      <c r="E369" s="242"/>
      <c r="F369" s="242"/>
      <c r="G369" s="13"/>
      <c r="H369" s="242"/>
      <c r="I369" s="242"/>
      <c r="J369" s="242"/>
      <c r="K369" s="242"/>
    </row>
    <row r="370">
      <c r="A370" s="13"/>
      <c r="B370" s="242"/>
      <c r="C370" s="242"/>
      <c r="D370" s="242"/>
      <c r="E370" s="242"/>
      <c r="F370" s="242"/>
      <c r="G370" s="13"/>
      <c r="H370" s="242"/>
      <c r="I370" s="242"/>
      <c r="J370" s="242"/>
      <c r="K370" s="242"/>
    </row>
    <row r="371">
      <c r="A371" s="13"/>
      <c r="B371" s="242"/>
      <c r="C371" s="242"/>
      <c r="D371" s="242"/>
      <c r="E371" s="242"/>
      <c r="F371" s="242"/>
      <c r="G371" s="13"/>
      <c r="H371" s="242"/>
      <c r="I371" s="242"/>
      <c r="J371" s="242"/>
      <c r="K371" s="242"/>
    </row>
    <row r="372">
      <c r="A372" s="13"/>
      <c r="B372" s="242"/>
      <c r="C372" s="242"/>
      <c r="D372" s="242"/>
      <c r="E372" s="242"/>
      <c r="F372" s="242"/>
      <c r="G372" s="13"/>
      <c r="H372" s="242"/>
      <c r="I372" s="242"/>
      <c r="J372" s="242"/>
      <c r="K372" s="242"/>
    </row>
    <row r="373">
      <c r="A373" s="13"/>
      <c r="B373" s="242"/>
      <c r="C373" s="242"/>
      <c r="D373" s="242"/>
      <c r="E373" s="242"/>
      <c r="F373" s="242"/>
      <c r="G373" s="13"/>
      <c r="H373" s="242"/>
      <c r="I373" s="242"/>
      <c r="J373" s="242"/>
      <c r="K373" s="242"/>
    </row>
    <row r="374">
      <c r="A374" s="13"/>
      <c r="B374" s="242"/>
      <c r="C374" s="242"/>
      <c r="D374" s="242"/>
      <c r="E374" s="242"/>
      <c r="F374" s="242"/>
      <c r="G374" s="13"/>
      <c r="H374" s="242"/>
      <c r="I374" s="242"/>
      <c r="J374" s="242"/>
      <c r="K374" s="242"/>
    </row>
    <row r="375">
      <c r="A375" s="13"/>
      <c r="B375" s="242"/>
      <c r="C375" s="242"/>
      <c r="D375" s="242"/>
      <c r="E375" s="242"/>
      <c r="F375" s="242"/>
      <c r="G375" s="13"/>
      <c r="H375" s="242"/>
      <c r="I375" s="242"/>
      <c r="J375" s="242"/>
      <c r="K375" s="242"/>
    </row>
    <row r="376">
      <c r="A376" s="13"/>
      <c r="B376" s="242"/>
      <c r="C376" s="242"/>
      <c r="D376" s="242"/>
      <c r="E376" s="242"/>
      <c r="F376" s="242"/>
      <c r="G376" s="13"/>
      <c r="H376" s="242"/>
      <c r="I376" s="242"/>
      <c r="J376" s="242"/>
      <c r="K376" s="242"/>
    </row>
    <row r="377">
      <c r="A377" s="13"/>
      <c r="B377" s="242"/>
      <c r="C377" s="242"/>
      <c r="D377" s="242"/>
      <c r="E377" s="242"/>
      <c r="F377" s="242"/>
      <c r="G377" s="13"/>
      <c r="H377" s="242"/>
      <c r="I377" s="242"/>
      <c r="J377" s="242"/>
      <c r="K377" s="242"/>
    </row>
    <row r="378">
      <c r="A378" s="13"/>
      <c r="B378" s="242"/>
      <c r="C378" s="242"/>
      <c r="D378" s="242"/>
      <c r="E378" s="242"/>
      <c r="F378" s="242"/>
      <c r="G378" s="13"/>
      <c r="H378" s="242"/>
      <c r="I378" s="242"/>
      <c r="J378" s="242"/>
      <c r="K378" s="242"/>
    </row>
    <row r="379">
      <c r="A379" s="13"/>
      <c r="B379" s="242"/>
      <c r="C379" s="242"/>
      <c r="D379" s="242"/>
      <c r="E379" s="242"/>
      <c r="F379" s="242"/>
      <c r="G379" s="13"/>
      <c r="H379" s="242"/>
      <c r="I379" s="242"/>
      <c r="J379" s="242"/>
      <c r="K379" s="242"/>
    </row>
    <row r="380">
      <c r="A380" s="13"/>
      <c r="B380" s="242"/>
      <c r="C380" s="242"/>
      <c r="D380" s="242"/>
      <c r="E380" s="242"/>
      <c r="F380" s="242"/>
      <c r="G380" s="13"/>
      <c r="H380" s="242"/>
      <c r="I380" s="242"/>
      <c r="J380" s="242"/>
      <c r="K380" s="242"/>
    </row>
    <row r="381">
      <c r="A381" s="13"/>
      <c r="B381" s="242"/>
      <c r="C381" s="242"/>
      <c r="D381" s="242"/>
      <c r="E381" s="242"/>
      <c r="F381" s="242"/>
      <c r="G381" s="13"/>
      <c r="H381" s="242"/>
      <c r="I381" s="242"/>
      <c r="J381" s="242"/>
      <c r="K381" s="242"/>
    </row>
    <row r="382">
      <c r="A382" s="13"/>
      <c r="B382" s="242"/>
      <c r="C382" s="242"/>
      <c r="D382" s="242"/>
      <c r="E382" s="242"/>
      <c r="F382" s="242"/>
      <c r="G382" s="13"/>
      <c r="H382" s="242"/>
      <c r="I382" s="242"/>
      <c r="J382" s="242"/>
      <c r="K382" s="242"/>
    </row>
    <row r="383">
      <c r="A383" s="13"/>
      <c r="B383" s="242"/>
      <c r="C383" s="242"/>
      <c r="D383" s="242"/>
      <c r="E383" s="242"/>
      <c r="F383" s="242"/>
      <c r="G383" s="13"/>
      <c r="H383" s="242"/>
      <c r="I383" s="242"/>
      <c r="J383" s="242"/>
      <c r="K383" s="242"/>
    </row>
    <row r="384">
      <c r="A384" s="13"/>
      <c r="B384" s="242"/>
      <c r="C384" s="242"/>
      <c r="D384" s="242"/>
      <c r="E384" s="242"/>
      <c r="F384" s="242"/>
      <c r="G384" s="13"/>
      <c r="H384" s="242"/>
      <c r="I384" s="242"/>
      <c r="J384" s="242"/>
      <c r="K384" s="242"/>
    </row>
    <row r="385">
      <c r="A385" s="13"/>
      <c r="B385" s="242"/>
      <c r="C385" s="242"/>
      <c r="D385" s="242"/>
      <c r="E385" s="242"/>
      <c r="F385" s="242"/>
      <c r="G385" s="13"/>
      <c r="H385" s="242"/>
      <c r="I385" s="242"/>
      <c r="J385" s="242"/>
      <c r="K385" s="242"/>
    </row>
    <row r="386">
      <c r="A386" s="13"/>
      <c r="B386" s="242"/>
      <c r="C386" s="242"/>
      <c r="D386" s="242"/>
      <c r="E386" s="242"/>
      <c r="F386" s="242"/>
      <c r="G386" s="13"/>
      <c r="H386" s="242"/>
      <c r="I386" s="242"/>
      <c r="J386" s="242"/>
      <c r="K386" s="242"/>
    </row>
    <row r="387">
      <c r="A387" s="13"/>
      <c r="B387" s="242"/>
      <c r="C387" s="242"/>
      <c r="D387" s="242"/>
      <c r="E387" s="242"/>
      <c r="F387" s="242"/>
      <c r="G387" s="13"/>
      <c r="H387" s="242"/>
      <c r="I387" s="242"/>
      <c r="J387" s="242"/>
      <c r="K387" s="242"/>
    </row>
    <row r="388">
      <c r="A388" s="13"/>
      <c r="B388" s="242"/>
      <c r="C388" s="242"/>
      <c r="D388" s="242"/>
      <c r="E388" s="242"/>
      <c r="F388" s="242"/>
      <c r="G388" s="13"/>
      <c r="H388" s="242"/>
      <c r="I388" s="242"/>
      <c r="J388" s="242"/>
      <c r="K388" s="242"/>
    </row>
    <row r="389">
      <c r="A389" s="13"/>
      <c r="B389" s="242"/>
      <c r="C389" s="242"/>
      <c r="D389" s="242"/>
      <c r="E389" s="242"/>
      <c r="F389" s="242"/>
      <c r="G389" s="13"/>
      <c r="H389" s="242"/>
      <c r="I389" s="242"/>
      <c r="J389" s="242"/>
      <c r="K389" s="242"/>
    </row>
    <row r="390">
      <c r="A390" s="13"/>
      <c r="B390" s="242"/>
      <c r="C390" s="242"/>
      <c r="D390" s="242"/>
      <c r="E390" s="242"/>
      <c r="F390" s="242"/>
      <c r="G390" s="13"/>
      <c r="H390" s="242"/>
      <c r="I390" s="242"/>
      <c r="J390" s="242"/>
      <c r="K390" s="242"/>
    </row>
    <row r="391">
      <c r="A391" s="13"/>
      <c r="B391" s="242"/>
      <c r="C391" s="242"/>
      <c r="D391" s="242"/>
      <c r="E391" s="242"/>
      <c r="F391" s="242"/>
      <c r="G391" s="13"/>
      <c r="H391" s="242"/>
      <c r="I391" s="242"/>
      <c r="J391" s="242"/>
      <c r="K391" s="242"/>
    </row>
    <row r="392">
      <c r="A392" s="13"/>
      <c r="B392" s="242"/>
      <c r="C392" s="242"/>
      <c r="D392" s="242"/>
      <c r="E392" s="242"/>
      <c r="F392" s="242"/>
      <c r="G392" s="13"/>
      <c r="H392" s="242"/>
      <c r="I392" s="242"/>
      <c r="J392" s="242"/>
      <c r="K392" s="242"/>
    </row>
    <row r="393">
      <c r="A393" s="13"/>
      <c r="B393" s="242"/>
      <c r="C393" s="242"/>
      <c r="D393" s="242"/>
      <c r="E393" s="242"/>
      <c r="F393" s="242"/>
      <c r="G393" s="13"/>
      <c r="H393" s="242"/>
      <c r="I393" s="242"/>
      <c r="J393" s="242"/>
      <c r="K393" s="242"/>
    </row>
    <row r="394">
      <c r="A394" s="13"/>
      <c r="B394" s="242"/>
      <c r="C394" s="242"/>
      <c r="D394" s="242"/>
      <c r="E394" s="242"/>
      <c r="F394" s="242"/>
      <c r="G394" s="13"/>
      <c r="H394" s="242"/>
      <c r="I394" s="242"/>
      <c r="J394" s="242"/>
      <c r="K394" s="242"/>
    </row>
    <row r="395">
      <c r="A395" s="13"/>
      <c r="B395" s="242"/>
      <c r="C395" s="242"/>
      <c r="D395" s="242"/>
      <c r="E395" s="242"/>
      <c r="F395" s="242"/>
      <c r="G395" s="13"/>
      <c r="H395" s="242"/>
      <c r="I395" s="242"/>
      <c r="J395" s="242"/>
      <c r="K395" s="242"/>
    </row>
    <row r="396">
      <c r="A396" s="13"/>
      <c r="B396" s="242"/>
      <c r="C396" s="242"/>
      <c r="D396" s="242"/>
      <c r="E396" s="242"/>
      <c r="F396" s="242"/>
      <c r="G396" s="13"/>
      <c r="H396" s="242"/>
      <c r="I396" s="242"/>
      <c r="J396" s="242"/>
      <c r="K396" s="242"/>
    </row>
    <row r="397">
      <c r="A397" s="13"/>
      <c r="B397" s="242"/>
      <c r="C397" s="242"/>
      <c r="D397" s="242"/>
      <c r="E397" s="242"/>
      <c r="F397" s="242"/>
      <c r="G397" s="13"/>
      <c r="H397" s="242"/>
      <c r="I397" s="242"/>
      <c r="J397" s="242"/>
      <c r="K397" s="242"/>
    </row>
    <row r="398">
      <c r="A398" s="13"/>
      <c r="B398" s="242"/>
      <c r="C398" s="242"/>
      <c r="D398" s="242"/>
      <c r="E398" s="242"/>
      <c r="F398" s="242"/>
      <c r="G398" s="13"/>
      <c r="H398" s="242"/>
      <c r="I398" s="242"/>
      <c r="J398" s="242"/>
      <c r="K398" s="242"/>
    </row>
    <row r="399">
      <c r="A399" s="13"/>
      <c r="B399" s="242"/>
      <c r="C399" s="242"/>
      <c r="D399" s="242"/>
      <c r="E399" s="242"/>
      <c r="F399" s="242"/>
      <c r="G399" s="13"/>
      <c r="H399" s="242"/>
      <c r="I399" s="242"/>
      <c r="J399" s="242"/>
      <c r="K399" s="242"/>
    </row>
    <row r="400">
      <c r="A400" s="13"/>
      <c r="B400" s="242"/>
      <c r="C400" s="242"/>
      <c r="D400" s="242"/>
      <c r="E400" s="242"/>
      <c r="F400" s="242"/>
      <c r="G400" s="13"/>
      <c r="H400" s="242"/>
      <c r="I400" s="242"/>
      <c r="J400" s="242"/>
      <c r="K400" s="242"/>
    </row>
    <row r="401">
      <c r="A401" s="13"/>
      <c r="B401" s="242"/>
      <c r="C401" s="242"/>
      <c r="D401" s="242"/>
      <c r="E401" s="242"/>
      <c r="F401" s="242"/>
      <c r="G401" s="13"/>
      <c r="H401" s="242"/>
      <c r="I401" s="242"/>
      <c r="J401" s="242"/>
      <c r="K401" s="242"/>
    </row>
    <row r="402">
      <c r="A402" s="13"/>
      <c r="B402" s="242"/>
      <c r="C402" s="242"/>
      <c r="D402" s="242"/>
      <c r="E402" s="242"/>
      <c r="F402" s="242"/>
      <c r="G402" s="13"/>
      <c r="H402" s="242"/>
      <c r="I402" s="242"/>
      <c r="J402" s="242"/>
      <c r="K402" s="242"/>
    </row>
    <row r="403">
      <c r="A403" s="13"/>
      <c r="B403" s="242"/>
      <c r="C403" s="242"/>
      <c r="D403" s="242"/>
      <c r="E403" s="242"/>
      <c r="F403" s="242"/>
      <c r="G403" s="13"/>
      <c r="H403" s="242"/>
      <c r="I403" s="242"/>
      <c r="J403" s="242"/>
      <c r="K403" s="242"/>
    </row>
    <row r="404">
      <c r="A404" s="13"/>
      <c r="B404" s="242"/>
      <c r="C404" s="242"/>
      <c r="D404" s="242"/>
      <c r="E404" s="242"/>
      <c r="F404" s="242"/>
      <c r="G404" s="13"/>
      <c r="H404" s="242"/>
      <c r="I404" s="242"/>
      <c r="J404" s="242"/>
      <c r="K404" s="242"/>
    </row>
    <row r="405">
      <c r="A405" s="13"/>
      <c r="B405" s="242"/>
      <c r="C405" s="242"/>
      <c r="D405" s="242"/>
      <c r="E405" s="242"/>
      <c r="F405" s="242"/>
      <c r="G405" s="13"/>
      <c r="H405" s="242"/>
      <c r="I405" s="242"/>
      <c r="J405" s="242"/>
      <c r="K405" s="242"/>
    </row>
    <row r="406">
      <c r="A406" s="13"/>
      <c r="B406" s="242"/>
      <c r="C406" s="242"/>
      <c r="D406" s="242"/>
      <c r="E406" s="242"/>
      <c r="F406" s="242"/>
      <c r="G406" s="13"/>
      <c r="H406" s="242"/>
      <c r="I406" s="242"/>
      <c r="J406" s="242"/>
      <c r="K406" s="242"/>
    </row>
    <row r="407">
      <c r="A407" s="13"/>
      <c r="B407" s="242"/>
      <c r="C407" s="242"/>
      <c r="D407" s="242"/>
      <c r="E407" s="242"/>
      <c r="F407" s="242"/>
      <c r="G407" s="13"/>
      <c r="H407" s="242"/>
      <c r="I407" s="242"/>
      <c r="J407" s="242"/>
      <c r="K407" s="242"/>
    </row>
    <row r="408">
      <c r="A408" s="13"/>
      <c r="B408" s="242"/>
      <c r="C408" s="242"/>
      <c r="D408" s="242"/>
      <c r="E408" s="242"/>
      <c r="F408" s="242"/>
      <c r="G408" s="13"/>
      <c r="H408" s="242"/>
      <c r="I408" s="242"/>
      <c r="J408" s="242"/>
      <c r="K408" s="242"/>
    </row>
    <row r="409">
      <c r="A409" s="13"/>
      <c r="B409" s="242"/>
      <c r="C409" s="242"/>
      <c r="D409" s="242"/>
      <c r="E409" s="242"/>
      <c r="F409" s="242"/>
      <c r="G409" s="13"/>
      <c r="H409" s="242"/>
      <c r="I409" s="242"/>
      <c r="J409" s="242"/>
      <c r="K409" s="242"/>
    </row>
    <row r="410">
      <c r="A410" s="13"/>
      <c r="B410" s="242"/>
      <c r="C410" s="242"/>
      <c r="D410" s="242"/>
      <c r="E410" s="242"/>
      <c r="F410" s="242"/>
      <c r="G410" s="13"/>
      <c r="H410" s="242"/>
      <c r="I410" s="242"/>
      <c r="J410" s="242"/>
      <c r="K410" s="242"/>
    </row>
    <row r="411">
      <c r="A411" s="13"/>
      <c r="B411" s="242"/>
      <c r="C411" s="242"/>
      <c r="D411" s="242"/>
      <c r="E411" s="242"/>
      <c r="F411" s="242"/>
      <c r="G411" s="13"/>
      <c r="H411" s="242"/>
      <c r="I411" s="242"/>
      <c r="J411" s="242"/>
      <c r="K411" s="242"/>
    </row>
    <row r="412">
      <c r="A412" s="13"/>
      <c r="B412" s="242"/>
      <c r="C412" s="242"/>
      <c r="D412" s="242"/>
      <c r="E412" s="242"/>
      <c r="F412" s="242"/>
      <c r="G412" s="13"/>
      <c r="H412" s="242"/>
      <c r="I412" s="242"/>
      <c r="J412" s="242"/>
      <c r="K412" s="242"/>
    </row>
    <row r="413">
      <c r="A413" s="13"/>
      <c r="B413" s="242"/>
      <c r="C413" s="242"/>
      <c r="D413" s="242"/>
      <c r="E413" s="242"/>
      <c r="F413" s="242"/>
      <c r="G413" s="13"/>
      <c r="H413" s="242"/>
      <c r="I413" s="242"/>
      <c r="J413" s="242"/>
      <c r="K413" s="242"/>
    </row>
    <row r="414">
      <c r="A414" s="13"/>
      <c r="B414" s="242"/>
      <c r="C414" s="242"/>
      <c r="D414" s="242"/>
      <c r="E414" s="242"/>
      <c r="F414" s="242"/>
      <c r="G414" s="13"/>
      <c r="H414" s="242"/>
      <c r="I414" s="242"/>
      <c r="J414" s="242"/>
      <c r="K414" s="242"/>
    </row>
    <row r="415">
      <c r="A415" s="13"/>
      <c r="B415" s="242"/>
      <c r="C415" s="242"/>
      <c r="D415" s="242"/>
      <c r="E415" s="242"/>
      <c r="F415" s="242"/>
      <c r="G415" s="13"/>
      <c r="H415" s="242"/>
      <c r="I415" s="242"/>
      <c r="J415" s="242"/>
      <c r="K415" s="242"/>
    </row>
    <row r="416">
      <c r="A416" s="13"/>
      <c r="B416" s="242"/>
      <c r="C416" s="242"/>
      <c r="D416" s="242"/>
      <c r="E416" s="242"/>
      <c r="F416" s="242"/>
      <c r="G416" s="13"/>
      <c r="H416" s="242"/>
      <c r="I416" s="242"/>
      <c r="J416" s="242"/>
      <c r="K416" s="242"/>
    </row>
    <row r="417">
      <c r="A417" s="13"/>
      <c r="B417" s="242"/>
      <c r="C417" s="242"/>
      <c r="D417" s="242"/>
      <c r="E417" s="242"/>
      <c r="F417" s="242"/>
      <c r="G417" s="13"/>
      <c r="H417" s="242"/>
      <c r="I417" s="242"/>
      <c r="J417" s="242"/>
      <c r="K417" s="242"/>
    </row>
    <row r="418">
      <c r="A418" s="13"/>
      <c r="B418" s="242"/>
      <c r="C418" s="242"/>
      <c r="D418" s="242"/>
      <c r="E418" s="242"/>
      <c r="F418" s="242"/>
      <c r="G418" s="13"/>
      <c r="H418" s="242"/>
      <c r="I418" s="242"/>
      <c r="J418" s="242"/>
      <c r="K418" s="242"/>
    </row>
    <row r="419">
      <c r="A419" s="13"/>
      <c r="B419" s="242"/>
      <c r="C419" s="242"/>
      <c r="D419" s="242"/>
      <c r="E419" s="242"/>
      <c r="F419" s="242"/>
      <c r="G419" s="13"/>
      <c r="H419" s="242"/>
      <c r="I419" s="242"/>
      <c r="J419" s="242"/>
      <c r="K419" s="242"/>
    </row>
    <row r="420">
      <c r="A420" s="13"/>
      <c r="B420" s="242"/>
      <c r="C420" s="242"/>
      <c r="D420" s="242"/>
      <c r="E420" s="242"/>
      <c r="F420" s="242"/>
      <c r="G420" s="13"/>
      <c r="H420" s="242"/>
      <c r="I420" s="242"/>
      <c r="J420" s="242"/>
      <c r="K420" s="242"/>
    </row>
    <row r="421">
      <c r="A421" s="13"/>
      <c r="B421" s="242"/>
      <c r="C421" s="242"/>
      <c r="D421" s="242"/>
      <c r="E421" s="242"/>
      <c r="F421" s="242"/>
      <c r="G421" s="13"/>
      <c r="H421" s="242"/>
      <c r="I421" s="242"/>
      <c r="J421" s="242"/>
      <c r="K421" s="242"/>
    </row>
    <row r="422">
      <c r="A422" s="13"/>
      <c r="B422" s="242"/>
      <c r="C422" s="242"/>
      <c r="D422" s="242"/>
      <c r="E422" s="242"/>
      <c r="F422" s="242"/>
      <c r="G422" s="13"/>
      <c r="H422" s="242"/>
      <c r="I422" s="242"/>
      <c r="J422" s="242"/>
      <c r="K422" s="242"/>
    </row>
    <row r="423">
      <c r="A423" s="13"/>
      <c r="B423" s="242"/>
      <c r="C423" s="242"/>
      <c r="D423" s="242"/>
      <c r="E423" s="242"/>
      <c r="F423" s="242"/>
      <c r="G423" s="13"/>
      <c r="H423" s="242"/>
      <c r="I423" s="242"/>
      <c r="J423" s="242"/>
      <c r="K423" s="242"/>
    </row>
    <row r="424">
      <c r="A424" s="13"/>
      <c r="B424" s="242"/>
      <c r="C424" s="242"/>
      <c r="D424" s="242"/>
      <c r="E424" s="242"/>
      <c r="F424" s="242"/>
      <c r="G424" s="13"/>
      <c r="H424" s="242"/>
      <c r="I424" s="242"/>
      <c r="J424" s="242"/>
      <c r="K424" s="242"/>
    </row>
    <row r="425">
      <c r="A425" s="13"/>
      <c r="B425" s="242"/>
      <c r="C425" s="242"/>
      <c r="D425" s="242"/>
      <c r="E425" s="242"/>
      <c r="F425" s="242"/>
      <c r="G425" s="13"/>
      <c r="H425" s="242"/>
      <c r="I425" s="242"/>
      <c r="J425" s="242"/>
      <c r="K425" s="242"/>
    </row>
    <row r="426">
      <c r="A426" s="13"/>
      <c r="B426" s="242"/>
      <c r="C426" s="242"/>
      <c r="D426" s="242"/>
      <c r="E426" s="242"/>
      <c r="F426" s="242"/>
      <c r="G426" s="13"/>
      <c r="H426" s="242"/>
      <c r="I426" s="242"/>
      <c r="J426" s="242"/>
      <c r="K426" s="242"/>
    </row>
    <row r="427">
      <c r="A427" s="13"/>
      <c r="B427" s="242"/>
      <c r="C427" s="242"/>
      <c r="D427" s="242"/>
      <c r="E427" s="242"/>
      <c r="F427" s="242"/>
      <c r="G427" s="13"/>
      <c r="H427" s="242"/>
      <c r="I427" s="242"/>
      <c r="J427" s="242"/>
      <c r="K427" s="242"/>
    </row>
    <row r="428">
      <c r="A428" s="13"/>
      <c r="B428" s="242"/>
      <c r="C428" s="242"/>
      <c r="D428" s="242"/>
      <c r="E428" s="242"/>
      <c r="F428" s="242"/>
      <c r="G428" s="13"/>
      <c r="H428" s="242"/>
      <c r="I428" s="242"/>
      <c r="J428" s="242"/>
      <c r="K428" s="242"/>
    </row>
    <row r="429">
      <c r="A429" s="13"/>
      <c r="B429" s="242"/>
      <c r="C429" s="242"/>
      <c r="D429" s="242"/>
      <c r="E429" s="242"/>
      <c r="F429" s="242"/>
      <c r="G429" s="13"/>
      <c r="H429" s="242"/>
      <c r="I429" s="242"/>
      <c r="J429" s="242"/>
      <c r="K429" s="242"/>
    </row>
    <row r="430">
      <c r="A430" s="13"/>
      <c r="B430" s="242"/>
      <c r="C430" s="242"/>
      <c r="D430" s="242"/>
      <c r="E430" s="242"/>
      <c r="F430" s="242"/>
      <c r="G430" s="13"/>
      <c r="H430" s="242"/>
      <c r="I430" s="242"/>
      <c r="J430" s="242"/>
      <c r="K430" s="242"/>
    </row>
    <row r="431">
      <c r="A431" s="13"/>
      <c r="B431" s="242"/>
      <c r="C431" s="242"/>
      <c r="D431" s="242"/>
      <c r="E431" s="242"/>
      <c r="F431" s="242"/>
      <c r="G431" s="13"/>
      <c r="H431" s="242"/>
      <c r="I431" s="242"/>
      <c r="J431" s="242"/>
      <c r="K431" s="242"/>
    </row>
    <row r="432">
      <c r="A432" s="13"/>
      <c r="B432" s="242"/>
      <c r="C432" s="242"/>
      <c r="D432" s="242"/>
      <c r="E432" s="242"/>
      <c r="F432" s="242"/>
      <c r="G432" s="13"/>
      <c r="H432" s="242"/>
      <c r="I432" s="242"/>
      <c r="J432" s="242"/>
      <c r="K432" s="242"/>
    </row>
    <row r="433">
      <c r="A433" s="13"/>
      <c r="B433" s="242"/>
      <c r="C433" s="242"/>
      <c r="D433" s="242"/>
      <c r="E433" s="242"/>
      <c r="F433" s="242"/>
      <c r="G433" s="13"/>
      <c r="H433" s="242"/>
      <c r="I433" s="242"/>
      <c r="J433" s="242"/>
      <c r="K433" s="242"/>
    </row>
    <row r="434">
      <c r="A434" s="13"/>
      <c r="B434" s="242"/>
      <c r="C434" s="242"/>
      <c r="D434" s="242"/>
      <c r="E434" s="242"/>
      <c r="F434" s="242"/>
      <c r="G434" s="13"/>
      <c r="H434" s="242"/>
      <c r="I434" s="242"/>
      <c r="J434" s="242"/>
      <c r="K434" s="242"/>
    </row>
    <row r="435">
      <c r="A435" s="13"/>
      <c r="B435" s="242"/>
      <c r="C435" s="242"/>
      <c r="D435" s="242"/>
      <c r="E435" s="242"/>
      <c r="F435" s="242"/>
      <c r="G435" s="13"/>
      <c r="H435" s="242"/>
      <c r="I435" s="242"/>
      <c r="J435" s="242"/>
      <c r="K435" s="242"/>
    </row>
    <row r="436">
      <c r="A436" s="13"/>
      <c r="B436" s="242"/>
      <c r="C436" s="242"/>
      <c r="D436" s="242"/>
      <c r="E436" s="242"/>
      <c r="F436" s="242"/>
      <c r="G436" s="13"/>
      <c r="H436" s="242"/>
      <c r="I436" s="242"/>
      <c r="J436" s="242"/>
      <c r="K436" s="242"/>
    </row>
    <row r="437">
      <c r="A437" s="13"/>
      <c r="B437" s="242"/>
      <c r="C437" s="242"/>
      <c r="D437" s="242"/>
      <c r="E437" s="242"/>
      <c r="F437" s="242"/>
      <c r="G437" s="13"/>
      <c r="H437" s="242"/>
      <c r="I437" s="242"/>
      <c r="J437" s="242"/>
      <c r="K437" s="242"/>
    </row>
    <row r="438">
      <c r="A438" s="13"/>
      <c r="B438" s="242"/>
      <c r="C438" s="242"/>
      <c r="D438" s="242"/>
      <c r="E438" s="242"/>
      <c r="F438" s="242"/>
      <c r="G438" s="13"/>
      <c r="H438" s="242"/>
      <c r="I438" s="242"/>
      <c r="J438" s="242"/>
      <c r="K438" s="242"/>
    </row>
    <row r="439">
      <c r="A439" s="13"/>
      <c r="B439" s="242"/>
      <c r="C439" s="242"/>
      <c r="D439" s="242"/>
      <c r="E439" s="242"/>
      <c r="F439" s="242"/>
      <c r="G439" s="13"/>
      <c r="H439" s="242"/>
      <c r="I439" s="242"/>
      <c r="J439" s="242"/>
      <c r="K439" s="242"/>
    </row>
    <row r="440">
      <c r="A440" s="13"/>
      <c r="B440" s="242"/>
      <c r="C440" s="242"/>
      <c r="D440" s="242"/>
      <c r="E440" s="242"/>
      <c r="F440" s="242"/>
      <c r="G440" s="13"/>
      <c r="H440" s="242"/>
      <c r="I440" s="242"/>
      <c r="J440" s="242"/>
      <c r="K440" s="242"/>
    </row>
    <row r="441">
      <c r="A441" s="13"/>
      <c r="B441" s="242"/>
      <c r="C441" s="242"/>
      <c r="D441" s="242"/>
      <c r="E441" s="242"/>
      <c r="F441" s="242"/>
      <c r="G441" s="13"/>
      <c r="H441" s="242"/>
      <c r="I441" s="242"/>
      <c r="J441" s="242"/>
      <c r="K441" s="242"/>
    </row>
    <row r="442">
      <c r="A442" s="13"/>
      <c r="B442" s="242"/>
      <c r="C442" s="242"/>
      <c r="D442" s="242"/>
      <c r="E442" s="242"/>
      <c r="F442" s="242"/>
      <c r="G442" s="13"/>
      <c r="H442" s="242"/>
      <c r="I442" s="242"/>
      <c r="J442" s="242"/>
      <c r="K442" s="242"/>
    </row>
    <row r="443">
      <c r="A443" s="13"/>
      <c r="B443" s="242"/>
      <c r="C443" s="242"/>
      <c r="D443" s="242"/>
      <c r="E443" s="242"/>
      <c r="F443" s="242"/>
      <c r="G443" s="13"/>
      <c r="H443" s="242"/>
      <c r="I443" s="242"/>
      <c r="J443" s="242"/>
      <c r="K443" s="242"/>
    </row>
    <row r="444">
      <c r="A444" s="13"/>
      <c r="B444" s="242"/>
      <c r="C444" s="242"/>
      <c r="D444" s="242"/>
      <c r="E444" s="242"/>
      <c r="F444" s="242"/>
      <c r="G444" s="13"/>
      <c r="H444" s="242"/>
      <c r="I444" s="242"/>
      <c r="J444" s="242"/>
      <c r="K444" s="242"/>
    </row>
    <row r="445">
      <c r="A445" s="13"/>
      <c r="B445" s="242"/>
      <c r="C445" s="242"/>
      <c r="D445" s="242"/>
      <c r="E445" s="242"/>
      <c r="F445" s="242"/>
      <c r="G445" s="13"/>
      <c r="H445" s="242"/>
      <c r="I445" s="242"/>
      <c r="J445" s="242"/>
      <c r="K445" s="242"/>
    </row>
    <row r="446">
      <c r="A446" s="13"/>
      <c r="B446" s="242"/>
      <c r="C446" s="242"/>
      <c r="D446" s="242"/>
      <c r="E446" s="242"/>
      <c r="F446" s="242"/>
      <c r="G446" s="13"/>
      <c r="H446" s="242"/>
      <c r="I446" s="242"/>
      <c r="J446" s="242"/>
      <c r="K446" s="242"/>
    </row>
    <row r="447">
      <c r="A447" s="13"/>
      <c r="B447" s="242"/>
      <c r="C447" s="242"/>
      <c r="D447" s="242"/>
      <c r="E447" s="242"/>
      <c r="F447" s="242"/>
      <c r="G447" s="13"/>
      <c r="H447" s="242"/>
      <c r="I447" s="242"/>
      <c r="J447" s="242"/>
      <c r="K447" s="242"/>
    </row>
    <row r="448">
      <c r="A448" s="13"/>
      <c r="B448" s="242"/>
      <c r="C448" s="242"/>
      <c r="D448" s="242"/>
      <c r="E448" s="242"/>
      <c r="F448" s="242"/>
      <c r="G448" s="13"/>
      <c r="H448" s="242"/>
      <c r="I448" s="242"/>
      <c r="J448" s="242"/>
      <c r="K448" s="242"/>
    </row>
    <row r="449">
      <c r="A449" s="13"/>
      <c r="B449" s="242"/>
      <c r="C449" s="242"/>
      <c r="D449" s="242"/>
      <c r="E449" s="242"/>
      <c r="F449" s="242"/>
      <c r="G449" s="13"/>
      <c r="H449" s="242"/>
      <c r="I449" s="242"/>
      <c r="J449" s="242"/>
      <c r="K449" s="242"/>
    </row>
    <row r="450">
      <c r="A450" s="13"/>
      <c r="B450" s="242"/>
      <c r="C450" s="242"/>
      <c r="D450" s="242"/>
      <c r="E450" s="242"/>
      <c r="F450" s="242"/>
      <c r="G450" s="13"/>
      <c r="H450" s="242"/>
      <c r="I450" s="242"/>
      <c r="J450" s="242"/>
      <c r="K450" s="242"/>
    </row>
    <row r="451">
      <c r="A451" s="13"/>
      <c r="B451" s="242"/>
      <c r="C451" s="242"/>
      <c r="D451" s="242"/>
      <c r="E451" s="242"/>
      <c r="F451" s="242"/>
      <c r="G451" s="13"/>
      <c r="H451" s="242"/>
      <c r="I451" s="242"/>
      <c r="J451" s="242"/>
      <c r="K451" s="242"/>
    </row>
    <row r="452">
      <c r="A452" s="13"/>
      <c r="B452" s="242"/>
      <c r="C452" s="242"/>
      <c r="D452" s="242"/>
      <c r="E452" s="242"/>
      <c r="F452" s="242"/>
      <c r="G452" s="13"/>
      <c r="H452" s="242"/>
      <c r="I452" s="242"/>
      <c r="J452" s="242"/>
      <c r="K452" s="242"/>
    </row>
    <row r="453">
      <c r="A453" s="13"/>
      <c r="B453" s="242"/>
      <c r="C453" s="242"/>
      <c r="D453" s="242"/>
      <c r="E453" s="242"/>
      <c r="F453" s="242"/>
      <c r="G453" s="13"/>
      <c r="H453" s="242"/>
      <c r="I453" s="242"/>
      <c r="J453" s="242"/>
      <c r="K453" s="242"/>
    </row>
    <row r="454">
      <c r="A454" s="13"/>
      <c r="B454" s="242"/>
      <c r="C454" s="242"/>
      <c r="D454" s="242"/>
      <c r="E454" s="242"/>
      <c r="F454" s="242"/>
      <c r="G454" s="13"/>
      <c r="H454" s="242"/>
      <c r="I454" s="242"/>
      <c r="J454" s="242"/>
      <c r="K454" s="242"/>
    </row>
    <row r="455">
      <c r="A455" s="13"/>
      <c r="B455" s="242"/>
      <c r="C455" s="242"/>
      <c r="D455" s="242"/>
      <c r="E455" s="242"/>
      <c r="F455" s="242"/>
      <c r="G455" s="13"/>
      <c r="H455" s="242"/>
      <c r="I455" s="242"/>
      <c r="J455" s="242"/>
      <c r="K455" s="242"/>
    </row>
    <row r="456">
      <c r="A456" s="13"/>
      <c r="B456" s="242"/>
      <c r="C456" s="242"/>
      <c r="D456" s="242"/>
      <c r="E456" s="242"/>
      <c r="F456" s="242"/>
      <c r="G456" s="13"/>
      <c r="H456" s="242"/>
      <c r="I456" s="242"/>
      <c r="J456" s="242"/>
      <c r="K456" s="242"/>
    </row>
    <row r="457">
      <c r="A457" s="13"/>
      <c r="B457" s="242"/>
      <c r="C457" s="242"/>
      <c r="D457" s="242"/>
      <c r="E457" s="242"/>
      <c r="F457" s="242"/>
      <c r="G457" s="13"/>
      <c r="H457" s="242"/>
      <c r="I457" s="242"/>
      <c r="J457" s="242"/>
      <c r="K457" s="242"/>
    </row>
    <row r="458">
      <c r="A458" s="13"/>
      <c r="B458" s="242"/>
      <c r="C458" s="242"/>
      <c r="D458" s="242"/>
      <c r="E458" s="242"/>
      <c r="F458" s="242"/>
      <c r="G458" s="13"/>
      <c r="H458" s="242"/>
      <c r="I458" s="242"/>
      <c r="J458" s="242"/>
      <c r="K458" s="242"/>
    </row>
    <row r="459">
      <c r="A459" s="13"/>
      <c r="B459" s="242"/>
      <c r="C459" s="242"/>
      <c r="D459" s="242"/>
      <c r="E459" s="242"/>
      <c r="F459" s="242"/>
      <c r="G459" s="13"/>
      <c r="H459" s="242"/>
      <c r="I459" s="242"/>
      <c r="J459" s="242"/>
      <c r="K459" s="242"/>
    </row>
    <row r="460">
      <c r="A460" s="13"/>
      <c r="B460" s="242"/>
      <c r="C460" s="242"/>
      <c r="D460" s="242"/>
      <c r="E460" s="242"/>
      <c r="F460" s="242"/>
      <c r="G460" s="13"/>
      <c r="H460" s="242"/>
      <c r="I460" s="242"/>
      <c r="J460" s="242"/>
      <c r="K460" s="242"/>
    </row>
    <row r="461">
      <c r="A461" s="13"/>
      <c r="B461" s="242"/>
      <c r="C461" s="242"/>
      <c r="D461" s="242"/>
      <c r="E461" s="242"/>
      <c r="F461" s="242"/>
      <c r="G461" s="13"/>
      <c r="H461" s="242"/>
      <c r="I461" s="242"/>
      <c r="J461" s="242"/>
      <c r="K461" s="242"/>
    </row>
    <row r="462">
      <c r="A462" s="13"/>
      <c r="B462" s="242"/>
      <c r="C462" s="242"/>
      <c r="D462" s="242"/>
      <c r="E462" s="242"/>
      <c r="F462" s="242"/>
      <c r="G462" s="13"/>
      <c r="H462" s="242"/>
      <c r="I462" s="242"/>
      <c r="J462" s="242"/>
      <c r="K462" s="242"/>
    </row>
    <row r="463">
      <c r="A463" s="13"/>
      <c r="B463" s="242"/>
      <c r="C463" s="242"/>
      <c r="D463" s="242"/>
      <c r="E463" s="242"/>
      <c r="F463" s="242"/>
      <c r="G463" s="13"/>
      <c r="H463" s="242"/>
      <c r="I463" s="242"/>
      <c r="J463" s="242"/>
      <c r="K463" s="242"/>
    </row>
    <row r="464">
      <c r="A464" s="13"/>
      <c r="B464" s="242"/>
      <c r="C464" s="242"/>
      <c r="D464" s="242"/>
      <c r="E464" s="242"/>
      <c r="F464" s="242"/>
      <c r="G464" s="13"/>
      <c r="H464" s="242"/>
      <c r="I464" s="242"/>
      <c r="J464" s="242"/>
      <c r="K464" s="242"/>
    </row>
    <row r="465">
      <c r="A465" s="13"/>
      <c r="B465" s="242"/>
      <c r="C465" s="242"/>
      <c r="D465" s="242"/>
      <c r="E465" s="242"/>
      <c r="F465" s="242"/>
      <c r="G465" s="13"/>
      <c r="H465" s="242"/>
      <c r="I465" s="242"/>
      <c r="J465" s="242"/>
      <c r="K465" s="242"/>
    </row>
    <row r="466">
      <c r="A466" s="13"/>
      <c r="B466" s="242"/>
      <c r="C466" s="242"/>
      <c r="D466" s="242"/>
      <c r="E466" s="242"/>
      <c r="F466" s="242"/>
      <c r="G466" s="13"/>
      <c r="H466" s="242"/>
      <c r="I466" s="242"/>
      <c r="J466" s="242"/>
      <c r="K466" s="242"/>
    </row>
    <row r="467">
      <c r="A467" s="13"/>
      <c r="B467" s="242"/>
      <c r="C467" s="242"/>
      <c r="D467" s="242"/>
      <c r="E467" s="242"/>
      <c r="F467" s="242"/>
      <c r="G467" s="13"/>
      <c r="H467" s="242"/>
      <c r="I467" s="242"/>
      <c r="J467" s="242"/>
      <c r="K467" s="242"/>
    </row>
    <row r="468">
      <c r="A468" s="13"/>
      <c r="B468" s="242"/>
      <c r="C468" s="242"/>
      <c r="D468" s="242"/>
      <c r="E468" s="242"/>
      <c r="F468" s="242"/>
      <c r="G468" s="13"/>
      <c r="H468" s="242"/>
      <c r="I468" s="242"/>
      <c r="J468" s="242"/>
      <c r="K468" s="242"/>
    </row>
    <row r="469">
      <c r="A469" s="13"/>
      <c r="B469" s="242"/>
      <c r="C469" s="242"/>
      <c r="D469" s="242"/>
      <c r="E469" s="242"/>
      <c r="F469" s="242"/>
      <c r="G469" s="13"/>
      <c r="H469" s="242"/>
      <c r="I469" s="242"/>
      <c r="J469" s="242"/>
      <c r="K469" s="242"/>
    </row>
    <row r="470">
      <c r="A470" s="13"/>
      <c r="B470" s="242"/>
      <c r="C470" s="242"/>
      <c r="D470" s="242"/>
      <c r="E470" s="242"/>
      <c r="F470" s="242"/>
      <c r="G470" s="13"/>
      <c r="H470" s="242"/>
      <c r="I470" s="242"/>
      <c r="J470" s="242"/>
      <c r="K470" s="242"/>
    </row>
    <row r="471">
      <c r="A471" s="13"/>
      <c r="B471" s="242"/>
      <c r="C471" s="242"/>
      <c r="D471" s="242"/>
      <c r="E471" s="242"/>
      <c r="F471" s="242"/>
      <c r="G471" s="13"/>
      <c r="H471" s="242"/>
      <c r="I471" s="242"/>
      <c r="J471" s="242"/>
      <c r="K471" s="242"/>
    </row>
    <row r="472">
      <c r="A472" s="13"/>
      <c r="B472" s="242"/>
      <c r="C472" s="242"/>
      <c r="D472" s="242"/>
      <c r="E472" s="242"/>
      <c r="F472" s="242"/>
      <c r="G472" s="13"/>
      <c r="H472" s="242"/>
      <c r="I472" s="242"/>
      <c r="J472" s="242"/>
      <c r="K472" s="242"/>
    </row>
    <row r="473">
      <c r="A473" s="13"/>
      <c r="B473" s="242"/>
      <c r="C473" s="242"/>
      <c r="D473" s="242"/>
      <c r="E473" s="242"/>
      <c r="F473" s="242"/>
      <c r="G473" s="13"/>
      <c r="H473" s="242"/>
      <c r="I473" s="242"/>
      <c r="J473" s="242"/>
      <c r="K473" s="242"/>
    </row>
    <row r="474">
      <c r="A474" s="13"/>
      <c r="B474" s="242"/>
      <c r="C474" s="242"/>
      <c r="D474" s="242"/>
      <c r="E474" s="242"/>
      <c r="F474" s="242"/>
      <c r="G474" s="13"/>
      <c r="H474" s="242"/>
      <c r="I474" s="242"/>
      <c r="J474" s="242"/>
      <c r="K474" s="242"/>
    </row>
    <row r="475">
      <c r="A475" s="13"/>
      <c r="B475" s="242"/>
      <c r="C475" s="242"/>
      <c r="D475" s="242"/>
      <c r="E475" s="242"/>
      <c r="F475" s="242"/>
      <c r="G475" s="13"/>
      <c r="H475" s="242"/>
      <c r="I475" s="242"/>
      <c r="J475" s="242"/>
      <c r="K475" s="242"/>
    </row>
    <row r="476">
      <c r="A476" s="13"/>
      <c r="B476" s="242"/>
      <c r="C476" s="242"/>
      <c r="D476" s="242"/>
      <c r="E476" s="242"/>
      <c r="F476" s="242"/>
      <c r="G476" s="13"/>
      <c r="H476" s="242"/>
      <c r="I476" s="242"/>
      <c r="J476" s="242"/>
      <c r="K476" s="242"/>
    </row>
    <row r="477">
      <c r="A477" s="13"/>
      <c r="B477" s="242"/>
      <c r="C477" s="242"/>
      <c r="D477" s="242"/>
      <c r="E477" s="242"/>
      <c r="F477" s="242"/>
      <c r="G477" s="13"/>
      <c r="H477" s="242"/>
      <c r="I477" s="242"/>
      <c r="J477" s="242"/>
      <c r="K477" s="242"/>
    </row>
    <row r="478">
      <c r="A478" s="13"/>
      <c r="B478" s="242"/>
      <c r="C478" s="242"/>
      <c r="D478" s="242"/>
      <c r="E478" s="242"/>
      <c r="F478" s="242"/>
      <c r="G478" s="13"/>
      <c r="H478" s="242"/>
      <c r="I478" s="242"/>
      <c r="J478" s="242"/>
      <c r="K478" s="242"/>
    </row>
    <row r="479">
      <c r="A479" s="13"/>
      <c r="B479" s="242"/>
      <c r="C479" s="242"/>
      <c r="D479" s="242"/>
      <c r="E479" s="242"/>
      <c r="F479" s="242"/>
      <c r="G479" s="13"/>
      <c r="H479" s="242"/>
      <c r="I479" s="242"/>
      <c r="J479" s="242"/>
      <c r="K479" s="242"/>
    </row>
    <row r="480">
      <c r="A480" s="13"/>
      <c r="B480" s="242"/>
      <c r="C480" s="242"/>
      <c r="D480" s="242"/>
      <c r="E480" s="242"/>
      <c r="F480" s="242"/>
      <c r="G480" s="13"/>
      <c r="H480" s="242"/>
      <c r="I480" s="242"/>
      <c r="J480" s="242"/>
      <c r="K480" s="242"/>
    </row>
    <row r="481">
      <c r="A481" s="13"/>
      <c r="B481" s="242"/>
      <c r="C481" s="242"/>
      <c r="D481" s="242"/>
      <c r="E481" s="242"/>
      <c r="F481" s="242"/>
      <c r="G481" s="13"/>
      <c r="H481" s="242"/>
      <c r="I481" s="242"/>
      <c r="J481" s="242"/>
      <c r="K481" s="242"/>
    </row>
    <row r="482">
      <c r="A482" s="13"/>
      <c r="B482" s="242"/>
      <c r="C482" s="242"/>
      <c r="D482" s="242"/>
      <c r="E482" s="242"/>
      <c r="F482" s="242"/>
      <c r="G482" s="13"/>
      <c r="H482" s="242"/>
      <c r="I482" s="242"/>
      <c r="J482" s="242"/>
      <c r="K482" s="242"/>
    </row>
    <row r="483">
      <c r="A483" s="13"/>
      <c r="B483" s="242"/>
      <c r="C483" s="242"/>
      <c r="D483" s="242"/>
      <c r="E483" s="242"/>
      <c r="F483" s="242"/>
      <c r="G483" s="13"/>
      <c r="H483" s="242"/>
      <c r="I483" s="242"/>
      <c r="J483" s="242"/>
      <c r="K483" s="242"/>
    </row>
    <row r="484">
      <c r="A484" s="13"/>
      <c r="B484" s="242"/>
      <c r="C484" s="242"/>
      <c r="D484" s="242"/>
      <c r="E484" s="242"/>
      <c r="F484" s="242"/>
      <c r="G484" s="13"/>
      <c r="H484" s="242"/>
      <c r="I484" s="242"/>
      <c r="J484" s="242"/>
      <c r="K484" s="242"/>
    </row>
    <row r="485">
      <c r="A485" s="13"/>
      <c r="B485" s="242"/>
      <c r="C485" s="242"/>
      <c r="D485" s="242"/>
      <c r="E485" s="242"/>
      <c r="F485" s="242"/>
      <c r="G485" s="13"/>
      <c r="H485" s="242"/>
      <c r="I485" s="242"/>
      <c r="J485" s="242"/>
      <c r="K485" s="242"/>
    </row>
    <row r="486">
      <c r="A486" s="13"/>
      <c r="B486" s="242"/>
      <c r="C486" s="242"/>
      <c r="D486" s="242"/>
      <c r="E486" s="242"/>
      <c r="F486" s="242"/>
      <c r="G486" s="13"/>
      <c r="H486" s="242"/>
      <c r="I486" s="242"/>
      <c r="J486" s="242"/>
      <c r="K486" s="242"/>
    </row>
    <row r="487">
      <c r="A487" s="13"/>
      <c r="B487" s="242"/>
      <c r="C487" s="242"/>
      <c r="D487" s="242"/>
      <c r="E487" s="242"/>
      <c r="F487" s="242"/>
      <c r="G487" s="13"/>
      <c r="H487" s="242"/>
      <c r="I487" s="242"/>
      <c r="J487" s="242"/>
      <c r="K487" s="242"/>
    </row>
    <row r="488">
      <c r="A488" s="13"/>
      <c r="B488" s="242"/>
      <c r="C488" s="242"/>
      <c r="D488" s="242"/>
      <c r="E488" s="242"/>
      <c r="F488" s="242"/>
      <c r="G488" s="13"/>
      <c r="H488" s="242"/>
      <c r="I488" s="242"/>
      <c r="J488" s="242"/>
      <c r="K488" s="242"/>
    </row>
    <row r="489">
      <c r="A489" s="13"/>
      <c r="B489" s="242"/>
      <c r="C489" s="242"/>
      <c r="D489" s="242"/>
      <c r="E489" s="242"/>
      <c r="F489" s="242"/>
      <c r="G489" s="13"/>
      <c r="H489" s="242"/>
      <c r="I489" s="242"/>
      <c r="J489" s="242"/>
      <c r="K489" s="242"/>
    </row>
    <row r="490">
      <c r="A490" s="13"/>
      <c r="B490" s="242"/>
      <c r="C490" s="242"/>
      <c r="D490" s="242"/>
      <c r="E490" s="242"/>
      <c r="F490" s="242"/>
      <c r="G490" s="13"/>
      <c r="H490" s="242"/>
      <c r="I490" s="242"/>
      <c r="J490" s="242"/>
      <c r="K490" s="242"/>
    </row>
    <row r="491">
      <c r="A491" s="13"/>
      <c r="B491" s="242"/>
      <c r="C491" s="242"/>
      <c r="D491" s="242"/>
      <c r="E491" s="242"/>
      <c r="F491" s="242"/>
      <c r="G491" s="13"/>
      <c r="H491" s="242"/>
      <c r="I491" s="242"/>
      <c r="J491" s="242"/>
      <c r="K491" s="242"/>
    </row>
    <row r="492">
      <c r="A492" s="13"/>
      <c r="B492" s="242"/>
      <c r="C492" s="242"/>
      <c r="D492" s="242"/>
      <c r="E492" s="242"/>
      <c r="F492" s="242"/>
      <c r="G492" s="13"/>
      <c r="H492" s="242"/>
      <c r="I492" s="242"/>
      <c r="J492" s="242"/>
      <c r="K492" s="242"/>
    </row>
    <row r="493">
      <c r="A493" s="13"/>
      <c r="B493" s="242"/>
      <c r="C493" s="242"/>
      <c r="D493" s="242"/>
      <c r="E493" s="242"/>
      <c r="F493" s="242"/>
      <c r="G493" s="13"/>
      <c r="H493" s="242"/>
      <c r="I493" s="242"/>
      <c r="J493" s="242"/>
      <c r="K493" s="242"/>
    </row>
    <row r="494">
      <c r="A494" s="13"/>
      <c r="B494" s="242"/>
      <c r="C494" s="242"/>
      <c r="D494" s="242"/>
      <c r="E494" s="242"/>
      <c r="F494" s="242"/>
      <c r="G494" s="13"/>
      <c r="H494" s="242"/>
      <c r="I494" s="242"/>
      <c r="J494" s="242"/>
      <c r="K494" s="242"/>
    </row>
    <row r="495">
      <c r="A495" s="13"/>
      <c r="B495" s="242"/>
      <c r="C495" s="242"/>
      <c r="D495" s="242"/>
      <c r="E495" s="242"/>
      <c r="F495" s="242"/>
      <c r="G495" s="13"/>
      <c r="H495" s="242"/>
      <c r="I495" s="242"/>
      <c r="J495" s="242"/>
      <c r="K495" s="242"/>
    </row>
    <row r="496">
      <c r="A496" s="13"/>
      <c r="B496" s="242"/>
      <c r="C496" s="242"/>
      <c r="D496" s="242"/>
      <c r="E496" s="242"/>
      <c r="F496" s="242"/>
      <c r="G496" s="13"/>
      <c r="H496" s="242"/>
      <c r="I496" s="242"/>
      <c r="J496" s="242"/>
      <c r="K496" s="242"/>
    </row>
    <row r="497">
      <c r="A497" s="13"/>
      <c r="B497" s="242"/>
      <c r="C497" s="242"/>
      <c r="D497" s="242"/>
      <c r="E497" s="242"/>
      <c r="F497" s="242"/>
      <c r="G497" s="13"/>
      <c r="H497" s="242"/>
      <c r="I497" s="242"/>
      <c r="J497" s="242"/>
      <c r="K497" s="242"/>
    </row>
    <row r="498">
      <c r="A498" s="13"/>
      <c r="B498" s="242"/>
      <c r="C498" s="242"/>
      <c r="D498" s="242"/>
      <c r="E498" s="242"/>
      <c r="F498" s="242"/>
      <c r="G498" s="13"/>
      <c r="H498" s="242"/>
      <c r="I498" s="242"/>
      <c r="J498" s="242"/>
      <c r="K498" s="242"/>
    </row>
    <row r="499">
      <c r="A499" s="13"/>
      <c r="B499" s="242"/>
      <c r="C499" s="242"/>
      <c r="D499" s="242"/>
      <c r="E499" s="242"/>
      <c r="F499" s="242"/>
      <c r="G499" s="13"/>
      <c r="H499" s="242"/>
      <c r="I499" s="242"/>
      <c r="J499" s="242"/>
      <c r="K499" s="242"/>
    </row>
    <row r="500">
      <c r="A500" s="13"/>
      <c r="B500" s="242"/>
      <c r="C500" s="242"/>
      <c r="D500" s="242"/>
      <c r="E500" s="242"/>
      <c r="F500" s="242"/>
      <c r="G500" s="13"/>
      <c r="H500" s="242"/>
      <c r="I500" s="242"/>
      <c r="J500" s="242"/>
      <c r="K500" s="242"/>
    </row>
    <row r="501">
      <c r="A501" s="13"/>
      <c r="B501" s="242"/>
      <c r="C501" s="242"/>
      <c r="D501" s="242"/>
      <c r="E501" s="242"/>
      <c r="F501" s="242"/>
      <c r="G501" s="13"/>
      <c r="H501" s="242"/>
      <c r="I501" s="242"/>
      <c r="J501" s="242"/>
      <c r="K501" s="242"/>
    </row>
    <row r="502">
      <c r="A502" s="13"/>
      <c r="B502" s="242"/>
      <c r="C502" s="242"/>
      <c r="D502" s="242"/>
      <c r="E502" s="242"/>
      <c r="F502" s="242"/>
      <c r="G502" s="13"/>
      <c r="H502" s="242"/>
      <c r="I502" s="242"/>
      <c r="J502" s="242"/>
      <c r="K502" s="242"/>
    </row>
    <row r="503">
      <c r="A503" s="13"/>
      <c r="B503" s="242"/>
      <c r="C503" s="242"/>
      <c r="D503" s="242"/>
      <c r="E503" s="242"/>
      <c r="F503" s="242"/>
      <c r="G503" s="13"/>
      <c r="H503" s="242"/>
      <c r="I503" s="242"/>
      <c r="J503" s="242"/>
      <c r="K503" s="242"/>
    </row>
    <row r="504">
      <c r="A504" s="13"/>
      <c r="B504" s="242"/>
      <c r="C504" s="242"/>
      <c r="D504" s="242"/>
      <c r="E504" s="242"/>
      <c r="F504" s="242"/>
      <c r="G504" s="13"/>
      <c r="H504" s="242"/>
      <c r="I504" s="242"/>
      <c r="J504" s="242"/>
      <c r="K504" s="242"/>
    </row>
    <row r="505">
      <c r="A505" s="13"/>
      <c r="B505" s="242"/>
      <c r="C505" s="242"/>
      <c r="D505" s="242"/>
      <c r="E505" s="242"/>
      <c r="F505" s="242"/>
      <c r="G505" s="13"/>
      <c r="H505" s="242"/>
      <c r="I505" s="242"/>
      <c r="J505" s="242"/>
      <c r="K505" s="242"/>
    </row>
    <row r="506">
      <c r="A506" s="13"/>
      <c r="B506" s="242"/>
      <c r="C506" s="242"/>
      <c r="D506" s="242"/>
      <c r="E506" s="242"/>
      <c r="F506" s="242"/>
      <c r="G506" s="13"/>
      <c r="H506" s="242"/>
      <c r="I506" s="242"/>
      <c r="J506" s="242"/>
      <c r="K506" s="242"/>
    </row>
    <row r="507">
      <c r="A507" s="13"/>
      <c r="B507" s="242"/>
      <c r="C507" s="242"/>
      <c r="D507" s="242"/>
      <c r="E507" s="242"/>
      <c r="F507" s="242"/>
      <c r="G507" s="13"/>
      <c r="H507" s="242"/>
      <c r="I507" s="242"/>
      <c r="J507" s="242"/>
      <c r="K507" s="242"/>
    </row>
    <row r="508">
      <c r="A508" s="13"/>
      <c r="B508" s="242"/>
      <c r="C508" s="242"/>
      <c r="D508" s="242"/>
      <c r="E508" s="242"/>
      <c r="F508" s="242"/>
      <c r="G508" s="13"/>
      <c r="H508" s="242"/>
      <c r="I508" s="242"/>
      <c r="J508" s="242"/>
      <c r="K508" s="242"/>
    </row>
    <row r="509">
      <c r="A509" s="13"/>
      <c r="B509" s="242"/>
      <c r="C509" s="242"/>
      <c r="D509" s="242"/>
      <c r="E509" s="242"/>
      <c r="F509" s="242"/>
      <c r="G509" s="13"/>
      <c r="H509" s="242"/>
      <c r="I509" s="242"/>
      <c r="J509" s="242"/>
      <c r="K509" s="242"/>
    </row>
    <row r="510">
      <c r="A510" s="13"/>
      <c r="B510" s="242"/>
      <c r="C510" s="242"/>
      <c r="D510" s="242"/>
      <c r="E510" s="242"/>
      <c r="F510" s="242"/>
      <c r="G510" s="13"/>
      <c r="H510" s="242"/>
      <c r="I510" s="242"/>
      <c r="J510" s="242"/>
      <c r="K510" s="242"/>
    </row>
    <row r="511">
      <c r="A511" s="13"/>
      <c r="B511" s="242"/>
      <c r="C511" s="242"/>
      <c r="D511" s="242"/>
      <c r="E511" s="242"/>
      <c r="F511" s="242"/>
      <c r="G511" s="13"/>
      <c r="H511" s="242"/>
      <c r="I511" s="242"/>
      <c r="J511" s="242"/>
      <c r="K511" s="242"/>
    </row>
    <row r="512">
      <c r="A512" s="13"/>
      <c r="B512" s="242"/>
      <c r="C512" s="242"/>
      <c r="D512" s="242"/>
      <c r="E512" s="242"/>
      <c r="F512" s="242"/>
      <c r="G512" s="13"/>
      <c r="H512" s="242"/>
      <c r="I512" s="242"/>
      <c r="J512" s="242"/>
      <c r="K512" s="242"/>
    </row>
    <row r="513">
      <c r="A513" s="13"/>
      <c r="B513" s="242"/>
      <c r="C513" s="242"/>
      <c r="D513" s="242"/>
      <c r="E513" s="242"/>
      <c r="F513" s="242"/>
      <c r="G513" s="13"/>
      <c r="H513" s="242"/>
      <c r="I513" s="242"/>
      <c r="J513" s="242"/>
      <c r="K513" s="242"/>
    </row>
    <row r="514">
      <c r="A514" s="13"/>
      <c r="B514" s="242"/>
      <c r="C514" s="242"/>
      <c r="D514" s="242"/>
      <c r="E514" s="242"/>
      <c r="F514" s="242"/>
      <c r="G514" s="13"/>
      <c r="H514" s="242"/>
      <c r="I514" s="242"/>
      <c r="J514" s="242"/>
      <c r="K514" s="242"/>
    </row>
    <row r="515">
      <c r="A515" s="13"/>
      <c r="B515" s="242"/>
      <c r="C515" s="242"/>
      <c r="D515" s="242"/>
      <c r="E515" s="242"/>
      <c r="F515" s="242"/>
      <c r="G515" s="13"/>
      <c r="H515" s="242"/>
      <c r="I515" s="242"/>
      <c r="J515" s="242"/>
      <c r="K515" s="242"/>
    </row>
    <row r="516">
      <c r="A516" s="13"/>
      <c r="B516" s="242"/>
      <c r="C516" s="242"/>
      <c r="D516" s="242"/>
      <c r="E516" s="242"/>
      <c r="F516" s="242"/>
      <c r="G516" s="13"/>
      <c r="H516" s="242"/>
      <c r="I516" s="242"/>
      <c r="J516" s="242"/>
      <c r="K516" s="242"/>
    </row>
    <row r="517">
      <c r="A517" s="13"/>
      <c r="B517" s="242"/>
      <c r="C517" s="242"/>
      <c r="D517" s="242"/>
      <c r="E517" s="242"/>
      <c r="F517" s="242"/>
      <c r="G517" s="13"/>
      <c r="H517" s="242"/>
      <c r="I517" s="242"/>
      <c r="J517" s="242"/>
      <c r="K517" s="242"/>
    </row>
    <row r="518">
      <c r="A518" s="13"/>
      <c r="B518" s="242"/>
      <c r="C518" s="242"/>
      <c r="D518" s="242"/>
      <c r="E518" s="242"/>
      <c r="F518" s="242"/>
      <c r="G518" s="13"/>
      <c r="H518" s="242"/>
      <c r="I518" s="242"/>
      <c r="J518" s="242"/>
      <c r="K518" s="242"/>
    </row>
    <row r="519">
      <c r="A519" s="13"/>
      <c r="B519" s="242"/>
      <c r="C519" s="242"/>
      <c r="D519" s="242"/>
      <c r="E519" s="242"/>
      <c r="F519" s="242"/>
      <c r="G519" s="13"/>
      <c r="H519" s="242"/>
      <c r="I519" s="242"/>
      <c r="J519" s="242"/>
      <c r="K519" s="242"/>
    </row>
    <row r="520">
      <c r="A520" s="13"/>
      <c r="B520" s="242"/>
      <c r="C520" s="242"/>
      <c r="D520" s="242"/>
      <c r="E520" s="242"/>
      <c r="F520" s="242"/>
      <c r="G520" s="13"/>
      <c r="H520" s="242"/>
      <c r="I520" s="242"/>
      <c r="J520" s="242"/>
      <c r="K520" s="242"/>
    </row>
    <row r="521">
      <c r="A521" s="13"/>
      <c r="B521" s="242"/>
      <c r="C521" s="242"/>
      <c r="D521" s="242"/>
      <c r="E521" s="242"/>
      <c r="F521" s="242"/>
      <c r="G521" s="13"/>
      <c r="H521" s="242"/>
      <c r="I521" s="242"/>
      <c r="J521" s="242"/>
      <c r="K521" s="242"/>
    </row>
    <row r="522">
      <c r="A522" s="13"/>
      <c r="B522" s="242"/>
      <c r="C522" s="242"/>
      <c r="D522" s="242"/>
      <c r="E522" s="242"/>
      <c r="F522" s="242"/>
      <c r="G522" s="13"/>
      <c r="H522" s="242"/>
      <c r="I522" s="242"/>
      <c r="J522" s="242"/>
      <c r="K522" s="242"/>
    </row>
    <row r="523">
      <c r="A523" s="13"/>
      <c r="B523" s="242"/>
      <c r="C523" s="242"/>
      <c r="D523" s="242"/>
      <c r="E523" s="242"/>
      <c r="F523" s="242"/>
      <c r="G523" s="13"/>
      <c r="H523" s="242"/>
      <c r="I523" s="242"/>
      <c r="J523" s="242"/>
      <c r="K523" s="242"/>
    </row>
    <row r="524">
      <c r="A524" s="13"/>
      <c r="B524" s="242"/>
      <c r="C524" s="242"/>
      <c r="D524" s="242"/>
      <c r="E524" s="242"/>
      <c r="F524" s="242"/>
      <c r="G524" s="13"/>
      <c r="H524" s="242"/>
      <c r="I524" s="242"/>
      <c r="J524" s="242"/>
      <c r="K524" s="242"/>
    </row>
    <row r="525">
      <c r="A525" s="13"/>
      <c r="B525" s="242"/>
      <c r="C525" s="242"/>
      <c r="D525" s="242"/>
      <c r="E525" s="242"/>
      <c r="F525" s="242"/>
      <c r="G525" s="13"/>
      <c r="H525" s="242"/>
      <c r="I525" s="242"/>
      <c r="J525" s="242"/>
      <c r="K525" s="242"/>
    </row>
    <row r="526">
      <c r="A526" s="13"/>
      <c r="B526" s="242"/>
      <c r="C526" s="242"/>
      <c r="D526" s="242"/>
      <c r="E526" s="242"/>
      <c r="F526" s="242"/>
      <c r="G526" s="13"/>
      <c r="H526" s="242"/>
      <c r="I526" s="242"/>
      <c r="J526" s="242"/>
      <c r="K526" s="242"/>
    </row>
    <row r="527">
      <c r="A527" s="13"/>
      <c r="B527" s="242"/>
      <c r="C527" s="242"/>
      <c r="D527" s="242"/>
      <c r="E527" s="242"/>
      <c r="F527" s="242"/>
      <c r="G527" s="13"/>
      <c r="H527" s="242"/>
      <c r="I527" s="242"/>
      <c r="J527" s="242"/>
      <c r="K527" s="242"/>
    </row>
    <row r="528">
      <c r="A528" s="13"/>
      <c r="B528" s="242"/>
      <c r="C528" s="242"/>
      <c r="D528" s="242"/>
      <c r="E528" s="242"/>
      <c r="F528" s="242"/>
      <c r="G528" s="13"/>
      <c r="H528" s="242"/>
      <c r="I528" s="242"/>
      <c r="J528" s="242"/>
      <c r="K528" s="242"/>
    </row>
    <row r="529">
      <c r="A529" s="13"/>
      <c r="B529" s="242"/>
      <c r="C529" s="242"/>
      <c r="D529" s="242"/>
      <c r="E529" s="242"/>
      <c r="F529" s="242"/>
      <c r="G529" s="13"/>
      <c r="H529" s="242"/>
      <c r="I529" s="242"/>
      <c r="J529" s="242"/>
      <c r="K529" s="242"/>
    </row>
    <row r="530">
      <c r="A530" s="13"/>
      <c r="B530" s="242"/>
      <c r="C530" s="242"/>
      <c r="D530" s="242"/>
      <c r="E530" s="242"/>
      <c r="F530" s="242"/>
      <c r="G530" s="13"/>
      <c r="H530" s="242"/>
      <c r="I530" s="242"/>
      <c r="J530" s="242"/>
      <c r="K530" s="242"/>
    </row>
    <row r="531">
      <c r="A531" s="13"/>
      <c r="B531" s="242"/>
      <c r="C531" s="242"/>
      <c r="D531" s="242"/>
      <c r="E531" s="242"/>
      <c r="F531" s="242"/>
      <c r="G531" s="13"/>
      <c r="H531" s="242"/>
      <c r="I531" s="242"/>
      <c r="J531" s="242"/>
      <c r="K531" s="242"/>
    </row>
    <row r="532">
      <c r="A532" s="13"/>
      <c r="B532" s="242"/>
      <c r="C532" s="242"/>
      <c r="D532" s="242"/>
      <c r="E532" s="242"/>
      <c r="F532" s="242"/>
      <c r="G532" s="13"/>
      <c r="H532" s="242"/>
      <c r="I532" s="242"/>
      <c r="J532" s="242"/>
      <c r="K532" s="242"/>
    </row>
    <row r="533">
      <c r="A533" s="13"/>
      <c r="B533" s="242"/>
      <c r="C533" s="242"/>
      <c r="D533" s="242"/>
      <c r="E533" s="242"/>
      <c r="F533" s="242"/>
      <c r="G533" s="13"/>
      <c r="H533" s="242"/>
      <c r="I533" s="242"/>
      <c r="J533" s="242"/>
      <c r="K533" s="242"/>
    </row>
    <row r="534">
      <c r="A534" s="13"/>
      <c r="B534" s="242"/>
      <c r="C534" s="242"/>
      <c r="D534" s="242"/>
      <c r="E534" s="242"/>
      <c r="F534" s="242"/>
      <c r="G534" s="13"/>
      <c r="H534" s="242"/>
      <c r="I534" s="242"/>
      <c r="J534" s="242"/>
      <c r="K534" s="242"/>
    </row>
    <row r="535">
      <c r="A535" s="13"/>
      <c r="B535" s="242"/>
      <c r="C535" s="242"/>
      <c r="D535" s="242"/>
      <c r="E535" s="242"/>
      <c r="F535" s="242"/>
      <c r="G535" s="13"/>
      <c r="H535" s="242"/>
      <c r="I535" s="242"/>
      <c r="J535" s="242"/>
      <c r="K535" s="242"/>
    </row>
    <row r="536">
      <c r="A536" s="13"/>
      <c r="B536" s="242"/>
      <c r="C536" s="242"/>
      <c r="D536" s="242"/>
      <c r="E536" s="242"/>
      <c r="F536" s="242"/>
      <c r="G536" s="13"/>
      <c r="H536" s="242"/>
      <c r="I536" s="242"/>
      <c r="J536" s="242"/>
      <c r="K536" s="242"/>
    </row>
    <row r="537">
      <c r="A537" s="13"/>
      <c r="B537" s="242"/>
      <c r="C537" s="242"/>
      <c r="D537" s="242"/>
      <c r="E537" s="242"/>
      <c r="F537" s="242"/>
      <c r="G537" s="13"/>
      <c r="H537" s="242"/>
      <c r="I537" s="242"/>
      <c r="J537" s="242"/>
      <c r="K537" s="242"/>
    </row>
    <row r="538">
      <c r="A538" s="13"/>
      <c r="B538" s="242"/>
      <c r="C538" s="242"/>
      <c r="D538" s="242"/>
      <c r="E538" s="242"/>
      <c r="F538" s="242"/>
      <c r="G538" s="13"/>
      <c r="H538" s="242"/>
      <c r="I538" s="242"/>
      <c r="J538" s="242"/>
      <c r="K538" s="242"/>
    </row>
    <row r="539">
      <c r="A539" s="13"/>
      <c r="B539" s="242"/>
      <c r="C539" s="242"/>
      <c r="D539" s="242"/>
      <c r="E539" s="242"/>
      <c r="F539" s="242"/>
      <c r="G539" s="13"/>
      <c r="H539" s="242"/>
      <c r="I539" s="242"/>
      <c r="J539" s="242"/>
      <c r="K539" s="242"/>
    </row>
    <row r="540">
      <c r="A540" s="13"/>
      <c r="B540" s="242"/>
      <c r="C540" s="242"/>
      <c r="D540" s="242"/>
      <c r="E540" s="242"/>
      <c r="F540" s="242"/>
      <c r="G540" s="13"/>
      <c r="H540" s="242"/>
      <c r="I540" s="242"/>
      <c r="J540" s="242"/>
      <c r="K540" s="242"/>
    </row>
    <row r="541">
      <c r="A541" s="13"/>
      <c r="B541" s="242"/>
      <c r="C541" s="242"/>
      <c r="D541" s="242"/>
      <c r="E541" s="242"/>
      <c r="F541" s="242"/>
      <c r="G541" s="13"/>
      <c r="H541" s="242"/>
      <c r="I541" s="242"/>
      <c r="J541" s="242"/>
      <c r="K541" s="242"/>
    </row>
    <row r="542">
      <c r="A542" s="13"/>
      <c r="B542" s="242"/>
      <c r="C542" s="242"/>
      <c r="D542" s="242"/>
      <c r="E542" s="242"/>
      <c r="F542" s="242"/>
      <c r="G542" s="13"/>
      <c r="H542" s="242"/>
      <c r="I542" s="242"/>
      <c r="J542" s="242"/>
      <c r="K542" s="242"/>
    </row>
    <row r="543">
      <c r="A543" s="13"/>
      <c r="B543" s="242"/>
      <c r="C543" s="242"/>
      <c r="D543" s="242"/>
      <c r="E543" s="242"/>
      <c r="F543" s="242"/>
      <c r="G543" s="13"/>
      <c r="H543" s="242"/>
      <c r="I543" s="242"/>
      <c r="J543" s="242"/>
      <c r="K543" s="242"/>
    </row>
    <row r="544">
      <c r="A544" s="13"/>
      <c r="B544" s="242"/>
      <c r="C544" s="242"/>
      <c r="D544" s="242"/>
      <c r="E544" s="242"/>
      <c r="F544" s="242"/>
      <c r="G544" s="13"/>
      <c r="H544" s="242"/>
      <c r="I544" s="242"/>
      <c r="J544" s="242"/>
      <c r="K544" s="242"/>
    </row>
    <row r="545">
      <c r="A545" s="13"/>
      <c r="B545" s="242"/>
      <c r="C545" s="242"/>
      <c r="D545" s="242"/>
      <c r="E545" s="242"/>
      <c r="F545" s="242"/>
      <c r="G545" s="13"/>
      <c r="H545" s="242"/>
      <c r="I545" s="242"/>
      <c r="J545" s="242"/>
      <c r="K545" s="242"/>
    </row>
    <row r="546">
      <c r="A546" s="13"/>
      <c r="B546" s="242"/>
      <c r="C546" s="242"/>
      <c r="D546" s="242"/>
      <c r="E546" s="242"/>
      <c r="F546" s="242"/>
      <c r="G546" s="13"/>
      <c r="H546" s="242"/>
      <c r="I546" s="242"/>
      <c r="J546" s="242"/>
      <c r="K546" s="242"/>
    </row>
    <row r="547">
      <c r="A547" s="13"/>
      <c r="B547" s="242"/>
      <c r="C547" s="242"/>
      <c r="D547" s="242"/>
      <c r="E547" s="242"/>
      <c r="F547" s="242"/>
      <c r="G547" s="13"/>
      <c r="H547" s="242"/>
      <c r="I547" s="242"/>
      <c r="J547" s="242"/>
      <c r="K547" s="242"/>
    </row>
    <row r="548">
      <c r="A548" s="13"/>
      <c r="B548" s="242"/>
      <c r="C548" s="242"/>
      <c r="D548" s="242"/>
      <c r="E548" s="242"/>
      <c r="F548" s="242"/>
      <c r="G548" s="13"/>
      <c r="H548" s="242"/>
      <c r="I548" s="242"/>
      <c r="J548" s="242"/>
      <c r="K548" s="242"/>
    </row>
    <row r="549">
      <c r="A549" s="13"/>
      <c r="B549" s="242"/>
      <c r="C549" s="242"/>
      <c r="D549" s="242"/>
      <c r="E549" s="242"/>
      <c r="F549" s="242"/>
      <c r="G549" s="13"/>
      <c r="H549" s="242"/>
      <c r="I549" s="242"/>
      <c r="J549" s="242"/>
      <c r="K549" s="242"/>
    </row>
    <row r="550">
      <c r="A550" s="13"/>
      <c r="B550" s="242"/>
      <c r="C550" s="242"/>
      <c r="D550" s="242"/>
      <c r="E550" s="242"/>
      <c r="F550" s="242"/>
      <c r="G550" s="13"/>
      <c r="H550" s="242"/>
      <c r="I550" s="242"/>
      <c r="J550" s="242"/>
      <c r="K550" s="242"/>
    </row>
    <row r="551">
      <c r="A551" s="13"/>
      <c r="B551" s="242"/>
      <c r="C551" s="242"/>
      <c r="D551" s="242"/>
      <c r="E551" s="242"/>
      <c r="F551" s="242"/>
      <c r="G551" s="13"/>
      <c r="H551" s="242"/>
      <c r="I551" s="242"/>
      <c r="J551" s="242"/>
      <c r="K551" s="242"/>
    </row>
    <row r="552">
      <c r="A552" s="13"/>
      <c r="B552" s="242"/>
      <c r="C552" s="242"/>
      <c r="D552" s="242"/>
      <c r="E552" s="242"/>
      <c r="F552" s="242"/>
      <c r="G552" s="13"/>
      <c r="H552" s="242"/>
      <c r="I552" s="242"/>
      <c r="J552" s="242"/>
      <c r="K552" s="242"/>
    </row>
    <row r="553">
      <c r="A553" s="13"/>
      <c r="B553" s="242"/>
      <c r="C553" s="242"/>
      <c r="D553" s="242"/>
      <c r="E553" s="242"/>
      <c r="F553" s="242"/>
      <c r="G553" s="13"/>
      <c r="H553" s="242"/>
      <c r="I553" s="242"/>
      <c r="J553" s="242"/>
      <c r="K553" s="242"/>
    </row>
    <row r="554">
      <c r="A554" s="13"/>
      <c r="B554" s="242"/>
      <c r="C554" s="242"/>
      <c r="D554" s="242"/>
      <c r="E554" s="242"/>
      <c r="F554" s="242"/>
      <c r="G554" s="13"/>
      <c r="H554" s="242"/>
      <c r="I554" s="242"/>
      <c r="J554" s="242"/>
      <c r="K554" s="242"/>
    </row>
    <row r="555">
      <c r="A555" s="13"/>
      <c r="B555" s="242"/>
      <c r="C555" s="242"/>
      <c r="D555" s="242"/>
      <c r="E555" s="242"/>
      <c r="F555" s="242"/>
      <c r="G555" s="13"/>
      <c r="H555" s="242"/>
      <c r="I555" s="242"/>
      <c r="J555" s="242"/>
      <c r="K555" s="242"/>
    </row>
    <row r="556">
      <c r="A556" s="13"/>
      <c r="B556" s="242"/>
      <c r="C556" s="242"/>
      <c r="D556" s="242"/>
      <c r="E556" s="242"/>
      <c r="F556" s="242"/>
      <c r="G556" s="13"/>
      <c r="H556" s="242"/>
      <c r="I556" s="242"/>
      <c r="J556" s="242"/>
      <c r="K556" s="242"/>
    </row>
    <row r="557">
      <c r="A557" s="13"/>
      <c r="B557" s="242"/>
      <c r="C557" s="242"/>
      <c r="D557" s="242"/>
      <c r="E557" s="242"/>
      <c r="F557" s="242"/>
      <c r="G557" s="13"/>
      <c r="H557" s="242"/>
      <c r="I557" s="242"/>
      <c r="J557" s="242"/>
      <c r="K557" s="242"/>
    </row>
    <row r="558">
      <c r="A558" s="13"/>
      <c r="B558" s="242"/>
      <c r="C558" s="242"/>
      <c r="D558" s="242"/>
      <c r="E558" s="242"/>
      <c r="F558" s="242"/>
      <c r="G558" s="13"/>
      <c r="H558" s="242"/>
      <c r="I558" s="242"/>
      <c r="J558" s="242"/>
      <c r="K558" s="242"/>
    </row>
    <row r="559">
      <c r="A559" s="13"/>
      <c r="B559" s="242"/>
      <c r="C559" s="242"/>
      <c r="D559" s="242"/>
      <c r="E559" s="242"/>
      <c r="F559" s="242"/>
      <c r="G559" s="13"/>
      <c r="H559" s="242"/>
      <c r="I559" s="242"/>
      <c r="J559" s="242"/>
      <c r="K559" s="242"/>
    </row>
    <row r="560">
      <c r="A560" s="13"/>
      <c r="B560" s="242"/>
      <c r="C560" s="242"/>
      <c r="D560" s="242"/>
      <c r="E560" s="242"/>
      <c r="F560" s="242"/>
      <c r="G560" s="13"/>
      <c r="H560" s="242"/>
      <c r="I560" s="242"/>
      <c r="J560" s="242"/>
      <c r="K560" s="242"/>
    </row>
    <row r="561">
      <c r="A561" s="13"/>
      <c r="B561" s="242"/>
      <c r="C561" s="242"/>
      <c r="D561" s="242"/>
      <c r="E561" s="242"/>
      <c r="F561" s="242"/>
      <c r="G561" s="13"/>
      <c r="H561" s="242"/>
      <c r="I561" s="242"/>
      <c r="J561" s="242"/>
      <c r="K561" s="242"/>
    </row>
    <row r="562">
      <c r="A562" s="13"/>
      <c r="B562" s="242"/>
      <c r="C562" s="242"/>
      <c r="D562" s="242"/>
      <c r="E562" s="242"/>
      <c r="F562" s="242"/>
      <c r="G562" s="13"/>
      <c r="H562" s="242"/>
      <c r="I562" s="242"/>
      <c r="J562" s="242"/>
      <c r="K562" s="242"/>
    </row>
    <row r="563">
      <c r="A563" s="13"/>
      <c r="B563" s="242"/>
      <c r="C563" s="242"/>
      <c r="D563" s="242"/>
      <c r="E563" s="242"/>
      <c r="F563" s="242"/>
      <c r="G563" s="13"/>
      <c r="H563" s="242"/>
      <c r="I563" s="242"/>
      <c r="J563" s="242"/>
      <c r="K563" s="242"/>
    </row>
    <row r="564">
      <c r="A564" s="13"/>
      <c r="B564" s="242"/>
      <c r="C564" s="242"/>
      <c r="D564" s="242"/>
      <c r="E564" s="242"/>
      <c r="F564" s="242"/>
      <c r="G564" s="13"/>
      <c r="H564" s="242"/>
      <c r="I564" s="242"/>
      <c r="J564" s="242"/>
      <c r="K564" s="242"/>
    </row>
    <row r="565">
      <c r="A565" s="13"/>
      <c r="B565" s="242"/>
      <c r="C565" s="242"/>
      <c r="D565" s="242"/>
      <c r="E565" s="242"/>
      <c r="F565" s="242"/>
      <c r="G565" s="13"/>
      <c r="H565" s="242"/>
      <c r="I565" s="242"/>
      <c r="J565" s="242"/>
      <c r="K565" s="242"/>
    </row>
    <row r="566">
      <c r="A566" s="13"/>
      <c r="B566" s="242"/>
      <c r="C566" s="242"/>
      <c r="D566" s="242"/>
      <c r="E566" s="242"/>
      <c r="F566" s="242"/>
      <c r="G566" s="13"/>
      <c r="H566" s="242"/>
      <c r="I566" s="242"/>
      <c r="J566" s="242"/>
      <c r="K566" s="242"/>
    </row>
    <row r="567">
      <c r="A567" s="13"/>
      <c r="B567" s="242"/>
      <c r="C567" s="242"/>
      <c r="D567" s="242"/>
      <c r="E567" s="242"/>
      <c r="F567" s="242"/>
      <c r="G567" s="13"/>
      <c r="H567" s="242"/>
      <c r="I567" s="242"/>
      <c r="J567" s="242"/>
      <c r="K567" s="242"/>
    </row>
    <row r="568">
      <c r="A568" s="13"/>
      <c r="B568" s="242"/>
      <c r="C568" s="242"/>
      <c r="D568" s="242"/>
      <c r="E568" s="242"/>
      <c r="F568" s="242"/>
      <c r="G568" s="13"/>
      <c r="H568" s="242"/>
      <c r="I568" s="242"/>
      <c r="J568" s="242"/>
      <c r="K568" s="242"/>
    </row>
    <row r="569">
      <c r="A569" s="13"/>
      <c r="B569" s="242"/>
      <c r="C569" s="242"/>
      <c r="D569" s="242"/>
      <c r="E569" s="242"/>
      <c r="F569" s="242"/>
      <c r="G569" s="13"/>
      <c r="H569" s="242"/>
      <c r="I569" s="242"/>
      <c r="J569" s="242"/>
      <c r="K569" s="242"/>
    </row>
    <row r="570">
      <c r="A570" s="13"/>
      <c r="B570" s="242"/>
      <c r="C570" s="242"/>
      <c r="D570" s="242"/>
      <c r="E570" s="242"/>
      <c r="F570" s="242"/>
      <c r="G570" s="13"/>
      <c r="H570" s="242"/>
      <c r="I570" s="242"/>
      <c r="J570" s="242"/>
      <c r="K570" s="242"/>
    </row>
    <row r="571">
      <c r="A571" s="13"/>
      <c r="B571" s="242"/>
      <c r="C571" s="242"/>
      <c r="D571" s="242"/>
      <c r="E571" s="242"/>
      <c r="F571" s="242"/>
      <c r="G571" s="13"/>
      <c r="H571" s="242"/>
      <c r="I571" s="242"/>
      <c r="J571" s="242"/>
      <c r="K571" s="242"/>
    </row>
    <row r="572">
      <c r="A572" s="13"/>
      <c r="B572" s="242"/>
      <c r="C572" s="242"/>
      <c r="D572" s="242"/>
      <c r="E572" s="242"/>
      <c r="F572" s="242"/>
      <c r="G572" s="13"/>
      <c r="H572" s="242"/>
      <c r="I572" s="242"/>
      <c r="J572" s="242"/>
      <c r="K572" s="242"/>
    </row>
    <row r="573">
      <c r="A573" s="13"/>
      <c r="B573" s="242"/>
      <c r="C573" s="242"/>
      <c r="D573" s="242"/>
      <c r="E573" s="242"/>
      <c r="F573" s="242"/>
      <c r="G573" s="13"/>
      <c r="H573" s="242"/>
      <c r="I573" s="242"/>
      <c r="J573" s="242"/>
      <c r="K573" s="242"/>
    </row>
    <row r="574">
      <c r="A574" s="13"/>
      <c r="B574" s="242"/>
      <c r="C574" s="242"/>
      <c r="D574" s="242"/>
      <c r="E574" s="242"/>
      <c r="F574" s="242"/>
      <c r="G574" s="13"/>
      <c r="H574" s="242"/>
      <c r="I574" s="242"/>
      <c r="J574" s="242"/>
      <c r="K574" s="242"/>
    </row>
    <row r="575">
      <c r="A575" s="13"/>
      <c r="B575" s="242"/>
      <c r="C575" s="242"/>
      <c r="D575" s="242"/>
      <c r="E575" s="242"/>
      <c r="F575" s="242"/>
      <c r="G575" s="13"/>
      <c r="H575" s="242"/>
      <c r="I575" s="242"/>
      <c r="J575" s="242"/>
      <c r="K575" s="242"/>
    </row>
    <row r="576">
      <c r="A576" s="13"/>
      <c r="B576" s="242"/>
      <c r="C576" s="242"/>
      <c r="D576" s="242"/>
      <c r="E576" s="242"/>
      <c r="F576" s="242"/>
      <c r="G576" s="13"/>
      <c r="H576" s="242"/>
      <c r="I576" s="242"/>
      <c r="J576" s="242"/>
      <c r="K576" s="242"/>
    </row>
    <row r="577">
      <c r="A577" s="13"/>
      <c r="B577" s="242"/>
      <c r="C577" s="242"/>
      <c r="D577" s="242"/>
      <c r="E577" s="242"/>
      <c r="F577" s="242"/>
      <c r="G577" s="13"/>
      <c r="H577" s="242"/>
      <c r="I577" s="242"/>
      <c r="J577" s="242"/>
      <c r="K577" s="242"/>
    </row>
    <row r="578">
      <c r="A578" s="13"/>
      <c r="B578" s="242"/>
      <c r="C578" s="242"/>
      <c r="D578" s="242"/>
      <c r="E578" s="242"/>
      <c r="F578" s="242"/>
      <c r="G578" s="13"/>
      <c r="H578" s="242"/>
      <c r="I578" s="242"/>
      <c r="J578" s="242"/>
      <c r="K578" s="242"/>
    </row>
    <row r="579">
      <c r="A579" s="13"/>
      <c r="B579" s="242"/>
      <c r="C579" s="242"/>
      <c r="D579" s="242"/>
      <c r="E579" s="242"/>
      <c r="F579" s="242"/>
      <c r="G579" s="13"/>
      <c r="H579" s="242"/>
      <c r="I579" s="242"/>
      <c r="J579" s="242"/>
      <c r="K579" s="242"/>
    </row>
    <row r="580">
      <c r="A580" s="13"/>
      <c r="B580" s="242"/>
      <c r="C580" s="242"/>
      <c r="D580" s="242"/>
      <c r="E580" s="242"/>
      <c r="F580" s="242"/>
      <c r="G580" s="13"/>
      <c r="H580" s="242"/>
      <c r="I580" s="242"/>
      <c r="J580" s="242"/>
      <c r="K580" s="242"/>
    </row>
    <row r="581">
      <c r="A581" s="13"/>
      <c r="B581" s="242"/>
      <c r="C581" s="242"/>
      <c r="D581" s="242"/>
      <c r="E581" s="242"/>
      <c r="F581" s="242"/>
      <c r="G581" s="13"/>
      <c r="H581" s="242"/>
      <c r="I581" s="242"/>
      <c r="J581" s="242"/>
      <c r="K581" s="242"/>
    </row>
    <row r="582">
      <c r="A582" s="13"/>
      <c r="B582" s="242"/>
      <c r="C582" s="242"/>
      <c r="D582" s="242"/>
      <c r="E582" s="242"/>
      <c r="F582" s="242"/>
      <c r="G582" s="13"/>
      <c r="H582" s="242"/>
      <c r="I582" s="242"/>
      <c r="J582" s="242"/>
      <c r="K582" s="242"/>
    </row>
    <row r="583">
      <c r="A583" s="13"/>
      <c r="B583" s="242"/>
      <c r="C583" s="242"/>
      <c r="D583" s="242"/>
      <c r="E583" s="242"/>
      <c r="F583" s="242"/>
      <c r="G583" s="13"/>
      <c r="H583" s="242"/>
      <c r="I583" s="242"/>
      <c r="J583" s="242"/>
      <c r="K583" s="242"/>
    </row>
    <row r="584">
      <c r="A584" s="13"/>
      <c r="B584" s="242"/>
      <c r="C584" s="242"/>
      <c r="D584" s="242"/>
      <c r="E584" s="242"/>
      <c r="F584" s="242"/>
      <c r="G584" s="13"/>
      <c r="H584" s="242"/>
      <c r="I584" s="242"/>
      <c r="J584" s="242"/>
      <c r="K584" s="242"/>
    </row>
    <row r="585">
      <c r="A585" s="13"/>
      <c r="B585" s="242"/>
      <c r="C585" s="242"/>
      <c r="D585" s="242"/>
      <c r="E585" s="242"/>
      <c r="F585" s="242"/>
      <c r="G585" s="13"/>
      <c r="H585" s="242"/>
      <c r="I585" s="242"/>
      <c r="J585" s="242"/>
      <c r="K585" s="242"/>
    </row>
    <row r="586">
      <c r="A586" s="13"/>
      <c r="B586" s="242"/>
      <c r="C586" s="242"/>
      <c r="D586" s="242"/>
      <c r="E586" s="242"/>
      <c r="F586" s="242"/>
      <c r="G586" s="13"/>
      <c r="H586" s="242"/>
      <c r="I586" s="242"/>
      <c r="J586" s="242"/>
      <c r="K586" s="242"/>
    </row>
    <row r="587">
      <c r="A587" s="13"/>
      <c r="B587" s="242"/>
      <c r="C587" s="242"/>
      <c r="D587" s="242"/>
      <c r="E587" s="242"/>
      <c r="F587" s="242"/>
      <c r="G587" s="13"/>
      <c r="H587" s="242"/>
      <c r="I587" s="242"/>
      <c r="J587" s="242"/>
      <c r="K587" s="242"/>
    </row>
    <row r="588">
      <c r="A588" s="13"/>
      <c r="B588" s="242"/>
      <c r="C588" s="242"/>
      <c r="D588" s="242"/>
      <c r="E588" s="242"/>
      <c r="F588" s="242"/>
      <c r="G588" s="13"/>
      <c r="H588" s="242"/>
      <c r="I588" s="242"/>
      <c r="J588" s="242"/>
      <c r="K588" s="242"/>
    </row>
    <row r="589">
      <c r="A589" s="13"/>
      <c r="B589" s="242"/>
      <c r="C589" s="242"/>
      <c r="D589" s="242"/>
      <c r="E589" s="242"/>
      <c r="F589" s="242"/>
      <c r="G589" s="13"/>
      <c r="H589" s="242"/>
      <c r="I589" s="242"/>
      <c r="J589" s="242"/>
      <c r="K589" s="242"/>
    </row>
    <row r="590">
      <c r="A590" s="13"/>
      <c r="B590" s="242"/>
      <c r="C590" s="242"/>
      <c r="D590" s="242"/>
      <c r="E590" s="242"/>
      <c r="F590" s="242"/>
      <c r="G590" s="13"/>
      <c r="H590" s="242"/>
      <c r="I590" s="242"/>
      <c r="J590" s="242"/>
      <c r="K590" s="242"/>
    </row>
    <row r="591">
      <c r="A591" s="13"/>
      <c r="B591" s="242"/>
      <c r="C591" s="242"/>
      <c r="D591" s="242"/>
      <c r="E591" s="242"/>
      <c r="F591" s="242"/>
      <c r="G591" s="13"/>
      <c r="H591" s="242"/>
      <c r="I591" s="242"/>
      <c r="J591" s="242"/>
      <c r="K591" s="242"/>
    </row>
    <row r="592">
      <c r="A592" s="13"/>
      <c r="B592" s="242"/>
      <c r="C592" s="242"/>
      <c r="D592" s="242"/>
      <c r="E592" s="242"/>
      <c r="F592" s="242"/>
      <c r="G592" s="13"/>
      <c r="H592" s="242"/>
      <c r="I592" s="242"/>
      <c r="J592" s="242"/>
      <c r="K592" s="242"/>
    </row>
    <row r="593">
      <c r="A593" s="13"/>
      <c r="B593" s="242"/>
      <c r="C593" s="242"/>
      <c r="D593" s="242"/>
      <c r="E593" s="242"/>
      <c r="F593" s="242"/>
      <c r="G593" s="13"/>
      <c r="H593" s="242"/>
      <c r="I593" s="242"/>
      <c r="J593" s="242"/>
      <c r="K593" s="242"/>
    </row>
    <row r="594">
      <c r="A594" s="13"/>
      <c r="B594" s="242"/>
      <c r="C594" s="242"/>
      <c r="D594" s="242"/>
      <c r="E594" s="242"/>
      <c r="F594" s="242"/>
      <c r="G594" s="13"/>
      <c r="H594" s="242"/>
      <c r="I594" s="242"/>
      <c r="J594" s="242"/>
      <c r="K594" s="242"/>
    </row>
    <row r="595">
      <c r="A595" s="13"/>
      <c r="B595" s="242"/>
      <c r="C595" s="242"/>
      <c r="D595" s="242"/>
      <c r="E595" s="242"/>
      <c r="F595" s="242"/>
      <c r="G595" s="13"/>
      <c r="H595" s="242"/>
      <c r="I595" s="242"/>
      <c r="J595" s="242"/>
      <c r="K595" s="242"/>
    </row>
    <row r="596">
      <c r="A596" s="13"/>
      <c r="B596" s="242"/>
      <c r="C596" s="242"/>
      <c r="D596" s="242"/>
      <c r="E596" s="242"/>
      <c r="F596" s="242"/>
      <c r="G596" s="13"/>
      <c r="H596" s="242"/>
      <c r="I596" s="242"/>
      <c r="J596" s="242"/>
      <c r="K596" s="242"/>
    </row>
    <row r="597">
      <c r="A597" s="13"/>
      <c r="B597" s="242"/>
      <c r="C597" s="242"/>
      <c r="D597" s="242"/>
      <c r="E597" s="242"/>
      <c r="F597" s="242"/>
      <c r="G597" s="13"/>
      <c r="H597" s="242"/>
      <c r="I597" s="242"/>
      <c r="J597" s="242"/>
      <c r="K597" s="242"/>
    </row>
    <row r="598">
      <c r="A598" s="13"/>
      <c r="B598" s="242"/>
      <c r="C598" s="242"/>
      <c r="D598" s="242"/>
      <c r="E598" s="242"/>
      <c r="F598" s="242"/>
      <c r="G598" s="13"/>
      <c r="H598" s="242"/>
      <c r="I598" s="242"/>
      <c r="J598" s="242"/>
      <c r="K598" s="242"/>
    </row>
    <row r="599">
      <c r="A599" s="13"/>
      <c r="B599" s="242"/>
      <c r="C599" s="242"/>
      <c r="D599" s="242"/>
      <c r="E599" s="242"/>
      <c r="F599" s="242"/>
      <c r="G599" s="13"/>
      <c r="H599" s="242"/>
      <c r="I599" s="242"/>
      <c r="J599" s="242"/>
      <c r="K599" s="242"/>
    </row>
    <row r="600">
      <c r="A600" s="13"/>
      <c r="B600" s="242"/>
      <c r="C600" s="242"/>
      <c r="D600" s="242"/>
      <c r="E600" s="242"/>
      <c r="F600" s="242"/>
      <c r="G600" s="13"/>
      <c r="H600" s="242"/>
      <c r="I600" s="242"/>
      <c r="J600" s="242"/>
      <c r="K600" s="242"/>
    </row>
    <row r="601">
      <c r="A601" s="13"/>
      <c r="B601" s="242"/>
      <c r="C601" s="242"/>
      <c r="D601" s="242"/>
      <c r="E601" s="242"/>
      <c r="F601" s="242"/>
      <c r="G601" s="13"/>
      <c r="H601" s="242"/>
      <c r="I601" s="242"/>
      <c r="J601" s="242"/>
      <c r="K601" s="242"/>
    </row>
    <row r="602">
      <c r="A602" s="13"/>
      <c r="B602" s="242"/>
      <c r="C602" s="242"/>
      <c r="D602" s="242"/>
      <c r="E602" s="242"/>
      <c r="F602" s="242"/>
      <c r="G602" s="13"/>
      <c r="H602" s="242"/>
      <c r="I602" s="242"/>
      <c r="J602" s="242"/>
      <c r="K602" s="242"/>
    </row>
    <row r="603">
      <c r="A603" s="13"/>
      <c r="B603" s="242"/>
      <c r="C603" s="242"/>
      <c r="D603" s="242"/>
      <c r="E603" s="242"/>
      <c r="F603" s="242"/>
      <c r="G603" s="13"/>
      <c r="H603" s="242"/>
      <c r="I603" s="242"/>
      <c r="J603" s="242"/>
      <c r="K603" s="242"/>
    </row>
    <row r="604">
      <c r="A604" s="13"/>
      <c r="B604" s="242"/>
      <c r="C604" s="242"/>
      <c r="D604" s="242"/>
      <c r="E604" s="242"/>
      <c r="F604" s="242"/>
      <c r="G604" s="13"/>
      <c r="H604" s="242"/>
      <c r="I604" s="242"/>
      <c r="J604" s="242"/>
      <c r="K604" s="242"/>
    </row>
    <row r="605">
      <c r="A605" s="13"/>
      <c r="B605" s="242"/>
      <c r="C605" s="242"/>
      <c r="D605" s="242"/>
      <c r="E605" s="242"/>
      <c r="F605" s="242"/>
      <c r="G605" s="13"/>
      <c r="H605" s="242"/>
      <c r="I605" s="242"/>
      <c r="J605" s="242"/>
      <c r="K605" s="242"/>
    </row>
    <row r="606">
      <c r="A606" s="13"/>
      <c r="B606" s="242"/>
      <c r="C606" s="242"/>
      <c r="D606" s="242"/>
      <c r="E606" s="242"/>
      <c r="F606" s="242"/>
      <c r="G606" s="13"/>
      <c r="H606" s="242"/>
      <c r="I606" s="242"/>
      <c r="J606" s="242"/>
      <c r="K606" s="242"/>
    </row>
    <row r="607">
      <c r="A607" s="13"/>
      <c r="B607" s="242"/>
      <c r="C607" s="242"/>
      <c r="D607" s="242"/>
      <c r="E607" s="242"/>
      <c r="F607" s="242"/>
      <c r="G607" s="13"/>
      <c r="H607" s="242"/>
      <c r="I607" s="242"/>
      <c r="J607" s="242"/>
      <c r="K607" s="242"/>
    </row>
    <row r="608">
      <c r="A608" s="13"/>
      <c r="B608" s="242"/>
      <c r="C608" s="242"/>
      <c r="D608" s="242"/>
      <c r="E608" s="242"/>
      <c r="F608" s="242"/>
      <c r="G608" s="13"/>
      <c r="H608" s="242"/>
      <c r="I608" s="242"/>
      <c r="J608" s="242"/>
      <c r="K608" s="242"/>
    </row>
    <row r="609">
      <c r="A609" s="13"/>
      <c r="B609" s="242"/>
      <c r="C609" s="242"/>
      <c r="D609" s="242"/>
      <c r="E609" s="242"/>
      <c r="F609" s="242"/>
      <c r="G609" s="13"/>
      <c r="H609" s="242"/>
      <c r="I609" s="242"/>
      <c r="J609" s="242"/>
      <c r="K609" s="242"/>
    </row>
    <row r="610">
      <c r="A610" s="13"/>
      <c r="B610" s="242"/>
      <c r="C610" s="242"/>
      <c r="D610" s="242"/>
      <c r="E610" s="242"/>
      <c r="F610" s="242"/>
      <c r="G610" s="13"/>
      <c r="H610" s="242"/>
      <c r="I610" s="242"/>
      <c r="J610" s="242"/>
      <c r="K610" s="242"/>
    </row>
    <row r="611">
      <c r="A611" s="13"/>
      <c r="B611" s="242"/>
      <c r="C611" s="242"/>
      <c r="D611" s="242"/>
      <c r="E611" s="242"/>
      <c r="F611" s="242"/>
      <c r="G611" s="13"/>
      <c r="H611" s="242"/>
      <c r="I611" s="242"/>
      <c r="J611" s="242"/>
      <c r="K611" s="242"/>
    </row>
    <row r="612">
      <c r="A612" s="13"/>
      <c r="B612" s="242"/>
      <c r="C612" s="242"/>
      <c r="D612" s="242"/>
      <c r="E612" s="242"/>
      <c r="F612" s="242"/>
      <c r="G612" s="13"/>
      <c r="H612" s="242"/>
      <c r="I612" s="242"/>
      <c r="J612" s="242"/>
      <c r="K612" s="242"/>
    </row>
    <row r="613">
      <c r="A613" s="13"/>
      <c r="B613" s="242"/>
      <c r="C613" s="242"/>
      <c r="D613" s="242"/>
      <c r="E613" s="242"/>
      <c r="F613" s="242"/>
      <c r="G613" s="13"/>
      <c r="H613" s="242"/>
      <c r="I613" s="242"/>
      <c r="J613" s="242"/>
      <c r="K613" s="242"/>
    </row>
    <row r="614">
      <c r="A614" s="13"/>
      <c r="B614" s="242"/>
      <c r="C614" s="242"/>
      <c r="D614" s="242"/>
      <c r="E614" s="242"/>
      <c r="F614" s="242"/>
      <c r="G614" s="13"/>
      <c r="H614" s="242"/>
      <c r="I614" s="242"/>
      <c r="J614" s="242"/>
      <c r="K614" s="242"/>
    </row>
    <row r="615">
      <c r="A615" s="13"/>
      <c r="B615" s="242"/>
      <c r="C615" s="242"/>
      <c r="D615" s="242"/>
      <c r="E615" s="242"/>
      <c r="F615" s="242"/>
      <c r="G615" s="13"/>
      <c r="H615" s="242"/>
      <c r="I615" s="242"/>
      <c r="J615" s="242"/>
      <c r="K615" s="242"/>
    </row>
    <row r="616">
      <c r="A616" s="13"/>
      <c r="B616" s="242"/>
      <c r="C616" s="242"/>
      <c r="D616" s="242"/>
      <c r="E616" s="242"/>
      <c r="F616" s="242"/>
      <c r="G616" s="13"/>
      <c r="H616" s="242"/>
      <c r="I616" s="242"/>
      <c r="J616" s="242"/>
      <c r="K616" s="242"/>
    </row>
    <row r="617">
      <c r="A617" s="13"/>
      <c r="B617" s="242"/>
      <c r="C617" s="242"/>
      <c r="D617" s="242"/>
      <c r="E617" s="242"/>
      <c r="F617" s="242"/>
      <c r="G617" s="13"/>
      <c r="H617" s="242"/>
      <c r="I617" s="242"/>
      <c r="J617" s="242"/>
      <c r="K617" s="242"/>
    </row>
    <row r="618">
      <c r="A618" s="13"/>
      <c r="B618" s="242"/>
      <c r="C618" s="242"/>
      <c r="D618" s="242"/>
      <c r="E618" s="242"/>
      <c r="F618" s="242"/>
      <c r="G618" s="13"/>
      <c r="H618" s="242"/>
      <c r="I618" s="242"/>
      <c r="J618" s="242"/>
      <c r="K618" s="242"/>
    </row>
    <row r="619">
      <c r="A619" s="13"/>
      <c r="B619" s="242"/>
      <c r="C619" s="242"/>
      <c r="D619" s="242"/>
      <c r="E619" s="242"/>
      <c r="F619" s="242"/>
      <c r="G619" s="13"/>
      <c r="H619" s="242"/>
      <c r="I619" s="242"/>
      <c r="J619" s="242"/>
      <c r="K619" s="242"/>
    </row>
    <row r="620">
      <c r="A620" s="13"/>
      <c r="B620" s="242"/>
      <c r="C620" s="242"/>
      <c r="D620" s="242"/>
      <c r="E620" s="242"/>
      <c r="F620" s="242"/>
      <c r="G620" s="13"/>
      <c r="H620" s="242"/>
      <c r="I620" s="242"/>
      <c r="J620" s="242"/>
      <c r="K620" s="242"/>
    </row>
    <row r="621">
      <c r="A621" s="13"/>
      <c r="B621" s="242"/>
      <c r="C621" s="242"/>
      <c r="D621" s="242"/>
      <c r="E621" s="242"/>
      <c r="F621" s="242"/>
      <c r="G621" s="13"/>
      <c r="H621" s="242"/>
      <c r="I621" s="242"/>
      <c r="J621" s="242"/>
      <c r="K621" s="242"/>
    </row>
    <row r="622">
      <c r="A622" s="13"/>
      <c r="B622" s="242"/>
      <c r="C622" s="242"/>
      <c r="D622" s="242"/>
      <c r="E622" s="242"/>
      <c r="F622" s="242"/>
      <c r="G622" s="13"/>
      <c r="H622" s="242"/>
      <c r="I622" s="242"/>
      <c r="J622" s="242"/>
      <c r="K622" s="242"/>
    </row>
    <row r="623">
      <c r="A623" s="13"/>
      <c r="B623" s="242"/>
      <c r="C623" s="242"/>
      <c r="D623" s="242"/>
      <c r="E623" s="242"/>
      <c r="F623" s="242"/>
      <c r="G623" s="13"/>
      <c r="H623" s="242"/>
      <c r="I623" s="242"/>
      <c r="J623" s="242"/>
      <c r="K623" s="242"/>
    </row>
    <row r="624">
      <c r="A624" s="13"/>
      <c r="B624" s="242"/>
      <c r="C624" s="242"/>
      <c r="D624" s="242"/>
      <c r="E624" s="242"/>
      <c r="F624" s="242"/>
      <c r="G624" s="13"/>
      <c r="H624" s="242"/>
      <c r="I624" s="242"/>
      <c r="J624" s="242"/>
      <c r="K624" s="242"/>
    </row>
    <row r="625">
      <c r="A625" s="13"/>
      <c r="B625" s="242"/>
      <c r="C625" s="242"/>
      <c r="D625" s="242"/>
      <c r="E625" s="242"/>
      <c r="F625" s="242"/>
      <c r="G625" s="13"/>
      <c r="H625" s="242"/>
      <c r="I625" s="242"/>
      <c r="J625" s="242"/>
      <c r="K625" s="242"/>
    </row>
    <row r="626">
      <c r="A626" s="13"/>
      <c r="B626" s="242"/>
      <c r="C626" s="242"/>
      <c r="D626" s="242"/>
      <c r="E626" s="242"/>
      <c r="F626" s="242"/>
      <c r="G626" s="13"/>
      <c r="H626" s="242"/>
      <c r="I626" s="242"/>
      <c r="J626" s="242"/>
      <c r="K626" s="242"/>
    </row>
    <row r="627">
      <c r="A627" s="13"/>
      <c r="B627" s="242"/>
      <c r="C627" s="242"/>
      <c r="D627" s="242"/>
      <c r="E627" s="242"/>
      <c r="F627" s="242"/>
      <c r="G627" s="13"/>
      <c r="H627" s="242"/>
      <c r="I627" s="242"/>
      <c r="J627" s="242"/>
      <c r="K627" s="242"/>
    </row>
    <row r="628">
      <c r="A628" s="13"/>
      <c r="B628" s="242"/>
      <c r="C628" s="242"/>
      <c r="D628" s="242"/>
      <c r="E628" s="242"/>
      <c r="F628" s="242"/>
      <c r="G628" s="13"/>
      <c r="H628" s="242"/>
      <c r="I628" s="242"/>
      <c r="J628" s="242"/>
      <c r="K628" s="242"/>
    </row>
    <row r="629">
      <c r="A629" s="13"/>
      <c r="B629" s="242"/>
      <c r="C629" s="242"/>
      <c r="D629" s="242"/>
      <c r="E629" s="242"/>
      <c r="F629" s="242"/>
      <c r="G629" s="13"/>
      <c r="H629" s="242"/>
      <c r="I629" s="242"/>
      <c r="J629" s="242"/>
      <c r="K629" s="242"/>
    </row>
    <row r="630">
      <c r="A630" s="13"/>
      <c r="B630" s="242"/>
      <c r="C630" s="242"/>
      <c r="D630" s="242"/>
      <c r="E630" s="242"/>
      <c r="F630" s="242"/>
      <c r="G630" s="13"/>
      <c r="H630" s="242"/>
      <c r="I630" s="242"/>
      <c r="J630" s="242"/>
      <c r="K630" s="242"/>
    </row>
    <row r="631">
      <c r="A631" s="13"/>
      <c r="B631" s="242"/>
      <c r="C631" s="242"/>
      <c r="D631" s="242"/>
      <c r="E631" s="242"/>
      <c r="F631" s="242"/>
      <c r="G631" s="13"/>
      <c r="H631" s="242"/>
      <c r="I631" s="242"/>
      <c r="J631" s="242"/>
      <c r="K631" s="242"/>
    </row>
    <row r="632">
      <c r="A632" s="13"/>
      <c r="B632" s="242"/>
      <c r="C632" s="242"/>
      <c r="D632" s="242"/>
      <c r="E632" s="242"/>
      <c r="F632" s="242"/>
      <c r="G632" s="13"/>
      <c r="H632" s="242"/>
      <c r="I632" s="242"/>
      <c r="J632" s="242"/>
      <c r="K632" s="242"/>
    </row>
    <row r="633">
      <c r="A633" s="13"/>
      <c r="B633" s="242"/>
      <c r="C633" s="242"/>
      <c r="D633" s="242"/>
      <c r="E633" s="242"/>
      <c r="F633" s="242"/>
      <c r="G633" s="13"/>
      <c r="H633" s="242"/>
      <c r="I633" s="242"/>
      <c r="J633" s="242"/>
      <c r="K633" s="242"/>
    </row>
    <row r="634">
      <c r="A634" s="13"/>
      <c r="B634" s="242"/>
      <c r="C634" s="242"/>
      <c r="D634" s="242"/>
      <c r="E634" s="242"/>
      <c r="F634" s="242"/>
      <c r="G634" s="13"/>
      <c r="H634" s="242"/>
      <c r="I634" s="242"/>
      <c r="J634" s="242"/>
      <c r="K634" s="242"/>
    </row>
    <row r="635">
      <c r="A635" s="13"/>
      <c r="B635" s="242"/>
      <c r="C635" s="242"/>
      <c r="D635" s="242"/>
      <c r="E635" s="242"/>
      <c r="F635" s="242"/>
      <c r="G635" s="13"/>
      <c r="H635" s="242"/>
      <c r="I635" s="242"/>
      <c r="J635" s="242"/>
      <c r="K635" s="242"/>
    </row>
    <row r="636">
      <c r="A636" s="13"/>
      <c r="B636" s="242"/>
      <c r="C636" s="242"/>
      <c r="D636" s="242"/>
      <c r="E636" s="242"/>
      <c r="F636" s="242"/>
      <c r="G636" s="13"/>
      <c r="H636" s="242"/>
      <c r="I636" s="242"/>
      <c r="J636" s="242"/>
      <c r="K636" s="242"/>
    </row>
    <row r="637">
      <c r="A637" s="13"/>
      <c r="B637" s="242"/>
      <c r="C637" s="242"/>
      <c r="D637" s="242"/>
      <c r="E637" s="242"/>
      <c r="F637" s="242"/>
      <c r="G637" s="13"/>
      <c r="H637" s="242"/>
      <c r="I637" s="242"/>
      <c r="J637" s="242"/>
      <c r="K637" s="242"/>
    </row>
    <row r="638">
      <c r="A638" s="13"/>
      <c r="B638" s="242"/>
      <c r="C638" s="242"/>
      <c r="D638" s="242"/>
      <c r="E638" s="242"/>
      <c r="F638" s="242"/>
      <c r="G638" s="13"/>
      <c r="H638" s="242"/>
      <c r="I638" s="242"/>
      <c r="J638" s="242"/>
      <c r="K638" s="242"/>
    </row>
    <row r="639">
      <c r="A639" s="13"/>
      <c r="B639" s="242"/>
      <c r="C639" s="242"/>
      <c r="D639" s="242"/>
      <c r="E639" s="242"/>
      <c r="F639" s="242"/>
      <c r="G639" s="13"/>
      <c r="H639" s="242"/>
      <c r="I639" s="242"/>
      <c r="J639" s="242"/>
      <c r="K639" s="242"/>
    </row>
    <row r="640">
      <c r="A640" s="13"/>
      <c r="B640" s="242"/>
      <c r="C640" s="242"/>
      <c r="D640" s="242"/>
      <c r="E640" s="242"/>
      <c r="F640" s="242"/>
      <c r="G640" s="13"/>
      <c r="H640" s="242"/>
      <c r="I640" s="242"/>
      <c r="J640" s="242"/>
      <c r="K640" s="242"/>
    </row>
    <row r="641">
      <c r="A641" s="13"/>
      <c r="B641" s="242"/>
      <c r="C641" s="242"/>
      <c r="D641" s="242"/>
      <c r="E641" s="242"/>
      <c r="F641" s="242"/>
      <c r="G641" s="13"/>
      <c r="H641" s="242"/>
      <c r="I641" s="242"/>
      <c r="J641" s="242"/>
      <c r="K641" s="242"/>
    </row>
    <row r="642">
      <c r="A642" s="13"/>
      <c r="B642" s="242"/>
      <c r="C642" s="242"/>
      <c r="D642" s="242"/>
      <c r="E642" s="242"/>
      <c r="F642" s="242"/>
      <c r="G642" s="13"/>
      <c r="H642" s="242"/>
      <c r="I642" s="242"/>
      <c r="J642" s="242"/>
      <c r="K642" s="242"/>
    </row>
    <row r="643">
      <c r="A643" s="13"/>
      <c r="B643" s="242"/>
      <c r="C643" s="242"/>
      <c r="D643" s="242"/>
      <c r="E643" s="242"/>
      <c r="F643" s="242"/>
      <c r="G643" s="13"/>
      <c r="H643" s="242"/>
      <c r="I643" s="242"/>
      <c r="J643" s="242"/>
      <c r="K643" s="242"/>
    </row>
    <row r="644">
      <c r="A644" s="13"/>
      <c r="B644" s="242"/>
      <c r="C644" s="242"/>
      <c r="D644" s="242"/>
      <c r="E644" s="242"/>
      <c r="F644" s="242"/>
      <c r="G644" s="13"/>
      <c r="H644" s="242"/>
      <c r="I644" s="242"/>
      <c r="J644" s="242"/>
      <c r="K644" s="242"/>
    </row>
    <row r="645">
      <c r="A645" s="13"/>
      <c r="B645" s="242"/>
      <c r="C645" s="242"/>
      <c r="D645" s="242"/>
      <c r="E645" s="242"/>
      <c r="F645" s="242"/>
      <c r="G645" s="13"/>
      <c r="H645" s="242"/>
      <c r="I645" s="242"/>
      <c r="J645" s="242"/>
      <c r="K645" s="242"/>
    </row>
    <row r="646">
      <c r="A646" s="13"/>
      <c r="B646" s="242"/>
      <c r="C646" s="242"/>
      <c r="D646" s="242"/>
      <c r="E646" s="242"/>
      <c r="F646" s="242"/>
      <c r="G646" s="13"/>
      <c r="H646" s="242"/>
      <c r="I646" s="242"/>
      <c r="J646" s="242"/>
      <c r="K646" s="242"/>
    </row>
    <row r="647">
      <c r="A647" s="13"/>
      <c r="B647" s="242"/>
      <c r="C647" s="242"/>
      <c r="D647" s="242"/>
      <c r="E647" s="242"/>
      <c r="F647" s="242"/>
      <c r="G647" s="13"/>
      <c r="H647" s="242"/>
      <c r="I647" s="242"/>
      <c r="J647" s="242"/>
      <c r="K647" s="242"/>
    </row>
    <row r="648">
      <c r="A648" s="13"/>
      <c r="B648" s="242"/>
      <c r="C648" s="242"/>
      <c r="D648" s="242"/>
      <c r="E648" s="242"/>
      <c r="F648" s="242"/>
      <c r="G648" s="13"/>
      <c r="H648" s="242"/>
      <c r="I648" s="242"/>
      <c r="J648" s="242"/>
      <c r="K648" s="242"/>
    </row>
    <row r="649">
      <c r="A649" s="13"/>
      <c r="B649" s="242"/>
      <c r="C649" s="242"/>
      <c r="D649" s="242"/>
      <c r="E649" s="242"/>
      <c r="F649" s="242"/>
      <c r="G649" s="13"/>
      <c r="H649" s="242"/>
      <c r="I649" s="242"/>
      <c r="J649" s="242"/>
      <c r="K649" s="242"/>
    </row>
    <row r="650">
      <c r="A650" s="13"/>
      <c r="B650" s="242"/>
      <c r="C650" s="242"/>
      <c r="D650" s="242"/>
      <c r="E650" s="242"/>
      <c r="F650" s="242"/>
      <c r="G650" s="13"/>
      <c r="H650" s="242"/>
      <c r="I650" s="242"/>
      <c r="J650" s="242"/>
      <c r="K650" s="242"/>
    </row>
    <row r="651">
      <c r="A651" s="13"/>
      <c r="B651" s="242"/>
      <c r="C651" s="242"/>
      <c r="D651" s="242"/>
      <c r="E651" s="242"/>
      <c r="F651" s="242"/>
      <c r="G651" s="13"/>
      <c r="H651" s="242"/>
      <c r="I651" s="242"/>
      <c r="J651" s="242"/>
      <c r="K651" s="242"/>
    </row>
    <row r="652">
      <c r="A652" s="13"/>
      <c r="B652" s="242"/>
      <c r="C652" s="242"/>
      <c r="D652" s="242"/>
      <c r="E652" s="242"/>
      <c r="F652" s="242"/>
      <c r="G652" s="13"/>
      <c r="H652" s="242"/>
      <c r="I652" s="242"/>
      <c r="J652" s="242"/>
      <c r="K652" s="242"/>
    </row>
    <row r="653">
      <c r="A653" s="13"/>
      <c r="B653" s="242"/>
      <c r="C653" s="242"/>
      <c r="D653" s="242"/>
      <c r="E653" s="242"/>
      <c r="F653" s="242"/>
      <c r="G653" s="13"/>
      <c r="H653" s="242"/>
      <c r="I653" s="242"/>
      <c r="J653" s="242"/>
      <c r="K653" s="242"/>
    </row>
    <row r="654">
      <c r="A654" s="13"/>
      <c r="B654" s="242"/>
      <c r="C654" s="242"/>
      <c r="D654" s="242"/>
      <c r="E654" s="242"/>
      <c r="F654" s="242"/>
      <c r="G654" s="13"/>
      <c r="H654" s="242"/>
      <c r="I654" s="242"/>
      <c r="J654" s="242"/>
      <c r="K654" s="242"/>
    </row>
    <row r="655">
      <c r="A655" s="13"/>
      <c r="B655" s="242"/>
      <c r="C655" s="242"/>
      <c r="D655" s="242"/>
      <c r="E655" s="242"/>
      <c r="F655" s="242"/>
      <c r="G655" s="13"/>
      <c r="H655" s="242"/>
      <c r="I655" s="242"/>
      <c r="J655" s="242"/>
      <c r="K655" s="242"/>
    </row>
    <row r="656">
      <c r="A656" s="13"/>
      <c r="B656" s="242"/>
      <c r="C656" s="242"/>
      <c r="D656" s="242"/>
      <c r="E656" s="242"/>
      <c r="F656" s="242"/>
      <c r="G656" s="13"/>
      <c r="H656" s="242"/>
      <c r="I656" s="242"/>
      <c r="J656" s="242"/>
      <c r="K656" s="242"/>
    </row>
    <row r="657">
      <c r="A657" s="13"/>
      <c r="B657" s="242"/>
      <c r="C657" s="242"/>
      <c r="D657" s="242"/>
      <c r="E657" s="242"/>
      <c r="F657" s="242"/>
      <c r="G657" s="13"/>
      <c r="H657" s="242"/>
      <c r="I657" s="242"/>
      <c r="J657" s="242"/>
      <c r="K657" s="242"/>
    </row>
    <row r="658">
      <c r="A658" s="13"/>
      <c r="B658" s="242"/>
      <c r="C658" s="242"/>
      <c r="D658" s="242"/>
      <c r="E658" s="242"/>
      <c r="F658" s="242"/>
      <c r="G658" s="13"/>
      <c r="H658" s="242"/>
      <c r="I658" s="242"/>
      <c r="J658" s="242"/>
      <c r="K658" s="242"/>
    </row>
    <row r="659">
      <c r="A659" s="13"/>
      <c r="B659" s="242"/>
      <c r="C659" s="242"/>
      <c r="D659" s="242"/>
      <c r="E659" s="242"/>
      <c r="F659" s="242"/>
      <c r="G659" s="13"/>
      <c r="H659" s="242"/>
      <c r="I659" s="242"/>
      <c r="J659" s="242"/>
      <c r="K659" s="242"/>
    </row>
    <row r="660">
      <c r="A660" s="13"/>
      <c r="B660" s="242"/>
      <c r="C660" s="242"/>
      <c r="D660" s="242"/>
      <c r="E660" s="242"/>
      <c r="F660" s="242"/>
      <c r="G660" s="13"/>
      <c r="H660" s="242"/>
      <c r="I660" s="242"/>
      <c r="J660" s="242"/>
      <c r="K660" s="242"/>
    </row>
    <row r="661">
      <c r="A661" s="13"/>
      <c r="B661" s="242"/>
      <c r="C661" s="242"/>
      <c r="D661" s="242"/>
      <c r="E661" s="242"/>
      <c r="F661" s="242"/>
      <c r="G661" s="13"/>
      <c r="H661" s="242"/>
      <c r="I661" s="242"/>
      <c r="J661" s="242"/>
      <c r="K661" s="242"/>
    </row>
    <row r="662">
      <c r="A662" s="13"/>
      <c r="B662" s="242"/>
      <c r="C662" s="242"/>
      <c r="D662" s="242"/>
      <c r="E662" s="242"/>
      <c r="F662" s="242"/>
      <c r="G662" s="13"/>
      <c r="H662" s="242"/>
      <c r="I662" s="242"/>
      <c r="J662" s="242"/>
      <c r="K662" s="242"/>
    </row>
    <row r="663">
      <c r="A663" s="13"/>
      <c r="B663" s="242"/>
      <c r="C663" s="242"/>
      <c r="D663" s="242"/>
      <c r="E663" s="242"/>
      <c r="F663" s="242"/>
      <c r="G663" s="13"/>
      <c r="H663" s="242"/>
      <c r="I663" s="242"/>
      <c r="J663" s="242"/>
      <c r="K663" s="242"/>
    </row>
    <row r="664">
      <c r="A664" s="13"/>
      <c r="B664" s="242"/>
      <c r="C664" s="242"/>
      <c r="D664" s="242"/>
      <c r="E664" s="242"/>
      <c r="F664" s="242"/>
      <c r="G664" s="13"/>
      <c r="H664" s="242"/>
      <c r="I664" s="242"/>
      <c r="J664" s="242"/>
      <c r="K664" s="242"/>
    </row>
    <row r="665">
      <c r="A665" s="13"/>
      <c r="B665" s="242"/>
      <c r="C665" s="242"/>
      <c r="D665" s="242"/>
      <c r="E665" s="242"/>
      <c r="F665" s="242"/>
      <c r="G665" s="13"/>
      <c r="H665" s="242"/>
      <c r="I665" s="242"/>
      <c r="J665" s="242"/>
      <c r="K665" s="242"/>
    </row>
    <row r="666">
      <c r="A666" s="13"/>
      <c r="B666" s="242"/>
      <c r="C666" s="242"/>
      <c r="D666" s="242"/>
      <c r="E666" s="242"/>
      <c r="F666" s="242"/>
      <c r="G666" s="13"/>
      <c r="H666" s="242"/>
      <c r="I666" s="242"/>
      <c r="J666" s="242"/>
      <c r="K666" s="242"/>
    </row>
    <row r="667">
      <c r="A667" s="13"/>
      <c r="B667" s="242"/>
      <c r="C667" s="242"/>
      <c r="D667" s="242"/>
      <c r="E667" s="242"/>
      <c r="F667" s="242"/>
      <c r="G667" s="13"/>
      <c r="H667" s="242"/>
      <c r="I667" s="242"/>
      <c r="J667" s="242"/>
      <c r="K667" s="242"/>
    </row>
    <row r="668">
      <c r="A668" s="13"/>
      <c r="B668" s="242"/>
      <c r="C668" s="242"/>
      <c r="D668" s="242"/>
      <c r="E668" s="242"/>
      <c r="F668" s="242"/>
      <c r="G668" s="13"/>
      <c r="H668" s="242"/>
      <c r="I668" s="242"/>
      <c r="J668" s="242"/>
      <c r="K668" s="242"/>
    </row>
    <row r="669">
      <c r="A669" s="13"/>
      <c r="B669" s="242"/>
      <c r="C669" s="242"/>
      <c r="D669" s="242"/>
      <c r="E669" s="242"/>
      <c r="F669" s="242"/>
      <c r="G669" s="13"/>
      <c r="H669" s="242"/>
      <c r="I669" s="242"/>
      <c r="J669" s="242"/>
      <c r="K669" s="242"/>
    </row>
    <row r="670">
      <c r="A670" s="13"/>
      <c r="B670" s="242"/>
      <c r="C670" s="242"/>
      <c r="D670" s="242"/>
      <c r="E670" s="242"/>
      <c r="F670" s="242"/>
      <c r="G670" s="13"/>
      <c r="H670" s="242"/>
      <c r="I670" s="242"/>
      <c r="J670" s="242"/>
      <c r="K670" s="242"/>
    </row>
    <row r="671">
      <c r="A671" s="13"/>
      <c r="B671" s="242"/>
      <c r="C671" s="242"/>
      <c r="D671" s="242"/>
      <c r="E671" s="242"/>
      <c r="F671" s="242"/>
      <c r="G671" s="13"/>
      <c r="H671" s="242"/>
      <c r="I671" s="242"/>
      <c r="J671" s="242"/>
      <c r="K671" s="242"/>
    </row>
    <row r="672">
      <c r="A672" s="13"/>
      <c r="B672" s="242"/>
      <c r="C672" s="242"/>
      <c r="D672" s="242"/>
      <c r="E672" s="242"/>
      <c r="F672" s="242"/>
      <c r="G672" s="13"/>
      <c r="H672" s="242"/>
      <c r="I672" s="242"/>
      <c r="J672" s="242"/>
      <c r="K672" s="242"/>
    </row>
    <row r="673">
      <c r="A673" s="13"/>
      <c r="B673" s="242"/>
      <c r="C673" s="242"/>
      <c r="D673" s="242"/>
      <c r="E673" s="242"/>
      <c r="F673" s="242"/>
      <c r="G673" s="13"/>
      <c r="H673" s="242"/>
      <c r="I673" s="242"/>
      <c r="J673" s="242"/>
      <c r="K673" s="242"/>
    </row>
    <row r="674">
      <c r="A674" s="13"/>
      <c r="B674" s="242"/>
      <c r="C674" s="242"/>
      <c r="D674" s="242"/>
      <c r="E674" s="242"/>
      <c r="F674" s="242"/>
      <c r="G674" s="13"/>
      <c r="H674" s="242"/>
      <c r="I674" s="242"/>
      <c r="J674" s="242"/>
      <c r="K674" s="242"/>
    </row>
    <row r="675">
      <c r="A675" s="13"/>
      <c r="B675" s="242"/>
      <c r="C675" s="242"/>
      <c r="D675" s="242"/>
      <c r="E675" s="242"/>
      <c r="F675" s="242"/>
      <c r="G675" s="13"/>
      <c r="H675" s="242"/>
      <c r="I675" s="242"/>
      <c r="J675" s="242"/>
      <c r="K675" s="242"/>
    </row>
    <row r="676">
      <c r="A676" s="13"/>
      <c r="B676" s="242"/>
      <c r="C676" s="242"/>
      <c r="D676" s="242"/>
      <c r="E676" s="242"/>
      <c r="F676" s="242"/>
      <c r="G676" s="13"/>
      <c r="H676" s="242"/>
      <c r="I676" s="242"/>
      <c r="J676" s="242"/>
      <c r="K676" s="242"/>
    </row>
    <row r="677">
      <c r="A677" s="13"/>
      <c r="B677" s="242"/>
      <c r="C677" s="242"/>
      <c r="D677" s="242"/>
      <c r="E677" s="242"/>
      <c r="F677" s="242"/>
      <c r="G677" s="13"/>
      <c r="H677" s="242"/>
      <c r="I677" s="242"/>
      <c r="J677" s="242"/>
      <c r="K677" s="242"/>
    </row>
    <row r="678">
      <c r="A678" s="13"/>
      <c r="B678" s="242"/>
      <c r="C678" s="242"/>
      <c r="D678" s="242"/>
      <c r="E678" s="242"/>
      <c r="F678" s="242"/>
      <c r="G678" s="13"/>
      <c r="H678" s="242"/>
      <c r="I678" s="242"/>
      <c r="J678" s="242"/>
      <c r="K678" s="242"/>
    </row>
    <row r="679">
      <c r="A679" s="13"/>
      <c r="B679" s="242"/>
      <c r="C679" s="242"/>
      <c r="D679" s="242"/>
      <c r="E679" s="242"/>
      <c r="F679" s="242"/>
      <c r="G679" s="13"/>
      <c r="H679" s="242"/>
      <c r="I679" s="242"/>
      <c r="J679" s="242"/>
      <c r="K679" s="242"/>
    </row>
    <row r="680">
      <c r="A680" s="13"/>
      <c r="B680" s="242"/>
      <c r="C680" s="242"/>
      <c r="D680" s="242"/>
      <c r="E680" s="242"/>
      <c r="F680" s="242"/>
      <c r="G680" s="13"/>
      <c r="H680" s="242"/>
      <c r="I680" s="242"/>
      <c r="J680" s="242"/>
      <c r="K680" s="242"/>
    </row>
    <row r="681">
      <c r="A681" s="13"/>
      <c r="B681" s="242"/>
      <c r="C681" s="242"/>
      <c r="D681" s="242"/>
      <c r="E681" s="242"/>
      <c r="F681" s="242"/>
      <c r="G681" s="13"/>
      <c r="H681" s="242"/>
      <c r="I681" s="242"/>
      <c r="J681" s="242"/>
      <c r="K681" s="242"/>
    </row>
    <row r="682">
      <c r="A682" s="13"/>
      <c r="B682" s="242"/>
      <c r="C682" s="242"/>
      <c r="D682" s="242"/>
      <c r="E682" s="242"/>
      <c r="F682" s="242"/>
      <c r="G682" s="13"/>
      <c r="H682" s="242"/>
      <c r="I682" s="242"/>
      <c r="J682" s="242"/>
      <c r="K682" s="242"/>
    </row>
    <row r="683">
      <c r="A683" s="13"/>
      <c r="B683" s="242"/>
      <c r="C683" s="242"/>
      <c r="D683" s="242"/>
      <c r="E683" s="242"/>
      <c r="F683" s="242"/>
      <c r="G683" s="13"/>
      <c r="H683" s="242"/>
      <c r="I683" s="242"/>
      <c r="J683" s="242"/>
      <c r="K683" s="242"/>
    </row>
    <row r="684">
      <c r="A684" s="13"/>
      <c r="B684" s="242"/>
      <c r="C684" s="242"/>
      <c r="D684" s="242"/>
      <c r="E684" s="242"/>
      <c r="F684" s="242"/>
      <c r="G684" s="13"/>
      <c r="H684" s="242"/>
      <c r="I684" s="242"/>
      <c r="J684" s="242"/>
      <c r="K684" s="242"/>
    </row>
    <row r="685">
      <c r="A685" s="13"/>
      <c r="B685" s="242"/>
      <c r="C685" s="242"/>
      <c r="D685" s="242"/>
      <c r="E685" s="242"/>
      <c r="F685" s="242"/>
      <c r="G685" s="13"/>
      <c r="H685" s="242"/>
      <c r="I685" s="242"/>
      <c r="J685" s="242"/>
      <c r="K685" s="242"/>
    </row>
    <row r="686">
      <c r="A686" s="13"/>
      <c r="B686" s="242"/>
      <c r="C686" s="242"/>
      <c r="D686" s="242"/>
      <c r="E686" s="242"/>
      <c r="F686" s="242"/>
      <c r="G686" s="13"/>
      <c r="H686" s="242"/>
      <c r="I686" s="242"/>
      <c r="J686" s="242"/>
      <c r="K686" s="242"/>
    </row>
    <row r="687">
      <c r="A687" s="13"/>
      <c r="B687" s="242"/>
      <c r="C687" s="242"/>
      <c r="D687" s="242"/>
      <c r="E687" s="242"/>
      <c r="F687" s="242"/>
      <c r="G687" s="13"/>
      <c r="H687" s="242"/>
      <c r="I687" s="242"/>
      <c r="J687" s="242"/>
      <c r="K687" s="242"/>
    </row>
    <row r="688">
      <c r="A688" s="13"/>
      <c r="B688" s="242"/>
      <c r="C688" s="242"/>
      <c r="D688" s="242"/>
      <c r="E688" s="242"/>
      <c r="F688" s="242"/>
      <c r="G688" s="13"/>
      <c r="H688" s="242"/>
      <c r="I688" s="242"/>
      <c r="J688" s="242"/>
      <c r="K688" s="242"/>
    </row>
    <row r="689">
      <c r="A689" s="13"/>
      <c r="B689" s="242"/>
      <c r="C689" s="242"/>
      <c r="D689" s="242"/>
      <c r="E689" s="242"/>
      <c r="F689" s="242"/>
      <c r="G689" s="13"/>
      <c r="H689" s="242"/>
      <c r="I689" s="242"/>
      <c r="J689" s="242"/>
      <c r="K689" s="242"/>
    </row>
    <row r="690">
      <c r="A690" s="13"/>
      <c r="B690" s="242"/>
      <c r="C690" s="242"/>
      <c r="D690" s="242"/>
      <c r="E690" s="242"/>
      <c r="F690" s="242"/>
      <c r="G690" s="13"/>
      <c r="H690" s="242"/>
      <c r="I690" s="242"/>
      <c r="J690" s="242"/>
      <c r="K690" s="242"/>
    </row>
    <row r="691">
      <c r="A691" s="13"/>
      <c r="B691" s="242"/>
      <c r="C691" s="242"/>
      <c r="D691" s="242"/>
      <c r="E691" s="242"/>
      <c r="F691" s="242"/>
      <c r="G691" s="13"/>
      <c r="H691" s="242"/>
      <c r="I691" s="242"/>
      <c r="J691" s="242"/>
      <c r="K691" s="242"/>
    </row>
    <row r="692">
      <c r="A692" s="13"/>
      <c r="B692" s="242"/>
      <c r="C692" s="242"/>
      <c r="D692" s="242"/>
      <c r="E692" s="242"/>
      <c r="F692" s="242"/>
      <c r="G692" s="13"/>
      <c r="H692" s="242"/>
      <c r="I692" s="242"/>
      <c r="J692" s="242"/>
      <c r="K692" s="242"/>
    </row>
    <row r="693">
      <c r="A693" s="13"/>
      <c r="B693" s="242"/>
      <c r="C693" s="242"/>
      <c r="D693" s="242"/>
      <c r="E693" s="242"/>
      <c r="F693" s="242"/>
      <c r="G693" s="13"/>
      <c r="H693" s="242"/>
      <c r="I693" s="242"/>
      <c r="J693" s="242"/>
      <c r="K693" s="242"/>
    </row>
    <row r="694">
      <c r="A694" s="13"/>
      <c r="B694" s="242"/>
      <c r="C694" s="242"/>
      <c r="D694" s="242"/>
      <c r="E694" s="242"/>
      <c r="F694" s="242"/>
      <c r="G694" s="13"/>
      <c r="H694" s="242"/>
      <c r="I694" s="242"/>
      <c r="J694" s="242"/>
      <c r="K694" s="242"/>
    </row>
    <row r="695">
      <c r="A695" s="13"/>
      <c r="B695" s="242"/>
      <c r="C695" s="242"/>
      <c r="D695" s="242"/>
      <c r="E695" s="242"/>
      <c r="F695" s="242"/>
      <c r="G695" s="13"/>
      <c r="H695" s="242"/>
      <c r="I695" s="242"/>
      <c r="J695" s="242"/>
      <c r="K695" s="242"/>
    </row>
    <row r="696">
      <c r="A696" s="13"/>
      <c r="B696" s="242"/>
      <c r="C696" s="242"/>
      <c r="D696" s="242"/>
      <c r="E696" s="242"/>
      <c r="F696" s="242"/>
      <c r="G696" s="13"/>
      <c r="H696" s="242"/>
      <c r="I696" s="242"/>
      <c r="J696" s="242"/>
      <c r="K696" s="242"/>
    </row>
    <row r="697">
      <c r="A697" s="13"/>
      <c r="B697" s="242"/>
      <c r="C697" s="242"/>
      <c r="D697" s="242"/>
      <c r="E697" s="242"/>
      <c r="F697" s="242"/>
      <c r="G697" s="13"/>
      <c r="H697" s="242"/>
      <c r="I697" s="242"/>
      <c r="J697" s="242"/>
      <c r="K697" s="242"/>
    </row>
    <row r="698">
      <c r="A698" s="13"/>
      <c r="B698" s="242"/>
      <c r="C698" s="242"/>
      <c r="D698" s="242"/>
      <c r="E698" s="242"/>
      <c r="F698" s="242"/>
      <c r="G698" s="13"/>
      <c r="H698" s="242"/>
      <c r="I698" s="242"/>
      <c r="J698" s="242"/>
      <c r="K698" s="242"/>
    </row>
    <row r="699">
      <c r="A699" s="13"/>
      <c r="B699" s="242"/>
      <c r="C699" s="242"/>
      <c r="D699" s="242"/>
      <c r="E699" s="242"/>
      <c r="F699" s="242"/>
      <c r="G699" s="13"/>
      <c r="H699" s="242"/>
      <c r="I699" s="242"/>
      <c r="J699" s="242"/>
      <c r="K699" s="242"/>
    </row>
    <row r="700">
      <c r="A700" s="13"/>
      <c r="B700" s="242"/>
      <c r="C700" s="242"/>
      <c r="D700" s="242"/>
      <c r="E700" s="242"/>
      <c r="F700" s="242"/>
      <c r="G700" s="13"/>
      <c r="H700" s="242"/>
      <c r="I700" s="242"/>
      <c r="J700" s="242"/>
      <c r="K700" s="242"/>
    </row>
    <row r="701">
      <c r="A701" s="13"/>
      <c r="B701" s="242"/>
      <c r="C701" s="242"/>
      <c r="D701" s="242"/>
      <c r="E701" s="242"/>
      <c r="F701" s="242"/>
      <c r="G701" s="13"/>
      <c r="H701" s="242"/>
      <c r="I701" s="242"/>
      <c r="J701" s="242"/>
      <c r="K701" s="242"/>
    </row>
    <row r="702">
      <c r="A702" s="13"/>
      <c r="B702" s="242"/>
      <c r="C702" s="242"/>
      <c r="D702" s="242"/>
      <c r="E702" s="242"/>
      <c r="F702" s="242"/>
      <c r="G702" s="13"/>
      <c r="H702" s="242"/>
      <c r="I702" s="242"/>
      <c r="J702" s="242"/>
      <c r="K702" s="242"/>
    </row>
    <row r="703">
      <c r="A703" s="13"/>
      <c r="B703" s="242"/>
      <c r="C703" s="242"/>
      <c r="D703" s="242"/>
      <c r="E703" s="242"/>
      <c r="F703" s="242"/>
      <c r="G703" s="13"/>
      <c r="H703" s="242"/>
      <c r="I703" s="242"/>
      <c r="J703" s="242"/>
      <c r="K703" s="242"/>
    </row>
    <row r="704">
      <c r="A704" s="13"/>
      <c r="B704" s="242"/>
      <c r="C704" s="242"/>
      <c r="D704" s="242"/>
      <c r="E704" s="242"/>
      <c r="F704" s="242"/>
      <c r="G704" s="13"/>
      <c r="H704" s="242"/>
      <c r="I704" s="242"/>
      <c r="J704" s="242"/>
      <c r="K704" s="242"/>
    </row>
    <row r="705">
      <c r="A705" s="13"/>
      <c r="B705" s="242"/>
      <c r="C705" s="242"/>
      <c r="D705" s="242"/>
      <c r="E705" s="242"/>
      <c r="F705" s="242"/>
      <c r="G705" s="13"/>
      <c r="H705" s="242"/>
      <c r="I705" s="242"/>
      <c r="J705" s="242"/>
      <c r="K705" s="242"/>
    </row>
    <row r="706">
      <c r="A706" s="13"/>
      <c r="B706" s="242"/>
      <c r="C706" s="242"/>
      <c r="D706" s="242"/>
      <c r="E706" s="242"/>
      <c r="F706" s="242"/>
      <c r="G706" s="13"/>
      <c r="H706" s="242"/>
      <c r="I706" s="242"/>
      <c r="J706" s="242"/>
      <c r="K706" s="242"/>
    </row>
    <row r="707">
      <c r="A707" s="13"/>
      <c r="B707" s="242"/>
      <c r="C707" s="242"/>
      <c r="D707" s="242"/>
      <c r="E707" s="242"/>
      <c r="F707" s="242"/>
      <c r="G707" s="13"/>
      <c r="H707" s="242"/>
      <c r="I707" s="242"/>
      <c r="J707" s="242"/>
      <c r="K707" s="242"/>
    </row>
    <row r="708">
      <c r="A708" s="13"/>
      <c r="B708" s="242"/>
      <c r="C708" s="242"/>
      <c r="D708" s="242"/>
      <c r="E708" s="242"/>
      <c r="F708" s="242"/>
      <c r="G708" s="13"/>
      <c r="H708" s="242"/>
      <c r="I708" s="242"/>
      <c r="J708" s="242"/>
      <c r="K708" s="242"/>
    </row>
    <row r="709">
      <c r="A709" s="13"/>
      <c r="B709" s="242"/>
      <c r="C709" s="242"/>
      <c r="D709" s="242"/>
      <c r="E709" s="242"/>
      <c r="F709" s="242"/>
      <c r="G709" s="13"/>
      <c r="H709" s="242"/>
      <c r="I709" s="242"/>
      <c r="J709" s="242"/>
      <c r="K709" s="242"/>
    </row>
    <row r="710">
      <c r="A710" s="13"/>
      <c r="B710" s="242"/>
      <c r="C710" s="242"/>
      <c r="D710" s="242"/>
      <c r="E710" s="242"/>
      <c r="F710" s="242"/>
      <c r="G710" s="13"/>
      <c r="H710" s="242"/>
      <c r="I710" s="242"/>
      <c r="J710" s="242"/>
      <c r="K710" s="242"/>
    </row>
    <row r="711">
      <c r="A711" s="13"/>
      <c r="B711" s="242"/>
      <c r="C711" s="242"/>
      <c r="D711" s="242"/>
      <c r="E711" s="242"/>
      <c r="F711" s="242"/>
      <c r="G711" s="13"/>
      <c r="H711" s="242"/>
      <c r="I711" s="242"/>
      <c r="J711" s="242"/>
      <c r="K711" s="242"/>
    </row>
    <row r="712">
      <c r="A712" s="13"/>
      <c r="B712" s="242"/>
      <c r="C712" s="242"/>
      <c r="D712" s="242"/>
      <c r="E712" s="242"/>
      <c r="F712" s="242"/>
      <c r="G712" s="13"/>
      <c r="H712" s="242"/>
      <c r="I712" s="242"/>
      <c r="J712" s="242"/>
      <c r="K712" s="242"/>
    </row>
    <row r="713">
      <c r="A713" s="13"/>
      <c r="B713" s="242"/>
      <c r="C713" s="242"/>
      <c r="D713" s="242"/>
      <c r="E713" s="242"/>
      <c r="F713" s="242"/>
      <c r="G713" s="13"/>
      <c r="H713" s="242"/>
      <c r="I713" s="242"/>
      <c r="J713" s="242"/>
      <c r="K713" s="242"/>
    </row>
    <row r="714">
      <c r="A714" s="13"/>
      <c r="B714" s="242"/>
      <c r="C714" s="242"/>
      <c r="D714" s="242"/>
      <c r="E714" s="242"/>
      <c r="F714" s="242"/>
      <c r="G714" s="13"/>
      <c r="H714" s="242"/>
      <c r="I714" s="242"/>
      <c r="J714" s="242"/>
      <c r="K714" s="242"/>
    </row>
    <row r="715">
      <c r="A715" s="13"/>
      <c r="B715" s="242"/>
      <c r="C715" s="242"/>
      <c r="D715" s="242"/>
      <c r="E715" s="242"/>
      <c r="F715" s="242"/>
      <c r="G715" s="13"/>
      <c r="H715" s="242"/>
      <c r="I715" s="242"/>
      <c r="J715" s="242"/>
      <c r="K715" s="242"/>
    </row>
  </sheetData>
  <mergeCells count="34">
    <mergeCell ref="B2:B3"/>
    <mergeCell ref="C2:C3"/>
    <mergeCell ref="D2:D3"/>
    <mergeCell ref="E2:E3"/>
    <mergeCell ref="F2:F3"/>
    <mergeCell ref="G2:G3"/>
    <mergeCell ref="B4:F4"/>
    <mergeCell ref="B5:F5"/>
    <mergeCell ref="B9:E9"/>
    <mergeCell ref="B10:F10"/>
    <mergeCell ref="B14:E14"/>
    <mergeCell ref="B15:F15"/>
    <mergeCell ref="B19:E19"/>
    <mergeCell ref="B20:F20"/>
    <mergeCell ref="B24:E24"/>
    <mergeCell ref="B25:F25"/>
    <mergeCell ref="B26:F26"/>
    <mergeCell ref="B29:E29"/>
    <mergeCell ref="B31:F31"/>
    <mergeCell ref="B34:E34"/>
    <mergeCell ref="B36:F36"/>
    <mergeCell ref="B55:F55"/>
    <mergeCell ref="B57:E57"/>
    <mergeCell ref="B58:F58"/>
    <mergeCell ref="B61:E61"/>
    <mergeCell ref="B63:F63"/>
    <mergeCell ref="B66:E66"/>
    <mergeCell ref="B39:E39"/>
    <mergeCell ref="B41:F41"/>
    <mergeCell ref="B43:E43"/>
    <mergeCell ref="B45:F45"/>
    <mergeCell ref="B48:E48"/>
    <mergeCell ref="B50:F50"/>
    <mergeCell ref="B53:E53"/>
  </mergeCells>
  <printOptions horizontalCentered="1"/>
  <pageMargins bottom="0.75" footer="0.0" header="0.0" left="0.7" right="0.7" top="0.75"/>
  <pageSetup paperSize="9" cellComments="atEnd"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
    <col customWidth="1" min="2" max="2" width="10.88"/>
    <col customWidth="1" min="3" max="3" width="31.0"/>
    <col customWidth="1" hidden="1" min="4" max="4" width="12.25"/>
    <col customWidth="1" min="5" max="6" width="6.0"/>
    <col customWidth="1" min="7" max="7" width="9.0"/>
    <col customWidth="1" min="8" max="8" width="9.13"/>
    <col customWidth="1" hidden="1" min="9" max="9" width="10.5"/>
    <col customWidth="1" hidden="1" min="10" max="10" width="11.13"/>
    <col customWidth="1" hidden="1" min="11" max="11" width="10.0"/>
    <col customWidth="1" min="12" max="12" width="11.63"/>
    <col customWidth="1" hidden="1" min="13" max="13" width="10.13"/>
  </cols>
  <sheetData>
    <row r="1">
      <c r="A1" s="2"/>
      <c r="B1" s="524"/>
      <c r="C1" s="524"/>
      <c r="D1" s="242"/>
      <c r="E1" s="242"/>
      <c r="F1" s="242"/>
      <c r="G1" s="13"/>
      <c r="H1" s="525"/>
      <c r="I1" s="242"/>
      <c r="J1" s="242"/>
      <c r="K1" s="242"/>
      <c r="L1" s="13"/>
      <c r="M1" s="13"/>
      <c r="N1" s="242"/>
      <c r="O1" s="242"/>
      <c r="P1" s="242"/>
      <c r="Q1" s="242"/>
      <c r="R1" s="242"/>
      <c r="S1" s="242"/>
      <c r="T1" s="242"/>
      <c r="U1" s="242"/>
      <c r="V1" s="242"/>
      <c r="W1" s="242"/>
      <c r="X1" s="242"/>
      <c r="Y1" s="242"/>
      <c r="Z1" s="242"/>
    </row>
    <row r="2" ht="42.0" customHeight="1">
      <c r="A2" s="242"/>
      <c r="B2" s="528" t="s">
        <v>3131</v>
      </c>
      <c r="C2" s="528" t="s">
        <v>3134</v>
      </c>
      <c r="D2" s="466" t="s">
        <v>3133</v>
      </c>
      <c r="E2" s="449" t="s">
        <v>3135</v>
      </c>
      <c r="F2" s="449" t="s">
        <v>3136</v>
      </c>
      <c r="G2" s="450" t="s">
        <v>3137</v>
      </c>
      <c r="H2" s="449" t="s">
        <v>3138</v>
      </c>
      <c r="I2" s="529" t="s">
        <v>3139</v>
      </c>
      <c r="J2" s="466" t="s">
        <v>3140</v>
      </c>
      <c r="K2" s="466" t="s">
        <v>26</v>
      </c>
      <c r="L2" s="531" t="s">
        <v>2810</v>
      </c>
      <c r="M2" s="449" t="s">
        <v>3141</v>
      </c>
      <c r="N2" s="242"/>
      <c r="O2" s="242"/>
      <c r="P2" s="242"/>
      <c r="Q2" s="242"/>
      <c r="R2" s="242"/>
      <c r="S2" s="242"/>
      <c r="T2" s="242"/>
      <c r="U2" s="242"/>
      <c r="V2" s="242"/>
      <c r="W2" s="242"/>
      <c r="X2" s="242"/>
      <c r="Y2" s="242"/>
      <c r="Z2" s="242"/>
    </row>
    <row r="3" ht="18.75" customHeight="1">
      <c r="A3" s="242"/>
      <c r="B3" s="528" t="s">
        <v>3142</v>
      </c>
      <c r="C3" s="528" t="s">
        <v>3143</v>
      </c>
      <c r="D3" s="466" t="s">
        <v>2214</v>
      </c>
      <c r="E3" s="478"/>
      <c r="F3" s="478"/>
      <c r="G3" s="466" t="s">
        <v>3145</v>
      </c>
      <c r="H3" s="449">
        <v>90.0</v>
      </c>
      <c r="I3" s="535" t="s">
        <v>2214</v>
      </c>
      <c r="J3" s="539" t="str">
        <f t="shared" ref="J3:J48" si="1">IFERROR(D3/6,"")</f>
        <v/>
      </c>
      <c r="K3" s="541" t="str">
        <f t="shared" ref="K3:K48" si="2">IFERROR(I3/J3,"")</f>
        <v/>
      </c>
      <c r="L3" s="468" t="s">
        <v>2214</v>
      </c>
      <c r="M3" s="456" t="str">
        <f t="shared" ref="M3:M48" si="3">IFERROR(L3/J3,"")</f>
        <v/>
      </c>
      <c r="N3" s="242"/>
      <c r="O3" s="242"/>
      <c r="P3" s="242"/>
      <c r="Q3" s="242"/>
      <c r="R3" s="242"/>
      <c r="S3" s="242"/>
      <c r="T3" s="242"/>
      <c r="U3" s="242"/>
      <c r="V3" s="242"/>
      <c r="W3" s="242"/>
      <c r="X3" s="242"/>
      <c r="Y3" s="242"/>
      <c r="Z3" s="242"/>
    </row>
    <row r="4" ht="18.75" customHeight="1">
      <c r="A4" s="242"/>
      <c r="B4" s="528" t="s">
        <v>3149</v>
      </c>
      <c r="C4" s="528" t="s">
        <v>3150</v>
      </c>
      <c r="D4" s="466">
        <v>6.75</v>
      </c>
      <c r="E4" s="466">
        <v>2.2</v>
      </c>
      <c r="F4" s="466">
        <v>2.4</v>
      </c>
      <c r="G4" s="466" t="s">
        <v>3145</v>
      </c>
      <c r="H4" s="449">
        <v>110.0</v>
      </c>
      <c r="I4" s="535">
        <v>890.0</v>
      </c>
      <c r="J4" s="462">
        <f t="shared" si="1"/>
        <v>1.125</v>
      </c>
      <c r="K4" s="456">
        <f t="shared" si="2"/>
        <v>791.1111111</v>
      </c>
      <c r="L4" s="544">
        <v>690.0</v>
      </c>
      <c r="M4" s="456">
        <f t="shared" si="3"/>
        <v>613.3333333</v>
      </c>
      <c r="N4" s="242"/>
      <c r="O4" s="242"/>
      <c r="P4" s="242"/>
      <c r="Q4" s="242"/>
      <c r="R4" s="242"/>
      <c r="S4" s="242"/>
      <c r="T4" s="242"/>
      <c r="U4" s="242"/>
      <c r="V4" s="242"/>
      <c r="W4" s="242"/>
      <c r="X4" s="242"/>
      <c r="Y4" s="242"/>
      <c r="Z4" s="242"/>
    </row>
    <row r="5" ht="18.75" customHeight="1">
      <c r="A5" s="242"/>
      <c r="B5" s="528" t="s">
        <v>3152</v>
      </c>
      <c r="C5" s="528" t="s">
        <v>3153</v>
      </c>
      <c r="D5" s="466">
        <v>13.8</v>
      </c>
      <c r="E5" s="466">
        <v>3.15</v>
      </c>
      <c r="F5" s="466">
        <v>3.39</v>
      </c>
      <c r="G5" s="466" t="s">
        <v>3145</v>
      </c>
      <c r="H5" s="449">
        <v>160.0</v>
      </c>
      <c r="I5" s="535">
        <v>1840.0</v>
      </c>
      <c r="J5" s="462">
        <f t="shared" si="1"/>
        <v>2.3</v>
      </c>
      <c r="K5" s="456">
        <f t="shared" si="2"/>
        <v>800</v>
      </c>
      <c r="L5" s="544">
        <v>1390.0</v>
      </c>
      <c r="M5" s="456">
        <f t="shared" si="3"/>
        <v>604.3478261</v>
      </c>
      <c r="N5" s="242"/>
      <c r="O5" s="242"/>
      <c r="P5" s="242"/>
      <c r="Q5" s="242"/>
      <c r="R5" s="242"/>
      <c r="S5" s="242"/>
      <c r="T5" s="242"/>
      <c r="U5" s="242"/>
      <c r="V5" s="242"/>
      <c r="W5" s="242"/>
      <c r="X5" s="242"/>
      <c r="Y5" s="242"/>
      <c r="Z5" s="242"/>
    </row>
    <row r="6" ht="18.75" customHeight="1">
      <c r="A6" s="242"/>
      <c r="B6" s="528" t="s">
        <v>3154</v>
      </c>
      <c r="C6" s="528" t="s">
        <v>3155</v>
      </c>
      <c r="D6" s="466">
        <v>21.0</v>
      </c>
      <c r="E6" s="466">
        <v>3.88</v>
      </c>
      <c r="F6" s="466">
        <v>4.16</v>
      </c>
      <c r="G6" s="466" t="s">
        <v>3145</v>
      </c>
      <c r="H6" s="449">
        <v>200.0</v>
      </c>
      <c r="I6" s="535">
        <v>2820.0</v>
      </c>
      <c r="J6" s="462">
        <f t="shared" si="1"/>
        <v>3.5</v>
      </c>
      <c r="K6" s="456">
        <f t="shared" si="2"/>
        <v>805.7142857</v>
      </c>
      <c r="L6" s="544">
        <v>2140.0</v>
      </c>
      <c r="M6" s="456">
        <f t="shared" si="3"/>
        <v>611.4285714</v>
      </c>
      <c r="N6" s="242"/>
      <c r="O6" s="242"/>
      <c r="P6" s="242"/>
      <c r="Q6" s="242"/>
      <c r="R6" s="242"/>
      <c r="S6" s="242"/>
      <c r="T6" s="242"/>
      <c r="U6" s="242"/>
      <c r="V6" s="242"/>
      <c r="W6" s="242"/>
      <c r="X6" s="242"/>
      <c r="Y6" s="242"/>
      <c r="Z6" s="242"/>
    </row>
    <row r="7" ht="18.75" customHeight="1">
      <c r="A7" s="242"/>
      <c r="B7" s="528" t="s">
        <v>3157</v>
      </c>
      <c r="C7" s="528" t="s">
        <v>3158</v>
      </c>
      <c r="D7" s="466">
        <v>32.5</v>
      </c>
      <c r="E7" s="466">
        <v>4.83</v>
      </c>
      <c r="F7" s="466">
        <v>5.15</v>
      </c>
      <c r="G7" s="466" t="s">
        <v>3145</v>
      </c>
      <c r="H7" s="449">
        <v>250.0</v>
      </c>
      <c r="I7" s="535">
        <v>4330.0</v>
      </c>
      <c r="J7" s="462">
        <f t="shared" si="1"/>
        <v>5.416666667</v>
      </c>
      <c r="K7" s="456">
        <f t="shared" si="2"/>
        <v>799.3846154</v>
      </c>
      <c r="L7" s="544">
        <v>3290.0</v>
      </c>
      <c r="M7" s="456">
        <f t="shared" si="3"/>
        <v>607.3846154</v>
      </c>
      <c r="N7" s="242"/>
      <c r="O7" s="242"/>
      <c r="P7" s="242"/>
      <c r="Q7" s="242"/>
      <c r="R7" s="242"/>
      <c r="S7" s="242"/>
      <c r="T7" s="242"/>
      <c r="U7" s="242"/>
      <c r="V7" s="242"/>
      <c r="W7" s="242"/>
      <c r="X7" s="242"/>
      <c r="Y7" s="242"/>
      <c r="Z7" s="242"/>
    </row>
    <row r="8" ht="18.75" customHeight="1">
      <c r="A8" s="242"/>
      <c r="B8" s="528" t="s">
        <v>3161</v>
      </c>
      <c r="C8" s="528" t="s">
        <v>3162</v>
      </c>
      <c r="D8" s="466">
        <v>52.0</v>
      </c>
      <c r="E8" s="466">
        <v>6.09</v>
      </c>
      <c r="F8" s="466">
        <v>6.47</v>
      </c>
      <c r="G8" s="466" t="s">
        <v>3145</v>
      </c>
      <c r="H8" s="449">
        <v>315.0</v>
      </c>
      <c r="I8" s="535">
        <v>7760.0</v>
      </c>
      <c r="J8" s="462">
        <f t="shared" si="1"/>
        <v>8.666666667</v>
      </c>
      <c r="K8" s="456">
        <f t="shared" si="2"/>
        <v>895.3846154</v>
      </c>
      <c r="L8" s="544">
        <v>5490.0</v>
      </c>
      <c r="M8" s="456">
        <f t="shared" si="3"/>
        <v>633.4615385</v>
      </c>
      <c r="N8" s="242"/>
      <c r="O8" s="242"/>
      <c r="P8" s="242"/>
      <c r="Q8" s="242"/>
      <c r="R8" s="242"/>
      <c r="S8" s="242"/>
      <c r="T8" s="242"/>
      <c r="U8" s="242"/>
      <c r="V8" s="242"/>
      <c r="W8" s="242"/>
      <c r="X8" s="242"/>
      <c r="Y8" s="242"/>
      <c r="Z8" s="242"/>
    </row>
    <row r="9" ht="18.75" customHeight="1">
      <c r="A9" s="242"/>
      <c r="B9" s="528" t="s">
        <v>3165</v>
      </c>
      <c r="C9" s="528" t="s">
        <v>3166</v>
      </c>
      <c r="D9" s="466">
        <v>82.5</v>
      </c>
      <c r="E9" s="466">
        <v>7.66</v>
      </c>
      <c r="F9" s="466">
        <v>8.12</v>
      </c>
      <c r="G9" s="466" t="s">
        <v>3145</v>
      </c>
      <c r="H9" s="449">
        <v>400.0</v>
      </c>
      <c r="I9" s="535">
        <v>12340.0</v>
      </c>
      <c r="J9" s="462">
        <f t="shared" si="1"/>
        <v>13.75</v>
      </c>
      <c r="K9" s="456">
        <f t="shared" si="2"/>
        <v>897.4545455</v>
      </c>
      <c r="L9" s="544">
        <v>8890.0</v>
      </c>
      <c r="M9" s="456">
        <f t="shared" si="3"/>
        <v>646.5454545</v>
      </c>
      <c r="N9" s="242"/>
      <c r="O9" s="242"/>
      <c r="P9" s="242"/>
      <c r="Q9" s="242"/>
      <c r="R9" s="242"/>
      <c r="S9" s="242"/>
      <c r="T9" s="242"/>
      <c r="U9" s="242"/>
      <c r="V9" s="242"/>
      <c r="W9" s="242"/>
      <c r="X9" s="242"/>
      <c r="Y9" s="242"/>
      <c r="Z9" s="242"/>
    </row>
    <row r="10" ht="18.75" customHeight="1">
      <c r="A10" s="242"/>
      <c r="B10" s="528" t="s">
        <v>3169</v>
      </c>
      <c r="C10" s="528" t="s">
        <v>3170</v>
      </c>
      <c r="D10" s="466" t="s">
        <v>2214</v>
      </c>
      <c r="E10" s="478"/>
      <c r="F10" s="478"/>
      <c r="G10" s="466" t="s">
        <v>3171</v>
      </c>
      <c r="H10" s="449">
        <v>90.0</v>
      </c>
      <c r="I10" s="535" t="s">
        <v>2214</v>
      </c>
      <c r="J10" s="539" t="str">
        <f t="shared" si="1"/>
        <v/>
      </c>
      <c r="K10" s="541" t="str">
        <f t="shared" si="2"/>
        <v/>
      </c>
      <c r="L10" s="468" t="s">
        <v>2214</v>
      </c>
      <c r="M10" s="456" t="str">
        <f t="shared" si="3"/>
        <v/>
      </c>
      <c r="N10" s="242"/>
      <c r="O10" s="242"/>
      <c r="P10" s="242"/>
      <c r="Q10" s="242"/>
      <c r="R10" s="242"/>
      <c r="S10" s="242"/>
      <c r="T10" s="242"/>
      <c r="U10" s="242"/>
      <c r="V10" s="242"/>
      <c r="W10" s="242"/>
      <c r="X10" s="242"/>
      <c r="Y10" s="242"/>
      <c r="Z10" s="242"/>
    </row>
    <row r="11" ht="18.75" customHeight="1">
      <c r="A11" s="242"/>
      <c r="B11" s="528" t="s">
        <v>3173</v>
      </c>
      <c r="C11" s="528" t="s">
        <v>3174</v>
      </c>
      <c r="D11" s="466">
        <v>8.5</v>
      </c>
      <c r="E11" s="466">
        <v>2.83</v>
      </c>
      <c r="F11" s="466">
        <v>3.06</v>
      </c>
      <c r="G11" s="466" t="s">
        <v>3171</v>
      </c>
      <c r="H11" s="449">
        <v>110.0</v>
      </c>
      <c r="I11" s="535">
        <v>1135.0</v>
      </c>
      <c r="J11" s="462">
        <f t="shared" si="1"/>
        <v>1.416666667</v>
      </c>
      <c r="K11" s="456">
        <f t="shared" si="2"/>
        <v>801.1764706</v>
      </c>
      <c r="L11" s="544">
        <v>870.0</v>
      </c>
      <c r="M11" s="456">
        <f t="shared" si="3"/>
        <v>614.1176471</v>
      </c>
      <c r="N11" s="242"/>
      <c r="O11" s="242"/>
      <c r="P11" s="242"/>
      <c r="Q11" s="242"/>
      <c r="R11" s="242"/>
      <c r="S11" s="242"/>
      <c r="T11" s="242"/>
      <c r="U11" s="242"/>
      <c r="V11" s="242"/>
      <c r="W11" s="242"/>
      <c r="X11" s="242"/>
      <c r="Y11" s="242"/>
      <c r="Z11" s="242"/>
    </row>
    <row r="12" ht="18.75" customHeight="1">
      <c r="A12" s="242"/>
      <c r="B12" s="528" t="s">
        <v>3175</v>
      </c>
      <c r="C12" s="528" t="s">
        <v>3176</v>
      </c>
      <c r="D12" s="466" t="s">
        <v>2214</v>
      </c>
      <c r="E12" s="478"/>
      <c r="F12" s="478"/>
      <c r="G12" s="466" t="s">
        <v>3171</v>
      </c>
      <c r="H12" s="449">
        <v>125.0</v>
      </c>
      <c r="I12" s="535" t="s">
        <v>2214</v>
      </c>
      <c r="J12" s="539" t="str">
        <f t="shared" si="1"/>
        <v/>
      </c>
      <c r="K12" s="541" t="str">
        <f t="shared" si="2"/>
        <v/>
      </c>
      <c r="L12" s="468" t="s">
        <v>2214</v>
      </c>
      <c r="M12" s="456" t="str">
        <f t="shared" si="3"/>
        <v/>
      </c>
      <c r="N12" s="242"/>
      <c r="O12" s="242"/>
      <c r="P12" s="242"/>
      <c r="Q12" s="242"/>
      <c r="R12" s="242"/>
      <c r="S12" s="242"/>
      <c r="T12" s="242"/>
      <c r="U12" s="242"/>
      <c r="V12" s="242"/>
      <c r="W12" s="242"/>
      <c r="X12" s="242"/>
      <c r="Y12" s="242"/>
      <c r="Z12" s="242"/>
    </row>
    <row r="13" ht="18.75" customHeight="1">
      <c r="A13" s="242"/>
      <c r="B13" s="528" t="s">
        <v>3178</v>
      </c>
      <c r="C13" s="528" t="s">
        <v>3179</v>
      </c>
      <c r="D13" s="466" t="s">
        <v>2214</v>
      </c>
      <c r="E13" s="478"/>
      <c r="F13" s="478"/>
      <c r="G13" s="466" t="s">
        <v>3171</v>
      </c>
      <c r="H13" s="449">
        <v>140.0</v>
      </c>
      <c r="I13" s="535" t="s">
        <v>2214</v>
      </c>
      <c r="J13" s="539" t="str">
        <f t="shared" si="1"/>
        <v/>
      </c>
      <c r="K13" s="541" t="str">
        <f t="shared" si="2"/>
        <v/>
      </c>
      <c r="L13" s="468" t="s">
        <v>2214</v>
      </c>
      <c r="M13" s="456" t="str">
        <f t="shared" si="3"/>
        <v/>
      </c>
      <c r="N13" s="242"/>
      <c r="O13" s="242"/>
      <c r="P13" s="242"/>
      <c r="Q13" s="242"/>
      <c r="R13" s="242"/>
      <c r="S13" s="242"/>
      <c r="T13" s="242"/>
      <c r="U13" s="242"/>
      <c r="V13" s="242"/>
      <c r="W13" s="242"/>
      <c r="X13" s="242"/>
      <c r="Y13" s="242"/>
      <c r="Z13" s="242"/>
    </row>
    <row r="14" ht="18.75" customHeight="1">
      <c r="A14" s="242"/>
      <c r="B14" s="528" t="s">
        <v>3180</v>
      </c>
      <c r="C14" s="528" t="s">
        <v>3181</v>
      </c>
      <c r="D14" s="466">
        <v>17.0</v>
      </c>
      <c r="E14" s="466">
        <v>3.99</v>
      </c>
      <c r="F14" s="466">
        <v>4.27</v>
      </c>
      <c r="G14" s="466" t="s">
        <v>3171</v>
      </c>
      <c r="H14" s="449">
        <v>160.0</v>
      </c>
      <c r="I14" s="535">
        <v>2265.0</v>
      </c>
      <c r="J14" s="462">
        <f t="shared" si="1"/>
        <v>2.833333333</v>
      </c>
      <c r="K14" s="456">
        <f t="shared" si="2"/>
        <v>799.4117647</v>
      </c>
      <c r="L14" s="544">
        <v>1690.0</v>
      </c>
      <c r="M14" s="456">
        <f t="shared" si="3"/>
        <v>596.4705882</v>
      </c>
      <c r="N14" s="242"/>
      <c r="O14" s="242"/>
      <c r="P14" s="242"/>
      <c r="Q14" s="242"/>
      <c r="R14" s="242"/>
      <c r="S14" s="242"/>
      <c r="T14" s="242"/>
      <c r="U14" s="242"/>
      <c r="V14" s="242"/>
      <c r="W14" s="242"/>
      <c r="X14" s="242"/>
      <c r="Y14" s="242"/>
      <c r="Z14" s="242"/>
    </row>
    <row r="15" ht="18.75" customHeight="1">
      <c r="A15" s="242"/>
      <c r="B15" s="528" t="s">
        <v>3185</v>
      </c>
      <c r="C15" s="528" t="s">
        <v>3186</v>
      </c>
      <c r="D15" s="466" t="s">
        <v>2214</v>
      </c>
      <c r="E15" s="478"/>
      <c r="F15" s="478"/>
      <c r="G15" s="466" t="s">
        <v>3171</v>
      </c>
      <c r="H15" s="449">
        <v>180.0</v>
      </c>
      <c r="I15" s="535" t="s">
        <v>2214</v>
      </c>
      <c r="J15" s="539" t="str">
        <f t="shared" si="1"/>
        <v/>
      </c>
      <c r="K15" s="541" t="str">
        <f t="shared" si="2"/>
        <v/>
      </c>
      <c r="L15" s="468" t="s">
        <v>2214</v>
      </c>
      <c r="M15" s="456" t="str">
        <f t="shared" si="3"/>
        <v/>
      </c>
      <c r="N15" s="242"/>
      <c r="O15" s="242"/>
      <c r="P15" s="242"/>
      <c r="Q15" s="242"/>
      <c r="R15" s="242"/>
      <c r="S15" s="242"/>
      <c r="T15" s="242"/>
      <c r="U15" s="242"/>
      <c r="V15" s="242"/>
      <c r="W15" s="242"/>
      <c r="X15" s="242"/>
      <c r="Y15" s="242"/>
      <c r="Z15" s="242"/>
    </row>
    <row r="16" ht="18.75" customHeight="1">
      <c r="A16" s="242"/>
      <c r="B16" s="528" t="s">
        <v>3188</v>
      </c>
      <c r="C16" s="528" t="s">
        <v>3189</v>
      </c>
      <c r="D16" s="466">
        <v>26.5</v>
      </c>
      <c r="E16" s="466">
        <v>4.93</v>
      </c>
      <c r="F16" s="466">
        <v>5.26</v>
      </c>
      <c r="G16" s="466" t="s">
        <v>3171</v>
      </c>
      <c r="H16" s="450">
        <v>200.0</v>
      </c>
      <c r="I16" s="535">
        <v>3530.0</v>
      </c>
      <c r="J16" s="462">
        <f t="shared" si="1"/>
        <v>4.416666667</v>
      </c>
      <c r="K16" s="456">
        <f t="shared" si="2"/>
        <v>799.245283</v>
      </c>
      <c r="L16" s="544">
        <v>2690.0</v>
      </c>
      <c r="M16" s="456">
        <f t="shared" si="3"/>
        <v>609.0566038</v>
      </c>
      <c r="N16" s="242"/>
      <c r="O16" s="242"/>
      <c r="P16" s="242"/>
      <c r="Q16" s="242"/>
      <c r="R16" s="242"/>
      <c r="S16" s="242"/>
      <c r="T16" s="242"/>
      <c r="U16" s="242"/>
      <c r="V16" s="242"/>
      <c r="W16" s="242"/>
      <c r="X16" s="242"/>
      <c r="Y16" s="242"/>
      <c r="Z16" s="242"/>
    </row>
    <row r="17" ht="18.75" customHeight="1">
      <c r="A17" s="242"/>
      <c r="B17" s="528" t="s">
        <v>3192</v>
      </c>
      <c r="C17" s="528" t="s">
        <v>3193</v>
      </c>
      <c r="D17" s="466" t="s">
        <v>2214</v>
      </c>
      <c r="E17" s="478"/>
      <c r="F17" s="478"/>
      <c r="G17" s="466" t="s">
        <v>3171</v>
      </c>
      <c r="H17" s="449">
        <v>225.0</v>
      </c>
      <c r="I17" s="535" t="s">
        <v>2214</v>
      </c>
      <c r="J17" s="539" t="str">
        <f t="shared" si="1"/>
        <v/>
      </c>
      <c r="K17" s="541" t="str">
        <f t="shared" si="2"/>
        <v/>
      </c>
      <c r="L17" s="468" t="s">
        <v>2214</v>
      </c>
      <c r="M17" s="456" t="str">
        <f t="shared" si="3"/>
        <v/>
      </c>
      <c r="N17" s="242"/>
      <c r="O17" s="242"/>
      <c r="P17" s="242"/>
      <c r="Q17" s="242"/>
      <c r="R17" s="242"/>
      <c r="S17" s="242"/>
      <c r="T17" s="242"/>
      <c r="U17" s="242"/>
      <c r="V17" s="242"/>
      <c r="W17" s="242"/>
      <c r="X17" s="242"/>
      <c r="Y17" s="242"/>
      <c r="Z17" s="242"/>
    </row>
    <row r="18" ht="18.75" customHeight="1">
      <c r="A18" s="242"/>
      <c r="B18" s="528" t="s">
        <v>3194</v>
      </c>
      <c r="C18" s="528" t="s">
        <v>3195</v>
      </c>
      <c r="D18" s="466">
        <v>41.5</v>
      </c>
      <c r="E18" s="466">
        <v>6.19</v>
      </c>
      <c r="F18" s="466">
        <v>6.58</v>
      </c>
      <c r="G18" s="466" t="s">
        <v>3171</v>
      </c>
      <c r="H18" s="449">
        <v>250.0</v>
      </c>
      <c r="I18" s="535">
        <v>5530.0</v>
      </c>
      <c r="J18" s="462">
        <f t="shared" si="1"/>
        <v>6.916666667</v>
      </c>
      <c r="K18" s="456">
        <f t="shared" si="2"/>
        <v>799.5180723</v>
      </c>
      <c r="L18" s="544">
        <v>4190.0</v>
      </c>
      <c r="M18" s="456">
        <f t="shared" si="3"/>
        <v>605.7831325</v>
      </c>
      <c r="N18" s="242"/>
      <c r="O18" s="242"/>
      <c r="P18" s="242"/>
      <c r="Q18" s="242"/>
      <c r="R18" s="242"/>
      <c r="S18" s="242"/>
      <c r="T18" s="242"/>
      <c r="U18" s="242"/>
      <c r="V18" s="242"/>
      <c r="W18" s="242"/>
      <c r="X18" s="242"/>
      <c r="Y18" s="242"/>
      <c r="Z18" s="242"/>
    </row>
    <row r="19" ht="18.75" customHeight="1">
      <c r="A19" s="242"/>
      <c r="B19" s="528" t="s">
        <v>3196</v>
      </c>
      <c r="C19" s="528" t="s">
        <v>3197</v>
      </c>
      <c r="D19" s="466" t="s">
        <v>2214</v>
      </c>
      <c r="E19" s="478"/>
      <c r="F19" s="478"/>
      <c r="G19" s="466" t="s">
        <v>3171</v>
      </c>
      <c r="H19" s="449">
        <v>280.0</v>
      </c>
      <c r="I19" s="535" t="s">
        <v>2214</v>
      </c>
      <c r="J19" s="539" t="str">
        <f t="shared" si="1"/>
        <v/>
      </c>
      <c r="K19" s="541" t="str">
        <f t="shared" si="2"/>
        <v/>
      </c>
      <c r="L19" s="468" t="s">
        <v>2214</v>
      </c>
      <c r="M19" s="456" t="str">
        <f t="shared" si="3"/>
        <v/>
      </c>
      <c r="N19" s="242"/>
      <c r="O19" s="242"/>
      <c r="P19" s="242"/>
      <c r="Q19" s="242"/>
      <c r="R19" s="242"/>
      <c r="S19" s="242"/>
      <c r="T19" s="242"/>
      <c r="U19" s="242"/>
      <c r="V19" s="242"/>
      <c r="W19" s="242"/>
      <c r="X19" s="242"/>
      <c r="Y19" s="242"/>
      <c r="Z19" s="242"/>
    </row>
    <row r="20" ht="18.75" customHeight="1">
      <c r="A20" s="242"/>
      <c r="B20" s="528" t="s">
        <v>3201</v>
      </c>
      <c r="C20" s="528" t="s">
        <v>3202</v>
      </c>
      <c r="D20" s="466">
        <v>64.5</v>
      </c>
      <c r="E20" s="466">
        <v>7.66</v>
      </c>
      <c r="F20" s="466">
        <v>8.12</v>
      </c>
      <c r="G20" s="466" t="s">
        <v>3171</v>
      </c>
      <c r="H20" s="449">
        <v>315.0</v>
      </c>
      <c r="I20" s="535">
        <v>9670.0</v>
      </c>
      <c r="J20" s="462">
        <f t="shared" si="1"/>
        <v>10.75</v>
      </c>
      <c r="K20" s="456">
        <f t="shared" si="2"/>
        <v>899.5348837</v>
      </c>
      <c r="L20" s="544">
        <v>6890.0</v>
      </c>
      <c r="M20" s="456">
        <f t="shared" si="3"/>
        <v>640.9302326</v>
      </c>
      <c r="N20" s="242"/>
      <c r="O20" s="242"/>
      <c r="P20" s="242"/>
      <c r="Q20" s="242"/>
      <c r="R20" s="242"/>
      <c r="S20" s="242"/>
      <c r="T20" s="242"/>
      <c r="U20" s="242"/>
      <c r="V20" s="242"/>
      <c r="W20" s="242"/>
      <c r="X20" s="242"/>
      <c r="Y20" s="242"/>
      <c r="Z20" s="242"/>
    </row>
    <row r="21" ht="18.75" customHeight="1">
      <c r="A21" s="242"/>
      <c r="B21" s="528" t="s">
        <v>3205</v>
      </c>
      <c r="C21" s="528" t="s">
        <v>3207</v>
      </c>
      <c r="D21" s="466" t="s">
        <v>2214</v>
      </c>
      <c r="E21" s="478"/>
      <c r="F21" s="478"/>
      <c r="G21" s="466" t="s">
        <v>3171</v>
      </c>
      <c r="H21" s="449">
        <v>355.0</v>
      </c>
      <c r="I21" s="535" t="s">
        <v>2214</v>
      </c>
      <c r="J21" s="539" t="str">
        <f t="shared" si="1"/>
        <v/>
      </c>
      <c r="K21" s="541" t="str">
        <f t="shared" si="2"/>
        <v/>
      </c>
      <c r="L21" s="468" t="s">
        <v>2214</v>
      </c>
      <c r="M21" s="456" t="str">
        <f t="shared" si="3"/>
        <v/>
      </c>
      <c r="N21" s="242"/>
      <c r="O21" s="242"/>
      <c r="P21" s="242"/>
      <c r="Q21" s="242"/>
      <c r="R21" s="242"/>
      <c r="S21" s="242"/>
      <c r="T21" s="242"/>
      <c r="U21" s="242"/>
      <c r="V21" s="242"/>
      <c r="W21" s="242"/>
      <c r="X21" s="242"/>
      <c r="Y21" s="242"/>
      <c r="Z21" s="242"/>
    </row>
    <row r="22" ht="18.75" customHeight="1">
      <c r="A22" s="242"/>
      <c r="B22" s="528" t="s">
        <v>3209</v>
      </c>
      <c r="C22" s="528" t="s">
        <v>3210</v>
      </c>
      <c r="D22" s="466">
        <v>104.0</v>
      </c>
      <c r="E22" s="466">
        <v>9.76</v>
      </c>
      <c r="F22" s="466">
        <v>10.32</v>
      </c>
      <c r="G22" s="466" t="s">
        <v>3171</v>
      </c>
      <c r="H22" s="449">
        <v>400.0</v>
      </c>
      <c r="I22" s="535">
        <v>15560.0</v>
      </c>
      <c r="J22" s="462">
        <f t="shared" si="1"/>
        <v>17.33333333</v>
      </c>
      <c r="K22" s="456">
        <f t="shared" si="2"/>
        <v>897.6923077</v>
      </c>
      <c r="L22" s="544">
        <v>11900.0</v>
      </c>
      <c r="M22" s="456">
        <f t="shared" si="3"/>
        <v>686.5384615</v>
      </c>
      <c r="N22" s="242"/>
      <c r="O22" s="242"/>
      <c r="P22" s="242"/>
      <c r="Q22" s="242"/>
      <c r="R22" s="242"/>
      <c r="S22" s="242"/>
      <c r="T22" s="242"/>
      <c r="U22" s="242"/>
      <c r="V22" s="242"/>
      <c r="W22" s="242"/>
      <c r="X22" s="242"/>
      <c r="Y22" s="242"/>
      <c r="Z22" s="242"/>
    </row>
    <row r="23" ht="18.75" customHeight="1">
      <c r="A23" s="242"/>
      <c r="B23" s="528" t="s">
        <v>3212</v>
      </c>
      <c r="C23" s="528" t="s">
        <v>3213</v>
      </c>
      <c r="D23" s="466" t="s">
        <v>2214</v>
      </c>
      <c r="E23" s="478"/>
      <c r="F23" s="478"/>
      <c r="G23" s="466" t="s">
        <v>3214</v>
      </c>
      <c r="H23" s="449">
        <v>90.0</v>
      </c>
      <c r="I23" s="535" t="s">
        <v>2214</v>
      </c>
      <c r="J23" s="539" t="str">
        <f t="shared" si="1"/>
        <v/>
      </c>
      <c r="K23" s="541" t="str">
        <f t="shared" si="2"/>
        <v/>
      </c>
      <c r="L23" s="468" t="s">
        <v>2214</v>
      </c>
      <c r="M23" s="456" t="str">
        <f t="shared" si="3"/>
        <v/>
      </c>
      <c r="N23" s="242"/>
      <c r="O23" s="242"/>
      <c r="P23" s="242"/>
      <c r="Q23" s="242"/>
      <c r="R23" s="242"/>
      <c r="S23" s="242"/>
      <c r="T23" s="242"/>
      <c r="U23" s="242"/>
      <c r="V23" s="242"/>
      <c r="W23" s="242"/>
      <c r="X23" s="242"/>
      <c r="Y23" s="242"/>
      <c r="Z23" s="242"/>
    </row>
    <row r="24" ht="18.75" customHeight="1">
      <c r="A24" s="242"/>
      <c r="B24" s="528" t="s">
        <v>3215</v>
      </c>
      <c r="C24" s="528" t="s">
        <v>3216</v>
      </c>
      <c r="D24" s="466">
        <v>10.0</v>
      </c>
      <c r="E24" s="466">
        <v>3.46</v>
      </c>
      <c r="F24" s="466">
        <v>3.72</v>
      </c>
      <c r="G24" s="466" t="s">
        <v>3214</v>
      </c>
      <c r="H24" s="449">
        <v>110.0</v>
      </c>
      <c r="I24" s="535">
        <v>1320.0</v>
      </c>
      <c r="J24" s="462">
        <f t="shared" si="1"/>
        <v>1.666666667</v>
      </c>
      <c r="K24" s="456">
        <f t="shared" si="2"/>
        <v>792</v>
      </c>
      <c r="L24" s="544">
        <v>990.0</v>
      </c>
      <c r="M24" s="456">
        <f t="shared" si="3"/>
        <v>594</v>
      </c>
      <c r="N24" s="242"/>
      <c r="O24" s="242"/>
      <c r="P24" s="242"/>
      <c r="Q24" s="242"/>
      <c r="R24" s="242"/>
      <c r="S24" s="242"/>
      <c r="T24" s="242"/>
      <c r="U24" s="242"/>
      <c r="V24" s="242"/>
      <c r="W24" s="242"/>
      <c r="X24" s="242"/>
      <c r="Y24" s="242"/>
      <c r="Z24" s="242"/>
    </row>
    <row r="25" ht="18.75" customHeight="1">
      <c r="A25" s="242"/>
      <c r="B25" s="528" t="s">
        <v>3218</v>
      </c>
      <c r="C25" s="528" t="s">
        <v>3219</v>
      </c>
      <c r="D25" s="466" t="s">
        <v>2214</v>
      </c>
      <c r="E25" s="478"/>
      <c r="F25" s="478"/>
      <c r="G25" s="466" t="s">
        <v>3214</v>
      </c>
      <c r="H25" s="449">
        <v>125.0</v>
      </c>
      <c r="I25" s="535" t="s">
        <v>2214</v>
      </c>
      <c r="J25" s="539" t="str">
        <f t="shared" si="1"/>
        <v/>
      </c>
      <c r="K25" s="541" t="str">
        <f t="shared" si="2"/>
        <v/>
      </c>
      <c r="L25" s="468" t="s">
        <v>2214</v>
      </c>
      <c r="M25" s="456" t="str">
        <f t="shared" si="3"/>
        <v/>
      </c>
      <c r="N25" s="242"/>
      <c r="O25" s="242"/>
      <c r="P25" s="242"/>
      <c r="Q25" s="242"/>
      <c r="R25" s="242"/>
      <c r="S25" s="242"/>
      <c r="T25" s="242"/>
      <c r="U25" s="242"/>
      <c r="V25" s="242"/>
      <c r="W25" s="242"/>
      <c r="X25" s="242"/>
      <c r="Y25" s="242"/>
      <c r="Z25" s="242"/>
    </row>
    <row r="26" ht="18.75" customHeight="1">
      <c r="A26" s="242"/>
      <c r="B26" s="528" t="s">
        <v>3221</v>
      </c>
      <c r="C26" s="528" t="s">
        <v>3222</v>
      </c>
      <c r="D26" s="466" t="s">
        <v>2214</v>
      </c>
      <c r="E26" s="478"/>
      <c r="F26" s="478"/>
      <c r="G26" s="466" t="s">
        <v>3214</v>
      </c>
      <c r="H26" s="449">
        <v>140.0</v>
      </c>
      <c r="I26" s="535" t="s">
        <v>2214</v>
      </c>
      <c r="J26" s="539" t="str">
        <f t="shared" si="1"/>
        <v/>
      </c>
      <c r="K26" s="541" t="str">
        <f t="shared" si="2"/>
        <v/>
      </c>
      <c r="L26" s="468" t="s">
        <v>2214</v>
      </c>
      <c r="M26" s="456" t="str">
        <f t="shared" si="3"/>
        <v/>
      </c>
      <c r="N26" s="242"/>
      <c r="O26" s="242"/>
      <c r="P26" s="242"/>
      <c r="Q26" s="242"/>
      <c r="R26" s="242"/>
      <c r="S26" s="242"/>
      <c r="T26" s="242"/>
      <c r="U26" s="242"/>
      <c r="V26" s="242"/>
      <c r="W26" s="242"/>
      <c r="X26" s="242"/>
      <c r="Y26" s="242"/>
      <c r="Z26" s="242"/>
    </row>
    <row r="27" ht="18.75" customHeight="1">
      <c r="A27" s="242"/>
      <c r="B27" s="528" t="s">
        <v>3223</v>
      </c>
      <c r="C27" s="528" t="s">
        <v>3224</v>
      </c>
      <c r="D27" s="466">
        <v>21.0</v>
      </c>
      <c r="E27" s="466">
        <v>4.93</v>
      </c>
      <c r="F27" s="466">
        <v>5.26</v>
      </c>
      <c r="G27" s="466" t="s">
        <v>3214</v>
      </c>
      <c r="H27" s="449">
        <v>160.0</v>
      </c>
      <c r="I27" s="535">
        <v>2760.0</v>
      </c>
      <c r="J27" s="462">
        <f t="shared" si="1"/>
        <v>3.5</v>
      </c>
      <c r="K27" s="456">
        <f t="shared" si="2"/>
        <v>788.5714286</v>
      </c>
      <c r="L27" s="544">
        <v>2140.0</v>
      </c>
      <c r="M27" s="456">
        <f t="shared" si="3"/>
        <v>611.4285714</v>
      </c>
      <c r="N27" s="242"/>
      <c r="O27" s="242"/>
      <c r="P27" s="242"/>
      <c r="Q27" s="242"/>
      <c r="R27" s="242"/>
      <c r="S27" s="242"/>
      <c r="T27" s="242"/>
      <c r="U27" s="242"/>
      <c r="V27" s="242"/>
      <c r="W27" s="242"/>
      <c r="X27" s="242"/>
      <c r="Y27" s="242"/>
      <c r="Z27" s="242"/>
    </row>
    <row r="28" ht="18.75" customHeight="1">
      <c r="A28" s="242"/>
      <c r="B28" s="528" t="s">
        <v>3226</v>
      </c>
      <c r="C28" s="528" t="s">
        <v>3227</v>
      </c>
      <c r="D28" s="466" t="s">
        <v>2214</v>
      </c>
      <c r="E28" s="478"/>
      <c r="F28" s="478"/>
      <c r="G28" s="466" t="s">
        <v>3214</v>
      </c>
      <c r="H28" s="449">
        <v>180.0</v>
      </c>
      <c r="I28" s="535" t="s">
        <v>2214</v>
      </c>
      <c r="J28" s="539" t="str">
        <f t="shared" si="1"/>
        <v/>
      </c>
      <c r="K28" s="541" t="str">
        <f t="shared" si="2"/>
        <v/>
      </c>
      <c r="L28" s="468" t="s">
        <v>2214</v>
      </c>
      <c r="M28" s="456" t="str">
        <f t="shared" si="3"/>
        <v/>
      </c>
      <c r="N28" s="242"/>
      <c r="O28" s="242"/>
      <c r="P28" s="242"/>
      <c r="Q28" s="242"/>
      <c r="R28" s="242"/>
      <c r="S28" s="242"/>
      <c r="T28" s="242"/>
      <c r="U28" s="242"/>
      <c r="V28" s="242"/>
      <c r="W28" s="242"/>
      <c r="X28" s="242"/>
      <c r="Y28" s="242"/>
      <c r="Z28" s="242"/>
    </row>
    <row r="29" ht="18.75" customHeight="1">
      <c r="A29" s="242"/>
      <c r="B29" s="528" t="s">
        <v>3228</v>
      </c>
      <c r="C29" s="528" t="s">
        <v>3229</v>
      </c>
      <c r="D29" s="466">
        <v>32.5</v>
      </c>
      <c r="E29" s="466">
        <v>6.09</v>
      </c>
      <c r="F29" s="466">
        <v>6.47</v>
      </c>
      <c r="G29" s="466" t="s">
        <v>3214</v>
      </c>
      <c r="H29" s="449">
        <v>200.0</v>
      </c>
      <c r="I29" s="535">
        <v>4330.0</v>
      </c>
      <c r="J29" s="462">
        <f t="shared" si="1"/>
        <v>5.416666667</v>
      </c>
      <c r="K29" s="456">
        <f t="shared" si="2"/>
        <v>799.3846154</v>
      </c>
      <c r="L29" s="544">
        <v>3290.0</v>
      </c>
      <c r="M29" s="456">
        <f t="shared" si="3"/>
        <v>607.3846154</v>
      </c>
      <c r="N29" s="242"/>
      <c r="O29" s="242"/>
      <c r="P29" s="242"/>
      <c r="Q29" s="242"/>
      <c r="R29" s="242"/>
      <c r="S29" s="242"/>
      <c r="T29" s="242"/>
      <c r="U29" s="242"/>
      <c r="V29" s="242"/>
      <c r="W29" s="242"/>
      <c r="X29" s="242"/>
      <c r="Y29" s="242"/>
      <c r="Z29" s="242"/>
    </row>
    <row r="30" ht="18.75" customHeight="1">
      <c r="A30" s="242"/>
      <c r="B30" s="528" t="s">
        <v>3231</v>
      </c>
      <c r="C30" s="528" t="s">
        <v>3232</v>
      </c>
      <c r="D30" s="466" t="s">
        <v>2214</v>
      </c>
      <c r="E30" s="478"/>
      <c r="F30" s="478"/>
      <c r="G30" s="466" t="s">
        <v>3214</v>
      </c>
      <c r="H30" s="449">
        <v>225.0</v>
      </c>
      <c r="I30" s="535" t="s">
        <v>2214</v>
      </c>
      <c r="J30" s="539" t="str">
        <f t="shared" si="1"/>
        <v/>
      </c>
      <c r="K30" s="541" t="str">
        <f t="shared" si="2"/>
        <v/>
      </c>
      <c r="L30" s="468" t="s">
        <v>2214</v>
      </c>
      <c r="M30" s="456" t="str">
        <f t="shared" si="3"/>
        <v/>
      </c>
      <c r="N30" s="242"/>
      <c r="O30" s="242"/>
      <c r="P30" s="242"/>
      <c r="Q30" s="242"/>
      <c r="R30" s="242"/>
      <c r="S30" s="242"/>
      <c r="T30" s="242"/>
      <c r="U30" s="242"/>
      <c r="V30" s="242"/>
      <c r="W30" s="242"/>
      <c r="X30" s="242"/>
      <c r="Y30" s="242"/>
      <c r="Z30" s="242"/>
    </row>
    <row r="31" ht="18.75" customHeight="1">
      <c r="A31" s="242"/>
      <c r="B31" s="528" t="s">
        <v>3233</v>
      </c>
      <c r="C31" s="528" t="s">
        <v>3234</v>
      </c>
      <c r="D31" s="466">
        <v>51.5</v>
      </c>
      <c r="E31" s="466">
        <v>7.66</v>
      </c>
      <c r="F31" s="466">
        <v>8.12</v>
      </c>
      <c r="G31" s="466" t="s">
        <v>3214</v>
      </c>
      <c r="H31" s="449">
        <v>250.0</v>
      </c>
      <c r="I31" s="535">
        <v>6860.0</v>
      </c>
      <c r="J31" s="462">
        <f t="shared" si="1"/>
        <v>8.583333333</v>
      </c>
      <c r="K31" s="456">
        <f t="shared" si="2"/>
        <v>799.223301</v>
      </c>
      <c r="L31" s="544">
        <v>5240.0</v>
      </c>
      <c r="M31" s="456">
        <f t="shared" si="3"/>
        <v>610.4854369</v>
      </c>
      <c r="N31" s="242"/>
      <c r="O31" s="242"/>
      <c r="P31" s="242"/>
      <c r="Q31" s="242"/>
      <c r="R31" s="242"/>
      <c r="S31" s="242"/>
      <c r="T31" s="242"/>
      <c r="U31" s="242"/>
      <c r="V31" s="242"/>
      <c r="W31" s="242"/>
      <c r="X31" s="242"/>
      <c r="Y31" s="242"/>
      <c r="Z31" s="242"/>
    </row>
    <row r="32" ht="18.75" customHeight="1">
      <c r="A32" s="242"/>
      <c r="B32" s="528" t="s">
        <v>3236</v>
      </c>
      <c r="C32" s="528" t="s">
        <v>3237</v>
      </c>
      <c r="D32" s="466" t="s">
        <v>2214</v>
      </c>
      <c r="E32" s="478"/>
      <c r="F32" s="478"/>
      <c r="G32" s="466" t="s">
        <v>3214</v>
      </c>
      <c r="H32" s="449">
        <v>280.0</v>
      </c>
      <c r="I32" s="535" t="s">
        <v>2214</v>
      </c>
      <c r="J32" s="539" t="str">
        <f t="shared" si="1"/>
        <v/>
      </c>
      <c r="K32" s="541" t="str">
        <f t="shared" si="2"/>
        <v/>
      </c>
      <c r="L32" s="468" t="s">
        <v>2214</v>
      </c>
      <c r="M32" s="456" t="str">
        <f t="shared" si="3"/>
        <v/>
      </c>
      <c r="N32" s="242"/>
      <c r="O32" s="242"/>
      <c r="P32" s="242"/>
      <c r="Q32" s="242"/>
      <c r="R32" s="242"/>
      <c r="S32" s="242"/>
      <c r="T32" s="242"/>
      <c r="U32" s="242"/>
      <c r="V32" s="242"/>
      <c r="W32" s="242"/>
      <c r="X32" s="242"/>
      <c r="Y32" s="242"/>
      <c r="Z32" s="242"/>
    </row>
    <row r="33" ht="18.75" customHeight="1">
      <c r="A33" s="242"/>
      <c r="B33" s="528" t="s">
        <v>3238</v>
      </c>
      <c r="C33" s="528" t="s">
        <v>3240</v>
      </c>
      <c r="D33" s="466">
        <v>80.5</v>
      </c>
      <c r="E33" s="466">
        <v>9.55</v>
      </c>
      <c r="F33" s="456">
        <v>10.1</v>
      </c>
      <c r="G33" s="466" t="s">
        <v>3214</v>
      </c>
      <c r="H33" s="449">
        <v>315.0</v>
      </c>
      <c r="I33" s="535">
        <v>11960.0</v>
      </c>
      <c r="J33" s="462">
        <f t="shared" si="1"/>
        <v>13.41666667</v>
      </c>
      <c r="K33" s="456">
        <f t="shared" si="2"/>
        <v>891.4285714</v>
      </c>
      <c r="L33" s="544">
        <v>8640.0</v>
      </c>
      <c r="M33" s="456">
        <f t="shared" si="3"/>
        <v>643.9751553</v>
      </c>
      <c r="N33" s="242"/>
      <c r="O33" s="242"/>
      <c r="P33" s="242"/>
      <c r="Q33" s="242"/>
      <c r="R33" s="242"/>
      <c r="S33" s="242"/>
      <c r="T33" s="242"/>
      <c r="U33" s="242"/>
      <c r="V33" s="242"/>
      <c r="W33" s="242"/>
      <c r="X33" s="242"/>
      <c r="Y33" s="242"/>
      <c r="Z33" s="242"/>
    </row>
    <row r="34" ht="18.75" customHeight="1">
      <c r="A34" s="242"/>
      <c r="B34" s="528" t="s">
        <v>3241</v>
      </c>
      <c r="C34" s="528" t="s">
        <v>3242</v>
      </c>
      <c r="D34" s="466" t="s">
        <v>2214</v>
      </c>
      <c r="E34" s="478"/>
      <c r="F34" s="478"/>
      <c r="G34" s="466" t="s">
        <v>3214</v>
      </c>
      <c r="H34" s="449">
        <v>355.0</v>
      </c>
      <c r="I34" s="535" t="s">
        <v>2214</v>
      </c>
      <c r="J34" s="539" t="str">
        <f t="shared" si="1"/>
        <v/>
      </c>
      <c r="K34" s="541" t="str">
        <f t="shared" si="2"/>
        <v/>
      </c>
      <c r="L34" s="468" t="s">
        <v>2214</v>
      </c>
      <c r="M34" s="456" t="str">
        <f t="shared" si="3"/>
        <v/>
      </c>
      <c r="N34" s="242"/>
      <c r="O34" s="242"/>
      <c r="P34" s="242"/>
      <c r="Q34" s="242"/>
      <c r="R34" s="242"/>
      <c r="S34" s="242"/>
      <c r="T34" s="242"/>
      <c r="U34" s="242"/>
      <c r="V34" s="242"/>
      <c r="W34" s="242"/>
      <c r="X34" s="242"/>
      <c r="Y34" s="242"/>
      <c r="Z34" s="242"/>
    </row>
    <row r="35" ht="18.75" customHeight="1">
      <c r="A35" s="242"/>
      <c r="B35" s="528" t="s">
        <v>3244</v>
      </c>
      <c r="C35" s="528" t="s">
        <v>3245</v>
      </c>
      <c r="D35" s="466">
        <v>128.5</v>
      </c>
      <c r="E35" s="466">
        <v>12.07</v>
      </c>
      <c r="F35" s="466">
        <v>12.74</v>
      </c>
      <c r="G35" s="466" t="s">
        <v>3214</v>
      </c>
      <c r="H35" s="449">
        <v>400.0</v>
      </c>
      <c r="I35" s="535">
        <v>18890.0</v>
      </c>
      <c r="J35" s="462">
        <f t="shared" si="1"/>
        <v>21.41666667</v>
      </c>
      <c r="K35" s="456">
        <f t="shared" si="2"/>
        <v>882.0233463</v>
      </c>
      <c r="L35" s="544">
        <v>13680.0</v>
      </c>
      <c r="M35" s="456">
        <f t="shared" si="3"/>
        <v>638.7548638</v>
      </c>
      <c r="N35" s="242"/>
      <c r="O35" s="242"/>
      <c r="P35" s="242"/>
      <c r="Q35" s="242"/>
      <c r="R35" s="242"/>
      <c r="S35" s="242"/>
      <c r="T35" s="242"/>
      <c r="U35" s="242"/>
      <c r="V35" s="242"/>
      <c r="W35" s="242"/>
      <c r="X35" s="242"/>
      <c r="Y35" s="242"/>
      <c r="Z35" s="242"/>
    </row>
    <row r="36" ht="18.75" customHeight="1">
      <c r="A36" s="242"/>
      <c r="B36" s="528" t="s">
        <v>3246</v>
      </c>
      <c r="C36" s="528" t="s">
        <v>3247</v>
      </c>
      <c r="D36" s="466" t="s">
        <v>2214</v>
      </c>
      <c r="E36" s="478"/>
      <c r="F36" s="478"/>
      <c r="G36" s="466" t="s">
        <v>3248</v>
      </c>
      <c r="H36" s="449">
        <v>90.0</v>
      </c>
      <c r="I36" s="535" t="s">
        <v>2214</v>
      </c>
      <c r="J36" s="539" t="str">
        <f t="shared" si="1"/>
        <v/>
      </c>
      <c r="K36" s="541" t="str">
        <f t="shared" si="2"/>
        <v/>
      </c>
      <c r="L36" s="468" t="s">
        <v>2214</v>
      </c>
      <c r="M36" s="456" t="str">
        <f t="shared" si="3"/>
        <v/>
      </c>
      <c r="N36" s="242"/>
      <c r="O36" s="242"/>
      <c r="P36" s="242"/>
      <c r="Q36" s="242"/>
      <c r="R36" s="242"/>
      <c r="S36" s="242"/>
      <c r="T36" s="242"/>
      <c r="U36" s="242"/>
      <c r="V36" s="242"/>
      <c r="W36" s="242"/>
      <c r="X36" s="242"/>
      <c r="Y36" s="242"/>
      <c r="Z36" s="242"/>
    </row>
    <row r="37" ht="18.75" customHeight="1">
      <c r="A37" s="242"/>
      <c r="B37" s="528" t="s">
        <v>3250</v>
      </c>
      <c r="C37" s="528" t="s">
        <v>3251</v>
      </c>
      <c r="D37" s="466">
        <v>12.5</v>
      </c>
      <c r="E37" s="456">
        <v>4.3</v>
      </c>
      <c r="F37" s="456">
        <v>4.6</v>
      </c>
      <c r="G37" s="466" t="s">
        <v>3248</v>
      </c>
      <c r="H37" s="449">
        <v>110.0</v>
      </c>
      <c r="I37" s="535">
        <v>1660.0</v>
      </c>
      <c r="J37" s="462">
        <f t="shared" si="1"/>
        <v>2.083333333</v>
      </c>
      <c r="K37" s="456">
        <f t="shared" si="2"/>
        <v>796.8</v>
      </c>
      <c r="L37" s="544">
        <v>1280.0</v>
      </c>
      <c r="M37" s="456">
        <f t="shared" si="3"/>
        <v>614.4</v>
      </c>
      <c r="N37" s="242"/>
      <c r="O37" s="242"/>
      <c r="P37" s="242"/>
      <c r="Q37" s="242"/>
      <c r="R37" s="242"/>
      <c r="S37" s="242"/>
      <c r="T37" s="242"/>
      <c r="U37" s="242"/>
      <c r="V37" s="242"/>
      <c r="W37" s="242"/>
      <c r="X37" s="242"/>
      <c r="Y37" s="242"/>
      <c r="Z37" s="242"/>
    </row>
    <row r="38" ht="18.75" customHeight="1">
      <c r="A38" s="242"/>
      <c r="B38" s="528" t="s">
        <v>3253</v>
      </c>
      <c r="C38" s="528" t="s">
        <v>3254</v>
      </c>
      <c r="D38" s="466" t="s">
        <v>2214</v>
      </c>
      <c r="E38" s="478"/>
      <c r="F38" s="478"/>
      <c r="G38" s="466" t="s">
        <v>3248</v>
      </c>
      <c r="H38" s="449">
        <v>125.0</v>
      </c>
      <c r="I38" s="535" t="s">
        <v>2214</v>
      </c>
      <c r="J38" s="539" t="str">
        <f t="shared" si="1"/>
        <v/>
      </c>
      <c r="K38" s="541" t="str">
        <f t="shared" si="2"/>
        <v/>
      </c>
      <c r="L38" s="468" t="s">
        <v>2214</v>
      </c>
      <c r="M38" s="456" t="str">
        <f t="shared" si="3"/>
        <v/>
      </c>
      <c r="N38" s="242"/>
      <c r="O38" s="242"/>
      <c r="P38" s="242"/>
      <c r="Q38" s="242"/>
      <c r="R38" s="242"/>
      <c r="S38" s="242"/>
      <c r="T38" s="242"/>
      <c r="U38" s="242"/>
      <c r="V38" s="242"/>
      <c r="W38" s="242"/>
      <c r="X38" s="242"/>
      <c r="Y38" s="242"/>
      <c r="Z38" s="242"/>
    </row>
    <row r="39" ht="18.75" customHeight="1">
      <c r="A39" s="242"/>
      <c r="B39" s="528" t="s">
        <v>3255</v>
      </c>
      <c r="C39" s="528" t="s">
        <v>3256</v>
      </c>
      <c r="D39" s="466" t="s">
        <v>2214</v>
      </c>
      <c r="E39" s="478"/>
      <c r="F39" s="478"/>
      <c r="G39" s="466" t="s">
        <v>3248</v>
      </c>
      <c r="H39" s="449">
        <v>140.0</v>
      </c>
      <c r="I39" s="535" t="s">
        <v>2214</v>
      </c>
      <c r="J39" s="539" t="str">
        <f t="shared" si="1"/>
        <v/>
      </c>
      <c r="K39" s="541" t="str">
        <f t="shared" si="2"/>
        <v/>
      </c>
      <c r="L39" s="468" t="s">
        <v>2214</v>
      </c>
      <c r="M39" s="456" t="str">
        <f t="shared" si="3"/>
        <v/>
      </c>
      <c r="N39" s="242"/>
      <c r="O39" s="242"/>
      <c r="P39" s="242"/>
      <c r="Q39" s="242"/>
      <c r="R39" s="242"/>
      <c r="S39" s="242"/>
      <c r="T39" s="242"/>
      <c r="U39" s="242"/>
      <c r="V39" s="242"/>
      <c r="W39" s="242"/>
      <c r="X39" s="242"/>
      <c r="Y39" s="242"/>
      <c r="Z39" s="242"/>
    </row>
    <row r="40" ht="18.75" customHeight="1">
      <c r="A40" s="242"/>
      <c r="B40" s="528" t="s">
        <v>3258</v>
      </c>
      <c r="C40" s="528" t="s">
        <v>3259</v>
      </c>
      <c r="D40" s="466">
        <v>26.5</v>
      </c>
      <c r="E40" s="466">
        <v>6.19</v>
      </c>
      <c r="F40" s="466">
        <v>6.58</v>
      </c>
      <c r="G40" s="466" t="s">
        <v>3248</v>
      </c>
      <c r="H40" s="449">
        <v>160.0</v>
      </c>
      <c r="I40" s="535">
        <v>3530.0</v>
      </c>
      <c r="J40" s="462">
        <f t="shared" si="1"/>
        <v>4.416666667</v>
      </c>
      <c r="K40" s="456">
        <f t="shared" si="2"/>
        <v>799.245283</v>
      </c>
      <c r="L40" s="544">
        <v>2680.0</v>
      </c>
      <c r="M40" s="456">
        <f t="shared" si="3"/>
        <v>606.7924528</v>
      </c>
      <c r="N40" s="242"/>
      <c r="O40" s="242"/>
      <c r="P40" s="242"/>
      <c r="Q40" s="242"/>
      <c r="R40" s="242"/>
      <c r="S40" s="242"/>
      <c r="T40" s="242"/>
      <c r="U40" s="242"/>
      <c r="V40" s="242"/>
      <c r="W40" s="242"/>
      <c r="X40" s="242"/>
      <c r="Y40" s="242"/>
      <c r="Z40" s="242"/>
    </row>
    <row r="41" ht="18.75" customHeight="1">
      <c r="A41" s="242"/>
      <c r="B41" s="528" t="s">
        <v>3260</v>
      </c>
      <c r="C41" s="528" t="s">
        <v>3261</v>
      </c>
      <c r="D41" s="466" t="s">
        <v>2214</v>
      </c>
      <c r="E41" s="478"/>
      <c r="F41" s="478"/>
      <c r="G41" s="466" t="s">
        <v>3248</v>
      </c>
      <c r="H41" s="449">
        <v>180.0</v>
      </c>
      <c r="I41" s="535" t="s">
        <v>2214</v>
      </c>
      <c r="J41" s="539" t="str">
        <f t="shared" si="1"/>
        <v/>
      </c>
      <c r="K41" s="541" t="str">
        <f t="shared" si="2"/>
        <v/>
      </c>
      <c r="L41" s="468" t="s">
        <v>2214</v>
      </c>
      <c r="M41" s="456" t="str">
        <f t="shared" si="3"/>
        <v/>
      </c>
      <c r="N41" s="242"/>
      <c r="O41" s="242"/>
      <c r="P41" s="242"/>
      <c r="Q41" s="242"/>
      <c r="R41" s="242"/>
      <c r="S41" s="242"/>
      <c r="T41" s="242"/>
      <c r="U41" s="242"/>
      <c r="V41" s="242"/>
      <c r="W41" s="242"/>
      <c r="X41" s="242"/>
      <c r="Y41" s="242"/>
      <c r="Z41" s="242"/>
    </row>
    <row r="42" ht="18.75" customHeight="1">
      <c r="A42" s="242"/>
      <c r="B42" s="528" t="s">
        <v>3263</v>
      </c>
      <c r="C42" s="528" t="s">
        <v>3264</v>
      </c>
      <c r="D42" s="466">
        <v>40.5</v>
      </c>
      <c r="E42" s="466">
        <v>7.66</v>
      </c>
      <c r="F42" s="466">
        <v>8.12</v>
      </c>
      <c r="G42" s="466" t="s">
        <v>3248</v>
      </c>
      <c r="H42" s="449">
        <v>200.0</v>
      </c>
      <c r="I42" s="535">
        <v>5370.0</v>
      </c>
      <c r="J42" s="462">
        <f t="shared" si="1"/>
        <v>6.75</v>
      </c>
      <c r="K42" s="456">
        <f t="shared" si="2"/>
        <v>795.5555556</v>
      </c>
      <c r="L42" s="544">
        <v>4160.0</v>
      </c>
      <c r="M42" s="456">
        <f t="shared" si="3"/>
        <v>616.2962963</v>
      </c>
      <c r="N42" s="242"/>
      <c r="O42" s="242"/>
      <c r="P42" s="242"/>
      <c r="Q42" s="242"/>
      <c r="R42" s="242"/>
      <c r="S42" s="242"/>
      <c r="T42" s="242"/>
      <c r="U42" s="242"/>
      <c r="V42" s="242"/>
      <c r="W42" s="242"/>
      <c r="X42" s="242"/>
      <c r="Y42" s="242"/>
      <c r="Z42" s="242"/>
    </row>
    <row r="43" ht="18.75" customHeight="1">
      <c r="A43" s="242"/>
      <c r="B43" s="528" t="s">
        <v>3266</v>
      </c>
      <c r="C43" s="528" t="s">
        <v>3267</v>
      </c>
      <c r="D43" s="466" t="s">
        <v>2214</v>
      </c>
      <c r="E43" s="478"/>
      <c r="F43" s="478"/>
      <c r="G43" s="466" t="s">
        <v>3248</v>
      </c>
      <c r="H43" s="449">
        <v>225.0</v>
      </c>
      <c r="I43" s="535" t="s">
        <v>2214</v>
      </c>
      <c r="J43" s="539" t="str">
        <f t="shared" si="1"/>
        <v/>
      </c>
      <c r="K43" s="541" t="str">
        <f t="shared" si="2"/>
        <v/>
      </c>
      <c r="L43" s="468" t="s">
        <v>2214</v>
      </c>
      <c r="M43" s="456" t="str">
        <f t="shared" si="3"/>
        <v/>
      </c>
      <c r="N43" s="242"/>
      <c r="O43" s="242"/>
      <c r="P43" s="242"/>
      <c r="Q43" s="242"/>
      <c r="R43" s="242"/>
      <c r="S43" s="242"/>
      <c r="T43" s="242"/>
      <c r="U43" s="242"/>
      <c r="V43" s="242"/>
      <c r="W43" s="242"/>
      <c r="X43" s="242"/>
      <c r="Y43" s="242"/>
      <c r="Z43" s="242"/>
    </row>
    <row r="44" ht="18.75" customHeight="1">
      <c r="A44" s="242"/>
      <c r="B44" s="528" t="s">
        <v>3268</v>
      </c>
      <c r="C44" s="528" t="s">
        <v>3269</v>
      </c>
      <c r="D44" s="466">
        <v>63.5</v>
      </c>
      <c r="E44" s="466">
        <v>9.55</v>
      </c>
      <c r="F44" s="456">
        <v>10.1</v>
      </c>
      <c r="G44" s="466" t="s">
        <v>3248</v>
      </c>
      <c r="H44" s="449">
        <v>250.0</v>
      </c>
      <c r="I44" s="535">
        <v>8460.0</v>
      </c>
      <c r="J44" s="462">
        <f t="shared" si="1"/>
        <v>10.58333333</v>
      </c>
      <c r="K44" s="456">
        <f t="shared" si="2"/>
        <v>799.3700787</v>
      </c>
      <c r="L44" s="544">
        <v>5480.0</v>
      </c>
      <c r="M44" s="456">
        <f t="shared" si="3"/>
        <v>517.7952756</v>
      </c>
      <c r="N44" s="242"/>
      <c r="O44" s="242"/>
      <c r="P44" s="242"/>
      <c r="Q44" s="242"/>
      <c r="R44" s="242"/>
      <c r="S44" s="242"/>
      <c r="T44" s="242"/>
      <c r="U44" s="242"/>
      <c r="V44" s="242"/>
      <c r="W44" s="242"/>
      <c r="X44" s="242"/>
      <c r="Y44" s="242"/>
      <c r="Z44" s="242"/>
    </row>
    <row r="45" ht="18.75" customHeight="1">
      <c r="A45" s="242"/>
      <c r="B45" s="528" t="s">
        <v>3271</v>
      </c>
      <c r="C45" s="528" t="s">
        <v>3272</v>
      </c>
      <c r="D45" s="466" t="s">
        <v>2214</v>
      </c>
      <c r="E45" s="478"/>
      <c r="F45" s="478"/>
      <c r="G45" s="466" t="s">
        <v>3248</v>
      </c>
      <c r="H45" s="449">
        <v>280.0</v>
      </c>
      <c r="I45" s="535" t="s">
        <v>2214</v>
      </c>
      <c r="J45" s="539" t="str">
        <f t="shared" si="1"/>
        <v/>
      </c>
      <c r="K45" s="541" t="str">
        <f t="shared" si="2"/>
        <v/>
      </c>
      <c r="L45" s="468" t="s">
        <v>2214</v>
      </c>
      <c r="M45" s="456" t="str">
        <f t="shared" si="3"/>
        <v/>
      </c>
      <c r="N45" s="242"/>
      <c r="O45" s="242"/>
      <c r="P45" s="242"/>
      <c r="Q45" s="242"/>
      <c r="R45" s="242"/>
      <c r="S45" s="242"/>
      <c r="T45" s="242"/>
      <c r="U45" s="242"/>
      <c r="V45" s="242"/>
      <c r="W45" s="242"/>
      <c r="X45" s="242"/>
      <c r="Y45" s="242"/>
      <c r="Z45" s="242"/>
    </row>
    <row r="46" ht="18.75" customHeight="1">
      <c r="A46" s="242"/>
      <c r="B46" s="528" t="s">
        <v>3274</v>
      </c>
      <c r="C46" s="528" t="s">
        <v>3275</v>
      </c>
      <c r="D46" s="466">
        <v>100.0</v>
      </c>
      <c r="E46" s="466">
        <v>12.07</v>
      </c>
      <c r="F46" s="466">
        <v>12.74</v>
      </c>
      <c r="G46" s="466" t="s">
        <v>3248</v>
      </c>
      <c r="H46" s="449">
        <v>315.0</v>
      </c>
      <c r="I46" s="535">
        <v>14890.0</v>
      </c>
      <c r="J46" s="462">
        <f t="shared" si="1"/>
        <v>16.66666667</v>
      </c>
      <c r="K46" s="456">
        <f t="shared" si="2"/>
        <v>893.4</v>
      </c>
      <c r="L46" s="544">
        <v>10680.0</v>
      </c>
      <c r="M46" s="456">
        <f t="shared" si="3"/>
        <v>640.8</v>
      </c>
      <c r="N46" s="242"/>
      <c r="O46" s="242"/>
      <c r="P46" s="242"/>
      <c r="Q46" s="242"/>
      <c r="R46" s="242"/>
      <c r="S46" s="242"/>
      <c r="T46" s="242"/>
      <c r="U46" s="242"/>
      <c r="V46" s="242"/>
      <c r="W46" s="242"/>
      <c r="X46" s="242"/>
      <c r="Y46" s="242"/>
      <c r="Z46" s="242"/>
    </row>
    <row r="47" ht="18.75" customHeight="1">
      <c r="A47" s="242"/>
      <c r="B47" s="528" t="s">
        <v>3276</v>
      </c>
      <c r="C47" s="528" t="s">
        <v>3277</v>
      </c>
      <c r="D47" s="466" t="s">
        <v>2214</v>
      </c>
      <c r="E47" s="478"/>
      <c r="F47" s="478"/>
      <c r="G47" s="466" t="s">
        <v>3248</v>
      </c>
      <c r="H47" s="449">
        <v>355.0</v>
      </c>
      <c r="I47" s="535" t="s">
        <v>2214</v>
      </c>
      <c r="J47" s="539" t="str">
        <f t="shared" si="1"/>
        <v/>
      </c>
      <c r="K47" s="541" t="str">
        <f t="shared" si="2"/>
        <v/>
      </c>
      <c r="L47" s="468" t="s">
        <v>2214</v>
      </c>
      <c r="M47" s="456" t="str">
        <f t="shared" si="3"/>
        <v/>
      </c>
      <c r="N47" s="242"/>
      <c r="O47" s="242"/>
      <c r="P47" s="242"/>
      <c r="Q47" s="242"/>
      <c r="R47" s="242"/>
      <c r="S47" s="242"/>
      <c r="T47" s="242"/>
      <c r="U47" s="242"/>
      <c r="V47" s="242"/>
      <c r="W47" s="242"/>
      <c r="X47" s="242"/>
      <c r="Y47" s="242"/>
      <c r="Z47" s="242"/>
    </row>
    <row r="48" ht="18.75" customHeight="1">
      <c r="A48" s="242"/>
      <c r="B48" s="528" t="s">
        <v>3279</v>
      </c>
      <c r="C48" s="528" t="s">
        <v>3280</v>
      </c>
      <c r="D48" s="466">
        <v>160.0</v>
      </c>
      <c r="E48" s="552">
        <v>15.22</v>
      </c>
      <c r="F48" s="466">
        <v>16.04</v>
      </c>
      <c r="G48" s="466" t="s">
        <v>3248</v>
      </c>
      <c r="H48" s="449">
        <v>400.0</v>
      </c>
      <c r="I48" s="535">
        <v>23840.0</v>
      </c>
      <c r="J48" s="462">
        <f t="shared" si="1"/>
        <v>26.66666667</v>
      </c>
      <c r="K48" s="456">
        <f t="shared" si="2"/>
        <v>894</v>
      </c>
      <c r="L48" s="544">
        <v>16940.0</v>
      </c>
      <c r="M48" s="456">
        <f t="shared" si="3"/>
        <v>635.25</v>
      </c>
      <c r="N48" s="242"/>
      <c r="O48" s="242"/>
      <c r="P48" s="242"/>
      <c r="Q48" s="242"/>
      <c r="R48" s="242"/>
      <c r="S48" s="242"/>
      <c r="T48" s="242"/>
      <c r="U48" s="242"/>
      <c r="V48" s="242"/>
      <c r="W48" s="242"/>
      <c r="X48" s="242"/>
      <c r="Y48" s="242"/>
      <c r="Z48" s="242"/>
    </row>
    <row r="49">
      <c r="A49" s="242"/>
      <c r="B49" s="553"/>
      <c r="C49" s="553"/>
      <c r="D49" s="554"/>
      <c r="E49" s="554"/>
      <c r="F49" s="554"/>
      <c r="G49" s="555"/>
      <c r="H49" s="556"/>
      <c r="I49" s="554"/>
      <c r="J49" s="554"/>
      <c r="K49" s="557"/>
      <c r="L49" s="13"/>
      <c r="M49" s="13"/>
      <c r="N49" s="242"/>
      <c r="O49" s="242"/>
      <c r="P49" s="242"/>
      <c r="Q49" s="242"/>
      <c r="R49" s="242"/>
      <c r="S49" s="242"/>
      <c r="T49" s="242"/>
      <c r="U49" s="242"/>
      <c r="V49" s="242"/>
      <c r="W49" s="242"/>
      <c r="X49" s="242"/>
      <c r="Y49" s="242"/>
      <c r="Z49" s="242"/>
    </row>
    <row r="50">
      <c r="A50" s="242"/>
      <c r="B50" s="524"/>
      <c r="C50" s="524"/>
      <c r="D50" s="242"/>
      <c r="E50" s="242"/>
      <c r="F50" s="242"/>
      <c r="G50" s="13"/>
      <c r="H50" s="525"/>
      <c r="I50" s="242"/>
      <c r="J50" s="242"/>
      <c r="K50" s="242"/>
      <c r="L50" s="13"/>
      <c r="M50" s="13"/>
      <c r="N50" s="242"/>
      <c r="O50" s="242"/>
      <c r="P50" s="242"/>
      <c r="Q50" s="242"/>
      <c r="R50" s="242"/>
      <c r="S50" s="242"/>
      <c r="T50" s="242"/>
      <c r="U50" s="242"/>
      <c r="V50" s="242"/>
      <c r="W50" s="242"/>
      <c r="X50" s="242"/>
      <c r="Y50" s="242"/>
      <c r="Z50" s="242"/>
    </row>
    <row r="51">
      <c r="A51" s="242"/>
      <c r="B51" s="524"/>
      <c r="C51" s="524"/>
      <c r="D51" s="242"/>
      <c r="E51" s="242"/>
      <c r="F51" s="242"/>
      <c r="G51" s="13"/>
      <c r="H51" s="525"/>
      <c r="I51" s="242"/>
      <c r="J51" s="242"/>
      <c r="K51" s="242"/>
      <c r="L51" s="13"/>
      <c r="M51" s="13"/>
      <c r="N51" s="242"/>
      <c r="O51" s="242"/>
      <c r="P51" s="242"/>
      <c r="Q51" s="242"/>
      <c r="R51" s="242"/>
      <c r="S51" s="242"/>
      <c r="T51" s="242"/>
      <c r="U51" s="242"/>
      <c r="V51" s="242"/>
      <c r="W51" s="242"/>
      <c r="X51" s="242"/>
      <c r="Y51" s="242"/>
      <c r="Z51" s="242"/>
    </row>
    <row r="52">
      <c r="A52" s="242"/>
      <c r="B52" s="524"/>
      <c r="C52" s="524"/>
      <c r="D52" s="242"/>
      <c r="E52" s="242"/>
      <c r="F52" s="242"/>
      <c r="G52" s="13"/>
      <c r="H52" s="525"/>
      <c r="I52" s="242"/>
      <c r="J52" s="242"/>
      <c r="K52" s="242"/>
      <c r="L52" s="13"/>
      <c r="M52" s="13"/>
      <c r="N52" s="242"/>
      <c r="O52" s="242"/>
      <c r="P52" s="242"/>
      <c r="Q52" s="242"/>
      <c r="R52" s="242"/>
      <c r="S52" s="242"/>
      <c r="T52" s="242"/>
      <c r="U52" s="242"/>
      <c r="V52" s="242"/>
      <c r="W52" s="242"/>
      <c r="X52" s="242"/>
      <c r="Y52" s="242"/>
      <c r="Z52" s="242"/>
    </row>
    <row r="53">
      <c r="A53" s="242"/>
      <c r="B53" s="524"/>
      <c r="C53" s="524"/>
      <c r="D53" s="242"/>
      <c r="E53" s="242"/>
      <c r="F53" s="242"/>
      <c r="G53" s="13"/>
      <c r="H53" s="525"/>
      <c r="I53" s="242"/>
      <c r="J53" s="242"/>
      <c r="K53" s="242"/>
      <c r="L53" s="13"/>
      <c r="M53" s="13"/>
      <c r="N53" s="242"/>
      <c r="O53" s="242"/>
      <c r="P53" s="242"/>
      <c r="Q53" s="242"/>
      <c r="R53" s="242"/>
      <c r="S53" s="242"/>
      <c r="T53" s="242"/>
      <c r="U53" s="242"/>
      <c r="V53" s="242"/>
      <c r="W53" s="242"/>
      <c r="X53" s="242"/>
      <c r="Y53" s="242"/>
      <c r="Z53" s="242"/>
    </row>
    <row r="54">
      <c r="A54" s="242"/>
      <c r="B54" s="524"/>
      <c r="C54" s="524"/>
      <c r="D54" s="242"/>
      <c r="E54" s="242"/>
      <c r="F54" s="242"/>
      <c r="G54" s="13"/>
      <c r="H54" s="525"/>
      <c r="I54" s="242"/>
      <c r="J54" s="242"/>
      <c r="K54" s="242"/>
      <c r="L54" s="13"/>
      <c r="M54" s="13"/>
      <c r="N54" s="242"/>
      <c r="O54" s="242"/>
      <c r="P54" s="242"/>
      <c r="Q54" s="242"/>
      <c r="R54" s="242"/>
      <c r="S54" s="242"/>
      <c r="T54" s="242"/>
      <c r="U54" s="242"/>
      <c r="V54" s="242"/>
      <c r="W54" s="242"/>
      <c r="X54" s="242"/>
      <c r="Y54" s="242"/>
      <c r="Z54" s="242"/>
    </row>
    <row r="55">
      <c r="A55" s="242"/>
      <c r="B55" s="524"/>
      <c r="C55" s="524"/>
      <c r="D55" s="242"/>
      <c r="E55" s="242"/>
      <c r="F55" s="242"/>
      <c r="G55" s="13"/>
      <c r="H55" s="525"/>
      <c r="I55" s="242"/>
      <c r="J55" s="242"/>
      <c r="K55" s="242"/>
      <c r="L55" s="13"/>
      <c r="M55" s="13"/>
      <c r="N55" s="242"/>
      <c r="O55" s="242"/>
      <c r="P55" s="242"/>
      <c r="Q55" s="242"/>
      <c r="R55" s="242"/>
      <c r="S55" s="242"/>
      <c r="T55" s="242"/>
      <c r="U55" s="242"/>
      <c r="V55" s="242"/>
      <c r="W55" s="242"/>
      <c r="X55" s="242"/>
      <c r="Y55" s="242"/>
      <c r="Z55" s="242"/>
    </row>
    <row r="56">
      <c r="A56" s="242"/>
      <c r="B56" s="524"/>
      <c r="C56" s="524"/>
      <c r="D56" s="242"/>
      <c r="E56" s="242"/>
      <c r="F56" s="242"/>
      <c r="G56" s="13"/>
      <c r="H56" s="525"/>
      <c r="I56" s="242"/>
      <c r="J56" s="242"/>
      <c r="K56" s="242"/>
      <c r="L56" s="13"/>
      <c r="M56" s="13"/>
      <c r="N56" s="242"/>
      <c r="O56" s="242"/>
      <c r="P56" s="242"/>
      <c r="Q56" s="242"/>
      <c r="R56" s="242"/>
      <c r="S56" s="242"/>
      <c r="T56" s="242"/>
      <c r="U56" s="242"/>
      <c r="V56" s="242"/>
      <c r="W56" s="242"/>
      <c r="X56" s="242"/>
      <c r="Y56" s="242"/>
      <c r="Z56" s="242"/>
    </row>
    <row r="57">
      <c r="A57" s="242"/>
      <c r="B57" s="524"/>
      <c r="C57" s="524"/>
      <c r="D57" s="242"/>
      <c r="E57" s="242"/>
      <c r="F57" s="242"/>
      <c r="G57" s="13"/>
      <c r="H57" s="525"/>
      <c r="I57" s="242"/>
      <c r="J57" s="242"/>
      <c r="K57" s="242"/>
      <c r="L57" s="13"/>
      <c r="M57" s="13"/>
      <c r="N57" s="242"/>
      <c r="O57" s="242"/>
      <c r="P57" s="242"/>
      <c r="Q57" s="242"/>
      <c r="R57" s="242"/>
      <c r="S57" s="242"/>
      <c r="T57" s="242"/>
      <c r="U57" s="242"/>
      <c r="V57" s="242"/>
      <c r="W57" s="242"/>
      <c r="X57" s="242"/>
      <c r="Y57" s="242"/>
      <c r="Z57" s="242"/>
    </row>
    <row r="58">
      <c r="A58" s="242"/>
      <c r="B58" s="524"/>
      <c r="C58" s="524"/>
      <c r="D58" s="242"/>
      <c r="E58" s="242"/>
      <c r="F58" s="242"/>
      <c r="G58" s="13"/>
      <c r="H58" s="525"/>
      <c r="I58" s="242"/>
      <c r="J58" s="242"/>
      <c r="K58" s="242"/>
      <c r="L58" s="13"/>
      <c r="M58" s="13"/>
      <c r="N58" s="242"/>
      <c r="O58" s="242"/>
      <c r="P58" s="242"/>
      <c r="Q58" s="242"/>
      <c r="R58" s="242"/>
      <c r="S58" s="242"/>
      <c r="T58" s="242"/>
      <c r="U58" s="242"/>
      <c r="V58" s="242"/>
      <c r="W58" s="242"/>
      <c r="X58" s="242"/>
      <c r="Y58" s="242"/>
      <c r="Z58" s="242"/>
    </row>
    <row r="59">
      <c r="A59" s="242"/>
      <c r="B59" s="524"/>
      <c r="C59" s="524"/>
      <c r="D59" s="242"/>
      <c r="E59" s="242"/>
      <c r="F59" s="242"/>
      <c r="G59" s="13"/>
      <c r="H59" s="525"/>
      <c r="I59" s="242"/>
      <c r="J59" s="242"/>
      <c r="K59" s="242"/>
      <c r="L59" s="13"/>
      <c r="M59" s="13"/>
      <c r="N59" s="242"/>
      <c r="O59" s="242"/>
      <c r="P59" s="242"/>
      <c r="Q59" s="242"/>
      <c r="R59" s="242"/>
      <c r="S59" s="242"/>
      <c r="T59" s="242"/>
      <c r="U59" s="242"/>
      <c r="V59" s="242"/>
      <c r="W59" s="242"/>
      <c r="X59" s="242"/>
      <c r="Y59" s="242"/>
      <c r="Z59" s="242"/>
    </row>
    <row r="60">
      <c r="A60" s="242"/>
      <c r="B60" s="524"/>
      <c r="C60" s="524"/>
      <c r="D60" s="242"/>
      <c r="E60" s="242"/>
      <c r="F60" s="242"/>
      <c r="G60" s="13"/>
      <c r="H60" s="525"/>
      <c r="I60" s="242"/>
      <c r="J60" s="242"/>
      <c r="K60" s="242"/>
      <c r="L60" s="13"/>
      <c r="M60" s="13"/>
      <c r="N60" s="242"/>
      <c r="O60" s="242"/>
      <c r="P60" s="242"/>
      <c r="Q60" s="242"/>
      <c r="R60" s="242"/>
      <c r="S60" s="242"/>
      <c r="T60" s="242"/>
      <c r="U60" s="242"/>
      <c r="V60" s="242"/>
      <c r="W60" s="242"/>
      <c r="X60" s="242"/>
      <c r="Y60" s="242"/>
      <c r="Z60" s="242"/>
    </row>
    <row r="61">
      <c r="A61" s="242"/>
      <c r="B61" s="524"/>
      <c r="C61" s="524"/>
      <c r="D61" s="242"/>
      <c r="E61" s="242"/>
      <c r="F61" s="242"/>
      <c r="G61" s="13"/>
      <c r="H61" s="525"/>
      <c r="I61" s="242"/>
      <c r="J61" s="242"/>
      <c r="K61" s="242"/>
      <c r="L61" s="13"/>
      <c r="M61" s="13"/>
      <c r="N61" s="242"/>
      <c r="O61" s="242"/>
      <c r="P61" s="242"/>
      <c r="Q61" s="242"/>
      <c r="R61" s="242"/>
      <c r="S61" s="242"/>
      <c r="T61" s="242"/>
      <c r="U61" s="242"/>
      <c r="V61" s="242"/>
      <c r="W61" s="242"/>
      <c r="X61" s="242"/>
      <c r="Y61" s="242"/>
      <c r="Z61" s="242"/>
    </row>
    <row r="62">
      <c r="A62" s="242"/>
      <c r="B62" s="524"/>
      <c r="C62" s="524"/>
      <c r="D62" s="242"/>
      <c r="E62" s="242"/>
      <c r="F62" s="242"/>
      <c r="G62" s="13"/>
      <c r="H62" s="525"/>
      <c r="I62" s="242"/>
      <c r="J62" s="242"/>
      <c r="K62" s="242"/>
      <c r="L62" s="13"/>
      <c r="M62" s="13"/>
      <c r="N62" s="242"/>
      <c r="O62" s="242"/>
      <c r="P62" s="242"/>
      <c r="Q62" s="242"/>
      <c r="R62" s="242"/>
      <c r="S62" s="242"/>
      <c r="T62" s="242"/>
      <c r="U62" s="242"/>
      <c r="V62" s="242"/>
      <c r="W62" s="242"/>
      <c r="X62" s="242"/>
      <c r="Y62" s="242"/>
      <c r="Z62" s="242"/>
    </row>
    <row r="63">
      <c r="A63" s="242"/>
      <c r="B63" s="524"/>
      <c r="C63" s="524"/>
      <c r="D63" s="242"/>
      <c r="E63" s="242"/>
      <c r="F63" s="242"/>
      <c r="G63" s="13"/>
      <c r="H63" s="525"/>
      <c r="I63" s="242"/>
      <c r="J63" s="242"/>
      <c r="K63" s="242"/>
      <c r="L63" s="13"/>
      <c r="M63" s="13"/>
      <c r="N63" s="242"/>
      <c r="O63" s="242"/>
      <c r="P63" s="242"/>
      <c r="Q63" s="242"/>
      <c r="R63" s="242"/>
      <c r="S63" s="242"/>
      <c r="T63" s="242"/>
      <c r="U63" s="242"/>
      <c r="V63" s="242"/>
      <c r="W63" s="242"/>
      <c r="X63" s="242"/>
      <c r="Y63" s="242"/>
      <c r="Z63" s="242"/>
    </row>
    <row r="64">
      <c r="A64" s="242"/>
      <c r="B64" s="524"/>
      <c r="C64" s="524"/>
      <c r="D64" s="242"/>
      <c r="E64" s="242"/>
      <c r="F64" s="242"/>
      <c r="G64" s="13"/>
      <c r="H64" s="525"/>
      <c r="I64" s="242"/>
      <c r="J64" s="242"/>
      <c r="K64" s="242"/>
      <c r="L64" s="13"/>
      <c r="M64" s="13"/>
      <c r="N64" s="242"/>
      <c r="O64" s="242"/>
      <c r="P64" s="242"/>
      <c r="Q64" s="242"/>
      <c r="R64" s="242"/>
      <c r="S64" s="242"/>
      <c r="T64" s="242"/>
      <c r="U64" s="242"/>
      <c r="V64" s="242"/>
      <c r="W64" s="242"/>
      <c r="X64" s="242"/>
      <c r="Y64" s="242"/>
      <c r="Z64" s="242"/>
    </row>
    <row r="65">
      <c r="A65" s="242"/>
      <c r="B65" s="524"/>
      <c r="C65" s="524"/>
      <c r="D65" s="242"/>
      <c r="E65" s="242"/>
      <c r="F65" s="242"/>
      <c r="G65" s="13"/>
      <c r="H65" s="525"/>
      <c r="I65" s="242"/>
      <c r="J65" s="242"/>
      <c r="K65" s="242"/>
      <c r="L65" s="13"/>
      <c r="M65" s="13"/>
      <c r="N65" s="242"/>
      <c r="O65" s="242"/>
      <c r="P65" s="242"/>
      <c r="Q65" s="242"/>
      <c r="R65" s="242"/>
      <c r="S65" s="242"/>
      <c r="T65" s="242"/>
      <c r="U65" s="242"/>
      <c r="V65" s="242"/>
      <c r="W65" s="242"/>
      <c r="X65" s="242"/>
      <c r="Y65" s="242"/>
      <c r="Z65" s="242"/>
    </row>
    <row r="66">
      <c r="A66" s="242"/>
      <c r="B66" s="524"/>
      <c r="C66" s="524"/>
      <c r="D66" s="242"/>
      <c r="E66" s="242"/>
      <c r="F66" s="242"/>
      <c r="G66" s="13"/>
      <c r="H66" s="525"/>
      <c r="I66" s="242"/>
      <c r="J66" s="242"/>
      <c r="K66" s="242"/>
      <c r="L66" s="13"/>
      <c r="M66" s="13"/>
      <c r="N66" s="242"/>
      <c r="O66" s="242"/>
      <c r="P66" s="242"/>
      <c r="Q66" s="242"/>
      <c r="R66" s="242"/>
      <c r="S66" s="242"/>
      <c r="T66" s="242"/>
      <c r="U66" s="242"/>
      <c r="V66" s="242"/>
      <c r="W66" s="242"/>
      <c r="X66" s="242"/>
      <c r="Y66" s="242"/>
      <c r="Z66" s="242"/>
    </row>
    <row r="67">
      <c r="A67" s="242"/>
      <c r="B67" s="524"/>
      <c r="C67" s="524"/>
      <c r="D67" s="242"/>
      <c r="E67" s="242"/>
      <c r="F67" s="242"/>
      <c r="G67" s="13"/>
      <c r="H67" s="525"/>
      <c r="I67" s="242"/>
      <c r="J67" s="242"/>
      <c r="K67" s="242"/>
      <c r="L67" s="13"/>
      <c r="M67" s="13"/>
      <c r="N67" s="242"/>
      <c r="O67" s="242"/>
      <c r="P67" s="242"/>
      <c r="Q67" s="242"/>
      <c r="R67" s="242"/>
      <c r="S67" s="242"/>
      <c r="T67" s="242"/>
      <c r="U67" s="242"/>
      <c r="V67" s="242"/>
      <c r="W67" s="242"/>
      <c r="X67" s="242"/>
      <c r="Y67" s="242"/>
      <c r="Z67" s="242"/>
    </row>
    <row r="68">
      <c r="A68" s="242"/>
      <c r="B68" s="524"/>
      <c r="C68" s="524"/>
      <c r="D68" s="242"/>
      <c r="E68" s="242"/>
      <c r="F68" s="242"/>
      <c r="G68" s="13"/>
      <c r="H68" s="525"/>
      <c r="I68" s="242"/>
      <c r="J68" s="242"/>
      <c r="K68" s="242"/>
      <c r="L68" s="13"/>
      <c r="M68" s="13"/>
      <c r="N68" s="242"/>
      <c r="O68" s="242"/>
      <c r="P68" s="242"/>
      <c r="Q68" s="242"/>
      <c r="R68" s="242"/>
      <c r="S68" s="242"/>
      <c r="T68" s="242"/>
      <c r="U68" s="242"/>
      <c r="V68" s="242"/>
      <c r="W68" s="242"/>
      <c r="X68" s="242"/>
      <c r="Y68" s="242"/>
      <c r="Z68" s="242"/>
    </row>
    <row r="69">
      <c r="A69" s="242"/>
      <c r="B69" s="524"/>
      <c r="C69" s="524"/>
      <c r="D69" s="242"/>
      <c r="E69" s="242"/>
      <c r="F69" s="242"/>
      <c r="G69" s="13"/>
      <c r="H69" s="525"/>
      <c r="I69" s="242"/>
      <c r="J69" s="242"/>
      <c r="K69" s="242"/>
      <c r="L69" s="13"/>
      <c r="M69" s="13"/>
      <c r="N69" s="242"/>
      <c r="O69" s="242"/>
      <c r="P69" s="242"/>
      <c r="Q69" s="242"/>
      <c r="R69" s="242"/>
      <c r="S69" s="242"/>
      <c r="T69" s="242"/>
      <c r="U69" s="242"/>
      <c r="V69" s="242"/>
      <c r="W69" s="242"/>
      <c r="X69" s="242"/>
      <c r="Y69" s="242"/>
      <c r="Z69" s="242"/>
    </row>
    <row r="70">
      <c r="A70" s="242"/>
      <c r="B70" s="524"/>
      <c r="C70" s="524"/>
      <c r="D70" s="242"/>
      <c r="E70" s="242"/>
      <c r="F70" s="242"/>
      <c r="G70" s="13"/>
      <c r="H70" s="525"/>
      <c r="I70" s="242"/>
      <c r="J70" s="242"/>
      <c r="K70" s="242"/>
      <c r="L70" s="13"/>
      <c r="M70" s="13"/>
      <c r="N70" s="242"/>
      <c r="O70" s="242"/>
      <c r="P70" s="242"/>
      <c r="Q70" s="242"/>
      <c r="R70" s="242"/>
      <c r="S70" s="242"/>
      <c r="T70" s="242"/>
      <c r="U70" s="242"/>
      <c r="V70" s="242"/>
      <c r="W70" s="242"/>
      <c r="X70" s="242"/>
      <c r="Y70" s="242"/>
      <c r="Z70" s="242"/>
    </row>
    <row r="71">
      <c r="A71" s="242"/>
      <c r="B71" s="524"/>
      <c r="C71" s="524"/>
      <c r="D71" s="242"/>
      <c r="E71" s="242"/>
      <c r="F71" s="242"/>
      <c r="G71" s="13"/>
      <c r="H71" s="525"/>
      <c r="I71" s="242"/>
      <c r="J71" s="242"/>
      <c r="K71" s="242"/>
      <c r="L71" s="13"/>
      <c r="M71" s="13"/>
      <c r="N71" s="242"/>
      <c r="O71" s="242"/>
      <c r="P71" s="242"/>
      <c r="Q71" s="242"/>
      <c r="R71" s="242"/>
      <c r="S71" s="242"/>
      <c r="T71" s="242"/>
      <c r="U71" s="242"/>
      <c r="V71" s="242"/>
      <c r="W71" s="242"/>
      <c r="X71" s="242"/>
      <c r="Y71" s="242"/>
      <c r="Z71" s="242"/>
    </row>
    <row r="72">
      <c r="A72" s="242"/>
      <c r="B72" s="524"/>
      <c r="C72" s="524"/>
      <c r="D72" s="242"/>
      <c r="E72" s="242"/>
      <c r="F72" s="242"/>
      <c r="G72" s="13"/>
      <c r="H72" s="525"/>
      <c r="I72" s="242"/>
      <c r="J72" s="242"/>
      <c r="K72" s="242"/>
      <c r="L72" s="13"/>
      <c r="M72" s="13"/>
      <c r="N72" s="242"/>
      <c r="O72" s="242"/>
      <c r="P72" s="242"/>
      <c r="Q72" s="242"/>
      <c r="R72" s="242"/>
      <c r="S72" s="242"/>
      <c r="T72" s="242"/>
      <c r="U72" s="242"/>
      <c r="V72" s="242"/>
      <c r="W72" s="242"/>
      <c r="X72" s="242"/>
      <c r="Y72" s="242"/>
      <c r="Z72" s="242"/>
    </row>
    <row r="73">
      <c r="A73" s="242"/>
      <c r="B73" s="524"/>
      <c r="C73" s="524"/>
      <c r="D73" s="242"/>
      <c r="E73" s="242"/>
      <c r="F73" s="242"/>
      <c r="G73" s="13"/>
      <c r="H73" s="525"/>
      <c r="I73" s="242"/>
      <c r="J73" s="242"/>
      <c r="K73" s="242"/>
      <c r="L73" s="13"/>
      <c r="M73" s="13"/>
      <c r="N73" s="242"/>
      <c r="O73" s="242"/>
      <c r="P73" s="242"/>
      <c r="Q73" s="242"/>
      <c r="R73" s="242"/>
      <c r="S73" s="242"/>
      <c r="T73" s="242"/>
      <c r="U73" s="242"/>
      <c r="V73" s="242"/>
      <c r="W73" s="242"/>
      <c r="X73" s="242"/>
      <c r="Y73" s="242"/>
      <c r="Z73" s="242"/>
    </row>
    <row r="74">
      <c r="A74" s="242"/>
      <c r="B74" s="524"/>
      <c r="C74" s="524"/>
      <c r="D74" s="242"/>
      <c r="E74" s="242"/>
      <c r="F74" s="242"/>
      <c r="G74" s="13"/>
      <c r="H74" s="525"/>
      <c r="I74" s="242"/>
      <c r="J74" s="242"/>
      <c r="K74" s="242"/>
      <c r="L74" s="13"/>
      <c r="M74" s="13"/>
      <c r="N74" s="242"/>
      <c r="O74" s="242"/>
      <c r="P74" s="242"/>
      <c r="Q74" s="242"/>
      <c r="R74" s="242"/>
      <c r="S74" s="242"/>
      <c r="T74" s="242"/>
      <c r="U74" s="242"/>
      <c r="V74" s="242"/>
      <c r="W74" s="242"/>
      <c r="X74" s="242"/>
      <c r="Y74" s="242"/>
      <c r="Z74" s="242"/>
    </row>
    <row r="75">
      <c r="A75" s="242"/>
      <c r="B75" s="524"/>
      <c r="C75" s="524"/>
      <c r="D75" s="242"/>
      <c r="E75" s="242"/>
      <c r="F75" s="242"/>
      <c r="G75" s="13"/>
      <c r="H75" s="525"/>
      <c r="I75" s="242"/>
      <c r="J75" s="242"/>
      <c r="K75" s="242"/>
      <c r="L75" s="13"/>
      <c r="M75" s="13"/>
      <c r="N75" s="242"/>
      <c r="O75" s="242"/>
      <c r="P75" s="242"/>
      <c r="Q75" s="242"/>
      <c r="R75" s="242"/>
      <c r="S75" s="242"/>
      <c r="T75" s="242"/>
      <c r="U75" s="242"/>
      <c r="V75" s="242"/>
      <c r="W75" s="242"/>
      <c r="X75" s="242"/>
      <c r="Y75" s="242"/>
      <c r="Z75" s="242"/>
    </row>
    <row r="76">
      <c r="A76" s="242"/>
      <c r="B76" s="524"/>
      <c r="C76" s="524"/>
      <c r="D76" s="242"/>
      <c r="E76" s="242"/>
      <c r="F76" s="242"/>
      <c r="G76" s="13"/>
      <c r="H76" s="525"/>
      <c r="I76" s="242"/>
      <c r="J76" s="242"/>
      <c r="K76" s="242"/>
      <c r="L76" s="13"/>
      <c r="M76" s="13"/>
      <c r="N76" s="242"/>
      <c r="O76" s="242"/>
      <c r="P76" s="242"/>
      <c r="Q76" s="242"/>
      <c r="R76" s="242"/>
      <c r="S76" s="242"/>
      <c r="T76" s="242"/>
      <c r="U76" s="242"/>
      <c r="V76" s="242"/>
      <c r="W76" s="242"/>
      <c r="X76" s="242"/>
      <c r="Y76" s="242"/>
      <c r="Z76" s="242"/>
    </row>
    <row r="77">
      <c r="A77" s="242"/>
      <c r="B77" s="524"/>
      <c r="C77" s="524"/>
      <c r="D77" s="242"/>
      <c r="E77" s="242"/>
      <c r="F77" s="242"/>
      <c r="G77" s="13"/>
      <c r="H77" s="525"/>
      <c r="I77" s="242"/>
      <c r="J77" s="242"/>
      <c r="K77" s="242"/>
      <c r="L77" s="13"/>
      <c r="M77" s="13"/>
      <c r="N77" s="242"/>
      <c r="O77" s="242"/>
      <c r="P77" s="242"/>
      <c r="Q77" s="242"/>
      <c r="R77" s="242"/>
      <c r="S77" s="242"/>
      <c r="T77" s="242"/>
      <c r="U77" s="242"/>
      <c r="V77" s="242"/>
      <c r="W77" s="242"/>
      <c r="X77" s="242"/>
      <c r="Y77" s="242"/>
      <c r="Z77" s="242"/>
    </row>
    <row r="78">
      <c r="A78" s="242"/>
      <c r="B78" s="524"/>
      <c r="C78" s="524"/>
      <c r="D78" s="242"/>
      <c r="E78" s="242"/>
      <c r="F78" s="242"/>
      <c r="G78" s="13"/>
      <c r="H78" s="525"/>
      <c r="I78" s="242"/>
      <c r="J78" s="242"/>
      <c r="K78" s="242"/>
      <c r="L78" s="13"/>
      <c r="M78" s="13"/>
      <c r="N78" s="242"/>
      <c r="O78" s="242"/>
      <c r="P78" s="242"/>
      <c r="Q78" s="242"/>
      <c r="R78" s="242"/>
      <c r="S78" s="242"/>
      <c r="T78" s="242"/>
      <c r="U78" s="242"/>
      <c r="V78" s="242"/>
      <c r="W78" s="242"/>
      <c r="X78" s="242"/>
      <c r="Y78" s="242"/>
      <c r="Z78" s="242"/>
    </row>
    <row r="79">
      <c r="A79" s="242"/>
      <c r="B79" s="524"/>
      <c r="C79" s="524"/>
      <c r="D79" s="242"/>
      <c r="E79" s="242"/>
      <c r="F79" s="242"/>
      <c r="G79" s="13"/>
      <c r="H79" s="525"/>
      <c r="I79" s="242"/>
      <c r="J79" s="242"/>
      <c r="K79" s="242"/>
      <c r="L79" s="13"/>
      <c r="M79" s="13"/>
      <c r="N79" s="242"/>
      <c r="O79" s="242"/>
      <c r="P79" s="242"/>
      <c r="Q79" s="242"/>
      <c r="R79" s="242"/>
      <c r="S79" s="242"/>
      <c r="T79" s="242"/>
      <c r="U79" s="242"/>
      <c r="V79" s="242"/>
      <c r="W79" s="242"/>
      <c r="X79" s="242"/>
      <c r="Y79" s="242"/>
      <c r="Z79" s="242"/>
    </row>
    <row r="80">
      <c r="A80" s="242"/>
      <c r="B80" s="524"/>
      <c r="C80" s="524"/>
      <c r="D80" s="242"/>
      <c r="E80" s="242"/>
      <c r="F80" s="242"/>
      <c r="G80" s="13"/>
      <c r="H80" s="525"/>
      <c r="I80" s="242"/>
      <c r="J80" s="242"/>
      <c r="K80" s="242"/>
      <c r="L80" s="13"/>
      <c r="M80" s="13"/>
      <c r="N80" s="242"/>
      <c r="O80" s="242"/>
      <c r="P80" s="242"/>
      <c r="Q80" s="242"/>
      <c r="R80" s="242"/>
      <c r="S80" s="242"/>
      <c r="T80" s="242"/>
      <c r="U80" s="242"/>
      <c r="V80" s="242"/>
      <c r="W80" s="242"/>
      <c r="X80" s="242"/>
      <c r="Y80" s="242"/>
      <c r="Z80" s="242"/>
    </row>
    <row r="81">
      <c r="A81" s="242"/>
      <c r="B81" s="524"/>
      <c r="C81" s="524"/>
      <c r="D81" s="242"/>
      <c r="E81" s="242"/>
      <c r="F81" s="242"/>
      <c r="G81" s="13"/>
      <c r="H81" s="525"/>
      <c r="I81" s="242"/>
      <c r="J81" s="242"/>
      <c r="K81" s="242"/>
      <c r="L81" s="13"/>
      <c r="M81" s="13"/>
      <c r="N81" s="242"/>
      <c r="O81" s="242"/>
      <c r="P81" s="242"/>
      <c r="Q81" s="242"/>
      <c r="R81" s="242"/>
      <c r="S81" s="242"/>
      <c r="T81" s="242"/>
      <c r="U81" s="242"/>
      <c r="V81" s="242"/>
      <c r="W81" s="242"/>
      <c r="X81" s="242"/>
      <c r="Y81" s="242"/>
      <c r="Z81" s="242"/>
    </row>
    <row r="82">
      <c r="A82" s="242"/>
      <c r="B82" s="524"/>
      <c r="C82" s="524"/>
      <c r="D82" s="242"/>
      <c r="E82" s="242"/>
      <c r="F82" s="242"/>
      <c r="G82" s="13"/>
      <c r="H82" s="525"/>
      <c r="I82" s="242"/>
      <c r="J82" s="242"/>
      <c r="K82" s="242"/>
      <c r="L82" s="13"/>
      <c r="M82" s="13"/>
      <c r="N82" s="242"/>
      <c r="O82" s="242"/>
      <c r="P82" s="242"/>
      <c r="Q82" s="242"/>
      <c r="R82" s="242"/>
      <c r="S82" s="242"/>
      <c r="T82" s="242"/>
      <c r="U82" s="242"/>
      <c r="V82" s="242"/>
      <c r="W82" s="242"/>
      <c r="X82" s="242"/>
      <c r="Y82" s="242"/>
      <c r="Z82" s="242"/>
    </row>
    <row r="83">
      <c r="A83" s="242"/>
      <c r="B83" s="524"/>
      <c r="C83" s="524"/>
      <c r="D83" s="242"/>
      <c r="E83" s="242"/>
      <c r="F83" s="242"/>
      <c r="G83" s="13"/>
      <c r="H83" s="525"/>
      <c r="I83" s="242"/>
      <c r="J83" s="242"/>
      <c r="K83" s="242"/>
      <c r="L83" s="13"/>
      <c r="M83" s="13"/>
      <c r="N83" s="242"/>
      <c r="O83" s="242"/>
      <c r="P83" s="242"/>
      <c r="Q83" s="242"/>
      <c r="R83" s="242"/>
      <c r="S83" s="242"/>
      <c r="T83" s="242"/>
      <c r="U83" s="242"/>
      <c r="V83" s="242"/>
      <c r="W83" s="242"/>
      <c r="X83" s="242"/>
      <c r="Y83" s="242"/>
      <c r="Z83" s="242"/>
    </row>
    <row r="84">
      <c r="A84" s="242"/>
      <c r="B84" s="524"/>
      <c r="C84" s="524"/>
      <c r="D84" s="242"/>
      <c r="E84" s="242"/>
      <c r="F84" s="242"/>
      <c r="G84" s="13"/>
      <c r="H84" s="525"/>
      <c r="I84" s="242"/>
      <c r="J84" s="242"/>
      <c r="K84" s="242"/>
      <c r="L84" s="13"/>
      <c r="M84" s="13"/>
      <c r="N84" s="242"/>
      <c r="O84" s="242"/>
      <c r="P84" s="242"/>
      <c r="Q84" s="242"/>
      <c r="R84" s="242"/>
      <c r="S84" s="242"/>
      <c r="T84" s="242"/>
      <c r="U84" s="242"/>
      <c r="V84" s="242"/>
      <c r="W84" s="242"/>
      <c r="X84" s="242"/>
      <c r="Y84" s="242"/>
      <c r="Z84" s="242"/>
    </row>
    <row r="85">
      <c r="A85" s="242"/>
      <c r="B85" s="524"/>
      <c r="C85" s="524"/>
      <c r="D85" s="242"/>
      <c r="E85" s="242"/>
      <c r="F85" s="242"/>
      <c r="G85" s="13"/>
      <c r="H85" s="525"/>
      <c r="I85" s="242"/>
      <c r="J85" s="242"/>
      <c r="K85" s="242"/>
      <c r="L85" s="13"/>
      <c r="M85" s="13"/>
      <c r="N85" s="242"/>
      <c r="O85" s="242"/>
      <c r="P85" s="242"/>
      <c r="Q85" s="242"/>
      <c r="R85" s="242"/>
      <c r="S85" s="242"/>
      <c r="T85" s="242"/>
      <c r="U85" s="242"/>
      <c r="V85" s="242"/>
      <c r="W85" s="242"/>
      <c r="X85" s="242"/>
      <c r="Y85" s="242"/>
      <c r="Z85" s="242"/>
    </row>
    <row r="86">
      <c r="A86" s="242"/>
      <c r="B86" s="524"/>
      <c r="C86" s="524"/>
      <c r="D86" s="242"/>
      <c r="E86" s="242"/>
      <c r="F86" s="242"/>
      <c r="G86" s="13"/>
      <c r="H86" s="525"/>
      <c r="I86" s="242"/>
      <c r="J86" s="242"/>
      <c r="K86" s="242"/>
      <c r="L86" s="13"/>
      <c r="M86" s="13"/>
      <c r="N86" s="242"/>
      <c r="O86" s="242"/>
      <c r="P86" s="242"/>
      <c r="Q86" s="242"/>
      <c r="R86" s="242"/>
      <c r="S86" s="242"/>
      <c r="T86" s="242"/>
      <c r="U86" s="242"/>
      <c r="V86" s="242"/>
      <c r="W86" s="242"/>
      <c r="X86" s="242"/>
      <c r="Y86" s="242"/>
      <c r="Z86" s="242"/>
    </row>
    <row r="87">
      <c r="A87" s="242"/>
      <c r="B87" s="524"/>
      <c r="C87" s="524"/>
      <c r="D87" s="242"/>
      <c r="E87" s="242"/>
      <c r="F87" s="242"/>
      <c r="G87" s="13"/>
      <c r="H87" s="525"/>
      <c r="I87" s="242"/>
      <c r="J87" s="242"/>
      <c r="K87" s="242"/>
      <c r="L87" s="13"/>
      <c r="M87" s="13"/>
      <c r="N87" s="242"/>
      <c r="O87" s="242"/>
      <c r="P87" s="242"/>
      <c r="Q87" s="242"/>
      <c r="R87" s="242"/>
      <c r="S87" s="242"/>
      <c r="T87" s="242"/>
      <c r="U87" s="242"/>
      <c r="V87" s="242"/>
      <c r="W87" s="242"/>
      <c r="X87" s="242"/>
      <c r="Y87" s="242"/>
      <c r="Z87" s="242"/>
    </row>
    <row r="88">
      <c r="A88" s="242"/>
      <c r="B88" s="524"/>
      <c r="C88" s="524"/>
      <c r="D88" s="242"/>
      <c r="E88" s="242"/>
      <c r="F88" s="242"/>
      <c r="G88" s="13"/>
      <c r="H88" s="525"/>
      <c r="I88" s="242"/>
      <c r="J88" s="242"/>
      <c r="K88" s="242"/>
      <c r="L88" s="13"/>
      <c r="M88" s="13"/>
      <c r="N88" s="242"/>
      <c r="O88" s="242"/>
      <c r="P88" s="242"/>
      <c r="Q88" s="242"/>
      <c r="R88" s="242"/>
      <c r="S88" s="242"/>
      <c r="T88" s="242"/>
      <c r="U88" s="242"/>
      <c r="V88" s="242"/>
      <c r="W88" s="242"/>
      <c r="X88" s="242"/>
      <c r="Y88" s="242"/>
      <c r="Z88" s="242"/>
    </row>
    <row r="89">
      <c r="A89" s="242"/>
      <c r="B89" s="524"/>
      <c r="C89" s="524"/>
      <c r="D89" s="242"/>
      <c r="E89" s="242"/>
      <c r="F89" s="242"/>
      <c r="G89" s="13"/>
      <c r="H89" s="525"/>
      <c r="I89" s="242"/>
      <c r="J89" s="242"/>
      <c r="K89" s="242"/>
      <c r="L89" s="13"/>
      <c r="M89" s="13"/>
      <c r="N89" s="242"/>
      <c r="O89" s="242"/>
      <c r="P89" s="242"/>
      <c r="Q89" s="242"/>
      <c r="R89" s="242"/>
      <c r="S89" s="242"/>
      <c r="T89" s="242"/>
      <c r="U89" s="242"/>
      <c r="V89" s="242"/>
      <c r="W89" s="242"/>
      <c r="X89" s="242"/>
      <c r="Y89" s="242"/>
      <c r="Z89" s="242"/>
    </row>
    <row r="90">
      <c r="A90" s="242"/>
      <c r="B90" s="524"/>
      <c r="C90" s="524"/>
      <c r="D90" s="242"/>
      <c r="E90" s="242"/>
      <c r="F90" s="242"/>
      <c r="G90" s="13"/>
      <c r="H90" s="525"/>
      <c r="I90" s="242"/>
      <c r="J90" s="242"/>
      <c r="K90" s="242"/>
      <c r="L90" s="13"/>
      <c r="M90" s="13"/>
      <c r="N90" s="242"/>
      <c r="O90" s="242"/>
      <c r="P90" s="242"/>
      <c r="Q90" s="242"/>
      <c r="R90" s="242"/>
      <c r="S90" s="242"/>
      <c r="T90" s="242"/>
      <c r="U90" s="242"/>
      <c r="V90" s="242"/>
      <c r="W90" s="242"/>
      <c r="X90" s="242"/>
      <c r="Y90" s="242"/>
      <c r="Z90" s="242"/>
    </row>
    <row r="91">
      <c r="A91" s="242"/>
      <c r="B91" s="524"/>
      <c r="C91" s="524"/>
      <c r="D91" s="242"/>
      <c r="E91" s="242"/>
      <c r="F91" s="242"/>
      <c r="G91" s="13"/>
      <c r="H91" s="525"/>
      <c r="I91" s="242"/>
      <c r="J91" s="242"/>
      <c r="K91" s="242"/>
      <c r="L91" s="13"/>
      <c r="M91" s="13"/>
      <c r="N91" s="242"/>
      <c r="O91" s="242"/>
      <c r="P91" s="242"/>
      <c r="Q91" s="242"/>
      <c r="R91" s="242"/>
      <c r="S91" s="242"/>
      <c r="T91" s="242"/>
      <c r="U91" s="242"/>
      <c r="V91" s="242"/>
      <c r="W91" s="242"/>
      <c r="X91" s="242"/>
      <c r="Y91" s="242"/>
      <c r="Z91" s="242"/>
    </row>
    <row r="92">
      <c r="A92" s="242"/>
      <c r="B92" s="524"/>
      <c r="C92" s="524"/>
      <c r="D92" s="242"/>
      <c r="E92" s="242"/>
      <c r="F92" s="242"/>
      <c r="G92" s="13"/>
      <c r="H92" s="525"/>
      <c r="I92" s="242"/>
      <c r="J92" s="242"/>
      <c r="K92" s="242"/>
      <c r="L92" s="13"/>
      <c r="M92" s="13"/>
      <c r="N92" s="242"/>
      <c r="O92" s="242"/>
      <c r="P92" s="242"/>
      <c r="Q92" s="242"/>
      <c r="R92" s="242"/>
      <c r="S92" s="242"/>
      <c r="T92" s="242"/>
      <c r="U92" s="242"/>
      <c r="V92" s="242"/>
      <c r="W92" s="242"/>
      <c r="X92" s="242"/>
      <c r="Y92" s="242"/>
      <c r="Z92" s="242"/>
    </row>
    <row r="93">
      <c r="A93" s="242"/>
      <c r="B93" s="524"/>
      <c r="C93" s="524"/>
      <c r="D93" s="242"/>
      <c r="E93" s="242"/>
      <c r="F93" s="242"/>
      <c r="G93" s="13"/>
      <c r="H93" s="525"/>
      <c r="I93" s="242"/>
      <c r="J93" s="242"/>
      <c r="K93" s="242"/>
      <c r="L93" s="13"/>
      <c r="M93" s="13"/>
      <c r="N93" s="242"/>
      <c r="O93" s="242"/>
      <c r="P93" s="242"/>
      <c r="Q93" s="242"/>
      <c r="R93" s="242"/>
      <c r="S93" s="242"/>
      <c r="T93" s="242"/>
      <c r="U93" s="242"/>
      <c r="V93" s="242"/>
      <c r="W93" s="242"/>
      <c r="X93" s="242"/>
      <c r="Y93" s="242"/>
      <c r="Z93" s="242"/>
    </row>
    <row r="94">
      <c r="A94" s="242"/>
      <c r="B94" s="524"/>
      <c r="C94" s="524"/>
      <c r="D94" s="242"/>
      <c r="E94" s="242"/>
      <c r="F94" s="242"/>
      <c r="G94" s="13"/>
      <c r="H94" s="525"/>
      <c r="I94" s="242"/>
      <c r="J94" s="242"/>
      <c r="K94" s="242"/>
      <c r="L94" s="13"/>
      <c r="M94" s="13"/>
      <c r="N94" s="242"/>
      <c r="O94" s="242"/>
      <c r="P94" s="242"/>
      <c r="Q94" s="242"/>
      <c r="R94" s="242"/>
      <c r="S94" s="242"/>
      <c r="T94" s="242"/>
      <c r="U94" s="242"/>
      <c r="V94" s="242"/>
      <c r="W94" s="242"/>
      <c r="X94" s="242"/>
      <c r="Y94" s="242"/>
      <c r="Z94" s="242"/>
    </row>
    <row r="95">
      <c r="A95" s="242"/>
      <c r="B95" s="524"/>
      <c r="C95" s="524"/>
      <c r="D95" s="242"/>
      <c r="E95" s="242"/>
      <c r="F95" s="242"/>
      <c r="G95" s="13"/>
      <c r="H95" s="525"/>
      <c r="I95" s="242"/>
      <c r="J95" s="242"/>
      <c r="K95" s="242"/>
      <c r="L95" s="13"/>
      <c r="M95" s="13"/>
      <c r="N95" s="242"/>
      <c r="O95" s="242"/>
      <c r="P95" s="242"/>
      <c r="Q95" s="242"/>
      <c r="R95" s="242"/>
      <c r="S95" s="242"/>
      <c r="T95" s="242"/>
      <c r="U95" s="242"/>
      <c r="V95" s="242"/>
      <c r="W95" s="242"/>
      <c r="X95" s="242"/>
      <c r="Y95" s="242"/>
      <c r="Z95" s="242"/>
    </row>
    <row r="96">
      <c r="A96" s="242"/>
      <c r="B96" s="524"/>
      <c r="C96" s="524"/>
      <c r="D96" s="242"/>
      <c r="E96" s="242"/>
      <c r="F96" s="242"/>
      <c r="G96" s="13"/>
      <c r="H96" s="525"/>
      <c r="I96" s="242"/>
      <c r="J96" s="242"/>
      <c r="K96" s="242"/>
      <c r="L96" s="13"/>
      <c r="M96" s="13"/>
      <c r="N96" s="242"/>
      <c r="O96" s="242"/>
      <c r="P96" s="242"/>
      <c r="Q96" s="242"/>
      <c r="R96" s="242"/>
      <c r="S96" s="242"/>
      <c r="T96" s="242"/>
      <c r="U96" s="242"/>
      <c r="V96" s="242"/>
      <c r="W96" s="242"/>
      <c r="X96" s="242"/>
      <c r="Y96" s="242"/>
      <c r="Z96" s="242"/>
    </row>
    <row r="97">
      <c r="A97" s="242"/>
      <c r="B97" s="524"/>
      <c r="C97" s="524"/>
      <c r="D97" s="242"/>
      <c r="E97" s="242"/>
      <c r="F97" s="242"/>
      <c r="G97" s="13"/>
      <c r="H97" s="525"/>
      <c r="I97" s="242"/>
      <c r="J97" s="242"/>
      <c r="K97" s="242"/>
      <c r="L97" s="13"/>
      <c r="M97" s="13"/>
      <c r="N97" s="242"/>
      <c r="O97" s="242"/>
      <c r="P97" s="242"/>
      <c r="Q97" s="242"/>
      <c r="R97" s="242"/>
      <c r="S97" s="242"/>
      <c r="T97" s="242"/>
      <c r="U97" s="242"/>
      <c r="V97" s="242"/>
      <c r="W97" s="242"/>
      <c r="X97" s="242"/>
      <c r="Y97" s="242"/>
      <c r="Z97" s="242"/>
    </row>
    <row r="98">
      <c r="A98" s="242"/>
      <c r="B98" s="524"/>
      <c r="C98" s="524"/>
      <c r="D98" s="242"/>
      <c r="E98" s="242"/>
      <c r="F98" s="242"/>
      <c r="G98" s="13"/>
      <c r="H98" s="525"/>
      <c r="I98" s="242"/>
      <c r="J98" s="242"/>
      <c r="K98" s="242"/>
      <c r="L98" s="13"/>
      <c r="M98" s="13"/>
      <c r="N98" s="242"/>
      <c r="O98" s="242"/>
      <c r="P98" s="242"/>
      <c r="Q98" s="242"/>
      <c r="R98" s="242"/>
      <c r="S98" s="242"/>
      <c r="T98" s="242"/>
      <c r="U98" s="242"/>
      <c r="V98" s="242"/>
      <c r="W98" s="242"/>
      <c r="X98" s="242"/>
      <c r="Y98" s="242"/>
      <c r="Z98" s="242"/>
    </row>
    <row r="99">
      <c r="A99" s="242"/>
      <c r="B99" s="524"/>
      <c r="C99" s="524"/>
      <c r="D99" s="242"/>
      <c r="E99" s="242"/>
      <c r="F99" s="242"/>
      <c r="G99" s="13"/>
      <c r="H99" s="525"/>
      <c r="I99" s="242"/>
      <c r="J99" s="242"/>
      <c r="K99" s="242"/>
      <c r="L99" s="13"/>
      <c r="M99" s="13"/>
      <c r="N99" s="242"/>
      <c r="O99" s="242"/>
      <c r="P99" s="242"/>
      <c r="Q99" s="242"/>
      <c r="R99" s="242"/>
      <c r="S99" s="242"/>
      <c r="T99" s="242"/>
      <c r="U99" s="242"/>
      <c r="V99" s="242"/>
      <c r="W99" s="242"/>
      <c r="X99" s="242"/>
      <c r="Y99" s="242"/>
      <c r="Z99" s="242"/>
    </row>
    <row r="100">
      <c r="A100" s="242"/>
      <c r="B100" s="524"/>
      <c r="C100" s="524"/>
      <c r="D100" s="242"/>
      <c r="E100" s="242"/>
      <c r="F100" s="242"/>
      <c r="G100" s="13"/>
      <c r="H100" s="525"/>
      <c r="I100" s="242"/>
      <c r="J100" s="242"/>
      <c r="K100" s="242"/>
      <c r="L100" s="13"/>
      <c r="M100" s="13"/>
      <c r="N100" s="242"/>
      <c r="O100" s="242"/>
      <c r="P100" s="242"/>
      <c r="Q100" s="242"/>
      <c r="R100" s="242"/>
      <c r="S100" s="242"/>
      <c r="T100" s="242"/>
      <c r="U100" s="242"/>
      <c r="V100" s="242"/>
      <c r="W100" s="242"/>
      <c r="X100" s="242"/>
      <c r="Y100" s="242"/>
      <c r="Z100" s="242"/>
    </row>
    <row r="101">
      <c r="A101" s="242"/>
      <c r="B101" s="524"/>
      <c r="C101" s="524"/>
      <c r="D101" s="242"/>
      <c r="E101" s="242"/>
      <c r="F101" s="242"/>
      <c r="G101" s="13"/>
      <c r="H101" s="525"/>
      <c r="I101" s="242"/>
      <c r="J101" s="242"/>
      <c r="K101" s="242"/>
      <c r="L101" s="13"/>
      <c r="M101" s="13"/>
      <c r="N101" s="242"/>
      <c r="O101" s="242"/>
      <c r="P101" s="242"/>
      <c r="Q101" s="242"/>
      <c r="R101" s="242"/>
      <c r="S101" s="242"/>
      <c r="T101" s="242"/>
      <c r="U101" s="242"/>
      <c r="V101" s="242"/>
      <c r="W101" s="242"/>
      <c r="X101" s="242"/>
      <c r="Y101" s="242"/>
      <c r="Z101" s="242"/>
    </row>
    <row r="102">
      <c r="A102" s="242"/>
      <c r="B102" s="524"/>
      <c r="C102" s="524"/>
      <c r="D102" s="242"/>
      <c r="E102" s="242"/>
      <c r="F102" s="242"/>
      <c r="G102" s="13"/>
      <c r="H102" s="525"/>
      <c r="I102" s="242"/>
      <c r="J102" s="242"/>
      <c r="K102" s="242"/>
      <c r="L102" s="13"/>
      <c r="M102" s="13"/>
      <c r="N102" s="242"/>
      <c r="O102" s="242"/>
      <c r="P102" s="242"/>
      <c r="Q102" s="242"/>
      <c r="R102" s="242"/>
      <c r="S102" s="242"/>
      <c r="T102" s="242"/>
      <c r="U102" s="242"/>
      <c r="V102" s="242"/>
      <c r="W102" s="242"/>
      <c r="X102" s="242"/>
      <c r="Y102" s="242"/>
      <c r="Z102" s="242"/>
    </row>
    <row r="103">
      <c r="A103" s="242"/>
      <c r="B103" s="524"/>
      <c r="C103" s="524"/>
      <c r="D103" s="242"/>
      <c r="E103" s="242"/>
      <c r="F103" s="242"/>
      <c r="G103" s="13"/>
      <c r="H103" s="525"/>
      <c r="I103" s="242"/>
      <c r="J103" s="242"/>
      <c r="K103" s="242"/>
      <c r="L103" s="13"/>
      <c r="M103" s="13"/>
      <c r="N103" s="242"/>
      <c r="O103" s="242"/>
      <c r="P103" s="242"/>
      <c r="Q103" s="242"/>
      <c r="R103" s="242"/>
      <c r="S103" s="242"/>
      <c r="T103" s="242"/>
      <c r="U103" s="242"/>
      <c r="V103" s="242"/>
      <c r="W103" s="242"/>
      <c r="X103" s="242"/>
      <c r="Y103" s="242"/>
      <c r="Z103" s="242"/>
    </row>
    <row r="104">
      <c r="A104" s="242"/>
      <c r="B104" s="524"/>
      <c r="C104" s="524"/>
      <c r="D104" s="242"/>
      <c r="E104" s="242"/>
      <c r="F104" s="242"/>
      <c r="G104" s="13"/>
      <c r="H104" s="525"/>
      <c r="I104" s="242"/>
      <c r="J104" s="242"/>
      <c r="K104" s="242"/>
      <c r="L104" s="13"/>
      <c r="M104" s="13"/>
      <c r="N104" s="242"/>
      <c r="O104" s="242"/>
      <c r="P104" s="242"/>
      <c r="Q104" s="242"/>
      <c r="R104" s="242"/>
      <c r="S104" s="242"/>
      <c r="T104" s="242"/>
      <c r="U104" s="242"/>
      <c r="V104" s="242"/>
      <c r="W104" s="242"/>
      <c r="X104" s="242"/>
      <c r="Y104" s="242"/>
      <c r="Z104" s="242"/>
    </row>
    <row r="105">
      <c r="A105" s="242"/>
      <c r="B105" s="524"/>
      <c r="C105" s="524"/>
      <c r="D105" s="242"/>
      <c r="E105" s="242"/>
      <c r="F105" s="242"/>
      <c r="G105" s="13"/>
      <c r="H105" s="525"/>
      <c r="I105" s="242"/>
      <c r="J105" s="242"/>
      <c r="K105" s="242"/>
      <c r="L105" s="13"/>
      <c r="M105" s="13"/>
      <c r="N105" s="242"/>
      <c r="O105" s="242"/>
      <c r="P105" s="242"/>
      <c r="Q105" s="242"/>
      <c r="R105" s="242"/>
      <c r="S105" s="242"/>
      <c r="T105" s="242"/>
      <c r="U105" s="242"/>
      <c r="V105" s="242"/>
      <c r="W105" s="242"/>
      <c r="X105" s="242"/>
      <c r="Y105" s="242"/>
      <c r="Z105" s="242"/>
    </row>
    <row r="106">
      <c r="A106" s="242"/>
      <c r="B106" s="524"/>
      <c r="C106" s="524"/>
      <c r="D106" s="242"/>
      <c r="E106" s="242"/>
      <c r="F106" s="242"/>
      <c r="G106" s="13"/>
      <c r="H106" s="525"/>
      <c r="I106" s="242"/>
      <c r="J106" s="242"/>
      <c r="K106" s="242"/>
      <c r="L106" s="13"/>
      <c r="M106" s="13"/>
      <c r="N106" s="242"/>
      <c r="O106" s="242"/>
      <c r="P106" s="242"/>
      <c r="Q106" s="242"/>
      <c r="R106" s="242"/>
      <c r="S106" s="242"/>
      <c r="T106" s="242"/>
      <c r="U106" s="242"/>
      <c r="V106" s="242"/>
      <c r="W106" s="242"/>
      <c r="X106" s="242"/>
      <c r="Y106" s="242"/>
      <c r="Z106" s="242"/>
    </row>
    <row r="107">
      <c r="A107" s="242"/>
      <c r="B107" s="524"/>
      <c r="C107" s="524"/>
      <c r="D107" s="242"/>
      <c r="E107" s="242"/>
      <c r="F107" s="242"/>
      <c r="G107" s="13"/>
      <c r="H107" s="525"/>
      <c r="I107" s="242"/>
      <c r="J107" s="242"/>
      <c r="K107" s="242"/>
      <c r="L107" s="13"/>
      <c r="M107" s="13"/>
      <c r="N107" s="242"/>
      <c r="O107" s="242"/>
      <c r="P107" s="242"/>
      <c r="Q107" s="242"/>
      <c r="R107" s="242"/>
      <c r="S107" s="242"/>
      <c r="T107" s="242"/>
      <c r="U107" s="242"/>
      <c r="V107" s="242"/>
      <c r="W107" s="242"/>
      <c r="X107" s="242"/>
      <c r="Y107" s="242"/>
      <c r="Z107" s="242"/>
    </row>
    <row r="108">
      <c r="A108" s="242"/>
      <c r="B108" s="524"/>
      <c r="C108" s="524"/>
      <c r="D108" s="242"/>
      <c r="E108" s="242"/>
      <c r="F108" s="242"/>
      <c r="G108" s="13"/>
      <c r="H108" s="525"/>
      <c r="I108" s="242"/>
      <c r="J108" s="242"/>
      <c r="K108" s="242"/>
      <c r="L108" s="13"/>
      <c r="M108" s="13"/>
      <c r="N108" s="242"/>
      <c r="O108" s="242"/>
      <c r="P108" s="242"/>
      <c r="Q108" s="242"/>
      <c r="R108" s="242"/>
      <c r="S108" s="242"/>
      <c r="T108" s="242"/>
      <c r="U108" s="242"/>
      <c r="V108" s="242"/>
      <c r="W108" s="242"/>
      <c r="X108" s="242"/>
      <c r="Y108" s="242"/>
      <c r="Z108" s="242"/>
    </row>
    <row r="109">
      <c r="A109" s="242"/>
      <c r="B109" s="524"/>
      <c r="C109" s="524"/>
      <c r="D109" s="242"/>
      <c r="E109" s="242"/>
      <c r="F109" s="242"/>
      <c r="G109" s="13"/>
      <c r="H109" s="525"/>
      <c r="I109" s="242"/>
      <c r="J109" s="242"/>
      <c r="K109" s="242"/>
      <c r="L109" s="13"/>
      <c r="M109" s="13"/>
      <c r="N109" s="242"/>
      <c r="O109" s="242"/>
      <c r="P109" s="242"/>
      <c r="Q109" s="242"/>
      <c r="R109" s="242"/>
      <c r="S109" s="242"/>
      <c r="T109" s="242"/>
      <c r="U109" s="242"/>
      <c r="V109" s="242"/>
      <c r="W109" s="242"/>
      <c r="X109" s="242"/>
      <c r="Y109" s="242"/>
      <c r="Z109" s="242"/>
    </row>
    <row r="110">
      <c r="A110" s="242"/>
      <c r="B110" s="524"/>
      <c r="C110" s="524"/>
      <c r="D110" s="242"/>
      <c r="E110" s="242"/>
      <c r="F110" s="242"/>
      <c r="G110" s="13"/>
      <c r="H110" s="525"/>
      <c r="I110" s="242"/>
      <c r="J110" s="242"/>
      <c r="K110" s="242"/>
      <c r="L110" s="13"/>
      <c r="M110" s="13"/>
      <c r="N110" s="242"/>
      <c r="O110" s="242"/>
      <c r="P110" s="242"/>
      <c r="Q110" s="242"/>
      <c r="R110" s="242"/>
      <c r="S110" s="242"/>
      <c r="T110" s="242"/>
      <c r="U110" s="242"/>
      <c r="V110" s="242"/>
      <c r="W110" s="242"/>
      <c r="X110" s="242"/>
      <c r="Y110" s="242"/>
      <c r="Z110" s="242"/>
    </row>
    <row r="111">
      <c r="A111" s="242"/>
      <c r="B111" s="524"/>
      <c r="C111" s="524"/>
      <c r="D111" s="242"/>
      <c r="E111" s="242"/>
      <c r="F111" s="242"/>
      <c r="G111" s="13"/>
      <c r="H111" s="525"/>
      <c r="I111" s="242"/>
      <c r="J111" s="242"/>
      <c r="K111" s="242"/>
      <c r="L111" s="13"/>
      <c r="M111" s="13"/>
      <c r="N111" s="242"/>
      <c r="O111" s="242"/>
      <c r="P111" s="242"/>
      <c r="Q111" s="242"/>
      <c r="R111" s="242"/>
      <c r="S111" s="242"/>
      <c r="T111" s="242"/>
      <c r="U111" s="242"/>
      <c r="V111" s="242"/>
      <c r="W111" s="242"/>
      <c r="X111" s="242"/>
      <c r="Y111" s="242"/>
      <c r="Z111" s="242"/>
    </row>
    <row r="112">
      <c r="A112" s="242"/>
      <c r="B112" s="524"/>
      <c r="C112" s="524"/>
      <c r="D112" s="242"/>
      <c r="E112" s="242"/>
      <c r="F112" s="242"/>
      <c r="G112" s="13"/>
      <c r="H112" s="525"/>
      <c r="I112" s="242"/>
      <c r="J112" s="242"/>
      <c r="K112" s="242"/>
      <c r="L112" s="13"/>
      <c r="M112" s="13"/>
      <c r="N112" s="242"/>
      <c r="O112" s="242"/>
      <c r="P112" s="242"/>
      <c r="Q112" s="242"/>
      <c r="R112" s="242"/>
      <c r="S112" s="242"/>
      <c r="T112" s="242"/>
      <c r="U112" s="242"/>
      <c r="V112" s="242"/>
      <c r="W112" s="242"/>
      <c r="X112" s="242"/>
      <c r="Y112" s="242"/>
      <c r="Z112" s="242"/>
    </row>
    <row r="113">
      <c r="A113" s="242"/>
      <c r="B113" s="524"/>
      <c r="C113" s="524"/>
      <c r="D113" s="242"/>
      <c r="E113" s="242"/>
      <c r="F113" s="242"/>
      <c r="G113" s="13"/>
      <c r="H113" s="525"/>
      <c r="I113" s="242"/>
      <c r="J113" s="242"/>
      <c r="K113" s="242"/>
      <c r="L113" s="13"/>
      <c r="M113" s="13"/>
      <c r="N113" s="242"/>
      <c r="O113" s="242"/>
      <c r="P113" s="242"/>
      <c r="Q113" s="242"/>
      <c r="R113" s="242"/>
      <c r="S113" s="242"/>
      <c r="T113" s="242"/>
      <c r="U113" s="242"/>
      <c r="V113" s="242"/>
      <c r="W113" s="242"/>
      <c r="X113" s="242"/>
      <c r="Y113" s="242"/>
      <c r="Z113" s="242"/>
    </row>
    <row r="114">
      <c r="A114" s="242"/>
      <c r="B114" s="524"/>
      <c r="C114" s="524"/>
      <c r="D114" s="242"/>
      <c r="E114" s="242"/>
      <c r="F114" s="242"/>
      <c r="G114" s="13"/>
      <c r="H114" s="525"/>
      <c r="I114" s="242"/>
      <c r="J114" s="242"/>
      <c r="K114" s="242"/>
      <c r="L114" s="13"/>
      <c r="M114" s="13"/>
      <c r="N114" s="242"/>
      <c r="O114" s="242"/>
      <c r="P114" s="242"/>
      <c r="Q114" s="242"/>
      <c r="R114" s="242"/>
      <c r="S114" s="242"/>
      <c r="T114" s="242"/>
      <c r="U114" s="242"/>
      <c r="V114" s="242"/>
      <c r="W114" s="242"/>
      <c r="X114" s="242"/>
      <c r="Y114" s="242"/>
      <c r="Z114" s="242"/>
    </row>
    <row r="115">
      <c r="A115" s="242"/>
      <c r="B115" s="524"/>
      <c r="C115" s="524"/>
      <c r="D115" s="242"/>
      <c r="E115" s="242"/>
      <c r="F115" s="242"/>
      <c r="G115" s="13"/>
      <c r="H115" s="525"/>
      <c r="I115" s="242"/>
      <c r="J115" s="242"/>
      <c r="K115" s="242"/>
      <c r="L115" s="13"/>
      <c r="M115" s="13"/>
      <c r="N115" s="242"/>
      <c r="O115" s="242"/>
      <c r="P115" s="242"/>
      <c r="Q115" s="242"/>
      <c r="R115" s="242"/>
      <c r="S115" s="242"/>
      <c r="T115" s="242"/>
      <c r="U115" s="242"/>
      <c r="V115" s="242"/>
      <c r="W115" s="242"/>
      <c r="X115" s="242"/>
      <c r="Y115" s="242"/>
      <c r="Z115" s="242"/>
    </row>
    <row r="116">
      <c r="A116" s="242"/>
      <c r="B116" s="524"/>
      <c r="C116" s="524"/>
      <c r="D116" s="242"/>
      <c r="E116" s="242"/>
      <c r="F116" s="242"/>
      <c r="G116" s="13"/>
      <c r="H116" s="525"/>
      <c r="I116" s="242"/>
      <c r="J116" s="242"/>
      <c r="K116" s="242"/>
      <c r="L116" s="13"/>
      <c r="M116" s="13"/>
      <c r="N116" s="242"/>
      <c r="O116" s="242"/>
      <c r="P116" s="242"/>
      <c r="Q116" s="242"/>
      <c r="R116" s="242"/>
      <c r="S116" s="242"/>
      <c r="T116" s="242"/>
      <c r="U116" s="242"/>
      <c r="V116" s="242"/>
      <c r="W116" s="242"/>
      <c r="X116" s="242"/>
      <c r="Y116" s="242"/>
      <c r="Z116" s="242"/>
    </row>
    <row r="117">
      <c r="A117" s="242"/>
      <c r="B117" s="524"/>
      <c r="C117" s="524"/>
      <c r="D117" s="242"/>
      <c r="E117" s="242"/>
      <c r="F117" s="242"/>
      <c r="G117" s="13"/>
      <c r="H117" s="525"/>
      <c r="I117" s="242"/>
      <c r="J117" s="242"/>
      <c r="K117" s="242"/>
      <c r="L117" s="13"/>
      <c r="M117" s="13"/>
      <c r="N117" s="242"/>
      <c r="O117" s="242"/>
      <c r="P117" s="242"/>
      <c r="Q117" s="242"/>
      <c r="R117" s="242"/>
      <c r="S117" s="242"/>
      <c r="T117" s="242"/>
      <c r="U117" s="242"/>
      <c r="V117" s="242"/>
      <c r="W117" s="242"/>
      <c r="X117" s="242"/>
      <c r="Y117" s="242"/>
      <c r="Z117" s="242"/>
    </row>
    <row r="118">
      <c r="A118" s="242"/>
      <c r="B118" s="524"/>
      <c r="C118" s="524"/>
      <c r="D118" s="242"/>
      <c r="E118" s="242"/>
      <c r="F118" s="242"/>
      <c r="G118" s="13"/>
      <c r="H118" s="525"/>
      <c r="I118" s="242"/>
      <c r="J118" s="242"/>
      <c r="K118" s="242"/>
      <c r="L118" s="13"/>
      <c r="M118" s="13"/>
      <c r="N118" s="242"/>
      <c r="O118" s="242"/>
      <c r="P118" s="242"/>
      <c r="Q118" s="242"/>
      <c r="R118" s="242"/>
      <c r="S118" s="242"/>
      <c r="T118" s="242"/>
      <c r="U118" s="242"/>
      <c r="V118" s="242"/>
      <c r="W118" s="242"/>
      <c r="X118" s="242"/>
      <c r="Y118" s="242"/>
      <c r="Z118" s="242"/>
    </row>
    <row r="119">
      <c r="A119" s="242"/>
      <c r="B119" s="524"/>
      <c r="C119" s="524"/>
      <c r="D119" s="242"/>
      <c r="E119" s="242"/>
      <c r="F119" s="242"/>
      <c r="G119" s="13"/>
      <c r="H119" s="525"/>
      <c r="I119" s="242"/>
      <c r="J119" s="242"/>
      <c r="K119" s="242"/>
      <c r="L119" s="13"/>
      <c r="M119" s="13"/>
      <c r="N119" s="242"/>
      <c r="O119" s="242"/>
      <c r="P119" s="242"/>
      <c r="Q119" s="242"/>
      <c r="R119" s="242"/>
      <c r="S119" s="242"/>
      <c r="T119" s="242"/>
      <c r="U119" s="242"/>
      <c r="V119" s="242"/>
      <c r="W119" s="242"/>
      <c r="X119" s="242"/>
      <c r="Y119" s="242"/>
      <c r="Z119" s="242"/>
    </row>
    <row r="120">
      <c r="A120" s="242"/>
      <c r="B120" s="524"/>
      <c r="C120" s="524"/>
      <c r="D120" s="242"/>
      <c r="E120" s="242"/>
      <c r="F120" s="242"/>
      <c r="G120" s="13"/>
      <c r="H120" s="525"/>
      <c r="I120" s="242"/>
      <c r="J120" s="242"/>
      <c r="K120" s="242"/>
      <c r="L120" s="13"/>
      <c r="M120" s="13"/>
      <c r="N120" s="242"/>
      <c r="O120" s="242"/>
      <c r="P120" s="242"/>
      <c r="Q120" s="242"/>
      <c r="R120" s="242"/>
      <c r="S120" s="242"/>
      <c r="T120" s="242"/>
      <c r="U120" s="242"/>
      <c r="V120" s="242"/>
      <c r="W120" s="242"/>
      <c r="X120" s="242"/>
      <c r="Y120" s="242"/>
      <c r="Z120" s="242"/>
    </row>
    <row r="121">
      <c r="A121" s="242"/>
      <c r="B121" s="524"/>
      <c r="C121" s="524"/>
      <c r="D121" s="242"/>
      <c r="E121" s="242"/>
      <c r="F121" s="242"/>
      <c r="G121" s="13"/>
      <c r="H121" s="525"/>
      <c r="I121" s="242"/>
      <c r="J121" s="242"/>
      <c r="K121" s="242"/>
      <c r="L121" s="13"/>
      <c r="M121" s="13"/>
      <c r="N121" s="242"/>
      <c r="O121" s="242"/>
      <c r="P121" s="242"/>
      <c r="Q121" s="242"/>
      <c r="R121" s="242"/>
      <c r="S121" s="242"/>
      <c r="T121" s="242"/>
      <c r="U121" s="242"/>
      <c r="V121" s="242"/>
      <c r="W121" s="242"/>
      <c r="X121" s="242"/>
      <c r="Y121" s="242"/>
      <c r="Z121" s="242"/>
    </row>
    <row r="122">
      <c r="A122" s="242"/>
      <c r="B122" s="524"/>
      <c r="C122" s="524"/>
      <c r="D122" s="242"/>
      <c r="E122" s="242"/>
      <c r="F122" s="242"/>
      <c r="G122" s="13"/>
      <c r="H122" s="525"/>
      <c r="I122" s="242"/>
      <c r="J122" s="242"/>
      <c r="K122" s="242"/>
      <c r="L122" s="13"/>
      <c r="M122" s="13"/>
      <c r="N122" s="242"/>
      <c r="O122" s="242"/>
      <c r="P122" s="242"/>
      <c r="Q122" s="242"/>
      <c r="R122" s="242"/>
      <c r="S122" s="242"/>
      <c r="T122" s="242"/>
      <c r="U122" s="242"/>
      <c r="V122" s="242"/>
      <c r="W122" s="242"/>
      <c r="X122" s="242"/>
      <c r="Y122" s="242"/>
      <c r="Z122" s="242"/>
    </row>
    <row r="123">
      <c r="A123" s="242"/>
      <c r="B123" s="524"/>
      <c r="C123" s="524"/>
      <c r="D123" s="242"/>
      <c r="E123" s="242"/>
      <c r="F123" s="242"/>
      <c r="G123" s="13"/>
      <c r="H123" s="525"/>
      <c r="I123" s="242"/>
      <c r="J123" s="242"/>
      <c r="K123" s="242"/>
      <c r="L123" s="13"/>
      <c r="M123" s="13"/>
      <c r="N123" s="242"/>
      <c r="O123" s="242"/>
      <c r="P123" s="242"/>
      <c r="Q123" s="242"/>
      <c r="R123" s="242"/>
      <c r="S123" s="242"/>
      <c r="T123" s="242"/>
      <c r="U123" s="242"/>
      <c r="V123" s="242"/>
      <c r="W123" s="242"/>
      <c r="X123" s="242"/>
      <c r="Y123" s="242"/>
      <c r="Z123" s="242"/>
    </row>
    <row r="124">
      <c r="A124" s="242"/>
      <c r="B124" s="524"/>
      <c r="C124" s="524"/>
      <c r="D124" s="242"/>
      <c r="E124" s="242"/>
      <c r="F124" s="242"/>
      <c r="G124" s="13"/>
      <c r="H124" s="525"/>
      <c r="I124" s="242"/>
      <c r="J124" s="242"/>
      <c r="K124" s="242"/>
      <c r="L124" s="13"/>
      <c r="M124" s="13"/>
      <c r="N124" s="242"/>
      <c r="O124" s="242"/>
      <c r="P124" s="242"/>
      <c r="Q124" s="242"/>
      <c r="R124" s="242"/>
      <c r="S124" s="242"/>
      <c r="T124" s="242"/>
      <c r="U124" s="242"/>
      <c r="V124" s="242"/>
      <c r="W124" s="242"/>
      <c r="X124" s="242"/>
      <c r="Y124" s="242"/>
      <c r="Z124" s="242"/>
    </row>
    <row r="125">
      <c r="A125" s="242"/>
      <c r="B125" s="524"/>
      <c r="C125" s="524"/>
      <c r="D125" s="242"/>
      <c r="E125" s="242"/>
      <c r="F125" s="242"/>
      <c r="G125" s="13"/>
      <c r="H125" s="525"/>
      <c r="I125" s="242"/>
      <c r="J125" s="242"/>
      <c r="K125" s="242"/>
      <c r="L125" s="13"/>
      <c r="M125" s="13"/>
      <c r="N125" s="242"/>
      <c r="O125" s="242"/>
      <c r="P125" s="242"/>
      <c r="Q125" s="242"/>
      <c r="R125" s="242"/>
      <c r="S125" s="242"/>
      <c r="T125" s="242"/>
      <c r="U125" s="242"/>
      <c r="V125" s="242"/>
      <c r="W125" s="242"/>
      <c r="X125" s="242"/>
      <c r="Y125" s="242"/>
      <c r="Z125" s="242"/>
    </row>
    <row r="126">
      <c r="A126" s="242"/>
      <c r="B126" s="524"/>
      <c r="C126" s="524"/>
      <c r="D126" s="242"/>
      <c r="E126" s="242"/>
      <c r="F126" s="242"/>
      <c r="G126" s="13"/>
      <c r="H126" s="525"/>
      <c r="I126" s="242"/>
      <c r="J126" s="242"/>
      <c r="K126" s="242"/>
      <c r="L126" s="13"/>
      <c r="M126" s="13"/>
      <c r="N126" s="242"/>
      <c r="O126" s="242"/>
      <c r="P126" s="242"/>
      <c r="Q126" s="242"/>
      <c r="R126" s="242"/>
      <c r="S126" s="242"/>
      <c r="T126" s="242"/>
      <c r="U126" s="242"/>
      <c r="V126" s="242"/>
      <c r="W126" s="242"/>
      <c r="X126" s="242"/>
      <c r="Y126" s="242"/>
      <c r="Z126" s="242"/>
    </row>
    <row r="127">
      <c r="A127" s="242"/>
      <c r="B127" s="524"/>
      <c r="C127" s="524"/>
      <c r="D127" s="242"/>
      <c r="E127" s="242"/>
      <c r="F127" s="242"/>
      <c r="G127" s="13"/>
      <c r="H127" s="525"/>
      <c r="I127" s="242"/>
      <c r="J127" s="242"/>
      <c r="K127" s="242"/>
      <c r="L127" s="13"/>
      <c r="M127" s="13"/>
      <c r="N127" s="242"/>
      <c r="O127" s="242"/>
      <c r="P127" s="242"/>
      <c r="Q127" s="242"/>
      <c r="R127" s="242"/>
      <c r="S127" s="242"/>
      <c r="T127" s="242"/>
      <c r="U127" s="242"/>
      <c r="V127" s="242"/>
      <c r="W127" s="242"/>
      <c r="X127" s="242"/>
      <c r="Y127" s="242"/>
      <c r="Z127" s="242"/>
    </row>
    <row r="128">
      <c r="A128" s="242"/>
      <c r="B128" s="524"/>
      <c r="C128" s="524"/>
      <c r="D128" s="242"/>
      <c r="E128" s="242"/>
      <c r="F128" s="242"/>
      <c r="G128" s="13"/>
      <c r="H128" s="525"/>
      <c r="I128" s="242"/>
      <c r="J128" s="242"/>
      <c r="K128" s="242"/>
      <c r="L128" s="13"/>
      <c r="M128" s="13"/>
      <c r="N128" s="242"/>
      <c r="O128" s="242"/>
      <c r="P128" s="242"/>
      <c r="Q128" s="242"/>
      <c r="R128" s="242"/>
      <c r="S128" s="242"/>
      <c r="T128" s="242"/>
      <c r="U128" s="242"/>
      <c r="V128" s="242"/>
      <c r="W128" s="242"/>
      <c r="X128" s="242"/>
      <c r="Y128" s="242"/>
      <c r="Z128" s="242"/>
    </row>
    <row r="129">
      <c r="A129" s="242"/>
      <c r="B129" s="524"/>
      <c r="C129" s="524"/>
      <c r="D129" s="242"/>
      <c r="E129" s="242"/>
      <c r="F129" s="242"/>
      <c r="G129" s="13"/>
      <c r="H129" s="525"/>
      <c r="I129" s="242"/>
      <c r="J129" s="242"/>
      <c r="K129" s="242"/>
      <c r="L129" s="13"/>
      <c r="M129" s="13"/>
      <c r="N129" s="242"/>
      <c r="O129" s="242"/>
      <c r="P129" s="242"/>
      <c r="Q129" s="242"/>
      <c r="R129" s="242"/>
      <c r="S129" s="242"/>
      <c r="T129" s="242"/>
      <c r="U129" s="242"/>
      <c r="V129" s="242"/>
      <c r="W129" s="242"/>
      <c r="X129" s="242"/>
      <c r="Y129" s="242"/>
      <c r="Z129" s="242"/>
    </row>
    <row r="130">
      <c r="A130" s="242"/>
      <c r="B130" s="524"/>
      <c r="C130" s="524"/>
      <c r="D130" s="242"/>
      <c r="E130" s="242"/>
      <c r="F130" s="242"/>
      <c r="G130" s="13"/>
      <c r="H130" s="525"/>
      <c r="I130" s="242"/>
      <c r="J130" s="242"/>
      <c r="K130" s="242"/>
      <c r="L130" s="13"/>
      <c r="M130" s="13"/>
      <c r="N130" s="242"/>
      <c r="O130" s="242"/>
      <c r="P130" s="242"/>
      <c r="Q130" s="242"/>
      <c r="R130" s="242"/>
      <c r="S130" s="242"/>
      <c r="T130" s="242"/>
      <c r="U130" s="242"/>
      <c r="V130" s="242"/>
      <c r="W130" s="242"/>
      <c r="X130" s="242"/>
      <c r="Y130" s="242"/>
      <c r="Z130" s="242"/>
    </row>
    <row r="131">
      <c r="A131" s="242"/>
      <c r="B131" s="524"/>
      <c r="C131" s="524"/>
      <c r="D131" s="242"/>
      <c r="E131" s="242"/>
      <c r="F131" s="242"/>
      <c r="G131" s="13"/>
      <c r="H131" s="525"/>
      <c r="I131" s="242"/>
      <c r="J131" s="242"/>
      <c r="K131" s="242"/>
      <c r="L131" s="13"/>
      <c r="M131" s="13"/>
      <c r="N131" s="242"/>
      <c r="O131" s="242"/>
      <c r="P131" s="242"/>
      <c r="Q131" s="242"/>
      <c r="R131" s="242"/>
      <c r="S131" s="242"/>
      <c r="T131" s="242"/>
      <c r="U131" s="242"/>
      <c r="V131" s="242"/>
      <c r="W131" s="242"/>
      <c r="X131" s="242"/>
      <c r="Y131" s="242"/>
      <c r="Z131" s="242"/>
    </row>
    <row r="132">
      <c r="A132" s="242"/>
      <c r="B132" s="524"/>
      <c r="C132" s="524"/>
      <c r="D132" s="242"/>
      <c r="E132" s="242"/>
      <c r="F132" s="242"/>
      <c r="G132" s="13"/>
      <c r="H132" s="525"/>
      <c r="I132" s="242"/>
      <c r="J132" s="242"/>
      <c r="K132" s="242"/>
      <c r="L132" s="13"/>
      <c r="M132" s="13"/>
      <c r="N132" s="242"/>
      <c r="O132" s="242"/>
      <c r="P132" s="242"/>
      <c r="Q132" s="242"/>
      <c r="R132" s="242"/>
      <c r="S132" s="242"/>
      <c r="T132" s="242"/>
      <c r="U132" s="242"/>
      <c r="V132" s="242"/>
      <c r="W132" s="242"/>
      <c r="X132" s="242"/>
      <c r="Y132" s="242"/>
      <c r="Z132" s="242"/>
    </row>
    <row r="133">
      <c r="A133" s="242"/>
      <c r="B133" s="524"/>
      <c r="C133" s="524"/>
      <c r="D133" s="242"/>
      <c r="E133" s="242"/>
      <c r="F133" s="242"/>
      <c r="G133" s="13"/>
      <c r="H133" s="525"/>
      <c r="I133" s="242"/>
      <c r="J133" s="242"/>
      <c r="K133" s="242"/>
      <c r="L133" s="13"/>
      <c r="M133" s="13"/>
      <c r="N133" s="242"/>
      <c r="O133" s="242"/>
      <c r="P133" s="242"/>
      <c r="Q133" s="242"/>
      <c r="R133" s="242"/>
      <c r="S133" s="242"/>
      <c r="T133" s="242"/>
      <c r="U133" s="242"/>
      <c r="V133" s="242"/>
      <c r="W133" s="242"/>
      <c r="X133" s="242"/>
      <c r="Y133" s="242"/>
      <c r="Z133" s="242"/>
    </row>
    <row r="134">
      <c r="A134" s="242"/>
      <c r="B134" s="524"/>
      <c r="C134" s="524"/>
      <c r="D134" s="242"/>
      <c r="E134" s="242"/>
      <c r="F134" s="242"/>
      <c r="G134" s="13"/>
      <c r="H134" s="525"/>
      <c r="I134" s="242"/>
      <c r="J134" s="242"/>
      <c r="K134" s="242"/>
      <c r="L134" s="13"/>
      <c r="M134" s="13"/>
      <c r="N134" s="242"/>
      <c r="O134" s="242"/>
      <c r="P134" s="242"/>
      <c r="Q134" s="242"/>
      <c r="R134" s="242"/>
      <c r="S134" s="242"/>
      <c r="T134" s="242"/>
      <c r="U134" s="242"/>
      <c r="V134" s="242"/>
      <c r="W134" s="242"/>
      <c r="X134" s="242"/>
      <c r="Y134" s="242"/>
      <c r="Z134" s="242"/>
    </row>
    <row r="135">
      <c r="A135" s="242"/>
      <c r="B135" s="524"/>
      <c r="C135" s="524"/>
      <c r="D135" s="242"/>
      <c r="E135" s="242"/>
      <c r="F135" s="242"/>
      <c r="G135" s="13"/>
      <c r="H135" s="525"/>
      <c r="I135" s="242"/>
      <c r="J135" s="242"/>
      <c r="K135" s="242"/>
      <c r="L135" s="13"/>
      <c r="M135" s="13"/>
      <c r="N135" s="242"/>
      <c r="O135" s="242"/>
      <c r="P135" s="242"/>
      <c r="Q135" s="242"/>
      <c r="R135" s="242"/>
      <c r="S135" s="242"/>
      <c r="T135" s="242"/>
      <c r="U135" s="242"/>
      <c r="V135" s="242"/>
      <c r="W135" s="242"/>
      <c r="X135" s="242"/>
      <c r="Y135" s="242"/>
      <c r="Z135" s="242"/>
    </row>
    <row r="136">
      <c r="A136" s="242"/>
      <c r="B136" s="524"/>
      <c r="C136" s="524"/>
      <c r="D136" s="242"/>
      <c r="E136" s="242"/>
      <c r="F136" s="242"/>
      <c r="G136" s="13"/>
      <c r="H136" s="525"/>
      <c r="I136" s="242"/>
      <c r="J136" s="242"/>
      <c r="K136" s="242"/>
      <c r="L136" s="13"/>
      <c r="M136" s="13"/>
      <c r="N136" s="242"/>
      <c r="O136" s="242"/>
      <c r="P136" s="242"/>
      <c r="Q136" s="242"/>
      <c r="R136" s="242"/>
      <c r="S136" s="242"/>
      <c r="T136" s="242"/>
      <c r="U136" s="242"/>
      <c r="V136" s="242"/>
      <c r="W136" s="242"/>
      <c r="X136" s="242"/>
      <c r="Y136" s="242"/>
      <c r="Z136" s="242"/>
    </row>
    <row r="137">
      <c r="A137" s="242"/>
      <c r="B137" s="524"/>
      <c r="C137" s="524"/>
      <c r="D137" s="242"/>
      <c r="E137" s="242"/>
      <c r="F137" s="242"/>
      <c r="G137" s="13"/>
      <c r="H137" s="525"/>
      <c r="I137" s="242"/>
      <c r="J137" s="242"/>
      <c r="K137" s="242"/>
      <c r="L137" s="13"/>
      <c r="M137" s="13"/>
      <c r="N137" s="242"/>
      <c r="O137" s="242"/>
      <c r="P137" s="242"/>
      <c r="Q137" s="242"/>
      <c r="R137" s="242"/>
      <c r="S137" s="242"/>
      <c r="T137" s="242"/>
      <c r="U137" s="242"/>
      <c r="V137" s="242"/>
      <c r="W137" s="242"/>
      <c r="X137" s="242"/>
      <c r="Y137" s="242"/>
      <c r="Z137" s="242"/>
    </row>
    <row r="138">
      <c r="A138" s="242"/>
      <c r="B138" s="524"/>
      <c r="C138" s="524"/>
      <c r="D138" s="242"/>
      <c r="E138" s="242"/>
      <c r="F138" s="242"/>
      <c r="G138" s="13"/>
      <c r="H138" s="525"/>
      <c r="I138" s="242"/>
      <c r="J138" s="242"/>
      <c r="K138" s="242"/>
      <c r="L138" s="13"/>
      <c r="M138" s="13"/>
      <c r="N138" s="242"/>
      <c r="O138" s="242"/>
      <c r="P138" s="242"/>
      <c r="Q138" s="242"/>
      <c r="R138" s="242"/>
      <c r="S138" s="242"/>
      <c r="T138" s="242"/>
      <c r="U138" s="242"/>
      <c r="V138" s="242"/>
      <c r="W138" s="242"/>
      <c r="X138" s="242"/>
      <c r="Y138" s="242"/>
      <c r="Z138" s="242"/>
    </row>
    <row r="139">
      <c r="A139" s="242"/>
      <c r="B139" s="524"/>
      <c r="C139" s="524"/>
      <c r="D139" s="242"/>
      <c r="E139" s="242"/>
      <c r="F139" s="242"/>
      <c r="G139" s="13"/>
      <c r="H139" s="525"/>
      <c r="I139" s="242"/>
      <c r="J139" s="242"/>
      <c r="K139" s="242"/>
      <c r="L139" s="13"/>
      <c r="M139" s="13"/>
      <c r="N139" s="242"/>
      <c r="O139" s="242"/>
      <c r="P139" s="242"/>
      <c r="Q139" s="242"/>
      <c r="R139" s="242"/>
      <c r="S139" s="242"/>
      <c r="T139" s="242"/>
      <c r="U139" s="242"/>
      <c r="V139" s="242"/>
      <c r="W139" s="242"/>
      <c r="X139" s="242"/>
      <c r="Y139" s="242"/>
      <c r="Z139" s="242"/>
    </row>
    <row r="140">
      <c r="A140" s="242"/>
      <c r="B140" s="524"/>
      <c r="C140" s="524"/>
      <c r="D140" s="242"/>
      <c r="E140" s="242"/>
      <c r="F140" s="242"/>
      <c r="G140" s="13"/>
      <c r="H140" s="525"/>
      <c r="I140" s="242"/>
      <c r="J140" s="242"/>
      <c r="K140" s="242"/>
      <c r="L140" s="13"/>
      <c r="M140" s="13"/>
      <c r="N140" s="242"/>
      <c r="O140" s="242"/>
      <c r="P140" s="242"/>
      <c r="Q140" s="242"/>
      <c r="R140" s="242"/>
      <c r="S140" s="242"/>
      <c r="T140" s="242"/>
      <c r="U140" s="242"/>
      <c r="V140" s="242"/>
      <c r="W140" s="242"/>
      <c r="X140" s="242"/>
      <c r="Y140" s="242"/>
      <c r="Z140" s="242"/>
    </row>
    <row r="141">
      <c r="A141" s="242"/>
      <c r="B141" s="524"/>
      <c r="C141" s="524"/>
      <c r="D141" s="242"/>
      <c r="E141" s="242"/>
      <c r="F141" s="242"/>
      <c r="G141" s="13"/>
      <c r="H141" s="525"/>
      <c r="I141" s="242"/>
      <c r="J141" s="242"/>
      <c r="K141" s="242"/>
      <c r="L141" s="13"/>
      <c r="M141" s="13"/>
      <c r="N141" s="242"/>
      <c r="O141" s="242"/>
      <c r="P141" s="242"/>
      <c r="Q141" s="242"/>
      <c r="R141" s="242"/>
      <c r="S141" s="242"/>
      <c r="T141" s="242"/>
      <c r="U141" s="242"/>
      <c r="V141" s="242"/>
      <c r="W141" s="242"/>
      <c r="X141" s="242"/>
      <c r="Y141" s="242"/>
      <c r="Z141" s="242"/>
    </row>
    <row r="142">
      <c r="A142" s="242"/>
      <c r="B142" s="524"/>
      <c r="C142" s="524"/>
      <c r="D142" s="242"/>
      <c r="E142" s="242"/>
      <c r="F142" s="242"/>
      <c r="G142" s="13"/>
      <c r="H142" s="525"/>
      <c r="I142" s="242"/>
      <c r="J142" s="242"/>
      <c r="K142" s="242"/>
      <c r="L142" s="13"/>
      <c r="M142" s="13"/>
      <c r="N142" s="242"/>
      <c r="O142" s="242"/>
      <c r="P142" s="242"/>
      <c r="Q142" s="242"/>
      <c r="R142" s="242"/>
      <c r="S142" s="242"/>
      <c r="T142" s="242"/>
      <c r="U142" s="242"/>
      <c r="V142" s="242"/>
      <c r="W142" s="242"/>
      <c r="X142" s="242"/>
      <c r="Y142" s="242"/>
      <c r="Z142" s="242"/>
    </row>
    <row r="143">
      <c r="A143" s="242"/>
      <c r="B143" s="524"/>
      <c r="C143" s="524"/>
      <c r="D143" s="242"/>
      <c r="E143" s="242"/>
      <c r="F143" s="242"/>
      <c r="G143" s="13"/>
      <c r="H143" s="525"/>
      <c r="I143" s="242"/>
      <c r="J143" s="242"/>
      <c r="K143" s="242"/>
      <c r="L143" s="13"/>
      <c r="M143" s="13"/>
      <c r="N143" s="242"/>
      <c r="O143" s="242"/>
      <c r="P143" s="242"/>
      <c r="Q143" s="242"/>
      <c r="R143" s="242"/>
      <c r="S143" s="242"/>
      <c r="T143" s="242"/>
      <c r="U143" s="242"/>
      <c r="V143" s="242"/>
      <c r="W143" s="242"/>
      <c r="X143" s="242"/>
      <c r="Y143" s="242"/>
      <c r="Z143" s="242"/>
    </row>
    <row r="144">
      <c r="A144" s="242"/>
      <c r="B144" s="524"/>
      <c r="C144" s="524"/>
      <c r="D144" s="242"/>
      <c r="E144" s="242"/>
      <c r="F144" s="242"/>
      <c r="G144" s="13"/>
      <c r="H144" s="525"/>
      <c r="I144" s="242"/>
      <c r="J144" s="242"/>
      <c r="K144" s="242"/>
      <c r="L144" s="13"/>
      <c r="M144" s="13"/>
      <c r="N144" s="242"/>
      <c r="O144" s="242"/>
      <c r="P144" s="242"/>
      <c r="Q144" s="242"/>
      <c r="R144" s="242"/>
      <c r="S144" s="242"/>
      <c r="T144" s="242"/>
      <c r="U144" s="242"/>
      <c r="V144" s="242"/>
      <c r="W144" s="242"/>
      <c r="X144" s="242"/>
      <c r="Y144" s="242"/>
      <c r="Z144" s="242"/>
    </row>
    <row r="145">
      <c r="A145" s="242"/>
      <c r="B145" s="524"/>
      <c r="C145" s="524"/>
      <c r="D145" s="242"/>
      <c r="E145" s="242"/>
      <c r="F145" s="242"/>
      <c r="G145" s="13"/>
      <c r="H145" s="525"/>
      <c r="I145" s="242"/>
      <c r="J145" s="242"/>
      <c r="K145" s="242"/>
      <c r="L145" s="13"/>
      <c r="M145" s="13"/>
      <c r="N145" s="242"/>
      <c r="O145" s="242"/>
      <c r="P145" s="242"/>
      <c r="Q145" s="242"/>
      <c r="R145" s="242"/>
      <c r="S145" s="242"/>
      <c r="T145" s="242"/>
      <c r="U145" s="242"/>
      <c r="V145" s="242"/>
      <c r="W145" s="242"/>
      <c r="X145" s="242"/>
      <c r="Y145" s="242"/>
      <c r="Z145" s="242"/>
    </row>
    <row r="146">
      <c r="A146" s="242"/>
      <c r="B146" s="524"/>
      <c r="C146" s="524"/>
      <c r="D146" s="242"/>
      <c r="E146" s="242"/>
      <c r="F146" s="242"/>
      <c r="G146" s="13"/>
      <c r="H146" s="525"/>
      <c r="I146" s="242"/>
      <c r="J146" s="242"/>
      <c r="K146" s="242"/>
      <c r="L146" s="13"/>
      <c r="M146" s="13"/>
      <c r="N146" s="242"/>
      <c r="O146" s="242"/>
      <c r="P146" s="242"/>
      <c r="Q146" s="242"/>
      <c r="R146" s="242"/>
      <c r="S146" s="242"/>
      <c r="T146" s="242"/>
      <c r="U146" s="242"/>
      <c r="V146" s="242"/>
      <c r="W146" s="242"/>
      <c r="X146" s="242"/>
      <c r="Y146" s="242"/>
      <c r="Z146" s="242"/>
    </row>
    <row r="147">
      <c r="A147" s="242"/>
      <c r="B147" s="524"/>
      <c r="C147" s="524"/>
      <c r="D147" s="242"/>
      <c r="E147" s="242"/>
      <c r="F147" s="242"/>
      <c r="G147" s="13"/>
      <c r="H147" s="525"/>
      <c r="I147" s="242"/>
      <c r="J147" s="242"/>
      <c r="K147" s="242"/>
      <c r="L147" s="13"/>
      <c r="M147" s="13"/>
      <c r="N147" s="242"/>
      <c r="O147" s="242"/>
      <c r="P147" s="242"/>
      <c r="Q147" s="242"/>
      <c r="R147" s="242"/>
      <c r="S147" s="242"/>
      <c r="T147" s="242"/>
      <c r="U147" s="242"/>
      <c r="V147" s="242"/>
      <c r="W147" s="242"/>
      <c r="X147" s="242"/>
      <c r="Y147" s="242"/>
      <c r="Z147" s="242"/>
    </row>
    <row r="148">
      <c r="A148" s="242"/>
      <c r="B148" s="524"/>
      <c r="C148" s="524"/>
      <c r="D148" s="242"/>
      <c r="E148" s="242"/>
      <c r="F148" s="242"/>
      <c r="G148" s="13"/>
      <c r="H148" s="525"/>
      <c r="I148" s="242"/>
      <c r="J148" s="242"/>
      <c r="K148" s="242"/>
      <c r="L148" s="13"/>
      <c r="M148" s="13"/>
      <c r="N148" s="242"/>
      <c r="O148" s="242"/>
      <c r="P148" s="242"/>
      <c r="Q148" s="242"/>
      <c r="R148" s="242"/>
      <c r="S148" s="242"/>
      <c r="T148" s="242"/>
      <c r="U148" s="242"/>
      <c r="V148" s="242"/>
      <c r="W148" s="242"/>
      <c r="X148" s="242"/>
      <c r="Y148" s="242"/>
      <c r="Z148" s="242"/>
    </row>
    <row r="149">
      <c r="A149" s="242"/>
      <c r="B149" s="524"/>
      <c r="C149" s="524"/>
      <c r="D149" s="242"/>
      <c r="E149" s="242"/>
      <c r="F149" s="242"/>
      <c r="G149" s="13"/>
      <c r="H149" s="525"/>
      <c r="I149" s="242"/>
      <c r="J149" s="242"/>
      <c r="K149" s="242"/>
      <c r="L149" s="13"/>
      <c r="M149" s="13"/>
      <c r="N149" s="242"/>
      <c r="O149" s="242"/>
      <c r="P149" s="242"/>
      <c r="Q149" s="242"/>
      <c r="R149" s="242"/>
      <c r="S149" s="242"/>
      <c r="T149" s="242"/>
      <c r="U149" s="242"/>
      <c r="V149" s="242"/>
      <c r="W149" s="242"/>
      <c r="X149" s="242"/>
      <c r="Y149" s="242"/>
      <c r="Z149" s="242"/>
    </row>
    <row r="150">
      <c r="A150" s="242"/>
      <c r="B150" s="524"/>
      <c r="C150" s="524"/>
      <c r="D150" s="242"/>
      <c r="E150" s="242"/>
      <c r="F150" s="242"/>
      <c r="G150" s="13"/>
      <c r="H150" s="525"/>
      <c r="I150" s="242"/>
      <c r="J150" s="242"/>
      <c r="K150" s="242"/>
      <c r="L150" s="13"/>
      <c r="M150" s="13"/>
      <c r="N150" s="242"/>
      <c r="O150" s="242"/>
      <c r="P150" s="242"/>
      <c r="Q150" s="242"/>
      <c r="R150" s="242"/>
      <c r="S150" s="242"/>
      <c r="T150" s="242"/>
      <c r="U150" s="242"/>
      <c r="V150" s="242"/>
      <c r="W150" s="242"/>
      <c r="X150" s="242"/>
      <c r="Y150" s="242"/>
      <c r="Z150" s="242"/>
    </row>
    <row r="151">
      <c r="A151" s="242"/>
      <c r="B151" s="524"/>
      <c r="C151" s="524"/>
      <c r="D151" s="242"/>
      <c r="E151" s="242"/>
      <c r="F151" s="242"/>
      <c r="G151" s="13"/>
      <c r="H151" s="525"/>
      <c r="I151" s="242"/>
      <c r="J151" s="242"/>
      <c r="K151" s="242"/>
      <c r="L151" s="13"/>
      <c r="M151" s="13"/>
      <c r="N151" s="242"/>
      <c r="O151" s="242"/>
      <c r="P151" s="242"/>
      <c r="Q151" s="242"/>
      <c r="R151" s="242"/>
      <c r="S151" s="242"/>
      <c r="T151" s="242"/>
      <c r="U151" s="242"/>
      <c r="V151" s="242"/>
      <c r="W151" s="242"/>
      <c r="X151" s="242"/>
      <c r="Y151" s="242"/>
      <c r="Z151" s="242"/>
    </row>
    <row r="152">
      <c r="A152" s="242"/>
      <c r="B152" s="524"/>
      <c r="C152" s="524"/>
      <c r="D152" s="242"/>
      <c r="E152" s="242"/>
      <c r="F152" s="242"/>
      <c r="G152" s="13"/>
      <c r="H152" s="525"/>
      <c r="I152" s="242"/>
      <c r="J152" s="242"/>
      <c r="K152" s="242"/>
      <c r="L152" s="13"/>
      <c r="M152" s="13"/>
      <c r="N152" s="242"/>
      <c r="O152" s="242"/>
      <c r="P152" s="242"/>
      <c r="Q152" s="242"/>
      <c r="R152" s="242"/>
      <c r="S152" s="242"/>
      <c r="T152" s="242"/>
      <c r="U152" s="242"/>
      <c r="V152" s="242"/>
      <c r="W152" s="242"/>
      <c r="X152" s="242"/>
      <c r="Y152" s="242"/>
      <c r="Z152" s="242"/>
    </row>
    <row r="153">
      <c r="A153" s="242"/>
      <c r="B153" s="524"/>
      <c r="C153" s="524"/>
      <c r="D153" s="242"/>
      <c r="E153" s="242"/>
      <c r="F153" s="242"/>
      <c r="G153" s="13"/>
      <c r="H153" s="525"/>
      <c r="I153" s="242"/>
      <c r="J153" s="242"/>
      <c r="K153" s="242"/>
      <c r="L153" s="13"/>
      <c r="M153" s="13"/>
      <c r="N153" s="242"/>
      <c r="O153" s="242"/>
      <c r="P153" s="242"/>
      <c r="Q153" s="242"/>
      <c r="R153" s="242"/>
      <c r="S153" s="242"/>
      <c r="T153" s="242"/>
      <c r="U153" s="242"/>
      <c r="V153" s="242"/>
      <c r="W153" s="242"/>
      <c r="X153" s="242"/>
      <c r="Y153" s="242"/>
      <c r="Z153" s="242"/>
    </row>
    <row r="154">
      <c r="A154" s="242"/>
      <c r="B154" s="524"/>
      <c r="C154" s="524"/>
      <c r="D154" s="242"/>
      <c r="E154" s="242"/>
      <c r="F154" s="242"/>
      <c r="G154" s="13"/>
      <c r="H154" s="525"/>
      <c r="I154" s="242"/>
      <c r="J154" s="242"/>
      <c r="K154" s="242"/>
      <c r="L154" s="13"/>
      <c r="M154" s="13"/>
      <c r="N154" s="242"/>
      <c r="O154" s="242"/>
      <c r="P154" s="242"/>
      <c r="Q154" s="242"/>
      <c r="R154" s="242"/>
      <c r="S154" s="242"/>
      <c r="T154" s="242"/>
      <c r="U154" s="242"/>
      <c r="V154" s="242"/>
      <c r="W154" s="242"/>
      <c r="X154" s="242"/>
      <c r="Y154" s="242"/>
      <c r="Z154" s="242"/>
    </row>
    <row r="155">
      <c r="A155" s="242"/>
      <c r="B155" s="524"/>
      <c r="C155" s="524"/>
      <c r="D155" s="242"/>
      <c r="E155" s="242"/>
      <c r="F155" s="242"/>
      <c r="G155" s="13"/>
      <c r="H155" s="525"/>
      <c r="I155" s="242"/>
      <c r="J155" s="242"/>
      <c r="K155" s="242"/>
      <c r="L155" s="13"/>
      <c r="M155" s="13"/>
      <c r="N155" s="242"/>
      <c r="O155" s="242"/>
      <c r="P155" s="242"/>
      <c r="Q155" s="242"/>
      <c r="R155" s="242"/>
      <c r="S155" s="242"/>
      <c r="T155" s="242"/>
      <c r="U155" s="242"/>
      <c r="V155" s="242"/>
      <c r="W155" s="242"/>
      <c r="X155" s="242"/>
      <c r="Y155" s="242"/>
      <c r="Z155" s="242"/>
    </row>
    <row r="156">
      <c r="A156" s="242"/>
      <c r="B156" s="524"/>
      <c r="C156" s="524"/>
      <c r="D156" s="242"/>
      <c r="E156" s="242"/>
      <c r="F156" s="242"/>
      <c r="G156" s="13"/>
      <c r="H156" s="525"/>
      <c r="I156" s="242"/>
      <c r="J156" s="242"/>
      <c r="K156" s="242"/>
      <c r="L156" s="13"/>
      <c r="M156" s="13"/>
      <c r="N156" s="242"/>
      <c r="O156" s="242"/>
      <c r="P156" s="242"/>
      <c r="Q156" s="242"/>
      <c r="R156" s="242"/>
      <c r="S156" s="242"/>
      <c r="T156" s="242"/>
      <c r="U156" s="242"/>
      <c r="V156" s="242"/>
      <c r="W156" s="242"/>
      <c r="X156" s="242"/>
      <c r="Y156" s="242"/>
      <c r="Z156" s="242"/>
    </row>
    <row r="157">
      <c r="A157" s="242"/>
      <c r="B157" s="524"/>
      <c r="C157" s="524"/>
      <c r="D157" s="242"/>
      <c r="E157" s="242"/>
      <c r="F157" s="242"/>
      <c r="G157" s="13"/>
      <c r="H157" s="525"/>
      <c r="I157" s="242"/>
      <c r="J157" s="242"/>
      <c r="K157" s="242"/>
      <c r="L157" s="13"/>
      <c r="M157" s="13"/>
      <c r="N157" s="242"/>
      <c r="O157" s="242"/>
      <c r="P157" s="242"/>
      <c r="Q157" s="242"/>
      <c r="R157" s="242"/>
      <c r="S157" s="242"/>
      <c r="T157" s="242"/>
      <c r="U157" s="242"/>
      <c r="V157" s="242"/>
      <c r="W157" s="242"/>
      <c r="X157" s="242"/>
      <c r="Y157" s="242"/>
      <c r="Z157" s="242"/>
    </row>
    <row r="158">
      <c r="A158" s="242"/>
      <c r="B158" s="524"/>
      <c r="C158" s="524"/>
      <c r="D158" s="242"/>
      <c r="E158" s="242"/>
      <c r="F158" s="242"/>
      <c r="G158" s="13"/>
      <c r="H158" s="525"/>
      <c r="I158" s="242"/>
      <c r="J158" s="242"/>
      <c r="K158" s="242"/>
      <c r="L158" s="13"/>
      <c r="M158" s="13"/>
      <c r="N158" s="242"/>
      <c r="O158" s="242"/>
      <c r="P158" s="242"/>
      <c r="Q158" s="242"/>
      <c r="R158" s="242"/>
      <c r="S158" s="242"/>
      <c r="T158" s="242"/>
      <c r="U158" s="242"/>
      <c r="V158" s="242"/>
      <c r="W158" s="242"/>
      <c r="X158" s="242"/>
      <c r="Y158" s="242"/>
      <c r="Z158" s="242"/>
    </row>
    <row r="159">
      <c r="A159" s="242"/>
      <c r="B159" s="524"/>
      <c r="C159" s="524"/>
      <c r="D159" s="242"/>
      <c r="E159" s="242"/>
      <c r="F159" s="242"/>
      <c r="G159" s="13"/>
      <c r="H159" s="525"/>
      <c r="I159" s="242"/>
      <c r="J159" s="242"/>
      <c r="K159" s="242"/>
      <c r="L159" s="13"/>
      <c r="M159" s="13"/>
      <c r="N159" s="242"/>
      <c r="O159" s="242"/>
      <c r="P159" s="242"/>
      <c r="Q159" s="242"/>
      <c r="R159" s="242"/>
      <c r="S159" s="242"/>
      <c r="T159" s="242"/>
      <c r="U159" s="242"/>
      <c r="V159" s="242"/>
      <c r="W159" s="242"/>
      <c r="X159" s="242"/>
      <c r="Y159" s="242"/>
      <c r="Z159" s="242"/>
    </row>
    <row r="160">
      <c r="A160" s="242"/>
      <c r="B160" s="524"/>
      <c r="C160" s="524"/>
      <c r="D160" s="242"/>
      <c r="E160" s="242"/>
      <c r="F160" s="242"/>
      <c r="G160" s="13"/>
      <c r="H160" s="525"/>
      <c r="I160" s="242"/>
      <c r="J160" s="242"/>
      <c r="K160" s="242"/>
      <c r="L160" s="13"/>
      <c r="M160" s="13"/>
      <c r="N160" s="242"/>
      <c r="O160" s="242"/>
      <c r="P160" s="242"/>
      <c r="Q160" s="242"/>
      <c r="R160" s="242"/>
      <c r="S160" s="242"/>
      <c r="T160" s="242"/>
      <c r="U160" s="242"/>
      <c r="V160" s="242"/>
      <c r="W160" s="242"/>
      <c r="X160" s="242"/>
      <c r="Y160" s="242"/>
      <c r="Z160" s="242"/>
    </row>
    <row r="161">
      <c r="A161" s="242"/>
      <c r="B161" s="524"/>
      <c r="C161" s="524"/>
      <c r="D161" s="242"/>
      <c r="E161" s="242"/>
      <c r="F161" s="242"/>
      <c r="G161" s="13"/>
      <c r="H161" s="525"/>
      <c r="I161" s="242"/>
      <c r="J161" s="242"/>
      <c r="K161" s="242"/>
      <c r="L161" s="13"/>
      <c r="M161" s="13"/>
      <c r="N161" s="242"/>
      <c r="O161" s="242"/>
      <c r="P161" s="242"/>
      <c r="Q161" s="242"/>
      <c r="R161" s="242"/>
      <c r="S161" s="242"/>
      <c r="T161" s="242"/>
      <c r="U161" s="242"/>
      <c r="V161" s="242"/>
      <c r="W161" s="242"/>
      <c r="X161" s="242"/>
      <c r="Y161" s="242"/>
      <c r="Z161" s="242"/>
    </row>
    <row r="162">
      <c r="A162" s="242"/>
      <c r="B162" s="524"/>
      <c r="C162" s="524"/>
      <c r="D162" s="242"/>
      <c r="E162" s="242"/>
      <c r="F162" s="242"/>
      <c r="G162" s="13"/>
      <c r="H162" s="525"/>
      <c r="I162" s="242"/>
      <c r="J162" s="242"/>
      <c r="K162" s="242"/>
      <c r="L162" s="13"/>
      <c r="M162" s="13"/>
      <c r="N162" s="242"/>
      <c r="O162" s="242"/>
      <c r="P162" s="242"/>
      <c r="Q162" s="242"/>
      <c r="R162" s="242"/>
      <c r="S162" s="242"/>
      <c r="T162" s="242"/>
      <c r="U162" s="242"/>
      <c r="V162" s="242"/>
      <c r="W162" s="242"/>
      <c r="X162" s="242"/>
      <c r="Y162" s="242"/>
      <c r="Z162" s="242"/>
    </row>
    <row r="163">
      <c r="A163" s="242"/>
      <c r="B163" s="524"/>
      <c r="C163" s="524"/>
      <c r="D163" s="242"/>
      <c r="E163" s="242"/>
      <c r="F163" s="242"/>
      <c r="G163" s="13"/>
      <c r="H163" s="525"/>
      <c r="I163" s="242"/>
      <c r="J163" s="242"/>
      <c r="K163" s="242"/>
      <c r="L163" s="13"/>
      <c r="M163" s="13"/>
      <c r="N163" s="242"/>
      <c r="O163" s="242"/>
      <c r="P163" s="242"/>
      <c r="Q163" s="242"/>
      <c r="R163" s="242"/>
      <c r="S163" s="242"/>
      <c r="T163" s="242"/>
      <c r="U163" s="242"/>
      <c r="V163" s="242"/>
      <c r="W163" s="242"/>
      <c r="X163" s="242"/>
      <c r="Y163" s="242"/>
      <c r="Z163" s="242"/>
    </row>
    <row r="164">
      <c r="A164" s="242"/>
      <c r="B164" s="524"/>
      <c r="C164" s="524"/>
      <c r="D164" s="242"/>
      <c r="E164" s="242"/>
      <c r="F164" s="242"/>
      <c r="G164" s="13"/>
      <c r="H164" s="525"/>
      <c r="I164" s="242"/>
      <c r="J164" s="242"/>
      <c r="K164" s="242"/>
      <c r="L164" s="13"/>
      <c r="M164" s="13"/>
      <c r="N164" s="242"/>
      <c r="O164" s="242"/>
      <c r="P164" s="242"/>
      <c r="Q164" s="242"/>
      <c r="R164" s="242"/>
      <c r="S164" s="242"/>
      <c r="T164" s="242"/>
      <c r="U164" s="242"/>
      <c r="V164" s="242"/>
      <c r="W164" s="242"/>
      <c r="X164" s="242"/>
      <c r="Y164" s="242"/>
      <c r="Z164" s="242"/>
    </row>
    <row r="165">
      <c r="A165" s="242"/>
      <c r="B165" s="524"/>
      <c r="C165" s="524"/>
      <c r="D165" s="242"/>
      <c r="E165" s="242"/>
      <c r="F165" s="242"/>
      <c r="G165" s="13"/>
      <c r="H165" s="525"/>
      <c r="I165" s="242"/>
      <c r="J165" s="242"/>
      <c r="K165" s="242"/>
      <c r="L165" s="13"/>
      <c r="M165" s="13"/>
      <c r="N165" s="242"/>
      <c r="O165" s="242"/>
      <c r="P165" s="242"/>
      <c r="Q165" s="242"/>
      <c r="R165" s="242"/>
      <c r="S165" s="242"/>
      <c r="T165" s="242"/>
      <c r="U165" s="242"/>
      <c r="V165" s="242"/>
      <c r="W165" s="242"/>
      <c r="X165" s="242"/>
      <c r="Y165" s="242"/>
      <c r="Z165" s="242"/>
    </row>
    <row r="166">
      <c r="A166" s="242"/>
      <c r="B166" s="524"/>
      <c r="C166" s="524"/>
      <c r="D166" s="242"/>
      <c r="E166" s="242"/>
      <c r="F166" s="242"/>
      <c r="G166" s="13"/>
      <c r="H166" s="525"/>
      <c r="I166" s="242"/>
      <c r="J166" s="242"/>
      <c r="K166" s="242"/>
      <c r="L166" s="13"/>
      <c r="M166" s="13"/>
      <c r="N166" s="242"/>
      <c r="O166" s="242"/>
      <c r="P166" s="242"/>
      <c r="Q166" s="242"/>
      <c r="R166" s="242"/>
      <c r="S166" s="242"/>
      <c r="T166" s="242"/>
      <c r="U166" s="242"/>
      <c r="V166" s="242"/>
      <c r="W166" s="242"/>
      <c r="X166" s="242"/>
      <c r="Y166" s="242"/>
      <c r="Z166" s="242"/>
    </row>
    <row r="167">
      <c r="A167" s="242"/>
      <c r="B167" s="524"/>
      <c r="C167" s="524"/>
      <c r="D167" s="242"/>
      <c r="E167" s="242"/>
      <c r="F167" s="242"/>
      <c r="G167" s="13"/>
      <c r="H167" s="525"/>
      <c r="I167" s="242"/>
      <c r="J167" s="242"/>
      <c r="K167" s="242"/>
      <c r="L167" s="13"/>
      <c r="M167" s="13"/>
      <c r="N167" s="242"/>
      <c r="O167" s="242"/>
      <c r="P167" s="242"/>
      <c r="Q167" s="242"/>
      <c r="R167" s="242"/>
      <c r="S167" s="242"/>
      <c r="T167" s="242"/>
      <c r="U167" s="242"/>
      <c r="V167" s="242"/>
      <c r="W167" s="242"/>
      <c r="X167" s="242"/>
      <c r="Y167" s="242"/>
      <c r="Z167" s="242"/>
    </row>
    <row r="168">
      <c r="A168" s="242"/>
      <c r="B168" s="524"/>
      <c r="C168" s="524"/>
      <c r="D168" s="242"/>
      <c r="E168" s="242"/>
      <c r="F168" s="242"/>
      <c r="G168" s="13"/>
      <c r="H168" s="525"/>
      <c r="I168" s="242"/>
      <c r="J168" s="242"/>
      <c r="K168" s="242"/>
      <c r="L168" s="13"/>
      <c r="M168" s="13"/>
      <c r="N168" s="242"/>
      <c r="O168" s="242"/>
      <c r="P168" s="242"/>
      <c r="Q168" s="242"/>
      <c r="R168" s="242"/>
      <c r="S168" s="242"/>
      <c r="T168" s="242"/>
      <c r="U168" s="242"/>
      <c r="V168" s="242"/>
      <c r="W168" s="242"/>
      <c r="X168" s="242"/>
      <c r="Y168" s="242"/>
      <c r="Z168" s="242"/>
    </row>
    <row r="169">
      <c r="A169" s="242"/>
      <c r="B169" s="524"/>
      <c r="C169" s="524"/>
      <c r="D169" s="242"/>
      <c r="E169" s="242"/>
      <c r="F169" s="242"/>
      <c r="G169" s="13"/>
      <c r="H169" s="525"/>
      <c r="I169" s="242"/>
      <c r="J169" s="242"/>
      <c r="K169" s="242"/>
      <c r="L169" s="13"/>
      <c r="M169" s="13"/>
      <c r="N169" s="242"/>
      <c r="O169" s="242"/>
      <c r="P169" s="242"/>
      <c r="Q169" s="242"/>
      <c r="R169" s="242"/>
      <c r="S169" s="242"/>
      <c r="T169" s="242"/>
      <c r="U169" s="242"/>
      <c r="V169" s="242"/>
      <c r="W169" s="242"/>
      <c r="X169" s="242"/>
      <c r="Y169" s="242"/>
      <c r="Z169" s="242"/>
    </row>
    <row r="170">
      <c r="A170" s="242"/>
      <c r="B170" s="524"/>
      <c r="C170" s="524"/>
      <c r="D170" s="242"/>
      <c r="E170" s="242"/>
      <c r="F170" s="242"/>
      <c r="G170" s="13"/>
      <c r="H170" s="525"/>
      <c r="I170" s="242"/>
      <c r="J170" s="242"/>
      <c r="K170" s="242"/>
      <c r="L170" s="13"/>
      <c r="M170" s="13"/>
      <c r="N170" s="242"/>
      <c r="O170" s="242"/>
      <c r="P170" s="242"/>
      <c r="Q170" s="242"/>
      <c r="R170" s="242"/>
      <c r="S170" s="242"/>
      <c r="T170" s="242"/>
      <c r="U170" s="242"/>
      <c r="V170" s="242"/>
      <c r="W170" s="242"/>
      <c r="X170" s="242"/>
      <c r="Y170" s="242"/>
      <c r="Z170" s="242"/>
    </row>
    <row r="171">
      <c r="A171" s="242"/>
      <c r="B171" s="524"/>
      <c r="C171" s="524"/>
      <c r="D171" s="242"/>
      <c r="E171" s="242"/>
      <c r="F171" s="242"/>
      <c r="G171" s="13"/>
      <c r="H171" s="525"/>
      <c r="I171" s="242"/>
      <c r="J171" s="242"/>
      <c r="K171" s="242"/>
      <c r="L171" s="13"/>
      <c r="M171" s="13"/>
      <c r="N171" s="242"/>
      <c r="O171" s="242"/>
      <c r="P171" s="242"/>
      <c r="Q171" s="242"/>
      <c r="R171" s="242"/>
      <c r="S171" s="242"/>
      <c r="T171" s="242"/>
      <c r="U171" s="242"/>
      <c r="V171" s="242"/>
      <c r="W171" s="242"/>
      <c r="X171" s="242"/>
      <c r="Y171" s="242"/>
      <c r="Z171" s="242"/>
    </row>
    <row r="172">
      <c r="A172" s="242"/>
      <c r="B172" s="524"/>
      <c r="C172" s="524"/>
      <c r="D172" s="242"/>
      <c r="E172" s="242"/>
      <c r="F172" s="242"/>
      <c r="G172" s="13"/>
      <c r="H172" s="525"/>
      <c r="I172" s="242"/>
      <c r="J172" s="242"/>
      <c r="K172" s="242"/>
      <c r="L172" s="13"/>
      <c r="M172" s="13"/>
      <c r="N172" s="242"/>
      <c r="O172" s="242"/>
      <c r="P172" s="242"/>
      <c r="Q172" s="242"/>
      <c r="R172" s="242"/>
      <c r="S172" s="242"/>
      <c r="T172" s="242"/>
      <c r="U172" s="242"/>
      <c r="V172" s="242"/>
      <c r="W172" s="242"/>
      <c r="X172" s="242"/>
      <c r="Y172" s="242"/>
      <c r="Z172" s="242"/>
    </row>
    <row r="173">
      <c r="A173" s="242"/>
      <c r="B173" s="524"/>
      <c r="C173" s="524"/>
      <c r="D173" s="242"/>
      <c r="E173" s="242"/>
      <c r="F173" s="242"/>
      <c r="G173" s="13"/>
      <c r="H173" s="525"/>
      <c r="I173" s="242"/>
      <c r="J173" s="242"/>
      <c r="K173" s="242"/>
      <c r="L173" s="13"/>
      <c r="M173" s="13"/>
      <c r="N173" s="242"/>
      <c r="O173" s="242"/>
      <c r="P173" s="242"/>
      <c r="Q173" s="242"/>
      <c r="R173" s="242"/>
      <c r="S173" s="242"/>
      <c r="T173" s="242"/>
      <c r="U173" s="242"/>
      <c r="V173" s="242"/>
      <c r="W173" s="242"/>
      <c r="X173" s="242"/>
      <c r="Y173" s="242"/>
      <c r="Z173" s="242"/>
    </row>
    <row r="174">
      <c r="A174" s="242"/>
      <c r="B174" s="524"/>
      <c r="C174" s="524"/>
      <c r="D174" s="242"/>
      <c r="E174" s="242"/>
      <c r="F174" s="242"/>
      <c r="G174" s="13"/>
      <c r="H174" s="525"/>
      <c r="I174" s="242"/>
      <c r="J174" s="242"/>
      <c r="K174" s="242"/>
      <c r="L174" s="13"/>
      <c r="M174" s="13"/>
      <c r="N174" s="242"/>
      <c r="O174" s="242"/>
      <c r="P174" s="242"/>
      <c r="Q174" s="242"/>
      <c r="R174" s="242"/>
      <c r="S174" s="242"/>
      <c r="T174" s="242"/>
      <c r="U174" s="242"/>
      <c r="V174" s="242"/>
      <c r="W174" s="242"/>
      <c r="X174" s="242"/>
      <c r="Y174" s="242"/>
      <c r="Z174" s="242"/>
    </row>
    <row r="175">
      <c r="A175" s="242"/>
      <c r="B175" s="524"/>
      <c r="C175" s="524"/>
      <c r="D175" s="242"/>
      <c r="E175" s="242"/>
      <c r="F175" s="242"/>
      <c r="G175" s="13"/>
      <c r="H175" s="525"/>
      <c r="I175" s="242"/>
      <c r="J175" s="242"/>
      <c r="K175" s="242"/>
      <c r="L175" s="13"/>
      <c r="M175" s="13"/>
      <c r="N175" s="242"/>
      <c r="O175" s="242"/>
      <c r="P175" s="242"/>
      <c r="Q175" s="242"/>
      <c r="R175" s="242"/>
      <c r="S175" s="242"/>
      <c r="T175" s="242"/>
      <c r="U175" s="242"/>
      <c r="V175" s="242"/>
      <c r="W175" s="242"/>
      <c r="X175" s="242"/>
      <c r="Y175" s="242"/>
      <c r="Z175" s="242"/>
    </row>
    <row r="176">
      <c r="A176" s="242"/>
      <c r="B176" s="524"/>
      <c r="C176" s="524"/>
      <c r="D176" s="242"/>
      <c r="E176" s="242"/>
      <c r="F176" s="242"/>
      <c r="G176" s="13"/>
      <c r="H176" s="525"/>
      <c r="I176" s="242"/>
      <c r="J176" s="242"/>
      <c r="K176" s="242"/>
      <c r="L176" s="13"/>
      <c r="M176" s="13"/>
      <c r="N176" s="242"/>
      <c r="O176" s="242"/>
      <c r="P176" s="242"/>
      <c r="Q176" s="242"/>
      <c r="R176" s="242"/>
      <c r="S176" s="242"/>
      <c r="T176" s="242"/>
      <c r="U176" s="242"/>
      <c r="V176" s="242"/>
      <c r="W176" s="242"/>
      <c r="X176" s="242"/>
      <c r="Y176" s="242"/>
      <c r="Z176" s="242"/>
    </row>
    <row r="177">
      <c r="A177" s="242"/>
      <c r="B177" s="524"/>
      <c r="C177" s="524"/>
      <c r="D177" s="242"/>
      <c r="E177" s="242"/>
      <c r="F177" s="242"/>
      <c r="G177" s="13"/>
      <c r="H177" s="525"/>
      <c r="I177" s="242"/>
      <c r="J177" s="242"/>
      <c r="K177" s="242"/>
      <c r="L177" s="13"/>
      <c r="M177" s="13"/>
      <c r="N177" s="242"/>
      <c r="O177" s="242"/>
      <c r="P177" s="242"/>
      <c r="Q177" s="242"/>
      <c r="R177" s="242"/>
      <c r="S177" s="242"/>
      <c r="T177" s="242"/>
      <c r="U177" s="242"/>
      <c r="V177" s="242"/>
      <c r="W177" s="242"/>
      <c r="X177" s="242"/>
      <c r="Y177" s="242"/>
      <c r="Z177" s="242"/>
    </row>
    <row r="178">
      <c r="A178" s="242"/>
      <c r="B178" s="524"/>
      <c r="C178" s="524"/>
      <c r="D178" s="242"/>
      <c r="E178" s="242"/>
      <c r="F178" s="242"/>
      <c r="G178" s="13"/>
      <c r="H178" s="525"/>
      <c r="I178" s="242"/>
      <c r="J178" s="242"/>
      <c r="K178" s="242"/>
      <c r="L178" s="13"/>
      <c r="M178" s="13"/>
      <c r="N178" s="242"/>
      <c r="O178" s="242"/>
      <c r="P178" s="242"/>
      <c r="Q178" s="242"/>
      <c r="R178" s="242"/>
      <c r="S178" s="242"/>
      <c r="T178" s="242"/>
      <c r="U178" s="242"/>
      <c r="V178" s="242"/>
      <c r="W178" s="242"/>
      <c r="X178" s="242"/>
      <c r="Y178" s="242"/>
      <c r="Z178" s="242"/>
    </row>
    <row r="179">
      <c r="A179" s="242"/>
      <c r="B179" s="524"/>
      <c r="C179" s="524"/>
      <c r="D179" s="242"/>
      <c r="E179" s="242"/>
      <c r="F179" s="242"/>
      <c r="G179" s="13"/>
      <c r="H179" s="525"/>
      <c r="I179" s="242"/>
      <c r="J179" s="242"/>
      <c r="K179" s="242"/>
      <c r="L179" s="13"/>
      <c r="M179" s="13"/>
      <c r="N179" s="242"/>
      <c r="O179" s="242"/>
      <c r="P179" s="242"/>
      <c r="Q179" s="242"/>
      <c r="R179" s="242"/>
      <c r="S179" s="242"/>
      <c r="T179" s="242"/>
      <c r="U179" s="242"/>
      <c r="V179" s="242"/>
      <c r="W179" s="242"/>
      <c r="X179" s="242"/>
      <c r="Y179" s="242"/>
      <c r="Z179" s="242"/>
    </row>
    <row r="180">
      <c r="A180" s="242"/>
      <c r="B180" s="524"/>
      <c r="C180" s="524"/>
      <c r="D180" s="242"/>
      <c r="E180" s="242"/>
      <c r="F180" s="242"/>
      <c r="G180" s="13"/>
      <c r="H180" s="525"/>
      <c r="I180" s="242"/>
      <c r="J180" s="242"/>
      <c r="K180" s="242"/>
      <c r="L180" s="13"/>
      <c r="M180" s="13"/>
      <c r="N180" s="242"/>
      <c r="O180" s="242"/>
      <c r="P180" s="242"/>
      <c r="Q180" s="242"/>
      <c r="R180" s="242"/>
      <c r="S180" s="242"/>
      <c r="T180" s="242"/>
      <c r="U180" s="242"/>
      <c r="V180" s="242"/>
      <c r="W180" s="242"/>
      <c r="X180" s="242"/>
      <c r="Y180" s="242"/>
      <c r="Z180" s="242"/>
    </row>
    <row r="181">
      <c r="A181" s="242"/>
      <c r="B181" s="524"/>
      <c r="C181" s="524"/>
      <c r="D181" s="242"/>
      <c r="E181" s="242"/>
      <c r="F181" s="242"/>
      <c r="G181" s="13"/>
      <c r="H181" s="525"/>
      <c r="I181" s="242"/>
      <c r="J181" s="242"/>
      <c r="K181" s="242"/>
      <c r="L181" s="13"/>
      <c r="M181" s="13"/>
      <c r="N181" s="242"/>
      <c r="O181" s="242"/>
      <c r="P181" s="242"/>
      <c r="Q181" s="242"/>
      <c r="R181" s="242"/>
      <c r="S181" s="242"/>
      <c r="T181" s="242"/>
      <c r="U181" s="242"/>
      <c r="V181" s="242"/>
      <c r="W181" s="242"/>
      <c r="X181" s="242"/>
      <c r="Y181" s="242"/>
      <c r="Z181" s="242"/>
    </row>
    <row r="182">
      <c r="A182" s="242"/>
      <c r="B182" s="524"/>
      <c r="C182" s="524"/>
      <c r="D182" s="242"/>
      <c r="E182" s="242"/>
      <c r="F182" s="242"/>
      <c r="G182" s="13"/>
      <c r="H182" s="525"/>
      <c r="I182" s="242"/>
      <c r="J182" s="242"/>
      <c r="K182" s="242"/>
      <c r="L182" s="13"/>
      <c r="M182" s="13"/>
      <c r="N182" s="242"/>
      <c r="O182" s="242"/>
      <c r="P182" s="242"/>
      <c r="Q182" s="242"/>
      <c r="R182" s="242"/>
      <c r="S182" s="242"/>
      <c r="T182" s="242"/>
      <c r="U182" s="242"/>
      <c r="V182" s="242"/>
      <c r="W182" s="242"/>
      <c r="X182" s="242"/>
      <c r="Y182" s="242"/>
      <c r="Z182" s="242"/>
    </row>
    <row r="183">
      <c r="A183" s="242"/>
      <c r="B183" s="524"/>
      <c r="C183" s="524"/>
      <c r="D183" s="242"/>
      <c r="E183" s="242"/>
      <c r="F183" s="242"/>
      <c r="G183" s="13"/>
      <c r="H183" s="525"/>
      <c r="I183" s="242"/>
      <c r="J183" s="242"/>
      <c r="K183" s="242"/>
      <c r="L183" s="13"/>
      <c r="M183" s="13"/>
      <c r="N183" s="242"/>
      <c r="O183" s="242"/>
      <c r="P183" s="242"/>
      <c r="Q183" s="242"/>
      <c r="R183" s="242"/>
      <c r="S183" s="242"/>
      <c r="T183" s="242"/>
      <c r="U183" s="242"/>
      <c r="V183" s="242"/>
      <c r="W183" s="242"/>
      <c r="X183" s="242"/>
      <c r="Y183" s="242"/>
      <c r="Z183" s="242"/>
    </row>
    <row r="184">
      <c r="A184" s="242"/>
      <c r="B184" s="524"/>
      <c r="C184" s="524"/>
      <c r="D184" s="242"/>
      <c r="E184" s="242"/>
      <c r="F184" s="242"/>
      <c r="G184" s="13"/>
      <c r="H184" s="525"/>
      <c r="I184" s="242"/>
      <c r="J184" s="242"/>
      <c r="K184" s="242"/>
      <c r="L184" s="13"/>
      <c r="M184" s="13"/>
      <c r="N184" s="242"/>
      <c r="O184" s="242"/>
      <c r="P184" s="242"/>
      <c r="Q184" s="242"/>
      <c r="R184" s="242"/>
      <c r="S184" s="242"/>
      <c r="T184" s="242"/>
      <c r="U184" s="242"/>
      <c r="V184" s="242"/>
      <c r="W184" s="242"/>
      <c r="X184" s="242"/>
      <c r="Y184" s="242"/>
      <c r="Z184" s="242"/>
    </row>
    <row r="185">
      <c r="A185" s="242"/>
      <c r="B185" s="524"/>
      <c r="C185" s="524"/>
      <c r="D185" s="242"/>
      <c r="E185" s="242"/>
      <c r="F185" s="242"/>
      <c r="G185" s="13"/>
      <c r="H185" s="525"/>
      <c r="I185" s="242"/>
      <c r="J185" s="242"/>
      <c r="K185" s="242"/>
      <c r="L185" s="13"/>
      <c r="M185" s="13"/>
      <c r="N185" s="242"/>
      <c r="O185" s="242"/>
      <c r="P185" s="242"/>
      <c r="Q185" s="242"/>
      <c r="R185" s="242"/>
      <c r="S185" s="242"/>
      <c r="T185" s="242"/>
      <c r="U185" s="242"/>
      <c r="V185" s="242"/>
      <c r="W185" s="242"/>
      <c r="X185" s="242"/>
      <c r="Y185" s="242"/>
      <c r="Z185" s="242"/>
    </row>
    <row r="186">
      <c r="A186" s="242"/>
      <c r="B186" s="524"/>
      <c r="C186" s="524"/>
      <c r="D186" s="242"/>
      <c r="E186" s="242"/>
      <c r="F186" s="242"/>
      <c r="G186" s="13"/>
      <c r="H186" s="525"/>
      <c r="I186" s="242"/>
      <c r="J186" s="242"/>
      <c r="K186" s="242"/>
      <c r="L186" s="13"/>
      <c r="M186" s="13"/>
      <c r="N186" s="242"/>
      <c r="O186" s="242"/>
      <c r="P186" s="242"/>
      <c r="Q186" s="242"/>
      <c r="R186" s="242"/>
      <c r="S186" s="242"/>
      <c r="T186" s="242"/>
      <c r="U186" s="242"/>
      <c r="V186" s="242"/>
      <c r="W186" s="242"/>
      <c r="X186" s="242"/>
      <c r="Y186" s="242"/>
      <c r="Z186" s="242"/>
    </row>
    <row r="187">
      <c r="A187" s="242"/>
      <c r="B187" s="524"/>
      <c r="C187" s="524"/>
      <c r="D187" s="242"/>
      <c r="E187" s="242"/>
      <c r="F187" s="242"/>
      <c r="G187" s="13"/>
      <c r="H187" s="525"/>
      <c r="I187" s="242"/>
      <c r="J187" s="242"/>
      <c r="K187" s="242"/>
      <c r="L187" s="13"/>
      <c r="M187" s="13"/>
      <c r="N187" s="242"/>
      <c r="O187" s="242"/>
      <c r="P187" s="242"/>
      <c r="Q187" s="242"/>
      <c r="R187" s="242"/>
      <c r="S187" s="242"/>
      <c r="T187" s="242"/>
      <c r="U187" s="242"/>
      <c r="V187" s="242"/>
      <c r="W187" s="242"/>
      <c r="X187" s="242"/>
      <c r="Y187" s="242"/>
      <c r="Z187" s="242"/>
    </row>
    <row r="188">
      <c r="A188" s="242"/>
      <c r="B188" s="524"/>
      <c r="C188" s="524"/>
      <c r="D188" s="242"/>
      <c r="E188" s="242"/>
      <c r="F188" s="242"/>
      <c r="G188" s="13"/>
      <c r="H188" s="525"/>
      <c r="I188" s="242"/>
      <c r="J188" s="242"/>
      <c r="K188" s="242"/>
      <c r="L188" s="13"/>
      <c r="M188" s="13"/>
      <c r="N188" s="242"/>
      <c r="O188" s="242"/>
      <c r="P188" s="242"/>
      <c r="Q188" s="242"/>
      <c r="R188" s="242"/>
      <c r="S188" s="242"/>
      <c r="T188" s="242"/>
      <c r="U188" s="242"/>
      <c r="V188" s="242"/>
      <c r="W188" s="242"/>
      <c r="X188" s="242"/>
      <c r="Y188" s="242"/>
      <c r="Z188" s="242"/>
    </row>
    <row r="189">
      <c r="A189" s="242"/>
      <c r="B189" s="524"/>
      <c r="C189" s="524"/>
      <c r="D189" s="242"/>
      <c r="E189" s="242"/>
      <c r="F189" s="242"/>
      <c r="G189" s="13"/>
      <c r="H189" s="525"/>
      <c r="I189" s="242"/>
      <c r="J189" s="242"/>
      <c r="K189" s="242"/>
      <c r="L189" s="13"/>
      <c r="M189" s="13"/>
      <c r="N189" s="242"/>
      <c r="O189" s="242"/>
      <c r="P189" s="242"/>
      <c r="Q189" s="242"/>
      <c r="R189" s="242"/>
      <c r="S189" s="242"/>
      <c r="T189" s="242"/>
      <c r="U189" s="242"/>
      <c r="V189" s="242"/>
      <c r="W189" s="242"/>
      <c r="X189" s="242"/>
      <c r="Y189" s="242"/>
      <c r="Z189" s="242"/>
    </row>
    <row r="190">
      <c r="A190" s="242"/>
      <c r="B190" s="524"/>
      <c r="C190" s="524"/>
      <c r="D190" s="242"/>
      <c r="E190" s="242"/>
      <c r="F190" s="242"/>
      <c r="G190" s="13"/>
      <c r="H190" s="525"/>
      <c r="I190" s="242"/>
      <c r="J190" s="242"/>
      <c r="K190" s="242"/>
      <c r="L190" s="13"/>
      <c r="M190" s="13"/>
      <c r="N190" s="242"/>
      <c r="O190" s="242"/>
      <c r="P190" s="242"/>
      <c r="Q190" s="242"/>
      <c r="R190" s="242"/>
      <c r="S190" s="242"/>
      <c r="T190" s="242"/>
      <c r="U190" s="242"/>
      <c r="V190" s="242"/>
      <c r="W190" s="242"/>
      <c r="X190" s="242"/>
      <c r="Y190" s="242"/>
      <c r="Z190" s="242"/>
    </row>
    <row r="191">
      <c r="A191" s="242"/>
      <c r="B191" s="524"/>
      <c r="C191" s="524"/>
      <c r="D191" s="242"/>
      <c r="E191" s="242"/>
      <c r="F191" s="242"/>
      <c r="G191" s="13"/>
      <c r="H191" s="525"/>
      <c r="I191" s="242"/>
      <c r="J191" s="242"/>
      <c r="K191" s="242"/>
      <c r="L191" s="13"/>
      <c r="M191" s="13"/>
      <c r="N191" s="242"/>
      <c r="O191" s="242"/>
      <c r="P191" s="242"/>
      <c r="Q191" s="242"/>
      <c r="R191" s="242"/>
      <c r="S191" s="242"/>
      <c r="T191" s="242"/>
      <c r="U191" s="242"/>
      <c r="V191" s="242"/>
      <c r="W191" s="242"/>
      <c r="X191" s="242"/>
      <c r="Y191" s="242"/>
      <c r="Z191" s="242"/>
    </row>
    <row r="192">
      <c r="A192" s="242"/>
      <c r="B192" s="524"/>
      <c r="C192" s="524"/>
      <c r="D192" s="242"/>
      <c r="E192" s="242"/>
      <c r="F192" s="242"/>
      <c r="G192" s="13"/>
      <c r="H192" s="525"/>
      <c r="I192" s="242"/>
      <c r="J192" s="242"/>
      <c r="K192" s="242"/>
      <c r="L192" s="13"/>
      <c r="M192" s="13"/>
      <c r="N192" s="242"/>
      <c r="O192" s="242"/>
      <c r="P192" s="242"/>
      <c r="Q192" s="242"/>
      <c r="R192" s="242"/>
      <c r="S192" s="242"/>
      <c r="T192" s="242"/>
      <c r="U192" s="242"/>
      <c r="V192" s="242"/>
      <c r="W192" s="242"/>
      <c r="X192" s="242"/>
      <c r="Y192" s="242"/>
      <c r="Z192" s="242"/>
    </row>
    <row r="193">
      <c r="A193" s="242"/>
      <c r="B193" s="524"/>
      <c r="C193" s="524"/>
      <c r="D193" s="242"/>
      <c r="E193" s="242"/>
      <c r="F193" s="242"/>
      <c r="G193" s="13"/>
      <c r="H193" s="525"/>
      <c r="I193" s="242"/>
      <c r="J193" s="242"/>
      <c r="K193" s="242"/>
      <c r="L193" s="13"/>
      <c r="M193" s="13"/>
      <c r="N193" s="242"/>
      <c r="O193" s="242"/>
      <c r="P193" s="242"/>
      <c r="Q193" s="242"/>
      <c r="R193" s="242"/>
      <c r="S193" s="242"/>
      <c r="T193" s="242"/>
      <c r="U193" s="242"/>
      <c r="V193" s="242"/>
      <c r="W193" s="242"/>
      <c r="X193" s="242"/>
      <c r="Y193" s="242"/>
      <c r="Z193" s="242"/>
    </row>
    <row r="194">
      <c r="A194" s="242"/>
      <c r="B194" s="524"/>
      <c r="C194" s="524"/>
      <c r="D194" s="242"/>
      <c r="E194" s="242"/>
      <c r="F194" s="242"/>
      <c r="G194" s="13"/>
      <c r="H194" s="525"/>
      <c r="I194" s="242"/>
      <c r="J194" s="242"/>
      <c r="K194" s="242"/>
      <c r="L194" s="13"/>
      <c r="M194" s="13"/>
      <c r="N194" s="242"/>
      <c r="O194" s="242"/>
      <c r="P194" s="242"/>
      <c r="Q194" s="242"/>
      <c r="R194" s="242"/>
      <c r="S194" s="242"/>
      <c r="T194" s="242"/>
      <c r="U194" s="242"/>
      <c r="V194" s="242"/>
      <c r="W194" s="242"/>
      <c r="X194" s="242"/>
      <c r="Y194" s="242"/>
      <c r="Z194" s="242"/>
    </row>
    <row r="195">
      <c r="A195" s="242"/>
      <c r="B195" s="524"/>
      <c r="C195" s="524"/>
      <c r="D195" s="242"/>
      <c r="E195" s="242"/>
      <c r="F195" s="242"/>
      <c r="G195" s="13"/>
      <c r="H195" s="525"/>
      <c r="I195" s="242"/>
      <c r="J195" s="242"/>
      <c r="K195" s="242"/>
      <c r="L195" s="13"/>
      <c r="M195" s="13"/>
      <c r="N195" s="242"/>
      <c r="O195" s="242"/>
      <c r="P195" s="242"/>
      <c r="Q195" s="242"/>
      <c r="R195" s="242"/>
      <c r="S195" s="242"/>
      <c r="T195" s="242"/>
      <c r="U195" s="242"/>
      <c r="V195" s="242"/>
      <c r="W195" s="242"/>
      <c r="X195" s="242"/>
      <c r="Y195" s="242"/>
      <c r="Z195" s="242"/>
    </row>
    <row r="196">
      <c r="A196" s="242"/>
      <c r="B196" s="524"/>
      <c r="C196" s="524"/>
      <c r="D196" s="242"/>
      <c r="E196" s="242"/>
      <c r="F196" s="242"/>
      <c r="G196" s="13"/>
      <c r="H196" s="525"/>
      <c r="I196" s="242"/>
      <c r="J196" s="242"/>
      <c r="K196" s="242"/>
      <c r="L196" s="13"/>
      <c r="M196" s="13"/>
      <c r="N196" s="242"/>
      <c r="O196" s="242"/>
      <c r="P196" s="242"/>
      <c r="Q196" s="242"/>
      <c r="R196" s="242"/>
      <c r="S196" s="242"/>
      <c r="T196" s="242"/>
      <c r="U196" s="242"/>
      <c r="V196" s="242"/>
      <c r="W196" s="242"/>
      <c r="X196" s="242"/>
      <c r="Y196" s="242"/>
      <c r="Z196" s="242"/>
    </row>
    <row r="197">
      <c r="A197" s="242"/>
      <c r="B197" s="524"/>
      <c r="C197" s="524"/>
      <c r="D197" s="242"/>
      <c r="E197" s="242"/>
      <c r="F197" s="242"/>
      <c r="G197" s="13"/>
      <c r="H197" s="525"/>
      <c r="I197" s="242"/>
      <c r="J197" s="242"/>
      <c r="K197" s="242"/>
      <c r="L197" s="13"/>
      <c r="M197" s="13"/>
      <c r="N197" s="242"/>
      <c r="O197" s="242"/>
      <c r="P197" s="242"/>
      <c r="Q197" s="242"/>
      <c r="R197" s="242"/>
      <c r="S197" s="242"/>
      <c r="T197" s="242"/>
      <c r="U197" s="242"/>
      <c r="V197" s="242"/>
      <c r="W197" s="242"/>
      <c r="X197" s="242"/>
      <c r="Y197" s="242"/>
      <c r="Z197" s="242"/>
    </row>
    <row r="198">
      <c r="A198" s="242"/>
      <c r="B198" s="524"/>
      <c r="C198" s="524"/>
      <c r="D198" s="242"/>
      <c r="E198" s="242"/>
      <c r="F198" s="242"/>
      <c r="G198" s="13"/>
      <c r="H198" s="525"/>
      <c r="I198" s="242"/>
      <c r="J198" s="242"/>
      <c r="K198" s="242"/>
      <c r="L198" s="13"/>
      <c r="M198" s="13"/>
      <c r="N198" s="242"/>
      <c r="O198" s="242"/>
      <c r="P198" s="242"/>
      <c r="Q198" s="242"/>
      <c r="R198" s="242"/>
      <c r="S198" s="242"/>
      <c r="T198" s="242"/>
      <c r="U198" s="242"/>
      <c r="V198" s="242"/>
      <c r="W198" s="242"/>
      <c r="X198" s="242"/>
      <c r="Y198" s="242"/>
      <c r="Z198" s="242"/>
    </row>
    <row r="199">
      <c r="A199" s="242"/>
      <c r="B199" s="524"/>
      <c r="C199" s="524"/>
      <c r="D199" s="242"/>
      <c r="E199" s="242"/>
      <c r="F199" s="242"/>
      <c r="G199" s="13"/>
      <c r="H199" s="525"/>
      <c r="I199" s="242"/>
      <c r="J199" s="242"/>
      <c r="K199" s="242"/>
      <c r="L199" s="13"/>
      <c r="M199" s="13"/>
      <c r="N199" s="242"/>
      <c r="O199" s="242"/>
      <c r="P199" s="242"/>
      <c r="Q199" s="242"/>
      <c r="R199" s="242"/>
      <c r="S199" s="242"/>
      <c r="T199" s="242"/>
      <c r="U199" s="242"/>
      <c r="V199" s="242"/>
      <c r="W199" s="242"/>
      <c r="X199" s="242"/>
      <c r="Y199" s="242"/>
      <c r="Z199" s="242"/>
    </row>
    <row r="200">
      <c r="A200" s="242"/>
      <c r="B200" s="524"/>
      <c r="C200" s="524"/>
      <c r="D200" s="242"/>
      <c r="E200" s="242"/>
      <c r="F200" s="242"/>
      <c r="G200" s="13"/>
      <c r="H200" s="525"/>
      <c r="I200" s="242"/>
      <c r="J200" s="242"/>
      <c r="K200" s="242"/>
      <c r="L200" s="13"/>
      <c r="M200" s="13"/>
      <c r="N200" s="242"/>
      <c r="O200" s="242"/>
      <c r="P200" s="242"/>
      <c r="Q200" s="242"/>
      <c r="R200" s="242"/>
      <c r="S200" s="242"/>
      <c r="T200" s="242"/>
      <c r="U200" s="242"/>
      <c r="V200" s="242"/>
      <c r="W200" s="242"/>
      <c r="X200" s="242"/>
      <c r="Y200" s="242"/>
      <c r="Z200" s="242"/>
    </row>
    <row r="201">
      <c r="A201" s="242"/>
      <c r="B201" s="524"/>
      <c r="C201" s="524"/>
      <c r="D201" s="242"/>
      <c r="E201" s="242"/>
      <c r="F201" s="242"/>
      <c r="G201" s="13"/>
      <c r="H201" s="525"/>
      <c r="I201" s="242"/>
      <c r="J201" s="242"/>
      <c r="K201" s="242"/>
      <c r="L201" s="13"/>
      <c r="M201" s="13"/>
      <c r="N201" s="242"/>
      <c r="O201" s="242"/>
      <c r="P201" s="242"/>
      <c r="Q201" s="242"/>
      <c r="R201" s="242"/>
      <c r="S201" s="242"/>
      <c r="T201" s="242"/>
      <c r="U201" s="242"/>
      <c r="V201" s="242"/>
      <c r="W201" s="242"/>
      <c r="X201" s="242"/>
      <c r="Y201" s="242"/>
      <c r="Z201" s="242"/>
    </row>
    <row r="202">
      <c r="A202" s="242"/>
      <c r="B202" s="524"/>
      <c r="C202" s="524"/>
      <c r="D202" s="242"/>
      <c r="E202" s="242"/>
      <c r="F202" s="242"/>
      <c r="G202" s="13"/>
      <c r="H202" s="525"/>
      <c r="I202" s="242"/>
      <c r="J202" s="242"/>
      <c r="K202" s="242"/>
      <c r="L202" s="13"/>
      <c r="M202" s="13"/>
      <c r="N202" s="242"/>
      <c r="O202" s="242"/>
      <c r="P202" s="242"/>
      <c r="Q202" s="242"/>
      <c r="R202" s="242"/>
      <c r="S202" s="242"/>
      <c r="T202" s="242"/>
      <c r="U202" s="242"/>
      <c r="V202" s="242"/>
      <c r="W202" s="242"/>
      <c r="X202" s="242"/>
      <c r="Y202" s="242"/>
      <c r="Z202" s="242"/>
    </row>
    <row r="203">
      <c r="A203" s="242"/>
      <c r="B203" s="524"/>
      <c r="C203" s="524"/>
      <c r="D203" s="242"/>
      <c r="E203" s="242"/>
      <c r="F203" s="242"/>
      <c r="G203" s="13"/>
      <c r="H203" s="525"/>
      <c r="I203" s="242"/>
      <c r="J203" s="242"/>
      <c r="K203" s="242"/>
      <c r="L203" s="13"/>
      <c r="M203" s="13"/>
      <c r="N203" s="242"/>
      <c r="O203" s="242"/>
      <c r="P203" s="242"/>
      <c r="Q203" s="242"/>
      <c r="R203" s="242"/>
      <c r="S203" s="242"/>
      <c r="T203" s="242"/>
      <c r="U203" s="242"/>
      <c r="V203" s="242"/>
      <c r="W203" s="242"/>
      <c r="X203" s="242"/>
      <c r="Y203" s="242"/>
      <c r="Z203" s="242"/>
    </row>
    <row r="204">
      <c r="A204" s="242"/>
      <c r="B204" s="524"/>
      <c r="C204" s="524"/>
      <c r="D204" s="242"/>
      <c r="E204" s="242"/>
      <c r="F204" s="242"/>
      <c r="G204" s="13"/>
      <c r="H204" s="525"/>
      <c r="I204" s="242"/>
      <c r="J204" s="242"/>
      <c r="K204" s="242"/>
      <c r="L204" s="13"/>
      <c r="M204" s="13"/>
      <c r="N204" s="242"/>
      <c r="O204" s="242"/>
      <c r="P204" s="242"/>
      <c r="Q204" s="242"/>
      <c r="R204" s="242"/>
      <c r="S204" s="242"/>
      <c r="T204" s="242"/>
      <c r="U204" s="242"/>
      <c r="V204" s="242"/>
      <c r="W204" s="242"/>
      <c r="X204" s="242"/>
      <c r="Y204" s="242"/>
      <c r="Z204" s="242"/>
    </row>
    <row r="205">
      <c r="A205" s="242"/>
      <c r="B205" s="524"/>
      <c r="C205" s="524"/>
      <c r="D205" s="242"/>
      <c r="E205" s="242"/>
      <c r="F205" s="242"/>
      <c r="G205" s="13"/>
      <c r="H205" s="525"/>
      <c r="I205" s="242"/>
      <c r="J205" s="242"/>
      <c r="K205" s="242"/>
      <c r="L205" s="13"/>
      <c r="M205" s="13"/>
      <c r="N205" s="242"/>
      <c r="O205" s="242"/>
      <c r="P205" s="242"/>
      <c r="Q205" s="242"/>
      <c r="R205" s="242"/>
      <c r="S205" s="242"/>
      <c r="T205" s="242"/>
      <c r="U205" s="242"/>
      <c r="V205" s="242"/>
      <c r="W205" s="242"/>
      <c r="X205" s="242"/>
      <c r="Y205" s="242"/>
      <c r="Z205" s="242"/>
    </row>
    <row r="206">
      <c r="A206" s="242"/>
      <c r="B206" s="524"/>
      <c r="C206" s="524"/>
      <c r="D206" s="242"/>
      <c r="E206" s="242"/>
      <c r="F206" s="242"/>
      <c r="G206" s="13"/>
      <c r="H206" s="525"/>
      <c r="I206" s="242"/>
      <c r="J206" s="242"/>
      <c r="K206" s="242"/>
      <c r="L206" s="13"/>
      <c r="M206" s="13"/>
      <c r="N206" s="242"/>
      <c r="O206" s="242"/>
      <c r="P206" s="242"/>
      <c r="Q206" s="242"/>
      <c r="R206" s="242"/>
      <c r="S206" s="242"/>
      <c r="T206" s="242"/>
      <c r="U206" s="242"/>
      <c r="V206" s="242"/>
      <c r="W206" s="242"/>
      <c r="X206" s="242"/>
      <c r="Y206" s="242"/>
      <c r="Z206" s="242"/>
    </row>
    <row r="207">
      <c r="A207" s="242"/>
      <c r="B207" s="524"/>
      <c r="C207" s="524"/>
      <c r="D207" s="242"/>
      <c r="E207" s="242"/>
      <c r="F207" s="242"/>
      <c r="G207" s="13"/>
      <c r="H207" s="525"/>
      <c r="I207" s="242"/>
      <c r="J207" s="242"/>
      <c r="K207" s="242"/>
      <c r="L207" s="13"/>
      <c r="M207" s="13"/>
      <c r="N207" s="242"/>
      <c r="O207" s="242"/>
      <c r="P207" s="242"/>
      <c r="Q207" s="242"/>
      <c r="R207" s="242"/>
      <c r="S207" s="242"/>
      <c r="T207" s="242"/>
      <c r="U207" s="242"/>
      <c r="V207" s="242"/>
      <c r="W207" s="242"/>
      <c r="X207" s="242"/>
      <c r="Y207" s="242"/>
      <c r="Z207" s="242"/>
    </row>
    <row r="208">
      <c r="A208" s="242"/>
      <c r="B208" s="524"/>
      <c r="C208" s="524"/>
      <c r="D208" s="242"/>
      <c r="E208" s="242"/>
      <c r="F208" s="242"/>
      <c r="G208" s="13"/>
      <c r="H208" s="525"/>
      <c r="I208" s="242"/>
      <c r="J208" s="242"/>
      <c r="K208" s="242"/>
      <c r="L208" s="13"/>
      <c r="M208" s="13"/>
      <c r="N208" s="242"/>
      <c r="O208" s="242"/>
      <c r="P208" s="242"/>
      <c r="Q208" s="242"/>
      <c r="R208" s="242"/>
      <c r="S208" s="242"/>
      <c r="T208" s="242"/>
      <c r="U208" s="242"/>
      <c r="V208" s="242"/>
      <c r="W208" s="242"/>
      <c r="X208" s="242"/>
      <c r="Y208" s="242"/>
      <c r="Z208" s="242"/>
    </row>
    <row r="209">
      <c r="A209" s="242"/>
      <c r="B209" s="524"/>
      <c r="C209" s="524"/>
      <c r="D209" s="242"/>
      <c r="E209" s="242"/>
      <c r="F209" s="242"/>
      <c r="G209" s="13"/>
      <c r="H209" s="525"/>
      <c r="I209" s="242"/>
      <c r="J209" s="242"/>
      <c r="K209" s="242"/>
      <c r="L209" s="13"/>
      <c r="M209" s="13"/>
      <c r="N209" s="242"/>
      <c r="O209" s="242"/>
      <c r="P209" s="242"/>
      <c r="Q209" s="242"/>
      <c r="R209" s="242"/>
      <c r="S209" s="242"/>
      <c r="T209" s="242"/>
      <c r="U209" s="242"/>
      <c r="V209" s="242"/>
      <c r="W209" s="242"/>
      <c r="X209" s="242"/>
      <c r="Y209" s="242"/>
      <c r="Z209" s="242"/>
    </row>
    <row r="210">
      <c r="A210" s="242"/>
      <c r="B210" s="524"/>
      <c r="C210" s="524"/>
      <c r="D210" s="242"/>
      <c r="E210" s="242"/>
      <c r="F210" s="242"/>
      <c r="G210" s="13"/>
      <c r="H210" s="525"/>
      <c r="I210" s="242"/>
      <c r="J210" s="242"/>
      <c r="K210" s="242"/>
      <c r="L210" s="13"/>
      <c r="M210" s="13"/>
      <c r="N210" s="242"/>
      <c r="O210" s="242"/>
      <c r="P210" s="242"/>
      <c r="Q210" s="242"/>
      <c r="R210" s="242"/>
      <c r="S210" s="242"/>
      <c r="T210" s="242"/>
      <c r="U210" s="242"/>
      <c r="V210" s="242"/>
      <c r="W210" s="242"/>
      <c r="X210" s="242"/>
      <c r="Y210" s="242"/>
      <c r="Z210" s="242"/>
    </row>
    <row r="211">
      <c r="A211" s="242"/>
      <c r="B211" s="524"/>
      <c r="C211" s="524"/>
      <c r="D211" s="242"/>
      <c r="E211" s="242"/>
      <c r="F211" s="242"/>
      <c r="G211" s="13"/>
      <c r="H211" s="525"/>
      <c r="I211" s="242"/>
      <c r="J211" s="242"/>
      <c r="K211" s="242"/>
      <c r="L211" s="13"/>
      <c r="M211" s="13"/>
      <c r="N211" s="242"/>
      <c r="O211" s="242"/>
      <c r="P211" s="242"/>
      <c r="Q211" s="242"/>
      <c r="R211" s="242"/>
      <c r="S211" s="242"/>
      <c r="T211" s="242"/>
      <c r="U211" s="242"/>
      <c r="V211" s="242"/>
      <c r="W211" s="242"/>
      <c r="X211" s="242"/>
      <c r="Y211" s="242"/>
      <c r="Z211" s="242"/>
    </row>
    <row r="212">
      <c r="A212" s="242"/>
      <c r="B212" s="524"/>
      <c r="C212" s="524"/>
      <c r="D212" s="242"/>
      <c r="E212" s="242"/>
      <c r="F212" s="242"/>
      <c r="G212" s="13"/>
      <c r="H212" s="525"/>
      <c r="I212" s="242"/>
      <c r="J212" s="242"/>
      <c r="K212" s="242"/>
      <c r="L212" s="13"/>
      <c r="M212" s="13"/>
      <c r="N212" s="242"/>
      <c r="O212" s="242"/>
      <c r="P212" s="242"/>
      <c r="Q212" s="242"/>
      <c r="R212" s="242"/>
      <c r="S212" s="242"/>
      <c r="T212" s="242"/>
      <c r="U212" s="242"/>
      <c r="V212" s="242"/>
      <c r="W212" s="242"/>
      <c r="X212" s="242"/>
      <c r="Y212" s="242"/>
      <c r="Z212" s="242"/>
    </row>
    <row r="213">
      <c r="A213" s="242"/>
      <c r="B213" s="524"/>
      <c r="C213" s="524"/>
      <c r="D213" s="242"/>
      <c r="E213" s="242"/>
      <c r="F213" s="242"/>
      <c r="G213" s="13"/>
      <c r="H213" s="525"/>
      <c r="I213" s="242"/>
      <c r="J213" s="242"/>
      <c r="K213" s="242"/>
      <c r="L213" s="13"/>
      <c r="M213" s="13"/>
      <c r="N213" s="242"/>
      <c r="O213" s="242"/>
      <c r="P213" s="242"/>
      <c r="Q213" s="242"/>
      <c r="R213" s="242"/>
      <c r="S213" s="242"/>
      <c r="T213" s="242"/>
      <c r="U213" s="242"/>
      <c r="V213" s="242"/>
      <c r="W213" s="242"/>
      <c r="X213" s="242"/>
      <c r="Y213" s="242"/>
      <c r="Z213" s="242"/>
    </row>
    <row r="214">
      <c r="A214" s="242"/>
      <c r="B214" s="524"/>
      <c r="C214" s="524"/>
      <c r="D214" s="242"/>
      <c r="E214" s="242"/>
      <c r="F214" s="242"/>
      <c r="G214" s="13"/>
      <c r="H214" s="525"/>
      <c r="I214" s="242"/>
      <c r="J214" s="242"/>
      <c r="K214" s="242"/>
      <c r="L214" s="13"/>
      <c r="M214" s="13"/>
      <c r="N214" s="242"/>
      <c r="O214" s="242"/>
      <c r="P214" s="242"/>
      <c r="Q214" s="242"/>
      <c r="R214" s="242"/>
      <c r="S214" s="242"/>
      <c r="T214" s="242"/>
      <c r="U214" s="242"/>
      <c r="V214" s="242"/>
      <c r="W214" s="242"/>
      <c r="X214" s="242"/>
      <c r="Y214" s="242"/>
      <c r="Z214" s="242"/>
    </row>
    <row r="215">
      <c r="A215" s="242"/>
      <c r="B215" s="524"/>
      <c r="C215" s="524"/>
      <c r="D215" s="242"/>
      <c r="E215" s="242"/>
      <c r="F215" s="242"/>
      <c r="G215" s="13"/>
      <c r="H215" s="525"/>
      <c r="I215" s="242"/>
      <c r="J215" s="242"/>
      <c r="K215" s="242"/>
      <c r="L215" s="13"/>
      <c r="M215" s="13"/>
      <c r="N215" s="242"/>
      <c r="O215" s="242"/>
      <c r="P215" s="242"/>
      <c r="Q215" s="242"/>
      <c r="R215" s="242"/>
      <c r="S215" s="242"/>
      <c r="T215" s="242"/>
      <c r="U215" s="242"/>
      <c r="V215" s="242"/>
      <c r="W215" s="242"/>
      <c r="X215" s="242"/>
      <c r="Y215" s="242"/>
      <c r="Z215" s="242"/>
    </row>
    <row r="216">
      <c r="A216" s="242"/>
      <c r="B216" s="524"/>
      <c r="C216" s="524"/>
      <c r="D216" s="242"/>
      <c r="E216" s="242"/>
      <c r="F216" s="242"/>
      <c r="G216" s="13"/>
      <c r="H216" s="525"/>
      <c r="I216" s="242"/>
      <c r="J216" s="242"/>
      <c r="K216" s="242"/>
      <c r="L216" s="13"/>
      <c r="M216" s="13"/>
      <c r="N216" s="242"/>
      <c r="O216" s="242"/>
      <c r="P216" s="242"/>
      <c r="Q216" s="242"/>
      <c r="R216" s="242"/>
      <c r="S216" s="242"/>
      <c r="T216" s="242"/>
      <c r="U216" s="242"/>
      <c r="V216" s="242"/>
      <c r="W216" s="242"/>
      <c r="X216" s="242"/>
      <c r="Y216" s="242"/>
      <c r="Z216" s="242"/>
    </row>
    <row r="217">
      <c r="A217" s="242"/>
      <c r="B217" s="524"/>
      <c r="C217" s="524"/>
      <c r="D217" s="242"/>
      <c r="E217" s="242"/>
      <c r="F217" s="242"/>
      <c r="G217" s="13"/>
      <c r="H217" s="525"/>
      <c r="I217" s="242"/>
      <c r="J217" s="242"/>
      <c r="K217" s="242"/>
      <c r="L217" s="13"/>
      <c r="M217" s="13"/>
      <c r="N217" s="242"/>
      <c r="O217" s="242"/>
      <c r="P217" s="242"/>
      <c r="Q217" s="242"/>
      <c r="R217" s="242"/>
      <c r="S217" s="242"/>
      <c r="T217" s="242"/>
      <c r="U217" s="242"/>
      <c r="V217" s="242"/>
      <c r="W217" s="242"/>
      <c r="X217" s="242"/>
      <c r="Y217" s="242"/>
      <c r="Z217" s="242"/>
    </row>
    <row r="218">
      <c r="A218" s="242"/>
      <c r="B218" s="524"/>
      <c r="C218" s="524"/>
      <c r="D218" s="242"/>
      <c r="E218" s="242"/>
      <c r="F218" s="242"/>
      <c r="G218" s="13"/>
      <c r="H218" s="525"/>
      <c r="I218" s="242"/>
      <c r="J218" s="242"/>
      <c r="K218" s="242"/>
      <c r="L218" s="13"/>
      <c r="M218" s="13"/>
      <c r="N218" s="242"/>
      <c r="O218" s="242"/>
      <c r="P218" s="242"/>
      <c r="Q218" s="242"/>
      <c r="R218" s="242"/>
      <c r="S218" s="242"/>
      <c r="T218" s="242"/>
      <c r="U218" s="242"/>
      <c r="V218" s="242"/>
      <c r="W218" s="242"/>
      <c r="X218" s="242"/>
      <c r="Y218" s="242"/>
      <c r="Z218" s="242"/>
    </row>
    <row r="219">
      <c r="A219" s="242"/>
      <c r="B219" s="524"/>
      <c r="C219" s="524"/>
      <c r="D219" s="242"/>
      <c r="E219" s="242"/>
      <c r="F219" s="242"/>
      <c r="G219" s="13"/>
      <c r="H219" s="525"/>
      <c r="I219" s="242"/>
      <c r="J219" s="242"/>
      <c r="K219" s="242"/>
      <c r="L219" s="13"/>
      <c r="M219" s="13"/>
      <c r="N219" s="242"/>
      <c r="O219" s="242"/>
      <c r="P219" s="242"/>
      <c r="Q219" s="242"/>
      <c r="R219" s="242"/>
      <c r="S219" s="242"/>
      <c r="T219" s="242"/>
      <c r="U219" s="242"/>
      <c r="V219" s="242"/>
      <c r="W219" s="242"/>
      <c r="X219" s="242"/>
      <c r="Y219" s="242"/>
      <c r="Z219" s="242"/>
    </row>
    <row r="220">
      <c r="A220" s="242"/>
      <c r="B220" s="524"/>
      <c r="C220" s="524"/>
      <c r="D220" s="242"/>
      <c r="E220" s="242"/>
      <c r="F220" s="242"/>
      <c r="G220" s="13"/>
      <c r="H220" s="525"/>
      <c r="I220" s="242"/>
      <c r="J220" s="242"/>
      <c r="K220" s="242"/>
      <c r="L220" s="13"/>
      <c r="M220" s="13"/>
      <c r="N220" s="242"/>
      <c r="O220" s="242"/>
      <c r="P220" s="242"/>
      <c r="Q220" s="242"/>
      <c r="R220" s="242"/>
      <c r="S220" s="242"/>
      <c r="T220" s="242"/>
      <c r="U220" s="242"/>
      <c r="V220" s="242"/>
      <c r="W220" s="242"/>
      <c r="X220" s="242"/>
      <c r="Y220" s="242"/>
      <c r="Z220" s="242"/>
    </row>
    <row r="221">
      <c r="A221" s="242"/>
      <c r="B221" s="524"/>
      <c r="C221" s="524"/>
      <c r="D221" s="242"/>
      <c r="E221" s="242"/>
      <c r="F221" s="242"/>
      <c r="G221" s="13"/>
      <c r="H221" s="525"/>
      <c r="I221" s="242"/>
      <c r="J221" s="242"/>
      <c r="K221" s="242"/>
      <c r="L221" s="13"/>
      <c r="M221" s="13"/>
      <c r="N221" s="242"/>
      <c r="O221" s="242"/>
      <c r="P221" s="242"/>
      <c r="Q221" s="242"/>
      <c r="R221" s="242"/>
      <c r="S221" s="242"/>
      <c r="T221" s="242"/>
      <c r="U221" s="242"/>
      <c r="V221" s="242"/>
      <c r="W221" s="242"/>
      <c r="X221" s="242"/>
      <c r="Y221" s="242"/>
      <c r="Z221" s="242"/>
    </row>
    <row r="222">
      <c r="A222" s="242"/>
      <c r="B222" s="524"/>
      <c r="C222" s="524"/>
      <c r="D222" s="242"/>
      <c r="E222" s="242"/>
      <c r="F222" s="242"/>
      <c r="G222" s="13"/>
      <c r="H222" s="525"/>
      <c r="I222" s="242"/>
      <c r="J222" s="242"/>
      <c r="K222" s="242"/>
      <c r="L222" s="13"/>
      <c r="M222" s="13"/>
      <c r="N222" s="242"/>
      <c r="O222" s="242"/>
      <c r="P222" s="242"/>
      <c r="Q222" s="242"/>
      <c r="R222" s="242"/>
      <c r="S222" s="242"/>
      <c r="T222" s="242"/>
      <c r="U222" s="242"/>
      <c r="V222" s="242"/>
      <c r="W222" s="242"/>
      <c r="X222" s="242"/>
      <c r="Y222" s="242"/>
      <c r="Z222" s="242"/>
    </row>
    <row r="223">
      <c r="A223" s="242"/>
      <c r="B223" s="524"/>
      <c r="C223" s="524"/>
      <c r="D223" s="242"/>
      <c r="E223" s="242"/>
      <c r="F223" s="242"/>
      <c r="G223" s="13"/>
      <c r="H223" s="525"/>
      <c r="I223" s="242"/>
      <c r="J223" s="242"/>
      <c r="K223" s="242"/>
      <c r="L223" s="13"/>
      <c r="M223" s="13"/>
      <c r="N223" s="242"/>
      <c r="O223" s="242"/>
      <c r="P223" s="242"/>
      <c r="Q223" s="242"/>
      <c r="R223" s="242"/>
      <c r="S223" s="242"/>
      <c r="T223" s="242"/>
      <c r="U223" s="242"/>
      <c r="V223" s="242"/>
      <c r="W223" s="242"/>
      <c r="X223" s="242"/>
      <c r="Y223" s="242"/>
      <c r="Z223" s="242"/>
    </row>
    <row r="224">
      <c r="A224" s="242"/>
      <c r="B224" s="524"/>
      <c r="C224" s="524"/>
      <c r="D224" s="242"/>
      <c r="E224" s="242"/>
      <c r="F224" s="242"/>
      <c r="G224" s="13"/>
      <c r="H224" s="525"/>
      <c r="I224" s="242"/>
      <c r="J224" s="242"/>
      <c r="K224" s="242"/>
      <c r="L224" s="13"/>
      <c r="M224" s="13"/>
      <c r="N224" s="242"/>
      <c r="O224" s="242"/>
      <c r="P224" s="242"/>
      <c r="Q224" s="242"/>
      <c r="R224" s="242"/>
      <c r="S224" s="242"/>
      <c r="T224" s="242"/>
      <c r="U224" s="242"/>
      <c r="V224" s="242"/>
      <c r="W224" s="242"/>
      <c r="X224" s="242"/>
      <c r="Y224" s="242"/>
      <c r="Z224" s="242"/>
    </row>
    <row r="225">
      <c r="A225" s="242"/>
      <c r="B225" s="524"/>
      <c r="C225" s="524"/>
      <c r="D225" s="242"/>
      <c r="E225" s="242"/>
      <c r="F225" s="242"/>
      <c r="G225" s="13"/>
      <c r="H225" s="525"/>
      <c r="I225" s="242"/>
      <c r="J225" s="242"/>
      <c r="K225" s="242"/>
      <c r="L225" s="13"/>
      <c r="M225" s="13"/>
      <c r="N225" s="242"/>
      <c r="O225" s="242"/>
      <c r="P225" s="242"/>
      <c r="Q225" s="242"/>
      <c r="R225" s="242"/>
      <c r="S225" s="242"/>
      <c r="T225" s="242"/>
      <c r="U225" s="242"/>
      <c r="V225" s="242"/>
      <c r="W225" s="242"/>
      <c r="X225" s="242"/>
      <c r="Y225" s="242"/>
      <c r="Z225" s="242"/>
    </row>
    <row r="226">
      <c r="A226" s="242"/>
      <c r="B226" s="524"/>
      <c r="C226" s="524"/>
      <c r="D226" s="242"/>
      <c r="E226" s="242"/>
      <c r="F226" s="242"/>
      <c r="G226" s="13"/>
      <c r="H226" s="525"/>
      <c r="I226" s="242"/>
      <c r="J226" s="242"/>
      <c r="K226" s="242"/>
      <c r="L226" s="13"/>
      <c r="M226" s="13"/>
      <c r="N226" s="242"/>
      <c r="O226" s="242"/>
      <c r="P226" s="242"/>
      <c r="Q226" s="242"/>
      <c r="R226" s="242"/>
      <c r="S226" s="242"/>
      <c r="T226" s="242"/>
      <c r="U226" s="242"/>
      <c r="V226" s="242"/>
      <c r="W226" s="242"/>
      <c r="X226" s="242"/>
      <c r="Y226" s="242"/>
      <c r="Z226" s="242"/>
    </row>
    <row r="227">
      <c r="A227" s="242"/>
      <c r="B227" s="524"/>
      <c r="C227" s="524"/>
      <c r="D227" s="242"/>
      <c r="E227" s="242"/>
      <c r="F227" s="242"/>
      <c r="G227" s="13"/>
      <c r="H227" s="525"/>
      <c r="I227" s="242"/>
      <c r="J227" s="242"/>
      <c r="K227" s="242"/>
      <c r="L227" s="13"/>
      <c r="M227" s="13"/>
      <c r="N227" s="242"/>
      <c r="O227" s="242"/>
      <c r="P227" s="242"/>
      <c r="Q227" s="242"/>
      <c r="R227" s="242"/>
      <c r="S227" s="242"/>
      <c r="T227" s="242"/>
      <c r="U227" s="242"/>
      <c r="V227" s="242"/>
      <c r="W227" s="242"/>
      <c r="X227" s="242"/>
      <c r="Y227" s="242"/>
      <c r="Z227" s="242"/>
    </row>
    <row r="228">
      <c r="A228" s="242"/>
      <c r="B228" s="524"/>
      <c r="C228" s="524"/>
      <c r="D228" s="242"/>
      <c r="E228" s="242"/>
      <c r="F228" s="242"/>
      <c r="G228" s="13"/>
      <c r="H228" s="525"/>
      <c r="I228" s="242"/>
      <c r="J228" s="242"/>
      <c r="K228" s="242"/>
      <c r="L228" s="13"/>
      <c r="M228" s="13"/>
      <c r="N228" s="242"/>
      <c r="O228" s="242"/>
      <c r="P228" s="242"/>
      <c r="Q228" s="242"/>
      <c r="R228" s="242"/>
      <c r="S228" s="242"/>
      <c r="T228" s="242"/>
      <c r="U228" s="242"/>
      <c r="V228" s="242"/>
      <c r="W228" s="242"/>
      <c r="X228" s="242"/>
      <c r="Y228" s="242"/>
      <c r="Z228" s="242"/>
    </row>
    <row r="229">
      <c r="A229" s="242"/>
      <c r="B229" s="524"/>
      <c r="C229" s="524"/>
      <c r="D229" s="242"/>
      <c r="E229" s="242"/>
      <c r="F229" s="242"/>
      <c r="G229" s="13"/>
      <c r="H229" s="525"/>
      <c r="I229" s="242"/>
      <c r="J229" s="242"/>
      <c r="K229" s="242"/>
      <c r="L229" s="13"/>
      <c r="M229" s="13"/>
      <c r="N229" s="242"/>
      <c r="O229" s="242"/>
      <c r="P229" s="242"/>
      <c r="Q229" s="242"/>
      <c r="R229" s="242"/>
      <c r="S229" s="242"/>
      <c r="T229" s="242"/>
      <c r="U229" s="242"/>
      <c r="V229" s="242"/>
      <c r="W229" s="242"/>
      <c r="X229" s="242"/>
      <c r="Y229" s="242"/>
      <c r="Z229" s="242"/>
    </row>
    <row r="230">
      <c r="A230" s="242"/>
      <c r="B230" s="524"/>
      <c r="C230" s="524"/>
      <c r="D230" s="242"/>
      <c r="E230" s="242"/>
      <c r="F230" s="242"/>
      <c r="G230" s="13"/>
      <c r="H230" s="525"/>
      <c r="I230" s="242"/>
      <c r="J230" s="242"/>
      <c r="K230" s="242"/>
      <c r="L230" s="13"/>
      <c r="M230" s="13"/>
      <c r="N230" s="242"/>
      <c r="O230" s="242"/>
      <c r="P230" s="242"/>
      <c r="Q230" s="242"/>
      <c r="R230" s="242"/>
      <c r="S230" s="242"/>
      <c r="T230" s="242"/>
      <c r="U230" s="242"/>
      <c r="V230" s="242"/>
      <c r="W230" s="242"/>
      <c r="X230" s="242"/>
      <c r="Y230" s="242"/>
      <c r="Z230" s="242"/>
    </row>
    <row r="231">
      <c r="A231" s="242"/>
      <c r="B231" s="524"/>
      <c r="C231" s="524"/>
      <c r="D231" s="242"/>
      <c r="E231" s="242"/>
      <c r="F231" s="242"/>
      <c r="G231" s="13"/>
      <c r="H231" s="525"/>
      <c r="I231" s="242"/>
      <c r="J231" s="242"/>
      <c r="K231" s="242"/>
      <c r="L231" s="13"/>
      <c r="M231" s="13"/>
      <c r="N231" s="242"/>
      <c r="O231" s="242"/>
      <c r="P231" s="242"/>
      <c r="Q231" s="242"/>
      <c r="R231" s="242"/>
      <c r="S231" s="242"/>
      <c r="T231" s="242"/>
      <c r="U231" s="242"/>
      <c r="V231" s="242"/>
      <c r="W231" s="242"/>
      <c r="X231" s="242"/>
      <c r="Y231" s="242"/>
      <c r="Z231" s="242"/>
    </row>
    <row r="232">
      <c r="A232" s="242"/>
      <c r="B232" s="524"/>
      <c r="C232" s="524"/>
      <c r="D232" s="242"/>
      <c r="E232" s="242"/>
      <c r="F232" s="242"/>
      <c r="G232" s="13"/>
      <c r="H232" s="525"/>
      <c r="I232" s="242"/>
      <c r="J232" s="242"/>
      <c r="K232" s="242"/>
      <c r="L232" s="13"/>
      <c r="M232" s="13"/>
      <c r="N232" s="242"/>
      <c r="O232" s="242"/>
      <c r="P232" s="242"/>
      <c r="Q232" s="242"/>
      <c r="R232" s="242"/>
      <c r="S232" s="242"/>
      <c r="T232" s="242"/>
      <c r="U232" s="242"/>
      <c r="V232" s="242"/>
      <c r="W232" s="242"/>
      <c r="X232" s="242"/>
      <c r="Y232" s="242"/>
      <c r="Z232" s="242"/>
    </row>
    <row r="233">
      <c r="A233" s="242"/>
      <c r="B233" s="524"/>
      <c r="C233" s="524"/>
      <c r="D233" s="242"/>
      <c r="E233" s="242"/>
      <c r="F233" s="242"/>
      <c r="G233" s="13"/>
      <c r="H233" s="525"/>
      <c r="I233" s="242"/>
      <c r="J233" s="242"/>
      <c r="K233" s="242"/>
      <c r="L233" s="13"/>
      <c r="M233" s="13"/>
      <c r="N233" s="242"/>
      <c r="O233" s="242"/>
      <c r="P233" s="242"/>
      <c r="Q233" s="242"/>
      <c r="R233" s="242"/>
      <c r="S233" s="242"/>
      <c r="T233" s="242"/>
      <c r="U233" s="242"/>
      <c r="V233" s="242"/>
      <c r="W233" s="242"/>
      <c r="X233" s="242"/>
      <c r="Y233" s="242"/>
      <c r="Z233" s="242"/>
    </row>
    <row r="234">
      <c r="A234" s="242"/>
      <c r="B234" s="524"/>
      <c r="C234" s="524"/>
      <c r="D234" s="242"/>
      <c r="E234" s="242"/>
      <c r="F234" s="242"/>
      <c r="G234" s="13"/>
      <c r="H234" s="525"/>
      <c r="I234" s="242"/>
      <c r="J234" s="242"/>
      <c r="K234" s="242"/>
      <c r="L234" s="13"/>
      <c r="M234" s="13"/>
      <c r="N234" s="242"/>
      <c r="O234" s="242"/>
      <c r="P234" s="242"/>
      <c r="Q234" s="242"/>
      <c r="R234" s="242"/>
      <c r="S234" s="242"/>
      <c r="T234" s="242"/>
      <c r="U234" s="242"/>
      <c r="V234" s="242"/>
      <c r="W234" s="242"/>
      <c r="X234" s="242"/>
      <c r="Y234" s="242"/>
      <c r="Z234" s="242"/>
    </row>
    <row r="235">
      <c r="A235" s="242"/>
      <c r="B235" s="524"/>
      <c r="C235" s="524"/>
      <c r="D235" s="242"/>
      <c r="E235" s="242"/>
      <c r="F235" s="242"/>
      <c r="G235" s="13"/>
      <c r="H235" s="525"/>
      <c r="I235" s="242"/>
      <c r="J235" s="242"/>
      <c r="K235" s="242"/>
      <c r="L235" s="13"/>
      <c r="M235" s="13"/>
      <c r="N235" s="242"/>
      <c r="O235" s="242"/>
      <c r="P235" s="242"/>
      <c r="Q235" s="242"/>
      <c r="R235" s="242"/>
      <c r="S235" s="242"/>
      <c r="T235" s="242"/>
      <c r="U235" s="242"/>
      <c r="V235" s="242"/>
      <c r="W235" s="242"/>
      <c r="X235" s="242"/>
      <c r="Y235" s="242"/>
      <c r="Z235" s="242"/>
    </row>
    <row r="236">
      <c r="A236" s="242"/>
      <c r="B236" s="524"/>
      <c r="C236" s="524"/>
      <c r="D236" s="242"/>
      <c r="E236" s="242"/>
      <c r="F236" s="242"/>
      <c r="G236" s="13"/>
      <c r="H236" s="525"/>
      <c r="I236" s="242"/>
      <c r="J236" s="242"/>
      <c r="K236" s="242"/>
      <c r="L236" s="13"/>
      <c r="M236" s="13"/>
      <c r="N236" s="242"/>
      <c r="O236" s="242"/>
      <c r="P236" s="242"/>
      <c r="Q236" s="242"/>
      <c r="R236" s="242"/>
      <c r="S236" s="242"/>
      <c r="T236" s="242"/>
      <c r="U236" s="242"/>
      <c r="V236" s="242"/>
      <c r="W236" s="242"/>
      <c r="X236" s="242"/>
      <c r="Y236" s="242"/>
      <c r="Z236" s="242"/>
    </row>
    <row r="237">
      <c r="A237" s="242"/>
      <c r="B237" s="524"/>
      <c r="C237" s="524"/>
      <c r="D237" s="242"/>
      <c r="E237" s="242"/>
      <c r="F237" s="242"/>
      <c r="G237" s="13"/>
      <c r="H237" s="525"/>
      <c r="I237" s="242"/>
      <c r="J237" s="242"/>
      <c r="K237" s="242"/>
      <c r="L237" s="13"/>
      <c r="M237" s="13"/>
      <c r="N237" s="242"/>
      <c r="O237" s="242"/>
      <c r="P237" s="242"/>
      <c r="Q237" s="242"/>
      <c r="R237" s="242"/>
      <c r="S237" s="242"/>
      <c r="T237" s="242"/>
      <c r="U237" s="242"/>
      <c r="V237" s="242"/>
      <c r="W237" s="242"/>
      <c r="X237" s="242"/>
      <c r="Y237" s="242"/>
      <c r="Z237" s="242"/>
    </row>
    <row r="238">
      <c r="A238" s="242"/>
      <c r="B238" s="524"/>
      <c r="C238" s="524"/>
      <c r="D238" s="242"/>
      <c r="E238" s="242"/>
      <c r="F238" s="242"/>
      <c r="G238" s="13"/>
      <c r="H238" s="525"/>
      <c r="I238" s="242"/>
      <c r="J238" s="242"/>
      <c r="K238" s="242"/>
      <c r="L238" s="13"/>
      <c r="M238" s="13"/>
      <c r="N238" s="242"/>
      <c r="O238" s="242"/>
      <c r="P238" s="242"/>
      <c r="Q238" s="242"/>
      <c r="R238" s="242"/>
      <c r="S238" s="242"/>
      <c r="T238" s="242"/>
      <c r="U238" s="242"/>
      <c r="V238" s="242"/>
      <c r="W238" s="242"/>
      <c r="X238" s="242"/>
      <c r="Y238" s="242"/>
      <c r="Z238" s="242"/>
    </row>
    <row r="239">
      <c r="A239" s="242"/>
      <c r="B239" s="524"/>
      <c r="C239" s="524"/>
      <c r="D239" s="242"/>
      <c r="E239" s="242"/>
      <c r="F239" s="242"/>
      <c r="G239" s="13"/>
      <c r="H239" s="525"/>
      <c r="I239" s="242"/>
      <c r="J239" s="242"/>
      <c r="K239" s="242"/>
      <c r="L239" s="13"/>
      <c r="M239" s="13"/>
      <c r="N239" s="242"/>
      <c r="O239" s="242"/>
      <c r="P239" s="242"/>
      <c r="Q239" s="242"/>
      <c r="R239" s="242"/>
      <c r="S239" s="242"/>
      <c r="T239" s="242"/>
      <c r="U239" s="242"/>
      <c r="V239" s="242"/>
      <c r="W239" s="242"/>
      <c r="X239" s="242"/>
      <c r="Y239" s="242"/>
      <c r="Z239" s="242"/>
    </row>
    <row r="240">
      <c r="A240" s="242"/>
      <c r="B240" s="524"/>
      <c r="C240" s="524"/>
      <c r="D240" s="242"/>
      <c r="E240" s="242"/>
      <c r="F240" s="242"/>
      <c r="G240" s="13"/>
      <c r="H240" s="525"/>
      <c r="I240" s="242"/>
      <c r="J240" s="242"/>
      <c r="K240" s="242"/>
      <c r="L240" s="13"/>
      <c r="M240" s="13"/>
      <c r="N240" s="242"/>
      <c r="O240" s="242"/>
      <c r="P240" s="242"/>
      <c r="Q240" s="242"/>
      <c r="R240" s="242"/>
      <c r="S240" s="242"/>
      <c r="T240" s="242"/>
      <c r="U240" s="242"/>
      <c r="V240" s="242"/>
      <c r="W240" s="242"/>
      <c r="X240" s="242"/>
      <c r="Y240" s="242"/>
      <c r="Z240" s="242"/>
    </row>
    <row r="241">
      <c r="A241" s="242"/>
      <c r="B241" s="524"/>
      <c r="C241" s="524"/>
      <c r="D241" s="242"/>
      <c r="E241" s="242"/>
      <c r="F241" s="242"/>
      <c r="G241" s="13"/>
      <c r="H241" s="525"/>
      <c r="I241" s="242"/>
      <c r="J241" s="242"/>
      <c r="K241" s="242"/>
      <c r="L241" s="13"/>
      <c r="M241" s="13"/>
      <c r="N241" s="242"/>
      <c r="O241" s="242"/>
      <c r="P241" s="242"/>
      <c r="Q241" s="242"/>
      <c r="R241" s="242"/>
      <c r="S241" s="242"/>
      <c r="T241" s="242"/>
      <c r="U241" s="242"/>
      <c r="V241" s="242"/>
      <c r="W241" s="242"/>
      <c r="X241" s="242"/>
      <c r="Y241" s="242"/>
      <c r="Z241" s="242"/>
    </row>
    <row r="242">
      <c r="A242" s="242"/>
      <c r="B242" s="524"/>
      <c r="C242" s="524"/>
      <c r="D242" s="242"/>
      <c r="E242" s="242"/>
      <c r="F242" s="242"/>
      <c r="G242" s="13"/>
      <c r="H242" s="525"/>
      <c r="I242" s="242"/>
      <c r="J242" s="242"/>
      <c r="K242" s="242"/>
      <c r="L242" s="13"/>
      <c r="M242" s="13"/>
      <c r="N242" s="242"/>
      <c r="O242" s="242"/>
      <c r="P242" s="242"/>
      <c r="Q242" s="242"/>
      <c r="R242" s="242"/>
      <c r="S242" s="242"/>
      <c r="T242" s="242"/>
      <c r="U242" s="242"/>
      <c r="V242" s="242"/>
      <c r="W242" s="242"/>
      <c r="X242" s="242"/>
      <c r="Y242" s="242"/>
      <c r="Z242" s="242"/>
    </row>
    <row r="243">
      <c r="A243" s="242"/>
      <c r="B243" s="524"/>
      <c r="C243" s="524"/>
      <c r="D243" s="242"/>
      <c r="E243" s="242"/>
      <c r="F243" s="242"/>
      <c r="G243" s="13"/>
      <c r="H243" s="525"/>
      <c r="I243" s="242"/>
      <c r="J243" s="242"/>
      <c r="K243" s="242"/>
      <c r="L243" s="13"/>
      <c r="M243" s="13"/>
      <c r="N243" s="242"/>
      <c r="O243" s="242"/>
      <c r="P243" s="242"/>
      <c r="Q243" s="242"/>
      <c r="R243" s="242"/>
      <c r="S243" s="242"/>
      <c r="T243" s="242"/>
      <c r="U243" s="242"/>
      <c r="V243" s="242"/>
      <c r="W243" s="242"/>
      <c r="X243" s="242"/>
      <c r="Y243" s="242"/>
      <c r="Z243" s="242"/>
    </row>
    <row r="244">
      <c r="A244" s="242"/>
      <c r="B244" s="524"/>
      <c r="C244" s="524"/>
      <c r="D244" s="242"/>
      <c r="E244" s="242"/>
      <c r="F244" s="242"/>
      <c r="G244" s="13"/>
      <c r="H244" s="525"/>
      <c r="I244" s="242"/>
      <c r="J244" s="242"/>
      <c r="K244" s="242"/>
      <c r="L244" s="13"/>
      <c r="M244" s="13"/>
      <c r="N244" s="242"/>
      <c r="O244" s="242"/>
      <c r="P244" s="242"/>
      <c r="Q244" s="242"/>
      <c r="R244" s="242"/>
      <c r="S244" s="242"/>
      <c r="T244" s="242"/>
      <c r="U244" s="242"/>
      <c r="V244" s="242"/>
      <c r="W244" s="242"/>
      <c r="X244" s="242"/>
      <c r="Y244" s="242"/>
      <c r="Z244" s="242"/>
    </row>
    <row r="245">
      <c r="A245" s="242"/>
      <c r="B245" s="524"/>
      <c r="C245" s="524"/>
      <c r="D245" s="242"/>
      <c r="E245" s="242"/>
      <c r="F245" s="242"/>
      <c r="G245" s="13"/>
      <c r="H245" s="525"/>
      <c r="I245" s="242"/>
      <c r="J245" s="242"/>
      <c r="K245" s="242"/>
      <c r="L245" s="13"/>
      <c r="M245" s="13"/>
      <c r="N245" s="242"/>
      <c r="O245" s="242"/>
      <c r="P245" s="242"/>
      <c r="Q245" s="242"/>
      <c r="R245" s="242"/>
      <c r="S245" s="242"/>
      <c r="T245" s="242"/>
      <c r="U245" s="242"/>
      <c r="V245" s="242"/>
      <c r="W245" s="242"/>
      <c r="X245" s="242"/>
      <c r="Y245" s="242"/>
      <c r="Z245" s="242"/>
    </row>
    <row r="246">
      <c r="A246" s="242"/>
      <c r="B246" s="524"/>
      <c r="C246" s="524"/>
      <c r="D246" s="242"/>
      <c r="E246" s="242"/>
      <c r="F246" s="242"/>
      <c r="G246" s="13"/>
      <c r="H246" s="525"/>
      <c r="I246" s="242"/>
      <c r="J246" s="242"/>
      <c r="K246" s="242"/>
      <c r="L246" s="13"/>
      <c r="M246" s="13"/>
      <c r="N246" s="242"/>
      <c r="O246" s="242"/>
      <c r="P246" s="242"/>
      <c r="Q246" s="242"/>
      <c r="R246" s="242"/>
      <c r="S246" s="242"/>
      <c r="T246" s="242"/>
      <c r="U246" s="242"/>
      <c r="V246" s="242"/>
      <c r="W246" s="242"/>
      <c r="X246" s="242"/>
      <c r="Y246" s="242"/>
      <c r="Z246" s="242"/>
    </row>
    <row r="247">
      <c r="A247" s="242"/>
      <c r="B247" s="524"/>
      <c r="C247" s="524"/>
      <c r="D247" s="242"/>
      <c r="E247" s="242"/>
      <c r="F247" s="242"/>
      <c r="G247" s="13"/>
      <c r="H247" s="525"/>
      <c r="I247" s="242"/>
      <c r="J247" s="242"/>
      <c r="K247" s="242"/>
      <c r="L247" s="13"/>
      <c r="M247" s="13"/>
      <c r="N247" s="242"/>
      <c r="O247" s="242"/>
      <c r="P247" s="242"/>
      <c r="Q247" s="242"/>
      <c r="R247" s="242"/>
      <c r="S247" s="242"/>
      <c r="T247" s="242"/>
      <c r="U247" s="242"/>
      <c r="V247" s="242"/>
      <c r="W247" s="242"/>
      <c r="X247" s="242"/>
      <c r="Y247" s="242"/>
      <c r="Z247" s="242"/>
    </row>
    <row r="248">
      <c r="A248" s="242"/>
      <c r="B248" s="524"/>
      <c r="C248" s="524"/>
      <c r="D248" s="242"/>
      <c r="E248" s="242"/>
      <c r="F248" s="242"/>
      <c r="G248" s="13"/>
      <c r="H248" s="525"/>
      <c r="I248" s="242"/>
      <c r="J248" s="242"/>
      <c r="K248" s="242"/>
      <c r="L248" s="13"/>
      <c r="M248" s="13"/>
      <c r="N248" s="242"/>
      <c r="O248" s="242"/>
      <c r="P248" s="242"/>
      <c r="Q248" s="242"/>
      <c r="R248" s="242"/>
      <c r="S248" s="242"/>
      <c r="T248" s="242"/>
      <c r="U248" s="242"/>
      <c r="V248" s="242"/>
      <c r="W248" s="242"/>
      <c r="X248" s="242"/>
      <c r="Y248" s="242"/>
      <c r="Z248" s="242"/>
    </row>
    <row r="249">
      <c r="A249" s="242"/>
      <c r="B249" s="524"/>
      <c r="C249" s="524"/>
      <c r="D249" s="242"/>
      <c r="E249" s="242"/>
      <c r="F249" s="242"/>
      <c r="G249" s="13"/>
      <c r="H249" s="525"/>
      <c r="I249" s="242"/>
      <c r="J249" s="242"/>
      <c r="K249" s="242"/>
      <c r="L249" s="13"/>
      <c r="M249" s="13"/>
      <c r="N249" s="242"/>
      <c r="O249" s="242"/>
      <c r="P249" s="242"/>
      <c r="Q249" s="242"/>
      <c r="R249" s="242"/>
      <c r="S249" s="242"/>
      <c r="T249" s="242"/>
      <c r="U249" s="242"/>
      <c r="V249" s="242"/>
      <c r="W249" s="242"/>
      <c r="X249" s="242"/>
      <c r="Y249" s="242"/>
      <c r="Z249" s="242"/>
    </row>
    <row r="250">
      <c r="A250" s="242"/>
      <c r="B250" s="524"/>
      <c r="C250" s="524"/>
      <c r="D250" s="242"/>
      <c r="E250" s="242"/>
      <c r="F250" s="242"/>
      <c r="G250" s="13"/>
      <c r="H250" s="525"/>
      <c r="I250" s="242"/>
      <c r="J250" s="242"/>
      <c r="K250" s="242"/>
      <c r="L250" s="13"/>
      <c r="M250" s="13"/>
      <c r="N250" s="242"/>
      <c r="O250" s="242"/>
      <c r="P250" s="242"/>
      <c r="Q250" s="242"/>
      <c r="R250" s="242"/>
      <c r="S250" s="242"/>
      <c r="T250" s="242"/>
      <c r="U250" s="242"/>
      <c r="V250" s="242"/>
      <c r="W250" s="242"/>
      <c r="X250" s="242"/>
      <c r="Y250" s="242"/>
      <c r="Z250" s="242"/>
    </row>
    <row r="251">
      <c r="A251" s="242"/>
      <c r="B251" s="524"/>
      <c r="C251" s="524"/>
      <c r="D251" s="242"/>
      <c r="E251" s="242"/>
      <c r="F251" s="242"/>
      <c r="G251" s="13"/>
      <c r="H251" s="525"/>
      <c r="I251" s="242"/>
      <c r="J251" s="242"/>
      <c r="K251" s="242"/>
      <c r="L251" s="13"/>
      <c r="M251" s="13"/>
      <c r="N251" s="242"/>
      <c r="O251" s="242"/>
      <c r="P251" s="242"/>
      <c r="Q251" s="242"/>
      <c r="R251" s="242"/>
      <c r="S251" s="242"/>
      <c r="T251" s="242"/>
      <c r="U251" s="242"/>
      <c r="V251" s="242"/>
      <c r="W251" s="242"/>
      <c r="X251" s="242"/>
      <c r="Y251" s="242"/>
      <c r="Z251" s="242"/>
    </row>
    <row r="252">
      <c r="A252" s="242"/>
      <c r="B252" s="524"/>
      <c r="C252" s="524"/>
      <c r="D252" s="242"/>
      <c r="E252" s="242"/>
      <c r="F252" s="242"/>
      <c r="G252" s="13"/>
      <c r="H252" s="525"/>
      <c r="I252" s="242"/>
      <c r="J252" s="242"/>
      <c r="K252" s="242"/>
      <c r="L252" s="13"/>
      <c r="M252" s="13"/>
      <c r="N252" s="242"/>
      <c r="O252" s="242"/>
      <c r="P252" s="242"/>
      <c r="Q252" s="242"/>
      <c r="R252" s="242"/>
      <c r="S252" s="242"/>
      <c r="T252" s="242"/>
      <c r="U252" s="242"/>
      <c r="V252" s="242"/>
      <c r="W252" s="242"/>
      <c r="X252" s="242"/>
      <c r="Y252" s="242"/>
      <c r="Z252" s="242"/>
    </row>
    <row r="253">
      <c r="A253" s="242"/>
      <c r="B253" s="524"/>
      <c r="C253" s="524"/>
      <c r="D253" s="242"/>
      <c r="E253" s="242"/>
      <c r="F253" s="242"/>
      <c r="G253" s="13"/>
      <c r="H253" s="525"/>
      <c r="I253" s="242"/>
      <c r="J253" s="242"/>
      <c r="K253" s="242"/>
      <c r="L253" s="13"/>
      <c r="M253" s="13"/>
      <c r="N253" s="242"/>
      <c r="O253" s="242"/>
      <c r="P253" s="242"/>
      <c r="Q253" s="242"/>
      <c r="R253" s="242"/>
      <c r="S253" s="242"/>
      <c r="T253" s="242"/>
      <c r="U253" s="242"/>
      <c r="V253" s="242"/>
      <c r="W253" s="242"/>
      <c r="X253" s="242"/>
      <c r="Y253" s="242"/>
      <c r="Z253" s="242"/>
    </row>
    <row r="254">
      <c r="A254" s="242"/>
      <c r="B254" s="524"/>
      <c r="C254" s="524"/>
      <c r="D254" s="242"/>
      <c r="E254" s="242"/>
      <c r="F254" s="242"/>
      <c r="G254" s="13"/>
      <c r="H254" s="525"/>
      <c r="I254" s="242"/>
      <c r="J254" s="242"/>
      <c r="K254" s="242"/>
      <c r="L254" s="13"/>
      <c r="M254" s="13"/>
      <c r="N254" s="242"/>
      <c r="O254" s="242"/>
      <c r="P254" s="242"/>
      <c r="Q254" s="242"/>
      <c r="R254" s="242"/>
      <c r="S254" s="242"/>
      <c r="T254" s="242"/>
      <c r="U254" s="242"/>
      <c r="V254" s="242"/>
      <c r="W254" s="242"/>
      <c r="X254" s="242"/>
      <c r="Y254" s="242"/>
      <c r="Z254" s="242"/>
    </row>
    <row r="255">
      <c r="A255" s="242"/>
      <c r="B255" s="524"/>
      <c r="C255" s="524"/>
      <c r="D255" s="242"/>
      <c r="E255" s="242"/>
      <c r="F255" s="242"/>
      <c r="G255" s="13"/>
      <c r="H255" s="525"/>
      <c r="I255" s="242"/>
      <c r="J255" s="242"/>
      <c r="K255" s="242"/>
      <c r="L255" s="13"/>
      <c r="M255" s="13"/>
      <c r="N255" s="242"/>
      <c r="O255" s="242"/>
      <c r="P255" s="242"/>
      <c r="Q255" s="242"/>
      <c r="R255" s="242"/>
      <c r="S255" s="242"/>
      <c r="T255" s="242"/>
      <c r="U255" s="242"/>
      <c r="V255" s="242"/>
      <c r="W255" s="242"/>
      <c r="X255" s="242"/>
      <c r="Y255" s="242"/>
      <c r="Z255" s="242"/>
    </row>
    <row r="256">
      <c r="A256" s="242"/>
      <c r="B256" s="524"/>
      <c r="C256" s="524"/>
      <c r="D256" s="242"/>
      <c r="E256" s="242"/>
      <c r="F256" s="242"/>
      <c r="G256" s="13"/>
      <c r="H256" s="525"/>
      <c r="I256" s="242"/>
      <c r="J256" s="242"/>
      <c r="K256" s="242"/>
      <c r="L256" s="13"/>
      <c r="M256" s="13"/>
      <c r="N256" s="242"/>
      <c r="O256" s="242"/>
      <c r="P256" s="242"/>
      <c r="Q256" s="242"/>
      <c r="R256" s="242"/>
      <c r="S256" s="242"/>
      <c r="T256" s="242"/>
      <c r="U256" s="242"/>
      <c r="V256" s="242"/>
      <c r="W256" s="242"/>
      <c r="X256" s="242"/>
      <c r="Y256" s="242"/>
      <c r="Z256" s="242"/>
    </row>
    <row r="257">
      <c r="A257" s="242"/>
      <c r="B257" s="524"/>
      <c r="C257" s="524"/>
      <c r="D257" s="242"/>
      <c r="E257" s="242"/>
      <c r="F257" s="242"/>
      <c r="G257" s="13"/>
      <c r="H257" s="525"/>
      <c r="I257" s="242"/>
      <c r="J257" s="242"/>
      <c r="K257" s="242"/>
      <c r="L257" s="13"/>
      <c r="M257" s="13"/>
      <c r="N257" s="242"/>
      <c r="O257" s="242"/>
      <c r="P257" s="242"/>
      <c r="Q257" s="242"/>
      <c r="R257" s="242"/>
      <c r="S257" s="242"/>
      <c r="T257" s="242"/>
      <c r="U257" s="242"/>
      <c r="V257" s="242"/>
      <c r="W257" s="242"/>
      <c r="X257" s="242"/>
      <c r="Y257" s="242"/>
      <c r="Z257" s="242"/>
    </row>
    <row r="258">
      <c r="A258" s="242"/>
      <c r="B258" s="524"/>
      <c r="C258" s="524"/>
      <c r="D258" s="242"/>
      <c r="E258" s="242"/>
      <c r="F258" s="242"/>
      <c r="G258" s="13"/>
      <c r="H258" s="525"/>
      <c r="I258" s="242"/>
      <c r="J258" s="242"/>
      <c r="K258" s="242"/>
      <c r="L258" s="13"/>
      <c r="M258" s="13"/>
      <c r="N258" s="242"/>
      <c r="O258" s="242"/>
      <c r="P258" s="242"/>
      <c r="Q258" s="242"/>
      <c r="R258" s="242"/>
      <c r="S258" s="242"/>
      <c r="T258" s="242"/>
      <c r="U258" s="242"/>
      <c r="V258" s="242"/>
      <c r="W258" s="242"/>
      <c r="X258" s="242"/>
      <c r="Y258" s="242"/>
      <c r="Z258" s="242"/>
    </row>
    <row r="259">
      <c r="A259" s="242"/>
      <c r="B259" s="524"/>
      <c r="C259" s="524"/>
      <c r="D259" s="242"/>
      <c r="E259" s="242"/>
      <c r="F259" s="242"/>
      <c r="G259" s="13"/>
      <c r="H259" s="525"/>
      <c r="I259" s="242"/>
      <c r="J259" s="242"/>
      <c r="K259" s="242"/>
      <c r="L259" s="13"/>
      <c r="M259" s="13"/>
      <c r="N259" s="242"/>
      <c r="O259" s="242"/>
      <c r="P259" s="242"/>
      <c r="Q259" s="242"/>
      <c r="R259" s="242"/>
      <c r="S259" s="242"/>
      <c r="T259" s="242"/>
      <c r="U259" s="242"/>
      <c r="V259" s="242"/>
      <c r="W259" s="242"/>
      <c r="X259" s="242"/>
      <c r="Y259" s="242"/>
      <c r="Z259" s="242"/>
    </row>
    <row r="260">
      <c r="A260" s="242"/>
      <c r="B260" s="524"/>
      <c r="C260" s="524"/>
      <c r="D260" s="242"/>
      <c r="E260" s="242"/>
      <c r="F260" s="242"/>
      <c r="G260" s="13"/>
      <c r="H260" s="525"/>
      <c r="I260" s="242"/>
      <c r="J260" s="242"/>
      <c r="K260" s="242"/>
      <c r="L260" s="13"/>
      <c r="M260" s="13"/>
      <c r="N260" s="242"/>
      <c r="O260" s="242"/>
      <c r="P260" s="242"/>
      <c r="Q260" s="242"/>
      <c r="R260" s="242"/>
      <c r="S260" s="242"/>
      <c r="T260" s="242"/>
      <c r="U260" s="242"/>
      <c r="V260" s="242"/>
      <c r="W260" s="242"/>
      <c r="X260" s="242"/>
      <c r="Y260" s="242"/>
      <c r="Z260" s="242"/>
    </row>
    <row r="261">
      <c r="A261" s="242"/>
      <c r="B261" s="524"/>
      <c r="C261" s="524"/>
      <c r="D261" s="242"/>
      <c r="E261" s="242"/>
      <c r="F261" s="242"/>
      <c r="G261" s="13"/>
      <c r="H261" s="525"/>
      <c r="I261" s="242"/>
      <c r="J261" s="242"/>
      <c r="K261" s="242"/>
      <c r="L261" s="13"/>
      <c r="M261" s="13"/>
      <c r="N261" s="242"/>
      <c r="O261" s="242"/>
      <c r="P261" s="242"/>
      <c r="Q261" s="242"/>
      <c r="R261" s="242"/>
      <c r="S261" s="242"/>
      <c r="T261" s="242"/>
      <c r="U261" s="242"/>
      <c r="V261" s="242"/>
      <c r="W261" s="242"/>
      <c r="X261" s="242"/>
      <c r="Y261" s="242"/>
      <c r="Z261" s="242"/>
    </row>
    <row r="262">
      <c r="A262" s="242"/>
      <c r="B262" s="524"/>
      <c r="C262" s="524"/>
      <c r="D262" s="242"/>
      <c r="E262" s="242"/>
      <c r="F262" s="242"/>
      <c r="G262" s="13"/>
      <c r="H262" s="525"/>
      <c r="I262" s="242"/>
      <c r="J262" s="242"/>
      <c r="K262" s="242"/>
      <c r="L262" s="13"/>
      <c r="M262" s="13"/>
      <c r="N262" s="242"/>
      <c r="O262" s="242"/>
      <c r="P262" s="242"/>
      <c r="Q262" s="242"/>
      <c r="R262" s="242"/>
      <c r="S262" s="242"/>
      <c r="T262" s="242"/>
      <c r="U262" s="242"/>
      <c r="V262" s="242"/>
      <c r="W262" s="242"/>
      <c r="X262" s="242"/>
      <c r="Y262" s="242"/>
      <c r="Z262" s="242"/>
    </row>
    <row r="263">
      <c r="A263" s="242"/>
      <c r="B263" s="524"/>
      <c r="C263" s="524"/>
      <c r="D263" s="242"/>
      <c r="E263" s="242"/>
      <c r="F263" s="242"/>
      <c r="G263" s="13"/>
      <c r="H263" s="525"/>
      <c r="I263" s="242"/>
      <c r="J263" s="242"/>
      <c r="K263" s="242"/>
      <c r="L263" s="13"/>
      <c r="M263" s="13"/>
      <c r="N263" s="242"/>
      <c r="O263" s="242"/>
      <c r="P263" s="242"/>
      <c r="Q263" s="242"/>
      <c r="R263" s="242"/>
      <c r="S263" s="242"/>
      <c r="T263" s="242"/>
      <c r="U263" s="242"/>
      <c r="V263" s="242"/>
      <c r="W263" s="242"/>
      <c r="X263" s="242"/>
      <c r="Y263" s="242"/>
      <c r="Z263" s="242"/>
    </row>
    <row r="264">
      <c r="A264" s="242"/>
      <c r="B264" s="524"/>
      <c r="C264" s="524"/>
      <c r="D264" s="242"/>
      <c r="E264" s="242"/>
      <c r="F264" s="242"/>
      <c r="G264" s="13"/>
      <c r="H264" s="525"/>
      <c r="I264" s="242"/>
      <c r="J264" s="242"/>
      <c r="K264" s="242"/>
      <c r="L264" s="13"/>
      <c r="M264" s="13"/>
      <c r="N264" s="242"/>
      <c r="O264" s="242"/>
      <c r="P264" s="242"/>
      <c r="Q264" s="242"/>
      <c r="R264" s="242"/>
      <c r="S264" s="242"/>
      <c r="T264" s="242"/>
      <c r="U264" s="242"/>
      <c r="V264" s="242"/>
      <c r="W264" s="242"/>
      <c r="X264" s="242"/>
      <c r="Y264" s="242"/>
      <c r="Z264" s="242"/>
    </row>
    <row r="265">
      <c r="A265" s="242"/>
      <c r="B265" s="524"/>
      <c r="C265" s="524"/>
      <c r="D265" s="242"/>
      <c r="E265" s="242"/>
      <c r="F265" s="242"/>
      <c r="G265" s="13"/>
      <c r="H265" s="525"/>
      <c r="I265" s="242"/>
      <c r="J265" s="242"/>
      <c r="K265" s="242"/>
      <c r="L265" s="13"/>
      <c r="M265" s="13"/>
      <c r="N265" s="242"/>
      <c r="O265" s="242"/>
      <c r="P265" s="242"/>
      <c r="Q265" s="242"/>
      <c r="R265" s="242"/>
      <c r="S265" s="242"/>
      <c r="T265" s="242"/>
      <c r="U265" s="242"/>
      <c r="V265" s="242"/>
      <c r="W265" s="242"/>
      <c r="X265" s="242"/>
      <c r="Y265" s="242"/>
      <c r="Z265" s="242"/>
    </row>
    <row r="266">
      <c r="A266" s="242"/>
      <c r="B266" s="524"/>
      <c r="C266" s="524"/>
      <c r="D266" s="242"/>
      <c r="E266" s="242"/>
      <c r="F266" s="242"/>
      <c r="G266" s="13"/>
      <c r="H266" s="525"/>
      <c r="I266" s="242"/>
      <c r="J266" s="242"/>
      <c r="K266" s="242"/>
      <c r="L266" s="13"/>
      <c r="M266" s="13"/>
      <c r="N266" s="242"/>
      <c r="O266" s="242"/>
      <c r="P266" s="242"/>
      <c r="Q266" s="242"/>
      <c r="R266" s="242"/>
      <c r="S266" s="242"/>
      <c r="T266" s="242"/>
      <c r="U266" s="242"/>
      <c r="V266" s="242"/>
      <c r="W266" s="242"/>
      <c r="X266" s="242"/>
      <c r="Y266" s="242"/>
      <c r="Z266" s="242"/>
    </row>
    <row r="267">
      <c r="A267" s="242"/>
      <c r="B267" s="524"/>
      <c r="C267" s="524"/>
      <c r="D267" s="242"/>
      <c r="E267" s="242"/>
      <c r="F267" s="242"/>
      <c r="G267" s="13"/>
      <c r="H267" s="525"/>
      <c r="I267" s="242"/>
      <c r="J267" s="242"/>
      <c r="K267" s="242"/>
      <c r="L267" s="13"/>
      <c r="M267" s="13"/>
      <c r="N267" s="242"/>
      <c r="O267" s="242"/>
      <c r="P267" s="242"/>
      <c r="Q267" s="242"/>
      <c r="R267" s="242"/>
      <c r="S267" s="242"/>
      <c r="T267" s="242"/>
      <c r="U267" s="242"/>
      <c r="V267" s="242"/>
      <c r="W267" s="242"/>
      <c r="X267" s="242"/>
      <c r="Y267" s="242"/>
      <c r="Z267" s="242"/>
    </row>
    <row r="268">
      <c r="A268" s="242"/>
      <c r="B268" s="524"/>
      <c r="C268" s="524"/>
      <c r="D268" s="242"/>
      <c r="E268" s="242"/>
      <c r="F268" s="242"/>
      <c r="G268" s="13"/>
      <c r="H268" s="525"/>
      <c r="I268" s="242"/>
      <c r="J268" s="242"/>
      <c r="K268" s="242"/>
      <c r="L268" s="13"/>
      <c r="M268" s="13"/>
      <c r="N268" s="242"/>
      <c r="O268" s="242"/>
      <c r="P268" s="242"/>
      <c r="Q268" s="242"/>
      <c r="R268" s="242"/>
      <c r="S268" s="242"/>
      <c r="T268" s="242"/>
      <c r="U268" s="242"/>
      <c r="V268" s="242"/>
      <c r="W268" s="242"/>
      <c r="X268" s="242"/>
      <c r="Y268" s="242"/>
      <c r="Z268" s="242"/>
    </row>
    <row r="269">
      <c r="A269" s="242"/>
      <c r="B269" s="524"/>
      <c r="C269" s="524"/>
      <c r="D269" s="242"/>
      <c r="E269" s="242"/>
      <c r="F269" s="242"/>
      <c r="G269" s="13"/>
      <c r="H269" s="525"/>
      <c r="I269" s="242"/>
      <c r="J269" s="242"/>
      <c r="K269" s="242"/>
      <c r="L269" s="13"/>
      <c r="M269" s="13"/>
      <c r="N269" s="242"/>
      <c r="O269" s="242"/>
      <c r="P269" s="242"/>
      <c r="Q269" s="242"/>
      <c r="R269" s="242"/>
      <c r="S269" s="242"/>
      <c r="T269" s="242"/>
      <c r="U269" s="242"/>
      <c r="V269" s="242"/>
      <c r="W269" s="242"/>
      <c r="X269" s="242"/>
      <c r="Y269" s="242"/>
      <c r="Z269" s="242"/>
    </row>
    <row r="270">
      <c r="A270" s="242"/>
      <c r="B270" s="524"/>
      <c r="C270" s="524"/>
      <c r="D270" s="242"/>
      <c r="E270" s="242"/>
      <c r="F270" s="242"/>
      <c r="G270" s="13"/>
      <c r="H270" s="525"/>
      <c r="I270" s="242"/>
      <c r="J270" s="242"/>
      <c r="K270" s="242"/>
      <c r="L270" s="13"/>
      <c r="M270" s="13"/>
      <c r="N270" s="242"/>
      <c r="O270" s="242"/>
      <c r="P270" s="242"/>
      <c r="Q270" s="242"/>
      <c r="R270" s="242"/>
      <c r="S270" s="242"/>
      <c r="T270" s="242"/>
      <c r="U270" s="242"/>
      <c r="V270" s="242"/>
      <c r="W270" s="242"/>
      <c r="X270" s="242"/>
      <c r="Y270" s="242"/>
      <c r="Z270" s="242"/>
    </row>
    <row r="271">
      <c r="A271" s="242"/>
      <c r="B271" s="524"/>
      <c r="C271" s="524"/>
      <c r="D271" s="242"/>
      <c r="E271" s="242"/>
      <c r="F271" s="242"/>
      <c r="G271" s="13"/>
      <c r="H271" s="525"/>
      <c r="I271" s="242"/>
      <c r="J271" s="242"/>
      <c r="K271" s="242"/>
      <c r="L271" s="13"/>
      <c r="M271" s="13"/>
      <c r="N271" s="242"/>
      <c r="O271" s="242"/>
      <c r="P271" s="242"/>
      <c r="Q271" s="242"/>
      <c r="R271" s="242"/>
      <c r="S271" s="242"/>
      <c r="T271" s="242"/>
      <c r="U271" s="242"/>
      <c r="V271" s="242"/>
      <c r="W271" s="242"/>
      <c r="X271" s="242"/>
      <c r="Y271" s="242"/>
      <c r="Z271" s="242"/>
    </row>
    <row r="272">
      <c r="A272" s="242"/>
      <c r="B272" s="524"/>
      <c r="C272" s="524"/>
      <c r="D272" s="242"/>
      <c r="E272" s="242"/>
      <c r="F272" s="242"/>
      <c r="G272" s="13"/>
      <c r="H272" s="525"/>
      <c r="I272" s="242"/>
      <c r="J272" s="242"/>
      <c r="K272" s="242"/>
      <c r="L272" s="13"/>
      <c r="M272" s="13"/>
      <c r="N272" s="242"/>
      <c r="O272" s="242"/>
      <c r="P272" s="242"/>
      <c r="Q272" s="242"/>
      <c r="R272" s="242"/>
      <c r="S272" s="242"/>
      <c r="T272" s="242"/>
      <c r="U272" s="242"/>
      <c r="V272" s="242"/>
      <c r="W272" s="242"/>
      <c r="X272" s="242"/>
      <c r="Y272" s="242"/>
      <c r="Z272" s="242"/>
    </row>
    <row r="273">
      <c r="A273" s="242"/>
      <c r="B273" s="524"/>
      <c r="C273" s="524"/>
      <c r="D273" s="242"/>
      <c r="E273" s="242"/>
      <c r="F273" s="242"/>
      <c r="G273" s="13"/>
      <c r="H273" s="525"/>
      <c r="I273" s="242"/>
      <c r="J273" s="242"/>
      <c r="K273" s="242"/>
      <c r="L273" s="13"/>
      <c r="M273" s="13"/>
      <c r="N273" s="242"/>
      <c r="O273" s="242"/>
      <c r="P273" s="242"/>
      <c r="Q273" s="242"/>
      <c r="R273" s="242"/>
      <c r="S273" s="242"/>
      <c r="T273" s="242"/>
      <c r="U273" s="242"/>
      <c r="V273" s="242"/>
      <c r="W273" s="242"/>
      <c r="X273" s="242"/>
      <c r="Y273" s="242"/>
      <c r="Z273" s="242"/>
    </row>
    <row r="274">
      <c r="A274" s="242"/>
      <c r="B274" s="524"/>
      <c r="C274" s="524"/>
      <c r="D274" s="242"/>
      <c r="E274" s="242"/>
      <c r="F274" s="242"/>
      <c r="G274" s="13"/>
      <c r="H274" s="525"/>
      <c r="I274" s="242"/>
      <c r="J274" s="242"/>
      <c r="K274" s="242"/>
      <c r="L274" s="13"/>
      <c r="M274" s="13"/>
      <c r="N274" s="242"/>
      <c r="O274" s="242"/>
      <c r="P274" s="242"/>
      <c r="Q274" s="242"/>
      <c r="R274" s="242"/>
      <c r="S274" s="242"/>
      <c r="T274" s="242"/>
      <c r="U274" s="242"/>
      <c r="V274" s="242"/>
      <c r="W274" s="242"/>
      <c r="X274" s="242"/>
      <c r="Y274" s="242"/>
      <c r="Z274" s="242"/>
    </row>
    <row r="275">
      <c r="A275" s="242"/>
      <c r="B275" s="524"/>
      <c r="C275" s="524"/>
      <c r="D275" s="242"/>
      <c r="E275" s="242"/>
      <c r="F275" s="242"/>
      <c r="G275" s="13"/>
      <c r="H275" s="525"/>
      <c r="I275" s="242"/>
      <c r="J275" s="242"/>
      <c r="K275" s="242"/>
      <c r="L275" s="13"/>
      <c r="M275" s="13"/>
      <c r="N275" s="242"/>
      <c r="O275" s="242"/>
      <c r="P275" s="242"/>
      <c r="Q275" s="242"/>
      <c r="R275" s="242"/>
      <c r="S275" s="242"/>
      <c r="T275" s="242"/>
      <c r="U275" s="242"/>
      <c r="V275" s="242"/>
      <c r="W275" s="242"/>
      <c r="X275" s="242"/>
      <c r="Y275" s="242"/>
      <c r="Z275" s="242"/>
    </row>
    <row r="276">
      <c r="A276" s="242"/>
      <c r="B276" s="524"/>
      <c r="C276" s="524"/>
      <c r="D276" s="242"/>
      <c r="E276" s="242"/>
      <c r="F276" s="242"/>
      <c r="G276" s="13"/>
      <c r="H276" s="525"/>
      <c r="I276" s="242"/>
      <c r="J276" s="242"/>
      <c r="K276" s="242"/>
      <c r="L276" s="13"/>
      <c r="M276" s="13"/>
      <c r="N276" s="242"/>
      <c r="O276" s="242"/>
      <c r="P276" s="242"/>
      <c r="Q276" s="242"/>
      <c r="R276" s="242"/>
      <c r="S276" s="242"/>
      <c r="T276" s="242"/>
      <c r="U276" s="242"/>
      <c r="V276" s="242"/>
      <c r="W276" s="242"/>
      <c r="X276" s="242"/>
      <c r="Y276" s="242"/>
      <c r="Z276" s="242"/>
    </row>
    <row r="277">
      <c r="A277" s="242"/>
      <c r="B277" s="524"/>
      <c r="C277" s="524"/>
      <c r="D277" s="242"/>
      <c r="E277" s="242"/>
      <c r="F277" s="242"/>
      <c r="G277" s="13"/>
      <c r="H277" s="525"/>
      <c r="I277" s="242"/>
      <c r="J277" s="242"/>
      <c r="K277" s="242"/>
      <c r="L277" s="13"/>
      <c r="M277" s="13"/>
      <c r="N277" s="242"/>
      <c r="O277" s="242"/>
      <c r="P277" s="242"/>
      <c r="Q277" s="242"/>
      <c r="R277" s="242"/>
      <c r="S277" s="242"/>
      <c r="T277" s="242"/>
      <c r="U277" s="242"/>
      <c r="V277" s="242"/>
      <c r="W277" s="242"/>
      <c r="X277" s="242"/>
      <c r="Y277" s="242"/>
      <c r="Z277" s="242"/>
    </row>
    <row r="278">
      <c r="A278" s="242"/>
      <c r="B278" s="524"/>
      <c r="C278" s="524"/>
      <c r="D278" s="242"/>
      <c r="E278" s="242"/>
      <c r="F278" s="242"/>
      <c r="G278" s="13"/>
      <c r="H278" s="525"/>
      <c r="I278" s="242"/>
      <c r="J278" s="242"/>
      <c r="K278" s="242"/>
      <c r="L278" s="13"/>
      <c r="M278" s="13"/>
      <c r="N278" s="242"/>
      <c r="O278" s="242"/>
      <c r="P278" s="242"/>
      <c r="Q278" s="242"/>
      <c r="R278" s="242"/>
      <c r="S278" s="242"/>
      <c r="T278" s="242"/>
      <c r="U278" s="242"/>
      <c r="V278" s="242"/>
      <c r="W278" s="242"/>
      <c r="X278" s="242"/>
      <c r="Y278" s="242"/>
      <c r="Z278" s="242"/>
    </row>
    <row r="279">
      <c r="A279" s="242"/>
      <c r="B279" s="524"/>
      <c r="C279" s="524"/>
      <c r="D279" s="242"/>
      <c r="E279" s="242"/>
      <c r="F279" s="242"/>
      <c r="G279" s="13"/>
      <c r="H279" s="525"/>
      <c r="I279" s="242"/>
      <c r="J279" s="242"/>
      <c r="K279" s="242"/>
      <c r="L279" s="13"/>
      <c r="M279" s="13"/>
      <c r="N279" s="242"/>
      <c r="O279" s="242"/>
      <c r="P279" s="242"/>
      <c r="Q279" s="242"/>
      <c r="R279" s="242"/>
      <c r="S279" s="242"/>
      <c r="T279" s="242"/>
      <c r="U279" s="242"/>
      <c r="V279" s="242"/>
      <c r="W279" s="242"/>
      <c r="X279" s="242"/>
      <c r="Y279" s="242"/>
      <c r="Z279" s="242"/>
    </row>
    <row r="280">
      <c r="A280" s="242"/>
      <c r="B280" s="524"/>
      <c r="C280" s="524"/>
      <c r="D280" s="242"/>
      <c r="E280" s="242"/>
      <c r="F280" s="242"/>
      <c r="G280" s="13"/>
      <c r="H280" s="525"/>
      <c r="I280" s="242"/>
      <c r="J280" s="242"/>
      <c r="K280" s="242"/>
      <c r="L280" s="13"/>
      <c r="M280" s="13"/>
      <c r="N280" s="242"/>
      <c r="O280" s="242"/>
      <c r="P280" s="242"/>
      <c r="Q280" s="242"/>
      <c r="R280" s="242"/>
      <c r="S280" s="242"/>
      <c r="T280" s="242"/>
      <c r="U280" s="242"/>
      <c r="V280" s="242"/>
      <c r="W280" s="242"/>
      <c r="X280" s="242"/>
      <c r="Y280" s="242"/>
      <c r="Z280" s="242"/>
    </row>
    <row r="281">
      <c r="A281" s="242"/>
      <c r="B281" s="524"/>
      <c r="C281" s="524"/>
      <c r="D281" s="242"/>
      <c r="E281" s="242"/>
      <c r="F281" s="242"/>
      <c r="G281" s="13"/>
      <c r="H281" s="525"/>
      <c r="I281" s="242"/>
      <c r="J281" s="242"/>
      <c r="K281" s="242"/>
      <c r="L281" s="13"/>
      <c r="M281" s="13"/>
      <c r="N281" s="242"/>
      <c r="O281" s="242"/>
      <c r="P281" s="242"/>
      <c r="Q281" s="242"/>
      <c r="R281" s="242"/>
      <c r="S281" s="242"/>
      <c r="T281" s="242"/>
      <c r="U281" s="242"/>
      <c r="V281" s="242"/>
      <c r="W281" s="242"/>
      <c r="X281" s="242"/>
      <c r="Y281" s="242"/>
      <c r="Z281" s="242"/>
    </row>
    <row r="282">
      <c r="A282" s="242"/>
      <c r="B282" s="524"/>
      <c r="C282" s="524"/>
      <c r="D282" s="242"/>
      <c r="E282" s="242"/>
      <c r="F282" s="242"/>
      <c r="G282" s="13"/>
      <c r="H282" s="525"/>
      <c r="I282" s="242"/>
      <c r="J282" s="242"/>
      <c r="K282" s="242"/>
      <c r="L282" s="13"/>
      <c r="M282" s="13"/>
      <c r="N282" s="242"/>
      <c r="O282" s="242"/>
      <c r="P282" s="242"/>
      <c r="Q282" s="242"/>
      <c r="R282" s="242"/>
      <c r="S282" s="242"/>
      <c r="T282" s="242"/>
      <c r="U282" s="242"/>
      <c r="V282" s="242"/>
      <c r="W282" s="242"/>
      <c r="X282" s="242"/>
      <c r="Y282" s="242"/>
      <c r="Z282" s="242"/>
    </row>
    <row r="283">
      <c r="A283" s="242"/>
      <c r="B283" s="524"/>
      <c r="C283" s="524"/>
      <c r="D283" s="242"/>
      <c r="E283" s="242"/>
      <c r="F283" s="242"/>
      <c r="G283" s="13"/>
      <c r="H283" s="525"/>
      <c r="I283" s="242"/>
      <c r="J283" s="242"/>
      <c r="K283" s="242"/>
      <c r="L283" s="13"/>
      <c r="M283" s="13"/>
      <c r="N283" s="242"/>
      <c r="O283" s="242"/>
      <c r="P283" s="242"/>
      <c r="Q283" s="242"/>
      <c r="R283" s="242"/>
      <c r="S283" s="242"/>
      <c r="T283" s="242"/>
      <c r="U283" s="242"/>
      <c r="V283" s="242"/>
      <c r="W283" s="242"/>
      <c r="X283" s="242"/>
      <c r="Y283" s="242"/>
      <c r="Z283" s="242"/>
    </row>
    <row r="284">
      <c r="A284" s="242"/>
      <c r="B284" s="524"/>
      <c r="C284" s="524"/>
      <c r="D284" s="242"/>
      <c r="E284" s="242"/>
      <c r="F284" s="242"/>
      <c r="G284" s="13"/>
      <c r="H284" s="525"/>
      <c r="I284" s="242"/>
      <c r="J284" s="242"/>
      <c r="K284" s="242"/>
      <c r="L284" s="13"/>
      <c r="M284" s="13"/>
      <c r="N284" s="242"/>
      <c r="O284" s="242"/>
      <c r="P284" s="242"/>
      <c r="Q284" s="242"/>
      <c r="R284" s="242"/>
      <c r="S284" s="242"/>
      <c r="T284" s="242"/>
      <c r="U284" s="242"/>
      <c r="V284" s="242"/>
      <c r="W284" s="242"/>
      <c r="X284" s="242"/>
      <c r="Y284" s="242"/>
      <c r="Z284" s="242"/>
    </row>
    <row r="285">
      <c r="A285" s="242"/>
      <c r="B285" s="524"/>
      <c r="C285" s="524"/>
      <c r="D285" s="242"/>
      <c r="E285" s="242"/>
      <c r="F285" s="242"/>
      <c r="G285" s="13"/>
      <c r="H285" s="525"/>
      <c r="I285" s="242"/>
      <c r="J285" s="242"/>
      <c r="K285" s="242"/>
      <c r="L285" s="13"/>
      <c r="M285" s="13"/>
      <c r="N285" s="242"/>
      <c r="O285" s="242"/>
      <c r="P285" s="242"/>
      <c r="Q285" s="242"/>
      <c r="R285" s="242"/>
      <c r="S285" s="242"/>
      <c r="T285" s="242"/>
      <c r="U285" s="242"/>
      <c r="V285" s="242"/>
      <c r="W285" s="242"/>
      <c r="X285" s="242"/>
      <c r="Y285" s="242"/>
      <c r="Z285" s="242"/>
    </row>
    <row r="286">
      <c r="A286" s="242"/>
      <c r="B286" s="524"/>
      <c r="C286" s="524"/>
      <c r="D286" s="242"/>
      <c r="E286" s="242"/>
      <c r="F286" s="242"/>
      <c r="G286" s="13"/>
      <c r="H286" s="525"/>
      <c r="I286" s="242"/>
      <c r="J286" s="242"/>
      <c r="K286" s="242"/>
      <c r="L286" s="13"/>
      <c r="M286" s="13"/>
      <c r="N286" s="242"/>
      <c r="O286" s="242"/>
      <c r="P286" s="242"/>
      <c r="Q286" s="242"/>
      <c r="R286" s="242"/>
      <c r="S286" s="242"/>
      <c r="T286" s="242"/>
      <c r="U286" s="242"/>
      <c r="V286" s="242"/>
      <c r="W286" s="242"/>
      <c r="X286" s="242"/>
      <c r="Y286" s="242"/>
      <c r="Z286" s="242"/>
    </row>
    <row r="287">
      <c r="A287" s="242"/>
      <c r="B287" s="524"/>
      <c r="C287" s="524"/>
      <c r="D287" s="242"/>
      <c r="E287" s="242"/>
      <c r="F287" s="242"/>
      <c r="G287" s="13"/>
      <c r="H287" s="525"/>
      <c r="I287" s="242"/>
      <c r="J287" s="242"/>
      <c r="K287" s="242"/>
      <c r="L287" s="13"/>
      <c r="M287" s="13"/>
      <c r="N287" s="242"/>
      <c r="O287" s="242"/>
      <c r="P287" s="242"/>
      <c r="Q287" s="242"/>
      <c r="R287" s="242"/>
      <c r="S287" s="242"/>
      <c r="T287" s="242"/>
      <c r="U287" s="242"/>
      <c r="V287" s="242"/>
      <c r="W287" s="242"/>
      <c r="X287" s="242"/>
      <c r="Y287" s="242"/>
      <c r="Z287" s="242"/>
    </row>
    <row r="288">
      <c r="A288" s="242"/>
      <c r="B288" s="524"/>
      <c r="C288" s="524"/>
      <c r="D288" s="242"/>
      <c r="E288" s="242"/>
      <c r="F288" s="242"/>
      <c r="G288" s="13"/>
      <c r="H288" s="525"/>
      <c r="I288" s="242"/>
      <c r="J288" s="242"/>
      <c r="K288" s="242"/>
      <c r="L288" s="13"/>
      <c r="M288" s="13"/>
      <c r="N288" s="242"/>
      <c r="O288" s="242"/>
      <c r="P288" s="242"/>
      <c r="Q288" s="242"/>
      <c r="R288" s="242"/>
      <c r="S288" s="242"/>
      <c r="T288" s="242"/>
      <c r="U288" s="242"/>
      <c r="V288" s="242"/>
      <c r="W288" s="242"/>
      <c r="X288" s="242"/>
      <c r="Y288" s="242"/>
      <c r="Z288" s="242"/>
    </row>
    <row r="289">
      <c r="A289" s="242"/>
      <c r="B289" s="524"/>
      <c r="C289" s="524"/>
      <c r="D289" s="242"/>
      <c r="E289" s="242"/>
      <c r="F289" s="242"/>
      <c r="G289" s="13"/>
      <c r="H289" s="525"/>
      <c r="I289" s="242"/>
      <c r="J289" s="242"/>
      <c r="K289" s="242"/>
      <c r="L289" s="13"/>
      <c r="M289" s="13"/>
      <c r="N289" s="242"/>
      <c r="O289" s="242"/>
      <c r="P289" s="242"/>
      <c r="Q289" s="242"/>
      <c r="R289" s="242"/>
      <c r="S289" s="242"/>
      <c r="T289" s="242"/>
      <c r="U289" s="242"/>
      <c r="V289" s="242"/>
      <c r="W289" s="242"/>
      <c r="X289" s="242"/>
      <c r="Y289" s="242"/>
      <c r="Z289" s="242"/>
    </row>
    <row r="290">
      <c r="A290" s="242"/>
      <c r="B290" s="524"/>
      <c r="C290" s="524"/>
      <c r="D290" s="242"/>
      <c r="E290" s="242"/>
      <c r="F290" s="242"/>
      <c r="G290" s="13"/>
      <c r="H290" s="525"/>
      <c r="I290" s="242"/>
      <c r="J290" s="242"/>
      <c r="K290" s="242"/>
      <c r="L290" s="13"/>
      <c r="M290" s="13"/>
      <c r="N290" s="242"/>
      <c r="O290" s="242"/>
      <c r="P290" s="242"/>
      <c r="Q290" s="242"/>
      <c r="R290" s="242"/>
      <c r="S290" s="242"/>
      <c r="T290" s="242"/>
      <c r="U290" s="242"/>
      <c r="V290" s="242"/>
      <c r="W290" s="242"/>
      <c r="X290" s="242"/>
      <c r="Y290" s="242"/>
      <c r="Z290" s="242"/>
    </row>
    <row r="291">
      <c r="A291" s="242"/>
      <c r="B291" s="524"/>
      <c r="C291" s="524"/>
      <c r="D291" s="242"/>
      <c r="E291" s="242"/>
      <c r="F291" s="242"/>
      <c r="G291" s="13"/>
      <c r="H291" s="525"/>
      <c r="I291" s="242"/>
      <c r="J291" s="242"/>
      <c r="K291" s="242"/>
      <c r="L291" s="13"/>
      <c r="M291" s="13"/>
      <c r="N291" s="242"/>
      <c r="O291" s="242"/>
      <c r="P291" s="242"/>
      <c r="Q291" s="242"/>
      <c r="R291" s="242"/>
      <c r="S291" s="242"/>
      <c r="T291" s="242"/>
      <c r="U291" s="242"/>
      <c r="V291" s="242"/>
      <c r="W291" s="242"/>
      <c r="X291" s="242"/>
      <c r="Y291" s="242"/>
      <c r="Z291" s="242"/>
    </row>
    <row r="292">
      <c r="A292" s="242"/>
      <c r="B292" s="524"/>
      <c r="C292" s="524"/>
      <c r="D292" s="242"/>
      <c r="E292" s="242"/>
      <c r="F292" s="242"/>
      <c r="G292" s="13"/>
      <c r="H292" s="525"/>
      <c r="I292" s="242"/>
      <c r="J292" s="242"/>
      <c r="K292" s="242"/>
      <c r="L292" s="13"/>
      <c r="M292" s="13"/>
      <c r="N292" s="242"/>
      <c r="O292" s="242"/>
      <c r="P292" s="242"/>
      <c r="Q292" s="242"/>
      <c r="R292" s="242"/>
      <c r="S292" s="242"/>
      <c r="T292" s="242"/>
      <c r="U292" s="242"/>
      <c r="V292" s="242"/>
      <c r="W292" s="242"/>
      <c r="X292" s="242"/>
      <c r="Y292" s="242"/>
      <c r="Z292" s="242"/>
    </row>
    <row r="293">
      <c r="A293" s="242"/>
      <c r="B293" s="524"/>
      <c r="C293" s="524"/>
      <c r="D293" s="242"/>
      <c r="E293" s="242"/>
      <c r="F293" s="242"/>
      <c r="G293" s="13"/>
      <c r="H293" s="525"/>
      <c r="I293" s="242"/>
      <c r="J293" s="242"/>
      <c r="K293" s="242"/>
      <c r="L293" s="13"/>
      <c r="M293" s="13"/>
      <c r="N293" s="242"/>
      <c r="O293" s="242"/>
      <c r="P293" s="242"/>
      <c r="Q293" s="242"/>
      <c r="R293" s="242"/>
      <c r="S293" s="242"/>
      <c r="T293" s="242"/>
      <c r="U293" s="242"/>
      <c r="V293" s="242"/>
      <c r="W293" s="242"/>
      <c r="X293" s="242"/>
      <c r="Y293" s="242"/>
      <c r="Z293" s="242"/>
    </row>
    <row r="294">
      <c r="A294" s="242"/>
      <c r="B294" s="524"/>
      <c r="C294" s="524"/>
      <c r="D294" s="242"/>
      <c r="E294" s="242"/>
      <c r="F294" s="242"/>
      <c r="G294" s="13"/>
      <c r="H294" s="525"/>
      <c r="I294" s="242"/>
      <c r="J294" s="242"/>
      <c r="K294" s="242"/>
      <c r="L294" s="13"/>
      <c r="M294" s="13"/>
      <c r="N294" s="242"/>
      <c r="O294" s="242"/>
      <c r="P294" s="242"/>
      <c r="Q294" s="242"/>
      <c r="R294" s="242"/>
      <c r="S294" s="242"/>
      <c r="T294" s="242"/>
      <c r="U294" s="242"/>
      <c r="V294" s="242"/>
      <c r="W294" s="242"/>
      <c r="X294" s="242"/>
      <c r="Y294" s="242"/>
      <c r="Z294" s="242"/>
    </row>
    <row r="295">
      <c r="A295" s="242"/>
      <c r="B295" s="524"/>
      <c r="C295" s="524"/>
      <c r="D295" s="242"/>
      <c r="E295" s="242"/>
      <c r="F295" s="242"/>
      <c r="G295" s="13"/>
      <c r="H295" s="525"/>
      <c r="I295" s="242"/>
      <c r="J295" s="242"/>
      <c r="K295" s="242"/>
      <c r="L295" s="13"/>
      <c r="M295" s="13"/>
      <c r="N295" s="242"/>
      <c r="O295" s="242"/>
      <c r="P295" s="242"/>
      <c r="Q295" s="242"/>
      <c r="R295" s="242"/>
      <c r="S295" s="242"/>
      <c r="T295" s="242"/>
      <c r="U295" s="242"/>
      <c r="V295" s="242"/>
      <c r="W295" s="242"/>
      <c r="X295" s="242"/>
      <c r="Y295" s="242"/>
      <c r="Z295" s="242"/>
    </row>
    <row r="296">
      <c r="A296" s="242"/>
      <c r="B296" s="524"/>
      <c r="C296" s="524"/>
      <c r="D296" s="242"/>
      <c r="E296" s="242"/>
      <c r="F296" s="242"/>
      <c r="G296" s="13"/>
      <c r="H296" s="525"/>
      <c r="I296" s="242"/>
      <c r="J296" s="242"/>
      <c r="K296" s="242"/>
      <c r="L296" s="13"/>
      <c r="M296" s="13"/>
      <c r="N296" s="242"/>
      <c r="O296" s="242"/>
      <c r="P296" s="242"/>
      <c r="Q296" s="242"/>
      <c r="R296" s="242"/>
      <c r="S296" s="242"/>
      <c r="T296" s="242"/>
      <c r="U296" s="242"/>
      <c r="V296" s="242"/>
      <c r="W296" s="242"/>
      <c r="X296" s="242"/>
      <c r="Y296" s="242"/>
      <c r="Z296" s="242"/>
    </row>
    <row r="297">
      <c r="A297" s="242"/>
      <c r="B297" s="524"/>
      <c r="C297" s="524"/>
      <c r="D297" s="242"/>
      <c r="E297" s="242"/>
      <c r="F297" s="242"/>
      <c r="G297" s="13"/>
      <c r="H297" s="525"/>
      <c r="I297" s="242"/>
      <c r="J297" s="242"/>
      <c r="K297" s="242"/>
      <c r="L297" s="13"/>
      <c r="M297" s="13"/>
      <c r="N297" s="242"/>
      <c r="O297" s="242"/>
      <c r="P297" s="242"/>
      <c r="Q297" s="242"/>
      <c r="R297" s="242"/>
      <c r="S297" s="242"/>
      <c r="T297" s="242"/>
      <c r="U297" s="242"/>
      <c r="V297" s="242"/>
      <c r="W297" s="242"/>
      <c r="X297" s="242"/>
      <c r="Y297" s="242"/>
      <c r="Z297" s="242"/>
    </row>
    <row r="298">
      <c r="A298" s="242"/>
      <c r="B298" s="524"/>
      <c r="C298" s="524"/>
      <c r="D298" s="242"/>
      <c r="E298" s="242"/>
      <c r="F298" s="242"/>
      <c r="G298" s="13"/>
      <c r="H298" s="525"/>
      <c r="I298" s="242"/>
      <c r="J298" s="242"/>
      <c r="K298" s="242"/>
      <c r="L298" s="13"/>
      <c r="M298" s="13"/>
      <c r="N298" s="242"/>
      <c r="O298" s="242"/>
      <c r="P298" s="242"/>
      <c r="Q298" s="242"/>
      <c r="R298" s="242"/>
      <c r="S298" s="242"/>
      <c r="T298" s="242"/>
      <c r="U298" s="242"/>
      <c r="V298" s="242"/>
      <c r="W298" s="242"/>
      <c r="X298" s="242"/>
      <c r="Y298" s="242"/>
      <c r="Z298" s="242"/>
    </row>
    <row r="299">
      <c r="A299" s="242"/>
      <c r="B299" s="524"/>
      <c r="C299" s="524"/>
      <c r="D299" s="242"/>
      <c r="E299" s="242"/>
      <c r="F299" s="242"/>
      <c r="G299" s="13"/>
      <c r="H299" s="525"/>
      <c r="I299" s="242"/>
      <c r="J299" s="242"/>
      <c r="K299" s="242"/>
      <c r="L299" s="13"/>
      <c r="M299" s="13"/>
      <c r="N299" s="242"/>
      <c r="O299" s="242"/>
      <c r="P299" s="242"/>
      <c r="Q299" s="242"/>
      <c r="R299" s="242"/>
      <c r="S299" s="242"/>
      <c r="T299" s="242"/>
      <c r="U299" s="242"/>
      <c r="V299" s="242"/>
      <c r="W299" s="242"/>
      <c r="X299" s="242"/>
      <c r="Y299" s="242"/>
      <c r="Z299" s="242"/>
    </row>
    <row r="300">
      <c r="A300" s="242"/>
      <c r="B300" s="524"/>
      <c r="C300" s="524"/>
      <c r="D300" s="242"/>
      <c r="E300" s="242"/>
      <c r="F300" s="242"/>
      <c r="G300" s="13"/>
      <c r="H300" s="525"/>
      <c r="I300" s="242"/>
      <c r="J300" s="242"/>
      <c r="K300" s="242"/>
      <c r="L300" s="13"/>
      <c r="M300" s="13"/>
      <c r="N300" s="242"/>
      <c r="O300" s="242"/>
      <c r="P300" s="242"/>
      <c r="Q300" s="242"/>
      <c r="R300" s="242"/>
      <c r="S300" s="242"/>
      <c r="T300" s="242"/>
      <c r="U300" s="242"/>
      <c r="V300" s="242"/>
      <c r="W300" s="242"/>
      <c r="X300" s="242"/>
      <c r="Y300" s="242"/>
      <c r="Z300" s="242"/>
    </row>
    <row r="301">
      <c r="A301" s="242"/>
      <c r="B301" s="524"/>
      <c r="C301" s="524"/>
      <c r="D301" s="242"/>
      <c r="E301" s="242"/>
      <c r="F301" s="242"/>
      <c r="G301" s="13"/>
      <c r="H301" s="525"/>
      <c r="I301" s="242"/>
      <c r="J301" s="242"/>
      <c r="K301" s="242"/>
      <c r="L301" s="13"/>
      <c r="M301" s="13"/>
      <c r="N301" s="242"/>
      <c r="O301" s="242"/>
      <c r="P301" s="242"/>
      <c r="Q301" s="242"/>
      <c r="R301" s="242"/>
      <c r="S301" s="242"/>
      <c r="T301" s="242"/>
      <c r="U301" s="242"/>
      <c r="V301" s="242"/>
      <c r="W301" s="242"/>
      <c r="X301" s="242"/>
      <c r="Y301" s="242"/>
      <c r="Z301" s="242"/>
    </row>
    <row r="302">
      <c r="A302" s="242"/>
      <c r="B302" s="524"/>
      <c r="C302" s="524"/>
      <c r="D302" s="242"/>
      <c r="E302" s="242"/>
      <c r="F302" s="242"/>
      <c r="G302" s="13"/>
      <c r="H302" s="525"/>
      <c r="I302" s="242"/>
      <c r="J302" s="242"/>
      <c r="K302" s="242"/>
      <c r="L302" s="13"/>
      <c r="M302" s="13"/>
      <c r="N302" s="242"/>
      <c r="O302" s="242"/>
      <c r="P302" s="242"/>
      <c r="Q302" s="242"/>
      <c r="R302" s="242"/>
      <c r="S302" s="242"/>
      <c r="T302" s="242"/>
      <c r="U302" s="242"/>
      <c r="V302" s="242"/>
      <c r="W302" s="242"/>
      <c r="X302" s="242"/>
      <c r="Y302" s="242"/>
      <c r="Z302" s="242"/>
    </row>
    <row r="303">
      <c r="A303" s="242"/>
      <c r="B303" s="524"/>
      <c r="C303" s="524"/>
      <c r="D303" s="242"/>
      <c r="E303" s="242"/>
      <c r="F303" s="242"/>
      <c r="G303" s="13"/>
      <c r="H303" s="525"/>
      <c r="I303" s="242"/>
      <c r="J303" s="242"/>
      <c r="K303" s="242"/>
      <c r="L303" s="13"/>
      <c r="M303" s="13"/>
      <c r="N303" s="242"/>
      <c r="O303" s="242"/>
      <c r="P303" s="242"/>
      <c r="Q303" s="242"/>
      <c r="R303" s="242"/>
      <c r="S303" s="242"/>
      <c r="T303" s="242"/>
      <c r="U303" s="242"/>
      <c r="V303" s="242"/>
      <c r="W303" s="242"/>
      <c r="X303" s="242"/>
      <c r="Y303" s="242"/>
      <c r="Z303" s="242"/>
    </row>
    <row r="304">
      <c r="A304" s="242"/>
      <c r="B304" s="524"/>
      <c r="C304" s="524"/>
      <c r="D304" s="242"/>
      <c r="E304" s="242"/>
      <c r="F304" s="242"/>
      <c r="G304" s="13"/>
      <c r="H304" s="525"/>
      <c r="I304" s="242"/>
      <c r="J304" s="242"/>
      <c r="K304" s="242"/>
      <c r="L304" s="13"/>
      <c r="M304" s="13"/>
      <c r="N304" s="242"/>
      <c r="O304" s="242"/>
      <c r="P304" s="242"/>
      <c r="Q304" s="242"/>
      <c r="R304" s="242"/>
      <c r="S304" s="242"/>
      <c r="T304" s="242"/>
      <c r="U304" s="242"/>
      <c r="V304" s="242"/>
      <c r="W304" s="242"/>
      <c r="X304" s="242"/>
      <c r="Y304" s="242"/>
      <c r="Z304" s="242"/>
    </row>
    <row r="305">
      <c r="A305" s="242"/>
      <c r="B305" s="524"/>
      <c r="C305" s="524"/>
      <c r="D305" s="242"/>
      <c r="E305" s="242"/>
      <c r="F305" s="242"/>
      <c r="G305" s="13"/>
      <c r="H305" s="525"/>
      <c r="I305" s="242"/>
      <c r="J305" s="242"/>
      <c r="K305" s="242"/>
      <c r="L305" s="13"/>
      <c r="M305" s="13"/>
      <c r="N305" s="242"/>
      <c r="O305" s="242"/>
      <c r="P305" s="242"/>
      <c r="Q305" s="242"/>
      <c r="R305" s="242"/>
      <c r="S305" s="242"/>
      <c r="T305" s="242"/>
      <c r="U305" s="242"/>
      <c r="V305" s="242"/>
      <c r="W305" s="242"/>
      <c r="X305" s="242"/>
      <c r="Y305" s="242"/>
      <c r="Z305" s="242"/>
    </row>
    <row r="306">
      <c r="A306" s="242"/>
      <c r="B306" s="524"/>
      <c r="C306" s="524"/>
      <c r="D306" s="242"/>
      <c r="E306" s="242"/>
      <c r="F306" s="242"/>
      <c r="G306" s="13"/>
      <c r="H306" s="525"/>
      <c r="I306" s="242"/>
      <c r="J306" s="242"/>
      <c r="K306" s="242"/>
      <c r="L306" s="13"/>
      <c r="M306" s="13"/>
      <c r="N306" s="242"/>
      <c r="O306" s="242"/>
      <c r="P306" s="242"/>
      <c r="Q306" s="242"/>
      <c r="R306" s="242"/>
      <c r="S306" s="242"/>
      <c r="T306" s="242"/>
      <c r="U306" s="242"/>
      <c r="V306" s="242"/>
      <c r="W306" s="242"/>
      <c r="X306" s="242"/>
      <c r="Y306" s="242"/>
      <c r="Z306" s="242"/>
    </row>
    <row r="307">
      <c r="A307" s="242"/>
      <c r="B307" s="524"/>
      <c r="C307" s="524"/>
      <c r="D307" s="242"/>
      <c r="E307" s="242"/>
      <c r="F307" s="242"/>
      <c r="G307" s="13"/>
      <c r="H307" s="525"/>
      <c r="I307" s="242"/>
      <c r="J307" s="242"/>
      <c r="K307" s="242"/>
      <c r="L307" s="13"/>
      <c r="M307" s="13"/>
      <c r="N307" s="242"/>
      <c r="O307" s="242"/>
      <c r="P307" s="242"/>
      <c r="Q307" s="242"/>
      <c r="R307" s="242"/>
      <c r="S307" s="242"/>
      <c r="T307" s="242"/>
      <c r="U307" s="242"/>
      <c r="V307" s="242"/>
      <c r="W307" s="242"/>
      <c r="X307" s="242"/>
      <c r="Y307" s="242"/>
      <c r="Z307" s="242"/>
    </row>
    <row r="308">
      <c r="A308" s="242"/>
      <c r="B308" s="524"/>
      <c r="C308" s="524"/>
      <c r="D308" s="242"/>
      <c r="E308" s="242"/>
      <c r="F308" s="242"/>
      <c r="G308" s="13"/>
      <c r="H308" s="525"/>
      <c r="I308" s="242"/>
      <c r="J308" s="242"/>
      <c r="K308" s="242"/>
      <c r="L308" s="13"/>
      <c r="M308" s="13"/>
      <c r="N308" s="242"/>
      <c r="O308" s="242"/>
      <c r="P308" s="242"/>
      <c r="Q308" s="242"/>
      <c r="R308" s="242"/>
      <c r="S308" s="242"/>
      <c r="T308" s="242"/>
      <c r="U308" s="242"/>
      <c r="V308" s="242"/>
      <c r="W308" s="242"/>
      <c r="X308" s="242"/>
      <c r="Y308" s="242"/>
      <c r="Z308" s="242"/>
    </row>
    <row r="309">
      <c r="A309" s="242"/>
      <c r="B309" s="524"/>
      <c r="C309" s="524"/>
      <c r="D309" s="242"/>
      <c r="E309" s="242"/>
      <c r="F309" s="242"/>
      <c r="G309" s="13"/>
      <c r="H309" s="525"/>
      <c r="I309" s="242"/>
      <c r="J309" s="242"/>
      <c r="K309" s="242"/>
      <c r="L309" s="13"/>
      <c r="M309" s="13"/>
      <c r="N309" s="242"/>
      <c r="O309" s="242"/>
      <c r="P309" s="242"/>
      <c r="Q309" s="242"/>
      <c r="R309" s="242"/>
      <c r="S309" s="242"/>
      <c r="T309" s="242"/>
      <c r="U309" s="242"/>
      <c r="V309" s="242"/>
      <c r="W309" s="242"/>
      <c r="X309" s="242"/>
      <c r="Y309" s="242"/>
      <c r="Z309" s="242"/>
    </row>
    <row r="310">
      <c r="A310" s="242"/>
      <c r="B310" s="524"/>
      <c r="C310" s="524"/>
      <c r="D310" s="242"/>
      <c r="E310" s="242"/>
      <c r="F310" s="242"/>
      <c r="G310" s="13"/>
      <c r="H310" s="525"/>
      <c r="I310" s="242"/>
      <c r="J310" s="242"/>
      <c r="K310" s="242"/>
      <c r="L310" s="13"/>
      <c r="M310" s="13"/>
      <c r="N310" s="242"/>
      <c r="O310" s="242"/>
      <c r="P310" s="242"/>
      <c r="Q310" s="242"/>
      <c r="R310" s="242"/>
      <c r="S310" s="242"/>
      <c r="T310" s="242"/>
      <c r="U310" s="242"/>
      <c r="V310" s="242"/>
      <c r="W310" s="242"/>
      <c r="X310" s="242"/>
      <c r="Y310" s="242"/>
      <c r="Z310" s="242"/>
    </row>
    <row r="311">
      <c r="A311" s="242"/>
      <c r="B311" s="524"/>
      <c r="C311" s="524"/>
      <c r="D311" s="242"/>
      <c r="E311" s="242"/>
      <c r="F311" s="242"/>
      <c r="G311" s="13"/>
      <c r="H311" s="525"/>
      <c r="I311" s="242"/>
      <c r="J311" s="242"/>
      <c r="K311" s="242"/>
      <c r="L311" s="13"/>
      <c r="M311" s="13"/>
      <c r="N311" s="242"/>
      <c r="O311" s="242"/>
      <c r="P311" s="242"/>
      <c r="Q311" s="242"/>
      <c r="R311" s="242"/>
      <c r="S311" s="242"/>
      <c r="T311" s="242"/>
      <c r="U311" s="242"/>
      <c r="V311" s="242"/>
      <c r="W311" s="242"/>
      <c r="X311" s="242"/>
      <c r="Y311" s="242"/>
      <c r="Z311" s="242"/>
    </row>
    <row r="312">
      <c r="A312" s="242"/>
      <c r="B312" s="524"/>
      <c r="C312" s="524"/>
      <c r="D312" s="242"/>
      <c r="E312" s="242"/>
      <c r="F312" s="242"/>
      <c r="G312" s="13"/>
      <c r="H312" s="525"/>
      <c r="I312" s="242"/>
      <c r="J312" s="242"/>
      <c r="K312" s="242"/>
      <c r="L312" s="13"/>
      <c r="M312" s="13"/>
      <c r="N312" s="242"/>
      <c r="O312" s="242"/>
      <c r="P312" s="242"/>
      <c r="Q312" s="242"/>
      <c r="R312" s="242"/>
      <c r="S312" s="242"/>
      <c r="T312" s="242"/>
      <c r="U312" s="242"/>
      <c r="V312" s="242"/>
      <c r="W312" s="242"/>
      <c r="X312" s="242"/>
      <c r="Y312" s="242"/>
      <c r="Z312" s="242"/>
    </row>
    <row r="313">
      <c r="A313" s="242"/>
      <c r="B313" s="524"/>
      <c r="C313" s="524"/>
      <c r="D313" s="242"/>
      <c r="E313" s="242"/>
      <c r="F313" s="242"/>
      <c r="G313" s="13"/>
      <c r="H313" s="525"/>
      <c r="I313" s="242"/>
      <c r="J313" s="242"/>
      <c r="K313" s="242"/>
      <c r="L313" s="13"/>
      <c r="M313" s="13"/>
      <c r="N313" s="242"/>
      <c r="O313" s="242"/>
      <c r="P313" s="242"/>
      <c r="Q313" s="242"/>
      <c r="R313" s="242"/>
      <c r="S313" s="242"/>
      <c r="T313" s="242"/>
      <c r="U313" s="242"/>
      <c r="V313" s="242"/>
      <c r="W313" s="242"/>
      <c r="X313" s="242"/>
      <c r="Y313" s="242"/>
      <c r="Z313" s="242"/>
    </row>
    <row r="314">
      <c r="A314" s="242"/>
      <c r="B314" s="524"/>
      <c r="C314" s="524"/>
      <c r="D314" s="242"/>
      <c r="E314" s="242"/>
      <c r="F314" s="242"/>
      <c r="G314" s="13"/>
      <c r="H314" s="525"/>
      <c r="I314" s="242"/>
      <c r="J314" s="242"/>
      <c r="K314" s="242"/>
      <c r="L314" s="13"/>
      <c r="M314" s="13"/>
      <c r="N314" s="242"/>
      <c r="O314" s="242"/>
      <c r="P314" s="242"/>
      <c r="Q314" s="242"/>
      <c r="R314" s="242"/>
      <c r="S314" s="242"/>
      <c r="T314" s="242"/>
      <c r="U314" s="242"/>
      <c r="V314" s="242"/>
      <c r="W314" s="242"/>
      <c r="X314" s="242"/>
      <c r="Y314" s="242"/>
      <c r="Z314" s="242"/>
    </row>
    <row r="315">
      <c r="A315" s="242"/>
      <c r="B315" s="524"/>
      <c r="C315" s="524"/>
      <c r="D315" s="242"/>
      <c r="E315" s="242"/>
      <c r="F315" s="242"/>
      <c r="G315" s="13"/>
      <c r="H315" s="525"/>
      <c r="I315" s="242"/>
      <c r="J315" s="242"/>
      <c r="K315" s="242"/>
      <c r="L315" s="13"/>
      <c r="M315" s="13"/>
      <c r="N315" s="242"/>
      <c r="O315" s="242"/>
      <c r="P315" s="242"/>
      <c r="Q315" s="242"/>
      <c r="R315" s="242"/>
      <c r="S315" s="242"/>
      <c r="T315" s="242"/>
      <c r="U315" s="242"/>
      <c r="V315" s="242"/>
      <c r="W315" s="242"/>
      <c r="X315" s="242"/>
      <c r="Y315" s="242"/>
      <c r="Z315" s="242"/>
    </row>
    <row r="316">
      <c r="A316" s="242"/>
      <c r="B316" s="524"/>
      <c r="C316" s="524"/>
      <c r="D316" s="242"/>
      <c r="E316" s="242"/>
      <c r="F316" s="242"/>
      <c r="G316" s="13"/>
      <c r="H316" s="525"/>
      <c r="I316" s="242"/>
      <c r="J316" s="242"/>
      <c r="K316" s="242"/>
      <c r="L316" s="13"/>
      <c r="M316" s="13"/>
      <c r="N316" s="242"/>
      <c r="O316" s="242"/>
      <c r="P316" s="242"/>
      <c r="Q316" s="242"/>
      <c r="R316" s="242"/>
      <c r="S316" s="242"/>
      <c r="T316" s="242"/>
      <c r="U316" s="242"/>
      <c r="V316" s="242"/>
      <c r="W316" s="242"/>
      <c r="X316" s="242"/>
      <c r="Y316" s="242"/>
      <c r="Z316" s="242"/>
    </row>
    <row r="317">
      <c r="A317" s="242"/>
      <c r="B317" s="524"/>
      <c r="C317" s="524"/>
      <c r="D317" s="242"/>
      <c r="E317" s="242"/>
      <c r="F317" s="242"/>
      <c r="G317" s="13"/>
      <c r="H317" s="525"/>
      <c r="I317" s="242"/>
      <c r="J317" s="242"/>
      <c r="K317" s="242"/>
      <c r="L317" s="13"/>
      <c r="M317" s="13"/>
      <c r="N317" s="242"/>
      <c r="O317" s="242"/>
      <c r="P317" s="242"/>
      <c r="Q317" s="242"/>
      <c r="R317" s="242"/>
      <c r="S317" s="242"/>
      <c r="T317" s="242"/>
      <c r="U317" s="242"/>
      <c r="V317" s="242"/>
      <c r="W317" s="242"/>
      <c r="X317" s="242"/>
      <c r="Y317" s="242"/>
      <c r="Z317" s="242"/>
    </row>
    <row r="318">
      <c r="A318" s="242"/>
      <c r="B318" s="524"/>
      <c r="C318" s="524"/>
      <c r="D318" s="242"/>
      <c r="E318" s="242"/>
      <c r="F318" s="242"/>
      <c r="G318" s="13"/>
      <c r="H318" s="525"/>
      <c r="I318" s="242"/>
      <c r="J318" s="242"/>
      <c r="K318" s="242"/>
      <c r="L318" s="13"/>
      <c r="M318" s="13"/>
      <c r="N318" s="242"/>
      <c r="O318" s="242"/>
      <c r="P318" s="242"/>
      <c r="Q318" s="242"/>
      <c r="R318" s="242"/>
      <c r="S318" s="242"/>
      <c r="T318" s="242"/>
      <c r="U318" s="242"/>
      <c r="V318" s="242"/>
      <c r="W318" s="242"/>
      <c r="X318" s="242"/>
      <c r="Y318" s="242"/>
      <c r="Z318" s="242"/>
    </row>
    <row r="319">
      <c r="A319" s="242"/>
      <c r="B319" s="524"/>
      <c r="C319" s="524"/>
      <c r="D319" s="242"/>
      <c r="E319" s="242"/>
      <c r="F319" s="242"/>
      <c r="G319" s="13"/>
      <c r="H319" s="525"/>
      <c r="I319" s="242"/>
      <c r="J319" s="242"/>
      <c r="K319" s="242"/>
      <c r="L319" s="13"/>
      <c r="M319" s="13"/>
      <c r="N319" s="242"/>
      <c r="O319" s="242"/>
      <c r="P319" s="242"/>
      <c r="Q319" s="242"/>
      <c r="R319" s="242"/>
      <c r="S319" s="242"/>
      <c r="T319" s="242"/>
      <c r="U319" s="242"/>
      <c r="V319" s="242"/>
      <c r="W319" s="242"/>
      <c r="X319" s="242"/>
      <c r="Y319" s="242"/>
      <c r="Z319" s="242"/>
    </row>
    <row r="320">
      <c r="A320" s="242"/>
      <c r="B320" s="524"/>
      <c r="C320" s="524"/>
      <c r="D320" s="242"/>
      <c r="E320" s="242"/>
      <c r="F320" s="242"/>
      <c r="G320" s="13"/>
      <c r="H320" s="525"/>
      <c r="I320" s="242"/>
      <c r="J320" s="242"/>
      <c r="K320" s="242"/>
      <c r="L320" s="13"/>
      <c r="M320" s="13"/>
      <c r="N320" s="242"/>
      <c r="O320" s="242"/>
      <c r="P320" s="242"/>
      <c r="Q320" s="242"/>
      <c r="R320" s="242"/>
      <c r="S320" s="242"/>
      <c r="T320" s="242"/>
      <c r="U320" s="242"/>
      <c r="V320" s="242"/>
      <c r="W320" s="242"/>
      <c r="X320" s="242"/>
      <c r="Y320" s="242"/>
      <c r="Z320" s="242"/>
    </row>
    <row r="321">
      <c r="A321" s="242"/>
      <c r="B321" s="524"/>
      <c r="C321" s="524"/>
      <c r="D321" s="242"/>
      <c r="E321" s="242"/>
      <c r="F321" s="242"/>
      <c r="G321" s="13"/>
      <c r="H321" s="525"/>
      <c r="I321" s="242"/>
      <c r="J321" s="242"/>
      <c r="K321" s="242"/>
      <c r="L321" s="13"/>
      <c r="M321" s="13"/>
      <c r="N321" s="242"/>
      <c r="O321" s="242"/>
      <c r="P321" s="242"/>
      <c r="Q321" s="242"/>
      <c r="R321" s="242"/>
      <c r="S321" s="242"/>
      <c r="T321" s="242"/>
      <c r="U321" s="242"/>
      <c r="V321" s="242"/>
      <c r="W321" s="242"/>
      <c r="X321" s="242"/>
      <c r="Y321" s="242"/>
      <c r="Z321" s="242"/>
    </row>
    <row r="322">
      <c r="A322" s="242"/>
      <c r="B322" s="524"/>
      <c r="C322" s="524"/>
      <c r="D322" s="242"/>
      <c r="E322" s="242"/>
      <c r="F322" s="242"/>
      <c r="G322" s="13"/>
      <c r="H322" s="525"/>
      <c r="I322" s="242"/>
      <c r="J322" s="242"/>
      <c r="K322" s="242"/>
      <c r="L322" s="13"/>
      <c r="M322" s="13"/>
      <c r="N322" s="242"/>
      <c r="O322" s="242"/>
      <c r="P322" s="242"/>
      <c r="Q322" s="242"/>
      <c r="R322" s="242"/>
      <c r="S322" s="242"/>
      <c r="T322" s="242"/>
      <c r="U322" s="242"/>
      <c r="V322" s="242"/>
      <c r="W322" s="242"/>
      <c r="X322" s="242"/>
      <c r="Y322" s="242"/>
      <c r="Z322" s="242"/>
    </row>
    <row r="323">
      <c r="A323" s="242"/>
      <c r="B323" s="524"/>
      <c r="C323" s="524"/>
      <c r="D323" s="242"/>
      <c r="E323" s="242"/>
      <c r="F323" s="242"/>
      <c r="G323" s="13"/>
      <c r="H323" s="525"/>
      <c r="I323" s="242"/>
      <c r="J323" s="242"/>
      <c r="K323" s="242"/>
      <c r="L323" s="13"/>
      <c r="M323" s="13"/>
      <c r="N323" s="242"/>
      <c r="O323" s="242"/>
      <c r="P323" s="242"/>
      <c r="Q323" s="242"/>
      <c r="R323" s="242"/>
      <c r="S323" s="242"/>
      <c r="T323" s="242"/>
      <c r="U323" s="242"/>
      <c r="V323" s="242"/>
      <c r="W323" s="242"/>
      <c r="X323" s="242"/>
      <c r="Y323" s="242"/>
      <c r="Z323" s="242"/>
    </row>
    <row r="324">
      <c r="A324" s="242"/>
      <c r="B324" s="524"/>
      <c r="C324" s="524"/>
      <c r="D324" s="242"/>
      <c r="E324" s="242"/>
      <c r="F324" s="242"/>
      <c r="G324" s="13"/>
      <c r="H324" s="525"/>
      <c r="I324" s="242"/>
      <c r="J324" s="242"/>
      <c r="K324" s="242"/>
      <c r="L324" s="13"/>
      <c r="M324" s="13"/>
      <c r="N324" s="242"/>
      <c r="O324" s="242"/>
      <c r="P324" s="242"/>
      <c r="Q324" s="242"/>
      <c r="R324" s="242"/>
      <c r="S324" s="242"/>
      <c r="T324" s="242"/>
      <c r="U324" s="242"/>
      <c r="V324" s="242"/>
      <c r="W324" s="242"/>
      <c r="X324" s="242"/>
      <c r="Y324" s="242"/>
      <c r="Z324" s="242"/>
    </row>
    <row r="325">
      <c r="A325" s="242"/>
      <c r="B325" s="524"/>
      <c r="C325" s="524"/>
      <c r="D325" s="242"/>
      <c r="E325" s="242"/>
      <c r="F325" s="242"/>
      <c r="G325" s="13"/>
      <c r="H325" s="525"/>
      <c r="I325" s="242"/>
      <c r="J325" s="242"/>
      <c r="K325" s="242"/>
      <c r="L325" s="13"/>
      <c r="M325" s="13"/>
      <c r="N325" s="242"/>
      <c r="O325" s="242"/>
      <c r="P325" s="242"/>
      <c r="Q325" s="242"/>
      <c r="R325" s="242"/>
      <c r="S325" s="242"/>
      <c r="T325" s="242"/>
      <c r="U325" s="242"/>
      <c r="V325" s="242"/>
      <c r="W325" s="242"/>
      <c r="X325" s="242"/>
      <c r="Y325" s="242"/>
      <c r="Z325" s="242"/>
    </row>
    <row r="326">
      <c r="A326" s="242"/>
      <c r="B326" s="524"/>
      <c r="C326" s="524"/>
      <c r="D326" s="242"/>
      <c r="E326" s="242"/>
      <c r="F326" s="242"/>
      <c r="G326" s="13"/>
      <c r="H326" s="525"/>
      <c r="I326" s="242"/>
      <c r="J326" s="242"/>
      <c r="K326" s="242"/>
      <c r="L326" s="13"/>
      <c r="M326" s="13"/>
      <c r="N326" s="242"/>
      <c r="O326" s="242"/>
      <c r="P326" s="242"/>
      <c r="Q326" s="242"/>
      <c r="R326" s="242"/>
      <c r="S326" s="242"/>
      <c r="T326" s="242"/>
      <c r="U326" s="242"/>
      <c r="V326" s="242"/>
      <c r="W326" s="242"/>
      <c r="X326" s="242"/>
      <c r="Y326" s="242"/>
      <c r="Z326" s="242"/>
    </row>
    <row r="327">
      <c r="A327" s="242"/>
      <c r="B327" s="524"/>
      <c r="C327" s="524"/>
      <c r="D327" s="242"/>
      <c r="E327" s="242"/>
      <c r="F327" s="242"/>
      <c r="G327" s="13"/>
      <c r="H327" s="525"/>
      <c r="I327" s="242"/>
      <c r="J327" s="242"/>
      <c r="K327" s="242"/>
      <c r="L327" s="13"/>
      <c r="M327" s="13"/>
      <c r="N327" s="242"/>
      <c r="O327" s="242"/>
      <c r="P327" s="242"/>
      <c r="Q327" s="242"/>
      <c r="R327" s="242"/>
      <c r="S327" s="242"/>
      <c r="T327" s="242"/>
      <c r="U327" s="242"/>
      <c r="V327" s="242"/>
      <c r="W327" s="242"/>
      <c r="X327" s="242"/>
      <c r="Y327" s="242"/>
      <c r="Z327" s="242"/>
    </row>
    <row r="328">
      <c r="A328" s="242"/>
      <c r="B328" s="524"/>
      <c r="C328" s="524"/>
      <c r="D328" s="242"/>
      <c r="E328" s="242"/>
      <c r="F328" s="242"/>
      <c r="G328" s="13"/>
      <c r="H328" s="525"/>
      <c r="I328" s="242"/>
      <c r="J328" s="242"/>
      <c r="K328" s="242"/>
      <c r="L328" s="13"/>
      <c r="M328" s="13"/>
      <c r="N328" s="242"/>
      <c r="O328" s="242"/>
      <c r="P328" s="242"/>
      <c r="Q328" s="242"/>
      <c r="R328" s="242"/>
      <c r="S328" s="242"/>
      <c r="T328" s="242"/>
      <c r="U328" s="242"/>
      <c r="V328" s="242"/>
      <c r="W328" s="242"/>
      <c r="X328" s="242"/>
      <c r="Y328" s="242"/>
      <c r="Z328" s="242"/>
    </row>
    <row r="329">
      <c r="A329" s="242"/>
      <c r="B329" s="524"/>
      <c r="C329" s="524"/>
      <c r="D329" s="242"/>
      <c r="E329" s="242"/>
      <c r="F329" s="242"/>
      <c r="G329" s="13"/>
      <c r="H329" s="525"/>
      <c r="I329" s="242"/>
      <c r="J329" s="242"/>
      <c r="K329" s="242"/>
      <c r="L329" s="13"/>
      <c r="M329" s="13"/>
      <c r="N329" s="242"/>
      <c r="O329" s="242"/>
      <c r="P329" s="242"/>
      <c r="Q329" s="242"/>
      <c r="R329" s="242"/>
      <c r="S329" s="242"/>
      <c r="T329" s="242"/>
      <c r="U329" s="242"/>
      <c r="V329" s="242"/>
      <c r="W329" s="242"/>
      <c r="X329" s="242"/>
      <c r="Y329" s="242"/>
      <c r="Z329" s="242"/>
    </row>
    <row r="330">
      <c r="A330" s="242"/>
      <c r="B330" s="524"/>
      <c r="C330" s="524"/>
      <c r="D330" s="242"/>
      <c r="E330" s="242"/>
      <c r="F330" s="242"/>
      <c r="G330" s="13"/>
      <c r="H330" s="525"/>
      <c r="I330" s="242"/>
      <c r="J330" s="242"/>
      <c r="K330" s="242"/>
      <c r="L330" s="13"/>
      <c r="M330" s="13"/>
      <c r="N330" s="242"/>
      <c r="O330" s="242"/>
      <c r="P330" s="242"/>
      <c r="Q330" s="242"/>
      <c r="R330" s="242"/>
      <c r="S330" s="242"/>
      <c r="T330" s="242"/>
      <c r="U330" s="242"/>
      <c r="V330" s="242"/>
      <c r="W330" s="242"/>
      <c r="X330" s="242"/>
      <c r="Y330" s="242"/>
      <c r="Z330" s="242"/>
    </row>
    <row r="331">
      <c r="A331" s="242"/>
      <c r="B331" s="524"/>
      <c r="C331" s="524"/>
      <c r="D331" s="242"/>
      <c r="E331" s="242"/>
      <c r="F331" s="242"/>
      <c r="G331" s="13"/>
      <c r="H331" s="525"/>
      <c r="I331" s="242"/>
      <c r="J331" s="242"/>
      <c r="K331" s="242"/>
      <c r="L331" s="13"/>
      <c r="M331" s="13"/>
      <c r="N331" s="242"/>
      <c r="O331" s="242"/>
      <c r="P331" s="242"/>
      <c r="Q331" s="242"/>
      <c r="R331" s="242"/>
      <c r="S331" s="242"/>
      <c r="T331" s="242"/>
      <c r="U331" s="242"/>
      <c r="V331" s="242"/>
      <c r="W331" s="242"/>
      <c r="X331" s="242"/>
      <c r="Y331" s="242"/>
      <c r="Z331" s="242"/>
    </row>
    <row r="332">
      <c r="A332" s="242"/>
      <c r="B332" s="524"/>
      <c r="C332" s="524"/>
      <c r="D332" s="242"/>
      <c r="E332" s="242"/>
      <c r="F332" s="242"/>
      <c r="G332" s="13"/>
      <c r="H332" s="525"/>
      <c r="I332" s="242"/>
      <c r="J332" s="242"/>
      <c r="K332" s="242"/>
      <c r="L332" s="13"/>
      <c r="M332" s="13"/>
      <c r="N332" s="242"/>
      <c r="O332" s="242"/>
      <c r="P332" s="242"/>
      <c r="Q332" s="242"/>
      <c r="R332" s="242"/>
      <c r="S332" s="242"/>
      <c r="T332" s="242"/>
      <c r="U332" s="242"/>
      <c r="V332" s="242"/>
      <c r="W332" s="242"/>
      <c r="X332" s="242"/>
      <c r="Y332" s="242"/>
      <c r="Z332" s="242"/>
    </row>
    <row r="333">
      <c r="A333" s="242"/>
      <c r="B333" s="524"/>
      <c r="C333" s="524"/>
      <c r="D333" s="242"/>
      <c r="E333" s="242"/>
      <c r="F333" s="242"/>
      <c r="G333" s="13"/>
      <c r="H333" s="525"/>
      <c r="I333" s="242"/>
      <c r="J333" s="242"/>
      <c r="K333" s="242"/>
      <c r="L333" s="13"/>
      <c r="M333" s="13"/>
      <c r="N333" s="242"/>
      <c r="O333" s="242"/>
      <c r="P333" s="242"/>
      <c r="Q333" s="242"/>
      <c r="R333" s="242"/>
      <c r="S333" s="242"/>
      <c r="T333" s="242"/>
      <c r="U333" s="242"/>
      <c r="V333" s="242"/>
      <c r="W333" s="242"/>
      <c r="X333" s="242"/>
      <c r="Y333" s="242"/>
      <c r="Z333" s="242"/>
    </row>
    <row r="334">
      <c r="A334" s="242"/>
      <c r="B334" s="524"/>
      <c r="C334" s="524"/>
      <c r="D334" s="242"/>
      <c r="E334" s="242"/>
      <c r="F334" s="242"/>
      <c r="G334" s="13"/>
      <c r="H334" s="525"/>
      <c r="I334" s="242"/>
      <c r="J334" s="242"/>
      <c r="K334" s="242"/>
      <c r="L334" s="13"/>
      <c r="M334" s="13"/>
      <c r="N334" s="242"/>
      <c r="O334" s="242"/>
      <c r="P334" s="242"/>
      <c r="Q334" s="242"/>
      <c r="R334" s="242"/>
      <c r="S334" s="242"/>
      <c r="T334" s="242"/>
      <c r="U334" s="242"/>
      <c r="V334" s="242"/>
      <c r="W334" s="242"/>
      <c r="X334" s="242"/>
      <c r="Y334" s="242"/>
      <c r="Z334" s="242"/>
    </row>
    <row r="335">
      <c r="A335" s="242"/>
      <c r="B335" s="524"/>
      <c r="C335" s="524"/>
      <c r="D335" s="242"/>
      <c r="E335" s="242"/>
      <c r="F335" s="242"/>
      <c r="G335" s="13"/>
      <c r="H335" s="525"/>
      <c r="I335" s="242"/>
      <c r="J335" s="242"/>
      <c r="K335" s="242"/>
      <c r="L335" s="13"/>
      <c r="M335" s="13"/>
      <c r="N335" s="242"/>
      <c r="O335" s="242"/>
      <c r="P335" s="242"/>
      <c r="Q335" s="242"/>
      <c r="R335" s="242"/>
      <c r="S335" s="242"/>
      <c r="T335" s="242"/>
      <c r="U335" s="242"/>
      <c r="V335" s="242"/>
      <c r="W335" s="242"/>
      <c r="X335" s="242"/>
      <c r="Y335" s="242"/>
      <c r="Z335" s="242"/>
    </row>
    <row r="336">
      <c r="A336" s="242"/>
      <c r="B336" s="524"/>
      <c r="C336" s="524"/>
      <c r="D336" s="242"/>
      <c r="E336" s="242"/>
      <c r="F336" s="242"/>
      <c r="G336" s="13"/>
      <c r="H336" s="525"/>
      <c r="I336" s="242"/>
      <c r="J336" s="242"/>
      <c r="K336" s="242"/>
      <c r="L336" s="13"/>
      <c r="M336" s="13"/>
      <c r="N336" s="242"/>
      <c r="O336" s="242"/>
      <c r="P336" s="242"/>
      <c r="Q336" s="242"/>
      <c r="R336" s="242"/>
      <c r="S336" s="242"/>
      <c r="T336" s="242"/>
      <c r="U336" s="242"/>
      <c r="V336" s="242"/>
      <c r="W336" s="242"/>
      <c r="X336" s="242"/>
      <c r="Y336" s="242"/>
      <c r="Z336" s="242"/>
    </row>
    <row r="337">
      <c r="A337" s="242"/>
      <c r="B337" s="524"/>
      <c r="C337" s="524"/>
      <c r="D337" s="242"/>
      <c r="E337" s="242"/>
      <c r="F337" s="242"/>
      <c r="G337" s="13"/>
      <c r="H337" s="525"/>
      <c r="I337" s="242"/>
      <c r="J337" s="242"/>
      <c r="K337" s="242"/>
      <c r="L337" s="13"/>
      <c r="M337" s="13"/>
      <c r="N337" s="242"/>
      <c r="O337" s="242"/>
      <c r="P337" s="242"/>
      <c r="Q337" s="242"/>
      <c r="R337" s="242"/>
      <c r="S337" s="242"/>
      <c r="T337" s="242"/>
      <c r="U337" s="242"/>
      <c r="V337" s="242"/>
      <c r="W337" s="242"/>
      <c r="X337" s="242"/>
      <c r="Y337" s="242"/>
      <c r="Z337" s="242"/>
    </row>
    <row r="338">
      <c r="A338" s="242"/>
      <c r="B338" s="524"/>
      <c r="C338" s="524"/>
      <c r="D338" s="242"/>
      <c r="E338" s="242"/>
      <c r="F338" s="242"/>
      <c r="G338" s="13"/>
      <c r="H338" s="525"/>
      <c r="I338" s="242"/>
      <c r="J338" s="242"/>
      <c r="K338" s="242"/>
      <c r="L338" s="13"/>
      <c r="M338" s="13"/>
      <c r="N338" s="242"/>
      <c r="O338" s="242"/>
      <c r="P338" s="242"/>
      <c r="Q338" s="242"/>
      <c r="R338" s="242"/>
      <c r="S338" s="242"/>
      <c r="T338" s="242"/>
      <c r="U338" s="242"/>
      <c r="V338" s="242"/>
      <c r="W338" s="242"/>
      <c r="X338" s="242"/>
      <c r="Y338" s="242"/>
      <c r="Z338" s="242"/>
    </row>
    <row r="339">
      <c r="A339" s="242"/>
      <c r="B339" s="524"/>
      <c r="C339" s="524"/>
      <c r="D339" s="242"/>
      <c r="E339" s="242"/>
      <c r="F339" s="242"/>
      <c r="G339" s="13"/>
      <c r="H339" s="525"/>
      <c r="I339" s="242"/>
      <c r="J339" s="242"/>
      <c r="K339" s="242"/>
      <c r="L339" s="13"/>
      <c r="M339" s="13"/>
      <c r="N339" s="242"/>
      <c r="O339" s="242"/>
      <c r="P339" s="242"/>
      <c r="Q339" s="242"/>
      <c r="R339" s="242"/>
      <c r="S339" s="242"/>
      <c r="T339" s="242"/>
      <c r="U339" s="242"/>
      <c r="V339" s="242"/>
      <c r="W339" s="242"/>
      <c r="X339" s="242"/>
      <c r="Y339" s="242"/>
      <c r="Z339" s="242"/>
    </row>
    <row r="340">
      <c r="A340" s="242"/>
      <c r="B340" s="524"/>
      <c r="C340" s="524"/>
      <c r="D340" s="242"/>
      <c r="E340" s="242"/>
      <c r="F340" s="242"/>
      <c r="G340" s="13"/>
      <c r="H340" s="525"/>
      <c r="I340" s="242"/>
      <c r="J340" s="242"/>
      <c r="K340" s="242"/>
      <c r="L340" s="13"/>
      <c r="M340" s="13"/>
      <c r="N340" s="242"/>
      <c r="O340" s="242"/>
      <c r="P340" s="242"/>
      <c r="Q340" s="242"/>
      <c r="R340" s="242"/>
      <c r="S340" s="242"/>
      <c r="T340" s="242"/>
      <c r="U340" s="242"/>
      <c r="V340" s="242"/>
      <c r="W340" s="242"/>
      <c r="X340" s="242"/>
      <c r="Y340" s="242"/>
      <c r="Z340" s="242"/>
    </row>
    <row r="341">
      <c r="A341" s="242"/>
      <c r="B341" s="524"/>
      <c r="C341" s="524"/>
      <c r="D341" s="242"/>
      <c r="E341" s="242"/>
      <c r="F341" s="242"/>
      <c r="G341" s="13"/>
      <c r="H341" s="525"/>
      <c r="I341" s="242"/>
      <c r="J341" s="242"/>
      <c r="K341" s="242"/>
      <c r="L341" s="13"/>
      <c r="M341" s="13"/>
      <c r="N341" s="242"/>
      <c r="O341" s="242"/>
      <c r="P341" s="242"/>
      <c r="Q341" s="242"/>
      <c r="R341" s="242"/>
      <c r="S341" s="242"/>
      <c r="T341" s="242"/>
      <c r="U341" s="242"/>
      <c r="V341" s="242"/>
      <c r="W341" s="242"/>
      <c r="X341" s="242"/>
      <c r="Y341" s="242"/>
      <c r="Z341" s="242"/>
    </row>
    <row r="342">
      <c r="A342" s="242"/>
      <c r="B342" s="524"/>
      <c r="C342" s="524"/>
      <c r="D342" s="242"/>
      <c r="E342" s="242"/>
      <c r="F342" s="242"/>
      <c r="G342" s="13"/>
      <c r="H342" s="525"/>
      <c r="I342" s="242"/>
      <c r="J342" s="242"/>
      <c r="K342" s="242"/>
      <c r="L342" s="13"/>
      <c r="M342" s="13"/>
      <c r="N342" s="242"/>
      <c r="O342" s="242"/>
      <c r="P342" s="242"/>
      <c r="Q342" s="242"/>
      <c r="R342" s="242"/>
      <c r="S342" s="242"/>
      <c r="T342" s="242"/>
      <c r="U342" s="242"/>
      <c r="V342" s="242"/>
      <c r="W342" s="242"/>
      <c r="X342" s="242"/>
      <c r="Y342" s="242"/>
      <c r="Z342" s="242"/>
    </row>
    <row r="343">
      <c r="A343" s="242"/>
      <c r="B343" s="524"/>
      <c r="C343" s="524"/>
      <c r="D343" s="242"/>
      <c r="E343" s="242"/>
      <c r="F343" s="242"/>
      <c r="G343" s="13"/>
      <c r="H343" s="525"/>
      <c r="I343" s="242"/>
      <c r="J343" s="242"/>
      <c r="K343" s="242"/>
      <c r="L343" s="13"/>
      <c r="M343" s="13"/>
      <c r="N343" s="242"/>
      <c r="O343" s="242"/>
      <c r="P343" s="242"/>
      <c r="Q343" s="242"/>
      <c r="R343" s="242"/>
      <c r="S343" s="242"/>
      <c r="T343" s="242"/>
      <c r="U343" s="242"/>
      <c r="V343" s="242"/>
      <c r="W343" s="242"/>
      <c r="X343" s="242"/>
      <c r="Y343" s="242"/>
      <c r="Z343" s="242"/>
    </row>
    <row r="344">
      <c r="A344" s="242"/>
      <c r="B344" s="524"/>
      <c r="C344" s="524"/>
      <c r="D344" s="242"/>
      <c r="E344" s="242"/>
      <c r="F344" s="242"/>
      <c r="G344" s="13"/>
      <c r="H344" s="525"/>
      <c r="I344" s="242"/>
      <c r="J344" s="242"/>
      <c r="K344" s="242"/>
      <c r="L344" s="13"/>
      <c r="M344" s="13"/>
      <c r="N344" s="242"/>
      <c r="O344" s="242"/>
      <c r="P344" s="242"/>
      <c r="Q344" s="242"/>
      <c r="R344" s="242"/>
      <c r="S344" s="242"/>
      <c r="T344" s="242"/>
      <c r="U344" s="242"/>
      <c r="V344" s="242"/>
      <c r="W344" s="242"/>
      <c r="X344" s="242"/>
      <c r="Y344" s="242"/>
      <c r="Z344" s="242"/>
    </row>
    <row r="345">
      <c r="A345" s="242"/>
      <c r="B345" s="524"/>
      <c r="C345" s="524"/>
      <c r="D345" s="242"/>
      <c r="E345" s="242"/>
      <c r="F345" s="242"/>
      <c r="G345" s="13"/>
      <c r="H345" s="525"/>
      <c r="I345" s="242"/>
      <c r="J345" s="242"/>
      <c r="K345" s="242"/>
      <c r="L345" s="13"/>
      <c r="M345" s="13"/>
      <c r="N345" s="242"/>
      <c r="O345" s="242"/>
      <c r="P345" s="242"/>
      <c r="Q345" s="242"/>
      <c r="R345" s="242"/>
      <c r="S345" s="242"/>
      <c r="T345" s="242"/>
      <c r="U345" s="242"/>
      <c r="V345" s="242"/>
      <c r="W345" s="242"/>
      <c r="X345" s="242"/>
      <c r="Y345" s="242"/>
      <c r="Z345" s="242"/>
    </row>
    <row r="346">
      <c r="A346" s="242"/>
      <c r="B346" s="524"/>
      <c r="C346" s="524"/>
      <c r="D346" s="242"/>
      <c r="E346" s="242"/>
      <c r="F346" s="242"/>
      <c r="G346" s="13"/>
      <c r="H346" s="525"/>
      <c r="I346" s="242"/>
      <c r="J346" s="242"/>
      <c r="K346" s="242"/>
      <c r="L346" s="13"/>
      <c r="M346" s="13"/>
      <c r="N346" s="242"/>
      <c r="O346" s="242"/>
      <c r="P346" s="242"/>
      <c r="Q346" s="242"/>
      <c r="R346" s="242"/>
      <c r="S346" s="242"/>
      <c r="T346" s="242"/>
      <c r="U346" s="242"/>
      <c r="V346" s="242"/>
      <c r="W346" s="242"/>
      <c r="X346" s="242"/>
      <c r="Y346" s="242"/>
      <c r="Z346" s="242"/>
    </row>
    <row r="347">
      <c r="A347" s="242"/>
      <c r="B347" s="524"/>
      <c r="C347" s="524"/>
      <c r="D347" s="242"/>
      <c r="E347" s="242"/>
      <c r="F347" s="242"/>
      <c r="G347" s="13"/>
      <c r="H347" s="525"/>
      <c r="I347" s="242"/>
      <c r="J347" s="242"/>
      <c r="K347" s="242"/>
      <c r="L347" s="13"/>
      <c r="M347" s="13"/>
      <c r="N347" s="242"/>
      <c r="O347" s="242"/>
      <c r="P347" s="242"/>
      <c r="Q347" s="242"/>
      <c r="R347" s="242"/>
      <c r="S347" s="242"/>
      <c r="T347" s="242"/>
      <c r="U347" s="242"/>
      <c r="V347" s="242"/>
      <c r="W347" s="242"/>
      <c r="X347" s="242"/>
      <c r="Y347" s="242"/>
      <c r="Z347" s="242"/>
    </row>
    <row r="348">
      <c r="A348" s="242"/>
      <c r="B348" s="524"/>
      <c r="C348" s="524"/>
      <c r="D348" s="242"/>
      <c r="E348" s="242"/>
      <c r="F348" s="242"/>
      <c r="G348" s="13"/>
      <c r="H348" s="525"/>
      <c r="I348" s="242"/>
      <c r="J348" s="242"/>
      <c r="K348" s="242"/>
      <c r="L348" s="13"/>
      <c r="M348" s="13"/>
      <c r="N348" s="242"/>
      <c r="O348" s="242"/>
      <c r="P348" s="242"/>
      <c r="Q348" s="242"/>
      <c r="R348" s="242"/>
      <c r="S348" s="242"/>
      <c r="T348" s="242"/>
      <c r="U348" s="242"/>
      <c r="V348" s="242"/>
      <c r="W348" s="242"/>
      <c r="X348" s="242"/>
      <c r="Y348" s="242"/>
      <c r="Z348" s="242"/>
    </row>
    <row r="349">
      <c r="A349" s="242"/>
      <c r="B349" s="524"/>
      <c r="C349" s="524"/>
      <c r="D349" s="242"/>
      <c r="E349" s="242"/>
      <c r="F349" s="242"/>
      <c r="G349" s="13"/>
      <c r="H349" s="525"/>
      <c r="I349" s="242"/>
      <c r="J349" s="242"/>
      <c r="K349" s="242"/>
      <c r="L349" s="13"/>
      <c r="M349" s="13"/>
      <c r="N349" s="242"/>
      <c r="O349" s="242"/>
      <c r="P349" s="242"/>
      <c r="Q349" s="242"/>
      <c r="R349" s="242"/>
      <c r="S349" s="242"/>
      <c r="T349" s="242"/>
      <c r="U349" s="242"/>
      <c r="V349" s="242"/>
      <c r="W349" s="242"/>
      <c r="X349" s="242"/>
      <c r="Y349" s="242"/>
      <c r="Z349" s="242"/>
    </row>
    <row r="350">
      <c r="A350" s="242"/>
      <c r="B350" s="524"/>
      <c r="C350" s="524"/>
      <c r="D350" s="242"/>
      <c r="E350" s="242"/>
      <c r="F350" s="242"/>
      <c r="G350" s="13"/>
      <c r="H350" s="525"/>
      <c r="I350" s="242"/>
      <c r="J350" s="242"/>
      <c r="K350" s="242"/>
      <c r="L350" s="13"/>
      <c r="M350" s="13"/>
      <c r="N350" s="242"/>
      <c r="O350" s="242"/>
      <c r="P350" s="242"/>
      <c r="Q350" s="242"/>
      <c r="R350" s="242"/>
      <c r="S350" s="242"/>
      <c r="T350" s="242"/>
      <c r="U350" s="242"/>
      <c r="V350" s="242"/>
      <c r="W350" s="242"/>
      <c r="X350" s="242"/>
      <c r="Y350" s="242"/>
      <c r="Z350" s="242"/>
    </row>
    <row r="351">
      <c r="A351" s="242"/>
      <c r="B351" s="524"/>
      <c r="C351" s="524"/>
      <c r="D351" s="242"/>
      <c r="E351" s="242"/>
      <c r="F351" s="242"/>
      <c r="G351" s="13"/>
      <c r="H351" s="525"/>
      <c r="I351" s="242"/>
      <c r="J351" s="242"/>
      <c r="K351" s="242"/>
      <c r="L351" s="13"/>
      <c r="M351" s="13"/>
      <c r="N351" s="242"/>
      <c r="O351" s="242"/>
      <c r="P351" s="242"/>
      <c r="Q351" s="242"/>
      <c r="R351" s="242"/>
      <c r="S351" s="242"/>
      <c r="T351" s="242"/>
      <c r="U351" s="242"/>
      <c r="V351" s="242"/>
      <c r="W351" s="242"/>
      <c r="X351" s="242"/>
      <c r="Y351" s="242"/>
      <c r="Z351" s="242"/>
    </row>
    <row r="352">
      <c r="A352" s="242"/>
      <c r="B352" s="524"/>
      <c r="C352" s="524"/>
      <c r="D352" s="242"/>
      <c r="E352" s="242"/>
      <c r="F352" s="242"/>
      <c r="G352" s="13"/>
      <c r="H352" s="525"/>
      <c r="I352" s="242"/>
      <c r="J352" s="242"/>
      <c r="K352" s="242"/>
      <c r="L352" s="13"/>
      <c r="M352" s="13"/>
      <c r="N352" s="242"/>
      <c r="O352" s="242"/>
      <c r="P352" s="242"/>
      <c r="Q352" s="242"/>
      <c r="R352" s="242"/>
      <c r="S352" s="242"/>
      <c r="T352" s="242"/>
      <c r="U352" s="242"/>
      <c r="V352" s="242"/>
      <c r="W352" s="242"/>
      <c r="X352" s="242"/>
      <c r="Y352" s="242"/>
      <c r="Z352" s="242"/>
    </row>
    <row r="353">
      <c r="A353" s="242"/>
      <c r="B353" s="524"/>
      <c r="C353" s="524"/>
      <c r="D353" s="242"/>
      <c r="E353" s="242"/>
      <c r="F353" s="242"/>
      <c r="G353" s="13"/>
      <c r="H353" s="525"/>
      <c r="I353" s="242"/>
      <c r="J353" s="242"/>
      <c r="K353" s="242"/>
      <c r="L353" s="13"/>
      <c r="M353" s="13"/>
      <c r="N353" s="242"/>
      <c r="O353" s="242"/>
      <c r="P353" s="242"/>
      <c r="Q353" s="242"/>
      <c r="R353" s="242"/>
      <c r="S353" s="242"/>
      <c r="T353" s="242"/>
      <c r="U353" s="242"/>
      <c r="V353" s="242"/>
      <c r="W353" s="242"/>
      <c r="X353" s="242"/>
      <c r="Y353" s="242"/>
      <c r="Z353" s="242"/>
    </row>
    <row r="354">
      <c r="A354" s="242"/>
      <c r="B354" s="524"/>
      <c r="C354" s="524"/>
      <c r="D354" s="242"/>
      <c r="E354" s="242"/>
      <c r="F354" s="242"/>
      <c r="G354" s="13"/>
      <c r="H354" s="525"/>
      <c r="I354" s="242"/>
      <c r="J354" s="242"/>
      <c r="K354" s="242"/>
      <c r="L354" s="13"/>
      <c r="M354" s="13"/>
      <c r="N354" s="242"/>
      <c r="O354" s="242"/>
      <c r="P354" s="242"/>
      <c r="Q354" s="242"/>
      <c r="R354" s="242"/>
      <c r="S354" s="242"/>
      <c r="T354" s="242"/>
      <c r="U354" s="242"/>
      <c r="V354" s="242"/>
      <c r="W354" s="242"/>
      <c r="X354" s="242"/>
      <c r="Y354" s="242"/>
      <c r="Z354" s="242"/>
    </row>
    <row r="355">
      <c r="A355" s="242"/>
      <c r="B355" s="524"/>
      <c r="C355" s="524"/>
      <c r="D355" s="242"/>
      <c r="E355" s="242"/>
      <c r="F355" s="242"/>
      <c r="G355" s="13"/>
      <c r="H355" s="525"/>
      <c r="I355" s="242"/>
      <c r="J355" s="242"/>
      <c r="K355" s="242"/>
      <c r="L355" s="13"/>
      <c r="M355" s="13"/>
      <c r="N355" s="242"/>
      <c r="O355" s="242"/>
      <c r="P355" s="242"/>
      <c r="Q355" s="242"/>
      <c r="R355" s="242"/>
      <c r="S355" s="242"/>
      <c r="T355" s="242"/>
      <c r="U355" s="242"/>
      <c r="V355" s="242"/>
      <c r="W355" s="242"/>
      <c r="X355" s="242"/>
      <c r="Y355" s="242"/>
      <c r="Z355" s="242"/>
    </row>
    <row r="356">
      <c r="A356" s="242"/>
      <c r="B356" s="524"/>
      <c r="C356" s="524"/>
      <c r="D356" s="242"/>
      <c r="E356" s="242"/>
      <c r="F356" s="242"/>
      <c r="G356" s="13"/>
      <c r="H356" s="525"/>
      <c r="I356" s="242"/>
      <c r="J356" s="242"/>
      <c r="K356" s="242"/>
      <c r="L356" s="13"/>
      <c r="M356" s="13"/>
      <c r="N356" s="242"/>
      <c r="O356" s="242"/>
      <c r="P356" s="242"/>
      <c r="Q356" s="242"/>
      <c r="R356" s="242"/>
      <c r="S356" s="242"/>
      <c r="T356" s="242"/>
      <c r="U356" s="242"/>
      <c r="V356" s="242"/>
      <c r="W356" s="242"/>
      <c r="X356" s="242"/>
      <c r="Y356" s="242"/>
      <c r="Z356" s="242"/>
    </row>
    <row r="357">
      <c r="A357" s="242"/>
      <c r="B357" s="524"/>
      <c r="C357" s="524"/>
      <c r="D357" s="242"/>
      <c r="E357" s="242"/>
      <c r="F357" s="242"/>
      <c r="G357" s="13"/>
      <c r="H357" s="525"/>
      <c r="I357" s="242"/>
      <c r="J357" s="242"/>
      <c r="K357" s="242"/>
      <c r="L357" s="13"/>
      <c r="M357" s="13"/>
      <c r="N357" s="242"/>
      <c r="O357" s="242"/>
      <c r="P357" s="242"/>
      <c r="Q357" s="242"/>
      <c r="R357" s="242"/>
      <c r="S357" s="242"/>
      <c r="T357" s="242"/>
      <c r="U357" s="242"/>
      <c r="V357" s="242"/>
      <c r="W357" s="242"/>
      <c r="X357" s="242"/>
      <c r="Y357" s="242"/>
      <c r="Z357" s="242"/>
    </row>
    <row r="358">
      <c r="A358" s="242"/>
      <c r="B358" s="524"/>
      <c r="C358" s="524"/>
      <c r="D358" s="242"/>
      <c r="E358" s="242"/>
      <c r="F358" s="242"/>
      <c r="G358" s="13"/>
      <c r="H358" s="525"/>
      <c r="I358" s="242"/>
      <c r="J358" s="242"/>
      <c r="K358" s="242"/>
      <c r="L358" s="13"/>
      <c r="M358" s="13"/>
      <c r="N358" s="242"/>
      <c r="O358" s="242"/>
      <c r="P358" s="242"/>
      <c r="Q358" s="242"/>
      <c r="R358" s="242"/>
      <c r="S358" s="242"/>
      <c r="T358" s="242"/>
      <c r="U358" s="242"/>
      <c r="V358" s="242"/>
      <c r="W358" s="242"/>
      <c r="X358" s="242"/>
      <c r="Y358" s="242"/>
      <c r="Z358" s="242"/>
    </row>
    <row r="359">
      <c r="A359" s="242"/>
      <c r="B359" s="524"/>
      <c r="C359" s="524"/>
      <c r="D359" s="242"/>
      <c r="E359" s="242"/>
      <c r="F359" s="242"/>
      <c r="G359" s="13"/>
      <c r="H359" s="525"/>
      <c r="I359" s="242"/>
      <c r="J359" s="242"/>
      <c r="K359" s="242"/>
      <c r="L359" s="13"/>
      <c r="M359" s="13"/>
      <c r="N359" s="242"/>
      <c r="O359" s="242"/>
      <c r="P359" s="242"/>
      <c r="Q359" s="242"/>
      <c r="R359" s="242"/>
      <c r="S359" s="242"/>
      <c r="T359" s="242"/>
      <c r="U359" s="242"/>
      <c r="V359" s="242"/>
      <c r="W359" s="242"/>
      <c r="X359" s="242"/>
      <c r="Y359" s="242"/>
      <c r="Z359" s="242"/>
    </row>
    <row r="360">
      <c r="A360" s="242"/>
      <c r="B360" s="524"/>
      <c r="C360" s="524"/>
      <c r="D360" s="242"/>
      <c r="E360" s="242"/>
      <c r="F360" s="242"/>
      <c r="G360" s="13"/>
      <c r="H360" s="525"/>
      <c r="I360" s="242"/>
      <c r="J360" s="242"/>
      <c r="K360" s="242"/>
      <c r="L360" s="13"/>
      <c r="M360" s="13"/>
      <c r="N360" s="242"/>
      <c r="O360" s="242"/>
      <c r="P360" s="242"/>
      <c r="Q360" s="242"/>
      <c r="R360" s="242"/>
      <c r="S360" s="242"/>
      <c r="T360" s="242"/>
      <c r="U360" s="242"/>
      <c r="V360" s="242"/>
      <c r="W360" s="242"/>
      <c r="X360" s="242"/>
      <c r="Y360" s="242"/>
      <c r="Z360" s="242"/>
    </row>
    <row r="361">
      <c r="A361" s="242"/>
      <c r="B361" s="524"/>
      <c r="C361" s="524"/>
      <c r="D361" s="242"/>
      <c r="E361" s="242"/>
      <c r="F361" s="242"/>
      <c r="G361" s="13"/>
      <c r="H361" s="525"/>
      <c r="I361" s="242"/>
      <c r="J361" s="242"/>
      <c r="K361" s="242"/>
      <c r="L361" s="13"/>
      <c r="M361" s="13"/>
      <c r="N361" s="242"/>
      <c r="O361" s="242"/>
      <c r="P361" s="242"/>
      <c r="Q361" s="242"/>
      <c r="R361" s="242"/>
      <c r="S361" s="242"/>
      <c r="T361" s="242"/>
      <c r="U361" s="242"/>
      <c r="V361" s="242"/>
      <c r="W361" s="242"/>
      <c r="X361" s="242"/>
      <c r="Y361" s="242"/>
      <c r="Z361" s="242"/>
    </row>
    <row r="362">
      <c r="A362" s="242"/>
      <c r="B362" s="524"/>
      <c r="C362" s="524"/>
      <c r="D362" s="242"/>
      <c r="E362" s="242"/>
      <c r="F362" s="242"/>
      <c r="G362" s="13"/>
      <c r="H362" s="525"/>
      <c r="I362" s="242"/>
      <c r="J362" s="242"/>
      <c r="K362" s="242"/>
      <c r="L362" s="13"/>
      <c r="M362" s="13"/>
      <c r="N362" s="242"/>
      <c r="O362" s="242"/>
      <c r="P362" s="242"/>
      <c r="Q362" s="242"/>
      <c r="R362" s="242"/>
      <c r="S362" s="242"/>
      <c r="T362" s="242"/>
      <c r="U362" s="242"/>
      <c r="V362" s="242"/>
      <c r="W362" s="242"/>
      <c r="X362" s="242"/>
      <c r="Y362" s="242"/>
      <c r="Z362" s="242"/>
    </row>
    <row r="363">
      <c r="A363" s="242"/>
      <c r="B363" s="524"/>
      <c r="C363" s="524"/>
      <c r="D363" s="242"/>
      <c r="E363" s="242"/>
      <c r="F363" s="242"/>
      <c r="G363" s="13"/>
      <c r="H363" s="525"/>
      <c r="I363" s="242"/>
      <c r="J363" s="242"/>
      <c r="K363" s="242"/>
      <c r="L363" s="13"/>
      <c r="M363" s="13"/>
      <c r="N363" s="242"/>
      <c r="O363" s="242"/>
      <c r="P363" s="242"/>
      <c r="Q363" s="242"/>
      <c r="R363" s="242"/>
      <c r="S363" s="242"/>
      <c r="T363" s="242"/>
      <c r="U363" s="242"/>
      <c r="V363" s="242"/>
      <c r="W363" s="242"/>
      <c r="X363" s="242"/>
      <c r="Y363" s="242"/>
      <c r="Z363" s="242"/>
    </row>
    <row r="364">
      <c r="A364" s="242"/>
      <c r="B364" s="524"/>
      <c r="C364" s="524"/>
      <c r="D364" s="242"/>
      <c r="E364" s="242"/>
      <c r="F364" s="242"/>
      <c r="G364" s="13"/>
      <c r="H364" s="525"/>
      <c r="I364" s="242"/>
      <c r="J364" s="242"/>
      <c r="K364" s="242"/>
      <c r="L364" s="13"/>
      <c r="M364" s="13"/>
      <c r="N364" s="242"/>
      <c r="O364" s="242"/>
      <c r="P364" s="242"/>
      <c r="Q364" s="242"/>
      <c r="R364" s="242"/>
      <c r="S364" s="242"/>
      <c r="T364" s="242"/>
      <c r="U364" s="242"/>
      <c r="V364" s="242"/>
      <c r="W364" s="242"/>
      <c r="X364" s="242"/>
      <c r="Y364" s="242"/>
      <c r="Z364" s="242"/>
    </row>
    <row r="365">
      <c r="A365" s="242"/>
      <c r="B365" s="524"/>
      <c r="C365" s="524"/>
      <c r="D365" s="242"/>
      <c r="E365" s="242"/>
      <c r="F365" s="242"/>
      <c r="G365" s="13"/>
      <c r="H365" s="525"/>
      <c r="I365" s="242"/>
      <c r="J365" s="242"/>
      <c r="K365" s="242"/>
      <c r="L365" s="13"/>
      <c r="M365" s="13"/>
      <c r="N365" s="242"/>
      <c r="O365" s="242"/>
      <c r="P365" s="242"/>
      <c r="Q365" s="242"/>
      <c r="R365" s="242"/>
      <c r="S365" s="242"/>
      <c r="T365" s="242"/>
      <c r="U365" s="242"/>
      <c r="V365" s="242"/>
      <c r="W365" s="242"/>
      <c r="X365" s="242"/>
      <c r="Y365" s="242"/>
      <c r="Z365" s="242"/>
    </row>
    <row r="366">
      <c r="A366" s="242"/>
      <c r="B366" s="524"/>
      <c r="C366" s="524"/>
      <c r="D366" s="242"/>
      <c r="E366" s="242"/>
      <c r="F366" s="242"/>
      <c r="G366" s="13"/>
      <c r="H366" s="525"/>
      <c r="I366" s="242"/>
      <c r="J366" s="242"/>
      <c r="K366" s="242"/>
      <c r="L366" s="13"/>
      <c r="M366" s="13"/>
      <c r="N366" s="242"/>
      <c r="O366" s="242"/>
      <c r="P366" s="242"/>
      <c r="Q366" s="242"/>
      <c r="R366" s="242"/>
      <c r="S366" s="242"/>
      <c r="T366" s="242"/>
      <c r="U366" s="242"/>
      <c r="V366" s="242"/>
      <c r="W366" s="242"/>
      <c r="X366" s="242"/>
      <c r="Y366" s="242"/>
      <c r="Z366" s="242"/>
    </row>
    <row r="367">
      <c r="A367" s="242"/>
      <c r="B367" s="524"/>
      <c r="C367" s="524"/>
      <c r="D367" s="242"/>
      <c r="E367" s="242"/>
      <c r="F367" s="242"/>
      <c r="G367" s="13"/>
      <c r="H367" s="525"/>
      <c r="I367" s="242"/>
      <c r="J367" s="242"/>
      <c r="K367" s="242"/>
      <c r="L367" s="13"/>
      <c r="M367" s="13"/>
      <c r="N367" s="242"/>
      <c r="O367" s="242"/>
      <c r="P367" s="242"/>
      <c r="Q367" s="242"/>
      <c r="R367" s="242"/>
      <c r="S367" s="242"/>
      <c r="T367" s="242"/>
      <c r="U367" s="242"/>
      <c r="V367" s="242"/>
      <c r="W367" s="242"/>
      <c r="X367" s="242"/>
      <c r="Y367" s="242"/>
      <c r="Z367" s="242"/>
    </row>
    <row r="368">
      <c r="A368" s="242"/>
      <c r="B368" s="524"/>
      <c r="C368" s="524"/>
      <c r="D368" s="242"/>
      <c r="E368" s="242"/>
      <c r="F368" s="242"/>
      <c r="G368" s="13"/>
      <c r="H368" s="525"/>
      <c r="I368" s="242"/>
      <c r="J368" s="242"/>
      <c r="K368" s="242"/>
      <c r="L368" s="13"/>
      <c r="M368" s="13"/>
      <c r="N368" s="242"/>
      <c r="O368" s="242"/>
      <c r="P368" s="242"/>
      <c r="Q368" s="242"/>
      <c r="R368" s="242"/>
      <c r="S368" s="242"/>
      <c r="T368" s="242"/>
      <c r="U368" s="242"/>
      <c r="V368" s="242"/>
      <c r="W368" s="242"/>
      <c r="X368" s="242"/>
      <c r="Y368" s="242"/>
      <c r="Z368" s="242"/>
    </row>
    <row r="369">
      <c r="A369" s="242"/>
      <c r="B369" s="524"/>
      <c r="C369" s="524"/>
      <c r="D369" s="242"/>
      <c r="E369" s="242"/>
      <c r="F369" s="242"/>
      <c r="G369" s="13"/>
      <c r="H369" s="525"/>
      <c r="I369" s="242"/>
      <c r="J369" s="242"/>
      <c r="K369" s="242"/>
      <c r="L369" s="13"/>
      <c r="M369" s="13"/>
      <c r="N369" s="242"/>
      <c r="O369" s="242"/>
      <c r="P369" s="242"/>
      <c r="Q369" s="242"/>
      <c r="R369" s="242"/>
      <c r="S369" s="242"/>
      <c r="T369" s="242"/>
      <c r="U369" s="242"/>
      <c r="V369" s="242"/>
      <c r="W369" s="242"/>
      <c r="X369" s="242"/>
      <c r="Y369" s="242"/>
      <c r="Z369" s="242"/>
    </row>
    <row r="370">
      <c r="A370" s="242"/>
      <c r="B370" s="524"/>
      <c r="C370" s="524"/>
      <c r="D370" s="242"/>
      <c r="E370" s="242"/>
      <c r="F370" s="242"/>
      <c r="G370" s="13"/>
      <c r="H370" s="525"/>
      <c r="I370" s="242"/>
      <c r="J370" s="242"/>
      <c r="K370" s="242"/>
      <c r="L370" s="13"/>
      <c r="M370" s="13"/>
      <c r="N370" s="242"/>
      <c r="O370" s="242"/>
      <c r="P370" s="242"/>
      <c r="Q370" s="242"/>
      <c r="R370" s="242"/>
      <c r="S370" s="242"/>
      <c r="T370" s="242"/>
      <c r="U370" s="242"/>
      <c r="V370" s="242"/>
      <c r="W370" s="242"/>
      <c r="X370" s="242"/>
      <c r="Y370" s="242"/>
      <c r="Z370" s="242"/>
    </row>
    <row r="371">
      <c r="A371" s="242"/>
      <c r="B371" s="524"/>
      <c r="C371" s="524"/>
      <c r="D371" s="242"/>
      <c r="E371" s="242"/>
      <c r="F371" s="242"/>
      <c r="G371" s="13"/>
      <c r="H371" s="525"/>
      <c r="I371" s="242"/>
      <c r="J371" s="242"/>
      <c r="K371" s="242"/>
      <c r="L371" s="13"/>
      <c r="M371" s="13"/>
      <c r="N371" s="242"/>
      <c r="O371" s="242"/>
      <c r="P371" s="242"/>
      <c r="Q371" s="242"/>
      <c r="R371" s="242"/>
      <c r="S371" s="242"/>
      <c r="T371" s="242"/>
      <c r="U371" s="242"/>
      <c r="V371" s="242"/>
      <c r="W371" s="242"/>
      <c r="X371" s="242"/>
      <c r="Y371" s="242"/>
      <c r="Z371" s="242"/>
    </row>
    <row r="372">
      <c r="A372" s="242"/>
      <c r="B372" s="524"/>
      <c r="C372" s="524"/>
      <c r="D372" s="242"/>
      <c r="E372" s="242"/>
      <c r="F372" s="242"/>
      <c r="G372" s="13"/>
      <c r="H372" s="525"/>
      <c r="I372" s="242"/>
      <c r="J372" s="242"/>
      <c r="K372" s="242"/>
      <c r="L372" s="13"/>
      <c r="M372" s="13"/>
      <c r="N372" s="242"/>
      <c r="O372" s="242"/>
      <c r="P372" s="242"/>
      <c r="Q372" s="242"/>
      <c r="R372" s="242"/>
      <c r="S372" s="242"/>
      <c r="T372" s="242"/>
      <c r="U372" s="242"/>
      <c r="V372" s="242"/>
      <c r="W372" s="242"/>
      <c r="X372" s="242"/>
      <c r="Y372" s="242"/>
      <c r="Z372" s="242"/>
    </row>
    <row r="373">
      <c r="A373" s="242"/>
      <c r="B373" s="524"/>
      <c r="C373" s="524"/>
      <c r="D373" s="242"/>
      <c r="E373" s="242"/>
      <c r="F373" s="242"/>
      <c r="G373" s="13"/>
      <c r="H373" s="525"/>
      <c r="I373" s="242"/>
      <c r="J373" s="242"/>
      <c r="K373" s="242"/>
      <c r="L373" s="13"/>
      <c r="M373" s="13"/>
      <c r="N373" s="242"/>
      <c r="O373" s="242"/>
      <c r="P373" s="242"/>
      <c r="Q373" s="242"/>
      <c r="R373" s="242"/>
      <c r="S373" s="242"/>
      <c r="T373" s="242"/>
      <c r="U373" s="242"/>
      <c r="V373" s="242"/>
      <c r="W373" s="242"/>
      <c r="X373" s="242"/>
      <c r="Y373" s="242"/>
      <c r="Z373" s="242"/>
    </row>
    <row r="374">
      <c r="A374" s="242"/>
      <c r="B374" s="524"/>
      <c r="C374" s="524"/>
      <c r="D374" s="242"/>
      <c r="E374" s="242"/>
      <c r="F374" s="242"/>
      <c r="G374" s="13"/>
      <c r="H374" s="525"/>
      <c r="I374" s="242"/>
      <c r="J374" s="242"/>
      <c r="K374" s="242"/>
      <c r="L374" s="13"/>
      <c r="M374" s="13"/>
      <c r="N374" s="242"/>
      <c r="O374" s="242"/>
      <c r="P374" s="242"/>
      <c r="Q374" s="242"/>
      <c r="R374" s="242"/>
      <c r="S374" s="242"/>
      <c r="T374" s="242"/>
      <c r="U374" s="242"/>
      <c r="V374" s="242"/>
      <c r="W374" s="242"/>
      <c r="X374" s="242"/>
      <c r="Y374" s="242"/>
      <c r="Z374" s="242"/>
    </row>
    <row r="375">
      <c r="A375" s="242"/>
      <c r="B375" s="524"/>
      <c r="C375" s="524"/>
      <c r="D375" s="242"/>
      <c r="E375" s="242"/>
      <c r="F375" s="242"/>
      <c r="G375" s="13"/>
      <c r="H375" s="525"/>
      <c r="I375" s="242"/>
      <c r="J375" s="242"/>
      <c r="K375" s="242"/>
      <c r="L375" s="13"/>
      <c r="M375" s="13"/>
      <c r="N375" s="242"/>
      <c r="O375" s="242"/>
      <c r="P375" s="242"/>
      <c r="Q375" s="242"/>
      <c r="R375" s="242"/>
      <c r="S375" s="242"/>
      <c r="T375" s="242"/>
      <c r="U375" s="242"/>
      <c r="V375" s="242"/>
      <c r="W375" s="242"/>
      <c r="X375" s="242"/>
      <c r="Y375" s="242"/>
      <c r="Z375" s="242"/>
    </row>
    <row r="376">
      <c r="A376" s="242"/>
      <c r="B376" s="524"/>
      <c r="C376" s="524"/>
      <c r="D376" s="242"/>
      <c r="E376" s="242"/>
      <c r="F376" s="242"/>
      <c r="G376" s="13"/>
      <c r="H376" s="525"/>
      <c r="I376" s="242"/>
      <c r="J376" s="242"/>
      <c r="K376" s="242"/>
      <c r="L376" s="13"/>
      <c r="M376" s="13"/>
      <c r="N376" s="242"/>
      <c r="O376" s="242"/>
      <c r="P376" s="242"/>
      <c r="Q376" s="242"/>
      <c r="R376" s="242"/>
      <c r="S376" s="242"/>
      <c r="T376" s="242"/>
      <c r="U376" s="242"/>
      <c r="V376" s="242"/>
      <c r="W376" s="242"/>
      <c r="X376" s="242"/>
      <c r="Y376" s="242"/>
      <c r="Z376" s="242"/>
    </row>
    <row r="377">
      <c r="A377" s="242"/>
      <c r="B377" s="524"/>
      <c r="C377" s="524"/>
      <c r="D377" s="242"/>
      <c r="E377" s="242"/>
      <c r="F377" s="242"/>
      <c r="G377" s="13"/>
      <c r="H377" s="525"/>
      <c r="I377" s="242"/>
      <c r="J377" s="242"/>
      <c r="K377" s="242"/>
      <c r="L377" s="13"/>
      <c r="M377" s="13"/>
      <c r="N377" s="242"/>
      <c r="O377" s="242"/>
      <c r="P377" s="242"/>
      <c r="Q377" s="242"/>
      <c r="R377" s="242"/>
      <c r="S377" s="242"/>
      <c r="T377" s="242"/>
      <c r="U377" s="242"/>
      <c r="V377" s="242"/>
      <c r="W377" s="242"/>
      <c r="X377" s="242"/>
      <c r="Y377" s="242"/>
      <c r="Z377" s="242"/>
    </row>
    <row r="378">
      <c r="A378" s="242"/>
      <c r="B378" s="524"/>
      <c r="C378" s="524"/>
      <c r="D378" s="242"/>
      <c r="E378" s="242"/>
      <c r="F378" s="242"/>
      <c r="G378" s="13"/>
      <c r="H378" s="525"/>
      <c r="I378" s="242"/>
      <c r="J378" s="242"/>
      <c r="K378" s="242"/>
      <c r="L378" s="13"/>
      <c r="M378" s="13"/>
      <c r="N378" s="242"/>
      <c r="O378" s="242"/>
      <c r="P378" s="242"/>
      <c r="Q378" s="242"/>
      <c r="R378" s="242"/>
      <c r="S378" s="242"/>
      <c r="T378" s="242"/>
      <c r="U378" s="242"/>
      <c r="V378" s="242"/>
      <c r="W378" s="242"/>
      <c r="X378" s="242"/>
      <c r="Y378" s="242"/>
      <c r="Z378" s="242"/>
    </row>
    <row r="379">
      <c r="A379" s="242"/>
      <c r="B379" s="524"/>
      <c r="C379" s="524"/>
      <c r="D379" s="242"/>
      <c r="E379" s="242"/>
      <c r="F379" s="242"/>
      <c r="G379" s="13"/>
      <c r="H379" s="525"/>
      <c r="I379" s="242"/>
      <c r="J379" s="242"/>
      <c r="K379" s="242"/>
      <c r="L379" s="13"/>
      <c r="M379" s="13"/>
      <c r="N379" s="242"/>
      <c r="O379" s="242"/>
      <c r="P379" s="242"/>
      <c r="Q379" s="242"/>
      <c r="R379" s="242"/>
      <c r="S379" s="242"/>
      <c r="T379" s="242"/>
      <c r="U379" s="242"/>
      <c r="V379" s="242"/>
      <c r="W379" s="242"/>
      <c r="X379" s="242"/>
      <c r="Y379" s="242"/>
      <c r="Z379" s="242"/>
    </row>
    <row r="380">
      <c r="A380" s="242"/>
      <c r="B380" s="524"/>
      <c r="C380" s="524"/>
      <c r="D380" s="242"/>
      <c r="E380" s="242"/>
      <c r="F380" s="242"/>
      <c r="G380" s="13"/>
      <c r="H380" s="525"/>
      <c r="I380" s="242"/>
      <c r="J380" s="242"/>
      <c r="K380" s="242"/>
      <c r="L380" s="13"/>
      <c r="M380" s="13"/>
      <c r="N380" s="242"/>
      <c r="O380" s="242"/>
      <c r="P380" s="242"/>
      <c r="Q380" s="242"/>
      <c r="R380" s="242"/>
      <c r="S380" s="242"/>
      <c r="T380" s="242"/>
      <c r="U380" s="242"/>
      <c r="V380" s="242"/>
      <c r="W380" s="242"/>
      <c r="X380" s="242"/>
      <c r="Y380" s="242"/>
      <c r="Z380" s="242"/>
    </row>
    <row r="381">
      <c r="A381" s="242"/>
      <c r="B381" s="524"/>
      <c r="C381" s="524"/>
      <c r="D381" s="242"/>
      <c r="E381" s="242"/>
      <c r="F381" s="242"/>
      <c r="G381" s="13"/>
      <c r="H381" s="525"/>
      <c r="I381" s="242"/>
      <c r="J381" s="242"/>
      <c r="K381" s="242"/>
      <c r="L381" s="13"/>
      <c r="M381" s="13"/>
      <c r="N381" s="242"/>
      <c r="O381" s="242"/>
      <c r="P381" s="242"/>
      <c r="Q381" s="242"/>
      <c r="R381" s="242"/>
      <c r="S381" s="242"/>
      <c r="T381" s="242"/>
      <c r="U381" s="242"/>
      <c r="V381" s="242"/>
      <c r="W381" s="242"/>
      <c r="X381" s="242"/>
      <c r="Y381" s="242"/>
      <c r="Z381" s="242"/>
    </row>
    <row r="382">
      <c r="A382" s="242"/>
      <c r="B382" s="524"/>
      <c r="C382" s="524"/>
      <c r="D382" s="242"/>
      <c r="E382" s="242"/>
      <c r="F382" s="242"/>
      <c r="G382" s="13"/>
      <c r="H382" s="525"/>
      <c r="I382" s="242"/>
      <c r="J382" s="242"/>
      <c r="K382" s="242"/>
      <c r="L382" s="13"/>
      <c r="M382" s="13"/>
      <c r="N382" s="242"/>
      <c r="O382" s="242"/>
      <c r="P382" s="242"/>
      <c r="Q382" s="242"/>
      <c r="R382" s="242"/>
      <c r="S382" s="242"/>
      <c r="T382" s="242"/>
      <c r="U382" s="242"/>
      <c r="V382" s="242"/>
      <c r="W382" s="242"/>
      <c r="X382" s="242"/>
      <c r="Y382" s="242"/>
      <c r="Z382" s="242"/>
    </row>
    <row r="383">
      <c r="A383" s="242"/>
      <c r="B383" s="524"/>
      <c r="C383" s="524"/>
      <c r="D383" s="242"/>
      <c r="E383" s="242"/>
      <c r="F383" s="242"/>
      <c r="G383" s="13"/>
      <c r="H383" s="525"/>
      <c r="I383" s="242"/>
      <c r="J383" s="242"/>
      <c r="K383" s="242"/>
      <c r="L383" s="13"/>
      <c r="M383" s="13"/>
      <c r="N383" s="242"/>
      <c r="O383" s="242"/>
      <c r="P383" s="242"/>
      <c r="Q383" s="242"/>
      <c r="R383" s="242"/>
      <c r="S383" s="242"/>
      <c r="T383" s="242"/>
      <c r="U383" s="242"/>
      <c r="V383" s="242"/>
      <c r="W383" s="242"/>
      <c r="X383" s="242"/>
      <c r="Y383" s="242"/>
      <c r="Z383" s="242"/>
    </row>
    <row r="384">
      <c r="A384" s="242"/>
      <c r="B384" s="524"/>
      <c r="C384" s="524"/>
      <c r="D384" s="242"/>
      <c r="E384" s="242"/>
      <c r="F384" s="242"/>
      <c r="G384" s="13"/>
      <c r="H384" s="525"/>
      <c r="I384" s="242"/>
      <c r="J384" s="242"/>
      <c r="K384" s="242"/>
      <c r="L384" s="13"/>
      <c r="M384" s="13"/>
      <c r="N384" s="242"/>
      <c r="O384" s="242"/>
      <c r="P384" s="242"/>
      <c r="Q384" s="242"/>
      <c r="R384" s="242"/>
      <c r="S384" s="242"/>
      <c r="T384" s="242"/>
      <c r="U384" s="242"/>
      <c r="V384" s="242"/>
      <c r="W384" s="242"/>
      <c r="X384" s="242"/>
      <c r="Y384" s="242"/>
      <c r="Z384" s="242"/>
    </row>
    <row r="385">
      <c r="A385" s="242"/>
      <c r="B385" s="524"/>
      <c r="C385" s="524"/>
      <c r="D385" s="242"/>
      <c r="E385" s="242"/>
      <c r="F385" s="242"/>
      <c r="G385" s="13"/>
      <c r="H385" s="525"/>
      <c r="I385" s="242"/>
      <c r="J385" s="242"/>
      <c r="K385" s="242"/>
      <c r="L385" s="13"/>
      <c r="M385" s="13"/>
      <c r="N385" s="242"/>
      <c r="O385" s="242"/>
      <c r="P385" s="242"/>
      <c r="Q385" s="242"/>
      <c r="R385" s="242"/>
      <c r="S385" s="242"/>
      <c r="T385" s="242"/>
      <c r="U385" s="242"/>
      <c r="V385" s="242"/>
      <c r="W385" s="242"/>
      <c r="X385" s="242"/>
      <c r="Y385" s="242"/>
      <c r="Z385" s="242"/>
    </row>
    <row r="386">
      <c r="A386" s="242"/>
      <c r="B386" s="524"/>
      <c r="C386" s="524"/>
      <c r="D386" s="242"/>
      <c r="E386" s="242"/>
      <c r="F386" s="242"/>
      <c r="G386" s="13"/>
      <c r="H386" s="525"/>
      <c r="I386" s="242"/>
      <c r="J386" s="242"/>
      <c r="K386" s="242"/>
      <c r="L386" s="13"/>
      <c r="M386" s="13"/>
      <c r="N386" s="242"/>
      <c r="O386" s="242"/>
      <c r="P386" s="242"/>
      <c r="Q386" s="242"/>
      <c r="R386" s="242"/>
      <c r="S386" s="242"/>
      <c r="T386" s="242"/>
      <c r="U386" s="242"/>
      <c r="V386" s="242"/>
      <c r="W386" s="242"/>
      <c r="X386" s="242"/>
      <c r="Y386" s="242"/>
      <c r="Z386" s="242"/>
    </row>
    <row r="387">
      <c r="A387" s="242"/>
      <c r="B387" s="524"/>
      <c r="C387" s="524"/>
      <c r="D387" s="242"/>
      <c r="E387" s="242"/>
      <c r="F387" s="242"/>
      <c r="G387" s="13"/>
      <c r="H387" s="525"/>
      <c r="I387" s="242"/>
      <c r="J387" s="242"/>
      <c r="K387" s="242"/>
      <c r="L387" s="13"/>
      <c r="M387" s="13"/>
      <c r="N387" s="242"/>
      <c r="O387" s="242"/>
      <c r="P387" s="242"/>
      <c r="Q387" s="242"/>
      <c r="R387" s="242"/>
      <c r="S387" s="242"/>
      <c r="T387" s="242"/>
      <c r="U387" s="242"/>
      <c r="V387" s="242"/>
      <c r="W387" s="242"/>
      <c r="X387" s="242"/>
      <c r="Y387" s="242"/>
      <c r="Z387" s="242"/>
    </row>
    <row r="388">
      <c r="A388" s="242"/>
      <c r="B388" s="524"/>
      <c r="C388" s="524"/>
      <c r="D388" s="242"/>
      <c r="E388" s="242"/>
      <c r="F388" s="242"/>
      <c r="G388" s="13"/>
      <c r="H388" s="525"/>
      <c r="I388" s="242"/>
      <c r="J388" s="242"/>
      <c r="K388" s="242"/>
      <c r="L388" s="13"/>
      <c r="M388" s="13"/>
      <c r="N388" s="242"/>
      <c r="O388" s="242"/>
      <c r="P388" s="242"/>
      <c r="Q388" s="242"/>
      <c r="R388" s="242"/>
      <c r="S388" s="242"/>
      <c r="T388" s="242"/>
      <c r="U388" s="242"/>
      <c r="V388" s="242"/>
      <c r="W388" s="242"/>
      <c r="X388" s="242"/>
      <c r="Y388" s="242"/>
      <c r="Z388" s="242"/>
    </row>
    <row r="389">
      <c r="A389" s="242"/>
      <c r="B389" s="524"/>
      <c r="C389" s="524"/>
      <c r="D389" s="242"/>
      <c r="E389" s="242"/>
      <c r="F389" s="242"/>
      <c r="G389" s="13"/>
      <c r="H389" s="525"/>
      <c r="I389" s="242"/>
      <c r="J389" s="242"/>
      <c r="K389" s="242"/>
      <c r="L389" s="13"/>
      <c r="M389" s="13"/>
      <c r="N389" s="242"/>
      <c r="O389" s="242"/>
      <c r="P389" s="242"/>
      <c r="Q389" s="242"/>
      <c r="R389" s="242"/>
      <c r="S389" s="242"/>
      <c r="T389" s="242"/>
      <c r="U389" s="242"/>
      <c r="V389" s="242"/>
      <c r="W389" s="242"/>
      <c r="X389" s="242"/>
      <c r="Y389" s="242"/>
      <c r="Z389" s="242"/>
    </row>
    <row r="390">
      <c r="A390" s="242"/>
      <c r="B390" s="524"/>
      <c r="C390" s="524"/>
      <c r="D390" s="242"/>
      <c r="E390" s="242"/>
      <c r="F390" s="242"/>
      <c r="G390" s="13"/>
      <c r="H390" s="525"/>
      <c r="I390" s="242"/>
      <c r="J390" s="242"/>
      <c r="K390" s="242"/>
      <c r="L390" s="13"/>
      <c r="M390" s="13"/>
      <c r="N390" s="242"/>
      <c r="O390" s="242"/>
      <c r="P390" s="242"/>
      <c r="Q390" s="242"/>
      <c r="R390" s="242"/>
      <c r="S390" s="242"/>
      <c r="T390" s="242"/>
      <c r="U390" s="242"/>
      <c r="V390" s="242"/>
      <c r="W390" s="242"/>
      <c r="X390" s="242"/>
      <c r="Y390" s="242"/>
      <c r="Z390" s="242"/>
    </row>
    <row r="391">
      <c r="A391" s="242"/>
      <c r="B391" s="524"/>
      <c r="C391" s="524"/>
      <c r="D391" s="242"/>
      <c r="E391" s="242"/>
      <c r="F391" s="242"/>
      <c r="G391" s="13"/>
      <c r="H391" s="525"/>
      <c r="I391" s="242"/>
      <c r="J391" s="242"/>
      <c r="K391" s="242"/>
      <c r="L391" s="13"/>
      <c r="M391" s="13"/>
      <c r="N391" s="242"/>
      <c r="O391" s="242"/>
      <c r="P391" s="242"/>
      <c r="Q391" s="242"/>
      <c r="R391" s="242"/>
      <c r="S391" s="242"/>
      <c r="T391" s="242"/>
      <c r="U391" s="242"/>
      <c r="V391" s="242"/>
      <c r="W391" s="242"/>
      <c r="X391" s="242"/>
      <c r="Y391" s="242"/>
      <c r="Z391" s="242"/>
    </row>
    <row r="392">
      <c r="A392" s="242"/>
      <c r="B392" s="524"/>
      <c r="C392" s="524"/>
      <c r="D392" s="242"/>
      <c r="E392" s="242"/>
      <c r="F392" s="242"/>
      <c r="G392" s="13"/>
      <c r="H392" s="525"/>
      <c r="I392" s="242"/>
      <c r="J392" s="242"/>
      <c r="K392" s="242"/>
      <c r="L392" s="13"/>
      <c r="M392" s="13"/>
      <c r="N392" s="242"/>
      <c r="O392" s="242"/>
      <c r="P392" s="242"/>
      <c r="Q392" s="242"/>
      <c r="R392" s="242"/>
      <c r="S392" s="242"/>
      <c r="T392" s="242"/>
      <c r="U392" s="242"/>
      <c r="V392" s="242"/>
      <c r="W392" s="242"/>
      <c r="X392" s="242"/>
      <c r="Y392" s="242"/>
      <c r="Z392" s="242"/>
    </row>
    <row r="393">
      <c r="A393" s="242"/>
      <c r="B393" s="524"/>
      <c r="C393" s="524"/>
      <c r="D393" s="242"/>
      <c r="E393" s="242"/>
      <c r="F393" s="242"/>
      <c r="G393" s="13"/>
      <c r="H393" s="525"/>
      <c r="I393" s="242"/>
      <c r="J393" s="242"/>
      <c r="K393" s="242"/>
      <c r="L393" s="13"/>
      <c r="M393" s="13"/>
      <c r="N393" s="242"/>
      <c r="O393" s="242"/>
      <c r="P393" s="242"/>
      <c r="Q393" s="242"/>
      <c r="R393" s="242"/>
      <c r="S393" s="242"/>
      <c r="T393" s="242"/>
      <c r="U393" s="242"/>
      <c r="V393" s="242"/>
      <c r="W393" s="242"/>
      <c r="X393" s="242"/>
      <c r="Y393" s="242"/>
      <c r="Z393" s="242"/>
    </row>
    <row r="394">
      <c r="A394" s="242"/>
      <c r="B394" s="524"/>
      <c r="C394" s="524"/>
      <c r="D394" s="242"/>
      <c r="E394" s="242"/>
      <c r="F394" s="242"/>
      <c r="G394" s="13"/>
      <c r="H394" s="525"/>
      <c r="I394" s="242"/>
      <c r="J394" s="242"/>
      <c r="K394" s="242"/>
      <c r="L394" s="13"/>
      <c r="M394" s="13"/>
      <c r="N394" s="242"/>
      <c r="O394" s="242"/>
      <c r="P394" s="242"/>
      <c r="Q394" s="242"/>
      <c r="R394" s="242"/>
      <c r="S394" s="242"/>
      <c r="T394" s="242"/>
      <c r="U394" s="242"/>
      <c r="V394" s="242"/>
      <c r="W394" s="242"/>
      <c r="X394" s="242"/>
      <c r="Y394" s="242"/>
      <c r="Z394" s="242"/>
    </row>
    <row r="395">
      <c r="A395" s="242"/>
      <c r="B395" s="524"/>
      <c r="C395" s="524"/>
      <c r="D395" s="242"/>
      <c r="E395" s="242"/>
      <c r="F395" s="242"/>
      <c r="G395" s="13"/>
      <c r="H395" s="525"/>
      <c r="I395" s="242"/>
      <c r="J395" s="242"/>
      <c r="K395" s="242"/>
      <c r="L395" s="13"/>
      <c r="M395" s="13"/>
      <c r="N395" s="242"/>
      <c r="O395" s="242"/>
      <c r="P395" s="242"/>
      <c r="Q395" s="242"/>
      <c r="R395" s="242"/>
      <c r="S395" s="242"/>
      <c r="T395" s="242"/>
      <c r="U395" s="242"/>
      <c r="V395" s="242"/>
      <c r="W395" s="242"/>
      <c r="X395" s="242"/>
      <c r="Y395" s="242"/>
      <c r="Z395" s="242"/>
    </row>
    <row r="396">
      <c r="A396" s="242"/>
      <c r="B396" s="524"/>
      <c r="C396" s="524"/>
      <c r="D396" s="242"/>
      <c r="E396" s="242"/>
      <c r="F396" s="242"/>
      <c r="G396" s="13"/>
      <c r="H396" s="525"/>
      <c r="I396" s="242"/>
      <c r="J396" s="242"/>
      <c r="K396" s="242"/>
      <c r="L396" s="13"/>
      <c r="M396" s="13"/>
      <c r="N396" s="242"/>
      <c r="O396" s="242"/>
      <c r="P396" s="242"/>
      <c r="Q396" s="242"/>
      <c r="R396" s="242"/>
      <c r="S396" s="242"/>
      <c r="T396" s="242"/>
      <c r="U396" s="242"/>
      <c r="V396" s="242"/>
      <c r="W396" s="242"/>
      <c r="X396" s="242"/>
      <c r="Y396" s="242"/>
      <c r="Z396" s="242"/>
    </row>
    <row r="397">
      <c r="A397" s="242"/>
      <c r="B397" s="524"/>
      <c r="C397" s="524"/>
      <c r="D397" s="242"/>
      <c r="E397" s="242"/>
      <c r="F397" s="242"/>
      <c r="G397" s="13"/>
      <c r="H397" s="525"/>
      <c r="I397" s="242"/>
      <c r="J397" s="242"/>
      <c r="K397" s="242"/>
      <c r="L397" s="13"/>
      <c r="M397" s="13"/>
      <c r="N397" s="242"/>
      <c r="O397" s="242"/>
      <c r="P397" s="242"/>
      <c r="Q397" s="242"/>
      <c r="R397" s="242"/>
      <c r="S397" s="242"/>
      <c r="T397" s="242"/>
      <c r="U397" s="242"/>
      <c r="V397" s="242"/>
      <c r="W397" s="242"/>
      <c r="X397" s="242"/>
      <c r="Y397" s="242"/>
      <c r="Z397" s="242"/>
    </row>
    <row r="398">
      <c r="A398" s="242"/>
      <c r="B398" s="524"/>
      <c r="C398" s="524"/>
      <c r="D398" s="242"/>
      <c r="E398" s="242"/>
      <c r="F398" s="242"/>
      <c r="G398" s="13"/>
      <c r="H398" s="525"/>
      <c r="I398" s="242"/>
      <c r="J398" s="242"/>
      <c r="K398" s="242"/>
      <c r="L398" s="13"/>
      <c r="M398" s="13"/>
      <c r="N398" s="242"/>
      <c r="O398" s="242"/>
      <c r="P398" s="242"/>
      <c r="Q398" s="242"/>
      <c r="R398" s="242"/>
      <c r="S398" s="242"/>
      <c r="T398" s="242"/>
      <c r="U398" s="242"/>
      <c r="V398" s="242"/>
      <c r="W398" s="242"/>
      <c r="X398" s="242"/>
      <c r="Y398" s="242"/>
      <c r="Z398" s="242"/>
    </row>
    <row r="399">
      <c r="A399" s="242"/>
      <c r="B399" s="524"/>
      <c r="C399" s="524"/>
      <c r="D399" s="242"/>
      <c r="E399" s="242"/>
      <c r="F399" s="242"/>
      <c r="G399" s="13"/>
      <c r="H399" s="525"/>
      <c r="I399" s="242"/>
      <c r="J399" s="242"/>
      <c r="K399" s="242"/>
      <c r="L399" s="13"/>
      <c r="M399" s="13"/>
      <c r="N399" s="242"/>
      <c r="O399" s="242"/>
      <c r="P399" s="242"/>
      <c r="Q399" s="242"/>
      <c r="R399" s="242"/>
      <c r="S399" s="242"/>
      <c r="T399" s="242"/>
      <c r="U399" s="242"/>
      <c r="V399" s="242"/>
      <c r="W399" s="242"/>
      <c r="X399" s="242"/>
      <c r="Y399" s="242"/>
      <c r="Z399" s="242"/>
    </row>
    <row r="400">
      <c r="A400" s="242"/>
      <c r="B400" s="524"/>
      <c r="C400" s="524"/>
      <c r="D400" s="242"/>
      <c r="E400" s="242"/>
      <c r="F400" s="242"/>
      <c r="G400" s="13"/>
      <c r="H400" s="525"/>
      <c r="I400" s="242"/>
      <c r="J400" s="242"/>
      <c r="K400" s="242"/>
      <c r="L400" s="13"/>
      <c r="M400" s="13"/>
      <c r="N400" s="242"/>
      <c r="O400" s="242"/>
      <c r="P400" s="242"/>
      <c r="Q400" s="242"/>
      <c r="R400" s="242"/>
      <c r="S400" s="242"/>
      <c r="T400" s="242"/>
      <c r="U400" s="242"/>
      <c r="V400" s="242"/>
      <c r="W400" s="242"/>
      <c r="X400" s="242"/>
      <c r="Y400" s="242"/>
      <c r="Z400" s="242"/>
    </row>
    <row r="401">
      <c r="A401" s="242"/>
      <c r="B401" s="524"/>
      <c r="C401" s="524"/>
      <c r="D401" s="242"/>
      <c r="E401" s="242"/>
      <c r="F401" s="242"/>
      <c r="G401" s="13"/>
      <c r="H401" s="525"/>
      <c r="I401" s="242"/>
      <c r="J401" s="242"/>
      <c r="K401" s="242"/>
      <c r="L401" s="13"/>
      <c r="M401" s="13"/>
      <c r="N401" s="242"/>
      <c r="O401" s="242"/>
      <c r="P401" s="242"/>
      <c r="Q401" s="242"/>
      <c r="R401" s="242"/>
      <c r="S401" s="242"/>
      <c r="T401" s="242"/>
      <c r="U401" s="242"/>
      <c r="V401" s="242"/>
      <c r="W401" s="242"/>
      <c r="X401" s="242"/>
      <c r="Y401" s="242"/>
      <c r="Z401" s="242"/>
    </row>
    <row r="402">
      <c r="A402" s="242"/>
      <c r="B402" s="524"/>
      <c r="C402" s="524"/>
      <c r="D402" s="242"/>
      <c r="E402" s="242"/>
      <c r="F402" s="242"/>
      <c r="G402" s="13"/>
      <c r="H402" s="525"/>
      <c r="I402" s="242"/>
      <c r="J402" s="242"/>
      <c r="K402" s="242"/>
      <c r="L402" s="13"/>
      <c r="M402" s="13"/>
      <c r="N402" s="242"/>
      <c r="O402" s="242"/>
      <c r="P402" s="242"/>
      <c r="Q402" s="242"/>
      <c r="R402" s="242"/>
      <c r="S402" s="242"/>
      <c r="T402" s="242"/>
      <c r="U402" s="242"/>
      <c r="V402" s="242"/>
      <c r="W402" s="242"/>
      <c r="X402" s="242"/>
      <c r="Y402" s="242"/>
      <c r="Z402" s="242"/>
    </row>
    <row r="403">
      <c r="A403" s="242"/>
      <c r="B403" s="524"/>
      <c r="C403" s="524"/>
      <c r="D403" s="242"/>
      <c r="E403" s="242"/>
      <c r="F403" s="242"/>
      <c r="G403" s="13"/>
      <c r="H403" s="525"/>
      <c r="I403" s="242"/>
      <c r="J403" s="242"/>
      <c r="K403" s="242"/>
      <c r="L403" s="13"/>
      <c r="M403" s="13"/>
      <c r="N403" s="242"/>
      <c r="O403" s="242"/>
      <c r="P403" s="242"/>
      <c r="Q403" s="242"/>
      <c r="R403" s="242"/>
      <c r="S403" s="242"/>
      <c r="T403" s="242"/>
      <c r="U403" s="242"/>
      <c r="V403" s="242"/>
      <c r="W403" s="242"/>
      <c r="X403" s="242"/>
      <c r="Y403" s="242"/>
      <c r="Z403" s="242"/>
    </row>
    <row r="404">
      <c r="A404" s="242"/>
      <c r="B404" s="524"/>
      <c r="C404" s="524"/>
      <c r="D404" s="242"/>
      <c r="E404" s="242"/>
      <c r="F404" s="242"/>
      <c r="G404" s="13"/>
      <c r="H404" s="525"/>
      <c r="I404" s="242"/>
      <c r="J404" s="242"/>
      <c r="K404" s="242"/>
      <c r="L404" s="13"/>
      <c r="M404" s="13"/>
      <c r="N404" s="242"/>
      <c r="O404" s="242"/>
      <c r="P404" s="242"/>
      <c r="Q404" s="242"/>
      <c r="R404" s="242"/>
      <c r="S404" s="242"/>
      <c r="T404" s="242"/>
      <c r="U404" s="242"/>
      <c r="V404" s="242"/>
      <c r="W404" s="242"/>
      <c r="X404" s="242"/>
      <c r="Y404" s="242"/>
      <c r="Z404" s="242"/>
    </row>
    <row r="405">
      <c r="A405" s="242"/>
      <c r="B405" s="524"/>
      <c r="C405" s="524"/>
      <c r="D405" s="242"/>
      <c r="E405" s="242"/>
      <c r="F405" s="242"/>
      <c r="G405" s="13"/>
      <c r="H405" s="525"/>
      <c r="I405" s="242"/>
      <c r="J405" s="242"/>
      <c r="K405" s="242"/>
      <c r="L405" s="13"/>
      <c r="M405" s="13"/>
      <c r="N405" s="242"/>
      <c r="O405" s="242"/>
      <c r="P405" s="242"/>
      <c r="Q405" s="242"/>
      <c r="R405" s="242"/>
      <c r="S405" s="242"/>
      <c r="T405" s="242"/>
      <c r="U405" s="242"/>
      <c r="V405" s="242"/>
      <c r="W405" s="242"/>
      <c r="X405" s="242"/>
      <c r="Y405" s="242"/>
      <c r="Z405" s="242"/>
    </row>
    <row r="406">
      <c r="A406" s="242"/>
      <c r="B406" s="524"/>
      <c r="C406" s="524"/>
      <c r="D406" s="242"/>
      <c r="E406" s="242"/>
      <c r="F406" s="242"/>
      <c r="G406" s="13"/>
      <c r="H406" s="525"/>
      <c r="I406" s="242"/>
      <c r="J406" s="242"/>
      <c r="K406" s="242"/>
      <c r="L406" s="13"/>
      <c r="M406" s="13"/>
      <c r="N406" s="242"/>
      <c r="O406" s="242"/>
      <c r="P406" s="242"/>
      <c r="Q406" s="242"/>
      <c r="R406" s="242"/>
      <c r="S406" s="242"/>
      <c r="T406" s="242"/>
      <c r="U406" s="242"/>
      <c r="V406" s="242"/>
      <c r="W406" s="242"/>
      <c r="X406" s="242"/>
      <c r="Y406" s="242"/>
      <c r="Z406" s="242"/>
    </row>
    <row r="407">
      <c r="A407" s="242"/>
      <c r="B407" s="524"/>
      <c r="C407" s="524"/>
      <c r="D407" s="242"/>
      <c r="E407" s="242"/>
      <c r="F407" s="242"/>
      <c r="G407" s="13"/>
      <c r="H407" s="525"/>
      <c r="I407" s="242"/>
      <c r="J407" s="242"/>
      <c r="K407" s="242"/>
      <c r="L407" s="13"/>
      <c r="M407" s="13"/>
      <c r="N407" s="242"/>
      <c r="O407" s="242"/>
      <c r="P407" s="242"/>
      <c r="Q407" s="242"/>
      <c r="R407" s="242"/>
      <c r="S407" s="242"/>
      <c r="T407" s="242"/>
      <c r="U407" s="242"/>
      <c r="V407" s="242"/>
      <c r="W407" s="242"/>
      <c r="X407" s="242"/>
      <c r="Y407" s="242"/>
      <c r="Z407" s="242"/>
    </row>
    <row r="408">
      <c r="A408" s="242"/>
      <c r="B408" s="524"/>
      <c r="C408" s="524"/>
      <c r="D408" s="242"/>
      <c r="E408" s="242"/>
      <c r="F408" s="242"/>
      <c r="G408" s="13"/>
      <c r="H408" s="525"/>
      <c r="I408" s="242"/>
      <c r="J408" s="242"/>
      <c r="K408" s="242"/>
      <c r="L408" s="13"/>
      <c r="M408" s="13"/>
      <c r="N408" s="242"/>
      <c r="O408" s="242"/>
      <c r="P408" s="242"/>
      <c r="Q408" s="242"/>
      <c r="R408" s="242"/>
      <c r="S408" s="242"/>
      <c r="T408" s="242"/>
      <c r="U408" s="242"/>
      <c r="V408" s="242"/>
      <c r="W408" s="242"/>
      <c r="X408" s="242"/>
      <c r="Y408" s="242"/>
      <c r="Z408" s="242"/>
    </row>
    <row r="409">
      <c r="A409" s="242"/>
      <c r="B409" s="524"/>
      <c r="C409" s="524"/>
      <c r="D409" s="242"/>
      <c r="E409" s="242"/>
      <c r="F409" s="242"/>
      <c r="G409" s="13"/>
      <c r="H409" s="525"/>
      <c r="I409" s="242"/>
      <c r="J409" s="242"/>
      <c r="K409" s="242"/>
      <c r="L409" s="13"/>
      <c r="M409" s="13"/>
      <c r="N409" s="242"/>
      <c r="O409" s="242"/>
      <c r="P409" s="242"/>
      <c r="Q409" s="242"/>
      <c r="R409" s="242"/>
      <c r="S409" s="242"/>
      <c r="T409" s="242"/>
      <c r="U409" s="242"/>
      <c r="V409" s="242"/>
      <c r="W409" s="242"/>
      <c r="X409" s="242"/>
      <c r="Y409" s="242"/>
      <c r="Z409" s="242"/>
    </row>
    <row r="410">
      <c r="A410" s="242"/>
      <c r="B410" s="524"/>
      <c r="C410" s="524"/>
      <c r="D410" s="242"/>
      <c r="E410" s="242"/>
      <c r="F410" s="242"/>
      <c r="G410" s="13"/>
      <c r="H410" s="525"/>
      <c r="I410" s="242"/>
      <c r="J410" s="242"/>
      <c r="K410" s="242"/>
      <c r="L410" s="13"/>
      <c r="M410" s="13"/>
      <c r="N410" s="242"/>
      <c r="O410" s="242"/>
      <c r="P410" s="242"/>
      <c r="Q410" s="242"/>
      <c r="R410" s="242"/>
      <c r="S410" s="242"/>
      <c r="T410" s="242"/>
      <c r="U410" s="242"/>
      <c r="V410" s="242"/>
      <c r="W410" s="242"/>
      <c r="X410" s="242"/>
      <c r="Y410" s="242"/>
      <c r="Z410" s="242"/>
    </row>
    <row r="411">
      <c r="A411" s="242"/>
      <c r="B411" s="524"/>
      <c r="C411" s="524"/>
      <c r="D411" s="242"/>
      <c r="E411" s="242"/>
      <c r="F411" s="242"/>
      <c r="G411" s="13"/>
      <c r="H411" s="525"/>
      <c r="I411" s="242"/>
      <c r="J411" s="242"/>
      <c r="K411" s="242"/>
      <c r="L411" s="13"/>
      <c r="M411" s="13"/>
      <c r="N411" s="242"/>
      <c r="O411" s="242"/>
      <c r="P411" s="242"/>
      <c r="Q411" s="242"/>
      <c r="R411" s="242"/>
      <c r="S411" s="242"/>
      <c r="T411" s="242"/>
      <c r="U411" s="242"/>
      <c r="V411" s="242"/>
      <c r="W411" s="242"/>
      <c r="X411" s="242"/>
      <c r="Y411" s="242"/>
      <c r="Z411" s="242"/>
    </row>
    <row r="412">
      <c r="A412" s="242"/>
      <c r="B412" s="524"/>
      <c r="C412" s="524"/>
      <c r="D412" s="242"/>
      <c r="E412" s="242"/>
      <c r="F412" s="242"/>
      <c r="G412" s="13"/>
      <c r="H412" s="525"/>
      <c r="I412" s="242"/>
      <c r="J412" s="242"/>
      <c r="K412" s="242"/>
      <c r="L412" s="13"/>
      <c r="M412" s="13"/>
      <c r="N412" s="242"/>
      <c r="O412" s="242"/>
      <c r="P412" s="242"/>
      <c r="Q412" s="242"/>
      <c r="R412" s="242"/>
      <c r="S412" s="242"/>
      <c r="T412" s="242"/>
      <c r="U412" s="242"/>
      <c r="V412" s="242"/>
      <c r="W412" s="242"/>
      <c r="X412" s="242"/>
      <c r="Y412" s="242"/>
      <c r="Z412" s="242"/>
    </row>
    <row r="413">
      <c r="A413" s="242"/>
      <c r="B413" s="524"/>
      <c r="C413" s="524"/>
      <c r="D413" s="242"/>
      <c r="E413" s="242"/>
      <c r="F413" s="242"/>
      <c r="G413" s="13"/>
      <c r="H413" s="525"/>
      <c r="I413" s="242"/>
      <c r="J413" s="242"/>
      <c r="K413" s="242"/>
      <c r="L413" s="13"/>
      <c r="M413" s="13"/>
      <c r="N413" s="242"/>
      <c r="O413" s="242"/>
      <c r="P413" s="242"/>
      <c r="Q413" s="242"/>
      <c r="R413" s="242"/>
      <c r="S413" s="242"/>
      <c r="T413" s="242"/>
      <c r="U413" s="242"/>
      <c r="V413" s="242"/>
      <c r="W413" s="242"/>
      <c r="X413" s="242"/>
      <c r="Y413" s="242"/>
      <c r="Z413" s="242"/>
    </row>
    <row r="414">
      <c r="A414" s="242"/>
      <c r="B414" s="524"/>
      <c r="C414" s="524"/>
      <c r="D414" s="242"/>
      <c r="E414" s="242"/>
      <c r="F414" s="242"/>
      <c r="G414" s="13"/>
      <c r="H414" s="525"/>
      <c r="I414" s="242"/>
      <c r="J414" s="242"/>
      <c r="K414" s="242"/>
      <c r="L414" s="13"/>
      <c r="M414" s="13"/>
      <c r="N414" s="242"/>
      <c r="O414" s="242"/>
      <c r="P414" s="242"/>
      <c r="Q414" s="242"/>
      <c r="R414" s="242"/>
      <c r="S414" s="242"/>
      <c r="T414" s="242"/>
      <c r="U414" s="242"/>
      <c r="V414" s="242"/>
      <c r="W414" s="242"/>
      <c r="X414" s="242"/>
      <c r="Y414" s="242"/>
      <c r="Z414" s="242"/>
    </row>
    <row r="415">
      <c r="A415" s="242"/>
      <c r="B415" s="524"/>
      <c r="C415" s="524"/>
      <c r="D415" s="242"/>
      <c r="E415" s="242"/>
      <c r="F415" s="242"/>
      <c r="G415" s="13"/>
      <c r="H415" s="525"/>
      <c r="I415" s="242"/>
      <c r="J415" s="242"/>
      <c r="K415" s="242"/>
      <c r="L415" s="13"/>
      <c r="M415" s="13"/>
      <c r="N415" s="242"/>
      <c r="O415" s="242"/>
      <c r="P415" s="242"/>
      <c r="Q415" s="242"/>
      <c r="R415" s="242"/>
      <c r="S415" s="242"/>
      <c r="T415" s="242"/>
      <c r="U415" s="242"/>
      <c r="V415" s="242"/>
      <c r="W415" s="242"/>
      <c r="X415" s="242"/>
      <c r="Y415" s="242"/>
      <c r="Z415" s="242"/>
    </row>
    <row r="416">
      <c r="A416" s="242"/>
      <c r="B416" s="524"/>
      <c r="C416" s="524"/>
      <c r="D416" s="242"/>
      <c r="E416" s="242"/>
      <c r="F416" s="242"/>
      <c r="G416" s="13"/>
      <c r="H416" s="525"/>
      <c r="I416" s="242"/>
      <c r="J416" s="242"/>
      <c r="K416" s="242"/>
      <c r="L416" s="13"/>
      <c r="M416" s="13"/>
      <c r="N416" s="242"/>
      <c r="O416" s="242"/>
      <c r="P416" s="242"/>
      <c r="Q416" s="242"/>
      <c r="R416" s="242"/>
      <c r="S416" s="242"/>
      <c r="T416" s="242"/>
      <c r="U416" s="242"/>
      <c r="V416" s="242"/>
      <c r="W416" s="242"/>
      <c r="X416" s="242"/>
      <c r="Y416" s="242"/>
      <c r="Z416" s="242"/>
    </row>
    <row r="417">
      <c r="A417" s="242"/>
      <c r="B417" s="524"/>
      <c r="C417" s="524"/>
      <c r="D417" s="242"/>
      <c r="E417" s="242"/>
      <c r="F417" s="242"/>
      <c r="G417" s="13"/>
      <c r="H417" s="525"/>
      <c r="I417" s="242"/>
      <c r="J417" s="242"/>
      <c r="K417" s="242"/>
      <c r="L417" s="13"/>
      <c r="M417" s="13"/>
      <c r="N417" s="242"/>
      <c r="O417" s="242"/>
      <c r="P417" s="242"/>
      <c r="Q417" s="242"/>
      <c r="R417" s="242"/>
      <c r="S417" s="242"/>
      <c r="T417" s="242"/>
      <c r="U417" s="242"/>
      <c r="V417" s="242"/>
      <c r="W417" s="242"/>
      <c r="X417" s="242"/>
      <c r="Y417" s="242"/>
      <c r="Z417" s="242"/>
    </row>
    <row r="418">
      <c r="A418" s="242"/>
      <c r="B418" s="524"/>
      <c r="C418" s="524"/>
      <c r="D418" s="242"/>
      <c r="E418" s="242"/>
      <c r="F418" s="242"/>
      <c r="G418" s="13"/>
      <c r="H418" s="525"/>
      <c r="I418" s="242"/>
      <c r="J418" s="242"/>
      <c r="K418" s="242"/>
      <c r="L418" s="13"/>
      <c r="M418" s="13"/>
      <c r="N418" s="242"/>
      <c r="O418" s="242"/>
      <c r="P418" s="242"/>
      <c r="Q418" s="242"/>
      <c r="R418" s="242"/>
      <c r="S418" s="242"/>
      <c r="T418" s="242"/>
      <c r="U418" s="242"/>
      <c r="V418" s="242"/>
      <c r="W418" s="242"/>
      <c r="X418" s="242"/>
      <c r="Y418" s="242"/>
      <c r="Z418" s="242"/>
    </row>
    <row r="419">
      <c r="A419" s="242"/>
      <c r="B419" s="524"/>
      <c r="C419" s="524"/>
      <c r="D419" s="242"/>
      <c r="E419" s="242"/>
      <c r="F419" s="242"/>
      <c r="G419" s="13"/>
      <c r="H419" s="525"/>
      <c r="I419" s="242"/>
      <c r="J419" s="242"/>
      <c r="K419" s="242"/>
      <c r="L419" s="13"/>
      <c r="M419" s="13"/>
      <c r="N419" s="242"/>
      <c r="O419" s="242"/>
      <c r="P419" s="242"/>
      <c r="Q419" s="242"/>
      <c r="R419" s="242"/>
      <c r="S419" s="242"/>
      <c r="T419" s="242"/>
      <c r="U419" s="242"/>
      <c r="V419" s="242"/>
      <c r="W419" s="242"/>
      <c r="X419" s="242"/>
      <c r="Y419" s="242"/>
      <c r="Z419" s="242"/>
    </row>
    <row r="420">
      <c r="A420" s="242"/>
      <c r="B420" s="524"/>
      <c r="C420" s="524"/>
      <c r="D420" s="242"/>
      <c r="E420" s="242"/>
      <c r="F420" s="242"/>
      <c r="G420" s="13"/>
      <c r="H420" s="525"/>
      <c r="I420" s="242"/>
      <c r="J420" s="242"/>
      <c r="K420" s="242"/>
      <c r="L420" s="13"/>
      <c r="M420" s="13"/>
      <c r="N420" s="242"/>
      <c r="O420" s="242"/>
      <c r="P420" s="242"/>
      <c r="Q420" s="242"/>
      <c r="R420" s="242"/>
      <c r="S420" s="242"/>
      <c r="T420" s="242"/>
      <c r="U420" s="242"/>
      <c r="V420" s="242"/>
      <c r="W420" s="242"/>
      <c r="X420" s="242"/>
      <c r="Y420" s="242"/>
      <c r="Z420" s="242"/>
    </row>
    <row r="421">
      <c r="A421" s="242"/>
      <c r="B421" s="524"/>
      <c r="C421" s="524"/>
      <c r="D421" s="242"/>
      <c r="E421" s="242"/>
      <c r="F421" s="242"/>
      <c r="G421" s="13"/>
      <c r="H421" s="525"/>
      <c r="I421" s="242"/>
      <c r="J421" s="242"/>
      <c r="K421" s="242"/>
      <c r="L421" s="13"/>
      <c r="M421" s="13"/>
      <c r="N421" s="242"/>
      <c r="O421" s="242"/>
      <c r="P421" s="242"/>
      <c r="Q421" s="242"/>
      <c r="R421" s="242"/>
      <c r="S421" s="242"/>
      <c r="T421" s="242"/>
      <c r="U421" s="242"/>
      <c r="V421" s="242"/>
      <c r="W421" s="242"/>
      <c r="X421" s="242"/>
      <c r="Y421" s="242"/>
      <c r="Z421" s="242"/>
    </row>
    <row r="422">
      <c r="A422" s="242"/>
      <c r="B422" s="524"/>
      <c r="C422" s="524"/>
      <c r="D422" s="242"/>
      <c r="E422" s="242"/>
      <c r="F422" s="242"/>
      <c r="G422" s="13"/>
      <c r="H422" s="525"/>
      <c r="I422" s="242"/>
      <c r="J422" s="242"/>
      <c r="K422" s="242"/>
      <c r="L422" s="13"/>
      <c r="M422" s="13"/>
      <c r="N422" s="242"/>
      <c r="O422" s="242"/>
      <c r="P422" s="242"/>
      <c r="Q422" s="242"/>
      <c r="R422" s="242"/>
      <c r="S422" s="242"/>
      <c r="T422" s="242"/>
      <c r="U422" s="242"/>
      <c r="V422" s="242"/>
      <c r="W422" s="242"/>
      <c r="X422" s="242"/>
      <c r="Y422" s="242"/>
      <c r="Z422" s="242"/>
    </row>
    <row r="423">
      <c r="A423" s="242"/>
      <c r="B423" s="524"/>
      <c r="C423" s="524"/>
      <c r="D423" s="242"/>
      <c r="E423" s="242"/>
      <c r="F423" s="242"/>
      <c r="G423" s="13"/>
      <c r="H423" s="525"/>
      <c r="I423" s="242"/>
      <c r="J423" s="242"/>
      <c r="K423" s="242"/>
      <c r="L423" s="13"/>
      <c r="M423" s="13"/>
      <c r="N423" s="242"/>
      <c r="O423" s="242"/>
      <c r="P423" s="242"/>
      <c r="Q423" s="242"/>
      <c r="R423" s="242"/>
      <c r="S423" s="242"/>
      <c r="T423" s="242"/>
      <c r="U423" s="242"/>
      <c r="V423" s="242"/>
      <c r="W423" s="242"/>
      <c r="X423" s="242"/>
      <c r="Y423" s="242"/>
      <c r="Z423" s="242"/>
    </row>
    <row r="424">
      <c r="A424" s="242"/>
      <c r="B424" s="524"/>
      <c r="C424" s="524"/>
      <c r="D424" s="242"/>
      <c r="E424" s="242"/>
      <c r="F424" s="242"/>
      <c r="G424" s="13"/>
      <c r="H424" s="525"/>
      <c r="I424" s="242"/>
      <c r="J424" s="242"/>
      <c r="K424" s="242"/>
      <c r="L424" s="13"/>
      <c r="M424" s="13"/>
      <c r="N424" s="242"/>
      <c r="O424" s="242"/>
      <c r="P424" s="242"/>
      <c r="Q424" s="242"/>
      <c r="R424" s="242"/>
      <c r="S424" s="242"/>
      <c r="T424" s="242"/>
      <c r="U424" s="242"/>
      <c r="V424" s="242"/>
      <c r="W424" s="242"/>
      <c r="X424" s="242"/>
      <c r="Y424" s="242"/>
      <c r="Z424" s="242"/>
    </row>
    <row r="425">
      <c r="A425" s="242"/>
      <c r="B425" s="524"/>
      <c r="C425" s="524"/>
      <c r="D425" s="242"/>
      <c r="E425" s="242"/>
      <c r="F425" s="242"/>
      <c r="G425" s="13"/>
      <c r="H425" s="525"/>
      <c r="I425" s="242"/>
      <c r="J425" s="242"/>
      <c r="K425" s="242"/>
      <c r="L425" s="13"/>
      <c r="M425" s="13"/>
      <c r="N425" s="242"/>
      <c r="O425" s="242"/>
      <c r="P425" s="242"/>
      <c r="Q425" s="242"/>
      <c r="R425" s="242"/>
      <c r="S425" s="242"/>
      <c r="T425" s="242"/>
      <c r="U425" s="242"/>
      <c r="V425" s="242"/>
      <c r="W425" s="242"/>
      <c r="X425" s="242"/>
      <c r="Y425" s="242"/>
      <c r="Z425" s="242"/>
    </row>
    <row r="426">
      <c r="A426" s="242"/>
      <c r="B426" s="524"/>
      <c r="C426" s="524"/>
      <c r="D426" s="242"/>
      <c r="E426" s="242"/>
      <c r="F426" s="242"/>
      <c r="G426" s="13"/>
      <c r="H426" s="525"/>
      <c r="I426" s="242"/>
      <c r="J426" s="242"/>
      <c r="K426" s="242"/>
      <c r="L426" s="13"/>
      <c r="M426" s="13"/>
      <c r="N426" s="242"/>
      <c r="O426" s="242"/>
      <c r="P426" s="242"/>
      <c r="Q426" s="242"/>
      <c r="R426" s="242"/>
      <c r="S426" s="242"/>
      <c r="T426" s="242"/>
      <c r="U426" s="242"/>
      <c r="V426" s="242"/>
      <c r="W426" s="242"/>
      <c r="X426" s="242"/>
      <c r="Y426" s="242"/>
      <c r="Z426" s="242"/>
    </row>
    <row r="427">
      <c r="A427" s="242"/>
      <c r="B427" s="524"/>
      <c r="C427" s="524"/>
      <c r="D427" s="242"/>
      <c r="E427" s="242"/>
      <c r="F427" s="242"/>
      <c r="G427" s="13"/>
      <c r="H427" s="525"/>
      <c r="I427" s="242"/>
      <c r="J427" s="242"/>
      <c r="K427" s="242"/>
      <c r="L427" s="13"/>
      <c r="M427" s="13"/>
      <c r="N427" s="242"/>
      <c r="O427" s="242"/>
      <c r="P427" s="242"/>
      <c r="Q427" s="242"/>
      <c r="R427" s="242"/>
      <c r="S427" s="242"/>
      <c r="T427" s="242"/>
      <c r="U427" s="242"/>
      <c r="V427" s="242"/>
      <c r="W427" s="242"/>
      <c r="X427" s="242"/>
      <c r="Y427" s="242"/>
      <c r="Z427" s="242"/>
    </row>
    <row r="428">
      <c r="A428" s="242"/>
      <c r="B428" s="524"/>
      <c r="C428" s="524"/>
      <c r="D428" s="242"/>
      <c r="E428" s="242"/>
      <c r="F428" s="242"/>
      <c r="G428" s="13"/>
      <c r="H428" s="525"/>
      <c r="I428" s="242"/>
      <c r="J428" s="242"/>
      <c r="K428" s="242"/>
      <c r="L428" s="13"/>
      <c r="M428" s="13"/>
      <c r="N428" s="242"/>
      <c r="O428" s="242"/>
      <c r="P428" s="242"/>
      <c r="Q428" s="242"/>
      <c r="R428" s="242"/>
      <c r="S428" s="242"/>
      <c r="T428" s="242"/>
      <c r="U428" s="242"/>
      <c r="V428" s="242"/>
      <c r="W428" s="242"/>
      <c r="X428" s="242"/>
      <c r="Y428" s="242"/>
      <c r="Z428" s="242"/>
    </row>
    <row r="429">
      <c r="A429" s="242"/>
      <c r="B429" s="524"/>
      <c r="C429" s="524"/>
      <c r="D429" s="242"/>
      <c r="E429" s="242"/>
      <c r="F429" s="242"/>
      <c r="G429" s="13"/>
      <c r="H429" s="525"/>
      <c r="I429" s="242"/>
      <c r="J429" s="242"/>
      <c r="K429" s="242"/>
      <c r="L429" s="13"/>
      <c r="M429" s="13"/>
      <c r="N429" s="242"/>
      <c r="O429" s="242"/>
      <c r="P429" s="242"/>
      <c r="Q429" s="242"/>
      <c r="R429" s="242"/>
      <c r="S429" s="242"/>
      <c r="T429" s="242"/>
      <c r="U429" s="242"/>
      <c r="V429" s="242"/>
      <c r="W429" s="242"/>
      <c r="X429" s="242"/>
      <c r="Y429" s="242"/>
      <c r="Z429" s="242"/>
    </row>
    <row r="430">
      <c r="A430" s="242"/>
      <c r="B430" s="524"/>
      <c r="C430" s="524"/>
      <c r="D430" s="242"/>
      <c r="E430" s="242"/>
      <c r="F430" s="242"/>
      <c r="G430" s="13"/>
      <c r="H430" s="525"/>
      <c r="I430" s="242"/>
      <c r="J430" s="242"/>
      <c r="K430" s="242"/>
      <c r="L430" s="13"/>
      <c r="M430" s="13"/>
      <c r="N430" s="242"/>
      <c r="O430" s="242"/>
      <c r="P430" s="242"/>
      <c r="Q430" s="242"/>
      <c r="R430" s="242"/>
      <c r="S430" s="242"/>
      <c r="T430" s="242"/>
      <c r="U430" s="242"/>
      <c r="V430" s="242"/>
      <c r="W430" s="242"/>
      <c r="X430" s="242"/>
      <c r="Y430" s="242"/>
      <c r="Z430" s="242"/>
    </row>
    <row r="431">
      <c r="A431" s="242"/>
      <c r="B431" s="524"/>
      <c r="C431" s="524"/>
      <c r="D431" s="242"/>
      <c r="E431" s="242"/>
      <c r="F431" s="242"/>
      <c r="G431" s="13"/>
      <c r="H431" s="525"/>
      <c r="I431" s="242"/>
      <c r="J431" s="242"/>
      <c r="K431" s="242"/>
      <c r="L431" s="13"/>
      <c r="M431" s="13"/>
      <c r="N431" s="242"/>
      <c r="O431" s="242"/>
      <c r="P431" s="242"/>
      <c r="Q431" s="242"/>
      <c r="R431" s="242"/>
      <c r="S431" s="242"/>
      <c r="T431" s="242"/>
      <c r="U431" s="242"/>
      <c r="V431" s="242"/>
      <c r="W431" s="242"/>
      <c r="X431" s="242"/>
      <c r="Y431" s="242"/>
      <c r="Z431" s="242"/>
    </row>
    <row r="432">
      <c r="A432" s="242"/>
      <c r="B432" s="524"/>
      <c r="C432" s="524"/>
      <c r="D432" s="242"/>
      <c r="E432" s="242"/>
      <c r="F432" s="242"/>
      <c r="G432" s="13"/>
      <c r="H432" s="525"/>
      <c r="I432" s="242"/>
      <c r="J432" s="242"/>
      <c r="K432" s="242"/>
      <c r="L432" s="13"/>
      <c r="M432" s="13"/>
      <c r="N432" s="242"/>
      <c r="O432" s="242"/>
      <c r="P432" s="242"/>
      <c r="Q432" s="242"/>
      <c r="R432" s="242"/>
      <c r="S432" s="242"/>
      <c r="T432" s="242"/>
      <c r="U432" s="242"/>
      <c r="V432" s="242"/>
      <c r="W432" s="242"/>
      <c r="X432" s="242"/>
      <c r="Y432" s="242"/>
      <c r="Z432" s="242"/>
    </row>
    <row r="433">
      <c r="A433" s="242"/>
      <c r="B433" s="524"/>
      <c r="C433" s="524"/>
      <c r="D433" s="242"/>
      <c r="E433" s="242"/>
      <c r="F433" s="242"/>
      <c r="G433" s="13"/>
      <c r="H433" s="525"/>
      <c r="I433" s="242"/>
      <c r="J433" s="242"/>
      <c r="K433" s="242"/>
      <c r="L433" s="13"/>
      <c r="M433" s="13"/>
      <c r="N433" s="242"/>
      <c r="O433" s="242"/>
      <c r="P433" s="242"/>
      <c r="Q433" s="242"/>
      <c r="R433" s="242"/>
      <c r="S433" s="242"/>
      <c r="T433" s="242"/>
      <c r="U433" s="242"/>
      <c r="V433" s="242"/>
      <c r="W433" s="242"/>
      <c r="X433" s="242"/>
      <c r="Y433" s="242"/>
      <c r="Z433" s="242"/>
    </row>
    <row r="434">
      <c r="A434" s="242"/>
      <c r="B434" s="524"/>
      <c r="C434" s="524"/>
      <c r="D434" s="242"/>
      <c r="E434" s="242"/>
      <c r="F434" s="242"/>
      <c r="G434" s="13"/>
      <c r="H434" s="525"/>
      <c r="I434" s="242"/>
      <c r="J434" s="242"/>
      <c r="K434" s="242"/>
      <c r="L434" s="13"/>
      <c r="M434" s="13"/>
      <c r="N434" s="242"/>
      <c r="O434" s="242"/>
      <c r="P434" s="242"/>
      <c r="Q434" s="242"/>
      <c r="R434" s="242"/>
      <c r="S434" s="242"/>
      <c r="T434" s="242"/>
      <c r="U434" s="242"/>
      <c r="V434" s="242"/>
      <c r="W434" s="242"/>
      <c r="X434" s="242"/>
      <c r="Y434" s="242"/>
      <c r="Z434" s="242"/>
    </row>
    <row r="435">
      <c r="A435" s="242"/>
      <c r="B435" s="524"/>
      <c r="C435" s="524"/>
      <c r="D435" s="242"/>
      <c r="E435" s="242"/>
      <c r="F435" s="242"/>
      <c r="G435" s="13"/>
      <c r="H435" s="525"/>
      <c r="I435" s="242"/>
      <c r="J435" s="242"/>
      <c r="K435" s="242"/>
      <c r="L435" s="13"/>
      <c r="M435" s="13"/>
      <c r="N435" s="242"/>
      <c r="O435" s="242"/>
      <c r="P435" s="242"/>
      <c r="Q435" s="242"/>
      <c r="R435" s="242"/>
      <c r="S435" s="242"/>
      <c r="T435" s="242"/>
      <c r="U435" s="242"/>
      <c r="V435" s="242"/>
      <c r="W435" s="242"/>
      <c r="X435" s="242"/>
      <c r="Y435" s="242"/>
      <c r="Z435" s="242"/>
    </row>
    <row r="436">
      <c r="A436" s="242"/>
      <c r="B436" s="524"/>
      <c r="C436" s="524"/>
      <c r="D436" s="242"/>
      <c r="E436" s="242"/>
      <c r="F436" s="242"/>
      <c r="G436" s="13"/>
      <c r="H436" s="525"/>
      <c r="I436" s="242"/>
      <c r="J436" s="242"/>
      <c r="K436" s="242"/>
      <c r="L436" s="13"/>
      <c r="M436" s="13"/>
      <c r="N436" s="242"/>
      <c r="O436" s="242"/>
      <c r="P436" s="242"/>
      <c r="Q436" s="242"/>
      <c r="R436" s="242"/>
      <c r="S436" s="242"/>
      <c r="T436" s="242"/>
      <c r="U436" s="242"/>
      <c r="V436" s="242"/>
      <c r="W436" s="242"/>
      <c r="X436" s="242"/>
      <c r="Y436" s="242"/>
      <c r="Z436" s="242"/>
    </row>
    <row r="437">
      <c r="A437" s="242"/>
      <c r="B437" s="524"/>
      <c r="C437" s="524"/>
      <c r="D437" s="242"/>
      <c r="E437" s="242"/>
      <c r="F437" s="242"/>
      <c r="G437" s="13"/>
      <c r="H437" s="525"/>
      <c r="I437" s="242"/>
      <c r="J437" s="242"/>
      <c r="K437" s="242"/>
      <c r="L437" s="13"/>
      <c r="M437" s="13"/>
      <c r="N437" s="242"/>
      <c r="O437" s="242"/>
      <c r="P437" s="242"/>
      <c r="Q437" s="242"/>
      <c r="R437" s="242"/>
      <c r="S437" s="242"/>
      <c r="T437" s="242"/>
      <c r="U437" s="242"/>
      <c r="V437" s="242"/>
      <c r="W437" s="242"/>
      <c r="X437" s="242"/>
      <c r="Y437" s="242"/>
      <c r="Z437" s="242"/>
    </row>
    <row r="438">
      <c r="A438" s="242"/>
      <c r="B438" s="524"/>
      <c r="C438" s="524"/>
      <c r="D438" s="242"/>
      <c r="E438" s="242"/>
      <c r="F438" s="242"/>
      <c r="G438" s="13"/>
      <c r="H438" s="525"/>
      <c r="I438" s="242"/>
      <c r="J438" s="242"/>
      <c r="K438" s="242"/>
      <c r="L438" s="13"/>
      <c r="M438" s="13"/>
      <c r="N438" s="242"/>
      <c r="O438" s="242"/>
      <c r="P438" s="242"/>
      <c r="Q438" s="242"/>
      <c r="R438" s="242"/>
      <c r="S438" s="242"/>
      <c r="T438" s="242"/>
      <c r="U438" s="242"/>
      <c r="V438" s="242"/>
      <c r="W438" s="242"/>
      <c r="X438" s="242"/>
      <c r="Y438" s="242"/>
      <c r="Z438" s="242"/>
    </row>
    <row r="439">
      <c r="A439" s="242"/>
      <c r="B439" s="524"/>
      <c r="C439" s="524"/>
      <c r="D439" s="242"/>
      <c r="E439" s="242"/>
      <c r="F439" s="242"/>
      <c r="G439" s="13"/>
      <c r="H439" s="525"/>
      <c r="I439" s="242"/>
      <c r="J439" s="242"/>
      <c r="K439" s="242"/>
      <c r="L439" s="13"/>
      <c r="M439" s="13"/>
      <c r="N439" s="242"/>
      <c r="O439" s="242"/>
      <c r="P439" s="242"/>
      <c r="Q439" s="242"/>
      <c r="R439" s="242"/>
      <c r="S439" s="242"/>
      <c r="T439" s="242"/>
      <c r="U439" s="242"/>
      <c r="V439" s="242"/>
      <c r="W439" s="242"/>
      <c r="X439" s="242"/>
      <c r="Y439" s="242"/>
      <c r="Z439" s="242"/>
    </row>
    <row r="440">
      <c r="A440" s="242"/>
      <c r="B440" s="524"/>
      <c r="C440" s="524"/>
      <c r="D440" s="242"/>
      <c r="E440" s="242"/>
      <c r="F440" s="242"/>
      <c r="G440" s="13"/>
      <c r="H440" s="525"/>
      <c r="I440" s="242"/>
      <c r="J440" s="242"/>
      <c r="K440" s="242"/>
      <c r="L440" s="13"/>
      <c r="M440" s="13"/>
      <c r="N440" s="242"/>
      <c r="O440" s="242"/>
      <c r="P440" s="242"/>
      <c r="Q440" s="242"/>
      <c r="R440" s="242"/>
      <c r="S440" s="242"/>
      <c r="T440" s="242"/>
      <c r="U440" s="242"/>
      <c r="V440" s="242"/>
      <c r="W440" s="242"/>
      <c r="X440" s="242"/>
      <c r="Y440" s="242"/>
      <c r="Z440" s="242"/>
    </row>
    <row r="441">
      <c r="A441" s="242"/>
      <c r="B441" s="524"/>
      <c r="C441" s="524"/>
      <c r="D441" s="242"/>
      <c r="E441" s="242"/>
      <c r="F441" s="242"/>
      <c r="G441" s="13"/>
      <c r="H441" s="525"/>
      <c r="I441" s="242"/>
      <c r="J441" s="242"/>
      <c r="K441" s="242"/>
      <c r="L441" s="13"/>
      <c r="M441" s="13"/>
      <c r="N441" s="242"/>
      <c r="O441" s="242"/>
      <c r="P441" s="242"/>
      <c r="Q441" s="242"/>
      <c r="R441" s="242"/>
      <c r="S441" s="242"/>
      <c r="T441" s="242"/>
      <c r="U441" s="242"/>
      <c r="V441" s="242"/>
      <c r="W441" s="242"/>
      <c r="X441" s="242"/>
      <c r="Y441" s="242"/>
      <c r="Z441" s="242"/>
    </row>
    <row r="442">
      <c r="A442" s="242"/>
      <c r="B442" s="524"/>
      <c r="C442" s="524"/>
      <c r="D442" s="242"/>
      <c r="E442" s="242"/>
      <c r="F442" s="242"/>
      <c r="G442" s="13"/>
      <c r="H442" s="525"/>
      <c r="I442" s="242"/>
      <c r="J442" s="242"/>
      <c r="K442" s="242"/>
      <c r="L442" s="13"/>
      <c r="M442" s="13"/>
      <c r="N442" s="242"/>
      <c r="O442" s="242"/>
      <c r="P442" s="242"/>
      <c r="Q442" s="242"/>
      <c r="R442" s="242"/>
      <c r="S442" s="242"/>
      <c r="T442" s="242"/>
      <c r="U442" s="242"/>
      <c r="V442" s="242"/>
      <c r="W442" s="242"/>
      <c r="X442" s="242"/>
      <c r="Y442" s="242"/>
      <c r="Z442" s="242"/>
    </row>
    <row r="443">
      <c r="A443" s="242"/>
      <c r="B443" s="524"/>
      <c r="C443" s="524"/>
      <c r="D443" s="242"/>
      <c r="E443" s="242"/>
      <c r="F443" s="242"/>
      <c r="G443" s="13"/>
      <c r="H443" s="525"/>
      <c r="I443" s="242"/>
      <c r="J443" s="242"/>
      <c r="K443" s="242"/>
      <c r="L443" s="13"/>
      <c r="M443" s="13"/>
      <c r="N443" s="242"/>
      <c r="O443" s="242"/>
      <c r="P443" s="242"/>
      <c r="Q443" s="242"/>
      <c r="R443" s="242"/>
      <c r="S443" s="242"/>
      <c r="T443" s="242"/>
      <c r="U443" s="242"/>
      <c r="V443" s="242"/>
      <c r="W443" s="242"/>
      <c r="X443" s="242"/>
      <c r="Y443" s="242"/>
      <c r="Z443" s="242"/>
    </row>
    <row r="444">
      <c r="A444" s="242"/>
      <c r="B444" s="524"/>
      <c r="C444" s="524"/>
      <c r="D444" s="242"/>
      <c r="E444" s="242"/>
      <c r="F444" s="242"/>
      <c r="G444" s="13"/>
      <c r="H444" s="525"/>
      <c r="I444" s="242"/>
      <c r="J444" s="242"/>
      <c r="K444" s="242"/>
      <c r="L444" s="13"/>
      <c r="M444" s="13"/>
      <c r="N444" s="242"/>
      <c r="O444" s="242"/>
      <c r="P444" s="242"/>
      <c r="Q444" s="242"/>
      <c r="R444" s="242"/>
      <c r="S444" s="242"/>
      <c r="T444" s="242"/>
      <c r="U444" s="242"/>
      <c r="V444" s="242"/>
      <c r="W444" s="242"/>
      <c r="X444" s="242"/>
      <c r="Y444" s="242"/>
      <c r="Z444" s="242"/>
    </row>
    <row r="445">
      <c r="A445" s="242"/>
      <c r="B445" s="524"/>
      <c r="C445" s="524"/>
      <c r="D445" s="242"/>
      <c r="E445" s="242"/>
      <c r="F445" s="242"/>
      <c r="G445" s="13"/>
      <c r="H445" s="525"/>
      <c r="I445" s="242"/>
      <c r="J445" s="242"/>
      <c r="K445" s="242"/>
      <c r="L445" s="13"/>
      <c r="M445" s="13"/>
      <c r="N445" s="242"/>
      <c r="O445" s="242"/>
      <c r="P445" s="242"/>
      <c r="Q445" s="242"/>
      <c r="R445" s="242"/>
      <c r="S445" s="242"/>
      <c r="T445" s="242"/>
      <c r="U445" s="242"/>
      <c r="V445" s="242"/>
      <c r="W445" s="242"/>
      <c r="X445" s="242"/>
      <c r="Y445" s="242"/>
      <c r="Z445" s="242"/>
    </row>
    <row r="446">
      <c r="A446" s="242"/>
      <c r="B446" s="524"/>
      <c r="C446" s="524"/>
      <c r="D446" s="242"/>
      <c r="E446" s="242"/>
      <c r="F446" s="242"/>
      <c r="G446" s="13"/>
      <c r="H446" s="525"/>
      <c r="I446" s="242"/>
      <c r="J446" s="242"/>
      <c r="K446" s="242"/>
      <c r="L446" s="13"/>
      <c r="M446" s="13"/>
      <c r="N446" s="242"/>
      <c r="O446" s="242"/>
      <c r="P446" s="242"/>
      <c r="Q446" s="242"/>
      <c r="R446" s="242"/>
      <c r="S446" s="242"/>
      <c r="T446" s="242"/>
      <c r="U446" s="242"/>
      <c r="V446" s="242"/>
      <c r="W446" s="242"/>
      <c r="X446" s="242"/>
      <c r="Y446" s="242"/>
      <c r="Z446" s="242"/>
    </row>
    <row r="447">
      <c r="A447" s="242"/>
      <c r="B447" s="524"/>
      <c r="C447" s="524"/>
      <c r="D447" s="242"/>
      <c r="E447" s="242"/>
      <c r="F447" s="242"/>
      <c r="G447" s="13"/>
      <c r="H447" s="525"/>
      <c r="I447" s="242"/>
      <c r="J447" s="242"/>
      <c r="K447" s="242"/>
      <c r="L447" s="13"/>
      <c r="M447" s="13"/>
      <c r="N447" s="242"/>
      <c r="O447" s="242"/>
      <c r="P447" s="242"/>
      <c r="Q447" s="242"/>
      <c r="R447" s="242"/>
      <c r="S447" s="242"/>
      <c r="T447" s="242"/>
      <c r="U447" s="242"/>
      <c r="V447" s="242"/>
      <c r="W447" s="242"/>
      <c r="X447" s="242"/>
      <c r="Y447" s="242"/>
      <c r="Z447" s="242"/>
    </row>
    <row r="448">
      <c r="A448" s="242"/>
      <c r="B448" s="524"/>
      <c r="C448" s="524"/>
      <c r="D448" s="242"/>
      <c r="E448" s="242"/>
      <c r="F448" s="242"/>
      <c r="G448" s="13"/>
      <c r="H448" s="525"/>
      <c r="I448" s="242"/>
      <c r="J448" s="242"/>
      <c r="K448" s="242"/>
      <c r="L448" s="13"/>
      <c r="M448" s="13"/>
      <c r="N448" s="242"/>
      <c r="O448" s="242"/>
      <c r="P448" s="242"/>
      <c r="Q448" s="242"/>
      <c r="R448" s="242"/>
      <c r="S448" s="242"/>
      <c r="T448" s="242"/>
      <c r="U448" s="242"/>
      <c r="V448" s="242"/>
      <c r="W448" s="242"/>
      <c r="X448" s="242"/>
      <c r="Y448" s="242"/>
      <c r="Z448" s="242"/>
    </row>
    <row r="449">
      <c r="A449" s="242"/>
      <c r="B449" s="524"/>
      <c r="C449" s="524"/>
      <c r="D449" s="242"/>
      <c r="E449" s="242"/>
      <c r="F449" s="242"/>
      <c r="G449" s="13"/>
      <c r="H449" s="525"/>
      <c r="I449" s="242"/>
      <c r="J449" s="242"/>
      <c r="K449" s="242"/>
      <c r="L449" s="13"/>
      <c r="M449" s="13"/>
      <c r="N449" s="242"/>
      <c r="O449" s="242"/>
      <c r="P449" s="242"/>
      <c r="Q449" s="242"/>
      <c r="R449" s="242"/>
      <c r="S449" s="242"/>
      <c r="T449" s="242"/>
      <c r="U449" s="242"/>
      <c r="V449" s="242"/>
      <c r="W449" s="242"/>
      <c r="X449" s="242"/>
      <c r="Y449" s="242"/>
      <c r="Z449" s="242"/>
    </row>
    <row r="450">
      <c r="A450" s="242"/>
      <c r="B450" s="524"/>
      <c r="C450" s="524"/>
      <c r="D450" s="242"/>
      <c r="E450" s="242"/>
      <c r="F450" s="242"/>
      <c r="G450" s="13"/>
      <c r="H450" s="525"/>
      <c r="I450" s="242"/>
      <c r="J450" s="242"/>
      <c r="K450" s="242"/>
      <c r="L450" s="13"/>
      <c r="M450" s="13"/>
      <c r="N450" s="242"/>
      <c r="O450" s="242"/>
      <c r="P450" s="242"/>
      <c r="Q450" s="242"/>
      <c r="R450" s="242"/>
      <c r="S450" s="242"/>
      <c r="T450" s="242"/>
      <c r="U450" s="242"/>
      <c r="V450" s="242"/>
      <c r="W450" s="242"/>
      <c r="X450" s="242"/>
      <c r="Y450" s="242"/>
      <c r="Z450" s="242"/>
    </row>
    <row r="451">
      <c r="A451" s="242"/>
      <c r="B451" s="524"/>
      <c r="C451" s="524"/>
      <c r="D451" s="242"/>
      <c r="E451" s="242"/>
      <c r="F451" s="242"/>
      <c r="G451" s="13"/>
      <c r="H451" s="525"/>
      <c r="I451" s="242"/>
      <c r="J451" s="242"/>
      <c r="K451" s="242"/>
      <c r="L451" s="13"/>
      <c r="M451" s="13"/>
      <c r="N451" s="242"/>
      <c r="O451" s="242"/>
      <c r="P451" s="242"/>
      <c r="Q451" s="242"/>
      <c r="R451" s="242"/>
      <c r="S451" s="242"/>
      <c r="T451" s="242"/>
      <c r="U451" s="242"/>
      <c r="V451" s="242"/>
      <c r="W451" s="242"/>
      <c r="X451" s="242"/>
      <c r="Y451" s="242"/>
      <c r="Z451" s="242"/>
    </row>
    <row r="452">
      <c r="A452" s="242"/>
      <c r="B452" s="524"/>
      <c r="C452" s="524"/>
      <c r="D452" s="242"/>
      <c r="E452" s="242"/>
      <c r="F452" s="242"/>
      <c r="G452" s="13"/>
      <c r="H452" s="525"/>
      <c r="I452" s="242"/>
      <c r="J452" s="242"/>
      <c r="K452" s="242"/>
      <c r="L452" s="13"/>
      <c r="M452" s="13"/>
      <c r="N452" s="242"/>
      <c r="O452" s="242"/>
      <c r="P452" s="242"/>
      <c r="Q452" s="242"/>
      <c r="R452" s="242"/>
      <c r="S452" s="242"/>
      <c r="T452" s="242"/>
      <c r="U452" s="242"/>
      <c r="V452" s="242"/>
      <c r="W452" s="242"/>
      <c r="X452" s="242"/>
      <c r="Y452" s="242"/>
      <c r="Z452" s="242"/>
    </row>
    <row r="453">
      <c r="A453" s="242"/>
      <c r="B453" s="524"/>
      <c r="C453" s="524"/>
      <c r="D453" s="242"/>
      <c r="E453" s="242"/>
      <c r="F453" s="242"/>
      <c r="G453" s="13"/>
      <c r="H453" s="525"/>
      <c r="I453" s="242"/>
      <c r="J453" s="242"/>
      <c r="K453" s="242"/>
      <c r="L453" s="13"/>
      <c r="M453" s="13"/>
      <c r="N453" s="242"/>
      <c r="O453" s="242"/>
      <c r="P453" s="242"/>
      <c r="Q453" s="242"/>
      <c r="R453" s="242"/>
      <c r="S453" s="242"/>
      <c r="T453" s="242"/>
      <c r="U453" s="242"/>
      <c r="V453" s="242"/>
      <c r="W453" s="242"/>
      <c r="X453" s="242"/>
      <c r="Y453" s="242"/>
      <c r="Z453" s="242"/>
    </row>
    <row r="454">
      <c r="A454" s="242"/>
      <c r="B454" s="524"/>
      <c r="C454" s="524"/>
      <c r="D454" s="242"/>
      <c r="E454" s="242"/>
      <c r="F454" s="242"/>
      <c r="G454" s="13"/>
      <c r="H454" s="525"/>
      <c r="I454" s="242"/>
      <c r="J454" s="242"/>
      <c r="K454" s="242"/>
      <c r="L454" s="13"/>
      <c r="M454" s="13"/>
      <c r="N454" s="242"/>
      <c r="O454" s="242"/>
      <c r="P454" s="242"/>
      <c r="Q454" s="242"/>
      <c r="R454" s="242"/>
      <c r="S454" s="242"/>
      <c r="T454" s="242"/>
      <c r="U454" s="242"/>
      <c r="V454" s="242"/>
      <c r="W454" s="242"/>
      <c r="X454" s="242"/>
      <c r="Y454" s="242"/>
      <c r="Z454" s="242"/>
    </row>
    <row r="455">
      <c r="A455" s="242"/>
      <c r="B455" s="524"/>
      <c r="C455" s="524"/>
      <c r="D455" s="242"/>
      <c r="E455" s="242"/>
      <c r="F455" s="242"/>
      <c r="G455" s="13"/>
      <c r="H455" s="525"/>
      <c r="I455" s="242"/>
      <c r="J455" s="242"/>
      <c r="K455" s="242"/>
      <c r="L455" s="13"/>
      <c r="M455" s="13"/>
      <c r="N455" s="242"/>
      <c r="O455" s="242"/>
      <c r="P455" s="242"/>
      <c r="Q455" s="242"/>
      <c r="R455" s="242"/>
      <c r="S455" s="242"/>
      <c r="T455" s="242"/>
      <c r="U455" s="242"/>
      <c r="V455" s="242"/>
      <c r="W455" s="242"/>
      <c r="X455" s="242"/>
      <c r="Y455" s="242"/>
      <c r="Z455" s="242"/>
    </row>
    <row r="456">
      <c r="A456" s="242"/>
      <c r="B456" s="524"/>
      <c r="C456" s="524"/>
      <c r="D456" s="242"/>
      <c r="E456" s="242"/>
      <c r="F456" s="242"/>
      <c r="G456" s="13"/>
      <c r="H456" s="525"/>
      <c r="I456" s="242"/>
      <c r="J456" s="242"/>
      <c r="K456" s="242"/>
      <c r="L456" s="13"/>
      <c r="M456" s="13"/>
      <c r="N456" s="242"/>
      <c r="O456" s="242"/>
      <c r="P456" s="242"/>
      <c r="Q456" s="242"/>
      <c r="R456" s="242"/>
      <c r="S456" s="242"/>
      <c r="T456" s="242"/>
      <c r="U456" s="242"/>
      <c r="V456" s="242"/>
      <c r="W456" s="242"/>
      <c r="X456" s="242"/>
      <c r="Y456" s="242"/>
      <c r="Z456" s="242"/>
    </row>
    <row r="457">
      <c r="A457" s="242"/>
      <c r="B457" s="524"/>
      <c r="C457" s="524"/>
      <c r="D457" s="242"/>
      <c r="E457" s="242"/>
      <c r="F457" s="242"/>
      <c r="G457" s="13"/>
      <c r="H457" s="525"/>
      <c r="I457" s="242"/>
      <c r="J457" s="242"/>
      <c r="K457" s="242"/>
      <c r="L457" s="13"/>
      <c r="M457" s="13"/>
      <c r="N457" s="242"/>
      <c r="O457" s="242"/>
      <c r="P457" s="242"/>
      <c r="Q457" s="242"/>
      <c r="R457" s="242"/>
      <c r="S457" s="242"/>
      <c r="T457" s="242"/>
      <c r="U457" s="242"/>
      <c r="V457" s="242"/>
      <c r="W457" s="242"/>
      <c r="X457" s="242"/>
      <c r="Y457" s="242"/>
      <c r="Z457" s="242"/>
    </row>
    <row r="458">
      <c r="A458" s="242"/>
      <c r="B458" s="524"/>
      <c r="C458" s="524"/>
      <c r="D458" s="242"/>
      <c r="E458" s="242"/>
      <c r="F458" s="242"/>
      <c r="G458" s="13"/>
      <c r="H458" s="525"/>
      <c r="I458" s="242"/>
      <c r="J458" s="242"/>
      <c r="K458" s="242"/>
      <c r="L458" s="13"/>
      <c r="M458" s="13"/>
      <c r="N458" s="242"/>
      <c r="O458" s="242"/>
      <c r="P458" s="242"/>
      <c r="Q458" s="242"/>
      <c r="R458" s="242"/>
      <c r="S458" s="242"/>
      <c r="T458" s="242"/>
      <c r="U458" s="242"/>
      <c r="V458" s="242"/>
      <c r="W458" s="242"/>
      <c r="X458" s="242"/>
      <c r="Y458" s="242"/>
      <c r="Z458" s="242"/>
    </row>
    <row r="459">
      <c r="A459" s="242"/>
      <c r="B459" s="524"/>
      <c r="C459" s="524"/>
      <c r="D459" s="242"/>
      <c r="E459" s="242"/>
      <c r="F459" s="242"/>
      <c r="G459" s="13"/>
      <c r="H459" s="525"/>
      <c r="I459" s="242"/>
      <c r="J459" s="242"/>
      <c r="K459" s="242"/>
      <c r="L459" s="13"/>
      <c r="M459" s="13"/>
      <c r="N459" s="242"/>
      <c r="O459" s="242"/>
      <c r="P459" s="242"/>
      <c r="Q459" s="242"/>
      <c r="R459" s="242"/>
      <c r="S459" s="242"/>
      <c r="T459" s="242"/>
      <c r="U459" s="242"/>
      <c r="V459" s="242"/>
      <c r="W459" s="242"/>
      <c r="X459" s="242"/>
      <c r="Y459" s="242"/>
      <c r="Z459" s="242"/>
    </row>
    <row r="460">
      <c r="A460" s="242"/>
      <c r="B460" s="524"/>
      <c r="C460" s="524"/>
      <c r="D460" s="242"/>
      <c r="E460" s="242"/>
      <c r="F460" s="242"/>
      <c r="G460" s="13"/>
      <c r="H460" s="525"/>
      <c r="I460" s="242"/>
      <c r="J460" s="242"/>
      <c r="K460" s="242"/>
      <c r="L460" s="13"/>
      <c r="M460" s="13"/>
      <c r="N460" s="242"/>
      <c r="O460" s="242"/>
      <c r="P460" s="242"/>
      <c r="Q460" s="242"/>
      <c r="R460" s="242"/>
      <c r="S460" s="242"/>
      <c r="T460" s="242"/>
      <c r="U460" s="242"/>
      <c r="V460" s="242"/>
      <c r="W460" s="242"/>
      <c r="X460" s="242"/>
      <c r="Y460" s="242"/>
      <c r="Z460" s="242"/>
    </row>
    <row r="461">
      <c r="A461" s="242"/>
      <c r="B461" s="524"/>
      <c r="C461" s="524"/>
      <c r="D461" s="242"/>
      <c r="E461" s="242"/>
      <c r="F461" s="242"/>
      <c r="G461" s="13"/>
      <c r="H461" s="525"/>
      <c r="I461" s="242"/>
      <c r="J461" s="242"/>
      <c r="K461" s="242"/>
      <c r="L461" s="13"/>
      <c r="M461" s="13"/>
      <c r="N461" s="242"/>
      <c r="O461" s="242"/>
      <c r="P461" s="242"/>
      <c r="Q461" s="242"/>
      <c r="R461" s="242"/>
      <c r="S461" s="242"/>
      <c r="T461" s="242"/>
      <c r="U461" s="242"/>
      <c r="V461" s="242"/>
      <c r="W461" s="242"/>
      <c r="X461" s="242"/>
      <c r="Y461" s="242"/>
      <c r="Z461" s="242"/>
    </row>
    <row r="462">
      <c r="A462" s="242"/>
      <c r="B462" s="524"/>
      <c r="C462" s="524"/>
      <c r="D462" s="242"/>
      <c r="E462" s="242"/>
      <c r="F462" s="242"/>
      <c r="G462" s="13"/>
      <c r="H462" s="525"/>
      <c r="I462" s="242"/>
      <c r="J462" s="242"/>
      <c r="K462" s="242"/>
      <c r="L462" s="13"/>
      <c r="M462" s="13"/>
      <c r="N462" s="242"/>
      <c r="O462" s="242"/>
      <c r="P462" s="242"/>
      <c r="Q462" s="242"/>
      <c r="R462" s="242"/>
      <c r="S462" s="242"/>
      <c r="T462" s="242"/>
      <c r="U462" s="242"/>
      <c r="V462" s="242"/>
      <c r="W462" s="242"/>
      <c r="X462" s="242"/>
      <c r="Y462" s="242"/>
      <c r="Z462" s="242"/>
    </row>
    <row r="463">
      <c r="A463" s="242"/>
      <c r="B463" s="524"/>
      <c r="C463" s="524"/>
      <c r="D463" s="242"/>
      <c r="E463" s="242"/>
      <c r="F463" s="242"/>
      <c r="G463" s="13"/>
      <c r="H463" s="525"/>
      <c r="I463" s="242"/>
      <c r="J463" s="242"/>
      <c r="K463" s="242"/>
      <c r="L463" s="13"/>
      <c r="M463" s="13"/>
      <c r="N463" s="242"/>
      <c r="O463" s="242"/>
      <c r="P463" s="242"/>
      <c r="Q463" s="242"/>
      <c r="R463" s="242"/>
      <c r="S463" s="242"/>
      <c r="T463" s="242"/>
      <c r="U463" s="242"/>
      <c r="V463" s="242"/>
      <c r="W463" s="242"/>
      <c r="X463" s="242"/>
      <c r="Y463" s="242"/>
      <c r="Z463" s="242"/>
    </row>
    <row r="464">
      <c r="A464" s="242"/>
      <c r="B464" s="524"/>
      <c r="C464" s="524"/>
      <c r="D464" s="242"/>
      <c r="E464" s="242"/>
      <c r="F464" s="242"/>
      <c r="G464" s="13"/>
      <c r="H464" s="525"/>
      <c r="I464" s="242"/>
      <c r="J464" s="242"/>
      <c r="K464" s="242"/>
      <c r="L464" s="13"/>
      <c r="M464" s="13"/>
      <c r="N464" s="242"/>
      <c r="O464" s="242"/>
      <c r="P464" s="242"/>
      <c r="Q464" s="242"/>
      <c r="R464" s="242"/>
      <c r="S464" s="242"/>
      <c r="T464" s="242"/>
      <c r="U464" s="242"/>
      <c r="V464" s="242"/>
      <c r="W464" s="242"/>
      <c r="X464" s="242"/>
      <c r="Y464" s="242"/>
      <c r="Z464" s="242"/>
    </row>
    <row r="465">
      <c r="A465" s="242"/>
      <c r="B465" s="524"/>
      <c r="C465" s="524"/>
      <c r="D465" s="242"/>
      <c r="E465" s="242"/>
      <c r="F465" s="242"/>
      <c r="G465" s="13"/>
      <c r="H465" s="525"/>
      <c r="I465" s="242"/>
      <c r="J465" s="242"/>
      <c r="K465" s="242"/>
      <c r="L465" s="13"/>
      <c r="M465" s="13"/>
      <c r="N465" s="242"/>
      <c r="O465" s="242"/>
      <c r="P465" s="242"/>
      <c r="Q465" s="242"/>
      <c r="R465" s="242"/>
      <c r="S465" s="242"/>
      <c r="T465" s="242"/>
      <c r="U465" s="242"/>
      <c r="V465" s="242"/>
      <c r="W465" s="242"/>
      <c r="X465" s="242"/>
      <c r="Y465" s="242"/>
      <c r="Z465" s="242"/>
    </row>
    <row r="466">
      <c r="A466" s="242"/>
      <c r="B466" s="524"/>
      <c r="C466" s="524"/>
      <c r="D466" s="242"/>
      <c r="E466" s="242"/>
      <c r="F466" s="242"/>
      <c r="G466" s="13"/>
      <c r="H466" s="525"/>
      <c r="I466" s="242"/>
      <c r="J466" s="242"/>
      <c r="K466" s="242"/>
      <c r="L466" s="13"/>
      <c r="M466" s="13"/>
      <c r="N466" s="242"/>
      <c r="O466" s="242"/>
      <c r="P466" s="242"/>
      <c r="Q466" s="242"/>
      <c r="R466" s="242"/>
      <c r="S466" s="242"/>
      <c r="T466" s="242"/>
      <c r="U466" s="242"/>
      <c r="V466" s="242"/>
      <c r="W466" s="242"/>
      <c r="X466" s="242"/>
      <c r="Y466" s="242"/>
      <c r="Z466" s="242"/>
    </row>
    <row r="467">
      <c r="A467" s="242"/>
      <c r="B467" s="524"/>
      <c r="C467" s="524"/>
      <c r="D467" s="242"/>
      <c r="E467" s="242"/>
      <c r="F467" s="242"/>
      <c r="G467" s="13"/>
      <c r="H467" s="525"/>
      <c r="I467" s="242"/>
      <c r="J467" s="242"/>
      <c r="K467" s="242"/>
      <c r="L467" s="13"/>
      <c r="M467" s="13"/>
      <c r="N467" s="242"/>
      <c r="O467" s="242"/>
      <c r="P467" s="242"/>
      <c r="Q467" s="242"/>
      <c r="R467" s="242"/>
      <c r="S467" s="242"/>
      <c r="T467" s="242"/>
      <c r="U467" s="242"/>
      <c r="V467" s="242"/>
      <c r="W467" s="242"/>
      <c r="X467" s="242"/>
      <c r="Y467" s="242"/>
      <c r="Z467" s="242"/>
    </row>
    <row r="468">
      <c r="A468" s="242"/>
      <c r="B468" s="524"/>
      <c r="C468" s="524"/>
      <c r="D468" s="242"/>
      <c r="E468" s="242"/>
      <c r="F468" s="242"/>
      <c r="G468" s="13"/>
      <c r="H468" s="525"/>
      <c r="I468" s="242"/>
      <c r="J468" s="242"/>
      <c r="K468" s="242"/>
      <c r="L468" s="13"/>
      <c r="M468" s="13"/>
      <c r="N468" s="242"/>
      <c r="O468" s="242"/>
      <c r="P468" s="242"/>
      <c r="Q468" s="242"/>
      <c r="R468" s="242"/>
      <c r="S468" s="242"/>
      <c r="T468" s="242"/>
      <c r="U468" s="242"/>
      <c r="V468" s="242"/>
      <c r="W468" s="242"/>
      <c r="X468" s="242"/>
      <c r="Y468" s="242"/>
      <c r="Z468" s="242"/>
    </row>
    <row r="469">
      <c r="A469" s="242"/>
      <c r="B469" s="524"/>
      <c r="C469" s="524"/>
      <c r="D469" s="242"/>
      <c r="E469" s="242"/>
      <c r="F469" s="242"/>
      <c r="G469" s="13"/>
      <c r="H469" s="525"/>
      <c r="I469" s="242"/>
      <c r="J469" s="242"/>
      <c r="K469" s="242"/>
      <c r="L469" s="13"/>
      <c r="M469" s="13"/>
      <c r="N469" s="242"/>
      <c r="O469" s="242"/>
      <c r="P469" s="242"/>
      <c r="Q469" s="242"/>
      <c r="R469" s="242"/>
      <c r="S469" s="242"/>
      <c r="T469" s="242"/>
      <c r="U469" s="242"/>
      <c r="V469" s="242"/>
      <c r="W469" s="242"/>
      <c r="X469" s="242"/>
      <c r="Y469" s="242"/>
      <c r="Z469" s="242"/>
    </row>
    <row r="470">
      <c r="A470" s="242"/>
      <c r="B470" s="524"/>
      <c r="C470" s="524"/>
      <c r="D470" s="242"/>
      <c r="E470" s="242"/>
      <c r="F470" s="242"/>
      <c r="G470" s="13"/>
      <c r="H470" s="525"/>
      <c r="I470" s="242"/>
      <c r="J470" s="242"/>
      <c r="K470" s="242"/>
      <c r="L470" s="13"/>
      <c r="M470" s="13"/>
      <c r="N470" s="242"/>
      <c r="O470" s="242"/>
      <c r="P470" s="242"/>
      <c r="Q470" s="242"/>
      <c r="R470" s="242"/>
      <c r="S470" s="242"/>
      <c r="T470" s="242"/>
      <c r="U470" s="242"/>
      <c r="V470" s="242"/>
      <c r="W470" s="242"/>
      <c r="X470" s="242"/>
      <c r="Y470" s="242"/>
      <c r="Z470" s="242"/>
    </row>
    <row r="471">
      <c r="A471" s="242"/>
      <c r="B471" s="524"/>
      <c r="C471" s="524"/>
      <c r="D471" s="242"/>
      <c r="E471" s="242"/>
      <c r="F471" s="242"/>
      <c r="G471" s="13"/>
      <c r="H471" s="525"/>
      <c r="I471" s="242"/>
      <c r="J471" s="242"/>
      <c r="K471" s="242"/>
      <c r="L471" s="13"/>
      <c r="M471" s="13"/>
      <c r="N471" s="242"/>
      <c r="O471" s="242"/>
      <c r="P471" s="242"/>
      <c r="Q471" s="242"/>
      <c r="R471" s="242"/>
      <c r="S471" s="242"/>
      <c r="T471" s="242"/>
      <c r="U471" s="242"/>
      <c r="V471" s="242"/>
      <c r="W471" s="242"/>
      <c r="X471" s="242"/>
      <c r="Y471" s="242"/>
      <c r="Z471" s="242"/>
    </row>
    <row r="472">
      <c r="A472" s="242"/>
      <c r="B472" s="524"/>
      <c r="C472" s="524"/>
      <c r="D472" s="242"/>
      <c r="E472" s="242"/>
      <c r="F472" s="242"/>
      <c r="G472" s="13"/>
      <c r="H472" s="525"/>
      <c r="I472" s="242"/>
      <c r="J472" s="242"/>
      <c r="K472" s="242"/>
      <c r="L472" s="13"/>
      <c r="M472" s="13"/>
      <c r="N472" s="242"/>
      <c r="O472" s="242"/>
      <c r="P472" s="242"/>
      <c r="Q472" s="242"/>
      <c r="R472" s="242"/>
      <c r="S472" s="242"/>
      <c r="T472" s="242"/>
      <c r="U472" s="242"/>
      <c r="V472" s="242"/>
      <c r="W472" s="242"/>
      <c r="X472" s="242"/>
      <c r="Y472" s="242"/>
      <c r="Z472" s="242"/>
    </row>
    <row r="473">
      <c r="A473" s="242"/>
      <c r="B473" s="524"/>
      <c r="C473" s="524"/>
      <c r="D473" s="242"/>
      <c r="E473" s="242"/>
      <c r="F473" s="242"/>
      <c r="G473" s="13"/>
      <c r="H473" s="525"/>
      <c r="I473" s="242"/>
      <c r="J473" s="242"/>
      <c r="K473" s="242"/>
      <c r="L473" s="13"/>
      <c r="M473" s="13"/>
      <c r="N473" s="242"/>
      <c r="O473" s="242"/>
      <c r="P473" s="242"/>
      <c r="Q473" s="242"/>
      <c r="R473" s="242"/>
      <c r="S473" s="242"/>
      <c r="T473" s="242"/>
      <c r="U473" s="242"/>
      <c r="V473" s="242"/>
      <c r="W473" s="242"/>
      <c r="X473" s="242"/>
      <c r="Y473" s="242"/>
      <c r="Z473" s="242"/>
    </row>
    <row r="474">
      <c r="A474" s="242"/>
      <c r="B474" s="524"/>
      <c r="C474" s="524"/>
      <c r="D474" s="242"/>
      <c r="E474" s="242"/>
      <c r="F474" s="242"/>
      <c r="G474" s="13"/>
      <c r="H474" s="525"/>
      <c r="I474" s="242"/>
      <c r="J474" s="242"/>
      <c r="K474" s="242"/>
      <c r="L474" s="13"/>
      <c r="M474" s="13"/>
      <c r="N474" s="242"/>
      <c r="O474" s="242"/>
      <c r="P474" s="242"/>
      <c r="Q474" s="242"/>
      <c r="R474" s="242"/>
      <c r="S474" s="242"/>
      <c r="T474" s="242"/>
      <c r="U474" s="242"/>
      <c r="V474" s="242"/>
      <c r="W474" s="242"/>
      <c r="X474" s="242"/>
      <c r="Y474" s="242"/>
      <c r="Z474" s="242"/>
    </row>
    <row r="475">
      <c r="A475" s="242"/>
      <c r="B475" s="524"/>
      <c r="C475" s="524"/>
      <c r="D475" s="242"/>
      <c r="E475" s="242"/>
      <c r="F475" s="242"/>
      <c r="G475" s="13"/>
      <c r="H475" s="525"/>
      <c r="I475" s="242"/>
      <c r="J475" s="242"/>
      <c r="K475" s="242"/>
      <c r="L475" s="13"/>
      <c r="M475" s="13"/>
      <c r="N475" s="242"/>
      <c r="O475" s="242"/>
      <c r="P475" s="242"/>
      <c r="Q475" s="242"/>
      <c r="R475" s="242"/>
      <c r="S475" s="242"/>
      <c r="T475" s="242"/>
      <c r="U475" s="242"/>
      <c r="V475" s="242"/>
      <c r="W475" s="242"/>
      <c r="X475" s="242"/>
      <c r="Y475" s="242"/>
      <c r="Z475" s="242"/>
    </row>
    <row r="476">
      <c r="A476" s="242"/>
      <c r="B476" s="524"/>
      <c r="C476" s="524"/>
      <c r="D476" s="242"/>
      <c r="E476" s="242"/>
      <c r="F476" s="242"/>
      <c r="G476" s="13"/>
      <c r="H476" s="525"/>
      <c r="I476" s="242"/>
      <c r="J476" s="242"/>
      <c r="K476" s="242"/>
      <c r="L476" s="13"/>
      <c r="M476" s="13"/>
      <c r="N476" s="242"/>
      <c r="O476" s="242"/>
      <c r="P476" s="242"/>
      <c r="Q476" s="242"/>
      <c r="R476" s="242"/>
      <c r="S476" s="242"/>
      <c r="T476" s="242"/>
      <c r="U476" s="242"/>
      <c r="V476" s="242"/>
      <c r="W476" s="242"/>
      <c r="X476" s="242"/>
      <c r="Y476" s="242"/>
      <c r="Z476" s="242"/>
    </row>
    <row r="477">
      <c r="A477" s="242"/>
      <c r="B477" s="524"/>
      <c r="C477" s="524"/>
      <c r="D477" s="242"/>
      <c r="E477" s="242"/>
      <c r="F477" s="242"/>
      <c r="G477" s="13"/>
      <c r="H477" s="525"/>
      <c r="I477" s="242"/>
      <c r="J477" s="242"/>
      <c r="K477" s="242"/>
      <c r="L477" s="13"/>
      <c r="M477" s="13"/>
      <c r="N477" s="242"/>
      <c r="O477" s="242"/>
      <c r="P477" s="242"/>
      <c r="Q477" s="242"/>
      <c r="R477" s="242"/>
      <c r="S477" s="242"/>
      <c r="T477" s="242"/>
      <c r="U477" s="242"/>
      <c r="V477" s="242"/>
      <c r="W477" s="242"/>
      <c r="X477" s="242"/>
      <c r="Y477" s="242"/>
      <c r="Z477" s="242"/>
    </row>
    <row r="478">
      <c r="A478" s="242"/>
      <c r="B478" s="524"/>
      <c r="C478" s="524"/>
      <c r="D478" s="242"/>
      <c r="E478" s="242"/>
      <c r="F478" s="242"/>
      <c r="G478" s="13"/>
      <c r="H478" s="525"/>
      <c r="I478" s="242"/>
      <c r="J478" s="242"/>
      <c r="K478" s="242"/>
      <c r="L478" s="13"/>
      <c r="M478" s="13"/>
      <c r="N478" s="242"/>
      <c r="O478" s="242"/>
      <c r="P478" s="242"/>
      <c r="Q478" s="242"/>
      <c r="R478" s="242"/>
      <c r="S478" s="242"/>
      <c r="T478" s="242"/>
      <c r="U478" s="242"/>
      <c r="V478" s="242"/>
      <c r="W478" s="242"/>
      <c r="X478" s="242"/>
      <c r="Y478" s="242"/>
      <c r="Z478" s="242"/>
    </row>
    <row r="479">
      <c r="A479" s="242"/>
      <c r="B479" s="524"/>
      <c r="C479" s="524"/>
      <c r="D479" s="242"/>
      <c r="E479" s="242"/>
      <c r="F479" s="242"/>
      <c r="G479" s="13"/>
      <c r="H479" s="525"/>
      <c r="I479" s="242"/>
      <c r="J479" s="242"/>
      <c r="K479" s="242"/>
      <c r="L479" s="13"/>
      <c r="M479" s="13"/>
      <c r="N479" s="242"/>
      <c r="O479" s="242"/>
      <c r="P479" s="242"/>
      <c r="Q479" s="242"/>
      <c r="R479" s="242"/>
      <c r="S479" s="242"/>
      <c r="T479" s="242"/>
      <c r="U479" s="242"/>
      <c r="V479" s="242"/>
      <c r="W479" s="242"/>
      <c r="X479" s="242"/>
      <c r="Y479" s="242"/>
      <c r="Z479" s="242"/>
    </row>
    <row r="480">
      <c r="A480" s="242"/>
      <c r="B480" s="524"/>
      <c r="C480" s="524"/>
      <c r="D480" s="242"/>
      <c r="E480" s="242"/>
      <c r="F480" s="242"/>
      <c r="G480" s="13"/>
      <c r="H480" s="525"/>
      <c r="I480" s="242"/>
      <c r="J480" s="242"/>
      <c r="K480" s="242"/>
      <c r="L480" s="13"/>
      <c r="M480" s="13"/>
      <c r="N480" s="242"/>
      <c r="O480" s="242"/>
      <c r="P480" s="242"/>
      <c r="Q480" s="242"/>
      <c r="R480" s="242"/>
      <c r="S480" s="242"/>
      <c r="T480" s="242"/>
      <c r="U480" s="242"/>
      <c r="V480" s="242"/>
      <c r="W480" s="242"/>
      <c r="X480" s="242"/>
      <c r="Y480" s="242"/>
      <c r="Z480" s="242"/>
    </row>
    <row r="481">
      <c r="A481" s="242"/>
      <c r="B481" s="524"/>
      <c r="C481" s="524"/>
      <c r="D481" s="242"/>
      <c r="E481" s="242"/>
      <c r="F481" s="242"/>
      <c r="G481" s="13"/>
      <c r="H481" s="525"/>
      <c r="I481" s="242"/>
      <c r="J481" s="242"/>
      <c r="K481" s="242"/>
      <c r="L481" s="13"/>
      <c r="M481" s="13"/>
      <c r="N481" s="242"/>
      <c r="O481" s="242"/>
      <c r="P481" s="242"/>
      <c r="Q481" s="242"/>
      <c r="R481" s="242"/>
      <c r="S481" s="242"/>
      <c r="T481" s="242"/>
      <c r="U481" s="242"/>
      <c r="V481" s="242"/>
      <c r="W481" s="242"/>
      <c r="X481" s="242"/>
      <c r="Y481" s="242"/>
      <c r="Z481" s="242"/>
    </row>
    <row r="482">
      <c r="A482" s="242"/>
      <c r="B482" s="524"/>
      <c r="C482" s="524"/>
      <c r="D482" s="242"/>
      <c r="E482" s="242"/>
      <c r="F482" s="242"/>
      <c r="G482" s="13"/>
      <c r="H482" s="525"/>
      <c r="I482" s="242"/>
      <c r="J482" s="242"/>
      <c r="K482" s="242"/>
      <c r="L482" s="13"/>
      <c r="M482" s="13"/>
      <c r="N482" s="242"/>
      <c r="O482" s="242"/>
      <c r="P482" s="242"/>
      <c r="Q482" s="242"/>
      <c r="R482" s="242"/>
      <c r="S482" s="242"/>
      <c r="T482" s="242"/>
      <c r="U482" s="242"/>
      <c r="V482" s="242"/>
      <c r="W482" s="242"/>
      <c r="X482" s="242"/>
      <c r="Y482" s="242"/>
      <c r="Z482" s="242"/>
    </row>
    <row r="483">
      <c r="A483" s="242"/>
      <c r="B483" s="524"/>
      <c r="C483" s="524"/>
      <c r="D483" s="242"/>
      <c r="E483" s="242"/>
      <c r="F483" s="242"/>
      <c r="G483" s="13"/>
      <c r="H483" s="525"/>
      <c r="I483" s="242"/>
      <c r="J483" s="242"/>
      <c r="K483" s="242"/>
      <c r="L483" s="13"/>
      <c r="M483" s="13"/>
      <c r="N483" s="242"/>
      <c r="O483" s="242"/>
      <c r="P483" s="242"/>
      <c r="Q483" s="242"/>
      <c r="R483" s="242"/>
      <c r="S483" s="242"/>
      <c r="T483" s="242"/>
      <c r="U483" s="242"/>
      <c r="V483" s="242"/>
      <c r="W483" s="242"/>
      <c r="X483" s="242"/>
      <c r="Y483" s="242"/>
      <c r="Z483" s="242"/>
    </row>
    <row r="484">
      <c r="A484" s="242"/>
      <c r="B484" s="524"/>
      <c r="C484" s="524"/>
      <c r="D484" s="242"/>
      <c r="E484" s="242"/>
      <c r="F484" s="242"/>
      <c r="G484" s="13"/>
      <c r="H484" s="525"/>
      <c r="I484" s="242"/>
      <c r="J484" s="242"/>
      <c r="K484" s="242"/>
      <c r="L484" s="13"/>
      <c r="M484" s="13"/>
      <c r="N484" s="242"/>
      <c r="O484" s="242"/>
      <c r="P484" s="242"/>
      <c r="Q484" s="242"/>
      <c r="R484" s="242"/>
      <c r="S484" s="242"/>
      <c r="T484" s="242"/>
      <c r="U484" s="242"/>
      <c r="V484" s="242"/>
      <c r="W484" s="242"/>
      <c r="X484" s="242"/>
      <c r="Y484" s="242"/>
      <c r="Z484" s="242"/>
    </row>
    <row r="485">
      <c r="A485" s="242"/>
      <c r="B485" s="524"/>
      <c r="C485" s="524"/>
      <c r="D485" s="242"/>
      <c r="E485" s="242"/>
      <c r="F485" s="242"/>
      <c r="G485" s="13"/>
      <c r="H485" s="525"/>
      <c r="I485" s="242"/>
      <c r="J485" s="242"/>
      <c r="K485" s="242"/>
      <c r="L485" s="13"/>
      <c r="M485" s="13"/>
      <c r="N485" s="242"/>
      <c r="O485" s="242"/>
      <c r="P485" s="242"/>
      <c r="Q485" s="242"/>
      <c r="R485" s="242"/>
      <c r="S485" s="242"/>
      <c r="T485" s="242"/>
      <c r="U485" s="242"/>
      <c r="V485" s="242"/>
      <c r="W485" s="242"/>
      <c r="X485" s="242"/>
      <c r="Y485" s="242"/>
      <c r="Z485" s="242"/>
    </row>
    <row r="486">
      <c r="A486" s="242"/>
      <c r="B486" s="524"/>
      <c r="C486" s="524"/>
      <c r="D486" s="242"/>
      <c r="E486" s="242"/>
      <c r="F486" s="242"/>
      <c r="G486" s="13"/>
      <c r="H486" s="525"/>
      <c r="I486" s="242"/>
      <c r="J486" s="242"/>
      <c r="K486" s="242"/>
      <c r="L486" s="13"/>
      <c r="M486" s="13"/>
      <c r="N486" s="242"/>
      <c r="O486" s="242"/>
      <c r="P486" s="242"/>
      <c r="Q486" s="242"/>
      <c r="R486" s="242"/>
      <c r="S486" s="242"/>
      <c r="T486" s="242"/>
      <c r="U486" s="242"/>
      <c r="V486" s="242"/>
      <c r="W486" s="242"/>
      <c r="X486" s="242"/>
      <c r="Y486" s="242"/>
      <c r="Z486" s="242"/>
    </row>
    <row r="487">
      <c r="A487" s="242"/>
      <c r="B487" s="524"/>
      <c r="C487" s="524"/>
      <c r="D487" s="242"/>
      <c r="E487" s="242"/>
      <c r="F487" s="242"/>
      <c r="G487" s="13"/>
      <c r="H487" s="525"/>
      <c r="I487" s="242"/>
      <c r="J487" s="242"/>
      <c r="K487" s="242"/>
      <c r="L487" s="13"/>
      <c r="M487" s="13"/>
      <c r="N487" s="242"/>
      <c r="O487" s="242"/>
      <c r="P487" s="242"/>
      <c r="Q487" s="242"/>
      <c r="R487" s="242"/>
      <c r="S487" s="242"/>
      <c r="T487" s="242"/>
      <c r="U487" s="242"/>
      <c r="V487" s="242"/>
      <c r="W487" s="242"/>
      <c r="X487" s="242"/>
      <c r="Y487" s="242"/>
      <c r="Z487" s="242"/>
    </row>
    <row r="488">
      <c r="A488" s="242"/>
      <c r="B488" s="524"/>
      <c r="C488" s="524"/>
      <c r="D488" s="242"/>
      <c r="E488" s="242"/>
      <c r="F488" s="242"/>
      <c r="G488" s="13"/>
      <c r="H488" s="525"/>
      <c r="I488" s="242"/>
      <c r="J488" s="242"/>
      <c r="K488" s="242"/>
      <c r="L488" s="13"/>
      <c r="M488" s="13"/>
      <c r="N488" s="242"/>
      <c r="O488" s="242"/>
      <c r="P488" s="242"/>
      <c r="Q488" s="242"/>
      <c r="R488" s="242"/>
      <c r="S488" s="242"/>
      <c r="T488" s="242"/>
      <c r="U488" s="242"/>
      <c r="V488" s="242"/>
      <c r="W488" s="242"/>
      <c r="X488" s="242"/>
      <c r="Y488" s="242"/>
      <c r="Z488" s="242"/>
    </row>
    <row r="489">
      <c r="A489" s="242"/>
      <c r="B489" s="524"/>
      <c r="C489" s="524"/>
      <c r="D489" s="242"/>
      <c r="E489" s="242"/>
      <c r="F489" s="242"/>
      <c r="G489" s="13"/>
      <c r="H489" s="525"/>
      <c r="I489" s="242"/>
      <c r="J489" s="242"/>
      <c r="K489" s="242"/>
      <c r="L489" s="13"/>
      <c r="M489" s="13"/>
      <c r="N489" s="242"/>
      <c r="O489" s="242"/>
      <c r="P489" s="242"/>
      <c r="Q489" s="242"/>
      <c r="R489" s="242"/>
      <c r="S489" s="242"/>
      <c r="T489" s="242"/>
      <c r="U489" s="242"/>
      <c r="V489" s="242"/>
      <c r="W489" s="242"/>
      <c r="X489" s="242"/>
      <c r="Y489" s="242"/>
      <c r="Z489" s="242"/>
    </row>
    <row r="490">
      <c r="A490" s="242"/>
      <c r="B490" s="524"/>
      <c r="C490" s="524"/>
      <c r="D490" s="242"/>
      <c r="E490" s="242"/>
      <c r="F490" s="242"/>
      <c r="G490" s="13"/>
      <c r="H490" s="525"/>
      <c r="I490" s="242"/>
      <c r="J490" s="242"/>
      <c r="K490" s="242"/>
      <c r="L490" s="13"/>
      <c r="M490" s="13"/>
      <c r="N490" s="242"/>
      <c r="O490" s="242"/>
      <c r="P490" s="242"/>
      <c r="Q490" s="242"/>
      <c r="R490" s="242"/>
      <c r="S490" s="242"/>
      <c r="T490" s="242"/>
      <c r="U490" s="242"/>
      <c r="V490" s="242"/>
      <c r="W490" s="242"/>
      <c r="X490" s="242"/>
      <c r="Y490" s="242"/>
      <c r="Z490" s="242"/>
    </row>
    <row r="491">
      <c r="A491" s="242"/>
      <c r="B491" s="524"/>
      <c r="C491" s="524"/>
      <c r="D491" s="242"/>
      <c r="E491" s="242"/>
      <c r="F491" s="242"/>
      <c r="G491" s="13"/>
      <c r="H491" s="525"/>
      <c r="I491" s="242"/>
      <c r="J491" s="242"/>
      <c r="K491" s="242"/>
      <c r="L491" s="13"/>
      <c r="M491" s="13"/>
      <c r="N491" s="242"/>
      <c r="O491" s="242"/>
      <c r="P491" s="242"/>
      <c r="Q491" s="242"/>
      <c r="R491" s="242"/>
      <c r="S491" s="242"/>
      <c r="T491" s="242"/>
      <c r="U491" s="242"/>
      <c r="V491" s="242"/>
      <c r="W491" s="242"/>
      <c r="X491" s="242"/>
      <c r="Y491" s="242"/>
      <c r="Z491" s="242"/>
    </row>
    <row r="492">
      <c r="A492" s="242"/>
      <c r="B492" s="524"/>
      <c r="C492" s="524"/>
      <c r="D492" s="242"/>
      <c r="E492" s="242"/>
      <c r="F492" s="242"/>
      <c r="G492" s="13"/>
      <c r="H492" s="525"/>
      <c r="I492" s="242"/>
      <c r="J492" s="242"/>
      <c r="K492" s="242"/>
      <c r="L492" s="13"/>
      <c r="M492" s="13"/>
      <c r="N492" s="242"/>
      <c r="O492" s="242"/>
      <c r="P492" s="242"/>
      <c r="Q492" s="242"/>
      <c r="R492" s="242"/>
      <c r="S492" s="242"/>
      <c r="T492" s="242"/>
      <c r="U492" s="242"/>
      <c r="V492" s="242"/>
      <c r="W492" s="242"/>
      <c r="X492" s="242"/>
      <c r="Y492" s="242"/>
      <c r="Z492" s="242"/>
    </row>
    <row r="493">
      <c r="A493" s="242"/>
      <c r="B493" s="524"/>
      <c r="C493" s="524"/>
      <c r="D493" s="242"/>
      <c r="E493" s="242"/>
      <c r="F493" s="242"/>
      <c r="G493" s="13"/>
      <c r="H493" s="525"/>
      <c r="I493" s="242"/>
      <c r="J493" s="242"/>
      <c r="K493" s="242"/>
      <c r="L493" s="13"/>
      <c r="M493" s="13"/>
      <c r="N493" s="242"/>
      <c r="O493" s="242"/>
      <c r="P493" s="242"/>
      <c r="Q493" s="242"/>
      <c r="R493" s="242"/>
      <c r="S493" s="242"/>
      <c r="T493" s="242"/>
      <c r="U493" s="242"/>
      <c r="V493" s="242"/>
      <c r="W493" s="242"/>
      <c r="X493" s="242"/>
      <c r="Y493" s="242"/>
      <c r="Z493" s="242"/>
    </row>
    <row r="494">
      <c r="A494" s="242"/>
      <c r="B494" s="524"/>
      <c r="C494" s="524"/>
      <c r="D494" s="242"/>
      <c r="E494" s="242"/>
      <c r="F494" s="242"/>
      <c r="G494" s="13"/>
      <c r="H494" s="525"/>
      <c r="I494" s="242"/>
      <c r="J494" s="242"/>
      <c r="K494" s="242"/>
      <c r="L494" s="13"/>
      <c r="M494" s="13"/>
      <c r="N494" s="242"/>
      <c r="O494" s="242"/>
      <c r="P494" s="242"/>
      <c r="Q494" s="242"/>
      <c r="R494" s="242"/>
      <c r="S494" s="242"/>
      <c r="T494" s="242"/>
      <c r="U494" s="242"/>
      <c r="V494" s="242"/>
      <c r="W494" s="242"/>
      <c r="X494" s="242"/>
      <c r="Y494" s="242"/>
      <c r="Z494" s="242"/>
    </row>
    <row r="495">
      <c r="A495" s="242"/>
      <c r="B495" s="524"/>
      <c r="C495" s="524"/>
      <c r="D495" s="242"/>
      <c r="E495" s="242"/>
      <c r="F495" s="242"/>
      <c r="G495" s="13"/>
      <c r="H495" s="525"/>
      <c r="I495" s="242"/>
      <c r="J495" s="242"/>
      <c r="K495" s="242"/>
      <c r="L495" s="13"/>
      <c r="M495" s="13"/>
      <c r="N495" s="242"/>
      <c r="O495" s="242"/>
      <c r="P495" s="242"/>
      <c r="Q495" s="242"/>
      <c r="R495" s="242"/>
      <c r="S495" s="242"/>
      <c r="T495" s="242"/>
      <c r="U495" s="242"/>
      <c r="V495" s="242"/>
      <c r="W495" s="242"/>
      <c r="X495" s="242"/>
      <c r="Y495" s="242"/>
      <c r="Z495" s="242"/>
    </row>
    <row r="496">
      <c r="A496" s="242"/>
      <c r="B496" s="524"/>
      <c r="C496" s="524"/>
      <c r="D496" s="242"/>
      <c r="E496" s="242"/>
      <c r="F496" s="242"/>
      <c r="G496" s="13"/>
      <c r="H496" s="525"/>
      <c r="I496" s="242"/>
      <c r="J496" s="242"/>
      <c r="K496" s="242"/>
      <c r="L496" s="13"/>
      <c r="M496" s="13"/>
      <c r="N496" s="242"/>
      <c r="O496" s="242"/>
      <c r="P496" s="242"/>
      <c r="Q496" s="242"/>
      <c r="R496" s="242"/>
      <c r="S496" s="242"/>
      <c r="T496" s="242"/>
      <c r="U496" s="242"/>
      <c r="V496" s="242"/>
      <c r="W496" s="242"/>
      <c r="X496" s="242"/>
      <c r="Y496" s="242"/>
      <c r="Z496" s="242"/>
    </row>
    <row r="497">
      <c r="A497" s="242"/>
      <c r="B497" s="524"/>
      <c r="C497" s="524"/>
      <c r="D497" s="242"/>
      <c r="E497" s="242"/>
      <c r="F497" s="242"/>
      <c r="G497" s="13"/>
      <c r="H497" s="525"/>
      <c r="I497" s="242"/>
      <c r="J497" s="242"/>
      <c r="K497" s="242"/>
      <c r="L497" s="13"/>
      <c r="M497" s="13"/>
      <c r="N497" s="242"/>
      <c r="O497" s="242"/>
      <c r="P497" s="242"/>
      <c r="Q497" s="242"/>
      <c r="R497" s="242"/>
      <c r="S497" s="242"/>
      <c r="T497" s="242"/>
      <c r="U497" s="242"/>
      <c r="V497" s="242"/>
      <c r="W497" s="242"/>
      <c r="X497" s="242"/>
      <c r="Y497" s="242"/>
      <c r="Z497" s="242"/>
    </row>
    <row r="498">
      <c r="A498" s="242"/>
      <c r="B498" s="524"/>
      <c r="C498" s="524"/>
      <c r="D498" s="242"/>
      <c r="E498" s="242"/>
      <c r="F498" s="242"/>
      <c r="G498" s="13"/>
      <c r="H498" s="525"/>
      <c r="I498" s="242"/>
      <c r="J498" s="242"/>
      <c r="K498" s="242"/>
      <c r="L498" s="13"/>
      <c r="M498" s="13"/>
      <c r="N498" s="242"/>
      <c r="O498" s="242"/>
      <c r="P498" s="242"/>
      <c r="Q498" s="242"/>
      <c r="R498" s="242"/>
      <c r="S498" s="242"/>
      <c r="T498" s="242"/>
      <c r="U498" s="242"/>
      <c r="V498" s="242"/>
      <c r="W498" s="242"/>
      <c r="X498" s="242"/>
      <c r="Y498" s="242"/>
      <c r="Z498" s="242"/>
    </row>
    <row r="499">
      <c r="A499" s="242"/>
      <c r="B499" s="524"/>
      <c r="C499" s="524"/>
      <c r="D499" s="242"/>
      <c r="E499" s="242"/>
      <c r="F499" s="242"/>
      <c r="G499" s="13"/>
      <c r="H499" s="525"/>
      <c r="I499" s="242"/>
      <c r="J499" s="242"/>
      <c r="K499" s="242"/>
      <c r="L499" s="13"/>
      <c r="M499" s="13"/>
      <c r="N499" s="242"/>
      <c r="O499" s="242"/>
      <c r="P499" s="242"/>
      <c r="Q499" s="242"/>
      <c r="R499" s="242"/>
      <c r="S499" s="242"/>
      <c r="T499" s="242"/>
      <c r="U499" s="242"/>
      <c r="V499" s="242"/>
      <c r="W499" s="242"/>
      <c r="X499" s="242"/>
      <c r="Y499" s="242"/>
      <c r="Z499" s="242"/>
    </row>
    <row r="500">
      <c r="A500" s="242"/>
      <c r="B500" s="524"/>
      <c r="C500" s="524"/>
      <c r="D500" s="242"/>
      <c r="E500" s="242"/>
      <c r="F500" s="242"/>
      <c r="G500" s="13"/>
      <c r="H500" s="525"/>
      <c r="I500" s="242"/>
      <c r="J500" s="242"/>
      <c r="K500" s="242"/>
      <c r="L500" s="13"/>
      <c r="M500" s="13"/>
      <c r="N500" s="242"/>
      <c r="O500" s="242"/>
      <c r="P500" s="242"/>
      <c r="Q500" s="242"/>
      <c r="R500" s="242"/>
      <c r="S500" s="242"/>
      <c r="T500" s="242"/>
      <c r="U500" s="242"/>
      <c r="V500" s="242"/>
      <c r="W500" s="242"/>
      <c r="X500" s="242"/>
      <c r="Y500" s="242"/>
      <c r="Z500" s="242"/>
    </row>
    <row r="501">
      <c r="A501" s="242"/>
      <c r="B501" s="524"/>
      <c r="C501" s="524"/>
      <c r="D501" s="242"/>
      <c r="E501" s="242"/>
      <c r="F501" s="242"/>
      <c r="G501" s="13"/>
      <c r="H501" s="525"/>
      <c r="I501" s="242"/>
      <c r="J501" s="242"/>
      <c r="K501" s="242"/>
      <c r="L501" s="13"/>
      <c r="M501" s="13"/>
      <c r="N501" s="242"/>
      <c r="O501" s="242"/>
      <c r="P501" s="242"/>
      <c r="Q501" s="242"/>
      <c r="R501" s="242"/>
      <c r="S501" s="242"/>
      <c r="T501" s="242"/>
      <c r="U501" s="242"/>
      <c r="V501" s="242"/>
      <c r="W501" s="242"/>
      <c r="X501" s="242"/>
      <c r="Y501" s="242"/>
      <c r="Z501" s="242"/>
    </row>
    <row r="502">
      <c r="A502" s="242"/>
      <c r="B502" s="524"/>
      <c r="C502" s="524"/>
      <c r="D502" s="242"/>
      <c r="E502" s="242"/>
      <c r="F502" s="242"/>
      <c r="G502" s="13"/>
      <c r="H502" s="525"/>
      <c r="I502" s="242"/>
      <c r="J502" s="242"/>
      <c r="K502" s="242"/>
      <c r="L502" s="13"/>
      <c r="M502" s="13"/>
      <c r="N502" s="242"/>
      <c r="O502" s="242"/>
      <c r="P502" s="242"/>
      <c r="Q502" s="242"/>
      <c r="R502" s="242"/>
      <c r="S502" s="242"/>
      <c r="T502" s="242"/>
      <c r="U502" s="242"/>
      <c r="V502" s="242"/>
      <c r="W502" s="242"/>
      <c r="X502" s="242"/>
      <c r="Y502" s="242"/>
      <c r="Z502" s="242"/>
    </row>
    <row r="503">
      <c r="A503" s="242"/>
      <c r="B503" s="524"/>
      <c r="C503" s="524"/>
      <c r="D503" s="242"/>
      <c r="E503" s="242"/>
      <c r="F503" s="242"/>
      <c r="G503" s="13"/>
      <c r="H503" s="525"/>
      <c r="I503" s="242"/>
      <c r="J503" s="242"/>
      <c r="K503" s="242"/>
      <c r="L503" s="13"/>
      <c r="M503" s="13"/>
      <c r="N503" s="242"/>
      <c r="O503" s="242"/>
      <c r="P503" s="242"/>
      <c r="Q503" s="242"/>
      <c r="R503" s="242"/>
      <c r="S503" s="242"/>
      <c r="T503" s="242"/>
      <c r="U503" s="242"/>
      <c r="V503" s="242"/>
      <c r="W503" s="242"/>
      <c r="X503" s="242"/>
      <c r="Y503" s="242"/>
      <c r="Z503" s="242"/>
    </row>
    <row r="504">
      <c r="A504" s="242"/>
      <c r="B504" s="524"/>
      <c r="C504" s="524"/>
      <c r="D504" s="242"/>
      <c r="E504" s="242"/>
      <c r="F504" s="242"/>
      <c r="G504" s="13"/>
      <c r="H504" s="525"/>
      <c r="I504" s="242"/>
      <c r="J504" s="242"/>
      <c r="K504" s="242"/>
      <c r="L504" s="13"/>
      <c r="M504" s="13"/>
      <c r="N504" s="242"/>
      <c r="O504" s="242"/>
      <c r="P504" s="242"/>
      <c r="Q504" s="242"/>
      <c r="R504" s="242"/>
      <c r="S504" s="242"/>
      <c r="T504" s="242"/>
      <c r="U504" s="242"/>
      <c r="V504" s="242"/>
      <c r="W504" s="242"/>
      <c r="X504" s="242"/>
      <c r="Y504" s="242"/>
      <c r="Z504" s="242"/>
    </row>
    <row r="505">
      <c r="A505" s="242"/>
      <c r="B505" s="524"/>
      <c r="C505" s="524"/>
      <c r="D505" s="242"/>
      <c r="E505" s="242"/>
      <c r="F505" s="242"/>
      <c r="G505" s="13"/>
      <c r="H505" s="525"/>
      <c r="I505" s="242"/>
      <c r="J505" s="242"/>
      <c r="K505" s="242"/>
      <c r="L505" s="13"/>
      <c r="M505" s="13"/>
      <c r="N505" s="242"/>
      <c r="O505" s="242"/>
      <c r="P505" s="242"/>
      <c r="Q505" s="242"/>
      <c r="R505" s="242"/>
      <c r="S505" s="242"/>
      <c r="T505" s="242"/>
      <c r="U505" s="242"/>
      <c r="V505" s="242"/>
      <c r="W505" s="242"/>
      <c r="X505" s="242"/>
      <c r="Y505" s="242"/>
      <c r="Z505" s="242"/>
    </row>
    <row r="506">
      <c r="A506" s="242"/>
      <c r="B506" s="524"/>
      <c r="C506" s="524"/>
      <c r="D506" s="242"/>
      <c r="E506" s="242"/>
      <c r="F506" s="242"/>
      <c r="G506" s="13"/>
      <c r="H506" s="525"/>
      <c r="I506" s="242"/>
      <c r="J506" s="242"/>
      <c r="K506" s="242"/>
      <c r="L506" s="13"/>
      <c r="M506" s="13"/>
      <c r="N506" s="242"/>
      <c r="O506" s="242"/>
      <c r="P506" s="242"/>
      <c r="Q506" s="242"/>
      <c r="R506" s="242"/>
      <c r="S506" s="242"/>
      <c r="T506" s="242"/>
      <c r="U506" s="242"/>
      <c r="V506" s="242"/>
      <c r="W506" s="242"/>
      <c r="X506" s="242"/>
      <c r="Y506" s="242"/>
      <c r="Z506" s="242"/>
    </row>
    <row r="507">
      <c r="A507" s="242"/>
      <c r="B507" s="524"/>
      <c r="C507" s="524"/>
      <c r="D507" s="242"/>
      <c r="E507" s="242"/>
      <c r="F507" s="242"/>
      <c r="G507" s="13"/>
      <c r="H507" s="525"/>
      <c r="I507" s="242"/>
      <c r="J507" s="242"/>
      <c r="K507" s="242"/>
      <c r="L507" s="13"/>
      <c r="M507" s="13"/>
      <c r="N507" s="242"/>
      <c r="O507" s="242"/>
      <c r="P507" s="242"/>
      <c r="Q507" s="242"/>
      <c r="R507" s="242"/>
      <c r="S507" s="242"/>
      <c r="T507" s="242"/>
      <c r="U507" s="242"/>
      <c r="V507" s="242"/>
      <c r="W507" s="242"/>
      <c r="X507" s="242"/>
      <c r="Y507" s="242"/>
      <c r="Z507" s="242"/>
    </row>
    <row r="508">
      <c r="A508" s="242"/>
      <c r="B508" s="524"/>
      <c r="C508" s="524"/>
      <c r="D508" s="242"/>
      <c r="E508" s="242"/>
      <c r="F508" s="242"/>
      <c r="G508" s="13"/>
      <c r="H508" s="525"/>
      <c r="I508" s="242"/>
      <c r="J508" s="242"/>
      <c r="K508" s="242"/>
      <c r="L508" s="13"/>
      <c r="M508" s="13"/>
      <c r="N508" s="242"/>
      <c r="O508" s="242"/>
      <c r="P508" s="242"/>
      <c r="Q508" s="242"/>
      <c r="R508" s="242"/>
      <c r="S508" s="242"/>
      <c r="T508" s="242"/>
      <c r="U508" s="242"/>
      <c r="V508" s="242"/>
      <c r="W508" s="242"/>
      <c r="X508" s="242"/>
      <c r="Y508" s="242"/>
      <c r="Z508" s="242"/>
    </row>
    <row r="509">
      <c r="A509" s="242"/>
      <c r="B509" s="524"/>
      <c r="C509" s="524"/>
      <c r="D509" s="242"/>
      <c r="E509" s="242"/>
      <c r="F509" s="242"/>
      <c r="G509" s="13"/>
      <c r="H509" s="525"/>
      <c r="I509" s="242"/>
      <c r="J509" s="242"/>
      <c r="K509" s="242"/>
      <c r="L509" s="13"/>
      <c r="M509" s="13"/>
      <c r="N509" s="242"/>
      <c r="O509" s="242"/>
      <c r="P509" s="242"/>
      <c r="Q509" s="242"/>
      <c r="R509" s="242"/>
      <c r="S509" s="242"/>
      <c r="T509" s="242"/>
      <c r="U509" s="242"/>
      <c r="V509" s="242"/>
      <c r="W509" s="242"/>
      <c r="X509" s="242"/>
      <c r="Y509" s="242"/>
      <c r="Z509" s="242"/>
    </row>
    <row r="510">
      <c r="A510" s="242"/>
      <c r="B510" s="524"/>
      <c r="C510" s="524"/>
      <c r="D510" s="242"/>
      <c r="E510" s="242"/>
      <c r="F510" s="242"/>
      <c r="G510" s="13"/>
      <c r="H510" s="525"/>
      <c r="I510" s="242"/>
      <c r="J510" s="242"/>
      <c r="K510" s="242"/>
      <c r="L510" s="13"/>
      <c r="M510" s="13"/>
      <c r="N510" s="242"/>
      <c r="O510" s="242"/>
      <c r="P510" s="242"/>
      <c r="Q510" s="242"/>
      <c r="R510" s="242"/>
      <c r="S510" s="242"/>
      <c r="T510" s="242"/>
      <c r="U510" s="242"/>
      <c r="V510" s="242"/>
      <c r="W510" s="242"/>
      <c r="X510" s="242"/>
      <c r="Y510" s="242"/>
      <c r="Z510" s="242"/>
    </row>
    <row r="511">
      <c r="A511" s="242"/>
      <c r="B511" s="524"/>
      <c r="C511" s="524"/>
      <c r="D511" s="242"/>
      <c r="E511" s="242"/>
      <c r="F511" s="242"/>
      <c r="G511" s="13"/>
      <c r="H511" s="525"/>
      <c r="I511" s="242"/>
      <c r="J511" s="242"/>
      <c r="K511" s="242"/>
      <c r="L511" s="13"/>
      <c r="M511" s="13"/>
      <c r="N511" s="242"/>
      <c r="O511" s="242"/>
      <c r="P511" s="242"/>
      <c r="Q511" s="242"/>
      <c r="R511" s="242"/>
      <c r="S511" s="242"/>
      <c r="T511" s="242"/>
      <c r="U511" s="242"/>
      <c r="V511" s="242"/>
      <c r="W511" s="242"/>
      <c r="X511" s="242"/>
      <c r="Y511" s="242"/>
      <c r="Z511" s="242"/>
    </row>
    <row r="512">
      <c r="A512" s="242"/>
      <c r="B512" s="524"/>
      <c r="C512" s="524"/>
      <c r="D512" s="242"/>
      <c r="E512" s="242"/>
      <c r="F512" s="242"/>
      <c r="G512" s="13"/>
      <c r="H512" s="525"/>
      <c r="I512" s="242"/>
      <c r="J512" s="242"/>
      <c r="K512" s="242"/>
      <c r="L512" s="13"/>
      <c r="M512" s="13"/>
      <c r="N512" s="242"/>
      <c r="O512" s="242"/>
      <c r="P512" s="242"/>
      <c r="Q512" s="242"/>
      <c r="R512" s="242"/>
      <c r="S512" s="242"/>
      <c r="T512" s="242"/>
      <c r="U512" s="242"/>
      <c r="V512" s="242"/>
      <c r="W512" s="242"/>
      <c r="X512" s="242"/>
      <c r="Y512" s="242"/>
      <c r="Z512" s="242"/>
    </row>
    <row r="513">
      <c r="A513" s="242"/>
      <c r="B513" s="524"/>
      <c r="C513" s="524"/>
      <c r="D513" s="242"/>
      <c r="E513" s="242"/>
      <c r="F513" s="242"/>
      <c r="G513" s="13"/>
      <c r="H513" s="525"/>
      <c r="I513" s="242"/>
      <c r="J513" s="242"/>
      <c r="K513" s="242"/>
      <c r="L513" s="13"/>
      <c r="M513" s="13"/>
      <c r="N513" s="242"/>
      <c r="O513" s="242"/>
      <c r="P513" s="242"/>
      <c r="Q513" s="242"/>
      <c r="R513" s="242"/>
      <c r="S513" s="242"/>
      <c r="T513" s="242"/>
      <c r="U513" s="242"/>
      <c r="V513" s="242"/>
      <c r="W513" s="242"/>
      <c r="X513" s="242"/>
      <c r="Y513" s="242"/>
      <c r="Z513" s="242"/>
    </row>
    <row r="514">
      <c r="A514" s="242"/>
      <c r="B514" s="524"/>
      <c r="C514" s="524"/>
      <c r="D514" s="242"/>
      <c r="E514" s="242"/>
      <c r="F514" s="242"/>
      <c r="G514" s="13"/>
      <c r="H514" s="525"/>
      <c r="I514" s="242"/>
      <c r="J514" s="242"/>
      <c r="K514" s="242"/>
      <c r="L514" s="13"/>
      <c r="M514" s="13"/>
      <c r="N514" s="242"/>
      <c r="O514" s="242"/>
      <c r="P514" s="242"/>
      <c r="Q514" s="242"/>
      <c r="R514" s="242"/>
      <c r="S514" s="242"/>
      <c r="T514" s="242"/>
      <c r="U514" s="242"/>
      <c r="V514" s="242"/>
      <c r="W514" s="242"/>
      <c r="X514" s="242"/>
      <c r="Y514" s="242"/>
      <c r="Z514" s="242"/>
    </row>
    <row r="515">
      <c r="A515" s="242"/>
      <c r="B515" s="524"/>
      <c r="C515" s="524"/>
      <c r="D515" s="242"/>
      <c r="E515" s="242"/>
      <c r="F515" s="242"/>
      <c r="G515" s="13"/>
      <c r="H515" s="525"/>
      <c r="I515" s="242"/>
      <c r="J515" s="242"/>
      <c r="K515" s="242"/>
      <c r="L515" s="13"/>
      <c r="M515" s="13"/>
      <c r="N515" s="242"/>
      <c r="O515" s="242"/>
      <c r="P515" s="242"/>
      <c r="Q515" s="242"/>
      <c r="R515" s="242"/>
      <c r="S515" s="242"/>
      <c r="T515" s="242"/>
      <c r="U515" s="242"/>
      <c r="V515" s="242"/>
      <c r="W515" s="242"/>
      <c r="X515" s="242"/>
      <c r="Y515" s="242"/>
      <c r="Z515" s="242"/>
    </row>
    <row r="516">
      <c r="A516" s="242"/>
      <c r="B516" s="524"/>
      <c r="C516" s="524"/>
      <c r="D516" s="242"/>
      <c r="E516" s="242"/>
      <c r="F516" s="242"/>
      <c r="G516" s="13"/>
      <c r="H516" s="525"/>
      <c r="I516" s="242"/>
      <c r="J516" s="242"/>
      <c r="K516" s="242"/>
      <c r="L516" s="13"/>
      <c r="M516" s="13"/>
      <c r="N516" s="242"/>
      <c r="O516" s="242"/>
      <c r="P516" s="242"/>
      <c r="Q516" s="242"/>
      <c r="R516" s="242"/>
      <c r="S516" s="242"/>
      <c r="T516" s="242"/>
      <c r="U516" s="242"/>
      <c r="V516" s="242"/>
      <c r="W516" s="242"/>
      <c r="X516" s="242"/>
      <c r="Y516" s="242"/>
      <c r="Z516" s="242"/>
    </row>
    <row r="517">
      <c r="A517" s="242"/>
      <c r="B517" s="524"/>
      <c r="C517" s="524"/>
      <c r="D517" s="242"/>
      <c r="E517" s="242"/>
      <c r="F517" s="242"/>
      <c r="G517" s="13"/>
      <c r="H517" s="525"/>
      <c r="I517" s="242"/>
      <c r="J517" s="242"/>
      <c r="K517" s="242"/>
      <c r="L517" s="13"/>
      <c r="M517" s="13"/>
      <c r="N517" s="242"/>
      <c r="O517" s="242"/>
      <c r="P517" s="242"/>
      <c r="Q517" s="242"/>
      <c r="R517" s="242"/>
      <c r="S517" s="242"/>
      <c r="T517" s="242"/>
      <c r="U517" s="242"/>
      <c r="V517" s="242"/>
      <c r="W517" s="242"/>
      <c r="X517" s="242"/>
      <c r="Y517" s="242"/>
      <c r="Z517" s="242"/>
    </row>
    <row r="518">
      <c r="A518" s="242"/>
      <c r="B518" s="524"/>
      <c r="C518" s="524"/>
      <c r="D518" s="242"/>
      <c r="E518" s="242"/>
      <c r="F518" s="242"/>
      <c r="G518" s="13"/>
      <c r="H518" s="525"/>
      <c r="I518" s="242"/>
      <c r="J518" s="242"/>
      <c r="K518" s="242"/>
      <c r="L518" s="13"/>
      <c r="M518" s="13"/>
      <c r="N518" s="242"/>
      <c r="O518" s="242"/>
      <c r="P518" s="242"/>
      <c r="Q518" s="242"/>
      <c r="R518" s="242"/>
      <c r="S518" s="242"/>
      <c r="T518" s="242"/>
      <c r="U518" s="242"/>
      <c r="V518" s="242"/>
      <c r="W518" s="242"/>
      <c r="X518" s="242"/>
      <c r="Y518" s="242"/>
      <c r="Z518" s="242"/>
    </row>
    <row r="519">
      <c r="A519" s="242"/>
      <c r="B519" s="524"/>
      <c r="C519" s="524"/>
      <c r="D519" s="242"/>
      <c r="E519" s="242"/>
      <c r="F519" s="242"/>
      <c r="G519" s="13"/>
      <c r="H519" s="525"/>
      <c r="I519" s="242"/>
      <c r="J519" s="242"/>
      <c r="K519" s="242"/>
      <c r="L519" s="13"/>
      <c r="M519" s="13"/>
      <c r="N519" s="242"/>
      <c r="O519" s="242"/>
      <c r="P519" s="242"/>
      <c r="Q519" s="242"/>
      <c r="R519" s="242"/>
      <c r="S519" s="242"/>
      <c r="T519" s="242"/>
      <c r="U519" s="242"/>
      <c r="V519" s="242"/>
      <c r="W519" s="242"/>
      <c r="X519" s="242"/>
      <c r="Y519" s="242"/>
      <c r="Z519" s="242"/>
    </row>
    <row r="520">
      <c r="A520" s="242"/>
      <c r="B520" s="524"/>
      <c r="C520" s="524"/>
      <c r="D520" s="242"/>
      <c r="E520" s="242"/>
      <c r="F520" s="242"/>
      <c r="G520" s="13"/>
      <c r="H520" s="525"/>
      <c r="I520" s="242"/>
      <c r="J520" s="242"/>
      <c r="K520" s="242"/>
      <c r="L520" s="13"/>
      <c r="M520" s="13"/>
      <c r="N520" s="242"/>
      <c r="O520" s="242"/>
      <c r="P520" s="242"/>
      <c r="Q520" s="242"/>
      <c r="R520" s="242"/>
      <c r="S520" s="242"/>
      <c r="T520" s="242"/>
      <c r="U520" s="242"/>
      <c r="V520" s="242"/>
      <c r="W520" s="242"/>
      <c r="X520" s="242"/>
      <c r="Y520" s="242"/>
      <c r="Z520" s="242"/>
    </row>
    <row r="521">
      <c r="A521" s="242"/>
      <c r="B521" s="524"/>
      <c r="C521" s="524"/>
      <c r="D521" s="242"/>
      <c r="E521" s="242"/>
      <c r="F521" s="242"/>
      <c r="G521" s="13"/>
      <c r="H521" s="525"/>
      <c r="I521" s="242"/>
      <c r="J521" s="242"/>
      <c r="K521" s="242"/>
      <c r="L521" s="13"/>
      <c r="M521" s="13"/>
      <c r="N521" s="242"/>
      <c r="O521" s="242"/>
      <c r="P521" s="242"/>
      <c r="Q521" s="242"/>
      <c r="R521" s="242"/>
      <c r="S521" s="242"/>
      <c r="T521" s="242"/>
      <c r="U521" s="242"/>
      <c r="V521" s="242"/>
      <c r="W521" s="242"/>
      <c r="X521" s="242"/>
      <c r="Y521" s="242"/>
      <c r="Z521" s="242"/>
    </row>
    <row r="522">
      <c r="A522" s="242"/>
      <c r="B522" s="524"/>
      <c r="C522" s="524"/>
      <c r="D522" s="242"/>
      <c r="E522" s="242"/>
      <c r="F522" s="242"/>
      <c r="G522" s="13"/>
      <c r="H522" s="525"/>
      <c r="I522" s="242"/>
      <c r="J522" s="242"/>
      <c r="K522" s="242"/>
      <c r="L522" s="13"/>
      <c r="M522" s="13"/>
      <c r="N522" s="242"/>
      <c r="O522" s="242"/>
      <c r="P522" s="242"/>
      <c r="Q522" s="242"/>
      <c r="R522" s="242"/>
      <c r="S522" s="242"/>
      <c r="T522" s="242"/>
      <c r="U522" s="242"/>
      <c r="V522" s="242"/>
      <c r="W522" s="242"/>
      <c r="X522" s="242"/>
      <c r="Y522" s="242"/>
      <c r="Z522" s="242"/>
    </row>
    <row r="523">
      <c r="A523" s="242"/>
      <c r="B523" s="524"/>
      <c r="C523" s="524"/>
      <c r="D523" s="242"/>
      <c r="E523" s="242"/>
      <c r="F523" s="242"/>
      <c r="G523" s="13"/>
      <c r="H523" s="525"/>
      <c r="I523" s="242"/>
      <c r="J523" s="242"/>
      <c r="K523" s="242"/>
      <c r="L523" s="13"/>
      <c r="M523" s="13"/>
      <c r="N523" s="242"/>
      <c r="O523" s="242"/>
      <c r="P523" s="242"/>
      <c r="Q523" s="242"/>
      <c r="R523" s="242"/>
      <c r="S523" s="242"/>
      <c r="T523" s="242"/>
      <c r="U523" s="242"/>
      <c r="V523" s="242"/>
      <c r="W523" s="242"/>
      <c r="X523" s="242"/>
      <c r="Y523" s="242"/>
      <c r="Z523" s="242"/>
    </row>
    <row r="524">
      <c r="A524" s="242"/>
      <c r="B524" s="524"/>
      <c r="C524" s="524"/>
      <c r="D524" s="242"/>
      <c r="E524" s="242"/>
      <c r="F524" s="242"/>
      <c r="G524" s="13"/>
      <c r="H524" s="525"/>
      <c r="I524" s="242"/>
      <c r="J524" s="242"/>
      <c r="K524" s="242"/>
      <c r="L524" s="13"/>
      <c r="M524" s="13"/>
      <c r="N524" s="242"/>
      <c r="O524" s="242"/>
      <c r="P524" s="242"/>
      <c r="Q524" s="242"/>
      <c r="R524" s="242"/>
      <c r="S524" s="242"/>
      <c r="T524" s="242"/>
      <c r="U524" s="242"/>
      <c r="V524" s="242"/>
      <c r="W524" s="242"/>
      <c r="X524" s="242"/>
      <c r="Y524" s="242"/>
      <c r="Z524" s="242"/>
    </row>
    <row r="525">
      <c r="A525" s="242"/>
      <c r="B525" s="524"/>
      <c r="C525" s="524"/>
      <c r="D525" s="242"/>
      <c r="E525" s="242"/>
      <c r="F525" s="242"/>
      <c r="G525" s="13"/>
      <c r="H525" s="525"/>
      <c r="I525" s="242"/>
      <c r="J525" s="242"/>
      <c r="K525" s="242"/>
      <c r="L525" s="13"/>
      <c r="M525" s="13"/>
      <c r="N525" s="242"/>
      <c r="O525" s="242"/>
      <c r="P525" s="242"/>
      <c r="Q525" s="242"/>
      <c r="R525" s="242"/>
      <c r="S525" s="242"/>
      <c r="T525" s="242"/>
      <c r="U525" s="242"/>
      <c r="V525" s="242"/>
      <c r="W525" s="242"/>
      <c r="X525" s="242"/>
      <c r="Y525" s="242"/>
      <c r="Z525" s="242"/>
    </row>
    <row r="526">
      <c r="A526" s="242"/>
      <c r="B526" s="524"/>
      <c r="C526" s="524"/>
      <c r="D526" s="242"/>
      <c r="E526" s="242"/>
      <c r="F526" s="242"/>
      <c r="G526" s="13"/>
      <c r="H526" s="525"/>
      <c r="I526" s="242"/>
      <c r="J526" s="242"/>
      <c r="K526" s="242"/>
      <c r="L526" s="13"/>
      <c r="M526" s="13"/>
      <c r="N526" s="242"/>
      <c r="O526" s="242"/>
      <c r="P526" s="242"/>
      <c r="Q526" s="242"/>
      <c r="R526" s="242"/>
      <c r="S526" s="242"/>
      <c r="T526" s="242"/>
      <c r="U526" s="242"/>
      <c r="V526" s="242"/>
      <c r="W526" s="242"/>
      <c r="X526" s="242"/>
      <c r="Y526" s="242"/>
      <c r="Z526" s="242"/>
    </row>
    <row r="527">
      <c r="A527" s="242"/>
      <c r="B527" s="524"/>
      <c r="C527" s="524"/>
      <c r="D527" s="242"/>
      <c r="E527" s="242"/>
      <c r="F527" s="242"/>
      <c r="G527" s="13"/>
      <c r="H527" s="525"/>
      <c r="I527" s="242"/>
      <c r="J527" s="242"/>
      <c r="K527" s="242"/>
      <c r="L527" s="13"/>
      <c r="M527" s="13"/>
      <c r="N527" s="242"/>
      <c r="O527" s="242"/>
      <c r="P527" s="242"/>
      <c r="Q527" s="242"/>
      <c r="R527" s="242"/>
      <c r="S527" s="242"/>
      <c r="T527" s="242"/>
      <c r="U527" s="242"/>
      <c r="V527" s="242"/>
      <c r="W527" s="242"/>
      <c r="X527" s="242"/>
      <c r="Y527" s="242"/>
      <c r="Z527" s="242"/>
    </row>
    <row r="528">
      <c r="A528" s="242"/>
      <c r="B528" s="524"/>
      <c r="C528" s="524"/>
      <c r="D528" s="242"/>
      <c r="E528" s="242"/>
      <c r="F528" s="242"/>
      <c r="G528" s="13"/>
      <c r="H528" s="525"/>
      <c r="I528" s="242"/>
      <c r="J528" s="242"/>
      <c r="K528" s="242"/>
      <c r="L528" s="13"/>
      <c r="M528" s="13"/>
      <c r="N528" s="242"/>
      <c r="O528" s="242"/>
      <c r="P528" s="242"/>
      <c r="Q528" s="242"/>
      <c r="R528" s="242"/>
      <c r="S528" s="242"/>
      <c r="T528" s="242"/>
      <c r="U528" s="242"/>
      <c r="V528" s="242"/>
      <c r="W528" s="242"/>
      <c r="X528" s="242"/>
      <c r="Y528" s="242"/>
      <c r="Z528" s="242"/>
    </row>
    <row r="529">
      <c r="A529" s="242"/>
      <c r="B529" s="524"/>
      <c r="C529" s="524"/>
      <c r="D529" s="242"/>
      <c r="E529" s="242"/>
      <c r="F529" s="242"/>
      <c r="G529" s="13"/>
      <c r="H529" s="525"/>
      <c r="I529" s="242"/>
      <c r="J529" s="242"/>
      <c r="K529" s="242"/>
      <c r="L529" s="13"/>
      <c r="M529" s="13"/>
      <c r="N529" s="242"/>
      <c r="O529" s="242"/>
      <c r="P529" s="242"/>
      <c r="Q529" s="242"/>
      <c r="R529" s="242"/>
      <c r="S529" s="242"/>
      <c r="T529" s="242"/>
      <c r="U529" s="242"/>
      <c r="V529" s="242"/>
      <c r="W529" s="242"/>
      <c r="X529" s="242"/>
      <c r="Y529" s="242"/>
      <c r="Z529" s="242"/>
    </row>
    <row r="530">
      <c r="A530" s="242"/>
      <c r="B530" s="524"/>
      <c r="C530" s="524"/>
      <c r="D530" s="242"/>
      <c r="E530" s="242"/>
      <c r="F530" s="242"/>
      <c r="G530" s="13"/>
      <c r="H530" s="525"/>
      <c r="I530" s="242"/>
      <c r="J530" s="242"/>
      <c r="K530" s="242"/>
      <c r="L530" s="13"/>
      <c r="M530" s="13"/>
      <c r="N530" s="242"/>
      <c r="O530" s="242"/>
      <c r="P530" s="242"/>
      <c r="Q530" s="242"/>
      <c r="R530" s="242"/>
      <c r="S530" s="242"/>
      <c r="T530" s="242"/>
      <c r="U530" s="242"/>
      <c r="V530" s="242"/>
      <c r="W530" s="242"/>
      <c r="X530" s="242"/>
      <c r="Y530" s="242"/>
      <c r="Z530" s="242"/>
    </row>
    <row r="531">
      <c r="A531" s="242"/>
      <c r="B531" s="524"/>
      <c r="C531" s="524"/>
      <c r="D531" s="242"/>
      <c r="E531" s="242"/>
      <c r="F531" s="242"/>
      <c r="G531" s="13"/>
      <c r="H531" s="525"/>
      <c r="I531" s="242"/>
      <c r="J531" s="242"/>
      <c r="K531" s="242"/>
      <c r="L531" s="13"/>
      <c r="M531" s="13"/>
      <c r="N531" s="242"/>
      <c r="O531" s="242"/>
      <c r="P531" s="242"/>
      <c r="Q531" s="242"/>
      <c r="R531" s="242"/>
      <c r="S531" s="242"/>
      <c r="T531" s="242"/>
      <c r="U531" s="242"/>
      <c r="V531" s="242"/>
      <c r="W531" s="242"/>
      <c r="X531" s="242"/>
      <c r="Y531" s="242"/>
      <c r="Z531" s="242"/>
    </row>
    <row r="532">
      <c r="A532" s="242"/>
      <c r="B532" s="524"/>
      <c r="C532" s="524"/>
      <c r="D532" s="242"/>
      <c r="E532" s="242"/>
      <c r="F532" s="242"/>
      <c r="G532" s="13"/>
      <c r="H532" s="525"/>
      <c r="I532" s="242"/>
      <c r="J532" s="242"/>
      <c r="K532" s="242"/>
      <c r="L532" s="13"/>
      <c r="M532" s="13"/>
      <c r="N532" s="242"/>
      <c r="O532" s="242"/>
      <c r="P532" s="242"/>
      <c r="Q532" s="242"/>
      <c r="R532" s="242"/>
      <c r="S532" s="242"/>
      <c r="T532" s="242"/>
      <c r="U532" s="242"/>
      <c r="V532" s="242"/>
      <c r="W532" s="242"/>
      <c r="X532" s="242"/>
      <c r="Y532" s="242"/>
      <c r="Z532" s="242"/>
    </row>
    <row r="533">
      <c r="A533" s="242"/>
      <c r="B533" s="524"/>
      <c r="C533" s="524"/>
      <c r="D533" s="242"/>
      <c r="E533" s="242"/>
      <c r="F533" s="242"/>
      <c r="G533" s="13"/>
      <c r="H533" s="525"/>
      <c r="I533" s="242"/>
      <c r="J533" s="242"/>
      <c r="K533" s="242"/>
      <c r="L533" s="13"/>
      <c r="M533" s="13"/>
      <c r="N533" s="242"/>
      <c r="O533" s="242"/>
      <c r="P533" s="242"/>
      <c r="Q533" s="242"/>
      <c r="R533" s="242"/>
      <c r="S533" s="242"/>
      <c r="T533" s="242"/>
      <c r="U533" s="242"/>
      <c r="V533" s="242"/>
      <c r="W533" s="242"/>
      <c r="X533" s="242"/>
      <c r="Y533" s="242"/>
      <c r="Z533" s="242"/>
    </row>
    <row r="534">
      <c r="A534" s="242"/>
      <c r="B534" s="524"/>
      <c r="C534" s="524"/>
      <c r="D534" s="242"/>
      <c r="E534" s="242"/>
      <c r="F534" s="242"/>
      <c r="G534" s="13"/>
      <c r="H534" s="525"/>
      <c r="I534" s="242"/>
      <c r="J534" s="242"/>
      <c r="K534" s="242"/>
      <c r="L534" s="13"/>
      <c r="M534" s="13"/>
      <c r="N534" s="242"/>
      <c r="O534" s="242"/>
      <c r="P534" s="242"/>
      <c r="Q534" s="242"/>
      <c r="R534" s="242"/>
      <c r="S534" s="242"/>
      <c r="T534" s="242"/>
      <c r="U534" s="242"/>
      <c r="V534" s="242"/>
      <c r="W534" s="242"/>
      <c r="X534" s="242"/>
      <c r="Y534" s="242"/>
      <c r="Z534" s="242"/>
    </row>
    <row r="535">
      <c r="A535" s="242"/>
      <c r="B535" s="524"/>
      <c r="C535" s="524"/>
      <c r="D535" s="242"/>
      <c r="E535" s="242"/>
      <c r="F535" s="242"/>
      <c r="G535" s="13"/>
      <c r="H535" s="525"/>
      <c r="I535" s="242"/>
      <c r="J535" s="242"/>
      <c r="K535" s="242"/>
      <c r="L535" s="13"/>
      <c r="M535" s="13"/>
      <c r="N535" s="242"/>
      <c r="O535" s="242"/>
      <c r="P535" s="242"/>
      <c r="Q535" s="242"/>
      <c r="R535" s="242"/>
      <c r="S535" s="242"/>
      <c r="T535" s="242"/>
      <c r="U535" s="242"/>
      <c r="V535" s="242"/>
      <c r="W535" s="242"/>
      <c r="X535" s="242"/>
      <c r="Y535" s="242"/>
      <c r="Z535" s="242"/>
    </row>
    <row r="536">
      <c r="A536" s="242"/>
      <c r="B536" s="524"/>
      <c r="C536" s="524"/>
      <c r="D536" s="242"/>
      <c r="E536" s="242"/>
      <c r="F536" s="242"/>
      <c r="G536" s="13"/>
      <c r="H536" s="525"/>
      <c r="I536" s="242"/>
      <c r="J536" s="242"/>
      <c r="K536" s="242"/>
      <c r="L536" s="13"/>
      <c r="M536" s="13"/>
      <c r="N536" s="242"/>
      <c r="O536" s="242"/>
      <c r="P536" s="242"/>
      <c r="Q536" s="242"/>
      <c r="R536" s="242"/>
      <c r="S536" s="242"/>
      <c r="T536" s="242"/>
      <c r="U536" s="242"/>
      <c r="V536" s="242"/>
      <c r="W536" s="242"/>
      <c r="X536" s="242"/>
      <c r="Y536" s="242"/>
      <c r="Z536" s="242"/>
    </row>
    <row r="537">
      <c r="A537" s="242"/>
      <c r="B537" s="524"/>
      <c r="C537" s="524"/>
      <c r="D537" s="242"/>
      <c r="E537" s="242"/>
      <c r="F537" s="242"/>
      <c r="G537" s="13"/>
      <c r="H537" s="525"/>
      <c r="I537" s="242"/>
      <c r="J537" s="242"/>
      <c r="K537" s="242"/>
      <c r="L537" s="13"/>
      <c r="M537" s="13"/>
      <c r="N537" s="242"/>
      <c r="O537" s="242"/>
      <c r="P537" s="242"/>
      <c r="Q537" s="242"/>
      <c r="R537" s="242"/>
      <c r="S537" s="242"/>
      <c r="T537" s="242"/>
      <c r="U537" s="242"/>
      <c r="V537" s="242"/>
      <c r="W537" s="242"/>
      <c r="X537" s="242"/>
      <c r="Y537" s="242"/>
      <c r="Z537" s="242"/>
    </row>
    <row r="538">
      <c r="A538" s="242"/>
      <c r="B538" s="524"/>
      <c r="C538" s="524"/>
      <c r="D538" s="242"/>
      <c r="E538" s="242"/>
      <c r="F538" s="242"/>
      <c r="G538" s="13"/>
      <c r="H538" s="525"/>
      <c r="I538" s="242"/>
      <c r="J538" s="242"/>
      <c r="K538" s="242"/>
      <c r="L538" s="13"/>
      <c r="M538" s="13"/>
      <c r="N538" s="242"/>
      <c r="O538" s="242"/>
      <c r="P538" s="242"/>
      <c r="Q538" s="242"/>
      <c r="R538" s="242"/>
      <c r="S538" s="242"/>
      <c r="T538" s="242"/>
      <c r="U538" s="242"/>
      <c r="V538" s="242"/>
      <c r="W538" s="242"/>
      <c r="X538" s="242"/>
      <c r="Y538" s="242"/>
      <c r="Z538" s="242"/>
    </row>
    <row r="539">
      <c r="A539" s="242"/>
      <c r="B539" s="524"/>
      <c r="C539" s="524"/>
      <c r="D539" s="242"/>
      <c r="E539" s="242"/>
      <c r="F539" s="242"/>
      <c r="G539" s="13"/>
      <c r="H539" s="525"/>
      <c r="I539" s="242"/>
      <c r="J539" s="242"/>
      <c r="K539" s="242"/>
      <c r="L539" s="13"/>
      <c r="M539" s="13"/>
      <c r="N539" s="242"/>
      <c r="O539" s="242"/>
      <c r="P539" s="242"/>
      <c r="Q539" s="242"/>
      <c r="R539" s="242"/>
      <c r="S539" s="242"/>
      <c r="T539" s="242"/>
      <c r="U539" s="242"/>
      <c r="V539" s="242"/>
      <c r="W539" s="242"/>
      <c r="X539" s="242"/>
      <c r="Y539" s="242"/>
      <c r="Z539" s="242"/>
    </row>
    <row r="540">
      <c r="A540" s="242"/>
      <c r="B540" s="524"/>
      <c r="C540" s="524"/>
      <c r="D540" s="242"/>
      <c r="E540" s="242"/>
      <c r="F540" s="242"/>
      <c r="G540" s="13"/>
      <c r="H540" s="525"/>
      <c r="I540" s="242"/>
      <c r="J540" s="242"/>
      <c r="K540" s="242"/>
      <c r="L540" s="13"/>
      <c r="M540" s="13"/>
      <c r="N540" s="242"/>
      <c r="O540" s="242"/>
      <c r="P540" s="242"/>
      <c r="Q540" s="242"/>
      <c r="R540" s="242"/>
      <c r="S540" s="242"/>
      <c r="T540" s="242"/>
      <c r="U540" s="242"/>
      <c r="V540" s="242"/>
      <c r="W540" s="242"/>
      <c r="X540" s="242"/>
      <c r="Y540" s="242"/>
      <c r="Z540" s="242"/>
    </row>
    <row r="541">
      <c r="A541" s="242"/>
      <c r="B541" s="524"/>
      <c r="C541" s="524"/>
      <c r="D541" s="242"/>
      <c r="E541" s="242"/>
      <c r="F541" s="242"/>
      <c r="G541" s="13"/>
      <c r="H541" s="525"/>
      <c r="I541" s="242"/>
      <c r="J541" s="242"/>
      <c r="K541" s="242"/>
      <c r="L541" s="13"/>
      <c r="M541" s="13"/>
      <c r="N541" s="242"/>
      <c r="O541" s="242"/>
      <c r="P541" s="242"/>
      <c r="Q541" s="242"/>
      <c r="R541" s="242"/>
      <c r="S541" s="242"/>
      <c r="T541" s="242"/>
      <c r="U541" s="242"/>
      <c r="V541" s="242"/>
      <c r="W541" s="242"/>
      <c r="X541" s="242"/>
      <c r="Y541" s="242"/>
      <c r="Z541" s="242"/>
    </row>
    <row r="542">
      <c r="A542" s="242"/>
      <c r="B542" s="524"/>
      <c r="C542" s="524"/>
      <c r="D542" s="242"/>
      <c r="E542" s="242"/>
      <c r="F542" s="242"/>
      <c r="G542" s="13"/>
      <c r="H542" s="525"/>
      <c r="I542" s="242"/>
      <c r="J542" s="242"/>
      <c r="K542" s="242"/>
      <c r="L542" s="13"/>
      <c r="M542" s="13"/>
      <c r="N542" s="242"/>
      <c r="O542" s="242"/>
      <c r="P542" s="242"/>
      <c r="Q542" s="242"/>
      <c r="R542" s="242"/>
      <c r="S542" s="242"/>
      <c r="T542" s="242"/>
      <c r="U542" s="242"/>
      <c r="V542" s="242"/>
      <c r="W542" s="242"/>
      <c r="X542" s="242"/>
      <c r="Y542" s="242"/>
      <c r="Z542" s="242"/>
    </row>
    <row r="543">
      <c r="A543" s="242"/>
      <c r="B543" s="524"/>
      <c r="C543" s="524"/>
      <c r="D543" s="242"/>
      <c r="E543" s="242"/>
      <c r="F543" s="242"/>
      <c r="G543" s="13"/>
      <c r="H543" s="525"/>
      <c r="I543" s="242"/>
      <c r="J543" s="242"/>
      <c r="K543" s="242"/>
      <c r="L543" s="13"/>
      <c r="M543" s="13"/>
      <c r="N543" s="242"/>
      <c r="O543" s="242"/>
      <c r="P543" s="242"/>
      <c r="Q543" s="242"/>
      <c r="R543" s="242"/>
      <c r="S543" s="242"/>
      <c r="T543" s="242"/>
      <c r="U543" s="242"/>
      <c r="V543" s="242"/>
      <c r="W543" s="242"/>
      <c r="X543" s="242"/>
      <c r="Y543" s="242"/>
      <c r="Z543" s="242"/>
    </row>
    <row r="544">
      <c r="A544" s="242"/>
      <c r="B544" s="524"/>
      <c r="C544" s="524"/>
      <c r="D544" s="242"/>
      <c r="E544" s="242"/>
      <c r="F544" s="242"/>
      <c r="G544" s="13"/>
      <c r="H544" s="525"/>
      <c r="I544" s="242"/>
      <c r="J544" s="242"/>
      <c r="K544" s="242"/>
      <c r="L544" s="13"/>
      <c r="M544" s="13"/>
      <c r="N544" s="242"/>
      <c r="O544" s="242"/>
      <c r="P544" s="242"/>
      <c r="Q544" s="242"/>
      <c r="R544" s="242"/>
      <c r="S544" s="242"/>
      <c r="T544" s="242"/>
      <c r="U544" s="242"/>
      <c r="V544" s="242"/>
      <c r="W544" s="242"/>
      <c r="X544" s="242"/>
      <c r="Y544" s="242"/>
      <c r="Z544" s="242"/>
    </row>
    <row r="545">
      <c r="A545" s="242"/>
      <c r="B545" s="524"/>
      <c r="C545" s="524"/>
      <c r="D545" s="242"/>
      <c r="E545" s="242"/>
      <c r="F545" s="242"/>
      <c r="G545" s="13"/>
      <c r="H545" s="525"/>
      <c r="I545" s="242"/>
      <c r="J545" s="242"/>
      <c r="K545" s="242"/>
      <c r="L545" s="13"/>
      <c r="M545" s="13"/>
      <c r="N545" s="242"/>
      <c r="O545" s="242"/>
      <c r="P545" s="242"/>
      <c r="Q545" s="242"/>
      <c r="R545" s="242"/>
      <c r="S545" s="242"/>
      <c r="T545" s="242"/>
      <c r="U545" s="242"/>
      <c r="V545" s="242"/>
      <c r="W545" s="242"/>
      <c r="X545" s="242"/>
      <c r="Y545" s="242"/>
      <c r="Z545" s="242"/>
    </row>
    <row r="546">
      <c r="A546" s="242"/>
      <c r="B546" s="524"/>
      <c r="C546" s="524"/>
      <c r="D546" s="242"/>
      <c r="E546" s="242"/>
      <c r="F546" s="242"/>
      <c r="G546" s="13"/>
      <c r="H546" s="525"/>
      <c r="I546" s="242"/>
      <c r="J546" s="242"/>
      <c r="K546" s="242"/>
      <c r="L546" s="13"/>
      <c r="M546" s="13"/>
      <c r="N546" s="242"/>
      <c r="O546" s="242"/>
      <c r="P546" s="242"/>
      <c r="Q546" s="242"/>
      <c r="R546" s="242"/>
      <c r="S546" s="242"/>
      <c r="T546" s="242"/>
      <c r="U546" s="242"/>
      <c r="V546" s="242"/>
      <c r="W546" s="242"/>
      <c r="X546" s="242"/>
      <c r="Y546" s="242"/>
      <c r="Z546" s="242"/>
    </row>
    <row r="547">
      <c r="A547" s="242"/>
      <c r="B547" s="524"/>
      <c r="C547" s="524"/>
      <c r="D547" s="242"/>
      <c r="E547" s="242"/>
      <c r="F547" s="242"/>
      <c r="G547" s="13"/>
      <c r="H547" s="525"/>
      <c r="I547" s="242"/>
      <c r="J547" s="242"/>
      <c r="K547" s="242"/>
      <c r="L547" s="13"/>
      <c r="M547" s="13"/>
      <c r="N547" s="242"/>
      <c r="O547" s="242"/>
      <c r="P547" s="242"/>
      <c r="Q547" s="242"/>
      <c r="R547" s="242"/>
      <c r="S547" s="242"/>
      <c r="T547" s="242"/>
      <c r="U547" s="242"/>
      <c r="V547" s="242"/>
      <c r="W547" s="242"/>
      <c r="X547" s="242"/>
      <c r="Y547" s="242"/>
      <c r="Z547" s="242"/>
    </row>
    <row r="548">
      <c r="A548" s="242"/>
      <c r="B548" s="524"/>
      <c r="C548" s="524"/>
      <c r="D548" s="242"/>
      <c r="E548" s="242"/>
      <c r="F548" s="242"/>
      <c r="G548" s="13"/>
      <c r="H548" s="525"/>
      <c r="I548" s="242"/>
      <c r="J548" s="242"/>
      <c r="K548" s="242"/>
      <c r="L548" s="13"/>
      <c r="M548" s="13"/>
      <c r="N548" s="242"/>
      <c r="O548" s="242"/>
      <c r="P548" s="242"/>
      <c r="Q548" s="242"/>
      <c r="R548" s="242"/>
      <c r="S548" s="242"/>
      <c r="T548" s="242"/>
      <c r="U548" s="242"/>
      <c r="V548" s="242"/>
      <c r="W548" s="242"/>
      <c r="X548" s="242"/>
      <c r="Y548" s="242"/>
      <c r="Z548" s="242"/>
    </row>
    <row r="549">
      <c r="A549" s="242"/>
      <c r="B549" s="524"/>
      <c r="C549" s="524"/>
      <c r="D549" s="242"/>
      <c r="E549" s="242"/>
      <c r="F549" s="242"/>
      <c r="G549" s="13"/>
      <c r="H549" s="525"/>
      <c r="I549" s="242"/>
      <c r="J549" s="242"/>
      <c r="K549" s="242"/>
      <c r="L549" s="13"/>
      <c r="M549" s="13"/>
      <c r="N549" s="242"/>
      <c r="O549" s="242"/>
      <c r="P549" s="242"/>
      <c r="Q549" s="242"/>
      <c r="R549" s="242"/>
      <c r="S549" s="242"/>
      <c r="T549" s="242"/>
      <c r="U549" s="242"/>
      <c r="V549" s="242"/>
      <c r="W549" s="242"/>
      <c r="X549" s="242"/>
      <c r="Y549" s="242"/>
      <c r="Z549" s="242"/>
    </row>
    <row r="550">
      <c r="A550" s="242"/>
      <c r="B550" s="524"/>
      <c r="C550" s="524"/>
      <c r="D550" s="242"/>
      <c r="E550" s="242"/>
      <c r="F550" s="242"/>
      <c r="G550" s="13"/>
      <c r="H550" s="525"/>
      <c r="I550" s="242"/>
      <c r="J550" s="242"/>
      <c r="K550" s="242"/>
      <c r="L550" s="13"/>
      <c r="M550" s="13"/>
      <c r="N550" s="242"/>
      <c r="O550" s="242"/>
      <c r="P550" s="242"/>
      <c r="Q550" s="242"/>
      <c r="R550" s="242"/>
      <c r="S550" s="242"/>
      <c r="T550" s="242"/>
      <c r="U550" s="242"/>
      <c r="V550" s="242"/>
      <c r="W550" s="242"/>
      <c r="X550" s="242"/>
      <c r="Y550" s="242"/>
      <c r="Z550" s="242"/>
    </row>
    <row r="551">
      <c r="A551" s="242"/>
      <c r="B551" s="524"/>
      <c r="C551" s="524"/>
      <c r="D551" s="242"/>
      <c r="E551" s="242"/>
      <c r="F551" s="242"/>
      <c r="G551" s="13"/>
      <c r="H551" s="525"/>
      <c r="I551" s="242"/>
      <c r="J551" s="242"/>
      <c r="K551" s="242"/>
      <c r="L551" s="13"/>
      <c r="M551" s="13"/>
      <c r="N551" s="242"/>
      <c r="O551" s="242"/>
      <c r="P551" s="242"/>
      <c r="Q551" s="242"/>
      <c r="R551" s="242"/>
      <c r="S551" s="242"/>
      <c r="T551" s="242"/>
      <c r="U551" s="242"/>
      <c r="V551" s="242"/>
      <c r="W551" s="242"/>
      <c r="X551" s="242"/>
      <c r="Y551" s="242"/>
      <c r="Z551" s="242"/>
    </row>
    <row r="552">
      <c r="A552" s="242"/>
      <c r="B552" s="524"/>
      <c r="C552" s="524"/>
      <c r="D552" s="242"/>
      <c r="E552" s="242"/>
      <c r="F552" s="242"/>
      <c r="G552" s="13"/>
      <c r="H552" s="525"/>
      <c r="I552" s="242"/>
      <c r="J552" s="242"/>
      <c r="K552" s="242"/>
      <c r="L552" s="13"/>
      <c r="M552" s="13"/>
      <c r="N552" s="242"/>
      <c r="O552" s="242"/>
      <c r="P552" s="242"/>
      <c r="Q552" s="242"/>
      <c r="R552" s="242"/>
      <c r="S552" s="242"/>
      <c r="T552" s="242"/>
      <c r="U552" s="242"/>
      <c r="V552" s="242"/>
      <c r="W552" s="242"/>
      <c r="X552" s="242"/>
      <c r="Y552" s="242"/>
      <c r="Z552" s="242"/>
    </row>
    <row r="553">
      <c r="A553" s="242"/>
      <c r="B553" s="524"/>
      <c r="C553" s="524"/>
      <c r="D553" s="242"/>
      <c r="E553" s="242"/>
      <c r="F553" s="242"/>
      <c r="G553" s="13"/>
      <c r="H553" s="525"/>
      <c r="I553" s="242"/>
      <c r="J553" s="242"/>
      <c r="K553" s="242"/>
      <c r="L553" s="13"/>
      <c r="M553" s="13"/>
      <c r="N553" s="242"/>
      <c r="O553" s="242"/>
      <c r="P553" s="242"/>
      <c r="Q553" s="242"/>
      <c r="R553" s="242"/>
      <c r="S553" s="242"/>
      <c r="T553" s="242"/>
      <c r="U553" s="242"/>
      <c r="V553" s="242"/>
      <c r="W553" s="242"/>
      <c r="X553" s="242"/>
      <c r="Y553" s="242"/>
      <c r="Z553" s="242"/>
    </row>
    <row r="554">
      <c r="A554" s="242"/>
      <c r="B554" s="524"/>
      <c r="C554" s="524"/>
      <c r="D554" s="242"/>
      <c r="E554" s="242"/>
      <c r="F554" s="242"/>
      <c r="G554" s="13"/>
      <c r="H554" s="525"/>
      <c r="I554" s="242"/>
      <c r="J554" s="242"/>
      <c r="K554" s="242"/>
      <c r="L554" s="13"/>
      <c r="M554" s="13"/>
      <c r="N554" s="242"/>
      <c r="O554" s="242"/>
      <c r="P554" s="242"/>
      <c r="Q554" s="242"/>
      <c r="R554" s="242"/>
      <c r="S554" s="242"/>
      <c r="T554" s="242"/>
      <c r="U554" s="242"/>
      <c r="V554" s="242"/>
      <c r="W554" s="242"/>
      <c r="X554" s="242"/>
      <c r="Y554" s="242"/>
      <c r="Z554" s="242"/>
    </row>
    <row r="555">
      <c r="A555" s="242"/>
      <c r="B555" s="524"/>
      <c r="C555" s="524"/>
      <c r="D555" s="242"/>
      <c r="E555" s="242"/>
      <c r="F555" s="242"/>
      <c r="G555" s="13"/>
      <c r="H555" s="525"/>
      <c r="I555" s="242"/>
      <c r="J555" s="242"/>
      <c r="K555" s="242"/>
      <c r="L555" s="13"/>
      <c r="M555" s="13"/>
      <c r="N555" s="242"/>
      <c r="O555" s="242"/>
      <c r="P555" s="242"/>
      <c r="Q555" s="242"/>
      <c r="R555" s="242"/>
      <c r="S555" s="242"/>
      <c r="T555" s="242"/>
      <c r="U555" s="242"/>
      <c r="V555" s="242"/>
      <c r="W555" s="242"/>
      <c r="X555" s="242"/>
      <c r="Y555" s="242"/>
      <c r="Z555" s="242"/>
    </row>
    <row r="556">
      <c r="A556" s="242"/>
      <c r="B556" s="524"/>
      <c r="C556" s="524"/>
      <c r="D556" s="242"/>
      <c r="E556" s="242"/>
      <c r="F556" s="242"/>
      <c r="G556" s="13"/>
      <c r="H556" s="525"/>
      <c r="I556" s="242"/>
      <c r="J556" s="242"/>
      <c r="K556" s="242"/>
      <c r="L556" s="13"/>
      <c r="M556" s="13"/>
      <c r="N556" s="242"/>
      <c r="O556" s="242"/>
      <c r="P556" s="242"/>
      <c r="Q556" s="242"/>
      <c r="R556" s="242"/>
      <c r="S556" s="242"/>
      <c r="T556" s="242"/>
      <c r="U556" s="242"/>
      <c r="V556" s="242"/>
      <c r="W556" s="242"/>
      <c r="X556" s="242"/>
      <c r="Y556" s="242"/>
      <c r="Z556" s="242"/>
    </row>
    <row r="557">
      <c r="A557" s="242"/>
      <c r="B557" s="524"/>
      <c r="C557" s="524"/>
      <c r="D557" s="242"/>
      <c r="E557" s="242"/>
      <c r="F557" s="242"/>
      <c r="G557" s="13"/>
      <c r="H557" s="525"/>
      <c r="I557" s="242"/>
      <c r="J557" s="242"/>
      <c r="K557" s="242"/>
      <c r="L557" s="13"/>
      <c r="M557" s="13"/>
      <c r="N557" s="242"/>
      <c r="O557" s="242"/>
      <c r="P557" s="242"/>
      <c r="Q557" s="242"/>
      <c r="R557" s="242"/>
      <c r="S557" s="242"/>
      <c r="T557" s="242"/>
      <c r="U557" s="242"/>
      <c r="V557" s="242"/>
      <c r="W557" s="242"/>
      <c r="X557" s="242"/>
      <c r="Y557" s="242"/>
      <c r="Z557" s="242"/>
    </row>
    <row r="558">
      <c r="A558" s="242"/>
      <c r="B558" s="524"/>
      <c r="C558" s="524"/>
      <c r="D558" s="242"/>
      <c r="E558" s="242"/>
      <c r="F558" s="242"/>
      <c r="G558" s="13"/>
      <c r="H558" s="525"/>
      <c r="I558" s="242"/>
      <c r="J558" s="242"/>
      <c r="K558" s="242"/>
      <c r="L558" s="13"/>
      <c r="M558" s="13"/>
      <c r="N558" s="242"/>
      <c r="O558" s="242"/>
      <c r="P558" s="242"/>
      <c r="Q558" s="242"/>
      <c r="R558" s="242"/>
      <c r="S558" s="242"/>
      <c r="T558" s="242"/>
      <c r="U558" s="242"/>
      <c r="V558" s="242"/>
      <c r="W558" s="242"/>
      <c r="X558" s="242"/>
      <c r="Y558" s="242"/>
      <c r="Z558" s="242"/>
    </row>
    <row r="559">
      <c r="A559" s="242"/>
      <c r="B559" s="524"/>
      <c r="C559" s="524"/>
      <c r="D559" s="242"/>
      <c r="E559" s="242"/>
      <c r="F559" s="242"/>
      <c r="G559" s="13"/>
      <c r="H559" s="525"/>
      <c r="I559" s="242"/>
      <c r="J559" s="242"/>
      <c r="K559" s="242"/>
      <c r="L559" s="13"/>
      <c r="M559" s="13"/>
      <c r="N559" s="242"/>
      <c r="O559" s="242"/>
      <c r="P559" s="242"/>
      <c r="Q559" s="242"/>
      <c r="R559" s="242"/>
      <c r="S559" s="242"/>
      <c r="T559" s="242"/>
      <c r="U559" s="242"/>
      <c r="V559" s="242"/>
      <c r="W559" s="242"/>
      <c r="X559" s="242"/>
      <c r="Y559" s="242"/>
      <c r="Z559" s="242"/>
    </row>
    <row r="560">
      <c r="A560" s="242"/>
      <c r="B560" s="524"/>
      <c r="C560" s="524"/>
      <c r="D560" s="242"/>
      <c r="E560" s="242"/>
      <c r="F560" s="242"/>
      <c r="G560" s="13"/>
      <c r="H560" s="525"/>
      <c r="I560" s="242"/>
      <c r="J560" s="242"/>
      <c r="K560" s="242"/>
      <c r="L560" s="13"/>
      <c r="M560" s="13"/>
      <c r="N560" s="242"/>
      <c r="O560" s="242"/>
      <c r="P560" s="242"/>
      <c r="Q560" s="242"/>
      <c r="R560" s="242"/>
      <c r="S560" s="242"/>
      <c r="T560" s="242"/>
      <c r="U560" s="242"/>
      <c r="V560" s="242"/>
      <c r="W560" s="242"/>
      <c r="X560" s="242"/>
      <c r="Y560" s="242"/>
      <c r="Z560" s="242"/>
    </row>
    <row r="561">
      <c r="A561" s="242"/>
      <c r="B561" s="524"/>
      <c r="C561" s="524"/>
      <c r="D561" s="242"/>
      <c r="E561" s="242"/>
      <c r="F561" s="242"/>
      <c r="G561" s="13"/>
      <c r="H561" s="525"/>
      <c r="I561" s="242"/>
      <c r="J561" s="242"/>
      <c r="K561" s="242"/>
      <c r="L561" s="13"/>
      <c r="M561" s="13"/>
      <c r="N561" s="242"/>
      <c r="O561" s="242"/>
      <c r="P561" s="242"/>
      <c r="Q561" s="242"/>
      <c r="R561" s="242"/>
      <c r="S561" s="242"/>
      <c r="T561" s="242"/>
      <c r="U561" s="242"/>
      <c r="V561" s="242"/>
      <c r="W561" s="242"/>
      <c r="X561" s="242"/>
      <c r="Y561" s="242"/>
      <c r="Z561" s="242"/>
    </row>
    <row r="562">
      <c r="A562" s="242"/>
      <c r="B562" s="524"/>
      <c r="C562" s="524"/>
      <c r="D562" s="242"/>
      <c r="E562" s="242"/>
      <c r="F562" s="242"/>
      <c r="G562" s="13"/>
      <c r="H562" s="525"/>
      <c r="I562" s="242"/>
      <c r="J562" s="242"/>
      <c r="K562" s="242"/>
      <c r="L562" s="13"/>
      <c r="M562" s="13"/>
      <c r="N562" s="242"/>
      <c r="O562" s="242"/>
      <c r="P562" s="242"/>
      <c r="Q562" s="242"/>
      <c r="R562" s="242"/>
      <c r="S562" s="242"/>
      <c r="T562" s="242"/>
      <c r="U562" s="242"/>
      <c r="V562" s="242"/>
      <c r="W562" s="242"/>
      <c r="X562" s="242"/>
      <c r="Y562" s="242"/>
      <c r="Z562" s="242"/>
    </row>
    <row r="563">
      <c r="A563" s="242"/>
      <c r="B563" s="524"/>
      <c r="C563" s="524"/>
      <c r="D563" s="242"/>
      <c r="E563" s="242"/>
      <c r="F563" s="242"/>
      <c r="G563" s="13"/>
      <c r="H563" s="525"/>
      <c r="I563" s="242"/>
      <c r="J563" s="242"/>
      <c r="K563" s="242"/>
      <c r="L563" s="13"/>
      <c r="M563" s="13"/>
      <c r="N563" s="242"/>
      <c r="O563" s="242"/>
      <c r="P563" s="242"/>
      <c r="Q563" s="242"/>
      <c r="R563" s="242"/>
      <c r="S563" s="242"/>
      <c r="T563" s="242"/>
      <c r="U563" s="242"/>
      <c r="V563" s="242"/>
      <c r="W563" s="242"/>
      <c r="X563" s="242"/>
      <c r="Y563" s="242"/>
      <c r="Z563" s="242"/>
    </row>
    <row r="564">
      <c r="A564" s="242"/>
      <c r="B564" s="524"/>
      <c r="C564" s="524"/>
      <c r="D564" s="242"/>
      <c r="E564" s="242"/>
      <c r="F564" s="242"/>
      <c r="G564" s="13"/>
      <c r="H564" s="525"/>
      <c r="I564" s="242"/>
      <c r="J564" s="242"/>
      <c r="K564" s="242"/>
      <c r="L564" s="13"/>
      <c r="M564" s="13"/>
      <c r="N564" s="242"/>
      <c r="O564" s="242"/>
      <c r="P564" s="242"/>
      <c r="Q564" s="242"/>
      <c r="R564" s="242"/>
      <c r="S564" s="242"/>
      <c r="T564" s="242"/>
      <c r="U564" s="242"/>
      <c r="V564" s="242"/>
      <c r="W564" s="242"/>
      <c r="X564" s="242"/>
      <c r="Y564" s="242"/>
      <c r="Z564" s="242"/>
    </row>
    <row r="565">
      <c r="A565" s="242"/>
      <c r="B565" s="524"/>
      <c r="C565" s="524"/>
      <c r="D565" s="242"/>
      <c r="E565" s="242"/>
      <c r="F565" s="242"/>
      <c r="G565" s="13"/>
      <c r="H565" s="525"/>
      <c r="I565" s="242"/>
      <c r="J565" s="242"/>
      <c r="K565" s="242"/>
      <c r="L565" s="13"/>
      <c r="M565" s="13"/>
      <c r="N565" s="242"/>
      <c r="O565" s="242"/>
      <c r="P565" s="242"/>
      <c r="Q565" s="242"/>
      <c r="R565" s="242"/>
      <c r="S565" s="242"/>
      <c r="T565" s="242"/>
      <c r="U565" s="242"/>
      <c r="V565" s="242"/>
      <c r="W565" s="242"/>
      <c r="X565" s="242"/>
      <c r="Y565" s="242"/>
      <c r="Z565" s="242"/>
    </row>
    <row r="566">
      <c r="A566" s="242"/>
      <c r="B566" s="524"/>
      <c r="C566" s="524"/>
      <c r="D566" s="242"/>
      <c r="E566" s="242"/>
      <c r="F566" s="242"/>
      <c r="G566" s="13"/>
      <c r="H566" s="525"/>
      <c r="I566" s="242"/>
      <c r="J566" s="242"/>
      <c r="K566" s="242"/>
      <c r="L566" s="13"/>
      <c r="M566" s="13"/>
      <c r="N566" s="242"/>
      <c r="O566" s="242"/>
      <c r="P566" s="242"/>
      <c r="Q566" s="242"/>
      <c r="R566" s="242"/>
      <c r="S566" s="242"/>
      <c r="T566" s="242"/>
      <c r="U566" s="242"/>
      <c r="V566" s="242"/>
      <c r="W566" s="242"/>
      <c r="X566" s="242"/>
      <c r="Y566" s="242"/>
      <c r="Z566" s="242"/>
    </row>
    <row r="567">
      <c r="A567" s="242"/>
      <c r="B567" s="524"/>
      <c r="C567" s="524"/>
      <c r="D567" s="242"/>
      <c r="E567" s="242"/>
      <c r="F567" s="242"/>
      <c r="G567" s="13"/>
      <c r="H567" s="525"/>
      <c r="I567" s="242"/>
      <c r="J567" s="242"/>
      <c r="K567" s="242"/>
      <c r="L567" s="13"/>
      <c r="M567" s="13"/>
      <c r="N567" s="242"/>
      <c r="O567" s="242"/>
      <c r="P567" s="242"/>
      <c r="Q567" s="242"/>
      <c r="R567" s="242"/>
      <c r="S567" s="242"/>
      <c r="T567" s="242"/>
      <c r="U567" s="242"/>
      <c r="V567" s="242"/>
      <c r="W567" s="242"/>
      <c r="X567" s="242"/>
      <c r="Y567" s="242"/>
      <c r="Z567" s="242"/>
    </row>
    <row r="568">
      <c r="A568" s="242"/>
      <c r="B568" s="524"/>
      <c r="C568" s="524"/>
      <c r="D568" s="242"/>
      <c r="E568" s="242"/>
      <c r="F568" s="242"/>
      <c r="G568" s="13"/>
      <c r="H568" s="525"/>
      <c r="I568" s="242"/>
      <c r="J568" s="242"/>
      <c r="K568" s="242"/>
      <c r="L568" s="13"/>
      <c r="M568" s="13"/>
      <c r="N568" s="242"/>
      <c r="O568" s="242"/>
      <c r="P568" s="242"/>
      <c r="Q568" s="242"/>
      <c r="R568" s="242"/>
      <c r="S568" s="242"/>
      <c r="T568" s="242"/>
      <c r="U568" s="242"/>
      <c r="V568" s="242"/>
      <c r="W568" s="242"/>
      <c r="X568" s="242"/>
      <c r="Y568" s="242"/>
      <c r="Z568" s="242"/>
    </row>
    <row r="569">
      <c r="A569" s="242"/>
      <c r="B569" s="524"/>
      <c r="C569" s="524"/>
      <c r="D569" s="242"/>
      <c r="E569" s="242"/>
      <c r="F569" s="242"/>
      <c r="G569" s="13"/>
      <c r="H569" s="525"/>
      <c r="I569" s="242"/>
      <c r="J569" s="242"/>
      <c r="K569" s="242"/>
      <c r="L569" s="13"/>
      <c r="M569" s="13"/>
      <c r="N569" s="242"/>
      <c r="O569" s="242"/>
      <c r="P569" s="242"/>
      <c r="Q569" s="242"/>
      <c r="R569" s="242"/>
      <c r="S569" s="242"/>
      <c r="T569" s="242"/>
      <c r="U569" s="242"/>
      <c r="V569" s="242"/>
      <c r="W569" s="242"/>
      <c r="X569" s="242"/>
      <c r="Y569" s="242"/>
      <c r="Z569" s="242"/>
    </row>
    <row r="570">
      <c r="A570" s="242"/>
      <c r="B570" s="524"/>
      <c r="C570" s="524"/>
      <c r="D570" s="242"/>
      <c r="E570" s="242"/>
      <c r="F570" s="242"/>
      <c r="G570" s="13"/>
      <c r="H570" s="525"/>
      <c r="I570" s="242"/>
      <c r="J570" s="242"/>
      <c r="K570" s="242"/>
      <c r="L570" s="13"/>
      <c r="M570" s="13"/>
      <c r="N570" s="242"/>
      <c r="O570" s="242"/>
      <c r="P570" s="242"/>
      <c r="Q570" s="242"/>
      <c r="R570" s="242"/>
      <c r="S570" s="242"/>
      <c r="T570" s="242"/>
      <c r="U570" s="242"/>
      <c r="V570" s="242"/>
      <c r="W570" s="242"/>
      <c r="X570" s="242"/>
      <c r="Y570" s="242"/>
      <c r="Z570" s="242"/>
    </row>
    <row r="571">
      <c r="A571" s="242"/>
      <c r="B571" s="524"/>
      <c r="C571" s="524"/>
      <c r="D571" s="242"/>
      <c r="E571" s="242"/>
      <c r="F571" s="242"/>
      <c r="G571" s="13"/>
      <c r="H571" s="525"/>
      <c r="I571" s="242"/>
      <c r="J571" s="242"/>
      <c r="K571" s="242"/>
      <c r="L571" s="13"/>
      <c r="M571" s="13"/>
      <c r="N571" s="242"/>
      <c r="O571" s="242"/>
      <c r="P571" s="242"/>
      <c r="Q571" s="242"/>
      <c r="R571" s="242"/>
      <c r="S571" s="242"/>
      <c r="T571" s="242"/>
      <c r="U571" s="242"/>
      <c r="V571" s="242"/>
      <c r="W571" s="242"/>
      <c r="X571" s="242"/>
      <c r="Y571" s="242"/>
      <c r="Z571" s="242"/>
    </row>
    <row r="572">
      <c r="A572" s="242"/>
      <c r="B572" s="524"/>
      <c r="C572" s="524"/>
      <c r="D572" s="242"/>
      <c r="E572" s="242"/>
      <c r="F572" s="242"/>
      <c r="G572" s="13"/>
      <c r="H572" s="525"/>
      <c r="I572" s="242"/>
      <c r="J572" s="242"/>
      <c r="K572" s="242"/>
      <c r="L572" s="13"/>
      <c r="M572" s="13"/>
      <c r="N572" s="242"/>
      <c r="O572" s="242"/>
      <c r="P572" s="242"/>
      <c r="Q572" s="242"/>
      <c r="R572" s="242"/>
      <c r="S572" s="242"/>
      <c r="T572" s="242"/>
      <c r="U572" s="242"/>
      <c r="V572" s="242"/>
      <c r="W572" s="242"/>
      <c r="X572" s="242"/>
      <c r="Y572" s="242"/>
      <c r="Z572" s="242"/>
    </row>
    <row r="573">
      <c r="A573" s="242"/>
      <c r="B573" s="524"/>
      <c r="C573" s="524"/>
      <c r="D573" s="242"/>
      <c r="E573" s="242"/>
      <c r="F573" s="242"/>
      <c r="G573" s="13"/>
      <c r="H573" s="525"/>
      <c r="I573" s="242"/>
      <c r="J573" s="242"/>
      <c r="K573" s="242"/>
      <c r="L573" s="13"/>
      <c r="M573" s="13"/>
      <c r="N573" s="242"/>
      <c r="O573" s="242"/>
      <c r="P573" s="242"/>
      <c r="Q573" s="242"/>
      <c r="R573" s="242"/>
      <c r="S573" s="242"/>
      <c r="T573" s="242"/>
      <c r="U573" s="242"/>
      <c r="V573" s="242"/>
      <c r="W573" s="242"/>
      <c r="X573" s="242"/>
      <c r="Y573" s="242"/>
      <c r="Z573" s="242"/>
    </row>
    <row r="574">
      <c r="A574" s="242"/>
      <c r="B574" s="524"/>
      <c r="C574" s="524"/>
      <c r="D574" s="242"/>
      <c r="E574" s="242"/>
      <c r="F574" s="242"/>
      <c r="G574" s="13"/>
      <c r="H574" s="525"/>
      <c r="I574" s="242"/>
      <c r="J574" s="242"/>
      <c r="K574" s="242"/>
      <c r="L574" s="13"/>
      <c r="M574" s="13"/>
      <c r="N574" s="242"/>
      <c r="O574" s="242"/>
      <c r="P574" s="242"/>
      <c r="Q574" s="242"/>
      <c r="R574" s="242"/>
      <c r="S574" s="242"/>
      <c r="T574" s="242"/>
      <c r="U574" s="242"/>
      <c r="V574" s="242"/>
      <c r="W574" s="242"/>
      <c r="X574" s="242"/>
      <c r="Y574" s="242"/>
      <c r="Z574" s="242"/>
    </row>
    <row r="575">
      <c r="A575" s="242"/>
      <c r="B575" s="524"/>
      <c r="C575" s="524"/>
      <c r="D575" s="242"/>
      <c r="E575" s="242"/>
      <c r="F575" s="242"/>
      <c r="G575" s="13"/>
      <c r="H575" s="525"/>
      <c r="I575" s="242"/>
      <c r="J575" s="242"/>
      <c r="K575" s="242"/>
      <c r="L575" s="13"/>
      <c r="M575" s="13"/>
      <c r="N575" s="242"/>
      <c r="O575" s="242"/>
      <c r="P575" s="242"/>
      <c r="Q575" s="242"/>
      <c r="R575" s="242"/>
      <c r="S575" s="242"/>
      <c r="T575" s="242"/>
      <c r="U575" s="242"/>
      <c r="V575" s="242"/>
      <c r="W575" s="242"/>
      <c r="X575" s="242"/>
      <c r="Y575" s="242"/>
      <c r="Z575" s="242"/>
    </row>
    <row r="576">
      <c r="A576" s="242"/>
      <c r="B576" s="524"/>
      <c r="C576" s="524"/>
      <c r="D576" s="242"/>
      <c r="E576" s="242"/>
      <c r="F576" s="242"/>
      <c r="G576" s="13"/>
      <c r="H576" s="525"/>
      <c r="I576" s="242"/>
      <c r="J576" s="242"/>
      <c r="K576" s="242"/>
      <c r="L576" s="13"/>
      <c r="M576" s="13"/>
      <c r="N576" s="242"/>
      <c r="O576" s="242"/>
      <c r="P576" s="242"/>
      <c r="Q576" s="242"/>
      <c r="R576" s="242"/>
      <c r="S576" s="242"/>
      <c r="T576" s="242"/>
      <c r="U576" s="242"/>
      <c r="V576" s="242"/>
      <c r="W576" s="242"/>
      <c r="X576" s="242"/>
      <c r="Y576" s="242"/>
      <c r="Z576" s="242"/>
    </row>
    <row r="577">
      <c r="A577" s="242"/>
      <c r="B577" s="524"/>
      <c r="C577" s="524"/>
      <c r="D577" s="242"/>
      <c r="E577" s="242"/>
      <c r="F577" s="242"/>
      <c r="G577" s="13"/>
      <c r="H577" s="525"/>
      <c r="I577" s="242"/>
      <c r="J577" s="242"/>
      <c r="K577" s="242"/>
      <c r="L577" s="13"/>
      <c r="M577" s="13"/>
      <c r="N577" s="242"/>
      <c r="O577" s="242"/>
      <c r="P577" s="242"/>
      <c r="Q577" s="242"/>
      <c r="R577" s="242"/>
      <c r="S577" s="242"/>
      <c r="T577" s="242"/>
      <c r="U577" s="242"/>
      <c r="V577" s="242"/>
      <c r="W577" s="242"/>
      <c r="X577" s="242"/>
      <c r="Y577" s="242"/>
      <c r="Z577" s="242"/>
    </row>
    <row r="578">
      <c r="A578" s="242"/>
      <c r="B578" s="524"/>
      <c r="C578" s="524"/>
      <c r="D578" s="242"/>
      <c r="E578" s="242"/>
      <c r="F578" s="242"/>
      <c r="G578" s="13"/>
      <c r="H578" s="525"/>
      <c r="I578" s="242"/>
      <c r="J578" s="242"/>
      <c r="K578" s="242"/>
      <c r="L578" s="13"/>
      <c r="M578" s="13"/>
      <c r="N578" s="242"/>
      <c r="O578" s="242"/>
      <c r="P578" s="242"/>
      <c r="Q578" s="242"/>
      <c r="R578" s="242"/>
      <c r="S578" s="242"/>
      <c r="T578" s="242"/>
      <c r="U578" s="242"/>
      <c r="V578" s="242"/>
      <c r="W578" s="242"/>
      <c r="X578" s="242"/>
      <c r="Y578" s="242"/>
      <c r="Z578" s="242"/>
    </row>
    <row r="579">
      <c r="A579" s="242"/>
      <c r="B579" s="524"/>
      <c r="C579" s="524"/>
      <c r="D579" s="242"/>
      <c r="E579" s="242"/>
      <c r="F579" s="242"/>
      <c r="G579" s="13"/>
      <c r="H579" s="525"/>
      <c r="I579" s="242"/>
      <c r="J579" s="242"/>
      <c r="K579" s="242"/>
      <c r="L579" s="13"/>
      <c r="M579" s="13"/>
      <c r="N579" s="242"/>
      <c r="O579" s="242"/>
      <c r="P579" s="242"/>
      <c r="Q579" s="242"/>
      <c r="R579" s="242"/>
      <c r="S579" s="242"/>
      <c r="T579" s="242"/>
      <c r="U579" s="242"/>
      <c r="V579" s="242"/>
      <c r="W579" s="242"/>
      <c r="X579" s="242"/>
      <c r="Y579" s="242"/>
      <c r="Z579" s="242"/>
    </row>
    <row r="580">
      <c r="A580" s="242"/>
      <c r="B580" s="524"/>
      <c r="C580" s="524"/>
      <c r="D580" s="242"/>
      <c r="E580" s="242"/>
      <c r="F580" s="242"/>
      <c r="G580" s="13"/>
      <c r="H580" s="525"/>
      <c r="I580" s="242"/>
      <c r="J580" s="242"/>
      <c r="K580" s="242"/>
      <c r="L580" s="13"/>
      <c r="M580" s="13"/>
      <c r="N580" s="242"/>
      <c r="O580" s="242"/>
      <c r="P580" s="242"/>
      <c r="Q580" s="242"/>
      <c r="R580" s="242"/>
      <c r="S580" s="242"/>
      <c r="T580" s="242"/>
      <c r="U580" s="242"/>
      <c r="V580" s="242"/>
      <c r="W580" s="242"/>
      <c r="X580" s="242"/>
      <c r="Y580" s="242"/>
      <c r="Z580" s="242"/>
    </row>
    <row r="581">
      <c r="A581" s="242"/>
      <c r="B581" s="524"/>
      <c r="C581" s="524"/>
      <c r="D581" s="242"/>
      <c r="E581" s="242"/>
      <c r="F581" s="242"/>
      <c r="G581" s="13"/>
      <c r="H581" s="525"/>
      <c r="I581" s="242"/>
      <c r="J581" s="242"/>
      <c r="K581" s="242"/>
      <c r="L581" s="13"/>
      <c r="M581" s="13"/>
      <c r="N581" s="242"/>
      <c r="O581" s="242"/>
      <c r="P581" s="242"/>
      <c r="Q581" s="242"/>
      <c r="R581" s="242"/>
      <c r="S581" s="242"/>
      <c r="T581" s="242"/>
      <c r="U581" s="242"/>
      <c r="V581" s="242"/>
      <c r="W581" s="242"/>
      <c r="X581" s="242"/>
      <c r="Y581" s="242"/>
      <c r="Z581" s="242"/>
    </row>
    <row r="582">
      <c r="A582" s="242"/>
      <c r="B582" s="524"/>
      <c r="C582" s="524"/>
      <c r="D582" s="242"/>
      <c r="E582" s="242"/>
      <c r="F582" s="242"/>
      <c r="G582" s="13"/>
      <c r="H582" s="525"/>
      <c r="I582" s="242"/>
      <c r="J582" s="242"/>
      <c r="K582" s="242"/>
      <c r="L582" s="13"/>
      <c r="M582" s="13"/>
      <c r="N582" s="242"/>
      <c r="O582" s="242"/>
      <c r="P582" s="242"/>
      <c r="Q582" s="242"/>
      <c r="R582" s="242"/>
      <c r="S582" s="242"/>
      <c r="T582" s="242"/>
      <c r="U582" s="242"/>
      <c r="V582" s="242"/>
      <c r="W582" s="242"/>
      <c r="X582" s="242"/>
      <c r="Y582" s="242"/>
      <c r="Z582" s="242"/>
    </row>
    <row r="583">
      <c r="A583" s="242"/>
      <c r="B583" s="524"/>
      <c r="C583" s="524"/>
      <c r="D583" s="242"/>
      <c r="E583" s="242"/>
      <c r="F583" s="242"/>
      <c r="G583" s="13"/>
      <c r="H583" s="525"/>
      <c r="I583" s="242"/>
      <c r="J583" s="242"/>
      <c r="K583" s="242"/>
      <c r="L583" s="13"/>
      <c r="M583" s="13"/>
      <c r="N583" s="242"/>
      <c r="O583" s="242"/>
      <c r="P583" s="242"/>
      <c r="Q583" s="242"/>
      <c r="R583" s="242"/>
      <c r="S583" s="242"/>
      <c r="T583" s="242"/>
      <c r="U583" s="242"/>
      <c r="V583" s="242"/>
      <c r="W583" s="242"/>
      <c r="X583" s="242"/>
      <c r="Y583" s="242"/>
      <c r="Z583" s="242"/>
    </row>
    <row r="584">
      <c r="A584" s="242"/>
      <c r="B584" s="524"/>
      <c r="C584" s="524"/>
      <c r="D584" s="242"/>
      <c r="E584" s="242"/>
      <c r="F584" s="242"/>
      <c r="G584" s="13"/>
      <c r="H584" s="525"/>
      <c r="I584" s="242"/>
      <c r="J584" s="242"/>
      <c r="K584" s="242"/>
      <c r="L584" s="13"/>
      <c r="M584" s="13"/>
      <c r="N584" s="242"/>
      <c r="O584" s="242"/>
      <c r="P584" s="242"/>
      <c r="Q584" s="242"/>
      <c r="R584" s="242"/>
      <c r="S584" s="242"/>
      <c r="T584" s="242"/>
      <c r="U584" s="242"/>
      <c r="V584" s="242"/>
      <c r="W584" s="242"/>
      <c r="X584" s="242"/>
      <c r="Y584" s="242"/>
      <c r="Z584" s="242"/>
    </row>
    <row r="585">
      <c r="A585" s="242"/>
      <c r="B585" s="524"/>
      <c r="C585" s="524"/>
      <c r="D585" s="242"/>
      <c r="E585" s="242"/>
      <c r="F585" s="242"/>
      <c r="G585" s="13"/>
      <c r="H585" s="525"/>
      <c r="I585" s="242"/>
      <c r="J585" s="242"/>
      <c r="K585" s="242"/>
      <c r="L585" s="13"/>
      <c r="M585" s="13"/>
      <c r="N585" s="242"/>
      <c r="O585" s="242"/>
      <c r="P585" s="242"/>
      <c r="Q585" s="242"/>
      <c r="R585" s="242"/>
      <c r="S585" s="242"/>
      <c r="T585" s="242"/>
      <c r="U585" s="242"/>
      <c r="V585" s="242"/>
      <c r="W585" s="242"/>
      <c r="X585" s="242"/>
      <c r="Y585" s="242"/>
      <c r="Z585" s="242"/>
    </row>
    <row r="586">
      <c r="A586" s="242"/>
      <c r="B586" s="524"/>
      <c r="C586" s="524"/>
      <c r="D586" s="242"/>
      <c r="E586" s="242"/>
      <c r="F586" s="242"/>
      <c r="G586" s="13"/>
      <c r="H586" s="525"/>
      <c r="I586" s="242"/>
      <c r="J586" s="242"/>
      <c r="K586" s="242"/>
      <c r="L586" s="13"/>
      <c r="M586" s="13"/>
      <c r="N586" s="242"/>
      <c r="O586" s="242"/>
      <c r="P586" s="242"/>
      <c r="Q586" s="242"/>
      <c r="R586" s="242"/>
      <c r="S586" s="242"/>
      <c r="T586" s="242"/>
      <c r="U586" s="242"/>
      <c r="V586" s="242"/>
      <c r="W586" s="242"/>
      <c r="X586" s="242"/>
      <c r="Y586" s="242"/>
      <c r="Z586" s="242"/>
    </row>
    <row r="587">
      <c r="A587" s="242"/>
      <c r="B587" s="524"/>
      <c r="C587" s="524"/>
      <c r="D587" s="242"/>
      <c r="E587" s="242"/>
      <c r="F587" s="242"/>
      <c r="G587" s="13"/>
      <c r="H587" s="525"/>
      <c r="I587" s="242"/>
      <c r="J587" s="242"/>
      <c r="K587" s="242"/>
      <c r="L587" s="13"/>
      <c r="M587" s="13"/>
      <c r="N587" s="242"/>
      <c r="O587" s="242"/>
      <c r="P587" s="242"/>
      <c r="Q587" s="242"/>
      <c r="R587" s="242"/>
      <c r="S587" s="242"/>
      <c r="T587" s="242"/>
      <c r="U587" s="242"/>
      <c r="V587" s="242"/>
      <c r="W587" s="242"/>
      <c r="X587" s="242"/>
      <c r="Y587" s="242"/>
      <c r="Z587" s="242"/>
    </row>
    <row r="588">
      <c r="A588" s="242"/>
      <c r="B588" s="524"/>
      <c r="C588" s="524"/>
      <c r="D588" s="242"/>
      <c r="E588" s="242"/>
      <c r="F588" s="242"/>
      <c r="G588" s="13"/>
      <c r="H588" s="525"/>
      <c r="I588" s="242"/>
      <c r="J588" s="242"/>
      <c r="K588" s="242"/>
      <c r="L588" s="13"/>
      <c r="M588" s="13"/>
      <c r="N588" s="242"/>
      <c r="O588" s="242"/>
      <c r="P588" s="242"/>
      <c r="Q588" s="242"/>
      <c r="R588" s="242"/>
      <c r="S588" s="242"/>
      <c r="T588" s="242"/>
      <c r="U588" s="242"/>
      <c r="V588" s="242"/>
      <c r="W588" s="242"/>
      <c r="X588" s="242"/>
      <c r="Y588" s="242"/>
      <c r="Z588" s="242"/>
    </row>
    <row r="589">
      <c r="A589" s="242"/>
      <c r="B589" s="524"/>
      <c r="C589" s="524"/>
      <c r="D589" s="242"/>
      <c r="E589" s="242"/>
      <c r="F589" s="242"/>
      <c r="G589" s="13"/>
      <c r="H589" s="525"/>
      <c r="I589" s="242"/>
      <c r="J589" s="242"/>
      <c r="K589" s="242"/>
      <c r="L589" s="13"/>
      <c r="M589" s="13"/>
      <c r="N589" s="242"/>
      <c r="O589" s="242"/>
      <c r="P589" s="242"/>
      <c r="Q589" s="242"/>
      <c r="R589" s="242"/>
      <c r="S589" s="242"/>
      <c r="T589" s="242"/>
      <c r="U589" s="242"/>
      <c r="V589" s="242"/>
      <c r="W589" s="242"/>
      <c r="X589" s="242"/>
      <c r="Y589" s="242"/>
      <c r="Z589" s="242"/>
    </row>
    <row r="590">
      <c r="A590" s="242"/>
      <c r="B590" s="524"/>
      <c r="C590" s="524"/>
      <c r="D590" s="242"/>
      <c r="E590" s="242"/>
      <c r="F590" s="242"/>
      <c r="G590" s="13"/>
      <c r="H590" s="525"/>
      <c r="I590" s="242"/>
      <c r="J590" s="242"/>
      <c r="K590" s="242"/>
      <c r="L590" s="13"/>
      <c r="M590" s="13"/>
      <c r="N590" s="242"/>
      <c r="O590" s="242"/>
      <c r="P590" s="242"/>
      <c r="Q590" s="242"/>
      <c r="R590" s="242"/>
      <c r="S590" s="242"/>
      <c r="T590" s="242"/>
      <c r="U590" s="242"/>
      <c r="V590" s="242"/>
      <c r="W590" s="242"/>
      <c r="X590" s="242"/>
      <c r="Y590" s="242"/>
      <c r="Z590" s="242"/>
    </row>
    <row r="591">
      <c r="A591" s="242"/>
      <c r="B591" s="524"/>
      <c r="C591" s="524"/>
      <c r="D591" s="242"/>
      <c r="E591" s="242"/>
      <c r="F591" s="242"/>
      <c r="G591" s="13"/>
      <c r="H591" s="525"/>
      <c r="I591" s="242"/>
      <c r="J591" s="242"/>
      <c r="K591" s="242"/>
      <c r="L591" s="13"/>
      <c r="M591" s="13"/>
      <c r="N591" s="242"/>
      <c r="O591" s="242"/>
      <c r="P591" s="242"/>
      <c r="Q591" s="242"/>
      <c r="R591" s="242"/>
      <c r="S591" s="242"/>
      <c r="T591" s="242"/>
      <c r="U591" s="242"/>
      <c r="V591" s="242"/>
      <c r="W591" s="242"/>
      <c r="X591" s="242"/>
      <c r="Y591" s="242"/>
      <c r="Z591" s="242"/>
    </row>
    <row r="592">
      <c r="A592" s="242"/>
      <c r="B592" s="524"/>
      <c r="C592" s="524"/>
      <c r="D592" s="242"/>
      <c r="E592" s="242"/>
      <c r="F592" s="242"/>
      <c r="G592" s="13"/>
      <c r="H592" s="525"/>
      <c r="I592" s="242"/>
      <c r="J592" s="242"/>
      <c r="K592" s="242"/>
      <c r="L592" s="13"/>
      <c r="M592" s="13"/>
      <c r="N592" s="242"/>
      <c r="O592" s="242"/>
      <c r="P592" s="242"/>
      <c r="Q592" s="242"/>
      <c r="R592" s="242"/>
      <c r="S592" s="242"/>
      <c r="T592" s="242"/>
      <c r="U592" s="242"/>
      <c r="V592" s="242"/>
      <c r="W592" s="242"/>
      <c r="X592" s="242"/>
      <c r="Y592" s="242"/>
      <c r="Z592" s="242"/>
    </row>
    <row r="593">
      <c r="A593" s="242"/>
      <c r="B593" s="524"/>
      <c r="C593" s="524"/>
      <c r="D593" s="242"/>
      <c r="E593" s="242"/>
      <c r="F593" s="242"/>
      <c r="G593" s="13"/>
      <c r="H593" s="525"/>
      <c r="I593" s="242"/>
      <c r="J593" s="242"/>
      <c r="K593" s="242"/>
      <c r="L593" s="13"/>
      <c r="M593" s="13"/>
      <c r="N593" s="242"/>
      <c r="O593" s="242"/>
      <c r="P593" s="242"/>
      <c r="Q593" s="242"/>
      <c r="R593" s="242"/>
      <c r="S593" s="242"/>
      <c r="T593" s="242"/>
      <c r="U593" s="242"/>
      <c r="V593" s="242"/>
      <c r="W593" s="242"/>
      <c r="X593" s="242"/>
      <c r="Y593" s="242"/>
      <c r="Z593" s="242"/>
    </row>
    <row r="594">
      <c r="A594" s="242"/>
      <c r="B594" s="524"/>
      <c r="C594" s="524"/>
      <c r="D594" s="242"/>
      <c r="E594" s="242"/>
      <c r="F594" s="242"/>
      <c r="G594" s="13"/>
      <c r="H594" s="525"/>
      <c r="I594" s="242"/>
      <c r="J594" s="242"/>
      <c r="K594" s="242"/>
      <c r="L594" s="13"/>
      <c r="M594" s="13"/>
      <c r="N594" s="242"/>
      <c r="O594" s="242"/>
      <c r="P594" s="242"/>
      <c r="Q594" s="242"/>
      <c r="R594" s="242"/>
      <c r="S594" s="242"/>
      <c r="T594" s="242"/>
      <c r="U594" s="242"/>
      <c r="V594" s="242"/>
      <c r="W594" s="242"/>
      <c r="X594" s="242"/>
      <c r="Y594" s="242"/>
      <c r="Z594" s="242"/>
    </row>
    <row r="595">
      <c r="A595" s="242"/>
      <c r="B595" s="524"/>
      <c r="C595" s="524"/>
      <c r="D595" s="242"/>
      <c r="E595" s="242"/>
      <c r="F595" s="242"/>
      <c r="G595" s="13"/>
      <c r="H595" s="525"/>
      <c r="I595" s="242"/>
      <c r="J595" s="242"/>
      <c r="K595" s="242"/>
      <c r="L595" s="13"/>
      <c r="M595" s="13"/>
      <c r="N595" s="242"/>
      <c r="O595" s="242"/>
      <c r="P595" s="242"/>
      <c r="Q595" s="242"/>
      <c r="R595" s="242"/>
      <c r="S595" s="242"/>
      <c r="T595" s="242"/>
      <c r="U595" s="242"/>
      <c r="V595" s="242"/>
      <c r="W595" s="242"/>
      <c r="X595" s="242"/>
      <c r="Y595" s="242"/>
      <c r="Z595" s="242"/>
    </row>
    <row r="596">
      <c r="A596" s="242"/>
      <c r="B596" s="524"/>
      <c r="C596" s="524"/>
      <c r="D596" s="242"/>
      <c r="E596" s="242"/>
      <c r="F596" s="242"/>
      <c r="G596" s="13"/>
      <c r="H596" s="525"/>
      <c r="I596" s="242"/>
      <c r="J596" s="242"/>
      <c r="K596" s="242"/>
      <c r="L596" s="13"/>
      <c r="M596" s="13"/>
      <c r="N596" s="242"/>
      <c r="O596" s="242"/>
      <c r="P596" s="242"/>
      <c r="Q596" s="242"/>
      <c r="R596" s="242"/>
      <c r="S596" s="242"/>
      <c r="T596" s="242"/>
      <c r="U596" s="242"/>
      <c r="V596" s="242"/>
      <c r="W596" s="242"/>
      <c r="X596" s="242"/>
      <c r="Y596" s="242"/>
      <c r="Z596" s="242"/>
    </row>
    <row r="597">
      <c r="A597" s="242"/>
      <c r="B597" s="524"/>
      <c r="C597" s="524"/>
      <c r="D597" s="242"/>
      <c r="E597" s="242"/>
      <c r="F597" s="242"/>
      <c r="G597" s="13"/>
      <c r="H597" s="525"/>
      <c r="I597" s="242"/>
      <c r="J597" s="242"/>
      <c r="K597" s="242"/>
      <c r="L597" s="13"/>
      <c r="M597" s="13"/>
      <c r="N597" s="242"/>
      <c r="O597" s="242"/>
      <c r="P597" s="242"/>
      <c r="Q597" s="242"/>
      <c r="R597" s="242"/>
      <c r="S597" s="242"/>
      <c r="T597" s="242"/>
      <c r="U597" s="242"/>
      <c r="V597" s="242"/>
      <c r="W597" s="242"/>
      <c r="X597" s="242"/>
      <c r="Y597" s="242"/>
      <c r="Z597" s="242"/>
    </row>
    <row r="598">
      <c r="A598" s="242"/>
      <c r="B598" s="524"/>
      <c r="C598" s="524"/>
      <c r="D598" s="242"/>
      <c r="E598" s="242"/>
      <c r="F598" s="242"/>
      <c r="G598" s="13"/>
      <c r="H598" s="525"/>
      <c r="I598" s="242"/>
      <c r="J598" s="242"/>
      <c r="K598" s="242"/>
      <c r="L598" s="13"/>
      <c r="M598" s="13"/>
      <c r="N598" s="242"/>
      <c r="O598" s="242"/>
      <c r="P598" s="242"/>
      <c r="Q598" s="242"/>
      <c r="R598" s="242"/>
      <c r="S598" s="242"/>
      <c r="T598" s="242"/>
      <c r="U598" s="242"/>
      <c r="V598" s="242"/>
      <c r="W598" s="242"/>
      <c r="X598" s="242"/>
      <c r="Y598" s="242"/>
      <c r="Z598" s="242"/>
    </row>
    <row r="599">
      <c r="A599" s="242"/>
      <c r="B599" s="524"/>
      <c r="C599" s="524"/>
      <c r="D599" s="242"/>
      <c r="E599" s="242"/>
      <c r="F599" s="242"/>
      <c r="G599" s="13"/>
      <c r="H599" s="525"/>
      <c r="I599" s="242"/>
      <c r="J599" s="242"/>
      <c r="K599" s="242"/>
      <c r="L599" s="13"/>
      <c r="M599" s="13"/>
      <c r="N599" s="242"/>
      <c r="O599" s="242"/>
      <c r="P599" s="242"/>
      <c r="Q599" s="242"/>
      <c r="R599" s="242"/>
      <c r="S599" s="242"/>
      <c r="T599" s="242"/>
      <c r="U599" s="242"/>
      <c r="V599" s="242"/>
      <c r="W599" s="242"/>
      <c r="X599" s="242"/>
      <c r="Y599" s="242"/>
      <c r="Z599" s="242"/>
    </row>
    <row r="600">
      <c r="A600" s="242"/>
      <c r="B600" s="524"/>
      <c r="C600" s="524"/>
      <c r="D600" s="242"/>
      <c r="E600" s="242"/>
      <c r="F600" s="242"/>
      <c r="G600" s="13"/>
      <c r="H600" s="525"/>
      <c r="I600" s="242"/>
      <c r="J600" s="242"/>
      <c r="K600" s="242"/>
      <c r="L600" s="13"/>
      <c r="M600" s="13"/>
      <c r="N600" s="242"/>
      <c r="O600" s="242"/>
      <c r="P600" s="242"/>
      <c r="Q600" s="242"/>
      <c r="R600" s="242"/>
      <c r="S600" s="242"/>
      <c r="T600" s="242"/>
      <c r="U600" s="242"/>
      <c r="V600" s="242"/>
      <c r="W600" s="242"/>
      <c r="X600" s="242"/>
      <c r="Y600" s="242"/>
      <c r="Z600" s="242"/>
    </row>
    <row r="601">
      <c r="A601" s="242"/>
      <c r="B601" s="524"/>
      <c r="C601" s="524"/>
      <c r="D601" s="242"/>
      <c r="E601" s="242"/>
      <c r="F601" s="242"/>
      <c r="G601" s="13"/>
      <c r="H601" s="525"/>
      <c r="I601" s="242"/>
      <c r="J601" s="242"/>
      <c r="K601" s="242"/>
      <c r="L601" s="13"/>
      <c r="M601" s="13"/>
      <c r="N601" s="242"/>
      <c r="O601" s="242"/>
      <c r="P601" s="242"/>
      <c r="Q601" s="242"/>
      <c r="R601" s="242"/>
      <c r="S601" s="242"/>
      <c r="T601" s="242"/>
      <c r="U601" s="242"/>
      <c r="V601" s="242"/>
      <c r="W601" s="242"/>
      <c r="X601" s="242"/>
      <c r="Y601" s="242"/>
      <c r="Z601" s="242"/>
    </row>
    <row r="602">
      <c r="A602" s="242"/>
      <c r="B602" s="524"/>
      <c r="C602" s="524"/>
      <c r="D602" s="242"/>
      <c r="E602" s="242"/>
      <c r="F602" s="242"/>
      <c r="G602" s="13"/>
      <c r="H602" s="525"/>
      <c r="I602" s="242"/>
      <c r="J602" s="242"/>
      <c r="K602" s="242"/>
      <c r="L602" s="13"/>
      <c r="M602" s="13"/>
      <c r="N602" s="242"/>
      <c r="O602" s="242"/>
      <c r="P602" s="242"/>
      <c r="Q602" s="242"/>
      <c r="R602" s="242"/>
      <c r="S602" s="242"/>
      <c r="T602" s="242"/>
      <c r="U602" s="242"/>
      <c r="V602" s="242"/>
      <c r="W602" s="242"/>
      <c r="X602" s="242"/>
      <c r="Y602" s="242"/>
      <c r="Z602" s="242"/>
    </row>
    <row r="603">
      <c r="A603" s="242"/>
      <c r="B603" s="524"/>
      <c r="C603" s="524"/>
      <c r="D603" s="242"/>
      <c r="E603" s="242"/>
      <c r="F603" s="242"/>
      <c r="G603" s="13"/>
      <c r="H603" s="525"/>
      <c r="I603" s="242"/>
      <c r="J603" s="242"/>
      <c r="K603" s="242"/>
      <c r="L603" s="13"/>
      <c r="M603" s="13"/>
      <c r="N603" s="242"/>
      <c r="O603" s="242"/>
      <c r="P603" s="242"/>
      <c r="Q603" s="242"/>
      <c r="R603" s="242"/>
      <c r="S603" s="242"/>
      <c r="T603" s="242"/>
      <c r="U603" s="242"/>
      <c r="V603" s="242"/>
      <c r="W603" s="242"/>
      <c r="X603" s="242"/>
      <c r="Y603" s="242"/>
      <c r="Z603" s="242"/>
    </row>
    <row r="604">
      <c r="A604" s="242"/>
      <c r="B604" s="524"/>
      <c r="C604" s="524"/>
      <c r="D604" s="242"/>
      <c r="E604" s="242"/>
      <c r="F604" s="242"/>
      <c r="G604" s="13"/>
      <c r="H604" s="525"/>
      <c r="I604" s="242"/>
      <c r="J604" s="242"/>
      <c r="K604" s="242"/>
      <c r="L604" s="13"/>
      <c r="M604" s="13"/>
      <c r="N604" s="242"/>
      <c r="O604" s="242"/>
      <c r="P604" s="242"/>
      <c r="Q604" s="242"/>
      <c r="R604" s="242"/>
      <c r="S604" s="242"/>
      <c r="T604" s="242"/>
      <c r="U604" s="242"/>
      <c r="V604" s="242"/>
      <c r="W604" s="242"/>
      <c r="X604" s="242"/>
      <c r="Y604" s="242"/>
      <c r="Z604" s="242"/>
    </row>
    <row r="605">
      <c r="A605" s="242"/>
      <c r="B605" s="524"/>
      <c r="C605" s="524"/>
      <c r="D605" s="242"/>
      <c r="E605" s="242"/>
      <c r="F605" s="242"/>
      <c r="G605" s="13"/>
      <c r="H605" s="525"/>
      <c r="I605" s="242"/>
      <c r="J605" s="242"/>
      <c r="K605" s="242"/>
      <c r="L605" s="13"/>
      <c r="M605" s="13"/>
      <c r="N605" s="242"/>
      <c r="O605" s="242"/>
      <c r="P605" s="242"/>
      <c r="Q605" s="242"/>
      <c r="R605" s="242"/>
      <c r="S605" s="242"/>
      <c r="T605" s="242"/>
      <c r="U605" s="242"/>
      <c r="V605" s="242"/>
      <c r="W605" s="242"/>
      <c r="X605" s="242"/>
      <c r="Y605" s="242"/>
      <c r="Z605" s="242"/>
    </row>
    <row r="606">
      <c r="A606" s="242"/>
      <c r="B606" s="524"/>
      <c r="C606" s="524"/>
      <c r="D606" s="242"/>
      <c r="E606" s="242"/>
      <c r="F606" s="242"/>
      <c r="G606" s="13"/>
      <c r="H606" s="525"/>
      <c r="I606" s="242"/>
      <c r="J606" s="242"/>
      <c r="K606" s="242"/>
      <c r="L606" s="13"/>
      <c r="M606" s="13"/>
      <c r="N606" s="242"/>
      <c r="O606" s="242"/>
      <c r="P606" s="242"/>
      <c r="Q606" s="242"/>
      <c r="R606" s="242"/>
      <c r="S606" s="242"/>
      <c r="T606" s="242"/>
      <c r="U606" s="242"/>
      <c r="V606" s="242"/>
      <c r="W606" s="242"/>
      <c r="X606" s="242"/>
      <c r="Y606" s="242"/>
      <c r="Z606" s="242"/>
    </row>
    <row r="607">
      <c r="A607" s="242"/>
      <c r="B607" s="524"/>
      <c r="C607" s="524"/>
      <c r="D607" s="242"/>
      <c r="E607" s="242"/>
      <c r="F607" s="242"/>
      <c r="G607" s="13"/>
      <c r="H607" s="525"/>
      <c r="I607" s="242"/>
      <c r="J607" s="242"/>
      <c r="K607" s="242"/>
      <c r="L607" s="13"/>
      <c r="M607" s="13"/>
      <c r="N607" s="242"/>
      <c r="O607" s="242"/>
      <c r="P607" s="242"/>
      <c r="Q607" s="242"/>
      <c r="R607" s="242"/>
      <c r="S607" s="242"/>
      <c r="T607" s="242"/>
      <c r="U607" s="242"/>
      <c r="V607" s="242"/>
      <c r="W607" s="242"/>
      <c r="X607" s="242"/>
      <c r="Y607" s="242"/>
      <c r="Z607" s="242"/>
    </row>
    <row r="608">
      <c r="A608" s="242"/>
      <c r="B608" s="524"/>
      <c r="C608" s="524"/>
      <c r="D608" s="242"/>
      <c r="E608" s="242"/>
      <c r="F608" s="242"/>
      <c r="G608" s="13"/>
      <c r="H608" s="525"/>
      <c r="I608" s="242"/>
      <c r="J608" s="242"/>
      <c r="K608" s="242"/>
      <c r="L608" s="13"/>
      <c r="M608" s="13"/>
      <c r="N608" s="242"/>
      <c r="O608" s="242"/>
      <c r="P608" s="242"/>
      <c r="Q608" s="242"/>
      <c r="R608" s="242"/>
      <c r="S608" s="242"/>
      <c r="T608" s="242"/>
      <c r="U608" s="242"/>
      <c r="V608" s="242"/>
      <c r="W608" s="242"/>
      <c r="X608" s="242"/>
      <c r="Y608" s="242"/>
      <c r="Z608" s="242"/>
    </row>
    <row r="609">
      <c r="A609" s="242"/>
      <c r="B609" s="524"/>
      <c r="C609" s="524"/>
      <c r="D609" s="242"/>
      <c r="E609" s="242"/>
      <c r="F609" s="242"/>
      <c r="G609" s="13"/>
      <c r="H609" s="525"/>
      <c r="I609" s="242"/>
      <c r="J609" s="242"/>
      <c r="K609" s="242"/>
      <c r="L609" s="13"/>
      <c r="M609" s="13"/>
      <c r="N609" s="242"/>
      <c r="O609" s="242"/>
      <c r="P609" s="242"/>
      <c r="Q609" s="242"/>
      <c r="R609" s="242"/>
      <c r="S609" s="242"/>
      <c r="T609" s="242"/>
      <c r="U609" s="242"/>
      <c r="V609" s="242"/>
      <c r="W609" s="242"/>
      <c r="X609" s="242"/>
      <c r="Y609" s="242"/>
      <c r="Z609" s="242"/>
    </row>
    <row r="610">
      <c r="A610" s="242"/>
      <c r="B610" s="524"/>
      <c r="C610" s="524"/>
      <c r="D610" s="242"/>
      <c r="E610" s="242"/>
      <c r="F610" s="242"/>
      <c r="G610" s="13"/>
      <c r="H610" s="525"/>
      <c r="I610" s="242"/>
      <c r="J610" s="242"/>
      <c r="K610" s="242"/>
      <c r="L610" s="13"/>
      <c r="M610" s="13"/>
      <c r="N610" s="242"/>
      <c r="O610" s="242"/>
      <c r="P610" s="242"/>
      <c r="Q610" s="242"/>
      <c r="R610" s="242"/>
      <c r="S610" s="242"/>
      <c r="T610" s="242"/>
      <c r="U610" s="242"/>
      <c r="V610" s="242"/>
      <c r="W610" s="242"/>
      <c r="X610" s="242"/>
      <c r="Y610" s="242"/>
      <c r="Z610" s="242"/>
    </row>
    <row r="611">
      <c r="A611" s="242"/>
      <c r="B611" s="524"/>
      <c r="C611" s="524"/>
      <c r="D611" s="242"/>
      <c r="E611" s="242"/>
      <c r="F611" s="242"/>
      <c r="G611" s="13"/>
      <c r="H611" s="525"/>
      <c r="I611" s="242"/>
      <c r="J611" s="242"/>
      <c r="K611" s="242"/>
      <c r="L611" s="13"/>
      <c r="M611" s="13"/>
      <c r="N611" s="242"/>
      <c r="O611" s="242"/>
      <c r="P611" s="242"/>
      <c r="Q611" s="242"/>
      <c r="R611" s="242"/>
      <c r="S611" s="242"/>
      <c r="T611" s="242"/>
      <c r="U611" s="242"/>
      <c r="V611" s="242"/>
      <c r="W611" s="242"/>
      <c r="X611" s="242"/>
      <c r="Y611" s="242"/>
      <c r="Z611" s="242"/>
    </row>
    <row r="612">
      <c r="A612" s="242"/>
      <c r="B612" s="524"/>
      <c r="C612" s="524"/>
      <c r="D612" s="242"/>
      <c r="E612" s="242"/>
      <c r="F612" s="242"/>
      <c r="G612" s="13"/>
      <c r="H612" s="525"/>
      <c r="I612" s="242"/>
      <c r="J612" s="242"/>
      <c r="K612" s="242"/>
      <c r="L612" s="13"/>
      <c r="M612" s="13"/>
      <c r="N612" s="242"/>
      <c r="O612" s="242"/>
      <c r="P612" s="242"/>
      <c r="Q612" s="242"/>
      <c r="R612" s="242"/>
      <c r="S612" s="242"/>
      <c r="T612" s="242"/>
      <c r="U612" s="242"/>
      <c r="V612" s="242"/>
      <c r="W612" s="242"/>
      <c r="X612" s="242"/>
      <c r="Y612" s="242"/>
      <c r="Z612" s="242"/>
    </row>
    <row r="613">
      <c r="A613" s="242"/>
      <c r="B613" s="524"/>
      <c r="C613" s="524"/>
      <c r="D613" s="242"/>
      <c r="E613" s="242"/>
      <c r="F613" s="242"/>
      <c r="G613" s="13"/>
      <c r="H613" s="525"/>
      <c r="I613" s="242"/>
      <c r="J613" s="242"/>
      <c r="K613" s="242"/>
      <c r="L613" s="13"/>
      <c r="M613" s="13"/>
      <c r="N613" s="242"/>
      <c r="O613" s="242"/>
      <c r="P613" s="242"/>
      <c r="Q613" s="242"/>
      <c r="R613" s="242"/>
      <c r="S613" s="242"/>
      <c r="T613" s="242"/>
      <c r="U613" s="242"/>
      <c r="V613" s="242"/>
      <c r="W613" s="242"/>
      <c r="X613" s="242"/>
      <c r="Y613" s="242"/>
      <c r="Z613" s="242"/>
    </row>
    <row r="614">
      <c r="A614" s="242"/>
      <c r="B614" s="524"/>
      <c r="C614" s="524"/>
      <c r="D614" s="242"/>
      <c r="E614" s="242"/>
      <c r="F614" s="242"/>
      <c r="G614" s="13"/>
      <c r="H614" s="525"/>
      <c r="I614" s="242"/>
      <c r="J614" s="242"/>
      <c r="K614" s="242"/>
      <c r="L614" s="13"/>
      <c r="M614" s="13"/>
      <c r="N614" s="242"/>
      <c r="O614" s="242"/>
      <c r="P614" s="242"/>
      <c r="Q614" s="242"/>
      <c r="R614" s="242"/>
      <c r="S614" s="242"/>
      <c r="T614" s="242"/>
      <c r="U614" s="242"/>
      <c r="V614" s="242"/>
      <c r="W614" s="242"/>
      <c r="X614" s="242"/>
      <c r="Y614" s="242"/>
      <c r="Z614" s="242"/>
    </row>
    <row r="615">
      <c r="A615" s="242"/>
      <c r="B615" s="524"/>
      <c r="C615" s="524"/>
      <c r="D615" s="242"/>
      <c r="E615" s="242"/>
      <c r="F615" s="242"/>
      <c r="G615" s="13"/>
      <c r="H615" s="525"/>
      <c r="I615" s="242"/>
      <c r="J615" s="242"/>
      <c r="K615" s="242"/>
      <c r="L615" s="13"/>
      <c r="M615" s="13"/>
      <c r="N615" s="242"/>
      <c r="O615" s="242"/>
      <c r="P615" s="242"/>
      <c r="Q615" s="242"/>
      <c r="R615" s="242"/>
      <c r="S615" s="242"/>
      <c r="T615" s="242"/>
      <c r="U615" s="242"/>
      <c r="V615" s="242"/>
      <c r="W615" s="242"/>
      <c r="X615" s="242"/>
      <c r="Y615" s="242"/>
      <c r="Z615" s="242"/>
    </row>
    <row r="616">
      <c r="A616" s="242"/>
      <c r="B616" s="524"/>
      <c r="C616" s="524"/>
      <c r="D616" s="242"/>
      <c r="E616" s="242"/>
      <c r="F616" s="242"/>
      <c r="G616" s="13"/>
      <c r="H616" s="525"/>
      <c r="I616" s="242"/>
      <c r="J616" s="242"/>
      <c r="K616" s="242"/>
      <c r="L616" s="13"/>
      <c r="M616" s="13"/>
      <c r="N616" s="242"/>
      <c r="O616" s="242"/>
      <c r="P616" s="242"/>
      <c r="Q616" s="242"/>
      <c r="R616" s="242"/>
      <c r="S616" s="242"/>
      <c r="T616" s="242"/>
      <c r="U616" s="242"/>
      <c r="V616" s="242"/>
      <c r="W616" s="242"/>
      <c r="X616" s="242"/>
      <c r="Y616" s="242"/>
      <c r="Z616" s="242"/>
    </row>
    <row r="617">
      <c r="A617" s="242"/>
      <c r="B617" s="524"/>
      <c r="C617" s="524"/>
      <c r="D617" s="242"/>
      <c r="E617" s="242"/>
      <c r="F617" s="242"/>
      <c r="G617" s="13"/>
      <c r="H617" s="525"/>
      <c r="I617" s="242"/>
      <c r="J617" s="242"/>
      <c r="K617" s="242"/>
      <c r="L617" s="13"/>
      <c r="M617" s="13"/>
      <c r="N617" s="242"/>
      <c r="O617" s="242"/>
      <c r="P617" s="242"/>
      <c r="Q617" s="242"/>
      <c r="R617" s="242"/>
      <c r="S617" s="242"/>
      <c r="T617" s="242"/>
      <c r="U617" s="242"/>
      <c r="V617" s="242"/>
      <c r="W617" s="242"/>
      <c r="X617" s="242"/>
      <c r="Y617" s="242"/>
      <c r="Z617" s="242"/>
    </row>
    <row r="618">
      <c r="A618" s="242"/>
      <c r="B618" s="524"/>
      <c r="C618" s="524"/>
      <c r="D618" s="242"/>
      <c r="E618" s="242"/>
      <c r="F618" s="242"/>
      <c r="G618" s="13"/>
      <c r="H618" s="525"/>
      <c r="I618" s="242"/>
      <c r="J618" s="242"/>
      <c r="K618" s="242"/>
      <c r="L618" s="13"/>
      <c r="M618" s="13"/>
      <c r="N618" s="242"/>
      <c r="O618" s="242"/>
      <c r="P618" s="242"/>
      <c r="Q618" s="242"/>
      <c r="R618" s="242"/>
      <c r="S618" s="242"/>
      <c r="T618" s="242"/>
      <c r="U618" s="242"/>
      <c r="V618" s="242"/>
      <c r="W618" s="242"/>
      <c r="X618" s="242"/>
      <c r="Y618" s="242"/>
      <c r="Z618" s="242"/>
    </row>
    <row r="619">
      <c r="A619" s="242"/>
      <c r="B619" s="524"/>
      <c r="C619" s="524"/>
      <c r="D619" s="242"/>
      <c r="E619" s="242"/>
      <c r="F619" s="242"/>
      <c r="G619" s="13"/>
      <c r="H619" s="525"/>
      <c r="I619" s="242"/>
      <c r="J619" s="242"/>
      <c r="K619" s="242"/>
      <c r="L619" s="13"/>
      <c r="M619" s="13"/>
      <c r="N619" s="242"/>
      <c r="O619" s="242"/>
      <c r="P619" s="242"/>
      <c r="Q619" s="242"/>
      <c r="R619" s="242"/>
      <c r="S619" s="242"/>
      <c r="T619" s="242"/>
      <c r="U619" s="242"/>
      <c r="V619" s="242"/>
      <c r="W619" s="242"/>
      <c r="X619" s="242"/>
      <c r="Y619" s="242"/>
      <c r="Z619" s="242"/>
    </row>
    <row r="620">
      <c r="A620" s="242"/>
      <c r="B620" s="524"/>
      <c r="C620" s="524"/>
      <c r="D620" s="242"/>
      <c r="E620" s="242"/>
      <c r="F620" s="242"/>
      <c r="G620" s="13"/>
      <c r="H620" s="525"/>
      <c r="I620" s="242"/>
      <c r="J620" s="242"/>
      <c r="K620" s="242"/>
      <c r="L620" s="13"/>
      <c r="M620" s="13"/>
      <c r="N620" s="242"/>
      <c r="O620" s="242"/>
      <c r="P620" s="242"/>
      <c r="Q620" s="242"/>
      <c r="R620" s="242"/>
      <c r="S620" s="242"/>
      <c r="T620" s="242"/>
      <c r="U620" s="242"/>
      <c r="V620" s="242"/>
      <c r="W620" s="242"/>
      <c r="X620" s="242"/>
      <c r="Y620" s="242"/>
      <c r="Z620" s="242"/>
    </row>
    <row r="621">
      <c r="A621" s="242"/>
      <c r="B621" s="524"/>
      <c r="C621" s="524"/>
      <c r="D621" s="242"/>
      <c r="E621" s="242"/>
      <c r="F621" s="242"/>
      <c r="G621" s="13"/>
      <c r="H621" s="525"/>
      <c r="I621" s="242"/>
      <c r="J621" s="242"/>
      <c r="K621" s="242"/>
      <c r="L621" s="13"/>
      <c r="M621" s="13"/>
      <c r="N621" s="242"/>
      <c r="O621" s="242"/>
      <c r="P621" s="242"/>
      <c r="Q621" s="242"/>
      <c r="R621" s="242"/>
      <c r="S621" s="242"/>
      <c r="T621" s="242"/>
      <c r="U621" s="242"/>
      <c r="V621" s="242"/>
      <c r="W621" s="242"/>
      <c r="X621" s="242"/>
      <c r="Y621" s="242"/>
      <c r="Z621" s="242"/>
    </row>
    <row r="622">
      <c r="A622" s="242"/>
      <c r="B622" s="524"/>
      <c r="C622" s="524"/>
      <c r="D622" s="242"/>
      <c r="E622" s="242"/>
      <c r="F622" s="242"/>
      <c r="G622" s="13"/>
      <c r="H622" s="525"/>
      <c r="I622" s="242"/>
      <c r="J622" s="242"/>
      <c r="K622" s="242"/>
      <c r="L622" s="13"/>
      <c r="M622" s="13"/>
      <c r="N622" s="242"/>
      <c r="O622" s="242"/>
      <c r="P622" s="242"/>
      <c r="Q622" s="242"/>
      <c r="R622" s="242"/>
      <c r="S622" s="242"/>
      <c r="T622" s="242"/>
      <c r="U622" s="242"/>
      <c r="V622" s="242"/>
      <c r="W622" s="242"/>
      <c r="X622" s="242"/>
      <c r="Y622" s="242"/>
      <c r="Z622" s="242"/>
    </row>
    <row r="623">
      <c r="A623" s="242"/>
      <c r="B623" s="524"/>
      <c r="C623" s="524"/>
      <c r="D623" s="242"/>
      <c r="E623" s="242"/>
      <c r="F623" s="242"/>
      <c r="G623" s="13"/>
      <c r="H623" s="525"/>
      <c r="I623" s="242"/>
      <c r="J623" s="242"/>
      <c r="K623" s="242"/>
      <c r="L623" s="13"/>
      <c r="M623" s="13"/>
      <c r="N623" s="242"/>
      <c r="O623" s="242"/>
      <c r="P623" s="242"/>
      <c r="Q623" s="242"/>
      <c r="R623" s="242"/>
      <c r="S623" s="242"/>
      <c r="T623" s="242"/>
      <c r="U623" s="242"/>
      <c r="V623" s="242"/>
      <c r="W623" s="242"/>
      <c r="X623" s="242"/>
      <c r="Y623" s="242"/>
      <c r="Z623" s="242"/>
    </row>
    <row r="624">
      <c r="A624" s="242"/>
      <c r="B624" s="524"/>
      <c r="C624" s="524"/>
      <c r="D624" s="242"/>
      <c r="E624" s="242"/>
      <c r="F624" s="242"/>
      <c r="G624" s="13"/>
      <c r="H624" s="525"/>
      <c r="I624" s="242"/>
      <c r="J624" s="242"/>
      <c r="K624" s="242"/>
      <c r="L624" s="13"/>
      <c r="M624" s="13"/>
      <c r="N624" s="242"/>
      <c r="O624" s="242"/>
      <c r="P624" s="242"/>
      <c r="Q624" s="242"/>
      <c r="R624" s="242"/>
      <c r="S624" s="242"/>
      <c r="T624" s="242"/>
      <c r="U624" s="242"/>
      <c r="V624" s="242"/>
      <c r="W624" s="242"/>
      <c r="X624" s="242"/>
      <c r="Y624" s="242"/>
      <c r="Z624" s="242"/>
    </row>
    <row r="625">
      <c r="A625" s="242"/>
      <c r="B625" s="524"/>
      <c r="C625" s="524"/>
      <c r="D625" s="242"/>
      <c r="E625" s="242"/>
      <c r="F625" s="242"/>
      <c r="G625" s="13"/>
      <c r="H625" s="525"/>
      <c r="I625" s="242"/>
      <c r="J625" s="242"/>
      <c r="K625" s="242"/>
      <c r="L625" s="13"/>
      <c r="M625" s="13"/>
      <c r="N625" s="242"/>
      <c r="O625" s="242"/>
      <c r="P625" s="242"/>
      <c r="Q625" s="242"/>
      <c r="R625" s="242"/>
      <c r="S625" s="242"/>
      <c r="T625" s="242"/>
      <c r="U625" s="242"/>
      <c r="V625" s="242"/>
      <c r="W625" s="242"/>
      <c r="X625" s="242"/>
      <c r="Y625" s="242"/>
      <c r="Z625" s="242"/>
    </row>
    <row r="626">
      <c r="A626" s="242"/>
      <c r="B626" s="524"/>
      <c r="C626" s="524"/>
      <c r="D626" s="242"/>
      <c r="E626" s="242"/>
      <c r="F626" s="242"/>
      <c r="G626" s="13"/>
      <c r="H626" s="525"/>
      <c r="I626" s="242"/>
      <c r="J626" s="242"/>
      <c r="K626" s="242"/>
      <c r="L626" s="13"/>
      <c r="M626" s="13"/>
      <c r="N626" s="242"/>
      <c r="O626" s="242"/>
      <c r="P626" s="242"/>
      <c r="Q626" s="242"/>
      <c r="R626" s="242"/>
      <c r="S626" s="242"/>
      <c r="T626" s="242"/>
      <c r="U626" s="242"/>
      <c r="V626" s="242"/>
      <c r="W626" s="242"/>
      <c r="X626" s="242"/>
      <c r="Y626" s="242"/>
      <c r="Z626" s="242"/>
    </row>
    <row r="627">
      <c r="A627" s="242"/>
      <c r="B627" s="524"/>
      <c r="C627" s="524"/>
      <c r="D627" s="242"/>
      <c r="E627" s="242"/>
      <c r="F627" s="242"/>
      <c r="G627" s="13"/>
      <c r="H627" s="525"/>
      <c r="I627" s="242"/>
      <c r="J627" s="242"/>
      <c r="K627" s="242"/>
      <c r="L627" s="13"/>
      <c r="M627" s="13"/>
      <c r="N627" s="242"/>
      <c r="O627" s="242"/>
      <c r="P627" s="242"/>
      <c r="Q627" s="242"/>
      <c r="R627" s="242"/>
      <c r="S627" s="242"/>
      <c r="T627" s="242"/>
      <c r="U627" s="242"/>
      <c r="V627" s="242"/>
      <c r="W627" s="242"/>
      <c r="X627" s="242"/>
      <c r="Y627" s="242"/>
      <c r="Z627" s="242"/>
    </row>
    <row r="628">
      <c r="A628" s="242"/>
      <c r="B628" s="524"/>
      <c r="C628" s="524"/>
      <c r="D628" s="242"/>
      <c r="E628" s="242"/>
      <c r="F628" s="242"/>
      <c r="G628" s="13"/>
      <c r="H628" s="525"/>
      <c r="I628" s="242"/>
      <c r="J628" s="242"/>
      <c r="K628" s="242"/>
      <c r="L628" s="13"/>
      <c r="M628" s="13"/>
      <c r="N628" s="242"/>
      <c r="O628" s="242"/>
      <c r="P628" s="242"/>
      <c r="Q628" s="242"/>
      <c r="R628" s="242"/>
      <c r="S628" s="242"/>
      <c r="T628" s="242"/>
      <c r="U628" s="242"/>
      <c r="V628" s="242"/>
      <c r="W628" s="242"/>
      <c r="X628" s="242"/>
      <c r="Y628" s="242"/>
      <c r="Z628" s="242"/>
    </row>
    <row r="629">
      <c r="A629" s="242"/>
      <c r="B629" s="524"/>
      <c r="C629" s="524"/>
      <c r="D629" s="242"/>
      <c r="E629" s="242"/>
      <c r="F629" s="242"/>
      <c r="G629" s="13"/>
      <c r="H629" s="525"/>
      <c r="I629" s="242"/>
      <c r="J629" s="242"/>
      <c r="K629" s="242"/>
      <c r="L629" s="13"/>
      <c r="M629" s="13"/>
      <c r="N629" s="242"/>
      <c r="O629" s="242"/>
      <c r="P629" s="242"/>
      <c r="Q629" s="242"/>
      <c r="R629" s="242"/>
      <c r="S629" s="242"/>
      <c r="T629" s="242"/>
      <c r="U629" s="242"/>
      <c r="V629" s="242"/>
      <c r="W629" s="242"/>
      <c r="X629" s="242"/>
      <c r="Y629" s="242"/>
      <c r="Z629" s="242"/>
    </row>
    <row r="630">
      <c r="A630" s="242"/>
      <c r="B630" s="524"/>
      <c r="C630" s="524"/>
      <c r="D630" s="242"/>
      <c r="E630" s="242"/>
      <c r="F630" s="242"/>
      <c r="G630" s="13"/>
      <c r="H630" s="525"/>
      <c r="I630" s="242"/>
      <c r="J630" s="242"/>
      <c r="K630" s="242"/>
      <c r="L630" s="13"/>
      <c r="M630" s="13"/>
      <c r="N630" s="242"/>
      <c r="O630" s="242"/>
      <c r="P630" s="242"/>
      <c r="Q630" s="242"/>
      <c r="R630" s="242"/>
      <c r="S630" s="242"/>
      <c r="T630" s="242"/>
      <c r="U630" s="242"/>
      <c r="V630" s="242"/>
      <c r="W630" s="242"/>
      <c r="X630" s="242"/>
      <c r="Y630" s="242"/>
      <c r="Z630" s="242"/>
    </row>
    <row r="631">
      <c r="A631" s="242"/>
      <c r="B631" s="524"/>
      <c r="C631" s="524"/>
      <c r="D631" s="242"/>
      <c r="E631" s="242"/>
      <c r="F631" s="242"/>
      <c r="G631" s="13"/>
      <c r="H631" s="525"/>
      <c r="I631" s="242"/>
      <c r="J631" s="242"/>
      <c r="K631" s="242"/>
      <c r="L631" s="13"/>
      <c r="M631" s="13"/>
      <c r="N631" s="242"/>
      <c r="O631" s="242"/>
      <c r="P631" s="242"/>
      <c r="Q631" s="242"/>
      <c r="R631" s="242"/>
      <c r="S631" s="242"/>
      <c r="T631" s="242"/>
      <c r="U631" s="242"/>
      <c r="V631" s="242"/>
      <c r="W631" s="242"/>
      <c r="X631" s="242"/>
      <c r="Y631" s="242"/>
      <c r="Z631" s="242"/>
    </row>
    <row r="632">
      <c r="A632" s="242"/>
      <c r="B632" s="524"/>
      <c r="C632" s="524"/>
      <c r="D632" s="242"/>
      <c r="E632" s="242"/>
      <c r="F632" s="242"/>
      <c r="G632" s="13"/>
      <c r="H632" s="525"/>
      <c r="I632" s="242"/>
      <c r="J632" s="242"/>
      <c r="K632" s="242"/>
      <c r="L632" s="13"/>
      <c r="M632" s="13"/>
      <c r="N632" s="242"/>
      <c r="O632" s="242"/>
      <c r="P632" s="242"/>
      <c r="Q632" s="242"/>
      <c r="R632" s="242"/>
      <c r="S632" s="242"/>
      <c r="T632" s="242"/>
      <c r="U632" s="242"/>
      <c r="V632" s="242"/>
      <c r="W632" s="242"/>
      <c r="X632" s="242"/>
      <c r="Y632" s="242"/>
      <c r="Z632" s="242"/>
    </row>
    <row r="633">
      <c r="A633" s="242"/>
      <c r="B633" s="524"/>
      <c r="C633" s="524"/>
      <c r="D633" s="242"/>
      <c r="E633" s="242"/>
      <c r="F633" s="242"/>
      <c r="G633" s="13"/>
      <c r="H633" s="525"/>
      <c r="I633" s="242"/>
      <c r="J633" s="242"/>
      <c r="K633" s="242"/>
      <c r="L633" s="13"/>
      <c r="M633" s="13"/>
      <c r="N633" s="242"/>
      <c r="O633" s="242"/>
      <c r="P633" s="242"/>
      <c r="Q633" s="242"/>
      <c r="R633" s="242"/>
      <c r="S633" s="242"/>
      <c r="T633" s="242"/>
      <c r="U633" s="242"/>
      <c r="V633" s="242"/>
      <c r="W633" s="242"/>
      <c r="X633" s="242"/>
      <c r="Y633" s="242"/>
      <c r="Z633" s="242"/>
    </row>
    <row r="634">
      <c r="A634" s="242"/>
      <c r="B634" s="524"/>
      <c r="C634" s="524"/>
      <c r="D634" s="242"/>
      <c r="E634" s="242"/>
      <c r="F634" s="242"/>
      <c r="G634" s="13"/>
      <c r="H634" s="525"/>
      <c r="I634" s="242"/>
      <c r="J634" s="242"/>
      <c r="K634" s="242"/>
      <c r="L634" s="13"/>
      <c r="M634" s="13"/>
      <c r="N634" s="242"/>
      <c r="O634" s="242"/>
      <c r="P634" s="242"/>
      <c r="Q634" s="242"/>
      <c r="R634" s="242"/>
      <c r="S634" s="242"/>
      <c r="T634" s="242"/>
      <c r="U634" s="242"/>
      <c r="V634" s="242"/>
      <c r="W634" s="242"/>
      <c r="X634" s="242"/>
      <c r="Y634" s="242"/>
      <c r="Z634" s="242"/>
    </row>
    <row r="635">
      <c r="A635" s="242"/>
      <c r="B635" s="524"/>
      <c r="C635" s="524"/>
      <c r="D635" s="242"/>
      <c r="E635" s="242"/>
      <c r="F635" s="242"/>
      <c r="G635" s="13"/>
      <c r="H635" s="525"/>
      <c r="I635" s="242"/>
      <c r="J635" s="242"/>
      <c r="K635" s="242"/>
      <c r="L635" s="13"/>
      <c r="M635" s="13"/>
      <c r="N635" s="242"/>
      <c r="O635" s="242"/>
      <c r="P635" s="242"/>
      <c r="Q635" s="242"/>
      <c r="R635" s="242"/>
      <c r="S635" s="242"/>
      <c r="T635" s="242"/>
      <c r="U635" s="242"/>
      <c r="V635" s="242"/>
      <c r="W635" s="242"/>
      <c r="X635" s="242"/>
      <c r="Y635" s="242"/>
      <c r="Z635" s="242"/>
    </row>
    <row r="636">
      <c r="A636" s="242"/>
      <c r="B636" s="524"/>
      <c r="C636" s="524"/>
      <c r="D636" s="242"/>
      <c r="E636" s="242"/>
      <c r="F636" s="242"/>
      <c r="G636" s="13"/>
      <c r="H636" s="525"/>
      <c r="I636" s="242"/>
      <c r="J636" s="242"/>
      <c r="K636" s="242"/>
      <c r="L636" s="13"/>
      <c r="M636" s="13"/>
      <c r="N636" s="242"/>
      <c r="O636" s="242"/>
      <c r="P636" s="242"/>
      <c r="Q636" s="242"/>
      <c r="R636" s="242"/>
      <c r="S636" s="242"/>
      <c r="T636" s="242"/>
      <c r="U636" s="242"/>
      <c r="V636" s="242"/>
      <c r="W636" s="242"/>
      <c r="X636" s="242"/>
      <c r="Y636" s="242"/>
      <c r="Z636" s="242"/>
    </row>
    <row r="637">
      <c r="A637" s="242"/>
      <c r="B637" s="524"/>
      <c r="C637" s="524"/>
      <c r="D637" s="242"/>
      <c r="E637" s="242"/>
      <c r="F637" s="242"/>
      <c r="G637" s="13"/>
      <c r="H637" s="525"/>
      <c r="I637" s="242"/>
      <c r="J637" s="242"/>
      <c r="K637" s="242"/>
      <c r="L637" s="13"/>
      <c r="M637" s="13"/>
      <c r="N637" s="242"/>
      <c r="O637" s="242"/>
      <c r="P637" s="242"/>
      <c r="Q637" s="242"/>
      <c r="R637" s="242"/>
      <c r="S637" s="242"/>
      <c r="T637" s="242"/>
      <c r="U637" s="242"/>
      <c r="V637" s="242"/>
      <c r="W637" s="242"/>
      <c r="X637" s="242"/>
      <c r="Y637" s="242"/>
      <c r="Z637" s="242"/>
    </row>
    <row r="638">
      <c r="A638" s="242"/>
      <c r="B638" s="524"/>
      <c r="C638" s="524"/>
      <c r="D638" s="242"/>
      <c r="E638" s="242"/>
      <c r="F638" s="242"/>
      <c r="G638" s="13"/>
      <c r="H638" s="525"/>
      <c r="I638" s="242"/>
      <c r="J638" s="242"/>
      <c r="K638" s="242"/>
      <c r="L638" s="13"/>
      <c r="M638" s="13"/>
      <c r="N638" s="242"/>
      <c r="O638" s="242"/>
      <c r="P638" s="242"/>
      <c r="Q638" s="242"/>
      <c r="R638" s="242"/>
      <c r="S638" s="242"/>
      <c r="T638" s="242"/>
      <c r="U638" s="242"/>
      <c r="V638" s="242"/>
      <c r="W638" s="242"/>
      <c r="X638" s="242"/>
      <c r="Y638" s="242"/>
      <c r="Z638" s="242"/>
    </row>
    <row r="639">
      <c r="A639" s="242"/>
      <c r="B639" s="524"/>
      <c r="C639" s="524"/>
      <c r="D639" s="242"/>
      <c r="E639" s="242"/>
      <c r="F639" s="242"/>
      <c r="G639" s="13"/>
      <c r="H639" s="525"/>
      <c r="I639" s="242"/>
      <c r="J639" s="242"/>
      <c r="K639" s="242"/>
      <c r="L639" s="13"/>
      <c r="M639" s="13"/>
      <c r="N639" s="242"/>
      <c r="O639" s="242"/>
      <c r="P639" s="242"/>
      <c r="Q639" s="242"/>
      <c r="R639" s="242"/>
      <c r="S639" s="242"/>
      <c r="T639" s="242"/>
      <c r="U639" s="242"/>
      <c r="V639" s="242"/>
      <c r="W639" s="242"/>
      <c r="X639" s="242"/>
      <c r="Y639" s="242"/>
      <c r="Z639" s="242"/>
    </row>
    <row r="640">
      <c r="A640" s="242"/>
      <c r="B640" s="524"/>
      <c r="C640" s="524"/>
      <c r="D640" s="242"/>
      <c r="E640" s="242"/>
      <c r="F640" s="242"/>
      <c r="G640" s="13"/>
      <c r="H640" s="525"/>
      <c r="I640" s="242"/>
      <c r="J640" s="242"/>
      <c r="K640" s="242"/>
      <c r="L640" s="13"/>
      <c r="M640" s="13"/>
      <c r="N640" s="242"/>
      <c r="O640" s="242"/>
      <c r="P640" s="242"/>
      <c r="Q640" s="242"/>
      <c r="R640" s="242"/>
      <c r="S640" s="242"/>
      <c r="T640" s="242"/>
      <c r="U640" s="242"/>
      <c r="V640" s="242"/>
      <c r="W640" s="242"/>
      <c r="X640" s="242"/>
      <c r="Y640" s="242"/>
      <c r="Z640" s="242"/>
    </row>
    <row r="641">
      <c r="A641" s="242"/>
      <c r="B641" s="524"/>
      <c r="C641" s="524"/>
      <c r="D641" s="242"/>
      <c r="E641" s="242"/>
      <c r="F641" s="242"/>
      <c r="G641" s="13"/>
      <c r="H641" s="525"/>
      <c r="I641" s="242"/>
      <c r="J641" s="242"/>
      <c r="K641" s="242"/>
      <c r="L641" s="13"/>
      <c r="M641" s="13"/>
      <c r="N641" s="242"/>
      <c r="O641" s="242"/>
      <c r="P641" s="242"/>
      <c r="Q641" s="242"/>
      <c r="R641" s="242"/>
      <c r="S641" s="242"/>
      <c r="T641" s="242"/>
      <c r="U641" s="242"/>
      <c r="V641" s="242"/>
      <c r="W641" s="242"/>
      <c r="X641" s="242"/>
      <c r="Y641" s="242"/>
      <c r="Z641" s="242"/>
    </row>
    <row r="642">
      <c r="A642" s="242"/>
      <c r="B642" s="524"/>
      <c r="C642" s="524"/>
      <c r="D642" s="242"/>
      <c r="E642" s="242"/>
      <c r="F642" s="242"/>
      <c r="G642" s="13"/>
      <c r="H642" s="525"/>
      <c r="I642" s="242"/>
      <c r="J642" s="242"/>
      <c r="K642" s="242"/>
      <c r="L642" s="13"/>
      <c r="M642" s="13"/>
      <c r="N642" s="242"/>
      <c r="O642" s="242"/>
      <c r="P642" s="242"/>
      <c r="Q642" s="242"/>
      <c r="R642" s="242"/>
      <c r="S642" s="242"/>
      <c r="T642" s="242"/>
      <c r="U642" s="242"/>
      <c r="V642" s="242"/>
      <c r="W642" s="242"/>
      <c r="X642" s="242"/>
      <c r="Y642" s="242"/>
      <c r="Z642" s="242"/>
    </row>
    <row r="643">
      <c r="A643" s="242"/>
      <c r="B643" s="524"/>
      <c r="C643" s="524"/>
      <c r="D643" s="242"/>
      <c r="E643" s="242"/>
      <c r="F643" s="242"/>
      <c r="G643" s="13"/>
      <c r="H643" s="525"/>
      <c r="I643" s="242"/>
      <c r="J643" s="242"/>
      <c r="K643" s="242"/>
      <c r="L643" s="13"/>
      <c r="M643" s="13"/>
      <c r="N643" s="242"/>
      <c r="O643" s="242"/>
      <c r="P643" s="242"/>
      <c r="Q643" s="242"/>
      <c r="R643" s="242"/>
      <c r="S643" s="242"/>
      <c r="T643" s="242"/>
      <c r="U643" s="242"/>
      <c r="V643" s="242"/>
      <c r="W643" s="242"/>
      <c r="X643" s="242"/>
      <c r="Y643" s="242"/>
      <c r="Z643" s="242"/>
    </row>
    <row r="644">
      <c r="A644" s="242"/>
      <c r="B644" s="524"/>
      <c r="C644" s="524"/>
      <c r="D644" s="242"/>
      <c r="E644" s="242"/>
      <c r="F644" s="242"/>
      <c r="G644" s="13"/>
      <c r="H644" s="525"/>
      <c r="I644" s="242"/>
      <c r="J644" s="242"/>
      <c r="K644" s="242"/>
      <c r="L644" s="13"/>
      <c r="M644" s="13"/>
      <c r="N644" s="242"/>
      <c r="O644" s="242"/>
      <c r="P644" s="242"/>
      <c r="Q644" s="242"/>
      <c r="R644" s="242"/>
      <c r="S644" s="242"/>
      <c r="T644" s="242"/>
      <c r="U644" s="242"/>
      <c r="V644" s="242"/>
      <c r="W644" s="242"/>
      <c r="X644" s="242"/>
      <c r="Y644" s="242"/>
      <c r="Z644" s="242"/>
    </row>
    <row r="645">
      <c r="A645" s="242"/>
      <c r="B645" s="524"/>
      <c r="C645" s="524"/>
      <c r="D645" s="242"/>
      <c r="E645" s="242"/>
      <c r="F645" s="242"/>
      <c r="G645" s="13"/>
      <c r="H645" s="525"/>
      <c r="I645" s="242"/>
      <c r="J645" s="242"/>
      <c r="K645" s="242"/>
      <c r="L645" s="13"/>
      <c r="M645" s="13"/>
      <c r="N645" s="242"/>
      <c r="O645" s="242"/>
      <c r="P645" s="242"/>
      <c r="Q645" s="242"/>
      <c r="R645" s="242"/>
      <c r="S645" s="242"/>
      <c r="T645" s="242"/>
      <c r="U645" s="242"/>
      <c r="V645" s="242"/>
      <c r="W645" s="242"/>
      <c r="X645" s="242"/>
      <c r="Y645" s="242"/>
      <c r="Z645" s="242"/>
    </row>
    <row r="646">
      <c r="A646" s="242"/>
      <c r="B646" s="524"/>
      <c r="C646" s="524"/>
      <c r="D646" s="242"/>
      <c r="E646" s="242"/>
      <c r="F646" s="242"/>
      <c r="G646" s="13"/>
      <c r="H646" s="525"/>
      <c r="I646" s="242"/>
      <c r="J646" s="242"/>
      <c r="K646" s="242"/>
      <c r="L646" s="13"/>
      <c r="M646" s="13"/>
      <c r="N646" s="242"/>
      <c r="O646" s="242"/>
      <c r="P646" s="242"/>
      <c r="Q646" s="242"/>
      <c r="R646" s="242"/>
      <c r="S646" s="242"/>
      <c r="T646" s="242"/>
      <c r="U646" s="242"/>
      <c r="V646" s="242"/>
      <c r="W646" s="242"/>
      <c r="X646" s="242"/>
      <c r="Y646" s="242"/>
      <c r="Z646" s="242"/>
    </row>
    <row r="647">
      <c r="A647" s="242"/>
      <c r="B647" s="524"/>
      <c r="C647" s="524"/>
      <c r="D647" s="242"/>
      <c r="E647" s="242"/>
      <c r="F647" s="242"/>
      <c r="G647" s="13"/>
      <c r="H647" s="525"/>
      <c r="I647" s="242"/>
      <c r="J647" s="242"/>
      <c r="K647" s="242"/>
      <c r="L647" s="13"/>
      <c r="M647" s="13"/>
      <c r="N647" s="242"/>
      <c r="O647" s="242"/>
      <c r="P647" s="242"/>
      <c r="Q647" s="242"/>
      <c r="R647" s="242"/>
      <c r="S647" s="242"/>
      <c r="T647" s="242"/>
      <c r="U647" s="242"/>
      <c r="V647" s="242"/>
      <c r="W647" s="242"/>
      <c r="X647" s="242"/>
      <c r="Y647" s="242"/>
      <c r="Z647" s="242"/>
    </row>
    <row r="648">
      <c r="A648" s="242"/>
      <c r="B648" s="524"/>
      <c r="C648" s="524"/>
      <c r="D648" s="242"/>
      <c r="E648" s="242"/>
      <c r="F648" s="242"/>
      <c r="G648" s="13"/>
      <c r="H648" s="525"/>
      <c r="I648" s="242"/>
      <c r="J648" s="242"/>
      <c r="K648" s="242"/>
      <c r="L648" s="13"/>
      <c r="M648" s="13"/>
      <c r="N648" s="242"/>
      <c r="O648" s="242"/>
      <c r="P648" s="242"/>
      <c r="Q648" s="242"/>
      <c r="R648" s="242"/>
      <c r="S648" s="242"/>
      <c r="T648" s="242"/>
      <c r="U648" s="242"/>
      <c r="V648" s="242"/>
      <c r="W648" s="242"/>
      <c r="X648" s="242"/>
      <c r="Y648" s="242"/>
      <c r="Z648" s="242"/>
    </row>
    <row r="649">
      <c r="A649" s="242"/>
      <c r="B649" s="524"/>
      <c r="C649" s="524"/>
      <c r="D649" s="242"/>
      <c r="E649" s="242"/>
      <c r="F649" s="242"/>
      <c r="G649" s="13"/>
      <c r="H649" s="525"/>
      <c r="I649" s="242"/>
      <c r="J649" s="242"/>
      <c r="K649" s="242"/>
      <c r="L649" s="13"/>
      <c r="M649" s="13"/>
      <c r="N649" s="242"/>
      <c r="O649" s="242"/>
      <c r="P649" s="242"/>
      <c r="Q649" s="242"/>
      <c r="R649" s="242"/>
      <c r="S649" s="242"/>
      <c r="T649" s="242"/>
      <c r="U649" s="242"/>
      <c r="V649" s="242"/>
      <c r="W649" s="242"/>
      <c r="X649" s="242"/>
      <c r="Y649" s="242"/>
      <c r="Z649" s="242"/>
    </row>
    <row r="650">
      <c r="A650" s="242"/>
      <c r="B650" s="524"/>
      <c r="C650" s="524"/>
      <c r="D650" s="242"/>
      <c r="E650" s="242"/>
      <c r="F650" s="242"/>
      <c r="G650" s="13"/>
      <c r="H650" s="525"/>
      <c r="I650" s="242"/>
      <c r="J650" s="242"/>
      <c r="K650" s="242"/>
      <c r="L650" s="13"/>
      <c r="M650" s="13"/>
      <c r="N650" s="242"/>
      <c r="O650" s="242"/>
      <c r="P650" s="242"/>
      <c r="Q650" s="242"/>
      <c r="R650" s="242"/>
      <c r="S650" s="242"/>
      <c r="T650" s="242"/>
      <c r="U650" s="242"/>
      <c r="V650" s="242"/>
      <c r="W650" s="242"/>
      <c r="X650" s="242"/>
      <c r="Y650" s="242"/>
      <c r="Z650" s="242"/>
    </row>
    <row r="651">
      <c r="A651" s="242"/>
      <c r="B651" s="524"/>
      <c r="C651" s="524"/>
      <c r="D651" s="242"/>
      <c r="E651" s="242"/>
      <c r="F651" s="242"/>
      <c r="G651" s="13"/>
      <c r="H651" s="525"/>
      <c r="I651" s="242"/>
      <c r="J651" s="242"/>
      <c r="K651" s="242"/>
      <c r="L651" s="13"/>
      <c r="M651" s="13"/>
      <c r="N651" s="242"/>
      <c r="O651" s="242"/>
      <c r="P651" s="242"/>
      <c r="Q651" s="242"/>
      <c r="R651" s="242"/>
      <c r="S651" s="242"/>
      <c r="T651" s="242"/>
      <c r="U651" s="242"/>
      <c r="V651" s="242"/>
      <c r="W651" s="242"/>
      <c r="X651" s="242"/>
      <c r="Y651" s="242"/>
      <c r="Z651" s="242"/>
    </row>
    <row r="652">
      <c r="A652" s="242"/>
      <c r="B652" s="524"/>
      <c r="C652" s="524"/>
      <c r="D652" s="242"/>
      <c r="E652" s="242"/>
      <c r="F652" s="242"/>
      <c r="G652" s="13"/>
      <c r="H652" s="525"/>
      <c r="I652" s="242"/>
      <c r="J652" s="242"/>
      <c r="K652" s="242"/>
      <c r="L652" s="13"/>
      <c r="M652" s="13"/>
      <c r="N652" s="242"/>
      <c r="O652" s="242"/>
      <c r="P652" s="242"/>
      <c r="Q652" s="242"/>
      <c r="R652" s="242"/>
      <c r="S652" s="242"/>
      <c r="T652" s="242"/>
      <c r="U652" s="242"/>
      <c r="V652" s="242"/>
      <c r="W652" s="242"/>
      <c r="X652" s="242"/>
      <c r="Y652" s="242"/>
      <c r="Z652" s="242"/>
    </row>
    <row r="653">
      <c r="A653" s="242"/>
      <c r="B653" s="524"/>
      <c r="C653" s="524"/>
      <c r="D653" s="242"/>
      <c r="E653" s="242"/>
      <c r="F653" s="242"/>
      <c r="G653" s="13"/>
      <c r="H653" s="525"/>
      <c r="I653" s="242"/>
      <c r="J653" s="242"/>
      <c r="K653" s="242"/>
      <c r="L653" s="13"/>
      <c r="M653" s="13"/>
      <c r="N653" s="242"/>
      <c r="O653" s="242"/>
      <c r="P653" s="242"/>
      <c r="Q653" s="242"/>
      <c r="R653" s="242"/>
      <c r="S653" s="242"/>
      <c r="T653" s="242"/>
      <c r="U653" s="242"/>
      <c r="V653" s="242"/>
      <c r="W653" s="242"/>
      <c r="X653" s="242"/>
      <c r="Y653" s="242"/>
      <c r="Z653" s="242"/>
    </row>
    <row r="654">
      <c r="A654" s="242"/>
      <c r="B654" s="524"/>
      <c r="C654" s="524"/>
      <c r="D654" s="242"/>
      <c r="E654" s="242"/>
      <c r="F654" s="242"/>
      <c r="G654" s="13"/>
      <c r="H654" s="525"/>
      <c r="I654" s="242"/>
      <c r="J654" s="242"/>
      <c r="K654" s="242"/>
      <c r="L654" s="13"/>
      <c r="M654" s="13"/>
      <c r="N654" s="242"/>
      <c r="O654" s="242"/>
      <c r="P654" s="242"/>
      <c r="Q654" s="242"/>
      <c r="R654" s="242"/>
      <c r="S654" s="242"/>
      <c r="T654" s="242"/>
      <c r="U654" s="242"/>
      <c r="V654" s="242"/>
      <c r="W654" s="242"/>
      <c r="X654" s="242"/>
      <c r="Y654" s="242"/>
      <c r="Z654" s="242"/>
    </row>
    <row r="655">
      <c r="A655" s="242"/>
      <c r="B655" s="524"/>
      <c r="C655" s="524"/>
      <c r="D655" s="242"/>
      <c r="E655" s="242"/>
      <c r="F655" s="242"/>
      <c r="G655" s="13"/>
      <c r="H655" s="525"/>
      <c r="I655" s="242"/>
      <c r="J655" s="242"/>
      <c r="K655" s="242"/>
      <c r="L655" s="13"/>
      <c r="M655" s="13"/>
      <c r="N655" s="242"/>
      <c r="O655" s="242"/>
      <c r="P655" s="242"/>
      <c r="Q655" s="242"/>
      <c r="R655" s="242"/>
      <c r="S655" s="242"/>
      <c r="T655" s="242"/>
      <c r="U655" s="242"/>
      <c r="V655" s="242"/>
      <c r="W655" s="242"/>
      <c r="X655" s="242"/>
      <c r="Y655" s="242"/>
      <c r="Z655" s="242"/>
    </row>
    <row r="656">
      <c r="A656" s="242"/>
      <c r="B656" s="524"/>
      <c r="C656" s="524"/>
      <c r="D656" s="242"/>
      <c r="E656" s="242"/>
      <c r="F656" s="242"/>
      <c r="G656" s="13"/>
      <c r="H656" s="525"/>
      <c r="I656" s="242"/>
      <c r="J656" s="242"/>
      <c r="K656" s="242"/>
      <c r="L656" s="13"/>
      <c r="M656" s="13"/>
      <c r="N656" s="242"/>
      <c r="O656" s="242"/>
      <c r="P656" s="242"/>
      <c r="Q656" s="242"/>
      <c r="R656" s="242"/>
      <c r="S656" s="242"/>
      <c r="T656" s="242"/>
      <c r="U656" s="242"/>
      <c r="V656" s="242"/>
      <c r="W656" s="242"/>
      <c r="X656" s="242"/>
      <c r="Y656" s="242"/>
      <c r="Z656" s="242"/>
    </row>
    <row r="657">
      <c r="A657" s="242"/>
      <c r="B657" s="524"/>
      <c r="C657" s="524"/>
      <c r="D657" s="242"/>
      <c r="E657" s="242"/>
      <c r="F657" s="242"/>
      <c r="G657" s="13"/>
      <c r="H657" s="525"/>
      <c r="I657" s="242"/>
      <c r="J657" s="242"/>
      <c r="K657" s="242"/>
      <c r="L657" s="13"/>
      <c r="M657" s="13"/>
      <c r="N657" s="242"/>
      <c r="O657" s="242"/>
      <c r="P657" s="242"/>
      <c r="Q657" s="242"/>
      <c r="R657" s="242"/>
      <c r="S657" s="242"/>
      <c r="T657" s="242"/>
      <c r="U657" s="242"/>
      <c r="V657" s="242"/>
      <c r="W657" s="242"/>
      <c r="X657" s="242"/>
      <c r="Y657" s="242"/>
      <c r="Z657" s="242"/>
    </row>
    <row r="658">
      <c r="A658" s="242"/>
      <c r="B658" s="524"/>
      <c r="C658" s="524"/>
      <c r="D658" s="242"/>
      <c r="E658" s="242"/>
      <c r="F658" s="242"/>
      <c r="G658" s="13"/>
      <c r="H658" s="525"/>
      <c r="I658" s="242"/>
      <c r="J658" s="242"/>
      <c r="K658" s="242"/>
      <c r="L658" s="13"/>
      <c r="M658" s="13"/>
      <c r="N658" s="242"/>
      <c r="O658" s="242"/>
      <c r="P658" s="242"/>
      <c r="Q658" s="242"/>
      <c r="R658" s="242"/>
      <c r="S658" s="242"/>
      <c r="T658" s="242"/>
      <c r="U658" s="242"/>
      <c r="V658" s="242"/>
      <c r="W658" s="242"/>
      <c r="X658" s="242"/>
      <c r="Y658" s="242"/>
      <c r="Z658" s="242"/>
    </row>
    <row r="659">
      <c r="A659" s="242"/>
      <c r="B659" s="524"/>
      <c r="C659" s="524"/>
      <c r="D659" s="242"/>
      <c r="E659" s="242"/>
      <c r="F659" s="242"/>
      <c r="G659" s="13"/>
      <c r="H659" s="525"/>
      <c r="I659" s="242"/>
      <c r="J659" s="242"/>
      <c r="K659" s="242"/>
      <c r="L659" s="13"/>
      <c r="M659" s="13"/>
      <c r="N659" s="242"/>
      <c r="O659" s="242"/>
      <c r="P659" s="242"/>
      <c r="Q659" s="242"/>
      <c r="R659" s="242"/>
      <c r="S659" s="242"/>
      <c r="T659" s="242"/>
      <c r="U659" s="242"/>
      <c r="V659" s="242"/>
      <c r="W659" s="242"/>
      <c r="X659" s="242"/>
      <c r="Y659" s="242"/>
      <c r="Z659" s="242"/>
    </row>
    <row r="660">
      <c r="A660" s="242"/>
      <c r="B660" s="524"/>
      <c r="C660" s="524"/>
      <c r="D660" s="242"/>
      <c r="E660" s="242"/>
      <c r="F660" s="242"/>
      <c r="G660" s="13"/>
      <c r="H660" s="525"/>
      <c r="I660" s="242"/>
      <c r="J660" s="242"/>
      <c r="K660" s="242"/>
      <c r="L660" s="13"/>
      <c r="M660" s="13"/>
      <c r="N660" s="242"/>
      <c r="O660" s="242"/>
      <c r="P660" s="242"/>
      <c r="Q660" s="242"/>
      <c r="R660" s="242"/>
      <c r="S660" s="242"/>
      <c r="T660" s="242"/>
      <c r="U660" s="242"/>
      <c r="V660" s="242"/>
      <c r="W660" s="242"/>
      <c r="X660" s="242"/>
      <c r="Y660" s="242"/>
      <c r="Z660" s="242"/>
    </row>
    <row r="661">
      <c r="A661" s="242"/>
      <c r="B661" s="524"/>
      <c r="C661" s="524"/>
      <c r="D661" s="242"/>
      <c r="E661" s="242"/>
      <c r="F661" s="242"/>
      <c r="G661" s="13"/>
      <c r="H661" s="525"/>
      <c r="I661" s="242"/>
      <c r="J661" s="242"/>
      <c r="K661" s="242"/>
      <c r="L661" s="13"/>
      <c r="M661" s="13"/>
      <c r="N661" s="242"/>
      <c r="O661" s="242"/>
      <c r="P661" s="242"/>
      <c r="Q661" s="242"/>
      <c r="R661" s="242"/>
      <c r="S661" s="242"/>
      <c r="T661" s="242"/>
      <c r="U661" s="242"/>
      <c r="V661" s="242"/>
      <c r="W661" s="242"/>
      <c r="X661" s="242"/>
      <c r="Y661" s="242"/>
      <c r="Z661" s="242"/>
    </row>
    <row r="662">
      <c r="A662" s="242"/>
      <c r="B662" s="524"/>
      <c r="C662" s="524"/>
      <c r="D662" s="242"/>
      <c r="E662" s="242"/>
      <c r="F662" s="242"/>
      <c r="G662" s="13"/>
      <c r="H662" s="525"/>
      <c r="I662" s="242"/>
      <c r="J662" s="242"/>
      <c r="K662" s="242"/>
      <c r="L662" s="13"/>
      <c r="M662" s="13"/>
      <c r="N662" s="242"/>
      <c r="O662" s="242"/>
      <c r="P662" s="242"/>
      <c r="Q662" s="242"/>
      <c r="R662" s="242"/>
      <c r="S662" s="242"/>
      <c r="T662" s="242"/>
      <c r="U662" s="242"/>
      <c r="V662" s="242"/>
      <c r="W662" s="242"/>
      <c r="X662" s="242"/>
      <c r="Y662" s="242"/>
      <c r="Z662" s="242"/>
    </row>
    <row r="663">
      <c r="A663" s="242"/>
      <c r="B663" s="524"/>
      <c r="C663" s="524"/>
      <c r="D663" s="242"/>
      <c r="E663" s="242"/>
      <c r="F663" s="242"/>
      <c r="G663" s="13"/>
      <c r="H663" s="525"/>
      <c r="I663" s="242"/>
      <c r="J663" s="242"/>
      <c r="K663" s="242"/>
      <c r="L663" s="13"/>
      <c r="M663" s="13"/>
      <c r="N663" s="242"/>
      <c r="O663" s="242"/>
      <c r="P663" s="242"/>
      <c r="Q663" s="242"/>
      <c r="R663" s="242"/>
      <c r="S663" s="242"/>
      <c r="T663" s="242"/>
      <c r="U663" s="242"/>
      <c r="V663" s="242"/>
      <c r="W663" s="242"/>
      <c r="X663" s="242"/>
      <c r="Y663" s="242"/>
      <c r="Z663" s="242"/>
    </row>
    <row r="664">
      <c r="A664" s="242"/>
      <c r="B664" s="524"/>
      <c r="C664" s="524"/>
      <c r="D664" s="242"/>
      <c r="E664" s="242"/>
      <c r="F664" s="242"/>
      <c r="G664" s="13"/>
      <c r="H664" s="525"/>
      <c r="I664" s="242"/>
      <c r="J664" s="242"/>
      <c r="K664" s="242"/>
      <c r="L664" s="13"/>
      <c r="M664" s="13"/>
      <c r="N664" s="242"/>
      <c r="O664" s="242"/>
      <c r="P664" s="242"/>
      <c r="Q664" s="242"/>
      <c r="R664" s="242"/>
      <c r="S664" s="242"/>
      <c r="T664" s="242"/>
      <c r="U664" s="242"/>
      <c r="V664" s="242"/>
      <c r="W664" s="242"/>
      <c r="X664" s="242"/>
      <c r="Y664" s="242"/>
      <c r="Z664" s="242"/>
    </row>
    <row r="665">
      <c r="A665" s="242"/>
      <c r="B665" s="524"/>
      <c r="C665" s="524"/>
      <c r="D665" s="242"/>
      <c r="E665" s="242"/>
      <c r="F665" s="242"/>
      <c r="G665" s="13"/>
      <c r="H665" s="525"/>
      <c r="I665" s="242"/>
      <c r="J665" s="242"/>
      <c r="K665" s="242"/>
      <c r="L665" s="13"/>
      <c r="M665" s="13"/>
      <c r="N665" s="242"/>
      <c r="O665" s="242"/>
      <c r="P665" s="242"/>
      <c r="Q665" s="242"/>
      <c r="R665" s="242"/>
      <c r="S665" s="242"/>
      <c r="T665" s="242"/>
      <c r="U665" s="242"/>
      <c r="V665" s="242"/>
      <c r="W665" s="242"/>
      <c r="X665" s="242"/>
      <c r="Y665" s="242"/>
      <c r="Z665" s="242"/>
    </row>
    <row r="666">
      <c r="A666" s="242"/>
      <c r="B666" s="524"/>
      <c r="C666" s="524"/>
      <c r="D666" s="242"/>
      <c r="E666" s="242"/>
      <c r="F666" s="242"/>
      <c r="G666" s="13"/>
      <c r="H666" s="525"/>
      <c r="I666" s="242"/>
      <c r="J666" s="242"/>
      <c r="K666" s="242"/>
      <c r="L666" s="13"/>
      <c r="M666" s="13"/>
      <c r="N666" s="242"/>
      <c r="O666" s="242"/>
      <c r="P666" s="242"/>
      <c r="Q666" s="242"/>
      <c r="R666" s="242"/>
      <c r="S666" s="242"/>
      <c r="T666" s="242"/>
      <c r="U666" s="242"/>
      <c r="V666" s="242"/>
      <c r="W666" s="242"/>
      <c r="X666" s="242"/>
      <c r="Y666" s="242"/>
      <c r="Z666" s="242"/>
    </row>
    <row r="667">
      <c r="A667" s="242"/>
      <c r="B667" s="524"/>
      <c r="C667" s="524"/>
      <c r="D667" s="242"/>
      <c r="E667" s="242"/>
      <c r="F667" s="242"/>
      <c r="G667" s="13"/>
      <c r="H667" s="525"/>
      <c r="I667" s="242"/>
      <c r="J667" s="242"/>
      <c r="K667" s="242"/>
      <c r="L667" s="13"/>
      <c r="M667" s="13"/>
      <c r="N667" s="242"/>
      <c r="O667" s="242"/>
      <c r="P667" s="242"/>
      <c r="Q667" s="242"/>
      <c r="R667" s="242"/>
      <c r="S667" s="242"/>
      <c r="T667" s="242"/>
      <c r="U667" s="242"/>
      <c r="V667" s="242"/>
      <c r="W667" s="242"/>
      <c r="X667" s="242"/>
      <c r="Y667" s="242"/>
      <c r="Z667" s="242"/>
    </row>
    <row r="668">
      <c r="A668" s="242"/>
      <c r="B668" s="524"/>
      <c r="C668" s="524"/>
      <c r="D668" s="242"/>
      <c r="E668" s="242"/>
      <c r="F668" s="242"/>
      <c r="G668" s="13"/>
      <c r="H668" s="525"/>
      <c r="I668" s="242"/>
      <c r="J668" s="242"/>
      <c r="K668" s="242"/>
      <c r="L668" s="13"/>
      <c r="M668" s="13"/>
      <c r="N668" s="242"/>
      <c r="O668" s="242"/>
      <c r="P668" s="242"/>
      <c r="Q668" s="242"/>
      <c r="R668" s="242"/>
      <c r="S668" s="242"/>
      <c r="T668" s="242"/>
      <c r="U668" s="242"/>
      <c r="V668" s="242"/>
      <c r="W668" s="242"/>
      <c r="X668" s="242"/>
      <c r="Y668" s="242"/>
      <c r="Z668" s="242"/>
    </row>
    <row r="669">
      <c r="A669" s="242"/>
      <c r="B669" s="524"/>
      <c r="C669" s="524"/>
      <c r="D669" s="242"/>
      <c r="E669" s="242"/>
      <c r="F669" s="242"/>
      <c r="G669" s="13"/>
      <c r="H669" s="525"/>
      <c r="I669" s="242"/>
      <c r="J669" s="242"/>
      <c r="K669" s="242"/>
      <c r="L669" s="13"/>
      <c r="M669" s="13"/>
      <c r="N669" s="242"/>
      <c r="O669" s="242"/>
      <c r="P669" s="242"/>
      <c r="Q669" s="242"/>
      <c r="R669" s="242"/>
      <c r="S669" s="242"/>
      <c r="T669" s="242"/>
      <c r="U669" s="242"/>
      <c r="V669" s="242"/>
      <c r="W669" s="242"/>
      <c r="X669" s="242"/>
      <c r="Y669" s="242"/>
      <c r="Z669" s="242"/>
    </row>
    <row r="670">
      <c r="A670" s="242"/>
      <c r="B670" s="524"/>
      <c r="C670" s="524"/>
      <c r="D670" s="242"/>
      <c r="E670" s="242"/>
      <c r="F670" s="242"/>
      <c r="G670" s="13"/>
      <c r="H670" s="525"/>
      <c r="I670" s="242"/>
      <c r="J670" s="242"/>
      <c r="K670" s="242"/>
      <c r="L670" s="13"/>
      <c r="M670" s="13"/>
      <c r="N670" s="242"/>
      <c r="O670" s="242"/>
      <c r="P670" s="242"/>
      <c r="Q670" s="242"/>
      <c r="R670" s="242"/>
      <c r="S670" s="242"/>
      <c r="T670" s="242"/>
      <c r="U670" s="242"/>
      <c r="V670" s="242"/>
      <c r="W670" s="242"/>
      <c r="X670" s="242"/>
      <c r="Y670" s="242"/>
      <c r="Z670" s="242"/>
    </row>
    <row r="671">
      <c r="A671" s="242"/>
      <c r="B671" s="524"/>
      <c r="C671" s="524"/>
      <c r="D671" s="242"/>
      <c r="E671" s="242"/>
      <c r="F671" s="242"/>
      <c r="G671" s="13"/>
      <c r="H671" s="525"/>
      <c r="I671" s="242"/>
      <c r="J671" s="242"/>
      <c r="K671" s="242"/>
      <c r="L671" s="13"/>
      <c r="M671" s="13"/>
      <c r="N671" s="242"/>
      <c r="O671" s="242"/>
      <c r="P671" s="242"/>
      <c r="Q671" s="242"/>
      <c r="R671" s="242"/>
      <c r="S671" s="242"/>
      <c r="T671" s="242"/>
      <c r="U671" s="242"/>
      <c r="V671" s="242"/>
      <c r="W671" s="242"/>
      <c r="X671" s="242"/>
      <c r="Y671" s="242"/>
      <c r="Z671" s="242"/>
    </row>
    <row r="672">
      <c r="A672" s="242"/>
      <c r="B672" s="524"/>
      <c r="C672" s="524"/>
      <c r="D672" s="242"/>
      <c r="E672" s="242"/>
      <c r="F672" s="242"/>
      <c r="G672" s="13"/>
      <c r="H672" s="525"/>
      <c r="I672" s="242"/>
      <c r="J672" s="242"/>
      <c r="K672" s="242"/>
      <c r="L672" s="13"/>
      <c r="M672" s="13"/>
      <c r="N672" s="242"/>
      <c r="O672" s="242"/>
      <c r="P672" s="242"/>
      <c r="Q672" s="242"/>
      <c r="R672" s="242"/>
      <c r="S672" s="242"/>
      <c r="T672" s="242"/>
      <c r="U672" s="242"/>
      <c r="V672" s="242"/>
      <c r="W672" s="242"/>
      <c r="X672" s="242"/>
      <c r="Y672" s="242"/>
      <c r="Z672" s="242"/>
    </row>
    <row r="673">
      <c r="A673" s="242"/>
      <c r="B673" s="524"/>
      <c r="C673" s="524"/>
      <c r="D673" s="242"/>
      <c r="E673" s="242"/>
      <c r="F673" s="242"/>
      <c r="G673" s="13"/>
      <c r="H673" s="525"/>
      <c r="I673" s="242"/>
      <c r="J673" s="242"/>
      <c r="K673" s="242"/>
      <c r="L673" s="13"/>
      <c r="M673" s="13"/>
      <c r="N673" s="242"/>
      <c r="O673" s="242"/>
      <c r="P673" s="242"/>
      <c r="Q673" s="242"/>
      <c r="R673" s="242"/>
      <c r="S673" s="242"/>
      <c r="T673" s="242"/>
      <c r="U673" s="242"/>
      <c r="V673" s="242"/>
      <c r="W673" s="242"/>
      <c r="X673" s="242"/>
      <c r="Y673" s="242"/>
      <c r="Z673" s="242"/>
    </row>
    <row r="674">
      <c r="A674" s="242"/>
      <c r="B674" s="524"/>
      <c r="C674" s="524"/>
      <c r="D674" s="242"/>
      <c r="E674" s="242"/>
      <c r="F674" s="242"/>
      <c r="G674" s="13"/>
      <c r="H674" s="525"/>
      <c r="I674" s="242"/>
      <c r="J674" s="242"/>
      <c r="K674" s="242"/>
      <c r="L674" s="13"/>
      <c r="M674" s="13"/>
      <c r="N674" s="242"/>
      <c r="O674" s="242"/>
      <c r="P674" s="242"/>
      <c r="Q674" s="242"/>
      <c r="R674" s="242"/>
      <c r="S674" s="242"/>
      <c r="T674" s="242"/>
      <c r="U674" s="242"/>
      <c r="V674" s="242"/>
      <c r="W674" s="242"/>
      <c r="X674" s="242"/>
      <c r="Y674" s="242"/>
      <c r="Z674" s="242"/>
    </row>
    <row r="675">
      <c r="A675" s="242"/>
      <c r="B675" s="524"/>
      <c r="C675" s="524"/>
      <c r="D675" s="242"/>
      <c r="E675" s="242"/>
      <c r="F675" s="242"/>
      <c r="G675" s="13"/>
      <c r="H675" s="525"/>
      <c r="I675" s="242"/>
      <c r="J675" s="242"/>
      <c r="K675" s="242"/>
      <c r="L675" s="13"/>
      <c r="M675" s="13"/>
      <c r="N675" s="242"/>
      <c r="O675" s="242"/>
      <c r="P675" s="242"/>
      <c r="Q675" s="242"/>
      <c r="R675" s="242"/>
      <c r="S675" s="242"/>
      <c r="T675" s="242"/>
      <c r="U675" s="242"/>
      <c r="V675" s="242"/>
      <c r="W675" s="242"/>
      <c r="X675" s="242"/>
      <c r="Y675" s="242"/>
      <c r="Z675" s="242"/>
    </row>
    <row r="676">
      <c r="A676" s="242"/>
      <c r="B676" s="524"/>
      <c r="C676" s="524"/>
      <c r="D676" s="242"/>
      <c r="E676" s="242"/>
      <c r="F676" s="242"/>
      <c r="G676" s="13"/>
      <c r="H676" s="525"/>
      <c r="I676" s="242"/>
      <c r="J676" s="242"/>
      <c r="K676" s="242"/>
      <c r="L676" s="13"/>
      <c r="M676" s="13"/>
      <c r="N676" s="242"/>
      <c r="O676" s="242"/>
      <c r="P676" s="242"/>
      <c r="Q676" s="242"/>
      <c r="R676" s="242"/>
      <c r="S676" s="242"/>
      <c r="T676" s="242"/>
      <c r="U676" s="242"/>
      <c r="V676" s="242"/>
      <c r="W676" s="242"/>
      <c r="X676" s="242"/>
      <c r="Y676" s="242"/>
      <c r="Z676" s="242"/>
    </row>
    <row r="677">
      <c r="A677" s="242"/>
      <c r="B677" s="524"/>
      <c r="C677" s="524"/>
      <c r="D677" s="242"/>
      <c r="E677" s="242"/>
      <c r="F677" s="242"/>
      <c r="G677" s="13"/>
      <c r="H677" s="525"/>
      <c r="I677" s="242"/>
      <c r="J677" s="242"/>
      <c r="K677" s="242"/>
      <c r="L677" s="13"/>
      <c r="M677" s="13"/>
      <c r="N677" s="242"/>
      <c r="O677" s="242"/>
      <c r="P677" s="242"/>
      <c r="Q677" s="242"/>
      <c r="R677" s="242"/>
      <c r="S677" s="242"/>
      <c r="T677" s="242"/>
      <c r="U677" s="242"/>
      <c r="V677" s="242"/>
      <c r="W677" s="242"/>
      <c r="X677" s="242"/>
      <c r="Y677" s="242"/>
      <c r="Z677" s="242"/>
    </row>
    <row r="678">
      <c r="A678" s="242"/>
      <c r="B678" s="524"/>
      <c r="C678" s="524"/>
      <c r="D678" s="242"/>
      <c r="E678" s="242"/>
      <c r="F678" s="242"/>
      <c r="G678" s="13"/>
      <c r="H678" s="525"/>
      <c r="I678" s="242"/>
      <c r="J678" s="242"/>
      <c r="K678" s="242"/>
      <c r="L678" s="13"/>
      <c r="M678" s="13"/>
      <c r="N678" s="242"/>
      <c r="O678" s="242"/>
      <c r="P678" s="242"/>
      <c r="Q678" s="242"/>
      <c r="R678" s="242"/>
      <c r="S678" s="242"/>
      <c r="T678" s="242"/>
      <c r="U678" s="242"/>
      <c r="V678" s="242"/>
      <c r="W678" s="242"/>
      <c r="X678" s="242"/>
      <c r="Y678" s="242"/>
      <c r="Z678" s="242"/>
    </row>
    <row r="679">
      <c r="A679" s="242"/>
      <c r="B679" s="524"/>
      <c r="C679" s="524"/>
      <c r="D679" s="242"/>
      <c r="E679" s="242"/>
      <c r="F679" s="242"/>
      <c r="G679" s="13"/>
      <c r="H679" s="525"/>
      <c r="I679" s="242"/>
      <c r="J679" s="242"/>
      <c r="K679" s="242"/>
      <c r="L679" s="13"/>
      <c r="M679" s="13"/>
      <c r="N679" s="242"/>
      <c r="O679" s="242"/>
      <c r="P679" s="242"/>
      <c r="Q679" s="242"/>
      <c r="R679" s="242"/>
      <c r="S679" s="242"/>
      <c r="T679" s="242"/>
      <c r="U679" s="242"/>
      <c r="V679" s="242"/>
      <c r="W679" s="242"/>
      <c r="X679" s="242"/>
      <c r="Y679" s="242"/>
      <c r="Z679" s="242"/>
    </row>
    <row r="680">
      <c r="A680" s="242"/>
      <c r="B680" s="524"/>
      <c r="C680" s="524"/>
      <c r="D680" s="242"/>
      <c r="E680" s="242"/>
      <c r="F680" s="242"/>
      <c r="G680" s="13"/>
      <c r="H680" s="525"/>
      <c r="I680" s="242"/>
      <c r="J680" s="242"/>
      <c r="K680" s="242"/>
      <c r="L680" s="13"/>
      <c r="M680" s="13"/>
      <c r="N680" s="242"/>
      <c r="O680" s="242"/>
      <c r="P680" s="242"/>
      <c r="Q680" s="242"/>
      <c r="R680" s="242"/>
      <c r="S680" s="242"/>
      <c r="T680" s="242"/>
      <c r="U680" s="242"/>
      <c r="V680" s="242"/>
      <c r="W680" s="242"/>
      <c r="X680" s="242"/>
      <c r="Y680" s="242"/>
      <c r="Z680" s="242"/>
    </row>
    <row r="681">
      <c r="A681" s="242"/>
      <c r="B681" s="524"/>
      <c r="C681" s="524"/>
      <c r="D681" s="242"/>
      <c r="E681" s="242"/>
      <c r="F681" s="242"/>
      <c r="G681" s="13"/>
      <c r="H681" s="525"/>
      <c r="I681" s="242"/>
      <c r="J681" s="242"/>
      <c r="K681" s="242"/>
      <c r="L681" s="13"/>
      <c r="M681" s="13"/>
      <c r="N681" s="242"/>
      <c r="O681" s="242"/>
      <c r="P681" s="242"/>
      <c r="Q681" s="242"/>
      <c r="R681" s="242"/>
      <c r="S681" s="242"/>
      <c r="T681" s="242"/>
      <c r="U681" s="242"/>
      <c r="V681" s="242"/>
      <c r="W681" s="242"/>
      <c r="X681" s="242"/>
      <c r="Y681" s="242"/>
      <c r="Z681" s="242"/>
    </row>
    <row r="682">
      <c r="A682" s="242"/>
      <c r="B682" s="524"/>
      <c r="C682" s="524"/>
      <c r="D682" s="242"/>
      <c r="E682" s="242"/>
      <c r="F682" s="242"/>
      <c r="G682" s="13"/>
      <c r="H682" s="525"/>
      <c r="I682" s="242"/>
      <c r="J682" s="242"/>
      <c r="K682" s="242"/>
      <c r="L682" s="13"/>
      <c r="M682" s="13"/>
      <c r="N682" s="242"/>
      <c r="O682" s="242"/>
      <c r="P682" s="242"/>
      <c r="Q682" s="242"/>
      <c r="R682" s="242"/>
      <c r="S682" s="242"/>
      <c r="T682" s="242"/>
      <c r="U682" s="242"/>
      <c r="V682" s="242"/>
      <c r="W682" s="242"/>
      <c r="X682" s="242"/>
      <c r="Y682" s="242"/>
      <c r="Z682" s="242"/>
    </row>
    <row r="683">
      <c r="A683" s="242"/>
      <c r="B683" s="524"/>
      <c r="C683" s="524"/>
      <c r="D683" s="242"/>
      <c r="E683" s="242"/>
      <c r="F683" s="242"/>
      <c r="G683" s="13"/>
      <c r="H683" s="525"/>
      <c r="I683" s="242"/>
      <c r="J683" s="242"/>
      <c r="K683" s="242"/>
      <c r="L683" s="13"/>
      <c r="M683" s="13"/>
      <c r="N683" s="242"/>
      <c r="O683" s="242"/>
      <c r="P683" s="242"/>
      <c r="Q683" s="242"/>
      <c r="R683" s="242"/>
      <c r="S683" s="242"/>
      <c r="T683" s="242"/>
      <c r="U683" s="242"/>
      <c r="V683" s="242"/>
      <c r="W683" s="242"/>
      <c r="X683" s="242"/>
      <c r="Y683" s="242"/>
      <c r="Z683" s="242"/>
    </row>
    <row r="684">
      <c r="A684" s="242"/>
      <c r="B684" s="524"/>
      <c r="C684" s="524"/>
      <c r="D684" s="242"/>
      <c r="E684" s="242"/>
      <c r="F684" s="242"/>
      <c r="G684" s="13"/>
      <c r="H684" s="525"/>
      <c r="I684" s="242"/>
      <c r="J684" s="242"/>
      <c r="K684" s="242"/>
      <c r="L684" s="13"/>
      <c r="M684" s="13"/>
      <c r="N684" s="242"/>
      <c r="O684" s="242"/>
      <c r="P684" s="242"/>
      <c r="Q684" s="242"/>
      <c r="R684" s="242"/>
      <c r="S684" s="242"/>
      <c r="T684" s="242"/>
      <c r="U684" s="242"/>
      <c r="V684" s="242"/>
      <c r="W684" s="242"/>
      <c r="X684" s="242"/>
      <c r="Y684" s="242"/>
      <c r="Z684" s="242"/>
    </row>
    <row r="685">
      <c r="A685" s="242"/>
      <c r="B685" s="524"/>
      <c r="C685" s="524"/>
      <c r="D685" s="242"/>
      <c r="E685" s="242"/>
      <c r="F685" s="242"/>
      <c r="G685" s="13"/>
      <c r="H685" s="525"/>
      <c r="I685" s="242"/>
      <c r="J685" s="242"/>
      <c r="K685" s="242"/>
      <c r="L685" s="13"/>
      <c r="M685" s="13"/>
      <c r="N685" s="242"/>
      <c r="O685" s="242"/>
      <c r="P685" s="242"/>
      <c r="Q685" s="242"/>
      <c r="R685" s="242"/>
      <c r="S685" s="242"/>
      <c r="T685" s="242"/>
      <c r="U685" s="242"/>
      <c r="V685" s="242"/>
      <c r="W685" s="242"/>
      <c r="X685" s="242"/>
      <c r="Y685" s="242"/>
      <c r="Z685" s="242"/>
    </row>
    <row r="686">
      <c r="A686" s="242"/>
      <c r="B686" s="524"/>
      <c r="C686" s="524"/>
      <c r="D686" s="242"/>
      <c r="E686" s="242"/>
      <c r="F686" s="242"/>
      <c r="G686" s="13"/>
      <c r="H686" s="525"/>
      <c r="I686" s="242"/>
      <c r="J686" s="242"/>
      <c r="K686" s="242"/>
      <c r="L686" s="13"/>
      <c r="M686" s="13"/>
      <c r="N686" s="242"/>
      <c r="O686" s="242"/>
      <c r="P686" s="242"/>
      <c r="Q686" s="242"/>
      <c r="R686" s="242"/>
      <c r="S686" s="242"/>
      <c r="T686" s="242"/>
      <c r="U686" s="242"/>
      <c r="V686" s="242"/>
      <c r="W686" s="242"/>
      <c r="X686" s="242"/>
      <c r="Y686" s="242"/>
      <c r="Z686" s="242"/>
    </row>
    <row r="687">
      <c r="A687" s="242"/>
      <c r="B687" s="524"/>
      <c r="C687" s="524"/>
      <c r="D687" s="242"/>
      <c r="E687" s="242"/>
      <c r="F687" s="242"/>
      <c r="G687" s="13"/>
      <c r="H687" s="525"/>
      <c r="I687" s="242"/>
      <c r="J687" s="242"/>
      <c r="K687" s="242"/>
      <c r="L687" s="13"/>
      <c r="M687" s="13"/>
      <c r="N687" s="242"/>
      <c r="O687" s="242"/>
      <c r="P687" s="242"/>
      <c r="Q687" s="242"/>
      <c r="R687" s="242"/>
      <c r="S687" s="242"/>
      <c r="T687" s="242"/>
      <c r="U687" s="242"/>
      <c r="V687" s="242"/>
      <c r="W687" s="242"/>
      <c r="X687" s="242"/>
      <c r="Y687" s="242"/>
      <c r="Z687" s="242"/>
    </row>
    <row r="688">
      <c r="A688" s="242"/>
      <c r="B688" s="524"/>
      <c r="C688" s="524"/>
      <c r="D688" s="242"/>
      <c r="E688" s="242"/>
      <c r="F688" s="242"/>
      <c r="G688" s="13"/>
      <c r="H688" s="525"/>
      <c r="I688" s="242"/>
      <c r="J688" s="242"/>
      <c r="K688" s="242"/>
      <c r="L688" s="13"/>
      <c r="M688" s="13"/>
      <c r="N688" s="242"/>
      <c r="O688" s="242"/>
      <c r="P688" s="242"/>
      <c r="Q688" s="242"/>
      <c r="R688" s="242"/>
      <c r="S688" s="242"/>
      <c r="T688" s="242"/>
      <c r="U688" s="242"/>
      <c r="V688" s="242"/>
      <c r="W688" s="242"/>
      <c r="X688" s="242"/>
      <c r="Y688" s="242"/>
      <c r="Z688" s="242"/>
    </row>
    <row r="689">
      <c r="A689" s="242"/>
      <c r="B689" s="524"/>
      <c r="C689" s="524"/>
      <c r="D689" s="242"/>
      <c r="E689" s="242"/>
      <c r="F689" s="242"/>
      <c r="G689" s="13"/>
      <c r="H689" s="525"/>
      <c r="I689" s="242"/>
      <c r="J689" s="242"/>
      <c r="K689" s="242"/>
      <c r="L689" s="13"/>
      <c r="M689" s="13"/>
      <c r="N689" s="242"/>
      <c r="O689" s="242"/>
      <c r="P689" s="242"/>
      <c r="Q689" s="242"/>
      <c r="R689" s="242"/>
      <c r="S689" s="242"/>
      <c r="T689" s="242"/>
      <c r="U689" s="242"/>
      <c r="V689" s="242"/>
      <c r="W689" s="242"/>
      <c r="X689" s="242"/>
      <c r="Y689" s="242"/>
      <c r="Z689" s="242"/>
    </row>
    <row r="690">
      <c r="A690" s="242"/>
      <c r="B690" s="524"/>
      <c r="C690" s="524"/>
      <c r="D690" s="242"/>
      <c r="E690" s="242"/>
      <c r="F690" s="242"/>
      <c r="G690" s="13"/>
      <c r="H690" s="525"/>
      <c r="I690" s="242"/>
      <c r="J690" s="242"/>
      <c r="K690" s="242"/>
      <c r="L690" s="13"/>
      <c r="M690" s="13"/>
      <c r="N690" s="242"/>
      <c r="O690" s="242"/>
      <c r="P690" s="242"/>
      <c r="Q690" s="242"/>
      <c r="R690" s="242"/>
      <c r="S690" s="242"/>
      <c r="T690" s="242"/>
      <c r="U690" s="242"/>
      <c r="V690" s="242"/>
      <c r="W690" s="242"/>
      <c r="X690" s="242"/>
      <c r="Y690" s="242"/>
      <c r="Z690" s="242"/>
    </row>
    <row r="691">
      <c r="A691" s="242"/>
      <c r="B691" s="524"/>
      <c r="C691" s="524"/>
      <c r="D691" s="242"/>
      <c r="E691" s="242"/>
      <c r="F691" s="242"/>
      <c r="G691" s="13"/>
      <c r="H691" s="525"/>
      <c r="I691" s="242"/>
      <c r="J691" s="242"/>
      <c r="K691" s="242"/>
      <c r="L691" s="13"/>
      <c r="M691" s="13"/>
      <c r="N691" s="242"/>
      <c r="O691" s="242"/>
      <c r="P691" s="242"/>
      <c r="Q691" s="242"/>
      <c r="R691" s="242"/>
      <c r="S691" s="242"/>
      <c r="T691" s="242"/>
      <c r="U691" s="242"/>
      <c r="V691" s="242"/>
      <c r="W691" s="242"/>
      <c r="X691" s="242"/>
      <c r="Y691" s="242"/>
      <c r="Z691" s="242"/>
    </row>
    <row r="692">
      <c r="A692" s="242"/>
      <c r="B692" s="524"/>
      <c r="C692" s="524"/>
      <c r="D692" s="242"/>
      <c r="E692" s="242"/>
      <c r="F692" s="242"/>
      <c r="G692" s="13"/>
      <c r="H692" s="525"/>
      <c r="I692" s="242"/>
      <c r="J692" s="242"/>
      <c r="K692" s="242"/>
      <c r="L692" s="13"/>
      <c r="M692" s="13"/>
      <c r="N692" s="242"/>
      <c r="O692" s="242"/>
      <c r="P692" s="242"/>
      <c r="Q692" s="242"/>
      <c r="R692" s="242"/>
      <c r="S692" s="242"/>
      <c r="T692" s="242"/>
      <c r="U692" s="242"/>
      <c r="V692" s="242"/>
      <c r="W692" s="242"/>
      <c r="X692" s="242"/>
      <c r="Y692" s="242"/>
      <c r="Z692" s="242"/>
    </row>
    <row r="693">
      <c r="A693" s="242"/>
      <c r="B693" s="524"/>
      <c r="C693" s="524"/>
      <c r="D693" s="242"/>
      <c r="E693" s="242"/>
      <c r="F693" s="242"/>
      <c r="G693" s="13"/>
      <c r="H693" s="525"/>
      <c r="I693" s="242"/>
      <c r="J693" s="242"/>
      <c r="K693" s="242"/>
      <c r="L693" s="13"/>
      <c r="M693" s="13"/>
      <c r="N693" s="242"/>
      <c r="O693" s="242"/>
      <c r="P693" s="242"/>
      <c r="Q693" s="242"/>
      <c r="R693" s="242"/>
      <c r="S693" s="242"/>
      <c r="T693" s="242"/>
      <c r="U693" s="242"/>
      <c r="V693" s="242"/>
      <c r="W693" s="242"/>
      <c r="X693" s="242"/>
      <c r="Y693" s="242"/>
      <c r="Z693" s="242"/>
    </row>
    <row r="694">
      <c r="A694" s="242"/>
      <c r="B694" s="524"/>
      <c r="C694" s="524"/>
      <c r="D694" s="242"/>
      <c r="E694" s="242"/>
      <c r="F694" s="242"/>
      <c r="G694" s="13"/>
      <c r="H694" s="525"/>
      <c r="I694" s="242"/>
      <c r="J694" s="242"/>
      <c r="K694" s="242"/>
      <c r="L694" s="13"/>
      <c r="M694" s="13"/>
      <c r="N694" s="242"/>
      <c r="O694" s="242"/>
      <c r="P694" s="242"/>
      <c r="Q694" s="242"/>
      <c r="R694" s="242"/>
      <c r="S694" s="242"/>
      <c r="T694" s="242"/>
      <c r="U694" s="242"/>
      <c r="V694" s="242"/>
      <c r="W694" s="242"/>
      <c r="X694" s="242"/>
      <c r="Y694" s="242"/>
      <c r="Z694" s="242"/>
    </row>
    <row r="695">
      <c r="A695" s="242"/>
      <c r="B695" s="524"/>
      <c r="C695" s="524"/>
      <c r="D695" s="242"/>
      <c r="E695" s="242"/>
      <c r="F695" s="242"/>
      <c r="G695" s="13"/>
      <c r="H695" s="525"/>
      <c r="I695" s="242"/>
      <c r="J695" s="242"/>
      <c r="K695" s="242"/>
      <c r="L695" s="13"/>
      <c r="M695" s="13"/>
      <c r="N695" s="242"/>
      <c r="O695" s="242"/>
      <c r="P695" s="242"/>
      <c r="Q695" s="242"/>
      <c r="R695" s="242"/>
      <c r="S695" s="242"/>
      <c r="T695" s="242"/>
      <c r="U695" s="242"/>
      <c r="V695" s="242"/>
      <c r="W695" s="242"/>
      <c r="X695" s="242"/>
      <c r="Y695" s="242"/>
      <c r="Z695" s="242"/>
    </row>
    <row r="696">
      <c r="A696" s="242"/>
      <c r="B696" s="524"/>
      <c r="C696" s="524"/>
      <c r="D696" s="242"/>
      <c r="E696" s="242"/>
      <c r="F696" s="242"/>
      <c r="G696" s="13"/>
      <c r="H696" s="525"/>
      <c r="I696" s="242"/>
      <c r="J696" s="242"/>
      <c r="K696" s="242"/>
      <c r="L696" s="13"/>
      <c r="M696" s="13"/>
      <c r="N696" s="242"/>
      <c r="O696" s="242"/>
      <c r="P696" s="242"/>
      <c r="Q696" s="242"/>
      <c r="R696" s="242"/>
      <c r="S696" s="242"/>
      <c r="T696" s="242"/>
      <c r="U696" s="242"/>
      <c r="V696" s="242"/>
      <c r="W696" s="242"/>
      <c r="X696" s="242"/>
      <c r="Y696" s="242"/>
      <c r="Z696" s="242"/>
    </row>
    <row r="697">
      <c r="A697" s="242"/>
      <c r="B697" s="524"/>
      <c r="C697" s="524"/>
      <c r="D697" s="242"/>
      <c r="E697" s="242"/>
      <c r="F697" s="242"/>
      <c r="G697" s="13"/>
      <c r="H697" s="525"/>
      <c r="I697" s="242"/>
      <c r="J697" s="242"/>
      <c r="K697" s="242"/>
      <c r="L697" s="13"/>
      <c r="M697" s="13"/>
      <c r="N697" s="242"/>
      <c r="O697" s="242"/>
      <c r="P697" s="242"/>
      <c r="Q697" s="242"/>
      <c r="R697" s="242"/>
      <c r="S697" s="242"/>
      <c r="T697" s="242"/>
      <c r="U697" s="242"/>
      <c r="V697" s="242"/>
      <c r="W697" s="242"/>
      <c r="X697" s="242"/>
      <c r="Y697" s="242"/>
      <c r="Z697" s="242"/>
    </row>
    <row r="698">
      <c r="A698" s="242"/>
      <c r="B698" s="524"/>
      <c r="C698" s="524"/>
      <c r="D698" s="242"/>
      <c r="E698" s="242"/>
      <c r="F698" s="242"/>
      <c r="G698" s="13"/>
      <c r="H698" s="525"/>
      <c r="I698" s="242"/>
      <c r="J698" s="242"/>
      <c r="K698" s="242"/>
      <c r="L698" s="13"/>
      <c r="M698" s="13"/>
      <c r="N698" s="242"/>
      <c r="O698" s="242"/>
      <c r="P698" s="242"/>
      <c r="Q698" s="242"/>
      <c r="R698" s="242"/>
      <c r="S698" s="242"/>
      <c r="T698" s="242"/>
      <c r="U698" s="242"/>
      <c r="V698" s="242"/>
      <c r="W698" s="242"/>
      <c r="X698" s="242"/>
      <c r="Y698" s="242"/>
      <c r="Z698" s="242"/>
    </row>
    <row r="699">
      <c r="A699" s="242"/>
      <c r="B699" s="524"/>
      <c r="C699" s="524"/>
      <c r="D699" s="242"/>
      <c r="E699" s="242"/>
      <c r="F699" s="242"/>
      <c r="G699" s="13"/>
      <c r="H699" s="525"/>
      <c r="I699" s="242"/>
      <c r="J699" s="242"/>
      <c r="K699" s="242"/>
      <c r="L699" s="13"/>
      <c r="M699" s="13"/>
      <c r="N699" s="242"/>
      <c r="O699" s="242"/>
      <c r="P699" s="242"/>
      <c r="Q699" s="242"/>
      <c r="R699" s="242"/>
      <c r="S699" s="242"/>
      <c r="T699" s="242"/>
      <c r="U699" s="242"/>
      <c r="V699" s="242"/>
      <c r="W699" s="242"/>
      <c r="X699" s="242"/>
      <c r="Y699" s="242"/>
      <c r="Z699" s="242"/>
    </row>
    <row r="700">
      <c r="A700" s="242"/>
      <c r="B700" s="524"/>
      <c r="C700" s="524"/>
      <c r="D700" s="242"/>
      <c r="E700" s="242"/>
      <c r="F700" s="242"/>
      <c r="G700" s="13"/>
      <c r="H700" s="525"/>
      <c r="I700" s="242"/>
      <c r="J700" s="242"/>
      <c r="K700" s="242"/>
      <c r="L700" s="13"/>
      <c r="M700" s="13"/>
      <c r="N700" s="242"/>
      <c r="O700" s="242"/>
      <c r="P700" s="242"/>
      <c r="Q700" s="242"/>
      <c r="R700" s="242"/>
      <c r="S700" s="242"/>
      <c r="T700" s="242"/>
      <c r="U700" s="242"/>
      <c r="V700" s="242"/>
      <c r="W700" s="242"/>
      <c r="X700" s="242"/>
      <c r="Y700" s="242"/>
      <c r="Z700" s="242"/>
    </row>
    <row r="701">
      <c r="A701" s="242"/>
      <c r="B701" s="524"/>
      <c r="C701" s="524"/>
      <c r="D701" s="242"/>
      <c r="E701" s="242"/>
      <c r="F701" s="242"/>
      <c r="G701" s="13"/>
      <c r="H701" s="525"/>
      <c r="I701" s="242"/>
      <c r="J701" s="242"/>
      <c r="K701" s="242"/>
      <c r="L701" s="13"/>
      <c r="M701" s="13"/>
      <c r="N701" s="242"/>
      <c r="O701" s="242"/>
      <c r="P701" s="242"/>
      <c r="Q701" s="242"/>
      <c r="R701" s="242"/>
      <c r="S701" s="242"/>
      <c r="T701" s="242"/>
      <c r="U701" s="242"/>
      <c r="V701" s="242"/>
      <c r="W701" s="242"/>
      <c r="X701" s="242"/>
      <c r="Y701" s="242"/>
      <c r="Z701" s="242"/>
    </row>
    <row r="702">
      <c r="A702" s="242"/>
      <c r="B702" s="524"/>
      <c r="C702" s="524"/>
      <c r="D702" s="242"/>
      <c r="E702" s="242"/>
      <c r="F702" s="242"/>
      <c r="G702" s="13"/>
      <c r="H702" s="525"/>
      <c r="I702" s="242"/>
      <c r="J702" s="242"/>
      <c r="K702" s="242"/>
      <c r="L702" s="13"/>
      <c r="M702" s="13"/>
      <c r="N702" s="242"/>
      <c r="O702" s="242"/>
      <c r="P702" s="242"/>
      <c r="Q702" s="242"/>
      <c r="R702" s="242"/>
      <c r="S702" s="242"/>
      <c r="T702" s="242"/>
      <c r="U702" s="242"/>
      <c r="V702" s="242"/>
      <c r="W702" s="242"/>
      <c r="X702" s="242"/>
      <c r="Y702" s="242"/>
      <c r="Z702" s="242"/>
    </row>
    <row r="703">
      <c r="A703" s="242"/>
      <c r="B703" s="524"/>
      <c r="C703" s="524"/>
      <c r="D703" s="242"/>
      <c r="E703" s="242"/>
      <c r="F703" s="242"/>
      <c r="G703" s="13"/>
      <c r="H703" s="525"/>
      <c r="I703" s="242"/>
      <c r="J703" s="242"/>
      <c r="K703" s="242"/>
      <c r="L703" s="13"/>
      <c r="M703" s="13"/>
      <c r="N703" s="242"/>
      <c r="O703" s="242"/>
      <c r="P703" s="242"/>
      <c r="Q703" s="242"/>
      <c r="R703" s="242"/>
      <c r="S703" s="242"/>
      <c r="T703" s="242"/>
      <c r="U703" s="242"/>
      <c r="V703" s="242"/>
      <c r="W703" s="242"/>
      <c r="X703" s="242"/>
      <c r="Y703" s="242"/>
      <c r="Z703" s="242"/>
    </row>
    <row r="704">
      <c r="A704" s="242"/>
      <c r="B704" s="524"/>
      <c r="C704" s="524"/>
      <c r="D704" s="242"/>
      <c r="E704" s="242"/>
      <c r="F704" s="242"/>
      <c r="G704" s="13"/>
      <c r="H704" s="525"/>
      <c r="I704" s="242"/>
      <c r="J704" s="242"/>
      <c r="K704" s="242"/>
      <c r="L704" s="13"/>
      <c r="M704" s="13"/>
      <c r="N704" s="242"/>
      <c r="O704" s="242"/>
      <c r="P704" s="242"/>
      <c r="Q704" s="242"/>
      <c r="R704" s="242"/>
      <c r="S704" s="242"/>
      <c r="T704" s="242"/>
      <c r="U704" s="242"/>
      <c r="V704" s="242"/>
      <c r="W704" s="242"/>
      <c r="X704" s="242"/>
      <c r="Y704" s="242"/>
      <c r="Z704" s="242"/>
    </row>
    <row r="705">
      <c r="A705" s="242"/>
      <c r="B705" s="524"/>
      <c r="C705" s="524"/>
      <c r="D705" s="242"/>
      <c r="E705" s="242"/>
      <c r="F705" s="242"/>
      <c r="G705" s="13"/>
      <c r="H705" s="525"/>
      <c r="I705" s="242"/>
      <c r="J705" s="242"/>
      <c r="K705" s="242"/>
      <c r="L705" s="13"/>
      <c r="M705" s="13"/>
      <c r="N705" s="242"/>
      <c r="O705" s="242"/>
      <c r="P705" s="242"/>
      <c r="Q705" s="242"/>
      <c r="R705" s="242"/>
      <c r="S705" s="242"/>
      <c r="T705" s="242"/>
      <c r="U705" s="242"/>
      <c r="V705" s="242"/>
      <c r="W705" s="242"/>
      <c r="X705" s="242"/>
      <c r="Y705" s="242"/>
      <c r="Z705" s="242"/>
    </row>
    <row r="706">
      <c r="A706" s="242"/>
      <c r="B706" s="524"/>
      <c r="C706" s="524"/>
      <c r="D706" s="242"/>
      <c r="E706" s="242"/>
      <c r="F706" s="242"/>
      <c r="G706" s="13"/>
      <c r="H706" s="525"/>
      <c r="I706" s="242"/>
      <c r="J706" s="242"/>
      <c r="K706" s="242"/>
      <c r="L706" s="13"/>
      <c r="M706" s="13"/>
      <c r="N706" s="242"/>
      <c r="O706" s="242"/>
      <c r="P706" s="242"/>
      <c r="Q706" s="242"/>
      <c r="R706" s="242"/>
      <c r="S706" s="242"/>
      <c r="T706" s="242"/>
      <c r="U706" s="242"/>
      <c r="V706" s="242"/>
      <c r="W706" s="242"/>
      <c r="X706" s="242"/>
      <c r="Y706" s="242"/>
      <c r="Z706" s="242"/>
    </row>
    <row r="707">
      <c r="A707" s="242"/>
      <c r="B707" s="524"/>
      <c r="C707" s="524"/>
      <c r="D707" s="242"/>
      <c r="E707" s="242"/>
      <c r="F707" s="242"/>
      <c r="G707" s="13"/>
      <c r="H707" s="525"/>
      <c r="I707" s="242"/>
      <c r="J707" s="242"/>
      <c r="K707" s="242"/>
      <c r="L707" s="13"/>
      <c r="M707" s="13"/>
      <c r="N707" s="242"/>
      <c r="O707" s="242"/>
      <c r="P707" s="242"/>
      <c r="Q707" s="242"/>
      <c r="R707" s="242"/>
      <c r="S707" s="242"/>
      <c r="T707" s="242"/>
      <c r="U707" s="242"/>
      <c r="V707" s="242"/>
      <c r="W707" s="242"/>
      <c r="X707" s="242"/>
      <c r="Y707" s="242"/>
      <c r="Z707" s="242"/>
    </row>
    <row r="708">
      <c r="A708" s="242"/>
      <c r="B708" s="524"/>
      <c r="C708" s="524"/>
      <c r="D708" s="242"/>
      <c r="E708" s="242"/>
      <c r="F708" s="242"/>
      <c r="G708" s="13"/>
      <c r="H708" s="525"/>
      <c r="I708" s="242"/>
      <c r="J708" s="242"/>
      <c r="K708" s="242"/>
      <c r="L708" s="13"/>
      <c r="M708" s="13"/>
      <c r="N708" s="242"/>
      <c r="O708" s="242"/>
      <c r="P708" s="242"/>
      <c r="Q708" s="242"/>
      <c r="R708" s="242"/>
      <c r="S708" s="242"/>
      <c r="T708" s="242"/>
      <c r="U708" s="242"/>
      <c r="V708" s="242"/>
      <c r="W708" s="242"/>
      <c r="X708" s="242"/>
      <c r="Y708" s="242"/>
      <c r="Z708" s="242"/>
    </row>
    <row r="709">
      <c r="A709" s="242"/>
      <c r="B709" s="524"/>
      <c r="C709" s="524"/>
      <c r="D709" s="242"/>
      <c r="E709" s="242"/>
      <c r="F709" s="242"/>
      <c r="G709" s="13"/>
      <c r="H709" s="525"/>
      <c r="I709" s="242"/>
      <c r="J709" s="242"/>
      <c r="K709" s="242"/>
      <c r="L709" s="13"/>
      <c r="M709" s="13"/>
      <c r="N709" s="242"/>
      <c r="O709" s="242"/>
      <c r="P709" s="242"/>
      <c r="Q709" s="242"/>
      <c r="R709" s="242"/>
      <c r="S709" s="242"/>
      <c r="T709" s="242"/>
      <c r="U709" s="242"/>
      <c r="V709" s="242"/>
      <c r="W709" s="242"/>
      <c r="X709" s="242"/>
      <c r="Y709" s="242"/>
      <c r="Z709" s="242"/>
    </row>
    <row r="710">
      <c r="A710" s="242"/>
      <c r="B710" s="524"/>
      <c r="C710" s="524"/>
      <c r="D710" s="242"/>
      <c r="E710" s="242"/>
      <c r="F710" s="242"/>
      <c r="G710" s="13"/>
      <c r="H710" s="525"/>
      <c r="I710" s="242"/>
      <c r="J710" s="242"/>
      <c r="K710" s="242"/>
      <c r="L710" s="13"/>
      <c r="M710" s="13"/>
      <c r="N710" s="242"/>
      <c r="O710" s="242"/>
      <c r="P710" s="242"/>
      <c r="Q710" s="242"/>
      <c r="R710" s="242"/>
      <c r="S710" s="242"/>
      <c r="T710" s="242"/>
      <c r="U710" s="242"/>
      <c r="V710" s="242"/>
      <c r="W710" s="242"/>
      <c r="X710" s="242"/>
      <c r="Y710" s="242"/>
      <c r="Z710" s="242"/>
    </row>
    <row r="711">
      <c r="A711" s="242"/>
      <c r="B711" s="524"/>
      <c r="C711" s="524"/>
      <c r="D711" s="242"/>
      <c r="E711" s="242"/>
      <c r="F711" s="242"/>
      <c r="G711" s="13"/>
      <c r="H711" s="525"/>
      <c r="I711" s="242"/>
      <c r="J711" s="242"/>
      <c r="K711" s="242"/>
      <c r="L711" s="13"/>
      <c r="M711" s="13"/>
      <c r="N711" s="242"/>
      <c r="O711" s="242"/>
      <c r="P711" s="242"/>
      <c r="Q711" s="242"/>
      <c r="R711" s="242"/>
      <c r="S711" s="242"/>
      <c r="T711" s="242"/>
      <c r="U711" s="242"/>
      <c r="V711" s="242"/>
      <c r="W711" s="242"/>
      <c r="X711" s="242"/>
      <c r="Y711" s="242"/>
      <c r="Z711" s="242"/>
    </row>
    <row r="712">
      <c r="A712" s="242"/>
      <c r="B712" s="524"/>
      <c r="C712" s="524"/>
      <c r="D712" s="242"/>
      <c r="E712" s="242"/>
      <c r="F712" s="242"/>
      <c r="G712" s="13"/>
      <c r="H712" s="525"/>
      <c r="I712" s="242"/>
      <c r="J712" s="242"/>
      <c r="K712" s="242"/>
      <c r="L712" s="13"/>
      <c r="M712" s="13"/>
      <c r="N712" s="242"/>
      <c r="O712" s="242"/>
      <c r="P712" s="242"/>
      <c r="Q712" s="242"/>
      <c r="R712" s="242"/>
      <c r="S712" s="242"/>
      <c r="T712" s="242"/>
      <c r="U712" s="242"/>
      <c r="V712" s="242"/>
      <c r="W712" s="242"/>
      <c r="X712" s="242"/>
      <c r="Y712" s="242"/>
      <c r="Z712" s="242"/>
    </row>
    <row r="713">
      <c r="A713" s="242"/>
      <c r="B713" s="524"/>
      <c r="C713" s="524"/>
      <c r="D713" s="242"/>
      <c r="E713" s="242"/>
      <c r="F713" s="242"/>
      <c r="G713" s="13"/>
      <c r="H713" s="525"/>
      <c r="I713" s="242"/>
      <c r="J713" s="242"/>
      <c r="K713" s="242"/>
      <c r="L713" s="13"/>
      <c r="M713" s="13"/>
      <c r="N713" s="242"/>
      <c r="O713" s="242"/>
      <c r="P713" s="242"/>
      <c r="Q713" s="242"/>
      <c r="R713" s="242"/>
      <c r="S713" s="242"/>
      <c r="T713" s="242"/>
      <c r="U713" s="242"/>
      <c r="V713" s="242"/>
      <c r="W713" s="242"/>
      <c r="X713" s="242"/>
      <c r="Y713" s="242"/>
      <c r="Z713" s="242"/>
    </row>
    <row r="714">
      <c r="A714" s="242"/>
      <c r="B714" s="524"/>
      <c r="C714" s="524"/>
      <c r="D714" s="242"/>
      <c r="E714" s="242"/>
      <c r="F714" s="242"/>
      <c r="G714" s="13"/>
      <c r="H714" s="525"/>
      <c r="I714" s="242"/>
      <c r="J714" s="242"/>
      <c r="K714" s="242"/>
      <c r="L714" s="13"/>
      <c r="M714" s="13"/>
      <c r="N714" s="242"/>
      <c r="O714" s="242"/>
      <c r="P714" s="242"/>
      <c r="Q714" s="242"/>
      <c r="R714" s="242"/>
      <c r="S714" s="242"/>
      <c r="T714" s="242"/>
      <c r="U714" s="242"/>
      <c r="V714" s="242"/>
      <c r="W714" s="242"/>
      <c r="X714" s="242"/>
      <c r="Y714" s="242"/>
      <c r="Z714" s="242"/>
    </row>
    <row r="715">
      <c r="A715" s="242"/>
      <c r="B715" s="524"/>
      <c r="C715" s="524"/>
      <c r="D715" s="242"/>
      <c r="E715" s="242"/>
      <c r="F715" s="242"/>
      <c r="G715" s="13"/>
      <c r="H715" s="525"/>
      <c r="I715" s="242"/>
      <c r="J715" s="242"/>
      <c r="K715" s="242"/>
      <c r="L715" s="13"/>
      <c r="M715" s="13"/>
      <c r="N715" s="242"/>
      <c r="O715" s="242"/>
      <c r="P715" s="242"/>
      <c r="Q715" s="242"/>
      <c r="R715" s="242"/>
      <c r="S715" s="242"/>
      <c r="T715" s="242"/>
      <c r="U715" s="242"/>
      <c r="V715" s="242"/>
      <c r="W715" s="242"/>
      <c r="X715" s="242"/>
      <c r="Y715" s="242"/>
      <c r="Z715" s="242"/>
    </row>
    <row r="716">
      <c r="A716" s="242"/>
      <c r="B716" s="524"/>
      <c r="C716" s="524"/>
      <c r="D716" s="242"/>
      <c r="E716" s="242"/>
      <c r="F716" s="242"/>
      <c r="G716" s="13"/>
      <c r="H716" s="525"/>
      <c r="I716" s="242"/>
      <c r="J716" s="242"/>
      <c r="K716" s="242"/>
      <c r="L716" s="13"/>
      <c r="M716" s="13"/>
      <c r="N716" s="242"/>
      <c r="O716" s="242"/>
      <c r="P716" s="242"/>
      <c r="Q716" s="242"/>
      <c r="R716" s="242"/>
      <c r="S716" s="242"/>
      <c r="T716" s="242"/>
      <c r="U716" s="242"/>
      <c r="V716" s="242"/>
      <c r="W716" s="242"/>
      <c r="X716" s="242"/>
      <c r="Y716" s="242"/>
      <c r="Z716" s="242"/>
    </row>
    <row r="717">
      <c r="A717" s="242"/>
      <c r="B717" s="524"/>
      <c r="C717" s="524"/>
      <c r="D717" s="242"/>
      <c r="E717" s="242"/>
      <c r="F717" s="242"/>
      <c r="G717" s="13"/>
      <c r="H717" s="525"/>
      <c r="I717" s="242"/>
      <c r="J717" s="242"/>
      <c r="K717" s="242"/>
      <c r="L717" s="13"/>
      <c r="M717" s="13"/>
      <c r="N717" s="242"/>
      <c r="O717" s="242"/>
      <c r="P717" s="242"/>
      <c r="Q717" s="242"/>
      <c r="R717" s="242"/>
      <c r="S717" s="242"/>
      <c r="T717" s="242"/>
      <c r="U717" s="242"/>
      <c r="V717" s="242"/>
      <c r="W717" s="242"/>
      <c r="X717" s="242"/>
      <c r="Y717" s="242"/>
      <c r="Z717" s="242"/>
    </row>
    <row r="718">
      <c r="A718" s="242"/>
      <c r="B718" s="524"/>
      <c r="C718" s="524"/>
      <c r="D718" s="242"/>
      <c r="E718" s="242"/>
      <c r="F718" s="242"/>
      <c r="G718" s="13"/>
      <c r="H718" s="525"/>
      <c r="I718" s="242"/>
      <c r="J718" s="242"/>
      <c r="K718" s="242"/>
      <c r="L718" s="13"/>
      <c r="M718" s="13"/>
      <c r="N718" s="242"/>
      <c r="O718" s="242"/>
      <c r="P718" s="242"/>
      <c r="Q718" s="242"/>
      <c r="R718" s="242"/>
      <c r="S718" s="242"/>
      <c r="T718" s="242"/>
      <c r="U718" s="242"/>
      <c r="V718" s="242"/>
      <c r="W718" s="242"/>
      <c r="X718" s="242"/>
      <c r="Y718" s="242"/>
      <c r="Z718" s="242"/>
    </row>
    <row r="719">
      <c r="A719" s="242"/>
      <c r="B719" s="524"/>
      <c r="C719" s="524"/>
      <c r="D719" s="242"/>
      <c r="E719" s="242"/>
      <c r="F719" s="242"/>
      <c r="G719" s="13"/>
      <c r="H719" s="525"/>
      <c r="I719" s="242"/>
      <c r="J719" s="242"/>
      <c r="K719" s="242"/>
      <c r="L719" s="13"/>
      <c r="M719" s="13"/>
      <c r="N719" s="242"/>
      <c r="O719" s="242"/>
      <c r="P719" s="242"/>
      <c r="Q719" s="242"/>
      <c r="R719" s="242"/>
      <c r="S719" s="242"/>
      <c r="T719" s="242"/>
      <c r="U719" s="242"/>
      <c r="V719" s="242"/>
      <c r="W719" s="242"/>
      <c r="X719" s="242"/>
      <c r="Y719" s="242"/>
      <c r="Z719" s="242"/>
    </row>
    <row r="720">
      <c r="A720" s="242"/>
      <c r="B720" s="524"/>
      <c r="C720" s="524"/>
      <c r="D720" s="242"/>
      <c r="E720" s="242"/>
      <c r="F720" s="242"/>
      <c r="G720" s="13"/>
      <c r="H720" s="525"/>
      <c r="I720" s="242"/>
      <c r="J720" s="242"/>
      <c r="K720" s="242"/>
      <c r="L720" s="13"/>
      <c r="M720" s="13"/>
      <c r="N720" s="242"/>
      <c r="O720" s="242"/>
      <c r="P720" s="242"/>
      <c r="Q720" s="242"/>
      <c r="R720" s="242"/>
      <c r="S720" s="242"/>
      <c r="T720" s="242"/>
      <c r="U720" s="242"/>
      <c r="V720" s="242"/>
      <c r="W720" s="242"/>
      <c r="X720" s="242"/>
      <c r="Y720" s="242"/>
      <c r="Z720" s="242"/>
    </row>
    <row r="721">
      <c r="A721" s="242"/>
      <c r="B721" s="524"/>
      <c r="C721" s="524"/>
      <c r="D721" s="242"/>
      <c r="E721" s="242"/>
      <c r="F721" s="242"/>
      <c r="G721" s="13"/>
      <c r="H721" s="525"/>
      <c r="I721" s="242"/>
      <c r="J721" s="242"/>
      <c r="K721" s="242"/>
      <c r="L721" s="13"/>
      <c r="M721" s="13"/>
      <c r="N721" s="242"/>
      <c r="O721" s="242"/>
      <c r="P721" s="242"/>
      <c r="Q721" s="242"/>
      <c r="R721" s="242"/>
      <c r="S721" s="242"/>
      <c r="T721" s="242"/>
      <c r="U721" s="242"/>
      <c r="V721" s="242"/>
      <c r="W721" s="242"/>
      <c r="X721" s="242"/>
      <c r="Y721" s="242"/>
      <c r="Z721" s="242"/>
    </row>
    <row r="722">
      <c r="A722" s="242"/>
      <c r="B722" s="524"/>
      <c r="C722" s="524"/>
      <c r="D722" s="242"/>
      <c r="E722" s="242"/>
      <c r="F722" s="242"/>
      <c r="G722" s="13"/>
      <c r="H722" s="525"/>
      <c r="I722" s="242"/>
      <c r="J722" s="242"/>
      <c r="K722" s="242"/>
      <c r="L722" s="13"/>
      <c r="M722" s="13"/>
      <c r="N722" s="242"/>
      <c r="O722" s="242"/>
      <c r="P722" s="242"/>
      <c r="Q722" s="242"/>
      <c r="R722" s="242"/>
      <c r="S722" s="242"/>
      <c r="T722" s="242"/>
      <c r="U722" s="242"/>
      <c r="V722" s="242"/>
      <c r="W722" s="242"/>
      <c r="X722" s="242"/>
      <c r="Y722" s="242"/>
      <c r="Z722" s="242"/>
    </row>
    <row r="723">
      <c r="A723" s="242"/>
      <c r="B723" s="524"/>
      <c r="C723" s="524"/>
      <c r="D723" s="242"/>
      <c r="E723" s="242"/>
      <c r="F723" s="242"/>
      <c r="G723" s="13"/>
      <c r="H723" s="525"/>
      <c r="I723" s="242"/>
      <c r="J723" s="242"/>
      <c r="K723" s="242"/>
      <c r="L723" s="13"/>
      <c r="M723" s="13"/>
      <c r="N723" s="242"/>
      <c r="O723" s="242"/>
      <c r="P723" s="242"/>
      <c r="Q723" s="242"/>
      <c r="R723" s="242"/>
      <c r="S723" s="242"/>
      <c r="T723" s="242"/>
      <c r="U723" s="242"/>
      <c r="V723" s="242"/>
      <c r="W723" s="242"/>
      <c r="X723" s="242"/>
      <c r="Y723" s="242"/>
      <c r="Z723" s="242"/>
    </row>
    <row r="724">
      <c r="A724" s="242"/>
      <c r="B724" s="524"/>
      <c r="C724" s="524"/>
      <c r="D724" s="242"/>
      <c r="E724" s="242"/>
      <c r="F724" s="242"/>
      <c r="G724" s="13"/>
      <c r="H724" s="525"/>
      <c r="I724" s="242"/>
      <c r="J724" s="242"/>
      <c r="K724" s="242"/>
      <c r="L724" s="13"/>
      <c r="M724" s="13"/>
      <c r="N724" s="242"/>
      <c r="O724" s="242"/>
      <c r="P724" s="242"/>
      <c r="Q724" s="242"/>
      <c r="R724" s="242"/>
      <c r="S724" s="242"/>
      <c r="T724" s="242"/>
      <c r="U724" s="242"/>
      <c r="V724" s="242"/>
      <c r="W724" s="242"/>
      <c r="X724" s="242"/>
      <c r="Y724" s="242"/>
      <c r="Z724" s="242"/>
    </row>
    <row r="725">
      <c r="A725" s="242"/>
      <c r="B725" s="524"/>
      <c r="C725" s="524"/>
      <c r="D725" s="242"/>
      <c r="E725" s="242"/>
      <c r="F725" s="242"/>
      <c r="G725" s="13"/>
      <c r="H725" s="525"/>
      <c r="I725" s="242"/>
      <c r="J725" s="242"/>
      <c r="K725" s="242"/>
      <c r="L725" s="13"/>
      <c r="M725" s="13"/>
      <c r="N725" s="242"/>
      <c r="O725" s="242"/>
      <c r="P725" s="242"/>
      <c r="Q725" s="242"/>
      <c r="R725" s="242"/>
      <c r="S725" s="242"/>
      <c r="T725" s="242"/>
      <c r="U725" s="242"/>
      <c r="V725" s="242"/>
      <c r="W725" s="242"/>
      <c r="X725" s="242"/>
      <c r="Y725" s="242"/>
      <c r="Z725" s="242"/>
    </row>
    <row r="726">
      <c r="A726" s="242"/>
      <c r="B726" s="524"/>
      <c r="C726" s="524"/>
      <c r="D726" s="242"/>
      <c r="E726" s="242"/>
      <c r="F726" s="242"/>
      <c r="G726" s="13"/>
      <c r="H726" s="525"/>
      <c r="I726" s="242"/>
      <c r="J726" s="242"/>
      <c r="K726" s="242"/>
      <c r="L726" s="13"/>
      <c r="M726" s="13"/>
      <c r="N726" s="242"/>
      <c r="O726" s="242"/>
      <c r="P726" s="242"/>
      <c r="Q726" s="242"/>
      <c r="R726" s="242"/>
      <c r="S726" s="242"/>
      <c r="T726" s="242"/>
      <c r="U726" s="242"/>
      <c r="V726" s="242"/>
      <c r="W726" s="242"/>
      <c r="X726" s="242"/>
      <c r="Y726" s="242"/>
      <c r="Z726" s="242"/>
    </row>
    <row r="727">
      <c r="A727" s="242"/>
      <c r="B727" s="524"/>
      <c r="C727" s="524"/>
      <c r="D727" s="242"/>
      <c r="E727" s="242"/>
      <c r="F727" s="242"/>
      <c r="G727" s="13"/>
      <c r="H727" s="525"/>
      <c r="I727" s="242"/>
      <c r="J727" s="242"/>
      <c r="K727" s="242"/>
      <c r="L727" s="13"/>
      <c r="M727" s="13"/>
      <c r="N727" s="242"/>
      <c r="O727" s="242"/>
      <c r="P727" s="242"/>
      <c r="Q727" s="242"/>
      <c r="R727" s="242"/>
      <c r="S727" s="242"/>
      <c r="T727" s="242"/>
      <c r="U727" s="242"/>
      <c r="V727" s="242"/>
      <c r="W727" s="242"/>
      <c r="X727" s="242"/>
      <c r="Y727" s="242"/>
      <c r="Z727" s="242"/>
    </row>
    <row r="728">
      <c r="A728" s="242"/>
      <c r="B728" s="524"/>
      <c r="C728" s="524"/>
      <c r="D728" s="242"/>
      <c r="E728" s="242"/>
      <c r="F728" s="242"/>
      <c r="G728" s="13"/>
      <c r="H728" s="525"/>
      <c r="I728" s="242"/>
      <c r="J728" s="242"/>
      <c r="K728" s="242"/>
      <c r="L728" s="13"/>
      <c r="M728" s="13"/>
      <c r="N728" s="242"/>
      <c r="O728" s="242"/>
      <c r="P728" s="242"/>
      <c r="Q728" s="242"/>
      <c r="R728" s="242"/>
      <c r="S728" s="242"/>
      <c r="T728" s="242"/>
      <c r="U728" s="242"/>
      <c r="V728" s="242"/>
      <c r="W728" s="242"/>
      <c r="X728" s="242"/>
      <c r="Y728" s="242"/>
      <c r="Z728" s="242"/>
    </row>
    <row r="729">
      <c r="A729" s="242"/>
      <c r="B729" s="524"/>
      <c r="C729" s="524"/>
      <c r="D729" s="242"/>
      <c r="E729" s="242"/>
      <c r="F729" s="242"/>
      <c r="G729" s="13"/>
      <c r="H729" s="525"/>
      <c r="I729" s="242"/>
      <c r="J729" s="242"/>
      <c r="K729" s="242"/>
      <c r="L729" s="13"/>
      <c r="M729" s="13"/>
      <c r="N729" s="242"/>
      <c r="O729" s="242"/>
      <c r="P729" s="242"/>
      <c r="Q729" s="242"/>
      <c r="R729" s="242"/>
      <c r="S729" s="242"/>
      <c r="T729" s="242"/>
      <c r="U729" s="242"/>
      <c r="V729" s="242"/>
      <c r="W729" s="242"/>
      <c r="X729" s="242"/>
      <c r="Y729" s="242"/>
      <c r="Z729" s="242"/>
    </row>
    <row r="730">
      <c r="A730" s="242"/>
      <c r="B730" s="524"/>
      <c r="C730" s="524"/>
      <c r="D730" s="242"/>
      <c r="E730" s="242"/>
      <c r="F730" s="242"/>
      <c r="G730" s="13"/>
      <c r="H730" s="525"/>
      <c r="I730" s="242"/>
      <c r="J730" s="242"/>
      <c r="K730" s="242"/>
      <c r="L730" s="13"/>
      <c r="M730" s="13"/>
      <c r="N730" s="242"/>
      <c r="O730" s="242"/>
      <c r="P730" s="242"/>
      <c r="Q730" s="242"/>
      <c r="R730" s="242"/>
      <c r="S730" s="242"/>
      <c r="T730" s="242"/>
      <c r="U730" s="242"/>
      <c r="V730" s="242"/>
      <c r="W730" s="242"/>
      <c r="X730" s="242"/>
      <c r="Y730" s="242"/>
      <c r="Z730" s="242"/>
    </row>
    <row r="731">
      <c r="A731" s="242"/>
      <c r="B731" s="524"/>
      <c r="C731" s="524"/>
      <c r="D731" s="242"/>
      <c r="E731" s="242"/>
      <c r="F731" s="242"/>
      <c r="G731" s="13"/>
      <c r="H731" s="525"/>
      <c r="I731" s="242"/>
      <c r="J731" s="242"/>
      <c r="K731" s="242"/>
      <c r="L731" s="13"/>
      <c r="M731" s="13"/>
      <c r="N731" s="242"/>
      <c r="O731" s="242"/>
      <c r="P731" s="242"/>
      <c r="Q731" s="242"/>
      <c r="R731" s="242"/>
      <c r="S731" s="242"/>
      <c r="T731" s="242"/>
      <c r="U731" s="242"/>
      <c r="V731" s="242"/>
      <c r="W731" s="242"/>
      <c r="X731" s="242"/>
      <c r="Y731" s="242"/>
      <c r="Z731" s="242"/>
    </row>
    <row r="732">
      <c r="A732" s="242"/>
      <c r="B732" s="524"/>
      <c r="C732" s="524"/>
      <c r="D732" s="242"/>
      <c r="E732" s="242"/>
      <c r="F732" s="242"/>
      <c r="G732" s="13"/>
      <c r="H732" s="525"/>
      <c r="I732" s="242"/>
      <c r="J732" s="242"/>
      <c r="K732" s="242"/>
      <c r="L732" s="13"/>
      <c r="M732" s="13"/>
      <c r="N732" s="242"/>
      <c r="O732" s="242"/>
      <c r="P732" s="242"/>
      <c r="Q732" s="242"/>
      <c r="R732" s="242"/>
      <c r="S732" s="242"/>
      <c r="T732" s="242"/>
      <c r="U732" s="242"/>
      <c r="V732" s="242"/>
      <c r="W732" s="242"/>
      <c r="X732" s="242"/>
      <c r="Y732" s="242"/>
      <c r="Z732" s="242"/>
    </row>
    <row r="733">
      <c r="A733" s="242"/>
      <c r="B733" s="524"/>
      <c r="C733" s="524"/>
      <c r="D733" s="242"/>
      <c r="E733" s="242"/>
      <c r="F733" s="242"/>
      <c r="G733" s="13"/>
      <c r="H733" s="525"/>
      <c r="I733" s="242"/>
      <c r="J733" s="242"/>
      <c r="K733" s="242"/>
      <c r="L733" s="13"/>
      <c r="M733" s="13"/>
      <c r="N733" s="242"/>
      <c r="O733" s="242"/>
      <c r="P733" s="242"/>
      <c r="Q733" s="242"/>
      <c r="R733" s="242"/>
      <c r="S733" s="242"/>
      <c r="T733" s="242"/>
      <c r="U733" s="242"/>
      <c r="V733" s="242"/>
      <c r="W733" s="242"/>
      <c r="X733" s="242"/>
      <c r="Y733" s="242"/>
      <c r="Z733" s="242"/>
    </row>
    <row r="734">
      <c r="A734" s="242"/>
      <c r="B734" s="524"/>
      <c r="C734" s="524"/>
      <c r="D734" s="242"/>
      <c r="E734" s="242"/>
      <c r="F734" s="242"/>
      <c r="G734" s="13"/>
      <c r="H734" s="525"/>
      <c r="I734" s="242"/>
      <c r="J734" s="242"/>
      <c r="K734" s="242"/>
      <c r="L734" s="13"/>
      <c r="M734" s="13"/>
      <c r="N734" s="242"/>
      <c r="O734" s="242"/>
      <c r="P734" s="242"/>
      <c r="Q734" s="242"/>
      <c r="R734" s="242"/>
      <c r="S734" s="242"/>
      <c r="T734" s="242"/>
      <c r="U734" s="242"/>
      <c r="V734" s="242"/>
      <c r="W734" s="242"/>
      <c r="X734" s="242"/>
      <c r="Y734" s="242"/>
      <c r="Z734" s="242"/>
    </row>
    <row r="735">
      <c r="A735" s="242"/>
      <c r="B735" s="524"/>
      <c r="C735" s="524"/>
      <c r="D735" s="242"/>
      <c r="E735" s="242"/>
      <c r="F735" s="242"/>
      <c r="G735" s="13"/>
      <c r="H735" s="525"/>
      <c r="I735" s="242"/>
      <c r="J735" s="242"/>
      <c r="K735" s="242"/>
      <c r="L735" s="13"/>
      <c r="M735" s="13"/>
      <c r="N735" s="242"/>
      <c r="O735" s="242"/>
      <c r="P735" s="242"/>
      <c r="Q735" s="242"/>
      <c r="R735" s="242"/>
      <c r="S735" s="242"/>
      <c r="T735" s="242"/>
      <c r="U735" s="242"/>
      <c r="V735" s="242"/>
      <c r="W735" s="242"/>
      <c r="X735" s="242"/>
      <c r="Y735" s="242"/>
      <c r="Z735" s="242"/>
    </row>
    <row r="736">
      <c r="A736" s="242"/>
      <c r="B736" s="524"/>
      <c r="C736" s="524"/>
      <c r="D736" s="242"/>
      <c r="E736" s="242"/>
      <c r="F736" s="242"/>
      <c r="G736" s="13"/>
      <c r="H736" s="525"/>
      <c r="I736" s="242"/>
      <c r="J736" s="242"/>
      <c r="K736" s="242"/>
      <c r="L736" s="13"/>
      <c r="M736" s="13"/>
      <c r="N736" s="242"/>
      <c r="O736" s="242"/>
      <c r="P736" s="242"/>
      <c r="Q736" s="242"/>
      <c r="R736" s="242"/>
      <c r="S736" s="242"/>
      <c r="T736" s="242"/>
      <c r="U736" s="242"/>
      <c r="V736" s="242"/>
      <c r="W736" s="242"/>
      <c r="X736" s="242"/>
      <c r="Y736" s="242"/>
      <c r="Z736" s="242"/>
    </row>
    <row r="737">
      <c r="A737" s="242"/>
      <c r="B737" s="524"/>
      <c r="C737" s="524"/>
      <c r="D737" s="242"/>
      <c r="E737" s="242"/>
      <c r="F737" s="242"/>
      <c r="G737" s="13"/>
      <c r="H737" s="525"/>
      <c r="I737" s="242"/>
      <c r="J737" s="242"/>
      <c r="K737" s="242"/>
      <c r="L737" s="13"/>
      <c r="M737" s="13"/>
      <c r="N737" s="242"/>
      <c r="O737" s="242"/>
      <c r="P737" s="242"/>
      <c r="Q737" s="242"/>
      <c r="R737" s="242"/>
      <c r="S737" s="242"/>
      <c r="T737" s="242"/>
      <c r="U737" s="242"/>
      <c r="V737" s="242"/>
      <c r="W737" s="242"/>
      <c r="X737" s="242"/>
      <c r="Y737" s="242"/>
      <c r="Z737" s="242"/>
    </row>
    <row r="738">
      <c r="A738" s="242"/>
      <c r="B738" s="524"/>
      <c r="C738" s="524"/>
      <c r="D738" s="242"/>
      <c r="E738" s="242"/>
      <c r="F738" s="242"/>
      <c r="G738" s="13"/>
      <c r="H738" s="525"/>
      <c r="I738" s="242"/>
      <c r="J738" s="242"/>
      <c r="K738" s="242"/>
      <c r="L738" s="13"/>
      <c r="M738" s="13"/>
      <c r="N738" s="242"/>
      <c r="O738" s="242"/>
      <c r="P738" s="242"/>
      <c r="Q738" s="242"/>
      <c r="R738" s="242"/>
      <c r="S738" s="242"/>
      <c r="T738" s="242"/>
      <c r="U738" s="242"/>
      <c r="V738" s="242"/>
      <c r="W738" s="242"/>
      <c r="X738" s="242"/>
      <c r="Y738" s="242"/>
      <c r="Z738" s="242"/>
    </row>
    <row r="739">
      <c r="A739" s="242"/>
      <c r="B739" s="524"/>
      <c r="C739" s="524"/>
      <c r="D739" s="242"/>
      <c r="E739" s="242"/>
      <c r="F739" s="242"/>
      <c r="G739" s="13"/>
      <c r="H739" s="525"/>
      <c r="I739" s="242"/>
      <c r="J739" s="242"/>
      <c r="K739" s="242"/>
      <c r="L739" s="13"/>
      <c r="M739" s="13"/>
      <c r="N739" s="242"/>
      <c r="O739" s="242"/>
      <c r="P739" s="242"/>
      <c r="Q739" s="242"/>
      <c r="R739" s="242"/>
      <c r="S739" s="242"/>
      <c r="T739" s="242"/>
      <c r="U739" s="242"/>
      <c r="V739" s="242"/>
      <c r="W739" s="242"/>
      <c r="X739" s="242"/>
      <c r="Y739" s="242"/>
      <c r="Z739" s="242"/>
    </row>
    <row r="740">
      <c r="A740" s="242"/>
      <c r="B740" s="524"/>
      <c r="C740" s="524"/>
      <c r="D740" s="242"/>
      <c r="E740" s="242"/>
      <c r="F740" s="242"/>
      <c r="G740" s="13"/>
      <c r="H740" s="525"/>
      <c r="I740" s="242"/>
      <c r="J740" s="242"/>
      <c r="K740" s="242"/>
      <c r="L740" s="13"/>
      <c r="M740" s="13"/>
      <c r="N740" s="242"/>
      <c r="O740" s="242"/>
      <c r="P740" s="242"/>
      <c r="Q740" s="242"/>
      <c r="R740" s="242"/>
      <c r="S740" s="242"/>
      <c r="T740" s="242"/>
      <c r="U740" s="242"/>
      <c r="V740" s="242"/>
      <c r="W740" s="242"/>
      <c r="X740" s="242"/>
      <c r="Y740" s="242"/>
      <c r="Z740" s="242"/>
    </row>
    <row r="741">
      <c r="A741" s="242"/>
      <c r="B741" s="524"/>
      <c r="C741" s="524"/>
      <c r="D741" s="242"/>
      <c r="E741" s="242"/>
      <c r="F741" s="242"/>
      <c r="G741" s="13"/>
      <c r="H741" s="525"/>
      <c r="I741" s="242"/>
      <c r="J741" s="242"/>
      <c r="K741" s="242"/>
      <c r="L741" s="13"/>
      <c r="M741" s="13"/>
      <c r="N741" s="242"/>
      <c r="O741" s="242"/>
      <c r="P741" s="242"/>
      <c r="Q741" s="242"/>
      <c r="R741" s="242"/>
      <c r="S741" s="242"/>
      <c r="T741" s="242"/>
      <c r="U741" s="242"/>
      <c r="V741" s="242"/>
      <c r="W741" s="242"/>
      <c r="X741" s="242"/>
      <c r="Y741" s="242"/>
      <c r="Z741" s="242"/>
    </row>
    <row r="742">
      <c r="A742" s="242"/>
      <c r="B742" s="524"/>
      <c r="C742" s="524"/>
      <c r="D742" s="242"/>
      <c r="E742" s="242"/>
      <c r="F742" s="242"/>
      <c r="G742" s="13"/>
      <c r="H742" s="525"/>
      <c r="I742" s="242"/>
      <c r="J742" s="242"/>
      <c r="K742" s="242"/>
      <c r="L742" s="13"/>
      <c r="M742" s="13"/>
      <c r="N742" s="242"/>
      <c r="O742" s="242"/>
      <c r="P742" s="242"/>
      <c r="Q742" s="242"/>
      <c r="R742" s="242"/>
      <c r="S742" s="242"/>
      <c r="T742" s="242"/>
      <c r="U742" s="242"/>
      <c r="V742" s="242"/>
      <c r="W742" s="242"/>
      <c r="X742" s="242"/>
      <c r="Y742" s="242"/>
      <c r="Z742" s="242"/>
    </row>
    <row r="743">
      <c r="A743" s="242"/>
      <c r="B743" s="524"/>
      <c r="C743" s="524"/>
      <c r="D743" s="242"/>
      <c r="E743" s="242"/>
      <c r="F743" s="242"/>
      <c r="G743" s="13"/>
      <c r="H743" s="525"/>
      <c r="I743" s="242"/>
      <c r="J743" s="242"/>
      <c r="K743" s="242"/>
      <c r="L743" s="13"/>
      <c r="M743" s="13"/>
      <c r="N743" s="242"/>
      <c r="O743" s="242"/>
      <c r="P743" s="242"/>
      <c r="Q743" s="242"/>
      <c r="R743" s="242"/>
      <c r="S743" s="242"/>
      <c r="T743" s="242"/>
      <c r="U743" s="242"/>
      <c r="V743" s="242"/>
      <c r="W743" s="242"/>
      <c r="X743" s="242"/>
      <c r="Y743" s="242"/>
      <c r="Z743" s="242"/>
    </row>
    <row r="744">
      <c r="A744" s="242"/>
      <c r="B744" s="524"/>
      <c r="C744" s="524"/>
      <c r="D744" s="242"/>
      <c r="E744" s="242"/>
      <c r="F744" s="242"/>
      <c r="G744" s="13"/>
      <c r="H744" s="525"/>
      <c r="I744" s="242"/>
      <c r="J744" s="242"/>
      <c r="K744" s="242"/>
      <c r="L744" s="13"/>
      <c r="M744" s="13"/>
      <c r="N744" s="242"/>
      <c r="O744" s="242"/>
      <c r="P744" s="242"/>
      <c r="Q744" s="242"/>
      <c r="R744" s="242"/>
      <c r="S744" s="242"/>
      <c r="T744" s="242"/>
      <c r="U744" s="242"/>
      <c r="V744" s="242"/>
      <c r="W744" s="242"/>
      <c r="X744" s="242"/>
      <c r="Y744" s="242"/>
      <c r="Z744" s="242"/>
    </row>
    <row r="745">
      <c r="A745" s="242"/>
      <c r="B745" s="524"/>
      <c r="C745" s="524"/>
      <c r="D745" s="242"/>
      <c r="E745" s="242"/>
      <c r="F745" s="242"/>
      <c r="G745" s="13"/>
      <c r="H745" s="525"/>
      <c r="I745" s="242"/>
      <c r="J745" s="242"/>
      <c r="K745" s="242"/>
      <c r="L745" s="13"/>
      <c r="M745" s="13"/>
      <c r="N745" s="242"/>
      <c r="O745" s="242"/>
      <c r="P745" s="242"/>
      <c r="Q745" s="242"/>
      <c r="R745" s="242"/>
      <c r="S745" s="242"/>
      <c r="T745" s="242"/>
      <c r="U745" s="242"/>
      <c r="V745" s="242"/>
      <c r="W745" s="242"/>
      <c r="X745" s="242"/>
      <c r="Y745" s="242"/>
      <c r="Z745" s="242"/>
    </row>
    <row r="746">
      <c r="A746" s="242"/>
      <c r="B746" s="524"/>
      <c r="C746" s="524"/>
      <c r="D746" s="242"/>
      <c r="E746" s="242"/>
      <c r="F746" s="242"/>
      <c r="G746" s="13"/>
      <c r="H746" s="525"/>
      <c r="I746" s="242"/>
      <c r="J746" s="242"/>
      <c r="K746" s="242"/>
      <c r="L746" s="13"/>
      <c r="M746" s="13"/>
      <c r="N746" s="242"/>
      <c r="O746" s="242"/>
      <c r="P746" s="242"/>
      <c r="Q746" s="242"/>
      <c r="R746" s="242"/>
      <c r="S746" s="242"/>
      <c r="T746" s="242"/>
      <c r="U746" s="242"/>
      <c r="V746" s="242"/>
      <c r="W746" s="242"/>
      <c r="X746" s="242"/>
      <c r="Y746" s="242"/>
      <c r="Z746" s="242"/>
    </row>
    <row r="747">
      <c r="A747" s="242"/>
      <c r="B747" s="524"/>
      <c r="C747" s="524"/>
      <c r="D747" s="242"/>
      <c r="E747" s="242"/>
      <c r="F747" s="242"/>
      <c r="G747" s="13"/>
      <c r="H747" s="525"/>
      <c r="I747" s="242"/>
      <c r="J747" s="242"/>
      <c r="K747" s="242"/>
      <c r="L747" s="13"/>
      <c r="M747" s="13"/>
      <c r="N747" s="242"/>
      <c r="O747" s="242"/>
      <c r="P747" s="242"/>
      <c r="Q747" s="242"/>
      <c r="R747" s="242"/>
      <c r="S747" s="242"/>
      <c r="T747" s="242"/>
      <c r="U747" s="242"/>
      <c r="V747" s="242"/>
      <c r="W747" s="242"/>
      <c r="X747" s="242"/>
      <c r="Y747" s="242"/>
      <c r="Z747" s="242"/>
    </row>
    <row r="748">
      <c r="A748" s="242"/>
      <c r="B748" s="524"/>
      <c r="C748" s="524"/>
      <c r="D748" s="242"/>
      <c r="E748" s="242"/>
      <c r="F748" s="242"/>
      <c r="G748" s="13"/>
      <c r="H748" s="525"/>
      <c r="I748" s="242"/>
      <c r="J748" s="242"/>
      <c r="K748" s="242"/>
      <c r="L748" s="13"/>
      <c r="M748" s="13"/>
      <c r="N748" s="242"/>
      <c r="O748" s="242"/>
      <c r="P748" s="242"/>
      <c r="Q748" s="242"/>
      <c r="R748" s="242"/>
      <c r="S748" s="242"/>
      <c r="T748" s="242"/>
      <c r="U748" s="242"/>
      <c r="V748" s="242"/>
      <c r="W748" s="242"/>
      <c r="X748" s="242"/>
      <c r="Y748" s="242"/>
      <c r="Z748" s="242"/>
    </row>
    <row r="749">
      <c r="A749" s="242"/>
      <c r="B749" s="524"/>
      <c r="C749" s="524"/>
      <c r="D749" s="242"/>
      <c r="E749" s="242"/>
      <c r="F749" s="242"/>
      <c r="G749" s="13"/>
      <c r="H749" s="525"/>
      <c r="I749" s="242"/>
      <c r="J749" s="242"/>
      <c r="K749" s="242"/>
      <c r="L749" s="13"/>
      <c r="M749" s="13"/>
      <c r="N749" s="242"/>
      <c r="O749" s="242"/>
      <c r="P749" s="242"/>
      <c r="Q749" s="242"/>
      <c r="R749" s="242"/>
      <c r="S749" s="242"/>
      <c r="T749" s="242"/>
      <c r="U749" s="242"/>
      <c r="V749" s="242"/>
      <c r="W749" s="242"/>
      <c r="X749" s="242"/>
      <c r="Y749" s="242"/>
      <c r="Z749" s="242"/>
    </row>
    <row r="750">
      <c r="A750" s="242"/>
      <c r="B750" s="524"/>
      <c r="C750" s="524"/>
      <c r="D750" s="242"/>
      <c r="E750" s="242"/>
      <c r="F750" s="242"/>
      <c r="G750" s="13"/>
      <c r="H750" s="525"/>
      <c r="I750" s="242"/>
      <c r="J750" s="242"/>
      <c r="K750" s="242"/>
      <c r="L750" s="13"/>
      <c r="M750" s="13"/>
      <c r="N750" s="242"/>
      <c r="O750" s="242"/>
      <c r="P750" s="242"/>
      <c r="Q750" s="242"/>
      <c r="R750" s="242"/>
      <c r="S750" s="242"/>
      <c r="T750" s="242"/>
      <c r="U750" s="242"/>
      <c r="V750" s="242"/>
      <c r="W750" s="242"/>
      <c r="X750" s="242"/>
      <c r="Y750" s="242"/>
      <c r="Z750" s="242"/>
    </row>
    <row r="751">
      <c r="A751" s="242"/>
      <c r="B751" s="524"/>
      <c r="C751" s="524"/>
      <c r="D751" s="242"/>
      <c r="E751" s="242"/>
      <c r="F751" s="242"/>
      <c r="G751" s="13"/>
      <c r="H751" s="525"/>
      <c r="I751" s="242"/>
      <c r="J751" s="242"/>
      <c r="K751" s="242"/>
      <c r="L751" s="13"/>
      <c r="M751" s="13"/>
      <c r="N751" s="242"/>
      <c r="O751" s="242"/>
      <c r="P751" s="242"/>
      <c r="Q751" s="242"/>
      <c r="R751" s="242"/>
      <c r="S751" s="242"/>
      <c r="T751" s="242"/>
      <c r="U751" s="242"/>
      <c r="V751" s="242"/>
      <c r="W751" s="242"/>
      <c r="X751" s="242"/>
      <c r="Y751" s="242"/>
      <c r="Z751" s="242"/>
    </row>
    <row r="752">
      <c r="A752" s="242"/>
      <c r="B752" s="524"/>
      <c r="C752" s="524"/>
      <c r="D752" s="242"/>
      <c r="E752" s="242"/>
      <c r="F752" s="242"/>
      <c r="G752" s="13"/>
      <c r="H752" s="525"/>
      <c r="I752" s="242"/>
      <c r="J752" s="242"/>
      <c r="K752" s="242"/>
      <c r="L752" s="13"/>
      <c r="M752" s="13"/>
      <c r="N752" s="242"/>
      <c r="O752" s="242"/>
      <c r="P752" s="242"/>
      <c r="Q752" s="242"/>
      <c r="R752" s="242"/>
      <c r="S752" s="242"/>
      <c r="T752" s="242"/>
      <c r="U752" s="242"/>
      <c r="V752" s="242"/>
      <c r="W752" s="242"/>
      <c r="X752" s="242"/>
      <c r="Y752" s="242"/>
      <c r="Z752" s="242"/>
    </row>
    <row r="753">
      <c r="A753" s="242"/>
      <c r="B753" s="524"/>
      <c r="C753" s="524"/>
      <c r="D753" s="242"/>
      <c r="E753" s="242"/>
      <c r="F753" s="242"/>
      <c r="G753" s="13"/>
      <c r="H753" s="525"/>
      <c r="I753" s="242"/>
      <c r="J753" s="242"/>
      <c r="K753" s="242"/>
      <c r="L753" s="13"/>
      <c r="M753" s="13"/>
      <c r="N753" s="242"/>
      <c r="O753" s="242"/>
      <c r="P753" s="242"/>
      <c r="Q753" s="242"/>
      <c r="R753" s="242"/>
      <c r="S753" s="242"/>
      <c r="T753" s="242"/>
      <c r="U753" s="242"/>
      <c r="V753" s="242"/>
      <c r="W753" s="242"/>
      <c r="X753" s="242"/>
      <c r="Y753" s="242"/>
      <c r="Z753" s="242"/>
    </row>
    <row r="754">
      <c r="A754" s="242"/>
      <c r="B754" s="524"/>
      <c r="C754" s="524"/>
      <c r="D754" s="242"/>
      <c r="E754" s="242"/>
      <c r="F754" s="242"/>
      <c r="G754" s="13"/>
      <c r="H754" s="525"/>
      <c r="I754" s="242"/>
      <c r="J754" s="242"/>
      <c r="K754" s="242"/>
      <c r="L754" s="13"/>
      <c r="M754" s="13"/>
      <c r="N754" s="242"/>
      <c r="O754" s="242"/>
      <c r="P754" s="242"/>
      <c r="Q754" s="242"/>
      <c r="R754" s="242"/>
      <c r="S754" s="242"/>
      <c r="T754" s="242"/>
      <c r="U754" s="242"/>
      <c r="V754" s="242"/>
      <c r="W754" s="242"/>
      <c r="X754" s="242"/>
      <c r="Y754" s="242"/>
      <c r="Z754" s="242"/>
    </row>
    <row r="755">
      <c r="A755" s="242"/>
      <c r="B755" s="524"/>
      <c r="C755" s="524"/>
      <c r="D755" s="242"/>
      <c r="E755" s="242"/>
      <c r="F755" s="242"/>
      <c r="G755" s="13"/>
      <c r="H755" s="525"/>
      <c r="I755" s="242"/>
      <c r="J755" s="242"/>
      <c r="K755" s="242"/>
      <c r="L755" s="13"/>
      <c r="M755" s="13"/>
      <c r="N755" s="242"/>
      <c r="O755" s="242"/>
      <c r="P755" s="242"/>
      <c r="Q755" s="242"/>
      <c r="R755" s="242"/>
      <c r="S755" s="242"/>
      <c r="T755" s="242"/>
      <c r="U755" s="242"/>
      <c r="V755" s="242"/>
      <c r="W755" s="242"/>
      <c r="X755" s="242"/>
      <c r="Y755" s="242"/>
      <c r="Z755" s="242"/>
    </row>
    <row r="756">
      <c r="A756" s="242"/>
      <c r="B756" s="524"/>
      <c r="C756" s="524"/>
      <c r="D756" s="242"/>
      <c r="E756" s="242"/>
      <c r="F756" s="242"/>
      <c r="G756" s="13"/>
      <c r="H756" s="525"/>
      <c r="I756" s="242"/>
      <c r="J756" s="242"/>
      <c r="K756" s="242"/>
      <c r="L756" s="13"/>
      <c r="M756" s="13"/>
      <c r="N756" s="242"/>
      <c r="O756" s="242"/>
      <c r="P756" s="242"/>
      <c r="Q756" s="242"/>
      <c r="R756" s="242"/>
      <c r="S756" s="242"/>
      <c r="T756" s="242"/>
      <c r="U756" s="242"/>
      <c r="V756" s="242"/>
      <c r="W756" s="242"/>
      <c r="X756" s="242"/>
      <c r="Y756" s="242"/>
      <c r="Z756" s="242"/>
    </row>
    <row r="757">
      <c r="A757" s="242"/>
      <c r="B757" s="524"/>
      <c r="C757" s="524"/>
      <c r="D757" s="242"/>
      <c r="E757" s="242"/>
      <c r="F757" s="242"/>
      <c r="G757" s="13"/>
      <c r="H757" s="525"/>
      <c r="I757" s="242"/>
      <c r="J757" s="242"/>
      <c r="K757" s="242"/>
      <c r="L757" s="13"/>
      <c r="M757" s="13"/>
      <c r="N757" s="242"/>
      <c r="O757" s="242"/>
      <c r="P757" s="242"/>
      <c r="Q757" s="242"/>
      <c r="R757" s="242"/>
      <c r="S757" s="242"/>
      <c r="T757" s="242"/>
      <c r="U757" s="242"/>
      <c r="V757" s="242"/>
      <c r="W757" s="242"/>
      <c r="X757" s="242"/>
      <c r="Y757" s="242"/>
      <c r="Z757" s="242"/>
    </row>
    <row r="758">
      <c r="A758" s="242"/>
      <c r="B758" s="524"/>
      <c r="C758" s="524"/>
      <c r="D758" s="242"/>
      <c r="E758" s="242"/>
      <c r="F758" s="242"/>
      <c r="G758" s="13"/>
      <c r="H758" s="525"/>
      <c r="I758" s="242"/>
      <c r="J758" s="242"/>
      <c r="K758" s="242"/>
      <c r="L758" s="13"/>
      <c r="M758" s="13"/>
      <c r="N758" s="242"/>
      <c r="O758" s="242"/>
      <c r="P758" s="242"/>
      <c r="Q758" s="242"/>
      <c r="R758" s="242"/>
      <c r="S758" s="242"/>
      <c r="T758" s="242"/>
      <c r="U758" s="242"/>
      <c r="V758" s="242"/>
      <c r="W758" s="242"/>
      <c r="X758" s="242"/>
      <c r="Y758" s="242"/>
      <c r="Z758" s="242"/>
    </row>
    <row r="759">
      <c r="A759" s="242"/>
      <c r="B759" s="524"/>
      <c r="C759" s="524"/>
      <c r="D759" s="242"/>
      <c r="E759" s="242"/>
      <c r="F759" s="242"/>
      <c r="G759" s="13"/>
      <c r="H759" s="525"/>
      <c r="I759" s="242"/>
      <c r="J759" s="242"/>
      <c r="K759" s="242"/>
      <c r="L759" s="13"/>
      <c r="M759" s="13"/>
      <c r="N759" s="242"/>
      <c r="O759" s="242"/>
      <c r="P759" s="242"/>
      <c r="Q759" s="242"/>
      <c r="R759" s="242"/>
      <c r="S759" s="242"/>
      <c r="T759" s="242"/>
      <c r="U759" s="242"/>
      <c r="V759" s="242"/>
      <c r="W759" s="242"/>
      <c r="X759" s="242"/>
      <c r="Y759" s="242"/>
      <c r="Z759" s="242"/>
    </row>
    <row r="760">
      <c r="A760" s="242"/>
      <c r="B760" s="524"/>
      <c r="C760" s="524"/>
      <c r="D760" s="242"/>
      <c r="E760" s="242"/>
      <c r="F760" s="242"/>
      <c r="G760" s="13"/>
      <c r="H760" s="525"/>
      <c r="I760" s="242"/>
      <c r="J760" s="242"/>
      <c r="K760" s="242"/>
      <c r="L760" s="13"/>
      <c r="M760" s="13"/>
      <c r="N760" s="242"/>
      <c r="O760" s="242"/>
      <c r="P760" s="242"/>
      <c r="Q760" s="242"/>
      <c r="R760" s="242"/>
      <c r="S760" s="242"/>
      <c r="T760" s="242"/>
      <c r="U760" s="242"/>
      <c r="V760" s="242"/>
      <c r="W760" s="242"/>
      <c r="X760" s="242"/>
      <c r="Y760" s="242"/>
      <c r="Z760" s="242"/>
    </row>
    <row r="761">
      <c r="A761" s="242"/>
      <c r="B761" s="524"/>
      <c r="C761" s="524"/>
      <c r="D761" s="242"/>
      <c r="E761" s="242"/>
      <c r="F761" s="242"/>
      <c r="G761" s="13"/>
      <c r="H761" s="525"/>
      <c r="I761" s="242"/>
      <c r="J761" s="242"/>
      <c r="K761" s="242"/>
      <c r="L761" s="13"/>
      <c r="M761" s="13"/>
      <c r="N761" s="242"/>
      <c r="O761" s="242"/>
      <c r="P761" s="242"/>
      <c r="Q761" s="242"/>
      <c r="R761" s="242"/>
      <c r="S761" s="242"/>
      <c r="T761" s="242"/>
      <c r="U761" s="242"/>
      <c r="V761" s="242"/>
      <c r="W761" s="242"/>
      <c r="X761" s="242"/>
      <c r="Y761" s="242"/>
      <c r="Z761" s="242"/>
    </row>
    <row r="762">
      <c r="A762" s="242"/>
      <c r="B762" s="524"/>
      <c r="C762" s="524"/>
      <c r="D762" s="242"/>
      <c r="E762" s="242"/>
      <c r="F762" s="242"/>
      <c r="G762" s="13"/>
      <c r="H762" s="525"/>
      <c r="I762" s="242"/>
      <c r="J762" s="242"/>
      <c r="K762" s="242"/>
      <c r="L762" s="13"/>
      <c r="M762" s="13"/>
      <c r="N762" s="242"/>
      <c r="O762" s="242"/>
      <c r="P762" s="242"/>
      <c r="Q762" s="242"/>
      <c r="R762" s="242"/>
      <c r="S762" s="242"/>
      <c r="T762" s="242"/>
      <c r="U762" s="242"/>
      <c r="V762" s="242"/>
      <c r="W762" s="242"/>
      <c r="X762" s="242"/>
      <c r="Y762" s="242"/>
      <c r="Z762" s="242"/>
    </row>
    <row r="763">
      <c r="A763" s="242"/>
      <c r="B763" s="524"/>
      <c r="C763" s="524"/>
      <c r="D763" s="242"/>
      <c r="E763" s="242"/>
      <c r="F763" s="242"/>
      <c r="G763" s="13"/>
      <c r="H763" s="525"/>
      <c r="I763" s="242"/>
      <c r="J763" s="242"/>
      <c r="K763" s="242"/>
      <c r="L763" s="13"/>
      <c r="M763" s="13"/>
      <c r="N763" s="242"/>
      <c r="O763" s="242"/>
      <c r="P763" s="242"/>
      <c r="Q763" s="242"/>
      <c r="R763" s="242"/>
      <c r="S763" s="242"/>
      <c r="T763" s="242"/>
      <c r="U763" s="242"/>
      <c r="V763" s="242"/>
      <c r="W763" s="242"/>
      <c r="X763" s="242"/>
      <c r="Y763" s="242"/>
      <c r="Z763" s="242"/>
    </row>
    <row r="764">
      <c r="A764" s="242"/>
      <c r="B764" s="524"/>
      <c r="C764" s="524"/>
      <c r="D764" s="242"/>
      <c r="E764" s="242"/>
      <c r="F764" s="242"/>
      <c r="G764" s="13"/>
      <c r="H764" s="525"/>
      <c r="I764" s="242"/>
      <c r="J764" s="242"/>
      <c r="K764" s="242"/>
      <c r="L764" s="13"/>
      <c r="M764" s="13"/>
      <c r="N764" s="242"/>
      <c r="O764" s="242"/>
      <c r="P764" s="242"/>
      <c r="Q764" s="242"/>
      <c r="R764" s="242"/>
      <c r="S764" s="242"/>
      <c r="T764" s="242"/>
      <c r="U764" s="242"/>
      <c r="V764" s="242"/>
      <c r="W764" s="242"/>
      <c r="X764" s="242"/>
      <c r="Y764" s="242"/>
      <c r="Z764" s="242"/>
    </row>
    <row r="765">
      <c r="A765" s="242"/>
      <c r="B765" s="524"/>
      <c r="C765" s="524"/>
      <c r="D765" s="242"/>
      <c r="E765" s="242"/>
      <c r="F765" s="242"/>
      <c r="G765" s="13"/>
      <c r="H765" s="525"/>
      <c r="I765" s="242"/>
      <c r="J765" s="242"/>
      <c r="K765" s="242"/>
      <c r="L765" s="13"/>
      <c r="M765" s="13"/>
      <c r="N765" s="242"/>
      <c r="O765" s="242"/>
      <c r="P765" s="242"/>
      <c r="Q765" s="242"/>
      <c r="R765" s="242"/>
      <c r="S765" s="242"/>
      <c r="T765" s="242"/>
      <c r="U765" s="242"/>
      <c r="V765" s="242"/>
      <c r="W765" s="242"/>
      <c r="X765" s="242"/>
      <c r="Y765" s="242"/>
      <c r="Z765" s="242"/>
    </row>
    <row r="766">
      <c r="A766" s="242"/>
      <c r="B766" s="524"/>
      <c r="C766" s="524"/>
      <c r="D766" s="242"/>
      <c r="E766" s="242"/>
      <c r="F766" s="242"/>
      <c r="G766" s="13"/>
      <c r="H766" s="525"/>
      <c r="I766" s="242"/>
      <c r="J766" s="242"/>
      <c r="K766" s="242"/>
      <c r="L766" s="13"/>
      <c r="M766" s="13"/>
      <c r="N766" s="242"/>
      <c r="O766" s="242"/>
      <c r="P766" s="242"/>
      <c r="Q766" s="242"/>
      <c r="R766" s="242"/>
      <c r="S766" s="242"/>
      <c r="T766" s="242"/>
      <c r="U766" s="242"/>
      <c r="V766" s="242"/>
      <c r="W766" s="242"/>
      <c r="X766" s="242"/>
      <c r="Y766" s="242"/>
      <c r="Z766" s="242"/>
    </row>
    <row r="767">
      <c r="A767" s="242"/>
      <c r="B767" s="524"/>
      <c r="C767" s="524"/>
      <c r="D767" s="242"/>
      <c r="E767" s="242"/>
      <c r="F767" s="242"/>
      <c r="G767" s="13"/>
      <c r="H767" s="525"/>
      <c r="I767" s="242"/>
      <c r="J767" s="242"/>
      <c r="K767" s="242"/>
      <c r="L767" s="13"/>
      <c r="M767" s="13"/>
      <c r="N767" s="242"/>
      <c r="O767" s="242"/>
      <c r="P767" s="242"/>
      <c r="Q767" s="242"/>
      <c r="R767" s="242"/>
      <c r="S767" s="242"/>
      <c r="T767" s="242"/>
      <c r="U767" s="242"/>
      <c r="V767" s="242"/>
      <c r="W767" s="242"/>
      <c r="X767" s="242"/>
      <c r="Y767" s="242"/>
      <c r="Z767" s="242"/>
    </row>
    <row r="768">
      <c r="A768" s="242"/>
      <c r="B768" s="524"/>
      <c r="C768" s="524"/>
      <c r="D768" s="242"/>
      <c r="E768" s="242"/>
      <c r="F768" s="242"/>
      <c r="G768" s="13"/>
      <c r="H768" s="525"/>
      <c r="I768" s="242"/>
      <c r="J768" s="242"/>
      <c r="K768" s="242"/>
      <c r="L768" s="13"/>
      <c r="M768" s="13"/>
      <c r="N768" s="242"/>
      <c r="O768" s="242"/>
      <c r="P768" s="242"/>
      <c r="Q768" s="242"/>
      <c r="R768" s="242"/>
      <c r="S768" s="242"/>
      <c r="T768" s="242"/>
      <c r="U768" s="242"/>
      <c r="V768" s="242"/>
      <c r="W768" s="242"/>
      <c r="X768" s="242"/>
      <c r="Y768" s="242"/>
      <c r="Z768" s="242"/>
    </row>
    <row r="769">
      <c r="A769" s="242"/>
      <c r="B769" s="524"/>
      <c r="C769" s="524"/>
      <c r="D769" s="242"/>
      <c r="E769" s="242"/>
      <c r="F769" s="242"/>
      <c r="G769" s="13"/>
      <c r="H769" s="525"/>
      <c r="I769" s="242"/>
      <c r="J769" s="242"/>
      <c r="K769" s="242"/>
      <c r="L769" s="13"/>
      <c r="M769" s="13"/>
      <c r="N769" s="242"/>
      <c r="O769" s="242"/>
      <c r="P769" s="242"/>
      <c r="Q769" s="242"/>
      <c r="R769" s="242"/>
      <c r="S769" s="242"/>
      <c r="T769" s="242"/>
      <c r="U769" s="242"/>
      <c r="V769" s="242"/>
      <c r="W769" s="242"/>
      <c r="X769" s="242"/>
      <c r="Y769" s="242"/>
      <c r="Z769" s="242"/>
    </row>
    <row r="770">
      <c r="A770" s="242"/>
      <c r="B770" s="524"/>
      <c r="C770" s="524"/>
      <c r="D770" s="242"/>
      <c r="E770" s="242"/>
      <c r="F770" s="242"/>
      <c r="G770" s="13"/>
      <c r="H770" s="525"/>
      <c r="I770" s="242"/>
      <c r="J770" s="242"/>
      <c r="K770" s="242"/>
      <c r="L770" s="13"/>
      <c r="M770" s="13"/>
      <c r="N770" s="242"/>
      <c r="O770" s="242"/>
      <c r="P770" s="242"/>
      <c r="Q770" s="242"/>
      <c r="R770" s="242"/>
      <c r="S770" s="242"/>
      <c r="T770" s="242"/>
      <c r="U770" s="242"/>
      <c r="V770" s="242"/>
      <c r="W770" s="242"/>
      <c r="X770" s="242"/>
      <c r="Y770" s="242"/>
      <c r="Z770" s="242"/>
    </row>
    <row r="771">
      <c r="A771" s="242"/>
      <c r="B771" s="524"/>
      <c r="C771" s="524"/>
      <c r="D771" s="242"/>
      <c r="E771" s="242"/>
      <c r="F771" s="242"/>
      <c r="G771" s="13"/>
      <c r="H771" s="525"/>
      <c r="I771" s="242"/>
      <c r="J771" s="242"/>
      <c r="K771" s="242"/>
      <c r="L771" s="13"/>
      <c r="M771" s="13"/>
      <c r="N771" s="242"/>
      <c r="O771" s="242"/>
      <c r="P771" s="242"/>
      <c r="Q771" s="242"/>
      <c r="R771" s="242"/>
      <c r="S771" s="242"/>
      <c r="T771" s="242"/>
      <c r="U771" s="242"/>
      <c r="V771" s="242"/>
      <c r="W771" s="242"/>
      <c r="X771" s="242"/>
      <c r="Y771" s="242"/>
      <c r="Z771" s="242"/>
    </row>
    <row r="772">
      <c r="A772" s="242"/>
      <c r="B772" s="524"/>
      <c r="C772" s="524"/>
      <c r="D772" s="242"/>
      <c r="E772" s="242"/>
      <c r="F772" s="242"/>
      <c r="G772" s="13"/>
      <c r="H772" s="525"/>
      <c r="I772" s="242"/>
      <c r="J772" s="242"/>
      <c r="K772" s="242"/>
      <c r="L772" s="13"/>
      <c r="M772" s="13"/>
      <c r="N772" s="242"/>
      <c r="O772" s="242"/>
      <c r="P772" s="242"/>
      <c r="Q772" s="242"/>
      <c r="R772" s="242"/>
      <c r="S772" s="242"/>
      <c r="T772" s="242"/>
      <c r="U772" s="242"/>
      <c r="V772" s="242"/>
      <c r="W772" s="242"/>
      <c r="X772" s="242"/>
      <c r="Y772" s="242"/>
      <c r="Z772" s="242"/>
    </row>
    <row r="773">
      <c r="A773" s="242"/>
      <c r="B773" s="524"/>
      <c r="C773" s="524"/>
      <c r="D773" s="242"/>
      <c r="E773" s="242"/>
      <c r="F773" s="242"/>
      <c r="G773" s="13"/>
      <c r="H773" s="525"/>
      <c r="I773" s="242"/>
      <c r="J773" s="242"/>
      <c r="K773" s="242"/>
      <c r="L773" s="13"/>
      <c r="M773" s="13"/>
      <c r="N773" s="242"/>
      <c r="O773" s="242"/>
      <c r="P773" s="242"/>
      <c r="Q773" s="242"/>
      <c r="R773" s="242"/>
      <c r="S773" s="242"/>
      <c r="T773" s="242"/>
      <c r="U773" s="242"/>
      <c r="V773" s="242"/>
      <c r="W773" s="242"/>
      <c r="X773" s="242"/>
      <c r="Y773" s="242"/>
      <c r="Z773" s="242"/>
    </row>
    <row r="774">
      <c r="A774" s="242"/>
      <c r="B774" s="524"/>
      <c r="C774" s="524"/>
      <c r="D774" s="242"/>
      <c r="E774" s="242"/>
      <c r="F774" s="242"/>
      <c r="G774" s="13"/>
      <c r="H774" s="525"/>
      <c r="I774" s="242"/>
      <c r="J774" s="242"/>
      <c r="K774" s="242"/>
      <c r="L774" s="13"/>
      <c r="M774" s="13"/>
      <c r="N774" s="242"/>
      <c r="O774" s="242"/>
      <c r="P774" s="242"/>
      <c r="Q774" s="242"/>
      <c r="R774" s="242"/>
      <c r="S774" s="242"/>
      <c r="T774" s="242"/>
      <c r="U774" s="242"/>
      <c r="V774" s="242"/>
      <c r="W774" s="242"/>
      <c r="X774" s="242"/>
      <c r="Y774" s="242"/>
      <c r="Z774" s="242"/>
    </row>
    <row r="775">
      <c r="A775" s="242"/>
      <c r="B775" s="524"/>
      <c r="C775" s="524"/>
      <c r="D775" s="242"/>
      <c r="E775" s="242"/>
      <c r="F775" s="242"/>
      <c r="G775" s="13"/>
      <c r="H775" s="525"/>
      <c r="I775" s="242"/>
      <c r="J775" s="242"/>
      <c r="K775" s="242"/>
      <c r="L775" s="13"/>
      <c r="M775" s="13"/>
      <c r="N775" s="242"/>
      <c r="O775" s="242"/>
      <c r="P775" s="242"/>
      <c r="Q775" s="242"/>
      <c r="R775" s="242"/>
      <c r="S775" s="242"/>
      <c r="T775" s="242"/>
      <c r="U775" s="242"/>
      <c r="V775" s="242"/>
      <c r="W775" s="242"/>
      <c r="X775" s="242"/>
      <c r="Y775" s="242"/>
      <c r="Z775" s="242"/>
    </row>
    <row r="776">
      <c r="A776" s="242"/>
      <c r="B776" s="524"/>
      <c r="C776" s="524"/>
      <c r="D776" s="242"/>
      <c r="E776" s="242"/>
      <c r="F776" s="242"/>
      <c r="G776" s="13"/>
      <c r="H776" s="525"/>
      <c r="I776" s="242"/>
      <c r="J776" s="242"/>
      <c r="K776" s="242"/>
      <c r="L776" s="13"/>
      <c r="M776" s="13"/>
      <c r="N776" s="242"/>
      <c r="O776" s="242"/>
      <c r="P776" s="242"/>
      <c r="Q776" s="242"/>
      <c r="R776" s="242"/>
      <c r="S776" s="242"/>
      <c r="T776" s="242"/>
      <c r="U776" s="242"/>
      <c r="V776" s="242"/>
      <c r="W776" s="242"/>
      <c r="X776" s="242"/>
      <c r="Y776" s="242"/>
      <c r="Z776" s="242"/>
    </row>
    <row r="777">
      <c r="A777" s="242"/>
      <c r="B777" s="524"/>
      <c r="C777" s="524"/>
      <c r="D777" s="242"/>
      <c r="E777" s="242"/>
      <c r="F777" s="242"/>
      <c r="G777" s="13"/>
      <c r="H777" s="525"/>
      <c r="I777" s="242"/>
      <c r="J777" s="242"/>
      <c r="K777" s="242"/>
      <c r="L777" s="13"/>
      <c r="M777" s="13"/>
      <c r="N777" s="242"/>
      <c r="O777" s="242"/>
      <c r="P777" s="242"/>
      <c r="Q777" s="242"/>
      <c r="R777" s="242"/>
      <c r="S777" s="242"/>
      <c r="T777" s="242"/>
      <c r="U777" s="242"/>
      <c r="V777" s="242"/>
      <c r="W777" s="242"/>
      <c r="X777" s="242"/>
      <c r="Y777" s="242"/>
      <c r="Z777" s="242"/>
    </row>
    <row r="778">
      <c r="A778" s="242"/>
      <c r="B778" s="524"/>
      <c r="C778" s="524"/>
      <c r="D778" s="242"/>
      <c r="E778" s="242"/>
      <c r="F778" s="242"/>
      <c r="G778" s="13"/>
      <c r="H778" s="525"/>
      <c r="I778" s="242"/>
      <c r="J778" s="242"/>
      <c r="K778" s="242"/>
      <c r="L778" s="13"/>
      <c r="M778" s="13"/>
      <c r="N778" s="242"/>
      <c r="O778" s="242"/>
      <c r="P778" s="242"/>
      <c r="Q778" s="242"/>
      <c r="R778" s="242"/>
      <c r="S778" s="242"/>
      <c r="T778" s="242"/>
      <c r="U778" s="242"/>
      <c r="V778" s="242"/>
      <c r="W778" s="242"/>
      <c r="X778" s="242"/>
      <c r="Y778" s="242"/>
      <c r="Z778" s="242"/>
    </row>
    <row r="779">
      <c r="A779" s="242"/>
      <c r="B779" s="524"/>
      <c r="C779" s="524"/>
      <c r="D779" s="242"/>
      <c r="E779" s="242"/>
      <c r="F779" s="242"/>
      <c r="G779" s="13"/>
      <c r="H779" s="525"/>
      <c r="I779" s="242"/>
      <c r="J779" s="242"/>
      <c r="K779" s="242"/>
      <c r="L779" s="13"/>
      <c r="M779" s="13"/>
      <c r="N779" s="242"/>
      <c r="O779" s="242"/>
      <c r="P779" s="242"/>
      <c r="Q779" s="242"/>
      <c r="R779" s="242"/>
      <c r="S779" s="242"/>
      <c r="T779" s="242"/>
      <c r="U779" s="242"/>
      <c r="V779" s="242"/>
      <c r="W779" s="242"/>
      <c r="X779" s="242"/>
      <c r="Y779" s="242"/>
      <c r="Z779" s="242"/>
    </row>
    <row r="780">
      <c r="A780" s="242"/>
      <c r="B780" s="524"/>
      <c r="C780" s="524"/>
      <c r="D780" s="242"/>
      <c r="E780" s="242"/>
      <c r="F780" s="242"/>
      <c r="G780" s="13"/>
      <c r="H780" s="525"/>
      <c r="I780" s="242"/>
      <c r="J780" s="242"/>
      <c r="K780" s="242"/>
      <c r="L780" s="13"/>
      <c r="M780" s="13"/>
      <c r="N780" s="242"/>
      <c r="O780" s="242"/>
      <c r="P780" s="242"/>
      <c r="Q780" s="242"/>
      <c r="R780" s="242"/>
      <c r="S780" s="242"/>
      <c r="T780" s="242"/>
      <c r="U780" s="242"/>
      <c r="V780" s="242"/>
      <c r="W780" s="242"/>
      <c r="X780" s="242"/>
      <c r="Y780" s="242"/>
      <c r="Z780" s="242"/>
    </row>
    <row r="781">
      <c r="A781" s="242"/>
      <c r="B781" s="524"/>
      <c r="C781" s="524"/>
      <c r="D781" s="242"/>
      <c r="E781" s="242"/>
      <c r="F781" s="242"/>
      <c r="G781" s="13"/>
      <c r="H781" s="525"/>
      <c r="I781" s="242"/>
      <c r="J781" s="242"/>
      <c r="K781" s="242"/>
      <c r="L781" s="13"/>
      <c r="M781" s="13"/>
      <c r="N781" s="242"/>
      <c r="O781" s="242"/>
      <c r="P781" s="242"/>
      <c r="Q781" s="242"/>
      <c r="R781" s="242"/>
      <c r="S781" s="242"/>
      <c r="T781" s="242"/>
      <c r="U781" s="242"/>
      <c r="V781" s="242"/>
      <c r="W781" s="242"/>
      <c r="X781" s="242"/>
      <c r="Y781" s="242"/>
      <c r="Z781" s="242"/>
    </row>
    <row r="782">
      <c r="A782" s="242"/>
      <c r="B782" s="524"/>
      <c r="C782" s="524"/>
      <c r="D782" s="242"/>
      <c r="E782" s="242"/>
      <c r="F782" s="242"/>
      <c r="G782" s="13"/>
      <c r="H782" s="525"/>
      <c r="I782" s="242"/>
      <c r="J782" s="242"/>
      <c r="K782" s="242"/>
      <c r="L782" s="13"/>
      <c r="M782" s="13"/>
      <c r="N782" s="242"/>
      <c r="O782" s="242"/>
      <c r="P782" s="242"/>
      <c r="Q782" s="242"/>
      <c r="R782" s="242"/>
      <c r="S782" s="242"/>
      <c r="T782" s="242"/>
      <c r="U782" s="242"/>
      <c r="V782" s="242"/>
      <c r="W782" s="242"/>
      <c r="X782" s="242"/>
      <c r="Y782" s="242"/>
      <c r="Z782" s="242"/>
    </row>
    <row r="783">
      <c r="A783" s="242"/>
      <c r="B783" s="524"/>
      <c r="C783" s="524"/>
      <c r="D783" s="242"/>
      <c r="E783" s="242"/>
      <c r="F783" s="242"/>
      <c r="G783" s="13"/>
      <c r="H783" s="525"/>
      <c r="I783" s="242"/>
      <c r="J783" s="242"/>
      <c r="K783" s="242"/>
      <c r="L783" s="13"/>
      <c r="M783" s="13"/>
      <c r="N783" s="242"/>
      <c r="O783" s="242"/>
      <c r="P783" s="242"/>
      <c r="Q783" s="242"/>
      <c r="R783" s="242"/>
      <c r="S783" s="242"/>
      <c r="T783" s="242"/>
      <c r="U783" s="242"/>
      <c r="V783" s="242"/>
      <c r="W783" s="242"/>
      <c r="X783" s="242"/>
      <c r="Y783" s="242"/>
      <c r="Z783" s="242"/>
    </row>
    <row r="784">
      <c r="A784" s="242"/>
      <c r="B784" s="524"/>
      <c r="C784" s="524"/>
      <c r="D784" s="242"/>
      <c r="E784" s="242"/>
      <c r="F784" s="242"/>
      <c r="G784" s="13"/>
      <c r="H784" s="525"/>
      <c r="I784" s="242"/>
      <c r="J784" s="242"/>
      <c r="K784" s="242"/>
      <c r="L784" s="13"/>
      <c r="M784" s="13"/>
      <c r="N784" s="242"/>
      <c r="O784" s="242"/>
      <c r="P784" s="242"/>
      <c r="Q784" s="242"/>
      <c r="R784" s="242"/>
      <c r="S784" s="242"/>
      <c r="T784" s="242"/>
      <c r="U784" s="242"/>
      <c r="V784" s="242"/>
      <c r="W784" s="242"/>
      <c r="X784" s="242"/>
      <c r="Y784" s="242"/>
      <c r="Z784" s="242"/>
    </row>
    <row r="785">
      <c r="A785" s="242"/>
      <c r="B785" s="524"/>
      <c r="C785" s="524"/>
      <c r="D785" s="242"/>
      <c r="E785" s="242"/>
      <c r="F785" s="242"/>
      <c r="G785" s="13"/>
      <c r="H785" s="525"/>
      <c r="I785" s="242"/>
      <c r="J785" s="242"/>
      <c r="K785" s="242"/>
      <c r="L785" s="13"/>
      <c r="M785" s="13"/>
      <c r="N785" s="242"/>
      <c r="O785" s="242"/>
      <c r="P785" s="242"/>
      <c r="Q785" s="242"/>
      <c r="R785" s="242"/>
      <c r="S785" s="242"/>
      <c r="T785" s="242"/>
      <c r="U785" s="242"/>
      <c r="V785" s="242"/>
      <c r="W785" s="242"/>
      <c r="X785" s="242"/>
      <c r="Y785" s="242"/>
      <c r="Z785" s="242"/>
    </row>
    <row r="786">
      <c r="A786" s="242"/>
      <c r="B786" s="524"/>
      <c r="C786" s="524"/>
      <c r="D786" s="242"/>
      <c r="E786" s="242"/>
      <c r="F786" s="242"/>
      <c r="G786" s="13"/>
      <c r="H786" s="525"/>
      <c r="I786" s="242"/>
      <c r="J786" s="242"/>
      <c r="K786" s="242"/>
      <c r="L786" s="13"/>
      <c r="M786" s="13"/>
      <c r="N786" s="242"/>
      <c r="O786" s="242"/>
      <c r="P786" s="242"/>
      <c r="Q786" s="242"/>
      <c r="R786" s="242"/>
      <c r="S786" s="242"/>
      <c r="T786" s="242"/>
      <c r="U786" s="242"/>
      <c r="V786" s="242"/>
      <c r="W786" s="242"/>
      <c r="X786" s="242"/>
      <c r="Y786" s="242"/>
      <c r="Z786" s="242"/>
    </row>
    <row r="787">
      <c r="A787" s="242"/>
      <c r="B787" s="524"/>
      <c r="C787" s="524"/>
      <c r="D787" s="242"/>
      <c r="E787" s="242"/>
      <c r="F787" s="242"/>
      <c r="G787" s="13"/>
      <c r="H787" s="525"/>
      <c r="I787" s="242"/>
      <c r="J787" s="242"/>
      <c r="K787" s="242"/>
      <c r="L787" s="13"/>
      <c r="M787" s="13"/>
      <c r="N787" s="242"/>
      <c r="O787" s="242"/>
      <c r="P787" s="242"/>
      <c r="Q787" s="242"/>
      <c r="R787" s="242"/>
      <c r="S787" s="242"/>
      <c r="T787" s="242"/>
      <c r="U787" s="242"/>
      <c r="V787" s="242"/>
      <c r="W787" s="242"/>
      <c r="X787" s="242"/>
      <c r="Y787" s="242"/>
      <c r="Z787" s="242"/>
    </row>
    <row r="788">
      <c r="A788" s="242"/>
      <c r="B788" s="524"/>
      <c r="C788" s="524"/>
      <c r="D788" s="242"/>
      <c r="E788" s="242"/>
      <c r="F788" s="242"/>
      <c r="G788" s="13"/>
      <c r="H788" s="525"/>
      <c r="I788" s="242"/>
      <c r="J788" s="242"/>
      <c r="K788" s="242"/>
      <c r="L788" s="13"/>
      <c r="M788" s="13"/>
      <c r="N788" s="242"/>
      <c r="O788" s="242"/>
      <c r="P788" s="242"/>
      <c r="Q788" s="242"/>
      <c r="R788" s="242"/>
      <c r="S788" s="242"/>
      <c r="T788" s="242"/>
      <c r="U788" s="242"/>
      <c r="V788" s="242"/>
      <c r="W788" s="242"/>
      <c r="X788" s="242"/>
      <c r="Y788" s="242"/>
      <c r="Z788" s="242"/>
    </row>
    <row r="789">
      <c r="A789" s="242"/>
      <c r="B789" s="524"/>
      <c r="C789" s="524"/>
      <c r="D789" s="242"/>
      <c r="E789" s="242"/>
      <c r="F789" s="242"/>
      <c r="G789" s="13"/>
      <c r="H789" s="525"/>
      <c r="I789" s="242"/>
      <c r="J789" s="242"/>
      <c r="K789" s="242"/>
      <c r="L789" s="13"/>
      <c r="M789" s="13"/>
      <c r="N789" s="242"/>
      <c r="O789" s="242"/>
      <c r="P789" s="242"/>
      <c r="Q789" s="242"/>
      <c r="R789" s="242"/>
      <c r="S789" s="242"/>
      <c r="T789" s="242"/>
      <c r="U789" s="242"/>
      <c r="V789" s="242"/>
      <c r="W789" s="242"/>
      <c r="X789" s="242"/>
      <c r="Y789" s="242"/>
      <c r="Z789" s="242"/>
    </row>
    <row r="790">
      <c r="A790" s="242"/>
      <c r="B790" s="524"/>
      <c r="C790" s="524"/>
      <c r="D790" s="242"/>
      <c r="E790" s="242"/>
      <c r="F790" s="242"/>
      <c r="G790" s="13"/>
      <c r="H790" s="525"/>
      <c r="I790" s="242"/>
      <c r="J790" s="242"/>
      <c r="K790" s="242"/>
      <c r="L790" s="13"/>
      <c r="M790" s="13"/>
      <c r="N790" s="242"/>
      <c r="O790" s="242"/>
      <c r="P790" s="242"/>
      <c r="Q790" s="242"/>
      <c r="R790" s="242"/>
      <c r="S790" s="242"/>
      <c r="T790" s="242"/>
      <c r="U790" s="242"/>
      <c r="V790" s="242"/>
      <c r="W790" s="242"/>
      <c r="X790" s="242"/>
      <c r="Y790" s="242"/>
      <c r="Z790" s="242"/>
    </row>
    <row r="791">
      <c r="A791" s="242"/>
      <c r="B791" s="524"/>
      <c r="C791" s="524"/>
      <c r="D791" s="242"/>
      <c r="E791" s="242"/>
      <c r="F791" s="242"/>
      <c r="G791" s="13"/>
      <c r="H791" s="525"/>
      <c r="I791" s="242"/>
      <c r="J791" s="242"/>
      <c r="K791" s="242"/>
      <c r="L791" s="13"/>
      <c r="M791" s="13"/>
      <c r="N791" s="242"/>
      <c r="O791" s="242"/>
      <c r="P791" s="242"/>
      <c r="Q791" s="242"/>
      <c r="R791" s="242"/>
      <c r="S791" s="242"/>
      <c r="T791" s="242"/>
      <c r="U791" s="242"/>
      <c r="V791" s="242"/>
      <c r="W791" s="242"/>
      <c r="X791" s="242"/>
      <c r="Y791" s="242"/>
      <c r="Z791" s="242"/>
    </row>
    <row r="792">
      <c r="A792" s="242"/>
      <c r="B792" s="524"/>
      <c r="C792" s="524"/>
      <c r="D792" s="242"/>
      <c r="E792" s="242"/>
      <c r="F792" s="242"/>
      <c r="G792" s="13"/>
      <c r="H792" s="525"/>
      <c r="I792" s="242"/>
      <c r="J792" s="242"/>
      <c r="K792" s="242"/>
      <c r="L792" s="13"/>
      <c r="M792" s="13"/>
      <c r="N792" s="242"/>
      <c r="O792" s="242"/>
      <c r="P792" s="242"/>
      <c r="Q792" s="242"/>
      <c r="R792" s="242"/>
      <c r="S792" s="242"/>
      <c r="T792" s="242"/>
      <c r="U792" s="242"/>
      <c r="V792" s="242"/>
      <c r="W792" s="242"/>
      <c r="X792" s="242"/>
      <c r="Y792" s="242"/>
      <c r="Z792" s="242"/>
    </row>
    <row r="793">
      <c r="A793" s="242"/>
      <c r="B793" s="524"/>
      <c r="C793" s="524"/>
      <c r="D793" s="242"/>
      <c r="E793" s="242"/>
      <c r="F793" s="242"/>
      <c r="G793" s="13"/>
      <c r="H793" s="525"/>
      <c r="I793" s="242"/>
      <c r="J793" s="242"/>
      <c r="K793" s="242"/>
      <c r="L793" s="13"/>
      <c r="M793" s="13"/>
      <c r="N793" s="242"/>
      <c r="O793" s="242"/>
      <c r="P793" s="242"/>
      <c r="Q793" s="242"/>
      <c r="R793" s="242"/>
      <c r="S793" s="242"/>
      <c r="T793" s="242"/>
      <c r="U793" s="242"/>
      <c r="V793" s="242"/>
      <c r="W793" s="242"/>
      <c r="X793" s="242"/>
      <c r="Y793" s="242"/>
      <c r="Z793" s="242"/>
    </row>
    <row r="794">
      <c r="A794" s="242"/>
      <c r="B794" s="524"/>
      <c r="C794" s="524"/>
      <c r="D794" s="242"/>
      <c r="E794" s="242"/>
      <c r="F794" s="242"/>
      <c r="G794" s="13"/>
      <c r="H794" s="525"/>
      <c r="I794" s="242"/>
      <c r="J794" s="242"/>
      <c r="K794" s="242"/>
      <c r="L794" s="13"/>
      <c r="M794" s="13"/>
      <c r="N794" s="242"/>
      <c r="O794" s="242"/>
      <c r="P794" s="242"/>
      <c r="Q794" s="242"/>
      <c r="R794" s="242"/>
      <c r="S794" s="242"/>
      <c r="T794" s="242"/>
      <c r="U794" s="242"/>
      <c r="V794" s="242"/>
      <c r="W794" s="242"/>
      <c r="X794" s="242"/>
      <c r="Y794" s="242"/>
      <c r="Z794" s="242"/>
    </row>
    <row r="795">
      <c r="A795" s="242"/>
      <c r="B795" s="524"/>
      <c r="C795" s="524"/>
      <c r="D795" s="242"/>
      <c r="E795" s="242"/>
      <c r="F795" s="242"/>
      <c r="G795" s="13"/>
      <c r="H795" s="525"/>
      <c r="I795" s="242"/>
      <c r="J795" s="242"/>
      <c r="K795" s="242"/>
      <c r="L795" s="13"/>
      <c r="M795" s="13"/>
      <c r="N795" s="242"/>
      <c r="O795" s="242"/>
      <c r="P795" s="242"/>
      <c r="Q795" s="242"/>
      <c r="R795" s="242"/>
      <c r="S795" s="242"/>
      <c r="T795" s="242"/>
      <c r="U795" s="242"/>
      <c r="V795" s="242"/>
      <c r="W795" s="242"/>
      <c r="X795" s="242"/>
      <c r="Y795" s="242"/>
      <c r="Z795" s="242"/>
    </row>
    <row r="796">
      <c r="A796" s="242"/>
      <c r="B796" s="524"/>
      <c r="C796" s="524"/>
      <c r="D796" s="242"/>
      <c r="E796" s="242"/>
      <c r="F796" s="242"/>
      <c r="G796" s="13"/>
      <c r="H796" s="525"/>
      <c r="I796" s="242"/>
      <c r="J796" s="242"/>
      <c r="K796" s="242"/>
      <c r="L796" s="13"/>
      <c r="M796" s="13"/>
      <c r="N796" s="242"/>
      <c r="O796" s="242"/>
      <c r="P796" s="242"/>
      <c r="Q796" s="242"/>
      <c r="R796" s="242"/>
      <c r="S796" s="242"/>
      <c r="T796" s="242"/>
      <c r="U796" s="242"/>
      <c r="V796" s="242"/>
      <c r="W796" s="242"/>
      <c r="X796" s="242"/>
      <c r="Y796" s="242"/>
      <c r="Z796" s="242"/>
    </row>
    <row r="797">
      <c r="A797" s="242"/>
      <c r="B797" s="524"/>
      <c r="C797" s="524"/>
      <c r="D797" s="242"/>
      <c r="E797" s="242"/>
      <c r="F797" s="242"/>
      <c r="G797" s="13"/>
      <c r="H797" s="525"/>
      <c r="I797" s="242"/>
      <c r="J797" s="242"/>
      <c r="K797" s="242"/>
      <c r="L797" s="13"/>
      <c r="M797" s="13"/>
      <c r="N797" s="242"/>
      <c r="O797" s="242"/>
      <c r="P797" s="242"/>
      <c r="Q797" s="242"/>
      <c r="R797" s="242"/>
      <c r="S797" s="242"/>
      <c r="T797" s="242"/>
      <c r="U797" s="242"/>
      <c r="V797" s="242"/>
      <c r="W797" s="242"/>
      <c r="X797" s="242"/>
      <c r="Y797" s="242"/>
      <c r="Z797" s="242"/>
    </row>
    <row r="798">
      <c r="A798" s="242"/>
      <c r="B798" s="524"/>
      <c r="C798" s="524"/>
      <c r="D798" s="242"/>
      <c r="E798" s="242"/>
      <c r="F798" s="242"/>
      <c r="G798" s="13"/>
      <c r="H798" s="525"/>
      <c r="I798" s="242"/>
      <c r="J798" s="242"/>
      <c r="K798" s="242"/>
      <c r="L798" s="13"/>
      <c r="M798" s="13"/>
      <c r="N798" s="242"/>
      <c r="O798" s="242"/>
      <c r="P798" s="242"/>
      <c r="Q798" s="242"/>
      <c r="R798" s="242"/>
      <c r="S798" s="242"/>
      <c r="T798" s="242"/>
      <c r="U798" s="242"/>
      <c r="V798" s="242"/>
      <c r="W798" s="242"/>
      <c r="X798" s="242"/>
      <c r="Y798" s="242"/>
      <c r="Z798" s="242"/>
    </row>
    <row r="799">
      <c r="A799" s="242"/>
      <c r="B799" s="524"/>
      <c r="C799" s="524"/>
      <c r="D799" s="242"/>
      <c r="E799" s="242"/>
      <c r="F799" s="242"/>
      <c r="G799" s="13"/>
      <c r="H799" s="525"/>
      <c r="I799" s="242"/>
      <c r="J799" s="242"/>
      <c r="K799" s="242"/>
      <c r="L799" s="13"/>
      <c r="M799" s="13"/>
      <c r="N799" s="242"/>
      <c r="O799" s="242"/>
      <c r="P799" s="242"/>
      <c r="Q799" s="242"/>
      <c r="R799" s="242"/>
      <c r="S799" s="242"/>
      <c r="T799" s="242"/>
      <c r="U799" s="242"/>
      <c r="V799" s="242"/>
      <c r="W799" s="242"/>
      <c r="X799" s="242"/>
      <c r="Y799" s="242"/>
      <c r="Z799" s="242"/>
    </row>
    <row r="800">
      <c r="A800" s="242"/>
      <c r="B800" s="524"/>
      <c r="C800" s="524"/>
      <c r="D800" s="242"/>
      <c r="E800" s="242"/>
      <c r="F800" s="242"/>
      <c r="G800" s="13"/>
      <c r="H800" s="525"/>
      <c r="I800" s="242"/>
      <c r="J800" s="242"/>
      <c r="K800" s="242"/>
      <c r="L800" s="13"/>
      <c r="M800" s="13"/>
      <c r="N800" s="242"/>
      <c r="O800" s="242"/>
      <c r="P800" s="242"/>
      <c r="Q800" s="242"/>
      <c r="R800" s="242"/>
      <c r="S800" s="242"/>
      <c r="T800" s="242"/>
      <c r="U800" s="242"/>
      <c r="V800" s="242"/>
      <c r="W800" s="242"/>
      <c r="X800" s="242"/>
      <c r="Y800" s="242"/>
      <c r="Z800" s="242"/>
    </row>
    <row r="801">
      <c r="A801" s="242"/>
      <c r="B801" s="524"/>
      <c r="C801" s="524"/>
      <c r="D801" s="242"/>
      <c r="E801" s="242"/>
      <c r="F801" s="242"/>
      <c r="G801" s="13"/>
      <c r="H801" s="525"/>
      <c r="I801" s="242"/>
      <c r="J801" s="242"/>
      <c r="K801" s="242"/>
      <c r="L801" s="13"/>
      <c r="M801" s="13"/>
      <c r="N801" s="242"/>
      <c r="O801" s="242"/>
      <c r="P801" s="242"/>
      <c r="Q801" s="242"/>
      <c r="R801" s="242"/>
      <c r="S801" s="242"/>
      <c r="T801" s="242"/>
      <c r="U801" s="242"/>
      <c r="V801" s="242"/>
      <c r="W801" s="242"/>
      <c r="X801" s="242"/>
      <c r="Y801" s="242"/>
      <c r="Z801" s="242"/>
    </row>
    <row r="802">
      <c r="A802" s="242"/>
      <c r="B802" s="524"/>
      <c r="C802" s="524"/>
      <c r="D802" s="242"/>
      <c r="E802" s="242"/>
      <c r="F802" s="242"/>
      <c r="G802" s="13"/>
      <c r="H802" s="525"/>
      <c r="I802" s="242"/>
      <c r="J802" s="242"/>
      <c r="K802" s="242"/>
      <c r="L802" s="13"/>
      <c r="M802" s="13"/>
      <c r="N802" s="242"/>
      <c r="O802" s="242"/>
      <c r="P802" s="242"/>
      <c r="Q802" s="242"/>
      <c r="R802" s="242"/>
      <c r="S802" s="242"/>
      <c r="T802" s="242"/>
      <c r="U802" s="242"/>
      <c r="V802" s="242"/>
      <c r="W802" s="242"/>
      <c r="X802" s="242"/>
      <c r="Y802" s="242"/>
      <c r="Z802" s="242"/>
    </row>
    <row r="803">
      <c r="A803" s="242"/>
      <c r="B803" s="524"/>
      <c r="C803" s="524"/>
      <c r="D803" s="242"/>
      <c r="E803" s="242"/>
      <c r="F803" s="242"/>
      <c r="G803" s="13"/>
      <c r="H803" s="525"/>
      <c r="I803" s="242"/>
      <c r="J803" s="242"/>
      <c r="K803" s="242"/>
      <c r="L803" s="13"/>
      <c r="M803" s="13"/>
      <c r="N803" s="242"/>
      <c r="O803" s="242"/>
      <c r="P803" s="242"/>
      <c r="Q803" s="242"/>
      <c r="R803" s="242"/>
      <c r="S803" s="242"/>
      <c r="T803" s="242"/>
      <c r="U803" s="242"/>
      <c r="V803" s="242"/>
      <c r="W803" s="242"/>
      <c r="X803" s="242"/>
      <c r="Y803" s="242"/>
      <c r="Z803" s="242"/>
    </row>
    <row r="804">
      <c r="A804" s="242"/>
      <c r="B804" s="524"/>
      <c r="C804" s="524"/>
      <c r="D804" s="242"/>
      <c r="E804" s="242"/>
      <c r="F804" s="242"/>
      <c r="G804" s="13"/>
      <c r="H804" s="525"/>
      <c r="I804" s="242"/>
      <c r="J804" s="242"/>
      <c r="K804" s="242"/>
      <c r="L804" s="13"/>
      <c r="M804" s="13"/>
      <c r="N804" s="242"/>
      <c r="O804" s="242"/>
      <c r="P804" s="242"/>
      <c r="Q804" s="242"/>
      <c r="R804" s="242"/>
      <c r="S804" s="242"/>
      <c r="T804" s="242"/>
      <c r="U804" s="242"/>
      <c r="V804" s="242"/>
      <c r="W804" s="242"/>
      <c r="X804" s="242"/>
      <c r="Y804" s="242"/>
      <c r="Z804" s="242"/>
    </row>
    <row r="805">
      <c r="A805" s="242"/>
      <c r="B805" s="524"/>
      <c r="C805" s="524"/>
      <c r="D805" s="242"/>
      <c r="E805" s="242"/>
      <c r="F805" s="242"/>
      <c r="G805" s="13"/>
      <c r="H805" s="525"/>
      <c r="I805" s="242"/>
      <c r="J805" s="242"/>
      <c r="K805" s="242"/>
      <c r="L805" s="13"/>
      <c r="M805" s="13"/>
      <c r="N805" s="242"/>
      <c r="O805" s="242"/>
      <c r="P805" s="242"/>
      <c r="Q805" s="242"/>
      <c r="R805" s="242"/>
      <c r="S805" s="242"/>
      <c r="T805" s="242"/>
      <c r="U805" s="242"/>
      <c r="V805" s="242"/>
      <c r="W805" s="242"/>
      <c r="X805" s="242"/>
      <c r="Y805" s="242"/>
      <c r="Z805" s="242"/>
    </row>
    <row r="806">
      <c r="A806" s="242"/>
      <c r="B806" s="524"/>
      <c r="C806" s="524"/>
      <c r="D806" s="242"/>
      <c r="E806" s="242"/>
      <c r="F806" s="242"/>
      <c r="G806" s="13"/>
      <c r="H806" s="525"/>
      <c r="I806" s="242"/>
      <c r="J806" s="242"/>
      <c r="K806" s="242"/>
      <c r="L806" s="13"/>
      <c r="M806" s="13"/>
      <c r="N806" s="242"/>
      <c r="O806" s="242"/>
      <c r="P806" s="242"/>
      <c r="Q806" s="242"/>
      <c r="R806" s="242"/>
      <c r="S806" s="242"/>
      <c r="T806" s="242"/>
      <c r="U806" s="242"/>
      <c r="V806" s="242"/>
      <c r="W806" s="242"/>
      <c r="X806" s="242"/>
      <c r="Y806" s="242"/>
      <c r="Z806" s="242"/>
    </row>
    <row r="807">
      <c r="A807" s="242"/>
      <c r="B807" s="524"/>
      <c r="C807" s="524"/>
      <c r="D807" s="242"/>
      <c r="E807" s="242"/>
      <c r="F807" s="242"/>
      <c r="G807" s="13"/>
      <c r="H807" s="525"/>
      <c r="I807" s="242"/>
      <c r="J807" s="242"/>
      <c r="K807" s="242"/>
      <c r="L807" s="13"/>
      <c r="M807" s="13"/>
      <c r="N807" s="242"/>
      <c r="O807" s="242"/>
      <c r="P807" s="242"/>
      <c r="Q807" s="242"/>
      <c r="R807" s="242"/>
      <c r="S807" s="242"/>
      <c r="T807" s="242"/>
      <c r="U807" s="242"/>
      <c r="V807" s="242"/>
      <c r="W807" s="242"/>
      <c r="X807" s="242"/>
      <c r="Y807" s="242"/>
      <c r="Z807" s="242"/>
    </row>
    <row r="808">
      <c r="A808" s="242"/>
      <c r="B808" s="524"/>
      <c r="C808" s="524"/>
      <c r="D808" s="242"/>
      <c r="E808" s="242"/>
      <c r="F808" s="242"/>
      <c r="G808" s="13"/>
      <c r="H808" s="525"/>
      <c r="I808" s="242"/>
      <c r="J808" s="242"/>
      <c r="K808" s="242"/>
      <c r="L808" s="13"/>
      <c r="M808" s="13"/>
      <c r="N808" s="242"/>
      <c r="O808" s="242"/>
      <c r="P808" s="242"/>
      <c r="Q808" s="242"/>
      <c r="R808" s="242"/>
      <c r="S808" s="242"/>
      <c r="T808" s="242"/>
      <c r="U808" s="242"/>
      <c r="V808" s="242"/>
      <c r="W808" s="242"/>
      <c r="X808" s="242"/>
      <c r="Y808" s="242"/>
      <c r="Z808" s="242"/>
    </row>
    <row r="809">
      <c r="A809" s="242"/>
      <c r="B809" s="524"/>
      <c r="C809" s="524"/>
      <c r="D809" s="242"/>
      <c r="E809" s="242"/>
      <c r="F809" s="242"/>
      <c r="G809" s="13"/>
      <c r="H809" s="525"/>
      <c r="I809" s="242"/>
      <c r="J809" s="242"/>
      <c r="K809" s="242"/>
      <c r="L809" s="13"/>
      <c r="M809" s="13"/>
      <c r="N809" s="242"/>
      <c r="O809" s="242"/>
      <c r="P809" s="242"/>
      <c r="Q809" s="242"/>
      <c r="R809" s="242"/>
      <c r="S809" s="242"/>
      <c r="T809" s="242"/>
      <c r="U809" s="242"/>
      <c r="V809" s="242"/>
      <c r="W809" s="242"/>
      <c r="X809" s="242"/>
      <c r="Y809" s="242"/>
      <c r="Z809" s="242"/>
    </row>
    <row r="810">
      <c r="A810" s="242"/>
      <c r="B810" s="524"/>
      <c r="C810" s="524"/>
      <c r="D810" s="242"/>
      <c r="E810" s="242"/>
      <c r="F810" s="242"/>
      <c r="G810" s="13"/>
      <c r="H810" s="525"/>
      <c r="I810" s="242"/>
      <c r="J810" s="242"/>
      <c r="K810" s="242"/>
      <c r="L810" s="13"/>
      <c r="M810" s="13"/>
      <c r="N810" s="242"/>
      <c r="O810" s="242"/>
      <c r="P810" s="242"/>
      <c r="Q810" s="242"/>
      <c r="R810" s="242"/>
      <c r="S810" s="242"/>
      <c r="T810" s="242"/>
      <c r="U810" s="242"/>
      <c r="V810" s="242"/>
      <c r="W810" s="242"/>
      <c r="X810" s="242"/>
      <c r="Y810" s="242"/>
      <c r="Z810" s="242"/>
    </row>
    <row r="811">
      <c r="A811" s="242"/>
      <c r="B811" s="524"/>
      <c r="C811" s="524"/>
      <c r="D811" s="242"/>
      <c r="E811" s="242"/>
      <c r="F811" s="242"/>
      <c r="G811" s="13"/>
      <c r="H811" s="525"/>
      <c r="I811" s="242"/>
      <c r="J811" s="242"/>
      <c r="K811" s="242"/>
      <c r="L811" s="13"/>
      <c r="M811" s="13"/>
      <c r="N811" s="242"/>
      <c r="O811" s="242"/>
      <c r="P811" s="242"/>
      <c r="Q811" s="242"/>
      <c r="R811" s="242"/>
      <c r="S811" s="242"/>
      <c r="T811" s="242"/>
      <c r="U811" s="242"/>
      <c r="V811" s="242"/>
      <c r="W811" s="242"/>
      <c r="X811" s="242"/>
      <c r="Y811" s="242"/>
      <c r="Z811" s="242"/>
    </row>
    <row r="812">
      <c r="A812" s="242"/>
      <c r="B812" s="524"/>
      <c r="C812" s="524"/>
      <c r="D812" s="242"/>
      <c r="E812" s="242"/>
      <c r="F812" s="242"/>
      <c r="G812" s="13"/>
      <c r="H812" s="525"/>
      <c r="I812" s="242"/>
      <c r="J812" s="242"/>
      <c r="K812" s="242"/>
      <c r="L812" s="13"/>
      <c r="M812" s="13"/>
      <c r="N812" s="242"/>
      <c r="O812" s="242"/>
      <c r="P812" s="242"/>
      <c r="Q812" s="242"/>
      <c r="R812" s="242"/>
      <c r="S812" s="242"/>
      <c r="T812" s="242"/>
      <c r="U812" s="242"/>
      <c r="V812" s="242"/>
      <c r="W812" s="242"/>
      <c r="X812" s="242"/>
      <c r="Y812" s="242"/>
      <c r="Z812" s="242"/>
    </row>
    <row r="813">
      <c r="A813" s="242"/>
      <c r="B813" s="524"/>
      <c r="C813" s="524"/>
      <c r="D813" s="242"/>
      <c r="E813" s="242"/>
      <c r="F813" s="242"/>
      <c r="G813" s="13"/>
      <c r="H813" s="525"/>
      <c r="I813" s="242"/>
      <c r="J813" s="242"/>
      <c r="K813" s="242"/>
      <c r="L813" s="13"/>
      <c r="M813" s="13"/>
      <c r="N813" s="242"/>
      <c r="O813" s="242"/>
      <c r="P813" s="242"/>
      <c r="Q813" s="242"/>
      <c r="R813" s="242"/>
      <c r="S813" s="242"/>
      <c r="T813" s="242"/>
      <c r="U813" s="242"/>
      <c r="V813" s="242"/>
      <c r="W813" s="242"/>
      <c r="X813" s="242"/>
      <c r="Y813" s="242"/>
      <c r="Z813" s="242"/>
    </row>
    <row r="814">
      <c r="A814" s="242"/>
      <c r="B814" s="524"/>
      <c r="C814" s="524"/>
      <c r="D814" s="242"/>
      <c r="E814" s="242"/>
      <c r="F814" s="242"/>
      <c r="G814" s="13"/>
      <c r="H814" s="525"/>
      <c r="I814" s="242"/>
      <c r="J814" s="242"/>
      <c r="K814" s="242"/>
      <c r="L814" s="13"/>
      <c r="M814" s="13"/>
      <c r="N814" s="242"/>
      <c r="O814" s="242"/>
      <c r="P814" s="242"/>
      <c r="Q814" s="242"/>
      <c r="R814" s="242"/>
      <c r="S814" s="242"/>
      <c r="T814" s="242"/>
      <c r="U814" s="242"/>
      <c r="V814" s="242"/>
      <c r="W814" s="242"/>
      <c r="X814" s="242"/>
      <c r="Y814" s="242"/>
      <c r="Z814" s="242"/>
    </row>
    <row r="815">
      <c r="A815" s="242"/>
      <c r="B815" s="524"/>
      <c r="C815" s="524"/>
      <c r="D815" s="242"/>
      <c r="E815" s="242"/>
      <c r="F815" s="242"/>
      <c r="G815" s="13"/>
      <c r="H815" s="525"/>
      <c r="I815" s="242"/>
      <c r="J815" s="242"/>
      <c r="K815" s="242"/>
      <c r="L815" s="13"/>
      <c r="M815" s="13"/>
      <c r="N815" s="242"/>
      <c r="O815" s="242"/>
      <c r="P815" s="242"/>
      <c r="Q815" s="242"/>
      <c r="R815" s="242"/>
      <c r="S815" s="242"/>
      <c r="T815" s="242"/>
      <c r="U815" s="242"/>
      <c r="V815" s="242"/>
      <c r="W815" s="242"/>
      <c r="X815" s="242"/>
      <c r="Y815" s="242"/>
      <c r="Z815" s="242"/>
    </row>
    <row r="816">
      <c r="A816" s="242"/>
      <c r="B816" s="524"/>
      <c r="C816" s="524"/>
      <c r="D816" s="242"/>
      <c r="E816" s="242"/>
      <c r="F816" s="242"/>
      <c r="G816" s="13"/>
      <c r="H816" s="525"/>
      <c r="I816" s="242"/>
      <c r="J816" s="242"/>
      <c r="K816" s="242"/>
      <c r="L816" s="13"/>
      <c r="M816" s="13"/>
      <c r="N816" s="242"/>
      <c r="O816" s="242"/>
      <c r="P816" s="242"/>
      <c r="Q816" s="242"/>
      <c r="R816" s="242"/>
      <c r="S816" s="242"/>
      <c r="T816" s="242"/>
      <c r="U816" s="242"/>
      <c r="V816" s="242"/>
      <c r="W816" s="242"/>
      <c r="X816" s="242"/>
      <c r="Y816" s="242"/>
      <c r="Z816" s="242"/>
    </row>
    <row r="817">
      <c r="A817" s="242"/>
      <c r="B817" s="524"/>
      <c r="C817" s="524"/>
      <c r="D817" s="242"/>
      <c r="E817" s="242"/>
      <c r="F817" s="242"/>
      <c r="G817" s="13"/>
      <c r="H817" s="525"/>
      <c r="I817" s="242"/>
      <c r="J817" s="242"/>
      <c r="K817" s="242"/>
      <c r="L817" s="13"/>
      <c r="M817" s="13"/>
      <c r="N817" s="242"/>
      <c r="O817" s="242"/>
      <c r="P817" s="242"/>
      <c r="Q817" s="242"/>
      <c r="R817" s="242"/>
      <c r="S817" s="242"/>
      <c r="T817" s="242"/>
      <c r="U817" s="242"/>
      <c r="V817" s="242"/>
      <c r="W817" s="242"/>
      <c r="X817" s="242"/>
      <c r="Y817" s="242"/>
      <c r="Z817" s="242"/>
    </row>
    <row r="818">
      <c r="A818" s="242"/>
      <c r="B818" s="524"/>
      <c r="C818" s="524"/>
      <c r="D818" s="242"/>
      <c r="E818" s="242"/>
      <c r="F818" s="242"/>
      <c r="G818" s="13"/>
      <c r="H818" s="525"/>
      <c r="I818" s="242"/>
      <c r="J818" s="242"/>
      <c r="K818" s="242"/>
      <c r="L818" s="13"/>
      <c r="M818" s="13"/>
      <c r="N818" s="242"/>
      <c r="O818" s="242"/>
      <c r="P818" s="242"/>
      <c r="Q818" s="242"/>
      <c r="R818" s="242"/>
      <c r="S818" s="242"/>
      <c r="T818" s="242"/>
      <c r="U818" s="242"/>
      <c r="V818" s="242"/>
      <c r="W818" s="242"/>
      <c r="X818" s="242"/>
      <c r="Y818" s="242"/>
      <c r="Z818" s="242"/>
    </row>
    <row r="819">
      <c r="A819" s="242"/>
      <c r="B819" s="524"/>
      <c r="C819" s="524"/>
      <c r="D819" s="242"/>
      <c r="E819" s="242"/>
      <c r="F819" s="242"/>
      <c r="G819" s="13"/>
      <c r="H819" s="525"/>
      <c r="I819" s="242"/>
      <c r="J819" s="242"/>
      <c r="K819" s="242"/>
      <c r="L819" s="13"/>
      <c r="M819" s="13"/>
      <c r="N819" s="242"/>
      <c r="O819" s="242"/>
      <c r="P819" s="242"/>
      <c r="Q819" s="242"/>
      <c r="R819" s="242"/>
      <c r="S819" s="242"/>
      <c r="T819" s="242"/>
      <c r="U819" s="242"/>
      <c r="V819" s="242"/>
      <c r="W819" s="242"/>
      <c r="X819" s="242"/>
      <c r="Y819" s="242"/>
      <c r="Z819" s="242"/>
    </row>
    <row r="820">
      <c r="A820" s="242"/>
      <c r="B820" s="524"/>
      <c r="C820" s="524"/>
      <c r="D820" s="242"/>
      <c r="E820" s="242"/>
      <c r="F820" s="242"/>
      <c r="G820" s="13"/>
      <c r="H820" s="525"/>
      <c r="I820" s="242"/>
      <c r="J820" s="242"/>
      <c r="K820" s="242"/>
      <c r="L820" s="13"/>
      <c r="M820" s="13"/>
      <c r="N820" s="242"/>
      <c r="O820" s="242"/>
      <c r="P820" s="242"/>
      <c r="Q820" s="242"/>
      <c r="R820" s="242"/>
      <c r="S820" s="242"/>
      <c r="T820" s="242"/>
      <c r="U820" s="242"/>
      <c r="V820" s="242"/>
      <c r="W820" s="242"/>
      <c r="X820" s="242"/>
      <c r="Y820" s="242"/>
      <c r="Z820" s="242"/>
    </row>
    <row r="821">
      <c r="A821" s="242"/>
      <c r="B821" s="524"/>
      <c r="C821" s="524"/>
      <c r="D821" s="242"/>
      <c r="E821" s="242"/>
      <c r="F821" s="242"/>
      <c r="G821" s="13"/>
      <c r="H821" s="525"/>
      <c r="I821" s="242"/>
      <c r="J821" s="242"/>
      <c r="K821" s="242"/>
      <c r="L821" s="13"/>
      <c r="M821" s="13"/>
      <c r="N821" s="242"/>
      <c r="O821" s="242"/>
      <c r="P821" s="242"/>
      <c r="Q821" s="242"/>
      <c r="R821" s="242"/>
      <c r="S821" s="242"/>
      <c r="T821" s="242"/>
      <c r="U821" s="242"/>
      <c r="V821" s="242"/>
      <c r="W821" s="242"/>
      <c r="X821" s="242"/>
      <c r="Y821" s="242"/>
      <c r="Z821" s="242"/>
    </row>
    <row r="822">
      <c r="A822" s="242"/>
      <c r="B822" s="524"/>
      <c r="C822" s="524"/>
      <c r="D822" s="242"/>
      <c r="E822" s="242"/>
      <c r="F822" s="242"/>
      <c r="G822" s="13"/>
      <c r="H822" s="525"/>
      <c r="I822" s="242"/>
      <c r="J822" s="242"/>
      <c r="K822" s="242"/>
      <c r="L822" s="13"/>
      <c r="M822" s="13"/>
      <c r="N822" s="242"/>
      <c r="O822" s="242"/>
      <c r="P822" s="242"/>
      <c r="Q822" s="242"/>
      <c r="R822" s="242"/>
      <c r="S822" s="242"/>
      <c r="T822" s="242"/>
      <c r="U822" s="242"/>
      <c r="V822" s="242"/>
      <c r="W822" s="242"/>
      <c r="X822" s="242"/>
      <c r="Y822" s="242"/>
      <c r="Z822" s="242"/>
    </row>
    <row r="823">
      <c r="A823" s="242"/>
      <c r="B823" s="524"/>
      <c r="C823" s="524"/>
      <c r="D823" s="242"/>
      <c r="E823" s="242"/>
      <c r="F823" s="242"/>
      <c r="G823" s="13"/>
      <c r="H823" s="525"/>
      <c r="I823" s="242"/>
      <c r="J823" s="242"/>
      <c r="K823" s="242"/>
      <c r="L823" s="13"/>
      <c r="M823" s="13"/>
      <c r="N823" s="242"/>
      <c r="O823" s="242"/>
      <c r="P823" s="242"/>
      <c r="Q823" s="242"/>
      <c r="R823" s="242"/>
      <c r="S823" s="242"/>
      <c r="T823" s="242"/>
      <c r="U823" s="242"/>
      <c r="V823" s="242"/>
      <c r="W823" s="242"/>
      <c r="X823" s="242"/>
      <c r="Y823" s="242"/>
      <c r="Z823" s="242"/>
    </row>
    <row r="824">
      <c r="A824" s="242"/>
      <c r="B824" s="524"/>
      <c r="C824" s="524"/>
      <c r="D824" s="242"/>
      <c r="E824" s="242"/>
      <c r="F824" s="242"/>
      <c r="G824" s="13"/>
      <c r="H824" s="525"/>
      <c r="I824" s="242"/>
      <c r="J824" s="242"/>
      <c r="K824" s="242"/>
      <c r="L824" s="13"/>
      <c r="M824" s="13"/>
      <c r="N824" s="242"/>
      <c r="O824" s="242"/>
      <c r="P824" s="242"/>
      <c r="Q824" s="242"/>
      <c r="R824" s="242"/>
      <c r="S824" s="242"/>
      <c r="T824" s="242"/>
      <c r="U824" s="242"/>
      <c r="V824" s="242"/>
      <c r="W824" s="242"/>
      <c r="X824" s="242"/>
      <c r="Y824" s="242"/>
      <c r="Z824" s="242"/>
    </row>
    <row r="825">
      <c r="A825" s="242"/>
      <c r="B825" s="524"/>
      <c r="C825" s="524"/>
      <c r="D825" s="242"/>
      <c r="E825" s="242"/>
      <c r="F825" s="242"/>
      <c r="G825" s="13"/>
      <c r="H825" s="525"/>
      <c r="I825" s="242"/>
      <c r="J825" s="242"/>
      <c r="K825" s="242"/>
      <c r="L825" s="13"/>
      <c r="M825" s="13"/>
      <c r="N825" s="242"/>
      <c r="O825" s="242"/>
      <c r="P825" s="242"/>
      <c r="Q825" s="242"/>
      <c r="R825" s="242"/>
      <c r="S825" s="242"/>
      <c r="T825" s="242"/>
      <c r="U825" s="242"/>
      <c r="V825" s="242"/>
      <c r="W825" s="242"/>
      <c r="X825" s="242"/>
      <c r="Y825" s="242"/>
      <c r="Z825" s="242"/>
    </row>
    <row r="826">
      <c r="A826" s="242"/>
      <c r="B826" s="524"/>
      <c r="C826" s="524"/>
      <c r="D826" s="242"/>
      <c r="E826" s="242"/>
      <c r="F826" s="242"/>
      <c r="G826" s="13"/>
      <c r="H826" s="525"/>
      <c r="I826" s="242"/>
      <c r="J826" s="242"/>
      <c r="K826" s="242"/>
      <c r="L826" s="13"/>
      <c r="M826" s="13"/>
      <c r="N826" s="242"/>
      <c r="O826" s="242"/>
      <c r="P826" s="242"/>
      <c r="Q826" s="242"/>
      <c r="R826" s="242"/>
      <c r="S826" s="242"/>
      <c r="T826" s="242"/>
      <c r="U826" s="242"/>
      <c r="V826" s="242"/>
      <c r="W826" s="242"/>
      <c r="X826" s="242"/>
      <c r="Y826" s="242"/>
      <c r="Z826" s="242"/>
    </row>
    <row r="827">
      <c r="A827" s="242"/>
      <c r="B827" s="524"/>
      <c r="C827" s="524"/>
      <c r="D827" s="242"/>
      <c r="E827" s="242"/>
      <c r="F827" s="242"/>
      <c r="G827" s="13"/>
      <c r="H827" s="525"/>
      <c r="I827" s="242"/>
      <c r="J827" s="242"/>
      <c r="K827" s="242"/>
      <c r="L827" s="13"/>
      <c r="M827" s="13"/>
      <c r="N827" s="242"/>
      <c r="O827" s="242"/>
      <c r="P827" s="242"/>
      <c r="Q827" s="242"/>
      <c r="R827" s="242"/>
      <c r="S827" s="242"/>
      <c r="T827" s="242"/>
      <c r="U827" s="242"/>
      <c r="V827" s="242"/>
      <c r="W827" s="242"/>
      <c r="X827" s="242"/>
      <c r="Y827" s="242"/>
      <c r="Z827" s="242"/>
    </row>
    <row r="828">
      <c r="A828" s="242"/>
      <c r="B828" s="524"/>
      <c r="C828" s="524"/>
      <c r="D828" s="242"/>
      <c r="E828" s="242"/>
      <c r="F828" s="242"/>
      <c r="G828" s="13"/>
      <c r="H828" s="525"/>
      <c r="I828" s="242"/>
      <c r="J828" s="242"/>
      <c r="K828" s="242"/>
      <c r="L828" s="13"/>
      <c r="M828" s="13"/>
      <c r="N828" s="242"/>
      <c r="O828" s="242"/>
      <c r="P828" s="242"/>
      <c r="Q828" s="242"/>
      <c r="R828" s="242"/>
      <c r="S828" s="242"/>
      <c r="T828" s="242"/>
      <c r="U828" s="242"/>
      <c r="V828" s="242"/>
      <c r="W828" s="242"/>
      <c r="X828" s="242"/>
      <c r="Y828" s="242"/>
      <c r="Z828" s="242"/>
    </row>
    <row r="829">
      <c r="A829" s="242"/>
      <c r="B829" s="524"/>
      <c r="C829" s="524"/>
      <c r="D829" s="242"/>
      <c r="E829" s="242"/>
      <c r="F829" s="242"/>
      <c r="G829" s="13"/>
      <c r="H829" s="525"/>
      <c r="I829" s="242"/>
      <c r="J829" s="242"/>
      <c r="K829" s="242"/>
      <c r="L829" s="13"/>
      <c r="M829" s="13"/>
      <c r="N829" s="242"/>
      <c r="O829" s="242"/>
      <c r="P829" s="242"/>
      <c r="Q829" s="242"/>
      <c r="R829" s="242"/>
      <c r="S829" s="242"/>
      <c r="T829" s="242"/>
      <c r="U829" s="242"/>
      <c r="V829" s="242"/>
      <c r="W829" s="242"/>
      <c r="X829" s="242"/>
      <c r="Y829" s="242"/>
      <c r="Z829" s="242"/>
    </row>
    <row r="830">
      <c r="A830" s="242"/>
      <c r="B830" s="524"/>
      <c r="C830" s="524"/>
      <c r="D830" s="242"/>
      <c r="E830" s="242"/>
      <c r="F830" s="242"/>
      <c r="G830" s="13"/>
      <c r="H830" s="525"/>
      <c r="I830" s="242"/>
      <c r="J830" s="242"/>
      <c r="K830" s="242"/>
      <c r="L830" s="13"/>
      <c r="M830" s="13"/>
      <c r="N830" s="242"/>
      <c r="O830" s="242"/>
      <c r="P830" s="242"/>
      <c r="Q830" s="242"/>
      <c r="R830" s="242"/>
      <c r="S830" s="242"/>
      <c r="T830" s="242"/>
      <c r="U830" s="242"/>
      <c r="V830" s="242"/>
      <c r="W830" s="242"/>
      <c r="X830" s="242"/>
      <c r="Y830" s="242"/>
      <c r="Z830" s="242"/>
    </row>
    <row r="831">
      <c r="A831" s="242"/>
      <c r="B831" s="524"/>
      <c r="C831" s="524"/>
      <c r="D831" s="242"/>
      <c r="E831" s="242"/>
      <c r="F831" s="242"/>
      <c r="G831" s="13"/>
      <c r="H831" s="525"/>
      <c r="I831" s="242"/>
      <c r="J831" s="242"/>
      <c r="K831" s="242"/>
      <c r="L831" s="13"/>
      <c r="M831" s="13"/>
      <c r="N831" s="242"/>
      <c r="O831" s="242"/>
      <c r="P831" s="242"/>
      <c r="Q831" s="242"/>
      <c r="R831" s="242"/>
      <c r="S831" s="242"/>
      <c r="T831" s="242"/>
      <c r="U831" s="242"/>
      <c r="V831" s="242"/>
      <c r="W831" s="242"/>
      <c r="X831" s="242"/>
      <c r="Y831" s="242"/>
      <c r="Z831" s="242"/>
    </row>
    <row r="832">
      <c r="A832" s="242"/>
      <c r="B832" s="524"/>
      <c r="C832" s="524"/>
      <c r="D832" s="242"/>
      <c r="E832" s="242"/>
      <c r="F832" s="242"/>
      <c r="G832" s="13"/>
      <c r="H832" s="525"/>
      <c r="I832" s="242"/>
      <c r="J832" s="242"/>
      <c r="K832" s="242"/>
      <c r="L832" s="13"/>
      <c r="M832" s="13"/>
      <c r="N832" s="242"/>
      <c r="O832" s="242"/>
      <c r="P832" s="242"/>
      <c r="Q832" s="242"/>
      <c r="R832" s="242"/>
      <c r="S832" s="242"/>
      <c r="T832" s="242"/>
      <c r="U832" s="242"/>
      <c r="V832" s="242"/>
      <c r="W832" s="242"/>
      <c r="X832" s="242"/>
      <c r="Y832" s="242"/>
      <c r="Z832" s="242"/>
    </row>
    <row r="833">
      <c r="A833" s="242"/>
      <c r="B833" s="524"/>
      <c r="C833" s="524"/>
      <c r="D833" s="242"/>
      <c r="E833" s="242"/>
      <c r="F833" s="242"/>
      <c r="G833" s="13"/>
      <c r="H833" s="525"/>
      <c r="I833" s="242"/>
      <c r="J833" s="242"/>
      <c r="K833" s="242"/>
      <c r="L833" s="13"/>
      <c r="M833" s="13"/>
      <c r="N833" s="242"/>
      <c r="O833" s="242"/>
      <c r="P833" s="242"/>
      <c r="Q833" s="242"/>
      <c r="R833" s="242"/>
      <c r="S833" s="242"/>
      <c r="T833" s="242"/>
      <c r="U833" s="242"/>
      <c r="V833" s="242"/>
      <c r="W833" s="242"/>
      <c r="X833" s="242"/>
      <c r="Y833" s="242"/>
      <c r="Z833" s="242"/>
    </row>
    <row r="834">
      <c r="A834" s="242"/>
      <c r="B834" s="524"/>
      <c r="C834" s="524"/>
      <c r="D834" s="242"/>
      <c r="E834" s="242"/>
      <c r="F834" s="242"/>
      <c r="G834" s="13"/>
      <c r="H834" s="525"/>
      <c r="I834" s="242"/>
      <c r="J834" s="242"/>
      <c r="K834" s="242"/>
      <c r="L834" s="13"/>
      <c r="M834" s="13"/>
      <c r="N834" s="242"/>
      <c r="O834" s="242"/>
      <c r="P834" s="242"/>
      <c r="Q834" s="242"/>
      <c r="R834" s="242"/>
      <c r="S834" s="242"/>
      <c r="T834" s="242"/>
      <c r="U834" s="242"/>
      <c r="V834" s="242"/>
      <c r="W834" s="242"/>
      <c r="X834" s="242"/>
      <c r="Y834" s="242"/>
      <c r="Z834" s="242"/>
    </row>
    <row r="835">
      <c r="A835" s="242"/>
      <c r="B835" s="524"/>
      <c r="C835" s="524"/>
      <c r="D835" s="242"/>
      <c r="E835" s="242"/>
      <c r="F835" s="242"/>
      <c r="G835" s="13"/>
      <c r="H835" s="525"/>
      <c r="I835" s="242"/>
      <c r="J835" s="242"/>
      <c r="K835" s="242"/>
      <c r="L835" s="13"/>
      <c r="M835" s="13"/>
      <c r="N835" s="242"/>
      <c r="O835" s="242"/>
      <c r="P835" s="242"/>
      <c r="Q835" s="242"/>
      <c r="R835" s="242"/>
      <c r="S835" s="242"/>
      <c r="T835" s="242"/>
      <c r="U835" s="242"/>
      <c r="V835" s="242"/>
      <c r="W835" s="242"/>
      <c r="X835" s="242"/>
      <c r="Y835" s="242"/>
      <c r="Z835" s="242"/>
    </row>
    <row r="836">
      <c r="A836" s="242"/>
      <c r="B836" s="524"/>
      <c r="C836" s="524"/>
      <c r="D836" s="242"/>
      <c r="E836" s="242"/>
      <c r="F836" s="242"/>
      <c r="G836" s="13"/>
      <c r="H836" s="525"/>
      <c r="I836" s="242"/>
      <c r="J836" s="242"/>
      <c r="K836" s="242"/>
      <c r="L836" s="13"/>
      <c r="M836" s="13"/>
      <c r="N836" s="242"/>
      <c r="O836" s="242"/>
      <c r="P836" s="242"/>
      <c r="Q836" s="242"/>
      <c r="R836" s="242"/>
      <c r="S836" s="242"/>
      <c r="T836" s="242"/>
      <c r="U836" s="242"/>
      <c r="V836" s="242"/>
      <c r="W836" s="242"/>
      <c r="X836" s="242"/>
      <c r="Y836" s="242"/>
      <c r="Z836" s="242"/>
    </row>
    <row r="837">
      <c r="A837" s="242"/>
      <c r="B837" s="524"/>
      <c r="C837" s="524"/>
      <c r="D837" s="242"/>
      <c r="E837" s="242"/>
      <c r="F837" s="242"/>
      <c r="G837" s="13"/>
      <c r="H837" s="525"/>
      <c r="I837" s="242"/>
      <c r="J837" s="242"/>
      <c r="K837" s="242"/>
      <c r="L837" s="13"/>
      <c r="M837" s="13"/>
      <c r="N837" s="242"/>
      <c r="O837" s="242"/>
      <c r="P837" s="242"/>
      <c r="Q837" s="242"/>
      <c r="R837" s="242"/>
      <c r="S837" s="242"/>
      <c r="T837" s="242"/>
      <c r="U837" s="242"/>
      <c r="V837" s="242"/>
      <c r="W837" s="242"/>
      <c r="X837" s="242"/>
      <c r="Y837" s="242"/>
      <c r="Z837" s="242"/>
    </row>
    <row r="838">
      <c r="A838" s="242"/>
      <c r="B838" s="524"/>
      <c r="C838" s="524"/>
      <c r="D838" s="242"/>
      <c r="E838" s="242"/>
      <c r="F838" s="242"/>
      <c r="G838" s="13"/>
      <c r="H838" s="525"/>
      <c r="I838" s="242"/>
      <c r="J838" s="242"/>
      <c r="K838" s="242"/>
      <c r="L838" s="13"/>
      <c r="M838" s="13"/>
      <c r="N838" s="242"/>
      <c r="O838" s="242"/>
      <c r="P838" s="242"/>
      <c r="Q838" s="242"/>
      <c r="R838" s="242"/>
      <c r="S838" s="242"/>
      <c r="T838" s="242"/>
      <c r="U838" s="242"/>
      <c r="V838" s="242"/>
      <c r="W838" s="242"/>
      <c r="X838" s="242"/>
      <c r="Y838" s="242"/>
      <c r="Z838" s="242"/>
    </row>
    <row r="839">
      <c r="A839" s="242"/>
      <c r="B839" s="524"/>
      <c r="C839" s="524"/>
      <c r="D839" s="242"/>
      <c r="E839" s="242"/>
      <c r="F839" s="242"/>
      <c r="G839" s="13"/>
      <c r="H839" s="525"/>
      <c r="I839" s="242"/>
      <c r="J839" s="242"/>
      <c r="K839" s="242"/>
      <c r="L839" s="13"/>
      <c r="M839" s="13"/>
      <c r="N839" s="242"/>
      <c r="O839" s="242"/>
      <c r="P839" s="242"/>
      <c r="Q839" s="242"/>
      <c r="R839" s="242"/>
      <c r="S839" s="242"/>
      <c r="T839" s="242"/>
      <c r="U839" s="242"/>
      <c r="V839" s="242"/>
      <c r="W839" s="242"/>
      <c r="X839" s="242"/>
      <c r="Y839" s="242"/>
      <c r="Z839" s="242"/>
    </row>
    <row r="840">
      <c r="A840" s="242"/>
      <c r="B840" s="524"/>
      <c r="C840" s="524"/>
      <c r="D840" s="242"/>
      <c r="E840" s="242"/>
      <c r="F840" s="242"/>
      <c r="G840" s="13"/>
      <c r="H840" s="525"/>
      <c r="I840" s="242"/>
      <c r="J840" s="242"/>
      <c r="K840" s="242"/>
      <c r="L840" s="13"/>
      <c r="M840" s="13"/>
      <c r="N840" s="242"/>
      <c r="O840" s="242"/>
      <c r="P840" s="242"/>
      <c r="Q840" s="242"/>
      <c r="R840" s="242"/>
      <c r="S840" s="242"/>
      <c r="T840" s="242"/>
      <c r="U840" s="242"/>
      <c r="V840" s="242"/>
      <c r="W840" s="242"/>
      <c r="X840" s="242"/>
      <c r="Y840" s="242"/>
      <c r="Z840" s="242"/>
    </row>
    <row r="841">
      <c r="A841" s="242"/>
      <c r="B841" s="524"/>
      <c r="C841" s="524"/>
      <c r="D841" s="242"/>
      <c r="E841" s="242"/>
      <c r="F841" s="242"/>
      <c r="G841" s="13"/>
      <c r="H841" s="525"/>
      <c r="I841" s="242"/>
      <c r="J841" s="242"/>
      <c r="K841" s="242"/>
      <c r="L841" s="13"/>
      <c r="M841" s="13"/>
      <c r="N841" s="242"/>
      <c r="O841" s="242"/>
      <c r="P841" s="242"/>
      <c r="Q841" s="242"/>
      <c r="R841" s="242"/>
      <c r="S841" s="242"/>
      <c r="T841" s="242"/>
      <c r="U841" s="242"/>
      <c r="V841" s="242"/>
      <c r="W841" s="242"/>
      <c r="X841" s="242"/>
      <c r="Y841" s="242"/>
      <c r="Z841" s="242"/>
    </row>
    <row r="842">
      <c r="A842" s="242"/>
      <c r="B842" s="524"/>
      <c r="C842" s="524"/>
      <c r="D842" s="242"/>
      <c r="E842" s="242"/>
      <c r="F842" s="242"/>
      <c r="G842" s="13"/>
      <c r="H842" s="525"/>
      <c r="I842" s="242"/>
      <c r="J842" s="242"/>
      <c r="K842" s="242"/>
      <c r="L842" s="13"/>
      <c r="M842" s="13"/>
      <c r="N842" s="242"/>
      <c r="O842" s="242"/>
      <c r="P842" s="242"/>
      <c r="Q842" s="242"/>
      <c r="R842" s="242"/>
      <c r="S842" s="242"/>
      <c r="T842" s="242"/>
      <c r="U842" s="242"/>
      <c r="V842" s="242"/>
      <c r="W842" s="242"/>
      <c r="X842" s="242"/>
      <c r="Y842" s="242"/>
      <c r="Z842" s="242"/>
    </row>
    <row r="843">
      <c r="A843" s="242"/>
      <c r="B843" s="524"/>
      <c r="C843" s="524"/>
      <c r="D843" s="242"/>
      <c r="E843" s="242"/>
      <c r="F843" s="242"/>
      <c r="G843" s="13"/>
      <c r="H843" s="525"/>
      <c r="I843" s="242"/>
      <c r="J843" s="242"/>
      <c r="K843" s="242"/>
      <c r="L843" s="13"/>
      <c r="M843" s="13"/>
      <c r="N843" s="242"/>
      <c r="O843" s="242"/>
      <c r="P843" s="242"/>
      <c r="Q843" s="242"/>
      <c r="R843" s="242"/>
      <c r="S843" s="242"/>
      <c r="T843" s="242"/>
      <c r="U843" s="242"/>
      <c r="V843" s="242"/>
      <c r="W843" s="242"/>
      <c r="X843" s="242"/>
      <c r="Y843" s="242"/>
      <c r="Z843" s="242"/>
    </row>
    <row r="844">
      <c r="A844" s="242"/>
      <c r="B844" s="524"/>
      <c r="C844" s="524"/>
      <c r="D844" s="242"/>
      <c r="E844" s="242"/>
      <c r="F844" s="242"/>
      <c r="G844" s="13"/>
      <c r="H844" s="525"/>
      <c r="I844" s="242"/>
      <c r="J844" s="242"/>
      <c r="K844" s="242"/>
      <c r="L844" s="13"/>
      <c r="M844" s="13"/>
      <c r="N844" s="242"/>
      <c r="O844" s="242"/>
      <c r="P844" s="242"/>
      <c r="Q844" s="242"/>
      <c r="R844" s="242"/>
      <c r="S844" s="242"/>
      <c r="T844" s="242"/>
      <c r="U844" s="242"/>
      <c r="V844" s="242"/>
      <c r="W844" s="242"/>
      <c r="X844" s="242"/>
      <c r="Y844" s="242"/>
      <c r="Z844" s="242"/>
    </row>
    <row r="845">
      <c r="A845" s="242"/>
      <c r="B845" s="524"/>
      <c r="C845" s="524"/>
      <c r="D845" s="242"/>
      <c r="E845" s="242"/>
      <c r="F845" s="242"/>
      <c r="G845" s="13"/>
      <c r="H845" s="525"/>
      <c r="I845" s="242"/>
      <c r="J845" s="242"/>
      <c r="K845" s="242"/>
      <c r="L845" s="13"/>
      <c r="M845" s="13"/>
      <c r="N845" s="242"/>
      <c r="O845" s="242"/>
      <c r="P845" s="242"/>
      <c r="Q845" s="242"/>
      <c r="R845" s="242"/>
      <c r="S845" s="242"/>
      <c r="T845" s="242"/>
      <c r="U845" s="242"/>
      <c r="V845" s="242"/>
      <c r="W845" s="242"/>
      <c r="X845" s="242"/>
      <c r="Y845" s="242"/>
      <c r="Z845" s="242"/>
    </row>
    <row r="846">
      <c r="A846" s="242"/>
      <c r="B846" s="524"/>
      <c r="C846" s="524"/>
      <c r="D846" s="242"/>
      <c r="E846" s="242"/>
      <c r="F846" s="242"/>
      <c r="G846" s="13"/>
      <c r="H846" s="525"/>
      <c r="I846" s="242"/>
      <c r="J846" s="242"/>
      <c r="K846" s="242"/>
      <c r="L846" s="13"/>
      <c r="M846" s="13"/>
      <c r="N846" s="242"/>
      <c r="O846" s="242"/>
      <c r="P846" s="242"/>
      <c r="Q846" s="242"/>
      <c r="R846" s="242"/>
      <c r="S846" s="242"/>
      <c r="T846" s="242"/>
      <c r="U846" s="242"/>
      <c r="V846" s="242"/>
      <c r="W846" s="242"/>
      <c r="X846" s="242"/>
      <c r="Y846" s="242"/>
      <c r="Z846" s="242"/>
    </row>
    <row r="847">
      <c r="A847" s="242"/>
      <c r="B847" s="524"/>
      <c r="C847" s="524"/>
      <c r="D847" s="242"/>
      <c r="E847" s="242"/>
      <c r="F847" s="242"/>
      <c r="G847" s="13"/>
      <c r="H847" s="525"/>
      <c r="I847" s="242"/>
      <c r="J847" s="242"/>
      <c r="K847" s="242"/>
      <c r="L847" s="13"/>
      <c r="M847" s="13"/>
      <c r="N847" s="242"/>
      <c r="O847" s="242"/>
      <c r="P847" s="242"/>
      <c r="Q847" s="242"/>
      <c r="R847" s="242"/>
      <c r="S847" s="242"/>
      <c r="T847" s="242"/>
      <c r="U847" s="242"/>
      <c r="V847" s="242"/>
      <c r="W847" s="242"/>
      <c r="X847" s="242"/>
      <c r="Y847" s="242"/>
      <c r="Z847" s="242"/>
    </row>
    <row r="848">
      <c r="A848" s="242"/>
      <c r="B848" s="524"/>
      <c r="C848" s="524"/>
      <c r="D848" s="242"/>
      <c r="E848" s="242"/>
      <c r="F848" s="242"/>
      <c r="G848" s="13"/>
      <c r="H848" s="525"/>
      <c r="I848" s="242"/>
      <c r="J848" s="242"/>
      <c r="K848" s="242"/>
      <c r="L848" s="13"/>
      <c r="M848" s="13"/>
      <c r="N848" s="242"/>
      <c r="O848" s="242"/>
      <c r="P848" s="242"/>
      <c r="Q848" s="242"/>
      <c r="R848" s="242"/>
      <c r="S848" s="242"/>
      <c r="T848" s="242"/>
      <c r="U848" s="242"/>
      <c r="V848" s="242"/>
      <c r="W848" s="242"/>
      <c r="X848" s="242"/>
      <c r="Y848" s="242"/>
      <c r="Z848" s="242"/>
    </row>
    <row r="849">
      <c r="A849" s="242"/>
      <c r="B849" s="524"/>
      <c r="C849" s="524"/>
      <c r="D849" s="242"/>
      <c r="E849" s="242"/>
      <c r="F849" s="242"/>
      <c r="G849" s="13"/>
      <c r="H849" s="525"/>
      <c r="I849" s="242"/>
      <c r="J849" s="242"/>
      <c r="K849" s="242"/>
      <c r="L849" s="13"/>
      <c r="M849" s="13"/>
      <c r="N849" s="242"/>
      <c r="O849" s="242"/>
      <c r="P849" s="242"/>
      <c r="Q849" s="242"/>
      <c r="R849" s="242"/>
      <c r="S849" s="242"/>
      <c r="T849" s="242"/>
      <c r="U849" s="242"/>
      <c r="V849" s="242"/>
      <c r="W849" s="242"/>
      <c r="X849" s="242"/>
      <c r="Y849" s="242"/>
      <c r="Z849" s="242"/>
    </row>
    <row r="850">
      <c r="A850" s="242"/>
      <c r="B850" s="524"/>
      <c r="C850" s="524"/>
      <c r="D850" s="242"/>
      <c r="E850" s="242"/>
      <c r="F850" s="242"/>
      <c r="G850" s="13"/>
      <c r="H850" s="525"/>
      <c r="I850" s="242"/>
      <c r="J850" s="242"/>
      <c r="K850" s="242"/>
      <c r="L850" s="13"/>
      <c r="M850" s="13"/>
      <c r="N850" s="242"/>
      <c r="O850" s="242"/>
      <c r="P850" s="242"/>
      <c r="Q850" s="242"/>
      <c r="R850" s="242"/>
      <c r="S850" s="242"/>
      <c r="T850" s="242"/>
      <c r="U850" s="242"/>
      <c r="V850" s="242"/>
      <c r="W850" s="242"/>
      <c r="X850" s="242"/>
      <c r="Y850" s="242"/>
      <c r="Z850" s="242"/>
    </row>
    <row r="851">
      <c r="A851" s="242"/>
      <c r="B851" s="524"/>
      <c r="C851" s="524"/>
      <c r="D851" s="242"/>
      <c r="E851" s="242"/>
      <c r="F851" s="242"/>
      <c r="G851" s="13"/>
      <c r="H851" s="525"/>
      <c r="I851" s="242"/>
      <c r="J851" s="242"/>
      <c r="K851" s="242"/>
      <c r="L851" s="13"/>
      <c r="M851" s="13"/>
      <c r="N851" s="242"/>
      <c r="O851" s="242"/>
      <c r="P851" s="242"/>
      <c r="Q851" s="242"/>
      <c r="R851" s="242"/>
      <c r="S851" s="242"/>
      <c r="T851" s="242"/>
      <c r="U851" s="242"/>
      <c r="V851" s="242"/>
      <c r="W851" s="242"/>
      <c r="X851" s="242"/>
      <c r="Y851" s="242"/>
      <c r="Z851" s="242"/>
    </row>
    <row r="852">
      <c r="A852" s="242"/>
      <c r="B852" s="524"/>
      <c r="C852" s="524"/>
      <c r="D852" s="242"/>
      <c r="E852" s="242"/>
      <c r="F852" s="242"/>
      <c r="G852" s="13"/>
      <c r="H852" s="525"/>
      <c r="I852" s="242"/>
      <c r="J852" s="242"/>
      <c r="K852" s="242"/>
      <c r="L852" s="13"/>
      <c r="M852" s="13"/>
      <c r="N852" s="242"/>
      <c r="O852" s="242"/>
      <c r="P852" s="242"/>
      <c r="Q852" s="242"/>
      <c r="R852" s="242"/>
      <c r="S852" s="242"/>
      <c r="T852" s="242"/>
      <c r="U852" s="242"/>
      <c r="V852" s="242"/>
      <c r="W852" s="242"/>
      <c r="X852" s="242"/>
      <c r="Y852" s="242"/>
      <c r="Z852" s="242"/>
    </row>
    <row r="853">
      <c r="A853" s="242"/>
      <c r="B853" s="524"/>
      <c r="C853" s="524"/>
      <c r="D853" s="242"/>
      <c r="E853" s="242"/>
      <c r="F853" s="242"/>
      <c r="G853" s="13"/>
      <c r="H853" s="525"/>
      <c r="I853" s="242"/>
      <c r="J853" s="242"/>
      <c r="K853" s="242"/>
      <c r="L853" s="13"/>
      <c r="M853" s="13"/>
      <c r="N853" s="242"/>
      <c r="O853" s="242"/>
      <c r="P853" s="242"/>
      <c r="Q853" s="242"/>
      <c r="R853" s="242"/>
      <c r="S853" s="242"/>
      <c r="T853" s="242"/>
      <c r="U853" s="242"/>
      <c r="V853" s="242"/>
      <c r="W853" s="242"/>
      <c r="X853" s="242"/>
      <c r="Y853" s="242"/>
      <c r="Z853" s="242"/>
    </row>
    <row r="854">
      <c r="A854" s="242"/>
      <c r="B854" s="524"/>
      <c r="C854" s="524"/>
      <c r="D854" s="242"/>
      <c r="E854" s="242"/>
      <c r="F854" s="242"/>
      <c r="G854" s="13"/>
      <c r="H854" s="525"/>
      <c r="I854" s="242"/>
      <c r="J854" s="242"/>
      <c r="K854" s="242"/>
      <c r="L854" s="13"/>
      <c r="M854" s="13"/>
      <c r="N854" s="242"/>
      <c r="O854" s="242"/>
      <c r="P854" s="242"/>
      <c r="Q854" s="242"/>
      <c r="R854" s="242"/>
      <c r="S854" s="242"/>
      <c r="T854" s="242"/>
      <c r="U854" s="242"/>
      <c r="V854" s="242"/>
      <c r="W854" s="242"/>
      <c r="X854" s="242"/>
      <c r="Y854" s="242"/>
      <c r="Z854" s="242"/>
    </row>
    <row r="855">
      <c r="A855" s="242"/>
      <c r="B855" s="524"/>
      <c r="C855" s="524"/>
      <c r="D855" s="242"/>
      <c r="E855" s="242"/>
      <c r="F855" s="242"/>
      <c r="G855" s="13"/>
      <c r="H855" s="525"/>
      <c r="I855" s="242"/>
      <c r="J855" s="242"/>
      <c r="K855" s="242"/>
      <c r="L855" s="13"/>
      <c r="M855" s="13"/>
      <c r="N855" s="242"/>
      <c r="O855" s="242"/>
      <c r="P855" s="242"/>
      <c r="Q855" s="242"/>
      <c r="R855" s="242"/>
      <c r="S855" s="242"/>
      <c r="T855" s="242"/>
      <c r="U855" s="242"/>
      <c r="V855" s="242"/>
      <c r="W855" s="242"/>
      <c r="X855" s="242"/>
      <c r="Y855" s="242"/>
      <c r="Z855" s="242"/>
    </row>
    <row r="856">
      <c r="A856" s="242"/>
      <c r="B856" s="524"/>
      <c r="C856" s="524"/>
      <c r="D856" s="242"/>
      <c r="E856" s="242"/>
      <c r="F856" s="242"/>
      <c r="G856" s="13"/>
      <c r="H856" s="525"/>
      <c r="I856" s="242"/>
      <c r="J856" s="242"/>
      <c r="K856" s="242"/>
      <c r="L856" s="13"/>
      <c r="M856" s="13"/>
      <c r="N856" s="242"/>
      <c r="O856" s="242"/>
      <c r="P856" s="242"/>
      <c r="Q856" s="242"/>
      <c r="R856" s="242"/>
      <c r="S856" s="242"/>
      <c r="T856" s="242"/>
      <c r="U856" s="242"/>
      <c r="V856" s="242"/>
      <c r="W856" s="242"/>
      <c r="X856" s="242"/>
      <c r="Y856" s="242"/>
      <c r="Z856" s="242"/>
    </row>
    <row r="857">
      <c r="A857" s="242"/>
      <c r="B857" s="524"/>
      <c r="C857" s="524"/>
      <c r="D857" s="242"/>
      <c r="E857" s="242"/>
      <c r="F857" s="242"/>
      <c r="G857" s="13"/>
      <c r="H857" s="525"/>
      <c r="I857" s="242"/>
      <c r="J857" s="242"/>
      <c r="K857" s="242"/>
      <c r="L857" s="13"/>
      <c r="M857" s="13"/>
      <c r="N857" s="242"/>
      <c r="O857" s="242"/>
      <c r="P857" s="242"/>
      <c r="Q857" s="242"/>
      <c r="R857" s="242"/>
      <c r="S857" s="242"/>
      <c r="T857" s="242"/>
      <c r="U857" s="242"/>
      <c r="V857" s="242"/>
      <c r="W857" s="242"/>
      <c r="X857" s="242"/>
      <c r="Y857" s="242"/>
      <c r="Z857" s="242"/>
    </row>
    <row r="858">
      <c r="A858" s="242"/>
      <c r="B858" s="524"/>
      <c r="C858" s="524"/>
      <c r="D858" s="242"/>
      <c r="E858" s="242"/>
      <c r="F858" s="242"/>
      <c r="G858" s="13"/>
      <c r="H858" s="525"/>
      <c r="I858" s="242"/>
      <c r="J858" s="242"/>
      <c r="K858" s="242"/>
      <c r="L858" s="13"/>
      <c r="M858" s="13"/>
      <c r="N858" s="242"/>
      <c r="O858" s="242"/>
      <c r="P858" s="242"/>
      <c r="Q858" s="242"/>
      <c r="R858" s="242"/>
      <c r="S858" s="242"/>
      <c r="T858" s="242"/>
      <c r="U858" s="242"/>
      <c r="V858" s="242"/>
      <c r="W858" s="242"/>
      <c r="X858" s="242"/>
      <c r="Y858" s="242"/>
      <c r="Z858" s="242"/>
    </row>
    <row r="859">
      <c r="A859" s="242"/>
      <c r="B859" s="524"/>
      <c r="C859" s="524"/>
      <c r="D859" s="242"/>
      <c r="E859" s="242"/>
      <c r="F859" s="242"/>
      <c r="G859" s="13"/>
      <c r="H859" s="525"/>
      <c r="I859" s="242"/>
      <c r="J859" s="242"/>
      <c r="K859" s="242"/>
      <c r="L859" s="13"/>
      <c r="M859" s="13"/>
      <c r="N859" s="242"/>
      <c r="O859" s="242"/>
      <c r="P859" s="242"/>
      <c r="Q859" s="242"/>
      <c r="R859" s="242"/>
      <c r="S859" s="242"/>
      <c r="T859" s="242"/>
      <c r="U859" s="242"/>
      <c r="V859" s="242"/>
      <c r="W859" s="242"/>
      <c r="X859" s="242"/>
      <c r="Y859" s="242"/>
      <c r="Z859" s="242"/>
    </row>
    <row r="860">
      <c r="A860" s="242"/>
      <c r="B860" s="524"/>
      <c r="C860" s="524"/>
      <c r="D860" s="242"/>
      <c r="E860" s="242"/>
      <c r="F860" s="242"/>
      <c r="G860" s="13"/>
      <c r="H860" s="525"/>
      <c r="I860" s="242"/>
      <c r="J860" s="242"/>
      <c r="K860" s="242"/>
      <c r="L860" s="13"/>
      <c r="M860" s="13"/>
      <c r="N860" s="242"/>
      <c r="O860" s="242"/>
      <c r="P860" s="242"/>
      <c r="Q860" s="242"/>
      <c r="R860" s="242"/>
      <c r="S860" s="242"/>
      <c r="T860" s="242"/>
      <c r="U860" s="242"/>
      <c r="V860" s="242"/>
      <c r="W860" s="242"/>
      <c r="X860" s="242"/>
      <c r="Y860" s="242"/>
      <c r="Z860" s="242"/>
    </row>
    <row r="861">
      <c r="A861" s="242"/>
      <c r="B861" s="524"/>
      <c r="C861" s="524"/>
      <c r="D861" s="242"/>
      <c r="E861" s="242"/>
      <c r="F861" s="242"/>
      <c r="G861" s="13"/>
      <c r="H861" s="525"/>
      <c r="I861" s="242"/>
      <c r="J861" s="242"/>
      <c r="K861" s="242"/>
      <c r="L861" s="13"/>
      <c r="M861" s="13"/>
      <c r="N861" s="242"/>
      <c r="O861" s="242"/>
      <c r="P861" s="242"/>
      <c r="Q861" s="242"/>
      <c r="R861" s="242"/>
      <c r="S861" s="242"/>
      <c r="T861" s="242"/>
      <c r="U861" s="242"/>
      <c r="V861" s="242"/>
      <c r="W861" s="242"/>
      <c r="X861" s="242"/>
      <c r="Y861" s="242"/>
      <c r="Z861" s="242"/>
    </row>
    <row r="862">
      <c r="A862" s="242"/>
      <c r="B862" s="524"/>
      <c r="C862" s="524"/>
      <c r="D862" s="242"/>
      <c r="E862" s="242"/>
      <c r="F862" s="242"/>
      <c r="G862" s="13"/>
      <c r="H862" s="525"/>
      <c r="I862" s="242"/>
      <c r="J862" s="242"/>
      <c r="K862" s="242"/>
      <c r="L862" s="13"/>
      <c r="M862" s="13"/>
      <c r="N862" s="242"/>
      <c r="O862" s="242"/>
      <c r="P862" s="242"/>
      <c r="Q862" s="242"/>
      <c r="R862" s="242"/>
      <c r="S862" s="242"/>
      <c r="T862" s="242"/>
      <c r="U862" s="242"/>
      <c r="V862" s="242"/>
      <c r="W862" s="242"/>
      <c r="X862" s="242"/>
      <c r="Y862" s="242"/>
      <c r="Z862" s="242"/>
    </row>
    <row r="863">
      <c r="A863" s="242"/>
      <c r="B863" s="524"/>
      <c r="C863" s="524"/>
      <c r="D863" s="242"/>
      <c r="E863" s="242"/>
      <c r="F863" s="242"/>
      <c r="G863" s="13"/>
      <c r="H863" s="525"/>
      <c r="I863" s="242"/>
      <c r="J863" s="242"/>
      <c r="K863" s="242"/>
      <c r="L863" s="13"/>
      <c r="M863" s="13"/>
      <c r="N863" s="242"/>
      <c r="O863" s="242"/>
      <c r="P863" s="242"/>
      <c r="Q863" s="242"/>
      <c r="R863" s="242"/>
      <c r="S863" s="242"/>
      <c r="T863" s="242"/>
      <c r="U863" s="242"/>
      <c r="V863" s="242"/>
      <c r="W863" s="242"/>
      <c r="X863" s="242"/>
      <c r="Y863" s="242"/>
      <c r="Z863" s="242"/>
    </row>
    <row r="864">
      <c r="A864" s="242"/>
      <c r="B864" s="524"/>
      <c r="C864" s="524"/>
      <c r="D864" s="242"/>
      <c r="E864" s="242"/>
      <c r="F864" s="242"/>
      <c r="G864" s="13"/>
      <c r="H864" s="525"/>
      <c r="I864" s="242"/>
      <c r="J864" s="242"/>
      <c r="K864" s="242"/>
      <c r="L864" s="13"/>
      <c r="M864" s="13"/>
      <c r="N864" s="242"/>
      <c r="O864" s="242"/>
      <c r="P864" s="242"/>
      <c r="Q864" s="242"/>
      <c r="R864" s="242"/>
      <c r="S864" s="242"/>
      <c r="T864" s="242"/>
      <c r="U864" s="242"/>
      <c r="V864" s="242"/>
      <c r="W864" s="242"/>
      <c r="X864" s="242"/>
      <c r="Y864" s="242"/>
      <c r="Z864" s="242"/>
    </row>
    <row r="865">
      <c r="A865" s="242"/>
      <c r="B865" s="524"/>
      <c r="C865" s="524"/>
      <c r="D865" s="242"/>
      <c r="E865" s="242"/>
      <c r="F865" s="242"/>
      <c r="G865" s="13"/>
      <c r="H865" s="525"/>
      <c r="I865" s="242"/>
      <c r="J865" s="242"/>
      <c r="K865" s="242"/>
      <c r="L865" s="13"/>
      <c r="M865" s="13"/>
      <c r="N865" s="242"/>
      <c r="O865" s="242"/>
      <c r="P865" s="242"/>
      <c r="Q865" s="242"/>
      <c r="R865" s="242"/>
      <c r="S865" s="242"/>
      <c r="T865" s="242"/>
      <c r="U865" s="242"/>
      <c r="V865" s="242"/>
      <c r="W865" s="242"/>
      <c r="X865" s="242"/>
      <c r="Y865" s="242"/>
      <c r="Z865" s="242"/>
    </row>
    <row r="866">
      <c r="A866" s="242"/>
      <c r="B866" s="524"/>
      <c r="C866" s="524"/>
      <c r="D866" s="242"/>
      <c r="E866" s="242"/>
      <c r="F866" s="242"/>
      <c r="G866" s="13"/>
      <c r="H866" s="525"/>
      <c r="I866" s="242"/>
      <c r="J866" s="242"/>
      <c r="K866" s="242"/>
      <c r="L866" s="13"/>
      <c r="M866" s="13"/>
      <c r="N866" s="242"/>
      <c r="O866" s="242"/>
      <c r="P866" s="242"/>
      <c r="Q866" s="242"/>
      <c r="R866" s="242"/>
      <c r="S866" s="242"/>
      <c r="T866" s="242"/>
      <c r="U866" s="242"/>
      <c r="V866" s="242"/>
      <c r="W866" s="242"/>
      <c r="X866" s="242"/>
      <c r="Y866" s="242"/>
      <c r="Z866" s="242"/>
    </row>
    <row r="867">
      <c r="A867" s="242"/>
      <c r="B867" s="524"/>
      <c r="C867" s="524"/>
      <c r="D867" s="242"/>
      <c r="E867" s="242"/>
      <c r="F867" s="242"/>
      <c r="G867" s="13"/>
      <c r="H867" s="525"/>
      <c r="I867" s="242"/>
      <c r="J867" s="242"/>
      <c r="K867" s="242"/>
      <c r="L867" s="13"/>
      <c r="M867" s="13"/>
      <c r="N867" s="242"/>
      <c r="O867" s="242"/>
      <c r="P867" s="242"/>
      <c r="Q867" s="242"/>
      <c r="R867" s="242"/>
      <c r="S867" s="242"/>
      <c r="T867" s="242"/>
      <c r="U867" s="242"/>
      <c r="V867" s="242"/>
      <c r="W867" s="242"/>
      <c r="X867" s="242"/>
      <c r="Y867" s="242"/>
      <c r="Z867" s="242"/>
    </row>
    <row r="868">
      <c r="A868" s="242"/>
      <c r="B868" s="524"/>
      <c r="C868" s="524"/>
      <c r="D868" s="242"/>
      <c r="E868" s="242"/>
      <c r="F868" s="242"/>
      <c r="G868" s="13"/>
      <c r="H868" s="525"/>
      <c r="I868" s="242"/>
      <c r="J868" s="242"/>
      <c r="K868" s="242"/>
      <c r="L868" s="13"/>
      <c r="M868" s="13"/>
      <c r="N868" s="242"/>
      <c r="O868" s="242"/>
      <c r="P868" s="242"/>
      <c r="Q868" s="242"/>
      <c r="R868" s="242"/>
      <c r="S868" s="242"/>
      <c r="T868" s="242"/>
      <c r="U868" s="242"/>
      <c r="V868" s="242"/>
      <c r="W868" s="242"/>
      <c r="X868" s="242"/>
      <c r="Y868" s="242"/>
      <c r="Z868" s="242"/>
    </row>
    <row r="869">
      <c r="A869" s="242"/>
      <c r="B869" s="524"/>
      <c r="C869" s="524"/>
      <c r="D869" s="242"/>
      <c r="E869" s="242"/>
      <c r="F869" s="242"/>
      <c r="G869" s="13"/>
      <c r="H869" s="525"/>
      <c r="I869" s="242"/>
      <c r="J869" s="242"/>
      <c r="K869" s="242"/>
      <c r="L869" s="13"/>
      <c r="M869" s="13"/>
      <c r="N869" s="242"/>
      <c r="O869" s="242"/>
      <c r="P869" s="242"/>
      <c r="Q869" s="242"/>
      <c r="R869" s="242"/>
      <c r="S869" s="242"/>
      <c r="T869" s="242"/>
      <c r="U869" s="242"/>
      <c r="V869" s="242"/>
      <c r="W869" s="242"/>
      <c r="X869" s="242"/>
      <c r="Y869" s="242"/>
      <c r="Z869" s="242"/>
    </row>
    <row r="870">
      <c r="A870" s="242"/>
      <c r="B870" s="524"/>
      <c r="C870" s="524"/>
      <c r="D870" s="242"/>
      <c r="E870" s="242"/>
      <c r="F870" s="242"/>
      <c r="G870" s="13"/>
      <c r="H870" s="525"/>
      <c r="I870" s="242"/>
      <c r="J870" s="242"/>
      <c r="K870" s="242"/>
      <c r="L870" s="13"/>
      <c r="M870" s="13"/>
      <c r="N870" s="242"/>
      <c r="O870" s="242"/>
      <c r="P870" s="242"/>
      <c r="Q870" s="242"/>
      <c r="R870" s="242"/>
      <c r="S870" s="242"/>
      <c r="T870" s="242"/>
      <c r="U870" s="242"/>
      <c r="V870" s="242"/>
      <c r="W870" s="242"/>
      <c r="X870" s="242"/>
      <c r="Y870" s="242"/>
      <c r="Z870" s="242"/>
    </row>
    <row r="871">
      <c r="A871" s="242"/>
      <c r="B871" s="524"/>
      <c r="C871" s="524"/>
      <c r="D871" s="242"/>
      <c r="E871" s="242"/>
      <c r="F871" s="242"/>
      <c r="G871" s="13"/>
      <c r="H871" s="525"/>
      <c r="I871" s="242"/>
      <c r="J871" s="242"/>
      <c r="K871" s="242"/>
      <c r="L871" s="13"/>
      <c r="M871" s="13"/>
      <c r="N871" s="242"/>
      <c r="O871" s="242"/>
      <c r="P871" s="242"/>
      <c r="Q871" s="242"/>
      <c r="R871" s="242"/>
      <c r="S871" s="242"/>
      <c r="T871" s="242"/>
      <c r="U871" s="242"/>
      <c r="V871" s="242"/>
      <c r="W871" s="242"/>
      <c r="X871" s="242"/>
      <c r="Y871" s="242"/>
      <c r="Z871" s="242"/>
    </row>
    <row r="872">
      <c r="A872" s="242"/>
      <c r="B872" s="524"/>
      <c r="C872" s="524"/>
      <c r="D872" s="242"/>
      <c r="E872" s="242"/>
      <c r="F872" s="242"/>
      <c r="G872" s="13"/>
      <c r="H872" s="525"/>
      <c r="I872" s="242"/>
      <c r="J872" s="242"/>
      <c r="K872" s="242"/>
      <c r="L872" s="13"/>
      <c r="M872" s="13"/>
      <c r="N872" s="242"/>
      <c r="O872" s="242"/>
      <c r="P872" s="242"/>
      <c r="Q872" s="242"/>
      <c r="R872" s="242"/>
      <c r="S872" s="242"/>
      <c r="T872" s="242"/>
      <c r="U872" s="242"/>
      <c r="V872" s="242"/>
      <c r="W872" s="242"/>
      <c r="X872" s="242"/>
      <c r="Y872" s="242"/>
      <c r="Z872" s="242"/>
    </row>
    <row r="873">
      <c r="A873" s="242"/>
      <c r="B873" s="524"/>
      <c r="C873" s="524"/>
      <c r="D873" s="242"/>
      <c r="E873" s="242"/>
      <c r="F873" s="242"/>
      <c r="G873" s="13"/>
      <c r="H873" s="525"/>
      <c r="I873" s="242"/>
      <c r="J873" s="242"/>
      <c r="K873" s="242"/>
      <c r="L873" s="13"/>
      <c r="M873" s="13"/>
      <c r="N873" s="242"/>
      <c r="O873" s="242"/>
      <c r="P873" s="242"/>
      <c r="Q873" s="242"/>
      <c r="R873" s="242"/>
      <c r="S873" s="242"/>
      <c r="T873" s="242"/>
      <c r="U873" s="242"/>
      <c r="V873" s="242"/>
      <c r="W873" s="242"/>
      <c r="X873" s="242"/>
      <c r="Y873" s="242"/>
      <c r="Z873" s="242"/>
    </row>
    <row r="874">
      <c r="A874" s="242"/>
      <c r="B874" s="524"/>
      <c r="C874" s="524"/>
      <c r="D874" s="242"/>
      <c r="E874" s="242"/>
      <c r="F874" s="242"/>
      <c r="G874" s="13"/>
      <c r="H874" s="525"/>
      <c r="I874" s="242"/>
      <c r="J874" s="242"/>
      <c r="K874" s="242"/>
      <c r="L874" s="13"/>
      <c r="M874" s="13"/>
      <c r="N874" s="242"/>
      <c r="O874" s="242"/>
      <c r="P874" s="242"/>
      <c r="Q874" s="242"/>
      <c r="R874" s="242"/>
      <c r="S874" s="242"/>
      <c r="T874" s="242"/>
      <c r="U874" s="242"/>
      <c r="V874" s="242"/>
      <c r="W874" s="242"/>
      <c r="X874" s="242"/>
      <c r="Y874" s="242"/>
      <c r="Z874" s="242"/>
    </row>
    <row r="875">
      <c r="A875" s="242"/>
      <c r="B875" s="524"/>
      <c r="C875" s="524"/>
      <c r="D875" s="242"/>
      <c r="E875" s="242"/>
      <c r="F875" s="242"/>
      <c r="G875" s="13"/>
      <c r="H875" s="525"/>
      <c r="I875" s="242"/>
      <c r="J875" s="242"/>
      <c r="K875" s="242"/>
      <c r="L875" s="13"/>
      <c r="M875" s="13"/>
      <c r="N875" s="242"/>
      <c r="O875" s="242"/>
      <c r="P875" s="242"/>
      <c r="Q875" s="242"/>
      <c r="R875" s="242"/>
      <c r="S875" s="242"/>
      <c r="T875" s="242"/>
      <c r="U875" s="242"/>
      <c r="V875" s="242"/>
      <c r="W875" s="242"/>
      <c r="X875" s="242"/>
      <c r="Y875" s="242"/>
      <c r="Z875" s="242"/>
    </row>
    <row r="876">
      <c r="A876" s="242"/>
      <c r="B876" s="524"/>
      <c r="C876" s="524"/>
      <c r="D876" s="242"/>
      <c r="E876" s="242"/>
      <c r="F876" s="242"/>
      <c r="G876" s="13"/>
      <c r="H876" s="525"/>
      <c r="I876" s="242"/>
      <c r="J876" s="242"/>
      <c r="K876" s="242"/>
      <c r="L876" s="13"/>
      <c r="M876" s="13"/>
      <c r="N876" s="242"/>
      <c r="O876" s="242"/>
      <c r="P876" s="242"/>
      <c r="Q876" s="242"/>
      <c r="R876" s="242"/>
      <c r="S876" s="242"/>
      <c r="T876" s="242"/>
      <c r="U876" s="242"/>
      <c r="V876" s="242"/>
      <c r="W876" s="242"/>
      <c r="X876" s="242"/>
      <c r="Y876" s="242"/>
      <c r="Z876" s="242"/>
    </row>
    <row r="877">
      <c r="A877" s="242"/>
      <c r="B877" s="524"/>
      <c r="C877" s="524"/>
      <c r="D877" s="242"/>
      <c r="E877" s="242"/>
      <c r="F877" s="242"/>
      <c r="G877" s="13"/>
      <c r="H877" s="525"/>
      <c r="I877" s="242"/>
      <c r="J877" s="242"/>
      <c r="K877" s="242"/>
      <c r="L877" s="13"/>
      <c r="M877" s="13"/>
      <c r="N877" s="242"/>
      <c r="O877" s="242"/>
      <c r="P877" s="242"/>
      <c r="Q877" s="242"/>
      <c r="R877" s="242"/>
      <c r="S877" s="242"/>
      <c r="T877" s="242"/>
      <c r="U877" s="242"/>
      <c r="V877" s="242"/>
      <c r="W877" s="242"/>
      <c r="X877" s="242"/>
      <c r="Y877" s="242"/>
      <c r="Z877" s="242"/>
    </row>
    <row r="878">
      <c r="A878" s="242"/>
      <c r="B878" s="524"/>
      <c r="C878" s="524"/>
      <c r="D878" s="242"/>
      <c r="E878" s="242"/>
      <c r="F878" s="242"/>
      <c r="G878" s="13"/>
      <c r="H878" s="525"/>
      <c r="I878" s="242"/>
      <c r="J878" s="242"/>
      <c r="K878" s="242"/>
      <c r="L878" s="13"/>
      <c r="M878" s="13"/>
      <c r="N878" s="242"/>
      <c r="O878" s="242"/>
      <c r="P878" s="242"/>
      <c r="Q878" s="242"/>
      <c r="R878" s="242"/>
      <c r="S878" s="242"/>
      <c r="T878" s="242"/>
      <c r="U878" s="242"/>
      <c r="V878" s="242"/>
      <c r="W878" s="242"/>
      <c r="X878" s="242"/>
      <c r="Y878" s="242"/>
      <c r="Z878" s="242"/>
    </row>
    <row r="879">
      <c r="A879" s="242"/>
      <c r="B879" s="524"/>
      <c r="C879" s="524"/>
      <c r="D879" s="242"/>
      <c r="E879" s="242"/>
      <c r="F879" s="242"/>
      <c r="G879" s="13"/>
      <c r="H879" s="525"/>
      <c r="I879" s="242"/>
      <c r="J879" s="242"/>
      <c r="K879" s="242"/>
      <c r="L879" s="13"/>
      <c r="M879" s="13"/>
      <c r="N879" s="242"/>
      <c r="O879" s="242"/>
      <c r="P879" s="242"/>
      <c r="Q879" s="242"/>
      <c r="R879" s="242"/>
      <c r="S879" s="242"/>
      <c r="T879" s="242"/>
      <c r="U879" s="242"/>
      <c r="V879" s="242"/>
      <c r="W879" s="242"/>
      <c r="X879" s="242"/>
      <c r="Y879" s="242"/>
      <c r="Z879" s="242"/>
    </row>
    <row r="880">
      <c r="A880" s="242"/>
      <c r="B880" s="524"/>
      <c r="C880" s="524"/>
      <c r="D880" s="242"/>
      <c r="E880" s="242"/>
      <c r="F880" s="242"/>
      <c r="G880" s="13"/>
      <c r="H880" s="525"/>
      <c r="I880" s="242"/>
      <c r="J880" s="242"/>
      <c r="K880" s="242"/>
      <c r="L880" s="13"/>
      <c r="M880" s="13"/>
      <c r="N880" s="242"/>
      <c r="O880" s="242"/>
      <c r="P880" s="242"/>
      <c r="Q880" s="242"/>
      <c r="R880" s="242"/>
      <c r="S880" s="242"/>
      <c r="T880" s="242"/>
      <c r="U880" s="242"/>
      <c r="V880" s="242"/>
      <c r="W880" s="242"/>
      <c r="X880" s="242"/>
      <c r="Y880" s="242"/>
      <c r="Z880" s="242"/>
    </row>
    <row r="881">
      <c r="A881" s="242"/>
      <c r="B881" s="524"/>
      <c r="C881" s="524"/>
      <c r="D881" s="242"/>
      <c r="E881" s="242"/>
      <c r="F881" s="242"/>
      <c r="G881" s="13"/>
      <c r="H881" s="525"/>
      <c r="I881" s="242"/>
      <c r="J881" s="242"/>
      <c r="K881" s="242"/>
      <c r="L881" s="13"/>
      <c r="M881" s="13"/>
      <c r="N881" s="242"/>
      <c r="O881" s="242"/>
      <c r="P881" s="242"/>
      <c r="Q881" s="242"/>
      <c r="R881" s="242"/>
      <c r="S881" s="242"/>
      <c r="T881" s="242"/>
      <c r="U881" s="242"/>
      <c r="V881" s="242"/>
      <c r="W881" s="242"/>
      <c r="X881" s="242"/>
      <c r="Y881" s="242"/>
      <c r="Z881" s="242"/>
    </row>
    <row r="882">
      <c r="A882" s="242"/>
      <c r="B882" s="524"/>
      <c r="C882" s="524"/>
      <c r="D882" s="242"/>
      <c r="E882" s="242"/>
      <c r="F882" s="242"/>
      <c r="G882" s="13"/>
      <c r="H882" s="525"/>
      <c r="I882" s="242"/>
      <c r="J882" s="242"/>
      <c r="K882" s="242"/>
      <c r="L882" s="13"/>
      <c r="M882" s="13"/>
      <c r="N882" s="242"/>
      <c r="O882" s="242"/>
      <c r="P882" s="242"/>
      <c r="Q882" s="242"/>
      <c r="R882" s="242"/>
      <c r="S882" s="242"/>
      <c r="T882" s="242"/>
      <c r="U882" s="242"/>
      <c r="V882" s="242"/>
      <c r="W882" s="242"/>
      <c r="X882" s="242"/>
      <c r="Y882" s="242"/>
      <c r="Z882" s="242"/>
    </row>
    <row r="883">
      <c r="A883" s="242"/>
      <c r="B883" s="524"/>
      <c r="C883" s="524"/>
      <c r="D883" s="242"/>
      <c r="E883" s="242"/>
      <c r="F883" s="242"/>
      <c r="G883" s="13"/>
      <c r="H883" s="525"/>
      <c r="I883" s="242"/>
      <c r="J883" s="242"/>
      <c r="K883" s="242"/>
      <c r="L883" s="13"/>
      <c r="M883" s="13"/>
      <c r="N883" s="242"/>
      <c r="O883" s="242"/>
      <c r="P883" s="242"/>
      <c r="Q883" s="242"/>
      <c r="R883" s="242"/>
      <c r="S883" s="242"/>
      <c r="T883" s="242"/>
      <c r="U883" s="242"/>
      <c r="V883" s="242"/>
      <c r="W883" s="242"/>
      <c r="X883" s="242"/>
      <c r="Y883" s="242"/>
      <c r="Z883" s="242"/>
    </row>
    <row r="884">
      <c r="A884" s="242"/>
      <c r="B884" s="524"/>
      <c r="C884" s="524"/>
      <c r="D884" s="242"/>
      <c r="E884" s="242"/>
      <c r="F884" s="242"/>
      <c r="G884" s="13"/>
      <c r="H884" s="525"/>
      <c r="I884" s="242"/>
      <c r="J884" s="242"/>
      <c r="K884" s="242"/>
      <c r="L884" s="13"/>
      <c r="M884" s="13"/>
      <c r="N884" s="242"/>
      <c r="O884" s="242"/>
      <c r="P884" s="242"/>
      <c r="Q884" s="242"/>
      <c r="R884" s="242"/>
      <c r="S884" s="242"/>
      <c r="T884" s="242"/>
      <c r="U884" s="242"/>
      <c r="V884" s="242"/>
      <c r="W884" s="242"/>
      <c r="X884" s="242"/>
      <c r="Y884" s="242"/>
      <c r="Z884" s="242"/>
    </row>
    <row r="885">
      <c r="A885" s="242"/>
      <c r="B885" s="524"/>
      <c r="C885" s="524"/>
      <c r="D885" s="242"/>
      <c r="E885" s="242"/>
      <c r="F885" s="242"/>
      <c r="G885" s="13"/>
      <c r="H885" s="525"/>
      <c r="I885" s="242"/>
      <c r="J885" s="242"/>
      <c r="K885" s="242"/>
      <c r="L885" s="13"/>
      <c r="M885" s="13"/>
      <c r="N885" s="242"/>
      <c r="O885" s="242"/>
      <c r="P885" s="242"/>
      <c r="Q885" s="242"/>
      <c r="R885" s="242"/>
      <c r="S885" s="242"/>
      <c r="T885" s="242"/>
      <c r="U885" s="242"/>
      <c r="V885" s="242"/>
      <c r="W885" s="242"/>
      <c r="X885" s="242"/>
      <c r="Y885" s="242"/>
      <c r="Z885" s="242"/>
    </row>
    <row r="886">
      <c r="A886" s="242"/>
      <c r="B886" s="524"/>
      <c r="C886" s="524"/>
      <c r="D886" s="242"/>
      <c r="E886" s="242"/>
      <c r="F886" s="242"/>
      <c r="G886" s="13"/>
      <c r="H886" s="525"/>
      <c r="I886" s="242"/>
      <c r="J886" s="242"/>
      <c r="K886" s="242"/>
      <c r="L886" s="13"/>
      <c r="M886" s="13"/>
      <c r="N886" s="242"/>
      <c r="O886" s="242"/>
      <c r="P886" s="242"/>
      <c r="Q886" s="242"/>
      <c r="R886" s="242"/>
      <c r="S886" s="242"/>
      <c r="T886" s="242"/>
      <c r="U886" s="242"/>
      <c r="V886" s="242"/>
      <c r="W886" s="242"/>
      <c r="X886" s="242"/>
      <c r="Y886" s="242"/>
      <c r="Z886" s="242"/>
    </row>
    <row r="887">
      <c r="A887" s="242"/>
      <c r="B887" s="524"/>
      <c r="C887" s="524"/>
      <c r="D887" s="242"/>
      <c r="E887" s="242"/>
      <c r="F887" s="242"/>
      <c r="G887" s="13"/>
      <c r="H887" s="525"/>
      <c r="I887" s="242"/>
      <c r="J887" s="242"/>
      <c r="K887" s="242"/>
      <c r="L887" s="13"/>
      <c r="M887" s="13"/>
      <c r="N887" s="242"/>
      <c r="O887" s="242"/>
      <c r="P887" s="242"/>
      <c r="Q887" s="242"/>
      <c r="R887" s="242"/>
      <c r="S887" s="242"/>
      <c r="T887" s="242"/>
      <c r="U887" s="242"/>
      <c r="V887" s="242"/>
      <c r="W887" s="242"/>
      <c r="X887" s="242"/>
      <c r="Y887" s="242"/>
      <c r="Z887" s="242"/>
    </row>
    <row r="888">
      <c r="A888" s="242"/>
      <c r="B888" s="524"/>
      <c r="C888" s="524"/>
      <c r="D888" s="242"/>
      <c r="E888" s="242"/>
      <c r="F888" s="242"/>
      <c r="G888" s="13"/>
      <c r="H888" s="525"/>
      <c r="I888" s="242"/>
      <c r="J888" s="242"/>
      <c r="K888" s="242"/>
      <c r="L888" s="13"/>
      <c r="M888" s="13"/>
      <c r="N888" s="242"/>
      <c r="O888" s="242"/>
      <c r="P888" s="242"/>
      <c r="Q888" s="242"/>
      <c r="R888" s="242"/>
      <c r="S888" s="242"/>
      <c r="T888" s="242"/>
      <c r="U888" s="242"/>
      <c r="V888" s="242"/>
      <c r="W888" s="242"/>
      <c r="X888" s="242"/>
      <c r="Y888" s="242"/>
      <c r="Z888" s="242"/>
    </row>
    <row r="889">
      <c r="A889" s="242"/>
      <c r="B889" s="524"/>
      <c r="C889" s="524"/>
      <c r="D889" s="242"/>
      <c r="E889" s="242"/>
      <c r="F889" s="242"/>
      <c r="G889" s="13"/>
      <c r="H889" s="525"/>
      <c r="I889" s="242"/>
      <c r="J889" s="242"/>
      <c r="K889" s="242"/>
      <c r="L889" s="13"/>
      <c r="M889" s="13"/>
      <c r="N889" s="242"/>
      <c r="O889" s="242"/>
      <c r="P889" s="242"/>
      <c r="Q889" s="242"/>
      <c r="R889" s="242"/>
      <c r="S889" s="242"/>
      <c r="T889" s="242"/>
      <c r="U889" s="242"/>
      <c r="V889" s="242"/>
      <c r="W889" s="242"/>
      <c r="X889" s="242"/>
      <c r="Y889" s="242"/>
      <c r="Z889" s="242"/>
    </row>
    <row r="890">
      <c r="A890" s="242"/>
      <c r="B890" s="524"/>
      <c r="C890" s="524"/>
      <c r="D890" s="242"/>
      <c r="E890" s="242"/>
      <c r="F890" s="242"/>
      <c r="G890" s="13"/>
      <c r="H890" s="525"/>
      <c r="I890" s="242"/>
      <c r="J890" s="242"/>
      <c r="K890" s="242"/>
      <c r="L890" s="13"/>
      <c r="M890" s="13"/>
      <c r="N890" s="242"/>
      <c r="O890" s="242"/>
      <c r="P890" s="242"/>
      <c r="Q890" s="242"/>
      <c r="R890" s="242"/>
      <c r="S890" s="242"/>
      <c r="T890" s="242"/>
      <c r="U890" s="242"/>
      <c r="V890" s="242"/>
      <c r="W890" s="242"/>
      <c r="X890" s="242"/>
      <c r="Y890" s="242"/>
      <c r="Z890" s="242"/>
    </row>
    <row r="891">
      <c r="A891" s="242"/>
      <c r="B891" s="524"/>
      <c r="C891" s="524"/>
      <c r="D891" s="242"/>
      <c r="E891" s="242"/>
      <c r="F891" s="242"/>
      <c r="G891" s="13"/>
      <c r="H891" s="525"/>
      <c r="I891" s="242"/>
      <c r="J891" s="242"/>
      <c r="K891" s="242"/>
      <c r="L891" s="13"/>
      <c r="M891" s="13"/>
      <c r="N891" s="242"/>
      <c r="O891" s="242"/>
      <c r="P891" s="242"/>
      <c r="Q891" s="242"/>
      <c r="R891" s="242"/>
      <c r="S891" s="242"/>
      <c r="T891" s="242"/>
      <c r="U891" s="242"/>
      <c r="V891" s="242"/>
      <c r="W891" s="242"/>
      <c r="X891" s="242"/>
      <c r="Y891" s="242"/>
      <c r="Z891" s="242"/>
    </row>
    <row r="892">
      <c r="A892" s="242"/>
      <c r="B892" s="524"/>
      <c r="C892" s="524"/>
      <c r="D892" s="242"/>
      <c r="E892" s="242"/>
      <c r="F892" s="242"/>
      <c r="G892" s="13"/>
      <c r="H892" s="525"/>
      <c r="I892" s="242"/>
      <c r="J892" s="242"/>
      <c r="K892" s="242"/>
      <c r="L892" s="13"/>
      <c r="M892" s="13"/>
      <c r="N892" s="242"/>
      <c r="O892" s="242"/>
      <c r="P892" s="242"/>
      <c r="Q892" s="242"/>
      <c r="R892" s="242"/>
      <c r="S892" s="242"/>
      <c r="T892" s="242"/>
      <c r="U892" s="242"/>
      <c r="V892" s="242"/>
      <c r="W892" s="242"/>
      <c r="X892" s="242"/>
      <c r="Y892" s="242"/>
      <c r="Z892" s="242"/>
    </row>
    <row r="893">
      <c r="A893" s="242"/>
      <c r="B893" s="524"/>
      <c r="C893" s="524"/>
      <c r="D893" s="242"/>
      <c r="E893" s="242"/>
      <c r="F893" s="242"/>
      <c r="G893" s="13"/>
      <c r="H893" s="525"/>
      <c r="I893" s="242"/>
      <c r="J893" s="242"/>
      <c r="K893" s="242"/>
      <c r="L893" s="13"/>
      <c r="M893" s="13"/>
      <c r="N893" s="242"/>
      <c r="O893" s="242"/>
      <c r="P893" s="242"/>
      <c r="Q893" s="242"/>
      <c r="R893" s="242"/>
      <c r="S893" s="242"/>
      <c r="T893" s="242"/>
      <c r="U893" s="242"/>
      <c r="V893" s="242"/>
      <c r="W893" s="242"/>
      <c r="X893" s="242"/>
      <c r="Y893" s="242"/>
      <c r="Z893" s="242"/>
    </row>
    <row r="894">
      <c r="A894" s="242"/>
      <c r="B894" s="524"/>
      <c r="C894" s="524"/>
      <c r="D894" s="242"/>
      <c r="E894" s="242"/>
      <c r="F894" s="242"/>
      <c r="G894" s="13"/>
      <c r="H894" s="525"/>
      <c r="I894" s="242"/>
      <c r="J894" s="242"/>
      <c r="K894" s="242"/>
      <c r="L894" s="13"/>
      <c r="M894" s="13"/>
      <c r="N894" s="242"/>
      <c r="O894" s="242"/>
      <c r="P894" s="242"/>
      <c r="Q894" s="242"/>
      <c r="R894" s="242"/>
      <c r="S894" s="242"/>
      <c r="T894" s="242"/>
      <c r="U894" s="242"/>
      <c r="V894" s="242"/>
      <c r="W894" s="242"/>
      <c r="X894" s="242"/>
      <c r="Y894" s="242"/>
      <c r="Z894" s="242"/>
    </row>
    <row r="895">
      <c r="A895" s="242"/>
      <c r="B895" s="524"/>
      <c r="C895" s="524"/>
      <c r="D895" s="242"/>
      <c r="E895" s="242"/>
      <c r="F895" s="242"/>
      <c r="G895" s="13"/>
      <c r="H895" s="525"/>
      <c r="I895" s="242"/>
      <c r="J895" s="242"/>
      <c r="K895" s="242"/>
      <c r="L895" s="13"/>
      <c r="M895" s="13"/>
      <c r="N895" s="242"/>
      <c r="O895" s="242"/>
      <c r="P895" s="242"/>
      <c r="Q895" s="242"/>
      <c r="R895" s="242"/>
      <c r="S895" s="242"/>
      <c r="T895" s="242"/>
      <c r="U895" s="242"/>
      <c r="V895" s="242"/>
      <c r="W895" s="242"/>
      <c r="X895" s="242"/>
      <c r="Y895" s="242"/>
      <c r="Z895" s="242"/>
    </row>
    <row r="896">
      <c r="A896" s="242"/>
      <c r="B896" s="524"/>
      <c r="C896" s="524"/>
      <c r="D896" s="242"/>
      <c r="E896" s="242"/>
      <c r="F896" s="242"/>
      <c r="G896" s="13"/>
      <c r="H896" s="525"/>
      <c r="I896" s="242"/>
      <c r="J896" s="242"/>
      <c r="K896" s="242"/>
      <c r="L896" s="13"/>
      <c r="M896" s="13"/>
      <c r="N896" s="242"/>
      <c r="O896" s="242"/>
      <c r="P896" s="242"/>
      <c r="Q896" s="242"/>
      <c r="R896" s="242"/>
      <c r="S896" s="242"/>
      <c r="T896" s="242"/>
      <c r="U896" s="242"/>
      <c r="V896" s="242"/>
      <c r="W896" s="242"/>
      <c r="X896" s="242"/>
      <c r="Y896" s="242"/>
      <c r="Z896" s="242"/>
    </row>
    <row r="897">
      <c r="A897" s="242"/>
      <c r="B897" s="524"/>
      <c r="C897" s="524"/>
      <c r="D897" s="242"/>
      <c r="E897" s="242"/>
      <c r="F897" s="242"/>
      <c r="G897" s="13"/>
      <c r="H897" s="525"/>
      <c r="I897" s="242"/>
      <c r="J897" s="242"/>
      <c r="K897" s="242"/>
      <c r="L897" s="13"/>
      <c r="M897" s="13"/>
      <c r="N897" s="242"/>
      <c r="O897" s="242"/>
      <c r="P897" s="242"/>
      <c r="Q897" s="242"/>
      <c r="R897" s="242"/>
      <c r="S897" s="242"/>
      <c r="T897" s="242"/>
      <c r="U897" s="242"/>
      <c r="V897" s="242"/>
      <c r="W897" s="242"/>
      <c r="X897" s="242"/>
      <c r="Y897" s="242"/>
      <c r="Z897" s="242"/>
    </row>
    <row r="898">
      <c r="A898" s="242"/>
      <c r="B898" s="524"/>
      <c r="C898" s="524"/>
      <c r="D898" s="242"/>
      <c r="E898" s="242"/>
      <c r="F898" s="242"/>
      <c r="G898" s="13"/>
      <c r="H898" s="525"/>
      <c r="I898" s="242"/>
      <c r="J898" s="242"/>
      <c r="K898" s="242"/>
      <c r="L898" s="13"/>
      <c r="M898" s="13"/>
      <c r="N898" s="242"/>
      <c r="O898" s="242"/>
      <c r="P898" s="242"/>
      <c r="Q898" s="242"/>
      <c r="R898" s="242"/>
      <c r="S898" s="242"/>
      <c r="T898" s="242"/>
      <c r="U898" s="242"/>
      <c r="V898" s="242"/>
      <c r="W898" s="242"/>
      <c r="X898" s="242"/>
      <c r="Y898" s="242"/>
      <c r="Z898" s="242"/>
    </row>
    <row r="899">
      <c r="A899" s="242"/>
      <c r="B899" s="524"/>
      <c r="C899" s="524"/>
      <c r="D899" s="242"/>
      <c r="E899" s="242"/>
      <c r="F899" s="242"/>
      <c r="G899" s="13"/>
      <c r="H899" s="525"/>
      <c r="I899" s="242"/>
      <c r="J899" s="242"/>
      <c r="K899" s="242"/>
      <c r="L899" s="13"/>
      <c r="M899" s="13"/>
      <c r="N899" s="242"/>
      <c r="O899" s="242"/>
      <c r="P899" s="242"/>
      <c r="Q899" s="242"/>
      <c r="R899" s="242"/>
      <c r="S899" s="242"/>
      <c r="T899" s="242"/>
      <c r="U899" s="242"/>
      <c r="V899" s="242"/>
      <c r="W899" s="242"/>
      <c r="X899" s="242"/>
      <c r="Y899" s="242"/>
      <c r="Z899" s="242"/>
    </row>
    <row r="900">
      <c r="A900" s="242"/>
      <c r="B900" s="524"/>
      <c r="C900" s="524"/>
      <c r="D900" s="242"/>
      <c r="E900" s="242"/>
      <c r="F900" s="242"/>
      <c r="G900" s="13"/>
      <c r="H900" s="525"/>
      <c r="I900" s="242"/>
      <c r="J900" s="242"/>
      <c r="K900" s="242"/>
      <c r="L900" s="13"/>
      <c r="M900" s="13"/>
      <c r="N900" s="242"/>
      <c r="O900" s="242"/>
      <c r="P900" s="242"/>
      <c r="Q900" s="242"/>
      <c r="R900" s="242"/>
      <c r="S900" s="242"/>
      <c r="T900" s="242"/>
      <c r="U900" s="242"/>
      <c r="V900" s="242"/>
      <c r="W900" s="242"/>
      <c r="X900" s="242"/>
      <c r="Y900" s="242"/>
      <c r="Z900" s="242"/>
    </row>
    <row r="901">
      <c r="A901" s="242"/>
      <c r="B901" s="524"/>
      <c r="C901" s="524"/>
      <c r="D901" s="242"/>
      <c r="E901" s="242"/>
      <c r="F901" s="242"/>
      <c r="G901" s="13"/>
      <c r="H901" s="525"/>
      <c r="I901" s="242"/>
      <c r="J901" s="242"/>
      <c r="K901" s="242"/>
      <c r="L901" s="13"/>
      <c r="M901" s="13"/>
      <c r="N901" s="242"/>
      <c r="O901" s="242"/>
      <c r="P901" s="242"/>
      <c r="Q901" s="242"/>
      <c r="R901" s="242"/>
      <c r="S901" s="242"/>
      <c r="T901" s="242"/>
      <c r="U901" s="242"/>
      <c r="V901" s="242"/>
      <c r="W901" s="242"/>
      <c r="X901" s="242"/>
      <c r="Y901" s="242"/>
      <c r="Z901" s="242"/>
    </row>
    <row r="902">
      <c r="A902" s="242"/>
      <c r="B902" s="524"/>
      <c r="C902" s="524"/>
      <c r="D902" s="242"/>
      <c r="E902" s="242"/>
      <c r="F902" s="242"/>
      <c r="G902" s="13"/>
      <c r="H902" s="525"/>
      <c r="I902" s="242"/>
      <c r="J902" s="242"/>
      <c r="K902" s="242"/>
      <c r="L902" s="13"/>
      <c r="M902" s="13"/>
      <c r="N902" s="242"/>
      <c r="O902" s="242"/>
      <c r="P902" s="242"/>
      <c r="Q902" s="242"/>
      <c r="R902" s="242"/>
      <c r="S902" s="242"/>
      <c r="T902" s="242"/>
      <c r="U902" s="242"/>
      <c r="V902" s="242"/>
      <c r="W902" s="242"/>
      <c r="X902" s="242"/>
      <c r="Y902" s="242"/>
      <c r="Z902" s="242"/>
    </row>
    <row r="903">
      <c r="A903" s="242"/>
      <c r="B903" s="524"/>
      <c r="C903" s="524"/>
      <c r="D903" s="242"/>
      <c r="E903" s="242"/>
      <c r="F903" s="242"/>
      <c r="G903" s="13"/>
      <c r="H903" s="525"/>
      <c r="I903" s="242"/>
      <c r="J903" s="242"/>
      <c r="K903" s="242"/>
      <c r="L903" s="13"/>
      <c r="M903" s="13"/>
      <c r="N903" s="242"/>
      <c r="O903" s="242"/>
      <c r="P903" s="242"/>
      <c r="Q903" s="242"/>
      <c r="R903" s="242"/>
      <c r="S903" s="242"/>
      <c r="T903" s="242"/>
      <c r="U903" s="242"/>
      <c r="V903" s="242"/>
      <c r="W903" s="242"/>
      <c r="X903" s="242"/>
      <c r="Y903" s="242"/>
      <c r="Z903" s="242"/>
    </row>
    <row r="904">
      <c r="A904" s="242"/>
      <c r="B904" s="524"/>
      <c r="C904" s="524"/>
      <c r="D904" s="242"/>
      <c r="E904" s="242"/>
      <c r="F904" s="242"/>
      <c r="G904" s="13"/>
      <c r="H904" s="525"/>
      <c r="I904" s="242"/>
      <c r="J904" s="242"/>
      <c r="K904" s="242"/>
      <c r="L904" s="13"/>
      <c r="M904" s="13"/>
      <c r="N904" s="242"/>
      <c r="O904" s="242"/>
      <c r="P904" s="242"/>
      <c r="Q904" s="242"/>
      <c r="R904" s="242"/>
      <c r="S904" s="242"/>
      <c r="T904" s="242"/>
      <c r="U904" s="242"/>
      <c r="V904" s="242"/>
      <c r="W904" s="242"/>
      <c r="X904" s="242"/>
      <c r="Y904" s="242"/>
      <c r="Z904" s="242"/>
    </row>
    <row r="905">
      <c r="A905" s="242"/>
      <c r="B905" s="524"/>
      <c r="C905" s="524"/>
      <c r="D905" s="242"/>
      <c r="E905" s="242"/>
      <c r="F905" s="242"/>
      <c r="G905" s="13"/>
      <c r="H905" s="525"/>
      <c r="I905" s="242"/>
      <c r="J905" s="242"/>
      <c r="K905" s="242"/>
      <c r="L905" s="13"/>
      <c r="M905" s="13"/>
      <c r="N905" s="242"/>
      <c r="O905" s="242"/>
      <c r="P905" s="242"/>
      <c r="Q905" s="242"/>
      <c r="R905" s="242"/>
      <c r="S905" s="242"/>
      <c r="T905" s="242"/>
      <c r="U905" s="242"/>
      <c r="V905" s="242"/>
      <c r="W905" s="242"/>
      <c r="X905" s="242"/>
      <c r="Y905" s="242"/>
      <c r="Z905" s="242"/>
    </row>
    <row r="906">
      <c r="A906" s="242"/>
      <c r="B906" s="524"/>
      <c r="C906" s="524"/>
      <c r="D906" s="242"/>
      <c r="E906" s="242"/>
      <c r="F906" s="242"/>
      <c r="G906" s="13"/>
      <c r="H906" s="525"/>
      <c r="I906" s="242"/>
      <c r="J906" s="242"/>
      <c r="K906" s="242"/>
      <c r="L906" s="13"/>
      <c r="M906" s="13"/>
      <c r="N906" s="242"/>
      <c r="O906" s="242"/>
      <c r="P906" s="242"/>
      <c r="Q906" s="242"/>
      <c r="R906" s="242"/>
      <c r="S906" s="242"/>
      <c r="T906" s="242"/>
      <c r="U906" s="242"/>
      <c r="V906" s="242"/>
      <c r="W906" s="242"/>
      <c r="X906" s="242"/>
      <c r="Y906" s="242"/>
      <c r="Z906" s="242"/>
    </row>
    <row r="907">
      <c r="A907" s="242"/>
      <c r="B907" s="524"/>
      <c r="C907" s="524"/>
      <c r="D907" s="242"/>
      <c r="E907" s="242"/>
      <c r="F907" s="242"/>
      <c r="G907" s="13"/>
      <c r="H907" s="525"/>
      <c r="I907" s="242"/>
      <c r="J907" s="242"/>
      <c r="K907" s="242"/>
      <c r="L907" s="13"/>
      <c r="M907" s="13"/>
      <c r="N907" s="242"/>
      <c r="O907" s="242"/>
      <c r="P907" s="242"/>
      <c r="Q907" s="242"/>
      <c r="R907" s="242"/>
      <c r="S907" s="242"/>
      <c r="T907" s="242"/>
      <c r="U907" s="242"/>
      <c r="V907" s="242"/>
      <c r="W907" s="242"/>
      <c r="X907" s="242"/>
      <c r="Y907" s="242"/>
      <c r="Z907" s="242"/>
    </row>
    <row r="908">
      <c r="A908" s="242"/>
      <c r="B908" s="524"/>
      <c r="C908" s="524"/>
      <c r="D908" s="242"/>
      <c r="E908" s="242"/>
      <c r="F908" s="242"/>
      <c r="G908" s="13"/>
      <c r="H908" s="525"/>
      <c r="I908" s="242"/>
      <c r="J908" s="242"/>
      <c r="K908" s="242"/>
      <c r="L908" s="13"/>
      <c r="M908" s="13"/>
      <c r="N908" s="242"/>
      <c r="O908" s="242"/>
      <c r="P908" s="242"/>
      <c r="Q908" s="242"/>
      <c r="R908" s="242"/>
      <c r="S908" s="242"/>
      <c r="T908" s="242"/>
      <c r="U908" s="242"/>
      <c r="V908" s="242"/>
      <c r="W908" s="242"/>
      <c r="X908" s="242"/>
      <c r="Y908" s="242"/>
      <c r="Z908" s="242"/>
    </row>
    <row r="909">
      <c r="A909" s="242"/>
      <c r="B909" s="524"/>
      <c r="C909" s="524"/>
      <c r="D909" s="242"/>
      <c r="E909" s="242"/>
      <c r="F909" s="242"/>
      <c r="G909" s="13"/>
      <c r="H909" s="525"/>
      <c r="I909" s="242"/>
      <c r="J909" s="242"/>
      <c r="K909" s="242"/>
      <c r="L909" s="13"/>
      <c r="M909" s="13"/>
      <c r="N909" s="242"/>
      <c r="O909" s="242"/>
      <c r="P909" s="242"/>
      <c r="Q909" s="242"/>
      <c r="R909" s="242"/>
      <c r="S909" s="242"/>
      <c r="T909" s="242"/>
      <c r="U909" s="242"/>
      <c r="V909" s="242"/>
      <c r="W909" s="242"/>
      <c r="X909" s="242"/>
      <c r="Y909" s="242"/>
      <c r="Z909" s="242"/>
    </row>
    <row r="910">
      <c r="A910" s="242"/>
      <c r="B910" s="524"/>
      <c r="C910" s="524"/>
      <c r="D910" s="242"/>
      <c r="E910" s="242"/>
      <c r="F910" s="242"/>
      <c r="G910" s="13"/>
      <c r="H910" s="525"/>
      <c r="I910" s="242"/>
      <c r="J910" s="242"/>
      <c r="K910" s="242"/>
      <c r="L910" s="13"/>
      <c r="M910" s="13"/>
      <c r="N910" s="242"/>
      <c r="O910" s="242"/>
      <c r="P910" s="242"/>
      <c r="Q910" s="242"/>
      <c r="R910" s="242"/>
      <c r="S910" s="242"/>
      <c r="T910" s="242"/>
      <c r="U910" s="242"/>
      <c r="V910" s="242"/>
      <c r="W910" s="242"/>
      <c r="X910" s="242"/>
      <c r="Y910" s="242"/>
      <c r="Z910" s="242"/>
    </row>
    <row r="911">
      <c r="A911" s="242"/>
      <c r="B911" s="524"/>
      <c r="C911" s="524"/>
      <c r="D911" s="242"/>
      <c r="E911" s="242"/>
      <c r="F911" s="242"/>
      <c r="G911" s="13"/>
      <c r="H911" s="525"/>
      <c r="I911" s="242"/>
      <c r="J911" s="242"/>
      <c r="K911" s="242"/>
      <c r="L911" s="13"/>
      <c r="M911" s="13"/>
      <c r="N911" s="242"/>
      <c r="O911" s="242"/>
      <c r="P911" s="242"/>
      <c r="Q911" s="242"/>
      <c r="R911" s="242"/>
      <c r="S911" s="242"/>
      <c r="T911" s="242"/>
      <c r="U911" s="242"/>
      <c r="V911" s="242"/>
      <c r="W911" s="242"/>
      <c r="X911" s="242"/>
      <c r="Y911" s="242"/>
      <c r="Z911" s="242"/>
    </row>
    <row r="912">
      <c r="A912" s="242"/>
      <c r="B912" s="524"/>
      <c r="C912" s="524"/>
      <c r="D912" s="242"/>
      <c r="E912" s="242"/>
      <c r="F912" s="242"/>
      <c r="G912" s="13"/>
      <c r="H912" s="525"/>
      <c r="I912" s="242"/>
      <c r="J912" s="242"/>
      <c r="K912" s="242"/>
      <c r="L912" s="13"/>
      <c r="M912" s="13"/>
      <c r="N912" s="242"/>
      <c r="O912" s="242"/>
      <c r="P912" s="242"/>
      <c r="Q912" s="242"/>
      <c r="R912" s="242"/>
      <c r="S912" s="242"/>
      <c r="T912" s="242"/>
      <c r="U912" s="242"/>
      <c r="V912" s="242"/>
      <c r="W912" s="242"/>
      <c r="X912" s="242"/>
      <c r="Y912" s="242"/>
      <c r="Z912" s="242"/>
    </row>
    <row r="913">
      <c r="A913" s="242"/>
      <c r="B913" s="524"/>
      <c r="C913" s="524"/>
      <c r="D913" s="242"/>
      <c r="E913" s="242"/>
      <c r="F913" s="242"/>
      <c r="G913" s="13"/>
      <c r="H913" s="525"/>
      <c r="I913" s="242"/>
      <c r="J913" s="242"/>
      <c r="K913" s="242"/>
      <c r="L913" s="13"/>
      <c r="M913" s="13"/>
      <c r="N913" s="242"/>
      <c r="O913" s="242"/>
      <c r="P913" s="242"/>
      <c r="Q913" s="242"/>
      <c r="R913" s="242"/>
      <c r="S913" s="242"/>
      <c r="T913" s="242"/>
      <c r="U913" s="242"/>
      <c r="V913" s="242"/>
      <c r="W913" s="242"/>
      <c r="X913" s="242"/>
      <c r="Y913" s="242"/>
      <c r="Z913" s="242"/>
    </row>
    <row r="914">
      <c r="A914" s="242"/>
      <c r="B914" s="524"/>
      <c r="C914" s="524"/>
      <c r="D914" s="242"/>
      <c r="E914" s="242"/>
      <c r="F914" s="242"/>
      <c r="G914" s="13"/>
      <c r="H914" s="525"/>
      <c r="I914" s="242"/>
      <c r="J914" s="242"/>
      <c r="K914" s="242"/>
      <c r="L914" s="13"/>
      <c r="M914" s="13"/>
      <c r="N914" s="242"/>
      <c r="O914" s="242"/>
      <c r="P914" s="242"/>
      <c r="Q914" s="242"/>
      <c r="R914" s="242"/>
      <c r="S914" s="242"/>
      <c r="T914" s="242"/>
      <c r="U914" s="242"/>
      <c r="V914" s="242"/>
      <c r="W914" s="242"/>
      <c r="X914" s="242"/>
      <c r="Y914" s="242"/>
      <c r="Z914" s="242"/>
    </row>
    <row r="915">
      <c r="A915" s="242"/>
      <c r="B915" s="524"/>
      <c r="C915" s="524"/>
      <c r="D915" s="242"/>
      <c r="E915" s="242"/>
      <c r="F915" s="242"/>
      <c r="G915" s="13"/>
      <c r="H915" s="525"/>
      <c r="I915" s="242"/>
      <c r="J915" s="242"/>
      <c r="K915" s="242"/>
      <c r="L915" s="13"/>
      <c r="M915" s="13"/>
      <c r="N915" s="242"/>
      <c r="O915" s="242"/>
      <c r="P915" s="242"/>
      <c r="Q915" s="242"/>
      <c r="R915" s="242"/>
      <c r="S915" s="242"/>
      <c r="T915" s="242"/>
      <c r="U915" s="242"/>
      <c r="V915" s="242"/>
      <c r="W915" s="242"/>
      <c r="X915" s="242"/>
      <c r="Y915" s="242"/>
      <c r="Z915" s="242"/>
    </row>
    <row r="916">
      <c r="A916" s="242"/>
      <c r="B916" s="524"/>
      <c r="C916" s="524"/>
      <c r="D916" s="242"/>
      <c r="E916" s="242"/>
      <c r="F916" s="242"/>
      <c r="G916" s="13"/>
      <c r="H916" s="525"/>
      <c r="I916" s="242"/>
      <c r="J916" s="242"/>
      <c r="K916" s="242"/>
      <c r="L916" s="13"/>
      <c r="M916" s="13"/>
      <c r="N916" s="242"/>
      <c r="O916" s="242"/>
      <c r="P916" s="242"/>
      <c r="Q916" s="242"/>
      <c r="R916" s="242"/>
      <c r="S916" s="242"/>
      <c r="T916" s="242"/>
      <c r="U916" s="242"/>
      <c r="V916" s="242"/>
      <c r="W916" s="242"/>
      <c r="X916" s="242"/>
      <c r="Y916" s="242"/>
      <c r="Z916" s="242"/>
    </row>
    <row r="917">
      <c r="A917" s="242"/>
      <c r="B917" s="524"/>
      <c r="C917" s="524"/>
      <c r="D917" s="242"/>
      <c r="E917" s="242"/>
      <c r="F917" s="242"/>
      <c r="G917" s="13"/>
      <c r="H917" s="525"/>
      <c r="I917" s="242"/>
      <c r="J917" s="242"/>
      <c r="K917" s="242"/>
      <c r="L917" s="13"/>
      <c r="M917" s="13"/>
      <c r="N917" s="242"/>
      <c r="O917" s="242"/>
      <c r="P917" s="242"/>
      <c r="Q917" s="242"/>
      <c r="R917" s="242"/>
      <c r="S917" s="242"/>
      <c r="T917" s="242"/>
      <c r="U917" s="242"/>
      <c r="V917" s="242"/>
      <c r="W917" s="242"/>
      <c r="X917" s="242"/>
      <c r="Y917" s="242"/>
      <c r="Z917" s="242"/>
    </row>
    <row r="918">
      <c r="A918" s="242"/>
      <c r="B918" s="524"/>
      <c r="C918" s="524"/>
      <c r="D918" s="242"/>
      <c r="E918" s="242"/>
      <c r="F918" s="242"/>
      <c r="G918" s="13"/>
      <c r="H918" s="525"/>
      <c r="I918" s="242"/>
      <c r="J918" s="242"/>
      <c r="K918" s="242"/>
      <c r="L918" s="13"/>
      <c r="M918" s="13"/>
      <c r="N918" s="242"/>
      <c r="O918" s="242"/>
      <c r="P918" s="242"/>
      <c r="Q918" s="242"/>
      <c r="R918" s="242"/>
      <c r="S918" s="242"/>
      <c r="T918" s="242"/>
      <c r="U918" s="242"/>
      <c r="V918" s="242"/>
      <c r="W918" s="242"/>
      <c r="X918" s="242"/>
      <c r="Y918" s="242"/>
      <c r="Z918" s="242"/>
    </row>
    <row r="919">
      <c r="A919" s="242"/>
      <c r="B919" s="524"/>
      <c r="C919" s="524"/>
      <c r="D919" s="242"/>
      <c r="E919" s="242"/>
      <c r="F919" s="242"/>
      <c r="G919" s="13"/>
      <c r="H919" s="525"/>
      <c r="I919" s="242"/>
      <c r="J919" s="242"/>
      <c r="K919" s="242"/>
      <c r="L919" s="13"/>
      <c r="M919" s="13"/>
      <c r="N919" s="242"/>
      <c r="O919" s="242"/>
      <c r="P919" s="242"/>
      <c r="Q919" s="242"/>
      <c r="R919" s="242"/>
      <c r="S919" s="242"/>
      <c r="T919" s="242"/>
      <c r="U919" s="242"/>
      <c r="V919" s="242"/>
      <c r="W919" s="242"/>
      <c r="X919" s="242"/>
      <c r="Y919" s="242"/>
      <c r="Z919" s="242"/>
    </row>
    <row r="920">
      <c r="A920" s="242"/>
      <c r="B920" s="524"/>
      <c r="C920" s="524"/>
      <c r="D920" s="242"/>
      <c r="E920" s="242"/>
      <c r="F920" s="242"/>
      <c r="G920" s="13"/>
      <c r="H920" s="525"/>
      <c r="I920" s="242"/>
      <c r="J920" s="242"/>
      <c r="K920" s="242"/>
      <c r="L920" s="13"/>
      <c r="M920" s="13"/>
      <c r="N920" s="242"/>
      <c r="O920" s="242"/>
      <c r="P920" s="242"/>
      <c r="Q920" s="242"/>
      <c r="R920" s="242"/>
      <c r="S920" s="242"/>
      <c r="T920" s="242"/>
      <c r="U920" s="242"/>
      <c r="V920" s="242"/>
      <c r="W920" s="242"/>
      <c r="X920" s="242"/>
      <c r="Y920" s="242"/>
      <c r="Z920" s="242"/>
    </row>
    <row r="921">
      <c r="A921" s="242"/>
      <c r="B921" s="524"/>
      <c r="C921" s="524"/>
      <c r="D921" s="242"/>
      <c r="E921" s="242"/>
      <c r="F921" s="242"/>
      <c r="G921" s="13"/>
      <c r="H921" s="525"/>
      <c r="I921" s="242"/>
      <c r="J921" s="242"/>
      <c r="K921" s="242"/>
      <c r="L921" s="13"/>
      <c r="M921" s="13"/>
      <c r="N921" s="242"/>
      <c r="O921" s="242"/>
      <c r="P921" s="242"/>
      <c r="Q921" s="242"/>
      <c r="R921" s="242"/>
      <c r="S921" s="242"/>
      <c r="T921" s="242"/>
      <c r="U921" s="242"/>
      <c r="V921" s="242"/>
      <c r="W921" s="242"/>
      <c r="X921" s="242"/>
      <c r="Y921" s="242"/>
      <c r="Z921" s="242"/>
    </row>
    <row r="922">
      <c r="A922" s="242"/>
      <c r="B922" s="524"/>
      <c r="C922" s="524"/>
      <c r="D922" s="242"/>
      <c r="E922" s="242"/>
      <c r="F922" s="242"/>
      <c r="G922" s="13"/>
      <c r="H922" s="525"/>
      <c r="I922" s="242"/>
      <c r="J922" s="242"/>
      <c r="K922" s="242"/>
      <c r="L922" s="13"/>
      <c r="M922" s="13"/>
      <c r="N922" s="242"/>
      <c r="O922" s="242"/>
      <c r="P922" s="242"/>
      <c r="Q922" s="242"/>
      <c r="R922" s="242"/>
      <c r="S922" s="242"/>
      <c r="T922" s="242"/>
      <c r="U922" s="242"/>
      <c r="V922" s="242"/>
      <c r="W922" s="242"/>
      <c r="X922" s="242"/>
      <c r="Y922" s="242"/>
      <c r="Z922" s="242"/>
    </row>
    <row r="923">
      <c r="A923" s="242"/>
      <c r="B923" s="524"/>
      <c r="C923" s="524"/>
      <c r="D923" s="242"/>
      <c r="E923" s="242"/>
      <c r="F923" s="242"/>
      <c r="G923" s="13"/>
      <c r="H923" s="525"/>
      <c r="I923" s="242"/>
      <c r="J923" s="242"/>
      <c r="K923" s="242"/>
      <c r="L923" s="13"/>
      <c r="M923" s="13"/>
      <c r="N923" s="242"/>
      <c r="O923" s="242"/>
      <c r="P923" s="242"/>
      <c r="Q923" s="242"/>
      <c r="R923" s="242"/>
      <c r="S923" s="242"/>
      <c r="T923" s="242"/>
      <c r="U923" s="242"/>
      <c r="V923" s="242"/>
      <c r="W923" s="242"/>
      <c r="X923" s="242"/>
      <c r="Y923" s="242"/>
      <c r="Z923" s="242"/>
    </row>
    <row r="924">
      <c r="A924" s="242"/>
      <c r="B924" s="524"/>
      <c r="C924" s="524"/>
      <c r="D924" s="242"/>
      <c r="E924" s="242"/>
      <c r="F924" s="242"/>
      <c r="G924" s="13"/>
      <c r="H924" s="525"/>
      <c r="I924" s="242"/>
      <c r="J924" s="242"/>
      <c r="K924" s="242"/>
      <c r="L924" s="13"/>
      <c r="M924" s="13"/>
      <c r="N924" s="242"/>
      <c r="O924" s="242"/>
      <c r="P924" s="242"/>
      <c r="Q924" s="242"/>
      <c r="R924" s="242"/>
      <c r="S924" s="242"/>
      <c r="T924" s="242"/>
      <c r="U924" s="242"/>
      <c r="V924" s="242"/>
      <c r="W924" s="242"/>
      <c r="X924" s="242"/>
      <c r="Y924" s="242"/>
      <c r="Z924" s="242"/>
    </row>
    <row r="925">
      <c r="A925" s="242"/>
      <c r="B925" s="524"/>
      <c r="C925" s="524"/>
      <c r="D925" s="242"/>
      <c r="E925" s="242"/>
      <c r="F925" s="242"/>
      <c r="G925" s="13"/>
      <c r="H925" s="525"/>
      <c r="I925" s="242"/>
      <c r="J925" s="242"/>
      <c r="K925" s="242"/>
      <c r="L925" s="13"/>
      <c r="M925" s="13"/>
      <c r="N925" s="242"/>
      <c r="O925" s="242"/>
      <c r="P925" s="242"/>
      <c r="Q925" s="242"/>
      <c r="R925" s="242"/>
      <c r="S925" s="242"/>
      <c r="T925" s="242"/>
      <c r="U925" s="242"/>
      <c r="V925" s="242"/>
      <c r="W925" s="242"/>
      <c r="X925" s="242"/>
      <c r="Y925" s="242"/>
      <c r="Z925" s="242"/>
    </row>
    <row r="926">
      <c r="A926" s="242"/>
      <c r="B926" s="524"/>
      <c r="C926" s="524"/>
      <c r="D926" s="242"/>
      <c r="E926" s="242"/>
      <c r="F926" s="242"/>
      <c r="G926" s="13"/>
      <c r="H926" s="525"/>
      <c r="I926" s="242"/>
      <c r="J926" s="242"/>
      <c r="K926" s="242"/>
      <c r="L926" s="13"/>
      <c r="M926" s="13"/>
      <c r="N926" s="242"/>
      <c r="O926" s="242"/>
      <c r="P926" s="242"/>
      <c r="Q926" s="242"/>
      <c r="R926" s="242"/>
      <c r="S926" s="242"/>
      <c r="T926" s="242"/>
      <c r="U926" s="242"/>
      <c r="V926" s="242"/>
      <c r="W926" s="242"/>
      <c r="X926" s="242"/>
      <c r="Y926" s="242"/>
      <c r="Z926" s="242"/>
    </row>
    <row r="927">
      <c r="A927" s="242"/>
      <c r="B927" s="524"/>
      <c r="C927" s="524"/>
      <c r="D927" s="242"/>
      <c r="E927" s="242"/>
      <c r="F927" s="242"/>
      <c r="G927" s="13"/>
      <c r="H927" s="525"/>
      <c r="I927" s="242"/>
      <c r="J927" s="242"/>
      <c r="K927" s="242"/>
      <c r="L927" s="13"/>
      <c r="M927" s="13"/>
      <c r="N927" s="242"/>
      <c r="O927" s="242"/>
      <c r="P927" s="242"/>
      <c r="Q927" s="242"/>
      <c r="R927" s="242"/>
      <c r="S927" s="242"/>
      <c r="T927" s="242"/>
      <c r="U927" s="242"/>
      <c r="V927" s="242"/>
      <c r="W927" s="242"/>
      <c r="X927" s="242"/>
      <c r="Y927" s="242"/>
      <c r="Z927" s="242"/>
    </row>
    <row r="928">
      <c r="A928" s="242"/>
      <c r="B928" s="524"/>
      <c r="C928" s="524"/>
      <c r="D928" s="242"/>
      <c r="E928" s="242"/>
      <c r="F928" s="242"/>
      <c r="G928" s="13"/>
      <c r="H928" s="525"/>
      <c r="I928" s="242"/>
      <c r="J928" s="242"/>
      <c r="K928" s="242"/>
      <c r="L928" s="13"/>
      <c r="M928" s="13"/>
      <c r="N928" s="242"/>
      <c r="O928" s="242"/>
      <c r="P928" s="242"/>
      <c r="Q928" s="242"/>
      <c r="R928" s="242"/>
      <c r="S928" s="242"/>
      <c r="T928" s="242"/>
      <c r="U928" s="242"/>
      <c r="V928" s="242"/>
      <c r="W928" s="242"/>
      <c r="X928" s="242"/>
      <c r="Y928" s="242"/>
      <c r="Z928" s="242"/>
    </row>
    <row r="929">
      <c r="A929" s="242"/>
      <c r="B929" s="524"/>
      <c r="C929" s="524"/>
      <c r="D929" s="242"/>
      <c r="E929" s="242"/>
      <c r="F929" s="242"/>
      <c r="G929" s="13"/>
      <c r="H929" s="525"/>
      <c r="I929" s="242"/>
      <c r="J929" s="242"/>
      <c r="K929" s="242"/>
      <c r="L929" s="13"/>
      <c r="M929" s="13"/>
      <c r="N929" s="242"/>
      <c r="O929" s="242"/>
      <c r="P929" s="242"/>
      <c r="Q929" s="242"/>
      <c r="R929" s="242"/>
      <c r="S929" s="242"/>
      <c r="T929" s="242"/>
      <c r="U929" s="242"/>
      <c r="V929" s="242"/>
      <c r="W929" s="242"/>
      <c r="X929" s="242"/>
      <c r="Y929" s="242"/>
      <c r="Z929" s="242"/>
    </row>
    <row r="930">
      <c r="A930" s="242"/>
      <c r="B930" s="524"/>
      <c r="C930" s="524"/>
      <c r="D930" s="242"/>
      <c r="E930" s="242"/>
      <c r="F930" s="242"/>
      <c r="G930" s="13"/>
      <c r="H930" s="525"/>
      <c r="I930" s="242"/>
      <c r="J930" s="242"/>
      <c r="K930" s="242"/>
      <c r="L930" s="13"/>
      <c r="M930" s="13"/>
      <c r="N930" s="242"/>
      <c r="O930" s="242"/>
      <c r="P930" s="242"/>
      <c r="Q930" s="242"/>
      <c r="R930" s="242"/>
      <c r="S930" s="242"/>
      <c r="T930" s="242"/>
      <c r="U930" s="242"/>
      <c r="V930" s="242"/>
      <c r="W930" s="242"/>
      <c r="X930" s="242"/>
      <c r="Y930" s="242"/>
      <c r="Z930" s="242"/>
    </row>
    <row r="931">
      <c r="A931" s="242"/>
      <c r="B931" s="524"/>
      <c r="C931" s="524"/>
      <c r="D931" s="242"/>
      <c r="E931" s="242"/>
      <c r="F931" s="242"/>
      <c r="G931" s="13"/>
      <c r="H931" s="525"/>
      <c r="I931" s="242"/>
      <c r="J931" s="242"/>
      <c r="K931" s="242"/>
      <c r="L931" s="13"/>
      <c r="M931" s="13"/>
      <c r="N931" s="242"/>
      <c r="O931" s="242"/>
      <c r="P931" s="242"/>
      <c r="Q931" s="242"/>
      <c r="R931" s="242"/>
      <c r="S931" s="242"/>
      <c r="T931" s="242"/>
      <c r="U931" s="242"/>
      <c r="V931" s="242"/>
      <c r="W931" s="242"/>
      <c r="X931" s="242"/>
      <c r="Y931" s="242"/>
      <c r="Z931" s="242"/>
    </row>
    <row r="932">
      <c r="A932" s="242"/>
      <c r="B932" s="524"/>
      <c r="C932" s="524"/>
      <c r="D932" s="242"/>
      <c r="E932" s="242"/>
      <c r="F932" s="242"/>
      <c r="G932" s="13"/>
      <c r="H932" s="525"/>
      <c r="I932" s="242"/>
      <c r="J932" s="242"/>
      <c r="K932" s="242"/>
      <c r="L932" s="13"/>
      <c r="M932" s="13"/>
      <c r="N932" s="242"/>
      <c r="O932" s="242"/>
      <c r="P932" s="242"/>
      <c r="Q932" s="242"/>
      <c r="R932" s="242"/>
      <c r="S932" s="242"/>
      <c r="T932" s="242"/>
      <c r="U932" s="242"/>
      <c r="V932" s="242"/>
      <c r="W932" s="242"/>
      <c r="X932" s="242"/>
      <c r="Y932" s="242"/>
      <c r="Z932" s="242"/>
    </row>
    <row r="933">
      <c r="A933" s="242"/>
      <c r="B933" s="524"/>
      <c r="C933" s="524"/>
      <c r="D933" s="242"/>
      <c r="E933" s="242"/>
      <c r="F933" s="242"/>
      <c r="G933" s="13"/>
      <c r="H933" s="525"/>
      <c r="I933" s="242"/>
      <c r="J933" s="242"/>
      <c r="K933" s="242"/>
      <c r="L933" s="13"/>
      <c r="M933" s="13"/>
      <c r="N933" s="242"/>
      <c r="O933" s="242"/>
      <c r="P933" s="242"/>
      <c r="Q933" s="242"/>
      <c r="R933" s="242"/>
      <c r="S933" s="242"/>
      <c r="T933" s="242"/>
      <c r="U933" s="242"/>
      <c r="V933" s="242"/>
      <c r="W933" s="242"/>
      <c r="X933" s="242"/>
      <c r="Y933" s="242"/>
      <c r="Z933" s="242"/>
    </row>
    <row r="934">
      <c r="A934" s="242"/>
      <c r="B934" s="524"/>
      <c r="C934" s="524"/>
      <c r="D934" s="242"/>
      <c r="E934" s="242"/>
      <c r="F934" s="242"/>
      <c r="G934" s="13"/>
      <c r="H934" s="525"/>
      <c r="I934" s="242"/>
      <c r="J934" s="242"/>
      <c r="K934" s="242"/>
      <c r="L934" s="13"/>
      <c r="M934" s="13"/>
      <c r="N934" s="242"/>
      <c r="O934" s="242"/>
      <c r="P934" s="242"/>
      <c r="Q934" s="242"/>
      <c r="R934" s="242"/>
      <c r="S934" s="242"/>
      <c r="T934" s="242"/>
      <c r="U934" s="242"/>
      <c r="V934" s="242"/>
      <c r="W934" s="242"/>
      <c r="X934" s="242"/>
      <c r="Y934" s="242"/>
      <c r="Z934" s="242"/>
    </row>
    <row r="935">
      <c r="A935" s="242"/>
      <c r="B935" s="524"/>
      <c r="C935" s="524"/>
      <c r="D935" s="242"/>
      <c r="E935" s="242"/>
      <c r="F935" s="242"/>
      <c r="G935" s="13"/>
      <c r="H935" s="525"/>
      <c r="I935" s="242"/>
      <c r="J935" s="242"/>
      <c r="K935" s="242"/>
      <c r="L935" s="13"/>
      <c r="M935" s="13"/>
      <c r="N935" s="242"/>
      <c r="O935" s="242"/>
      <c r="P935" s="242"/>
      <c r="Q935" s="242"/>
      <c r="R935" s="242"/>
      <c r="S935" s="242"/>
      <c r="T935" s="242"/>
      <c r="U935" s="242"/>
      <c r="V935" s="242"/>
      <c r="W935" s="242"/>
      <c r="X935" s="242"/>
      <c r="Y935" s="242"/>
      <c r="Z935" s="242"/>
    </row>
    <row r="936">
      <c r="A936" s="242"/>
      <c r="B936" s="524"/>
      <c r="C936" s="524"/>
      <c r="D936" s="242"/>
      <c r="E936" s="242"/>
      <c r="F936" s="242"/>
      <c r="G936" s="13"/>
      <c r="H936" s="525"/>
      <c r="I936" s="242"/>
      <c r="J936" s="242"/>
      <c r="K936" s="242"/>
      <c r="L936" s="13"/>
      <c r="M936" s="13"/>
      <c r="N936" s="242"/>
      <c r="O936" s="242"/>
      <c r="P936" s="242"/>
      <c r="Q936" s="242"/>
      <c r="R936" s="242"/>
      <c r="S936" s="242"/>
      <c r="T936" s="242"/>
      <c r="U936" s="242"/>
      <c r="V936" s="242"/>
      <c r="W936" s="242"/>
      <c r="X936" s="242"/>
      <c r="Y936" s="242"/>
      <c r="Z936" s="242"/>
    </row>
    <row r="937">
      <c r="A937" s="242"/>
      <c r="B937" s="524"/>
      <c r="C937" s="524"/>
      <c r="D937" s="242"/>
      <c r="E937" s="242"/>
      <c r="F937" s="242"/>
      <c r="G937" s="13"/>
      <c r="H937" s="525"/>
      <c r="I937" s="242"/>
      <c r="J937" s="242"/>
      <c r="K937" s="242"/>
      <c r="L937" s="13"/>
      <c r="M937" s="13"/>
      <c r="N937" s="242"/>
      <c r="O937" s="242"/>
      <c r="P937" s="242"/>
      <c r="Q937" s="242"/>
      <c r="R937" s="242"/>
      <c r="S937" s="242"/>
      <c r="T937" s="242"/>
      <c r="U937" s="242"/>
      <c r="V937" s="242"/>
      <c r="W937" s="242"/>
      <c r="X937" s="242"/>
      <c r="Y937" s="242"/>
      <c r="Z937" s="242"/>
    </row>
    <row r="938">
      <c r="A938" s="242"/>
      <c r="B938" s="524"/>
      <c r="C938" s="524"/>
      <c r="D938" s="242"/>
      <c r="E938" s="242"/>
      <c r="F938" s="242"/>
      <c r="G938" s="13"/>
      <c r="H938" s="525"/>
      <c r="I938" s="242"/>
      <c r="J938" s="242"/>
      <c r="K938" s="242"/>
      <c r="L938" s="13"/>
      <c r="M938" s="13"/>
      <c r="N938" s="242"/>
      <c r="O938" s="242"/>
      <c r="P938" s="242"/>
      <c r="Q938" s="242"/>
      <c r="R938" s="242"/>
      <c r="S938" s="242"/>
      <c r="T938" s="242"/>
      <c r="U938" s="242"/>
      <c r="V938" s="242"/>
      <c r="W938" s="242"/>
      <c r="X938" s="242"/>
      <c r="Y938" s="242"/>
      <c r="Z938" s="242"/>
    </row>
    <row r="939">
      <c r="A939" s="242"/>
      <c r="B939" s="524"/>
      <c r="C939" s="524"/>
      <c r="D939" s="242"/>
      <c r="E939" s="242"/>
      <c r="F939" s="242"/>
      <c r="G939" s="13"/>
      <c r="H939" s="525"/>
      <c r="I939" s="242"/>
      <c r="J939" s="242"/>
      <c r="K939" s="242"/>
      <c r="L939" s="13"/>
      <c r="M939" s="13"/>
      <c r="N939" s="242"/>
      <c r="O939" s="242"/>
      <c r="P939" s="242"/>
      <c r="Q939" s="242"/>
      <c r="R939" s="242"/>
      <c r="S939" s="242"/>
      <c r="T939" s="242"/>
      <c r="U939" s="242"/>
      <c r="V939" s="242"/>
      <c r="W939" s="242"/>
      <c r="X939" s="242"/>
      <c r="Y939" s="242"/>
      <c r="Z939" s="242"/>
    </row>
    <row r="940">
      <c r="A940" s="242"/>
      <c r="B940" s="524"/>
      <c r="C940" s="524"/>
      <c r="D940" s="242"/>
      <c r="E940" s="242"/>
      <c r="F940" s="242"/>
      <c r="G940" s="13"/>
      <c r="H940" s="525"/>
      <c r="I940" s="242"/>
      <c r="J940" s="242"/>
      <c r="K940" s="242"/>
      <c r="L940" s="13"/>
      <c r="M940" s="13"/>
      <c r="N940" s="242"/>
      <c r="O940" s="242"/>
      <c r="P940" s="242"/>
      <c r="Q940" s="242"/>
      <c r="R940" s="242"/>
      <c r="S940" s="242"/>
      <c r="T940" s="242"/>
      <c r="U940" s="242"/>
      <c r="V940" s="242"/>
      <c r="W940" s="242"/>
      <c r="X940" s="242"/>
      <c r="Y940" s="242"/>
      <c r="Z940" s="242"/>
    </row>
    <row r="941">
      <c r="A941" s="242"/>
      <c r="B941" s="524"/>
      <c r="C941" s="524"/>
      <c r="D941" s="242"/>
      <c r="E941" s="242"/>
      <c r="F941" s="242"/>
      <c r="G941" s="13"/>
      <c r="H941" s="525"/>
      <c r="I941" s="242"/>
      <c r="J941" s="242"/>
      <c r="K941" s="242"/>
      <c r="L941" s="13"/>
      <c r="M941" s="13"/>
      <c r="N941" s="242"/>
      <c r="O941" s="242"/>
      <c r="P941" s="242"/>
      <c r="Q941" s="242"/>
      <c r="R941" s="242"/>
      <c r="S941" s="242"/>
      <c r="T941" s="242"/>
      <c r="U941" s="242"/>
      <c r="V941" s="242"/>
      <c r="W941" s="242"/>
      <c r="X941" s="242"/>
      <c r="Y941" s="242"/>
      <c r="Z941" s="242"/>
    </row>
    <row r="942">
      <c r="A942" s="242"/>
      <c r="B942" s="524"/>
      <c r="C942" s="524"/>
      <c r="D942" s="242"/>
      <c r="E942" s="242"/>
      <c r="F942" s="242"/>
      <c r="G942" s="13"/>
      <c r="H942" s="525"/>
      <c r="I942" s="242"/>
      <c r="J942" s="242"/>
      <c r="K942" s="242"/>
      <c r="L942" s="13"/>
      <c r="M942" s="13"/>
      <c r="N942" s="242"/>
      <c r="O942" s="242"/>
      <c r="P942" s="242"/>
      <c r="Q942" s="242"/>
      <c r="R942" s="242"/>
      <c r="S942" s="242"/>
      <c r="T942" s="242"/>
      <c r="U942" s="242"/>
      <c r="V942" s="242"/>
      <c r="W942" s="242"/>
      <c r="X942" s="242"/>
      <c r="Y942" s="242"/>
      <c r="Z942" s="242"/>
    </row>
    <row r="943">
      <c r="A943" s="242"/>
      <c r="B943" s="524"/>
      <c r="C943" s="524"/>
      <c r="D943" s="242"/>
      <c r="E943" s="242"/>
      <c r="F943" s="242"/>
      <c r="G943" s="13"/>
      <c r="H943" s="525"/>
      <c r="I943" s="242"/>
      <c r="J943" s="242"/>
      <c r="K943" s="242"/>
      <c r="L943" s="13"/>
      <c r="M943" s="13"/>
      <c r="N943" s="242"/>
      <c r="O943" s="242"/>
      <c r="P943" s="242"/>
      <c r="Q943" s="242"/>
      <c r="R943" s="242"/>
      <c r="S943" s="242"/>
      <c r="T943" s="242"/>
      <c r="U943" s="242"/>
      <c r="V943" s="242"/>
      <c r="W943" s="242"/>
      <c r="X943" s="242"/>
      <c r="Y943" s="242"/>
      <c r="Z943" s="242"/>
    </row>
    <row r="944">
      <c r="A944" s="242"/>
      <c r="B944" s="524"/>
      <c r="C944" s="524"/>
      <c r="D944" s="242"/>
      <c r="E944" s="242"/>
      <c r="F944" s="242"/>
      <c r="G944" s="13"/>
      <c r="H944" s="525"/>
      <c r="I944" s="242"/>
      <c r="J944" s="242"/>
      <c r="K944" s="242"/>
      <c r="L944" s="13"/>
      <c r="M944" s="13"/>
      <c r="N944" s="242"/>
      <c r="O944" s="242"/>
      <c r="P944" s="242"/>
      <c r="Q944" s="242"/>
      <c r="R944" s="242"/>
      <c r="S944" s="242"/>
      <c r="T944" s="242"/>
      <c r="U944" s="242"/>
      <c r="V944" s="242"/>
      <c r="W944" s="242"/>
      <c r="X944" s="242"/>
      <c r="Y944" s="242"/>
      <c r="Z944" s="242"/>
    </row>
    <row r="945">
      <c r="A945" s="242"/>
      <c r="B945" s="524"/>
      <c r="C945" s="524"/>
      <c r="D945" s="242"/>
      <c r="E945" s="242"/>
      <c r="F945" s="242"/>
      <c r="G945" s="13"/>
      <c r="H945" s="525"/>
      <c r="I945" s="242"/>
      <c r="J945" s="242"/>
      <c r="K945" s="242"/>
      <c r="L945" s="13"/>
      <c r="M945" s="13"/>
      <c r="N945" s="242"/>
      <c r="O945" s="242"/>
      <c r="P945" s="242"/>
      <c r="Q945" s="242"/>
      <c r="R945" s="242"/>
      <c r="S945" s="242"/>
      <c r="T945" s="242"/>
      <c r="U945" s="242"/>
      <c r="V945" s="242"/>
      <c r="W945" s="242"/>
      <c r="X945" s="242"/>
      <c r="Y945" s="242"/>
      <c r="Z945" s="242"/>
    </row>
    <row r="946">
      <c r="A946" s="242"/>
      <c r="B946" s="524"/>
      <c r="C946" s="524"/>
      <c r="D946" s="242"/>
      <c r="E946" s="242"/>
      <c r="F946" s="242"/>
      <c r="G946" s="13"/>
      <c r="H946" s="525"/>
      <c r="I946" s="242"/>
      <c r="J946" s="242"/>
      <c r="K946" s="242"/>
      <c r="L946" s="13"/>
      <c r="M946" s="13"/>
      <c r="N946" s="242"/>
      <c r="O946" s="242"/>
      <c r="P946" s="242"/>
      <c r="Q946" s="242"/>
      <c r="R946" s="242"/>
      <c r="S946" s="242"/>
      <c r="T946" s="242"/>
      <c r="U946" s="242"/>
      <c r="V946" s="242"/>
      <c r="W946" s="242"/>
      <c r="X946" s="242"/>
      <c r="Y946" s="242"/>
      <c r="Z946" s="242"/>
    </row>
    <row r="947">
      <c r="A947" s="242"/>
      <c r="B947" s="524"/>
      <c r="C947" s="524"/>
      <c r="D947" s="242"/>
      <c r="E947" s="242"/>
      <c r="F947" s="242"/>
      <c r="G947" s="13"/>
      <c r="H947" s="525"/>
      <c r="I947" s="242"/>
      <c r="J947" s="242"/>
      <c r="K947" s="242"/>
      <c r="L947" s="13"/>
      <c r="M947" s="13"/>
      <c r="N947" s="242"/>
      <c r="O947" s="242"/>
      <c r="P947" s="242"/>
      <c r="Q947" s="242"/>
      <c r="R947" s="242"/>
      <c r="S947" s="242"/>
      <c r="T947" s="242"/>
      <c r="U947" s="242"/>
      <c r="V947" s="242"/>
      <c r="W947" s="242"/>
      <c r="X947" s="242"/>
      <c r="Y947" s="242"/>
      <c r="Z947" s="242"/>
    </row>
    <row r="948">
      <c r="A948" s="242"/>
      <c r="B948" s="524"/>
      <c r="C948" s="524"/>
      <c r="D948" s="242"/>
      <c r="E948" s="242"/>
      <c r="F948" s="242"/>
      <c r="G948" s="13"/>
      <c r="H948" s="525"/>
      <c r="I948" s="242"/>
      <c r="J948" s="242"/>
      <c r="K948" s="242"/>
      <c r="L948" s="13"/>
      <c r="M948" s="13"/>
      <c r="N948" s="242"/>
      <c r="O948" s="242"/>
      <c r="P948" s="242"/>
      <c r="Q948" s="242"/>
      <c r="R948" s="242"/>
      <c r="S948" s="242"/>
      <c r="T948" s="242"/>
      <c r="U948" s="242"/>
      <c r="V948" s="242"/>
      <c r="W948" s="242"/>
      <c r="X948" s="242"/>
      <c r="Y948" s="242"/>
      <c r="Z948" s="242"/>
    </row>
    <row r="949">
      <c r="A949" s="242"/>
      <c r="B949" s="524"/>
      <c r="C949" s="524"/>
      <c r="D949" s="242"/>
      <c r="E949" s="242"/>
      <c r="F949" s="242"/>
      <c r="G949" s="13"/>
      <c r="H949" s="525"/>
      <c r="I949" s="242"/>
      <c r="J949" s="242"/>
      <c r="K949" s="242"/>
      <c r="L949" s="13"/>
      <c r="M949" s="13"/>
      <c r="N949" s="242"/>
      <c r="O949" s="242"/>
      <c r="P949" s="242"/>
      <c r="Q949" s="242"/>
      <c r="R949" s="242"/>
      <c r="S949" s="242"/>
      <c r="T949" s="242"/>
      <c r="U949" s="242"/>
      <c r="V949" s="242"/>
      <c r="W949" s="242"/>
      <c r="X949" s="242"/>
      <c r="Y949" s="242"/>
      <c r="Z949" s="242"/>
    </row>
    <row r="950">
      <c r="A950" s="242"/>
      <c r="B950" s="524"/>
      <c r="C950" s="524"/>
      <c r="D950" s="242"/>
      <c r="E950" s="242"/>
      <c r="F950" s="242"/>
      <c r="G950" s="13"/>
      <c r="H950" s="525"/>
      <c r="I950" s="242"/>
      <c r="J950" s="242"/>
      <c r="K950" s="242"/>
      <c r="L950" s="13"/>
      <c r="M950" s="13"/>
      <c r="N950" s="242"/>
      <c r="O950" s="242"/>
      <c r="P950" s="242"/>
      <c r="Q950" s="242"/>
      <c r="R950" s="242"/>
      <c r="S950" s="242"/>
      <c r="T950" s="242"/>
      <c r="U950" s="242"/>
      <c r="V950" s="242"/>
      <c r="W950" s="242"/>
      <c r="X950" s="242"/>
      <c r="Y950" s="242"/>
      <c r="Z950" s="242"/>
    </row>
    <row r="951">
      <c r="A951" s="242"/>
      <c r="B951" s="524"/>
      <c r="C951" s="524"/>
      <c r="D951" s="242"/>
      <c r="E951" s="242"/>
      <c r="F951" s="242"/>
      <c r="G951" s="13"/>
      <c r="H951" s="525"/>
      <c r="I951" s="242"/>
      <c r="J951" s="242"/>
      <c r="K951" s="242"/>
      <c r="L951" s="13"/>
      <c r="M951" s="13"/>
      <c r="N951" s="242"/>
      <c r="O951" s="242"/>
      <c r="P951" s="242"/>
      <c r="Q951" s="242"/>
      <c r="R951" s="242"/>
      <c r="S951" s="242"/>
      <c r="T951" s="242"/>
      <c r="U951" s="242"/>
      <c r="V951" s="242"/>
      <c r="W951" s="242"/>
      <c r="X951" s="242"/>
      <c r="Y951" s="242"/>
      <c r="Z951" s="242"/>
    </row>
    <row r="952">
      <c r="A952" s="242"/>
      <c r="B952" s="524"/>
      <c r="C952" s="524"/>
      <c r="D952" s="242"/>
      <c r="E952" s="242"/>
      <c r="F952" s="242"/>
      <c r="G952" s="13"/>
      <c r="H952" s="525"/>
      <c r="I952" s="242"/>
      <c r="J952" s="242"/>
      <c r="K952" s="242"/>
      <c r="L952" s="13"/>
      <c r="M952" s="13"/>
      <c r="N952" s="242"/>
      <c r="O952" s="242"/>
      <c r="P952" s="242"/>
      <c r="Q952" s="242"/>
      <c r="R952" s="242"/>
      <c r="S952" s="242"/>
      <c r="T952" s="242"/>
      <c r="U952" s="242"/>
      <c r="V952" s="242"/>
      <c r="W952" s="242"/>
      <c r="X952" s="242"/>
      <c r="Y952" s="242"/>
      <c r="Z952" s="242"/>
    </row>
    <row r="953">
      <c r="A953" s="242"/>
      <c r="B953" s="524"/>
      <c r="C953" s="524"/>
      <c r="D953" s="242"/>
      <c r="E953" s="242"/>
      <c r="F953" s="242"/>
      <c r="G953" s="13"/>
      <c r="H953" s="525"/>
      <c r="I953" s="242"/>
      <c r="J953" s="242"/>
      <c r="K953" s="242"/>
      <c r="L953" s="13"/>
      <c r="M953" s="13"/>
      <c r="N953" s="242"/>
      <c r="O953" s="242"/>
      <c r="P953" s="242"/>
      <c r="Q953" s="242"/>
      <c r="R953" s="242"/>
      <c r="S953" s="242"/>
      <c r="T953" s="242"/>
      <c r="U953" s="242"/>
      <c r="V953" s="242"/>
      <c r="W953" s="242"/>
      <c r="X953" s="242"/>
      <c r="Y953" s="242"/>
      <c r="Z953" s="242"/>
    </row>
    <row r="954">
      <c r="A954" s="242"/>
      <c r="B954" s="524"/>
      <c r="C954" s="524"/>
      <c r="D954" s="242"/>
      <c r="E954" s="242"/>
      <c r="F954" s="242"/>
      <c r="G954" s="13"/>
      <c r="H954" s="525"/>
      <c r="I954" s="242"/>
      <c r="J954" s="242"/>
      <c r="K954" s="242"/>
      <c r="L954" s="13"/>
      <c r="M954" s="13"/>
      <c r="N954" s="242"/>
      <c r="O954" s="242"/>
      <c r="P954" s="242"/>
      <c r="Q954" s="242"/>
      <c r="R954" s="242"/>
      <c r="S954" s="242"/>
      <c r="T954" s="242"/>
      <c r="U954" s="242"/>
      <c r="V954" s="242"/>
      <c r="W954" s="242"/>
      <c r="X954" s="242"/>
      <c r="Y954" s="242"/>
      <c r="Z954" s="242"/>
    </row>
    <row r="955">
      <c r="A955" s="242"/>
      <c r="B955" s="524"/>
      <c r="C955" s="524"/>
      <c r="D955" s="242"/>
      <c r="E955" s="242"/>
      <c r="F955" s="242"/>
      <c r="G955" s="13"/>
      <c r="H955" s="525"/>
      <c r="I955" s="242"/>
      <c r="J955" s="242"/>
      <c r="K955" s="242"/>
      <c r="L955" s="13"/>
      <c r="M955" s="13"/>
      <c r="N955" s="242"/>
      <c r="O955" s="242"/>
      <c r="P955" s="242"/>
      <c r="Q955" s="242"/>
      <c r="R955" s="242"/>
      <c r="S955" s="242"/>
      <c r="T955" s="242"/>
      <c r="U955" s="242"/>
      <c r="V955" s="242"/>
      <c r="W955" s="242"/>
      <c r="X955" s="242"/>
      <c r="Y955" s="242"/>
      <c r="Z955" s="242"/>
    </row>
    <row r="956">
      <c r="A956" s="242"/>
      <c r="B956" s="524"/>
      <c r="C956" s="524"/>
      <c r="D956" s="242"/>
      <c r="E956" s="242"/>
      <c r="F956" s="242"/>
      <c r="G956" s="13"/>
      <c r="H956" s="525"/>
      <c r="I956" s="242"/>
      <c r="J956" s="242"/>
      <c r="K956" s="242"/>
      <c r="L956" s="13"/>
      <c r="M956" s="13"/>
      <c r="N956" s="242"/>
      <c r="O956" s="242"/>
      <c r="P956" s="242"/>
      <c r="Q956" s="242"/>
      <c r="R956" s="242"/>
      <c r="S956" s="242"/>
      <c r="T956" s="242"/>
      <c r="U956" s="242"/>
      <c r="V956" s="242"/>
      <c r="W956" s="242"/>
      <c r="X956" s="242"/>
      <c r="Y956" s="242"/>
      <c r="Z956" s="242"/>
    </row>
    <row r="957">
      <c r="A957" s="242"/>
      <c r="B957" s="524"/>
      <c r="C957" s="524"/>
      <c r="D957" s="242"/>
      <c r="E957" s="242"/>
      <c r="F957" s="242"/>
      <c r="G957" s="13"/>
      <c r="H957" s="525"/>
      <c r="I957" s="242"/>
      <c r="J957" s="242"/>
      <c r="K957" s="242"/>
      <c r="L957" s="13"/>
      <c r="M957" s="13"/>
      <c r="N957" s="242"/>
      <c r="O957" s="242"/>
      <c r="P957" s="242"/>
      <c r="Q957" s="242"/>
      <c r="R957" s="242"/>
      <c r="S957" s="242"/>
      <c r="T957" s="242"/>
      <c r="U957" s="242"/>
      <c r="V957" s="242"/>
      <c r="W957" s="242"/>
      <c r="X957" s="242"/>
      <c r="Y957" s="242"/>
      <c r="Z957" s="242"/>
    </row>
    <row r="958">
      <c r="A958" s="242"/>
      <c r="B958" s="524"/>
      <c r="C958" s="524"/>
      <c r="D958" s="242"/>
      <c r="E958" s="242"/>
      <c r="F958" s="242"/>
      <c r="G958" s="13"/>
      <c r="H958" s="525"/>
      <c r="I958" s="242"/>
      <c r="J958" s="242"/>
      <c r="K958" s="242"/>
      <c r="L958" s="13"/>
      <c r="M958" s="13"/>
      <c r="N958" s="242"/>
      <c r="O958" s="242"/>
      <c r="P958" s="242"/>
      <c r="Q958" s="242"/>
      <c r="R958" s="242"/>
      <c r="S958" s="242"/>
      <c r="T958" s="242"/>
      <c r="U958" s="242"/>
      <c r="V958" s="242"/>
      <c r="W958" s="242"/>
      <c r="X958" s="242"/>
      <c r="Y958" s="242"/>
      <c r="Z958" s="242"/>
    </row>
    <row r="959">
      <c r="A959" s="242"/>
      <c r="B959" s="524"/>
      <c r="C959" s="524"/>
      <c r="D959" s="242"/>
      <c r="E959" s="242"/>
      <c r="F959" s="242"/>
      <c r="G959" s="13"/>
      <c r="H959" s="525"/>
      <c r="I959" s="242"/>
      <c r="J959" s="242"/>
      <c r="K959" s="242"/>
      <c r="L959" s="13"/>
      <c r="M959" s="13"/>
      <c r="N959" s="242"/>
      <c r="O959" s="242"/>
      <c r="P959" s="242"/>
      <c r="Q959" s="242"/>
      <c r="R959" s="242"/>
      <c r="S959" s="242"/>
      <c r="T959" s="242"/>
      <c r="U959" s="242"/>
      <c r="V959" s="242"/>
      <c r="W959" s="242"/>
      <c r="X959" s="242"/>
      <c r="Y959" s="242"/>
      <c r="Z959" s="242"/>
    </row>
    <row r="960">
      <c r="A960" s="242"/>
      <c r="B960" s="524"/>
      <c r="C960" s="524"/>
      <c r="D960" s="242"/>
      <c r="E960" s="242"/>
      <c r="F960" s="242"/>
      <c r="G960" s="13"/>
      <c r="H960" s="525"/>
      <c r="I960" s="242"/>
      <c r="J960" s="242"/>
      <c r="K960" s="242"/>
      <c r="L960" s="13"/>
      <c r="M960" s="13"/>
      <c r="N960" s="242"/>
      <c r="O960" s="242"/>
      <c r="P960" s="242"/>
      <c r="Q960" s="242"/>
      <c r="R960" s="242"/>
      <c r="S960" s="242"/>
      <c r="T960" s="242"/>
      <c r="U960" s="242"/>
      <c r="V960" s="242"/>
      <c r="W960" s="242"/>
      <c r="X960" s="242"/>
      <c r="Y960" s="242"/>
      <c r="Z960" s="242"/>
    </row>
    <row r="961">
      <c r="A961" s="242"/>
      <c r="B961" s="524"/>
      <c r="C961" s="524"/>
      <c r="D961" s="242"/>
      <c r="E961" s="242"/>
      <c r="F961" s="242"/>
      <c r="G961" s="13"/>
      <c r="H961" s="525"/>
      <c r="I961" s="242"/>
      <c r="J961" s="242"/>
      <c r="K961" s="242"/>
      <c r="L961" s="13"/>
      <c r="M961" s="13"/>
      <c r="N961" s="242"/>
      <c r="O961" s="242"/>
      <c r="P961" s="242"/>
      <c r="Q961" s="242"/>
      <c r="R961" s="242"/>
      <c r="S961" s="242"/>
      <c r="T961" s="242"/>
      <c r="U961" s="242"/>
      <c r="V961" s="242"/>
      <c r="W961" s="242"/>
      <c r="X961" s="242"/>
      <c r="Y961" s="242"/>
      <c r="Z961" s="242"/>
    </row>
    <row r="962">
      <c r="A962" s="242"/>
      <c r="B962" s="524"/>
      <c r="C962" s="524"/>
      <c r="D962" s="242"/>
      <c r="E962" s="242"/>
      <c r="F962" s="242"/>
      <c r="G962" s="13"/>
      <c r="H962" s="525"/>
      <c r="I962" s="242"/>
      <c r="J962" s="242"/>
      <c r="K962" s="242"/>
      <c r="L962" s="13"/>
      <c r="M962" s="13"/>
      <c r="N962" s="242"/>
      <c r="O962" s="242"/>
      <c r="P962" s="242"/>
      <c r="Q962" s="242"/>
      <c r="R962" s="242"/>
      <c r="S962" s="242"/>
      <c r="T962" s="242"/>
      <c r="U962" s="242"/>
      <c r="V962" s="242"/>
      <c r="W962" s="242"/>
      <c r="X962" s="242"/>
      <c r="Y962" s="242"/>
      <c r="Z962" s="242"/>
    </row>
    <row r="963">
      <c r="A963" s="242"/>
      <c r="B963" s="524"/>
      <c r="C963" s="524"/>
      <c r="D963" s="242"/>
      <c r="E963" s="242"/>
      <c r="F963" s="242"/>
      <c r="G963" s="13"/>
      <c r="H963" s="525"/>
      <c r="I963" s="242"/>
      <c r="J963" s="242"/>
      <c r="K963" s="242"/>
      <c r="L963" s="13"/>
      <c r="M963" s="13"/>
      <c r="N963" s="242"/>
      <c r="O963" s="242"/>
      <c r="P963" s="242"/>
      <c r="Q963" s="242"/>
      <c r="R963" s="242"/>
      <c r="S963" s="242"/>
      <c r="T963" s="242"/>
      <c r="U963" s="242"/>
      <c r="V963" s="242"/>
      <c r="W963" s="242"/>
      <c r="X963" s="242"/>
      <c r="Y963" s="242"/>
      <c r="Z963" s="242"/>
    </row>
    <row r="964">
      <c r="A964" s="242"/>
      <c r="B964" s="524"/>
      <c r="C964" s="524"/>
      <c r="D964" s="242"/>
      <c r="E964" s="242"/>
      <c r="F964" s="242"/>
      <c r="G964" s="13"/>
      <c r="H964" s="525"/>
      <c r="I964" s="242"/>
      <c r="J964" s="242"/>
      <c r="K964" s="242"/>
      <c r="L964" s="13"/>
      <c r="M964" s="13"/>
      <c r="N964" s="242"/>
      <c r="O964" s="242"/>
      <c r="P964" s="242"/>
      <c r="Q964" s="242"/>
      <c r="R964" s="242"/>
      <c r="S964" s="242"/>
      <c r="T964" s="242"/>
      <c r="U964" s="242"/>
      <c r="V964" s="242"/>
      <c r="W964" s="242"/>
      <c r="X964" s="242"/>
      <c r="Y964" s="242"/>
      <c r="Z964" s="242"/>
    </row>
    <row r="965">
      <c r="A965" s="242"/>
      <c r="B965" s="524"/>
      <c r="C965" s="524"/>
      <c r="D965" s="242"/>
      <c r="E965" s="242"/>
      <c r="F965" s="242"/>
      <c r="G965" s="13"/>
      <c r="H965" s="525"/>
      <c r="I965" s="242"/>
      <c r="J965" s="242"/>
      <c r="K965" s="242"/>
      <c r="L965" s="13"/>
      <c r="M965" s="13"/>
      <c r="N965" s="242"/>
      <c r="O965" s="242"/>
      <c r="P965" s="242"/>
      <c r="Q965" s="242"/>
      <c r="R965" s="242"/>
      <c r="S965" s="242"/>
      <c r="T965" s="242"/>
      <c r="U965" s="242"/>
      <c r="V965" s="242"/>
      <c r="W965" s="242"/>
      <c r="X965" s="242"/>
      <c r="Y965" s="242"/>
      <c r="Z965" s="242"/>
    </row>
    <row r="966">
      <c r="A966" s="242"/>
      <c r="B966" s="524"/>
      <c r="C966" s="524"/>
      <c r="D966" s="242"/>
      <c r="E966" s="242"/>
      <c r="F966" s="242"/>
      <c r="G966" s="13"/>
      <c r="H966" s="525"/>
      <c r="I966" s="242"/>
      <c r="J966" s="242"/>
      <c r="K966" s="242"/>
      <c r="L966" s="13"/>
      <c r="M966" s="13"/>
      <c r="N966" s="242"/>
      <c r="O966" s="242"/>
      <c r="P966" s="242"/>
      <c r="Q966" s="242"/>
      <c r="R966" s="242"/>
      <c r="S966" s="242"/>
      <c r="T966" s="242"/>
      <c r="U966" s="242"/>
      <c r="V966" s="242"/>
      <c r="W966" s="242"/>
      <c r="X966" s="242"/>
      <c r="Y966" s="242"/>
      <c r="Z966" s="242"/>
    </row>
    <row r="967">
      <c r="A967" s="242"/>
      <c r="B967" s="524"/>
      <c r="C967" s="524"/>
      <c r="D967" s="242"/>
      <c r="E967" s="242"/>
      <c r="F967" s="242"/>
      <c r="G967" s="13"/>
      <c r="H967" s="525"/>
      <c r="I967" s="242"/>
      <c r="J967" s="242"/>
      <c r="K967" s="242"/>
      <c r="L967" s="13"/>
      <c r="M967" s="13"/>
      <c r="N967" s="242"/>
      <c r="O967" s="242"/>
      <c r="P967" s="242"/>
      <c r="Q967" s="242"/>
      <c r="R967" s="242"/>
      <c r="S967" s="242"/>
      <c r="T967" s="242"/>
      <c r="U967" s="242"/>
      <c r="V967" s="242"/>
      <c r="W967" s="242"/>
      <c r="X967" s="242"/>
      <c r="Y967" s="242"/>
      <c r="Z967" s="242"/>
    </row>
    <row r="968">
      <c r="A968" s="242"/>
      <c r="B968" s="524"/>
      <c r="C968" s="524"/>
      <c r="D968" s="242"/>
      <c r="E968" s="242"/>
      <c r="F968" s="242"/>
      <c r="G968" s="13"/>
      <c r="H968" s="525"/>
      <c r="I968" s="242"/>
      <c r="J968" s="242"/>
      <c r="K968" s="242"/>
      <c r="L968" s="13"/>
      <c r="M968" s="13"/>
      <c r="N968" s="242"/>
      <c r="O968" s="242"/>
      <c r="P968" s="242"/>
      <c r="Q968" s="242"/>
      <c r="R968" s="242"/>
      <c r="S968" s="242"/>
      <c r="T968" s="242"/>
      <c r="U968" s="242"/>
      <c r="V968" s="242"/>
      <c r="W968" s="242"/>
      <c r="X968" s="242"/>
      <c r="Y968" s="242"/>
      <c r="Z968" s="242"/>
    </row>
    <row r="969">
      <c r="A969" s="242"/>
      <c r="B969" s="524"/>
      <c r="C969" s="524"/>
      <c r="D969" s="242"/>
      <c r="E969" s="242"/>
      <c r="F969" s="242"/>
      <c r="G969" s="13"/>
      <c r="H969" s="525"/>
      <c r="I969" s="242"/>
      <c r="J969" s="242"/>
      <c r="K969" s="242"/>
      <c r="L969" s="13"/>
      <c r="M969" s="13"/>
      <c r="N969" s="242"/>
      <c r="O969" s="242"/>
      <c r="P969" s="242"/>
      <c r="Q969" s="242"/>
      <c r="R969" s="242"/>
      <c r="S969" s="242"/>
      <c r="T969" s="242"/>
      <c r="U969" s="242"/>
      <c r="V969" s="242"/>
      <c r="W969" s="242"/>
      <c r="X969" s="242"/>
      <c r="Y969" s="242"/>
      <c r="Z969" s="242"/>
    </row>
    <row r="970">
      <c r="A970" s="242"/>
      <c r="B970" s="524"/>
      <c r="C970" s="524"/>
      <c r="D970" s="242"/>
      <c r="E970" s="242"/>
      <c r="F970" s="242"/>
      <c r="G970" s="13"/>
      <c r="H970" s="525"/>
      <c r="I970" s="242"/>
      <c r="J970" s="242"/>
      <c r="K970" s="242"/>
      <c r="L970" s="13"/>
      <c r="M970" s="13"/>
      <c r="N970" s="242"/>
      <c r="O970" s="242"/>
      <c r="P970" s="242"/>
      <c r="Q970" s="242"/>
      <c r="R970" s="242"/>
      <c r="S970" s="242"/>
      <c r="T970" s="242"/>
      <c r="U970" s="242"/>
      <c r="V970" s="242"/>
      <c r="W970" s="242"/>
      <c r="X970" s="242"/>
      <c r="Y970" s="242"/>
      <c r="Z970" s="242"/>
    </row>
    <row r="971">
      <c r="A971" s="242"/>
      <c r="B971" s="524"/>
      <c r="C971" s="524"/>
      <c r="D971" s="242"/>
      <c r="E971" s="242"/>
      <c r="F971" s="242"/>
      <c r="G971" s="13"/>
      <c r="H971" s="525"/>
      <c r="I971" s="242"/>
      <c r="J971" s="242"/>
      <c r="K971" s="242"/>
      <c r="L971" s="13"/>
      <c r="M971" s="13"/>
      <c r="N971" s="242"/>
      <c r="O971" s="242"/>
      <c r="P971" s="242"/>
      <c r="Q971" s="242"/>
      <c r="R971" s="242"/>
      <c r="S971" s="242"/>
      <c r="T971" s="242"/>
      <c r="U971" s="242"/>
      <c r="V971" s="242"/>
      <c r="W971" s="242"/>
      <c r="X971" s="242"/>
      <c r="Y971" s="242"/>
      <c r="Z971" s="242"/>
    </row>
    <row r="972">
      <c r="A972" s="242"/>
      <c r="B972" s="524"/>
      <c r="C972" s="524"/>
      <c r="D972" s="242"/>
      <c r="E972" s="242"/>
      <c r="F972" s="242"/>
      <c r="G972" s="13"/>
      <c r="H972" s="525"/>
      <c r="I972" s="242"/>
      <c r="J972" s="242"/>
      <c r="K972" s="242"/>
      <c r="L972" s="13"/>
      <c r="M972" s="13"/>
      <c r="N972" s="242"/>
      <c r="O972" s="242"/>
      <c r="P972" s="242"/>
      <c r="Q972" s="242"/>
      <c r="R972" s="242"/>
      <c r="S972" s="242"/>
      <c r="T972" s="242"/>
      <c r="U972" s="242"/>
      <c r="V972" s="242"/>
      <c r="W972" s="242"/>
      <c r="X972" s="242"/>
      <c r="Y972" s="242"/>
      <c r="Z972" s="242"/>
    </row>
    <row r="973">
      <c r="A973" s="242"/>
      <c r="B973" s="524"/>
      <c r="C973" s="524"/>
      <c r="D973" s="242"/>
      <c r="E973" s="242"/>
      <c r="F973" s="242"/>
      <c r="G973" s="13"/>
      <c r="H973" s="525"/>
      <c r="I973" s="242"/>
      <c r="J973" s="242"/>
      <c r="K973" s="242"/>
      <c r="L973" s="13"/>
      <c r="M973" s="13"/>
      <c r="N973" s="242"/>
      <c r="O973" s="242"/>
      <c r="P973" s="242"/>
      <c r="Q973" s="242"/>
      <c r="R973" s="242"/>
      <c r="S973" s="242"/>
      <c r="T973" s="242"/>
      <c r="U973" s="242"/>
      <c r="V973" s="242"/>
      <c r="W973" s="242"/>
      <c r="X973" s="242"/>
      <c r="Y973" s="242"/>
      <c r="Z973" s="242"/>
    </row>
    <row r="974">
      <c r="A974" s="242"/>
      <c r="B974" s="524"/>
      <c r="C974" s="524"/>
      <c r="D974" s="242"/>
      <c r="E974" s="242"/>
      <c r="F974" s="242"/>
      <c r="G974" s="13"/>
      <c r="H974" s="525"/>
      <c r="I974" s="242"/>
      <c r="J974" s="242"/>
      <c r="K974" s="242"/>
      <c r="L974" s="13"/>
      <c r="M974" s="13"/>
      <c r="N974" s="242"/>
      <c r="O974" s="242"/>
      <c r="P974" s="242"/>
      <c r="Q974" s="242"/>
      <c r="R974" s="242"/>
      <c r="S974" s="242"/>
      <c r="T974" s="242"/>
      <c r="U974" s="242"/>
      <c r="V974" s="242"/>
      <c r="W974" s="242"/>
      <c r="X974" s="242"/>
      <c r="Y974" s="242"/>
      <c r="Z974" s="242"/>
    </row>
    <row r="975">
      <c r="A975" s="242"/>
      <c r="B975" s="524"/>
      <c r="C975" s="524"/>
      <c r="D975" s="242"/>
      <c r="E975" s="242"/>
      <c r="F975" s="242"/>
      <c r="G975" s="13"/>
      <c r="H975" s="525"/>
      <c r="I975" s="242"/>
      <c r="J975" s="242"/>
      <c r="K975" s="242"/>
      <c r="L975" s="13"/>
      <c r="M975" s="13"/>
      <c r="N975" s="242"/>
      <c r="O975" s="242"/>
      <c r="P975" s="242"/>
      <c r="Q975" s="242"/>
      <c r="R975" s="242"/>
      <c r="S975" s="242"/>
      <c r="T975" s="242"/>
      <c r="U975" s="242"/>
      <c r="V975" s="242"/>
      <c r="W975" s="242"/>
      <c r="X975" s="242"/>
      <c r="Y975" s="242"/>
      <c r="Z975" s="242"/>
    </row>
    <row r="976">
      <c r="A976" s="242"/>
      <c r="B976" s="524"/>
      <c r="C976" s="524"/>
      <c r="D976" s="242"/>
      <c r="E976" s="242"/>
      <c r="F976" s="242"/>
      <c r="G976" s="13"/>
      <c r="H976" s="525"/>
      <c r="I976" s="242"/>
      <c r="J976" s="242"/>
      <c r="K976" s="242"/>
      <c r="L976" s="13"/>
      <c r="M976" s="13"/>
      <c r="N976" s="242"/>
      <c r="O976" s="242"/>
      <c r="P976" s="242"/>
      <c r="Q976" s="242"/>
      <c r="R976" s="242"/>
      <c r="S976" s="242"/>
      <c r="T976" s="242"/>
      <c r="U976" s="242"/>
      <c r="V976" s="242"/>
      <c r="W976" s="242"/>
      <c r="X976" s="242"/>
      <c r="Y976" s="242"/>
      <c r="Z976" s="242"/>
    </row>
    <row r="977">
      <c r="A977" s="242"/>
      <c r="B977" s="524"/>
      <c r="C977" s="524"/>
      <c r="D977" s="242"/>
      <c r="E977" s="242"/>
      <c r="F977" s="242"/>
      <c r="G977" s="13"/>
      <c r="H977" s="525"/>
      <c r="I977" s="242"/>
      <c r="J977" s="242"/>
      <c r="K977" s="242"/>
      <c r="L977" s="13"/>
      <c r="M977" s="13"/>
      <c r="N977" s="242"/>
      <c r="O977" s="242"/>
      <c r="P977" s="242"/>
      <c r="Q977" s="242"/>
      <c r="R977" s="242"/>
      <c r="S977" s="242"/>
      <c r="T977" s="242"/>
      <c r="U977" s="242"/>
      <c r="V977" s="242"/>
      <c r="W977" s="242"/>
      <c r="X977" s="242"/>
      <c r="Y977" s="242"/>
      <c r="Z977" s="242"/>
    </row>
    <row r="978">
      <c r="A978" s="242"/>
      <c r="B978" s="524"/>
      <c r="C978" s="524"/>
      <c r="D978" s="242"/>
      <c r="E978" s="242"/>
      <c r="F978" s="242"/>
      <c r="G978" s="13"/>
      <c r="H978" s="525"/>
      <c r="I978" s="242"/>
      <c r="J978" s="242"/>
      <c r="K978" s="242"/>
      <c r="L978" s="13"/>
      <c r="M978" s="13"/>
      <c r="N978" s="242"/>
      <c r="O978" s="242"/>
      <c r="P978" s="242"/>
      <c r="Q978" s="242"/>
      <c r="R978" s="242"/>
      <c r="S978" s="242"/>
      <c r="T978" s="242"/>
      <c r="U978" s="242"/>
      <c r="V978" s="242"/>
      <c r="W978" s="242"/>
      <c r="X978" s="242"/>
      <c r="Y978" s="242"/>
      <c r="Z978" s="242"/>
    </row>
    <row r="979">
      <c r="A979" s="242"/>
      <c r="B979" s="524"/>
      <c r="C979" s="524"/>
      <c r="D979" s="242"/>
      <c r="E979" s="242"/>
      <c r="F979" s="242"/>
      <c r="G979" s="13"/>
      <c r="H979" s="525"/>
      <c r="I979" s="242"/>
      <c r="J979" s="242"/>
      <c r="K979" s="242"/>
      <c r="L979" s="13"/>
      <c r="M979" s="13"/>
      <c r="N979" s="242"/>
      <c r="O979" s="242"/>
      <c r="P979" s="242"/>
      <c r="Q979" s="242"/>
      <c r="R979" s="242"/>
      <c r="S979" s="242"/>
      <c r="T979" s="242"/>
      <c r="U979" s="242"/>
      <c r="V979" s="242"/>
      <c r="W979" s="242"/>
      <c r="X979" s="242"/>
      <c r="Y979" s="242"/>
      <c r="Z979" s="242"/>
    </row>
    <row r="980">
      <c r="A980" s="242"/>
      <c r="B980" s="524"/>
      <c r="C980" s="524"/>
      <c r="D980" s="242"/>
      <c r="E980" s="242"/>
      <c r="F980" s="242"/>
      <c r="G980" s="13"/>
      <c r="H980" s="525"/>
      <c r="I980" s="242"/>
      <c r="J980" s="242"/>
      <c r="K980" s="242"/>
      <c r="L980" s="13"/>
      <c r="M980" s="13"/>
      <c r="N980" s="242"/>
      <c r="O980" s="242"/>
      <c r="P980" s="242"/>
      <c r="Q980" s="242"/>
      <c r="R980" s="242"/>
      <c r="S980" s="242"/>
      <c r="T980" s="242"/>
      <c r="U980" s="242"/>
      <c r="V980" s="242"/>
      <c r="W980" s="242"/>
      <c r="X980" s="242"/>
      <c r="Y980" s="242"/>
      <c r="Z980" s="242"/>
    </row>
    <row r="981">
      <c r="A981" s="242"/>
      <c r="B981" s="524"/>
      <c r="C981" s="524"/>
      <c r="D981" s="242"/>
      <c r="E981" s="242"/>
      <c r="F981" s="242"/>
      <c r="G981" s="13"/>
      <c r="H981" s="525"/>
      <c r="I981" s="242"/>
      <c r="J981" s="242"/>
      <c r="K981" s="242"/>
      <c r="L981" s="13"/>
      <c r="M981" s="13"/>
      <c r="N981" s="242"/>
      <c r="O981" s="242"/>
      <c r="P981" s="242"/>
      <c r="Q981" s="242"/>
      <c r="R981" s="242"/>
      <c r="S981" s="242"/>
      <c r="T981" s="242"/>
      <c r="U981" s="242"/>
      <c r="V981" s="242"/>
      <c r="W981" s="242"/>
      <c r="X981" s="242"/>
      <c r="Y981" s="242"/>
      <c r="Z981" s="242"/>
    </row>
    <row r="982">
      <c r="A982" s="242"/>
      <c r="B982" s="524"/>
      <c r="C982" s="524"/>
      <c r="D982" s="242"/>
      <c r="E982" s="242"/>
      <c r="F982" s="242"/>
      <c r="G982" s="13"/>
      <c r="H982" s="525"/>
      <c r="I982" s="242"/>
      <c r="J982" s="242"/>
      <c r="K982" s="242"/>
      <c r="L982" s="13"/>
      <c r="M982" s="13"/>
      <c r="N982" s="242"/>
      <c r="O982" s="242"/>
      <c r="P982" s="242"/>
      <c r="Q982" s="242"/>
      <c r="R982" s="242"/>
      <c r="S982" s="242"/>
      <c r="T982" s="242"/>
      <c r="U982" s="242"/>
      <c r="V982" s="242"/>
      <c r="W982" s="242"/>
      <c r="X982" s="242"/>
      <c r="Y982" s="242"/>
      <c r="Z982" s="242"/>
    </row>
    <row r="983">
      <c r="A983" s="242"/>
      <c r="B983" s="524"/>
      <c r="C983" s="524"/>
      <c r="D983" s="242"/>
      <c r="E983" s="242"/>
      <c r="F983" s="242"/>
      <c r="G983" s="13"/>
      <c r="H983" s="525"/>
      <c r="I983" s="242"/>
      <c r="J983" s="242"/>
      <c r="K983" s="242"/>
      <c r="L983" s="13"/>
      <c r="M983" s="13"/>
      <c r="N983" s="242"/>
      <c r="O983" s="242"/>
      <c r="P983" s="242"/>
      <c r="Q983" s="242"/>
      <c r="R983" s="242"/>
      <c r="S983" s="242"/>
      <c r="T983" s="242"/>
      <c r="U983" s="242"/>
      <c r="V983" s="242"/>
      <c r="W983" s="242"/>
      <c r="X983" s="242"/>
      <c r="Y983" s="242"/>
      <c r="Z983" s="242"/>
    </row>
    <row r="984">
      <c r="A984" s="242"/>
      <c r="B984" s="524"/>
      <c r="C984" s="524"/>
      <c r="D984" s="242"/>
      <c r="E984" s="242"/>
      <c r="F984" s="242"/>
      <c r="G984" s="13"/>
      <c r="H984" s="525"/>
      <c r="I984" s="242"/>
      <c r="J984" s="242"/>
      <c r="K984" s="242"/>
      <c r="L984" s="13"/>
      <c r="M984" s="13"/>
      <c r="N984" s="242"/>
      <c r="O984" s="242"/>
      <c r="P984" s="242"/>
      <c r="Q984" s="242"/>
      <c r="R984" s="242"/>
      <c r="S984" s="242"/>
      <c r="T984" s="242"/>
      <c r="U984" s="242"/>
      <c r="V984" s="242"/>
      <c r="W984" s="242"/>
      <c r="X984" s="242"/>
      <c r="Y984" s="242"/>
      <c r="Z984" s="242"/>
    </row>
    <row r="985">
      <c r="A985" s="242"/>
      <c r="B985" s="524"/>
      <c r="C985" s="524"/>
      <c r="D985" s="242"/>
      <c r="E985" s="242"/>
      <c r="F985" s="242"/>
      <c r="G985" s="13"/>
      <c r="H985" s="525"/>
      <c r="I985" s="242"/>
      <c r="J985" s="242"/>
      <c r="K985" s="242"/>
      <c r="L985" s="13"/>
      <c r="M985" s="13"/>
      <c r="N985" s="242"/>
      <c r="O985" s="242"/>
      <c r="P985" s="242"/>
      <c r="Q985" s="242"/>
      <c r="R985" s="242"/>
      <c r="S985" s="242"/>
      <c r="T985" s="242"/>
      <c r="U985" s="242"/>
      <c r="V985" s="242"/>
      <c r="W985" s="242"/>
      <c r="X985" s="242"/>
      <c r="Y985" s="242"/>
      <c r="Z985" s="242"/>
    </row>
    <row r="986">
      <c r="A986" s="242"/>
      <c r="B986" s="524"/>
      <c r="C986" s="524"/>
      <c r="D986" s="242"/>
      <c r="E986" s="242"/>
      <c r="F986" s="242"/>
      <c r="G986" s="13"/>
      <c r="H986" s="525"/>
      <c r="I986" s="242"/>
      <c r="J986" s="242"/>
      <c r="K986" s="242"/>
      <c r="L986" s="13"/>
      <c r="M986" s="13"/>
      <c r="N986" s="242"/>
      <c r="O986" s="242"/>
      <c r="P986" s="242"/>
      <c r="Q986" s="242"/>
      <c r="R986" s="242"/>
      <c r="S986" s="242"/>
      <c r="T986" s="242"/>
      <c r="U986" s="242"/>
      <c r="V986" s="242"/>
      <c r="W986" s="242"/>
      <c r="X986" s="242"/>
      <c r="Y986" s="242"/>
      <c r="Z986" s="242"/>
    </row>
    <row r="987">
      <c r="A987" s="242"/>
      <c r="B987" s="524"/>
      <c r="C987" s="524"/>
      <c r="D987" s="242"/>
      <c r="E987" s="242"/>
      <c r="F987" s="242"/>
      <c r="G987" s="13"/>
      <c r="H987" s="525"/>
      <c r="I987" s="242"/>
      <c r="J987" s="242"/>
      <c r="K987" s="242"/>
      <c r="L987" s="13"/>
      <c r="M987" s="13"/>
      <c r="N987" s="242"/>
      <c r="O987" s="242"/>
      <c r="P987" s="242"/>
      <c r="Q987" s="242"/>
      <c r="R987" s="242"/>
      <c r="S987" s="242"/>
      <c r="T987" s="242"/>
      <c r="U987" s="242"/>
      <c r="V987" s="242"/>
      <c r="W987" s="242"/>
      <c r="X987" s="242"/>
      <c r="Y987" s="242"/>
      <c r="Z987" s="242"/>
    </row>
    <row r="988">
      <c r="A988" s="242"/>
      <c r="B988" s="524"/>
      <c r="C988" s="524"/>
      <c r="D988" s="242"/>
      <c r="E988" s="242"/>
      <c r="F988" s="242"/>
      <c r="G988" s="13"/>
      <c r="H988" s="525"/>
      <c r="I988" s="242"/>
      <c r="J988" s="242"/>
      <c r="K988" s="242"/>
      <c r="L988" s="13"/>
      <c r="M988" s="13"/>
      <c r="N988" s="242"/>
      <c r="O988" s="242"/>
      <c r="P988" s="242"/>
      <c r="Q988" s="242"/>
      <c r="R988" s="242"/>
      <c r="S988" s="242"/>
      <c r="T988" s="242"/>
      <c r="U988" s="242"/>
      <c r="V988" s="242"/>
      <c r="W988" s="242"/>
      <c r="X988" s="242"/>
      <c r="Y988" s="242"/>
      <c r="Z988" s="242"/>
    </row>
    <row r="989">
      <c r="A989" s="242"/>
      <c r="B989" s="524"/>
      <c r="C989" s="524"/>
      <c r="D989" s="242"/>
      <c r="E989" s="242"/>
      <c r="F989" s="242"/>
      <c r="G989" s="13"/>
      <c r="H989" s="525"/>
      <c r="I989" s="242"/>
      <c r="J989" s="242"/>
      <c r="K989" s="242"/>
      <c r="L989" s="13"/>
      <c r="M989" s="13"/>
      <c r="N989" s="242"/>
      <c r="O989" s="242"/>
      <c r="P989" s="242"/>
      <c r="Q989" s="242"/>
      <c r="R989" s="242"/>
      <c r="S989" s="242"/>
      <c r="T989" s="242"/>
      <c r="U989" s="242"/>
      <c r="V989" s="242"/>
      <c r="W989" s="242"/>
      <c r="X989" s="242"/>
      <c r="Y989" s="242"/>
      <c r="Z989" s="242"/>
    </row>
    <row r="990">
      <c r="A990" s="242"/>
      <c r="B990" s="524"/>
      <c r="C990" s="524"/>
      <c r="D990" s="242"/>
      <c r="E990" s="242"/>
      <c r="F990" s="242"/>
      <c r="G990" s="13"/>
      <c r="H990" s="525"/>
      <c r="I990" s="242"/>
      <c r="J990" s="242"/>
      <c r="K990" s="242"/>
      <c r="L990" s="13"/>
      <c r="M990" s="13"/>
      <c r="N990" s="242"/>
      <c r="O990" s="242"/>
      <c r="P990" s="242"/>
      <c r="Q990" s="242"/>
      <c r="R990" s="242"/>
      <c r="S990" s="242"/>
      <c r="T990" s="242"/>
      <c r="U990" s="242"/>
      <c r="V990" s="242"/>
      <c r="W990" s="242"/>
      <c r="X990" s="242"/>
      <c r="Y990" s="242"/>
      <c r="Z990" s="242"/>
    </row>
    <row r="991">
      <c r="A991" s="242"/>
      <c r="B991" s="524"/>
      <c r="C991" s="524"/>
      <c r="D991" s="242"/>
      <c r="E991" s="242"/>
      <c r="F991" s="242"/>
      <c r="G991" s="13"/>
      <c r="H991" s="525"/>
      <c r="I991" s="242"/>
      <c r="J991" s="242"/>
      <c r="K991" s="242"/>
      <c r="L991" s="13"/>
      <c r="M991" s="13"/>
      <c r="N991" s="242"/>
      <c r="O991" s="242"/>
      <c r="P991" s="242"/>
      <c r="Q991" s="242"/>
      <c r="R991" s="242"/>
      <c r="S991" s="242"/>
      <c r="T991" s="242"/>
      <c r="U991" s="242"/>
      <c r="V991" s="242"/>
      <c r="W991" s="242"/>
      <c r="X991" s="242"/>
      <c r="Y991" s="242"/>
      <c r="Z991" s="242"/>
    </row>
    <row r="992">
      <c r="A992" s="242"/>
      <c r="B992" s="524"/>
      <c r="C992" s="524"/>
      <c r="D992" s="242"/>
      <c r="E992" s="242"/>
      <c r="F992" s="242"/>
      <c r="G992" s="13"/>
      <c r="H992" s="525"/>
      <c r="I992" s="242"/>
      <c r="J992" s="242"/>
      <c r="K992" s="242"/>
      <c r="L992" s="13"/>
      <c r="M992" s="13"/>
      <c r="N992" s="242"/>
      <c r="O992" s="242"/>
      <c r="P992" s="242"/>
      <c r="Q992" s="242"/>
      <c r="R992" s="242"/>
      <c r="S992" s="242"/>
      <c r="T992" s="242"/>
      <c r="U992" s="242"/>
      <c r="V992" s="242"/>
      <c r="W992" s="242"/>
      <c r="X992" s="242"/>
      <c r="Y992" s="242"/>
      <c r="Z992" s="242"/>
    </row>
    <row r="993">
      <c r="A993" s="242"/>
      <c r="B993" s="524"/>
      <c r="C993" s="524"/>
      <c r="D993" s="242"/>
      <c r="E993" s="242"/>
      <c r="F993" s="242"/>
      <c r="G993" s="13"/>
      <c r="H993" s="525"/>
      <c r="I993" s="242"/>
      <c r="J993" s="242"/>
      <c r="K993" s="242"/>
      <c r="L993" s="13"/>
      <c r="M993" s="13"/>
      <c r="N993" s="242"/>
      <c r="O993" s="242"/>
      <c r="P993" s="242"/>
      <c r="Q993" s="242"/>
      <c r="R993" s="242"/>
      <c r="S993" s="242"/>
      <c r="T993" s="242"/>
      <c r="U993" s="242"/>
      <c r="V993" s="242"/>
      <c r="W993" s="242"/>
      <c r="X993" s="242"/>
      <c r="Y993" s="242"/>
      <c r="Z993" s="242"/>
    </row>
    <row r="994">
      <c r="A994" s="242"/>
      <c r="B994" s="524"/>
      <c r="C994" s="524"/>
      <c r="D994" s="242"/>
      <c r="E994" s="242"/>
      <c r="F994" s="242"/>
      <c r="G994" s="13"/>
      <c r="H994" s="525"/>
      <c r="I994" s="242"/>
      <c r="J994" s="242"/>
      <c r="K994" s="242"/>
      <c r="L994" s="13"/>
      <c r="M994" s="13"/>
      <c r="N994" s="242"/>
      <c r="O994" s="242"/>
      <c r="P994" s="242"/>
      <c r="Q994" s="242"/>
      <c r="R994" s="242"/>
      <c r="S994" s="242"/>
      <c r="T994" s="242"/>
      <c r="U994" s="242"/>
      <c r="V994" s="242"/>
      <c r="W994" s="242"/>
      <c r="X994" s="242"/>
      <c r="Y994" s="242"/>
      <c r="Z994" s="242"/>
    </row>
  </sheetData>
  <printOptions horizontalCentered="1"/>
  <pageMargins bottom="0.75" footer="0.0" header="0.0" left="0.25" right="0.25" top="0.75"/>
  <pageSetup paperSize="9" cellComments="atEnd"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7.25"/>
    <col customWidth="1" min="3" max="3" width="9.38"/>
    <col customWidth="1" min="4" max="4" width="11.38"/>
    <col customWidth="1" min="5" max="5" width="10.25"/>
    <col customWidth="1" min="6" max="8" width="12.0"/>
  </cols>
  <sheetData>
    <row r="1">
      <c r="A1" s="3">
        <v>3200.0</v>
      </c>
      <c r="B1" s="242"/>
      <c r="C1" s="242"/>
      <c r="D1" s="242"/>
      <c r="E1" s="242"/>
      <c r="F1" s="242"/>
      <c r="G1" s="242"/>
      <c r="H1" s="13"/>
      <c r="I1" s="242"/>
      <c r="J1" s="242"/>
      <c r="K1" s="242"/>
      <c r="L1" s="242"/>
      <c r="M1" s="242"/>
      <c r="N1" s="242"/>
      <c r="O1" s="242"/>
      <c r="P1" s="242"/>
      <c r="Q1" s="242"/>
      <c r="R1" s="242"/>
      <c r="S1" s="242"/>
      <c r="T1" s="242"/>
      <c r="U1" s="242"/>
      <c r="V1" s="242"/>
      <c r="W1" s="242"/>
    </row>
    <row r="2">
      <c r="A2" s="13"/>
      <c r="B2" s="35" t="s">
        <v>0</v>
      </c>
      <c r="C2" s="35" t="s">
        <v>21</v>
      </c>
      <c r="D2" s="35" t="s">
        <v>24</v>
      </c>
      <c r="E2" s="526" t="s">
        <v>2514</v>
      </c>
      <c r="F2" s="527" t="s">
        <v>7</v>
      </c>
      <c r="G2" s="527" t="s">
        <v>8</v>
      </c>
      <c r="H2" s="37" t="s">
        <v>3133</v>
      </c>
      <c r="I2" s="242"/>
      <c r="J2" s="242"/>
      <c r="K2" s="242"/>
      <c r="L2" s="242"/>
      <c r="M2" s="242"/>
      <c r="N2" s="242"/>
      <c r="O2" s="242"/>
      <c r="P2" s="242"/>
      <c r="Q2" s="242"/>
      <c r="R2" s="242"/>
      <c r="S2" s="242"/>
      <c r="T2" s="242"/>
      <c r="U2" s="242"/>
      <c r="V2" s="242"/>
      <c r="W2" s="242"/>
    </row>
    <row r="3">
      <c r="A3" s="13"/>
      <c r="B3" s="41"/>
      <c r="C3" s="41"/>
      <c r="D3" s="41"/>
      <c r="E3" s="41"/>
      <c r="F3" s="41"/>
      <c r="G3" s="41"/>
      <c r="H3" s="41"/>
      <c r="I3" s="242"/>
      <c r="J3" s="242"/>
      <c r="K3" s="242"/>
      <c r="L3" s="242"/>
      <c r="M3" s="242"/>
      <c r="N3" s="242"/>
      <c r="O3" s="242"/>
      <c r="P3" s="242"/>
      <c r="Q3" s="242"/>
      <c r="R3" s="242"/>
      <c r="S3" s="242"/>
      <c r="T3" s="242"/>
      <c r="U3" s="242"/>
      <c r="V3" s="242"/>
      <c r="W3" s="242"/>
    </row>
    <row r="4" ht="18.75" customHeight="1">
      <c r="A4" s="530"/>
      <c r="B4" s="532" t="s">
        <v>2061</v>
      </c>
      <c r="C4" s="45"/>
      <c r="D4" s="45"/>
      <c r="E4" s="45"/>
      <c r="F4" s="45"/>
      <c r="G4" s="533"/>
      <c r="H4" s="530"/>
      <c r="I4" s="534"/>
      <c r="J4" s="534"/>
      <c r="K4" s="534"/>
      <c r="L4" s="534"/>
      <c r="M4" s="534"/>
      <c r="N4" s="534"/>
      <c r="O4" s="534"/>
      <c r="P4" s="534"/>
      <c r="Q4" s="534"/>
      <c r="R4" s="534"/>
      <c r="S4" s="534"/>
      <c r="T4" s="534"/>
      <c r="U4" s="534"/>
      <c r="V4" s="534"/>
      <c r="W4" s="534"/>
    </row>
    <row r="5">
      <c r="A5" s="530"/>
      <c r="B5" s="536">
        <v>1.0</v>
      </c>
      <c r="C5" s="537">
        <v>4.0</v>
      </c>
      <c r="D5" s="537">
        <v>110.0</v>
      </c>
      <c r="E5" s="538" t="s">
        <v>3146</v>
      </c>
      <c r="F5" s="540">
        <f>H5*$A$1</f>
        <v>4480</v>
      </c>
      <c r="G5" s="540">
        <v>3580.0</v>
      </c>
      <c r="H5" s="542">
        <v>1.4</v>
      </c>
      <c r="I5" s="534"/>
      <c r="J5" s="534"/>
      <c r="K5" s="534"/>
      <c r="L5" s="534"/>
      <c r="M5" s="534"/>
      <c r="N5" s="534"/>
      <c r="O5" s="534"/>
      <c r="P5" s="534"/>
      <c r="Q5" s="534"/>
      <c r="R5" s="534"/>
      <c r="S5" s="534"/>
      <c r="T5" s="534"/>
      <c r="U5" s="534"/>
      <c r="V5" s="534"/>
      <c r="W5" s="534"/>
    </row>
    <row r="6" ht="18.75" customHeight="1">
      <c r="A6" s="530"/>
      <c r="B6" s="532" t="s">
        <v>11</v>
      </c>
      <c r="C6" s="45"/>
      <c r="D6" s="45"/>
      <c r="E6" s="45"/>
      <c r="F6" s="543">
        <f t="shared" ref="F6:G6" si="1">SUM(F5)</f>
        <v>4480</v>
      </c>
      <c r="G6" s="543">
        <f t="shared" si="1"/>
        <v>3580</v>
      </c>
      <c r="H6" s="545"/>
      <c r="I6" s="534"/>
      <c r="J6" s="534"/>
      <c r="K6" s="534"/>
      <c r="L6" s="534"/>
      <c r="M6" s="534"/>
      <c r="N6" s="534"/>
      <c r="O6" s="534"/>
      <c r="P6" s="534"/>
      <c r="Q6" s="534"/>
      <c r="R6" s="534"/>
      <c r="S6" s="534"/>
      <c r="T6" s="534"/>
      <c r="U6" s="534"/>
      <c r="V6" s="534"/>
      <c r="W6" s="534"/>
    </row>
    <row r="7">
      <c r="A7" s="530"/>
      <c r="B7" s="534"/>
      <c r="C7" s="534"/>
      <c r="D7" s="534"/>
      <c r="E7" s="534"/>
      <c r="F7" s="534"/>
      <c r="G7" s="534"/>
      <c r="H7" s="530"/>
      <c r="I7" s="534"/>
      <c r="J7" s="534"/>
      <c r="K7" s="534"/>
      <c r="L7" s="534"/>
      <c r="M7" s="534"/>
      <c r="N7" s="534"/>
      <c r="O7" s="534"/>
      <c r="P7" s="534"/>
      <c r="Q7" s="534"/>
      <c r="R7" s="534"/>
      <c r="S7" s="534"/>
      <c r="T7" s="534"/>
      <c r="U7" s="534"/>
      <c r="V7" s="534"/>
      <c r="W7" s="534"/>
    </row>
    <row r="8" ht="18.75" customHeight="1">
      <c r="A8" s="530"/>
      <c r="B8" s="532" t="s">
        <v>2998</v>
      </c>
      <c r="C8" s="45"/>
      <c r="D8" s="45"/>
      <c r="E8" s="45"/>
      <c r="F8" s="46"/>
      <c r="G8" s="533"/>
      <c r="H8" s="530"/>
      <c r="I8" s="534"/>
      <c r="J8" s="534"/>
      <c r="K8" s="534"/>
      <c r="L8" s="534"/>
      <c r="M8" s="534"/>
      <c r="N8" s="534"/>
      <c r="O8" s="534"/>
      <c r="P8" s="534"/>
      <c r="Q8" s="534"/>
      <c r="R8" s="534"/>
      <c r="S8" s="534"/>
      <c r="T8" s="534"/>
      <c r="U8" s="534"/>
      <c r="V8" s="534"/>
      <c r="W8" s="534"/>
    </row>
    <row r="9">
      <c r="A9" s="530"/>
      <c r="B9" s="536">
        <v>1.0</v>
      </c>
      <c r="C9" s="546">
        <v>4.0</v>
      </c>
      <c r="D9" s="547">
        <v>110.0</v>
      </c>
      <c r="E9" s="548" t="s">
        <v>3159</v>
      </c>
      <c r="F9" s="540">
        <v>9960.0</v>
      </c>
      <c r="G9" s="540">
        <v>8590.0</v>
      </c>
      <c r="H9" s="542">
        <v>3.15</v>
      </c>
      <c r="I9" s="534"/>
      <c r="J9" s="534"/>
      <c r="K9" s="534"/>
      <c r="L9" s="534"/>
      <c r="M9" s="534"/>
      <c r="N9" s="534"/>
      <c r="O9" s="534"/>
      <c r="P9" s="534"/>
      <c r="Q9" s="534"/>
      <c r="R9" s="534"/>
      <c r="S9" s="534"/>
      <c r="T9" s="534"/>
      <c r="U9" s="534"/>
      <c r="V9" s="534"/>
      <c r="W9" s="534"/>
    </row>
    <row r="10">
      <c r="A10" s="530"/>
      <c r="B10" s="536">
        <v>2.0</v>
      </c>
      <c r="C10" s="546">
        <v>6.0</v>
      </c>
      <c r="D10" s="547">
        <v>160.0</v>
      </c>
      <c r="E10" s="548" t="s">
        <v>3160</v>
      </c>
      <c r="F10" s="540">
        <v>19840.0</v>
      </c>
      <c r="G10" s="540">
        <v>18270.0</v>
      </c>
      <c r="H10" s="542">
        <v>6.3</v>
      </c>
      <c r="I10" s="534"/>
      <c r="J10" s="534"/>
      <c r="K10" s="534"/>
      <c r="L10" s="534"/>
      <c r="M10" s="534"/>
      <c r="N10" s="534"/>
      <c r="O10" s="534"/>
      <c r="P10" s="534"/>
      <c r="Q10" s="534"/>
      <c r="R10" s="534"/>
      <c r="S10" s="534"/>
      <c r="T10" s="534"/>
      <c r="U10" s="534"/>
      <c r="V10" s="534"/>
      <c r="W10" s="534"/>
    </row>
    <row r="11">
      <c r="A11" s="530"/>
      <c r="B11" s="536">
        <v>3.0</v>
      </c>
      <c r="C11" s="546">
        <v>8.0</v>
      </c>
      <c r="D11" s="547">
        <v>200.0</v>
      </c>
      <c r="E11" s="548" t="s">
        <v>3164</v>
      </c>
      <c r="F11" s="540">
        <v>28840.0</v>
      </c>
      <c r="G11" s="540">
        <v>25940.0</v>
      </c>
      <c r="H11" s="542">
        <v>9.1</v>
      </c>
      <c r="I11" s="534"/>
      <c r="J11" s="534"/>
      <c r="K11" s="534"/>
      <c r="L11" s="534"/>
      <c r="M11" s="534"/>
      <c r="N11" s="534"/>
      <c r="O11" s="534"/>
      <c r="P11" s="534"/>
      <c r="Q11" s="534"/>
      <c r="R11" s="534"/>
      <c r="S11" s="534"/>
      <c r="T11" s="534"/>
      <c r="U11" s="534"/>
      <c r="V11" s="534"/>
      <c r="W11" s="534"/>
    </row>
    <row r="12">
      <c r="A12" s="530"/>
      <c r="B12" s="536">
        <v>4.0</v>
      </c>
      <c r="C12" s="546">
        <v>10.0</v>
      </c>
      <c r="D12" s="547">
        <v>250.0</v>
      </c>
      <c r="E12" s="548" t="s">
        <v>3167</v>
      </c>
      <c r="F12" s="549" t="s">
        <v>3168</v>
      </c>
      <c r="G12" s="550"/>
      <c r="H12" s="545"/>
      <c r="I12" s="534"/>
      <c r="J12" s="534"/>
      <c r="K12" s="534"/>
      <c r="L12" s="534"/>
      <c r="M12" s="534"/>
      <c r="N12" s="534"/>
      <c r="O12" s="534"/>
      <c r="P12" s="534"/>
      <c r="Q12" s="534"/>
      <c r="R12" s="534"/>
      <c r="S12" s="534"/>
      <c r="T12" s="534"/>
      <c r="U12" s="534"/>
      <c r="V12" s="534"/>
      <c r="W12" s="534"/>
    </row>
    <row r="13" ht="18.75" customHeight="1">
      <c r="A13" s="530"/>
      <c r="B13" s="532" t="s">
        <v>11</v>
      </c>
      <c r="C13" s="45"/>
      <c r="D13" s="45"/>
      <c r="E13" s="45"/>
      <c r="F13" s="543">
        <f>SUM(F9:F12)</f>
        <v>58640</v>
      </c>
      <c r="G13" s="533"/>
      <c r="H13" s="545"/>
      <c r="I13" s="534"/>
      <c r="J13" s="534"/>
      <c r="K13" s="534"/>
      <c r="L13" s="534"/>
      <c r="M13" s="534"/>
      <c r="N13" s="534"/>
      <c r="O13" s="534"/>
      <c r="P13" s="534"/>
      <c r="Q13" s="534"/>
      <c r="R13" s="534"/>
      <c r="S13" s="534"/>
      <c r="T13" s="534"/>
      <c r="U13" s="534"/>
      <c r="V13" s="534"/>
      <c r="W13" s="534"/>
    </row>
    <row r="14">
      <c r="A14" s="530"/>
      <c r="B14" s="534"/>
      <c r="C14" s="534"/>
      <c r="D14" s="534"/>
      <c r="E14" s="534"/>
      <c r="F14" s="534"/>
      <c r="G14" s="534"/>
      <c r="H14" s="530"/>
      <c r="I14" s="534"/>
      <c r="J14" s="534"/>
      <c r="K14" s="534"/>
      <c r="L14" s="534"/>
      <c r="M14" s="534"/>
      <c r="N14" s="534"/>
      <c r="O14" s="534"/>
      <c r="P14" s="534"/>
      <c r="Q14" s="534"/>
      <c r="R14" s="534"/>
      <c r="S14" s="534"/>
      <c r="T14" s="534"/>
      <c r="U14" s="534"/>
      <c r="V14" s="534"/>
      <c r="W14" s="534"/>
    </row>
    <row r="15" ht="18.75" customHeight="1">
      <c r="A15" s="530"/>
      <c r="B15" s="532" t="s">
        <v>52</v>
      </c>
      <c r="C15" s="45"/>
      <c r="D15" s="45"/>
      <c r="E15" s="45"/>
      <c r="F15" s="46"/>
      <c r="G15" s="533"/>
      <c r="H15" s="530"/>
      <c r="I15" s="534"/>
      <c r="J15" s="534"/>
      <c r="K15" s="534"/>
      <c r="L15" s="534"/>
      <c r="M15" s="534"/>
      <c r="N15" s="534"/>
      <c r="O15" s="534"/>
      <c r="P15" s="534"/>
      <c r="Q15" s="534"/>
      <c r="R15" s="534"/>
      <c r="S15" s="534"/>
      <c r="T15" s="534"/>
      <c r="U15" s="534"/>
      <c r="V15" s="534"/>
      <c r="W15" s="534"/>
    </row>
    <row r="16">
      <c r="A16" s="530"/>
      <c r="B16" s="536">
        <v>1.0</v>
      </c>
      <c r="C16" s="546">
        <v>4.0</v>
      </c>
      <c r="D16" s="547">
        <v>110.0</v>
      </c>
      <c r="E16" s="548" t="s">
        <v>3182</v>
      </c>
      <c r="F16" s="540">
        <v>6380.0</v>
      </c>
      <c r="G16" s="540">
        <v>5480.0</v>
      </c>
      <c r="H16" s="542">
        <v>2.0</v>
      </c>
      <c r="I16" s="534"/>
      <c r="J16" s="534"/>
      <c r="K16" s="534"/>
      <c r="L16" s="534"/>
      <c r="M16" s="534"/>
      <c r="N16" s="534"/>
      <c r="O16" s="534"/>
      <c r="P16" s="534"/>
      <c r="Q16" s="534"/>
      <c r="R16" s="534"/>
      <c r="S16" s="534"/>
      <c r="T16" s="534"/>
      <c r="U16" s="534"/>
      <c r="V16" s="534"/>
      <c r="W16" s="534"/>
    </row>
    <row r="17">
      <c r="A17" s="530"/>
      <c r="B17" s="536">
        <v>2.0</v>
      </c>
      <c r="C17" s="546">
        <v>6.0</v>
      </c>
      <c r="D17" s="547">
        <v>160.0</v>
      </c>
      <c r="E17" s="548" t="s">
        <v>3184</v>
      </c>
      <c r="F17" s="540">
        <v>13980.0</v>
      </c>
      <c r="G17" s="540">
        <v>12480.0</v>
      </c>
      <c r="H17" s="542">
        <v>4.37</v>
      </c>
      <c r="I17" s="534"/>
      <c r="J17" s="534"/>
      <c r="K17" s="534"/>
      <c r="L17" s="534"/>
      <c r="M17" s="534"/>
      <c r="N17" s="534"/>
      <c r="O17" s="534"/>
      <c r="P17" s="534"/>
      <c r="Q17" s="534"/>
      <c r="R17" s="534"/>
      <c r="S17" s="534"/>
      <c r="T17" s="534"/>
      <c r="U17" s="534"/>
      <c r="V17" s="534"/>
      <c r="W17" s="534"/>
    </row>
    <row r="18">
      <c r="A18" s="530"/>
      <c r="B18" s="536">
        <v>3.0</v>
      </c>
      <c r="C18" s="546">
        <v>8.0</v>
      </c>
      <c r="D18" s="547">
        <v>200.0</v>
      </c>
      <c r="E18" s="548" t="s">
        <v>3187</v>
      </c>
      <c r="F18" s="540">
        <v>20000.0</v>
      </c>
      <c r="G18" s="540">
        <v>18890.0</v>
      </c>
      <c r="H18" s="542">
        <v>6.25</v>
      </c>
      <c r="I18" s="534"/>
      <c r="J18" s="534"/>
      <c r="K18" s="534"/>
      <c r="L18" s="534"/>
      <c r="M18" s="534"/>
      <c r="N18" s="534"/>
      <c r="O18" s="534"/>
      <c r="P18" s="534"/>
      <c r="Q18" s="534"/>
      <c r="R18" s="534"/>
      <c r="S18" s="534"/>
      <c r="T18" s="534"/>
      <c r="U18" s="534"/>
      <c r="V18" s="534"/>
      <c r="W18" s="534"/>
    </row>
    <row r="19">
      <c r="A19" s="530"/>
      <c r="B19" s="536">
        <v>4.0</v>
      </c>
      <c r="C19" s="546">
        <v>10.0</v>
      </c>
      <c r="D19" s="547">
        <v>250.0</v>
      </c>
      <c r="E19" s="548" t="s">
        <v>3190</v>
      </c>
      <c r="F19" s="549" t="s">
        <v>3168</v>
      </c>
      <c r="G19" s="550"/>
      <c r="H19" s="545"/>
      <c r="I19" s="534"/>
      <c r="J19" s="534"/>
      <c r="K19" s="534"/>
      <c r="L19" s="534"/>
      <c r="M19" s="534"/>
      <c r="N19" s="534"/>
      <c r="O19" s="534"/>
      <c r="P19" s="534"/>
      <c r="Q19" s="534"/>
      <c r="R19" s="534"/>
      <c r="S19" s="534"/>
      <c r="T19" s="534"/>
      <c r="U19" s="534"/>
      <c r="V19" s="534"/>
      <c r="W19" s="534"/>
    </row>
    <row r="20" ht="18.75" customHeight="1">
      <c r="A20" s="530"/>
      <c r="B20" s="532" t="s">
        <v>11</v>
      </c>
      <c r="C20" s="45"/>
      <c r="D20" s="45"/>
      <c r="E20" s="45"/>
      <c r="F20" s="543">
        <f>SUM(F16:F19)</f>
        <v>40360</v>
      </c>
      <c r="G20" s="533"/>
      <c r="H20" s="545"/>
      <c r="I20" s="534"/>
      <c r="J20" s="534"/>
      <c r="K20" s="534"/>
      <c r="L20" s="534"/>
      <c r="M20" s="534"/>
      <c r="N20" s="534"/>
      <c r="O20" s="534"/>
      <c r="P20" s="534"/>
      <c r="Q20" s="534"/>
      <c r="R20" s="534"/>
      <c r="S20" s="534"/>
      <c r="T20" s="534"/>
      <c r="U20" s="534"/>
      <c r="V20" s="534"/>
      <c r="W20" s="534"/>
    </row>
    <row r="21">
      <c r="A21" s="530"/>
      <c r="B21" s="534"/>
      <c r="C21" s="534"/>
      <c r="D21" s="534"/>
      <c r="E21" s="534"/>
      <c r="F21" s="534"/>
      <c r="G21" s="534"/>
      <c r="H21" s="530"/>
      <c r="I21" s="534"/>
      <c r="J21" s="534"/>
      <c r="K21" s="534"/>
      <c r="L21" s="534"/>
      <c r="M21" s="534"/>
      <c r="N21" s="534"/>
      <c r="O21" s="534"/>
      <c r="P21" s="534"/>
      <c r="Q21" s="534"/>
      <c r="R21" s="534"/>
      <c r="S21" s="534"/>
      <c r="T21" s="534"/>
      <c r="U21" s="534"/>
      <c r="V21" s="534"/>
      <c r="W21" s="534"/>
    </row>
    <row r="22" ht="18.75" customHeight="1">
      <c r="A22" s="530"/>
      <c r="B22" s="532" t="s">
        <v>160</v>
      </c>
      <c r="C22" s="45"/>
      <c r="D22" s="45"/>
      <c r="E22" s="45"/>
      <c r="F22" s="46"/>
      <c r="G22" s="533"/>
      <c r="H22" s="530"/>
      <c r="I22" s="534"/>
      <c r="J22" s="534"/>
      <c r="K22" s="534"/>
      <c r="L22" s="534"/>
      <c r="M22" s="534"/>
      <c r="N22" s="534"/>
      <c r="O22" s="534"/>
      <c r="P22" s="534"/>
      <c r="Q22" s="534"/>
      <c r="R22" s="534"/>
      <c r="S22" s="534"/>
      <c r="T22" s="534"/>
      <c r="U22" s="534"/>
      <c r="V22" s="534"/>
      <c r="W22" s="534"/>
    </row>
    <row r="23">
      <c r="A23" s="530"/>
      <c r="B23" s="536">
        <v>1.0</v>
      </c>
      <c r="C23" s="546">
        <v>4.0</v>
      </c>
      <c r="D23" s="547">
        <v>110.0</v>
      </c>
      <c r="E23" s="548" t="s">
        <v>3200</v>
      </c>
      <c r="F23" s="540">
        <v>5780.0</v>
      </c>
      <c r="G23" s="540">
        <v>5180.0</v>
      </c>
      <c r="H23" s="542">
        <v>1.75</v>
      </c>
      <c r="I23" s="534"/>
      <c r="J23" s="534"/>
      <c r="K23" s="534"/>
      <c r="L23" s="534"/>
      <c r="M23" s="534"/>
      <c r="N23" s="534"/>
      <c r="O23" s="534"/>
      <c r="P23" s="534"/>
      <c r="Q23" s="534"/>
      <c r="R23" s="534"/>
      <c r="S23" s="534"/>
      <c r="T23" s="534"/>
      <c r="U23" s="534"/>
      <c r="V23" s="534"/>
      <c r="W23" s="534"/>
    </row>
    <row r="24">
      <c r="A24" s="530"/>
      <c r="B24" s="536">
        <v>2.0</v>
      </c>
      <c r="C24" s="546">
        <v>6.0</v>
      </c>
      <c r="D24" s="547">
        <v>160.0</v>
      </c>
      <c r="E24" s="548" t="s">
        <v>3203</v>
      </c>
      <c r="F24" s="540">
        <v>16840.0</v>
      </c>
      <c r="G24" s="540">
        <v>12880.0</v>
      </c>
      <c r="H24" s="542">
        <v>3.7</v>
      </c>
      <c r="I24" s="534"/>
      <c r="J24" s="534"/>
      <c r="K24" s="534"/>
      <c r="L24" s="534"/>
      <c r="M24" s="534"/>
      <c r="N24" s="534"/>
      <c r="O24" s="534"/>
      <c r="P24" s="534"/>
      <c r="Q24" s="534"/>
      <c r="R24" s="534"/>
      <c r="S24" s="534"/>
      <c r="T24" s="534"/>
      <c r="U24" s="534"/>
      <c r="V24" s="534"/>
      <c r="W24" s="534"/>
    </row>
    <row r="25">
      <c r="A25" s="530"/>
      <c r="B25" s="536">
        <v>3.0</v>
      </c>
      <c r="C25" s="546">
        <v>8.0</v>
      </c>
      <c r="D25" s="547">
        <v>200.0</v>
      </c>
      <c r="E25" s="548" t="s">
        <v>3206</v>
      </c>
      <c r="F25" s="540">
        <v>16840.0</v>
      </c>
      <c r="G25" s="540">
        <v>15780.0</v>
      </c>
      <c r="H25" s="542">
        <v>5.26</v>
      </c>
      <c r="I25" s="534"/>
      <c r="J25" s="534"/>
      <c r="K25" s="534"/>
      <c r="L25" s="534"/>
      <c r="M25" s="534"/>
      <c r="N25" s="534"/>
      <c r="O25" s="534"/>
      <c r="P25" s="534"/>
      <c r="Q25" s="534"/>
      <c r="R25" s="534"/>
      <c r="S25" s="534"/>
      <c r="T25" s="534"/>
      <c r="U25" s="534"/>
      <c r="V25" s="534"/>
      <c r="W25" s="534"/>
    </row>
    <row r="26">
      <c r="A26" s="530"/>
      <c r="B26" s="536">
        <v>4.0</v>
      </c>
      <c r="C26" s="546">
        <v>10.0</v>
      </c>
      <c r="D26" s="547">
        <v>250.0</v>
      </c>
      <c r="E26" s="548" t="s">
        <v>3208</v>
      </c>
      <c r="F26" s="549" t="s">
        <v>3168</v>
      </c>
      <c r="G26" s="550"/>
      <c r="H26" s="545"/>
      <c r="I26" s="534"/>
      <c r="J26" s="534"/>
      <c r="K26" s="534"/>
      <c r="L26" s="534"/>
      <c r="M26" s="534"/>
      <c r="N26" s="534"/>
      <c r="O26" s="534"/>
      <c r="P26" s="534"/>
      <c r="Q26" s="534"/>
      <c r="R26" s="534"/>
      <c r="S26" s="534"/>
      <c r="T26" s="534"/>
      <c r="U26" s="534"/>
      <c r="V26" s="534"/>
      <c r="W26" s="534"/>
    </row>
    <row r="27" ht="18.75" customHeight="1">
      <c r="A27" s="530"/>
      <c r="B27" s="532" t="s">
        <v>11</v>
      </c>
      <c r="C27" s="45"/>
      <c r="D27" s="45"/>
      <c r="E27" s="45"/>
      <c r="F27" s="543">
        <f>SUM(F23:F26)</f>
        <v>39460</v>
      </c>
      <c r="G27" s="533"/>
      <c r="H27" s="530"/>
      <c r="I27" s="534"/>
      <c r="J27" s="534"/>
      <c r="K27" s="534"/>
      <c r="L27" s="534"/>
      <c r="M27" s="534"/>
      <c r="N27" s="534"/>
      <c r="O27" s="534"/>
      <c r="P27" s="534"/>
      <c r="Q27" s="534"/>
      <c r="R27" s="534"/>
      <c r="S27" s="534"/>
      <c r="T27" s="534"/>
      <c r="U27" s="534"/>
      <c r="V27" s="534"/>
      <c r="W27" s="534"/>
    </row>
    <row r="28">
      <c r="A28" s="13"/>
      <c r="B28" s="252"/>
      <c r="C28" s="252"/>
      <c r="D28" s="252"/>
      <c r="E28" s="252"/>
      <c r="F28" s="252"/>
      <c r="G28" s="252"/>
      <c r="H28" s="551"/>
      <c r="I28" s="242"/>
      <c r="J28" s="242"/>
      <c r="K28" s="242"/>
      <c r="L28" s="242"/>
      <c r="M28" s="242"/>
      <c r="N28" s="242"/>
      <c r="O28" s="242"/>
      <c r="P28" s="242"/>
      <c r="Q28" s="242"/>
      <c r="R28" s="242"/>
      <c r="S28" s="242"/>
      <c r="T28" s="242"/>
      <c r="U28" s="242"/>
      <c r="V28" s="242"/>
      <c r="W28" s="242"/>
    </row>
    <row r="29">
      <c r="A29" s="13"/>
      <c r="B29" s="252"/>
      <c r="C29" s="252"/>
      <c r="D29" s="252"/>
      <c r="E29" s="252"/>
      <c r="F29" s="252"/>
      <c r="G29" s="252"/>
      <c r="H29" s="551"/>
      <c r="I29" s="242"/>
      <c r="J29" s="242"/>
      <c r="K29" s="242"/>
      <c r="L29" s="242"/>
      <c r="M29" s="242"/>
      <c r="N29" s="242"/>
      <c r="O29" s="242"/>
      <c r="P29" s="242"/>
      <c r="Q29" s="242"/>
      <c r="R29" s="242"/>
      <c r="S29" s="242"/>
      <c r="T29" s="242"/>
      <c r="U29" s="242"/>
      <c r="V29" s="242"/>
      <c r="W29" s="242"/>
    </row>
    <row r="30">
      <c r="A30" s="13"/>
      <c r="B30" s="252"/>
      <c r="C30" s="252"/>
      <c r="D30" s="252"/>
      <c r="E30" s="252"/>
      <c r="F30" s="252"/>
      <c r="G30" s="252"/>
      <c r="H30" s="551"/>
      <c r="I30" s="242"/>
      <c r="J30" s="242"/>
      <c r="K30" s="242"/>
      <c r="L30" s="242"/>
      <c r="M30" s="242"/>
      <c r="N30" s="242"/>
      <c r="O30" s="242"/>
      <c r="P30" s="242"/>
      <c r="Q30" s="242"/>
      <c r="R30" s="242"/>
      <c r="S30" s="242"/>
      <c r="T30" s="242"/>
      <c r="U30" s="242"/>
      <c r="V30" s="242"/>
      <c r="W30" s="242"/>
    </row>
    <row r="31">
      <c r="A31" s="13"/>
      <c r="B31" s="252"/>
      <c r="C31" s="252"/>
      <c r="D31" s="252"/>
      <c r="E31" s="252"/>
      <c r="F31" s="252"/>
      <c r="G31" s="252"/>
      <c r="H31" s="551"/>
      <c r="I31" s="242"/>
      <c r="J31" s="242"/>
      <c r="K31" s="242"/>
      <c r="L31" s="242"/>
      <c r="M31" s="242"/>
      <c r="N31" s="242"/>
      <c r="O31" s="242"/>
      <c r="P31" s="242"/>
      <c r="Q31" s="242"/>
      <c r="R31" s="242"/>
      <c r="S31" s="242"/>
      <c r="T31" s="242"/>
      <c r="U31" s="242"/>
      <c r="V31" s="242"/>
      <c r="W31" s="242"/>
    </row>
    <row r="32">
      <c r="A32" s="13"/>
      <c r="B32" s="252"/>
      <c r="C32" s="252"/>
      <c r="D32" s="252"/>
      <c r="E32" s="252"/>
      <c r="F32" s="252"/>
      <c r="G32" s="252"/>
      <c r="H32" s="551"/>
      <c r="I32" s="242"/>
      <c r="J32" s="242"/>
      <c r="K32" s="242"/>
      <c r="L32" s="242"/>
      <c r="M32" s="242"/>
      <c r="N32" s="242"/>
      <c r="O32" s="242"/>
      <c r="P32" s="242"/>
      <c r="Q32" s="242"/>
      <c r="R32" s="242"/>
      <c r="S32" s="242"/>
      <c r="T32" s="242"/>
      <c r="U32" s="242"/>
      <c r="V32" s="242"/>
      <c r="W32" s="242"/>
    </row>
    <row r="33">
      <c r="A33" s="13"/>
      <c r="B33" s="252"/>
      <c r="C33" s="252"/>
      <c r="D33" s="252"/>
      <c r="E33" s="252"/>
      <c r="F33" s="252"/>
      <c r="G33" s="252"/>
      <c r="H33" s="551"/>
      <c r="I33" s="242"/>
      <c r="J33" s="242"/>
      <c r="K33" s="242"/>
      <c r="L33" s="242"/>
      <c r="M33" s="242"/>
      <c r="N33" s="242"/>
      <c r="O33" s="242"/>
      <c r="P33" s="242"/>
      <c r="Q33" s="242"/>
      <c r="R33" s="242"/>
      <c r="S33" s="242"/>
      <c r="T33" s="242"/>
      <c r="U33" s="242"/>
      <c r="V33" s="242"/>
      <c r="W33" s="242"/>
    </row>
    <row r="34">
      <c r="A34" s="13"/>
      <c r="B34" s="252"/>
      <c r="C34" s="252"/>
      <c r="D34" s="252"/>
      <c r="E34" s="252"/>
      <c r="F34" s="252"/>
      <c r="G34" s="252"/>
      <c r="H34" s="551"/>
      <c r="I34" s="242"/>
      <c r="J34" s="242"/>
      <c r="K34" s="242"/>
      <c r="L34" s="242"/>
      <c r="M34" s="242"/>
      <c r="N34" s="242"/>
      <c r="O34" s="242"/>
      <c r="P34" s="242"/>
      <c r="Q34" s="242"/>
      <c r="R34" s="242"/>
      <c r="S34" s="242"/>
      <c r="T34" s="242"/>
      <c r="U34" s="242"/>
      <c r="V34" s="242"/>
      <c r="W34" s="242"/>
    </row>
    <row r="35">
      <c r="A35" s="13"/>
      <c r="B35" s="252"/>
      <c r="C35" s="252"/>
      <c r="D35" s="252"/>
      <c r="E35" s="252"/>
      <c r="F35" s="252"/>
      <c r="G35" s="252"/>
      <c r="H35" s="551"/>
      <c r="I35" s="242"/>
      <c r="J35" s="242"/>
      <c r="K35" s="242"/>
      <c r="L35" s="242"/>
      <c r="M35" s="242"/>
      <c r="N35" s="242"/>
      <c r="O35" s="242"/>
      <c r="P35" s="242"/>
      <c r="Q35" s="242"/>
      <c r="R35" s="242"/>
      <c r="S35" s="242"/>
      <c r="T35" s="242"/>
      <c r="U35" s="242"/>
      <c r="V35" s="242"/>
      <c r="W35" s="242"/>
    </row>
    <row r="36">
      <c r="A36" s="13"/>
      <c r="B36" s="252"/>
      <c r="C36" s="252"/>
      <c r="D36" s="252"/>
      <c r="E36" s="252"/>
      <c r="F36" s="252"/>
      <c r="G36" s="252"/>
      <c r="H36" s="551"/>
      <c r="I36" s="242"/>
      <c r="J36" s="242"/>
      <c r="K36" s="242"/>
      <c r="L36" s="242"/>
      <c r="M36" s="242"/>
      <c r="N36" s="242"/>
      <c r="O36" s="242"/>
      <c r="P36" s="242"/>
      <c r="Q36" s="242"/>
      <c r="R36" s="242"/>
      <c r="S36" s="242"/>
      <c r="T36" s="242"/>
      <c r="U36" s="242"/>
      <c r="V36" s="242"/>
      <c r="W36" s="242"/>
    </row>
    <row r="37">
      <c r="A37" s="13"/>
      <c r="B37" s="252"/>
      <c r="C37" s="252"/>
      <c r="D37" s="252"/>
      <c r="E37" s="252"/>
      <c r="F37" s="252"/>
      <c r="G37" s="252"/>
      <c r="H37" s="551"/>
      <c r="I37" s="242"/>
      <c r="J37" s="242"/>
      <c r="K37" s="242"/>
      <c r="L37" s="242"/>
      <c r="M37" s="242"/>
      <c r="N37" s="242"/>
      <c r="O37" s="242"/>
      <c r="P37" s="242"/>
      <c r="Q37" s="242"/>
      <c r="R37" s="242"/>
      <c r="S37" s="242"/>
      <c r="T37" s="242"/>
      <c r="U37" s="242"/>
      <c r="V37" s="242"/>
      <c r="W37" s="242"/>
    </row>
    <row r="38">
      <c r="A38" s="13"/>
      <c r="B38" s="252"/>
      <c r="C38" s="252"/>
      <c r="D38" s="252"/>
      <c r="E38" s="252"/>
      <c r="F38" s="252"/>
      <c r="G38" s="252"/>
      <c r="H38" s="551"/>
      <c r="I38" s="242"/>
      <c r="J38" s="242"/>
      <c r="K38" s="242"/>
      <c r="L38" s="242"/>
      <c r="M38" s="242"/>
      <c r="N38" s="242"/>
      <c r="O38" s="242"/>
      <c r="P38" s="242"/>
      <c r="Q38" s="242"/>
      <c r="R38" s="242"/>
      <c r="S38" s="242"/>
      <c r="T38" s="242"/>
      <c r="U38" s="242"/>
      <c r="V38" s="242"/>
      <c r="W38" s="242"/>
    </row>
    <row r="39">
      <c r="A39" s="13"/>
      <c r="B39" s="252"/>
      <c r="C39" s="252"/>
      <c r="D39" s="252"/>
      <c r="E39" s="252"/>
      <c r="F39" s="252"/>
      <c r="G39" s="252"/>
      <c r="H39" s="551"/>
      <c r="I39" s="242"/>
      <c r="J39" s="242"/>
      <c r="K39" s="242"/>
      <c r="L39" s="242"/>
      <c r="M39" s="242"/>
      <c r="N39" s="242"/>
      <c r="O39" s="242"/>
      <c r="P39" s="242"/>
      <c r="Q39" s="242"/>
      <c r="R39" s="242"/>
      <c r="S39" s="242"/>
      <c r="T39" s="242"/>
      <c r="U39" s="242"/>
      <c r="V39" s="242"/>
      <c r="W39" s="242"/>
    </row>
    <row r="40">
      <c r="A40" s="13"/>
      <c r="B40" s="252"/>
      <c r="C40" s="252"/>
      <c r="D40" s="252"/>
      <c r="E40" s="252"/>
      <c r="F40" s="252"/>
      <c r="G40" s="252"/>
      <c r="H40" s="551"/>
      <c r="I40" s="242"/>
      <c r="J40" s="242"/>
      <c r="K40" s="242"/>
      <c r="L40" s="242"/>
      <c r="M40" s="242"/>
      <c r="N40" s="242"/>
      <c r="O40" s="242"/>
      <c r="P40" s="242"/>
      <c r="Q40" s="242"/>
      <c r="R40" s="242"/>
      <c r="S40" s="242"/>
      <c r="T40" s="242"/>
      <c r="U40" s="242"/>
      <c r="V40" s="242"/>
      <c r="W40" s="242"/>
    </row>
    <row r="41">
      <c r="A41" s="13"/>
      <c r="B41" s="252"/>
      <c r="C41" s="252"/>
      <c r="D41" s="252"/>
      <c r="E41" s="252"/>
      <c r="F41" s="252"/>
      <c r="G41" s="252"/>
      <c r="H41" s="551"/>
      <c r="I41" s="242"/>
      <c r="J41" s="242"/>
      <c r="K41" s="242"/>
      <c r="L41" s="242"/>
      <c r="M41" s="242"/>
      <c r="N41" s="242"/>
      <c r="O41" s="242"/>
      <c r="P41" s="242"/>
      <c r="Q41" s="242"/>
      <c r="R41" s="242"/>
      <c r="S41" s="242"/>
      <c r="T41" s="242"/>
      <c r="U41" s="242"/>
      <c r="V41" s="242"/>
      <c r="W41" s="242"/>
    </row>
    <row r="42">
      <c r="A42" s="13"/>
      <c r="B42" s="252"/>
      <c r="C42" s="252"/>
      <c r="D42" s="252"/>
      <c r="E42" s="252"/>
      <c r="F42" s="252"/>
      <c r="G42" s="252"/>
      <c r="H42" s="551"/>
      <c r="I42" s="242"/>
      <c r="J42" s="242"/>
      <c r="K42" s="242"/>
      <c r="L42" s="242"/>
      <c r="M42" s="242"/>
      <c r="N42" s="242"/>
      <c r="O42" s="242"/>
      <c r="P42" s="242"/>
      <c r="Q42" s="242"/>
      <c r="R42" s="242"/>
      <c r="S42" s="242"/>
      <c r="T42" s="242"/>
      <c r="U42" s="242"/>
      <c r="V42" s="242"/>
      <c r="W42" s="242"/>
    </row>
    <row r="43">
      <c r="A43" s="13"/>
      <c r="B43" s="252"/>
      <c r="C43" s="252"/>
      <c r="D43" s="252"/>
      <c r="E43" s="252"/>
      <c r="F43" s="252"/>
      <c r="G43" s="252"/>
      <c r="H43" s="551"/>
      <c r="I43" s="242"/>
      <c r="J43" s="242"/>
      <c r="K43" s="242"/>
      <c r="L43" s="242"/>
      <c r="M43" s="242"/>
      <c r="N43" s="242"/>
      <c r="O43" s="242"/>
      <c r="P43" s="242"/>
      <c r="Q43" s="242"/>
      <c r="R43" s="242"/>
      <c r="S43" s="242"/>
      <c r="T43" s="242"/>
      <c r="U43" s="242"/>
      <c r="V43" s="242"/>
      <c r="W43" s="242"/>
    </row>
    <row r="44">
      <c r="A44" s="13"/>
      <c r="B44" s="252"/>
      <c r="C44" s="252"/>
      <c r="D44" s="252"/>
      <c r="E44" s="252"/>
      <c r="F44" s="252"/>
      <c r="G44" s="252"/>
      <c r="H44" s="551"/>
      <c r="I44" s="242"/>
      <c r="J44" s="242"/>
      <c r="K44" s="242"/>
      <c r="L44" s="242"/>
      <c r="M44" s="242"/>
      <c r="N44" s="242"/>
      <c r="O44" s="242"/>
      <c r="P44" s="242"/>
      <c r="Q44" s="242"/>
      <c r="R44" s="242"/>
      <c r="S44" s="242"/>
      <c r="T44" s="242"/>
      <c r="U44" s="242"/>
      <c r="V44" s="242"/>
      <c r="W44" s="242"/>
    </row>
    <row r="45">
      <c r="A45" s="13"/>
      <c r="B45" s="252"/>
      <c r="C45" s="252"/>
      <c r="D45" s="252"/>
      <c r="E45" s="252"/>
      <c r="F45" s="252"/>
      <c r="G45" s="252"/>
      <c r="H45" s="551"/>
      <c r="I45" s="242"/>
      <c r="J45" s="242"/>
      <c r="K45" s="242"/>
      <c r="L45" s="242"/>
      <c r="M45" s="242"/>
      <c r="N45" s="242"/>
      <c r="O45" s="242"/>
      <c r="P45" s="242"/>
      <c r="Q45" s="242"/>
      <c r="R45" s="242"/>
      <c r="S45" s="242"/>
      <c r="T45" s="242"/>
      <c r="U45" s="242"/>
      <c r="V45" s="242"/>
      <c r="W45" s="242"/>
    </row>
    <row r="46">
      <c r="A46" s="13"/>
      <c r="B46" s="252"/>
      <c r="C46" s="252"/>
      <c r="D46" s="252"/>
      <c r="E46" s="252"/>
      <c r="F46" s="252"/>
      <c r="G46" s="252"/>
      <c r="H46" s="551"/>
      <c r="I46" s="242"/>
      <c r="J46" s="242"/>
      <c r="K46" s="242"/>
      <c r="L46" s="242"/>
      <c r="M46" s="242"/>
      <c r="N46" s="242"/>
      <c r="O46" s="242"/>
      <c r="P46" s="242"/>
      <c r="Q46" s="242"/>
      <c r="R46" s="242"/>
      <c r="S46" s="242"/>
      <c r="T46" s="242"/>
      <c r="U46" s="242"/>
      <c r="V46" s="242"/>
      <c r="W46" s="242"/>
    </row>
    <row r="47">
      <c r="A47" s="13"/>
      <c r="B47" s="252"/>
      <c r="C47" s="252"/>
      <c r="D47" s="252"/>
      <c r="E47" s="252"/>
      <c r="F47" s="252"/>
      <c r="G47" s="252"/>
      <c r="H47" s="551"/>
      <c r="I47" s="242"/>
      <c r="J47" s="242"/>
      <c r="K47" s="242"/>
      <c r="L47" s="242"/>
      <c r="M47" s="242"/>
      <c r="N47" s="242"/>
      <c r="O47" s="242"/>
      <c r="P47" s="242"/>
      <c r="Q47" s="242"/>
      <c r="R47" s="242"/>
      <c r="S47" s="242"/>
      <c r="T47" s="242"/>
      <c r="U47" s="242"/>
      <c r="V47" s="242"/>
      <c r="W47" s="242"/>
    </row>
    <row r="48">
      <c r="A48" s="13"/>
      <c r="B48" s="252"/>
      <c r="C48" s="252"/>
      <c r="D48" s="252"/>
      <c r="E48" s="252"/>
      <c r="F48" s="252"/>
      <c r="G48" s="252"/>
      <c r="H48" s="551"/>
      <c r="I48" s="242"/>
      <c r="J48" s="242"/>
      <c r="K48" s="242"/>
      <c r="L48" s="242"/>
      <c r="M48" s="242"/>
      <c r="N48" s="242"/>
      <c r="O48" s="242"/>
      <c r="P48" s="242"/>
      <c r="Q48" s="242"/>
      <c r="R48" s="242"/>
      <c r="S48" s="242"/>
      <c r="T48" s="242"/>
      <c r="U48" s="242"/>
      <c r="V48" s="242"/>
      <c r="W48" s="242"/>
    </row>
    <row r="49">
      <c r="A49" s="13"/>
      <c r="B49" s="252"/>
      <c r="C49" s="252"/>
      <c r="D49" s="252"/>
      <c r="E49" s="252"/>
      <c r="F49" s="252"/>
      <c r="G49" s="252"/>
      <c r="H49" s="551"/>
      <c r="I49" s="242"/>
      <c r="J49" s="242"/>
      <c r="K49" s="242"/>
      <c r="L49" s="242"/>
      <c r="M49" s="242"/>
      <c r="N49" s="242"/>
      <c r="O49" s="242"/>
      <c r="P49" s="242"/>
      <c r="Q49" s="242"/>
      <c r="R49" s="242"/>
      <c r="S49" s="242"/>
      <c r="T49" s="242"/>
      <c r="U49" s="242"/>
      <c r="V49" s="242"/>
      <c r="W49" s="242"/>
    </row>
    <row r="50">
      <c r="A50" s="13"/>
      <c r="B50" s="252"/>
      <c r="C50" s="252"/>
      <c r="D50" s="252"/>
      <c r="E50" s="252"/>
      <c r="F50" s="252"/>
      <c r="G50" s="252"/>
      <c r="H50" s="551"/>
      <c r="I50" s="242"/>
      <c r="J50" s="242"/>
      <c r="K50" s="242"/>
      <c r="L50" s="242"/>
      <c r="M50" s="242"/>
      <c r="N50" s="242"/>
      <c r="O50" s="242"/>
      <c r="P50" s="242"/>
      <c r="Q50" s="242"/>
      <c r="R50" s="242"/>
      <c r="S50" s="242"/>
      <c r="T50" s="242"/>
      <c r="U50" s="242"/>
      <c r="V50" s="242"/>
      <c r="W50" s="242"/>
    </row>
    <row r="51">
      <c r="A51" s="13"/>
      <c r="B51" s="252"/>
      <c r="C51" s="252"/>
      <c r="D51" s="252"/>
      <c r="E51" s="252"/>
      <c r="F51" s="252"/>
      <c r="G51" s="252"/>
      <c r="H51" s="551"/>
      <c r="I51" s="242"/>
      <c r="J51" s="242"/>
      <c r="K51" s="242"/>
      <c r="L51" s="242"/>
      <c r="M51" s="242"/>
      <c r="N51" s="242"/>
      <c r="O51" s="242"/>
      <c r="P51" s="242"/>
      <c r="Q51" s="242"/>
      <c r="R51" s="242"/>
      <c r="S51" s="242"/>
      <c r="T51" s="242"/>
      <c r="U51" s="242"/>
      <c r="V51" s="242"/>
      <c r="W51" s="242"/>
    </row>
    <row r="52">
      <c r="A52" s="13"/>
      <c r="B52" s="252"/>
      <c r="C52" s="252"/>
      <c r="D52" s="252"/>
      <c r="E52" s="252"/>
      <c r="F52" s="252"/>
      <c r="G52" s="252"/>
      <c r="H52" s="551"/>
      <c r="I52" s="242"/>
      <c r="J52" s="242"/>
      <c r="K52" s="242"/>
      <c r="L52" s="242"/>
      <c r="M52" s="242"/>
      <c r="N52" s="242"/>
      <c r="O52" s="242"/>
      <c r="P52" s="242"/>
      <c r="Q52" s="242"/>
      <c r="R52" s="242"/>
      <c r="S52" s="242"/>
      <c r="T52" s="242"/>
      <c r="U52" s="242"/>
      <c r="V52" s="242"/>
      <c r="W52" s="242"/>
    </row>
    <row r="53">
      <c r="A53" s="13"/>
      <c r="B53" s="252"/>
      <c r="C53" s="252"/>
      <c r="D53" s="252"/>
      <c r="E53" s="252"/>
      <c r="F53" s="252"/>
      <c r="G53" s="252"/>
      <c r="H53" s="551"/>
      <c r="I53" s="242"/>
      <c r="J53" s="242"/>
      <c r="K53" s="242"/>
      <c r="L53" s="242"/>
      <c r="M53" s="242"/>
      <c r="N53" s="242"/>
      <c r="O53" s="242"/>
      <c r="P53" s="242"/>
      <c r="Q53" s="242"/>
      <c r="R53" s="242"/>
      <c r="S53" s="242"/>
      <c r="T53" s="242"/>
      <c r="U53" s="242"/>
      <c r="V53" s="242"/>
      <c r="W53" s="242"/>
    </row>
    <row r="54">
      <c r="A54" s="13"/>
      <c r="B54" s="252"/>
      <c r="C54" s="252"/>
      <c r="D54" s="252"/>
      <c r="E54" s="252"/>
      <c r="F54" s="252"/>
      <c r="G54" s="252"/>
      <c r="H54" s="551"/>
      <c r="I54" s="242"/>
      <c r="J54" s="242"/>
      <c r="K54" s="242"/>
      <c r="L54" s="242"/>
      <c r="M54" s="242"/>
      <c r="N54" s="242"/>
      <c r="O54" s="242"/>
      <c r="P54" s="242"/>
      <c r="Q54" s="242"/>
      <c r="R54" s="242"/>
      <c r="S54" s="242"/>
      <c r="T54" s="242"/>
      <c r="U54" s="242"/>
      <c r="V54" s="242"/>
      <c r="W54" s="242"/>
    </row>
    <row r="55">
      <c r="A55" s="13"/>
      <c r="B55" s="252"/>
      <c r="C55" s="252"/>
      <c r="D55" s="252"/>
      <c r="E55" s="252"/>
      <c r="F55" s="252"/>
      <c r="G55" s="252"/>
      <c r="H55" s="551"/>
      <c r="I55" s="242"/>
      <c r="J55" s="242"/>
      <c r="K55" s="242"/>
      <c r="L55" s="242"/>
      <c r="M55" s="242"/>
      <c r="N55" s="242"/>
      <c r="O55" s="242"/>
      <c r="P55" s="242"/>
      <c r="Q55" s="242"/>
      <c r="R55" s="242"/>
      <c r="S55" s="242"/>
      <c r="T55" s="242"/>
      <c r="U55" s="242"/>
      <c r="V55" s="242"/>
      <c r="W55" s="242"/>
    </row>
    <row r="56">
      <c r="A56" s="13"/>
      <c r="B56" s="252"/>
      <c r="C56" s="252"/>
      <c r="D56" s="252"/>
      <c r="E56" s="252"/>
      <c r="F56" s="252"/>
      <c r="G56" s="252"/>
      <c r="H56" s="551"/>
      <c r="I56" s="242"/>
      <c r="J56" s="242"/>
      <c r="K56" s="242"/>
      <c r="L56" s="242"/>
      <c r="M56" s="242"/>
      <c r="N56" s="242"/>
      <c r="O56" s="242"/>
      <c r="P56" s="242"/>
      <c r="Q56" s="242"/>
      <c r="R56" s="242"/>
      <c r="S56" s="242"/>
      <c r="T56" s="242"/>
      <c r="U56" s="242"/>
      <c r="V56" s="242"/>
      <c r="W56" s="242"/>
    </row>
    <row r="57">
      <c r="A57" s="13"/>
      <c r="B57" s="252"/>
      <c r="C57" s="252"/>
      <c r="D57" s="252"/>
      <c r="E57" s="252"/>
      <c r="F57" s="252"/>
      <c r="G57" s="252"/>
      <c r="H57" s="551"/>
      <c r="I57" s="242"/>
      <c r="J57" s="242"/>
      <c r="K57" s="242"/>
      <c r="L57" s="242"/>
      <c r="M57" s="242"/>
      <c r="N57" s="242"/>
      <c r="O57" s="242"/>
      <c r="P57" s="242"/>
      <c r="Q57" s="242"/>
      <c r="R57" s="242"/>
      <c r="S57" s="242"/>
      <c r="T57" s="242"/>
      <c r="U57" s="242"/>
      <c r="V57" s="242"/>
      <c r="W57" s="242"/>
    </row>
    <row r="58">
      <c r="A58" s="13"/>
      <c r="B58" s="252"/>
      <c r="C58" s="252"/>
      <c r="D58" s="252"/>
      <c r="E58" s="252"/>
      <c r="F58" s="252"/>
      <c r="G58" s="252"/>
      <c r="H58" s="551"/>
      <c r="I58" s="242"/>
      <c r="J58" s="242"/>
      <c r="K58" s="242"/>
      <c r="L58" s="242"/>
      <c r="M58" s="242"/>
      <c r="N58" s="242"/>
      <c r="O58" s="242"/>
      <c r="P58" s="242"/>
      <c r="Q58" s="242"/>
      <c r="R58" s="242"/>
      <c r="S58" s="242"/>
      <c r="T58" s="242"/>
      <c r="U58" s="242"/>
      <c r="V58" s="242"/>
      <c r="W58" s="242"/>
    </row>
    <row r="59">
      <c r="A59" s="13"/>
      <c r="B59" s="252"/>
      <c r="C59" s="252"/>
      <c r="D59" s="252"/>
      <c r="E59" s="252"/>
      <c r="F59" s="252"/>
      <c r="G59" s="252"/>
      <c r="H59" s="551"/>
      <c r="I59" s="242"/>
      <c r="J59" s="242"/>
      <c r="K59" s="242"/>
      <c r="L59" s="242"/>
      <c r="M59" s="242"/>
      <c r="N59" s="242"/>
      <c r="O59" s="242"/>
      <c r="P59" s="242"/>
      <c r="Q59" s="242"/>
      <c r="R59" s="242"/>
      <c r="S59" s="242"/>
      <c r="T59" s="242"/>
      <c r="U59" s="242"/>
      <c r="V59" s="242"/>
      <c r="W59" s="242"/>
    </row>
    <row r="60">
      <c r="A60" s="13"/>
      <c r="B60" s="252"/>
      <c r="C60" s="252"/>
      <c r="D60" s="252"/>
      <c r="E60" s="252"/>
      <c r="F60" s="252"/>
      <c r="G60" s="252"/>
      <c r="H60" s="551"/>
      <c r="I60" s="242"/>
      <c r="J60" s="242"/>
      <c r="K60" s="242"/>
      <c r="L60" s="242"/>
      <c r="M60" s="242"/>
      <c r="N60" s="242"/>
      <c r="O60" s="242"/>
      <c r="P60" s="242"/>
      <c r="Q60" s="242"/>
      <c r="R60" s="242"/>
      <c r="S60" s="242"/>
      <c r="T60" s="242"/>
      <c r="U60" s="242"/>
      <c r="V60" s="242"/>
      <c r="W60" s="242"/>
    </row>
    <row r="61">
      <c r="A61" s="13"/>
      <c r="B61" s="252"/>
      <c r="C61" s="252"/>
      <c r="D61" s="252"/>
      <c r="E61" s="252"/>
      <c r="F61" s="252"/>
      <c r="G61" s="252"/>
      <c r="H61" s="551"/>
      <c r="I61" s="242"/>
      <c r="J61" s="242"/>
      <c r="K61" s="242"/>
      <c r="L61" s="242"/>
      <c r="M61" s="242"/>
      <c r="N61" s="242"/>
      <c r="O61" s="242"/>
      <c r="P61" s="242"/>
      <c r="Q61" s="242"/>
      <c r="R61" s="242"/>
      <c r="S61" s="242"/>
      <c r="T61" s="242"/>
      <c r="U61" s="242"/>
      <c r="V61" s="242"/>
      <c r="W61" s="242"/>
    </row>
    <row r="62">
      <c r="A62" s="13"/>
      <c r="B62" s="252"/>
      <c r="C62" s="252"/>
      <c r="D62" s="252"/>
      <c r="E62" s="252"/>
      <c r="F62" s="252"/>
      <c r="G62" s="252"/>
      <c r="H62" s="551"/>
      <c r="I62" s="242"/>
      <c r="J62" s="242"/>
      <c r="K62" s="242"/>
      <c r="L62" s="242"/>
      <c r="M62" s="242"/>
      <c r="N62" s="242"/>
      <c r="O62" s="242"/>
      <c r="P62" s="242"/>
      <c r="Q62" s="242"/>
      <c r="R62" s="242"/>
      <c r="S62" s="242"/>
      <c r="T62" s="242"/>
      <c r="U62" s="242"/>
      <c r="V62" s="242"/>
      <c r="W62" s="242"/>
    </row>
    <row r="63">
      <c r="A63" s="13"/>
      <c r="B63" s="252"/>
      <c r="C63" s="252"/>
      <c r="D63" s="252"/>
      <c r="E63" s="252"/>
      <c r="F63" s="252"/>
      <c r="G63" s="252"/>
      <c r="H63" s="551"/>
      <c r="I63" s="242"/>
      <c r="J63" s="242"/>
      <c r="K63" s="242"/>
      <c r="L63" s="242"/>
      <c r="M63" s="242"/>
      <c r="N63" s="242"/>
      <c r="O63" s="242"/>
      <c r="P63" s="242"/>
      <c r="Q63" s="242"/>
      <c r="R63" s="242"/>
      <c r="S63" s="242"/>
      <c r="T63" s="242"/>
      <c r="U63" s="242"/>
      <c r="V63" s="242"/>
      <c r="W63" s="242"/>
    </row>
    <row r="64">
      <c r="A64" s="13"/>
      <c r="B64" s="252"/>
      <c r="C64" s="252"/>
      <c r="D64" s="252"/>
      <c r="E64" s="252"/>
      <c r="F64" s="252"/>
      <c r="G64" s="252"/>
      <c r="H64" s="551"/>
      <c r="I64" s="242"/>
      <c r="J64" s="242"/>
      <c r="K64" s="242"/>
      <c r="L64" s="242"/>
      <c r="M64" s="242"/>
      <c r="N64" s="242"/>
      <c r="O64" s="242"/>
      <c r="P64" s="242"/>
      <c r="Q64" s="242"/>
      <c r="R64" s="242"/>
      <c r="S64" s="242"/>
      <c r="T64" s="242"/>
      <c r="U64" s="242"/>
      <c r="V64" s="242"/>
      <c r="W64" s="242"/>
    </row>
    <row r="65">
      <c r="A65" s="13"/>
      <c r="B65" s="252"/>
      <c r="C65" s="252"/>
      <c r="D65" s="252"/>
      <c r="E65" s="252"/>
      <c r="F65" s="252"/>
      <c r="G65" s="252"/>
      <c r="H65" s="551"/>
      <c r="I65" s="242"/>
      <c r="J65" s="242"/>
      <c r="K65" s="242"/>
      <c r="L65" s="242"/>
      <c r="M65" s="242"/>
      <c r="N65" s="242"/>
      <c r="O65" s="242"/>
      <c r="P65" s="242"/>
      <c r="Q65" s="242"/>
      <c r="R65" s="242"/>
      <c r="S65" s="242"/>
      <c r="T65" s="242"/>
      <c r="U65" s="242"/>
      <c r="V65" s="242"/>
      <c r="W65" s="242"/>
    </row>
    <row r="66">
      <c r="A66" s="13"/>
      <c r="B66" s="252"/>
      <c r="C66" s="252"/>
      <c r="D66" s="252"/>
      <c r="E66" s="252"/>
      <c r="F66" s="252"/>
      <c r="G66" s="252"/>
      <c r="H66" s="551"/>
      <c r="I66" s="242"/>
      <c r="J66" s="242"/>
      <c r="K66" s="242"/>
      <c r="L66" s="242"/>
      <c r="M66" s="242"/>
      <c r="N66" s="242"/>
      <c r="O66" s="242"/>
      <c r="P66" s="242"/>
      <c r="Q66" s="242"/>
      <c r="R66" s="242"/>
      <c r="S66" s="242"/>
      <c r="T66" s="242"/>
      <c r="U66" s="242"/>
      <c r="V66" s="242"/>
      <c r="W66" s="242"/>
    </row>
    <row r="67">
      <c r="A67" s="13"/>
      <c r="B67" s="252"/>
      <c r="C67" s="252"/>
      <c r="D67" s="252"/>
      <c r="E67" s="252"/>
      <c r="F67" s="252"/>
      <c r="G67" s="252"/>
      <c r="H67" s="551"/>
      <c r="I67" s="242"/>
      <c r="J67" s="242"/>
      <c r="K67" s="242"/>
      <c r="L67" s="242"/>
      <c r="M67" s="242"/>
      <c r="N67" s="242"/>
      <c r="O67" s="242"/>
      <c r="P67" s="242"/>
      <c r="Q67" s="242"/>
      <c r="R67" s="242"/>
      <c r="S67" s="242"/>
      <c r="T67" s="242"/>
      <c r="U67" s="242"/>
      <c r="V67" s="242"/>
      <c r="W67" s="242"/>
    </row>
    <row r="68">
      <c r="A68" s="13"/>
      <c r="B68" s="252"/>
      <c r="C68" s="252"/>
      <c r="D68" s="252"/>
      <c r="E68" s="252"/>
      <c r="F68" s="252"/>
      <c r="G68" s="252"/>
      <c r="H68" s="551"/>
      <c r="I68" s="242"/>
      <c r="J68" s="242"/>
      <c r="K68" s="242"/>
      <c r="L68" s="242"/>
      <c r="M68" s="242"/>
      <c r="N68" s="242"/>
      <c r="O68" s="242"/>
      <c r="P68" s="242"/>
      <c r="Q68" s="242"/>
      <c r="R68" s="242"/>
      <c r="S68" s="242"/>
      <c r="T68" s="242"/>
      <c r="U68" s="242"/>
      <c r="V68" s="242"/>
      <c r="W68" s="242"/>
    </row>
    <row r="69">
      <c r="A69" s="13"/>
      <c r="B69" s="252"/>
      <c r="C69" s="252"/>
      <c r="D69" s="252"/>
      <c r="E69" s="252"/>
      <c r="F69" s="252"/>
      <c r="G69" s="252"/>
      <c r="H69" s="551"/>
      <c r="I69" s="242"/>
      <c r="J69" s="242"/>
      <c r="K69" s="242"/>
      <c r="L69" s="242"/>
      <c r="M69" s="242"/>
      <c r="N69" s="242"/>
      <c r="O69" s="242"/>
      <c r="P69" s="242"/>
      <c r="Q69" s="242"/>
      <c r="R69" s="242"/>
      <c r="S69" s="242"/>
      <c r="T69" s="242"/>
      <c r="U69" s="242"/>
      <c r="V69" s="242"/>
      <c r="W69" s="242"/>
    </row>
    <row r="70">
      <c r="A70" s="13"/>
      <c r="B70" s="252"/>
      <c r="C70" s="252"/>
      <c r="D70" s="252"/>
      <c r="E70" s="252"/>
      <c r="F70" s="252"/>
      <c r="G70" s="252"/>
      <c r="H70" s="551"/>
      <c r="I70" s="242"/>
      <c r="J70" s="242"/>
      <c r="K70" s="242"/>
      <c r="L70" s="242"/>
      <c r="M70" s="242"/>
      <c r="N70" s="242"/>
      <c r="O70" s="242"/>
      <c r="P70" s="242"/>
      <c r="Q70" s="242"/>
      <c r="R70" s="242"/>
      <c r="S70" s="242"/>
      <c r="T70" s="242"/>
      <c r="U70" s="242"/>
      <c r="V70" s="242"/>
      <c r="W70" s="242"/>
    </row>
    <row r="71">
      <c r="A71" s="13"/>
      <c r="B71" s="252"/>
      <c r="C71" s="252"/>
      <c r="D71" s="252"/>
      <c r="E71" s="252"/>
      <c r="F71" s="252"/>
      <c r="G71" s="252"/>
      <c r="H71" s="551"/>
      <c r="I71" s="242"/>
      <c r="J71" s="242"/>
      <c r="K71" s="242"/>
      <c r="L71" s="242"/>
      <c r="M71" s="242"/>
      <c r="N71" s="242"/>
      <c r="O71" s="242"/>
      <c r="P71" s="242"/>
      <c r="Q71" s="242"/>
      <c r="R71" s="242"/>
      <c r="S71" s="242"/>
      <c r="T71" s="242"/>
      <c r="U71" s="242"/>
      <c r="V71" s="242"/>
      <c r="W71" s="242"/>
    </row>
    <row r="72">
      <c r="A72" s="13"/>
      <c r="B72" s="252"/>
      <c r="C72" s="252"/>
      <c r="D72" s="252"/>
      <c r="E72" s="252"/>
      <c r="F72" s="252"/>
      <c r="G72" s="252"/>
      <c r="H72" s="551"/>
      <c r="I72" s="242"/>
      <c r="J72" s="242"/>
      <c r="K72" s="242"/>
      <c r="L72" s="242"/>
      <c r="M72" s="242"/>
      <c r="N72" s="242"/>
      <c r="O72" s="242"/>
      <c r="P72" s="242"/>
      <c r="Q72" s="242"/>
      <c r="R72" s="242"/>
      <c r="S72" s="242"/>
      <c r="T72" s="242"/>
      <c r="U72" s="242"/>
      <c r="V72" s="242"/>
      <c r="W72" s="242"/>
    </row>
    <row r="73">
      <c r="A73" s="13"/>
      <c r="B73" s="252"/>
      <c r="C73" s="252"/>
      <c r="D73" s="252"/>
      <c r="E73" s="252"/>
      <c r="F73" s="252"/>
      <c r="G73" s="252"/>
      <c r="H73" s="551"/>
      <c r="I73" s="242"/>
      <c r="J73" s="242"/>
      <c r="K73" s="242"/>
      <c r="L73" s="242"/>
      <c r="M73" s="242"/>
      <c r="N73" s="242"/>
      <c r="O73" s="242"/>
      <c r="P73" s="242"/>
      <c r="Q73" s="242"/>
      <c r="R73" s="242"/>
      <c r="S73" s="242"/>
      <c r="T73" s="242"/>
      <c r="U73" s="242"/>
      <c r="V73" s="242"/>
      <c r="W73" s="242"/>
    </row>
    <row r="74">
      <c r="A74" s="13"/>
      <c r="B74" s="252"/>
      <c r="C74" s="252"/>
      <c r="D74" s="252"/>
      <c r="E74" s="252"/>
      <c r="F74" s="252"/>
      <c r="G74" s="252"/>
      <c r="H74" s="551"/>
      <c r="I74" s="242"/>
      <c r="J74" s="242"/>
      <c r="K74" s="242"/>
      <c r="L74" s="242"/>
      <c r="M74" s="242"/>
      <c r="N74" s="242"/>
      <c r="O74" s="242"/>
      <c r="P74" s="242"/>
      <c r="Q74" s="242"/>
      <c r="R74" s="242"/>
      <c r="S74" s="242"/>
      <c r="T74" s="242"/>
      <c r="U74" s="242"/>
      <c r="V74" s="242"/>
      <c r="W74" s="242"/>
    </row>
    <row r="75">
      <c r="A75" s="13"/>
      <c r="B75" s="252"/>
      <c r="C75" s="252"/>
      <c r="D75" s="252"/>
      <c r="E75" s="252"/>
      <c r="F75" s="252"/>
      <c r="G75" s="252"/>
      <c r="H75" s="551"/>
      <c r="I75" s="242"/>
      <c r="J75" s="242"/>
      <c r="K75" s="242"/>
      <c r="L75" s="242"/>
      <c r="M75" s="242"/>
      <c r="N75" s="242"/>
      <c r="O75" s="242"/>
      <c r="P75" s="242"/>
      <c r="Q75" s="242"/>
      <c r="R75" s="242"/>
      <c r="S75" s="242"/>
      <c r="T75" s="242"/>
      <c r="U75" s="242"/>
      <c r="V75" s="242"/>
      <c r="W75" s="242"/>
    </row>
    <row r="76">
      <c r="A76" s="13"/>
      <c r="B76" s="252"/>
      <c r="C76" s="252"/>
      <c r="D76" s="252"/>
      <c r="E76" s="252"/>
      <c r="F76" s="252"/>
      <c r="G76" s="252"/>
      <c r="H76" s="551"/>
      <c r="I76" s="242"/>
      <c r="J76" s="242"/>
      <c r="K76" s="242"/>
      <c r="L76" s="242"/>
      <c r="M76" s="242"/>
      <c r="N76" s="242"/>
      <c r="O76" s="242"/>
      <c r="P76" s="242"/>
      <c r="Q76" s="242"/>
      <c r="R76" s="242"/>
      <c r="S76" s="242"/>
      <c r="T76" s="242"/>
      <c r="U76" s="242"/>
      <c r="V76" s="242"/>
      <c r="W76" s="242"/>
    </row>
    <row r="77">
      <c r="A77" s="13"/>
      <c r="B77" s="252"/>
      <c r="C77" s="252"/>
      <c r="D77" s="252"/>
      <c r="E77" s="252"/>
      <c r="F77" s="252"/>
      <c r="G77" s="252"/>
      <c r="H77" s="551"/>
      <c r="I77" s="242"/>
      <c r="J77" s="242"/>
      <c r="K77" s="242"/>
      <c r="L77" s="242"/>
      <c r="M77" s="242"/>
      <c r="N77" s="242"/>
      <c r="O77" s="242"/>
      <c r="P77" s="242"/>
      <c r="Q77" s="242"/>
      <c r="R77" s="242"/>
      <c r="S77" s="242"/>
      <c r="T77" s="242"/>
      <c r="U77" s="242"/>
      <c r="V77" s="242"/>
      <c r="W77" s="242"/>
    </row>
    <row r="78">
      <c r="A78" s="13"/>
      <c r="B78" s="252"/>
      <c r="C78" s="252"/>
      <c r="D78" s="252"/>
      <c r="E78" s="252"/>
      <c r="F78" s="252"/>
      <c r="G78" s="252"/>
      <c r="H78" s="551"/>
      <c r="I78" s="242"/>
      <c r="J78" s="242"/>
      <c r="K78" s="242"/>
      <c r="L78" s="242"/>
      <c r="M78" s="242"/>
      <c r="N78" s="242"/>
      <c r="O78" s="242"/>
      <c r="P78" s="242"/>
      <c r="Q78" s="242"/>
      <c r="R78" s="242"/>
      <c r="S78" s="242"/>
      <c r="T78" s="242"/>
      <c r="U78" s="242"/>
      <c r="V78" s="242"/>
      <c r="W78" s="242"/>
    </row>
    <row r="79">
      <c r="A79" s="13"/>
      <c r="B79" s="252"/>
      <c r="C79" s="252"/>
      <c r="D79" s="252"/>
      <c r="E79" s="252"/>
      <c r="F79" s="252"/>
      <c r="G79" s="252"/>
      <c r="H79" s="551"/>
      <c r="I79" s="242"/>
      <c r="J79" s="242"/>
      <c r="K79" s="242"/>
      <c r="L79" s="242"/>
      <c r="M79" s="242"/>
      <c r="N79" s="242"/>
      <c r="O79" s="242"/>
      <c r="P79" s="242"/>
      <c r="Q79" s="242"/>
      <c r="R79" s="242"/>
      <c r="S79" s="242"/>
      <c r="T79" s="242"/>
      <c r="U79" s="242"/>
      <c r="V79" s="242"/>
      <c r="W79" s="242"/>
    </row>
    <row r="80">
      <c r="A80" s="13"/>
      <c r="B80" s="252"/>
      <c r="C80" s="252"/>
      <c r="D80" s="252"/>
      <c r="E80" s="252"/>
      <c r="F80" s="252"/>
      <c r="G80" s="252"/>
      <c r="H80" s="551"/>
      <c r="I80" s="242"/>
      <c r="J80" s="242"/>
      <c r="K80" s="242"/>
      <c r="L80" s="242"/>
      <c r="M80" s="242"/>
      <c r="N80" s="242"/>
      <c r="O80" s="242"/>
      <c r="P80" s="242"/>
      <c r="Q80" s="242"/>
      <c r="R80" s="242"/>
      <c r="S80" s="242"/>
      <c r="T80" s="242"/>
      <c r="U80" s="242"/>
      <c r="V80" s="242"/>
      <c r="W80" s="242"/>
    </row>
    <row r="81">
      <c r="A81" s="13"/>
      <c r="B81" s="252"/>
      <c r="C81" s="252"/>
      <c r="D81" s="252"/>
      <c r="E81" s="252"/>
      <c r="F81" s="252"/>
      <c r="G81" s="252"/>
      <c r="H81" s="551"/>
      <c r="I81" s="242"/>
      <c r="J81" s="242"/>
      <c r="K81" s="242"/>
      <c r="L81" s="242"/>
      <c r="M81" s="242"/>
      <c r="N81" s="242"/>
      <c r="O81" s="242"/>
      <c r="P81" s="242"/>
      <c r="Q81" s="242"/>
      <c r="R81" s="242"/>
      <c r="S81" s="242"/>
      <c r="T81" s="242"/>
      <c r="U81" s="242"/>
      <c r="V81" s="242"/>
      <c r="W81" s="242"/>
    </row>
    <row r="82">
      <c r="A82" s="13"/>
      <c r="B82" s="252"/>
      <c r="C82" s="252"/>
      <c r="D82" s="252"/>
      <c r="E82" s="252"/>
      <c r="F82" s="252"/>
      <c r="G82" s="252"/>
      <c r="H82" s="551"/>
      <c r="I82" s="242"/>
      <c r="J82" s="242"/>
      <c r="K82" s="242"/>
      <c r="L82" s="242"/>
      <c r="M82" s="242"/>
      <c r="N82" s="242"/>
      <c r="O82" s="242"/>
      <c r="P82" s="242"/>
      <c r="Q82" s="242"/>
      <c r="R82" s="242"/>
      <c r="S82" s="242"/>
      <c r="T82" s="242"/>
      <c r="U82" s="242"/>
      <c r="V82" s="242"/>
      <c r="W82" s="242"/>
    </row>
    <row r="83">
      <c r="A83" s="13"/>
      <c r="B83" s="252"/>
      <c r="C83" s="252"/>
      <c r="D83" s="252"/>
      <c r="E83" s="252"/>
      <c r="F83" s="252"/>
      <c r="G83" s="252"/>
      <c r="H83" s="551"/>
      <c r="I83" s="242"/>
      <c r="J83" s="242"/>
      <c r="K83" s="242"/>
      <c r="L83" s="242"/>
      <c r="M83" s="242"/>
      <c r="N83" s="242"/>
      <c r="O83" s="242"/>
      <c r="P83" s="242"/>
      <c r="Q83" s="242"/>
      <c r="R83" s="242"/>
      <c r="S83" s="242"/>
      <c r="T83" s="242"/>
      <c r="U83" s="242"/>
      <c r="V83" s="242"/>
      <c r="W83" s="242"/>
    </row>
    <row r="84">
      <c r="A84" s="13"/>
      <c r="B84" s="252"/>
      <c r="C84" s="252"/>
      <c r="D84" s="252"/>
      <c r="E84" s="252"/>
      <c r="F84" s="252"/>
      <c r="G84" s="252"/>
      <c r="H84" s="551"/>
      <c r="I84" s="242"/>
      <c r="J84" s="242"/>
      <c r="K84" s="242"/>
      <c r="L84" s="242"/>
      <c r="M84" s="242"/>
      <c r="N84" s="242"/>
      <c r="O84" s="242"/>
      <c r="P84" s="242"/>
      <c r="Q84" s="242"/>
      <c r="R84" s="242"/>
      <c r="S84" s="242"/>
      <c r="T84" s="242"/>
      <c r="U84" s="242"/>
      <c r="V84" s="242"/>
      <c r="W84" s="242"/>
    </row>
    <row r="85">
      <c r="A85" s="13"/>
      <c r="B85" s="252"/>
      <c r="C85" s="252"/>
      <c r="D85" s="252"/>
      <c r="E85" s="252"/>
      <c r="F85" s="252"/>
      <c r="G85" s="252"/>
      <c r="H85" s="551"/>
      <c r="I85" s="242"/>
      <c r="J85" s="242"/>
      <c r="K85" s="242"/>
      <c r="L85" s="242"/>
      <c r="M85" s="242"/>
      <c r="N85" s="242"/>
      <c r="O85" s="242"/>
      <c r="P85" s="242"/>
      <c r="Q85" s="242"/>
      <c r="R85" s="242"/>
      <c r="S85" s="242"/>
      <c r="T85" s="242"/>
      <c r="U85" s="242"/>
      <c r="V85" s="242"/>
      <c r="W85" s="242"/>
    </row>
    <row r="86">
      <c r="A86" s="13"/>
      <c r="B86" s="252"/>
      <c r="C86" s="252"/>
      <c r="D86" s="252"/>
      <c r="E86" s="252"/>
      <c r="F86" s="252"/>
      <c r="G86" s="252"/>
      <c r="H86" s="551"/>
      <c r="I86" s="242"/>
      <c r="J86" s="242"/>
      <c r="K86" s="242"/>
      <c r="L86" s="242"/>
      <c r="M86" s="242"/>
      <c r="N86" s="242"/>
      <c r="O86" s="242"/>
      <c r="P86" s="242"/>
      <c r="Q86" s="242"/>
      <c r="R86" s="242"/>
      <c r="S86" s="242"/>
      <c r="T86" s="242"/>
      <c r="U86" s="242"/>
      <c r="V86" s="242"/>
      <c r="W86" s="242"/>
    </row>
    <row r="87">
      <c r="A87" s="13"/>
      <c r="B87" s="252"/>
      <c r="C87" s="252"/>
      <c r="D87" s="252"/>
      <c r="E87" s="252"/>
      <c r="F87" s="252"/>
      <c r="G87" s="252"/>
      <c r="H87" s="551"/>
      <c r="I87" s="242"/>
      <c r="J87" s="242"/>
      <c r="K87" s="242"/>
      <c r="L87" s="242"/>
      <c r="M87" s="242"/>
      <c r="N87" s="242"/>
      <c r="O87" s="242"/>
      <c r="P87" s="242"/>
      <c r="Q87" s="242"/>
      <c r="R87" s="242"/>
      <c r="S87" s="242"/>
      <c r="T87" s="242"/>
      <c r="U87" s="242"/>
      <c r="V87" s="242"/>
      <c r="W87" s="242"/>
    </row>
    <row r="88">
      <c r="A88" s="13"/>
      <c r="B88" s="252"/>
      <c r="C88" s="252"/>
      <c r="D88" s="252"/>
      <c r="E88" s="252"/>
      <c r="F88" s="252"/>
      <c r="G88" s="252"/>
      <c r="H88" s="551"/>
      <c r="I88" s="242"/>
      <c r="J88" s="242"/>
      <c r="K88" s="242"/>
      <c r="L88" s="242"/>
      <c r="M88" s="242"/>
      <c r="N88" s="242"/>
      <c r="O88" s="242"/>
      <c r="P88" s="242"/>
      <c r="Q88" s="242"/>
      <c r="R88" s="242"/>
      <c r="S88" s="242"/>
      <c r="T88" s="242"/>
      <c r="U88" s="242"/>
      <c r="V88" s="242"/>
      <c r="W88" s="242"/>
    </row>
    <row r="89">
      <c r="A89" s="13"/>
      <c r="B89" s="252"/>
      <c r="C89" s="252"/>
      <c r="D89" s="252"/>
      <c r="E89" s="252"/>
      <c r="F89" s="252"/>
      <c r="G89" s="252"/>
      <c r="H89" s="551"/>
      <c r="I89" s="242"/>
      <c r="J89" s="242"/>
      <c r="K89" s="242"/>
      <c r="L89" s="242"/>
      <c r="M89" s="242"/>
      <c r="N89" s="242"/>
      <c r="O89" s="242"/>
      <c r="P89" s="242"/>
      <c r="Q89" s="242"/>
      <c r="R89" s="242"/>
      <c r="S89" s="242"/>
      <c r="T89" s="242"/>
      <c r="U89" s="242"/>
      <c r="V89" s="242"/>
      <c r="W89" s="242"/>
    </row>
    <row r="90">
      <c r="A90" s="13"/>
      <c r="B90" s="252"/>
      <c r="C90" s="252"/>
      <c r="D90" s="252"/>
      <c r="E90" s="252"/>
      <c r="F90" s="252"/>
      <c r="G90" s="252"/>
      <c r="H90" s="551"/>
      <c r="I90" s="242"/>
      <c r="J90" s="242"/>
      <c r="K90" s="242"/>
      <c r="L90" s="242"/>
      <c r="M90" s="242"/>
      <c r="N90" s="242"/>
      <c r="O90" s="242"/>
      <c r="P90" s="242"/>
      <c r="Q90" s="242"/>
      <c r="R90" s="242"/>
      <c r="S90" s="242"/>
      <c r="T90" s="242"/>
      <c r="U90" s="242"/>
      <c r="V90" s="242"/>
      <c r="W90" s="242"/>
    </row>
    <row r="91">
      <c r="A91" s="13"/>
      <c r="B91" s="252"/>
      <c r="C91" s="252"/>
      <c r="D91" s="252"/>
      <c r="E91" s="252"/>
      <c r="F91" s="252"/>
      <c r="G91" s="252"/>
      <c r="H91" s="551"/>
      <c r="I91" s="242"/>
      <c r="J91" s="242"/>
      <c r="K91" s="242"/>
      <c r="L91" s="242"/>
      <c r="M91" s="242"/>
      <c r="N91" s="242"/>
      <c r="O91" s="242"/>
      <c r="P91" s="242"/>
      <c r="Q91" s="242"/>
      <c r="R91" s="242"/>
      <c r="S91" s="242"/>
      <c r="T91" s="242"/>
      <c r="U91" s="242"/>
      <c r="V91" s="242"/>
      <c r="W91" s="242"/>
    </row>
    <row r="92">
      <c r="A92" s="13"/>
      <c r="B92" s="252"/>
      <c r="C92" s="252"/>
      <c r="D92" s="252"/>
      <c r="E92" s="252"/>
      <c r="F92" s="252"/>
      <c r="G92" s="252"/>
      <c r="H92" s="551"/>
      <c r="I92" s="242"/>
      <c r="J92" s="242"/>
      <c r="K92" s="242"/>
      <c r="L92" s="242"/>
      <c r="M92" s="242"/>
      <c r="N92" s="242"/>
      <c r="O92" s="242"/>
      <c r="P92" s="242"/>
      <c r="Q92" s="242"/>
      <c r="R92" s="242"/>
      <c r="S92" s="242"/>
      <c r="T92" s="242"/>
      <c r="U92" s="242"/>
      <c r="V92" s="242"/>
      <c r="W92" s="242"/>
    </row>
    <row r="93">
      <c r="A93" s="13"/>
      <c r="B93" s="252"/>
      <c r="C93" s="252"/>
      <c r="D93" s="252"/>
      <c r="E93" s="252"/>
      <c r="F93" s="252"/>
      <c r="G93" s="252"/>
      <c r="H93" s="551"/>
      <c r="I93" s="242"/>
      <c r="J93" s="242"/>
      <c r="K93" s="242"/>
      <c r="L93" s="242"/>
      <c r="M93" s="242"/>
      <c r="N93" s="242"/>
      <c r="O93" s="242"/>
      <c r="P93" s="242"/>
      <c r="Q93" s="242"/>
      <c r="R93" s="242"/>
      <c r="S93" s="242"/>
      <c r="T93" s="242"/>
      <c r="U93" s="242"/>
      <c r="V93" s="242"/>
      <c r="W93" s="242"/>
    </row>
    <row r="94">
      <c r="A94" s="13"/>
      <c r="B94" s="252"/>
      <c r="C94" s="252"/>
      <c r="D94" s="252"/>
      <c r="E94" s="252"/>
      <c r="F94" s="252"/>
      <c r="G94" s="252"/>
      <c r="H94" s="551"/>
      <c r="I94" s="242"/>
      <c r="J94" s="242"/>
      <c r="K94" s="242"/>
      <c r="L94" s="242"/>
      <c r="M94" s="242"/>
      <c r="N94" s="242"/>
      <c r="O94" s="242"/>
      <c r="P94" s="242"/>
      <c r="Q94" s="242"/>
      <c r="R94" s="242"/>
      <c r="S94" s="242"/>
      <c r="T94" s="242"/>
      <c r="U94" s="242"/>
      <c r="V94" s="242"/>
      <c r="W94" s="242"/>
    </row>
    <row r="95">
      <c r="A95" s="13"/>
      <c r="B95" s="252"/>
      <c r="C95" s="252"/>
      <c r="D95" s="252"/>
      <c r="E95" s="252"/>
      <c r="F95" s="252"/>
      <c r="G95" s="252"/>
      <c r="H95" s="551"/>
      <c r="I95" s="242"/>
      <c r="J95" s="242"/>
      <c r="K95" s="242"/>
      <c r="L95" s="242"/>
      <c r="M95" s="242"/>
      <c r="N95" s="242"/>
      <c r="O95" s="242"/>
      <c r="P95" s="242"/>
      <c r="Q95" s="242"/>
      <c r="R95" s="242"/>
      <c r="S95" s="242"/>
      <c r="T95" s="242"/>
      <c r="U95" s="242"/>
      <c r="V95" s="242"/>
      <c r="W95" s="242"/>
    </row>
    <row r="96">
      <c r="A96" s="13"/>
      <c r="B96" s="252"/>
      <c r="C96" s="252"/>
      <c r="D96" s="252"/>
      <c r="E96" s="252"/>
      <c r="F96" s="252"/>
      <c r="G96" s="252"/>
      <c r="H96" s="551"/>
      <c r="I96" s="242"/>
      <c r="J96" s="242"/>
      <c r="K96" s="242"/>
      <c r="L96" s="242"/>
      <c r="M96" s="242"/>
      <c r="N96" s="242"/>
      <c r="O96" s="242"/>
      <c r="P96" s="242"/>
      <c r="Q96" s="242"/>
      <c r="R96" s="242"/>
      <c r="S96" s="242"/>
      <c r="T96" s="242"/>
      <c r="U96" s="242"/>
      <c r="V96" s="242"/>
      <c r="W96" s="242"/>
    </row>
    <row r="97">
      <c r="A97" s="13"/>
      <c r="B97" s="252"/>
      <c r="C97" s="252"/>
      <c r="D97" s="252"/>
      <c r="E97" s="252"/>
      <c r="F97" s="252"/>
      <c r="G97" s="252"/>
      <c r="H97" s="551"/>
      <c r="I97" s="242"/>
      <c r="J97" s="242"/>
      <c r="K97" s="242"/>
      <c r="L97" s="242"/>
      <c r="M97" s="242"/>
      <c r="N97" s="242"/>
      <c r="O97" s="242"/>
      <c r="P97" s="242"/>
      <c r="Q97" s="242"/>
      <c r="R97" s="242"/>
      <c r="S97" s="242"/>
      <c r="T97" s="242"/>
      <c r="U97" s="242"/>
      <c r="V97" s="242"/>
      <c r="W97" s="242"/>
    </row>
    <row r="98">
      <c r="A98" s="13"/>
      <c r="B98" s="252"/>
      <c r="C98" s="252"/>
      <c r="D98" s="252"/>
      <c r="E98" s="252"/>
      <c r="F98" s="252"/>
      <c r="G98" s="252"/>
      <c r="H98" s="551"/>
      <c r="I98" s="242"/>
      <c r="J98" s="242"/>
      <c r="K98" s="242"/>
      <c r="L98" s="242"/>
      <c r="M98" s="242"/>
      <c r="N98" s="242"/>
      <c r="O98" s="242"/>
      <c r="P98" s="242"/>
      <c r="Q98" s="242"/>
      <c r="R98" s="242"/>
      <c r="S98" s="242"/>
      <c r="T98" s="242"/>
      <c r="U98" s="242"/>
      <c r="V98" s="242"/>
      <c r="W98" s="242"/>
    </row>
    <row r="99">
      <c r="A99" s="13"/>
      <c r="B99" s="252"/>
      <c r="C99" s="252"/>
      <c r="D99" s="252"/>
      <c r="E99" s="252"/>
      <c r="F99" s="252"/>
      <c r="G99" s="252"/>
      <c r="H99" s="551"/>
      <c r="I99" s="242"/>
      <c r="J99" s="242"/>
      <c r="K99" s="242"/>
      <c r="L99" s="242"/>
      <c r="M99" s="242"/>
      <c r="N99" s="242"/>
      <c r="O99" s="242"/>
      <c r="P99" s="242"/>
      <c r="Q99" s="242"/>
      <c r="R99" s="242"/>
      <c r="S99" s="242"/>
      <c r="T99" s="242"/>
      <c r="U99" s="242"/>
      <c r="V99" s="242"/>
      <c r="W99" s="242"/>
    </row>
    <row r="100">
      <c r="A100" s="13"/>
      <c r="B100" s="252"/>
      <c r="C100" s="252"/>
      <c r="D100" s="252"/>
      <c r="E100" s="252"/>
      <c r="F100" s="252"/>
      <c r="G100" s="252"/>
      <c r="H100" s="551"/>
      <c r="I100" s="242"/>
      <c r="J100" s="242"/>
      <c r="K100" s="242"/>
      <c r="L100" s="242"/>
      <c r="M100" s="242"/>
      <c r="N100" s="242"/>
      <c r="O100" s="242"/>
      <c r="P100" s="242"/>
      <c r="Q100" s="242"/>
      <c r="R100" s="242"/>
      <c r="S100" s="242"/>
      <c r="T100" s="242"/>
      <c r="U100" s="242"/>
      <c r="V100" s="242"/>
      <c r="W100" s="242"/>
    </row>
    <row r="101">
      <c r="A101" s="13"/>
      <c r="B101" s="252"/>
      <c r="C101" s="252"/>
      <c r="D101" s="252"/>
      <c r="E101" s="252"/>
      <c r="F101" s="252"/>
      <c r="G101" s="252"/>
      <c r="H101" s="551"/>
      <c r="I101" s="242"/>
      <c r="J101" s="242"/>
      <c r="K101" s="242"/>
      <c r="L101" s="242"/>
      <c r="M101" s="242"/>
      <c r="N101" s="242"/>
      <c r="O101" s="242"/>
      <c r="P101" s="242"/>
      <c r="Q101" s="242"/>
      <c r="R101" s="242"/>
      <c r="S101" s="242"/>
      <c r="T101" s="242"/>
      <c r="U101" s="242"/>
      <c r="V101" s="242"/>
      <c r="W101" s="242"/>
    </row>
    <row r="102">
      <c r="A102" s="13"/>
      <c r="B102" s="252"/>
      <c r="C102" s="252"/>
      <c r="D102" s="252"/>
      <c r="E102" s="252"/>
      <c r="F102" s="252"/>
      <c r="G102" s="252"/>
      <c r="H102" s="551"/>
      <c r="I102" s="242"/>
      <c r="J102" s="242"/>
      <c r="K102" s="242"/>
      <c r="L102" s="242"/>
      <c r="M102" s="242"/>
      <c r="N102" s="242"/>
      <c r="O102" s="242"/>
      <c r="P102" s="242"/>
      <c r="Q102" s="242"/>
      <c r="R102" s="242"/>
      <c r="S102" s="242"/>
      <c r="T102" s="242"/>
      <c r="U102" s="242"/>
      <c r="V102" s="242"/>
      <c r="W102" s="242"/>
    </row>
    <row r="103">
      <c r="A103" s="13"/>
      <c r="B103" s="252"/>
      <c r="C103" s="252"/>
      <c r="D103" s="252"/>
      <c r="E103" s="252"/>
      <c r="F103" s="252"/>
      <c r="G103" s="252"/>
      <c r="H103" s="551"/>
      <c r="I103" s="242"/>
      <c r="J103" s="242"/>
      <c r="K103" s="242"/>
      <c r="L103" s="242"/>
      <c r="M103" s="242"/>
      <c r="N103" s="242"/>
      <c r="O103" s="242"/>
      <c r="P103" s="242"/>
      <c r="Q103" s="242"/>
      <c r="R103" s="242"/>
      <c r="S103" s="242"/>
      <c r="T103" s="242"/>
      <c r="U103" s="242"/>
      <c r="V103" s="242"/>
      <c r="W103" s="242"/>
    </row>
    <row r="104">
      <c r="A104" s="13"/>
      <c r="B104" s="252"/>
      <c r="C104" s="252"/>
      <c r="D104" s="252"/>
      <c r="E104" s="252"/>
      <c r="F104" s="252"/>
      <c r="G104" s="252"/>
      <c r="H104" s="551"/>
      <c r="I104" s="242"/>
      <c r="J104" s="242"/>
      <c r="K104" s="242"/>
      <c r="L104" s="242"/>
      <c r="M104" s="242"/>
      <c r="N104" s="242"/>
      <c r="O104" s="242"/>
      <c r="P104" s="242"/>
      <c r="Q104" s="242"/>
      <c r="R104" s="242"/>
      <c r="S104" s="242"/>
      <c r="T104" s="242"/>
      <c r="U104" s="242"/>
      <c r="V104" s="242"/>
      <c r="W104" s="242"/>
    </row>
    <row r="105">
      <c r="A105" s="13"/>
      <c r="B105" s="252"/>
      <c r="C105" s="252"/>
      <c r="D105" s="252"/>
      <c r="E105" s="252"/>
      <c r="F105" s="252"/>
      <c r="G105" s="252"/>
      <c r="H105" s="551"/>
      <c r="I105" s="242"/>
      <c r="J105" s="242"/>
      <c r="K105" s="242"/>
      <c r="L105" s="242"/>
      <c r="M105" s="242"/>
      <c r="N105" s="242"/>
      <c r="O105" s="242"/>
      <c r="P105" s="242"/>
      <c r="Q105" s="242"/>
      <c r="R105" s="242"/>
      <c r="S105" s="242"/>
      <c r="T105" s="242"/>
      <c r="U105" s="242"/>
      <c r="V105" s="242"/>
      <c r="W105" s="242"/>
    </row>
    <row r="106">
      <c r="A106" s="13"/>
      <c r="B106" s="252"/>
      <c r="C106" s="252"/>
      <c r="D106" s="252"/>
      <c r="E106" s="252"/>
      <c r="F106" s="252"/>
      <c r="G106" s="252"/>
      <c r="H106" s="551"/>
      <c r="I106" s="242"/>
      <c r="J106" s="242"/>
      <c r="K106" s="242"/>
      <c r="L106" s="242"/>
      <c r="M106" s="242"/>
      <c r="N106" s="242"/>
      <c r="O106" s="242"/>
      <c r="P106" s="242"/>
      <c r="Q106" s="242"/>
      <c r="R106" s="242"/>
      <c r="S106" s="242"/>
      <c r="T106" s="242"/>
      <c r="U106" s="242"/>
      <c r="V106" s="242"/>
      <c r="W106" s="242"/>
    </row>
    <row r="107">
      <c r="A107" s="13"/>
      <c r="B107" s="252"/>
      <c r="C107" s="252"/>
      <c r="D107" s="252"/>
      <c r="E107" s="252"/>
      <c r="F107" s="252"/>
      <c r="G107" s="252"/>
      <c r="H107" s="551"/>
      <c r="I107" s="242"/>
      <c r="J107" s="242"/>
      <c r="K107" s="242"/>
      <c r="L107" s="242"/>
      <c r="M107" s="242"/>
      <c r="N107" s="242"/>
      <c r="O107" s="242"/>
      <c r="P107" s="242"/>
      <c r="Q107" s="242"/>
      <c r="R107" s="242"/>
      <c r="S107" s="242"/>
      <c r="T107" s="242"/>
      <c r="U107" s="242"/>
      <c r="V107" s="242"/>
      <c r="W107" s="242"/>
    </row>
    <row r="108">
      <c r="A108" s="13"/>
      <c r="B108" s="252"/>
      <c r="C108" s="252"/>
      <c r="D108" s="252"/>
      <c r="E108" s="252"/>
      <c r="F108" s="252"/>
      <c r="G108" s="252"/>
      <c r="H108" s="551"/>
      <c r="I108" s="242"/>
      <c r="J108" s="242"/>
      <c r="K108" s="242"/>
      <c r="L108" s="242"/>
      <c r="M108" s="242"/>
      <c r="N108" s="242"/>
      <c r="O108" s="242"/>
      <c r="P108" s="242"/>
      <c r="Q108" s="242"/>
      <c r="R108" s="242"/>
      <c r="S108" s="242"/>
      <c r="T108" s="242"/>
      <c r="U108" s="242"/>
      <c r="V108" s="242"/>
      <c r="W108" s="242"/>
    </row>
    <row r="109">
      <c r="A109" s="13"/>
      <c r="B109" s="252"/>
      <c r="C109" s="252"/>
      <c r="D109" s="252"/>
      <c r="E109" s="252"/>
      <c r="F109" s="252"/>
      <c r="G109" s="252"/>
      <c r="H109" s="551"/>
      <c r="I109" s="242"/>
      <c r="J109" s="242"/>
      <c r="K109" s="242"/>
      <c r="L109" s="242"/>
      <c r="M109" s="242"/>
      <c r="N109" s="242"/>
      <c r="O109" s="242"/>
      <c r="P109" s="242"/>
      <c r="Q109" s="242"/>
      <c r="R109" s="242"/>
      <c r="S109" s="242"/>
      <c r="T109" s="242"/>
      <c r="U109" s="242"/>
      <c r="V109" s="242"/>
      <c r="W109" s="242"/>
    </row>
    <row r="110">
      <c r="A110" s="13"/>
      <c r="B110" s="252"/>
      <c r="C110" s="252"/>
      <c r="D110" s="252"/>
      <c r="E110" s="252"/>
      <c r="F110" s="252"/>
      <c r="G110" s="252"/>
      <c r="H110" s="551"/>
      <c r="I110" s="242"/>
      <c r="J110" s="242"/>
      <c r="K110" s="242"/>
      <c r="L110" s="242"/>
      <c r="M110" s="242"/>
      <c r="N110" s="242"/>
      <c r="O110" s="242"/>
      <c r="P110" s="242"/>
      <c r="Q110" s="242"/>
      <c r="R110" s="242"/>
      <c r="S110" s="242"/>
      <c r="T110" s="242"/>
      <c r="U110" s="242"/>
      <c r="V110" s="242"/>
      <c r="W110" s="242"/>
    </row>
    <row r="111">
      <c r="A111" s="13"/>
      <c r="B111" s="252"/>
      <c r="C111" s="252"/>
      <c r="D111" s="252"/>
      <c r="E111" s="252"/>
      <c r="F111" s="252"/>
      <c r="G111" s="252"/>
      <c r="H111" s="551"/>
      <c r="I111" s="242"/>
      <c r="J111" s="242"/>
      <c r="K111" s="242"/>
      <c r="L111" s="242"/>
      <c r="M111" s="242"/>
      <c r="N111" s="242"/>
      <c r="O111" s="242"/>
      <c r="P111" s="242"/>
      <c r="Q111" s="242"/>
      <c r="R111" s="242"/>
      <c r="S111" s="242"/>
      <c r="T111" s="242"/>
      <c r="U111" s="242"/>
      <c r="V111" s="242"/>
      <c r="W111" s="242"/>
    </row>
    <row r="112">
      <c r="A112" s="13"/>
      <c r="B112" s="252"/>
      <c r="C112" s="252"/>
      <c r="D112" s="252"/>
      <c r="E112" s="252"/>
      <c r="F112" s="252"/>
      <c r="G112" s="252"/>
      <c r="H112" s="551"/>
      <c r="I112" s="242"/>
      <c r="J112" s="242"/>
      <c r="K112" s="242"/>
      <c r="L112" s="242"/>
      <c r="M112" s="242"/>
      <c r="N112" s="242"/>
      <c r="O112" s="242"/>
      <c r="P112" s="242"/>
      <c r="Q112" s="242"/>
      <c r="R112" s="242"/>
      <c r="S112" s="242"/>
      <c r="T112" s="242"/>
      <c r="U112" s="242"/>
      <c r="V112" s="242"/>
      <c r="W112" s="242"/>
    </row>
    <row r="113">
      <c r="A113" s="13"/>
      <c r="B113" s="252"/>
      <c r="C113" s="252"/>
      <c r="D113" s="252"/>
      <c r="E113" s="252"/>
      <c r="F113" s="252"/>
      <c r="G113" s="252"/>
      <c r="H113" s="551"/>
      <c r="I113" s="242"/>
      <c r="J113" s="242"/>
      <c r="K113" s="242"/>
      <c r="L113" s="242"/>
      <c r="M113" s="242"/>
      <c r="N113" s="242"/>
      <c r="O113" s="242"/>
      <c r="P113" s="242"/>
      <c r="Q113" s="242"/>
      <c r="R113" s="242"/>
      <c r="S113" s="242"/>
      <c r="T113" s="242"/>
      <c r="U113" s="242"/>
      <c r="V113" s="242"/>
      <c r="W113" s="242"/>
    </row>
    <row r="114">
      <c r="A114" s="13"/>
      <c r="B114" s="252"/>
      <c r="C114" s="252"/>
      <c r="D114" s="252"/>
      <c r="E114" s="252"/>
      <c r="F114" s="252"/>
      <c r="G114" s="252"/>
      <c r="H114" s="551"/>
      <c r="I114" s="242"/>
      <c r="J114" s="242"/>
      <c r="K114" s="242"/>
      <c r="L114" s="242"/>
      <c r="M114" s="242"/>
      <c r="N114" s="242"/>
      <c r="O114" s="242"/>
      <c r="P114" s="242"/>
      <c r="Q114" s="242"/>
      <c r="R114" s="242"/>
      <c r="S114" s="242"/>
      <c r="T114" s="242"/>
      <c r="U114" s="242"/>
      <c r="V114" s="242"/>
      <c r="W114" s="242"/>
    </row>
    <row r="115">
      <c r="A115" s="13"/>
      <c r="B115" s="252"/>
      <c r="C115" s="252"/>
      <c r="D115" s="252"/>
      <c r="E115" s="252"/>
      <c r="F115" s="252"/>
      <c r="G115" s="252"/>
      <c r="H115" s="551"/>
      <c r="I115" s="242"/>
      <c r="J115" s="242"/>
      <c r="K115" s="242"/>
      <c r="L115" s="242"/>
      <c r="M115" s="242"/>
      <c r="N115" s="242"/>
      <c r="O115" s="242"/>
      <c r="P115" s="242"/>
      <c r="Q115" s="242"/>
      <c r="R115" s="242"/>
      <c r="S115" s="242"/>
      <c r="T115" s="242"/>
      <c r="U115" s="242"/>
      <c r="V115" s="242"/>
      <c r="W115" s="242"/>
    </row>
    <row r="116">
      <c r="A116" s="13"/>
      <c r="B116" s="252"/>
      <c r="C116" s="252"/>
      <c r="D116" s="252"/>
      <c r="E116" s="252"/>
      <c r="F116" s="252"/>
      <c r="G116" s="252"/>
      <c r="H116" s="551"/>
      <c r="I116" s="242"/>
      <c r="J116" s="242"/>
      <c r="K116" s="242"/>
      <c r="L116" s="242"/>
      <c r="M116" s="242"/>
      <c r="N116" s="242"/>
      <c r="O116" s="242"/>
      <c r="P116" s="242"/>
      <c r="Q116" s="242"/>
      <c r="R116" s="242"/>
      <c r="S116" s="242"/>
      <c r="T116" s="242"/>
      <c r="U116" s="242"/>
      <c r="V116" s="242"/>
      <c r="W116" s="242"/>
    </row>
    <row r="117">
      <c r="A117" s="13"/>
      <c r="B117" s="252"/>
      <c r="C117" s="252"/>
      <c r="D117" s="252"/>
      <c r="E117" s="252"/>
      <c r="F117" s="252"/>
      <c r="G117" s="252"/>
      <c r="H117" s="551"/>
      <c r="I117" s="242"/>
      <c r="J117" s="242"/>
      <c r="K117" s="242"/>
      <c r="L117" s="242"/>
      <c r="M117" s="242"/>
      <c r="N117" s="242"/>
      <c r="O117" s="242"/>
      <c r="P117" s="242"/>
      <c r="Q117" s="242"/>
      <c r="R117" s="242"/>
      <c r="S117" s="242"/>
      <c r="T117" s="242"/>
      <c r="U117" s="242"/>
      <c r="V117" s="242"/>
      <c r="W117" s="242"/>
    </row>
    <row r="118">
      <c r="A118" s="13"/>
      <c r="B118" s="252"/>
      <c r="C118" s="252"/>
      <c r="D118" s="252"/>
      <c r="E118" s="252"/>
      <c r="F118" s="252"/>
      <c r="G118" s="252"/>
      <c r="H118" s="551"/>
      <c r="I118" s="242"/>
      <c r="J118" s="242"/>
      <c r="K118" s="242"/>
      <c r="L118" s="242"/>
      <c r="M118" s="242"/>
      <c r="N118" s="242"/>
      <c r="O118" s="242"/>
      <c r="P118" s="242"/>
      <c r="Q118" s="242"/>
      <c r="R118" s="242"/>
      <c r="S118" s="242"/>
      <c r="T118" s="242"/>
      <c r="U118" s="242"/>
      <c r="V118" s="242"/>
      <c r="W118" s="242"/>
    </row>
    <row r="119">
      <c r="A119" s="13"/>
      <c r="B119" s="252"/>
      <c r="C119" s="252"/>
      <c r="D119" s="252"/>
      <c r="E119" s="252"/>
      <c r="F119" s="252"/>
      <c r="G119" s="252"/>
      <c r="H119" s="551"/>
      <c r="I119" s="242"/>
      <c r="J119" s="242"/>
      <c r="K119" s="242"/>
      <c r="L119" s="242"/>
      <c r="M119" s="242"/>
      <c r="N119" s="242"/>
      <c r="O119" s="242"/>
      <c r="P119" s="242"/>
      <c r="Q119" s="242"/>
      <c r="R119" s="242"/>
      <c r="S119" s="242"/>
      <c r="T119" s="242"/>
      <c r="U119" s="242"/>
      <c r="V119" s="242"/>
      <c r="W119" s="242"/>
    </row>
    <row r="120">
      <c r="A120" s="13"/>
      <c r="B120" s="252"/>
      <c r="C120" s="252"/>
      <c r="D120" s="252"/>
      <c r="E120" s="252"/>
      <c r="F120" s="252"/>
      <c r="G120" s="252"/>
      <c r="H120" s="551"/>
      <c r="I120" s="242"/>
      <c r="J120" s="242"/>
      <c r="K120" s="242"/>
      <c r="L120" s="242"/>
      <c r="M120" s="242"/>
      <c r="N120" s="242"/>
      <c r="O120" s="242"/>
      <c r="P120" s="242"/>
      <c r="Q120" s="242"/>
      <c r="R120" s="242"/>
      <c r="S120" s="242"/>
      <c r="T120" s="242"/>
      <c r="U120" s="242"/>
      <c r="V120" s="242"/>
      <c r="W120" s="242"/>
    </row>
    <row r="121">
      <c r="A121" s="13"/>
      <c r="B121" s="252"/>
      <c r="C121" s="252"/>
      <c r="D121" s="252"/>
      <c r="E121" s="252"/>
      <c r="F121" s="252"/>
      <c r="G121" s="252"/>
      <c r="H121" s="551"/>
      <c r="I121" s="242"/>
      <c r="J121" s="242"/>
      <c r="K121" s="242"/>
      <c r="L121" s="242"/>
      <c r="M121" s="242"/>
      <c r="N121" s="242"/>
      <c r="O121" s="242"/>
      <c r="P121" s="242"/>
      <c r="Q121" s="242"/>
      <c r="R121" s="242"/>
      <c r="S121" s="242"/>
      <c r="T121" s="242"/>
      <c r="U121" s="242"/>
      <c r="V121" s="242"/>
      <c r="W121" s="242"/>
    </row>
    <row r="122">
      <c r="A122" s="13"/>
      <c r="B122" s="252"/>
      <c r="C122" s="252"/>
      <c r="D122" s="252"/>
      <c r="E122" s="252"/>
      <c r="F122" s="252"/>
      <c r="G122" s="252"/>
      <c r="H122" s="551"/>
      <c r="I122" s="242"/>
      <c r="J122" s="242"/>
      <c r="K122" s="242"/>
      <c r="L122" s="242"/>
      <c r="M122" s="242"/>
      <c r="N122" s="242"/>
      <c r="O122" s="242"/>
      <c r="P122" s="242"/>
      <c r="Q122" s="242"/>
      <c r="R122" s="242"/>
      <c r="S122" s="242"/>
      <c r="T122" s="242"/>
      <c r="U122" s="242"/>
      <c r="V122" s="242"/>
      <c r="W122" s="242"/>
    </row>
    <row r="123">
      <c r="A123" s="13"/>
      <c r="B123" s="252"/>
      <c r="C123" s="252"/>
      <c r="D123" s="252"/>
      <c r="E123" s="252"/>
      <c r="F123" s="252"/>
      <c r="G123" s="252"/>
      <c r="H123" s="551"/>
      <c r="I123" s="242"/>
      <c r="J123" s="242"/>
      <c r="K123" s="242"/>
      <c r="L123" s="242"/>
      <c r="M123" s="242"/>
      <c r="N123" s="242"/>
      <c r="O123" s="242"/>
      <c r="P123" s="242"/>
      <c r="Q123" s="242"/>
      <c r="R123" s="242"/>
      <c r="S123" s="242"/>
      <c r="T123" s="242"/>
      <c r="U123" s="242"/>
      <c r="V123" s="242"/>
      <c r="W123" s="242"/>
    </row>
    <row r="124">
      <c r="A124" s="13"/>
      <c r="B124" s="252"/>
      <c r="C124" s="252"/>
      <c r="D124" s="252"/>
      <c r="E124" s="252"/>
      <c r="F124" s="252"/>
      <c r="G124" s="252"/>
      <c r="H124" s="551"/>
      <c r="I124" s="242"/>
      <c r="J124" s="242"/>
      <c r="K124" s="242"/>
      <c r="L124" s="242"/>
      <c r="M124" s="242"/>
      <c r="N124" s="242"/>
      <c r="O124" s="242"/>
      <c r="P124" s="242"/>
      <c r="Q124" s="242"/>
      <c r="R124" s="242"/>
      <c r="S124" s="242"/>
      <c r="T124" s="242"/>
      <c r="U124" s="242"/>
      <c r="V124" s="242"/>
      <c r="W124" s="242"/>
    </row>
    <row r="125">
      <c r="A125" s="13"/>
      <c r="B125" s="252"/>
      <c r="C125" s="252"/>
      <c r="D125" s="252"/>
      <c r="E125" s="252"/>
      <c r="F125" s="252"/>
      <c r="G125" s="252"/>
      <c r="H125" s="551"/>
      <c r="I125" s="242"/>
      <c r="J125" s="242"/>
      <c r="K125" s="242"/>
      <c r="L125" s="242"/>
      <c r="M125" s="242"/>
      <c r="N125" s="242"/>
      <c r="O125" s="242"/>
      <c r="P125" s="242"/>
      <c r="Q125" s="242"/>
      <c r="R125" s="242"/>
      <c r="S125" s="242"/>
      <c r="T125" s="242"/>
      <c r="U125" s="242"/>
      <c r="V125" s="242"/>
      <c r="W125" s="242"/>
    </row>
    <row r="126">
      <c r="A126" s="13"/>
      <c r="B126" s="252"/>
      <c r="C126" s="252"/>
      <c r="D126" s="252"/>
      <c r="E126" s="252"/>
      <c r="F126" s="252"/>
      <c r="G126" s="252"/>
      <c r="H126" s="551"/>
      <c r="I126" s="242"/>
      <c r="J126" s="242"/>
      <c r="K126" s="242"/>
      <c r="L126" s="242"/>
      <c r="M126" s="242"/>
      <c r="N126" s="242"/>
      <c r="O126" s="242"/>
      <c r="P126" s="242"/>
      <c r="Q126" s="242"/>
      <c r="R126" s="242"/>
      <c r="S126" s="242"/>
      <c r="T126" s="242"/>
      <c r="U126" s="242"/>
      <c r="V126" s="242"/>
      <c r="W126" s="242"/>
    </row>
    <row r="127">
      <c r="A127" s="13"/>
      <c r="B127" s="252"/>
      <c r="C127" s="252"/>
      <c r="D127" s="252"/>
      <c r="E127" s="252"/>
      <c r="F127" s="252"/>
      <c r="G127" s="252"/>
      <c r="H127" s="551"/>
      <c r="I127" s="242"/>
      <c r="J127" s="242"/>
      <c r="K127" s="242"/>
      <c r="L127" s="242"/>
      <c r="M127" s="242"/>
      <c r="N127" s="242"/>
      <c r="O127" s="242"/>
      <c r="P127" s="242"/>
      <c r="Q127" s="242"/>
      <c r="R127" s="242"/>
      <c r="S127" s="242"/>
      <c r="T127" s="242"/>
      <c r="U127" s="242"/>
      <c r="V127" s="242"/>
      <c r="W127" s="242"/>
    </row>
    <row r="128">
      <c r="A128" s="13"/>
      <c r="B128" s="252"/>
      <c r="C128" s="252"/>
      <c r="D128" s="252"/>
      <c r="E128" s="252"/>
      <c r="F128" s="252"/>
      <c r="G128" s="252"/>
      <c r="H128" s="551"/>
      <c r="I128" s="242"/>
      <c r="J128" s="242"/>
      <c r="K128" s="242"/>
      <c r="L128" s="242"/>
      <c r="M128" s="242"/>
      <c r="N128" s="242"/>
      <c r="O128" s="242"/>
      <c r="P128" s="242"/>
      <c r="Q128" s="242"/>
      <c r="R128" s="242"/>
      <c r="S128" s="242"/>
      <c r="T128" s="242"/>
      <c r="U128" s="242"/>
      <c r="V128" s="242"/>
      <c r="W128" s="242"/>
    </row>
    <row r="129">
      <c r="A129" s="13"/>
      <c r="B129" s="252"/>
      <c r="C129" s="252"/>
      <c r="D129" s="252"/>
      <c r="E129" s="252"/>
      <c r="F129" s="252"/>
      <c r="G129" s="252"/>
      <c r="H129" s="551"/>
      <c r="I129" s="242"/>
      <c r="J129" s="242"/>
      <c r="K129" s="242"/>
      <c r="L129" s="242"/>
      <c r="M129" s="242"/>
      <c r="N129" s="242"/>
      <c r="O129" s="242"/>
      <c r="P129" s="242"/>
      <c r="Q129" s="242"/>
      <c r="R129" s="242"/>
      <c r="S129" s="242"/>
      <c r="T129" s="242"/>
      <c r="U129" s="242"/>
      <c r="V129" s="242"/>
      <c r="W129" s="242"/>
    </row>
    <row r="130">
      <c r="A130" s="13"/>
      <c r="B130" s="252"/>
      <c r="C130" s="252"/>
      <c r="D130" s="252"/>
      <c r="E130" s="252"/>
      <c r="F130" s="252"/>
      <c r="G130" s="252"/>
      <c r="H130" s="551"/>
      <c r="I130" s="242"/>
      <c r="J130" s="242"/>
      <c r="K130" s="242"/>
      <c r="L130" s="242"/>
      <c r="M130" s="242"/>
      <c r="N130" s="242"/>
      <c r="O130" s="242"/>
      <c r="P130" s="242"/>
      <c r="Q130" s="242"/>
      <c r="R130" s="242"/>
      <c r="S130" s="242"/>
      <c r="T130" s="242"/>
      <c r="U130" s="242"/>
      <c r="V130" s="242"/>
      <c r="W130" s="242"/>
    </row>
    <row r="131">
      <c r="A131" s="13"/>
      <c r="B131" s="252"/>
      <c r="C131" s="252"/>
      <c r="D131" s="252"/>
      <c r="E131" s="252"/>
      <c r="F131" s="252"/>
      <c r="G131" s="252"/>
      <c r="H131" s="551"/>
      <c r="I131" s="242"/>
      <c r="J131" s="242"/>
      <c r="K131" s="242"/>
      <c r="L131" s="242"/>
      <c r="M131" s="242"/>
      <c r="N131" s="242"/>
      <c r="O131" s="242"/>
      <c r="P131" s="242"/>
      <c r="Q131" s="242"/>
      <c r="R131" s="242"/>
      <c r="S131" s="242"/>
      <c r="T131" s="242"/>
      <c r="U131" s="242"/>
      <c r="V131" s="242"/>
      <c r="W131" s="242"/>
    </row>
    <row r="132">
      <c r="A132" s="13"/>
      <c r="B132" s="252"/>
      <c r="C132" s="252"/>
      <c r="D132" s="252"/>
      <c r="E132" s="252"/>
      <c r="F132" s="252"/>
      <c r="G132" s="252"/>
      <c r="H132" s="551"/>
      <c r="I132" s="242"/>
      <c r="J132" s="242"/>
      <c r="K132" s="242"/>
      <c r="L132" s="242"/>
      <c r="M132" s="242"/>
      <c r="N132" s="242"/>
      <c r="O132" s="242"/>
      <c r="P132" s="242"/>
      <c r="Q132" s="242"/>
      <c r="R132" s="242"/>
      <c r="S132" s="242"/>
      <c r="T132" s="242"/>
      <c r="U132" s="242"/>
      <c r="V132" s="242"/>
      <c r="W132" s="242"/>
    </row>
    <row r="133">
      <c r="A133" s="13"/>
      <c r="B133" s="252"/>
      <c r="C133" s="252"/>
      <c r="D133" s="252"/>
      <c r="E133" s="252"/>
      <c r="F133" s="252"/>
      <c r="G133" s="252"/>
      <c r="H133" s="551"/>
      <c r="I133" s="242"/>
      <c r="J133" s="242"/>
      <c r="K133" s="242"/>
      <c r="L133" s="242"/>
      <c r="M133" s="242"/>
      <c r="N133" s="242"/>
      <c r="O133" s="242"/>
      <c r="P133" s="242"/>
      <c r="Q133" s="242"/>
      <c r="R133" s="242"/>
      <c r="S133" s="242"/>
      <c r="T133" s="242"/>
      <c r="U133" s="242"/>
      <c r="V133" s="242"/>
      <c r="W133" s="242"/>
    </row>
    <row r="134">
      <c r="A134" s="13"/>
      <c r="B134" s="252"/>
      <c r="C134" s="252"/>
      <c r="D134" s="252"/>
      <c r="E134" s="252"/>
      <c r="F134" s="252"/>
      <c r="G134" s="252"/>
      <c r="H134" s="551"/>
      <c r="I134" s="242"/>
      <c r="J134" s="242"/>
      <c r="K134" s="242"/>
      <c r="L134" s="242"/>
      <c r="M134" s="242"/>
      <c r="N134" s="242"/>
      <c r="O134" s="242"/>
      <c r="P134" s="242"/>
      <c r="Q134" s="242"/>
      <c r="R134" s="242"/>
      <c r="S134" s="242"/>
      <c r="T134" s="242"/>
      <c r="U134" s="242"/>
      <c r="V134" s="242"/>
      <c r="W134" s="242"/>
    </row>
    <row r="135">
      <c r="A135" s="13"/>
      <c r="B135" s="252"/>
      <c r="C135" s="252"/>
      <c r="D135" s="252"/>
      <c r="E135" s="252"/>
      <c r="F135" s="252"/>
      <c r="G135" s="252"/>
      <c r="H135" s="551"/>
      <c r="I135" s="242"/>
      <c r="J135" s="242"/>
      <c r="K135" s="242"/>
      <c r="L135" s="242"/>
      <c r="M135" s="242"/>
      <c r="N135" s="242"/>
      <c r="O135" s="242"/>
      <c r="P135" s="242"/>
      <c r="Q135" s="242"/>
      <c r="R135" s="242"/>
      <c r="S135" s="242"/>
      <c r="T135" s="242"/>
      <c r="U135" s="242"/>
      <c r="V135" s="242"/>
      <c r="W135" s="242"/>
    </row>
    <row r="136">
      <c r="A136" s="13"/>
      <c r="B136" s="252"/>
      <c r="C136" s="252"/>
      <c r="D136" s="252"/>
      <c r="E136" s="252"/>
      <c r="F136" s="252"/>
      <c r="G136" s="252"/>
      <c r="H136" s="551"/>
      <c r="I136" s="242"/>
      <c r="J136" s="242"/>
      <c r="K136" s="242"/>
      <c r="L136" s="242"/>
      <c r="M136" s="242"/>
      <c r="N136" s="242"/>
      <c r="O136" s="242"/>
      <c r="P136" s="242"/>
      <c r="Q136" s="242"/>
      <c r="R136" s="242"/>
      <c r="S136" s="242"/>
      <c r="T136" s="242"/>
      <c r="U136" s="242"/>
      <c r="V136" s="242"/>
      <c r="W136" s="242"/>
    </row>
    <row r="137">
      <c r="A137" s="13"/>
      <c r="B137" s="252"/>
      <c r="C137" s="252"/>
      <c r="D137" s="252"/>
      <c r="E137" s="252"/>
      <c r="F137" s="252"/>
      <c r="G137" s="252"/>
      <c r="H137" s="551"/>
      <c r="I137" s="242"/>
      <c r="J137" s="242"/>
      <c r="K137" s="242"/>
      <c r="L137" s="242"/>
      <c r="M137" s="242"/>
      <c r="N137" s="242"/>
      <c r="O137" s="242"/>
      <c r="P137" s="242"/>
      <c r="Q137" s="242"/>
      <c r="R137" s="242"/>
      <c r="S137" s="242"/>
      <c r="T137" s="242"/>
      <c r="U137" s="242"/>
      <c r="V137" s="242"/>
      <c r="W137" s="242"/>
    </row>
    <row r="138">
      <c r="A138" s="13"/>
      <c r="B138" s="252"/>
      <c r="C138" s="252"/>
      <c r="D138" s="252"/>
      <c r="E138" s="252"/>
      <c r="F138" s="252"/>
      <c r="G138" s="252"/>
      <c r="H138" s="551"/>
      <c r="I138" s="242"/>
      <c r="J138" s="242"/>
      <c r="K138" s="242"/>
      <c r="L138" s="242"/>
      <c r="M138" s="242"/>
      <c r="N138" s="242"/>
      <c r="O138" s="242"/>
      <c r="P138" s="242"/>
      <c r="Q138" s="242"/>
      <c r="R138" s="242"/>
      <c r="S138" s="242"/>
      <c r="T138" s="242"/>
      <c r="U138" s="242"/>
      <c r="V138" s="242"/>
      <c r="W138" s="242"/>
    </row>
    <row r="139">
      <c r="A139" s="13"/>
      <c r="B139" s="252"/>
      <c r="C139" s="252"/>
      <c r="D139" s="252"/>
      <c r="E139" s="252"/>
      <c r="F139" s="252"/>
      <c r="G139" s="252"/>
      <c r="H139" s="551"/>
      <c r="I139" s="242"/>
      <c r="J139" s="242"/>
      <c r="K139" s="242"/>
      <c r="L139" s="242"/>
      <c r="M139" s="242"/>
      <c r="N139" s="242"/>
      <c r="O139" s="242"/>
      <c r="P139" s="242"/>
      <c r="Q139" s="242"/>
      <c r="R139" s="242"/>
      <c r="S139" s="242"/>
      <c r="T139" s="242"/>
      <c r="U139" s="242"/>
      <c r="V139" s="242"/>
      <c r="W139" s="242"/>
    </row>
    <row r="140">
      <c r="A140" s="13"/>
      <c r="B140" s="252"/>
      <c r="C140" s="252"/>
      <c r="D140" s="252"/>
      <c r="E140" s="252"/>
      <c r="F140" s="252"/>
      <c r="G140" s="252"/>
      <c r="H140" s="551"/>
      <c r="I140" s="242"/>
      <c r="J140" s="242"/>
      <c r="K140" s="242"/>
      <c r="L140" s="242"/>
      <c r="M140" s="242"/>
      <c r="N140" s="242"/>
      <c r="O140" s="242"/>
      <c r="P140" s="242"/>
      <c r="Q140" s="242"/>
      <c r="R140" s="242"/>
      <c r="S140" s="242"/>
      <c r="T140" s="242"/>
      <c r="U140" s="242"/>
      <c r="V140" s="242"/>
      <c r="W140" s="242"/>
    </row>
    <row r="141">
      <c r="A141" s="13"/>
      <c r="B141" s="252"/>
      <c r="C141" s="252"/>
      <c r="D141" s="252"/>
      <c r="E141" s="252"/>
      <c r="F141" s="252"/>
      <c r="G141" s="252"/>
      <c r="H141" s="551"/>
      <c r="I141" s="242"/>
      <c r="J141" s="242"/>
      <c r="K141" s="242"/>
      <c r="L141" s="242"/>
      <c r="M141" s="242"/>
      <c r="N141" s="242"/>
      <c r="O141" s="242"/>
      <c r="P141" s="242"/>
      <c r="Q141" s="242"/>
      <c r="R141" s="242"/>
      <c r="S141" s="242"/>
      <c r="T141" s="242"/>
      <c r="U141" s="242"/>
      <c r="V141" s="242"/>
      <c r="W141" s="242"/>
    </row>
    <row r="142">
      <c r="A142" s="13"/>
      <c r="B142" s="252"/>
      <c r="C142" s="252"/>
      <c r="D142" s="252"/>
      <c r="E142" s="252"/>
      <c r="F142" s="252"/>
      <c r="G142" s="252"/>
      <c r="H142" s="551"/>
      <c r="I142" s="242"/>
      <c r="J142" s="242"/>
      <c r="K142" s="242"/>
      <c r="L142" s="242"/>
      <c r="M142" s="242"/>
      <c r="N142" s="242"/>
      <c r="O142" s="242"/>
      <c r="P142" s="242"/>
      <c r="Q142" s="242"/>
      <c r="R142" s="242"/>
      <c r="S142" s="242"/>
      <c r="T142" s="242"/>
      <c r="U142" s="242"/>
      <c r="V142" s="242"/>
      <c r="W142" s="242"/>
    </row>
    <row r="143">
      <c r="A143" s="13"/>
      <c r="B143" s="252"/>
      <c r="C143" s="252"/>
      <c r="D143" s="252"/>
      <c r="E143" s="252"/>
      <c r="F143" s="252"/>
      <c r="G143" s="252"/>
      <c r="H143" s="551"/>
      <c r="I143" s="242"/>
      <c r="J143" s="242"/>
      <c r="K143" s="242"/>
      <c r="L143" s="242"/>
      <c r="M143" s="242"/>
      <c r="N143" s="242"/>
      <c r="O143" s="242"/>
      <c r="P143" s="242"/>
      <c r="Q143" s="242"/>
      <c r="R143" s="242"/>
      <c r="S143" s="242"/>
      <c r="T143" s="242"/>
      <c r="U143" s="242"/>
      <c r="V143" s="242"/>
      <c r="W143" s="242"/>
    </row>
    <row r="144">
      <c r="A144" s="13"/>
      <c r="B144" s="252"/>
      <c r="C144" s="252"/>
      <c r="D144" s="252"/>
      <c r="E144" s="252"/>
      <c r="F144" s="252"/>
      <c r="G144" s="252"/>
      <c r="H144" s="551"/>
      <c r="I144" s="242"/>
      <c r="J144" s="242"/>
      <c r="K144" s="242"/>
      <c r="L144" s="242"/>
      <c r="M144" s="242"/>
      <c r="N144" s="242"/>
      <c r="O144" s="242"/>
      <c r="P144" s="242"/>
      <c r="Q144" s="242"/>
      <c r="R144" s="242"/>
      <c r="S144" s="242"/>
      <c r="T144" s="242"/>
      <c r="U144" s="242"/>
      <c r="V144" s="242"/>
      <c r="W144" s="242"/>
    </row>
    <row r="145">
      <c r="A145" s="13"/>
      <c r="B145" s="252"/>
      <c r="C145" s="252"/>
      <c r="D145" s="252"/>
      <c r="E145" s="252"/>
      <c r="F145" s="252"/>
      <c r="G145" s="252"/>
      <c r="H145" s="551"/>
      <c r="I145" s="242"/>
      <c r="J145" s="242"/>
      <c r="K145" s="242"/>
      <c r="L145" s="242"/>
      <c r="M145" s="242"/>
      <c r="N145" s="242"/>
      <c r="O145" s="242"/>
      <c r="P145" s="242"/>
      <c r="Q145" s="242"/>
      <c r="R145" s="242"/>
      <c r="S145" s="242"/>
      <c r="T145" s="242"/>
      <c r="U145" s="242"/>
      <c r="V145" s="242"/>
      <c r="W145" s="242"/>
    </row>
    <row r="146">
      <c r="A146" s="13"/>
      <c r="B146" s="252"/>
      <c r="C146" s="252"/>
      <c r="D146" s="252"/>
      <c r="E146" s="252"/>
      <c r="F146" s="252"/>
      <c r="G146" s="252"/>
      <c r="H146" s="551"/>
      <c r="I146" s="242"/>
      <c r="J146" s="242"/>
      <c r="K146" s="242"/>
      <c r="L146" s="242"/>
      <c r="M146" s="242"/>
      <c r="N146" s="242"/>
      <c r="O146" s="242"/>
      <c r="P146" s="242"/>
      <c r="Q146" s="242"/>
      <c r="R146" s="242"/>
      <c r="S146" s="242"/>
      <c r="T146" s="242"/>
      <c r="U146" s="242"/>
      <c r="V146" s="242"/>
      <c r="W146" s="242"/>
    </row>
    <row r="147">
      <c r="A147" s="13"/>
      <c r="B147" s="252"/>
      <c r="C147" s="252"/>
      <c r="D147" s="252"/>
      <c r="E147" s="252"/>
      <c r="F147" s="252"/>
      <c r="G147" s="252"/>
      <c r="H147" s="551"/>
      <c r="I147" s="242"/>
      <c r="J147" s="242"/>
      <c r="K147" s="242"/>
      <c r="L147" s="242"/>
      <c r="M147" s="242"/>
      <c r="N147" s="242"/>
      <c r="O147" s="242"/>
      <c r="P147" s="242"/>
      <c r="Q147" s="242"/>
      <c r="R147" s="242"/>
      <c r="S147" s="242"/>
      <c r="T147" s="242"/>
      <c r="U147" s="242"/>
      <c r="V147" s="242"/>
      <c r="W147" s="242"/>
    </row>
    <row r="148">
      <c r="A148" s="13"/>
      <c r="B148" s="252"/>
      <c r="C148" s="252"/>
      <c r="D148" s="252"/>
      <c r="E148" s="252"/>
      <c r="F148" s="252"/>
      <c r="G148" s="252"/>
      <c r="H148" s="551"/>
      <c r="I148" s="242"/>
      <c r="J148" s="242"/>
      <c r="K148" s="242"/>
      <c r="L148" s="242"/>
      <c r="M148" s="242"/>
      <c r="N148" s="242"/>
      <c r="O148" s="242"/>
      <c r="P148" s="242"/>
      <c r="Q148" s="242"/>
      <c r="R148" s="242"/>
      <c r="S148" s="242"/>
      <c r="T148" s="242"/>
      <c r="U148" s="242"/>
      <c r="V148" s="242"/>
      <c r="W148" s="242"/>
    </row>
    <row r="149">
      <c r="A149" s="13"/>
      <c r="B149" s="252"/>
      <c r="C149" s="252"/>
      <c r="D149" s="252"/>
      <c r="E149" s="252"/>
      <c r="F149" s="252"/>
      <c r="G149" s="252"/>
      <c r="H149" s="551"/>
      <c r="I149" s="242"/>
      <c r="J149" s="242"/>
      <c r="K149" s="242"/>
      <c r="L149" s="242"/>
      <c r="M149" s="242"/>
      <c r="N149" s="242"/>
      <c r="O149" s="242"/>
      <c r="P149" s="242"/>
      <c r="Q149" s="242"/>
      <c r="R149" s="242"/>
      <c r="S149" s="242"/>
      <c r="T149" s="242"/>
      <c r="U149" s="242"/>
      <c r="V149" s="242"/>
      <c r="W149" s="242"/>
    </row>
    <row r="150">
      <c r="A150" s="13"/>
      <c r="B150" s="252"/>
      <c r="C150" s="252"/>
      <c r="D150" s="252"/>
      <c r="E150" s="252"/>
      <c r="F150" s="252"/>
      <c r="G150" s="252"/>
      <c r="H150" s="551"/>
      <c r="I150" s="242"/>
      <c r="J150" s="242"/>
      <c r="K150" s="242"/>
      <c r="L150" s="242"/>
      <c r="M150" s="242"/>
      <c r="N150" s="242"/>
      <c r="O150" s="242"/>
      <c r="P150" s="242"/>
      <c r="Q150" s="242"/>
      <c r="R150" s="242"/>
      <c r="S150" s="242"/>
      <c r="T150" s="242"/>
      <c r="U150" s="242"/>
      <c r="V150" s="242"/>
      <c r="W150" s="242"/>
    </row>
    <row r="151">
      <c r="A151" s="13"/>
      <c r="B151" s="252"/>
      <c r="C151" s="252"/>
      <c r="D151" s="252"/>
      <c r="E151" s="252"/>
      <c r="F151" s="252"/>
      <c r="G151" s="252"/>
      <c r="H151" s="551"/>
      <c r="I151" s="242"/>
      <c r="J151" s="242"/>
      <c r="K151" s="242"/>
      <c r="L151" s="242"/>
      <c r="M151" s="242"/>
      <c r="N151" s="242"/>
      <c r="O151" s="242"/>
      <c r="P151" s="242"/>
      <c r="Q151" s="242"/>
      <c r="R151" s="242"/>
      <c r="S151" s="242"/>
      <c r="T151" s="242"/>
      <c r="U151" s="242"/>
      <c r="V151" s="242"/>
      <c r="W151" s="242"/>
    </row>
    <row r="152">
      <c r="A152" s="13"/>
      <c r="B152" s="252"/>
      <c r="C152" s="252"/>
      <c r="D152" s="252"/>
      <c r="E152" s="252"/>
      <c r="F152" s="252"/>
      <c r="G152" s="252"/>
      <c r="H152" s="551"/>
      <c r="I152" s="242"/>
      <c r="J152" s="242"/>
      <c r="K152" s="242"/>
      <c r="L152" s="242"/>
      <c r="M152" s="242"/>
      <c r="N152" s="242"/>
      <c r="O152" s="242"/>
      <c r="P152" s="242"/>
      <c r="Q152" s="242"/>
      <c r="R152" s="242"/>
      <c r="S152" s="242"/>
      <c r="T152" s="242"/>
      <c r="U152" s="242"/>
      <c r="V152" s="242"/>
      <c r="W152" s="242"/>
    </row>
    <row r="153">
      <c r="A153" s="13"/>
      <c r="B153" s="252"/>
      <c r="C153" s="252"/>
      <c r="D153" s="252"/>
      <c r="E153" s="252"/>
      <c r="F153" s="252"/>
      <c r="G153" s="252"/>
      <c r="H153" s="551"/>
      <c r="I153" s="242"/>
      <c r="J153" s="242"/>
      <c r="K153" s="242"/>
      <c r="L153" s="242"/>
      <c r="M153" s="242"/>
      <c r="N153" s="242"/>
      <c r="O153" s="242"/>
      <c r="P153" s="242"/>
      <c r="Q153" s="242"/>
      <c r="R153" s="242"/>
      <c r="S153" s="242"/>
      <c r="T153" s="242"/>
      <c r="U153" s="242"/>
      <c r="V153" s="242"/>
      <c r="W153" s="242"/>
    </row>
    <row r="154">
      <c r="A154" s="13"/>
      <c r="B154" s="252"/>
      <c r="C154" s="252"/>
      <c r="D154" s="252"/>
      <c r="E154" s="252"/>
      <c r="F154" s="252"/>
      <c r="G154" s="252"/>
      <c r="H154" s="551"/>
      <c r="I154" s="242"/>
      <c r="J154" s="242"/>
      <c r="K154" s="242"/>
      <c r="L154" s="242"/>
      <c r="M154" s="242"/>
      <c r="N154" s="242"/>
      <c r="O154" s="242"/>
      <c r="P154" s="242"/>
      <c r="Q154" s="242"/>
      <c r="R154" s="242"/>
      <c r="S154" s="242"/>
      <c r="T154" s="242"/>
      <c r="U154" s="242"/>
      <c r="V154" s="242"/>
      <c r="W154" s="242"/>
    </row>
    <row r="155">
      <c r="A155" s="13"/>
      <c r="B155" s="252"/>
      <c r="C155" s="252"/>
      <c r="D155" s="252"/>
      <c r="E155" s="252"/>
      <c r="F155" s="252"/>
      <c r="G155" s="252"/>
      <c r="H155" s="551"/>
      <c r="I155" s="242"/>
      <c r="J155" s="242"/>
      <c r="K155" s="242"/>
      <c r="L155" s="242"/>
      <c r="M155" s="242"/>
      <c r="N155" s="242"/>
      <c r="O155" s="242"/>
      <c r="P155" s="242"/>
      <c r="Q155" s="242"/>
      <c r="R155" s="242"/>
      <c r="S155" s="242"/>
      <c r="T155" s="242"/>
      <c r="U155" s="242"/>
      <c r="V155" s="242"/>
      <c r="W155" s="242"/>
    </row>
    <row r="156">
      <c r="A156" s="13"/>
      <c r="B156" s="252"/>
      <c r="C156" s="252"/>
      <c r="D156" s="252"/>
      <c r="E156" s="252"/>
      <c r="F156" s="252"/>
      <c r="G156" s="252"/>
      <c r="H156" s="551"/>
      <c r="I156" s="242"/>
      <c r="J156" s="242"/>
      <c r="K156" s="242"/>
      <c r="L156" s="242"/>
      <c r="M156" s="242"/>
      <c r="N156" s="242"/>
      <c r="O156" s="242"/>
      <c r="P156" s="242"/>
      <c r="Q156" s="242"/>
      <c r="R156" s="242"/>
      <c r="S156" s="242"/>
      <c r="T156" s="242"/>
      <c r="U156" s="242"/>
      <c r="V156" s="242"/>
      <c r="W156" s="242"/>
    </row>
    <row r="157">
      <c r="A157" s="13"/>
      <c r="B157" s="252"/>
      <c r="C157" s="252"/>
      <c r="D157" s="252"/>
      <c r="E157" s="252"/>
      <c r="F157" s="252"/>
      <c r="G157" s="252"/>
      <c r="H157" s="551"/>
      <c r="I157" s="242"/>
      <c r="J157" s="242"/>
      <c r="K157" s="242"/>
      <c r="L157" s="242"/>
      <c r="M157" s="242"/>
      <c r="N157" s="242"/>
      <c r="O157" s="242"/>
      <c r="P157" s="242"/>
      <c r="Q157" s="242"/>
      <c r="R157" s="242"/>
      <c r="S157" s="242"/>
      <c r="T157" s="242"/>
      <c r="U157" s="242"/>
      <c r="V157" s="242"/>
      <c r="W157" s="242"/>
    </row>
    <row r="158">
      <c r="A158" s="13"/>
      <c r="B158" s="252"/>
      <c r="C158" s="252"/>
      <c r="D158" s="252"/>
      <c r="E158" s="252"/>
      <c r="F158" s="252"/>
      <c r="G158" s="252"/>
      <c r="H158" s="551"/>
      <c r="I158" s="242"/>
      <c r="J158" s="242"/>
      <c r="K158" s="242"/>
      <c r="L158" s="242"/>
      <c r="M158" s="242"/>
      <c r="N158" s="242"/>
      <c r="O158" s="242"/>
      <c r="P158" s="242"/>
      <c r="Q158" s="242"/>
      <c r="R158" s="242"/>
      <c r="S158" s="242"/>
      <c r="T158" s="242"/>
      <c r="U158" s="242"/>
      <c r="V158" s="242"/>
      <c r="W158" s="242"/>
    </row>
    <row r="159">
      <c r="A159" s="13"/>
      <c r="B159" s="252"/>
      <c r="C159" s="252"/>
      <c r="D159" s="252"/>
      <c r="E159" s="252"/>
      <c r="F159" s="252"/>
      <c r="G159" s="252"/>
      <c r="H159" s="551"/>
      <c r="I159" s="242"/>
      <c r="J159" s="242"/>
      <c r="K159" s="242"/>
      <c r="L159" s="242"/>
      <c r="M159" s="242"/>
      <c r="N159" s="242"/>
      <c r="O159" s="242"/>
      <c r="P159" s="242"/>
      <c r="Q159" s="242"/>
      <c r="R159" s="242"/>
      <c r="S159" s="242"/>
      <c r="T159" s="242"/>
      <c r="U159" s="242"/>
      <c r="V159" s="242"/>
      <c r="W159" s="242"/>
    </row>
    <row r="160">
      <c r="A160" s="13"/>
      <c r="B160" s="252"/>
      <c r="C160" s="252"/>
      <c r="D160" s="252"/>
      <c r="E160" s="252"/>
      <c r="F160" s="252"/>
      <c r="G160" s="252"/>
      <c r="H160" s="551"/>
      <c r="I160" s="242"/>
      <c r="J160" s="242"/>
      <c r="K160" s="242"/>
      <c r="L160" s="242"/>
      <c r="M160" s="242"/>
      <c r="N160" s="242"/>
      <c r="O160" s="242"/>
      <c r="P160" s="242"/>
      <c r="Q160" s="242"/>
      <c r="R160" s="242"/>
      <c r="S160" s="242"/>
      <c r="T160" s="242"/>
      <c r="U160" s="242"/>
      <c r="V160" s="242"/>
      <c r="W160" s="242"/>
    </row>
    <row r="161">
      <c r="A161" s="13"/>
      <c r="B161" s="252"/>
      <c r="C161" s="252"/>
      <c r="D161" s="252"/>
      <c r="E161" s="252"/>
      <c r="F161" s="252"/>
      <c r="G161" s="252"/>
      <c r="H161" s="551"/>
      <c r="I161" s="242"/>
      <c r="J161" s="242"/>
      <c r="K161" s="242"/>
      <c r="L161" s="242"/>
      <c r="M161" s="242"/>
      <c r="N161" s="242"/>
      <c r="O161" s="242"/>
      <c r="P161" s="242"/>
      <c r="Q161" s="242"/>
      <c r="R161" s="242"/>
      <c r="S161" s="242"/>
      <c r="T161" s="242"/>
      <c r="U161" s="242"/>
      <c r="V161" s="242"/>
      <c r="W161" s="242"/>
    </row>
    <row r="162">
      <c r="A162" s="13"/>
      <c r="B162" s="252"/>
      <c r="C162" s="252"/>
      <c r="D162" s="252"/>
      <c r="E162" s="252"/>
      <c r="F162" s="252"/>
      <c r="G162" s="252"/>
      <c r="H162" s="551"/>
      <c r="I162" s="242"/>
      <c r="J162" s="242"/>
      <c r="K162" s="242"/>
      <c r="L162" s="242"/>
      <c r="M162" s="242"/>
      <c r="N162" s="242"/>
      <c r="O162" s="242"/>
      <c r="P162" s="242"/>
      <c r="Q162" s="242"/>
      <c r="R162" s="242"/>
      <c r="S162" s="242"/>
      <c r="T162" s="242"/>
      <c r="U162" s="242"/>
      <c r="V162" s="242"/>
      <c r="W162" s="242"/>
    </row>
    <row r="163">
      <c r="A163" s="13"/>
      <c r="B163" s="252"/>
      <c r="C163" s="252"/>
      <c r="D163" s="252"/>
      <c r="E163" s="252"/>
      <c r="F163" s="252"/>
      <c r="G163" s="252"/>
      <c r="H163" s="551"/>
      <c r="I163" s="242"/>
      <c r="J163" s="242"/>
      <c r="K163" s="242"/>
      <c r="L163" s="242"/>
      <c r="M163" s="242"/>
      <c r="N163" s="242"/>
      <c r="O163" s="242"/>
      <c r="P163" s="242"/>
      <c r="Q163" s="242"/>
      <c r="R163" s="242"/>
      <c r="S163" s="242"/>
      <c r="T163" s="242"/>
      <c r="U163" s="242"/>
      <c r="V163" s="242"/>
      <c r="W163" s="242"/>
    </row>
    <row r="164">
      <c r="A164" s="13"/>
      <c r="B164" s="252"/>
      <c r="C164" s="252"/>
      <c r="D164" s="252"/>
      <c r="E164" s="252"/>
      <c r="F164" s="252"/>
      <c r="G164" s="252"/>
      <c r="H164" s="551"/>
      <c r="I164" s="242"/>
      <c r="J164" s="242"/>
      <c r="K164" s="242"/>
      <c r="L164" s="242"/>
      <c r="M164" s="242"/>
      <c r="N164" s="242"/>
      <c r="O164" s="242"/>
      <c r="P164" s="242"/>
      <c r="Q164" s="242"/>
      <c r="R164" s="242"/>
      <c r="S164" s="242"/>
      <c r="T164" s="242"/>
      <c r="U164" s="242"/>
      <c r="V164" s="242"/>
      <c r="W164" s="242"/>
    </row>
    <row r="165">
      <c r="A165" s="13"/>
      <c r="B165" s="252"/>
      <c r="C165" s="252"/>
      <c r="D165" s="252"/>
      <c r="E165" s="252"/>
      <c r="F165" s="252"/>
      <c r="G165" s="252"/>
      <c r="H165" s="551"/>
      <c r="I165" s="242"/>
      <c r="J165" s="242"/>
      <c r="K165" s="242"/>
      <c r="L165" s="242"/>
      <c r="M165" s="242"/>
      <c r="N165" s="242"/>
      <c r="O165" s="242"/>
      <c r="P165" s="242"/>
      <c r="Q165" s="242"/>
      <c r="R165" s="242"/>
      <c r="S165" s="242"/>
      <c r="T165" s="242"/>
      <c r="U165" s="242"/>
      <c r="V165" s="242"/>
      <c r="W165" s="242"/>
    </row>
    <row r="166">
      <c r="A166" s="13"/>
      <c r="B166" s="252"/>
      <c r="C166" s="252"/>
      <c r="D166" s="252"/>
      <c r="E166" s="252"/>
      <c r="F166" s="252"/>
      <c r="G166" s="252"/>
      <c r="H166" s="551"/>
      <c r="I166" s="242"/>
      <c r="J166" s="242"/>
      <c r="K166" s="242"/>
      <c r="L166" s="242"/>
      <c r="M166" s="242"/>
      <c r="N166" s="242"/>
      <c r="O166" s="242"/>
      <c r="P166" s="242"/>
      <c r="Q166" s="242"/>
      <c r="R166" s="242"/>
      <c r="S166" s="242"/>
      <c r="T166" s="242"/>
      <c r="U166" s="242"/>
      <c r="V166" s="242"/>
      <c r="W166" s="242"/>
    </row>
    <row r="167">
      <c r="A167" s="13"/>
      <c r="B167" s="252"/>
      <c r="C167" s="252"/>
      <c r="D167" s="252"/>
      <c r="E167" s="252"/>
      <c r="F167" s="252"/>
      <c r="G167" s="252"/>
      <c r="H167" s="551"/>
      <c r="I167" s="242"/>
      <c r="J167" s="242"/>
      <c r="K167" s="242"/>
      <c r="L167" s="242"/>
      <c r="M167" s="242"/>
      <c r="N167" s="242"/>
      <c r="O167" s="242"/>
      <c r="P167" s="242"/>
      <c r="Q167" s="242"/>
      <c r="R167" s="242"/>
      <c r="S167" s="242"/>
      <c r="T167" s="242"/>
      <c r="U167" s="242"/>
      <c r="V167" s="242"/>
      <c r="W167" s="242"/>
    </row>
    <row r="168">
      <c r="A168" s="13"/>
      <c r="B168" s="252"/>
      <c r="C168" s="252"/>
      <c r="D168" s="252"/>
      <c r="E168" s="252"/>
      <c r="F168" s="252"/>
      <c r="G168" s="252"/>
      <c r="H168" s="551"/>
      <c r="I168" s="242"/>
      <c r="J168" s="242"/>
      <c r="K168" s="242"/>
      <c r="L168" s="242"/>
      <c r="M168" s="242"/>
      <c r="N168" s="242"/>
      <c r="O168" s="242"/>
      <c r="P168" s="242"/>
      <c r="Q168" s="242"/>
      <c r="R168" s="242"/>
      <c r="S168" s="242"/>
      <c r="T168" s="242"/>
      <c r="U168" s="242"/>
      <c r="V168" s="242"/>
      <c r="W168" s="242"/>
    </row>
    <row r="169">
      <c r="A169" s="13"/>
      <c r="B169" s="252"/>
      <c r="C169" s="252"/>
      <c r="D169" s="252"/>
      <c r="E169" s="252"/>
      <c r="F169" s="252"/>
      <c r="G169" s="252"/>
      <c r="H169" s="551"/>
      <c r="I169" s="242"/>
      <c r="J169" s="242"/>
      <c r="K169" s="242"/>
      <c r="L169" s="242"/>
      <c r="M169" s="242"/>
      <c r="N169" s="242"/>
      <c r="O169" s="242"/>
      <c r="P169" s="242"/>
      <c r="Q169" s="242"/>
      <c r="R169" s="242"/>
      <c r="S169" s="242"/>
      <c r="T169" s="242"/>
      <c r="U169" s="242"/>
      <c r="V169" s="242"/>
      <c r="W169" s="242"/>
    </row>
    <row r="170">
      <c r="A170" s="13"/>
      <c r="B170" s="252"/>
      <c r="C170" s="252"/>
      <c r="D170" s="252"/>
      <c r="E170" s="252"/>
      <c r="F170" s="252"/>
      <c r="G170" s="252"/>
      <c r="H170" s="551"/>
      <c r="I170" s="242"/>
      <c r="J170" s="242"/>
      <c r="K170" s="242"/>
      <c r="L170" s="242"/>
      <c r="M170" s="242"/>
      <c r="N170" s="242"/>
      <c r="O170" s="242"/>
      <c r="P170" s="242"/>
      <c r="Q170" s="242"/>
      <c r="R170" s="242"/>
      <c r="S170" s="242"/>
      <c r="T170" s="242"/>
      <c r="U170" s="242"/>
      <c r="V170" s="242"/>
      <c r="W170" s="242"/>
    </row>
    <row r="171">
      <c r="A171" s="13"/>
      <c r="B171" s="252"/>
      <c r="C171" s="252"/>
      <c r="D171" s="252"/>
      <c r="E171" s="252"/>
      <c r="F171" s="252"/>
      <c r="G171" s="252"/>
      <c r="H171" s="551"/>
      <c r="I171" s="242"/>
      <c r="J171" s="242"/>
      <c r="K171" s="242"/>
      <c r="L171" s="242"/>
      <c r="M171" s="242"/>
      <c r="N171" s="242"/>
      <c r="O171" s="242"/>
      <c r="P171" s="242"/>
      <c r="Q171" s="242"/>
      <c r="R171" s="242"/>
      <c r="S171" s="242"/>
      <c r="T171" s="242"/>
      <c r="U171" s="242"/>
      <c r="V171" s="242"/>
      <c r="W171" s="242"/>
    </row>
    <row r="172">
      <c r="A172" s="13"/>
      <c r="B172" s="252"/>
      <c r="C172" s="252"/>
      <c r="D172" s="252"/>
      <c r="E172" s="252"/>
      <c r="F172" s="252"/>
      <c r="G172" s="252"/>
      <c r="H172" s="551"/>
      <c r="I172" s="242"/>
      <c r="J172" s="242"/>
      <c r="K172" s="242"/>
      <c r="L172" s="242"/>
      <c r="M172" s="242"/>
      <c r="N172" s="242"/>
      <c r="O172" s="242"/>
      <c r="P172" s="242"/>
      <c r="Q172" s="242"/>
      <c r="R172" s="242"/>
      <c r="S172" s="242"/>
      <c r="T172" s="242"/>
      <c r="U172" s="242"/>
      <c r="V172" s="242"/>
      <c r="W172" s="242"/>
    </row>
    <row r="173">
      <c r="A173" s="13"/>
      <c r="B173" s="252"/>
      <c r="C173" s="252"/>
      <c r="D173" s="252"/>
      <c r="E173" s="252"/>
      <c r="F173" s="252"/>
      <c r="G173" s="252"/>
      <c r="H173" s="551"/>
      <c r="I173" s="242"/>
      <c r="J173" s="242"/>
      <c r="K173" s="242"/>
      <c r="L173" s="242"/>
      <c r="M173" s="242"/>
      <c r="N173" s="242"/>
      <c r="O173" s="242"/>
      <c r="P173" s="242"/>
      <c r="Q173" s="242"/>
      <c r="R173" s="242"/>
      <c r="S173" s="242"/>
      <c r="T173" s="242"/>
      <c r="U173" s="242"/>
      <c r="V173" s="242"/>
      <c r="W173" s="242"/>
    </row>
    <row r="174">
      <c r="A174" s="13"/>
      <c r="B174" s="252"/>
      <c r="C174" s="252"/>
      <c r="D174" s="252"/>
      <c r="E174" s="252"/>
      <c r="F174" s="252"/>
      <c r="G174" s="252"/>
      <c r="H174" s="551"/>
      <c r="I174" s="242"/>
      <c r="J174" s="242"/>
      <c r="K174" s="242"/>
      <c r="L174" s="242"/>
      <c r="M174" s="242"/>
      <c r="N174" s="242"/>
      <c r="O174" s="242"/>
      <c r="P174" s="242"/>
      <c r="Q174" s="242"/>
      <c r="R174" s="242"/>
      <c r="S174" s="242"/>
      <c r="T174" s="242"/>
      <c r="U174" s="242"/>
      <c r="V174" s="242"/>
      <c r="W174" s="242"/>
    </row>
    <row r="175">
      <c r="A175" s="13"/>
      <c r="B175" s="252"/>
      <c r="C175" s="252"/>
      <c r="D175" s="252"/>
      <c r="E175" s="252"/>
      <c r="F175" s="252"/>
      <c r="G175" s="252"/>
      <c r="H175" s="551"/>
      <c r="I175" s="242"/>
      <c r="J175" s="242"/>
      <c r="K175" s="242"/>
      <c r="L175" s="242"/>
      <c r="M175" s="242"/>
      <c r="N175" s="242"/>
      <c r="O175" s="242"/>
      <c r="P175" s="242"/>
      <c r="Q175" s="242"/>
      <c r="R175" s="242"/>
      <c r="S175" s="242"/>
      <c r="T175" s="242"/>
      <c r="U175" s="242"/>
      <c r="V175" s="242"/>
      <c r="W175" s="242"/>
    </row>
    <row r="176">
      <c r="A176" s="13"/>
      <c r="B176" s="252"/>
      <c r="C176" s="252"/>
      <c r="D176" s="252"/>
      <c r="E176" s="252"/>
      <c r="F176" s="252"/>
      <c r="G176" s="252"/>
      <c r="H176" s="551"/>
      <c r="I176" s="242"/>
      <c r="J176" s="242"/>
      <c r="K176" s="242"/>
      <c r="L176" s="242"/>
      <c r="M176" s="242"/>
      <c r="N176" s="242"/>
      <c r="O176" s="242"/>
      <c r="P176" s="242"/>
      <c r="Q176" s="242"/>
      <c r="R176" s="242"/>
      <c r="S176" s="242"/>
      <c r="T176" s="242"/>
      <c r="U176" s="242"/>
      <c r="V176" s="242"/>
      <c r="W176" s="242"/>
    </row>
    <row r="177">
      <c r="A177" s="13"/>
      <c r="B177" s="252"/>
      <c r="C177" s="252"/>
      <c r="D177" s="252"/>
      <c r="E177" s="252"/>
      <c r="F177" s="252"/>
      <c r="G177" s="252"/>
      <c r="H177" s="551"/>
      <c r="I177" s="242"/>
      <c r="J177" s="242"/>
      <c r="K177" s="242"/>
      <c r="L177" s="242"/>
      <c r="M177" s="242"/>
      <c r="N177" s="242"/>
      <c r="O177" s="242"/>
      <c r="P177" s="242"/>
      <c r="Q177" s="242"/>
      <c r="R177" s="242"/>
      <c r="S177" s="242"/>
      <c r="T177" s="242"/>
      <c r="U177" s="242"/>
      <c r="V177" s="242"/>
      <c r="W177" s="242"/>
    </row>
    <row r="178">
      <c r="A178" s="13"/>
      <c r="B178" s="252"/>
      <c r="C178" s="252"/>
      <c r="D178" s="252"/>
      <c r="E178" s="252"/>
      <c r="F178" s="252"/>
      <c r="G178" s="252"/>
      <c r="H178" s="551"/>
      <c r="I178" s="242"/>
      <c r="J178" s="242"/>
      <c r="K178" s="242"/>
      <c r="L178" s="242"/>
      <c r="M178" s="242"/>
      <c r="N178" s="242"/>
      <c r="O178" s="242"/>
      <c r="P178" s="242"/>
      <c r="Q178" s="242"/>
      <c r="R178" s="242"/>
      <c r="S178" s="242"/>
      <c r="T178" s="242"/>
      <c r="U178" s="242"/>
      <c r="V178" s="242"/>
      <c r="W178" s="242"/>
    </row>
    <row r="179">
      <c r="A179" s="13"/>
      <c r="B179" s="252"/>
      <c r="C179" s="252"/>
      <c r="D179" s="252"/>
      <c r="E179" s="252"/>
      <c r="F179" s="252"/>
      <c r="G179" s="252"/>
      <c r="H179" s="551"/>
      <c r="I179" s="242"/>
      <c r="J179" s="242"/>
      <c r="K179" s="242"/>
      <c r="L179" s="242"/>
      <c r="M179" s="242"/>
      <c r="N179" s="242"/>
      <c r="O179" s="242"/>
      <c r="P179" s="242"/>
      <c r="Q179" s="242"/>
      <c r="R179" s="242"/>
      <c r="S179" s="242"/>
      <c r="T179" s="242"/>
      <c r="U179" s="242"/>
      <c r="V179" s="242"/>
      <c r="W179" s="242"/>
    </row>
    <row r="180">
      <c r="A180" s="13"/>
      <c r="B180" s="252"/>
      <c r="C180" s="252"/>
      <c r="D180" s="252"/>
      <c r="E180" s="252"/>
      <c r="F180" s="252"/>
      <c r="G180" s="252"/>
      <c r="H180" s="551"/>
      <c r="I180" s="242"/>
      <c r="J180" s="242"/>
      <c r="K180" s="242"/>
      <c r="L180" s="242"/>
      <c r="M180" s="242"/>
      <c r="N180" s="242"/>
      <c r="O180" s="242"/>
      <c r="P180" s="242"/>
      <c r="Q180" s="242"/>
      <c r="R180" s="242"/>
      <c r="S180" s="242"/>
      <c r="T180" s="242"/>
      <c r="U180" s="242"/>
      <c r="V180" s="242"/>
      <c r="W180" s="242"/>
    </row>
    <row r="181">
      <c r="A181" s="13"/>
      <c r="B181" s="252"/>
      <c r="C181" s="252"/>
      <c r="D181" s="252"/>
      <c r="E181" s="252"/>
      <c r="F181" s="252"/>
      <c r="G181" s="252"/>
      <c r="H181" s="551"/>
      <c r="I181" s="242"/>
      <c r="J181" s="242"/>
      <c r="K181" s="242"/>
      <c r="L181" s="242"/>
      <c r="M181" s="242"/>
      <c r="N181" s="242"/>
      <c r="O181" s="242"/>
      <c r="P181" s="242"/>
      <c r="Q181" s="242"/>
      <c r="R181" s="242"/>
      <c r="S181" s="242"/>
      <c r="T181" s="242"/>
      <c r="U181" s="242"/>
      <c r="V181" s="242"/>
      <c r="W181" s="242"/>
    </row>
    <row r="182">
      <c r="A182" s="13"/>
      <c r="B182" s="252"/>
      <c r="C182" s="252"/>
      <c r="D182" s="252"/>
      <c r="E182" s="252"/>
      <c r="F182" s="252"/>
      <c r="G182" s="252"/>
      <c r="H182" s="551"/>
      <c r="I182" s="242"/>
      <c r="J182" s="242"/>
      <c r="K182" s="242"/>
      <c r="L182" s="242"/>
      <c r="M182" s="242"/>
      <c r="N182" s="242"/>
      <c r="O182" s="242"/>
      <c r="P182" s="242"/>
      <c r="Q182" s="242"/>
      <c r="R182" s="242"/>
      <c r="S182" s="242"/>
      <c r="T182" s="242"/>
      <c r="U182" s="242"/>
      <c r="V182" s="242"/>
      <c r="W182" s="242"/>
    </row>
    <row r="183">
      <c r="A183" s="13"/>
      <c r="B183" s="252"/>
      <c r="C183" s="252"/>
      <c r="D183" s="252"/>
      <c r="E183" s="252"/>
      <c r="F183" s="252"/>
      <c r="G183" s="252"/>
      <c r="H183" s="551"/>
      <c r="I183" s="242"/>
      <c r="J183" s="242"/>
      <c r="K183" s="242"/>
      <c r="L183" s="242"/>
      <c r="M183" s="242"/>
      <c r="N183" s="242"/>
      <c r="O183" s="242"/>
      <c r="P183" s="242"/>
      <c r="Q183" s="242"/>
      <c r="R183" s="242"/>
      <c r="S183" s="242"/>
      <c r="T183" s="242"/>
      <c r="U183" s="242"/>
      <c r="V183" s="242"/>
      <c r="W183" s="242"/>
    </row>
    <row r="184">
      <c r="A184" s="13"/>
      <c r="B184" s="252"/>
      <c r="C184" s="252"/>
      <c r="D184" s="252"/>
      <c r="E184" s="252"/>
      <c r="F184" s="252"/>
      <c r="G184" s="252"/>
      <c r="H184" s="551"/>
      <c r="I184" s="242"/>
      <c r="J184" s="242"/>
      <c r="K184" s="242"/>
      <c r="L184" s="242"/>
      <c r="M184" s="242"/>
      <c r="N184" s="242"/>
      <c r="O184" s="242"/>
      <c r="P184" s="242"/>
      <c r="Q184" s="242"/>
      <c r="R184" s="242"/>
      <c r="S184" s="242"/>
      <c r="T184" s="242"/>
      <c r="U184" s="242"/>
      <c r="V184" s="242"/>
      <c r="W184" s="242"/>
    </row>
    <row r="185">
      <c r="A185" s="13"/>
      <c r="B185" s="252"/>
      <c r="C185" s="252"/>
      <c r="D185" s="252"/>
      <c r="E185" s="252"/>
      <c r="F185" s="252"/>
      <c r="G185" s="252"/>
      <c r="H185" s="551"/>
      <c r="I185" s="242"/>
      <c r="J185" s="242"/>
      <c r="K185" s="242"/>
      <c r="L185" s="242"/>
      <c r="M185" s="242"/>
      <c r="N185" s="242"/>
      <c r="O185" s="242"/>
      <c r="P185" s="242"/>
      <c r="Q185" s="242"/>
      <c r="R185" s="242"/>
      <c r="S185" s="242"/>
      <c r="T185" s="242"/>
      <c r="U185" s="242"/>
      <c r="V185" s="242"/>
      <c r="W185" s="242"/>
    </row>
    <row r="186">
      <c r="A186" s="13"/>
      <c r="B186" s="252"/>
      <c r="C186" s="252"/>
      <c r="D186" s="252"/>
      <c r="E186" s="252"/>
      <c r="F186" s="252"/>
      <c r="G186" s="252"/>
      <c r="H186" s="551"/>
      <c r="I186" s="242"/>
      <c r="J186" s="242"/>
      <c r="K186" s="242"/>
      <c r="L186" s="242"/>
      <c r="M186" s="242"/>
      <c r="N186" s="242"/>
      <c r="O186" s="242"/>
      <c r="P186" s="242"/>
      <c r="Q186" s="242"/>
      <c r="R186" s="242"/>
      <c r="S186" s="242"/>
      <c r="T186" s="242"/>
      <c r="U186" s="242"/>
      <c r="V186" s="242"/>
      <c r="W186" s="242"/>
    </row>
    <row r="187">
      <c r="A187" s="13"/>
      <c r="B187" s="252"/>
      <c r="C187" s="252"/>
      <c r="D187" s="252"/>
      <c r="E187" s="252"/>
      <c r="F187" s="252"/>
      <c r="G187" s="252"/>
      <c r="H187" s="551"/>
      <c r="I187" s="242"/>
      <c r="J187" s="242"/>
      <c r="K187" s="242"/>
      <c r="L187" s="242"/>
      <c r="M187" s="242"/>
      <c r="N187" s="242"/>
      <c r="O187" s="242"/>
      <c r="P187" s="242"/>
      <c r="Q187" s="242"/>
      <c r="R187" s="242"/>
      <c r="S187" s="242"/>
      <c r="T187" s="242"/>
      <c r="U187" s="242"/>
      <c r="V187" s="242"/>
      <c r="W187" s="242"/>
    </row>
    <row r="188">
      <c r="A188" s="13"/>
      <c r="B188" s="252"/>
      <c r="C188" s="252"/>
      <c r="D188" s="252"/>
      <c r="E188" s="252"/>
      <c r="F188" s="252"/>
      <c r="G188" s="252"/>
      <c r="H188" s="551"/>
      <c r="I188" s="242"/>
      <c r="J188" s="242"/>
      <c r="K188" s="242"/>
      <c r="L188" s="242"/>
      <c r="M188" s="242"/>
      <c r="N188" s="242"/>
      <c r="O188" s="242"/>
      <c r="P188" s="242"/>
      <c r="Q188" s="242"/>
      <c r="R188" s="242"/>
      <c r="S188" s="242"/>
      <c r="T188" s="242"/>
      <c r="U188" s="242"/>
      <c r="V188" s="242"/>
      <c r="W188" s="242"/>
    </row>
    <row r="189">
      <c r="A189" s="13"/>
      <c r="B189" s="252"/>
      <c r="C189" s="252"/>
      <c r="D189" s="252"/>
      <c r="E189" s="252"/>
      <c r="F189" s="252"/>
      <c r="G189" s="252"/>
      <c r="H189" s="551"/>
      <c r="I189" s="242"/>
      <c r="J189" s="242"/>
      <c r="K189" s="242"/>
      <c r="L189" s="242"/>
      <c r="M189" s="242"/>
      <c r="N189" s="242"/>
      <c r="O189" s="242"/>
      <c r="P189" s="242"/>
      <c r="Q189" s="242"/>
      <c r="R189" s="242"/>
      <c r="S189" s="242"/>
      <c r="T189" s="242"/>
      <c r="U189" s="242"/>
      <c r="V189" s="242"/>
      <c r="W189" s="242"/>
    </row>
    <row r="190">
      <c r="A190" s="13"/>
      <c r="B190" s="252"/>
      <c r="C190" s="252"/>
      <c r="D190" s="252"/>
      <c r="E190" s="252"/>
      <c r="F190" s="252"/>
      <c r="G190" s="252"/>
      <c r="H190" s="551"/>
      <c r="I190" s="242"/>
      <c r="J190" s="242"/>
      <c r="K190" s="242"/>
      <c r="L190" s="242"/>
      <c r="M190" s="242"/>
      <c r="N190" s="242"/>
      <c r="O190" s="242"/>
      <c r="P190" s="242"/>
      <c r="Q190" s="242"/>
      <c r="R190" s="242"/>
      <c r="S190" s="242"/>
      <c r="T190" s="242"/>
      <c r="U190" s="242"/>
      <c r="V190" s="242"/>
      <c r="W190" s="242"/>
    </row>
    <row r="191">
      <c r="A191" s="13"/>
      <c r="B191" s="252"/>
      <c r="C191" s="252"/>
      <c r="D191" s="252"/>
      <c r="E191" s="252"/>
      <c r="F191" s="252"/>
      <c r="G191" s="252"/>
      <c r="H191" s="551"/>
      <c r="I191" s="242"/>
      <c r="J191" s="242"/>
      <c r="K191" s="242"/>
      <c r="L191" s="242"/>
      <c r="M191" s="242"/>
      <c r="N191" s="242"/>
      <c r="O191" s="242"/>
      <c r="P191" s="242"/>
      <c r="Q191" s="242"/>
      <c r="R191" s="242"/>
      <c r="S191" s="242"/>
      <c r="T191" s="242"/>
      <c r="U191" s="242"/>
      <c r="V191" s="242"/>
      <c r="W191" s="242"/>
    </row>
    <row r="192">
      <c r="A192" s="13"/>
      <c r="B192" s="252"/>
      <c r="C192" s="252"/>
      <c r="D192" s="252"/>
      <c r="E192" s="252"/>
      <c r="F192" s="252"/>
      <c r="G192" s="252"/>
      <c r="H192" s="551"/>
      <c r="I192" s="242"/>
      <c r="J192" s="242"/>
      <c r="K192" s="242"/>
      <c r="L192" s="242"/>
      <c r="M192" s="242"/>
      <c r="N192" s="242"/>
      <c r="O192" s="242"/>
      <c r="P192" s="242"/>
      <c r="Q192" s="242"/>
      <c r="R192" s="242"/>
      <c r="S192" s="242"/>
      <c r="T192" s="242"/>
      <c r="U192" s="242"/>
      <c r="V192" s="242"/>
      <c r="W192" s="242"/>
    </row>
    <row r="193">
      <c r="A193" s="13"/>
      <c r="B193" s="252"/>
      <c r="C193" s="252"/>
      <c r="D193" s="252"/>
      <c r="E193" s="252"/>
      <c r="F193" s="252"/>
      <c r="G193" s="252"/>
      <c r="H193" s="551"/>
      <c r="I193" s="242"/>
      <c r="J193" s="242"/>
      <c r="K193" s="242"/>
      <c r="L193" s="242"/>
      <c r="M193" s="242"/>
      <c r="N193" s="242"/>
      <c r="O193" s="242"/>
      <c r="P193" s="242"/>
      <c r="Q193" s="242"/>
      <c r="R193" s="242"/>
      <c r="S193" s="242"/>
      <c r="T193" s="242"/>
      <c r="U193" s="242"/>
      <c r="V193" s="242"/>
      <c r="W193" s="242"/>
    </row>
    <row r="194">
      <c r="A194" s="13"/>
      <c r="B194" s="252"/>
      <c r="C194" s="252"/>
      <c r="D194" s="252"/>
      <c r="E194" s="252"/>
      <c r="F194" s="252"/>
      <c r="G194" s="252"/>
      <c r="H194" s="551"/>
      <c r="I194" s="242"/>
      <c r="J194" s="242"/>
      <c r="K194" s="242"/>
      <c r="L194" s="242"/>
      <c r="M194" s="242"/>
      <c r="N194" s="242"/>
      <c r="O194" s="242"/>
      <c r="P194" s="242"/>
      <c r="Q194" s="242"/>
      <c r="R194" s="242"/>
      <c r="S194" s="242"/>
      <c r="T194" s="242"/>
      <c r="U194" s="242"/>
      <c r="V194" s="242"/>
      <c r="W194" s="242"/>
    </row>
    <row r="195">
      <c r="A195" s="13"/>
      <c r="B195" s="252"/>
      <c r="C195" s="252"/>
      <c r="D195" s="252"/>
      <c r="E195" s="252"/>
      <c r="F195" s="252"/>
      <c r="G195" s="252"/>
      <c r="H195" s="551"/>
      <c r="I195" s="242"/>
      <c r="J195" s="242"/>
      <c r="K195" s="242"/>
      <c r="L195" s="242"/>
      <c r="M195" s="242"/>
      <c r="N195" s="242"/>
      <c r="O195" s="242"/>
      <c r="P195" s="242"/>
      <c r="Q195" s="242"/>
      <c r="R195" s="242"/>
      <c r="S195" s="242"/>
      <c r="T195" s="242"/>
      <c r="U195" s="242"/>
      <c r="V195" s="242"/>
      <c r="W195" s="242"/>
    </row>
    <row r="196">
      <c r="A196" s="13"/>
      <c r="B196" s="252"/>
      <c r="C196" s="252"/>
      <c r="D196" s="252"/>
      <c r="E196" s="252"/>
      <c r="F196" s="252"/>
      <c r="G196" s="252"/>
      <c r="H196" s="551"/>
      <c r="I196" s="242"/>
      <c r="J196" s="242"/>
      <c r="K196" s="242"/>
      <c r="L196" s="242"/>
      <c r="M196" s="242"/>
      <c r="N196" s="242"/>
      <c r="O196" s="242"/>
      <c r="P196" s="242"/>
      <c r="Q196" s="242"/>
      <c r="R196" s="242"/>
      <c r="S196" s="242"/>
      <c r="T196" s="242"/>
      <c r="U196" s="242"/>
      <c r="V196" s="242"/>
      <c r="W196" s="242"/>
    </row>
    <row r="197">
      <c r="A197" s="13"/>
      <c r="B197" s="252"/>
      <c r="C197" s="252"/>
      <c r="D197" s="252"/>
      <c r="E197" s="252"/>
      <c r="F197" s="252"/>
      <c r="G197" s="252"/>
      <c r="H197" s="551"/>
      <c r="I197" s="242"/>
      <c r="J197" s="242"/>
      <c r="K197" s="242"/>
      <c r="L197" s="242"/>
      <c r="M197" s="242"/>
      <c r="N197" s="242"/>
      <c r="O197" s="242"/>
      <c r="P197" s="242"/>
      <c r="Q197" s="242"/>
      <c r="R197" s="242"/>
      <c r="S197" s="242"/>
      <c r="T197" s="242"/>
      <c r="U197" s="242"/>
      <c r="V197" s="242"/>
      <c r="W197" s="242"/>
    </row>
    <row r="198">
      <c r="A198" s="13"/>
      <c r="B198" s="252"/>
      <c r="C198" s="252"/>
      <c r="D198" s="252"/>
      <c r="E198" s="252"/>
      <c r="F198" s="252"/>
      <c r="G198" s="252"/>
      <c r="H198" s="551"/>
      <c r="I198" s="242"/>
      <c r="J198" s="242"/>
      <c r="K198" s="242"/>
      <c r="L198" s="242"/>
      <c r="M198" s="242"/>
      <c r="N198" s="242"/>
      <c r="O198" s="242"/>
      <c r="P198" s="242"/>
      <c r="Q198" s="242"/>
      <c r="R198" s="242"/>
      <c r="S198" s="242"/>
      <c r="T198" s="242"/>
      <c r="U198" s="242"/>
      <c r="V198" s="242"/>
      <c r="W198" s="242"/>
    </row>
    <row r="199">
      <c r="A199" s="13"/>
      <c r="B199" s="252"/>
      <c r="C199" s="252"/>
      <c r="D199" s="252"/>
      <c r="E199" s="252"/>
      <c r="F199" s="252"/>
      <c r="G199" s="252"/>
      <c r="H199" s="551"/>
      <c r="I199" s="242"/>
      <c r="J199" s="242"/>
      <c r="K199" s="242"/>
      <c r="L199" s="242"/>
      <c r="M199" s="242"/>
      <c r="N199" s="242"/>
      <c r="O199" s="242"/>
      <c r="P199" s="242"/>
      <c r="Q199" s="242"/>
      <c r="R199" s="242"/>
      <c r="S199" s="242"/>
      <c r="T199" s="242"/>
      <c r="U199" s="242"/>
      <c r="V199" s="242"/>
      <c r="W199" s="242"/>
    </row>
    <row r="200">
      <c r="A200" s="13"/>
      <c r="B200" s="252"/>
      <c r="C200" s="252"/>
      <c r="D200" s="252"/>
      <c r="E200" s="252"/>
      <c r="F200" s="252"/>
      <c r="G200" s="252"/>
      <c r="H200" s="551"/>
      <c r="I200" s="242"/>
      <c r="J200" s="242"/>
      <c r="K200" s="242"/>
      <c r="L200" s="242"/>
      <c r="M200" s="242"/>
      <c r="N200" s="242"/>
      <c r="O200" s="242"/>
      <c r="P200" s="242"/>
      <c r="Q200" s="242"/>
      <c r="R200" s="242"/>
      <c r="S200" s="242"/>
      <c r="T200" s="242"/>
      <c r="U200" s="242"/>
      <c r="V200" s="242"/>
      <c r="W200" s="242"/>
    </row>
    <row r="201">
      <c r="A201" s="13"/>
      <c r="B201" s="252"/>
      <c r="C201" s="252"/>
      <c r="D201" s="252"/>
      <c r="E201" s="252"/>
      <c r="F201" s="252"/>
      <c r="G201" s="252"/>
      <c r="H201" s="551"/>
      <c r="I201" s="242"/>
      <c r="J201" s="242"/>
      <c r="K201" s="242"/>
      <c r="L201" s="242"/>
      <c r="M201" s="242"/>
      <c r="N201" s="242"/>
      <c r="O201" s="242"/>
      <c r="P201" s="242"/>
      <c r="Q201" s="242"/>
      <c r="R201" s="242"/>
      <c r="S201" s="242"/>
      <c r="T201" s="242"/>
      <c r="U201" s="242"/>
      <c r="V201" s="242"/>
      <c r="W201" s="242"/>
    </row>
    <row r="202">
      <c r="A202" s="13"/>
      <c r="B202" s="252"/>
      <c r="C202" s="252"/>
      <c r="D202" s="252"/>
      <c r="E202" s="252"/>
      <c r="F202" s="252"/>
      <c r="G202" s="252"/>
      <c r="H202" s="551"/>
      <c r="I202" s="242"/>
      <c r="J202" s="242"/>
      <c r="K202" s="242"/>
      <c r="L202" s="242"/>
      <c r="M202" s="242"/>
      <c r="N202" s="242"/>
      <c r="O202" s="242"/>
      <c r="P202" s="242"/>
      <c r="Q202" s="242"/>
      <c r="R202" s="242"/>
      <c r="S202" s="242"/>
      <c r="T202" s="242"/>
      <c r="U202" s="242"/>
      <c r="V202" s="242"/>
      <c r="W202" s="242"/>
    </row>
    <row r="203">
      <c r="A203" s="13"/>
      <c r="B203" s="252"/>
      <c r="C203" s="252"/>
      <c r="D203" s="252"/>
      <c r="E203" s="252"/>
      <c r="F203" s="252"/>
      <c r="G203" s="252"/>
      <c r="H203" s="551"/>
      <c r="I203" s="242"/>
      <c r="J203" s="242"/>
      <c r="K203" s="242"/>
      <c r="L203" s="242"/>
      <c r="M203" s="242"/>
      <c r="N203" s="242"/>
      <c r="O203" s="242"/>
      <c r="P203" s="242"/>
      <c r="Q203" s="242"/>
      <c r="R203" s="242"/>
      <c r="S203" s="242"/>
      <c r="T203" s="242"/>
      <c r="U203" s="242"/>
      <c r="V203" s="242"/>
      <c r="W203" s="242"/>
    </row>
    <row r="204">
      <c r="A204" s="13"/>
      <c r="B204" s="252"/>
      <c r="C204" s="252"/>
      <c r="D204" s="252"/>
      <c r="E204" s="252"/>
      <c r="F204" s="252"/>
      <c r="G204" s="252"/>
      <c r="H204" s="551"/>
      <c r="I204" s="242"/>
      <c r="J204" s="242"/>
      <c r="K204" s="242"/>
      <c r="L204" s="242"/>
      <c r="M204" s="242"/>
      <c r="N204" s="242"/>
      <c r="O204" s="242"/>
      <c r="P204" s="242"/>
      <c r="Q204" s="242"/>
      <c r="R204" s="242"/>
      <c r="S204" s="242"/>
      <c r="T204" s="242"/>
      <c r="U204" s="242"/>
      <c r="V204" s="242"/>
      <c r="W204" s="242"/>
    </row>
    <row r="205">
      <c r="A205" s="13"/>
      <c r="B205" s="252"/>
      <c r="C205" s="252"/>
      <c r="D205" s="252"/>
      <c r="E205" s="252"/>
      <c r="F205" s="252"/>
      <c r="G205" s="252"/>
      <c r="H205" s="551"/>
      <c r="I205" s="242"/>
      <c r="J205" s="242"/>
      <c r="K205" s="242"/>
      <c r="L205" s="242"/>
      <c r="M205" s="242"/>
      <c r="N205" s="242"/>
      <c r="O205" s="242"/>
      <c r="P205" s="242"/>
      <c r="Q205" s="242"/>
      <c r="R205" s="242"/>
      <c r="S205" s="242"/>
      <c r="T205" s="242"/>
      <c r="U205" s="242"/>
      <c r="V205" s="242"/>
      <c r="W205" s="242"/>
    </row>
    <row r="206">
      <c r="A206" s="13"/>
      <c r="B206" s="252"/>
      <c r="C206" s="252"/>
      <c r="D206" s="252"/>
      <c r="E206" s="252"/>
      <c r="F206" s="252"/>
      <c r="G206" s="252"/>
      <c r="H206" s="551"/>
      <c r="I206" s="242"/>
      <c r="J206" s="242"/>
      <c r="K206" s="242"/>
      <c r="L206" s="242"/>
      <c r="M206" s="242"/>
      <c r="N206" s="242"/>
      <c r="O206" s="242"/>
      <c r="P206" s="242"/>
      <c r="Q206" s="242"/>
      <c r="R206" s="242"/>
      <c r="S206" s="242"/>
      <c r="T206" s="242"/>
      <c r="U206" s="242"/>
      <c r="V206" s="242"/>
      <c r="W206" s="242"/>
    </row>
    <row r="207">
      <c r="A207" s="13"/>
      <c r="B207" s="252"/>
      <c r="C207" s="252"/>
      <c r="D207" s="252"/>
      <c r="E207" s="252"/>
      <c r="F207" s="252"/>
      <c r="G207" s="252"/>
      <c r="H207" s="551"/>
      <c r="I207" s="242"/>
      <c r="J207" s="242"/>
      <c r="K207" s="242"/>
      <c r="L207" s="242"/>
      <c r="M207" s="242"/>
      <c r="N207" s="242"/>
      <c r="O207" s="242"/>
      <c r="P207" s="242"/>
      <c r="Q207" s="242"/>
      <c r="R207" s="242"/>
      <c r="S207" s="242"/>
      <c r="T207" s="242"/>
      <c r="U207" s="242"/>
      <c r="V207" s="242"/>
      <c r="W207" s="242"/>
    </row>
    <row r="208">
      <c r="A208" s="13"/>
      <c r="B208" s="252"/>
      <c r="C208" s="252"/>
      <c r="D208" s="252"/>
      <c r="E208" s="252"/>
      <c r="F208" s="252"/>
      <c r="G208" s="252"/>
      <c r="H208" s="551"/>
      <c r="I208" s="242"/>
      <c r="J208" s="242"/>
      <c r="K208" s="242"/>
      <c r="L208" s="242"/>
      <c r="M208" s="242"/>
      <c r="N208" s="242"/>
      <c r="O208" s="242"/>
      <c r="P208" s="242"/>
      <c r="Q208" s="242"/>
      <c r="R208" s="242"/>
      <c r="S208" s="242"/>
      <c r="T208" s="242"/>
      <c r="U208" s="242"/>
      <c r="V208" s="242"/>
      <c r="W208" s="242"/>
    </row>
    <row r="209">
      <c r="A209" s="13"/>
      <c r="B209" s="252"/>
      <c r="C209" s="252"/>
      <c r="D209" s="252"/>
      <c r="E209" s="252"/>
      <c r="F209" s="252"/>
      <c r="G209" s="252"/>
      <c r="H209" s="551"/>
      <c r="I209" s="242"/>
      <c r="J209" s="242"/>
      <c r="K209" s="242"/>
      <c r="L209" s="242"/>
      <c r="M209" s="242"/>
      <c r="N209" s="242"/>
      <c r="O209" s="242"/>
      <c r="P209" s="242"/>
      <c r="Q209" s="242"/>
      <c r="R209" s="242"/>
      <c r="S209" s="242"/>
      <c r="T209" s="242"/>
      <c r="U209" s="242"/>
      <c r="V209" s="242"/>
      <c r="W209" s="242"/>
    </row>
    <row r="210">
      <c r="A210" s="13"/>
      <c r="B210" s="252"/>
      <c r="C210" s="252"/>
      <c r="D210" s="252"/>
      <c r="E210" s="252"/>
      <c r="F210" s="252"/>
      <c r="G210" s="252"/>
      <c r="H210" s="551"/>
      <c r="I210" s="242"/>
      <c r="J210" s="242"/>
      <c r="K210" s="242"/>
      <c r="L210" s="242"/>
      <c r="M210" s="242"/>
      <c r="N210" s="242"/>
      <c r="O210" s="242"/>
      <c r="P210" s="242"/>
      <c r="Q210" s="242"/>
      <c r="R210" s="242"/>
      <c r="S210" s="242"/>
      <c r="T210" s="242"/>
      <c r="U210" s="242"/>
      <c r="V210" s="242"/>
      <c r="W210" s="242"/>
    </row>
    <row r="211">
      <c r="A211" s="13"/>
      <c r="B211" s="252"/>
      <c r="C211" s="252"/>
      <c r="D211" s="252"/>
      <c r="E211" s="252"/>
      <c r="F211" s="252"/>
      <c r="G211" s="252"/>
      <c r="H211" s="551"/>
      <c r="I211" s="242"/>
      <c r="J211" s="242"/>
      <c r="K211" s="242"/>
      <c r="L211" s="242"/>
      <c r="M211" s="242"/>
      <c r="N211" s="242"/>
      <c r="O211" s="242"/>
      <c r="P211" s="242"/>
      <c r="Q211" s="242"/>
      <c r="R211" s="242"/>
      <c r="S211" s="242"/>
      <c r="T211" s="242"/>
      <c r="U211" s="242"/>
      <c r="V211" s="242"/>
      <c r="W211" s="242"/>
    </row>
    <row r="212">
      <c r="A212" s="13"/>
      <c r="B212" s="252"/>
      <c r="C212" s="252"/>
      <c r="D212" s="252"/>
      <c r="E212" s="252"/>
      <c r="F212" s="252"/>
      <c r="G212" s="252"/>
      <c r="H212" s="551"/>
      <c r="I212" s="242"/>
      <c r="J212" s="242"/>
      <c r="K212" s="242"/>
      <c r="L212" s="242"/>
      <c r="M212" s="242"/>
      <c r="N212" s="242"/>
      <c r="O212" s="242"/>
      <c r="P212" s="242"/>
      <c r="Q212" s="242"/>
      <c r="R212" s="242"/>
      <c r="S212" s="242"/>
      <c r="T212" s="242"/>
      <c r="U212" s="242"/>
      <c r="V212" s="242"/>
      <c r="W212" s="242"/>
    </row>
    <row r="213">
      <c r="A213" s="13"/>
      <c r="B213" s="252"/>
      <c r="C213" s="252"/>
      <c r="D213" s="252"/>
      <c r="E213" s="252"/>
      <c r="F213" s="252"/>
      <c r="G213" s="252"/>
      <c r="H213" s="551"/>
      <c r="I213" s="242"/>
      <c r="J213" s="242"/>
      <c r="K213" s="242"/>
      <c r="L213" s="242"/>
      <c r="M213" s="242"/>
      <c r="N213" s="242"/>
      <c r="O213" s="242"/>
      <c r="P213" s="242"/>
      <c r="Q213" s="242"/>
      <c r="R213" s="242"/>
      <c r="S213" s="242"/>
      <c r="T213" s="242"/>
      <c r="U213" s="242"/>
      <c r="V213" s="242"/>
      <c r="W213" s="242"/>
    </row>
    <row r="214">
      <c r="A214" s="13"/>
      <c r="B214" s="252"/>
      <c r="C214" s="252"/>
      <c r="D214" s="252"/>
      <c r="E214" s="252"/>
      <c r="F214" s="252"/>
      <c r="G214" s="252"/>
      <c r="H214" s="551"/>
      <c r="I214" s="242"/>
      <c r="J214" s="242"/>
      <c r="K214" s="242"/>
      <c r="L214" s="242"/>
      <c r="M214" s="242"/>
      <c r="N214" s="242"/>
      <c r="O214" s="242"/>
      <c r="P214" s="242"/>
      <c r="Q214" s="242"/>
      <c r="R214" s="242"/>
      <c r="S214" s="242"/>
      <c r="T214" s="242"/>
      <c r="U214" s="242"/>
      <c r="V214" s="242"/>
      <c r="W214" s="242"/>
    </row>
    <row r="215">
      <c r="A215" s="13"/>
      <c r="B215" s="252"/>
      <c r="C215" s="252"/>
      <c r="D215" s="252"/>
      <c r="E215" s="252"/>
      <c r="F215" s="252"/>
      <c r="G215" s="252"/>
      <c r="H215" s="551"/>
      <c r="I215" s="242"/>
      <c r="J215" s="242"/>
      <c r="K215" s="242"/>
      <c r="L215" s="242"/>
      <c r="M215" s="242"/>
      <c r="N215" s="242"/>
      <c r="O215" s="242"/>
      <c r="P215" s="242"/>
      <c r="Q215" s="242"/>
      <c r="R215" s="242"/>
      <c r="S215" s="242"/>
      <c r="T215" s="242"/>
      <c r="U215" s="242"/>
      <c r="V215" s="242"/>
      <c r="W215" s="242"/>
    </row>
    <row r="216">
      <c r="A216" s="13"/>
      <c r="B216" s="252"/>
      <c r="C216" s="252"/>
      <c r="D216" s="252"/>
      <c r="E216" s="252"/>
      <c r="F216" s="252"/>
      <c r="G216" s="252"/>
      <c r="H216" s="551"/>
      <c r="I216" s="242"/>
      <c r="J216" s="242"/>
      <c r="K216" s="242"/>
      <c r="L216" s="242"/>
      <c r="M216" s="242"/>
      <c r="N216" s="242"/>
      <c r="O216" s="242"/>
      <c r="P216" s="242"/>
      <c r="Q216" s="242"/>
      <c r="R216" s="242"/>
      <c r="S216" s="242"/>
      <c r="T216" s="242"/>
      <c r="U216" s="242"/>
      <c r="V216" s="242"/>
      <c r="W216" s="242"/>
    </row>
    <row r="217">
      <c r="A217" s="13"/>
      <c r="B217" s="252"/>
      <c r="C217" s="252"/>
      <c r="D217" s="252"/>
      <c r="E217" s="252"/>
      <c r="F217" s="252"/>
      <c r="G217" s="252"/>
      <c r="H217" s="551"/>
      <c r="I217" s="242"/>
      <c r="J217" s="242"/>
      <c r="K217" s="242"/>
      <c r="L217" s="242"/>
      <c r="M217" s="242"/>
      <c r="N217" s="242"/>
      <c r="O217" s="242"/>
      <c r="P217" s="242"/>
      <c r="Q217" s="242"/>
      <c r="R217" s="242"/>
      <c r="S217" s="242"/>
      <c r="T217" s="242"/>
      <c r="U217" s="242"/>
      <c r="V217" s="242"/>
      <c r="W217" s="242"/>
    </row>
    <row r="218">
      <c r="A218" s="13"/>
      <c r="B218" s="252"/>
      <c r="C218" s="252"/>
      <c r="D218" s="252"/>
      <c r="E218" s="252"/>
      <c r="F218" s="252"/>
      <c r="G218" s="252"/>
      <c r="H218" s="551"/>
      <c r="I218" s="242"/>
      <c r="J218" s="242"/>
      <c r="K218" s="242"/>
      <c r="L218" s="242"/>
      <c r="M218" s="242"/>
      <c r="N218" s="242"/>
      <c r="O218" s="242"/>
      <c r="P218" s="242"/>
      <c r="Q218" s="242"/>
      <c r="R218" s="242"/>
      <c r="S218" s="242"/>
      <c r="T218" s="242"/>
      <c r="U218" s="242"/>
      <c r="V218" s="242"/>
      <c r="W218" s="242"/>
    </row>
    <row r="219">
      <c r="A219" s="13"/>
      <c r="B219" s="252"/>
      <c r="C219" s="252"/>
      <c r="D219" s="252"/>
      <c r="E219" s="252"/>
      <c r="F219" s="252"/>
      <c r="G219" s="252"/>
      <c r="H219" s="551"/>
      <c r="I219" s="242"/>
      <c r="J219" s="242"/>
      <c r="K219" s="242"/>
      <c r="L219" s="242"/>
      <c r="M219" s="242"/>
      <c r="N219" s="242"/>
      <c r="O219" s="242"/>
      <c r="P219" s="242"/>
      <c r="Q219" s="242"/>
      <c r="R219" s="242"/>
      <c r="S219" s="242"/>
      <c r="T219" s="242"/>
      <c r="U219" s="242"/>
      <c r="V219" s="242"/>
      <c r="W219" s="242"/>
    </row>
    <row r="220">
      <c r="A220" s="13"/>
      <c r="B220" s="252"/>
      <c r="C220" s="252"/>
      <c r="D220" s="252"/>
      <c r="E220" s="252"/>
      <c r="F220" s="252"/>
      <c r="G220" s="252"/>
      <c r="H220" s="551"/>
      <c r="I220" s="242"/>
      <c r="J220" s="242"/>
      <c r="K220" s="242"/>
      <c r="L220" s="242"/>
      <c r="M220" s="242"/>
      <c r="N220" s="242"/>
      <c r="O220" s="242"/>
      <c r="P220" s="242"/>
      <c r="Q220" s="242"/>
      <c r="R220" s="242"/>
      <c r="S220" s="242"/>
      <c r="T220" s="242"/>
      <c r="U220" s="242"/>
      <c r="V220" s="242"/>
      <c r="W220" s="242"/>
    </row>
    <row r="221">
      <c r="A221" s="13"/>
      <c r="B221" s="252"/>
      <c r="C221" s="252"/>
      <c r="D221" s="252"/>
      <c r="E221" s="252"/>
      <c r="F221" s="252"/>
      <c r="G221" s="252"/>
      <c r="H221" s="551"/>
      <c r="I221" s="242"/>
      <c r="J221" s="242"/>
      <c r="K221" s="242"/>
      <c r="L221" s="242"/>
      <c r="M221" s="242"/>
      <c r="N221" s="242"/>
      <c r="O221" s="242"/>
      <c r="P221" s="242"/>
      <c r="Q221" s="242"/>
      <c r="R221" s="242"/>
      <c r="S221" s="242"/>
      <c r="T221" s="242"/>
      <c r="U221" s="242"/>
      <c r="V221" s="242"/>
      <c r="W221" s="242"/>
    </row>
    <row r="222">
      <c r="A222" s="13"/>
      <c r="B222" s="252"/>
      <c r="C222" s="252"/>
      <c r="D222" s="252"/>
      <c r="E222" s="252"/>
      <c r="F222" s="252"/>
      <c r="G222" s="252"/>
      <c r="H222" s="551"/>
      <c r="I222" s="242"/>
      <c r="J222" s="242"/>
      <c r="K222" s="242"/>
      <c r="L222" s="242"/>
      <c r="M222" s="242"/>
      <c r="N222" s="242"/>
      <c r="O222" s="242"/>
      <c r="P222" s="242"/>
      <c r="Q222" s="242"/>
      <c r="R222" s="242"/>
      <c r="S222" s="242"/>
      <c r="T222" s="242"/>
      <c r="U222" s="242"/>
      <c r="V222" s="242"/>
      <c r="W222" s="242"/>
    </row>
    <row r="223">
      <c r="A223" s="13"/>
      <c r="B223" s="252"/>
      <c r="C223" s="252"/>
      <c r="D223" s="252"/>
      <c r="E223" s="252"/>
      <c r="F223" s="252"/>
      <c r="G223" s="252"/>
      <c r="H223" s="551"/>
      <c r="I223" s="242"/>
      <c r="J223" s="242"/>
      <c r="K223" s="242"/>
      <c r="L223" s="242"/>
      <c r="M223" s="242"/>
      <c r="N223" s="242"/>
      <c r="O223" s="242"/>
      <c r="P223" s="242"/>
      <c r="Q223" s="242"/>
      <c r="R223" s="242"/>
      <c r="S223" s="242"/>
      <c r="T223" s="242"/>
      <c r="U223" s="242"/>
      <c r="V223" s="242"/>
      <c r="W223" s="242"/>
    </row>
    <row r="224">
      <c r="A224" s="13"/>
      <c r="B224" s="252"/>
      <c r="C224" s="252"/>
      <c r="D224" s="252"/>
      <c r="E224" s="252"/>
      <c r="F224" s="252"/>
      <c r="G224" s="252"/>
      <c r="H224" s="551"/>
      <c r="I224" s="242"/>
      <c r="J224" s="242"/>
      <c r="K224" s="242"/>
      <c r="L224" s="242"/>
      <c r="M224" s="242"/>
      <c r="N224" s="242"/>
      <c r="O224" s="242"/>
      <c r="P224" s="242"/>
      <c r="Q224" s="242"/>
      <c r="R224" s="242"/>
      <c r="S224" s="242"/>
      <c r="T224" s="242"/>
      <c r="U224" s="242"/>
      <c r="V224" s="242"/>
      <c r="W224" s="242"/>
    </row>
    <row r="225">
      <c r="A225" s="13"/>
      <c r="B225" s="252"/>
      <c r="C225" s="252"/>
      <c r="D225" s="252"/>
      <c r="E225" s="252"/>
      <c r="F225" s="252"/>
      <c r="G225" s="252"/>
      <c r="H225" s="551"/>
      <c r="I225" s="242"/>
      <c r="J225" s="242"/>
      <c r="K225" s="242"/>
      <c r="L225" s="242"/>
      <c r="M225" s="242"/>
      <c r="N225" s="242"/>
      <c r="O225" s="242"/>
      <c r="P225" s="242"/>
      <c r="Q225" s="242"/>
      <c r="R225" s="242"/>
      <c r="S225" s="242"/>
      <c r="T225" s="242"/>
      <c r="U225" s="242"/>
      <c r="V225" s="242"/>
      <c r="W225" s="242"/>
    </row>
    <row r="226">
      <c r="A226" s="13"/>
      <c r="B226" s="252"/>
      <c r="C226" s="252"/>
      <c r="D226" s="252"/>
      <c r="E226" s="252"/>
      <c r="F226" s="252"/>
      <c r="G226" s="252"/>
      <c r="H226" s="551"/>
      <c r="I226" s="242"/>
      <c r="J226" s="242"/>
      <c r="K226" s="242"/>
      <c r="L226" s="242"/>
      <c r="M226" s="242"/>
      <c r="N226" s="242"/>
      <c r="O226" s="242"/>
      <c r="P226" s="242"/>
      <c r="Q226" s="242"/>
      <c r="R226" s="242"/>
      <c r="S226" s="242"/>
      <c r="T226" s="242"/>
      <c r="U226" s="242"/>
      <c r="V226" s="242"/>
      <c r="W226" s="242"/>
    </row>
    <row r="227">
      <c r="A227" s="13"/>
      <c r="B227" s="252"/>
      <c r="C227" s="252"/>
      <c r="D227" s="252"/>
      <c r="E227" s="252"/>
      <c r="F227" s="252"/>
      <c r="G227" s="252"/>
      <c r="H227" s="551"/>
      <c r="I227" s="242"/>
      <c r="J227" s="242"/>
      <c r="K227" s="242"/>
      <c r="L227" s="242"/>
      <c r="M227" s="242"/>
      <c r="N227" s="242"/>
      <c r="O227" s="242"/>
      <c r="P227" s="242"/>
      <c r="Q227" s="242"/>
      <c r="R227" s="242"/>
      <c r="S227" s="242"/>
      <c r="T227" s="242"/>
      <c r="U227" s="242"/>
      <c r="V227" s="242"/>
      <c r="W227" s="242"/>
    </row>
    <row r="228">
      <c r="A228" s="13"/>
      <c r="B228" s="252"/>
      <c r="C228" s="252"/>
      <c r="D228" s="252"/>
      <c r="E228" s="252"/>
      <c r="F228" s="252"/>
      <c r="G228" s="252"/>
      <c r="H228" s="551"/>
      <c r="I228" s="242"/>
      <c r="J228" s="242"/>
      <c r="K228" s="242"/>
      <c r="L228" s="242"/>
      <c r="M228" s="242"/>
      <c r="N228" s="242"/>
      <c r="O228" s="242"/>
      <c r="P228" s="242"/>
      <c r="Q228" s="242"/>
      <c r="R228" s="242"/>
      <c r="S228" s="242"/>
      <c r="T228" s="242"/>
      <c r="U228" s="242"/>
      <c r="V228" s="242"/>
      <c r="W228" s="242"/>
    </row>
    <row r="229">
      <c r="A229" s="13"/>
      <c r="B229" s="252"/>
      <c r="C229" s="252"/>
      <c r="D229" s="252"/>
      <c r="E229" s="252"/>
      <c r="F229" s="252"/>
      <c r="G229" s="252"/>
      <c r="H229" s="551"/>
      <c r="I229" s="242"/>
      <c r="J229" s="242"/>
      <c r="K229" s="242"/>
      <c r="L229" s="242"/>
      <c r="M229" s="242"/>
      <c r="N229" s="242"/>
      <c r="O229" s="242"/>
      <c r="P229" s="242"/>
      <c r="Q229" s="242"/>
      <c r="R229" s="242"/>
      <c r="S229" s="242"/>
      <c r="T229" s="242"/>
      <c r="U229" s="242"/>
      <c r="V229" s="242"/>
      <c r="W229" s="242"/>
    </row>
    <row r="230">
      <c r="A230" s="13"/>
      <c r="B230" s="252"/>
      <c r="C230" s="252"/>
      <c r="D230" s="252"/>
      <c r="E230" s="252"/>
      <c r="F230" s="252"/>
      <c r="G230" s="252"/>
      <c r="H230" s="551"/>
      <c r="I230" s="242"/>
      <c r="J230" s="242"/>
      <c r="K230" s="242"/>
      <c r="L230" s="242"/>
      <c r="M230" s="242"/>
      <c r="N230" s="242"/>
      <c r="O230" s="242"/>
      <c r="P230" s="242"/>
      <c r="Q230" s="242"/>
      <c r="R230" s="242"/>
      <c r="S230" s="242"/>
      <c r="T230" s="242"/>
      <c r="U230" s="242"/>
      <c r="V230" s="242"/>
      <c r="W230" s="242"/>
    </row>
    <row r="231">
      <c r="A231" s="13"/>
      <c r="B231" s="252"/>
      <c r="C231" s="252"/>
      <c r="D231" s="252"/>
      <c r="E231" s="252"/>
      <c r="F231" s="252"/>
      <c r="G231" s="252"/>
      <c r="H231" s="551"/>
      <c r="I231" s="242"/>
      <c r="J231" s="242"/>
      <c r="K231" s="242"/>
      <c r="L231" s="242"/>
      <c r="M231" s="242"/>
      <c r="N231" s="242"/>
      <c r="O231" s="242"/>
      <c r="P231" s="242"/>
      <c r="Q231" s="242"/>
      <c r="R231" s="242"/>
      <c r="S231" s="242"/>
      <c r="T231" s="242"/>
      <c r="U231" s="242"/>
      <c r="V231" s="242"/>
      <c r="W231" s="242"/>
    </row>
    <row r="232">
      <c r="A232" s="13"/>
      <c r="B232" s="252"/>
      <c r="C232" s="252"/>
      <c r="D232" s="252"/>
      <c r="E232" s="252"/>
      <c r="F232" s="252"/>
      <c r="G232" s="252"/>
      <c r="H232" s="551"/>
      <c r="I232" s="242"/>
      <c r="J232" s="242"/>
      <c r="K232" s="242"/>
      <c r="L232" s="242"/>
      <c r="M232" s="242"/>
      <c r="N232" s="242"/>
      <c r="O232" s="242"/>
      <c r="P232" s="242"/>
      <c r="Q232" s="242"/>
      <c r="R232" s="242"/>
      <c r="S232" s="242"/>
      <c r="T232" s="242"/>
      <c r="U232" s="242"/>
      <c r="V232" s="242"/>
      <c r="W232" s="242"/>
    </row>
    <row r="233">
      <c r="A233" s="13"/>
      <c r="B233" s="252"/>
      <c r="C233" s="252"/>
      <c r="D233" s="252"/>
      <c r="E233" s="252"/>
      <c r="F233" s="252"/>
      <c r="G233" s="252"/>
      <c r="H233" s="551"/>
      <c r="I233" s="242"/>
      <c r="J233" s="242"/>
      <c r="K233" s="242"/>
      <c r="L233" s="242"/>
      <c r="M233" s="242"/>
      <c r="N233" s="242"/>
      <c r="O233" s="242"/>
      <c r="P233" s="242"/>
      <c r="Q233" s="242"/>
      <c r="R233" s="242"/>
      <c r="S233" s="242"/>
      <c r="T233" s="242"/>
      <c r="U233" s="242"/>
      <c r="V233" s="242"/>
      <c r="W233" s="242"/>
    </row>
    <row r="234">
      <c r="A234" s="13"/>
      <c r="B234" s="252"/>
      <c r="C234" s="252"/>
      <c r="D234" s="252"/>
      <c r="E234" s="252"/>
      <c r="F234" s="252"/>
      <c r="G234" s="252"/>
      <c r="H234" s="551"/>
      <c r="I234" s="242"/>
      <c r="J234" s="242"/>
      <c r="K234" s="242"/>
      <c r="L234" s="242"/>
      <c r="M234" s="242"/>
      <c r="N234" s="242"/>
      <c r="O234" s="242"/>
      <c r="P234" s="242"/>
      <c r="Q234" s="242"/>
      <c r="R234" s="242"/>
      <c r="S234" s="242"/>
      <c r="T234" s="242"/>
      <c r="U234" s="242"/>
      <c r="V234" s="242"/>
      <c r="W234" s="242"/>
    </row>
    <row r="235">
      <c r="A235" s="13"/>
      <c r="B235" s="252"/>
      <c r="C235" s="252"/>
      <c r="D235" s="252"/>
      <c r="E235" s="252"/>
      <c r="F235" s="252"/>
      <c r="G235" s="252"/>
      <c r="H235" s="551"/>
      <c r="I235" s="242"/>
      <c r="J235" s="242"/>
      <c r="K235" s="242"/>
      <c r="L235" s="242"/>
      <c r="M235" s="242"/>
      <c r="N235" s="242"/>
      <c r="O235" s="242"/>
      <c r="P235" s="242"/>
      <c r="Q235" s="242"/>
      <c r="R235" s="242"/>
      <c r="S235" s="242"/>
      <c r="T235" s="242"/>
      <c r="U235" s="242"/>
      <c r="V235" s="242"/>
      <c r="W235" s="242"/>
    </row>
    <row r="236">
      <c r="A236" s="13"/>
      <c r="B236" s="252"/>
      <c r="C236" s="252"/>
      <c r="D236" s="252"/>
      <c r="E236" s="252"/>
      <c r="F236" s="252"/>
      <c r="G236" s="252"/>
      <c r="H236" s="551"/>
      <c r="I236" s="242"/>
      <c r="J236" s="242"/>
      <c r="K236" s="242"/>
      <c r="L236" s="242"/>
      <c r="M236" s="242"/>
      <c r="N236" s="242"/>
      <c r="O236" s="242"/>
      <c r="P236" s="242"/>
      <c r="Q236" s="242"/>
      <c r="R236" s="242"/>
      <c r="S236" s="242"/>
      <c r="T236" s="242"/>
      <c r="U236" s="242"/>
      <c r="V236" s="242"/>
      <c r="W236" s="242"/>
    </row>
    <row r="237">
      <c r="A237" s="13"/>
      <c r="B237" s="252"/>
      <c r="C237" s="252"/>
      <c r="D237" s="252"/>
      <c r="E237" s="252"/>
      <c r="F237" s="252"/>
      <c r="G237" s="252"/>
      <c r="H237" s="551"/>
      <c r="I237" s="242"/>
      <c r="J237" s="242"/>
      <c r="K237" s="242"/>
      <c r="L237" s="242"/>
      <c r="M237" s="242"/>
      <c r="N237" s="242"/>
      <c r="O237" s="242"/>
      <c r="P237" s="242"/>
      <c r="Q237" s="242"/>
      <c r="R237" s="242"/>
      <c r="S237" s="242"/>
      <c r="T237" s="242"/>
      <c r="U237" s="242"/>
      <c r="V237" s="242"/>
      <c r="W237" s="242"/>
    </row>
    <row r="238">
      <c r="A238" s="13"/>
      <c r="B238" s="252"/>
      <c r="C238" s="252"/>
      <c r="D238" s="252"/>
      <c r="E238" s="252"/>
      <c r="F238" s="252"/>
      <c r="G238" s="252"/>
      <c r="H238" s="551"/>
      <c r="I238" s="242"/>
      <c r="J238" s="242"/>
      <c r="K238" s="242"/>
      <c r="L238" s="242"/>
      <c r="M238" s="242"/>
      <c r="N238" s="242"/>
      <c r="O238" s="242"/>
      <c r="P238" s="242"/>
      <c r="Q238" s="242"/>
      <c r="R238" s="242"/>
      <c r="S238" s="242"/>
      <c r="T238" s="242"/>
      <c r="U238" s="242"/>
      <c r="V238" s="242"/>
      <c r="W238" s="242"/>
    </row>
    <row r="239">
      <c r="A239" s="13"/>
      <c r="B239" s="252"/>
      <c r="C239" s="252"/>
      <c r="D239" s="252"/>
      <c r="E239" s="252"/>
      <c r="F239" s="252"/>
      <c r="G239" s="252"/>
      <c r="H239" s="551"/>
      <c r="I239" s="242"/>
      <c r="J239" s="242"/>
      <c r="K239" s="242"/>
      <c r="L239" s="242"/>
      <c r="M239" s="242"/>
      <c r="N239" s="242"/>
      <c r="O239" s="242"/>
      <c r="P239" s="242"/>
      <c r="Q239" s="242"/>
      <c r="R239" s="242"/>
      <c r="S239" s="242"/>
      <c r="T239" s="242"/>
      <c r="U239" s="242"/>
      <c r="V239" s="242"/>
      <c r="W239" s="242"/>
    </row>
    <row r="240">
      <c r="A240" s="13"/>
      <c r="B240" s="252"/>
      <c r="C240" s="252"/>
      <c r="D240" s="252"/>
      <c r="E240" s="252"/>
      <c r="F240" s="252"/>
      <c r="G240" s="252"/>
      <c r="H240" s="551"/>
      <c r="I240" s="242"/>
      <c r="J240" s="242"/>
      <c r="K240" s="242"/>
      <c r="L240" s="242"/>
      <c r="M240" s="242"/>
      <c r="N240" s="242"/>
      <c r="O240" s="242"/>
      <c r="P240" s="242"/>
      <c r="Q240" s="242"/>
      <c r="R240" s="242"/>
      <c r="S240" s="242"/>
      <c r="T240" s="242"/>
      <c r="U240" s="242"/>
      <c r="V240" s="242"/>
      <c r="W240" s="242"/>
    </row>
    <row r="241">
      <c r="A241" s="13"/>
      <c r="B241" s="252"/>
      <c r="C241" s="252"/>
      <c r="D241" s="252"/>
      <c r="E241" s="252"/>
      <c r="F241" s="252"/>
      <c r="G241" s="252"/>
      <c r="H241" s="551"/>
      <c r="I241" s="242"/>
      <c r="J241" s="242"/>
      <c r="K241" s="242"/>
      <c r="L241" s="242"/>
      <c r="M241" s="242"/>
      <c r="N241" s="242"/>
      <c r="O241" s="242"/>
      <c r="P241" s="242"/>
      <c r="Q241" s="242"/>
      <c r="R241" s="242"/>
      <c r="S241" s="242"/>
      <c r="T241" s="242"/>
      <c r="U241" s="242"/>
      <c r="V241" s="242"/>
      <c r="W241" s="242"/>
    </row>
    <row r="242">
      <c r="A242" s="13"/>
      <c r="B242" s="252"/>
      <c r="C242" s="252"/>
      <c r="D242" s="252"/>
      <c r="E242" s="252"/>
      <c r="F242" s="252"/>
      <c r="G242" s="252"/>
      <c r="H242" s="551"/>
      <c r="I242" s="242"/>
      <c r="J242" s="242"/>
      <c r="K242" s="242"/>
      <c r="L242" s="242"/>
      <c r="M242" s="242"/>
      <c r="N242" s="242"/>
      <c r="O242" s="242"/>
      <c r="P242" s="242"/>
      <c r="Q242" s="242"/>
      <c r="R242" s="242"/>
      <c r="S242" s="242"/>
      <c r="T242" s="242"/>
      <c r="U242" s="242"/>
      <c r="V242" s="242"/>
      <c r="W242" s="242"/>
    </row>
    <row r="243">
      <c r="A243" s="13"/>
      <c r="B243" s="252"/>
      <c r="C243" s="252"/>
      <c r="D243" s="252"/>
      <c r="E243" s="252"/>
      <c r="F243" s="252"/>
      <c r="G243" s="252"/>
      <c r="H243" s="551"/>
      <c r="I243" s="242"/>
      <c r="J243" s="242"/>
      <c r="K243" s="242"/>
      <c r="L243" s="242"/>
      <c r="M243" s="242"/>
      <c r="N243" s="242"/>
      <c r="O243" s="242"/>
      <c r="P243" s="242"/>
      <c r="Q243" s="242"/>
      <c r="R243" s="242"/>
      <c r="S243" s="242"/>
      <c r="T243" s="242"/>
      <c r="U243" s="242"/>
      <c r="V243" s="242"/>
      <c r="W243" s="242"/>
    </row>
    <row r="244">
      <c r="A244" s="13"/>
      <c r="B244" s="252"/>
      <c r="C244" s="252"/>
      <c r="D244" s="252"/>
      <c r="E244" s="252"/>
      <c r="F244" s="252"/>
      <c r="G244" s="252"/>
      <c r="H244" s="551"/>
      <c r="I244" s="242"/>
      <c r="J244" s="242"/>
      <c r="K244" s="242"/>
      <c r="L244" s="242"/>
      <c r="M244" s="242"/>
      <c r="N244" s="242"/>
      <c r="O244" s="242"/>
      <c r="P244" s="242"/>
      <c r="Q244" s="242"/>
      <c r="R244" s="242"/>
      <c r="S244" s="242"/>
      <c r="T244" s="242"/>
      <c r="U244" s="242"/>
      <c r="V244" s="242"/>
      <c r="W244" s="242"/>
    </row>
    <row r="245">
      <c r="A245" s="13"/>
      <c r="B245" s="252"/>
      <c r="C245" s="252"/>
      <c r="D245" s="252"/>
      <c r="E245" s="252"/>
      <c r="F245" s="252"/>
      <c r="G245" s="252"/>
      <c r="H245" s="551"/>
      <c r="I245" s="242"/>
      <c r="J245" s="242"/>
      <c r="K245" s="242"/>
      <c r="L245" s="242"/>
      <c r="M245" s="242"/>
      <c r="N245" s="242"/>
      <c r="O245" s="242"/>
      <c r="P245" s="242"/>
      <c r="Q245" s="242"/>
      <c r="R245" s="242"/>
      <c r="S245" s="242"/>
      <c r="T245" s="242"/>
      <c r="U245" s="242"/>
      <c r="V245" s="242"/>
      <c r="W245" s="242"/>
    </row>
    <row r="246">
      <c r="A246" s="13"/>
      <c r="B246" s="252"/>
      <c r="C246" s="252"/>
      <c r="D246" s="252"/>
      <c r="E246" s="252"/>
      <c r="F246" s="252"/>
      <c r="G246" s="252"/>
      <c r="H246" s="551"/>
      <c r="I246" s="242"/>
      <c r="J246" s="242"/>
      <c r="K246" s="242"/>
      <c r="L246" s="242"/>
      <c r="M246" s="242"/>
      <c r="N246" s="242"/>
      <c r="O246" s="242"/>
      <c r="P246" s="242"/>
      <c r="Q246" s="242"/>
      <c r="R246" s="242"/>
      <c r="S246" s="242"/>
      <c r="T246" s="242"/>
      <c r="U246" s="242"/>
      <c r="V246" s="242"/>
      <c r="W246" s="242"/>
    </row>
    <row r="247">
      <c r="A247" s="13"/>
      <c r="B247" s="252"/>
      <c r="C247" s="252"/>
      <c r="D247" s="252"/>
      <c r="E247" s="252"/>
      <c r="F247" s="252"/>
      <c r="G247" s="252"/>
      <c r="H247" s="551"/>
      <c r="I247" s="242"/>
      <c r="J247" s="242"/>
      <c r="K247" s="242"/>
      <c r="L247" s="242"/>
      <c r="M247" s="242"/>
      <c r="N247" s="242"/>
      <c r="O247" s="242"/>
      <c r="P247" s="242"/>
      <c r="Q247" s="242"/>
      <c r="R247" s="242"/>
      <c r="S247" s="242"/>
      <c r="T247" s="242"/>
      <c r="U247" s="242"/>
      <c r="V247" s="242"/>
      <c r="W247" s="242"/>
    </row>
    <row r="248">
      <c r="A248" s="13"/>
      <c r="B248" s="252"/>
      <c r="C248" s="252"/>
      <c r="D248" s="252"/>
      <c r="E248" s="252"/>
      <c r="F248" s="252"/>
      <c r="G248" s="252"/>
      <c r="H248" s="551"/>
      <c r="I248" s="242"/>
      <c r="J248" s="242"/>
      <c r="K248" s="242"/>
      <c r="L248" s="242"/>
      <c r="M248" s="242"/>
      <c r="N248" s="242"/>
      <c r="O248" s="242"/>
      <c r="P248" s="242"/>
      <c r="Q248" s="242"/>
      <c r="R248" s="242"/>
      <c r="S248" s="242"/>
      <c r="T248" s="242"/>
      <c r="U248" s="242"/>
      <c r="V248" s="242"/>
      <c r="W248" s="242"/>
    </row>
    <row r="249">
      <c r="A249" s="13"/>
      <c r="B249" s="252"/>
      <c r="C249" s="252"/>
      <c r="D249" s="252"/>
      <c r="E249" s="252"/>
      <c r="F249" s="252"/>
      <c r="G249" s="252"/>
      <c r="H249" s="551"/>
      <c r="I249" s="242"/>
      <c r="J249" s="242"/>
      <c r="K249" s="242"/>
      <c r="L249" s="242"/>
      <c r="M249" s="242"/>
      <c r="N249" s="242"/>
      <c r="O249" s="242"/>
      <c r="P249" s="242"/>
      <c r="Q249" s="242"/>
      <c r="R249" s="242"/>
      <c r="S249" s="242"/>
      <c r="T249" s="242"/>
      <c r="U249" s="242"/>
      <c r="V249" s="242"/>
      <c r="W249" s="242"/>
    </row>
    <row r="250">
      <c r="A250" s="13"/>
      <c r="B250" s="252"/>
      <c r="C250" s="252"/>
      <c r="D250" s="252"/>
      <c r="E250" s="252"/>
      <c r="F250" s="252"/>
      <c r="G250" s="252"/>
      <c r="H250" s="551"/>
      <c r="I250" s="242"/>
      <c r="J250" s="242"/>
      <c r="K250" s="242"/>
      <c r="L250" s="242"/>
      <c r="M250" s="242"/>
      <c r="N250" s="242"/>
      <c r="O250" s="242"/>
      <c r="P250" s="242"/>
      <c r="Q250" s="242"/>
      <c r="R250" s="242"/>
      <c r="S250" s="242"/>
      <c r="T250" s="242"/>
      <c r="U250" s="242"/>
      <c r="V250" s="242"/>
      <c r="W250" s="242"/>
    </row>
    <row r="251">
      <c r="A251" s="13"/>
      <c r="B251" s="252"/>
      <c r="C251" s="252"/>
      <c r="D251" s="252"/>
      <c r="E251" s="252"/>
      <c r="F251" s="252"/>
      <c r="G251" s="252"/>
      <c r="H251" s="551"/>
      <c r="I251" s="242"/>
      <c r="J251" s="242"/>
      <c r="K251" s="242"/>
      <c r="L251" s="242"/>
      <c r="M251" s="242"/>
      <c r="N251" s="242"/>
      <c r="O251" s="242"/>
      <c r="P251" s="242"/>
      <c r="Q251" s="242"/>
      <c r="R251" s="242"/>
      <c r="S251" s="242"/>
      <c r="T251" s="242"/>
      <c r="U251" s="242"/>
      <c r="V251" s="242"/>
      <c r="W251" s="242"/>
    </row>
    <row r="252">
      <c r="A252" s="13"/>
      <c r="B252" s="252"/>
      <c r="C252" s="252"/>
      <c r="D252" s="252"/>
      <c r="E252" s="252"/>
      <c r="F252" s="252"/>
      <c r="G252" s="252"/>
      <c r="H252" s="551"/>
      <c r="I252" s="242"/>
      <c r="J252" s="242"/>
      <c r="K252" s="242"/>
      <c r="L252" s="242"/>
      <c r="M252" s="242"/>
      <c r="N252" s="242"/>
      <c r="O252" s="242"/>
      <c r="P252" s="242"/>
      <c r="Q252" s="242"/>
      <c r="R252" s="242"/>
      <c r="S252" s="242"/>
      <c r="T252" s="242"/>
      <c r="U252" s="242"/>
      <c r="V252" s="242"/>
      <c r="W252" s="242"/>
    </row>
    <row r="253">
      <c r="A253" s="13"/>
      <c r="B253" s="252"/>
      <c r="C253" s="252"/>
      <c r="D253" s="252"/>
      <c r="E253" s="252"/>
      <c r="F253" s="252"/>
      <c r="G253" s="252"/>
      <c r="H253" s="551"/>
      <c r="I253" s="242"/>
      <c r="J253" s="242"/>
      <c r="K253" s="242"/>
      <c r="L253" s="242"/>
      <c r="M253" s="242"/>
      <c r="N253" s="242"/>
      <c r="O253" s="242"/>
      <c r="P253" s="242"/>
      <c r="Q253" s="242"/>
      <c r="R253" s="242"/>
      <c r="S253" s="242"/>
      <c r="T253" s="242"/>
      <c r="U253" s="242"/>
      <c r="V253" s="242"/>
      <c r="W253" s="242"/>
    </row>
    <row r="254">
      <c r="A254" s="13"/>
      <c r="B254" s="252"/>
      <c r="C254" s="252"/>
      <c r="D254" s="252"/>
      <c r="E254" s="252"/>
      <c r="F254" s="252"/>
      <c r="G254" s="252"/>
      <c r="H254" s="551"/>
      <c r="I254" s="242"/>
      <c r="J254" s="242"/>
      <c r="K254" s="242"/>
      <c r="L254" s="242"/>
      <c r="M254" s="242"/>
      <c r="N254" s="242"/>
      <c r="O254" s="242"/>
      <c r="P254" s="242"/>
      <c r="Q254" s="242"/>
      <c r="R254" s="242"/>
      <c r="S254" s="242"/>
      <c r="T254" s="242"/>
      <c r="U254" s="242"/>
      <c r="V254" s="242"/>
      <c r="W254" s="242"/>
    </row>
    <row r="255">
      <c r="A255" s="13"/>
      <c r="B255" s="252"/>
      <c r="C255" s="252"/>
      <c r="D255" s="252"/>
      <c r="E255" s="252"/>
      <c r="F255" s="252"/>
      <c r="G255" s="252"/>
      <c r="H255" s="551"/>
      <c r="I255" s="242"/>
      <c r="J255" s="242"/>
      <c r="K255" s="242"/>
      <c r="L255" s="242"/>
      <c r="M255" s="242"/>
      <c r="N255" s="242"/>
      <c r="O255" s="242"/>
      <c r="P255" s="242"/>
      <c r="Q255" s="242"/>
      <c r="R255" s="242"/>
      <c r="S255" s="242"/>
      <c r="T255" s="242"/>
      <c r="U255" s="242"/>
      <c r="V255" s="242"/>
      <c r="W255" s="242"/>
    </row>
    <row r="256">
      <c r="A256" s="13"/>
      <c r="B256" s="252"/>
      <c r="C256" s="252"/>
      <c r="D256" s="252"/>
      <c r="E256" s="252"/>
      <c r="F256" s="252"/>
      <c r="G256" s="252"/>
      <c r="H256" s="551"/>
      <c r="I256" s="242"/>
      <c r="J256" s="242"/>
      <c r="K256" s="242"/>
      <c r="L256" s="242"/>
      <c r="M256" s="242"/>
      <c r="N256" s="242"/>
      <c r="O256" s="242"/>
      <c r="P256" s="242"/>
      <c r="Q256" s="242"/>
      <c r="R256" s="242"/>
      <c r="S256" s="242"/>
      <c r="T256" s="242"/>
      <c r="U256" s="242"/>
      <c r="V256" s="242"/>
      <c r="W256" s="242"/>
    </row>
    <row r="257">
      <c r="A257" s="13"/>
      <c r="B257" s="252"/>
      <c r="C257" s="252"/>
      <c r="D257" s="252"/>
      <c r="E257" s="252"/>
      <c r="F257" s="252"/>
      <c r="G257" s="252"/>
      <c r="H257" s="551"/>
      <c r="I257" s="242"/>
      <c r="J257" s="242"/>
      <c r="K257" s="242"/>
      <c r="L257" s="242"/>
      <c r="M257" s="242"/>
      <c r="N257" s="242"/>
      <c r="O257" s="242"/>
      <c r="P257" s="242"/>
      <c r="Q257" s="242"/>
      <c r="R257" s="242"/>
      <c r="S257" s="242"/>
      <c r="T257" s="242"/>
      <c r="U257" s="242"/>
      <c r="V257" s="242"/>
      <c r="W257" s="242"/>
    </row>
    <row r="258">
      <c r="A258" s="13"/>
      <c r="B258" s="252"/>
      <c r="C258" s="252"/>
      <c r="D258" s="252"/>
      <c r="E258" s="252"/>
      <c r="F258" s="252"/>
      <c r="G258" s="252"/>
      <c r="H258" s="551"/>
      <c r="I258" s="242"/>
      <c r="J258" s="242"/>
      <c r="K258" s="242"/>
      <c r="L258" s="242"/>
      <c r="M258" s="242"/>
      <c r="N258" s="242"/>
      <c r="O258" s="242"/>
      <c r="P258" s="242"/>
      <c r="Q258" s="242"/>
      <c r="R258" s="242"/>
      <c r="S258" s="242"/>
      <c r="T258" s="242"/>
      <c r="U258" s="242"/>
      <c r="V258" s="242"/>
      <c r="W258" s="242"/>
    </row>
    <row r="259">
      <c r="A259" s="13"/>
      <c r="B259" s="252"/>
      <c r="C259" s="252"/>
      <c r="D259" s="252"/>
      <c r="E259" s="252"/>
      <c r="F259" s="252"/>
      <c r="G259" s="252"/>
      <c r="H259" s="551"/>
      <c r="I259" s="242"/>
      <c r="J259" s="242"/>
      <c r="K259" s="242"/>
      <c r="L259" s="242"/>
      <c r="M259" s="242"/>
      <c r="N259" s="242"/>
      <c r="O259" s="242"/>
      <c r="P259" s="242"/>
      <c r="Q259" s="242"/>
      <c r="R259" s="242"/>
      <c r="S259" s="242"/>
      <c r="T259" s="242"/>
      <c r="U259" s="242"/>
      <c r="V259" s="242"/>
      <c r="W259" s="242"/>
    </row>
    <row r="260">
      <c r="A260" s="13"/>
      <c r="B260" s="252"/>
      <c r="C260" s="252"/>
      <c r="D260" s="252"/>
      <c r="E260" s="252"/>
      <c r="F260" s="252"/>
      <c r="G260" s="252"/>
      <c r="H260" s="551"/>
      <c r="I260" s="242"/>
      <c r="J260" s="242"/>
      <c r="K260" s="242"/>
      <c r="L260" s="242"/>
      <c r="M260" s="242"/>
      <c r="N260" s="242"/>
      <c r="O260" s="242"/>
      <c r="P260" s="242"/>
      <c r="Q260" s="242"/>
      <c r="R260" s="242"/>
      <c r="S260" s="242"/>
      <c r="T260" s="242"/>
      <c r="U260" s="242"/>
      <c r="V260" s="242"/>
      <c r="W260" s="242"/>
    </row>
    <row r="261">
      <c r="A261" s="13"/>
      <c r="B261" s="252"/>
      <c r="C261" s="252"/>
      <c r="D261" s="252"/>
      <c r="E261" s="252"/>
      <c r="F261" s="252"/>
      <c r="G261" s="252"/>
      <c r="H261" s="551"/>
      <c r="I261" s="242"/>
      <c r="J261" s="242"/>
      <c r="K261" s="242"/>
      <c r="L261" s="242"/>
      <c r="M261" s="242"/>
      <c r="N261" s="242"/>
      <c r="O261" s="242"/>
      <c r="P261" s="242"/>
      <c r="Q261" s="242"/>
      <c r="R261" s="242"/>
      <c r="S261" s="242"/>
      <c r="T261" s="242"/>
      <c r="U261" s="242"/>
      <c r="V261" s="242"/>
      <c r="W261" s="242"/>
    </row>
    <row r="262">
      <c r="A262" s="13"/>
      <c r="B262" s="252"/>
      <c r="C262" s="252"/>
      <c r="D262" s="252"/>
      <c r="E262" s="252"/>
      <c r="F262" s="252"/>
      <c r="G262" s="252"/>
      <c r="H262" s="551"/>
      <c r="I262" s="242"/>
      <c r="J262" s="242"/>
      <c r="K262" s="242"/>
      <c r="L262" s="242"/>
      <c r="M262" s="242"/>
      <c r="N262" s="242"/>
      <c r="O262" s="242"/>
      <c r="P262" s="242"/>
      <c r="Q262" s="242"/>
      <c r="R262" s="242"/>
      <c r="S262" s="242"/>
      <c r="T262" s="242"/>
      <c r="U262" s="242"/>
      <c r="V262" s="242"/>
      <c r="W262" s="242"/>
    </row>
    <row r="263">
      <c r="A263" s="13"/>
      <c r="B263" s="252"/>
      <c r="C263" s="252"/>
      <c r="D263" s="252"/>
      <c r="E263" s="252"/>
      <c r="F263" s="252"/>
      <c r="G263" s="252"/>
      <c r="H263" s="551"/>
      <c r="I263" s="242"/>
      <c r="J263" s="242"/>
      <c r="K263" s="242"/>
      <c r="L263" s="242"/>
      <c r="M263" s="242"/>
      <c r="N263" s="242"/>
      <c r="O263" s="242"/>
      <c r="P263" s="242"/>
      <c r="Q263" s="242"/>
      <c r="R263" s="242"/>
      <c r="S263" s="242"/>
      <c r="T263" s="242"/>
      <c r="U263" s="242"/>
      <c r="V263" s="242"/>
      <c r="W263" s="242"/>
    </row>
    <row r="264">
      <c r="A264" s="13"/>
      <c r="B264" s="252"/>
      <c r="C264" s="252"/>
      <c r="D264" s="252"/>
      <c r="E264" s="252"/>
      <c r="F264" s="252"/>
      <c r="G264" s="252"/>
      <c r="H264" s="551"/>
      <c r="I264" s="242"/>
      <c r="J264" s="242"/>
      <c r="K264" s="242"/>
      <c r="L264" s="242"/>
      <c r="M264" s="242"/>
      <c r="N264" s="242"/>
      <c r="O264" s="242"/>
      <c r="P264" s="242"/>
      <c r="Q264" s="242"/>
      <c r="R264" s="242"/>
      <c r="S264" s="242"/>
      <c r="T264" s="242"/>
      <c r="U264" s="242"/>
      <c r="V264" s="242"/>
      <c r="W264" s="242"/>
    </row>
    <row r="265">
      <c r="A265" s="13"/>
      <c r="B265" s="252"/>
      <c r="C265" s="252"/>
      <c r="D265" s="252"/>
      <c r="E265" s="252"/>
      <c r="F265" s="252"/>
      <c r="G265" s="252"/>
      <c r="H265" s="551"/>
      <c r="I265" s="242"/>
      <c r="J265" s="242"/>
      <c r="K265" s="242"/>
      <c r="L265" s="242"/>
      <c r="M265" s="242"/>
      <c r="N265" s="242"/>
      <c r="O265" s="242"/>
      <c r="P265" s="242"/>
      <c r="Q265" s="242"/>
      <c r="R265" s="242"/>
      <c r="S265" s="242"/>
      <c r="T265" s="242"/>
      <c r="U265" s="242"/>
      <c r="V265" s="242"/>
      <c r="W265" s="242"/>
    </row>
    <row r="266">
      <c r="A266" s="13"/>
      <c r="B266" s="252"/>
      <c r="C266" s="252"/>
      <c r="D266" s="252"/>
      <c r="E266" s="252"/>
      <c r="F266" s="252"/>
      <c r="G266" s="252"/>
      <c r="H266" s="551"/>
      <c r="I266" s="242"/>
      <c r="J266" s="242"/>
      <c r="K266" s="242"/>
      <c r="L266" s="242"/>
      <c r="M266" s="242"/>
      <c r="N266" s="242"/>
      <c r="O266" s="242"/>
      <c r="P266" s="242"/>
      <c r="Q266" s="242"/>
      <c r="R266" s="242"/>
      <c r="S266" s="242"/>
      <c r="T266" s="242"/>
      <c r="U266" s="242"/>
      <c r="V266" s="242"/>
      <c r="W266" s="242"/>
    </row>
    <row r="267">
      <c r="A267" s="13"/>
      <c r="B267" s="252"/>
      <c r="C267" s="252"/>
      <c r="D267" s="252"/>
      <c r="E267" s="252"/>
      <c r="F267" s="252"/>
      <c r="G267" s="252"/>
      <c r="H267" s="551"/>
      <c r="I267" s="242"/>
      <c r="J267" s="242"/>
      <c r="K267" s="242"/>
      <c r="L267" s="242"/>
      <c r="M267" s="242"/>
      <c r="N267" s="242"/>
      <c r="O267" s="242"/>
      <c r="P267" s="242"/>
      <c r="Q267" s="242"/>
      <c r="R267" s="242"/>
      <c r="S267" s="242"/>
      <c r="T267" s="242"/>
      <c r="U267" s="242"/>
      <c r="V267" s="242"/>
      <c r="W267" s="242"/>
    </row>
    <row r="268">
      <c r="A268" s="13"/>
      <c r="B268" s="252"/>
      <c r="C268" s="252"/>
      <c r="D268" s="252"/>
      <c r="E268" s="252"/>
      <c r="F268" s="252"/>
      <c r="G268" s="252"/>
      <c r="H268" s="551"/>
      <c r="I268" s="242"/>
      <c r="J268" s="242"/>
      <c r="K268" s="242"/>
      <c r="L268" s="242"/>
      <c r="M268" s="242"/>
      <c r="N268" s="242"/>
      <c r="O268" s="242"/>
      <c r="P268" s="242"/>
      <c r="Q268" s="242"/>
      <c r="R268" s="242"/>
      <c r="S268" s="242"/>
      <c r="T268" s="242"/>
      <c r="U268" s="242"/>
      <c r="V268" s="242"/>
      <c r="W268" s="242"/>
    </row>
    <row r="269">
      <c r="A269" s="13"/>
      <c r="B269" s="252"/>
      <c r="C269" s="252"/>
      <c r="D269" s="252"/>
      <c r="E269" s="252"/>
      <c r="F269" s="252"/>
      <c r="G269" s="252"/>
      <c r="H269" s="551"/>
      <c r="I269" s="242"/>
      <c r="J269" s="242"/>
      <c r="K269" s="242"/>
      <c r="L269" s="242"/>
      <c r="M269" s="242"/>
      <c r="N269" s="242"/>
      <c r="O269" s="242"/>
      <c r="P269" s="242"/>
      <c r="Q269" s="242"/>
      <c r="R269" s="242"/>
      <c r="S269" s="242"/>
      <c r="T269" s="242"/>
      <c r="U269" s="242"/>
      <c r="V269" s="242"/>
      <c r="W269" s="242"/>
    </row>
    <row r="270">
      <c r="A270" s="13"/>
      <c r="B270" s="252"/>
      <c r="C270" s="252"/>
      <c r="D270" s="252"/>
      <c r="E270" s="252"/>
      <c r="F270" s="252"/>
      <c r="G270" s="252"/>
      <c r="H270" s="551"/>
      <c r="I270" s="242"/>
      <c r="J270" s="242"/>
      <c r="K270" s="242"/>
      <c r="L270" s="242"/>
      <c r="M270" s="242"/>
      <c r="N270" s="242"/>
      <c r="O270" s="242"/>
      <c r="P270" s="242"/>
      <c r="Q270" s="242"/>
      <c r="R270" s="242"/>
      <c r="S270" s="242"/>
      <c r="T270" s="242"/>
      <c r="U270" s="242"/>
      <c r="V270" s="242"/>
      <c r="W270" s="242"/>
    </row>
    <row r="271">
      <c r="A271" s="13"/>
      <c r="B271" s="252"/>
      <c r="C271" s="252"/>
      <c r="D271" s="252"/>
      <c r="E271" s="252"/>
      <c r="F271" s="252"/>
      <c r="G271" s="252"/>
      <c r="H271" s="551"/>
      <c r="I271" s="242"/>
      <c r="J271" s="242"/>
      <c r="K271" s="242"/>
      <c r="L271" s="242"/>
      <c r="M271" s="242"/>
      <c r="N271" s="242"/>
      <c r="O271" s="242"/>
      <c r="P271" s="242"/>
      <c r="Q271" s="242"/>
      <c r="R271" s="242"/>
      <c r="S271" s="242"/>
      <c r="T271" s="242"/>
      <c r="U271" s="242"/>
      <c r="V271" s="242"/>
      <c r="W271" s="242"/>
    </row>
    <row r="272">
      <c r="A272" s="13"/>
      <c r="B272" s="252"/>
      <c r="C272" s="252"/>
      <c r="D272" s="252"/>
      <c r="E272" s="252"/>
      <c r="F272" s="252"/>
      <c r="G272" s="252"/>
      <c r="H272" s="551"/>
      <c r="I272" s="242"/>
      <c r="J272" s="242"/>
      <c r="K272" s="242"/>
      <c r="L272" s="242"/>
      <c r="M272" s="242"/>
      <c r="N272" s="242"/>
      <c r="O272" s="242"/>
      <c r="P272" s="242"/>
      <c r="Q272" s="242"/>
      <c r="R272" s="242"/>
      <c r="S272" s="242"/>
      <c r="T272" s="242"/>
      <c r="U272" s="242"/>
      <c r="V272" s="242"/>
      <c r="W272" s="242"/>
    </row>
    <row r="273">
      <c r="A273" s="13"/>
      <c r="B273" s="252"/>
      <c r="C273" s="252"/>
      <c r="D273" s="252"/>
      <c r="E273" s="252"/>
      <c r="F273" s="252"/>
      <c r="G273" s="252"/>
      <c r="H273" s="551"/>
      <c r="I273" s="242"/>
      <c r="J273" s="242"/>
      <c r="K273" s="242"/>
      <c r="L273" s="242"/>
      <c r="M273" s="242"/>
      <c r="N273" s="242"/>
      <c r="O273" s="242"/>
      <c r="P273" s="242"/>
      <c r="Q273" s="242"/>
      <c r="R273" s="242"/>
      <c r="S273" s="242"/>
      <c r="T273" s="242"/>
      <c r="U273" s="242"/>
      <c r="V273" s="242"/>
      <c r="W273" s="242"/>
    </row>
    <row r="274">
      <c r="A274" s="13"/>
      <c r="B274" s="252"/>
      <c r="C274" s="252"/>
      <c r="D274" s="252"/>
      <c r="E274" s="252"/>
      <c r="F274" s="252"/>
      <c r="G274" s="252"/>
      <c r="H274" s="551"/>
      <c r="I274" s="242"/>
      <c r="J274" s="242"/>
      <c r="K274" s="242"/>
      <c r="L274" s="242"/>
      <c r="M274" s="242"/>
      <c r="N274" s="242"/>
      <c r="O274" s="242"/>
      <c r="P274" s="242"/>
      <c r="Q274" s="242"/>
      <c r="R274" s="242"/>
      <c r="S274" s="242"/>
      <c r="T274" s="242"/>
      <c r="U274" s="242"/>
      <c r="V274" s="242"/>
      <c r="W274" s="242"/>
    </row>
    <row r="275">
      <c r="A275" s="13"/>
      <c r="B275" s="252"/>
      <c r="C275" s="252"/>
      <c r="D275" s="252"/>
      <c r="E275" s="252"/>
      <c r="F275" s="252"/>
      <c r="G275" s="252"/>
      <c r="H275" s="551"/>
      <c r="I275" s="242"/>
      <c r="J275" s="242"/>
      <c r="K275" s="242"/>
      <c r="L275" s="242"/>
      <c r="M275" s="242"/>
      <c r="N275" s="242"/>
      <c r="O275" s="242"/>
      <c r="P275" s="242"/>
      <c r="Q275" s="242"/>
      <c r="R275" s="242"/>
      <c r="S275" s="242"/>
      <c r="T275" s="242"/>
      <c r="U275" s="242"/>
      <c r="V275" s="242"/>
      <c r="W275" s="242"/>
    </row>
    <row r="276">
      <c r="A276" s="13"/>
      <c r="B276" s="252"/>
      <c r="C276" s="252"/>
      <c r="D276" s="252"/>
      <c r="E276" s="252"/>
      <c r="F276" s="252"/>
      <c r="G276" s="252"/>
      <c r="H276" s="551"/>
      <c r="I276" s="242"/>
      <c r="J276" s="242"/>
      <c r="K276" s="242"/>
      <c r="L276" s="242"/>
      <c r="M276" s="242"/>
      <c r="N276" s="242"/>
      <c r="O276" s="242"/>
      <c r="P276" s="242"/>
      <c r="Q276" s="242"/>
      <c r="R276" s="242"/>
      <c r="S276" s="242"/>
      <c r="T276" s="242"/>
      <c r="U276" s="242"/>
      <c r="V276" s="242"/>
      <c r="W276" s="242"/>
    </row>
    <row r="277">
      <c r="A277" s="13"/>
      <c r="B277" s="252"/>
      <c r="C277" s="252"/>
      <c r="D277" s="252"/>
      <c r="E277" s="252"/>
      <c r="F277" s="252"/>
      <c r="G277" s="252"/>
      <c r="H277" s="551"/>
      <c r="I277" s="242"/>
      <c r="J277" s="242"/>
      <c r="K277" s="242"/>
      <c r="L277" s="242"/>
      <c r="M277" s="242"/>
      <c r="N277" s="242"/>
      <c r="O277" s="242"/>
      <c r="P277" s="242"/>
      <c r="Q277" s="242"/>
      <c r="R277" s="242"/>
      <c r="S277" s="242"/>
      <c r="T277" s="242"/>
      <c r="U277" s="242"/>
      <c r="V277" s="242"/>
      <c r="W277" s="242"/>
    </row>
    <row r="278">
      <c r="A278" s="13"/>
      <c r="B278" s="252"/>
      <c r="C278" s="252"/>
      <c r="D278" s="252"/>
      <c r="E278" s="252"/>
      <c r="F278" s="252"/>
      <c r="G278" s="252"/>
      <c r="H278" s="551"/>
      <c r="I278" s="242"/>
      <c r="J278" s="242"/>
      <c r="K278" s="242"/>
      <c r="L278" s="242"/>
      <c r="M278" s="242"/>
      <c r="N278" s="242"/>
      <c r="O278" s="242"/>
      <c r="P278" s="242"/>
      <c r="Q278" s="242"/>
      <c r="R278" s="242"/>
      <c r="S278" s="242"/>
      <c r="T278" s="242"/>
      <c r="U278" s="242"/>
      <c r="V278" s="242"/>
      <c r="W278" s="242"/>
    </row>
    <row r="279">
      <c r="A279" s="13"/>
      <c r="B279" s="252"/>
      <c r="C279" s="252"/>
      <c r="D279" s="252"/>
      <c r="E279" s="252"/>
      <c r="F279" s="252"/>
      <c r="G279" s="252"/>
      <c r="H279" s="551"/>
      <c r="I279" s="242"/>
      <c r="J279" s="242"/>
      <c r="K279" s="242"/>
      <c r="L279" s="242"/>
      <c r="M279" s="242"/>
      <c r="N279" s="242"/>
      <c r="O279" s="242"/>
      <c r="P279" s="242"/>
      <c r="Q279" s="242"/>
      <c r="R279" s="242"/>
      <c r="S279" s="242"/>
      <c r="T279" s="242"/>
      <c r="U279" s="242"/>
      <c r="V279" s="242"/>
      <c r="W279" s="242"/>
    </row>
    <row r="280">
      <c r="A280" s="13"/>
      <c r="B280" s="252"/>
      <c r="C280" s="252"/>
      <c r="D280" s="252"/>
      <c r="E280" s="252"/>
      <c r="F280" s="252"/>
      <c r="G280" s="252"/>
      <c r="H280" s="551"/>
      <c r="I280" s="242"/>
      <c r="J280" s="242"/>
      <c r="K280" s="242"/>
      <c r="L280" s="242"/>
      <c r="M280" s="242"/>
      <c r="N280" s="242"/>
      <c r="O280" s="242"/>
      <c r="P280" s="242"/>
      <c r="Q280" s="242"/>
      <c r="R280" s="242"/>
      <c r="S280" s="242"/>
      <c r="T280" s="242"/>
      <c r="U280" s="242"/>
      <c r="V280" s="242"/>
      <c r="W280" s="242"/>
    </row>
    <row r="281">
      <c r="A281" s="13"/>
      <c r="B281" s="252"/>
      <c r="C281" s="252"/>
      <c r="D281" s="252"/>
      <c r="E281" s="252"/>
      <c r="F281" s="252"/>
      <c r="G281" s="252"/>
      <c r="H281" s="551"/>
      <c r="I281" s="242"/>
      <c r="J281" s="242"/>
      <c r="K281" s="242"/>
      <c r="L281" s="242"/>
      <c r="M281" s="242"/>
      <c r="N281" s="242"/>
      <c r="O281" s="242"/>
      <c r="P281" s="242"/>
      <c r="Q281" s="242"/>
      <c r="R281" s="242"/>
      <c r="S281" s="242"/>
      <c r="T281" s="242"/>
      <c r="U281" s="242"/>
      <c r="V281" s="242"/>
      <c r="W281" s="242"/>
    </row>
    <row r="282">
      <c r="A282" s="13"/>
      <c r="B282" s="252"/>
      <c r="C282" s="252"/>
      <c r="D282" s="252"/>
      <c r="E282" s="252"/>
      <c r="F282" s="252"/>
      <c r="G282" s="252"/>
      <c r="H282" s="551"/>
      <c r="I282" s="242"/>
      <c r="J282" s="242"/>
      <c r="K282" s="242"/>
      <c r="L282" s="242"/>
      <c r="M282" s="242"/>
      <c r="N282" s="242"/>
      <c r="O282" s="242"/>
      <c r="P282" s="242"/>
      <c r="Q282" s="242"/>
      <c r="R282" s="242"/>
      <c r="S282" s="242"/>
      <c r="T282" s="242"/>
      <c r="U282" s="242"/>
      <c r="V282" s="242"/>
      <c r="W282" s="242"/>
    </row>
    <row r="283">
      <c r="A283" s="13"/>
      <c r="B283" s="252"/>
      <c r="C283" s="252"/>
      <c r="D283" s="252"/>
      <c r="E283" s="252"/>
      <c r="F283" s="252"/>
      <c r="G283" s="252"/>
      <c r="H283" s="551"/>
      <c r="I283" s="242"/>
      <c r="J283" s="242"/>
      <c r="K283" s="242"/>
      <c r="L283" s="242"/>
      <c r="M283" s="242"/>
      <c r="N283" s="242"/>
      <c r="O283" s="242"/>
      <c r="P283" s="242"/>
      <c r="Q283" s="242"/>
      <c r="R283" s="242"/>
      <c r="S283" s="242"/>
      <c r="T283" s="242"/>
      <c r="U283" s="242"/>
      <c r="V283" s="242"/>
      <c r="W283" s="242"/>
    </row>
    <row r="284">
      <c r="A284" s="13"/>
      <c r="B284" s="252"/>
      <c r="C284" s="252"/>
      <c r="D284" s="252"/>
      <c r="E284" s="252"/>
      <c r="F284" s="252"/>
      <c r="G284" s="252"/>
      <c r="H284" s="551"/>
      <c r="I284" s="242"/>
      <c r="J284" s="242"/>
      <c r="K284" s="242"/>
      <c r="L284" s="242"/>
      <c r="M284" s="242"/>
      <c r="N284" s="242"/>
      <c r="O284" s="242"/>
      <c r="P284" s="242"/>
      <c r="Q284" s="242"/>
      <c r="R284" s="242"/>
      <c r="S284" s="242"/>
      <c r="T284" s="242"/>
      <c r="U284" s="242"/>
      <c r="V284" s="242"/>
      <c r="W284" s="242"/>
    </row>
    <row r="285">
      <c r="A285" s="13"/>
      <c r="B285" s="252"/>
      <c r="C285" s="252"/>
      <c r="D285" s="252"/>
      <c r="E285" s="252"/>
      <c r="F285" s="252"/>
      <c r="G285" s="252"/>
      <c r="H285" s="551"/>
      <c r="I285" s="242"/>
      <c r="J285" s="242"/>
      <c r="K285" s="242"/>
      <c r="L285" s="242"/>
      <c r="M285" s="242"/>
      <c r="N285" s="242"/>
      <c r="O285" s="242"/>
      <c r="P285" s="242"/>
      <c r="Q285" s="242"/>
      <c r="R285" s="242"/>
      <c r="S285" s="242"/>
      <c r="T285" s="242"/>
      <c r="U285" s="242"/>
      <c r="V285" s="242"/>
      <c r="W285" s="242"/>
    </row>
    <row r="286">
      <c r="A286" s="13"/>
      <c r="B286" s="252"/>
      <c r="C286" s="252"/>
      <c r="D286" s="252"/>
      <c r="E286" s="252"/>
      <c r="F286" s="252"/>
      <c r="G286" s="252"/>
      <c r="H286" s="551"/>
      <c r="I286" s="242"/>
      <c r="J286" s="242"/>
      <c r="K286" s="242"/>
      <c r="L286" s="242"/>
      <c r="M286" s="242"/>
      <c r="N286" s="242"/>
      <c r="O286" s="242"/>
      <c r="P286" s="242"/>
      <c r="Q286" s="242"/>
      <c r="R286" s="242"/>
      <c r="S286" s="242"/>
      <c r="T286" s="242"/>
      <c r="U286" s="242"/>
      <c r="V286" s="242"/>
      <c r="W286" s="242"/>
    </row>
    <row r="287">
      <c r="A287" s="13"/>
      <c r="B287" s="252"/>
      <c r="C287" s="252"/>
      <c r="D287" s="252"/>
      <c r="E287" s="252"/>
      <c r="F287" s="252"/>
      <c r="G287" s="252"/>
      <c r="H287" s="551"/>
      <c r="I287" s="242"/>
      <c r="J287" s="242"/>
      <c r="K287" s="242"/>
      <c r="L287" s="242"/>
      <c r="M287" s="242"/>
      <c r="N287" s="242"/>
      <c r="O287" s="242"/>
      <c r="P287" s="242"/>
      <c r="Q287" s="242"/>
      <c r="R287" s="242"/>
      <c r="S287" s="242"/>
      <c r="T287" s="242"/>
      <c r="U287" s="242"/>
      <c r="V287" s="242"/>
      <c r="W287" s="242"/>
    </row>
    <row r="288">
      <c r="A288" s="13"/>
      <c r="B288" s="252"/>
      <c r="C288" s="252"/>
      <c r="D288" s="252"/>
      <c r="E288" s="252"/>
      <c r="F288" s="252"/>
      <c r="G288" s="252"/>
      <c r="H288" s="551"/>
      <c r="I288" s="242"/>
      <c r="J288" s="242"/>
      <c r="K288" s="242"/>
      <c r="L288" s="242"/>
      <c r="M288" s="242"/>
      <c r="N288" s="242"/>
      <c r="O288" s="242"/>
      <c r="P288" s="242"/>
      <c r="Q288" s="242"/>
      <c r="R288" s="242"/>
      <c r="S288" s="242"/>
      <c r="T288" s="242"/>
      <c r="U288" s="242"/>
      <c r="V288" s="242"/>
      <c r="W288" s="242"/>
    </row>
    <row r="289">
      <c r="A289" s="13"/>
      <c r="B289" s="252"/>
      <c r="C289" s="252"/>
      <c r="D289" s="252"/>
      <c r="E289" s="252"/>
      <c r="F289" s="252"/>
      <c r="G289" s="252"/>
      <c r="H289" s="551"/>
      <c r="I289" s="242"/>
      <c r="J289" s="242"/>
      <c r="K289" s="242"/>
      <c r="L289" s="242"/>
      <c r="M289" s="242"/>
      <c r="N289" s="242"/>
      <c r="O289" s="242"/>
      <c r="P289" s="242"/>
      <c r="Q289" s="242"/>
      <c r="R289" s="242"/>
      <c r="S289" s="242"/>
      <c r="T289" s="242"/>
      <c r="U289" s="242"/>
      <c r="V289" s="242"/>
      <c r="W289" s="242"/>
    </row>
    <row r="290">
      <c r="A290" s="13"/>
      <c r="B290" s="252"/>
      <c r="C290" s="252"/>
      <c r="D290" s="252"/>
      <c r="E290" s="252"/>
      <c r="F290" s="252"/>
      <c r="G290" s="252"/>
      <c r="H290" s="551"/>
      <c r="I290" s="242"/>
      <c r="J290" s="242"/>
      <c r="K290" s="242"/>
      <c r="L290" s="242"/>
      <c r="M290" s="242"/>
      <c r="N290" s="242"/>
      <c r="O290" s="242"/>
      <c r="P290" s="242"/>
      <c r="Q290" s="242"/>
      <c r="R290" s="242"/>
      <c r="S290" s="242"/>
      <c r="T290" s="242"/>
      <c r="U290" s="242"/>
      <c r="V290" s="242"/>
      <c r="W290" s="242"/>
    </row>
    <row r="291">
      <c r="A291" s="13"/>
      <c r="B291" s="252"/>
      <c r="C291" s="252"/>
      <c r="D291" s="252"/>
      <c r="E291" s="252"/>
      <c r="F291" s="252"/>
      <c r="G291" s="252"/>
      <c r="H291" s="551"/>
      <c r="I291" s="242"/>
      <c r="J291" s="242"/>
      <c r="K291" s="242"/>
      <c r="L291" s="242"/>
      <c r="M291" s="242"/>
      <c r="N291" s="242"/>
      <c r="O291" s="242"/>
      <c r="P291" s="242"/>
      <c r="Q291" s="242"/>
      <c r="R291" s="242"/>
      <c r="S291" s="242"/>
      <c r="T291" s="242"/>
      <c r="U291" s="242"/>
      <c r="V291" s="242"/>
      <c r="W291" s="242"/>
    </row>
    <row r="292">
      <c r="A292" s="13"/>
      <c r="B292" s="252"/>
      <c r="C292" s="252"/>
      <c r="D292" s="252"/>
      <c r="E292" s="252"/>
      <c r="F292" s="252"/>
      <c r="G292" s="252"/>
      <c r="H292" s="551"/>
      <c r="I292" s="242"/>
      <c r="J292" s="242"/>
      <c r="K292" s="242"/>
      <c r="L292" s="242"/>
      <c r="M292" s="242"/>
      <c r="N292" s="242"/>
      <c r="O292" s="242"/>
      <c r="P292" s="242"/>
      <c r="Q292" s="242"/>
      <c r="R292" s="242"/>
      <c r="S292" s="242"/>
      <c r="T292" s="242"/>
      <c r="U292" s="242"/>
      <c r="V292" s="242"/>
      <c r="W292" s="242"/>
    </row>
    <row r="293">
      <c r="A293" s="13"/>
      <c r="B293" s="252"/>
      <c r="C293" s="252"/>
      <c r="D293" s="252"/>
      <c r="E293" s="252"/>
      <c r="F293" s="252"/>
      <c r="G293" s="252"/>
      <c r="H293" s="551"/>
      <c r="I293" s="242"/>
      <c r="J293" s="242"/>
      <c r="K293" s="242"/>
      <c r="L293" s="242"/>
      <c r="M293" s="242"/>
      <c r="N293" s="242"/>
      <c r="O293" s="242"/>
      <c r="P293" s="242"/>
      <c r="Q293" s="242"/>
      <c r="R293" s="242"/>
      <c r="S293" s="242"/>
      <c r="T293" s="242"/>
      <c r="U293" s="242"/>
      <c r="V293" s="242"/>
      <c r="W293" s="242"/>
    </row>
    <row r="294">
      <c r="A294" s="13"/>
      <c r="B294" s="252"/>
      <c r="C294" s="252"/>
      <c r="D294" s="252"/>
      <c r="E294" s="252"/>
      <c r="F294" s="252"/>
      <c r="G294" s="252"/>
      <c r="H294" s="551"/>
      <c r="I294" s="242"/>
      <c r="J294" s="242"/>
      <c r="K294" s="242"/>
      <c r="L294" s="242"/>
      <c r="M294" s="242"/>
      <c r="N294" s="242"/>
      <c r="O294" s="242"/>
      <c r="P294" s="242"/>
      <c r="Q294" s="242"/>
      <c r="R294" s="242"/>
      <c r="S294" s="242"/>
      <c r="T294" s="242"/>
      <c r="U294" s="242"/>
      <c r="V294" s="242"/>
      <c r="W294" s="242"/>
    </row>
    <row r="295">
      <c r="A295" s="13"/>
      <c r="B295" s="252"/>
      <c r="C295" s="252"/>
      <c r="D295" s="252"/>
      <c r="E295" s="252"/>
      <c r="F295" s="252"/>
      <c r="G295" s="252"/>
      <c r="H295" s="551"/>
      <c r="I295" s="242"/>
      <c r="J295" s="242"/>
      <c r="K295" s="242"/>
      <c r="L295" s="242"/>
      <c r="M295" s="242"/>
      <c r="N295" s="242"/>
      <c r="O295" s="242"/>
      <c r="P295" s="242"/>
      <c r="Q295" s="242"/>
      <c r="R295" s="242"/>
      <c r="S295" s="242"/>
      <c r="T295" s="242"/>
      <c r="U295" s="242"/>
      <c r="V295" s="242"/>
      <c r="W295" s="242"/>
    </row>
    <row r="296">
      <c r="A296" s="13"/>
      <c r="B296" s="252"/>
      <c r="C296" s="252"/>
      <c r="D296" s="252"/>
      <c r="E296" s="252"/>
      <c r="F296" s="252"/>
      <c r="G296" s="252"/>
      <c r="H296" s="551"/>
      <c r="I296" s="242"/>
      <c r="J296" s="242"/>
      <c r="K296" s="242"/>
      <c r="L296" s="242"/>
      <c r="M296" s="242"/>
      <c r="N296" s="242"/>
      <c r="O296" s="242"/>
      <c r="P296" s="242"/>
      <c r="Q296" s="242"/>
      <c r="R296" s="242"/>
      <c r="S296" s="242"/>
      <c r="T296" s="242"/>
      <c r="U296" s="242"/>
      <c r="V296" s="242"/>
      <c r="W296" s="242"/>
    </row>
    <row r="297">
      <c r="A297" s="13"/>
      <c r="B297" s="252"/>
      <c r="C297" s="252"/>
      <c r="D297" s="252"/>
      <c r="E297" s="252"/>
      <c r="F297" s="252"/>
      <c r="G297" s="252"/>
      <c r="H297" s="551"/>
      <c r="I297" s="242"/>
      <c r="J297" s="242"/>
      <c r="K297" s="242"/>
      <c r="L297" s="242"/>
      <c r="M297" s="242"/>
      <c r="N297" s="242"/>
      <c r="O297" s="242"/>
      <c r="P297" s="242"/>
      <c r="Q297" s="242"/>
      <c r="R297" s="242"/>
      <c r="S297" s="242"/>
      <c r="T297" s="242"/>
      <c r="U297" s="242"/>
      <c r="V297" s="242"/>
      <c r="W297" s="242"/>
    </row>
    <row r="298">
      <c r="A298" s="13"/>
      <c r="B298" s="252"/>
      <c r="C298" s="252"/>
      <c r="D298" s="252"/>
      <c r="E298" s="252"/>
      <c r="F298" s="252"/>
      <c r="G298" s="252"/>
      <c r="H298" s="551"/>
      <c r="I298" s="242"/>
      <c r="J298" s="242"/>
      <c r="K298" s="242"/>
      <c r="L298" s="242"/>
      <c r="M298" s="242"/>
      <c r="N298" s="242"/>
      <c r="O298" s="242"/>
      <c r="P298" s="242"/>
      <c r="Q298" s="242"/>
      <c r="R298" s="242"/>
      <c r="S298" s="242"/>
      <c r="T298" s="242"/>
      <c r="U298" s="242"/>
      <c r="V298" s="242"/>
      <c r="W298" s="242"/>
    </row>
    <row r="299">
      <c r="A299" s="13"/>
      <c r="B299" s="252"/>
      <c r="C299" s="252"/>
      <c r="D299" s="252"/>
      <c r="E299" s="252"/>
      <c r="F299" s="252"/>
      <c r="G299" s="252"/>
      <c r="H299" s="551"/>
      <c r="I299" s="242"/>
      <c r="J299" s="242"/>
      <c r="K299" s="242"/>
      <c r="L299" s="242"/>
      <c r="M299" s="242"/>
      <c r="N299" s="242"/>
      <c r="O299" s="242"/>
      <c r="P299" s="242"/>
      <c r="Q299" s="242"/>
      <c r="R299" s="242"/>
      <c r="S299" s="242"/>
      <c r="T299" s="242"/>
      <c r="U299" s="242"/>
      <c r="V299" s="242"/>
      <c r="W299" s="242"/>
    </row>
    <row r="300">
      <c r="A300" s="13"/>
      <c r="B300" s="252"/>
      <c r="C300" s="252"/>
      <c r="D300" s="252"/>
      <c r="E300" s="252"/>
      <c r="F300" s="252"/>
      <c r="G300" s="252"/>
      <c r="H300" s="551"/>
      <c r="I300" s="242"/>
      <c r="J300" s="242"/>
      <c r="K300" s="242"/>
      <c r="L300" s="242"/>
      <c r="M300" s="242"/>
      <c r="N300" s="242"/>
      <c r="O300" s="242"/>
      <c r="P300" s="242"/>
      <c r="Q300" s="242"/>
      <c r="R300" s="242"/>
      <c r="S300" s="242"/>
      <c r="T300" s="242"/>
      <c r="U300" s="242"/>
      <c r="V300" s="242"/>
      <c r="W300" s="242"/>
    </row>
    <row r="301">
      <c r="A301" s="13"/>
      <c r="B301" s="252"/>
      <c r="C301" s="252"/>
      <c r="D301" s="252"/>
      <c r="E301" s="252"/>
      <c r="F301" s="252"/>
      <c r="G301" s="252"/>
      <c r="H301" s="551"/>
      <c r="I301" s="242"/>
      <c r="J301" s="242"/>
      <c r="K301" s="242"/>
      <c r="L301" s="242"/>
      <c r="M301" s="242"/>
      <c r="N301" s="242"/>
      <c r="O301" s="242"/>
      <c r="P301" s="242"/>
      <c r="Q301" s="242"/>
      <c r="R301" s="242"/>
      <c r="S301" s="242"/>
      <c r="T301" s="242"/>
      <c r="U301" s="242"/>
      <c r="V301" s="242"/>
      <c r="W301" s="242"/>
    </row>
    <row r="302">
      <c r="A302" s="13"/>
      <c r="B302" s="252"/>
      <c r="C302" s="252"/>
      <c r="D302" s="252"/>
      <c r="E302" s="252"/>
      <c r="F302" s="252"/>
      <c r="G302" s="252"/>
      <c r="H302" s="551"/>
      <c r="I302" s="242"/>
      <c r="J302" s="242"/>
      <c r="K302" s="242"/>
      <c r="L302" s="242"/>
      <c r="M302" s="242"/>
      <c r="N302" s="242"/>
      <c r="O302" s="242"/>
      <c r="P302" s="242"/>
      <c r="Q302" s="242"/>
      <c r="R302" s="242"/>
      <c r="S302" s="242"/>
      <c r="T302" s="242"/>
      <c r="U302" s="242"/>
      <c r="V302" s="242"/>
      <c r="W302" s="242"/>
    </row>
    <row r="303">
      <c r="A303" s="13"/>
      <c r="B303" s="252"/>
      <c r="C303" s="252"/>
      <c r="D303" s="252"/>
      <c r="E303" s="252"/>
      <c r="F303" s="252"/>
      <c r="G303" s="252"/>
      <c r="H303" s="551"/>
      <c r="I303" s="242"/>
      <c r="J303" s="242"/>
      <c r="K303" s="242"/>
      <c r="L303" s="242"/>
      <c r="M303" s="242"/>
      <c r="N303" s="242"/>
      <c r="O303" s="242"/>
      <c r="P303" s="242"/>
      <c r="Q303" s="242"/>
      <c r="R303" s="242"/>
      <c r="S303" s="242"/>
      <c r="T303" s="242"/>
      <c r="U303" s="242"/>
      <c r="V303" s="242"/>
      <c r="W303" s="242"/>
    </row>
    <row r="304">
      <c r="A304" s="13"/>
      <c r="B304" s="252"/>
      <c r="C304" s="252"/>
      <c r="D304" s="252"/>
      <c r="E304" s="252"/>
      <c r="F304" s="252"/>
      <c r="G304" s="252"/>
      <c r="H304" s="551"/>
      <c r="I304" s="242"/>
      <c r="J304" s="242"/>
      <c r="K304" s="242"/>
      <c r="L304" s="242"/>
      <c r="M304" s="242"/>
      <c r="N304" s="242"/>
      <c r="O304" s="242"/>
      <c r="P304" s="242"/>
      <c r="Q304" s="242"/>
      <c r="R304" s="242"/>
      <c r="S304" s="242"/>
      <c r="T304" s="242"/>
      <c r="U304" s="242"/>
      <c r="V304" s="242"/>
      <c r="W304" s="242"/>
    </row>
    <row r="305">
      <c r="A305" s="13"/>
      <c r="B305" s="252"/>
      <c r="C305" s="252"/>
      <c r="D305" s="252"/>
      <c r="E305" s="252"/>
      <c r="F305" s="252"/>
      <c r="G305" s="252"/>
      <c r="H305" s="551"/>
      <c r="I305" s="242"/>
      <c r="J305" s="242"/>
      <c r="K305" s="242"/>
      <c r="L305" s="242"/>
      <c r="M305" s="242"/>
      <c r="N305" s="242"/>
      <c r="O305" s="242"/>
      <c r="P305" s="242"/>
      <c r="Q305" s="242"/>
      <c r="R305" s="242"/>
      <c r="S305" s="242"/>
      <c r="T305" s="242"/>
      <c r="U305" s="242"/>
      <c r="V305" s="242"/>
      <c r="W305" s="242"/>
    </row>
    <row r="306">
      <c r="A306" s="13"/>
      <c r="B306" s="252"/>
      <c r="C306" s="252"/>
      <c r="D306" s="252"/>
      <c r="E306" s="252"/>
      <c r="F306" s="252"/>
      <c r="G306" s="252"/>
      <c r="H306" s="551"/>
      <c r="I306" s="242"/>
      <c r="J306" s="242"/>
      <c r="K306" s="242"/>
      <c r="L306" s="242"/>
      <c r="M306" s="242"/>
      <c r="N306" s="242"/>
      <c r="O306" s="242"/>
      <c r="P306" s="242"/>
      <c r="Q306" s="242"/>
      <c r="R306" s="242"/>
      <c r="S306" s="242"/>
      <c r="T306" s="242"/>
      <c r="U306" s="242"/>
      <c r="V306" s="242"/>
      <c r="W306" s="242"/>
    </row>
    <row r="307">
      <c r="A307" s="13"/>
      <c r="B307" s="252"/>
      <c r="C307" s="252"/>
      <c r="D307" s="252"/>
      <c r="E307" s="252"/>
      <c r="F307" s="252"/>
      <c r="G307" s="252"/>
      <c r="H307" s="551"/>
      <c r="I307" s="242"/>
      <c r="J307" s="242"/>
      <c r="K307" s="242"/>
      <c r="L307" s="242"/>
      <c r="M307" s="242"/>
      <c r="N307" s="242"/>
      <c r="O307" s="242"/>
      <c r="P307" s="242"/>
      <c r="Q307" s="242"/>
      <c r="R307" s="242"/>
      <c r="S307" s="242"/>
      <c r="T307" s="242"/>
      <c r="U307" s="242"/>
      <c r="V307" s="242"/>
      <c r="W307" s="242"/>
    </row>
    <row r="308">
      <c r="A308" s="13"/>
      <c r="B308" s="252"/>
      <c r="C308" s="252"/>
      <c r="D308" s="252"/>
      <c r="E308" s="252"/>
      <c r="F308" s="252"/>
      <c r="G308" s="252"/>
      <c r="H308" s="551"/>
      <c r="I308" s="242"/>
      <c r="J308" s="242"/>
      <c r="K308" s="242"/>
      <c r="L308" s="242"/>
      <c r="M308" s="242"/>
      <c r="N308" s="242"/>
      <c r="O308" s="242"/>
      <c r="P308" s="242"/>
      <c r="Q308" s="242"/>
      <c r="R308" s="242"/>
      <c r="S308" s="242"/>
      <c r="T308" s="242"/>
      <c r="U308" s="242"/>
      <c r="V308" s="242"/>
      <c r="W308" s="242"/>
    </row>
    <row r="309">
      <c r="A309" s="13"/>
      <c r="B309" s="252"/>
      <c r="C309" s="252"/>
      <c r="D309" s="252"/>
      <c r="E309" s="252"/>
      <c r="F309" s="252"/>
      <c r="G309" s="252"/>
      <c r="H309" s="551"/>
      <c r="I309" s="242"/>
      <c r="J309" s="242"/>
      <c r="K309" s="242"/>
      <c r="L309" s="242"/>
      <c r="M309" s="242"/>
      <c r="N309" s="242"/>
      <c r="O309" s="242"/>
      <c r="P309" s="242"/>
      <c r="Q309" s="242"/>
      <c r="R309" s="242"/>
      <c r="S309" s="242"/>
      <c r="T309" s="242"/>
      <c r="U309" s="242"/>
      <c r="V309" s="242"/>
      <c r="W309" s="242"/>
    </row>
    <row r="310">
      <c r="A310" s="13"/>
      <c r="B310" s="252"/>
      <c r="C310" s="252"/>
      <c r="D310" s="252"/>
      <c r="E310" s="252"/>
      <c r="F310" s="252"/>
      <c r="G310" s="252"/>
      <c r="H310" s="551"/>
      <c r="I310" s="242"/>
      <c r="J310" s="242"/>
      <c r="K310" s="242"/>
      <c r="L310" s="242"/>
      <c r="M310" s="242"/>
      <c r="N310" s="242"/>
      <c r="O310" s="242"/>
      <c r="P310" s="242"/>
      <c r="Q310" s="242"/>
      <c r="R310" s="242"/>
      <c r="S310" s="242"/>
      <c r="T310" s="242"/>
      <c r="U310" s="242"/>
      <c r="V310" s="242"/>
      <c r="W310" s="242"/>
    </row>
    <row r="311">
      <c r="A311" s="13"/>
      <c r="B311" s="252"/>
      <c r="C311" s="252"/>
      <c r="D311" s="252"/>
      <c r="E311" s="252"/>
      <c r="F311" s="252"/>
      <c r="G311" s="252"/>
      <c r="H311" s="551"/>
      <c r="I311" s="242"/>
      <c r="J311" s="242"/>
      <c r="K311" s="242"/>
      <c r="L311" s="242"/>
      <c r="M311" s="242"/>
      <c r="N311" s="242"/>
      <c r="O311" s="242"/>
      <c r="P311" s="242"/>
      <c r="Q311" s="242"/>
      <c r="R311" s="242"/>
      <c r="S311" s="242"/>
      <c r="T311" s="242"/>
      <c r="U311" s="242"/>
      <c r="V311" s="242"/>
      <c r="W311" s="242"/>
    </row>
    <row r="312">
      <c r="A312" s="13"/>
      <c r="B312" s="252"/>
      <c r="C312" s="252"/>
      <c r="D312" s="252"/>
      <c r="E312" s="252"/>
      <c r="F312" s="252"/>
      <c r="G312" s="252"/>
      <c r="H312" s="551"/>
      <c r="I312" s="242"/>
      <c r="J312" s="242"/>
      <c r="K312" s="242"/>
      <c r="L312" s="242"/>
      <c r="M312" s="242"/>
      <c r="N312" s="242"/>
      <c r="O312" s="242"/>
      <c r="P312" s="242"/>
      <c r="Q312" s="242"/>
      <c r="R312" s="242"/>
      <c r="S312" s="242"/>
      <c r="T312" s="242"/>
      <c r="U312" s="242"/>
      <c r="V312" s="242"/>
      <c r="W312" s="242"/>
    </row>
    <row r="313">
      <c r="A313" s="13"/>
      <c r="B313" s="252"/>
      <c r="C313" s="252"/>
      <c r="D313" s="252"/>
      <c r="E313" s="252"/>
      <c r="F313" s="252"/>
      <c r="G313" s="252"/>
      <c r="H313" s="551"/>
      <c r="I313" s="242"/>
      <c r="J313" s="242"/>
      <c r="K313" s="242"/>
      <c r="L313" s="242"/>
      <c r="M313" s="242"/>
      <c r="N313" s="242"/>
      <c r="O313" s="242"/>
      <c r="P313" s="242"/>
      <c r="Q313" s="242"/>
      <c r="R313" s="242"/>
      <c r="S313" s="242"/>
      <c r="T313" s="242"/>
      <c r="U313" s="242"/>
      <c r="V313" s="242"/>
      <c r="W313" s="242"/>
    </row>
    <row r="314">
      <c r="A314" s="13"/>
      <c r="B314" s="252"/>
      <c r="C314" s="252"/>
      <c r="D314" s="252"/>
      <c r="E314" s="252"/>
      <c r="F314" s="252"/>
      <c r="G314" s="252"/>
      <c r="H314" s="551"/>
      <c r="I314" s="242"/>
      <c r="J314" s="242"/>
      <c r="K314" s="242"/>
      <c r="L314" s="242"/>
      <c r="M314" s="242"/>
      <c r="N314" s="242"/>
      <c r="O314" s="242"/>
      <c r="P314" s="242"/>
      <c r="Q314" s="242"/>
      <c r="R314" s="242"/>
      <c r="S314" s="242"/>
      <c r="T314" s="242"/>
      <c r="U314" s="242"/>
      <c r="V314" s="242"/>
      <c r="W314" s="242"/>
    </row>
    <row r="315">
      <c r="A315" s="13"/>
      <c r="B315" s="252"/>
      <c r="C315" s="252"/>
      <c r="D315" s="252"/>
      <c r="E315" s="252"/>
      <c r="F315" s="252"/>
      <c r="G315" s="252"/>
      <c r="H315" s="551"/>
      <c r="I315" s="242"/>
      <c r="J315" s="242"/>
      <c r="K315" s="242"/>
      <c r="L315" s="242"/>
      <c r="M315" s="242"/>
      <c r="N315" s="242"/>
      <c r="O315" s="242"/>
      <c r="P315" s="242"/>
      <c r="Q315" s="242"/>
      <c r="R315" s="242"/>
      <c r="S315" s="242"/>
      <c r="T315" s="242"/>
      <c r="U315" s="242"/>
      <c r="V315" s="242"/>
      <c r="W315" s="242"/>
    </row>
    <row r="316">
      <c r="A316" s="13"/>
      <c r="B316" s="252"/>
      <c r="C316" s="252"/>
      <c r="D316" s="252"/>
      <c r="E316" s="252"/>
      <c r="F316" s="252"/>
      <c r="G316" s="252"/>
      <c r="H316" s="551"/>
      <c r="I316" s="242"/>
      <c r="J316" s="242"/>
      <c r="K316" s="242"/>
      <c r="L316" s="242"/>
      <c r="M316" s="242"/>
      <c r="N316" s="242"/>
      <c r="O316" s="242"/>
      <c r="P316" s="242"/>
      <c r="Q316" s="242"/>
      <c r="R316" s="242"/>
      <c r="S316" s="242"/>
      <c r="T316" s="242"/>
      <c r="U316" s="242"/>
      <c r="V316" s="242"/>
      <c r="W316" s="242"/>
    </row>
    <row r="317">
      <c r="A317" s="13"/>
      <c r="B317" s="252"/>
      <c r="C317" s="252"/>
      <c r="D317" s="252"/>
      <c r="E317" s="252"/>
      <c r="F317" s="252"/>
      <c r="G317" s="252"/>
      <c r="H317" s="551"/>
      <c r="I317" s="242"/>
      <c r="J317" s="242"/>
      <c r="K317" s="242"/>
      <c r="L317" s="242"/>
      <c r="M317" s="242"/>
      <c r="N317" s="242"/>
      <c r="O317" s="242"/>
      <c r="P317" s="242"/>
      <c r="Q317" s="242"/>
      <c r="R317" s="242"/>
      <c r="S317" s="242"/>
      <c r="T317" s="242"/>
      <c r="U317" s="242"/>
      <c r="V317" s="242"/>
      <c r="W317" s="242"/>
    </row>
    <row r="318">
      <c r="A318" s="13"/>
      <c r="B318" s="252"/>
      <c r="C318" s="252"/>
      <c r="D318" s="252"/>
      <c r="E318" s="252"/>
      <c r="F318" s="252"/>
      <c r="G318" s="252"/>
      <c r="H318" s="551"/>
      <c r="I318" s="242"/>
      <c r="J318" s="242"/>
      <c r="K318" s="242"/>
      <c r="L318" s="242"/>
      <c r="M318" s="242"/>
      <c r="N318" s="242"/>
      <c r="O318" s="242"/>
      <c r="P318" s="242"/>
      <c r="Q318" s="242"/>
      <c r="R318" s="242"/>
      <c r="S318" s="242"/>
      <c r="T318" s="242"/>
      <c r="U318" s="242"/>
      <c r="V318" s="242"/>
      <c r="W318" s="242"/>
    </row>
    <row r="319">
      <c r="A319" s="13"/>
      <c r="B319" s="252"/>
      <c r="C319" s="252"/>
      <c r="D319" s="252"/>
      <c r="E319" s="252"/>
      <c r="F319" s="252"/>
      <c r="G319" s="252"/>
      <c r="H319" s="551"/>
      <c r="I319" s="242"/>
      <c r="J319" s="242"/>
      <c r="K319" s="242"/>
      <c r="L319" s="242"/>
      <c r="M319" s="242"/>
      <c r="N319" s="242"/>
      <c r="O319" s="242"/>
      <c r="P319" s="242"/>
      <c r="Q319" s="242"/>
      <c r="R319" s="242"/>
      <c r="S319" s="242"/>
      <c r="T319" s="242"/>
      <c r="U319" s="242"/>
      <c r="V319" s="242"/>
      <c r="W319" s="242"/>
    </row>
    <row r="320">
      <c r="A320" s="13"/>
      <c r="B320" s="252"/>
      <c r="C320" s="252"/>
      <c r="D320" s="252"/>
      <c r="E320" s="252"/>
      <c r="F320" s="252"/>
      <c r="G320" s="252"/>
      <c r="H320" s="551"/>
      <c r="I320" s="242"/>
      <c r="J320" s="242"/>
      <c r="K320" s="242"/>
      <c r="L320" s="242"/>
      <c r="M320" s="242"/>
      <c r="N320" s="242"/>
      <c r="O320" s="242"/>
      <c r="P320" s="242"/>
      <c r="Q320" s="242"/>
      <c r="R320" s="242"/>
      <c r="S320" s="242"/>
      <c r="T320" s="242"/>
      <c r="U320" s="242"/>
      <c r="V320" s="242"/>
      <c r="W320" s="242"/>
    </row>
    <row r="321">
      <c r="A321" s="13"/>
      <c r="B321" s="252"/>
      <c r="C321" s="252"/>
      <c r="D321" s="252"/>
      <c r="E321" s="252"/>
      <c r="F321" s="252"/>
      <c r="G321" s="252"/>
      <c r="H321" s="551"/>
      <c r="I321" s="242"/>
      <c r="J321" s="242"/>
      <c r="K321" s="242"/>
      <c r="L321" s="242"/>
      <c r="M321" s="242"/>
      <c r="N321" s="242"/>
      <c r="O321" s="242"/>
      <c r="P321" s="242"/>
      <c r="Q321" s="242"/>
      <c r="R321" s="242"/>
      <c r="S321" s="242"/>
      <c r="T321" s="242"/>
      <c r="U321" s="242"/>
      <c r="V321" s="242"/>
      <c r="W321" s="242"/>
    </row>
    <row r="322">
      <c r="A322" s="13"/>
      <c r="B322" s="252"/>
      <c r="C322" s="252"/>
      <c r="D322" s="252"/>
      <c r="E322" s="252"/>
      <c r="F322" s="252"/>
      <c r="G322" s="252"/>
      <c r="H322" s="551"/>
      <c r="I322" s="242"/>
      <c r="J322" s="242"/>
      <c r="K322" s="242"/>
      <c r="L322" s="242"/>
      <c r="M322" s="242"/>
      <c r="N322" s="242"/>
      <c r="O322" s="242"/>
      <c r="P322" s="242"/>
      <c r="Q322" s="242"/>
      <c r="R322" s="242"/>
      <c r="S322" s="242"/>
      <c r="T322" s="242"/>
      <c r="U322" s="242"/>
      <c r="V322" s="242"/>
      <c r="W322" s="242"/>
    </row>
    <row r="323">
      <c r="A323" s="13"/>
      <c r="B323" s="252"/>
      <c r="C323" s="252"/>
      <c r="D323" s="252"/>
      <c r="E323" s="252"/>
      <c r="F323" s="252"/>
      <c r="G323" s="252"/>
      <c r="H323" s="551"/>
      <c r="I323" s="242"/>
      <c r="J323" s="242"/>
      <c r="K323" s="242"/>
      <c r="L323" s="242"/>
      <c r="M323" s="242"/>
      <c r="N323" s="242"/>
      <c r="O323" s="242"/>
      <c r="P323" s="242"/>
      <c r="Q323" s="242"/>
      <c r="R323" s="242"/>
      <c r="S323" s="242"/>
      <c r="T323" s="242"/>
      <c r="U323" s="242"/>
      <c r="V323" s="242"/>
      <c r="W323" s="242"/>
    </row>
    <row r="324">
      <c r="A324" s="13"/>
      <c r="B324" s="252"/>
      <c r="C324" s="252"/>
      <c r="D324" s="252"/>
      <c r="E324" s="252"/>
      <c r="F324" s="252"/>
      <c r="G324" s="252"/>
      <c r="H324" s="551"/>
      <c r="I324" s="242"/>
      <c r="J324" s="242"/>
      <c r="K324" s="242"/>
      <c r="L324" s="242"/>
      <c r="M324" s="242"/>
      <c r="N324" s="242"/>
      <c r="O324" s="242"/>
      <c r="P324" s="242"/>
      <c r="Q324" s="242"/>
      <c r="R324" s="242"/>
      <c r="S324" s="242"/>
      <c r="T324" s="242"/>
      <c r="U324" s="242"/>
      <c r="V324" s="242"/>
      <c r="W324" s="242"/>
    </row>
    <row r="325">
      <c r="A325" s="13"/>
      <c r="B325" s="252"/>
      <c r="C325" s="252"/>
      <c r="D325" s="252"/>
      <c r="E325" s="252"/>
      <c r="F325" s="252"/>
      <c r="G325" s="252"/>
      <c r="H325" s="551"/>
      <c r="I325" s="242"/>
      <c r="J325" s="242"/>
      <c r="K325" s="242"/>
      <c r="L325" s="242"/>
      <c r="M325" s="242"/>
      <c r="N325" s="242"/>
      <c r="O325" s="242"/>
      <c r="P325" s="242"/>
      <c r="Q325" s="242"/>
      <c r="R325" s="242"/>
      <c r="S325" s="242"/>
      <c r="T325" s="242"/>
      <c r="U325" s="242"/>
      <c r="V325" s="242"/>
      <c r="W325" s="242"/>
    </row>
    <row r="326">
      <c r="A326" s="13"/>
      <c r="B326" s="252"/>
      <c r="C326" s="252"/>
      <c r="D326" s="252"/>
      <c r="E326" s="252"/>
      <c r="F326" s="252"/>
      <c r="G326" s="252"/>
      <c r="H326" s="551"/>
      <c r="I326" s="242"/>
      <c r="J326" s="242"/>
      <c r="K326" s="242"/>
      <c r="L326" s="242"/>
      <c r="M326" s="242"/>
      <c r="N326" s="242"/>
      <c r="O326" s="242"/>
      <c r="P326" s="242"/>
      <c r="Q326" s="242"/>
      <c r="R326" s="242"/>
      <c r="S326" s="242"/>
      <c r="T326" s="242"/>
      <c r="U326" s="242"/>
      <c r="V326" s="242"/>
      <c r="W326" s="242"/>
    </row>
    <row r="327">
      <c r="A327" s="13"/>
      <c r="B327" s="252"/>
      <c r="C327" s="252"/>
      <c r="D327" s="252"/>
      <c r="E327" s="252"/>
      <c r="F327" s="252"/>
      <c r="G327" s="252"/>
      <c r="H327" s="551"/>
      <c r="I327" s="242"/>
      <c r="J327" s="242"/>
      <c r="K327" s="242"/>
      <c r="L327" s="242"/>
      <c r="M327" s="242"/>
      <c r="N327" s="242"/>
      <c r="O327" s="242"/>
      <c r="P327" s="242"/>
      <c r="Q327" s="242"/>
      <c r="R327" s="242"/>
      <c r="S327" s="242"/>
      <c r="T327" s="242"/>
      <c r="U327" s="242"/>
      <c r="V327" s="242"/>
      <c r="W327" s="242"/>
    </row>
    <row r="328">
      <c r="A328" s="13"/>
      <c r="B328" s="252"/>
      <c r="C328" s="252"/>
      <c r="D328" s="252"/>
      <c r="E328" s="252"/>
      <c r="F328" s="252"/>
      <c r="G328" s="252"/>
      <c r="H328" s="551"/>
      <c r="I328" s="242"/>
      <c r="J328" s="242"/>
      <c r="K328" s="242"/>
      <c r="L328" s="242"/>
      <c r="M328" s="242"/>
      <c r="N328" s="242"/>
      <c r="O328" s="242"/>
      <c r="P328" s="242"/>
      <c r="Q328" s="242"/>
      <c r="R328" s="242"/>
      <c r="S328" s="242"/>
      <c r="T328" s="242"/>
      <c r="U328" s="242"/>
      <c r="V328" s="242"/>
      <c r="W328" s="242"/>
    </row>
    <row r="329">
      <c r="A329" s="13"/>
      <c r="B329" s="252"/>
      <c r="C329" s="252"/>
      <c r="D329" s="252"/>
      <c r="E329" s="252"/>
      <c r="F329" s="252"/>
      <c r="G329" s="252"/>
      <c r="H329" s="551"/>
      <c r="I329" s="242"/>
      <c r="J329" s="242"/>
      <c r="K329" s="242"/>
      <c r="L329" s="242"/>
      <c r="M329" s="242"/>
      <c r="N329" s="242"/>
      <c r="O329" s="242"/>
      <c r="P329" s="242"/>
      <c r="Q329" s="242"/>
      <c r="R329" s="242"/>
      <c r="S329" s="242"/>
      <c r="T329" s="242"/>
      <c r="U329" s="242"/>
      <c r="V329" s="242"/>
      <c r="W329" s="242"/>
    </row>
    <row r="330">
      <c r="A330" s="13"/>
      <c r="B330" s="252"/>
      <c r="C330" s="252"/>
      <c r="D330" s="252"/>
      <c r="E330" s="252"/>
      <c r="F330" s="252"/>
      <c r="G330" s="252"/>
      <c r="H330" s="551"/>
      <c r="I330" s="242"/>
      <c r="J330" s="242"/>
      <c r="K330" s="242"/>
      <c r="L330" s="242"/>
      <c r="M330" s="242"/>
      <c r="N330" s="242"/>
      <c r="O330" s="242"/>
      <c r="P330" s="242"/>
      <c r="Q330" s="242"/>
      <c r="R330" s="242"/>
      <c r="S330" s="242"/>
      <c r="T330" s="242"/>
      <c r="U330" s="242"/>
      <c r="V330" s="242"/>
      <c r="W330" s="242"/>
    </row>
    <row r="331">
      <c r="A331" s="13"/>
      <c r="B331" s="252"/>
      <c r="C331" s="252"/>
      <c r="D331" s="252"/>
      <c r="E331" s="252"/>
      <c r="F331" s="252"/>
      <c r="G331" s="252"/>
      <c r="H331" s="551"/>
      <c r="I331" s="242"/>
      <c r="J331" s="242"/>
      <c r="K331" s="242"/>
      <c r="L331" s="242"/>
      <c r="M331" s="242"/>
      <c r="N331" s="242"/>
      <c r="O331" s="242"/>
      <c r="P331" s="242"/>
      <c r="Q331" s="242"/>
      <c r="R331" s="242"/>
      <c r="S331" s="242"/>
      <c r="T331" s="242"/>
      <c r="U331" s="242"/>
      <c r="V331" s="242"/>
      <c r="W331" s="242"/>
    </row>
    <row r="332">
      <c r="A332" s="13"/>
      <c r="B332" s="252"/>
      <c r="C332" s="252"/>
      <c r="D332" s="252"/>
      <c r="E332" s="252"/>
      <c r="F332" s="252"/>
      <c r="G332" s="252"/>
      <c r="H332" s="551"/>
      <c r="I332" s="242"/>
      <c r="J332" s="242"/>
      <c r="K332" s="242"/>
      <c r="L332" s="242"/>
      <c r="M332" s="242"/>
      <c r="N332" s="242"/>
      <c r="O332" s="242"/>
      <c r="P332" s="242"/>
      <c r="Q332" s="242"/>
      <c r="R332" s="242"/>
      <c r="S332" s="242"/>
      <c r="T332" s="242"/>
      <c r="U332" s="242"/>
      <c r="V332" s="242"/>
      <c r="W332" s="242"/>
    </row>
    <row r="333">
      <c r="A333" s="13"/>
      <c r="B333" s="252"/>
      <c r="C333" s="252"/>
      <c r="D333" s="252"/>
      <c r="E333" s="252"/>
      <c r="F333" s="252"/>
      <c r="G333" s="252"/>
      <c r="H333" s="551"/>
      <c r="I333" s="242"/>
      <c r="J333" s="242"/>
      <c r="K333" s="242"/>
      <c r="L333" s="242"/>
      <c r="M333" s="242"/>
      <c r="N333" s="242"/>
      <c r="O333" s="242"/>
      <c r="P333" s="242"/>
      <c r="Q333" s="242"/>
      <c r="R333" s="242"/>
      <c r="S333" s="242"/>
      <c r="T333" s="242"/>
      <c r="U333" s="242"/>
      <c r="V333" s="242"/>
      <c r="W333" s="242"/>
    </row>
    <row r="334">
      <c r="A334" s="13"/>
      <c r="B334" s="252"/>
      <c r="C334" s="252"/>
      <c r="D334" s="252"/>
      <c r="E334" s="252"/>
      <c r="F334" s="252"/>
      <c r="G334" s="252"/>
      <c r="H334" s="551"/>
      <c r="I334" s="242"/>
      <c r="J334" s="242"/>
      <c r="K334" s="242"/>
      <c r="L334" s="242"/>
      <c r="M334" s="242"/>
      <c r="N334" s="242"/>
      <c r="O334" s="242"/>
      <c r="P334" s="242"/>
      <c r="Q334" s="242"/>
      <c r="R334" s="242"/>
      <c r="S334" s="242"/>
      <c r="T334" s="242"/>
      <c r="U334" s="242"/>
      <c r="V334" s="242"/>
      <c r="W334" s="242"/>
    </row>
    <row r="335">
      <c r="A335" s="13"/>
      <c r="B335" s="252"/>
      <c r="C335" s="252"/>
      <c r="D335" s="252"/>
      <c r="E335" s="252"/>
      <c r="F335" s="252"/>
      <c r="G335" s="252"/>
      <c r="H335" s="551"/>
      <c r="I335" s="242"/>
      <c r="J335" s="242"/>
      <c r="K335" s="242"/>
      <c r="L335" s="242"/>
      <c r="M335" s="242"/>
      <c r="N335" s="242"/>
      <c r="O335" s="242"/>
      <c r="P335" s="242"/>
      <c r="Q335" s="242"/>
      <c r="R335" s="242"/>
      <c r="S335" s="242"/>
      <c r="T335" s="242"/>
      <c r="U335" s="242"/>
      <c r="V335" s="242"/>
      <c r="W335" s="242"/>
    </row>
    <row r="336">
      <c r="A336" s="13"/>
      <c r="B336" s="252"/>
      <c r="C336" s="252"/>
      <c r="D336" s="252"/>
      <c r="E336" s="252"/>
      <c r="F336" s="252"/>
      <c r="G336" s="252"/>
      <c r="H336" s="551"/>
      <c r="I336" s="242"/>
      <c r="J336" s="242"/>
      <c r="K336" s="242"/>
      <c r="L336" s="242"/>
      <c r="M336" s="242"/>
      <c r="N336" s="242"/>
      <c r="O336" s="242"/>
      <c r="P336" s="242"/>
      <c r="Q336" s="242"/>
      <c r="R336" s="242"/>
      <c r="S336" s="242"/>
      <c r="T336" s="242"/>
      <c r="U336" s="242"/>
      <c r="V336" s="242"/>
      <c r="W336" s="242"/>
    </row>
    <row r="337">
      <c r="A337" s="13"/>
      <c r="B337" s="252"/>
      <c r="C337" s="252"/>
      <c r="D337" s="252"/>
      <c r="E337" s="252"/>
      <c r="F337" s="252"/>
      <c r="G337" s="252"/>
      <c r="H337" s="551"/>
      <c r="I337" s="242"/>
      <c r="J337" s="242"/>
      <c r="K337" s="242"/>
      <c r="L337" s="242"/>
      <c r="M337" s="242"/>
      <c r="N337" s="242"/>
      <c r="O337" s="242"/>
      <c r="P337" s="242"/>
      <c r="Q337" s="242"/>
      <c r="R337" s="242"/>
      <c r="S337" s="242"/>
      <c r="T337" s="242"/>
      <c r="U337" s="242"/>
      <c r="V337" s="242"/>
      <c r="W337" s="242"/>
    </row>
    <row r="338">
      <c r="A338" s="13"/>
      <c r="B338" s="252"/>
      <c r="C338" s="252"/>
      <c r="D338" s="252"/>
      <c r="E338" s="252"/>
      <c r="F338" s="252"/>
      <c r="G338" s="252"/>
      <c r="H338" s="551"/>
      <c r="I338" s="242"/>
      <c r="J338" s="242"/>
      <c r="K338" s="242"/>
      <c r="L338" s="242"/>
      <c r="M338" s="242"/>
      <c r="N338" s="242"/>
      <c r="O338" s="242"/>
      <c r="P338" s="242"/>
      <c r="Q338" s="242"/>
      <c r="R338" s="242"/>
      <c r="S338" s="242"/>
      <c r="T338" s="242"/>
      <c r="U338" s="242"/>
      <c r="V338" s="242"/>
      <c r="W338" s="242"/>
    </row>
    <row r="339">
      <c r="A339" s="13"/>
      <c r="B339" s="252"/>
      <c r="C339" s="252"/>
      <c r="D339" s="252"/>
      <c r="E339" s="252"/>
      <c r="F339" s="252"/>
      <c r="G339" s="252"/>
      <c r="H339" s="551"/>
      <c r="I339" s="242"/>
      <c r="J339" s="242"/>
      <c r="K339" s="242"/>
      <c r="L339" s="242"/>
      <c r="M339" s="242"/>
      <c r="N339" s="242"/>
      <c r="O339" s="242"/>
      <c r="P339" s="242"/>
      <c r="Q339" s="242"/>
      <c r="R339" s="242"/>
      <c r="S339" s="242"/>
      <c r="T339" s="242"/>
      <c r="U339" s="242"/>
      <c r="V339" s="242"/>
      <c r="W339" s="242"/>
    </row>
    <row r="340">
      <c r="A340" s="13"/>
      <c r="B340" s="252"/>
      <c r="C340" s="252"/>
      <c r="D340" s="252"/>
      <c r="E340" s="252"/>
      <c r="F340" s="252"/>
      <c r="G340" s="252"/>
      <c r="H340" s="551"/>
      <c r="I340" s="242"/>
      <c r="J340" s="242"/>
      <c r="K340" s="242"/>
      <c r="L340" s="242"/>
      <c r="M340" s="242"/>
      <c r="N340" s="242"/>
      <c r="O340" s="242"/>
      <c r="P340" s="242"/>
      <c r="Q340" s="242"/>
      <c r="R340" s="242"/>
      <c r="S340" s="242"/>
      <c r="T340" s="242"/>
      <c r="U340" s="242"/>
      <c r="V340" s="242"/>
      <c r="W340" s="242"/>
    </row>
    <row r="341">
      <c r="A341" s="13"/>
      <c r="B341" s="252"/>
      <c r="C341" s="252"/>
      <c r="D341" s="252"/>
      <c r="E341" s="252"/>
      <c r="F341" s="252"/>
      <c r="G341" s="252"/>
      <c r="H341" s="551"/>
      <c r="I341" s="242"/>
      <c r="J341" s="242"/>
      <c r="K341" s="242"/>
      <c r="L341" s="242"/>
      <c r="M341" s="242"/>
      <c r="N341" s="242"/>
      <c r="O341" s="242"/>
      <c r="P341" s="242"/>
      <c r="Q341" s="242"/>
      <c r="R341" s="242"/>
      <c r="S341" s="242"/>
      <c r="T341" s="242"/>
      <c r="U341" s="242"/>
      <c r="V341" s="242"/>
      <c r="W341" s="242"/>
    </row>
    <row r="342">
      <c r="A342" s="13"/>
      <c r="B342" s="252"/>
      <c r="C342" s="252"/>
      <c r="D342" s="252"/>
      <c r="E342" s="252"/>
      <c r="F342" s="252"/>
      <c r="G342" s="252"/>
      <c r="H342" s="551"/>
      <c r="I342" s="242"/>
      <c r="J342" s="242"/>
      <c r="K342" s="242"/>
      <c r="L342" s="242"/>
      <c r="M342" s="242"/>
      <c r="N342" s="242"/>
      <c r="O342" s="242"/>
      <c r="P342" s="242"/>
      <c r="Q342" s="242"/>
      <c r="R342" s="242"/>
      <c r="S342" s="242"/>
      <c r="T342" s="242"/>
      <c r="U342" s="242"/>
      <c r="V342" s="242"/>
      <c r="W342" s="242"/>
    </row>
    <row r="343">
      <c r="A343" s="13"/>
      <c r="B343" s="252"/>
      <c r="C343" s="252"/>
      <c r="D343" s="252"/>
      <c r="E343" s="252"/>
      <c r="F343" s="252"/>
      <c r="G343" s="252"/>
      <c r="H343" s="551"/>
      <c r="I343" s="242"/>
      <c r="J343" s="242"/>
      <c r="K343" s="242"/>
      <c r="L343" s="242"/>
      <c r="M343" s="242"/>
      <c r="N343" s="242"/>
      <c r="O343" s="242"/>
      <c r="P343" s="242"/>
      <c r="Q343" s="242"/>
      <c r="R343" s="242"/>
      <c r="S343" s="242"/>
      <c r="T343" s="242"/>
      <c r="U343" s="242"/>
      <c r="V343" s="242"/>
      <c r="W343" s="242"/>
    </row>
    <row r="344">
      <c r="A344" s="13"/>
      <c r="B344" s="252"/>
      <c r="C344" s="252"/>
      <c r="D344" s="252"/>
      <c r="E344" s="252"/>
      <c r="F344" s="252"/>
      <c r="G344" s="252"/>
      <c r="H344" s="551"/>
      <c r="I344" s="242"/>
      <c r="J344" s="242"/>
      <c r="K344" s="242"/>
      <c r="L344" s="242"/>
      <c r="M344" s="242"/>
      <c r="N344" s="242"/>
      <c r="O344" s="242"/>
      <c r="P344" s="242"/>
      <c r="Q344" s="242"/>
      <c r="R344" s="242"/>
      <c r="S344" s="242"/>
      <c r="T344" s="242"/>
      <c r="U344" s="242"/>
      <c r="V344" s="242"/>
      <c r="W344" s="242"/>
    </row>
    <row r="345">
      <c r="A345" s="13"/>
      <c r="B345" s="252"/>
      <c r="C345" s="252"/>
      <c r="D345" s="252"/>
      <c r="E345" s="252"/>
      <c r="F345" s="252"/>
      <c r="G345" s="252"/>
      <c r="H345" s="551"/>
      <c r="I345" s="242"/>
      <c r="J345" s="242"/>
      <c r="K345" s="242"/>
      <c r="L345" s="242"/>
      <c r="M345" s="242"/>
      <c r="N345" s="242"/>
      <c r="O345" s="242"/>
      <c r="P345" s="242"/>
      <c r="Q345" s="242"/>
      <c r="R345" s="242"/>
      <c r="S345" s="242"/>
      <c r="T345" s="242"/>
      <c r="U345" s="242"/>
      <c r="V345" s="242"/>
      <c r="W345" s="242"/>
    </row>
    <row r="346">
      <c r="A346" s="13"/>
      <c r="B346" s="252"/>
      <c r="C346" s="252"/>
      <c r="D346" s="252"/>
      <c r="E346" s="252"/>
      <c r="F346" s="252"/>
      <c r="G346" s="252"/>
      <c r="H346" s="551"/>
      <c r="I346" s="242"/>
      <c r="J346" s="242"/>
      <c r="K346" s="242"/>
      <c r="L346" s="242"/>
      <c r="M346" s="242"/>
      <c r="N346" s="242"/>
      <c r="O346" s="242"/>
      <c r="P346" s="242"/>
      <c r="Q346" s="242"/>
      <c r="R346" s="242"/>
      <c r="S346" s="242"/>
      <c r="T346" s="242"/>
      <c r="U346" s="242"/>
      <c r="V346" s="242"/>
      <c r="W346" s="242"/>
    </row>
    <row r="347">
      <c r="A347" s="13"/>
      <c r="B347" s="252"/>
      <c r="C347" s="252"/>
      <c r="D347" s="252"/>
      <c r="E347" s="252"/>
      <c r="F347" s="252"/>
      <c r="G347" s="252"/>
      <c r="H347" s="551"/>
      <c r="I347" s="242"/>
      <c r="J347" s="242"/>
      <c r="K347" s="242"/>
      <c r="L347" s="242"/>
      <c r="M347" s="242"/>
      <c r="N347" s="242"/>
      <c r="O347" s="242"/>
      <c r="P347" s="242"/>
      <c r="Q347" s="242"/>
      <c r="R347" s="242"/>
      <c r="S347" s="242"/>
      <c r="T347" s="242"/>
      <c r="U347" s="242"/>
      <c r="V347" s="242"/>
      <c r="W347" s="242"/>
    </row>
    <row r="348">
      <c r="A348" s="13"/>
      <c r="B348" s="252"/>
      <c r="C348" s="252"/>
      <c r="D348" s="252"/>
      <c r="E348" s="252"/>
      <c r="F348" s="252"/>
      <c r="G348" s="252"/>
      <c r="H348" s="551"/>
      <c r="I348" s="242"/>
      <c r="J348" s="242"/>
      <c r="K348" s="242"/>
      <c r="L348" s="242"/>
      <c r="M348" s="242"/>
      <c r="N348" s="242"/>
      <c r="O348" s="242"/>
      <c r="P348" s="242"/>
      <c r="Q348" s="242"/>
      <c r="R348" s="242"/>
      <c r="S348" s="242"/>
      <c r="T348" s="242"/>
      <c r="U348" s="242"/>
      <c r="V348" s="242"/>
      <c r="W348" s="242"/>
    </row>
    <row r="349">
      <c r="A349" s="13"/>
      <c r="B349" s="252"/>
      <c r="C349" s="252"/>
      <c r="D349" s="252"/>
      <c r="E349" s="252"/>
      <c r="F349" s="252"/>
      <c r="G349" s="252"/>
      <c r="H349" s="551"/>
      <c r="I349" s="242"/>
      <c r="J349" s="242"/>
      <c r="K349" s="242"/>
      <c r="L349" s="242"/>
      <c r="M349" s="242"/>
      <c r="N349" s="242"/>
      <c r="O349" s="242"/>
      <c r="P349" s="242"/>
      <c r="Q349" s="242"/>
      <c r="R349" s="242"/>
      <c r="S349" s="242"/>
      <c r="T349" s="242"/>
      <c r="U349" s="242"/>
      <c r="V349" s="242"/>
      <c r="W349" s="242"/>
    </row>
    <row r="350">
      <c r="A350" s="13"/>
      <c r="B350" s="252"/>
      <c r="C350" s="252"/>
      <c r="D350" s="252"/>
      <c r="E350" s="252"/>
      <c r="F350" s="252"/>
      <c r="G350" s="252"/>
      <c r="H350" s="551"/>
      <c r="I350" s="242"/>
      <c r="J350" s="242"/>
      <c r="K350" s="242"/>
      <c r="L350" s="242"/>
      <c r="M350" s="242"/>
      <c r="N350" s="242"/>
      <c r="O350" s="242"/>
      <c r="P350" s="242"/>
      <c r="Q350" s="242"/>
      <c r="R350" s="242"/>
      <c r="S350" s="242"/>
      <c r="T350" s="242"/>
      <c r="U350" s="242"/>
      <c r="V350" s="242"/>
      <c r="W350" s="242"/>
    </row>
    <row r="351">
      <c r="A351" s="13"/>
      <c r="B351" s="252"/>
      <c r="C351" s="252"/>
      <c r="D351" s="252"/>
      <c r="E351" s="252"/>
      <c r="F351" s="252"/>
      <c r="G351" s="252"/>
      <c r="H351" s="551"/>
      <c r="I351" s="242"/>
      <c r="J351" s="242"/>
      <c r="K351" s="242"/>
      <c r="L351" s="242"/>
      <c r="M351" s="242"/>
      <c r="N351" s="242"/>
      <c r="O351" s="242"/>
      <c r="P351" s="242"/>
      <c r="Q351" s="242"/>
      <c r="R351" s="242"/>
      <c r="S351" s="242"/>
      <c r="T351" s="242"/>
      <c r="U351" s="242"/>
      <c r="V351" s="242"/>
      <c r="W351" s="242"/>
    </row>
    <row r="352">
      <c r="A352" s="13"/>
      <c r="B352" s="252"/>
      <c r="C352" s="252"/>
      <c r="D352" s="252"/>
      <c r="E352" s="252"/>
      <c r="F352" s="252"/>
      <c r="G352" s="252"/>
      <c r="H352" s="551"/>
      <c r="I352" s="242"/>
      <c r="J352" s="242"/>
      <c r="K352" s="242"/>
      <c r="L352" s="242"/>
      <c r="M352" s="242"/>
      <c r="N352" s="242"/>
      <c r="O352" s="242"/>
      <c r="P352" s="242"/>
      <c r="Q352" s="242"/>
      <c r="R352" s="242"/>
      <c r="S352" s="242"/>
      <c r="T352" s="242"/>
      <c r="U352" s="242"/>
      <c r="V352" s="242"/>
      <c r="W352" s="242"/>
    </row>
    <row r="353">
      <c r="A353" s="13"/>
      <c r="B353" s="252"/>
      <c r="C353" s="252"/>
      <c r="D353" s="252"/>
      <c r="E353" s="252"/>
      <c r="F353" s="252"/>
      <c r="G353" s="252"/>
      <c r="H353" s="551"/>
      <c r="I353" s="242"/>
      <c r="J353" s="242"/>
      <c r="K353" s="242"/>
      <c r="L353" s="242"/>
      <c r="M353" s="242"/>
      <c r="N353" s="242"/>
      <c r="O353" s="242"/>
      <c r="P353" s="242"/>
      <c r="Q353" s="242"/>
      <c r="R353" s="242"/>
      <c r="S353" s="242"/>
      <c r="T353" s="242"/>
      <c r="U353" s="242"/>
      <c r="V353" s="242"/>
      <c r="W353" s="242"/>
    </row>
    <row r="354">
      <c r="A354" s="13"/>
      <c r="B354" s="252"/>
      <c r="C354" s="252"/>
      <c r="D354" s="252"/>
      <c r="E354" s="252"/>
      <c r="F354" s="252"/>
      <c r="G354" s="252"/>
      <c r="H354" s="551"/>
      <c r="I354" s="242"/>
      <c r="J354" s="242"/>
      <c r="K354" s="242"/>
      <c r="L354" s="242"/>
      <c r="M354" s="242"/>
      <c r="N354" s="242"/>
      <c r="O354" s="242"/>
      <c r="P354" s="242"/>
      <c r="Q354" s="242"/>
      <c r="R354" s="242"/>
      <c r="S354" s="242"/>
      <c r="T354" s="242"/>
      <c r="U354" s="242"/>
      <c r="V354" s="242"/>
      <c r="W354" s="242"/>
    </row>
    <row r="355">
      <c r="A355" s="13"/>
      <c r="B355" s="252"/>
      <c r="C355" s="252"/>
      <c r="D355" s="252"/>
      <c r="E355" s="252"/>
      <c r="F355" s="252"/>
      <c r="G355" s="252"/>
      <c r="H355" s="551"/>
      <c r="I355" s="242"/>
      <c r="J355" s="242"/>
      <c r="K355" s="242"/>
      <c r="L355" s="242"/>
      <c r="M355" s="242"/>
      <c r="N355" s="242"/>
      <c r="O355" s="242"/>
      <c r="P355" s="242"/>
      <c r="Q355" s="242"/>
      <c r="R355" s="242"/>
      <c r="S355" s="242"/>
      <c r="T355" s="242"/>
      <c r="U355" s="242"/>
      <c r="V355" s="242"/>
      <c r="W355" s="242"/>
    </row>
    <row r="356">
      <c r="A356" s="13"/>
      <c r="B356" s="252"/>
      <c r="C356" s="252"/>
      <c r="D356" s="252"/>
      <c r="E356" s="252"/>
      <c r="F356" s="252"/>
      <c r="G356" s="252"/>
      <c r="H356" s="551"/>
      <c r="I356" s="242"/>
      <c r="J356" s="242"/>
      <c r="K356" s="242"/>
      <c r="L356" s="242"/>
      <c r="M356" s="242"/>
      <c r="N356" s="242"/>
      <c r="O356" s="242"/>
      <c r="P356" s="242"/>
      <c r="Q356" s="242"/>
      <c r="R356" s="242"/>
      <c r="S356" s="242"/>
      <c r="T356" s="242"/>
      <c r="U356" s="242"/>
      <c r="V356" s="242"/>
      <c r="W356" s="242"/>
    </row>
    <row r="357">
      <c r="A357" s="13"/>
      <c r="B357" s="252"/>
      <c r="C357" s="252"/>
      <c r="D357" s="252"/>
      <c r="E357" s="252"/>
      <c r="F357" s="252"/>
      <c r="G357" s="252"/>
      <c r="H357" s="551"/>
      <c r="I357" s="242"/>
      <c r="J357" s="242"/>
      <c r="K357" s="242"/>
      <c r="L357" s="242"/>
      <c r="M357" s="242"/>
      <c r="N357" s="242"/>
      <c r="O357" s="242"/>
      <c r="P357" s="242"/>
      <c r="Q357" s="242"/>
      <c r="R357" s="242"/>
      <c r="S357" s="242"/>
      <c r="T357" s="242"/>
      <c r="U357" s="242"/>
      <c r="V357" s="242"/>
      <c r="W357" s="242"/>
    </row>
    <row r="358">
      <c r="A358" s="13"/>
      <c r="B358" s="252"/>
      <c r="C358" s="252"/>
      <c r="D358" s="252"/>
      <c r="E358" s="252"/>
      <c r="F358" s="252"/>
      <c r="G358" s="252"/>
      <c r="H358" s="551"/>
      <c r="I358" s="242"/>
      <c r="J358" s="242"/>
      <c r="K358" s="242"/>
      <c r="L358" s="242"/>
      <c r="M358" s="242"/>
      <c r="N358" s="242"/>
      <c r="O358" s="242"/>
      <c r="P358" s="242"/>
      <c r="Q358" s="242"/>
      <c r="R358" s="242"/>
      <c r="S358" s="242"/>
      <c r="T358" s="242"/>
      <c r="U358" s="242"/>
      <c r="V358" s="242"/>
      <c r="W358" s="242"/>
    </row>
    <row r="359">
      <c r="A359" s="13"/>
      <c r="B359" s="252"/>
      <c r="C359" s="252"/>
      <c r="D359" s="252"/>
      <c r="E359" s="252"/>
      <c r="F359" s="252"/>
      <c r="G359" s="252"/>
      <c r="H359" s="551"/>
      <c r="I359" s="242"/>
      <c r="J359" s="242"/>
      <c r="K359" s="242"/>
      <c r="L359" s="242"/>
      <c r="M359" s="242"/>
      <c r="N359" s="242"/>
      <c r="O359" s="242"/>
      <c r="P359" s="242"/>
      <c r="Q359" s="242"/>
      <c r="R359" s="242"/>
      <c r="S359" s="242"/>
      <c r="T359" s="242"/>
      <c r="U359" s="242"/>
      <c r="V359" s="242"/>
      <c r="W359" s="242"/>
    </row>
    <row r="360">
      <c r="A360" s="13"/>
      <c r="B360" s="252"/>
      <c r="C360" s="252"/>
      <c r="D360" s="252"/>
      <c r="E360" s="252"/>
      <c r="F360" s="252"/>
      <c r="G360" s="252"/>
      <c r="H360" s="551"/>
      <c r="I360" s="242"/>
      <c r="J360" s="242"/>
      <c r="K360" s="242"/>
      <c r="L360" s="242"/>
      <c r="M360" s="242"/>
      <c r="N360" s="242"/>
      <c r="O360" s="242"/>
      <c r="P360" s="242"/>
      <c r="Q360" s="242"/>
      <c r="R360" s="242"/>
      <c r="S360" s="242"/>
      <c r="T360" s="242"/>
      <c r="U360" s="242"/>
      <c r="V360" s="242"/>
      <c r="W360" s="242"/>
    </row>
    <row r="361">
      <c r="A361" s="13"/>
      <c r="B361" s="252"/>
      <c r="C361" s="252"/>
      <c r="D361" s="252"/>
      <c r="E361" s="252"/>
      <c r="F361" s="252"/>
      <c r="G361" s="252"/>
      <c r="H361" s="551"/>
      <c r="I361" s="242"/>
      <c r="J361" s="242"/>
      <c r="K361" s="242"/>
      <c r="L361" s="242"/>
      <c r="M361" s="242"/>
      <c r="N361" s="242"/>
      <c r="O361" s="242"/>
      <c r="P361" s="242"/>
      <c r="Q361" s="242"/>
      <c r="R361" s="242"/>
      <c r="S361" s="242"/>
      <c r="T361" s="242"/>
      <c r="U361" s="242"/>
      <c r="V361" s="242"/>
      <c r="W361" s="242"/>
    </row>
    <row r="362">
      <c r="A362" s="13"/>
      <c r="B362" s="252"/>
      <c r="C362" s="252"/>
      <c r="D362" s="252"/>
      <c r="E362" s="252"/>
      <c r="F362" s="252"/>
      <c r="G362" s="252"/>
      <c r="H362" s="551"/>
      <c r="I362" s="242"/>
      <c r="J362" s="242"/>
      <c r="K362" s="242"/>
      <c r="L362" s="242"/>
      <c r="M362" s="242"/>
      <c r="N362" s="242"/>
      <c r="O362" s="242"/>
      <c r="P362" s="242"/>
      <c r="Q362" s="242"/>
      <c r="R362" s="242"/>
      <c r="S362" s="242"/>
      <c r="T362" s="242"/>
      <c r="U362" s="242"/>
      <c r="V362" s="242"/>
      <c r="W362" s="242"/>
    </row>
    <row r="363">
      <c r="A363" s="13"/>
      <c r="B363" s="252"/>
      <c r="C363" s="252"/>
      <c r="D363" s="252"/>
      <c r="E363" s="252"/>
      <c r="F363" s="252"/>
      <c r="G363" s="252"/>
      <c r="H363" s="551"/>
      <c r="I363" s="242"/>
      <c r="J363" s="242"/>
      <c r="K363" s="242"/>
      <c r="L363" s="242"/>
      <c r="M363" s="242"/>
      <c r="N363" s="242"/>
      <c r="O363" s="242"/>
      <c r="P363" s="242"/>
      <c r="Q363" s="242"/>
      <c r="R363" s="242"/>
      <c r="S363" s="242"/>
      <c r="T363" s="242"/>
      <c r="U363" s="242"/>
      <c r="V363" s="242"/>
      <c r="W363" s="242"/>
    </row>
    <row r="364">
      <c r="A364" s="13"/>
      <c r="B364" s="252"/>
      <c r="C364" s="252"/>
      <c r="D364" s="252"/>
      <c r="E364" s="252"/>
      <c r="F364" s="252"/>
      <c r="G364" s="252"/>
      <c r="H364" s="551"/>
      <c r="I364" s="242"/>
      <c r="J364" s="242"/>
      <c r="K364" s="242"/>
      <c r="L364" s="242"/>
      <c r="M364" s="242"/>
      <c r="N364" s="242"/>
      <c r="O364" s="242"/>
      <c r="P364" s="242"/>
      <c r="Q364" s="242"/>
      <c r="R364" s="242"/>
      <c r="S364" s="242"/>
      <c r="T364" s="242"/>
      <c r="U364" s="242"/>
      <c r="V364" s="242"/>
      <c r="W364" s="242"/>
    </row>
    <row r="365">
      <c r="A365" s="13"/>
      <c r="B365" s="252"/>
      <c r="C365" s="252"/>
      <c r="D365" s="252"/>
      <c r="E365" s="252"/>
      <c r="F365" s="252"/>
      <c r="G365" s="252"/>
      <c r="H365" s="551"/>
      <c r="I365" s="242"/>
      <c r="J365" s="242"/>
      <c r="K365" s="242"/>
      <c r="L365" s="242"/>
      <c r="M365" s="242"/>
      <c r="N365" s="242"/>
      <c r="O365" s="242"/>
      <c r="P365" s="242"/>
      <c r="Q365" s="242"/>
      <c r="R365" s="242"/>
      <c r="S365" s="242"/>
      <c r="T365" s="242"/>
      <c r="U365" s="242"/>
      <c r="V365" s="242"/>
      <c r="W365" s="242"/>
    </row>
    <row r="366">
      <c r="A366" s="13"/>
      <c r="B366" s="252"/>
      <c r="C366" s="252"/>
      <c r="D366" s="252"/>
      <c r="E366" s="252"/>
      <c r="F366" s="252"/>
      <c r="G366" s="252"/>
      <c r="H366" s="551"/>
      <c r="I366" s="242"/>
      <c r="J366" s="242"/>
      <c r="K366" s="242"/>
      <c r="L366" s="242"/>
      <c r="M366" s="242"/>
      <c r="N366" s="242"/>
      <c r="O366" s="242"/>
      <c r="P366" s="242"/>
      <c r="Q366" s="242"/>
      <c r="R366" s="242"/>
      <c r="S366" s="242"/>
      <c r="T366" s="242"/>
      <c r="U366" s="242"/>
      <c r="V366" s="242"/>
      <c r="W366" s="242"/>
    </row>
    <row r="367">
      <c r="A367" s="13"/>
      <c r="B367" s="252"/>
      <c r="C367" s="252"/>
      <c r="D367" s="252"/>
      <c r="E367" s="252"/>
      <c r="F367" s="252"/>
      <c r="G367" s="252"/>
      <c r="H367" s="551"/>
      <c r="I367" s="242"/>
      <c r="J367" s="242"/>
      <c r="K367" s="242"/>
      <c r="L367" s="242"/>
      <c r="M367" s="242"/>
      <c r="N367" s="242"/>
      <c r="O367" s="242"/>
      <c r="P367" s="242"/>
      <c r="Q367" s="242"/>
      <c r="R367" s="242"/>
      <c r="S367" s="242"/>
      <c r="T367" s="242"/>
      <c r="U367" s="242"/>
      <c r="V367" s="242"/>
      <c r="W367" s="242"/>
    </row>
    <row r="368">
      <c r="A368" s="13"/>
      <c r="B368" s="252"/>
      <c r="C368" s="252"/>
      <c r="D368" s="252"/>
      <c r="E368" s="252"/>
      <c r="F368" s="252"/>
      <c r="G368" s="252"/>
      <c r="H368" s="551"/>
      <c r="I368" s="242"/>
      <c r="J368" s="242"/>
      <c r="K368" s="242"/>
      <c r="L368" s="242"/>
      <c r="M368" s="242"/>
      <c r="N368" s="242"/>
      <c r="O368" s="242"/>
      <c r="P368" s="242"/>
      <c r="Q368" s="242"/>
      <c r="R368" s="242"/>
      <c r="S368" s="242"/>
      <c r="T368" s="242"/>
      <c r="U368" s="242"/>
      <c r="V368" s="242"/>
      <c r="W368" s="242"/>
    </row>
    <row r="369">
      <c r="A369" s="13"/>
      <c r="B369" s="252"/>
      <c r="C369" s="252"/>
      <c r="D369" s="252"/>
      <c r="E369" s="252"/>
      <c r="F369" s="252"/>
      <c r="G369" s="252"/>
      <c r="H369" s="551"/>
      <c r="I369" s="242"/>
      <c r="J369" s="242"/>
      <c r="K369" s="242"/>
      <c r="L369" s="242"/>
      <c r="M369" s="242"/>
      <c r="N369" s="242"/>
      <c r="O369" s="242"/>
      <c r="P369" s="242"/>
      <c r="Q369" s="242"/>
      <c r="R369" s="242"/>
      <c r="S369" s="242"/>
      <c r="T369" s="242"/>
      <c r="U369" s="242"/>
      <c r="V369" s="242"/>
      <c r="W369" s="242"/>
    </row>
    <row r="370">
      <c r="A370" s="13"/>
      <c r="B370" s="252"/>
      <c r="C370" s="252"/>
      <c r="D370" s="252"/>
      <c r="E370" s="252"/>
      <c r="F370" s="252"/>
      <c r="G370" s="252"/>
      <c r="H370" s="551"/>
      <c r="I370" s="242"/>
      <c r="J370" s="242"/>
      <c r="K370" s="242"/>
      <c r="L370" s="242"/>
      <c r="M370" s="242"/>
      <c r="N370" s="242"/>
      <c r="O370" s="242"/>
      <c r="P370" s="242"/>
      <c r="Q370" s="242"/>
      <c r="R370" s="242"/>
      <c r="S370" s="242"/>
      <c r="T370" s="242"/>
      <c r="U370" s="242"/>
      <c r="V370" s="242"/>
      <c r="W370" s="242"/>
    </row>
    <row r="371">
      <c r="A371" s="13"/>
      <c r="B371" s="252"/>
      <c r="C371" s="252"/>
      <c r="D371" s="252"/>
      <c r="E371" s="252"/>
      <c r="F371" s="252"/>
      <c r="G371" s="252"/>
      <c r="H371" s="551"/>
      <c r="I371" s="242"/>
      <c r="J371" s="242"/>
      <c r="K371" s="242"/>
      <c r="L371" s="242"/>
      <c r="M371" s="242"/>
      <c r="N371" s="242"/>
      <c r="O371" s="242"/>
      <c r="P371" s="242"/>
      <c r="Q371" s="242"/>
      <c r="R371" s="242"/>
      <c r="S371" s="242"/>
      <c r="T371" s="242"/>
      <c r="U371" s="242"/>
      <c r="V371" s="242"/>
      <c r="W371" s="242"/>
    </row>
    <row r="372">
      <c r="A372" s="13"/>
      <c r="B372" s="252"/>
      <c r="C372" s="252"/>
      <c r="D372" s="252"/>
      <c r="E372" s="252"/>
      <c r="F372" s="252"/>
      <c r="G372" s="252"/>
      <c r="H372" s="551"/>
      <c r="I372" s="242"/>
      <c r="J372" s="242"/>
      <c r="K372" s="242"/>
      <c r="L372" s="242"/>
      <c r="M372" s="242"/>
      <c r="N372" s="242"/>
      <c r="O372" s="242"/>
      <c r="P372" s="242"/>
      <c r="Q372" s="242"/>
      <c r="R372" s="242"/>
      <c r="S372" s="242"/>
      <c r="T372" s="242"/>
      <c r="U372" s="242"/>
      <c r="V372" s="242"/>
      <c r="W372" s="242"/>
    </row>
    <row r="373">
      <c r="A373" s="13"/>
      <c r="B373" s="252"/>
      <c r="C373" s="252"/>
      <c r="D373" s="252"/>
      <c r="E373" s="252"/>
      <c r="F373" s="252"/>
      <c r="G373" s="252"/>
      <c r="H373" s="551"/>
      <c r="I373" s="242"/>
      <c r="J373" s="242"/>
      <c r="K373" s="242"/>
      <c r="L373" s="242"/>
      <c r="M373" s="242"/>
      <c r="N373" s="242"/>
      <c r="O373" s="242"/>
      <c r="P373" s="242"/>
      <c r="Q373" s="242"/>
      <c r="R373" s="242"/>
      <c r="S373" s="242"/>
      <c r="T373" s="242"/>
      <c r="U373" s="242"/>
      <c r="V373" s="242"/>
      <c r="W373" s="242"/>
    </row>
    <row r="374">
      <c r="A374" s="13"/>
      <c r="B374" s="252"/>
      <c r="C374" s="252"/>
      <c r="D374" s="252"/>
      <c r="E374" s="252"/>
      <c r="F374" s="252"/>
      <c r="G374" s="252"/>
      <c r="H374" s="551"/>
      <c r="I374" s="242"/>
      <c r="J374" s="242"/>
      <c r="K374" s="242"/>
      <c r="L374" s="242"/>
      <c r="M374" s="242"/>
      <c r="N374" s="242"/>
      <c r="O374" s="242"/>
      <c r="P374" s="242"/>
      <c r="Q374" s="242"/>
      <c r="R374" s="242"/>
      <c r="S374" s="242"/>
      <c r="T374" s="242"/>
      <c r="U374" s="242"/>
      <c r="V374" s="242"/>
      <c r="W374" s="242"/>
    </row>
    <row r="375">
      <c r="A375" s="13"/>
      <c r="B375" s="252"/>
      <c r="C375" s="252"/>
      <c r="D375" s="252"/>
      <c r="E375" s="252"/>
      <c r="F375" s="252"/>
      <c r="G375" s="252"/>
      <c r="H375" s="551"/>
      <c r="I375" s="242"/>
      <c r="J375" s="242"/>
      <c r="K375" s="242"/>
      <c r="L375" s="242"/>
      <c r="M375" s="242"/>
      <c r="N375" s="242"/>
      <c r="O375" s="242"/>
      <c r="P375" s="242"/>
      <c r="Q375" s="242"/>
      <c r="R375" s="242"/>
      <c r="S375" s="242"/>
      <c r="T375" s="242"/>
      <c r="U375" s="242"/>
      <c r="V375" s="242"/>
      <c r="W375" s="242"/>
    </row>
    <row r="376">
      <c r="A376" s="13"/>
      <c r="B376" s="252"/>
      <c r="C376" s="252"/>
      <c r="D376" s="252"/>
      <c r="E376" s="252"/>
      <c r="F376" s="252"/>
      <c r="G376" s="252"/>
      <c r="H376" s="551"/>
      <c r="I376" s="242"/>
      <c r="J376" s="242"/>
      <c r="K376" s="242"/>
      <c r="L376" s="242"/>
      <c r="M376" s="242"/>
      <c r="N376" s="242"/>
      <c r="O376" s="242"/>
      <c r="P376" s="242"/>
      <c r="Q376" s="242"/>
      <c r="R376" s="242"/>
      <c r="S376" s="242"/>
      <c r="T376" s="242"/>
      <c r="U376" s="242"/>
      <c r="V376" s="242"/>
      <c r="W376" s="242"/>
    </row>
    <row r="377">
      <c r="A377" s="13"/>
      <c r="B377" s="252"/>
      <c r="C377" s="252"/>
      <c r="D377" s="252"/>
      <c r="E377" s="252"/>
      <c r="F377" s="252"/>
      <c r="G377" s="252"/>
      <c r="H377" s="551"/>
      <c r="I377" s="242"/>
      <c r="J377" s="242"/>
      <c r="K377" s="242"/>
      <c r="L377" s="242"/>
      <c r="M377" s="242"/>
      <c r="N377" s="242"/>
      <c r="O377" s="242"/>
      <c r="P377" s="242"/>
      <c r="Q377" s="242"/>
      <c r="R377" s="242"/>
      <c r="S377" s="242"/>
      <c r="T377" s="242"/>
      <c r="U377" s="242"/>
      <c r="V377" s="242"/>
      <c r="W377" s="242"/>
    </row>
    <row r="378">
      <c r="A378" s="13"/>
      <c r="B378" s="252"/>
      <c r="C378" s="252"/>
      <c r="D378" s="252"/>
      <c r="E378" s="252"/>
      <c r="F378" s="252"/>
      <c r="G378" s="252"/>
      <c r="H378" s="551"/>
      <c r="I378" s="242"/>
      <c r="J378" s="242"/>
      <c r="K378" s="242"/>
      <c r="L378" s="242"/>
      <c r="M378" s="242"/>
      <c r="N378" s="242"/>
      <c r="O378" s="242"/>
      <c r="P378" s="242"/>
      <c r="Q378" s="242"/>
      <c r="R378" s="242"/>
      <c r="S378" s="242"/>
      <c r="T378" s="242"/>
      <c r="U378" s="242"/>
      <c r="V378" s="242"/>
      <c r="W378" s="242"/>
    </row>
    <row r="379">
      <c r="A379" s="13"/>
      <c r="B379" s="252"/>
      <c r="C379" s="252"/>
      <c r="D379" s="252"/>
      <c r="E379" s="252"/>
      <c r="F379" s="252"/>
      <c r="G379" s="252"/>
      <c r="H379" s="551"/>
      <c r="I379" s="242"/>
      <c r="J379" s="242"/>
      <c r="K379" s="242"/>
      <c r="L379" s="242"/>
      <c r="M379" s="242"/>
      <c r="N379" s="242"/>
      <c r="O379" s="242"/>
      <c r="P379" s="242"/>
      <c r="Q379" s="242"/>
      <c r="R379" s="242"/>
      <c r="S379" s="242"/>
      <c r="T379" s="242"/>
      <c r="U379" s="242"/>
      <c r="V379" s="242"/>
      <c r="W379" s="242"/>
    </row>
    <row r="380">
      <c r="A380" s="13"/>
      <c r="B380" s="252"/>
      <c r="C380" s="252"/>
      <c r="D380" s="252"/>
      <c r="E380" s="252"/>
      <c r="F380" s="252"/>
      <c r="G380" s="252"/>
      <c r="H380" s="551"/>
      <c r="I380" s="242"/>
      <c r="J380" s="242"/>
      <c r="K380" s="242"/>
      <c r="L380" s="242"/>
      <c r="M380" s="242"/>
      <c r="N380" s="242"/>
      <c r="O380" s="242"/>
      <c r="P380" s="242"/>
      <c r="Q380" s="242"/>
      <c r="R380" s="242"/>
      <c r="S380" s="242"/>
      <c r="T380" s="242"/>
      <c r="U380" s="242"/>
      <c r="V380" s="242"/>
      <c r="W380" s="242"/>
    </row>
    <row r="381">
      <c r="A381" s="13"/>
      <c r="B381" s="252"/>
      <c r="C381" s="252"/>
      <c r="D381" s="252"/>
      <c r="E381" s="252"/>
      <c r="F381" s="252"/>
      <c r="G381" s="252"/>
      <c r="H381" s="551"/>
      <c r="I381" s="242"/>
      <c r="J381" s="242"/>
      <c r="K381" s="242"/>
      <c r="L381" s="242"/>
      <c r="M381" s="242"/>
      <c r="N381" s="242"/>
      <c r="O381" s="242"/>
      <c r="P381" s="242"/>
      <c r="Q381" s="242"/>
      <c r="R381" s="242"/>
      <c r="S381" s="242"/>
      <c r="T381" s="242"/>
      <c r="U381" s="242"/>
      <c r="V381" s="242"/>
      <c r="W381" s="242"/>
    </row>
    <row r="382">
      <c r="A382" s="13"/>
      <c r="B382" s="252"/>
      <c r="C382" s="252"/>
      <c r="D382" s="252"/>
      <c r="E382" s="252"/>
      <c r="F382" s="252"/>
      <c r="G382" s="252"/>
      <c r="H382" s="551"/>
      <c r="I382" s="242"/>
      <c r="J382" s="242"/>
      <c r="K382" s="242"/>
      <c r="L382" s="242"/>
      <c r="M382" s="242"/>
      <c r="N382" s="242"/>
      <c r="O382" s="242"/>
      <c r="P382" s="242"/>
      <c r="Q382" s="242"/>
      <c r="R382" s="242"/>
      <c r="S382" s="242"/>
      <c r="T382" s="242"/>
      <c r="U382" s="242"/>
      <c r="V382" s="242"/>
      <c r="W382" s="242"/>
    </row>
    <row r="383">
      <c r="A383" s="13"/>
      <c r="B383" s="252"/>
      <c r="C383" s="252"/>
      <c r="D383" s="252"/>
      <c r="E383" s="252"/>
      <c r="F383" s="252"/>
      <c r="G383" s="252"/>
      <c r="H383" s="551"/>
      <c r="I383" s="242"/>
      <c r="J383" s="242"/>
      <c r="K383" s="242"/>
      <c r="L383" s="242"/>
      <c r="M383" s="242"/>
      <c r="N383" s="242"/>
      <c r="O383" s="242"/>
      <c r="P383" s="242"/>
      <c r="Q383" s="242"/>
      <c r="R383" s="242"/>
      <c r="S383" s="242"/>
      <c r="T383" s="242"/>
      <c r="U383" s="242"/>
      <c r="V383" s="242"/>
      <c r="W383" s="242"/>
    </row>
    <row r="384">
      <c r="A384" s="13"/>
      <c r="B384" s="252"/>
      <c r="C384" s="252"/>
      <c r="D384" s="252"/>
      <c r="E384" s="252"/>
      <c r="F384" s="252"/>
      <c r="G384" s="252"/>
      <c r="H384" s="551"/>
      <c r="I384" s="242"/>
      <c r="J384" s="242"/>
      <c r="K384" s="242"/>
      <c r="L384" s="242"/>
      <c r="M384" s="242"/>
      <c r="N384" s="242"/>
      <c r="O384" s="242"/>
      <c r="P384" s="242"/>
      <c r="Q384" s="242"/>
      <c r="R384" s="242"/>
      <c r="S384" s="242"/>
      <c r="T384" s="242"/>
      <c r="U384" s="242"/>
      <c r="V384" s="242"/>
      <c r="W384" s="242"/>
    </row>
    <row r="385">
      <c r="A385" s="13"/>
      <c r="B385" s="252"/>
      <c r="C385" s="252"/>
      <c r="D385" s="252"/>
      <c r="E385" s="252"/>
      <c r="F385" s="252"/>
      <c r="G385" s="252"/>
      <c r="H385" s="551"/>
      <c r="I385" s="242"/>
      <c r="J385" s="242"/>
      <c r="K385" s="242"/>
      <c r="L385" s="242"/>
      <c r="M385" s="242"/>
      <c r="N385" s="242"/>
      <c r="O385" s="242"/>
      <c r="P385" s="242"/>
      <c r="Q385" s="242"/>
      <c r="R385" s="242"/>
      <c r="S385" s="242"/>
      <c r="T385" s="242"/>
      <c r="U385" s="242"/>
      <c r="V385" s="242"/>
      <c r="W385" s="242"/>
    </row>
    <row r="386">
      <c r="A386" s="13"/>
      <c r="B386" s="252"/>
      <c r="C386" s="252"/>
      <c r="D386" s="252"/>
      <c r="E386" s="252"/>
      <c r="F386" s="252"/>
      <c r="G386" s="252"/>
      <c r="H386" s="551"/>
      <c r="I386" s="242"/>
      <c r="J386" s="242"/>
      <c r="K386" s="242"/>
      <c r="L386" s="242"/>
      <c r="M386" s="242"/>
      <c r="N386" s="242"/>
      <c r="O386" s="242"/>
      <c r="P386" s="242"/>
      <c r="Q386" s="242"/>
      <c r="R386" s="242"/>
      <c r="S386" s="242"/>
      <c r="T386" s="242"/>
      <c r="U386" s="242"/>
      <c r="V386" s="242"/>
      <c r="W386" s="242"/>
    </row>
    <row r="387">
      <c r="A387" s="13"/>
      <c r="B387" s="252"/>
      <c r="C387" s="252"/>
      <c r="D387" s="252"/>
      <c r="E387" s="252"/>
      <c r="F387" s="252"/>
      <c r="G387" s="252"/>
      <c r="H387" s="551"/>
      <c r="I387" s="242"/>
      <c r="J387" s="242"/>
      <c r="K387" s="242"/>
      <c r="L387" s="242"/>
      <c r="M387" s="242"/>
      <c r="N387" s="242"/>
      <c r="O387" s="242"/>
      <c r="P387" s="242"/>
      <c r="Q387" s="242"/>
      <c r="R387" s="242"/>
      <c r="S387" s="242"/>
      <c r="T387" s="242"/>
      <c r="U387" s="242"/>
      <c r="V387" s="242"/>
      <c r="W387" s="242"/>
    </row>
    <row r="388">
      <c r="A388" s="13"/>
      <c r="B388" s="252"/>
      <c r="C388" s="252"/>
      <c r="D388" s="252"/>
      <c r="E388" s="252"/>
      <c r="F388" s="252"/>
      <c r="G388" s="252"/>
      <c r="H388" s="551"/>
      <c r="I388" s="242"/>
      <c r="J388" s="242"/>
      <c r="K388" s="242"/>
      <c r="L388" s="242"/>
      <c r="M388" s="242"/>
      <c r="N388" s="242"/>
      <c r="O388" s="242"/>
      <c r="P388" s="242"/>
      <c r="Q388" s="242"/>
      <c r="R388" s="242"/>
      <c r="S388" s="242"/>
      <c r="T388" s="242"/>
      <c r="U388" s="242"/>
      <c r="V388" s="242"/>
      <c r="W388" s="242"/>
    </row>
    <row r="389">
      <c r="A389" s="13"/>
      <c r="B389" s="252"/>
      <c r="C389" s="252"/>
      <c r="D389" s="252"/>
      <c r="E389" s="252"/>
      <c r="F389" s="252"/>
      <c r="G389" s="252"/>
      <c r="H389" s="551"/>
      <c r="I389" s="242"/>
      <c r="J389" s="242"/>
      <c r="K389" s="242"/>
      <c r="L389" s="242"/>
      <c r="M389" s="242"/>
      <c r="N389" s="242"/>
      <c r="O389" s="242"/>
      <c r="P389" s="242"/>
      <c r="Q389" s="242"/>
      <c r="R389" s="242"/>
      <c r="S389" s="242"/>
      <c r="T389" s="242"/>
      <c r="U389" s="242"/>
      <c r="V389" s="242"/>
      <c r="W389" s="242"/>
    </row>
    <row r="390">
      <c r="A390" s="13"/>
      <c r="B390" s="252"/>
      <c r="C390" s="252"/>
      <c r="D390" s="252"/>
      <c r="E390" s="252"/>
      <c r="F390" s="252"/>
      <c r="G390" s="252"/>
      <c r="H390" s="551"/>
      <c r="I390" s="242"/>
      <c r="J390" s="242"/>
      <c r="K390" s="242"/>
      <c r="L390" s="242"/>
      <c r="M390" s="242"/>
      <c r="N390" s="242"/>
      <c r="O390" s="242"/>
      <c r="P390" s="242"/>
      <c r="Q390" s="242"/>
      <c r="R390" s="242"/>
      <c r="S390" s="242"/>
      <c r="T390" s="242"/>
      <c r="U390" s="242"/>
      <c r="V390" s="242"/>
      <c r="W390" s="242"/>
    </row>
    <row r="391">
      <c r="A391" s="13"/>
      <c r="B391" s="252"/>
      <c r="C391" s="252"/>
      <c r="D391" s="252"/>
      <c r="E391" s="252"/>
      <c r="F391" s="252"/>
      <c r="G391" s="252"/>
      <c r="H391" s="551"/>
      <c r="I391" s="242"/>
      <c r="J391" s="242"/>
      <c r="K391" s="242"/>
      <c r="L391" s="242"/>
      <c r="M391" s="242"/>
      <c r="N391" s="242"/>
      <c r="O391" s="242"/>
      <c r="P391" s="242"/>
      <c r="Q391" s="242"/>
      <c r="R391" s="242"/>
      <c r="S391" s="242"/>
      <c r="T391" s="242"/>
      <c r="U391" s="242"/>
      <c r="V391" s="242"/>
      <c r="W391" s="242"/>
    </row>
    <row r="392">
      <c r="A392" s="13"/>
      <c r="B392" s="252"/>
      <c r="C392" s="252"/>
      <c r="D392" s="252"/>
      <c r="E392" s="252"/>
      <c r="F392" s="252"/>
      <c r="G392" s="252"/>
      <c r="H392" s="551"/>
      <c r="I392" s="242"/>
      <c r="J392" s="242"/>
      <c r="K392" s="242"/>
      <c r="L392" s="242"/>
      <c r="M392" s="242"/>
      <c r="N392" s="242"/>
      <c r="O392" s="242"/>
      <c r="P392" s="242"/>
      <c r="Q392" s="242"/>
      <c r="R392" s="242"/>
      <c r="S392" s="242"/>
      <c r="T392" s="242"/>
      <c r="U392" s="242"/>
      <c r="V392" s="242"/>
      <c r="W392" s="242"/>
    </row>
    <row r="393">
      <c r="A393" s="13"/>
      <c r="B393" s="252"/>
      <c r="C393" s="252"/>
      <c r="D393" s="252"/>
      <c r="E393" s="252"/>
      <c r="F393" s="252"/>
      <c r="G393" s="252"/>
      <c r="H393" s="551"/>
      <c r="I393" s="242"/>
      <c r="J393" s="242"/>
      <c r="K393" s="242"/>
      <c r="L393" s="242"/>
      <c r="M393" s="242"/>
      <c r="N393" s="242"/>
      <c r="O393" s="242"/>
      <c r="P393" s="242"/>
      <c r="Q393" s="242"/>
      <c r="R393" s="242"/>
      <c r="S393" s="242"/>
      <c r="T393" s="242"/>
      <c r="U393" s="242"/>
      <c r="V393" s="242"/>
      <c r="W393" s="242"/>
    </row>
    <row r="394">
      <c r="A394" s="13"/>
      <c r="B394" s="252"/>
      <c r="C394" s="252"/>
      <c r="D394" s="252"/>
      <c r="E394" s="252"/>
      <c r="F394" s="252"/>
      <c r="G394" s="252"/>
      <c r="H394" s="551"/>
      <c r="I394" s="242"/>
      <c r="J394" s="242"/>
      <c r="K394" s="242"/>
      <c r="L394" s="242"/>
      <c r="M394" s="242"/>
      <c r="N394" s="242"/>
      <c r="O394" s="242"/>
      <c r="P394" s="242"/>
      <c r="Q394" s="242"/>
      <c r="R394" s="242"/>
      <c r="S394" s="242"/>
      <c r="T394" s="242"/>
      <c r="U394" s="242"/>
      <c r="V394" s="242"/>
      <c r="W394" s="242"/>
    </row>
    <row r="395">
      <c r="A395" s="13"/>
      <c r="B395" s="252"/>
      <c r="C395" s="252"/>
      <c r="D395" s="252"/>
      <c r="E395" s="252"/>
      <c r="F395" s="252"/>
      <c r="G395" s="252"/>
      <c r="H395" s="551"/>
      <c r="I395" s="242"/>
      <c r="J395" s="242"/>
      <c r="K395" s="242"/>
      <c r="L395" s="242"/>
      <c r="M395" s="242"/>
      <c r="N395" s="242"/>
      <c r="O395" s="242"/>
      <c r="P395" s="242"/>
      <c r="Q395" s="242"/>
      <c r="R395" s="242"/>
      <c r="S395" s="242"/>
      <c r="T395" s="242"/>
      <c r="U395" s="242"/>
      <c r="V395" s="242"/>
      <c r="W395" s="242"/>
    </row>
    <row r="396">
      <c r="A396" s="13"/>
      <c r="B396" s="252"/>
      <c r="C396" s="252"/>
      <c r="D396" s="252"/>
      <c r="E396" s="252"/>
      <c r="F396" s="252"/>
      <c r="G396" s="252"/>
      <c r="H396" s="551"/>
      <c r="I396" s="242"/>
      <c r="J396" s="242"/>
      <c r="K396" s="242"/>
      <c r="L396" s="242"/>
      <c r="M396" s="242"/>
      <c r="N396" s="242"/>
      <c r="O396" s="242"/>
      <c r="P396" s="242"/>
      <c r="Q396" s="242"/>
      <c r="R396" s="242"/>
      <c r="S396" s="242"/>
      <c r="T396" s="242"/>
      <c r="U396" s="242"/>
      <c r="V396" s="242"/>
      <c r="W396" s="242"/>
    </row>
    <row r="397">
      <c r="A397" s="13"/>
      <c r="B397" s="252"/>
      <c r="C397" s="252"/>
      <c r="D397" s="252"/>
      <c r="E397" s="252"/>
      <c r="F397" s="252"/>
      <c r="G397" s="252"/>
      <c r="H397" s="551"/>
      <c r="I397" s="242"/>
      <c r="J397" s="242"/>
      <c r="K397" s="242"/>
      <c r="L397" s="242"/>
      <c r="M397" s="242"/>
      <c r="N397" s="242"/>
      <c r="O397" s="242"/>
      <c r="P397" s="242"/>
      <c r="Q397" s="242"/>
      <c r="R397" s="242"/>
      <c r="S397" s="242"/>
      <c r="T397" s="242"/>
      <c r="U397" s="242"/>
      <c r="V397" s="242"/>
      <c r="W397" s="242"/>
    </row>
    <row r="398">
      <c r="A398" s="13"/>
      <c r="B398" s="252"/>
      <c r="C398" s="252"/>
      <c r="D398" s="252"/>
      <c r="E398" s="252"/>
      <c r="F398" s="252"/>
      <c r="G398" s="252"/>
      <c r="H398" s="551"/>
      <c r="I398" s="242"/>
      <c r="J398" s="242"/>
      <c r="K398" s="242"/>
      <c r="L398" s="242"/>
      <c r="M398" s="242"/>
      <c r="N398" s="242"/>
      <c r="O398" s="242"/>
      <c r="P398" s="242"/>
      <c r="Q398" s="242"/>
      <c r="R398" s="242"/>
      <c r="S398" s="242"/>
      <c r="T398" s="242"/>
      <c r="U398" s="242"/>
      <c r="V398" s="242"/>
      <c r="W398" s="242"/>
    </row>
    <row r="399">
      <c r="A399" s="13"/>
      <c r="B399" s="252"/>
      <c r="C399" s="252"/>
      <c r="D399" s="252"/>
      <c r="E399" s="252"/>
      <c r="F399" s="252"/>
      <c r="G399" s="252"/>
      <c r="H399" s="551"/>
      <c r="I399" s="242"/>
      <c r="J399" s="242"/>
      <c r="K399" s="242"/>
      <c r="L399" s="242"/>
      <c r="M399" s="242"/>
      <c r="N399" s="242"/>
      <c r="O399" s="242"/>
      <c r="P399" s="242"/>
      <c r="Q399" s="242"/>
      <c r="R399" s="242"/>
      <c r="S399" s="242"/>
      <c r="T399" s="242"/>
      <c r="U399" s="242"/>
      <c r="V399" s="242"/>
      <c r="W399" s="242"/>
    </row>
    <row r="400">
      <c r="A400" s="13"/>
      <c r="B400" s="252"/>
      <c r="C400" s="252"/>
      <c r="D400" s="252"/>
      <c r="E400" s="252"/>
      <c r="F400" s="252"/>
      <c r="G400" s="252"/>
      <c r="H400" s="551"/>
      <c r="I400" s="242"/>
      <c r="J400" s="242"/>
      <c r="K400" s="242"/>
      <c r="L400" s="242"/>
      <c r="M400" s="242"/>
      <c r="N400" s="242"/>
      <c r="O400" s="242"/>
      <c r="P400" s="242"/>
      <c r="Q400" s="242"/>
      <c r="R400" s="242"/>
      <c r="S400" s="242"/>
      <c r="T400" s="242"/>
      <c r="U400" s="242"/>
      <c r="V400" s="242"/>
      <c r="W400" s="242"/>
    </row>
    <row r="401">
      <c r="A401" s="13"/>
      <c r="B401" s="252"/>
      <c r="C401" s="252"/>
      <c r="D401" s="252"/>
      <c r="E401" s="252"/>
      <c r="F401" s="252"/>
      <c r="G401" s="252"/>
      <c r="H401" s="551"/>
      <c r="I401" s="242"/>
      <c r="J401" s="242"/>
      <c r="K401" s="242"/>
      <c r="L401" s="242"/>
      <c r="M401" s="242"/>
      <c r="N401" s="242"/>
      <c r="O401" s="242"/>
      <c r="P401" s="242"/>
      <c r="Q401" s="242"/>
      <c r="R401" s="242"/>
      <c r="S401" s="242"/>
      <c r="T401" s="242"/>
      <c r="U401" s="242"/>
      <c r="V401" s="242"/>
      <c r="W401" s="242"/>
    </row>
    <row r="402">
      <c r="A402" s="13"/>
      <c r="B402" s="252"/>
      <c r="C402" s="252"/>
      <c r="D402" s="252"/>
      <c r="E402" s="252"/>
      <c r="F402" s="252"/>
      <c r="G402" s="252"/>
      <c r="H402" s="551"/>
      <c r="I402" s="242"/>
      <c r="J402" s="242"/>
      <c r="K402" s="242"/>
      <c r="L402" s="242"/>
      <c r="M402" s="242"/>
      <c r="N402" s="242"/>
      <c r="O402" s="242"/>
      <c r="P402" s="242"/>
      <c r="Q402" s="242"/>
      <c r="R402" s="242"/>
      <c r="S402" s="242"/>
      <c r="T402" s="242"/>
      <c r="U402" s="242"/>
      <c r="V402" s="242"/>
      <c r="W402" s="242"/>
    </row>
    <row r="403">
      <c r="A403" s="13"/>
      <c r="B403" s="252"/>
      <c r="C403" s="252"/>
      <c r="D403" s="252"/>
      <c r="E403" s="252"/>
      <c r="F403" s="252"/>
      <c r="G403" s="252"/>
      <c r="H403" s="551"/>
      <c r="I403" s="242"/>
      <c r="J403" s="242"/>
      <c r="K403" s="242"/>
      <c r="L403" s="242"/>
      <c r="M403" s="242"/>
      <c r="N403" s="242"/>
      <c r="O403" s="242"/>
      <c r="P403" s="242"/>
      <c r="Q403" s="242"/>
      <c r="R403" s="242"/>
      <c r="S403" s="242"/>
      <c r="T403" s="242"/>
      <c r="U403" s="242"/>
      <c r="V403" s="242"/>
      <c r="W403" s="242"/>
    </row>
    <row r="404">
      <c r="A404" s="13"/>
      <c r="B404" s="252"/>
      <c r="C404" s="252"/>
      <c r="D404" s="252"/>
      <c r="E404" s="252"/>
      <c r="F404" s="252"/>
      <c r="G404" s="252"/>
      <c r="H404" s="551"/>
      <c r="I404" s="242"/>
      <c r="J404" s="242"/>
      <c r="K404" s="242"/>
      <c r="L404" s="242"/>
      <c r="M404" s="242"/>
      <c r="N404" s="242"/>
      <c r="O404" s="242"/>
      <c r="P404" s="242"/>
      <c r="Q404" s="242"/>
      <c r="R404" s="242"/>
      <c r="S404" s="242"/>
      <c r="T404" s="242"/>
      <c r="U404" s="242"/>
      <c r="V404" s="242"/>
      <c r="W404" s="242"/>
    </row>
    <row r="405">
      <c r="A405" s="13"/>
      <c r="B405" s="252"/>
      <c r="C405" s="252"/>
      <c r="D405" s="252"/>
      <c r="E405" s="252"/>
      <c r="F405" s="252"/>
      <c r="G405" s="252"/>
      <c r="H405" s="551"/>
      <c r="I405" s="242"/>
      <c r="J405" s="242"/>
      <c r="K405" s="242"/>
      <c r="L405" s="242"/>
      <c r="M405" s="242"/>
      <c r="N405" s="242"/>
      <c r="O405" s="242"/>
      <c r="P405" s="242"/>
      <c r="Q405" s="242"/>
      <c r="R405" s="242"/>
      <c r="S405" s="242"/>
      <c r="T405" s="242"/>
      <c r="U405" s="242"/>
      <c r="V405" s="242"/>
      <c r="W405" s="242"/>
    </row>
    <row r="406">
      <c r="A406" s="13"/>
      <c r="B406" s="252"/>
      <c r="C406" s="252"/>
      <c r="D406" s="252"/>
      <c r="E406" s="252"/>
      <c r="F406" s="252"/>
      <c r="G406" s="252"/>
      <c r="H406" s="551"/>
      <c r="I406" s="242"/>
      <c r="J406" s="242"/>
      <c r="K406" s="242"/>
      <c r="L406" s="242"/>
      <c r="M406" s="242"/>
      <c r="N406" s="242"/>
      <c r="O406" s="242"/>
      <c r="P406" s="242"/>
      <c r="Q406" s="242"/>
      <c r="R406" s="242"/>
      <c r="S406" s="242"/>
      <c r="T406" s="242"/>
      <c r="U406" s="242"/>
      <c r="V406" s="242"/>
      <c r="W406" s="242"/>
    </row>
    <row r="407">
      <c r="A407" s="13"/>
      <c r="B407" s="252"/>
      <c r="C407" s="252"/>
      <c r="D407" s="252"/>
      <c r="E407" s="252"/>
      <c r="F407" s="252"/>
      <c r="G407" s="252"/>
      <c r="H407" s="551"/>
      <c r="I407" s="242"/>
      <c r="J407" s="242"/>
      <c r="K407" s="242"/>
      <c r="L407" s="242"/>
      <c r="M407" s="242"/>
      <c r="N407" s="242"/>
      <c r="O407" s="242"/>
      <c r="P407" s="242"/>
      <c r="Q407" s="242"/>
      <c r="R407" s="242"/>
      <c r="S407" s="242"/>
      <c r="T407" s="242"/>
      <c r="U407" s="242"/>
      <c r="V407" s="242"/>
      <c r="W407" s="242"/>
    </row>
    <row r="408">
      <c r="A408" s="13"/>
      <c r="B408" s="252"/>
      <c r="C408" s="252"/>
      <c r="D408" s="252"/>
      <c r="E408" s="252"/>
      <c r="F408" s="252"/>
      <c r="G408" s="252"/>
      <c r="H408" s="551"/>
      <c r="I408" s="242"/>
      <c r="J408" s="242"/>
      <c r="K408" s="242"/>
      <c r="L408" s="242"/>
      <c r="M408" s="242"/>
      <c r="N408" s="242"/>
      <c r="O408" s="242"/>
      <c r="P408" s="242"/>
      <c r="Q408" s="242"/>
      <c r="R408" s="242"/>
      <c r="S408" s="242"/>
      <c r="T408" s="242"/>
      <c r="U408" s="242"/>
      <c r="V408" s="242"/>
      <c r="W408" s="242"/>
    </row>
    <row r="409">
      <c r="A409" s="13"/>
      <c r="B409" s="252"/>
      <c r="C409" s="252"/>
      <c r="D409" s="252"/>
      <c r="E409" s="252"/>
      <c r="F409" s="252"/>
      <c r="G409" s="252"/>
      <c r="H409" s="551"/>
      <c r="I409" s="242"/>
      <c r="J409" s="242"/>
      <c r="K409" s="242"/>
      <c r="L409" s="242"/>
      <c r="M409" s="242"/>
      <c r="N409" s="242"/>
      <c r="O409" s="242"/>
      <c r="P409" s="242"/>
      <c r="Q409" s="242"/>
      <c r="R409" s="242"/>
      <c r="S409" s="242"/>
      <c r="T409" s="242"/>
      <c r="U409" s="242"/>
      <c r="V409" s="242"/>
      <c r="W409" s="242"/>
    </row>
    <row r="410">
      <c r="A410" s="13"/>
      <c r="B410" s="252"/>
      <c r="C410" s="252"/>
      <c r="D410" s="252"/>
      <c r="E410" s="252"/>
      <c r="F410" s="252"/>
      <c r="G410" s="252"/>
      <c r="H410" s="551"/>
      <c r="I410" s="242"/>
      <c r="J410" s="242"/>
      <c r="K410" s="242"/>
      <c r="L410" s="242"/>
      <c r="M410" s="242"/>
      <c r="N410" s="242"/>
      <c r="O410" s="242"/>
      <c r="P410" s="242"/>
      <c r="Q410" s="242"/>
      <c r="R410" s="242"/>
      <c r="S410" s="242"/>
      <c r="T410" s="242"/>
      <c r="U410" s="242"/>
      <c r="V410" s="242"/>
      <c r="W410" s="242"/>
    </row>
    <row r="411">
      <c r="A411" s="13"/>
      <c r="B411" s="252"/>
      <c r="C411" s="252"/>
      <c r="D411" s="252"/>
      <c r="E411" s="252"/>
      <c r="F411" s="252"/>
      <c r="G411" s="252"/>
      <c r="H411" s="551"/>
      <c r="I411" s="242"/>
      <c r="J411" s="242"/>
      <c r="K411" s="242"/>
      <c r="L411" s="242"/>
      <c r="M411" s="242"/>
      <c r="N411" s="242"/>
      <c r="O411" s="242"/>
      <c r="P411" s="242"/>
      <c r="Q411" s="242"/>
      <c r="R411" s="242"/>
      <c r="S411" s="242"/>
      <c r="T411" s="242"/>
      <c r="U411" s="242"/>
      <c r="V411" s="242"/>
      <c r="W411" s="242"/>
    </row>
    <row r="412">
      <c r="A412" s="13"/>
      <c r="B412" s="252"/>
      <c r="C412" s="252"/>
      <c r="D412" s="252"/>
      <c r="E412" s="252"/>
      <c r="F412" s="252"/>
      <c r="G412" s="252"/>
      <c r="H412" s="551"/>
      <c r="I412" s="242"/>
      <c r="J412" s="242"/>
      <c r="K412" s="242"/>
      <c r="L412" s="242"/>
      <c r="M412" s="242"/>
      <c r="N412" s="242"/>
      <c r="O412" s="242"/>
      <c r="P412" s="242"/>
      <c r="Q412" s="242"/>
      <c r="R412" s="242"/>
      <c r="S412" s="242"/>
      <c r="T412" s="242"/>
      <c r="U412" s="242"/>
      <c r="V412" s="242"/>
      <c r="W412" s="242"/>
    </row>
    <row r="413">
      <c r="A413" s="13"/>
      <c r="B413" s="252"/>
      <c r="C413" s="252"/>
      <c r="D413" s="252"/>
      <c r="E413" s="252"/>
      <c r="F413" s="252"/>
      <c r="G413" s="252"/>
      <c r="H413" s="551"/>
      <c r="I413" s="242"/>
      <c r="J413" s="242"/>
      <c r="K413" s="242"/>
      <c r="L413" s="242"/>
      <c r="M413" s="242"/>
      <c r="N413" s="242"/>
      <c r="O413" s="242"/>
      <c r="P413" s="242"/>
      <c r="Q413" s="242"/>
      <c r="R413" s="242"/>
      <c r="S413" s="242"/>
      <c r="T413" s="242"/>
      <c r="U413" s="242"/>
      <c r="V413" s="242"/>
      <c r="W413" s="242"/>
    </row>
    <row r="414">
      <c r="A414" s="13"/>
      <c r="B414" s="252"/>
      <c r="C414" s="252"/>
      <c r="D414" s="252"/>
      <c r="E414" s="252"/>
      <c r="F414" s="252"/>
      <c r="G414" s="252"/>
      <c r="H414" s="551"/>
      <c r="I414" s="242"/>
      <c r="J414" s="242"/>
      <c r="K414" s="242"/>
      <c r="L414" s="242"/>
      <c r="M414" s="242"/>
      <c r="N414" s="242"/>
      <c r="O414" s="242"/>
      <c r="P414" s="242"/>
      <c r="Q414" s="242"/>
      <c r="R414" s="242"/>
      <c r="S414" s="242"/>
      <c r="T414" s="242"/>
      <c r="U414" s="242"/>
      <c r="V414" s="242"/>
      <c r="W414" s="242"/>
    </row>
    <row r="415">
      <c r="A415" s="13"/>
      <c r="B415" s="252"/>
      <c r="C415" s="252"/>
      <c r="D415" s="252"/>
      <c r="E415" s="252"/>
      <c r="F415" s="252"/>
      <c r="G415" s="252"/>
      <c r="H415" s="551"/>
      <c r="I415" s="242"/>
      <c r="J415" s="242"/>
      <c r="K415" s="242"/>
      <c r="L415" s="242"/>
      <c r="M415" s="242"/>
      <c r="N415" s="242"/>
      <c r="O415" s="242"/>
      <c r="P415" s="242"/>
      <c r="Q415" s="242"/>
      <c r="R415" s="242"/>
      <c r="S415" s="242"/>
      <c r="T415" s="242"/>
      <c r="U415" s="242"/>
      <c r="V415" s="242"/>
      <c r="W415" s="242"/>
    </row>
    <row r="416">
      <c r="A416" s="13"/>
      <c r="B416" s="252"/>
      <c r="C416" s="252"/>
      <c r="D416" s="252"/>
      <c r="E416" s="252"/>
      <c r="F416" s="252"/>
      <c r="G416" s="252"/>
      <c r="H416" s="551"/>
      <c r="I416" s="242"/>
      <c r="J416" s="242"/>
      <c r="K416" s="242"/>
      <c r="L416" s="242"/>
      <c r="M416" s="242"/>
      <c r="N416" s="242"/>
      <c r="O416" s="242"/>
      <c r="P416" s="242"/>
      <c r="Q416" s="242"/>
      <c r="R416" s="242"/>
      <c r="S416" s="242"/>
      <c r="T416" s="242"/>
      <c r="U416" s="242"/>
      <c r="V416" s="242"/>
      <c r="W416" s="242"/>
    </row>
    <row r="417">
      <c r="A417" s="13"/>
      <c r="B417" s="252"/>
      <c r="C417" s="252"/>
      <c r="D417" s="252"/>
      <c r="E417" s="252"/>
      <c r="F417" s="252"/>
      <c r="G417" s="252"/>
      <c r="H417" s="551"/>
      <c r="I417" s="242"/>
      <c r="J417" s="242"/>
      <c r="K417" s="242"/>
      <c r="L417" s="242"/>
      <c r="M417" s="242"/>
      <c r="N417" s="242"/>
      <c r="O417" s="242"/>
      <c r="P417" s="242"/>
      <c r="Q417" s="242"/>
      <c r="R417" s="242"/>
      <c r="S417" s="242"/>
      <c r="T417" s="242"/>
      <c r="U417" s="242"/>
      <c r="V417" s="242"/>
      <c r="W417" s="242"/>
    </row>
    <row r="418">
      <c r="A418" s="13"/>
      <c r="B418" s="252"/>
      <c r="C418" s="252"/>
      <c r="D418" s="252"/>
      <c r="E418" s="252"/>
      <c r="F418" s="252"/>
      <c r="G418" s="252"/>
      <c r="H418" s="551"/>
      <c r="I418" s="242"/>
      <c r="J418" s="242"/>
      <c r="K418" s="242"/>
      <c r="L418" s="242"/>
      <c r="M418" s="242"/>
      <c r="N418" s="242"/>
      <c r="O418" s="242"/>
      <c r="P418" s="242"/>
      <c r="Q418" s="242"/>
      <c r="R418" s="242"/>
      <c r="S418" s="242"/>
      <c r="T418" s="242"/>
      <c r="U418" s="242"/>
      <c r="V418" s="242"/>
      <c r="W418" s="242"/>
    </row>
    <row r="419">
      <c r="A419" s="13"/>
      <c r="B419" s="252"/>
      <c r="C419" s="252"/>
      <c r="D419" s="252"/>
      <c r="E419" s="252"/>
      <c r="F419" s="252"/>
      <c r="G419" s="252"/>
      <c r="H419" s="551"/>
      <c r="I419" s="242"/>
      <c r="J419" s="242"/>
      <c r="K419" s="242"/>
      <c r="L419" s="242"/>
      <c r="M419" s="242"/>
      <c r="N419" s="242"/>
      <c r="O419" s="242"/>
      <c r="P419" s="242"/>
      <c r="Q419" s="242"/>
      <c r="R419" s="242"/>
      <c r="S419" s="242"/>
      <c r="T419" s="242"/>
      <c r="U419" s="242"/>
      <c r="V419" s="242"/>
      <c r="W419" s="242"/>
    </row>
    <row r="420">
      <c r="A420" s="13"/>
      <c r="B420" s="252"/>
      <c r="C420" s="252"/>
      <c r="D420" s="252"/>
      <c r="E420" s="252"/>
      <c r="F420" s="252"/>
      <c r="G420" s="252"/>
      <c r="H420" s="551"/>
      <c r="I420" s="242"/>
      <c r="J420" s="242"/>
      <c r="K420" s="242"/>
      <c r="L420" s="242"/>
      <c r="M420" s="242"/>
      <c r="N420" s="242"/>
      <c r="O420" s="242"/>
      <c r="P420" s="242"/>
      <c r="Q420" s="242"/>
      <c r="R420" s="242"/>
      <c r="S420" s="242"/>
      <c r="T420" s="242"/>
      <c r="U420" s="242"/>
      <c r="V420" s="242"/>
      <c r="W420" s="242"/>
    </row>
    <row r="421">
      <c r="A421" s="13"/>
      <c r="B421" s="252"/>
      <c r="C421" s="252"/>
      <c r="D421" s="252"/>
      <c r="E421" s="252"/>
      <c r="F421" s="252"/>
      <c r="G421" s="252"/>
      <c r="H421" s="551"/>
      <c r="I421" s="242"/>
      <c r="J421" s="242"/>
      <c r="K421" s="242"/>
      <c r="L421" s="242"/>
      <c r="M421" s="242"/>
      <c r="N421" s="242"/>
      <c r="O421" s="242"/>
      <c r="P421" s="242"/>
      <c r="Q421" s="242"/>
      <c r="R421" s="242"/>
      <c r="S421" s="242"/>
      <c r="T421" s="242"/>
      <c r="U421" s="242"/>
      <c r="V421" s="242"/>
      <c r="W421" s="242"/>
    </row>
    <row r="422">
      <c r="A422" s="13"/>
      <c r="B422" s="252"/>
      <c r="C422" s="252"/>
      <c r="D422" s="252"/>
      <c r="E422" s="252"/>
      <c r="F422" s="252"/>
      <c r="G422" s="252"/>
      <c r="H422" s="551"/>
      <c r="I422" s="242"/>
      <c r="J422" s="242"/>
      <c r="K422" s="242"/>
      <c r="L422" s="242"/>
      <c r="M422" s="242"/>
      <c r="N422" s="242"/>
      <c r="O422" s="242"/>
      <c r="P422" s="242"/>
      <c r="Q422" s="242"/>
      <c r="R422" s="242"/>
      <c r="S422" s="242"/>
      <c r="T422" s="242"/>
      <c r="U422" s="242"/>
      <c r="V422" s="242"/>
      <c r="W422" s="242"/>
    </row>
    <row r="423">
      <c r="A423" s="13"/>
      <c r="B423" s="252"/>
      <c r="C423" s="252"/>
      <c r="D423" s="252"/>
      <c r="E423" s="252"/>
      <c r="F423" s="252"/>
      <c r="G423" s="252"/>
      <c r="H423" s="551"/>
      <c r="I423" s="242"/>
      <c r="J423" s="242"/>
      <c r="K423" s="242"/>
      <c r="L423" s="242"/>
      <c r="M423" s="242"/>
      <c r="N423" s="242"/>
      <c r="O423" s="242"/>
      <c r="P423" s="242"/>
      <c r="Q423" s="242"/>
      <c r="R423" s="242"/>
      <c r="S423" s="242"/>
      <c r="T423" s="242"/>
      <c r="U423" s="242"/>
      <c r="V423" s="242"/>
      <c r="W423" s="242"/>
    </row>
    <row r="424">
      <c r="A424" s="13"/>
      <c r="B424" s="252"/>
      <c r="C424" s="252"/>
      <c r="D424" s="252"/>
      <c r="E424" s="252"/>
      <c r="F424" s="252"/>
      <c r="G424" s="252"/>
      <c r="H424" s="551"/>
      <c r="I424" s="242"/>
      <c r="J424" s="242"/>
      <c r="K424" s="242"/>
      <c r="L424" s="242"/>
      <c r="M424" s="242"/>
      <c r="N424" s="242"/>
      <c r="O424" s="242"/>
      <c r="P424" s="242"/>
      <c r="Q424" s="242"/>
      <c r="R424" s="242"/>
      <c r="S424" s="242"/>
      <c r="T424" s="242"/>
      <c r="U424" s="242"/>
      <c r="V424" s="242"/>
      <c r="W424" s="242"/>
    </row>
    <row r="425">
      <c r="A425" s="13"/>
      <c r="B425" s="252"/>
      <c r="C425" s="252"/>
      <c r="D425" s="252"/>
      <c r="E425" s="252"/>
      <c r="F425" s="252"/>
      <c r="G425" s="252"/>
      <c r="H425" s="551"/>
      <c r="I425" s="242"/>
      <c r="J425" s="242"/>
      <c r="K425" s="242"/>
      <c r="L425" s="242"/>
      <c r="M425" s="242"/>
      <c r="N425" s="242"/>
      <c r="O425" s="242"/>
      <c r="P425" s="242"/>
      <c r="Q425" s="242"/>
      <c r="R425" s="242"/>
      <c r="S425" s="242"/>
      <c r="T425" s="242"/>
      <c r="U425" s="242"/>
      <c r="V425" s="242"/>
      <c r="W425" s="242"/>
    </row>
    <row r="426">
      <c r="A426" s="13"/>
      <c r="B426" s="252"/>
      <c r="C426" s="252"/>
      <c r="D426" s="252"/>
      <c r="E426" s="252"/>
      <c r="F426" s="252"/>
      <c r="G426" s="252"/>
      <c r="H426" s="551"/>
      <c r="I426" s="242"/>
      <c r="J426" s="242"/>
      <c r="K426" s="242"/>
      <c r="L426" s="242"/>
      <c r="M426" s="242"/>
      <c r="N426" s="242"/>
      <c r="O426" s="242"/>
      <c r="P426" s="242"/>
      <c r="Q426" s="242"/>
      <c r="R426" s="242"/>
      <c r="S426" s="242"/>
      <c r="T426" s="242"/>
      <c r="U426" s="242"/>
      <c r="V426" s="242"/>
      <c r="W426" s="242"/>
    </row>
    <row r="427">
      <c r="A427" s="13"/>
      <c r="B427" s="252"/>
      <c r="C427" s="252"/>
      <c r="D427" s="252"/>
      <c r="E427" s="252"/>
      <c r="F427" s="252"/>
      <c r="G427" s="252"/>
      <c r="H427" s="551"/>
      <c r="I427" s="242"/>
      <c r="J427" s="242"/>
      <c r="K427" s="242"/>
      <c r="L427" s="242"/>
      <c r="M427" s="242"/>
      <c r="N427" s="242"/>
      <c r="O427" s="242"/>
      <c r="P427" s="242"/>
      <c r="Q427" s="242"/>
      <c r="R427" s="242"/>
      <c r="S427" s="242"/>
      <c r="T427" s="242"/>
      <c r="U427" s="242"/>
      <c r="V427" s="242"/>
      <c r="W427" s="242"/>
    </row>
    <row r="428">
      <c r="A428" s="13"/>
      <c r="B428" s="252"/>
      <c r="C428" s="252"/>
      <c r="D428" s="252"/>
      <c r="E428" s="252"/>
      <c r="F428" s="252"/>
      <c r="G428" s="252"/>
      <c r="H428" s="551"/>
      <c r="I428" s="242"/>
      <c r="J428" s="242"/>
      <c r="K428" s="242"/>
      <c r="L428" s="242"/>
      <c r="M428" s="242"/>
      <c r="N428" s="242"/>
      <c r="O428" s="242"/>
      <c r="P428" s="242"/>
      <c r="Q428" s="242"/>
      <c r="R428" s="242"/>
      <c r="S428" s="242"/>
      <c r="T428" s="242"/>
      <c r="U428" s="242"/>
      <c r="V428" s="242"/>
      <c r="W428" s="242"/>
    </row>
    <row r="429">
      <c r="A429" s="13"/>
      <c r="B429" s="252"/>
      <c r="C429" s="252"/>
      <c r="D429" s="252"/>
      <c r="E429" s="252"/>
      <c r="F429" s="252"/>
      <c r="G429" s="252"/>
      <c r="H429" s="551"/>
      <c r="I429" s="242"/>
      <c r="J429" s="242"/>
      <c r="K429" s="242"/>
      <c r="L429" s="242"/>
      <c r="M429" s="242"/>
      <c r="N429" s="242"/>
      <c r="O429" s="242"/>
      <c r="P429" s="242"/>
      <c r="Q429" s="242"/>
      <c r="R429" s="242"/>
      <c r="S429" s="242"/>
      <c r="T429" s="242"/>
      <c r="U429" s="242"/>
      <c r="V429" s="242"/>
      <c r="W429" s="242"/>
    </row>
    <row r="430">
      <c r="A430" s="13"/>
      <c r="B430" s="252"/>
      <c r="C430" s="252"/>
      <c r="D430" s="252"/>
      <c r="E430" s="252"/>
      <c r="F430" s="252"/>
      <c r="G430" s="252"/>
      <c r="H430" s="551"/>
      <c r="I430" s="242"/>
      <c r="J430" s="242"/>
      <c r="K430" s="242"/>
      <c r="L430" s="242"/>
      <c r="M430" s="242"/>
      <c r="N430" s="242"/>
      <c r="O430" s="242"/>
      <c r="P430" s="242"/>
      <c r="Q430" s="242"/>
      <c r="R430" s="242"/>
      <c r="S430" s="242"/>
      <c r="T430" s="242"/>
      <c r="U430" s="242"/>
      <c r="V430" s="242"/>
      <c r="W430" s="242"/>
    </row>
    <row r="431">
      <c r="A431" s="13"/>
      <c r="B431" s="252"/>
      <c r="C431" s="252"/>
      <c r="D431" s="252"/>
      <c r="E431" s="252"/>
      <c r="F431" s="252"/>
      <c r="G431" s="252"/>
      <c r="H431" s="551"/>
      <c r="I431" s="242"/>
      <c r="J431" s="242"/>
      <c r="K431" s="242"/>
      <c r="L431" s="242"/>
      <c r="M431" s="242"/>
      <c r="N431" s="242"/>
      <c r="O431" s="242"/>
      <c r="P431" s="242"/>
      <c r="Q431" s="242"/>
      <c r="R431" s="242"/>
      <c r="S431" s="242"/>
      <c r="T431" s="242"/>
      <c r="U431" s="242"/>
      <c r="V431" s="242"/>
      <c r="W431" s="242"/>
    </row>
    <row r="432">
      <c r="A432" s="13"/>
      <c r="B432" s="252"/>
      <c r="C432" s="252"/>
      <c r="D432" s="252"/>
      <c r="E432" s="252"/>
      <c r="F432" s="252"/>
      <c r="G432" s="252"/>
      <c r="H432" s="551"/>
      <c r="I432" s="242"/>
      <c r="J432" s="242"/>
      <c r="K432" s="242"/>
      <c r="L432" s="242"/>
      <c r="M432" s="242"/>
      <c r="N432" s="242"/>
      <c r="O432" s="242"/>
      <c r="P432" s="242"/>
      <c r="Q432" s="242"/>
      <c r="R432" s="242"/>
      <c r="S432" s="242"/>
      <c r="T432" s="242"/>
      <c r="U432" s="242"/>
      <c r="V432" s="242"/>
      <c r="W432" s="242"/>
    </row>
    <row r="433">
      <c r="A433" s="13"/>
      <c r="B433" s="252"/>
      <c r="C433" s="252"/>
      <c r="D433" s="252"/>
      <c r="E433" s="252"/>
      <c r="F433" s="252"/>
      <c r="G433" s="252"/>
      <c r="H433" s="551"/>
      <c r="I433" s="242"/>
      <c r="J433" s="242"/>
      <c r="K433" s="242"/>
      <c r="L433" s="242"/>
      <c r="M433" s="242"/>
      <c r="N433" s="242"/>
      <c r="O433" s="242"/>
      <c r="P433" s="242"/>
      <c r="Q433" s="242"/>
      <c r="R433" s="242"/>
      <c r="S433" s="242"/>
      <c r="T433" s="242"/>
      <c r="U433" s="242"/>
      <c r="V433" s="242"/>
      <c r="W433" s="242"/>
    </row>
    <row r="434">
      <c r="A434" s="13"/>
      <c r="B434" s="252"/>
      <c r="C434" s="252"/>
      <c r="D434" s="252"/>
      <c r="E434" s="252"/>
      <c r="F434" s="252"/>
      <c r="G434" s="252"/>
      <c r="H434" s="551"/>
      <c r="I434" s="242"/>
      <c r="J434" s="242"/>
      <c r="K434" s="242"/>
      <c r="L434" s="242"/>
      <c r="M434" s="242"/>
      <c r="N434" s="242"/>
      <c r="O434" s="242"/>
      <c r="P434" s="242"/>
      <c r="Q434" s="242"/>
      <c r="R434" s="242"/>
      <c r="S434" s="242"/>
      <c r="T434" s="242"/>
      <c r="U434" s="242"/>
      <c r="V434" s="242"/>
      <c r="W434" s="242"/>
    </row>
    <row r="435">
      <c r="A435" s="13"/>
      <c r="B435" s="252"/>
      <c r="C435" s="252"/>
      <c r="D435" s="252"/>
      <c r="E435" s="252"/>
      <c r="F435" s="252"/>
      <c r="G435" s="252"/>
      <c r="H435" s="551"/>
      <c r="I435" s="242"/>
      <c r="J435" s="242"/>
      <c r="K435" s="242"/>
      <c r="L435" s="242"/>
      <c r="M435" s="242"/>
      <c r="N435" s="242"/>
      <c r="O435" s="242"/>
      <c r="P435" s="242"/>
      <c r="Q435" s="242"/>
      <c r="R435" s="242"/>
      <c r="S435" s="242"/>
      <c r="T435" s="242"/>
      <c r="U435" s="242"/>
      <c r="V435" s="242"/>
      <c r="W435" s="242"/>
    </row>
    <row r="436">
      <c r="A436" s="13"/>
      <c r="B436" s="252"/>
      <c r="C436" s="252"/>
      <c r="D436" s="252"/>
      <c r="E436" s="252"/>
      <c r="F436" s="252"/>
      <c r="G436" s="252"/>
      <c r="H436" s="551"/>
      <c r="I436" s="242"/>
      <c r="J436" s="242"/>
      <c r="K436" s="242"/>
      <c r="L436" s="242"/>
      <c r="M436" s="242"/>
      <c r="N436" s="242"/>
      <c r="O436" s="242"/>
      <c r="P436" s="242"/>
      <c r="Q436" s="242"/>
      <c r="R436" s="242"/>
      <c r="S436" s="242"/>
      <c r="T436" s="242"/>
      <c r="U436" s="242"/>
      <c r="V436" s="242"/>
      <c r="W436" s="242"/>
    </row>
    <row r="437">
      <c r="A437" s="13"/>
      <c r="B437" s="252"/>
      <c r="C437" s="252"/>
      <c r="D437" s="252"/>
      <c r="E437" s="252"/>
      <c r="F437" s="252"/>
      <c r="G437" s="252"/>
      <c r="H437" s="551"/>
      <c r="I437" s="242"/>
      <c r="J437" s="242"/>
      <c r="K437" s="242"/>
      <c r="L437" s="242"/>
      <c r="M437" s="242"/>
      <c r="N437" s="242"/>
      <c r="O437" s="242"/>
      <c r="P437" s="242"/>
      <c r="Q437" s="242"/>
      <c r="R437" s="242"/>
      <c r="S437" s="242"/>
      <c r="T437" s="242"/>
      <c r="U437" s="242"/>
      <c r="V437" s="242"/>
      <c r="W437" s="242"/>
    </row>
    <row r="438">
      <c r="A438" s="13"/>
      <c r="B438" s="252"/>
      <c r="C438" s="252"/>
      <c r="D438" s="252"/>
      <c r="E438" s="252"/>
      <c r="F438" s="252"/>
      <c r="G438" s="252"/>
      <c r="H438" s="551"/>
      <c r="I438" s="242"/>
      <c r="J438" s="242"/>
      <c r="K438" s="242"/>
      <c r="L438" s="242"/>
      <c r="M438" s="242"/>
      <c r="N438" s="242"/>
      <c r="O438" s="242"/>
      <c r="P438" s="242"/>
      <c r="Q438" s="242"/>
      <c r="R438" s="242"/>
      <c r="S438" s="242"/>
      <c r="T438" s="242"/>
      <c r="U438" s="242"/>
      <c r="V438" s="242"/>
      <c r="W438" s="242"/>
    </row>
    <row r="439">
      <c r="A439" s="13"/>
      <c r="B439" s="252"/>
      <c r="C439" s="252"/>
      <c r="D439" s="252"/>
      <c r="E439" s="252"/>
      <c r="F439" s="252"/>
      <c r="G439" s="252"/>
      <c r="H439" s="551"/>
      <c r="I439" s="242"/>
      <c r="J439" s="242"/>
      <c r="K439" s="242"/>
      <c r="L439" s="242"/>
      <c r="M439" s="242"/>
      <c r="N439" s="242"/>
      <c r="O439" s="242"/>
      <c r="P439" s="242"/>
      <c r="Q439" s="242"/>
      <c r="R439" s="242"/>
      <c r="S439" s="242"/>
      <c r="T439" s="242"/>
      <c r="U439" s="242"/>
      <c r="V439" s="242"/>
      <c r="W439" s="242"/>
    </row>
    <row r="440">
      <c r="A440" s="13"/>
      <c r="B440" s="252"/>
      <c r="C440" s="252"/>
      <c r="D440" s="252"/>
      <c r="E440" s="252"/>
      <c r="F440" s="252"/>
      <c r="G440" s="252"/>
      <c r="H440" s="551"/>
      <c r="I440" s="242"/>
      <c r="J440" s="242"/>
      <c r="K440" s="242"/>
      <c r="L440" s="242"/>
      <c r="M440" s="242"/>
      <c r="N440" s="242"/>
      <c r="O440" s="242"/>
      <c r="P440" s="242"/>
      <c r="Q440" s="242"/>
      <c r="R440" s="242"/>
      <c r="S440" s="242"/>
      <c r="T440" s="242"/>
      <c r="U440" s="242"/>
      <c r="V440" s="242"/>
      <c r="W440" s="242"/>
    </row>
    <row r="441">
      <c r="A441" s="13"/>
      <c r="B441" s="252"/>
      <c r="C441" s="252"/>
      <c r="D441" s="252"/>
      <c r="E441" s="252"/>
      <c r="F441" s="252"/>
      <c r="G441" s="252"/>
      <c r="H441" s="551"/>
      <c r="I441" s="242"/>
      <c r="J441" s="242"/>
      <c r="K441" s="242"/>
      <c r="L441" s="242"/>
      <c r="M441" s="242"/>
      <c r="N441" s="242"/>
      <c r="O441" s="242"/>
      <c r="P441" s="242"/>
      <c r="Q441" s="242"/>
      <c r="R441" s="242"/>
      <c r="S441" s="242"/>
      <c r="T441" s="242"/>
      <c r="U441" s="242"/>
      <c r="V441" s="242"/>
      <c r="W441" s="242"/>
    </row>
    <row r="442">
      <c r="A442" s="13"/>
      <c r="B442" s="252"/>
      <c r="C442" s="252"/>
      <c r="D442" s="252"/>
      <c r="E442" s="252"/>
      <c r="F442" s="252"/>
      <c r="G442" s="252"/>
      <c r="H442" s="551"/>
      <c r="I442" s="242"/>
      <c r="J442" s="242"/>
      <c r="K442" s="242"/>
      <c r="L442" s="242"/>
      <c r="M442" s="242"/>
      <c r="N442" s="242"/>
      <c r="O442" s="242"/>
      <c r="P442" s="242"/>
      <c r="Q442" s="242"/>
      <c r="R442" s="242"/>
      <c r="S442" s="242"/>
      <c r="T442" s="242"/>
      <c r="U442" s="242"/>
      <c r="V442" s="242"/>
      <c r="W442" s="242"/>
    </row>
    <row r="443">
      <c r="A443" s="13"/>
      <c r="B443" s="252"/>
      <c r="C443" s="252"/>
      <c r="D443" s="252"/>
      <c r="E443" s="252"/>
      <c r="F443" s="252"/>
      <c r="G443" s="252"/>
      <c r="H443" s="551"/>
      <c r="I443" s="242"/>
      <c r="J443" s="242"/>
      <c r="K443" s="242"/>
      <c r="L443" s="242"/>
      <c r="M443" s="242"/>
      <c r="N443" s="242"/>
      <c r="O443" s="242"/>
      <c r="P443" s="242"/>
      <c r="Q443" s="242"/>
      <c r="R443" s="242"/>
      <c r="S443" s="242"/>
      <c r="T443" s="242"/>
      <c r="U443" s="242"/>
      <c r="V443" s="242"/>
      <c r="W443" s="242"/>
    </row>
    <row r="444">
      <c r="A444" s="13"/>
      <c r="B444" s="252"/>
      <c r="C444" s="252"/>
      <c r="D444" s="252"/>
      <c r="E444" s="252"/>
      <c r="F444" s="252"/>
      <c r="G444" s="252"/>
      <c r="H444" s="551"/>
      <c r="I444" s="242"/>
      <c r="J444" s="242"/>
      <c r="K444" s="242"/>
      <c r="L444" s="242"/>
      <c r="M444" s="242"/>
      <c r="N444" s="242"/>
      <c r="O444" s="242"/>
      <c r="P444" s="242"/>
      <c r="Q444" s="242"/>
      <c r="R444" s="242"/>
      <c r="S444" s="242"/>
      <c r="T444" s="242"/>
      <c r="U444" s="242"/>
      <c r="V444" s="242"/>
      <c r="W444" s="242"/>
    </row>
    <row r="445">
      <c r="A445" s="13"/>
      <c r="B445" s="252"/>
      <c r="C445" s="252"/>
      <c r="D445" s="252"/>
      <c r="E445" s="252"/>
      <c r="F445" s="252"/>
      <c r="G445" s="252"/>
      <c r="H445" s="551"/>
      <c r="I445" s="242"/>
      <c r="J445" s="242"/>
      <c r="K445" s="242"/>
      <c r="L445" s="242"/>
      <c r="M445" s="242"/>
      <c r="N445" s="242"/>
      <c r="O445" s="242"/>
      <c r="P445" s="242"/>
      <c r="Q445" s="242"/>
      <c r="R445" s="242"/>
      <c r="S445" s="242"/>
      <c r="T445" s="242"/>
      <c r="U445" s="242"/>
      <c r="V445" s="242"/>
      <c r="W445" s="242"/>
    </row>
    <row r="446">
      <c r="A446" s="13"/>
      <c r="B446" s="252"/>
      <c r="C446" s="252"/>
      <c r="D446" s="252"/>
      <c r="E446" s="252"/>
      <c r="F446" s="252"/>
      <c r="G446" s="252"/>
      <c r="H446" s="551"/>
      <c r="I446" s="242"/>
      <c r="J446" s="242"/>
      <c r="K446" s="242"/>
      <c r="L446" s="242"/>
      <c r="M446" s="242"/>
      <c r="N446" s="242"/>
      <c r="O446" s="242"/>
      <c r="P446" s="242"/>
      <c r="Q446" s="242"/>
      <c r="R446" s="242"/>
      <c r="S446" s="242"/>
      <c r="T446" s="242"/>
      <c r="U446" s="242"/>
      <c r="V446" s="242"/>
      <c r="W446" s="242"/>
    </row>
    <row r="447">
      <c r="A447" s="13"/>
      <c r="B447" s="252"/>
      <c r="C447" s="252"/>
      <c r="D447" s="252"/>
      <c r="E447" s="252"/>
      <c r="F447" s="252"/>
      <c r="G447" s="252"/>
      <c r="H447" s="551"/>
      <c r="I447" s="242"/>
      <c r="J447" s="242"/>
      <c r="K447" s="242"/>
      <c r="L447" s="242"/>
      <c r="M447" s="242"/>
      <c r="N447" s="242"/>
      <c r="O447" s="242"/>
      <c r="P447" s="242"/>
      <c r="Q447" s="242"/>
      <c r="R447" s="242"/>
      <c r="S447" s="242"/>
      <c r="T447" s="242"/>
      <c r="U447" s="242"/>
      <c r="V447" s="242"/>
      <c r="W447" s="242"/>
    </row>
    <row r="448">
      <c r="A448" s="13"/>
      <c r="B448" s="252"/>
      <c r="C448" s="252"/>
      <c r="D448" s="252"/>
      <c r="E448" s="252"/>
      <c r="F448" s="252"/>
      <c r="G448" s="252"/>
      <c r="H448" s="551"/>
      <c r="I448" s="242"/>
      <c r="J448" s="242"/>
      <c r="K448" s="242"/>
      <c r="L448" s="242"/>
      <c r="M448" s="242"/>
      <c r="N448" s="242"/>
      <c r="O448" s="242"/>
      <c r="P448" s="242"/>
      <c r="Q448" s="242"/>
      <c r="R448" s="242"/>
      <c r="S448" s="242"/>
      <c r="T448" s="242"/>
      <c r="U448" s="242"/>
      <c r="V448" s="242"/>
      <c r="W448" s="242"/>
    </row>
    <row r="449">
      <c r="A449" s="13"/>
      <c r="B449" s="252"/>
      <c r="C449" s="252"/>
      <c r="D449" s="252"/>
      <c r="E449" s="252"/>
      <c r="F449" s="252"/>
      <c r="G449" s="252"/>
      <c r="H449" s="551"/>
      <c r="I449" s="242"/>
      <c r="J449" s="242"/>
      <c r="K449" s="242"/>
      <c r="L449" s="242"/>
      <c r="M449" s="242"/>
      <c r="N449" s="242"/>
      <c r="O449" s="242"/>
      <c r="P449" s="242"/>
      <c r="Q449" s="242"/>
      <c r="R449" s="242"/>
      <c r="S449" s="242"/>
      <c r="T449" s="242"/>
      <c r="U449" s="242"/>
      <c r="V449" s="242"/>
      <c r="W449" s="242"/>
    </row>
    <row r="450">
      <c r="A450" s="13"/>
      <c r="B450" s="252"/>
      <c r="C450" s="252"/>
      <c r="D450" s="252"/>
      <c r="E450" s="252"/>
      <c r="F450" s="252"/>
      <c r="G450" s="252"/>
      <c r="H450" s="551"/>
      <c r="I450" s="242"/>
      <c r="J450" s="242"/>
      <c r="K450" s="242"/>
      <c r="L450" s="242"/>
      <c r="M450" s="242"/>
      <c r="N450" s="242"/>
      <c r="O450" s="242"/>
      <c r="P450" s="242"/>
      <c r="Q450" s="242"/>
      <c r="R450" s="242"/>
      <c r="S450" s="242"/>
      <c r="T450" s="242"/>
      <c r="U450" s="242"/>
      <c r="V450" s="242"/>
      <c r="W450" s="242"/>
    </row>
    <row r="451">
      <c r="A451" s="13"/>
      <c r="B451" s="252"/>
      <c r="C451" s="252"/>
      <c r="D451" s="252"/>
      <c r="E451" s="252"/>
      <c r="F451" s="252"/>
      <c r="G451" s="252"/>
      <c r="H451" s="551"/>
      <c r="I451" s="242"/>
      <c r="J451" s="242"/>
      <c r="K451" s="242"/>
      <c r="L451" s="242"/>
      <c r="M451" s="242"/>
      <c r="N451" s="242"/>
      <c r="O451" s="242"/>
      <c r="P451" s="242"/>
      <c r="Q451" s="242"/>
      <c r="R451" s="242"/>
      <c r="S451" s="242"/>
      <c r="T451" s="242"/>
      <c r="U451" s="242"/>
      <c r="V451" s="242"/>
      <c r="W451" s="242"/>
    </row>
    <row r="452">
      <c r="A452" s="13"/>
      <c r="B452" s="252"/>
      <c r="C452" s="252"/>
      <c r="D452" s="252"/>
      <c r="E452" s="252"/>
      <c r="F452" s="252"/>
      <c r="G452" s="252"/>
      <c r="H452" s="551"/>
      <c r="I452" s="242"/>
      <c r="J452" s="242"/>
      <c r="K452" s="242"/>
      <c r="L452" s="242"/>
      <c r="M452" s="242"/>
      <c r="N452" s="242"/>
      <c r="O452" s="242"/>
      <c r="P452" s="242"/>
      <c r="Q452" s="242"/>
      <c r="R452" s="242"/>
      <c r="S452" s="242"/>
      <c r="T452" s="242"/>
      <c r="U452" s="242"/>
      <c r="V452" s="242"/>
      <c r="W452" s="242"/>
    </row>
    <row r="453">
      <c r="A453" s="13"/>
      <c r="B453" s="252"/>
      <c r="C453" s="252"/>
      <c r="D453" s="252"/>
      <c r="E453" s="252"/>
      <c r="F453" s="252"/>
      <c r="G453" s="252"/>
      <c r="H453" s="551"/>
      <c r="I453" s="242"/>
      <c r="J453" s="242"/>
      <c r="K453" s="242"/>
      <c r="L453" s="242"/>
      <c r="M453" s="242"/>
      <c r="N453" s="242"/>
      <c r="O453" s="242"/>
      <c r="P453" s="242"/>
      <c r="Q453" s="242"/>
      <c r="R453" s="242"/>
      <c r="S453" s="242"/>
      <c r="T453" s="242"/>
      <c r="U453" s="242"/>
      <c r="V453" s="242"/>
      <c r="W453" s="242"/>
    </row>
    <row r="454">
      <c r="A454" s="13"/>
      <c r="B454" s="252"/>
      <c r="C454" s="252"/>
      <c r="D454" s="252"/>
      <c r="E454" s="252"/>
      <c r="F454" s="252"/>
      <c r="G454" s="252"/>
      <c r="H454" s="551"/>
      <c r="I454" s="242"/>
      <c r="J454" s="242"/>
      <c r="K454" s="242"/>
      <c r="L454" s="242"/>
      <c r="M454" s="242"/>
      <c r="N454" s="242"/>
      <c r="O454" s="242"/>
      <c r="P454" s="242"/>
      <c r="Q454" s="242"/>
      <c r="R454" s="242"/>
      <c r="S454" s="242"/>
      <c r="T454" s="242"/>
      <c r="U454" s="242"/>
      <c r="V454" s="242"/>
      <c r="W454" s="242"/>
    </row>
    <row r="455">
      <c r="A455" s="13"/>
      <c r="B455" s="252"/>
      <c r="C455" s="252"/>
      <c r="D455" s="252"/>
      <c r="E455" s="252"/>
      <c r="F455" s="252"/>
      <c r="G455" s="252"/>
      <c r="H455" s="551"/>
      <c r="I455" s="242"/>
      <c r="J455" s="242"/>
      <c r="K455" s="242"/>
      <c r="L455" s="242"/>
      <c r="M455" s="242"/>
      <c r="N455" s="242"/>
      <c r="O455" s="242"/>
      <c r="P455" s="242"/>
      <c r="Q455" s="242"/>
      <c r="R455" s="242"/>
      <c r="S455" s="242"/>
      <c r="T455" s="242"/>
      <c r="U455" s="242"/>
      <c r="V455" s="242"/>
      <c r="W455" s="242"/>
    </row>
    <row r="456">
      <c r="A456" s="13"/>
      <c r="B456" s="252"/>
      <c r="C456" s="252"/>
      <c r="D456" s="252"/>
      <c r="E456" s="252"/>
      <c r="F456" s="252"/>
      <c r="G456" s="252"/>
      <c r="H456" s="551"/>
      <c r="I456" s="242"/>
      <c r="J456" s="242"/>
      <c r="K456" s="242"/>
      <c r="L456" s="242"/>
      <c r="M456" s="242"/>
      <c r="N456" s="242"/>
      <c r="O456" s="242"/>
      <c r="P456" s="242"/>
      <c r="Q456" s="242"/>
      <c r="R456" s="242"/>
      <c r="S456" s="242"/>
      <c r="T456" s="242"/>
      <c r="U456" s="242"/>
      <c r="V456" s="242"/>
      <c r="W456" s="242"/>
    </row>
    <row r="457">
      <c r="A457" s="13"/>
      <c r="B457" s="252"/>
      <c r="C457" s="252"/>
      <c r="D457" s="252"/>
      <c r="E457" s="252"/>
      <c r="F457" s="252"/>
      <c r="G457" s="252"/>
      <c r="H457" s="551"/>
      <c r="I457" s="242"/>
      <c r="J457" s="242"/>
      <c r="K457" s="242"/>
      <c r="L457" s="242"/>
      <c r="M457" s="242"/>
      <c r="N457" s="242"/>
      <c r="O457" s="242"/>
      <c r="P457" s="242"/>
      <c r="Q457" s="242"/>
      <c r="R457" s="242"/>
      <c r="S457" s="242"/>
      <c r="T457" s="242"/>
      <c r="U457" s="242"/>
      <c r="V457" s="242"/>
      <c r="W457" s="242"/>
    </row>
    <row r="458">
      <c r="A458" s="13"/>
      <c r="B458" s="252"/>
      <c r="C458" s="252"/>
      <c r="D458" s="252"/>
      <c r="E458" s="252"/>
      <c r="F458" s="252"/>
      <c r="G458" s="252"/>
      <c r="H458" s="551"/>
      <c r="I458" s="242"/>
      <c r="J458" s="242"/>
      <c r="K458" s="242"/>
      <c r="L458" s="242"/>
      <c r="M458" s="242"/>
      <c r="N458" s="242"/>
      <c r="O458" s="242"/>
      <c r="P458" s="242"/>
      <c r="Q458" s="242"/>
      <c r="R458" s="242"/>
      <c r="S458" s="242"/>
      <c r="T458" s="242"/>
      <c r="U458" s="242"/>
      <c r="V458" s="242"/>
      <c r="W458" s="242"/>
    </row>
    <row r="459">
      <c r="A459" s="13"/>
      <c r="B459" s="252"/>
      <c r="C459" s="252"/>
      <c r="D459" s="252"/>
      <c r="E459" s="252"/>
      <c r="F459" s="252"/>
      <c r="G459" s="252"/>
      <c r="H459" s="551"/>
      <c r="I459" s="242"/>
      <c r="J459" s="242"/>
      <c r="K459" s="242"/>
      <c r="L459" s="242"/>
      <c r="M459" s="242"/>
      <c r="N459" s="242"/>
      <c r="O459" s="242"/>
      <c r="P459" s="242"/>
      <c r="Q459" s="242"/>
      <c r="R459" s="242"/>
      <c r="S459" s="242"/>
      <c r="T459" s="242"/>
      <c r="U459" s="242"/>
      <c r="V459" s="242"/>
      <c r="W459" s="242"/>
    </row>
    <row r="460">
      <c r="A460" s="13"/>
      <c r="B460" s="252"/>
      <c r="C460" s="252"/>
      <c r="D460" s="252"/>
      <c r="E460" s="252"/>
      <c r="F460" s="252"/>
      <c r="G460" s="252"/>
      <c r="H460" s="551"/>
      <c r="I460" s="242"/>
      <c r="J460" s="242"/>
      <c r="K460" s="242"/>
      <c r="L460" s="242"/>
      <c r="M460" s="242"/>
      <c r="N460" s="242"/>
      <c r="O460" s="242"/>
      <c r="P460" s="242"/>
      <c r="Q460" s="242"/>
      <c r="R460" s="242"/>
      <c r="S460" s="242"/>
      <c r="T460" s="242"/>
      <c r="U460" s="242"/>
      <c r="V460" s="242"/>
      <c r="W460" s="242"/>
    </row>
    <row r="461">
      <c r="A461" s="13"/>
      <c r="B461" s="252"/>
      <c r="C461" s="252"/>
      <c r="D461" s="252"/>
      <c r="E461" s="252"/>
      <c r="F461" s="252"/>
      <c r="G461" s="252"/>
      <c r="H461" s="551"/>
      <c r="I461" s="242"/>
      <c r="J461" s="242"/>
      <c r="K461" s="242"/>
      <c r="L461" s="242"/>
      <c r="M461" s="242"/>
      <c r="N461" s="242"/>
      <c r="O461" s="242"/>
      <c r="P461" s="242"/>
      <c r="Q461" s="242"/>
      <c r="R461" s="242"/>
      <c r="S461" s="242"/>
      <c r="T461" s="242"/>
      <c r="U461" s="242"/>
      <c r="V461" s="242"/>
      <c r="W461" s="242"/>
    </row>
    <row r="462">
      <c r="A462" s="13"/>
      <c r="B462" s="252"/>
      <c r="C462" s="252"/>
      <c r="D462" s="252"/>
      <c r="E462" s="252"/>
      <c r="F462" s="252"/>
      <c r="G462" s="252"/>
      <c r="H462" s="551"/>
      <c r="I462" s="242"/>
      <c r="J462" s="242"/>
      <c r="K462" s="242"/>
      <c r="L462" s="242"/>
      <c r="M462" s="242"/>
      <c r="N462" s="242"/>
      <c r="O462" s="242"/>
      <c r="P462" s="242"/>
      <c r="Q462" s="242"/>
      <c r="R462" s="242"/>
      <c r="S462" s="242"/>
      <c r="T462" s="242"/>
      <c r="U462" s="242"/>
      <c r="V462" s="242"/>
      <c r="W462" s="242"/>
    </row>
    <row r="463">
      <c r="A463" s="13"/>
      <c r="B463" s="252"/>
      <c r="C463" s="252"/>
      <c r="D463" s="252"/>
      <c r="E463" s="252"/>
      <c r="F463" s="252"/>
      <c r="G463" s="252"/>
      <c r="H463" s="551"/>
      <c r="I463" s="242"/>
      <c r="J463" s="242"/>
      <c r="K463" s="242"/>
      <c r="L463" s="242"/>
      <c r="M463" s="242"/>
      <c r="N463" s="242"/>
      <c r="O463" s="242"/>
      <c r="P463" s="242"/>
      <c r="Q463" s="242"/>
      <c r="R463" s="242"/>
      <c r="S463" s="242"/>
      <c r="T463" s="242"/>
      <c r="U463" s="242"/>
      <c r="V463" s="242"/>
      <c r="W463" s="242"/>
    </row>
    <row r="464">
      <c r="A464" s="13"/>
      <c r="B464" s="252"/>
      <c r="C464" s="252"/>
      <c r="D464" s="252"/>
      <c r="E464" s="252"/>
      <c r="F464" s="252"/>
      <c r="G464" s="252"/>
      <c r="H464" s="551"/>
      <c r="I464" s="242"/>
      <c r="J464" s="242"/>
      <c r="K464" s="242"/>
      <c r="L464" s="242"/>
      <c r="M464" s="242"/>
      <c r="N464" s="242"/>
      <c r="O464" s="242"/>
      <c r="P464" s="242"/>
      <c r="Q464" s="242"/>
      <c r="R464" s="242"/>
      <c r="S464" s="242"/>
      <c r="T464" s="242"/>
      <c r="U464" s="242"/>
      <c r="V464" s="242"/>
      <c r="W464" s="242"/>
    </row>
    <row r="465">
      <c r="A465" s="13"/>
      <c r="B465" s="252"/>
      <c r="C465" s="252"/>
      <c r="D465" s="252"/>
      <c r="E465" s="252"/>
      <c r="F465" s="252"/>
      <c r="G465" s="252"/>
      <c r="H465" s="551"/>
      <c r="I465" s="242"/>
      <c r="J465" s="242"/>
      <c r="K465" s="242"/>
      <c r="L465" s="242"/>
      <c r="M465" s="242"/>
      <c r="N465" s="242"/>
      <c r="O465" s="242"/>
      <c r="P465" s="242"/>
      <c r="Q465" s="242"/>
      <c r="R465" s="242"/>
      <c r="S465" s="242"/>
      <c r="T465" s="242"/>
      <c r="U465" s="242"/>
      <c r="V465" s="242"/>
      <c r="W465" s="242"/>
    </row>
    <row r="466">
      <c r="A466" s="13"/>
      <c r="B466" s="252"/>
      <c r="C466" s="252"/>
      <c r="D466" s="252"/>
      <c r="E466" s="252"/>
      <c r="F466" s="252"/>
      <c r="G466" s="252"/>
      <c r="H466" s="551"/>
      <c r="I466" s="242"/>
      <c r="J466" s="242"/>
      <c r="K466" s="242"/>
      <c r="L466" s="242"/>
      <c r="M466" s="242"/>
      <c r="N466" s="242"/>
      <c r="O466" s="242"/>
      <c r="P466" s="242"/>
      <c r="Q466" s="242"/>
      <c r="R466" s="242"/>
      <c r="S466" s="242"/>
      <c r="T466" s="242"/>
      <c r="U466" s="242"/>
      <c r="V466" s="242"/>
      <c r="W466" s="242"/>
    </row>
    <row r="467">
      <c r="A467" s="13"/>
      <c r="B467" s="252"/>
      <c r="C467" s="252"/>
      <c r="D467" s="252"/>
      <c r="E467" s="252"/>
      <c r="F467" s="252"/>
      <c r="G467" s="252"/>
      <c r="H467" s="551"/>
      <c r="I467" s="242"/>
      <c r="J467" s="242"/>
      <c r="K467" s="242"/>
      <c r="L467" s="242"/>
      <c r="M467" s="242"/>
      <c r="N467" s="242"/>
      <c r="O467" s="242"/>
      <c r="P467" s="242"/>
      <c r="Q467" s="242"/>
      <c r="R467" s="242"/>
      <c r="S467" s="242"/>
      <c r="T467" s="242"/>
      <c r="U467" s="242"/>
      <c r="V467" s="242"/>
      <c r="W467" s="242"/>
    </row>
    <row r="468">
      <c r="A468" s="13"/>
      <c r="B468" s="252"/>
      <c r="C468" s="252"/>
      <c r="D468" s="252"/>
      <c r="E468" s="252"/>
      <c r="F468" s="252"/>
      <c r="G468" s="252"/>
      <c r="H468" s="551"/>
      <c r="I468" s="242"/>
      <c r="J468" s="242"/>
      <c r="K468" s="242"/>
      <c r="L468" s="242"/>
      <c r="M468" s="242"/>
      <c r="N468" s="242"/>
      <c r="O468" s="242"/>
      <c r="P468" s="242"/>
      <c r="Q468" s="242"/>
      <c r="R468" s="242"/>
      <c r="S468" s="242"/>
      <c r="T468" s="242"/>
      <c r="U468" s="242"/>
      <c r="V468" s="242"/>
      <c r="W468" s="242"/>
    </row>
    <row r="469">
      <c r="A469" s="13"/>
      <c r="B469" s="252"/>
      <c r="C469" s="252"/>
      <c r="D469" s="252"/>
      <c r="E469" s="252"/>
      <c r="F469" s="252"/>
      <c r="G469" s="252"/>
      <c r="H469" s="551"/>
      <c r="I469" s="242"/>
      <c r="J469" s="242"/>
      <c r="K469" s="242"/>
      <c r="L469" s="242"/>
      <c r="M469" s="242"/>
      <c r="N469" s="242"/>
      <c r="O469" s="242"/>
      <c r="P469" s="242"/>
      <c r="Q469" s="242"/>
      <c r="R469" s="242"/>
      <c r="S469" s="242"/>
      <c r="T469" s="242"/>
      <c r="U469" s="242"/>
      <c r="V469" s="242"/>
      <c r="W469" s="242"/>
    </row>
    <row r="470">
      <c r="A470" s="13"/>
      <c r="B470" s="252"/>
      <c r="C470" s="252"/>
      <c r="D470" s="252"/>
      <c r="E470" s="252"/>
      <c r="F470" s="252"/>
      <c r="G470" s="252"/>
      <c r="H470" s="551"/>
      <c r="I470" s="242"/>
      <c r="J470" s="242"/>
      <c r="K470" s="242"/>
      <c r="L470" s="242"/>
      <c r="M470" s="242"/>
      <c r="N470" s="242"/>
      <c r="O470" s="242"/>
      <c r="P470" s="242"/>
      <c r="Q470" s="242"/>
      <c r="R470" s="242"/>
      <c r="S470" s="242"/>
      <c r="T470" s="242"/>
      <c r="U470" s="242"/>
      <c r="V470" s="242"/>
      <c r="W470" s="242"/>
    </row>
    <row r="471">
      <c r="A471" s="13"/>
      <c r="B471" s="252"/>
      <c r="C471" s="252"/>
      <c r="D471" s="252"/>
      <c r="E471" s="252"/>
      <c r="F471" s="252"/>
      <c r="G471" s="252"/>
      <c r="H471" s="551"/>
      <c r="I471" s="242"/>
      <c r="J471" s="242"/>
      <c r="K471" s="242"/>
      <c r="L471" s="242"/>
      <c r="M471" s="242"/>
      <c r="N471" s="242"/>
      <c r="O471" s="242"/>
      <c r="P471" s="242"/>
      <c r="Q471" s="242"/>
      <c r="R471" s="242"/>
      <c r="S471" s="242"/>
      <c r="T471" s="242"/>
      <c r="U471" s="242"/>
      <c r="V471" s="242"/>
      <c r="W471" s="242"/>
    </row>
    <row r="472">
      <c r="A472" s="13"/>
      <c r="B472" s="252"/>
      <c r="C472" s="252"/>
      <c r="D472" s="252"/>
      <c r="E472" s="252"/>
      <c r="F472" s="252"/>
      <c r="G472" s="252"/>
      <c r="H472" s="551"/>
      <c r="I472" s="242"/>
      <c r="J472" s="242"/>
      <c r="K472" s="242"/>
      <c r="L472" s="242"/>
      <c r="M472" s="242"/>
      <c r="N472" s="242"/>
      <c r="O472" s="242"/>
      <c r="P472" s="242"/>
      <c r="Q472" s="242"/>
      <c r="R472" s="242"/>
      <c r="S472" s="242"/>
      <c r="T472" s="242"/>
      <c r="U472" s="242"/>
      <c r="V472" s="242"/>
      <c r="W472" s="242"/>
    </row>
    <row r="473">
      <c r="A473" s="13"/>
      <c r="B473" s="252"/>
      <c r="C473" s="252"/>
      <c r="D473" s="252"/>
      <c r="E473" s="252"/>
      <c r="F473" s="252"/>
      <c r="G473" s="252"/>
      <c r="H473" s="551"/>
      <c r="I473" s="242"/>
      <c r="J473" s="242"/>
      <c r="K473" s="242"/>
      <c r="L473" s="242"/>
      <c r="M473" s="242"/>
      <c r="N473" s="242"/>
      <c r="O473" s="242"/>
      <c r="P473" s="242"/>
      <c r="Q473" s="242"/>
      <c r="R473" s="242"/>
      <c r="S473" s="242"/>
      <c r="T473" s="242"/>
      <c r="U473" s="242"/>
      <c r="V473" s="242"/>
      <c r="W473" s="242"/>
    </row>
    <row r="474">
      <c r="A474" s="13"/>
      <c r="B474" s="252"/>
      <c r="C474" s="252"/>
      <c r="D474" s="252"/>
      <c r="E474" s="252"/>
      <c r="F474" s="252"/>
      <c r="G474" s="252"/>
      <c r="H474" s="551"/>
      <c r="I474" s="242"/>
      <c r="J474" s="242"/>
      <c r="K474" s="242"/>
      <c r="L474" s="242"/>
      <c r="M474" s="242"/>
      <c r="N474" s="242"/>
      <c r="O474" s="242"/>
      <c r="P474" s="242"/>
      <c r="Q474" s="242"/>
      <c r="R474" s="242"/>
      <c r="S474" s="242"/>
      <c r="T474" s="242"/>
      <c r="U474" s="242"/>
      <c r="V474" s="242"/>
      <c r="W474" s="242"/>
    </row>
    <row r="475">
      <c r="A475" s="13"/>
      <c r="B475" s="252"/>
      <c r="C475" s="252"/>
      <c r="D475" s="252"/>
      <c r="E475" s="252"/>
      <c r="F475" s="252"/>
      <c r="G475" s="252"/>
      <c r="H475" s="551"/>
      <c r="I475" s="242"/>
      <c r="J475" s="242"/>
      <c r="K475" s="242"/>
      <c r="L475" s="242"/>
      <c r="M475" s="242"/>
      <c r="N475" s="242"/>
      <c r="O475" s="242"/>
      <c r="P475" s="242"/>
      <c r="Q475" s="242"/>
      <c r="R475" s="242"/>
      <c r="S475" s="242"/>
      <c r="T475" s="242"/>
      <c r="U475" s="242"/>
      <c r="V475" s="242"/>
      <c r="W475" s="242"/>
    </row>
    <row r="476">
      <c r="A476" s="13"/>
      <c r="B476" s="252"/>
      <c r="C476" s="252"/>
      <c r="D476" s="252"/>
      <c r="E476" s="252"/>
      <c r="F476" s="252"/>
      <c r="G476" s="252"/>
      <c r="H476" s="551"/>
      <c r="I476" s="242"/>
      <c r="J476" s="242"/>
      <c r="K476" s="242"/>
      <c r="L476" s="242"/>
      <c r="M476" s="242"/>
      <c r="N476" s="242"/>
      <c r="O476" s="242"/>
      <c r="P476" s="242"/>
      <c r="Q476" s="242"/>
      <c r="R476" s="242"/>
      <c r="S476" s="242"/>
      <c r="T476" s="242"/>
      <c r="U476" s="242"/>
      <c r="V476" s="242"/>
      <c r="W476" s="242"/>
    </row>
    <row r="477">
      <c r="A477" s="13"/>
      <c r="B477" s="252"/>
      <c r="C477" s="252"/>
      <c r="D477" s="252"/>
      <c r="E477" s="252"/>
      <c r="F477" s="252"/>
      <c r="G477" s="252"/>
      <c r="H477" s="551"/>
      <c r="I477" s="242"/>
      <c r="J477" s="242"/>
      <c r="K477" s="242"/>
      <c r="L477" s="242"/>
      <c r="M477" s="242"/>
      <c r="N477" s="242"/>
      <c r="O477" s="242"/>
      <c r="P477" s="242"/>
      <c r="Q477" s="242"/>
      <c r="R477" s="242"/>
      <c r="S477" s="242"/>
      <c r="T477" s="242"/>
      <c r="U477" s="242"/>
      <c r="V477" s="242"/>
      <c r="W477" s="242"/>
    </row>
    <row r="478">
      <c r="A478" s="13"/>
      <c r="B478" s="252"/>
      <c r="C478" s="252"/>
      <c r="D478" s="252"/>
      <c r="E478" s="252"/>
      <c r="F478" s="252"/>
      <c r="G478" s="252"/>
      <c r="H478" s="551"/>
      <c r="I478" s="242"/>
      <c r="J478" s="242"/>
      <c r="K478" s="242"/>
      <c r="L478" s="242"/>
      <c r="M478" s="242"/>
      <c r="N478" s="242"/>
      <c r="O478" s="242"/>
      <c r="P478" s="242"/>
      <c r="Q478" s="242"/>
      <c r="R478" s="242"/>
      <c r="S478" s="242"/>
      <c r="T478" s="242"/>
      <c r="U478" s="242"/>
      <c r="V478" s="242"/>
      <c r="W478" s="242"/>
    </row>
    <row r="479">
      <c r="A479" s="13"/>
      <c r="B479" s="252"/>
      <c r="C479" s="252"/>
      <c r="D479" s="252"/>
      <c r="E479" s="252"/>
      <c r="F479" s="252"/>
      <c r="G479" s="252"/>
      <c r="H479" s="551"/>
      <c r="I479" s="242"/>
      <c r="J479" s="242"/>
      <c r="K479" s="242"/>
      <c r="L479" s="242"/>
      <c r="M479" s="242"/>
      <c r="N479" s="242"/>
      <c r="O479" s="242"/>
      <c r="P479" s="242"/>
      <c r="Q479" s="242"/>
      <c r="R479" s="242"/>
      <c r="S479" s="242"/>
      <c r="T479" s="242"/>
      <c r="U479" s="242"/>
      <c r="V479" s="242"/>
      <c r="W479" s="242"/>
    </row>
    <row r="480">
      <c r="A480" s="13"/>
      <c r="B480" s="252"/>
      <c r="C480" s="252"/>
      <c r="D480" s="252"/>
      <c r="E480" s="252"/>
      <c r="F480" s="252"/>
      <c r="G480" s="252"/>
      <c r="H480" s="551"/>
      <c r="I480" s="242"/>
      <c r="J480" s="242"/>
      <c r="K480" s="242"/>
      <c r="L480" s="242"/>
      <c r="M480" s="242"/>
      <c r="N480" s="242"/>
      <c r="O480" s="242"/>
      <c r="P480" s="242"/>
      <c r="Q480" s="242"/>
      <c r="R480" s="242"/>
      <c r="S480" s="242"/>
      <c r="T480" s="242"/>
      <c r="U480" s="242"/>
      <c r="V480" s="242"/>
      <c r="W480" s="242"/>
    </row>
    <row r="481">
      <c r="A481" s="13"/>
      <c r="B481" s="252"/>
      <c r="C481" s="252"/>
      <c r="D481" s="252"/>
      <c r="E481" s="252"/>
      <c r="F481" s="252"/>
      <c r="G481" s="252"/>
      <c r="H481" s="551"/>
      <c r="I481" s="242"/>
      <c r="J481" s="242"/>
      <c r="K481" s="242"/>
      <c r="L481" s="242"/>
      <c r="M481" s="242"/>
      <c r="N481" s="242"/>
      <c r="O481" s="242"/>
      <c r="P481" s="242"/>
      <c r="Q481" s="242"/>
      <c r="R481" s="242"/>
      <c r="S481" s="242"/>
      <c r="T481" s="242"/>
      <c r="U481" s="242"/>
      <c r="V481" s="242"/>
      <c r="W481" s="242"/>
    </row>
    <row r="482">
      <c r="A482" s="13"/>
      <c r="B482" s="252"/>
      <c r="C482" s="252"/>
      <c r="D482" s="252"/>
      <c r="E482" s="252"/>
      <c r="F482" s="252"/>
      <c r="G482" s="252"/>
      <c r="H482" s="551"/>
      <c r="I482" s="242"/>
      <c r="J482" s="242"/>
      <c r="K482" s="242"/>
      <c r="L482" s="242"/>
      <c r="M482" s="242"/>
      <c r="N482" s="242"/>
      <c r="O482" s="242"/>
      <c r="P482" s="242"/>
      <c r="Q482" s="242"/>
      <c r="R482" s="242"/>
      <c r="S482" s="242"/>
      <c r="T482" s="242"/>
      <c r="U482" s="242"/>
      <c r="V482" s="242"/>
      <c r="W482" s="242"/>
    </row>
    <row r="483">
      <c r="A483" s="13"/>
      <c r="B483" s="252"/>
      <c r="C483" s="252"/>
      <c r="D483" s="252"/>
      <c r="E483" s="252"/>
      <c r="F483" s="252"/>
      <c r="G483" s="252"/>
      <c r="H483" s="551"/>
      <c r="I483" s="242"/>
      <c r="J483" s="242"/>
      <c r="K483" s="242"/>
      <c r="L483" s="242"/>
      <c r="M483" s="242"/>
      <c r="N483" s="242"/>
      <c r="O483" s="242"/>
      <c r="P483" s="242"/>
      <c r="Q483" s="242"/>
      <c r="R483" s="242"/>
      <c r="S483" s="242"/>
      <c r="T483" s="242"/>
      <c r="U483" s="242"/>
      <c r="V483" s="242"/>
      <c r="W483" s="242"/>
    </row>
    <row r="484">
      <c r="A484" s="13"/>
      <c r="B484" s="252"/>
      <c r="C484" s="252"/>
      <c r="D484" s="252"/>
      <c r="E484" s="252"/>
      <c r="F484" s="252"/>
      <c r="G484" s="252"/>
      <c r="H484" s="551"/>
      <c r="I484" s="242"/>
      <c r="J484" s="242"/>
      <c r="K484" s="242"/>
      <c r="L484" s="242"/>
      <c r="M484" s="242"/>
      <c r="N484" s="242"/>
      <c r="O484" s="242"/>
      <c r="P484" s="242"/>
      <c r="Q484" s="242"/>
      <c r="R484" s="242"/>
      <c r="S484" s="242"/>
      <c r="T484" s="242"/>
      <c r="U484" s="242"/>
      <c r="V484" s="242"/>
      <c r="W484" s="242"/>
    </row>
    <row r="485">
      <c r="A485" s="13"/>
      <c r="B485" s="252"/>
      <c r="C485" s="252"/>
      <c r="D485" s="252"/>
      <c r="E485" s="252"/>
      <c r="F485" s="252"/>
      <c r="G485" s="252"/>
      <c r="H485" s="551"/>
      <c r="I485" s="242"/>
      <c r="J485" s="242"/>
      <c r="K485" s="242"/>
      <c r="L485" s="242"/>
      <c r="M485" s="242"/>
      <c r="N485" s="242"/>
      <c r="O485" s="242"/>
      <c r="P485" s="242"/>
      <c r="Q485" s="242"/>
      <c r="R485" s="242"/>
      <c r="S485" s="242"/>
      <c r="T485" s="242"/>
      <c r="U485" s="242"/>
      <c r="V485" s="242"/>
      <c r="W485" s="242"/>
    </row>
    <row r="486">
      <c r="A486" s="13"/>
      <c r="B486" s="252"/>
      <c r="C486" s="252"/>
      <c r="D486" s="252"/>
      <c r="E486" s="252"/>
      <c r="F486" s="252"/>
      <c r="G486" s="252"/>
      <c r="H486" s="551"/>
      <c r="I486" s="242"/>
      <c r="J486" s="242"/>
      <c r="K486" s="242"/>
      <c r="L486" s="242"/>
      <c r="M486" s="242"/>
      <c r="N486" s="242"/>
      <c r="O486" s="242"/>
      <c r="P486" s="242"/>
      <c r="Q486" s="242"/>
      <c r="R486" s="242"/>
      <c r="S486" s="242"/>
      <c r="T486" s="242"/>
      <c r="U486" s="242"/>
      <c r="V486" s="242"/>
      <c r="W486" s="242"/>
    </row>
    <row r="487">
      <c r="A487" s="13"/>
      <c r="B487" s="252"/>
      <c r="C487" s="252"/>
      <c r="D487" s="252"/>
      <c r="E487" s="252"/>
      <c r="F487" s="252"/>
      <c r="G487" s="252"/>
      <c r="H487" s="551"/>
      <c r="I487" s="242"/>
      <c r="J487" s="242"/>
      <c r="K487" s="242"/>
      <c r="L487" s="242"/>
      <c r="M487" s="242"/>
      <c r="N487" s="242"/>
      <c r="O487" s="242"/>
      <c r="P487" s="242"/>
      <c r="Q487" s="242"/>
      <c r="R487" s="242"/>
      <c r="S487" s="242"/>
      <c r="T487" s="242"/>
      <c r="U487" s="242"/>
      <c r="V487" s="242"/>
      <c r="W487" s="242"/>
    </row>
    <row r="488">
      <c r="A488" s="13"/>
      <c r="B488" s="252"/>
      <c r="C488" s="252"/>
      <c r="D488" s="252"/>
      <c r="E488" s="252"/>
      <c r="F488" s="252"/>
      <c r="G488" s="252"/>
      <c r="H488" s="551"/>
      <c r="I488" s="242"/>
      <c r="J488" s="242"/>
      <c r="K488" s="242"/>
      <c r="L488" s="242"/>
      <c r="M488" s="242"/>
      <c r="N488" s="242"/>
      <c r="O488" s="242"/>
      <c r="P488" s="242"/>
      <c r="Q488" s="242"/>
      <c r="R488" s="242"/>
      <c r="S488" s="242"/>
      <c r="T488" s="242"/>
      <c r="U488" s="242"/>
      <c r="V488" s="242"/>
      <c r="W488" s="242"/>
    </row>
    <row r="489">
      <c r="A489" s="13"/>
      <c r="B489" s="252"/>
      <c r="C489" s="252"/>
      <c r="D489" s="252"/>
      <c r="E489" s="252"/>
      <c r="F489" s="252"/>
      <c r="G489" s="252"/>
      <c r="H489" s="551"/>
      <c r="I489" s="242"/>
      <c r="J489" s="242"/>
      <c r="K489" s="242"/>
      <c r="L489" s="242"/>
      <c r="M489" s="242"/>
      <c r="N489" s="242"/>
      <c r="O489" s="242"/>
      <c r="P489" s="242"/>
      <c r="Q489" s="242"/>
      <c r="R489" s="242"/>
      <c r="S489" s="242"/>
      <c r="T489" s="242"/>
      <c r="U489" s="242"/>
      <c r="V489" s="242"/>
      <c r="W489" s="242"/>
    </row>
    <row r="490">
      <c r="A490" s="13"/>
      <c r="B490" s="252"/>
      <c r="C490" s="252"/>
      <c r="D490" s="252"/>
      <c r="E490" s="252"/>
      <c r="F490" s="252"/>
      <c r="G490" s="252"/>
      <c r="H490" s="551"/>
      <c r="I490" s="242"/>
      <c r="J490" s="242"/>
      <c r="K490" s="242"/>
      <c r="L490" s="242"/>
      <c r="M490" s="242"/>
      <c r="N490" s="242"/>
      <c r="O490" s="242"/>
      <c r="P490" s="242"/>
      <c r="Q490" s="242"/>
      <c r="R490" s="242"/>
      <c r="S490" s="242"/>
      <c r="T490" s="242"/>
      <c r="U490" s="242"/>
      <c r="V490" s="242"/>
      <c r="W490" s="242"/>
    </row>
    <row r="491">
      <c r="A491" s="13"/>
      <c r="B491" s="252"/>
      <c r="C491" s="252"/>
      <c r="D491" s="252"/>
      <c r="E491" s="252"/>
      <c r="F491" s="252"/>
      <c r="G491" s="252"/>
      <c r="H491" s="551"/>
      <c r="I491" s="242"/>
      <c r="J491" s="242"/>
      <c r="K491" s="242"/>
      <c r="L491" s="242"/>
      <c r="M491" s="242"/>
      <c r="N491" s="242"/>
      <c r="O491" s="242"/>
      <c r="P491" s="242"/>
      <c r="Q491" s="242"/>
      <c r="R491" s="242"/>
      <c r="S491" s="242"/>
      <c r="T491" s="242"/>
      <c r="U491" s="242"/>
      <c r="V491" s="242"/>
      <c r="W491" s="242"/>
    </row>
    <row r="492">
      <c r="A492" s="13"/>
      <c r="B492" s="252"/>
      <c r="C492" s="252"/>
      <c r="D492" s="252"/>
      <c r="E492" s="252"/>
      <c r="F492" s="252"/>
      <c r="G492" s="252"/>
      <c r="H492" s="551"/>
      <c r="I492" s="242"/>
      <c r="J492" s="242"/>
      <c r="K492" s="242"/>
      <c r="L492" s="242"/>
      <c r="M492" s="242"/>
      <c r="N492" s="242"/>
      <c r="O492" s="242"/>
      <c r="P492" s="242"/>
      <c r="Q492" s="242"/>
      <c r="R492" s="242"/>
      <c r="S492" s="242"/>
      <c r="T492" s="242"/>
      <c r="U492" s="242"/>
      <c r="V492" s="242"/>
      <c r="W492" s="242"/>
    </row>
    <row r="493">
      <c r="A493" s="13"/>
      <c r="B493" s="252"/>
      <c r="C493" s="252"/>
      <c r="D493" s="252"/>
      <c r="E493" s="252"/>
      <c r="F493" s="252"/>
      <c r="G493" s="252"/>
      <c r="H493" s="551"/>
      <c r="I493" s="242"/>
      <c r="J493" s="242"/>
      <c r="K493" s="242"/>
      <c r="L493" s="242"/>
      <c r="M493" s="242"/>
      <c r="N493" s="242"/>
      <c r="O493" s="242"/>
      <c r="P493" s="242"/>
      <c r="Q493" s="242"/>
      <c r="R493" s="242"/>
      <c r="S493" s="242"/>
      <c r="T493" s="242"/>
      <c r="U493" s="242"/>
      <c r="V493" s="242"/>
      <c r="W493" s="242"/>
    </row>
    <row r="494">
      <c r="A494" s="13"/>
      <c r="B494" s="252"/>
      <c r="C494" s="252"/>
      <c r="D494" s="252"/>
      <c r="E494" s="252"/>
      <c r="F494" s="252"/>
      <c r="G494" s="252"/>
      <c r="H494" s="551"/>
      <c r="I494" s="242"/>
      <c r="J494" s="242"/>
      <c r="K494" s="242"/>
      <c r="L494" s="242"/>
      <c r="M494" s="242"/>
      <c r="N494" s="242"/>
      <c r="O494" s="242"/>
      <c r="P494" s="242"/>
      <c r="Q494" s="242"/>
      <c r="R494" s="242"/>
      <c r="S494" s="242"/>
      <c r="T494" s="242"/>
      <c r="U494" s="242"/>
      <c r="V494" s="242"/>
      <c r="W494" s="242"/>
    </row>
    <row r="495">
      <c r="A495" s="13"/>
      <c r="B495" s="252"/>
      <c r="C495" s="252"/>
      <c r="D495" s="252"/>
      <c r="E495" s="252"/>
      <c r="F495" s="252"/>
      <c r="G495" s="252"/>
      <c r="H495" s="551"/>
      <c r="I495" s="242"/>
      <c r="J495" s="242"/>
      <c r="K495" s="242"/>
      <c r="L495" s="242"/>
      <c r="M495" s="242"/>
      <c r="N495" s="242"/>
      <c r="O495" s="242"/>
      <c r="P495" s="242"/>
      <c r="Q495" s="242"/>
      <c r="R495" s="242"/>
      <c r="S495" s="242"/>
      <c r="T495" s="242"/>
      <c r="U495" s="242"/>
      <c r="V495" s="242"/>
      <c r="W495" s="242"/>
    </row>
    <row r="496">
      <c r="A496" s="13"/>
      <c r="B496" s="252"/>
      <c r="C496" s="252"/>
      <c r="D496" s="252"/>
      <c r="E496" s="252"/>
      <c r="F496" s="252"/>
      <c r="G496" s="252"/>
      <c r="H496" s="551"/>
      <c r="I496" s="242"/>
      <c r="J496" s="242"/>
      <c r="K496" s="242"/>
      <c r="L496" s="242"/>
      <c r="M496" s="242"/>
      <c r="N496" s="242"/>
      <c r="O496" s="242"/>
      <c r="P496" s="242"/>
      <c r="Q496" s="242"/>
      <c r="R496" s="242"/>
      <c r="S496" s="242"/>
      <c r="T496" s="242"/>
      <c r="U496" s="242"/>
      <c r="V496" s="242"/>
      <c r="W496" s="242"/>
    </row>
    <row r="497">
      <c r="A497" s="13"/>
      <c r="B497" s="252"/>
      <c r="C497" s="252"/>
      <c r="D497" s="252"/>
      <c r="E497" s="252"/>
      <c r="F497" s="252"/>
      <c r="G497" s="252"/>
      <c r="H497" s="551"/>
      <c r="I497" s="242"/>
      <c r="J497" s="242"/>
      <c r="K497" s="242"/>
      <c r="L497" s="242"/>
      <c r="M497" s="242"/>
      <c r="N497" s="242"/>
      <c r="O497" s="242"/>
      <c r="P497" s="242"/>
      <c r="Q497" s="242"/>
      <c r="R497" s="242"/>
      <c r="S497" s="242"/>
      <c r="T497" s="242"/>
      <c r="U497" s="242"/>
      <c r="V497" s="242"/>
      <c r="W497" s="242"/>
    </row>
    <row r="498">
      <c r="A498" s="13"/>
      <c r="B498" s="252"/>
      <c r="C498" s="252"/>
      <c r="D498" s="252"/>
      <c r="E498" s="252"/>
      <c r="F498" s="252"/>
      <c r="G498" s="252"/>
      <c r="H498" s="551"/>
      <c r="I498" s="242"/>
      <c r="J498" s="242"/>
      <c r="K498" s="242"/>
      <c r="L498" s="242"/>
      <c r="M498" s="242"/>
      <c r="N498" s="242"/>
      <c r="O498" s="242"/>
      <c r="P498" s="242"/>
      <c r="Q498" s="242"/>
      <c r="R498" s="242"/>
      <c r="S498" s="242"/>
      <c r="T498" s="242"/>
      <c r="U498" s="242"/>
      <c r="V498" s="242"/>
      <c r="W498" s="242"/>
    </row>
    <row r="499">
      <c r="A499" s="13"/>
      <c r="B499" s="252"/>
      <c r="C499" s="252"/>
      <c r="D499" s="252"/>
      <c r="E499" s="252"/>
      <c r="F499" s="252"/>
      <c r="G499" s="252"/>
      <c r="H499" s="551"/>
      <c r="I499" s="242"/>
      <c r="J499" s="242"/>
      <c r="K499" s="242"/>
      <c r="L499" s="242"/>
      <c r="M499" s="242"/>
      <c r="N499" s="242"/>
      <c r="O499" s="242"/>
      <c r="P499" s="242"/>
      <c r="Q499" s="242"/>
      <c r="R499" s="242"/>
      <c r="S499" s="242"/>
      <c r="T499" s="242"/>
      <c r="U499" s="242"/>
      <c r="V499" s="242"/>
      <c r="W499" s="242"/>
    </row>
    <row r="500">
      <c r="A500" s="13"/>
      <c r="B500" s="252"/>
      <c r="C500" s="252"/>
      <c r="D500" s="252"/>
      <c r="E500" s="252"/>
      <c r="F500" s="252"/>
      <c r="G500" s="252"/>
      <c r="H500" s="551"/>
      <c r="I500" s="242"/>
      <c r="J500" s="242"/>
      <c r="K500" s="242"/>
      <c r="L500" s="242"/>
      <c r="M500" s="242"/>
      <c r="N500" s="242"/>
      <c r="O500" s="242"/>
      <c r="P500" s="242"/>
      <c r="Q500" s="242"/>
      <c r="R500" s="242"/>
      <c r="S500" s="242"/>
      <c r="T500" s="242"/>
      <c r="U500" s="242"/>
      <c r="V500" s="242"/>
      <c r="W500" s="242"/>
    </row>
    <row r="501">
      <c r="A501" s="13"/>
      <c r="B501" s="252"/>
      <c r="C501" s="252"/>
      <c r="D501" s="252"/>
      <c r="E501" s="252"/>
      <c r="F501" s="252"/>
      <c r="G501" s="252"/>
      <c r="H501" s="551"/>
      <c r="I501" s="242"/>
      <c r="J501" s="242"/>
      <c r="K501" s="242"/>
      <c r="L501" s="242"/>
      <c r="M501" s="242"/>
      <c r="N501" s="242"/>
      <c r="O501" s="242"/>
      <c r="P501" s="242"/>
      <c r="Q501" s="242"/>
      <c r="R501" s="242"/>
      <c r="S501" s="242"/>
      <c r="T501" s="242"/>
      <c r="U501" s="242"/>
      <c r="V501" s="242"/>
      <c r="W501" s="242"/>
    </row>
    <row r="502">
      <c r="A502" s="13"/>
      <c r="B502" s="252"/>
      <c r="C502" s="252"/>
      <c r="D502" s="252"/>
      <c r="E502" s="252"/>
      <c r="F502" s="252"/>
      <c r="G502" s="252"/>
      <c r="H502" s="551"/>
      <c r="I502" s="242"/>
      <c r="J502" s="242"/>
      <c r="K502" s="242"/>
      <c r="L502" s="242"/>
      <c r="M502" s="242"/>
      <c r="N502" s="242"/>
      <c r="O502" s="242"/>
      <c r="P502" s="242"/>
      <c r="Q502" s="242"/>
      <c r="R502" s="242"/>
      <c r="S502" s="242"/>
      <c r="T502" s="242"/>
      <c r="U502" s="242"/>
      <c r="V502" s="242"/>
      <c r="W502" s="242"/>
    </row>
    <row r="503">
      <c r="A503" s="13"/>
      <c r="B503" s="252"/>
      <c r="C503" s="252"/>
      <c r="D503" s="252"/>
      <c r="E503" s="252"/>
      <c r="F503" s="252"/>
      <c r="G503" s="252"/>
      <c r="H503" s="551"/>
      <c r="I503" s="242"/>
      <c r="J503" s="242"/>
      <c r="K503" s="242"/>
      <c r="L503" s="242"/>
      <c r="M503" s="242"/>
      <c r="N503" s="242"/>
      <c r="O503" s="242"/>
      <c r="P503" s="242"/>
      <c r="Q503" s="242"/>
      <c r="R503" s="242"/>
      <c r="S503" s="242"/>
      <c r="T503" s="242"/>
      <c r="U503" s="242"/>
      <c r="V503" s="242"/>
      <c r="W503" s="242"/>
    </row>
    <row r="504">
      <c r="A504" s="13"/>
      <c r="B504" s="252"/>
      <c r="C504" s="252"/>
      <c r="D504" s="252"/>
      <c r="E504" s="252"/>
      <c r="F504" s="252"/>
      <c r="G504" s="252"/>
      <c r="H504" s="551"/>
      <c r="I504" s="242"/>
      <c r="J504" s="242"/>
      <c r="K504" s="242"/>
      <c r="L504" s="242"/>
      <c r="M504" s="242"/>
      <c r="N504" s="242"/>
      <c r="O504" s="242"/>
      <c r="P504" s="242"/>
      <c r="Q504" s="242"/>
      <c r="R504" s="242"/>
      <c r="S504" s="242"/>
      <c r="T504" s="242"/>
      <c r="U504" s="242"/>
      <c r="V504" s="242"/>
      <c r="W504" s="242"/>
    </row>
    <row r="505">
      <c r="A505" s="13"/>
      <c r="B505" s="252"/>
      <c r="C505" s="252"/>
      <c r="D505" s="252"/>
      <c r="E505" s="252"/>
      <c r="F505" s="252"/>
      <c r="G505" s="252"/>
      <c r="H505" s="551"/>
      <c r="I505" s="242"/>
      <c r="J505" s="242"/>
      <c r="K505" s="242"/>
      <c r="L505" s="242"/>
      <c r="M505" s="242"/>
      <c r="N505" s="242"/>
      <c r="O505" s="242"/>
      <c r="P505" s="242"/>
      <c r="Q505" s="242"/>
      <c r="R505" s="242"/>
      <c r="S505" s="242"/>
      <c r="T505" s="242"/>
      <c r="U505" s="242"/>
      <c r="V505" s="242"/>
      <c r="W505" s="242"/>
    </row>
    <row r="506">
      <c r="A506" s="13"/>
      <c r="B506" s="252"/>
      <c r="C506" s="252"/>
      <c r="D506" s="252"/>
      <c r="E506" s="252"/>
      <c r="F506" s="252"/>
      <c r="G506" s="252"/>
      <c r="H506" s="551"/>
      <c r="I506" s="242"/>
      <c r="J506" s="242"/>
      <c r="K506" s="242"/>
      <c r="L506" s="242"/>
      <c r="M506" s="242"/>
      <c r="N506" s="242"/>
      <c r="O506" s="242"/>
      <c r="P506" s="242"/>
      <c r="Q506" s="242"/>
      <c r="R506" s="242"/>
      <c r="S506" s="242"/>
      <c r="T506" s="242"/>
      <c r="U506" s="242"/>
      <c r="V506" s="242"/>
      <c r="W506" s="242"/>
    </row>
    <row r="507">
      <c r="A507" s="13"/>
      <c r="B507" s="252"/>
      <c r="C507" s="252"/>
      <c r="D507" s="252"/>
      <c r="E507" s="252"/>
      <c r="F507" s="252"/>
      <c r="G507" s="252"/>
      <c r="H507" s="551"/>
      <c r="I507" s="242"/>
      <c r="J507" s="242"/>
      <c r="K507" s="242"/>
      <c r="L507" s="242"/>
      <c r="M507" s="242"/>
      <c r="N507" s="242"/>
      <c r="O507" s="242"/>
      <c r="P507" s="242"/>
      <c r="Q507" s="242"/>
      <c r="R507" s="242"/>
      <c r="S507" s="242"/>
      <c r="T507" s="242"/>
      <c r="U507" s="242"/>
      <c r="V507" s="242"/>
      <c r="W507" s="242"/>
    </row>
    <row r="508">
      <c r="A508" s="13"/>
      <c r="B508" s="252"/>
      <c r="C508" s="252"/>
      <c r="D508" s="252"/>
      <c r="E508" s="252"/>
      <c r="F508" s="252"/>
      <c r="G508" s="252"/>
      <c r="H508" s="551"/>
      <c r="I508" s="242"/>
      <c r="J508" s="242"/>
      <c r="K508" s="242"/>
      <c r="L508" s="242"/>
      <c r="M508" s="242"/>
      <c r="N508" s="242"/>
      <c r="O508" s="242"/>
      <c r="P508" s="242"/>
      <c r="Q508" s="242"/>
      <c r="R508" s="242"/>
      <c r="S508" s="242"/>
      <c r="T508" s="242"/>
      <c r="U508" s="242"/>
      <c r="V508" s="242"/>
      <c r="W508" s="242"/>
    </row>
    <row r="509">
      <c r="A509" s="13"/>
      <c r="B509" s="252"/>
      <c r="C509" s="252"/>
      <c r="D509" s="252"/>
      <c r="E509" s="252"/>
      <c r="F509" s="252"/>
      <c r="G509" s="252"/>
      <c r="H509" s="551"/>
      <c r="I509" s="242"/>
      <c r="J509" s="242"/>
      <c r="K509" s="242"/>
      <c r="L509" s="242"/>
      <c r="M509" s="242"/>
      <c r="N509" s="242"/>
      <c r="O509" s="242"/>
      <c r="P509" s="242"/>
      <c r="Q509" s="242"/>
      <c r="R509" s="242"/>
      <c r="S509" s="242"/>
      <c r="T509" s="242"/>
      <c r="U509" s="242"/>
      <c r="V509" s="242"/>
      <c r="W509" s="242"/>
    </row>
    <row r="510">
      <c r="A510" s="13"/>
      <c r="B510" s="252"/>
      <c r="C510" s="252"/>
      <c r="D510" s="252"/>
      <c r="E510" s="252"/>
      <c r="F510" s="252"/>
      <c r="G510" s="252"/>
      <c r="H510" s="551"/>
      <c r="I510" s="242"/>
      <c r="J510" s="242"/>
      <c r="K510" s="242"/>
      <c r="L510" s="242"/>
      <c r="M510" s="242"/>
      <c r="N510" s="242"/>
      <c r="O510" s="242"/>
      <c r="P510" s="242"/>
      <c r="Q510" s="242"/>
      <c r="R510" s="242"/>
      <c r="S510" s="242"/>
      <c r="T510" s="242"/>
      <c r="U510" s="242"/>
      <c r="V510" s="242"/>
      <c r="W510" s="242"/>
    </row>
    <row r="511">
      <c r="A511" s="13"/>
      <c r="B511" s="252"/>
      <c r="C511" s="252"/>
      <c r="D511" s="252"/>
      <c r="E511" s="252"/>
      <c r="F511" s="252"/>
      <c r="G511" s="252"/>
      <c r="H511" s="551"/>
      <c r="I511" s="242"/>
      <c r="J511" s="242"/>
      <c r="K511" s="242"/>
      <c r="L511" s="242"/>
      <c r="M511" s="242"/>
      <c r="N511" s="242"/>
      <c r="O511" s="242"/>
      <c r="P511" s="242"/>
      <c r="Q511" s="242"/>
      <c r="R511" s="242"/>
      <c r="S511" s="242"/>
      <c r="T511" s="242"/>
      <c r="U511" s="242"/>
      <c r="V511" s="242"/>
      <c r="W511" s="242"/>
    </row>
    <row r="512">
      <c r="A512" s="13"/>
      <c r="B512" s="252"/>
      <c r="C512" s="252"/>
      <c r="D512" s="252"/>
      <c r="E512" s="252"/>
      <c r="F512" s="252"/>
      <c r="G512" s="252"/>
      <c r="H512" s="551"/>
      <c r="I512" s="242"/>
      <c r="J512" s="242"/>
      <c r="K512" s="242"/>
      <c r="L512" s="242"/>
      <c r="M512" s="242"/>
      <c r="N512" s="242"/>
      <c r="O512" s="242"/>
      <c r="P512" s="242"/>
      <c r="Q512" s="242"/>
      <c r="R512" s="242"/>
      <c r="S512" s="242"/>
      <c r="T512" s="242"/>
      <c r="U512" s="242"/>
      <c r="V512" s="242"/>
      <c r="W512" s="242"/>
    </row>
    <row r="513">
      <c r="A513" s="13"/>
      <c r="B513" s="252"/>
      <c r="C513" s="252"/>
      <c r="D513" s="252"/>
      <c r="E513" s="252"/>
      <c r="F513" s="252"/>
      <c r="G513" s="252"/>
      <c r="H513" s="551"/>
      <c r="I513" s="242"/>
      <c r="J513" s="242"/>
      <c r="K513" s="242"/>
      <c r="L513" s="242"/>
      <c r="M513" s="242"/>
      <c r="N513" s="242"/>
      <c r="O513" s="242"/>
      <c r="P513" s="242"/>
      <c r="Q513" s="242"/>
      <c r="R513" s="242"/>
      <c r="S513" s="242"/>
      <c r="T513" s="242"/>
      <c r="U513" s="242"/>
      <c r="V513" s="242"/>
      <c r="W513" s="242"/>
    </row>
    <row r="514">
      <c r="A514" s="13"/>
      <c r="B514" s="252"/>
      <c r="C514" s="252"/>
      <c r="D514" s="252"/>
      <c r="E514" s="252"/>
      <c r="F514" s="252"/>
      <c r="G514" s="252"/>
      <c r="H514" s="551"/>
      <c r="I514" s="242"/>
      <c r="J514" s="242"/>
      <c r="K514" s="242"/>
      <c r="L514" s="242"/>
      <c r="M514" s="242"/>
      <c r="N514" s="242"/>
      <c r="O514" s="242"/>
      <c r="P514" s="242"/>
      <c r="Q514" s="242"/>
      <c r="R514" s="242"/>
      <c r="S514" s="242"/>
      <c r="T514" s="242"/>
      <c r="U514" s="242"/>
      <c r="V514" s="242"/>
      <c r="W514" s="242"/>
    </row>
    <row r="515">
      <c r="A515" s="13"/>
      <c r="B515" s="252"/>
      <c r="C515" s="252"/>
      <c r="D515" s="252"/>
      <c r="E515" s="252"/>
      <c r="F515" s="252"/>
      <c r="G515" s="252"/>
      <c r="H515" s="551"/>
      <c r="I515" s="242"/>
      <c r="J515" s="242"/>
      <c r="K515" s="242"/>
      <c r="L515" s="242"/>
      <c r="M515" s="242"/>
      <c r="N515" s="242"/>
      <c r="O515" s="242"/>
      <c r="P515" s="242"/>
      <c r="Q515" s="242"/>
      <c r="R515" s="242"/>
      <c r="S515" s="242"/>
      <c r="T515" s="242"/>
      <c r="U515" s="242"/>
      <c r="V515" s="242"/>
      <c r="W515" s="242"/>
    </row>
    <row r="516">
      <c r="A516" s="13"/>
      <c r="B516" s="252"/>
      <c r="C516" s="252"/>
      <c r="D516" s="252"/>
      <c r="E516" s="252"/>
      <c r="F516" s="252"/>
      <c r="G516" s="252"/>
      <c r="H516" s="551"/>
      <c r="I516" s="242"/>
      <c r="J516" s="242"/>
      <c r="K516" s="242"/>
      <c r="L516" s="242"/>
      <c r="M516" s="242"/>
      <c r="N516" s="242"/>
      <c r="O516" s="242"/>
      <c r="P516" s="242"/>
      <c r="Q516" s="242"/>
      <c r="R516" s="242"/>
      <c r="S516" s="242"/>
      <c r="T516" s="242"/>
      <c r="U516" s="242"/>
      <c r="V516" s="242"/>
      <c r="W516" s="242"/>
    </row>
    <row r="517">
      <c r="A517" s="13"/>
      <c r="B517" s="252"/>
      <c r="C517" s="252"/>
      <c r="D517" s="252"/>
      <c r="E517" s="252"/>
      <c r="F517" s="252"/>
      <c r="G517" s="252"/>
      <c r="H517" s="551"/>
      <c r="I517" s="242"/>
      <c r="J517" s="242"/>
      <c r="K517" s="242"/>
      <c r="L517" s="242"/>
      <c r="M517" s="242"/>
      <c r="N517" s="242"/>
      <c r="O517" s="242"/>
      <c r="P517" s="242"/>
      <c r="Q517" s="242"/>
      <c r="R517" s="242"/>
      <c r="S517" s="242"/>
      <c r="T517" s="242"/>
      <c r="U517" s="242"/>
      <c r="V517" s="242"/>
      <c r="W517" s="242"/>
    </row>
    <row r="518">
      <c r="A518" s="13"/>
      <c r="B518" s="252"/>
      <c r="C518" s="252"/>
      <c r="D518" s="252"/>
      <c r="E518" s="252"/>
      <c r="F518" s="252"/>
      <c r="G518" s="252"/>
      <c r="H518" s="551"/>
      <c r="I518" s="242"/>
      <c r="J518" s="242"/>
      <c r="K518" s="242"/>
      <c r="L518" s="242"/>
      <c r="M518" s="242"/>
      <c r="N518" s="242"/>
      <c r="O518" s="242"/>
      <c r="P518" s="242"/>
      <c r="Q518" s="242"/>
      <c r="R518" s="242"/>
      <c r="S518" s="242"/>
      <c r="T518" s="242"/>
      <c r="U518" s="242"/>
      <c r="V518" s="242"/>
      <c r="W518" s="242"/>
    </row>
    <row r="519">
      <c r="A519" s="13"/>
      <c r="B519" s="252"/>
      <c r="C519" s="252"/>
      <c r="D519" s="252"/>
      <c r="E519" s="252"/>
      <c r="F519" s="252"/>
      <c r="G519" s="252"/>
      <c r="H519" s="551"/>
      <c r="I519" s="242"/>
      <c r="J519" s="242"/>
      <c r="K519" s="242"/>
      <c r="L519" s="242"/>
      <c r="M519" s="242"/>
      <c r="N519" s="242"/>
      <c r="O519" s="242"/>
      <c r="P519" s="242"/>
      <c r="Q519" s="242"/>
      <c r="R519" s="242"/>
      <c r="S519" s="242"/>
      <c r="T519" s="242"/>
      <c r="U519" s="242"/>
      <c r="V519" s="242"/>
      <c r="W519" s="242"/>
    </row>
    <row r="520">
      <c r="A520" s="13"/>
      <c r="B520" s="252"/>
      <c r="C520" s="252"/>
      <c r="D520" s="252"/>
      <c r="E520" s="252"/>
      <c r="F520" s="252"/>
      <c r="G520" s="252"/>
      <c r="H520" s="551"/>
      <c r="I520" s="242"/>
      <c r="J520" s="242"/>
      <c r="K520" s="242"/>
      <c r="L520" s="242"/>
      <c r="M520" s="242"/>
      <c r="N520" s="242"/>
      <c r="O520" s="242"/>
      <c r="P520" s="242"/>
      <c r="Q520" s="242"/>
      <c r="R520" s="242"/>
      <c r="S520" s="242"/>
      <c r="T520" s="242"/>
      <c r="U520" s="242"/>
      <c r="V520" s="242"/>
      <c r="W520" s="242"/>
    </row>
    <row r="521">
      <c r="A521" s="13"/>
      <c r="B521" s="252"/>
      <c r="C521" s="252"/>
      <c r="D521" s="252"/>
      <c r="E521" s="252"/>
      <c r="F521" s="252"/>
      <c r="G521" s="252"/>
      <c r="H521" s="551"/>
      <c r="I521" s="242"/>
      <c r="J521" s="242"/>
      <c r="K521" s="242"/>
      <c r="L521" s="242"/>
      <c r="M521" s="242"/>
      <c r="N521" s="242"/>
      <c r="O521" s="242"/>
      <c r="P521" s="242"/>
      <c r="Q521" s="242"/>
      <c r="R521" s="242"/>
      <c r="S521" s="242"/>
      <c r="T521" s="242"/>
      <c r="U521" s="242"/>
      <c r="V521" s="242"/>
      <c r="W521" s="242"/>
    </row>
    <row r="522">
      <c r="A522" s="13"/>
      <c r="B522" s="252"/>
      <c r="C522" s="252"/>
      <c r="D522" s="252"/>
      <c r="E522" s="252"/>
      <c r="F522" s="252"/>
      <c r="G522" s="252"/>
      <c r="H522" s="551"/>
      <c r="I522" s="242"/>
      <c r="J522" s="242"/>
      <c r="K522" s="242"/>
      <c r="L522" s="242"/>
      <c r="M522" s="242"/>
      <c r="N522" s="242"/>
      <c r="O522" s="242"/>
      <c r="P522" s="242"/>
      <c r="Q522" s="242"/>
      <c r="R522" s="242"/>
      <c r="S522" s="242"/>
      <c r="T522" s="242"/>
      <c r="U522" s="242"/>
      <c r="V522" s="242"/>
      <c r="W522" s="242"/>
    </row>
    <row r="523">
      <c r="A523" s="13"/>
      <c r="B523" s="252"/>
      <c r="C523" s="252"/>
      <c r="D523" s="252"/>
      <c r="E523" s="252"/>
      <c r="F523" s="252"/>
      <c r="G523" s="252"/>
      <c r="H523" s="551"/>
      <c r="I523" s="242"/>
      <c r="J523" s="242"/>
      <c r="K523" s="242"/>
      <c r="L523" s="242"/>
      <c r="M523" s="242"/>
      <c r="N523" s="242"/>
      <c r="O523" s="242"/>
      <c r="P523" s="242"/>
      <c r="Q523" s="242"/>
      <c r="R523" s="242"/>
      <c r="S523" s="242"/>
      <c r="T523" s="242"/>
      <c r="U523" s="242"/>
      <c r="V523" s="242"/>
      <c r="W523" s="242"/>
    </row>
    <row r="524">
      <c r="A524" s="13"/>
      <c r="B524" s="252"/>
      <c r="C524" s="252"/>
      <c r="D524" s="252"/>
      <c r="E524" s="252"/>
      <c r="F524" s="252"/>
      <c r="G524" s="252"/>
      <c r="H524" s="551"/>
      <c r="I524" s="242"/>
      <c r="J524" s="242"/>
      <c r="K524" s="242"/>
      <c r="L524" s="242"/>
      <c r="M524" s="242"/>
      <c r="N524" s="242"/>
      <c r="O524" s="242"/>
      <c r="P524" s="242"/>
      <c r="Q524" s="242"/>
      <c r="R524" s="242"/>
      <c r="S524" s="242"/>
      <c r="T524" s="242"/>
      <c r="U524" s="242"/>
      <c r="V524" s="242"/>
      <c r="W524" s="242"/>
    </row>
    <row r="525">
      <c r="A525" s="13"/>
      <c r="B525" s="252"/>
      <c r="C525" s="252"/>
      <c r="D525" s="252"/>
      <c r="E525" s="252"/>
      <c r="F525" s="252"/>
      <c r="G525" s="252"/>
      <c r="H525" s="551"/>
      <c r="I525" s="242"/>
      <c r="J525" s="242"/>
      <c r="K525" s="242"/>
      <c r="L525" s="242"/>
      <c r="M525" s="242"/>
      <c r="N525" s="242"/>
      <c r="O525" s="242"/>
      <c r="P525" s="242"/>
      <c r="Q525" s="242"/>
      <c r="R525" s="242"/>
      <c r="S525" s="242"/>
      <c r="T525" s="242"/>
      <c r="U525" s="242"/>
      <c r="V525" s="242"/>
      <c r="W525" s="242"/>
    </row>
    <row r="526">
      <c r="A526" s="13"/>
      <c r="B526" s="252"/>
      <c r="C526" s="252"/>
      <c r="D526" s="252"/>
      <c r="E526" s="252"/>
      <c r="F526" s="252"/>
      <c r="G526" s="252"/>
      <c r="H526" s="551"/>
      <c r="I526" s="242"/>
      <c r="J526" s="242"/>
      <c r="K526" s="242"/>
      <c r="L526" s="242"/>
      <c r="M526" s="242"/>
      <c r="N526" s="242"/>
      <c r="O526" s="242"/>
      <c r="P526" s="242"/>
      <c r="Q526" s="242"/>
      <c r="R526" s="242"/>
      <c r="S526" s="242"/>
      <c r="T526" s="242"/>
      <c r="U526" s="242"/>
      <c r="V526" s="242"/>
      <c r="W526" s="242"/>
    </row>
    <row r="527">
      <c r="A527" s="13"/>
      <c r="B527" s="252"/>
      <c r="C527" s="252"/>
      <c r="D527" s="252"/>
      <c r="E527" s="252"/>
      <c r="F527" s="252"/>
      <c r="G527" s="252"/>
      <c r="H527" s="551"/>
      <c r="I527" s="242"/>
      <c r="J527" s="242"/>
      <c r="K527" s="242"/>
      <c r="L527" s="242"/>
      <c r="M527" s="242"/>
      <c r="N527" s="242"/>
      <c r="O527" s="242"/>
      <c r="P527" s="242"/>
      <c r="Q527" s="242"/>
      <c r="R527" s="242"/>
      <c r="S527" s="242"/>
      <c r="T527" s="242"/>
      <c r="U527" s="242"/>
      <c r="V527" s="242"/>
      <c r="W527" s="242"/>
    </row>
    <row r="528">
      <c r="A528" s="13"/>
      <c r="B528" s="252"/>
      <c r="C528" s="252"/>
      <c r="D528" s="252"/>
      <c r="E528" s="252"/>
      <c r="F528" s="252"/>
      <c r="G528" s="252"/>
      <c r="H528" s="551"/>
      <c r="I528" s="242"/>
      <c r="J528" s="242"/>
      <c r="K528" s="242"/>
      <c r="L528" s="242"/>
      <c r="M528" s="242"/>
      <c r="N528" s="242"/>
      <c r="O528" s="242"/>
      <c r="P528" s="242"/>
      <c r="Q528" s="242"/>
      <c r="R528" s="242"/>
      <c r="S528" s="242"/>
      <c r="T528" s="242"/>
      <c r="U528" s="242"/>
      <c r="V528" s="242"/>
      <c r="W528" s="242"/>
    </row>
    <row r="529">
      <c r="A529" s="13"/>
      <c r="B529" s="252"/>
      <c r="C529" s="252"/>
      <c r="D529" s="252"/>
      <c r="E529" s="252"/>
      <c r="F529" s="252"/>
      <c r="G529" s="252"/>
      <c r="H529" s="551"/>
      <c r="I529" s="242"/>
      <c r="J529" s="242"/>
      <c r="K529" s="242"/>
      <c r="L529" s="242"/>
      <c r="M529" s="242"/>
      <c r="N529" s="242"/>
      <c r="O529" s="242"/>
      <c r="P529" s="242"/>
      <c r="Q529" s="242"/>
      <c r="R529" s="242"/>
      <c r="S529" s="242"/>
      <c r="T529" s="242"/>
      <c r="U529" s="242"/>
      <c r="V529" s="242"/>
      <c r="W529" s="242"/>
    </row>
    <row r="530">
      <c r="A530" s="13"/>
      <c r="B530" s="252"/>
      <c r="C530" s="252"/>
      <c r="D530" s="252"/>
      <c r="E530" s="252"/>
      <c r="F530" s="252"/>
      <c r="G530" s="252"/>
      <c r="H530" s="551"/>
      <c r="I530" s="242"/>
      <c r="J530" s="242"/>
      <c r="K530" s="242"/>
      <c r="L530" s="242"/>
      <c r="M530" s="242"/>
      <c r="N530" s="242"/>
      <c r="O530" s="242"/>
      <c r="P530" s="242"/>
      <c r="Q530" s="242"/>
      <c r="R530" s="242"/>
      <c r="S530" s="242"/>
      <c r="T530" s="242"/>
      <c r="U530" s="242"/>
      <c r="V530" s="242"/>
      <c r="W530" s="242"/>
    </row>
    <row r="531">
      <c r="A531" s="13"/>
      <c r="B531" s="252"/>
      <c r="C531" s="252"/>
      <c r="D531" s="252"/>
      <c r="E531" s="252"/>
      <c r="F531" s="252"/>
      <c r="G531" s="252"/>
      <c r="H531" s="551"/>
      <c r="I531" s="242"/>
      <c r="J531" s="242"/>
      <c r="K531" s="242"/>
      <c r="L531" s="242"/>
      <c r="M531" s="242"/>
      <c r="N531" s="242"/>
      <c r="O531" s="242"/>
      <c r="P531" s="242"/>
      <c r="Q531" s="242"/>
      <c r="R531" s="242"/>
      <c r="S531" s="242"/>
      <c r="T531" s="242"/>
      <c r="U531" s="242"/>
      <c r="V531" s="242"/>
      <c r="W531" s="242"/>
    </row>
    <row r="532">
      <c r="A532" s="13"/>
      <c r="B532" s="252"/>
      <c r="C532" s="252"/>
      <c r="D532" s="252"/>
      <c r="E532" s="252"/>
      <c r="F532" s="252"/>
      <c r="G532" s="252"/>
      <c r="H532" s="551"/>
      <c r="I532" s="242"/>
      <c r="J532" s="242"/>
      <c r="K532" s="242"/>
      <c r="L532" s="242"/>
      <c r="M532" s="242"/>
      <c r="N532" s="242"/>
      <c r="O532" s="242"/>
      <c r="P532" s="242"/>
      <c r="Q532" s="242"/>
      <c r="R532" s="242"/>
      <c r="S532" s="242"/>
      <c r="T532" s="242"/>
      <c r="U532" s="242"/>
      <c r="V532" s="242"/>
      <c r="W532" s="242"/>
    </row>
    <row r="533">
      <c r="A533" s="13"/>
      <c r="B533" s="252"/>
      <c r="C533" s="252"/>
      <c r="D533" s="252"/>
      <c r="E533" s="252"/>
      <c r="F533" s="252"/>
      <c r="G533" s="252"/>
      <c r="H533" s="551"/>
      <c r="I533" s="242"/>
      <c r="J533" s="242"/>
      <c r="K533" s="242"/>
      <c r="L533" s="242"/>
      <c r="M533" s="242"/>
      <c r="N533" s="242"/>
      <c r="O533" s="242"/>
      <c r="P533" s="242"/>
      <c r="Q533" s="242"/>
      <c r="R533" s="242"/>
      <c r="S533" s="242"/>
      <c r="T533" s="242"/>
      <c r="U533" s="242"/>
      <c r="V533" s="242"/>
      <c r="W533" s="242"/>
    </row>
    <row r="534">
      <c r="A534" s="13"/>
      <c r="B534" s="252"/>
      <c r="C534" s="252"/>
      <c r="D534" s="252"/>
      <c r="E534" s="252"/>
      <c r="F534" s="252"/>
      <c r="G534" s="252"/>
      <c r="H534" s="551"/>
      <c r="I534" s="242"/>
      <c r="J534" s="242"/>
      <c r="K534" s="242"/>
      <c r="L534" s="242"/>
      <c r="M534" s="242"/>
      <c r="N534" s="242"/>
      <c r="O534" s="242"/>
      <c r="P534" s="242"/>
      <c r="Q534" s="242"/>
      <c r="R534" s="242"/>
      <c r="S534" s="242"/>
      <c r="T534" s="242"/>
      <c r="U534" s="242"/>
      <c r="V534" s="242"/>
      <c r="W534" s="242"/>
    </row>
    <row r="535">
      <c r="A535" s="13"/>
      <c r="B535" s="252"/>
      <c r="C535" s="252"/>
      <c r="D535" s="252"/>
      <c r="E535" s="252"/>
      <c r="F535" s="252"/>
      <c r="G535" s="252"/>
      <c r="H535" s="551"/>
      <c r="I535" s="242"/>
      <c r="J535" s="242"/>
      <c r="K535" s="242"/>
      <c r="L535" s="242"/>
      <c r="M535" s="242"/>
      <c r="N535" s="242"/>
      <c r="O535" s="242"/>
      <c r="P535" s="242"/>
      <c r="Q535" s="242"/>
      <c r="R535" s="242"/>
      <c r="S535" s="242"/>
      <c r="T535" s="242"/>
      <c r="U535" s="242"/>
      <c r="V535" s="242"/>
      <c r="W535" s="242"/>
    </row>
    <row r="536">
      <c r="A536" s="13"/>
      <c r="B536" s="252"/>
      <c r="C536" s="252"/>
      <c r="D536" s="252"/>
      <c r="E536" s="252"/>
      <c r="F536" s="252"/>
      <c r="G536" s="252"/>
      <c r="H536" s="551"/>
      <c r="I536" s="242"/>
      <c r="J536" s="242"/>
      <c r="K536" s="242"/>
      <c r="L536" s="242"/>
      <c r="M536" s="242"/>
      <c r="N536" s="242"/>
      <c r="O536" s="242"/>
      <c r="P536" s="242"/>
      <c r="Q536" s="242"/>
      <c r="R536" s="242"/>
      <c r="S536" s="242"/>
      <c r="T536" s="242"/>
      <c r="U536" s="242"/>
      <c r="V536" s="242"/>
      <c r="W536" s="242"/>
    </row>
    <row r="537">
      <c r="A537" s="13"/>
      <c r="B537" s="252"/>
      <c r="C537" s="252"/>
      <c r="D537" s="252"/>
      <c r="E537" s="252"/>
      <c r="F537" s="252"/>
      <c r="G537" s="252"/>
      <c r="H537" s="551"/>
      <c r="I537" s="242"/>
      <c r="J537" s="242"/>
      <c r="K537" s="242"/>
      <c r="L537" s="242"/>
      <c r="M537" s="242"/>
      <c r="N537" s="242"/>
      <c r="O537" s="242"/>
      <c r="P537" s="242"/>
      <c r="Q537" s="242"/>
      <c r="R537" s="242"/>
      <c r="S537" s="242"/>
      <c r="T537" s="242"/>
      <c r="U537" s="242"/>
      <c r="V537" s="242"/>
      <c r="W537" s="242"/>
    </row>
    <row r="538">
      <c r="A538" s="13"/>
      <c r="B538" s="252"/>
      <c r="C538" s="252"/>
      <c r="D538" s="252"/>
      <c r="E538" s="252"/>
      <c r="F538" s="252"/>
      <c r="G538" s="252"/>
      <c r="H538" s="551"/>
      <c r="I538" s="242"/>
      <c r="J538" s="242"/>
      <c r="K538" s="242"/>
      <c r="L538" s="242"/>
      <c r="M538" s="242"/>
      <c r="N538" s="242"/>
      <c r="O538" s="242"/>
      <c r="P538" s="242"/>
      <c r="Q538" s="242"/>
      <c r="R538" s="242"/>
      <c r="S538" s="242"/>
      <c r="T538" s="242"/>
      <c r="U538" s="242"/>
      <c r="V538" s="242"/>
      <c r="W538" s="242"/>
    </row>
    <row r="539">
      <c r="A539" s="13"/>
      <c r="B539" s="252"/>
      <c r="C539" s="252"/>
      <c r="D539" s="252"/>
      <c r="E539" s="252"/>
      <c r="F539" s="252"/>
      <c r="G539" s="252"/>
      <c r="H539" s="551"/>
      <c r="I539" s="242"/>
      <c r="J539" s="242"/>
      <c r="K539" s="242"/>
      <c r="L539" s="242"/>
      <c r="M539" s="242"/>
      <c r="N539" s="242"/>
      <c r="O539" s="242"/>
      <c r="P539" s="242"/>
      <c r="Q539" s="242"/>
      <c r="R539" s="242"/>
      <c r="S539" s="242"/>
      <c r="T539" s="242"/>
      <c r="U539" s="242"/>
      <c r="V539" s="242"/>
      <c r="W539" s="242"/>
    </row>
    <row r="540">
      <c r="A540" s="13"/>
      <c r="B540" s="252"/>
      <c r="C540" s="252"/>
      <c r="D540" s="252"/>
      <c r="E540" s="252"/>
      <c r="F540" s="252"/>
      <c r="G540" s="252"/>
      <c r="H540" s="551"/>
      <c r="I540" s="242"/>
      <c r="J540" s="242"/>
      <c r="K540" s="242"/>
      <c r="L540" s="242"/>
      <c r="M540" s="242"/>
      <c r="N540" s="242"/>
      <c r="O540" s="242"/>
      <c r="P540" s="242"/>
      <c r="Q540" s="242"/>
      <c r="R540" s="242"/>
      <c r="S540" s="242"/>
      <c r="T540" s="242"/>
      <c r="U540" s="242"/>
      <c r="V540" s="242"/>
      <c r="W540" s="242"/>
    </row>
    <row r="541">
      <c r="A541" s="13"/>
      <c r="B541" s="252"/>
      <c r="C541" s="252"/>
      <c r="D541" s="252"/>
      <c r="E541" s="252"/>
      <c r="F541" s="252"/>
      <c r="G541" s="252"/>
      <c r="H541" s="551"/>
      <c r="I541" s="242"/>
      <c r="J541" s="242"/>
      <c r="K541" s="242"/>
      <c r="L541" s="242"/>
      <c r="M541" s="242"/>
      <c r="N541" s="242"/>
      <c r="O541" s="242"/>
      <c r="P541" s="242"/>
      <c r="Q541" s="242"/>
      <c r="R541" s="242"/>
      <c r="S541" s="242"/>
      <c r="T541" s="242"/>
      <c r="U541" s="242"/>
      <c r="V541" s="242"/>
      <c r="W541" s="242"/>
    </row>
    <row r="542">
      <c r="A542" s="13"/>
      <c r="B542" s="252"/>
      <c r="C542" s="252"/>
      <c r="D542" s="252"/>
      <c r="E542" s="252"/>
      <c r="F542" s="252"/>
      <c r="G542" s="252"/>
      <c r="H542" s="551"/>
      <c r="I542" s="242"/>
      <c r="J542" s="242"/>
      <c r="K542" s="242"/>
      <c r="L542" s="242"/>
      <c r="M542" s="242"/>
      <c r="N542" s="242"/>
      <c r="O542" s="242"/>
      <c r="P542" s="242"/>
      <c r="Q542" s="242"/>
      <c r="R542" s="242"/>
      <c r="S542" s="242"/>
      <c r="T542" s="242"/>
      <c r="U542" s="242"/>
      <c r="V542" s="242"/>
      <c r="W542" s="242"/>
    </row>
    <row r="543">
      <c r="A543" s="13"/>
      <c r="B543" s="252"/>
      <c r="C543" s="252"/>
      <c r="D543" s="252"/>
      <c r="E543" s="252"/>
      <c r="F543" s="252"/>
      <c r="G543" s="252"/>
      <c r="H543" s="551"/>
      <c r="I543" s="242"/>
      <c r="J543" s="242"/>
      <c r="K543" s="242"/>
      <c r="L543" s="242"/>
      <c r="M543" s="242"/>
      <c r="N543" s="242"/>
      <c r="O543" s="242"/>
      <c r="P543" s="242"/>
      <c r="Q543" s="242"/>
      <c r="R543" s="242"/>
      <c r="S543" s="242"/>
      <c r="T543" s="242"/>
      <c r="U543" s="242"/>
      <c r="V543" s="242"/>
      <c r="W543" s="242"/>
    </row>
    <row r="544">
      <c r="A544" s="13"/>
      <c r="B544" s="252"/>
      <c r="C544" s="252"/>
      <c r="D544" s="252"/>
      <c r="E544" s="252"/>
      <c r="F544" s="252"/>
      <c r="G544" s="252"/>
      <c r="H544" s="551"/>
      <c r="I544" s="242"/>
      <c r="J544" s="242"/>
      <c r="K544" s="242"/>
      <c r="L544" s="242"/>
      <c r="M544" s="242"/>
      <c r="N544" s="242"/>
      <c r="O544" s="242"/>
      <c r="P544" s="242"/>
      <c r="Q544" s="242"/>
      <c r="R544" s="242"/>
      <c r="S544" s="242"/>
      <c r="T544" s="242"/>
      <c r="U544" s="242"/>
      <c r="V544" s="242"/>
      <c r="W544" s="242"/>
    </row>
    <row r="545">
      <c r="A545" s="13"/>
      <c r="B545" s="252"/>
      <c r="C545" s="252"/>
      <c r="D545" s="252"/>
      <c r="E545" s="252"/>
      <c r="F545" s="252"/>
      <c r="G545" s="252"/>
      <c r="H545" s="551"/>
      <c r="I545" s="242"/>
      <c r="J545" s="242"/>
      <c r="K545" s="242"/>
      <c r="L545" s="242"/>
      <c r="M545" s="242"/>
      <c r="N545" s="242"/>
      <c r="O545" s="242"/>
      <c r="P545" s="242"/>
      <c r="Q545" s="242"/>
      <c r="R545" s="242"/>
      <c r="S545" s="242"/>
      <c r="T545" s="242"/>
      <c r="U545" s="242"/>
      <c r="V545" s="242"/>
      <c r="W545" s="242"/>
    </row>
    <row r="546">
      <c r="A546" s="13"/>
      <c r="B546" s="252"/>
      <c r="C546" s="252"/>
      <c r="D546" s="252"/>
      <c r="E546" s="252"/>
      <c r="F546" s="252"/>
      <c r="G546" s="252"/>
      <c r="H546" s="551"/>
      <c r="I546" s="242"/>
      <c r="J546" s="242"/>
      <c r="K546" s="242"/>
      <c r="L546" s="242"/>
      <c r="M546" s="242"/>
      <c r="N546" s="242"/>
      <c r="O546" s="242"/>
      <c r="P546" s="242"/>
      <c r="Q546" s="242"/>
      <c r="R546" s="242"/>
      <c r="S546" s="242"/>
      <c r="T546" s="242"/>
      <c r="U546" s="242"/>
      <c r="V546" s="242"/>
      <c r="W546" s="242"/>
    </row>
    <row r="547">
      <c r="A547" s="13"/>
      <c r="B547" s="252"/>
      <c r="C547" s="252"/>
      <c r="D547" s="252"/>
      <c r="E547" s="252"/>
      <c r="F547" s="252"/>
      <c r="G547" s="252"/>
      <c r="H547" s="551"/>
      <c r="I547" s="242"/>
      <c r="J547" s="242"/>
      <c r="K547" s="242"/>
      <c r="L547" s="242"/>
      <c r="M547" s="242"/>
      <c r="N547" s="242"/>
      <c r="O547" s="242"/>
      <c r="P547" s="242"/>
      <c r="Q547" s="242"/>
      <c r="R547" s="242"/>
      <c r="S547" s="242"/>
      <c r="T547" s="242"/>
      <c r="U547" s="242"/>
      <c r="V547" s="242"/>
      <c r="W547" s="242"/>
    </row>
    <row r="548">
      <c r="A548" s="13"/>
      <c r="B548" s="252"/>
      <c r="C548" s="252"/>
      <c r="D548" s="252"/>
      <c r="E548" s="252"/>
      <c r="F548" s="252"/>
      <c r="G548" s="252"/>
      <c r="H548" s="551"/>
      <c r="I548" s="242"/>
      <c r="J548" s="242"/>
      <c r="K548" s="242"/>
      <c r="L548" s="242"/>
      <c r="M548" s="242"/>
      <c r="N548" s="242"/>
      <c r="O548" s="242"/>
      <c r="P548" s="242"/>
      <c r="Q548" s="242"/>
      <c r="R548" s="242"/>
      <c r="S548" s="242"/>
      <c r="T548" s="242"/>
      <c r="U548" s="242"/>
      <c r="V548" s="242"/>
      <c r="W548" s="242"/>
    </row>
    <row r="549">
      <c r="A549" s="13"/>
      <c r="B549" s="252"/>
      <c r="C549" s="252"/>
      <c r="D549" s="252"/>
      <c r="E549" s="252"/>
      <c r="F549" s="252"/>
      <c r="G549" s="252"/>
      <c r="H549" s="551"/>
      <c r="I549" s="242"/>
      <c r="J549" s="242"/>
      <c r="K549" s="242"/>
      <c r="L549" s="242"/>
      <c r="M549" s="242"/>
      <c r="N549" s="242"/>
      <c r="O549" s="242"/>
      <c r="P549" s="242"/>
      <c r="Q549" s="242"/>
      <c r="R549" s="242"/>
      <c r="S549" s="242"/>
      <c r="T549" s="242"/>
      <c r="U549" s="242"/>
      <c r="V549" s="242"/>
      <c r="W549" s="242"/>
    </row>
    <row r="550">
      <c r="A550" s="13"/>
      <c r="B550" s="252"/>
      <c r="C550" s="252"/>
      <c r="D550" s="252"/>
      <c r="E550" s="252"/>
      <c r="F550" s="252"/>
      <c r="G550" s="252"/>
      <c r="H550" s="551"/>
      <c r="I550" s="242"/>
      <c r="J550" s="242"/>
      <c r="K550" s="242"/>
      <c r="L550" s="242"/>
      <c r="M550" s="242"/>
      <c r="N550" s="242"/>
      <c r="O550" s="242"/>
      <c r="P550" s="242"/>
      <c r="Q550" s="242"/>
      <c r="R550" s="242"/>
      <c r="S550" s="242"/>
      <c r="T550" s="242"/>
      <c r="U550" s="242"/>
      <c r="V550" s="242"/>
      <c r="W550" s="242"/>
    </row>
    <row r="551">
      <c r="A551" s="13"/>
      <c r="B551" s="252"/>
      <c r="C551" s="252"/>
      <c r="D551" s="252"/>
      <c r="E551" s="252"/>
      <c r="F551" s="252"/>
      <c r="G551" s="252"/>
      <c r="H551" s="551"/>
      <c r="I551" s="242"/>
      <c r="J551" s="242"/>
      <c r="K551" s="242"/>
      <c r="L551" s="242"/>
      <c r="M551" s="242"/>
      <c r="N551" s="242"/>
      <c r="O551" s="242"/>
      <c r="P551" s="242"/>
      <c r="Q551" s="242"/>
      <c r="R551" s="242"/>
      <c r="S551" s="242"/>
      <c r="T551" s="242"/>
      <c r="U551" s="242"/>
      <c r="V551" s="242"/>
      <c r="W551" s="242"/>
    </row>
    <row r="552">
      <c r="A552" s="13"/>
      <c r="B552" s="252"/>
      <c r="C552" s="252"/>
      <c r="D552" s="252"/>
      <c r="E552" s="252"/>
      <c r="F552" s="252"/>
      <c r="G552" s="252"/>
      <c r="H552" s="551"/>
      <c r="I552" s="242"/>
      <c r="J552" s="242"/>
      <c r="K552" s="242"/>
      <c r="L552" s="242"/>
      <c r="M552" s="242"/>
      <c r="N552" s="242"/>
      <c r="O552" s="242"/>
      <c r="P552" s="242"/>
      <c r="Q552" s="242"/>
      <c r="R552" s="242"/>
      <c r="S552" s="242"/>
      <c r="T552" s="242"/>
      <c r="U552" s="242"/>
      <c r="V552" s="242"/>
      <c r="W552" s="242"/>
    </row>
    <row r="553">
      <c r="A553" s="13"/>
      <c r="B553" s="252"/>
      <c r="C553" s="252"/>
      <c r="D553" s="252"/>
      <c r="E553" s="252"/>
      <c r="F553" s="252"/>
      <c r="G553" s="252"/>
      <c r="H553" s="551"/>
      <c r="I553" s="242"/>
      <c r="J553" s="242"/>
      <c r="K553" s="242"/>
      <c r="L553" s="242"/>
      <c r="M553" s="242"/>
      <c r="N553" s="242"/>
      <c r="O553" s="242"/>
      <c r="P553" s="242"/>
      <c r="Q553" s="242"/>
      <c r="R553" s="242"/>
      <c r="S553" s="242"/>
      <c r="T553" s="242"/>
      <c r="U553" s="242"/>
      <c r="V553" s="242"/>
      <c r="W553" s="242"/>
    </row>
    <row r="554">
      <c r="A554" s="13"/>
      <c r="B554" s="252"/>
      <c r="C554" s="252"/>
      <c r="D554" s="252"/>
      <c r="E554" s="252"/>
      <c r="F554" s="252"/>
      <c r="G554" s="252"/>
      <c r="H554" s="551"/>
      <c r="I554" s="242"/>
      <c r="J554" s="242"/>
      <c r="K554" s="242"/>
      <c r="L554" s="242"/>
      <c r="M554" s="242"/>
      <c r="N554" s="242"/>
      <c r="O554" s="242"/>
      <c r="P554" s="242"/>
      <c r="Q554" s="242"/>
      <c r="R554" s="242"/>
      <c r="S554" s="242"/>
      <c r="T554" s="242"/>
      <c r="U554" s="242"/>
      <c r="V554" s="242"/>
      <c r="W554" s="242"/>
    </row>
    <row r="555">
      <c r="A555" s="13"/>
      <c r="B555" s="252"/>
      <c r="C555" s="252"/>
      <c r="D555" s="252"/>
      <c r="E555" s="252"/>
      <c r="F555" s="252"/>
      <c r="G555" s="252"/>
      <c r="H555" s="551"/>
      <c r="I555" s="242"/>
      <c r="J555" s="242"/>
      <c r="K555" s="242"/>
      <c r="L555" s="242"/>
      <c r="M555" s="242"/>
      <c r="N555" s="242"/>
      <c r="O555" s="242"/>
      <c r="P555" s="242"/>
      <c r="Q555" s="242"/>
      <c r="R555" s="242"/>
      <c r="S555" s="242"/>
      <c r="T555" s="242"/>
      <c r="U555" s="242"/>
      <c r="V555" s="242"/>
      <c r="W555" s="242"/>
    </row>
    <row r="556">
      <c r="A556" s="13"/>
      <c r="B556" s="252"/>
      <c r="C556" s="252"/>
      <c r="D556" s="252"/>
      <c r="E556" s="252"/>
      <c r="F556" s="252"/>
      <c r="G556" s="252"/>
      <c r="H556" s="551"/>
      <c r="I556" s="242"/>
      <c r="J556" s="242"/>
      <c r="K556" s="242"/>
      <c r="L556" s="242"/>
      <c r="M556" s="242"/>
      <c r="N556" s="242"/>
      <c r="O556" s="242"/>
      <c r="P556" s="242"/>
      <c r="Q556" s="242"/>
      <c r="R556" s="242"/>
      <c r="S556" s="242"/>
      <c r="T556" s="242"/>
      <c r="U556" s="242"/>
      <c r="V556" s="242"/>
      <c r="W556" s="242"/>
    </row>
    <row r="557">
      <c r="A557" s="13"/>
      <c r="B557" s="252"/>
      <c r="C557" s="252"/>
      <c r="D557" s="252"/>
      <c r="E557" s="252"/>
      <c r="F557" s="252"/>
      <c r="G557" s="252"/>
      <c r="H557" s="551"/>
      <c r="I557" s="242"/>
      <c r="J557" s="242"/>
      <c r="K557" s="242"/>
      <c r="L557" s="242"/>
      <c r="M557" s="242"/>
      <c r="N557" s="242"/>
      <c r="O557" s="242"/>
      <c r="P557" s="242"/>
      <c r="Q557" s="242"/>
      <c r="R557" s="242"/>
      <c r="S557" s="242"/>
      <c r="T557" s="242"/>
      <c r="U557" s="242"/>
      <c r="V557" s="242"/>
      <c r="W557" s="242"/>
    </row>
    <row r="558">
      <c r="A558" s="13"/>
      <c r="B558" s="252"/>
      <c r="C558" s="252"/>
      <c r="D558" s="252"/>
      <c r="E558" s="252"/>
      <c r="F558" s="252"/>
      <c r="G558" s="252"/>
      <c r="H558" s="551"/>
      <c r="I558" s="242"/>
      <c r="J558" s="242"/>
      <c r="K558" s="242"/>
      <c r="L558" s="242"/>
      <c r="M558" s="242"/>
      <c r="N558" s="242"/>
      <c r="O558" s="242"/>
      <c r="P558" s="242"/>
      <c r="Q558" s="242"/>
      <c r="R558" s="242"/>
      <c r="S558" s="242"/>
      <c r="T558" s="242"/>
      <c r="U558" s="242"/>
      <c r="V558" s="242"/>
      <c r="W558" s="242"/>
    </row>
    <row r="559">
      <c r="A559" s="13"/>
      <c r="B559" s="252"/>
      <c r="C559" s="252"/>
      <c r="D559" s="252"/>
      <c r="E559" s="252"/>
      <c r="F559" s="252"/>
      <c r="G559" s="252"/>
      <c r="H559" s="551"/>
      <c r="I559" s="242"/>
      <c r="J559" s="242"/>
      <c r="K559" s="242"/>
      <c r="L559" s="242"/>
      <c r="M559" s="242"/>
      <c r="N559" s="242"/>
      <c r="O559" s="242"/>
      <c r="P559" s="242"/>
      <c r="Q559" s="242"/>
      <c r="R559" s="242"/>
      <c r="S559" s="242"/>
      <c r="T559" s="242"/>
      <c r="U559" s="242"/>
      <c r="V559" s="242"/>
      <c r="W559" s="242"/>
    </row>
    <row r="560">
      <c r="A560" s="13"/>
      <c r="B560" s="252"/>
      <c r="C560" s="252"/>
      <c r="D560" s="252"/>
      <c r="E560" s="252"/>
      <c r="F560" s="252"/>
      <c r="G560" s="252"/>
      <c r="H560" s="551"/>
      <c r="I560" s="242"/>
      <c r="J560" s="242"/>
      <c r="K560" s="242"/>
      <c r="L560" s="242"/>
      <c r="M560" s="242"/>
      <c r="N560" s="242"/>
      <c r="O560" s="242"/>
      <c r="P560" s="242"/>
      <c r="Q560" s="242"/>
      <c r="R560" s="242"/>
      <c r="S560" s="242"/>
      <c r="T560" s="242"/>
      <c r="U560" s="242"/>
      <c r="V560" s="242"/>
      <c r="W560" s="242"/>
    </row>
    <row r="561">
      <c r="A561" s="13"/>
      <c r="B561" s="252"/>
      <c r="C561" s="252"/>
      <c r="D561" s="252"/>
      <c r="E561" s="252"/>
      <c r="F561" s="252"/>
      <c r="G561" s="252"/>
      <c r="H561" s="551"/>
      <c r="I561" s="242"/>
      <c r="J561" s="242"/>
      <c r="K561" s="242"/>
      <c r="L561" s="242"/>
      <c r="M561" s="242"/>
      <c r="N561" s="242"/>
      <c r="O561" s="242"/>
      <c r="P561" s="242"/>
      <c r="Q561" s="242"/>
      <c r="R561" s="242"/>
      <c r="S561" s="242"/>
      <c r="T561" s="242"/>
      <c r="U561" s="242"/>
      <c r="V561" s="242"/>
      <c r="W561" s="242"/>
    </row>
    <row r="562">
      <c r="A562" s="13"/>
      <c r="B562" s="252"/>
      <c r="C562" s="252"/>
      <c r="D562" s="252"/>
      <c r="E562" s="252"/>
      <c r="F562" s="252"/>
      <c r="G562" s="252"/>
      <c r="H562" s="551"/>
      <c r="I562" s="242"/>
      <c r="J562" s="242"/>
      <c r="K562" s="242"/>
      <c r="L562" s="242"/>
      <c r="M562" s="242"/>
      <c r="N562" s="242"/>
      <c r="O562" s="242"/>
      <c r="P562" s="242"/>
      <c r="Q562" s="242"/>
      <c r="R562" s="242"/>
      <c r="S562" s="242"/>
      <c r="T562" s="242"/>
      <c r="U562" s="242"/>
      <c r="V562" s="242"/>
      <c r="W562" s="242"/>
    </row>
    <row r="563">
      <c r="A563" s="13"/>
      <c r="B563" s="252"/>
      <c r="C563" s="252"/>
      <c r="D563" s="252"/>
      <c r="E563" s="252"/>
      <c r="F563" s="252"/>
      <c r="G563" s="252"/>
      <c r="H563" s="551"/>
      <c r="I563" s="242"/>
      <c r="J563" s="242"/>
      <c r="K563" s="242"/>
      <c r="L563" s="242"/>
      <c r="M563" s="242"/>
      <c r="N563" s="242"/>
      <c r="O563" s="242"/>
      <c r="P563" s="242"/>
      <c r="Q563" s="242"/>
      <c r="R563" s="242"/>
      <c r="S563" s="242"/>
      <c r="T563" s="242"/>
      <c r="U563" s="242"/>
      <c r="V563" s="242"/>
      <c r="W563" s="242"/>
    </row>
    <row r="564">
      <c r="A564" s="13"/>
      <c r="B564" s="252"/>
      <c r="C564" s="252"/>
      <c r="D564" s="252"/>
      <c r="E564" s="252"/>
      <c r="F564" s="252"/>
      <c r="G564" s="252"/>
      <c r="H564" s="551"/>
      <c r="I564" s="242"/>
      <c r="J564" s="242"/>
      <c r="K564" s="242"/>
      <c r="L564" s="242"/>
      <c r="M564" s="242"/>
      <c r="N564" s="242"/>
      <c r="O564" s="242"/>
      <c r="P564" s="242"/>
      <c r="Q564" s="242"/>
      <c r="R564" s="242"/>
      <c r="S564" s="242"/>
      <c r="T564" s="242"/>
      <c r="U564" s="242"/>
      <c r="V564" s="242"/>
      <c r="W564" s="242"/>
    </row>
    <row r="565">
      <c r="A565" s="13"/>
      <c r="B565" s="252"/>
      <c r="C565" s="252"/>
      <c r="D565" s="252"/>
      <c r="E565" s="252"/>
      <c r="F565" s="252"/>
      <c r="G565" s="252"/>
      <c r="H565" s="551"/>
      <c r="I565" s="242"/>
      <c r="J565" s="242"/>
      <c r="K565" s="242"/>
      <c r="L565" s="242"/>
      <c r="M565" s="242"/>
      <c r="N565" s="242"/>
      <c r="O565" s="242"/>
      <c r="P565" s="242"/>
      <c r="Q565" s="242"/>
      <c r="R565" s="242"/>
      <c r="S565" s="242"/>
      <c r="T565" s="242"/>
      <c r="U565" s="242"/>
      <c r="V565" s="242"/>
      <c r="W565" s="242"/>
    </row>
    <row r="566">
      <c r="A566" s="13"/>
      <c r="B566" s="252"/>
      <c r="C566" s="252"/>
      <c r="D566" s="252"/>
      <c r="E566" s="252"/>
      <c r="F566" s="252"/>
      <c r="G566" s="252"/>
      <c r="H566" s="551"/>
      <c r="I566" s="242"/>
      <c r="J566" s="242"/>
      <c r="K566" s="242"/>
      <c r="L566" s="242"/>
      <c r="M566" s="242"/>
      <c r="N566" s="242"/>
      <c r="O566" s="242"/>
      <c r="P566" s="242"/>
      <c r="Q566" s="242"/>
      <c r="R566" s="242"/>
      <c r="S566" s="242"/>
      <c r="T566" s="242"/>
      <c r="U566" s="242"/>
      <c r="V566" s="242"/>
      <c r="W566" s="242"/>
    </row>
    <row r="567">
      <c r="A567" s="13"/>
      <c r="B567" s="252"/>
      <c r="C567" s="252"/>
      <c r="D567" s="252"/>
      <c r="E567" s="252"/>
      <c r="F567" s="252"/>
      <c r="G567" s="252"/>
      <c r="H567" s="551"/>
      <c r="I567" s="242"/>
      <c r="J567" s="242"/>
      <c r="K567" s="242"/>
      <c r="L567" s="242"/>
      <c r="M567" s="242"/>
      <c r="N567" s="242"/>
      <c r="O567" s="242"/>
      <c r="P567" s="242"/>
      <c r="Q567" s="242"/>
      <c r="R567" s="242"/>
      <c r="S567" s="242"/>
      <c r="T567" s="242"/>
      <c r="U567" s="242"/>
      <c r="V567" s="242"/>
      <c r="W567" s="242"/>
    </row>
    <row r="568">
      <c r="A568" s="13"/>
      <c r="B568" s="252"/>
      <c r="C568" s="252"/>
      <c r="D568" s="252"/>
      <c r="E568" s="252"/>
      <c r="F568" s="252"/>
      <c r="G568" s="252"/>
      <c r="H568" s="551"/>
      <c r="I568" s="242"/>
      <c r="J568" s="242"/>
      <c r="K568" s="242"/>
      <c r="L568" s="242"/>
      <c r="M568" s="242"/>
      <c r="N568" s="242"/>
      <c r="O568" s="242"/>
      <c r="P568" s="242"/>
      <c r="Q568" s="242"/>
      <c r="R568" s="242"/>
      <c r="S568" s="242"/>
      <c r="T568" s="242"/>
      <c r="U568" s="242"/>
      <c r="V568" s="242"/>
      <c r="W568" s="242"/>
    </row>
    <row r="569">
      <c r="A569" s="13"/>
      <c r="B569" s="252"/>
      <c r="C569" s="252"/>
      <c r="D569" s="252"/>
      <c r="E569" s="252"/>
      <c r="F569" s="252"/>
      <c r="G569" s="252"/>
      <c r="H569" s="551"/>
      <c r="I569" s="242"/>
      <c r="J569" s="242"/>
      <c r="K569" s="242"/>
      <c r="L569" s="242"/>
      <c r="M569" s="242"/>
      <c r="N569" s="242"/>
      <c r="O569" s="242"/>
      <c r="P569" s="242"/>
      <c r="Q569" s="242"/>
      <c r="R569" s="242"/>
      <c r="S569" s="242"/>
      <c r="T569" s="242"/>
      <c r="U569" s="242"/>
      <c r="V569" s="242"/>
      <c r="W569" s="242"/>
    </row>
    <row r="570">
      <c r="A570" s="13"/>
      <c r="B570" s="252"/>
      <c r="C570" s="252"/>
      <c r="D570" s="252"/>
      <c r="E570" s="252"/>
      <c r="F570" s="252"/>
      <c r="G570" s="252"/>
      <c r="H570" s="551"/>
      <c r="I570" s="242"/>
      <c r="J570" s="242"/>
      <c r="K570" s="242"/>
      <c r="L570" s="242"/>
      <c r="M570" s="242"/>
      <c r="N570" s="242"/>
      <c r="O570" s="242"/>
      <c r="P570" s="242"/>
      <c r="Q570" s="242"/>
      <c r="R570" s="242"/>
      <c r="S570" s="242"/>
      <c r="T570" s="242"/>
      <c r="U570" s="242"/>
      <c r="V570" s="242"/>
      <c r="W570" s="242"/>
    </row>
    <row r="571">
      <c r="A571" s="13"/>
      <c r="B571" s="252"/>
      <c r="C571" s="252"/>
      <c r="D571" s="252"/>
      <c r="E571" s="252"/>
      <c r="F571" s="252"/>
      <c r="G571" s="252"/>
      <c r="H571" s="551"/>
      <c r="I571" s="242"/>
      <c r="J571" s="242"/>
      <c r="K571" s="242"/>
      <c r="L571" s="242"/>
      <c r="M571" s="242"/>
      <c r="N571" s="242"/>
      <c r="O571" s="242"/>
      <c r="P571" s="242"/>
      <c r="Q571" s="242"/>
      <c r="R571" s="242"/>
      <c r="S571" s="242"/>
      <c r="T571" s="242"/>
      <c r="U571" s="242"/>
      <c r="V571" s="242"/>
      <c r="W571" s="242"/>
    </row>
    <row r="572">
      <c r="A572" s="13"/>
      <c r="B572" s="252"/>
      <c r="C572" s="252"/>
      <c r="D572" s="252"/>
      <c r="E572" s="252"/>
      <c r="F572" s="252"/>
      <c r="G572" s="252"/>
      <c r="H572" s="551"/>
      <c r="I572" s="242"/>
      <c r="J572" s="242"/>
      <c r="K572" s="242"/>
      <c r="L572" s="242"/>
      <c r="M572" s="242"/>
      <c r="N572" s="242"/>
      <c r="O572" s="242"/>
      <c r="P572" s="242"/>
      <c r="Q572" s="242"/>
      <c r="R572" s="242"/>
      <c r="S572" s="242"/>
      <c r="T572" s="242"/>
      <c r="U572" s="242"/>
      <c r="V572" s="242"/>
      <c r="W572" s="242"/>
    </row>
    <row r="573">
      <c r="A573" s="13"/>
      <c r="B573" s="252"/>
      <c r="C573" s="252"/>
      <c r="D573" s="252"/>
      <c r="E573" s="252"/>
      <c r="F573" s="252"/>
      <c r="G573" s="252"/>
      <c r="H573" s="551"/>
      <c r="I573" s="242"/>
      <c r="J573" s="242"/>
      <c r="K573" s="242"/>
      <c r="L573" s="242"/>
      <c r="M573" s="242"/>
      <c r="N573" s="242"/>
      <c r="O573" s="242"/>
      <c r="P573" s="242"/>
      <c r="Q573" s="242"/>
      <c r="R573" s="242"/>
      <c r="S573" s="242"/>
      <c r="T573" s="242"/>
      <c r="U573" s="242"/>
      <c r="V573" s="242"/>
      <c r="W573" s="242"/>
    </row>
    <row r="574">
      <c r="A574" s="13"/>
      <c r="B574" s="252"/>
      <c r="C574" s="252"/>
      <c r="D574" s="252"/>
      <c r="E574" s="252"/>
      <c r="F574" s="252"/>
      <c r="G574" s="252"/>
      <c r="H574" s="551"/>
      <c r="I574" s="242"/>
      <c r="J574" s="242"/>
      <c r="K574" s="242"/>
      <c r="L574" s="242"/>
      <c r="M574" s="242"/>
      <c r="N574" s="242"/>
      <c r="O574" s="242"/>
      <c r="P574" s="242"/>
      <c r="Q574" s="242"/>
      <c r="R574" s="242"/>
      <c r="S574" s="242"/>
      <c r="T574" s="242"/>
      <c r="U574" s="242"/>
      <c r="V574" s="242"/>
      <c r="W574" s="242"/>
    </row>
    <row r="575">
      <c r="A575" s="13"/>
      <c r="B575" s="252"/>
      <c r="C575" s="252"/>
      <c r="D575" s="252"/>
      <c r="E575" s="252"/>
      <c r="F575" s="252"/>
      <c r="G575" s="252"/>
      <c r="H575" s="551"/>
      <c r="I575" s="242"/>
      <c r="J575" s="242"/>
      <c r="K575" s="242"/>
      <c r="L575" s="242"/>
      <c r="M575" s="242"/>
      <c r="N575" s="242"/>
      <c r="O575" s="242"/>
      <c r="P575" s="242"/>
      <c r="Q575" s="242"/>
      <c r="R575" s="242"/>
      <c r="S575" s="242"/>
      <c r="T575" s="242"/>
      <c r="U575" s="242"/>
      <c r="V575" s="242"/>
      <c r="W575" s="242"/>
    </row>
    <row r="576">
      <c r="A576" s="13"/>
      <c r="B576" s="252"/>
      <c r="C576" s="252"/>
      <c r="D576" s="252"/>
      <c r="E576" s="252"/>
      <c r="F576" s="252"/>
      <c r="G576" s="252"/>
      <c r="H576" s="551"/>
      <c r="I576" s="242"/>
      <c r="J576" s="242"/>
      <c r="K576" s="242"/>
      <c r="L576" s="242"/>
      <c r="M576" s="242"/>
      <c r="N576" s="242"/>
      <c r="O576" s="242"/>
      <c r="P576" s="242"/>
      <c r="Q576" s="242"/>
      <c r="R576" s="242"/>
      <c r="S576" s="242"/>
      <c r="T576" s="242"/>
      <c r="U576" s="242"/>
      <c r="V576" s="242"/>
      <c r="W576" s="242"/>
    </row>
    <row r="577">
      <c r="A577" s="13"/>
      <c r="B577" s="252"/>
      <c r="C577" s="252"/>
      <c r="D577" s="252"/>
      <c r="E577" s="252"/>
      <c r="F577" s="252"/>
      <c r="G577" s="252"/>
      <c r="H577" s="551"/>
      <c r="I577" s="242"/>
      <c r="J577" s="242"/>
      <c r="K577" s="242"/>
      <c r="L577" s="242"/>
      <c r="M577" s="242"/>
      <c r="N577" s="242"/>
      <c r="O577" s="242"/>
      <c r="P577" s="242"/>
      <c r="Q577" s="242"/>
      <c r="R577" s="242"/>
      <c r="S577" s="242"/>
      <c r="T577" s="242"/>
      <c r="U577" s="242"/>
      <c r="V577" s="242"/>
      <c r="W577" s="242"/>
    </row>
    <row r="578">
      <c r="A578" s="13"/>
      <c r="B578" s="252"/>
      <c r="C578" s="252"/>
      <c r="D578" s="252"/>
      <c r="E578" s="252"/>
      <c r="F578" s="252"/>
      <c r="G578" s="252"/>
      <c r="H578" s="551"/>
      <c r="I578" s="242"/>
      <c r="J578" s="242"/>
      <c r="K578" s="242"/>
      <c r="L578" s="242"/>
      <c r="M578" s="242"/>
      <c r="N578" s="242"/>
      <c r="O578" s="242"/>
      <c r="P578" s="242"/>
      <c r="Q578" s="242"/>
      <c r="R578" s="242"/>
      <c r="S578" s="242"/>
      <c r="T578" s="242"/>
      <c r="U578" s="242"/>
      <c r="V578" s="242"/>
      <c r="W578" s="242"/>
    </row>
    <row r="579">
      <c r="A579" s="13"/>
      <c r="B579" s="252"/>
      <c r="C579" s="252"/>
      <c r="D579" s="252"/>
      <c r="E579" s="252"/>
      <c r="F579" s="252"/>
      <c r="G579" s="252"/>
      <c r="H579" s="551"/>
      <c r="I579" s="242"/>
      <c r="J579" s="242"/>
      <c r="K579" s="242"/>
      <c r="L579" s="242"/>
      <c r="M579" s="242"/>
      <c r="N579" s="242"/>
      <c r="O579" s="242"/>
      <c r="P579" s="242"/>
      <c r="Q579" s="242"/>
      <c r="R579" s="242"/>
      <c r="S579" s="242"/>
      <c r="T579" s="242"/>
      <c r="U579" s="242"/>
      <c r="V579" s="242"/>
      <c r="W579" s="242"/>
    </row>
    <row r="580">
      <c r="A580" s="13"/>
      <c r="B580" s="252"/>
      <c r="C580" s="252"/>
      <c r="D580" s="252"/>
      <c r="E580" s="252"/>
      <c r="F580" s="252"/>
      <c r="G580" s="252"/>
      <c r="H580" s="551"/>
      <c r="I580" s="242"/>
      <c r="J580" s="242"/>
      <c r="K580" s="242"/>
      <c r="L580" s="242"/>
      <c r="M580" s="242"/>
      <c r="N580" s="242"/>
      <c r="O580" s="242"/>
      <c r="P580" s="242"/>
      <c r="Q580" s="242"/>
      <c r="R580" s="242"/>
      <c r="S580" s="242"/>
      <c r="T580" s="242"/>
      <c r="U580" s="242"/>
      <c r="V580" s="242"/>
      <c r="W580" s="242"/>
    </row>
    <row r="581">
      <c r="A581" s="13"/>
      <c r="B581" s="252"/>
      <c r="C581" s="252"/>
      <c r="D581" s="252"/>
      <c r="E581" s="252"/>
      <c r="F581" s="252"/>
      <c r="G581" s="252"/>
      <c r="H581" s="551"/>
      <c r="I581" s="242"/>
      <c r="J581" s="242"/>
      <c r="K581" s="242"/>
      <c r="L581" s="242"/>
      <c r="M581" s="242"/>
      <c r="N581" s="242"/>
      <c r="O581" s="242"/>
      <c r="P581" s="242"/>
      <c r="Q581" s="242"/>
      <c r="R581" s="242"/>
      <c r="S581" s="242"/>
      <c r="T581" s="242"/>
      <c r="U581" s="242"/>
      <c r="V581" s="242"/>
      <c r="W581" s="242"/>
    </row>
    <row r="582">
      <c r="A582" s="13"/>
      <c r="B582" s="252"/>
      <c r="C582" s="252"/>
      <c r="D582" s="252"/>
      <c r="E582" s="252"/>
      <c r="F582" s="252"/>
      <c r="G582" s="252"/>
      <c r="H582" s="551"/>
      <c r="I582" s="242"/>
      <c r="J582" s="242"/>
      <c r="K582" s="242"/>
      <c r="L582" s="242"/>
      <c r="M582" s="242"/>
      <c r="N582" s="242"/>
      <c r="O582" s="242"/>
      <c r="P582" s="242"/>
      <c r="Q582" s="242"/>
      <c r="R582" s="242"/>
      <c r="S582" s="242"/>
      <c r="T582" s="242"/>
      <c r="U582" s="242"/>
      <c r="V582" s="242"/>
      <c r="W582" s="242"/>
    </row>
    <row r="583">
      <c r="A583" s="13"/>
      <c r="B583" s="252"/>
      <c r="C583" s="252"/>
      <c r="D583" s="252"/>
      <c r="E583" s="252"/>
      <c r="F583" s="252"/>
      <c r="G583" s="252"/>
      <c r="H583" s="551"/>
      <c r="I583" s="242"/>
      <c r="J583" s="242"/>
      <c r="K583" s="242"/>
      <c r="L583" s="242"/>
      <c r="M583" s="242"/>
      <c r="N583" s="242"/>
      <c r="O583" s="242"/>
      <c r="P583" s="242"/>
      <c r="Q583" s="242"/>
      <c r="R583" s="242"/>
      <c r="S583" s="242"/>
      <c r="T583" s="242"/>
      <c r="U583" s="242"/>
      <c r="V583" s="242"/>
      <c r="W583" s="242"/>
    </row>
    <row r="584">
      <c r="A584" s="13"/>
      <c r="B584" s="252"/>
      <c r="C584" s="252"/>
      <c r="D584" s="252"/>
      <c r="E584" s="252"/>
      <c r="F584" s="252"/>
      <c r="G584" s="252"/>
      <c r="H584" s="551"/>
      <c r="I584" s="242"/>
      <c r="J584" s="242"/>
      <c r="K584" s="242"/>
      <c r="L584" s="242"/>
      <c r="M584" s="242"/>
      <c r="N584" s="242"/>
      <c r="O584" s="242"/>
      <c r="P584" s="242"/>
      <c r="Q584" s="242"/>
      <c r="R584" s="242"/>
      <c r="S584" s="242"/>
      <c r="T584" s="242"/>
      <c r="U584" s="242"/>
      <c r="V584" s="242"/>
      <c r="W584" s="242"/>
    </row>
    <row r="585">
      <c r="A585" s="13"/>
      <c r="B585" s="252"/>
      <c r="C585" s="252"/>
      <c r="D585" s="252"/>
      <c r="E585" s="252"/>
      <c r="F585" s="252"/>
      <c r="G585" s="252"/>
      <c r="H585" s="551"/>
      <c r="I585" s="242"/>
      <c r="J585" s="242"/>
      <c r="K585" s="242"/>
      <c r="L585" s="242"/>
      <c r="M585" s="242"/>
      <c r="N585" s="242"/>
      <c r="O585" s="242"/>
      <c r="P585" s="242"/>
      <c r="Q585" s="242"/>
      <c r="R585" s="242"/>
      <c r="S585" s="242"/>
      <c r="T585" s="242"/>
      <c r="U585" s="242"/>
      <c r="V585" s="242"/>
      <c r="W585" s="242"/>
    </row>
    <row r="586">
      <c r="A586" s="13"/>
      <c r="B586" s="252"/>
      <c r="C586" s="252"/>
      <c r="D586" s="252"/>
      <c r="E586" s="252"/>
      <c r="F586" s="252"/>
      <c r="G586" s="252"/>
      <c r="H586" s="551"/>
      <c r="I586" s="242"/>
      <c r="J586" s="242"/>
      <c r="K586" s="242"/>
      <c r="L586" s="242"/>
      <c r="M586" s="242"/>
      <c r="N586" s="242"/>
      <c r="O586" s="242"/>
      <c r="P586" s="242"/>
      <c r="Q586" s="242"/>
      <c r="R586" s="242"/>
      <c r="S586" s="242"/>
      <c r="T586" s="242"/>
      <c r="U586" s="242"/>
      <c r="V586" s="242"/>
      <c r="W586" s="242"/>
    </row>
    <row r="587">
      <c r="A587" s="13"/>
      <c r="B587" s="252"/>
      <c r="C587" s="252"/>
      <c r="D587" s="252"/>
      <c r="E587" s="252"/>
      <c r="F587" s="252"/>
      <c r="G587" s="252"/>
      <c r="H587" s="551"/>
      <c r="I587" s="242"/>
      <c r="J587" s="242"/>
      <c r="K587" s="242"/>
      <c r="L587" s="242"/>
      <c r="M587" s="242"/>
      <c r="N587" s="242"/>
      <c r="O587" s="242"/>
      <c r="P587" s="242"/>
      <c r="Q587" s="242"/>
      <c r="R587" s="242"/>
      <c r="S587" s="242"/>
      <c r="T587" s="242"/>
      <c r="U587" s="242"/>
      <c r="V587" s="242"/>
      <c r="W587" s="242"/>
    </row>
    <row r="588">
      <c r="A588" s="13"/>
      <c r="B588" s="252"/>
      <c r="C588" s="252"/>
      <c r="D588" s="252"/>
      <c r="E588" s="252"/>
      <c r="F588" s="252"/>
      <c r="G588" s="252"/>
      <c r="H588" s="551"/>
      <c r="I588" s="242"/>
      <c r="J588" s="242"/>
      <c r="K588" s="242"/>
      <c r="L588" s="242"/>
      <c r="M588" s="242"/>
      <c r="N588" s="242"/>
      <c r="O588" s="242"/>
      <c r="P588" s="242"/>
      <c r="Q588" s="242"/>
      <c r="R588" s="242"/>
      <c r="S588" s="242"/>
      <c r="T588" s="242"/>
      <c r="U588" s="242"/>
      <c r="V588" s="242"/>
      <c r="W588" s="242"/>
    </row>
    <row r="589">
      <c r="A589" s="13"/>
      <c r="B589" s="252"/>
      <c r="C589" s="252"/>
      <c r="D589" s="252"/>
      <c r="E589" s="252"/>
      <c r="F589" s="252"/>
      <c r="G589" s="252"/>
      <c r="H589" s="551"/>
      <c r="I589" s="242"/>
      <c r="J589" s="242"/>
      <c r="K589" s="242"/>
      <c r="L589" s="242"/>
      <c r="M589" s="242"/>
      <c r="N589" s="242"/>
      <c r="O589" s="242"/>
      <c r="P589" s="242"/>
      <c r="Q589" s="242"/>
      <c r="R589" s="242"/>
      <c r="S589" s="242"/>
      <c r="T589" s="242"/>
      <c r="U589" s="242"/>
      <c r="V589" s="242"/>
      <c r="W589" s="242"/>
    </row>
    <row r="590">
      <c r="A590" s="13"/>
      <c r="B590" s="252"/>
      <c r="C590" s="252"/>
      <c r="D590" s="252"/>
      <c r="E590" s="252"/>
      <c r="F590" s="252"/>
      <c r="G590" s="252"/>
      <c r="H590" s="551"/>
      <c r="I590" s="242"/>
      <c r="J590" s="242"/>
      <c r="K590" s="242"/>
      <c r="L590" s="242"/>
      <c r="M590" s="242"/>
      <c r="N590" s="242"/>
      <c r="O590" s="242"/>
      <c r="P590" s="242"/>
      <c r="Q590" s="242"/>
      <c r="R590" s="242"/>
      <c r="S590" s="242"/>
      <c r="T590" s="242"/>
      <c r="U590" s="242"/>
      <c r="V590" s="242"/>
      <c r="W590" s="242"/>
    </row>
    <row r="591">
      <c r="A591" s="13"/>
      <c r="B591" s="252"/>
      <c r="C591" s="252"/>
      <c r="D591" s="252"/>
      <c r="E591" s="252"/>
      <c r="F591" s="252"/>
      <c r="G591" s="252"/>
      <c r="H591" s="551"/>
      <c r="I591" s="242"/>
      <c r="J591" s="242"/>
      <c r="K591" s="242"/>
      <c r="L591" s="242"/>
      <c r="M591" s="242"/>
      <c r="N591" s="242"/>
      <c r="O591" s="242"/>
      <c r="P591" s="242"/>
      <c r="Q591" s="242"/>
      <c r="R591" s="242"/>
      <c r="S591" s="242"/>
      <c r="T591" s="242"/>
      <c r="U591" s="242"/>
      <c r="V591" s="242"/>
      <c r="W591" s="242"/>
    </row>
    <row r="592">
      <c r="A592" s="13"/>
      <c r="B592" s="252"/>
      <c r="C592" s="252"/>
      <c r="D592" s="252"/>
      <c r="E592" s="252"/>
      <c r="F592" s="252"/>
      <c r="G592" s="252"/>
      <c r="H592" s="551"/>
      <c r="I592" s="242"/>
      <c r="J592" s="242"/>
      <c r="K592" s="242"/>
      <c r="L592" s="242"/>
      <c r="M592" s="242"/>
      <c r="N592" s="242"/>
      <c r="O592" s="242"/>
      <c r="P592" s="242"/>
      <c r="Q592" s="242"/>
      <c r="R592" s="242"/>
      <c r="S592" s="242"/>
      <c r="T592" s="242"/>
      <c r="U592" s="242"/>
      <c r="V592" s="242"/>
      <c r="W592" s="242"/>
    </row>
    <row r="593">
      <c r="A593" s="13"/>
      <c r="B593" s="252"/>
      <c r="C593" s="252"/>
      <c r="D593" s="252"/>
      <c r="E593" s="252"/>
      <c r="F593" s="252"/>
      <c r="G593" s="252"/>
      <c r="H593" s="551"/>
      <c r="I593" s="242"/>
      <c r="J593" s="242"/>
      <c r="K593" s="242"/>
      <c r="L593" s="242"/>
      <c r="M593" s="242"/>
      <c r="N593" s="242"/>
      <c r="O593" s="242"/>
      <c r="P593" s="242"/>
      <c r="Q593" s="242"/>
      <c r="R593" s="242"/>
      <c r="S593" s="242"/>
      <c r="T593" s="242"/>
      <c r="U593" s="242"/>
      <c r="V593" s="242"/>
      <c r="W593" s="242"/>
    </row>
    <row r="594">
      <c r="A594" s="13"/>
      <c r="B594" s="252"/>
      <c r="C594" s="252"/>
      <c r="D594" s="252"/>
      <c r="E594" s="252"/>
      <c r="F594" s="252"/>
      <c r="G594" s="252"/>
      <c r="H594" s="551"/>
      <c r="I594" s="242"/>
      <c r="J594" s="242"/>
      <c r="K594" s="242"/>
      <c r="L594" s="242"/>
      <c r="M594" s="242"/>
      <c r="N594" s="242"/>
      <c r="O594" s="242"/>
      <c r="P594" s="242"/>
      <c r="Q594" s="242"/>
      <c r="R594" s="242"/>
      <c r="S594" s="242"/>
      <c r="T594" s="242"/>
      <c r="U594" s="242"/>
      <c r="V594" s="242"/>
      <c r="W594" s="242"/>
    </row>
    <row r="595">
      <c r="A595" s="13"/>
      <c r="B595" s="252"/>
      <c r="C595" s="252"/>
      <c r="D595" s="252"/>
      <c r="E595" s="252"/>
      <c r="F595" s="252"/>
      <c r="G595" s="252"/>
      <c r="H595" s="551"/>
      <c r="I595" s="242"/>
      <c r="J595" s="242"/>
      <c r="K595" s="242"/>
      <c r="L595" s="242"/>
      <c r="M595" s="242"/>
      <c r="N595" s="242"/>
      <c r="O595" s="242"/>
      <c r="P595" s="242"/>
      <c r="Q595" s="242"/>
      <c r="R595" s="242"/>
      <c r="S595" s="242"/>
      <c r="T595" s="242"/>
      <c r="U595" s="242"/>
      <c r="V595" s="242"/>
      <c r="W595" s="242"/>
    </row>
    <row r="596">
      <c r="A596" s="13"/>
      <c r="B596" s="252"/>
      <c r="C596" s="252"/>
      <c r="D596" s="252"/>
      <c r="E596" s="252"/>
      <c r="F596" s="252"/>
      <c r="G596" s="252"/>
      <c r="H596" s="551"/>
      <c r="I596" s="242"/>
      <c r="J596" s="242"/>
      <c r="K596" s="242"/>
      <c r="L596" s="242"/>
      <c r="M596" s="242"/>
      <c r="N596" s="242"/>
      <c r="O596" s="242"/>
      <c r="P596" s="242"/>
      <c r="Q596" s="242"/>
      <c r="R596" s="242"/>
      <c r="S596" s="242"/>
      <c r="T596" s="242"/>
      <c r="U596" s="242"/>
      <c r="V596" s="242"/>
      <c r="W596" s="242"/>
    </row>
    <row r="597">
      <c r="A597" s="13"/>
      <c r="B597" s="252"/>
      <c r="C597" s="252"/>
      <c r="D597" s="252"/>
      <c r="E597" s="252"/>
      <c r="F597" s="252"/>
      <c r="G597" s="252"/>
      <c r="H597" s="551"/>
      <c r="I597" s="242"/>
      <c r="J597" s="242"/>
      <c r="K597" s="242"/>
      <c r="L597" s="242"/>
      <c r="M597" s="242"/>
      <c r="N597" s="242"/>
      <c r="O597" s="242"/>
      <c r="P597" s="242"/>
      <c r="Q597" s="242"/>
      <c r="R597" s="242"/>
      <c r="S597" s="242"/>
      <c r="T597" s="242"/>
      <c r="U597" s="242"/>
      <c r="V597" s="242"/>
      <c r="W597" s="242"/>
    </row>
    <row r="598">
      <c r="A598" s="13"/>
      <c r="B598" s="252"/>
      <c r="C598" s="252"/>
      <c r="D598" s="252"/>
      <c r="E598" s="252"/>
      <c r="F598" s="252"/>
      <c r="G598" s="252"/>
      <c r="H598" s="551"/>
      <c r="I598" s="242"/>
      <c r="J598" s="242"/>
      <c r="K598" s="242"/>
      <c r="L598" s="242"/>
      <c r="M598" s="242"/>
      <c r="N598" s="242"/>
      <c r="O598" s="242"/>
      <c r="P598" s="242"/>
      <c r="Q598" s="242"/>
      <c r="R598" s="242"/>
      <c r="S598" s="242"/>
      <c r="T598" s="242"/>
      <c r="U598" s="242"/>
      <c r="V598" s="242"/>
      <c r="W598" s="242"/>
    </row>
    <row r="599">
      <c r="A599" s="13"/>
      <c r="B599" s="252"/>
      <c r="C599" s="252"/>
      <c r="D599" s="252"/>
      <c r="E599" s="252"/>
      <c r="F599" s="252"/>
      <c r="G599" s="252"/>
      <c r="H599" s="551"/>
      <c r="I599" s="242"/>
      <c r="J599" s="242"/>
      <c r="K599" s="242"/>
      <c r="L599" s="242"/>
      <c r="M599" s="242"/>
      <c r="N599" s="242"/>
      <c r="O599" s="242"/>
      <c r="P599" s="242"/>
      <c r="Q599" s="242"/>
      <c r="R599" s="242"/>
      <c r="S599" s="242"/>
      <c r="T599" s="242"/>
      <c r="U599" s="242"/>
      <c r="V599" s="242"/>
      <c r="W599" s="242"/>
    </row>
    <row r="600">
      <c r="A600" s="13"/>
      <c r="B600" s="252"/>
      <c r="C600" s="252"/>
      <c r="D600" s="252"/>
      <c r="E600" s="252"/>
      <c r="F600" s="252"/>
      <c r="G600" s="252"/>
      <c r="H600" s="551"/>
      <c r="I600" s="242"/>
      <c r="J600" s="242"/>
      <c r="K600" s="242"/>
      <c r="L600" s="242"/>
      <c r="M600" s="242"/>
      <c r="N600" s="242"/>
      <c r="O600" s="242"/>
      <c r="P600" s="242"/>
      <c r="Q600" s="242"/>
      <c r="R600" s="242"/>
      <c r="S600" s="242"/>
      <c r="T600" s="242"/>
      <c r="U600" s="242"/>
      <c r="V600" s="242"/>
      <c r="W600" s="242"/>
    </row>
    <row r="601">
      <c r="A601" s="13"/>
      <c r="B601" s="252"/>
      <c r="C601" s="252"/>
      <c r="D601" s="252"/>
      <c r="E601" s="252"/>
      <c r="F601" s="252"/>
      <c r="G601" s="252"/>
      <c r="H601" s="551"/>
      <c r="I601" s="242"/>
      <c r="J601" s="242"/>
      <c r="K601" s="242"/>
      <c r="L601" s="242"/>
      <c r="M601" s="242"/>
      <c r="N601" s="242"/>
      <c r="O601" s="242"/>
      <c r="P601" s="242"/>
      <c r="Q601" s="242"/>
      <c r="R601" s="242"/>
      <c r="S601" s="242"/>
      <c r="T601" s="242"/>
      <c r="U601" s="242"/>
      <c r="V601" s="242"/>
      <c r="W601" s="242"/>
    </row>
    <row r="602">
      <c r="A602" s="13"/>
      <c r="B602" s="252"/>
      <c r="C602" s="252"/>
      <c r="D602" s="252"/>
      <c r="E602" s="252"/>
      <c r="F602" s="252"/>
      <c r="G602" s="252"/>
      <c r="H602" s="551"/>
      <c r="I602" s="242"/>
      <c r="J602" s="242"/>
      <c r="K602" s="242"/>
      <c r="L602" s="242"/>
      <c r="M602" s="242"/>
      <c r="N602" s="242"/>
      <c r="O602" s="242"/>
      <c r="P602" s="242"/>
      <c r="Q602" s="242"/>
      <c r="R602" s="242"/>
      <c r="S602" s="242"/>
      <c r="T602" s="242"/>
      <c r="U602" s="242"/>
      <c r="V602" s="242"/>
      <c r="W602" s="242"/>
    </row>
    <row r="603">
      <c r="A603" s="13"/>
      <c r="B603" s="252"/>
      <c r="C603" s="252"/>
      <c r="D603" s="252"/>
      <c r="E603" s="252"/>
      <c r="F603" s="252"/>
      <c r="G603" s="252"/>
      <c r="H603" s="551"/>
      <c r="I603" s="242"/>
      <c r="J603" s="242"/>
      <c r="K603" s="242"/>
      <c r="L603" s="242"/>
      <c r="M603" s="242"/>
      <c r="N603" s="242"/>
      <c r="O603" s="242"/>
      <c r="P603" s="242"/>
      <c r="Q603" s="242"/>
      <c r="R603" s="242"/>
      <c r="S603" s="242"/>
      <c r="T603" s="242"/>
      <c r="U603" s="242"/>
      <c r="V603" s="242"/>
      <c r="W603" s="242"/>
    </row>
    <row r="604">
      <c r="A604" s="13"/>
      <c r="B604" s="252"/>
      <c r="C604" s="252"/>
      <c r="D604" s="252"/>
      <c r="E604" s="252"/>
      <c r="F604" s="252"/>
      <c r="G604" s="252"/>
      <c r="H604" s="551"/>
      <c r="I604" s="242"/>
      <c r="J604" s="242"/>
      <c r="K604" s="242"/>
      <c r="L604" s="242"/>
      <c r="M604" s="242"/>
      <c r="N604" s="242"/>
      <c r="O604" s="242"/>
      <c r="P604" s="242"/>
      <c r="Q604" s="242"/>
      <c r="R604" s="242"/>
      <c r="S604" s="242"/>
      <c r="T604" s="242"/>
      <c r="U604" s="242"/>
      <c r="V604" s="242"/>
      <c r="W604" s="242"/>
    </row>
    <row r="605">
      <c r="A605" s="13"/>
      <c r="B605" s="252"/>
      <c r="C605" s="252"/>
      <c r="D605" s="252"/>
      <c r="E605" s="252"/>
      <c r="F605" s="252"/>
      <c r="G605" s="252"/>
      <c r="H605" s="551"/>
      <c r="I605" s="242"/>
      <c r="J605" s="242"/>
      <c r="K605" s="242"/>
      <c r="L605" s="242"/>
      <c r="M605" s="242"/>
      <c r="N605" s="242"/>
      <c r="O605" s="242"/>
      <c r="P605" s="242"/>
      <c r="Q605" s="242"/>
      <c r="R605" s="242"/>
      <c r="S605" s="242"/>
      <c r="T605" s="242"/>
      <c r="U605" s="242"/>
      <c r="V605" s="242"/>
      <c r="W605" s="242"/>
    </row>
    <row r="606">
      <c r="A606" s="13"/>
      <c r="B606" s="252"/>
      <c r="C606" s="252"/>
      <c r="D606" s="252"/>
      <c r="E606" s="252"/>
      <c r="F606" s="252"/>
      <c r="G606" s="252"/>
      <c r="H606" s="551"/>
      <c r="I606" s="242"/>
      <c r="J606" s="242"/>
      <c r="K606" s="242"/>
      <c r="L606" s="242"/>
      <c r="M606" s="242"/>
      <c r="N606" s="242"/>
      <c r="O606" s="242"/>
      <c r="P606" s="242"/>
      <c r="Q606" s="242"/>
      <c r="R606" s="242"/>
      <c r="S606" s="242"/>
      <c r="T606" s="242"/>
      <c r="U606" s="242"/>
      <c r="V606" s="242"/>
      <c r="W606" s="242"/>
    </row>
    <row r="607">
      <c r="A607" s="13"/>
      <c r="B607" s="252"/>
      <c r="C607" s="252"/>
      <c r="D607" s="252"/>
      <c r="E607" s="252"/>
      <c r="F607" s="252"/>
      <c r="G607" s="252"/>
      <c r="H607" s="551"/>
      <c r="I607" s="242"/>
      <c r="J607" s="242"/>
      <c r="K607" s="242"/>
      <c r="L607" s="242"/>
      <c r="M607" s="242"/>
      <c r="N607" s="242"/>
      <c r="O607" s="242"/>
      <c r="P607" s="242"/>
      <c r="Q607" s="242"/>
      <c r="R607" s="242"/>
      <c r="S607" s="242"/>
      <c r="T607" s="242"/>
      <c r="U607" s="242"/>
      <c r="V607" s="242"/>
      <c r="W607" s="242"/>
    </row>
    <row r="608">
      <c r="A608" s="13"/>
      <c r="B608" s="252"/>
      <c r="C608" s="252"/>
      <c r="D608" s="252"/>
      <c r="E608" s="252"/>
      <c r="F608" s="252"/>
      <c r="G608" s="252"/>
      <c r="H608" s="551"/>
      <c r="I608" s="242"/>
      <c r="J608" s="242"/>
      <c r="K608" s="242"/>
      <c r="L608" s="242"/>
      <c r="M608" s="242"/>
      <c r="N608" s="242"/>
      <c r="O608" s="242"/>
      <c r="P608" s="242"/>
      <c r="Q608" s="242"/>
      <c r="R608" s="242"/>
      <c r="S608" s="242"/>
      <c r="T608" s="242"/>
      <c r="U608" s="242"/>
      <c r="V608" s="242"/>
      <c r="W608" s="242"/>
    </row>
    <row r="609">
      <c r="A609" s="13"/>
      <c r="B609" s="252"/>
      <c r="C609" s="252"/>
      <c r="D609" s="252"/>
      <c r="E609" s="252"/>
      <c r="F609" s="252"/>
      <c r="G609" s="252"/>
      <c r="H609" s="551"/>
      <c r="I609" s="242"/>
      <c r="J609" s="242"/>
      <c r="K609" s="242"/>
      <c r="L609" s="242"/>
      <c r="M609" s="242"/>
      <c r="N609" s="242"/>
      <c r="O609" s="242"/>
      <c r="P609" s="242"/>
      <c r="Q609" s="242"/>
      <c r="R609" s="242"/>
      <c r="S609" s="242"/>
      <c r="T609" s="242"/>
      <c r="U609" s="242"/>
      <c r="V609" s="242"/>
      <c r="W609" s="242"/>
    </row>
    <row r="610">
      <c r="A610" s="13"/>
      <c r="B610" s="252"/>
      <c r="C610" s="252"/>
      <c r="D610" s="252"/>
      <c r="E610" s="252"/>
      <c r="F610" s="252"/>
      <c r="G610" s="252"/>
      <c r="H610" s="551"/>
      <c r="I610" s="242"/>
      <c r="J610" s="242"/>
      <c r="K610" s="242"/>
      <c r="L610" s="242"/>
      <c r="M610" s="242"/>
      <c r="N610" s="242"/>
      <c r="O610" s="242"/>
      <c r="P610" s="242"/>
      <c r="Q610" s="242"/>
      <c r="R610" s="242"/>
      <c r="S610" s="242"/>
      <c r="T610" s="242"/>
      <c r="U610" s="242"/>
      <c r="V610" s="242"/>
      <c r="W610" s="242"/>
    </row>
    <row r="611">
      <c r="A611" s="13"/>
      <c r="B611" s="252"/>
      <c r="C611" s="252"/>
      <c r="D611" s="252"/>
      <c r="E611" s="252"/>
      <c r="F611" s="252"/>
      <c r="G611" s="252"/>
      <c r="H611" s="551"/>
      <c r="I611" s="242"/>
      <c r="J611" s="242"/>
      <c r="K611" s="242"/>
      <c r="L611" s="242"/>
      <c r="M611" s="242"/>
      <c r="N611" s="242"/>
      <c r="O611" s="242"/>
      <c r="P611" s="242"/>
      <c r="Q611" s="242"/>
      <c r="R611" s="242"/>
      <c r="S611" s="242"/>
      <c r="T611" s="242"/>
      <c r="U611" s="242"/>
      <c r="V611" s="242"/>
      <c r="W611" s="242"/>
    </row>
    <row r="612">
      <c r="A612" s="13"/>
      <c r="B612" s="252"/>
      <c r="C612" s="252"/>
      <c r="D612" s="252"/>
      <c r="E612" s="252"/>
      <c r="F612" s="252"/>
      <c r="G612" s="252"/>
      <c r="H612" s="551"/>
      <c r="I612" s="242"/>
      <c r="J612" s="242"/>
      <c r="K612" s="242"/>
      <c r="L612" s="242"/>
      <c r="M612" s="242"/>
      <c r="N612" s="242"/>
      <c r="O612" s="242"/>
      <c r="P612" s="242"/>
      <c r="Q612" s="242"/>
      <c r="R612" s="242"/>
      <c r="S612" s="242"/>
      <c r="T612" s="242"/>
      <c r="U612" s="242"/>
      <c r="V612" s="242"/>
      <c r="W612" s="242"/>
    </row>
    <row r="613">
      <c r="A613" s="13"/>
      <c r="B613" s="252"/>
      <c r="C613" s="252"/>
      <c r="D613" s="252"/>
      <c r="E613" s="252"/>
      <c r="F613" s="252"/>
      <c r="G613" s="252"/>
      <c r="H613" s="551"/>
      <c r="I613" s="242"/>
      <c r="J613" s="242"/>
      <c r="K613" s="242"/>
      <c r="L613" s="242"/>
      <c r="M613" s="242"/>
      <c r="N613" s="242"/>
      <c r="O613" s="242"/>
      <c r="P613" s="242"/>
      <c r="Q613" s="242"/>
      <c r="R613" s="242"/>
      <c r="S613" s="242"/>
      <c r="T613" s="242"/>
      <c r="U613" s="242"/>
      <c r="V613" s="242"/>
      <c r="W613" s="242"/>
    </row>
    <row r="614">
      <c r="A614" s="13"/>
      <c r="B614" s="252"/>
      <c r="C614" s="252"/>
      <c r="D614" s="252"/>
      <c r="E614" s="252"/>
      <c r="F614" s="252"/>
      <c r="G614" s="252"/>
      <c r="H614" s="551"/>
      <c r="I614" s="242"/>
      <c r="J614" s="242"/>
      <c r="K614" s="242"/>
      <c r="L614" s="242"/>
      <c r="M614" s="242"/>
      <c r="N614" s="242"/>
      <c r="O614" s="242"/>
      <c r="P614" s="242"/>
      <c r="Q614" s="242"/>
      <c r="R614" s="242"/>
      <c r="S614" s="242"/>
      <c r="T614" s="242"/>
      <c r="U614" s="242"/>
      <c r="V614" s="242"/>
      <c r="W614" s="242"/>
    </row>
    <row r="615">
      <c r="A615" s="13"/>
      <c r="B615" s="252"/>
      <c r="C615" s="252"/>
      <c r="D615" s="252"/>
      <c r="E615" s="252"/>
      <c r="F615" s="252"/>
      <c r="G615" s="252"/>
      <c r="H615" s="551"/>
      <c r="I615" s="242"/>
      <c r="J615" s="242"/>
      <c r="K615" s="242"/>
      <c r="L615" s="242"/>
      <c r="M615" s="242"/>
      <c r="N615" s="242"/>
      <c r="O615" s="242"/>
      <c r="P615" s="242"/>
      <c r="Q615" s="242"/>
      <c r="R615" s="242"/>
      <c r="S615" s="242"/>
      <c r="T615" s="242"/>
      <c r="U615" s="242"/>
      <c r="V615" s="242"/>
      <c r="W615" s="242"/>
    </row>
    <row r="616">
      <c r="A616" s="13"/>
      <c r="B616" s="252"/>
      <c r="C616" s="252"/>
      <c r="D616" s="252"/>
      <c r="E616" s="252"/>
      <c r="F616" s="252"/>
      <c r="G616" s="252"/>
      <c r="H616" s="551"/>
      <c r="I616" s="242"/>
      <c r="J616" s="242"/>
      <c r="K616" s="242"/>
      <c r="L616" s="242"/>
      <c r="M616" s="242"/>
      <c r="N616" s="242"/>
      <c r="O616" s="242"/>
      <c r="P616" s="242"/>
      <c r="Q616" s="242"/>
      <c r="R616" s="242"/>
      <c r="S616" s="242"/>
      <c r="T616" s="242"/>
      <c r="U616" s="242"/>
      <c r="V616" s="242"/>
      <c r="W616" s="242"/>
    </row>
    <row r="617">
      <c r="A617" s="13"/>
      <c r="B617" s="252"/>
      <c r="C617" s="252"/>
      <c r="D617" s="252"/>
      <c r="E617" s="252"/>
      <c r="F617" s="252"/>
      <c r="G617" s="252"/>
      <c r="H617" s="551"/>
      <c r="I617" s="242"/>
      <c r="J617" s="242"/>
      <c r="K617" s="242"/>
      <c r="L617" s="242"/>
      <c r="M617" s="242"/>
      <c r="N617" s="242"/>
      <c r="O617" s="242"/>
      <c r="P617" s="242"/>
      <c r="Q617" s="242"/>
      <c r="R617" s="242"/>
      <c r="S617" s="242"/>
      <c r="T617" s="242"/>
      <c r="U617" s="242"/>
      <c r="V617" s="242"/>
      <c r="W617" s="242"/>
    </row>
    <row r="618">
      <c r="A618" s="13"/>
      <c r="B618" s="252"/>
      <c r="C618" s="252"/>
      <c r="D618" s="252"/>
      <c r="E618" s="252"/>
      <c r="F618" s="252"/>
      <c r="G618" s="252"/>
      <c r="H618" s="551"/>
      <c r="I618" s="242"/>
      <c r="J618" s="242"/>
      <c r="K618" s="242"/>
      <c r="L618" s="242"/>
      <c r="M618" s="242"/>
      <c r="N618" s="242"/>
      <c r="O618" s="242"/>
      <c r="P618" s="242"/>
      <c r="Q618" s="242"/>
      <c r="R618" s="242"/>
      <c r="S618" s="242"/>
      <c r="T618" s="242"/>
      <c r="U618" s="242"/>
      <c r="V618" s="242"/>
      <c r="W618" s="242"/>
    </row>
    <row r="619">
      <c r="A619" s="13"/>
      <c r="B619" s="252"/>
      <c r="C619" s="252"/>
      <c r="D619" s="252"/>
      <c r="E619" s="252"/>
      <c r="F619" s="252"/>
      <c r="G619" s="252"/>
      <c r="H619" s="551"/>
      <c r="I619" s="242"/>
      <c r="J619" s="242"/>
      <c r="K619" s="242"/>
      <c r="L619" s="242"/>
      <c r="M619" s="242"/>
      <c r="N619" s="242"/>
      <c r="O619" s="242"/>
      <c r="P619" s="242"/>
      <c r="Q619" s="242"/>
      <c r="R619" s="242"/>
      <c r="S619" s="242"/>
      <c r="T619" s="242"/>
      <c r="U619" s="242"/>
      <c r="V619" s="242"/>
      <c r="W619" s="242"/>
    </row>
    <row r="620">
      <c r="A620" s="13"/>
      <c r="B620" s="252"/>
      <c r="C620" s="252"/>
      <c r="D620" s="252"/>
      <c r="E620" s="252"/>
      <c r="F620" s="252"/>
      <c r="G620" s="252"/>
      <c r="H620" s="551"/>
      <c r="I620" s="242"/>
      <c r="J620" s="242"/>
      <c r="K620" s="242"/>
      <c r="L620" s="242"/>
      <c r="M620" s="242"/>
      <c r="N620" s="242"/>
      <c r="O620" s="242"/>
      <c r="P620" s="242"/>
      <c r="Q620" s="242"/>
      <c r="R620" s="242"/>
      <c r="S620" s="242"/>
      <c r="T620" s="242"/>
      <c r="U620" s="242"/>
      <c r="V620" s="242"/>
      <c r="W620" s="242"/>
    </row>
    <row r="621">
      <c r="A621" s="13"/>
      <c r="B621" s="252"/>
      <c r="C621" s="252"/>
      <c r="D621" s="252"/>
      <c r="E621" s="252"/>
      <c r="F621" s="252"/>
      <c r="G621" s="252"/>
      <c r="H621" s="551"/>
      <c r="I621" s="242"/>
      <c r="J621" s="242"/>
      <c r="K621" s="242"/>
      <c r="L621" s="242"/>
      <c r="M621" s="242"/>
      <c r="N621" s="242"/>
      <c r="O621" s="242"/>
      <c r="P621" s="242"/>
      <c r="Q621" s="242"/>
      <c r="R621" s="242"/>
      <c r="S621" s="242"/>
      <c r="T621" s="242"/>
      <c r="U621" s="242"/>
      <c r="V621" s="242"/>
      <c r="W621" s="242"/>
    </row>
    <row r="622">
      <c r="A622" s="13"/>
      <c r="B622" s="252"/>
      <c r="C622" s="252"/>
      <c r="D622" s="252"/>
      <c r="E622" s="252"/>
      <c r="F622" s="252"/>
      <c r="G622" s="252"/>
      <c r="H622" s="551"/>
      <c r="I622" s="242"/>
      <c r="J622" s="242"/>
      <c r="K622" s="242"/>
      <c r="L622" s="242"/>
      <c r="M622" s="242"/>
      <c r="N622" s="242"/>
      <c r="O622" s="242"/>
      <c r="P622" s="242"/>
      <c r="Q622" s="242"/>
      <c r="R622" s="242"/>
      <c r="S622" s="242"/>
      <c r="T622" s="242"/>
      <c r="U622" s="242"/>
      <c r="V622" s="242"/>
      <c r="W622" s="242"/>
    </row>
    <row r="623">
      <c r="A623" s="13"/>
      <c r="B623" s="252"/>
      <c r="C623" s="252"/>
      <c r="D623" s="252"/>
      <c r="E623" s="252"/>
      <c r="F623" s="252"/>
      <c r="G623" s="252"/>
      <c r="H623" s="551"/>
      <c r="I623" s="242"/>
      <c r="J623" s="242"/>
      <c r="K623" s="242"/>
      <c r="L623" s="242"/>
      <c r="M623" s="242"/>
      <c r="N623" s="242"/>
      <c r="O623" s="242"/>
      <c r="P623" s="242"/>
      <c r="Q623" s="242"/>
      <c r="R623" s="242"/>
      <c r="S623" s="242"/>
      <c r="T623" s="242"/>
      <c r="U623" s="242"/>
      <c r="V623" s="242"/>
      <c r="W623" s="242"/>
    </row>
    <row r="624">
      <c r="A624" s="13"/>
      <c r="B624" s="252"/>
      <c r="C624" s="252"/>
      <c r="D624" s="252"/>
      <c r="E624" s="252"/>
      <c r="F624" s="252"/>
      <c r="G624" s="252"/>
      <c r="H624" s="551"/>
      <c r="I624" s="242"/>
      <c r="J624" s="242"/>
      <c r="K624" s="242"/>
      <c r="L624" s="242"/>
      <c r="M624" s="242"/>
      <c r="N624" s="242"/>
      <c r="O624" s="242"/>
      <c r="P624" s="242"/>
      <c r="Q624" s="242"/>
      <c r="R624" s="242"/>
      <c r="S624" s="242"/>
      <c r="T624" s="242"/>
      <c r="U624" s="242"/>
      <c r="V624" s="242"/>
      <c r="W624" s="242"/>
    </row>
    <row r="625">
      <c r="A625" s="13"/>
      <c r="B625" s="252"/>
      <c r="C625" s="252"/>
      <c r="D625" s="252"/>
      <c r="E625" s="252"/>
      <c r="F625" s="252"/>
      <c r="G625" s="252"/>
      <c r="H625" s="551"/>
      <c r="I625" s="242"/>
      <c r="J625" s="242"/>
      <c r="K625" s="242"/>
      <c r="L625" s="242"/>
      <c r="M625" s="242"/>
      <c r="N625" s="242"/>
      <c r="O625" s="242"/>
      <c r="P625" s="242"/>
      <c r="Q625" s="242"/>
      <c r="R625" s="242"/>
      <c r="S625" s="242"/>
      <c r="T625" s="242"/>
      <c r="U625" s="242"/>
      <c r="V625" s="242"/>
      <c r="W625" s="242"/>
    </row>
    <row r="626">
      <c r="A626" s="13"/>
      <c r="B626" s="252"/>
      <c r="C626" s="252"/>
      <c r="D626" s="252"/>
      <c r="E626" s="252"/>
      <c r="F626" s="252"/>
      <c r="G626" s="252"/>
      <c r="H626" s="551"/>
      <c r="I626" s="242"/>
      <c r="J626" s="242"/>
      <c r="K626" s="242"/>
      <c r="L626" s="242"/>
      <c r="M626" s="242"/>
      <c r="N626" s="242"/>
      <c r="O626" s="242"/>
      <c r="P626" s="242"/>
      <c r="Q626" s="242"/>
      <c r="R626" s="242"/>
      <c r="S626" s="242"/>
      <c r="T626" s="242"/>
      <c r="U626" s="242"/>
      <c r="V626" s="242"/>
      <c r="W626" s="242"/>
    </row>
    <row r="627">
      <c r="A627" s="13"/>
      <c r="B627" s="252"/>
      <c r="C627" s="252"/>
      <c r="D627" s="252"/>
      <c r="E627" s="252"/>
      <c r="F627" s="252"/>
      <c r="G627" s="252"/>
      <c r="H627" s="551"/>
      <c r="I627" s="242"/>
      <c r="J627" s="242"/>
      <c r="K627" s="242"/>
      <c r="L627" s="242"/>
      <c r="M627" s="242"/>
      <c r="N627" s="242"/>
      <c r="O627" s="242"/>
      <c r="P627" s="242"/>
      <c r="Q627" s="242"/>
      <c r="R627" s="242"/>
      <c r="S627" s="242"/>
      <c r="T627" s="242"/>
      <c r="U627" s="242"/>
      <c r="V627" s="242"/>
      <c r="W627" s="242"/>
    </row>
    <row r="628">
      <c r="A628" s="13"/>
      <c r="B628" s="252"/>
      <c r="C628" s="252"/>
      <c r="D628" s="252"/>
      <c r="E628" s="252"/>
      <c r="F628" s="252"/>
      <c r="G628" s="252"/>
      <c r="H628" s="551"/>
      <c r="I628" s="242"/>
      <c r="J628" s="242"/>
      <c r="K628" s="242"/>
      <c r="L628" s="242"/>
      <c r="M628" s="242"/>
      <c r="N628" s="242"/>
      <c r="O628" s="242"/>
      <c r="P628" s="242"/>
      <c r="Q628" s="242"/>
      <c r="R628" s="242"/>
      <c r="S628" s="242"/>
      <c r="T628" s="242"/>
      <c r="U628" s="242"/>
      <c r="V628" s="242"/>
      <c r="W628" s="242"/>
    </row>
    <row r="629">
      <c r="A629" s="13"/>
      <c r="B629" s="252"/>
      <c r="C629" s="252"/>
      <c r="D629" s="252"/>
      <c r="E629" s="252"/>
      <c r="F629" s="252"/>
      <c r="G629" s="252"/>
      <c r="H629" s="551"/>
      <c r="I629" s="242"/>
      <c r="J629" s="242"/>
      <c r="K629" s="242"/>
      <c r="L629" s="242"/>
      <c r="M629" s="242"/>
      <c r="N629" s="242"/>
      <c r="O629" s="242"/>
      <c r="P629" s="242"/>
      <c r="Q629" s="242"/>
      <c r="R629" s="242"/>
      <c r="S629" s="242"/>
      <c r="T629" s="242"/>
      <c r="U629" s="242"/>
      <c r="V629" s="242"/>
      <c r="W629" s="242"/>
    </row>
    <row r="630">
      <c r="A630" s="13"/>
      <c r="B630" s="252"/>
      <c r="C630" s="252"/>
      <c r="D630" s="252"/>
      <c r="E630" s="252"/>
      <c r="F630" s="252"/>
      <c r="G630" s="252"/>
      <c r="H630" s="551"/>
      <c r="I630" s="242"/>
      <c r="J630" s="242"/>
      <c r="K630" s="242"/>
      <c r="L630" s="242"/>
      <c r="M630" s="242"/>
      <c r="N630" s="242"/>
      <c r="O630" s="242"/>
      <c r="P630" s="242"/>
      <c r="Q630" s="242"/>
      <c r="R630" s="242"/>
      <c r="S630" s="242"/>
      <c r="T630" s="242"/>
      <c r="U630" s="242"/>
      <c r="V630" s="242"/>
      <c r="W630" s="242"/>
    </row>
    <row r="631">
      <c r="A631" s="13"/>
      <c r="B631" s="252"/>
      <c r="C631" s="252"/>
      <c r="D631" s="252"/>
      <c r="E631" s="252"/>
      <c r="F631" s="252"/>
      <c r="G631" s="252"/>
      <c r="H631" s="551"/>
      <c r="I631" s="242"/>
      <c r="J631" s="242"/>
      <c r="K631" s="242"/>
      <c r="L631" s="242"/>
      <c r="M631" s="242"/>
      <c r="N631" s="242"/>
      <c r="O631" s="242"/>
      <c r="P631" s="242"/>
      <c r="Q631" s="242"/>
      <c r="R631" s="242"/>
      <c r="S631" s="242"/>
      <c r="T631" s="242"/>
      <c r="U631" s="242"/>
      <c r="V631" s="242"/>
      <c r="W631" s="242"/>
    </row>
    <row r="632">
      <c r="A632" s="13"/>
      <c r="B632" s="252"/>
      <c r="C632" s="252"/>
      <c r="D632" s="252"/>
      <c r="E632" s="252"/>
      <c r="F632" s="252"/>
      <c r="G632" s="252"/>
      <c r="H632" s="551"/>
      <c r="I632" s="242"/>
      <c r="J632" s="242"/>
      <c r="K632" s="242"/>
      <c r="L632" s="242"/>
      <c r="M632" s="242"/>
      <c r="N632" s="242"/>
      <c r="O632" s="242"/>
      <c r="P632" s="242"/>
      <c r="Q632" s="242"/>
      <c r="R632" s="242"/>
      <c r="S632" s="242"/>
      <c r="T632" s="242"/>
      <c r="U632" s="242"/>
      <c r="V632" s="242"/>
      <c r="W632" s="242"/>
    </row>
    <row r="633">
      <c r="A633" s="13"/>
      <c r="B633" s="252"/>
      <c r="C633" s="252"/>
      <c r="D633" s="252"/>
      <c r="E633" s="252"/>
      <c r="F633" s="252"/>
      <c r="G633" s="252"/>
      <c r="H633" s="551"/>
      <c r="I633" s="242"/>
      <c r="J633" s="242"/>
      <c r="K633" s="242"/>
      <c r="L633" s="242"/>
      <c r="M633" s="242"/>
      <c r="N633" s="242"/>
      <c r="O633" s="242"/>
      <c r="P633" s="242"/>
      <c r="Q633" s="242"/>
      <c r="R633" s="242"/>
      <c r="S633" s="242"/>
      <c r="T633" s="242"/>
      <c r="U633" s="242"/>
      <c r="V633" s="242"/>
      <c r="W633" s="242"/>
    </row>
    <row r="634">
      <c r="A634" s="13"/>
      <c r="B634" s="252"/>
      <c r="C634" s="252"/>
      <c r="D634" s="252"/>
      <c r="E634" s="252"/>
      <c r="F634" s="252"/>
      <c r="G634" s="252"/>
      <c r="H634" s="551"/>
      <c r="I634" s="242"/>
      <c r="J634" s="242"/>
      <c r="K634" s="242"/>
      <c r="L634" s="242"/>
      <c r="M634" s="242"/>
      <c r="N634" s="242"/>
      <c r="O634" s="242"/>
      <c r="P634" s="242"/>
      <c r="Q634" s="242"/>
      <c r="R634" s="242"/>
      <c r="S634" s="242"/>
      <c r="T634" s="242"/>
      <c r="U634" s="242"/>
      <c r="V634" s="242"/>
      <c r="W634" s="242"/>
    </row>
    <row r="635">
      <c r="A635" s="13"/>
      <c r="B635" s="252"/>
      <c r="C635" s="252"/>
      <c r="D635" s="252"/>
      <c r="E635" s="252"/>
      <c r="F635" s="252"/>
      <c r="G635" s="252"/>
      <c r="H635" s="551"/>
      <c r="I635" s="242"/>
      <c r="J635" s="242"/>
      <c r="K635" s="242"/>
      <c r="L635" s="242"/>
      <c r="M635" s="242"/>
      <c r="N635" s="242"/>
      <c r="O635" s="242"/>
      <c r="P635" s="242"/>
      <c r="Q635" s="242"/>
      <c r="R635" s="242"/>
      <c r="S635" s="242"/>
      <c r="T635" s="242"/>
      <c r="U635" s="242"/>
      <c r="V635" s="242"/>
      <c r="W635" s="242"/>
    </row>
    <row r="636">
      <c r="A636" s="13"/>
      <c r="B636" s="252"/>
      <c r="C636" s="252"/>
      <c r="D636" s="252"/>
      <c r="E636" s="252"/>
      <c r="F636" s="252"/>
      <c r="G636" s="252"/>
      <c r="H636" s="551"/>
      <c r="I636" s="242"/>
      <c r="J636" s="242"/>
      <c r="K636" s="242"/>
      <c r="L636" s="242"/>
      <c r="M636" s="242"/>
      <c r="N636" s="242"/>
      <c r="O636" s="242"/>
      <c r="P636" s="242"/>
      <c r="Q636" s="242"/>
      <c r="R636" s="242"/>
      <c r="S636" s="242"/>
      <c r="T636" s="242"/>
      <c r="U636" s="242"/>
      <c r="V636" s="242"/>
      <c r="W636" s="242"/>
    </row>
    <row r="637">
      <c r="A637" s="13"/>
      <c r="B637" s="252"/>
      <c r="C637" s="252"/>
      <c r="D637" s="252"/>
      <c r="E637" s="252"/>
      <c r="F637" s="252"/>
      <c r="G637" s="252"/>
      <c r="H637" s="551"/>
      <c r="I637" s="242"/>
      <c r="J637" s="242"/>
      <c r="K637" s="242"/>
      <c r="L637" s="242"/>
      <c r="M637" s="242"/>
      <c r="N637" s="242"/>
      <c r="O637" s="242"/>
      <c r="P637" s="242"/>
      <c r="Q637" s="242"/>
      <c r="R637" s="242"/>
      <c r="S637" s="242"/>
      <c r="T637" s="242"/>
      <c r="U637" s="242"/>
      <c r="V637" s="242"/>
      <c r="W637" s="242"/>
    </row>
    <row r="638">
      <c r="A638" s="13"/>
      <c r="B638" s="252"/>
      <c r="C638" s="252"/>
      <c r="D638" s="252"/>
      <c r="E638" s="252"/>
      <c r="F638" s="252"/>
      <c r="G638" s="252"/>
      <c r="H638" s="551"/>
      <c r="I638" s="242"/>
      <c r="J638" s="242"/>
      <c r="K638" s="242"/>
      <c r="L638" s="242"/>
      <c r="M638" s="242"/>
      <c r="N638" s="242"/>
      <c r="O638" s="242"/>
      <c r="P638" s="242"/>
      <c r="Q638" s="242"/>
      <c r="R638" s="242"/>
      <c r="S638" s="242"/>
      <c r="T638" s="242"/>
      <c r="U638" s="242"/>
      <c r="V638" s="242"/>
      <c r="W638" s="242"/>
    </row>
    <row r="639">
      <c r="A639" s="13"/>
      <c r="B639" s="252"/>
      <c r="C639" s="252"/>
      <c r="D639" s="252"/>
      <c r="E639" s="252"/>
      <c r="F639" s="252"/>
      <c r="G639" s="252"/>
      <c r="H639" s="551"/>
      <c r="I639" s="242"/>
      <c r="J639" s="242"/>
      <c r="K639" s="242"/>
      <c r="L639" s="242"/>
      <c r="M639" s="242"/>
      <c r="N639" s="242"/>
      <c r="O639" s="242"/>
      <c r="P639" s="242"/>
      <c r="Q639" s="242"/>
      <c r="R639" s="242"/>
      <c r="S639" s="242"/>
      <c r="T639" s="242"/>
      <c r="U639" s="242"/>
      <c r="V639" s="242"/>
      <c r="W639" s="242"/>
    </row>
    <row r="640">
      <c r="A640" s="13"/>
      <c r="B640" s="252"/>
      <c r="C640" s="252"/>
      <c r="D640" s="252"/>
      <c r="E640" s="252"/>
      <c r="F640" s="252"/>
      <c r="G640" s="252"/>
      <c r="H640" s="551"/>
      <c r="I640" s="242"/>
      <c r="J640" s="242"/>
      <c r="K640" s="242"/>
      <c r="L640" s="242"/>
      <c r="M640" s="242"/>
      <c r="N640" s="242"/>
      <c r="O640" s="242"/>
      <c r="P640" s="242"/>
      <c r="Q640" s="242"/>
      <c r="R640" s="242"/>
      <c r="S640" s="242"/>
      <c r="T640" s="242"/>
      <c r="U640" s="242"/>
      <c r="V640" s="242"/>
      <c r="W640" s="242"/>
    </row>
    <row r="641">
      <c r="A641" s="13"/>
      <c r="B641" s="252"/>
      <c r="C641" s="252"/>
      <c r="D641" s="252"/>
      <c r="E641" s="252"/>
      <c r="F641" s="252"/>
      <c r="G641" s="252"/>
      <c r="H641" s="551"/>
      <c r="I641" s="242"/>
      <c r="J641" s="242"/>
      <c r="K641" s="242"/>
      <c r="L641" s="242"/>
      <c r="M641" s="242"/>
      <c r="N641" s="242"/>
      <c r="O641" s="242"/>
      <c r="P641" s="242"/>
      <c r="Q641" s="242"/>
      <c r="R641" s="242"/>
      <c r="S641" s="242"/>
      <c r="T641" s="242"/>
      <c r="U641" s="242"/>
      <c r="V641" s="242"/>
      <c r="W641" s="242"/>
    </row>
    <row r="642">
      <c r="A642" s="13"/>
      <c r="B642" s="252"/>
      <c r="C642" s="252"/>
      <c r="D642" s="252"/>
      <c r="E642" s="252"/>
      <c r="F642" s="252"/>
      <c r="G642" s="252"/>
      <c r="H642" s="551"/>
      <c r="I642" s="242"/>
      <c r="J642" s="242"/>
      <c r="K642" s="242"/>
      <c r="L642" s="242"/>
      <c r="M642" s="242"/>
      <c r="N642" s="242"/>
      <c r="O642" s="242"/>
      <c r="P642" s="242"/>
      <c r="Q642" s="242"/>
      <c r="R642" s="242"/>
      <c r="S642" s="242"/>
      <c r="T642" s="242"/>
      <c r="U642" s="242"/>
      <c r="V642" s="242"/>
      <c r="W642" s="242"/>
    </row>
    <row r="643">
      <c r="A643" s="13"/>
      <c r="B643" s="252"/>
      <c r="C643" s="252"/>
      <c r="D643" s="252"/>
      <c r="E643" s="252"/>
      <c r="F643" s="252"/>
      <c r="G643" s="252"/>
      <c r="H643" s="551"/>
      <c r="I643" s="242"/>
      <c r="J643" s="242"/>
      <c r="K643" s="242"/>
      <c r="L643" s="242"/>
      <c r="M643" s="242"/>
      <c r="N643" s="242"/>
      <c r="O643" s="242"/>
      <c r="P643" s="242"/>
      <c r="Q643" s="242"/>
      <c r="R643" s="242"/>
      <c r="S643" s="242"/>
      <c r="T643" s="242"/>
      <c r="U643" s="242"/>
      <c r="V643" s="242"/>
      <c r="W643" s="242"/>
    </row>
    <row r="644">
      <c r="A644" s="13"/>
      <c r="B644" s="252"/>
      <c r="C644" s="252"/>
      <c r="D644" s="252"/>
      <c r="E644" s="252"/>
      <c r="F644" s="252"/>
      <c r="G644" s="252"/>
      <c r="H644" s="551"/>
      <c r="I644" s="242"/>
      <c r="J644" s="242"/>
      <c r="K644" s="242"/>
      <c r="L644" s="242"/>
      <c r="M644" s="242"/>
      <c r="N644" s="242"/>
      <c r="O644" s="242"/>
      <c r="P644" s="242"/>
      <c r="Q644" s="242"/>
      <c r="R644" s="242"/>
      <c r="S644" s="242"/>
      <c r="T644" s="242"/>
      <c r="U644" s="242"/>
      <c r="V644" s="242"/>
      <c r="W644" s="242"/>
    </row>
    <row r="645">
      <c r="A645" s="13"/>
      <c r="B645" s="252"/>
      <c r="C645" s="252"/>
      <c r="D645" s="252"/>
      <c r="E645" s="252"/>
      <c r="F645" s="252"/>
      <c r="G645" s="252"/>
      <c r="H645" s="551"/>
      <c r="I645" s="242"/>
      <c r="J645" s="242"/>
      <c r="K645" s="242"/>
      <c r="L645" s="242"/>
      <c r="M645" s="242"/>
      <c r="N645" s="242"/>
      <c r="O645" s="242"/>
      <c r="P645" s="242"/>
      <c r="Q645" s="242"/>
      <c r="R645" s="242"/>
      <c r="S645" s="242"/>
      <c r="T645" s="242"/>
      <c r="U645" s="242"/>
      <c r="V645" s="242"/>
      <c r="W645" s="242"/>
    </row>
    <row r="646">
      <c r="A646" s="13"/>
      <c r="B646" s="252"/>
      <c r="C646" s="252"/>
      <c r="D646" s="252"/>
      <c r="E646" s="252"/>
      <c r="F646" s="252"/>
      <c r="G646" s="252"/>
      <c r="H646" s="551"/>
      <c r="I646" s="242"/>
      <c r="J646" s="242"/>
      <c r="K646" s="242"/>
      <c r="L646" s="242"/>
      <c r="M646" s="242"/>
      <c r="N646" s="242"/>
      <c r="O646" s="242"/>
      <c r="P646" s="242"/>
      <c r="Q646" s="242"/>
      <c r="R646" s="242"/>
      <c r="S646" s="242"/>
      <c r="T646" s="242"/>
      <c r="U646" s="242"/>
      <c r="V646" s="242"/>
      <c r="W646" s="242"/>
    </row>
    <row r="647">
      <c r="A647" s="13"/>
      <c r="B647" s="252"/>
      <c r="C647" s="252"/>
      <c r="D647" s="252"/>
      <c r="E647" s="252"/>
      <c r="F647" s="252"/>
      <c r="G647" s="252"/>
      <c r="H647" s="551"/>
      <c r="I647" s="242"/>
      <c r="J647" s="242"/>
      <c r="K647" s="242"/>
      <c r="L647" s="242"/>
      <c r="M647" s="242"/>
      <c r="N647" s="242"/>
      <c r="O647" s="242"/>
      <c r="P647" s="242"/>
      <c r="Q647" s="242"/>
      <c r="R647" s="242"/>
      <c r="S647" s="242"/>
      <c r="T647" s="242"/>
      <c r="U647" s="242"/>
      <c r="V647" s="242"/>
      <c r="W647" s="242"/>
    </row>
    <row r="648">
      <c r="A648" s="13"/>
      <c r="B648" s="252"/>
      <c r="C648" s="252"/>
      <c r="D648" s="252"/>
      <c r="E648" s="252"/>
      <c r="F648" s="252"/>
      <c r="G648" s="252"/>
      <c r="H648" s="551"/>
      <c r="I648" s="242"/>
      <c r="J648" s="242"/>
      <c r="K648" s="242"/>
      <c r="L648" s="242"/>
      <c r="M648" s="242"/>
      <c r="N648" s="242"/>
      <c r="O648" s="242"/>
      <c r="P648" s="242"/>
      <c r="Q648" s="242"/>
      <c r="R648" s="242"/>
      <c r="S648" s="242"/>
      <c r="T648" s="242"/>
      <c r="U648" s="242"/>
      <c r="V648" s="242"/>
      <c r="W648" s="242"/>
    </row>
    <row r="649">
      <c r="A649" s="13"/>
      <c r="B649" s="252"/>
      <c r="C649" s="252"/>
      <c r="D649" s="252"/>
      <c r="E649" s="252"/>
      <c r="F649" s="252"/>
      <c r="G649" s="252"/>
      <c r="H649" s="551"/>
      <c r="I649" s="242"/>
      <c r="J649" s="242"/>
      <c r="K649" s="242"/>
      <c r="L649" s="242"/>
      <c r="M649" s="242"/>
      <c r="N649" s="242"/>
      <c r="O649" s="242"/>
      <c r="P649" s="242"/>
      <c r="Q649" s="242"/>
      <c r="R649" s="242"/>
      <c r="S649" s="242"/>
      <c r="T649" s="242"/>
      <c r="U649" s="242"/>
      <c r="V649" s="242"/>
      <c r="W649" s="242"/>
    </row>
    <row r="650">
      <c r="A650" s="13"/>
      <c r="B650" s="252"/>
      <c r="C650" s="252"/>
      <c r="D650" s="252"/>
      <c r="E650" s="252"/>
      <c r="F650" s="252"/>
      <c r="G650" s="252"/>
      <c r="H650" s="551"/>
      <c r="I650" s="242"/>
      <c r="J650" s="242"/>
      <c r="K650" s="242"/>
      <c r="L650" s="242"/>
      <c r="M650" s="242"/>
      <c r="N650" s="242"/>
      <c r="O650" s="242"/>
      <c r="P650" s="242"/>
      <c r="Q650" s="242"/>
      <c r="R650" s="242"/>
      <c r="S650" s="242"/>
      <c r="T650" s="242"/>
      <c r="U650" s="242"/>
      <c r="V650" s="242"/>
      <c r="W650" s="242"/>
    </row>
    <row r="651">
      <c r="A651" s="13"/>
      <c r="B651" s="252"/>
      <c r="C651" s="252"/>
      <c r="D651" s="252"/>
      <c r="E651" s="252"/>
      <c r="F651" s="252"/>
      <c r="G651" s="252"/>
      <c r="H651" s="551"/>
      <c r="I651" s="242"/>
      <c r="J651" s="242"/>
      <c r="K651" s="242"/>
      <c r="L651" s="242"/>
      <c r="M651" s="242"/>
      <c r="N651" s="242"/>
      <c r="O651" s="242"/>
      <c r="P651" s="242"/>
      <c r="Q651" s="242"/>
      <c r="R651" s="242"/>
      <c r="S651" s="242"/>
      <c r="T651" s="242"/>
      <c r="U651" s="242"/>
      <c r="V651" s="242"/>
      <c r="W651" s="242"/>
    </row>
    <row r="652">
      <c r="A652" s="13"/>
      <c r="B652" s="252"/>
      <c r="C652" s="252"/>
      <c r="D652" s="252"/>
      <c r="E652" s="252"/>
      <c r="F652" s="252"/>
      <c r="G652" s="252"/>
      <c r="H652" s="551"/>
      <c r="I652" s="242"/>
      <c r="J652" s="242"/>
      <c r="K652" s="242"/>
      <c r="L652" s="242"/>
      <c r="M652" s="242"/>
      <c r="N652" s="242"/>
      <c r="O652" s="242"/>
      <c r="P652" s="242"/>
      <c r="Q652" s="242"/>
      <c r="R652" s="242"/>
      <c r="S652" s="242"/>
      <c r="T652" s="242"/>
      <c r="U652" s="242"/>
      <c r="V652" s="242"/>
      <c r="W652" s="242"/>
    </row>
    <row r="653">
      <c r="A653" s="13"/>
      <c r="B653" s="252"/>
      <c r="C653" s="252"/>
      <c r="D653" s="252"/>
      <c r="E653" s="252"/>
      <c r="F653" s="252"/>
      <c r="G653" s="252"/>
      <c r="H653" s="551"/>
      <c r="I653" s="242"/>
      <c r="J653" s="242"/>
      <c r="K653" s="242"/>
      <c r="L653" s="242"/>
      <c r="M653" s="242"/>
      <c r="N653" s="242"/>
      <c r="O653" s="242"/>
      <c r="P653" s="242"/>
      <c r="Q653" s="242"/>
      <c r="R653" s="242"/>
      <c r="S653" s="242"/>
      <c r="T653" s="242"/>
      <c r="U653" s="242"/>
      <c r="V653" s="242"/>
      <c r="W653" s="242"/>
    </row>
    <row r="654">
      <c r="A654" s="13"/>
      <c r="B654" s="252"/>
      <c r="C654" s="252"/>
      <c r="D654" s="252"/>
      <c r="E654" s="252"/>
      <c r="F654" s="252"/>
      <c r="G654" s="252"/>
      <c r="H654" s="551"/>
      <c r="I654" s="242"/>
      <c r="J654" s="242"/>
      <c r="K654" s="242"/>
      <c r="L654" s="242"/>
      <c r="M654" s="242"/>
      <c r="N654" s="242"/>
      <c r="O654" s="242"/>
      <c r="P654" s="242"/>
      <c r="Q654" s="242"/>
      <c r="R654" s="242"/>
      <c r="S654" s="242"/>
      <c r="T654" s="242"/>
      <c r="U654" s="242"/>
      <c r="V654" s="242"/>
      <c r="W654" s="242"/>
    </row>
    <row r="655">
      <c r="A655" s="13"/>
      <c r="B655" s="252"/>
      <c r="C655" s="252"/>
      <c r="D655" s="252"/>
      <c r="E655" s="252"/>
      <c r="F655" s="252"/>
      <c r="G655" s="252"/>
      <c r="H655" s="551"/>
      <c r="I655" s="242"/>
      <c r="J655" s="242"/>
      <c r="K655" s="242"/>
      <c r="L655" s="242"/>
      <c r="M655" s="242"/>
      <c r="N655" s="242"/>
      <c r="O655" s="242"/>
      <c r="P655" s="242"/>
      <c r="Q655" s="242"/>
      <c r="R655" s="242"/>
      <c r="S655" s="242"/>
      <c r="T655" s="242"/>
      <c r="U655" s="242"/>
      <c r="V655" s="242"/>
      <c r="W655" s="242"/>
    </row>
    <row r="656">
      <c r="A656" s="13"/>
      <c r="B656" s="252"/>
      <c r="C656" s="252"/>
      <c r="D656" s="252"/>
      <c r="E656" s="252"/>
      <c r="F656" s="252"/>
      <c r="G656" s="252"/>
      <c r="H656" s="551"/>
      <c r="I656" s="242"/>
      <c r="J656" s="242"/>
      <c r="K656" s="242"/>
      <c r="L656" s="242"/>
      <c r="M656" s="242"/>
      <c r="N656" s="242"/>
      <c r="O656" s="242"/>
      <c r="P656" s="242"/>
      <c r="Q656" s="242"/>
      <c r="R656" s="242"/>
      <c r="S656" s="242"/>
      <c r="T656" s="242"/>
      <c r="U656" s="242"/>
      <c r="V656" s="242"/>
      <c r="W656" s="242"/>
    </row>
    <row r="657">
      <c r="A657" s="13"/>
      <c r="B657" s="252"/>
      <c r="C657" s="252"/>
      <c r="D657" s="252"/>
      <c r="E657" s="252"/>
      <c r="F657" s="252"/>
      <c r="G657" s="252"/>
      <c r="H657" s="551"/>
      <c r="I657" s="242"/>
      <c r="J657" s="242"/>
      <c r="K657" s="242"/>
      <c r="L657" s="242"/>
      <c r="M657" s="242"/>
      <c r="N657" s="242"/>
      <c r="O657" s="242"/>
      <c r="P657" s="242"/>
      <c r="Q657" s="242"/>
      <c r="R657" s="242"/>
      <c r="S657" s="242"/>
      <c r="T657" s="242"/>
      <c r="U657" s="242"/>
      <c r="V657" s="242"/>
      <c r="W657" s="242"/>
    </row>
    <row r="658">
      <c r="A658" s="13"/>
      <c r="B658" s="252"/>
      <c r="C658" s="252"/>
      <c r="D658" s="252"/>
      <c r="E658" s="252"/>
      <c r="F658" s="252"/>
      <c r="G658" s="252"/>
      <c r="H658" s="551"/>
      <c r="I658" s="242"/>
      <c r="J658" s="242"/>
      <c r="K658" s="242"/>
      <c r="L658" s="242"/>
      <c r="M658" s="242"/>
      <c r="N658" s="242"/>
      <c r="O658" s="242"/>
      <c r="P658" s="242"/>
      <c r="Q658" s="242"/>
      <c r="R658" s="242"/>
      <c r="S658" s="242"/>
      <c r="T658" s="242"/>
      <c r="U658" s="242"/>
      <c r="V658" s="242"/>
      <c r="W658" s="242"/>
    </row>
    <row r="659">
      <c r="A659" s="13"/>
      <c r="B659" s="252"/>
      <c r="C659" s="252"/>
      <c r="D659" s="252"/>
      <c r="E659" s="252"/>
      <c r="F659" s="252"/>
      <c r="G659" s="252"/>
      <c r="H659" s="551"/>
      <c r="I659" s="242"/>
      <c r="J659" s="242"/>
      <c r="K659" s="242"/>
      <c r="L659" s="242"/>
      <c r="M659" s="242"/>
      <c r="N659" s="242"/>
      <c r="O659" s="242"/>
      <c r="P659" s="242"/>
      <c r="Q659" s="242"/>
      <c r="R659" s="242"/>
      <c r="S659" s="242"/>
      <c r="T659" s="242"/>
      <c r="U659" s="242"/>
      <c r="V659" s="242"/>
      <c r="W659" s="242"/>
    </row>
    <row r="660">
      <c r="A660" s="13"/>
      <c r="B660" s="252"/>
      <c r="C660" s="252"/>
      <c r="D660" s="252"/>
      <c r="E660" s="252"/>
      <c r="F660" s="252"/>
      <c r="G660" s="252"/>
      <c r="H660" s="551"/>
      <c r="I660" s="242"/>
      <c r="J660" s="242"/>
      <c r="K660" s="242"/>
      <c r="L660" s="242"/>
      <c r="M660" s="242"/>
      <c r="N660" s="242"/>
      <c r="O660" s="242"/>
      <c r="P660" s="242"/>
      <c r="Q660" s="242"/>
      <c r="R660" s="242"/>
      <c r="S660" s="242"/>
      <c r="T660" s="242"/>
      <c r="U660" s="242"/>
      <c r="V660" s="242"/>
      <c r="W660" s="242"/>
    </row>
    <row r="661">
      <c r="A661" s="13"/>
      <c r="B661" s="252"/>
      <c r="C661" s="252"/>
      <c r="D661" s="252"/>
      <c r="E661" s="252"/>
      <c r="F661" s="252"/>
      <c r="G661" s="252"/>
      <c r="H661" s="551"/>
      <c r="I661" s="242"/>
      <c r="J661" s="242"/>
      <c r="K661" s="242"/>
      <c r="L661" s="242"/>
      <c r="M661" s="242"/>
      <c r="N661" s="242"/>
      <c r="O661" s="242"/>
      <c r="P661" s="242"/>
      <c r="Q661" s="242"/>
      <c r="R661" s="242"/>
      <c r="S661" s="242"/>
      <c r="T661" s="242"/>
      <c r="U661" s="242"/>
      <c r="V661" s="242"/>
      <c r="W661" s="242"/>
    </row>
    <row r="662">
      <c r="A662" s="13"/>
      <c r="B662" s="252"/>
      <c r="C662" s="252"/>
      <c r="D662" s="252"/>
      <c r="E662" s="252"/>
      <c r="F662" s="252"/>
      <c r="G662" s="252"/>
      <c r="H662" s="551"/>
      <c r="I662" s="242"/>
      <c r="J662" s="242"/>
      <c r="K662" s="242"/>
      <c r="L662" s="242"/>
      <c r="M662" s="242"/>
      <c r="N662" s="242"/>
      <c r="O662" s="242"/>
      <c r="P662" s="242"/>
      <c r="Q662" s="242"/>
      <c r="R662" s="242"/>
      <c r="S662" s="242"/>
      <c r="T662" s="242"/>
      <c r="U662" s="242"/>
      <c r="V662" s="242"/>
      <c r="W662" s="242"/>
    </row>
    <row r="663">
      <c r="A663" s="13"/>
      <c r="B663" s="252"/>
      <c r="C663" s="252"/>
      <c r="D663" s="252"/>
      <c r="E663" s="252"/>
      <c r="F663" s="252"/>
      <c r="G663" s="252"/>
      <c r="H663" s="551"/>
      <c r="I663" s="242"/>
      <c r="J663" s="242"/>
      <c r="K663" s="242"/>
      <c r="L663" s="242"/>
      <c r="M663" s="242"/>
      <c r="N663" s="242"/>
      <c r="O663" s="242"/>
      <c r="P663" s="242"/>
      <c r="Q663" s="242"/>
      <c r="R663" s="242"/>
      <c r="S663" s="242"/>
      <c r="T663" s="242"/>
      <c r="U663" s="242"/>
      <c r="V663" s="242"/>
      <c r="W663" s="242"/>
    </row>
    <row r="664">
      <c r="A664" s="13"/>
      <c r="B664" s="252"/>
      <c r="C664" s="252"/>
      <c r="D664" s="252"/>
      <c r="E664" s="252"/>
      <c r="F664" s="252"/>
      <c r="G664" s="252"/>
      <c r="H664" s="551"/>
      <c r="I664" s="242"/>
      <c r="J664" s="242"/>
      <c r="K664" s="242"/>
      <c r="L664" s="242"/>
      <c r="M664" s="242"/>
      <c r="N664" s="242"/>
      <c r="O664" s="242"/>
      <c r="P664" s="242"/>
      <c r="Q664" s="242"/>
      <c r="R664" s="242"/>
      <c r="S664" s="242"/>
      <c r="T664" s="242"/>
      <c r="U664" s="242"/>
      <c r="V664" s="242"/>
      <c r="W664" s="242"/>
    </row>
    <row r="665">
      <c r="A665" s="13"/>
      <c r="B665" s="252"/>
      <c r="C665" s="252"/>
      <c r="D665" s="252"/>
      <c r="E665" s="252"/>
      <c r="F665" s="252"/>
      <c r="G665" s="252"/>
      <c r="H665" s="551"/>
      <c r="I665" s="242"/>
      <c r="J665" s="242"/>
      <c r="K665" s="242"/>
      <c r="L665" s="242"/>
      <c r="M665" s="242"/>
      <c r="N665" s="242"/>
      <c r="O665" s="242"/>
      <c r="P665" s="242"/>
      <c r="Q665" s="242"/>
      <c r="R665" s="242"/>
      <c r="S665" s="242"/>
      <c r="T665" s="242"/>
      <c r="U665" s="242"/>
      <c r="V665" s="242"/>
      <c r="W665" s="242"/>
    </row>
    <row r="666">
      <c r="A666" s="13"/>
      <c r="B666" s="252"/>
      <c r="C666" s="252"/>
      <c r="D666" s="252"/>
      <c r="E666" s="252"/>
      <c r="F666" s="252"/>
      <c r="G666" s="252"/>
      <c r="H666" s="551"/>
      <c r="I666" s="242"/>
      <c r="J666" s="242"/>
      <c r="K666" s="242"/>
      <c r="L666" s="242"/>
      <c r="M666" s="242"/>
      <c r="N666" s="242"/>
      <c r="O666" s="242"/>
      <c r="P666" s="242"/>
      <c r="Q666" s="242"/>
      <c r="R666" s="242"/>
      <c r="S666" s="242"/>
      <c r="T666" s="242"/>
      <c r="U666" s="242"/>
      <c r="V666" s="242"/>
      <c r="W666" s="242"/>
    </row>
    <row r="667">
      <c r="A667" s="13"/>
      <c r="B667" s="252"/>
      <c r="C667" s="252"/>
      <c r="D667" s="252"/>
      <c r="E667" s="252"/>
      <c r="F667" s="252"/>
      <c r="G667" s="252"/>
      <c r="H667" s="551"/>
      <c r="I667" s="242"/>
      <c r="J667" s="242"/>
      <c r="K667" s="242"/>
      <c r="L667" s="242"/>
      <c r="M667" s="242"/>
      <c r="N667" s="242"/>
      <c r="O667" s="242"/>
      <c r="P667" s="242"/>
      <c r="Q667" s="242"/>
      <c r="R667" s="242"/>
      <c r="S667" s="242"/>
      <c r="T667" s="242"/>
      <c r="U667" s="242"/>
      <c r="V667" s="242"/>
      <c r="W667" s="242"/>
    </row>
    <row r="668">
      <c r="A668" s="13"/>
      <c r="B668" s="252"/>
      <c r="C668" s="252"/>
      <c r="D668" s="252"/>
      <c r="E668" s="252"/>
      <c r="F668" s="252"/>
      <c r="G668" s="252"/>
      <c r="H668" s="551"/>
      <c r="I668" s="242"/>
      <c r="J668" s="242"/>
      <c r="K668" s="242"/>
      <c r="L668" s="242"/>
      <c r="M668" s="242"/>
      <c r="N668" s="242"/>
      <c r="O668" s="242"/>
      <c r="P668" s="242"/>
      <c r="Q668" s="242"/>
      <c r="R668" s="242"/>
      <c r="S668" s="242"/>
      <c r="T668" s="242"/>
      <c r="U668" s="242"/>
      <c r="V668" s="242"/>
      <c r="W668" s="242"/>
    </row>
    <row r="669">
      <c r="A669" s="13"/>
      <c r="B669" s="252"/>
      <c r="C669" s="252"/>
      <c r="D669" s="252"/>
      <c r="E669" s="252"/>
      <c r="F669" s="252"/>
      <c r="G669" s="252"/>
      <c r="H669" s="551"/>
      <c r="I669" s="242"/>
      <c r="J669" s="242"/>
      <c r="K669" s="242"/>
      <c r="L669" s="242"/>
      <c r="M669" s="242"/>
      <c r="N669" s="242"/>
      <c r="O669" s="242"/>
      <c r="P669" s="242"/>
      <c r="Q669" s="242"/>
      <c r="R669" s="242"/>
      <c r="S669" s="242"/>
      <c r="T669" s="242"/>
      <c r="U669" s="242"/>
      <c r="V669" s="242"/>
      <c r="W669" s="242"/>
    </row>
    <row r="670">
      <c r="A670" s="13"/>
      <c r="B670" s="252"/>
      <c r="C670" s="252"/>
      <c r="D670" s="252"/>
      <c r="E670" s="252"/>
      <c r="F670" s="252"/>
      <c r="G670" s="252"/>
      <c r="H670" s="551"/>
      <c r="I670" s="242"/>
      <c r="J670" s="242"/>
      <c r="K670" s="242"/>
      <c r="L670" s="242"/>
      <c r="M670" s="242"/>
      <c r="N670" s="242"/>
      <c r="O670" s="242"/>
      <c r="P670" s="242"/>
      <c r="Q670" s="242"/>
      <c r="R670" s="242"/>
      <c r="S670" s="242"/>
      <c r="T670" s="242"/>
      <c r="U670" s="242"/>
      <c r="V670" s="242"/>
      <c r="W670" s="242"/>
    </row>
    <row r="671">
      <c r="A671" s="13"/>
      <c r="B671" s="252"/>
      <c r="C671" s="252"/>
      <c r="D671" s="252"/>
      <c r="E671" s="252"/>
      <c r="F671" s="252"/>
      <c r="G671" s="252"/>
      <c r="H671" s="551"/>
      <c r="I671" s="242"/>
      <c r="J671" s="242"/>
      <c r="K671" s="242"/>
      <c r="L671" s="242"/>
      <c r="M671" s="242"/>
      <c r="N671" s="242"/>
      <c r="O671" s="242"/>
      <c r="P671" s="242"/>
      <c r="Q671" s="242"/>
      <c r="R671" s="242"/>
      <c r="S671" s="242"/>
      <c r="T671" s="242"/>
      <c r="U671" s="242"/>
      <c r="V671" s="242"/>
      <c r="W671" s="242"/>
    </row>
    <row r="672">
      <c r="A672" s="13"/>
      <c r="B672" s="252"/>
      <c r="C672" s="252"/>
      <c r="D672" s="252"/>
      <c r="E672" s="252"/>
      <c r="F672" s="252"/>
      <c r="G672" s="252"/>
      <c r="H672" s="551"/>
      <c r="I672" s="242"/>
      <c r="J672" s="242"/>
      <c r="K672" s="242"/>
      <c r="L672" s="242"/>
      <c r="M672" s="242"/>
      <c r="N672" s="242"/>
      <c r="O672" s="242"/>
      <c r="P672" s="242"/>
      <c r="Q672" s="242"/>
      <c r="R672" s="242"/>
      <c r="S672" s="242"/>
      <c r="T672" s="242"/>
      <c r="U672" s="242"/>
      <c r="V672" s="242"/>
      <c r="W672" s="242"/>
    </row>
    <row r="673">
      <c r="A673" s="13"/>
      <c r="B673" s="252"/>
      <c r="C673" s="252"/>
      <c r="D673" s="252"/>
      <c r="E673" s="252"/>
      <c r="F673" s="252"/>
      <c r="G673" s="252"/>
      <c r="H673" s="551"/>
      <c r="I673" s="242"/>
      <c r="J673" s="242"/>
      <c r="K673" s="242"/>
      <c r="L673" s="242"/>
      <c r="M673" s="242"/>
      <c r="N673" s="242"/>
      <c r="O673" s="242"/>
      <c r="P673" s="242"/>
      <c r="Q673" s="242"/>
      <c r="R673" s="242"/>
      <c r="S673" s="242"/>
      <c r="T673" s="242"/>
      <c r="U673" s="242"/>
      <c r="V673" s="242"/>
      <c r="W673" s="242"/>
    </row>
    <row r="674">
      <c r="A674" s="13"/>
      <c r="B674" s="252"/>
      <c r="C674" s="252"/>
      <c r="D674" s="252"/>
      <c r="E674" s="252"/>
      <c r="F674" s="252"/>
      <c r="G674" s="252"/>
      <c r="H674" s="551"/>
      <c r="I674" s="242"/>
      <c r="J674" s="242"/>
      <c r="K674" s="242"/>
      <c r="L674" s="242"/>
      <c r="M674" s="242"/>
      <c r="N674" s="242"/>
      <c r="O674" s="242"/>
      <c r="P674" s="242"/>
      <c r="Q674" s="242"/>
      <c r="R674" s="242"/>
      <c r="S674" s="242"/>
      <c r="T674" s="242"/>
      <c r="U674" s="242"/>
      <c r="V674" s="242"/>
      <c r="W674" s="242"/>
    </row>
    <row r="675">
      <c r="A675" s="13"/>
      <c r="B675" s="252"/>
      <c r="C675" s="252"/>
      <c r="D675" s="252"/>
      <c r="E675" s="252"/>
      <c r="F675" s="252"/>
      <c r="G675" s="252"/>
      <c r="H675" s="551"/>
      <c r="I675" s="242"/>
      <c r="J675" s="242"/>
      <c r="K675" s="242"/>
      <c r="L675" s="242"/>
      <c r="M675" s="242"/>
      <c r="N675" s="242"/>
      <c r="O675" s="242"/>
      <c r="P675" s="242"/>
      <c r="Q675" s="242"/>
      <c r="R675" s="242"/>
      <c r="S675" s="242"/>
      <c r="T675" s="242"/>
      <c r="U675" s="242"/>
      <c r="V675" s="242"/>
      <c r="W675" s="242"/>
    </row>
    <row r="676">
      <c r="A676" s="13"/>
      <c r="B676" s="252"/>
      <c r="C676" s="252"/>
      <c r="D676" s="252"/>
      <c r="E676" s="252"/>
      <c r="F676" s="252"/>
      <c r="G676" s="252"/>
      <c r="H676" s="551"/>
      <c r="I676" s="242"/>
      <c r="J676" s="242"/>
      <c r="K676" s="242"/>
      <c r="L676" s="242"/>
      <c r="M676" s="242"/>
      <c r="N676" s="242"/>
      <c r="O676" s="242"/>
      <c r="P676" s="242"/>
      <c r="Q676" s="242"/>
      <c r="R676" s="242"/>
      <c r="S676" s="242"/>
      <c r="T676" s="242"/>
      <c r="U676" s="242"/>
      <c r="V676" s="242"/>
      <c r="W676" s="242"/>
    </row>
    <row r="677">
      <c r="A677" s="13"/>
      <c r="B677" s="252"/>
      <c r="C677" s="252"/>
      <c r="D677" s="252"/>
      <c r="E677" s="252"/>
      <c r="F677" s="252"/>
      <c r="G677" s="252"/>
      <c r="H677" s="551"/>
      <c r="I677" s="242"/>
      <c r="J677" s="242"/>
      <c r="K677" s="242"/>
      <c r="L677" s="242"/>
      <c r="M677" s="242"/>
      <c r="N677" s="242"/>
      <c r="O677" s="242"/>
      <c r="P677" s="242"/>
      <c r="Q677" s="242"/>
      <c r="R677" s="242"/>
      <c r="S677" s="242"/>
      <c r="T677" s="242"/>
      <c r="U677" s="242"/>
      <c r="V677" s="242"/>
      <c r="W677" s="242"/>
    </row>
    <row r="678">
      <c r="A678" s="13"/>
      <c r="B678" s="252"/>
      <c r="C678" s="252"/>
      <c r="D678" s="252"/>
      <c r="E678" s="252"/>
      <c r="F678" s="252"/>
      <c r="G678" s="252"/>
      <c r="H678" s="551"/>
      <c r="I678" s="242"/>
      <c r="J678" s="242"/>
      <c r="K678" s="242"/>
      <c r="L678" s="242"/>
      <c r="M678" s="242"/>
      <c r="N678" s="242"/>
      <c r="O678" s="242"/>
      <c r="P678" s="242"/>
      <c r="Q678" s="242"/>
      <c r="R678" s="242"/>
      <c r="S678" s="242"/>
      <c r="T678" s="242"/>
      <c r="U678" s="242"/>
      <c r="V678" s="242"/>
      <c r="W678" s="242"/>
    </row>
    <row r="679">
      <c r="A679" s="13"/>
      <c r="B679" s="252"/>
      <c r="C679" s="252"/>
      <c r="D679" s="252"/>
      <c r="E679" s="252"/>
      <c r="F679" s="252"/>
      <c r="G679" s="252"/>
      <c r="H679" s="551"/>
      <c r="I679" s="242"/>
      <c r="J679" s="242"/>
      <c r="K679" s="242"/>
      <c r="L679" s="242"/>
      <c r="M679" s="242"/>
      <c r="N679" s="242"/>
      <c r="O679" s="242"/>
      <c r="P679" s="242"/>
      <c r="Q679" s="242"/>
      <c r="R679" s="242"/>
      <c r="S679" s="242"/>
      <c r="T679" s="242"/>
      <c r="U679" s="242"/>
      <c r="V679" s="242"/>
      <c r="W679" s="242"/>
    </row>
    <row r="680">
      <c r="A680" s="13"/>
      <c r="B680" s="252"/>
      <c r="C680" s="252"/>
      <c r="D680" s="252"/>
      <c r="E680" s="252"/>
      <c r="F680" s="252"/>
      <c r="G680" s="252"/>
      <c r="H680" s="551"/>
      <c r="I680" s="242"/>
      <c r="J680" s="242"/>
      <c r="K680" s="242"/>
      <c r="L680" s="242"/>
      <c r="M680" s="242"/>
      <c r="N680" s="242"/>
      <c r="O680" s="242"/>
      <c r="P680" s="242"/>
      <c r="Q680" s="242"/>
      <c r="R680" s="242"/>
      <c r="S680" s="242"/>
      <c r="T680" s="242"/>
      <c r="U680" s="242"/>
      <c r="V680" s="242"/>
      <c r="W680" s="242"/>
    </row>
    <row r="681">
      <c r="A681" s="13"/>
      <c r="B681" s="252"/>
      <c r="C681" s="252"/>
      <c r="D681" s="252"/>
      <c r="E681" s="252"/>
      <c r="F681" s="252"/>
      <c r="G681" s="252"/>
      <c r="H681" s="551"/>
      <c r="I681" s="242"/>
      <c r="J681" s="242"/>
      <c r="K681" s="242"/>
      <c r="L681" s="242"/>
      <c r="M681" s="242"/>
      <c r="N681" s="242"/>
      <c r="O681" s="242"/>
      <c r="P681" s="242"/>
      <c r="Q681" s="242"/>
      <c r="R681" s="242"/>
      <c r="S681" s="242"/>
      <c r="T681" s="242"/>
      <c r="U681" s="242"/>
      <c r="V681" s="242"/>
      <c r="W681" s="242"/>
    </row>
    <row r="682">
      <c r="A682" s="13"/>
      <c r="B682" s="252"/>
      <c r="C682" s="252"/>
      <c r="D682" s="252"/>
      <c r="E682" s="252"/>
      <c r="F682" s="252"/>
      <c r="G682" s="252"/>
      <c r="H682" s="551"/>
      <c r="I682" s="242"/>
      <c r="J682" s="242"/>
      <c r="K682" s="242"/>
      <c r="L682" s="242"/>
      <c r="M682" s="242"/>
      <c r="N682" s="242"/>
      <c r="O682" s="242"/>
      <c r="P682" s="242"/>
      <c r="Q682" s="242"/>
      <c r="R682" s="242"/>
      <c r="S682" s="242"/>
      <c r="T682" s="242"/>
      <c r="U682" s="242"/>
      <c r="V682" s="242"/>
      <c r="W682" s="242"/>
    </row>
    <row r="683">
      <c r="A683" s="13"/>
      <c r="B683" s="252"/>
      <c r="C683" s="252"/>
      <c r="D683" s="252"/>
      <c r="E683" s="252"/>
      <c r="F683" s="252"/>
      <c r="G683" s="252"/>
      <c r="H683" s="551"/>
      <c r="I683" s="242"/>
      <c r="J683" s="242"/>
      <c r="K683" s="242"/>
      <c r="L683" s="242"/>
      <c r="M683" s="242"/>
      <c r="N683" s="242"/>
      <c r="O683" s="242"/>
      <c r="P683" s="242"/>
      <c r="Q683" s="242"/>
      <c r="R683" s="242"/>
      <c r="S683" s="242"/>
      <c r="T683" s="242"/>
      <c r="U683" s="242"/>
      <c r="V683" s="242"/>
      <c r="W683" s="242"/>
    </row>
    <row r="684">
      <c r="A684" s="13"/>
      <c r="B684" s="252"/>
      <c r="C684" s="252"/>
      <c r="D684" s="252"/>
      <c r="E684" s="252"/>
      <c r="F684" s="252"/>
      <c r="G684" s="252"/>
      <c r="H684" s="551"/>
      <c r="I684" s="242"/>
      <c r="J684" s="242"/>
      <c r="K684" s="242"/>
      <c r="L684" s="242"/>
      <c r="M684" s="242"/>
      <c r="N684" s="242"/>
      <c r="O684" s="242"/>
      <c r="P684" s="242"/>
      <c r="Q684" s="242"/>
      <c r="R684" s="242"/>
      <c r="S684" s="242"/>
      <c r="T684" s="242"/>
      <c r="U684" s="242"/>
      <c r="V684" s="242"/>
      <c r="W684" s="242"/>
    </row>
    <row r="685">
      <c r="A685" s="13"/>
      <c r="B685" s="252"/>
      <c r="C685" s="252"/>
      <c r="D685" s="252"/>
      <c r="E685" s="252"/>
      <c r="F685" s="252"/>
      <c r="G685" s="252"/>
      <c r="H685" s="551"/>
      <c r="I685" s="242"/>
      <c r="J685" s="242"/>
      <c r="K685" s="242"/>
      <c r="L685" s="242"/>
      <c r="M685" s="242"/>
      <c r="N685" s="242"/>
      <c r="O685" s="242"/>
      <c r="P685" s="242"/>
      <c r="Q685" s="242"/>
      <c r="R685" s="242"/>
      <c r="S685" s="242"/>
      <c r="T685" s="242"/>
      <c r="U685" s="242"/>
      <c r="V685" s="242"/>
      <c r="W685" s="242"/>
    </row>
    <row r="686">
      <c r="A686" s="13"/>
      <c r="B686" s="252"/>
      <c r="C686" s="252"/>
      <c r="D686" s="252"/>
      <c r="E686" s="252"/>
      <c r="F686" s="252"/>
      <c r="G686" s="252"/>
      <c r="H686" s="551"/>
      <c r="I686" s="242"/>
      <c r="J686" s="242"/>
      <c r="K686" s="242"/>
      <c r="L686" s="242"/>
      <c r="M686" s="242"/>
      <c r="N686" s="242"/>
      <c r="O686" s="242"/>
      <c r="P686" s="242"/>
      <c r="Q686" s="242"/>
      <c r="R686" s="242"/>
      <c r="S686" s="242"/>
      <c r="T686" s="242"/>
      <c r="U686" s="242"/>
      <c r="V686" s="242"/>
      <c r="W686" s="242"/>
    </row>
    <row r="687">
      <c r="A687" s="13"/>
      <c r="B687" s="252"/>
      <c r="C687" s="252"/>
      <c r="D687" s="252"/>
      <c r="E687" s="252"/>
      <c r="F687" s="252"/>
      <c r="G687" s="252"/>
      <c r="H687" s="551"/>
      <c r="I687" s="242"/>
      <c r="J687" s="242"/>
      <c r="K687" s="242"/>
      <c r="L687" s="242"/>
      <c r="M687" s="242"/>
      <c r="N687" s="242"/>
      <c r="O687" s="242"/>
      <c r="P687" s="242"/>
      <c r="Q687" s="242"/>
      <c r="R687" s="242"/>
      <c r="S687" s="242"/>
      <c r="T687" s="242"/>
      <c r="U687" s="242"/>
      <c r="V687" s="242"/>
      <c r="W687" s="242"/>
    </row>
    <row r="688">
      <c r="A688" s="13"/>
      <c r="B688" s="252"/>
      <c r="C688" s="252"/>
      <c r="D688" s="252"/>
      <c r="E688" s="252"/>
      <c r="F688" s="252"/>
      <c r="G688" s="252"/>
      <c r="H688" s="551"/>
      <c r="I688" s="242"/>
      <c r="J688" s="242"/>
      <c r="K688" s="242"/>
      <c r="L688" s="242"/>
      <c r="M688" s="242"/>
      <c r="N688" s="242"/>
      <c r="O688" s="242"/>
      <c r="P688" s="242"/>
      <c r="Q688" s="242"/>
      <c r="R688" s="242"/>
      <c r="S688" s="242"/>
      <c r="T688" s="242"/>
      <c r="U688" s="242"/>
      <c r="V688" s="242"/>
      <c r="W688" s="242"/>
    </row>
    <row r="689">
      <c r="A689" s="13"/>
      <c r="B689" s="252"/>
      <c r="C689" s="252"/>
      <c r="D689" s="252"/>
      <c r="E689" s="252"/>
      <c r="F689" s="252"/>
      <c r="G689" s="252"/>
      <c r="H689" s="551"/>
      <c r="I689" s="242"/>
      <c r="J689" s="242"/>
      <c r="K689" s="242"/>
      <c r="L689" s="242"/>
      <c r="M689" s="242"/>
      <c r="N689" s="242"/>
      <c r="O689" s="242"/>
      <c r="P689" s="242"/>
      <c r="Q689" s="242"/>
      <c r="R689" s="242"/>
      <c r="S689" s="242"/>
      <c r="T689" s="242"/>
      <c r="U689" s="242"/>
      <c r="V689" s="242"/>
      <c r="W689" s="242"/>
    </row>
    <row r="690">
      <c r="A690" s="13"/>
      <c r="B690" s="252"/>
      <c r="C690" s="252"/>
      <c r="D690" s="252"/>
      <c r="E690" s="252"/>
      <c r="F690" s="252"/>
      <c r="G690" s="252"/>
      <c r="H690" s="551"/>
      <c r="I690" s="242"/>
      <c r="J690" s="242"/>
      <c r="K690" s="242"/>
      <c r="L690" s="242"/>
      <c r="M690" s="242"/>
      <c r="N690" s="242"/>
      <c r="O690" s="242"/>
      <c r="P690" s="242"/>
      <c r="Q690" s="242"/>
      <c r="R690" s="242"/>
      <c r="S690" s="242"/>
      <c r="T690" s="242"/>
      <c r="U690" s="242"/>
      <c r="V690" s="242"/>
      <c r="W690" s="242"/>
    </row>
    <row r="691">
      <c r="A691" s="13"/>
      <c r="B691" s="252"/>
      <c r="C691" s="252"/>
      <c r="D691" s="252"/>
      <c r="E691" s="252"/>
      <c r="F691" s="252"/>
      <c r="G691" s="252"/>
      <c r="H691" s="551"/>
      <c r="I691" s="242"/>
      <c r="J691" s="242"/>
      <c r="K691" s="242"/>
      <c r="L691" s="242"/>
      <c r="M691" s="242"/>
      <c r="N691" s="242"/>
      <c r="O691" s="242"/>
      <c r="P691" s="242"/>
      <c r="Q691" s="242"/>
      <c r="R691" s="242"/>
      <c r="S691" s="242"/>
      <c r="T691" s="242"/>
      <c r="U691" s="242"/>
      <c r="V691" s="242"/>
      <c r="W691" s="242"/>
    </row>
    <row r="692">
      <c r="A692" s="13"/>
      <c r="B692" s="252"/>
      <c r="C692" s="252"/>
      <c r="D692" s="252"/>
      <c r="E692" s="252"/>
      <c r="F692" s="252"/>
      <c r="G692" s="252"/>
      <c r="H692" s="551"/>
      <c r="I692" s="242"/>
      <c r="J692" s="242"/>
      <c r="K692" s="242"/>
      <c r="L692" s="242"/>
      <c r="M692" s="242"/>
      <c r="N692" s="242"/>
      <c r="O692" s="242"/>
      <c r="P692" s="242"/>
      <c r="Q692" s="242"/>
      <c r="R692" s="242"/>
      <c r="S692" s="242"/>
      <c r="T692" s="242"/>
      <c r="U692" s="242"/>
      <c r="V692" s="242"/>
      <c r="W692" s="242"/>
    </row>
    <row r="693">
      <c r="A693" s="13"/>
      <c r="B693" s="252"/>
      <c r="C693" s="252"/>
      <c r="D693" s="252"/>
      <c r="E693" s="252"/>
      <c r="F693" s="252"/>
      <c r="G693" s="252"/>
      <c r="H693" s="551"/>
      <c r="I693" s="242"/>
      <c r="J693" s="242"/>
      <c r="K693" s="242"/>
      <c r="L693" s="242"/>
      <c r="M693" s="242"/>
      <c r="N693" s="242"/>
      <c r="O693" s="242"/>
      <c r="P693" s="242"/>
      <c r="Q693" s="242"/>
      <c r="R693" s="242"/>
      <c r="S693" s="242"/>
      <c r="T693" s="242"/>
      <c r="U693" s="242"/>
      <c r="V693" s="242"/>
      <c r="W693" s="242"/>
    </row>
    <row r="694">
      <c r="A694" s="13"/>
      <c r="B694" s="252"/>
      <c r="C694" s="252"/>
      <c r="D694" s="252"/>
      <c r="E694" s="252"/>
      <c r="F694" s="252"/>
      <c r="G694" s="252"/>
      <c r="H694" s="551"/>
      <c r="I694" s="242"/>
      <c r="J694" s="242"/>
      <c r="K694" s="242"/>
      <c r="L694" s="242"/>
      <c r="M694" s="242"/>
      <c r="N694" s="242"/>
      <c r="O694" s="242"/>
      <c r="P694" s="242"/>
      <c r="Q694" s="242"/>
      <c r="R694" s="242"/>
      <c r="S694" s="242"/>
      <c r="T694" s="242"/>
      <c r="U694" s="242"/>
      <c r="V694" s="242"/>
      <c r="W694" s="242"/>
    </row>
    <row r="695">
      <c r="A695" s="13"/>
      <c r="B695" s="252"/>
      <c r="C695" s="252"/>
      <c r="D695" s="252"/>
      <c r="E695" s="252"/>
      <c r="F695" s="252"/>
      <c r="G695" s="252"/>
      <c r="H695" s="551"/>
      <c r="I695" s="242"/>
      <c r="J695" s="242"/>
      <c r="K695" s="242"/>
      <c r="L695" s="242"/>
      <c r="M695" s="242"/>
      <c r="N695" s="242"/>
      <c r="O695" s="242"/>
      <c r="P695" s="242"/>
      <c r="Q695" s="242"/>
      <c r="R695" s="242"/>
      <c r="S695" s="242"/>
      <c r="T695" s="242"/>
      <c r="U695" s="242"/>
      <c r="V695" s="242"/>
      <c r="W695" s="242"/>
    </row>
    <row r="696">
      <c r="A696" s="13"/>
      <c r="B696" s="252"/>
      <c r="C696" s="252"/>
      <c r="D696" s="252"/>
      <c r="E696" s="252"/>
      <c r="F696" s="252"/>
      <c r="G696" s="252"/>
      <c r="H696" s="551"/>
      <c r="I696" s="242"/>
      <c r="J696" s="242"/>
      <c r="K696" s="242"/>
      <c r="L696" s="242"/>
      <c r="M696" s="242"/>
      <c r="N696" s="242"/>
      <c r="O696" s="242"/>
      <c r="P696" s="242"/>
      <c r="Q696" s="242"/>
      <c r="R696" s="242"/>
      <c r="S696" s="242"/>
      <c r="T696" s="242"/>
      <c r="U696" s="242"/>
      <c r="V696" s="242"/>
      <c r="W696" s="242"/>
    </row>
    <row r="697">
      <c r="A697" s="13"/>
      <c r="B697" s="252"/>
      <c r="C697" s="252"/>
      <c r="D697" s="252"/>
      <c r="E697" s="252"/>
      <c r="F697" s="252"/>
      <c r="G697" s="252"/>
      <c r="H697" s="551"/>
      <c r="I697" s="242"/>
      <c r="J697" s="242"/>
      <c r="K697" s="242"/>
      <c r="L697" s="242"/>
      <c r="M697" s="242"/>
      <c r="N697" s="242"/>
      <c r="O697" s="242"/>
      <c r="P697" s="242"/>
      <c r="Q697" s="242"/>
      <c r="R697" s="242"/>
      <c r="S697" s="242"/>
      <c r="T697" s="242"/>
      <c r="U697" s="242"/>
      <c r="V697" s="242"/>
      <c r="W697" s="242"/>
    </row>
    <row r="698">
      <c r="A698" s="13"/>
      <c r="B698" s="252"/>
      <c r="C698" s="252"/>
      <c r="D698" s="252"/>
      <c r="E698" s="252"/>
      <c r="F698" s="252"/>
      <c r="G698" s="252"/>
      <c r="H698" s="551"/>
      <c r="I698" s="242"/>
      <c r="J698" s="242"/>
      <c r="K698" s="242"/>
      <c r="L698" s="242"/>
      <c r="M698" s="242"/>
      <c r="N698" s="242"/>
      <c r="O698" s="242"/>
      <c r="P698" s="242"/>
      <c r="Q698" s="242"/>
      <c r="R698" s="242"/>
      <c r="S698" s="242"/>
      <c r="T698" s="242"/>
      <c r="U698" s="242"/>
      <c r="V698" s="242"/>
      <c r="W698" s="242"/>
    </row>
    <row r="699">
      <c r="A699" s="13"/>
      <c r="B699" s="252"/>
      <c r="C699" s="252"/>
      <c r="D699" s="252"/>
      <c r="E699" s="252"/>
      <c r="F699" s="252"/>
      <c r="G699" s="252"/>
      <c r="H699" s="551"/>
      <c r="I699" s="242"/>
      <c r="J699" s="242"/>
      <c r="K699" s="242"/>
      <c r="L699" s="242"/>
      <c r="M699" s="242"/>
      <c r="N699" s="242"/>
      <c r="O699" s="242"/>
      <c r="P699" s="242"/>
      <c r="Q699" s="242"/>
      <c r="R699" s="242"/>
      <c r="S699" s="242"/>
      <c r="T699" s="242"/>
      <c r="U699" s="242"/>
      <c r="V699" s="242"/>
      <c r="W699" s="242"/>
    </row>
    <row r="700">
      <c r="A700" s="13"/>
      <c r="B700" s="252"/>
      <c r="C700" s="252"/>
      <c r="D700" s="252"/>
      <c r="E700" s="252"/>
      <c r="F700" s="252"/>
      <c r="G700" s="252"/>
      <c r="H700" s="551"/>
      <c r="I700" s="242"/>
      <c r="J700" s="242"/>
      <c r="K700" s="242"/>
      <c r="L700" s="242"/>
      <c r="M700" s="242"/>
      <c r="N700" s="242"/>
      <c r="O700" s="242"/>
      <c r="P700" s="242"/>
      <c r="Q700" s="242"/>
      <c r="R700" s="242"/>
      <c r="S700" s="242"/>
      <c r="T700" s="242"/>
      <c r="U700" s="242"/>
      <c r="V700" s="242"/>
      <c r="W700" s="242"/>
    </row>
    <row r="701">
      <c r="A701" s="13"/>
      <c r="B701" s="252"/>
      <c r="C701" s="252"/>
      <c r="D701" s="252"/>
      <c r="E701" s="252"/>
      <c r="F701" s="252"/>
      <c r="G701" s="252"/>
      <c r="H701" s="551"/>
      <c r="I701" s="242"/>
      <c r="J701" s="242"/>
      <c r="K701" s="242"/>
      <c r="L701" s="242"/>
      <c r="M701" s="242"/>
      <c r="N701" s="242"/>
      <c r="O701" s="242"/>
      <c r="P701" s="242"/>
      <c r="Q701" s="242"/>
      <c r="R701" s="242"/>
      <c r="S701" s="242"/>
      <c r="T701" s="242"/>
      <c r="U701" s="242"/>
      <c r="V701" s="242"/>
      <c r="W701" s="242"/>
    </row>
    <row r="702">
      <c r="A702" s="13"/>
      <c r="B702" s="252"/>
      <c r="C702" s="252"/>
      <c r="D702" s="252"/>
      <c r="E702" s="252"/>
      <c r="F702" s="252"/>
      <c r="G702" s="252"/>
      <c r="H702" s="551"/>
      <c r="I702" s="242"/>
      <c r="J702" s="242"/>
      <c r="K702" s="242"/>
      <c r="L702" s="242"/>
      <c r="M702" s="242"/>
      <c r="N702" s="242"/>
      <c r="O702" s="242"/>
      <c r="P702" s="242"/>
      <c r="Q702" s="242"/>
      <c r="R702" s="242"/>
      <c r="S702" s="242"/>
      <c r="T702" s="242"/>
      <c r="U702" s="242"/>
      <c r="V702" s="242"/>
      <c r="W702" s="242"/>
    </row>
    <row r="703">
      <c r="A703" s="13"/>
      <c r="B703" s="252"/>
      <c r="C703" s="252"/>
      <c r="D703" s="252"/>
      <c r="E703" s="252"/>
      <c r="F703" s="252"/>
      <c r="G703" s="252"/>
      <c r="H703" s="551"/>
      <c r="I703" s="242"/>
      <c r="J703" s="242"/>
      <c r="K703" s="242"/>
      <c r="L703" s="242"/>
      <c r="M703" s="242"/>
      <c r="N703" s="242"/>
      <c r="O703" s="242"/>
      <c r="P703" s="242"/>
      <c r="Q703" s="242"/>
      <c r="R703" s="242"/>
      <c r="S703" s="242"/>
      <c r="T703" s="242"/>
      <c r="U703" s="242"/>
      <c r="V703" s="242"/>
      <c r="W703" s="242"/>
    </row>
    <row r="704">
      <c r="A704" s="13"/>
      <c r="B704" s="252"/>
      <c r="C704" s="252"/>
      <c r="D704" s="252"/>
      <c r="E704" s="252"/>
      <c r="F704" s="252"/>
      <c r="G704" s="252"/>
      <c r="H704" s="551"/>
      <c r="I704" s="242"/>
      <c r="J704" s="242"/>
      <c r="K704" s="242"/>
      <c r="L704" s="242"/>
      <c r="M704" s="242"/>
      <c r="N704" s="242"/>
      <c r="O704" s="242"/>
      <c r="P704" s="242"/>
      <c r="Q704" s="242"/>
      <c r="R704" s="242"/>
      <c r="S704" s="242"/>
      <c r="T704" s="242"/>
      <c r="U704" s="242"/>
      <c r="V704" s="242"/>
      <c r="W704" s="242"/>
    </row>
    <row r="705">
      <c r="A705" s="13"/>
      <c r="B705" s="252"/>
      <c r="C705" s="252"/>
      <c r="D705" s="252"/>
      <c r="E705" s="252"/>
      <c r="F705" s="252"/>
      <c r="G705" s="252"/>
      <c r="H705" s="551"/>
      <c r="I705" s="242"/>
      <c r="J705" s="242"/>
      <c r="K705" s="242"/>
      <c r="L705" s="242"/>
      <c r="M705" s="242"/>
      <c r="N705" s="242"/>
      <c r="O705" s="242"/>
      <c r="P705" s="242"/>
      <c r="Q705" s="242"/>
      <c r="R705" s="242"/>
      <c r="S705" s="242"/>
      <c r="T705" s="242"/>
      <c r="U705" s="242"/>
      <c r="V705" s="242"/>
      <c r="W705" s="242"/>
    </row>
    <row r="706">
      <c r="A706" s="13"/>
      <c r="B706" s="252"/>
      <c r="C706" s="252"/>
      <c r="D706" s="252"/>
      <c r="E706" s="252"/>
      <c r="F706" s="252"/>
      <c r="G706" s="252"/>
      <c r="H706" s="551"/>
      <c r="I706" s="242"/>
      <c r="J706" s="242"/>
      <c r="K706" s="242"/>
      <c r="L706" s="242"/>
      <c r="M706" s="242"/>
      <c r="N706" s="242"/>
      <c r="O706" s="242"/>
      <c r="P706" s="242"/>
      <c r="Q706" s="242"/>
      <c r="R706" s="242"/>
      <c r="S706" s="242"/>
      <c r="T706" s="242"/>
      <c r="U706" s="242"/>
      <c r="V706" s="242"/>
      <c r="W706" s="242"/>
    </row>
    <row r="707">
      <c r="A707" s="13"/>
      <c r="B707" s="252"/>
      <c r="C707" s="252"/>
      <c r="D707" s="252"/>
      <c r="E707" s="252"/>
      <c r="F707" s="252"/>
      <c r="G707" s="252"/>
      <c r="H707" s="551"/>
      <c r="I707" s="242"/>
      <c r="J707" s="242"/>
      <c r="K707" s="242"/>
      <c r="L707" s="242"/>
      <c r="M707" s="242"/>
      <c r="N707" s="242"/>
      <c r="O707" s="242"/>
      <c r="P707" s="242"/>
      <c r="Q707" s="242"/>
      <c r="R707" s="242"/>
      <c r="S707" s="242"/>
      <c r="T707" s="242"/>
      <c r="U707" s="242"/>
      <c r="V707" s="242"/>
      <c r="W707" s="242"/>
    </row>
    <row r="708">
      <c r="A708" s="13"/>
      <c r="B708" s="252"/>
      <c r="C708" s="252"/>
      <c r="D708" s="252"/>
      <c r="E708" s="252"/>
      <c r="F708" s="252"/>
      <c r="G708" s="252"/>
      <c r="H708" s="551"/>
      <c r="I708" s="242"/>
      <c r="J708" s="242"/>
      <c r="K708" s="242"/>
      <c r="L708" s="242"/>
      <c r="M708" s="242"/>
      <c r="N708" s="242"/>
      <c r="O708" s="242"/>
      <c r="P708" s="242"/>
      <c r="Q708" s="242"/>
      <c r="R708" s="242"/>
      <c r="S708" s="242"/>
      <c r="T708" s="242"/>
      <c r="U708" s="242"/>
      <c r="V708" s="242"/>
      <c r="W708" s="242"/>
    </row>
    <row r="709">
      <c r="A709" s="13"/>
      <c r="B709" s="252"/>
      <c r="C709" s="252"/>
      <c r="D709" s="252"/>
      <c r="E709" s="252"/>
      <c r="F709" s="252"/>
      <c r="G709" s="252"/>
      <c r="H709" s="551"/>
      <c r="I709" s="242"/>
      <c r="J709" s="242"/>
      <c r="K709" s="242"/>
      <c r="L709" s="242"/>
      <c r="M709" s="242"/>
      <c r="N709" s="242"/>
      <c r="O709" s="242"/>
      <c r="P709" s="242"/>
      <c r="Q709" s="242"/>
      <c r="R709" s="242"/>
      <c r="S709" s="242"/>
      <c r="T709" s="242"/>
      <c r="U709" s="242"/>
      <c r="V709" s="242"/>
      <c r="W709" s="242"/>
    </row>
    <row r="710">
      <c r="A710" s="13"/>
      <c r="B710" s="252"/>
      <c r="C710" s="252"/>
      <c r="D710" s="252"/>
      <c r="E710" s="252"/>
      <c r="F710" s="252"/>
      <c r="G710" s="252"/>
      <c r="H710" s="551"/>
      <c r="I710" s="242"/>
      <c r="J710" s="242"/>
      <c r="K710" s="242"/>
      <c r="L710" s="242"/>
      <c r="M710" s="242"/>
      <c r="N710" s="242"/>
      <c r="O710" s="242"/>
      <c r="P710" s="242"/>
      <c r="Q710" s="242"/>
      <c r="R710" s="242"/>
      <c r="S710" s="242"/>
      <c r="T710" s="242"/>
      <c r="U710" s="242"/>
      <c r="V710" s="242"/>
      <c r="W710" s="242"/>
    </row>
    <row r="711">
      <c r="A711" s="13"/>
      <c r="B711" s="252"/>
      <c r="C711" s="252"/>
      <c r="D711" s="252"/>
      <c r="E711" s="252"/>
      <c r="F711" s="252"/>
      <c r="G711" s="252"/>
      <c r="H711" s="551"/>
      <c r="I711" s="242"/>
      <c r="J711" s="242"/>
      <c r="K711" s="242"/>
      <c r="L711" s="242"/>
      <c r="M711" s="242"/>
      <c r="N711" s="242"/>
      <c r="O711" s="242"/>
      <c r="P711" s="242"/>
      <c r="Q711" s="242"/>
      <c r="R711" s="242"/>
      <c r="S711" s="242"/>
      <c r="T711" s="242"/>
      <c r="U711" s="242"/>
      <c r="V711" s="242"/>
      <c r="W711" s="242"/>
    </row>
    <row r="712">
      <c r="A712" s="13"/>
      <c r="B712" s="252"/>
      <c r="C712" s="252"/>
      <c r="D712" s="252"/>
      <c r="E712" s="252"/>
      <c r="F712" s="252"/>
      <c r="G712" s="252"/>
      <c r="H712" s="551"/>
      <c r="I712" s="242"/>
      <c r="J712" s="242"/>
      <c r="K712" s="242"/>
      <c r="L712" s="242"/>
      <c r="M712" s="242"/>
      <c r="N712" s="242"/>
      <c r="O712" s="242"/>
      <c r="P712" s="242"/>
      <c r="Q712" s="242"/>
      <c r="R712" s="242"/>
      <c r="S712" s="242"/>
      <c r="T712" s="242"/>
      <c r="U712" s="242"/>
      <c r="V712" s="242"/>
      <c r="W712" s="242"/>
    </row>
    <row r="713">
      <c r="A713" s="13"/>
      <c r="B713" s="252"/>
      <c r="C713" s="252"/>
      <c r="D713" s="252"/>
      <c r="E713" s="252"/>
      <c r="F713" s="252"/>
      <c r="G713" s="252"/>
      <c r="H713" s="551"/>
      <c r="I713" s="242"/>
      <c r="J713" s="242"/>
      <c r="K713" s="242"/>
      <c r="L713" s="242"/>
      <c r="M713" s="242"/>
      <c r="N713" s="242"/>
      <c r="O713" s="242"/>
      <c r="P713" s="242"/>
      <c r="Q713" s="242"/>
      <c r="R713" s="242"/>
      <c r="S713" s="242"/>
      <c r="T713" s="242"/>
      <c r="U713" s="242"/>
      <c r="V713" s="242"/>
      <c r="W713" s="242"/>
    </row>
    <row r="714">
      <c r="A714" s="13"/>
      <c r="B714" s="252"/>
      <c r="C714" s="252"/>
      <c r="D714" s="252"/>
      <c r="E714" s="252"/>
      <c r="F714" s="252"/>
      <c r="G714" s="252"/>
      <c r="H714" s="551"/>
      <c r="I714" s="242"/>
      <c r="J714" s="242"/>
      <c r="K714" s="242"/>
      <c r="L714" s="242"/>
      <c r="M714" s="242"/>
      <c r="N714" s="242"/>
      <c r="O714" s="242"/>
      <c r="P714" s="242"/>
      <c r="Q714" s="242"/>
      <c r="R714" s="242"/>
      <c r="S714" s="242"/>
      <c r="T714" s="242"/>
      <c r="U714" s="242"/>
      <c r="V714" s="242"/>
      <c r="W714" s="242"/>
    </row>
    <row r="715">
      <c r="A715" s="13"/>
      <c r="B715" s="252"/>
      <c r="C715" s="252"/>
      <c r="D715" s="252"/>
      <c r="E715" s="252"/>
      <c r="F715" s="252"/>
      <c r="G715" s="252"/>
      <c r="H715" s="551"/>
      <c r="I715" s="242"/>
      <c r="J715" s="242"/>
      <c r="K715" s="242"/>
      <c r="L715" s="242"/>
      <c r="M715" s="242"/>
      <c r="N715" s="242"/>
      <c r="O715" s="242"/>
      <c r="P715" s="242"/>
      <c r="Q715" s="242"/>
      <c r="R715" s="242"/>
      <c r="S715" s="242"/>
      <c r="T715" s="242"/>
      <c r="U715" s="242"/>
      <c r="V715" s="242"/>
      <c r="W715" s="242"/>
    </row>
    <row r="716">
      <c r="A716" s="13"/>
      <c r="B716" s="252"/>
      <c r="C716" s="252"/>
      <c r="D716" s="252"/>
      <c r="E716" s="252"/>
      <c r="F716" s="252"/>
      <c r="G716" s="252"/>
      <c r="H716" s="551"/>
      <c r="I716" s="242"/>
      <c r="J716" s="242"/>
      <c r="K716" s="242"/>
      <c r="L716" s="242"/>
      <c r="M716" s="242"/>
      <c r="N716" s="242"/>
      <c r="O716" s="242"/>
      <c r="P716" s="242"/>
      <c r="Q716" s="242"/>
      <c r="R716" s="242"/>
      <c r="S716" s="242"/>
      <c r="T716" s="242"/>
      <c r="U716" s="242"/>
      <c r="V716" s="242"/>
      <c r="W716" s="242"/>
    </row>
    <row r="717">
      <c r="A717" s="13"/>
      <c r="B717" s="252"/>
      <c r="C717" s="252"/>
      <c r="D717" s="252"/>
      <c r="E717" s="252"/>
      <c r="F717" s="252"/>
      <c r="G717" s="252"/>
      <c r="H717" s="551"/>
      <c r="I717" s="242"/>
      <c r="J717" s="242"/>
      <c r="K717" s="242"/>
      <c r="L717" s="242"/>
      <c r="M717" s="242"/>
      <c r="N717" s="242"/>
      <c r="O717" s="242"/>
      <c r="P717" s="242"/>
      <c r="Q717" s="242"/>
      <c r="R717" s="242"/>
      <c r="S717" s="242"/>
      <c r="T717" s="242"/>
      <c r="U717" s="242"/>
      <c r="V717" s="242"/>
      <c r="W717" s="242"/>
    </row>
    <row r="718">
      <c r="A718" s="13"/>
      <c r="B718" s="252"/>
      <c r="C718" s="252"/>
      <c r="D718" s="252"/>
      <c r="E718" s="252"/>
      <c r="F718" s="252"/>
      <c r="G718" s="252"/>
      <c r="H718" s="551"/>
      <c r="I718" s="242"/>
      <c r="J718" s="242"/>
      <c r="K718" s="242"/>
      <c r="L718" s="242"/>
      <c r="M718" s="242"/>
      <c r="N718" s="242"/>
      <c r="O718" s="242"/>
      <c r="P718" s="242"/>
      <c r="Q718" s="242"/>
      <c r="R718" s="242"/>
      <c r="S718" s="242"/>
      <c r="T718" s="242"/>
      <c r="U718" s="242"/>
      <c r="V718" s="242"/>
      <c r="W718" s="242"/>
    </row>
    <row r="719">
      <c r="A719" s="13"/>
      <c r="B719" s="252"/>
      <c r="C719" s="252"/>
      <c r="D719" s="252"/>
      <c r="E719" s="252"/>
      <c r="F719" s="252"/>
      <c r="G719" s="252"/>
      <c r="H719" s="551"/>
      <c r="I719" s="242"/>
      <c r="J719" s="242"/>
      <c r="K719" s="242"/>
      <c r="L719" s="242"/>
      <c r="M719" s="242"/>
      <c r="N719" s="242"/>
      <c r="O719" s="242"/>
      <c r="P719" s="242"/>
      <c r="Q719" s="242"/>
      <c r="R719" s="242"/>
      <c r="S719" s="242"/>
      <c r="T719" s="242"/>
      <c r="U719" s="242"/>
      <c r="V719" s="242"/>
      <c r="W719" s="242"/>
    </row>
    <row r="720">
      <c r="A720" s="13"/>
      <c r="B720" s="252"/>
      <c r="C720" s="252"/>
      <c r="D720" s="252"/>
      <c r="E720" s="252"/>
      <c r="F720" s="252"/>
      <c r="G720" s="252"/>
      <c r="H720" s="551"/>
      <c r="I720" s="242"/>
      <c r="J720" s="242"/>
      <c r="K720" s="242"/>
      <c r="L720" s="242"/>
      <c r="M720" s="242"/>
      <c r="N720" s="242"/>
      <c r="O720" s="242"/>
      <c r="P720" s="242"/>
      <c r="Q720" s="242"/>
      <c r="R720" s="242"/>
      <c r="S720" s="242"/>
      <c r="T720" s="242"/>
      <c r="U720" s="242"/>
      <c r="V720" s="242"/>
      <c r="W720" s="242"/>
    </row>
    <row r="721">
      <c r="A721" s="13"/>
      <c r="B721" s="252"/>
      <c r="C721" s="252"/>
      <c r="D721" s="252"/>
      <c r="E721" s="252"/>
      <c r="F721" s="252"/>
      <c r="G721" s="252"/>
      <c r="H721" s="551"/>
      <c r="I721" s="242"/>
      <c r="J721" s="242"/>
      <c r="K721" s="242"/>
      <c r="L721" s="242"/>
      <c r="M721" s="242"/>
      <c r="N721" s="242"/>
      <c r="O721" s="242"/>
      <c r="P721" s="242"/>
      <c r="Q721" s="242"/>
      <c r="R721" s="242"/>
      <c r="S721" s="242"/>
      <c r="T721" s="242"/>
      <c r="U721" s="242"/>
      <c r="V721" s="242"/>
      <c r="W721" s="242"/>
    </row>
    <row r="722">
      <c r="A722" s="13"/>
      <c r="B722" s="252"/>
      <c r="C722" s="252"/>
      <c r="D722" s="252"/>
      <c r="E722" s="252"/>
      <c r="F722" s="252"/>
      <c r="G722" s="252"/>
      <c r="H722" s="551"/>
      <c r="I722" s="242"/>
      <c r="J722" s="242"/>
      <c r="K722" s="242"/>
      <c r="L722" s="242"/>
      <c r="M722" s="242"/>
      <c r="N722" s="242"/>
      <c r="O722" s="242"/>
      <c r="P722" s="242"/>
      <c r="Q722" s="242"/>
      <c r="R722" s="242"/>
      <c r="S722" s="242"/>
      <c r="T722" s="242"/>
      <c r="U722" s="242"/>
      <c r="V722" s="242"/>
      <c r="W722" s="242"/>
    </row>
    <row r="723">
      <c r="A723" s="13"/>
      <c r="B723" s="252"/>
      <c r="C723" s="252"/>
      <c r="D723" s="252"/>
      <c r="E723" s="252"/>
      <c r="F723" s="252"/>
      <c r="G723" s="252"/>
      <c r="H723" s="551"/>
      <c r="I723" s="242"/>
      <c r="J723" s="242"/>
      <c r="K723" s="242"/>
      <c r="L723" s="242"/>
      <c r="M723" s="242"/>
      <c r="N723" s="242"/>
      <c r="O723" s="242"/>
      <c r="P723" s="242"/>
      <c r="Q723" s="242"/>
      <c r="R723" s="242"/>
      <c r="S723" s="242"/>
      <c r="T723" s="242"/>
      <c r="U723" s="242"/>
      <c r="V723" s="242"/>
      <c r="W723" s="242"/>
    </row>
    <row r="724">
      <c r="A724" s="13"/>
      <c r="B724" s="252"/>
      <c r="C724" s="252"/>
      <c r="D724" s="252"/>
      <c r="E724" s="252"/>
      <c r="F724" s="252"/>
      <c r="G724" s="252"/>
      <c r="H724" s="551"/>
      <c r="I724" s="242"/>
      <c r="J724" s="242"/>
      <c r="K724" s="242"/>
      <c r="L724" s="242"/>
      <c r="M724" s="242"/>
      <c r="N724" s="242"/>
      <c r="O724" s="242"/>
      <c r="P724" s="242"/>
      <c r="Q724" s="242"/>
      <c r="R724" s="242"/>
      <c r="S724" s="242"/>
      <c r="T724" s="242"/>
      <c r="U724" s="242"/>
      <c r="V724" s="242"/>
      <c r="W724" s="242"/>
    </row>
    <row r="725">
      <c r="A725" s="13"/>
      <c r="B725" s="252"/>
      <c r="C725" s="252"/>
      <c r="D725" s="252"/>
      <c r="E725" s="252"/>
      <c r="F725" s="252"/>
      <c r="G725" s="252"/>
      <c r="H725" s="551"/>
      <c r="I725" s="242"/>
      <c r="J725" s="242"/>
      <c r="K725" s="242"/>
      <c r="L725" s="242"/>
      <c r="M725" s="242"/>
      <c r="N725" s="242"/>
      <c r="O725" s="242"/>
      <c r="P725" s="242"/>
      <c r="Q725" s="242"/>
      <c r="R725" s="242"/>
      <c r="S725" s="242"/>
      <c r="T725" s="242"/>
      <c r="U725" s="242"/>
      <c r="V725" s="242"/>
      <c r="W725" s="242"/>
    </row>
    <row r="726">
      <c r="A726" s="13"/>
      <c r="B726" s="252"/>
      <c r="C726" s="252"/>
      <c r="D726" s="252"/>
      <c r="E726" s="252"/>
      <c r="F726" s="252"/>
      <c r="G726" s="252"/>
      <c r="H726" s="551"/>
      <c r="I726" s="242"/>
      <c r="J726" s="242"/>
      <c r="K726" s="242"/>
      <c r="L726" s="242"/>
      <c r="M726" s="242"/>
      <c r="N726" s="242"/>
      <c r="O726" s="242"/>
      <c r="P726" s="242"/>
      <c r="Q726" s="242"/>
      <c r="R726" s="242"/>
      <c r="S726" s="242"/>
      <c r="T726" s="242"/>
      <c r="U726" s="242"/>
      <c r="V726" s="242"/>
      <c r="W726" s="242"/>
    </row>
    <row r="727">
      <c r="A727" s="13"/>
      <c r="B727" s="252"/>
      <c r="C727" s="252"/>
      <c r="D727" s="252"/>
      <c r="E727" s="252"/>
      <c r="F727" s="252"/>
      <c r="G727" s="252"/>
      <c r="H727" s="551"/>
      <c r="I727" s="242"/>
      <c r="J727" s="242"/>
      <c r="K727" s="242"/>
      <c r="L727" s="242"/>
      <c r="M727" s="242"/>
      <c r="N727" s="242"/>
      <c r="O727" s="242"/>
      <c r="P727" s="242"/>
      <c r="Q727" s="242"/>
      <c r="R727" s="242"/>
      <c r="S727" s="242"/>
      <c r="T727" s="242"/>
      <c r="U727" s="242"/>
      <c r="V727" s="242"/>
      <c r="W727" s="242"/>
    </row>
    <row r="728">
      <c r="A728" s="13"/>
      <c r="B728" s="252"/>
      <c r="C728" s="252"/>
      <c r="D728" s="252"/>
      <c r="E728" s="252"/>
      <c r="F728" s="252"/>
      <c r="G728" s="252"/>
      <c r="H728" s="551"/>
      <c r="I728" s="242"/>
      <c r="J728" s="242"/>
      <c r="K728" s="242"/>
      <c r="L728" s="242"/>
      <c r="M728" s="242"/>
      <c r="N728" s="242"/>
      <c r="O728" s="242"/>
      <c r="P728" s="242"/>
      <c r="Q728" s="242"/>
      <c r="R728" s="242"/>
      <c r="S728" s="242"/>
      <c r="T728" s="242"/>
      <c r="U728" s="242"/>
      <c r="V728" s="242"/>
      <c r="W728" s="242"/>
    </row>
    <row r="729">
      <c r="A729" s="13"/>
      <c r="B729" s="252"/>
      <c r="C729" s="252"/>
      <c r="D729" s="252"/>
      <c r="E729" s="252"/>
      <c r="F729" s="252"/>
      <c r="G729" s="252"/>
      <c r="H729" s="551"/>
      <c r="I729" s="242"/>
      <c r="J729" s="242"/>
      <c r="K729" s="242"/>
      <c r="L729" s="242"/>
      <c r="M729" s="242"/>
      <c r="N729" s="242"/>
      <c r="O729" s="242"/>
      <c r="P729" s="242"/>
      <c r="Q729" s="242"/>
      <c r="R729" s="242"/>
      <c r="S729" s="242"/>
      <c r="T729" s="242"/>
      <c r="U729" s="242"/>
      <c r="V729" s="242"/>
      <c r="W729" s="242"/>
    </row>
    <row r="730">
      <c r="A730" s="13"/>
      <c r="B730" s="252"/>
      <c r="C730" s="252"/>
      <c r="D730" s="252"/>
      <c r="E730" s="252"/>
      <c r="F730" s="252"/>
      <c r="G730" s="252"/>
      <c r="H730" s="551"/>
      <c r="I730" s="242"/>
      <c r="J730" s="242"/>
      <c r="K730" s="242"/>
      <c r="L730" s="242"/>
      <c r="M730" s="242"/>
      <c r="N730" s="242"/>
      <c r="O730" s="242"/>
      <c r="P730" s="242"/>
      <c r="Q730" s="242"/>
      <c r="R730" s="242"/>
      <c r="S730" s="242"/>
      <c r="T730" s="242"/>
      <c r="U730" s="242"/>
      <c r="V730" s="242"/>
      <c r="W730" s="242"/>
    </row>
    <row r="731">
      <c r="A731" s="13"/>
      <c r="B731" s="252"/>
      <c r="C731" s="252"/>
      <c r="D731" s="252"/>
      <c r="E731" s="252"/>
      <c r="F731" s="252"/>
      <c r="G731" s="252"/>
      <c r="H731" s="551"/>
      <c r="I731" s="242"/>
      <c r="J731" s="242"/>
      <c r="K731" s="242"/>
      <c r="L731" s="242"/>
      <c r="M731" s="242"/>
      <c r="N731" s="242"/>
      <c r="O731" s="242"/>
      <c r="P731" s="242"/>
      <c r="Q731" s="242"/>
      <c r="R731" s="242"/>
      <c r="S731" s="242"/>
      <c r="T731" s="242"/>
      <c r="U731" s="242"/>
      <c r="V731" s="242"/>
      <c r="W731" s="242"/>
    </row>
    <row r="732">
      <c r="A732" s="13"/>
      <c r="B732" s="252"/>
      <c r="C732" s="252"/>
      <c r="D732" s="252"/>
      <c r="E732" s="252"/>
      <c r="F732" s="252"/>
      <c r="G732" s="252"/>
      <c r="H732" s="551"/>
      <c r="I732" s="242"/>
      <c r="J732" s="242"/>
      <c r="K732" s="242"/>
      <c r="L732" s="242"/>
      <c r="M732" s="242"/>
      <c r="N732" s="242"/>
      <c r="O732" s="242"/>
      <c r="P732" s="242"/>
      <c r="Q732" s="242"/>
      <c r="R732" s="242"/>
      <c r="S732" s="242"/>
      <c r="T732" s="242"/>
      <c r="U732" s="242"/>
      <c r="V732" s="242"/>
      <c r="W732" s="242"/>
    </row>
    <row r="733">
      <c r="A733" s="13"/>
      <c r="B733" s="252"/>
      <c r="C733" s="252"/>
      <c r="D733" s="252"/>
      <c r="E733" s="252"/>
      <c r="F733" s="252"/>
      <c r="G733" s="252"/>
      <c r="H733" s="551"/>
      <c r="I733" s="242"/>
      <c r="J733" s="242"/>
      <c r="K733" s="242"/>
      <c r="L733" s="242"/>
      <c r="M733" s="242"/>
      <c r="N733" s="242"/>
      <c r="O733" s="242"/>
      <c r="P733" s="242"/>
      <c r="Q733" s="242"/>
      <c r="R733" s="242"/>
      <c r="S733" s="242"/>
      <c r="T733" s="242"/>
      <c r="U733" s="242"/>
      <c r="V733" s="242"/>
      <c r="W733" s="242"/>
    </row>
    <row r="734">
      <c r="A734" s="13"/>
      <c r="B734" s="252"/>
      <c r="C734" s="252"/>
      <c r="D734" s="252"/>
      <c r="E734" s="252"/>
      <c r="F734" s="252"/>
      <c r="G734" s="252"/>
      <c r="H734" s="551"/>
      <c r="I734" s="242"/>
      <c r="J734" s="242"/>
      <c r="K734" s="242"/>
      <c r="L734" s="242"/>
      <c r="M734" s="242"/>
      <c r="N734" s="242"/>
      <c r="O734" s="242"/>
      <c r="P734" s="242"/>
      <c r="Q734" s="242"/>
      <c r="R734" s="242"/>
      <c r="S734" s="242"/>
      <c r="T734" s="242"/>
      <c r="U734" s="242"/>
      <c r="V734" s="242"/>
      <c r="W734" s="242"/>
    </row>
    <row r="735">
      <c r="A735" s="13"/>
      <c r="B735" s="252"/>
      <c r="C735" s="252"/>
      <c r="D735" s="252"/>
      <c r="E735" s="252"/>
      <c r="F735" s="252"/>
      <c r="G735" s="252"/>
      <c r="H735" s="551"/>
      <c r="I735" s="242"/>
      <c r="J735" s="242"/>
      <c r="K735" s="242"/>
      <c r="L735" s="242"/>
      <c r="M735" s="242"/>
      <c r="N735" s="242"/>
      <c r="O735" s="242"/>
      <c r="P735" s="242"/>
      <c r="Q735" s="242"/>
      <c r="R735" s="242"/>
      <c r="S735" s="242"/>
      <c r="T735" s="242"/>
      <c r="U735" s="242"/>
      <c r="V735" s="242"/>
      <c r="W735" s="242"/>
    </row>
    <row r="736">
      <c r="A736" s="13"/>
      <c r="B736" s="252"/>
      <c r="C736" s="252"/>
      <c r="D736" s="252"/>
      <c r="E736" s="252"/>
      <c r="F736" s="252"/>
      <c r="G736" s="252"/>
      <c r="H736" s="551"/>
      <c r="I736" s="242"/>
      <c r="J736" s="242"/>
      <c r="K736" s="242"/>
      <c r="L736" s="242"/>
      <c r="M736" s="242"/>
      <c r="N736" s="242"/>
      <c r="O736" s="242"/>
      <c r="P736" s="242"/>
      <c r="Q736" s="242"/>
      <c r="R736" s="242"/>
      <c r="S736" s="242"/>
      <c r="T736" s="242"/>
      <c r="U736" s="242"/>
      <c r="V736" s="242"/>
      <c r="W736" s="242"/>
    </row>
    <row r="737">
      <c r="A737" s="13"/>
      <c r="B737" s="252"/>
      <c r="C737" s="252"/>
      <c r="D737" s="252"/>
      <c r="E737" s="252"/>
      <c r="F737" s="252"/>
      <c r="G737" s="252"/>
      <c r="H737" s="551"/>
      <c r="I737" s="242"/>
      <c r="J737" s="242"/>
      <c r="K737" s="242"/>
      <c r="L737" s="242"/>
      <c r="M737" s="242"/>
      <c r="N737" s="242"/>
      <c r="O737" s="242"/>
      <c r="P737" s="242"/>
      <c r="Q737" s="242"/>
      <c r="R737" s="242"/>
      <c r="S737" s="242"/>
      <c r="T737" s="242"/>
      <c r="U737" s="242"/>
      <c r="V737" s="242"/>
      <c r="W737" s="242"/>
    </row>
    <row r="738">
      <c r="A738" s="13"/>
      <c r="B738" s="252"/>
      <c r="C738" s="252"/>
      <c r="D738" s="252"/>
      <c r="E738" s="252"/>
      <c r="F738" s="252"/>
      <c r="G738" s="252"/>
      <c r="H738" s="551"/>
      <c r="I738" s="242"/>
      <c r="J738" s="242"/>
      <c r="K738" s="242"/>
      <c r="L738" s="242"/>
      <c r="M738" s="242"/>
      <c r="N738" s="242"/>
      <c r="O738" s="242"/>
      <c r="P738" s="242"/>
      <c r="Q738" s="242"/>
      <c r="R738" s="242"/>
      <c r="S738" s="242"/>
      <c r="T738" s="242"/>
      <c r="U738" s="242"/>
      <c r="V738" s="242"/>
      <c r="W738" s="242"/>
    </row>
    <row r="739">
      <c r="A739" s="13"/>
      <c r="B739" s="252"/>
      <c r="C739" s="252"/>
      <c r="D739" s="252"/>
      <c r="E739" s="252"/>
      <c r="F739" s="252"/>
      <c r="G739" s="252"/>
      <c r="H739" s="551"/>
      <c r="I739" s="242"/>
      <c r="J739" s="242"/>
      <c r="K739" s="242"/>
      <c r="L739" s="242"/>
      <c r="M739" s="242"/>
      <c r="N739" s="242"/>
      <c r="O739" s="242"/>
      <c r="P739" s="242"/>
      <c r="Q739" s="242"/>
      <c r="R739" s="242"/>
      <c r="S739" s="242"/>
      <c r="T739" s="242"/>
      <c r="U739" s="242"/>
      <c r="V739" s="242"/>
      <c r="W739" s="242"/>
    </row>
    <row r="740">
      <c r="A740" s="13"/>
      <c r="B740" s="252"/>
      <c r="C740" s="252"/>
      <c r="D740" s="252"/>
      <c r="E740" s="252"/>
      <c r="F740" s="252"/>
      <c r="G740" s="252"/>
      <c r="H740" s="551"/>
      <c r="I740" s="242"/>
      <c r="J740" s="242"/>
      <c r="K740" s="242"/>
      <c r="L740" s="242"/>
      <c r="M740" s="242"/>
      <c r="N740" s="242"/>
      <c r="O740" s="242"/>
      <c r="P740" s="242"/>
      <c r="Q740" s="242"/>
      <c r="R740" s="242"/>
      <c r="S740" s="242"/>
      <c r="T740" s="242"/>
      <c r="U740" s="242"/>
      <c r="V740" s="242"/>
      <c r="W740" s="242"/>
    </row>
    <row r="741">
      <c r="A741" s="13"/>
      <c r="B741" s="252"/>
      <c r="C741" s="252"/>
      <c r="D741" s="252"/>
      <c r="E741" s="252"/>
      <c r="F741" s="252"/>
      <c r="G741" s="252"/>
      <c r="H741" s="551"/>
      <c r="I741" s="242"/>
      <c r="J741" s="242"/>
      <c r="K741" s="242"/>
      <c r="L741" s="242"/>
      <c r="M741" s="242"/>
      <c r="N741" s="242"/>
      <c r="O741" s="242"/>
      <c r="P741" s="242"/>
      <c r="Q741" s="242"/>
      <c r="R741" s="242"/>
      <c r="S741" s="242"/>
      <c r="T741" s="242"/>
      <c r="U741" s="242"/>
      <c r="V741" s="242"/>
      <c r="W741" s="242"/>
    </row>
    <row r="742">
      <c r="A742" s="13"/>
      <c r="B742" s="252"/>
      <c r="C742" s="252"/>
      <c r="D742" s="252"/>
      <c r="E742" s="252"/>
      <c r="F742" s="252"/>
      <c r="G742" s="252"/>
      <c r="H742" s="551"/>
      <c r="I742" s="242"/>
      <c r="J742" s="242"/>
      <c r="K742" s="242"/>
      <c r="L742" s="242"/>
      <c r="M742" s="242"/>
      <c r="N742" s="242"/>
      <c r="O742" s="242"/>
      <c r="P742" s="242"/>
      <c r="Q742" s="242"/>
      <c r="R742" s="242"/>
      <c r="S742" s="242"/>
      <c r="T742" s="242"/>
      <c r="U742" s="242"/>
      <c r="V742" s="242"/>
      <c r="W742" s="242"/>
    </row>
    <row r="743">
      <c r="A743" s="13"/>
      <c r="B743" s="252"/>
      <c r="C743" s="252"/>
      <c r="D743" s="252"/>
      <c r="E743" s="252"/>
      <c r="F743" s="252"/>
      <c r="G743" s="252"/>
      <c r="H743" s="551"/>
      <c r="I743" s="242"/>
      <c r="J743" s="242"/>
      <c r="K743" s="242"/>
      <c r="L743" s="242"/>
      <c r="M743" s="242"/>
      <c r="N743" s="242"/>
      <c r="O743" s="242"/>
      <c r="P743" s="242"/>
      <c r="Q743" s="242"/>
      <c r="R743" s="242"/>
      <c r="S743" s="242"/>
      <c r="T743" s="242"/>
      <c r="U743" s="242"/>
      <c r="V743" s="242"/>
      <c r="W743" s="242"/>
    </row>
    <row r="744">
      <c r="A744" s="13"/>
      <c r="B744" s="252"/>
      <c r="C744" s="252"/>
      <c r="D744" s="252"/>
      <c r="E744" s="252"/>
      <c r="F744" s="252"/>
      <c r="G744" s="252"/>
      <c r="H744" s="551"/>
      <c r="I744" s="242"/>
      <c r="J744" s="242"/>
      <c r="K744" s="242"/>
      <c r="L744" s="242"/>
      <c r="M744" s="242"/>
      <c r="N744" s="242"/>
      <c r="O744" s="242"/>
      <c r="P744" s="242"/>
      <c r="Q744" s="242"/>
      <c r="R744" s="242"/>
      <c r="S744" s="242"/>
      <c r="T744" s="242"/>
      <c r="U744" s="242"/>
      <c r="V744" s="242"/>
      <c r="W744" s="242"/>
    </row>
    <row r="745">
      <c r="A745" s="13"/>
      <c r="B745" s="252"/>
      <c r="C745" s="252"/>
      <c r="D745" s="252"/>
      <c r="E745" s="252"/>
      <c r="F745" s="252"/>
      <c r="G745" s="252"/>
      <c r="H745" s="551"/>
      <c r="I745" s="242"/>
      <c r="J745" s="242"/>
      <c r="K745" s="242"/>
      <c r="L745" s="242"/>
      <c r="M745" s="242"/>
      <c r="N745" s="242"/>
      <c r="O745" s="242"/>
      <c r="P745" s="242"/>
      <c r="Q745" s="242"/>
      <c r="R745" s="242"/>
      <c r="S745" s="242"/>
      <c r="T745" s="242"/>
      <c r="U745" s="242"/>
      <c r="V745" s="242"/>
      <c r="W745" s="242"/>
    </row>
    <row r="746">
      <c r="A746" s="13"/>
      <c r="B746" s="252"/>
      <c r="C746" s="252"/>
      <c r="D746" s="252"/>
      <c r="E746" s="252"/>
      <c r="F746" s="252"/>
      <c r="G746" s="252"/>
      <c r="H746" s="551"/>
      <c r="I746" s="242"/>
      <c r="J746" s="242"/>
      <c r="K746" s="242"/>
      <c r="L746" s="242"/>
      <c r="M746" s="242"/>
      <c r="N746" s="242"/>
      <c r="O746" s="242"/>
      <c r="P746" s="242"/>
      <c r="Q746" s="242"/>
      <c r="R746" s="242"/>
      <c r="S746" s="242"/>
      <c r="T746" s="242"/>
      <c r="U746" s="242"/>
      <c r="V746" s="242"/>
      <c r="W746" s="242"/>
    </row>
    <row r="747">
      <c r="A747" s="13"/>
      <c r="B747" s="252"/>
      <c r="C747" s="252"/>
      <c r="D747" s="252"/>
      <c r="E747" s="252"/>
      <c r="F747" s="252"/>
      <c r="G747" s="252"/>
      <c r="H747" s="551"/>
      <c r="I747" s="242"/>
      <c r="J747" s="242"/>
      <c r="K747" s="242"/>
      <c r="L747" s="242"/>
      <c r="M747" s="242"/>
      <c r="N747" s="242"/>
      <c r="O747" s="242"/>
      <c r="P747" s="242"/>
      <c r="Q747" s="242"/>
      <c r="R747" s="242"/>
      <c r="S747" s="242"/>
      <c r="T747" s="242"/>
      <c r="U747" s="242"/>
      <c r="V747" s="242"/>
      <c r="W747" s="242"/>
    </row>
    <row r="748">
      <c r="A748" s="13"/>
      <c r="B748" s="252"/>
      <c r="C748" s="252"/>
      <c r="D748" s="252"/>
      <c r="E748" s="252"/>
      <c r="F748" s="252"/>
      <c r="G748" s="252"/>
      <c r="H748" s="551"/>
      <c r="I748" s="242"/>
      <c r="J748" s="242"/>
      <c r="K748" s="242"/>
      <c r="L748" s="242"/>
      <c r="M748" s="242"/>
      <c r="N748" s="242"/>
      <c r="O748" s="242"/>
      <c r="P748" s="242"/>
      <c r="Q748" s="242"/>
      <c r="R748" s="242"/>
      <c r="S748" s="242"/>
      <c r="T748" s="242"/>
      <c r="U748" s="242"/>
      <c r="V748" s="242"/>
      <c r="W748" s="242"/>
    </row>
    <row r="749">
      <c r="A749" s="13"/>
      <c r="B749" s="252"/>
      <c r="C749" s="252"/>
      <c r="D749" s="252"/>
      <c r="E749" s="252"/>
      <c r="F749" s="252"/>
      <c r="G749" s="252"/>
      <c r="H749" s="551"/>
      <c r="I749" s="242"/>
      <c r="J749" s="242"/>
      <c r="K749" s="242"/>
      <c r="L749" s="242"/>
      <c r="M749" s="242"/>
      <c r="N749" s="242"/>
      <c r="O749" s="242"/>
      <c r="P749" s="242"/>
      <c r="Q749" s="242"/>
      <c r="R749" s="242"/>
      <c r="S749" s="242"/>
      <c r="T749" s="242"/>
      <c r="U749" s="242"/>
      <c r="V749" s="242"/>
      <c r="W749" s="242"/>
    </row>
    <row r="750">
      <c r="A750" s="13"/>
      <c r="B750" s="252"/>
      <c r="C750" s="252"/>
      <c r="D750" s="252"/>
      <c r="E750" s="252"/>
      <c r="F750" s="252"/>
      <c r="G750" s="252"/>
      <c r="H750" s="551"/>
      <c r="I750" s="242"/>
      <c r="J750" s="242"/>
      <c r="K750" s="242"/>
      <c r="L750" s="242"/>
      <c r="M750" s="242"/>
      <c r="N750" s="242"/>
      <c r="O750" s="242"/>
      <c r="P750" s="242"/>
      <c r="Q750" s="242"/>
      <c r="R750" s="242"/>
      <c r="S750" s="242"/>
      <c r="T750" s="242"/>
      <c r="U750" s="242"/>
      <c r="V750" s="242"/>
      <c r="W750" s="242"/>
    </row>
    <row r="751">
      <c r="A751" s="13"/>
      <c r="B751" s="252"/>
      <c r="C751" s="252"/>
      <c r="D751" s="252"/>
      <c r="E751" s="252"/>
      <c r="F751" s="252"/>
      <c r="G751" s="252"/>
      <c r="H751" s="551"/>
      <c r="I751" s="242"/>
      <c r="J751" s="242"/>
      <c r="K751" s="242"/>
      <c r="L751" s="242"/>
      <c r="M751" s="242"/>
      <c r="N751" s="242"/>
      <c r="O751" s="242"/>
      <c r="P751" s="242"/>
      <c r="Q751" s="242"/>
      <c r="R751" s="242"/>
      <c r="S751" s="242"/>
      <c r="T751" s="242"/>
      <c r="U751" s="242"/>
      <c r="V751" s="242"/>
      <c r="W751" s="242"/>
    </row>
    <row r="752">
      <c r="A752" s="13"/>
      <c r="B752" s="252"/>
      <c r="C752" s="252"/>
      <c r="D752" s="252"/>
      <c r="E752" s="252"/>
      <c r="F752" s="252"/>
      <c r="G752" s="252"/>
      <c r="H752" s="551"/>
      <c r="I752" s="242"/>
      <c r="J752" s="242"/>
      <c r="K752" s="242"/>
      <c r="L752" s="242"/>
      <c r="M752" s="242"/>
      <c r="N752" s="242"/>
      <c r="O752" s="242"/>
      <c r="P752" s="242"/>
      <c r="Q752" s="242"/>
      <c r="R752" s="242"/>
      <c r="S752" s="242"/>
      <c r="T752" s="242"/>
      <c r="U752" s="242"/>
      <c r="V752" s="242"/>
      <c r="W752" s="242"/>
    </row>
    <row r="753">
      <c r="A753" s="13"/>
      <c r="B753" s="252"/>
      <c r="C753" s="252"/>
      <c r="D753" s="252"/>
      <c r="E753" s="252"/>
      <c r="F753" s="252"/>
      <c r="G753" s="252"/>
      <c r="H753" s="551"/>
      <c r="I753" s="242"/>
      <c r="J753" s="242"/>
      <c r="K753" s="242"/>
      <c r="L753" s="242"/>
      <c r="M753" s="242"/>
      <c r="N753" s="242"/>
      <c r="O753" s="242"/>
      <c r="P753" s="242"/>
      <c r="Q753" s="242"/>
      <c r="R753" s="242"/>
      <c r="S753" s="242"/>
      <c r="T753" s="242"/>
      <c r="U753" s="242"/>
      <c r="V753" s="242"/>
      <c r="W753" s="242"/>
    </row>
    <row r="754">
      <c r="A754" s="13"/>
      <c r="B754" s="252"/>
      <c r="C754" s="252"/>
      <c r="D754" s="252"/>
      <c r="E754" s="252"/>
      <c r="F754" s="252"/>
      <c r="G754" s="252"/>
      <c r="H754" s="551"/>
      <c r="I754" s="242"/>
      <c r="J754" s="242"/>
      <c r="K754" s="242"/>
      <c r="L754" s="242"/>
      <c r="M754" s="242"/>
      <c r="N754" s="242"/>
      <c r="O754" s="242"/>
      <c r="P754" s="242"/>
      <c r="Q754" s="242"/>
      <c r="R754" s="242"/>
      <c r="S754" s="242"/>
      <c r="T754" s="242"/>
      <c r="U754" s="242"/>
      <c r="V754" s="242"/>
      <c r="W754" s="242"/>
    </row>
    <row r="755">
      <c r="A755" s="13"/>
      <c r="B755" s="252"/>
      <c r="C755" s="252"/>
      <c r="D755" s="252"/>
      <c r="E755" s="252"/>
      <c r="F755" s="252"/>
      <c r="G755" s="252"/>
      <c r="H755" s="551"/>
      <c r="I755" s="242"/>
      <c r="J755" s="242"/>
      <c r="K755" s="242"/>
      <c r="L755" s="242"/>
      <c r="M755" s="242"/>
      <c r="N755" s="242"/>
      <c r="O755" s="242"/>
      <c r="P755" s="242"/>
      <c r="Q755" s="242"/>
      <c r="R755" s="242"/>
      <c r="S755" s="242"/>
      <c r="T755" s="242"/>
      <c r="U755" s="242"/>
      <c r="V755" s="242"/>
      <c r="W755" s="242"/>
    </row>
    <row r="756">
      <c r="A756" s="13"/>
      <c r="B756" s="252"/>
      <c r="C756" s="252"/>
      <c r="D756" s="252"/>
      <c r="E756" s="252"/>
      <c r="F756" s="252"/>
      <c r="G756" s="252"/>
      <c r="H756" s="551"/>
      <c r="I756" s="242"/>
      <c r="J756" s="242"/>
      <c r="K756" s="242"/>
      <c r="L756" s="242"/>
      <c r="M756" s="242"/>
      <c r="N756" s="242"/>
      <c r="O756" s="242"/>
      <c r="P756" s="242"/>
      <c r="Q756" s="242"/>
      <c r="R756" s="242"/>
      <c r="S756" s="242"/>
      <c r="T756" s="242"/>
      <c r="U756" s="242"/>
      <c r="V756" s="242"/>
      <c r="W756" s="242"/>
    </row>
    <row r="757">
      <c r="A757" s="13"/>
      <c r="B757" s="252"/>
      <c r="C757" s="252"/>
      <c r="D757" s="252"/>
      <c r="E757" s="252"/>
      <c r="F757" s="252"/>
      <c r="G757" s="252"/>
      <c r="H757" s="551"/>
      <c r="I757" s="242"/>
      <c r="J757" s="242"/>
      <c r="K757" s="242"/>
      <c r="L757" s="242"/>
      <c r="M757" s="242"/>
      <c r="N757" s="242"/>
      <c r="O757" s="242"/>
      <c r="P757" s="242"/>
      <c r="Q757" s="242"/>
      <c r="R757" s="242"/>
      <c r="S757" s="242"/>
      <c r="T757" s="242"/>
      <c r="U757" s="242"/>
      <c r="V757" s="242"/>
      <c r="W757" s="242"/>
    </row>
    <row r="758">
      <c r="A758" s="13"/>
      <c r="B758" s="252"/>
      <c r="C758" s="252"/>
      <c r="D758" s="252"/>
      <c r="E758" s="252"/>
      <c r="F758" s="252"/>
      <c r="G758" s="252"/>
      <c r="H758" s="551"/>
      <c r="I758" s="242"/>
      <c r="J758" s="242"/>
      <c r="K758" s="242"/>
      <c r="L758" s="242"/>
      <c r="M758" s="242"/>
      <c r="N758" s="242"/>
      <c r="O758" s="242"/>
      <c r="P758" s="242"/>
      <c r="Q758" s="242"/>
      <c r="R758" s="242"/>
      <c r="S758" s="242"/>
      <c r="T758" s="242"/>
      <c r="U758" s="242"/>
      <c r="V758" s="242"/>
      <c r="W758" s="242"/>
    </row>
    <row r="759">
      <c r="A759" s="13"/>
      <c r="B759" s="252"/>
      <c r="C759" s="252"/>
      <c r="D759" s="252"/>
      <c r="E759" s="252"/>
      <c r="F759" s="252"/>
      <c r="G759" s="252"/>
      <c r="H759" s="551"/>
      <c r="I759" s="242"/>
      <c r="J759" s="242"/>
      <c r="K759" s="242"/>
      <c r="L759" s="242"/>
      <c r="M759" s="242"/>
      <c r="N759" s="242"/>
      <c r="O759" s="242"/>
      <c r="P759" s="242"/>
      <c r="Q759" s="242"/>
      <c r="R759" s="242"/>
      <c r="S759" s="242"/>
      <c r="T759" s="242"/>
      <c r="U759" s="242"/>
      <c r="V759" s="242"/>
      <c r="W759" s="242"/>
    </row>
    <row r="760">
      <c r="A760" s="13"/>
      <c r="B760" s="252"/>
      <c r="C760" s="252"/>
      <c r="D760" s="252"/>
      <c r="E760" s="252"/>
      <c r="F760" s="252"/>
      <c r="G760" s="252"/>
      <c r="H760" s="551"/>
      <c r="I760" s="242"/>
      <c r="J760" s="242"/>
      <c r="K760" s="242"/>
      <c r="L760" s="242"/>
      <c r="M760" s="242"/>
      <c r="N760" s="242"/>
      <c r="O760" s="242"/>
      <c r="P760" s="242"/>
      <c r="Q760" s="242"/>
      <c r="R760" s="242"/>
      <c r="S760" s="242"/>
      <c r="T760" s="242"/>
      <c r="U760" s="242"/>
      <c r="V760" s="242"/>
      <c r="W760" s="242"/>
    </row>
    <row r="761">
      <c r="A761" s="13"/>
      <c r="B761" s="252"/>
      <c r="C761" s="252"/>
      <c r="D761" s="252"/>
      <c r="E761" s="252"/>
      <c r="F761" s="252"/>
      <c r="G761" s="252"/>
      <c r="H761" s="551"/>
      <c r="I761" s="242"/>
      <c r="J761" s="242"/>
      <c r="K761" s="242"/>
      <c r="L761" s="242"/>
      <c r="M761" s="242"/>
      <c r="N761" s="242"/>
      <c r="O761" s="242"/>
      <c r="P761" s="242"/>
      <c r="Q761" s="242"/>
      <c r="R761" s="242"/>
      <c r="S761" s="242"/>
      <c r="T761" s="242"/>
      <c r="U761" s="242"/>
      <c r="V761" s="242"/>
      <c r="W761" s="242"/>
    </row>
    <row r="762">
      <c r="A762" s="13"/>
      <c r="B762" s="252"/>
      <c r="C762" s="252"/>
      <c r="D762" s="252"/>
      <c r="E762" s="252"/>
      <c r="F762" s="252"/>
      <c r="G762" s="252"/>
      <c r="H762" s="551"/>
      <c r="I762" s="242"/>
      <c r="J762" s="242"/>
      <c r="K762" s="242"/>
      <c r="L762" s="242"/>
      <c r="M762" s="242"/>
      <c r="N762" s="242"/>
      <c r="O762" s="242"/>
      <c r="P762" s="242"/>
      <c r="Q762" s="242"/>
      <c r="R762" s="242"/>
      <c r="S762" s="242"/>
      <c r="T762" s="242"/>
      <c r="U762" s="242"/>
      <c r="V762" s="242"/>
      <c r="W762" s="242"/>
    </row>
    <row r="763">
      <c r="A763" s="13"/>
      <c r="B763" s="252"/>
      <c r="C763" s="252"/>
      <c r="D763" s="252"/>
      <c r="E763" s="252"/>
      <c r="F763" s="252"/>
      <c r="G763" s="252"/>
      <c r="H763" s="551"/>
      <c r="I763" s="242"/>
      <c r="J763" s="242"/>
      <c r="K763" s="242"/>
      <c r="L763" s="242"/>
      <c r="M763" s="242"/>
      <c r="N763" s="242"/>
      <c r="O763" s="242"/>
      <c r="P763" s="242"/>
      <c r="Q763" s="242"/>
      <c r="R763" s="242"/>
      <c r="S763" s="242"/>
      <c r="T763" s="242"/>
      <c r="U763" s="242"/>
      <c r="V763" s="242"/>
      <c r="W763" s="242"/>
    </row>
    <row r="764">
      <c r="A764" s="13"/>
      <c r="B764" s="252"/>
      <c r="C764" s="252"/>
      <c r="D764" s="252"/>
      <c r="E764" s="252"/>
      <c r="F764" s="252"/>
      <c r="G764" s="252"/>
      <c r="H764" s="551"/>
      <c r="I764" s="242"/>
      <c r="J764" s="242"/>
      <c r="K764" s="242"/>
      <c r="L764" s="242"/>
      <c r="M764" s="242"/>
      <c r="N764" s="242"/>
      <c r="O764" s="242"/>
      <c r="P764" s="242"/>
      <c r="Q764" s="242"/>
      <c r="R764" s="242"/>
      <c r="S764" s="242"/>
      <c r="T764" s="242"/>
      <c r="U764" s="242"/>
      <c r="V764" s="242"/>
      <c r="W764" s="242"/>
    </row>
    <row r="765">
      <c r="A765" s="13"/>
      <c r="B765" s="252"/>
      <c r="C765" s="252"/>
      <c r="D765" s="252"/>
      <c r="E765" s="252"/>
      <c r="F765" s="252"/>
      <c r="G765" s="252"/>
      <c r="H765" s="551"/>
      <c r="I765" s="242"/>
      <c r="J765" s="242"/>
      <c r="K765" s="242"/>
      <c r="L765" s="242"/>
      <c r="M765" s="242"/>
      <c r="N765" s="242"/>
      <c r="O765" s="242"/>
      <c r="P765" s="242"/>
      <c r="Q765" s="242"/>
      <c r="R765" s="242"/>
      <c r="S765" s="242"/>
      <c r="T765" s="242"/>
      <c r="U765" s="242"/>
      <c r="V765" s="242"/>
      <c r="W765" s="242"/>
    </row>
    <row r="766">
      <c r="A766" s="13"/>
      <c r="B766" s="252"/>
      <c r="C766" s="252"/>
      <c r="D766" s="252"/>
      <c r="E766" s="252"/>
      <c r="F766" s="252"/>
      <c r="G766" s="252"/>
      <c r="H766" s="551"/>
      <c r="I766" s="242"/>
      <c r="J766" s="242"/>
      <c r="K766" s="242"/>
      <c r="L766" s="242"/>
      <c r="M766" s="242"/>
      <c r="N766" s="242"/>
      <c r="O766" s="242"/>
      <c r="P766" s="242"/>
      <c r="Q766" s="242"/>
      <c r="R766" s="242"/>
      <c r="S766" s="242"/>
      <c r="T766" s="242"/>
      <c r="U766" s="242"/>
      <c r="V766" s="242"/>
      <c r="W766" s="242"/>
    </row>
    <row r="767">
      <c r="A767" s="13"/>
      <c r="B767" s="252"/>
      <c r="C767" s="252"/>
      <c r="D767" s="252"/>
      <c r="E767" s="252"/>
      <c r="F767" s="252"/>
      <c r="G767" s="252"/>
      <c r="H767" s="551"/>
      <c r="I767" s="242"/>
      <c r="J767" s="242"/>
      <c r="K767" s="242"/>
      <c r="L767" s="242"/>
      <c r="M767" s="242"/>
      <c r="N767" s="242"/>
      <c r="O767" s="242"/>
      <c r="P767" s="242"/>
      <c r="Q767" s="242"/>
      <c r="R767" s="242"/>
      <c r="S767" s="242"/>
      <c r="T767" s="242"/>
      <c r="U767" s="242"/>
      <c r="V767" s="242"/>
      <c r="W767" s="242"/>
    </row>
    <row r="768">
      <c r="A768" s="13"/>
      <c r="B768" s="252"/>
      <c r="C768" s="252"/>
      <c r="D768" s="252"/>
      <c r="E768" s="252"/>
      <c r="F768" s="252"/>
      <c r="G768" s="252"/>
      <c r="H768" s="551"/>
      <c r="I768" s="242"/>
      <c r="J768" s="242"/>
      <c r="K768" s="242"/>
      <c r="L768" s="242"/>
      <c r="M768" s="242"/>
      <c r="N768" s="242"/>
      <c r="O768" s="242"/>
      <c r="P768" s="242"/>
      <c r="Q768" s="242"/>
      <c r="R768" s="242"/>
      <c r="S768" s="242"/>
      <c r="T768" s="242"/>
      <c r="U768" s="242"/>
      <c r="V768" s="242"/>
      <c r="W768" s="242"/>
    </row>
    <row r="769">
      <c r="A769" s="13"/>
      <c r="B769" s="252"/>
      <c r="C769" s="252"/>
      <c r="D769" s="252"/>
      <c r="E769" s="252"/>
      <c r="F769" s="252"/>
      <c r="G769" s="252"/>
      <c r="H769" s="551"/>
      <c r="I769" s="242"/>
      <c r="J769" s="242"/>
      <c r="K769" s="242"/>
      <c r="L769" s="242"/>
      <c r="M769" s="242"/>
      <c r="N769" s="242"/>
      <c r="O769" s="242"/>
      <c r="P769" s="242"/>
      <c r="Q769" s="242"/>
      <c r="R769" s="242"/>
      <c r="S769" s="242"/>
      <c r="T769" s="242"/>
      <c r="U769" s="242"/>
      <c r="V769" s="242"/>
      <c r="W769" s="242"/>
    </row>
    <row r="770">
      <c r="A770" s="13"/>
      <c r="B770" s="252"/>
      <c r="C770" s="252"/>
      <c r="D770" s="252"/>
      <c r="E770" s="252"/>
      <c r="F770" s="252"/>
      <c r="G770" s="252"/>
      <c r="H770" s="551"/>
      <c r="I770" s="242"/>
      <c r="J770" s="242"/>
      <c r="K770" s="242"/>
      <c r="L770" s="242"/>
      <c r="M770" s="242"/>
      <c r="N770" s="242"/>
      <c r="O770" s="242"/>
      <c r="P770" s="242"/>
      <c r="Q770" s="242"/>
      <c r="R770" s="242"/>
      <c r="S770" s="242"/>
      <c r="T770" s="242"/>
      <c r="U770" s="242"/>
      <c r="V770" s="242"/>
      <c r="W770" s="242"/>
    </row>
    <row r="771">
      <c r="A771" s="13"/>
      <c r="B771" s="252"/>
      <c r="C771" s="252"/>
      <c r="D771" s="252"/>
      <c r="E771" s="252"/>
      <c r="F771" s="252"/>
      <c r="G771" s="252"/>
      <c r="H771" s="551"/>
      <c r="I771" s="242"/>
      <c r="J771" s="242"/>
      <c r="K771" s="242"/>
      <c r="L771" s="242"/>
      <c r="M771" s="242"/>
      <c r="N771" s="242"/>
      <c r="O771" s="242"/>
      <c r="P771" s="242"/>
      <c r="Q771" s="242"/>
      <c r="R771" s="242"/>
      <c r="S771" s="242"/>
      <c r="T771" s="242"/>
      <c r="U771" s="242"/>
      <c r="V771" s="242"/>
      <c r="W771" s="242"/>
    </row>
    <row r="772">
      <c r="A772" s="13"/>
      <c r="B772" s="252"/>
      <c r="C772" s="252"/>
      <c r="D772" s="252"/>
      <c r="E772" s="252"/>
      <c r="F772" s="252"/>
      <c r="G772" s="252"/>
      <c r="H772" s="551"/>
      <c r="I772" s="242"/>
      <c r="J772" s="242"/>
      <c r="K772" s="242"/>
      <c r="L772" s="242"/>
      <c r="M772" s="242"/>
      <c r="N772" s="242"/>
      <c r="O772" s="242"/>
      <c r="P772" s="242"/>
      <c r="Q772" s="242"/>
      <c r="R772" s="242"/>
      <c r="S772" s="242"/>
      <c r="T772" s="242"/>
      <c r="U772" s="242"/>
      <c r="V772" s="242"/>
      <c r="W772" s="242"/>
    </row>
    <row r="773">
      <c r="A773" s="13"/>
      <c r="B773" s="252"/>
      <c r="C773" s="252"/>
      <c r="D773" s="252"/>
      <c r="E773" s="252"/>
      <c r="F773" s="252"/>
      <c r="G773" s="252"/>
      <c r="H773" s="551"/>
      <c r="I773" s="242"/>
      <c r="J773" s="242"/>
      <c r="K773" s="242"/>
      <c r="L773" s="242"/>
      <c r="M773" s="242"/>
      <c r="N773" s="242"/>
      <c r="O773" s="242"/>
      <c r="P773" s="242"/>
      <c r="Q773" s="242"/>
      <c r="R773" s="242"/>
      <c r="S773" s="242"/>
      <c r="T773" s="242"/>
      <c r="U773" s="242"/>
      <c r="V773" s="242"/>
      <c r="W773" s="242"/>
    </row>
    <row r="774">
      <c r="A774" s="13"/>
      <c r="B774" s="252"/>
      <c r="C774" s="252"/>
      <c r="D774" s="252"/>
      <c r="E774" s="252"/>
      <c r="F774" s="252"/>
      <c r="G774" s="252"/>
      <c r="H774" s="551"/>
      <c r="I774" s="242"/>
      <c r="J774" s="242"/>
      <c r="K774" s="242"/>
      <c r="L774" s="242"/>
      <c r="M774" s="242"/>
      <c r="N774" s="242"/>
      <c r="O774" s="242"/>
      <c r="P774" s="242"/>
      <c r="Q774" s="242"/>
      <c r="R774" s="242"/>
      <c r="S774" s="242"/>
      <c r="T774" s="242"/>
      <c r="U774" s="242"/>
      <c r="V774" s="242"/>
      <c r="W774" s="242"/>
    </row>
    <row r="775">
      <c r="A775" s="13"/>
      <c r="B775" s="252"/>
      <c r="C775" s="252"/>
      <c r="D775" s="252"/>
      <c r="E775" s="252"/>
      <c r="F775" s="252"/>
      <c r="G775" s="252"/>
      <c r="H775" s="551"/>
      <c r="I775" s="242"/>
      <c r="J775" s="242"/>
      <c r="K775" s="242"/>
      <c r="L775" s="242"/>
      <c r="M775" s="242"/>
      <c r="N775" s="242"/>
      <c r="O775" s="242"/>
      <c r="P775" s="242"/>
      <c r="Q775" s="242"/>
      <c r="R775" s="242"/>
      <c r="S775" s="242"/>
      <c r="T775" s="242"/>
      <c r="U775" s="242"/>
      <c r="V775" s="242"/>
      <c r="W775" s="242"/>
    </row>
    <row r="776">
      <c r="A776" s="13"/>
      <c r="B776" s="252"/>
      <c r="C776" s="252"/>
      <c r="D776" s="252"/>
      <c r="E776" s="252"/>
      <c r="F776" s="252"/>
      <c r="G776" s="252"/>
      <c r="H776" s="551"/>
      <c r="I776" s="242"/>
      <c r="J776" s="242"/>
      <c r="K776" s="242"/>
      <c r="L776" s="242"/>
      <c r="M776" s="242"/>
      <c r="N776" s="242"/>
      <c r="O776" s="242"/>
      <c r="P776" s="242"/>
      <c r="Q776" s="242"/>
      <c r="R776" s="242"/>
      <c r="S776" s="242"/>
      <c r="T776" s="242"/>
      <c r="U776" s="242"/>
      <c r="V776" s="242"/>
      <c r="W776" s="242"/>
    </row>
    <row r="777">
      <c r="A777" s="13"/>
      <c r="B777" s="252"/>
      <c r="C777" s="252"/>
      <c r="D777" s="252"/>
      <c r="E777" s="252"/>
      <c r="F777" s="252"/>
      <c r="G777" s="252"/>
      <c r="H777" s="551"/>
      <c r="I777" s="242"/>
      <c r="J777" s="242"/>
      <c r="K777" s="242"/>
      <c r="L777" s="242"/>
      <c r="M777" s="242"/>
      <c r="N777" s="242"/>
      <c r="O777" s="242"/>
      <c r="P777" s="242"/>
      <c r="Q777" s="242"/>
      <c r="R777" s="242"/>
      <c r="S777" s="242"/>
      <c r="T777" s="242"/>
      <c r="U777" s="242"/>
      <c r="V777" s="242"/>
      <c r="W777" s="242"/>
    </row>
    <row r="778">
      <c r="A778" s="13"/>
      <c r="B778" s="252"/>
      <c r="C778" s="252"/>
      <c r="D778" s="252"/>
      <c r="E778" s="252"/>
      <c r="F778" s="252"/>
      <c r="G778" s="252"/>
      <c r="H778" s="551"/>
      <c r="I778" s="242"/>
      <c r="J778" s="242"/>
      <c r="K778" s="242"/>
      <c r="L778" s="242"/>
      <c r="M778" s="242"/>
      <c r="N778" s="242"/>
      <c r="O778" s="242"/>
      <c r="P778" s="242"/>
      <c r="Q778" s="242"/>
      <c r="R778" s="242"/>
      <c r="S778" s="242"/>
      <c r="T778" s="242"/>
      <c r="U778" s="242"/>
      <c r="V778" s="242"/>
      <c r="W778" s="242"/>
    </row>
    <row r="779">
      <c r="A779" s="13"/>
      <c r="B779" s="252"/>
      <c r="C779" s="252"/>
      <c r="D779" s="252"/>
      <c r="E779" s="252"/>
      <c r="F779" s="252"/>
      <c r="G779" s="252"/>
      <c r="H779" s="551"/>
      <c r="I779" s="242"/>
      <c r="J779" s="242"/>
      <c r="K779" s="242"/>
      <c r="L779" s="242"/>
      <c r="M779" s="242"/>
      <c r="N779" s="242"/>
      <c r="O779" s="242"/>
      <c r="P779" s="242"/>
      <c r="Q779" s="242"/>
      <c r="R779" s="242"/>
      <c r="S779" s="242"/>
      <c r="T779" s="242"/>
      <c r="U779" s="242"/>
      <c r="V779" s="242"/>
      <c r="W779" s="242"/>
    </row>
    <row r="780">
      <c r="A780" s="13"/>
      <c r="B780" s="252"/>
      <c r="C780" s="252"/>
      <c r="D780" s="252"/>
      <c r="E780" s="252"/>
      <c r="F780" s="252"/>
      <c r="G780" s="252"/>
      <c r="H780" s="551"/>
      <c r="I780" s="242"/>
      <c r="J780" s="242"/>
      <c r="K780" s="242"/>
      <c r="L780" s="242"/>
      <c r="M780" s="242"/>
      <c r="N780" s="242"/>
      <c r="O780" s="242"/>
      <c r="P780" s="242"/>
      <c r="Q780" s="242"/>
      <c r="R780" s="242"/>
      <c r="S780" s="242"/>
      <c r="T780" s="242"/>
      <c r="U780" s="242"/>
      <c r="V780" s="242"/>
      <c r="W780" s="242"/>
    </row>
    <row r="781">
      <c r="A781" s="13"/>
      <c r="B781" s="252"/>
      <c r="C781" s="252"/>
      <c r="D781" s="252"/>
      <c r="E781" s="252"/>
      <c r="F781" s="252"/>
      <c r="G781" s="252"/>
      <c r="H781" s="551"/>
      <c r="I781" s="242"/>
      <c r="J781" s="242"/>
      <c r="K781" s="242"/>
      <c r="L781" s="242"/>
      <c r="M781" s="242"/>
      <c r="N781" s="242"/>
      <c r="O781" s="242"/>
      <c r="P781" s="242"/>
      <c r="Q781" s="242"/>
      <c r="R781" s="242"/>
      <c r="S781" s="242"/>
      <c r="T781" s="242"/>
      <c r="U781" s="242"/>
      <c r="V781" s="242"/>
      <c r="W781" s="242"/>
    </row>
    <row r="782">
      <c r="A782" s="13"/>
      <c r="B782" s="252"/>
      <c r="C782" s="252"/>
      <c r="D782" s="252"/>
      <c r="E782" s="252"/>
      <c r="F782" s="252"/>
      <c r="G782" s="252"/>
      <c r="H782" s="551"/>
      <c r="I782" s="242"/>
      <c r="J782" s="242"/>
      <c r="K782" s="242"/>
      <c r="L782" s="242"/>
      <c r="M782" s="242"/>
      <c r="N782" s="242"/>
      <c r="O782" s="242"/>
      <c r="P782" s="242"/>
      <c r="Q782" s="242"/>
      <c r="R782" s="242"/>
      <c r="S782" s="242"/>
      <c r="T782" s="242"/>
      <c r="U782" s="242"/>
      <c r="V782" s="242"/>
      <c r="W782" s="242"/>
    </row>
    <row r="783">
      <c r="A783" s="13"/>
      <c r="B783" s="252"/>
      <c r="C783" s="252"/>
      <c r="D783" s="252"/>
      <c r="E783" s="252"/>
      <c r="F783" s="252"/>
      <c r="G783" s="252"/>
      <c r="H783" s="551"/>
      <c r="I783" s="242"/>
      <c r="J783" s="242"/>
      <c r="K783" s="242"/>
      <c r="L783" s="242"/>
      <c r="M783" s="242"/>
      <c r="N783" s="242"/>
      <c r="O783" s="242"/>
      <c r="P783" s="242"/>
      <c r="Q783" s="242"/>
      <c r="R783" s="242"/>
      <c r="S783" s="242"/>
      <c r="T783" s="242"/>
      <c r="U783" s="242"/>
      <c r="V783" s="242"/>
      <c r="W783" s="242"/>
    </row>
    <row r="784">
      <c r="A784" s="13"/>
      <c r="B784" s="252"/>
      <c r="C784" s="252"/>
      <c r="D784" s="252"/>
      <c r="E784" s="252"/>
      <c r="F784" s="252"/>
      <c r="G784" s="252"/>
      <c r="H784" s="551"/>
      <c r="I784" s="242"/>
      <c r="J784" s="242"/>
      <c r="K784" s="242"/>
      <c r="L784" s="242"/>
      <c r="M784" s="242"/>
      <c r="N784" s="242"/>
      <c r="O784" s="242"/>
      <c r="P784" s="242"/>
      <c r="Q784" s="242"/>
      <c r="R784" s="242"/>
      <c r="S784" s="242"/>
      <c r="T784" s="242"/>
      <c r="U784" s="242"/>
      <c r="V784" s="242"/>
      <c r="W784" s="242"/>
    </row>
    <row r="785">
      <c r="A785" s="13"/>
      <c r="B785" s="252"/>
      <c r="C785" s="252"/>
      <c r="D785" s="252"/>
      <c r="E785" s="252"/>
      <c r="F785" s="252"/>
      <c r="G785" s="252"/>
      <c r="H785" s="551"/>
      <c r="I785" s="242"/>
      <c r="J785" s="242"/>
      <c r="K785" s="242"/>
      <c r="L785" s="242"/>
      <c r="M785" s="242"/>
      <c r="N785" s="242"/>
      <c r="O785" s="242"/>
      <c r="P785" s="242"/>
      <c r="Q785" s="242"/>
      <c r="R785" s="242"/>
      <c r="S785" s="242"/>
      <c r="T785" s="242"/>
      <c r="U785" s="242"/>
      <c r="V785" s="242"/>
      <c r="W785" s="242"/>
    </row>
    <row r="786">
      <c r="A786" s="13"/>
      <c r="B786" s="252"/>
      <c r="C786" s="252"/>
      <c r="D786" s="252"/>
      <c r="E786" s="252"/>
      <c r="F786" s="252"/>
      <c r="G786" s="252"/>
      <c r="H786" s="551"/>
      <c r="I786" s="242"/>
      <c r="J786" s="242"/>
      <c r="K786" s="242"/>
      <c r="L786" s="242"/>
      <c r="M786" s="242"/>
      <c r="N786" s="242"/>
      <c r="O786" s="242"/>
      <c r="P786" s="242"/>
      <c r="Q786" s="242"/>
      <c r="R786" s="242"/>
      <c r="S786" s="242"/>
      <c r="T786" s="242"/>
      <c r="U786" s="242"/>
      <c r="V786" s="242"/>
      <c r="W786" s="242"/>
    </row>
    <row r="787">
      <c r="A787" s="13"/>
      <c r="B787" s="252"/>
      <c r="C787" s="252"/>
      <c r="D787" s="252"/>
      <c r="E787" s="252"/>
      <c r="F787" s="252"/>
      <c r="G787" s="252"/>
      <c r="H787" s="551"/>
      <c r="I787" s="242"/>
      <c r="J787" s="242"/>
      <c r="K787" s="242"/>
      <c r="L787" s="242"/>
      <c r="M787" s="242"/>
      <c r="N787" s="242"/>
      <c r="O787" s="242"/>
      <c r="P787" s="242"/>
      <c r="Q787" s="242"/>
      <c r="R787" s="242"/>
      <c r="S787" s="242"/>
      <c r="T787" s="242"/>
      <c r="U787" s="242"/>
      <c r="V787" s="242"/>
      <c r="W787" s="242"/>
    </row>
    <row r="788">
      <c r="A788" s="13"/>
      <c r="B788" s="252"/>
      <c r="C788" s="252"/>
      <c r="D788" s="252"/>
      <c r="E788" s="252"/>
      <c r="F788" s="252"/>
      <c r="G788" s="252"/>
      <c r="H788" s="551"/>
      <c r="I788" s="242"/>
      <c r="J788" s="242"/>
      <c r="K788" s="242"/>
      <c r="L788" s="242"/>
      <c r="M788" s="242"/>
      <c r="N788" s="242"/>
      <c r="O788" s="242"/>
      <c r="P788" s="242"/>
      <c r="Q788" s="242"/>
      <c r="R788" s="242"/>
      <c r="S788" s="242"/>
      <c r="T788" s="242"/>
      <c r="U788" s="242"/>
      <c r="V788" s="242"/>
      <c r="W788" s="242"/>
    </row>
    <row r="789">
      <c r="A789" s="13"/>
      <c r="B789" s="252"/>
      <c r="C789" s="252"/>
      <c r="D789" s="252"/>
      <c r="E789" s="252"/>
      <c r="F789" s="252"/>
      <c r="G789" s="252"/>
      <c r="H789" s="551"/>
      <c r="I789" s="242"/>
      <c r="J789" s="242"/>
      <c r="K789" s="242"/>
      <c r="L789" s="242"/>
      <c r="M789" s="242"/>
      <c r="N789" s="242"/>
      <c r="O789" s="242"/>
      <c r="P789" s="242"/>
      <c r="Q789" s="242"/>
      <c r="R789" s="242"/>
      <c r="S789" s="242"/>
      <c r="T789" s="242"/>
      <c r="U789" s="242"/>
      <c r="V789" s="242"/>
      <c r="W789" s="242"/>
    </row>
    <row r="790">
      <c r="A790" s="13"/>
      <c r="B790" s="252"/>
      <c r="C790" s="252"/>
      <c r="D790" s="252"/>
      <c r="E790" s="252"/>
      <c r="F790" s="252"/>
      <c r="G790" s="252"/>
      <c r="H790" s="551"/>
      <c r="I790" s="242"/>
      <c r="J790" s="242"/>
      <c r="K790" s="242"/>
      <c r="L790" s="242"/>
      <c r="M790" s="242"/>
      <c r="N790" s="242"/>
      <c r="O790" s="242"/>
      <c r="P790" s="242"/>
      <c r="Q790" s="242"/>
      <c r="R790" s="242"/>
      <c r="S790" s="242"/>
      <c r="T790" s="242"/>
      <c r="U790" s="242"/>
      <c r="V790" s="242"/>
      <c r="W790" s="242"/>
    </row>
    <row r="791">
      <c r="A791" s="13"/>
      <c r="B791" s="252"/>
      <c r="C791" s="252"/>
      <c r="D791" s="252"/>
      <c r="E791" s="252"/>
      <c r="F791" s="252"/>
      <c r="G791" s="252"/>
      <c r="H791" s="551"/>
      <c r="I791" s="242"/>
      <c r="J791" s="242"/>
      <c r="K791" s="242"/>
      <c r="L791" s="242"/>
      <c r="M791" s="242"/>
      <c r="N791" s="242"/>
      <c r="O791" s="242"/>
      <c r="P791" s="242"/>
      <c r="Q791" s="242"/>
      <c r="R791" s="242"/>
      <c r="S791" s="242"/>
      <c r="T791" s="242"/>
      <c r="U791" s="242"/>
      <c r="V791" s="242"/>
      <c r="W791" s="242"/>
    </row>
    <row r="792">
      <c r="A792" s="13"/>
      <c r="B792" s="252"/>
      <c r="C792" s="252"/>
      <c r="D792" s="252"/>
      <c r="E792" s="252"/>
      <c r="F792" s="252"/>
      <c r="G792" s="252"/>
      <c r="H792" s="551"/>
      <c r="I792" s="242"/>
      <c r="J792" s="242"/>
      <c r="K792" s="242"/>
      <c r="L792" s="242"/>
      <c r="M792" s="242"/>
      <c r="N792" s="242"/>
      <c r="O792" s="242"/>
      <c r="P792" s="242"/>
      <c r="Q792" s="242"/>
      <c r="R792" s="242"/>
      <c r="S792" s="242"/>
      <c r="T792" s="242"/>
      <c r="U792" s="242"/>
      <c r="V792" s="242"/>
      <c r="W792" s="242"/>
    </row>
    <row r="793">
      <c r="A793" s="13"/>
      <c r="B793" s="252"/>
      <c r="C793" s="252"/>
      <c r="D793" s="252"/>
      <c r="E793" s="252"/>
      <c r="F793" s="252"/>
      <c r="G793" s="252"/>
      <c r="H793" s="551"/>
      <c r="I793" s="242"/>
      <c r="J793" s="242"/>
      <c r="K793" s="242"/>
      <c r="L793" s="242"/>
      <c r="M793" s="242"/>
      <c r="N793" s="242"/>
      <c r="O793" s="242"/>
      <c r="P793" s="242"/>
      <c r="Q793" s="242"/>
      <c r="R793" s="242"/>
      <c r="S793" s="242"/>
      <c r="T793" s="242"/>
      <c r="U793" s="242"/>
      <c r="V793" s="242"/>
      <c r="W793" s="242"/>
    </row>
    <row r="794">
      <c r="A794" s="13"/>
      <c r="B794" s="252"/>
      <c r="C794" s="252"/>
      <c r="D794" s="252"/>
      <c r="E794" s="252"/>
      <c r="F794" s="252"/>
      <c r="G794" s="252"/>
      <c r="H794" s="551"/>
      <c r="I794" s="242"/>
      <c r="J794" s="242"/>
      <c r="K794" s="242"/>
      <c r="L794" s="242"/>
      <c r="M794" s="242"/>
      <c r="N794" s="242"/>
      <c r="O794" s="242"/>
      <c r="P794" s="242"/>
      <c r="Q794" s="242"/>
      <c r="R794" s="242"/>
      <c r="S794" s="242"/>
      <c r="T794" s="242"/>
      <c r="U794" s="242"/>
      <c r="V794" s="242"/>
      <c r="W794" s="242"/>
    </row>
    <row r="795">
      <c r="A795" s="13"/>
      <c r="B795" s="252"/>
      <c r="C795" s="252"/>
      <c r="D795" s="252"/>
      <c r="E795" s="252"/>
      <c r="F795" s="252"/>
      <c r="G795" s="252"/>
      <c r="H795" s="551"/>
      <c r="I795" s="242"/>
      <c r="J795" s="242"/>
      <c r="K795" s="242"/>
      <c r="L795" s="242"/>
      <c r="M795" s="242"/>
      <c r="N795" s="242"/>
      <c r="O795" s="242"/>
      <c r="P795" s="242"/>
      <c r="Q795" s="242"/>
      <c r="R795" s="242"/>
      <c r="S795" s="242"/>
      <c r="T795" s="242"/>
      <c r="U795" s="242"/>
      <c r="V795" s="242"/>
      <c r="W795" s="242"/>
    </row>
    <row r="796">
      <c r="A796" s="13"/>
      <c r="B796" s="252"/>
      <c r="C796" s="252"/>
      <c r="D796" s="252"/>
      <c r="E796" s="252"/>
      <c r="F796" s="252"/>
      <c r="G796" s="252"/>
      <c r="H796" s="551"/>
      <c r="I796" s="242"/>
      <c r="J796" s="242"/>
      <c r="K796" s="242"/>
      <c r="L796" s="242"/>
      <c r="M796" s="242"/>
      <c r="N796" s="242"/>
      <c r="O796" s="242"/>
      <c r="P796" s="242"/>
      <c r="Q796" s="242"/>
      <c r="R796" s="242"/>
      <c r="S796" s="242"/>
      <c r="T796" s="242"/>
      <c r="U796" s="242"/>
      <c r="V796" s="242"/>
      <c r="W796" s="242"/>
    </row>
    <row r="797">
      <c r="A797" s="13"/>
      <c r="B797" s="252"/>
      <c r="C797" s="252"/>
      <c r="D797" s="252"/>
      <c r="E797" s="252"/>
      <c r="F797" s="252"/>
      <c r="G797" s="252"/>
      <c r="H797" s="551"/>
      <c r="I797" s="242"/>
      <c r="J797" s="242"/>
      <c r="K797" s="242"/>
      <c r="L797" s="242"/>
      <c r="M797" s="242"/>
      <c r="N797" s="242"/>
      <c r="O797" s="242"/>
      <c r="P797" s="242"/>
      <c r="Q797" s="242"/>
      <c r="R797" s="242"/>
      <c r="S797" s="242"/>
      <c r="T797" s="242"/>
      <c r="U797" s="242"/>
      <c r="V797" s="242"/>
      <c r="W797" s="242"/>
    </row>
    <row r="798">
      <c r="A798" s="13"/>
      <c r="B798" s="252"/>
      <c r="C798" s="252"/>
      <c r="D798" s="252"/>
      <c r="E798" s="252"/>
      <c r="F798" s="252"/>
      <c r="G798" s="252"/>
      <c r="H798" s="551"/>
      <c r="I798" s="242"/>
      <c r="J798" s="242"/>
      <c r="K798" s="242"/>
      <c r="L798" s="242"/>
      <c r="M798" s="242"/>
      <c r="N798" s="242"/>
      <c r="O798" s="242"/>
      <c r="P798" s="242"/>
      <c r="Q798" s="242"/>
      <c r="R798" s="242"/>
      <c r="S798" s="242"/>
      <c r="T798" s="242"/>
      <c r="U798" s="242"/>
      <c r="V798" s="242"/>
      <c r="W798" s="242"/>
    </row>
    <row r="799">
      <c r="A799" s="13"/>
      <c r="B799" s="252"/>
      <c r="C799" s="252"/>
      <c r="D799" s="252"/>
      <c r="E799" s="252"/>
      <c r="F799" s="252"/>
      <c r="G799" s="252"/>
      <c r="H799" s="551"/>
      <c r="I799" s="242"/>
      <c r="J799" s="242"/>
      <c r="K799" s="242"/>
      <c r="L799" s="242"/>
      <c r="M799" s="242"/>
      <c r="N799" s="242"/>
      <c r="O799" s="242"/>
      <c r="P799" s="242"/>
      <c r="Q799" s="242"/>
      <c r="R799" s="242"/>
      <c r="S799" s="242"/>
      <c r="T799" s="242"/>
      <c r="U799" s="242"/>
      <c r="V799" s="242"/>
      <c r="W799" s="242"/>
    </row>
    <row r="800">
      <c r="A800" s="13"/>
      <c r="B800" s="252"/>
      <c r="C800" s="252"/>
      <c r="D800" s="252"/>
      <c r="E800" s="252"/>
      <c r="F800" s="252"/>
      <c r="G800" s="252"/>
      <c r="H800" s="551"/>
      <c r="I800" s="242"/>
      <c r="J800" s="242"/>
      <c r="K800" s="242"/>
      <c r="L800" s="242"/>
      <c r="M800" s="242"/>
      <c r="N800" s="242"/>
      <c r="O800" s="242"/>
      <c r="P800" s="242"/>
      <c r="Q800" s="242"/>
      <c r="R800" s="242"/>
      <c r="S800" s="242"/>
      <c r="T800" s="242"/>
      <c r="U800" s="242"/>
      <c r="V800" s="242"/>
      <c r="W800" s="242"/>
    </row>
    <row r="801">
      <c r="A801" s="13"/>
      <c r="B801" s="252"/>
      <c r="C801" s="252"/>
      <c r="D801" s="252"/>
      <c r="E801" s="252"/>
      <c r="F801" s="252"/>
      <c r="G801" s="252"/>
      <c r="H801" s="551"/>
      <c r="I801" s="242"/>
      <c r="J801" s="242"/>
      <c r="K801" s="242"/>
      <c r="L801" s="242"/>
      <c r="M801" s="242"/>
      <c r="N801" s="242"/>
      <c r="O801" s="242"/>
      <c r="P801" s="242"/>
      <c r="Q801" s="242"/>
      <c r="R801" s="242"/>
      <c r="S801" s="242"/>
      <c r="T801" s="242"/>
      <c r="U801" s="242"/>
      <c r="V801" s="242"/>
      <c r="W801" s="242"/>
    </row>
    <row r="802">
      <c r="A802" s="13"/>
      <c r="B802" s="252"/>
      <c r="C802" s="252"/>
      <c r="D802" s="252"/>
      <c r="E802" s="252"/>
      <c r="F802" s="252"/>
      <c r="G802" s="252"/>
      <c r="H802" s="551"/>
      <c r="I802" s="242"/>
      <c r="J802" s="242"/>
      <c r="K802" s="242"/>
      <c r="L802" s="242"/>
      <c r="M802" s="242"/>
      <c r="N802" s="242"/>
      <c r="O802" s="242"/>
      <c r="P802" s="242"/>
      <c r="Q802" s="242"/>
      <c r="R802" s="242"/>
      <c r="S802" s="242"/>
      <c r="T802" s="242"/>
      <c r="U802" s="242"/>
      <c r="V802" s="242"/>
      <c r="W802" s="242"/>
    </row>
    <row r="803">
      <c r="A803" s="13"/>
      <c r="B803" s="252"/>
      <c r="C803" s="252"/>
      <c r="D803" s="252"/>
      <c r="E803" s="252"/>
      <c r="F803" s="252"/>
      <c r="G803" s="252"/>
      <c r="H803" s="551"/>
      <c r="I803" s="242"/>
      <c r="J803" s="242"/>
      <c r="K803" s="242"/>
      <c r="L803" s="242"/>
      <c r="M803" s="242"/>
      <c r="N803" s="242"/>
      <c r="O803" s="242"/>
      <c r="P803" s="242"/>
      <c r="Q803" s="242"/>
      <c r="R803" s="242"/>
      <c r="S803" s="242"/>
      <c r="T803" s="242"/>
      <c r="U803" s="242"/>
      <c r="V803" s="242"/>
      <c r="W803" s="242"/>
    </row>
    <row r="804">
      <c r="A804" s="13"/>
      <c r="B804" s="252"/>
      <c r="C804" s="252"/>
      <c r="D804" s="252"/>
      <c r="E804" s="252"/>
      <c r="F804" s="252"/>
      <c r="G804" s="252"/>
      <c r="H804" s="551"/>
      <c r="I804" s="242"/>
      <c r="J804" s="242"/>
      <c r="K804" s="242"/>
      <c r="L804" s="242"/>
      <c r="M804" s="242"/>
      <c r="N804" s="242"/>
      <c r="O804" s="242"/>
      <c r="P804" s="242"/>
      <c r="Q804" s="242"/>
      <c r="R804" s="242"/>
      <c r="S804" s="242"/>
      <c r="T804" s="242"/>
      <c r="U804" s="242"/>
      <c r="V804" s="242"/>
      <c r="W804" s="242"/>
    </row>
    <row r="805">
      <c r="A805" s="13"/>
      <c r="B805" s="252"/>
      <c r="C805" s="252"/>
      <c r="D805" s="252"/>
      <c r="E805" s="252"/>
      <c r="F805" s="252"/>
      <c r="G805" s="252"/>
      <c r="H805" s="551"/>
      <c r="I805" s="242"/>
      <c r="J805" s="242"/>
      <c r="K805" s="242"/>
      <c r="L805" s="242"/>
      <c r="M805" s="242"/>
      <c r="N805" s="242"/>
      <c r="O805" s="242"/>
      <c r="P805" s="242"/>
      <c r="Q805" s="242"/>
      <c r="R805" s="242"/>
      <c r="S805" s="242"/>
      <c r="T805" s="242"/>
      <c r="U805" s="242"/>
      <c r="V805" s="242"/>
      <c r="W805" s="242"/>
    </row>
    <row r="806">
      <c r="A806" s="13"/>
      <c r="B806" s="252"/>
      <c r="C806" s="252"/>
      <c r="D806" s="252"/>
      <c r="E806" s="252"/>
      <c r="F806" s="252"/>
      <c r="G806" s="252"/>
      <c r="H806" s="551"/>
      <c r="I806" s="242"/>
      <c r="J806" s="242"/>
      <c r="K806" s="242"/>
      <c r="L806" s="242"/>
      <c r="M806" s="242"/>
      <c r="N806" s="242"/>
      <c r="O806" s="242"/>
      <c r="P806" s="242"/>
      <c r="Q806" s="242"/>
      <c r="R806" s="242"/>
      <c r="S806" s="242"/>
      <c r="T806" s="242"/>
      <c r="U806" s="242"/>
      <c r="V806" s="242"/>
      <c r="W806" s="242"/>
    </row>
    <row r="807">
      <c r="A807" s="13"/>
      <c r="B807" s="252"/>
      <c r="C807" s="252"/>
      <c r="D807" s="252"/>
      <c r="E807" s="252"/>
      <c r="F807" s="252"/>
      <c r="G807" s="252"/>
      <c r="H807" s="551"/>
      <c r="I807" s="242"/>
      <c r="J807" s="242"/>
      <c r="K807" s="242"/>
      <c r="L807" s="242"/>
      <c r="M807" s="242"/>
      <c r="N807" s="242"/>
      <c r="O807" s="242"/>
      <c r="P807" s="242"/>
      <c r="Q807" s="242"/>
      <c r="R807" s="242"/>
      <c r="S807" s="242"/>
      <c r="T807" s="242"/>
      <c r="U807" s="242"/>
      <c r="V807" s="242"/>
      <c r="W807" s="242"/>
    </row>
    <row r="808">
      <c r="A808" s="13"/>
      <c r="B808" s="252"/>
      <c r="C808" s="252"/>
      <c r="D808" s="252"/>
      <c r="E808" s="252"/>
      <c r="F808" s="252"/>
      <c r="G808" s="252"/>
      <c r="H808" s="551"/>
      <c r="I808" s="242"/>
      <c r="J808" s="242"/>
      <c r="K808" s="242"/>
      <c r="L808" s="242"/>
      <c r="M808" s="242"/>
      <c r="N808" s="242"/>
      <c r="O808" s="242"/>
      <c r="P808" s="242"/>
      <c r="Q808" s="242"/>
      <c r="R808" s="242"/>
      <c r="S808" s="242"/>
      <c r="T808" s="242"/>
      <c r="U808" s="242"/>
      <c r="V808" s="242"/>
      <c r="W808" s="242"/>
    </row>
    <row r="809">
      <c r="A809" s="13"/>
      <c r="B809" s="252"/>
      <c r="C809" s="252"/>
      <c r="D809" s="252"/>
      <c r="E809" s="252"/>
      <c r="F809" s="252"/>
      <c r="G809" s="252"/>
      <c r="H809" s="551"/>
      <c r="I809" s="242"/>
      <c r="J809" s="242"/>
      <c r="K809" s="242"/>
      <c r="L809" s="242"/>
      <c r="M809" s="242"/>
      <c r="N809" s="242"/>
      <c r="O809" s="242"/>
      <c r="P809" s="242"/>
      <c r="Q809" s="242"/>
      <c r="R809" s="242"/>
      <c r="S809" s="242"/>
      <c r="T809" s="242"/>
      <c r="U809" s="242"/>
      <c r="V809" s="242"/>
      <c r="W809" s="242"/>
    </row>
    <row r="810">
      <c r="A810" s="13"/>
      <c r="B810" s="252"/>
      <c r="C810" s="252"/>
      <c r="D810" s="252"/>
      <c r="E810" s="252"/>
      <c r="F810" s="252"/>
      <c r="G810" s="252"/>
      <c r="H810" s="551"/>
      <c r="I810" s="242"/>
      <c r="J810" s="242"/>
      <c r="K810" s="242"/>
      <c r="L810" s="242"/>
      <c r="M810" s="242"/>
      <c r="N810" s="242"/>
      <c r="O810" s="242"/>
      <c r="P810" s="242"/>
      <c r="Q810" s="242"/>
      <c r="R810" s="242"/>
      <c r="S810" s="242"/>
      <c r="T810" s="242"/>
      <c r="U810" s="242"/>
      <c r="V810" s="242"/>
      <c r="W810" s="242"/>
    </row>
    <row r="811">
      <c r="A811" s="13"/>
      <c r="B811" s="252"/>
      <c r="C811" s="252"/>
      <c r="D811" s="252"/>
      <c r="E811" s="252"/>
      <c r="F811" s="252"/>
      <c r="G811" s="252"/>
      <c r="H811" s="551"/>
      <c r="I811" s="242"/>
      <c r="J811" s="242"/>
      <c r="K811" s="242"/>
      <c r="L811" s="242"/>
      <c r="M811" s="242"/>
      <c r="N811" s="242"/>
      <c r="O811" s="242"/>
      <c r="P811" s="242"/>
      <c r="Q811" s="242"/>
      <c r="R811" s="242"/>
      <c r="S811" s="242"/>
      <c r="T811" s="242"/>
      <c r="U811" s="242"/>
      <c r="V811" s="242"/>
      <c r="W811" s="242"/>
    </row>
    <row r="812">
      <c r="A812" s="13"/>
      <c r="B812" s="252"/>
      <c r="C812" s="252"/>
      <c r="D812" s="252"/>
      <c r="E812" s="252"/>
      <c r="F812" s="252"/>
      <c r="G812" s="252"/>
      <c r="H812" s="551"/>
      <c r="I812" s="242"/>
      <c r="J812" s="242"/>
      <c r="K812" s="242"/>
      <c r="L812" s="242"/>
      <c r="M812" s="242"/>
      <c r="N812" s="242"/>
      <c r="O812" s="242"/>
      <c r="P812" s="242"/>
      <c r="Q812" s="242"/>
      <c r="R812" s="242"/>
      <c r="S812" s="242"/>
      <c r="T812" s="242"/>
      <c r="U812" s="242"/>
      <c r="V812" s="242"/>
      <c r="W812" s="242"/>
    </row>
    <row r="813">
      <c r="A813" s="13"/>
      <c r="B813" s="252"/>
      <c r="C813" s="252"/>
      <c r="D813" s="252"/>
      <c r="E813" s="252"/>
      <c r="F813" s="252"/>
      <c r="G813" s="252"/>
      <c r="H813" s="551"/>
      <c r="I813" s="242"/>
      <c r="J813" s="242"/>
      <c r="K813" s="242"/>
      <c r="L813" s="242"/>
      <c r="M813" s="242"/>
      <c r="N813" s="242"/>
      <c r="O813" s="242"/>
      <c r="P813" s="242"/>
      <c r="Q813" s="242"/>
      <c r="R813" s="242"/>
      <c r="S813" s="242"/>
      <c r="T813" s="242"/>
      <c r="U813" s="242"/>
      <c r="V813" s="242"/>
      <c r="W813" s="242"/>
    </row>
    <row r="814">
      <c r="A814" s="13"/>
      <c r="B814" s="252"/>
      <c r="C814" s="252"/>
      <c r="D814" s="252"/>
      <c r="E814" s="252"/>
      <c r="F814" s="252"/>
      <c r="G814" s="252"/>
      <c r="H814" s="551"/>
      <c r="I814" s="242"/>
      <c r="J814" s="242"/>
      <c r="K814" s="242"/>
      <c r="L814" s="242"/>
      <c r="M814" s="242"/>
      <c r="N814" s="242"/>
      <c r="O814" s="242"/>
      <c r="P814" s="242"/>
      <c r="Q814" s="242"/>
      <c r="R814" s="242"/>
      <c r="S814" s="242"/>
      <c r="T814" s="242"/>
      <c r="U814" s="242"/>
      <c r="V814" s="242"/>
      <c r="W814" s="242"/>
    </row>
    <row r="815">
      <c r="A815" s="13"/>
      <c r="B815" s="252"/>
      <c r="C815" s="252"/>
      <c r="D815" s="252"/>
      <c r="E815" s="252"/>
      <c r="F815" s="252"/>
      <c r="G815" s="252"/>
      <c r="H815" s="551"/>
      <c r="I815" s="242"/>
      <c r="J815" s="242"/>
      <c r="K815" s="242"/>
      <c r="L815" s="242"/>
      <c r="M815" s="242"/>
      <c r="N815" s="242"/>
      <c r="O815" s="242"/>
      <c r="P815" s="242"/>
      <c r="Q815" s="242"/>
      <c r="R815" s="242"/>
      <c r="S815" s="242"/>
      <c r="T815" s="242"/>
      <c r="U815" s="242"/>
      <c r="V815" s="242"/>
      <c r="W815" s="242"/>
    </row>
    <row r="816">
      <c r="A816" s="13"/>
      <c r="B816" s="252"/>
      <c r="C816" s="252"/>
      <c r="D816" s="252"/>
      <c r="E816" s="252"/>
      <c r="F816" s="252"/>
      <c r="G816" s="252"/>
      <c r="H816" s="551"/>
      <c r="I816" s="242"/>
      <c r="J816" s="242"/>
      <c r="K816" s="242"/>
      <c r="L816" s="242"/>
      <c r="M816" s="242"/>
      <c r="N816" s="242"/>
      <c r="O816" s="242"/>
      <c r="P816" s="242"/>
      <c r="Q816" s="242"/>
      <c r="R816" s="242"/>
      <c r="S816" s="242"/>
      <c r="T816" s="242"/>
      <c r="U816" s="242"/>
      <c r="V816" s="242"/>
      <c r="W816" s="242"/>
    </row>
    <row r="817">
      <c r="A817" s="13"/>
      <c r="B817" s="252"/>
      <c r="C817" s="252"/>
      <c r="D817" s="252"/>
      <c r="E817" s="252"/>
      <c r="F817" s="252"/>
      <c r="G817" s="252"/>
      <c r="H817" s="551"/>
      <c r="I817" s="242"/>
      <c r="J817" s="242"/>
      <c r="K817" s="242"/>
      <c r="L817" s="242"/>
      <c r="M817" s="242"/>
      <c r="N817" s="242"/>
      <c r="O817" s="242"/>
      <c r="P817" s="242"/>
      <c r="Q817" s="242"/>
      <c r="R817" s="242"/>
      <c r="S817" s="242"/>
      <c r="T817" s="242"/>
      <c r="U817" s="242"/>
      <c r="V817" s="242"/>
      <c r="W817" s="242"/>
    </row>
    <row r="818">
      <c r="A818" s="13"/>
      <c r="B818" s="252"/>
      <c r="C818" s="252"/>
      <c r="D818" s="252"/>
      <c r="E818" s="252"/>
      <c r="F818" s="252"/>
      <c r="G818" s="252"/>
      <c r="H818" s="551"/>
      <c r="I818" s="242"/>
      <c r="J818" s="242"/>
      <c r="K818" s="242"/>
      <c r="L818" s="242"/>
      <c r="M818" s="242"/>
      <c r="N818" s="242"/>
      <c r="O818" s="242"/>
      <c r="P818" s="242"/>
      <c r="Q818" s="242"/>
      <c r="R818" s="242"/>
      <c r="S818" s="242"/>
      <c r="T818" s="242"/>
      <c r="U818" s="242"/>
      <c r="V818" s="242"/>
      <c r="W818" s="242"/>
    </row>
    <row r="819">
      <c r="A819" s="13"/>
      <c r="B819" s="252"/>
      <c r="C819" s="252"/>
      <c r="D819" s="252"/>
      <c r="E819" s="252"/>
      <c r="F819" s="252"/>
      <c r="G819" s="252"/>
      <c r="H819" s="551"/>
      <c r="I819" s="242"/>
      <c r="J819" s="242"/>
      <c r="K819" s="242"/>
      <c r="L819" s="242"/>
      <c r="M819" s="242"/>
      <c r="N819" s="242"/>
      <c r="O819" s="242"/>
      <c r="P819" s="242"/>
      <c r="Q819" s="242"/>
      <c r="R819" s="242"/>
      <c r="S819" s="242"/>
      <c r="T819" s="242"/>
      <c r="U819" s="242"/>
      <c r="V819" s="242"/>
      <c r="W819" s="242"/>
    </row>
    <row r="820">
      <c r="A820" s="13"/>
      <c r="B820" s="252"/>
      <c r="C820" s="252"/>
      <c r="D820" s="252"/>
      <c r="E820" s="252"/>
      <c r="F820" s="252"/>
      <c r="G820" s="252"/>
      <c r="H820" s="551"/>
      <c r="I820" s="242"/>
      <c r="J820" s="242"/>
      <c r="K820" s="242"/>
      <c r="L820" s="242"/>
      <c r="M820" s="242"/>
      <c r="N820" s="242"/>
      <c r="O820" s="242"/>
      <c r="P820" s="242"/>
      <c r="Q820" s="242"/>
      <c r="R820" s="242"/>
      <c r="S820" s="242"/>
      <c r="T820" s="242"/>
      <c r="U820" s="242"/>
      <c r="V820" s="242"/>
      <c r="W820" s="242"/>
    </row>
    <row r="821">
      <c r="A821" s="13"/>
      <c r="B821" s="252"/>
      <c r="C821" s="252"/>
      <c r="D821" s="252"/>
      <c r="E821" s="252"/>
      <c r="F821" s="252"/>
      <c r="G821" s="252"/>
      <c r="H821" s="551"/>
      <c r="I821" s="242"/>
      <c r="J821" s="242"/>
      <c r="K821" s="242"/>
      <c r="L821" s="242"/>
      <c r="M821" s="242"/>
      <c r="N821" s="242"/>
      <c r="O821" s="242"/>
      <c r="P821" s="242"/>
      <c r="Q821" s="242"/>
      <c r="R821" s="242"/>
      <c r="S821" s="242"/>
      <c r="T821" s="242"/>
      <c r="U821" s="242"/>
      <c r="V821" s="242"/>
      <c r="W821" s="242"/>
    </row>
    <row r="822">
      <c r="A822" s="13"/>
      <c r="B822" s="252"/>
      <c r="C822" s="252"/>
      <c r="D822" s="252"/>
      <c r="E822" s="252"/>
      <c r="F822" s="252"/>
      <c r="G822" s="252"/>
      <c r="H822" s="551"/>
      <c r="I822" s="242"/>
      <c r="J822" s="242"/>
      <c r="K822" s="242"/>
      <c r="L822" s="242"/>
      <c r="M822" s="242"/>
      <c r="N822" s="242"/>
      <c r="O822" s="242"/>
      <c r="P822" s="242"/>
      <c r="Q822" s="242"/>
      <c r="R822" s="242"/>
      <c r="S822" s="242"/>
      <c r="T822" s="242"/>
      <c r="U822" s="242"/>
      <c r="V822" s="242"/>
      <c r="W822" s="242"/>
    </row>
    <row r="823">
      <c r="A823" s="13"/>
      <c r="B823" s="252"/>
      <c r="C823" s="252"/>
      <c r="D823" s="252"/>
      <c r="E823" s="252"/>
      <c r="F823" s="252"/>
      <c r="G823" s="252"/>
      <c r="H823" s="551"/>
      <c r="I823" s="242"/>
      <c r="J823" s="242"/>
      <c r="K823" s="242"/>
      <c r="L823" s="242"/>
      <c r="M823" s="242"/>
      <c r="N823" s="242"/>
      <c r="O823" s="242"/>
      <c r="P823" s="242"/>
      <c r="Q823" s="242"/>
      <c r="R823" s="242"/>
      <c r="S823" s="242"/>
      <c r="T823" s="242"/>
      <c r="U823" s="242"/>
      <c r="V823" s="242"/>
      <c r="W823" s="242"/>
    </row>
    <row r="824">
      <c r="A824" s="13"/>
      <c r="B824" s="252"/>
      <c r="C824" s="252"/>
      <c r="D824" s="252"/>
      <c r="E824" s="252"/>
      <c r="F824" s="252"/>
      <c r="G824" s="252"/>
      <c r="H824" s="551"/>
      <c r="I824" s="242"/>
      <c r="J824" s="242"/>
      <c r="K824" s="242"/>
      <c r="L824" s="242"/>
      <c r="M824" s="242"/>
      <c r="N824" s="242"/>
      <c r="O824" s="242"/>
      <c r="P824" s="242"/>
      <c r="Q824" s="242"/>
      <c r="R824" s="242"/>
      <c r="S824" s="242"/>
      <c r="T824" s="242"/>
      <c r="U824" s="242"/>
      <c r="V824" s="242"/>
      <c r="W824" s="242"/>
    </row>
    <row r="825">
      <c r="A825" s="13"/>
      <c r="B825" s="252"/>
      <c r="C825" s="252"/>
      <c r="D825" s="252"/>
      <c r="E825" s="252"/>
      <c r="F825" s="252"/>
      <c r="G825" s="252"/>
      <c r="H825" s="551"/>
      <c r="I825" s="242"/>
      <c r="J825" s="242"/>
      <c r="K825" s="242"/>
      <c r="L825" s="242"/>
      <c r="M825" s="242"/>
      <c r="N825" s="242"/>
      <c r="O825" s="242"/>
      <c r="P825" s="242"/>
      <c r="Q825" s="242"/>
      <c r="R825" s="242"/>
      <c r="S825" s="242"/>
      <c r="T825" s="242"/>
      <c r="U825" s="242"/>
      <c r="V825" s="242"/>
      <c r="W825" s="242"/>
    </row>
    <row r="826">
      <c r="A826" s="13"/>
      <c r="B826" s="252"/>
      <c r="C826" s="252"/>
      <c r="D826" s="252"/>
      <c r="E826" s="252"/>
      <c r="F826" s="252"/>
      <c r="G826" s="252"/>
      <c r="H826" s="551"/>
      <c r="I826" s="242"/>
      <c r="J826" s="242"/>
      <c r="K826" s="242"/>
      <c r="L826" s="242"/>
      <c r="M826" s="242"/>
      <c r="N826" s="242"/>
      <c r="O826" s="242"/>
      <c r="P826" s="242"/>
      <c r="Q826" s="242"/>
      <c r="R826" s="242"/>
      <c r="S826" s="242"/>
      <c r="T826" s="242"/>
      <c r="U826" s="242"/>
      <c r="V826" s="242"/>
      <c r="W826" s="242"/>
    </row>
    <row r="827">
      <c r="A827" s="13"/>
      <c r="B827" s="252"/>
      <c r="C827" s="252"/>
      <c r="D827" s="252"/>
      <c r="E827" s="252"/>
      <c r="F827" s="252"/>
      <c r="G827" s="252"/>
      <c r="H827" s="551"/>
      <c r="I827" s="242"/>
      <c r="J827" s="242"/>
      <c r="K827" s="242"/>
      <c r="L827" s="242"/>
      <c r="M827" s="242"/>
      <c r="N827" s="242"/>
      <c r="O827" s="242"/>
      <c r="P827" s="242"/>
      <c r="Q827" s="242"/>
      <c r="R827" s="242"/>
      <c r="S827" s="242"/>
      <c r="T827" s="242"/>
      <c r="U827" s="242"/>
      <c r="V827" s="242"/>
      <c r="W827" s="242"/>
    </row>
    <row r="828">
      <c r="A828" s="13"/>
      <c r="B828" s="252"/>
      <c r="C828" s="252"/>
      <c r="D828" s="252"/>
      <c r="E828" s="252"/>
      <c r="F828" s="252"/>
      <c r="G828" s="252"/>
      <c r="H828" s="551"/>
      <c r="I828" s="242"/>
      <c r="J828" s="242"/>
      <c r="K828" s="242"/>
      <c r="L828" s="242"/>
      <c r="M828" s="242"/>
      <c r="N828" s="242"/>
      <c r="O828" s="242"/>
      <c r="P828" s="242"/>
      <c r="Q828" s="242"/>
      <c r="R828" s="242"/>
      <c r="S828" s="242"/>
      <c r="T828" s="242"/>
      <c r="U828" s="242"/>
      <c r="V828" s="242"/>
      <c r="W828" s="242"/>
    </row>
    <row r="829">
      <c r="A829" s="13"/>
      <c r="B829" s="252"/>
      <c r="C829" s="252"/>
      <c r="D829" s="252"/>
      <c r="E829" s="252"/>
      <c r="F829" s="252"/>
      <c r="G829" s="252"/>
      <c r="H829" s="551"/>
      <c r="I829" s="242"/>
      <c r="J829" s="242"/>
      <c r="K829" s="242"/>
      <c r="L829" s="242"/>
      <c r="M829" s="242"/>
      <c r="N829" s="242"/>
      <c r="O829" s="242"/>
      <c r="P829" s="242"/>
      <c r="Q829" s="242"/>
      <c r="R829" s="242"/>
      <c r="S829" s="242"/>
      <c r="T829" s="242"/>
      <c r="U829" s="242"/>
      <c r="V829" s="242"/>
      <c r="W829" s="242"/>
    </row>
    <row r="830">
      <c r="A830" s="13"/>
      <c r="B830" s="252"/>
      <c r="C830" s="252"/>
      <c r="D830" s="252"/>
      <c r="E830" s="252"/>
      <c r="F830" s="252"/>
      <c r="G830" s="252"/>
      <c r="H830" s="551"/>
      <c r="I830" s="242"/>
      <c r="J830" s="242"/>
      <c r="K830" s="242"/>
      <c r="L830" s="242"/>
      <c r="M830" s="242"/>
      <c r="N830" s="242"/>
      <c r="O830" s="242"/>
      <c r="P830" s="242"/>
      <c r="Q830" s="242"/>
      <c r="R830" s="242"/>
      <c r="S830" s="242"/>
      <c r="T830" s="242"/>
      <c r="U830" s="242"/>
      <c r="V830" s="242"/>
      <c r="W830" s="242"/>
    </row>
    <row r="831">
      <c r="A831" s="13"/>
      <c r="B831" s="252"/>
      <c r="C831" s="252"/>
      <c r="D831" s="252"/>
      <c r="E831" s="252"/>
      <c r="F831" s="252"/>
      <c r="G831" s="252"/>
      <c r="H831" s="551"/>
      <c r="I831" s="242"/>
      <c r="J831" s="242"/>
      <c r="K831" s="242"/>
      <c r="L831" s="242"/>
      <c r="M831" s="242"/>
      <c r="N831" s="242"/>
      <c r="O831" s="242"/>
      <c r="P831" s="242"/>
      <c r="Q831" s="242"/>
      <c r="R831" s="242"/>
      <c r="S831" s="242"/>
      <c r="T831" s="242"/>
      <c r="U831" s="242"/>
      <c r="V831" s="242"/>
      <c r="W831" s="242"/>
    </row>
    <row r="832">
      <c r="A832" s="13"/>
      <c r="B832" s="252"/>
      <c r="C832" s="252"/>
      <c r="D832" s="252"/>
      <c r="E832" s="252"/>
      <c r="F832" s="252"/>
      <c r="G832" s="252"/>
      <c r="H832" s="551"/>
      <c r="I832" s="242"/>
      <c r="J832" s="242"/>
      <c r="K832" s="242"/>
      <c r="L832" s="242"/>
      <c r="M832" s="242"/>
      <c r="N832" s="242"/>
      <c r="O832" s="242"/>
      <c r="P832" s="242"/>
      <c r="Q832" s="242"/>
      <c r="R832" s="242"/>
      <c r="S832" s="242"/>
      <c r="T832" s="242"/>
      <c r="U832" s="242"/>
      <c r="V832" s="242"/>
      <c r="W832" s="242"/>
    </row>
    <row r="833">
      <c r="A833" s="13"/>
      <c r="B833" s="252"/>
      <c r="C833" s="252"/>
      <c r="D833" s="252"/>
      <c r="E833" s="252"/>
      <c r="F833" s="252"/>
      <c r="G833" s="252"/>
      <c r="H833" s="551"/>
      <c r="I833" s="242"/>
      <c r="J833" s="242"/>
      <c r="K833" s="242"/>
      <c r="L833" s="242"/>
      <c r="M833" s="242"/>
      <c r="N833" s="242"/>
      <c r="O833" s="242"/>
      <c r="P833" s="242"/>
      <c r="Q833" s="242"/>
      <c r="R833" s="242"/>
      <c r="S833" s="242"/>
      <c r="T833" s="242"/>
      <c r="U833" s="242"/>
      <c r="V833" s="242"/>
      <c r="W833" s="242"/>
    </row>
    <row r="834">
      <c r="A834" s="13"/>
      <c r="B834" s="252"/>
      <c r="C834" s="252"/>
      <c r="D834" s="252"/>
      <c r="E834" s="252"/>
      <c r="F834" s="252"/>
      <c r="G834" s="252"/>
      <c r="H834" s="551"/>
      <c r="I834" s="242"/>
      <c r="J834" s="242"/>
      <c r="K834" s="242"/>
      <c r="L834" s="242"/>
      <c r="M834" s="242"/>
      <c r="N834" s="242"/>
      <c r="O834" s="242"/>
      <c r="P834" s="242"/>
      <c r="Q834" s="242"/>
      <c r="R834" s="242"/>
      <c r="S834" s="242"/>
      <c r="T834" s="242"/>
      <c r="U834" s="242"/>
      <c r="V834" s="242"/>
      <c r="W834" s="242"/>
    </row>
    <row r="835">
      <c r="A835" s="13"/>
      <c r="B835" s="252"/>
      <c r="C835" s="252"/>
      <c r="D835" s="252"/>
      <c r="E835" s="252"/>
      <c r="F835" s="252"/>
      <c r="G835" s="252"/>
      <c r="H835" s="551"/>
      <c r="I835" s="242"/>
      <c r="J835" s="242"/>
      <c r="K835" s="242"/>
      <c r="L835" s="242"/>
      <c r="M835" s="242"/>
      <c r="N835" s="242"/>
      <c r="O835" s="242"/>
      <c r="P835" s="242"/>
      <c r="Q835" s="242"/>
      <c r="R835" s="242"/>
      <c r="S835" s="242"/>
      <c r="T835" s="242"/>
      <c r="U835" s="242"/>
      <c r="V835" s="242"/>
      <c r="W835" s="242"/>
    </row>
    <row r="836">
      <c r="A836" s="13"/>
      <c r="B836" s="252"/>
      <c r="C836" s="252"/>
      <c r="D836" s="252"/>
      <c r="E836" s="252"/>
      <c r="F836" s="252"/>
      <c r="G836" s="252"/>
      <c r="H836" s="551"/>
      <c r="I836" s="242"/>
      <c r="J836" s="242"/>
      <c r="K836" s="242"/>
      <c r="L836" s="242"/>
      <c r="M836" s="242"/>
      <c r="N836" s="242"/>
      <c r="O836" s="242"/>
      <c r="P836" s="242"/>
      <c r="Q836" s="242"/>
      <c r="R836" s="242"/>
      <c r="S836" s="242"/>
      <c r="T836" s="242"/>
      <c r="U836" s="242"/>
      <c r="V836" s="242"/>
      <c r="W836" s="242"/>
    </row>
    <row r="837">
      <c r="A837" s="13"/>
      <c r="B837" s="252"/>
      <c r="C837" s="252"/>
      <c r="D837" s="252"/>
      <c r="E837" s="252"/>
      <c r="F837" s="252"/>
      <c r="G837" s="252"/>
      <c r="H837" s="551"/>
      <c r="I837" s="242"/>
      <c r="J837" s="242"/>
      <c r="K837" s="242"/>
      <c r="L837" s="242"/>
      <c r="M837" s="242"/>
      <c r="N837" s="242"/>
      <c r="O837" s="242"/>
      <c r="P837" s="242"/>
      <c r="Q837" s="242"/>
      <c r="R837" s="242"/>
      <c r="S837" s="242"/>
      <c r="T837" s="242"/>
      <c r="U837" s="242"/>
      <c r="V837" s="242"/>
      <c r="W837" s="242"/>
    </row>
    <row r="838">
      <c r="A838" s="13"/>
      <c r="B838" s="252"/>
      <c r="C838" s="252"/>
      <c r="D838" s="252"/>
      <c r="E838" s="252"/>
      <c r="F838" s="252"/>
      <c r="G838" s="252"/>
      <c r="H838" s="551"/>
      <c r="I838" s="242"/>
      <c r="J838" s="242"/>
      <c r="K838" s="242"/>
      <c r="L838" s="242"/>
      <c r="M838" s="242"/>
      <c r="N838" s="242"/>
      <c r="O838" s="242"/>
      <c r="P838" s="242"/>
      <c r="Q838" s="242"/>
      <c r="R838" s="242"/>
      <c r="S838" s="242"/>
      <c r="T838" s="242"/>
      <c r="U838" s="242"/>
      <c r="V838" s="242"/>
      <c r="W838" s="242"/>
    </row>
    <row r="839">
      <c r="A839" s="13"/>
      <c r="B839" s="252"/>
      <c r="C839" s="252"/>
      <c r="D839" s="252"/>
      <c r="E839" s="252"/>
      <c r="F839" s="252"/>
      <c r="G839" s="252"/>
      <c r="H839" s="551"/>
      <c r="I839" s="242"/>
      <c r="J839" s="242"/>
      <c r="K839" s="242"/>
      <c r="L839" s="242"/>
      <c r="M839" s="242"/>
      <c r="N839" s="242"/>
      <c r="O839" s="242"/>
      <c r="P839" s="242"/>
      <c r="Q839" s="242"/>
      <c r="R839" s="242"/>
      <c r="S839" s="242"/>
      <c r="T839" s="242"/>
      <c r="U839" s="242"/>
      <c r="V839" s="242"/>
      <c r="W839" s="242"/>
    </row>
    <row r="840">
      <c r="A840" s="13"/>
      <c r="B840" s="252"/>
      <c r="C840" s="252"/>
      <c r="D840" s="252"/>
      <c r="E840" s="252"/>
      <c r="F840" s="252"/>
      <c r="G840" s="252"/>
      <c r="H840" s="551"/>
      <c r="I840" s="242"/>
      <c r="J840" s="242"/>
      <c r="K840" s="242"/>
      <c r="L840" s="242"/>
      <c r="M840" s="242"/>
      <c r="N840" s="242"/>
      <c r="O840" s="242"/>
      <c r="P840" s="242"/>
      <c r="Q840" s="242"/>
      <c r="R840" s="242"/>
      <c r="S840" s="242"/>
      <c r="T840" s="242"/>
      <c r="U840" s="242"/>
      <c r="V840" s="242"/>
      <c r="W840" s="242"/>
    </row>
    <row r="841">
      <c r="A841" s="13"/>
      <c r="B841" s="252"/>
      <c r="C841" s="252"/>
      <c r="D841" s="252"/>
      <c r="E841" s="252"/>
      <c r="F841" s="252"/>
      <c r="G841" s="252"/>
      <c r="H841" s="551"/>
      <c r="I841" s="242"/>
      <c r="J841" s="242"/>
      <c r="K841" s="242"/>
      <c r="L841" s="242"/>
      <c r="M841" s="242"/>
      <c r="N841" s="242"/>
      <c r="O841" s="242"/>
      <c r="P841" s="242"/>
      <c r="Q841" s="242"/>
      <c r="R841" s="242"/>
      <c r="S841" s="242"/>
      <c r="T841" s="242"/>
      <c r="U841" s="242"/>
      <c r="V841" s="242"/>
      <c r="W841" s="242"/>
    </row>
    <row r="842">
      <c r="A842" s="13"/>
      <c r="B842" s="252"/>
      <c r="C842" s="252"/>
      <c r="D842" s="252"/>
      <c r="E842" s="252"/>
      <c r="F842" s="252"/>
      <c r="G842" s="252"/>
      <c r="H842" s="551"/>
      <c r="I842" s="242"/>
      <c r="J842" s="242"/>
      <c r="K842" s="242"/>
      <c r="L842" s="242"/>
      <c r="M842" s="242"/>
      <c r="N842" s="242"/>
      <c r="O842" s="242"/>
      <c r="P842" s="242"/>
      <c r="Q842" s="242"/>
      <c r="R842" s="242"/>
      <c r="S842" s="242"/>
      <c r="T842" s="242"/>
      <c r="U842" s="242"/>
      <c r="V842" s="242"/>
      <c r="W842" s="242"/>
    </row>
    <row r="843">
      <c r="A843" s="13"/>
      <c r="B843" s="252"/>
      <c r="C843" s="252"/>
      <c r="D843" s="252"/>
      <c r="E843" s="252"/>
      <c r="F843" s="252"/>
      <c r="G843" s="252"/>
      <c r="H843" s="551"/>
      <c r="I843" s="242"/>
      <c r="J843" s="242"/>
      <c r="K843" s="242"/>
      <c r="L843" s="242"/>
      <c r="M843" s="242"/>
      <c r="N843" s="242"/>
      <c r="O843" s="242"/>
      <c r="P843" s="242"/>
      <c r="Q843" s="242"/>
      <c r="R843" s="242"/>
      <c r="S843" s="242"/>
      <c r="T843" s="242"/>
      <c r="U843" s="242"/>
      <c r="V843" s="242"/>
      <c r="W843" s="242"/>
    </row>
    <row r="844">
      <c r="A844" s="13"/>
      <c r="B844" s="252"/>
      <c r="C844" s="252"/>
      <c r="D844" s="252"/>
      <c r="E844" s="252"/>
      <c r="F844" s="252"/>
      <c r="G844" s="252"/>
      <c r="H844" s="551"/>
      <c r="I844" s="242"/>
      <c r="J844" s="242"/>
      <c r="K844" s="242"/>
      <c r="L844" s="242"/>
      <c r="M844" s="242"/>
      <c r="N844" s="242"/>
      <c r="O844" s="242"/>
      <c r="P844" s="242"/>
      <c r="Q844" s="242"/>
      <c r="R844" s="242"/>
      <c r="S844" s="242"/>
      <c r="T844" s="242"/>
      <c r="U844" s="242"/>
      <c r="V844" s="242"/>
      <c r="W844" s="242"/>
    </row>
    <row r="845">
      <c r="A845" s="13"/>
      <c r="B845" s="252"/>
      <c r="C845" s="252"/>
      <c r="D845" s="252"/>
      <c r="E845" s="252"/>
      <c r="F845" s="252"/>
      <c r="G845" s="252"/>
      <c r="H845" s="551"/>
      <c r="I845" s="242"/>
      <c r="J845" s="242"/>
      <c r="K845" s="242"/>
      <c r="L845" s="242"/>
      <c r="M845" s="242"/>
      <c r="N845" s="242"/>
      <c r="O845" s="242"/>
      <c r="P845" s="242"/>
      <c r="Q845" s="242"/>
      <c r="R845" s="242"/>
      <c r="S845" s="242"/>
      <c r="T845" s="242"/>
      <c r="U845" s="242"/>
      <c r="V845" s="242"/>
      <c r="W845" s="242"/>
    </row>
    <row r="846">
      <c r="A846" s="13"/>
      <c r="B846" s="252"/>
      <c r="C846" s="252"/>
      <c r="D846" s="252"/>
      <c r="E846" s="252"/>
      <c r="F846" s="252"/>
      <c r="G846" s="252"/>
      <c r="H846" s="551"/>
      <c r="I846" s="242"/>
      <c r="J846" s="242"/>
      <c r="K846" s="242"/>
      <c r="L846" s="242"/>
      <c r="M846" s="242"/>
      <c r="N846" s="242"/>
      <c r="O846" s="242"/>
      <c r="P846" s="242"/>
      <c r="Q846" s="242"/>
      <c r="R846" s="242"/>
      <c r="S846" s="242"/>
      <c r="T846" s="242"/>
      <c r="U846" s="242"/>
      <c r="V846" s="242"/>
      <c r="W846" s="242"/>
    </row>
    <row r="847">
      <c r="A847" s="13"/>
      <c r="B847" s="252"/>
      <c r="C847" s="252"/>
      <c r="D847" s="252"/>
      <c r="E847" s="252"/>
      <c r="F847" s="252"/>
      <c r="G847" s="252"/>
      <c r="H847" s="551"/>
      <c r="I847" s="242"/>
      <c r="J847" s="242"/>
      <c r="K847" s="242"/>
      <c r="L847" s="242"/>
      <c r="M847" s="242"/>
      <c r="N847" s="242"/>
      <c r="O847" s="242"/>
      <c r="P847" s="242"/>
      <c r="Q847" s="242"/>
      <c r="R847" s="242"/>
      <c r="S847" s="242"/>
      <c r="T847" s="242"/>
      <c r="U847" s="242"/>
      <c r="V847" s="242"/>
      <c r="W847" s="242"/>
    </row>
    <row r="848">
      <c r="A848" s="13"/>
      <c r="B848" s="252"/>
      <c r="C848" s="252"/>
      <c r="D848" s="252"/>
      <c r="E848" s="252"/>
      <c r="F848" s="252"/>
      <c r="G848" s="252"/>
      <c r="H848" s="551"/>
      <c r="I848" s="242"/>
      <c r="J848" s="242"/>
      <c r="K848" s="242"/>
      <c r="L848" s="242"/>
      <c r="M848" s="242"/>
      <c r="N848" s="242"/>
      <c r="O848" s="242"/>
      <c r="P848" s="242"/>
      <c r="Q848" s="242"/>
      <c r="R848" s="242"/>
      <c r="S848" s="242"/>
      <c r="T848" s="242"/>
      <c r="U848" s="242"/>
      <c r="V848" s="242"/>
      <c r="W848" s="242"/>
    </row>
    <row r="849">
      <c r="A849" s="13"/>
      <c r="B849" s="252"/>
      <c r="C849" s="252"/>
      <c r="D849" s="252"/>
      <c r="E849" s="252"/>
      <c r="F849" s="252"/>
      <c r="G849" s="252"/>
      <c r="H849" s="551"/>
      <c r="I849" s="242"/>
      <c r="J849" s="242"/>
      <c r="K849" s="242"/>
      <c r="L849" s="242"/>
      <c r="M849" s="242"/>
      <c r="N849" s="242"/>
      <c r="O849" s="242"/>
      <c r="P849" s="242"/>
      <c r="Q849" s="242"/>
      <c r="R849" s="242"/>
      <c r="S849" s="242"/>
      <c r="T849" s="242"/>
      <c r="U849" s="242"/>
      <c r="V849" s="242"/>
      <c r="W849" s="242"/>
    </row>
    <row r="850">
      <c r="A850" s="13"/>
      <c r="B850" s="252"/>
      <c r="C850" s="252"/>
      <c r="D850" s="252"/>
      <c r="E850" s="252"/>
      <c r="F850" s="252"/>
      <c r="G850" s="252"/>
      <c r="H850" s="551"/>
      <c r="I850" s="242"/>
      <c r="J850" s="242"/>
      <c r="K850" s="242"/>
      <c r="L850" s="242"/>
      <c r="M850" s="242"/>
      <c r="N850" s="242"/>
      <c r="O850" s="242"/>
      <c r="P850" s="242"/>
      <c r="Q850" s="242"/>
      <c r="R850" s="242"/>
      <c r="S850" s="242"/>
      <c r="T850" s="242"/>
      <c r="U850" s="242"/>
      <c r="V850" s="242"/>
      <c r="W850" s="242"/>
    </row>
    <row r="851">
      <c r="A851" s="13"/>
      <c r="B851" s="252"/>
      <c r="C851" s="252"/>
      <c r="D851" s="252"/>
      <c r="E851" s="252"/>
      <c r="F851" s="252"/>
      <c r="G851" s="252"/>
      <c r="H851" s="551"/>
      <c r="I851" s="242"/>
      <c r="J851" s="242"/>
      <c r="K851" s="242"/>
      <c r="L851" s="242"/>
      <c r="M851" s="242"/>
      <c r="N851" s="242"/>
      <c r="O851" s="242"/>
      <c r="P851" s="242"/>
      <c r="Q851" s="242"/>
      <c r="R851" s="242"/>
      <c r="S851" s="242"/>
      <c r="T851" s="242"/>
      <c r="U851" s="242"/>
      <c r="V851" s="242"/>
      <c r="W851" s="242"/>
    </row>
    <row r="852">
      <c r="A852" s="13"/>
      <c r="B852" s="252"/>
      <c r="C852" s="252"/>
      <c r="D852" s="252"/>
      <c r="E852" s="252"/>
      <c r="F852" s="252"/>
      <c r="G852" s="252"/>
      <c r="H852" s="551"/>
      <c r="I852" s="242"/>
      <c r="J852" s="242"/>
      <c r="K852" s="242"/>
      <c r="L852" s="242"/>
      <c r="M852" s="242"/>
      <c r="N852" s="242"/>
      <c r="O852" s="242"/>
      <c r="P852" s="242"/>
      <c r="Q852" s="242"/>
      <c r="R852" s="242"/>
      <c r="S852" s="242"/>
      <c r="T852" s="242"/>
      <c r="U852" s="242"/>
      <c r="V852" s="242"/>
      <c r="W852" s="242"/>
    </row>
    <row r="853">
      <c r="A853" s="13"/>
      <c r="B853" s="252"/>
      <c r="C853" s="252"/>
      <c r="D853" s="252"/>
      <c r="E853" s="252"/>
      <c r="F853" s="252"/>
      <c r="G853" s="252"/>
      <c r="H853" s="551"/>
      <c r="I853" s="242"/>
      <c r="J853" s="242"/>
      <c r="K853" s="242"/>
      <c r="L853" s="242"/>
      <c r="M853" s="242"/>
      <c r="N853" s="242"/>
      <c r="O853" s="242"/>
      <c r="P853" s="242"/>
      <c r="Q853" s="242"/>
      <c r="R853" s="242"/>
      <c r="S853" s="242"/>
      <c r="T853" s="242"/>
      <c r="U853" s="242"/>
      <c r="V853" s="242"/>
      <c r="W853" s="242"/>
    </row>
    <row r="854">
      <c r="A854" s="13"/>
      <c r="B854" s="252"/>
      <c r="C854" s="252"/>
      <c r="D854" s="252"/>
      <c r="E854" s="252"/>
      <c r="F854" s="252"/>
      <c r="G854" s="252"/>
      <c r="H854" s="551"/>
      <c r="I854" s="242"/>
      <c r="J854" s="242"/>
      <c r="K854" s="242"/>
      <c r="L854" s="242"/>
      <c r="M854" s="242"/>
      <c r="N854" s="242"/>
      <c r="O854" s="242"/>
      <c r="P854" s="242"/>
      <c r="Q854" s="242"/>
      <c r="R854" s="242"/>
      <c r="S854" s="242"/>
      <c r="T854" s="242"/>
      <c r="U854" s="242"/>
      <c r="V854" s="242"/>
      <c r="W854" s="242"/>
    </row>
    <row r="855">
      <c r="A855" s="13"/>
      <c r="B855" s="252"/>
      <c r="C855" s="252"/>
      <c r="D855" s="252"/>
      <c r="E855" s="252"/>
      <c r="F855" s="252"/>
      <c r="G855" s="252"/>
      <c r="H855" s="551"/>
      <c r="I855" s="242"/>
      <c r="J855" s="242"/>
      <c r="K855" s="242"/>
      <c r="L855" s="242"/>
      <c r="M855" s="242"/>
      <c r="N855" s="242"/>
      <c r="O855" s="242"/>
      <c r="P855" s="242"/>
      <c r="Q855" s="242"/>
      <c r="R855" s="242"/>
      <c r="S855" s="242"/>
      <c r="T855" s="242"/>
      <c r="U855" s="242"/>
      <c r="V855" s="242"/>
      <c r="W855" s="242"/>
    </row>
    <row r="856">
      <c r="A856" s="13"/>
      <c r="B856" s="252"/>
      <c r="C856" s="252"/>
      <c r="D856" s="252"/>
      <c r="E856" s="252"/>
      <c r="F856" s="252"/>
      <c r="G856" s="252"/>
      <c r="H856" s="551"/>
      <c r="I856" s="242"/>
      <c r="J856" s="242"/>
      <c r="K856" s="242"/>
      <c r="L856" s="242"/>
      <c r="M856" s="242"/>
      <c r="N856" s="242"/>
      <c r="O856" s="242"/>
      <c r="P856" s="242"/>
      <c r="Q856" s="242"/>
      <c r="R856" s="242"/>
      <c r="S856" s="242"/>
      <c r="T856" s="242"/>
      <c r="U856" s="242"/>
      <c r="V856" s="242"/>
      <c r="W856" s="242"/>
    </row>
    <row r="857">
      <c r="A857" s="13"/>
      <c r="B857" s="252"/>
      <c r="C857" s="252"/>
      <c r="D857" s="252"/>
      <c r="E857" s="252"/>
      <c r="F857" s="252"/>
      <c r="G857" s="252"/>
      <c r="H857" s="551"/>
      <c r="I857" s="242"/>
      <c r="J857" s="242"/>
      <c r="K857" s="242"/>
      <c r="L857" s="242"/>
      <c r="M857" s="242"/>
      <c r="N857" s="242"/>
      <c r="O857" s="242"/>
      <c r="P857" s="242"/>
      <c r="Q857" s="242"/>
      <c r="R857" s="242"/>
      <c r="S857" s="242"/>
      <c r="T857" s="242"/>
      <c r="U857" s="242"/>
      <c r="V857" s="242"/>
      <c r="W857" s="242"/>
    </row>
    <row r="858">
      <c r="A858" s="13"/>
      <c r="B858" s="252"/>
      <c r="C858" s="252"/>
      <c r="D858" s="252"/>
      <c r="E858" s="252"/>
      <c r="F858" s="252"/>
      <c r="G858" s="252"/>
      <c r="H858" s="551"/>
      <c r="I858" s="242"/>
      <c r="J858" s="242"/>
      <c r="K858" s="242"/>
      <c r="L858" s="242"/>
      <c r="M858" s="242"/>
      <c r="N858" s="242"/>
      <c r="O858" s="242"/>
      <c r="P858" s="242"/>
      <c r="Q858" s="242"/>
      <c r="R858" s="242"/>
      <c r="S858" s="242"/>
      <c r="T858" s="242"/>
      <c r="U858" s="242"/>
      <c r="V858" s="242"/>
      <c r="W858" s="242"/>
    </row>
    <row r="859">
      <c r="A859" s="13"/>
      <c r="B859" s="252"/>
      <c r="C859" s="252"/>
      <c r="D859" s="252"/>
      <c r="E859" s="252"/>
      <c r="F859" s="252"/>
      <c r="G859" s="252"/>
      <c r="H859" s="551"/>
      <c r="I859" s="242"/>
      <c r="J859" s="242"/>
      <c r="K859" s="242"/>
      <c r="L859" s="242"/>
      <c r="M859" s="242"/>
      <c r="N859" s="242"/>
      <c r="O859" s="242"/>
      <c r="P859" s="242"/>
      <c r="Q859" s="242"/>
      <c r="R859" s="242"/>
      <c r="S859" s="242"/>
      <c r="T859" s="242"/>
      <c r="U859" s="242"/>
      <c r="V859" s="242"/>
      <c r="W859" s="242"/>
    </row>
    <row r="860">
      <c r="A860" s="13"/>
      <c r="B860" s="252"/>
      <c r="C860" s="252"/>
      <c r="D860" s="252"/>
      <c r="E860" s="252"/>
      <c r="F860" s="252"/>
      <c r="G860" s="252"/>
      <c r="H860" s="551"/>
      <c r="I860" s="242"/>
      <c r="J860" s="242"/>
      <c r="K860" s="242"/>
      <c r="L860" s="242"/>
      <c r="M860" s="242"/>
      <c r="N860" s="242"/>
      <c r="O860" s="242"/>
      <c r="P860" s="242"/>
      <c r="Q860" s="242"/>
      <c r="R860" s="242"/>
      <c r="S860" s="242"/>
      <c r="T860" s="242"/>
      <c r="U860" s="242"/>
      <c r="V860" s="242"/>
      <c r="W860" s="242"/>
    </row>
    <row r="861">
      <c r="A861" s="13"/>
      <c r="B861" s="252"/>
      <c r="C861" s="252"/>
      <c r="D861" s="252"/>
      <c r="E861" s="252"/>
      <c r="F861" s="252"/>
      <c r="G861" s="252"/>
      <c r="H861" s="551"/>
      <c r="I861" s="242"/>
      <c r="J861" s="242"/>
      <c r="K861" s="242"/>
      <c r="L861" s="242"/>
      <c r="M861" s="242"/>
      <c r="N861" s="242"/>
      <c r="O861" s="242"/>
      <c r="P861" s="242"/>
      <c r="Q861" s="242"/>
      <c r="R861" s="242"/>
      <c r="S861" s="242"/>
      <c r="T861" s="242"/>
      <c r="U861" s="242"/>
      <c r="V861" s="242"/>
      <c r="W861" s="242"/>
    </row>
    <row r="862">
      <c r="A862" s="13"/>
      <c r="B862" s="252"/>
      <c r="C862" s="252"/>
      <c r="D862" s="252"/>
      <c r="E862" s="252"/>
      <c r="F862" s="252"/>
      <c r="G862" s="252"/>
      <c r="H862" s="551"/>
      <c r="I862" s="242"/>
      <c r="J862" s="242"/>
      <c r="K862" s="242"/>
      <c r="L862" s="242"/>
      <c r="M862" s="242"/>
      <c r="N862" s="242"/>
      <c r="O862" s="242"/>
      <c r="P862" s="242"/>
      <c r="Q862" s="242"/>
      <c r="R862" s="242"/>
      <c r="S862" s="242"/>
      <c r="T862" s="242"/>
      <c r="U862" s="242"/>
      <c r="V862" s="242"/>
      <c r="W862" s="242"/>
    </row>
    <row r="863">
      <c r="A863" s="13"/>
      <c r="B863" s="252"/>
      <c r="C863" s="252"/>
      <c r="D863" s="252"/>
      <c r="E863" s="252"/>
      <c r="F863" s="252"/>
      <c r="G863" s="252"/>
      <c r="H863" s="551"/>
      <c r="I863" s="242"/>
      <c r="J863" s="242"/>
      <c r="K863" s="242"/>
      <c r="L863" s="242"/>
      <c r="M863" s="242"/>
      <c r="N863" s="242"/>
      <c r="O863" s="242"/>
      <c r="P863" s="242"/>
      <c r="Q863" s="242"/>
      <c r="R863" s="242"/>
      <c r="S863" s="242"/>
      <c r="T863" s="242"/>
      <c r="U863" s="242"/>
      <c r="V863" s="242"/>
      <c r="W863" s="242"/>
    </row>
    <row r="864">
      <c r="A864" s="13"/>
      <c r="B864" s="252"/>
      <c r="C864" s="252"/>
      <c r="D864" s="252"/>
      <c r="E864" s="252"/>
      <c r="F864" s="252"/>
      <c r="G864" s="252"/>
      <c r="H864" s="551"/>
      <c r="I864" s="242"/>
      <c r="J864" s="242"/>
      <c r="K864" s="242"/>
      <c r="L864" s="242"/>
      <c r="M864" s="242"/>
      <c r="N864" s="242"/>
      <c r="O864" s="242"/>
      <c r="P864" s="242"/>
      <c r="Q864" s="242"/>
      <c r="R864" s="242"/>
      <c r="S864" s="242"/>
      <c r="T864" s="242"/>
      <c r="U864" s="242"/>
      <c r="V864" s="242"/>
      <c r="W864" s="242"/>
    </row>
    <row r="865">
      <c r="A865" s="13"/>
      <c r="B865" s="252"/>
      <c r="C865" s="252"/>
      <c r="D865" s="252"/>
      <c r="E865" s="252"/>
      <c r="F865" s="252"/>
      <c r="G865" s="252"/>
      <c r="H865" s="551"/>
      <c r="I865" s="242"/>
      <c r="J865" s="242"/>
      <c r="K865" s="242"/>
      <c r="L865" s="242"/>
      <c r="M865" s="242"/>
      <c r="N865" s="242"/>
      <c r="O865" s="242"/>
      <c r="P865" s="242"/>
      <c r="Q865" s="242"/>
      <c r="R865" s="242"/>
      <c r="S865" s="242"/>
      <c r="T865" s="242"/>
      <c r="U865" s="242"/>
      <c r="V865" s="242"/>
      <c r="W865" s="242"/>
    </row>
    <row r="866">
      <c r="A866" s="13"/>
      <c r="B866" s="252"/>
      <c r="C866" s="252"/>
      <c r="D866" s="252"/>
      <c r="E866" s="252"/>
      <c r="F866" s="252"/>
      <c r="G866" s="252"/>
      <c r="H866" s="551"/>
      <c r="I866" s="242"/>
      <c r="J866" s="242"/>
      <c r="K866" s="242"/>
      <c r="L866" s="242"/>
      <c r="M866" s="242"/>
      <c r="N866" s="242"/>
      <c r="O866" s="242"/>
      <c r="P866" s="242"/>
      <c r="Q866" s="242"/>
      <c r="R866" s="242"/>
      <c r="S866" s="242"/>
      <c r="T866" s="242"/>
      <c r="U866" s="242"/>
      <c r="V866" s="242"/>
      <c r="W866" s="242"/>
    </row>
    <row r="867">
      <c r="A867" s="13"/>
      <c r="B867" s="252"/>
      <c r="C867" s="252"/>
      <c r="D867" s="252"/>
      <c r="E867" s="252"/>
      <c r="F867" s="252"/>
      <c r="G867" s="252"/>
      <c r="H867" s="551"/>
      <c r="I867" s="242"/>
      <c r="J867" s="242"/>
      <c r="K867" s="242"/>
      <c r="L867" s="242"/>
      <c r="M867" s="242"/>
      <c r="N867" s="242"/>
      <c r="O867" s="242"/>
      <c r="P867" s="242"/>
      <c r="Q867" s="242"/>
      <c r="R867" s="242"/>
      <c r="S867" s="242"/>
      <c r="T867" s="242"/>
      <c r="U867" s="242"/>
      <c r="V867" s="242"/>
      <c r="W867" s="242"/>
    </row>
    <row r="868">
      <c r="A868" s="13"/>
      <c r="B868" s="252"/>
      <c r="C868" s="252"/>
      <c r="D868" s="252"/>
      <c r="E868" s="252"/>
      <c r="F868" s="252"/>
      <c r="G868" s="252"/>
      <c r="H868" s="551"/>
      <c r="I868" s="242"/>
      <c r="J868" s="242"/>
      <c r="K868" s="242"/>
      <c r="L868" s="242"/>
      <c r="M868" s="242"/>
      <c r="N868" s="242"/>
      <c r="O868" s="242"/>
      <c r="P868" s="242"/>
      <c r="Q868" s="242"/>
      <c r="R868" s="242"/>
      <c r="S868" s="242"/>
      <c r="T868" s="242"/>
      <c r="U868" s="242"/>
      <c r="V868" s="242"/>
      <c r="W868" s="242"/>
    </row>
    <row r="869">
      <c r="A869" s="13"/>
      <c r="B869" s="252"/>
      <c r="C869" s="252"/>
      <c r="D869" s="252"/>
      <c r="E869" s="252"/>
      <c r="F869" s="252"/>
      <c r="G869" s="252"/>
      <c r="H869" s="551"/>
      <c r="I869" s="242"/>
      <c r="J869" s="242"/>
      <c r="K869" s="242"/>
      <c r="L869" s="242"/>
      <c r="M869" s="242"/>
      <c r="N869" s="242"/>
      <c r="O869" s="242"/>
      <c r="P869" s="242"/>
      <c r="Q869" s="242"/>
      <c r="R869" s="242"/>
      <c r="S869" s="242"/>
      <c r="T869" s="242"/>
      <c r="U869" s="242"/>
      <c r="V869" s="242"/>
      <c r="W869" s="242"/>
    </row>
    <row r="870">
      <c r="A870" s="13"/>
      <c r="B870" s="252"/>
      <c r="C870" s="252"/>
      <c r="D870" s="252"/>
      <c r="E870" s="252"/>
      <c r="F870" s="252"/>
      <c r="G870" s="252"/>
      <c r="H870" s="551"/>
      <c r="I870" s="242"/>
      <c r="J870" s="242"/>
      <c r="K870" s="242"/>
      <c r="L870" s="242"/>
      <c r="M870" s="242"/>
      <c r="N870" s="242"/>
      <c r="O870" s="242"/>
      <c r="P870" s="242"/>
      <c r="Q870" s="242"/>
      <c r="R870" s="242"/>
      <c r="S870" s="242"/>
      <c r="T870" s="242"/>
      <c r="U870" s="242"/>
      <c r="V870" s="242"/>
      <c r="W870" s="242"/>
    </row>
    <row r="871">
      <c r="A871" s="13"/>
      <c r="B871" s="252"/>
      <c r="C871" s="252"/>
      <c r="D871" s="252"/>
      <c r="E871" s="252"/>
      <c r="F871" s="252"/>
      <c r="G871" s="252"/>
      <c r="H871" s="551"/>
      <c r="I871" s="242"/>
      <c r="J871" s="242"/>
      <c r="K871" s="242"/>
      <c r="L871" s="242"/>
      <c r="M871" s="242"/>
      <c r="N871" s="242"/>
      <c r="O871" s="242"/>
      <c r="P871" s="242"/>
      <c r="Q871" s="242"/>
      <c r="R871" s="242"/>
      <c r="S871" s="242"/>
      <c r="T871" s="242"/>
      <c r="U871" s="242"/>
      <c r="V871" s="242"/>
      <c r="W871" s="242"/>
    </row>
    <row r="872">
      <c r="A872" s="13"/>
      <c r="B872" s="252"/>
      <c r="C872" s="252"/>
      <c r="D872" s="252"/>
      <c r="E872" s="252"/>
      <c r="F872" s="252"/>
      <c r="G872" s="252"/>
      <c r="H872" s="551"/>
      <c r="I872" s="242"/>
      <c r="J872" s="242"/>
      <c r="K872" s="242"/>
      <c r="L872" s="242"/>
      <c r="M872" s="242"/>
      <c r="N872" s="242"/>
      <c r="O872" s="242"/>
      <c r="P872" s="242"/>
      <c r="Q872" s="242"/>
      <c r="R872" s="242"/>
      <c r="S872" s="242"/>
      <c r="T872" s="242"/>
      <c r="U872" s="242"/>
      <c r="V872" s="242"/>
      <c r="W872" s="242"/>
    </row>
    <row r="873">
      <c r="A873" s="13"/>
      <c r="B873" s="252"/>
      <c r="C873" s="252"/>
      <c r="D873" s="252"/>
      <c r="E873" s="252"/>
      <c r="F873" s="252"/>
      <c r="G873" s="252"/>
      <c r="H873" s="551"/>
      <c r="I873" s="242"/>
      <c r="J873" s="242"/>
      <c r="K873" s="242"/>
      <c r="L873" s="242"/>
      <c r="M873" s="242"/>
      <c r="N873" s="242"/>
      <c r="O873" s="242"/>
      <c r="P873" s="242"/>
      <c r="Q873" s="242"/>
      <c r="R873" s="242"/>
      <c r="S873" s="242"/>
      <c r="T873" s="242"/>
      <c r="U873" s="242"/>
      <c r="V873" s="242"/>
      <c r="W873" s="242"/>
    </row>
    <row r="874">
      <c r="A874" s="13"/>
      <c r="B874" s="252"/>
      <c r="C874" s="252"/>
      <c r="D874" s="252"/>
      <c r="E874" s="252"/>
      <c r="F874" s="252"/>
      <c r="G874" s="252"/>
      <c r="H874" s="551"/>
      <c r="I874" s="242"/>
      <c r="J874" s="242"/>
      <c r="K874" s="242"/>
      <c r="L874" s="242"/>
      <c r="M874" s="242"/>
      <c r="N874" s="242"/>
      <c r="O874" s="242"/>
      <c r="P874" s="242"/>
      <c r="Q874" s="242"/>
      <c r="R874" s="242"/>
      <c r="S874" s="242"/>
      <c r="T874" s="242"/>
      <c r="U874" s="242"/>
      <c r="V874" s="242"/>
      <c r="W874" s="242"/>
    </row>
    <row r="875">
      <c r="A875" s="13"/>
      <c r="B875" s="252"/>
      <c r="C875" s="252"/>
      <c r="D875" s="252"/>
      <c r="E875" s="252"/>
      <c r="F875" s="252"/>
      <c r="G875" s="252"/>
      <c r="H875" s="551"/>
      <c r="I875" s="242"/>
      <c r="J875" s="242"/>
      <c r="K875" s="242"/>
      <c r="L875" s="242"/>
      <c r="M875" s="242"/>
      <c r="N875" s="242"/>
      <c r="O875" s="242"/>
      <c r="P875" s="242"/>
      <c r="Q875" s="242"/>
      <c r="R875" s="242"/>
      <c r="S875" s="242"/>
      <c r="T875" s="242"/>
      <c r="U875" s="242"/>
      <c r="V875" s="242"/>
      <c r="W875" s="242"/>
    </row>
    <row r="876">
      <c r="A876" s="13"/>
      <c r="B876" s="252"/>
      <c r="C876" s="252"/>
      <c r="D876" s="252"/>
      <c r="E876" s="252"/>
      <c r="F876" s="252"/>
      <c r="G876" s="252"/>
      <c r="H876" s="551"/>
      <c r="I876" s="242"/>
      <c r="J876" s="242"/>
      <c r="K876" s="242"/>
      <c r="L876" s="242"/>
      <c r="M876" s="242"/>
      <c r="N876" s="242"/>
      <c r="O876" s="242"/>
      <c r="P876" s="242"/>
      <c r="Q876" s="242"/>
      <c r="R876" s="242"/>
      <c r="S876" s="242"/>
      <c r="T876" s="242"/>
      <c r="U876" s="242"/>
      <c r="V876" s="242"/>
      <c r="W876" s="242"/>
    </row>
    <row r="877">
      <c r="A877" s="13"/>
      <c r="B877" s="252"/>
      <c r="C877" s="252"/>
      <c r="D877" s="252"/>
      <c r="E877" s="252"/>
      <c r="F877" s="252"/>
      <c r="G877" s="252"/>
      <c r="H877" s="551"/>
      <c r="I877" s="242"/>
      <c r="J877" s="242"/>
      <c r="K877" s="242"/>
      <c r="L877" s="242"/>
      <c r="M877" s="242"/>
      <c r="N877" s="242"/>
      <c r="O877" s="242"/>
      <c r="P877" s="242"/>
      <c r="Q877" s="242"/>
      <c r="R877" s="242"/>
      <c r="S877" s="242"/>
      <c r="T877" s="242"/>
      <c r="U877" s="242"/>
      <c r="V877" s="242"/>
      <c r="W877" s="242"/>
    </row>
    <row r="878">
      <c r="A878" s="13"/>
      <c r="B878" s="252"/>
      <c r="C878" s="252"/>
      <c r="D878" s="252"/>
      <c r="E878" s="252"/>
      <c r="F878" s="252"/>
      <c r="G878" s="252"/>
      <c r="H878" s="551"/>
      <c r="I878" s="242"/>
      <c r="J878" s="242"/>
      <c r="K878" s="242"/>
      <c r="L878" s="242"/>
      <c r="M878" s="242"/>
      <c r="N878" s="242"/>
      <c r="O878" s="242"/>
      <c r="P878" s="242"/>
      <c r="Q878" s="242"/>
      <c r="R878" s="242"/>
      <c r="S878" s="242"/>
      <c r="T878" s="242"/>
      <c r="U878" s="242"/>
      <c r="V878" s="242"/>
      <c r="W878" s="242"/>
    </row>
    <row r="879">
      <c r="A879" s="13"/>
      <c r="B879" s="252"/>
      <c r="C879" s="252"/>
      <c r="D879" s="252"/>
      <c r="E879" s="252"/>
      <c r="F879" s="252"/>
      <c r="G879" s="252"/>
      <c r="H879" s="551"/>
      <c r="I879" s="242"/>
      <c r="J879" s="242"/>
      <c r="K879" s="242"/>
      <c r="L879" s="242"/>
      <c r="M879" s="242"/>
      <c r="N879" s="242"/>
      <c r="O879" s="242"/>
      <c r="P879" s="242"/>
      <c r="Q879" s="242"/>
      <c r="R879" s="242"/>
      <c r="S879" s="242"/>
      <c r="T879" s="242"/>
      <c r="U879" s="242"/>
      <c r="V879" s="242"/>
      <c r="W879" s="242"/>
    </row>
    <row r="880">
      <c r="A880" s="13"/>
      <c r="B880" s="252"/>
      <c r="C880" s="252"/>
      <c r="D880" s="252"/>
      <c r="E880" s="252"/>
      <c r="F880" s="252"/>
      <c r="G880" s="252"/>
      <c r="H880" s="551"/>
      <c r="I880" s="242"/>
      <c r="J880" s="242"/>
      <c r="K880" s="242"/>
      <c r="L880" s="242"/>
      <c r="M880" s="242"/>
      <c r="N880" s="242"/>
      <c r="O880" s="242"/>
      <c r="P880" s="242"/>
      <c r="Q880" s="242"/>
      <c r="R880" s="242"/>
      <c r="S880" s="242"/>
      <c r="T880" s="242"/>
      <c r="U880" s="242"/>
      <c r="V880" s="242"/>
      <c r="W880" s="242"/>
    </row>
    <row r="881">
      <c r="A881" s="13"/>
      <c r="B881" s="252"/>
      <c r="C881" s="252"/>
      <c r="D881" s="252"/>
      <c r="E881" s="252"/>
      <c r="F881" s="252"/>
      <c r="G881" s="252"/>
      <c r="H881" s="551"/>
      <c r="I881" s="242"/>
      <c r="J881" s="242"/>
      <c r="K881" s="242"/>
      <c r="L881" s="242"/>
      <c r="M881" s="242"/>
      <c r="N881" s="242"/>
      <c r="O881" s="242"/>
      <c r="P881" s="242"/>
      <c r="Q881" s="242"/>
      <c r="R881" s="242"/>
      <c r="S881" s="242"/>
      <c r="T881" s="242"/>
      <c r="U881" s="242"/>
      <c r="V881" s="242"/>
      <c r="W881" s="242"/>
    </row>
    <row r="882">
      <c r="A882" s="13"/>
      <c r="B882" s="252"/>
      <c r="C882" s="252"/>
      <c r="D882" s="252"/>
      <c r="E882" s="252"/>
      <c r="F882" s="252"/>
      <c r="G882" s="252"/>
      <c r="H882" s="551"/>
      <c r="I882" s="242"/>
      <c r="J882" s="242"/>
      <c r="K882" s="242"/>
      <c r="L882" s="242"/>
      <c r="M882" s="242"/>
      <c r="N882" s="242"/>
      <c r="O882" s="242"/>
      <c r="P882" s="242"/>
      <c r="Q882" s="242"/>
      <c r="R882" s="242"/>
      <c r="S882" s="242"/>
      <c r="T882" s="242"/>
      <c r="U882" s="242"/>
      <c r="V882" s="242"/>
      <c r="W882" s="242"/>
    </row>
    <row r="883">
      <c r="A883" s="13"/>
      <c r="B883" s="252"/>
      <c r="C883" s="252"/>
      <c r="D883" s="252"/>
      <c r="E883" s="252"/>
      <c r="F883" s="252"/>
      <c r="G883" s="252"/>
      <c r="H883" s="551"/>
      <c r="I883" s="242"/>
      <c r="J883" s="242"/>
      <c r="K883" s="242"/>
      <c r="L883" s="242"/>
      <c r="M883" s="242"/>
      <c r="N883" s="242"/>
      <c r="O883" s="242"/>
      <c r="P883" s="242"/>
      <c r="Q883" s="242"/>
      <c r="R883" s="242"/>
      <c r="S883" s="242"/>
      <c r="T883" s="242"/>
      <c r="U883" s="242"/>
      <c r="V883" s="242"/>
      <c r="W883" s="242"/>
    </row>
    <row r="884">
      <c r="A884" s="13"/>
      <c r="B884" s="252"/>
      <c r="C884" s="252"/>
      <c r="D884" s="252"/>
      <c r="E884" s="252"/>
      <c r="F884" s="252"/>
      <c r="G884" s="252"/>
      <c r="H884" s="551"/>
      <c r="I884" s="242"/>
      <c r="J884" s="242"/>
      <c r="K884" s="242"/>
      <c r="L884" s="242"/>
      <c r="M884" s="242"/>
      <c r="N884" s="242"/>
      <c r="O884" s="242"/>
      <c r="P884" s="242"/>
      <c r="Q884" s="242"/>
      <c r="R884" s="242"/>
      <c r="S884" s="242"/>
      <c r="T884" s="242"/>
      <c r="U884" s="242"/>
      <c r="V884" s="242"/>
      <c r="W884" s="242"/>
    </row>
    <row r="885">
      <c r="A885" s="13"/>
      <c r="B885" s="252"/>
      <c r="C885" s="252"/>
      <c r="D885" s="252"/>
      <c r="E885" s="252"/>
      <c r="F885" s="252"/>
      <c r="G885" s="252"/>
      <c r="H885" s="551"/>
      <c r="I885" s="242"/>
      <c r="J885" s="242"/>
      <c r="K885" s="242"/>
      <c r="L885" s="242"/>
      <c r="M885" s="242"/>
      <c r="N885" s="242"/>
      <c r="O885" s="242"/>
      <c r="P885" s="242"/>
      <c r="Q885" s="242"/>
      <c r="R885" s="242"/>
      <c r="S885" s="242"/>
      <c r="T885" s="242"/>
      <c r="U885" s="242"/>
      <c r="V885" s="242"/>
      <c r="W885" s="242"/>
    </row>
    <row r="886">
      <c r="A886" s="13"/>
      <c r="B886" s="252"/>
      <c r="C886" s="252"/>
      <c r="D886" s="252"/>
      <c r="E886" s="252"/>
      <c r="F886" s="252"/>
      <c r="G886" s="252"/>
      <c r="H886" s="551"/>
      <c r="I886" s="242"/>
      <c r="J886" s="242"/>
      <c r="K886" s="242"/>
      <c r="L886" s="242"/>
      <c r="M886" s="242"/>
      <c r="N886" s="242"/>
      <c r="O886" s="242"/>
      <c r="P886" s="242"/>
      <c r="Q886" s="242"/>
      <c r="R886" s="242"/>
      <c r="S886" s="242"/>
      <c r="T886" s="242"/>
      <c r="U886" s="242"/>
      <c r="V886" s="242"/>
      <c r="W886" s="242"/>
    </row>
    <row r="887">
      <c r="A887" s="13"/>
      <c r="B887" s="252"/>
      <c r="C887" s="252"/>
      <c r="D887" s="252"/>
      <c r="E887" s="252"/>
      <c r="F887" s="252"/>
      <c r="G887" s="252"/>
      <c r="H887" s="551"/>
      <c r="I887" s="242"/>
      <c r="J887" s="242"/>
      <c r="K887" s="242"/>
      <c r="L887" s="242"/>
      <c r="M887" s="242"/>
      <c r="N887" s="242"/>
      <c r="O887" s="242"/>
      <c r="P887" s="242"/>
      <c r="Q887" s="242"/>
      <c r="R887" s="242"/>
      <c r="S887" s="242"/>
      <c r="T887" s="242"/>
      <c r="U887" s="242"/>
      <c r="V887" s="242"/>
      <c r="W887" s="242"/>
    </row>
    <row r="888">
      <c r="A888" s="13"/>
      <c r="B888" s="252"/>
      <c r="C888" s="252"/>
      <c r="D888" s="252"/>
      <c r="E888" s="252"/>
      <c r="F888" s="252"/>
      <c r="G888" s="252"/>
      <c r="H888" s="551"/>
      <c r="I888" s="242"/>
      <c r="J888" s="242"/>
      <c r="K888" s="242"/>
      <c r="L888" s="242"/>
      <c r="M888" s="242"/>
      <c r="N888" s="242"/>
      <c r="O888" s="242"/>
      <c r="P888" s="242"/>
      <c r="Q888" s="242"/>
      <c r="R888" s="242"/>
      <c r="S888" s="242"/>
      <c r="T888" s="242"/>
      <c r="U888" s="242"/>
      <c r="V888" s="242"/>
      <c r="W888" s="242"/>
    </row>
    <row r="889">
      <c r="A889" s="13"/>
      <c r="B889" s="252"/>
      <c r="C889" s="252"/>
      <c r="D889" s="252"/>
      <c r="E889" s="252"/>
      <c r="F889" s="252"/>
      <c r="G889" s="252"/>
      <c r="H889" s="551"/>
      <c r="I889" s="242"/>
      <c r="J889" s="242"/>
      <c r="K889" s="242"/>
      <c r="L889" s="242"/>
      <c r="M889" s="242"/>
      <c r="N889" s="242"/>
      <c r="O889" s="242"/>
      <c r="P889" s="242"/>
      <c r="Q889" s="242"/>
      <c r="R889" s="242"/>
      <c r="S889" s="242"/>
      <c r="T889" s="242"/>
      <c r="U889" s="242"/>
      <c r="V889" s="242"/>
      <c r="W889" s="242"/>
    </row>
    <row r="890">
      <c r="A890" s="13"/>
      <c r="B890" s="252"/>
      <c r="C890" s="252"/>
      <c r="D890" s="252"/>
      <c r="E890" s="252"/>
      <c r="F890" s="252"/>
      <c r="G890" s="252"/>
      <c r="H890" s="551"/>
      <c r="I890" s="242"/>
      <c r="J890" s="242"/>
      <c r="K890" s="242"/>
      <c r="L890" s="242"/>
      <c r="M890" s="242"/>
      <c r="N890" s="242"/>
      <c r="O890" s="242"/>
      <c r="P890" s="242"/>
      <c r="Q890" s="242"/>
      <c r="R890" s="242"/>
      <c r="S890" s="242"/>
      <c r="T890" s="242"/>
      <c r="U890" s="242"/>
      <c r="V890" s="242"/>
      <c r="W890" s="242"/>
    </row>
    <row r="891">
      <c r="A891" s="13"/>
      <c r="B891" s="252"/>
      <c r="C891" s="252"/>
      <c r="D891" s="252"/>
      <c r="E891" s="252"/>
      <c r="F891" s="252"/>
      <c r="G891" s="252"/>
      <c r="H891" s="551"/>
      <c r="I891" s="242"/>
      <c r="J891" s="242"/>
      <c r="K891" s="242"/>
      <c r="L891" s="242"/>
      <c r="M891" s="242"/>
      <c r="N891" s="242"/>
      <c r="O891" s="242"/>
      <c r="P891" s="242"/>
      <c r="Q891" s="242"/>
      <c r="R891" s="242"/>
      <c r="S891" s="242"/>
      <c r="T891" s="242"/>
      <c r="U891" s="242"/>
      <c r="V891" s="242"/>
      <c r="W891" s="242"/>
    </row>
    <row r="892">
      <c r="A892" s="13"/>
      <c r="B892" s="252"/>
      <c r="C892" s="252"/>
      <c r="D892" s="252"/>
      <c r="E892" s="252"/>
      <c r="F892" s="252"/>
      <c r="G892" s="252"/>
      <c r="H892" s="551"/>
      <c r="I892" s="242"/>
      <c r="J892" s="242"/>
      <c r="K892" s="242"/>
      <c r="L892" s="242"/>
      <c r="M892" s="242"/>
      <c r="N892" s="242"/>
      <c r="O892" s="242"/>
      <c r="P892" s="242"/>
      <c r="Q892" s="242"/>
      <c r="R892" s="242"/>
      <c r="S892" s="242"/>
      <c r="T892" s="242"/>
      <c r="U892" s="242"/>
      <c r="V892" s="242"/>
      <c r="W892" s="242"/>
    </row>
    <row r="893">
      <c r="A893" s="13"/>
      <c r="B893" s="252"/>
      <c r="C893" s="252"/>
      <c r="D893" s="252"/>
      <c r="E893" s="252"/>
      <c r="F893" s="252"/>
      <c r="G893" s="252"/>
      <c r="H893" s="551"/>
      <c r="I893" s="242"/>
      <c r="J893" s="242"/>
      <c r="K893" s="242"/>
      <c r="L893" s="242"/>
      <c r="M893" s="242"/>
      <c r="N893" s="242"/>
      <c r="O893" s="242"/>
      <c r="P893" s="242"/>
      <c r="Q893" s="242"/>
      <c r="R893" s="242"/>
      <c r="S893" s="242"/>
      <c r="T893" s="242"/>
      <c r="U893" s="242"/>
      <c r="V893" s="242"/>
      <c r="W893" s="242"/>
    </row>
    <row r="894">
      <c r="A894" s="13"/>
      <c r="B894" s="252"/>
      <c r="C894" s="252"/>
      <c r="D894" s="252"/>
      <c r="E894" s="252"/>
      <c r="F894" s="252"/>
      <c r="G894" s="252"/>
      <c r="H894" s="551"/>
      <c r="I894" s="242"/>
      <c r="J894" s="242"/>
      <c r="K894" s="242"/>
      <c r="L894" s="242"/>
      <c r="M894" s="242"/>
      <c r="N894" s="242"/>
      <c r="O894" s="242"/>
      <c r="P894" s="242"/>
      <c r="Q894" s="242"/>
      <c r="R894" s="242"/>
      <c r="S894" s="242"/>
      <c r="T894" s="242"/>
      <c r="U894" s="242"/>
      <c r="V894" s="242"/>
      <c r="W894" s="242"/>
    </row>
    <row r="895">
      <c r="A895" s="13"/>
      <c r="B895" s="252"/>
      <c r="C895" s="252"/>
      <c r="D895" s="252"/>
      <c r="E895" s="252"/>
      <c r="F895" s="252"/>
      <c r="G895" s="252"/>
      <c r="H895" s="551"/>
      <c r="I895" s="242"/>
      <c r="J895" s="242"/>
      <c r="K895" s="242"/>
      <c r="L895" s="242"/>
      <c r="M895" s="242"/>
      <c r="N895" s="242"/>
      <c r="O895" s="242"/>
      <c r="P895" s="242"/>
      <c r="Q895" s="242"/>
      <c r="R895" s="242"/>
      <c r="S895" s="242"/>
      <c r="T895" s="242"/>
      <c r="U895" s="242"/>
      <c r="V895" s="242"/>
      <c r="W895" s="242"/>
    </row>
    <row r="896">
      <c r="A896" s="13"/>
      <c r="B896" s="252"/>
      <c r="C896" s="252"/>
      <c r="D896" s="252"/>
      <c r="E896" s="252"/>
      <c r="F896" s="252"/>
      <c r="G896" s="252"/>
      <c r="H896" s="551"/>
      <c r="I896" s="242"/>
      <c r="J896" s="242"/>
      <c r="K896" s="242"/>
      <c r="L896" s="242"/>
      <c r="M896" s="242"/>
      <c r="N896" s="242"/>
      <c r="O896" s="242"/>
      <c r="P896" s="242"/>
      <c r="Q896" s="242"/>
      <c r="R896" s="242"/>
      <c r="S896" s="242"/>
      <c r="T896" s="242"/>
      <c r="U896" s="242"/>
      <c r="V896" s="242"/>
      <c r="W896" s="242"/>
    </row>
    <row r="897">
      <c r="A897" s="13"/>
      <c r="B897" s="252"/>
      <c r="C897" s="252"/>
      <c r="D897" s="252"/>
      <c r="E897" s="252"/>
      <c r="F897" s="252"/>
      <c r="G897" s="252"/>
      <c r="H897" s="551"/>
      <c r="I897" s="242"/>
      <c r="J897" s="242"/>
      <c r="K897" s="242"/>
      <c r="L897" s="242"/>
      <c r="M897" s="242"/>
      <c r="N897" s="242"/>
      <c r="O897" s="242"/>
      <c r="P897" s="242"/>
      <c r="Q897" s="242"/>
      <c r="R897" s="242"/>
      <c r="S897" s="242"/>
      <c r="T897" s="242"/>
      <c r="U897" s="242"/>
      <c r="V897" s="242"/>
      <c r="W897" s="242"/>
    </row>
    <row r="898">
      <c r="A898" s="13"/>
      <c r="B898" s="252"/>
      <c r="C898" s="252"/>
      <c r="D898" s="252"/>
      <c r="E898" s="252"/>
      <c r="F898" s="252"/>
      <c r="G898" s="252"/>
      <c r="H898" s="551"/>
      <c r="I898" s="242"/>
      <c r="J898" s="242"/>
      <c r="K898" s="242"/>
      <c r="L898" s="242"/>
      <c r="M898" s="242"/>
      <c r="N898" s="242"/>
      <c r="O898" s="242"/>
      <c r="P898" s="242"/>
      <c r="Q898" s="242"/>
      <c r="R898" s="242"/>
      <c r="S898" s="242"/>
      <c r="T898" s="242"/>
      <c r="U898" s="242"/>
      <c r="V898" s="242"/>
      <c r="W898" s="242"/>
    </row>
    <row r="899">
      <c r="A899" s="13"/>
      <c r="B899" s="252"/>
      <c r="C899" s="252"/>
      <c r="D899" s="252"/>
      <c r="E899" s="252"/>
      <c r="F899" s="252"/>
      <c r="G899" s="252"/>
      <c r="H899" s="551"/>
      <c r="I899" s="242"/>
      <c r="J899" s="242"/>
      <c r="K899" s="242"/>
      <c r="L899" s="242"/>
      <c r="M899" s="242"/>
      <c r="N899" s="242"/>
      <c r="O899" s="242"/>
      <c r="P899" s="242"/>
      <c r="Q899" s="242"/>
      <c r="R899" s="242"/>
      <c r="S899" s="242"/>
      <c r="T899" s="242"/>
      <c r="U899" s="242"/>
      <c r="V899" s="242"/>
      <c r="W899" s="242"/>
    </row>
    <row r="900">
      <c r="A900" s="13"/>
      <c r="B900" s="252"/>
      <c r="C900" s="252"/>
      <c r="D900" s="252"/>
      <c r="E900" s="252"/>
      <c r="F900" s="252"/>
      <c r="G900" s="252"/>
      <c r="H900" s="551"/>
      <c r="I900" s="242"/>
      <c r="J900" s="242"/>
      <c r="K900" s="242"/>
      <c r="L900" s="242"/>
      <c r="M900" s="242"/>
      <c r="N900" s="242"/>
      <c r="O900" s="242"/>
      <c r="P900" s="242"/>
      <c r="Q900" s="242"/>
      <c r="R900" s="242"/>
      <c r="S900" s="242"/>
      <c r="T900" s="242"/>
      <c r="U900" s="242"/>
      <c r="V900" s="242"/>
      <c r="W900" s="242"/>
    </row>
    <row r="901">
      <c r="A901" s="13"/>
      <c r="B901" s="252"/>
      <c r="C901" s="252"/>
      <c r="D901" s="252"/>
      <c r="E901" s="252"/>
      <c r="F901" s="252"/>
      <c r="G901" s="252"/>
      <c r="H901" s="551"/>
      <c r="I901" s="242"/>
      <c r="J901" s="242"/>
      <c r="K901" s="242"/>
      <c r="L901" s="242"/>
      <c r="M901" s="242"/>
      <c r="N901" s="242"/>
      <c r="O901" s="242"/>
      <c r="P901" s="242"/>
      <c r="Q901" s="242"/>
      <c r="R901" s="242"/>
      <c r="S901" s="242"/>
      <c r="T901" s="242"/>
      <c r="U901" s="242"/>
      <c r="V901" s="242"/>
      <c r="W901" s="242"/>
    </row>
    <row r="902">
      <c r="A902" s="13"/>
      <c r="B902" s="252"/>
      <c r="C902" s="252"/>
      <c r="D902" s="252"/>
      <c r="E902" s="252"/>
      <c r="F902" s="252"/>
      <c r="G902" s="252"/>
      <c r="H902" s="551"/>
      <c r="I902" s="242"/>
      <c r="J902" s="242"/>
      <c r="K902" s="242"/>
      <c r="L902" s="242"/>
      <c r="M902" s="242"/>
      <c r="N902" s="242"/>
      <c r="O902" s="242"/>
      <c r="P902" s="242"/>
      <c r="Q902" s="242"/>
      <c r="R902" s="242"/>
      <c r="S902" s="242"/>
      <c r="T902" s="242"/>
      <c r="U902" s="242"/>
      <c r="V902" s="242"/>
      <c r="W902" s="242"/>
    </row>
    <row r="903">
      <c r="A903" s="13"/>
      <c r="B903" s="252"/>
      <c r="C903" s="252"/>
      <c r="D903" s="252"/>
      <c r="E903" s="252"/>
      <c r="F903" s="252"/>
      <c r="G903" s="252"/>
      <c r="H903" s="551"/>
      <c r="I903" s="242"/>
      <c r="J903" s="242"/>
      <c r="K903" s="242"/>
      <c r="L903" s="242"/>
      <c r="M903" s="242"/>
      <c r="N903" s="242"/>
      <c r="O903" s="242"/>
      <c r="P903" s="242"/>
      <c r="Q903" s="242"/>
      <c r="R903" s="242"/>
      <c r="S903" s="242"/>
      <c r="T903" s="242"/>
      <c r="U903" s="242"/>
      <c r="V903" s="242"/>
      <c r="W903" s="242"/>
    </row>
    <row r="904">
      <c r="A904" s="13"/>
      <c r="B904" s="252"/>
      <c r="C904" s="252"/>
      <c r="D904" s="252"/>
      <c r="E904" s="252"/>
      <c r="F904" s="252"/>
      <c r="G904" s="252"/>
      <c r="H904" s="551"/>
      <c r="I904" s="242"/>
      <c r="J904" s="242"/>
      <c r="K904" s="242"/>
      <c r="L904" s="242"/>
      <c r="M904" s="242"/>
      <c r="N904" s="242"/>
      <c r="O904" s="242"/>
      <c r="P904" s="242"/>
      <c r="Q904" s="242"/>
      <c r="R904" s="242"/>
      <c r="S904" s="242"/>
      <c r="T904" s="242"/>
      <c r="U904" s="242"/>
      <c r="V904" s="242"/>
      <c r="W904" s="242"/>
    </row>
    <row r="905">
      <c r="A905" s="13"/>
      <c r="B905" s="252"/>
      <c r="C905" s="252"/>
      <c r="D905" s="252"/>
      <c r="E905" s="252"/>
      <c r="F905" s="252"/>
      <c r="G905" s="252"/>
      <c r="H905" s="551"/>
      <c r="I905" s="242"/>
      <c r="J905" s="242"/>
      <c r="K905" s="242"/>
      <c r="L905" s="242"/>
      <c r="M905" s="242"/>
      <c r="N905" s="242"/>
      <c r="O905" s="242"/>
      <c r="P905" s="242"/>
      <c r="Q905" s="242"/>
      <c r="R905" s="242"/>
      <c r="S905" s="242"/>
      <c r="T905" s="242"/>
      <c r="U905" s="242"/>
      <c r="V905" s="242"/>
      <c r="W905" s="242"/>
    </row>
    <row r="906">
      <c r="A906" s="13"/>
      <c r="B906" s="252"/>
      <c r="C906" s="252"/>
      <c r="D906" s="252"/>
      <c r="E906" s="252"/>
      <c r="F906" s="252"/>
      <c r="G906" s="252"/>
      <c r="H906" s="551"/>
      <c r="I906" s="242"/>
      <c r="J906" s="242"/>
      <c r="K906" s="242"/>
      <c r="L906" s="242"/>
      <c r="M906" s="242"/>
      <c r="N906" s="242"/>
      <c r="O906" s="242"/>
      <c r="P906" s="242"/>
      <c r="Q906" s="242"/>
      <c r="R906" s="242"/>
      <c r="S906" s="242"/>
      <c r="T906" s="242"/>
      <c r="U906" s="242"/>
      <c r="V906" s="242"/>
      <c r="W906" s="242"/>
    </row>
    <row r="907">
      <c r="A907" s="13"/>
      <c r="B907" s="252"/>
      <c r="C907" s="252"/>
      <c r="D907" s="252"/>
      <c r="E907" s="252"/>
      <c r="F907" s="252"/>
      <c r="G907" s="252"/>
      <c r="H907" s="551"/>
      <c r="I907" s="242"/>
      <c r="J907" s="242"/>
      <c r="K907" s="242"/>
      <c r="L907" s="242"/>
      <c r="M907" s="242"/>
      <c r="N907" s="242"/>
      <c r="O907" s="242"/>
      <c r="P907" s="242"/>
      <c r="Q907" s="242"/>
      <c r="R907" s="242"/>
      <c r="S907" s="242"/>
      <c r="T907" s="242"/>
      <c r="U907" s="242"/>
      <c r="V907" s="242"/>
      <c r="W907" s="242"/>
    </row>
    <row r="908">
      <c r="A908" s="13"/>
      <c r="B908" s="252"/>
      <c r="C908" s="252"/>
      <c r="D908" s="252"/>
      <c r="E908" s="252"/>
      <c r="F908" s="252"/>
      <c r="G908" s="252"/>
      <c r="H908" s="551"/>
      <c r="I908" s="242"/>
      <c r="J908" s="242"/>
      <c r="K908" s="242"/>
      <c r="L908" s="242"/>
      <c r="M908" s="242"/>
      <c r="N908" s="242"/>
      <c r="O908" s="242"/>
      <c r="P908" s="242"/>
      <c r="Q908" s="242"/>
      <c r="R908" s="242"/>
      <c r="S908" s="242"/>
      <c r="T908" s="242"/>
      <c r="U908" s="242"/>
      <c r="V908" s="242"/>
      <c r="W908" s="242"/>
    </row>
    <row r="909">
      <c r="A909" s="13"/>
      <c r="B909" s="252"/>
      <c r="C909" s="252"/>
      <c r="D909" s="252"/>
      <c r="E909" s="252"/>
      <c r="F909" s="252"/>
      <c r="G909" s="252"/>
      <c r="H909" s="551"/>
      <c r="I909" s="242"/>
      <c r="J909" s="242"/>
      <c r="K909" s="242"/>
      <c r="L909" s="242"/>
      <c r="M909" s="242"/>
      <c r="N909" s="242"/>
      <c r="O909" s="242"/>
      <c r="P909" s="242"/>
      <c r="Q909" s="242"/>
      <c r="R909" s="242"/>
      <c r="S909" s="242"/>
      <c r="T909" s="242"/>
      <c r="U909" s="242"/>
      <c r="V909" s="242"/>
      <c r="W909" s="242"/>
    </row>
    <row r="910">
      <c r="A910" s="13"/>
      <c r="B910" s="252"/>
      <c r="C910" s="252"/>
      <c r="D910" s="252"/>
      <c r="E910" s="252"/>
      <c r="F910" s="252"/>
      <c r="G910" s="252"/>
      <c r="H910" s="551"/>
      <c r="I910" s="242"/>
      <c r="J910" s="242"/>
      <c r="K910" s="242"/>
      <c r="L910" s="242"/>
      <c r="M910" s="242"/>
      <c r="N910" s="242"/>
      <c r="O910" s="242"/>
      <c r="P910" s="242"/>
      <c r="Q910" s="242"/>
      <c r="R910" s="242"/>
      <c r="S910" s="242"/>
      <c r="T910" s="242"/>
      <c r="U910" s="242"/>
      <c r="V910" s="242"/>
      <c r="W910" s="242"/>
    </row>
    <row r="911">
      <c r="A911" s="13"/>
      <c r="B911" s="252"/>
      <c r="C911" s="252"/>
      <c r="D911" s="252"/>
      <c r="E911" s="252"/>
      <c r="F911" s="252"/>
      <c r="G911" s="252"/>
      <c r="H911" s="551"/>
      <c r="I911" s="242"/>
      <c r="J911" s="242"/>
      <c r="K911" s="242"/>
      <c r="L911" s="242"/>
      <c r="M911" s="242"/>
      <c r="N911" s="242"/>
      <c r="O911" s="242"/>
      <c r="P911" s="242"/>
      <c r="Q911" s="242"/>
      <c r="R911" s="242"/>
      <c r="S911" s="242"/>
      <c r="T911" s="242"/>
      <c r="U911" s="242"/>
      <c r="V911" s="242"/>
      <c r="W911" s="242"/>
    </row>
    <row r="912">
      <c r="A912" s="13"/>
      <c r="B912" s="252"/>
      <c r="C912" s="252"/>
      <c r="D912" s="252"/>
      <c r="E912" s="252"/>
      <c r="F912" s="252"/>
      <c r="G912" s="252"/>
      <c r="H912" s="551"/>
      <c r="I912" s="242"/>
      <c r="J912" s="242"/>
      <c r="K912" s="242"/>
      <c r="L912" s="242"/>
      <c r="M912" s="242"/>
      <c r="N912" s="242"/>
      <c r="O912" s="242"/>
      <c r="P912" s="242"/>
      <c r="Q912" s="242"/>
      <c r="R912" s="242"/>
      <c r="S912" s="242"/>
      <c r="T912" s="242"/>
      <c r="U912" s="242"/>
      <c r="V912" s="242"/>
      <c r="W912" s="242"/>
    </row>
    <row r="913">
      <c r="A913" s="13"/>
      <c r="B913" s="252"/>
      <c r="C913" s="252"/>
      <c r="D913" s="252"/>
      <c r="E913" s="252"/>
      <c r="F913" s="252"/>
      <c r="G913" s="252"/>
      <c r="H913" s="551"/>
      <c r="I913" s="242"/>
      <c r="J913" s="242"/>
      <c r="K913" s="242"/>
      <c r="L913" s="242"/>
      <c r="M913" s="242"/>
      <c r="N913" s="242"/>
      <c r="O913" s="242"/>
      <c r="P913" s="242"/>
      <c r="Q913" s="242"/>
      <c r="R913" s="242"/>
      <c r="S913" s="242"/>
      <c r="T913" s="242"/>
      <c r="U913" s="242"/>
      <c r="V913" s="242"/>
      <c r="W913" s="242"/>
    </row>
    <row r="914">
      <c r="A914" s="13"/>
      <c r="B914" s="252"/>
      <c r="C914" s="252"/>
      <c r="D914" s="252"/>
      <c r="E914" s="252"/>
      <c r="F914" s="252"/>
      <c r="G914" s="252"/>
      <c r="H914" s="551"/>
      <c r="I914" s="242"/>
      <c r="J914" s="242"/>
      <c r="K914" s="242"/>
      <c r="L914" s="242"/>
      <c r="M914" s="242"/>
      <c r="N914" s="242"/>
      <c r="O914" s="242"/>
      <c r="P914" s="242"/>
      <c r="Q914" s="242"/>
      <c r="R914" s="242"/>
      <c r="S914" s="242"/>
      <c r="T914" s="242"/>
      <c r="U914" s="242"/>
      <c r="V914" s="242"/>
      <c r="W914" s="242"/>
    </row>
    <row r="915">
      <c r="A915" s="13"/>
      <c r="B915" s="252"/>
      <c r="C915" s="252"/>
      <c r="D915" s="252"/>
      <c r="E915" s="252"/>
      <c r="F915" s="252"/>
      <c r="G915" s="252"/>
      <c r="H915" s="551"/>
      <c r="I915" s="242"/>
      <c r="J915" s="242"/>
      <c r="K915" s="242"/>
      <c r="L915" s="242"/>
      <c r="M915" s="242"/>
      <c r="N915" s="242"/>
      <c r="O915" s="242"/>
      <c r="P915" s="242"/>
      <c r="Q915" s="242"/>
      <c r="R915" s="242"/>
      <c r="S915" s="242"/>
      <c r="T915" s="242"/>
      <c r="U915" s="242"/>
      <c r="V915" s="242"/>
      <c r="W915" s="242"/>
    </row>
    <row r="916">
      <c r="A916" s="13"/>
      <c r="B916" s="252"/>
      <c r="C916" s="252"/>
      <c r="D916" s="252"/>
      <c r="E916" s="252"/>
      <c r="F916" s="252"/>
      <c r="G916" s="252"/>
      <c r="H916" s="551"/>
      <c r="I916" s="242"/>
      <c r="J916" s="242"/>
      <c r="K916" s="242"/>
      <c r="L916" s="242"/>
      <c r="M916" s="242"/>
      <c r="N916" s="242"/>
      <c r="O916" s="242"/>
      <c r="P916" s="242"/>
      <c r="Q916" s="242"/>
      <c r="R916" s="242"/>
      <c r="S916" s="242"/>
      <c r="T916" s="242"/>
      <c r="U916" s="242"/>
      <c r="V916" s="242"/>
      <c r="W916" s="242"/>
    </row>
    <row r="917">
      <c r="A917" s="13"/>
      <c r="B917" s="252"/>
      <c r="C917" s="252"/>
      <c r="D917" s="252"/>
      <c r="E917" s="252"/>
      <c r="F917" s="252"/>
      <c r="G917" s="252"/>
      <c r="H917" s="551"/>
      <c r="I917" s="242"/>
      <c r="J917" s="242"/>
      <c r="K917" s="242"/>
      <c r="L917" s="242"/>
      <c r="M917" s="242"/>
      <c r="N917" s="242"/>
      <c r="O917" s="242"/>
      <c r="P917" s="242"/>
      <c r="Q917" s="242"/>
      <c r="R917" s="242"/>
      <c r="S917" s="242"/>
      <c r="T917" s="242"/>
      <c r="U917" s="242"/>
      <c r="V917" s="242"/>
      <c r="W917" s="242"/>
    </row>
    <row r="918">
      <c r="A918" s="13"/>
      <c r="B918" s="252"/>
      <c r="C918" s="252"/>
      <c r="D918" s="252"/>
      <c r="E918" s="252"/>
      <c r="F918" s="252"/>
      <c r="G918" s="252"/>
      <c r="H918" s="551"/>
      <c r="I918" s="242"/>
      <c r="J918" s="242"/>
      <c r="K918" s="242"/>
      <c r="L918" s="242"/>
      <c r="M918" s="242"/>
      <c r="N918" s="242"/>
      <c r="O918" s="242"/>
      <c r="P918" s="242"/>
      <c r="Q918" s="242"/>
      <c r="R918" s="242"/>
      <c r="S918" s="242"/>
      <c r="T918" s="242"/>
      <c r="U918" s="242"/>
      <c r="V918" s="242"/>
      <c r="W918" s="242"/>
    </row>
    <row r="919">
      <c r="A919" s="13"/>
      <c r="B919" s="252"/>
      <c r="C919" s="252"/>
      <c r="D919" s="252"/>
      <c r="E919" s="252"/>
      <c r="F919" s="252"/>
      <c r="G919" s="252"/>
      <c r="H919" s="551"/>
      <c r="I919" s="242"/>
      <c r="J919" s="242"/>
      <c r="K919" s="242"/>
      <c r="L919" s="242"/>
      <c r="M919" s="242"/>
      <c r="N919" s="242"/>
      <c r="O919" s="242"/>
      <c r="P919" s="242"/>
      <c r="Q919" s="242"/>
      <c r="R919" s="242"/>
      <c r="S919" s="242"/>
      <c r="T919" s="242"/>
      <c r="U919" s="242"/>
      <c r="V919" s="242"/>
      <c r="W919" s="242"/>
    </row>
    <row r="920">
      <c r="A920" s="13"/>
      <c r="B920" s="252"/>
      <c r="C920" s="252"/>
      <c r="D920" s="252"/>
      <c r="E920" s="252"/>
      <c r="F920" s="252"/>
      <c r="G920" s="252"/>
      <c r="H920" s="551"/>
      <c r="I920" s="242"/>
      <c r="J920" s="242"/>
      <c r="K920" s="242"/>
      <c r="L920" s="242"/>
      <c r="M920" s="242"/>
      <c r="N920" s="242"/>
      <c r="O920" s="242"/>
      <c r="P920" s="242"/>
      <c r="Q920" s="242"/>
      <c r="R920" s="242"/>
      <c r="S920" s="242"/>
      <c r="T920" s="242"/>
      <c r="U920" s="242"/>
      <c r="V920" s="242"/>
      <c r="W920" s="242"/>
    </row>
    <row r="921">
      <c r="A921" s="13"/>
      <c r="B921" s="252"/>
      <c r="C921" s="252"/>
      <c r="D921" s="252"/>
      <c r="E921" s="252"/>
      <c r="F921" s="252"/>
      <c r="G921" s="252"/>
      <c r="H921" s="551"/>
      <c r="I921" s="242"/>
      <c r="J921" s="242"/>
      <c r="K921" s="242"/>
      <c r="L921" s="242"/>
      <c r="M921" s="242"/>
      <c r="N921" s="242"/>
      <c r="O921" s="242"/>
      <c r="P921" s="242"/>
      <c r="Q921" s="242"/>
      <c r="R921" s="242"/>
      <c r="S921" s="242"/>
      <c r="T921" s="242"/>
      <c r="U921" s="242"/>
      <c r="V921" s="242"/>
      <c r="W921" s="242"/>
    </row>
    <row r="922">
      <c r="A922" s="13"/>
      <c r="B922" s="252"/>
      <c r="C922" s="252"/>
      <c r="D922" s="252"/>
      <c r="E922" s="252"/>
      <c r="F922" s="252"/>
      <c r="G922" s="252"/>
      <c r="H922" s="551"/>
      <c r="I922" s="242"/>
      <c r="J922" s="242"/>
      <c r="K922" s="242"/>
      <c r="L922" s="242"/>
      <c r="M922" s="242"/>
      <c r="N922" s="242"/>
      <c r="O922" s="242"/>
      <c r="P922" s="242"/>
      <c r="Q922" s="242"/>
      <c r="R922" s="242"/>
      <c r="S922" s="242"/>
      <c r="T922" s="242"/>
      <c r="U922" s="242"/>
      <c r="V922" s="242"/>
      <c r="W922" s="242"/>
    </row>
    <row r="923">
      <c r="A923" s="13"/>
      <c r="B923" s="252"/>
      <c r="C923" s="252"/>
      <c r="D923" s="252"/>
      <c r="E923" s="252"/>
      <c r="F923" s="252"/>
      <c r="G923" s="252"/>
      <c r="H923" s="551"/>
      <c r="I923" s="242"/>
      <c r="J923" s="242"/>
      <c r="K923" s="242"/>
      <c r="L923" s="242"/>
      <c r="M923" s="242"/>
      <c r="N923" s="242"/>
      <c r="O923" s="242"/>
      <c r="P923" s="242"/>
      <c r="Q923" s="242"/>
      <c r="R923" s="242"/>
      <c r="S923" s="242"/>
      <c r="T923" s="242"/>
      <c r="U923" s="242"/>
      <c r="V923" s="242"/>
      <c r="W923" s="242"/>
    </row>
    <row r="924">
      <c r="A924" s="13"/>
      <c r="B924" s="252"/>
      <c r="C924" s="252"/>
      <c r="D924" s="252"/>
      <c r="E924" s="252"/>
      <c r="F924" s="252"/>
      <c r="G924" s="252"/>
      <c r="H924" s="551"/>
      <c r="I924" s="242"/>
      <c r="J924" s="242"/>
      <c r="K924" s="242"/>
      <c r="L924" s="242"/>
      <c r="M924" s="242"/>
      <c r="N924" s="242"/>
      <c r="O924" s="242"/>
      <c r="P924" s="242"/>
      <c r="Q924" s="242"/>
      <c r="R924" s="242"/>
      <c r="S924" s="242"/>
      <c r="T924" s="242"/>
      <c r="U924" s="242"/>
      <c r="V924" s="242"/>
      <c r="W924" s="242"/>
    </row>
    <row r="925">
      <c r="A925" s="13"/>
      <c r="B925" s="252"/>
      <c r="C925" s="252"/>
      <c r="D925" s="252"/>
      <c r="E925" s="252"/>
      <c r="F925" s="252"/>
      <c r="G925" s="252"/>
      <c r="H925" s="551"/>
      <c r="I925" s="242"/>
      <c r="J925" s="242"/>
      <c r="K925" s="242"/>
      <c r="L925" s="242"/>
      <c r="M925" s="242"/>
      <c r="N925" s="242"/>
      <c r="O925" s="242"/>
      <c r="P925" s="242"/>
      <c r="Q925" s="242"/>
      <c r="R925" s="242"/>
      <c r="S925" s="242"/>
      <c r="T925" s="242"/>
      <c r="U925" s="242"/>
      <c r="V925" s="242"/>
      <c r="W925" s="242"/>
    </row>
    <row r="926">
      <c r="A926" s="13"/>
      <c r="B926" s="252"/>
      <c r="C926" s="252"/>
      <c r="D926" s="252"/>
      <c r="E926" s="252"/>
      <c r="F926" s="252"/>
      <c r="G926" s="252"/>
      <c r="H926" s="551"/>
      <c r="I926" s="242"/>
      <c r="J926" s="242"/>
      <c r="K926" s="242"/>
      <c r="L926" s="242"/>
      <c r="M926" s="242"/>
      <c r="N926" s="242"/>
      <c r="O926" s="242"/>
      <c r="P926" s="242"/>
      <c r="Q926" s="242"/>
      <c r="R926" s="242"/>
      <c r="S926" s="242"/>
      <c r="T926" s="242"/>
      <c r="U926" s="242"/>
      <c r="V926" s="242"/>
      <c r="W926" s="242"/>
    </row>
    <row r="927">
      <c r="A927" s="13"/>
      <c r="B927" s="252"/>
      <c r="C927" s="252"/>
      <c r="D927" s="252"/>
      <c r="E927" s="252"/>
      <c r="F927" s="252"/>
      <c r="G927" s="252"/>
      <c r="H927" s="551"/>
      <c r="I927" s="242"/>
      <c r="J927" s="242"/>
      <c r="K927" s="242"/>
      <c r="L927" s="242"/>
      <c r="M927" s="242"/>
      <c r="N927" s="242"/>
      <c r="O927" s="242"/>
      <c r="P927" s="242"/>
      <c r="Q927" s="242"/>
      <c r="R927" s="242"/>
      <c r="S927" s="242"/>
      <c r="T927" s="242"/>
      <c r="U927" s="242"/>
      <c r="V927" s="242"/>
      <c r="W927" s="242"/>
    </row>
    <row r="928">
      <c r="A928" s="13"/>
      <c r="B928" s="252"/>
      <c r="C928" s="252"/>
      <c r="D928" s="252"/>
      <c r="E928" s="252"/>
      <c r="F928" s="252"/>
      <c r="G928" s="252"/>
      <c r="H928" s="551"/>
      <c r="I928" s="242"/>
      <c r="J928" s="242"/>
      <c r="K928" s="242"/>
      <c r="L928" s="242"/>
      <c r="M928" s="242"/>
      <c r="N928" s="242"/>
      <c r="O928" s="242"/>
      <c r="P928" s="242"/>
      <c r="Q928" s="242"/>
      <c r="R928" s="242"/>
      <c r="S928" s="242"/>
      <c r="T928" s="242"/>
      <c r="U928" s="242"/>
      <c r="V928" s="242"/>
      <c r="W928" s="242"/>
    </row>
    <row r="929">
      <c r="A929" s="13"/>
      <c r="B929" s="252"/>
      <c r="C929" s="252"/>
      <c r="D929" s="252"/>
      <c r="E929" s="252"/>
      <c r="F929" s="252"/>
      <c r="G929" s="252"/>
      <c r="H929" s="551"/>
      <c r="I929" s="242"/>
      <c r="J929" s="242"/>
      <c r="K929" s="242"/>
      <c r="L929" s="242"/>
      <c r="M929" s="242"/>
      <c r="N929" s="242"/>
      <c r="O929" s="242"/>
      <c r="P929" s="242"/>
      <c r="Q929" s="242"/>
      <c r="R929" s="242"/>
      <c r="S929" s="242"/>
      <c r="T929" s="242"/>
      <c r="U929" s="242"/>
      <c r="V929" s="242"/>
      <c r="W929" s="242"/>
    </row>
    <row r="930">
      <c r="A930" s="13"/>
      <c r="B930" s="252"/>
      <c r="C930" s="252"/>
      <c r="D930" s="252"/>
      <c r="E930" s="252"/>
      <c r="F930" s="252"/>
      <c r="G930" s="252"/>
      <c r="H930" s="551"/>
      <c r="I930" s="242"/>
      <c r="J930" s="242"/>
      <c r="K930" s="242"/>
      <c r="L930" s="242"/>
      <c r="M930" s="242"/>
      <c r="N930" s="242"/>
      <c r="O930" s="242"/>
      <c r="P930" s="242"/>
      <c r="Q930" s="242"/>
      <c r="R930" s="242"/>
      <c r="S930" s="242"/>
      <c r="T930" s="242"/>
      <c r="U930" s="242"/>
      <c r="V930" s="242"/>
      <c r="W930" s="242"/>
    </row>
    <row r="931">
      <c r="A931" s="13"/>
      <c r="B931" s="252"/>
      <c r="C931" s="252"/>
      <c r="D931" s="252"/>
      <c r="E931" s="252"/>
      <c r="F931" s="252"/>
      <c r="G931" s="252"/>
      <c r="H931" s="551"/>
      <c r="I931" s="242"/>
      <c r="J931" s="242"/>
      <c r="K931" s="242"/>
      <c r="L931" s="242"/>
      <c r="M931" s="242"/>
      <c r="N931" s="242"/>
      <c r="O931" s="242"/>
      <c r="P931" s="242"/>
      <c r="Q931" s="242"/>
      <c r="R931" s="242"/>
      <c r="S931" s="242"/>
      <c r="T931" s="242"/>
      <c r="U931" s="242"/>
      <c r="V931" s="242"/>
      <c r="W931" s="242"/>
    </row>
    <row r="932">
      <c r="A932" s="13"/>
      <c r="B932" s="252"/>
      <c r="C932" s="252"/>
      <c r="D932" s="252"/>
      <c r="E932" s="252"/>
      <c r="F932" s="252"/>
      <c r="G932" s="252"/>
      <c r="H932" s="551"/>
      <c r="I932" s="242"/>
      <c r="J932" s="242"/>
      <c r="K932" s="242"/>
      <c r="L932" s="242"/>
      <c r="M932" s="242"/>
      <c r="N932" s="242"/>
      <c r="O932" s="242"/>
      <c r="P932" s="242"/>
      <c r="Q932" s="242"/>
      <c r="R932" s="242"/>
      <c r="S932" s="242"/>
      <c r="T932" s="242"/>
      <c r="U932" s="242"/>
      <c r="V932" s="242"/>
      <c r="W932" s="242"/>
    </row>
    <row r="933">
      <c r="A933" s="13"/>
      <c r="B933" s="252"/>
      <c r="C933" s="252"/>
      <c r="D933" s="252"/>
      <c r="E933" s="252"/>
      <c r="F933" s="252"/>
      <c r="G933" s="252"/>
      <c r="H933" s="551"/>
      <c r="I933" s="242"/>
      <c r="J933" s="242"/>
      <c r="K933" s="242"/>
      <c r="L933" s="242"/>
      <c r="M933" s="242"/>
      <c r="N933" s="242"/>
      <c r="O933" s="242"/>
      <c r="P933" s="242"/>
      <c r="Q933" s="242"/>
      <c r="R933" s="242"/>
      <c r="S933" s="242"/>
      <c r="T933" s="242"/>
      <c r="U933" s="242"/>
      <c r="V933" s="242"/>
      <c r="W933" s="242"/>
    </row>
    <row r="934">
      <c r="A934" s="13"/>
      <c r="B934" s="252"/>
      <c r="C934" s="252"/>
      <c r="D934" s="252"/>
      <c r="E934" s="252"/>
      <c r="F934" s="252"/>
      <c r="G934" s="252"/>
      <c r="H934" s="551"/>
      <c r="I934" s="242"/>
      <c r="J934" s="242"/>
      <c r="K934" s="242"/>
      <c r="L934" s="242"/>
      <c r="M934" s="242"/>
      <c r="N934" s="242"/>
      <c r="O934" s="242"/>
      <c r="P934" s="242"/>
      <c r="Q934" s="242"/>
      <c r="R934" s="242"/>
      <c r="S934" s="242"/>
      <c r="T934" s="242"/>
      <c r="U934" s="242"/>
      <c r="V934" s="242"/>
      <c r="W934" s="242"/>
    </row>
    <row r="935">
      <c r="A935" s="13"/>
      <c r="B935" s="252"/>
      <c r="C935" s="252"/>
      <c r="D935" s="252"/>
      <c r="E935" s="252"/>
      <c r="F935" s="252"/>
      <c r="G935" s="252"/>
      <c r="H935" s="551"/>
      <c r="I935" s="242"/>
      <c r="J935" s="242"/>
      <c r="K935" s="242"/>
      <c r="L935" s="242"/>
      <c r="M935" s="242"/>
      <c r="N935" s="242"/>
      <c r="O935" s="242"/>
      <c r="P935" s="242"/>
      <c r="Q935" s="242"/>
      <c r="R935" s="242"/>
      <c r="S935" s="242"/>
      <c r="T935" s="242"/>
      <c r="U935" s="242"/>
      <c r="V935" s="242"/>
      <c r="W935" s="242"/>
    </row>
    <row r="936">
      <c r="A936" s="13"/>
      <c r="B936" s="252"/>
      <c r="C936" s="252"/>
      <c r="D936" s="252"/>
      <c r="E936" s="252"/>
      <c r="F936" s="252"/>
      <c r="G936" s="252"/>
      <c r="H936" s="551"/>
      <c r="I936" s="242"/>
      <c r="J936" s="242"/>
      <c r="K936" s="242"/>
      <c r="L936" s="242"/>
      <c r="M936" s="242"/>
      <c r="N936" s="242"/>
      <c r="O936" s="242"/>
      <c r="P936" s="242"/>
      <c r="Q936" s="242"/>
      <c r="R936" s="242"/>
      <c r="S936" s="242"/>
      <c r="T936" s="242"/>
      <c r="U936" s="242"/>
      <c r="V936" s="242"/>
      <c r="W936" s="242"/>
    </row>
    <row r="937">
      <c r="A937" s="13"/>
      <c r="B937" s="252"/>
      <c r="C937" s="252"/>
      <c r="D937" s="252"/>
      <c r="E937" s="252"/>
      <c r="F937" s="252"/>
      <c r="G937" s="252"/>
      <c r="H937" s="551"/>
      <c r="I937" s="242"/>
      <c r="J937" s="242"/>
      <c r="K937" s="242"/>
      <c r="L937" s="242"/>
      <c r="M937" s="242"/>
      <c r="N937" s="242"/>
      <c r="O937" s="242"/>
      <c r="P937" s="242"/>
      <c r="Q937" s="242"/>
      <c r="R937" s="242"/>
      <c r="S937" s="242"/>
      <c r="T937" s="242"/>
      <c r="U937" s="242"/>
      <c r="V937" s="242"/>
      <c r="W937" s="242"/>
    </row>
    <row r="938">
      <c r="A938" s="13"/>
      <c r="B938" s="252"/>
      <c r="C938" s="252"/>
      <c r="D938" s="252"/>
      <c r="E938" s="252"/>
      <c r="F938" s="252"/>
      <c r="G938" s="252"/>
      <c r="H938" s="551"/>
      <c r="I938" s="242"/>
      <c r="J938" s="242"/>
      <c r="K938" s="242"/>
      <c r="L938" s="242"/>
      <c r="M938" s="242"/>
      <c r="N938" s="242"/>
      <c r="O938" s="242"/>
      <c r="P938" s="242"/>
      <c r="Q938" s="242"/>
      <c r="R938" s="242"/>
      <c r="S938" s="242"/>
      <c r="T938" s="242"/>
      <c r="U938" s="242"/>
      <c r="V938" s="242"/>
      <c r="W938" s="242"/>
    </row>
    <row r="939">
      <c r="A939" s="13"/>
      <c r="B939" s="252"/>
      <c r="C939" s="252"/>
      <c r="D939" s="252"/>
      <c r="E939" s="252"/>
      <c r="F939" s="252"/>
      <c r="G939" s="252"/>
      <c r="H939" s="551"/>
      <c r="I939" s="242"/>
      <c r="J939" s="242"/>
      <c r="K939" s="242"/>
      <c r="L939" s="242"/>
      <c r="M939" s="242"/>
      <c r="N939" s="242"/>
      <c r="O939" s="242"/>
      <c r="P939" s="242"/>
      <c r="Q939" s="242"/>
      <c r="R939" s="242"/>
      <c r="S939" s="242"/>
      <c r="T939" s="242"/>
      <c r="U939" s="242"/>
      <c r="V939" s="242"/>
      <c r="W939" s="242"/>
    </row>
    <row r="940">
      <c r="A940" s="13"/>
      <c r="B940" s="252"/>
      <c r="C940" s="252"/>
      <c r="D940" s="252"/>
      <c r="E940" s="252"/>
      <c r="F940" s="252"/>
      <c r="G940" s="252"/>
      <c r="H940" s="551"/>
      <c r="I940" s="242"/>
      <c r="J940" s="242"/>
      <c r="K940" s="242"/>
      <c r="L940" s="242"/>
      <c r="M940" s="242"/>
      <c r="N940" s="242"/>
      <c r="O940" s="242"/>
      <c r="P940" s="242"/>
      <c r="Q940" s="242"/>
      <c r="R940" s="242"/>
      <c r="S940" s="242"/>
      <c r="T940" s="242"/>
      <c r="U940" s="242"/>
      <c r="V940" s="242"/>
      <c r="W940" s="242"/>
    </row>
    <row r="941">
      <c r="A941" s="13"/>
      <c r="B941" s="252"/>
      <c r="C941" s="252"/>
      <c r="D941" s="252"/>
      <c r="E941" s="252"/>
      <c r="F941" s="252"/>
      <c r="G941" s="252"/>
      <c r="H941" s="551"/>
      <c r="I941" s="242"/>
      <c r="J941" s="242"/>
      <c r="K941" s="242"/>
      <c r="L941" s="242"/>
      <c r="M941" s="242"/>
      <c r="N941" s="242"/>
      <c r="O941" s="242"/>
      <c r="P941" s="242"/>
      <c r="Q941" s="242"/>
      <c r="R941" s="242"/>
      <c r="S941" s="242"/>
      <c r="T941" s="242"/>
      <c r="U941" s="242"/>
      <c r="V941" s="242"/>
      <c r="W941" s="242"/>
    </row>
    <row r="942">
      <c r="A942" s="13"/>
      <c r="B942" s="252"/>
      <c r="C942" s="252"/>
      <c r="D942" s="252"/>
      <c r="E942" s="252"/>
      <c r="F942" s="252"/>
      <c r="G942" s="252"/>
      <c r="H942" s="551"/>
      <c r="I942" s="242"/>
      <c r="J942" s="242"/>
      <c r="K942" s="242"/>
      <c r="L942" s="242"/>
      <c r="M942" s="242"/>
      <c r="N942" s="242"/>
      <c r="O942" s="242"/>
      <c r="P942" s="242"/>
      <c r="Q942" s="242"/>
      <c r="R942" s="242"/>
      <c r="S942" s="242"/>
      <c r="T942" s="242"/>
      <c r="U942" s="242"/>
      <c r="V942" s="242"/>
      <c r="W942" s="242"/>
    </row>
    <row r="943">
      <c r="A943" s="13"/>
      <c r="B943" s="252"/>
      <c r="C943" s="252"/>
      <c r="D943" s="252"/>
      <c r="E943" s="252"/>
      <c r="F943" s="252"/>
      <c r="G943" s="252"/>
      <c r="H943" s="551"/>
      <c r="I943" s="242"/>
      <c r="J943" s="242"/>
      <c r="K943" s="242"/>
      <c r="L943" s="242"/>
      <c r="M943" s="242"/>
      <c r="N943" s="242"/>
      <c r="O943" s="242"/>
      <c r="P943" s="242"/>
      <c r="Q943" s="242"/>
      <c r="R943" s="242"/>
      <c r="S943" s="242"/>
      <c r="T943" s="242"/>
      <c r="U943" s="242"/>
      <c r="V943" s="242"/>
      <c r="W943" s="242"/>
    </row>
    <row r="944">
      <c r="A944" s="13"/>
      <c r="B944" s="252"/>
      <c r="C944" s="252"/>
      <c r="D944" s="252"/>
      <c r="E944" s="252"/>
      <c r="F944" s="252"/>
      <c r="G944" s="252"/>
      <c r="H944" s="551"/>
      <c r="I944" s="242"/>
      <c r="J944" s="242"/>
      <c r="K944" s="242"/>
      <c r="L944" s="242"/>
      <c r="M944" s="242"/>
      <c r="N944" s="242"/>
      <c r="O944" s="242"/>
      <c r="P944" s="242"/>
      <c r="Q944" s="242"/>
      <c r="R944" s="242"/>
      <c r="S944" s="242"/>
      <c r="T944" s="242"/>
      <c r="U944" s="242"/>
      <c r="V944" s="242"/>
      <c r="W944" s="242"/>
    </row>
    <row r="945">
      <c r="A945" s="13"/>
      <c r="B945" s="252"/>
      <c r="C945" s="252"/>
      <c r="D945" s="252"/>
      <c r="E945" s="252"/>
      <c r="F945" s="252"/>
      <c r="G945" s="252"/>
      <c r="H945" s="551"/>
      <c r="I945" s="242"/>
      <c r="J945" s="242"/>
      <c r="K945" s="242"/>
      <c r="L945" s="242"/>
      <c r="M945" s="242"/>
      <c r="N945" s="242"/>
      <c r="O945" s="242"/>
      <c r="P945" s="242"/>
      <c r="Q945" s="242"/>
      <c r="R945" s="242"/>
      <c r="S945" s="242"/>
      <c r="T945" s="242"/>
      <c r="U945" s="242"/>
      <c r="V945" s="242"/>
      <c r="W945" s="242"/>
    </row>
    <row r="946">
      <c r="A946" s="13"/>
      <c r="B946" s="252"/>
      <c r="C946" s="252"/>
      <c r="D946" s="252"/>
      <c r="E946" s="252"/>
      <c r="F946" s="252"/>
      <c r="G946" s="252"/>
      <c r="H946" s="551"/>
      <c r="I946" s="242"/>
      <c r="J946" s="242"/>
      <c r="K946" s="242"/>
      <c r="L946" s="242"/>
      <c r="M946" s="242"/>
      <c r="N946" s="242"/>
      <c r="O946" s="242"/>
      <c r="P946" s="242"/>
      <c r="Q946" s="242"/>
      <c r="R946" s="242"/>
      <c r="S946" s="242"/>
      <c r="T946" s="242"/>
      <c r="U946" s="242"/>
      <c r="V946" s="242"/>
      <c r="W946" s="242"/>
    </row>
    <row r="947">
      <c r="A947" s="13"/>
      <c r="B947" s="252"/>
      <c r="C947" s="252"/>
      <c r="D947" s="252"/>
      <c r="E947" s="252"/>
      <c r="F947" s="252"/>
      <c r="G947" s="252"/>
      <c r="H947" s="551"/>
      <c r="I947" s="242"/>
      <c r="J947" s="242"/>
      <c r="K947" s="242"/>
      <c r="L947" s="242"/>
      <c r="M947" s="242"/>
      <c r="N947" s="242"/>
      <c r="O947" s="242"/>
      <c r="P947" s="242"/>
      <c r="Q947" s="242"/>
      <c r="R947" s="242"/>
      <c r="S947" s="242"/>
      <c r="T947" s="242"/>
      <c r="U947" s="242"/>
      <c r="V947" s="242"/>
      <c r="W947" s="242"/>
    </row>
    <row r="948">
      <c r="A948" s="13"/>
      <c r="B948" s="252"/>
      <c r="C948" s="252"/>
      <c r="D948" s="252"/>
      <c r="E948" s="252"/>
      <c r="F948" s="252"/>
      <c r="G948" s="252"/>
      <c r="H948" s="551"/>
      <c r="I948" s="242"/>
      <c r="J948" s="242"/>
      <c r="K948" s="242"/>
      <c r="L948" s="242"/>
      <c r="M948" s="242"/>
      <c r="N948" s="242"/>
      <c r="O948" s="242"/>
      <c r="P948" s="242"/>
      <c r="Q948" s="242"/>
      <c r="R948" s="242"/>
      <c r="S948" s="242"/>
      <c r="T948" s="242"/>
      <c r="U948" s="242"/>
      <c r="V948" s="242"/>
      <c r="W948" s="242"/>
    </row>
    <row r="949">
      <c r="A949" s="13"/>
      <c r="B949" s="252"/>
      <c r="C949" s="252"/>
      <c r="D949" s="252"/>
      <c r="E949" s="252"/>
      <c r="F949" s="252"/>
      <c r="G949" s="252"/>
      <c r="H949" s="551"/>
      <c r="I949" s="242"/>
      <c r="J949" s="242"/>
      <c r="K949" s="242"/>
      <c r="L949" s="242"/>
      <c r="M949" s="242"/>
      <c r="N949" s="242"/>
      <c r="O949" s="242"/>
      <c r="P949" s="242"/>
      <c r="Q949" s="242"/>
      <c r="R949" s="242"/>
      <c r="S949" s="242"/>
      <c r="T949" s="242"/>
      <c r="U949" s="242"/>
      <c r="V949" s="242"/>
      <c r="W949" s="242"/>
    </row>
    <row r="950">
      <c r="A950" s="13"/>
      <c r="B950" s="252"/>
      <c r="C950" s="252"/>
      <c r="D950" s="252"/>
      <c r="E950" s="252"/>
      <c r="F950" s="252"/>
      <c r="G950" s="252"/>
      <c r="H950" s="551"/>
      <c r="I950" s="242"/>
      <c r="J950" s="242"/>
      <c r="K950" s="242"/>
      <c r="L950" s="242"/>
      <c r="M950" s="242"/>
      <c r="N950" s="242"/>
      <c r="O950" s="242"/>
      <c r="P950" s="242"/>
      <c r="Q950" s="242"/>
      <c r="R950" s="242"/>
      <c r="S950" s="242"/>
      <c r="T950" s="242"/>
      <c r="U950" s="242"/>
      <c r="V950" s="242"/>
      <c r="W950" s="242"/>
    </row>
    <row r="951">
      <c r="A951" s="13"/>
      <c r="B951" s="252"/>
      <c r="C951" s="252"/>
      <c r="D951" s="252"/>
      <c r="E951" s="252"/>
      <c r="F951" s="252"/>
      <c r="G951" s="252"/>
      <c r="H951" s="551"/>
      <c r="I951" s="242"/>
      <c r="J951" s="242"/>
      <c r="K951" s="242"/>
      <c r="L951" s="242"/>
      <c r="M951" s="242"/>
      <c r="N951" s="242"/>
      <c r="O951" s="242"/>
      <c r="P951" s="242"/>
      <c r="Q951" s="242"/>
      <c r="R951" s="242"/>
      <c r="S951" s="242"/>
      <c r="T951" s="242"/>
      <c r="U951" s="242"/>
      <c r="V951" s="242"/>
      <c r="W951" s="242"/>
    </row>
    <row r="952">
      <c r="A952" s="13"/>
      <c r="B952" s="252"/>
      <c r="C952" s="252"/>
      <c r="D952" s="252"/>
      <c r="E952" s="252"/>
      <c r="F952" s="252"/>
      <c r="G952" s="252"/>
      <c r="H952" s="551"/>
      <c r="I952" s="242"/>
      <c r="J952" s="242"/>
      <c r="K952" s="242"/>
      <c r="L952" s="242"/>
      <c r="M952" s="242"/>
      <c r="N952" s="242"/>
      <c r="O952" s="242"/>
      <c r="P952" s="242"/>
      <c r="Q952" s="242"/>
      <c r="R952" s="242"/>
      <c r="S952" s="242"/>
      <c r="T952" s="242"/>
      <c r="U952" s="242"/>
      <c r="V952" s="242"/>
      <c r="W952" s="242"/>
    </row>
    <row r="953">
      <c r="A953" s="13"/>
      <c r="B953" s="252"/>
      <c r="C953" s="252"/>
      <c r="D953" s="252"/>
      <c r="E953" s="252"/>
      <c r="F953" s="252"/>
      <c r="G953" s="252"/>
      <c r="H953" s="551"/>
      <c r="I953" s="242"/>
      <c r="J953" s="242"/>
      <c r="K953" s="242"/>
      <c r="L953" s="242"/>
      <c r="M953" s="242"/>
      <c r="N953" s="242"/>
      <c r="O953" s="242"/>
      <c r="P953" s="242"/>
      <c r="Q953" s="242"/>
      <c r="R953" s="242"/>
      <c r="S953" s="242"/>
      <c r="T953" s="242"/>
      <c r="U953" s="242"/>
      <c r="V953" s="242"/>
      <c r="W953" s="242"/>
    </row>
    <row r="954">
      <c r="A954" s="13"/>
      <c r="B954" s="252"/>
      <c r="C954" s="252"/>
      <c r="D954" s="252"/>
      <c r="E954" s="252"/>
      <c r="F954" s="252"/>
      <c r="G954" s="252"/>
      <c r="H954" s="551"/>
      <c r="I954" s="242"/>
      <c r="J954" s="242"/>
      <c r="K954" s="242"/>
      <c r="L954" s="242"/>
      <c r="M954" s="242"/>
      <c r="N954" s="242"/>
      <c r="O954" s="242"/>
      <c r="P954" s="242"/>
      <c r="Q954" s="242"/>
      <c r="R954" s="242"/>
      <c r="S954" s="242"/>
      <c r="T954" s="242"/>
      <c r="U954" s="242"/>
      <c r="V954" s="242"/>
      <c r="W954" s="242"/>
    </row>
    <row r="955">
      <c r="A955" s="13"/>
      <c r="B955" s="252"/>
      <c r="C955" s="252"/>
      <c r="D955" s="252"/>
      <c r="E955" s="252"/>
      <c r="F955" s="252"/>
      <c r="G955" s="252"/>
      <c r="H955" s="551"/>
      <c r="I955" s="242"/>
      <c r="J955" s="242"/>
      <c r="K955" s="242"/>
      <c r="L955" s="242"/>
      <c r="M955" s="242"/>
      <c r="N955" s="242"/>
      <c r="O955" s="242"/>
      <c r="P955" s="242"/>
      <c r="Q955" s="242"/>
      <c r="R955" s="242"/>
      <c r="S955" s="242"/>
      <c r="T955" s="242"/>
      <c r="U955" s="242"/>
      <c r="V955" s="242"/>
      <c r="W955" s="242"/>
    </row>
    <row r="956">
      <c r="A956" s="13"/>
      <c r="B956" s="252"/>
      <c r="C956" s="252"/>
      <c r="D956" s="252"/>
      <c r="E956" s="252"/>
      <c r="F956" s="252"/>
      <c r="G956" s="252"/>
      <c r="H956" s="551"/>
      <c r="I956" s="242"/>
      <c r="J956" s="242"/>
      <c r="K956" s="242"/>
      <c r="L956" s="242"/>
      <c r="M956" s="242"/>
      <c r="N956" s="242"/>
      <c r="O956" s="242"/>
      <c r="P956" s="242"/>
      <c r="Q956" s="242"/>
      <c r="R956" s="242"/>
      <c r="S956" s="242"/>
      <c r="T956" s="242"/>
      <c r="U956" s="242"/>
      <c r="V956" s="242"/>
      <c r="W956" s="242"/>
    </row>
    <row r="957">
      <c r="A957" s="13"/>
      <c r="B957" s="252"/>
      <c r="C957" s="252"/>
      <c r="D957" s="252"/>
      <c r="E957" s="252"/>
      <c r="F957" s="252"/>
      <c r="G957" s="252"/>
      <c r="H957" s="551"/>
      <c r="I957" s="242"/>
      <c r="J957" s="242"/>
      <c r="K957" s="242"/>
      <c r="L957" s="242"/>
      <c r="M957" s="242"/>
      <c r="N957" s="242"/>
      <c r="O957" s="242"/>
      <c r="P957" s="242"/>
      <c r="Q957" s="242"/>
      <c r="R957" s="242"/>
      <c r="S957" s="242"/>
      <c r="T957" s="242"/>
      <c r="U957" s="242"/>
      <c r="V957" s="242"/>
      <c r="W957" s="242"/>
    </row>
    <row r="958">
      <c r="A958" s="13"/>
      <c r="B958" s="252"/>
      <c r="C958" s="252"/>
      <c r="D958" s="252"/>
      <c r="E958" s="252"/>
      <c r="F958" s="252"/>
      <c r="G958" s="252"/>
      <c r="H958" s="551"/>
      <c r="I958" s="242"/>
      <c r="J958" s="242"/>
      <c r="K958" s="242"/>
      <c r="L958" s="242"/>
      <c r="M958" s="242"/>
      <c r="N958" s="242"/>
      <c r="O958" s="242"/>
      <c r="P958" s="242"/>
      <c r="Q958" s="242"/>
      <c r="R958" s="242"/>
      <c r="S958" s="242"/>
      <c r="T958" s="242"/>
      <c r="U958" s="242"/>
      <c r="V958" s="242"/>
      <c r="W958" s="242"/>
    </row>
    <row r="959">
      <c r="A959" s="13"/>
      <c r="B959" s="252"/>
      <c r="C959" s="252"/>
      <c r="D959" s="252"/>
      <c r="E959" s="252"/>
      <c r="F959" s="252"/>
      <c r="G959" s="252"/>
      <c r="H959" s="551"/>
      <c r="I959" s="242"/>
      <c r="J959" s="242"/>
      <c r="K959" s="242"/>
      <c r="L959" s="242"/>
      <c r="M959" s="242"/>
      <c r="N959" s="242"/>
      <c r="O959" s="242"/>
      <c r="P959" s="242"/>
      <c r="Q959" s="242"/>
      <c r="R959" s="242"/>
      <c r="S959" s="242"/>
      <c r="T959" s="242"/>
      <c r="U959" s="242"/>
      <c r="V959" s="242"/>
      <c r="W959" s="242"/>
    </row>
    <row r="960">
      <c r="A960" s="13"/>
      <c r="B960" s="252"/>
      <c r="C960" s="252"/>
      <c r="D960" s="252"/>
      <c r="E960" s="252"/>
      <c r="F960" s="252"/>
      <c r="G960" s="252"/>
      <c r="H960" s="551"/>
      <c r="I960" s="242"/>
      <c r="J960" s="242"/>
      <c r="K960" s="242"/>
      <c r="L960" s="242"/>
      <c r="M960" s="242"/>
      <c r="N960" s="242"/>
      <c r="O960" s="242"/>
      <c r="P960" s="242"/>
      <c r="Q960" s="242"/>
      <c r="R960" s="242"/>
      <c r="S960" s="242"/>
      <c r="T960" s="242"/>
      <c r="U960" s="242"/>
      <c r="V960" s="242"/>
      <c r="W960" s="242"/>
    </row>
    <row r="961">
      <c r="A961" s="13"/>
      <c r="B961" s="252"/>
      <c r="C961" s="252"/>
      <c r="D961" s="252"/>
      <c r="E961" s="252"/>
      <c r="F961" s="252"/>
      <c r="G961" s="252"/>
      <c r="H961" s="551"/>
      <c r="I961" s="242"/>
      <c r="J961" s="242"/>
      <c r="K961" s="242"/>
      <c r="L961" s="242"/>
      <c r="M961" s="242"/>
      <c r="N961" s="242"/>
      <c r="O961" s="242"/>
      <c r="P961" s="242"/>
      <c r="Q961" s="242"/>
      <c r="R961" s="242"/>
      <c r="S961" s="242"/>
      <c r="T961" s="242"/>
      <c r="U961" s="242"/>
      <c r="V961" s="242"/>
      <c r="W961" s="242"/>
    </row>
    <row r="962">
      <c r="A962" s="13"/>
      <c r="B962" s="252"/>
      <c r="C962" s="252"/>
      <c r="D962" s="252"/>
      <c r="E962" s="252"/>
      <c r="F962" s="252"/>
      <c r="G962" s="252"/>
      <c r="H962" s="551"/>
      <c r="I962" s="242"/>
      <c r="J962" s="242"/>
      <c r="K962" s="242"/>
      <c r="L962" s="242"/>
      <c r="M962" s="242"/>
      <c r="N962" s="242"/>
      <c r="O962" s="242"/>
      <c r="P962" s="242"/>
      <c r="Q962" s="242"/>
      <c r="R962" s="242"/>
      <c r="S962" s="242"/>
      <c r="T962" s="242"/>
      <c r="U962" s="242"/>
      <c r="V962" s="242"/>
      <c r="W962" s="242"/>
    </row>
    <row r="963">
      <c r="A963" s="13"/>
      <c r="B963" s="252"/>
      <c r="C963" s="252"/>
      <c r="D963" s="252"/>
      <c r="E963" s="252"/>
      <c r="F963" s="252"/>
      <c r="G963" s="252"/>
      <c r="H963" s="551"/>
      <c r="I963" s="242"/>
      <c r="J963" s="242"/>
      <c r="K963" s="242"/>
      <c r="L963" s="242"/>
      <c r="M963" s="242"/>
      <c r="N963" s="242"/>
      <c r="O963" s="242"/>
      <c r="P963" s="242"/>
      <c r="Q963" s="242"/>
      <c r="R963" s="242"/>
      <c r="S963" s="242"/>
      <c r="T963" s="242"/>
      <c r="U963" s="242"/>
      <c r="V963" s="242"/>
      <c r="W963" s="242"/>
    </row>
    <row r="964">
      <c r="A964" s="13"/>
      <c r="B964" s="252"/>
      <c r="C964" s="252"/>
      <c r="D964" s="252"/>
      <c r="E964" s="252"/>
      <c r="F964" s="252"/>
      <c r="G964" s="252"/>
      <c r="H964" s="551"/>
      <c r="I964" s="242"/>
      <c r="J964" s="242"/>
      <c r="K964" s="242"/>
      <c r="L964" s="242"/>
      <c r="M964" s="242"/>
      <c r="N964" s="242"/>
      <c r="O964" s="242"/>
      <c r="P964" s="242"/>
      <c r="Q964" s="242"/>
      <c r="R964" s="242"/>
      <c r="S964" s="242"/>
      <c r="T964" s="242"/>
      <c r="U964" s="242"/>
      <c r="V964" s="242"/>
      <c r="W964" s="242"/>
    </row>
    <row r="965">
      <c r="A965" s="13"/>
      <c r="B965" s="252"/>
      <c r="C965" s="252"/>
      <c r="D965" s="252"/>
      <c r="E965" s="252"/>
      <c r="F965" s="252"/>
      <c r="G965" s="252"/>
      <c r="H965" s="551"/>
      <c r="I965" s="242"/>
      <c r="J965" s="242"/>
      <c r="K965" s="242"/>
      <c r="L965" s="242"/>
      <c r="M965" s="242"/>
      <c r="N965" s="242"/>
      <c r="O965" s="242"/>
      <c r="P965" s="242"/>
      <c r="Q965" s="242"/>
      <c r="R965" s="242"/>
      <c r="S965" s="242"/>
      <c r="T965" s="242"/>
      <c r="U965" s="242"/>
      <c r="V965" s="242"/>
      <c r="W965" s="242"/>
    </row>
    <row r="966">
      <c r="A966" s="13"/>
      <c r="B966" s="252"/>
      <c r="C966" s="252"/>
      <c r="D966" s="252"/>
      <c r="E966" s="252"/>
      <c r="F966" s="252"/>
      <c r="G966" s="252"/>
      <c r="H966" s="551"/>
      <c r="I966" s="242"/>
      <c r="J966" s="242"/>
      <c r="K966" s="242"/>
      <c r="L966" s="242"/>
      <c r="M966" s="242"/>
      <c r="N966" s="242"/>
      <c r="O966" s="242"/>
      <c r="P966" s="242"/>
      <c r="Q966" s="242"/>
      <c r="R966" s="242"/>
      <c r="S966" s="242"/>
      <c r="T966" s="242"/>
      <c r="U966" s="242"/>
      <c r="V966" s="242"/>
      <c r="W966" s="242"/>
    </row>
    <row r="967">
      <c r="A967" s="13"/>
      <c r="B967" s="252"/>
      <c r="C967" s="252"/>
      <c r="D967" s="252"/>
      <c r="E967" s="252"/>
      <c r="F967" s="252"/>
      <c r="G967" s="252"/>
      <c r="H967" s="551"/>
      <c r="I967" s="242"/>
      <c r="J967" s="242"/>
      <c r="K967" s="242"/>
      <c r="L967" s="242"/>
      <c r="M967" s="242"/>
      <c r="N967" s="242"/>
      <c r="O967" s="242"/>
      <c r="P967" s="242"/>
      <c r="Q967" s="242"/>
      <c r="R967" s="242"/>
      <c r="S967" s="242"/>
      <c r="T967" s="242"/>
      <c r="U967" s="242"/>
      <c r="V967" s="242"/>
      <c r="W967" s="242"/>
    </row>
    <row r="968">
      <c r="A968" s="13"/>
      <c r="B968" s="252"/>
      <c r="C968" s="252"/>
      <c r="D968" s="252"/>
      <c r="E968" s="252"/>
      <c r="F968" s="252"/>
      <c r="G968" s="252"/>
      <c r="H968" s="551"/>
      <c r="I968" s="242"/>
      <c r="J968" s="242"/>
      <c r="K968" s="242"/>
      <c r="L968" s="242"/>
      <c r="M968" s="242"/>
      <c r="N968" s="242"/>
      <c r="O968" s="242"/>
      <c r="P968" s="242"/>
      <c r="Q968" s="242"/>
      <c r="R968" s="242"/>
      <c r="S968" s="242"/>
      <c r="T968" s="242"/>
      <c r="U968" s="242"/>
      <c r="V968" s="242"/>
      <c r="W968" s="242"/>
    </row>
    <row r="969">
      <c r="A969" s="13"/>
      <c r="B969" s="252"/>
      <c r="C969" s="252"/>
      <c r="D969" s="252"/>
      <c r="E969" s="252"/>
      <c r="F969" s="252"/>
      <c r="G969" s="252"/>
      <c r="H969" s="551"/>
      <c r="I969" s="242"/>
      <c r="J969" s="242"/>
      <c r="K969" s="242"/>
      <c r="L969" s="242"/>
      <c r="M969" s="242"/>
      <c r="N969" s="242"/>
      <c r="O969" s="242"/>
      <c r="P969" s="242"/>
      <c r="Q969" s="242"/>
      <c r="R969" s="242"/>
      <c r="S969" s="242"/>
      <c r="T969" s="242"/>
      <c r="U969" s="242"/>
      <c r="V969" s="242"/>
      <c r="W969" s="242"/>
    </row>
    <row r="970">
      <c r="A970" s="13"/>
      <c r="B970" s="252"/>
      <c r="C970" s="252"/>
      <c r="D970" s="252"/>
      <c r="E970" s="252"/>
      <c r="F970" s="252"/>
      <c r="G970" s="252"/>
      <c r="H970" s="551"/>
      <c r="I970" s="242"/>
      <c r="J970" s="242"/>
      <c r="K970" s="242"/>
      <c r="L970" s="242"/>
      <c r="M970" s="242"/>
      <c r="N970" s="242"/>
      <c r="O970" s="242"/>
      <c r="P970" s="242"/>
      <c r="Q970" s="242"/>
      <c r="R970" s="242"/>
      <c r="S970" s="242"/>
      <c r="T970" s="242"/>
      <c r="U970" s="242"/>
      <c r="V970" s="242"/>
      <c r="W970" s="242"/>
    </row>
    <row r="971">
      <c r="A971" s="13"/>
      <c r="B971" s="252"/>
      <c r="C971" s="252"/>
      <c r="D971" s="252"/>
      <c r="E971" s="252"/>
      <c r="F971" s="252"/>
      <c r="G971" s="252"/>
      <c r="H971" s="551"/>
      <c r="I971" s="242"/>
      <c r="J971" s="242"/>
      <c r="K971" s="242"/>
      <c r="L971" s="242"/>
      <c r="M971" s="242"/>
      <c r="N971" s="242"/>
      <c r="O971" s="242"/>
      <c r="P971" s="242"/>
      <c r="Q971" s="242"/>
      <c r="R971" s="242"/>
      <c r="S971" s="242"/>
      <c r="T971" s="242"/>
      <c r="U971" s="242"/>
      <c r="V971" s="242"/>
      <c r="W971" s="242"/>
    </row>
    <row r="972">
      <c r="A972" s="13"/>
      <c r="B972" s="252"/>
      <c r="C972" s="252"/>
      <c r="D972" s="252"/>
      <c r="E972" s="252"/>
      <c r="F972" s="252"/>
      <c r="G972" s="252"/>
      <c r="H972" s="551"/>
      <c r="I972" s="242"/>
      <c r="J972" s="242"/>
      <c r="K972" s="242"/>
      <c r="L972" s="242"/>
      <c r="M972" s="242"/>
      <c r="N972" s="242"/>
      <c r="O972" s="242"/>
      <c r="P972" s="242"/>
      <c r="Q972" s="242"/>
      <c r="R972" s="242"/>
      <c r="S972" s="242"/>
      <c r="T972" s="242"/>
      <c r="U972" s="242"/>
      <c r="V972" s="242"/>
      <c r="W972" s="242"/>
    </row>
    <row r="973">
      <c r="A973" s="13"/>
      <c r="B973" s="252"/>
      <c r="C973" s="252"/>
      <c r="D973" s="252"/>
      <c r="E973" s="252"/>
      <c r="F973" s="252"/>
      <c r="G973" s="252"/>
      <c r="H973" s="551"/>
      <c r="I973" s="242"/>
      <c r="J973" s="242"/>
      <c r="K973" s="242"/>
      <c r="L973" s="242"/>
      <c r="M973" s="242"/>
      <c r="N973" s="242"/>
      <c r="O973" s="242"/>
      <c r="P973" s="242"/>
      <c r="Q973" s="242"/>
      <c r="R973" s="242"/>
      <c r="S973" s="242"/>
      <c r="T973" s="242"/>
      <c r="U973" s="242"/>
      <c r="V973" s="242"/>
      <c r="W973" s="242"/>
    </row>
    <row r="974">
      <c r="A974" s="13"/>
      <c r="B974" s="252"/>
      <c r="C974" s="252"/>
      <c r="D974" s="252"/>
      <c r="E974" s="252"/>
      <c r="F974" s="252"/>
      <c r="G974" s="252"/>
      <c r="H974" s="551"/>
      <c r="I974" s="242"/>
      <c r="J974" s="242"/>
      <c r="K974" s="242"/>
      <c r="L974" s="242"/>
      <c r="M974" s="242"/>
      <c r="N974" s="242"/>
      <c r="O974" s="242"/>
      <c r="P974" s="242"/>
      <c r="Q974" s="242"/>
      <c r="R974" s="242"/>
      <c r="S974" s="242"/>
      <c r="T974" s="242"/>
      <c r="U974" s="242"/>
      <c r="V974" s="242"/>
      <c r="W974" s="242"/>
    </row>
    <row r="975">
      <c r="A975" s="13"/>
      <c r="B975" s="252"/>
      <c r="C975" s="252"/>
      <c r="D975" s="252"/>
      <c r="E975" s="252"/>
      <c r="F975" s="252"/>
      <c r="G975" s="252"/>
      <c r="H975" s="551"/>
      <c r="I975" s="242"/>
      <c r="J975" s="242"/>
      <c r="K975" s="242"/>
      <c r="L975" s="242"/>
      <c r="M975" s="242"/>
      <c r="N975" s="242"/>
      <c r="O975" s="242"/>
      <c r="P975" s="242"/>
      <c r="Q975" s="242"/>
      <c r="R975" s="242"/>
      <c r="S975" s="242"/>
      <c r="T975" s="242"/>
      <c r="U975" s="242"/>
      <c r="V975" s="242"/>
      <c r="W975" s="242"/>
    </row>
    <row r="976">
      <c r="A976" s="13"/>
      <c r="B976" s="252"/>
      <c r="C976" s="252"/>
      <c r="D976" s="252"/>
      <c r="E976" s="252"/>
      <c r="F976" s="252"/>
      <c r="G976" s="252"/>
      <c r="H976" s="551"/>
      <c r="I976" s="242"/>
      <c r="J976" s="242"/>
      <c r="K976" s="242"/>
      <c r="L976" s="242"/>
      <c r="M976" s="242"/>
      <c r="N976" s="242"/>
      <c r="O976" s="242"/>
      <c r="P976" s="242"/>
      <c r="Q976" s="242"/>
      <c r="R976" s="242"/>
      <c r="S976" s="242"/>
      <c r="T976" s="242"/>
      <c r="U976" s="242"/>
      <c r="V976" s="242"/>
      <c r="W976" s="242"/>
    </row>
    <row r="977">
      <c r="A977" s="13"/>
      <c r="B977" s="252"/>
      <c r="C977" s="252"/>
      <c r="D977" s="252"/>
      <c r="E977" s="252"/>
      <c r="F977" s="252"/>
      <c r="G977" s="252"/>
      <c r="H977" s="551"/>
      <c r="I977" s="242"/>
      <c r="J977" s="242"/>
      <c r="K977" s="242"/>
      <c r="L977" s="242"/>
      <c r="M977" s="242"/>
      <c r="N977" s="242"/>
      <c r="O977" s="242"/>
      <c r="P977" s="242"/>
      <c r="Q977" s="242"/>
      <c r="R977" s="242"/>
      <c r="S977" s="242"/>
      <c r="T977" s="242"/>
      <c r="U977" s="242"/>
      <c r="V977" s="242"/>
      <c r="W977" s="242"/>
    </row>
    <row r="978">
      <c r="A978" s="13"/>
      <c r="B978" s="252"/>
      <c r="C978" s="252"/>
      <c r="D978" s="252"/>
      <c r="E978" s="252"/>
      <c r="F978" s="252"/>
      <c r="G978" s="252"/>
      <c r="H978" s="551"/>
      <c r="I978" s="242"/>
      <c r="J978" s="242"/>
      <c r="K978" s="242"/>
      <c r="L978" s="242"/>
      <c r="M978" s="242"/>
      <c r="N978" s="242"/>
      <c r="O978" s="242"/>
      <c r="P978" s="242"/>
      <c r="Q978" s="242"/>
      <c r="R978" s="242"/>
      <c r="S978" s="242"/>
      <c r="T978" s="242"/>
      <c r="U978" s="242"/>
      <c r="V978" s="242"/>
      <c r="W978" s="242"/>
    </row>
    <row r="979">
      <c r="A979" s="13"/>
      <c r="B979" s="252"/>
      <c r="C979" s="252"/>
      <c r="D979" s="252"/>
      <c r="E979" s="252"/>
      <c r="F979" s="252"/>
      <c r="G979" s="252"/>
      <c r="H979" s="551"/>
      <c r="I979" s="242"/>
      <c r="J979" s="242"/>
      <c r="K979" s="242"/>
      <c r="L979" s="242"/>
      <c r="M979" s="242"/>
      <c r="N979" s="242"/>
      <c r="O979" s="242"/>
      <c r="P979" s="242"/>
      <c r="Q979" s="242"/>
      <c r="R979" s="242"/>
      <c r="S979" s="242"/>
      <c r="T979" s="242"/>
      <c r="U979" s="242"/>
      <c r="V979" s="242"/>
      <c r="W979" s="242"/>
    </row>
    <row r="980">
      <c r="A980" s="13"/>
      <c r="B980" s="252"/>
      <c r="C980" s="252"/>
      <c r="D980" s="252"/>
      <c r="E980" s="252"/>
      <c r="F980" s="252"/>
      <c r="G980" s="252"/>
      <c r="H980" s="551"/>
      <c r="I980" s="242"/>
      <c r="J980" s="242"/>
      <c r="K980" s="242"/>
      <c r="L980" s="242"/>
      <c r="M980" s="242"/>
      <c r="N980" s="242"/>
      <c r="O980" s="242"/>
      <c r="P980" s="242"/>
      <c r="Q980" s="242"/>
      <c r="R980" s="242"/>
      <c r="S980" s="242"/>
      <c r="T980" s="242"/>
      <c r="U980" s="242"/>
      <c r="V980" s="242"/>
      <c r="W980" s="242"/>
    </row>
    <row r="981">
      <c r="A981" s="13"/>
      <c r="B981" s="252"/>
      <c r="C981" s="252"/>
      <c r="D981" s="252"/>
      <c r="E981" s="252"/>
      <c r="F981" s="252"/>
      <c r="G981" s="252"/>
      <c r="H981" s="551"/>
      <c r="I981" s="242"/>
      <c r="J981" s="242"/>
      <c r="K981" s="242"/>
      <c r="L981" s="242"/>
      <c r="M981" s="242"/>
      <c r="N981" s="242"/>
      <c r="O981" s="242"/>
      <c r="P981" s="242"/>
      <c r="Q981" s="242"/>
      <c r="R981" s="242"/>
      <c r="S981" s="242"/>
      <c r="T981" s="242"/>
      <c r="U981" s="242"/>
      <c r="V981" s="242"/>
      <c r="W981" s="242"/>
    </row>
    <row r="982">
      <c r="A982" s="13"/>
      <c r="B982" s="252"/>
      <c r="C982" s="252"/>
      <c r="D982" s="252"/>
      <c r="E982" s="252"/>
      <c r="F982" s="252"/>
      <c r="G982" s="252"/>
      <c r="H982" s="551"/>
      <c r="I982" s="242"/>
      <c r="J982" s="242"/>
      <c r="K982" s="242"/>
      <c r="L982" s="242"/>
      <c r="M982" s="242"/>
      <c r="N982" s="242"/>
      <c r="O982" s="242"/>
      <c r="P982" s="242"/>
      <c r="Q982" s="242"/>
      <c r="R982" s="242"/>
      <c r="S982" s="242"/>
      <c r="T982" s="242"/>
      <c r="U982" s="242"/>
      <c r="V982" s="242"/>
      <c r="W982" s="242"/>
    </row>
    <row r="983">
      <c r="A983" s="13"/>
      <c r="B983" s="252"/>
      <c r="C983" s="252"/>
      <c r="D983" s="252"/>
      <c r="E983" s="252"/>
      <c r="F983" s="252"/>
      <c r="G983" s="252"/>
      <c r="H983" s="551"/>
      <c r="I983" s="242"/>
      <c r="J983" s="242"/>
      <c r="K983" s="242"/>
      <c r="L983" s="242"/>
      <c r="M983" s="242"/>
      <c r="N983" s="242"/>
      <c r="O983" s="242"/>
      <c r="P983" s="242"/>
      <c r="Q983" s="242"/>
      <c r="R983" s="242"/>
      <c r="S983" s="242"/>
      <c r="T983" s="242"/>
      <c r="U983" s="242"/>
      <c r="V983" s="242"/>
      <c r="W983" s="242"/>
    </row>
    <row r="984">
      <c r="A984" s="13"/>
      <c r="B984" s="252"/>
      <c r="C984" s="252"/>
      <c r="D984" s="252"/>
      <c r="E984" s="252"/>
      <c r="F984" s="252"/>
      <c r="G984" s="252"/>
      <c r="H984" s="551"/>
      <c r="I984" s="242"/>
      <c r="J984" s="242"/>
      <c r="K984" s="242"/>
      <c r="L984" s="242"/>
      <c r="M984" s="242"/>
      <c r="N984" s="242"/>
      <c r="O984" s="242"/>
      <c r="P984" s="242"/>
      <c r="Q984" s="242"/>
      <c r="R984" s="242"/>
      <c r="S984" s="242"/>
      <c r="T984" s="242"/>
      <c r="U984" s="242"/>
      <c r="V984" s="242"/>
      <c r="W984" s="242"/>
    </row>
    <row r="985">
      <c r="A985" s="13"/>
      <c r="B985" s="252"/>
      <c r="C985" s="252"/>
      <c r="D985" s="252"/>
      <c r="E985" s="252"/>
      <c r="F985" s="252"/>
      <c r="G985" s="252"/>
      <c r="H985" s="551"/>
      <c r="I985" s="242"/>
      <c r="J985" s="242"/>
      <c r="K985" s="242"/>
      <c r="L985" s="242"/>
      <c r="M985" s="242"/>
      <c r="N985" s="242"/>
      <c r="O985" s="242"/>
      <c r="P985" s="242"/>
      <c r="Q985" s="242"/>
      <c r="R985" s="242"/>
      <c r="S985" s="242"/>
      <c r="T985" s="242"/>
      <c r="U985" s="242"/>
      <c r="V985" s="242"/>
      <c r="W985" s="242"/>
    </row>
    <row r="986">
      <c r="A986" s="13"/>
      <c r="B986" s="252"/>
      <c r="C986" s="252"/>
      <c r="D986" s="252"/>
      <c r="E986" s="252"/>
      <c r="F986" s="252"/>
      <c r="G986" s="252"/>
      <c r="H986" s="551"/>
      <c r="I986" s="242"/>
      <c r="J986" s="242"/>
      <c r="K986" s="242"/>
      <c r="L986" s="242"/>
      <c r="M986" s="242"/>
      <c r="N986" s="242"/>
      <c r="O986" s="242"/>
      <c r="P986" s="242"/>
      <c r="Q986" s="242"/>
      <c r="R986" s="242"/>
      <c r="S986" s="242"/>
      <c r="T986" s="242"/>
      <c r="U986" s="242"/>
      <c r="V986" s="242"/>
      <c r="W986" s="242"/>
    </row>
    <row r="987">
      <c r="A987" s="13"/>
      <c r="B987" s="252"/>
      <c r="C987" s="252"/>
      <c r="D987" s="252"/>
      <c r="E987" s="252"/>
      <c r="F987" s="252"/>
      <c r="G987" s="252"/>
      <c r="H987" s="551"/>
      <c r="I987" s="242"/>
      <c r="J987" s="242"/>
      <c r="K987" s="242"/>
      <c r="L987" s="242"/>
      <c r="M987" s="242"/>
      <c r="N987" s="242"/>
      <c r="O987" s="242"/>
      <c r="P987" s="242"/>
      <c r="Q987" s="242"/>
      <c r="R987" s="242"/>
      <c r="S987" s="242"/>
      <c r="T987" s="242"/>
      <c r="U987" s="242"/>
      <c r="V987" s="242"/>
      <c r="W987" s="242"/>
    </row>
    <row r="988">
      <c r="A988" s="13"/>
      <c r="B988" s="252"/>
      <c r="C988" s="252"/>
      <c r="D988" s="252"/>
      <c r="E988" s="252"/>
      <c r="F988" s="252"/>
      <c r="G988" s="252"/>
      <c r="H988" s="551"/>
      <c r="I988" s="242"/>
      <c r="J988" s="242"/>
      <c r="K988" s="242"/>
      <c r="L988" s="242"/>
      <c r="M988" s="242"/>
      <c r="N988" s="242"/>
      <c r="O988" s="242"/>
      <c r="P988" s="242"/>
      <c r="Q988" s="242"/>
      <c r="R988" s="242"/>
      <c r="S988" s="242"/>
      <c r="T988" s="242"/>
      <c r="U988" s="242"/>
      <c r="V988" s="242"/>
      <c r="W988" s="242"/>
    </row>
    <row r="989">
      <c r="A989" s="13"/>
      <c r="B989" s="252"/>
      <c r="C989" s="252"/>
      <c r="D989" s="252"/>
      <c r="E989" s="252"/>
      <c r="F989" s="252"/>
      <c r="G989" s="252"/>
      <c r="H989" s="551"/>
      <c r="I989" s="242"/>
      <c r="J989" s="242"/>
      <c r="K989" s="242"/>
      <c r="L989" s="242"/>
      <c r="M989" s="242"/>
      <c r="N989" s="242"/>
      <c r="O989" s="242"/>
      <c r="P989" s="242"/>
      <c r="Q989" s="242"/>
      <c r="R989" s="242"/>
      <c r="S989" s="242"/>
      <c r="T989" s="242"/>
      <c r="U989" s="242"/>
      <c r="V989" s="242"/>
      <c r="W989" s="242"/>
    </row>
    <row r="990">
      <c r="A990" s="13"/>
      <c r="B990" s="252"/>
      <c r="C990" s="252"/>
      <c r="D990" s="252"/>
      <c r="E990" s="252"/>
      <c r="F990" s="252"/>
      <c r="G990" s="252"/>
      <c r="H990" s="551"/>
      <c r="I990" s="242"/>
      <c r="J990" s="242"/>
      <c r="K990" s="242"/>
      <c r="L990" s="242"/>
      <c r="M990" s="242"/>
      <c r="N990" s="242"/>
      <c r="O990" s="242"/>
      <c r="P990" s="242"/>
      <c r="Q990" s="242"/>
      <c r="R990" s="242"/>
      <c r="S990" s="242"/>
      <c r="T990" s="242"/>
      <c r="U990" s="242"/>
      <c r="V990" s="242"/>
      <c r="W990" s="242"/>
    </row>
    <row r="991">
      <c r="A991" s="13"/>
      <c r="B991" s="252"/>
      <c r="C991" s="252"/>
      <c r="D991" s="252"/>
      <c r="E991" s="252"/>
      <c r="F991" s="252"/>
      <c r="G991" s="252"/>
      <c r="H991" s="551"/>
      <c r="I991" s="242"/>
      <c r="J991" s="242"/>
      <c r="K991" s="242"/>
      <c r="L991" s="242"/>
      <c r="M991" s="242"/>
      <c r="N991" s="242"/>
      <c r="O991" s="242"/>
      <c r="P991" s="242"/>
      <c r="Q991" s="242"/>
      <c r="R991" s="242"/>
      <c r="S991" s="242"/>
      <c r="T991" s="242"/>
      <c r="U991" s="242"/>
      <c r="V991" s="242"/>
      <c r="W991" s="242"/>
    </row>
    <row r="992">
      <c r="A992" s="13"/>
      <c r="B992" s="252"/>
      <c r="C992" s="252"/>
      <c r="D992" s="252"/>
      <c r="E992" s="252"/>
      <c r="F992" s="252"/>
      <c r="G992" s="252"/>
      <c r="H992" s="551"/>
      <c r="I992" s="242"/>
      <c r="J992" s="242"/>
      <c r="K992" s="242"/>
      <c r="L992" s="242"/>
      <c r="M992" s="242"/>
      <c r="N992" s="242"/>
      <c r="O992" s="242"/>
      <c r="P992" s="242"/>
      <c r="Q992" s="242"/>
      <c r="R992" s="242"/>
      <c r="S992" s="242"/>
      <c r="T992" s="242"/>
      <c r="U992" s="242"/>
      <c r="V992" s="242"/>
      <c r="W992" s="242"/>
    </row>
    <row r="993">
      <c r="A993" s="13"/>
      <c r="B993" s="252"/>
      <c r="C993" s="252"/>
      <c r="D993" s="252"/>
      <c r="E993" s="252"/>
      <c r="F993" s="252"/>
      <c r="G993" s="252"/>
      <c r="H993" s="551"/>
      <c r="I993" s="242"/>
      <c r="J993" s="242"/>
      <c r="K993" s="242"/>
      <c r="L993" s="242"/>
      <c r="M993" s="242"/>
      <c r="N993" s="242"/>
      <c r="O993" s="242"/>
      <c r="P993" s="242"/>
      <c r="Q993" s="242"/>
      <c r="R993" s="242"/>
      <c r="S993" s="242"/>
      <c r="T993" s="242"/>
      <c r="U993" s="242"/>
      <c r="V993" s="242"/>
      <c r="W993" s="242"/>
    </row>
    <row r="994">
      <c r="A994" s="13"/>
      <c r="B994" s="252"/>
      <c r="C994" s="252"/>
      <c r="D994" s="252"/>
      <c r="E994" s="252"/>
      <c r="F994" s="252"/>
      <c r="G994" s="252"/>
      <c r="H994" s="551"/>
      <c r="I994" s="242"/>
      <c r="J994" s="242"/>
      <c r="K994" s="242"/>
      <c r="L994" s="242"/>
      <c r="M994" s="242"/>
      <c r="N994" s="242"/>
      <c r="O994" s="242"/>
      <c r="P994" s="242"/>
      <c r="Q994" s="242"/>
      <c r="R994" s="242"/>
      <c r="S994" s="242"/>
      <c r="T994" s="242"/>
      <c r="U994" s="242"/>
      <c r="V994" s="242"/>
      <c r="W994" s="242"/>
    </row>
    <row r="995">
      <c r="A995" s="13"/>
      <c r="B995" s="252"/>
      <c r="C995" s="252"/>
      <c r="D995" s="252"/>
      <c r="E995" s="252"/>
      <c r="F995" s="252"/>
      <c r="G995" s="252"/>
      <c r="H995" s="551"/>
      <c r="I995" s="242"/>
      <c r="J995" s="242"/>
      <c r="K995" s="242"/>
      <c r="L995" s="242"/>
      <c r="M995" s="242"/>
      <c r="N995" s="242"/>
      <c r="O995" s="242"/>
      <c r="P995" s="242"/>
      <c r="Q995" s="242"/>
      <c r="R995" s="242"/>
      <c r="S995" s="242"/>
      <c r="T995" s="242"/>
      <c r="U995" s="242"/>
      <c r="V995" s="242"/>
      <c r="W995" s="242"/>
    </row>
    <row r="996">
      <c r="A996" s="13"/>
      <c r="B996" s="252"/>
      <c r="C996" s="252"/>
      <c r="D996" s="252"/>
      <c r="E996" s="252"/>
      <c r="F996" s="252"/>
      <c r="G996" s="252"/>
      <c r="H996" s="551"/>
      <c r="I996" s="242"/>
      <c r="J996" s="242"/>
      <c r="K996" s="242"/>
      <c r="L996" s="242"/>
      <c r="M996" s="242"/>
      <c r="N996" s="242"/>
      <c r="O996" s="242"/>
      <c r="P996" s="242"/>
      <c r="Q996" s="242"/>
      <c r="R996" s="242"/>
      <c r="S996" s="242"/>
      <c r="T996" s="242"/>
      <c r="U996" s="242"/>
      <c r="V996" s="242"/>
      <c r="W996" s="242"/>
    </row>
    <row r="997">
      <c r="A997" s="13"/>
      <c r="B997" s="252"/>
      <c r="C997" s="252"/>
      <c r="D997" s="252"/>
      <c r="E997" s="252"/>
      <c r="F997" s="252"/>
      <c r="G997" s="252"/>
      <c r="H997" s="551"/>
      <c r="I997" s="242"/>
      <c r="J997" s="242"/>
      <c r="K997" s="242"/>
      <c r="L997" s="242"/>
      <c r="M997" s="242"/>
      <c r="N997" s="242"/>
      <c r="O997" s="242"/>
      <c r="P997" s="242"/>
      <c r="Q997" s="242"/>
      <c r="R997" s="242"/>
      <c r="S997" s="242"/>
      <c r="T997" s="242"/>
      <c r="U997" s="242"/>
      <c r="V997" s="242"/>
      <c r="W997" s="242"/>
    </row>
    <row r="998">
      <c r="A998" s="13"/>
      <c r="B998" s="252"/>
      <c r="C998" s="252"/>
      <c r="D998" s="252"/>
      <c r="E998" s="252"/>
      <c r="F998" s="252"/>
      <c r="G998" s="252"/>
      <c r="H998" s="551"/>
      <c r="I998" s="242"/>
      <c r="J998" s="242"/>
      <c r="K998" s="242"/>
      <c r="L998" s="242"/>
      <c r="M998" s="242"/>
      <c r="N998" s="242"/>
      <c r="O998" s="242"/>
      <c r="P998" s="242"/>
      <c r="Q998" s="242"/>
      <c r="R998" s="242"/>
      <c r="S998" s="242"/>
      <c r="T998" s="242"/>
      <c r="U998" s="242"/>
      <c r="V998" s="242"/>
      <c r="W998" s="242"/>
    </row>
    <row r="999">
      <c r="A999" s="13"/>
      <c r="B999" s="252"/>
      <c r="C999" s="252"/>
      <c r="D999" s="252"/>
      <c r="E999" s="252"/>
      <c r="F999" s="252"/>
      <c r="G999" s="252"/>
      <c r="H999" s="551"/>
      <c r="I999" s="242"/>
      <c r="J999" s="242"/>
      <c r="K999" s="242"/>
      <c r="L999" s="242"/>
      <c r="M999" s="242"/>
      <c r="N999" s="242"/>
      <c r="O999" s="242"/>
      <c r="P999" s="242"/>
      <c r="Q999" s="242"/>
      <c r="R999" s="242"/>
      <c r="S999" s="242"/>
      <c r="T999" s="242"/>
      <c r="U999" s="242"/>
      <c r="V999" s="242"/>
      <c r="W999" s="242"/>
    </row>
    <row r="1000">
      <c r="A1000" s="13"/>
      <c r="B1000" s="252"/>
      <c r="C1000" s="252"/>
      <c r="D1000" s="252"/>
      <c r="E1000" s="252"/>
      <c r="F1000" s="252"/>
      <c r="G1000" s="252"/>
      <c r="H1000" s="551"/>
      <c r="I1000" s="242"/>
      <c r="J1000" s="242"/>
      <c r="K1000" s="242"/>
      <c r="L1000" s="242"/>
      <c r="M1000" s="242"/>
      <c r="N1000" s="242"/>
      <c r="O1000" s="242"/>
      <c r="P1000" s="242"/>
      <c r="Q1000" s="242"/>
      <c r="R1000" s="242"/>
      <c r="S1000" s="242"/>
      <c r="T1000" s="242"/>
      <c r="U1000" s="242"/>
      <c r="V1000" s="242"/>
      <c r="W1000" s="242"/>
    </row>
    <row r="1001">
      <c r="A1001" s="13"/>
      <c r="B1001" s="252"/>
      <c r="C1001" s="252"/>
      <c r="D1001" s="252"/>
      <c r="E1001" s="252"/>
      <c r="F1001" s="252"/>
      <c r="G1001" s="252"/>
      <c r="H1001" s="551"/>
      <c r="I1001" s="242"/>
      <c r="J1001" s="242"/>
      <c r="K1001" s="242"/>
      <c r="L1001" s="242"/>
      <c r="M1001" s="242"/>
      <c r="N1001" s="242"/>
      <c r="O1001" s="242"/>
      <c r="P1001" s="242"/>
      <c r="Q1001" s="242"/>
      <c r="R1001" s="242"/>
      <c r="S1001" s="242"/>
      <c r="T1001" s="242"/>
      <c r="U1001" s="242"/>
      <c r="V1001" s="242"/>
      <c r="W1001" s="242"/>
    </row>
    <row r="1002">
      <c r="A1002" s="13"/>
      <c r="B1002" s="252"/>
      <c r="C1002" s="252"/>
      <c r="D1002" s="252"/>
      <c r="E1002" s="252"/>
      <c r="F1002" s="252"/>
      <c r="G1002" s="252"/>
      <c r="H1002" s="551"/>
      <c r="I1002" s="242"/>
      <c r="J1002" s="242"/>
      <c r="K1002" s="242"/>
      <c r="L1002" s="242"/>
      <c r="M1002" s="242"/>
      <c r="N1002" s="242"/>
      <c r="O1002" s="242"/>
      <c r="P1002" s="242"/>
      <c r="Q1002" s="242"/>
      <c r="R1002" s="242"/>
      <c r="S1002" s="242"/>
      <c r="T1002" s="242"/>
      <c r="U1002" s="242"/>
      <c r="V1002" s="242"/>
      <c r="W1002" s="242"/>
    </row>
    <row r="1003">
      <c r="A1003" s="13"/>
      <c r="B1003" s="252"/>
      <c r="C1003" s="252"/>
      <c r="D1003" s="252"/>
      <c r="E1003" s="252"/>
      <c r="F1003" s="252"/>
      <c r="G1003" s="252"/>
      <c r="H1003" s="551"/>
      <c r="I1003" s="242"/>
      <c r="J1003" s="242"/>
      <c r="K1003" s="242"/>
      <c r="L1003" s="242"/>
      <c r="M1003" s="242"/>
      <c r="N1003" s="242"/>
      <c r="O1003" s="242"/>
      <c r="P1003" s="242"/>
      <c r="Q1003" s="242"/>
      <c r="R1003" s="242"/>
      <c r="S1003" s="242"/>
      <c r="T1003" s="242"/>
      <c r="U1003" s="242"/>
      <c r="V1003" s="242"/>
      <c r="W1003" s="242"/>
    </row>
  </sheetData>
  <mergeCells count="15">
    <mergeCell ref="B4:F4"/>
    <mergeCell ref="B6:E6"/>
    <mergeCell ref="B8:F8"/>
    <mergeCell ref="B13:E13"/>
    <mergeCell ref="B15:F15"/>
    <mergeCell ref="B20:E20"/>
    <mergeCell ref="B22:F22"/>
    <mergeCell ref="B27:E27"/>
    <mergeCell ref="B2:B3"/>
    <mergeCell ref="C2:C3"/>
    <mergeCell ref="D2:D3"/>
    <mergeCell ref="E2:E3"/>
    <mergeCell ref="F2:F3"/>
    <mergeCell ref="G2:G3"/>
    <mergeCell ref="H2:H3"/>
  </mergeCells>
  <printOptions horizontalCentered="1"/>
  <pageMargins bottom="0.75" footer="0.0" header="0.0" left="0.25" right="0.25" top="0.75"/>
  <pageSetup fitToHeight="0" paperSize="9"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3"/>
    <col customWidth="1" min="2" max="2" width="6.88"/>
    <col customWidth="1" min="8" max="8" width="9.25"/>
    <col customWidth="1" min="9" max="9" width="9.38"/>
    <col hidden="1" min="10" max="10" width="12.63"/>
    <col customWidth="1" min="11" max="11" width="11.63"/>
    <col hidden="1" min="12" max="12" width="12.63"/>
    <col hidden="1" min="14" max="16" width="12.63"/>
    <col customWidth="1" hidden="1" min="17" max="17" width="3.0"/>
    <col hidden="1" min="18" max="19" width="12.63"/>
  </cols>
  <sheetData>
    <row r="1" ht="11.25" customHeight="1">
      <c r="A1" s="242"/>
      <c r="B1" s="242"/>
      <c r="C1" s="242"/>
      <c r="D1" s="242"/>
      <c r="E1" s="242"/>
      <c r="F1" s="242"/>
      <c r="G1" s="242"/>
      <c r="H1" s="242"/>
      <c r="I1" s="242"/>
      <c r="J1" s="13"/>
      <c r="K1" s="15"/>
      <c r="L1" s="341"/>
      <c r="M1" s="13"/>
      <c r="N1" s="13"/>
      <c r="O1" s="13"/>
      <c r="P1" s="13"/>
      <c r="Q1" s="242"/>
      <c r="R1" s="13"/>
      <c r="S1" s="242"/>
      <c r="T1" s="13"/>
      <c r="U1" s="242"/>
      <c r="V1" s="242"/>
      <c r="W1" s="242"/>
      <c r="X1" s="242"/>
      <c r="Y1" s="242"/>
      <c r="Z1" s="242"/>
      <c r="AA1" s="242"/>
      <c r="AB1" s="242"/>
      <c r="AC1" s="242"/>
    </row>
    <row r="2" ht="78.0" customHeight="1">
      <c r="A2" s="242"/>
      <c r="B2" s="558" t="s">
        <v>3287</v>
      </c>
      <c r="C2" s="559" t="s">
        <v>3288</v>
      </c>
      <c r="D2" s="560" t="s">
        <v>3289</v>
      </c>
      <c r="E2" s="560" t="s">
        <v>3290</v>
      </c>
      <c r="F2" s="560" t="s">
        <v>3291</v>
      </c>
      <c r="G2" s="560" t="s">
        <v>3292</v>
      </c>
      <c r="H2" s="561" t="s">
        <v>3294</v>
      </c>
      <c r="I2" s="562" t="s">
        <v>25</v>
      </c>
      <c r="J2" s="3"/>
      <c r="K2" s="563" t="s">
        <v>8</v>
      </c>
      <c r="L2" s="564"/>
      <c r="M2" s="3" t="s">
        <v>3295</v>
      </c>
      <c r="N2" s="13"/>
      <c r="O2" s="13"/>
      <c r="P2" s="3" t="s">
        <v>3296</v>
      </c>
      <c r="Q2" s="243"/>
      <c r="R2" s="13"/>
      <c r="S2" s="242"/>
      <c r="T2" s="13"/>
      <c r="U2" s="242"/>
      <c r="V2" s="242"/>
      <c r="W2" s="242"/>
      <c r="X2" s="242"/>
      <c r="Y2" s="242"/>
      <c r="Z2" s="242"/>
      <c r="AA2" s="242"/>
      <c r="AB2" s="242"/>
      <c r="AC2" s="242"/>
    </row>
    <row r="3">
      <c r="A3" s="242"/>
      <c r="B3" s="565">
        <v>1.0</v>
      </c>
      <c r="C3" s="566" t="s">
        <v>3079</v>
      </c>
      <c r="D3" s="567">
        <v>500.0</v>
      </c>
      <c r="E3" s="567">
        <v>850.0</v>
      </c>
      <c r="F3" s="567">
        <v>1000.0</v>
      </c>
      <c r="G3" s="567">
        <v>420.0</v>
      </c>
      <c r="H3" s="568">
        <v>10750.0</v>
      </c>
      <c r="I3" s="568">
        <v>16990.0</v>
      </c>
      <c r="J3" s="316">
        <f t="shared" ref="J3:J9" si="1">IFERROR(I3/D3,"")</f>
        <v>33.98</v>
      </c>
      <c r="K3" s="569">
        <f t="shared" ref="K3:K9" si="2">IFERROR(I3/J3,"")*26</f>
        <v>13000</v>
      </c>
      <c r="L3" s="316">
        <f t="shared" ref="L3:L9" si="3">IFERROR(K3/D3,"")</f>
        <v>26</v>
      </c>
      <c r="M3" s="570">
        <v>18.0</v>
      </c>
      <c r="N3" s="551">
        <f t="shared" ref="N3:N9" si="4">M3*90</f>
        <v>1620</v>
      </c>
      <c r="O3" s="395">
        <f t="shared" ref="O3:O9" si="5">N3/D3</f>
        <v>3.24</v>
      </c>
      <c r="P3" s="395">
        <f t="shared" ref="P3:P9" si="6">O3+1.1</f>
        <v>4.34</v>
      </c>
      <c r="Q3" s="242"/>
      <c r="R3" s="13"/>
      <c r="S3" s="243" t="str">
        <f>VLOOKUP($C3,MASTER!$C:$C,1,0)</f>
        <v>WT-ISI-05</v>
      </c>
      <c r="T3" s="571"/>
      <c r="U3" s="242"/>
      <c r="V3" s="242"/>
      <c r="W3" s="242"/>
      <c r="X3" s="242"/>
      <c r="Y3" s="242"/>
      <c r="Z3" s="242"/>
      <c r="AA3" s="242"/>
      <c r="AB3" s="242"/>
      <c r="AC3" s="242"/>
    </row>
    <row r="4">
      <c r="A4" s="242"/>
      <c r="B4" s="275">
        <v>2.0</v>
      </c>
      <c r="C4" s="572" t="s">
        <v>3081</v>
      </c>
      <c r="D4" s="573">
        <v>700.0</v>
      </c>
      <c r="E4" s="573">
        <v>1000.0</v>
      </c>
      <c r="F4" s="573">
        <v>1120.0</v>
      </c>
      <c r="G4" s="573">
        <v>420.0</v>
      </c>
      <c r="H4" s="574">
        <v>15050.0</v>
      </c>
      <c r="I4" s="574">
        <v>23990.0</v>
      </c>
      <c r="J4" s="316">
        <f t="shared" si="1"/>
        <v>34.27142857</v>
      </c>
      <c r="K4" s="569">
        <f t="shared" si="2"/>
        <v>18200</v>
      </c>
      <c r="L4" s="316">
        <f t="shared" si="3"/>
        <v>26</v>
      </c>
      <c r="M4" s="570">
        <v>23.0</v>
      </c>
      <c r="N4" s="551">
        <f t="shared" si="4"/>
        <v>2070</v>
      </c>
      <c r="O4" s="395">
        <f t="shared" si="5"/>
        <v>2.957142857</v>
      </c>
      <c r="P4" s="395">
        <f t="shared" si="6"/>
        <v>4.057142857</v>
      </c>
      <c r="Q4" s="242"/>
      <c r="R4" s="13"/>
      <c r="S4" s="243" t="str">
        <f>VLOOKUP($C4,MASTER!$C:$C,1,0)</f>
        <v>WT-ISI-07</v>
      </c>
      <c r="T4" s="571"/>
      <c r="U4" s="242"/>
      <c r="V4" s="242"/>
      <c r="W4" s="242"/>
      <c r="X4" s="242"/>
      <c r="Y4" s="242"/>
      <c r="Z4" s="242"/>
      <c r="AA4" s="242"/>
      <c r="AB4" s="242"/>
      <c r="AC4" s="242"/>
    </row>
    <row r="5">
      <c r="A5" s="242"/>
      <c r="B5" s="275">
        <v>3.0</v>
      </c>
      <c r="C5" s="572" t="s">
        <v>3083</v>
      </c>
      <c r="D5" s="573">
        <v>1000.0</v>
      </c>
      <c r="E5" s="573">
        <v>1090.0</v>
      </c>
      <c r="F5" s="573">
        <v>1280.0</v>
      </c>
      <c r="G5" s="573">
        <v>420.0</v>
      </c>
      <c r="H5" s="574">
        <v>21500.0</v>
      </c>
      <c r="I5" s="574">
        <v>34990.0</v>
      </c>
      <c r="J5" s="316">
        <f t="shared" si="1"/>
        <v>34.99</v>
      </c>
      <c r="K5" s="569">
        <f t="shared" si="2"/>
        <v>26000</v>
      </c>
      <c r="L5" s="316">
        <f t="shared" si="3"/>
        <v>26</v>
      </c>
      <c r="M5" s="570">
        <v>33.0</v>
      </c>
      <c r="N5" s="551">
        <f t="shared" si="4"/>
        <v>2970</v>
      </c>
      <c r="O5" s="395">
        <f t="shared" si="5"/>
        <v>2.97</v>
      </c>
      <c r="P5" s="395">
        <f t="shared" si="6"/>
        <v>4.07</v>
      </c>
      <c r="Q5" s="242"/>
      <c r="R5" s="13"/>
      <c r="S5" s="243" t="str">
        <f>VLOOKUP($C5,MASTER!$C:$C,1,0)</f>
        <v>WT-ISI-10</v>
      </c>
      <c r="T5" s="571"/>
      <c r="U5" s="242"/>
      <c r="V5" s="242"/>
      <c r="W5" s="242"/>
      <c r="X5" s="242"/>
      <c r="Y5" s="242"/>
      <c r="Z5" s="242"/>
      <c r="AA5" s="242"/>
      <c r="AB5" s="242"/>
      <c r="AC5" s="242"/>
    </row>
    <row r="6">
      <c r="A6" s="242"/>
      <c r="B6" s="275">
        <v>4.0</v>
      </c>
      <c r="C6" s="572" t="s">
        <v>3085</v>
      </c>
      <c r="D6" s="573">
        <v>1500.0</v>
      </c>
      <c r="E6" s="573">
        <v>1210.0</v>
      </c>
      <c r="F6" s="573">
        <v>1460.0</v>
      </c>
      <c r="G6" s="573">
        <v>420.0</v>
      </c>
      <c r="H6" s="575"/>
      <c r="I6" s="574">
        <v>51990.0</v>
      </c>
      <c r="J6" s="316">
        <f t="shared" si="1"/>
        <v>34.66</v>
      </c>
      <c r="K6" s="569">
        <f t="shared" si="2"/>
        <v>39000</v>
      </c>
      <c r="L6" s="316">
        <f t="shared" si="3"/>
        <v>26</v>
      </c>
      <c r="M6" s="570">
        <v>47.0</v>
      </c>
      <c r="N6" s="551">
        <f t="shared" si="4"/>
        <v>4230</v>
      </c>
      <c r="O6" s="395">
        <f t="shared" si="5"/>
        <v>2.82</v>
      </c>
      <c r="P6" s="395">
        <f t="shared" si="6"/>
        <v>3.92</v>
      </c>
      <c r="Q6" s="242"/>
      <c r="R6" s="13"/>
      <c r="S6" s="243" t="str">
        <f>VLOOKUP($C6,MASTER!$C:$C,1,0)</f>
        <v>WT-ISI-15</v>
      </c>
      <c r="T6" s="571"/>
      <c r="U6" s="242"/>
      <c r="V6" s="242"/>
      <c r="W6" s="242"/>
      <c r="X6" s="242"/>
      <c r="Y6" s="242"/>
      <c r="Z6" s="242"/>
      <c r="AA6" s="242"/>
      <c r="AB6" s="242"/>
      <c r="AC6" s="242"/>
    </row>
    <row r="7">
      <c r="A7" s="242"/>
      <c r="B7" s="275">
        <v>5.0</v>
      </c>
      <c r="C7" s="572" t="s">
        <v>3087</v>
      </c>
      <c r="D7" s="573">
        <v>2000.0</v>
      </c>
      <c r="E7" s="573">
        <v>1350.0</v>
      </c>
      <c r="F7" s="573">
        <v>1530.0</v>
      </c>
      <c r="G7" s="573">
        <v>420.0</v>
      </c>
      <c r="H7" s="574">
        <v>43000.0</v>
      </c>
      <c r="I7" s="574">
        <v>69990.0</v>
      </c>
      <c r="J7" s="316">
        <f t="shared" si="1"/>
        <v>34.995</v>
      </c>
      <c r="K7" s="569">
        <f t="shared" si="2"/>
        <v>52000</v>
      </c>
      <c r="L7" s="316">
        <f t="shared" si="3"/>
        <v>26</v>
      </c>
      <c r="M7" s="570">
        <v>64.0</v>
      </c>
      <c r="N7" s="551">
        <f t="shared" si="4"/>
        <v>5760</v>
      </c>
      <c r="O7" s="395">
        <f t="shared" si="5"/>
        <v>2.88</v>
      </c>
      <c r="P7" s="395">
        <f t="shared" si="6"/>
        <v>3.98</v>
      </c>
      <c r="Q7" s="242"/>
      <c r="R7" s="13"/>
      <c r="S7" s="243" t="str">
        <f>VLOOKUP($C7,MASTER!$C:$C,1,0)</f>
        <v>WT-ISI-20</v>
      </c>
      <c r="T7" s="571"/>
      <c r="U7" s="242"/>
      <c r="V7" s="242"/>
      <c r="W7" s="242"/>
      <c r="X7" s="242"/>
      <c r="Y7" s="242"/>
      <c r="Z7" s="242"/>
      <c r="AA7" s="242"/>
      <c r="AB7" s="242"/>
      <c r="AC7" s="242"/>
    </row>
    <row r="8">
      <c r="A8" s="242"/>
      <c r="B8" s="275">
        <v>6.0</v>
      </c>
      <c r="C8" s="572" t="s">
        <v>3089</v>
      </c>
      <c r="D8" s="573">
        <v>3000.0</v>
      </c>
      <c r="E8" s="573">
        <v>1580.0</v>
      </c>
      <c r="F8" s="573">
        <v>1880.0</v>
      </c>
      <c r="G8" s="573">
        <v>480.0</v>
      </c>
      <c r="H8" s="575"/>
      <c r="I8" s="574">
        <v>105000.0</v>
      </c>
      <c r="J8" s="316">
        <f t="shared" si="1"/>
        <v>35</v>
      </c>
      <c r="K8" s="569">
        <f t="shared" si="2"/>
        <v>78000</v>
      </c>
      <c r="L8" s="316">
        <f t="shared" si="3"/>
        <v>26</v>
      </c>
      <c r="M8" s="570">
        <v>96.0</v>
      </c>
      <c r="N8" s="551">
        <f t="shared" si="4"/>
        <v>8640</v>
      </c>
      <c r="O8" s="395">
        <f t="shared" si="5"/>
        <v>2.88</v>
      </c>
      <c r="P8" s="395">
        <f t="shared" si="6"/>
        <v>3.98</v>
      </c>
      <c r="Q8" s="242"/>
      <c r="R8" s="13"/>
      <c r="S8" s="243" t="str">
        <f>VLOOKUP($C8,MASTER!$C:$C,1,0)</f>
        <v>WT-ISI-30</v>
      </c>
      <c r="T8" s="571"/>
      <c r="U8" s="242"/>
      <c r="V8" s="242"/>
      <c r="W8" s="242"/>
      <c r="X8" s="242"/>
      <c r="Y8" s="242"/>
      <c r="Z8" s="242"/>
      <c r="AA8" s="242"/>
      <c r="AB8" s="242"/>
      <c r="AC8" s="242"/>
    </row>
    <row r="9">
      <c r="A9" s="242"/>
      <c r="B9" s="275">
        <v>7.0</v>
      </c>
      <c r="C9" s="572" t="s">
        <v>3091</v>
      </c>
      <c r="D9" s="573">
        <v>5000.0</v>
      </c>
      <c r="E9" s="573">
        <v>1900.0</v>
      </c>
      <c r="F9" s="573">
        <v>2090.0</v>
      </c>
      <c r="G9" s="573">
        <v>480.0</v>
      </c>
      <c r="H9" s="575"/>
      <c r="I9" s="574">
        <v>175000.0</v>
      </c>
      <c r="J9" s="316">
        <f t="shared" si="1"/>
        <v>35</v>
      </c>
      <c r="K9" s="569">
        <f t="shared" si="2"/>
        <v>130000</v>
      </c>
      <c r="L9" s="316">
        <f t="shared" si="3"/>
        <v>26</v>
      </c>
      <c r="M9" s="570">
        <v>180.0</v>
      </c>
      <c r="N9" s="551">
        <f t="shared" si="4"/>
        <v>16200</v>
      </c>
      <c r="O9" s="395">
        <f t="shared" si="5"/>
        <v>3.24</v>
      </c>
      <c r="P9" s="395">
        <f t="shared" si="6"/>
        <v>4.34</v>
      </c>
      <c r="Q9" s="242"/>
      <c r="R9" s="13"/>
      <c r="S9" s="243" t="str">
        <f>VLOOKUP($C9,MASTER!$C:$C,1,0)</f>
        <v>WT-ISI-50</v>
      </c>
      <c r="T9" s="571"/>
      <c r="U9" s="242"/>
      <c r="V9" s="242"/>
      <c r="W9" s="242"/>
      <c r="X9" s="242"/>
      <c r="Y9" s="242"/>
      <c r="Z9" s="242"/>
      <c r="AA9" s="242"/>
      <c r="AB9" s="242"/>
      <c r="AC9" s="242"/>
    </row>
    <row r="10">
      <c r="A10" s="242"/>
      <c r="B10" s="576"/>
      <c r="C10" s="576"/>
      <c r="D10" s="576"/>
      <c r="E10" s="576"/>
      <c r="F10" s="576"/>
      <c r="G10" s="576"/>
      <c r="H10" s="576"/>
      <c r="I10" s="577"/>
      <c r="J10" s="551"/>
      <c r="K10" s="411"/>
      <c r="L10" s="393"/>
      <c r="M10" s="551"/>
      <c r="N10" s="551"/>
      <c r="O10" s="551"/>
      <c r="P10" s="551"/>
      <c r="Q10" s="242"/>
      <c r="R10" s="13"/>
      <c r="S10" s="243"/>
      <c r="T10" s="15"/>
      <c r="U10" s="242"/>
      <c r="V10" s="242"/>
      <c r="W10" s="242"/>
      <c r="X10" s="242"/>
      <c r="Y10" s="242"/>
      <c r="Z10" s="242"/>
      <c r="AA10" s="242"/>
      <c r="AB10" s="242"/>
      <c r="AC10" s="242"/>
    </row>
    <row r="11">
      <c r="A11" s="242"/>
      <c r="B11" s="275">
        <v>1.0</v>
      </c>
      <c r="C11" s="572" t="s">
        <v>3093</v>
      </c>
      <c r="D11" s="573">
        <v>500.0</v>
      </c>
      <c r="E11" s="573">
        <v>850.0</v>
      </c>
      <c r="F11" s="573">
        <v>1000.0</v>
      </c>
      <c r="G11" s="573">
        <v>420.0</v>
      </c>
      <c r="H11" s="574">
        <v>8750.0</v>
      </c>
      <c r="I11" s="574">
        <v>8750.0</v>
      </c>
      <c r="J11" s="316">
        <f t="shared" ref="J11:J17" si="7">IFERROR(I11/D11,"")</f>
        <v>17.5</v>
      </c>
      <c r="K11" s="569">
        <f t="shared" ref="K11:K17" si="8">IFERROR(I11/J11,"")*20</f>
        <v>10000</v>
      </c>
      <c r="L11" s="316">
        <f t="shared" ref="L11:L17" si="9">IFERROR(K11/D11,"")</f>
        <v>20</v>
      </c>
      <c r="M11" s="570">
        <v>13.0</v>
      </c>
      <c r="N11" s="551">
        <f t="shared" ref="N11:N17" si="10">M11*110</f>
        <v>1430</v>
      </c>
      <c r="O11" s="395">
        <f t="shared" ref="O11:O17" si="11">N11/D11</f>
        <v>2.86</v>
      </c>
      <c r="P11" s="395">
        <f t="shared" ref="P11:P17" si="12">O11+1.05</f>
        <v>3.91</v>
      </c>
      <c r="Q11" s="242"/>
      <c r="R11" s="578">
        <f t="shared" ref="R11:R17" si="13">H19/H11</f>
        <v>1.228571429</v>
      </c>
      <c r="S11" s="243" t="str">
        <f>VLOOKUP($C11,MASTER!$C:$C,1,0)</f>
        <v>WT-4LL-05</v>
      </c>
      <c r="T11" s="571"/>
      <c r="U11" s="242"/>
      <c r="V11" s="242"/>
      <c r="W11" s="242"/>
      <c r="X11" s="242"/>
      <c r="Y11" s="242"/>
      <c r="Z11" s="242"/>
      <c r="AA11" s="242"/>
      <c r="AB11" s="242"/>
      <c r="AC11" s="242"/>
    </row>
    <row r="12">
      <c r="A12" s="242"/>
      <c r="B12" s="275">
        <v>2.0</v>
      </c>
      <c r="C12" s="112" t="s">
        <v>3095</v>
      </c>
      <c r="D12" s="579">
        <v>750.0</v>
      </c>
      <c r="E12" s="573">
        <v>1000.0</v>
      </c>
      <c r="F12" s="573">
        <v>1120.0</v>
      </c>
      <c r="G12" s="573">
        <v>420.0</v>
      </c>
      <c r="H12" s="574">
        <v>13125.0</v>
      </c>
      <c r="I12" s="574">
        <v>13125.0</v>
      </c>
      <c r="J12" s="316">
        <f t="shared" si="7"/>
        <v>17.5</v>
      </c>
      <c r="K12" s="569">
        <f t="shared" si="8"/>
        <v>15000</v>
      </c>
      <c r="L12" s="316">
        <f t="shared" si="9"/>
        <v>20</v>
      </c>
      <c r="M12" s="570">
        <v>19.5</v>
      </c>
      <c r="N12" s="551">
        <f t="shared" si="10"/>
        <v>2145</v>
      </c>
      <c r="O12" s="395">
        <f t="shared" si="11"/>
        <v>2.86</v>
      </c>
      <c r="P12" s="395">
        <f t="shared" si="12"/>
        <v>3.91</v>
      </c>
      <c r="Q12" s="242"/>
      <c r="R12" s="578">
        <f t="shared" si="13"/>
        <v>1.228571429</v>
      </c>
      <c r="S12" s="243" t="str">
        <f>VLOOKUP($C12,MASTER!$C:$C,1,0)</f>
        <v>WT-4LL-07</v>
      </c>
      <c r="T12" s="571"/>
      <c r="U12" s="242"/>
      <c r="V12" s="242"/>
      <c r="W12" s="242"/>
      <c r="X12" s="242"/>
      <c r="Y12" s="242"/>
      <c r="Z12" s="242"/>
      <c r="AA12" s="242"/>
      <c r="AB12" s="242"/>
      <c r="AC12" s="242"/>
    </row>
    <row r="13">
      <c r="A13" s="242"/>
      <c r="B13" s="275">
        <v>3.0</v>
      </c>
      <c r="C13" s="572" t="s">
        <v>3097</v>
      </c>
      <c r="D13" s="573">
        <v>1000.0</v>
      </c>
      <c r="E13" s="573">
        <v>1090.0</v>
      </c>
      <c r="F13" s="573">
        <v>1280.0</v>
      </c>
      <c r="G13" s="573">
        <v>420.0</v>
      </c>
      <c r="H13" s="574">
        <v>17500.0</v>
      </c>
      <c r="I13" s="574">
        <v>17500.0</v>
      </c>
      <c r="J13" s="316">
        <f t="shared" si="7"/>
        <v>17.5</v>
      </c>
      <c r="K13" s="569">
        <f t="shared" si="8"/>
        <v>20000</v>
      </c>
      <c r="L13" s="316">
        <f t="shared" si="9"/>
        <v>20</v>
      </c>
      <c r="M13" s="570">
        <v>25.0</v>
      </c>
      <c r="N13" s="551">
        <f t="shared" si="10"/>
        <v>2750</v>
      </c>
      <c r="O13" s="395">
        <f t="shared" si="11"/>
        <v>2.75</v>
      </c>
      <c r="P13" s="395">
        <f t="shared" si="12"/>
        <v>3.8</v>
      </c>
      <c r="Q13" s="242"/>
      <c r="R13" s="578">
        <f t="shared" si="13"/>
        <v>1.228571429</v>
      </c>
      <c r="S13" s="243" t="str">
        <f>VLOOKUP($C13,MASTER!$C:$C,1,0)</f>
        <v>WT-4LL-10</v>
      </c>
      <c r="T13" s="571"/>
      <c r="U13" s="242"/>
      <c r="V13" s="242"/>
      <c r="W13" s="242"/>
      <c r="X13" s="242"/>
      <c r="Y13" s="242"/>
      <c r="Z13" s="242"/>
      <c r="AA13" s="242"/>
      <c r="AB13" s="242"/>
      <c r="AC13" s="242"/>
    </row>
    <row r="14">
      <c r="A14" s="242"/>
      <c r="B14" s="275">
        <v>4.0</v>
      </c>
      <c r="C14" s="572" t="s">
        <v>3099</v>
      </c>
      <c r="D14" s="573">
        <v>1500.0</v>
      </c>
      <c r="E14" s="573">
        <v>1210.0</v>
      </c>
      <c r="F14" s="573">
        <v>1460.0</v>
      </c>
      <c r="G14" s="573">
        <v>420.0</v>
      </c>
      <c r="H14" s="574">
        <v>26250.0</v>
      </c>
      <c r="I14" s="574">
        <v>26250.0</v>
      </c>
      <c r="J14" s="316">
        <f t="shared" si="7"/>
        <v>17.5</v>
      </c>
      <c r="K14" s="569">
        <f t="shared" si="8"/>
        <v>30000</v>
      </c>
      <c r="L14" s="316">
        <f t="shared" si="9"/>
        <v>20</v>
      </c>
      <c r="M14" s="570">
        <v>35.0</v>
      </c>
      <c r="N14" s="551">
        <f t="shared" si="10"/>
        <v>3850</v>
      </c>
      <c r="O14" s="395">
        <f t="shared" si="11"/>
        <v>2.566666667</v>
      </c>
      <c r="P14" s="395">
        <f t="shared" si="12"/>
        <v>3.616666667</v>
      </c>
      <c r="Q14" s="242"/>
      <c r="R14" s="578">
        <f t="shared" si="13"/>
        <v>1.228571429</v>
      </c>
      <c r="S14" s="243" t="str">
        <f>VLOOKUP($C14,MASTER!$C:$C,1,0)</f>
        <v>WT-4LL-15</v>
      </c>
      <c r="T14" s="571"/>
      <c r="U14" s="242"/>
      <c r="V14" s="242"/>
      <c r="W14" s="242"/>
      <c r="X14" s="242"/>
      <c r="Y14" s="242"/>
      <c r="Z14" s="242"/>
      <c r="AA14" s="242"/>
      <c r="AB14" s="242"/>
      <c r="AC14" s="242"/>
    </row>
    <row r="15">
      <c r="A15" s="242"/>
      <c r="B15" s="275">
        <v>5.0</v>
      </c>
      <c r="C15" s="572" t="s">
        <v>3101</v>
      </c>
      <c r="D15" s="573">
        <v>2000.0</v>
      </c>
      <c r="E15" s="573">
        <v>1350.0</v>
      </c>
      <c r="F15" s="573">
        <v>1530.0</v>
      </c>
      <c r="G15" s="573">
        <v>420.0</v>
      </c>
      <c r="H15" s="574">
        <v>35000.0</v>
      </c>
      <c r="I15" s="574">
        <v>35000.0</v>
      </c>
      <c r="J15" s="316">
        <f t="shared" si="7"/>
        <v>17.5</v>
      </c>
      <c r="K15" s="569">
        <f t="shared" si="8"/>
        <v>40000</v>
      </c>
      <c r="L15" s="316">
        <f t="shared" si="9"/>
        <v>20</v>
      </c>
      <c r="M15" s="570">
        <v>46.0</v>
      </c>
      <c r="N15" s="551">
        <f t="shared" si="10"/>
        <v>5060</v>
      </c>
      <c r="O15" s="395">
        <f t="shared" si="11"/>
        <v>2.53</v>
      </c>
      <c r="P15" s="395">
        <f t="shared" si="12"/>
        <v>3.58</v>
      </c>
      <c r="Q15" s="242"/>
      <c r="R15" s="578">
        <f t="shared" si="13"/>
        <v>1.228571429</v>
      </c>
      <c r="S15" s="243" t="str">
        <f>VLOOKUP($C15,MASTER!$C:$C,1,0)</f>
        <v>WT-4LL-20</v>
      </c>
      <c r="T15" s="571"/>
      <c r="U15" s="242"/>
      <c r="V15" s="242"/>
      <c r="W15" s="242"/>
      <c r="X15" s="242"/>
      <c r="Y15" s="242"/>
      <c r="Z15" s="242"/>
      <c r="AA15" s="242"/>
      <c r="AB15" s="242"/>
      <c r="AC15" s="242"/>
    </row>
    <row r="16">
      <c r="A16" s="242"/>
      <c r="B16" s="275">
        <v>6.0</v>
      </c>
      <c r="C16" s="572" t="s">
        <v>3103</v>
      </c>
      <c r="D16" s="573">
        <v>3000.0</v>
      </c>
      <c r="E16" s="573">
        <v>1580.0</v>
      </c>
      <c r="F16" s="573">
        <v>1880.0</v>
      </c>
      <c r="G16" s="573">
        <v>480.0</v>
      </c>
      <c r="H16" s="574">
        <v>52500.0</v>
      </c>
      <c r="I16" s="574">
        <v>52500.0</v>
      </c>
      <c r="J16" s="316">
        <f t="shared" si="7"/>
        <v>17.5</v>
      </c>
      <c r="K16" s="569">
        <f t="shared" si="8"/>
        <v>60000</v>
      </c>
      <c r="L16" s="316">
        <f t="shared" si="9"/>
        <v>20</v>
      </c>
      <c r="M16" s="570">
        <v>76.0</v>
      </c>
      <c r="N16" s="551">
        <f t="shared" si="10"/>
        <v>8360</v>
      </c>
      <c r="O16" s="395">
        <f t="shared" si="11"/>
        <v>2.786666667</v>
      </c>
      <c r="P16" s="395">
        <f t="shared" si="12"/>
        <v>3.836666667</v>
      </c>
      <c r="Q16" s="242"/>
      <c r="R16" s="578">
        <f t="shared" si="13"/>
        <v>1.228571429</v>
      </c>
      <c r="S16" s="243" t="str">
        <f>VLOOKUP($C16,MASTER!$C:$C,1,0)</f>
        <v>WT-4LL-30</v>
      </c>
      <c r="T16" s="571"/>
      <c r="U16" s="242"/>
      <c r="V16" s="242"/>
      <c r="W16" s="242"/>
      <c r="X16" s="242"/>
      <c r="Y16" s="242"/>
      <c r="Z16" s="242"/>
      <c r="AA16" s="242"/>
      <c r="AB16" s="242"/>
      <c r="AC16" s="242"/>
    </row>
    <row r="17">
      <c r="A17" s="242"/>
      <c r="B17" s="275">
        <v>7.0</v>
      </c>
      <c r="C17" s="572" t="s">
        <v>3105</v>
      </c>
      <c r="D17" s="573">
        <v>5000.0</v>
      </c>
      <c r="E17" s="573">
        <v>1900.0</v>
      </c>
      <c r="F17" s="573">
        <v>2090.0</v>
      </c>
      <c r="G17" s="573">
        <v>480.0</v>
      </c>
      <c r="H17" s="574">
        <v>87500.0</v>
      </c>
      <c r="I17" s="574">
        <v>87500.0</v>
      </c>
      <c r="J17" s="316">
        <f t="shared" si="7"/>
        <v>17.5</v>
      </c>
      <c r="K17" s="569">
        <f t="shared" si="8"/>
        <v>100000</v>
      </c>
      <c r="L17" s="316">
        <f t="shared" si="9"/>
        <v>20</v>
      </c>
      <c r="M17" s="570">
        <v>125.0</v>
      </c>
      <c r="N17" s="551">
        <f t="shared" si="10"/>
        <v>13750</v>
      </c>
      <c r="O17" s="395">
        <f t="shared" si="11"/>
        <v>2.75</v>
      </c>
      <c r="P17" s="395">
        <f t="shared" si="12"/>
        <v>3.8</v>
      </c>
      <c r="Q17" s="242"/>
      <c r="R17" s="578">
        <f t="shared" si="13"/>
        <v>1.228571429</v>
      </c>
      <c r="S17" s="243" t="str">
        <f>VLOOKUP($C17,MASTER!$C:$C,1,0)</f>
        <v>WT-4LL-50</v>
      </c>
      <c r="T17" s="571"/>
      <c r="U17" s="242"/>
      <c r="V17" s="242"/>
      <c r="W17" s="242"/>
      <c r="X17" s="242"/>
      <c r="Y17" s="242"/>
      <c r="Z17" s="242"/>
      <c r="AA17" s="242"/>
      <c r="AB17" s="242"/>
      <c r="AC17" s="242"/>
    </row>
    <row r="18">
      <c r="A18" s="242"/>
      <c r="B18" s="242"/>
      <c r="C18" s="242"/>
      <c r="D18" s="242"/>
      <c r="E18" s="242"/>
      <c r="F18" s="242"/>
      <c r="G18" s="242"/>
      <c r="H18" s="242"/>
      <c r="I18" s="243"/>
      <c r="J18" s="13"/>
      <c r="K18" s="15"/>
      <c r="L18" s="341"/>
      <c r="M18" s="13"/>
      <c r="N18" s="13"/>
      <c r="O18" s="13"/>
      <c r="P18" s="13"/>
      <c r="Q18" s="242"/>
      <c r="R18" s="13"/>
      <c r="S18" s="243"/>
      <c r="T18" s="15"/>
      <c r="U18" s="242"/>
      <c r="V18" s="242"/>
      <c r="W18" s="242"/>
      <c r="X18" s="242"/>
      <c r="Y18" s="242"/>
      <c r="Z18" s="242"/>
      <c r="AA18" s="242"/>
      <c r="AB18" s="242"/>
      <c r="AC18" s="242"/>
    </row>
    <row r="19">
      <c r="A19" s="242"/>
      <c r="B19" s="565">
        <v>1.0</v>
      </c>
      <c r="C19" s="580" t="s">
        <v>3121</v>
      </c>
      <c r="D19" s="567">
        <v>500.0</v>
      </c>
      <c r="E19" s="567">
        <v>850.0</v>
      </c>
      <c r="F19" s="567">
        <v>1000.0</v>
      </c>
      <c r="G19" s="567">
        <v>420.0</v>
      </c>
      <c r="H19" s="568">
        <v>10750.0</v>
      </c>
      <c r="I19" s="581">
        <v>8750.0</v>
      </c>
      <c r="J19" s="582"/>
      <c r="K19" s="569">
        <v>12500.0</v>
      </c>
      <c r="L19" s="341"/>
      <c r="M19" s="13"/>
      <c r="N19" s="13"/>
      <c r="O19" s="13"/>
      <c r="P19" s="13"/>
      <c r="Q19" s="242"/>
      <c r="R19" s="583"/>
      <c r="S19" s="243" t="str">
        <f>VLOOKUP($C19,MASTER!$C:$C,1,0)</f>
        <v>WT-4LC-05</v>
      </c>
      <c r="T19" s="15"/>
      <c r="U19" s="242"/>
      <c r="V19" s="242"/>
      <c r="W19" s="242"/>
      <c r="X19" s="242"/>
      <c r="Y19" s="242"/>
      <c r="Z19" s="242"/>
      <c r="AA19" s="242"/>
      <c r="AB19" s="242"/>
      <c r="AC19" s="242"/>
    </row>
    <row r="20">
      <c r="A20" s="242"/>
      <c r="B20" s="275">
        <v>2.0</v>
      </c>
      <c r="C20" s="584" t="s">
        <v>3122</v>
      </c>
      <c r="D20" s="579">
        <v>750.0</v>
      </c>
      <c r="E20" s="573">
        <v>1000.0</v>
      </c>
      <c r="F20" s="573">
        <v>1120.0</v>
      </c>
      <c r="G20" s="573">
        <v>420.0</v>
      </c>
      <c r="H20" s="574">
        <v>16125.0</v>
      </c>
      <c r="I20" s="581">
        <v>13125.0</v>
      </c>
      <c r="J20" s="582"/>
      <c r="K20" s="569">
        <v>19000.0</v>
      </c>
      <c r="L20" s="341"/>
      <c r="M20" s="13"/>
      <c r="N20" s="13"/>
      <c r="O20" s="13"/>
      <c r="P20" s="13"/>
      <c r="Q20" s="242"/>
      <c r="R20" s="583"/>
      <c r="S20" s="243" t="str">
        <f>VLOOKUP($C20,MASTER!$C:$C,1,0)</f>
        <v>WT-4LC-07</v>
      </c>
      <c r="T20" s="15"/>
      <c r="U20" s="242"/>
      <c r="V20" s="242"/>
      <c r="W20" s="242"/>
      <c r="X20" s="242"/>
      <c r="Y20" s="242"/>
      <c r="Z20" s="242"/>
      <c r="AA20" s="242"/>
      <c r="AB20" s="242"/>
      <c r="AC20" s="242"/>
    </row>
    <row r="21">
      <c r="A21" s="242"/>
      <c r="B21" s="275">
        <v>3.0</v>
      </c>
      <c r="C21" s="584" t="s">
        <v>3123</v>
      </c>
      <c r="D21" s="573">
        <v>1000.0</v>
      </c>
      <c r="E21" s="573">
        <v>1090.0</v>
      </c>
      <c r="F21" s="573">
        <v>1280.0</v>
      </c>
      <c r="G21" s="573">
        <v>420.0</v>
      </c>
      <c r="H21" s="574">
        <v>21500.0</v>
      </c>
      <c r="I21" s="581">
        <v>17500.0</v>
      </c>
      <c r="J21" s="582"/>
      <c r="K21" s="569">
        <v>25000.0</v>
      </c>
      <c r="L21" s="341"/>
      <c r="M21" s="13"/>
      <c r="N21" s="13"/>
      <c r="O21" s="13"/>
      <c r="P21" s="13"/>
      <c r="Q21" s="242"/>
      <c r="R21" s="583"/>
      <c r="S21" s="243" t="str">
        <f>VLOOKUP($C21,MASTER!$C:$C,1,0)</f>
        <v>WT-4LC-10</v>
      </c>
      <c r="T21" s="15"/>
      <c r="U21" s="242"/>
      <c r="V21" s="242"/>
      <c r="W21" s="242"/>
      <c r="X21" s="242"/>
      <c r="Y21" s="242"/>
      <c r="Z21" s="242"/>
      <c r="AA21" s="242"/>
      <c r="AB21" s="242"/>
      <c r="AC21" s="242"/>
    </row>
    <row r="22">
      <c r="A22" s="242"/>
      <c r="B22" s="275">
        <v>4.0</v>
      </c>
      <c r="C22" s="584" t="s">
        <v>3124</v>
      </c>
      <c r="D22" s="573">
        <v>1500.0</v>
      </c>
      <c r="E22" s="573">
        <v>1210.0</v>
      </c>
      <c r="F22" s="573">
        <v>1460.0</v>
      </c>
      <c r="G22" s="573">
        <v>420.0</v>
      </c>
      <c r="H22" s="574">
        <v>32250.0</v>
      </c>
      <c r="I22" s="581">
        <v>26250.0</v>
      </c>
      <c r="J22" s="582"/>
      <c r="K22" s="569">
        <v>37000.0</v>
      </c>
      <c r="L22" s="341"/>
      <c r="M22" s="13"/>
      <c r="N22" s="13"/>
      <c r="O22" s="13"/>
      <c r="P22" s="13"/>
      <c r="Q22" s="242"/>
      <c r="R22" s="583"/>
      <c r="S22" s="243" t="str">
        <f>VLOOKUP($C22,MASTER!$C:$C,1,0)</f>
        <v>WT-4LC-15</v>
      </c>
      <c r="T22" s="15"/>
      <c r="U22" s="242"/>
      <c r="V22" s="242"/>
      <c r="W22" s="242"/>
      <c r="X22" s="242"/>
      <c r="Y22" s="242"/>
      <c r="Z22" s="242"/>
      <c r="AA22" s="242"/>
      <c r="AB22" s="242"/>
      <c r="AC22" s="242"/>
    </row>
    <row r="23">
      <c r="A23" s="242"/>
      <c r="B23" s="275">
        <v>5.0</v>
      </c>
      <c r="C23" s="584" t="s">
        <v>3125</v>
      </c>
      <c r="D23" s="573">
        <v>2000.0</v>
      </c>
      <c r="E23" s="573">
        <v>1350.0</v>
      </c>
      <c r="F23" s="573">
        <v>1530.0</v>
      </c>
      <c r="G23" s="573">
        <v>420.0</v>
      </c>
      <c r="H23" s="574">
        <v>43000.0</v>
      </c>
      <c r="I23" s="581">
        <v>35000.0</v>
      </c>
      <c r="J23" s="582"/>
      <c r="K23" s="569">
        <v>50000.0</v>
      </c>
      <c r="L23" s="341"/>
      <c r="M23" s="13"/>
      <c r="N23" s="13"/>
      <c r="O23" s="13"/>
      <c r="P23" s="13"/>
      <c r="Q23" s="242"/>
      <c r="R23" s="583"/>
      <c r="S23" s="243" t="str">
        <f>VLOOKUP($C23,MASTER!$C:$C,1,0)</f>
        <v>WT-4LC-20</v>
      </c>
      <c r="T23" s="15"/>
      <c r="U23" s="242"/>
      <c r="V23" s="242"/>
      <c r="W23" s="242"/>
      <c r="X23" s="242"/>
      <c r="Y23" s="242"/>
      <c r="Z23" s="242"/>
      <c r="AA23" s="242"/>
      <c r="AB23" s="242"/>
      <c r="AC23" s="242"/>
    </row>
    <row r="24">
      <c r="A24" s="242"/>
      <c r="B24" s="275">
        <v>6.0</v>
      </c>
      <c r="C24" s="584" t="s">
        <v>3126</v>
      </c>
      <c r="D24" s="573">
        <v>3000.0</v>
      </c>
      <c r="E24" s="573">
        <v>1580.0</v>
      </c>
      <c r="F24" s="573">
        <v>1880.0</v>
      </c>
      <c r="G24" s="573">
        <v>480.0</v>
      </c>
      <c r="H24" s="574">
        <v>64500.0</v>
      </c>
      <c r="I24" s="581">
        <v>52500.0</v>
      </c>
      <c r="J24" s="582"/>
      <c r="K24" s="569">
        <v>75000.0</v>
      </c>
      <c r="L24" s="341"/>
      <c r="M24" s="13"/>
      <c r="N24" s="13"/>
      <c r="O24" s="13"/>
      <c r="P24" s="13"/>
      <c r="Q24" s="242"/>
      <c r="R24" s="583"/>
      <c r="S24" s="243" t="str">
        <f>VLOOKUP($C24,MASTER!$C:$C,1,0)</f>
        <v>WT-4LC-30</v>
      </c>
      <c r="T24" s="15"/>
      <c r="U24" s="242"/>
      <c r="V24" s="242"/>
      <c r="W24" s="242"/>
      <c r="X24" s="242"/>
      <c r="Y24" s="242"/>
      <c r="Z24" s="242"/>
      <c r="AA24" s="242"/>
      <c r="AB24" s="242"/>
      <c r="AC24" s="242"/>
    </row>
    <row r="25">
      <c r="A25" s="242"/>
      <c r="B25" s="275">
        <v>7.0</v>
      </c>
      <c r="C25" s="584" t="s">
        <v>3127</v>
      </c>
      <c r="D25" s="573">
        <v>5000.0</v>
      </c>
      <c r="E25" s="573">
        <v>1900.0</v>
      </c>
      <c r="F25" s="573">
        <v>2090.0</v>
      </c>
      <c r="G25" s="573">
        <v>480.0</v>
      </c>
      <c r="H25" s="574">
        <v>107500.0</v>
      </c>
      <c r="I25" s="581">
        <v>87500.0</v>
      </c>
      <c r="J25" s="582"/>
      <c r="K25" s="569">
        <v>125000.0</v>
      </c>
      <c r="L25" s="341"/>
      <c r="M25" s="13"/>
      <c r="N25" s="13"/>
      <c r="O25" s="13"/>
      <c r="P25" s="13"/>
      <c r="Q25" s="242"/>
      <c r="R25" s="583"/>
      <c r="S25" s="243" t="str">
        <f>VLOOKUP($C25,MASTER!$C:$C,1,0)</f>
        <v>WT-4LC-50</v>
      </c>
      <c r="T25" s="15"/>
      <c r="U25" s="242"/>
      <c r="V25" s="242"/>
      <c r="W25" s="242"/>
      <c r="X25" s="242"/>
      <c r="Y25" s="242"/>
      <c r="Z25" s="242"/>
      <c r="AA25" s="242"/>
      <c r="AB25" s="242"/>
      <c r="AC25" s="242"/>
    </row>
    <row r="26">
      <c r="A26" s="242"/>
      <c r="B26" s="242"/>
      <c r="C26" s="242"/>
      <c r="D26" s="242"/>
      <c r="E26" s="242"/>
      <c r="F26" s="242"/>
      <c r="G26" s="242"/>
      <c r="H26" s="242"/>
      <c r="I26" s="243"/>
      <c r="J26" s="13"/>
      <c r="K26" s="15"/>
      <c r="L26" s="341"/>
      <c r="M26" s="13"/>
      <c r="N26" s="13"/>
      <c r="O26" s="13"/>
      <c r="P26" s="13"/>
      <c r="Q26" s="242"/>
      <c r="R26" s="13"/>
      <c r="S26" s="243"/>
      <c r="T26" s="15"/>
      <c r="U26" s="242"/>
      <c r="V26" s="242"/>
      <c r="W26" s="242"/>
      <c r="X26" s="242"/>
      <c r="Y26" s="242"/>
      <c r="Z26" s="242"/>
      <c r="AA26" s="242"/>
      <c r="AB26" s="242"/>
      <c r="AC26" s="242"/>
    </row>
    <row r="27">
      <c r="A27" s="242"/>
      <c r="B27" s="253">
        <v>1.0</v>
      </c>
      <c r="C27" s="586" t="s">
        <v>3303</v>
      </c>
      <c r="D27" s="253">
        <v>500.0</v>
      </c>
      <c r="E27" s="253">
        <v>850.0</v>
      </c>
      <c r="F27" s="253">
        <v>1000.0</v>
      </c>
      <c r="G27" s="253">
        <v>420.0</v>
      </c>
      <c r="H27" s="568">
        <v>9750.0</v>
      </c>
      <c r="I27" s="587" t="s">
        <v>3304</v>
      </c>
      <c r="J27" s="3"/>
      <c r="K27" s="569">
        <v>12500.0</v>
      </c>
      <c r="L27" s="316">
        <f t="shared" ref="L27:L33" si="14">IFERROR(K27/D27,"")</f>
        <v>25</v>
      </c>
      <c r="M27" s="13"/>
      <c r="N27" s="13"/>
      <c r="O27" s="13"/>
      <c r="P27" s="13"/>
      <c r="Q27" s="242"/>
      <c r="R27" s="578">
        <f t="shared" ref="R27:R33" si="15">H19/H27</f>
        <v>1.102564103</v>
      </c>
      <c r="S27" s="243"/>
      <c r="T27" s="15"/>
      <c r="U27" s="242"/>
      <c r="V27" s="242"/>
      <c r="W27" s="242"/>
      <c r="X27" s="242"/>
      <c r="Y27" s="242"/>
      <c r="Z27" s="242"/>
      <c r="AA27" s="242"/>
      <c r="AB27" s="242"/>
      <c r="AC27" s="242"/>
    </row>
    <row r="28">
      <c r="A28" s="242"/>
      <c r="B28" s="277">
        <v>2.0</v>
      </c>
      <c r="C28" s="584" t="s">
        <v>3305</v>
      </c>
      <c r="D28" s="579">
        <v>750.0</v>
      </c>
      <c r="E28" s="588">
        <v>1000.0</v>
      </c>
      <c r="F28" s="588">
        <v>1120.0</v>
      </c>
      <c r="G28" s="588">
        <v>420.0</v>
      </c>
      <c r="H28" s="574">
        <v>14625.0</v>
      </c>
      <c r="I28" s="176"/>
      <c r="J28" s="3"/>
      <c r="K28" s="569">
        <v>19000.0</v>
      </c>
      <c r="L28" s="316">
        <f t="shared" si="14"/>
        <v>25.33333333</v>
      </c>
      <c r="M28" s="13"/>
      <c r="N28" s="13"/>
      <c r="O28" s="13"/>
      <c r="P28" s="13"/>
      <c r="Q28" s="242"/>
      <c r="R28" s="578">
        <f t="shared" si="15"/>
        <v>1.102564103</v>
      </c>
      <c r="S28" s="243"/>
      <c r="T28" s="15"/>
      <c r="U28" s="242"/>
      <c r="V28" s="242"/>
      <c r="W28" s="242"/>
      <c r="X28" s="242"/>
      <c r="Y28" s="242"/>
      <c r="Z28" s="242"/>
      <c r="AA28" s="242"/>
      <c r="AB28" s="242"/>
      <c r="AC28" s="242"/>
    </row>
    <row r="29">
      <c r="A29" s="242"/>
      <c r="B29" s="277">
        <v>3.0</v>
      </c>
      <c r="C29" s="584" t="s">
        <v>3306</v>
      </c>
      <c r="D29" s="588">
        <v>1000.0</v>
      </c>
      <c r="E29" s="588">
        <v>1090.0</v>
      </c>
      <c r="F29" s="588">
        <v>1280.0</v>
      </c>
      <c r="G29" s="588">
        <v>420.0</v>
      </c>
      <c r="H29" s="574">
        <v>19500.0</v>
      </c>
      <c r="I29" s="176"/>
      <c r="J29" s="3"/>
      <c r="K29" s="569">
        <v>25000.0</v>
      </c>
      <c r="L29" s="316">
        <f t="shared" si="14"/>
        <v>25</v>
      </c>
      <c r="M29" s="13"/>
      <c r="N29" s="13"/>
      <c r="O29" s="13"/>
      <c r="P29" s="13"/>
      <c r="Q29" s="242"/>
      <c r="R29" s="578">
        <f t="shared" si="15"/>
        <v>1.102564103</v>
      </c>
      <c r="S29" s="243"/>
      <c r="T29" s="15"/>
      <c r="U29" s="242"/>
      <c r="V29" s="242"/>
      <c r="W29" s="242"/>
      <c r="X29" s="242"/>
      <c r="Y29" s="242"/>
      <c r="Z29" s="242"/>
      <c r="AA29" s="242"/>
      <c r="AB29" s="242"/>
      <c r="AC29" s="242"/>
    </row>
    <row r="30">
      <c r="A30" s="242"/>
      <c r="B30" s="277">
        <v>4.0</v>
      </c>
      <c r="C30" s="584" t="s">
        <v>3307</v>
      </c>
      <c r="D30" s="588">
        <v>1500.0</v>
      </c>
      <c r="E30" s="588">
        <v>1210.0</v>
      </c>
      <c r="F30" s="588">
        <v>1460.0</v>
      </c>
      <c r="G30" s="588">
        <v>420.0</v>
      </c>
      <c r="H30" s="574">
        <v>29250.0</v>
      </c>
      <c r="I30" s="176"/>
      <c r="J30" s="3"/>
      <c r="K30" s="569">
        <v>37000.0</v>
      </c>
      <c r="L30" s="316">
        <f t="shared" si="14"/>
        <v>24.66666667</v>
      </c>
      <c r="M30" s="13"/>
      <c r="N30" s="13"/>
      <c r="O30" s="13"/>
      <c r="P30" s="13"/>
      <c r="Q30" s="242"/>
      <c r="R30" s="578">
        <f t="shared" si="15"/>
        <v>1.102564103</v>
      </c>
      <c r="S30" s="243"/>
      <c r="T30" s="15"/>
      <c r="U30" s="242"/>
      <c r="V30" s="242"/>
      <c r="W30" s="242"/>
      <c r="X30" s="242"/>
      <c r="Y30" s="242"/>
      <c r="Z30" s="242"/>
      <c r="AA30" s="242"/>
      <c r="AB30" s="242"/>
      <c r="AC30" s="242"/>
    </row>
    <row r="31">
      <c r="A31" s="242"/>
      <c r="B31" s="277">
        <v>5.0</v>
      </c>
      <c r="C31" s="584" t="s">
        <v>3308</v>
      </c>
      <c r="D31" s="588">
        <v>2000.0</v>
      </c>
      <c r="E31" s="588">
        <v>1350.0</v>
      </c>
      <c r="F31" s="588">
        <v>1530.0</v>
      </c>
      <c r="G31" s="588">
        <v>420.0</v>
      </c>
      <c r="H31" s="574">
        <v>39000.0</v>
      </c>
      <c r="I31" s="176"/>
      <c r="J31" s="3"/>
      <c r="K31" s="569">
        <v>50000.0</v>
      </c>
      <c r="L31" s="316">
        <f t="shared" si="14"/>
        <v>25</v>
      </c>
      <c r="M31" s="13"/>
      <c r="N31" s="13"/>
      <c r="O31" s="13"/>
      <c r="P31" s="13"/>
      <c r="Q31" s="242"/>
      <c r="R31" s="578">
        <f t="shared" si="15"/>
        <v>1.102564103</v>
      </c>
      <c r="S31" s="243"/>
      <c r="T31" s="15"/>
      <c r="U31" s="242"/>
      <c r="V31" s="242"/>
      <c r="W31" s="242"/>
      <c r="X31" s="242"/>
      <c r="Y31" s="242"/>
      <c r="Z31" s="242"/>
      <c r="AA31" s="242"/>
      <c r="AB31" s="242"/>
      <c r="AC31" s="242"/>
    </row>
    <row r="32">
      <c r="A32" s="242"/>
      <c r="B32" s="277">
        <v>6.0</v>
      </c>
      <c r="C32" s="584" t="s">
        <v>3309</v>
      </c>
      <c r="D32" s="588">
        <v>3000.0</v>
      </c>
      <c r="E32" s="588">
        <v>1580.0</v>
      </c>
      <c r="F32" s="588">
        <v>1880.0</v>
      </c>
      <c r="G32" s="588">
        <v>480.0</v>
      </c>
      <c r="H32" s="574">
        <v>58500.0</v>
      </c>
      <c r="I32" s="176"/>
      <c r="J32" s="3"/>
      <c r="K32" s="569">
        <v>75000.0</v>
      </c>
      <c r="L32" s="316">
        <f t="shared" si="14"/>
        <v>25</v>
      </c>
      <c r="M32" s="13"/>
      <c r="N32" s="13"/>
      <c r="O32" s="13"/>
      <c r="P32" s="13"/>
      <c r="Q32" s="242"/>
      <c r="R32" s="578">
        <f t="shared" si="15"/>
        <v>1.102564103</v>
      </c>
      <c r="S32" s="243"/>
      <c r="T32" s="15"/>
      <c r="U32" s="242"/>
      <c r="V32" s="242"/>
      <c r="W32" s="242"/>
      <c r="X32" s="242"/>
      <c r="Y32" s="242"/>
      <c r="Z32" s="242"/>
      <c r="AA32" s="242"/>
      <c r="AB32" s="242"/>
      <c r="AC32" s="242"/>
    </row>
    <row r="33">
      <c r="A33" s="242"/>
      <c r="B33" s="277">
        <v>7.0</v>
      </c>
      <c r="C33" s="584" t="s">
        <v>3310</v>
      </c>
      <c r="D33" s="588">
        <v>5000.0</v>
      </c>
      <c r="E33" s="588">
        <v>1900.0</v>
      </c>
      <c r="F33" s="588">
        <v>2090.0</v>
      </c>
      <c r="G33" s="588">
        <v>480.0</v>
      </c>
      <c r="H33" s="574">
        <v>107500.0</v>
      </c>
      <c r="I33" s="41"/>
      <c r="J33" s="3"/>
      <c r="K33" s="569">
        <v>125000.0</v>
      </c>
      <c r="L33" s="316">
        <f t="shared" si="14"/>
        <v>25</v>
      </c>
      <c r="M33" s="13"/>
      <c r="N33" s="13"/>
      <c r="O33" s="13"/>
      <c r="P33" s="13"/>
      <c r="Q33" s="242"/>
      <c r="R33" s="578">
        <f t="shared" si="15"/>
        <v>1</v>
      </c>
      <c r="S33" s="243"/>
      <c r="T33" s="15"/>
      <c r="U33" s="242"/>
      <c r="V33" s="242"/>
      <c r="W33" s="242"/>
      <c r="X33" s="242"/>
      <c r="Y33" s="242"/>
      <c r="Z33" s="242"/>
      <c r="AA33" s="242"/>
      <c r="AB33" s="242"/>
      <c r="AC33" s="242"/>
    </row>
    <row r="34">
      <c r="A34" s="242"/>
      <c r="B34" s="576"/>
      <c r="C34" s="576"/>
      <c r="D34" s="576"/>
      <c r="E34" s="576"/>
      <c r="F34" s="576"/>
      <c r="G34" s="576"/>
      <c r="H34" s="577"/>
      <c r="I34" s="577"/>
      <c r="J34" s="570"/>
      <c r="K34" s="411"/>
      <c r="L34" s="393"/>
      <c r="M34" s="551"/>
      <c r="N34" s="551"/>
      <c r="O34" s="551"/>
      <c r="P34" s="551"/>
      <c r="Q34" s="242"/>
      <c r="R34" s="13"/>
      <c r="S34" s="243"/>
      <c r="T34" s="15"/>
      <c r="U34" s="242"/>
      <c r="V34" s="242"/>
      <c r="W34" s="242"/>
      <c r="X34" s="242"/>
      <c r="Y34" s="242"/>
      <c r="Z34" s="242"/>
      <c r="AA34" s="242"/>
      <c r="AB34" s="242"/>
      <c r="AC34" s="242"/>
    </row>
    <row r="35">
      <c r="A35" s="242"/>
      <c r="B35" s="275">
        <v>1.0</v>
      </c>
      <c r="C35" s="572" t="s">
        <v>3107</v>
      </c>
      <c r="D35" s="573">
        <v>500.0</v>
      </c>
      <c r="E35" s="573">
        <v>850.0</v>
      </c>
      <c r="F35" s="573">
        <v>1000.0</v>
      </c>
      <c r="G35" s="573">
        <v>420.0</v>
      </c>
      <c r="H35" s="574">
        <v>7250.0</v>
      </c>
      <c r="I35" s="574">
        <v>7250.0</v>
      </c>
      <c r="J35" s="316">
        <f t="shared" ref="J35:J41" si="16">IFERROR(I35/D35,"")</f>
        <v>14.5</v>
      </c>
      <c r="K35" s="569">
        <f t="shared" ref="K35:K41" si="17">IFERROR(I35/J35,"")*16</f>
        <v>8000</v>
      </c>
      <c r="L35" s="316">
        <f t="shared" ref="L35:L41" si="18">IFERROR(K35/D35,"")</f>
        <v>16</v>
      </c>
      <c r="M35" s="570">
        <v>11.5</v>
      </c>
      <c r="N35" s="551">
        <f t="shared" ref="N35:N41" si="19">M35*105</f>
        <v>1207.5</v>
      </c>
      <c r="O35" s="395">
        <f t="shared" ref="O35:O41" si="20">N35/D35</f>
        <v>2.415</v>
      </c>
      <c r="P35" s="395">
        <f t="shared" ref="P35:P41" si="21">O35+0.95</f>
        <v>3.365</v>
      </c>
      <c r="Q35" s="242"/>
      <c r="R35" s="578">
        <f t="shared" ref="R35:R41" si="22">H43/H35</f>
        <v>1.206896552</v>
      </c>
      <c r="S35" s="243" t="str">
        <f>VLOOKUP($C35,MASTER!$C:$C,1,0)</f>
        <v>WT-3LL-05</v>
      </c>
      <c r="T35" s="571"/>
      <c r="U35" s="242"/>
      <c r="V35" s="242"/>
      <c r="W35" s="242"/>
      <c r="X35" s="242"/>
      <c r="Y35" s="242"/>
      <c r="Z35" s="242"/>
      <c r="AA35" s="242"/>
      <c r="AB35" s="242"/>
      <c r="AC35" s="242"/>
    </row>
    <row r="36">
      <c r="A36" s="242"/>
      <c r="B36" s="275">
        <v>2.0</v>
      </c>
      <c r="C36" s="112" t="s">
        <v>3109</v>
      </c>
      <c r="D36" s="579">
        <v>750.0</v>
      </c>
      <c r="E36" s="573">
        <v>1000.0</v>
      </c>
      <c r="F36" s="573">
        <v>1120.0</v>
      </c>
      <c r="G36" s="588">
        <v>420.0</v>
      </c>
      <c r="H36" s="574">
        <v>10875.0</v>
      </c>
      <c r="I36" s="574">
        <v>10875.0</v>
      </c>
      <c r="J36" s="316">
        <f t="shared" si="16"/>
        <v>14.5</v>
      </c>
      <c r="K36" s="569">
        <f t="shared" si="17"/>
        <v>12000</v>
      </c>
      <c r="L36" s="316">
        <f t="shared" si="18"/>
        <v>16</v>
      </c>
      <c r="M36" s="570">
        <v>17.0</v>
      </c>
      <c r="N36" s="551">
        <f t="shared" si="19"/>
        <v>1785</v>
      </c>
      <c r="O36" s="395">
        <f t="shared" si="20"/>
        <v>2.38</v>
      </c>
      <c r="P36" s="395">
        <f t="shared" si="21"/>
        <v>3.33</v>
      </c>
      <c r="Q36" s="242"/>
      <c r="R36" s="578">
        <f t="shared" si="22"/>
        <v>1.206896552</v>
      </c>
      <c r="S36" s="243" t="str">
        <f>VLOOKUP($C36,MASTER!$C:$C,1,0)</f>
        <v>WT-3LL-07</v>
      </c>
      <c r="T36" s="571"/>
      <c r="U36" s="242"/>
      <c r="V36" s="242"/>
      <c r="W36" s="242"/>
      <c r="X36" s="242"/>
      <c r="Y36" s="242"/>
      <c r="Z36" s="242"/>
      <c r="AA36" s="242"/>
      <c r="AB36" s="242"/>
      <c r="AC36" s="242"/>
    </row>
    <row r="37">
      <c r="A37" s="242"/>
      <c r="B37" s="275">
        <v>3.0</v>
      </c>
      <c r="C37" s="572" t="s">
        <v>3111</v>
      </c>
      <c r="D37" s="573">
        <v>1000.0</v>
      </c>
      <c r="E37" s="573">
        <v>1090.0</v>
      </c>
      <c r="F37" s="573">
        <v>1280.0</v>
      </c>
      <c r="G37" s="588">
        <v>420.0</v>
      </c>
      <c r="H37" s="574">
        <v>14500.0</v>
      </c>
      <c r="I37" s="574">
        <v>14500.0</v>
      </c>
      <c r="J37" s="316">
        <f t="shared" si="16"/>
        <v>14.5</v>
      </c>
      <c r="K37" s="569">
        <f t="shared" si="17"/>
        <v>16000</v>
      </c>
      <c r="L37" s="316">
        <f t="shared" si="18"/>
        <v>16</v>
      </c>
      <c r="M37" s="570">
        <v>21.0</v>
      </c>
      <c r="N37" s="551">
        <f t="shared" si="19"/>
        <v>2205</v>
      </c>
      <c r="O37" s="395">
        <f t="shared" si="20"/>
        <v>2.205</v>
      </c>
      <c r="P37" s="395">
        <f t="shared" si="21"/>
        <v>3.155</v>
      </c>
      <c r="Q37" s="242"/>
      <c r="R37" s="578">
        <f t="shared" si="22"/>
        <v>1.206896552</v>
      </c>
      <c r="S37" s="243" t="str">
        <f>VLOOKUP($C37,MASTER!$C:$C,1,0)</f>
        <v>WT-3LL-10</v>
      </c>
      <c r="T37" s="571"/>
      <c r="U37" s="242"/>
      <c r="V37" s="242"/>
      <c r="W37" s="242"/>
      <c r="X37" s="242"/>
      <c r="Y37" s="242"/>
      <c r="Z37" s="242"/>
      <c r="AA37" s="242"/>
      <c r="AB37" s="242"/>
      <c r="AC37" s="242"/>
    </row>
    <row r="38">
      <c r="A38" s="242"/>
      <c r="B38" s="275">
        <v>4.0</v>
      </c>
      <c r="C38" s="572" t="s">
        <v>3113</v>
      </c>
      <c r="D38" s="573">
        <v>1500.0</v>
      </c>
      <c r="E38" s="573">
        <v>1210.0</v>
      </c>
      <c r="F38" s="573">
        <v>1460.0</v>
      </c>
      <c r="G38" s="588">
        <v>420.0</v>
      </c>
      <c r="H38" s="574">
        <v>21750.0</v>
      </c>
      <c r="I38" s="574">
        <v>21750.0</v>
      </c>
      <c r="J38" s="316">
        <f t="shared" si="16"/>
        <v>14.5</v>
      </c>
      <c r="K38" s="569">
        <f t="shared" si="17"/>
        <v>24000</v>
      </c>
      <c r="L38" s="316">
        <f t="shared" si="18"/>
        <v>16</v>
      </c>
      <c r="M38" s="570">
        <v>29.0</v>
      </c>
      <c r="N38" s="551">
        <f t="shared" si="19"/>
        <v>3045</v>
      </c>
      <c r="O38" s="395">
        <f t="shared" si="20"/>
        <v>2.03</v>
      </c>
      <c r="P38" s="395">
        <f t="shared" si="21"/>
        <v>2.98</v>
      </c>
      <c r="Q38" s="242"/>
      <c r="R38" s="578">
        <f t="shared" si="22"/>
        <v>1.206896552</v>
      </c>
      <c r="S38" s="243" t="str">
        <f>VLOOKUP($C38,MASTER!$C:$C,1,0)</f>
        <v>WT-3LL-15</v>
      </c>
      <c r="T38" s="571"/>
      <c r="U38" s="242"/>
      <c r="V38" s="242"/>
      <c r="W38" s="242"/>
      <c r="X38" s="242"/>
      <c r="Y38" s="242"/>
      <c r="Z38" s="242"/>
      <c r="AA38" s="242"/>
      <c r="AB38" s="242"/>
      <c r="AC38" s="242"/>
    </row>
    <row r="39">
      <c r="A39" s="242"/>
      <c r="B39" s="275">
        <v>5.0</v>
      </c>
      <c r="C39" s="572" t="s">
        <v>3115</v>
      </c>
      <c r="D39" s="573">
        <v>2000.0</v>
      </c>
      <c r="E39" s="573">
        <v>1350.0</v>
      </c>
      <c r="F39" s="573">
        <v>1530.0</v>
      </c>
      <c r="G39" s="588">
        <v>420.0</v>
      </c>
      <c r="H39" s="574">
        <v>29000.0</v>
      </c>
      <c r="I39" s="574">
        <v>29000.0</v>
      </c>
      <c r="J39" s="316">
        <f t="shared" si="16"/>
        <v>14.5</v>
      </c>
      <c r="K39" s="569">
        <f t="shared" si="17"/>
        <v>32000</v>
      </c>
      <c r="L39" s="316">
        <f t="shared" si="18"/>
        <v>16</v>
      </c>
      <c r="M39" s="570">
        <v>38.0</v>
      </c>
      <c r="N39" s="551">
        <f t="shared" si="19"/>
        <v>3990</v>
      </c>
      <c r="O39" s="395">
        <f t="shared" si="20"/>
        <v>1.995</v>
      </c>
      <c r="P39" s="395">
        <f t="shared" si="21"/>
        <v>2.945</v>
      </c>
      <c r="Q39" s="242"/>
      <c r="R39" s="578">
        <f t="shared" si="22"/>
        <v>1.206896552</v>
      </c>
      <c r="S39" s="243" t="str">
        <f>VLOOKUP($C39,MASTER!$C:$C,1,0)</f>
        <v>WT-3LL-20</v>
      </c>
      <c r="T39" s="571"/>
      <c r="U39" s="242"/>
      <c r="V39" s="242"/>
      <c r="W39" s="242"/>
      <c r="X39" s="242"/>
      <c r="Y39" s="242"/>
      <c r="Z39" s="242"/>
      <c r="AA39" s="242"/>
      <c r="AB39" s="242"/>
      <c r="AC39" s="242"/>
    </row>
    <row r="40">
      <c r="A40" s="242"/>
      <c r="B40" s="277">
        <v>6.0</v>
      </c>
      <c r="C40" s="589" t="s">
        <v>3117</v>
      </c>
      <c r="D40" s="588">
        <v>3000.0</v>
      </c>
      <c r="E40" s="588">
        <v>1580.0</v>
      </c>
      <c r="F40" s="588">
        <v>1880.0</v>
      </c>
      <c r="G40" s="588">
        <v>480.0</v>
      </c>
      <c r="H40" s="574">
        <v>43500.0</v>
      </c>
      <c r="I40" s="574">
        <v>43500.0</v>
      </c>
      <c r="J40" s="316">
        <f t="shared" si="16"/>
        <v>14.5</v>
      </c>
      <c r="K40" s="569">
        <f t="shared" si="17"/>
        <v>48000</v>
      </c>
      <c r="L40" s="316">
        <f t="shared" si="18"/>
        <v>16</v>
      </c>
      <c r="M40" s="570">
        <v>62.0</v>
      </c>
      <c r="N40" s="551">
        <f t="shared" si="19"/>
        <v>6510</v>
      </c>
      <c r="O40" s="395">
        <f t="shared" si="20"/>
        <v>2.17</v>
      </c>
      <c r="P40" s="395">
        <f t="shared" si="21"/>
        <v>3.12</v>
      </c>
      <c r="Q40" s="242"/>
      <c r="R40" s="578">
        <f t="shared" si="22"/>
        <v>1.206896552</v>
      </c>
      <c r="S40" s="243" t="str">
        <f>VLOOKUP($C40,MASTER!$C:$C,1,0)</f>
        <v>WT-3LL-30</v>
      </c>
      <c r="T40" s="571"/>
      <c r="U40" s="242"/>
      <c r="V40" s="242"/>
      <c r="W40" s="242"/>
      <c r="X40" s="242"/>
      <c r="Y40" s="242"/>
      <c r="Z40" s="242"/>
      <c r="AA40" s="242"/>
      <c r="AB40" s="242"/>
      <c r="AC40" s="242"/>
    </row>
    <row r="41">
      <c r="A41" s="242"/>
      <c r="B41" s="277">
        <v>7.0</v>
      </c>
      <c r="C41" s="589" t="s">
        <v>3119</v>
      </c>
      <c r="D41" s="588">
        <v>5000.0</v>
      </c>
      <c r="E41" s="588">
        <v>1900.0</v>
      </c>
      <c r="F41" s="588">
        <v>2090.0</v>
      </c>
      <c r="G41" s="588">
        <v>480.0</v>
      </c>
      <c r="H41" s="574">
        <v>72500.0</v>
      </c>
      <c r="I41" s="574">
        <v>72500.0</v>
      </c>
      <c r="J41" s="316">
        <f t="shared" si="16"/>
        <v>14.5</v>
      </c>
      <c r="K41" s="569">
        <f t="shared" si="17"/>
        <v>80000</v>
      </c>
      <c r="L41" s="316">
        <f t="shared" si="18"/>
        <v>16</v>
      </c>
      <c r="M41" s="570">
        <v>105.0</v>
      </c>
      <c r="N41" s="551">
        <f t="shared" si="19"/>
        <v>11025</v>
      </c>
      <c r="O41" s="395">
        <f t="shared" si="20"/>
        <v>2.205</v>
      </c>
      <c r="P41" s="395">
        <f t="shared" si="21"/>
        <v>3.155</v>
      </c>
      <c r="Q41" s="242"/>
      <c r="R41" s="578">
        <f t="shared" si="22"/>
        <v>1.206896552</v>
      </c>
      <c r="S41" s="243" t="str">
        <f>VLOOKUP($C41,MASTER!$C:$C,1,0)</f>
        <v>WT-3LL-50</v>
      </c>
      <c r="T41" s="571"/>
      <c r="U41" s="242"/>
      <c r="V41" s="242"/>
      <c r="W41" s="242"/>
      <c r="X41" s="242"/>
      <c r="Y41" s="242"/>
      <c r="Z41" s="242"/>
      <c r="AA41" s="242"/>
      <c r="AB41" s="242"/>
      <c r="AC41" s="242"/>
    </row>
    <row r="42">
      <c r="A42" s="242"/>
      <c r="B42" s="242"/>
      <c r="C42" s="242"/>
      <c r="D42" s="242"/>
      <c r="E42" s="242"/>
      <c r="F42" s="242"/>
      <c r="G42" s="242"/>
      <c r="H42" s="242"/>
      <c r="I42" s="242"/>
      <c r="J42" s="13"/>
      <c r="K42" s="15"/>
      <c r="L42" s="341"/>
      <c r="M42" s="13"/>
      <c r="N42" s="13"/>
      <c r="O42" s="13"/>
      <c r="P42" s="13"/>
      <c r="Q42" s="242"/>
      <c r="R42" s="13"/>
      <c r="S42" s="243"/>
      <c r="T42" s="13"/>
      <c r="U42" s="242"/>
      <c r="V42" s="242"/>
      <c r="W42" s="242"/>
      <c r="X42" s="242"/>
      <c r="Y42" s="242"/>
      <c r="Z42" s="242"/>
      <c r="AA42" s="242"/>
      <c r="AB42" s="242"/>
      <c r="AC42" s="242"/>
    </row>
    <row r="43">
      <c r="A43" s="242"/>
      <c r="B43" s="565">
        <v>1.0</v>
      </c>
      <c r="C43" s="580" t="s">
        <v>3128</v>
      </c>
      <c r="D43" s="567">
        <v>500.0</v>
      </c>
      <c r="E43" s="567">
        <v>850.0</v>
      </c>
      <c r="F43" s="567">
        <v>1000.0</v>
      </c>
      <c r="G43" s="567">
        <v>420.0</v>
      </c>
      <c r="H43" s="590">
        <v>8750.0</v>
      </c>
      <c r="I43" s="568">
        <v>7250.0</v>
      </c>
      <c r="J43" s="13"/>
      <c r="K43" s="569">
        <v>10000.0</v>
      </c>
      <c r="L43" s="341"/>
      <c r="M43" s="13"/>
      <c r="N43" s="13"/>
      <c r="O43" s="13"/>
      <c r="P43" s="13"/>
      <c r="Q43" s="242"/>
      <c r="R43" s="583"/>
      <c r="S43" s="243" t="str">
        <f>VLOOKUP($C43,MASTER!$C:$C,1,0)</f>
        <v>WT-3LC-05</v>
      </c>
      <c r="T43" s="13"/>
      <c r="U43" s="242"/>
      <c r="V43" s="242"/>
      <c r="W43" s="242"/>
      <c r="X43" s="242"/>
      <c r="Y43" s="242"/>
      <c r="Z43" s="242"/>
      <c r="AA43" s="242"/>
      <c r="AB43" s="242"/>
      <c r="AC43" s="242"/>
    </row>
    <row r="44">
      <c r="A44" s="242"/>
      <c r="B44" s="275">
        <v>2.0</v>
      </c>
      <c r="C44" s="584" t="s">
        <v>3129</v>
      </c>
      <c r="D44" s="579">
        <v>750.0</v>
      </c>
      <c r="E44" s="573">
        <v>1000.0</v>
      </c>
      <c r="F44" s="573">
        <v>1120.0</v>
      </c>
      <c r="G44" s="588">
        <v>420.0</v>
      </c>
      <c r="H44" s="591">
        <v>13125.0</v>
      </c>
      <c r="I44" s="574">
        <v>10875.0</v>
      </c>
      <c r="J44" s="13"/>
      <c r="K44" s="569">
        <v>15000.0</v>
      </c>
      <c r="L44" s="341"/>
      <c r="M44" s="13"/>
      <c r="N44" s="13"/>
      <c r="O44" s="13"/>
      <c r="P44" s="13"/>
      <c r="Q44" s="242"/>
      <c r="R44" s="583"/>
      <c r="S44" s="243" t="str">
        <f>VLOOKUP($C44,MASTER!$C:$C,1,0)</f>
        <v>WT-3LC-07</v>
      </c>
      <c r="T44" s="13"/>
      <c r="U44" s="242"/>
      <c r="V44" s="242"/>
      <c r="W44" s="242"/>
      <c r="X44" s="242"/>
      <c r="Y44" s="242"/>
      <c r="Z44" s="242"/>
      <c r="AA44" s="242"/>
      <c r="AB44" s="242"/>
      <c r="AC44" s="242"/>
    </row>
    <row r="45">
      <c r="A45" s="242"/>
      <c r="B45" s="275">
        <v>3.0</v>
      </c>
      <c r="C45" s="584" t="s">
        <v>3130</v>
      </c>
      <c r="D45" s="573">
        <v>1000.0</v>
      </c>
      <c r="E45" s="573">
        <v>1090.0</v>
      </c>
      <c r="F45" s="573">
        <v>1280.0</v>
      </c>
      <c r="G45" s="588">
        <v>420.0</v>
      </c>
      <c r="H45" s="591">
        <v>17500.0</v>
      </c>
      <c r="I45" s="574">
        <v>14500.0</v>
      </c>
      <c r="J45" s="13"/>
      <c r="K45" s="569">
        <v>20000.0</v>
      </c>
      <c r="L45" s="341"/>
      <c r="M45" s="13"/>
      <c r="N45" s="13"/>
      <c r="O45" s="13"/>
      <c r="P45" s="13"/>
      <c r="Q45" s="242"/>
      <c r="R45" s="583"/>
      <c r="S45" s="243" t="str">
        <f>VLOOKUP($C45,MASTER!$C:$C,1,0)</f>
        <v>WT-3LC-10</v>
      </c>
      <c r="T45" s="13"/>
      <c r="U45" s="242"/>
      <c r="V45" s="242"/>
      <c r="W45" s="242"/>
      <c r="X45" s="242"/>
      <c r="Y45" s="242"/>
      <c r="Z45" s="242"/>
      <c r="AA45" s="242"/>
      <c r="AB45" s="242"/>
      <c r="AC45" s="242"/>
    </row>
    <row r="46">
      <c r="A46" s="242"/>
      <c r="B46" s="275">
        <v>4.0</v>
      </c>
      <c r="C46" s="584" t="s">
        <v>3132</v>
      </c>
      <c r="D46" s="573">
        <v>1500.0</v>
      </c>
      <c r="E46" s="573">
        <v>1210.0</v>
      </c>
      <c r="F46" s="573">
        <v>1460.0</v>
      </c>
      <c r="G46" s="588">
        <v>420.0</v>
      </c>
      <c r="H46" s="591">
        <v>26250.0</v>
      </c>
      <c r="I46" s="574">
        <v>21750.0</v>
      </c>
      <c r="J46" s="13"/>
      <c r="K46" s="569">
        <v>30000.0</v>
      </c>
      <c r="L46" s="341"/>
      <c r="M46" s="13"/>
      <c r="N46" s="13"/>
      <c r="O46" s="13"/>
      <c r="P46" s="13"/>
      <c r="Q46" s="242"/>
      <c r="R46" s="583"/>
      <c r="S46" s="243" t="str">
        <f>VLOOKUP($C46,MASTER!$C:$C,1,0)</f>
        <v>WT-3LC-15</v>
      </c>
      <c r="T46" s="13"/>
      <c r="U46" s="242"/>
      <c r="V46" s="242"/>
      <c r="W46" s="242"/>
      <c r="X46" s="242"/>
      <c r="Y46" s="242"/>
      <c r="Z46" s="242"/>
      <c r="AA46" s="242"/>
      <c r="AB46" s="242"/>
      <c r="AC46" s="242"/>
    </row>
    <row r="47">
      <c r="A47" s="242"/>
      <c r="B47" s="275">
        <v>5.0</v>
      </c>
      <c r="C47" s="584" t="s">
        <v>3144</v>
      </c>
      <c r="D47" s="573">
        <v>2000.0</v>
      </c>
      <c r="E47" s="573">
        <v>1350.0</v>
      </c>
      <c r="F47" s="573">
        <v>1530.0</v>
      </c>
      <c r="G47" s="588">
        <v>420.0</v>
      </c>
      <c r="H47" s="591">
        <v>35000.0</v>
      </c>
      <c r="I47" s="574">
        <v>29000.0</v>
      </c>
      <c r="J47" s="13"/>
      <c r="K47" s="569">
        <v>40000.0</v>
      </c>
      <c r="L47" s="341"/>
      <c r="M47" s="13"/>
      <c r="N47" s="13"/>
      <c r="O47" s="13"/>
      <c r="P47" s="13"/>
      <c r="Q47" s="242"/>
      <c r="R47" s="583"/>
      <c r="S47" s="243" t="str">
        <f>VLOOKUP($C47,MASTER!$C:$C,1,0)</f>
        <v>WT-3LC-20</v>
      </c>
      <c r="T47" s="13"/>
      <c r="U47" s="242"/>
      <c r="V47" s="242"/>
      <c r="W47" s="242"/>
      <c r="X47" s="242"/>
      <c r="Y47" s="242"/>
      <c r="Z47" s="242"/>
      <c r="AA47" s="242"/>
      <c r="AB47" s="242"/>
      <c r="AC47" s="242"/>
    </row>
    <row r="48">
      <c r="A48" s="242"/>
      <c r="B48" s="277">
        <v>6.0</v>
      </c>
      <c r="C48" s="584" t="s">
        <v>3147</v>
      </c>
      <c r="D48" s="588">
        <v>3000.0</v>
      </c>
      <c r="E48" s="588">
        <v>1580.0</v>
      </c>
      <c r="F48" s="588">
        <v>1880.0</v>
      </c>
      <c r="G48" s="588">
        <v>480.0</v>
      </c>
      <c r="H48" s="591">
        <v>52500.0</v>
      </c>
      <c r="I48" s="574">
        <v>43500.0</v>
      </c>
      <c r="J48" s="13"/>
      <c r="K48" s="569">
        <v>60000.0</v>
      </c>
      <c r="L48" s="341"/>
      <c r="M48" s="13"/>
      <c r="N48" s="13"/>
      <c r="O48" s="13"/>
      <c r="P48" s="13"/>
      <c r="Q48" s="242"/>
      <c r="R48" s="583"/>
      <c r="S48" s="243" t="str">
        <f>VLOOKUP($C48,MASTER!$C:$C,1,0)</f>
        <v>WT-3LC-30</v>
      </c>
      <c r="T48" s="13"/>
      <c r="U48" s="242"/>
      <c r="V48" s="242"/>
      <c r="W48" s="242"/>
      <c r="X48" s="242"/>
      <c r="Y48" s="242"/>
      <c r="Z48" s="242"/>
      <c r="AA48" s="242"/>
      <c r="AB48" s="242"/>
      <c r="AC48" s="242"/>
    </row>
    <row r="49">
      <c r="A49" s="242"/>
      <c r="B49" s="277">
        <v>7.0</v>
      </c>
      <c r="C49" s="584" t="s">
        <v>3148</v>
      </c>
      <c r="D49" s="588">
        <v>5000.0</v>
      </c>
      <c r="E49" s="588">
        <v>1900.0</v>
      </c>
      <c r="F49" s="588">
        <v>2090.0</v>
      </c>
      <c r="G49" s="588">
        <v>480.0</v>
      </c>
      <c r="H49" s="591">
        <v>87500.0</v>
      </c>
      <c r="I49" s="574">
        <v>72500.0</v>
      </c>
      <c r="J49" s="13"/>
      <c r="K49" s="569">
        <v>100000.0</v>
      </c>
      <c r="L49" s="341"/>
      <c r="M49" s="13"/>
      <c r="N49" s="13"/>
      <c r="O49" s="13"/>
      <c r="P49" s="13"/>
      <c r="Q49" s="242"/>
      <c r="R49" s="583"/>
      <c r="S49" s="243" t="str">
        <f>VLOOKUP($C49,MASTER!$C:$C,1,0)</f>
        <v>WT-3LC-50</v>
      </c>
      <c r="T49" s="13"/>
      <c r="U49" s="242"/>
      <c r="V49" s="242"/>
      <c r="W49" s="242"/>
      <c r="X49" s="242"/>
      <c r="Y49" s="242"/>
      <c r="Z49" s="242"/>
      <c r="AA49" s="242"/>
      <c r="AB49" s="242"/>
      <c r="AC49" s="242"/>
    </row>
    <row r="50">
      <c r="A50" s="242"/>
      <c r="B50" s="242"/>
      <c r="C50" s="242"/>
      <c r="D50" s="242"/>
      <c r="E50" s="242"/>
      <c r="F50" s="242"/>
      <c r="G50" s="242"/>
      <c r="H50" s="242"/>
      <c r="I50" s="242"/>
      <c r="J50" s="13"/>
      <c r="K50" s="15"/>
      <c r="L50" s="341"/>
      <c r="M50" s="13"/>
      <c r="N50" s="13"/>
      <c r="O50" s="13"/>
      <c r="P50" s="13"/>
      <c r="Q50" s="242"/>
      <c r="R50" s="13"/>
      <c r="S50" s="243"/>
      <c r="T50" s="13"/>
      <c r="U50" s="242"/>
      <c r="V50" s="242"/>
      <c r="W50" s="242"/>
      <c r="X50" s="242"/>
      <c r="Y50" s="242"/>
      <c r="Z50" s="242"/>
      <c r="AA50" s="242"/>
      <c r="AB50" s="242"/>
      <c r="AC50" s="242"/>
    </row>
    <row r="51">
      <c r="A51" s="242"/>
      <c r="B51" s="565">
        <v>1.0</v>
      </c>
      <c r="C51" s="586" t="s">
        <v>3151</v>
      </c>
      <c r="D51" s="565">
        <v>500.0</v>
      </c>
      <c r="E51" s="565">
        <v>850.0</v>
      </c>
      <c r="F51" s="565">
        <v>1000.0</v>
      </c>
      <c r="G51" s="565">
        <v>420.0</v>
      </c>
      <c r="H51" s="590">
        <v>8250.0</v>
      </c>
      <c r="I51" s="587" t="s">
        <v>3304</v>
      </c>
      <c r="J51" s="3"/>
      <c r="K51" s="569">
        <v>10000.0</v>
      </c>
      <c r="L51" s="316">
        <f t="shared" ref="L51:L57" si="23">IFERROR(K51/D51,"")</f>
        <v>20</v>
      </c>
      <c r="M51" s="13"/>
      <c r="N51" s="13"/>
      <c r="O51" s="13"/>
      <c r="P51" s="13"/>
      <c r="Q51" s="242"/>
      <c r="R51" s="578">
        <f t="shared" ref="R51:R57" si="24">H43/H51</f>
        <v>1.060606061</v>
      </c>
      <c r="S51" s="243" t="str">
        <f>VLOOKUP($C51,MASTER!$C:$C,1,0)</f>
        <v>WT-3LH-05</v>
      </c>
      <c r="T51" s="13"/>
      <c r="U51" s="242"/>
      <c r="V51" s="242"/>
      <c r="W51" s="242"/>
      <c r="X51" s="242"/>
      <c r="Y51" s="242"/>
      <c r="Z51" s="242"/>
      <c r="AA51" s="242"/>
      <c r="AB51" s="242"/>
      <c r="AC51" s="242"/>
    </row>
    <row r="52">
      <c r="A52" s="242"/>
      <c r="B52" s="275">
        <v>2.0</v>
      </c>
      <c r="C52" s="584" t="s">
        <v>3156</v>
      </c>
      <c r="D52" s="579">
        <v>750.0</v>
      </c>
      <c r="E52" s="573">
        <v>1000.0</v>
      </c>
      <c r="F52" s="573">
        <v>1120.0</v>
      </c>
      <c r="G52" s="588">
        <v>420.0</v>
      </c>
      <c r="H52" s="591">
        <v>12375.0</v>
      </c>
      <c r="I52" s="587" t="s">
        <v>3304</v>
      </c>
      <c r="J52" s="3"/>
      <c r="K52" s="569">
        <v>15000.0</v>
      </c>
      <c r="L52" s="316">
        <f t="shared" si="23"/>
        <v>20</v>
      </c>
      <c r="M52" s="13"/>
      <c r="N52" s="13"/>
      <c r="O52" s="13"/>
      <c r="P52" s="13"/>
      <c r="Q52" s="242"/>
      <c r="R52" s="578">
        <f t="shared" si="24"/>
        <v>1.060606061</v>
      </c>
      <c r="S52" s="243" t="str">
        <f>VLOOKUP($C52,MASTER!$C:$C,1,0)</f>
        <v>WT-3LH-07</v>
      </c>
      <c r="T52" s="13"/>
      <c r="U52" s="242"/>
      <c r="V52" s="242"/>
      <c r="W52" s="242"/>
      <c r="X52" s="242"/>
      <c r="Y52" s="242"/>
      <c r="Z52" s="242"/>
      <c r="AA52" s="242"/>
      <c r="AB52" s="242"/>
      <c r="AC52" s="242"/>
    </row>
    <row r="53">
      <c r="A53" s="242"/>
      <c r="B53" s="275">
        <v>3.0</v>
      </c>
      <c r="C53" s="584" t="s">
        <v>3163</v>
      </c>
      <c r="D53" s="573">
        <v>1000.0</v>
      </c>
      <c r="E53" s="573">
        <v>1090.0</v>
      </c>
      <c r="F53" s="573">
        <v>1280.0</v>
      </c>
      <c r="G53" s="588">
        <v>420.0</v>
      </c>
      <c r="H53" s="591">
        <v>16500.0</v>
      </c>
      <c r="I53" s="587" t="s">
        <v>3304</v>
      </c>
      <c r="J53" s="3"/>
      <c r="K53" s="569">
        <v>20000.0</v>
      </c>
      <c r="L53" s="316">
        <f t="shared" si="23"/>
        <v>20</v>
      </c>
      <c r="M53" s="13"/>
      <c r="N53" s="13"/>
      <c r="O53" s="13"/>
      <c r="P53" s="13"/>
      <c r="Q53" s="242"/>
      <c r="R53" s="578">
        <f t="shared" si="24"/>
        <v>1.060606061</v>
      </c>
      <c r="S53" s="243" t="str">
        <f>VLOOKUP($C53,MASTER!$C:$C,1,0)</f>
        <v>WT-3LH-10</v>
      </c>
      <c r="T53" s="13"/>
      <c r="U53" s="242"/>
      <c r="V53" s="242"/>
      <c r="W53" s="242"/>
      <c r="X53" s="242"/>
      <c r="Y53" s="242"/>
      <c r="Z53" s="242"/>
      <c r="AA53" s="242"/>
      <c r="AB53" s="242"/>
      <c r="AC53" s="242"/>
    </row>
    <row r="54">
      <c r="A54" s="242"/>
      <c r="B54" s="275">
        <v>4.0</v>
      </c>
      <c r="C54" s="584" t="s">
        <v>3172</v>
      </c>
      <c r="D54" s="573">
        <v>1500.0</v>
      </c>
      <c r="E54" s="573">
        <v>1210.0</v>
      </c>
      <c r="F54" s="573">
        <v>1460.0</v>
      </c>
      <c r="G54" s="588">
        <v>420.0</v>
      </c>
      <c r="H54" s="591">
        <v>24750.0</v>
      </c>
      <c r="I54" s="587" t="s">
        <v>3304</v>
      </c>
      <c r="J54" s="3"/>
      <c r="K54" s="569">
        <v>30000.0</v>
      </c>
      <c r="L54" s="316">
        <f t="shared" si="23"/>
        <v>20</v>
      </c>
      <c r="M54" s="13"/>
      <c r="N54" s="13"/>
      <c r="O54" s="13"/>
      <c r="P54" s="13"/>
      <c r="Q54" s="242"/>
      <c r="R54" s="578">
        <f t="shared" si="24"/>
        <v>1.060606061</v>
      </c>
      <c r="S54" s="243" t="str">
        <f>VLOOKUP($C54,MASTER!$C:$C,1,0)</f>
        <v>WT-3LH-15</v>
      </c>
      <c r="T54" s="13"/>
      <c r="U54" s="242"/>
      <c r="V54" s="242"/>
      <c r="W54" s="242"/>
      <c r="X54" s="242"/>
      <c r="Y54" s="242"/>
      <c r="Z54" s="242"/>
      <c r="AA54" s="242"/>
      <c r="AB54" s="242"/>
      <c r="AC54" s="242"/>
    </row>
    <row r="55">
      <c r="A55" s="242"/>
      <c r="B55" s="275">
        <v>5.0</v>
      </c>
      <c r="C55" s="584" t="s">
        <v>3177</v>
      </c>
      <c r="D55" s="573">
        <v>2000.0</v>
      </c>
      <c r="E55" s="573">
        <v>1350.0</v>
      </c>
      <c r="F55" s="573">
        <v>1530.0</v>
      </c>
      <c r="G55" s="588">
        <v>420.0</v>
      </c>
      <c r="H55" s="591">
        <v>33000.0</v>
      </c>
      <c r="I55" s="587" t="s">
        <v>3304</v>
      </c>
      <c r="J55" s="3"/>
      <c r="K55" s="569">
        <v>40000.0</v>
      </c>
      <c r="L55" s="316">
        <f t="shared" si="23"/>
        <v>20</v>
      </c>
      <c r="M55" s="13"/>
      <c r="N55" s="13"/>
      <c r="O55" s="13"/>
      <c r="P55" s="13"/>
      <c r="Q55" s="242"/>
      <c r="R55" s="578">
        <f t="shared" si="24"/>
        <v>1.060606061</v>
      </c>
      <c r="S55" s="243" t="str">
        <f>VLOOKUP($C55,MASTER!$C:$C,1,0)</f>
        <v>WT-3LH-20</v>
      </c>
      <c r="T55" s="13"/>
      <c r="U55" s="242"/>
      <c r="V55" s="242"/>
      <c r="W55" s="242"/>
      <c r="X55" s="242"/>
      <c r="Y55" s="242"/>
      <c r="Z55" s="242"/>
      <c r="AA55" s="242"/>
      <c r="AB55" s="242"/>
      <c r="AC55" s="242"/>
    </row>
    <row r="56">
      <c r="A56" s="242"/>
      <c r="B56" s="277">
        <v>6.0</v>
      </c>
      <c r="C56" s="584" t="s">
        <v>3183</v>
      </c>
      <c r="D56" s="588">
        <v>3000.0</v>
      </c>
      <c r="E56" s="588">
        <v>1580.0</v>
      </c>
      <c r="F56" s="588">
        <v>1880.0</v>
      </c>
      <c r="G56" s="588">
        <v>480.0</v>
      </c>
      <c r="H56" s="591">
        <v>49500.0</v>
      </c>
      <c r="I56" s="587" t="s">
        <v>3304</v>
      </c>
      <c r="J56" s="3"/>
      <c r="K56" s="569">
        <v>60000.0</v>
      </c>
      <c r="L56" s="316">
        <f t="shared" si="23"/>
        <v>20</v>
      </c>
      <c r="M56" s="13"/>
      <c r="N56" s="13"/>
      <c r="O56" s="13"/>
      <c r="P56" s="13"/>
      <c r="Q56" s="242"/>
      <c r="R56" s="578">
        <f t="shared" si="24"/>
        <v>1.060606061</v>
      </c>
      <c r="S56" s="243" t="str">
        <f>VLOOKUP($C56,MASTER!$C:$C,1,0)</f>
        <v>WT-3LH-30</v>
      </c>
      <c r="T56" s="13"/>
      <c r="U56" s="242"/>
      <c r="V56" s="242"/>
      <c r="W56" s="242"/>
      <c r="X56" s="242"/>
      <c r="Y56" s="242"/>
      <c r="Z56" s="242"/>
      <c r="AA56" s="242"/>
      <c r="AB56" s="242"/>
      <c r="AC56" s="242"/>
    </row>
    <row r="57">
      <c r="A57" s="242"/>
      <c r="B57" s="277">
        <v>7.0</v>
      </c>
      <c r="C57" s="584" t="s">
        <v>3191</v>
      </c>
      <c r="D57" s="588">
        <v>5000.0</v>
      </c>
      <c r="E57" s="588">
        <v>1900.0</v>
      </c>
      <c r="F57" s="588">
        <v>2090.0</v>
      </c>
      <c r="G57" s="588">
        <v>480.0</v>
      </c>
      <c r="H57" s="591">
        <v>82500.0</v>
      </c>
      <c r="I57" s="587" t="s">
        <v>3304</v>
      </c>
      <c r="J57" s="3"/>
      <c r="K57" s="569">
        <v>100000.0</v>
      </c>
      <c r="L57" s="316">
        <f t="shared" si="23"/>
        <v>20</v>
      </c>
      <c r="M57" s="13"/>
      <c r="N57" s="13"/>
      <c r="O57" s="13"/>
      <c r="P57" s="13"/>
      <c r="Q57" s="242"/>
      <c r="R57" s="578">
        <f t="shared" si="24"/>
        <v>1.060606061</v>
      </c>
      <c r="S57" s="243" t="str">
        <f>VLOOKUP($C57,MASTER!$C:$C,1,0)</f>
        <v>WT-3LH-50</v>
      </c>
      <c r="T57" s="13"/>
      <c r="U57" s="242"/>
      <c r="V57" s="242"/>
      <c r="W57" s="242"/>
      <c r="X57" s="242"/>
      <c r="Y57" s="242"/>
      <c r="Z57" s="242"/>
      <c r="AA57" s="242"/>
      <c r="AB57" s="242"/>
      <c r="AC57" s="242"/>
    </row>
    <row r="58">
      <c r="A58" s="242"/>
      <c r="B58" s="242"/>
      <c r="C58" s="242"/>
      <c r="D58" s="242"/>
      <c r="E58" s="242"/>
      <c r="F58" s="242"/>
      <c r="G58" s="242"/>
      <c r="H58" s="242"/>
      <c r="I58" s="242"/>
      <c r="J58" s="13"/>
      <c r="K58" s="15"/>
      <c r="L58" s="341"/>
      <c r="M58" s="13"/>
      <c r="N58" s="13"/>
      <c r="O58" s="13"/>
      <c r="P58" s="13"/>
      <c r="Q58" s="242"/>
      <c r="R58" s="13"/>
      <c r="S58" s="243"/>
      <c r="T58" s="13"/>
      <c r="U58" s="242"/>
      <c r="V58" s="242"/>
      <c r="W58" s="242"/>
      <c r="X58" s="242"/>
      <c r="Y58" s="242"/>
      <c r="Z58" s="242"/>
      <c r="AA58" s="242"/>
      <c r="AB58" s="242"/>
      <c r="AC58" s="242"/>
    </row>
    <row r="59">
      <c r="A59" s="242"/>
      <c r="B59" s="592" t="s">
        <v>3316</v>
      </c>
      <c r="C59" s="45"/>
      <c r="D59" s="45"/>
      <c r="E59" s="45"/>
      <c r="F59" s="45"/>
      <c r="G59" s="45"/>
      <c r="H59" s="45"/>
      <c r="I59" s="45"/>
      <c r="J59" s="45"/>
      <c r="K59" s="46"/>
      <c r="L59" s="316"/>
      <c r="M59" s="13"/>
      <c r="N59" s="13"/>
      <c r="O59" s="13"/>
      <c r="P59" s="13"/>
      <c r="Q59" s="242"/>
      <c r="R59" s="13"/>
      <c r="S59" s="243"/>
      <c r="T59" s="13"/>
      <c r="U59" s="242"/>
      <c r="V59" s="242"/>
      <c r="W59" s="242"/>
      <c r="X59" s="242"/>
      <c r="Y59" s="242"/>
      <c r="Z59" s="242"/>
      <c r="AA59" s="242"/>
      <c r="AB59" s="242"/>
      <c r="AC59" s="242"/>
    </row>
    <row r="60">
      <c r="A60" s="242"/>
      <c r="B60" s="253">
        <v>1.0</v>
      </c>
      <c r="C60" s="586" t="s">
        <v>3198</v>
      </c>
      <c r="D60" s="253">
        <v>500.0</v>
      </c>
      <c r="E60" s="253">
        <v>850.0</v>
      </c>
      <c r="F60" s="253">
        <v>1000.0</v>
      </c>
      <c r="G60" s="253">
        <v>420.0</v>
      </c>
      <c r="H60" s="242"/>
      <c r="I60" s="593" t="s">
        <v>722</v>
      </c>
      <c r="J60" s="452"/>
      <c r="K60" s="569">
        <v>16000.0</v>
      </c>
      <c r="L60" s="316">
        <f t="shared" ref="L60:L66" si="25">IFERROR(K60/D60,"")</f>
        <v>32</v>
      </c>
      <c r="M60" s="13"/>
      <c r="N60" s="13"/>
      <c r="O60" s="13"/>
      <c r="P60" s="13"/>
      <c r="Q60" s="242"/>
      <c r="R60" s="13"/>
      <c r="S60" s="243" t="str">
        <f>VLOOKUP($C60,MASTER!$C:$C,1,0)</f>
        <v>WT-5LH-05</v>
      </c>
      <c r="T60" s="13"/>
      <c r="U60" s="242"/>
      <c r="V60" s="242"/>
      <c r="W60" s="242"/>
      <c r="X60" s="242"/>
      <c r="Y60" s="242"/>
      <c r="Z60" s="242"/>
      <c r="AA60" s="242"/>
      <c r="AB60" s="242"/>
      <c r="AC60" s="242"/>
    </row>
    <row r="61">
      <c r="A61" s="242"/>
      <c r="B61" s="277">
        <v>2.0</v>
      </c>
      <c r="C61" s="584" t="s">
        <v>3204</v>
      </c>
      <c r="D61" s="579">
        <v>750.0</v>
      </c>
      <c r="E61" s="588">
        <v>1000.0</v>
      </c>
      <c r="F61" s="588">
        <v>1120.0</v>
      </c>
      <c r="G61" s="588">
        <v>420.0</v>
      </c>
      <c r="H61" s="242"/>
      <c r="I61" s="593" t="s">
        <v>722</v>
      </c>
      <c r="J61" s="452"/>
      <c r="K61" s="569">
        <v>24000.0</v>
      </c>
      <c r="L61" s="316">
        <f t="shared" si="25"/>
        <v>32</v>
      </c>
      <c r="M61" s="13"/>
      <c r="N61" s="13"/>
      <c r="O61" s="13"/>
      <c r="P61" s="13"/>
      <c r="Q61" s="242"/>
      <c r="R61" s="13"/>
      <c r="S61" s="243" t="str">
        <f>VLOOKUP($C61,MASTER!$C:$C,1,0)</f>
        <v>WT-5LH-07</v>
      </c>
      <c r="T61" s="13"/>
      <c r="U61" s="242"/>
      <c r="V61" s="242"/>
      <c r="W61" s="242"/>
      <c r="X61" s="242"/>
      <c r="Y61" s="242"/>
      <c r="Z61" s="242"/>
      <c r="AA61" s="242"/>
      <c r="AB61" s="242"/>
      <c r="AC61" s="242"/>
    </row>
    <row r="62">
      <c r="A62" s="242"/>
      <c r="B62" s="277">
        <v>3.0</v>
      </c>
      <c r="C62" s="584" t="s">
        <v>3211</v>
      </c>
      <c r="D62" s="588">
        <v>1000.0</v>
      </c>
      <c r="E62" s="588">
        <v>1090.0</v>
      </c>
      <c r="F62" s="588">
        <v>1280.0</v>
      </c>
      <c r="G62" s="588">
        <v>420.0</v>
      </c>
      <c r="H62" s="242"/>
      <c r="I62" s="593" t="s">
        <v>722</v>
      </c>
      <c r="J62" s="452"/>
      <c r="K62" s="569">
        <v>32000.0</v>
      </c>
      <c r="L62" s="316">
        <f t="shared" si="25"/>
        <v>32</v>
      </c>
      <c r="M62" s="13"/>
      <c r="N62" s="13"/>
      <c r="O62" s="13"/>
      <c r="P62" s="13"/>
      <c r="Q62" s="242"/>
      <c r="R62" s="13"/>
      <c r="S62" s="243" t="str">
        <f>VLOOKUP($C62,MASTER!$C:$C,1,0)</f>
        <v>WT-5LH-10</v>
      </c>
      <c r="T62" s="13"/>
      <c r="U62" s="242"/>
      <c r="V62" s="242"/>
      <c r="W62" s="242"/>
      <c r="X62" s="242"/>
      <c r="Y62" s="242"/>
      <c r="Z62" s="242"/>
      <c r="AA62" s="242"/>
      <c r="AB62" s="242"/>
      <c r="AC62" s="242"/>
    </row>
    <row r="63">
      <c r="A63" s="242"/>
      <c r="B63" s="277">
        <v>4.0</v>
      </c>
      <c r="C63" s="584" t="s">
        <v>3217</v>
      </c>
      <c r="D63" s="588">
        <v>1500.0</v>
      </c>
      <c r="E63" s="588">
        <v>1210.0</v>
      </c>
      <c r="F63" s="588">
        <v>1460.0</v>
      </c>
      <c r="G63" s="588">
        <v>420.0</v>
      </c>
      <c r="H63" s="242"/>
      <c r="I63" s="593" t="s">
        <v>722</v>
      </c>
      <c r="J63" s="452"/>
      <c r="K63" s="569">
        <v>48000.0</v>
      </c>
      <c r="L63" s="316">
        <f t="shared" si="25"/>
        <v>32</v>
      </c>
      <c r="M63" s="13"/>
      <c r="N63" s="13"/>
      <c r="O63" s="13"/>
      <c r="P63" s="13"/>
      <c r="Q63" s="242"/>
      <c r="R63" s="13"/>
      <c r="S63" s="243" t="str">
        <f>VLOOKUP($C63,MASTER!$C:$C,1,0)</f>
        <v>WT-5LH-15</v>
      </c>
      <c r="T63" s="13"/>
      <c r="U63" s="242"/>
      <c r="V63" s="242"/>
      <c r="W63" s="242"/>
      <c r="X63" s="242"/>
      <c r="Y63" s="242"/>
      <c r="Z63" s="242"/>
      <c r="AA63" s="242"/>
      <c r="AB63" s="242"/>
      <c r="AC63" s="242"/>
    </row>
    <row r="64">
      <c r="A64" s="242"/>
      <c r="B64" s="277">
        <v>5.0</v>
      </c>
      <c r="C64" s="584" t="s">
        <v>3220</v>
      </c>
      <c r="D64" s="588">
        <v>2000.0</v>
      </c>
      <c r="E64" s="588">
        <v>1350.0</v>
      </c>
      <c r="F64" s="588">
        <v>1530.0</v>
      </c>
      <c r="G64" s="588">
        <v>420.0</v>
      </c>
      <c r="H64" s="242"/>
      <c r="I64" s="593" t="s">
        <v>722</v>
      </c>
      <c r="J64" s="452"/>
      <c r="K64" s="569">
        <v>64000.0</v>
      </c>
      <c r="L64" s="316">
        <f t="shared" si="25"/>
        <v>32</v>
      </c>
      <c r="M64" s="13"/>
      <c r="N64" s="13"/>
      <c r="O64" s="13"/>
      <c r="P64" s="13"/>
      <c r="Q64" s="242"/>
      <c r="R64" s="13"/>
      <c r="S64" s="243" t="str">
        <f>VLOOKUP($C64,MASTER!$C:$C,1,0)</f>
        <v>WT-5LH-20</v>
      </c>
      <c r="T64" s="13"/>
      <c r="U64" s="242"/>
      <c r="V64" s="242"/>
      <c r="W64" s="242"/>
      <c r="X64" s="242"/>
      <c r="Y64" s="242"/>
      <c r="Z64" s="242"/>
      <c r="AA64" s="242"/>
      <c r="AB64" s="242"/>
      <c r="AC64" s="242"/>
    </row>
    <row r="65">
      <c r="A65" s="242"/>
      <c r="B65" s="277">
        <v>6.0</v>
      </c>
      <c r="C65" s="584" t="s">
        <v>3225</v>
      </c>
      <c r="D65" s="588">
        <v>3000.0</v>
      </c>
      <c r="E65" s="588">
        <v>1580.0</v>
      </c>
      <c r="F65" s="588">
        <v>1880.0</v>
      </c>
      <c r="G65" s="588">
        <v>480.0</v>
      </c>
      <c r="H65" s="242"/>
      <c r="I65" s="593" t="s">
        <v>722</v>
      </c>
      <c r="J65" s="452"/>
      <c r="K65" s="569">
        <v>96000.0</v>
      </c>
      <c r="L65" s="316">
        <f t="shared" si="25"/>
        <v>32</v>
      </c>
      <c r="M65" s="13"/>
      <c r="N65" s="13"/>
      <c r="O65" s="13"/>
      <c r="P65" s="13"/>
      <c r="Q65" s="242"/>
      <c r="R65" s="13"/>
      <c r="S65" s="243" t="str">
        <f>VLOOKUP($C65,MASTER!$C:$C,1,0)</f>
        <v>WT-5LH-30</v>
      </c>
      <c r="T65" s="13"/>
      <c r="U65" s="242"/>
      <c r="V65" s="242"/>
      <c r="W65" s="242"/>
      <c r="X65" s="242"/>
      <c r="Y65" s="242"/>
      <c r="Z65" s="242"/>
      <c r="AA65" s="242"/>
      <c r="AB65" s="242"/>
      <c r="AC65" s="242"/>
    </row>
    <row r="66">
      <c r="A66" s="242"/>
      <c r="B66" s="277">
        <v>7.0</v>
      </c>
      <c r="C66" s="584" t="s">
        <v>3230</v>
      </c>
      <c r="D66" s="588">
        <v>5000.0</v>
      </c>
      <c r="E66" s="588">
        <v>1900.0</v>
      </c>
      <c r="F66" s="588">
        <v>2090.0</v>
      </c>
      <c r="G66" s="588">
        <v>480.0</v>
      </c>
      <c r="H66" s="242"/>
      <c r="I66" s="593" t="s">
        <v>722</v>
      </c>
      <c r="J66" s="452"/>
      <c r="K66" s="569">
        <v>160000.0</v>
      </c>
      <c r="L66" s="316">
        <f t="shared" si="25"/>
        <v>32</v>
      </c>
      <c r="M66" s="13"/>
      <c r="N66" s="13"/>
      <c r="O66" s="13"/>
      <c r="P66" s="13"/>
      <c r="Q66" s="242"/>
      <c r="R66" s="13"/>
      <c r="S66" s="243" t="str">
        <f>VLOOKUP($C66,MASTER!$C:$C,1,0)</f>
        <v>WT-5LH-50</v>
      </c>
      <c r="T66" s="13"/>
      <c r="U66" s="242"/>
      <c r="V66" s="242"/>
      <c r="W66" s="242"/>
      <c r="X66" s="242"/>
      <c r="Y66" s="242"/>
      <c r="Z66" s="242"/>
      <c r="AA66" s="242"/>
      <c r="AB66" s="242"/>
      <c r="AC66" s="242"/>
    </row>
    <row r="67">
      <c r="A67" s="242"/>
      <c r="B67" s="551"/>
      <c r="C67" s="594"/>
      <c r="D67" s="551"/>
      <c r="E67" s="551"/>
      <c r="F67" s="551"/>
      <c r="G67" s="551"/>
      <c r="H67" s="242"/>
      <c r="I67" s="595"/>
      <c r="J67" s="3"/>
      <c r="K67" s="595"/>
      <c r="L67" s="316"/>
      <c r="M67" s="13"/>
      <c r="N67" s="13"/>
      <c r="O67" s="13"/>
      <c r="P67" s="13"/>
      <c r="Q67" s="242"/>
      <c r="R67" s="13"/>
      <c r="S67" s="243"/>
      <c r="T67" s="13"/>
      <c r="U67" s="242"/>
      <c r="V67" s="242"/>
      <c r="W67" s="242"/>
      <c r="X67" s="242"/>
      <c r="Y67" s="242"/>
      <c r="Z67" s="242"/>
      <c r="AA67" s="242"/>
      <c r="AB67" s="242"/>
      <c r="AC67" s="242"/>
    </row>
    <row r="68">
      <c r="A68" s="242"/>
      <c r="B68" s="253">
        <v>1.0</v>
      </c>
      <c r="C68" s="586" t="s">
        <v>3235</v>
      </c>
      <c r="D68" s="253">
        <v>500.0</v>
      </c>
      <c r="E68" s="253">
        <v>850.0</v>
      </c>
      <c r="F68" s="253">
        <v>1000.0</v>
      </c>
      <c r="G68" s="253">
        <v>420.0</v>
      </c>
      <c r="H68" s="242"/>
      <c r="I68" s="593" t="s">
        <v>722</v>
      </c>
      <c r="J68" s="452"/>
      <c r="K68" s="569">
        <v>16000.0</v>
      </c>
      <c r="L68" s="316"/>
      <c r="M68" s="13"/>
      <c r="N68" s="13"/>
      <c r="O68" s="13"/>
      <c r="P68" s="13"/>
      <c r="Q68" s="242"/>
      <c r="R68" s="13"/>
      <c r="S68" s="243" t="str">
        <f>VLOOKUP($C68,MASTER!$C:$C,1,0)</f>
        <v>WT-5LC-05</v>
      </c>
      <c r="T68" s="13"/>
      <c r="U68" s="242"/>
      <c r="V68" s="242"/>
      <c r="W68" s="242"/>
      <c r="X68" s="242"/>
      <c r="Y68" s="242"/>
      <c r="Z68" s="242"/>
      <c r="AA68" s="242"/>
      <c r="AB68" s="242"/>
      <c r="AC68" s="242"/>
    </row>
    <row r="69">
      <c r="A69" s="242"/>
      <c r="B69" s="277">
        <v>2.0</v>
      </c>
      <c r="C69" s="584" t="s">
        <v>3239</v>
      </c>
      <c r="D69" s="579">
        <v>750.0</v>
      </c>
      <c r="E69" s="588">
        <v>1000.0</v>
      </c>
      <c r="F69" s="588">
        <v>1120.0</v>
      </c>
      <c r="G69" s="588">
        <v>420.0</v>
      </c>
      <c r="H69" s="242"/>
      <c r="I69" s="593" t="s">
        <v>722</v>
      </c>
      <c r="J69" s="452"/>
      <c r="K69" s="569">
        <v>24000.0</v>
      </c>
      <c r="L69" s="316"/>
      <c r="M69" s="13"/>
      <c r="N69" s="13"/>
      <c r="O69" s="13"/>
      <c r="P69" s="13"/>
      <c r="Q69" s="242"/>
      <c r="R69" s="13"/>
      <c r="S69" s="243" t="str">
        <f>VLOOKUP($C69,MASTER!$C:$C,1,0)</f>
        <v>WT-5LC-07</v>
      </c>
      <c r="T69" s="13"/>
      <c r="U69" s="242"/>
      <c r="V69" s="242"/>
      <c r="W69" s="242"/>
      <c r="X69" s="242"/>
      <c r="Y69" s="242"/>
      <c r="Z69" s="242"/>
      <c r="AA69" s="242"/>
      <c r="AB69" s="242"/>
      <c r="AC69" s="242"/>
    </row>
    <row r="70">
      <c r="A70" s="242"/>
      <c r="B70" s="277">
        <v>3.0</v>
      </c>
      <c r="C70" s="584" t="s">
        <v>3243</v>
      </c>
      <c r="D70" s="588">
        <v>1000.0</v>
      </c>
      <c r="E70" s="588">
        <v>1090.0</v>
      </c>
      <c r="F70" s="588">
        <v>1280.0</v>
      </c>
      <c r="G70" s="588">
        <v>420.0</v>
      </c>
      <c r="H70" s="242"/>
      <c r="I70" s="593" t="s">
        <v>722</v>
      </c>
      <c r="J70" s="452"/>
      <c r="K70" s="569">
        <v>32000.0</v>
      </c>
      <c r="L70" s="316"/>
      <c r="M70" s="13"/>
      <c r="N70" s="13"/>
      <c r="O70" s="13"/>
      <c r="P70" s="13"/>
      <c r="Q70" s="242"/>
      <c r="R70" s="13"/>
      <c r="S70" s="243" t="str">
        <f>VLOOKUP($C70,MASTER!$C:$C,1,0)</f>
        <v>WT-5LC-10</v>
      </c>
      <c r="T70" s="13"/>
      <c r="U70" s="242"/>
      <c r="V70" s="242"/>
      <c r="W70" s="242"/>
      <c r="X70" s="242"/>
      <c r="Y70" s="242"/>
      <c r="Z70" s="242"/>
      <c r="AA70" s="242"/>
      <c r="AB70" s="242"/>
      <c r="AC70" s="242"/>
    </row>
    <row r="71">
      <c r="A71" s="242"/>
      <c r="B71" s="277">
        <v>4.0</v>
      </c>
      <c r="C71" s="584" t="s">
        <v>3249</v>
      </c>
      <c r="D71" s="588">
        <v>1500.0</v>
      </c>
      <c r="E71" s="588">
        <v>1210.0</v>
      </c>
      <c r="F71" s="588">
        <v>1460.0</v>
      </c>
      <c r="G71" s="588">
        <v>420.0</v>
      </c>
      <c r="H71" s="242"/>
      <c r="I71" s="593" t="s">
        <v>722</v>
      </c>
      <c r="J71" s="452"/>
      <c r="K71" s="569">
        <v>48000.0</v>
      </c>
      <c r="L71" s="316"/>
      <c r="M71" s="13"/>
      <c r="N71" s="13"/>
      <c r="O71" s="13"/>
      <c r="P71" s="13"/>
      <c r="Q71" s="242"/>
      <c r="R71" s="13"/>
      <c r="S71" s="243" t="str">
        <f>VLOOKUP($C71,MASTER!$C:$C,1,0)</f>
        <v>WT-5LC-15</v>
      </c>
      <c r="T71" s="13"/>
      <c r="U71" s="242"/>
      <c r="V71" s="242"/>
      <c r="W71" s="242"/>
      <c r="X71" s="242"/>
      <c r="Y71" s="242"/>
      <c r="Z71" s="242"/>
      <c r="AA71" s="242"/>
      <c r="AB71" s="242"/>
      <c r="AC71" s="242"/>
    </row>
    <row r="72">
      <c r="A72" s="242"/>
      <c r="B72" s="277">
        <v>5.0</v>
      </c>
      <c r="C72" s="584" t="s">
        <v>3252</v>
      </c>
      <c r="D72" s="588">
        <v>2000.0</v>
      </c>
      <c r="E72" s="588">
        <v>1350.0</v>
      </c>
      <c r="F72" s="588">
        <v>1530.0</v>
      </c>
      <c r="G72" s="588">
        <v>420.0</v>
      </c>
      <c r="H72" s="242"/>
      <c r="I72" s="593" t="s">
        <v>722</v>
      </c>
      <c r="J72" s="452"/>
      <c r="K72" s="569">
        <v>64000.0</v>
      </c>
      <c r="L72" s="316"/>
      <c r="M72" s="13"/>
      <c r="N72" s="13"/>
      <c r="O72" s="13"/>
      <c r="P72" s="13"/>
      <c r="Q72" s="242"/>
      <c r="R72" s="13"/>
      <c r="S72" s="243" t="str">
        <f>VLOOKUP($C72,MASTER!$C:$C,1,0)</f>
        <v>WT-5LC-20</v>
      </c>
      <c r="T72" s="13"/>
      <c r="U72" s="242"/>
      <c r="V72" s="242"/>
      <c r="W72" s="242"/>
      <c r="X72" s="242"/>
      <c r="Y72" s="242"/>
      <c r="Z72" s="242"/>
      <c r="AA72" s="242"/>
      <c r="AB72" s="242"/>
      <c r="AC72" s="242"/>
    </row>
    <row r="73">
      <c r="A73" s="242"/>
      <c r="B73" s="277">
        <v>6.0</v>
      </c>
      <c r="C73" s="584" t="s">
        <v>3257</v>
      </c>
      <c r="D73" s="588">
        <v>3000.0</v>
      </c>
      <c r="E73" s="588">
        <v>1580.0</v>
      </c>
      <c r="F73" s="588">
        <v>1880.0</v>
      </c>
      <c r="G73" s="588">
        <v>480.0</v>
      </c>
      <c r="H73" s="242"/>
      <c r="I73" s="593" t="s">
        <v>722</v>
      </c>
      <c r="J73" s="452"/>
      <c r="K73" s="569">
        <v>96000.0</v>
      </c>
      <c r="L73" s="316"/>
      <c r="M73" s="13"/>
      <c r="N73" s="13"/>
      <c r="O73" s="13"/>
      <c r="P73" s="13"/>
      <c r="Q73" s="242"/>
      <c r="R73" s="13"/>
      <c r="S73" s="243" t="str">
        <f>VLOOKUP($C73,MASTER!$C:$C,1,0)</f>
        <v>WT-5LC-30</v>
      </c>
      <c r="T73" s="13"/>
      <c r="U73" s="242"/>
      <c r="V73" s="242"/>
      <c r="W73" s="242"/>
      <c r="X73" s="242"/>
      <c r="Y73" s="242"/>
      <c r="Z73" s="242"/>
      <c r="AA73" s="242"/>
      <c r="AB73" s="242"/>
      <c r="AC73" s="242"/>
    </row>
    <row r="74">
      <c r="A74" s="242"/>
      <c r="B74" s="277">
        <v>7.0</v>
      </c>
      <c r="C74" s="584" t="s">
        <v>3262</v>
      </c>
      <c r="D74" s="588">
        <v>5000.0</v>
      </c>
      <c r="E74" s="588">
        <v>1900.0</v>
      </c>
      <c r="F74" s="588">
        <v>2090.0</v>
      </c>
      <c r="G74" s="588">
        <v>480.0</v>
      </c>
      <c r="H74" s="242"/>
      <c r="I74" s="593" t="s">
        <v>722</v>
      </c>
      <c r="J74" s="452"/>
      <c r="K74" s="569">
        <v>160000.0</v>
      </c>
      <c r="L74" s="316"/>
      <c r="M74" s="13"/>
      <c r="N74" s="13"/>
      <c r="O74" s="13"/>
      <c r="P74" s="13"/>
      <c r="Q74" s="242"/>
      <c r="R74" s="13"/>
      <c r="S74" s="243" t="str">
        <f>VLOOKUP($C74,MASTER!$C:$C,1,0)</f>
        <v>WT-5LC-50</v>
      </c>
      <c r="T74" s="13"/>
      <c r="U74" s="242"/>
      <c r="V74" s="242"/>
      <c r="W74" s="242"/>
      <c r="X74" s="242"/>
      <c r="Y74" s="242"/>
      <c r="Z74" s="242"/>
      <c r="AA74" s="242"/>
      <c r="AB74" s="242"/>
      <c r="AC74" s="242"/>
    </row>
    <row r="75">
      <c r="A75" s="242"/>
      <c r="B75" s="242"/>
      <c r="C75" s="242"/>
      <c r="D75" s="242"/>
      <c r="E75" s="242"/>
      <c r="F75" s="242"/>
      <c r="G75" s="242"/>
      <c r="H75" s="242"/>
      <c r="I75" s="13"/>
      <c r="J75" s="13"/>
      <c r="K75" s="15"/>
      <c r="L75" s="341"/>
      <c r="M75" s="13"/>
      <c r="N75" s="13"/>
      <c r="O75" s="13"/>
      <c r="P75" s="13"/>
      <c r="Q75" s="242"/>
      <c r="R75" s="13"/>
      <c r="S75" s="243"/>
      <c r="T75" s="13"/>
      <c r="U75" s="242"/>
      <c r="V75" s="242"/>
      <c r="W75" s="242"/>
      <c r="X75" s="242"/>
      <c r="Y75" s="242"/>
      <c r="Z75" s="242"/>
      <c r="AA75" s="242"/>
      <c r="AB75" s="242"/>
      <c r="AC75" s="242"/>
    </row>
    <row r="76">
      <c r="A76" s="242"/>
      <c r="B76" s="253">
        <v>1.0</v>
      </c>
      <c r="C76" s="586" t="s">
        <v>3265</v>
      </c>
      <c r="D76" s="253">
        <v>500.0</v>
      </c>
      <c r="E76" s="253">
        <v>850.0</v>
      </c>
      <c r="F76" s="253">
        <v>1000.0</v>
      </c>
      <c r="G76" s="253">
        <v>420.0</v>
      </c>
      <c r="H76" s="242"/>
      <c r="I76" s="593" t="s">
        <v>722</v>
      </c>
      <c r="J76" s="452"/>
      <c r="K76" s="569">
        <v>18000.0</v>
      </c>
      <c r="L76" s="316">
        <f t="shared" ref="L76:L82" si="26">IFERROR(K76/D76,"")</f>
        <v>36</v>
      </c>
      <c r="M76" s="13"/>
      <c r="N76" s="13"/>
      <c r="O76" s="13"/>
      <c r="P76" s="13"/>
      <c r="Q76" s="242"/>
      <c r="R76" s="13"/>
      <c r="S76" s="243" t="str">
        <f>VLOOKUP($C76,MASTER!$C:$C,1,0)</f>
        <v>WT-6LH-05</v>
      </c>
      <c r="T76" s="13"/>
      <c r="U76" s="242"/>
      <c r="V76" s="242"/>
      <c r="W76" s="242"/>
      <c r="X76" s="242"/>
      <c r="Y76" s="242"/>
      <c r="Z76" s="242"/>
      <c r="AA76" s="242"/>
      <c r="AB76" s="242"/>
      <c r="AC76" s="242"/>
    </row>
    <row r="77">
      <c r="A77" s="242"/>
      <c r="B77" s="277">
        <v>2.0</v>
      </c>
      <c r="C77" s="584" t="s">
        <v>3270</v>
      </c>
      <c r="D77" s="579">
        <v>750.0</v>
      </c>
      <c r="E77" s="588">
        <v>1000.0</v>
      </c>
      <c r="F77" s="588">
        <v>1120.0</v>
      </c>
      <c r="G77" s="588">
        <v>420.0</v>
      </c>
      <c r="H77" s="242"/>
      <c r="I77" s="593" t="s">
        <v>722</v>
      </c>
      <c r="J77" s="452"/>
      <c r="K77" s="569">
        <v>27000.0</v>
      </c>
      <c r="L77" s="316">
        <f t="shared" si="26"/>
        <v>36</v>
      </c>
      <c r="M77" s="13"/>
      <c r="N77" s="13"/>
      <c r="O77" s="13"/>
      <c r="P77" s="13"/>
      <c r="Q77" s="242"/>
      <c r="R77" s="13"/>
      <c r="S77" s="243" t="str">
        <f>VLOOKUP($C77,MASTER!$C:$C,1,0)</f>
        <v>WT-6LH-07</v>
      </c>
      <c r="T77" s="13"/>
      <c r="U77" s="242"/>
      <c r="V77" s="242"/>
      <c r="W77" s="242"/>
      <c r="X77" s="242"/>
      <c r="Y77" s="242"/>
      <c r="Z77" s="242"/>
      <c r="AA77" s="242"/>
      <c r="AB77" s="242"/>
      <c r="AC77" s="242"/>
    </row>
    <row r="78">
      <c r="A78" s="242"/>
      <c r="B78" s="277">
        <v>3.0</v>
      </c>
      <c r="C78" s="584" t="s">
        <v>3273</v>
      </c>
      <c r="D78" s="588">
        <v>1000.0</v>
      </c>
      <c r="E78" s="588">
        <v>1090.0</v>
      </c>
      <c r="F78" s="588">
        <v>1280.0</v>
      </c>
      <c r="G78" s="588">
        <v>420.0</v>
      </c>
      <c r="H78" s="242"/>
      <c r="I78" s="593" t="s">
        <v>722</v>
      </c>
      <c r="J78" s="452"/>
      <c r="K78" s="569">
        <v>36000.0</v>
      </c>
      <c r="L78" s="316">
        <f t="shared" si="26"/>
        <v>36</v>
      </c>
      <c r="M78" s="13"/>
      <c r="N78" s="13"/>
      <c r="O78" s="13"/>
      <c r="P78" s="13"/>
      <c r="Q78" s="242"/>
      <c r="R78" s="13"/>
      <c r="S78" s="243" t="str">
        <f>VLOOKUP($C78,MASTER!$C:$C,1,0)</f>
        <v>WT-6LH-10</v>
      </c>
      <c r="T78" s="13"/>
      <c r="U78" s="242"/>
      <c r="V78" s="242"/>
      <c r="W78" s="242"/>
      <c r="X78" s="242"/>
      <c r="Y78" s="242"/>
      <c r="Z78" s="242"/>
      <c r="AA78" s="242"/>
      <c r="AB78" s="242"/>
      <c r="AC78" s="242"/>
    </row>
    <row r="79">
      <c r="A79" s="242"/>
      <c r="B79" s="277">
        <v>4.0</v>
      </c>
      <c r="C79" s="584" t="s">
        <v>3278</v>
      </c>
      <c r="D79" s="588">
        <v>1500.0</v>
      </c>
      <c r="E79" s="588">
        <v>1210.0</v>
      </c>
      <c r="F79" s="588">
        <v>1460.0</v>
      </c>
      <c r="G79" s="588">
        <v>420.0</v>
      </c>
      <c r="H79" s="242"/>
      <c r="I79" s="593" t="s">
        <v>722</v>
      </c>
      <c r="J79" s="452"/>
      <c r="K79" s="569">
        <v>54000.0</v>
      </c>
      <c r="L79" s="316">
        <f t="shared" si="26"/>
        <v>36</v>
      </c>
      <c r="M79" s="13"/>
      <c r="N79" s="13"/>
      <c r="O79" s="13"/>
      <c r="P79" s="13"/>
      <c r="Q79" s="242"/>
      <c r="R79" s="13"/>
      <c r="S79" s="243" t="str">
        <f>VLOOKUP($C79,MASTER!$C:$C,1,0)</f>
        <v>WT-6LH-15</v>
      </c>
      <c r="T79" s="13"/>
      <c r="U79" s="242"/>
      <c r="V79" s="242"/>
      <c r="W79" s="242"/>
      <c r="X79" s="242"/>
      <c r="Y79" s="242"/>
      <c r="Z79" s="242"/>
      <c r="AA79" s="242"/>
      <c r="AB79" s="242"/>
      <c r="AC79" s="242"/>
    </row>
    <row r="80">
      <c r="A80" s="242"/>
      <c r="B80" s="277">
        <v>5.0</v>
      </c>
      <c r="C80" s="584" t="s">
        <v>3281</v>
      </c>
      <c r="D80" s="588">
        <v>2000.0</v>
      </c>
      <c r="E80" s="588">
        <v>1350.0</v>
      </c>
      <c r="F80" s="588">
        <v>1530.0</v>
      </c>
      <c r="G80" s="588">
        <v>420.0</v>
      </c>
      <c r="H80" s="242"/>
      <c r="I80" s="593" t="s">
        <v>722</v>
      </c>
      <c r="J80" s="452"/>
      <c r="K80" s="569">
        <v>72000.0</v>
      </c>
      <c r="L80" s="316">
        <f t="shared" si="26"/>
        <v>36</v>
      </c>
      <c r="M80" s="13"/>
      <c r="N80" s="13"/>
      <c r="O80" s="13"/>
      <c r="P80" s="13"/>
      <c r="Q80" s="242"/>
      <c r="R80" s="13"/>
      <c r="S80" s="243" t="str">
        <f>VLOOKUP($C80,MASTER!$C:$C,1,0)</f>
        <v>WT-6LH-20</v>
      </c>
      <c r="T80" s="13"/>
      <c r="U80" s="242"/>
      <c r="V80" s="242"/>
      <c r="W80" s="242"/>
      <c r="X80" s="242"/>
      <c r="Y80" s="242"/>
      <c r="Z80" s="242"/>
      <c r="AA80" s="242"/>
      <c r="AB80" s="242"/>
      <c r="AC80" s="242"/>
    </row>
    <row r="81">
      <c r="A81" s="242"/>
      <c r="B81" s="277">
        <v>6.0</v>
      </c>
      <c r="C81" s="584" t="s">
        <v>3282</v>
      </c>
      <c r="D81" s="588">
        <v>3000.0</v>
      </c>
      <c r="E81" s="588">
        <v>1580.0</v>
      </c>
      <c r="F81" s="588">
        <v>1880.0</v>
      </c>
      <c r="G81" s="588">
        <v>480.0</v>
      </c>
      <c r="H81" s="242"/>
      <c r="I81" s="593" t="s">
        <v>722</v>
      </c>
      <c r="J81" s="452"/>
      <c r="K81" s="569">
        <v>108000.0</v>
      </c>
      <c r="L81" s="316">
        <f t="shared" si="26"/>
        <v>36</v>
      </c>
      <c r="M81" s="13"/>
      <c r="N81" s="13"/>
      <c r="O81" s="13"/>
      <c r="P81" s="13"/>
      <c r="Q81" s="242"/>
      <c r="R81" s="13"/>
      <c r="S81" s="243" t="str">
        <f>VLOOKUP($C81,MASTER!$C:$C,1,0)</f>
        <v>WT-6LH-30</v>
      </c>
      <c r="T81" s="13"/>
      <c r="U81" s="242"/>
      <c r="V81" s="242"/>
      <c r="W81" s="242"/>
      <c r="X81" s="242"/>
      <c r="Y81" s="242"/>
      <c r="Z81" s="242"/>
      <c r="AA81" s="242"/>
      <c r="AB81" s="242"/>
      <c r="AC81" s="242"/>
    </row>
    <row r="82">
      <c r="A82" s="242"/>
      <c r="B82" s="277">
        <v>7.0</v>
      </c>
      <c r="C82" s="584" t="s">
        <v>3283</v>
      </c>
      <c r="D82" s="588">
        <v>5000.0</v>
      </c>
      <c r="E82" s="588">
        <v>1900.0</v>
      </c>
      <c r="F82" s="588">
        <v>2090.0</v>
      </c>
      <c r="G82" s="588">
        <v>480.0</v>
      </c>
      <c r="H82" s="242"/>
      <c r="I82" s="593" t="s">
        <v>722</v>
      </c>
      <c r="J82" s="452"/>
      <c r="K82" s="569">
        <v>180000.0</v>
      </c>
      <c r="L82" s="316">
        <f t="shared" si="26"/>
        <v>36</v>
      </c>
      <c r="M82" s="13"/>
      <c r="N82" s="13"/>
      <c r="O82" s="13"/>
      <c r="P82" s="13"/>
      <c r="Q82" s="242"/>
      <c r="R82" s="13"/>
      <c r="S82" s="243" t="str">
        <f>VLOOKUP($C82,MASTER!$C:$C,1,0)</f>
        <v>WT-6LH-50</v>
      </c>
      <c r="T82" s="13"/>
      <c r="U82" s="242"/>
      <c r="V82" s="242"/>
      <c r="W82" s="242"/>
      <c r="X82" s="242"/>
      <c r="Y82" s="242"/>
      <c r="Z82" s="242"/>
      <c r="AA82" s="242"/>
      <c r="AB82" s="242"/>
      <c r="AC82" s="242"/>
    </row>
    <row r="83">
      <c r="A83" s="242"/>
      <c r="B83" s="242"/>
      <c r="C83" s="242"/>
      <c r="D83" s="242"/>
      <c r="E83" s="242"/>
      <c r="F83" s="242"/>
      <c r="G83" s="242"/>
      <c r="H83" s="242"/>
      <c r="I83" s="242"/>
      <c r="J83" s="13"/>
      <c r="K83" s="15"/>
      <c r="L83" s="341"/>
      <c r="M83" s="13"/>
      <c r="N83" s="13"/>
      <c r="O83" s="13"/>
      <c r="P83" s="13"/>
      <c r="Q83" s="242"/>
      <c r="R83" s="13"/>
      <c r="S83" s="243"/>
      <c r="T83" s="13"/>
      <c r="U83" s="242"/>
      <c r="V83" s="242"/>
      <c r="W83" s="242"/>
      <c r="X83" s="242"/>
      <c r="Y83" s="242"/>
      <c r="Z83" s="242"/>
      <c r="AA83" s="242"/>
      <c r="AB83" s="242"/>
      <c r="AC83" s="242"/>
    </row>
    <row r="84">
      <c r="A84" s="242"/>
      <c r="B84" s="253">
        <v>1.0</v>
      </c>
      <c r="C84" s="586" t="s">
        <v>3284</v>
      </c>
      <c r="D84" s="253">
        <v>500.0</v>
      </c>
      <c r="E84" s="253">
        <v>850.0</v>
      </c>
      <c r="F84" s="253">
        <v>1000.0</v>
      </c>
      <c r="G84" s="253">
        <v>420.0</v>
      </c>
      <c r="H84" s="242"/>
      <c r="I84" s="593" t="s">
        <v>722</v>
      </c>
      <c r="J84" s="582"/>
      <c r="K84" s="569">
        <v>18000.0</v>
      </c>
      <c r="L84" s="341"/>
      <c r="M84" s="13"/>
      <c r="N84" s="13"/>
      <c r="O84" s="13"/>
      <c r="P84" s="13"/>
      <c r="Q84" s="242"/>
      <c r="R84" s="13"/>
      <c r="S84" s="243" t="str">
        <f>VLOOKUP($C84,MASTER!$C:$C,1,0)</f>
        <v>WT-6LC-05</v>
      </c>
      <c r="T84" s="13"/>
      <c r="U84" s="242"/>
      <c r="V84" s="242"/>
      <c r="W84" s="242"/>
      <c r="X84" s="242"/>
      <c r="Y84" s="242"/>
      <c r="Z84" s="242"/>
      <c r="AA84" s="242"/>
      <c r="AB84" s="242"/>
      <c r="AC84" s="242"/>
    </row>
    <row r="85">
      <c r="A85" s="242"/>
      <c r="B85" s="277">
        <v>2.0</v>
      </c>
      <c r="C85" s="584" t="s">
        <v>3285</v>
      </c>
      <c r="D85" s="579">
        <v>750.0</v>
      </c>
      <c r="E85" s="588">
        <v>1000.0</v>
      </c>
      <c r="F85" s="588">
        <v>1120.0</v>
      </c>
      <c r="G85" s="588">
        <v>420.0</v>
      </c>
      <c r="H85" s="242"/>
      <c r="I85" s="593" t="s">
        <v>722</v>
      </c>
      <c r="J85" s="582"/>
      <c r="K85" s="569">
        <v>27000.0</v>
      </c>
      <c r="L85" s="341"/>
      <c r="M85" s="13"/>
      <c r="N85" s="13"/>
      <c r="O85" s="13"/>
      <c r="P85" s="13"/>
      <c r="Q85" s="242"/>
      <c r="R85" s="13"/>
      <c r="S85" s="243" t="str">
        <f>VLOOKUP($C85,MASTER!$C:$C,1,0)</f>
        <v>WT-6LC-07</v>
      </c>
      <c r="T85" s="13"/>
      <c r="U85" s="242"/>
      <c r="V85" s="242"/>
      <c r="W85" s="242"/>
      <c r="X85" s="242"/>
      <c r="Y85" s="242"/>
      <c r="Z85" s="242"/>
      <c r="AA85" s="242"/>
      <c r="AB85" s="242"/>
      <c r="AC85" s="242"/>
    </row>
    <row r="86">
      <c r="A86" s="242"/>
      <c r="B86" s="277">
        <v>3.0</v>
      </c>
      <c r="C86" s="584" t="s">
        <v>3286</v>
      </c>
      <c r="D86" s="588">
        <v>1000.0</v>
      </c>
      <c r="E86" s="588">
        <v>1090.0</v>
      </c>
      <c r="F86" s="588">
        <v>1280.0</v>
      </c>
      <c r="G86" s="588">
        <v>420.0</v>
      </c>
      <c r="H86" s="242"/>
      <c r="I86" s="593" t="s">
        <v>722</v>
      </c>
      <c r="J86" s="582"/>
      <c r="K86" s="569">
        <v>36000.0</v>
      </c>
      <c r="L86" s="341"/>
      <c r="M86" s="13"/>
      <c r="N86" s="13"/>
      <c r="O86" s="13"/>
      <c r="P86" s="13"/>
      <c r="Q86" s="242"/>
      <c r="R86" s="13"/>
      <c r="S86" s="243" t="str">
        <f>VLOOKUP($C86,MASTER!$C:$C,1,0)</f>
        <v>WT-6LC-10</v>
      </c>
      <c r="T86" s="13"/>
      <c r="U86" s="242"/>
      <c r="V86" s="242"/>
      <c r="W86" s="242"/>
      <c r="X86" s="242"/>
      <c r="Y86" s="242"/>
      <c r="Z86" s="242"/>
      <c r="AA86" s="242"/>
      <c r="AB86" s="242"/>
      <c r="AC86" s="242"/>
    </row>
    <row r="87">
      <c r="A87" s="242"/>
      <c r="B87" s="277">
        <v>4.0</v>
      </c>
      <c r="C87" s="584" t="s">
        <v>3293</v>
      </c>
      <c r="D87" s="588">
        <v>1500.0</v>
      </c>
      <c r="E87" s="588">
        <v>1210.0</v>
      </c>
      <c r="F87" s="588">
        <v>1460.0</v>
      </c>
      <c r="G87" s="588">
        <v>420.0</v>
      </c>
      <c r="H87" s="242"/>
      <c r="I87" s="593" t="s">
        <v>722</v>
      </c>
      <c r="J87" s="582"/>
      <c r="K87" s="569">
        <v>54000.0</v>
      </c>
      <c r="L87" s="341"/>
      <c r="M87" s="13"/>
      <c r="N87" s="13"/>
      <c r="O87" s="13"/>
      <c r="P87" s="13"/>
      <c r="Q87" s="242"/>
      <c r="R87" s="13"/>
      <c r="S87" s="243" t="str">
        <f>VLOOKUP($C87,MASTER!$C:$C,1,0)</f>
        <v>WT-6LC-15</v>
      </c>
      <c r="T87" s="13"/>
      <c r="U87" s="242"/>
      <c r="V87" s="242"/>
      <c r="W87" s="242"/>
      <c r="X87" s="242"/>
      <c r="Y87" s="242"/>
      <c r="Z87" s="242"/>
      <c r="AA87" s="242"/>
      <c r="AB87" s="242"/>
      <c r="AC87" s="242"/>
    </row>
    <row r="88">
      <c r="A88" s="242"/>
      <c r="B88" s="277">
        <v>5.0</v>
      </c>
      <c r="C88" s="584" t="s">
        <v>3297</v>
      </c>
      <c r="D88" s="588">
        <v>2000.0</v>
      </c>
      <c r="E88" s="588">
        <v>1350.0</v>
      </c>
      <c r="F88" s="588">
        <v>1530.0</v>
      </c>
      <c r="G88" s="588">
        <v>420.0</v>
      </c>
      <c r="H88" s="242"/>
      <c r="I88" s="593" t="s">
        <v>722</v>
      </c>
      <c r="J88" s="582"/>
      <c r="K88" s="569">
        <v>72000.0</v>
      </c>
      <c r="L88" s="341"/>
      <c r="M88" s="13"/>
      <c r="N88" s="13"/>
      <c r="O88" s="13"/>
      <c r="P88" s="13"/>
      <c r="Q88" s="242"/>
      <c r="R88" s="13"/>
      <c r="S88" s="243" t="str">
        <f>VLOOKUP($C88,MASTER!$C:$C,1,0)</f>
        <v>WT-6LC-20</v>
      </c>
      <c r="T88" s="13"/>
      <c r="U88" s="242"/>
      <c r="V88" s="242"/>
      <c r="W88" s="242"/>
      <c r="X88" s="242"/>
      <c r="Y88" s="242"/>
      <c r="Z88" s="242"/>
      <c r="AA88" s="242"/>
      <c r="AB88" s="242"/>
      <c r="AC88" s="242"/>
    </row>
    <row r="89">
      <c r="A89" s="242"/>
      <c r="B89" s="277">
        <v>6.0</v>
      </c>
      <c r="C89" s="584" t="s">
        <v>3298</v>
      </c>
      <c r="D89" s="588">
        <v>3000.0</v>
      </c>
      <c r="E89" s="588">
        <v>1580.0</v>
      </c>
      <c r="F89" s="588">
        <v>1880.0</v>
      </c>
      <c r="G89" s="588">
        <v>480.0</v>
      </c>
      <c r="H89" s="242"/>
      <c r="I89" s="593" t="s">
        <v>722</v>
      </c>
      <c r="J89" s="582"/>
      <c r="K89" s="569">
        <v>108000.0</v>
      </c>
      <c r="L89" s="341"/>
      <c r="M89" s="13"/>
      <c r="N89" s="13"/>
      <c r="O89" s="13"/>
      <c r="P89" s="13"/>
      <c r="Q89" s="242"/>
      <c r="R89" s="13"/>
      <c r="S89" s="243" t="str">
        <f>VLOOKUP($C89,MASTER!$C:$C,1,0)</f>
        <v>WT-6LC-30</v>
      </c>
      <c r="T89" s="13"/>
      <c r="U89" s="242"/>
      <c r="V89" s="242"/>
      <c r="W89" s="242"/>
      <c r="X89" s="242"/>
      <c r="Y89" s="242"/>
      <c r="Z89" s="242"/>
      <c r="AA89" s="242"/>
      <c r="AB89" s="242"/>
      <c r="AC89" s="242"/>
    </row>
    <row r="90">
      <c r="A90" s="242"/>
      <c r="B90" s="277">
        <v>7.0</v>
      </c>
      <c r="C90" s="584" t="s">
        <v>3299</v>
      </c>
      <c r="D90" s="588">
        <v>5000.0</v>
      </c>
      <c r="E90" s="588">
        <v>1900.0</v>
      </c>
      <c r="F90" s="588">
        <v>2090.0</v>
      </c>
      <c r="G90" s="588">
        <v>480.0</v>
      </c>
      <c r="H90" s="242"/>
      <c r="I90" s="593" t="s">
        <v>722</v>
      </c>
      <c r="J90" s="582"/>
      <c r="K90" s="569">
        <v>180000.0</v>
      </c>
      <c r="L90" s="341"/>
      <c r="M90" s="13"/>
      <c r="N90" s="13"/>
      <c r="O90" s="13"/>
      <c r="P90" s="13"/>
      <c r="Q90" s="242"/>
      <c r="R90" s="13"/>
      <c r="S90" s="243" t="str">
        <f>VLOOKUP($C90,MASTER!$C:$C,1,0)</f>
        <v>WT-6LC-50</v>
      </c>
      <c r="T90" s="13"/>
      <c r="U90" s="242"/>
      <c r="V90" s="242"/>
      <c r="W90" s="242"/>
      <c r="X90" s="242"/>
      <c r="Y90" s="242"/>
      <c r="Z90" s="242"/>
      <c r="AA90" s="242"/>
      <c r="AB90" s="242"/>
      <c r="AC90" s="242"/>
    </row>
    <row r="91">
      <c r="A91" s="242"/>
      <c r="B91" s="242"/>
      <c r="C91" s="242"/>
      <c r="D91" s="242"/>
      <c r="E91" s="242"/>
      <c r="F91" s="242"/>
      <c r="G91" s="242"/>
      <c r="H91" s="242"/>
      <c r="I91" s="242"/>
      <c r="J91" s="13"/>
      <c r="K91" s="15"/>
      <c r="L91" s="341"/>
      <c r="M91" s="13"/>
      <c r="N91" s="13"/>
      <c r="O91" s="13"/>
      <c r="P91" s="13"/>
      <c r="Q91" s="242"/>
      <c r="R91" s="13"/>
      <c r="S91" s="242"/>
      <c r="T91" s="13"/>
      <c r="U91" s="242"/>
      <c r="V91" s="242"/>
      <c r="W91" s="242"/>
      <c r="X91" s="242"/>
      <c r="Y91" s="242"/>
      <c r="Z91" s="242"/>
      <c r="AA91" s="242"/>
      <c r="AB91" s="242"/>
      <c r="AC91" s="242"/>
    </row>
    <row r="92">
      <c r="A92" s="242"/>
      <c r="B92" s="242"/>
      <c r="C92" s="242"/>
      <c r="D92" s="242"/>
      <c r="E92" s="242"/>
      <c r="F92" s="242"/>
      <c r="G92" s="242"/>
      <c r="H92" s="242"/>
      <c r="I92" s="242"/>
      <c r="J92" s="13"/>
      <c r="K92" s="15"/>
      <c r="L92" s="341"/>
      <c r="M92" s="13"/>
      <c r="N92" s="13"/>
      <c r="O92" s="13"/>
      <c r="P92" s="13"/>
      <c r="Q92" s="242"/>
      <c r="R92" s="13"/>
      <c r="S92" s="242"/>
      <c r="T92" s="13"/>
      <c r="U92" s="242"/>
      <c r="V92" s="242"/>
      <c r="W92" s="242"/>
      <c r="X92" s="242"/>
      <c r="Y92" s="242"/>
      <c r="Z92" s="242"/>
      <c r="AA92" s="242"/>
      <c r="AB92" s="242"/>
      <c r="AC92" s="242"/>
    </row>
    <row r="93">
      <c r="A93" s="242"/>
      <c r="B93" s="242"/>
      <c r="C93" s="242"/>
      <c r="D93" s="242"/>
      <c r="E93" s="242"/>
      <c r="F93" s="242"/>
      <c r="G93" s="242"/>
      <c r="H93" s="242"/>
      <c r="I93" s="242"/>
      <c r="J93" s="13"/>
      <c r="K93" s="15"/>
      <c r="L93" s="341"/>
      <c r="M93" s="13"/>
      <c r="N93" s="13"/>
      <c r="O93" s="13"/>
      <c r="P93" s="13"/>
      <c r="Q93" s="242"/>
      <c r="R93" s="13"/>
      <c r="S93" s="242"/>
      <c r="T93" s="13"/>
      <c r="U93" s="242"/>
      <c r="V93" s="242"/>
      <c r="W93" s="242"/>
      <c r="X93" s="242"/>
      <c r="Y93" s="242"/>
      <c r="Z93" s="242"/>
      <c r="AA93" s="242"/>
      <c r="AB93" s="242"/>
      <c r="AC93" s="242"/>
    </row>
    <row r="94">
      <c r="A94" s="242"/>
      <c r="B94" s="242"/>
      <c r="C94" s="242"/>
      <c r="D94" s="242"/>
      <c r="E94" s="242"/>
      <c r="F94" s="242"/>
      <c r="G94" s="242"/>
      <c r="H94" s="242"/>
      <c r="I94" s="242"/>
      <c r="J94" s="13"/>
      <c r="K94" s="15"/>
      <c r="L94" s="341"/>
      <c r="M94" s="13"/>
      <c r="N94" s="13"/>
      <c r="O94" s="13"/>
      <c r="P94" s="13"/>
      <c r="Q94" s="242"/>
      <c r="R94" s="13"/>
      <c r="S94" s="242"/>
      <c r="T94" s="13"/>
      <c r="U94" s="242"/>
      <c r="V94" s="242"/>
      <c r="W94" s="242"/>
      <c r="X94" s="242"/>
      <c r="Y94" s="242"/>
      <c r="Z94" s="242"/>
      <c r="AA94" s="242"/>
      <c r="AB94" s="242"/>
      <c r="AC94" s="242"/>
    </row>
    <row r="95">
      <c r="A95" s="242"/>
      <c r="B95" s="242"/>
      <c r="C95" s="242"/>
      <c r="D95" s="242"/>
      <c r="E95" s="242"/>
      <c r="F95" s="242"/>
      <c r="G95" s="242"/>
      <c r="H95" s="242"/>
      <c r="I95" s="242"/>
      <c r="J95" s="13"/>
      <c r="K95" s="15"/>
      <c r="L95" s="341"/>
      <c r="M95" s="13"/>
      <c r="N95" s="13"/>
      <c r="O95" s="13"/>
      <c r="P95" s="13"/>
      <c r="Q95" s="242"/>
      <c r="R95" s="13"/>
      <c r="S95" s="242"/>
      <c r="T95" s="13"/>
      <c r="U95" s="242"/>
      <c r="V95" s="242"/>
      <c r="W95" s="242"/>
      <c r="X95" s="242"/>
      <c r="Y95" s="242"/>
      <c r="Z95" s="242"/>
      <c r="AA95" s="242"/>
      <c r="AB95" s="242"/>
      <c r="AC95" s="242"/>
    </row>
    <row r="96">
      <c r="A96" s="242"/>
      <c r="B96" s="242"/>
      <c r="C96" s="242"/>
      <c r="D96" s="242"/>
      <c r="E96" s="242"/>
      <c r="F96" s="242"/>
      <c r="G96" s="242"/>
      <c r="H96" s="242"/>
      <c r="I96" s="242"/>
      <c r="J96" s="13"/>
      <c r="K96" s="15"/>
      <c r="L96" s="341"/>
      <c r="M96" s="13"/>
      <c r="N96" s="13"/>
      <c r="O96" s="13"/>
      <c r="P96" s="13"/>
      <c r="Q96" s="242"/>
      <c r="R96" s="13"/>
      <c r="S96" s="242"/>
      <c r="T96" s="13"/>
      <c r="U96" s="242"/>
      <c r="V96" s="242"/>
      <c r="W96" s="242"/>
      <c r="X96" s="242"/>
      <c r="Y96" s="242"/>
      <c r="Z96" s="242"/>
      <c r="AA96" s="242"/>
      <c r="AB96" s="242"/>
      <c r="AC96" s="242"/>
    </row>
    <row r="97">
      <c r="A97" s="242"/>
      <c r="B97" s="242"/>
      <c r="C97" s="242"/>
      <c r="D97" s="242"/>
      <c r="E97" s="242"/>
      <c r="F97" s="242"/>
      <c r="G97" s="242"/>
      <c r="H97" s="242"/>
      <c r="I97" s="242"/>
      <c r="J97" s="13"/>
      <c r="K97" s="15"/>
      <c r="L97" s="341"/>
      <c r="M97" s="13"/>
      <c r="N97" s="13"/>
      <c r="O97" s="13"/>
      <c r="P97" s="13"/>
      <c r="Q97" s="242"/>
      <c r="R97" s="13"/>
      <c r="S97" s="242"/>
      <c r="T97" s="13"/>
      <c r="U97" s="242"/>
      <c r="V97" s="242"/>
      <c r="W97" s="242"/>
      <c r="X97" s="242"/>
      <c r="Y97" s="242"/>
      <c r="Z97" s="242"/>
      <c r="AA97" s="242"/>
      <c r="AB97" s="242"/>
      <c r="AC97" s="242"/>
    </row>
    <row r="98">
      <c r="A98" s="242"/>
      <c r="B98" s="242"/>
      <c r="C98" s="242"/>
      <c r="D98" s="242"/>
      <c r="E98" s="242"/>
      <c r="F98" s="242"/>
      <c r="G98" s="242"/>
      <c r="H98" s="242"/>
      <c r="I98" s="242"/>
      <c r="J98" s="13"/>
      <c r="K98" s="15"/>
      <c r="L98" s="341"/>
      <c r="M98" s="13"/>
      <c r="N98" s="13"/>
      <c r="O98" s="13"/>
      <c r="P98" s="13"/>
      <c r="Q98" s="242"/>
      <c r="R98" s="13"/>
      <c r="S98" s="242"/>
      <c r="T98" s="13"/>
      <c r="U98" s="242"/>
      <c r="V98" s="242"/>
      <c r="W98" s="242"/>
      <c r="X98" s="242"/>
      <c r="Y98" s="242"/>
      <c r="Z98" s="242"/>
      <c r="AA98" s="242"/>
      <c r="AB98" s="242"/>
      <c r="AC98" s="242"/>
    </row>
    <row r="99">
      <c r="A99" s="242"/>
      <c r="B99" s="242"/>
      <c r="C99" s="242"/>
      <c r="D99" s="242"/>
      <c r="E99" s="242"/>
      <c r="F99" s="242"/>
      <c r="G99" s="242"/>
      <c r="H99" s="242"/>
      <c r="I99" s="242"/>
      <c r="J99" s="13"/>
      <c r="K99" s="15"/>
      <c r="L99" s="341"/>
      <c r="M99" s="13"/>
      <c r="N99" s="13"/>
      <c r="O99" s="13"/>
      <c r="P99" s="13"/>
      <c r="Q99" s="242"/>
      <c r="R99" s="13"/>
      <c r="S99" s="242"/>
      <c r="T99" s="13"/>
      <c r="U99" s="242"/>
      <c r="V99" s="242"/>
      <c r="W99" s="242"/>
      <c r="X99" s="242"/>
      <c r="Y99" s="242"/>
      <c r="Z99" s="242"/>
      <c r="AA99" s="242"/>
      <c r="AB99" s="242"/>
      <c r="AC99" s="242"/>
    </row>
    <row r="100">
      <c r="A100" s="242"/>
      <c r="B100" s="242"/>
      <c r="C100" s="242"/>
      <c r="D100" s="242"/>
      <c r="E100" s="242"/>
      <c r="F100" s="242"/>
      <c r="G100" s="242"/>
      <c r="H100" s="242"/>
      <c r="I100" s="242"/>
      <c r="J100" s="13"/>
      <c r="K100" s="15"/>
      <c r="L100" s="341"/>
      <c r="M100" s="13"/>
      <c r="N100" s="13"/>
      <c r="O100" s="13"/>
      <c r="P100" s="13"/>
      <c r="Q100" s="242"/>
      <c r="R100" s="13"/>
      <c r="S100" s="242"/>
      <c r="T100" s="13"/>
      <c r="U100" s="242"/>
      <c r="V100" s="242"/>
      <c r="W100" s="242"/>
      <c r="X100" s="242"/>
      <c r="Y100" s="242"/>
      <c r="Z100" s="242"/>
      <c r="AA100" s="242"/>
      <c r="AB100" s="242"/>
      <c r="AC100" s="242"/>
    </row>
    <row r="101">
      <c r="A101" s="242"/>
      <c r="B101" s="242"/>
      <c r="C101" s="242"/>
      <c r="D101" s="242"/>
      <c r="E101" s="242"/>
      <c r="F101" s="242"/>
      <c r="G101" s="242"/>
      <c r="H101" s="242"/>
      <c r="I101" s="242"/>
      <c r="J101" s="13"/>
      <c r="K101" s="15"/>
      <c r="L101" s="341"/>
      <c r="M101" s="13"/>
      <c r="N101" s="13"/>
      <c r="O101" s="13"/>
      <c r="P101" s="13"/>
      <c r="Q101" s="242"/>
      <c r="R101" s="13"/>
      <c r="S101" s="242"/>
      <c r="T101" s="13"/>
      <c r="U101" s="242"/>
      <c r="V101" s="242"/>
      <c r="W101" s="242"/>
      <c r="X101" s="242"/>
      <c r="Y101" s="242"/>
      <c r="Z101" s="242"/>
      <c r="AA101" s="242"/>
      <c r="AB101" s="242"/>
      <c r="AC101" s="242"/>
    </row>
    <row r="102">
      <c r="A102" s="242"/>
      <c r="B102" s="242"/>
      <c r="C102" s="242"/>
      <c r="D102" s="242"/>
      <c r="E102" s="242"/>
      <c r="F102" s="242"/>
      <c r="G102" s="242"/>
      <c r="H102" s="242"/>
      <c r="I102" s="242"/>
      <c r="J102" s="13"/>
      <c r="K102" s="15"/>
      <c r="L102" s="341"/>
      <c r="M102" s="13"/>
      <c r="N102" s="13"/>
      <c r="O102" s="13"/>
      <c r="P102" s="13"/>
      <c r="Q102" s="242"/>
      <c r="R102" s="13"/>
      <c r="S102" s="242"/>
      <c r="T102" s="13"/>
      <c r="U102" s="242"/>
      <c r="V102" s="242"/>
      <c r="W102" s="242"/>
      <c r="X102" s="242"/>
      <c r="Y102" s="242"/>
      <c r="Z102" s="242"/>
      <c r="AA102" s="242"/>
      <c r="AB102" s="242"/>
      <c r="AC102" s="242"/>
    </row>
    <row r="103">
      <c r="A103" s="242"/>
      <c r="B103" s="242"/>
      <c r="C103" s="242"/>
      <c r="D103" s="242"/>
      <c r="E103" s="242"/>
      <c r="F103" s="242"/>
      <c r="G103" s="242"/>
      <c r="H103" s="242"/>
      <c r="I103" s="242"/>
      <c r="J103" s="13"/>
      <c r="K103" s="15"/>
      <c r="L103" s="341"/>
      <c r="M103" s="13"/>
      <c r="N103" s="13"/>
      <c r="O103" s="13"/>
      <c r="P103" s="13"/>
      <c r="Q103" s="242"/>
      <c r="R103" s="13"/>
      <c r="S103" s="242"/>
      <c r="T103" s="13"/>
      <c r="U103" s="242"/>
      <c r="V103" s="242"/>
      <c r="W103" s="242"/>
      <c r="X103" s="242"/>
      <c r="Y103" s="242"/>
      <c r="Z103" s="242"/>
      <c r="AA103" s="242"/>
      <c r="AB103" s="242"/>
      <c r="AC103" s="242"/>
    </row>
    <row r="104">
      <c r="A104" s="242"/>
      <c r="B104" s="242"/>
      <c r="C104" s="242"/>
      <c r="D104" s="242"/>
      <c r="E104" s="242"/>
      <c r="F104" s="242"/>
      <c r="G104" s="242"/>
      <c r="H104" s="242"/>
      <c r="I104" s="242"/>
      <c r="J104" s="13"/>
      <c r="K104" s="15"/>
      <c r="L104" s="341"/>
      <c r="M104" s="13"/>
      <c r="N104" s="13"/>
      <c r="O104" s="13"/>
      <c r="P104" s="13"/>
      <c r="Q104" s="242"/>
      <c r="R104" s="13"/>
      <c r="S104" s="242"/>
      <c r="T104" s="13"/>
      <c r="U104" s="242"/>
      <c r="V104" s="242"/>
      <c r="W104" s="242"/>
      <c r="X104" s="242"/>
      <c r="Y104" s="242"/>
      <c r="Z104" s="242"/>
      <c r="AA104" s="242"/>
      <c r="AB104" s="242"/>
      <c r="AC104" s="242"/>
    </row>
    <row r="105">
      <c r="A105" s="242"/>
      <c r="B105" s="242"/>
      <c r="C105" s="242"/>
      <c r="D105" s="242"/>
      <c r="E105" s="242"/>
      <c r="F105" s="242"/>
      <c r="G105" s="242"/>
      <c r="H105" s="242"/>
      <c r="I105" s="242"/>
      <c r="J105" s="13"/>
      <c r="K105" s="15"/>
      <c r="L105" s="341"/>
      <c r="M105" s="13"/>
      <c r="N105" s="13"/>
      <c r="O105" s="13"/>
      <c r="P105" s="13"/>
      <c r="Q105" s="242"/>
      <c r="R105" s="13"/>
      <c r="S105" s="242"/>
      <c r="T105" s="13"/>
      <c r="U105" s="242"/>
      <c r="V105" s="242"/>
      <c r="W105" s="242"/>
      <c r="X105" s="242"/>
      <c r="Y105" s="242"/>
      <c r="Z105" s="242"/>
      <c r="AA105" s="242"/>
      <c r="AB105" s="242"/>
      <c r="AC105" s="242"/>
    </row>
    <row r="106">
      <c r="A106" s="242"/>
      <c r="B106" s="242"/>
      <c r="C106" s="242"/>
      <c r="D106" s="242"/>
      <c r="E106" s="242"/>
      <c r="F106" s="242"/>
      <c r="G106" s="242"/>
      <c r="H106" s="242"/>
      <c r="I106" s="242"/>
      <c r="J106" s="13"/>
      <c r="K106" s="15"/>
      <c r="L106" s="341"/>
      <c r="M106" s="13"/>
      <c r="N106" s="13"/>
      <c r="O106" s="13"/>
      <c r="P106" s="13"/>
      <c r="Q106" s="242"/>
      <c r="R106" s="13"/>
      <c r="S106" s="242"/>
      <c r="T106" s="13"/>
      <c r="U106" s="242"/>
      <c r="V106" s="242"/>
      <c r="W106" s="242"/>
      <c r="X106" s="242"/>
      <c r="Y106" s="242"/>
      <c r="Z106" s="242"/>
      <c r="AA106" s="242"/>
      <c r="AB106" s="242"/>
      <c r="AC106" s="242"/>
    </row>
    <row r="107">
      <c r="A107" s="242"/>
      <c r="B107" s="242"/>
      <c r="C107" s="242"/>
      <c r="D107" s="242"/>
      <c r="E107" s="242"/>
      <c r="F107" s="242"/>
      <c r="G107" s="242"/>
      <c r="H107" s="242"/>
      <c r="I107" s="242"/>
      <c r="J107" s="13"/>
      <c r="K107" s="15"/>
      <c r="L107" s="341"/>
      <c r="M107" s="13"/>
      <c r="N107" s="13"/>
      <c r="O107" s="13"/>
      <c r="P107" s="13"/>
      <c r="Q107" s="242"/>
      <c r="R107" s="13"/>
      <c r="S107" s="242"/>
      <c r="T107" s="13"/>
      <c r="U107" s="242"/>
      <c r="V107" s="242"/>
      <c r="W107" s="242"/>
      <c r="X107" s="242"/>
      <c r="Y107" s="242"/>
      <c r="Z107" s="242"/>
      <c r="AA107" s="242"/>
      <c r="AB107" s="242"/>
      <c r="AC107" s="242"/>
    </row>
    <row r="108">
      <c r="A108" s="242"/>
      <c r="B108" s="242"/>
      <c r="C108" s="242"/>
      <c r="D108" s="242"/>
      <c r="E108" s="242"/>
      <c r="F108" s="242"/>
      <c r="G108" s="242"/>
      <c r="H108" s="242"/>
      <c r="I108" s="242"/>
      <c r="J108" s="13"/>
      <c r="K108" s="15"/>
      <c r="L108" s="341"/>
      <c r="M108" s="13"/>
      <c r="N108" s="13"/>
      <c r="O108" s="13"/>
      <c r="P108" s="13"/>
      <c r="Q108" s="242"/>
      <c r="R108" s="13"/>
      <c r="S108" s="242"/>
      <c r="T108" s="13"/>
      <c r="U108" s="242"/>
      <c r="V108" s="242"/>
      <c r="W108" s="242"/>
      <c r="X108" s="242"/>
      <c r="Y108" s="242"/>
      <c r="Z108" s="242"/>
      <c r="AA108" s="242"/>
      <c r="AB108" s="242"/>
      <c r="AC108" s="242"/>
    </row>
    <row r="109">
      <c r="A109" s="242"/>
      <c r="B109" s="242"/>
      <c r="C109" s="242"/>
      <c r="D109" s="242"/>
      <c r="E109" s="242"/>
      <c r="F109" s="242"/>
      <c r="G109" s="242"/>
      <c r="H109" s="242"/>
      <c r="I109" s="242"/>
      <c r="J109" s="13"/>
      <c r="K109" s="15"/>
      <c r="L109" s="341"/>
      <c r="M109" s="13"/>
      <c r="N109" s="13"/>
      <c r="O109" s="13"/>
      <c r="P109" s="13"/>
      <c r="Q109" s="242"/>
      <c r="R109" s="13"/>
      <c r="S109" s="242"/>
      <c r="T109" s="13"/>
      <c r="U109" s="242"/>
      <c r="V109" s="242"/>
      <c r="W109" s="242"/>
      <c r="X109" s="242"/>
      <c r="Y109" s="242"/>
      <c r="Z109" s="242"/>
      <c r="AA109" s="242"/>
      <c r="AB109" s="242"/>
      <c r="AC109" s="242"/>
    </row>
    <row r="110">
      <c r="A110" s="242"/>
      <c r="B110" s="242"/>
      <c r="C110" s="242"/>
      <c r="D110" s="242"/>
      <c r="E110" s="242"/>
      <c r="F110" s="242"/>
      <c r="G110" s="242"/>
      <c r="H110" s="242"/>
      <c r="I110" s="242"/>
      <c r="J110" s="13"/>
      <c r="K110" s="15"/>
      <c r="L110" s="341"/>
      <c r="M110" s="13"/>
      <c r="N110" s="13"/>
      <c r="O110" s="13"/>
      <c r="P110" s="13"/>
      <c r="Q110" s="242"/>
      <c r="R110" s="13"/>
      <c r="S110" s="242"/>
      <c r="T110" s="13"/>
      <c r="U110" s="242"/>
      <c r="V110" s="242"/>
      <c r="W110" s="242"/>
      <c r="X110" s="242"/>
      <c r="Y110" s="242"/>
      <c r="Z110" s="242"/>
      <c r="AA110" s="242"/>
      <c r="AB110" s="242"/>
      <c r="AC110" s="242"/>
    </row>
    <row r="111">
      <c r="A111" s="242"/>
      <c r="B111" s="242"/>
      <c r="C111" s="242"/>
      <c r="D111" s="242"/>
      <c r="E111" s="242"/>
      <c r="F111" s="242"/>
      <c r="G111" s="242"/>
      <c r="H111" s="242"/>
      <c r="I111" s="242"/>
      <c r="J111" s="13"/>
      <c r="K111" s="15"/>
      <c r="L111" s="341"/>
      <c r="M111" s="13"/>
      <c r="N111" s="13"/>
      <c r="O111" s="13"/>
      <c r="P111" s="13"/>
      <c r="Q111" s="242"/>
      <c r="R111" s="13"/>
      <c r="S111" s="242"/>
      <c r="T111" s="13"/>
      <c r="U111" s="242"/>
      <c r="V111" s="242"/>
      <c r="W111" s="242"/>
      <c r="X111" s="242"/>
      <c r="Y111" s="242"/>
      <c r="Z111" s="242"/>
      <c r="AA111" s="242"/>
      <c r="AB111" s="242"/>
      <c r="AC111" s="242"/>
    </row>
    <row r="112">
      <c r="A112" s="242"/>
      <c r="B112" s="242"/>
      <c r="C112" s="242"/>
      <c r="D112" s="242"/>
      <c r="E112" s="242"/>
      <c r="F112" s="242"/>
      <c r="G112" s="242"/>
      <c r="H112" s="242"/>
      <c r="I112" s="242"/>
      <c r="J112" s="13"/>
      <c r="K112" s="15"/>
      <c r="L112" s="341"/>
      <c r="M112" s="13"/>
      <c r="N112" s="13"/>
      <c r="O112" s="13"/>
      <c r="P112" s="13"/>
      <c r="Q112" s="242"/>
      <c r="R112" s="13"/>
      <c r="S112" s="242"/>
      <c r="T112" s="13"/>
      <c r="U112" s="242"/>
      <c r="V112" s="242"/>
      <c r="W112" s="242"/>
      <c r="X112" s="242"/>
      <c r="Y112" s="242"/>
      <c r="Z112" s="242"/>
      <c r="AA112" s="242"/>
      <c r="AB112" s="242"/>
      <c r="AC112" s="242"/>
    </row>
    <row r="113">
      <c r="A113" s="242"/>
      <c r="B113" s="242"/>
      <c r="C113" s="242"/>
      <c r="D113" s="242"/>
      <c r="E113" s="242"/>
      <c r="F113" s="242"/>
      <c r="G113" s="242"/>
      <c r="H113" s="242"/>
      <c r="I113" s="242"/>
      <c r="J113" s="13"/>
      <c r="K113" s="15"/>
      <c r="L113" s="341"/>
      <c r="M113" s="13"/>
      <c r="N113" s="13"/>
      <c r="O113" s="13"/>
      <c r="P113" s="13"/>
      <c r="Q113" s="242"/>
      <c r="R113" s="13"/>
      <c r="S113" s="242"/>
      <c r="T113" s="13"/>
      <c r="U113" s="242"/>
      <c r="V113" s="242"/>
      <c r="W113" s="242"/>
      <c r="X113" s="242"/>
      <c r="Y113" s="242"/>
      <c r="Z113" s="242"/>
      <c r="AA113" s="242"/>
      <c r="AB113" s="242"/>
      <c r="AC113" s="242"/>
    </row>
    <row r="114">
      <c r="A114" s="242"/>
      <c r="B114" s="242"/>
      <c r="C114" s="242"/>
      <c r="D114" s="242"/>
      <c r="E114" s="242"/>
      <c r="F114" s="242"/>
      <c r="G114" s="242"/>
      <c r="H114" s="242"/>
      <c r="I114" s="242"/>
      <c r="J114" s="13"/>
      <c r="K114" s="15"/>
      <c r="L114" s="341"/>
      <c r="M114" s="13"/>
      <c r="N114" s="13"/>
      <c r="O114" s="13"/>
      <c r="P114" s="13"/>
      <c r="Q114" s="242"/>
      <c r="R114" s="13"/>
      <c r="S114" s="242"/>
      <c r="T114" s="13"/>
      <c r="U114" s="242"/>
      <c r="V114" s="242"/>
      <c r="W114" s="242"/>
      <c r="X114" s="242"/>
      <c r="Y114" s="242"/>
      <c r="Z114" s="242"/>
      <c r="AA114" s="242"/>
      <c r="AB114" s="242"/>
      <c r="AC114" s="242"/>
    </row>
    <row r="115">
      <c r="A115" s="242"/>
      <c r="B115" s="242"/>
      <c r="C115" s="242"/>
      <c r="D115" s="242"/>
      <c r="E115" s="242"/>
      <c r="F115" s="242"/>
      <c r="G115" s="242"/>
      <c r="H115" s="242"/>
      <c r="I115" s="242"/>
      <c r="J115" s="13"/>
      <c r="K115" s="15"/>
      <c r="L115" s="341"/>
      <c r="M115" s="13"/>
      <c r="N115" s="13"/>
      <c r="O115" s="13"/>
      <c r="P115" s="13"/>
      <c r="Q115" s="242"/>
      <c r="R115" s="13"/>
      <c r="S115" s="242"/>
      <c r="T115" s="13"/>
      <c r="U115" s="242"/>
      <c r="V115" s="242"/>
      <c r="W115" s="242"/>
      <c r="X115" s="242"/>
      <c r="Y115" s="242"/>
      <c r="Z115" s="242"/>
      <c r="AA115" s="242"/>
      <c r="AB115" s="242"/>
      <c r="AC115" s="242"/>
    </row>
    <row r="116">
      <c r="A116" s="242"/>
      <c r="B116" s="242"/>
      <c r="C116" s="242"/>
      <c r="D116" s="242"/>
      <c r="E116" s="242"/>
      <c r="F116" s="242"/>
      <c r="G116" s="242"/>
      <c r="H116" s="242"/>
      <c r="I116" s="242"/>
      <c r="J116" s="13"/>
      <c r="K116" s="15"/>
      <c r="L116" s="341"/>
      <c r="M116" s="13"/>
      <c r="N116" s="13"/>
      <c r="O116" s="13"/>
      <c r="P116" s="13"/>
      <c r="Q116" s="242"/>
      <c r="R116" s="13"/>
      <c r="S116" s="242"/>
      <c r="T116" s="13"/>
      <c r="U116" s="242"/>
      <c r="V116" s="242"/>
      <c r="W116" s="242"/>
      <c r="X116" s="242"/>
      <c r="Y116" s="242"/>
      <c r="Z116" s="242"/>
      <c r="AA116" s="242"/>
      <c r="AB116" s="242"/>
      <c r="AC116" s="242"/>
    </row>
    <row r="117">
      <c r="A117" s="242"/>
      <c r="B117" s="242"/>
      <c r="C117" s="242"/>
      <c r="D117" s="242"/>
      <c r="E117" s="242"/>
      <c r="F117" s="242"/>
      <c r="G117" s="242"/>
      <c r="H117" s="242"/>
      <c r="I117" s="242"/>
      <c r="J117" s="13"/>
      <c r="K117" s="15"/>
      <c r="L117" s="341"/>
      <c r="M117" s="13"/>
      <c r="N117" s="13"/>
      <c r="O117" s="13"/>
      <c r="P117" s="13"/>
      <c r="Q117" s="242"/>
      <c r="R117" s="13"/>
      <c r="S117" s="242"/>
      <c r="T117" s="13"/>
      <c r="U117" s="242"/>
      <c r="V117" s="242"/>
      <c r="W117" s="242"/>
      <c r="X117" s="242"/>
      <c r="Y117" s="242"/>
      <c r="Z117" s="242"/>
      <c r="AA117" s="242"/>
      <c r="AB117" s="242"/>
      <c r="AC117" s="242"/>
    </row>
    <row r="118">
      <c r="A118" s="242"/>
      <c r="B118" s="242"/>
      <c r="C118" s="242"/>
      <c r="D118" s="242"/>
      <c r="E118" s="242"/>
      <c r="F118" s="242"/>
      <c r="G118" s="242"/>
      <c r="H118" s="242"/>
      <c r="I118" s="242"/>
      <c r="J118" s="13"/>
      <c r="K118" s="15"/>
      <c r="L118" s="341"/>
      <c r="M118" s="13"/>
      <c r="N118" s="13"/>
      <c r="O118" s="13"/>
      <c r="P118" s="13"/>
      <c r="Q118" s="242"/>
      <c r="R118" s="13"/>
      <c r="S118" s="242"/>
      <c r="T118" s="13"/>
      <c r="U118" s="242"/>
      <c r="V118" s="242"/>
      <c r="W118" s="242"/>
      <c r="X118" s="242"/>
      <c r="Y118" s="242"/>
      <c r="Z118" s="242"/>
      <c r="AA118" s="242"/>
      <c r="AB118" s="242"/>
      <c r="AC118" s="242"/>
    </row>
    <row r="119">
      <c r="A119" s="242"/>
      <c r="B119" s="242"/>
      <c r="C119" s="242"/>
      <c r="D119" s="242"/>
      <c r="E119" s="242"/>
      <c r="F119" s="242"/>
      <c r="G119" s="242"/>
      <c r="H119" s="242"/>
      <c r="I119" s="242"/>
      <c r="J119" s="13"/>
      <c r="K119" s="15"/>
      <c r="L119" s="341"/>
      <c r="M119" s="13"/>
      <c r="N119" s="13"/>
      <c r="O119" s="13"/>
      <c r="P119" s="13"/>
      <c r="Q119" s="242"/>
      <c r="R119" s="13"/>
      <c r="S119" s="242"/>
      <c r="T119" s="13"/>
      <c r="U119" s="242"/>
      <c r="V119" s="242"/>
      <c r="W119" s="242"/>
      <c r="X119" s="242"/>
      <c r="Y119" s="242"/>
      <c r="Z119" s="242"/>
      <c r="AA119" s="242"/>
      <c r="AB119" s="242"/>
      <c r="AC119" s="242"/>
    </row>
    <row r="120">
      <c r="A120" s="242"/>
      <c r="B120" s="242"/>
      <c r="C120" s="242"/>
      <c r="D120" s="242"/>
      <c r="E120" s="242"/>
      <c r="F120" s="242"/>
      <c r="G120" s="242"/>
      <c r="H120" s="242"/>
      <c r="I120" s="242"/>
      <c r="J120" s="13"/>
      <c r="K120" s="15"/>
      <c r="L120" s="341"/>
      <c r="M120" s="13"/>
      <c r="N120" s="13"/>
      <c r="O120" s="13"/>
      <c r="P120" s="13"/>
      <c r="Q120" s="242"/>
      <c r="R120" s="13"/>
      <c r="S120" s="242"/>
      <c r="T120" s="13"/>
      <c r="U120" s="242"/>
      <c r="V120" s="242"/>
      <c r="W120" s="242"/>
      <c r="X120" s="242"/>
      <c r="Y120" s="242"/>
      <c r="Z120" s="242"/>
      <c r="AA120" s="242"/>
      <c r="AB120" s="242"/>
      <c r="AC120" s="242"/>
    </row>
    <row r="121">
      <c r="A121" s="242"/>
      <c r="B121" s="242"/>
      <c r="C121" s="242"/>
      <c r="D121" s="242"/>
      <c r="E121" s="242"/>
      <c r="F121" s="242"/>
      <c r="G121" s="242"/>
      <c r="H121" s="242"/>
      <c r="I121" s="242"/>
      <c r="J121" s="13"/>
      <c r="K121" s="15"/>
      <c r="L121" s="341"/>
      <c r="M121" s="13"/>
      <c r="N121" s="13"/>
      <c r="O121" s="13"/>
      <c r="P121" s="13"/>
      <c r="Q121" s="242"/>
      <c r="R121" s="13"/>
      <c r="S121" s="242"/>
      <c r="T121" s="13"/>
      <c r="U121" s="242"/>
      <c r="V121" s="242"/>
      <c r="W121" s="242"/>
      <c r="X121" s="242"/>
      <c r="Y121" s="242"/>
      <c r="Z121" s="242"/>
      <c r="AA121" s="242"/>
      <c r="AB121" s="242"/>
      <c r="AC121" s="242"/>
    </row>
    <row r="122">
      <c r="A122" s="242"/>
      <c r="B122" s="242"/>
      <c r="C122" s="242"/>
      <c r="D122" s="242"/>
      <c r="E122" s="242"/>
      <c r="F122" s="242"/>
      <c r="G122" s="242"/>
      <c r="H122" s="242"/>
      <c r="I122" s="242"/>
      <c r="J122" s="13"/>
      <c r="K122" s="15"/>
      <c r="L122" s="341"/>
      <c r="M122" s="13"/>
      <c r="N122" s="13"/>
      <c r="O122" s="13"/>
      <c r="P122" s="13"/>
      <c r="Q122" s="242"/>
      <c r="R122" s="13"/>
      <c r="S122" s="242"/>
      <c r="T122" s="13"/>
      <c r="U122" s="242"/>
      <c r="V122" s="242"/>
      <c r="W122" s="242"/>
      <c r="X122" s="242"/>
      <c r="Y122" s="242"/>
      <c r="Z122" s="242"/>
      <c r="AA122" s="242"/>
      <c r="AB122" s="242"/>
      <c r="AC122" s="242"/>
    </row>
    <row r="123">
      <c r="A123" s="242"/>
      <c r="B123" s="242"/>
      <c r="C123" s="242"/>
      <c r="D123" s="242"/>
      <c r="E123" s="242"/>
      <c r="F123" s="242"/>
      <c r="G123" s="242"/>
      <c r="H123" s="242"/>
      <c r="I123" s="242"/>
      <c r="J123" s="13"/>
      <c r="K123" s="15"/>
      <c r="L123" s="341"/>
      <c r="M123" s="13"/>
      <c r="N123" s="13"/>
      <c r="O123" s="13"/>
      <c r="P123" s="13"/>
      <c r="Q123" s="242"/>
      <c r="R123" s="13"/>
      <c r="S123" s="242"/>
      <c r="T123" s="13"/>
      <c r="U123" s="242"/>
      <c r="V123" s="242"/>
      <c r="W123" s="242"/>
      <c r="X123" s="242"/>
      <c r="Y123" s="242"/>
      <c r="Z123" s="242"/>
      <c r="AA123" s="242"/>
      <c r="AB123" s="242"/>
      <c r="AC123" s="242"/>
    </row>
    <row r="124">
      <c r="A124" s="242"/>
      <c r="B124" s="242"/>
      <c r="C124" s="242"/>
      <c r="D124" s="242"/>
      <c r="E124" s="242"/>
      <c r="F124" s="242"/>
      <c r="G124" s="242"/>
      <c r="H124" s="242"/>
      <c r="I124" s="242"/>
      <c r="J124" s="13"/>
      <c r="K124" s="15"/>
      <c r="L124" s="341"/>
      <c r="M124" s="13"/>
      <c r="N124" s="13"/>
      <c r="O124" s="13"/>
      <c r="P124" s="13"/>
      <c r="Q124" s="242"/>
      <c r="R124" s="13"/>
      <c r="S124" s="242"/>
      <c r="T124" s="13"/>
      <c r="U124" s="242"/>
      <c r="V124" s="242"/>
      <c r="W124" s="242"/>
      <c r="X124" s="242"/>
      <c r="Y124" s="242"/>
      <c r="Z124" s="242"/>
      <c r="AA124" s="242"/>
      <c r="AB124" s="242"/>
      <c r="AC124" s="242"/>
    </row>
    <row r="125">
      <c r="A125" s="242"/>
      <c r="B125" s="242"/>
      <c r="C125" s="242"/>
      <c r="D125" s="242"/>
      <c r="E125" s="242"/>
      <c r="F125" s="242"/>
      <c r="G125" s="242"/>
      <c r="H125" s="242"/>
      <c r="I125" s="242"/>
      <c r="J125" s="13"/>
      <c r="K125" s="15"/>
      <c r="L125" s="341"/>
      <c r="M125" s="13"/>
      <c r="N125" s="13"/>
      <c r="O125" s="13"/>
      <c r="P125" s="13"/>
      <c r="Q125" s="242"/>
      <c r="R125" s="13"/>
      <c r="S125" s="242"/>
      <c r="T125" s="13"/>
      <c r="U125" s="242"/>
      <c r="V125" s="242"/>
      <c r="W125" s="242"/>
      <c r="X125" s="242"/>
      <c r="Y125" s="242"/>
      <c r="Z125" s="242"/>
      <c r="AA125" s="242"/>
      <c r="AB125" s="242"/>
      <c r="AC125" s="242"/>
    </row>
    <row r="126">
      <c r="A126" s="242"/>
      <c r="B126" s="242"/>
      <c r="C126" s="242"/>
      <c r="D126" s="242"/>
      <c r="E126" s="242"/>
      <c r="F126" s="242"/>
      <c r="G126" s="242"/>
      <c r="H126" s="242"/>
      <c r="I126" s="242"/>
      <c r="J126" s="13"/>
      <c r="K126" s="15"/>
      <c r="L126" s="341"/>
      <c r="M126" s="13"/>
      <c r="N126" s="13"/>
      <c r="O126" s="13"/>
      <c r="P126" s="13"/>
      <c r="Q126" s="242"/>
      <c r="R126" s="13"/>
      <c r="S126" s="242"/>
      <c r="T126" s="13"/>
      <c r="U126" s="242"/>
      <c r="V126" s="242"/>
      <c r="W126" s="242"/>
      <c r="X126" s="242"/>
      <c r="Y126" s="242"/>
      <c r="Z126" s="242"/>
      <c r="AA126" s="242"/>
      <c r="AB126" s="242"/>
      <c r="AC126" s="242"/>
    </row>
    <row r="127">
      <c r="A127" s="242"/>
      <c r="B127" s="242"/>
      <c r="C127" s="242"/>
      <c r="D127" s="242"/>
      <c r="E127" s="242"/>
      <c r="F127" s="242"/>
      <c r="G127" s="242"/>
      <c r="H127" s="242"/>
      <c r="I127" s="242"/>
      <c r="J127" s="13"/>
      <c r="K127" s="15"/>
      <c r="L127" s="341"/>
      <c r="M127" s="13"/>
      <c r="N127" s="13"/>
      <c r="O127" s="13"/>
      <c r="P127" s="13"/>
      <c r="Q127" s="242"/>
      <c r="R127" s="13"/>
      <c r="S127" s="242"/>
      <c r="T127" s="13"/>
      <c r="U127" s="242"/>
      <c r="V127" s="242"/>
      <c r="W127" s="242"/>
      <c r="X127" s="242"/>
      <c r="Y127" s="242"/>
      <c r="Z127" s="242"/>
      <c r="AA127" s="242"/>
      <c r="AB127" s="242"/>
      <c r="AC127" s="242"/>
    </row>
    <row r="128">
      <c r="A128" s="242"/>
      <c r="B128" s="242"/>
      <c r="C128" s="242"/>
      <c r="D128" s="242"/>
      <c r="E128" s="242"/>
      <c r="F128" s="242"/>
      <c r="G128" s="242"/>
      <c r="H128" s="242"/>
      <c r="I128" s="242"/>
      <c r="J128" s="13"/>
      <c r="K128" s="15"/>
      <c r="L128" s="341"/>
      <c r="M128" s="13"/>
      <c r="N128" s="13"/>
      <c r="O128" s="13"/>
      <c r="P128" s="13"/>
      <c r="Q128" s="242"/>
      <c r="R128" s="13"/>
      <c r="S128" s="242"/>
      <c r="T128" s="13"/>
      <c r="U128" s="242"/>
      <c r="V128" s="242"/>
      <c r="W128" s="242"/>
      <c r="X128" s="242"/>
      <c r="Y128" s="242"/>
      <c r="Z128" s="242"/>
      <c r="AA128" s="242"/>
      <c r="AB128" s="242"/>
      <c r="AC128" s="242"/>
    </row>
    <row r="129">
      <c r="A129" s="242"/>
      <c r="B129" s="242"/>
      <c r="C129" s="242"/>
      <c r="D129" s="242"/>
      <c r="E129" s="242"/>
      <c r="F129" s="242"/>
      <c r="G129" s="242"/>
      <c r="H129" s="242"/>
      <c r="I129" s="242"/>
      <c r="J129" s="13"/>
      <c r="K129" s="15"/>
      <c r="L129" s="341"/>
      <c r="M129" s="13"/>
      <c r="N129" s="13"/>
      <c r="O129" s="13"/>
      <c r="P129" s="13"/>
      <c r="Q129" s="242"/>
      <c r="R129" s="13"/>
      <c r="S129" s="242"/>
      <c r="T129" s="13"/>
      <c r="U129" s="242"/>
      <c r="V129" s="242"/>
      <c r="W129" s="242"/>
      <c r="X129" s="242"/>
      <c r="Y129" s="242"/>
      <c r="Z129" s="242"/>
      <c r="AA129" s="242"/>
      <c r="AB129" s="242"/>
      <c r="AC129" s="242"/>
    </row>
    <row r="130">
      <c r="A130" s="242"/>
      <c r="B130" s="242"/>
      <c r="C130" s="242"/>
      <c r="D130" s="242"/>
      <c r="E130" s="242"/>
      <c r="F130" s="242"/>
      <c r="G130" s="242"/>
      <c r="H130" s="242"/>
      <c r="I130" s="242"/>
      <c r="J130" s="13"/>
      <c r="K130" s="15"/>
      <c r="L130" s="341"/>
      <c r="M130" s="13"/>
      <c r="N130" s="13"/>
      <c r="O130" s="13"/>
      <c r="P130" s="13"/>
      <c r="Q130" s="242"/>
      <c r="R130" s="13"/>
      <c r="S130" s="242"/>
      <c r="T130" s="13"/>
      <c r="U130" s="242"/>
      <c r="V130" s="242"/>
      <c r="W130" s="242"/>
      <c r="X130" s="242"/>
      <c r="Y130" s="242"/>
      <c r="Z130" s="242"/>
      <c r="AA130" s="242"/>
      <c r="AB130" s="242"/>
      <c r="AC130" s="242"/>
    </row>
    <row r="131">
      <c r="A131" s="242"/>
      <c r="B131" s="242"/>
      <c r="C131" s="242"/>
      <c r="D131" s="242"/>
      <c r="E131" s="242"/>
      <c r="F131" s="242"/>
      <c r="G131" s="242"/>
      <c r="H131" s="242"/>
      <c r="I131" s="242"/>
      <c r="J131" s="13"/>
      <c r="K131" s="15"/>
      <c r="L131" s="341"/>
      <c r="M131" s="13"/>
      <c r="N131" s="13"/>
      <c r="O131" s="13"/>
      <c r="P131" s="13"/>
      <c r="Q131" s="242"/>
      <c r="R131" s="13"/>
      <c r="S131" s="242"/>
      <c r="T131" s="13"/>
      <c r="U131" s="242"/>
      <c r="V131" s="242"/>
      <c r="W131" s="242"/>
      <c r="X131" s="242"/>
      <c r="Y131" s="242"/>
      <c r="Z131" s="242"/>
      <c r="AA131" s="242"/>
      <c r="AB131" s="242"/>
      <c r="AC131" s="242"/>
    </row>
    <row r="132">
      <c r="A132" s="242"/>
      <c r="B132" s="242"/>
      <c r="C132" s="242"/>
      <c r="D132" s="242"/>
      <c r="E132" s="242"/>
      <c r="F132" s="242"/>
      <c r="G132" s="242"/>
      <c r="H132" s="242"/>
      <c r="I132" s="242"/>
      <c r="J132" s="13"/>
      <c r="K132" s="15"/>
      <c r="L132" s="341"/>
      <c r="M132" s="13"/>
      <c r="N132" s="13"/>
      <c r="O132" s="13"/>
      <c r="P132" s="13"/>
      <c r="Q132" s="242"/>
      <c r="R132" s="13"/>
      <c r="S132" s="242"/>
      <c r="T132" s="13"/>
      <c r="U132" s="242"/>
      <c r="V132" s="242"/>
      <c r="W132" s="242"/>
      <c r="X132" s="242"/>
      <c r="Y132" s="242"/>
      <c r="Z132" s="242"/>
      <c r="AA132" s="242"/>
      <c r="AB132" s="242"/>
      <c r="AC132" s="242"/>
    </row>
    <row r="133">
      <c r="A133" s="242"/>
      <c r="B133" s="242"/>
      <c r="C133" s="242"/>
      <c r="D133" s="242"/>
      <c r="E133" s="242"/>
      <c r="F133" s="242"/>
      <c r="G133" s="242"/>
      <c r="H133" s="242"/>
      <c r="I133" s="242"/>
      <c r="J133" s="13"/>
      <c r="K133" s="15"/>
      <c r="L133" s="341"/>
      <c r="M133" s="13"/>
      <c r="N133" s="13"/>
      <c r="O133" s="13"/>
      <c r="P133" s="13"/>
      <c r="Q133" s="242"/>
      <c r="R133" s="13"/>
      <c r="S133" s="242"/>
      <c r="T133" s="13"/>
      <c r="U133" s="242"/>
      <c r="V133" s="242"/>
      <c r="W133" s="242"/>
      <c r="X133" s="242"/>
      <c r="Y133" s="242"/>
      <c r="Z133" s="242"/>
      <c r="AA133" s="242"/>
      <c r="AB133" s="242"/>
      <c r="AC133" s="242"/>
    </row>
    <row r="134">
      <c r="A134" s="242"/>
      <c r="B134" s="242"/>
      <c r="C134" s="242"/>
      <c r="D134" s="242"/>
      <c r="E134" s="242"/>
      <c r="F134" s="242"/>
      <c r="G134" s="242"/>
      <c r="H134" s="242"/>
      <c r="I134" s="242"/>
      <c r="J134" s="13"/>
      <c r="K134" s="15"/>
      <c r="L134" s="341"/>
      <c r="M134" s="13"/>
      <c r="N134" s="13"/>
      <c r="O134" s="13"/>
      <c r="P134" s="13"/>
      <c r="Q134" s="242"/>
      <c r="R134" s="13"/>
      <c r="S134" s="242"/>
      <c r="T134" s="13"/>
      <c r="U134" s="242"/>
      <c r="V134" s="242"/>
      <c r="W134" s="242"/>
      <c r="X134" s="242"/>
      <c r="Y134" s="242"/>
      <c r="Z134" s="242"/>
      <c r="AA134" s="242"/>
      <c r="AB134" s="242"/>
      <c r="AC134" s="242"/>
    </row>
    <row r="135">
      <c r="A135" s="242"/>
      <c r="B135" s="242"/>
      <c r="C135" s="242"/>
      <c r="D135" s="242"/>
      <c r="E135" s="242"/>
      <c r="F135" s="242"/>
      <c r="G135" s="242"/>
      <c r="H135" s="242"/>
      <c r="I135" s="242"/>
      <c r="J135" s="13"/>
      <c r="K135" s="15"/>
      <c r="L135" s="341"/>
      <c r="M135" s="13"/>
      <c r="N135" s="13"/>
      <c r="O135" s="13"/>
      <c r="P135" s="13"/>
      <c r="Q135" s="242"/>
      <c r="R135" s="13"/>
      <c r="S135" s="242"/>
      <c r="T135" s="13"/>
      <c r="U135" s="242"/>
      <c r="V135" s="242"/>
      <c r="W135" s="242"/>
      <c r="X135" s="242"/>
      <c r="Y135" s="242"/>
      <c r="Z135" s="242"/>
      <c r="AA135" s="242"/>
      <c r="AB135" s="242"/>
      <c r="AC135" s="242"/>
    </row>
    <row r="136">
      <c r="A136" s="242"/>
      <c r="B136" s="242"/>
      <c r="C136" s="242"/>
      <c r="D136" s="242"/>
      <c r="E136" s="242"/>
      <c r="F136" s="242"/>
      <c r="G136" s="242"/>
      <c r="H136" s="242"/>
      <c r="I136" s="242"/>
      <c r="J136" s="13"/>
      <c r="K136" s="15"/>
      <c r="L136" s="341"/>
      <c r="M136" s="13"/>
      <c r="N136" s="13"/>
      <c r="O136" s="13"/>
      <c r="P136" s="13"/>
      <c r="Q136" s="242"/>
      <c r="R136" s="13"/>
      <c r="S136" s="242"/>
      <c r="T136" s="13"/>
      <c r="U136" s="242"/>
      <c r="V136" s="242"/>
      <c r="W136" s="242"/>
      <c r="X136" s="242"/>
      <c r="Y136" s="242"/>
      <c r="Z136" s="242"/>
      <c r="AA136" s="242"/>
      <c r="AB136" s="242"/>
      <c r="AC136" s="242"/>
    </row>
    <row r="137">
      <c r="A137" s="242"/>
      <c r="B137" s="242"/>
      <c r="C137" s="242"/>
      <c r="D137" s="242"/>
      <c r="E137" s="242"/>
      <c r="F137" s="242"/>
      <c r="G137" s="242"/>
      <c r="H137" s="242"/>
      <c r="I137" s="242"/>
      <c r="J137" s="13"/>
      <c r="K137" s="15"/>
      <c r="L137" s="341"/>
      <c r="M137" s="13"/>
      <c r="N137" s="13"/>
      <c r="O137" s="13"/>
      <c r="P137" s="13"/>
      <c r="Q137" s="242"/>
      <c r="R137" s="13"/>
      <c r="S137" s="242"/>
      <c r="T137" s="13"/>
      <c r="U137" s="242"/>
      <c r="V137" s="242"/>
      <c r="W137" s="242"/>
      <c r="X137" s="242"/>
      <c r="Y137" s="242"/>
      <c r="Z137" s="242"/>
      <c r="AA137" s="242"/>
      <c r="AB137" s="242"/>
      <c r="AC137" s="242"/>
    </row>
    <row r="138">
      <c r="A138" s="242"/>
      <c r="B138" s="242"/>
      <c r="C138" s="242"/>
      <c r="D138" s="242"/>
      <c r="E138" s="242"/>
      <c r="F138" s="242"/>
      <c r="G138" s="242"/>
      <c r="H138" s="242"/>
      <c r="I138" s="242"/>
      <c r="J138" s="13"/>
      <c r="K138" s="15"/>
      <c r="L138" s="341"/>
      <c r="M138" s="13"/>
      <c r="N138" s="13"/>
      <c r="O138" s="13"/>
      <c r="P138" s="13"/>
      <c r="Q138" s="242"/>
      <c r="R138" s="13"/>
      <c r="S138" s="242"/>
      <c r="T138" s="13"/>
      <c r="U138" s="242"/>
      <c r="V138" s="242"/>
      <c r="W138" s="242"/>
      <c r="X138" s="242"/>
      <c r="Y138" s="242"/>
      <c r="Z138" s="242"/>
      <c r="AA138" s="242"/>
      <c r="AB138" s="242"/>
      <c r="AC138" s="242"/>
    </row>
    <row r="139">
      <c r="A139" s="242"/>
      <c r="B139" s="242"/>
      <c r="C139" s="242"/>
      <c r="D139" s="242"/>
      <c r="E139" s="242"/>
      <c r="F139" s="242"/>
      <c r="G139" s="242"/>
      <c r="H139" s="242"/>
      <c r="I139" s="242"/>
      <c r="J139" s="13"/>
      <c r="K139" s="15"/>
      <c r="L139" s="341"/>
      <c r="M139" s="13"/>
      <c r="N139" s="13"/>
      <c r="O139" s="13"/>
      <c r="P139" s="13"/>
      <c r="Q139" s="242"/>
      <c r="R139" s="13"/>
      <c r="S139" s="242"/>
      <c r="T139" s="13"/>
      <c r="U139" s="242"/>
      <c r="V139" s="242"/>
      <c r="W139" s="242"/>
      <c r="X139" s="242"/>
      <c r="Y139" s="242"/>
      <c r="Z139" s="242"/>
      <c r="AA139" s="242"/>
      <c r="AB139" s="242"/>
      <c r="AC139" s="242"/>
    </row>
    <row r="140">
      <c r="A140" s="242"/>
      <c r="B140" s="242"/>
      <c r="C140" s="242"/>
      <c r="D140" s="242"/>
      <c r="E140" s="242"/>
      <c r="F140" s="242"/>
      <c r="G140" s="242"/>
      <c r="H140" s="242"/>
      <c r="I140" s="242"/>
      <c r="J140" s="13"/>
      <c r="K140" s="15"/>
      <c r="L140" s="341"/>
      <c r="M140" s="13"/>
      <c r="N140" s="13"/>
      <c r="O140" s="13"/>
      <c r="P140" s="13"/>
      <c r="Q140" s="242"/>
      <c r="R140" s="13"/>
      <c r="S140" s="242"/>
      <c r="T140" s="13"/>
      <c r="U140" s="242"/>
      <c r="V140" s="242"/>
      <c r="W140" s="242"/>
      <c r="X140" s="242"/>
      <c r="Y140" s="242"/>
      <c r="Z140" s="242"/>
      <c r="AA140" s="242"/>
      <c r="AB140" s="242"/>
      <c r="AC140" s="242"/>
    </row>
    <row r="141">
      <c r="A141" s="242"/>
      <c r="B141" s="242"/>
      <c r="C141" s="242"/>
      <c r="D141" s="242"/>
      <c r="E141" s="242"/>
      <c r="F141" s="242"/>
      <c r="G141" s="242"/>
      <c r="H141" s="242"/>
      <c r="I141" s="242"/>
      <c r="J141" s="13"/>
      <c r="K141" s="15"/>
      <c r="L141" s="341"/>
      <c r="M141" s="13"/>
      <c r="N141" s="13"/>
      <c r="O141" s="13"/>
      <c r="P141" s="13"/>
      <c r="Q141" s="242"/>
      <c r="R141" s="13"/>
      <c r="S141" s="242"/>
      <c r="T141" s="13"/>
      <c r="U141" s="242"/>
      <c r="V141" s="242"/>
      <c r="W141" s="242"/>
      <c r="X141" s="242"/>
      <c r="Y141" s="242"/>
      <c r="Z141" s="242"/>
      <c r="AA141" s="242"/>
      <c r="AB141" s="242"/>
      <c r="AC141" s="242"/>
    </row>
    <row r="142">
      <c r="A142" s="242"/>
      <c r="B142" s="242"/>
      <c r="C142" s="242"/>
      <c r="D142" s="242"/>
      <c r="E142" s="242"/>
      <c r="F142" s="242"/>
      <c r="G142" s="242"/>
      <c r="H142" s="242"/>
      <c r="I142" s="242"/>
      <c r="J142" s="13"/>
      <c r="K142" s="15"/>
      <c r="L142" s="341"/>
      <c r="M142" s="13"/>
      <c r="N142" s="13"/>
      <c r="O142" s="13"/>
      <c r="P142" s="13"/>
      <c r="Q142" s="242"/>
      <c r="R142" s="13"/>
      <c r="S142" s="242"/>
      <c r="T142" s="13"/>
      <c r="U142" s="242"/>
      <c r="V142" s="242"/>
      <c r="W142" s="242"/>
      <c r="X142" s="242"/>
      <c r="Y142" s="242"/>
      <c r="Z142" s="242"/>
      <c r="AA142" s="242"/>
      <c r="AB142" s="242"/>
      <c r="AC142" s="242"/>
    </row>
    <row r="143">
      <c r="A143" s="242"/>
      <c r="B143" s="242"/>
      <c r="C143" s="242"/>
      <c r="D143" s="242"/>
      <c r="E143" s="242"/>
      <c r="F143" s="242"/>
      <c r="G143" s="242"/>
      <c r="H143" s="242"/>
      <c r="I143" s="242"/>
      <c r="J143" s="13"/>
      <c r="K143" s="15"/>
      <c r="L143" s="341"/>
      <c r="M143" s="13"/>
      <c r="N143" s="13"/>
      <c r="O143" s="13"/>
      <c r="P143" s="13"/>
      <c r="Q143" s="242"/>
      <c r="R143" s="13"/>
      <c r="S143" s="242"/>
      <c r="T143" s="13"/>
      <c r="U143" s="242"/>
      <c r="V143" s="242"/>
      <c r="W143" s="242"/>
      <c r="X143" s="242"/>
      <c r="Y143" s="242"/>
      <c r="Z143" s="242"/>
      <c r="AA143" s="242"/>
      <c r="AB143" s="242"/>
      <c r="AC143" s="242"/>
    </row>
    <row r="144">
      <c r="A144" s="242"/>
      <c r="B144" s="242"/>
      <c r="C144" s="242"/>
      <c r="D144" s="242"/>
      <c r="E144" s="242"/>
      <c r="F144" s="242"/>
      <c r="G144" s="242"/>
      <c r="H144" s="242"/>
      <c r="I144" s="242"/>
      <c r="J144" s="13"/>
      <c r="K144" s="15"/>
      <c r="L144" s="341"/>
      <c r="M144" s="13"/>
      <c r="N144" s="13"/>
      <c r="O144" s="13"/>
      <c r="P144" s="13"/>
      <c r="Q144" s="242"/>
      <c r="R144" s="13"/>
      <c r="S144" s="242"/>
      <c r="T144" s="13"/>
      <c r="U144" s="242"/>
      <c r="V144" s="242"/>
      <c r="W144" s="242"/>
      <c r="X144" s="242"/>
      <c r="Y144" s="242"/>
      <c r="Z144" s="242"/>
      <c r="AA144" s="242"/>
      <c r="AB144" s="242"/>
      <c r="AC144" s="242"/>
    </row>
    <row r="145">
      <c r="A145" s="242"/>
      <c r="B145" s="242"/>
      <c r="C145" s="242"/>
      <c r="D145" s="242"/>
      <c r="E145" s="242"/>
      <c r="F145" s="242"/>
      <c r="G145" s="242"/>
      <c r="H145" s="242"/>
      <c r="I145" s="242"/>
      <c r="J145" s="13"/>
      <c r="K145" s="15"/>
      <c r="L145" s="341"/>
      <c r="M145" s="13"/>
      <c r="N145" s="13"/>
      <c r="O145" s="13"/>
      <c r="P145" s="13"/>
      <c r="Q145" s="242"/>
      <c r="R145" s="13"/>
      <c r="S145" s="242"/>
      <c r="T145" s="13"/>
      <c r="U145" s="242"/>
      <c r="V145" s="242"/>
      <c r="W145" s="242"/>
      <c r="X145" s="242"/>
      <c r="Y145" s="242"/>
      <c r="Z145" s="242"/>
      <c r="AA145" s="242"/>
      <c r="AB145" s="242"/>
      <c r="AC145" s="242"/>
    </row>
    <row r="146">
      <c r="A146" s="242"/>
      <c r="B146" s="242"/>
      <c r="C146" s="242"/>
      <c r="D146" s="242"/>
      <c r="E146" s="242"/>
      <c r="F146" s="242"/>
      <c r="G146" s="242"/>
      <c r="H146" s="242"/>
      <c r="I146" s="242"/>
      <c r="J146" s="13"/>
      <c r="K146" s="15"/>
      <c r="L146" s="341"/>
      <c r="M146" s="13"/>
      <c r="N146" s="13"/>
      <c r="O146" s="13"/>
      <c r="P146" s="13"/>
      <c r="Q146" s="242"/>
      <c r="R146" s="13"/>
      <c r="S146" s="242"/>
      <c r="T146" s="13"/>
      <c r="U146" s="242"/>
      <c r="V146" s="242"/>
      <c r="W146" s="242"/>
      <c r="X146" s="242"/>
      <c r="Y146" s="242"/>
      <c r="Z146" s="242"/>
      <c r="AA146" s="242"/>
      <c r="AB146" s="242"/>
      <c r="AC146" s="242"/>
    </row>
    <row r="147">
      <c r="A147" s="242"/>
      <c r="B147" s="242"/>
      <c r="C147" s="242"/>
      <c r="D147" s="242"/>
      <c r="E147" s="242"/>
      <c r="F147" s="242"/>
      <c r="G147" s="242"/>
      <c r="H147" s="242"/>
      <c r="I147" s="242"/>
      <c r="J147" s="13"/>
      <c r="K147" s="15"/>
      <c r="L147" s="341"/>
      <c r="M147" s="13"/>
      <c r="N147" s="13"/>
      <c r="O147" s="13"/>
      <c r="P147" s="13"/>
      <c r="Q147" s="242"/>
      <c r="R147" s="13"/>
      <c r="S147" s="242"/>
      <c r="T147" s="13"/>
      <c r="U147" s="242"/>
      <c r="V147" s="242"/>
      <c r="W147" s="242"/>
      <c r="X147" s="242"/>
      <c r="Y147" s="242"/>
      <c r="Z147" s="242"/>
      <c r="AA147" s="242"/>
      <c r="AB147" s="242"/>
      <c r="AC147" s="242"/>
    </row>
    <row r="148">
      <c r="A148" s="242"/>
      <c r="B148" s="242"/>
      <c r="C148" s="242"/>
      <c r="D148" s="242"/>
      <c r="E148" s="242"/>
      <c r="F148" s="242"/>
      <c r="G148" s="242"/>
      <c r="H148" s="242"/>
      <c r="I148" s="242"/>
      <c r="J148" s="13"/>
      <c r="K148" s="15"/>
      <c r="L148" s="341"/>
      <c r="M148" s="13"/>
      <c r="N148" s="13"/>
      <c r="O148" s="13"/>
      <c r="P148" s="13"/>
      <c r="Q148" s="242"/>
      <c r="R148" s="13"/>
      <c r="S148" s="242"/>
      <c r="T148" s="13"/>
      <c r="U148" s="242"/>
      <c r="V148" s="242"/>
      <c r="W148" s="242"/>
      <c r="X148" s="242"/>
      <c r="Y148" s="242"/>
      <c r="Z148" s="242"/>
      <c r="AA148" s="242"/>
      <c r="AB148" s="242"/>
      <c r="AC148" s="242"/>
    </row>
    <row r="149">
      <c r="A149" s="242"/>
      <c r="B149" s="242"/>
      <c r="C149" s="242"/>
      <c r="D149" s="242"/>
      <c r="E149" s="242"/>
      <c r="F149" s="242"/>
      <c r="G149" s="242"/>
      <c r="H149" s="242"/>
      <c r="I149" s="242"/>
      <c r="J149" s="13"/>
      <c r="K149" s="15"/>
      <c r="L149" s="341"/>
      <c r="M149" s="13"/>
      <c r="N149" s="13"/>
      <c r="O149" s="13"/>
      <c r="P149" s="13"/>
      <c r="Q149" s="242"/>
      <c r="R149" s="13"/>
      <c r="S149" s="242"/>
      <c r="T149" s="13"/>
      <c r="U149" s="242"/>
      <c r="V149" s="242"/>
      <c r="W149" s="242"/>
      <c r="X149" s="242"/>
      <c r="Y149" s="242"/>
      <c r="Z149" s="242"/>
      <c r="AA149" s="242"/>
      <c r="AB149" s="242"/>
      <c r="AC149" s="242"/>
    </row>
    <row r="150">
      <c r="A150" s="242"/>
      <c r="B150" s="242"/>
      <c r="C150" s="242"/>
      <c r="D150" s="242"/>
      <c r="E150" s="242"/>
      <c r="F150" s="242"/>
      <c r="G150" s="242"/>
      <c r="H150" s="242"/>
      <c r="I150" s="242"/>
      <c r="J150" s="13"/>
      <c r="K150" s="15"/>
      <c r="L150" s="341"/>
      <c r="M150" s="13"/>
      <c r="N150" s="13"/>
      <c r="O150" s="13"/>
      <c r="P150" s="13"/>
      <c r="Q150" s="242"/>
      <c r="R150" s="13"/>
      <c r="S150" s="242"/>
      <c r="T150" s="13"/>
      <c r="U150" s="242"/>
      <c r="V150" s="242"/>
      <c r="W150" s="242"/>
      <c r="X150" s="242"/>
      <c r="Y150" s="242"/>
      <c r="Z150" s="242"/>
      <c r="AA150" s="242"/>
      <c r="AB150" s="242"/>
      <c r="AC150" s="242"/>
    </row>
    <row r="151">
      <c r="A151" s="242"/>
      <c r="B151" s="242"/>
      <c r="C151" s="242"/>
      <c r="D151" s="242"/>
      <c r="E151" s="242"/>
      <c r="F151" s="242"/>
      <c r="G151" s="242"/>
      <c r="H151" s="242"/>
      <c r="I151" s="242"/>
      <c r="J151" s="13"/>
      <c r="K151" s="15"/>
      <c r="L151" s="341"/>
      <c r="M151" s="13"/>
      <c r="N151" s="13"/>
      <c r="O151" s="13"/>
      <c r="P151" s="13"/>
      <c r="Q151" s="242"/>
      <c r="R151" s="13"/>
      <c r="S151" s="242"/>
      <c r="T151" s="13"/>
      <c r="U151" s="242"/>
      <c r="V151" s="242"/>
      <c r="W151" s="242"/>
      <c r="X151" s="242"/>
      <c r="Y151" s="242"/>
      <c r="Z151" s="242"/>
      <c r="AA151" s="242"/>
      <c r="AB151" s="242"/>
      <c r="AC151" s="242"/>
    </row>
    <row r="152">
      <c r="A152" s="242"/>
      <c r="B152" s="242"/>
      <c r="C152" s="242"/>
      <c r="D152" s="242"/>
      <c r="E152" s="242"/>
      <c r="F152" s="242"/>
      <c r="G152" s="242"/>
      <c r="H152" s="242"/>
      <c r="I152" s="242"/>
      <c r="J152" s="13"/>
      <c r="K152" s="15"/>
      <c r="L152" s="341"/>
      <c r="M152" s="13"/>
      <c r="N152" s="13"/>
      <c r="O152" s="13"/>
      <c r="P152" s="13"/>
      <c r="Q152" s="242"/>
      <c r="R152" s="13"/>
      <c r="S152" s="242"/>
      <c r="T152" s="13"/>
      <c r="U152" s="242"/>
      <c r="V152" s="242"/>
      <c r="W152" s="242"/>
      <c r="X152" s="242"/>
      <c r="Y152" s="242"/>
      <c r="Z152" s="242"/>
      <c r="AA152" s="242"/>
      <c r="AB152" s="242"/>
      <c r="AC152" s="242"/>
    </row>
    <row r="153">
      <c r="A153" s="242"/>
      <c r="B153" s="242"/>
      <c r="C153" s="242"/>
      <c r="D153" s="242"/>
      <c r="E153" s="242"/>
      <c r="F153" s="242"/>
      <c r="G153" s="242"/>
      <c r="H153" s="242"/>
      <c r="I153" s="242"/>
      <c r="J153" s="13"/>
      <c r="K153" s="15"/>
      <c r="L153" s="341"/>
      <c r="M153" s="13"/>
      <c r="N153" s="13"/>
      <c r="O153" s="13"/>
      <c r="P153" s="13"/>
      <c r="Q153" s="242"/>
      <c r="R153" s="13"/>
      <c r="S153" s="242"/>
      <c r="T153" s="13"/>
      <c r="U153" s="242"/>
      <c r="V153" s="242"/>
      <c r="W153" s="242"/>
      <c r="X153" s="242"/>
      <c r="Y153" s="242"/>
      <c r="Z153" s="242"/>
      <c r="AA153" s="242"/>
      <c r="AB153" s="242"/>
      <c r="AC153" s="242"/>
    </row>
    <row r="154">
      <c r="A154" s="242"/>
      <c r="B154" s="242"/>
      <c r="C154" s="242"/>
      <c r="D154" s="242"/>
      <c r="E154" s="242"/>
      <c r="F154" s="242"/>
      <c r="G154" s="242"/>
      <c r="H154" s="242"/>
      <c r="I154" s="242"/>
      <c r="J154" s="13"/>
      <c r="K154" s="15"/>
      <c r="L154" s="341"/>
      <c r="M154" s="13"/>
      <c r="N154" s="13"/>
      <c r="O154" s="13"/>
      <c r="P154" s="13"/>
      <c r="Q154" s="242"/>
      <c r="R154" s="13"/>
      <c r="S154" s="242"/>
      <c r="T154" s="13"/>
      <c r="U154" s="242"/>
      <c r="V154" s="242"/>
      <c r="W154" s="242"/>
      <c r="X154" s="242"/>
      <c r="Y154" s="242"/>
      <c r="Z154" s="242"/>
      <c r="AA154" s="242"/>
      <c r="AB154" s="242"/>
      <c r="AC154" s="242"/>
    </row>
    <row r="155">
      <c r="A155" s="242"/>
      <c r="B155" s="242"/>
      <c r="C155" s="242"/>
      <c r="D155" s="242"/>
      <c r="E155" s="242"/>
      <c r="F155" s="242"/>
      <c r="G155" s="242"/>
      <c r="H155" s="242"/>
      <c r="I155" s="242"/>
      <c r="J155" s="13"/>
      <c r="K155" s="15"/>
      <c r="L155" s="341"/>
      <c r="M155" s="13"/>
      <c r="N155" s="13"/>
      <c r="O155" s="13"/>
      <c r="P155" s="13"/>
      <c r="Q155" s="242"/>
      <c r="R155" s="13"/>
      <c r="S155" s="242"/>
      <c r="T155" s="13"/>
      <c r="U155" s="242"/>
      <c r="V155" s="242"/>
      <c r="W155" s="242"/>
      <c r="X155" s="242"/>
      <c r="Y155" s="242"/>
      <c r="Z155" s="242"/>
      <c r="AA155" s="242"/>
      <c r="AB155" s="242"/>
      <c r="AC155" s="242"/>
    </row>
    <row r="156">
      <c r="A156" s="242"/>
      <c r="B156" s="242"/>
      <c r="C156" s="242"/>
      <c r="D156" s="242"/>
      <c r="E156" s="242"/>
      <c r="F156" s="242"/>
      <c r="G156" s="242"/>
      <c r="H156" s="242"/>
      <c r="I156" s="242"/>
      <c r="J156" s="13"/>
      <c r="K156" s="15"/>
      <c r="L156" s="341"/>
      <c r="M156" s="13"/>
      <c r="N156" s="13"/>
      <c r="O156" s="13"/>
      <c r="P156" s="13"/>
      <c r="Q156" s="242"/>
      <c r="R156" s="13"/>
      <c r="S156" s="242"/>
      <c r="T156" s="13"/>
      <c r="U156" s="242"/>
      <c r="V156" s="242"/>
      <c r="W156" s="242"/>
      <c r="X156" s="242"/>
      <c r="Y156" s="242"/>
      <c r="Z156" s="242"/>
      <c r="AA156" s="242"/>
      <c r="AB156" s="242"/>
      <c r="AC156" s="242"/>
    </row>
    <row r="157">
      <c r="A157" s="242"/>
      <c r="B157" s="242"/>
      <c r="C157" s="242"/>
      <c r="D157" s="242"/>
      <c r="E157" s="242"/>
      <c r="F157" s="242"/>
      <c r="G157" s="242"/>
      <c r="H157" s="242"/>
      <c r="I157" s="242"/>
      <c r="J157" s="13"/>
      <c r="K157" s="15"/>
      <c r="L157" s="341"/>
      <c r="M157" s="13"/>
      <c r="N157" s="13"/>
      <c r="O157" s="13"/>
      <c r="P157" s="13"/>
      <c r="Q157" s="242"/>
      <c r="R157" s="13"/>
      <c r="S157" s="242"/>
      <c r="T157" s="13"/>
      <c r="U157" s="242"/>
      <c r="V157" s="242"/>
      <c r="W157" s="242"/>
      <c r="X157" s="242"/>
      <c r="Y157" s="242"/>
      <c r="Z157" s="242"/>
      <c r="AA157" s="242"/>
      <c r="AB157" s="242"/>
      <c r="AC157" s="242"/>
    </row>
    <row r="158">
      <c r="A158" s="242"/>
      <c r="B158" s="242"/>
      <c r="C158" s="242"/>
      <c r="D158" s="242"/>
      <c r="E158" s="242"/>
      <c r="F158" s="242"/>
      <c r="G158" s="242"/>
      <c r="H158" s="242"/>
      <c r="I158" s="242"/>
      <c r="J158" s="13"/>
      <c r="K158" s="15"/>
      <c r="L158" s="341"/>
      <c r="M158" s="13"/>
      <c r="N158" s="13"/>
      <c r="O158" s="13"/>
      <c r="P158" s="13"/>
      <c r="Q158" s="242"/>
      <c r="R158" s="13"/>
      <c r="S158" s="242"/>
      <c r="T158" s="13"/>
      <c r="U158" s="242"/>
      <c r="V158" s="242"/>
      <c r="W158" s="242"/>
      <c r="X158" s="242"/>
      <c r="Y158" s="242"/>
      <c r="Z158" s="242"/>
      <c r="AA158" s="242"/>
      <c r="AB158" s="242"/>
      <c r="AC158" s="242"/>
    </row>
    <row r="159">
      <c r="A159" s="242"/>
      <c r="B159" s="242"/>
      <c r="C159" s="242"/>
      <c r="D159" s="242"/>
      <c r="E159" s="242"/>
      <c r="F159" s="242"/>
      <c r="G159" s="242"/>
      <c r="H159" s="242"/>
      <c r="I159" s="242"/>
      <c r="J159" s="13"/>
      <c r="K159" s="15"/>
      <c r="L159" s="341"/>
      <c r="M159" s="13"/>
      <c r="N159" s="13"/>
      <c r="O159" s="13"/>
      <c r="P159" s="13"/>
      <c r="Q159" s="242"/>
      <c r="R159" s="13"/>
      <c r="S159" s="242"/>
      <c r="T159" s="13"/>
      <c r="U159" s="242"/>
      <c r="V159" s="242"/>
      <c r="W159" s="242"/>
      <c r="X159" s="242"/>
      <c r="Y159" s="242"/>
      <c r="Z159" s="242"/>
      <c r="AA159" s="242"/>
      <c r="AB159" s="242"/>
      <c r="AC159" s="242"/>
    </row>
    <row r="160">
      <c r="A160" s="242"/>
      <c r="B160" s="242"/>
      <c r="C160" s="242"/>
      <c r="D160" s="242"/>
      <c r="E160" s="242"/>
      <c r="F160" s="242"/>
      <c r="G160" s="242"/>
      <c r="H160" s="242"/>
      <c r="I160" s="242"/>
      <c r="J160" s="13"/>
      <c r="K160" s="15"/>
      <c r="L160" s="341"/>
      <c r="M160" s="13"/>
      <c r="N160" s="13"/>
      <c r="O160" s="13"/>
      <c r="P160" s="13"/>
      <c r="Q160" s="242"/>
      <c r="R160" s="13"/>
      <c r="S160" s="242"/>
      <c r="T160" s="13"/>
      <c r="U160" s="242"/>
      <c r="V160" s="242"/>
      <c r="W160" s="242"/>
      <c r="X160" s="242"/>
      <c r="Y160" s="242"/>
      <c r="Z160" s="242"/>
      <c r="AA160" s="242"/>
      <c r="AB160" s="242"/>
      <c r="AC160" s="242"/>
    </row>
    <row r="161">
      <c r="A161" s="242"/>
      <c r="B161" s="242"/>
      <c r="C161" s="242"/>
      <c r="D161" s="242"/>
      <c r="E161" s="242"/>
      <c r="F161" s="242"/>
      <c r="G161" s="242"/>
      <c r="H161" s="242"/>
      <c r="I161" s="242"/>
      <c r="J161" s="13"/>
      <c r="K161" s="15"/>
      <c r="L161" s="341"/>
      <c r="M161" s="13"/>
      <c r="N161" s="13"/>
      <c r="O161" s="13"/>
      <c r="P161" s="13"/>
      <c r="Q161" s="242"/>
      <c r="R161" s="13"/>
      <c r="S161" s="242"/>
      <c r="T161" s="13"/>
      <c r="U161" s="242"/>
      <c r="V161" s="242"/>
      <c r="W161" s="242"/>
      <c r="X161" s="242"/>
      <c r="Y161" s="242"/>
      <c r="Z161" s="242"/>
      <c r="AA161" s="242"/>
      <c r="AB161" s="242"/>
      <c r="AC161" s="242"/>
    </row>
    <row r="162">
      <c r="A162" s="242"/>
      <c r="B162" s="242"/>
      <c r="C162" s="242"/>
      <c r="D162" s="242"/>
      <c r="E162" s="242"/>
      <c r="F162" s="242"/>
      <c r="G162" s="242"/>
      <c r="H162" s="242"/>
      <c r="I162" s="242"/>
      <c r="J162" s="13"/>
      <c r="K162" s="15"/>
      <c r="L162" s="341"/>
      <c r="M162" s="13"/>
      <c r="N162" s="13"/>
      <c r="O162" s="13"/>
      <c r="P162" s="13"/>
      <c r="Q162" s="242"/>
      <c r="R162" s="13"/>
      <c r="S162" s="242"/>
      <c r="T162" s="13"/>
      <c r="U162" s="242"/>
      <c r="V162" s="242"/>
      <c r="W162" s="242"/>
      <c r="X162" s="242"/>
      <c r="Y162" s="242"/>
      <c r="Z162" s="242"/>
      <c r="AA162" s="242"/>
      <c r="AB162" s="242"/>
      <c r="AC162" s="242"/>
    </row>
    <row r="163">
      <c r="A163" s="242"/>
      <c r="B163" s="242"/>
      <c r="C163" s="242"/>
      <c r="D163" s="242"/>
      <c r="E163" s="242"/>
      <c r="F163" s="242"/>
      <c r="G163" s="242"/>
      <c r="H163" s="242"/>
      <c r="I163" s="242"/>
      <c r="J163" s="13"/>
      <c r="K163" s="15"/>
      <c r="L163" s="341"/>
      <c r="M163" s="13"/>
      <c r="N163" s="13"/>
      <c r="O163" s="13"/>
      <c r="P163" s="13"/>
      <c r="Q163" s="242"/>
      <c r="R163" s="13"/>
      <c r="S163" s="242"/>
      <c r="T163" s="13"/>
      <c r="U163" s="242"/>
      <c r="V163" s="242"/>
      <c r="W163" s="242"/>
      <c r="X163" s="242"/>
      <c r="Y163" s="242"/>
      <c r="Z163" s="242"/>
      <c r="AA163" s="242"/>
      <c r="AB163" s="242"/>
      <c r="AC163" s="242"/>
    </row>
    <row r="164">
      <c r="A164" s="242"/>
      <c r="B164" s="242"/>
      <c r="C164" s="242"/>
      <c r="D164" s="242"/>
      <c r="E164" s="242"/>
      <c r="F164" s="242"/>
      <c r="G164" s="242"/>
      <c r="H164" s="242"/>
      <c r="I164" s="242"/>
      <c r="J164" s="13"/>
      <c r="K164" s="15"/>
      <c r="L164" s="341"/>
      <c r="M164" s="13"/>
      <c r="N164" s="13"/>
      <c r="O164" s="13"/>
      <c r="P164" s="13"/>
      <c r="Q164" s="242"/>
      <c r="R164" s="13"/>
      <c r="S164" s="242"/>
      <c r="T164" s="13"/>
      <c r="U164" s="242"/>
      <c r="V164" s="242"/>
      <c r="W164" s="242"/>
      <c r="X164" s="242"/>
      <c r="Y164" s="242"/>
      <c r="Z164" s="242"/>
      <c r="AA164" s="242"/>
      <c r="AB164" s="242"/>
      <c r="AC164" s="242"/>
    </row>
    <row r="165">
      <c r="A165" s="242"/>
      <c r="B165" s="242"/>
      <c r="C165" s="242"/>
      <c r="D165" s="242"/>
      <c r="E165" s="242"/>
      <c r="F165" s="242"/>
      <c r="G165" s="242"/>
      <c r="H165" s="242"/>
      <c r="I165" s="242"/>
      <c r="J165" s="13"/>
      <c r="K165" s="15"/>
      <c r="L165" s="341"/>
      <c r="M165" s="13"/>
      <c r="N165" s="13"/>
      <c r="O165" s="13"/>
      <c r="P165" s="13"/>
      <c r="Q165" s="242"/>
      <c r="R165" s="13"/>
      <c r="S165" s="242"/>
      <c r="T165" s="13"/>
      <c r="U165" s="242"/>
      <c r="V165" s="242"/>
      <c r="W165" s="242"/>
      <c r="X165" s="242"/>
      <c r="Y165" s="242"/>
      <c r="Z165" s="242"/>
      <c r="AA165" s="242"/>
      <c r="AB165" s="242"/>
      <c r="AC165" s="242"/>
    </row>
    <row r="166">
      <c r="A166" s="242"/>
      <c r="B166" s="242"/>
      <c r="C166" s="242"/>
      <c r="D166" s="242"/>
      <c r="E166" s="242"/>
      <c r="F166" s="242"/>
      <c r="G166" s="242"/>
      <c r="H166" s="242"/>
      <c r="I166" s="242"/>
      <c r="J166" s="13"/>
      <c r="K166" s="15"/>
      <c r="L166" s="341"/>
      <c r="M166" s="13"/>
      <c r="N166" s="13"/>
      <c r="O166" s="13"/>
      <c r="P166" s="13"/>
      <c r="Q166" s="242"/>
      <c r="R166" s="13"/>
      <c r="S166" s="242"/>
      <c r="T166" s="13"/>
      <c r="U166" s="242"/>
      <c r="V166" s="242"/>
      <c r="W166" s="242"/>
      <c r="X166" s="242"/>
      <c r="Y166" s="242"/>
      <c r="Z166" s="242"/>
      <c r="AA166" s="242"/>
      <c r="AB166" s="242"/>
      <c r="AC166" s="242"/>
    </row>
    <row r="167">
      <c r="A167" s="242"/>
      <c r="B167" s="242"/>
      <c r="C167" s="242"/>
      <c r="D167" s="242"/>
      <c r="E167" s="242"/>
      <c r="F167" s="242"/>
      <c r="G167" s="242"/>
      <c r="H167" s="242"/>
      <c r="I167" s="242"/>
      <c r="J167" s="13"/>
      <c r="K167" s="15"/>
      <c r="L167" s="341"/>
      <c r="M167" s="13"/>
      <c r="N167" s="13"/>
      <c r="O167" s="13"/>
      <c r="P167" s="13"/>
      <c r="Q167" s="242"/>
      <c r="R167" s="13"/>
      <c r="S167" s="242"/>
      <c r="T167" s="13"/>
      <c r="U167" s="242"/>
      <c r="V167" s="242"/>
      <c r="W167" s="242"/>
      <c r="X167" s="242"/>
      <c r="Y167" s="242"/>
      <c r="Z167" s="242"/>
      <c r="AA167" s="242"/>
      <c r="AB167" s="242"/>
      <c r="AC167" s="242"/>
    </row>
    <row r="168">
      <c r="A168" s="242"/>
      <c r="B168" s="242"/>
      <c r="C168" s="242"/>
      <c r="D168" s="242"/>
      <c r="E168" s="242"/>
      <c r="F168" s="242"/>
      <c r="G168" s="242"/>
      <c r="H168" s="242"/>
      <c r="I168" s="242"/>
      <c r="J168" s="13"/>
      <c r="K168" s="15"/>
      <c r="L168" s="341"/>
      <c r="M168" s="13"/>
      <c r="N168" s="13"/>
      <c r="O168" s="13"/>
      <c r="P168" s="13"/>
      <c r="Q168" s="242"/>
      <c r="R168" s="13"/>
      <c r="S168" s="242"/>
      <c r="T168" s="13"/>
      <c r="U168" s="242"/>
      <c r="V168" s="242"/>
      <c r="W168" s="242"/>
      <c r="X168" s="242"/>
      <c r="Y168" s="242"/>
      <c r="Z168" s="242"/>
      <c r="AA168" s="242"/>
      <c r="AB168" s="242"/>
      <c r="AC168" s="242"/>
    </row>
    <row r="169">
      <c r="A169" s="242"/>
      <c r="B169" s="242"/>
      <c r="C169" s="242"/>
      <c r="D169" s="242"/>
      <c r="E169" s="242"/>
      <c r="F169" s="242"/>
      <c r="G169" s="242"/>
      <c r="H169" s="242"/>
      <c r="I169" s="242"/>
      <c r="J169" s="13"/>
      <c r="K169" s="15"/>
      <c r="L169" s="341"/>
      <c r="M169" s="13"/>
      <c r="N169" s="13"/>
      <c r="O169" s="13"/>
      <c r="P169" s="13"/>
      <c r="Q169" s="242"/>
      <c r="R169" s="13"/>
      <c r="S169" s="242"/>
      <c r="T169" s="13"/>
      <c r="U169" s="242"/>
      <c r="V169" s="242"/>
      <c r="W169" s="242"/>
      <c r="X169" s="242"/>
      <c r="Y169" s="242"/>
      <c r="Z169" s="242"/>
      <c r="AA169" s="242"/>
      <c r="AB169" s="242"/>
      <c r="AC169" s="242"/>
    </row>
    <row r="170">
      <c r="A170" s="242"/>
      <c r="B170" s="242"/>
      <c r="C170" s="242"/>
      <c r="D170" s="242"/>
      <c r="E170" s="242"/>
      <c r="F170" s="242"/>
      <c r="G170" s="242"/>
      <c r="H170" s="242"/>
      <c r="I170" s="242"/>
      <c r="J170" s="13"/>
      <c r="K170" s="15"/>
      <c r="L170" s="341"/>
      <c r="M170" s="13"/>
      <c r="N170" s="13"/>
      <c r="O170" s="13"/>
      <c r="P170" s="13"/>
      <c r="Q170" s="242"/>
      <c r="R170" s="13"/>
      <c r="S170" s="242"/>
      <c r="T170" s="13"/>
      <c r="U170" s="242"/>
      <c r="V170" s="242"/>
      <c r="W170" s="242"/>
      <c r="X170" s="242"/>
      <c r="Y170" s="242"/>
      <c r="Z170" s="242"/>
      <c r="AA170" s="242"/>
      <c r="AB170" s="242"/>
      <c r="AC170" s="242"/>
    </row>
    <row r="171">
      <c r="A171" s="242"/>
      <c r="B171" s="242"/>
      <c r="C171" s="242"/>
      <c r="D171" s="242"/>
      <c r="E171" s="242"/>
      <c r="F171" s="242"/>
      <c r="G171" s="242"/>
      <c r="H171" s="242"/>
      <c r="I171" s="242"/>
      <c r="J171" s="13"/>
      <c r="K171" s="15"/>
      <c r="L171" s="341"/>
      <c r="M171" s="13"/>
      <c r="N171" s="13"/>
      <c r="O171" s="13"/>
      <c r="P171" s="13"/>
      <c r="Q171" s="242"/>
      <c r="R171" s="13"/>
      <c r="S171" s="242"/>
      <c r="T171" s="13"/>
      <c r="U171" s="242"/>
      <c r="V171" s="242"/>
      <c r="W171" s="242"/>
      <c r="X171" s="242"/>
      <c r="Y171" s="242"/>
      <c r="Z171" s="242"/>
      <c r="AA171" s="242"/>
      <c r="AB171" s="242"/>
      <c r="AC171" s="242"/>
    </row>
    <row r="172">
      <c r="A172" s="242"/>
      <c r="B172" s="242"/>
      <c r="C172" s="242"/>
      <c r="D172" s="242"/>
      <c r="E172" s="242"/>
      <c r="F172" s="242"/>
      <c r="G172" s="242"/>
      <c r="H172" s="242"/>
      <c r="I172" s="242"/>
      <c r="J172" s="13"/>
      <c r="K172" s="15"/>
      <c r="L172" s="341"/>
      <c r="M172" s="13"/>
      <c r="N172" s="13"/>
      <c r="O172" s="13"/>
      <c r="P172" s="13"/>
      <c r="Q172" s="242"/>
      <c r="R172" s="13"/>
      <c r="S172" s="242"/>
      <c r="T172" s="13"/>
      <c r="U172" s="242"/>
      <c r="V172" s="242"/>
      <c r="W172" s="242"/>
      <c r="X172" s="242"/>
      <c r="Y172" s="242"/>
      <c r="Z172" s="242"/>
      <c r="AA172" s="242"/>
      <c r="AB172" s="242"/>
      <c r="AC172" s="242"/>
    </row>
    <row r="173">
      <c r="A173" s="242"/>
      <c r="B173" s="242"/>
      <c r="C173" s="242"/>
      <c r="D173" s="242"/>
      <c r="E173" s="242"/>
      <c r="F173" s="242"/>
      <c r="G173" s="242"/>
      <c r="H173" s="242"/>
      <c r="I173" s="242"/>
      <c r="J173" s="13"/>
      <c r="K173" s="15"/>
      <c r="L173" s="341"/>
      <c r="M173" s="13"/>
      <c r="N173" s="13"/>
      <c r="O173" s="13"/>
      <c r="P173" s="13"/>
      <c r="Q173" s="242"/>
      <c r="R173" s="13"/>
      <c r="S173" s="242"/>
      <c r="T173" s="13"/>
      <c r="U173" s="242"/>
      <c r="V173" s="242"/>
      <c r="W173" s="242"/>
      <c r="X173" s="242"/>
      <c r="Y173" s="242"/>
      <c r="Z173" s="242"/>
      <c r="AA173" s="242"/>
      <c r="AB173" s="242"/>
      <c r="AC173" s="242"/>
    </row>
    <row r="174">
      <c r="A174" s="242"/>
      <c r="B174" s="242"/>
      <c r="C174" s="242"/>
      <c r="D174" s="242"/>
      <c r="E174" s="242"/>
      <c r="F174" s="242"/>
      <c r="G174" s="242"/>
      <c r="H174" s="242"/>
      <c r="I174" s="242"/>
      <c r="J174" s="13"/>
      <c r="K174" s="15"/>
      <c r="L174" s="341"/>
      <c r="M174" s="13"/>
      <c r="N174" s="13"/>
      <c r="O174" s="13"/>
      <c r="P174" s="13"/>
      <c r="Q174" s="242"/>
      <c r="R174" s="13"/>
      <c r="S174" s="242"/>
      <c r="T174" s="13"/>
      <c r="U174" s="242"/>
      <c r="V174" s="242"/>
      <c r="W174" s="242"/>
      <c r="X174" s="242"/>
      <c r="Y174" s="242"/>
      <c r="Z174" s="242"/>
      <c r="AA174" s="242"/>
      <c r="AB174" s="242"/>
      <c r="AC174" s="242"/>
    </row>
    <row r="175">
      <c r="A175" s="242"/>
      <c r="B175" s="242"/>
      <c r="C175" s="242"/>
      <c r="D175" s="242"/>
      <c r="E175" s="242"/>
      <c r="F175" s="242"/>
      <c r="G175" s="242"/>
      <c r="H175" s="242"/>
      <c r="I175" s="242"/>
      <c r="J175" s="13"/>
      <c r="K175" s="15"/>
      <c r="L175" s="341"/>
      <c r="M175" s="13"/>
      <c r="N175" s="13"/>
      <c r="O175" s="13"/>
      <c r="P175" s="13"/>
      <c r="Q175" s="242"/>
      <c r="R175" s="13"/>
      <c r="S175" s="242"/>
      <c r="T175" s="13"/>
      <c r="U175" s="242"/>
      <c r="V175" s="242"/>
      <c r="W175" s="242"/>
      <c r="X175" s="242"/>
      <c r="Y175" s="242"/>
      <c r="Z175" s="242"/>
      <c r="AA175" s="242"/>
      <c r="AB175" s="242"/>
      <c r="AC175" s="242"/>
    </row>
    <row r="176">
      <c r="A176" s="242"/>
      <c r="B176" s="242"/>
      <c r="C176" s="242"/>
      <c r="D176" s="242"/>
      <c r="E176" s="242"/>
      <c r="F176" s="242"/>
      <c r="G176" s="242"/>
      <c r="H176" s="242"/>
      <c r="I176" s="242"/>
      <c r="J176" s="13"/>
      <c r="K176" s="15"/>
      <c r="L176" s="341"/>
      <c r="M176" s="13"/>
      <c r="N176" s="13"/>
      <c r="O176" s="13"/>
      <c r="P176" s="13"/>
      <c r="Q176" s="242"/>
      <c r="R176" s="13"/>
      <c r="S176" s="242"/>
      <c r="T176" s="13"/>
      <c r="U176" s="242"/>
      <c r="V176" s="242"/>
      <c r="W176" s="242"/>
      <c r="X176" s="242"/>
      <c r="Y176" s="242"/>
      <c r="Z176" s="242"/>
      <c r="AA176" s="242"/>
      <c r="AB176" s="242"/>
      <c r="AC176" s="242"/>
    </row>
    <row r="177">
      <c r="A177" s="242"/>
      <c r="B177" s="242"/>
      <c r="C177" s="242"/>
      <c r="D177" s="242"/>
      <c r="E177" s="242"/>
      <c r="F177" s="242"/>
      <c r="G177" s="242"/>
      <c r="H177" s="242"/>
      <c r="I177" s="242"/>
      <c r="J177" s="13"/>
      <c r="K177" s="15"/>
      <c r="L177" s="341"/>
      <c r="M177" s="13"/>
      <c r="N177" s="13"/>
      <c r="O177" s="13"/>
      <c r="P177" s="13"/>
      <c r="Q177" s="242"/>
      <c r="R177" s="13"/>
      <c r="S177" s="242"/>
      <c r="T177" s="13"/>
      <c r="U177" s="242"/>
      <c r="V177" s="242"/>
      <c r="W177" s="242"/>
      <c r="X177" s="242"/>
      <c r="Y177" s="242"/>
      <c r="Z177" s="242"/>
      <c r="AA177" s="242"/>
      <c r="AB177" s="242"/>
      <c r="AC177" s="242"/>
    </row>
    <row r="178">
      <c r="A178" s="242"/>
      <c r="B178" s="242"/>
      <c r="C178" s="242"/>
      <c r="D178" s="242"/>
      <c r="E178" s="242"/>
      <c r="F178" s="242"/>
      <c r="G178" s="242"/>
      <c r="H178" s="242"/>
      <c r="I178" s="242"/>
      <c r="J178" s="13"/>
      <c r="K178" s="15"/>
      <c r="L178" s="341"/>
      <c r="M178" s="13"/>
      <c r="N178" s="13"/>
      <c r="O178" s="13"/>
      <c r="P178" s="13"/>
      <c r="Q178" s="242"/>
      <c r="R178" s="13"/>
      <c r="S178" s="242"/>
      <c r="T178" s="13"/>
      <c r="U178" s="242"/>
      <c r="V178" s="242"/>
      <c r="W178" s="242"/>
      <c r="X178" s="242"/>
      <c r="Y178" s="242"/>
      <c r="Z178" s="242"/>
      <c r="AA178" s="242"/>
      <c r="AB178" s="242"/>
      <c r="AC178" s="242"/>
    </row>
    <row r="179">
      <c r="A179" s="242"/>
      <c r="B179" s="242"/>
      <c r="C179" s="242"/>
      <c r="D179" s="242"/>
      <c r="E179" s="242"/>
      <c r="F179" s="242"/>
      <c r="G179" s="242"/>
      <c r="H179" s="242"/>
      <c r="I179" s="242"/>
      <c r="J179" s="13"/>
      <c r="K179" s="15"/>
      <c r="L179" s="341"/>
      <c r="M179" s="13"/>
      <c r="N179" s="13"/>
      <c r="O179" s="13"/>
      <c r="P179" s="13"/>
      <c r="Q179" s="242"/>
      <c r="R179" s="13"/>
      <c r="S179" s="242"/>
      <c r="T179" s="13"/>
      <c r="U179" s="242"/>
      <c r="V179" s="242"/>
      <c r="W179" s="242"/>
      <c r="X179" s="242"/>
      <c r="Y179" s="242"/>
      <c r="Z179" s="242"/>
      <c r="AA179" s="242"/>
      <c r="AB179" s="242"/>
      <c r="AC179" s="242"/>
    </row>
    <row r="180">
      <c r="A180" s="242"/>
      <c r="B180" s="242"/>
      <c r="C180" s="242"/>
      <c r="D180" s="242"/>
      <c r="E180" s="242"/>
      <c r="F180" s="242"/>
      <c r="G180" s="242"/>
      <c r="H180" s="242"/>
      <c r="I180" s="242"/>
      <c r="J180" s="13"/>
      <c r="K180" s="15"/>
      <c r="L180" s="341"/>
      <c r="M180" s="13"/>
      <c r="N180" s="13"/>
      <c r="O180" s="13"/>
      <c r="P180" s="13"/>
      <c r="Q180" s="242"/>
      <c r="R180" s="13"/>
      <c r="S180" s="242"/>
      <c r="T180" s="13"/>
      <c r="U180" s="242"/>
      <c r="V180" s="242"/>
      <c r="W180" s="242"/>
      <c r="X180" s="242"/>
      <c r="Y180" s="242"/>
      <c r="Z180" s="242"/>
      <c r="AA180" s="242"/>
      <c r="AB180" s="242"/>
      <c r="AC180" s="242"/>
    </row>
    <row r="181">
      <c r="A181" s="242"/>
      <c r="B181" s="242"/>
      <c r="C181" s="242"/>
      <c r="D181" s="242"/>
      <c r="E181" s="242"/>
      <c r="F181" s="242"/>
      <c r="G181" s="242"/>
      <c r="H181" s="242"/>
      <c r="I181" s="242"/>
      <c r="J181" s="13"/>
      <c r="K181" s="15"/>
      <c r="L181" s="341"/>
      <c r="M181" s="13"/>
      <c r="N181" s="13"/>
      <c r="O181" s="13"/>
      <c r="P181" s="13"/>
      <c r="Q181" s="242"/>
      <c r="R181" s="13"/>
      <c r="S181" s="242"/>
      <c r="T181" s="13"/>
      <c r="U181" s="242"/>
      <c r="V181" s="242"/>
      <c r="W181" s="242"/>
      <c r="X181" s="242"/>
      <c r="Y181" s="242"/>
      <c r="Z181" s="242"/>
      <c r="AA181" s="242"/>
      <c r="AB181" s="242"/>
      <c r="AC181" s="242"/>
    </row>
    <row r="182">
      <c r="A182" s="242"/>
      <c r="B182" s="242"/>
      <c r="C182" s="242"/>
      <c r="D182" s="242"/>
      <c r="E182" s="242"/>
      <c r="F182" s="242"/>
      <c r="G182" s="242"/>
      <c r="H182" s="242"/>
      <c r="I182" s="242"/>
      <c r="J182" s="13"/>
      <c r="K182" s="15"/>
      <c r="L182" s="341"/>
      <c r="M182" s="13"/>
      <c r="N182" s="13"/>
      <c r="O182" s="13"/>
      <c r="P182" s="13"/>
      <c r="Q182" s="242"/>
      <c r="R182" s="13"/>
      <c r="S182" s="242"/>
      <c r="T182" s="13"/>
      <c r="U182" s="242"/>
      <c r="V182" s="242"/>
      <c r="W182" s="242"/>
      <c r="X182" s="242"/>
      <c r="Y182" s="242"/>
      <c r="Z182" s="242"/>
      <c r="AA182" s="242"/>
      <c r="AB182" s="242"/>
      <c r="AC182" s="242"/>
    </row>
    <row r="183">
      <c r="A183" s="242"/>
      <c r="B183" s="242"/>
      <c r="C183" s="242"/>
      <c r="D183" s="242"/>
      <c r="E183" s="242"/>
      <c r="F183" s="242"/>
      <c r="G183" s="242"/>
      <c r="H183" s="242"/>
      <c r="I183" s="242"/>
      <c r="J183" s="13"/>
      <c r="K183" s="15"/>
      <c r="L183" s="341"/>
      <c r="M183" s="13"/>
      <c r="N183" s="13"/>
      <c r="O183" s="13"/>
      <c r="P183" s="13"/>
      <c r="Q183" s="242"/>
      <c r="R183" s="13"/>
      <c r="S183" s="242"/>
      <c r="T183" s="13"/>
      <c r="U183" s="242"/>
      <c r="V183" s="242"/>
      <c r="W183" s="242"/>
      <c r="X183" s="242"/>
      <c r="Y183" s="242"/>
      <c r="Z183" s="242"/>
      <c r="AA183" s="242"/>
      <c r="AB183" s="242"/>
      <c r="AC183" s="242"/>
    </row>
    <row r="184">
      <c r="A184" s="242"/>
      <c r="B184" s="242"/>
      <c r="C184" s="242"/>
      <c r="D184" s="242"/>
      <c r="E184" s="242"/>
      <c r="F184" s="242"/>
      <c r="G184" s="242"/>
      <c r="H184" s="242"/>
      <c r="I184" s="242"/>
      <c r="J184" s="13"/>
      <c r="K184" s="15"/>
      <c r="L184" s="341"/>
      <c r="M184" s="13"/>
      <c r="N184" s="13"/>
      <c r="O184" s="13"/>
      <c r="P184" s="13"/>
      <c r="Q184" s="242"/>
      <c r="R184" s="13"/>
      <c r="S184" s="242"/>
      <c r="T184" s="13"/>
      <c r="U184" s="242"/>
      <c r="V184" s="242"/>
      <c r="W184" s="242"/>
      <c r="X184" s="242"/>
      <c r="Y184" s="242"/>
      <c r="Z184" s="242"/>
      <c r="AA184" s="242"/>
      <c r="AB184" s="242"/>
      <c r="AC184" s="242"/>
    </row>
    <row r="185">
      <c r="A185" s="242"/>
      <c r="B185" s="242"/>
      <c r="C185" s="242"/>
      <c r="D185" s="242"/>
      <c r="E185" s="242"/>
      <c r="F185" s="242"/>
      <c r="G185" s="242"/>
      <c r="H185" s="242"/>
      <c r="I185" s="242"/>
      <c r="J185" s="13"/>
      <c r="K185" s="15"/>
      <c r="L185" s="341"/>
      <c r="M185" s="13"/>
      <c r="N185" s="13"/>
      <c r="O185" s="13"/>
      <c r="P185" s="13"/>
      <c r="Q185" s="242"/>
      <c r="R185" s="13"/>
      <c r="S185" s="242"/>
      <c r="T185" s="13"/>
      <c r="U185" s="242"/>
      <c r="V185" s="242"/>
      <c r="W185" s="242"/>
      <c r="X185" s="242"/>
      <c r="Y185" s="242"/>
      <c r="Z185" s="242"/>
      <c r="AA185" s="242"/>
      <c r="AB185" s="242"/>
      <c r="AC185" s="242"/>
    </row>
    <row r="186">
      <c r="A186" s="242"/>
      <c r="B186" s="242"/>
      <c r="C186" s="242"/>
      <c r="D186" s="242"/>
      <c r="E186" s="242"/>
      <c r="F186" s="242"/>
      <c r="G186" s="242"/>
      <c r="H186" s="242"/>
      <c r="I186" s="242"/>
      <c r="J186" s="13"/>
      <c r="K186" s="15"/>
      <c r="L186" s="341"/>
      <c r="M186" s="13"/>
      <c r="N186" s="13"/>
      <c r="O186" s="13"/>
      <c r="P186" s="13"/>
      <c r="Q186" s="242"/>
      <c r="R186" s="13"/>
      <c r="S186" s="242"/>
      <c r="T186" s="13"/>
      <c r="U186" s="242"/>
      <c r="V186" s="242"/>
      <c r="W186" s="242"/>
      <c r="X186" s="242"/>
      <c r="Y186" s="242"/>
      <c r="Z186" s="242"/>
      <c r="AA186" s="242"/>
      <c r="AB186" s="242"/>
      <c r="AC186" s="242"/>
    </row>
    <row r="187">
      <c r="A187" s="242"/>
      <c r="B187" s="242"/>
      <c r="C187" s="242"/>
      <c r="D187" s="242"/>
      <c r="E187" s="242"/>
      <c r="F187" s="242"/>
      <c r="G187" s="242"/>
      <c r="H187" s="242"/>
      <c r="I187" s="242"/>
      <c r="J187" s="13"/>
      <c r="K187" s="15"/>
      <c r="L187" s="341"/>
      <c r="M187" s="13"/>
      <c r="N187" s="13"/>
      <c r="O187" s="13"/>
      <c r="P187" s="13"/>
      <c r="Q187" s="242"/>
      <c r="R187" s="13"/>
      <c r="S187" s="242"/>
      <c r="T187" s="13"/>
      <c r="U187" s="242"/>
      <c r="V187" s="242"/>
      <c r="W187" s="242"/>
      <c r="X187" s="242"/>
      <c r="Y187" s="242"/>
      <c r="Z187" s="242"/>
      <c r="AA187" s="242"/>
      <c r="AB187" s="242"/>
      <c r="AC187" s="242"/>
    </row>
    <row r="188">
      <c r="A188" s="242"/>
      <c r="B188" s="242"/>
      <c r="C188" s="242"/>
      <c r="D188" s="242"/>
      <c r="E188" s="242"/>
      <c r="F188" s="242"/>
      <c r="G188" s="242"/>
      <c r="H188" s="242"/>
      <c r="I188" s="242"/>
      <c r="J188" s="13"/>
      <c r="K188" s="15"/>
      <c r="L188" s="341"/>
      <c r="M188" s="13"/>
      <c r="N188" s="13"/>
      <c r="O188" s="13"/>
      <c r="P188" s="13"/>
      <c r="Q188" s="242"/>
      <c r="R188" s="13"/>
      <c r="S188" s="242"/>
      <c r="T188" s="13"/>
      <c r="U188" s="242"/>
      <c r="V188" s="242"/>
      <c r="W188" s="242"/>
      <c r="X188" s="242"/>
      <c r="Y188" s="242"/>
      <c r="Z188" s="242"/>
      <c r="AA188" s="242"/>
      <c r="AB188" s="242"/>
      <c r="AC188" s="242"/>
    </row>
    <row r="189">
      <c r="A189" s="242"/>
      <c r="B189" s="242"/>
      <c r="C189" s="242"/>
      <c r="D189" s="242"/>
      <c r="E189" s="242"/>
      <c r="F189" s="242"/>
      <c r="G189" s="242"/>
      <c r="H189" s="242"/>
      <c r="I189" s="242"/>
      <c r="J189" s="13"/>
      <c r="K189" s="15"/>
      <c r="L189" s="341"/>
      <c r="M189" s="13"/>
      <c r="N189" s="13"/>
      <c r="O189" s="13"/>
      <c r="P189" s="13"/>
      <c r="Q189" s="242"/>
      <c r="R189" s="13"/>
      <c r="S189" s="242"/>
      <c r="T189" s="13"/>
      <c r="U189" s="242"/>
      <c r="V189" s="242"/>
      <c r="W189" s="242"/>
      <c r="X189" s="242"/>
      <c r="Y189" s="242"/>
      <c r="Z189" s="242"/>
      <c r="AA189" s="242"/>
      <c r="AB189" s="242"/>
      <c r="AC189" s="242"/>
    </row>
    <row r="190">
      <c r="A190" s="242"/>
      <c r="B190" s="242"/>
      <c r="C190" s="242"/>
      <c r="D190" s="242"/>
      <c r="E190" s="242"/>
      <c r="F190" s="242"/>
      <c r="G190" s="242"/>
      <c r="H190" s="242"/>
      <c r="I190" s="242"/>
      <c r="J190" s="13"/>
      <c r="K190" s="15"/>
      <c r="L190" s="341"/>
      <c r="M190" s="13"/>
      <c r="N190" s="13"/>
      <c r="O190" s="13"/>
      <c r="P190" s="13"/>
      <c r="Q190" s="242"/>
      <c r="R190" s="13"/>
      <c r="S190" s="242"/>
      <c r="T190" s="13"/>
      <c r="U190" s="242"/>
      <c r="V190" s="242"/>
      <c r="W190" s="242"/>
      <c r="X190" s="242"/>
      <c r="Y190" s="242"/>
      <c r="Z190" s="242"/>
      <c r="AA190" s="242"/>
      <c r="AB190" s="242"/>
      <c r="AC190" s="242"/>
    </row>
    <row r="191">
      <c r="A191" s="242"/>
      <c r="B191" s="242"/>
      <c r="C191" s="242"/>
      <c r="D191" s="242"/>
      <c r="E191" s="242"/>
      <c r="F191" s="242"/>
      <c r="G191" s="242"/>
      <c r="H191" s="242"/>
      <c r="I191" s="242"/>
      <c r="J191" s="13"/>
      <c r="K191" s="15"/>
      <c r="L191" s="341"/>
      <c r="M191" s="13"/>
      <c r="N191" s="13"/>
      <c r="O191" s="13"/>
      <c r="P191" s="13"/>
      <c r="Q191" s="242"/>
      <c r="R191" s="13"/>
      <c r="S191" s="242"/>
      <c r="T191" s="13"/>
      <c r="U191" s="242"/>
      <c r="V191" s="242"/>
      <c r="W191" s="242"/>
      <c r="X191" s="242"/>
      <c r="Y191" s="242"/>
      <c r="Z191" s="242"/>
      <c r="AA191" s="242"/>
      <c r="AB191" s="242"/>
      <c r="AC191" s="242"/>
    </row>
    <row r="192">
      <c r="A192" s="242"/>
      <c r="B192" s="242"/>
      <c r="C192" s="242"/>
      <c r="D192" s="242"/>
      <c r="E192" s="242"/>
      <c r="F192" s="242"/>
      <c r="G192" s="242"/>
      <c r="H192" s="242"/>
      <c r="I192" s="242"/>
      <c r="J192" s="13"/>
      <c r="K192" s="15"/>
      <c r="L192" s="341"/>
      <c r="M192" s="13"/>
      <c r="N192" s="13"/>
      <c r="O192" s="13"/>
      <c r="P192" s="13"/>
      <c r="Q192" s="242"/>
      <c r="R192" s="13"/>
      <c r="S192" s="242"/>
      <c r="T192" s="13"/>
      <c r="U192" s="242"/>
      <c r="V192" s="242"/>
      <c r="W192" s="242"/>
      <c r="X192" s="242"/>
      <c r="Y192" s="242"/>
      <c r="Z192" s="242"/>
      <c r="AA192" s="242"/>
      <c r="AB192" s="242"/>
      <c r="AC192" s="242"/>
    </row>
    <row r="193">
      <c r="A193" s="242"/>
      <c r="B193" s="242"/>
      <c r="C193" s="242"/>
      <c r="D193" s="242"/>
      <c r="E193" s="242"/>
      <c r="F193" s="242"/>
      <c r="G193" s="242"/>
      <c r="H193" s="242"/>
      <c r="I193" s="242"/>
      <c r="J193" s="13"/>
      <c r="K193" s="15"/>
      <c r="L193" s="341"/>
      <c r="M193" s="13"/>
      <c r="N193" s="13"/>
      <c r="O193" s="13"/>
      <c r="P193" s="13"/>
      <c r="Q193" s="242"/>
      <c r="R193" s="13"/>
      <c r="S193" s="242"/>
      <c r="T193" s="13"/>
      <c r="U193" s="242"/>
      <c r="V193" s="242"/>
      <c r="W193" s="242"/>
      <c r="X193" s="242"/>
      <c r="Y193" s="242"/>
      <c r="Z193" s="242"/>
      <c r="AA193" s="242"/>
      <c r="AB193" s="242"/>
      <c r="AC193" s="242"/>
    </row>
    <row r="194">
      <c r="A194" s="242"/>
      <c r="B194" s="242"/>
      <c r="C194" s="242"/>
      <c r="D194" s="242"/>
      <c r="E194" s="242"/>
      <c r="F194" s="242"/>
      <c r="G194" s="242"/>
      <c r="H194" s="242"/>
      <c r="I194" s="242"/>
      <c r="J194" s="13"/>
      <c r="K194" s="15"/>
      <c r="L194" s="341"/>
      <c r="M194" s="13"/>
      <c r="N194" s="13"/>
      <c r="O194" s="13"/>
      <c r="P194" s="13"/>
      <c r="Q194" s="242"/>
      <c r="R194" s="13"/>
      <c r="S194" s="242"/>
      <c r="T194" s="13"/>
      <c r="U194" s="242"/>
      <c r="V194" s="242"/>
      <c r="W194" s="242"/>
      <c r="X194" s="242"/>
      <c r="Y194" s="242"/>
      <c r="Z194" s="242"/>
      <c r="AA194" s="242"/>
      <c r="AB194" s="242"/>
      <c r="AC194" s="242"/>
    </row>
    <row r="195">
      <c r="A195" s="242"/>
      <c r="B195" s="242"/>
      <c r="C195" s="242"/>
      <c r="D195" s="242"/>
      <c r="E195" s="242"/>
      <c r="F195" s="242"/>
      <c r="G195" s="242"/>
      <c r="H195" s="242"/>
      <c r="I195" s="242"/>
      <c r="J195" s="13"/>
      <c r="K195" s="15"/>
      <c r="L195" s="341"/>
      <c r="M195" s="13"/>
      <c r="N195" s="13"/>
      <c r="O195" s="13"/>
      <c r="P195" s="13"/>
      <c r="Q195" s="242"/>
      <c r="R195" s="13"/>
      <c r="S195" s="242"/>
      <c r="T195" s="13"/>
      <c r="U195" s="242"/>
      <c r="V195" s="242"/>
      <c r="W195" s="242"/>
      <c r="X195" s="242"/>
      <c r="Y195" s="242"/>
      <c r="Z195" s="242"/>
      <c r="AA195" s="242"/>
      <c r="AB195" s="242"/>
      <c r="AC195" s="242"/>
    </row>
    <row r="196">
      <c r="A196" s="242"/>
      <c r="B196" s="242"/>
      <c r="C196" s="242"/>
      <c r="D196" s="242"/>
      <c r="E196" s="242"/>
      <c r="F196" s="242"/>
      <c r="G196" s="242"/>
      <c r="H196" s="242"/>
      <c r="I196" s="242"/>
      <c r="J196" s="13"/>
      <c r="K196" s="15"/>
      <c r="L196" s="341"/>
      <c r="M196" s="13"/>
      <c r="N196" s="13"/>
      <c r="O196" s="13"/>
      <c r="P196" s="13"/>
      <c r="Q196" s="242"/>
      <c r="R196" s="13"/>
      <c r="S196" s="242"/>
      <c r="T196" s="13"/>
      <c r="U196" s="242"/>
      <c r="V196" s="242"/>
      <c r="W196" s="242"/>
      <c r="X196" s="242"/>
      <c r="Y196" s="242"/>
      <c r="Z196" s="242"/>
      <c r="AA196" s="242"/>
      <c r="AB196" s="242"/>
      <c r="AC196" s="242"/>
    </row>
    <row r="197">
      <c r="A197" s="242"/>
      <c r="B197" s="242"/>
      <c r="C197" s="242"/>
      <c r="D197" s="242"/>
      <c r="E197" s="242"/>
      <c r="F197" s="242"/>
      <c r="G197" s="242"/>
      <c r="H197" s="242"/>
      <c r="I197" s="242"/>
      <c r="J197" s="13"/>
      <c r="K197" s="15"/>
      <c r="L197" s="341"/>
      <c r="M197" s="13"/>
      <c r="N197" s="13"/>
      <c r="O197" s="13"/>
      <c r="P197" s="13"/>
      <c r="Q197" s="242"/>
      <c r="R197" s="13"/>
      <c r="S197" s="242"/>
      <c r="T197" s="13"/>
      <c r="U197" s="242"/>
      <c r="V197" s="242"/>
      <c r="W197" s="242"/>
      <c r="X197" s="242"/>
      <c r="Y197" s="242"/>
      <c r="Z197" s="242"/>
      <c r="AA197" s="242"/>
      <c r="AB197" s="242"/>
      <c r="AC197" s="242"/>
    </row>
    <row r="198">
      <c r="A198" s="242"/>
      <c r="B198" s="242"/>
      <c r="C198" s="242"/>
      <c r="D198" s="242"/>
      <c r="E198" s="242"/>
      <c r="F198" s="242"/>
      <c r="G198" s="242"/>
      <c r="H198" s="242"/>
      <c r="I198" s="242"/>
      <c r="J198" s="13"/>
      <c r="K198" s="15"/>
      <c r="L198" s="341"/>
      <c r="M198" s="13"/>
      <c r="N198" s="13"/>
      <c r="O198" s="13"/>
      <c r="P198" s="13"/>
      <c r="Q198" s="242"/>
      <c r="R198" s="13"/>
      <c r="S198" s="242"/>
      <c r="T198" s="13"/>
      <c r="U198" s="242"/>
      <c r="V198" s="242"/>
      <c r="W198" s="242"/>
      <c r="X198" s="242"/>
      <c r="Y198" s="242"/>
      <c r="Z198" s="242"/>
      <c r="AA198" s="242"/>
      <c r="AB198" s="242"/>
      <c r="AC198" s="242"/>
    </row>
    <row r="199">
      <c r="A199" s="242"/>
      <c r="B199" s="242"/>
      <c r="C199" s="242"/>
      <c r="D199" s="242"/>
      <c r="E199" s="242"/>
      <c r="F199" s="242"/>
      <c r="G199" s="242"/>
      <c r="H199" s="242"/>
      <c r="I199" s="242"/>
      <c r="J199" s="13"/>
      <c r="K199" s="15"/>
      <c r="L199" s="341"/>
      <c r="M199" s="13"/>
      <c r="N199" s="13"/>
      <c r="O199" s="13"/>
      <c r="P199" s="13"/>
      <c r="Q199" s="242"/>
      <c r="R199" s="13"/>
      <c r="S199" s="242"/>
      <c r="T199" s="13"/>
      <c r="U199" s="242"/>
      <c r="V199" s="242"/>
      <c r="W199" s="242"/>
      <c r="X199" s="242"/>
      <c r="Y199" s="242"/>
      <c r="Z199" s="242"/>
      <c r="AA199" s="242"/>
      <c r="AB199" s="242"/>
      <c r="AC199" s="242"/>
    </row>
    <row r="200">
      <c r="A200" s="242"/>
      <c r="B200" s="242"/>
      <c r="C200" s="242"/>
      <c r="D200" s="242"/>
      <c r="E200" s="242"/>
      <c r="F200" s="242"/>
      <c r="G200" s="242"/>
      <c r="H200" s="242"/>
      <c r="I200" s="242"/>
      <c r="J200" s="13"/>
      <c r="K200" s="15"/>
      <c r="L200" s="341"/>
      <c r="M200" s="13"/>
      <c r="N200" s="13"/>
      <c r="O200" s="13"/>
      <c r="P200" s="13"/>
      <c r="Q200" s="242"/>
      <c r="R200" s="13"/>
      <c r="S200" s="242"/>
      <c r="T200" s="13"/>
      <c r="U200" s="242"/>
      <c r="V200" s="242"/>
      <c r="W200" s="242"/>
      <c r="X200" s="242"/>
      <c r="Y200" s="242"/>
      <c r="Z200" s="242"/>
      <c r="AA200" s="242"/>
      <c r="AB200" s="242"/>
      <c r="AC200" s="242"/>
    </row>
    <row r="201">
      <c r="A201" s="242"/>
      <c r="B201" s="242"/>
      <c r="C201" s="242"/>
      <c r="D201" s="242"/>
      <c r="E201" s="242"/>
      <c r="F201" s="242"/>
      <c r="G201" s="242"/>
      <c r="H201" s="242"/>
      <c r="I201" s="242"/>
      <c r="J201" s="13"/>
      <c r="K201" s="15"/>
      <c r="L201" s="341"/>
      <c r="M201" s="13"/>
      <c r="N201" s="13"/>
      <c r="O201" s="13"/>
      <c r="P201" s="13"/>
      <c r="Q201" s="242"/>
      <c r="R201" s="13"/>
      <c r="S201" s="242"/>
      <c r="T201" s="13"/>
      <c r="U201" s="242"/>
      <c r="V201" s="242"/>
      <c r="W201" s="242"/>
      <c r="X201" s="242"/>
      <c r="Y201" s="242"/>
      <c r="Z201" s="242"/>
      <c r="AA201" s="242"/>
      <c r="AB201" s="242"/>
      <c r="AC201" s="242"/>
    </row>
    <row r="202">
      <c r="A202" s="242"/>
      <c r="B202" s="242"/>
      <c r="C202" s="242"/>
      <c r="D202" s="242"/>
      <c r="E202" s="242"/>
      <c r="F202" s="242"/>
      <c r="G202" s="242"/>
      <c r="H202" s="242"/>
      <c r="I202" s="242"/>
      <c r="J202" s="13"/>
      <c r="K202" s="15"/>
      <c r="L202" s="341"/>
      <c r="M202" s="13"/>
      <c r="N202" s="13"/>
      <c r="O202" s="13"/>
      <c r="P202" s="13"/>
      <c r="Q202" s="242"/>
      <c r="R202" s="13"/>
      <c r="S202" s="242"/>
      <c r="T202" s="13"/>
      <c r="U202" s="242"/>
      <c r="V202" s="242"/>
      <c r="W202" s="242"/>
      <c r="X202" s="242"/>
      <c r="Y202" s="242"/>
      <c r="Z202" s="242"/>
      <c r="AA202" s="242"/>
      <c r="AB202" s="242"/>
      <c r="AC202" s="242"/>
    </row>
    <row r="203">
      <c r="A203" s="242"/>
      <c r="B203" s="242"/>
      <c r="C203" s="242"/>
      <c r="D203" s="242"/>
      <c r="E203" s="242"/>
      <c r="F203" s="242"/>
      <c r="G203" s="242"/>
      <c r="H203" s="242"/>
      <c r="I203" s="242"/>
      <c r="J203" s="13"/>
      <c r="K203" s="15"/>
      <c r="L203" s="341"/>
      <c r="M203" s="13"/>
      <c r="N203" s="13"/>
      <c r="O203" s="13"/>
      <c r="P203" s="13"/>
      <c r="Q203" s="242"/>
      <c r="R203" s="13"/>
      <c r="S203" s="242"/>
      <c r="T203" s="13"/>
      <c r="U203" s="242"/>
      <c r="V203" s="242"/>
      <c r="W203" s="242"/>
      <c r="X203" s="242"/>
      <c r="Y203" s="242"/>
      <c r="Z203" s="242"/>
      <c r="AA203" s="242"/>
      <c r="AB203" s="242"/>
      <c r="AC203" s="242"/>
    </row>
    <row r="204">
      <c r="A204" s="242"/>
      <c r="B204" s="242"/>
      <c r="C204" s="242"/>
      <c r="D204" s="242"/>
      <c r="E204" s="242"/>
      <c r="F204" s="242"/>
      <c r="G204" s="242"/>
      <c r="H204" s="242"/>
      <c r="I204" s="242"/>
      <c r="J204" s="13"/>
      <c r="K204" s="15"/>
      <c r="L204" s="341"/>
      <c r="M204" s="13"/>
      <c r="N204" s="13"/>
      <c r="O204" s="13"/>
      <c r="P204" s="13"/>
      <c r="Q204" s="242"/>
      <c r="R204" s="13"/>
      <c r="S204" s="242"/>
      <c r="T204" s="13"/>
      <c r="U204" s="242"/>
      <c r="V204" s="242"/>
      <c r="W204" s="242"/>
      <c r="X204" s="242"/>
      <c r="Y204" s="242"/>
      <c r="Z204" s="242"/>
      <c r="AA204" s="242"/>
      <c r="AB204" s="242"/>
      <c r="AC204" s="242"/>
    </row>
    <row r="205">
      <c r="A205" s="242"/>
      <c r="B205" s="242"/>
      <c r="C205" s="242"/>
      <c r="D205" s="242"/>
      <c r="E205" s="242"/>
      <c r="F205" s="242"/>
      <c r="G205" s="242"/>
      <c r="H205" s="242"/>
      <c r="I205" s="242"/>
      <c r="J205" s="13"/>
      <c r="K205" s="15"/>
      <c r="L205" s="341"/>
      <c r="M205" s="13"/>
      <c r="N205" s="13"/>
      <c r="O205" s="13"/>
      <c r="P205" s="13"/>
      <c r="Q205" s="242"/>
      <c r="R205" s="13"/>
      <c r="S205" s="242"/>
      <c r="T205" s="13"/>
      <c r="U205" s="242"/>
      <c r="V205" s="242"/>
      <c r="W205" s="242"/>
      <c r="X205" s="242"/>
      <c r="Y205" s="242"/>
      <c r="Z205" s="242"/>
      <c r="AA205" s="242"/>
      <c r="AB205" s="242"/>
      <c r="AC205" s="242"/>
    </row>
    <row r="206">
      <c r="A206" s="242"/>
      <c r="B206" s="242"/>
      <c r="C206" s="242"/>
      <c r="D206" s="242"/>
      <c r="E206" s="242"/>
      <c r="F206" s="242"/>
      <c r="G206" s="242"/>
      <c r="H206" s="242"/>
      <c r="I206" s="242"/>
      <c r="J206" s="13"/>
      <c r="K206" s="15"/>
      <c r="L206" s="341"/>
      <c r="M206" s="13"/>
      <c r="N206" s="13"/>
      <c r="O206" s="13"/>
      <c r="P206" s="13"/>
      <c r="Q206" s="242"/>
      <c r="R206" s="13"/>
      <c r="S206" s="242"/>
      <c r="T206" s="13"/>
      <c r="U206" s="242"/>
      <c r="V206" s="242"/>
      <c r="W206" s="242"/>
      <c r="X206" s="242"/>
      <c r="Y206" s="242"/>
      <c r="Z206" s="242"/>
      <c r="AA206" s="242"/>
      <c r="AB206" s="242"/>
      <c r="AC206" s="242"/>
    </row>
    <row r="207">
      <c r="A207" s="242"/>
      <c r="B207" s="242"/>
      <c r="C207" s="242"/>
      <c r="D207" s="242"/>
      <c r="E207" s="242"/>
      <c r="F207" s="242"/>
      <c r="G207" s="242"/>
      <c r="H207" s="242"/>
      <c r="I207" s="242"/>
      <c r="J207" s="13"/>
      <c r="K207" s="15"/>
      <c r="L207" s="341"/>
      <c r="M207" s="13"/>
      <c r="N207" s="13"/>
      <c r="O207" s="13"/>
      <c r="P207" s="13"/>
      <c r="Q207" s="242"/>
      <c r="R207" s="13"/>
      <c r="S207" s="242"/>
      <c r="T207" s="13"/>
      <c r="U207" s="242"/>
      <c r="V207" s="242"/>
      <c r="W207" s="242"/>
      <c r="X207" s="242"/>
      <c r="Y207" s="242"/>
      <c r="Z207" s="242"/>
      <c r="AA207" s="242"/>
      <c r="AB207" s="242"/>
      <c r="AC207" s="242"/>
    </row>
    <row r="208">
      <c r="A208" s="242"/>
      <c r="B208" s="242"/>
      <c r="C208" s="242"/>
      <c r="D208" s="242"/>
      <c r="E208" s="242"/>
      <c r="F208" s="242"/>
      <c r="G208" s="242"/>
      <c r="H208" s="242"/>
      <c r="I208" s="242"/>
      <c r="J208" s="13"/>
      <c r="K208" s="15"/>
      <c r="L208" s="341"/>
      <c r="M208" s="13"/>
      <c r="N208" s="13"/>
      <c r="O208" s="13"/>
      <c r="P208" s="13"/>
      <c r="Q208" s="242"/>
      <c r="R208" s="13"/>
      <c r="S208" s="242"/>
      <c r="T208" s="13"/>
      <c r="U208" s="242"/>
      <c r="V208" s="242"/>
      <c r="W208" s="242"/>
      <c r="X208" s="242"/>
      <c r="Y208" s="242"/>
      <c r="Z208" s="242"/>
      <c r="AA208" s="242"/>
      <c r="AB208" s="242"/>
      <c r="AC208" s="242"/>
    </row>
    <row r="209">
      <c r="A209" s="242"/>
      <c r="B209" s="242"/>
      <c r="C209" s="242"/>
      <c r="D209" s="242"/>
      <c r="E209" s="242"/>
      <c r="F209" s="242"/>
      <c r="G209" s="242"/>
      <c r="H209" s="242"/>
      <c r="I209" s="242"/>
      <c r="J209" s="13"/>
      <c r="K209" s="15"/>
      <c r="L209" s="341"/>
      <c r="M209" s="13"/>
      <c r="N209" s="13"/>
      <c r="O209" s="13"/>
      <c r="P209" s="13"/>
      <c r="Q209" s="242"/>
      <c r="R209" s="13"/>
      <c r="S209" s="242"/>
      <c r="T209" s="13"/>
      <c r="U209" s="242"/>
      <c r="V209" s="242"/>
      <c r="W209" s="242"/>
      <c r="X209" s="242"/>
      <c r="Y209" s="242"/>
      <c r="Z209" s="242"/>
      <c r="AA209" s="242"/>
      <c r="AB209" s="242"/>
      <c r="AC209" s="242"/>
    </row>
    <row r="210">
      <c r="A210" s="242"/>
      <c r="B210" s="242"/>
      <c r="C210" s="242"/>
      <c r="D210" s="242"/>
      <c r="E210" s="242"/>
      <c r="F210" s="242"/>
      <c r="G210" s="242"/>
      <c r="H210" s="242"/>
      <c r="I210" s="242"/>
      <c r="J210" s="13"/>
      <c r="K210" s="15"/>
      <c r="L210" s="341"/>
      <c r="M210" s="13"/>
      <c r="N210" s="13"/>
      <c r="O210" s="13"/>
      <c r="P210" s="13"/>
      <c r="Q210" s="242"/>
      <c r="R210" s="13"/>
      <c r="S210" s="242"/>
      <c r="T210" s="13"/>
      <c r="U210" s="242"/>
      <c r="V210" s="242"/>
      <c r="W210" s="242"/>
      <c r="X210" s="242"/>
      <c r="Y210" s="242"/>
      <c r="Z210" s="242"/>
      <c r="AA210" s="242"/>
      <c r="AB210" s="242"/>
      <c r="AC210" s="242"/>
    </row>
    <row r="211">
      <c r="A211" s="242"/>
      <c r="B211" s="242"/>
      <c r="C211" s="242"/>
      <c r="D211" s="242"/>
      <c r="E211" s="242"/>
      <c r="F211" s="242"/>
      <c r="G211" s="242"/>
      <c r="H211" s="242"/>
      <c r="I211" s="242"/>
      <c r="J211" s="13"/>
      <c r="K211" s="15"/>
      <c r="L211" s="341"/>
      <c r="M211" s="13"/>
      <c r="N211" s="13"/>
      <c r="O211" s="13"/>
      <c r="P211" s="13"/>
      <c r="Q211" s="242"/>
      <c r="R211" s="13"/>
      <c r="S211" s="242"/>
      <c r="T211" s="13"/>
      <c r="U211" s="242"/>
      <c r="V211" s="242"/>
      <c r="W211" s="242"/>
      <c r="X211" s="242"/>
      <c r="Y211" s="242"/>
      <c r="Z211" s="242"/>
      <c r="AA211" s="242"/>
      <c r="AB211" s="242"/>
      <c r="AC211" s="242"/>
    </row>
    <row r="212">
      <c r="A212" s="242"/>
      <c r="B212" s="242"/>
      <c r="C212" s="242"/>
      <c r="D212" s="242"/>
      <c r="E212" s="242"/>
      <c r="F212" s="242"/>
      <c r="G212" s="242"/>
      <c r="H212" s="242"/>
      <c r="I212" s="242"/>
      <c r="J212" s="13"/>
      <c r="K212" s="15"/>
      <c r="L212" s="341"/>
      <c r="M212" s="13"/>
      <c r="N212" s="13"/>
      <c r="O212" s="13"/>
      <c r="P212" s="13"/>
      <c r="Q212" s="242"/>
      <c r="R212" s="13"/>
      <c r="S212" s="242"/>
      <c r="T212" s="13"/>
      <c r="U212" s="242"/>
      <c r="V212" s="242"/>
      <c r="W212" s="242"/>
      <c r="X212" s="242"/>
      <c r="Y212" s="242"/>
      <c r="Z212" s="242"/>
      <c r="AA212" s="242"/>
      <c r="AB212" s="242"/>
      <c r="AC212" s="242"/>
    </row>
    <row r="213">
      <c r="A213" s="242"/>
      <c r="B213" s="242"/>
      <c r="C213" s="242"/>
      <c r="D213" s="242"/>
      <c r="E213" s="242"/>
      <c r="F213" s="242"/>
      <c r="G213" s="242"/>
      <c r="H213" s="242"/>
      <c r="I213" s="242"/>
      <c r="J213" s="13"/>
      <c r="K213" s="15"/>
      <c r="L213" s="341"/>
      <c r="M213" s="13"/>
      <c r="N213" s="13"/>
      <c r="O213" s="13"/>
      <c r="P213" s="13"/>
      <c r="Q213" s="242"/>
      <c r="R213" s="13"/>
      <c r="S213" s="242"/>
      <c r="T213" s="13"/>
      <c r="U213" s="242"/>
      <c r="V213" s="242"/>
      <c r="W213" s="242"/>
      <c r="X213" s="242"/>
      <c r="Y213" s="242"/>
      <c r="Z213" s="242"/>
      <c r="AA213" s="242"/>
      <c r="AB213" s="242"/>
      <c r="AC213" s="242"/>
    </row>
    <row r="214">
      <c r="A214" s="242"/>
      <c r="B214" s="242"/>
      <c r="C214" s="242"/>
      <c r="D214" s="242"/>
      <c r="E214" s="242"/>
      <c r="F214" s="242"/>
      <c r="G214" s="242"/>
      <c r="H214" s="242"/>
      <c r="I214" s="242"/>
      <c r="J214" s="13"/>
      <c r="K214" s="15"/>
      <c r="L214" s="341"/>
      <c r="M214" s="13"/>
      <c r="N214" s="13"/>
      <c r="O214" s="13"/>
      <c r="P214" s="13"/>
      <c r="Q214" s="242"/>
      <c r="R214" s="13"/>
      <c r="S214" s="242"/>
      <c r="T214" s="13"/>
      <c r="U214" s="242"/>
      <c r="V214" s="242"/>
      <c r="W214" s="242"/>
      <c r="X214" s="242"/>
      <c r="Y214" s="242"/>
      <c r="Z214" s="242"/>
      <c r="AA214" s="242"/>
      <c r="AB214" s="242"/>
      <c r="AC214" s="242"/>
    </row>
    <row r="215">
      <c r="A215" s="242"/>
      <c r="B215" s="242"/>
      <c r="C215" s="242"/>
      <c r="D215" s="242"/>
      <c r="E215" s="242"/>
      <c r="F215" s="242"/>
      <c r="G215" s="242"/>
      <c r="H215" s="242"/>
      <c r="I215" s="242"/>
      <c r="J215" s="13"/>
      <c r="K215" s="15"/>
      <c r="L215" s="341"/>
      <c r="M215" s="13"/>
      <c r="N215" s="13"/>
      <c r="O215" s="13"/>
      <c r="P215" s="13"/>
      <c r="Q215" s="242"/>
      <c r="R215" s="13"/>
      <c r="S215" s="242"/>
      <c r="T215" s="13"/>
      <c r="U215" s="242"/>
      <c r="V215" s="242"/>
      <c r="W215" s="242"/>
      <c r="X215" s="242"/>
      <c r="Y215" s="242"/>
      <c r="Z215" s="242"/>
      <c r="AA215" s="242"/>
      <c r="AB215" s="242"/>
      <c r="AC215" s="242"/>
    </row>
    <row r="216">
      <c r="A216" s="242"/>
      <c r="B216" s="242"/>
      <c r="C216" s="242"/>
      <c r="D216" s="242"/>
      <c r="E216" s="242"/>
      <c r="F216" s="242"/>
      <c r="G216" s="242"/>
      <c r="H216" s="242"/>
      <c r="I216" s="242"/>
      <c r="J216" s="13"/>
      <c r="K216" s="15"/>
      <c r="L216" s="341"/>
      <c r="M216" s="13"/>
      <c r="N216" s="13"/>
      <c r="O216" s="13"/>
      <c r="P216" s="13"/>
      <c r="Q216" s="242"/>
      <c r="R216" s="13"/>
      <c r="S216" s="242"/>
      <c r="T216" s="13"/>
      <c r="U216" s="242"/>
      <c r="V216" s="242"/>
      <c r="W216" s="242"/>
      <c r="X216" s="242"/>
      <c r="Y216" s="242"/>
      <c r="Z216" s="242"/>
      <c r="AA216" s="242"/>
      <c r="AB216" s="242"/>
      <c r="AC216" s="242"/>
    </row>
    <row r="217">
      <c r="A217" s="242"/>
      <c r="B217" s="242"/>
      <c r="C217" s="242"/>
      <c r="D217" s="242"/>
      <c r="E217" s="242"/>
      <c r="F217" s="242"/>
      <c r="G217" s="242"/>
      <c r="H217" s="242"/>
      <c r="I217" s="242"/>
      <c r="J217" s="13"/>
      <c r="K217" s="15"/>
      <c r="L217" s="341"/>
      <c r="M217" s="13"/>
      <c r="N217" s="13"/>
      <c r="O217" s="13"/>
      <c r="P217" s="13"/>
      <c r="Q217" s="242"/>
      <c r="R217" s="13"/>
      <c r="S217" s="242"/>
      <c r="T217" s="13"/>
      <c r="U217" s="242"/>
      <c r="V217" s="242"/>
      <c r="W217" s="242"/>
      <c r="X217" s="242"/>
      <c r="Y217" s="242"/>
      <c r="Z217" s="242"/>
      <c r="AA217" s="242"/>
      <c r="AB217" s="242"/>
      <c r="AC217" s="242"/>
    </row>
    <row r="218">
      <c r="A218" s="242"/>
      <c r="B218" s="242"/>
      <c r="C218" s="242"/>
      <c r="D218" s="242"/>
      <c r="E218" s="242"/>
      <c r="F218" s="242"/>
      <c r="G218" s="242"/>
      <c r="H218" s="242"/>
      <c r="I218" s="242"/>
      <c r="J218" s="13"/>
      <c r="K218" s="15"/>
      <c r="L218" s="341"/>
      <c r="M218" s="13"/>
      <c r="N218" s="13"/>
      <c r="O218" s="13"/>
      <c r="P218" s="13"/>
      <c r="Q218" s="242"/>
      <c r="R218" s="13"/>
      <c r="S218" s="242"/>
      <c r="T218" s="13"/>
      <c r="U218" s="242"/>
      <c r="V218" s="242"/>
      <c r="W218" s="242"/>
      <c r="X218" s="242"/>
      <c r="Y218" s="242"/>
      <c r="Z218" s="242"/>
      <c r="AA218" s="242"/>
      <c r="AB218" s="242"/>
      <c r="AC218" s="242"/>
    </row>
    <row r="219">
      <c r="A219" s="242"/>
      <c r="B219" s="242"/>
      <c r="C219" s="242"/>
      <c r="D219" s="242"/>
      <c r="E219" s="242"/>
      <c r="F219" s="242"/>
      <c r="G219" s="242"/>
      <c r="H219" s="242"/>
      <c r="I219" s="242"/>
      <c r="J219" s="13"/>
      <c r="K219" s="15"/>
      <c r="L219" s="341"/>
      <c r="M219" s="13"/>
      <c r="N219" s="13"/>
      <c r="O219" s="13"/>
      <c r="P219" s="13"/>
      <c r="Q219" s="242"/>
      <c r="R219" s="13"/>
      <c r="S219" s="242"/>
      <c r="T219" s="13"/>
      <c r="U219" s="242"/>
      <c r="V219" s="242"/>
      <c r="W219" s="242"/>
      <c r="X219" s="242"/>
      <c r="Y219" s="242"/>
      <c r="Z219" s="242"/>
      <c r="AA219" s="242"/>
      <c r="AB219" s="242"/>
      <c r="AC219" s="242"/>
    </row>
    <row r="220">
      <c r="A220" s="242"/>
      <c r="B220" s="242"/>
      <c r="C220" s="242"/>
      <c r="D220" s="242"/>
      <c r="E220" s="242"/>
      <c r="F220" s="242"/>
      <c r="G220" s="242"/>
      <c r="H220" s="242"/>
      <c r="I220" s="242"/>
      <c r="J220" s="13"/>
      <c r="K220" s="15"/>
      <c r="L220" s="341"/>
      <c r="M220" s="13"/>
      <c r="N220" s="13"/>
      <c r="O220" s="13"/>
      <c r="P220" s="13"/>
      <c r="Q220" s="242"/>
      <c r="R220" s="13"/>
      <c r="S220" s="242"/>
      <c r="T220" s="13"/>
      <c r="U220" s="242"/>
      <c r="V220" s="242"/>
      <c r="W220" s="242"/>
      <c r="X220" s="242"/>
      <c r="Y220" s="242"/>
      <c r="Z220" s="242"/>
      <c r="AA220" s="242"/>
      <c r="AB220" s="242"/>
      <c r="AC220" s="242"/>
    </row>
    <row r="221">
      <c r="A221" s="242"/>
      <c r="B221" s="242"/>
      <c r="C221" s="242"/>
      <c r="D221" s="242"/>
      <c r="E221" s="242"/>
      <c r="F221" s="242"/>
      <c r="G221" s="242"/>
      <c r="H221" s="242"/>
      <c r="I221" s="242"/>
      <c r="J221" s="13"/>
      <c r="K221" s="15"/>
      <c r="L221" s="341"/>
      <c r="M221" s="13"/>
      <c r="N221" s="13"/>
      <c r="O221" s="13"/>
      <c r="P221" s="13"/>
      <c r="Q221" s="242"/>
      <c r="R221" s="13"/>
      <c r="S221" s="242"/>
      <c r="T221" s="13"/>
      <c r="U221" s="242"/>
      <c r="V221" s="242"/>
      <c r="W221" s="242"/>
      <c r="X221" s="242"/>
      <c r="Y221" s="242"/>
      <c r="Z221" s="242"/>
      <c r="AA221" s="242"/>
      <c r="AB221" s="242"/>
      <c r="AC221" s="242"/>
    </row>
    <row r="222">
      <c r="A222" s="242"/>
      <c r="B222" s="242"/>
      <c r="C222" s="242"/>
      <c r="D222" s="242"/>
      <c r="E222" s="242"/>
      <c r="F222" s="242"/>
      <c r="G222" s="242"/>
      <c r="H222" s="242"/>
      <c r="I222" s="242"/>
      <c r="J222" s="13"/>
      <c r="K222" s="15"/>
      <c r="L222" s="341"/>
      <c r="M222" s="13"/>
      <c r="N222" s="13"/>
      <c r="O222" s="13"/>
      <c r="P222" s="13"/>
      <c r="Q222" s="242"/>
      <c r="R222" s="13"/>
      <c r="S222" s="242"/>
      <c r="T222" s="13"/>
      <c r="U222" s="242"/>
      <c r="V222" s="242"/>
      <c r="W222" s="242"/>
      <c r="X222" s="242"/>
      <c r="Y222" s="242"/>
      <c r="Z222" s="242"/>
      <c r="AA222" s="242"/>
      <c r="AB222" s="242"/>
      <c r="AC222" s="242"/>
    </row>
    <row r="223">
      <c r="A223" s="242"/>
      <c r="B223" s="242"/>
      <c r="C223" s="242"/>
      <c r="D223" s="242"/>
      <c r="E223" s="242"/>
      <c r="F223" s="242"/>
      <c r="G223" s="242"/>
      <c r="H223" s="242"/>
      <c r="I223" s="242"/>
      <c r="J223" s="13"/>
      <c r="K223" s="15"/>
      <c r="L223" s="341"/>
      <c r="M223" s="13"/>
      <c r="N223" s="13"/>
      <c r="O223" s="13"/>
      <c r="P223" s="13"/>
      <c r="Q223" s="242"/>
      <c r="R223" s="13"/>
      <c r="S223" s="242"/>
      <c r="T223" s="13"/>
      <c r="U223" s="242"/>
      <c r="V223" s="242"/>
      <c r="W223" s="242"/>
      <c r="X223" s="242"/>
      <c r="Y223" s="242"/>
      <c r="Z223" s="242"/>
      <c r="AA223" s="242"/>
      <c r="AB223" s="242"/>
      <c r="AC223" s="242"/>
    </row>
    <row r="224">
      <c r="A224" s="242"/>
      <c r="B224" s="242"/>
      <c r="C224" s="242"/>
      <c r="D224" s="242"/>
      <c r="E224" s="242"/>
      <c r="F224" s="242"/>
      <c r="G224" s="242"/>
      <c r="H224" s="242"/>
      <c r="I224" s="242"/>
      <c r="J224" s="13"/>
      <c r="K224" s="15"/>
      <c r="L224" s="341"/>
      <c r="M224" s="13"/>
      <c r="N224" s="13"/>
      <c r="O224" s="13"/>
      <c r="P224" s="13"/>
      <c r="Q224" s="242"/>
      <c r="R224" s="13"/>
      <c r="S224" s="242"/>
      <c r="T224" s="13"/>
      <c r="U224" s="242"/>
      <c r="V224" s="242"/>
      <c r="W224" s="242"/>
      <c r="X224" s="242"/>
      <c r="Y224" s="242"/>
      <c r="Z224" s="242"/>
      <c r="AA224" s="242"/>
      <c r="AB224" s="242"/>
      <c r="AC224" s="242"/>
    </row>
    <row r="225">
      <c r="A225" s="242"/>
      <c r="B225" s="242"/>
      <c r="C225" s="242"/>
      <c r="D225" s="242"/>
      <c r="E225" s="242"/>
      <c r="F225" s="242"/>
      <c r="G225" s="242"/>
      <c r="H225" s="242"/>
      <c r="I225" s="242"/>
      <c r="J225" s="13"/>
      <c r="K225" s="15"/>
      <c r="L225" s="341"/>
      <c r="M225" s="13"/>
      <c r="N225" s="13"/>
      <c r="O225" s="13"/>
      <c r="P225" s="13"/>
      <c r="Q225" s="242"/>
      <c r="R225" s="13"/>
      <c r="S225" s="242"/>
      <c r="T225" s="13"/>
      <c r="U225" s="242"/>
      <c r="V225" s="242"/>
      <c r="W225" s="242"/>
      <c r="X225" s="242"/>
      <c r="Y225" s="242"/>
      <c r="Z225" s="242"/>
      <c r="AA225" s="242"/>
      <c r="AB225" s="242"/>
      <c r="AC225" s="242"/>
    </row>
    <row r="226">
      <c r="A226" s="242"/>
      <c r="B226" s="242"/>
      <c r="C226" s="242"/>
      <c r="D226" s="242"/>
      <c r="E226" s="242"/>
      <c r="F226" s="242"/>
      <c r="G226" s="242"/>
      <c r="H226" s="242"/>
      <c r="I226" s="242"/>
      <c r="J226" s="13"/>
      <c r="K226" s="15"/>
      <c r="L226" s="341"/>
      <c r="M226" s="13"/>
      <c r="N226" s="13"/>
      <c r="O226" s="13"/>
      <c r="P226" s="13"/>
      <c r="Q226" s="242"/>
      <c r="R226" s="13"/>
      <c r="S226" s="242"/>
      <c r="T226" s="13"/>
      <c r="U226" s="242"/>
      <c r="V226" s="242"/>
      <c r="W226" s="242"/>
      <c r="X226" s="242"/>
      <c r="Y226" s="242"/>
      <c r="Z226" s="242"/>
      <c r="AA226" s="242"/>
      <c r="AB226" s="242"/>
      <c r="AC226" s="242"/>
    </row>
    <row r="227">
      <c r="A227" s="242"/>
      <c r="B227" s="242"/>
      <c r="C227" s="242"/>
      <c r="D227" s="242"/>
      <c r="E227" s="242"/>
      <c r="F227" s="242"/>
      <c r="G227" s="242"/>
      <c r="H227" s="242"/>
      <c r="I227" s="242"/>
      <c r="J227" s="13"/>
      <c r="K227" s="15"/>
      <c r="L227" s="341"/>
      <c r="M227" s="13"/>
      <c r="N227" s="13"/>
      <c r="O227" s="13"/>
      <c r="P227" s="13"/>
      <c r="Q227" s="242"/>
      <c r="R227" s="13"/>
      <c r="S227" s="242"/>
      <c r="T227" s="13"/>
      <c r="U227" s="242"/>
      <c r="V227" s="242"/>
      <c r="W227" s="242"/>
      <c r="X227" s="242"/>
      <c r="Y227" s="242"/>
      <c r="Z227" s="242"/>
      <c r="AA227" s="242"/>
      <c r="AB227" s="242"/>
      <c r="AC227" s="242"/>
    </row>
    <row r="228">
      <c r="A228" s="242"/>
      <c r="B228" s="242"/>
      <c r="C228" s="242"/>
      <c r="D228" s="242"/>
      <c r="E228" s="242"/>
      <c r="F228" s="242"/>
      <c r="G228" s="242"/>
      <c r="H228" s="242"/>
      <c r="I228" s="242"/>
      <c r="J228" s="13"/>
      <c r="K228" s="15"/>
      <c r="L228" s="341"/>
      <c r="M228" s="13"/>
      <c r="N228" s="13"/>
      <c r="O228" s="13"/>
      <c r="P228" s="13"/>
      <c r="Q228" s="242"/>
      <c r="R228" s="13"/>
      <c r="S228" s="242"/>
      <c r="T228" s="13"/>
      <c r="U228" s="242"/>
      <c r="V228" s="242"/>
      <c r="W228" s="242"/>
      <c r="X228" s="242"/>
      <c r="Y228" s="242"/>
      <c r="Z228" s="242"/>
      <c r="AA228" s="242"/>
      <c r="AB228" s="242"/>
      <c r="AC228" s="242"/>
    </row>
    <row r="229">
      <c r="A229" s="242"/>
      <c r="B229" s="242"/>
      <c r="C229" s="242"/>
      <c r="D229" s="242"/>
      <c r="E229" s="242"/>
      <c r="F229" s="242"/>
      <c r="G229" s="242"/>
      <c r="H229" s="242"/>
      <c r="I229" s="242"/>
      <c r="J229" s="13"/>
      <c r="K229" s="15"/>
      <c r="L229" s="341"/>
      <c r="M229" s="13"/>
      <c r="N229" s="13"/>
      <c r="O229" s="13"/>
      <c r="P229" s="13"/>
      <c r="Q229" s="242"/>
      <c r="R229" s="13"/>
      <c r="S229" s="242"/>
      <c r="T229" s="13"/>
      <c r="U229" s="242"/>
      <c r="V229" s="242"/>
      <c r="W229" s="242"/>
      <c r="X229" s="242"/>
      <c r="Y229" s="242"/>
      <c r="Z229" s="242"/>
      <c r="AA229" s="242"/>
      <c r="AB229" s="242"/>
      <c r="AC229" s="242"/>
    </row>
    <row r="230">
      <c r="A230" s="242"/>
      <c r="B230" s="242"/>
      <c r="C230" s="242"/>
      <c r="D230" s="242"/>
      <c r="E230" s="242"/>
      <c r="F230" s="242"/>
      <c r="G230" s="242"/>
      <c r="H230" s="242"/>
      <c r="I230" s="242"/>
      <c r="J230" s="13"/>
      <c r="K230" s="15"/>
      <c r="L230" s="341"/>
      <c r="M230" s="13"/>
      <c r="N230" s="13"/>
      <c r="O230" s="13"/>
      <c r="P230" s="13"/>
      <c r="Q230" s="242"/>
      <c r="R230" s="13"/>
      <c r="S230" s="242"/>
      <c r="T230" s="13"/>
      <c r="U230" s="242"/>
      <c r="V230" s="242"/>
      <c r="W230" s="242"/>
      <c r="X230" s="242"/>
      <c r="Y230" s="242"/>
      <c r="Z230" s="242"/>
      <c r="AA230" s="242"/>
      <c r="AB230" s="242"/>
      <c r="AC230" s="242"/>
    </row>
    <row r="231">
      <c r="A231" s="242"/>
      <c r="B231" s="242"/>
      <c r="C231" s="242"/>
      <c r="D231" s="242"/>
      <c r="E231" s="242"/>
      <c r="F231" s="242"/>
      <c r="G231" s="242"/>
      <c r="H231" s="242"/>
      <c r="I231" s="242"/>
      <c r="J231" s="13"/>
      <c r="K231" s="15"/>
      <c r="L231" s="341"/>
      <c r="M231" s="13"/>
      <c r="N231" s="13"/>
      <c r="O231" s="13"/>
      <c r="P231" s="13"/>
      <c r="Q231" s="242"/>
      <c r="R231" s="13"/>
      <c r="S231" s="242"/>
      <c r="T231" s="13"/>
      <c r="U231" s="242"/>
      <c r="V231" s="242"/>
      <c r="W231" s="242"/>
      <c r="X231" s="242"/>
      <c r="Y231" s="242"/>
      <c r="Z231" s="242"/>
      <c r="AA231" s="242"/>
      <c r="AB231" s="242"/>
      <c r="AC231" s="242"/>
    </row>
    <row r="232">
      <c r="A232" s="242"/>
      <c r="B232" s="242"/>
      <c r="C232" s="242"/>
      <c r="D232" s="242"/>
      <c r="E232" s="242"/>
      <c r="F232" s="242"/>
      <c r="G232" s="242"/>
      <c r="H232" s="242"/>
      <c r="I232" s="242"/>
      <c r="J232" s="13"/>
      <c r="K232" s="15"/>
      <c r="L232" s="341"/>
      <c r="M232" s="13"/>
      <c r="N232" s="13"/>
      <c r="O232" s="13"/>
      <c r="P232" s="13"/>
      <c r="Q232" s="242"/>
      <c r="R232" s="13"/>
      <c r="S232" s="242"/>
      <c r="T232" s="13"/>
      <c r="U232" s="242"/>
      <c r="V232" s="242"/>
      <c r="W232" s="242"/>
      <c r="X232" s="242"/>
      <c r="Y232" s="242"/>
      <c r="Z232" s="242"/>
      <c r="AA232" s="242"/>
      <c r="AB232" s="242"/>
      <c r="AC232" s="242"/>
    </row>
    <row r="233">
      <c r="A233" s="242"/>
      <c r="B233" s="242"/>
      <c r="C233" s="242"/>
      <c r="D233" s="242"/>
      <c r="E233" s="242"/>
      <c r="F233" s="242"/>
      <c r="G233" s="242"/>
      <c r="H233" s="242"/>
      <c r="I233" s="242"/>
      <c r="J233" s="13"/>
      <c r="K233" s="15"/>
      <c r="L233" s="341"/>
      <c r="M233" s="13"/>
      <c r="N233" s="13"/>
      <c r="O233" s="13"/>
      <c r="P233" s="13"/>
      <c r="Q233" s="242"/>
      <c r="R233" s="13"/>
      <c r="S233" s="242"/>
      <c r="T233" s="13"/>
      <c r="U233" s="242"/>
      <c r="V233" s="242"/>
      <c r="W233" s="242"/>
      <c r="X233" s="242"/>
      <c r="Y233" s="242"/>
      <c r="Z233" s="242"/>
      <c r="AA233" s="242"/>
      <c r="AB233" s="242"/>
      <c r="AC233" s="242"/>
    </row>
    <row r="234">
      <c r="A234" s="242"/>
      <c r="B234" s="242"/>
      <c r="C234" s="242"/>
      <c r="D234" s="242"/>
      <c r="E234" s="242"/>
      <c r="F234" s="242"/>
      <c r="G234" s="242"/>
      <c r="H234" s="242"/>
      <c r="I234" s="242"/>
      <c r="J234" s="13"/>
      <c r="K234" s="15"/>
      <c r="L234" s="341"/>
      <c r="M234" s="13"/>
      <c r="N234" s="13"/>
      <c r="O234" s="13"/>
      <c r="P234" s="13"/>
      <c r="Q234" s="242"/>
      <c r="R234" s="13"/>
      <c r="S234" s="242"/>
      <c r="T234" s="13"/>
      <c r="U234" s="242"/>
      <c r="V234" s="242"/>
      <c r="W234" s="242"/>
      <c r="X234" s="242"/>
      <c r="Y234" s="242"/>
      <c r="Z234" s="242"/>
      <c r="AA234" s="242"/>
      <c r="AB234" s="242"/>
      <c r="AC234" s="242"/>
    </row>
    <row r="235">
      <c r="A235" s="242"/>
      <c r="B235" s="242"/>
      <c r="C235" s="242"/>
      <c r="D235" s="242"/>
      <c r="E235" s="242"/>
      <c r="F235" s="242"/>
      <c r="G235" s="242"/>
      <c r="H235" s="242"/>
      <c r="I235" s="242"/>
      <c r="J235" s="13"/>
      <c r="K235" s="15"/>
      <c r="L235" s="341"/>
      <c r="M235" s="13"/>
      <c r="N235" s="13"/>
      <c r="O235" s="13"/>
      <c r="P235" s="13"/>
      <c r="Q235" s="242"/>
      <c r="R235" s="13"/>
      <c r="S235" s="242"/>
      <c r="T235" s="13"/>
      <c r="U235" s="242"/>
      <c r="V235" s="242"/>
      <c r="W235" s="242"/>
      <c r="X235" s="242"/>
      <c r="Y235" s="242"/>
      <c r="Z235" s="242"/>
      <c r="AA235" s="242"/>
      <c r="AB235" s="242"/>
      <c r="AC235" s="242"/>
    </row>
    <row r="236">
      <c r="A236" s="242"/>
      <c r="B236" s="242"/>
      <c r="C236" s="242"/>
      <c r="D236" s="242"/>
      <c r="E236" s="242"/>
      <c r="F236" s="242"/>
      <c r="G236" s="242"/>
      <c r="H236" s="242"/>
      <c r="I236" s="242"/>
      <c r="J236" s="13"/>
      <c r="K236" s="15"/>
      <c r="L236" s="341"/>
      <c r="M236" s="13"/>
      <c r="N236" s="13"/>
      <c r="O236" s="13"/>
      <c r="P236" s="13"/>
      <c r="Q236" s="242"/>
      <c r="R236" s="13"/>
      <c r="S236" s="242"/>
      <c r="T236" s="13"/>
      <c r="U236" s="242"/>
      <c r="V236" s="242"/>
      <c r="W236" s="242"/>
      <c r="X236" s="242"/>
      <c r="Y236" s="242"/>
      <c r="Z236" s="242"/>
      <c r="AA236" s="242"/>
      <c r="AB236" s="242"/>
      <c r="AC236" s="242"/>
    </row>
    <row r="237">
      <c r="A237" s="242"/>
      <c r="B237" s="242"/>
      <c r="C237" s="242"/>
      <c r="D237" s="242"/>
      <c r="E237" s="242"/>
      <c r="F237" s="242"/>
      <c r="G237" s="242"/>
      <c r="H237" s="242"/>
      <c r="I237" s="242"/>
      <c r="J237" s="13"/>
      <c r="K237" s="15"/>
      <c r="L237" s="341"/>
      <c r="M237" s="13"/>
      <c r="N237" s="13"/>
      <c r="O237" s="13"/>
      <c r="P237" s="13"/>
      <c r="Q237" s="242"/>
      <c r="R237" s="13"/>
      <c r="S237" s="242"/>
      <c r="T237" s="13"/>
      <c r="U237" s="242"/>
      <c r="V237" s="242"/>
      <c r="W237" s="242"/>
      <c r="X237" s="242"/>
      <c r="Y237" s="242"/>
      <c r="Z237" s="242"/>
      <c r="AA237" s="242"/>
      <c r="AB237" s="242"/>
      <c r="AC237" s="242"/>
    </row>
    <row r="238">
      <c r="A238" s="242"/>
      <c r="B238" s="242"/>
      <c r="C238" s="242"/>
      <c r="D238" s="242"/>
      <c r="E238" s="242"/>
      <c r="F238" s="242"/>
      <c r="G238" s="242"/>
      <c r="H238" s="242"/>
      <c r="I238" s="242"/>
      <c r="J238" s="13"/>
      <c r="K238" s="15"/>
      <c r="L238" s="341"/>
      <c r="M238" s="13"/>
      <c r="N238" s="13"/>
      <c r="O238" s="13"/>
      <c r="P238" s="13"/>
      <c r="Q238" s="242"/>
      <c r="R238" s="13"/>
      <c r="S238" s="242"/>
      <c r="T238" s="13"/>
      <c r="U238" s="242"/>
      <c r="V238" s="242"/>
      <c r="W238" s="242"/>
      <c r="X238" s="242"/>
      <c r="Y238" s="242"/>
      <c r="Z238" s="242"/>
      <c r="AA238" s="242"/>
      <c r="AB238" s="242"/>
      <c r="AC238" s="242"/>
    </row>
    <row r="239">
      <c r="A239" s="242"/>
      <c r="B239" s="242"/>
      <c r="C239" s="242"/>
      <c r="D239" s="242"/>
      <c r="E239" s="242"/>
      <c r="F239" s="242"/>
      <c r="G239" s="242"/>
      <c r="H239" s="242"/>
      <c r="I239" s="242"/>
      <c r="J239" s="13"/>
      <c r="K239" s="15"/>
      <c r="L239" s="341"/>
      <c r="M239" s="13"/>
      <c r="N239" s="13"/>
      <c r="O239" s="13"/>
      <c r="P239" s="13"/>
      <c r="Q239" s="242"/>
      <c r="R239" s="13"/>
      <c r="S239" s="242"/>
      <c r="T239" s="13"/>
      <c r="U239" s="242"/>
      <c r="V239" s="242"/>
      <c r="W239" s="242"/>
      <c r="X239" s="242"/>
      <c r="Y239" s="242"/>
      <c r="Z239" s="242"/>
      <c r="AA239" s="242"/>
      <c r="AB239" s="242"/>
      <c r="AC239" s="242"/>
    </row>
    <row r="240">
      <c r="A240" s="242"/>
      <c r="B240" s="242"/>
      <c r="C240" s="242"/>
      <c r="D240" s="242"/>
      <c r="E240" s="242"/>
      <c r="F240" s="242"/>
      <c r="G240" s="242"/>
      <c r="H240" s="242"/>
      <c r="I240" s="242"/>
      <c r="J240" s="13"/>
      <c r="K240" s="15"/>
      <c r="L240" s="341"/>
      <c r="M240" s="13"/>
      <c r="N240" s="13"/>
      <c r="O240" s="13"/>
      <c r="P240" s="13"/>
      <c r="Q240" s="242"/>
      <c r="R240" s="13"/>
      <c r="S240" s="242"/>
      <c r="T240" s="13"/>
      <c r="U240" s="242"/>
      <c r="V240" s="242"/>
      <c r="W240" s="242"/>
      <c r="X240" s="242"/>
      <c r="Y240" s="242"/>
      <c r="Z240" s="242"/>
      <c r="AA240" s="242"/>
      <c r="AB240" s="242"/>
      <c r="AC240" s="242"/>
    </row>
    <row r="241">
      <c r="A241" s="242"/>
      <c r="B241" s="242"/>
      <c r="C241" s="242"/>
      <c r="D241" s="242"/>
      <c r="E241" s="242"/>
      <c r="F241" s="242"/>
      <c r="G241" s="242"/>
      <c r="H241" s="242"/>
      <c r="I241" s="242"/>
      <c r="J241" s="13"/>
      <c r="K241" s="15"/>
      <c r="L241" s="341"/>
      <c r="M241" s="13"/>
      <c r="N241" s="13"/>
      <c r="O241" s="13"/>
      <c r="P241" s="13"/>
      <c r="Q241" s="242"/>
      <c r="R241" s="13"/>
      <c r="S241" s="242"/>
      <c r="T241" s="13"/>
      <c r="U241" s="242"/>
      <c r="V241" s="242"/>
      <c r="W241" s="242"/>
      <c r="X241" s="242"/>
      <c r="Y241" s="242"/>
      <c r="Z241" s="242"/>
      <c r="AA241" s="242"/>
      <c r="AB241" s="242"/>
      <c r="AC241" s="242"/>
    </row>
    <row r="242">
      <c r="A242" s="242"/>
      <c r="B242" s="242"/>
      <c r="C242" s="242"/>
      <c r="D242" s="242"/>
      <c r="E242" s="242"/>
      <c r="F242" s="242"/>
      <c r="G242" s="242"/>
      <c r="H242" s="242"/>
      <c r="I242" s="242"/>
      <c r="J242" s="13"/>
      <c r="K242" s="15"/>
      <c r="L242" s="341"/>
      <c r="M242" s="13"/>
      <c r="N242" s="13"/>
      <c r="O242" s="13"/>
      <c r="P242" s="13"/>
      <c r="Q242" s="242"/>
      <c r="R242" s="13"/>
      <c r="S242" s="242"/>
      <c r="T242" s="13"/>
      <c r="U242" s="242"/>
      <c r="V242" s="242"/>
      <c r="W242" s="242"/>
      <c r="X242" s="242"/>
      <c r="Y242" s="242"/>
      <c r="Z242" s="242"/>
      <c r="AA242" s="242"/>
      <c r="AB242" s="242"/>
      <c r="AC242" s="242"/>
    </row>
    <row r="243">
      <c r="A243" s="242"/>
      <c r="B243" s="242"/>
      <c r="C243" s="242"/>
      <c r="D243" s="242"/>
      <c r="E243" s="242"/>
      <c r="F243" s="242"/>
      <c r="G243" s="242"/>
      <c r="H243" s="242"/>
      <c r="I243" s="242"/>
      <c r="J243" s="13"/>
      <c r="K243" s="15"/>
      <c r="L243" s="341"/>
      <c r="M243" s="13"/>
      <c r="N243" s="13"/>
      <c r="O243" s="13"/>
      <c r="P243" s="13"/>
      <c r="Q243" s="242"/>
      <c r="R243" s="13"/>
      <c r="S243" s="242"/>
      <c r="T243" s="13"/>
      <c r="U243" s="242"/>
      <c r="V243" s="242"/>
      <c r="W243" s="242"/>
      <c r="X243" s="242"/>
      <c r="Y243" s="242"/>
      <c r="Z243" s="242"/>
      <c r="AA243" s="242"/>
      <c r="AB243" s="242"/>
      <c r="AC243" s="242"/>
    </row>
    <row r="244">
      <c r="A244" s="242"/>
      <c r="B244" s="242"/>
      <c r="C244" s="242"/>
      <c r="D244" s="242"/>
      <c r="E244" s="242"/>
      <c r="F244" s="242"/>
      <c r="G244" s="242"/>
      <c r="H244" s="242"/>
      <c r="I244" s="242"/>
      <c r="J244" s="13"/>
      <c r="K244" s="15"/>
      <c r="L244" s="341"/>
      <c r="M244" s="13"/>
      <c r="N244" s="13"/>
      <c r="O244" s="13"/>
      <c r="P244" s="13"/>
      <c r="Q244" s="242"/>
      <c r="R244" s="13"/>
      <c r="S244" s="242"/>
      <c r="T244" s="13"/>
      <c r="U244" s="242"/>
      <c r="V244" s="242"/>
      <c r="W244" s="242"/>
      <c r="X244" s="242"/>
      <c r="Y244" s="242"/>
      <c r="Z244" s="242"/>
      <c r="AA244" s="242"/>
      <c r="AB244" s="242"/>
      <c r="AC244" s="242"/>
    </row>
    <row r="245">
      <c r="A245" s="242"/>
      <c r="B245" s="242"/>
      <c r="C245" s="242"/>
      <c r="D245" s="242"/>
      <c r="E245" s="242"/>
      <c r="F245" s="242"/>
      <c r="G245" s="242"/>
      <c r="H245" s="242"/>
      <c r="I245" s="242"/>
      <c r="J245" s="13"/>
      <c r="K245" s="15"/>
      <c r="L245" s="341"/>
      <c r="M245" s="13"/>
      <c r="N245" s="13"/>
      <c r="O245" s="13"/>
      <c r="P245" s="13"/>
      <c r="Q245" s="242"/>
      <c r="R245" s="13"/>
      <c r="S245" s="242"/>
      <c r="T245" s="13"/>
      <c r="U245" s="242"/>
      <c r="V245" s="242"/>
      <c r="W245" s="242"/>
      <c r="X245" s="242"/>
      <c r="Y245" s="242"/>
      <c r="Z245" s="242"/>
      <c r="AA245" s="242"/>
      <c r="AB245" s="242"/>
      <c r="AC245" s="242"/>
    </row>
    <row r="246">
      <c r="A246" s="242"/>
      <c r="B246" s="242"/>
      <c r="C246" s="242"/>
      <c r="D246" s="242"/>
      <c r="E246" s="242"/>
      <c r="F246" s="242"/>
      <c r="G246" s="242"/>
      <c r="H246" s="242"/>
      <c r="I246" s="242"/>
      <c r="J246" s="13"/>
      <c r="K246" s="15"/>
      <c r="L246" s="341"/>
      <c r="M246" s="13"/>
      <c r="N246" s="13"/>
      <c r="O246" s="13"/>
      <c r="P246" s="13"/>
      <c r="Q246" s="242"/>
      <c r="R246" s="13"/>
      <c r="S246" s="242"/>
      <c r="T246" s="13"/>
      <c r="U246" s="242"/>
      <c r="V246" s="242"/>
      <c r="W246" s="242"/>
      <c r="X246" s="242"/>
      <c r="Y246" s="242"/>
      <c r="Z246" s="242"/>
      <c r="AA246" s="242"/>
      <c r="AB246" s="242"/>
      <c r="AC246" s="242"/>
    </row>
    <row r="247">
      <c r="A247" s="242"/>
      <c r="B247" s="242"/>
      <c r="C247" s="242"/>
      <c r="D247" s="242"/>
      <c r="E247" s="242"/>
      <c r="F247" s="242"/>
      <c r="G247" s="242"/>
      <c r="H247" s="242"/>
      <c r="I247" s="242"/>
      <c r="J247" s="13"/>
      <c r="K247" s="15"/>
      <c r="L247" s="341"/>
      <c r="M247" s="13"/>
      <c r="N247" s="13"/>
      <c r="O247" s="13"/>
      <c r="P247" s="13"/>
      <c r="Q247" s="242"/>
      <c r="R247" s="13"/>
      <c r="S247" s="242"/>
      <c r="T247" s="13"/>
      <c r="U247" s="242"/>
      <c r="V247" s="242"/>
      <c r="W247" s="242"/>
      <c r="X247" s="242"/>
      <c r="Y247" s="242"/>
      <c r="Z247" s="242"/>
      <c r="AA247" s="242"/>
      <c r="AB247" s="242"/>
      <c r="AC247" s="242"/>
    </row>
    <row r="248">
      <c r="A248" s="242"/>
      <c r="B248" s="242"/>
      <c r="C248" s="242"/>
      <c r="D248" s="242"/>
      <c r="E248" s="242"/>
      <c r="F248" s="242"/>
      <c r="G248" s="242"/>
      <c r="H248" s="242"/>
      <c r="I248" s="242"/>
      <c r="J248" s="13"/>
      <c r="K248" s="15"/>
      <c r="L248" s="341"/>
      <c r="M248" s="13"/>
      <c r="N248" s="13"/>
      <c r="O248" s="13"/>
      <c r="P248" s="13"/>
      <c r="Q248" s="242"/>
      <c r="R248" s="13"/>
      <c r="S248" s="242"/>
      <c r="T248" s="13"/>
      <c r="U248" s="242"/>
      <c r="V248" s="242"/>
      <c r="W248" s="242"/>
      <c r="X248" s="242"/>
      <c r="Y248" s="242"/>
      <c r="Z248" s="242"/>
      <c r="AA248" s="242"/>
      <c r="AB248" s="242"/>
      <c r="AC248" s="242"/>
    </row>
    <row r="249">
      <c r="A249" s="242"/>
      <c r="B249" s="242"/>
      <c r="C249" s="242"/>
      <c r="D249" s="242"/>
      <c r="E249" s="242"/>
      <c r="F249" s="242"/>
      <c r="G249" s="242"/>
      <c r="H249" s="242"/>
      <c r="I249" s="242"/>
      <c r="J249" s="13"/>
      <c r="K249" s="15"/>
      <c r="L249" s="341"/>
      <c r="M249" s="13"/>
      <c r="N249" s="13"/>
      <c r="O249" s="13"/>
      <c r="P249" s="13"/>
      <c r="Q249" s="242"/>
      <c r="R249" s="13"/>
      <c r="S249" s="242"/>
      <c r="T249" s="13"/>
      <c r="U249" s="242"/>
      <c r="V249" s="242"/>
      <c r="W249" s="242"/>
      <c r="X249" s="242"/>
      <c r="Y249" s="242"/>
      <c r="Z249" s="242"/>
      <c r="AA249" s="242"/>
      <c r="AB249" s="242"/>
      <c r="AC249" s="242"/>
    </row>
    <row r="250">
      <c r="A250" s="242"/>
      <c r="B250" s="242"/>
      <c r="C250" s="242"/>
      <c r="D250" s="242"/>
      <c r="E250" s="242"/>
      <c r="F250" s="242"/>
      <c r="G250" s="242"/>
      <c r="H250" s="242"/>
      <c r="I250" s="242"/>
      <c r="J250" s="13"/>
      <c r="K250" s="15"/>
      <c r="L250" s="341"/>
      <c r="M250" s="13"/>
      <c r="N250" s="13"/>
      <c r="O250" s="13"/>
      <c r="P250" s="13"/>
      <c r="Q250" s="242"/>
      <c r="R250" s="13"/>
      <c r="S250" s="242"/>
      <c r="T250" s="13"/>
      <c r="U250" s="242"/>
      <c r="V250" s="242"/>
      <c r="W250" s="242"/>
      <c r="X250" s="242"/>
      <c r="Y250" s="242"/>
      <c r="Z250" s="242"/>
      <c r="AA250" s="242"/>
      <c r="AB250" s="242"/>
      <c r="AC250" s="242"/>
    </row>
    <row r="251">
      <c r="A251" s="242"/>
      <c r="B251" s="242"/>
      <c r="C251" s="242"/>
      <c r="D251" s="242"/>
      <c r="E251" s="242"/>
      <c r="F251" s="242"/>
      <c r="G251" s="242"/>
      <c r="H251" s="242"/>
      <c r="I251" s="242"/>
      <c r="J251" s="13"/>
      <c r="K251" s="15"/>
      <c r="L251" s="341"/>
      <c r="M251" s="13"/>
      <c r="N251" s="13"/>
      <c r="O251" s="13"/>
      <c r="P251" s="13"/>
      <c r="Q251" s="242"/>
      <c r="R251" s="13"/>
      <c r="S251" s="242"/>
      <c r="T251" s="13"/>
      <c r="U251" s="242"/>
      <c r="V251" s="242"/>
      <c r="W251" s="242"/>
      <c r="X251" s="242"/>
      <c r="Y251" s="242"/>
      <c r="Z251" s="242"/>
      <c r="AA251" s="242"/>
      <c r="AB251" s="242"/>
      <c r="AC251" s="242"/>
    </row>
    <row r="252">
      <c r="A252" s="242"/>
      <c r="B252" s="242"/>
      <c r="C252" s="242"/>
      <c r="D252" s="242"/>
      <c r="E252" s="242"/>
      <c r="F252" s="242"/>
      <c r="G252" s="242"/>
      <c r="H252" s="242"/>
      <c r="I252" s="242"/>
      <c r="J252" s="13"/>
      <c r="K252" s="15"/>
      <c r="L252" s="341"/>
      <c r="M252" s="13"/>
      <c r="N252" s="13"/>
      <c r="O252" s="13"/>
      <c r="P252" s="13"/>
      <c r="Q252" s="242"/>
      <c r="R252" s="13"/>
      <c r="S252" s="242"/>
      <c r="T252" s="13"/>
      <c r="U252" s="242"/>
      <c r="V252" s="242"/>
      <c r="W252" s="242"/>
      <c r="X252" s="242"/>
      <c r="Y252" s="242"/>
      <c r="Z252" s="242"/>
      <c r="AA252" s="242"/>
      <c r="AB252" s="242"/>
      <c r="AC252" s="242"/>
    </row>
    <row r="253">
      <c r="A253" s="242"/>
      <c r="B253" s="242"/>
      <c r="C253" s="242"/>
      <c r="D253" s="242"/>
      <c r="E253" s="242"/>
      <c r="F253" s="242"/>
      <c r="G253" s="242"/>
      <c r="H253" s="242"/>
      <c r="I253" s="242"/>
      <c r="J253" s="13"/>
      <c r="K253" s="15"/>
      <c r="L253" s="341"/>
      <c r="M253" s="13"/>
      <c r="N253" s="13"/>
      <c r="O253" s="13"/>
      <c r="P253" s="13"/>
      <c r="Q253" s="242"/>
      <c r="R253" s="13"/>
      <c r="S253" s="242"/>
      <c r="T253" s="13"/>
      <c r="U253" s="242"/>
      <c r="V253" s="242"/>
      <c r="W253" s="242"/>
      <c r="X253" s="242"/>
      <c r="Y253" s="242"/>
      <c r="Z253" s="242"/>
      <c r="AA253" s="242"/>
      <c r="AB253" s="242"/>
      <c r="AC253" s="242"/>
    </row>
    <row r="254">
      <c r="A254" s="242"/>
      <c r="B254" s="242"/>
      <c r="C254" s="242"/>
      <c r="D254" s="242"/>
      <c r="E254" s="242"/>
      <c r="F254" s="242"/>
      <c r="G254" s="242"/>
      <c r="H254" s="242"/>
      <c r="I254" s="242"/>
      <c r="J254" s="13"/>
      <c r="K254" s="15"/>
      <c r="L254" s="341"/>
      <c r="M254" s="13"/>
      <c r="N254" s="13"/>
      <c r="O254" s="13"/>
      <c r="P254" s="13"/>
      <c r="Q254" s="242"/>
      <c r="R254" s="13"/>
      <c r="S254" s="242"/>
      <c r="T254" s="13"/>
      <c r="U254" s="242"/>
      <c r="V254" s="242"/>
      <c r="W254" s="242"/>
      <c r="X254" s="242"/>
      <c r="Y254" s="242"/>
      <c r="Z254" s="242"/>
      <c r="AA254" s="242"/>
      <c r="AB254" s="242"/>
      <c r="AC254" s="242"/>
    </row>
    <row r="255">
      <c r="A255" s="242"/>
      <c r="B255" s="242"/>
      <c r="C255" s="242"/>
      <c r="D255" s="242"/>
      <c r="E255" s="242"/>
      <c r="F255" s="242"/>
      <c r="G255" s="242"/>
      <c r="H255" s="242"/>
      <c r="I255" s="242"/>
      <c r="J255" s="13"/>
      <c r="K255" s="15"/>
      <c r="L255" s="341"/>
      <c r="M255" s="13"/>
      <c r="N255" s="13"/>
      <c r="O255" s="13"/>
      <c r="P255" s="13"/>
      <c r="Q255" s="242"/>
      <c r="R255" s="13"/>
      <c r="S255" s="242"/>
      <c r="T255" s="13"/>
      <c r="U255" s="242"/>
      <c r="V255" s="242"/>
      <c r="W255" s="242"/>
      <c r="X255" s="242"/>
      <c r="Y255" s="242"/>
      <c r="Z255" s="242"/>
      <c r="AA255" s="242"/>
      <c r="AB255" s="242"/>
      <c r="AC255" s="242"/>
    </row>
    <row r="256">
      <c r="A256" s="242"/>
      <c r="B256" s="242"/>
      <c r="C256" s="242"/>
      <c r="D256" s="242"/>
      <c r="E256" s="242"/>
      <c r="F256" s="242"/>
      <c r="G256" s="242"/>
      <c r="H256" s="242"/>
      <c r="I256" s="242"/>
      <c r="J256" s="13"/>
      <c r="K256" s="15"/>
      <c r="L256" s="341"/>
      <c r="M256" s="13"/>
      <c r="N256" s="13"/>
      <c r="O256" s="13"/>
      <c r="P256" s="13"/>
      <c r="Q256" s="242"/>
      <c r="R256" s="13"/>
      <c r="S256" s="242"/>
      <c r="T256" s="13"/>
      <c r="U256" s="242"/>
      <c r="V256" s="242"/>
      <c r="W256" s="242"/>
      <c r="X256" s="242"/>
      <c r="Y256" s="242"/>
      <c r="Z256" s="242"/>
      <c r="AA256" s="242"/>
      <c r="AB256" s="242"/>
      <c r="AC256" s="242"/>
    </row>
    <row r="257">
      <c r="A257" s="242"/>
      <c r="B257" s="242"/>
      <c r="C257" s="242"/>
      <c r="D257" s="242"/>
      <c r="E257" s="242"/>
      <c r="F257" s="242"/>
      <c r="G257" s="242"/>
      <c r="H257" s="242"/>
      <c r="I257" s="242"/>
      <c r="J257" s="13"/>
      <c r="K257" s="15"/>
      <c r="L257" s="341"/>
      <c r="M257" s="13"/>
      <c r="N257" s="13"/>
      <c r="O257" s="13"/>
      <c r="P257" s="13"/>
      <c r="Q257" s="242"/>
      <c r="R257" s="13"/>
      <c r="S257" s="242"/>
      <c r="T257" s="13"/>
      <c r="U257" s="242"/>
      <c r="V257" s="242"/>
      <c r="W257" s="242"/>
      <c r="X257" s="242"/>
      <c r="Y257" s="242"/>
      <c r="Z257" s="242"/>
      <c r="AA257" s="242"/>
      <c r="AB257" s="242"/>
      <c r="AC257" s="242"/>
    </row>
    <row r="258">
      <c r="A258" s="242"/>
      <c r="B258" s="242"/>
      <c r="C258" s="242"/>
      <c r="D258" s="242"/>
      <c r="E258" s="242"/>
      <c r="F258" s="242"/>
      <c r="G258" s="242"/>
      <c r="H258" s="242"/>
      <c r="I258" s="242"/>
      <c r="J258" s="13"/>
      <c r="K258" s="15"/>
      <c r="L258" s="341"/>
      <c r="M258" s="13"/>
      <c r="N258" s="13"/>
      <c r="O258" s="13"/>
      <c r="P258" s="13"/>
      <c r="Q258" s="242"/>
      <c r="R258" s="13"/>
      <c r="S258" s="242"/>
      <c r="T258" s="13"/>
      <c r="U258" s="242"/>
      <c r="V258" s="242"/>
      <c r="W258" s="242"/>
      <c r="X258" s="242"/>
      <c r="Y258" s="242"/>
      <c r="Z258" s="242"/>
      <c r="AA258" s="242"/>
      <c r="AB258" s="242"/>
      <c r="AC258" s="242"/>
    </row>
    <row r="259">
      <c r="A259" s="242"/>
      <c r="B259" s="242"/>
      <c r="C259" s="242"/>
      <c r="D259" s="242"/>
      <c r="E259" s="242"/>
      <c r="F259" s="242"/>
      <c r="G259" s="242"/>
      <c r="H259" s="242"/>
      <c r="I259" s="242"/>
      <c r="J259" s="13"/>
      <c r="K259" s="15"/>
      <c r="L259" s="341"/>
      <c r="M259" s="13"/>
      <c r="N259" s="13"/>
      <c r="O259" s="13"/>
      <c r="P259" s="13"/>
      <c r="Q259" s="242"/>
      <c r="R259" s="13"/>
      <c r="S259" s="242"/>
      <c r="T259" s="13"/>
      <c r="U259" s="242"/>
      <c r="V259" s="242"/>
      <c r="W259" s="242"/>
      <c r="X259" s="242"/>
      <c r="Y259" s="242"/>
      <c r="Z259" s="242"/>
      <c r="AA259" s="242"/>
      <c r="AB259" s="242"/>
      <c r="AC259" s="242"/>
    </row>
    <row r="260">
      <c r="A260" s="242"/>
      <c r="B260" s="242"/>
      <c r="C260" s="242"/>
      <c r="D260" s="242"/>
      <c r="E260" s="242"/>
      <c r="F260" s="242"/>
      <c r="G260" s="242"/>
      <c r="H260" s="242"/>
      <c r="I260" s="242"/>
      <c r="J260" s="13"/>
      <c r="K260" s="15"/>
      <c r="L260" s="341"/>
      <c r="M260" s="13"/>
      <c r="N260" s="13"/>
      <c r="O260" s="13"/>
      <c r="P260" s="13"/>
      <c r="Q260" s="242"/>
      <c r="R260" s="13"/>
      <c r="S260" s="242"/>
      <c r="T260" s="13"/>
      <c r="U260" s="242"/>
      <c r="V260" s="242"/>
      <c r="W260" s="242"/>
      <c r="X260" s="242"/>
      <c r="Y260" s="242"/>
      <c r="Z260" s="242"/>
      <c r="AA260" s="242"/>
      <c r="AB260" s="242"/>
      <c r="AC260" s="242"/>
    </row>
    <row r="261">
      <c r="A261" s="242"/>
      <c r="B261" s="242"/>
      <c r="C261" s="242"/>
      <c r="D261" s="242"/>
      <c r="E261" s="242"/>
      <c r="F261" s="242"/>
      <c r="G261" s="242"/>
      <c r="H261" s="242"/>
      <c r="I261" s="242"/>
      <c r="J261" s="13"/>
      <c r="K261" s="15"/>
      <c r="L261" s="341"/>
      <c r="M261" s="13"/>
      <c r="N261" s="13"/>
      <c r="O261" s="13"/>
      <c r="P261" s="13"/>
      <c r="Q261" s="242"/>
      <c r="R261" s="13"/>
      <c r="S261" s="242"/>
      <c r="T261" s="13"/>
      <c r="U261" s="242"/>
      <c r="V261" s="242"/>
      <c r="W261" s="242"/>
      <c r="X261" s="242"/>
      <c r="Y261" s="242"/>
      <c r="Z261" s="242"/>
      <c r="AA261" s="242"/>
      <c r="AB261" s="242"/>
      <c r="AC261" s="242"/>
    </row>
    <row r="262">
      <c r="A262" s="242"/>
      <c r="B262" s="242"/>
      <c r="C262" s="242"/>
      <c r="D262" s="242"/>
      <c r="E262" s="242"/>
      <c r="F262" s="242"/>
      <c r="G262" s="242"/>
      <c r="H262" s="242"/>
      <c r="I262" s="242"/>
      <c r="J262" s="13"/>
      <c r="K262" s="15"/>
      <c r="L262" s="341"/>
      <c r="M262" s="13"/>
      <c r="N262" s="13"/>
      <c r="O262" s="13"/>
      <c r="P262" s="13"/>
      <c r="Q262" s="242"/>
      <c r="R262" s="13"/>
      <c r="S262" s="242"/>
      <c r="T262" s="13"/>
      <c r="U262" s="242"/>
      <c r="V262" s="242"/>
      <c r="W262" s="242"/>
      <c r="X262" s="242"/>
      <c r="Y262" s="242"/>
      <c r="Z262" s="242"/>
      <c r="AA262" s="242"/>
      <c r="AB262" s="242"/>
      <c r="AC262" s="242"/>
    </row>
    <row r="263">
      <c r="A263" s="242"/>
      <c r="B263" s="242"/>
      <c r="C263" s="242"/>
      <c r="D263" s="242"/>
      <c r="E263" s="242"/>
      <c r="F263" s="242"/>
      <c r="G263" s="242"/>
      <c r="H263" s="242"/>
      <c r="I263" s="242"/>
      <c r="J263" s="13"/>
      <c r="K263" s="15"/>
      <c r="L263" s="341"/>
      <c r="M263" s="13"/>
      <c r="N263" s="13"/>
      <c r="O263" s="13"/>
      <c r="P263" s="13"/>
      <c r="Q263" s="242"/>
      <c r="R263" s="13"/>
      <c r="S263" s="242"/>
      <c r="T263" s="13"/>
      <c r="U263" s="242"/>
      <c r="V263" s="242"/>
      <c r="W263" s="242"/>
      <c r="X263" s="242"/>
      <c r="Y263" s="242"/>
      <c r="Z263" s="242"/>
      <c r="AA263" s="242"/>
      <c r="AB263" s="242"/>
      <c r="AC263" s="242"/>
    </row>
    <row r="264">
      <c r="A264" s="242"/>
      <c r="B264" s="242"/>
      <c r="C264" s="242"/>
      <c r="D264" s="242"/>
      <c r="E264" s="242"/>
      <c r="F264" s="242"/>
      <c r="G264" s="242"/>
      <c r="H264" s="242"/>
      <c r="I264" s="242"/>
      <c r="J264" s="13"/>
      <c r="K264" s="15"/>
      <c r="L264" s="341"/>
      <c r="M264" s="13"/>
      <c r="N264" s="13"/>
      <c r="O264" s="13"/>
      <c r="P264" s="13"/>
      <c r="Q264" s="242"/>
      <c r="R264" s="13"/>
      <c r="S264" s="242"/>
      <c r="T264" s="13"/>
      <c r="U264" s="242"/>
      <c r="V264" s="242"/>
      <c r="W264" s="242"/>
      <c r="X264" s="242"/>
      <c r="Y264" s="242"/>
      <c r="Z264" s="242"/>
      <c r="AA264" s="242"/>
      <c r="AB264" s="242"/>
      <c r="AC264" s="242"/>
    </row>
    <row r="265">
      <c r="A265" s="242"/>
      <c r="B265" s="242"/>
      <c r="C265" s="242"/>
      <c r="D265" s="242"/>
      <c r="E265" s="242"/>
      <c r="F265" s="242"/>
      <c r="G265" s="242"/>
      <c r="H265" s="242"/>
      <c r="I265" s="242"/>
      <c r="J265" s="13"/>
      <c r="K265" s="15"/>
      <c r="L265" s="341"/>
      <c r="M265" s="13"/>
      <c r="N265" s="13"/>
      <c r="O265" s="13"/>
      <c r="P265" s="13"/>
      <c r="Q265" s="242"/>
      <c r="R265" s="13"/>
      <c r="S265" s="242"/>
      <c r="T265" s="13"/>
      <c r="U265" s="242"/>
      <c r="V265" s="242"/>
      <c r="W265" s="242"/>
      <c r="X265" s="242"/>
      <c r="Y265" s="242"/>
      <c r="Z265" s="242"/>
      <c r="AA265" s="242"/>
      <c r="AB265" s="242"/>
      <c r="AC265" s="242"/>
    </row>
    <row r="266">
      <c r="A266" s="242"/>
      <c r="B266" s="242"/>
      <c r="C266" s="242"/>
      <c r="D266" s="242"/>
      <c r="E266" s="242"/>
      <c r="F266" s="242"/>
      <c r="G266" s="242"/>
      <c r="H266" s="242"/>
      <c r="I266" s="242"/>
      <c r="J266" s="13"/>
      <c r="K266" s="15"/>
      <c r="L266" s="341"/>
      <c r="M266" s="13"/>
      <c r="N266" s="13"/>
      <c r="O266" s="13"/>
      <c r="P266" s="13"/>
      <c r="Q266" s="242"/>
      <c r="R266" s="13"/>
      <c r="S266" s="242"/>
      <c r="T266" s="13"/>
      <c r="U266" s="242"/>
      <c r="V266" s="242"/>
      <c r="W266" s="242"/>
      <c r="X266" s="242"/>
      <c r="Y266" s="242"/>
      <c r="Z266" s="242"/>
      <c r="AA266" s="242"/>
      <c r="AB266" s="242"/>
      <c r="AC266" s="242"/>
    </row>
    <row r="267">
      <c r="A267" s="242"/>
      <c r="B267" s="242"/>
      <c r="C267" s="242"/>
      <c r="D267" s="242"/>
      <c r="E267" s="242"/>
      <c r="F267" s="242"/>
      <c r="G267" s="242"/>
      <c r="H267" s="242"/>
      <c r="I267" s="242"/>
      <c r="J267" s="13"/>
      <c r="K267" s="15"/>
      <c r="L267" s="341"/>
      <c r="M267" s="13"/>
      <c r="N267" s="13"/>
      <c r="O267" s="13"/>
      <c r="P267" s="13"/>
      <c r="Q267" s="242"/>
      <c r="R267" s="13"/>
      <c r="S267" s="242"/>
      <c r="T267" s="13"/>
      <c r="U267" s="242"/>
      <c r="V267" s="242"/>
      <c r="W267" s="242"/>
      <c r="X267" s="242"/>
      <c r="Y267" s="242"/>
      <c r="Z267" s="242"/>
      <c r="AA267" s="242"/>
      <c r="AB267" s="242"/>
      <c r="AC267" s="242"/>
    </row>
    <row r="268">
      <c r="A268" s="242"/>
      <c r="B268" s="242"/>
      <c r="C268" s="242"/>
      <c r="D268" s="242"/>
      <c r="E268" s="242"/>
      <c r="F268" s="242"/>
      <c r="G268" s="242"/>
      <c r="H268" s="242"/>
      <c r="I268" s="242"/>
      <c r="J268" s="13"/>
      <c r="K268" s="15"/>
      <c r="L268" s="341"/>
      <c r="M268" s="13"/>
      <c r="N268" s="13"/>
      <c r="O268" s="13"/>
      <c r="P268" s="13"/>
      <c r="Q268" s="242"/>
      <c r="R268" s="13"/>
      <c r="S268" s="242"/>
      <c r="T268" s="13"/>
      <c r="U268" s="242"/>
      <c r="V268" s="242"/>
      <c r="W268" s="242"/>
      <c r="X268" s="242"/>
      <c r="Y268" s="242"/>
      <c r="Z268" s="242"/>
      <c r="AA268" s="242"/>
      <c r="AB268" s="242"/>
      <c r="AC268" s="242"/>
    </row>
    <row r="269">
      <c r="A269" s="242"/>
      <c r="B269" s="242"/>
      <c r="C269" s="242"/>
      <c r="D269" s="242"/>
      <c r="E269" s="242"/>
      <c r="F269" s="242"/>
      <c r="G269" s="242"/>
      <c r="H269" s="242"/>
      <c r="I269" s="242"/>
      <c r="J269" s="13"/>
      <c r="K269" s="15"/>
      <c r="L269" s="341"/>
      <c r="M269" s="13"/>
      <c r="N269" s="13"/>
      <c r="O269" s="13"/>
      <c r="P269" s="13"/>
      <c r="Q269" s="242"/>
      <c r="R269" s="13"/>
      <c r="S269" s="242"/>
      <c r="T269" s="13"/>
      <c r="U269" s="242"/>
      <c r="V269" s="242"/>
      <c r="W269" s="242"/>
      <c r="X269" s="242"/>
      <c r="Y269" s="242"/>
      <c r="Z269" s="242"/>
      <c r="AA269" s="242"/>
      <c r="AB269" s="242"/>
      <c r="AC269" s="242"/>
    </row>
    <row r="270">
      <c r="A270" s="242"/>
      <c r="B270" s="242"/>
      <c r="C270" s="242"/>
      <c r="D270" s="242"/>
      <c r="E270" s="242"/>
      <c r="F270" s="242"/>
      <c r="G270" s="242"/>
      <c r="H270" s="242"/>
      <c r="I270" s="242"/>
      <c r="J270" s="13"/>
      <c r="K270" s="15"/>
      <c r="L270" s="341"/>
      <c r="M270" s="13"/>
      <c r="N270" s="13"/>
      <c r="O270" s="13"/>
      <c r="P270" s="13"/>
      <c r="Q270" s="242"/>
      <c r="R270" s="13"/>
      <c r="S270" s="242"/>
      <c r="T270" s="13"/>
      <c r="U270" s="242"/>
      <c r="V270" s="242"/>
      <c r="W270" s="242"/>
      <c r="X270" s="242"/>
      <c r="Y270" s="242"/>
      <c r="Z270" s="242"/>
      <c r="AA270" s="242"/>
      <c r="AB270" s="242"/>
      <c r="AC270" s="242"/>
    </row>
    <row r="271">
      <c r="A271" s="242"/>
      <c r="B271" s="242"/>
      <c r="C271" s="242"/>
      <c r="D271" s="242"/>
      <c r="E271" s="242"/>
      <c r="F271" s="242"/>
      <c r="G271" s="242"/>
      <c r="H271" s="242"/>
      <c r="I271" s="242"/>
      <c r="J271" s="13"/>
      <c r="K271" s="15"/>
      <c r="L271" s="341"/>
      <c r="M271" s="13"/>
      <c r="N271" s="13"/>
      <c r="O271" s="13"/>
      <c r="P271" s="13"/>
      <c r="Q271" s="242"/>
      <c r="R271" s="13"/>
      <c r="S271" s="242"/>
      <c r="T271" s="13"/>
      <c r="U271" s="242"/>
      <c r="V271" s="242"/>
      <c r="W271" s="242"/>
      <c r="X271" s="242"/>
      <c r="Y271" s="242"/>
      <c r="Z271" s="242"/>
      <c r="AA271" s="242"/>
      <c r="AB271" s="242"/>
      <c r="AC271" s="242"/>
    </row>
    <row r="272">
      <c r="A272" s="242"/>
      <c r="B272" s="242"/>
      <c r="C272" s="242"/>
      <c r="D272" s="242"/>
      <c r="E272" s="242"/>
      <c r="F272" s="242"/>
      <c r="G272" s="242"/>
      <c r="H272" s="242"/>
      <c r="I272" s="242"/>
      <c r="J272" s="13"/>
      <c r="K272" s="15"/>
      <c r="L272" s="341"/>
      <c r="M272" s="13"/>
      <c r="N272" s="13"/>
      <c r="O272" s="13"/>
      <c r="P272" s="13"/>
      <c r="Q272" s="242"/>
      <c r="R272" s="13"/>
      <c r="S272" s="242"/>
      <c r="T272" s="13"/>
      <c r="U272" s="242"/>
      <c r="V272" s="242"/>
      <c r="W272" s="242"/>
      <c r="X272" s="242"/>
      <c r="Y272" s="242"/>
      <c r="Z272" s="242"/>
      <c r="AA272" s="242"/>
      <c r="AB272" s="242"/>
      <c r="AC272" s="242"/>
    </row>
    <row r="273">
      <c r="A273" s="242"/>
      <c r="B273" s="242"/>
      <c r="C273" s="242"/>
      <c r="D273" s="242"/>
      <c r="E273" s="242"/>
      <c r="F273" s="242"/>
      <c r="G273" s="242"/>
      <c r="H273" s="242"/>
      <c r="I273" s="242"/>
      <c r="J273" s="13"/>
      <c r="K273" s="15"/>
      <c r="L273" s="341"/>
      <c r="M273" s="13"/>
      <c r="N273" s="13"/>
      <c r="O273" s="13"/>
      <c r="P273" s="13"/>
      <c r="Q273" s="242"/>
      <c r="R273" s="13"/>
      <c r="S273" s="242"/>
      <c r="T273" s="13"/>
      <c r="U273" s="242"/>
      <c r="V273" s="242"/>
      <c r="W273" s="242"/>
      <c r="X273" s="242"/>
      <c r="Y273" s="242"/>
      <c r="Z273" s="242"/>
      <c r="AA273" s="242"/>
      <c r="AB273" s="242"/>
      <c r="AC273" s="242"/>
    </row>
    <row r="274">
      <c r="A274" s="242"/>
      <c r="B274" s="242"/>
      <c r="C274" s="242"/>
      <c r="D274" s="242"/>
      <c r="E274" s="242"/>
      <c r="F274" s="242"/>
      <c r="G274" s="242"/>
      <c r="H274" s="242"/>
      <c r="I274" s="242"/>
      <c r="J274" s="13"/>
      <c r="K274" s="15"/>
      <c r="L274" s="341"/>
      <c r="M274" s="13"/>
      <c r="N274" s="13"/>
      <c r="O274" s="13"/>
      <c r="P274" s="13"/>
      <c r="Q274" s="242"/>
      <c r="R274" s="13"/>
      <c r="S274" s="242"/>
      <c r="T274" s="13"/>
      <c r="U274" s="242"/>
      <c r="V274" s="242"/>
      <c r="W274" s="242"/>
      <c r="X274" s="242"/>
      <c r="Y274" s="242"/>
      <c r="Z274" s="242"/>
      <c r="AA274" s="242"/>
      <c r="AB274" s="242"/>
      <c r="AC274" s="242"/>
    </row>
    <row r="275">
      <c r="A275" s="242"/>
      <c r="B275" s="242"/>
      <c r="C275" s="242"/>
      <c r="D275" s="242"/>
      <c r="E275" s="242"/>
      <c r="F275" s="242"/>
      <c r="G275" s="242"/>
      <c r="H275" s="242"/>
      <c r="I275" s="242"/>
      <c r="J275" s="13"/>
      <c r="K275" s="15"/>
      <c r="L275" s="341"/>
      <c r="M275" s="13"/>
      <c r="N275" s="13"/>
      <c r="O275" s="13"/>
      <c r="P275" s="13"/>
      <c r="Q275" s="242"/>
      <c r="R275" s="13"/>
      <c r="S275" s="242"/>
      <c r="T275" s="13"/>
      <c r="U275" s="242"/>
      <c r="V275" s="242"/>
      <c r="W275" s="242"/>
      <c r="X275" s="242"/>
      <c r="Y275" s="242"/>
      <c r="Z275" s="242"/>
      <c r="AA275" s="242"/>
      <c r="AB275" s="242"/>
      <c r="AC275" s="242"/>
    </row>
    <row r="276">
      <c r="A276" s="242"/>
      <c r="B276" s="242"/>
      <c r="C276" s="242"/>
      <c r="D276" s="242"/>
      <c r="E276" s="242"/>
      <c r="F276" s="242"/>
      <c r="G276" s="242"/>
      <c r="H276" s="242"/>
      <c r="I276" s="242"/>
      <c r="J276" s="13"/>
      <c r="K276" s="15"/>
      <c r="L276" s="341"/>
      <c r="M276" s="13"/>
      <c r="N276" s="13"/>
      <c r="O276" s="13"/>
      <c r="P276" s="13"/>
      <c r="Q276" s="242"/>
      <c r="R276" s="13"/>
      <c r="S276" s="242"/>
      <c r="T276" s="13"/>
      <c r="U276" s="242"/>
      <c r="V276" s="242"/>
      <c r="W276" s="242"/>
      <c r="X276" s="242"/>
      <c r="Y276" s="242"/>
      <c r="Z276" s="242"/>
      <c r="AA276" s="242"/>
      <c r="AB276" s="242"/>
      <c r="AC276" s="242"/>
    </row>
    <row r="277">
      <c r="A277" s="242"/>
      <c r="B277" s="242"/>
      <c r="C277" s="242"/>
      <c r="D277" s="242"/>
      <c r="E277" s="242"/>
      <c r="F277" s="242"/>
      <c r="G277" s="242"/>
      <c r="H277" s="242"/>
      <c r="I277" s="242"/>
      <c r="J277" s="13"/>
      <c r="K277" s="15"/>
      <c r="L277" s="341"/>
      <c r="M277" s="13"/>
      <c r="N277" s="13"/>
      <c r="O277" s="13"/>
      <c r="P277" s="13"/>
      <c r="Q277" s="242"/>
      <c r="R277" s="13"/>
      <c r="S277" s="242"/>
      <c r="T277" s="13"/>
      <c r="U277" s="242"/>
      <c r="V277" s="242"/>
      <c r="W277" s="242"/>
      <c r="X277" s="242"/>
      <c r="Y277" s="242"/>
      <c r="Z277" s="242"/>
      <c r="AA277" s="242"/>
      <c r="AB277" s="242"/>
      <c r="AC277" s="242"/>
    </row>
    <row r="278">
      <c r="A278" s="242"/>
      <c r="B278" s="242"/>
      <c r="C278" s="242"/>
      <c r="D278" s="242"/>
      <c r="E278" s="242"/>
      <c r="F278" s="242"/>
      <c r="G278" s="242"/>
      <c r="H278" s="242"/>
      <c r="I278" s="242"/>
      <c r="J278" s="13"/>
      <c r="K278" s="15"/>
      <c r="L278" s="341"/>
      <c r="M278" s="13"/>
      <c r="N278" s="13"/>
      <c r="O278" s="13"/>
      <c r="P278" s="13"/>
      <c r="Q278" s="242"/>
      <c r="R278" s="13"/>
      <c r="S278" s="242"/>
      <c r="T278" s="13"/>
      <c r="U278" s="242"/>
      <c r="V278" s="242"/>
      <c r="W278" s="242"/>
      <c r="X278" s="242"/>
      <c r="Y278" s="242"/>
      <c r="Z278" s="242"/>
      <c r="AA278" s="242"/>
      <c r="AB278" s="242"/>
      <c r="AC278" s="242"/>
    </row>
    <row r="279">
      <c r="A279" s="242"/>
      <c r="B279" s="242"/>
      <c r="C279" s="242"/>
      <c r="D279" s="242"/>
      <c r="E279" s="242"/>
      <c r="F279" s="242"/>
      <c r="G279" s="242"/>
      <c r="H279" s="242"/>
      <c r="I279" s="242"/>
      <c r="J279" s="13"/>
      <c r="K279" s="15"/>
      <c r="L279" s="341"/>
      <c r="M279" s="13"/>
      <c r="N279" s="13"/>
      <c r="O279" s="13"/>
      <c r="P279" s="13"/>
      <c r="Q279" s="242"/>
      <c r="R279" s="13"/>
      <c r="S279" s="242"/>
      <c r="T279" s="13"/>
      <c r="U279" s="242"/>
      <c r="V279" s="242"/>
      <c r="W279" s="242"/>
      <c r="X279" s="242"/>
      <c r="Y279" s="242"/>
      <c r="Z279" s="242"/>
      <c r="AA279" s="242"/>
      <c r="AB279" s="242"/>
      <c r="AC279" s="242"/>
    </row>
    <row r="280">
      <c r="A280" s="242"/>
      <c r="B280" s="242"/>
      <c r="C280" s="242"/>
      <c r="D280" s="242"/>
      <c r="E280" s="242"/>
      <c r="F280" s="242"/>
      <c r="G280" s="242"/>
      <c r="H280" s="242"/>
      <c r="I280" s="242"/>
      <c r="J280" s="13"/>
      <c r="K280" s="15"/>
      <c r="L280" s="341"/>
      <c r="M280" s="13"/>
      <c r="N280" s="13"/>
      <c r="O280" s="13"/>
      <c r="P280" s="13"/>
      <c r="Q280" s="242"/>
      <c r="R280" s="13"/>
      <c r="S280" s="242"/>
      <c r="T280" s="13"/>
      <c r="U280" s="242"/>
      <c r="V280" s="242"/>
      <c r="W280" s="242"/>
      <c r="X280" s="242"/>
      <c r="Y280" s="242"/>
      <c r="Z280" s="242"/>
      <c r="AA280" s="242"/>
      <c r="AB280" s="242"/>
      <c r="AC280" s="242"/>
    </row>
    <row r="281">
      <c r="A281" s="242"/>
      <c r="B281" s="242"/>
      <c r="C281" s="242"/>
      <c r="D281" s="242"/>
      <c r="E281" s="242"/>
      <c r="F281" s="242"/>
      <c r="G281" s="242"/>
      <c r="H281" s="242"/>
      <c r="I281" s="242"/>
      <c r="J281" s="13"/>
      <c r="K281" s="15"/>
      <c r="L281" s="341"/>
      <c r="M281" s="13"/>
      <c r="N281" s="13"/>
      <c r="O281" s="13"/>
      <c r="P281" s="13"/>
      <c r="Q281" s="242"/>
      <c r="R281" s="13"/>
      <c r="S281" s="242"/>
      <c r="T281" s="13"/>
      <c r="U281" s="242"/>
      <c r="V281" s="242"/>
      <c r="W281" s="242"/>
      <c r="X281" s="242"/>
      <c r="Y281" s="242"/>
      <c r="Z281" s="242"/>
      <c r="AA281" s="242"/>
      <c r="AB281" s="242"/>
      <c r="AC281" s="242"/>
    </row>
    <row r="282">
      <c r="A282" s="242"/>
      <c r="B282" s="242"/>
      <c r="C282" s="242"/>
      <c r="D282" s="242"/>
      <c r="E282" s="242"/>
      <c r="F282" s="242"/>
      <c r="G282" s="242"/>
      <c r="H282" s="242"/>
      <c r="I282" s="242"/>
      <c r="J282" s="13"/>
      <c r="K282" s="15"/>
      <c r="L282" s="341"/>
      <c r="M282" s="13"/>
      <c r="N282" s="13"/>
      <c r="O282" s="13"/>
      <c r="P282" s="13"/>
      <c r="Q282" s="242"/>
      <c r="R282" s="13"/>
      <c r="S282" s="242"/>
      <c r="T282" s="13"/>
      <c r="U282" s="242"/>
      <c r="V282" s="242"/>
      <c r="W282" s="242"/>
      <c r="X282" s="242"/>
      <c r="Y282" s="242"/>
      <c r="Z282" s="242"/>
      <c r="AA282" s="242"/>
      <c r="AB282" s="242"/>
      <c r="AC282" s="242"/>
    </row>
    <row r="283">
      <c r="A283" s="242"/>
      <c r="B283" s="242"/>
      <c r="C283" s="242"/>
      <c r="D283" s="242"/>
      <c r="E283" s="242"/>
      <c r="F283" s="242"/>
      <c r="G283" s="242"/>
      <c r="H283" s="242"/>
      <c r="I283" s="242"/>
      <c r="J283" s="13"/>
      <c r="K283" s="15"/>
      <c r="L283" s="341"/>
      <c r="M283" s="13"/>
      <c r="N283" s="13"/>
      <c r="O283" s="13"/>
      <c r="P283" s="13"/>
      <c r="Q283" s="242"/>
      <c r="R283" s="13"/>
      <c r="S283" s="242"/>
      <c r="T283" s="13"/>
      <c r="U283" s="242"/>
      <c r="V283" s="242"/>
      <c r="W283" s="242"/>
      <c r="X283" s="242"/>
      <c r="Y283" s="242"/>
      <c r="Z283" s="242"/>
      <c r="AA283" s="242"/>
      <c r="AB283" s="242"/>
      <c r="AC283" s="242"/>
    </row>
    <row r="284">
      <c r="A284" s="242"/>
      <c r="B284" s="242"/>
      <c r="C284" s="242"/>
      <c r="D284" s="242"/>
      <c r="E284" s="242"/>
      <c r="F284" s="242"/>
      <c r="G284" s="242"/>
      <c r="H284" s="242"/>
      <c r="I284" s="242"/>
      <c r="J284" s="13"/>
      <c r="K284" s="15"/>
      <c r="L284" s="341"/>
      <c r="M284" s="13"/>
      <c r="N284" s="13"/>
      <c r="O284" s="13"/>
      <c r="P284" s="13"/>
      <c r="Q284" s="242"/>
      <c r="R284" s="13"/>
      <c r="S284" s="242"/>
      <c r="T284" s="13"/>
      <c r="U284" s="242"/>
      <c r="V284" s="242"/>
      <c r="W284" s="242"/>
      <c r="X284" s="242"/>
      <c r="Y284" s="242"/>
      <c r="Z284" s="242"/>
      <c r="AA284" s="242"/>
      <c r="AB284" s="242"/>
      <c r="AC284" s="242"/>
    </row>
    <row r="285">
      <c r="A285" s="242"/>
      <c r="B285" s="242"/>
      <c r="C285" s="242"/>
      <c r="D285" s="242"/>
      <c r="E285" s="242"/>
      <c r="F285" s="242"/>
      <c r="G285" s="242"/>
      <c r="H285" s="242"/>
      <c r="I285" s="242"/>
      <c r="J285" s="13"/>
      <c r="K285" s="15"/>
      <c r="L285" s="341"/>
      <c r="M285" s="13"/>
      <c r="N285" s="13"/>
      <c r="O285" s="13"/>
      <c r="P285" s="13"/>
      <c r="Q285" s="242"/>
      <c r="R285" s="13"/>
      <c r="S285" s="242"/>
      <c r="T285" s="13"/>
      <c r="U285" s="242"/>
      <c r="V285" s="242"/>
      <c r="W285" s="242"/>
      <c r="X285" s="242"/>
      <c r="Y285" s="242"/>
      <c r="Z285" s="242"/>
      <c r="AA285" s="242"/>
      <c r="AB285" s="242"/>
      <c r="AC285" s="242"/>
    </row>
    <row r="286">
      <c r="A286" s="242"/>
      <c r="B286" s="242"/>
      <c r="C286" s="242"/>
      <c r="D286" s="242"/>
      <c r="E286" s="242"/>
      <c r="F286" s="242"/>
      <c r="G286" s="242"/>
      <c r="H286" s="242"/>
      <c r="I286" s="242"/>
      <c r="J286" s="13"/>
      <c r="K286" s="15"/>
      <c r="L286" s="341"/>
      <c r="M286" s="13"/>
      <c r="N286" s="13"/>
      <c r="O286" s="13"/>
      <c r="P286" s="13"/>
      <c r="Q286" s="242"/>
      <c r="R286" s="13"/>
      <c r="S286" s="242"/>
      <c r="T286" s="13"/>
      <c r="U286" s="242"/>
      <c r="V286" s="242"/>
      <c r="W286" s="242"/>
      <c r="X286" s="242"/>
      <c r="Y286" s="242"/>
      <c r="Z286" s="242"/>
      <c r="AA286" s="242"/>
      <c r="AB286" s="242"/>
      <c r="AC286" s="242"/>
    </row>
    <row r="287">
      <c r="A287" s="242"/>
      <c r="B287" s="242"/>
      <c r="C287" s="242"/>
      <c r="D287" s="242"/>
      <c r="E287" s="242"/>
      <c r="F287" s="242"/>
      <c r="G287" s="242"/>
      <c r="H287" s="242"/>
      <c r="I287" s="242"/>
      <c r="J287" s="13"/>
      <c r="K287" s="15"/>
      <c r="L287" s="341"/>
      <c r="M287" s="13"/>
      <c r="N287" s="13"/>
      <c r="O287" s="13"/>
      <c r="P287" s="13"/>
      <c r="Q287" s="242"/>
      <c r="R287" s="13"/>
      <c r="S287" s="242"/>
      <c r="T287" s="13"/>
      <c r="U287" s="242"/>
      <c r="V287" s="242"/>
      <c r="W287" s="242"/>
      <c r="X287" s="242"/>
      <c r="Y287" s="242"/>
      <c r="Z287" s="242"/>
      <c r="AA287" s="242"/>
      <c r="AB287" s="242"/>
      <c r="AC287" s="242"/>
    </row>
    <row r="288">
      <c r="A288" s="242"/>
      <c r="B288" s="242"/>
      <c r="C288" s="242"/>
      <c r="D288" s="242"/>
      <c r="E288" s="242"/>
      <c r="F288" s="242"/>
      <c r="G288" s="242"/>
      <c r="H288" s="242"/>
      <c r="I288" s="242"/>
      <c r="J288" s="13"/>
      <c r="K288" s="15"/>
      <c r="L288" s="341"/>
      <c r="M288" s="13"/>
      <c r="N288" s="13"/>
      <c r="O288" s="13"/>
      <c r="P288" s="13"/>
      <c r="Q288" s="242"/>
      <c r="R288" s="13"/>
      <c r="S288" s="242"/>
      <c r="T288" s="13"/>
      <c r="U288" s="242"/>
      <c r="V288" s="242"/>
      <c r="W288" s="242"/>
      <c r="X288" s="242"/>
      <c r="Y288" s="242"/>
      <c r="Z288" s="242"/>
      <c r="AA288" s="242"/>
      <c r="AB288" s="242"/>
      <c r="AC288" s="242"/>
    </row>
    <row r="289">
      <c r="A289" s="242"/>
      <c r="B289" s="242"/>
      <c r="C289" s="242"/>
      <c r="D289" s="242"/>
      <c r="E289" s="242"/>
      <c r="F289" s="242"/>
      <c r="G289" s="242"/>
      <c r="H289" s="242"/>
      <c r="I289" s="242"/>
      <c r="J289" s="13"/>
      <c r="K289" s="15"/>
      <c r="L289" s="341"/>
      <c r="M289" s="13"/>
      <c r="N289" s="13"/>
      <c r="O289" s="13"/>
      <c r="P289" s="13"/>
      <c r="Q289" s="242"/>
      <c r="R289" s="13"/>
      <c r="S289" s="242"/>
      <c r="T289" s="13"/>
      <c r="U289" s="242"/>
      <c r="V289" s="242"/>
      <c r="W289" s="242"/>
      <c r="X289" s="242"/>
      <c r="Y289" s="242"/>
      <c r="Z289" s="242"/>
      <c r="AA289" s="242"/>
      <c r="AB289" s="242"/>
      <c r="AC289" s="242"/>
    </row>
    <row r="290">
      <c r="A290" s="242"/>
      <c r="B290" s="242"/>
      <c r="C290" s="242"/>
      <c r="D290" s="242"/>
      <c r="E290" s="242"/>
      <c r="F290" s="242"/>
      <c r="G290" s="242"/>
      <c r="H290" s="242"/>
      <c r="I290" s="242"/>
      <c r="J290" s="13"/>
      <c r="K290" s="15"/>
      <c r="L290" s="341"/>
      <c r="M290" s="13"/>
      <c r="N290" s="13"/>
      <c r="O290" s="13"/>
      <c r="P290" s="13"/>
      <c r="Q290" s="242"/>
      <c r="R290" s="13"/>
      <c r="S290" s="242"/>
      <c r="T290" s="13"/>
      <c r="U290" s="242"/>
      <c r="V290" s="242"/>
      <c r="W290" s="242"/>
      <c r="X290" s="242"/>
      <c r="Y290" s="242"/>
      <c r="Z290" s="242"/>
      <c r="AA290" s="242"/>
      <c r="AB290" s="242"/>
      <c r="AC290" s="242"/>
    </row>
    <row r="291">
      <c r="A291" s="242"/>
      <c r="B291" s="242"/>
      <c r="C291" s="242"/>
      <c r="D291" s="242"/>
      <c r="E291" s="242"/>
      <c r="F291" s="242"/>
      <c r="G291" s="242"/>
      <c r="H291" s="242"/>
      <c r="I291" s="242"/>
      <c r="J291" s="13"/>
      <c r="K291" s="15"/>
      <c r="L291" s="341"/>
      <c r="M291" s="13"/>
      <c r="N291" s="13"/>
      <c r="O291" s="13"/>
      <c r="P291" s="13"/>
      <c r="Q291" s="242"/>
      <c r="R291" s="13"/>
      <c r="S291" s="242"/>
      <c r="T291" s="13"/>
      <c r="U291" s="242"/>
      <c r="V291" s="242"/>
      <c r="W291" s="242"/>
      <c r="X291" s="242"/>
      <c r="Y291" s="242"/>
      <c r="Z291" s="242"/>
      <c r="AA291" s="242"/>
      <c r="AB291" s="242"/>
      <c r="AC291" s="242"/>
    </row>
    <row r="292">
      <c r="A292" s="242"/>
      <c r="B292" s="242"/>
      <c r="C292" s="242"/>
      <c r="D292" s="242"/>
      <c r="E292" s="242"/>
      <c r="F292" s="242"/>
      <c r="G292" s="242"/>
      <c r="H292" s="242"/>
      <c r="I292" s="242"/>
      <c r="J292" s="13"/>
      <c r="K292" s="15"/>
      <c r="L292" s="341"/>
      <c r="M292" s="13"/>
      <c r="N292" s="13"/>
      <c r="O292" s="13"/>
      <c r="P292" s="13"/>
      <c r="Q292" s="242"/>
      <c r="R292" s="13"/>
      <c r="S292" s="242"/>
      <c r="T292" s="13"/>
      <c r="U292" s="242"/>
      <c r="V292" s="242"/>
      <c r="W292" s="242"/>
      <c r="X292" s="242"/>
      <c r="Y292" s="242"/>
      <c r="Z292" s="242"/>
      <c r="AA292" s="242"/>
      <c r="AB292" s="242"/>
      <c r="AC292" s="242"/>
    </row>
    <row r="293">
      <c r="A293" s="242"/>
      <c r="B293" s="242"/>
      <c r="C293" s="242"/>
      <c r="D293" s="242"/>
      <c r="E293" s="242"/>
      <c r="F293" s="242"/>
      <c r="G293" s="242"/>
      <c r="H293" s="242"/>
      <c r="I293" s="242"/>
      <c r="J293" s="13"/>
      <c r="K293" s="15"/>
      <c r="L293" s="341"/>
      <c r="M293" s="13"/>
      <c r="N293" s="13"/>
      <c r="O293" s="13"/>
      <c r="P293" s="13"/>
      <c r="Q293" s="242"/>
      <c r="R293" s="13"/>
      <c r="S293" s="242"/>
      <c r="T293" s="13"/>
      <c r="U293" s="242"/>
      <c r="V293" s="242"/>
      <c r="W293" s="242"/>
      <c r="X293" s="242"/>
      <c r="Y293" s="242"/>
      <c r="Z293" s="242"/>
      <c r="AA293" s="242"/>
      <c r="AB293" s="242"/>
      <c r="AC293" s="242"/>
    </row>
    <row r="294">
      <c r="A294" s="242"/>
      <c r="B294" s="242"/>
      <c r="C294" s="242"/>
      <c r="D294" s="242"/>
      <c r="E294" s="242"/>
      <c r="F294" s="242"/>
      <c r="G294" s="242"/>
      <c r="H294" s="242"/>
      <c r="I294" s="242"/>
      <c r="J294" s="13"/>
      <c r="K294" s="15"/>
      <c r="L294" s="341"/>
      <c r="M294" s="13"/>
      <c r="N294" s="13"/>
      <c r="O294" s="13"/>
      <c r="P294" s="13"/>
      <c r="Q294" s="242"/>
      <c r="R294" s="13"/>
      <c r="S294" s="242"/>
      <c r="T294" s="13"/>
      <c r="U294" s="242"/>
      <c r="V294" s="242"/>
      <c r="W294" s="242"/>
      <c r="X294" s="242"/>
      <c r="Y294" s="242"/>
      <c r="Z294" s="242"/>
      <c r="AA294" s="242"/>
      <c r="AB294" s="242"/>
      <c r="AC294" s="242"/>
    </row>
    <row r="295">
      <c r="A295" s="242"/>
      <c r="B295" s="242"/>
      <c r="C295" s="242"/>
      <c r="D295" s="242"/>
      <c r="E295" s="242"/>
      <c r="F295" s="242"/>
      <c r="G295" s="242"/>
      <c r="H295" s="242"/>
      <c r="I295" s="242"/>
      <c r="J295" s="13"/>
      <c r="K295" s="15"/>
      <c r="L295" s="341"/>
      <c r="M295" s="13"/>
      <c r="N295" s="13"/>
      <c r="O295" s="13"/>
      <c r="P295" s="13"/>
      <c r="Q295" s="242"/>
      <c r="R295" s="13"/>
      <c r="S295" s="242"/>
      <c r="T295" s="13"/>
      <c r="U295" s="242"/>
      <c r="V295" s="242"/>
      <c r="W295" s="242"/>
      <c r="X295" s="242"/>
      <c r="Y295" s="242"/>
      <c r="Z295" s="242"/>
      <c r="AA295" s="242"/>
      <c r="AB295" s="242"/>
      <c r="AC295" s="242"/>
    </row>
    <row r="296">
      <c r="A296" s="242"/>
      <c r="B296" s="242"/>
      <c r="C296" s="242"/>
      <c r="D296" s="242"/>
      <c r="E296" s="242"/>
      <c r="F296" s="242"/>
      <c r="G296" s="242"/>
      <c r="H296" s="242"/>
      <c r="I296" s="242"/>
      <c r="J296" s="13"/>
      <c r="K296" s="15"/>
      <c r="L296" s="341"/>
      <c r="M296" s="13"/>
      <c r="N296" s="13"/>
      <c r="O296" s="13"/>
      <c r="P296" s="13"/>
      <c r="Q296" s="242"/>
      <c r="R296" s="13"/>
      <c r="S296" s="242"/>
      <c r="T296" s="13"/>
      <c r="U296" s="242"/>
      <c r="V296" s="242"/>
      <c r="W296" s="242"/>
      <c r="X296" s="242"/>
      <c r="Y296" s="242"/>
      <c r="Z296" s="242"/>
      <c r="AA296" s="242"/>
      <c r="AB296" s="242"/>
      <c r="AC296" s="242"/>
    </row>
    <row r="297">
      <c r="A297" s="242"/>
      <c r="B297" s="242"/>
      <c r="C297" s="242"/>
      <c r="D297" s="242"/>
      <c r="E297" s="242"/>
      <c r="F297" s="242"/>
      <c r="G297" s="242"/>
      <c r="H297" s="242"/>
      <c r="I297" s="242"/>
      <c r="J297" s="13"/>
      <c r="K297" s="15"/>
      <c r="L297" s="341"/>
      <c r="M297" s="13"/>
      <c r="N297" s="13"/>
      <c r="O297" s="13"/>
      <c r="P297" s="13"/>
      <c r="Q297" s="242"/>
      <c r="R297" s="13"/>
      <c r="S297" s="242"/>
      <c r="T297" s="13"/>
      <c r="U297" s="242"/>
      <c r="V297" s="242"/>
      <c r="W297" s="242"/>
      <c r="X297" s="242"/>
      <c r="Y297" s="242"/>
      <c r="Z297" s="242"/>
      <c r="AA297" s="242"/>
      <c r="AB297" s="242"/>
      <c r="AC297" s="242"/>
    </row>
    <row r="298">
      <c r="A298" s="242"/>
      <c r="B298" s="242"/>
      <c r="C298" s="242"/>
      <c r="D298" s="242"/>
      <c r="E298" s="242"/>
      <c r="F298" s="242"/>
      <c r="G298" s="242"/>
      <c r="H298" s="242"/>
      <c r="I298" s="242"/>
      <c r="J298" s="13"/>
      <c r="K298" s="15"/>
      <c r="L298" s="341"/>
      <c r="M298" s="13"/>
      <c r="N298" s="13"/>
      <c r="O298" s="13"/>
      <c r="P298" s="13"/>
      <c r="Q298" s="242"/>
      <c r="R298" s="13"/>
      <c r="S298" s="242"/>
      <c r="T298" s="13"/>
      <c r="U298" s="242"/>
      <c r="V298" s="242"/>
      <c r="W298" s="242"/>
      <c r="X298" s="242"/>
      <c r="Y298" s="242"/>
      <c r="Z298" s="242"/>
      <c r="AA298" s="242"/>
      <c r="AB298" s="242"/>
      <c r="AC298" s="242"/>
    </row>
    <row r="299">
      <c r="A299" s="242"/>
      <c r="B299" s="242"/>
      <c r="C299" s="242"/>
      <c r="D299" s="242"/>
      <c r="E299" s="242"/>
      <c r="F299" s="242"/>
      <c r="G299" s="242"/>
      <c r="H299" s="242"/>
      <c r="I299" s="242"/>
      <c r="J299" s="13"/>
      <c r="K299" s="15"/>
      <c r="L299" s="341"/>
      <c r="M299" s="13"/>
      <c r="N299" s="13"/>
      <c r="O299" s="13"/>
      <c r="P299" s="13"/>
      <c r="Q299" s="242"/>
      <c r="R299" s="13"/>
      <c r="S299" s="242"/>
      <c r="T299" s="13"/>
      <c r="U299" s="242"/>
      <c r="V299" s="242"/>
      <c r="W299" s="242"/>
      <c r="X299" s="242"/>
      <c r="Y299" s="242"/>
      <c r="Z299" s="242"/>
      <c r="AA299" s="242"/>
      <c r="AB299" s="242"/>
      <c r="AC299" s="242"/>
    </row>
    <row r="300">
      <c r="A300" s="242"/>
      <c r="B300" s="242"/>
      <c r="C300" s="242"/>
      <c r="D300" s="242"/>
      <c r="E300" s="242"/>
      <c r="F300" s="242"/>
      <c r="G300" s="242"/>
      <c r="H300" s="242"/>
      <c r="I300" s="242"/>
      <c r="J300" s="13"/>
      <c r="K300" s="15"/>
      <c r="L300" s="341"/>
      <c r="M300" s="13"/>
      <c r="N300" s="13"/>
      <c r="O300" s="13"/>
      <c r="P300" s="13"/>
      <c r="Q300" s="242"/>
      <c r="R300" s="13"/>
      <c r="S300" s="242"/>
      <c r="T300" s="13"/>
      <c r="U300" s="242"/>
      <c r="V300" s="242"/>
      <c r="W300" s="242"/>
      <c r="X300" s="242"/>
      <c r="Y300" s="242"/>
      <c r="Z300" s="242"/>
      <c r="AA300" s="242"/>
      <c r="AB300" s="242"/>
      <c r="AC300" s="242"/>
    </row>
    <row r="301">
      <c r="A301" s="242"/>
      <c r="B301" s="242"/>
      <c r="C301" s="242"/>
      <c r="D301" s="242"/>
      <c r="E301" s="242"/>
      <c r="F301" s="242"/>
      <c r="G301" s="242"/>
      <c r="H301" s="242"/>
      <c r="I301" s="242"/>
      <c r="J301" s="13"/>
      <c r="K301" s="15"/>
      <c r="L301" s="341"/>
      <c r="M301" s="13"/>
      <c r="N301" s="13"/>
      <c r="O301" s="13"/>
      <c r="P301" s="13"/>
      <c r="Q301" s="242"/>
      <c r="R301" s="13"/>
      <c r="S301" s="242"/>
      <c r="T301" s="13"/>
      <c r="U301" s="242"/>
      <c r="V301" s="242"/>
      <c r="W301" s="242"/>
      <c r="X301" s="242"/>
      <c r="Y301" s="242"/>
      <c r="Z301" s="242"/>
      <c r="AA301" s="242"/>
      <c r="AB301" s="242"/>
      <c r="AC301" s="242"/>
    </row>
    <row r="302">
      <c r="A302" s="242"/>
      <c r="B302" s="242"/>
      <c r="C302" s="242"/>
      <c r="D302" s="242"/>
      <c r="E302" s="242"/>
      <c r="F302" s="242"/>
      <c r="G302" s="242"/>
      <c r="H302" s="242"/>
      <c r="I302" s="242"/>
      <c r="J302" s="13"/>
      <c r="K302" s="15"/>
      <c r="L302" s="341"/>
      <c r="M302" s="13"/>
      <c r="N302" s="13"/>
      <c r="O302" s="13"/>
      <c r="P302" s="13"/>
      <c r="Q302" s="242"/>
      <c r="R302" s="13"/>
      <c r="S302" s="242"/>
      <c r="T302" s="13"/>
      <c r="U302" s="242"/>
      <c r="V302" s="242"/>
      <c r="W302" s="242"/>
      <c r="X302" s="242"/>
      <c r="Y302" s="242"/>
      <c r="Z302" s="242"/>
      <c r="AA302" s="242"/>
      <c r="AB302" s="242"/>
      <c r="AC302" s="242"/>
    </row>
    <row r="303">
      <c r="A303" s="242"/>
      <c r="B303" s="242"/>
      <c r="C303" s="242"/>
      <c r="D303" s="242"/>
      <c r="E303" s="242"/>
      <c r="F303" s="242"/>
      <c r="G303" s="242"/>
      <c r="H303" s="242"/>
      <c r="I303" s="242"/>
      <c r="J303" s="13"/>
      <c r="K303" s="15"/>
      <c r="L303" s="341"/>
      <c r="M303" s="13"/>
      <c r="N303" s="13"/>
      <c r="O303" s="13"/>
      <c r="P303" s="13"/>
      <c r="Q303" s="242"/>
      <c r="R303" s="13"/>
      <c r="S303" s="242"/>
      <c r="T303" s="13"/>
      <c r="U303" s="242"/>
      <c r="V303" s="242"/>
      <c r="W303" s="242"/>
      <c r="X303" s="242"/>
      <c r="Y303" s="242"/>
      <c r="Z303" s="242"/>
      <c r="AA303" s="242"/>
      <c r="AB303" s="242"/>
      <c r="AC303" s="242"/>
    </row>
    <row r="304">
      <c r="A304" s="242"/>
      <c r="B304" s="242"/>
      <c r="C304" s="242"/>
      <c r="D304" s="242"/>
      <c r="E304" s="242"/>
      <c r="F304" s="242"/>
      <c r="G304" s="242"/>
      <c r="H304" s="242"/>
      <c r="I304" s="242"/>
      <c r="J304" s="13"/>
      <c r="K304" s="15"/>
      <c r="L304" s="341"/>
      <c r="M304" s="13"/>
      <c r="N304" s="13"/>
      <c r="O304" s="13"/>
      <c r="P304" s="13"/>
      <c r="Q304" s="242"/>
      <c r="R304" s="13"/>
      <c r="S304" s="242"/>
      <c r="T304" s="13"/>
      <c r="U304" s="242"/>
      <c r="V304" s="242"/>
      <c r="W304" s="242"/>
      <c r="X304" s="242"/>
      <c r="Y304" s="242"/>
      <c r="Z304" s="242"/>
      <c r="AA304" s="242"/>
      <c r="AB304" s="242"/>
      <c r="AC304" s="242"/>
    </row>
    <row r="305">
      <c r="A305" s="242"/>
      <c r="B305" s="242"/>
      <c r="C305" s="242"/>
      <c r="D305" s="242"/>
      <c r="E305" s="242"/>
      <c r="F305" s="242"/>
      <c r="G305" s="242"/>
      <c r="H305" s="242"/>
      <c r="I305" s="242"/>
      <c r="J305" s="13"/>
      <c r="K305" s="15"/>
      <c r="L305" s="341"/>
      <c r="M305" s="13"/>
      <c r="N305" s="13"/>
      <c r="O305" s="13"/>
      <c r="P305" s="13"/>
      <c r="Q305" s="242"/>
      <c r="R305" s="13"/>
      <c r="S305" s="242"/>
      <c r="T305" s="13"/>
      <c r="U305" s="242"/>
      <c r="V305" s="242"/>
      <c r="W305" s="242"/>
      <c r="X305" s="242"/>
      <c r="Y305" s="242"/>
      <c r="Z305" s="242"/>
      <c r="AA305" s="242"/>
      <c r="AB305" s="242"/>
      <c r="AC305" s="242"/>
    </row>
    <row r="306">
      <c r="A306" s="242"/>
      <c r="B306" s="242"/>
      <c r="C306" s="242"/>
      <c r="D306" s="242"/>
      <c r="E306" s="242"/>
      <c r="F306" s="242"/>
      <c r="G306" s="242"/>
      <c r="H306" s="242"/>
      <c r="I306" s="242"/>
      <c r="J306" s="13"/>
      <c r="K306" s="15"/>
      <c r="L306" s="341"/>
      <c r="M306" s="13"/>
      <c r="N306" s="13"/>
      <c r="O306" s="13"/>
      <c r="P306" s="13"/>
      <c r="Q306" s="242"/>
      <c r="R306" s="13"/>
      <c r="S306" s="242"/>
      <c r="T306" s="13"/>
      <c r="U306" s="242"/>
      <c r="V306" s="242"/>
      <c r="W306" s="242"/>
      <c r="X306" s="242"/>
      <c r="Y306" s="242"/>
      <c r="Z306" s="242"/>
      <c r="AA306" s="242"/>
      <c r="AB306" s="242"/>
      <c r="AC306" s="242"/>
    </row>
    <row r="307">
      <c r="A307" s="242"/>
      <c r="B307" s="242"/>
      <c r="C307" s="242"/>
      <c r="D307" s="242"/>
      <c r="E307" s="242"/>
      <c r="F307" s="242"/>
      <c r="G307" s="242"/>
      <c r="H307" s="242"/>
      <c r="I307" s="242"/>
      <c r="J307" s="13"/>
      <c r="K307" s="15"/>
      <c r="L307" s="341"/>
      <c r="M307" s="13"/>
      <c r="N307" s="13"/>
      <c r="O307" s="13"/>
      <c r="P307" s="13"/>
      <c r="Q307" s="242"/>
      <c r="R307" s="13"/>
      <c r="S307" s="242"/>
      <c r="T307" s="13"/>
      <c r="U307" s="242"/>
      <c r="V307" s="242"/>
      <c r="W307" s="242"/>
      <c r="X307" s="242"/>
      <c r="Y307" s="242"/>
      <c r="Z307" s="242"/>
      <c r="AA307" s="242"/>
      <c r="AB307" s="242"/>
      <c r="AC307" s="242"/>
    </row>
    <row r="308">
      <c r="A308" s="242"/>
      <c r="B308" s="242"/>
      <c r="C308" s="242"/>
      <c r="D308" s="242"/>
      <c r="E308" s="242"/>
      <c r="F308" s="242"/>
      <c r="G308" s="242"/>
      <c r="H308" s="242"/>
      <c r="I308" s="242"/>
      <c r="J308" s="13"/>
      <c r="K308" s="15"/>
      <c r="L308" s="341"/>
      <c r="M308" s="13"/>
      <c r="N308" s="13"/>
      <c r="O308" s="13"/>
      <c r="P308" s="13"/>
      <c r="Q308" s="242"/>
      <c r="R308" s="13"/>
      <c r="S308" s="242"/>
      <c r="T308" s="13"/>
      <c r="U308" s="242"/>
      <c r="V308" s="242"/>
      <c r="W308" s="242"/>
      <c r="X308" s="242"/>
      <c r="Y308" s="242"/>
      <c r="Z308" s="242"/>
      <c r="AA308" s="242"/>
      <c r="AB308" s="242"/>
      <c r="AC308" s="242"/>
    </row>
    <row r="309">
      <c r="A309" s="242"/>
      <c r="B309" s="242"/>
      <c r="C309" s="242"/>
      <c r="D309" s="242"/>
      <c r="E309" s="242"/>
      <c r="F309" s="242"/>
      <c r="G309" s="242"/>
      <c r="H309" s="242"/>
      <c r="I309" s="242"/>
      <c r="J309" s="13"/>
      <c r="K309" s="15"/>
      <c r="L309" s="341"/>
      <c r="M309" s="13"/>
      <c r="N309" s="13"/>
      <c r="O309" s="13"/>
      <c r="P309" s="13"/>
      <c r="Q309" s="242"/>
      <c r="R309" s="13"/>
      <c r="S309" s="242"/>
      <c r="T309" s="13"/>
      <c r="U309" s="242"/>
      <c r="V309" s="242"/>
      <c r="W309" s="242"/>
      <c r="X309" s="242"/>
      <c r="Y309" s="242"/>
      <c r="Z309" s="242"/>
      <c r="AA309" s="242"/>
      <c r="AB309" s="242"/>
      <c r="AC309" s="242"/>
    </row>
    <row r="310">
      <c r="A310" s="242"/>
      <c r="B310" s="242"/>
      <c r="C310" s="242"/>
      <c r="D310" s="242"/>
      <c r="E310" s="242"/>
      <c r="F310" s="242"/>
      <c r="G310" s="242"/>
      <c r="H310" s="242"/>
      <c r="I310" s="242"/>
      <c r="J310" s="13"/>
      <c r="K310" s="15"/>
      <c r="L310" s="341"/>
      <c r="M310" s="13"/>
      <c r="N310" s="13"/>
      <c r="O310" s="13"/>
      <c r="P310" s="13"/>
      <c r="Q310" s="242"/>
      <c r="R310" s="13"/>
      <c r="S310" s="242"/>
      <c r="T310" s="13"/>
      <c r="U310" s="242"/>
      <c r="V310" s="242"/>
      <c r="W310" s="242"/>
      <c r="X310" s="242"/>
      <c r="Y310" s="242"/>
      <c r="Z310" s="242"/>
      <c r="AA310" s="242"/>
      <c r="AB310" s="242"/>
      <c r="AC310" s="242"/>
    </row>
    <row r="311">
      <c r="A311" s="242"/>
      <c r="B311" s="242"/>
      <c r="C311" s="242"/>
      <c r="D311" s="242"/>
      <c r="E311" s="242"/>
      <c r="F311" s="242"/>
      <c r="G311" s="242"/>
      <c r="H311" s="242"/>
      <c r="I311" s="242"/>
      <c r="J311" s="13"/>
      <c r="K311" s="15"/>
      <c r="L311" s="341"/>
      <c r="M311" s="13"/>
      <c r="N311" s="13"/>
      <c r="O311" s="13"/>
      <c r="P311" s="13"/>
      <c r="Q311" s="242"/>
      <c r="R311" s="13"/>
      <c r="S311" s="242"/>
      <c r="T311" s="13"/>
      <c r="U311" s="242"/>
      <c r="V311" s="242"/>
      <c r="W311" s="242"/>
      <c r="X311" s="242"/>
      <c r="Y311" s="242"/>
      <c r="Z311" s="242"/>
      <c r="AA311" s="242"/>
      <c r="AB311" s="242"/>
      <c r="AC311" s="242"/>
    </row>
    <row r="312">
      <c r="A312" s="242"/>
      <c r="B312" s="242"/>
      <c r="C312" s="242"/>
      <c r="D312" s="242"/>
      <c r="E312" s="242"/>
      <c r="F312" s="242"/>
      <c r="G312" s="242"/>
      <c r="H312" s="242"/>
      <c r="I312" s="242"/>
      <c r="J312" s="13"/>
      <c r="K312" s="15"/>
      <c r="L312" s="341"/>
      <c r="M312" s="13"/>
      <c r="N312" s="13"/>
      <c r="O312" s="13"/>
      <c r="P312" s="13"/>
      <c r="Q312" s="242"/>
      <c r="R312" s="13"/>
      <c r="S312" s="242"/>
      <c r="T312" s="13"/>
      <c r="U312" s="242"/>
      <c r="V312" s="242"/>
      <c r="W312" s="242"/>
      <c r="X312" s="242"/>
      <c r="Y312" s="242"/>
      <c r="Z312" s="242"/>
      <c r="AA312" s="242"/>
      <c r="AB312" s="242"/>
      <c r="AC312" s="242"/>
    </row>
    <row r="313">
      <c r="A313" s="242"/>
      <c r="B313" s="242"/>
      <c r="C313" s="242"/>
      <c r="D313" s="242"/>
      <c r="E313" s="242"/>
      <c r="F313" s="242"/>
      <c r="G313" s="242"/>
      <c r="H313" s="242"/>
      <c r="I313" s="242"/>
      <c r="J313" s="13"/>
      <c r="K313" s="15"/>
      <c r="L313" s="341"/>
      <c r="M313" s="13"/>
      <c r="N313" s="13"/>
      <c r="O313" s="13"/>
      <c r="P313" s="13"/>
      <c r="Q313" s="242"/>
      <c r="R313" s="13"/>
      <c r="S313" s="242"/>
      <c r="T313" s="13"/>
      <c r="U313" s="242"/>
      <c r="V313" s="242"/>
      <c r="W313" s="242"/>
      <c r="X313" s="242"/>
      <c r="Y313" s="242"/>
      <c r="Z313" s="242"/>
      <c r="AA313" s="242"/>
      <c r="AB313" s="242"/>
      <c r="AC313" s="242"/>
    </row>
    <row r="314">
      <c r="A314" s="242"/>
      <c r="B314" s="242"/>
      <c r="C314" s="242"/>
      <c r="D314" s="242"/>
      <c r="E314" s="242"/>
      <c r="F314" s="242"/>
      <c r="G314" s="242"/>
      <c r="H314" s="242"/>
      <c r="I314" s="242"/>
      <c r="J314" s="13"/>
      <c r="K314" s="15"/>
      <c r="L314" s="341"/>
      <c r="M314" s="13"/>
      <c r="N314" s="13"/>
      <c r="O314" s="13"/>
      <c r="P314" s="13"/>
      <c r="Q314" s="242"/>
      <c r="R314" s="13"/>
      <c r="S314" s="242"/>
      <c r="T314" s="13"/>
      <c r="U314" s="242"/>
      <c r="V314" s="242"/>
      <c r="W314" s="242"/>
      <c r="X314" s="242"/>
      <c r="Y314" s="242"/>
      <c r="Z314" s="242"/>
      <c r="AA314" s="242"/>
      <c r="AB314" s="242"/>
      <c r="AC314" s="242"/>
    </row>
    <row r="315">
      <c r="A315" s="242"/>
      <c r="B315" s="242"/>
      <c r="C315" s="242"/>
      <c r="D315" s="242"/>
      <c r="E315" s="242"/>
      <c r="F315" s="242"/>
      <c r="G315" s="242"/>
      <c r="H315" s="242"/>
      <c r="I315" s="242"/>
      <c r="J315" s="13"/>
      <c r="K315" s="15"/>
      <c r="L315" s="341"/>
      <c r="M315" s="13"/>
      <c r="N315" s="13"/>
      <c r="O315" s="13"/>
      <c r="P315" s="13"/>
      <c r="Q315" s="242"/>
      <c r="R315" s="13"/>
      <c r="S315" s="242"/>
      <c r="T315" s="13"/>
      <c r="U315" s="242"/>
      <c r="V315" s="242"/>
      <c r="W315" s="242"/>
      <c r="X315" s="242"/>
      <c r="Y315" s="242"/>
      <c r="Z315" s="242"/>
      <c r="AA315" s="242"/>
      <c r="AB315" s="242"/>
      <c r="AC315" s="242"/>
    </row>
    <row r="316">
      <c r="A316" s="242"/>
      <c r="B316" s="242"/>
      <c r="C316" s="242"/>
      <c r="D316" s="242"/>
      <c r="E316" s="242"/>
      <c r="F316" s="242"/>
      <c r="G316" s="242"/>
      <c r="H316" s="242"/>
      <c r="I316" s="242"/>
      <c r="J316" s="13"/>
      <c r="K316" s="15"/>
      <c r="L316" s="341"/>
      <c r="M316" s="13"/>
      <c r="N316" s="13"/>
      <c r="O316" s="13"/>
      <c r="P316" s="13"/>
      <c r="Q316" s="242"/>
      <c r="R316" s="13"/>
      <c r="S316" s="242"/>
      <c r="T316" s="13"/>
      <c r="U316" s="242"/>
      <c r="V316" s="242"/>
      <c r="W316" s="242"/>
      <c r="X316" s="242"/>
      <c r="Y316" s="242"/>
      <c r="Z316" s="242"/>
      <c r="AA316" s="242"/>
      <c r="AB316" s="242"/>
      <c r="AC316" s="242"/>
    </row>
    <row r="317">
      <c r="A317" s="242"/>
      <c r="B317" s="242"/>
      <c r="C317" s="242"/>
      <c r="D317" s="242"/>
      <c r="E317" s="242"/>
      <c r="F317" s="242"/>
      <c r="G317" s="242"/>
      <c r="H317" s="242"/>
      <c r="I317" s="242"/>
      <c r="J317" s="13"/>
      <c r="K317" s="15"/>
      <c r="L317" s="341"/>
      <c r="M317" s="13"/>
      <c r="N317" s="13"/>
      <c r="O317" s="13"/>
      <c r="P317" s="13"/>
      <c r="Q317" s="242"/>
      <c r="R317" s="13"/>
      <c r="S317" s="242"/>
      <c r="T317" s="13"/>
      <c r="U317" s="242"/>
      <c r="V317" s="242"/>
      <c r="W317" s="242"/>
      <c r="X317" s="242"/>
      <c r="Y317" s="242"/>
      <c r="Z317" s="242"/>
      <c r="AA317" s="242"/>
      <c r="AB317" s="242"/>
      <c r="AC317" s="242"/>
    </row>
    <row r="318">
      <c r="A318" s="242"/>
      <c r="B318" s="242"/>
      <c r="C318" s="242"/>
      <c r="D318" s="242"/>
      <c r="E318" s="242"/>
      <c r="F318" s="242"/>
      <c r="G318" s="242"/>
      <c r="H318" s="242"/>
      <c r="I318" s="242"/>
      <c r="J318" s="13"/>
      <c r="K318" s="15"/>
      <c r="L318" s="341"/>
      <c r="M318" s="13"/>
      <c r="N318" s="13"/>
      <c r="O318" s="13"/>
      <c r="P318" s="13"/>
      <c r="Q318" s="242"/>
      <c r="R318" s="13"/>
      <c r="S318" s="242"/>
      <c r="T318" s="13"/>
      <c r="U318" s="242"/>
      <c r="V318" s="242"/>
      <c r="W318" s="242"/>
      <c r="X318" s="242"/>
      <c r="Y318" s="242"/>
      <c r="Z318" s="242"/>
      <c r="AA318" s="242"/>
      <c r="AB318" s="242"/>
      <c r="AC318" s="242"/>
    </row>
    <row r="319">
      <c r="A319" s="242"/>
      <c r="B319" s="242"/>
      <c r="C319" s="242"/>
      <c r="D319" s="242"/>
      <c r="E319" s="242"/>
      <c r="F319" s="242"/>
      <c r="G319" s="242"/>
      <c r="H319" s="242"/>
      <c r="I319" s="242"/>
      <c r="J319" s="13"/>
      <c r="K319" s="15"/>
      <c r="L319" s="341"/>
      <c r="M319" s="13"/>
      <c r="N319" s="13"/>
      <c r="O319" s="13"/>
      <c r="P319" s="13"/>
      <c r="Q319" s="242"/>
      <c r="R319" s="13"/>
      <c r="S319" s="242"/>
      <c r="T319" s="13"/>
      <c r="U319" s="242"/>
      <c r="V319" s="242"/>
      <c r="W319" s="242"/>
      <c r="X319" s="242"/>
      <c r="Y319" s="242"/>
      <c r="Z319" s="242"/>
      <c r="AA319" s="242"/>
      <c r="AB319" s="242"/>
      <c r="AC319" s="242"/>
    </row>
    <row r="320">
      <c r="A320" s="242"/>
      <c r="B320" s="242"/>
      <c r="C320" s="242"/>
      <c r="D320" s="242"/>
      <c r="E320" s="242"/>
      <c r="F320" s="242"/>
      <c r="G320" s="242"/>
      <c r="H320" s="242"/>
      <c r="I320" s="242"/>
      <c r="J320" s="13"/>
      <c r="K320" s="15"/>
      <c r="L320" s="341"/>
      <c r="M320" s="13"/>
      <c r="N320" s="13"/>
      <c r="O320" s="13"/>
      <c r="P320" s="13"/>
      <c r="Q320" s="242"/>
      <c r="R320" s="13"/>
      <c r="S320" s="242"/>
      <c r="T320" s="13"/>
      <c r="U320" s="242"/>
      <c r="V320" s="242"/>
      <c r="W320" s="242"/>
      <c r="X320" s="242"/>
      <c r="Y320" s="242"/>
      <c r="Z320" s="242"/>
      <c r="AA320" s="242"/>
      <c r="AB320" s="242"/>
      <c r="AC320" s="242"/>
    </row>
    <row r="321">
      <c r="A321" s="242"/>
      <c r="B321" s="242"/>
      <c r="C321" s="242"/>
      <c r="D321" s="242"/>
      <c r="E321" s="242"/>
      <c r="F321" s="242"/>
      <c r="G321" s="242"/>
      <c r="H321" s="242"/>
      <c r="I321" s="242"/>
      <c r="J321" s="13"/>
      <c r="K321" s="15"/>
      <c r="L321" s="341"/>
      <c r="M321" s="13"/>
      <c r="N321" s="13"/>
      <c r="O321" s="13"/>
      <c r="P321" s="13"/>
      <c r="Q321" s="242"/>
      <c r="R321" s="13"/>
      <c r="S321" s="242"/>
      <c r="T321" s="13"/>
      <c r="U321" s="242"/>
      <c r="V321" s="242"/>
      <c r="W321" s="242"/>
      <c r="X321" s="242"/>
      <c r="Y321" s="242"/>
      <c r="Z321" s="242"/>
      <c r="AA321" s="242"/>
      <c r="AB321" s="242"/>
      <c r="AC321" s="242"/>
    </row>
    <row r="322">
      <c r="A322" s="242"/>
      <c r="B322" s="242"/>
      <c r="C322" s="242"/>
      <c r="D322" s="242"/>
      <c r="E322" s="242"/>
      <c r="F322" s="242"/>
      <c r="G322" s="242"/>
      <c r="H322" s="242"/>
      <c r="I322" s="242"/>
      <c r="J322" s="13"/>
      <c r="K322" s="15"/>
      <c r="L322" s="341"/>
      <c r="M322" s="13"/>
      <c r="N322" s="13"/>
      <c r="O322" s="13"/>
      <c r="P322" s="13"/>
      <c r="Q322" s="242"/>
      <c r="R322" s="13"/>
      <c r="S322" s="242"/>
      <c r="T322" s="13"/>
      <c r="U322" s="242"/>
      <c r="V322" s="242"/>
      <c r="W322" s="242"/>
      <c r="X322" s="242"/>
      <c r="Y322" s="242"/>
      <c r="Z322" s="242"/>
      <c r="AA322" s="242"/>
      <c r="AB322" s="242"/>
      <c r="AC322" s="242"/>
    </row>
    <row r="323">
      <c r="A323" s="242"/>
      <c r="B323" s="242"/>
      <c r="C323" s="242"/>
      <c r="D323" s="242"/>
      <c r="E323" s="242"/>
      <c r="F323" s="242"/>
      <c r="G323" s="242"/>
      <c r="H323" s="242"/>
      <c r="I323" s="242"/>
      <c r="J323" s="13"/>
      <c r="K323" s="15"/>
      <c r="L323" s="341"/>
      <c r="M323" s="13"/>
      <c r="N323" s="13"/>
      <c r="O323" s="13"/>
      <c r="P323" s="13"/>
      <c r="Q323" s="242"/>
      <c r="R323" s="13"/>
      <c r="S323" s="242"/>
      <c r="T323" s="13"/>
      <c r="U323" s="242"/>
      <c r="V323" s="242"/>
      <c r="W323" s="242"/>
      <c r="X323" s="242"/>
      <c r="Y323" s="242"/>
      <c r="Z323" s="242"/>
      <c r="AA323" s="242"/>
      <c r="AB323" s="242"/>
      <c r="AC323" s="242"/>
    </row>
    <row r="324">
      <c r="A324" s="242"/>
      <c r="B324" s="242"/>
      <c r="C324" s="242"/>
      <c r="D324" s="242"/>
      <c r="E324" s="242"/>
      <c r="F324" s="242"/>
      <c r="G324" s="242"/>
      <c r="H324" s="242"/>
      <c r="I324" s="242"/>
      <c r="J324" s="13"/>
      <c r="K324" s="15"/>
      <c r="L324" s="341"/>
      <c r="M324" s="13"/>
      <c r="N324" s="13"/>
      <c r="O324" s="13"/>
      <c r="P324" s="13"/>
      <c r="Q324" s="242"/>
      <c r="R324" s="13"/>
      <c r="S324" s="242"/>
      <c r="T324" s="13"/>
      <c r="U324" s="242"/>
      <c r="V324" s="242"/>
      <c r="W324" s="242"/>
      <c r="X324" s="242"/>
      <c r="Y324" s="242"/>
      <c r="Z324" s="242"/>
      <c r="AA324" s="242"/>
      <c r="AB324" s="242"/>
      <c r="AC324" s="242"/>
    </row>
    <row r="325">
      <c r="A325" s="242"/>
      <c r="B325" s="242"/>
      <c r="C325" s="242"/>
      <c r="D325" s="242"/>
      <c r="E325" s="242"/>
      <c r="F325" s="242"/>
      <c r="G325" s="242"/>
      <c r="H325" s="242"/>
      <c r="I325" s="242"/>
      <c r="J325" s="13"/>
      <c r="K325" s="15"/>
      <c r="L325" s="341"/>
      <c r="M325" s="13"/>
      <c r="N325" s="13"/>
      <c r="O325" s="13"/>
      <c r="P325" s="13"/>
      <c r="Q325" s="242"/>
      <c r="R325" s="13"/>
      <c r="S325" s="242"/>
      <c r="T325" s="13"/>
      <c r="U325" s="242"/>
      <c r="V325" s="242"/>
      <c r="W325" s="242"/>
      <c r="X325" s="242"/>
      <c r="Y325" s="242"/>
      <c r="Z325" s="242"/>
      <c r="AA325" s="242"/>
      <c r="AB325" s="242"/>
      <c r="AC325" s="242"/>
    </row>
    <row r="326">
      <c r="A326" s="242"/>
      <c r="B326" s="242"/>
      <c r="C326" s="242"/>
      <c r="D326" s="242"/>
      <c r="E326" s="242"/>
      <c r="F326" s="242"/>
      <c r="G326" s="242"/>
      <c r="H326" s="242"/>
      <c r="I326" s="242"/>
      <c r="J326" s="13"/>
      <c r="K326" s="15"/>
      <c r="L326" s="341"/>
      <c r="M326" s="13"/>
      <c r="N326" s="13"/>
      <c r="O326" s="13"/>
      <c r="P326" s="13"/>
      <c r="Q326" s="242"/>
      <c r="R326" s="13"/>
      <c r="S326" s="242"/>
      <c r="T326" s="13"/>
      <c r="U326" s="242"/>
      <c r="V326" s="242"/>
      <c r="W326" s="242"/>
      <c r="X326" s="242"/>
      <c r="Y326" s="242"/>
      <c r="Z326" s="242"/>
      <c r="AA326" s="242"/>
      <c r="AB326" s="242"/>
      <c r="AC326" s="242"/>
    </row>
    <row r="327">
      <c r="A327" s="242"/>
      <c r="B327" s="242"/>
      <c r="C327" s="242"/>
      <c r="D327" s="242"/>
      <c r="E327" s="242"/>
      <c r="F327" s="242"/>
      <c r="G327" s="242"/>
      <c r="H327" s="242"/>
      <c r="I327" s="242"/>
      <c r="J327" s="13"/>
      <c r="K327" s="15"/>
      <c r="L327" s="341"/>
      <c r="M327" s="13"/>
      <c r="N327" s="13"/>
      <c r="O327" s="13"/>
      <c r="P327" s="13"/>
      <c r="Q327" s="242"/>
      <c r="R327" s="13"/>
      <c r="S327" s="242"/>
      <c r="T327" s="13"/>
      <c r="U327" s="242"/>
      <c r="V327" s="242"/>
      <c r="W327" s="242"/>
      <c r="X327" s="242"/>
      <c r="Y327" s="242"/>
      <c r="Z327" s="242"/>
      <c r="AA327" s="242"/>
      <c r="AB327" s="242"/>
      <c r="AC327" s="242"/>
    </row>
    <row r="328">
      <c r="A328" s="242"/>
      <c r="B328" s="242"/>
      <c r="C328" s="242"/>
      <c r="D328" s="242"/>
      <c r="E328" s="242"/>
      <c r="F328" s="242"/>
      <c r="G328" s="242"/>
      <c r="H328" s="242"/>
      <c r="I328" s="242"/>
      <c r="J328" s="13"/>
      <c r="K328" s="15"/>
      <c r="L328" s="341"/>
      <c r="M328" s="13"/>
      <c r="N328" s="13"/>
      <c r="O328" s="13"/>
      <c r="P328" s="13"/>
      <c r="Q328" s="242"/>
      <c r="R328" s="13"/>
      <c r="S328" s="242"/>
      <c r="T328" s="13"/>
      <c r="U328" s="242"/>
      <c r="V328" s="242"/>
      <c r="W328" s="242"/>
      <c r="X328" s="242"/>
      <c r="Y328" s="242"/>
      <c r="Z328" s="242"/>
      <c r="AA328" s="242"/>
      <c r="AB328" s="242"/>
      <c r="AC328" s="242"/>
    </row>
    <row r="329">
      <c r="A329" s="242"/>
      <c r="B329" s="242"/>
      <c r="C329" s="242"/>
      <c r="D329" s="242"/>
      <c r="E329" s="242"/>
      <c r="F329" s="242"/>
      <c r="G329" s="242"/>
      <c r="H329" s="242"/>
      <c r="I329" s="242"/>
      <c r="J329" s="13"/>
      <c r="K329" s="15"/>
      <c r="L329" s="341"/>
      <c r="M329" s="13"/>
      <c r="N329" s="13"/>
      <c r="O329" s="13"/>
      <c r="P329" s="13"/>
      <c r="Q329" s="242"/>
      <c r="R329" s="13"/>
      <c r="S329" s="242"/>
      <c r="T329" s="13"/>
      <c r="U329" s="242"/>
      <c r="V329" s="242"/>
      <c r="W329" s="242"/>
      <c r="X329" s="242"/>
      <c r="Y329" s="242"/>
      <c r="Z329" s="242"/>
      <c r="AA329" s="242"/>
      <c r="AB329" s="242"/>
      <c r="AC329" s="242"/>
    </row>
    <row r="330">
      <c r="A330" s="242"/>
      <c r="B330" s="242"/>
      <c r="C330" s="242"/>
      <c r="D330" s="242"/>
      <c r="E330" s="242"/>
      <c r="F330" s="242"/>
      <c r="G330" s="242"/>
      <c r="H330" s="242"/>
      <c r="I330" s="242"/>
      <c r="J330" s="13"/>
      <c r="K330" s="15"/>
      <c r="L330" s="341"/>
      <c r="M330" s="13"/>
      <c r="N330" s="13"/>
      <c r="O330" s="13"/>
      <c r="P330" s="13"/>
      <c r="Q330" s="242"/>
      <c r="R330" s="13"/>
      <c r="S330" s="242"/>
      <c r="T330" s="13"/>
      <c r="U330" s="242"/>
      <c r="V330" s="242"/>
      <c r="W330" s="242"/>
      <c r="X330" s="242"/>
      <c r="Y330" s="242"/>
      <c r="Z330" s="242"/>
      <c r="AA330" s="242"/>
      <c r="AB330" s="242"/>
      <c r="AC330" s="242"/>
    </row>
    <row r="331">
      <c r="A331" s="242"/>
      <c r="B331" s="242"/>
      <c r="C331" s="242"/>
      <c r="D331" s="242"/>
      <c r="E331" s="242"/>
      <c r="F331" s="242"/>
      <c r="G331" s="242"/>
      <c r="H331" s="242"/>
      <c r="I331" s="242"/>
      <c r="J331" s="13"/>
      <c r="K331" s="15"/>
      <c r="L331" s="341"/>
      <c r="M331" s="13"/>
      <c r="N331" s="13"/>
      <c r="O331" s="13"/>
      <c r="P331" s="13"/>
      <c r="Q331" s="242"/>
      <c r="R331" s="13"/>
      <c r="S331" s="242"/>
      <c r="T331" s="13"/>
      <c r="U331" s="242"/>
      <c r="V331" s="242"/>
      <c r="W331" s="242"/>
      <c r="X331" s="242"/>
      <c r="Y331" s="242"/>
      <c r="Z331" s="242"/>
      <c r="AA331" s="242"/>
      <c r="AB331" s="242"/>
      <c r="AC331" s="242"/>
    </row>
    <row r="332">
      <c r="A332" s="242"/>
      <c r="B332" s="242"/>
      <c r="C332" s="242"/>
      <c r="D332" s="242"/>
      <c r="E332" s="242"/>
      <c r="F332" s="242"/>
      <c r="G332" s="242"/>
      <c r="H332" s="242"/>
      <c r="I332" s="242"/>
      <c r="J332" s="13"/>
      <c r="K332" s="15"/>
      <c r="L332" s="341"/>
      <c r="M332" s="13"/>
      <c r="N332" s="13"/>
      <c r="O332" s="13"/>
      <c r="P332" s="13"/>
      <c r="Q332" s="242"/>
      <c r="R332" s="13"/>
      <c r="S332" s="242"/>
      <c r="T332" s="13"/>
      <c r="U332" s="242"/>
      <c r="V332" s="242"/>
      <c r="W332" s="242"/>
      <c r="X332" s="242"/>
      <c r="Y332" s="242"/>
      <c r="Z332" s="242"/>
      <c r="AA332" s="242"/>
      <c r="AB332" s="242"/>
      <c r="AC332" s="242"/>
    </row>
    <row r="333">
      <c r="A333" s="242"/>
      <c r="B333" s="242"/>
      <c r="C333" s="242"/>
      <c r="D333" s="242"/>
      <c r="E333" s="242"/>
      <c r="F333" s="242"/>
      <c r="G333" s="242"/>
      <c r="H333" s="242"/>
      <c r="I333" s="242"/>
      <c r="J333" s="13"/>
      <c r="K333" s="15"/>
      <c r="L333" s="341"/>
      <c r="M333" s="13"/>
      <c r="N333" s="13"/>
      <c r="O333" s="13"/>
      <c r="P333" s="13"/>
      <c r="Q333" s="242"/>
      <c r="R333" s="13"/>
      <c r="S333" s="242"/>
      <c r="T333" s="13"/>
      <c r="U333" s="242"/>
      <c r="V333" s="242"/>
      <c r="W333" s="242"/>
      <c r="X333" s="242"/>
      <c r="Y333" s="242"/>
      <c r="Z333" s="242"/>
      <c r="AA333" s="242"/>
      <c r="AB333" s="242"/>
      <c r="AC333" s="242"/>
    </row>
    <row r="334">
      <c r="A334" s="242"/>
      <c r="B334" s="242"/>
      <c r="C334" s="242"/>
      <c r="D334" s="242"/>
      <c r="E334" s="242"/>
      <c r="F334" s="242"/>
      <c r="G334" s="242"/>
      <c r="H334" s="242"/>
      <c r="I334" s="242"/>
      <c r="J334" s="13"/>
      <c r="K334" s="15"/>
      <c r="L334" s="341"/>
      <c r="M334" s="13"/>
      <c r="N334" s="13"/>
      <c r="O334" s="13"/>
      <c r="P334" s="13"/>
      <c r="Q334" s="242"/>
      <c r="R334" s="13"/>
      <c r="S334" s="242"/>
      <c r="T334" s="13"/>
      <c r="U334" s="242"/>
      <c r="V334" s="242"/>
      <c r="W334" s="242"/>
      <c r="X334" s="242"/>
      <c r="Y334" s="242"/>
      <c r="Z334" s="242"/>
      <c r="AA334" s="242"/>
      <c r="AB334" s="242"/>
      <c r="AC334" s="242"/>
    </row>
    <row r="335">
      <c r="A335" s="242"/>
      <c r="B335" s="242"/>
      <c r="C335" s="242"/>
      <c r="D335" s="242"/>
      <c r="E335" s="242"/>
      <c r="F335" s="242"/>
      <c r="G335" s="242"/>
      <c r="H335" s="242"/>
      <c r="I335" s="242"/>
      <c r="J335" s="13"/>
      <c r="K335" s="15"/>
      <c r="L335" s="341"/>
      <c r="M335" s="13"/>
      <c r="N335" s="13"/>
      <c r="O335" s="13"/>
      <c r="P335" s="13"/>
      <c r="Q335" s="242"/>
      <c r="R335" s="13"/>
      <c r="S335" s="242"/>
      <c r="T335" s="13"/>
      <c r="U335" s="242"/>
      <c r="V335" s="242"/>
      <c r="W335" s="242"/>
      <c r="X335" s="242"/>
      <c r="Y335" s="242"/>
      <c r="Z335" s="242"/>
      <c r="AA335" s="242"/>
      <c r="AB335" s="242"/>
      <c r="AC335" s="242"/>
    </row>
    <row r="336">
      <c r="A336" s="242"/>
      <c r="B336" s="242"/>
      <c r="C336" s="242"/>
      <c r="D336" s="242"/>
      <c r="E336" s="242"/>
      <c r="F336" s="242"/>
      <c r="G336" s="242"/>
      <c r="H336" s="242"/>
      <c r="I336" s="242"/>
      <c r="J336" s="13"/>
      <c r="K336" s="15"/>
      <c r="L336" s="341"/>
      <c r="M336" s="13"/>
      <c r="N336" s="13"/>
      <c r="O336" s="13"/>
      <c r="P336" s="13"/>
      <c r="Q336" s="242"/>
      <c r="R336" s="13"/>
      <c r="S336" s="242"/>
      <c r="T336" s="13"/>
      <c r="U336" s="242"/>
      <c r="V336" s="242"/>
      <c r="W336" s="242"/>
      <c r="X336" s="242"/>
      <c r="Y336" s="242"/>
      <c r="Z336" s="242"/>
      <c r="AA336" s="242"/>
      <c r="AB336" s="242"/>
      <c r="AC336" s="242"/>
    </row>
    <row r="337">
      <c r="A337" s="242"/>
      <c r="B337" s="242"/>
      <c r="C337" s="242"/>
      <c r="D337" s="242"/>
      <c r="E337" s="242"/>
      <c r="F337" s="242"/>
      <c r="G337" s="242"/>
      <c r="H337" s="242"/>
      <c r="I337" s="242"/>
      <c r="J337" s="13"/>
      <c r="K337" s="15"/>
      <c r="L337" s="341"/>
      <c r="M337" s="13"/>
      <c r="N337" s="13"/>
      <c r="O337" s="13"/>
      <c r="P337" s="13"/>
      <c r="Q337" s="242"/>
      <c r="R337" s="13"/>
      <c r="S337" s="242"/>
      <c r="T337" s="13"/>
      <c r="U337" s="242"/>
      <c r="V337" s="242"/>
      <c r="W337" s="242"/>
      <c r="X337" s="242"/>
      <c r="Y337" s="242"/>
      <c r="Z337" s="242"/>
      <c r="AA337" s="242"/>
      <c r="AB337" s="242"/>
      <c r="AC337" s="242"/>
    </row>
    <row r="338">
      <c r="A338" s="242"/>
      <c r="B338" s="242"/>
      <c r="C338" s="242"/>
      <c r="D338" s="242"/>
      <c r="E338" s="242"/>
      <c r="F338" s="242"/>
      <c r="G338" s="242"/>
      <c r="H338" s="242"/>
      <c r="I338" s="242"/>
      <c r="J338" s="13"/>
      <c r="K338" s="15"/>
      <c r="L338" s="341"/>
      <c r="M338" s="13"/>
      <c r="N338" s="13"/>
      <c r="O338" s="13"/>
      <c r="P338" s="13"/>
      <c r="Q338" s="242"/>
      <c r="R338" s="13"/>
      <c r="S338" s="242"/>
      <c r="T338" s="13"/>
      <c r="U338" s="242"/>
      <c r="V338" s="242"/>
      <c r="W338" s="242"/>
      <c r="X338" s="242"/>
      <c r="Y338" s="242"/>
      <c r="Z338" s="242"/>
      <c r="AA338" s="242"/>
      <c r="AB338" s="242"/>
      <c r="AC338" s="242"/>
    </row>
    <row r="339">
      <c r="A339" s="242"/>
      <c r="B339" s="242"/>
      <c r="C339" s="242"/>
      <c r="D339" s="242"/>
      <c r="E339" s="242"/>
      <c r="F339" s="242"/>
      <c r="G339" s="242"/>
      <c r="H339" s="242"/>
      <c r="I339" s="242"/>
      <c r="J339" s="13"/>
      <c r="K339" s="15"/>
      <c r="L339" s="341"/>
      <c r="M339" s="13"/>
      <c r="N339" s="13"/>
      <c r="O339" s="13"/>
      <c r="P339" s="13"/>
      <c r="Q339" s="242"/>
      <c r="R339" s="13"/>
      <c r="S339" s="242"/>
      <c r="T339" s="13"/>
      <c r="U339" s="242"/>
      <c r="V339" s="242"/>
      <c r="W339" s="242"/>
      <c r="X339" s="242"/>
      <c r="Y339" s="242"/>
      <c r="Z339" s="242"/>
      <c r="AA339" s="242"/>
      <c r="AB339" s="242"/>
      <c r="AC339" s="242"/>
    </row>
    <row r="340">
      <c r="A340" s="242"/>
      <c r="B340" s="242"/>
      <c r="C340" s="242"/>
      <c r="D340" s="242"/>
      <c r="E340" s="242"/>
      <c r="F340" s="242"/>
      <c r="G340" s="242"/>
      <c r="H340" s="242"/>
      <c r="I340" s="242"/>
      <c r="J340" s="13"/>
      <c r="K340" s="15"/>
      <c r="L340" s="341"/>
      <c r="M340" s="13"/>
      <c r="N340" s="13"/>
      <c r="O340" s="13"/>
      <c r="P340" s="13"/>
      <c r="Q340" s="242"/>
      <c r="R340" s="13"/>
      <c r="S340" s="242"/>
      <c r="T340" s="13"/>
      <c r="U340" s="242"/>
      <c r="V340" s="242"/>
      <c r="W340" s="242"/>
      <c r="X340" s="242"/>
      <c r="Y340" s="242"/>
      <c r="Z340" s="242"/>
      <c r="AA340" s="242"/>
      <c r="AB340" s="242"/>
      <c r="AC340" s="242"/>
    </row>
    <row r="341">
      <c r="A341" s="242"/>
      <c r="B341" s="242"/>
      <c r="C341" s="242"/>
      <c r="D341" s="242"/>
      <c r="E341" s="242"/>
      <c r="F341" s="242"/>
      <c r="G341" s="242"/>
      <c r="H341" s="242"/>
      <c r="I341" s="242"/>
      <c r="J341" s="13"/>
      <c r="K341" s="15"/>
      <c r="L341" s="341"/>
      <c r="M341" s="13"/>
      <c r="N341" s="13"/>
      <c r="O341" s="13"/>
      <c r="P341" s="13"/>
      <c r="Q341" s="242"/>
      <c r="R341" s="13"/>
      <c r="S341" s="242"/>
      <c r="T341" s="13"/>
      <c r="U341" s="242"/>
      <c r="V341" s="242"/>
      <c r="W341" s="242"/>
      <c r="X341" s="242"/>
      <c r="Y341" s="242"/>
      <c r="Z341" s="242"/>
      <c r="AA341" s="242"/>
      <c r="AB341" s="242"/>
      <c r="AC341" s="242"/>
    </row>
    <row r="342">
      <c r="A342" s="242"/>
      <c r="B342" s="242"/>
      <c r="C342" s="242"/>
      <c r="D342" s="242"/>
      <c r="E342" s="242"/>
      <c r="F342" s="242"/>
      <c r="G342" s="242"/>
      <c r="H342" s="242"/>
      <c r="I342" s="242"/>
      <c r="J342" s="13"/>
      <c r="K342" s="15"/>
      <c r="L342" s="341"/>
      <c r="M342" s="13"/>
      <c r="N342" s="13"/>
      <c r="O342" s="13"/>
      <c r="P342" s="13"/>
      <c r="Q342" s="242"/>
      <c r="R342" s="13"/>
      <c r="S342" s="242"/>
      <c r="T342" s="13"/>
      <c r="U342" s="242"/>
      <c r="V342" s="242"/>
      <c r="W342" s="242"/>
      <c r="X342" s="242"/>
      <c r="Y342" s="242"/>
      <c r="Z342" s="242"/>
      <c r="AA342" s="242"/>
      <c r="AB342" s="242"/>
      <c r="AC342" s="242"/>
    </row>
    <row r="343">
      <c r="A343" s="242"/>
      <c r="B343" s="242"/>
      <c r="C343" s="242"/>
      <c r="D343" s="242"/>
      <c r="E343" s="242"/>
      <c r="F343" s="242"/>
      <c r="G343" s="242"/>
      <c r="H343" s="242"/>
      <c r="I343" s="242"/>
      <c r="J343" s="13"/>
      <c r="K343" s="15"/>
      <c r="L343" s="341"/>
      <c r="M343" s="13"/>
      <c r="N343" s="13"/>
      <c r="O343" s="13"/>
      <c r="P343" s="13"/>
      <c r="Q343" s="242"/>
      <c r="R343" s="13"/>
      <c r="S343" s="242"/>
      <c r="T343" s="13"/>
      <c r="U343" s="242"/>
      <c r="V343" s="242"/>
      <c r="W343" s="242"/>
      <c r="X343" s="242"/>
      <c r="Y343" s="242"/>
      <c r="Z343" s="242"/>
      <c r="AA343" s="242"/>
      <c r="AB343" s="242"/>
      <c r="AC343" s="242"/>
    </row>
    <row r="344">
      <c r="A344" s="242"/>
      <c r="B344" s="242"/>
      <c r="C344" s="242"/>
      <c r="D344" s="242"/>
      <c r="E344" s="242"/>
      <c r="F344" s="242"/>
      <c r="G344" s="242"/>
      <c r="H344" s="242"/>
      <c r="I344" s="242"/>
      <c r="J344" s="13"/>
      <c r="K344" s="15"/>
      <c r="L344" s="341"/>
      <c r="M344" s="13"/>
      <c r="N344" s="13"/>
      <c r="O344" s="13"/>
      <c r="P344" s="13"/>
      <c r="Q344" s="242"/>
      <c r="R344" s="13"/>
      <c r="S344" s="242"/>
      <c r="T344" s="13"/>
      <c r="U344" s="242"/>
      <c r="V344" s="242"/>
      <c r="W344" s="242"/>
      <c r="X344" s="242"/>
      <c r="Y344" s="242"/>
      <c r="Z344" s="242"/>
      <c r="AA344" s="242"/>
      <c r="AB344" s="242"/>
      <c r="AC344" s="242"/>
    </row>
    <row r="345">
      <c r="A345" s="242"/>
      <c r="B345" s="242"/>
      <c r="C345" s="242"/>
      <c r="D345" s="242"/>
      <c r="E345" s="242"/>
      <c r="F345" s="242"/>
      <c r="G345" s="242"/>
      <c r="H345" s="242"/>
      <c r="I345" s="242"/>
      <c r="J345" s="13"/>
      <c r="K345" s="15"/>
      <c r="L345" s="341"/>
      <c r="M345" s="13"/>
      <c r="N345" s="13"/>
      <c r="O345" s="13"/>
      <c r="P345" s="13"/>
      <c r="Q345" s="242"/>
      <c r="R345" s="13"/>
      <c r="S345" s="242"/>
      <c r="T345" s="13"/>
      <c r="U345" s="242"/>
      <c r="V345" s="242"/>
      <c r="W345" s="242"/>
      <c r="X345" s="242"/>
      <c r="Y345" s="242"/>
      <c r="Z345" s="242"/>
      <c r="AA345" s="242"/>
      <c r="AB345" s="242"/>
      <c r="AC345" s="242"/>
    </row>
    <row r="346">
      <c r="A346" s="242"/>
      <c r="B346" s="242"/>
      <c r="C346" s="242"/>
      <c r="D346" s="242"/>
      <c r="E346" s="242"/>
      <c r="F346" s="242"/>
      <c r="G346" s="242"/>
      <c r="H346" s="242"/>
      <c r="I346" s="242"/>
      <c r="J346" s="13"/>
      <c r="K346" s="15"/>
      <c r="L346" s="341"/>
      <c r="M346" s="13"/>
      <c r="N346" s="13"/>
      <c r="O346" s="13"/>
      <c r="P346" s="13"/>
      <c r="Q346" s="242"/>
      <c r="R346" s="13"/>
      <c r="S346" s="242"/>
      <c r="T346" s="13"/>
      <c r="U346" s="242"/>
      <c r="V346" s="242"/>
      <c r="W346" s="242"/>
      <c r="X346" s="242"/>
      <c r="Y346" s="242"/>
      <c r="Z346" s="242"/>
      <c r="AA346" s="242"/>
      <c r="AB346" s="242"/>
      <c r="AC346" s="242"/>
    </row>
    <row r="347">
      <c r="A347" s="242"/>
      <c r="B347" s="242"/>
      <c r="C347" s="242"/>
      <c r="D347" s="242"/>
      <c r="E347" s="242"/>
      <c r="F347" s="242"/>
      <c r="G347" s="242"/>
      <c r="H347" s="242"/>
      <c r="I347" s="242"/>
      <c r="J347" s="13"/>
      <c r="K347" s="15"/>
      <c r="L347" s="341"/>
      <c r="M347" s="13"/>
      <c r="N347" s="13"/>
      <c r="O347" s="13"/>
      <c r="P347" s="13"/>
      <c r="Q347" s="242"/>
      <c r="R347" s="13"/>
      <c r="S347" s="242"/>
      <c r="T347" s="13"/>
      <c r="U347" s="242"/>
      <c r="V347" s="242"/>
      <c r="W347" s="242"/>
      <c r="X347" s="242"/>
      <c r="Y347" s="242"/>
      <c r="Z347" s="242"/>
      <c r="AA347" s="242"/>
      <c r="AB347" s="242"/>
      <c r="AC347" s="242"/>
    </row>
    <row r="348">
      <c r="A348" s="242"/>
      <c r="B348" s="242"/>
      <c r="C348" s="242"/>
      <c r="D348" s="242"/>
      <c r="E348" s="242"/>
      <c r="F348" s="242"/>
      <c r="G348" s="242"/>
      <c r="H348" s="242"/>
      <c r="I348" s="242"/>
      <c r="J348" s="13"/>
      <c r="K348" s="15"/>
      <c r="L348" s="341"/>
      <c r="M348" s="13"/>
      <c r="N348" s="13"/>
      <c r="O348" s="13"/>
      <c r="P348" s="13"/>
      <c r="Q348" s="242"/>
      <c r="R348" s="13"/>
      <c r="S348" s="242"/>
      <c r="T348" s="13"/>
      <c r="U348" s="242"/>
      <c r="V348" s="242"/>
      <c r="W348" s="242"/>
      <c r="X348" s="242"/>
      <c r="Y348" s="242"/>
      <c r="Z348" s="242"/>
      <c r="AA348" s="242"/>
      <c r="AB348" s="242"/>
      <c r="AC348" s="242"/>
    </row>
    <row r="349">
      <c r="A349" s="242"/>
      <c r="B349" s="242"/>
      <c r="C349" s="242"/>
      <c r="D349" s="242"/>
      <c r="E349" s="242"/>
      <c r="F349" s="242"/>
      <c r="G349" s="242"/>
      <c r="H349" s="242"/>
      <c r="I349" s="242"/>
      <c r="J349" s="13"/>
      <c r="K349" s="15"/>
      <c r="L349" s="341"/>
      <c r="M349" s="13"/>
      <c r="N349" s="13"/>
      <c r="O349" s="13"/>
      <c r="P349" s="13"/>
      <c r="Q349" s="242"/>
      <c r="R349" s="13"/>
      <c r="S349" s="242"/>
      <c r="T349" s="13"/>
      <c r="U349" s="242"/>
      <c r="V349" s="242"/>
      <c r="W349" s="242"/>
      <c r="X349" s="242"/>
      <c r="Y349" s="242"/>
      <c r="Z349" s="242"/>
      <c r="AA349" s="242"/>
      <c r="AB349" s="242"/>
      <c r="AC349" s="242"/>
    </row>
    <row r="350">
      <c r="A350" s="242"/>
      <c r="B350" s="242"/>
      <c r="C350" s="242"/>
      <c r="D350" s="242"/>
      <c r="E350" s="242"/>
      <c r="F350" s="242"/>
      <c r="G350" s="242"/>
      <c r="H350" s="242"/>
      <c r="I350" s="242"/>
      <c r="J350" s="13"/>
      <c r="K350" s="15"/>
      <c r="L350" s="341"/>
      <c r="M350" s="13"/>
      <c r="N350" s="13"/>
      <c r="O350" s="13"/>
      <c r="P350" s="13"/>
      <c r="Q350" s="242"/>
      <c r="R350" s="13"/>
      <c r="S350" s="242"/>
      <c r="T350" s="13"/>
      <c r="U350" s="242"/>
      <c r="V350" s="242"/>
      <c r="W350" s="242"/>
      <c r="X350" s="242"/>
      <c r="Y350" s="242"/>
      <c r="Z350" s="242"/>
      <c r="AA350" s="242"/>
      <c r="AB350" s="242"/>
      <c r="AC350" s="242"/>
    </row>
    <row r="351">
      <c r="A351" s="242"/>
      <c r="B351" s="242"/>
      <c r="C351" s="242"/>
      <c r="D351" s="242"/>
      <c r="E351" s="242"/>
      <c r="F351" s="242"/>
      <c r="G351" s="242"/>
      <c r="H351" s="242"/>
      <c r="I351" s="242"/>
      <c r="J351" s="13"/>
      <c r="K351" s="15"/>
      <c r="L351" s="341"/>
      <c r="M351" s="13"/>
      <c r="N351" s="13"/>
      <c r="O351" s="13"/>
      <c r="P351" s="13"/>
      <c r="Q351" s="242"/>
      <c r="R351" s="13"/>
      <c r="S351" s="242"/>
      <c r="T351" s="13"/>
      <c r="U351" s="242"/>
      <c r="V351" s="242"/>
      <c r="W351" s="242"/>
      <c r="X351" s="242"/>
      <c r="Y351" s="242"/>
      <c r="Z351" s="242"/>
      <c r="AA351" s="242"/>
      <c r="AB351" s="242"/>
      <c r="AC351" s="242"/>
    </row>
    <row r="352">
      <c r="A352" s="242"/>
      <c r="B352" s="242"/>
      <c r="C352" s="242"/>
      <c r="D352" s="242"/>
      <c r="E352" s="242"/>
      <c r="F352" s="242"/>
      <c r="G352" s="242"/>
      <c r="H352" s="242"/>
      <c r="I352" s="242"/>
      <c r="J352" s="13"/>
      <c r="K352" s="15"/>
      <c r="L352" s="341"/>
      <c r="M352" s="13"/>
      <c r="N352" s="13"/>
      <c r="O352" s="13"/>
      <c r="P352" s="13"/>
      <c r="Q352" s="242"/>
      <c r="R352" s="13"/>
      <c r="S352" s="242"/>
      <c r="T352" s="13"/>
      <c r="U352" s="242"/>
      <c r="V352" s="242"/>
      <c r="W352" s="242"/>
      <c r="X352" s="242"/>
      <c r="Y352" s="242"/>
      <c r="Z352" s="242"/>
      <c r="AA352" s="242"/>
      <c r="AB352" s="242"/>
      <c r="AC352" s="242"/>
    </row>
    <row r="353">
      <c r="A353" s="242"/>
      <c r="B353" s="242"/>
      <c r="C353" s="242"/>
      <c r="D353" s="242"/>
      <c r="E353" s="242"/>
      <c r="F353" s="242"/>
      <c r="G353" s="242"/>
      <c r="H353" s="242"/>
      <c r="I353" s="242"/>
      <c r="J353" s="13"/>
      <c r="K353" s="15"/>
      <c r="L353" s="341"/>
      <c r="M353" s="13"/>
      <c r="N353" s="13"/>
      <c r="O353" s="13"/>
      <c r="P353" s="13"/>
      <c r="Q353" s="242"/>
      <c r="R353" s="13"/>
      <c r="S353" s="242"/>
      <c r="T353" s="13"/>
      <c r="U353" s="242"/>
      <c r="V353" s="242"/>
      <c r="W353" s="242"/>
      <c r="X353" s="242"/>
      <c r="Y353" s="242"/>
      <c r="Z353" s="242"/>
      <c r="AA353" s="242"/>
      <c r="AB353" s="242"/>
      <c r="AC353" s="242"/>
    </row>
    <row r="354">
      <c r="A354" s="242"/>
      <c r="B354" s="242"/>
      <c r="C354" s="242"/>
      <c r="D354" s="242"/>
      <c r="E354" s="242"/>
      <c r="F354" s="242"/>
      <c r="G354" s="242"/>
      <c r="H354" s="242"/>
      <c r="I354" s="242"/>
      <c r="J354" s="13"/>
      <c r="K354" s="15"/>
      <c r="L354" s="341"/>
      <c r="M354" s="13"/>
      <c r="N354" s="13"/>
      <c r="O354" s="13"/>
      <c r="P354" s="13"/>
      <c r="Q354" s="242"/>
      <c r="R354" s="13"/>
      <c r="S354" s="242"/>
      <c r="T354" s="13"/>
      <c r="U354" s="242"/>
      <c r="V354" s="242"/>
      <c r="W354" s="242"/>
      <c r="X354" s="242"/>
      <c r="Y354" s="242"/>
      <c r="Z354" s="242"/>
      <c r="AA354" s="242"/>
      <c r="AB354" s="242"/>
      <c r="AC354" s="242"/>
    </row>
    <row r="355">
      <c r="A355" s="242"/>
      <c r="B355" s="242"/>
      <c r="C355" s="242"/>
      <c r="D355" s="242"/>
      <c r="E355" s="242"/>
      <c r="F355" s="242"/>
      <c r="G355" s="242"/>
      <c r="H355" s="242"/>
      <c r="I355" s="242"/>
      <c r="J355" s="13"/>
      <c r="K355" s="15"/>
      <c r="L355" s="341"/>
      <c r="M355" s="13"/>
      <c r="N355" s="13"/>
      <c r="O355" s="13"/>
      <c r="P355" s="13"/>
      <c r="Q355" s="242"/>
      <c r="R355" s="13"/>
      <c r="S355" s="242"/>
      <c r="T355" s="13"/>
      <c r="U355" s="242"/>
      <c r="V355" s="242"/>
      <c r="W355" s="242"/>
      <c r="X355" s="242"/>
      <c r="Y355" s="242"/>
      <c r="Z355" s="242"/>
      <c r="AA355" s="242"/>
      <c r="AB355" s="242"/>
      <c r="AC355" s="242"/>
    </row>
    <row r="356">
      <c r="A356" s="242"/>
      <c r="B356" s="242"/>
      <c r="C356" s="242"/>
      <c r="D356" s="242"/>
      <c r="E356" s="242"/>
      <c r="F356" s="242"/>
      <c r="G356" s="242"/>
      <c r="H356" s="242"/>
      <c r="I356" s="242"/>
      <c r="J356" s="13"/>
      <c r="K356" s="15"/>
      <c r="L356" s="341"/>
      <c r="M356" s="13"/>
      <c r="N356" s="13"/>
      <c r="O356" s="13"/>
      <c r="P356" s="13"/>
      <c r="Q356" s="242"/>
      <c r="R356" s="13"/>
      <c r="S356" s="242"/>
      <c r="T356" s="13"/>
      <c r="U356" s="242"/>
      <c r="V356" s="242"/>
      <c r="W356" s="242"/>
      <c r="X356" s="242"/>
      <c r="Y356" s="242"/>
      <c r="Z356" s="242"/>
      <c r="AA356" s="242"/>
      <c r="AB356" s="242"/>
      <c r="AC356" s="242"/>
    </row>
    <row r="357">
      <c r="A357" s="242"/>
      <c r="B357" s="242"/>
      <c r="C357" s="242"/>
      <c r="D357" s="242"/>
      <c r="E357" s="242"/>
      <c r="F357" s="242"/>
      <c r="G357" s="242"/>
      <c r="H357" s="242"/>
      <c r="I357" s="242"/>
      <c r="J357" s="13"/>
      <c r="K357" s="15"/>
      <c r="L357" s="341"/>
      <c r="M357" s="13"/>
      <c r="N357" s="13"/>
      <c r="O357" s="13"/>
      <c r="P357" s="13"/>
      <c r="Q357" s="242"/>
      <c r="R357" s="13"/>
      <c r="S357" s="242"/>
      <c r="T357" s="13"/>
      <c r="U357" s="242"/>
      <c r="V357" s="242"/>
      <c r="W357" s="242"/>
      <c r="X357" s="242"/>
      <c r="Y357" s="242"/>
      <c r="Z357" s="242"/>
      <c r="AA357" s="242"/>
      <c r="AB357" s="242"/>
      <c r="AC357" s="242"/>
    </row>
    <row r="358">
      <c r="A358" s="242"/>
      <c r="B358" s="242"/>
      <c r="C358" s="242"/>
      <c r="D358" s="242"/>
      <c r="E358" s="242"/>
      <c r="F358" s="242"/>
      <c r="G358" s="242"/>
      <c r="H358" s="242"/>
      <c r="I358" s="242"/>
      <c r="J358" s="13"/>
      <c r="K358" s="15"/>
      <c r="L358" s="341"/>
      <c r="M358" s="13"/>
      <c r="N358" s="13"/>
      <c r="O358" s="13"/>
      <c r="P358" s="13"/>
      <c r="Q358" s="242"/>
      <c r="R358" s="13"/>
      <c r="S358" s="242"/>
      <c r="T358" s="13"/>
      <c r="U358" s="242"/>
      <c r="V358" s="242"/>
      <c r="W358" s="242"/>
      <c r="X358" s="242"/>
      <c r="Y358" s="242"/>
      <c r="Z358" s="242"/>
      <c r="AA358" s="242"/>
      <c r="AB358" s="242"/>
      <c r="AC358" s="242"/>
    </row>
    <row r="359">
      <c r="A359" s="242"/>
      <c r="B359" s="242"/>
      <c r="C359" s="242"/>
      <c r="D359" s="242"/>
      <c r="E359" s="242"/>
      <c r="F359" s="242"/>
      <c r="G359" s="242"/>
      <c r="H359" s="242"/>
      <c r="I359" s="242"/>
      <c r="J359" s="13"/>
      <c r="K359" s="15"/>
      <c r="L359" s="341"/>
      <c r="M359" s="13"/>
      <c r="N359" s="13"/>
      <c r="O359" s="13"/>
      <c r="P359" s="13"/>
      <c r="Q359" s="242"/>
      <c r="R359" s="13"/>
      <c r="S359" s="242"/>
      <c r="T359" s="13"/>
      <c r="U359" s="242"/>
      <c r="V359" s="242"/>
      <c r="W359" s="242"/>
      <c r="X359" s="242"/>
      <c r="Y359" s="242"/>
      <c r="Z359" s="242"/>
      <c r="AA359" s="242"/>
      <c r="AB359" s="242"/>
      <c r="AC359" s="242"/>
    </row>
    <row r="360">
      <c r="A360" s="242"/>
      <c r="B360" s="242"/>
      <c r="C360" s="242"/>
      <c r="D360" s="242"/>
      <c r="E360" s="242"/>
      <c r="F360" s="242"/>
      <c r="G360" s="242"/>
      <c r="H360" s="242"/>
      <c r="I360" s="242"/>
      <c r="J360" s="13"/>
      <c r="K360" s="15"/>
      <c r="L360" s="341"/>
      <c r="M360" s="13"/>
      <c r="N360" s="13"/>
      <c r="O360" s="13"/>
      <c r="P360" s="13"/>
      <c r="Q360" s="242"/>
      <c r="R360" s="13"/>
      <c r="S360" s="242"/>
      <c r="T360" s="13"/>
      <c r="U360" s="242"/>
      <c r="V360" s="242"/>
      <c r="W360" s="242"/>
      <c r="X360" s="242"/>
      <c r="Y360" s="242"/>
      <c r="Z360" s="242"/>
      <c r="AA360" s="242"/>
      <c r="AB360" s="242"/>
      <c r="AC360" s="242"/>
    </row>
    <row r="361">
      <c r="A361" s="242"/>
      <c r="B361" s="242"/>
      <c r="C361" s="242"/>
      <c r="D361" s="242"/>
      <c r="E361" s="242"/>
      <c r="F361" s="242"/>
      <c r="G361" s="242"/>
      <c r="H361" s="242"/>
      <c r="I361" s="242"/>
      <c r="J361" s="13"/>
      <c r="K361" s="15"/>
      <c r="L361" s="341"/>
      <c r="M361" s="13"/>
      <c r="N361" s="13"/>
      <c r="O361" s="13"/>
      <c r="P361" s="13"/>
      <c r="Q361" s="242"/>
      <c r="R361" s="13"/>
      <c r="S361" s="242"/>
      <c r="T361" s="13"/>
      <c r="U361" s="242"/>
      <c r="V361" s="242"/>
      <c r="W361" s="242"/>
      <c r="X361" s="242"/>
      <c r="Y361" s="242"/>
      <c r="Z361" s="242"/>
      <c r="AA361" s="242"/>
      <c r="AB361" s="242"/>
      <c r="AC361" s="242"/>
    </row>
    <row r="362">
      <c r="A362" s="242"/>
      <c r="B362" s="242"/>
      <c r="C362" s="242"/>
      <c r="D362" s="242"/>
      <c r="E362" s="242"/>
      <c r="F362" s="242"/>
      <c r="G362" s="242"/>
      <c r="H362" s="242"/>
      <c r="I362" s="242"/>
      <c r="J362" s="13"/>
      <c r="K362" s="15"/>
      <c r="L362" s="341"/>
      <c r="M362" s="13"/>
      <c r="N362" s="13"/>
      <c r="O362" s="13"/>
      <c r="P362" s="13"/>
      <c r="Q362" s="242"/>
      <c r="R362" s="13"/>
      <c r="S362" s="242"/>
      <c r="T362" s="13"/>
      <c r="U362" s="242"/>
      <c r="V362" s="242"/>
      <c r="W362" s="242"/>
      <c r="X362" s="242"/>
      <c r="Y362" s="242"/>
      <c r="Z362" s="242"/>
      <c r="AA362" s="242"/>
      <c r="AB362" s="242"/>
      <c r="AC362" s="242"/>
    </row>
    <row r="363">
      <c r="A363" s="242"/>
      <c r="B363" s="242"/>
      <c r="C363" s="242"/>
      <c r="D363" s="242"/>
      <c r="E363" s="242"/>
      <c r="F363" s="242"/>
      <c r="G363" s="242"/>
      <c r="H363" s="242"/>
      <c r="I363" s="242"/>
      <c r="J363" s="13"/>
      <c r="K363" s="15"/>
      <c r="L363" s="341"/>
      <c r="M363" s="13"/>
      <c r="N363" s="13"/>
      <c r="O363" s="13"/>
      <c r="P363" s="13"/>
      <c r="Q363" s="242"/>
      <c r="R363" s="13"/>
      <c r="S363" s="242"/>
      <c r="T363" s="13"/>
      <c r="U363" s="242"/>
      <c r="V363" s="242"/>
      <c r="W363" s="242"/>
      <c r="X363" s="242"/>
      <c r="Y363" s="242"/>
      <c r="Z363" s="242"/>
      <c r="AA363" s="242"/>
      <c r="AB363" s="242"/>
      <c r="AC363" s="242"/>
    </row>
    <row r="364">
      <c r="A364" s="242"/>
      <c r="B364" s="242"/>
      <c r="C364" s="242"/>
      <c r="D364" s="242"/>
      <c r="E364" s="242"/>
      <c r="F364" s="242"/>
      <c r="G364" s="242"/>
      <c r="H364" s="242"/>
      <c r="I364" s="242"/>
      <c r="J364" s="13"/>
      <c r="K364" s="15"/>
      <c r="L364" s="341"/>
      <c r="M364" s="13"/>
      <c r="N364" s="13"/>
      <c r="O364" s="13"/>
      <c r="P364" s="13"/>
      <c r="Q364" s="242"/>
      <c r="R364" s="13"/>
      <c r="S364" s="242"/>
      <c r="T364" s="13"/>
      <c r="U364" s="242"/>
      <c r="V364" s="242"/>
      <c r="W364" s="242"/>
      <c r="X364" s="242"/>
      <c r="Y364" s="242"/>
      <c r="Z364" s="242"/>
      <c r="AA364" s="242"/>
      <c r="AB364" s="242"/>
      <c r="AC364" s="242"/>
    </row>
    <row r="365">
      <c r="A365" s="242"/>
      <c r="B365" s="242"/>
      <c r="C365" s="242"/>
      <c r="D365" s="242"/>
      <c r="E365" s="242"/>
      <c r="F365" s="242"/>
      <c r="G365" s="242"/>
      <c r="H365" s="242"/>
      <c r="I365" s="242"/>
      <c r="J365" s="13"/>
      <c r="K365" s="15"/>
      <c r="L365" s="341"/>
      <c r="M365" s="13"/>
      <c r="N365" s="13"/>
      <c r="O365" s="13"/>
      <c r="P365" s="13"/>
      <c r="Q365" s="242"/>
      <c r="R365" s="13"/>
      <c r="S365" s="242"/>
      <c r="T365" s="13"/>
      <c r="U365" s="242"/>
      <c r="V365" s="242"/>
      <c r="W365" s="242"/>
      <c r="X365" s="242"/>
      <c r="Y365" s="242"/>
      <c r="Z365" s="242"/>
      <c r="AA365" s="242"/>
      <c r="AB365" s="242"/>
      <c r="AC365" s="242"/>
    </row>
    <row r="366">
      <c r="A366" s="242"/>
      <c r="B366" s="242"/>
      <c r="C366" s="242"/>
      <c r="D366" s="242"/>
      <c r="E366" s="242"/>
      <c r="F366" s="242"/>
      <c r="G366" s="242"/>
      <c r="H366" s="242"/>
      <c r="I366" s="242"/>
      <c r="J366" s="13"/>
      <c r="K366" s="15"/>
      <c r="L366" s="341"/>
      <c r="M366" s="13"/>
      <c r="N366" s="13"/>
      <c r="O366" s="13"/>
      <c r="P366" s="13"/>
      <c r="Q366" s="242"/>
      <c r="R366" s="13"/>
      <c r="S366" s="242"/>
      <c r="T366" s="13"/>
      <c r="U366" s="242"/>
      <c r="V366" s="242"/>
      <c r="W366" s="242"/>
      <c r="X366" s="242"/>
      <c r="Y366" s="242"/>
      <c r="Z366" s="242"/>
      <c r="AA366" s="242"/>
      <c r="AB366" s="242"/>
      <c r="AC366" s="242"/>
    </row>
    <row r="367">
      <c r="A367" s="242"/>
      <c r="B367" s="242"/>
      <c r="C367" s="242"/>
      <c r="D367" s="242"/>
      <c r="E367" s="242"/>
      <c r="F367" s="242"/>
      <c r="G367" s="242"/>
      <c r="H367" s="242"/>
      <c r="I367" s="242"/>
      <c r="J367" s="13"/>
      <c r="K367" s="15"/>
      <c r="L367" s="341"/>
      <c r="M367" s="13"/>
      <c r="N367" s="13"/>
      <c r="O367" s="13"/>
      <c r="P367" s="13"/>
      <c r="Q367" s="242"/>
      <c r="R367" s="13"/>
      <c r="S367" s="242"/>
      <c r="T367" s="13"/>
      <c r="U367" s="242"/>
      <c r="V367" s="242"/>
      <c r="W367" s="242"/>
      <c r="X367" s="242"/>
      <c r="Y367" s="242"/>
      <c r="Z367" s="242"/>
      <c r="AA367" s="242"/>
      <c r="AB367" s="242"/>
      <c r="AC367" s="242"/>
    </row>
    <row r="368">
      <c r="A368" s="242"/>
      <c r="B368" s="242"/>
      <c r="C368" s="242"/>
      <c r="D368" s="242"/>
      <c r="E368" s="242"/>
      <c r="F368" s="242"/>
      <c r="G368" s="242"/>
      <c r="H368" s="242"/>
      <c r="I368" s="242"/>
      <c r="J368" s="13"/>
      <c r="K368" s="15"/>
      <c r="L368" s="341"/>
      <c r="M368" s="13"/>
      <c r="N368" s="13"/>
      <c r="O368" s="13"/>
      <c r="P368" s="13"/>
      <c r="Q368" s="242"/>
      <c r="R368" s="13"/>
      <c r="S368" s="242"/>
      <c r="T368" s="13"/>
      <c r="U368" s="242"/>
      <c r="V368" s="242"/>
      <c r="W368" s="242"/>
      <c r="X368" s="242"/>
      <c r="Y368" s="242"/>
      <c r="Z368" s="242"/>
      <c r="AA368" s="242"/>
      <c r="AB368" s="242"/>
      <c r="AC368" s="242"/>
    </row>
    <row r="369">
      <c r="A369" s="242"/>
      <c r="B369" s="242"/>
      <c r="C369" s="242"/>
      <c r="D369" s="242"/>
      <c r="E369" s="242"/>
      <c r="F369" s="242"/>
      <c r="G369" s="242"/>
      <c r="H369" s="242"/>
      <c r="I369" s="242"/>
      <c r="J369" s="13"/>
      <c r="K369" s="15"/>
      <c r="L369" s="341"/>
      <c r="M369" s="13"/>
      <c r="N369" s="13"/>
      <c r="O369" s="13"/>
      <c r="P369" s="13"/>
      <c r="Q369" s="242"/>
      <c r="R369" s="13"/>
      <c r="S369" s="242"/>
      <c r="T369" s="13"/>
      <c r="U369" s="242"/>
      <c r="V369" s="242"/>
      <c r="W369" s="242"/>
      <c r="X369" s="242"/>
      <c r="Y369" s="242"/>
      <c r="Z369" s="242"/>
      <c r="AA369" s="242"/>
      <c r="AB369" s="242"/>
      <c r="AC369" s="242"/>
    </row>
    <row r="370">
      <c r="A370" s="242"/>
      <c r="B370" s="242"/>
      <c r="C370" s="242"/>
      <c r="D370" s="242"/>
      <c r="E370" s="242"/>
      <c r="F370" s="242"/>
      <c r="G370" s="242"/>
      <c r="H370" s="242"/>
      <c r="I370" s="242"/>
      <c r="J370" s="13"/>
      <c r="K370" s="15"/>
      <c r="L370" s="341"/>
      <c r="M370" s="13"/>
      <c r="N370" s="13"/>
      <c r="O370" s="13"/>
      <c r="P370" s="13"/>
      <c r="Q370" s="242"/>
      <c r="R370" s="13"/>
      <c r="S370" s="242"/>
      <c r="T370" s="13"/>
      <c r="U370" s="242"/>
      <c r="V370" s="242"/>
      <c r="W370" s="242"/>
      <c r="X370" s="242"/>
      <c r="Y370" s="242"/>
      <c r="Z370" s="242"/>
      <c r="AA370" s="242"/>
      <c r="AB370" s="242"/>
      <c r="AC370" s="242"/>
    </row>
    <row r="371">
      <c r="A371" s="242"/>
      <c r="B371" s="242"/>
      <c r="C371" s="242"/>
      <c r="D371" s="242"/>
      <c r="E371" s="242"/>
      <c r="F371" s="242"/>
      <c r="G371" s="242"/>
      <c r="H371" s="242"/>
      <c r="I371" s="242"/>
      <c r="J371" s="13"/>
      <c r="K371" s="15"/>
      <c r="L371" s="341"/>
      <c r="M371" s="13"/>
      <c r="N371" s="13"/>
      <c r="O371" s="13"/>
      <c r="P371" s="13"/>
      <c r="Q371" s="242"/>
      <c r="R371" s="13"/>
      <c r="S371" s="242"/>
      <c r="T371" s="13"/>
      <c r="U371" s="242"/>
      <c r="V371" s="242"/>
      <c r="W371" s="242"/>
      <c r="X371" s="242"/>
      <c r="Y371" s="242"/>
      <c r="Z371" s="242"/>
      <c r="AA371" s="242"/>
      <c r="AB371" s="242"/>
      <c r="AC371" s="242"/>
    </row>
    <row r="372">
      <c r="A372" s="242"/>
      <c r="B372" s="242"/>
      <c r="C372" s="242"/>
      <c r="D372" s="242"/>
      <c r="E372" s="242"/>
      <c r="F372" s="242"/>
      <c r="G372" s="242"/>
      <c r="H372" s="242"/>
      <c r="I372" s="242"/>
      <c r="J372" s="13"/>
      <c r="K372" s="15"/>
      <c r="L372" s="341"/>
      <c r="M372" s="13"/>
      <c r="N372" s="13"/>
      <c r="O372" s="13"/>
      <c r="P372" s="13"/>
      <c r="Q372" s="242"/>
      <c r="R372" s="13"/>
      <c r="S372" s="242"/>
      <c r="T372" s="13"/>
      <c r="U372" s="242"/>
      <c r="V372" s="242"/>
      <c r="W372" s="242"/>
      <c r="X372" s="242"/>
      <c r="Y372" s="242"/>
      <c r="Z372" s="242"/>
      <c r="AA372" s="242"/>
      <c r="AB372" s="242"/>
      <c r="AC372" s="242"/>
    </row>
    <row r="373">
      <c r="A373" s="242"/>
      <c r="B373" s="242"/>
      <c r="C373" s="242"/>
      <c r="D373" s="242"/>
      <c r="E373" s="242"/>
      <c r="F373" s="242"/>
      <c r="G373" s="242"/>
      <c r="H373" s="242"/>
      <c r="I373" s="242"/>
      <c r="J373" s="13"/>
      <c r="K373" s="15"/>
      <c r="L373" s="341"/>
      <c r="M373" s="13"/>
      <c r="N373" s="13"/>
      <c r="O373" s="13"/>
      <c r="P373" s="13"/>
      <c r="Q373" s="242"/>
      <c r="R373" s="13"/>
      <c r="S373" s="242"/>
      <c r="T373" s="13"/>
      <c r="U373" s="242"/>
      <c r="V373" s="242"/>
      <c r="W373" s="242"/>
      <c r="X373" s="242"/>
      <c r="Y373" s="242"/>
      <c r="Z373" s="242"/>
      <c r="AA373" s="242"/>
      <c r="AB373" s="242"/>
      <c r="AC373" s="242"/>
    </row>
    <row r="374">
      <c r="A374" s="242"/>
      <c r="B374" s="242"/>
      <c r="C374" s="242"/>
      <c r="D374" s="242"/>
      <c r="E374" s="242"/>
      <c r="F374" s="242"/>
      <c r="G374" s="242"/>
      <c r="H374" s="242"/>
      <c r="I374" s="242"/>
      <c r="J374" s="13"/>
      <c r="K374" s="15"/>
      <c r="L374" s="341"/>
      <c r="M374" s="13"/>
      <c r="N374" s="13"/>
      <c r="O374" s="13"/>
      <c r="P374" s="13"/>
      <c r="Q374" s="242"/>
      <c r="R374" s="13"/>
      <c r="S374" s="242"/>
      <c r="T374" s="13"/>
      <c r="U374" s="242"/>
      <c r="V374" s="242"/>
      <c r="W374" s="242"/>
      <c r="X374" s="242"/>
      <c r="Y374" s="242"/>
      <c r="Z374" s="242"/>
      <c r="AA374" s="242"/>
      <c r="AB374" s="242"/>
      <c r="AC374" s="242"/>
    </row>
    <row r="375">
      <c r="A375" s="242"/>
      <c r="B375" s="242"/>
      <c r="C375" s="242"/>
      <c r="D375" s="242"/>
      <c r="E375" s="242"/>
      <c r="F375" s="242"/>
      <c r="G375" s="242"/>
      <c r="H375" s="242"/>
      <c r="I375" s="242"/>
      <c r="J375" s="13"/>
      <c r="K375" s="15"/>
      <c r="L375" s="341"/>
      <c r="M375" s="13"/>
      <c r="N375" s="13"/>
      <c r="O375" s="13"/>
      <c r="P375" s="13"/>
      <c r="Q375" s="242"/>
      <c r="R375" s="13"/>
      <c r="S375" s="242"/>
      <c r="T375" s="13"/>
      <c r="U375" s="242"/>
      <c r="V375" s="242"/>
      <c r="W375" s="242"/>
      <c r="X375" s="242"/>
      <c r="Y375" s="242"/>
      <c r="Z375" s="242"/>
      <c r="AA375" s="242"/>
      <c r="AB375" s="242"/>
      <c r="AC375" s="242"/>
    </row>
    <row r="376">
      <c r="A376" s="242"/>
      <c r="B376" s="242"/>
      <c r="C376" s="242"/>
      <c r="D376" s="242"/>
      <c r="E376" s="242"/>
      <c r="F376" s="242"/>
      <c r="G376" s="242"/>
      <c r="H376" s="242"/>
      <c r="I376" s="242"/>
      <c r="J376" s="13"/>
      <c r="K376" s="15"/>
      <c r="L376" s="341"/>
      <c r="M376" s="13"/>
      <c r="N376" s="13"/>
      <c r="O376" s="13"/>
      <c r="P376" s="13"/>
      <c r="Q376" s="242"/>
      <c r="R376" s="13"/>
      <c r="S376" s="242"/>
      <c r="T376" s="13"/>
      <c r="U376" s="242"/>
      <c r="V376" s="242"/>
      <c r="W376" s="242"/>
      <c r="X376" s="242"/>
      <c r="Y376" s="242"/>
      <c r="Z376" s="242"/>
      <c r="AA376" s="242"/>
      <c r="AB376" s="242"/>
      <c r="AC376" s="242"/>
    </row>
    <row r="377">
      <c r="A377" s="242"/>
      <c r="B377" s="242"/>
      <c r="C377" s="242"/>
      <c r="D377" s="242"/>
      <c r="E377" s="242"/>
      <c r="F377" s="242"/>
      <c r="G377" s="242"/>
      <c r="H377" s="242"/>
      <c r="I377" s="242"/>
      <c r="J377" s="13"/>
      <c r="K377" s="15"/>
      <c r="L377" s="341"/>
      <c r="M377" s="13"/>
      <c r="N377" s="13"/>
      <c r="O377" s="13"/>
      <c r="P377" s="13"/>
      <c r="Q377" s="242"/>
      <c r="R377" s="13"/>
      <c r="S377" s="242"/>
      <c r="T377" s="13"/>
      <c r="U377" s="242"/>
      <c r="V377" s="242"/>
      <c r="W377" s="242"/>
      <c r="X377" s="242"/>
      <c r="Y377" s="242"/>
      <c r="Z377" s="242"/>
      <c r="AA377" s="242"/>
      <c r="AB377" s="242"/>
      <c r="AC377" s="242"/>
    </row>
    <row r="378">
      <c r="A378" s="242"/>
      <c r="B378" s="242"/>
      <c r="C378" s="242"/>
      <c r="D378" s="242"/>
      <c r="E378" s="242"/>
      <c r="F378" s="242"/>
      <c r="G378" s="242"/>
      <c r="H378" s="242"/>
      <c r="I378" s="242"/>
      <c r="J378" s="13"/>
      <c r="K378" s="15"/>
      <c r="L378" s="341"/>
      <c r="M378" s="13"/>
      <c r="N378" s="13"/>
      <c r="O378" s="13"/>
      <c r="P378" s="13"/>
      <c r="Q378" s="242"/>
      <c r="R378" s="13"/>
      <c r="S378" s="242"/>
      <c r="T378" s="13"/>
      <c r="U378" s="242"/>
      <c r="V378" s="242"/>
      <c r="W378" s="242"/>
      <c r="X378" s="242"/>
      <c r="Y378" s="242"/>
      <c r="Z378" s="242"/>
      <c r="AA378" s="242"/>
      <c r="AB378" s="242"/>
      <c r="AC378" s="242"/>
    </row>
    <row r="379">
      <c r="A379" s="242"/>
      <c r="B379" s="242"/>
      <c r="C379" s="242"/>
      <c r="D379" s="242"/>
      <c r="E379" s="242"/>
      <c r="F379" s="242"/>
      <c r="G379" s="242"/>
      <c r="H379" s="242"/>
      <c r="I379" s="242"/>
      <c r="J379" s="13"/>
      <c r="K379" s="15"/>
      <c r="L379" s="341"/>
      <c r="M379" s="13"/>
      <c r="N379" s="13"/>
      <c r="O379" s="13"/>
      <c r="P379" s="13"/>
      <c r="Q379" s="242"/>
      <c r="R379" s="13"/>
      <c r="S379" s="242"/>
      <c r="T379" s="13"/>
      <c r="U379" s="242"/>
      <c r="V379" s="242"/>
      <c r="W379" s="242"/>
      <c r="X379" s="242"/>
      <c r="Y379" s="242"/>
      <c r="Z379" s="242"/>
      <c r="AA379" s="242"/>
      <c r="AB379" s="242"/>
      <c r="AC379" s="242"/>
    </row>
    <row r="380">
      <c r="A380" s="242"/>
      <c r="B380" s="242"/>
      <c r="C380" s="242"/>
      <c r="D380" s="242"/>
      <c r="E380" s="242"/>
      <c r="F380" s="242"/>
      <c r="G380" s="242"/>
      <c r="H380" s="242"/>
      <c r="I380" s="242"/>
      <c r="J380" s="13"/>
      <c r="K380" s="15"/>
      <c r="L380" s="341"/>
      <c r="M380" s="13"/>
      <c r="N380" s="13"/>
      <c r="O380" s="13"/>
      <c r="P380" s="13"/>
      <c r="Q380" s="242"/>
      <c r="R380" s="13"/>
      <c r="S380" s="242"/>
      <c r="T380" s="13"/>
      <c r="U380" s="242"/>
      <c r="V380" s="242"/>
      <c r="W380" s="242"/>
      <c r="X380" s="242"/>
      <c r="Y380" s="242"/>
      <c r="Z380" s="242"/>
      <c r="AA380" s="242"/>
      <c r="AB380" s="242"/>
      <c r="AC380" s="242"/>
    </row>
    <row r="381">
      <c r="A381" s="242"/>
      <c r="B381" s="242"/>
      <c r="C381" s="242"/>
      <c r="D381" s="242"/>
      <c r="E381" s="242"/>
      <c r="F381" s="242"/>
      <c r="G381" s="242"/>
      <c r="H381" s="242"/>
      <c r="I381" s="242"/>
      <c r="J381" s="13"/>
      <c r="K381" s="15"/>
      <c r="L381" s="341"/>
      <c r="M381" s="13"/>
      <c r="N381" s="13"/>
      <c r="O381" s="13"/>
      <c r="P381" s="13"/>
      <c r="Q381" s="242"/>
      <c r="R381" s="13"/>
      <c r="S381" s="242"/>
      <c r="T381" s="13"/>
      <c r="U381" s="242"/>
      <c r="V381" s="242"/>
      <c r="W381" s="242"/>
      <c r="X381" s="242"/>
      <c r="Y381" s="242"/>
      <c r="Z381" s="242"/>
      <c r="AA381" s="242"/>
      <c r="AB381" s="242"/>
      <c r="AC381" s="242"/>
    </row>
    <row r="382">
      <c r="A382" s="242"/>
      <c r="B382" s="242"/>
      <c r="C382" s="242"/>
      <c r="D382" s="242"/>
      <c r="E382" s="242"/>
      <c r="F382" s="242"/>
      <c r="G382" s="242"/>
      <c r="H382" s="242"/>
      <c r="I382" s="242"/>
      <c r="J382" s="13"/>
      <c r="K382" s="15"/>
      <c r="L382" s="341"/>
      <c r="M382" s="13"/>
      <c r="N382" s="13"/>
      <c r="O382" s="13"/>
      <c r="P382" s="13"/>
      <c r="Q382" s="242"/>
      <c r="R382" s="13"/>
      <c r="S382" s="242"/>
      <c r="T382" s="13"/>
      <c r="U382" s="242"/>
      <c r="V382" s="242"/>
      <c r="W382" s="242"/>
      <c r="X382" s="242"/>
      <c r="Y382" s="242"/>
      <c r="Z382" s="242"/>
      <c r="AA382" s="242"/>
      <c r="AB382" s="242"/>
      <c r="AC382" s="242"/>
    </row>
    <row r="383">
      <c r="A383" s="242"/>
      <c r="B383" s="242"/>
      <c r="C383" s="242"/>
      <c r="D383" s="242"/>
      <c r="E383" s="242"/>
      <c r="F383" s="242"/>
      <c r="G383" s="242"/>
      <c r="H383" s="242"/>
      <c r="I383" s="242"/>
      <c r="J383" s="13"/>
      <c r="K383" s="15"/>
      <c r="L383" s="341"/>
      <c r="M383" s="13"/>
      <c r="N383" s="13"/>
      <c r="O383" s="13"/>
      <c r="P383" s="13"/>
      <c r="Q383" s="242"/>
      <c r="R383" s="13"/>
      <c r="S383" s="242"/>
      <c r="T383" s="13"/>
      <c r="U383" s="242"/>
      <c r="V383" s="242"/>
      <c r="W383" s="242"/>
      <c r="X383" s="242"/>
      <c r="Y383" s="242"/>
      <c r="Z383" s="242"/>
      <c r="AA383" s="242"/>
      <c r="AB383" s="242"/>
      <c r="AC383" s="242"/>
    </row>
    <row r="384">
      <c r="A384" s="242"/>
      <c r="B384" s="242"/>
      <c r="C384" s="242"/>
      <c r="D384" s="242"/>
      <c r="E384" s="242"/>
      <c r="F384" s="242"/>
      <c r="G384" s="242"/>
      <c r="H384" s="242"/>
      <c r="I384" s="242"/>
      <c r="J384" s="13"/>
      <c r="K384" s="15"/>
      <c r="L384" s="341"/>
      <c r="M384" s="13"/>
      <c r="N384" s="13"/>
      <c r="O384" s="13"/>
      <c r="P384" s="13"/>
      <c r="Q384" s="242"/>
      <c r="R384" s="13"/>
      <c r="S384" s="242"/>
      <c r="T384" s="13"/>
      <c r="U384" s="242"/>
      <c r="V384" s="242"/>
      <c r="W384" s="242"/>
      <c r="X384" s="242"/>
      <c r="Y384" s="242"/>
      <c r="Z384" s="242"/>
      <c r="AA384" s="242"/>
      <c r="AB384" s="242"/>
      <c r="AC384" s="242"/>
    </row>
    <row r="385">
      <c r="A385" s="242"/>
      <c r="B385" s="242"/>
      <c r="C385" s="242"/>
      <c r="D385" s="242"/>
      <c r="E385" s="242"/>
      <c r="F385" s="242"/>
      <c r="G385" s="242"/>
      <c r="H385" s="242"/>
      <c r="I385" s="242"/>
      <c r="J385" s="13"/>
      <c r="K385" s="15"/>
      <c r="L385" s="341"/>
      <c r="M385" s="13"/>
      <c r="N385" s="13"/>
      <c r="O385" s="13"/>
      <c r="P385" s="13"/>
      <c r="Q385" s="242"/>
      <c r="R385" s="13"/>
      <c r="S385" s="242"/>
      <c r="T385" s="13"/>
      <c r="U385" s="242"/>
      <c r="V385" s="242"/>
      <c r="W385" s="242"/>
      <c r="X385" s="242"/>
      <c r="Y385" s="242"/>
      <c r="Z385" s="242"/>
      <c r="AA385" s="242"/>
      <c r="AB385" s="242"/>
      <c r="AC385" s="242"/>
    </row>
    <row r="386">
      <c r="A386" s="242"/>
      <c r="B386" s="242"/>
      <c r="C386" s="242"/>
      <c r="D386" s="242"/>
      <c r="E386" s="242"/>
      <c r="F386" s="242"/>
      <c r="G386" s="242"/>
      <c r="H386" s="242"/>
      <c r="I386" s="242"/>
      <c r="J386" s="13"/>
      <c r="K386" s="15"/>
      <c r="L386" s="341"/>
      <c r="M386" s="13"/>
      <c r="N386" s="13"/>
      <c r="O386" s="13"/>
      <c r="P386" s="13"/>
      <c r="Q386" s="242"/>
      <c r="R386" s="13"/>
      <c r="S386" s="242"/>
      <c r="T386" s="13"/>
      <c r="U386" s="242"/>
      <c r="V386" s="242"/>
      <c r="W386" s="242"/>
      <c r="X386" s="242"/>
      <c r="Y386" s="242"/>
      <c r="Z386" s="242"/>
      <c r="AA386" s="242"/>
      <c r="AB386" s="242"/>
      <c r="AC386" s="242"/>
    </row>
    <row r="387">
      <c r="A387" s="242"/>
      <c r="B387" s="242"/>
      <c r="C387" s="242"/>
      <c r="D387" s="242"/>
      <c r="E387" s="242"/>
      <c r="F387" s="242"/>
      <c r="G387" s="242"/>
      <c r="H387" s="242"/>
      <c r="I387" s="242"/>
      <c r="J387" s="13"/>
      <c r="K387" s="15"/>
      <c r="L387" s="341"/>
      <c r="M387" s="13"/>
      <c r="N387" s="13"/>
      <c r="O387" s="13"/>
      <c r="P387" s="13"/>
      <c r="Q387" s="242"/>
      <c r="R387" s="13"/>
      <c r="S387" s="242"/>
      <c r="T387" s="13"/>
      <c r="U387" s="242"/>
      <c r="V387" s="242"/>
      <c r="W387" s="242"/>
      <c r="X387" s="242"/>
      <c r="Y387" s="242"/>
      <c r="Z387" s="242"/>
      <c r="AA387" s="242"/>
      <c r="AB387" s="242"/>
      <c r="AC387" s="242"/>
    </row>
    <row r="388">
      <c r="A388" s="242"/>
      <c r="B388" s="242"/>
      <c r="C388" s="242"/>
      <c r="D388" s="242"/>
      <c r="E388" s="242"/>
      <c r="F388" s="242"/>
      <c r="G388" s="242"/>
      <c r="H388" s="242"/>
      <c r="I388" s="242"/>
      <c r="J388" s="13"/>
      <c r="K388" s="15"/>
      <c r="L388" s="341"/>
      <c r="M388" s="13"/>
      <c r="N388" s="13"/>
      <c r="O388" s="13"/>
      <c r="P388" s="13"/>
      <c r="Q388" s="242"/>
      <c r="R388" s="13"/>
      <c r="S388" s="242"/>
      <c r="T388" s="13"/>
      <c r="U388" s="242"/>
      <c r="V388" s="242"/>
      <c r="W388" s="242"/>
      <c r="X388" s="242"/>
      <c r="Y388" s="242"/>
      <c r="Z388" s="242"/>
      <c r="AA388" s="242"/>
      <c r="AB388" s="242"/>
      <c r="AC388" s="242"/>
    </row>
    <row r="389">
      <c r="A389" s="242"/>
      <c r="B389" s="242"/>
      <c r="C389" s="242"/>
      <c r="D389" s="242"/>
      <c r="E389" s="242"/>
      <c r="F389" s="242"/>
      <c r="G389" s="242"/>
      <c r="H389" s="242"/>
      <c r="I389" s="242"/>
      <c r="J389" s="13"/>
      <c r="K389" s="15"/>
      <c r="L389" s="341"/>
      <c r="M389" s="13"/>
      <c r="N389" s="13"/>
      <c r="O389" s="13"/>
      <c r="P389" s="13"/>
      <c r="Q389" s="242"/>
      <c r="R389" s="13"/>
      <c r="S389" s="242"/>
      <c r="T389" s="13"/>
      <c r="U389" s="242"/>
      <c r="V389" s="242"/>
      <c r="W389" s="242"/>
      <c r="X389" s="242"/>
      <c r="Y389" s="242"/>
      <c r="Z389" s="242"/>
      <c r="AA389" s="242"/>
      <c r="AB389" s="242"/>
      <c r="AC389" s="242"/>
    </row>
    <row r="390">
      <c r="A390" s="242"/>
      <c r="B390" s="242"/>
      <c r="C390" s="242"/>
      <c r="D390" s="242"/>
      <c r="E390" s="242"/>
      <c r="F390" s="242"/>
      <c r="G390" s="242"/>
      <c r="H390" s="242"/>
      <c r="I390" s="242"/>
      <c r="J390" s="13"/>
      <c r="K390" s="15"/>
      <c r="L390" s="341"/>
      <c r="M390" s="13"/>
      <c r="N390" s="13"/>
      <c r="O390" s="13"/>
      <c r="P390" s="13"/>
      <c r="Q390" s="242"/>
      <c r="R390" s="13"/>
      <c r="S390" s="242"/>
      <c r="T390" s="13"/>
      <c r="U390" s="242"/>
      <c r="V390" s="242"/>
      <c r="W390" s="242"/>
      <c r="X390" s="242"/>
      <c r="Y390" s="242"/>
      <c r="Z390" s="242"/>
      <c r="AA390" s="242"/>
      <c r="AB390" s="242"/>
      <c r="AC390" s="242"/>
    </row>
    <row r="391">
      <c r="A391" s="242"/>
      <c r="B391" s="242"/>
      <c r="C391" s="242"/>
      <c r="D391" s="242"/>
      <c r="E391" s="242"/>
      <c r="F391" s="242"/>
      <c r="G391" s="242"/>
      <c r="H391" s="242"/>
      <c r="I391" s="242"/>
      <c r="J391" s="13"/>
      <c r="K391" s="15"/>
      <c r="L391" s="341"/>
      <c r="M391" s="13"/>
      <c r="N391" s="13"/>
      <c r="O391" s="13"/>
      <c r="P391" s="13"/>
      <c r="Q391" s="242"/>
      <c r="R391" s="13"/>
      <c r="S391" s="242"/>
      <c r="T391" s="13"/>
      <c r="U391" s="242"/>
      <c r="V391" s="242"/>
      <c r="W391" s="242"/>
      <c r="X391" s="242"/>
      <c r="Y391" s="242"/>
      <c r="Z391" s="242"/>
      <c r="AA391" s="242"/>
      <c r="AB391" s="242"/>
      <c r="AC391" s="242"/>
    </row>
    <row r="392">
      <c r="A392" s="242"/>
      <c r="B392" s="242"/>
      <c r="C392" s="242"/>
      <c r="D392" s="242"/>
      <c r="E392" s="242"/>
      <c r="F392" s="242"/>
      <c r="G392" s="242"/>
      <c r="H392" s="242"/>
      <c r="I392" s="242"/>
      <c r="J392" s="13"/>
      <c r="K392" s="15"/>
      <c r="L392" s="341"/>
      <c r="M392" s="13"/>
      <c r="N392" s="13"/>
      <c r="O392" s="13"/>
      <c r="P392" s="13"/>
      <c r="Q392" s="242"/>
      <c r="R392" s="13"/>
      <c r="S392" s="242"/>
      <c r="T392" s="13"/>
      <c r="U392" s="242"/>
      <c r="V392" s="242"/>
      <c r="W392" s="242"/>
      <c r="X392" s="242"/>
      <c r="Y392" s="242"/>
      <c r="Z392" s="242"/>
      <c r="AA392" s="242"/>
      <c r="AB392" s="242"/>
      <c r="AC392" s="242"/>
    </row>
    <row r="393">
      <c r="A393" s="242"/>
      <c r="B393" s="242"/>
      <c r="C393" s="242"/>
      <c r="D393" s="242"/>
      <c r="E393" s="242"/>
      <c r="F393" s="242"/>
      <c r="G393" s="242"/>
      <c r="H393" s="242"/>
      <c r="I393" s="242"/>
      <c r="J393" s="13"/>
      <c r="K393" s="15"/>
      <c r="L393" s="341"/>
      <c r="M393" s="13"/>
      <c r="N393" s="13"/>
      <c r="O393" s="13"/>
      <c r="P393" s="13"/>
      <c r="Q393" s="242"/>
      <c r="R393" s="13"/>
      <c r="S393" s="242"/>
      <c r="T393" s="13"/>
      <c r="U393" s="242"/>
      <c r="V393" s="242"/>
      <c r="W393" s="242"/>
      <c r="X393" s="242"/>
      <c r="Y393" s="242"/>
      <c r="Z393" s="242"/>
      <c r="AA393" s="242"/>
      <c r="AB393" s="242"/>
      <c r="AC393" s="242"/>
    </row>
    <row r="394">
      <c r="A394" s="242"/>
      <c r="B394" s="242"/>
      <c r="C394" s="242"/>
      <c r="D394" s="242"/>
      <c r="E394" s="242"/>
      <c r="F394" s="242"/>
      <c r="G394" s="242"/>
      <c r="H394" s="242"/>
      <c r="I394" s="242"/>
      <c r="J394" s="13"/>
      <c r="K394" s="15"/>
      <c r="L394" s="341"/>
      <c r="M394" s="13"/>
      <c r="N394" s="13"/>
      <c r="O394" s="13"/>
      <c r="P394" s="13"/>
      <c r="Q394" s="242"/>
      <c r="R394" s="13"/>
      <c r="S394" s="242"/>
      <c r="T394" s="13"/>
      <c r="U394" s="242"/>
      <c r="V394" s="242"/>
      <c r="W394" s="242"/>
      <c r="X394" s="242"/>
      <c r="Y394" s="242"/>
      <c r="Z394" s="242"/>
      <c r="AA394" s="242"/>
      <c r="AB394" s="242"/>
      <c r="AC394" s="242"/>
    </row>
    <row r="395">
      <c r="A395" s="242"/>
      <c r="B395" s="242"/>
      <c r="C395" s="242"/>
      <c r="D395" s="242"/>
      <c r="E395" s="242"/>
      <c r="F395" s="242"/>
      <c r="G395" s="242"/>
      <c r="H395" s="242"/>
      <c r="I395" s="242"/>
      <c r="J395" s="13"/>
      <c r="K395" s="15"/>
      <c r="L395" s="341"/>
      <c r="M395" s="13"/>
      <c r="N395" s="13"/>
      <c r="O395" s="13"/>
      <c r="P395" s="13"/>
      <c r="Q395" s="242"/>
      <c r="R395" s="13"/>
      <c r="S395" s="242"/>
      <c r="T395" s="13"/>
      <c r="U395" s="242"/>
      <c r="V395" s="242"/>
      <c r="W395" s="242"/>
      <c r="X395" s="242"/>
      <c r="Y395" s="242"/>
      <c r="Z395" s="242"/>
      <c r="AA395" s="242"/>
      <c r="AB395" s="242"/>
      <c r="AC395" s="242"/>
    </row>
    <row r="396">
      <c r="A396" s="242"/>
      <c r="B396" s="242"/>
      <c r="C396" s="242"/>
      <c r="D396" s="242"/>
      <c r="E396" s="242"/>
      <c r="F396" s="242"/>
      <c r="G396" s="242"/>
      <c r="H396" s="242"/>
      <c r="I396" s="242"/>
      <c r="J396" s="13"/>
      <c r="K396" s="15"/>
      <c r="L396" s="341"/>
      <c r="M396" s="13"/>
      <c r="N396" s="13"/>
      <c r="O396" s="13"/>
      <c r="P396" s="13"/>
      <c r="Q396" s="242"/>
      <c r="R396" s="13"/>
      <c r="S396" s="242"/>
      <c r="T396" s="13"/>
      <c r="U396" s="242"/>
      <c r="V396" s="242"/>
      <c r="W396" s="242"/>
      <c r="X396" s="242"/>
      <c r="Y396" s="242"/>
      <c r="Z396" s="242"/>
      <c r="AA396" s="242"/>
      <c r="AB396" s="242"/>
      <c r="AC396" s="242"/>
    </row>
    <row r="397">
      <c r="A397" s="242"/>
      <c r="B397" s="242"/>
      <c r="C397" s="242"/>
      <c r="D397" s="242"/>
      <c r="E397" s="242"/>
      <c r="F397" s="242"/>
      <c r="G397" s="242"/>
      <c r="H397" s="242"/>
      <c r="I397" s="242"/>
      <c r="J397" s="13"/>
      <c r="K397" s="15"/>
      <c r="L397" s="341"/>
      <c r="M397" s="13"/>
      <c r="N397" s="13"/>
      <c r="O397" s="13"/>
      <c r="P397" s="13"/>
      <c r="Q397" s="242"/>
      <c r="R397" s="13"/>
      <c r="S397" s="242"/>
      <c r="T397" s="13"/>
      <c r="U397" s="242"/>
      <c r="V397" s="242"/>
      <c r="W397" s="242"/>
      <c r="X397" s="242"/>
      <c r="Y397" s="242"/>
      <c r="Z397" s="242"/>
      <c r="AA397" s="242"/>
      <c r="AB397" s="242"/>
      <c r="AC397" s="242"/>
    </row>
    <row r="398">
      <c r="A398" s="242"/>
      <c r="B398" s="242"/>
      <c r="C398" s="242"/>
      <c r="D398" s="242"/>
      <c r="E398" s="242"/>
      <c r="F398" s="242"/>
      <c r="G398" s="242"/>
      <c r="H398" s="242"/>
      <c r="I398" s="242"/>
      <c r="J398" s="13"/>
      <c r="K398" s="15"/>
      <c r="L398" s="341"/>
      <c r="M398" s="13"/>
      <c r="N398" s="13"/>
      <c r="O398" s="13"/>
      <c r="P398" s="13"/>
      <c r="Q398" s="242"/>
      <c r="R398" s="13"/>
      <c r="S398" s="242"/>
      <c r="T398" s="13"/>
      <c r="U398" s="242"/>
      <c r="V398" s="242"/>
      <c r="W398" s="242"/>
      <c r="X398" s="242"/>
      <c r="Y398" s="242"/>
      <c r="Z398" s="242"/>
      <c r="AA398" s="242"/>
      <c r="AB398" s="242"/>
      <c r="AC398" s="242"/>
    </row>
    <row r="399">
      <c r="A399" s="242"/>
      <c r="B399" s="242"/>
      <c r="C399" s="242"/>
      <c r="D399" s="242"/>
      <c r="E399" s="242"/>
      <c r="F399" s="242"/>
      <c r="G399" s="242"/>
      <c r="H399" s="242"/>
      <c r="I399" s="242"/>
      <c r="J399" s="13"/>
      <c r="K399" s="15"/>
      <c r="L399" s="341"/>
      <c r="M399" s="13"/>
      <c r="N399" s="13"/>
      <c r="O399" s="13"/>
      <c r="P399" s="13"/>
      <c r="Q399" s="242"/>
      <c r="R399" s="13"/>
      <c r="S399" s="242"/>
      <c r="T399" s="13"/>
      <c r="U399" s="242"/>
      <c r="V399" s="242"/>
      <c r="W399" s="242"/>
      <c r="X399" s="242"/>
      <c r="Y399" s="242"/>
      <c r="Z399" s="242"/>
      <c r="AA399" s="242"/>
      <c r="AB399" s="242"/>
      <c r="AC399" s="242"/>
    </row>
    <row r="400">
      <c r="A400" s="242"/>
      <c r="B400" s="242"/>
      <c r="C400" s="242"/>
      <c r="D400" s="242"/>
      <c r="E400" s="242"/>
      <c r="F400" s="242"/>
      <c r="G400" s="242"/>
      <c r="H400" s="242"/>
      <c r="I400" s="242"/>
      <c r="J400" s="13"/>
      <c r="K400" s="15"/>
      <c r="L400" s="341"/>
      <c r="M400" s="13"/>
      <c r="N400" s="13"/>
      <c r="O400" s="13"/>
      <c r="P400" s="13"/>
      <c r="Q400" s="242"/>
      <c r="R400" s="13"/>
      <c r="S400" s="242"/>
      <c r="T400" s="13"/>
      <c r="U400" s="242"/>
      <c r="V400" s="242"/>
      <c r="W400" s="242"/>
      <c r="X400" s="242"/>
      <c r="Y400" s="242"/>
      <c r="Z400" s="242"/>
      <c r="AA400" s="242"/>
      <c r="AB400" s="242"/>
      <c r="AC400" s="242"/>
    </row>
    <row r="401">
      <c r="A401" s="242"/>
      <c r="B401" s="242"/>
      <c r="C401" s="242"/>
      <c r="D401" s="242"/>
      <c r="E401" s="242"/>
      <c r="F401" s="242"/>
      <c r="G401" s="242"/>
      <c r="H401" s="242"/>
      <c r="I401" s="242"/>
      <c r="J401" s="13"/>
      <c r="K401" s="15"/>
      <c r="L401" s="341"/>
      <c r="M401" s="13"/>
      <c r="N401" s="13"/>
      <c r="O401" s="13"/>
      <c r="P401" s="13"/>
      <c r="Q401" s="242"/>
      <c r="R401" s="13"/>
      <c r="S401" s="242"/>
      <c r="T401" s="13"/>
      <c r="U401" s="242"/>
      <c r="V401" s="242"/>
      <c r="W401" s="242"/>
      <c r="X401" s="242"/>
      <c r="Y401" s="242"/>
      <c r="Z401" s="242"/>
      <c r="AA401" s="242"/>
      <c r="AB401" s="242"/>
      <c r="AC401" s="242"/>
    </row>
    <row r="402">
      <c r="A402" s="242"/>
      <c r="B402" s="242"/>
      <c r="C402" s="242"/>
      <c r="D402" s="242"/>
      <c r="E402" s="242"/>
      <c r="F402" s="242"/>
      <c r="G402" s="242"/>
      <c r="H402" s="242"/>
      <c r="I402" s="242"/>
      <c r="J402" s="13"/>
      <c r="K402" s="15"/>
      <c r="L402" s="341"/>
      <c r="M402" s="13"/>
      <c r="N402" s="13"/>
      <c r="O402" s="13"/>
      <c r="P402" s="13"/>
      <c r="Q402" s="242"/>
      <c r="R402" s="13"/>
      <c r="S402" s="242"/>
      <c r="T402" s="13"/>
      <c r="U402" s="242"/>
      <c r="V402" s="242"/>
      <c r="W402" s="242"/>
      <c r="X402" s="242"/>
      <c r="Y402" s="242"/>
      <c r="Z402" s="242"/>
      <c r="AA402" s="242"/>
      <c r="AB402" s="242"/>
      <c r="AC402" s="242"/>
    </row>
    <row r="403">
      <c r="A403" s="242"/>
      <c r="B403" s="242"/>
      <c r="C403" s="242"/>
      <c r="D403" s="242"/>
      <c r="E403" s="242"/>
      <c r="F403" s="242"/>
      <c r="G403" s="242"/>
      <c r="H403" s="242"/>
      <c r="I403" s="242"/>
      <c r="J403" s="13"/>
      <c r="K403" s="15"/>
      <c r="L403" s="341"/>
      <c r="M403" s="13"/>
      <c r="N403" s="13"/>
      <c r="O403" s="13"/>
      <c r="P403" s="13"/>
      <c r="Q403" s="242"/>
      <c r="R403" s="13"/>
      <c r="S403" s="242"/>
      <c r="T403" s="13"/>
      <c r="U403" s="242"/>
      <c r="V403" s="242"/>
      <c r="W403" s="242"/>
      <c r="X403" s="242"/>
      <c r="Y403" s="242"/>
      <c r="Z403" s="242"/>
      <c r="AA403" s="242"/>
      <c r="AB403" s="242"/>
      <c r="AC403" s="242"/>
    </row>
    <row r="404">
      <c r="A404" s="242"/>
      <c r="B404" s="242"/>
      <c r="C404" s="242"/>
      <c r="D404" s="242"/>
      <c r="E404" s="242"/>
      <c r="F404" s="242"/>
      <c r="G404" s="242"/>
      <c r="H404" s="242"/>
      <c r="I404" s="242"/>
      <c r="J404" s="13"/>
      <c r="K404" s="15"/>
      <c r="L404" s="341"/>
      <c r="M404" s="13"/>
      <c r="N404" s="13"/>
      <c r="O404" s="13"/>
      <c r="P404" s="13"/>
      <c r="Q404" s="242"/>
      <c r="R404" s="13"/>
      <c r="S404" s="242"/>
      <c r="T404" s="13"/>
      <c r="U404" s="242"/>
      <c r="V404" s="242"/>
      <c r="W404" s="242"/>
      <c r="X404" s="242"/>
      <c r="Y404" s="242"/>
      <c r="Z404" s="242"/>
      <c r="AA404" s="242"/>
      <c r="AB404" s="242"/>
      <c r="AC404" s="242"/>
    </row>
    <row r="405">
      <c r="A405" s="242"/>
      <c r="B405" s="242"/>
      <c r="C405" s="242"/>
      <c r="D405" s="242"/>
      <c r="E405" s="242"/>
      <c r="F405" s="242"/>
      <c r="G405" s="242"/>
      <c r="H405" s="242"/>
      <c r="I405" s="242"/>
      <c r="J405" s="13"/>
      <c r="K405" s="15"/>
      <c r="L405" s="341"/>
      <c r="M405" s="13"/>
      <c r="N405" s="13"/>
      <c r="O405" s="13"/>
      <c r="P405" s="13"/>
      <c r="Q405" s="242"/>
      <c r="R405" s="13"/>
      <c r="S405" s="242"/>
      <c r="T405" s="13"/>
      <c r="U405" s="242"/>
      <c r="V405" s="242"/>
      <c r="W405" s="242"/>
      <c r="X405" s="242"/>
      <c r="Y405" s="242"/>
      <c r="Z405" s="242"/>
      <c r="AA405" s="242"/>
      <c r="AB405" s="242"/>
      <c r="AC405" s="242"/>
    </row>
    <row r="406">
      <c r="A406" s="242"/>
      <c r="B406" s="242"/>
      <c r="C406" s="242"/>
      <c r="D406" s="242"/>
      <c r="E406" s="242"/>
      <c r="F406" s="242"/>
      <c r="G406" s="242"/>
      <c r="H406" s="242"/>
      <c r="I406" s="242"/>
      <c r="J406" s="13"/>
      <c r="K406" s="15"/>
      <c r="L406" s="341"/>
      <c r="M406" s="13"/>
      <c r="N406" s="13"/>
      <c r="O406" s="13"/>
      <c r="P406" s="13"/>
      <c r="Q406" s="242"/>
      <c r="R406" s="13"/>
      <c r="S406" s="242"/>
      <c r="T406" s="13"/>
      <c r="U406" s="242"/>
      <c r="V406" s="242"/>
      <c r="W406" s="242"/>
      <c r="X406" s="242"/>
      <c r="Y406" s="242"/>
      <c r="Z406" s="242"/>
      <c r="AA406" s="242"/>
      <c r="AB406" s="242"/>
      <c r="AC406" s="242"/>
    </row>
    <row r="407">
      <c r="A407" s="242"/>
      <c r="B407" s="242"/>
      <c r="C407" s="242"/>
      <c r="D407" s="242"/>
      <c r="E407" s="242"/>
      <c r="F407" s="242"/>
      <c r="G407" s="242"/>
      <c r="H407" s="242"/>
      <c r="I407" s="242"/>
      <c r="J407" s="13"/>
      <c r="K407" s="15"/>
      <c r="L407" s="341"/>
      <c r="M407" s="13"/>
      <c r="N407" s="13"/>
      <c r="O407" s="13"/>
      <c r="P407" s="13"/>
      <c r="Q407" s="242"/>
      <c r="R407" s="13"/>
      <c r="S407" s="242"/>
      <c r="T407" s="13"/>
      <c r="U407" s="242"/>
      <c r="V407" s="242"/>
      <c r="W407" s="242"/>
      <c r="X407" s="242"/>
      <c r="Y407" s="242"/>
      <c r="Z407" s="242"/>
      <c r="AA407" s="242"/>
      <c r="AB407" s="242"/>
      <c r="AC407" s="242"/>
    </row>
    <row r="408">
      <c r="A408" s="242"/>
      <c r="B408" s="242"/>
      <c r="C408" s="242"/>
      <c r="D408" s="242"/>
      <c r="E408" s="242"/>
      <c r="F408" s="242"/>
      <c r="G408" s="242"/>
      <c r="H408" s="242"/>
      <c r="I408" s="242"/>
      <c r="J408" s="13"/>
      <c r="K408" s="15"/>
      <c r="L408" s="341"/>
      <c r="M408" s="13"/>
      <c r="N408" s="13"/>
      <c r="O408" s="13"/>
      <c r="P408" s="13"/>
      <c r="Q408" s="242"/>
      <c r="R408" s="13"/>
      <c r="S408" s="242"/>
      <c r="T408" s="13"/>
      <c r="U408" s="242"/>
      <c r="V408" s="242"/>
      <c r="W408" s="242"/>
      <c r="X408" s="242"/>
      <c r="Y408" s="242"/>
      <c r="Z408" s="242"/>
      <c r="AA408" s="242"/>
      <c r="AB408" s="242"/>
      <c r="AC408" s="242"/>
    </row>
    <row r="409">
      <c r="A409" s="242"/>
      <c r="B409" s="242"/>
      <c r="C409" s="242"/>
      <c r="D409" s="242"/>
      <c r="E409" s="242"/>
      <c r="F409" s="242"/>
      <c r="G409" s="242"/>
      <c r="H409" s="242"/>
      <c r="I409" s="242"/>
      <c r="J409" s="13"/>
      <c r="K409" s="15"/>
      <c r="L409" s="341"/>
      <c r="M409" s="13"/>
      <c r="N409" s="13"/>
      <c r="O409" s="13"/>
      <c r="P409" s="13"/>
      <c r="Q409" s="242"/>
      <c r="R409" s="13"/>
      <c r="S409" s="242"/>
      <c r="T409" s="13"/>
      <c r="U409" s="242"/>
      <c r="V409" s="242"/>
      <c r="W409" s="242"/>
      <c r="X409" s="242"/>
      <c r="Y409" s="242"/>
      <c r="Z409" s="242"/>
      <c r="AA409" s="242"/>
      <c r="AB409" s="242"/>
      <c r="AC409" s="242"/>
    </row>
    <row r="410">
      <c r="A410" s="242"/>
      <c r="B410" s="242"/>
      <c r="C410" s="242"/>
      <c r="D410" s="242"/>
      <c r="E410" s="242"/>
      <c r="F410" s="242"/>
      <c r="G410" s="242"/>
      <c r="H410" s="242"/>
      <c r="I410" s="242"/>
      <c r="J410" s="13"/>
      <c r="K410" s="15"/>
      <c r="L410" s="341"/>
      <c r="M410" s="13"/>
      <c r="N410" s="13"/>
      <c r="O410" s="13"/>
      <c r="P410" s="13"/>
      <c r="Q410" s="242"/>
      <c r="R410" s="13"/>
      <c r="S410" s="242"/>
      <c r="T410" s="13"/>
      <c r="U410" s="242"/>
      <c r="V410" s="242"/>
      <c r="W410" s="242"/>
      <c r="X410" s="242"/>
      <c r="Y410" s="242"/>
      <c r="Z410" s="242"/>
      <c r="AA410" s="242"/>
      <c r="AB410" s="242"/>
      <c r="AC410" s="242"/>
    </row>
    <row r="411">
      <c r="A411" s="242"/>
      <c r="B411" s="242"/>
      <c r="C411" s="242"/>
      <c r="D411" s="242"/>
      <c r="E411" s="242"/>
      <c r="F411" s="242"/>
      <c r="G411" s="242"/>
      <c r="H411" s="242"/>
      <c r="I411" s="242"/>
      <c r="J411" s="13"/>
      <c r="K411" s="15"/>
      <c r="L411" s="341"/>
      <c r="M411" s="13"/>
      <c r="N411" s="13"/>
      <c r="O411" s="13"/>
      <c r="P411" s="13"/>
      <c r="Q411" s="242"/>
      <c r="R411" s="13"/>
      <c r="S411" s="242"/>
      <c r="T411" s="13"/>
      <c r="U411" s="242"/>
      <c r="V411" s="242"/>
      <c r="W411" s="242"/>
      <c r="X411" s="242"/>
      <c r="Y411" s="242"/>
      <c r="Z411" s="242"/>
      <c r="AA411" s="242"/>
      <c r="AB411" s="242"/>
      <c r="AC411" s="242"/>
    </row>
    <row r="412">
      <c r="A412" s="242"/>
      <c r="B412" s="242"/>
      <c r="C412" s="242"/>
      <c r="D412" s="242"/>
      <c r="E412" s="242"/>
      <c r="F412" s="242"/>
      <c r="G412" s="242"/>
      <c r="H412" s="242"/>
      <c r="I412" s="242"/>
      <c r="J412" s="13"/>
      <c r="K412" s="15"/>
      <c r="L412" s="341"/>
      <c r="M412" s="13"/>
      <c r="N412" s="13"/>
      <c r="O412" s="13"/>
      <c r="P412" s="13"/>
      <c r="Q412" s="242"/>
      <c r="R412" s="13"/>
      <c r="S412" s="242"/>
      <c r="T412" s="13"/>
      <c r="U412" s="242"/>
      <c r="V412" s="242"/>
      <c r="W412" s="242"/>
      <c r="X412" s="242"/>
      <c r="Y412" s="242"/>
      <c r="Z412" s="242"/>
      <c r="AA412" s="242"/>
      <c r="AB412" s="242"/>
      <c r="AC412" s="242"/>
    </row>
    <row r="413">
      <c r="A413" s="242"/>
      <c r="B413" s="242"/>
      <c r="C413" s="242"/>
      <c r="D413" s="242"/>
      <c r="E413" s="242"/>
      <c r="F413" s="242"/>
      <c r="G413" s="242"/>
      <c r="H413" s="242"/>
      <c r="I413" s="242"/>
      <c r="J413" s="13"/>
      <c r="K413" s="15"/>
      <c r="L413" s="341"/>
      <c r="M413" s="13"/>
      <c r="N413" s="13"/>
      <c r="O413" s="13"/>
      <c r="P413" s="13"/>
      <c r="Q413" s="242"/>
      <c r="R413" s="13"/>
      <c r="S413" s="242"/>
      <c r="T413" s="13"/>
      <c r="U413" s="242"/>
      <c r="V413" s="242"/>
      <c r="W413" s="242"/>
      <c r="X413" s="242"/>
      <c r="Y413" s="242"/>
      <c r="Z413" s="242"/>
      <c r="AA413" s="242"/>
      <c r="AB413" s="242"/>
      <c r="AC413" s="242"/>
    </row>
    <row r="414">
      <c r="A414" s="242"/>
      <c r="B414" s="242"/>
      <c r="C414" s="242"/>
      <c r="D414" s="242"/>
      <c r="E414" s="242"/>
      <c r="F414" s="242"/>
      <c r="G414" s="242"/>
      <c r="H414" s="242"/>
      <c r="I414" s="242"/>
      <c r="J414" s="13"/>
      <c r="K414" s="15"/>
      <c r="L414" s="341"/>
      <c r="M414" s="13"/>
      <c r="N414" s="13"/>
      <c r="O414" s="13"/>
      <c r="P414" s="13"/>
      <c r="Q414" s="242"/>
      <c r="R414" s="13"/>
      <c r="S414" s="242"/>
      <c r="T414" s="13"/>
      <c r="U414" s="242"/>
      <c r="V414" s="242"/>
      <c r="W414" s="242"/>
      <c r="X414" s="242"/>
      <c r="Y414" s="242"/>
      <c r="Z414" s="242"/>
      <c r="AA414" s="242"/>
      <c r="AB414" s="242"/>
      <c r="AC414" s="242"/>
    </row>
    <row r="415">
      <c r="A415" s="242"/>
      <c r="B415" s="242"/>
      <c r="C415" s="242"/>
      <c r="D415" s="242"/>
      <c r="E415" s="242"/>
      <c r="F415" s="242"/>
      <c r="G415" s="242"/>
      <c r="H415" s="242"/>
      <c r="I415" s="242"/>
      <c r="J415" s="13"/>
      <c r="K415" s="15"/>
      <c r="L415" s="341"/>
      <c r="M415" s="13"/>
      <c r="N415" s="13"/>
      <c r="O415" s="13"/>
      <c r="P415" s="13"/>
      <c r="Q415" s="242"/>
      <c r="R415" s="13"/>
      <c r="S415" s="242"/>
      <c r="T415" s="13"/>
      <c r="U415" s="242"/>
      <c r="V415" s="242"/>
      <c r="W415" s="242"/>
      <c r="X415" s="242"/>
      <c r="Y415" s="242"/>
      <c r="Z415" s="242"/>
      <c r="AA415" s="242"/>
      <c r="AB415" s="242"/>
      <c r="AC415" s="242"/>
    </row>
    <row r="416">
      <c r="A416" s="242"/>
      <c r="B416" s="242"/>
      <c r="C416" s="242"/>
      <c r="D416" s="242"/>
      <c r="E416" s="242"/>
      <c r="F416" s="242"/>
      <c r="G416" s="242"/>
      <c r="H416" s="242"/>
      <c r="I416" s="242"/>
      <c r="J416" s="13"/>
      <c r="K416" s="15"/>
      <c r="L416" s="341"/>
      <c r="M416" s="13"/>
      <c r="N416" s="13"/>
      <c r="O416" s="13"/>
      <c r="P416" s="13"/>
      <c r="Q416" s="242"/>
      <c r="R416" s="13"/>
      <c r="S416" s="242"/>
      <c r="T416" s="13"/>
      <c r="U416" s="242"/>
      <c r="V416" s="242"/>
      <c r="W416" s="242"/>
      <c r="X416" s="242"/>
      <c r="Y416" s="242"/>
      <c r="Z416" s="242"/>
      <c r="AA416" s="242"/>
      <c r="AB416" s="242"/>
      <c r="AC416" s="242"/>
    </row>
    <row r="417">
      <c r="A417" s="242"/>
      <c r="B417" s="242"/>
      <c r="C417" s="242"/>
      <c r="D417" s="242"/>
      <c r="E417" s="242"/>
      <c r="F417" s="242"/>
      <c r="G417" s="242"/>
      <c r="H417" s="242"/>
      <c r="I417" s="242"/>
      <c r="J417" s="13"/>
      <c r="K417" s="15"/>
      <c r="L417" s="341"/>
      <c r="M417" s="13"/>
      <c r="N417" s="13"/>
      <c r="O417" s="13"/>
      <c r="P417" s="13"/>
      <c r="Q417" s="242"/>
      <c r="R417" s="13"/>
      <c r="S417" s="242"/>
      <c r="T417" s="13"/>
      <c r="U417" s="242"/>
      <c r="V417" s="242"/>
      <c r="W417" s="242"/>
      <c r="X417" s="242"/>
      <c r="Y417" s="242"/>
      <c r="Z417" s="242"/>
      <c r="AA417" s="242"/>
      <c r="AB417" s="242"/>
      <c r="AC417" s="242"/>
    </row>
    <row r="418">
      <c r="A418" s="242"/>
      <c r="B418" s="242"/>
      <c r="C418" s="242"/>
      <c r="D418" s="242"/>
      <c r="E418" s="242"/>
      <c r="F418" s="242"/>
      <c r="G418" s="242"/>
      <c r="H418" s="242"/>
      <c r="I418" s="242"/>
      <c r="J418" s="13"/>
      <c r="K418" s="15"/>
      <c r="L418" s="341"/>
      <c r="M418" s="13"/>
      <c r="N418" s="13"/>
      <c r="O418" s="13"/>
      <c r="P418" s="13"/>
      <c r="Q418" s="242"/>
      <c r="R418" s="13"/>
      <c r="S418" s="242"/>
      <c r="T418" s="13"/>
      <c r="U418" s="242"/>
      <c r="V418" s="242"/>
      <c r="W418" s="242"/>
      <c r="X418" s="242"/>
      <c r="Y418" s="242"/>
      <c r="Z418" s="242"/>
      <c r="AA418" s="242"/>
      <c r="AB418" s="242"/>
      <c r="AC418" s="242"/>
    </row>
    <row r="419">
      <c r="A419" s="242"/>
      <c r="B419" s="242"/>
      <c r="C419" s="242"/>
      <c r="D419" s="242"/>
      <c r="E419" s="242"/>
      <c r="F419" s="242"/>
      <c r="G419" s="242"/>
      <c r="H419" s="242"/>
      <c r="I419" s="242"/>
      <c r="J419" s="13"/>
      <c r="K419" s="15"/>
      <c r="L419" s="341"/>
      <c r="M419" s="13"/>
      <c r="N419" s="13"/>
      <c r="O419" s="13"/>
      <c r="P419" s="13"/>
      <c r="Q419" s="242"/>
      <c r="R419" s="13"/>
      <c r="S419" s="242"/>
      <c r="T419" s="13"/>
      <c r="U419" s="242"/>
      <c r="V419" s="242"/>
      <c r="W419" s="242"/>
      <c r="X419" s="242"/>
      <c r="Y419" s="242"/>
      <c r="Z419" s="242"/>
      <c r="AA419" s="242"/>
      <c r="AB419" s="242"/>
      <c r="AC419" s="242"/>
    </row>
    <row r="420">
      <c r="A420" s="242"/>
      <c r="B420" s="242"/>
      <c r="C420" s="242"/>
      <c r="D420" s="242"/>
      <c r="E420" s="242"/>
      <c r="F420" s="242"/>
      <c r="G420" s="242"/>
      <c r="H420" s="242"/>
      <c r="I420" s="242"/>
      <c r="J420" s="13"/>
      <c r="K420" s="15"/>
      <c r="L420" s="341"/>
      <c r="M420" s="13"/>
      <c r="N420" s="13"/>
      <c r="O420" s="13"/>
      <c r="P420" s="13"/>
      <c r="Q420" s="242"/>
      <c r="R420" s="13"/>
      <c r="S420" s="242"/>
      <c r="T420" s="13"/>
      <c r="U420" s="242"/>
      <c r="V420" s="242"/>
      <c r="W420" s="242"/>
      <c r="X420" s="242"/>
      <c r="Y420" s="242"/>
      <c r="Z420" s="242"/>
      <c r="AA420" s="242"/>
      <c r="AB420" s="242"/>
      <c r="AC420" s="242"/>
    </row>
    <row r="421">
      <c r="A421" s="242"/>
      <c r="B421" s="242"/>
      <c r="C421" s="242"/>
      <c r="D421" s="242"/>
      <c r="E421" s="242"/>
      <c r="F421" s="242"/>
      <c r="G421" s="242"/>
      <c r="H421" s="242"/>
      <c r="I421" s="242"/>
      <c r="J421" s="13"/>
      <c r="K421" s="15"/>
      <c r="L421" s="341"/>
      <c r="M421" s="13"/>
      <c r="N421" s="13"/>
      <c r="O421" s="13"/>
      <c r="P421" s="13"/>
      <c r="Q421" s="242"/>
      <c r="R421" s="13"/>
      <c r="S421" s="242"/>
      <c r="T421" s="13"/>
      <c r="U421" s="242"/>
      <c r="V421" s="242"/>
      <c r="W421" s="242"/>
      <c r="X421" s="242"/>
      <c r="Y421" s="242"/>
      <c r="Z421" s="242"/>
      <c r="AA421" s="242"/>
      <c r="AB421" s="242"/>
      <c r="AC421" s="242"/>
    </row>
    <row r="422">
      <c r="A422" s="242"/>
      <c r="B422" s="242"/>
      <c r="C422" s="242"/>
      <c r="D422" s="242"/>
      <c r="E422" s="242"/>
      <c r="F422" s="242"/>
      <c r="G422" s="242"/>
      <c r="H422" s="242"/>
      <c r="I422" s="242"/>
      <c r="J422" s="13"/>
      <c r="K422" s="15"/>
      <c r="L422" s="341"/>
      <c r="M422" s="13"/>
      <c r="N422" s="13"/>
      <c r="O422" s="13"/>
      <c r="P422" s="13"/>
      <c r="Q422" s="242"/>
      <c r="R422" s="13"/>
      <c r="S422" s="242"/>
      <c r="T422" s="13"/>
      <c r="U422" s="242"/>
      <c r="V422" s="242"/>
      <c r="W422" s="242"/>
      <c r="X422" s="242"/>
      <c r="Y422" s="242"/>
      <c r="Z422" s="242"/>
      <c r="AA422" s="242"/>
      <c r="AB422" s="242"/>
      <c r="AC422" s="242"/>
    </row>
    <row r="423">
      <c r="A423" s="242"/>
      <c r="B423" s="242"/>
      <c r="C423" s="242"/>
      <c r="D423" s="242"/>
      <c r="E423" s="242"/>
      <c r="F423" s="242"/>
      <c r="G423" s="242"/>
      <c r="H423" s="242"/>
      <c r="I423" s="242"/>
      <c r="J423" s="13"/>
      <c r="K423" s="15"/>
      <c r="L423" s="341"/>
      <c r="M423" s="13"/>
      <c r="N423" s="13"/>
      <c r="O423" s="13"/>
      <c r="P423" s="13"/>
      <c r="Q423" s="242"/>
      <c r="R423" s="13"/>
      <c r="S423" s="242"/>
      <c r="T423" s="13"/>
      <c r="U423" s="242"/>
      <c r="V423" s="242"/>
      <c r="W423" s="242"/>
      <c r="X423" s="242"/>
      <c r="Y423" s="242"/>
      <c r="Z423" s="242"/>
      <c r="AA423" s="242"/>
      <c r="AB423" s="242"/>
      <c r="AC423" s="242"/>
    </row>
    <row r="424">
      <c r="A424" s="242"/>
      <c r="B424" s="242"/>
      <c r="C424" s="242"/>
      <c r="D424" s="242"/>
      <c r="E424" s="242"/>
      <c r="F424" s="242"/>
      <c r="G424" s="242"/>
      <c r="H424" s="242"/>
      <c r="I424" s="242"/>
      <c r="J424" s="13"/>
      <c r="K424" s="15"/>
      <c r="L424" s="341"/>
      <c r="M424" s="13"/>
      <c r="N424" s="13"/>
      <c r="O424" s="13"/>
      <c r="P424" s="13"/>
      <c r="Q424" s="242"/>
      <c r="R424" s="13"/>
      <c r="S424" s="242"/>
      <c r="T424" s="13"/>
      <c r="U424" s="242"/>
      <c r="V424" s="242"/>
      <c r="W424" s="242"/>
      <c r="X424" s="242"/>
      <c r="Y424" s="242"/>
      <c r="Z424" s="242"/>
      <c r="AA424" s="242"/>
      <c r="AB424" s="242"/>
      <c r="AC424" s="242"/>
    </row>
    <row r="425">
      <c r="A425" s="242"/>
      <c r="B425" s="242"/>
      <c r="C425" s="242"/>
      <c r="D425" s="242"/>
      <c r="E425" s="242"/>
      <c r="F425" s="242"/>
      <c r="G425" s="242"/>
      <c r="H425" s="242"/>
      <c r="I425" s="242"/>
      <c r="J425" s="13"/>
      <c r="K425" s="15"/>
      <c r="L425" s="341"/>
      <c r="M425" s="13"/>
      <c r="N425" s="13"/>
      <c r="O425" s="13"/>
      <c r="P425" s="13"/>
      <c r="Q425" s="242"/>
      <c r="R425" s="13"/>
      <c r="S425" s="242"/>
      <c r="T425" s="13"/>
      <c r="U425" s="242"/>
      <c r="V425" s="242"/>
      <c r="W425" s="242"/>
      <c r="X425" s="242"/>
      <c r="Y425" s="242"/>
      <c r="Z425" s="242"/>
      <c r="AA425" s="242"/>
      <c r="AB425" s="242"/>
      <c r="AC425" s="242"/>
    </row>
    <row r="426">
      <c r="A426" s="242"/>
      <c r="B426" s="242"/>
      <c r="C426" s="242"/>
      <c r="D426" s="242"/>
      <c r="E426" s="242"/>
      <c r="F426" s="242"/>
      <c r="G426" s="242"/>
      <c r="H426" s="242"/>
      <c r="I426" s="242"/>
      <c r="J426" s="13"/>
      <c r="K426" s="15"/>
      <c r="L426" s="341"/>
      <c r="M426" s="13"/>
      <c r="N426" s="13"/>
      <c r="O426" s="13"/>
      <c r="P426" s="13"/>
      <c r="Q426" s="242"/>
      <c r="R426" s="13"/>
      <c r="S426" s="242"/>
      <c r="T426" s="13"/>
      <c r="U426" s="242"/>
      <c r="V426" s="242"/>
      <c r="W426" s="242"/>
      <c r="X426" s="242"/>
      <c r="Y426" s="242"/>
      <c r="Z426" s="242"/>
      <c r="AA426" s="242"/>
      <c r="AB426" s="242"/>
      <c r="AC426" s="242"/>
    </row>
    <row r="427">
      <c r="A427" s="242"/>
      <c r="B427" s="242"/>
      <c r="C427" s="242"/>
      <c r="D427" s="242"/>
      <c r="E427" s="242"/>
      <c r="F427" s="242"/>
      <c r="G427" s="242"/>
      <c r="H427" s="242"/>
      <c r="I427" s="242"/>
      <c r="J427" s="13"/>
      <c r="K427" s="15"/>
      <c r="L427" s="341"/>
      <c r="M427" s="13"/>
      <c r="N427" s="13"/>
      <c r="O427" s="13"/>
      <c r="P427" s="13"/>
      <c r="Q427" s="242"/>
      <c r="R427" s="13"/>
      <c r="S427" s="242"/>
      <c r="T427" s="13"/>
      <c r="U427" s="242"/>
      <c r="V427" s="242"/>
      <c r="W427" s="242"/>
      <c r="X427" s="242"/>
      <c r="Y427" s="242"/>
      <c r="Z427" s="242"/>
      <c r="AA427" s="242"/>
      <c r="AB427" s="242"/>
      <c r="AC427" s="242"/>
    </row>
    <row r="428">
      <c r="A428" s="242"/>
      <c r="B428" s="242"/>
      <c r="C428" s="242"/>
      <c r="D428" s="242"/>
      <c r="E428" s="242"/>
      <c r="F428" s="242"/>
      <c r="G428" s="242"/>
      <c r="H428" s="242"/>
      <c r="I428" s="242"/>
      <c r="J428" s="13"/>
      <c r="K428" s="15"/>
      <c r="L428" s="341"/>
      <c r="M428" s="13"/>
      <c r="N428" s="13"/>
      <c r="O428" s="13"/>
      <c r="P428" s="13"/>
      <c r="Q428" s="242"/>
      <c r="R428" s="13"/>
      <c r="S428" s="242"/>
      <c r="T428" s="13"/>
      <c r="U428" s="242"/>
      <c r="V428" s="242"/>
      <c r="W428" s="242"/>
      <c r="X428" s="242"/>
      <c r="Y428" s="242"/>
      <c r="Z428" s="242"/>
      <c r="AA428" s="242"/>
      <c r="AB428" s="242"/>
      <c r="AC428" s="242"/>
    </row>
    <row r="429">
      <c r="A429" s="242"/>
      <c r="B429" s="242"/>
      <c r="C429" s="242"/>
      <c r="D429" s="242"/>
      <c r="E429" s="242"/>
      <c r="F429" s="242"/>
      <c r="G429" s="242"/>
      <c r="H429" s="242"/>
      <c r="I429" s="242"/>
      <c r="J429" s="13"/>
      <c r="K429" s="15"/>
      <c r="L429" s="341"/>
      <c r="M429" s="13"/>
      <c r="N429" s="13"/>
      <c r="O429" s="13"/>
      <c r="P429" s="13"/>
      <c r="Q429" s="242"/>
      <c r="R429" s="13"/>
      <c r="S429" s="242"/>
      <c r="T429" s="13"/>
      <c r="U429" s="242"/>
      <c r="V429" s="242"/>
      <c r="W429" s="242"/>
      <c r="X429" s="242"/>
      <c r="Y429" s="242"/>
      <c r="Z429" s="242"/>
      <c r="AA429" s="242"/>
      <c r="AB429" s="242"/>
      <c r="AC429" s="242"/>
    </row>
    <row r="430">
      <c r="A430" s="242"/>
      <c r="B430" s="242"/>
      <c r="C430" s="242"/>
      <c r="D430" s="242"/>
      <c r="E430" s="242"/>
      <c r="F430" s="242"/>
      <c r="G430" s="242"/>
      <c r="H430" s="242"/>
      <c r="I430" s="242"/>
      <c r="J430" s="13"/>
      <c r="K430" s="15"/>
      <c r="L430" s="341"/>
      <c r="M430" s="13"/>
      <c r="N430" s="13"/>
      <c r="O430" s="13"/>
      <c r="P430" s="13"/>
      <c r="Q430" s="242"/>
      <c r="R430" s="13"/>
      <c r="S430" s="242"/>
      <c r="T430" s="13"/>
      <c r="U430" s="242"/>
      <c r="V430" s="242"/>
      <c r="W430" s="242"/>
      <c r="X430" s="242"/>
      <c r="Y430" s="242"/>
      <c r="Z430" s="242"/>
      <c r="AA430" s="242"/>
      <c r="AB430" s="242"/>
      <c r="AC430" s="242"/>
    </row>
    <row r="431">
      <c r="A431" s="242"/>
      <c r="B431" s="242"/>
      <c r="C431" s="242"/>
      <c r="D431" s="242"/>
      <c r="E431" s="242"/>
      <c r="F431" s="242"/>
      <c r="G431" s="242"/>
      <c r="H431" s="242"/>
      <c r="I431" s="242"/>
      <c r="J431" s="13"/>
      <c r="K431" s="15"/>
      <c r="L431" s="341"/>
      <c r="M431" s="13"/>
      <c r="N431" s="13"/>
      <c r="O431" s="13"/>
      <c r="P431" s="13"/>
      <c r="Q431" s="242"/>
      <c r="R431" s="13"/>
      <c r="S431" s="242"/>
      <c r="T431" s="13"/>
      <c r="U431" s="242"/>
      <c r="V431" s="242"/>
      <c r="W431" s="242"/>
      <c r="X431" s="242"/>
      <c r="Y431" s="242"/>
      <c r="Z431" s="242"/>
      <c r="AA431" s="242"/>
      <c r="AB431" s="242"/>
      <c r="AC431" s="242"/>
    </row>
    <row r="432">
      <c r="A432" s="242"/>
      <c r="B432" s="242"/>
      <c r="C432" s="242"/>
      <c r="D432" s="242"/>
      <c r="E432" s="242"/>
      <c r="F432" s="242"/>
      <c r="G432" s="242"/>
      <c r="H432" s="242"/>
      <c r="I432" s="242"/>
      <c r="J432" s="13"/>
      <c r="K432" s="15"/>
      <c r="L432" s="341"/>
      <c r="M432" s="13"/>
      <c r="N432" s="13"/>
      <c r="O432" s="13"/>
      <c r="P432" s="13"/>
      <c r="Q432" s="242"/>
      <c r="R432" s="13"/>
      <c r="S432" s="242"/>
      <c r="T432" s="13"/>
      <c r="U432" s="242"/>
      <c r="V432" s="242"/>
      <c r="W432" s="242"/>
      <c r="X432" s="242"/>
      <c r="Y432" s="242"/>
      <c r="Z432" s="242"/>
      <c r="AA432" s="242"/>
      <c r="AB432" s="242"/>
      <c r="AC432" s="242"/>
    </row>
    <row r="433">
      <c r="A433" s="242"/>
      <c r="B433" s="242"/>
      <c r="C433" s="242"/>
      <c r="D433" s="242"/>
      <c r="E433" s="242"/>
      <c r="F433" s="242"/>
      <c r="G433" s="242"/>
      <c r="H433" s="242"/>
      <c r="I433" s="242"/>
      <c r="J433" s="13"/>
      <c r="K433" s="15"/>
      <c r="L433" s="341"/>
      <c r="M433" s="13"/>
      <c r="N433" s="13"/>
      <c r="O433" s="13"/>
      <c r="P433" s="13"/>
      <c r="Q433" s="242"/>
      <c r="R433" s="13"/>
      <c r="S433" s="242"/>
      <c r="T433" s="13"/>
      <c r="U433" s="242"/>
      <c r="V433" s="242"/>
      <c r="W433" s="242"/>
      <c r="X433" s="242"/>
      <c r="Y433" s="242"/>
      <c r="Z433" s="242"/>
      <c r="AA433" s="242"/>
      <c r="AB433" s="242"/>
      <c r="AC433" s="242"/>
    </row>
    <row r="434">
      <c r="A434" s="242"/>
      <c r="B434" s="242"/>
      <c r="C434" s="242"/>
      <c r="D434" s="242"/>
      <c r="E434" s="242"/>
      <c r="F434" s="242"/>
      <c r="G434" s="242"/>
      <c r="H434" s="242"/>
      <c r="I434" s="242"/>
      <c r="J434" s="13"/>
      <c r="K434" s="15"/>
      <c r="L434" s="341"/>
      <c r="M434" s="13"/>
      <c r="N434" s="13"/>
      <c r="O434" s="13"/>
      <c r="P434" s="13"/>
      <c r="Q434" s="242"/>
      <c r="R434" s="13"/>
      <c r="S434" s="242"/>
      <c r="T434" s="13"/>
      <c r="U434" s="242"/>
      <c r="V434" s="242"/>
      <c r="W434" s="242"/>
      <c r="X434" s="242"/>
      <c r="Y434" s="242"/>
      <c r="Z434" s="242"/>
      <c r="AA434" s="242"/>
      <c r="AB434" s="242"/>
      <c r="AC434" s="242"/>
    </row>
    <row r="435">
      <c r="A435" s="242"/>
      <c r="B435" s="242"/>
      <c r="C435" s="242"/>
      <c r="D435" s="242"/>
      <c r="E435" s="242"/>
      <c r="F435" s="242"/>
      <c r="G435" s="242"/>
      <c r="H435" s="242"/>
      <c r="I435" s="242"/>
      <c r="J435" s="13"/>
      <c r="K435" s="15"/>
      <c r="L435" s="341"/>
      <c r="M435" s="13"/>
      <c r="N435" s="13"/>
      <c r="O435" s="13"/>
      <c r="P435" s="13"/>
      <c r="Q435" s="242"/>
      <c r="R435" s="13"/>
      <c r="S435" s="242"/>
      <c r="T435" s="13"/>
      <c r="U435" s="242"/>
      <c r="V435" s="242"/>
      <c r="W435" s="242"/>
      <c r="X435" s="242"/>
      <c r="Y435" s="242"/>
      <c r="Z435" s="242"/>
      <c r="AA435" s="242"/>
      <c r="AB435" s="242"/>
      <c r="AC435" s="242"/>
    </row>
    <row r="436">
      <c r="A436" s="242"/>
      <c r="B436" s="242"/>
      <c r="C436" s="242"/>
      <c r="D436" s="242"/>
      <c r="E436" s="242"/>
      <c r="F436" s="242"/>
      <c r="G436" s="242"/>
      <c r="H436" s="242"/>
      <c r="I436" s="242"/>
      <c r="J436" s="13"/>
      <c r="K436" s="15"/>
      <c r="L436" s="341"/>
      <c r="M436" s="13"/>
      <c r="N436" s="13"/>
      <c r="O436" s="13"/>
      <c r="P436" s="13"/>
      <c r="Q436" s="242"/>
      <c r="R436" s="13"/>
      <c r="S436" s="242"/>
      <c r="T436" s="13"/>
      <c r="U436" s="242"/>
      <c r="V436" s="242"/>
      <c r="W436" s="242"/>
      <c r="X436" s="242"/>
      <c r="Y436" s="242"/>
      <c r="Z436" s="242"/>
      <c r="AA436" s="242"/>
      <c r="AB436" s="242"/>
      <c r="AC436" s="242"/>
    </row>
    <row r="437">
      <c r="A437" s="242"/>
      <c r="B437" s="242"/>
      <c r="C437" s="242"/>
      <c r="D437" s="242"/>
      <c r="E437" s="242"/>
      <c r="F437" s="242"/>
      <c r="G437" s="242"/>
      <c r="H437" s="242"/>
      <c r="I437" s="242"/>
      <c r="J437" s="13"/>
      <c r="K437" s="15"/>
      <c r="L437" s="341"/>
      <c r="M437" s="13"/>
      <c r="N437" s="13"/>
      <c r="O437" s="13"/>
      <c r="P437" s="13"/>
      <c r="Q437" s="242"/>
      <c r="R437" s="13"/>
      <c r="S437" s="242"/>
      <c r="T437" s="13"/>
      <c r="U437" s="242"/>
      <c r="V437" s="242"/>
      <c r="W437" s="242"/>
      <c r="X437" s="242"/>
      <c r="Y437" s="242"/>
      <c r="Z437" s="242"/>
      <c r="AA437" s="242"/>
      <c r="AB437" s="242"/>
      <c r="AC437" s="242"/>
    </row>
    <row r="438">
      <c r="A438" s="242"/>
      <c r="B438" s="242"/>
      <c r="C438" s="242"/>
      <c r="D438" s="242"/>
      <c r="E438" s="242"/>
      <c r="F438" s="242"/>
      <c r="G438" s="242"/>
      <c r="H438" s="242"/>
      <c r="I438" s="242"/>
      <c r="J438" s="13"/>
      <c r="K438" s="15"/>
      <c r="L438" s="341"/>
      <c r="M438" s="13"/>
      <c r="N438" s="13"/>
      <c r="O438" s="13"/>
      <c r="P438" s="13"/>
      <c r="Q438" s="242"/>
      <c r="R438" s="13"/>
      <c r="S438" s="242"/>
      <c r="T438" s="13"/>
      <c r="U438" s="242"/>
      <c r="V438" s="242"/>
      <c r="W438" s="242"/>
      <c r="X438" s="242"/>
      <c r="Y438" s="242"/>
      <c r="Z438" s="242"/>
      <c r="AA438" s="242"/>
      <c r="AB438" s="242"/>
      <c r="AC438" s="242"/>
    </row>
    <row r="439">
      <c r="A439" s="242"/>
      <c r="B439" s="242"/>
      <c r="C439" s="242"/>
      <c r="D439" s="242"/>
      <c r="E439" s="242"/>
      <c r="F439" s="242"/>
      <c r="G439" s="242"/>
      <c r="H439" s="242"/>
      <c r="I439" s="242"/>
      <c r="J439" s="13"/>
      <c r="K439" s="15"/>
      <c r="L439" s="341"/>
      <c r="M439" s="13"/>
      <c r="N439" s="13"/>
      <c r="O439" s="13"/>
      <c r="P439" s="13"/>
      <c r="Q439" s="242"/>
      <c r="R439" s="13"/>
      <c r="S439" s="242"/>
      <c r="T439" s="13"/>
      <c r="U439" s="242"/>
      <c r="V439" s="242"/>
      <c r="W439" s="242"/>
      <c r="X439" s="242"/>
      <c r="Y439" s="242"/>
      <c r="Z439" s="242"/>
      <c r="AA439" s="242"/>
      <c r="AB439" s="242"/>
      <c r="AC439" s="242"/>
    </row>
    <row r="440">
      <c r="A440" s="242"/>
      <c r="B440" s="242"/>
      <c r="C440" s="242"/>
      <c r="D440" s="242"/>
      <c r="E440" s="242"/>
      <c r="F440" s="242"/>
      <c r="G440" s="242"/>
      <c r="H440" s="242"/>
      <c r="I440" s="242"/>
      <c r="J440" s="13"/>
      <c r="K440" s="15"/>
      <c r="L440" s="341"/>
      <c r="M440" s="13"/>
      <c r="N440" s="13"/>
      <c r="O440" s="13"/>
      <c r="P440" s="13"/>
      <c r="Q440" s="242"/>
      <c r="R440" s="13"/>
      <c r="S440" s="242"/>
      <c r="T440" s="13"/>
      <c r="U440" s="242"/>
      <c r="V440" s="242"/>
      <c r="W440" s="242"/>
      <c r="X440" s="242"/>
      <c r="Y440" s="242"/>
      <c r="Z440" s="242"/>
      <c r="AA440" s="242"/>
      <c r="AB440" s="242"/>
      <c r="AC440" s="242"/>
    </row>
    <row r="441">
      <c r="A441" s="242"/>
      <c r="B441" s="242"/>
      <c r="C441" s="242"/>
      <c r="D441" s="242"/>
      <c r="E441" s="242"/>
      <c r="F441" s="242"/>
      <c r="G441" s="242"/>
      <c r="H441" s="242"/>
      <c r="I441" s="242"/>
      <c r="J441" s="13"/>
      <c r="K441" s="15"/>
      <c r="L441" s="341"/>
      <c r="M441" s="13"/>
      <c r="N441" s="13"/>
      <c r="O441" s="13"/>
      <c r="P441" s="13"/>
      <c r="Q441" s="242"/>
      <c r="R441" s="13"/>
      <c r="S441" s="242"/>
      <c r="T441" s="13"/>
      <c r="U441" s="242"/>
      <c r="V441" s="242"/>
      <c r="W441" s="242"/>
      <c r="X441" s="242"/>
      <c r="Y441" s="242"/>
      <c r="Z441" s="242"/>
      <c r="AA441" s="242"/>
      <c r="AB441" s="242"/>
      <c r="AC441" s="242"/>
    </row>
    <row r="442">
      <c r="A442" s="242"/>
      <c r="B442" s="242"/>
      <c r="C442" s="242"/>
      <c r="D442" s="242"/>
      <c r="E442" s="242"/>
      <c r="F442" s="242"/>
      <c r="G442" s="242"/>
      <c r="H442" s="242"/>
      <c r="I442" s="242"/>
      <c r="J442" s="13"/>
      <c r="K442" s="15"/>
      <c r="L442" s="341"/>
      <c r="M442" s="13"/>
      <c r="N442" s="13"/>
      <c r="O442" s="13"/>
      <c r="P442" s="13"/>
      <c r="Q442" s="242"/>
      <c r="R442" s="13"/>
      <c r="S442" s="242"/>
      <c r="T442" s="13"/>
      <c r="U442" s="242"/>
      <c r="V442" s="242"/>
      <c r="W442" s="242"/>
      <c r="X442" s="242"/>
      <c r="Y442" s="242"/>
      <c r="Z442" s="242"/>
      <c r="AA442" s="242"/>
      <c r="AB442" s="242"/>
      <c r="AC442" s="242"/>
    </row>
    <row r="443">
      <c r="A443" s="242"/>
      <c r="B443" s="242"/>
      <c r="C443" s="242"/>
      <c r="D443" s="242"/>
      <c r="E443" s="242"/>
      <c r="F443" s="242"/>
      <c r="G443" s="242"/>
      <c r="H443" s="242"/>
      <c r="I443" s="242"/>
      <c r="J443" s="13"/>
      <c r="K443" s="15"/>
      <c r="L443" s="341"/>
      <c r="M443" s="13"/>
      <c r="N443" s="13"/>
      <c r="O443" s="13"/>
      <c r="P443" s="13"/>
      <c r="Q443" s="242"/>
      <c r="R443" s="13"/>
      <c r="S443" s="242"/>
      <c r="T443" s="13"/>
      <c r="U443" s="242"/>
      <c r="V443" s="242"/>
      <c r="W443" s="242"/>
      <c r="X443" s="242"/>
      <c r="Y443" s="242"/>
      <c r="Z443" s="242"/>
      <c r="AA443" s="242"/>
      <c r="AB443" s="242"/>
      <c r="AC443" s="242"/>
    </row>
    <row r="444">
      <c r="A444" s="242"/>
      <c r="B444" s="242"/>
      <c r="C444" s="242"/>
      <c r="D444" s="242"/>
      <c r="E444" s="242"/>
      <c r="F444" s="242"/>
      <c r="G444" s="242"/>
      <c r="H444" s="242"/>
      <c r="I444" s="242"/>
      <c r="J444" s="13"/>
      <c r="K444" s="15"/>
      <c r="L444" s="341"/>
      <c r="M444" s="13"/>
      <c r="N444" s="13"/>
      <c r="O444" s="13"/>
      <c r="P444" s="13"/>
      <c r="Q444" s="242"/>
      <c r="R444" s="13"/>
      <c r="S444" s="242"/>
      <c r="T444" s="13"/>
      <c r="U444" s="242"/>
      <c r="V444" s="242"/>
      <c r="W444" s="242"/>
      <c r="X444" s="242"/>
      <c r="Y444" s="242"/>
      <c r="Z444" s="242"/>
      <c r="AA444" s="242"/>
      <c r="AB444" s="242"/>
      <c r="AC444" s="242"/>
    </row>
    <row r="445">
      <c r="A445" s="242"/>
      <c r="B445" s="242"/>
      <c r="C445" s="242"/>
      <c r="D445" s="242"/>
      <c r="E445" s="242"/>
      <c r="F445" s="242"/>
      <c r="G445" s="242"/>
      <c r="H445" s="242"/>
      <c r="I445" s="242"/>
      <c r="J445" s="13"/>
      <c r="K445" s="15"/>
      <c r="L445" s="341"/>
      <c r="M445" s="13"/>
      <c r="N445" s="13"/>
      <c r="O445" s="13"/>
      <c r="P445" s="13"/>
      <c r="Q445" s="242"/>
      <c r="R445" s="13"/>
      <c r="S445" s="242"/>
      <c r="T445" s="13"/>
      <c r="U445" s="242"/>
      <c r="V445" s="242"/>
      <c r="W445" s="242"/>
      <c r="X445" s="242"/>
      <c r="Y445" s="242"/>
      <c r="Z445" s="242"/>
      <c r="AA445" s="242"/>
      <c r="AB445" s="242"/>
      <c r="AC445" s="242"/>
    </row>
    <row r="446">
      <c r="A446" s="242"/>
      <c r="B446" s="242"/>
      <c r="C446" s="242"/>
      <c r="D446" s="242"/>
      <c r="E446" s="242"/>
      <c r="F446" s="242"/>
      <c r="G446" s="242"/>
      <c r="H446" s="242"/>
      <c r="I446" s="242"/>
      <c r="J446" s="13"/>
      <c r="K446" s="15"/>
      <c r="L446" s="341"/>
      <c r="M446" s="13"/>
      <c r="N446" s="13"/>
      <c r="O446" s="13"/>
      <c r="P446" s="13"/>
      <c r="Q446" s="242"/>
      <c r="R446" s="13"/>
      <c r="S446" s="242"/>
      <c r="T446" s="13"/>
      <c r="U446" s="242"/>
      <c r="V446" s="242"/>
      <c r="W446" s="242"/>
      <c r="X446" s="242"/>
      <c r="Y446" s="242"/>
      <c r="Z446" s="242"/>
      <c r="AA446" s="242"/>
      <c r="AB446" s="242"/>
      <c r="AC446" s="242"/>
    </row>
    <row r="447">
      <c r="A447" s="242"/>
      <c r="B447" s="242"/>
      <c r="C447" s="242"/>
      <c r="D447" s="242"/>
      <c r="E447" s="242"/>
      <c r="F447" s="242"/>
      <c r="G447" s="242"/>
      <c r="H447" s="242"/>
      <c r="I447" s="242"/>
      <c r="J447" s="13"/>
      <c r="K447" s="15"/>
      <c r="L447" s="341"/>
      <c r="M447" s="13"/>
      <c r="N447" s="13"/>
      <c r="O447" s="13"/>
      <c r="P447" s="13"/>
      <c r="Q447" s="242"/>
      <c r="R447" s="13"/>
      <c r="S447" s="242"/>
      <c r="T447" s="13"/>
      <c r="U447" s="242"/>
      <c r="V447" s="242"/>
      <c r="W447" s="242"/>
      <c r="X447" s="242"/>
      <c r="Y447" s="242"/>
      <c r="Z447" s="242"/>
      <c r="AA447" s="242"/>
      <c r="AB447" s="242"/>
      <c r="AC447" s="242"/>
    </row>
    <row r="448">
      <c r="A448" s="242"/>
      <c r="B448" s="242"/>
      <c r="C448" s="242"/>
      <c r="D448" s="242"/>
      <c r="E448" s="242"/>
      <c r="F448" s="242"/>
      <c r="G448" s="242"/>
      <c r="H448" s="242"/>
      <c r="I448" s="242"/>
      <c r="J448" s="13"/>
      <c r="K448" s="15"/>
      <c r="L448" s="341"/>
      <c r="M448" s="13"/>
      <c r="N448" s="13"/>
      <c r="O448" s="13"/>
      <c r="P448" s="13"/>
      <c r="Q448" s="242"/>
      <c r="R448" s="13"/>
      <c r="S448" s="242"/>
      <c r="T448" s="13"/>
      <c r="U448" s="242"/>
      <c r="V448" s="242"/>
      <c r="W448" s="242"/>
      <c r="X448" s="242"/>
      <c r="Y448" s="242"/>
      <c r="Z448" s="242"/>
      <c r="AA448" s="242"/>
      <c r="AB448" s="242"/>
      <c r="AC448" s="242"/>
    </row>
    <row r="449">
      <c r="A449" s="242"/>
      <c r="B449" s="242"/>
      <c r="C449" s="242"/>
      <c r="D449" s="242"/>
      <c r="E449" s="242"/>
      <c r="F449" s="242"/>
      <c r="G449" s="242"/>
      <c r="H449" s="242"/>
      <c r="I449" s="242"/>
      <c r="J449" s="13"/>
      <c r="K449" s="15"/>
      <c r="L449" s="341"/>
      <c r="M449" s="13"/>
      <c r="N449" s="13"/>
      <c r="O449" s="13"/>
      <c r="P449" s="13"/>
      <c r="Q449" s="242"/>
      <c r="R449" s="13"/>
      <c r="S449" s="242"/>
      <c r="T449" s="13"/>
      <c r="U449" s="242"/>
      <c r="V449" s="242"/>
      <c r="W449" s="242"/>
      <c r="X449" s="242"/>
      <c r="Y449" s="242"/>
      <c r="Z449" s="242"/>
      <c r="AA449" s="242"/>
      <c r="AB449" s="242"/>
      <c r="AC449" s="242"/>
    </row>
    <row r="450">
      <c r="A450" s="242"/>
      <c r="B450" s="242"/>
      <c r="C450" s="242"/>
      <c r="D450" s="242"/>
      <c r="E450" s="242"/>
      <c r="F450" s="242"/>
      <c r="G450" s="242"/>
      <c r="H450" s="242"/>
      <c r="I450" s="242"/>
      <c r="J450" s="13"/>
      <c r="K450" s="15"/>
      <c r="L450" s="341"/>
      <c r="M450" s="13"/>
      <c r="N450" s="13"/>
      <c r="O450" s="13"/>
      <c r="P450" s="13"/>
      <c r="Q450" s="242"/>
      <c r="R450" s="13"/>
      <c r="S450" s="242"/>
      <c r="T450" s="13"/>
      <c r="U450" s="242"/>
      <c r="V450" s="242"/>
      <c r="W450" s="242"/>
      <c r="X450" s="242"/>
      <c r="Y450" s="242"/>
      <c r="Z450" s="242"/>
      <c r="AA450" s="242"/>
      <c r="AB450" s="242"/>
      <c r="AC450" s="242"/>
    </row>
    <row r="451">
      <c r="A451" s="242"/>
      <c r="B451" s="242"/>
      <c r="C451" s="242"/>
      <c r="D451" s="242"/>
      <c r="E451" s="242"/>
      <c r="F451" s="242"/>
      <c r="G451" s="242"/>
      <c r="H451" s="242"/>
      <c r="I451" s="242"/>
      <c r="J451" s="13"/>
      <c r="K451" s="15"/>
      <c r="L451" s="341"/>
      <c r="M451" s="13"/>
      <c r="N451" s="13"/>
      <c r="O451" s="13"/>
      <c r="P451" s="13"/>
      <c r="Q451" s="242"/>
      <c r="R451" s="13"/>
      <c r="S451" s="242"/>
      <c r="T451" s="13"/>
      <c r="U451" s="242"/>
      <c r="V451" s="242"/>
      <c r="W451" s="242"/>
      <c r="X451" s="242"/>
      <c r="Y451" s="242"/>
      <c r="Z451" s="242"/>
      <c r="AA451" s="242"/>
      <c r="AB451" s="242"/>
      <c r="AC451" s="242"/>
    </row>
    <row r="452">
      <c r="A452" s="242"/>
      <c r="B452" s="242"/>
      <c r="C452" s="242"/>
      <c r="D452" s="242"/>
      <c r="E452" s="242"/>
      <c r="F452" s="242"/>
      <c r="G452" s="242"/>
      <c r="H452" s="242"/>
      <c r="I452" s="242"/>
      <c r="J452" s="13"/>
      <c r="K452" s="15"/>
      <c r="L452" s="341"/>
      <c r="M452" s="13"/>
      <c r="N452" s="13"/>
      <c r="O452" s="13"/>
      <c r="P452" s="13"/>
      <c r="Q452" s="242"/>
      <c r="R452" s="13"/>
      <c r="S452" s="242"/>
      <c r="T452" s="13"/>
      <c r="U452" s="242"/>
      <c r="V452" s="242"/>
      <c r="W452" s="242"/>
      <c r="X452" s="242"/>
      <c r="Y452" s="242"/>
      <c r="Z452" s="242"/>
      <c r="AA452" s="242"/>
      <c r="AB452" s="242"/>
      <c r="AC452" s="242"/>
    </row>
    <row r="453">
      <c r="A453" s="242"/>
      <c r="B453" s="242"/>
      <c r="C453" s="242"/>
      <c r="D453" s="242"/>
      <c r="E453" s="242"/>
      <c r="F453" s="242"/>
      <c r="G453" s="242"/>
      <c r="H453" s="242"/>
      <c r="I453" s="242"/>
      <c r="J453" s="13"/>
      <c r="K453" s="15"/>
      <c r="L453" s="341"/>
      <c r="M453" s="13"/>
      <c r="N453" s="13"/>
      <c r="O453" s="13"/>
      <c r="P453" s="13"/>
      <c r="Q453" s="242"/>
      <c r="R453" s="13"/>
      <c r="S453" s="242"/>
      <c r="T453" s="13"/>
      <c r="U453" s="242"/>
      <c r="V453" s="242"/>
      <c r="W453" s="242"/>
      <c r="X453" s="242"/>
      <c r="Y453" s="242"/>
      <c r="Z453" s="242"/>
      <c r="AA453" s="242"/>
      <c r="AB453" s="242"/>
      <c r="AC453" s="242"/>
    </row>
    <row r="454">
      <c r="A454" s="242"/>
      <c r="B454" s="242"/>
      <c r="C454" s="242"/>
      <c r="D454" s="242"/>
      <c r="E454" s="242"/>
      <c r="F454" s="242"/>
      <c r="G454" s="242"/>
      <c r="H454" s="242"/>
      <c r="I454" s="242"/>
      <c r="J454" s="13"/>
      <c r="K454" s="15"/>
      <c r="L454" s="341"/>
      <c r="M454" s="13"/>
      <c r="N454" s="13"/>
      <c r="O454" s="13"/>
      <c r="P454" s="13"/>
      <c r="Q454" s="242"/>
      <c r="R454" s="13"/>
      <c r="S454" s="242"/>
      <c r="T454" s="13"/>
      <c r="U454" s="242"/>
      <c r="V454" s="242"/>
      <c r="W454" s="242"/>
      <c r="X454" s="242"/>
      <c r="Y454" s="242"/>
      <c r="Z454" s="242"/>
      <c r="AA454" s="242"/>
      <c r="AB454" s="242"/>
      <c r="AC454" s="242"/>
    </row>
    <row r="455">
      <c r="A455" s="242"/>
      <c r="B455" s="242"/>
      <c r="C455" s="242"/>
      <c r="D455" s="242"/>
      <c r="E455" s="242"/>
      <c r="F455" s="242"/>
      <c r="G455" s="242"/>
      <c r="H455" s="242"/>
      <c r="I455" s="242"/>
      <c r="J455" s="13"/>
      <c r="K455" s="15"/>
      <c r="L455" s="341"/>
      <c r="M455" s="13"/>
      <c r="N455" s="13"/>
      <c r="O455" s="13"/>
      <c r="P455" s="13"/>
      <c r="Q455" s="242"/>
      <c r="R455" s="13"/>
      <c r="S455" s="242"/>
      <c r="T455" s="13"/>
      <c r="U455" s="242"/>
      <c r="V455" s="242"/>
      <c r="W455" s="242"/>
      <c r="X455" s="242"/>
      <c r="Y455" s="242"/>
      <c r="Z455" s="242"/>
      <c r="AA455" s="242"/>
      <c r="AB455" s="242"/>
      <c r="AC455" s="242"/>
    </row>
    <row r="456">
      <c r="A456" s="242"/>
      <c r="B456" s="242"/>
      <c r="C456" s="242"/>
      <c r="D456" s="242"/>
      <c r="E456" s="242"/>
      <c r="F456" s="242"/>
      <c r="G456" s="242"/>
      <c r="H456" s="242"/>
      <c r="I456" s="242"/>
      <c r="J456" s="13"/>
      <c r="K456" s="15"/>
      <c r="L456" s="341"/>
      <c r="M456" s="13"/>
      <c r="N456" s="13"/>
      <c r="O456" s="13"/>
      <c r="P456" s="13"/>
      <c r="Q456" s="242"/>
      <c r="R456" s="13"/>
      <c r="S456" s="242"/>
      <c r="T456" s="13"/>
      <c r="U456" s="242"/>
      <c r="V456" s="242"/>
      <c r="W456" s="242"/>
      <c r="X456" s="242"/>
      <c r="Y456" s="242"/>
      <c r="Z456" s="242"/>
      <c r="AA456" s="242"/>
      <c r="AB456" s="242"/>
      <c r="AC456" s="242"/>
    </row>
    <row r="457">
      <c r="A457" s="242"/>
      <c r="B457" s="242"/>
      <c r="C457" s="242"/>
      <c r="D457" s="242"/>
      <c r="E457" s="242"/>
      <c r="F457" s="242"/>
      <c r="G457" s="242"/>
      <c r="H457" s="242"/>
      <c r="I457" s="242"/>
      <c r="J457" s="13"/>
      <c r="K457" s="15"/>
      <c r="L457" s="341"/>
      <c r="M457" s="13"/>
      <c r="N457" s="13"/>
      <c r="O457" s="13"/>
      <c r="P457" s="13"/>
      <c r="Q457" s="242"/>
      <c r="R457" s="13"/>
      <c r="S457" s="242"/>
      <c r="T457" s="13"/>
      <c r="U457" s="242"/>
      <c r="V457" s="242"/>
      <c r="W457" s="242"/>
      <c r="X457" s="242"/>
      <c r="Y457" s="242"/>
      <c r="Z457" s="242"/>
      <c r="AA457" s="242"/>
      <c r="AB457" s="242"/>
      <c r="AC457" s="242"/>
    </row>
    <row r="458">
      <c r="A458" s="242"/>
      <c r="B458" s="242"/>
      <c r="C458" s="242"/>
      <c r="D458" s="242"/>
      <c r="E458" s="242"/>
      <c r="F458" s="242"/>
      <c r="G458" s="242"/>
      <c r="H458" s="242"/>
      <c r="I458" s="242"/>
      <c r="J458" s="13"/>
      <c r="K458" s="15"/>
      <c r="L458" s="341"/>
      <c r="M458" s="13"/>
      <c r="N458" s="13"/>
      <c r="O458" s="13"/>
      <c r="P458" s="13"/>
      <c r="Q458" s="242"/>
      <c r="R458" s="13"/>
      <c r="S458" s="242"/>
      <c r="T458" s="13"/>
      <c r="U458" s="242"/>
      <c r="V458" s="242"/>
      <c r="W458" s="242"/>
      <c r="X458" s="242"/>
      <c r="Y458" s="242"/>
      <c r="Z458" s="242"/>
      <c r="AA458" s="242"/>
      <c r="AB458" s="242"/>
      <c r="AC458" s="242"/>
    </row>
    <row r="459">
      <c r="A459" s="242"/>
      <c r="B459" s="242"/>
      <c r="C459" s="242"/>
      <c r="D459" s="242"/>
      <c r="E459" s="242"/>
      <c r="F459" s="242"/>
      <c r="G459" s="242"/>
      <c r="H459" s="242"/>
      <c r="I459" s="242"/>
      <c r="J459" s="13"/>
      <c r="K459" s="15"/>
      <c r="L459" s="341"/>
      <c r="M459" s="13"/>
      <c r="N459" s="13"/>
      <c r="O459" s="13"/>
      <c r="P459" s="13"/>
      <c r="Q459" s="242"/>
      <c r="R459" s="13"/>
      <c r="S459" s="242"/>
      <c r="T459" s="13"/>
      <c r="U459" s="242"/>
      <c r="V459" s="242"/>
      <c r="W459" s="242"/>
      <c r="X459" s="242"/>
      <c r="Y459" s="242"/>
      <c r="Z459" s="242"/>
      <c r="AA459" s="242"/>
      <c r="AB459" s="242"/>
      <c r="AC459" s="242"/>
    </row>
    <row r="460">
      <c r="A460" s="242"/>
      <c r="B460" s="242"/>
      <c r="C460" s="242"/>
      <c r="D460" s="242"/>
      <c r="E460" s="242"/>
      <c r="F460" s="242"/>
      <c r="G460" s="242"/>
      <c r="H460" s="242"/>
      <c r="I460" s="242"/>
      <c r="J460" s="13"/>
      <c r="K460" s="15"/>
      <c r="L460" s="341"/>
      <c r="M460" s="13"/>
      <c r="N460" s="13"/>
      <c r="O460" s="13"/>
      <c r="P460" s="13"/>
      <c r="Q460" s="242"/>
      <c r="R460" s="13"/>
      <c r="S460" s="242"/>
      <c r="T460" s="13"/>
      <c r="U460" s="242"/>
      <c r="V460" s="242"/>
      <c r="W460" s="242"/>
      <c r="X460" s="242"/>
      <c r="Y460" s="242"/>
      <c r="Z460" s="242"/>
      <c r="AA460" s="242"/>
      <c r="AB460" s="242"/>
      <c r="AC460" s="242"/>
    </row>
    <row r="461">
      <c r="A461" s="242"/>
      <c r="B461" s="242"/>
      <c r="C461" s="242"/>
      <c r="D461" s="242"/>
      <c r="E461" s="242"/>
      <c r="F461" s="242"/>
      <c r="G461" s="242"/>
      <c r="H461" s="242"/>
      <c r="I461" s="242"/>
      <c r="J461" s="13"/>
      <c r="K461" s="15"/>
      <c r="L461" s="341"/>
      <c r="M461" s="13"/>
      <c r="N461" s="13"/>
      <c r="O461" s="13"/>
      <c r="P461" s="13"/>
      <c r="Q461" s="242"/>
      <c r="R461" s="13"/>
      <c r="S461" s="242"/>
      <c r="T461" s="13"/>
      <c r="U461" s="242"/>
      <c r="V461" s="242"/>
      <c r="W461" s="242"/>
      <c r="X461" s="242"/>
      <c r="Y461" s="242"/>
      <c r="Z461" s="242"/>
      <c r="AA461" s="242"/>
      <c r="AB461" s="242"/>
      <c r="AC461" s="242"/>
    </row>
    <row r="462">
      <c r="A462" s="242"/>
      <c r="B462" s="242"/>
      <c r="C462" s="242"/>
      <c r="D462" s="242"/>
      <c r="E462" s="242"/>
      <c r="F462" s="242"/>
      <c r="G462" s="242"/>
      <c r="H462" s="242"/>
      <c r="I462" s="242"/>
      <c r="J462" s="13"/>
      <c r="K462" s="15"/>
      <c r="L462" s="341"/>
      <c r="M462" s="13"/>
      <c r="N462" s="13"/>
      <c r="O462" s="13"/>
      <c r="P462" s="13"/>
      <c r="Q462" s="242"/>
      <c r="R462" s="13"/>
      <c r="S462" s="242"/>
      <c r="T462" s="13"/>
      <c r="U462" s="242"/>
      <c r="V462" s="242"/>
      <c r="W462" s="242"/>
      <c r="X462" s="242"/>
      <c r="Y462" s="242"/>
      <c r="Z462" s="242"/>
      <c r="AA462" s="242"/>
      <c r="AB462" s="242"/>
      <c r="AC462" s="242"/>
    </row>
    <row r="463">
      <c r="A463" s="242"/>
      <c r="B463" s="242"/>
      <c r="C463" s="242"/>
      <c r="D463" s="242"/>
      <c r="E463" s="242"/>
      <c r="F463" s="242"/>
      <c r="G463" s="242"/>
      <c r="H463" s="242"/>
      <c r="I463" s="242"/>
      <c r="J463" s="13"/>
      <c r="K463" s="15"/>
      <c r="L463" s="341"/>
      <c r="M463" s="13"/>
      <c r="N463" s="13"/>
      <c r="O463" s="13"/>
      <c r="P463" s="13"/>
      <c r="Q463" s="242"/>
      <c r="R463" s="13"/>
      <c r="S463" s="242"/>
      <c r="T463" s="13"/>
      <c r="U463" s="242"/>
      <c r="V463" s="242"/>
      <c r="W463" s="242"/>
      <c r="X463" s="242"/>
      <c r="Y463" s="242"/>
      <c r="Z463" s="242"/>
      <c r="AA463" s="242"/>
      <c r="AB463" s="242"/>
      <c r="AC463" s="242"/>
    </row>
    <row r="464">
      <c r="A464" s="242"/>
      <c r="B464" s="242"/>
      <c r="C464" s="242"/>
      <c r="D464" s="242"/>
      <c r="E464" s="242"/>
      <c r="F464" s="242"/>
      <c r="G464" s="242"/>
      <c r="H464" s="242"/>
      <c r="I464" s="242"/>
      <c r="J464" s="13"/>
      <c r="K464" s="15"/>
      <c r="L464" s="341"/>
      <c r="M464" s="13"/>
      <c r="N464" s="13"/>
      <c r="O464" s="13"/>
      <c r="P464" s="13"/>
      <c r="Q464" s="242"/>
      <c r="R464" s="13"/>
      <c r="S464" s="242"/>
      <c r="T464" s="13"/>
      <c r="U464" s="242"/>
      <c r="V464" s="242"/>
      <c r="W464" s="242"/>
      <c r="X464" s="242"/>
      <c r="Y464" s="242"/>
      <c r="Z464" s="242"/>
      <c r="AA464" s="242"/>
      <c r="AB464" s="242"/>
      <c r="AC464" s="242"/>
    </row>
    <row r="465">
      <c r="A465" s="242"/>
      <c r="B465" s="242"/>
      <c r="C465" s="242"/>
      <c r="D465" s="242"/>
      <c r="E465" s="242"/>
      <c r="F465" s="242"/>
      <c r="G465" s="242"/>
      <c r="H465" s="242"/>
      <c r="I465" s="242"/>
      <c r="J465" s="13"/>
      <c r="K465" s="15"/>
      <c r="L465" s="341"/>
      <c r="M465" s="13"/>
      <c r="N465" s="13"/>
      <c r="O465" s="13"/>
      <c r="P465" s="13"/>
      <c r="Q465" s="242"/>
      <c r="R465" s="13"/>
      <c r="S465" s="242"/>
      <c r="T465" s="13"/>
      <c r="U465" s="242"/>
      <c r="V465" s="242"/>
      <c r="W465" s="242"/>
      <c r="X465" s="242"/>
      <c r="Y465" s="242"/>
      <c r="Z465" s="242"/>
      <c r="AA465" s="242"/>
      <c r="AB465" s="242"/>
      <c r="AC465" s="242"/>
    </row>
    <row r="466">
      <c r="A466" s="242"/>
      <c r="B466" s="242"/>
      <c r="C466" s="242"/>
      <c r="D466" s="242"/>
      <c r="E466" s="242"/>
      <c r="F466" s="242"/>
      <c r="G466" s="242"/>
      <c r="H466" s="242"/>
      <c r="I466" s="242"/>
      <c r="J466" s="13"/>
      <c r="K466" s="15"/>
      <c r="L466" s="341"/>
      <c r="M466" s="13"/>
      <c r="N466" s="13"/>
      <c r="O466" s="13"/>
      <c r="P466" s="13"/>
      <c r="Q466" s="242"/>
      <c r="R466" s="13"/>
      <c r="S466" s="242"/>
      <c r="T466" s="13"/>
      <c r="U466" s="242"/>
      <c r="V466" s="242"/>
      <c r="W466" s="242"/>
      <c r="X466" s="242"/>
      <c r="Y466" s="242"/>
      <c r="Z466" s="242"/>
      <c r="AA466" s="242"/>
      <c r="AB466" s="242"/>
      <c r="AC466" s="242"/>
    </row>
    <row r="467">
      <c r="A467" s="242"/>
      <c r="B467" s="242"/>
      <c r="C467" s="242"/>
      <c r="D467" s="242"/>
      <c r="E467" s="242"/>
      <c r="F467" s="242"/>
      <c r="G467" s="242"/>
      <c r="H467" s="242"/>
      <c r="I467" s="242"/>
      <c r="J467" s="13"/>
      <c r="K467" s="15"/>
      <c r="L467" s="341"/>
      <c r="M467" s="13"/>
      <c r="N467" s="13"/>
      <c r="O467" s="13"/>
      <c r="P467" s="13"/>
      <c r="Q467" s="242"/>
      <c r="R467" s="13"/>
      <c r="S467" s="242"/>
      <c r="T467" s="13"/>
      <c r="U467" s="242"/>
      <c r="V467" s="242"/>
      <c r="W467" s="242"/>
      <c r="X467" s="242"/>
      <c r="Y467" s="242"/>
      <c r="Z467" s="242"/>
      <c r="AA467" s="242"/>
      <c r="AB467" s="242"/>
      <c r="AC467" s="242"/>
    </row>
    <row r="468">
      <c r="A468" s="242"/>
      <c r="B468" s="242"/>
      <c r="C468" s="242"/>
      <c r="D468" s="242"/>
      <c r="E468" s="242"/>
      <c r="F468" s="242"/>
      <c r="G468" s="242"/>
      <c r="H468" s="242"/>
      <c r="I468" s="242"/>
      <c r="J468" s="13"/>
      <c r="K468" s="15"/>
      <c r="L468" s="341"/>
      <c r="M468" s="13"/>
      <c r="N468" s="13"/>
      <c r="O468" s="13"/>
      <c r="P468" s="13"/>
      <c r="Q468" s="242"/>
      <c r="R468" s="13"/>
      <c r="S468" s="242"/>
      <c r="T468" s="13"/>
      <c r="U468" s="242"/>
      <c r="V468" s="242"/>
      <c r="W468" s="242"/>
      <c r="X468" s="242"/>
      <c r="Y468" s="242"/>
      <c r="Z468" s="242"/>
      <c r="AA468" s="242"/>
      <c r="AB468" s="242"/>
      <c r="AC468" s="242"/>
    </row>
    <row r="469">
      <c r="A469" s="242"/>
      <c r="B469" s="242"/>
      <c r="C469" s="242"/>
      <c r="D469" s="242"/>
      <c r="E469" s="242"/>
      <c r="F469" s="242"/>
      <c r="G469" s="242"/>
      <c r="H469" s="242"/>
      <c r="I469" s="242"/>
      <c r="J469" s="13"/>
      <c r="K469" s="15"/>
      <c r="L469" s="341"/>
      <c r="M469" s="13"/>
      <c r="N469" s="13"/>
      <c r="O469" s="13"/>
      <c r="P469" s="13"/>
      <c r="Q469" s="242"/>
      <c r="R469" s="13"/>
      <c r="S469" s="242"/>
      <c r="T469" s="13"/>
      <c r="U469" s="242"/>
      <c r="V469" s="242"/>
      <c r="W469" s="242"/>
      <c r="X469" s="242"/>
      <c r="Y469" s="242"/>
      <c r="Z469" s="242"/>
      <c r="AA469" s="242"/>
      <c r="AB469" s="242"/>
      <c r="AC469" s="242"/>
    </row>
    <row r="470">
      <c r="A470" s="242"/>
      <c r="B470" s="242"/>
      <c r="C470" s="242"/>
      <c r="D470" s="242"/>
      <c r="E470" s="242"/>
      <c r="F470" s="242"/>
      <c r="G470" s="242"/>
      <c r="H470" s="242"/>
      <c r="I470" s="242"/>
      <c r="J470" s="13"/>
      <c r="K470" s="15"/>
      <c r="L470" s="341"/>
      <c r="M470" s="13"/>
      <c r="N470" s="13"/>
      <c r="O470" s="13"/>
      <c r="P470" s="13"/>
      <c r="Q470" s="242"/>
      <c r="R470" s="13"/>
      <c r="S470" s="242"/>
      <c r="T470" s="13"/>
      <c r="U470" s="242"/>
      <c r="V470" s="242"/>
      <c r="W470" s="242"/>
      <c r="X470" s="242"/>
      <c r="Y470" s="242"/>
      <c r="Z470" s="242"/>
      <c r="AA470" s="242"/>
      <c r="AB470" s="242"/>
      <c r="AC470" s="242"/>
    </row>
    <row r="471">
      <c r="A471" s="242"/>
      <c r="B471" s="242"/>
      <c r="C471" s="242"/>
      <c r="D471" s="242"/>
      <c r="E471" s="242"/>
      <c r="F471" s="242"/>
      <c r="G471" s="242"/>
      <c r="H471" s="242"/>
      <c r="I471" s="242"/>
      <c r="J471" s="13"/>
      <c r="K471" s="15"/>
      <c r="L471" s="341"/>
      <c r="M471" s="13"/>
      <c r="N471" s="13"/>
      <c r="O471" s="13"/>
      <c r="P471" s="13"/>
      <c r="Q471" s="242"/>
      <c r="R471" s="13"/>
      <c r="S471" s="242"/>
      <c r="T471" s="13"/>
      <c r="U471" s="242"/>
      <c r="V471" s="242"/>
      <c r="W471" s="242"/>
      <c r="X471" s="242"/>
      <c r="Y471" s="242"/>
      <c r="Z471" s="242"/>
      <c r="AA471" s="242"/>
      <c r="AB471" s="242"/>
      <c r="AC471" s="242"/>
    </row>
    <row r="472">
      <c r="A472" s="242"/>
      <c r="B472" s="242"/>
      <c r="C472" s="242"/>
      <c r="D472" s="242"/>
      <c r="E472" s="242"/>
      <c r="F472" s="242"/>
      <c r="G472" s="242"/>
      <c r="H472" s="242"/>
      <c r="I472" s="242"/>
      <c r="J472" s="13"/>
      <c r="K472" s="15"/>
      <c r="L472" s="341"/>
      <c r="M472" s="13"/>
      <c r="N472" s="13"/>
      <c r="O472" s="13"/>
      <c r="P472" s="13"/>
      <c r="Q472" s="242"/>
      <c r="R472" s="13"/>
      <c r="S472" s="242"/>
      <c r="T472" s="13"/>
      <c r="U472" s="242"/>
      <c r="V472" s="242"/>
      <c r="W472" s="242"/>
      <c r="X472" s="242"/>
      <c r="Y472" s="242"/>
      <c r="Z472" s="242"/>
      <c r="AA472" s="242"/>
      <c r="AB472" s="242"/>
      <c r="AC472" s="242"/>
    </row>
    <row r="473">
      <c r="A473" s="242"/>
      <c r="B473" s="242"/>
      <c r="C473" s="242"/>
      <c r="D473" s="242"/>
      <c r="E473" s="242"/>
      <c r="F473" s="242"/>
      <c r="G473" s="242"/>
      <c r="H473" s="242"/>
      <c r="I473" s="242"/>
      <c r="J473" s="13"/>
      <c r="K473" s="15"/>
      <c r="L473" s="341"/>
      <c r="M473" s="13"/>
      <c r="N473" s="13"/>
      <c r="O473" s="13"/>
      <c r="P473" s="13"/>
      <c r="Q473" s="242"/>
      <c r="R473" s="13"/>
      <c r="S473" s="242"/>
      <c r="T473" s="13"/>
      <c r="U473" s="242"/>
      <c r="V473" s="242"/>
      <c r="W473" s="242"/>
      <c r="X473" s="242"/>
      <c r="Y473" s="242"/>
      <c r="Z473" s="242"/>
      <c r="AA473" s="242"/>
      <c r="AB473" s="242"/>
      <c r="AC473" s="242"/>
    </row>
    <row r="474">
      <c r="A474" s="242"/>
      <c r="B474" s="242"/>
      <c r="C474" s="242"/>
      <c r="D474" s="242"/>
      <c r="E474" s="242"/>
      <c r="F474" s="242"/>
      <c r="G474" s="242"/>
      <c r="H474" s="242"/>
      <c r="I474" s="242"/>
      <c r="J474" s="13"/>
      <c r="K474" s="15"/>
      <c r="L474" s="341"/>
      <c r="M474" s="13"/>
      <c r="N474" s="13"/>
      <c r="O474" s="13"/>
      <c r="P474" s="13"/>
      <c r="Q474" s="242"/>
      <c r="R474" s="13"/>
      <c r="S474" s="242"/>
      <c r="T474" s="13"/>
      <c r="U474" s="242"/>
      <c r="V474" s="242"/>
      <c r="W474" s="242"/>
      <c r="X474" s="242"/>
      <c r="Y474" s="242"/>
      <c r="Z474" s="242"/>
      <c r="AA474" s="242"/>
      <c r="AB474" s="242"/>
      <c r="AC474" s="242"/>
    </row>
    <row r="475">
      <c r="A475" s="242"/>
      <c r="B475" s="242"/>
      <c r="C475" s="242"/>
      <c r="D475" s="242"/>
      <c r="E475" s="242"/>
      <c r="F475" s="242"/>
      <c r="G475" s="242"/>
      <c r="H475" s="242"/>
      <c r="I475" s="242"/>
      <c r="J475" s="13"/>
      <c r="K475" s="15"/>
      <c r="L475" s="341"/>
      <c r="M475" s="13"/>
      <c r="N475" s="13"/>
      <c r="O475" s="13"/>
      <c r="P475" s="13"/>
      <c r="Q475" s="242"/>
      <c r="R475" s="13"/>
      <c r="S475" s="242"/>
      <c r="T475" s="13"/>
      <c r="U475" s="242"/>
      <c r="V475" s="242"/>
      <c r="W475" s="242"/>
      <c r="X475" s="242"/>
      <c r="Y475" s="242"/>
      <c r="Z475" s="242"/>
      <c r="AA475" s="242"/>
      <c r="AB475" s="242"/>
      <c r="AC475" s="242"/>
    </row>
    <row r="476">
      <c r="A476" s="242"/>
      <c r="B476" s="242"/>
      <c r="C476" s="242"/>
      <c r="D476" s="242"/>
      <c r="E476" s="242"/>
      <c r="F476" s="242"/>
      <c r="G476" s="242"/>
      <c r="H476" s="242"/>
      <c r="I476" s="242"/>
      <c r="J476" s="13"/>
      <c r="K476" s="15"/>
      <c r="L476" s="341"/>
      <c r="M476" s="13"/>
      <c r="N476" s="13"/>
      <c r="O476" s="13"/>
      <c r="P476" s="13"/>
      <c r="Q476" s="242"/>
      <c r="R476" s="13"/>
      <c r="S476" s="242"/>
      <c r="T476" s="13"/>
      <c r="U476" s="242"/>
      <c r="V476" s="242"/>
      <c r="W476" s="242"/>
      <c r="X476" s="242"/>
      <c r="Y476" s="242"/>
      <c r="Z476" s="242"/>
      <c r="AA476" s="242"/>
      <c r="AB476" s="242"/>
      <c r="AC476" s="242"/>
    </row>
    <row r="477">
      <c r="A477" s="242"/>
      <c r="B477" s="242"/>
      <c r="C477" s="242"/>
      <c r="D477" s="242"/>
      <c r="E477" s="242"/>
      <c r="F477" s="242"/>
      <c r="G477" s="242"/>
      <c r="H477" s="242"/>
      <c r="I477" s="242"/>
      <c r="J477" s="13"/>
      <c r="K477" s="15"/>
      <c r="L477" s="341"/>
      <c r="M477" s="13"/>
      <c r="N477" s="13"/>
      <c r="O477" s="13"/>
      <c r="P477" s="13"/>
      <c r="Q477" s="242"/>
      <c r="R477" s="13"/>
      <c r="S477" s="242"/>
      <c r="T477" s="13"/>
      <c r="U477" s="242"/>
      <c r="V477" s="242"/>
      <c r="W477" s="242"/>
      <c r="X477" s="242"/>
      <c r="Y477" s="242"/>
      <c r="Z477" s="242"/>
      <c r="AA477" s="242"/>
      <c r="AB477" s="242"/>
      <c r="AC477" s="242"/>
    </row>
    <row r="478">
      <c r="A478" s="242"/>
      <c r="B478" s="242"/>
      <c r="C478" s="242"/>
      <c r="D478" s="242"/>
      <c r="E478" s="242"/>
      <c r="F478" s="242"/>
      <c r="G478" s="242"/>
      <c r="H478" s="242"/>
      <c r="I478" s="242"/>
      <c r="J478" s="13"/>
      <c r="K478" s="15"/>
      <c r="L478" s="341"/>
      <c r="M478" s="13"/>
      <c r="N478" s="13"/>
      <c r="O478" s="13"/>
      <c r="P478" s="13"/>
      <c r="Q478" s="242"/>
      <c r="R478" s="13"/>
      <c r="S478" s="242"/>
      <c r="T478" s="13"/>
      <c r="U478" s="242"/>
      <c r="V478" s="242"/>
      <c r="W478" s="242"/>
      <c r="X478" s="242"/>
      <c r="Y478" s="242"/>
      <c r="Z478" s="242"/>
      <c r="AA478" s="242"/>
      <c r="AB478" s="242"/>
      <c r="AC478" s="242"/>
    </row>
    <row r="479">
      <c r="A479" s="242"/>
      <c r="B479" s="242"/>
      <c r="C479" s="242"/>
      <c r="D479" s="242"/>
      <c r="E479" s="242"/>
      <c r="F479" s="242"/>
      <c r="G479" s="242"/>
      <c r="H479" s="242"/>
      <c r="I479" s="242"/>
      <c r="J479" s="13"/>
      <c r="K479" s="15"/>
      <c r="L479" s="341"/>
      <c r="M479" s="13"/>
      <c r="N479" s="13"/>
      <c r="O479" s="13"/>
      <c r="P479" s="13"/>
      <c r="Q479" s="242"/>
      <c r="R479" s="13"/>
      <c r="S479" s="242"/>
      <c r="T479" s="13"/>
      <c r="U479" s="242"/>
      <c r="V479" s="242"/>
      <c r="W479" s="242"/>
      <c r="X479" s="242"/>
      <c r="Y479" s="242"/>
      <c r="Z479" s="242"/>
      <c r="AA479" s="242"/>
      <c r="AB479" s="242"/>
      <c r="AC479" s="242"/>
    </row>
    <row r="480">
      <c r="A480" s="242"/>
      <c r="B480" s="242"/>
      <c r="C480" s="242"/>
      <c r="D480" s="242"/>
      <c r="E480" s="242"/>
      <c r="F480" s="242"/>
      <c r="G480" s="242"/>
      <c r="H480" s="242"/>
      <c r="I480" s="242"/>
      <c r="J480" s="13"/>
      <c r="K480" s="15"/>
      <c r="L480" s="341"/>
      <c r="M480" s="13"/>
      <c r="N480" s="13"/>
      <c r="O480" s="13"/>
      <c r="P480" s="13"/>
      <c r="Q480" s="242"/>
      <c r="R480" s="13"/>
      <c r="S480" s="242"/>
      <c r="T480" s="13"/>
      <c r="U480" s="242"/>
      <c r="V480" s="242"/>
      <c r="W480" s="242"/>
      <c r="X480" s="242"/>
      <c r="Y480" s="242"/>
      <c r="Z480" s="242"/>
      <c r="AA480" s="242"/>
      <c r="AB480" s="242"/>
      <c r="AC480" s="242"/>
    </row>
    <row r="481">
      <c r="A481" s="242"/>
      <c r="B481" s="242"/>
      <c r="C481" s="242"/>
      <c r="D481" s="242"/>
      <c r="E481" s="242"/>
      <c r="F481" s="242"/>
      <c r="G481" s="242"/>
      <c r="H481" s="242"/>
      <c r="I481" s="242"/>
      <c r="J481" s="13"/>
      <c r="K481" s="15"/>
      <c r="L481" s="341"/>
      <c r="M481" s="13"/>
      <c r="N481" s="13"/>
      <c r="O481" s="13"/>
      <c r="P481" s="13"/>
      <c r="Q481" s="242"/>
      <c r="R481" s="13"/>
      <c r="S481" s="242"/>
      <c r="T481" s="13"/>
      <c r="U481" s="242"/>
      <c r="V481" s="242"/>
      <c r="W481" s="242"/>
      <c r="X481" s="242"/>
      <c r="Y481" s="242"/>
      <c r="Z481" s="242"/>
      <c r="AA481" s="242"/>
      <c r="AB481" s="242"/>
      <c r="AC481" s="242"/>
    </row>
    <row r="482">
      <c r="A482" s="242"/>
      <c r="B482" s="242"/>
      <c r="C482" s="242"/>
      <c r="D482" s="242"/>
      <c r="E482" s="242"/>
      <c r="F482" s="242"/>
      <c r="G482" s="242"/>
      <c r="H482" s="242"/>
      <c r="I482" s="242"/>
      <c r="J482" s="13"/>
      <c r="K482" s="15"/>
      <c r="L482" s="341"/>
      <c r="M482" s="13"/>
      <c r="N482" s="13"/>
      <c r="O482" s="13"/>
      <c r="P482" s="13"/>
      <c r="Q482" s="242"/>
      <c r="R482" s="13"/>
      <c r="S482" s="242"/>
      <c r="T482" s="13"/>
      <c r="U482" s="242"/>
      <c r="V482" s="242"/>
      <c r="W482" s="242"/>
      <c r="X482" s="242"/>
      <c r="Y482" s="242"/>
      <c r="Z482" s="242"/>
      <c r="AA482" s="242"/>
      <c r="AB482" s="242"/>
      <c r="AC482" s="242"/>
    </row>
    <row r="483">
      <c r="A483" s="242"/>
      <c r="B483" s="242"/>
      <c r="C483" s="242"/>
      <c r="D483" s="242"/>
      <c r="E483" s="242"/>
      <c r="F483" s="242"/>
      <c r="G483" s="242"/>
      <c r="H483" s="242"/>
      <c r="I483" s="242"/>
      <c r="J483" s="13"/>
      <c r="K483" s="15"/>
      <c r="L483" s="341"/>
      <c r="M483" s="13"/>
      <c r="N483" s="13"/>
      <c r="O483" s="13"/>
      <c r="P483" s="13"/>
      <c r="Q483" s="242"/>
      <c r="R483" s="13"/>
      <c r="S483" s="242"/>
      <c r="T483" s="13"/>
      <c r="U483" s="242"/>
      <c r="V483" s="242"/>
      <c r="W483" s="242"/>
      <c r="X483" s="242"/>
      <c r="Y483" s="242"/>
      <c r="Z483" s="242"/>
      <c r="AA483" s="242"/>
      <c r="AB483" s="242"/>
      <c r="AC483" s="242"/>
    </row>
    <row r="484">
      <c r="A484" s="242"/>
      <c r="B484" s="242"/>
      <c r="C484" s="242"/>
      <c r="D484" s="242"/>
      <c r="E484" s="242"/>
      <c r="F484" s="242"/>
      <c r="G484" s="242"/>
      <c r="H484" s="242"/>
      <c r="I484" s="242"/>
      <c r="J484" s="13"/>
      <c r="K484" s="15"/>
      <c r="L484" s="341"/>
      <c r="M484" s="13"/>
      <c r="N484" s="13"/>
      <c r="O484" s="13"/>
      <c r="P484" s="13"/>
      <c r="Q484" s="242"/>
      <c r="R484" s="13"/>
      <c r="S484" s="242"/>
      <c r="T484" s="13"/>
      <c r="U484" s="242"/>
      <c r="V484" s="242"/>
      <c r="W484" s="242"/>
      <c r="X484" s="242"/>
      <c r="Y484" s="242"/>
      <c r="Z484" s="242"/>
      <c r="AA484" s="242"/>
      <c r="AB484" s="242"/>
      <c r="AC484" s="242"/>
    </row>
    <row r="485">
      <c r="A485" s="242"/>
      <c r="B485" s="242"/>
      <c r="C485" s="242"/>
      <c r="D485" s="242"/>
      <c r="E485" s="242"/>
      <c r="F485" s="242"/>
      <c r="G485" s="242"/>
      <c r="H485" s="242"/>
      <c r="I485" s="242"/>
      <c r="J485" s="13"/>
      <c r="K485" s="15"/>
      <c r="L485" s="341"/>
      <c r="M485" s="13"/>
      <c r="N485" s="13"/>
      <c r="O485" s="13"/>
      <c r="P485" s="13"/>
      <c r="Q485" s="242"/>
      <c r="R485" s="13"/>
      <c r="S485" s="242"/>
      <c r="T485" s="13"/>
      <c r="U485" s="242"/>
      <c r="V485" s="242"/>
      <c r="W485" s="242"/>
      <c r="X485" s="242"/>
      <c r="Y485" s="242"/>
      <c r="Z485" s="242"/>
      <c r="AA485" s="242"/>
      <c r="AB485" s="242"/>
      <c r="AC485" s="242"/>
    </row>
    <row r="486">
      <c r="A486" s="242"/>
      <c r="B486" s="242"/>
      <c r="C486" s="242"/>
      <c r="D486" s="242"/>
      <c r="E486" s="242"/>
      <c r="F486" s="242"/>
      <c r="G486" s="242"/>
      <c r="H486" s="242"/>
      <c r="I486" s="242"/>
      <c r="J486" s="13"/>
      <c r="K486" s="15"/>
      <c r="L486" s="341"/>
      <c r="M486" s="13"/>
      <c r="N486" s="13"/>
      <c r="O486" s="13"/>
      <c r="P486" s="13"/>
      <c r="Q486" s="242"/>
      <c r="R486" s="13"/>
      <c r="S486" s="242"/>
      <c r="T486" s="13"/>
      <c r="U486" s="242"/>
      <c r="V486" s="242"/>
      <c r="W486" s="242"/>
      <c r="X486" s="242"/>
      <c r="Y486" s="242"/>
      <c r="Z486" s="242"/>
      <c r="AA486" s="242"/>
      <c r="AB486" s="242"/>
      <c r="AC486" s="242"/>
    </row>
    <row r="487">
      <c r="A487" s="242"/>
      <c r="B487" s="242"/>
      <c r="C487" s="242"/>
      <c r="D487" s="242"/>
      <c r="E487" s="242"/>
      <c r="F487" s="242"/>
      <c r="G487" s="242"/>
      <c r="H487" s="242"/>
      <c r="I487" s="242"/>
      <c r="J487" s="13"/>
      <c r="K487" s="15"/>
      <c r="L487" s="341"/>
      <c r="M487" s="13"/>
      <c r="N487" s="13"/>
      <c r="O487" s="13"/>
      <c r="P487" s="13"/>
      <c r="Q487" s="242"/>
      <c r="R487" s="13"/>
      <c r="S487" s="242"/>
      <c r="T487" s="13"/>
      <c r="U487" s="242"/>
      <c r="V487" s="242"/>
      <c r="W487" s="242"/>
      <c r="X487" s="242"/>
      <c r="Y487" s="242"/>
      <c r="Z487" s="242"/>
      <c r="AA487" s="242"/>
      <c r="AB487" s="242"/>
      <c r="AC487" s="242"/>
    </row>
    <row r="488">
      <c r="A488" s="242"/>
      <c r="B488" s="242"/>
      <c r="C488" s="242"/>
      <c r="D488" s="242"/>
      <c r="E488" s="242"/>
      <c r="F488" s="242"/>
      <c r="G488" s="242"/>
      <c r="H488" s="242"/>
      <c r="I488" s="242"/>
      <c r="J488" s="13"/>
      <c r="K488" s="15"/>
      <c r="L488" s="341"/>
      <c r="M488" s="13"/>
      <c r="N488" s="13"/>
      <c r="O488" s="13"/>
      <c r="P488" s="13"/>
      <c r="Q488" s="242"/>
      <c r="R488" s="13"/>
      <c r="S488" s="242"/>
      <c r="T488" s="13"/>
      <c r="U488" s="242"/>
      <c r="V488" s="242"/>
      <c r="W488" s="242"/>
      <c r="X488" s="242"/>
      <c r="Y488" s="242"/>
      <c r="Z488" s="242"/>
      <c r="AA488" s="242"/>
      <c r="AB488" s="242"/>
      <c r="AC488" s="242"/>
    </row>
    <row r="489">
      <c r="A489" s="242"/>
      <c r="B489" s="242"/>
      <c r="C489" s="242"/>
      <c r="D489" s="242"/>
      <c r="E489" s="242"/>
      <c r="F489" s="242"/>
      <c r="G489" s="242"/>
      <c r="H489" s="242"/>
      <c r="I489" s="242"/>
      <c r="J489" s="13"/>
      <c r="K489" s="15"/>
      <c r="L489" s="341"/>
      <c r="M489" s="13"/>
      <c r="N489" s="13"/>
      <c r="O489" s="13"/>
      <c r="P489" s="13"/>
      <c r="Q489" s="242"/>
      <c r="R489" s="13"/>
      <c r="S489" s="242"/>
      <c r="T489" s="13"/>
      <c r="U489" s="242"/>
      <c r="V489" s="242"/>
      <c r="W489" s="242"/>
      <c r="X489" s="242"/>
      <c r="Y489" s="242"/>
      <c r="Z489" s="242"/>
      <c r="AA489" s="242"/>
      <c r="AB489" s="242"/>
      <c r="AC489" s="242"/>
    </row>
    <row r="490">
      <c r="A490" s="242"/>
      <c r="B490" s="242"/>
      <c r="C490" s="242"/>
      <c r="D490" s="242"/>
      <c r="E490" s="242"/>
      <c r="F490" s="242"/>
      <c r="G490" s="242"/>
      <c r="H490" s="242"/>
      <c r="I490" s="242"/>
      <c r="J490" s="13"/>
      <c r="K490" s="15"/>
      <c r="L490" s="341"/>
      <c r="M490" s="13"/>
      <c r="N490" s="13"/>
      <c r="O490" s="13"/>
      <c r="P490" s="13"/>
      <c r="Q490" s="242"/>
      <c r="R490" s="13"/>
      <c r="S490" s="242"/>
      <c r="T490" s="13"/>
      <c r="U490" s="242"/>
      <c r="V490" s="242"/>
      <c r="W490" s="242"/>
      <c r="X490" s="242"/>
      <c r="Y490" s="242"/>
      <c r="Z490" s="242"/>
      <c r="AA490" s="242"/>
      <c r="AB490" s="242"/>
      <c r="AC490" s="242"/>
    </row>
    <row r="491">
      <c r="A491" s="242"/>
      <c r="B491" s="242"/>
      <c r="C491" s="242"/>
      <c r="D491" s="242"/>
      <c r="E491" s="242"/>
      <c r="F491" s="242"/>
      <c r="G491" s="242"/>
      <c r="H491" s="242"/>
      <c r="I491" s="242"/>
      <c r="J491" s="13"/>
      <c r="K491" s="15"/>
      <c r="L491" s="341"/>
      <c r="M491" s="13"/>
      <c r="N491" s="13"/>
      <c r="O491" s="13"/>
      <c r="P491" s="13"/>
      <c r="Q491" s="242"/>
      <c r="R491" s="13"/>
      <c r="S491" s="242"/>
      <c r="T491" s="13"/>
      <c r="U491" s="242"/>
      <c r="V491" s="242"/>
      <c r="W491" s="242"/>
      <c r="X491" s="242"/>
      <c r="Y491" s="242"/>
      <c r="Z491" s="242"/>
      <c r="AA491" s="242"/>
      <c r="AB491" s="242"/>
      <c r="AC491" s="242"/>
    </row>
    <row r="492">
      <c r="A492" s="242"/>
      <c r="B492" s="242"/>
      <c r="C492" s="242"/>
      <c r="D492" s="242"/>
      <c r="E492" s="242"/>
      <c r="F492" s="242"/>
      <c r="G492" s="242"/>
      <c r="H492" s="242"/>
      <c r="I492" s="242"/>
      <c r="J492" s="13"/>
      <c r="K492" s="15"/>
      <c r="L492" s="341"/>
      <c r="M492" s="13"/>
      <c r="N492" s="13"/>
      <c r="O492" s="13"/>
      <c r="P492" s="13"/>
      <c r="Q492" s="242"/>
      <c r="R492" s="13"/>
      <c r="S492" s="242"/>
      <c r="T492" s="13"/>
      <c r="U492" s="242"/>
      <c r="V492" s="242"/>
      <c r="W492" s="242"/>
      <c r="X492" s="242"/>
      <c r="Y492" s="242"/>
      <c r="Z492" s="242"/>
      <c r="AA492" s="242"/>
      <c r="AB492" s="242"/>
      <c r="AC492" s="242"/>
    </row>
    <row r="493">
      <c r="A493" s="242"/>
      <c r="B493" s="242"/>
      <c r="C493" s="242"/>
      <c r="D493" s="242"/>
      <c r="E493" s="242"/>
      <c r="F493" s="242"/>
      <c r="G493" s="242"/>
      <c r="H493" s="242"/>
      <c r="I493" s="242"/>
      <c r="J493" s="13"/>
      <c r="K493" s="15"/>
      <c r="L493" s="341"/>
      <c r="M493" s="13"/>
      <c r="N493" s="13"/>
      <c r="O493" s="13"/>
      <c r="P493" s="13"/>
      <c r="Q493" s="242"/>
      <c r="R493" s="13"/>
      <c r="S493" s="242"/>
      <c r="T493" s="13"/>
      <c r="U493" s="242"/>
      <c r="V493" s="242"/>
      <c r="W493" s="242"/>
      <c r="X493" s="242"/>
      <c r="Y493" s="242"/>
      <c r="Z493" s="242"/>
      <c r="AA493" s="242"/>
      <c r="AB493" s="242"/>
      <c r="AC493" s="242"/>
    </row>
    <row r="494">
      <c r="A494" s="242"/>
      <c r="B494" s="242"/>
      <c r="C494" s="242"/>
      <c r="D494" s="242"/>
      <c r="E494" s="242"/>
      <c r="F494" s="242"/>
      <c r="G494" s="242"/>
      <c r="H494" s="242"/>
      <c r="I494" s="242"/>
      <c r="J494" s="13"/>
      <c r="K494" s="15"/>
      <c r="L494" s="341"/>
      <c r="M494" s="13"/>
      <c r="N494" s="13"/>
      <c r="O494" s="13"/>
      <c r="P494" s="13"/>
      <c r="Q494" s="242"/>
      <c r="R494" s="13"/>
      <c r="S494" s="242"/>
      <c r="T494" s="13"/>
      <c r="U494" s="242"/>
      <c r="V494" s="242"/>
      <c r="W494" s="242"/>
      <c r="X494" s="242"/>
      <c r="Y494" s="242"/>
      <c r="Z494" s="242"/>
      <c r="AA494" s="242"/>
      <c r="AB494" s="242"/>
      <c r="AC494" s="242"/>
    </row>
    <row r="495">
      <c r="A495" s="242"/>
      <c r="B495" s="242"/>
      <c r="C495" s="242"/>
      <c r="D495" s="242"/>
      <c r="E495" s="242"/>
      <c r="F495" s="242"/>
      <c r="G495" s="242"/>
      <c r="H495" s="242"/>
      <c r="I495" s="242"/>
      <c r="J495" s="13"/>
      <c r="K495" s="15"/>
      <c r="L495" s="341"/>
      <c r="M495" s="13"/>
      <c r="N495" s="13"/>
      <c r="O495" s="13"/>
      <c r="P495" s="13"/>
      <c r="Q495" s="242"/>
      <c r="R495" s="13"/>
      <c r="S495" s="242"/>
      <c r="T495" s="13"/>
      <c r="U495" s="242"/>
      <c r="V495" s="242"/>
      <c r="W495" s="242"/>
      <c r="X495" s="242"/>
      <c r="Y495" s="242"/>
      <c r="Z495" s="242"/>
      <c r="AA495" s="242"/>
      <c r="AB495" s="242"/>
      <c r="AC495" s="242"/>
    </row>
    <row r="496">
      <c r="A496" s="242"/>
      <c r="B496" s="242"/>
      <c r="C496" s="242"/>
      <c r="D496" s="242"/>
      <c r="E496" s="242"/>
      <c r="F496" s="242"/>
      <c r="G496" s="242"/>
      <c r="H496" s="242"/>
      <c r="I496" s="242"/>
      <c r="J496" s="13"/>
      <c r="K496" s="15"/>
      <c r="L496" s="341"/>
      <c r="M496" s="13"/>
      <c r="N496" s="13"/>
      <c r="O496" s="13"/>
      <c r="P496" s="13"/>
      <c r="Q496" s="242"/>
      <c r="R496" s="13"/>
      <c r="S496" s="242"/>
      <c r="T496" s="13"/>
      <c r="U496" s="242"/>
      <c r="V496" s="242"/>
      <c r="W496" s="242"/>
      <c r="X496" s="242"/>
      <c r="Y496" s="242"/>
      <c r="Z496" s="242"/>
      <c r="AA496" s="242"/>
      <c r="AB496" s="242"/>
      <c r="AC496" s="242"/>
    </row>
    <row r="497">
      <c r="A497" s="242"/>
      <c r="B497" s="242"/>
      <c r="C497" s="242"/>
      <c r="D497" s="242"/>
      <c r="E497" s="242"/>
      <c r="F497" s="242"/>
      <c r="G497" s="242"/>
      <c r="H497" s="242"/>
      <c r="I497" s="242"/>
      <c r="J497" s="13"/>
      <c r="K497" s="15"/>
      <c r="L497" s="341"/>
      <c r="M497" s="13"/>
      <c r="N497" s="13"/>
      <c r="O497" s="13"/>
      <c r="P497" s="13"/>
      <c r="Q497" s="242"/>
      <c r="R497" s="13"/>
      <c r="S497" s="242"/>
      <c r="T497" s="13"/>
      <c r="U497" s="242"/>
      <c r="V497" s="242"/>
      <c r="W497" s="242"/>
      <c r="X497" s="242"/>
      <c r="Y497" s="242"/>
      <c r="Z497" s="242"/>
      <c r="AA497" s="242"/>
      <c r="AB497" s="242"/>
      <c r="AC497" s="242"/>
    </row>
    <row r="498">
      <c r="A498" s="242"/>
      <c r="B498" s="242"/>
      <c r="C498" s="242"/>
      <c r="D498" s="242"/>
      <c r="E498" s="242"/>
      <c r="F498" s="242"/>
      <c r="G498" s="242"/>
      <c r="H498" s="242"/>
      <c r="I498" s="242"/>
      <c r="J498" s="13"/>
      <c r="K498" s="15"/>
      <c r="L498" s="341"/>
      <c r="M498" s="13"/>
      <c r="N498" s="13"/>
      <c r="O498" s="13"/>
      <c r="P498" s="13"/>
      <c r="Q498" s="242"/>
      <c r="R498" s="13"/>
      <c r="S498" s="242"/>
      <c r="T498" s="13"/>
      <c r="U498" s="242"/>
      <c r="V498" s="242"/>
      <c r="W498" s="242"/>
      <c r="X498" s="242"/>
      <c r="Y498" s="242"/>
      <c r="Z498" s="242"/>
      <c r="AA498" s="242"/>
      <c r="AB498" s="242"/>
      <c r="AC498" s="242"/>
    </row>
    <row r="499">
      <c r="A499" s="242"/>
      <c r="B499" s="242"/>
      <c r="C499" s="242"/>
      <c r="D499" s="242"/>
      <c r="E499" s="242"/>
      <c r="F499" s="242"/>
      <c r="G499" s="242"/>
      <c r="H499" s="242"/>
      <c r="I499" s="242"/>
      <c r="J499" s="13"/>
      <c r="K499" s="15"/>
      <c r="L499" s="341"/>
      <c r="M499" s="13"/>
      <c r="N499" s="13"/>
      <c r="O499" s="13"/>
      <c r="P499" s="13"/>
      <c r="Q499" s="242"/>
      <c r="R499" s="13"/>
      <c r="S499" s="242"/>
      <c r="T499" s="13"/>
      <c r="U499" s="242"/>
      <c r="V499" s="242"/>
      <c r="W499" s="242"/>
      <c r="X499" s="242"/>
      <c r="Y499" s="242"/>
      <c r="Z499" s="242"/>
      <c r="AA499" s="242"/>
      <c r="AB499" s="242"/>
      <c r="AC499" s="242"/>
    </row>
    <row r="500">
      <c r="A500" s="242"/>
      <c r="B500" s="242"/>
      <c r="C500" s="242"/>
      <c r="D500" s="242"/>
      <c r="E500" s="242"/>
      <c r="F500" s="242"/>
      <c r="G500" s="242"/>
      <c r="H500" s="242"/>
      <c r="I500" s="242"/>
      <c r="J500" s="13"/>
      <c r="K500" s="15"/>
      <c r="L500" s="341"/>
      <c r="M500" s="13"/>
      <c r="N500" s="13"/>
      <c r="O500" s="13"/>
      <c r="P500" s="13"/>
      <c r="Q500" s="242"/>
      <c r="R500" s="13"/>
      <c r="S500" s="242"/>
      <c r="T500" s="13"/>
      <c r="U500" s="242"/>
      <c r="V500" s="242"/>
      <c r="W500" s="242"/>
      <c r="X500" s="242"/>
      <c r="Y500" s="242"/>
      <c r="Z500" s="242"/>
      <c r="AA500" s="242"/>
      <c r="AB500" s="242"/>
      <c r="AC500" s="242"/>
    </row>
    <row r="501">
      <c r="A501" s="242"/>
      <c r="B501" s="242"/>
      <c r="C501" s="242"/>
      <c r="D501" s="242"/>
      <c r="E501" s="242"/>
      <c r="F501" s="242"/>
      <c r="G501" s="242"/>
      <c r="H501" s="242"/>
      <c r="I501" s="242"/>
      <c r="J501" s="13"/>
      <c r="K501" s="15"/>
      <c r="L501" s="341"/>
      <c r="M501" s="13"/>
      <c r="N501" s="13"/>
      <c r="O501" s="13"/>
      <c r="P501" s="13"/>
      <c r="Q501" s="242"/>
      <c r="R501" s="13"/>
      <c r="S501" s="242"/>
      <c r="T501" s="13"/>
      <c r="U501" s="242"/>
      <c r="V501" s="242"/>
      <c r="W501" s="242"/>
      <c r="X501" s="242"/>
      <c r="Y501" s="242"/>
      <c r="Z501" s="242"/>
      <c r="AA501" s="242"/>
      <c r="AB501" s="242"/>
      <c r="AC501" s="242"/>
    </row>
    <row r="502">
      <c r="A502" s="242"/>
      <c r="B502" s="242"/>
      <c r="C502" s="242"/>
      <c r="D502" s="242"/>
      <c r="E502" s="242"/>
      <c r="F502" s="242"/>
      <c r="G502" s="242"/>
      <c r="H502" s="242"/>
      <c r="I502" s="242"/>
      <c r="J502" s="13"/>
      <c r="K502" s="15"/>
      <c r="L502" s="341"/>
      <c r="M502" s="13"/>
      <c r="N502" s="13"/>
      <c r="O502" s="13"/>
      <c r="P502" s="13"/>
      <c r="Q502" s="242"/>
      <c r="R502" s="13"/>
      <c r="S502" s="242"/>
      <c r="T502" s="13"/>
      <c r="U502" s="242"/>
      <c r="V502" s="242"/>
      <c r="W502" s="242"/>
      <c r="X502" s="242"/>
      <c r="Y502" s="242"/>
      <c r="Z502" s="242"/>
      <c r="AA502" s="242"/>
      <c r="AB502" s="242"/>
      <c r="AC502" s="242"/>
    </row>
    <row r="503">
      <c r="A503" s="242"/>
      <c r="B503" s="242"/>
      <c r="C503" s="242"/>
      <c r="D503" s="242"/>
      <c r="E503" s="242"/>
      <c r="F503" s="242"/>
      <c r="G503" s="242"/>
      <c r="H503" s="242"/>
      <c r="I503" s="242"/>
      <c r="J503" s="13"/>
      <c r="K503" s="15"/>
      <c r="L503" s="341"/>
      <c r="M503" s="13"/>
      <c r="N503" s="13"/>
      <c r="O503" s="13"/>
      <c r="P503" s="13"/>
      <c r="Q503" s="242"/>
      <c r="R503" s="13"/>
      <c r="S503" s="242"/>
      <c r="T503" s="13"/>
      <c r="U503" s="242"/>
      <c r="V503" s="242"/>
      <c r="W503" s="242"/>
      <c r="X503" s="242"/>
      <c r="Y503" s="242"/>
      <c r="Z503" s="242"/>
      <c r="AA503" s="242"/>
      <c r="AB503" s="242"/>
      <c r="AC503" s="242"/>
    </row>
    <row r="504">
      <c r="A504" s="242"/>
      <c r="B504" s="242"/>
      <c r="C504" s="242"/>
      <c r="D504" s="242"/>
      <c r="E504" s="242"/>
      <c r="F504" s="242"/>
      <c r="G504" s="242"/>
      <c r="H504" s="242"/>
      <c r="I504" s="242"/>
      <c r="J504" s="13"/>
      <c r="K504" s="15"/>
      <c r="L504" s="341"/>
      <c r="M504" s="13"/>
      <c r="N504" s="13"/>
      <c r="O504" s="13"/>
      <c r="P504" s="13"/>
      <c r="Q504" s="242"/>
      <c r="R504" s="13"/>
      <c r="S504" s="242"/>
      <c r="T504" s="13"/>
      <c r="U504" s="242"/>
      <c r="V504" s="242"/>
      <c r="W504" s="242"/>
      <c r="X504" s="242"/>
      <c r="Y504" s="242"/>
      <c r="Z504" s="242"/>
      <c r="AA504" s="242"/>
      <c r="AB504" s="242"/>
      <c r="AC504" s="242"/>
    </row>
    <row r="505">
      <c r="A505" s="242"/>
      <c r="B505" s="242"/>
      <c r="C505" s="242"/>
      <c r="D505" s="242"/>
      <c r="E505" s="242"/>
      <c r="F505" s="242"/>
      <c r="G505" s="242"/>
      <c r="H505" s="242"/>
      <c r="I505" s="242"/>
      <c r="J505" s="13"/>
      <c r="K505" s="15"/>
      <c r="L505" s="341"/>
      <c r="M505" s="13"/>
      <c r="N505" s="13"/>
      <c r="O505" s="13"/>
      <c r="P505" s="13"/>
      <c r="Q505" s="242"/>
      <c r="R505" s="13"/>
      <c r="S505" s="242"/>
      <c r="T505" s="13"/>
      <c r="U505" s="242"/>
      <c r="V505" s="242"/>
      <c r="W505" s="242"/>
      <c r="X505" s="242"/>
      <c r="Y505" s="242"/>
      <c r="Z505" s="242"/>
      <c r="AA505" s="242"/>
      <c r="AB505" s="242"/>
      <c r="AC505" s="242"/>
    </row>
    <row r="506">
      <c r="A506" s="242"/>
      <c r="B506" s="242"/>
      <c r="C506" s="242"/>
      <c r="D506" s="242"/>
      <c r="E506" s="242"/>
      <c r="F506" s="242"/>
      <c r="G506" s="242"/>
      <c r="H506" s="242"/>
      <c r="I506" s="242"/>
      <c r="J506" s="13"/>
      <c r="K506" s="15"/>
      <c r="L506" s="341"/>
      <c r="M506" s="13"/>
      <c r="N506" s="13"/>
      <c r="O506" s="13"/>
      <c r="P506" s="13"/>
      <c r="Q506" s="242"/>
      <c r="R506" s="13"/>
      <c r="S506" s="242"/>
      <c r="T506" s="13"/>
      <c r="U506" s="242"/>
      <c r="V506" s="242"/>
      <c r="W506" s="242"/>
      <c r="X506" s="242"/>
      <c r="Y506" s="242"/>
      <c r="Z506" s="242"/>
      <c r="AA506" s="242"/>
      <c r="AB506" s="242"/>
      <c r="AC506" s="242"/>
    </row>
    <row r="507">
      <c r="A507" s="242"/>
      <c r="B507" s="242"/>
      <c r="C507" s="242"/>
      <c r="D507" s="242"/>
      <c r="E507" s="242"/>
      <c r="F507" s="242"/>
      <c r="G507" s="242"/>
      <c r="H507" s="242"/>
      <c r="I507" s="242"/>
      <c r="J507" s="13"/>
      <c r="K507" s="15"/>
      <c r="L507" s="341"/>
      <c r="M507" s="13"/>
      <c r="N507" s="13"/>
      <c r="O507" s="13"/>
      <c r="P507" s="13"/>
      <c r="Q507" s="242"/>
      <c r="R507" s="13"/>
      <c r="S507" s="242"/>
      <c r="T507" s="13"/>
      <c r="U507" s="242"/>
      <c r="V507" s="242"/>
      <c r="W507" s="242"/>
      <c r="X507" s="242"/>
      <c r="Y507" s="242"/>
      <c r="Z507" s="242"/>
      <c r="AA507" s="242"/>
      <c r="AB507" s="242"/>
      <c r="AC507" s="242"/>
    </row>
    <row r="508">
      <c r="A508" s="242"/>
      <c r="B508" s="242"/>
      <c r="C508" s="242"/>
      <c r="D508" s="242"/>
      <c r="E508" s="242"/>
      <c r="F508" s="242"/>
      <c r="G508" s="242"/>
      <c r="H508" s="242"/>
      <c r="I508" s="242"/>
      <c r="J508" s="13"/>
      <c r="K508" s="15"/>
      <c r="L508" s="341"/>
      <c r="M508" s="13"/>
      <c r="N508" s="13"/>
      <c r="O508" s="13"/>
      <c r="P508" s="13"/>
      <c r="Q508" s="242"/>
      <c r="R508" s="13"/>
      <c r="S508" s="242"/>
      <c r="T508" s="13"/>
      <c r="U508" s="242"/>
      <c r="V508" s="242"/>
      <c r="W508" s="242"/>
      <c r="X508" s="242"/>
      <c r="Y508" s="242"/>
      <c r="Z508" s="242"/>
      <c r="AA508" s="242"/>
      <c r="AB508" s="242"/>
      <c r="AC508" s="242"/>
    </row>
    <row r="509">
      <c r="A509" s="242"/>
      <c r="B509" s="242"/>
      <c r="C509" s="242"/>
      <c r="D509" s="242"/>
      <c r="E509" s="242"/>
      <c r="F509" s="242"/>
      <c r="G509" s="242"/>
      <c r="H509" s="242"/>
      <c r="I509" s="242"/>
      <c r="J509" s="13"/>
      <c r="K509" s="15"/>
      <c r="L509" s="341"/>
      <c r="M509" s="13"/>
      <c r="N509" s="13"/>
      <c r="O509" s="13"/>
      <c r="P509" s="13"/>
      <c r="Q509" s="242"/>
      <c r="R509" s="13"/>
      <c r="S509" s="242"/>
      <c r="T509" s="13"/>
      <c r="U509" s="242"/>
      <c r="V509" s="242"/>
      <c r="W509" s="242"/>
      <c r="X509" s="242"/>
      <c r="Y509" s="242"/>
      <c r="Z509" s="242"/>
      <c r="AA509" s="242"/>
      <c r="AB509" s="242"/>
      <c r="AC509" s="242"/>
    </row>
    <row r="510">
      <c r="A510" s="242"/>
      <c r="B510" s="242"/>
      <c r="C510" s="242"/>
      <c r="D510" s="242"/>
      <c r="E510" s="242"/>
      <c r="F510" s="242"/>
      <c r="G510" s="242"/>
      <c r="H510" s="242"/>
      <c r="I510" s="242"/>
      <c r="J510" s="13"/>
      <c r="K510" s="15"/>
      <c r="L510" s="341"/>
      <c r="M510" s="13"/>
      <c r="N510" s="13"/>
      <c r="O510" s="13"/>
      <c r="P510" s="13"/>
      <c r="Q510" s="242"/>
      <c r="R510" s="13"/>
      <c r="S510" s="242"/>
      <c r="T510" s="13"/>
      <c r="U510" s="242"/>
      <c r="V510" s="242"/>
      <c r="W510" s="242"/>
      <c r="X510" s="242"/>
      <c r="Y510" s="242"/>
      <c r="Z510" s="242"/>
      <c r="AA510" s="242"/>
      <c r="AB510" s="242"/>
      <c r="AC510" s="242"/>
    </row>
    <row r="511">
      <c r="A511" s="242"/>
      <c r="B511" s="242"/>
      <c r="C511" s="242"/>
      <c r="D511" s="242"/>
      <c r="E511" s="242"/>
      <c r="F511" s="242"/>
      <c r="G511" s="242"/>
      <c r="H511" s="242"/>
      <c r="I511" s="242"/>
      <c r="J511" s="13"/>
      <c r="K511" s="15"/>
      <c r="L511" s="341"/>
      <c r="M511" s="13"/>
      <c r="N511" s="13"/>
      <c r="O511" s="13"/>
      <c r="P511" s="13"/>
      <c r="Q511" s="242"/>
      <c r="R511" s="13"/>
      <c r="S511" s="242"/>
      <c r="T511" s="13"/>
      <c r="U511" s="242"/>
      <c r="V511" s="242"/>
      <c r="W511" s="242"/>
      <c r="X511" s="242"/>
      <c r="Y511" s="242"/>
      <c r="Z511" s="242"/>
      <c r="AA511" s="242"/>
      <c r="AB511" s="242"/>
      <c r="AC511" s="242"/>
    </row>
    <row r="512">
      <c r="A512" s="242"/>
      <c r="B512" s="242"/>
      <c r="C512" s="242"/>
      <c r="D512" s="242"/>
      <c r="E512" s="242"/>
      <c r="F512" s="242"/>
      <c r="G512" s="242"/>
      <c r="H512" s="242"/>
      <c r="I512" s="242"/>
      <c r="J512" s="13"/>
      <c r="K512" s="15"/>
      <c r="L512" s="341"/>
      <c r="M512" s="13"/>
      <c r="N512" s="13"/>
      <c r="O512" s="13"/>
      <c r="P512" s="13"/>
      <c r="Q512" s="242"/>
      <c r="R512" s="13"/>
      <c r="S512" s="242"/>
      <c r="T512" s="13"/>
      <c r="U512" s="242"/>
      <c r="V512" s="242"/>
      <c r="W512" s="242"/>
      <c r="X512" s="242"/>
      <c r="Y512" s="242"/>
      <c r="Z512" s="242"/>
      <c r="AA512" s="242"/>
      <c r="AB512" s="242"/>
      <c r="AC512" s="242"/>
    </row>
    <row r="513">
      <c r="A513" s="242"/>
      <c r="B513" s="242"/>
      <c r="C513" s="242"/>
      <c r="D513" s="242"/>
      <c r="E513" s="242"/>
      <c r="F513" s="242"/>
      <c r="G513" s="242"/>
      <c r="H513" s="242"/>
      <c r="I513" s="242"/>
      <c r="J513" s="13"/>
      <c r="K513" s="15"/>
      <c r="L513" s="341"/>
      <c r="M513" s="13"/>
      <c r="N513" s="13"/>
      <c r="O513" s="13"/>
      <c r="P513" s="13"/>
      <c r="Q513" s="242"/>
      <c r="R513" s="13"/>
      <c r="S513" s="242"/>
      <c r="T513" s="13"/>
      <c r="U513" s="242"/>
      <c r="V513" s="242"/>
      <c r="W513" s="242"/>
      <c r="X513" s="242"/>
      <c r="Y513" s="242"/>
      <c r="Z513" s="242"/>
      <c r="AA513" s="242"/>
      <c r="AB513" s="242"/>
      <c r="AC513" s="242"/>
    </row>
    <row r="514">
      <c r="A514" s="242"/>
      <c r="B514" s="242"/>
      <c r="C514" s="242"/>
      <c r="D514" s="242"/>
      <c r="E514" s="242"/>
      <c r="F514" s="242"/>
      <c r="G514" s="242"/>
      <c r="H514" s="242"/>
      <c r="I514" s="242"/>
      <c r="J514" s="13"/>
      <c r="K514" s="15"/>
      <c r="L514" s="341"/>
      <c r="M514" s="13"/>
      <c r="N514" s="13"/>
      <c r="O514" s="13"/>
      <c r="P514" s="13"/>
      <c r="Q514" s="242"/>
      <c r="R514" s="13"/>
      <c r="S514" s="242"/>
      <c r="T514" s="13"/>
      <c r="U514" s="242"/>
      <c r="V514" s="242"/>
      <c r="W514" s="242"/>
      <c r="X514" s="242"/>
      <c r="Y514" s="242"/>
      <c r="Z514" s="242"/>
      <c r="AA514" s="242"/>
      <c r="AB514" s="242"/>
      <c r="AC514" s="242"/>
    </row>
    <row r="515">
      <c r="A515" s="242"/>
      <c r="B515" s="242"/>
      <c r="C515" s="242"/>
      <c r="D515" s="242"/>
      <c r="E515" s="242"/>
      <c r="F515" s="242"/>
      <c r="G515" s="242"/>
      <c r="H515" s="242"/>
      <c r="I515" s="242"/>
      <c r="J515" s="13"/>
      <c r="K515" s="15"/>
      <c r="L515" s="341"/>
      <c r="M515" s="13"/>
      <c r="N515" s="13"/>
      <c r="O515" s="13"/>
      <c r="P515" s="13"/>
      <c r="Q515" s="242"/>
      <c r="R515" s="13"/>
      <c r="S515" s="242"/>
      <c r="T515" s="13"/>
      <c r="U515" s="242"/>
      <c r="V515" s="242"/>
      <c r="W515" s="242"/>
      <c r="X515" s="242"/>
      <c r="Y515" s="242"/>
      <c r="Z515" s="242"/>
      <c r="AA515" s="242"/>
      <c r="AB515" s="242"/>
      <c r="AC515" s="242"/>
    </row>
    <row r="516">
      <c r="A516" s="242"/>
      <c r="B516" s="242"/>
      <c r="C516" s="242"/>
      <c r="D516" s="242"/>
      <c r="E516" s="242"/>
      <c r="F516" s="242"/>
      <c r="G516" s="242"/>
      <c r="H516" s="242"/>
      <c r="I516" s="242"/>
      <c r="J516" s="13"/>
      <c r="K516" s="15"/>
      <c r="L516" s="341"/>
      <c r="M516" s="13"/>
      <c r="N516" s="13"/>
      <c r="O516" s="13"/>
      <c r="P516" s="13"/>
      <c r="Q516" s="242"/>
      <c r="R516" s="13"/>
      <c r="S516" s="242"/>
      <c r="T516" s="13"/>
      <c r="U516" s="242"/>
      <c r="V516" s="242"/>
      <c r="W516" s="242"/>
      <c r="X516" s="242"/>
      <c r="Y516" s="242"/>
      <c r="Z516" s="242"/>
      <c r="AA516" s="242"/>
      <c r="AB516" s="242"/>
      <c r="AC516" s="242"/>
    </row>
    <row r="517">
      <c r="A517" s="242"/>
      <c r="B517" s="242"/>
      <c r="C517" s="242"/>
      <c r="D517" s="242"/>
      <c r="E517" s="242"/>
      <c r="F517" s="242"/>
      <c r="G517" s="242"/>
      <c r="H517" s="242"/>
      <c r="I517" s="242"/>
      <c r="J517" s="13"/>
      <c r="K517" s="15"/>
      <c r="L517" s="341"/>
      <c r="M517" s="13"/>
      <c r="N517" s="13"/>
      <c r="O517" s="13"/>
      <c r="P517" s="13"/>
      <c r="Q517" s="242"/>
      <c r="R517" s="13"/>
      <c r="S517" s="242"/>
      <c r="T517" s="13"/>
      <c r="U517" s="242"/>
      <c r="V517" s="242"/>
      <c r="W517" s="242"/>
      <c r="X517" s="242"/>
      <c r="Y517" s="242"/>
      <c r="Z517" s="242"/>
      <c r="AA517" s="242"/>
      <c r="AB517" s="242"/>
      <c r="AC517" s="242"/>
    </row>
    <row r="518">
      <c r="A518" s="242"/>
      <c r="B518" s="242"/>
      <c r="C518" s="242"/>
      <c r="D518" s="242"/>
      <c r="E518" s="242"/>
      <c r="F518" s="242"/>
      <c r="G518" s="242"/>
      <c r="H518" s="242"/>
      <c r="I518" s="242"/>
      <c r="J518" s="13"/>
      <c r="K518" s="15"/>
      <c r="L518" s="341"/>
      <c r="M518" s="13"/>
      <c r="N518" s="13"/>
      <c r="O518" s="13"/>
      <c r="P518" s="13"/>
      <c r="Q518" s="242"/>
      <c r="R518" s="13"/>
      <c r="S518" s="242"/>
      <c r="T518" s="13"/>
      <c r="U518" s="242"/>
      <c r="V518" s="242"/>
      <c r="W518" s="242"/>
      <c r="X518" s="242"/>
      <c r="Y518" s="242"/>
      <c r="Z518" s="242"/>
      <c r="AA518" s="242"/>
      <c r="AB518" s="242"/>
      <c r="AC518" s="242"/>
    </row>
    <row r="519">
      <c r="A519" s="242"/>
      <c r="B519" s="242"/>
      <c r="C519" s="242"/>
      <c r="D519" s="242"/>
      <c r="E519" s="242"/>
      <c r="F519" s="242"/>
      <c r="G519" s="242"/>
      <c r="H519" s="242"/>
      <c r="I519" s="242"/>
      <c r="J519" s="13"/>
      <c r="K519" s="15"/>
      <c r="L519" s="341"/>
      <c r="M519" s="13"/>
      <c r="N519" s="13"/>
      <c r="O519" s="13"/>
      <c r="P519" s="13"/>
      <c r="Q519" s="242"/>
      <c r="R519" s="13"/>
      <c r="S519" s="242"/>
      <c r="T519" s="13"/>
      <c r="U519" s="242"/>
      <c r="V519" s="242"/>
      <c r="W519" s="242"/>
      <c r="X519" s="242"/>
      <c r="Y519" s="242"/>
      <c r="Z519" s="242"/>
      <c r="AA519" s="242"/>
      <c r="AB519" s="242"/>
      <c r="AC519" s="242"/>
    </row>
    <row r="520">
      <c r="A520" s="242"/>
      <c r="B520" s="242"/>
      <c r="C520" s="242"/>
      <c r="D520" s="242"/>
      <c r="E520" s="242"/>
      <c r="F520" s="242"/>
      <c r="G520" s="242"/>
      <c r="H520" s="242"/>
      <c r="I520" s="242"/>
      <c r="J520" s="13"/>
      <c r="K520" s="15"/>
      <c r="L520" s="341"/>
      <c r="M520" s="13"/>
      <c r="N520" s="13"/>
      <c r="O520" s="13"/>
      <c r="P520" s="13"/>
      <c r="Q520" s="242"/>
      <c r="R520" s="13"/>
      <c r="S520" s="242"/>
      <c r="T520" s="13"/>
      <c r="U520" s="242"/>
      <c r="V520" s="242"/>
      <c r="W520" s="242"/>
      <c r="X520" s="242"/>
      <c r="Y520" s="242"/>
      <c r="Z520" s="242"/>
      <c r="AA520" s="242"/>
      <c r="AB520" s="242"/>
      <c r="AC520" s="242"/>
    </row>
    <row r="521">
      <c r="A521" s="242"/>
      <c r="B521" s="242"/>
      <c r="C521" s="242"/>
      <c r="D521" s="242"/>
      <c r="E521" s="242"/>
      <c r="F521" s="242"/>
      <c r="G521" s="242"/>
      <c r="H521" s="242"/>
      <c r="I521" s="242"/>
      <c r="J521" s="13"/>
      <c r="K521" s="15"/>
      <c r="L521" s="341"/>
      <c r="M521" s="13"/>
      <c r="N521" s="13"/>
      <c r="O521" s="13"/>
      <c r="P521" s="13"/>
      <c r="Q521" s="242"/>
      <c r="R521" s="13"/>
      <c r="S521" s="242"/>
      <c r="T521" s="13"/>
      <c r="U521" s="242"/>
      <c r="V521" s="242"/>
      <c r="W521" s="242"/>
      <c r="X521" s="242"/>
      <c r="Y521" s="242"/>
      <c r="Z521" s="242"/>
      <c r="AA521" s="242"/>
      <c r="AB521" s="242"/>
      <c r="AC521" s="242"/>
    </row>
    <row r="522">
      <c r="A522" s="242"/>
      <c r="B522" s="242"/>
      <c r="C522" s="242"/>
      <c r="D522" s="242"/>
      <c r="E522" s="242"/>
      <c r="F522" s="242"/>
      <c r="G522" s="242"/>
      <c r="H522" s="242"/>
      <c r="I522" s="242"/>
      <c r="J522" s="13"/>
      <c r="K522" s="15"/>
      <c r="L522" s="341"/>
      <c r="M522" s="13"/>
      <c r="N522" s="13"/>
      <c r="O522" s="13"/>
      <c r="P522" s="13"/>
      <c r="Q522" s="242"/>
      <c r="R522" s="13"/>
      <c r="S522" s="242"/>
      <c r="T522" s="13"/>
      <c r="U522" s="242"/>
      <c r="V522" s="242"/>
      <c r="W522" s="242"/>
      <c r="X522" s="242"/>
      <c r="Y522" s="242"/>
      <c r="Z522" s="242"/>
      <c r="AA522" s="242"/>
      <c r="AB522" s="242"/>
      <c r="AC522" s="242"/>
    </row>
    <row r="523">
      <c r="A523" s="242"/>
      <c r="B523" s="242"/>
      <c r="C523" s="242"/>
      <c r="D523" s="242"/>
      <c r="E523" s="242"/>
      <c r="F523" s="242"/>
      <c r="G523" s="242"/>
      <c r="H523" s="242"/>
      <c r="I523" s="242"/>
      <c r="J523" s="13"/>
      <c r="K523" s="15"/>
      <c r="L523" s="341"/>
      <c r="M523" s="13"/>
      <c r="N523" s="13"/>
      <c r="O523" s="13"/>
      <c r="P523" s="13"/>
      <c r="Q523" s="242"/>
      <c r="R523" s="13"/>
      <c r="S523" s="242"/>
      <c r="T523" s="13"/>
      <c r="U523" s="242"/>
      <c r="V523" s="242"/>
      <c r="W523" s="242"/>
      <c r="X523" s="242"/>
      <c r="Y523" s="242"/>
      <c r="Z523" s="242"/>
      <c r="AA523" s="242"/>
      <c r="AB523" s="242"/>
      <c r="AC523" s="242"/>
    </row>
    <row r="524">
      <c r="A524" s="242"/>
      <c r="B524" s="242"/>
      <c r="C524" s="242"/>
      <c r="D524" s="242"/>
      <c r="E524" s="242"/>
      <c r="F524" s="242"/>
      <c r="G524" s="242"/>
      <c r="H524" s="242"/>
      <c r="I524" s="242"/>
      <c r="J524" s="13"/>
      <c r="K524" s="15"/>
      <c r="L524" s="341"/>
      <c r="M524" s="13"/>
      <c r="N524" s="13"/>
      <c r="O524" s="13"/>
      <c r="P524" s="13"/>
      <c r="Q524" s="242"/>
      <c r="R524" s="13"/>
      <c r="S524" s="242"/>
      <c r="T524" s="13"/>
      <c r="U524" s="242"/>
      <c r="V524" s="242"/>
      <c r="W524" s="242"/>
      <c r="X524" s="242"/>
      <c r="Y524" s="242"/>
      <c r="Z524" s="242"/>
      <c r="AA524" s="242"/>
      <c r="AB524" s="242"/>
      <c r="AC524" s="242"/>
    </row>
    <row r="525">
      <c r="A525" s="242"/>
      <c r="B525" s="242"/>
      <c r="C525" s="242"/>
      <c r="D525" s="242"/>
      <c r="E525" s="242"/>
      <c r="F525" s="242"/>
      <c r="G525" s="242"/>
      <c r="H525" s="242"/>
      <c r="I525" s="242"/>
      <c r="J525" s="13"/>
      <c r="K525" s="15"/>
      <c r="L525" s="341"/>
      <c r="M525" s="13"/>
      <c r="N525" s="13"/>
      <c r="O525" s="13"/>
      <c r="P525" s="13"/>
      <c r="Q525" s="242"/>
      <c r="R525" s="13"/>
      <c r="S525" s="242"/>
      <c r="T525" s="13"/>
      <c r="U525" s="242"/>
      <c r="V525" s="242"/>
      <c r="W525" s="242"/>
      <c r="X525" s="242"/>
      <c r="Y525" s="242"/>
      <c r="Z525" s="242"/>
      <c r="AA525" s="242"/>
      <c r="AB525" s="242"/>
      <c r="AC525" s="242"/>
    </row>
    <row r="526">
      <c r="A526" s="242"/>
      <c r="B526" s="242"/>
      <c r="C526" s="242"/>
      <c r="D526" s="242"/>
      <c r="E526" s="242"/>
      <c r="F526" s="242"/>
      <c r="G526" s="242"/>
      <c r="H526" s="242"/>
      <c r="I526" s="242"/>
      <c r="J526" s="13"/>
      <c r="K526" s="15"/>
      <c r="L526" s="341"/>
      <c r="M526" s="13"/>
      <c r="N526" s="13"/>
      <c r="O526" s="13"/>
      <c r="P526" s="13"/>
      <c r="Q526" s="242"/>
      <c r="R526" s="13"/>
      <c r="S526" s="242"/>
      <c r="T526" s="13"/>
      <c r="U526" s="242"/>
      <c r="V526" s="242"/>
      <c r="W526" s="242"/>
      <c r="X526" s="242"/>
      <c r="Y526" s="242"/>
      <c r="Z526" s="242"/>
      <c r="AA526" s="242"/>
      <c r="AB526" s="242"/>
      <c r="AC526" s="242"/>
    </row>
    <row r="527">
      <c r="A527" s="242"/>
      <c r="B527" s="242"/>
      <c r="C527" s="242"/>
      <c r="D527" s="242"/>
      <c r="E527" s="242"/>
      <c r="F527" s="242"/>
      <c r="G527" s="242"/>
      <c r="H527" s="242"/>
      <c r="I527" s="242"/>
      <c r="J527" s="13"/>
      <c r="K527" s="15"/>
      <c r="L527" s="341"/>
      <c r="M527" s="13"/>
      <c r="N527" s="13"/>
      <c r="O527" s="13"/>
      <c r="P527" s="13"/>
      <c r="Q527" s="242"/>
      <c r="R527" s="13"/>
      <c r="S527" s="242"/>
      <c r="T527" s="13"/>
      <c r="U527" s="242"/>
      <c r="V527" s="242"/>
      <c r="W527" s="242"/>
      <c r="X527" s="242"/>
      <c r="Y527" s="242"/>
      <c r="Z527" s="242"/>
      <c r="AA527" s="242"/>
      <c r="AB527" s="242"/>
      <c r="AC527" s="242"/>
    </row>
    <row r="528">
      <c r="A528" s="242"/>
      <c r="B528" s="242"/>
      <c r="C528" s="242"/>
      <c r="D528" s="242"/>
      <c r="E528" s="242"/>
      <c r="F528" s="242"/>
      <c r="G528" s="242"/>
      <c r="H528" s="242"/>
      <c r="I528" s="242"/>
      <c r="J528" s="13"/>
      <c r="K528" s="15"/>
      <c r="L528" s="341"/>
      <c r="M528" s="13"/>
      <c r="N528" s="13"/>
      <c r="O528" s="13"/>
      <c r="P528" s="13"/>
      <c r="Q528" s="242"/>
      <c r="R528" s="13"/>
      <c r="S528" s="242"/>
      <c r="T528" s="13"/>
      <c r="U528" s="242"/>
      <c r="V528" s="242"/>
      <c r="W528" s="242"/>
      <c r="X528" s="242"/>
      <c r="Y528" s="242"/>
      <c r="Z528" s="242"/>
      <c r="AA528" s="242"/>
      <c r="AB528" s="242"/>
      <c r="AC528" s="242"/>
    </row>
    <row r="529">
      <c r="A529" s="242"/>
      <c r="B529" s="242"/>
      <c r="C529" s="242"/>
      <c r="D529" s="242"/>
      <c r="E529" s="242"/>
      <c r="F529" s="242"/>
      <c r="G529" s="242"/>
      <c r="H529" s="242"/>
      <c r="I529" s="242"/>
      <c r="J529" s="13"/>
      <c r="K529" s="15"/>
      <c r="L529" s="341"/>
      <c r="M529" s="13"/>
      <c r="N529" s="13"/>
      <c r="O529" s="13"/>
      <c r="P529" s="13"/>
      <c r="Q529" s="242"/>
      <c r="R529" s="13"/>
      <c r="S529" s="242"/>
      <c r="T529" s="13"/>
      <c r="U529" s="242"/>
      <c r="V529" s="242"/>
      <c r="W529" s="242"/>
      <c r="X529" s="242"/>
      <c r="Y529" s="242"/>
      <c r="Z529" s="242"/>
      <c r="AA529" s="242"/>
      <c r="AB529" s="242"/>
      <c r="AC529" s="242"/>
    </row>
    <row r="530">
      <c r="A530" s="242"/>
      <c r="B530" s="242"/>
      <c r="C530" s="242"/>
      <c r="D530" s="242"/>
      <c r="E530" s="242"/>
      <c r="F530" s="242"/>
      <c r="G530" s="242"/>
      <c r="H530" s="242"/>
      <c r="I530" s="242"/>
      <c r="J530" s="13"/>
      <c r="K530" s="15"/>
      <c r="L530" s="341"/>
      <c r="M530" s="13"/>
      <c r="N530" s="13"/>
      <c r="O530" s="13"/>
      <c r="P530" s="13"/>
      <c r="Q530" s="242"/>
      <c r="R530" s="13"/>
      <c r="S530" s="242"/>
      <c r="T530" s="13"/>
      <c r="U530" s="242"/>
      <c r="V530" s="242"/>
      <c r="W530" s="242"/>
      <c r="X530" s="242"/>
      <c r="Y530" s="242"/>
      <c r="Z530" s="242"/>
      <c r="AA530" s="242"/>
      <c r="AB530" s="242"/>
      <c r="AC530" s="242"/>
    </row>
    <row r="531">
      <c r="A531" s="242"/>
      <c r="B531" s="242"/>
      <c r="C531" s="242"/>
      <c r="D531" s="242"/>
      <c r="E531" s="242"/>
      <c r="F531" s="242"/>
      <c r="G531" s="242"/>
      <c r="H531" s="242"/>
      <c r="I531" s="242"/>
      <c r="J531" s="13"/>
      <c r="K531" s="15"/>
      <c r="L531" s="341"/>
      <c r="M531" s="13"/>
      <c r="N531" s="13"/>
      <c r="O531" s="13"/>
      <c r="P531" s="13"/>
      <c r="Q531" s="242"/>
      <c r="R531" s="13"/>
      <c r="S531" s="242"/>
      <c r="T531" s="13"/>
      <c r="U531" s="242"/>
      <c r="V531" s="242"/>
      <c r="W531" s="242"/>
      <c r="X531" s="242"/>
      <c r="Y531" s="242"/>
      <c r="Z531" s="242"/>
      <c r="AA531" s="242"/>
      <c r="AB531" s="242"/>
      <c r="AC531" s="242"/>
    </row>
    <row r="532">
      <c r="A532" s="242"/>
      <c r="B532" s="242"/>
      <c r="C532" s="242"/>
      <c r="D532" s="242"/>
      <c r="E532" s="242"/>
      <c r="F532" s="242"/>
      <c r="G532" s="242"/>
      <c r="H532" s="242"/>
      <c r="I532" s="242"/>
      <c r="J532" s="13"/>
      <c r="K532" s="15"/>
      <c r="L532" s="341"/>
      <c r="M532" s="13"/>
      <c r="N532" s="13"/>
      <c r="O532" s="13"/>
      <c r="P532" s="13"/>
      <c r="Q532" s="242"/>
      <c r="R532" s="13"/>
      <c r="S532" s="242"/>
      <c r="T532" s="13"/>
      <c r="U532" s="242"/>
      <c r="V532" s="242"/>
      <c r="W532" s="242"/>
      <c r="X532" s="242"/>
      <c r="Y532" s="242"/>
      <c r="Z532" s="242"/>
      <c r="AA532" s="242"/>
      <c r="AB532" s="242"/>
      <c r="AC532" s="242"/>
    </row>
    <row r="533">
      <c r="A533" s="242"/>
      <c r="B533" s="242"/>
      <c r="C533" s="242"/>
      <c r="D533" s="242"/>
      <c r="E533" s="242"/>
      <c r="F533" s="242"/>
      <c r="G533" s="242"/>
      <c r="H533" s="242"/>
      <c r="I533" s="242"/>
      <c r="J533" s="13"/>
      <c r="K533" s="15"/>
      <c r="L533" s="341"/>
      <c r="M533" s="13"/>
      <c r="N533" s="13"/>
      <c r="O533" s="13"/>
      <c r="P533" s="13"/>
      <c r="Q533" s="242"/>
      <c r="R533" s="13"/>
      <c r="S533" s="242"/>
      <c r="T533" s="13"/>
      <c r="U533" s="242"/>
      <c r="V533" s="242"/>
      <c r="W533" s="242"/>
      <c r="X533" s="242"/>
      <c r="Y533" s="242"/>
      <c r="Z533" s="242"/>
      <c r="AA533" s="242"/>
      <c r="AB533" s="242"/>
      <c r="AC533" s="242"/>
    </row>
    <row r="534">
      <c r="A534" s="242"/>
      <c r="B534" s="242"/>
      <c r="C534" s="242"/>
      <c r="D534" s="242"/>
      <c r="E534" s="242"/>
      <c r="F534" s="242"/>
      <c r="G534" s="242"/>
      <c r="H534" s="242"/>
      <c r="I534" s="242"/>
      <c r="J534" s="13"/>
      <c r="K534" s="15"/>
      <c r="L534" s="341"/>
      <c r="M534" s="13"/>
      <c r="N534" s="13"/>
      <c r="O534" s="13"/>
      <c r="P534" s="13"/>
      <c r="Q534" s="242"/>
      <c r="R534" s="13"/>
      <c r="S534" s="242"/>
      <c r="T534" s="13"/>
      <c r="U534" s="242"/>
      <c r="V534" s="242"/>
      <c r="W534" s="242"/>
      <c r="X534" s="242"/>
      <c r="Y534" s="242"/>
      <c r="Z534" s="242"/>
      <c r="AA534" s="242"/>
      <c r="AB534" s="242"/>
      <c r="AC534" s="242"/>
    </row>
    <row r="535">
      <c r="A535" s="242"/>
      <c r="B535" s="242"/>
      <c r="C535" s="242"/>
      <c r="D535" s="242"/>
      <c r="E535" s="242"/>
      <c r="F535" s="242"/>
      <c r="G535" s="242"/>
      <c r="H535" s="242"/>
      <c r="I535" s="242"/>
      <c r="J535" s="13"/>
      <c r="K535" s="15"/>
      <c r="L535" s="341"/>
      <c r="M535" s="13"/>
      <c r="N535" s="13"/>
      <c r="O535" s="13"/>
      <c r="P535" s="13"/>
      <c r="Q535" s="242"/>
      <c r="R535" s="13"/>
      <c r="S535" s="242"/>
      <c r="T535" s="13"/>
      <c r="U535" s="242"/>
      <c r="V535" s="242"/>
      <c r="W535" s="242"/>
      <c r="X535" s="242"/>
      <c r="Y535" s="242"/>
      <c r="Z535" s="242"/>
      <c r="AA535" s="242"/>
      <c r="AB535" s="242"/>
      <c r="AC535" s="242"/>
    </row>
    <row r="536">
      <c r="A536" s="242"/>
      <c r="B536" s="242"/>
      <c r="C536" s="242"/>
      <c r="D536" s="242"/>
      <c r="E536" s="242"/>
      <c r="F536" s="242"/>
      <c r="G536" s="242"/>
      <c r="H536" s="242"/>
      <c r="I536" s="242"/>
      <c r="J536" s="13"/>
      <c r="K536" s="15"/>
      <c r="L536" s="341"/>
      <c r="M536" s="13"/>
      <c r="N536" s="13"/>
      <c r="O536" s="13"/>
      <c r="P536" s="13"/>
      <c r="Q536" s="242"/>
      <c r="R536" s="13"/>
      <c r="S536" s="242"/>
      <c r="T536" s="13"/>
      <c r="U536" s="242"/>
      <c r="V536" s="242"/>
      <c r="W536" s="242"/>
      <c r="X536" s="242"/>
      <c r="Y536" s="242"/>
      <c r="Z536" s="242"/>
      <c r="AA536" s="242"/>
      <c r="AB536" s="242"/>
      <c r="AC536" s="242"/>
    </row>
    <row r="537">
      <c r="A537" s="242"/>
      <c r="B537" s="242"/>
      <c r="C537" s="242"/>
      <c r="D537" s="242"/>
      <c r="E537" s="242"/>
      <c r="F537" s="242"/>
      <c r="G537" s="242"/>
      <c r="H537" s="242"/>
      <c r="I537" s="242"/>
      <c r="J537" s="13"/>
      <c r="K537" s="15"/>
      <c r="L537" s="341"/>
      <c r="M537" s="13"/>
      <c r="N537" s="13"/>
      <c r="O537" s="13"/>
      <c r="P537" s="13"/>
      <c r="Q537" s="242"/>
      <c r="R537" s="13"/>
      <c r="S537" s="242"/>
      <c r="T537" s="13"/>
      <c r="U537" s="242"/>
      <c r="V537" s="242"/>
      <c r="W537" s="242"/>
      <c r="X537" s="242"/>
      <c r="Y537" s="242"/>
      <c r="Z537" s="242"/>
      <c r="AA537" s="242"/>
      <c r="AB537" s="242"/>
      <c r="AC537" s="242"/>
    </row>
    <row r="538">
      <c r="A538" s="242"/>
      <c r="B538" s="242"/>
      <c r="C538" s="242"/>
      <c r="D538" s="242"/>
      <c r="E538" s="242"/>
      <c r="F538" s="242"/>
      <c r="G538" s="242"/>
      <c r="H538" s="242"/>
      <c r="I538" s="242"/>
      <c r="J538" s="13"/>
      <c r="K538" s="15"/>
      <c r="L538" s="341"/>
      <c r="M538" s="13"/>
      <c r="N538" s="13"/>
      <c r="O538" s="13"/>
      <c r="P538" s="13"/>
      <c r="Q538" s="242"/>
      <c r="R538" s="13"/>
      <c r="S538" s="242"/>
      <c r="T538" s="13"/>
      <c r="U538" s="242"/>
      <c r="V538" s="242"/>
      <c r="W538" s="242"/>
      <c r="X538" s="242"/>
      <c r="Y538" s="242"/>
      <c r="Z538" s="242"/>
      <c r="AA538" s="242"/>
      <c r="AB538" s="242"/>
      <c r="AC538" s="242"/>
    </row>
    <row r="539">
      <c r="A539" s="242"/>
      <c r="B539" s="242"/>
      <c r="C539" s="242"/>
      <c r="D539" s="242"/>
      <c r="E539" s="242"/>
      <c r="F539" s="242"/>
      <c r="G539" s="242"/>
      <c r="H539" s="242"/>
      <c r="I539" s="242"/>
      <c r="J539" s="13"/>
      <c r="K539" s="15"/>
      <c r="L539" s="341"/>
      <c r="M539" s="13"/>
      <c r="N539" s="13"/>
      <c r="O539" s="13"/>
      <c r="P539" s="13"/>
      <c r="Q539" s="242"/>
      <c r="R539" s="13"/>
      <c r="S539" s="242"/>
      <c r="T539" s="13"/>
      <c r="U539" s="242"/>
      <c r="V539" s="242"/>
      <c r="W539" s="242"/>
      <c r="X539" s="242"/>
      <c r="Y539" s="242"/>
      <c r="Z539" s="242"/>
      <c r="AA539" s="242"/>
      <c r="AB539" s="242"/>
      <c r="AC539" s="242"/>
    </row>
    <row r="540">
      <c r="A540" s="242"/>
      <c r="B540" s="242"/>
      <c r="C540" s="242"/>
      <c r="D540" s="242"/>
      <c r="E540" s="242"/>
      <c r="F540" s="242"/>
      <c r="G540" s="242"/>
      <c r="H540" s="242"/>
      <c r="I540" s="242"/>
      <c r="J540" s="13"/>
      <c r="K540" s="15"/>
      <c r="L540" s="341"/>
      <c r="M540" s="13"/>
      <c r="N540" s="13"/>
      <c r="O540" s="13"/>
      <c r="P540" s="13"/>
      <c r="Q540" s="242"/>
      <c r="R540" s="13"/>
      <c r="S540" s="242"/>
      <c r="T540" s="13"/>
      <c r="U540" s="242"/>
      <c r="V540" s="242"/>
      <c r="W540" s="242"/>
      <c r="X540" s="242"/>
      <c r="Y540" s="242"/>
      <c r="Z540" s="242"/>
      <c r="AA540" s="242"/>
      <c r="AB540" s="242"/>
      <c r="AC540" s="242"/>
    </row>
    <row r="541">
      <c r="A541" s="242"/>
      <c r="B541" s="242"/>
      <c r="C541" s="242"/>
      <c r="D541" s="242"/>
      <c r="E541" s="242"/>
      <c r="F541" s="242"/>
      <c r="G541" s="242"/>
      <c r="H541" s="242"/>
      <c r="I541" s="242"/>
      <c r="J541" s="13"/>
      <c r="K541" s="15"/>
      <c r="L541" s="341"/>
      <c r="M541" s="13"/>
      <c r="N541" s="13"/>
      <c r="O541" s="13"/>
      <c r="P541" s="13"/>
      <c r="Q541" s="242"/>
      <c r="R541" s="13"/>
      <c r="S541" s="242"/>
      <c r="T541" s="13"/>
      <c r="U541" s="242"/>
      <c r="V541" s="242"/>
      <c r="W541" s="242"/>
      <c r="X541" s="242"/>
      <c r="Y541" s="242"/>
      <c r="Z541" s="242"/>
      <c r="AA541" s="242"/>
      <c r="AB541" s="242"/>
      <c r="AC541" s="242"/>
    </row>
    <row r="542">
      <c r="A542" s="242"/>
      <c r="B542" s="242"/>
      <c r="C542" s="242"/>
      <c r="D542" s="242"/>
      <c r="E542" s="242"/>
      <c r="F542" s="242"/>
      <c r="G542" s="242"/>
      <c r="H542" s="242"/>
      <c r="I542" s="242"/>
      <c r="J542" s="13"/>
      <c r="K542" s="15"/>
      <c r="L542" s="341"/>
      <c r="M542" s="13"/>
      <c r="N542" s="13"/>
      <c r="O542" s="13"/>
      <c r="P542" s="13"/>
      <c r="Q542" s="242"/>
      <c r="R542" s="13"/>
      <c r="S542" s="242"/>
      <c r="T542" s="13"/>
      <c r="U542" s="242"/>
      <c r="V542" s="242"/>
      <c r="W542" s="242"/>
      <c r="X542" s="242"/>
      <c r="Y542" s="242"/>
      <c r="Z542" s="242"/>
      <c r="AA542" s="242"/>
      <c r="AB542" s="242"/>
      <c r="AC542" s="242"/>
    </row>
    <row r="543">
      <c r="A543" s="242"/>
      <c r="B543" s="242"/>
      <c r="C543" s="242"/>
      <c r="D543" s="242"/>
      <c r="E543" s="242"/>
      <c r="F543" s="242"/>
      <c r="G543" s="242"/>
      <c r="H543" s="242"/>
      <c r="I543" s="242"/>
      <c r="J543" s="13"/>
      <c r="K543" s="15"/>
      <c r="L543" s="341"/>
      <c r="M543" s="13"/>
      <c r="N543" s="13"/>
      <c r="O543" s="13"/>
      <c r="P543" s="13"/>
      <c r="Q543" s="242"/>
      <c r="R543" s="13"/>
      <c r="S543" s="242"/>
      <c r="T543" s="13"/>
      <c r="U543" s="242"/>
      <c r="V543" s="242"/>
      <c r="W543" s="242"/>
      <c r="X543" s="242"/>
      <c r="Y543" s="242"/>
      <c r="Z543" s="242"/>
      <c r="AA543" s="242"/>
      <c r="AB543" s="242"/>
      <c r="AC543" s="242"/>
    </row>
    <row r="544">
      <c r="A544" s="242"/>
      <c r="B544" s="242"/>
      <c r="C544" s="242"/>
      <c r="D544" s="242"/>
      <c r="E544" s="242"/>
      <c r="F544" s="242"/>
      <c r="G544" s="242"/>
      <c r="H544" s="242"/>
      <c r="I544" s="242"/>
      <c r="J544" s="13"/>
      <c r="K544" s="15"/>
      <c r="L544" s="341"/>
      <c r="M544" s="13"/>
      <c r="N544" s="13"/>
      <c r="O544" s="13"/>
      <c r="P544" s="13"/>
      <c r="Q544" s="242"/>
      <c r="R544" s="13"/>
      <c r="S544" s="242"/>
      <c r="T544" s="13"/>
      <c r="U544" s="242"/>
      <c r="V544" s="242"/>
      <c r="W544" s="242"/>
      <c r="X544" s="242"/>
      <c r="Y544" s="242"/>
      <c r="Z544" s="242"/>
      <c r="AA544" s="242"/>
      <c r="AB544" s="242"/>
      <c r="AC544" s="242"/>
    </row>
    <row r="545">
      <c r="A545" s="242"/>
      <c r="B545" s="242"/>
      <c r="C545" s="242"/>
      <c r="D545" s="242"/>
      <c r="E545" s="242"/>
      <c r="F545" s="242"/>
      <c r="G545" s="242"/>
      <c r="H545" s="242"/>
      <c r="I545" s="242"/>
      <c r="J545" s="13"/>
      <c r="K545" s="15"/>
      <c r="L545" s="341"/>
      <c r="M545" s="13"/>
      <c r="N545" s="13"/>
      <c r="O545" s="13"/>
      <c r="P545" s="13"/>
      <c r="Q545" s="242"/>
      <c r="R545" s="13"/>
      <c r="S545" s="242"/>
      <c r="T545" s="13"/>
      <c r="U545" s="242"/>
      <c r="V545" s="242"/>
      <c r="W545" s="242"/>
      <c r="X545" s="242"/>
      <c r="Y545" s="242"/>
      <c r="Z545" s="242"/>
      <c r="AA545" s="242"/>
      <c r="AB545" s="242"/>
      <c r="AC545" s="242"/>
    </row>
    <row r="546">
      <c r="A546" s="242"/>
      <c r="B546" s="242"/>
      <c r="C546" s="242"/>
      <c r="D546" s="242"/>
      <c r="E546" s="242"/>
      <c r="F546" s="242"/>
      <c r="G546" s="242"/>
      <c r="H546" s="242"/>
      <c r="I546" s="242"/>
      <c r="J546" s="13"/>
      <c r="K546" s="15"/>
      <c r="L546" s="341"/>
      <c r="M546" s="13"/>
      <c r="N546" s="13"/>
      <c r="O546" s="13"/>
      <c r="P546" s="13"/>
      <c r="Q546" s="242"/>
      <c r="R546" s="13"/>
      <c r="S546" s="242"/>
      <c r="T546" s="13"/>
      <c r="U546" s="242"/>
      <c r="V546" s="242"/>
      <c r="W546" s="242"/>
      <c r="X546" s="242"/>
      <c r="Y546" s="242"/>
      <c r="Z546" s="242"/>
      <c r="AA546" s="242"/>
      <c r="AB546" s="242"/>
      <c r="AC546" s="242"/>
    </row>
    <row r="547">
      <c r="A547" s="242"/>
      <c r="B547" s="242"/>
      <c r="C547" s="242"/>
      <c r="D547" s="242"/>
      <c r="E547" s="242"/>
      <c r="F547" s="242"/>
      <c r="G547" s="242"/>
      <c r="H547" s="242"/>
      <c r="I547" s="242"/>
      <c r="J547" s="13"/>
      <c r="K547" s="15"/>
      <c r="L547" s="341"/>
      <c r="M547" s="13"/>
      <c r="N547" s="13"/>
      <c r="O547" s="13"/>
      <c r="P547" s="13"/>
      <c r="Q547" s="242"/>
      <c r="R547" s="13"/>
      <c r="S547" s="242"/>
      <c r="T547" s="13"/>
      <c r="U547" s="242"/>
      <c r="V547" s="242"/>
      <c r="W547" s="242"/>
      <c r="X547" s="242"/>
      <c r="Y547" s="242"/>
      <c r="Z547" s="242"/>
      <c r="AA547" s="242"/>
      <c r="AB547" s="242"/>
      <c r="AC547" s="242"/>
    </row>
    <row r="548">
      <c r="A548" s="242"/>
      <c r="B548" s="242"/>
      <c r="C548" s="242"/>
      <c r="D548" s="242"/>
      <c r="E548" s="242"/>
      <c r="F548" s="242"/>
      <c r="G548" s="242"/>
      <c r="H548" s="242"/>
      <c r="I548" s="242"/>
      <c r="J548" s="13"/>
      <c r="K548" s="15"/>
      <c r="L548" s="341"/>
      <c r="M548" s="13"/>
      <c r="N548" s="13"/>
      <c r="O548" s="13"/>
      <c r="P548" s="13"/>
      <c r="Q548" s="242"/>
      <c r="R548" s="13"/>
      <c r="S548" s="242"/>
      <c r="T548" s="13"/>
      <c r="U548" s="242"/>
      <c r="V548" s="242"/>
      <c r="W548" s="242"/>
      <c r="X548" s="242"/>
      <c r="Y548" s="242"/>
      <c r="Z548" s="242"/>
      <c r="AA548" s="242"/>
      <c r="AB548" s="242"/>
      <c r="AC548" s="242"/>
    </row>
    <row r="549">
      <c r="A549" s="242"/>
      <c r="B549" s="242"/>
      <c r="C549" s="242"/>
      <c r="D549" s="242"/>
      <c r="E549" s="242"/>
      <c r="F549" s="242"/>
      <c r="G549" s="242"/>
      <c r="H549" s="242"/>
      <c r="I549" s="242"/>
      <c r="J549" s="13"/>
      <c r="K549" s="15"/>
      <c r="L549" s="341"/>
      <c r="M549" s="13"/>
      <c r="N549" s="13"/>
      <c r="O549" s="13"/>
      <c r="P549" s="13"/>
      <c r="Q549" s="242"/>
      <c r="R549" s="13"/>
      <c r="S549" s="242"/>
      <c r="T549" s="13"/>
      <c r="U549" s="242"/>
      <c r="V549" s="242"/>
      <c r="W549" s="242"/>
      <c r="X549" s="242"/>
      <c r="Y549" s="242"/>
      <c r="Z549" s="242"/>
      <c r="AA549" s="242"/>
      <c r="AB549" s="242"/>
      <c r="AC549" s="242"/>
    </row>
    <row r="550">
      <c r="A550" s="242"/>
      <c r="B550" s="242"/>
      <c r="C550" s="242"/>
      <c r="D550" s="242"/>
      <c r="E550" s="242"/>
      <c r="F550" s="242"/>
      <c r="G550" s="242"/>
      <c r="H550" s="242"/>
      <c r="I550" s="242"/>
      <c r="J550" s="13"/>
      <c r="K550" s="15"/>
      <c r="L550" s="341"/>
      <c r="M550" s="13"/>
      <c r="N550" s="13"/>
      <c r="O550" s="13"/>
      <c r="P550" s="13"/>
      <c r="Q550" s="242"/>
      <c r="R550" s="13"/>
      <c r="S550" s="242"/>
      <c r="T550" s="13"/>
      <c r="U550" s="242"/>
      <c r="V550" s="242"/>
      <c r="W550" s="242"/>
      <c r="X550" s="242"/>
      <c r="Y550" s="242"/>
      <c r="Z550" s="242"/>
      <c r="AA550" s="242"/>
      <c r="AB550" s="242"/>
      <c r="AC550" s="242"/>
    </row>
    <row r="551">
      <c r="A551" s="242"/>
      <c r="B551" s="242"/>
      <c r="C551" s="242"/>
      <c r="D551" s="242"/>
      <c r="E551" s="242"/>
      <c r="F551" s="242"/>
      <c r="G551" s="242"/>
      <c r="H551" s="242"/>
      <c r="I551" s="242"/>
      <c r="J551" s="13"/>
      <c r="K551" s="15"/>
      <c r="L551" s="341"/>
      <c r="M551" s="13"/>
      <c r="N551" s="13"/>
      <c r="O551" s="13"/>
      <c r="P551" s="13"/>
      <c r="Q551" s="242"/>
      <c r="R551" s="13"/>
      <c r="S551" s="242"/>
      <c r="T551" s="13"/>
      <c r="U551" s="242"/>
      <c r="V551" s="242"/>
      <c r="W551" s="242"/>
      <c r="X551" s="242"/>
      <c r="Y551" s="242"/>
      <c r="Z551" s="242"/>
      <c r="AA551" s="242"/>
      <c r="AB551" s="242"/>
      <c r="AC551" s="242"/>
    </row>
    <row r="552">
      <c r="A552" s="242"/>
      <c r="B552" s="242"/>
      <c r="C552" s="242"/>
      <c r="D552" s="242"/>
      <c r="E552" s="242"/>
      <c r="F552" s="242"/>
      <c r="G552" s="242"/>
      <c r="H552" s="242"/>
      <c r="I552" s="242"/>
      <c r="J552" s="13"/>
      <c r="K552" s="15"/>
      <c r="L552" s="341"/>
      <c r="M552" s="13"/>
      <c r="N552" s="13"/>
      <c r="O552" s="13"/>
      <c r="P552" s="13"/>
      <c r="Q552" s="242"/>
      <c r="R552" s="13"/>
      <c r="S552" s="242"/>
      <c r="T552" s="13"/>
      <c r="U552" s="242"/>
      <c r="V552" s="242"/>
      <c r="W552" s="242"/>
      <c r="X552" s="242"/>
      <c r="Y552" s="242"/>
      <c r="Z552" s="242"/>
      <c r="AA552" s="242"/>
      <c r="AB552" s="242"/>
      <c r="AC552" s="242"/>
    </row>
    <row r="553">
      <c r="A553" s="242"/>
      <c r="B553" s="242"/>
      <c r="C553" s="242"/>
      <c r="D553" s="242"/>
      <c r="E553" s="242"/>
      <c r="F553" s="242"/>
      <c r="G553" s="242"/>
      <c r="H553" s="242"/>
      <c r="I553" s="242"/>
      <c r="J553" s="13"/>
      <c r="K553" s="15"/>
      <c r="L553" s="341"/>
      <c r="M553" s="13"/>
      <c r="N553" s="13"/>
      <c r="O553" s="13"/>
      <c r="P553" s="13"/>
      <c r="Q553" s="242"/>
      <c r="R553" s="13"/>
      <c r="S553" s="242"/>
      <c r="T553" s="13"/>
      <c r="U553" s="242"/>
      <c r="V553" s="242"/>
      <c r="W553" s="242"/>
      <c r="X553" s="242"/>
      <c r="Y553" s="242"/>
      <c r="Z553" s="242"/>
      <c r="AA553" s="242"/>
      <c r="AB553" s="242"/>
      <c r="AC553" s="242"/>
    </row>
    <row r="554">
      <c r="A554" s="242"/>
      <c r="B554" s="242"/>
      <c r="C554" s="242"/>
      <c r="D554" s="242"/>
      <c r="E554" s="242"/>
      <c r="F554" s="242"/>
      <c r="G554" s="242"/>
      <c r="H554" s="242"/>
      <c r="I554" s="242"/>
      <c r="J554" s="13"/>
      <c r="K554" s="15"/>
      <c r="L554" s="341"/>
      <c r="M554" s="13"/>
      <c r="N554" s="13"/>
      <c r="O554" s="13"/>
      <c r="P554" s="13"/>
      <c r="Q554" s="242"/>
      <c r="R554" s="13"/>
      <c r="S554" s="242"/>
      <c r="T554" s="13"/>
      <c r="U554" s="242"/>
      <c r="V554" s="242"/>
      <c r="W554" s="242"/>
      <c r="X554" s="242"/>
      <c r="Y554" s="242"/>
      <c r="Z554" s="242"/>
      <c r="AA554" s="242"/>
      <c r="AB554" s="242"/>
      <c r="AC554" s="242"/>
    </row>
    <row r="555">
      <c r="A555" s="242"/>
      <c r="B555" s="242"/>
      <c r="C555" s="242"/>
      <c r="D555" s="242"/>
      <c r="E555" s="242"/>
      <c r="F555" s="242"/>
      <c r="G555" s="242"/>
      <c r="H555" s="242"/>
      <c r="I555" s="242"/>
      <c r="J555" s="13"/>
      <c r="K555" s="15"/>
      <c r="L555" s="341"/>
      <c r="M555" s="13"/>
      <c r="N555" s="13"/>
      <c r="O555" s="13"/>
      <c r="P555" s="13"/>
      <c r="Q555" s="242"/>
      <c r="R555" s="13"/>
      <c r="S555" s="242"/>
      <c r="T555" s="13"/>
      <c r="U555" s="242"/>
      <c r="V555" s="242"/>
      <c r="W555" s="242"/>
      <c r="X555" s="242"/>
      <c r="Y555" s="242"/>
      <c r="Z555" s="242"/>
      <c r="AA555" s="242"/>
      <c r="AB555" s="242"/>
      <c r="AC555" s="242"/>
    </row>
    <row r="556">
      <c r="A556" s="242"/>
      <c r="B556" s="242"/>
      <c r="C556" s="242"/>
      <c r="D556" s="242"/>
      <c r="E556" s="242"/>
      <c r="F556" s="242"/>
      <c r="G556" s="242"/>
      <c r="H556" s="242"/>
      <c r="I556" s="242"/>
      <c r="J556" s="13"/>
      <c r="K556" s="15"/>
      <c r="L556" s="341"/>
      <c r="M556" s="13"/>
      <c r="N556" s="13"/>
      <c r="O556" s="13"/>
      <c r="P556" s="13"/>
      <c r="Q556" s="242"/>
      <c r="R556" s="13"/>
      <c r="S556" s="242"/>
      <c r="T556" s="13"/>
      <c r="U556" s="242"/>
      <c r="V556" s="242"/>
      <c r="W556" s="242"/>
      <c r="X556" s="242"/>
      <c r="Y556" s="242"/>
      <c r="Z556" s="242"/>
      <c r="AA556" s="242"/>
      <c r="AB556" s="242"/>
      <c r="AC556" s="242"/>
    </row>
    <row r="557">
      <c r="A557" s="242"/>
      <c r="B557" s="242"/>
      <c r="C557" s="242"/>
      <c r="D557" s="242"/>
      <c r="E557" s="242"/>
      <c r="F557" s="242"/>
      <c r="G557" s="242"/>
      <c r="H557" s="242"/>
      <c r="I557" s="242"/>
      <c r="J557" s="13"/>
      <c r="K557" s="15"/>
      <c r="L557" s="341"/>
      <c r="M557" s="13"/>
      <c r="N557" s="13"/>
      <c r="O557" s="13"/>
      <c r="P557" s="13"/>
      <c r="Q557" s="242"/>
      <c r="R557" s="13"/>
      <c r="S557" s="242"/>
      <c r="T557" s="13"/>
      <c r="U557" s="242"/>
      <c r="V557" s="242"/>
      <c r="W557" s="242"/>
      <c r="X557" s="242"/>
      <c r="Y557" s="242"/>
      <c r="Z557" s="242"/>
      <c r="AA557" s="242"/>
      <c r="AB557" s="242"/>
      <c r="AC557" s="242"/>
    </row>
    <row r="558">
      <c r="A558" s="242"/>
      <c r="B558" s="242"/>
      <c r="C558" s="242"/>
      <c r="D558" s="242"/>
      <c r="E558" s="242"/>
      <c r="F558" s="242"/>
      <c r="G558" s="242"/>
      <c r="H558" s="242"/>
      <c r="I558" s="242"/>
      <c r="J558" s="13"/>
      <c r="K558" s="15"/>
      <c r="L558" s="341"/>
      <c r="M558" s="13"/>
      <c r="N558" s="13"/>
      <c r="O558" s="13"/>
      <c r="P558" s="13"/>
      <c r="Q558" s="242"/>
      <c r="R558" s="13"/>
      <c r="S558" s="242"/>
      <c r="T558" s="13"/>
      <c r="U558" s="242"/>
      <c r="V558" s="242"/>
      <c r="W558" s="242"/>
      <c r="X558" s="242"/>
      <c r="Y558" s="242"/>
      <c r="Z558" s="242"/>
      <c r="AA558" s="242"/>
      <c r="AB558" s="242"/>
      <c r="AC558" s="242"/>
    </row>
    <row r="559">
      <c r="A559" s="242"/>
      <c r="B559" s="242"/>
      <c r="C559" s="242"/>
      <c r="D559" s="242"/>
      <c r="E559" s="242"/>
      <c r="F559" s="242"/>
      <c r="G559" s="242"/>
      <c r="H559" s="242"/>
      <c r="I559" s="242"/>
      <c r="J559" s="13"/>
      <c r="K559" s="15"/>
      <c r="L559" s="341"/>
      <c r="M559" s="13"/>
      <c r="N559" s="13"/>
      <c r="O559" s="13"/>
      <c r="P559" s="13"/>
      <c r="Q559" s="242"/>
      <c r="R559" s="13"/>
      <c r="S559" s="242"/>
      <c r="T559" s="13"/>
      <c r="U559" s="242"/>
      <c r="V559" s="242"/>
      <c r="W559" s="242"/>
      <c r="X559" s="242"/>
      <c r="Y559" s="242"/>
      <c r="Z559" s="242"/>
      <c r="AA559" s="242"/>
      <c r="AB559" s="242"/>
      <c r="AC559" s="242"/>
    </row>
    <row r="560">
      <c r="A560" s="242"/>
      <c r="B560" s="242"/>
      <c r="C560" s="242"/>
      <c r="D560" s="242"/>
      <c r="E560" s="242"/>
      <c r="F560" s="242"/>
      <c r="G560" s="242"/>
      <c r="H560" s="242"/>
      <c r="I560" s="242"/>
      <c r="J560" s="13"/>
      <c r="K560" s="15"/>
      <c r="L560" s="341"/>
      <c r="M560" s="13"/>
      <c r="N560" s="13"/>
      <c r="O560" s="13"/>
      <c r="P560" s="13"/>
      <c r="Q560" s="242"/>
      <c r="R560" s="13"/>
      <c r="S560" s="242"/>
      <c r="T560" s="13"/>
      <c r="U560" s="242"/>
      <c r="V560" s="242"/>
      <c r="W560" s="242"/>
      <c r="X560" s="242"/>
      <c r="Y560" s="242"/>
      <c r="Z560" s="242"/>
      <c r="AA560" s="242"/>
      <c r="AB560" s="242"/>
      <c r="AC560" s="242"/>
    </row>
    <row r="561">
      <c r="A561" s="242"/>
      <c r="B561" s="242"/>
      <c r="C561" s="242"/>
      <c r="D561" s="242"/>
      <c r="E561" s="242"/>
      <c r="F561" s="242"/>
      <c r="G561" s="242"/>
      <c r="H561" s="242"/>
      <c r="I561" s="242"/>
      <c r="J561" s="13"/>
      <c r="K561" s="15"/>
      <c r="L561" s="341"/>
      <c r="M561" s="13"/>
      <c r="N561" s="13"/>
      <c r="O561" s="13"/>
      <c r="P561" s="13"/>
      <c r="Q561" s="242"/>
      <c r="R561" s="13"/>
      <c r="S561" s="242"/>
      <c r="T561" s="13"/>
      <c r="U561" s="242"/>
      <c r="V561" s="242"/>
      <c r="W561" s="242"/>
      <c r="X561" s="242"/>
      <c r="Y561" s="242"/>
      <c r="Z561" s="242"/>
      <c r="AA561" s="242"/>
      <c r="AB561" s="242"/>
      <c r="AC561" s="242"/>
    </row>
    <row r="562">
      <c r="A562" s="242"/>
      <c r="B562" s="242"/>
      <c r="C562" s="242"/>
      <c r="D562" s="242"/>
      <c r="E562" s="242"/>
      <c r="F562" s="242"/>
      <c r="G562" s="242"/>
      <c r="H562" s="242"/>
      <c r="I562" s="242"/>
      <c r="J562" s="13"/>
      <c r="K562" s="15"/>
      <c r="L562" s="341"/>
      <c r="M562" s="13"/>
      <c r="N562" s="13"/>
      <c r="O562" s="13"/>
      <c r="P562" s="13"/>
      <c r="Q562" s="242"/>
      <c r="R562" s="13"/>
      <c r="S562" s="242"/>
      <c r="T562" s="13"/>
      <c r="U562" s="242"/>
      <c r="V562" s="242"/>
      <c r="W562" s="242"/>
      <c r="X562" s="242"/>
      <c r="Y562" s="242"/>
      <c r="Z562" s="242"/>
      <c r="AA562" s="242"/>
      <c r="AB562" s="242"/>
      <c r="AC562" s="242"/>
    </row>
    <row r="563">
      <c r="A563" s="242"/>
      <c r="B563" s="242"/>
      <c r="C563" s="242"/>
      <c r="D563" s="242"/>
      <c r="E563" s="242"/>
      <c r="F563" s="242"/>
      <c r="G563" s="242"/>
      <c r="H563" s="242"/>
      <c r="I563" s="242"/>
      <c r="J563" s="13"/>
      <c r="K563" s="15"/>
      <c r="L563" s="341"/>
      <c r="M563" s="13"/>
      <c r="N563" s="13"/>
      <c r="O563" s="13"/>
      <c r="P563" s="13"/>
      <c r="Q563" s="242"/>
      <c r="R563" s="13"/>
      <c r="S563" s="242"/>
      <c r="T563" s="13"/>
      <c r="U563" s="242"/>
      <c r="V563" s="242"/>
      <c r="W563" s="242"/>
      <c r="X563" s="242"/>
      <c r="Y563" s="242"/>
      <c r="Z563" s="242"/>
      <c r="AA563" s="242"/>
      <c r="AB563" s="242"/>
      <c r="AC563" s="242"/>
    </row>
    <row r="564">
      <c r="A564" s="242"/>
      <c r="B564" s="242"/>
      <c r="C564" s="242"/>
      <c r="D564" s="242"/>
      <c r="E564" s="242"/>
      <c r="F564" s="242"/>
      <c r="G564" s="242"/>
      <c r="H564" s="242"/>
      <c r="I564" s="242"/>
      <c r="J564" s="13"/>
      <c r="K564" s="15"/>
      <c r="L564" s="341"/>
      <c r="M564" s="13"/>
      <c r="N564" s="13"/>
      <c r="O564" s="13"/>
      <c r="P564" s="13"/>
      <c r="Q564" s="242"/>
      <c r="R564" s="13"/>
      <c r="S564" s="242"/>
      <c r="T564" s="13"/>
      <c r="U564" s="242"/>
      <c r="V564" s="242"/>
      <c r="W564" s="242"/>
      <c r="X564" s="242"/>
      <c r="Y564" s="242"/>
      <c r="Z564" s="242"/>
      <c r="AA564" s="242"/>
      <c r="AB564" s="242"/>
      <c r="AC564" s="242"/>
    </row>
    <row r="565">
      <c r="A565" s="242"/>
      <c r="B565" s="242"/>
      <c r="C565" s="242"/>
      <c r="D565" s="242"/>
      <c r="E565" s="242"/>
      <c r="F565" s="242"/>
      <c r="G565" s="242"/>
      <c r="H565" s="242"/>
      <c r="I565" s="242"/>
      <c r="J565" s="13"/>
      <c r="K565" s="15"/>
      <c r="L565" s="341"/>
      <c r="M565" s="13"/>
      <c r="N565" s="13"/>
      <c r="O565" s="13"/>
      <c r="P565" s="13"/>
      <c r="Q565" s="242"/>
      <c r="R565" s="13"/>
      <c r="S565" s="242"/>
      <c r="T565" s="13"/>
      <c r="U565" s="242"/>
      <c r="V565" s="242"/>
      <c r="W565" s="242"/>
      <c r="X565" s="242"/>
      <c r="Y565" s="242"/>
      <c r="Z565" s="242"/>
      <c r="AA565" s="242"/>
      <c r="AB565" s="242"/>
      <c r="AC565" s="242"/>
    </row>
    <row r="566">
      <c r="A566" s="242"/>
      <c r="B566" s="242"/>
      <c r="C566" s="242"/>
      <c r="D566" s="242"/>
      <c r="E566" s="242"/>
      <c r="F566" s="242"/>
      <c r="G566" s="242"/>
      <c r="H566" s="242"/>
      <c r="I566" s="242"/>
      <c r="J566" s="13"/>
      <c r="K566" s="15"/>
      <c r="L566" s="341"/>
      <c r="M566" s="13"/>
      <c r="N566" s="13"/>
      <c r="O566" s="13"/>
      <c r="P566" s="13"/>
      <c r="Q566" s="242"/>
      <c r="R566" s="13"/>
      <c r="S566" s="242"/>
      <c r="T566" s="13"/>
      <c r="U566" s="242"/>
      <c r="V566" s="242"/>
      <c r="W566" s="242"/>
      <c r="X566" s="242"/>
      <c r="Y566" s="242"/>
      <c r="Z566" s="242"/>
      <c r="AA566" s="242"/>
      <c r="AB566" s="242"/>
      <c r="AC566" s="242"/>
    </row>
    <row r="567">
      <c r="A567" s="242"/>
      <c r="B567" s="242"/>
      <c r="C567" s="242"/>
      <c r="D567" s="242"/>
      <c r="E567" s="242"/>
      <c r="F567" s="242"/>
      <c r="G567" s="242"/>
      <c r="H567" s="242"/>
      <c r="I567" s="242"/>
      <c r="J567" s="13"/>
      <c r="K567" s="15"/>
      <c r="L567" s="341"/>
      <c r="M567" s="13"/>
      <c r="N567" s="13"/>
      <c r="O567" s="13"/>
      <c r="P567" s="13"/>
      <c r="Q567" s="242"/>
      <c r="R567" s="13"/>
      <c r="S567" s="242"/>
      <c r="T567" s="13"/>
      <c r="U567" s="242"/>
      <c r="V567" s="242"/>
      <c r="W567" s="242"/>
      <c r="X567" s="242"/>
      <c r="Y567" s="242"/>
      <c r="Z567" s="242"/>
      <c r="AA567" s="242"/>
      <c r="AB567" s="242"/>
      <c r="AC567" s="242"/>
    </row>
    <row r="568">
      <c r="A568" s="242"/>
      <c r="B568" s="242"/>
      <c r="C568" s="242"/>
      <c r="D568" s="242"/>
      <c r="E568" s="242"/>
      <c r="F568" s="242"/>
      <c r="G568" s="242"/>
      <c r="H568" s="242"/>
      <c r="I568" s="242"/>
      <c r="J568" s="13"/>
      <c r="K568" s="15"/>
      <c r="L568" s="341"/>
      <c r="M568" s="13"/>
      <c r="N568" s="13"/>
      <c r="O568" s="13"/>
      <c r="P568" s="13"/>
      <c r="Q568" s="242"/>
      <c r="R568" s="13"/>
      <c r="S568" s="242"/>
      <c r="T568" s="13"/>
      <c r="U568" s="242"/>
      <c r="V568" s="242"/>
      <c r="W568" s="242"/>
      <c r="X568" s="242"/>
      <c r="Y568" s="242"/>
      <c r="Z568" s="242"/>
      <c r="AA568" s="242"/>
      <c r="AB568" s="242"/>
      <c r="AC568" s="242"/>
    </row>
    <row r="569">
      <c r="A569" s="242"/>
      <c r="B569" s="242"/>
      <c r="C569" s="242"/>
      <c r="D569" s="242"/>
      <c r="E569" s="242"/>
      <c r="F569" s="242"/>
      <c r="G569" s="242"/>
      <c r="H569" s="242"/>
      <c r="I569" s="242"/>
      <c r="J569" s="13"/>
      <c r="K569" s="15"/>
      <c r="L569" s="341"/>
      <c r="M569" s="13"/>
      <c r="N569" s="13"/>
      <c r="O569" s="13"/>
      <c r="P569" s="13"/>
      <c r="Q569" s="242"/>
      <c r="R569" s="13"/>
      <c r="S569" s="242"/>
      <c r="T569" s="13"/>
      <c r="U569" s="242"/>
      <c r="V569" s="242"/>
      <c r="W569" s="242"/>
      <c r="X569" s="242"/>
      <c r="Y569" s="242"/>
      <c r="Z569" s="242"/>
      <c r="AA569" s="242"/>
      <c r="AB569" s="242"/>
      <c r="AC569" s="242"/>
    </row>
    <row r="570">
      <c r="A570" s="242"/>
      <c r="B570" s="242"/>
      <c r="C570" s="242"/>
      <c r="D570" s="242"/>
      <c r="E570" s="242"/>
      <c r="F570" s="242"/>
      <c r="G570" s="242"/>
      <c r="H570" s="242"/>
      <c r="I570" s="242"/>
      <c r="J570" s="13"/>
      <c r="K570" s="15"/>
      <c r="L570" s="341"/>
      <c r="M570" s="13"/>
      <c r="N570" s="13"/>
      <c r="O570" s="13"/>
      <c r="P570" s="13"/>
      <c r="Q570" s="242"/>
      <c r="R570" s="13"/>
      <c r="S570" s="242"/>
      <c r="T570" s="13"/>
      <c r="U570" s="242"/>
      <c r="V570" s="242"/>
      <c r="W570" s="242"/>
      <c r="X570" s="242"/>
      <c r="Y570" s="242"/>
      <c r="Z570" s="242"/>
      <c r="AA570" s="242"/>
      <c r="AB570" s="242"/>
      <c r="AC570" s="242"/>
    </row>
    <row r="571">
      <c r="A571" s="242"/>
      <c r="B571" s="242"/>
      <c r="C571" s="242"/>
      <c r="D571" s="242"/>
      <c r="E571" s="242"/>
      <c r="F571" s="242"/>
      <c r="G571" s="242"/>
      <c r="H571" s="242"/>
      <c r="I571" s="242"/>
      <c r="J571" s="13"/>
      <c r="K571" s="15"/>
      <c r="L571" s="341"/>
      <c r="M571" s="13"/>
      <c r="N571" s="13"/>
      <c r="O571" s="13"/>
      <c r="P571" s="13"/>
      <c r="Q571" s="242"/>
      <c r="R571" s="13"/>
      <c r="S571" s="242"/>
      <c r="T571" s="13"/>
      <c r="U571" s="242"/>
      <c r="V571" s="242"/>
      <c r="W571" s="242"/>
      <c r="X571" s="242"/>
      <c r="Y571" s="242"/>
      <c r="Z571" s="242"/>
      <c r="AA571" s="242"/>
      <c r="AB571" s="242"/>
      <c r="AC571" s="242"/>
    </row>
    <row r="572">
      <c r="A572" s="242"/>
      <c r="B572" s="242"/>
      <c r="C572" s="242"/>
      <c r="D572" s="242"/>
      <c r="E572" s="242"/>
      <c r="F572" s="242"/>
      <c r="G572" s="242"/>
      <c r="H572" s="242"/>
      <c r="I572" s="242"/>
      <c r="J572" s="13"/>
      <c r="K572" s="15"/>
      <c r="L572" s="341"/>
      <c r="M572" s="13"/>
      <c r="N572" s="13"/>
      <c r="O572" s="13"/>
      <c r="P572" s="13"/>
      <c r="Q572" s="242"/>
      <c r="R572" s="13"/>
      <c r="S572" s="242"/>
      <c r="T572" s="13"/>
      <c r="U572" s="242"/>
      <c r="V572" s="242"/>
      <c r="W572" s="242"/>
      <c r="X572" s="242"/>
      <c r="Y572" s="242"/>
      <c r="Z572" s="242"/>
      <c r="AA572" s="242"/>
      <c r="AB572" s="242"/>
      <c r="AC572" s="242"/>
    </row>
    <row r="573">
      <c r="A573" s="242"/>
      <c r="B573" s="242"/>
      <c r="C573" s="242"/>
      <c r="D573" s="242"/>
      <c r="E573" s="242"/>
      <c r="F573" s="242"/>
      <c r="G573" s="242"/>
      <c r="H573" s="242"/>
      <c r="I573" s="242"/>
      <c r="J573" s="13"/>
      <c r="K573" s="15"/>
      <c r="L573" s="341"/>
      <c r="M573" s="13"/>
      <c r="N573" s="13"/>
      <c r="O573" s="13"/>
      <c r="P573" s="13"/>
      <c r="Q573" s="242"/>
      <c r="R573" s="13"/>
      <c r="S573" s="242"/>
      <c r="T573" s="13"/>
      <c r="U573" s="242"/>
      <c r="V573" s="242"/>
      <c r="W573" s="242"/>
      <c r="X573" s="242"/>
      <c r="Y573" s="242"/>
      <c r="Z573" s="242"/>
      <c r="AA573" s="242"/>
      <c r="AB573" s="242"/>
      <c r="AC573" s="242"/>
    </row>
    <row r="574">
      <c r="A574" s="242"/>
      <c r="B574" s="242"/>
      <c r="C574" s="242"/>
      <c r="D574" s="242"/>
      <c r="E574" s="242"/>
      <c r="F574" s="242"/>
      <c r="G574" s="242"/>
      <c r="H574" s="242"/>
      <c r="I574" s="242"/>
      <c r="J574" s="13"/>
      <c r="K574" s="15"/>
      <c r="L574" s="341"/>
      <c r="M574" s="13"/>
      <c r="N574" s="13"/>
      <c r="O574" s="13"/>
      <c r="P574" s="13"/>
      <c r="Q574" s="242"/>
      <c r="R574" s="13"/>
      <c r="S574" s="242"/>
      <c r="T574" s="13"/>
      <c r="U574" s="242"/>
      <c r="V574" s="242"/>
      <c r="W574" s="242"/>
      <c r="X574" s="242"/>
      <c r="Y574" s="242"/>
      <c r="Z574" s="242"/>
      <c r="AA574" s="242"/>
      <c r="AB574" s="242"/>
      <c r="AC574" s="242"/>
    </row>
    <row r="575">
      <c r="A575" s="242"/>
      <c r="B575" s="242"/>
      <c r="C575" s="242"/>
      <c r="D575" s="242"/>
      <c r="E575" s="242"/>
      <c r="F575" s="242"/>
      <c r="G575" s="242"/>
      <c r="H575" s="242"/>
      <c r="I575" s="242"/>
      <c r="J575" s="13"/>
      <c r="K575" s="15"/>
      <c r="L575" s="341"/>
      <c r="M575" s="13"/>
      <c r="N575" s="13"/>
      <c r="O575" s="13"/>
      <c r="P575" s="13"/>
      <c r="Q575" s="242"/>
      <c r="R575" s="13"/>
      <c r="S575" s="242"/>
      <c r="T575" s="13"/>
      <c r="U575" s="242"/>
      <c r="V575" s="242"/>
      <c r="W575" s="242"/>
      <c r="X575" s="242"/>
      <c r="Y575" s="242"/>
      <c r="Z575" s="242"/>
      <c r="AA575" s="242"/>
      <c r="AB575" s="242"/>
      <c r="AC575" s="242"/>
    </row>
    <row r="576">
      <c r="A576" s="242"/>
      <c r="B576" s="242"/>
      <c r="C576" s="242"/>
      <c r="D576" s="242"/>
      <c r="E576" s="242"/>
      <c r="F576" s="242"/>
      <c r="G576" s="242"/>
      <c r="H576" s="242"/>
      <c r="I576" s="242"/>
      <c r="J576" s="13"/>
      <c r="K576" s="15"/>
      <c r="L576" s="341"/>
      <c r="M576" s="13"/>
      <c r="N576" s="13"/>
      <c r="O576" s="13"/>
      <c r="P576" s="13"/>
      <c r="Q576" s="242"/>
      <c r="R576" s="13"/>
      <c r="S576" s="242"/>
      <c r="T576" s="13"/>
      <c r="U576" s="242"/>
      <c r="V576" s="242"/>
      <c r="W576" s="242"/>
      <c r="X576" s="242"/>
      <c r="Y576" s="242"/>
      <c r="Z576" s="242"/>
      <c r="AA576" s="242"/>
      <c r="AB576" s="242"/>
      <c r="AC576" s="242"/>
    </row>
    <row r="577">
      <c r="A577" s="242"/>
      <c r="B577" s="242"/>
      <c r="C577" s="242"/>
      <c r="D577" s="242"/>
      <c r="E577" s="242"/>
      <c r="F577" s="242"/>
      <c r="G577" s="242"/>
      <c r="H577" s="242"/>
      <c r="I577" s="242"/>
      <c r="J577" s="13"/>
      <c r="K577" s="15"/>
      <c r="L577" s="341"/>
      <c r="M577" s="13"/>
      <c r="N577" s="13"/>
      <c r="O577" s="13"/>
      <c r="P577" s="13"/>
      <c r="Q577" s="242"/>
      <c r="R577" s="13"/>
      <c r="S577" s="242"/>
      <c r="T577" s="13"/>
      <c r="U577" s="242"/>
      <c r="V577" s="242"/>
      <c r="W577" s="242"/>
      <c r="X577" s="242"/>
      <c r="Y577" s="242"/>
      <c r="Z577" s="242"/>
      <c r="AA577" s="242"/>
      <c r="AB577" s="242"/>
      <c r="AC577" s="242"/>
    </row>
    <row r="578">
      <c r="A578" s="242"/>
      <c r="B578" s="242"/>
      <c r="C578" s="242"/>
      <c r="D578" s="242"/>
      <c r="E578" s="242"/>
      <c r="F578" s="242"/>
      <c r="G578" s="242"/>
      <c r="H578" s="242"/>
      <c r="I578" s="242"/>
      <c r="J578" s="13"/>
      <c r="K578" s="15"/>
      <c r="L578" s="341"/>
      <c r="M578" s="13"/>
      <c r="N578" s="13"/>
      <c r="O578" s="13"/>
      <c r="P578" s="13"/>
      <c r="Q578" s="242"/>
      <c r="R578" s="13"/>
      <c r="S578" s="242"/>
      <c r="T578" s="13"/>
      <c r="U578" s="242"/>
      <c r="V578" s="242"/>
      <c r="W578" s="242"/>
      <c r="X578" s="242"/>
      <c r="Y578" s="242"/>
      <c r="Z578" s="242"/>
      <c r="AA578" s="242"/>
      <c r="AB578" s="242"/>
      <c r="AC578" s="242"/>
    </row>
    <row r="579">
      <c r="A579" s="242"/>
      <c r="B579" s="242"/>
      <c r="C579" s="242"/>
      <c r="D579" s="242"/>
      <c r="E579" s="242"/>
      <c r="F579" s="242"/>
      <c r="G579" s="242"/>
      <c r="H579" s="242"/>
      <c r="I579" s="242"/>
      <c r="J579" s="13"/>
      <c r="K579" s="15"/>
      <c r="L579" s="341"/>
      <c r="M579" s="13"/>
      <c r="N579" s="13"/>
      <c r="O579" s="13"/>
      <c r="P579" s="13"/>
      <c r="Q579" s="242"/>
      <c r="R579" s="13"/>
      <c r="S579" s="242"/>
      <c r="T579" s="13"/>
      <c r="U579" s="242"/>
      <c r="V579" s="242"/>
      <c r="W579" s="242"/>
      <c r="X579" s="242"/>
      <c r="Y579" s="242"/>
      <c r="Z579" s="242"/>
      <c r="AA579" s="242"/>
      <c r="AB579" s="242"/>
      <c r="AC579" s="242"/>
    </row>
    <row r="580">
      <c r="A580" s="242"/>
      <c r="B580" s="242"/>
      <c r="C580" s="242"/>
      <c r="D580" s="242"/>
      <c r="E580" s="242"/>
      <c r="F580" s="242"/>
      <c r="G580" s="242"/>
      <c r="H580" s="242"/>
      <c r="I580" s="242"/>
      <c r="J580" s="13"/>
      <c r="K580" s="15"/>
      <c r="L580" s="341"/>
      <c r="M580" s="13"/>
      <c r="N580" s="13"/>
      <c r="O580" s="13"/>
      <c r="P580" s="13"/>
      <c r="Q580" s="242"/>
      <c r="R580" s="13"/>
      <c r="S580" s="242"/>
      <c r="T580" s="13"/>
      <c r="U580" s="242"/>
      <c r="V580" s="242"/>
      <c r="W580" s="242"/>
      <c r="X580" s="242"/>
      <c r="Y580" s="242"/>
      <c r="Z580" s="242"/>
      <c r="AA580" s="242"/>
      <c r="AB580" s="242"/>
      <c r="AC580" s="242"/>
    </row>
    <row r="581">
      <c r="A581" s="242"/>
      <c r="B581" s="242"/>
      <c r="C581" s="242"/>
      <c r="D581" s="242"/>
      <c r="E581" s="242"/>
      <c r="F581" s="242"/>
      <c r="G581" s="242"/>
      <c r="H581" s="242"/>
      <c r="I581" s="242"/>
      <c r="J581" s="13"/>
      <c r="K581" s="15"/>
      <c r="L581" s="341"/>
      <c r="M581" s="13"/>
      <c r="N581" s="13"/>
      <c r="O581" s="13"/>
      <c r="P581" s="13"/>
      <c r="Q581" s="242"/>
      <c r="R581" s="13"/>
      <c r="S581" s="242"/>
      <c r="T581" s="13"/>
      <c r="U581" s="242"/>
      <c r="V581" s="242"/>
      <c r="W581" s="242"/>
      <c r="X581" s="242"/>
      <c r="Y581" s="242"/>
      <c r="Z581" s="242"/>
      <c r="AA581" s="242"/>
      <c r="AB581" s="242"/>
      <c r="AC581" s="242"/>
    </row>
    <row r="582">
      <c r="A582" s="242"/>
      <c r="B582" s="242"/>
      <c r="C582" s="242"/>
      <c r="D582" s="242"/>
      <c r="E582" s="242"/>
      <c r="F582" s="242"/>
      <c r="G582" s="242"/>
      <c r="H582" s="242"/>
      <c r="I582" s="242"/>
      <c r="J582" s="13"/>
      <c r="K582" s="15"/>
      <c r="L582" s="341"/>
      <c r="M582" s="13"/>
      <c r="N582" s="13"/>
      <c r="O582" s="13"/>
      <c r="P582" s="13"/>
      <c r="Q582" s="242"/>
      <c r="R582" s="13"/>
      <c r="S582" s="242"/>
      <c r="T582" s="13"/>
      <c r="U582" s="242"/>
      <c r="V582" s="242"/>
      <c r="W582" s="242"/>
      <c r="X582" s="242"/>
      <c r="Y582" s="242"/>
      <c r="Z582" s="242"/>
      <c r="AA582" s="242"/>
      <c r="AB582" s="242"/>
      <c r="AC582" s="242"/>
    </row>
    <row r="583">
      <c r="A583" s="242"/>
      <c r="B583" s="242"/>
      <c r="C583" s="242"/>
      <c r="D583" s="242"/>
      <c r="E583" s="242"/>
      <c r="F583" s="242"/>
      <c r="G583" s="242"/>
      <c r="H583" s="242"/>
      <c r="I583" s="242"/>
      <c r="J583" s="13"/>
      <c r="K583" s="15"/>
      <c r="L583" s="341"/>
      <c r="M583" s="13"/>
      <c r="N583" s="13"/>
      <c r="O583" s="13"/>
      <c r="P583" s="13"/>
      <c r="Q583" s="242"/>
      <c r="R583" s="13"/>
      <c r="S583" s="242"/>
      <c r="T583" s="13"/>
      <c r="U583" s="242"/>
      <c r="V583" s="242"/>
      <c r="W583" s="242"/>
      <c r="X583" s="242"/>
      <c r="Y583" s="242"/>
      <c r="Z583" s="242"/>
      <c r="AA583" s="242"/>
      <c r="AB583" s="242"/>
      <c r="AC583" s="242"/>
    </row>
    <row r="584">
      <c r="A584" s="242"/>
      <c r="B584" s="242"/>
      <c r="C584" s="242"/>
      <c r="D584" s="242"/>
      <c r="E584" s="242"/>
      <c r="F584" s="242"/>
      <c r="G584" s="242"/>
      <c r="H584" s="242"/>
      <c r="I584" s="242"/>
      <c r="J584" s="13"/>
      <c r="K584" s="15"/>
      <c r="L584" s="341"/>
      <c r="M584" s="13"/>
      <c r="N584" s="13"/>
      <c r="O584" s="13"/>
      <c r="P584" s="13"/>
      <c r="Q584" s="242"/>
      <c r="R584" s="13"/>
      <c r="S584" s="242"/>
      <c r="T584" s="13"/>
      <c r="U584" s="242"/>
      <c r="V584" s="242"/>
      <c r="W584" s="242"/>
      <c r="X584" s="242"/>
      <c r="Y584" s="242"/>
      <c r="Z584" s="242"/>
      <c r="AA584" s="242"/>
      <c r="AB584" s="242"/>
      <c r="AC584" s="242"/>
    </row>
    <row r="585">
      <c r="A585" s="242"/>
      <c r="B585" s="242"/>
      <c r="C585" s="242"/>
      <c r="D585" s="242"/>
      <c r="E585" s="242"/>
      <c r="F585" s="242"/>
      <c r="G585" s="242"/>
      <c r="H585" s="242"/>
      <c r="I585" s="242"/>
      <c r="J585" s="13"/>
      <c r="K585" s="15"/>
      <c r="L585" s="341"/>
      <c r="M585" s="13"/>
      <c r="N585" s="13"/>
      <c r="O585" s="13"/>
      <c r="P585" s="13"/>
      <c r="Q585" s="242"/>
      <c r="R585" s="13"/>
      <c r="S585" s="242"/>
      <c r="T585" s="13"/>
      <c r="U585" s="242"/>
      <c r="V585" s="242"/>
      <c r="W585" s="242"/>
      <c r="X585" s="242"/>
      <c r="Y585" s="242"/>
      <c r="Z585" s="242"/>
      <c r="AA585" s="242"/>
      <c r="AB585" s="242"/>
      <c r="AC585" s="242"/>
    </row>
    <row r="586">
      <c r="A586" s="242"/>
      <c r="B586" s="242"/>
      <c r="C586" s="242"/>
      <c r="D586" s="242"/>
      <c r="E586" s="242"/>
      <c r="F586" s="242"/>
      <c r="G586" s="242"/>
      <c r="H586" s="242"/>
      <c r="I586" s="242"/>
      <c r="J586" s="13"/>
      <c r="K586" s="15"/>
      <c r="L586" s="341"/>
      <c r="M586" s="13"/>
      <c r="N586" s="13"/>
      <c r="O586" s="13"/>
      <c r="P586" s="13"/>
      <c r="Q586" s="242"/>
      <c r="R586" s="13"/>
      <c r="S586" s="242"/>
      <c r="T586" s="13"/>
      <c r="U586" s="242"/>
      <c r="V586" s="242"/>
      <c r="W586" s="242"/>
      <c r="X586" s="242"/>
      <c r="Y586" s="242"/>
      <c r="Z586" s="242"/>
      <c r="AA586" s="242"/>
      <c r="AB586" s="242"/>
      <c r="AC586" s="242"/>
    </row>
    <row r="587">
      <c r="A587" s="242"/>
      <c r="B587" s="242"/>
      <c r="C587" s="242"/>
      <c r="D587" s="242"/>
      <c r="E587" s="242"/>
      <c r="F587" s="242"/>
      <c r="G587" s="242"/>
      <c r="H587" s="242"/>
      <c r="I587" s="242"/>
      <c r="J587" s="13"/>
      <c r="K587" s="15"/>
      <c r="L587" s="341"/>
      <c r="M587" s="13"/>
      <c r="N587" s="13"/>
      <c r="O587" s="13"/>
      <c r="P587" s="13"/>
      <c r="Q587" s="242"/>
      <c r="R587" s="13"/>
      <c r="S587" s="242"/>
      <c r="T587" s="13"/>
      <c r="U587" s="242"/>
      <c r="V587" s="242"/>
      <c r="W587" s="242"/>
      <c r="X587" s="242"/>
      <c r="Y587" s="242"/>
      <c r="Z587" s="242"/>
      <c r="AA587" s="242"/>
      <c r="AB587" s="242"/>
      <c r="AC587" s="242"/>
    </row>
    <row r="588">
      <c r="A588" s="242"/>
      <c r="B588" s="242"/>
      <c r="C588" s="242"/>
      <c r="D588" s="242"/>
      <c r="E588" s="242"/>
      <c r="F588" s="242"/>
      <c r="G588" s="242"/>
      <c r="H588" s="242"/>
      <c r="I588" s="242"/>
      <c r="J588" s="13"/>
      <c r="K588" s="15"/>
      <c r="L588" s="341"/>
      <c r="M588" s="13"/>
      <c r="N588" s="13"/>
      <c r="O588" s="13"/>
      <c r="P588" s="13"/>
      <c r="Q588" s="242"/>
      <c r="R588" s="13"/>
      <c r="S588" s="242"/>
      <c r="T588" s="13"/>
      <c r="U588" s="242"/>
      <c r="V588" s="242"/>
      <c r="W588" s="242"/>
      <c r="X588" s="242"/>
      <c r="Y588" s="242"/>
      <c r="Z588" s="242"/>
      <c r="AA588" s="242"/>
      <c r="AB588" s="242"/>
      <c r="AC588" s="242"/>
    </row>
    <row r="589">
      <c r="A589" s="242"/>
      <c r="B589" s="242"/>
      <c r="C589" s="242"/>
      <c r="D589" s="242"/>
      <c r="E589" s="242"/>
      <c r="F589" s="242"/>
      <c r="G589" s="242"/>
      <c r="H589" s="242"/>
      <c r="I589" s="242"/>
      <c r="J589" s="13"/>
      <c r="K589" s="15"/>
      <c r="L589" s="341"/>
      <c r="M589" s="13"/>
      <c r="N589" s="13"/>
      <c r="O589" s="13"/>
      <c r="P589" s="13"/>
      <c r="Q589" s="242"/>
      <c r="R589" s="13"/>
      <c r="S589" s="242"/>
      <c r="T589" s="13"/>
      <c r="U589" s="242"/>
      <c r="V589" s="242"/>
      <c r="W589" s="242"/>
      <c r="X589" s="242"/>
      <c r="Y589" s="242"/>
      <c r="Z589" s="242"/>
      <c r="AA589" s="242"/>
      <c r="AB589" s="242"/>
      <c r="AC589" s="242"/>
    </row>
    <row r="590">
      <c r="A590" s="242"/>
      <c r="B590" s="242"/>
      <c r="C590" s="242"/>
      <c r="D590" s="242"/>
      <c r="E590" s="242"/>
      <c r="F590" s="242"/>
      <c r="G590" s="242"/>
      <c r="H590" s="242"/>
      <c r="I590" s="242"/>
      <c r="J590" s="13"/>
      <c r="K590" s="15"/>
      <c r="L590" s="341"/>
      <c r="M590" s="13"/>
      <c r="N590" s="13"/>
      <c r="O590" s="13"/>
      <c r="P590" s="13"/>
      <c r="Q590" s="242"/>
      <c r="R590" s="13"/>
      <c r="S590" s="242"/>
      <c r="T590" s="13"/>
      <c r="U590" s="242"/>
      <c r="V590" s="242"/>
      <c r="W590" s="242"/>
      <c r="X590" s="242"/>
      <c r="Y590" s="242"/>
      <c r="Z590" s="242"/>
      <c r="AA590" s="242"/>
      <c r="AB590" s="242"/>
      <c r="AC590" s="242"/>
    </row>
    <row r="591">
      <c r="A591" s="242"/>
      <c r="B591" s="242"/>
      <c r="C591" s="242"/>
      <c r="D591" s="242"/>
      <c r="E591" s="242"/>
      <c r="F591" s="242"/>
      <c r="G591" s="242"/>
      <c r="H591" s="242"/>
      <c r="I591" s="242"/>
      <c r="J591" s="13"/>
      <c r="K591" s="15"/>
      <c r="L591" s="341"/>
      <c r="M591" s="13"/>
      <c r="N591" s="13"/>
      <c r="O591" s="13"/>
      <c r="P591" s="13"/>
      <c r="Q591" s="242"/>
      <c r="R591" s="13"/>
      <c r="S591" s="242"/>
      <c r="T591" s="13"/>
      <c r="U591" s="242"/>
      <c r="V591" s="242"/>
      <c r="W591" s="242"/>
      <c r="X591" s="242"/>
      <c r="Y591" s="242"/>
      <c r="Z591" s="242"/>
      <c r="AA591" s="242"/>
      <c r="AB591" s="242"/>
      <c r="AC591" s="242"/>
    </row>
    <row r="592">
      <c r="A592" s="242"/>
      <c r="B592" s="242"/>
      <c r="C592" s="242"/>
      <c r="D592" s="242"/>
      <c r="E592" s="242"/>
      <c r="F592" s="242"/>
      <c r="G592" s="242"/>
      <c r="H592" s="242"/>
      <c r="I592" s="242"/>
      <c r="J592" s="13"/>
      <c r="K592" s="15"/>
      <c r="L592" s="341"/>
      <c r="M592" s="13"/>
      <c r="N592" s="13"/>
      <c r="O592" s="13"/>
      <c r="P592" s="13"/>
      <c r="Q592" s="242"/>
      <c r="R592" s="13"/>
      <c r="S592" s="242"/>
      <c r="T592" s="13"/>
      <c r="U592" s="242"/>
      <c r="V592" s="242"/>
      <c r="W592" s="242"/>
      <c r="X592" s="242"/>
      <c r="Y592" s="242"/>
      <c r="Z592" s="242"/>
      <c r="AA592" s="242"/>
      <c r="AB592" s="242"/>
      <c r="AC592" s="242"/>
    </row>
    <row r="593">
      <c r="A593" s="242"/>
      <c r="B593" s="242"/>
      <c r="C593" s="242"/>
      <c r="D593" s="242"/>
      <c r="E593" s="242"/>
      <c r="F593" s="242"/>
      <c r="G593" s="242"/>
      <c r="H593" s="242"/>
      <c r="I593" s="242"/>
      <c r="J593" s="13"/>
      <c r="K593" s="15"/>
      <c r="L593" s="341"/>
      <c r="M593" s="13"/>
      <c r="N593" s="13"/>
      <c r="O593" s="13"/>
      <c r="P593" s="13"/>
      <c r="Q593" s="242"/>
      <c r="R593" s="13"/>
      <c r="S593" s="242"/>
      <c r="T593" s="13"/>
      <c r="U593" s="242"/>
      <c r="V593" s="242"/>
      <c r="W593" s="242"/>
      <c r="X593" s="242"/>
      <c r="Y593" s="242"/>
      <c r="Z593" s="242"/>
      <c r="AA593" s="242"/>
      <c r="AB593" s="242"/>
      <c r="AC593" s="242"/>
    </row>
    <row r="594">
      <c r="A594" s="242"/>
      <c r="B594" s="242"/>
      <c r="C594" s="242"/>
      <c r="D594" s="242"/>
      <c r="E594" s="242"/>
      <c r="F594" s="242"/>
      <c r="G594" s="242"/>
      <c r="H594" s="242"/>
      <c r="I594" s="242"/>
      <c r="J594" s="13"/>
      <c r="K594" s="15"/>
      <c r="L594" s="341"/>
      <c r="M594" s="13"/>
      <c r="N594" s="13"/>
      <c r="O594" s="13"/>
      <c r="P594" s="13"/>
      <c r="Q594" s="242"/>
      <c r="R594" s="13"/>
      <c r="S594" s="242"/>
      <c r="T594" s="13"/>
      <c r="U594" s="242"/>
      <c r="V594" s="242"/>
      <c r="W594" s="242"/>
      <c r="X594" s="242"/>
      <c r="Y594" s="242"/>
      <c r="Z594" s="242"/>
      <c r="AA594" s="242"/>
      <c r="AB594" s="242"/>
      <c r="AC594" s="242"/>
    </row>
    <row r="595">
      <c r="A595" s="242"/>
      <c r="B595" s="242"/>
      <c r="C595" s="242"/>
      <c r="D595" s="242"/>
      <c r="E595" s="242"/>
      <c r="F595" s="242"/>
      <c r="G595" s="242"/>
      <c r="H595" s="242"/>
      <c r="I595" s="242"/>
      <c r="J595" s="13"/>
      <c r="K595" s="15"/>
      <c r="L595" s="341"/>
      <c r="M595" s="13"/>
      <c r="N595" s="13"/>
      <c r="O595" s="13"/>
      <c r="P595" s="13"/>
      <c r="Q595" s="242"/>
      <c r="R595" s="13"/>
      <c r="S595" s="242"/>
      <c r="T595" s="13"/>
      <c r="U595" s="242"/>
      <c r="V595" s="242"/>
      <c r="W595" s="242"/>
      <c r="X595" s="242"/>
      <c r="Y595" s="242"/>
      <c r="Z595" s="242"/>
      <c r="AA595" s="242"/>
      <c r="AB595" s="242"/>
      <c r="AC595" s="242"/>
    </row>
    <row r="596">
      <c r="A596" s="242"/>
      <c r="B596" s="242"/>
      <c r="C596" s="242"/>
      <c r="D596" s="242"/>
      <c r="E596" s="242"/>
      <c r="F596" s="242"/>
      <c r="G596" s="242"/>
      <c r="H596" s="242"/>
      <c r="I596" s="242"/>
      <c r="J596" s="13"/>
      <c r="K596" s="15"/>
      <c r="L596" s="341"/>
      <c r="M596" s="13"/>
      <c r="N596" s="13"/>
      <c r="O596" s="13"/>
      <c r="P596" s="13"/>
      <c r="Q596" s="242"/>
      <c r="R596" s="13"/>
      <c r="S596" s="242"/>
      <c r="T596" s="13"/>
      <c r="U596" s="242"/>
      <c r="V596" s="242"/>
      <c r="W596" s="242"/>
      <c r="X596" s="242"/>
      <c r="Y596" s="242"/>
      <c r="Z596" s="242"/>
      <c r="AA596" s="242"/>
      <c r="AB596" s="242"/>
      <c r="AC596" s="242"/>
    </row>
    <row r="597">
      <c r="A597" s="242"/>
      <c r="B597" s="242"/>
      <c r="C597" s="242"/>
      <c r="D597" s="242"/>
      <c r="E597" s="242"/>
      <c r="F597" s="242"/>
      <c r="G597" s="242"/>
      <c r="H597" s="242"/>
      <c r="I597" s="242"/>
      <c r="J597" s="13"/>
      <c r="K597" s="15"/>
      <c r="L597" s="341"/>
      <c r="M597" s="13"/>
      <c r="N597" s="13"/>
      <c r="O597" s="13"/>
      <c r="P597" s="13"/>
      <c r="Q597" s="242"/>
      <c r="R597" s="13"/>
      <c r="S597" s="242"/>
      <c r="T597" s="13"/>
      <c r="U597" s="242"/>
      <c r="V597" s="242"/>
      <c r="W597" s="242"/>
      <c r="X597" s="242"/>
      <c r="Y597" s="242"/>
      <c r="Z597" s="242"/>
      <c r="AA597" s="242"/>
      <c r="AB597" s="242"/>
      <c r="AC597" s="242"/>
    </row>
    <row r="598">
      <c r="A598" s="242"/>
      <c r="B598" s="242"/>
      <c r="C598" s="242"/>
      <c r="D598" s="242"/>
      <c r="E598" s="242"/>
      <c r="F598" s="242"/>
      <c r="G598" s="242"/>
      <c r="H598" s="242"/>
      <c r="I598" s="242"/>
      <c r="J598" s="13"/>
      <c r="K598" s="15"/>
      <c r="L598" s="341"/>
      <c r="M598" s="13"/>
      <c r="N598" s="13"/>
      <c r="O598" s="13"/>
      <c r="P598" s="13"/>
      <c r="Q598" s="242"/>
      <c r="R598" s="13"/>
      <c r="S598" s="242"/>
      <c r="T598" s="13"/>
      <c r="U598" s="242"/>
      <c r="V598" s="242"/>
      <c r="W598" s="242"/>
      <c r="X598" s="242"/>
      <c r="Y598" s="242"/>
      <c r="Z598" s="242"/>
      <c r="AA598" s="242"/>
      <c r="AB598" s="242"/>
      <c r="AC598" s="242"/>
    </row>
    <row r="599">
      <c r="A599" s="242"/>
      <c r="B599" s="242"/>
      <c r="C599" s="242"/>
      <c r="D599" s="242"/>
      <c r="E599" s="242"/>
      <c r="F599" s="242"/>
      <c r="G599" s="242"/>
      <c r="H599" s="242"/>
      <c r="I599" s="242"/>
      <c r="J599" s="13"/>
      <c r="K599" s="15"/>
      <c r="L599" s="341"/>
      <c r="M599" s="13"/>
      <c r="N599" s="13"/>
      <c r="O599" s="13"/>
      <c r="P599" s="13"/>
      <c r="Q599" s="242"/>
      <c r="R599" s="13"/>
      <c r="S599" s="242"/>
      <c r="T599" s="13"/>
      <c r="U599" s="242"/>
      <c r="V599" s="242"/>
      <c r="W599" s="242"/>
      <c r="X599" s="242"/>
      <c r="Y599" s="242"/>
      <c r="Z599" s="242"/>
      <c r="AA599" s="242"/>
      <c r="AB599" s="242"/>
      <c r="AC599" s="242"/>
    </row>
    <row r="600">
      <c r="A600" s="242"/>
      <c r="B600" s="242"/>
      <c r="C600" s="242"/>
      <c r="D600" s="242"/>
      <c r="E600" s="242"/>
      <c r="F600" s="242"/>
      <c r="G600" s="242"/>
      <c r="H600" s="242"/>
      <c r="I600" s="242"/>
      <c r="J600" s="13"/>
      <c r="K600" s="15"/>
      <c r="L600" s="341"/>
      <c r="M600" s="13"/>
      <c r="N600" s="13"/>
      <c r="O600" s="13"/>
      <c r="P600" s="13"/>
      <c r="Q600" s="242"/>
      <c r="R600" s="13"/>
      <c r="S600" s="242"/>
      <c r="T600" s="13"/>
      <c r="U600" s="242"/>
      <c r="V600" s="242"/>
      <c r="W600" s="242"/>
      <c r="X600" s="242"/>
      <c r="Y600" s="242"/>
      <c r="Z600" s="242"/>
      <c r="AA600" s="242"/>
      <c r="AB600" s="242"/>
      <c r="AC600" s="242"/>
    </row>
    <row r="601">
      <c r="A601" s="242"/>
      <c r="B601" s="242"/>
      <c r="C601" s="242"/>
      <c r="D601" s="242"/>
      <c r="E601" s="242"/>
      <c r="F601" s="242"/>
      <c r="G601" s="242"/>
      <c r="H601" s="242"/>
      <c r="I601" s="242"/>
      <c r="J601" s="13"/>
      <c r="K601" s="15"/>
      <c r="L601" s="341"/>
      <c r="M601" s="13"/>
      <c r="N601" s="13"/>
      <c r="O601" s="13"/>
      <c r="P601" s="13"/>
      <c r="Q601" s="242"/>
      <c r="R601" s="13"/>
      <c r="S601" s="242"/>
      <c r="T601" s="13"/>
      <c r="U601" s="242"/>
      <c r="V601" s="242"/>
      <c r="W601" s="242"/>
      <c r="X601" s="242"/>
      <c r="Y601" s="242"/>
      <c r="Z601" s="242"/>
      <c r="AA601" s="242"/>
      <c r="AB601" s="242"/>
      <c r="AC601" s="242"/>
    </row>
    <row r="602">
      <c r="A602" s="242"/>
      <c r="B602" s="242"/>
      <c r="C602" s="242"/>
      <c r="D602" s="242"/>
      <c r="E602" s="242"/>
      <c r="F602" s="242"/>
      <c r="G602" s="242"/>
      <c r="H602" s="242"/>
      <c r="I602" s="242"/>
      <c r="J602" s="13"/>
      <c r="K602" s="15"/>
      <c r="L602" s="341"/>
      <c r="M602" s="13"/>
      <c r="N602" s="13"/>
      <c r="O602" s="13"/>
      <c r="P602" s="13"/>
      <c r="Q602" s="242"/>
      <c r="R602" s="13"/>
      <c r="S602" s="242"/>
      <c r="T602" s="13"/>
      <c r="U602" s="242"/>
      <c r="V602" s="242"/>
      <c r="W602" s="242"/>
      <c r="X602" s="242"/>
      <c r="Y602" s="242"/>
      <c r="Z602" s="242"/>
      <c r="AA602" s="242"/>
      <c r="AB602" s="242"/>
      <c r="AC602" s="242"/>
    </row>
    <row r="603">
      <c r="A603" s="242"/>
      <c r="B603" s="242"/>
      <c r="C603" s="242"/>
      <c r="D603" s="242"/>
      <c r="E603" s="242"/>
      <c r="F603" s="242"/>
      <c r="G603" s="242"/>
      <c r="H603" s="242"/>
      <c r="I603" s="242"/>
      <c r="J603" s="13"/>
      <c r="K603" s="15"/>
      <c r="L603" s="341"/>
      <c r="M603" s="13"/>
      <c r="N603" s="13"/>
      <c r="O603" s="13"/>
      <c r="P603" s="13"/>
      <c r="Q603" s="242"/>
      <c r="R603" s="13"/>
      <c r="S603" s="242"/>
      <c r="T603" s="13"/>
      <c r="U603" s="242"/>
      <c r="V603" s="242"/>
      <c r="W603" s="242"/>
      <c r="X603" s="242"/>
      <c r="Y603" s="242"/>
      <c r="Z603" s="242"/>
      <c r="AA603" s="242"/>
      <c r="AB603" s="242"/>
      <c r="AC603" s="242"/>
    </row>
    <row r="604">
      <c r="A604" s="242"/>
      <c r="B604" s="242"/>
      <c r="C604" s="242"/>
      <c r="D604" s="242"/>
      <c r="E604" s="242"/>
      <c r="F604" s="242"/>
      <c r="G604" s="242"/>
      <c r="H604" s="242"/>
      <c r="I604" s="242"/>
      <c r="J604" s="13"/>
      <c r="K604" s="15"/>
      <c r="L604" s="341"/>
      <c r="M604" s="13"/>
      <c r="N604" s="13"/>
      <c r="O604" s="13"/>
      <c r="P604" s="13"/>
      <c r="Q604" s="242"/>
      <c r="R604" s="13"/>
      <c r="S604" s="242"/>
      <c r="T604" s="13"/>
      <c r="U604" s="242"/>
      <c r="V604" s="242"/>
      <c r="W604" s="242"/>
      <c r="X604" s="242"/>
      <c r="Y604" s="242"/>
      <c r="Z604" s="242"/>
      <c r="AA604" s="242"/>
      <c r="AB604" s="242"/>
      <c r="AC604" s="242"/>
    </row>
    <row r="605">
      <c r="A605" s="242"/>
      <c r="B605" s="242"/>
      <c r="C605" s="242"/>
      <c r="D605" s="242"/>
      <c r="E605" s="242"/>
      <c r="F605" s="242"/>
      <c r="G605" s="242"/>
      <c r="H605" s="242"/>
      <c r="I605" s="242"/>
      <c r="J605" s="13"/>
      <c r="K605" s="15"/>
      <c r="L605" s="341"/>
      <c r="M605" s="13"/>
      <c r="N605" s="13"/>
      <c r="O605" s="13"/>
      <c r="P605" s="13"/>
      <c r="Q605" s="242"/>
      <c r="R605" s="13"/>
      <c r="S605" s="242"/>
      <c r="T605" s="13"/>
      <c r="U605" s="242"/>
      <c r="V605" s="242"/>
      <c r="W605" s="242"/>
      <c r="X605" s="242"/>
      <c r="Y605" s="242"/>
      <c r="Z605" s="242"/>
      <c r="AA605" s="242"/>
      <c r="AB605" s="242"/>
      <c r="AC605" s="242"/>
    </row>
    <row r="606">
      <c r="A606" s="242"/>
      <c r="B606" s="242"/>
      <c r="C606" s="242"/>
      <c r="D606" s="242"/>
      <c r="E606" s="242"/>
      <c r="F606" s="242"/>
      <c r="G606" s="242"/>
      <c r="H606" s="242"/>
      <c r="I606" s="242"/>
      <c r="J606" s="13"/>
      <c r="K606" s="15"/>
      <c r="L606" s="341"/>
      <c r="M606" s="13"/>
      <c r="N606" s="13"/>
      <c r="O606" s="13"/>
      <c r="P606" s="13"/>
      <c r="Q606" s="242"/>
      <c r="R606" s="13"/>
      <c r="S606" s="242"/>
      <c r="T606" s="13"/>
      <c r="U606" s="242"/>
      <c r="V606" s="242"/>
      <c r="W606" s="242"/>
      <c r="X606" s="242"/>
      <c r="Y606" s="242"/>
      <c r="Z606" s="242"/>
      <c r="AA606" s="242"/>
      <c r="AB606" s="242"/>
      <c r="AC606" s="242"/>
    </row>
    <row r="607">
      <c r="A607" s="242"/>
      <c r="B607" s="242"/>
      <c r="C607" s="242"/>
      <c r="D607" s="242"/>
      <c r="E607" s="242"/>
      <c r="F607" s="242"/>
      <c r="G607" s="242"/>
      <c r="H607" s="242"/>
      <c r="I607" s="242"/>
      <c r="J607" s="13"/>
      <c r="K607" s="15"/>
      <c r="L607" s="341"/>
      <c r="M607" s="13"/>
      <c r="N607" s="13"/>
      <c r="O607" s="13"/>
      <c r="P607" s="13"/>
      <c r="Q607" s="242"/>
      <c r="R607" s="13"/>
      <c r="S607" s="242"/>
      <c r="T607" s="13"/>
      <c r="U607" s="242"/>
      <c r="V607" s="242"/>
      <c r="W607" s="242"/>
      <c r="X607" s="242"/>
      <c r="Y607" s="242"/>
      <c r="Z607" s="242"/>
      <c r="AA607" s="242"/>
      <c r="AB607" s="242"/>
      <c r="AC607" s="242"/>
    </row>
    <row r="608">
      <c r="A608" s="242"/>
      <c r="B608" s="242"/>
      <c r="C608" s="242"/>
      <c r="D608" s="242"/>
      <c r="E608" s="242"/>
      <c r="F608" s="242"/>
      <c r="G608" s="242"/>
      <c r="H608" s="242"/>
      <c r="I608" s="242"/>
      <c r="J608" s="13"/>
      <c r="K608" s="15"/>
      <c r="L608" s="341"/>
      <c r="M608" s="13"/>
      <c r="N608" s="13"/>
      <c r="O608" s="13"/>
      <c r="P608" s="13"/>
      <c r="Q608" s="242"/>
      <c r="R608" s="13"/>
      <c r="S608" s="242"/>
      <c r="T608" s="13"/>
      <c r="U608" s="242"/>
      <c r="V608" s="242"/>
      <c r="W608" s="242"/>
      <c r="X608" s="242"/>
      <c r="Y608" s="242"/>
      <c r="Z608" s="242"/>
      <c r="AA608" s="242"/>
      <c r="AB608" s="242"/>
      <c r="AC608" s="242"/>
    </row>
    <row r="609">
      <c r="A609" s="242"/>
      <c r="B609" s="242"/>
      <c r="C609" s="242"/>
      <c r="D609" s="242"/>
      <c r="E609" s="242"/>
      <c r="F609" s="242"/>
      <c r="G609" s="242"/>
      <c r="H609" s="242"/>
      <c r="I609" s="242"/>
      <c r="J609" s="13"/>
      <c r="K609" s="15"/>
      <c r="L609" s="341"/>
      <c r="M609" s="13"/>
      <c r="N609" s="13"/>
      <c r="O609" s="13"/>
      <c r="P609" s="13"/>
      <c r="Q609" s="242"/>
      <c r="R609" s="13"/>
      <c r="S609" s="242"/>
      <c r="T609" s="13"/>
      <c r="U609" s="242"/>
      <c r="V609" s="242"/>
      <c r="W609" s="242"/>
      <c r="X609" s="242"/>
      <c r="Y609" s="242"/>
      <c r="Z609" s="242"/>
      <c r="AA609" s="242"/>
      <c r="AB609" s="242"/>
      <c r="AC609" s="242"/>
    </row>
    <row r="610">
      <c r="A610" s="242"/>
      <c r="B610" s="242"/>
      <c r="C610" s="242"/>
      <c r="D610" s="242"/>
      <c r="E610" s="242"/>
      <c r="F610" s="242"/>
      <c r="G610" s="242"/>
      <c r="H610" s="242"/>
      <c r="I610" s="242"/>
      <c r="J610" s="13"/>
      <c r="K610" s="15"/>
      <c r="L610" s="341"/>
      <c r="M610" s="13"/>
      <c r="N610" s="13"/>
      <c r="O610" s="13"/>
      <c r="P610" s="13"/>
      <c r="Q610" s="242"/>
      <c r="R610" s="13"/>
      <c r="S610" s="242"/>
      <c r="T610" s="13"/>
      <c r="U610" s="242"/>
      <c r="V610" s="242"/>
      <c r="W610" s="242"/>
      <c r="X610" s="242"/>
      <c r="Y610" s="242"/>
      <c r="Z610" s="242"/>
      <c r="AA610" s="242"/>
      <c r="AB610" s="242"/>
      <c r="AC610" s="242"/>
    </row>
    <row r="611">
      <c r="A611" s="242"/>
      <c r="B611" s="242"/>
      <c r="C611" s="242"/>
      <c r="D611" s="242"/>
      <c r="E611" s="242"/>
      <c r="F611" s="242"/>
      <c r="G611" s="242"/>
      <c r="H611" s="242"/>
      <c r="I611" s="242"/>
      <c r="J611" s="13"/>
      <c r="K611" s="15"/>
      <c r="L611" s="341"/>
      <c r="M611" s="13"/>
      <c r="N611" s="13"/>
      <c r="O611" s="13"/>
      <c r="P611" s="13"/>
      <c r="Q611" s="242"/>
      <c r="R611" s="13"/>
      <c r="S611" s="242"/>
      <c r="T611" s="13"/>
      <c r="U611" s="242"/>
      <c r="V611" s="242"/>
      <c r="W611" s="242"/>
      <c r="X611" s="242"/>
      <c r="Y611" s="242"/>
      <c r="Z611" s="242"/>
      <c r="AA611" s="242"/>
      <c r="AB611" s="242"/>
      <c r="AC611" s="242"/>
    </row>
    <row r="612">
      <c r="A612" s="242"/>
      <c r="B612" s="242"/>
      <c r="C612" s="242"/>
      <c r="D612" s="242"/>
      <c r="E612" s="242"/>
      <c r="F612" s="242"/>
      <c r="G612" s="242"/>
      <c r="H612" s="242"/>
      <c r="I612" s="242"/>
      <c r="J612" s="13"/>
      <c r="K612" s="15"/>
      <c r="L612" s="341"/>
      <c r="M612" s="13"/>
      <c r="N612" s="13"/>
      <c r="O612" s="13"/>
      <c r="P612" s="13"/>
      <c r="Q612" s="242"/>
      <c r="R612" s="13"/>
      <c r="S612" s="242"/>
      <c r="T612" s="13"/>
      <c r="U612" s="242"/>
      <c r="V612" s="242"/>
      <c r="W612" s="242"/>
      <c r="X612" s="242"/>
      <c r="Y612" s="242"/>
      <c r="Z612" s="242"/>
      <c r="AA612" s="242"/>
      <c r="AB612" s="242"/>
      <c r="AC612" s="242"/>
    </row>
    <row r="613">
      <c r="A613" s="242"/>
      <c r="B613" s="242"/>
      <c r="C613" s="242"/>
      <c r="D613" s="242"/>
      <c r="E613" s="242"/>
      <c r="F613" s="242"/>
      <c r="G613" s="242"/>
      <c r="H613" s="242"/>
      <c r="I613" s="242"/>
      <c r="J613" s="13"/>
      <c r="K613" s="15"/>
      <c r="L613" s="341"/>
      <c r="M613" s="13"/>
      <c r="N613" s="13"/>
      <c r="O613" s="13"/>
      <c r="P613" s="13"/>
      <c r="Q613" s="242"/>
      <c r="R613" s="13"/>
      <c r="S613" s="242"/>
      <c r="T613" s="13"/>
      <c r="U613" s="242"/>
      <c r="V613" s="242"/>
      <c r="W613" s="242"/>
      <c r="X613" s="242"/>
      <c r="Y613" s="242"/>
      <c r="Z613" s="242"/>
      <c r="AA613" s="242"/>
      <c r="AB613" s="242"/>
      <c r="AC613" s="242"/>
    </row>
    <row r="614">
      <c r="A614" s="242"/>
      <c r="B614" s="242"/>
      <c r="C614" s="242"/>
      <c r="D614" s="242"/>
      <c r="E614" s="242"/>
      <c r="F614" s="242"/>
      <c r="G614" s="242"/>
      <c r="H614" s="242"/>
      <c r="I614" s="242"/>
      <c r="J614" s="13"/>
      <c r="K614" s="15"/>
      <c r="L614" s="341"/>
      <c r="M614" s="13"/>
      <c r="N614" s="13"/>
      <c r="O614" s="13"/>
      <c r="P614" s="13"/>
      <c r="Q614" s="242"/>
      <c r="R614" s="13"/>
      <c r="S614" s="242"/>
      <c r="T614" s="13"/>
      <c r="U614" s="242"/>
      <c r="V614" s="242"/>
      <c r="W614" s="242"/>
      <c r="X614" s="242"/>
      <c r="Y614" s="242"/>
      <c r="Z614" s="242"/>
      <c r="AA614" s="242"/>
      <c r="AB614" s="242"/>
      <c r="AC614" s="242"/>
    </row>
    <row r="615">
      <c r="A615" s="242"/>
      <c r="B615" s="242"/>
      <c r="C615" s="242"/>
      <c r="D615" s="242"/>
      <c r="E615" s="242"/>
      <c r="F615" s="242"/>
      <c r="G615" s="242"/>
      <c r="H615" s="242"/>
      <c r="I615" s="242"/>
      <c r="J615" s="13"/>
      <c r="K615" s="15"/>
      <c r="L615" s="341"/>
      <c r="M615" s="13"/>
      <c r="N615" s="13"/>
      <c r="O615" s="13"/>
      <c r="P615" s="13"/>
      <c r="Q615" s="242"/>
      <c r="R615" s="13"/>
      <c r="S615" s="242"/>
      <c r="T615" s="13"/>
      <c r="U615" s="242"/>
      <c r="V615" s="242"/>
      <c r="W615" s="242"/>
      <c r="X615" s="242"/>
      <c r="Y615" s="242"/>
      <c r="Z615" s="242"/>
      <c r="AA615" s="242"/>
      <c r="AB615" s="242"/>
      <c r="AC615" s="242"/>
    </row>
    <row r="616">
      <c r="A616" s="242"/>
      <c r="B616" s="242"/>
      <c r="C616" s="242"/>
      <c r="D616" s="242"/>
      <c r="E616" s="242"/>
      <c r="F616" s="242"/>
      <c r="G616" s="242"/>
      <c r="H616" s="242"/>
      <c r="I616" s="242"/>
      <c r="J616" s="13"/>
      <c r="K616" s="15"/>
      <c r="L616" s="341"/>
      <c r="M616" s="13"/>
      <c r="N616" s="13"/>
      <c r="O616" s="13"/>
      <c r="P616" s="13"/>
      <c r="Q616" s="242"/>
      <c r="R616" s="13"/>
      <c r="S616" s="242"/>
      <c r="T616" s="13"/>
      <c r="U616" s="242"/>
      <c r="V616" s="242"/>
      <c r="W616" s="242"/>
      <c r="X616" s="242"/>
      <c r="Y616" s="242"/>
      <c r="Z616" s="242"/>
      <c r="AA616" s="242"/>
      <c r="AB616" s="242"/>
      <c r="AC616" s="242"/>
    </row>
    <row r="617">
      <c r="A617" s="242"/>
      <c r="B617" s="242"/>
      <c r="C617" s="242"/>
      <c r="D617" s="242"/>
      <c r="E617" s="242"/>
      <c r="F617" s="242"/>
      <c r="G617" s="242"/>
      <c r="H617" s="242"/>
      <c r="I617" s="242"/>
      <c r="J617" s="13"/>
      <c r="K617" s="15"/>
      <c r="L617" s="341"/>
      <c r="M617" s="13"/>
      <c r="N617" s="13"/>
      <c r="O617" s="13"/>
      <c r="P617" s="13"/>
      <c r="Q617" s="242"/>
      <c r="R617" s="13"/>
      <c r="S617" s="242"/>
      <c r="T617" s="13"/>
      <c r="U617" s="242"/>
      <c r="V617" s="242"/>
      <c r="W617" s="242"/>
      <c r="X617" s="242"/>
      <c r="Y617" s="242"/>
      <c r="Z617" s="242"/>
      <c r="AA617" s="242"/>
      <c r="AB617" s="242"/>
      <c r="AC617" s="242"/>
    </row>
    <row r="618">
      <c r="A618" s="242"/>
      <c r="B618" s="242"/>
      <c r="C618" s="242"/>
      <c r="D618" s="242"/>
      <c r="E618" s="242"/>
      <c r="F618" s="242"/>
      <c r="G618" s="242"/>
      <c r="H618" s="242"/>
      <c r="I618" s="242"/>
      <c r="J618" s="13"/>
      <c r="K618" s="15"/>
      <c r="L618" s="341"/>
      <c r="M618" s="13"/>
      <c r="N618" s="13"/>
      <c r="O618" s="13"/>
      <c r="P618" s="13"/>
      <c r="Q618" s="242"/>
      <c r="R618" s="13"/>
      <c r="S618" s="242"/>
      <c r="T618" s="13"/>
      <c r="U618" s="242"/>
      <c r="V618" s="242"/>
      <c r="W618" s="242"/>
      <c r="X618" s="242"/>
      <c r="Y618" s="242"/>
      <c r="Z618" s="242"/>
      <c r="AA618" s="242"/>
      <c r="AB618" s="242"/>
      <c r="AC618" s="242"/>
    </row>
    <row r="619">
      <c r="A619" s="242"/>
      <c r="B619" s="242"/>
      <c r="C619" s="242"/>
      <c r="D619" s="242"/>
      <c r="E619" s="242"/>
      <c r="F619" s="242"/>
      <c r="G619" s="242"/>
      <c r="H619" s="242"/>
      <c r="I619" s="242"/>
      <c r="J619" s="13"/>
      <c r="K619" s="15"/>
      <c r="L619" s="341"/>
      <c r="M619" s="13"/>
      <c r="N619" s="13"/>
      <c r="O619" s="13"/>
      <c r="P619" s="13"/>
      <c r="Q619" s="242"/>
      <c r="R619" s="13"/>
      <c r="S619" s="242"/>
      <c r="T619" s="13"/>
      <c r="U619" s="242"/>
      <c r="V619" s="242"/>
      <c r="W619" s="242"/>
      <c r="X619" s="242"/>
      <c r="Y619" s="242"/>
      <c r="Z619" s="242"/>
      <c r="AA619" s="242"/>
      <c r="AB619" s="242"/>
      <c r="AC619" s="242"/>
    </row>
    <row r="620">
      <c r="A620" s="242"/>
      <c r="B620" s="242"/>
      <c r="C620" s="242"/>
      <c r="D620" s="242"/>
      <c r="E620" s="242"/>
      <c r="F620" s="242"/>
      <c r="G620" s="242"/>
      <c r="H620" s="242"/>
      <c r="I620" s="242"/>
      <c r="J620" s="13"/>
      <c r="K620" s="15"/>
      <c r="L620" s="341"/>
      <c r="M620" s="13"/>
      <c r="N620" s="13"/>
      <c r="O620" s="13"/>
      <c r="P620" s="13"/>
      <c r="Q620" s="242"/>
      <c r="R620" s="13"/>
      <c r="S620" s="242"/>
      <c r="T620" s="13"/>
      <c r="U620" s="242"/>
      <c r="V620" s="242"/>
      <c r="W620" s="242"/>
      <c r="X620" s="242"/>
      <c r="Y620" s="242"/>
      <c r="Z620" s="242"/>
      <c r="AA620" s="242"/>
      <c r="AB620" s="242"/>
      <c r="AC620" s="242"/>
    </row>
    <row r="621">
      <c r="A621" s="242"/>
      <c r="B621" s="242"/>
      <c r="C621" s="242"/>
      <c r="D621" s="242"/>
      <c r="E621" s="242"/>
      <c r="F621" s="242"/>
      <c r="G621" s="242"/>
      <c r="H621" s="242"/>
      <c r="I621" s="242"/>
      <c r="J621" s="13"/>
      <c r="K621" s="15"/>
      <c r="L621" s="341"/>
      <c r="M621" s="13"/>
      <c r="N621" s="13"/>
      <c r="O621" s="13"/>
      <c r="P621" s="13"/>
      <c r="Q621" s="242"/>
      <c r="R621" s="13"/>
      <c r="S621" s="242"/>
      <c r="T621" s="13"/>
      <c r="U621" s="242"/>
      <c r="V621" s="242"/>
      <c r="W621" s="242"/>
      <c r="X621" s="242"/>
      <c r="Y621" s="242"/>
      <c r="Z621" s="242"/>
      <c r="AA621" s="242"/>
      <c r="AB621" s="242"/>
      <c r="AC621" s="242"/>
    </row>
    <row r="622">
      <c r="A622" s="242"/>
      <c r="B622" s="242"/>
      <c r="C622" s="242"/>
      <c r="D622" s="242"/>
      <c r="E622" s="242"/>
      <c r="F622" s="242"/>
      <c r="G622" s="242"/>
      <c r="H622" s="242"/>
      <c r="I622" s="242"/>
      <c r="J622" s="13"/>
      <c r="K622" s="15"/>
      <c r="L622" s="341"/>
      <c r="M622" s="13"/>
      <c r="N622" s="13"/>
      <c r="O622" s="13"/>
      <c r="P622" s="13"/>
      <c r="Q622" s="242"/>
      <c r="R622" s="13"/>
      <c r="S622" s="242"/>
      <c r="T622" s="13"/>
      <c r="U622" s="242"/>
      <c r="V622" s="242"/>
      <c r="W622" s="242"/>
      <c r="X622" s="242"/>
      <c r="Y622" s="242"/>
      <c r="Z622" s="242"/>
      <c r="AA622" s="242"/>
      <c r="AB622" s="242"/>
      <c r="AC622" s="242"/>
    </row>
    <row r="623">
      <c r="A623" s="242"/>
      <c r="B623" s="242"/>
      <c r="C623" s="242"/>
      <c r="D623" s="242"/>
      <c r="E623" s="242"/>
      <c r="F623" s="242"/>
      <c r="G623" s="242"/>
      <c r="H623" s="242"/>
      <c r="I623" s="242"/>
      <c r="J623" s="13"/>
      <c r="K623" s="15"/>
      <c r="L623" s="341"/>
      <c r="M623" s="13"/>
      <c r="N623" s="13"/>
      <c r="O623" s="13"/>
      <c r="P623" s="13"/>
      <c r="Q623" s="242"/>
      <c r="R623" s="13"/>
      <c r="S623" s="242"/>
      <c r="T623" s="13"/>
      <c r="U623" s="242"/>
      <c r="V623" s="242"/>
      <c r="W623" s="242"/>
      <c r="X623" s="242"/>
      <c r="Y623" s="242"/>
      <c r="Z623" s="242"/>
      <c r="AA623" s="242"/>
      <c r="AB623" s="242"/>
      <c r="AC623" s="242"/>
    </row>
    <row r="624">
      <c r="A624" s="242"/>
      <c r="B624" s="242"/>
      <c r="C624" s="242"/>
      <c r="D624" s="242"/>
      <c r="E624" s="242"/>
      <c r="F624" s="242"/>
      <c r="G624" s="242"/>
      <c r="H624" s="242"/>
      <c r="I624" s="242"/>
      <c r="J624" s="13"/>
      <c r="K624" s="15"/>
      <c r="L624" s="341"/>
      <c r="M624" s="13"/>
      <c r="N624" s="13"/>
      <c r="O624" s="13"/>
      <c r="P624" s="13"/>
      <c r="Q624" s="242"/>
      <c r="R624" s="13"/>
      <c r="S624" s="242"/>
      <c r="T624" s="13"/>
      <c r="U624" s="242"/>
      <c r="V624" s="242"/>
      <c r="W624" s="242"/>
      <c r="X624" s="242"/>
      <c r="Y624" s="242"/>
      <c r="Z624" s="242"/>
      <c r="AA624" s="242"/>
      <c r="AB624" s="242"/>
      <c r="AC624" s="242"/>
    </row>
    <row r="625">
      <c r="A625" s="242"/>
      <c r="B625" s="242"/>
      <c r="C625" s="242"/>
      <c r="D625" s="242"/>
      <c r="E625" s="242"/>
      <c r="F625" s="242"/>
      <c r="G625" s="242"/>
      <c r="H625" s="242"/>
      <c r="I625" s="242"/>
      <c r="J625" s="13"/>
      <c r="K625" s="15"/>
      <c r="L625" s="341"/>
      <c r="M625" s="13"/>
      <c r="N625" s="13"/>
      <c r="O625" s="13"/>
      <c r="P625" s="13"/>
      <c r="Q625" s="242"/>
      <c r="R625" s="13"/>
      <c r="S625" s="242"/>
      <c r="T625" s="13"/>
      <c r="U625" s="242"/>
      <c r="V625" s="242"/>
      <c r="W625" s="242"/>
      <c r="X625" s="242"/>
      <c r="Y625" s="242"/>
      <c r="Z625" s="242"/>
      <c r="AA625" s="242"/>
      <c r="AB625" s="242"/>
      <c r="AC625" s="242"/>
    </row>
    <row r="626">
      <c r="A626" s="242"/>
      <c r="B626" s="242"/>
      <c r="C626" s="242"/>
      <c r="D626" s="242"/>
      <c r="E626" s="242"/>
      <c r="F626" s="242"/>
      <c r="G626" s="242"/>
      <c r="H626" s="242"/>
      <c r="I626" s="242"/>
      <c r="J626" s="13"/>
      <c r="K626" s="15"/>
      <c r="L626" s="341"/>
      <c r="M626" s="13"/>
      <c r="N626" s="13"/>
      <c r="O626" s="13"/>
      <c r="P626" s="13"/>
      <c r="Q626" s="242"/>
      <c r="R626" s="13"/>
      <c r="S626" s="242"/>
      <c r="T626" s="13"/>
      <c r="U626" s="242"/>
      <c r="V626" s="242"/>
      <c r="W626" s="242"/>
      <c r="X626" s="242"/>
      <c r="Y626" s="242"/>
      <c r="Z626" s="242"/>
      <c r="AA626" s="242"/>
      <c r="AB626" s="242"/>
      <c r="AC626" s="242"/>
    </row>
    <row r="627">
      <c r="A627" s="242"/>
      <c r="B627" s="242"/>
      <c r="C627" s="242"/>
      <c r="D627" s="242"/>
      <c r="E627" s="242"/>
      <c r="F627" s="242"/>
      <c r="G627" s="242"/>
      <c r="H627" s="242"/>
      <c r="I627" s="242"/>
      <c r="J627" s="13"/>
      <c r="K627" s="15"/>
      <c r="L627" s="341"/>
      <c r="M627" s="13"/>
      <c r="N627" s="13"/>
      <c r="O627" s="13"/>
      <c r="P627" s="13"/>
      <c r="Q627" s="242"/>
      <c r="R627" s="13"/>
      <c r="S627" s="242"/>
      <c r="T627" s="13"/>
      <c r="U627" s="242"/>
      <c r="V627" s="242"/>
      <c r="W627" s="242"/>
      <c r="X627" s="242"/>
      <c r="Y627" s="242"/>
      <c r="Z627" s="242"/>
      <c r="AA627" s="242"/>
      <c r="AB627" s="242"/>
      <c r="AC627" s="242"/>
    </row>
    <row r="628">
      <c r="A628" s="242"/>
      <c r="B628" s="242"/>
      <c r="C628" s="242"/>
      <c r="D628" s="242"/>
      <c r="E628" s="242"/>
      <c r="F628" s="242"/>
      <c r="G628" s="242"/>
      <c r="H628" s="242"/>
      <c r="I628" s="242"/>
      <c r="J628" s="13"/>
      <c r="K628" s="15"/>
      <c r="L628" s="341"/>
      <c r="M628" s="13"/>
      <c r="N628" s="13"/>
      <c r="O628" s="13"/>
      <c r="P628" s="13"/>
      <c r="Q628" s="242"/>
      <c r="R628" s="13"/>
      <c r="S628" s="242"/>
      <c r="T628" s="13"/>
      <c r="U628" s="242"/>
      <c r="V628" s="242"/>
      <c r="W628" s="242"/>
      <c r="X628" s="242"/>
      <c r="Y628" s="242"/>
      <c r="Z628" s="242"/>
      <c r="AA628" s="242"/>
      <c r="AB628" s="242"/>
      <c r="AC628" s="242"/>
    </row>
    <row r="629">
      <c r="A629" s="242"/>
      <c r="B629" s="242"/>
      <c r="C629" s="242"/>
      <c r="D629" s="242"/>
      <c r="E629" s="242"/>
      <c r="F629" s="242"/>
      <c r="G629" s="242"/>
      <c r="H629" s="242"/>
      <c r="I629" s="242"/>
      <c r="J629" s="13"/>
      <c r="K629" s="15"/>
      <c r="L629" s="341"/>
      <c r="M629" s="13"/>
      <c r="N629" s="13"/>
      <c r="O629" s="13"/>
      <c r="P629" s="13"/>
      <c r="Q629" s="242"/>
      <c r="R629" s="13"/>
      <c r="S629" s="242"/>
      <c r="T629" s="13"/>
      <c r="U629" s="242"/>
      <c r="V629" s="242"/>
      <c r="W629" s="242"/>
      <c r="X629" s="242"/>
      <c r="Y629" s="242"/>
      <c r="Z629" s="242"/>
      <c r="AA629" s="242"/>
      <c r="AB629" s="242"/>
      <c r="AC629" s="242"/>
    </row>
    <row r="630">
      <c r="A630" s="242"/>
      <c r="B630" s="242"/>
      <c r="C630" s="242"/>
      <c r="D630" s="242"/>
      <c r="E630" s="242"/>
      <c r="F630" s="242"/>
      <c r="G630" s="242"/>
      <c r="H630" s="242"/>
      <c r="I630" s="242"/>
      <c r="J630" s="13"/>
      <c r="K630" s="15"/>
      <c r="L630" s="341"/>
      <c r="M630" s="13"/>
      <c r="N630" s="13"/>
      <c r="O630" s="13"/>
      <c r="P630" s="13"/>
      <c r="Q630" s="242"/>
      <c r="R630" s="13"/>
      <c r="S630" s="242"/>
      <c r="T630" s="13"/>
      <c r="U630" s="242"/>
      <c r="V630" s="242"/>
      <c r="W630" s="242"/>
      <c r="X630" s="242"/>
      <c r="Y630" s="242"/>
      <c r="Z630" s="242"/>
      <c r="AA630" s="242"/>
      <c r="AB630" s="242"/>
      <c r="AC630" s="242"/>
    </row>
    <row r="631">
      <c r="A631" s="242"/>
      <c r="B631" s="242"/>
      <c r="C631" s="242"/>
      <c r="D631" s="242"/>
      <c r="E631" s="242"/>
      <c r="F631" s="242"/>
      <c r="G631" s="242"/>
      <c r="H631" s="242"/>
      <c r="I631" s="242"/>
      <c r="J631" s="13"/>
      <c r="K631" s="15"/>
      <c r="L631" s="341"/>
      <c r="M631" s="13"/>
      <c r="N631" s="13"/>
      <c r="O631" s="13"/>
      <c r="P631" s="13"/>
      <c r="Q631" s="242"/>
      <c r="R631" s="13"/>
      <c r="S631" s="242"/>
      <c r="T631" s="13"/>
      <c r="U631" s="242"/>
      <c r="V631" s="242"/>
      <c r="W631" s="242"/>
      <c r="X631" s="242"/>
      <c r="Y631" s="242"/>
      <c r="Z631" s="242"/>
      <c r="AA631" s="242"/>
      <c r="AB631" s="242"/>
      <c r="AC631" s="242"/>
    </row>
    <row r="632">
      <c r="A632" s="242"/>
      <c r="B632" s="242"/>
      <c r="C632" s="242"/>
      <c r="D632" s="242"/>
      <c r="E632" s="242"/>
      <c r="F632" s="242"/>
      <c r="G632" s="242"/>
      <c r="H632" s="242"/>
      <c r="I632" s="242"/>
      <c r="J632" s="13"/>
      <c r="K632" s="15"/>
      <c r="L632" s="341"/>
      <c r="M632" s="13"/>
      <c r="N632" s="13"/>
      <c r="O632" s="13"/>
      <c r="P632" s="13"/>
      <c r="Q632" s="242"/>
      <c r="R632" s="13"/>
      <c r="S632" s="242"/>
      <c r="T632" s="13"/>
      <c r="U632" s="242"/>
      <c r="V632" s="242"/>
      <c r="W632" s="242"/>
      <c r="X632" s="242"/>
      <c r="Y632" s="242"/>
      <c r="Z632" s="242"/>
      <c r="AA632" s="242"/>
      <c r="AB632" s="242"/>
      <c r="AC632" s="242"/>
    </row>
    <row r="633">
      <c r="A633" s="242"/>
      <c r="B633" s="242"/>
      <c r="C633" s="242"/>
      <c r="D633" s="242"/>
      <c r="E633" s="242"/>
      <c r="F633" s="242"/>
      <c r="G633" s="242"/>
      <c r="H633" s="242"/>
      <c r="I633" s="242"/>
      <c r="J633" s="13"/>
      <c r="K633" s="15"/>
      <c r="L633" s="341"/>
      <c r="M633" s="13"/>
      <c r="N633" s="13"/>
      <c r="O633" s="13"/>
      <c r="P633" s="13"/>
      <c r="Q633" s="242"/>
      <c r="R633" s="13"/>
      <c r="S633" s="242"/>
      <c r="T633" s="13"/>
      <c r="U633" s="242"/>
      <c r="V633" s="242"/>
      <c r="W633" s="242"/>
      <c r="X633" s="242"/>
      <c r="Y633" s="242"/>
      <c r="Z633" s="242"/>
      <c r="AA633" s="242"/>
      <c r="AB633" s="242"/>
      <c r="AC633" s="242"/>
    </row>
    <row r="634">
      <c r="A634" s="242"/>
      <c r="B634" s="242"/>
      <c r="C634" s="242"/>
      <c r="D634" s="242"/>
      <c r="E634" s="242"/>
      <c r="F634" s="242"/>
      <c r="G634" s="242"/>
      <c r="H634" s="242"/>
      <c r="I634" s="242"/>
      <c r="J634" s="13"/>
      <c r="K634" s="15"/>
      <c r="L634" s="341"/>
      <c r="M634" s="13"/>
      <c r="N634" s="13"/>
      <c r="O634" s="13"/>
      <c r="P634" s="13"/>
      <c r="Q634" s="242"/>
      <c r="R634" s="13"/>
      <c r="S634" s="242"/>
      <c r="T634" s="13"/>
      <c r="U634" s="242"/>
      <c r="V634" s="242"/>
      <c r="W634" s="242"/>
      <c r="X634" s="242"/>
      <c r="Y634" s="242"/>
      <c r="Z634" s="242"/>
      <c r="AA634" s="242"/>
      <c r="AB634" s="242"/>
      <c r="AC634" s="242"/>
    </row>
    <row r="635">
      <c r="A635" s="242"/>
      <c r="B635" s="242"/>
      <c r="C635" s="242"/>
      <c r="D635" s="242"/>
      <c r="E635" s="242"/>
      <c r="F635" s="242"/>
      <c r="G635" s="242"/>
      <c r="H635" s="242"/>
      <c r="I635" s="242"/>
      <c r="J635" s="13"/>
      <c r="K635" s="15"/>
      <c r="L635" s="341"/>
      <c r="M635" s="13"/>
      <c r="N635" s="13"/>
      <c r="O635" s="13"/>
      <c r="P635" s="13"/>
      <c r="Q635" s="242"/>
      <c r="R635" s="13"/>
      <c r="S635" s="242"/>
      <c r="T635" s="13"/>
      <c r="U635" s="242"/>
      <c r="V635" s="242"/>
      <c r="W635" s="242"/>
      <c r="X635" s="242"/>
      <c r="Y635" s="242"/>
      <c r="Z635" s="242"/>
      <c r="AA635" s="242"/>
      <c r="AB635" s="242"/>
      <c r="AC635" s="242"/>
    </row>
    <row r="636">
      <c r="A636" s="242"/>
      <c r="B636" s="242"/>
      <c r="C636" s="242"/>
      <c r="D636" s="242"/>
      <c r="E636" s="242"/>
      <c r="F636" s="242"/>
      <c r="G636" s="242"/>
      <c r="H636" s="242"/>
      <c r="I636" s="242"/>
      <c r="J636" s="13"/>
      <c r="K636" s="15"/>
      <c r="L636" s="341"/>
      <c r="M636" s="13"/>
      <c r="N636" s="13"/>
      <c r="O636" s="13"/>
      <c r="P636" s="13"/>
      <c r="Q636" s="242"/>
      <c r="R636" s="13"/>
      <c r="S636" s="242"/>
      <c r="T636" s="13"/>
      <c r="U636" s="242"/>
      <c r="V636" s="242"/>
      <c r="W636" s="242"/>
      <c r="X636" s="242"/>
      <c r="Y636" s="242"/>
      <c r="Z636" s="242"/>
      <c r="AA636" s="242"/>
      <c r="AB636" s="242"/>
      <c r="AC636" s="242"/>
    </row>
    <row r="637">
      <c r="A637" s="242"/>
      <c r="B637" s="242"/>
      <c r="C637" s="242"/>
      <c r="D637" s="242"/>
      <c r="E637" s="242"/>
      <c r="F637" s="242"/>
      <c r="G637" s="242"/>
      <c r="H637" s="242"/>
      <c r="I637" s="242"/>
      <c r="J637" s="13"/>
      <c r="K637" s="15"/>
      <c r="L637" s="341"/>
      <c r="M637" s="13"/>
      <c r="N637" s="13"/>
      <c r="O637" s="13"/>
      <c r="P637" s="13"/>
      <c r="Q637" s="242"/>
      <c r="R637" s="13"/>
      <c r="S637" s="242"/>
      <c r="T637" s="13"/>
      <c r="U637" s="242"/>
      <c r="V637" s="242"/>
      <c r="W637" s="242"/>
      <c r="X637" s="242"/>
      <c r="Y637" s="242"/>
      <c r="Z637" s="242"/>
      <c r="AA637" s="242"/>
      <c r="AB637" s="242"/>
      <c r="AC637" s="242"/>
    </row>
    <row r="638">
      <c r="A638" s="242"/>
      <c r="B638" s="242"/>
      <c r="C638" s="242"/>
      <c r="D638" s="242"/>
      <c r="E638" s="242"/>
      <c r="F638" s="242"/>
      <c r="G638" s="242"/>
      <c r="H638" s="242"/>
      <c r="I638" s="242"/>
      <c r="J638" s="13"/>
      <c r="K638" s="15"/>
      <c r="L638" s="341"/>
      <c r="M638" s="13"/>
      <c r="N638" s="13"/>
      <c r="O638" s="13"/>
      <c r="P638" s="13"/>
      <c r="Q638" s="242"/>
      <c r="R638" s="13"/>
      <c r="S638" s="242"/>
      <c r="T638" s="13"/>
      <c r="U638" s="242"/>
      <c r="V638" s="242"/>
      <c r="W638" s="242"/>
      <c r="X638" s="242"/>
      <c r="Y638" s="242"/>
      <c r="Z638" s="242"/>
      <c r="AA638" s="242"/>
      <c r="AB638" s="242"/>
      <c r="AC638" s="242"/>
    </row>
    <row r="639">
      <c r="A639" s="242"/>
      <c r="B639" s="242"/>
      <c r="C639" s="242"/>
      <c r="D639" s="242"/>
      <c r="E639" s="242"/>
      <c r="F639" s="242"/>
      <c r="G639" s="242"/>
      <c r="H639" s="242"/>
      <c r="I639" s="242"/>
      <c r="J639" s="13"/>
      <c r="K639" s="15"/>
      <c r="L639" s="341"/>
      <c r="M639" s="13"/>
      <c r="N639" s="13"/>
      <c r="O639" s="13"/>
      <c r="P639" s="13"/>
      <c r="Q639" s="242"/>
      <c r="R639" s="13"/>
      <c r="S639" s="242"/>
      <c r="T639" s="13"/>
      <c r="U639" s="242"/>
      <c r="V639" s="242"/>
      <c r="W639" s="242"/>
      <c r="X639" s="242"/>
      <c r="Y639" s="242"/>
      <c r="Z639" s="242"/>
      <c r="AA639" s="242"/>
      <c r="AB639" s="242"/>
      <c r="AC639" s="242"/>
    </row>
    <row r="640">
      <c r="A640" s="242"/>
      <c r="B640" s="242"/>
      <c r="C640" s="242"/>
      <c r="D640" s="242"/>
      <c r="E640" s="242"/>
      <c r="F640" s="242"/>
      <c r="G640" s="242"/>
      <c r="H640" s="242"/>
      <c r="I640" s="242"/>
      <c r="J640" s="13"/>
      <c r="K640" s="15"/>
      <c r="L640" s="341"/>
      <c r="M640" s="13"/>
      <c r="N640" s="13"/>
      <c r="O640" s="13"/>
      <c r="P640" s="13"/>
      <c r="Q640" s="242"/>
      <c r="R640" s="13"/>
      <c r="S640" s="242"/>
      <c r="T640" s="13"/>
      <c r="U640" s="242"/>
      <c r="V640" s="242"/>
      <c r="W640" s="242"/>
      <c r="X640" s="242"/>
      <c r="Y640" s="242"/>
      <c r="Z640" s="242"/>
      <c r="AA640" s="242"/>
      <c r="AB640" s="242"/>
      <c r="AC640" s="242"/>
    </row>
    <row r="641">
      <c r="A641" s="242"/>
      <c r="B641" s="242"/>
      <c r="C641" s="242"/>
      <c r="D641" s="242"/>
      <c r="E641" s="242"/>
      <c r="F641" s="242"/>
      <c r="G641" s="242"/>
      <c r="H641" s="242"/>
      <c r="I641" s="242"/>
      <c r="J641" s="13"/>
      <c r="K641" s="15"/>
      <c r="L641" s="341"/>
      <c r="M641" s="13"/>
      <c r="N641" s="13"/>
      <c r="O641" s="13"/>
      <c r="P641" s="13"/>
      <c r="Q641" s="242"/>
      <c r="R641" s="13"/>
      <c r="S641" s="242"/>
      <c r="T641" s="13"/>
      <c r="U641" s="242"/>
      <c r="V641" s="242"/>
      <c r="W641" s="242"/>
      <c r="X641" s="242"/>
      <c r="Y641" s="242"/>
      <c r="Z641" s="242"/>
      <c r="AA641" s="242"/>
      <c r="AB641" s="242"/>
      <c r="AC641" s="242"/>
    </row>
    <row r="642">
      <c r="A642" s="242"/>
      <c r="B642" s="242"/>
      <c r="C642" s="242"/>
      <c r="D642" s="242"/>
      <c r="E642" s="242"/>
      <c r="F642" s="242"/>
      <c r="G642" s="242"/>
      <c r="H642" s="242"/>
      <c r="I642" s="242"/>
      <c r="J642" s="13"/>
      <c r="K642" s="15"/>
      <c r="L642" s="341"/>
      <c r="M642" s="13"/>
      <c r="N642" s="13"/>
      <c r="O642" s="13"/>
      <c r="P642" s="13"/>
      <c r="Q642" s="242"/>
      <c r="R642" s="13"/>
      <c r="S642" s="242"/>
      <c r="T642" s="13"/>
      <c r="U642" s="242"/>
      <c r="V642" s="242"/>
      <c r="W642" s="242"/>
      <c r="X642" s="242"/>
      <c r="Y642" s="242"/>
      <c r="Z642" s="242"/>
      <c r="AA642" s="242"/>
      <c r="AB642" s="242"/>
      <c r="AC642" s="242"/>
    </row>
    <row r="643">
      <c r="A643" s="242"/>
      <c r="B643" s="242"/>
      <c r="C643" s="242"/>
      <c r="D643" s="242"/>
      <c r="E643" s="242"/>
      <c r="F643" s="242"/>
      <c r="G643" s="242"/>
      <c r="H643" s="242"/>
      <c r="I643" s="242"/>
      <c r="J643" s="13"/>
      <c r="K643" s="15"/>
      <c r="L643" s="341"/>
      <c r="M643" s="13"/>
      <c r="N643" s="13"/>
      <c r="O643" s="13"/>
      <c r="P643" s="13"/>
      <c r="Q643" s="242"/>
      <c r="R643" s="13"/>
      <c r="S643" s="242"/>
      <c r="T643" s="13"/>
      <c r="U643" s="242"/>
      <c r="V643" s="242"/>
      <c r="W643" s="242"/>
      <c r="X643" s="242"/>
      <c r="Y643" s="242"/>
      <c r="Z643" s="242"/>
      <c r="AA643" s="242"/>
      <c r="AB643" s="242"/>
      <c r="AC643" s="242"/>
    </row>
    <row r="644">
      <c r="A644" s="242"/>
      <c r="B644" s="242"/>
      <c r="C644" s="242"/>
      <c r="D644" s="242"/>
      <c r="E644" s="242"/>
      <c r="F644" s="242"/>
      <c r="G644" s="242"/>
      <c r="H644" s="242"/>
      <c r="I644" s="242"/>
      <c r="J644" s="13"/>
      <c r="K644" s="15"/>
      <c r="L644" s="341"/>
      <c r="M644" s="13"/>
      <c r="N644" s="13"/>
      <c r="O644" s="13"/>
      <c r="P644" s="13"/>
      <c r="Q644" s="242"/>
      <c r="R644" s="13"/>
      <c r="S644" s="242"/>
      <c r="T644" s="13"/>
      <c r="U644" s="242"/>
      <c r="V644" s="242"/>
      <c r="W644" s="242"/>
      <c r="X644" s="242"/>
      <c r="Y644" s="242"/>
      <c r="Z644" s="242"/>
      <c r="AA644" s="242"/>
      <c r="AB644" s="242"/>
      <c r="AC644" s="242"/>
    </row>
    <row r="645">
      <c r="A645" s="242"/>
      <c r="B645" s="242"/>
      <c r="C645" s="242"/>
      <c r="D645" s="242"/>
      <c r="E645" s="242"/>
      <c r="F645" s="242"/>
      <c r="G645" s="242"/>
      <c r="H645" s="242"/>
      <c r="I645" s="242"/>
      <c r="J645" s="13"/>
      <c r="K645" s="15"/>
      <c r="L645" s="341"/>
      <c r="M645" s="13"/>
      <c r="N645" s="13"/>
      <c r="O645" s="13"/>
      <c r="P645" s="13"/>
      <c r="Q645" s="242"/>
      <c r="R645" s="13"/>
      <c r="S645" s="242"/>
      <c r="T645" s="13"/>
      <c r="U645" s="242"/>
      <c r="V645" s="242"/>
      <c r="W645" s="242"/>
      <c r="X645" s="242"/>
      <c r="Y645" s="242"/>
      <c r="Z645" s="242"/>
      <c r="AA645" s="242"/>
      <c r="AB645" s="242"/>
      <c r="AC645" s="242"/>
    </row>
    <row r="646">
      <c r="A646" s="242"/>
      <c r="B646" s="242"/>
      <c r="C646" s="242"/>
      <c r="D646" s="242"/>
      <c r="E646" s="242"/>
      <c r="F646" s="242"/>
      <c r="G646" s="242"/>
      <c r="H646" s="242"/>
      <c r="I646" s="242"/>
      <c r="J646" s="13"/>
      <c r="K646" s="15"/>
      <c r="L646" s="341"/>
      <c r="M646" s="13"/>
      <c r="N646" s="13"/>
      <c r="O646" s="13"/>
      <c r="P646" s="13"/>
      <c r="Q646" s="242"/>
      <c r="R646" s="13"/>
      <c r="S646" s="242"/>
      <c r="T646" s="13"/>
      <c r="U646" s="242"/>
      <c r="V646" s="242"/>
      <c r="W646" s="242"/>
      <c r="X646" s="242"/>
      <c r="Y646" s="242"/>
      <c r="Z646" s="242"/>
      <c r="AA646" s="242"/>
      <c r="AB646" s="242"/>
      <c r="AC646" s="242"/>
    </row>
    <row r="647">
      <c r="A647" s="242"/>
      <c r="B647" s="242"/>
      <c r="C647" s="242"/>
      <c r="D647" s="242"/>
      <c r="E647" s="242"/>
      <c r="F647" s="242"/>
      <c r="G647" s="242"/>
      <c r="H647" s="242"/>
      <c r="I647" s="242"/>
      <c r="J647" s="13"/>
      <c r="K647" s="15"/>
      <c r="L647" s="341"/>
      <c r="M647" s="13"/>
      <c r="N647" s="13"/>
      <c r="O647" s="13"/>
      <c r="P647" s="13"/>
      <c r="Q647" s="242"/>
      <c r="R647" s="13"/>
      <c r="S647" s="242"/>
      <c r="T647" s="13"/>
      <c r="U647" s="242"/>
      <c r="V647" s="242"/>
      <c r="W647" s="242"/>
      <c r="X647" s="242"/>
      <c r="Y647" s="242"/>
      <c r="Z647" s="242"/>
      <c r="AA647" s="242"/>
      <c r="AB647" s="242"/>
      <c r="AC647" s="242"/>
    </row>
    <row r="648">
      <c r="A648" s="242"/>
      <c r="B648" s="242"/>
      <c r="C648" s="242"/>
      <c r="D648" s="242"/>
      <c r="E648" s="242"/>
      <c r="F648" s="242"/>
      <c r="G648" s="242"/>
      <c r="H648" s="242"/>
      <c r="I648" s="242"/>
      <c r="J648" s="13"/>
      <c r="K648" s="15"/>
      <c r="L648" s="341"/>
      <c r="M648" s="13"/>
      <c r="N648" s="13"/>
      <c r="O648" s="13"/>
      <c r="P648" s="13"/>
      <c r="Q648" s="242"/>
      <c r="R648" s="13"/>
      <c r="S648" s="242"/>
      <c r="T648" s="13"/>
      <c r="U648" s="242"/>
      <c r="V648" s="242"/>
      <c r="W648" s="242"/>
      <c r="X648" s="242"/>
      <c r="Y648" s="242"/>
      <c r="Z648" s="242"/>
      <c r="AA648" s="242"/>
      <c r="AB648" s="242"/>
      <c r="AC648" s="242"/>
    </row>
    <row r="649">
      <c r="A649" s="242"/>
      <c r="B649" s="242"/>
      <c r="C649" s="242"/>
      <c r="D649" s="242"/>
      <c r="E649" s="242"/>
      <c r="F649" s="242"/>
      <c r="G649" s="242"/>
      <c r="H649" s="242"/>
      <c r="I649" s="242"/>
      <c r="J649" s="13"/>
      <c r="K649" s="15"/>
      <c r="L649" s="341"/>
      <c r="M649" s="13"/>
      <c r="N649" s="13"/>
      <c r="O649" s="13"/>
      <c r="P649" s="13"/>
      <c r="Q649" s="242"/>
      <c r="R649" s="13"/>
      <c r="S649" s="242"/>
      <c r="T649" s="13"/>
      <c r="U649" s="242"/>
      <c r="V649" s="242"/>
      <c r="W649" s="242"/>
      <c r="X649" s="242"/>
      <c r="Y649" s="242"/>
      <c r="Z649" s="242"/>
      <c r="AA649" s="242"/>
      <c r="AB649" s="242"/>
      <c r="AC649" s="242"/>
    </row>
    <row r="650">
      <c r="A650" s="242"/>
      <c r="B650" s="242"/>
      <c r="C650" s="242"/>
      <c r="D650" s="242"/>
      <c r="E650" s="242"/>
      <c r="F650" s="242"/>
      <c r="G650" s="242"/>
      <c r="H650" s="242"/>
      <c r="I650" s="242"/>
      <c r="J650" s="13"/>
      <c r="K650" s="15"/>
      <c r="L650" s="341"/>
      <c r="M650" s="13"/>
      <c r="N650" s="13"/>
      <c r="O650" s="13"/>
      <c r="P650" s="13"/>
      <c r="Q650" s="242"/>
      <c r="R650" s="13"/>
      <c r="S650" s="242"/>
      <c r="T650" s="13"/>
      <c r="U650" s="242"/>
      <c r="V650" s="242"/>
      <c r="W650" s="242"/>
      <c r="X650" s="242"/>
      <c r="Y650" s="242"/>
      <c r="Z650" s="242"/>
      <c r="AA650" s="242"/>
      <c r="AB650" s="242"/>
      <c r="AC650" s="242"/>
    </row>
    <row r="651">
      <c r="A651" s="242"/>
      <c r="B651" s="242"/>
      <c r="C651" s="242"/>
      <c r="D651" s="242"/>
      <c r="E651" s="242"/>
      <c r="F651" s="242"/>
      <c r="G651" s="242"/>
      <c r="H651" s="242"/>
      <c r="I651" s="242"/>
      <c r="J651" s="13"/>
      <c r="K651" s="15"/>
      <c r="L651" s="341"/>
      <c r="M651" s="13"/>
      <c r="N651" s="13"/>
      <c r="O651" s="13"/>
      <c r="P651" s="13"/>
      <c r="Q651" s="242"/>
      <c r="R651" s="13"/>
      <c r="S651" s="242"/>
      <c r="T651" s="13"/>
      <c r="U651" s="242"/>
      <c r="V651" s="242"/>
      <c r="W651" s="242"/>
      <c r="X651" s="242"/>
      <c r="Y651" s="242"/>
      <c r="Z651" s="242"/>
      <c r="AA651" s="242"/>
      <c r="AB651" s="242"/>
      <c r="AC651" s="242"/>
    </row>
    <row r="652">
      <c r="A652" s="242"/>
      <c r="B652" s="242"/>
      <c r="C652" s="242"/>
      <c r="D652" s="242"/>
      <c r="E652" s="242"/>
      <c r="F652" s="242"/>
      <c r="G652" s="242"/>
      <c r="H652" s="242"/>
      <c r="I652" s="242"/>
      <c r="J652" s="13"/>
      <c r="K652" s="15"/>
      <c r="L652" s="341"/>
      <c r="M652" s="13"/>
      <c r="N652" s="13"/>
      <c r="O652" s="13"/>
      <c r="P652" s="13"/>
      <c r="Q652" s="242"/>
      <c r="R652" s="13"/>
      <c r="S652" s="242"/>
      <c r="T652" s="13"/>
      <c r="U652" s="242"/>
      <c r="V652" s="242"/>
      <c r="W652" s="242"/>
      <c r="X652" s="242"/>
      <c r="Y652" s="242"/>
      <c r="Z652" s="242"/>
      <c r="AA652" s="242"/>
      <c r="AB652" s="242"/>
      <c r="AC652" s="242"/>
    </row>
    <row r="653">
      <c r="A653" s="242"/>
      <c r="B653" s="242"/>
      <c r="C653" s="242"/>
      <c r="D653" s="242"/>
      <c r="E653" s="242"/>
      <c r="F653" s="242"/>
      <c r="G653" s="242"/>
      <c r="H653" s="242"/>
      <c r="I653" s="242"/>
      <c r="J653" s="13"/>
      <c r="K653" s="15"/>
      <c r="L653" s="341"/>
      <c r="M653" s="13"/>
      <c r="N653" s="13"/>
      <c r="O653" s="13"/>
      <c r="P653" s="13"/>
      <c r="Q653" s="242"/>
      <c r="R653" s="13"/>
      <c r="S653" s="242"/>
      <c r="T653" s="13"/>
      <c r="U653" s="242"/>
      <c r="V653" s="242"/>
      <c r="W653" s="242"/>
      <c r="X653" s="242"/>
      <c r="Y653" s="242"/>
      <c r="Z653" s="242"/>
      <c r="AA653" s="242"/>
      <c r="AB653" s="242"/>
      <c r="AC653" s="242"/>
    </row>
    <row r="654">
      <c r="A654" s="242"/>
      <c r="B654" s="242"/>
      <c r="C654" s="242"/>
      <c r="D654" s="242"/>
      <c r="E654" s="242"/>
      <c r="F654" s="242"/>
      <c r="G654" s="242"/>
      <c r="H654" s="242"/>
      <c r="I654" s="242"/>
      <c r="J654" s="13"/>
      <c r="K654" s="15"/>
      <c r="L654" s="341"/>
      <c r="M654" s="13"/>
      <c r="N654" s="13"/>
      <c r="O654" s="13"/>
      <c r="P654" s="13"/>
      <c r="Q654" s="242"/>
      <c r="R654" s="13"/>
      <c r="S654" s="242"/>
      <c r="T654" s="13"/>
      <c r="U654" s="242"/>
      <c r="V654" s="242"/>
      <c r="W654" s="242"/>
      <c r="X654" s="242"/>
      <c r="Y654" s="242"/>
      <c r="Z654" s="242"/>
      <c r="AA654" s="242"/>
      <c r="AB654" s="242"/>
      <c r="AC654" s="242"/>
    </row>
    <row r="655">
      <c r="A655" s="242"/>
      <c r="B655" s="242"/>
      <c r="C655" s="242"/>
      <c r="D655" s="242"/>
      <c r="E655" s="242"/>
      <c r="F655" s="242"/>
      <c r="G655" s="242"/>
      <c r="H655" s="242"/>
      <c r="I655" s="242"/>
      <c r="J655" s="13"/>
      <c r="K655" s="15"/>
      <c r="L655" s="341"/>
      <c r="M655" s="13"/>
      <c r="N655" s="13"/>
      <c r="O655" s="13"/>
      <c r="P655" s="13"/>
      <c r="Q655" s="242"/>
      <c r="R655" s="13"/>
      <c r="S655" s="242"/>
      <c r="T655" s="13"/>
      <c r="U655" s="242"/>
      <c r="V655" s="242"/>
      <c r="W655" s="242"/>
      <c r="X655" s="242"/>
      <c r="Y655" s="242"/>
      <c r="Z655" s="242"/>
      <c r="AA655" s="242"/>
      <c r="AB655" s="242"/>
      <c r="AC655" s="242"/>
    </row>
    <row r="656">
      <c r="A656" s="242"/>
      <c r="B656" s="242"/>
      <c r="C656" s="242"/>
      <c r="D656" s="242"/>
      <c r="E656" s="242"/>
      <c r="F656" s="242"/>
      <c r="G656" s="242"/>
      <c r="H656" s="242"/>
      <c r="I656" s="242"/>
      <c r="J656" s="13"/>
      <c r="K656" s="15"/>
      <c r="L656" s="341"/>
      <c r="M656" s="13"/>
      <c r="N656" s="13"/>
      <c r="O656" s="13"/>
      <c r="P656" s="13"/>
      <c r="Q656" s="242"/>
      <c r="R656" s="13"/>
      <c r="S656" s="242"/>
      <c r="T656" s="13"/>
      <c r="U656" s="242"/>
      <c r="V656" s="242"/>
      <c r="W656" s="242"/>
      <c r="X656" s="242"/>
      <c r="Y656" s="242"/>
      <c r="Z656" s="242"/>
      <c r="AA656" s="242"/>
      <c r="AB656" s="242"/>
      <c r="AC656" s="242"/>
    </row>
    <row r="657">
      <c r="A657" s="242"/>
      <c r="B657" s="242"/>
      <c r="C657" s="242"/>
      <c r="D657" s="242"/>
      <c r="E657" s="242"/>
      <c r="F657" s="242"/>
      <c r="G657" s="242"/>
      <c r="H657" s="242"/>
      <c r="I657" s="242"/>
      <c r="J657" s="13"/>
      <c r="K657" s="15"/>
      <c r="L657" s="341"/>
      <c r="M657" s="13"/>
      <c r="N657" s="13"/>
      <c r="O657" s="13"/>
      <c r="P657" s="13"/>
      <c r="Q657" s="242"/>
      <c r="R657" s="13"/>
      <c r="S657" s="242"/>
      <c r="T657" s="13"/>
      <c r="U657" s="242"/>
      <c r="V657" s="242"/>
      <c r="W657" s="242"/>
      <c r="X657" s="242"/>
      <c r="Y657" s="242"/>
      <c r="Z657" s="242"/>
      <c r="AA657" s="242"/>
      <c r="AB657" s="242"/>
      <c r="AC657" s="242"/>
    </row>
    <row r="658">
      <c r="A658" s="242"/>
      <c r="B658" s="242"/>
      <c r="C658" s="242"/>
      <c r="D658" s="242"/>
      <c r="E658" s="242"/>
      <c r="F658" s="242"/>
      <c r="G658" s="242"/>
      <c r="H658" s="242"/>
      <c r="I658" s="242"/>
      <c r="J658" s="13"/>
      <c r="K658" s="15"/>
      <c r="L658" s="341"/>
      <c r="M658" s="13"/>
      <c r="N658" s="13"/>
      <c r="O658" s="13"/>
      <c r="P658" s="13"/>
      <c r="Q658" s="242"/>
      <c r="R658" s="13"/>
      <c r="S658" s="242"/>
      <c r="T658" s="13"/>
      <c r="U658" s="242"/>
      <c r="V658" s="242"/>
      <c r="W658" s="242"/>
      <c r="X658" s="242"/>
      <c r="Y658" s="242"/>
      <c r="Z658" s="242"/>
      <c r="AA658" s="242"/>
      <c r="AB658" s="242"/>
      <c r="AC658" s="242"/>
    </row>
    <row r="659">
      <c r="A659" s="242"/>
      <c r="B659" s="242"/>
      <c r="C659" s="242"/>
      <c r="D659" s="242"/>
      <c r="E659" s="242"/>
      <c r="F659" s="242"/>
      <c r="G659" s="242"/>
      <c r="H659" s="242"/>
      <c r="I659" s="242"/>
      <c r="J659" s="13"/>
      <c r="K659" s="15"/>
      <c r="L659" s="341"/>
      <c r="M659" s="13"/>
      <c r="N659" s="13"/>
      <c r="O659" s="13"/>
      <c r="P659" s="13"/>
      <c r="Q659" s="242"/>
      <c r="R659" s="13"/>
      <c r="S659" s="242"/>
      <c r="T659" s="13"/>
      <c r="U659" s="242"/>
      <c r="V659" s="242"/>
      <c r="W659" s="242"/>
      <c r="X659" s="242"/>
      <c r="Y659" s="242"/>
      <c r="Z659" s="242"/>
      <c r="AA659" s="242"/>
      <c r="AB659" s="242"/>
      <c r="AC659" s="242"/>
    </row>
    <row r="660">
      <c r="A660" s="242"/>
      <c r="B660" s="242"/>
      <c r="C660" s="242"/>
      <c r="D660" s="242"/>
      <c r="E660" s="242"/>
      <c r="F660" s="242"/>
      <c r="G660" s="242"/>
      <c r="H660" s="242"/>
      <c r="I660" s="242"/>
      <c r="J660" s="13"/>
      <c r="K660" s="15"/>
      <c r="L660" s="341"/>
      <c r="M660" s="13"/>
      <c r="N660" s="13"/>
      <c r="O660" s="13"/>
      <c r="P660" s="13"/>
      <c r="Q660" s="242"/>
      <c r="R660" s="13"/>
      <c r="S660" s="242"/>
      <c r="T660" s="13"/>
      <c r="U660" s="242"/>
      <c r="V660" s="242"/>
      <c r="W660" s="242"/>
      <c r="X660" s="242"/>
      <c r="Y660" s="242"/>
      <c r="Z660" s="242"/>
      <c r="AA660" s="242"/>
      <c r="AB660" s="242"/>
      <c r="AC660" s="242"/>
    </row>
    <row r="661">
      <c r="A661" s="242"/>
      <c r="B661" s="242"/>
      <c r="C661" s="242"/>
      <c r="D661" s="242"/>
      <c r="E661" s="242"/>
      <c r="F661" s="242"/>
      <c r="G661" s="242"/>
      <c r="H661" s="242"/>
      <c r="I661" s="242"/>
      <c r="J661" s="13"/>
      <c r="K661" s="15"/>
      <c r="L661" s="341"/>
      <c r="M661" s="13"/>
      <c r="N661" s="13"/>
      <c r="O661" s="13"/>
      <c r="P661" s="13"/>
      <c r="Q661" s="242"/>
      <c r="R661" s="13"/>
      <c r="S661" s="242"/>
      <c r="T661" s="13"/>
      <c r="U661" s="242"/>
      <c r="V661" s="242"/>
      <c r="W661" s="242"/>
      <c r="X661" s="242"/>
      <c r="Y661" s="242"/>
      <c r="Z661" s="242"/>
      <c r="AA661" s="242"/>
      <c r="AB661" s="242"/>
      <c r="AC661" s="242"/>
    </row>
    <row r="662">
      <c r="A662" s="242"/>
      <c r="B662" s="242"/>
      <c r="C662" s="242"/>
      <c r="D662" s="242"/>
      <c r="E662" s="242"/>
      <c r="F662" s="242"/>
      <c r="G662" s="242"/>
      <c r="H662" s="242"/>
      <c r="I662" s="242"/>
      <c r="J662" s="13"/>
      <c r="K662" s="15"/>
      <c r="L662" s="341"/>
      <c r="M662" s="13"/>
      <c r="N662" s="13"/>
      <c r="O662" s="13"/>
      <c r="P662" s="13"/>
      <c r="Q662" s="242"/>
      <c r="R662" s="13"/>
      <c r="S662" s="242"/>
      <c r="T662" s="13"/>
      <c r="U662" s="242"/>
      <c r="V662" s="242"/>
      <c r="W662" s="242"/>
      <c r="X662" s="242"/>
      <c r="Y662" s="242"/>
      <c r="Z662" s="242"/>
      <c r="AA662" s="242"/>
      <c r="AB662" s="242"/>
      <c r="AC662" s="242"/>
    </row>
    <row r="663">
      <c r="A663" s="242"/>
      <c r="B663" s="242"/>
      <c r="C663" s="242"/>
      <c r="D663" s="242"/>
      <c r="E663" s="242"/>
      <c r="F663" s="242"/>
      <c r="G663" s="242"/>
      <c r="H663" s="242"/>
      <c r="I663" s="242"/>
      <c r="J663" s="13"/>
      <c r="K663" s="15"/>
      <c r="L663" s="341"/>
      <c r="M663" s="13"/>
      <c r="N663" s="13"/>
      <c r="O663" s="13"/>
      <c r="P663" s="13"/>
      <c r="Q663" s="242"/>
      <c r="R663" s="13"/>
      <c r="S663" s="242"/>
      <c r="T663" s="13"/>
      <c r="U663" s="242"/>
      <c r="V663" s="242"/>
      <c r="W663" s="242"/>
      <c r="X663" s="242"/>
      <c r="Y663" s="242"/>
      <c r="Z663" s="242"/>
      <c r="AA663" s="242"/>
      <c r="AB663" s="242"/>
      <c r="AC663" s="242"/>
    </row>
    <row r="664">
      <c r="A664" s="242"/>
      <c r="B664" s="242"/>
      <c r="C664" s="242"/>
      <c r="D664" s="242"/>
      <c r="E664" s="242"/>
      <c r="F664" s="242"/>
      <c r="G664" s="242"/>
      <c r="H664" s="242"/>
      <c r="I664" s="242"/>
      <c r="J664" s="13"/>
      <c r="K664" s="15"/>
      <c r="L664" s="341"/>
      <c r="M664" s="13"/>
      <c r="N664" s="13"/>
      <c r="O664" s="13"/>
      <c r="P664" s="13"/>
      <c r="Q664" s="242"/>
      <c r="R664" s="13"/>
      <c r="S664" s="242"/>
      <c r="T664" s="13"/>
      <c r="U664" s="242"/>
      <c r="V664" s="242"/>
      <c r="W664" s="242"/>
      <c r="X664" s="242"/>
      <c r="Y664" s="242"/>
      <c r="Z664" s="242"/>
      <c r="AA664" s="242"/>
      <c r="AB664" s="242"/>
      <c r="AC664" s="242"/>
    </row>
    <row r="665">
      <c r="A665" s="242"/>
      <c r="B665" s="242"/>
      <c r="C665" s="242"/>
      <c r="D665" s="242"/>
      <c r="E665" s="242"/>
      <c r="F665" s="242"/>
      <c r="G665" s="242"/>
      <c r="H665" s="242"/>
      <c r="I665" s="242"/>
      <c r="J665" s="13"/>
      <c r="K665" s="15"/>
      <c r="L665" s="341"/>
      <c r="M665" s="13"/>
      <c r="N665" s="13"/>
      <c r="O665" s="13"/>
      <c r="P665" s="13"/>
      <c r="Q665" s="242"/>
      <c r="R665" s="13"/>
      <c r="S665" s="242"/>
      <c r="T665" s="13"/>
      <c r="U665" s="242"/>
      <c r="V665" s="242"/>
      <c r="W665" s="242"/>
      <c r="X665" s="242"/>
      <c r="Y665" s="242"/>
      <c r="Z665" s="242"/>
      <c r="AA665" s="242"/>
      <c r="AB665" s="242"/>
      <c r="AC665" s="242"/>
    </row>
    <row r="666">
      <c r="A666" s="242"/>
      <c r="B666" s="242"/>
      <c r="C666" s="242"/>
      <c r="D666" s="242"/>
      <c r="E666" s="242"/>
      <c r="F666" s="242"/>
      <c r="G666" s="242"/>
      <c r="H666" s="242"/>
      <c r="I666" s="242"/>
      <c r="J666" s="13"/>
      <c r="K666" s="15"/>
      <c r="L666" s="341"/>
      <c r="M666" s="13"/>
      <c r="N666" s="13"/>
      <c r="O666" s="13"/>
      <c r="P666" s="13"/>
      <c r="Q666" s="242"/>
      <c r="R666" s="13"/>
      <c r="S666" s="242"/>
      <c r="T666" s="13"/>
      <c r="U666" s="242"/>
      <c r="V666" s="242"/>
      <c r="W666" s="242"/>
      <c r="X666" s="242"/>
      <c r="Y666" s="242"/>
      <c r="Z666" s="242"/>
      <c r="AA666" s="242"/>
      <c r="AB666" s="242"/>
      <c r="AC666" s="242"/>
    </row>
    <row r="667">
      <c r="A667" s="242"/>
      <c r="B667" s="242"/>
      <c r="C667" s="242"/>
      <c r="D667" s="242"/>
      <c r="E667" s="242"/>
      <c r="F667" s="242"/>
      <c r="G667" s="242"/>
      <c r="H667" s="242"/>
      <c r="I667" s="242"/>
      <c r="J667" s="13"/>
      <c r="K667" s="15"/>
      <c r="L667" s="341"/>
      <c r="M667" s="13"/>
      <c r="N667" s="13"/>
      <c r="O667" s="13"/>
      <c r="P667" s="13"/>
      <c r="Q667" s="242"/>
      <c r="R667" s="13"/>
      <c r="S667" s="242"/>
      <c r="T667" s="13"/>
      <c r="U667" s="242"/>
      <c r="V667" s="242"/>
      <c r="W667" s="242"/>
      <c r="X667" s="242"/>
      <c r="Y667" s="242"/>
      <c r="Z667" s="242"/>
      <c r="AA667" s="242"/>
      <c r="AB667" s="242"/>
      <c r="AC667" s="242"/>
    </row>
    <row r="668">
      <c r="A668" s="242"/>
      <c r="B668" s="242"/>
      <c r="C668" s="242"/>
      <c r="D668" s="242"/>
      <c r="E668" s="242"/>
      <c r="F668" s="242"/>
      <c r="G668" s="242"/>
      <c r="H668" s="242"/>
      <c r="I668" s="242"/>
      <c r="J668" s="13"/>
      <c r="K668" s="15"/>
      <c r="L668" s="341"/>
      <c r="M668" s="13"/>
      <c r="N668" s="13"/>
      <c r="O668" s="13"/>
      <c r="P668" s="13"/>
      <c r="Q668" s="242"/>
      <c r="R668" s="13"/>
      <c r="S668" s="242"/>
      <c r="T668" s="13"/>
      <c r="U668" s="242"/>
      <c r="V668" s="242"/>
      <c r="W668" s="242"/>
      <c r="X668" s="242"/>
      <c r="Y668" s="242"/>
      <c r="Z668" s="242"/>
      <c r="AA668" s="242"/>
      <c r="AB668" s="242"/>
      <c r="AC668" s="242"/>
    </row>
    <row r="669">
      <c r="A669" s="242"/>
      <c r="B669" s="242"/>
      <c r="C669" s="242"/>
      <c r="D669" s="242"/>
      <c r="E669" s="242"/>
      <c r="F669" s="242"/>
      <c r="G669" s="242"/>
      <c r="H669" s="242"/>
      <c r="I669" s="242"/>
      <c r="J669" s="13"/>
      <c r="K669" s="15"/>
      <c r="L669" s="341"/>
      <c r="M669" s="13"/>
      <c r="N669" s="13"/>
      <c r="O669" s="13"/>
      <c r="P669" s="13"/>
      <c r="Q669" s="242"/>
      <c r="R669" s="13"/>
      <c r="S669" s="242"/>
      <c r="T669" s="13"/>
      <c r="U669" s="242"/>
      <c r="V669" s="242"/>
      <c r="W669" s="242"/>
      <c r="X669" s="242"/>
      <c r="Y669" s="242"/>
      <c r="Z669" s="242"/>
      <c r="AA669" s="242"/>
      <c r="AB669" s="242"/>
      <c r="AC669" s="242"/>
    </row>
    <row r="670">
      <c r="A670" s="242"/>
      <c r="B670" s="242"/>
      <c r="C670" s="242"/>
      <c r="D670" s="242"/>
      <c r="E670" s="242"/>
      <c r="F670" s="242"/>
      <c r="G670" s="242"/>
      <c r="H670" s="242"/>
      <c r="I670" s="242"/>
      <c r="J670" s="13"/>
      <c r="K670" s="15"/>
      <c r="L670" s="341"/>
      <c r="M670" s="13"/>
      <c r="N670" s="13"/>
      <c r="O670" s="13"/>
      <c r="P670" s="13"/>
      <c r="Q670" s="242"/>
      <c r="R670" s="13"/>
      <c r="S670" s="242"/>
      <c r="T670" s="13"/>
      <c r="U670" s="242"/>
      <c r="V670" s="242"/>
      <c r="W670" s="242"/>
      <c r="X670" s="242"/>
      <c r="Y670" s="242"/>
      <c r="Z670" s="242"/>
      <c r="AA670" s="242"/>
      <c r="AB670" s="242"/>
      <c r="AC670" s="242"/>
    </row>
    <row r="671">
      <c r="A671" s="242"/>
      <c r="B671" s="242"/>
      <c r="C671" s="242"/>
      <c r="D671" s="242"/>
      <c r="E671" s="242"/>
      <c r="F671" s="242"/>
      <c r="G671" s="242"/>
      <c r="H671" s="242"/>
      <c r="I671" s="242"/>
      <c r="J671" s="13"/>
      <c r="K671" s="15"/>
      <c r="L671" s="341"/>
      <c r="M671" s="13"/>
      <c r="N671" s="13"/>
      <c r="O671" s="13"/>
      <c r="P671" s="13"/>
      <c r="Q671" s="242"/>
      <c r="R671" s="13"/>
      <c r="S671" s="242"/>
      <c r="T671" s="13"/>
      <c r="U671" s="242"/>
      <c r="V671" s="242"/>
      <c r="W671" s="242"/>
      <c r="X671" s="242"/>
      <c r="Y671" s="242"/>
      <c r="Z671" s="242"/>
      <c r="AA671" s="242"/>
      <c r="AB671" s="242"/>
      <c r="AC671" s="242"/>
    </row>
    <row r="672">
      <c r="A672" s="242"/>
      <c r="B672" s="242"/>
      <c r="C672" s="242"/>
      <c r="D672" s="242"/>
      <c r="E672" s="242"/>
      <c r="F672" s="242"/>
      <c r="G672" s="242"/>
      <c r="H672" s="242"/>
      <c r="I672" s="242"/>
      <c r="J672" s="13"/>
      <c r="K672" s="15"/>
      <c r="L672" s="341"/>
      <c r="M672" s="13"/>
      <c r="N672" s="13"/>
      <c r="O672" s="13"/>
      <c r="P672" s="13"/>
      <c r="Q672" s="242"/>
      <c r="R672" s="13"/>
      <c r="S672" s="242"/>
      <c r="T672" s="13"/>
      <c r="U672" s="242"/>
      <c r="V672" s="242"/>
      <c r="W672" s="242"/>
      <c r="X672" s="242"/>
      <c r="Y672" s="242"/>
      <c r="Z672" s="242"/>
      <c r="AA672" s="242"/>
      <c r="AB672" s="242"/>
      <c r="AC672" s="242"/>
    </row>
    <row r="673">
      <c r="A673" s="242"/>
      <c r="B673" s="242"/>
      <c r="C673" s="242"/>
      <c r="D673" s="242"/>
      <c r="E673" s="242"/>
      <c r="F673" s="242"/>
      <c r="G673" s="242"/>
      <c r="H673" s="242"/>
      <c r="I673" s="242"/>
      <c r="J673" s="13"/>
      <c r="K673" s="15"/>
      <c r="L673" s="341"/>
      <c r="M673" s="13"/>
      <c r="N673" s="13"/>
      <c r="O673" s="13"/>
      <c r="P673" s="13"/>
      <c r="Q673" s="242"/>
      <c r="R673" s="13"/>
      <c r="S673" s="242"/>
      <c r="T673" s="13"/>
      <c r="U673" s="242"/>
      <c r="V673" s="242"/>
      <c r="W673" s="242"/>
      <c r="X673" s="242"/>
      <c r="Y673" s="242"/>
      <c r="Z673" s="242"/>
      <c r="AA673" s="242"/>
      <c r="AB673" s="242"/>
      <c r="AC673" s="242"/>
    </row>
    <row r="674">
      <c r="A674" s="242"/>
      <c r="B674" s="242"/>
      <c r="C674" s="242"/>
      <c r="D674" s="242"/>
      <c r="E674" s="242"/>
      <c r="F674" s="242"/>
      <c r="G674" s="242"/>
      <c r="H674" s="242"/>
      <c r="I674" s="242"/>
      <c r="J674" s="13"/>
      <c r="K674" s="15"/>
      <c r="L674" s="341"/>
      <c r="M674" s="13"/>
      <c r="N674" s="13"/>
      <c r="O674" s="13"/>
      <c r="P674" s="13"/>
      <c r="Q674" s="242"/>
      <c r="R674" s="13"/>
      <c r="S674" s="242"/>
      <c r="T674" s="13"/>
      <c r="U674" s="242"/>
      <c r="V674" s="242"/>
      <c r="W674" s="242"/>
      <c r="X674" s="242"/>
      <c r="Y674" s="242"/>
      <c r="Z674" s="242"/>
      <c r="AA674" s="242"/>
      <c r="AB674" s="242"/>
      <c r="AC674" s="242"/>
    </row>
    <row r="675">
      <c r="A675" s="242"/>
      <c r="B675" s="242"/>
      <c r="C675" s="242"/>
      <c r="D675" s="242"/>
      <c r="E675" s="242"/>
      <c r="F675" s="242"/>
      <c r="G675" s="242"/>
      <c r="H675" s="242"/>
      <c r="I675" s="242"/>
      <c r="J675" s="13"/>
      <c r="K675" s="15"/>
      <c r="L675" s="341"/>
      <c r="M675" s="13"/>
      <c r="N675" s="13"/>
      <c r="O675" s="13"/>
      <c r="P675" s="13"/>
      <c r="Q675" s="242"/>
      <c r="R675" s="13"/>
      <c r="S675" s="242"/>
      <c r="T675" s="13"/>
      <c r="U675" s="242"/>
      <c r="V675" s="242"/>
      <c r="W675" s="242"/>
      <c r="X675" s="242"/>
      <c r="Y675" s="242"/>
      <c r="Z675" s="242"/>
      <c r="AA675" s="242"/>
      <c r="AB675" s="242"/>
      <c r="AC675" s="242"/>
    </row>
    <row r="676">
      <c r="A676" s="242"/>
      <c r="B676" s="242"/>
      <c r="C676" s="242"/>
      <c r="D676" s="242"/>
      <c r="E676" s="242"/>
      <c r="F676" s="242"/>
      <c r="G676" s="242"/>
      <c r="H676" s="242"/>
      <c r="I676" s="242"/>
      <c r="J676" s="13"/>
      <c r="K676" s="15"/>
      <c r="L676" s="341"/>
      <c r="M676" s="13"/>
      <c r="N676" s="13"/>
      <c r="O676" s="13"/>
      <c r="P676" s="13"/>
      <c r="Q676" s="242"/>
      <c r="R676" s="13"/>
      <c r="S676" s="242"/>
      <c r="T676" s="13"/>
      <c r="U676" s="242"/>
      <c r="V676" s="242"/>
      <c r="W676" s="242"/>
      <c r="X676" s="242"/>
      <c r="Y676" s="242"/>
      <c r="Z676" s="242"/>
      <c r="AA676" s="242"/>
      <c r="AB676" s="242"/>
      <c r="AC676" s="242"/>
    </row>
    <row r="677">
      <c r="A677" s="242"/>
      <c r="B677" s="242"/>
      <c r="C677" s="242"/>
      <c r="D677" s="242"/>
      <c r="E677" s="242"/>
      <c r="F677" s="242"/>
      <c r="G677" s="242"/>
      <c r="H677" s="242"/>
      <c r="I677" s="242"/>
      <c r="J677" s="13"/>
      <c r="K677" s="15"/>
      <c r="L677" s="341"/>
      <c r="M677" s="13"/>
      <c r="N677" s="13"/>
      <c r="O677" s="13"/>
      <c r="P677" s="13"/>
      <c r="Q677" s="242"/>
      <c r="R677" s="13"/>
      <c r="S677" s="242"/>
      <c r="T677" s="13"/>
      <c r="U677" s="242"/>
      <c r="V677" s="242"/>
      <c r="W677" s="242"/>
      <c r="X677" s="242"/>
      <c r="Y677" s="242"/>
      <c r="Z677" s="242"/>
      <c r="AA677" s="242"/>
      <c r="AB677" s="242"/>
      <c r="AC677" s="242"/>
    </row>
    <row r="678">
      <c r="A678" s="242"/>
      <c r="B678" s="242"/>
      <c r="C678" s="242"/>
      <c r="D678" s="242"/>
      <c r="E678" s="242"/>
      <c r="F678" s="242"/>
      <c r="G678" s="242"/>
      <c r="H678" s="242"/>
      <c r="I678" s="242"/>
      <c r="J678" s="13"/>
      <c r="K678" s="15"/>
      <c r="L678" s="341"/>
      <c r="M678" s="13"/>
      <c r="N678" s="13"/>
      <c r="O678" s="13"/>
      <c r="P678" s="13"/>
      <c r="Q678" s="242"/>
      <c r="R678" s="13"/>
      <c r="S678" s="242"/>
      <c r="T678" s="13"/>
      <c r="U678" s="242"/>
      <c r="V678" s="242"/>
      <c r="W678" s="242"/>
      <c r="X678" s="242"/>
      <c r="Y678" s="242"/>
      <c r="Z678" s="242"/>
      <c r="AA678" s="242"/>
      <c r="AB678" s="242"/>
      <c r="AC678" s="242"/>
    </row>
    <row r="679">
      <c r="A679" s="242"/>
      <c r="B679" s="242"/>
      <c r="C679" s="242"/>
      <c r="D679" s="242"/>
      <c r="E679" s="242"/>
      <c r="F679" s="242"/>
      <c r="G679" s="242"/>
      <c r="H679" s="242"/>
      <c r="I679" s="242"/>
      <c r="J679" s="13"/>
      <c r="K679" s="15"/>
      <c r="L679" s="341"/>
      <c r="M679" s="13"/>
      <c r="N679" s="13"/>
      <c r="O679" s="13"/>
      <c r="P679" s="13"/>
      <c r="Q679" s="242"/>
      <c r="R679" s="13"/>
      <c r="S679" s="242"/>
      <c r="T679" s="13"/>
      <c r="U679" s="242"/>
      <c r="V679" s="242"/>
      <c r="W679" s="242"/>
      <c r="X679" s="242"/>
      <c r="Y679" s="242"/>
      <c r="Z679" s="242"/>
      <c r="AA679" s="242"/>
      <c r="AB679" s="242"/>
      <c r="AC679" s="242"/>
    </row>
    <row r="680">
      <c r="A680" s="242"/>
      <c r="B680" s="242"/>
      <c r="C680" s="242"/>
      <c r="D680" s="242"/>
      <c r="E680" s="242"/>
      <c r="F680" s="242"/>
      <c r="G680" s="242"/>
      <c r="H680" s="242"/>
      <c r="I680" s="242"/>
      <c r="J680" s="13"/>
      <c r="K680" s="15"/>
      <c r="L680" s="341"/>
      <c r="M680" s="13"/>
      <c r="N680" s="13"/>
      <c r="O680" s="13"/>
      <c r="P680" s="13"/>
      <c r="Q680" s="242"/>
      <c r="R680" s="13"/>
      <c r="S680" s="242"/>
      <c r="T680" s="13"/>
      <c r="U680" s="242"/>
      <c r="V680" s="242"/>
      <c r="W680" s="242"/>
      <c r="X680" s="242"/>
      <c r="Y680" s="242"/>
      <c r="Z680" s="242"/>
      <c r="AA680" s="242"/>
      <c r="AB680" s="242"/>
      <c r="AC680" s="242"/>
    </row>
    <row r="681">
      <c r="A681" s="242"/>
      <c r="B681" s="242"/>
      <c r="C681" s="242"/>
      <c r="D681" s="242"/>
      <c r="E681" s="242"/>
      <c r="F681" s="242"/>
      <c r="G681" s="242"/>
      <c r="H681" s="242"/>
      <c r="I681" s="242"/>
      <c r="J681" s="13"/>
      <c r="K681" s="15"/>
      <c r="L681" s="341"/>
      <c r="M681" s="13"/>
      <c r="N681" s="13"/>
      <c r="O681" s="13"/>
      <c r="P681" s="13"/>
      <c r="Q681" s="242"/>
      <c r="R681" s="13"/>
      <c r="S681" s="242"/>
      <c r="T681" s="13"/>
      <c r="U681" s="242"/>
      <c r="V681" s="242"/>
      <c r="W681" s="242"/>
      <c r="X681" s="242"/>
      <c r="Y681" s="242"/>
      <c r="Z681" s="242"/>
      <c r="AA681" s="242"/>
      <c r="AB681" s="242"/>
      <c r="AC681" s="242"/>
    </row>
    <row r="682">
      <c r="A682" s="242"/>
      <c r="B682" s="242"/>
      <c r="C682" s="242"/>
      <c r="D682" s="242"/>
      <c r="E682" s="242"/>
      <c r="F682" s="242"/>
      <c r="G682" s="242"/>
      <c r="H682" s="242"/>
      <c r="I682" s="242"/>
      <c r="J682" s="13"/>
      <c r="K682" s="15"/>
      <c r="L682" s="341"/>
      <c r="M682" s="13"/>
      <c r="N682" s="13"/>
      <c r="O682" s="13"/>
      <c r="P682" s="13"/>
      <c r="Q682" s="242"/>
      <c r="R682" s="13"/>
      <c r="S682" s="242"/>
      <c r="T682" s="13"/>
      <c r="U682" s="242"/>
      <c r="V682" s="242"/>
      <c r="W682" s="242"/>
      <c r="X682" s="242"/>
      <c r="Y682" s="242"/>
      <c r="Z682" s="242"/>
      <c r="AA682" s="242"/>
      <c r="AB682" s="242"/>
      <c r="AC682" s="242"/>
    </row>
    <row r="683">
      <c r="A683" s="242"/>
      <c r="B683" s="242"/>
      <c r="C683" s="242"/>
      <c r="D683" s="242"/>
      <c r="E683" s="242"/>
      <c r="F683" s="242"/>
      <c r="G683" s="242"/>
      <c r="H683" s="242"/>
      <c r="I683" s="242"/>
      <c r="J683" s="13"/>
      <c r="K683" s="15"/>
      <c r="L683" s="341"/>
      <c r="M683" s="13"/>
      <c r="N683" s="13"/>
      <c r="O683" s="13"/>
      <c r="P683" s="13"/>
      <c r="Q683" s="242"/>
      <c r="R683" s="13"/>
      <c r="S683" s="242"/>
      <c r="T683" s="13"/>
      <c r="U683" s="242"/>
      <c r="V683" s="242"/>
      <c r="W683" s="242"/>
      <c r="X683" s="242"/>
      <c r="Y683" s="242"/>
      <c r="Z683" s="242"/>
      <c r="AA683" s="242"/>
      <c r="AB683" s="242"/>
      <c r="AC683" s="242"/>
    </row>
    <row r="684">
      <c r="A684" s="242"/>
      <c r="B684" s="242"/>
      <c r="C684" s="242"/>
      <c r="D684" s="242"/>
      <c r="E684" s="242"/>
      <c r="F684" s="242"/>
      <c r="G684" s="242"/>
      <c r="H684" s="242"/>
      <c r="I684" s="242"/>
      <c r="J684" s="13"/>
      <c r="K684" s="15"/>
      <c r="L684" s="341"/>
      <c r="M684" s="13"/>
      <c r="N684" s="13"/>
      <c r="O684" s="13"/>
      <c r="P684" s="13"/>
      <c r="Q684" s="242"/>
      <c r="R684" s="13"/>
      <c r="S684" s="242"/>
      <c r="T684" s="13"/>
      <c r="U684" s="242"/>
      <c r="V684" s="242"/>
      <c r="W684" s="242"/>
      <c r="X684" s="242"/>
      <c r="Y684" s="242"/>
      <c r="Z684" s="242"/>
      <c r="AA684" s="242"/>
      <c r="AB684" s="242"/>
      <c r="AC684" s="242"/>
    </row>
    <row r="685">
      <c r="A685" s="242"/>
      <c r="B685" s="242"/>
      <c r="C685" s="242"/>
      <c r="D685" s="242"/>
      <c r="E685" s="242"/>
      <c r="F685" s="242"/>
      <c r="G685" s="242"/>
      <c r="H685" s="242"/>
      <c r="I685" s="242"/>
      <c r="J685" s="13"/>
      <c r="K685" s="15"/>
      <c r="L685" s="341"/>
      <c r="M685" s="13"/>
      <c r="N685" s="13"/>
      <c r="O685" s="13"/>
      <c r="P685" s="13"/>
      <c r="Q685" s="242"/>
      <c r="R685" s="13"/>
      <c r="S685" s="242"/>
      <c r="T685" s="13"/>
      <c r="U685" s="242"/>
      <c r="V685" s="242"/>
      <c r="W685" s="242"/>
      <c r="X685" s="242"/>
      <c r="Y685" s="242"/>
      <c r="Z685" s="242"/>
      <c r="AA685" s="242"/>
      <c r="AB685" s="242"/>
      <c r="AC685" s="242"/>
    </row>
    <row r="686">
      <c r="A686" s="242"/>
      <c r="B686" s="242"/>
      <c r="C686" s="242"/>
      <c r="D686" s="242"/>
      <c r="E686" s="242"/>
      <c r="F686" s="242"/>
      <c r="G686" s="242"/>
      <c r="H686" s="242"/>
      <c r="I686" s="242"/>
      <c r="J686" s="13"/>
      <c r="K686" s="15"/>
      <c r="L686" s="341"/>
      <c r="M686" s="13"/>
      <c r="N686" s="13"/>
      <c r="O686" s="13"/>
      <c r="P686" s="13"/>
      <c r="Q686" s="242"/>
      <c r="R686" s="13"/>
      <c r="S686" s="242"/>
      <c r="T686" s="13"/>
      <c r="U686" s="242"/>
      <c r="V686" s="242"/>
      <c r="W686" s="242"/>
      <c r="X686" s="242"/>
      <c r="Y686" s="242"/>
      <c r="Z686" s="242"/>
      <c r="AA686" s="242"/>
      <c r="AB686" s="242"/>
      <c r="AC686" s="242"/>
    </row>
    <row r="687">
      <c r="A687" s="242"/>
      <c r="B687" s="242"/>
      <c r="C687" s="242"/>
      <c r="D687" s="242"/>
      <c r="E687" s="242"/>
      <c r="F687" s="242"/>
      <c r="G687" s="242"/>
      <c r="H687" s="242"/>
      <c r="I687" s="242"/>
      <c r="J687" s="13"/>
      <c r="K687" s="15"/>
      <c r="L687" s="341"/>
      <c r="M687" s="13"/>
      <c r="N687" s="13"/>
      <c r="O687" s="13"/>
      <c r="P687" s="13"/>
      <c r="Q687" s="242"/>
      <c r="R687" s="13"/>
      <c r="S687" s="242"/>
      <c r="T687" s="13"/>
      <c r="U687" s="242"/>
      <c r="V687" s="242"/>
      <c r="W687" s="242"/>
      <c r="X687" s="242"/>
      <c r="Y687" s="242"/>
      <c r="Z687" s="242"/>
      <c r="AA687" s="242"/>
      <c r="AB687" s="242"/>
      <c r="AC687" s="242"/>
    </row>
    <row r="688">
      <c r="A688" s="242"/>
      <c r="B688" s="242"/>
      <c r="C688" s="242"/>
      <c r="D688" s="242"/>
      <c r="E688" s="242"/>
      <c r="F688" s="242"/>
      <c r="G688" s="242"/>
      <c r="H688" s="242"/>
      <c r="I688" s="242"/>
      <c r="J688" s="13"/>
      <c r="K688" s="15"/>
      <c r="L688" s="341"/>
      <c r="M688" s="13"/>
      <c r="N688" s="13"/>
      <c r="O688" s="13"/>
      <c r="P688" s="13"/>
      <c r="Q688" s="242"/>
      <c r="R688" s="13"/>
      <c r="S688" s="242"/>
      <c r="T688" s="13"/>
      <c r="U688" s="242"/>
      <c r="V688" s="242"/>
      <c r="W688" s="242"/>
      <c r="X688" s="242"/>
      <c r="Y688" s="242"/>
      <c r="Z688" s="242"/>
      <c r="AA688" s="242"/>
      <c r="AB688" s="242"/>
      <c r="AC688" s="242"/>
    </row>
    <row r="689">
      <c r="A689" s="242"/>
      <c r="B689" s="242"/>
      <c r="C689" s="242"/>
      <c r="D689" s="242"/>
      <c r="E689" s="242"/>
      <c r="F689" s="242"/>
      <c r="G689" s="242"/>
      <c r="H689" s="242"/>
      <c r="I689" s="242"/>
      <c r="J689" s="13"/>
      <c r="K689" s="15"/>
      <c r="L689" s="341"/>
      <c r="M689" s="13"/>
      <c r="N689" s="13"/>
      <c r="O689" s="13"/>
      <c r="P689" s="13"/>
      <c r="Q689" s="242"/>
      <c r="R689" s="13"/>
      <c r="S689" s="242"/>
      <c r="T689" s="13"/>
      <c r="U689" s="242"/>
      <c r="V689" s="242"/>
      <c r="W689" s="242"/>
      <c r="X689" s="242"/>
      <c r="Y689" s="242"/>
      <c r="Z689" s="242"/>
      <c r="AA689" s="242"/>
      <c r="AB689" s="242"/>
      <c r="AC689" s="242"/>
    </row>
    <row r="690">
      <c r="A690" s="242"/>
      <c r="B690" s="242"/>
      <c r="C690" s="242"/>
      <c r="D690" s="242"/>
      <c r="E690" s="242"/>
      <c r="F690" s="242"/>
      <c r="G690" s="242"/>
      <c r="H690" s="242"/>
      <c r="I690" s="242"/>
      <c r="J690" s="13"/>
      <c r="K690" s="15"/>
      <c r="L690" s="341"/>
      <c r="M690" s="13"/>
      <c r="N690" s="13"/>
      <c r="O690" s="13"/>
      <c r="P690" s="13"/>
      <c r="Q690" s="242"/>
      <c r="R690" s="13"/>
      <c r="S690" s="242"/>
      <c r="T690" s="13"/>
      <c r="U690" s="242"/>
      <c r="V690" s="242"/>
      <c r="W690" s="242"/>
      <c r="X690" s="242"/>
      <c r="Y690" s="242"/>
      <c r="Z690" s="242"/>
      <c r="AA690" s="242"/>
      <c r="AB690" s="242"/>
      <c r="AC690" s="242"/>
    </row>
    <row r="691">
      <c r="A691" s="242"/>
      <c r="B691" s="242"/>
      <c r="C691" s="242"/>
      <c r="D691" s="242"/>
      <c r="E691" s="242"/>
      <c r="F691" s="242"/>
      <c r="G691" s="242"/>
      <c r="H691" s="242"/>
      <c r="I691" s="242"/>
      <c r="J691" s="13"/>
      <c r="K691" s="15"/>
      <c r="L691" s="341"/>
      <c r="M691" s="13"/>
      <c r="N691" s="13"/>
      <c r="O691" s="13"/>
      <c r="P691" s="13"/>
      <c r="Q691" s="242"/>
      <c r="R691" s="13"/>
      <c r="S691" s="242"/>
      <c r="T691" s="13"/>
      <c r="U691" s="242"/>
      <c r="V691" s="242"/>
      <c r="W691" s="242"/>
      <c r="X691" s="242"/>
      <c r="Y691" s="242"/>
      <c r="Z691" s="242"/>
      <c r="AA691" s="242"/>
      <c r="AB691" s="242"/>
      <c r="AC691" s="242"/>
    </row>
    <row r="692">
      <c r="A692" s="242"/>
      <c r="B692" s="242"/>
      <c r="C692" s="242"/>
      <c r="D692" s="242"/>
      <c r="E692" s="242"/>
      <c r="F692" s="242"/>
      <c r="G692" s="242"/>
      <c r="H692" s="242"/>
      <c r="I692" s="242"/>
      <c r="J692" s="13"/>
      <c r="K692" s="15"/>
      <c r="L692" s="341"/>
      <c r="M692" s="13"/>
      <c r="N692" s="13"/>
      <c r="O692" s="13"/>
      <c r="P692" s="13"/>
      <c r="Q692" s="242"/>
      <c r="R692" s="13"/>
      <c r="S692" s="242"/>
      <c r="T692" s="13"/>
      <c r="U692" s="242"/>
      <c r="V692" s="242"/>
      <c r="W692" s="242"/>
      <c r="X692" s="242"/>
      <c r="Y692" s="242"/>
      <c r="Z692" s="242"/>
      <c r="AA692" s="242"/>
      <c r="AB692" s="242"/>
      <c r="AC692" s="242"/>
    </row>
    <row r="693">
      <c r="A693" s="242"/>
      <c r="B693" s="242"/>
      <c r="C693" s="242"/>
      <c r="D693" s="242"/>
      <c r="E693" s="242"/>
      <c r="F693" s="242"/>
      <c r="G693" s="242"/>
      <c r="H693" s="242"/>
      <c r="I693" s="242"/>
      <c r="J693" s="13"/>
      <c r="K693" s="15"/>
      <c r="L693" s="341"/>
      <c r="M693" s="13"/>
      <c r="N693" s="13"/>
      <c r="O693" s="13"/>
      <c r="P693" s="13"/>
      <c r="Q693" s="242"/>
      <c r="R693" s="13"/>
      <c r="S693" s="242"/>
      <c r="T693" s="13"/>
      <c r="U693" s="242"/>
      <c r="V693" s="242"/>
      <c r="W693" s="242"/>
      <c r="X693" s="242"/>
      <c r="Y693" s="242"/>
      <c r="Z693" s="242"/>
      <c r="AA693" s="242"/>
      <c r="AB693" s="242"/>
      <c r="AC693" s="242"/>
    </row>
    <row r="694">
      <c r="A694" s="242"/>
      <c r="B694" s="242"/>
      <c r="C694" s="242"/>
      <c r="D694" s="242"/>
      <c r="E694" s="242"/>
      <c r="F694" s="242"/>
      <c r="G694" s="242"/>
      <c r="H694" s="242"/>
      <c r="I694" s="242"/>
      <c r="J694" s="13"/>
      <c r="K694" s="15"/>
      <c r="L694" s="341"/>
      <c r="M694" s="13"/>
      <c r="N694" s="13"/>
      <c r="O694" s="13"/>
      <c r="P694" s="13"/>
      <c r="Q694" s="242"/>
      <c r="R694" s="13"/>
      <c r="S694" s="242"/>
      <c r="T694" s="13"/>
      <c r="U694" s="242"/>
      <c r="V694" s="242"/>
      <c r="W694" s="242"/>
      <c r="X694" s="242"/>
      <c r="Y694" s="242"/>
      <c r="Z694" s="242"/>
      <c r="AA694" s="242"/>
      <c r="AB694" s="242"/>
      <c r="AC694" s="242"/>
    </row>
    <row r="695">
      <c r="A695" s="242"/>
      <c r="B695" s="242"/>
      <c r="C695" s="242"/>
      <c r="D695" s="242"/>
      <c r="E695" s="242"/>
      <c r="F695" s="242"/>
      <c r="G695" s="242"/>
      <c r="H695" s="242"/>
      <c r="I695" s="242"/>
      <c r="J695" s="13"/>
      <c r="K695" s="15"/>
      <c r="L695" s="341"/>
      <c r="M695" s="13"/>
      <c r="N695" s="13"/>
      <c r="O695" s="13"/>
      <c r="P695" s="13"/>
      <c r="Q695" s="242"/>
      <c r="R695" s="13"/>
      <c r="S695" s="242"/>
      <c r="T695" s="13"/>
      <c r="U695" s="242"/>
      <c r="V695" s="242"/>
      <c r="W695" s="242"/>
      <c r="X695" s="242"/>
      <c r="Y695" s="242"/>
      <c r="Z695" s="242"/>
      <c r="AA695" s="242"/>
      <c r="AB695" s="242"/>
      <c r="AC695" s="242"/>
    </row>
    <row r="696">
      <c r="A696" s="242"/>
      <c r="B696" s="242"/>
      <c r="C696" s="242"/>
      <c r="D696" s="242"/>
      <c r="E696" s="242"/>
      <c r="F696" s="242"/>
      <c r="G696" s="242"/>
      <c r="H696" s="242"/>
      <c r="I696" s="242"/>
      <c r="J696" s="13"/>
      <c r="K696" s="15"/>
      <c r="L696" s="341"/>
      <c r="M696" s="13"/>
      <c r="N696" s="13"/>
      <c r="O696" s="13"/>
      <c r="P696" s="13"/>
      <c r="Q696" s="242"/>
      <c r="R696" s="13"/>
      <c r="S696" s="242"/>
      <c r="T696" s="13"/>
      <c r="U696" s="242"/>
      <c r="V696" s="242"/>
      <c r="W696" s="242"/>
      <c r="X696" s="242"/>
      <c r="Y696" s="242"/>
      <c r="Z696" s="242"/>
      <c r="AA696" s="242"/>
      <c r="AB696" s="242"/>
      <c r="AC696" s="242"/>
    </row>
    <row r="697">
      <c r="A697" s="242"/>
      <c r="B697" s="242"/>
      <c r="C697" s="242"/>
      <c r="D697" s="242"/>
      <c r="E697" s="242"/>
      <c r="F697" s="242"/>
      <c r="G697" s="242"/>
      <c r="H697" s="242"/>
      <c r="I697" s="242"/>
      <c r="J697" s="13"/>
      <c r="K697" s="15"/>
      <c r="L697" s="341"/>
      <c r="M697" s="13"/>
      <c r="N697" s="13"/>
      <c r="O697" s="13"/>
      <c r="P697" s="13"/>
      <c r="Q697" s="242"/>
      <c r="R697" s="13"/>
      <c r="S697" s="242"/>
      <c r="T697" s="13"/>
      <c r="U697" s="242"/>
      <c r="V697" s="242"/>
      <c r="W697" s="242"/>
      <c r="X697" s="242"/>
      <c r="Y697" s="242"/>
      <c r="Z697" s="242"/>
      <c r="AA697" s="242"/>
      <c r="AB697" s="242"/>
      <c r="AC697" s="242"/>
    </row>
    <row r="698">
      <c r="A698" s="242"/>
      <c r="B698" s="242"/>
      <c r="C698" s="242"/>
      <c r="D698" s="242"/>
      <c r="E698" s="242"/>
      <c r="F698" s="242"/>
      <c r="G698" s="242"/>
      <c r="H698" s="242"/>
      <c r="I698" s="242"/>
      <c r="J698" s="13"/>
      <c r="K698" s="15"/>
      <c r="L698" s="341"/>
      <c r="M698" s="13"/>
      <c r="N698" s="13"/>
      <c r="O698" s="13"/>
      <c r="P698" s="13"/>
      <c r="Q698" s="242"/>
      <c r="R698" s="13"/>
      <c r="S698" s="242"/>
      <c r="T698" s="13"/>
      <c r="U698" s="242"/>
      <c r="V698" s="242"/>
      <c r="W698" s="242"/>
      <c r="X698" s="242"/>
      <c r="Y698" s="242"/>
      <c r="Z698" s="242"/>
      <c r="AA698" s="242"/>
      <c r="AB698" s="242"/>
      <c r="AC698" s="242"/>
    </row>
    <row r="699">
      <c r="A699" s="242"/>
      <c r="B699" s="242"/>
      <c r="C699" s="242"/>
      <c r="D699" s="242"/>
      <c r="E699" s="242"/>
      <c r="F699" s="242"/>
      <c r="G699" s="242"/>
      <c r="H699" s="242"/>
      <c r="I699" s="242"/>
      <c r="J699" s="13"/>
      <c r="K699" s="15"/>
      <c r="L699" s="341"/>
      <c r="M699" s="13"/>
      <c r="N699" s="13"/>
      <c r="O699" s="13"/>
      <c r="P699" s="13"/>
      <c r="Q699" s="242"/>
      <c r="R699" s="13"/>
      <c r="S699" s="242"/>
      <c r="T699" s="13"/>
      <c r="U699" s="242"/>
      <c r="V699" s="242"/>
      <c r="W699" s="242"/>
      <c r="X699" s="242"/>
      <c r="Y699" s="242"/>
      <c r="Z699" s="242"/>
      <c r="AA699" s="242"/>
      <c r="AB699" s="242"/>
      <c r="AC699" s="242"/>
    </row>
    <row r="700">
      <c r="A700" s="242"/>
      <c r="B700" s="242"/>
      <c r="C700" s="242"/>
      <c r="D700" s="242"/>
      <c r="E700" s="242"/>
      <c r="F700" s="242"/>
      <c r="G700" s="242"/>
      <c r="H700" s="242"/>
      <c r="I700" s="242"/>
      <c r="J700" s="13"/>
      <c r="K700" s="15"/>
      <c r="L700" s="341"/>
      <c r="M700" s="13"/>
      <c r="N700" s="13"/>
      <c r="O700" s="13"/>
      <c r="P700" s="13"/>
      <c r="Q700" s="242"/>
      <c r="R700" s="13"/>
      <c r="S700" s="242"/>
      <c r="T700" s="13"/>
      <c r="U700" s="242"/>
      <c r="V700" s="242"/>
      <c r="W700" s="242"/>
      <c r="X700" s="242"/>
      <c r="Y700" s="242"/>
      <c r="Z700" s="242"/>
      <c r="AA700" s="242"/>
      <c r="AB700" s="242"/>
      <c r="AC700" s="242"/>
    </row>
    <row r="701">
      <c r="A701" s="242"/>
      <c r="B701" s="242"/>
      <c r="C701" s="242"/>
      <c r="D701" s="242"/>
      <c r="E701" s="242"/>
      <c r="F701" s="242"/>
      <c r="G701" s="242"/>
      <c r="H701" s="242"/>
      <c r="I701" s="242"/>
      <c r="J701" s="13"/>
      <c r="K701" s="15"/>
      <c r="L701" s="341"/>
      <c r="M701" s="13"/>
      <c r="N701" s="13"/>
      <c r="O701" s="13"/>
      <c r="P701" s="13"/>
      <c r="Q701" s="242"/>
      <c r="R701" s="13"/>
      <c r="S701" s="242"/>
      <c r="T701" s="13"/>
      <c r="U701" s="242"/>
      <c r="V701" s="242"/>
      <c r="W701" s="242"/>
      <c r="X701" s="242"/>
      <c r="Y701" s="242"/>
      <c r="Z701" s="242"/>
      <c r="AA701" s="242"/>
      <c r="AB701" s="242"/>
      <c r="AC701" s="242"/>
    </row>
    <row r="702">
      <c r="A702" s="242"/>
      <c r="B702" s="242"/>
      <c r="C702" s="242"/>
      <c r="D702" s="242"/>
      <c r="E702" s="242"/>
      <c r="F702" s="242"/>
      <c r="G702" s="242"/>
      <c r="H702" s="242"/>
      <c r="I702" s="242"/>
      <c r="J702" s="13"/>
      <c r="K702" s="15"/>
      <c r="L702" s="341"/>
      <c r="M702" s="13"/>
      <c r="N702" s="13"/>
      <c r="O702" s="13"/>
      <c r="P702" s="13"/>
      <c r="Q702" s="242"/>
      <c r="R702" s="13"/>
      <c r="S702" s="242"/>
      <c r="T702" s="13"/>
      <c r="U702" s="242"/>
      <c r="V702" s="242"/>
      <c r="W702" s="242"/>
      <c r="X702" s="242"/>
      <c r="Y702" s="242"/>
      <c r="Z702" s="242"/>
      <c r="AA702" s="242"/>
      <c r="AB702" s="242"/>
      <c r="AC702" s="242"/>
    </row>
    <row r="703">
      <c r="A703" s="242"/>
      <c r="B703" s="242"/>
      <c r="C703" s="242"/>
      <c r="D703" s="242"/>
      <c r="E703" s="242"/>
      <c r="F703" s="242"/>
      <c r="G703" s="242"/>
      <c r="H703" s="242"/>
      <c r="I703" s="242"/>
      <c r="J703" s="13"/>
      <c r="K703" s="15"/>
      <c r="L703" s="341"/>
      <c r="M703" s="13"/>
      <c r="N703" s="13"/>
      <c r="O703" s="13"/>
      <c r="P703" s="13"/>
      <c r="Q703" s="242"/>
      <c r="R703" s="13"/>
      <c r="S703" s="242"/>
      <c r="T703" s="13"/>
      <c r="U703" s="242"/>
      <c r="V703" s="242"/>
      <c r="W703" s="242"/>
      <c r="X703" s="242"/>
      <c r="Y703" s="242"/>
      <c r="Z703" s="242"/>
      <c r="AA703" s="242"/>
      <c r="AB703" s="242"/>
      <c r="AC703" s="242"/>
    </row>
    <row r="704">
      <c r="A704" s="242"/>
      <c r="B704" s="242"/>
      <c r="C704" s="242"/>
      <c r="D704" s="242"/>
      <c r="E704" s="242"/>
      <c r="F704" s="242"/>
      <c r="G704" s="242"/>
      <c r="H704" s="242"/>
      <c r="I704" s="242"/>
      <c r="J704" s="13"/>
      <c r="K704" s="15"/>
      <c r="L704" s="341"/>
      <c r="M704" s="13"/>
      <c r="N704" s="13"/>
      <c r="O704" s="13"/>
      <c r="P704" s="13"/>
      <c r="Q704" s="242"/>
      <c r="R704" s="13"/>
      <c r="S704" s="242"/>
      <c r="T704" s="13"/>
      <c r="U704" s="242"/>
      <c r="V704" s="242"/>
      <c r="W704" s="242"/>
      <c r="X704" s="242"/>
      <c r="Y704" s="242"/>
      <c r="Z704" s="242"/>
      <c r="AA704" s="242"/>
      <c r="AB704" s="242"/>
      <c r="AC704" s="242"/>
    </row>
    <row r="705">
      <c r="A705" s="242"/>
      <c r="B705" s="242"/>
      <c r="C705" s="242"/>
      <c r="D705" s="242"/>
      <c r="E705" s="242"/>
      <c r="F705" s="242"/>
      <c r="G705" s="242"/>
      <c r="H705" s="242"/>
      <c r="I705" s="242"/>
      <c r="J705" s="13"/>
      <c r="K705" s="15"/>
      <c r="L705" s="341"/>
      <c r="M705" s="13"/>
      <c r="N705" s="13"/>
      <c r="O705" s="13"/>
      <c r="P705" s="13"/>
      <c r="Q705" s="242"/>
      <c r="R705" s="13"/>
      <c r="S705" s="242"/>
      <c r="T705" s="13"/>
      <c r="U705" s="242"/>
      <c r="V705" s="242"/>
      <c r="W705" s="242"/>
      <c r="X705" s="242"/>
      <c r="Y705" s="242"/>
      <c r="Z705" s="242"/>
      <c r="AA705" s="242"/>
      <c r="AB705" s="242"/>
      <c r="AC705" s="242"/>
    </row>
    <row r="706">
      <c r="A706" s="242"/>
      <c r="B706" s="242"/>
      <c r="C706" s="242"/>
      <c r="D706" s="242"/>
      <c r="E706" s="242"/>
      <c r="F706" s="242"/>
      <c r="G706" s="242"/>
      <c r="H706" s="242"/>
      <c r="I706" s="242"/>
      <c r="J706" s="13"/>
      <c r="K706" s="15"/>
      <c r="L706" s="341"/>
      <c r="M706" s="13"/>
      <c r="N706" s="13"/>
      <c r="O706" s="13"/>
      <c r="P706" s="13"/>
      <c r="Q706" s="242"/>
      <c r="R706" s="13"/>
      <c r="S706" s="242"/>
      <c r="T706" s="13"/>
      <c r="U706" s="242"/>
      <c r="V706" s="242"/>
      <c r="W706" s="242"/>
      <c r="X706" s="242"/>
      <c r="Y706" s="242"/>
      <c r="Z706" s="242"/>
      <c r="AA706" s="242"/>
      <c r="AB706" s="242"/>
      <c r="AC706" s="242"/>
    </row>
    <row r="707">
      <c r="A707" s="242"/>
      <c r="B707" s="242"/>
      <c r="C707" s="242"/>
      <c r="D707" s="242"/>
      <c r="E707" s="242"/>
      <c r="F707" s="242"/>
      <c r="G707" s="242"/>
      <c r="H707" s="242"/>
      <c r="I707" s="242"/>
      <c r="J707" s="13"/>
      <c r="K707" s="15"/>
      <c r="L707" s="341"/>
      <c r="M707" s="13"/>
      <c r="N707" s="13"/>
      <c r="O707" s="13"/>
      <c r="P707" s="13"/>
      <c r="Q707" s="242"/>
      <c r="R707" s="13"/>
      <c r="S707" s="242"/>
      <c r="T707" s="13"/>
      <c r="U707" s="242"/>
      <c r="V707" s="242"/>
      <c r="W707" s="242"/>
      <c r="X707" s="242"/>
      <c r="Y707" s="242"/>
      <c r="Z707" s="242"/>
      <c r="AA707" s="242"/>
      <c r="AB707" s="242"/>
      <c r="AC707" s="242"/>
    </row>
    <row r="708">
      <c r="A708" s="242"/>
      <c r="B708" s="242"/>
      <c r="C708" s="242"/>
      <c r="D708" s="242"/>
      <c r="E708" s="242"/>
      <c r="F708" s="242"/>
      <c r="G708" s="242"/>
      <c r="H708" s="242"/>
      <c r="I708" s="242"/>
      <c r="J708" s="13"/>
      <c r="K708" s="15"/>
      <c r="L708" s="341"/>
      <c r="M708" s="13"/>
      <c r="N708" s="13"/>
      <c r="O708" s="13"/>
      <c r="P708" s="13"/>
      <c r="Q708" s="242"/>
      <c r="R708" s="13"/>
      <c r="S708" s="242"/>
      <c r="T708" s="13"/>
      <c r="U708" s="242"/>
      <c r="V708" s="242"/>
      <c r="W708" s="242"/>
      <c r="X708" s="242"/>
      <c r="Y708" s="242"/>
      <c r="Z708" s="242"/>
      <c r="AA708" s="242"/>
      <c r="AB708" s="242"/>
      <c r="AC708" s="242"/>
    </row>
    <row r="709">
      <c r="A709" s="242"/>
      <c r="B709" s="242"/>
      <c r="C709" s="242"/>
      <c r="D709" s="242"/>
      <c r="E709" s="242"/>
      <c r="F709" s="242"/>
      <c r="G709" s="242"/>
      <c r="H709" s="242"/>
      <c r="I709" s="242"/>
      <c r="J709" s="13"/>
      <c r="K709" s="15"/>
      <c r="L709" s="341"/>
      <c r="M709" s="13"/>
      <c r="N709" s="13"/>
      <c r="O709" s="13"/>
      <c r="P709" s="13"/>
      <c r="Q709" s="242"/>
      <c r="R709" s="13"/>
      <c r="S709" s="242"/>
      <c r="T709" s="13"/>
      <c r="U709" s="242"/>
      <c r="V709" s="242"/>
      <c r="W709" s="242"/>
      <c r="X709" s="242"/>
      <c r="Y709" s="242"/>
      <c r="Z709" s="242"/>
      <c r="AA709" s="242"/>
      <c r="AB709" s="242"/>
      <c r="AC709" s="242"/>
    </row>
    <row r="710">
      <c r="A710" s="242"/>
      <c r="B710" s="242"/>
      <c r="C710" s="242"/>
      <c r="D710" s="242"/>
      <c r="E710" s="242"/>
      <c r="F710" s="242"/>
      <c r="G710" s="242"/>
      <c r="H710" s="242"/>
      <c r="I710" s="242"/>
      <c r="J710" s="13"/>
      <c r="K710" s="15"/>
      <c r="L710" s="341"/>
      <c r="M710" s="13"/>
      <c r="N710" s="13"/>
      <c r="O710" s="13"/>
      <c r="P710" s="13"/>
      <c r="Q710" s="242"/>
      <c r="R710" s="13"/>
      <c r="S710" s="242"/>
      <c r="T710" s="13"/>
      <c r="U710" s="242"/>
      <c r="V710" s="242"/>
      <c r="W710" s="242"/>
      <c r="X710" s="242"/>
      <c r="Y710" s="242"/>
      <c r="Z710" s="242"/>
      <c r="AA710" s="242"/>
      <c r="AB710" s="242"/>
      <c r="AC710" s="242"/>
    </row>
    <row r="711">
      <c r="A711" s="242"/>
      <c r="B711" s="242"/>
      <c r="C711" s="242"/>
      <c r="D711" s="242"/>
      <c r="E711" s="242"/>
      <c r="F711" s="242"/>
      <c r="G711" s="242"/>
      <c r="H711" s="242"/>
      <c r="I711" s="242"/>
      <c r="J711" s="13"/>
      <c r="K711" s="15"/>
      <c r="L711" s="341"/>
      <c r="M711" s="13"/>
      <c r="N711" s="13"/>
      <c r="O711" s="13"/>
      <c r="P711" s="13"/>
      <c r="Q711" s="242"/>
      <c r="R711" s="13"/>
      <c r="S711" s="242"/>
      <c r="T711" s="13"/>
      <c r="U711" s="242"/>
      <c r="V711" s="242"/>
      <c r="W711" s="242"/>
      <c r="X711" s="242"/>
      <c r="Y711" s="242"/>
      <c r="Z711" s="242"/>
      <c r="AA711" s="242"/>
      <c r="AB711" s="242"/>
      <c r="AC711" s="242"/>
    </row>
    <row r="712">
      <c r="A712" s="242"/>
      <c r="B712" s="242"/>
      <c r="C712" s="242"/>
      <c r="D712" s="242"/>
      <c r="E712" s="242"/>
      <c r="F712" s="242"/>
      <c r="G712" s="242"/>
      <c r="H712" s="242"/>
      <c r="I712" s="242"/>
      <c r="J712" s="13"/>
      <c r="K712" s="15"/>
      <c r="L712" s="341"/>
      <c r="M712" s="13"/>
      <c r="N712" s="13"/>
      <c r="O712" s="13"/>
      <c r="P712" s="13"/>
      <c r="Q712" s="242"/>
      <c r="R712" s="13"/>
      <c r="S712" s="242"/>
      <c r="T712" s="13"/>
      <c r="U712" s="242"/>
      <c r="V712" s="242"/>
      <c r="W712" s="242"/>
      <c r="X712" s="242"/>
      <c r="Y712" s="242"/>
      <c r="Z712" s="242"/>
      <c r="AA712" s="242"/>
      <c r="AB712" s="242"/>
      <c r="AC712" s="242"/>
    </row>
    <row r="713">
      <c r="A713" s="242"/>
      <c r="B713" s="242"/>
      <c r="C713" s="242"/>
      <c r="D713" s="242"/>
      <c r="E713" s="242"/>
      <c r="F713" s="242"/>
      <c r="G713" s="242"/>
      <c r="H713" s="242"/>
      <c r="I713" s="242"/>
      <c r="J713" s="13"/>
      <c r="K713" s="15"/>
      <c r="L713" s="341"/>
      <c r="M713" s="13"/>
      <c r="N713" s="13"/>
      <c r="O713" s="13"/>
      <c r="P713" s="13"/>
      <c r="Q713" s="242"/>
      <c r="R713" s="13"/>
      <c r="S713" s="242"/>
      <c r="T713" s="13"/>
      <c r="U713" s="242"/>
      <c r="V713" s="242"/>
      <c r="W713" s="242"/>
      <c r="X713" s="242"/>
      <c r="Y713" s="242"/>
      <c r="Z713" s="242"/>
      <c r="AA713" s="242"/>
      <c r="AB713" s="242"/>
      <c r="AC713" s="242"/>
    </row>
    <row r="714">
      <c r="A714" s="242"/>
      <c r="B714" s="242"/>
      <c r="C714" s="242"/>
      <c r="D714" s="242"/>
      <c r="E714" s="242"/>
      <c r="F714" s="242"/>
      <c r="G714" s="242"/>
      <c r="H714" s="242"/>
      <c r="I714" s="242"/>
      <c r="J714" s="13"/>
      <c r="K714" s="15"/>
      <c r="L714" s="341"/>
      <c r="M714" s="13"/>
      <c r="N714" s="13"/>
      <c r="O714" s="13"/>
      <c r="P714" s="13"/>
      <c r="Q714" s="242"/>
      <c r="R714" s="13"/>
      <c r="S714" s="242"/>
      <c r="T714" s="13"/>
      <c r="U714" s="242"/>
      <c r="V714" s="242"/>
      <c r="W714" s="242"/>
      <c r="X714" s="242"/>
      <c r="Y714" s="242"/>
      <c r="Z714" s="242"/>
      <c r="AA714" s="242"/>
      <c r="AB714" s="242"/>
      <c r="AC714" s="242"/>
    </row>
    <row r="715">
      <c r="A715" s="242"/>
      <c r="B715" s="242"/>
      <c r="C715" s="242"/>
      <c r="D715" s="242"/>
      <c r="E715" s="242"/>
      <c r="F715" s="242"/>
      <c r="G715" s="242"/>
      <c r="H715" s="242"/>
      <c r="I715" s="242"/>
      <c r="J715" s="13"/>
      <c r="K715" s="15"/>
      <c r="L715" s="341"/>
      <c r="M715" s="13"/>
      <c r="N715" s="13"/>
      <c r="O715" s="13"/>
      <c r="P715" s="13"/>
      <c r="Q715" s="242"/>
      <c r="R715" s="13"/>
      <c r="S715" s="242"/>
      <c r="T715" s="13"/>
      <c r="U715" s="242"/>
      <c r="V715" s="242"/>
      <c r="W715" s="242"/>
      <c r="X715" s="242"/>
      <c r="Y715" s="242"/>
      <c r="Z715" s="242"/>
      <c r="AA715" s="242"/>
      <c r="AB715" s="242"/>
      <c r="AC715" s="242"/>
    </row>
    <row r="716">
      <c r="A716" s="242"/>
      <c r="B716" s="242"/>
      <c r="C716" s="242"/>
      <c r="D716" s="242"/>
      <c r="E716" s="242"/>
      <c r="F716" s="242"/>
      <c r="G716" s="242"/>
      <c r="H716" s="242"/>
      <c r="I716" s="242"/>
      <c r="J716" s="13"/>
      <c r="K716" s="15"/>
      <c r="L716" s="341"/>
      <c r="M716" s="13"/>
      <c r="N716" s="13"/>
      <c r="O716" s="13"/>
      <c r="P716" s="13"/>
      <c r="Q716" s="242"/>
      <c r="R716" s="13"/>
      <c r="S716" s="242"/>
      <c r="T716" s="13"/>
      <c r="U716" s="242"/>
      <c r="V716" s="242"/>
      <c r="W716" s="242"/>
      <c r="X716" s="242"/>
      <c r="Y716" s="242"/>
      <c r="Z716" s="242"/>
      <c r="AA716" s="242"/>
      <c r="AB716" s="242"/>
      <c r="AC716" s="242"/>
    </row>
    <row r="717">
      <c r="A717" s="242"/>
      <c r="B717" s="242"/>
      <c r="C717" s="242"/>
      <c r="D717" s="242"/>
      <c r="E717" s="242"/>
      <c r="F717" s="242"/>
      <c r="G717" s="242"/>
      <c r="H717" s="242"/>
      <c r="I717" s="242"/>
      <c r="J717" s="13"/>
      <c r="K717" s="15"/>
      <c r="L717" s="341"/>
      <c r="M717" s="13"/>
      <c r="N717" s="13"/>
      <c r="O717" s="13"/>
      <c r="P717" s="13"/>
      <c r="Q717" s="242"/>
      <c r="R717" s="13"/>
      <c r="S717" s="242"/>
      <c r="T717" s="13"/>
      <c r="U717" s="242"/>
      <c r="V717" s="242"/>
      <c r="W717" s="242"/>
      <c r="X717" s="242"/>
      <c r="Y717" s="242"/>
      <c r="Z717" s="242"/>
      <c r="AA717" s="242"/>
      <c r="AB717" s="242"/>
      <c r="AC717" s="242"/>
    </row>
    <row r="718">
      <c r="A718" s="242"/>
      <c r="B718" s="242"/>
      <c r="C718" s="242"/>
      <c r="D718" s="242"/>
      <c r="E718" s="242"/>
      <c r="F718" s="242"/>
      <c r="G718" s="242"/>
      <c r="H718" s="242"/>
      <c r="I718" s="242"/>
      <c r="J718" s="13"/>
      <c r="K718" s="15"/>
      <c r="L718" s="341"/>
      <c r="M718" s="13"/>
      <c r="N718" s="13"/>
      <c r="O718" s="13"/>
      <c r="P718" s="13"/>
      <c r="Q718" s="242"/>
      <c r="R718" s="13"/>
      <c r="S718" s="242"/>
      <c r="T718" s="13"/>
      <c r="U718" s="242"/>
      <c r="V718" s="242"/>
      <c r="W718" s="242"/>
      <c r="X718" s="242"/>
      <c r="Y718" s="242"/>
      <c r="Z718" s="242"/>
      <c r="AA718" s="242"/>
      <c r="AB718" s="242"/>
      <c r="AC718" s="242"/>
    </row>
    <row r="719">
      <c r="A719" s="242"/>
      <c r="B719" s="242"/>
      <c r="C719" s="242"/>
      <c r="D719" s="242"/>
      <c r="E719" s="242"/>
      <c r="F719" s="242"/>
      <c r="G719" s="242"/>
      <c r="H719" s="242"/>
      <c r="I719" s="242"/>
      <c r="J719" s="13"/>
      <c r="K719" s="15"/>
      <c r="L719" s="341"/>
      <c r="M719" s="13"/>
      <c r="N719" s="13"/>
      <c r="O719" s="13"/>
      <c r="P719" s="13"/>
      <c r="Q719" s="242"/>
      <c r="R719" s="13"/>
      <c r="S719" s="242"/>
      <c r="T719" s="13"/>
      <c r="U719" s="242"/>
      <c r="V719" s="242"/>
      <c r="W719" s="242"/>
      <c r="X719" s="242"/>
      <c r="Y719" s="242"/>
      <c r="Z719" s="242"/>
      <c r="AA719" s="242"/>
      <c r="AB719" s="242"/>
      <c r="AC719" s="242"/>
    </row>
    <row r="720">
      <c r="A720" s="242"/>
      <c r="B720" s="242"/>
      <c r="C720" s="242"/>
      <c r="D720" s="242"/>
      <c r="E720" s="242"/>
      <c r="F720" s="242"/>
      <c r="G720" s="242"/>
      <c r="H720" s="242"/>
      <c r="I720" s="242"/>
      <c r="J720" s="13"/>
      <c r="K720" s="15"/>
      <c r="L720" s="341"/>
      <c r="M720" s="13"/>
      <c r="N720" s="13"/>
      <c r="O720" s="13"/>
      <c r="P720" s="13"/>
      <c r="Q720" s="242"/>
      <c r="R720" s="13"/>
      <c r="S720" s="242"/>
      <c r="T720" s="13"/>
      <c r="U720" s="242"/>
      <c r="V720" s="242"/>
      <c r="W720" s="242"/>
      <c r="X720" s="242"/>
      <c r="Y720" s="242"/>
      <c r="Z720" s="242"/>
      <c r="AA720" s="242"/>
      <c r="AB720" s="242"/>
      <c r="AC720" s="242"/>
    </row>
    <row r="721">
      <c r="A721" s="242"/>
      <c r="B721" s="242"/>
      <c r="C721" s="242"/>
      <c r="D721" s="242"/>
      <c r="E721" s="242"/>
      <c r="F721" s="242"/>
      <c r="G721" s="242"/>
      <c r="H721" s="242"/>
      <c r="I721" s="242"/>
      <c r="J721" s="13"/>
      <c r="K721" s="15"/>
      <c r="L721" s="341"/>
      <c r="M721" s="13"/>
      <c r="N721" s="13"/>
      <c r="O721" s="13"/>
      <c r="P721" s="13"/>
      <c r="Q721" s="242"/>
      <c r="R721" s="13"/>
      <c r="S721" s="242"/>
      <c r="T721" s="13"/>
      <c r="U721" s="242"/>
      <c r="V721" s="242"/>
      <c r="W721" s="242"/>
      <c r="X721" s="242"/>
      <c r="Y721" s="242"/>
      <c r="Z721" s="242"/>
      <c r="AA721" s="242"/>
      <c r="AB721" s="242"/>
      <c r="AC721" s="242"/>
    </row>
    <row r="722">
      <c r="A722" s="242"/>
      <c r="B722" s="242"/>
      <c r="C722" s="242"/>
      <c r="D722" s="242"/>
      <c r="E722" s="242"/>
      <c r="F722" s="242"/>
      <c r="G722" s="242"/>
      <c r="H722" s="242"/>
      <c r="I722" s="242"/>
      <c r="J722" s="13"/>
      <c r="K722" s="15"/>
      <c r="L722" s="341"/>
      <c r="M722" s="13"/>
      <c r="N722" s="13"/>
      <c r="O722" s="13"/>
      <c r="P722" s="13"/>
      <c r="Q722" s="242"/>
      <c r="R722" s="13"/>
      <c r="S722" s="242"/>
      <c r="T722" s="13"/>
      <c r="U722" s="242"/>
      <c r="V722" s="242"/>
      <c r="W722" s="242"/>
      <c r="X722" s="242"/>
      <c r="Y722" s="242"/>
      <c r="Z722" s="242"/>
      <c r="AA722" s="242"/>
      <c r="AB722" s="242"/>
      <c r="AC722" s="242"/>
    </row>
    <row r="723">
      <c r="A723" s="242"/>
      <c r="B723" s="242"/>
      <c r="C723" s="242"/>
      <c r="D723" s="242"/>
      <c r="E723" s="242"/>
      <c r="F723" s="242"/>
      <c r="G723" s="242"/>
      <c r="H723" s="242"/>
      <c r="I723" s="242"/>
      <c r="J723" s="13"/>
      <c r="K723" s="15"/>
      <c r="L723" s="341"/>
      <c r="M723" s="13"/>
      <c r="N723" s="13"/>
      <c r="O723" s="13"/>
      <c r="P723" s="13"/>
      <c r="Q723" s="242"/>
      <c r="R723" s="13"/>
      <c r="S723" s="242"/>
      <c r="T723" s="13"/>
      <c r="U723" s="242"/>
      <c r="V723" s="242"/>
      <c r="W723" s="242"/>
      <c r="X723" s="242"/>
      <c r="Y723" s="242"/>
      <c r="Z723" s="242"/>
      <c r="AA723" s="242"/>
      <c r="AB723" s="242"/>
      <c r="AC723" s="242"/>
    </row>
    <row r="724">
      <c r="A724" s="242"/>
      <c r="B724" s="242"/>
      <c r="C724" s="242"/>
      <c r="D724" s="242"/>
      <c r="E724" s="242"/>
      <c r="F724" s="242"/>
      <c r="G724" s="242"/>
      <c r="H724" s="242"/>
      <c r="I724" s="242"/>
      <c r="J724" s="13"/>
      <c r="K724" s="15"/>
      <c r="L724" s="341"/>
      <c r="M724" s="13"/>
      <c r="N724" s="13"/>
      <c r="O724" s="13"/>
      <c r="P724" s="13"/>
      <c r="Q724" s="242"/>
      <c r="R724" s="13"/>
      <c r="S724" s="242"/>
      <c r="T724" s="13"/>
      <c r="U724" s="242"/>
      <c r="V724" s="242"/>
      <c r="W724" s="242"/>
      <c r="X724" s="242"/>
      <c r="Y724" s="242"/>
      <c r="Z724" s="242"/>
      <c r="AA724" s="242"/>
      <c r="AB724" s="242"/>
      <c r="AC724" s="242"/>
    </row>
    <row r="725">
      <c r="A725" s="242"/>
      <c r="B725" s="242"/>
      <c r="C725" s="242"/>
      <c r="D725" s="242"/>
      <c r="E725" s="242"/>
      <c r="F725" s="242"/>
      <c r="G725" s="242"/>
      <c r="H725" s="242"/>
      <c r="I725" s="242"/>
      <c r="J725" s="13"/>
      <c r="K725" s="15"/>
      <c r="L725" s="341"/>
      <c r="M725" s="13"/>
      <c r="N725" s="13"/>
      <c r="O725" s="13"/>
      <c r="P725" s="13"/>
      <c r="Q725" s="242"/>
      <c r="R725" s="13"/>
      <c r="S725" s="242"/>
      <c r="T725" s="13"/>
      <c r="U725" s="242"/>
      <c r="V725" s="242"/>
      <c r="W725" s="242"/>
      <c r="X725" s="242"/>
      <c r="Y725" s="242"/>
      <c r="Z725" s="242"/>
      <c r="AA725" s="242"/>
      <c r="AB725" s="242"/>
      <c r="AC725" s="242"/>
    </row>
    <row r="726">
      <c r="A726" s="242"/>
      <c r="B726" s="242"/>
      <c r="C726" s="242"/>
      <c r="D726" s="242"/>
      <c r="E726" s="242"/>
      <c r="F726" s="242"/>
      <c r="G726" s="242"/>
      <c r="H726" s="242"/>
      <c r="I726" s="242"/>
      <c r="J726" s="13"/>
      <c r="K726" s="15"/>
      <c r="L726" s="341"/>
      <c r="M726" s="13"/>
      <c r="N726" s="13"/>
      <c r="O726" s="13"/>
      <c r="P726" s="13"/>
      <c r="Q726" s="242"/>
      <c r="R726" s="13"/>
      <c r="S726" s="242"/>
      <c r="T726" s="13"/>
      <c r="U726" s="242"/>
      <c r="V726" s="242"/>
      <c r="W726" s="242"/>
      <c r="X726" s="242"/>
      <c r="Y726" s="242"/>
      <c r="Z726" s="242"/>
      <c r="AA726" s="242"/>
      <c r="AB726" s="242"/>
      <c r="AC726" s="242"/>
    </row>
    <row r="727">
      <c r="A727" s="242"/>
      <c r="B727" s="242"/>
      <c r="C727" s="242"/>
      <c r="D727" s="242"/>
      <c r="E727" s="242"/>
      <c r="F727" s="242"/>
      <c r="G727" s="242"/>
      <c r="H727" s="242"/>
      <c r="I727" s="242"/>
      <c r="J727" s="13"/>
      <c r="K727" s="15"/>
      <c r="L727" s="341"/>
      <c r="M727" s="13"/>
      <c r="N727" s="13"/>
      <c r="O727" s="13"/>
      <c r="P727" s="13"/>
      <c r="Q727" s="242"/>
      <c r="R727" s="13"/>
      <c r="S727" s="242"/>
      <c r="T727" s="13"/>
      <c r="U727" s="242"/>
      <c r="V727" s="242"/>
      <c r="W727" s="242"/>
      <c r="X727" s="242"/>
      <c r="Y727" s="242"/>
      <c r="Z727" s="242"/>
      <c r="AA727" s="242"/>
      <c r="AB727" s="242"/>
      <c r="AC727" s="242"/>
    </row>
    <row r="728">
      <c r="A728" s="242"/>
      <c r="B728" s="242"/>
      <c r="C728" s="242"/>
      <c r="D728" s="242"/>
      <c r="E728" s="242"/>
      <c r="F728" s="242"/>
      <c r="G728" s="242"/>
      <c r="H728" s="242"/>
      <c r="I728" s="242"/>
      <c r="J728" s="13"/>
      <c r="K728" s="15"/>
      <c r="L728" s="341"/>
      <c r="M728" s="13"/>
      <c r="N728" s="13"/>
      <c r="O728" s="13"/>
      <c r="P728" s="13"/>
      <c r="Q728" s="242"/>
      <c r="R728" s="13"/>
      <c r="S728" s="242"/>
      <c r="T728" s="13"/>
      <c r="U728" s="242"/>
      <c r="V728" s="242"/>
      <c r="W728" s="242"/>
      <c r="X728" s="242"/>
      <c r="Y728" s="242"/>
      <c r="Z728" s="242"/>
      <c r="AA728" s="242"/>
      <c r="AB728" s="242"/>
      <c r="AC728" s="242"/>
    </row>
    <row r="729">
      <c r="A729" s="242"/>
      <c r="B729" s="242"/>
      <c r="C729" s="242"/>
      <c r="D729" s="242"/>
      <c r="E729" s="242"/>
      <c r="F729" s="242"/>
      <c r="G729" s="242"/>
      <c r="H729" s="242"/>
      <c r="I729" s="242"/>
      <c r="J729" s="13"/>
      <c r="K729" s="15"/>
      <c r="L729" s="341"/>
      <c r="M729" s="13"/>
      <c r="N729" s="13"/>
      <c r="O729" s="13"/>
      <c r="P729" s="13"/>
      <c r="Q729" s="242"/>
      <c r="R729" s="13"/>
      <c r="S729" s="242"/>
      <c r="T729" s="13"/>
      <c r="U729" s="242"/>
      <c r="V729" s="242"/>
      <c r="W729" s="242"/>
      <c r="X729" s="242"/>
      <c r="Y729" s="242"/>
      <c r="Z729" s="242"/>
      <c r="AA729" s="242"/>
      <c r="AB729" s="242"/>
      <c r="AC729" s="242"/>
    </row>
    <row r="730">
      <c r="A730" s="242"/>
      <c r="B730" s="242"/>
      <c r="C730" s="242"/>
      <c r="D730" s="242"/>
      <c r="E730" s="242"/>
      <c r="F730" s="242"/>
      <c r="G730" s="242"/>
      <c r="H730" s="242"/>
      <c r="I730" s="242"/>
      <c r="J730" s="13"/>
      <c r="K730" s="15"/>
      <c r="L730" s="341"/>
      <c r="M730" s="13"/>
      <c r="N730" s="13"/>
      <c r="O730" s="13"/>
      <c r="P730" s="13"/>
      <c r="Q730" s="242"/>
      <c r="R730" s="13"/>
      <c r="S730" s="242"/>
      <c r="T730" s="13"/>
      <c r="U730" s="242"/>
      <c r="V730" s="242"/>
      <c r="W730" s="242"/>
      <c r="X730" s="242"/>
      <c r="Y730" s="242"/>
      <c r="Z730" s="242"/>
      <c r="AA730" s="242"/>
      <c r="AB730" s="242"/>
      <c r="AC730" s="242"/>
    </row>
    <row r="731">
      <c r="A731" s="242"/>
      <c r="B731" s="242"/>
      <c r="C731" s="242"/>
      <c r="D731" s="242"/>
      <c r="E731" s="242"/>
      <c r="F731" s="242"/>
      <c r="G731" s="242"/>
      <c r="H731" s="242"/>
      <c r="I731" s="242"/>
      <c r="J731" s="13"/>
      <c r="K731" s="15"/>
      <c r="L731" s="341"/>
      <c r="M731" s="13"/>
      <c r="N731" s="13"/>
      <c r="O731" s="13"/>
      <c r="P731" s="13"/>
      <c r="Q731" s="242"/>
      <c r="R731" s="13"/>
      <c r="S731" s="242"/>
      <c r="T731" s="13"/>
      <c r="U731" s="242"/>
      <c r="V731" s="242"/>
      <c r="W731" s="242"/>
      <c r="X731" s="242"/>
      <c r="Y731" s="242"/>
      <c r="Z731" s="242"/>
      <c r="AA731" s="242"/>
      <c r="AB731" s="242"/>
      <c r="AC731" s="242"/>
    </row>
    <row r="732">
      <c r="A732" s="242"/>
      <c r="B732" s="242"/>
      <c r="C732" s="242"/>
      <c r="D732" s="242"/>
      <c r="E732" s="242"/>
      <c r="F732" s="242"/>
      <c r="G732" s="242"/>
      <c r="H732" s="242"/>
      <c r="I732" s="242"/>
      <c r="J732" s="13"/>
      <c r="K732" s="15"/>
      <c r="L732" s="341"/>
      <c r="M732" s="13"/>
      <c r="N732" s="13"/>
      <c r="O732" s="13"/>
      <c r="P732" s="13"/>
      <c r="Q732" s="242"/>
      <c r="R732" s="13"/>
      <c r="S732" s="242"/>
      <c r="T732" s="13"/>
      <c r="U732" s="242"/>
      <c r="V732" s="242"/>
      <c r="W732" s="242"/>
      <c r="X732" s="242"/>
      <c r="Y732" s="242"/>
      <c r="Z732" s="242"/>
      <c r="AA732" s="242"/>
      <c r="AB732" s="242"/>
      <c r="AC732" s="242"/>
    </row>
    <row r="733">
      <c r="A733" s="242"/>
      <c r="B733" s="242"/>
      <c r="C733" s="242"/>
      <c r="D733" s="242"/>
      <c r="E733" s="242"/>
      <c r="F733" s="242"/>
      <c r="G733" s="242"/>
      <c r="H733" s="242"/>
      <c r="I733" s="242"/>
      <c r="J733" s="13"/>
      <c r="K733" s="15"/>
      <c r="L733" s="341"/>
      <c r="M733" s="13"/>
      <c r="N733" s="13"/>
      <c r="O733" s="13"/>
      <c r="P733" s="13"/>
      <c r="Q733" s="242"/>
      <c r="R733" s="13"/>
      <c r="S733" s="242"/>
      <c r="T733" s="13"/>
      <c r="U733" s="242"/>
      <c r="V733" s="242"/>
      <c r="W733" s="242"/>
      <c r="X733" s="242"/>
      <c r="Y733" s="242"/>
      <c r="Z733" s="242"/>
      <c r="AA733" s="242"/>
      <c r="AB733" s="242"/>
      <c r="AC733" s="242"/>
    </row>
    <row r="734">
      <c r="A734" s="242"/>
      <c r="B734" s="242"/>
      <c r="C734" s="242"/>
      <c r="D734" s="242"/>
      <c r="E734" s="242"/>
      <c r="F734" s="242"/>
      <c r="G734" s="242"/>
      <c r="H734" s="242"/>
      <c r="I734" s="242"/>
      <c r="J734" s="13"/>
      <c r="K734" s="15"/>
      <c r="L734" s="341"/>
      <c r="M734" s="13"/>
      <c r="N734" s="13"/>
      <c r="O734" s="13"/>
      <c r="P734" s="13"/>
      <c r="Q734" s="242"/>
      <c r="R734" s="13"/>
      <c r="S734" s="242"/>
      <c r="T734" s="13"/>
      <c r="U734" s="242"/>
      <c r="V734" s="242"/>
      <c r="W734" s="242"/>
      <c r="X734" s="242"/>
      <c r="Y734" s="242"/>
      <c r="Z734" s="242"/>
      <c r="AA734" s="242"/>
      <c r="AB734" s="242"/>
      <c r="AC734" s="242"/>
    </row>
    <row r="735">
      <c r="A735" s="242"/>
      <c r="B735" s="242"/>
      <c r="C735" s="242"/>
      <c r="D735" s="242"/>
      <c r="E735" s="242"/>
      <c r="F735" s="242"/>
      <c r="G735" s="242"/>
      <c r="H735" s="242"/>
      <c r="I735" s="242"/>
      <c r="J735" s="13"/>
      <c r="K735" s="15"/>
      <c r="L735" s="341"/>
      <c r="M735" s="13"/>
      <c r="N735" s="13"/>
      <c r="O735" s="13"/>
      <c r="P735" s="13"/>
      <c r="Q735" s="242"/>
      <c r="R735" s="13"/>
      <c r="S735" s="242"/>
      <c r="T735" s="13"/>
      <c r="U735" s="242"/>
      <c r="V735" s="242"/>
      <c r="W735" s="242"/>
      <c r="X735" s="242"/>
      <c r="Y735" s="242"/>
      <c r="Z735" s="242"/>
      <c r="AA735" s="242"/>
      <c r="AB735" s="242"/>
      <c r="AC735" s="242"/>
    </row>
    <row r="736">
      <c r="A736" s="242"/>
      <c r="B736" s="242"/>
      <c r="C736" s="242"/>
      <c r="D736" s="242"/>
      <c r="E736" s="242"/>
      <c r="F736" s="242"/>
      <c r="G736" s="242"/>
      <c r="H736" s="242"/>
      <c r="I736" s="242"/>
      <c r="J736" s="13"/>
      <c r="K736" s="15"/>
      <c r="L736" s="341"/>
      <c r="M736" s="13"/>
      <c r="N736" s="13"/>
      <c r="O736" s="13"/>
      <c r="P736" s="13"/>
      <c r="Q736" s="242"/>
      <c r="R736" s="13"/>
      <c r="S736" s="242"/>
      <c r="T736" s="13"/>
      <c r="U736" s="242"/>
      <c r="V736" s="242"/>
      <c r="W736" s="242"/>
      <c r="X736" s="242"/>
      <c r="Y736" s="242"/>
      <c r="Z736" s="242"/>
      <c r="AA736" s="242"/>
      <c r="AB736" s="242"/>
      <c r="AC736" s="242"/>
    </row>
    <row r="737">
      <c r="A737" s="242"/>
      <c r="B737" s="242"/>
      <c r="C737" s="242"/>
      <c r="D737" s="242"/>
      <c r="E737" s="242"/>
      <c r="F737" s="242"/>
      <c r="G737" s="242"/>
      <c r="H737" s="242"/>
      <c r="I737" s="242"/>
      <c r="J737" s="13"/>
      <c r="K737" s="15"/>
      <c r="L737" s="341"/>
      <c r="M737" s="13"/>
      <c r="N737" s="13"/>
      <c r="O737" s="13"/>
      <c r="P737" s="13"/>
      <c r="Q737" s="242"/>
      <c r="R737" s="13"/>
      <c r="S737" s="242"/>
      <c r="T737" s="13"/>
      <c r="U737" s="242"/>
      <c r="V737" s="242"/>
      <c r="W737" s="242"/>
      <c r="X737" s="242"/>
      <c r="Y737" s="242"/>
      <c r="Z737" s="242"/>
      <c r="AA737" s="242"/>
      <c r="AB737" s="242"/>
      <c r="AC737" s="242"/>
    </row>
    <row r="738">
      <c r="A738" s="242"/>
      <c r="B738" s="242"/>
      <c r="C738" s="242"/>
      <c r="D738" s="242"/>
      <c r="E738" s="242"/>
      <c r="F738" s="242"/>
      <c r="G738" s="242"/>
      <c r="H738" s="242"/>
      <c r="I738" s="242"/>
      <c r="J738" s="13"/>
      <c r="K738" s="15"/>
      <c r="L738" s="341"/>
      <c r="M738" s="13"/>
      <c r="N738" s="13"/>
      <c r="O738" s="13"/>
      <c r="P738" s="13"/>
      <c r="Q738" s="242"/>
      <c r="R738" s="13"/>
      <c r="S738" s="242"/>
      <c r="T738" s="13"/>
      <c r="U738" s="242"/>
      <c r="V738" s="242"/>
      <c r="W738" s="242"/>
      <c r="X738" s="242"/>
      <c r="Y738" s="242"/>
      <c r="Z738" s="242"/>
      <c r="AA738" s="242"/>
      <c r="AB738" s="242"/>
      <c r="AC738" s="242"/>
    </row>
    <row r="739">
      <c r="A739" s="242"/>
      <c r="B739" s="242"/>
      <c r="C739" s="242"/>
      <c r="D739" s="242"/>
      <c r="E739" s="242"/>
      <c r="F739" s="242"/>
      <c r="G739" s="242"/>
      <c r="H739" s="242"/>
      <c r="I739" s="242"/>
      <c r="J739" s="13"/>
      <c r="K739" s="15"/>
      <c r="L739" s="341"/>
      <c r="M739" s="13"/>
      <c r="N739" s="13"/>
      <c r="O739" s="13"/>
      <c r="P739" s="13"/>
      <c r="Q739" s="242"/>
      <c r="R739" s="13"/>
      <c r="S739" s="242"/>
      <c r="T739" s="13"/>
      <c r="U739" s="242"/>
      <c r="V739" s="242"/>
      <c r="W739" s="242"/>
      <c r="X739" s="242"/>
      <c r="Y739" s="242"/>
      <c r="Z739" s="242"/>
      <c r="AA739" s="242"/>
      <c r="AB739" s="242"/>
      <c r="AC739" s="242"/>
    </row>
    <row r="740">
      <c r="A740" s="242"/>
      <c r="B740" s="242"/>
      <c r="C740" s="242"/>
      <c r="D740" s="242"/>
      <c r="E740" s="242"/>
      <c r="F740" s="242"/>
      <c r="G740" s="242"/>
      <c r="H740" s="242"/>
      <c r="I740" s="242"/>
      <c r="J740" s="13"/>
      <c r="K740" s="15"/>
      <c r="L740" s="341"/>
      <c r="M740" s="13"/>
      <c r="N740" s="13"/>
      <c r="O740" s="13"/>
      <c r="P740" s="13"/>
      <c r="Q740" s="242"/>
      <c r="R740" s="13"/>
      <c r="S740" s="242"/>
      <c r="T740" s="13"/>
      <c r="U740" s="242"/>
      <c r="V740" s="242"/>
      <c r="W740" s="242"/>
      <c r="X740" s="242"/>
      <c r="Y740" s="242"/>
      <c r="Z740" s="242"/>
      <c r="AA740" s="242"/>
      <c r="AB740" s="242"/>
      <c r="AC740" s="242"/>
    </row>
    <row r="741">
      <c r="A741" s="242"/>
      <c r="B741" s="242"/>
      <c r="C741" s="242"/>
      <c r="D741" s="242"/>
      <c r="E741" s="242"/>
      <c r="F741" s="242"/>
      <c r="G741" s="242"/>
      <c r="H741" s="242"/>
      <c r="I741" s="242"/>
      <c r="J741" s="13"/>
      <c r="K741" s="15"/>
      <c r="L741" s="341"/>
      <c r="M741" s="13"/>
      <c r="N741" s="13"/>
      <c r="O741" s="13"/>
      <c r="P741" s="13"/>
      <c r="Q741" s="242"/>
      <c r="R741" s="13"/>
      <c r="S741" s="242"/>
      <c r="T741" s="13"/>
      <c r="U741" s="242"/>
      <c r="V741" s="242"/>
      <c r="W741" s="242"/>
      <c r="X741" s="242"/>
      <c r="Y741" s="242"/>
      <c r="Z741" s="242"/>
      <c r="AA741" s="242"/>
      <c r="AB741" s="242"/>
      <c r="AC741" s="242"/>
    </row>
    <row r="742">
      <c r="A742" s="242"/>
      <c r="B742" s="242"/>
      <c r="C742" s="242"/>
      <c r="D742" s="242"/>
      <c r="E742" s="242"/>
      <c r="F742" s="242"/>
      <c r="G742" s="242"/>
      <c r="H742" s="242"/>
      <c r="I742" s="242"/>
      <c r="J742" s="13"/>
      <c r="K742" s="15"/>
      <c r="L742" s="341"/>
      <c r="M742" s="13"/>
      <c r="N742" s="13"/>
      <c r="O742" s="13"/>
      <c r="P742" s="13"/>
      <c r="Q742" s="242"/>
      <c r="R742" s="13"/>
      <c r="S742" s="242"/>
      <c r="T742" s="13"/>
      <c r="U742" s="242"/>
      <c r="V742" s="242"/>
      <c r="W742" s="242"/>
      <c r="X742" s="242"/>
      <c r="Y742" s="242"/>
      <c r="Z742" s="242"/>
      <c r="AA742" s="242"/>
      <c r="AB742" s="242"/>
      <c r="AC742" s="242"/>
    </row>
    <row r="743">
      <c r="A743" s="242"/>
      <c r="B743" s="242"/>
      <c r="C743" s="242"/>
      <c r="D743" s="242"/>
      <c r="E743" s="242"/>
      <c r="F743" s="242"/>
      <c r="G743" s="242"/>
      <c r="H743" s="242"/>
      <c r="I743" s="242"/>
      <c r="J743" s="13"/>
      <c r="K743" s="15"/>
      <c r="L743" s="341"/>
      <c r="M743" s="13"/>
      <c r="N743" s="13"/>
      <c r="O743" s="13"/>
      <c r="P743" s="13"/>
      <c r="Q743" s="242"/>
      <c r="R743" s="13"/>
      <c r="S743" s="242"/>
      <c r="T743" s="13"/>
      <c r="U743" s="242"/>
      <c r="V743" s="242"/>
      <c r="W743" s="242"/>
      <c r="X743" s="242"/>
      <c r="Y743" s="242"/>
      <c r="Z743" s="242"/>
      <c r="AA743" s="242"/>
      <c r="AB743" s="242"/>
      <c r="AC743" s="242"/>
    </row>
    <row r="744">
      <c r="A744" s="242"/>
      <c r="B744" s="242"/>
      <c r="C744" s="242"/>
      <c r="D744" s="242"/>
      <c r="E744" s="242"/>
      <c r="F744" s="242"/>
      <c r="G744" s="242"/>
      <c r="H744" s="242"/>
      <c r="I744" s="242"/>
      <c r="J744" s="13"/>
      <c r="K744" s="15"/>
      <c r="L744" s="341"/>
      <c r="M744" s="13"/>
      <c r="N744" s="13"/>
      <c r="O744" s="13"/>
      <c r="P744" s="13"/>
      <c r="Q744" s="242"/>
      <c r="R744" s="13"/>
      <c r="S744" s="242"/>
      <c r="T744" s="13"/>
      <c r="U744" s="242"/>
      <c r="V744" s="242"/>
      <c r="W744" s="242"/>
      <c r="X744" s="242"/>
      <c r="Y744" s="242"/>
      <c r="Z744" s="242"/>
      <c r="AA744" s="242"/>
      <c r="AB744" s="242"/>
      <c r="AC744" s="242"/>
    </row>
    <row r="745">
      <c r="A745" s="242"/>
      <c r="B745" s="242"/>
      <c r="C745" s="242"/>
      <c r="D745" s="242"/>
      <c r="E745" s="242"/>
      <c r="F745" s="242"/>
      <c r="G745" s="242"/>
      <c r="H745" s="242"/>
      <c r="I745" s="242"/>
      <c r="J745" s="13"/>
      <c r="K745" s="15"/>
      <c r="L745" s="341"/>
      <c r="M745" s="13"/>
      <c r="N745" s="13"/>
      <c r="O745" s="13"/>
      <c r="P745" s="13"/>
      <c r="Q745" s="242"/>
      <c r="R745" s="13"/>
      <c r="S745" s="242"/>
      <c r="T745" s="13"/>
      <c r="U745" s="242"/>
      <c r="V745" s="242"/>
      <c r="W745" s="242"/>
      <c r="X745" s="242"/>
      <c r="Y745" s="242"/>
      <c r="Z745" s="242"/>
      <c r="AA745" s="242"/>
      <c r="AB745" s="242"/>
      <c r="AC745" s="242"/>
    </row>
    <row r="746">
      <c r="A746" s="242"/>
      <c r="B746" s="242"/>
      <c r="C746" s="242"/>
      <c r="D746" s="242"/>
      <c r="E746" s="242"/>
      <c r="F746" s="242"/>
      <c r="G746" s="242"/>
      <c r="H746" s="242"/>
      <c r="I746" s="242"/>
      <c r="J746" s="13"/>
      <c r="K746" s="15"/>
      <c r="L746" s="341"/>
      <c r="M746" s="13"/>
      <c r="N746" s="13"/>
      <c r="O746" s="13"/>
      <c r="P746" s="13"/>
      <c r="Q746" s="242"/>
      <c r="R746" s="13"/>
      <c r="S746" s="242"/>
      <c r="T746" s="13"/>
      <c r="U746" s="242"/>
      <c r="V746" s="242"/>
      <c r="W746" s="242"/>
      <c r="X746" s="242"/>
      <c r="Y746" s="242"/>
      <c r="Z746" s="242"/>
      <c r="AA746" s="242"/>
      <c r="AB746" s="242"/>
      <c r="AC746" s="242"/>
    </row>
    <row r="747">
      <c r="A747" s="242"/>
      <c r="B747" s="242"/>
      <c r="C747" s="242"/>
      <c r="D747" s="242"/>
      <c r="E747" s="242"/>
      <c r="F747" s="242"/>
      <c r="G747" s="242"/>
      <c r="H747" s="242"/>
      <c r="I747" s="242"/>
      <c r="J747" s="13"/>
      <c r="K747" s="15"/>
      <c r="L747" s="341"/>
      <c r="M747" s="13"/>
      <c r="N747" s="13"/>
      <c r="O747" s="13"/>
      <c r="P747" s="13"/>
      <c r="Q747" s="242"/>
      <c r="R747" s="13"/>
      <c r="S747" s="242"/>
      <c r="T747" s="13"/>
      <c r="U747" s="242"/>
      <c r="V747" s="242"/>
      <c r="W747" s="242"/>
      <c r="X747" s="242"/>
      <c r="Y747" s="242"/>
      <c r="Z747" s="242"/>
      <c r="AA747" s="242"/>
      <c r="AB747" s="242"/>
      <c r="AC747" s="242"/>
    </row>
    <row r="748">
      <c r="A748" s="242"/>
      <c r="B748" s="242"/>
      <c r="C748" s="242"/>
      <c r="D748" s="242"/>
      <c r="E748" s="242"/>
      <c r="F748" s="242"/>
      <c r="G748" s="242"/>
      <c r="H748" s="242"/>
      <c r="I748" s="242"/>
      <c r="J748" s="13"/>
      <c r="K748" s="15"/>
      <c r="L748" s="341"/>
      <c r="M748" s="13"/>
      <c r="N748" s="13"/>
      <c r="O748" s="13"/>
      <c r="P748" s="13"/>
      <c r="Q748" s="242"/>
      <c r="R748" s="13"/>
      <c r="S748" s="242"/>
      <c r="T748" s="13"/>
      <c r="U748" s="242"/>
      <c r="V748" s="242"/>
      <c r="W748" s="242"/>
      <c r="X748" s="242"/>
      <c r="Y748" s="242"/>
      <c r="Z748" s="242"/>
      <c r="AA748" s="242"/>
      <c r="AB748" s="242"/>
      <c r="AC748" s="242"/>
    </row>
    <row r="749">
      <c r="A749" s="242"/>
      <c r="B749" s="242"/>
      <c r="C749" s="242"/>
      <c r="D749" s="242"/>
      <c r="E749" s="242"/>
      <c r="F749" s="242"/>
      <c r="G749" s="242"/>
      <c r="H749" s="242"/>
      <c r="I749" s="242"/>
      <c r="J749" s="13"/>
      <c r="K749" s="15"/>
      <c r="L749" s="341"/>
      <c r="M749" s="13"/>
      <c r="N749" s="13"/>
      <c r="O749" s="13"/>
      <c r="P749" s="13"/>
      <c r="Q749" s="242"/>
      <c r="R749" s="13"/>
      <c r="S749" s="242"/>
      <c r="T749" s="13"/>
      <c r="U749" s="242"/>
      <c r="V749" s="242"/>
      <c r="W749" s="242"/>
      <c r="X749" s="242"/>
      <c r="Y749" s="242"/>
      <c r="Z749" s="242"/>
      <c r="AA749" s="242"/>
      <c r="AB749" s="242"/>
      <c r="AC749" s="242"/>
    </row>
    <row r="750">
      <c r="A750" s="242"/>
      <c r="B750" s="242"/>
      <c r="C750" s="242"/>
      <c r="D750" s="242"/>
      <c r="E750" s="242"/>
      <c r="F750" s="242"/>
      <c r="G750" s="242"/>
      <c r="H750" s="242"/>
      <c r="I750" s="242"/>
      <c r="J750" s="13"/>
      <c r="K750" s="15"/>
      <c r="L750" s="341"/>
      <c r="M750" s="13"/>
      <c r="N750" s="13"/>
      <c r="O750" s="13"/>
      <c r="P750" s="13"/>
      <c r="Q750" s="242"/>
      <c r="R750" s="13"/>
      <c r="S750" s="242"/>
      <c r="T750" s="13"/>
      <c r="U750" s="242"/>
      <c r="V750" s="242"/>
      <c r="W750" s="242"/>
      <c r="X750" s="242"/>
      <c r="Y750" s="242"/>
      <c r="Z750" s="242"/>
      <c r="AA750" s="242"/>
      <c r="AB750" s="242"/>
      <c r="AC750" s="242"/>
    </row>
    <row r="751">
      <c r="A751" s="242"/>
      <c r="B751" s="242"/>
      <c r="C751" s="242"/>
      <c r="D751" s="242"/>
      <c r="E751" s="242"/>
      <c r="F751" s="242"/>
      <c r="G751" s="242"/>
      <c r="H751" s="242"/>
      <c r="I751" s="242"/>
      <c r="J751" s="13"/>
      <c r="K751" s="15"/>
      <c r="L751" s="341"/>
      <c r="M751" s="13"/>
      <c r="N751" s="13"/>
      <c r="O751" s="13"/>
      <c r="P751" s="13"/>
      <c r="Q751" s="242"/>
      <c r="R751" s="13"/>
      <c r="S751" s="242"/>
      <c r="T751" s="13"/>
      <c r="U751" s="242"/>
      <c r="V751" s="242"/>
      <c r="W751" s="242"/>
      <c r="X751" s="242"/>
      <c r="Y751" s="242"/>
      <c r="Z751" s="242"/>
      <c r="AA751" s="242"/>
      <c r="AB751" s="242"/>
      <c r="AC751" s="242"/>
    </row>
    <row r="752">
      <c r="A752" s="242"/>
      <c r="B752" s="242"/>
      <c r="C752" s="242"/>
      <c r="D752" s="242"/>
      <c r="E752" s="242"/>
      <c r="F752" s="242"/>
      <c r="G752" s="242"/>
      <c r="H752" s="242"/>
      <c r="I752" s="242"/>
      <c r="J752" s="13"/>
      <c r="K752" s="15"/>
      <c r="L752" s="341"/>
      <c r="M752" s="13"/>
      <c r="N752" s="13"/>
      <c r="O752" s="13"/>
      <c r="P752" s="13"/>
      <c r="Q752" s="242"/>
      <c r="R752" s="13"/>
      <c r="S752" s="242"/>
      <c r="T752" s="13"/>
      <c r="U752" s="242"/>
      <c r="V752" s="242"/>
      <c r="W752" s="242"/>
      <c r="X752" s="242"/>
      <c r="Y752" s="242"/>
      <c r="Z752" s="242"/>
      <c r="AA752" s="242"/>
      <c r="AB752" s="242"/>
      <c r="AC752" s="242"/>
    </row>
    <row r="753">
      <c r="A753" s="242"/>
      <c r="B753" s="242"/>
      <c r="C753" s="242"/>
      <c r="D753" s="242"/>
      <c r="E753" s="242"/>
      <c r="F753" s="242"/>
      <c r="G753" s="242"/>
      <c r="H753" s="242"/>
      <c r="I753" s="242"/>
      <c r="J753" s="13"/>
      <c r="K753" s="15"/>
      <c r="L753" s="341"/>
      <c r="M753" s="13"/>
      <c r="N753" s="13"/>
      <c r="O753" s="13"/>
      <c r="P753" s="13"/>
      <c r="Q753" s="242"/>
      <c r="R753" s="13"/>
      <c r="S753" s="242"/>
      <c r="T753" s="13"/>
      <c r="U753" s="242"/>
      <c r="V753" s="242"/>
      <c r="W753" s="242"/>
      <c r="X753" s="242"/>
      <c r="Y753" s="242"/>
      <c r="Z753" s="242"/>
      <c r="AA753" s="242"/>
      <c r="AB753" s="242"/>
      <c r="AC753" s="242"/>
    </row>
    <row r="754">
      <c r="A754" s="242"/>
      <c r="B754" s="242"/>
      <c r="C754" s="242"/>
      <c r="D754" s="242"/>
      <c r="E754" s="242"/>
      <c r="F754" s="242"/>
      <c r="G754" s="242"/>
      <c r="H754" s="242"/>
      <c r="I754" s="242"/>
      <c r="J754" s="13"/>
      <c r="K754" s="15"/>
      <c r="L754" s="341"/>
      <c r="M754" s="13"/>
      <c r="N754" s="13"/>
      <c r="O754" s="13"/>
      <c r="P754" s="13"/>
      <c r="Q754" s="242"/>
      <c r="R754" s="13"/>
      <c r="S754" s="242"/>
      <c r="T754" s="13"/>
      <c r="U754" s="242"/>
      <c r="V754" s="242"/>
      <c r="W754" s="242"/>
      <c r="X754" s="242"/>
      <c r="Y754" s="242"/>
      <c r="Z754" s="242"/>
      <c r="AA754" s="242"/>
      <c r="AB754" s="242"/>
      <c r="AC754" s="242"/>
    </row>
    <row r="755">
      <c r="A755" s="242"/>
      <c r="B755" s="242"/>
      <c r="C755" s="242"/>
      <c r="D755" s="242"/>
      <c r="E755" s="242"/>
      <c r="F755" s="242"/>
      <c r="G755" s="242"/>
      <c r="H755" s="242"/>
      <c r="I755" s="242"/>
      <c r="J755" s="13"/>
      <c r="K755" s="15"/>
      <c r="L755" s="341"/>
      <c r="M755" s="13"/>
      <c r="N755" s="13"/>
      <c r="O755" s="13"/>
      <c r="P755" s="13"/>
      <c r="Q755" s="242"/>
      <c r="R755" s="13"/>
      <c r="S755" s="242"/>
      <c r="T755" s="13"/>
      <c r="U755" s="242"/>
      <c r="V755" s="242"/>
      <c r="W755" s="242"/>
      <c r="X755" s="242"/>
      <c r="Y755" s="242"/>
      <c r="Z755" s="242"/>
      <c r="AA755" s="242"/>
      <c r="AB755" s="242"/>
      <c r="AC755" s="242"/>
    </row>
    <row r="756">
      <c r="A756" s="242"/>
      <c r="B756" s="242"/>
      <c r="C756" s="242"/>
      <c r="D756" s="242"/>
      <c r="E756" s="242"/>
      <c r="F756" s="242"/>
      <c r="G756" s="242"/>
      <c r="H756" s="242"/>
      <c r="I756" s="242"/>
      <c r="J756" s="13"/>
      <c r="K756" s="15"/>
      <c r="L756" s="341"/>
      <c r="M756" s="13"/>
      <c r="N756" s="13"/>
      <c r="O756" s="13"/>
      <c r="P756" s="13"/>
      <c r="Q756" s="242"/>
      <c r="R756" s="13"/>
      <c r="S756" s="242"/>
      <c r="T756" s="13"/>
      <c r="U756" s="242"/>
      <c r="V756" s="242"/>
      <c r="W756" s="242"/>
      <c r="X756" s="242"/>
      <c r="Y756" s="242"/>
      <c r="Z756" s="242"/>
      <c r="AA756" s="242"/>
      <c r="AB756" s="242"/>
      <c r="AC756" s="242"/>
    </row>
    <row r="757">
      <c r="A757" s="242"/>
      <c r="B757" s="242"/>
      <c r="C757" s="242"/>
      <c r="D757" s="242"/>
      <c r="E757" s="242"/>
      <c r="F757" s="242"/>
      <c r="G757" s="242"/>
      <c r="H757" s="242"/>
      <c r="I757" s="242"/>
      <c r="J757" s="13"/>
      <c r="K757" s="15"/>
      <c r="L757" s="341"/>
      <c r="M757" s="13"/>
      <c r="N757" s="13"/>
      <c r="O757" s="13"/>
      <c r="P757" s="13"/>
      <c r="Q757" s="242"/>
      <c r="R757" s="13"/>
      <c r="S757" s="242"/>
      <c r="T757" s="13"/>
      <c r="U757" s="242"/>
      <c r="V757" s="242"/>
      <c r="W757" s="242"/>
      <c r="X757" s="242"/>
      <c r="Y757" s="242"/>
      <c r="Z757" s="242"/>
      <c r="AA757" s="242"/>
      <c r="AB757" s="242"/>
      <c r="AC757" s="242"/>
    </row>
    <row r="758">
      <c r="A758" s="242"/>
      <c r="B758" s="242"/>
      <c r="C758" s="242"/>
      <c r="D758" s="242"/>
      <c r="E758" s="242"/>
      <c r="F758" s="242"/>
      <c r="G758" s="242"/>
      <c r="H758" s="242"/>
      <c r="I758" s="242"/>
      <c r="J758" s="13"/>
      <c r="K758" s="15"/>
      <c r="L758" s="341"/>
      <c r="M758" s="13"/>
      <c r="N758" s="13"/>
      <c r="O758" s="13"/>
      <c r="P758" s="13"/>
      <c r="Q758" s="242"/>
      <c r="R758" s="13"/>
      <c r="S758" s="242"/>
      <c r="T758" s="13"/>
      <c r="U758" s="242"/>
      <c r="V758" s="242"/>
      <c r="W758" s="242"/>
      <c r="X758" s="242"/>
      <c r="Y758" s="242"/>
      <c r="Z758" s="242"/>
      <c r="AA758" s="242"/>
      <c r="AB758" s="242"/>
      <c r="AC758" s="242"/>
    </row>
    <row r="759">
      <c r="A759" s="242"/>
      <c r="B759" s="242"/>
      <c r="C759" s="242"/>
      <c r="D759" s="242"/>
      <c r="E759" s="242"/>
      <c r="F759" s="242"/>
      <c r="G759" s="242"/>
      <c r="H759" s="242"/>
      <c r="I759" s="242"/>
      <c r="J759" s="13"/>
      <c r="K759" s="15"/>
      <c r="L759" s="341"/>
      <c r="M759" s="13"/>
      <c r="N759" s="13"/>
      <c r="O759" s="13"/>
      <c r="P759" s="13"/>
      <c r="Q759" s="242"/>
      <c r="R759" s="13"/>
      <c r="S759" s="242"/>
      <c r="T759" s="13"/>
      <c r="U759" s="242"/>
      <c r="V759" s="242"/>
      <c r="W759" s="242"/>
      <c r="X759" s="242"/>
      <c r="Y759" s="242"/>
      <c r="Z759" s="242"/>
      <c r="AA759" s="242"/>
      <c r="AB759" s="242"/>
      <c r="AC759" s="242"/>
    </row>
    <row r="760">
      <c r="A760" s="242"/>
      <c r="B760" s="242"/>
      <c r="C760" s="242"/>
      <c r="D760" s="242"/>
      <c r="E760" s="242"/>
      <c r="F760" s="242"/>
      <c r="G760" s="242"/>
      <c r="H760" s="242"/>
      <c r="I760" s="242"/>
      <c r="J760" s="13"/>
      <c r="K760" s="15"/>
      <c r="L760" s="341"/>
      <c r="M760" s="13"/>
      <c r="N760" s="13"/>
      <c r="O760" s="13"/>
      <c r="P760" s="13"/>
      <c r="Q760" s="242"/>
      <c r="R760" s="13"/>
      <c r="S760" s="242"/>
      <c r="T760" s="13"/>
      <c r="U760" s="242"/>
      <c r="V760" s="242"/>
      <c r="W760" s="242"/>
      <c r="X760" s="242"/>
      <c r="Y760" s="242"/>
      <c r="Z760" s="242"/>
      <c r="AA760" s="242"/>
      <c r="AB760" s="242"/>
      <c r="AC760" s="242"/>
    </row>
    <row r="761">
      <c r="A761" s="242"/>
      <c r="B761" s="242"/>
      <c r="C761" s="242"/>
      <c r="D761" s="242"/>
      <c r="E761" s="242"/>
      <c r="F761" s="242"/>
      <c r="G761" s="242"/>
      <c r="H761" s="242"/>
      <c r="I761" s="242"/>
      <c r="J761" s="13"/>
      <c r="K761" s="15"/>
      <c r="L761" s="341"/>
      <c r="M761" s="13"/>
      <c r="N761" s="13"/>
      <c r="O761" s="13"/>
      <c r="P761" s="13"/>
      <c r="Q761" s="242"/>
      <c r="R761" s="13"/>
      <c r="S761" s="242"/>
      <c r="T761" s="13"/>
      <c r="U761" s="242"/>
      <c r="V761" s="242"/>
      <c r="W761" s="242"/>
      <c r="X761" s="242"/>
      <c r="Y761" s="242"/>
      <c r="Z761" s="242"/>
      <c r="AA761" s="242"/>
      <c r="AB761" s="242"/>
      <c r="AC761" s="242"/>
    </row>
    <row r="762">
      <c r="A762" s="242"/>
      <c r="B762" s="242"/>
      <c r="C762" s="242"/>
      <c r="D762" s="242"/>
      <c r="E762" s="242"/>
      <c r="F762" s="242"/>
      <c r="G762" s="242"/>
      <c r="H762" s="242"/>
      <c r="I762" s="242"/>
      <c r="J762" s="13"/>
      <c r="K762" s="15"/>
      <c r="L762" s="341"/>
      <c r="M762" s="13"/>
      <c r="N762" s="13"/>
      <c r="O762" s="13"/>
      <c r="P762" s="13"/>
      <c r="Q762" s="242"/>
      <c r="R762" s="13"/>
      <c r="S762" s="242"/>
      <c r="T762" s="13"/>
      <c r="U762" s="242"/>
      <c r="V762" s="242"/>
      <c r="W762" s="242"/>
      <c r="X762" s="242"/>
      <c r="Y762" s="242"/>
      <c r="Z762" s="242"/>
      <c r="AA762" s="242"/>
      <c r="AB762" s="242"/>
      <c r="AC762" s="242"/>
    </row>
    <row r="763">
      <c r="A763" s="242"/>
      <c r="B763" s="242"/>
      <c r="C763" s="242"/>
      <c r="D763" s="242"/>
      <c r="E763" s="242"/>
      <c r="F763" s="242"/>
      <c r="G763" s="242"/>
      <c r="H763" s="242"/>
      <c r="I763" s="242"/>
      <c r="J763" s="13"/>
      <c r="K763" s="15"/>
      <c r="L763" s="341"/>
      <c r="M763" s="13"/>
      <c r="N763" s="13"/>
      <c r="O763" s="13"/>
      <c r="P763" s="13"/>
      <c r="Q763" s="242"/>
      <c r="R763" s="13"/>
      <c r="S763" s="242"/>
      <c r="T763" s="13"/>
      <c r="U763" s="242"/>
      <c r="V763" s="242"/>
      <c r="W763" s="242"/>
      <c r="X763" s="242"/>
      <c r="Y763" s="242"/>
      <c r="Z763" s="242"/>
      <c r="AA763" s="242"/>
      <c r="AB763" s="242"/>
      <c r="AC763" s="242"/>
    </row>
    <row r="764">
      <c r="A764" s="242"/>
      <c r="B764" s="242"/>
      <c r="C764" s="242"/>
      <c r="D764" s="242"/>
      <c r="E764" s="242"/>
      <c r="F764" s="242"/>
      <c r="G764" s="242"/>
      <c r="H764" s="242"/>
      <c r="I764" s="242"/>
      <c r="J764" s="13"/>
      <c r="K764" s="15"/>
      <c r="L764" s="341"/>
      <c r="M764" s="13"/>
      <c r="N764" s="13"/>
      <c r="O764" s="13"/>
      <c r="P764" s="13"/>
      <c r="Q764" s="242"/>
      <c r="R764" s="13"/>
      <c r="S764" s="242"/>
      <c r="T764" s="13"/>
      <c r="U764" s="242"/>
      <c r="V764" s="242"/>
      <c r="W764" s="242"/>
      <c r="X764" s="242"/>
      <c r="Y764" s="242"/>
      <c r="Z764" s="242"/>
      <c r="AA764" s="242"/>
      <c r="AB764" s="242"/>
      <c r="AC764" s="242"/>
    </row>
    <row r="765">
      <c r="A765" s="242"/>
      <c r="B765" s="242"/>
      <c r="C765" s="242"/>
      <c r="D765" s="242"/>
      <c r="E765" s="242"/>
      <c r="F765" s="242"/>
      <c r="G765" s="242"/>
      <c r="H765" s="242"/>
      <c r="I765" s="242"/>
      <c r="J765" s="13"/>
      <c r="K765" s="15"/>
      <c r="L765" s="341"/>
      <c r="M765" s="13"/>
      <c r="N765" s="13"/>
      <c r="O765" s="13"/>
      <c r="P765" s="13"/>
      <c r="Q765" s="242"/>
      <c r="R765" s="13"/>
      <c r="S765" s="242"/>
      <c r="T765" s="13"/>
      <c r="U765" s="242"/>
      <c r="V765" s="242"/>
      <c r="W765" s="242"/>
      <c r="X765" s="242"/>
      <c r="Y765" s="242"/>
      <c r="Z765" s="242"/>
      <c r="AA765" s="242"/>
      <c r="AB765" s="242"/>
      <c r="AC765" s="242"/>
    </row>
    <row r="766">
      <c r="A766" s="242"/>
      <c r="B766" s="242"/>
      <c r="C766" s="242"/>
      <c r="D766" s="242"/>
      <c r="E766" s="242"/>
      <c r="F766" s="242"/>
      <c r="G766" s="242"/>
      <c r="H766" s="242"/>
      <c r="I766" s="242"/>
      <c r="J766" s="13"/>
      <c r="K766" s="15"/>
      <c r="L766" s="341"/>
      <c r="M766" s="13"/>
      <c r="N766" s="13"/>
      <c r="O766" s="13"/>
      <c r="P766" s="13"/>
      <c r="Q766" s="242"/>
      <c r="R766" s="13"/>
      <c r="S766" s="242"/>
      <c r="T766" s="13"/>
      <c r="U766" s="242"/>
      <c r="V766" s="242"/>
      <c r="W766" s="242"/>
      <c r="X766" s="242"/>
      <c r="Y766" s="242"/>
      <c r="Z766" s="242"/>
      <c r="AA766" s="242"/>
      <c r="AB766" s="242"/>
      <c r="AC766" s="242"/>
    </row>
    <row r="767">
      <c r="A767" s="242"/>
      <c r="B767" s="242"/>
      <c r="C767" s="242"/>
      <c r="D767" s="242"/>
      <c r="E767" s="242"/>
      <c r="F767" s="242"/>
      <c r="G767" s="242"/>
      <c r="H767" s="242"/>
      <c r="I767" s="242"/>
      <c r="J767" s="13"/>
      <c r="K767" s="15"/>
      <c r="L767" s="341"/>
      <c r="M767" s="13"/>
      <c r="N767" s="13"/>
      <c r="O767" s="13"/>
      <c r="P767" s="13"/>
      <c r="Q767" s="242"/>
      <c r="R767" s="13"/>
      <c r="S767" s="242"/>
      <c r="T767" s="13"/>
      <c r="U767" s="242"/>
      <c r="V767" s="242"/>
      <c r="W767" s="242"/>
      <c r="X767" s="242"/>
      <c r="Y767" s="242"/>
      <c r="Z767" s="242"/>
      <c r="AA767" s="242"/>
      <c r="AB767" s="242"/>
      <c r="AC767" s="242"/>
    </row>
    <row r="768">
      <c r="A768" s="242"/>
      <c r="B768" s="242"/>
      <c r="C768" s="242"/>
      <c r="D768" s="242"/>
      <c r="E768" s="242"/>
      <c r="F768" s="242"/>
      <c r="G768" s="242"/>
      <c r="H768" s="242"/>
      <c r="I768" s="242"/>
      <c r="J768" s="13"/>
      <c r="K768" s="15"/>
      <c r="L768" s="341"/>
      <c r="M768" s="13"/>
      <c r="N768" s="13"/>
      <c r="O768" s="13"/>
      <c r="P768" s="13"/>
      <c r="Q768" s="242"/>
      <c r="R768" s="13"/>
      <c r="S768" s="242"/>
      <c r="T768" s="13"/>
      <c r="U768" s="242"/>
      <c r="V768" s="242"/>
      <c r="W768" s="242"/>
      <c r="X768" s="242"/>
      <c r="Y768" s="242"/>
      <c r="Z768" s="242"/>
      <c r="AA768" s="242"/>
      <c r="AB768" s="242"/>
      <c r="AC768" s="242"/>
    </row>
    <row r="769">
      <c r="A769" s="242"/>
      <c r="B769" s="242"/>
      <c r="C769" s="242"/>
      <c r="D769" s="242"/>
      <c r="E769" s="242"/>
      <c r="F769" s="242"/>
      <c r="G769" s="242"/>
      <c r="H769" s="242"/>
      <c r="I769" s="242"/>
      <c r="J769" s="13"/>
      <c r="K769" s="15"/>
      <c r="L769" s="341"/>
      <c r="M769" s="13"/>
      <c r="N769" s="13"/>
      <c r="O769" s="13"/>
      <c r="P769" s="13"/>
      <c r="Q769" s="242"/>
      <c r="R769" s="13"/>
      <c r="S769" s="242"/>
      <c r="T769" s="13"/>
      <c r="U769" s="242"/>
      <c r="V769" s="242"/>
      <c r="W769" s="242"/>
      <c r="X769" s="242"/>
      <c r="Y769" s="242"/>
      <c r="Z769" s="242"/>
      <c r="AA769" s="242"/>
      <c r="AB769" s="242"/>
      <c r="AC769" s="242"/>
    </row>
    <row r="770">
      <c r="A770" s="242"/>
      <c r="B770" s="242"/>
      <c r="C770" s="242"/>
      <c r="D770" s="242"/>
      <c r="E770" s="242"/>
      <c r="F770" s="242"/>
      <c r="G770" s="242"/>
      <c r="H770" s="242"/>
      <c r="I770" s="242"/>
      <c r="J770" s="13"/>
      <c r="K770" s="15"/>
      <c r="L770" s="341"/>
      <c r="M770" s="13"/>
      <c r="N770" s="13"/>
      <c r="O770" s="13"/>
      <c r="P770" s="13"/>
      <c r="Q770" s="242"/>
      <c r="R770" s="13"/>
      <c r="S770" s="242"/>
      <c r="T770" s="13"/>
      <c r="U770" s="242"/>
      <c r="V770" s="242"/>
      <c r="W770" s="242"/>
      <c r="X770" s="242"/>
      <c r="Y770" s="242"/>
      <c r="Z770" s="242"/>
      <c r="AA770" s="242"/>
      <c r="AB770" s="242"/>
      <c r="AC770" s="242"/>
    </row>
    <row r="771">
      <c r="A771" s="242"/>
      <c r="B771" s="242"/>
      <c r="C771" s="242"/>
      <c r="D771" s="242"/>
      <c r="E771" s="242"/>
      <c r="F771" s="242"/>
      <c r="G771" s="242"/>
      <c r="H771" s="242"/>
      <c r="I771" s="242"/>
      <c r="J771" s="13"/>
      <c r="K771" s="15"/>
      <c r="L771" s="341"/>
      <c r="M771" s="13"/>
      <c r="N771" s="13"/>
      <c r="O771" s="13"/>
      <c r="P771" s="13"/>
      <c r="Q771" s="242"/>
      <c r="R771" s="13"/>
      <c r="S771" s="242"/>
      <c r="T771" s="13"/>
      <c r="U771" s="242"/>
      <c r="V771" s="242"/>
      <c r="W771" s="242"/>
      <c r="X771" s="242"/>
      <c r="Y771" s="242"/>
      <c r="Z771" s="242"/>
      <c r="AA771" s="242"/>
      <c r="AB771" s="242"/>
      <c r="AC771" s="242"/>
    </row>
    <row r="772">
      <c r="A772" s="242"/>
      <c r="B772" s="242"/>
      <c r="C772" s="242"/>
      <c r="D772" s="242"/>
      <c r="E772" s="242"/>
      <c r="F772" s="242"/>
      <c r="G772" s="242"/>
      <c r="H772" s="242"/>
      <c r="I772" s="242"/>
      <c r="J772" s="13"/>
      <c r="K772" s="15"/>
      <c r="L772" s="341"/>
      <c r="M772" s="13"/>
      <c r="N772" s="13"/>
      <c r="O772" s="13"/>
      <c r="P772" s="13"/>
      <c r="Q772" s="242"/>
      <c r="R772" s="13"/>
      <c r="S772" s="242"/>
      <c r="T772" s="13"/>
      <c r="U772" s="242"/>
      <c r="V772" s="242"/>
      <c r="W772" s="242"/>
      <c r="X772" s="242"/>
      <c r="Y772" s="242"/>
      <c r="Z772" s="242"/>
      <c r="AA772" s="242"/>
      <c r="AB772" s="242"/>
      <c r="AC772" s="242"/>
    </row>
    <row r="773">
      <c r="A773" s="242"/>
      <c r="B773" s="242"/>
      <c r="C773" s="242"/>
      <c r="D773" s="242"/>
      <c r="E773" s="242"/>
      <c r="F773" s="242"/>
      <c r="G773" s="242"/>
      <c r="H773" s="242"/>
      <c r="I773" s="242"/>
      <c r="J773" s="13"/>
      <c r="K773" s="15"/>
      <c r="L773" s="341"/>
      <c r="M773" s="13"/>
      <c r="N773" s="13"/>
      <c r="O773" s="13"/>
      <c r="P773" s="13"/>
      <c r="Q773" s="242"/>
      <c r="R773" s="13"/>
      <c r="S773" s="242"/>
      <c r="T773" s="13"/>
      <c r="U773" s="242"/>
      <c r="V773" s="242"/>
      <c r="W773" s="242"/>
      <c r="X773" s="242"/>
      <c r="Y773" s="242"/>
      <c r="Z773" s="242"/>
      <c r="AA773" s="242"/>
      <c r="AB773" s="242"/>
      <c r="AC773" s="242"/>
    </row>
    <row r="774">
      <c r="A774" s="242"/>
      <c r="B774" s="242"/>
      <c r="C774" s="242"/>
      <c r="D774" s="242"/>
      <c r="E774" s="242"/>
      <c r="F774" s="242"/>
      <c r="G774" s="242"/>
      <c r="H774" s="242"/>
      <c r="I774" s="242"/>
      <c r="J774" s="13"/>
      <c r="K774" s="15"/>
      <c r="L774" s="341"/>
      <c r="M774" s="13"/>
      <c r="N774" s="13"/>
      <c r="O774" s="13"/>
      <c r="P774" s="13"/>
      <c r="Q774" s="242"/>
      <c r="R774" s="13"/>
      <c r="S774" s="242"/>
      <c r="T774" s="13"/>
      <c r="U774" s="242"/>
      <c r="V774" s="242"/>
      <c r="W774" s="242"/>
      <c r="X774" s="242"/>
      <c r="Y774" s="242"/>
      <c r="Z774" s="242"/>
      <c r="AA774" s="242"/>
      <c r="AB774" s="242"/>
      <c r="AC774" s="242"/>
    </row>
    <row r="775">
      <c r="A775" s="242"/>
      <c r="B775" s="242"/>
      <c r="C775" s="242"/>
      <c r="D775" s="242"/>
      <c r="E775" s="242"/>
      <c r="F775" s="242"/>
      <c r="G775" s="242"/>
      <c r="H775" s="242"/>
      <c r="I775" s="242"/>
      <c r="J775" s="13"/>
      <c r="K775" s="15"/>
      <c r="L775" s="341"/>
      <c r="M775" s="13"/>
      <c r="N775" s="13"/>
      <c r="O775" s="13"/>
      <c r="P775" s="13"/>
      <c r="Q775" s="242"/>
      <c r="R775" s="13"/>
      <c r="S775" s="242"/>
      <c r="T775" s="13"/>
      <c r="U775" s="242"/>
      <c r="V775" s="242"/>
      <c r="W775" s="242"/>
      <c r="X775" s="242"/>
      <c r="Y775" s="242"/>
      <c r="Z775" s="242"/>
      <c r="AA775" s="242"/>
      <c r="AB775" s="242"/>
      <c r="AC775" s="242"/>
    </row>
    <row r="776">
      <c r="A776" s="242"/>
      <c r="B776" s="242"/>
      <c r="C776" s="242"/>
      <c r="D776" s="242"/>
      <c r="E776" s="242"/>
      <c r="F776" s="242"/>
      <c r="G776" s="242"/>
      <c r="H776" s="242"/>
      <c r="I776" s="242"/>
      <c r="J776" s="13"/>
      <c r="K776" s="15"/>
      <c r="L776" s="341"/>
      <c r="M776" s="13"/>
      <c r="N776" s="13"/>
      <c r="O776" s="13"/>
      <c r="P776" s="13"/>
      <c r="Q776" s="242"/>
      <c r="R776" s="13"/>
      <c r="S776" s="242"/>
      <c r="T776" s="13"/>
      <c r="U776" s="242"/>
      <c r="V776" s="242"/>
      <c r="W776" s="242"/>
      <c r="X776" s="242"/>
      <c r="Y776" s="242"/>
      <c r="Z776" s="242"/>
      <c r="AA776" s="242"/>
      <c r="AB776" s="242"/>
      <c r="AC776" s="242"/>
    </row>
    <row r="777">
      <c r="A777" s="242"/>
      <c r="B777" s="242"/>
      <c r="C777" s="242"/>
      <c r="D777" s="242"/>
      <c r="E777" s="242"/>
      <c r="F777" s="242"/>
      <c r="G777" s="242"/>
      <c r="H777" s="242"/>
      <c r="I777" s="242"/>
      <c r="J777" s="13"/>
      <c r="K777" s="15"/>
      <c r="L777" s="341"/>
      <c r="M777" s="13"/>
      <c r="N777" s="13"/>
      <c r="O777" s="13"/>
      <c r="P777" s="13"/>
      <c r="Q777" s="242"/>
      <c r="R777" s="13"/>
      <c r="S777" s="242"/>
      <c r="T777" s="13"/>
      <c r="U777" s="242"/>
      <c r="V777" s="242"/>
      <c r="W777" s="242"/>
      <c r="X777" s="242"/>
      <c r="Y777" s="242"/>
      <c r="Z777" s="242"/>
      <c r="AA777" s="242"/>
      <c r="AB777" s="242"/>
      <c r="AC777" s="242"/>
    </row>
    <row r="778">
      <c r="A778" s="242"/>
      <c r="B778" s="242"/>
      <c r="C778" s="242"/>
      <c r="D778" s="242"/>
      <c r="E778" s="242"/>
      <c r="F778" s="242"/>
      <c r="G778" s="242"/>
      <c r="H778" s="242"/>
      <c r="I778" s="242"/>
      <c r="J778" s="13"/>
      <c r="K778" s="15"/>
      <c r="L778" s="341"/>
      <c r="M778" s="13"/>
      <c r="N778" s="13"/>
      <c r="O778" s="13"/>
      <c r="P778" s="13"/>
      <c r="Q778" s="242"/>
      <c r="R778" s="13"/>
      <c r="S778" s="242"/>
      <c r="T778" s="13"/>
      <c r="U778" s="242"/>
      <c r="V778" s="242"/>
      <c r="W778" s="242"/>
      <c r="X778" s="242"/>
      <c r="Y778" s="242"/>
      <c r="Z778" s="242"/>
      <c r="AA778" s="242"/>
      <c r="AB778" s="242"/>
      <c r="AC778" s="242"/>
    </row>
    <row r="779">
      <c r="A779" s="242"/>
      <c r="B779" s="242"/>
      <c r="C779" s="242"/>
      <c r="D779" s="242"/>
      <c r="E779" s="242"/>
      <c r="F779" s="242"/>
      <c r="G779" s="242"/>
      <c r="H779" s="242"/>
      <c r="I779" s="242"/>
      <c r="J779" s="13"/>
      <c r="K779" s="15"/>
      <c r="L779" s="341"/>
      <c r="M779" s="13"/>
      <c r="N779" s="13"/>
      <c r="O779" s="13"/>
      <c r="P779" s="13"/>
      <c r="Q779" s="242"/>
      <c r="R779" s="13"/>
      <c r="S779" s="242"/>
      <c r="T779" s="13"/>
      <c r="U779" s="242"/>
      <c r="V779" s="242"/>
      <c r="W779" s="242"/>
      <c r="X779" s="242"/>
      <c r="Y779" s="242"/>
      <c r="Z779" s="242"/>
      <c r="AA779" s="242"/>
      <c r="AB779" s="242"/>
      <c r="AC779" s="242"/>
    </row>
    <row r="780">
      <c r="A780" s="242"/>
      <c r="B780" s="242"/>
      <c r="C780" s="242"/>
      <c r="D780" s="242"/>
      <c r="E780" s="242"/>
      <c r="F780" s="242"/>
      <c r="G780" s="242"/>
      <c r="H780" s="242"/>
      <c r="I780" s="242"/>
      <c r="J780" s="13"/>
      <c r="K780" s="15"/>
      <c r="L780" s="341"/>
      <c r="M780" s="13"/>
      <c r="N780" s="13"/>
      <c r="O780" s="13"/>
      <c r="P780" s="13"/>
      <c r="Q780" s="242"/>
      <c r="R780" s="13"/>
      <c r="S780" s="242"/>
      <c r="T780" s="13"/>
      <c r="U780" s="242"/>
      <c r="V780" s="242"/>
      <c r="W780" s="242"/>
      <c r="X780" s="242"/>
      <c r="Y780" s="242"/>
      <c r="Z780" s="242"/>
      <c r="AA780" s="242"/>
      <c r="AB780" s="242"/>
      <c r="AC780" s="242"/>
    </row>
    <row r="781">
      <c r="A781" s="242"/>
      <c r="B781" s="242"/>
      <c r="C781" s="242"/>
      <c r="D781" s="242"/>
      <c r="E781" s="242"/>
      <c r="F781" s="242"/>
      <c r="G781" s="242"/>
      <c r="H781" s="242"/>
      <c r="I781" s="242"/>
      <c r="J781" s="13"/>
      <c r="K781" s="15"/>
      <c r="L781" s="341"/>
      <c r="M781" s="13"/>
      <c r="N781" s="13"/>
      <c r="O781" s="13"/>
      <c r="P781" s="13"/>
      <c r="Q781" s="242"/>
      <c r="R781" s="13"/>
      <c r="S781" s="242"/>
      <c r="T781" s="13"/>
      <c r="U781" s="242"/>
      <c r="V781" s="242"/>
      <c r="W781" s="242"/>
      <c r="X781" s="242"/>
      <c r="Y781" s="242"/>
      <c r="Z781" s="242"/>
      <c r="AA781" s="242"/>
      <c r="AB781" s="242"/>
      <c r="AC781" s="242"/>
    </row>
    <row r="782">
      <c r="A782" s="242"/>
      <c r="B782" s="242"/>
      <c r="C782" s="242"/>
      <c r="D782" s="242"/>
      <c r="E782" s="242"/>
      <c r="F782" s="242"/>
      <c r="G782" s="242"/>
      <c r="H782" s="242"/>
      <c r="I782" s="242"/>
      <c r="J782" s="13"/>
      <c r="K782" s="15"/>
      <c r="L782" s="341"/>
      <c r="M782" s="13"/>
      <c r="N782" s="13"/>
      <c r="O782" s="13"/>
      <c r="P782" s="13"/>
      <c r="Q782" s="242"/>
      <c r="R782" s="13"/>
      <c r="S782" s="242"/>
      <c r="T782" s="13"/>
      <c r="U782" s="242"/>
      <c r="V782" s="242"/>
      <c r="W782" s="242"/>
      <c r="X782" s="242"/>
      <c r="Y782" s="242"/>
      <c r="Z782" s="242"/>
      <c r="AA782" s="242"/>
      <c r="AB782" s="242"/>
      <c r="AC782" s="242"/>
    </row>
    <row r="783">
      <c r="A783" s="242"/>
      <c r="B783" s="242"/>
      <c r="C783" s="242"/>
      <c r="D783" s="242"/>
      <c r="E783" s="242"/>
      <c r="F783" s="242"/>
      <c r="G783" s="242"/>
      <c r="H783" s="242"/>
      <c r="I783" s="242"/>
      <c r="J783" s="13"/>
      <c r="K783" s="15"/>
      <c r="L783" s="341"/>
      <c r="M783" s="13"/>
      <c r="N783" s="13"/>
      <c r="O783" s="13"/>
      <c r="P783" s="13"/>
      <c r="Q783" s="242"/>
      <c r="R783" s="13"/>
      <c r="S783" s="242"/>
      <c r="T783" s="13"/>
      <c r="U783" s="242"/>
      <c r="V783" s="242"/>
      <c r="W783" s="242"/>
      <c r="X783" s="242"/>
      <c r="Y783" s="242"/>
      <c r="Z783" s="242"/>
      <c r="AA783" s="242"/>
      <c r="AB783" s="242"/>
      <c r="AC783" s="242"/>
    </row>
    <row r="784">
      <c r="A784" s="242"/>
      <c r="B784" s="242"/>
      <c r="C784" s="242"/>
      <c r="D784" s="242"/>
      <c r="E784" s="242"/>
      <c r="F784" s="242"/>
      <c r="G784" s="242"/>
      <c r="H784" s="242"/>
      <c r="I784" s="242"/>
      <c r="J784" s="13"/>
      <c r="K784" s="15"/>
      <c r="L784" s="341"/>
      <c r="M784" s="13"/>
      <c r="N784" s="13"/>
      <c r="O784" s="13"/>
      <c r="P784" s="13"/>
      <c r="Q784" s="242"/>
      <c r="R784" s="13"/>
      <c r="S784" s="242"/>
      <c r="T784" s="13"/>
      <c r="U784" s="242"/>
      <c r="V784" s="242"/>
      <c r="W784" s="242"/>
      <c r="X784" s="242"/>
      <c r="Y784" s="242"/>
      <c r="Z784" s="242"/>
      <c r="AA784" s="242"/>
      <c r="AB784" s="242"/>
      <c r="AC784" s="242"/>
    </row>
    <row r="785">
      <c r="A785" s="242"/>
      <c r="B785" s="242"/>
      <c r="C785" s="242"/>
      <c r="D785" s="242"/>
      <c r="E785" s="242"/>
      <c r="F785" s="242"/>
      <c r="G785" s="242"/>
      <c r="H785" s="242"/>
      <c r="I785" s="242"/>
      <c r="J785" s="13"/>
      <c r="K785" s="15"/>
      <c r="L785" s="341"/>
      <c r="M785" s="13"/>
      <c r="N785" s="13"/>
      <c r="O785" s="13"/>
      <c r="P785" s="13"/>
      <c r="Q785" s="242"/>
      <c r="R785" s="13"/>
      <c r="S785" s="242"/>
      <c r="T785" s="13"/>
      <c r="U785" s="242"/>
      <c r="V785" s="242"/>
      <c r="W785" s="242"/>
      <c r="X785" s="242"/>
      <c r="Y785" s="242"/>
      <c r="Z785" s="242"/>
      <c r="AA785" s="242"/>
      <c r="AB785" s="242"/>
      <c r="AC785" s="242"/>
    </row>
    <row r="786">
      <c r="A786" s="242"/>
      <c r="B786" s="242"/>
      <c r="C786" s="242"/>
      <c r="D786" s="242"/>
      <c r="E786" s="242"/>
      <c r="F786" s="242"/>
      <c r="G786" s="242"/>
      <c r="H786" s="242"/>
      <c r="I786" s="242"/>
      <c r="J786" s="13"/>
      <c r="K786" s="15"/>
      <c r="L786" s="341"/>
      <c r="M786" s="13"/>
      <c r="N786" s="13"/>
      <c r="O786" s="13"/>
      <c r="P786" s="13"/>
      <c r="Q786" s="242"/>
      <c r="R786" s="13"/>
      <c r="S786" s="242"/>
      <c r="T786" s="13"/>
      <c r="U786" s="242"/>
      <c r="V786" s="242"/>
      <c r="W786" s="242"/>
      <c r="X786" s="242"/>
      <c r="Y786" s="242"/>
      <c r="Z786" s="242"/>
      <c r="AA786" s="242"/>
      <c r="AB786" s="242"/>
      <c r="AC786" s="242"/>
    </row>
    <row r="787">
      <c r="A787" s="242"/>
      <c r="B787" s="242"/>
      <c r="C787" s="242"/>
      <c r="D787" s="242"/>
      <c r="E787" s="242"/>
      <c r="F787" s="242"/>
      <c r="G787" s="242"/>
      <c r="H787" s="242"/>
      <c r="I787" s="242"/>
      <c r="J787" s="13"/>
      <c r="K787" s="15"/>
      <c r="L787" s="341"/>
      <c r="M787" s="13"/>
      <c r="N787" s="13"/>
      <c r="O787" s="13"/>
      <c r="P787" s="13"/>
      <c r="Q787" s="242"/>
      <c r="R787" s="13"/>
      <c r="S787" s="242"/>
      <c r="T787" s="13"/>
      <c r="U787" s="242"/>
      <c r="V787" s="242"/>
      <c r="W787" s="242"/>
      <c r="X787" s="242"/>
      <c r="Y787" s="242"/>
      <c r="Z787" s="242"/>
      <c r="AA787" s="242"/>
      <c r="AB787" s="242"/>
      <c r="AC787" s="242"/>
    </row>
    <row r="788">
      <c r="A788" s="242"/>
      <c r="B788" s="242"/>
      <c r="C788" s="242"/>
      <c r="D788" s="242"/>
      <c r="E788" s="242"/>
      <c r="F788" s="242"/>
      <c r="G788" s="242"/>
      <c r="H788" s="242"/>
      <c r="I788" s="242"/>
      <c r="J788" s="13"/>
      <c r="K788" s="15"/>
      <c r="L788" s="341"/>
      <c r="M788" s="13"/>
      <c r="N788" s="13"/>
      <c r="O788" s="13"/>
      <c r="P788" s="13"/>
      <c r="Q788" s="242"/>
      <c r="R788" s="13"/>
      <c r="S788" s="242"/>
      <c r="T788" s="13"/>
      <c r="U788" s="242"/>
      <c r="V788" s="242"/>
      <c r="W788" s="242"/>
      <c r="X788" s="242"/>
      <c r="Y788" s="242"/>
      <c r="Z788" s="242"/>
      <c r="AA788" s="242"/>
      <c r="AB788" s="242"/>
      <c r="AC788" s="242"/>
    </row>
    <row r="789">
      <c r="A789" s="242"/>
      <c r="B789" s="242"/>
      <c r="C789" s="242"/>
      <c r="D789" s="242"/>
      <c r="E789" s="242"/>
      <c r="F789" s="242"/>
      <c r="G789" s="242"/>
      <c r="H789" s="242"/>
      <c r="I789" s="242"/>
      <c r="J789" s="13"/>
      <c r="K789" s="15"/>
      <c r="L789" s="341"/>
      <c r="M789" s="13"/>
      <c r="N789" s="13"/>
      <c r="O789" s="13"/>
      <c r="P789" s="13"/>
      <c r="Q789" s="242"/>
      <c r="R789" s="13"/>
      <c r="S789" s="242"/>
      <c r="T789" s="13"/>
      <c r="U789" s="242"/>
      <c r="V789" s="242"/>
      <c r="W789" s="242"/>
      <c r="X789" s="242"/>
      <c r="Y789" s="242"/>
      <c r="Z789" s="242"/>
      <c r="AA789" s="242"/>
      <c r="AB789" s="242"/>
      <c r="AC789" s="242"/>
    </row>
    <row r="790">
      <c r="A790" s="242"/>
      <c r="B790" s="242"/>
      <c r="C790" s="242"/>
      <c r="D790" s="242"/>
      <c r="E790" s="242"/>
      <c r="F790" s="242"/>
      <c r="G790" s="242"/>
      <c r="H790" s="242"/>
      <c r="I790" s="242"/>
      <c r="J790" s="13"/>
      <c r="K790" s="15"/>
      <c r="L790" s="341"/>
      <c r="M790" s="13"/>
      <c r="N790" s="13"/>
      <c r="O790" s="13"/>
      <c r="P790" s="13"/>
      <c r="Q790" s="242"/>
      <c r="R790" s="13"/>
      <c r="S790" s="242"/>
      <c r="T790" s="13"/>
      <c r="U790" s="242"/>
      <c r="V790" s="242"/>
      <c r="W790" s="242"/>
      <c r="X790" s="242"/>
      <c r="Y790" s="242"/>
      <c r="Z790" s="242"/>
      <c r="AA790" s="242"/>
      <c r="AB790" s="242"/>
      <c r="AC790" s="242"/>
    </row>
    <row r="791">
      <c r="A791" s="242"/>
      <c r="B791" s="242"/>
      <c r="C791" s="242"/>
      <c r="D791" s="242"/>
      <c r="E791" s="242"/>
      <c r="F791" s="242"/>
      <c r="G791" s="242"/>
      <c r="H791" s="242"/>
      <c r="I791" s="242"/>
      <c r="J791" s="13"/>
      <c r="K791" s="15"/>
      <c r="L791" s="341"/>
      <c r="M791" s="13"/>
      <c r="N791" s="13"/>
      <c r="O791" s="13"/>
      <c r="P791" s="13"/>
      <c r="Q791" s="242"/>
      <c r="R791" s="13"/>
      <c r="S791" s="242"/>
      <c r="T791" s="13"/>
      <c r="U791" s="242"/>
      <c r="V791" s="242"/>
      <c r="W791" s="242"/>
      <c r="X791" s="242"/>
      <c r="Y791" s="242"/>
      <c r="Z791" s="242"/>
      <c r="AA791" s="242"/>
      <c r="AB791" s="242"/>
      <c r="AC791" s="242"/>
    </row>
    <row r="792">
      <c r="A792" s="242"/>
      <c r="B792" s="242"/>
      <c r="C792" s="242"/>
      <c r="D792" s="242"/>
      <c r="E792" s="242"/>
      <c r="F792" s="242"/>
      <c r="G792" s="242"/>
      <c r="H792" s="242"/>
      <c r="I792" s="242"/>
      <c r="J792" s="13"/>
      <c r="K792" s="15"/>
      <c r="L792" s="341"/>
      <c r="M792" s="13"/>
      <c r="N792" s="13"/>
      <c r="O792" s="13"/>
      <c r="P792" s="13"/>
      <c r="Q792" s="242"/>
      <c r="R792" s="13"/>
      <c r="S792" s="242"/>
      <c r="T792" s="13"/>
      <c r="U792" s="242"/>
      <c r="V792" s="242"/>
      <c r="W792" s="242"/>
      <c r="X792" s="242"/>
      <c r="Y792" s="242"/>
      <c r="Z792" s="242"/>
      <c r="AA792" s="242"/>
      <c r="AB792" s="242"/>
      <c r="AC792" s="242"/>
    </row>
    <row r="793">
      <c r="A793" s="242"/>
      <c r="B793" s="242"/>
      <c r="C793" s="242"/>
      <c r="D793" s="242"/>
      <c r="E793" s="242"/>
      <c r="F793" s="242"/>
      <c r="G793" s="242"/>
      <c r="H793" s="242"/>
      <c r="I793" s="242"/>
      <c r="J793" s="13"/>
      <c r="K793" s="15"/>
      <c r="L793" s="341"/>
      <c r="M793" s="13"/>
      <c r="N793" s="13"/>
      <c r="O793" s="13"/>
      <c r="P793" s="13"/>
      <c r="Q793" s="242"/>
      <c r="R793" s="13"/>
      <c r="S793" s="242"/>
      <c r="T793" s="13"/>
      <c r="U793" s="242"/>
      <c r="V793" s="242"/>
      <c r="W793" s="242"/>
      <c r="X793" s="242"/>
      <c r="Y793" s="242"/>
      <c r="Z793" s="242"/>
      <c r="AA793" s="242"/>
      <c r="AB793" s="242"/>
      <c r="AC793" s="242"/>
    </row>
    <row r="794">
      <c r="A794" s="242"/>
      <c r="B794" s="242"/>
      <c r="C794" s="242"/>
      <c r="D794" s="242"/>
      <c r="E794" s="242"/>
      <c r="F794" s="242"/>
      <c r="G794" s="242"/>
      <c r="H794" s="242"/>
      <c r="I794" s="242"/>
      <c r="J794" s="13"/>
      <c r="K794" s="15"/>
      <c r="L794" s="341"/>
      <c r="M794" s="13"/>
      <c r="N794" s="13"/>
      <c r="O794" s="13"/>
      <c r="P794" s="13"/>
      <c r="Q794" s="242"/>
      <c r="R794" s="13"/>
      <c r="S794" s="242"/>
      <c r="T794" s="13"/>
      <c r="U794" s="242"/>
      <c r="V794" s="242"/>
      <c r="W794" s="242"/>
      <c r="X794" s="242"/>
      <c r="Y794" s="242"/>
      <c r="Z794" s="242"/>
      <c r="AA794" s="242"/>
      <c r="AB794" s="242"/>
      <c r="AC794" s="242"/>
    </row>
    <row r="795">
      <c r="A795" s="242"/>
      <c r="B795" s="242"/>
      <c r="C795" s="242"/>
      <c r="D795" s="242"/>
      <c r="E795" s="242"/>
      <c r="F795" s="242"/>
      <c r="G795" s="242"/>
      <c r="H795" s="242"/>
      <c r="I795" s="242"/>
      <c r="J795" s="13"/>
      <c r="K795" s="15"/>
      <c r="L795" s="341"/>
      <c r="M795" s="13"/>
      <c r="N795" s="13"/>
      <c r="O795" s="13"/>
      <c r="P795" s="13"/>
      <c r="Q795" s="242"/>
      <c r="R795" s="13"/>
      <c r="S795" s="242"/>
      <c r="T795" s="13"/>
      <c r="U795" s="242"/>
      <c r="V795" s="242"/>
      <c r="W795" s="242"/>
      <c r="X795" s="242"/>
      <c r="Y795" s="242"/>
      <c r="Z795" s="242"/>
      <c r="AA795" s="242"/>
      <c r="AB795" s="242"/>
      <c r="AC795" s="242"/>
    </row>
    <row r="796">
      <c r="A796" s="242"/>
      <c r="B796" s="242"/>
      <c r="C796" s="242"/>
      <c r="D796" s="242"/>
      <c r="E796" s="242"/>
      <c r="F796" s="242"/>
      <c r="G796" s="242"/>
      <c r="H796" s="242"/>
      <c r="I796" s="242"/>
      <c r="J796" s="13"/>
      <c r="K796" s="15"/>
      <c r="L796" s="341"/>
      <c r="M796" s="13"/>
      <c r="N796" s="13"/>
      <c r="O796" s="13"/>
      <c r="P796" s="13"/>
      <c r="Q796" s="242"/>
      <c r="R796" s="13"/>
      <c r="S796" s="242"/>
      <c r="T796" s="13"/>
      <c r="U796" s="242"/>
      <c r="V796" s="242"/>
      <c r="W796" s="242"/>
      <c r="X796" s="242"/>
      <c r="Y796" s="242"/>
      <c r="Z796" s="242"/>
      <c r="AA796" s="242"/>
      <c r="AB796" s="242"/>
      <c r="AC796" s="242"/>
    </row>
    <row r="797">
      <c r="A797" s="242"/>
      <c r="B797" s="242"/>
      <c r="C797" s="242"/>
      <c r="D797" s="242"/>
      <c r="E797" s="242"/>
      <c r="F797" s="242"/>
      <c r="G797" s="242"/>
      <c r="H797" s="242"/>
      <c r="I797" s="242"/>
      <c r="J797" s="13"/>
      <c r="K797" s="15"/>
      <c r="L797" s="341"/>
      <c r="M797" s="13"/>
      <c r="N797" s="13"/>
      <c r="O797" s="13"/>
      <c r="P797" s="13"/>
      <c r="Q797" s="242"/>
      <c r="R797" s="13"/>
      <c r="S797" s="242"/>
      <c r="T797" s="13"/>
      <c r="U797" s="242"/>
      <c r="V797" s="242"/>
      <c r="W797" s="242"/>
      <c r="X797" s="242"/>
      <c r="Y797" s="242"/>
      <c r="Z797" s="242"/>
      <c r="AA797" s="242"/>
      <c r="AB797" s="242"/>
      <c r="AC797" s="242"/>
    </row>
    <row r="798">
      <c r="A798" s="242"/>
      <c r="B798" s="242"/>
      <c r="C798" s="242"/>
      <c r="D798" s="242"/>
      <c r="E798" s="242"/>
      <c r="F798" s="242"/>
      <c r="G798" s="242"/>
      <c r="H798" s="242"/>
      <c r="I798" s="242"/>
      <c r="J798" s="13"/>
      <c r="K798" s="15"/>
      <c r="L798" s="341"/>
      <c r="M798" s="13"/>
      <c r="N798" s="13"/>
      <c r="O798" s="13"/>
      <c r="P798" s="13"/>
      <c r="Q798" s="242"/>
      <c r="R798" s="13"/>
      <c r="S798" s="242"/>
      <c r="T798" s="13"/>
      <c r="U798" s="242"/>
      <c r="V798" s="242"/>
      <c r="W798" s="242"/>
      <c r="X798" s="242"/>
      <c r="Y798" s="242"/>
      <c r="Z798" s="242"/>
      <c r="AA798" s="242"/>
      <c r="AB798" s="242"/>
      <c r="AC798" s="242"/>
    </row>
    <row r="799">
      <c r="A799" s="242"/>
      <c r="B799" s="242"/>
      <c r="C799" s="242"/>
      <c r="D799" s="242"/>
      <c r="E799" s="242"/>
      <c r="F799" s="242"/>
      <c r="G799" s="242"/>
      <c r="H799" s="242"/>
      <c r="I799" s="242"/>
      <c r="J799" s="13"/>
      <c r="K799" s="15"/>
      <c r="L799" s="341"/>
      <c r="M799" s="13"/>
      <c r="N799" s="13"/>
      <c r="O799" s="13"/>
      <c r="P799" s="13"/>
      <c r="Q799" s="242"/>
      <c r="R799" s="13"/>
      <c r="S799" s="242"/>
      <c r="T799" s="13"/>
      <c r="U799" s="242"/>
      <c r="V799" s="242"/>
      <c r="W799" s="242"/>
      <c r="X799" s="242"/>
      <c r="Y799" s="242"/>
      <c r="Z799" s="242"/>
      <c r="AA799" s="242"/>
      <c r="AB799" s="242"/>
      <c r="AC799" s="242"/>
    </row>
    <row r="800">
      <c r="A800" s="242"/>
      <c r="B800" s="242"/>
      <c r="C800" s="242"/>
      <c r="D800" s="242"/>
      <c r="E800" s="242"/>
      <c r="F800" s="242"/>
      <c r="G800" s="242"/>
      <c r="H800" s="242"/>
      <c r="I800" s="242"/>
      <c r="J800" s="13"/>
      <c r="K800" s="15"/>
      <c r="L800" s="341"/>
      <c r="M800" s="13"/>
      <c r="N800" s="13"/>
      <c r="O800" s="13"/>
      <c r="P800" s="13"/>
      <c r="Q800" s="242"/>
      <c r="R800" s="13"/>
      <c r="S800" s="242"/>
      <c r="T800" s="13"/>
      <c r="U800" s="242"/>
      <c r="V800" s="242"/>
      <c r="W800" s="242"/>
      <c r="X800" s="242"/>
      <c r="Y800" s="242"/>
      <c r="Z800" s="242"/>
      <c r="AA800" s="242"/>
      <c r="AB800" s="242"/>
      <c r="AC800" s="242"/>
    </row>
    <row r="801">
      <c r="A801" s="242"/>
      <c r="B801" s="242"/>
      <c r="C801" s="242"/>
      <c r="D801" s="242"/>
      <c r="E801" s="242"/>
      <c r="F801" s="242"/>
      <c r="G801" s="242"/>
      <c r="H801" s="242"/>
      <c r="I801" s="242"/>
      <c r="J801" s="13"/>
      <c r="K801" s="15"/>
      <c r="L801" s="341"/>
      <c r="M801" s="13"/>
      <c r="N801" s="13"/>
      <c r="O801" s="13"/>
      <c r="P801" s="13"/>
      <c r="Q801" s="242"/>
      <c r="R801" s="13"/>
      <c r="S801" s="242"/>
      <c r="T801" s="13"/>
      <c r="U801" s="242"/>
      <c r="V801" s="242"/>
      <c r="W801" s="242"/>
      <c r="X801" s="242"/>
      <c r="Y801" s="242"/>
      <c r="Z801" s="242"/>
      <c r="AA801" s="242"/>
      <c r="AB801" s="242"/>
      <c r="AC801" s="242"/>
    </row>
    <row r="802">
      <c r="A802" s="242"/>
      <c r="B802" s="242"/>
      <c r="C802" s="242"/>
      <c r="D802" s="242"/>
      <c r="E802" s="242"/>
      <c r="F802" s="242"/>
      <c r="G802" s="242"/>
      <c r="H802" s="242"/>
      <c r="I802" s="242"/>
      <c r="J802" s="13"/>
      <c r="K802" s="15"/>
      <c r="L802" s="341"/>
      <c r="M802" s="13"/>
      <c r="N802" s="13"/>
      <c r="O802" s="13"/>
      <c r="P802" s="13"/>
      <c r="Q802" s="242"/>
      <c r="R802" s="13"/>
      <c r="S802" s="242"/>
      <c r="T802" s="13"/>
      <c r="U802" s="242"/>
      <c r="V802" s="242"/>
      <c r="W802" s="242"/>
      <c r="X802" s="242"/>
      <c r="Y802" s="242"/>
      <c r="Z802" s="242"/>
      <c r="AA802" s="242"/>
      <c r="AB802" s="242"/>
      <c r="AC802" s="242"/>
    </row>
    <row r="803">
      <c r="A803" s="242"/>
      <c r="B803" s="242"/>
      <c r="C803" s="242"/>
      <c r="D803" s="242"/>
      <c r="E803" s="242"/>
      <c r="F803" s="242"/>
      <c r="G803" s="242"/>
      <c r="H803" s="242"/>
      <c r="I803" s="242"/>
      <c r="J803" s="13"/>
      <c r="K803" s="15"/>
      <c r="L803" s="341"/>
      <c r="M803" s="13"/>
      <c r="N803" s="13"/>
      <c r="O803" s="13"/>
      <c r="P803" s="13"/>
      <c r="Q803" s="242"/>
      <c r="R803" s="13"/>
      <c r="S803" s="242"/>
      <c r="T803" s="13"/>
      <c r="U803" s="242"/>
      <c r="V803" s="242"/>
      <c r="W803" s="242"/>
      <c r="X803" s="242"/>
      <c r="Y803" s="242"/>
      <c r="Z803" s="242"/>
      <c r="AA803" s="242"/>
      <c r="AB803" s="242"/>
      <c r="AC803" s="242"/>
    </row>
    <row r="804">
      <c r="A804" s="242"/>
      <c r="B804" s="242"/>
      <c r="C804" s="242"/>
      <c r="D804" s="242"/>
      <c r="E804" s="242"/>
      <c r="F804" s="242"/>
      <c r="G804" s="242"/>
      <c r="H804" s="242"/>
      <c r="I804" s="242"/>
      <c r="J804" s="13"/>
      <c r="K804" s="15"/>
      <c r="L804" s="341"/>
      <c r="M804" s="13"/>
      <c r="N804" s="13"/>
      <c r="O804" s="13"/>
      <c r="P804" s="13"/>
      <c r="Q804" s="242"/>
      <c r="R804" s="13"/>
      <c r="S804" s="242"/>
      <c r="T804" s="13"/>
      <c r="U804" s="242"/>
      <c r="V804" s="242"/>
      <c r="W804" s="242"/>
      <c r="X804" s="242"/>
      <c r="Y804" s="242"/>
      <c r="Z804" s="242"/>
      <c r="AA804" s="242"/>
      <c r="AB804" s="242"/>
      <c r="AC804" s="242"/>
    </row>
    <row r="805">
      <c r="A805" s="242"/>
      <c r="B805" s="242"/>
      <c r="C805" s="242"/>
      <c r="D805" s="242"/>
      <c r="E805" s="242"/>
      <c r="F805" s="242"/>
      <c r="G805" s="242"/>
      <c r="H805" s="242"/>
      <c r="I805" s="242"/>
      <c r="J805" s="13"/>
      <c r="K805" s="15"/>
      <c r="L805" s="341"/>
      <c r="M805" s="13"/>
      <c r="N805" s="13"/>
      <c r="O805" s="13"/>
      <c r="P805" s="13"/>
      <c r="Q805" s="242"/>
      <c r="R805" s="13"/>
      <c r="S805" s="242"/>
      <c r="T805" s="13"/>
      <c r="U805" s="242"/>
      <c r="V805" s="242"/>
      <c r="W805" s="242"/>
      <c r="X805" s="242"/>
      <c r="Y805" s="242"/>
      <c r="Z805" s="242"/>
      <c r="AA805" s="242"/>
      <c r="AB805" s="242"/>
      <c r="AC805" s="242"/>
    </row>
    <row r="806">
      <c r="A806" s="242"/>
      <c r="B806" s="242"/>
      <c r="C806" s="242"/>
      <c r="D806" s="242"/>
      <c r="E806" s="242"/>
      <c r="F806" s="242"/>
      <c r="G806" s="242"/>
      <c r="H806" s="242"/>
      <c r="I806" s="242"/>
      <c r="J806" s="13"/>
      <c r="K806" s="15"/>
      <c r="L806" s="341"/>
      <c r="M806" s="13"/>
      <c r="N806" s="13"/>
      <c r="O806" s="13"/>
      <c r="P806" s="13"/>
      <c r="Q806" s="242"/>
      <c r="R806" s="13"/>
      <c r="S806" s="242"/>
      <c r="T806" s="13"/>
      <c r="U806" s="242"/>
      <c r="V806" s="242"/>
      <c r="W806" s="242"/>
      <c r="X806" s="242"/>
      <c r="Y806" s="242"/>
      <c r="Z806" s="242"/>
      <c r="AA806" s="242"/>
      <c r="AB806" s="242"/>
      <c r="AC806" s="242"/>
    </row>
    <row r="807">
      <c r="A807" s="242"/>
      <c r="B807" s="242"/>
      <c r="C807" s="242"/>
      <c r="D807" s="242"/>
      <c r="E807" s="242"/>
      <c r="F807" s="242"/>
      <c r="G807" s="242"/>
      <c r="H807" s="242"/>
      <c r="I807" s="242"/>
      <c r="J807" s="13"/>
      <c r="K807" s="15"/>
      <c r="L807" s="341"/>
      <c r="M807" s="13"/>
      <c r="N807" s="13"/>
      <c r="O807" s="13"/>
      <c r="P807" s="13"/>
      <c r="Q807" s="242"/>
      <c r="R807" s="13"/>
      <c r="S807" s="242"/>
      <c r="T807" s="13"/>
      <c r="U807" s="242"/>
      <c r="V807" s="242"/>
      <c r="W807" s="242"/>
      <c r="X807" s="242"/>
      <c r="Y807" s="242"/>
      <c r="Z807" s="242"/>
      <c r="AA807" s="242"/>
      <c r="AB807" s="242"/>
      <c r="AC807" s="242"/>
    </row>
    <row r="808">
      <c r="A808" s="242"/>
      <c r="B808" s="242"/>
      <c r="C808" s="242"/>
      <c r="D808" s="242"/>
      <c r="E808" s="242"/>
      <c r="F808" s="242"/>
      <c r="G808" s="242"/>
      <c r="H808" s="242"/>
      <c r="I808" s="242"/>
      <c r="J808" s="13"/>
      <c r="K808" s="15"/>
      <c r="L808" s="341"/>
      <c r="M808" s="13"/>
      <c r="N808" s="13"/>
      <c r="O808" s="13"/>
      <c r="P808" s="13"/>
      <c r="Q808" s="242"/>
      <c r="R808" s="13"/>
      <c r="S808" s="242"/>
      <c r="T808" s="13"/>
      <c r="U808" s="242"/>
      <c r="V808" s="242"/>
      <c r="W808" s="242"/>
      <c r="X808" s="242"/>
      <c r="Y808" s="242"/>
      <c r="Z808" s="242"/>
      <c r="AA808" s="242"/>
      <c r="AB808" s="242"/>
      <c r="AC808" s="242"/>
    </row>
    <row r="809">
      <c r="A809" s="242"/>
      <c r="B809" s="242"/>
      <c r="C809" s="242"/>
      <c r="D809" s="242"/>
      <c r="E809" s="242"/>
      <c r="F809" s="242"/>
      <c r="G809" s="242"/>
      <c r="H809" s="242"/>
      <c r="I809" s="242"/>
      <c r="J809" s="13"/>
      <c r="K809" s="15"/>
      <c r="L809" s="341"/>
      <c r="M809" s="13"/>
      <c r="N809" s="13"/>
      <c r="O809" s="13"/>
      <c r="P809" s="13"/>
      <c r="Q809" s="242"/>
      <c r="R809" s="13"/>
      <c r="S809" s="242"/>
      <c r="T809" s="13"/>
      <c r="U809" s="242"/>
      <c r="V809" s="242"/>
      <c r="W809" s="242"/>
      <c r="X809" s="242"/>
      <c r="Y809" s="242"/>
      <c r="Z809" s="242"/>
      <c r="AA809" s="242"/>
      <c r="AB809" s="242"/>
      <c r="AC809" s="242"/>
    </row>
    <row r="810">
      <c r="A810" s="242"/>
      <c r="B810" s="242"/>
      <c r="C810" s="242"/>
      <c r="D810" s="242"/>
      <c r="E810" s="242"/>
      <c r="F810" s="242"/>
      <c r="G810" s="242"/>
      <c r="H810" s="242"/>
      <c r="I810" s="242"/>
      <c r="J810" s="13"/>
      <c r="K810" s="15"/>
      <c r="L810" s="341"/>
      <c r="M810" s="13"/>
      <c r="N810" s="13"/>
      <c r="O810" s="13"/>
      <c r="P810" s="13"/>
      <c r="Q810" s="242"/>
      <c r="R810" s="13"/>
      <c r="S810" s="242"/>
      <c r="T810" s="13"/>
      <c r="U810" s="242"/>
      <c r="V810" s="242"/>
      <c r="W810" s="242"/>
      <c r="X810" s="242"/>
      <c r="Y810" s="242"/>
      <c r="Z810" s="242"/>
      <c r="AA810" s="242"/>
      <c r="AB810" s="242"/>
      <c r="AC810" s="242"/>
    </row>
    <row r="811">
      <c r="A811" s="242"/>
      <c r="B811" s="242"/>
      <c r="C811" s="242"/>
      <c r="D811" s="242"/>
      <c r="E811" s="242"/>
      <c r="F811" s="242"/>
      <c r="G811" s="242"/>
      <c r="H811" s="242"/>
      <c r="I811" s="242"/>
      <c r="J811" s="13"/>
      <c r="K811" s="15"/>
      <c r="L811" s="341"/>
      <c r="M811" s="13"/>
      <c r="N811" s="13"/>
      <c r="O811" s="13"/>
      <c r="P811" s="13"/>
      <c r="Q811" s="242"/>
      <c r="R811" s="13"/>
      <c r="S811" s="242"/>
      <c r="T811" s="13"/>
      <c r="U811" s="242"/>
      <c r="V811" s="242"/>
      <c r="W811" s="242"/>
      <c r="X811" s="242"/>
      <c r="Y811" s="242"/>
      <c r="Z811" s="242"/>
      <c r="AA811" s="242"/>
      <c r="AB811" s="242"/>
      <c r="AC811" s="242"/>
    </row>
    <row r="812">
      <c r="A812" s="242"/>
      <c r="B812" s="242"/>
      <c r="C812" s="242"/>
      <c r="D812" s="242"/>
      <c r="E812" s="242"/>
      <c r="F812" s="242"/>
      <c r="G812" s="242"/>
      <c r="H812" s="242"/>
      <c r="I812" s="242"/>
      <c r="J812" s="13"/>
      <c r="K812" s="15"/>
      <c r="L812" s="341"/>
      <c r="M812" s="13"/>
      <c r="N812" s="13"/>
      <c r="O812" s="13"/>
      <c r="P812" s="13"/>
      <c r="Q812" s="242"/>
      <c r="R812" s="13"/>
      <c r="S812" s="242"/>
      <c r="T812" s="13"/>
      <c r="U812" s="242"/>
      <c r="V812" s="242"/>
      <c r="W812" s="242"/>
      <c r="X812" s="242"/>
      <c r="Y812" s="242"/>
      <c r="Z812" s="242"/>
      <c r="AA812" s="242"/>
      <c r="AB812" s="242"/>
      <c r="AC812" s="242"/>
    </row>
    <row r="813">
      <c r="A813" s="242"/>
      <c r="B813" s="242"/>
      <c r="C813" s="242"/>
      <c r="D813" s="242"/>
      <c r="E813" s="242"/>
      <c r="F813" s="242"/>
      <c r="G813" s="242"/>
      <c r="H813" s="242"/>
      <c r="I813" s="242"/>
      <c r="J813" s="13"/>
      <c r="K813" s="15"/>
      <c r="L813" s="341"/>
      <c r="M813" s="13"/>
      <c r="N813" s="13"/>
      <c r="O813" s="13"/>
      <c r="P813" s="13"/>
      <c r="Q813" s="242"/>
      <c r="R813" s="13"/>
      <c r="S813" s="242"/>
      <c r="T813" s="13"/>
      <c r="U813" s="242"/>
      <c r="V813" s="242"/>
      <c r="W813" s="242"/>
      <c r="X813" s="242"/>
      <c r="Y813" s="242"/>
      <c r="Z813" s="242"/>
      <c r="AA813" s="242"/>
      <c r="AB813" s="242"/>
      <c r="AC813" s="242"/>
    </row>
    <row r="814">
      <c r="A814" s="242"/>
      <c r="B814" s="242"/>
      <c r="C814" s="242"/>
      <c r="D814" s="242"/>
      <c r="E814" s="242"/>
      <c r="F814" s="242"/>
      <c r="G814" s="242"/>
      <c r="H814" s="242"/>
      <c r="I814" s="242"/>
      <c r="J814" s="13"/>
      <c r="K814" s="15"/>
      <c r="L814" s="341"/>
      <c r="M814" s="13"/>
      <c r="N814" s="13"/>
      <c r="O814" s="13"/>
      <c r="P814" s="13"/>
      <c r="Q814" s="242"/>
      <c r="R814" s="13"/>
      <c r="S814" s="242"/>
      <c r="T814" s="13"/>
      <c r="U814" s="242"/>
      <c r="V814" s="242"/>
      <c r="W814" s="242"/>
      <c r="X814" s="242"/>
      <c r="Y814" s="242"/>
      <c r="Z814" s="242"/>
      <c r="AA814" s="242"/>
      <c r="AB814" s="242"/>
      <c r="AC814" s="242"/>
    </row>
    <row r="815">
      <c r="A815" s="242"/>
      <c r="B815" s="242"/>
      <c r="C815" s="242"/>
      <c r="D815" s="242"/>
      <c r="E815" s="242"/>
      <c r="F815" s="242"/>
      <c r="G815" s="242"/>
      <c r="H815" s="242"/>
      <c r="I815" s="242"/>
      <c r="J815" s="13"/>
      <c r="K815" s="15"/>
      <c r="L815" s="341"/>
      <c r="M815" s="13"/>
      <c r="N815" s="13"/>
      <c r="O815" s="13"/>
      <c r="P815" s="13"/>
      <c r="Q815" s="242"/>
      <c r="R815" s="13"/>
      <c r="S815" s="242"/>
      <c r="T815" s="13"/>
      <c r="U815" s="242"/>
      <c r="V815" s="242"/>
      <c r="W815" s="242"/>
      <c r="X815" s="242"/>
      <c r="Y815" s="242"/>
      <c r="Z815" s="242"/>
      <c r="AA815" s="242"/>
      <c r="AB815" s="242"/>
      <c r="AC815" s="242"/>
    </row>
    <row r="816">
      <c r="A816" s="242"/>
      <c r="B816" s="242"/>
      <c r="C816" s="242"/>
      <c r="D816" s="242"/>
      <c r="E816" s="242"/>
      <c r="F816" s="242"/>
      <c r="G816" s="242"/>
      <c r="H816" s="242"/>
      <c r="I816" s="242"/>
      <c r="J816" s="13"/>
      <c r="K816" s="15"/>
      <c r="L816" s="341"/>
      <c r="M816" s="13"/>
      <c r="N816" s="13"/>
      <c r="O816" s="13"/>
      <c r="P816" s="13"/>
      <c r="Q816" s="242"/>
      <c r="R816" s="13"/>
      <c r="S816" s="242"/>
      <c r="T816" s="13"/>
      <c r="U816" s="242"/>
      <c r="V816" s="242"/>
      <c r="W816" s="242"/>
      <c r="X816" s="242"/>
      <c r="Y816" s="242"/>
      <c r="Z816" s="242"/>
      <c r="AA816" s="242"/>
      <c r="AB816" s="242"/>
      <c r="AC816" s="242"/>
    </row>
    <row r="817">
      <c r="A817" s="242"/>
      <c r="B817" s="242"/>
      <c r="C817" s="242"/>
      <c r="D817" s="242"/>
      <c r="E817" s="242"/>
      <c r="F817" s="242"/>
      <c r="G817" s="242"/>
      <c r="H817" s="242"/>
      <c r="I817" s="242"/>
      <c r="J817" s="13"/>
      <c r="K817" s="15"/>
      <c r="L817" s="341"/>
      <c r="M817" s="13"/>
      <c r="N817" s="13"/>
      <c r="O817" s="13"/>
      <c r="P817" s="13"/>
      <c r="Q817" s="242"/>
      <c r="R817" s="13"/>
      <c r="S817" s="242"/>
      <c r="T817" s="13"/>
      <c r="U817" s="242"/>
      <c r="V817" s="242"/>
      <c r="W817" s="242"/>
      <c r="X817" s="242"/>
      <c r="Y817" s="242"/>
      <c r="Z817" s="242"/>
      <c r="AA817" s="242"/>
      <c r="AB817" s="242"/>
      <c r="AC817" s="242"/>
    </row>
    <row r="818">
      <c r="A818" s="242"/>
      <c r="B818" s="242"/>
      <c r="C818" s="242"/>
      <c r="D818" s="242"/>
      <c r="E818" s="242"/>
      <c r="F818" s="242"/>
      <c r="G818" s="242"/>
      <c r="H818" s="242"/>
      <c r="I818" s="242"/>
      <c r="J818" s="13"/>
      <c r="K818" s="15"/>
      <c r="L818" s="341"/>
      <c r="M818" s="13"/>
      <c r="N818" s="13"/>
      <c r="O818" s="13"/>
      <c r="P818" s="13"/>
      <c r="Q818" s="242"/>
      <c r="R818" s="13"/>
      <c r="S818" s="242"/>
      <c r="T818" s="13"/>
      <c r="U818" s="242"/>
      <c r="V818" s="242"/>
      <c r="W818" s="242"/>
      <c r="X818" s="242"/>
      <c r="Y818" s="242"/>
      <c r="Z818" s="242"/>
      <c r="AA818" s="242"/>
      <c r="AB818" s="242"/>
      <c r="AC818" s="242"/>
    </row>
    <row r="819">
      <c r="A819" s="242"/>
      <c r="B819" s="242"/>
      <c r="C819" s="242"/>
      <c r="D819" s="242"/>
      <c r="E819" s="242"/>
      <c r="F819" s="242"/>
      <c r="G819" s="242"/>
      <c r="H819" s="242"/>
      <c r="I819" s="242"/>
      <c r="J819" s="13"/>
      <c r="K819" s="15"/>
      <c r="L819" s="341"/>
      <c r="M819" s="13"/>
      <c r="N819" s="13"/>
      <c r="O819" s="13"/>
      <c r="P819" s="13"/>
      <c r="Q819" s="242"/>
      <c r="R819" s="13"/>
      <c r="S819" s="242"/>
      <c r="T819" s="13"/>
      <c r="U819" s="242"/>
      <c r="V819" s="242"/>
      <c r="W819" s="242"/>
      <c r="X819" s="242"/>
      <c r="Y819" s="242"/>
      <c r="Z819" s="242"/>
      <c r="AA819" s="242"/>
      <c r="AB819" s="242"/>
      <c r="AC819" s="242"/>
    </row>
    <row r="820">
      <c r="A820" s="242"/>
      <c r="B820" s="242"/>
      <c r="C820" s="242"/>
      <c r="D820" s="242"/>
      <c r="E820" s="242"/>
      <c r="F820" s="242"/>
      <c r="G820" s="242"/>
      <c r="H820" s="242"/>
      <c r="I820" s="242"/>
      <c r="J820" s="13"/>
      <c r="K820" s="15"/>
      <c r="L820" s="341"/>
      <c r="M820" s="13"/>
      <c r="N820" s="13"/>
      <c r="O820" s="13"/>
      <c r="P820" s="13"/>
      <c r="Q820" s="242"/>
      <c r="R820" s="13"/>
      <c r="S820" s="242"/>
      <c r="T820" s="13"/>
      <c r="U820" s="242"/>
      <c r="V820" s="242"/>
      <c r="W820" s="242"/>
      <c r="X820" s="242"/>
      <c r="Y820" s="242"/>
      <c r="Z820" s="242"/>
      <c r="AA820" s="242"/>
      <c r="AB820" s="242"/>
      <c r="AC820" s="242"/>
    </row>
    <row r="821">
      <c r="A821" s="242"/>
      <c r="B821" s="242"/>
      <c r="C821" s="242"/>
      <c r="D821" s="242"/>
      <c r="E821" s="242"/>
      <c r="F821" s="242"/>
      <c r="G821" s="242"/>
      <c r="H821" s="242"/>
      <c r="I821" s="242"/>
      <c r="J821" s="13"/>
      <c r="K821" s="15"/>
      <c r="L821" s="341"/>
      <c r="M821" s="13"/>
      <c r="N821" s="13"/>
      <c r="O821" s="13"/>
      <c r="P821" s="13"/>
      <c r="Q821" s="242"/>
      <c r="R821" s="13"/>
      <c r="S821" s="242"/>
      <c r="T821" s="13"/>
      <c r="U821" s="242"/>
      <c r="V821" s="242"/>
      <c r="W821" s="242"/>
      <c r="X821" s="242"/>
      <c r="Y821" s="242"/>
      <c r="Z821" s="242"/>
      <c r="AA821" s="242"/>
      <c r="AB821" s="242"/>
      <c r="AC821" s="242"/>
    </row>
    <row r="822">
      <c r="A822" s="242"/>
      <c r="B822" s="242"/>
      <c r="C822" s="242"/>
      <c r="D822" s="242"/>
      <c r="E822" s="242"/>
      <c r="F822" s="242"/>
      <c r="G822" s="242"/>
      <c r="H822" s="242"/>
      <c r="I822" s="242"/>
      <c r="J822" s="13"/>
      <c r="K822" s="15"/>
      <c r="L822" s="341"/>
      <c r="M822" s="13"/>
      <c r="N822" s="13"/>
      <c r="O822" s="13"/>
      <c r="P822" s="13"/>
      <c r="Q822" s="242"/>
      <c r="R822" s="13"/>
      <c r="S822" s="242"/>
      <c r="T822" s="13"/>
      <c r="U822" s="242"/>
      <c r="V822" s="242"/>
      <c r="W822" s="242"/>
      <c r="X822" s="242"/>
      <c r="Y822" s="242"/>
      <c r="Z822" s="242"/>
      <c r="AA822" s="242"/>
      <c r="AB822" s="242"/>
      <c r="AC822" s="242"/>
    </row>
    <row r="823">
      <c r="A823" s="242"/>
      <c r="B823" s="242"/>
      <c r="C823" s="242"/>
      <c r="D823" s="242"/>
      <c r="E823" s="242"/>
      <c r="F823" s="242"/>
      <c r="G823" s="242"/>
      <c r="H823" s="242"/>
      <c r="I823" s="242"/>
      <c r="J823" s="13"/>
      <c r="K823" s="15"/>
      <c r="L823" s="341"/>
      <c r="M823" s="13"/>
      <c r="N823" s="13"/>
      <c r="O823" s="13"/>
      <c r="P823" s="13"/>
      <c r="Q823" s="242"/>
      <c r="R823" s="13"/>
      <c r="S823" s="242"/>
      <c r="T823" s="13"/>
      <c r="U823" s="242"/>
      <c r="V823" s="242"/>
      <c r="W823" s="242"/>
      <c r="X823" s="242"/>
      <c r="Y823" s="242"/>
      <c r="Z823" s="242"/>
      <c r="AA823" s="242"/>
      <c r="AB823" s="242"/>
      <c r="AC823" s="242"/>
    </row>
    <row r="824">
      <c r="A824" s="242"/>
      <c r="B824" s="242"/>
      <c r="C824" s="242"/>
      <c r="D824" s="242"/>
      <c r="E824" s="242"/>
      <c r="F824" s="242"/>
      <c r="G824" s="242"/>
      <c r="H824" s="242"/>
      <c r="I824" s="242"/>
      <c r="J824" s="13"/>
      <c r="K824" s="15"/>
      <c r="L824" s="341"/>
      <c r="M824" s="13"/>
      <c r="N824" s="13"/>
      <c r="O824" s="13"/>
      <c r="P824" s="13"/>
      <c r="Q824" s="242"/>
      <c r="R824" s="13"/>
      <c r="S824" s="242"/>
      <c r="T824" s="13"/>
      <c r="U824" s="242"/>
      <c r="V824" s="242"/>
      <c r="W824" s="242"/>
      <c r="X824" s="242"/>
      <c r="Y824" s="242"/>
      <c r="Z824" s="242"/>
      <c r="AA824" s="242"/>
      <c r="AB824" s="242"/>
      <c r="AC824" s="242"/>
    </row>
    <row r="825">
      <c r="A825" s="242"/>
      <c r="B825" s="242"/>
      <c r="C825" s="242"/>
      <c r="D825" s="242"/>
      <c r="E825" s="242"/>
      <c r="F825" s="242"/>
      <c r="G825" s="242"/>
      <c r="H825" s="242"/>
      <c r="I825" s="242"/>
      <c r="J825" s="13"/>
      <c r="K825" s="15"/>
      <c r="L825" s="341"/>
      <c r="M825" s="13"/>
      <c r="N825" s="13"/>
      <c r="O825" s="13"/>
      <c r="P825" s="13"/>
      <c r="Q825" s="242"/>
      <c r="R825" s="13"/>
      <c r="S825" s="242"/>
      <c r="T825" s="13"/>
      <c r="U825" s="242"/>
      <c r="V825" s="242"/>
      <c r="W825" s="242"/>
      <c r="X825" s="242"/>
      <c r="Y825" s="242"/>
      <c r="Z825" s="242"/>
      <c r="AA825" s="242"/>
      <c r="AB825" s="242"/>
      <c r="AC825" s="242"/>
    </row>
    <row r="826">
      <c r="A826" s="242"/>
      <c r="B826" s="242"/>
      <c r="C826" s="242"/>
      <c r="D826" s="242"/>
      <c r="E826" s="242"/>
      <c r="F826" s="242"/>
      <c r="G826" s="242"/>
      <c r="H826" s="242"/>
      <c r="I826" s="242"/>
      <c r="J826" s="13"/>
      <c r="K826" s="15"/>
      <c r="L826" s="341"/>
      <c r="M826" s="13"/>
      <c r="N826" s="13"/>
      <c r="O826" s="13"/>
      <c r="P826" s="13"/>
      <c r="Q826" s="242"/>
      <c r="R826" s="13"/>
      <c r="S826" s="242"/>
      <c r="T826" s="13"/>
      <c r="U826" s="242"/>
      <c r="V826" s="242"/>
      <c r="W826" s="242"/>
      <c r="X826" s="242"/>
      <c r="Y826" s="242"/>
      <c r="Z826" s="242"/>
      <c r="AA826" s="242"/>
      <c r="AB826" s="242"/>
      <c r="AC826" s="242"/>
    </row>
    <row r="827">
      <c r="A827" s="242"/>
      <c r="B827" s="242"/>
      <c r="C827" s="242"/>
      <c r="D827" s="242"/>
      <c r="E827" s="242"/>
      <c r="F827" s="242"/>
      <c r="G827" s="242"/>
      <c r="H827" s="242"/>
      <c r="I827" s="242"/>
      <c r="J827" s="13"/>
      <c r="K827" s="15"/>
      <c r="L827" s="341"/>
      <c r="M827" s="13"/>
      <c r="N827" s="13"/>
      <c r="O827" s="13"/>
      <c r="P827" s="13"/>
      <c r="Q827" s="242"/>
      <c r="R827" s="13"/>
      <c r="S827" s="242"/>
      <c r="T827" s="13"/>
      <c r="U827" s="242"/>
      <c r="V827" s="242"/>
      <c r="W827" s="242"/>
      <c r="X827" s="242"/>
      <c r="Y827" s="242"/>
      <c r="Z827" s="242"/>
      <c r="AA827" s="242"/>
      <c r="AB827" s="242"/>
      <c r="AC827" s="242"/>
    </row>
    <row r="828">
      <c r="A828" s="242"/>
      <c r="B828" s="242"/>
      <c r="C828" s="242"/>
      <c r="D828" s="242"/>
      <c r="E828" s="242"/>
      <c r="F828" s="242"/>
      <c r="G828" s="242"/>
      <c r="H828" s="242"/>
      <c r="I828" s="242"/>
      <c r="J828" s="13"/>
      <c r="K828" s="15"/>
      <c r="L828" s="341"/>
      <c r="M828" s="13"/>
      <c r="N828" s="13"/>
      <c r="O828" s="13"/>
      <c r="P828" s="13"/>
      <c r="Q828" s="242"/>
      <c r="R828" s="13"/>
      <c r="S828" s="242"/>
      <c r="T828" s="13"/>
      <c r="U828" s="242"/>
      <c r="V828" s="242"/>
      <c r="W828" s="242"/>
      <c r="X828" s="242"/>
      <c r="Y828" s="242"/>
      <c r="Z828" s="242"/>
      <c r="AA828" s="242"/>
      <c r="AB828" s="242"/>
      <c r="AC828" s="242"/>
    </row>
    <row r="829">
      <c r="A829" s="242"/>
      <c r="B829" s="242"/>
      <c r="C829" s="242"/>
      <c r="D829" s="242"/>
      <c r="E829" s="242"/>
      <c r="F829" s="242"/>
      <c r="G829" s="242"/>
      <c r="H829" s="242"/>
      <c r="I829" s="242"/>
      <c r="J829" s="13"/>
      <c r="K829" s="15"/>
      <c r="L829" s="341"/>
      <c r="M829" s="13"/>
      <c r="N829" s="13"/>
      <c r="O829" s="13"/>
      <c r="P829" s="13"/>
      <c r="Q829" s="242"/>
      <c r="R829" s="13"/>
      <c r="S829" s="242"/>
      <c r="T829" s="13"/>
      <c r="U829" s="242"/>
      <c r="V829" s="242"/>
      <c r="W829" s="242"/>
      <c r="X829" s="242"/>
      <c r="Y829" s="242"/>
      <c r="Z829" s="242"/>
      <c r="AA829" s="242"/>
      <c r="AB829" s="242"/>
      <c r="AC829" s="242"/>
    </row>
    <row r="830">
      <c r="A830" s="242"/>
      <c r="B830" s="242"/>
      <c r="C830" s="242"/>
      <c r="D830" s="242"/>
      <c r="E830" s="242"/>
      <c r="F830" s="242"/>
      <c r="G830" s="242"/>
      <c r="H830" s="242"/>
      <c r="I830" s="242"/>
      <c r="J830" s="13"/>
      <c r="K830" s="15"/>
      <c r="L830" s="341"/>
      <c r="M830" s="13"/>
      <c r="N830" s="13"/>
      <c r="O830" s="13"/>
      <c r="P830" s="13"/>
      <c r="Q830" s="242"/>
      <c r="R830" s="13"/>
      <c r="S830" s="242"/>
      <c r="T830" s="13"/>
      <c r="U830" s="242"/>
      <c r="V830" s="242"/>
      <c r="W830" s="242"/>
      <c r="X830" s="242"/>
      <c r="Y830" s="242"/>
      <c r="Z830" s="242"/>
      <c r="AA830" s="242"/>
      <c r="AB830" s="242"/>
      <c r="AC830" s="242"/>
    </row>
    <row r="831">
      <c r="A831" s="242"/>
      <c r="B831" s="242"/>
      <c r="C831" s="242"/>
      <c r="D831" s="242"/>
      <c r="E831" s="242"/>
      <c r="F831" s="242"/>
      <c r="G831" s="242"/>
      <c r="H831" s="242"/>
      <c r="I831" s="242"/>
      <c r="J831" s="13"/>
      <c r="K831" s="15"/>
      <c r="L831" s="341"/>
      <c r="M831" s="13"/>
      <c r="N831" s="13"/>
      <c r="O831" s="13"/>
      <c r="P831" s="13"/>
      <c r="Q831" s="242"/>
      <c r="R831" s="13"/>
      <c r="S831" s="242"/>
      <c r="T831" s="13"/>
      <c r="U831" s="242"/>
      <c r="V831" s="242"/>
      <c r="W831" s="242"/>
      <c r="X831" s="242"/>
      <c r="Y831" s="242"/>
      <c r="Z831" s="242"/>
      <c r="AA831" s="242"/>
      <c r="AB831" s="242"/>
      <c r="AC831" s="242"/>
    </row>
    <row r="832">
      <c r="A832" s="242"/>
      <c r="B832" s="242"/>
      <c r="C832" s="242"/>
      <c r="D832" s="242"/>
      <c r="E832" s="242"/>
      <c r="F832" s="242"/>
      <c r="G832" s="242"/>
      <c r="H832" s="242"/>
      <c r="I832" s="242"/>
      <c r="J832" s="13"/>
      <c r="K832" s="15"/>
      <c r="L832" s="341"/>
      <c r="M832" s="13"/>
      <c r="N832" s="13"/>
      <c r="O832" s="13"/>
      <c r="P832" s="13"/>
      <c r="Q832" s="242"/>
      <c r="R832" s="13"/>
      <c r="S832" s="242"/>
      <c r="T832" s="13"/>
      <c r="U832" s="242"/>
      <c r="V832" s="242"/>
      <c r="W832" s="242"/>
      <c r="X832" s="242"/>
      <c r="Y832" s="242"/>
      <c r="Z832" s="242"/>
      <c r="AA832" s="242"/>
      <c r="AB832" s="242"/>
      <c r="AC832" s="242"/>
    </row>
    <row r="833">
      <c r="A833" s="242"/>
      <c r="B833" s="242"/>
      <c r="C833" s="242"/>
      <c r="D833" s="242"/>
      <c r="E833" s="242"/>
      <c r="F833" s="242"/>
      <c r="G833" s="242"/>
      <c r="H833" s="242"/>
      <c r="I833" s="242"/>
      <c r="J833" s="13"/>
      <c r="K833" s="15"/>
      <c r="L833" s="341"/>
      <c r="M833" s="13"/>
      <c r="N833" s="13"/>
      <c r="O833" s="13"/>
      <c r="P833" s="13"/>
      <c r="Q833" s="242"/>
      <c r="R833" s="13"/>
      <c r="S833" s="242"/>
      <c r="T833" s="13"/>
      <c r="U833" s="242"/>
      <c r="V833" s="242"/>
      <c r="W833" s="242"/>
      <c r="X833" s="242"/>
      <c r="Y833" s="242"/>
      <c r="Z833" s="242"/>
      <c r="AA833" s="242"/>
      <c r="AB833" s="242"/>
      <c r="AC833" s="242"/>
    </row>
    <row r="834">
      <c r="A834" s="242"/>
      <c r="B834" s="242"/>
      <c r="C834" s="242"/>
      <c r="D834" s="242"/>
      <c r="E834" s="242"/>
      <c r="F834" s="242"/>
      <c r="G834" s="242"/>
      <c r="H834" s="242"/>
      <c r="I834" s="242"/>
      <c r="J834" s="13"/>
      <c r="K834" s="15"/>
      <c r="L834" s="341"/>
      <c r="M834" s="13"/>
      <c r="N834" s="13"/>
      <c r="O834" s="13"/>
      <c r="P834" s="13"/>
      <c r="Q834" s="242"/>
      <c r="R834" s="13"/>
      <c r="S834" s="242"/>
      <c r="T834" s="13"/>
      <c r="U834" s="242"/>
      <c r="V834" s="242"/>
      <c r="W834" s="242"/>
      <c r="X834" s="242"/>
      <c r="Y834" s="242"/>
      <c r="Z834" s="242"/>
      <c r="AA834" s="242"/>
      <c r="AB834" s="242"/>
      <c r="AC834" s="242"/>
    </row>
    <row r="835">
      <c r="A835" s="242"/>
      <c r="B835" s="242"/>
      <c r="C835" s="242"/>
      <c r="D835" s="242"/>
      <c r="E835" s="242"/>
      <c r="F835" s="242"/>
      <c r="G835" s="242"/>
      <c r="H835" s="242"/>
      <c r="I835" s="242"/>
      <c r="J835" s="13"/>
      <c r="K835" s="15"/>
      <c r="L835" s="341"/>
      <c r="M835" s="13"/>
      <c r="N835" s="13"/>
      <c r="O835" s="13"/>
      <c r="P835" s="13"/>
      <c r="Q835" s="242"/>
      <c r="R835" s="13"/>
      <c r="S835" s="242"/>
      <c r="T835" s="13"/>
      <c r="U835" s="242"/>
      <c r="V835" s="242"/>
      <c r="W835" s="242"/>
      <c r="X835" s="242"/>
      <c r="Y835" s="242"/>
      <c r="Z835" s="242"/>
      <c r="AA835" s="242"/>
      <c r="AB835" s="242"/>
      <c r="AC835" s="242"/>
    </row>
    <row r="836">
      <c r="A836" s="242"/>
      <c r="B836" s="242"/>
      <c r="C836" s="242"/>
      <c r="D836" s="242"/>
      <c r="E836" s="242"/>
      <c r="F836" s="242"/>
      <c r="G836" s="242"/>
      <c r="H836" s="242"/>
      <c r="I836" s="242"/>
      <c r="J836" s="13"/>
      <c r="K836" s="15"/>
      <c r="L836" s="341"/>
      <c r="M836" s="13"/>
      <c r="N836" s="13"/>
      <c r="O836" s="13"/>
      <c r="P836" s="13"/>
      <c r="Q836" s="242"/>
      <c r="R836" s="13"/>
      <c r="S836" s="242"/>
      <c r="T836" s="13"/>
      <c r="U836" s="242"/>
      <c r="V836" s="242"/>
      <c r="W836" s="242"/>
      <c r="X836" s="242"/>
      <c r="Y836" s="242"/>
      <c r="Z836" s="242"/>
      <c r="AA836" s="242"/>
      <c r="AB836" s="242"/>
      <c r="AC836" s="242"/>
    </row>
    <row r="837">
      <c r="A837" s="242"/>
      <c r="B837" s="242"/>
      <c r="C837" s="242"/>
      <c r="D837" s="242"/>
      <c r="E837" s="242"/>
      <c r="F837" s="242"/>
      <c r="G837" s="242"/>
      <c r="H837" s="242"/>
      <c r="I837" s="242"/>
      <c r="J837" s="13"/>
      <c r="K837" s="15"/>
      <c r="L837" s="341"/>
      <c r="M837" s="13"/>
      <c r="N837" s="13"/>
      <c r="O837" s="13"/>
      <c r="P837" s="13"/>
      <c r="Q837" s="242"/>
      <c r="R837" s="13"/>
      <c r="S837" s="242"/>
      <c r="T837" s="13"/>
      <c r="U837" s="242"/>
      <c r="V837" s="242"/>
      <c r="W837" s="242"/>
      <c r="X837" s="242"/>
      <c r="Y837" s="242"/>
      <c r="Z837" s="242"/>
      <c r="AA837" s="242"/>
      <c r="AB837" s="242"/>
      <c r="AC837" s="242"/>
    </row>
    <row r="838">
      <c r="A838" s="242"/>
      <c r="B838" s="242"/>
      <c r="C838" s="242"/>
      <c r="D838" s="242"/>
      <c r="E838" s="242"/>
      <c r="F838" s="242"/>
      <c r="G838" s="242"/>
      <c r="H838" s="242"/>
      <c r="I838" s="242"/>
      <c r="J838" s="13"/>
      <c r="K838" s="15"/>
      <c r="L838" s="341"/>
      <c r="M838" s="13"/>
      <c r="N838" s="13"/>
      <c r="O838" s="13"/>
      <c r="P838" s="13"/>
      <c r="Q838" s="242"/>
      <c r="R838" s="13"/>
      <c r="S838" s="242"/>
      <c r="T838" s="13"/>
      <c r="U838" s="242"/>
      <c r="V838" s="242"/>
      <c r="W838" s="242"/>
      <c r="X838" s="242"/>
      <c r="Y838" s="242"/>
      <c r="Z838" s="242"/>
      <c r="AA838" s="242"/>
      <c r="AB838" s="242"/>
      <c r="AC838" s="242"/>
    </row>
    <row r="839">
      <c r="A839" s="242"/>
      <c r="B839" s="242"/>
      <c r="C839" s="242"/>
      <c r="D839" s="242"/>
      <c r="E839" s="242"/>
      <c r="F839" s="242"/>
      <c r="G839" s="242"/>
      <c r="H839" s="242"/>
      <c r="I839" s="242"/>
      <c r="J839" s="13"/>
      <c r="K839" s="15"/>
      <c r="L839" s="341"/>
      <c r="M839" s="13"/>
      <c r="N839" s="13"/>
      <c r="O839" s="13"/>
      <c r="P839" s="13"/>
      <c r="Q839" s="242"/>
      <c r="R839" s="13"/>
      <c r="S839" s="242"/>
      <c r="T839" s="13"/>
      <c r="U839" s="242"/>
      <c r="V839" s="242"/>
      <c r="W839" s="242"/>
      <c r="X839" s="242"/>
      <c r="Y839" s="242"/>
      <c r="Z839" s="242"/>
      <c r="AA839" s="242"/>
      <c r="AB839" s="242"/>
      <c r="AC839" s="242"/>
    </row>
    <row r="840">
      <c r="A840" s="242"/>
      <c r="B840" s="242"/>
      <c r="C840" s="242"/>
      <c r="D840" s="242"/>
      <c r="E840" s="242"/>
      <c r="F840" s="242"/>
      <c r="G840" s="242"/>
      <c r="H840" s="242"/>
      <c r="I840" s="242"/>
      <c r="J840" s="13"/>
      <c r="K840" s="15"/>
      <c r="L840" s="341"/>
      <c r="M840" s="13"/>
      <c r="N840" s="13"/>
      <c r="O840" s="13"/>
      <c r="P840" s="13"/>
      <c r="Q840" s="242"/>
      <c r="R840" s="13"/>
      <c r="S840" s="242"/>
      <c r="T840" s="13"/>
      <c r="U840" s="242"/>
      <c r="V840" s="242"/>
      <c r="W840" s="242"/>
      <c r="X840" s="242"/>
      <c r="Y840" s="242"/>
      <c r="Z840" s="242"/>
      <c r="AA840" s="242"/>
      <c r="AB840" s="242"/>
      <c r="AC840" s="242"/>
    </row>
    <row r="841">
      <c r="A841" s="242"/>
      <c r="B841" s="242"/>
      <c r="C841" s="242"/>
      <c r="D841" s="242"/>
      <c r="E841" s="242"/>
      <c r="F841" s="242"/>
      <c r="G841" s="242"/>
      <c r="H841" s="242"/>
      <c r="I841" s="242"/>
      <c r="J841" s="13"/>
      <c r="K841" s="15"/>
      <c r="L841" s="341"/>
      <c r="M841" s="13"/>
      <c r="N841" s="13"/>
      <c r="O841" s="13"/>
      <c r="P841" s="13"/>
      <c r="Q841" s="242"/>
      <c r="R841" s="13"/>
      <c r="S841" s="242"/>
      <c r="T841" s="13"/>
      <c r="U841" s="242"/>
      <c r="V841" s="242"/>
      <c r="W841" s="242"/>
      <c r="X841" s="242"/>
      <c r="Y841" s="242"/>
      <c r="Z841" s="242"/>
      <c r="AA841" s="242"/>
      <c r="AB841" s="242"/>
      <c r="AC841" s="242"/>
    </row>
    <row r="842">
      <c r="A842" s="242"/>
      <c r="B842" s="242"/>
      <c r="C842" s="242"/>
      <c r="D842" s="242"/>
      <c r="E842" s="242"/>
      <c r="F842" s="242"/>
      <c r="G842" s="242"/>
      <c r="H842" s="242"/>
      <c r="I842" s="242"/>
      <c r="J842" s="13"/>
      <c r="K842" s="15"/>
      <c r="L842" s="341"/>
      <c r="M842" s="13"/>
      <c r="N842" s="13"/>
      <c r="O842" s="13"/>
      <c r="P842" s="13"/>
      <c r="Q842" s="242"/>
      <c r="R842" s="13"/>
      <c r="S842" s="242"/>
      <c r="T842" s="13"/>
      <c r="U842" s="242"/>
      <c r="V842" s="242"/>
      <c r="W842" s="242"/>
      <c r="X842" s="242"/>
      <c r="Y842" s="242"/>
      <c r="Z842" s="242"/>
      <c r="AA842" s="242"/>
      <c r="AB842" s="242"/>
      <c r="AC842" s="242"/>
    </row>
    <row r="843">
      <c r="A843" s="242"/>
      <c r="B843" s="242"/>
      <c r="C843" s="242"/>
      <c r="D843" s="242"/>
      <c r="E843" s="242"/>
      <c r="F843" s="242"/>
      <c r="G843" s="242"/>
      <c r="H843" s="242"/>
      <c r="I843" s="242"/>
      <c r="J843" s="13"/>
      <c r="K843" s="15"/>
      <c r="L843" s="341"/>
      <c r="M843" s="13"/>
      <c r="N843" s="13"/>
      <c r="O843" s="13"/>
      <c r="P843" s="13"/>
      <c r="Q843" s="242"/>
      <c r="R843" s="13"/>
      <c r="S843" s="242"/>
      <c r="T843" s="13"/>
      <c r="U843" s="242"/>
      <c r="V843" s="242"/>
      <c r="W843" s="242"/>
      <c r="X843" s="242"/>
      <c r="Y843" s="242"/>
      <c r="Z843" s="242"/>
      <c r="AA843" s="242"/>
      <c r="AB843" s="242"/>
      <c r="AC843" s="242"/>
    </row>
    <row r="844">
      <c r="A844" s="242"/>
      <c r="B844" s="242"/>
      <c r="C844" s="242"/>
      <c r="D844" s="242"/>
      <c r="E844" s="242"/>
      <c r="F844" s="242"/>
      <c r="G844" s="242"/>
      <c r="H844" s="242"/>
      <c r="I844" s="242"/>
      <c r="J844" s="13"/>
      <c r="K844" s="15"/>
      <c r="L844" s="341"/>
      <c r="M844" s="13"/>
      <c r="N844" s="13"/>
      <c r="O844" s="13"/>
      <c r="P844" s="13"/>
      <c r="Q844" s="242"/>
      <c r="R844" s="13"/>
      <c r="S844" s="242"/>
      <c r="T844" s="13"/>
      <c r="U844" s="242"/>
      <c r="V844" s="242"/>
      <c r="W844" s="242"/>
      <c r="X844" s="242"/>
      <c r="Y844" s="242"/>
      <c r="Z844" s="242"/>
      <c r="AA844" s="242"/>
      <c r="AB844" s="242"/>
      <c r="AC844" s="242"/>
    </row>
    <row r="845">
      <c r="A845" s="242"/>
      <c r="B845" s="242"/>
      <c r="C845" s="242"/>
      <c r="D845" s="242"/>
      <c r="E845" s="242"/>
      <c r="F845" s="242"/>
      <c r="G845" s="242"/>
      <c r="H845" s="242"/>
      <c r="I845" s="242"/>
      <c r="J845" s="13"/>
      <c r="K845" s="15"/>
      <c r="L845" s="341"/>
      <c r="M845" s="13"/>
      <c r="N845" s="13"/>
      <c r="O845" s="13"/>
      <c r="P845" s="13"/>
      <c r="Q845" s="242"/>
      <c r="R845" s="13"/>
      <c r="S845" s="242"/>
      <c r="T845" s="13"/>
      <c r="U845" s="242"/>
      <c r="V845" s="242"/>
      <c r="W845" s="242"/>
      <c r="X845" s="242"/>
      <c r="Y845" s="242"/>
      <c r="Z845" s="242"/>
      <c r="AA845" s="242"/>
      <c r="AB845" s="242"/>
      <c r="AC845" s="242"/>
    </row>
    <row r="846">
      <c r="A846" s="242"/>
      <c r="B846" s="242"/>
      <c r="C846" s="242"/>
      <c r="D846" s="242"/>
      <c r="E846" s="242"/>
      <c r="F846" s="242"/>
      <c r="G846" s="242"/>
      <c r="H846" s="242"/>
      <c r="I846" s="242"/>
      <c r="J846" s="13"/>
      <c r="K846" s="15"/>
      <c r="L846" s="341"/>
      <c r="M846" s="13"/>
      <c r="N846" s="13"/>
      <c r="O846" s="13"/>
      <c r="P846" s="13"/>
      <c r="Q846" s="242"/>
      <c r="R846" s="13"/>
      <c r="S846" s="242"/>
      <c r="T846" s="13"/>
      <c r="U846" s="242"/>
      <c r="V846" s="242"/>
      <c r="W846" s="242"/>
      <c r="X846" s="242"/>
      <c r="Y846" s="242"/>
      <c r="Z846" s="242"/>
      <c r="AA846" s="242"/>
      <c r="AB846" s="242"/>
      <c r="AC846" s="242"/>
    </row>
    <row r="847">
      <c r="A847" s="242"/>
      <c r="B847" s="242"/>
      <c r="C847" s="242"/>
      <c r="D847" s="242"/>
      <c r="E847" s="242"/>
      <c r="F847" s="242"/>
      <c r="G847" s="242"/>
      <c r="H847" s="242"/>
      <c r="I847" s="242"/>
      <c r="J847" s="13"/>
      <c r="K847" s="15"/>
      <c r="L847" s="341"/>
      <c r="M847" s="13"/>
      <c r="N847" s="13"/>
      <c r="O847" s="13"/>
      <c r="P847" s="13"/>
      <c r="Q847" s="242"/>
      <c r="R847" s="13"/>
      <c r="S847" s="242"/>
      <c r="T847" s="13"/>
      <c r="U847" s="242"/>
      <c r="V847" s="242"/>
      <c r="W847" s="242"/>
      <c r="X847" s="242"/>
      <c r="Y847" s="242"/>
      <c r="Z847" s="242"/>
      <c r="AA847" s="242"/>
      <c r="AB847" s="242"/>
      <c r="AC847" s="242"/>
    </row>
    <row r="848">
      <c r="A848" s="242"/>
      <c r="B848" s="242"/>
      <c r="C848" s="242"/>
      <c r="D848" s="242"/>
      <c r="E848" s="242"/>
      <c r="F848" s="242"/>
      <c r="G848" s="242"/>
      <c r="H848" s="242"/>
      <c r="I848" s="242"/>
      <c r="J848" s="13"/>
      <c r="K848" s="15"/>
      <c r="L848" s="341"/>
      <c r="M848" s="13"/>
      <c r="N848" s="13"/>
      <c r="O848" s="13"/>
      <c r="P848" s="13"/>
      <c r="Q848" s="242"/>
      <c r="R848" s="13"/>
      <c r="S848" s="242"/>
      <c r="T848" s="13"/>
      <c r="U848" s="242"/>
      <c r="V848" s="242"/>
      <c r="W848" s="242"/>
      <c r="X848" s="242"/>
      <c r="Y848" s="242"/>
      <c r="Z848" s="242"/>
      <c r="AA848" s="242"/>
      <c r="AB848" s="242"/>
      <c r="AC848" s="242"/>
    </row>
    <row r="849">
      <c r="A849" s="242"/>
      <c r="B849" s="242"/>
      <c r="C849" s="242"/>
      <c r="D849" s="242"/>
      <c r="E849" s="242"/>
      <c r="F849" s="242"/>
      <c r="G849" s="242"/>
      <c r="H849" s="242"/>
      <c r="I849" s="242"/>
      <c r="J849" s="13"/>
      <c r="K849" s="15"/>
      <c r="L849" s="341"/>
      <c r="M849" s="13"/>
      <c r="N849" s="13"/>
      <c r="O849" s="13"/>
      <c r="P849" s="13"/>
      <c r="Q849" s="242"/>
      <c r="R849" s="13"/>
      <c r="S849" s="242"/>
      <c r="T849" s="13"/>
      <c r="U849" s="242"/>
      <c r="V849" s="242"/>
      <c r="W849" s="242"/>
      <c r="X849" s="242"/>
      <c r="Y849" s="242"/>
      <c r="Z849" s="242"/>
      <c r="AA849" s="242"/>
      <c r="AB849" s="242"/>
      <c r="AC849" s="242"/>
    </row>
    <row r="850">
      <c r="A850" s="242"/>
      <c r="B850" s="242"/>
      <c r="C850" s="242"/>
      <c r="D850" s="242"/>
      <c r="E850" s="242"/>
      <c r="F850" s="242"/>
      <c r="G850" s="242"/>
      <c r="H850" s="242"/>
      <c r="I850" s="242"/>
      <c r="J850" s="13"/>
      <c r="K850" s="15"/>
      <c r="L850" s="341"/>
      <c r="M850" s="13"/>
      <c r="N850" s="13"/>
      <c r="O850" s="13"/>
      <c r="P850" s="13"/>
      <c r="Q850" s="242"/>
      <c r="R850" s="13"/>
      <c r="S850" s="242"/>
      <c r="T850" s="13"/>
      <c r="U850" s="242"/>
      <c r="V850" s="242"/>
      <c r="W850" s="242"/>
      <c r="X850" s="242"/>
      <c r="Y850" s="242"/>
      <c r="Z850" s="242"/>
      <c r="AA850" s="242"/>
      <c r="AB850" s="242"/>
      <c r="AC850" s="242"/>
    </row>
    <row r="851">
      <c r="A851" s="242"/>
      <c r="B851" s="242"/>
      <c r="C851" s="242"/>
      <c r="D851" s="242"/>
      <c r="E851" s="242"/>
      <c r="F851" s="242"/>
      <c r="G851" s="242"/>
      <c r="H851" s="242"/>
      <c r="I851" s="242"/>
      <c r="J851" s="13"/>
      <c r="K851" s="15"/>
      <c r="L851" s="341"/>
      <c r="M851" s="13"/>
      <c r="N851" s="13"/>
      <c r="O851" s="13"/>
      <c r="P851" s="13"/>
      <c r="Q851" s="242"/>
      <c r="R851" s="13"/>
      <c r="S851" s="242"/>
      <c r="T851" s="13"/>
      <c r="U851" s="242"/>
      <c r="V851" s="242"/>
      <c r="W851" s="242"/>
      <c r="X851" s="242"/>
      <c r="Y851" s="242"/>
      <c r="Z851" s="242"/>
      <c r="AA851" s="242"/>
      <c r="AB851" s="242"/>
      <c r="AC851" s="242"/>
    </row>
    <row r="852">
      <c r="A852" s="242"/>
      <c r="B852" s="242"/>
      <c r="C852" s="242"/>
      <c r="D852" s="242"/>
      <c r="E852" s="242"/>
      <c r="F852" s="242"/>
      <c r="G852" s="242"/>
      <c r="H852" s="242"/>
      <c r="I852" s="242"/>
      <c r="J852" s="13"/>
      <c r="K852" s="15"/>
      <c r="L852" s="341"/>
      <c r="M852" s="13"/>
      <c r="N852" s="13"/>
      <c r="O852" s="13"/>
      <c r="P852" s="13"/>
      <c r="Q852" s="242"/>
      <c r="R852" s="13"/>
      <c r="S852" s="242"/>
      <c r="T852" s="13"/>
      <c r="U852" s="242"/>
      <c r="V852" s="242"/>
      <c r="W852" s="242"/>
      <c r="X852" s="242"/>
      <c r="Y852" s="242"/>
      <c r="Z852" s="242"/>
      <c r="AA852" s="242"/>
      <c r="AB852" s="242"/>
      <c r="AC852" s="242"/>
    </row>
    <row r="853">
      <c r="A853" s="242"/>
      <c r="B853" s="242"/>
      <c r="C853" s="242"/>
      <c r="D853" s="242"/>
      <c r="E853" s="242"/>
      <c r="F853" s="242"/>
      <c r="G853" s="242"/>
      <c r="H853" s="242"/>
      <c r="I853" s="242"/>
      <c r="J853" s="13"/>
      <c r="K853" s="15"/>
      <c r="L853" s="341"/>
      <c r="M853" s="13"/>
      <c r="N853" s="13"/>
      <c r="O853" s="13"/>
      <c r="P853" s="13"/>
      <c r="Q853" s="242"/>
      <c r="R853" s="13"/>
      <c r="S853" s="242"/>
      <c r="T853" s="13"/>
      <c r="U853" s="242"/>
      <c r="V853" s="242"/>
      <c r="W853" s="242"/>
      <c r="X853" s="242"/>
      <c r="Y853" s="242"/>
      <c r="Z853" s="242"/>
      <c r="AA853" s="242"/>
      <c r="AB853" s="242"/>
      <c r="AC853" s="242"/>
    </row>
    <row r="854">
      <c r="A854" s="242"/>
      <c r="B854" s="242"/>
      <c r="C854" s="242"/>
      <c r="D854" s="242"/>
      <c r="E854" s="242"/>
      <c r="F854" s="242"/>
      <c r="G854" s="242"/>
      <c r="H854" s="242"/>
      <c r="I854" s="242"/>
      <c r="J854" s="13"/>
      <c r="K854" s="15"/>
      <c r="L854" s="341"/>
      <c r="M854" s="13"/>
      <c r="N854" s="13"/>
      <c r="O854" s="13"/>
      <c r="P854" s="13"/>
      <c r="Q854" s="242"/>
      <c r="R854" s="13"/>
      <c r="S854" s="242"/>
      <c r="T854" s="13"/>
      <c r="U854" s="242"/>
      <c r="V854" s="242"/>
      <c r="W854" s="242"/>
      <c r="X854" s="242"/>
      <c r="Y854" s="242"/>
      <c r="Z854" s="242"/>
      <c r="AA854" s="242"/>
      <c r="AB854" s="242"/>
      <c r="AC854" s="242"/>
    </row>
    <row r="855">
      <c r="A855" s="242"/>
      <c r="B855" s="242"/>
      <c r="C855" s="242"/>
      <c r="D855" s="242"/>
      <c r="E855" s="242"/>
      <c r="F855" s="242"/>
      <c r="G855" s="242"/>
      <c r="H855" s="242"/>
      <c r="I855" s="242"/>
      <c r="J855" s="13"/>
      <c r="K855" s="15"/>
      <c r="L855" s="341"/>
      <c r="M855" s="13"/>
      <c r="N855" s="13"/>
      <c r="O855" s="13"/>
      <c r="P855" s="13"/>
      <c r="Q855" s="242"/>
      <c r="R855" s="13"/>
      <c r="S855" s="242"/>
      <c r="T855" s="13"/>
      <c r="U855" s="242"/>
      <c r="V855" s="242"/>
      <c r="W855" s="242"/>
      <c r="X855" s="242"/>
      <c r="Y855" s="242"/>
      <c r="Z855" s="242"/>
      <c r="AA855" s="242"/>
      <c r="AB855" s="242"/>
      <c r="AC855" s="242"/>
    </row>
    <row r="856">
      <c r="A856" s="242"/>
      <c r="B856" s="242"/>
      <c r="C856" s="242"/>
      <c r="D856" s="242"/>
      <c r="E856" s="242"/>
      <c r="F856" s="242"/>
      <c r="G856" s="242"/>
      <c r="H856" s="242"/>
      <c r="I856" s="242"/>
      <c r="J856" s="13"/>
      <c r="K856" s="15"/>
      <c r="L856" s="341"/>
      <c r="M856" s="13"/>
      <c r="N856" s="13"/>
      <c r="O856" s="13"/>
      <c r="P856" s="13"/>
      <c r="Q856" s="242"/>
      <c r="R856" s="13"/>
      <c r="S856" s="242"/>
      <c r="T856" s="13"/>
      <c r="U856" s="242"/>
      <c r="V856" s="242"/>
      <c r="W856" s="242"/>
      <c r="X856" s="242"/>
      <c r="Y856" s="242"/>
      <c r="Z856" s="242"/>
      <c r="AA856" s="242"/>
      <c r="AB856" s="242"/>
      <c r="AC856" s="242"/>
    </row>
    <row r="857">
      <c r="A857" s="242"/>
      <c r="B857" s="242"/>
      <c r="C857" s="242"/>
      <c r="D857" s="242"/>
      <c r="E857" s="242"/>
      <c r="F857" s="242"/>
      <c r="G857" s="242"/>
      <c r="H857" s="242"/>
      <c r="I857" s="242"/>
      <c r="J857" s="13"/>
      <c r="K857" s="15"/>
      <c r="L857" s="341"/>
      <c r="M857" s="13"/>
      <c r="N857" s="13"/>
      <c r="O857" s="13"/>
      <c r="P857" s="13"/>
      <c r="Q857" s="242"/>
      <c r="R857" s="13"/>
      <c r="S857" s="242"/>
      <c r="T857" s="13"/>
      <c r="U857" s="242"/>
      <c r="V857" s="242"/>
      <c r="W857" s="242"/>
      <c r="X857" s="242"/>
      <c r="Y857" s="242"/>
      <c r="Z857" s="242"/>
      <c r="AA857" s="242"/>
      <c r="AB857" s="242"/>
      <c r="AC857" s="242"/>
    </row>
    <row r="858">
      <c r="A858" s="242"/>
      <c r="B858" s="242"/>
      <c r="C858" s="242"/>
      <c r="D858" s="242"/>
      <c r="E858" s="242"/>
      <c r="F858" s="242"/>
      <c r="G858" s="242"/>
      <c r="H858" s="242"/>
      <c r="I858" s="242"/>
      <c r="J858" s="13"/>
      <c r="K858" s="15"/>
      <c r="L858" s="341"/>
      <c r="M858" s="13"/>
      <c r="N858" s="13"/>
      <c r="O858" s="13"/>
      <c r="P858" s="13"/>
      <c r="Q858" s="242"/>
      <c r="R858" s="13"/>
      <c r="S858" s="242"/>
      <c r="T858" s="13"/>
      <c r="U858" s="242"/>
      <c r="V858" s="242"/>
      <c r="W858" s="242"/>
      <c r="X858" s="242"/>
      <c r="Y858" s="242"/>
      <c r="Z858" s="242"/>
      <c r="AA858" s="242"/>
      <c r="AB858" s="242"/>
      <c r="AC858" s="242"/>
    </row>
    <row r="859">
      <c r="A859" s="242"/>
      <c r="B859" s="242"/>
      <c r="C859" s="242"/>
      <c r="D859" s="242"/>
      <c r="E859" s="242"/>
      <c r="F859" s="242"/>
      <c r="G859" s="242"/>
      <c r="H859" s="242"/>
      <c r="I859" s="242"/>
      <c r="J859" s="13"/>
      <c r="K859" s="15"/>
      <c r="L859" s="341"/>
      <c r="M859" s="13"/>
      <c r="N859" s="13"/>
      <c r="O859" s="13"/>
      <c r="P859" s="13"/>
      <c r="Q859" s="242"/>
      <c r="R859" s="13"/>
      <c r="S859" s="242"/>
      <c r="T859" s="13"/>
      <c r="U859" s="242"/>
      <c r="V859" s="242"/>
      <c r="W859" s="242"/>
      <c r="X859" s="242"/>
      <c r="Y859" s="242"/>
      <c r="Z859" s="242"/>
      <c r="AA859" s="242"/>
      <c r="AB859" s="242"/>
      <c r="AC859" s="242"/>
    </row>
    <row r="860">
      <c r="A860" s="242"/>
      <c r="B860" s="242"/>
      <c r="C860" s="242"/>
      <c r="D860" s="242"/>
      <c r="E860" s="242"/>
      <c r="F860" s="242"/>
      <c r="G860" s="242"/>
      <c r="H860" s="242"/>
      <c r="I860" s="242"/>
      <c r="J860" s="13"/>
      <c r="K860" s="15"/>
      <c r="L860" s="341"/>
      <c r="M860" s="13"/>
      <c r="N860" s="13"/>
      <c r="O860" s="13"/>
      <c r="P860" s="13"/>
      <c r="Q860" s="242"/>
      <c r="R860" s="13"/>
      <c r="S860" s="242"/>
      <c r="T860" s="13"/>
      <c r="U860" s="242"/>
      <c r="V860" s="242"/>
      <c r="W860" s="242"/>
      <c r="X860" s="242"/>
      <c r="Y860" s="242"/>
      <c r="Z860" s="242"/>
      <c r="AA860" s="242"/>
      <c r="AB860" s="242"/>
      <c r="AC860" s="242"/>
    </row>
    <row r="861">
      <c r="A861" s="242"/>
      <c r="B861" s="242"/>
      <c r="C861" s="242"/>
      <c r="D861" s="242"/>
      <c r="E861" s="242"/>
      <c r="F861" s="242"/>
      <c r="G861" s="242"/>
      <c r="H861" s="242"/>
      <c r="I861" s="242"/>
      <c r="J861" s="13"/>
      <c r="K861" s="15"/>
      <c r="L861" s="341"/>
      <c r="M861" s="13"/>
      <c r="N861" s="13"/>
      <c r="O861" s="13"/>
      <c r="P861" s="13"/>
      <c r="Q861" s="242"/>
      <c r="R861" s="13"/>
      <c r="S861" s="242"/>
      <c r="T861" s="13"/>
      <c r="U861" s="242"/>
      <c r="V861" s="242"/>
      <c r="W861" s="242"/>
      <c r="X861" s="242"/>
      <c r="Y861" s="242"/>
      <c r="Z861" s="242"/>
      <c r="AA861" s="242"/>
      <c r="AB861" s="242"/>
      <c r="AC861" s="242"/>
    </row>
    <row r="862">
      <c r="A862" s="242"/>
      <c r="B862" s="242"/>
      <c r="C862" s="242"/>
      <c r="D862" s="242"/>
      <c r="E862" s="242"/>
      <c r="F862" s="242"/>
      <c r="G862" s="242"/>
      <c r="H862" s="242"/>
      <c r="I862" s="242"/>
      <c r="J862" s="13"/>
      <c r="K862" s="15"/>
      <c r="L862" s="341"/>
      <c r="M862" s="13"/>
      <c r="N862" s="13"/>
      <c r="O862" s="13"/>
      <c r="P862" s="13"/>
      <c r="Q862" s="242"/>
      <c r="R862" s="13"/>
      <c r="S862" s="242"/>
      <c r="T862" s="13"/>
      <c r="U862" s="242"/>
      <c r="V862" s="242"/>
      <c r="W862" s="242"/>
      <c r="X862" s="242"/>
      <c r="Y862" s="242"/>
      <c r="Z862" s="242"/>
      <c r="AA862" s="242"/>
      <c r="AB862" s="242"/>
      <c r="AC862" s="242"/>
    </row>
    <row r="863">
      <c r="A863" s="242"/>
      <c r="B863" s="242"/>
      <c r="C863" s="242"/>
      <c r="D863" s="242"/>
      <c r="E863" s="242"/>
      <c r="F863" s="242"/>
      <c r="G863" s="242"/>
      <c r="H863" s="242"/>
      <c r="I863" s="242"/>
      <c r="J863" s="13"/>
      <c r="K863" s="15"/>
      <c r="L863" s="341"/>
      <c r="M863" s="13"/>
      <c r="N863" s="13"/>
      <c r="O863" s="13"/>
      <c r="P863" s="13"/>
      <c r="Q863" s="242"/>
      <c r="R863" s="13"/>
      <c r="S863" s="242"/>
      <c r="T863" s="13"/>
      <c r="U863" s="242"/>
      <c r="V863" s="242"/>
      <c r="W863" s="242"/>
      <c r="X863" s="242"/>
      <c r="Y863" s="242"/>
      <c r="Z863" s="242"/>
      <c r="AA863" s="242"/>
      <c r="AB863" s="242"/>
      <c r="AC863" s="242"/>
    </row>
    <row r="864">
      <c r="A864" s="242"/>
      <c r="B864" s="242"/>
      <c r="C864" s="242"/>
      <c r="D864" s="242"/>
      <c r="E864" s="242"/>
      <c r="F864" s="242"/>
      <c r="G864" s="242"/>
      <c r="H864" s="242"/>
      <c r="I864" s="242"/>
      <c r="J864" s="13"/>
      <c r="K864" s="15"/>
      <c r="L864" s="341"/>
      <c r="M864" s="13"/>
      <c r="N864" s="13"/>
      <c r="O864" s="13"/>
      <c r="P864" s="13"/>
      <c r="Q864" s="242"/>
      <c r="R864" s="13"/>
      <c r="S864" s="242"/>
      <c r="T864" s="13"/>
      <c r="U864" s="242"/>
      <c r="V864" s="242"/>
      <c r="W864" s="242"/>
      <c r="X864" s="242"/>
      <c r="Y864" s="242"/>
      <c r="Z864" s="242"/>
      <c r="AA864" s="242"/>
      <c r="AB864" s="242"/>
      <c r="AC864" s="242"/>
    </row>
    <row r="865">
      <c r="A865" s="242"/>
      <c r="B865" s="242"/>
      <c r="C865" s="242"/>
      <c r="D865" s="242"/>
      <c r="E865" s="242"/>
      <c r="F865" s="242"/>
      <c r="G865" s="242"/>
      <c r="H865" s="242"/>
      <c r="I865" s="242"/>
      <c r="J865" s="13"/>
      <c r="K865" s="15"/>
      <c r="L865" s="341"/>
      <c r="M865" s="13"/>
      <c r="N865" s="13"/>
      <c r="O865" s="13"/>
      <c r="P865" s="13"/>
      <c r="Q865" s="242"/>
      <c r="R865" s="13"/>
      <c r="S865" s="242"/>
      <c r="T865" s="13"/>
      <c r="U865" s="242"/>
      <c r="V865" s="242"/>
      <c r="W865" s="242"/>
      <c r="X865" s="242"/>
      <c r="Y865" s="242"/>
      <c r="Z865" s="242"/>
      <c r="AA865" s="242"/>
      <c r="AB865" s="242"/>
      <c r="AC865" s="242"/>
    </row>
    <row r="866">
      <c r="A866" s="242"/>
      <c r="B866" s="242"/>
      <c r="C866" s="242"/>
      <c r="D866" s="242"/>
      <c r="E866" s="242"/>
      <c r="F866" s="242"/>
      <c r="G866" s="242"/>
      <c r="H866" s="242"/>
      <c r="I866" s="242"/>
      <c r="J866" s="13"/>
      <c r="K866" s="15"/>
      <c r="L866" s="341"/>
      <c r="M866" s="13"/>
      <c r="N866" s="13"/>
      <c r="O866" s="13"/>
      <c r="P866" s="13"/>
      <c r="Q866" s="242"/>
      <c r="R866" s="13"/>
      <c r="S866" s="242"/>
      <c r="T866" s="13"/>
      <c r="U866" s="242"/>
      <c r="V866" s="242"/>
      <c r="W866" s="242"/>
      <c r="X866" s="242"/>
      <c r="Y866" s="242"/>
      <c r="Z866" s="242"/>
      <c r="AA866" s="242"/>
      <c r="AB866" s="242"/>
      <c r="AC866" s="242"/>
    </row>
    <row r="867">
      <c r="A867" s="242"/>
      <c r="B867" s="242"/>
      <c r="C867" s="242"/>
      <c r="D867" s="242"/>
      <c r="E867" s="242"/>
      <c r="F867" s="242"/>
      <c r="G867" s="242"/>
      <c r="H867" s="242"/>
      <c r="I867" s="242"/>
      <c r="J867" s="13"/>
      <c r="K867" s="15"/>
      <c r="L867" s="341"/>
      <c r="M867" s="13"/>
      <c r="N867" s="13"/>
      <c r="O867" s="13"/>
      <c r="P867" s="13"/>
      <c r="Q867" s="242"/>
      <c r="R867" s="13"/>
      <c r="S867" s="242"/>
      <c r="T867" s="13"/>
      <c r="U867" s="242"/>
      <c r="V867" s="242"/>
      <c r="W867" s="242"/>
      <c r="X867" s="242"/>
      <c r="Y867" s="242"/>
      <c r="Z867" s="242"/>
      <c r="AA867" s="242"/>
      <c r="AB867" s="242"/>
      <c r="AC867" s="242"/>
    </row>
    <row r="868">
      <c r="A868" s="242"/>
      <c r="B868" s="242"/>
      <c r="C868" s="242"/>
      <c r="D868" s="242"/>
      <c r="E868" s="242"/>
      <c r="F868" s="242"/>
      <c r="G868" s="242"/>
      <c r="H868" s="242"/>
      <c r="I868" s="242"/>
      <c r="J868" s="13"/>
      <c r="K868" s="15"/>
      <c r="L868" s="341"/>
      <c r="M868" s="13"/>
      <c r="N868" s="13"/>
      <c r="O868" s="13"/>
      <c r="P868" s="13"/>
      <c r="Q868" s="242"/>
      <c r="R868" s="13"/>
      <c r="S868" s="242"/>
      <c r="T868" s="13"/>
      <c r="U868" s="242"/>
      <c r="V868" s="242"/>
      <c r="W868" s="242"/>
      <c r="X868" s="242"/>
      <c r="Y868" s="242"/>
      <c r="Z868" s="242"/>
      <c r="AA868" s="242"/>
      <c r="AB868" s="242"/>
      <c r="AC868" s="242"/>
    </row>
    <row r="869">
      <c r="A869" s="242"/>
      <c r="B869" s="242"/>
      <c r="C869" s="242"/>
      <c r="D869" s="242"/>
      <c r="E869" s="242"/>
      <c r="F869" s="242"/>
      <c r="G869" s="242"/>
      <c r="H869" s="242"/>
      <c r="I869" s="242"/>
      <c r="J869" s="13"/>
      <c r="K869" s="15"/>
      <c r="L869" s="341"/>
      <c r="M869" s="13"/>
      <c r="N869" s="13"/>
      <c r="O869" s="13"/>
      <c r="P869" s="13"/>
      <c r="Q869" s="242"/>
      <c r="R869" s="13"/>
      <c r="S869" s="242"/>
      <c r="T869" s="13"/>
      <c r="U869" s="242"/>
      <c r="V869" s="242"/>
      <c r="W869" s="242"/>
      <c r="X869" s="242"/>
      <c r="Y869" s="242"/>
      <c r="Z869" s="242"/>
      <c r="AA869" s="242"/>
      <c r="AB869" s="242"/>
      <c r="AC869" s="242"/>
    </row>
    <row r="870">
      <c r="A870" s="242"/>
      <c r="B870" s="242"/>
      <c r="C870" s="242"/>
      <c r="D870" s="242"/>
      <c r="E870" s="242"/>
      <c r="F870" s="242"/>
      <c r="G870" s="242"/>
      <c r="H870" s="242"/>
      <c r="I870" s="242"/>
      <c r="J870" s="13"/>
      <c r="K870" s="15"/>
      <c r="L870" s="341"/>
      <c r="M870" s="13"/>
      <c r="N870" s="13"/>
      <c r="O870" s="13"/>
      <c r="P870" s="13"/>
      <c r="Q870" s="242"/>
      <c r="R870" s="13"/>
      <c r="S870" s="242"/>
      <c r="T870" s="13"/>
      <c r="U870" s="242"/>
      <c r="V870" s="242"/>
      <c r="W870" s="242"/>
      <c r="X870" s="242"/>
      <c r="Y870" s="242"/>
      <c r="Z870" s="242"/>
      <c r="AA870" s="242"/>
      <c r="AB870" s="242"/>
      <c r="AC870" s="242"/>
    </row>
    <row r="871">
      <c r="A871" s="242"/>
      <c r="B871" s="242"/>
      <c r="C871" s="242"/>
      <c r="D871" s="242"/>
      <c r="E871" s="242"/>
      <c r="F871" s="242"/>
      <c r="G871" s="242"/>
      <c r="H871" s="242"/>
      <c r="I871" s="242"/>
      <c r="J871" s="13"/>
      <c r="K871" s="15"/>
      <c r="L871" s="341"/>
      <c r="M871" s="13"/>
      <c r="N871" s="13"/>
      <c r="O871" s="13"/>
      <c r="P871" s="13"/>
      <c r="Q871" s="242"/>
      <c r="R871" s="13"/>
      <c r="S871" s="242"/>
      <c r="T871" s="13"/>
      <c r="U871" s="242"/>
      <c r="V871" s="242"/>
      <c r="W871" s="242"/>
      <c r="X871" s="242"/>
      <c r="Y871" s="242"/>
      <c r="Z871" s="242"/>
      <c r="AA871" s="242"/>
      <c r="AB871" s="242"/>
      <c r="AC871" s="242"/>
    </row>
    <row r="872">
      <c r="A872" s="242"/>
      <c r="B872" s="242"/>
      <c r="C872" s="242"/>
      <c r="D872" s="242"/>
      <c r="E872" s="242"/>
      <c r="F872" s="242"/>
      <c r="G872" s="242"/>
      <c r="H872" s="242"/>
      <c r="I872" s="242"/>
      <c r="J872" s="13"/>
      <c r="K872" s="15"/>
      <c r="L872" s="341"/>
      <c r="M872" s="13"/>
      <c r="N872" s="13"/>
      <c r="O872" s="13"/>
      <c r="P872" s="13"/>
      <c r="Q872" s="242"/>
      <c r="R872" s="13"/>
      <c r="S872" s="242"/>
      <c r="T872" s="13"/>
      <c r="U872" s="242"/>
      <c r="V872" s="242"/>
      <c r="W872" s="242"/>
      <c r="X872" s="242"/>
      <c r="Y872" s="242"/>
      <c r="Z872" s="242"/>
      <c r="AA872" s="242"/>
      <c r="AB872" s="242"/>
      <c r="AC872" s="242"/>
    </row>
    <row r="873">
      <c r="A873" s="242"/>
      <c r="B873" s="242"/>
      <c r="C873" s="242"/>
      <c r="D873" s="242"/>
      <c r="E873" s="242"/>
      <c r="F873" s="242"/>
      <c r="G873" s="242"/>
      <c r="H873" s="242"/>
      <c r="I873" s="242"/>
      <c r="J873" s="13"/>
      <c r="K873" s="15"/>
      <c r="L873" s="341"/>
      <c r="M873" s="13"/>
      <c r="N873" s="13"/>
      <c r="O873" s="13"/>
      <c r="P873" s="13"/>
      <c r="Q873" s="242"/>
      <c r="R873" s="13"/>
      <c r="S873" s="242"/>
      <c r="T873" s="13"/>
      <c r="U873" s="242"/>
      <c r="V873" s="242"/>
      <c r="W873" s="242"/>
      <c r="X873" s="242"/>
      <c r="Y873" s="242"/>
      <c r="Z873" s="242"/>
      <c r="AA873" s="242"/>
      <c r="AB873" s="242"/>
      <c r="AC873" s="242"/>
    </row>
    <row r="874">
      <c r="A874" s="242"/>
      <c r="B874" s="242"/>
      <c r="C874" s="242"/>
      <c r="D874" s="242"/>
      <c r="E874" s="242"/>
      <c r="F874" s="242"/>
      <c r="G874" s="242"/>
      <c r="H874" s="242"/>
      <c r="I874" s="242"/>
      <c r="J874" s="13"/>
      <c r="K874" s="15"/>
      <c r="L874" s="341"/>
      <c r="M874" s="13"/>
      <c r="N874" s="13"/>
      <c r="O874" s="13"/>
      <c r="P874" s="13"/>
      <c r="Q874" s="242"/>
      <c r="R874" s="13"/>
      <c r="S874" s="242"/>
      <c r="T874" s="13"/>
      <c r="U874" s="242"/>
      <c r="V874" s="242"/>
      <c r="W874" s="242"/>
      <c r="X874" s="242"/>
      <c r="Y874" s="242"/>
      <c r="Z874" s="242"/>
      <c r="AA874" s="242"/>
      <c r="AB874" s="242"/>
      <c r="AC874" s="242"/>
    </row>
    <row r="875">
      <c r="A875" s="242"/>
      <c r="B875" s="242"/>
      <c r="C875" s="242"/>
      <c r="D875" s="242"/>
      <c r="E875" s="242"/>
      <c r="F875" s="242"/>
      <c r="G875" s="242"/>
      <c r="H875" s="242"/>
      <c r="I875" s="242"/>
      <c r="J875" s="13"/>
      <c r="K875" s="15"/>
      <c r="L875" s="341"/>
      <c r="M875" s="13"/>
      <c r="N875" s="13"/>
      <c r="O875" s="13"/>
      <c r="P875" s="13"/>
      <c r="Q875" s="242"/>
      <c r="R875" s="13"/>
      <c r="S875" s="242"/>
      <c r="T875" s="13"/>
      <c r="U875" s="242"/>
      <c r="V875" s="242"/>
      <c r="W875" s="242"/>
      <c r="X875" s="242"/>
      <c r="Y875" s="242"/>
      <c r="Z875" s="242"/>
      <c r="AA875" s="242"/>
      <c r="AB875" s="242"/>
      <c r="AC875" s="242"/>
    </row>
    <row r="876">
      <c r="A876" s="242"/>
      <c r="B876" s="242"/>
      <c r="C876" s="242"/>
      <c r="D876" s="242"/>
      <c r="E876" s="242"/>
      <c r="F876" s="242"/>
      <c r="G876" s="242"/>
      <c r="H876" s="242"/>
      <c r="I876" s="242"/>
      <c r="J876" s="13"/>
      <c r="K876" s="15"/>
      <c r="L876" s="341"/>
      <c r="M876" s="13"/>
      <c r="N876" s="13"/>
      <c r="O876" s="13"/>
      <c r="P876" s="13"/>
      <c r="Q876" s="242"/>
      <c r="R876" s="13"/>
      <c r="S876" s="242"/>
      <c r="T876" s="13"/>
      <c r="U876" s="242"/>
      <c r="V876" s="242"/>
      <c r="W876" s="242"/>
      <c r="X876" s="242"/>
      <c r="Y876" s="242"/>
      <c r="Z876" s="242"/>
      <c r="AA876" s="242"/>
      <c r="AB876" s="242"/>
      <c r="AC876" s="242"/>
    </row>
    <row r="877">
      <c r="A877" s="242"/>
      <c r="B877" s="242"/>
      <c r="C877" s="242"/>
      <c r="D877" s="242"/>
      <c r="E877" s="242"/>
      <c r="F877" s="242"/>
      <c r="G877" s="242"/>
      <c r="H877" s="242"/>
      <c r="I877" s="242"/>
      <c r="J877" s="13"/>
      <c r="K877" s="15"/>
      <c r="L877" s="341"/>
      <c r="M877" s="13"/>
      <c r="N877" s="13"/>
      <c r="O877" s="13"/>
      <c r="P877" s="13"/>
      <c r="Q877" s="242"/>
      <c r="R877" s="13"/>
      <c r="S877" s="242"/>
      <c r="T877" s="13"/>
      <c r="U877" s="242"/>
      <c r="V877" s="242"/>
      <c r="W877" s="242"/>
      <c r="X877" s="242"/>
      <c r="Y877" s="242"/>
      <c r="Z877" s="242"/>
      <c r="AA877" s="242"/>
      <c r="AB877" s="242"/>
      <c r="AC877" s="242"/>
    </row>
    <row r="878">
      <c r="A878" s="242"/>
      <c r="B878" s="242"/>
      <c r="C878" s="242"/>
      <c r="D878" s="242"/>
      <c r="E878" s="242"/>
      <c r="F878" s="242"/>
      <c r="G878" s="242"/>
      <c r="H878" s="242"/>
      <c r="I878" s="242"/>
      <c r="J878" s="13"/>
      <c r="K878" s="15"/>
      <c r="L878" s="341"/>
      <c r="M878" s="13"/>
      <c r="N878" s="13"/>
      <c r="O878" s="13"/>
      <c r="P878" s="13"/>
      <c r="Q878" s="242"/>
      <c r="R878" s="13"/>
      <c r="S878" s="242"/>
      <c r="T878" s="13"/>
      <c r="U878" s="242"/>
      <c r="V878" s="242"/>
      <c r="W878" s="242"/>
      <c r="X878" s="242"/>
      <c r="Y878" s="242"/>
      <c r="Z878" s="242"/>
      <c r="AA878" s="242"/>
      <c r="AB878" s="242"/>
      <c r="AC878" s="242"/>
    </row>
    <row r="879">
      <c r="A879" s="242"/>
      <c r="B879" s="242"/>
      <c r="C879" s="242"/>
      <c r="D879" s="242"/>
      <c r="E879" s="242"/>
      <c r="F879" s="242"/>
      <c r="G879" s="242"/>
      <c r="H879" s="242"/>
      <c r="I879" s="242"/>
      <c r="J879" s="13"/>
      <c r="K879" s="15"/>
      <c r="L879" s="341"/>
      <c r="M879" s="13"/>
      <c r="N879" s="13"/>
      <c r="O879" s="13"/>
      <c r="P879" s="13"/>
      <c r="Q879" s="242"/>
      <c r="R879" s="13"/>
      <c r="S879" s="242"/>
      <c r="T879" s="13"/>
      <c r="U879" s="242"/>
      <c r="V879" s="242"/>
      <c r="W879" s="242"/>
      <c r="X879" s="242"/>
      <c r="Y879" s="242"/>
      <c r="Z879" s="242"/>
      <c r="AA879" s="242"/>
      <c r="AB879" s="242"/>
      <c r="AC879" s="242"/>
    </row>
    <row r="880">
      <c r="A880" s="242"/>
      <c r="B880" s="242"/>
      <c r="C880" s="242"/>
      <c r="D880" s="242"/>
      <c r="E880" s="242"/>
      <c r="F880" s="242"/>
      <c r="G880" s="242"/>
      <c r="H880" s="242"/>
      <c r="I880" s="242"/>
      <c r="J880" s="13"/>
      <c r="K880" s="15"/>
      <c r="L880" s="341"/>
      <c r="M880" s="13"/>
      <c r="N880" s="13"/>
      <c r="O880" s="13"/>
      <c r="P880" s="13"/>
      <c r="Q880" s="242"/>
      <c r="R880" s="13"/>
      <c r="S880" s="242"/>
      <c r="T880" s="13"/>
      <c r="U880" s="242"/>
      <c r="V880" s="242"/>
      <c r="W880" s="242"/>
      <c r="X880" s="242"/>
      <c r="Y880" s="242"/>
      <c r="Z880" s="242"/>
      <c r="AA880" s="242"/>
      <c r="AB880" s="242"/>
      <c r="AC880" s="242"/>
    </row>
    <row r="881">
      <c r="A881" s="242"/>
      <c r="B881" s="242"/>
      <c r="C881" s="242"/>
      <c r="D881" s="242"/>
      <c r="E881" s="242"/>
      <c r="F881" s="242"/>
      <c r="G881" s="242"/>
      <c r="H881" s="242"/>
      <c r="I881" s="242"/>
      <c r="J881" s="13"/>
      <c r="K881" s="15"/>
      <c r="L881" s="341"/>
      <c r="M881" s="13"/>
      <c r="N881" s="13"/>
      <c r="O881" s="13"/>
      <c r="P881" s="13"/>
      <c r="Q881" s="242"/>
      <c r="R881" s="13"/>
      <c r="S881" s="242"/>
      <c r="T881" s="13"/>
      <c r="U881" s="242"/>
      <c r="V881" s="242"/>
      <c r="W881" s="242"/>
      <c r="X881" s="242"/>
      <c r="Y881" s="242"/>
      <c r="Z881" s="242"/>
      <c r="AA881" s="242"/>
      <c r="AB881" s="242"/>
      <c r="AC881" s="242"/>
    </row>
    <row r="882">
      <c r="A882" s="242"/>
      <c r="B882" s="242"/>
      <c r="C882" s="242"/>
      <c r="D882" s="242"/>
      <c r="E882" s="242"/>
      <c r="F882" s="242"/>
      <c r="G882" s="242"/>
      <c r="H882" s="242"/>
      <c r="I882" s="242"/>
      <c r="J882" s="13"/>
      <c r="K882" s="15"/>
      <c r="L882" s="341"/>
      <c r="M882" s="13"/>
      <c r="N882" s="13"/>
      <c r="O882" s="13"/>
      <c r="P882" s="13"/>
      <c r="Q882" s="242"/>
      <c r="R882" s="13"/>
      <c r="S882" s="242"/>
      <c r="T882" s="13"/>
      <c r="U882" s="242"/>
      <c r="V882" s="242"/>
      <c r="W882" s="242"/>
      <c r="X882" s="242"/>
      <c r="Y882" s="242"/>
      <c r="Z882" s="242"/>
      <c r="AA882" s="242"/>
      <c r="AB882" s="242"/>
      <c r="AC882" s="242"/>
    </row>
    <row r="883">
      <c r="A883" s="242"/>
      <c r="B883" s="242"/>
      <c r="C883" s="242"/>
      <c r="D883" s="242"/>
      <c r="E883" s="242"/>
      <c r="F883" s="242"/>
      <c r="G883" s="242"/>
      <c r="H883" s="242"/>
      <c r="I883" s="242"/>
      <c r="J883" s="13"/>
      <c r="K883" s="15"/>
      <c r="L883" s="341"/>
      <c r="M883" s="13"/>
      <c r="N883" s="13"/>
      <c r="O883" s="13"/>
      <c r="P883" s="13"/>
      <c r="Q883" s="242"/>
      <c r="R883" s="13"/>
      <c r="S883" s="242"/>
      <c r="T883" s="13"/>
      <c r="U883" s="242"/>
      <c r="V883" s="242"/>
      <c r="W883" s="242"/>
      <c r="X883" s="242"/>
      <c r="Y883" s="242"/>
      <c r="Z883" s="242"/>
      <c r="AA883" s="242"/>
      <c r="AB883" s="242"/>
      <c r="AC883" s="242"/>
    </row>
    <row r="884">
      <c r="A884" s="242"/>
      <c r="B884" s="242"/>
      <c r="C884" s="242"/>
      <c r="D884" s="242"/>
      <c r="E884" s="242"/>
      <c r="F884" s="242"/>
      <c r="G884" s="242"/>
      <c r="H884" s="242"/>
      <c r="I884" s="242"/>
      <c r="J884" s="13"/>
      <c r="K884" s="15"/>
      <c r="L884" s="341"/>
      <c r="M884" s="13"/>
      <c r="N884" s="13"/>
      <c r="O884" s="13"/>
      <c r="P884" s="13"/>
      <c r="Q884" s="242"/>
      <c r="R884" s="13"/>
      <c r="S884" s="242"/>
      <c r="T884" s="13"/>
      <c r="U884" s="242"/>
      <c r="V884" s="242"/>
      <c r="W884" s="242"/>
      <c r="X884" s="242"/>
      <c r="Y884" s="242"/>
      <c r="Z884" s="242"/>
      <c r="AA884" s="242"/>
      <c r="AB884" s="242"/>
      <c r="AC884" s="242"/>
    </row>
    <row r="885">
      <c r="A885" s="242"/>
      <c r="B885" s="242"/>
      <c r="C885" s="242"/>
      <c r="D885" s="242"/>
      <c r="E885" s="242"/>
      <c r="F885" s="242"/>
      <c r="G885" s="242"/>
      <c r="H885" s="242"/>
      <c r="I885" s="242"/>
      <c r="J885" s="13"/>
      <c r="K885" s="15"/>
      <c r="L885" s="341"/>
      <c r="M885" s="13"/>
      <c r="N885" s="13"/>
      <c r="O885" s="13"/>
      <c r="P885" s="13"/>
      <c r="Q885" s="242"/>
      <c r="R885" s="13"/>
      <c r="S885" s="242"/>
      <c r="T885" s="13"/>
      <c r="U885" s="242"/>
      <c r="V885" s="242"/>
      <c r="W885" s="242"/>
      <c r="X885" s="242"/>
      <c r="Y885" s="242"/>
      <c r="Z885" s="242"/>
      <c r="AA885" s="242"/>
      <c r="AB885" s="242"/>
      <c r="AC885" s="242"/>
    </row>
    <row r="886">
      <c r="A886" s="242"/>
      <c r="B886" s="242"/>
      <c r="C886" s="242"/>
      <c r="D886" s="242"/>
      <c r="E886" s="242"/>
      <c r="F886" s="242"/>
      <c r="G886" s="242"/>
      <c r="H886" s="242"/>
      <c r="I886" s="242"/>
      <c r="J886" s="13"/>
      <c r="K886" s="15"/>
      <c r="L886" s="341"/>
      <c r="M886" s="13"/>
      <c r="N886" s="13"/>
      <c r="O886" s="13"/>
      <c r="P886" s="13"/>
      <c r="Q886" s="242"/>
      <c r="R886" s="13"/>
      <c r="S886" s="242"/>
      <c r="T886" s="13"/>
      <c r="U886" s="242"/>
      <c r="V886" s="242"/>
      <c r="W886" s="242"/>
      <c r="X886" s="242"/>
      <c r="Y886" s="242"/>
      <c r="Z886" s="242"/>
      <c r="AA886" s="242"/>
      <c r="AB886" s="242"/>
      <c r="AC886" s="242"/>
    </row>
    <row r="887">
      <c r="A887" s="242"/>
      <c r="B887" s="242"/>
      <c r="C887" s="242"/>
      <c r="D887" s="242"/>
      <c r="E887" s="242"/>
      <c r="F887" s="242"/>
      <c r="G887" s="242"/>
      <c r="H887" s="242"/>
      <c r="I887" s="242"/>
      <c r="J887" s="13"/>
      <c r="K887" s="15"/>
      <c r="L887" s="341"/>
      <c r="M887" s="13"/>
      <c r="N887" s="13"/>
      <c r="O887" s="13"/>
      <c r="P887" s="13"/>
      <c r="Q887" s="242"/>
      <c r="R887" s="13"/>
      <c r="S887" s="242"/>
      <c r="T887" s="13"/>
      <c r="U887" s="242"/>
      <c r="V887" s="242"/>
      <c r="W887" s="242"/>
      <c r="X887" s="242"/>
      <c r="Y887" s="242"/>
      <c r="Z887" s="242"/>
      <c r="AA887" s="242"/>
      <c r="AB887" s="242"/>
      <c r="AC887" s="242"/>
    </row>
    <row r="888">
      <c r="A888" s="242"/>
      <c r="B888" s="242"/>
      <c r="C888" s="242"/>
      <c r="D888" s="242"/>
      <c r="E888" s="242"/>
      <c r="F888" s="242"/>
      <c r="G888" s="242"/>
      <c r="H888" s="242"/>
      <c r="I888" s="242"/>
      <c r="J888" s="13"/>
      <c r="K888" s="15"/>
      <c r="L888" s="341"/>
      <c r="M888" s="13"/>
      <c r="N888" s="13"/>
      <c r="O888" s="13"/>
      <c r="P888" s="13"/>
      <c r="Q888" s="242"/>
      <c r="R888" s="13"/>
      <c r="S888" s="242"/>
      <c r="T888" s="13"/>
      <c r="U888" s="242"/>
      <c r="V888" s="242"/>
      <c r="W888" s="242"/>
      <c r="X888" s="242"/>
      <c r="Y888" s="242"/>
      <c r="Z888" s="242"/>
      <c r="AA888" s="242"/>
      <c r="AB888" s="242"/>
      <c r="AC888" s="242"/>
    </row>
    <row r="889">
      <c r="A889" s="242"/>
      <c r="B889" s="242"/>
      <c r="C889" s="242"/>
      <c r="D889" s="242"/>
      <c r="E889" s="242"/>
      <c r="F889" s="242"/>
      <c r="G889" s="242"/>
      <c r="H889" s="242"/>
      <c r="I889" s="242"/>
      <c r="J889" s="13"/>
      <c r="K889" s="15"/>
      <c r="L889" s="341"/>
      <c r="M889" s="13"/>
      <c r="N889" s="13"/>
      <c r="O889" s="13"/>
      <c r="P889" s="13"/>
      <c r="Q889" s="242"/>
      <c r="R889" s="13"/>
      <c r="S889" s="242"/>
      <c r="T889" s="13"/>
      <c r="U889" s="242"/>
      <c r="V889" s="242"/>
      <c r="W889" s="242"/>
      <c r="X889" s="242"/>
      <c r="Y889" s="242"/>
      <c r="Z889" s="242"/>
      <c r="AA889" s="242"/>
      <c r="AB889" s="242"/>
      <c r="AC889" s="242"/>
    </row>
    <row r="890">
      <c r="A890" s="242"/>
      <c r="B890" s="242"/>
      <c r="C890" s="242"/>
      <c r="D890" s="242"/>
      <c r="E890" s="242"/>
      <c r="F890" s="242"/>
      <c r="G890" s="242"/>
      <c r="H890" s="242"/>
      <c r="I890" s="242"/>
      <c r="J890" s="13"/>
      <c r="K890" s="15"/>
      <c r="L890" s="341"/>
      <c r="M890" s="13"/>
      <c r="N890" s="13"/>
      <c r="O890" s="13"/>
      <c r="P890" s="13"/>
      <c r="Q890" s="242"/>
      <c r="R890" s="13"/>
      <c r="S890" s="242"/>
      <c r="T890" s="13"/>
      <c r="U890" s="242"/>
      <c r="V890" s="242"/>
      <c r="W890" s="242"/>
      <c r="X890" s="242"/>
      <c r="Y890" s="242"/>
      <c r="Z890" s="242"/>
      <c r="AA890" s="242"/>
      <c r="AB890" s="242"/>
      <c r="AC890" s="242"/>
    </row>
    <row r="891">
      <c r="A891" s="242"/>
      <c r="B891" s="242"/>
      <c r="C891" s="242"/>
      <c r="D891" s="242"/>
      <c r="E891" s="242"/>
      <c r="F891" s="242"/>
      <c r="G891" s="242"/>
      <c r="H891" s="242"/>
      <c r="I891" s="242"/>
      <c r="J891" s="13"/>
      <c r="K891" s="15"/>
      <c r="L891" s="341"/>
      <c r="M891" s="13"/>
      <c r="N891" s="13"/>
      <c r="O891" s="13"/>
      <c r="P891" s="13"/>
      <c r="Q891" s="242"/>
      <c r="R891" s="13"/>
      <c r="S891" s="242"/>
      <c r="T891" s="13"/>
      <c r="U891" s="242"/>
      <c r="V891" s="242"/>
      <c r="W891" s="242"/>
      <c r="X891" s="242"/>
      <c r="Y891" s="242"/>
      <c r="Z891" s="242"/>
      <c r="AA891" s="242"/>
      <c r="AB891" s="242"/>
      <c r="AC891" s="242"/>
    </row>
    <row r="892">
      <c r="A892" s="242"/>
      <c r="B892" s="242"/>
      <c r="C892" s="242"/>
      <c r="D892" s="242"/>
      <c r="E892" s="242"/>
      <c r="F892" s="242"/>
      <c r="G892" s="242"/>
      <c r="H892" s="242"/>
      <c r="I892" s="242"/>
      <c r="J892" s="13"/>
      <c r="K892" s="15"/>
      <c r="L892" s="341"/>
      <c r="M892" s="13"/>
      <c r="N892" s="13"/>
      <c r="O892" s="13"/>
      <c r="P892" s="13"/>
      <c r="Q892" s="242"/>
      <c r="R892" s="13"/>
      <c r="S892" s="242"/>
      <c r="T892" s="13"/>
      <c r="U892" s="242"/>
      <c r="V892" s="242"/>
      <c r="W892" s="242"/>
      <c r="X892" s="242"/>
      <c r="Y892" s="242"/>
      <c r="Z892" s="242"/>
      <c r="AA892" s="242"/>
      <c r="AB892" s="242"/>
      <c r="AC892" s="242"/>
    </row>
    <row r="893">
      <c r="A893" s="242"/>
      <c r="B893" s="242"/>
      <c r="C893" s="242"/>
      <c r="D893" s="242"/>
      <c r="E893" s="242"/>
      <c r="F893" s="242"/>
      <c r="G893" s="242"/>
      <c r="H893" s="242"/>
      <c r="I893" s="242"/>
      <c r="J893" s="13"/>
      <c r="K893" s="15"/>
      <c r="L893" s="341"/>
      <c r="M893" s="13"/>
      <c r="N893" s="13"/>
      <c r="O893" s="13"/>
      <c r="P893" s="13"/>
      <c r="Q893" s="242"/>
      <c r="R893" s="13"/>
      <c r="S893" s="242"/>
      <c r="T893" s="13"/>
      <c r="U893" s="242"/>
      <c r="V893" s="242"/>
      <c r="W893" s="242"/>
      <c r="X893" s="242"/>
      <c r="Y893" s="242"/>
      <c r="Z893" s="242"/>
      <c r="AA893" s="242"/>
      <c r="AB893" s="242"/>
      <c r="AC893" s="242"/>
    </row>
    <row r="894">
      <c r="A894" s="242"/>
      <c r="B894" s="242"/>
      <c r="C894" s="242"/>
      <c r="D894" s="242"/>
      <c r="E894" s="242"/>
      <c r="F894" s="242"/>
      <c r="G894" s="242"/>
      <c r="H894" s="242"/>
      <c r="I894" s="242"/>
      <c r="J894" s="13"/>
      <c r="K894" s="15"/>
      <c r="L894" s="341"/>
      <c r="M894" s="13"/>
      <c r="N894" s="13"/>
      <c r="O894" s="13"/>
      <c r="P894" s="13"/>
      <c r="Q894" s="242"/>
      <c r="R894" s="13"/>
      <c r="S894" s="242"/>
      <c r="T894" s="13"/>
      <c r="U894" s="242"/>
      <c r="V894" s="242"/>
      <c r="W894" s="242"/>
      <c r="X894" s="242"/>
      <c r="Y894" s="242"/>
      <c r="Z894" s="242"/>
      <c r="AA894" s="242"/>
      <c r="AB894" s="242"/>
      <c r="AC894" s="242"/>
    </row>
    <row r="895">
      <c r="A895" s="242"/>
      <c r="B895" s="242"/>
      <c r="C895" s="242"/>
      <c r="D895" s="242"/>
      <c r="E895" s="242"/>
      <c r="F895" s="242"/>
      <c r="G895" s="242"/>
      <c r="H895" s="242"/>
      <c r="I895" s="242"/>
      <c r="J895" s="13"/>
      <c r="K895" s="15"/>
      <c r="L895" s="341"/>
      <c r="M895" s="13"/>
      <c r="N895" s="13"/>
      <c r="O895" s="13"/>
      <c r="P895" s="13"/>
      <c r="Q895" s="242"/>
      <c r="R895" s="13"/>
      <c r="S895" s="242"/>
      <c r="T895" s="13"/>
      <c r="U895" s="242"/>
      <c r="V895" s="242"/>
      <c r="W895" s="242"/>
      <c r="X895" s="242"/>
      <c r="Y895" s="242"/>
      <c r="Z895" s="242"/>
      <c r="AA895" s="242"/>
      <c r="AB895" s="242"/>
      <c r="AC895" s="242"/>
    </row>
    <row r="896">
      <c r="A896" s="242"/>
      <c r="B896" s="242"/>
      <c r="C896" s="242"/>
      <c r="D896" s="242"/>
      <c r="E896" s="242"/>
      <c r="F896" s="242"/>
      <c r="G896" s="242"/>
      <c r="H896" s="242"/>
      <c r="I896" s="242"/>
      <c r="J896" s="13"/>
      <c r="K896" s="15"/>
      <c r="L896" s="341"/>
      <c r="M896" s="13"/>
      <c r="N896" s="13"/>
      <c r="O896" s="13"/>
      <c r="P896" s="13"/>
      <c r="Q896" s="242"/>
      <c r="R896" s="13"/>
      <c r="S896" s="242"/>
      <c r="T896" s="13"/>
      <c r="U896" s="242"/>
      <c r="V896" s="242"/>
      <c r="W896" s="242"/>
      <c r="X896" s="242"/>
      <c r="Y896" s="242"/>
      <c r="Z896" s="242"/>
      <c r="AA896" s="242"/>
      <c r="AB896" s="242"/>
      <c r="AC896" s="242"/>
    </row>
    <row r="897">
      <c r="A897" s="242"/>
      <c r="B897" s="242"/>
      <c r="C897" s="242"/>
      <c r="D897" s="242"/>
      <c r="E897" s="242"/>
      <c r="F897" s="242"/>
      <c r="G897" s="242"/>
      <c r="H897" s="242"/>
      <c r="I897" s="242"/>
      <c r="J897" s="13"/>
      <c r="K897" s="15"/>
      <c r="L897" s="341"/>
      <c r="M897" s="13"/>
      <c r="N897" s="13"/>
      <c r="O897" s="13"/>
      <c r="P897" s="13"/>
      <c r="Q897" s="242"/>
      <c r="R897" s="13"/>
      <c r="S897" s="242"/>
      <c r="T897" s="13"/>
      <c r="U897" s="242"/>
      <c r="V897" s="242"/>
      <c r="W897" s="242"/>
      <c r="X897" s="242"/>
      <c r="Y897" s="242"/>
      <c r="Z897" s="242"/>
      <c r="AA897" s="242"/>
      <c r="AB897" s="242"/>
      <c r="AC897" s="242"/>
    </row>
    <row r="898">
      <c r="A898" s="242"/>
      <c r="B898" s="242"/>
      <c r="C898" s="242"/>
      <c r="D898" s="242"/>
      <c r="E898" s="242"/>
      <c r="F898" s="242"/>
      <c r="G898" s="242"/>
      <c r="H898" s="242"/>
      <c r="I898" s="242"/>
      <c r="J898" s="13"/>
      <c r="K898" s="15"/>
      <c r="L898" s="341"/>
      <c r="M898" s="13"/>
      <c r="N898" s="13"/>
      <c r="O898" s="13"/>
      <c r="P898" s="13"/>
      <c r="Q898" s="242"/>
      <c r="R898" s="13"/>
      <c r="S898" s="242"/>
      <c r="T898" s="13"/>
      <c r="U898" s="242"/>
      <c r="V898" s="242"/>
      <c r="W898" s="242"/>
      <c r="X898" s="242"/>
      <c r="Y898" s="242"/>
      <c r="Z898" s="242"/>
      <c r="AA898" s="242"/>
      <c r="AB898" s="242"/>
      <c r="AC898" s="242"/>
    </row>
    <row r="899">
      <c r="A899" s="242"/>
      <c r="B899" s="242"/>
      <c r="C899" s="242"/>
      <c r="D899" s="242"/>
      <c r="E899" s="242"/>
      <c r="F899" s="242"/>
      <c r="G899" s="242"/>
      <c r="H899" s="242"/>
      <c r="I899" s="242"/>
      <c r="J899" s="13"/>
      <c r="K899" s="15"/>
      <c r="L899" s="341"/>
      <c r="M899" s="13"/>
      <c r="N899" s="13"/>
      <c r="O899" s="13"/>
      <c r="P899" s="13"/>
      <c r="Q899" s="242"/>
      <c r="R899" s="13"/>
      <c r="S899" s="242"/>
      <c r="T899" s="13"/>
      <c r="U899" s="242"/>
      <c r="V899" s="242"/>
      <c r="W899" s="242"/>
      <c r="X899" s="242"/>
      <c r="Y899" s="242"/>
      <c r="Z899" s="242"/>
      <c r="AA899" s="242"/>
      <c r="AB899" s="242"/>
      <c r="AC899" s="242"/>
    </row>
    <row r="900">
      <c r="A900" s="242"/>
      <c r="B900" s="242"/>
      <c r="C900" s="242"/>
      <c r="D900" s="242"/>
      <c r="E900" s="242"/>
      <c r="F900" s="242"/>
      <c r="G900" s="242"/>
      <c r="H900" s="242"/>
      <c r="I900" s="242"/>
      <c r="J900" s="13"/>
      <c r="K900" s="15"/>
      <c r="L900" s="341"/>
      <c r="M900" s="13"/>
      <c r="N900" s="13"/>
      <c r="O900" s="13"/>
      <c r="P900" s="13"/>
      <c r="Q900" s="242"/>
      <c r="R900" s="13"/>
      <c r="S900" s="242"/>
      <c r="T900" s="13"/>
      <c r="U900" s="242"/>
      <c r="V900" s="242"/>
      <c r="W900" s="242"/>
      <c r="X900" s="242"/>
      <c r="Y900" s="242"/>
      <c r="Z900" s="242"/>
      <c r="AA900" s="242"/>
      <c r="AB900" s="242"/>
      <c r="AC900" s="242"/>
    </row>
    <row r="901">
      <c r="A901" s="242"/>
      <c r="B901" s="242"/>
      <c r="C901" s="242"/>
      <c r="D901" s="242"/>
      <c r="E901" s="242"/>
      <c r="F901" s="242"/>
      <c r="G901" s="242"/>
      <c r="H901" s="242"/>
      <c r="I901" s="242"/>
      <c r="J901" s="13"/>
      <c r="K901" s="15"/>
      <c r="L901" s="341"/>
      <c r="M901" s="13"/>
      <c r="N901" s="13"/>
      <c r="O901" s="13"/>
      <c r="P901" s="13"/>
      <c r="Q901" s="242"/>
      <c r="R901" s="13"/>
      <c r="S901" s="242"/>
      <c r="T901" s="13"/>
      <c r="U901" s="242"/>
      <c r="V901" s="242"/>
      <c r="W901" s="242"/>
      <c r="X901" s="242"/>
      <c r="Y901" s="242"/>
      <c r="Z901" s="242"/>
      <c r="AA901" s="242"/>
      <c r="AB901" s="242"/>
      <c r="AC901" s="242"/>
    </row>
    <row r="902">
      <c r="A902" s="242"/>
      <c r="B902" s="242"/>
      <c r="C902" s="242"/>
      <c r="D902" s="242"/>
      <c r="E902" s="242"/>
      <c r="F902" s="242"/>
      <c r="G902" s="242"/>
      <c r="H902" s="242"/>
      <c r="I902" s="242"/>
      <c r="J902" s="13"/>
      <c r="K902" s="15"/>
      <c r="L902" s="341"/>
      <c r="M902" s="13"/>
      <c r="N902" s="13"/>
      <c r="O902" s="13"/>
      <c r="P902" s="13"/>
      <c r="Q902" s="242"/>
      <c r="R902" s="13"/>
      <c r="S902" s="242"/>
      <c r="T902" s="13"/>
      <c r="U902" s="242"/>
      <c r="V902" s="242"/>
      <c r="W902" s="242"/>
      <c r="X902" s="242"/>
      <c r="Y902" s="242"/>
      <c r="Z902" s="242"/>
      <c r="AA902" s="242"/>
      <c r="AB902" s="242"/>
      <c r="AC902" s="242"/>
    </row>
    <row r="903">
      <c r="A903" s="242"/>
      <c r="B903" s="242"/>
      <c r="C903" s="242"/>
      <c r="D903" s="242"/>
      <c r="E903" s="242"/>
      <c r="F903" s="242"/>
      <c r="G903" s="242"/>
      <c r="H903" s="242"/>
      <c r="I903" s="242"/>
      <c r="J903" s="13"/>
      <c r="K903" s="15"/>
      <c r="L903" s="341"/>
      <c r="M903" s="13"/>
      <c r="N903" s="13"/>
      <c r="O903" s="13"/>
      <c r="P903" s="13"/>
      <c r="Q903" s="242"/>
      <c r="R903" s="13"/>
      <c r="S903" s="242"/>
      <c r="T903" s="13"/>
      <c r="U903" s="242"/>
      <c r="V903" s="242"/>
      <c r="W903" s="242"/>
      <c r="X903" s="242"/>
      <c r="Y903" s="242"/>
      <c r="Z903" s="242"/>
      <c r="AA903" s="242"/>
      <c r="AB903" s="242"/>
      <c r="AC903" s="242"/>
    </row>
    <row r="904">
      <c r="A904" s="242"/>
      <c r="B904" s="242"/>
      <c r="C904" s="242"/>
      <c r="D904" s="242"/>
      <c r="E904" s="242"/>
      <c r="F904" s="242"/>
      <c r="G904" s="242"/>
      <c r="H904" s="242"/>
      <c r="I904" s="242"/>
      <c r="J904" s="13"/>
      <c r="K904" s="15"/>
      <c r="L904" s="341"/>
      <c r="M904" s="13"/>
      <c r="N904" s="13"/>
      <c r="O904" s="13"/>
      <c r="P904" s="13"/>
      <c r="Q904" s="242"/>
      <c r="R904" s="13"/>
      <c r="S904" s="242"/>
      <c r="T904" s="13"/>
      <c r="U904" s="242"/>
      <c r="V904" s="242"/>
      <c r="W904" s="242"/>
      <c r="X904" s="242"/>
      <c r="Y904" s="242"/>
      <c r="Z904" s="242"/>
      <c r="AA904" s="242"/>
      <c r="AB904" s="242"/>
      <c r="AC904" s="242"/>
    </row>
    <row r="905">
      <c r="A905" s="242"/>
      <c r="B905" s="242"/>
      <c r="C905" s="242"/>
      <c r="D905" s="242"/>
      <c r="E905" s="242"/>
      <c r="F905" s="242"/>
      <c r="G905" s="242"/>
      <c r="H905" s="242"/>
      <c r="I905" s="242"/>
      <c r="J905" s="13"/>
      <c r="K905" s="15"/>
      <c r="L905" s="341"/>
      <c r="M905" s="13"/>
      <c r="N905" s="13"/>
      <c r="O905" s="13"/>
      <c r="P905" s="13"/>
      <c r="Q905" s="242"/>
      <c r="R905" s="13"/>
      <c r="S905" s="242"/>
      <c r="T905" s="13"/>
      <c r="U905" s="242"/>
      <c r="V905" s="242"/>
      <c r="W905" s="242"/>
      <c r="X905" s="242"/>
      <c r="Y905" s="242"/>
      <c r="Z905" s="242"/>
      <c r="AA905" s="242"/>
      <c r="AB905" s="242"/>
      <c r="AC905" s="242"/>
    </row>
    <row r="906">
      <c r="A906" s="242"/>
      <c r="B906" s="242"/>
      <c r="C906" s="242"/>
      <c r="D906" s="242"/>
      <c r="E906" s="242"/>
      <c r="F906" s="242"/>
      <c r="G906" s="242"/>
      <c r="H906" s="242"/>
      <c r="I906" s="242"/>
      <c r="J906" s="13"/>
      <c r="K906" s="15"/>
      <c r="L906" s="341"/>
      <c r="M906" s="13"/>
      <c r="N906" s="13"/>
      <c r="O906" s="13"/>
      <c r="P906" s="13"/>
      <c r="Q906" s="242"/>
      <c r="R906" s="13"/>
      <c r="S906" s="242"/>
      <c r="T906" s="13"/>
      <c r="U906" s="242"/>
      <c r="V906" s="242"/>
      <c r="W906" s="242"/>
      <c r="X906" s="242"/>
      <c r="Y906" s="242"/>
      <c r="Z906" s="242"/>
      <c r="AA906" s="242"/>
      <c r="AB906" s="242"/>
      <c r="AC906" s="242"/>
    </row>
    <row r="907">
      <c r="A907" s="242"/>
      <c r="B907" s="242"/>
      <c r="C907" s="242"/>
      <c r="D907" s="242"/>
      <c r="E907" s="242"/>
      <c r="F907" s="242"/>
      <c r="G907" s="242"/>
      <c r="H907" s="242"/>
      <c r="I907" s="242"/>
      <c r="J907" s="13"/>
      <c r="K907" s="15"/>
      <c r="L907" s="341"/>
      <c r="M907" s="13"/>
      <c r="N907" s="13"/>
      <c r="O907" s="13"/>
      <c r="P907" s="13"/>
      <c r="Q907" s="242"/>
      <c r="R907" s="13"/>
      <c r="S907" s="242"/>
      <c r="T907" s="13"/>
      <c r="U907" s="242"/>
      <c r="V907" s="242"/>
      <c r="W907" s="242"/>
      <c r="X907" s="242"/>
      <c r="Y907" s="242"/>
      <c r="Z907" s="242"/>
      <c r="AA907" s="242"/>
      <c r="AB907" s="242"/>
      <c r="AC907" s="242"/>
    </row>
    <row r="908">
      <c r="A908" s="242"/>
      <c r="B908" s="242"/>
      <c r="C908" s="242"/>
      <c r="D908" s="242"/>
      <c r="E908" s="242"/>
      <c r="F908" s="242"/>
      <c r="G908" s="242"/>
      <c r="H908" s="242"/>
      <c r="I908" s="242"/>
      <c r="J908" s="13"/>
      <c r="K908" s="15"/>
      <c r="L908" s="341"/>
      <c r="M908" s="13"/>
      <c r="N908" s="13"/>
      <c r="O908" s="13"/>
      <c r="P908" s="13"/>
      <c r="Q908" s="242"/>
      <c r="R908" s="13"/>
      <c r="S908" s="242"/>
      <c r="T908" s="13"/>
      <c r="U908" s="242"/>
      <c r="V908" s="242"/>
      <c r="W908" s="242"/>
      <c r="X908" s="242"/>
      <c r="Y908" s="242"/>
      <c r="Z908" s="242"/>
      <c r="AA908" s="242"/>
      <c r="AB908" s="242"/>
      <c r="AC908" s="242"/>
    </row>
    <row r="909">
      <c r="A909" s="242"/>
      <c r="B909" s="242"/>
      <c r="C909" s="242"/>
      <c r="D909" s="242"/>
      <c r="E909" s="242"/>
      <c r="F909" s="242"/>
      <c r="G909" s="242"/>
      <c r="H909" s="242"/>
      <c r="I909" s="242"/>
      <c r="J909" s="13"/>
      <c r="K909" s="15"/>
      <c r="L909" s="341"/>
      <c r="M909" s="13"/>
      <c r="N909" s="13"/>
      <c r="O909" s="13"/>
      <c r="P909" s="13"/>
      <c r="Q909" s="242"/>
      <c r="R909" s="13"/>
      <c r="S909" s="242"/>
      <c r="T909" s="13"/>
      <c r="U909" s="242"/>
      <c r="V909" s="242"/>
      <c r="W909" s="242"/>
      <c r="X909" s="242"/>
      <c r="Y909" s="242"/>
      <c r="Z909" s="242"/>
      <c r="AA909" s="242"/>
      <c r="AB909" s="242"/>
      <c r="AC909" s="242"/>
    </row>
    <row r="910">
      <c r="A910" s="242"/>
      <c r="B910" s="242"/>
      <c r="C910" s="242"/>
      <c r="D910" s="242"/>
      <c r="E910" s="242"/>
      <c r="F910" s="242"/>
      <c r="G910" s="242"/>
      <c r="H910" s="242"/>
      <c r="I910" s="242"/>
      <c r="J910" s="13"/>
      <c r="K910" s="15"/>
      <c r="L910" s="341"/>
      <c r="M910" s="13"/>
      <c r="N910" s="13"/>
      <c r="O910" s="13"/>
      <c r="P910" s="13"/>
      <c r="Q910" s="242"/>
      <c r="R910" s="13"/>
      <c r="S910" s="242"/>
      <c r="T910" s="13"/>
      <c r="U910" s="242"/>
      <c r="V910" s="242"/>
      <c r="W910" s="242"/>
      <c r="X910" s="242"/>
      <c r="Y910" s="242"/>
      <c r="Z910" s="242"/>
      <c r="AA910" s="242"/>
      <c r="AB910" s="242"/>
      <c r="AC910" s="242"/>
    </row>
    <row r="911">
      <c r="A911" s="242"/>
      <c r="B911" s="242"/>
      <c r="C911" s="242"/>
      <c r="D911" s="242"/>
      <c r="E911" s="242"/>
      <c r="F911" s="242"/>
      <c r="G911" s="242"/>
      <c r="H911" s="242"/>
      <c r="I911" s="242"/>
      <c r="J911" s="13"/>
      <c r="K911" s="15"/>
      <c r="L911" s="341"/>
      <c r="M911" s="13"/>
      <c r="N911" s="13"/>
      <c r="O911" s="13"/>
      <c r="P911" s="13"/>
      <c r="Q911" s="242"/>
      <c r="R911" s="13"/>
      <c r="S911" s="242"/>
      <c r="T911" s="13"/>
      <c r="U911" s="242"/>
      <c r="V911" s="242"/>
      <c r="W911" s="242"/>
      <c r="X911" s="242"/>
      <c r="Y911" s="242"/>
      <c r="Z911" s="242"/>
      <c r="AA911" s="242"/>
      <c r="AB911" s="242"/>
      <c r="AC911" s="242"/>
    </row>
    <row r="912">
      <c r="A912" s="242"/>
      <c r="B912" s="242"/>
      <c r="C912" s="242"/>
      <c r="D912" s="242"/>
      <c r="E912" s="242"/>
      <c r="F912" s="242"/>
      <c r="G912" s="242"/>
      <c r="H912" s="242"/>
      <c r="I912" s="242"/>
      <c r="J912" s="13"/>
      <c r="K912" s="15"/>
      <c r="L912" s="341"/>
      <c r="M912" s="13"/>
      <c r="N912" s="13"/>
      <c r="O912" s="13"/>
      <c r="P912" s="13"/>
      <c r="Q912" s="242"/>
      <c r="R912" s="13"/>
      <c r="S912" s="242"/>
      <c r="T912" s="13"/>
      <c r="U912" s="242"/>
      <c r="V912" s="242"/>
      <c r="W912" s="242"/>
      <c r="X912" s="242"/>
      <c r="Y912" s="242"/>
      <c r="Z912" s="242"/>
      <c r="AA912" s="242"/>
      <c r="AB912" s="242"/>
      <c r="AC912" s="242"/>
    </row>
    <row r="913">
      <c r="A913" s="242"/>
      <c r="B913" s="242"/>
      <c r="C913" s="242"/>
      <c r="D913" s="242"/>
      <c r="E913" s="242"/>
      <c r="F913" s="242"/>
      <c r="G913" s="242"/>
      <c r="H913" s="242"/>
      <c r="I913" s="242"/>
      <c r="J913" s="13"/>
      <c r="K913" s="15"/>
      <c r="L913" s="341"/>
      <c r="M913" s="13"/>
      <c r="N913" s="13"/>
      <c r="O913" s="13"/>
      <c r="P913" s="13"/>
      <c r="Q913" s="242"/>
      <c r="R913" s="13"/>
      <c r="S913" s="242"/>
      <c r="T913" s="13"/>
      <c r="U913" s="242"/>
      <c r="V913" s="242"/>
      <c r="W913" s="242"/>
      <c r="X913" s="242"/>
      <c r="Y913" s="242"/>
      <c r="Z913" s="242"/>
      <c r="AA913" s="242"/>
      <c r="AB913" s="242"/>
      <c r="AC913" s="242"/>
    </row>
    <row r="914">
      <c r="A914" s="242"/>
      <c r="B914" s="242"/>
      <c r="C914" s="242"/>
      <c r="D914" s="242"/>
      <c r="E914" s="242"/>
      <c r="F914" s="242"/>
      <c r="G914" s="242"/>
      <c r="H914" s="242"/>
      <c r="I914" s="242"/>
      <c r="J914" s="13"/>
      <c r="K914" s="15"/>
      <c r="L914" s="341"/>
      <c r="M914" s="13"/>
      <c r="N914" s="13"/>
      <c r="O914" s="13"/>
      <c r="P914" s="13"/>
      <c r="Q914" s="242"/>
      <c r="R914" s="13"/>
      <c r="S914" s="242"/>
      <c r="T914" s="13"/>
      <c r="U914" s="242"/>
      <c r="V914" s="242"/>
      <c r="W914" s="242"/>
      <c r="X914" s="242"/>
      <c r="Y914" s="242"/>
      <c r="Z914" s="242"/>
      <c r="AA914" s="242"/>
      <c r="AB914" s="242"/>
      <c r="AC914" s="242"/>
    </row>
    <row r="915">
      <c r="A915" s="242"/>
      <c r="B915" s="242"/>
      <c r="C915" s="242"/>
      <c r="D915" s="242"/>
      <c r="E915" s="242"/>
      <c r="F915" s="242"/>
      <c r="G915" s="242"/>
      <c r="H915" s="242"/>
      <c r="I915" s="242"/>
      <c r="J915" s="13"/>
      <c r="K915" s="15"/>
      <c r="L915" s="341"/>
      <c r="M915" s="13"/>
      <c r="N915" s="13"/>
      <c r="O915" s="13"/>
      <c r="P915" s="13"/>
      <c r="Q915" s="242"/>
      <c r="R915" s="13"/>
      <c r="S915" s="242"/>
      <c r="T915" s="13"/>
      <c r="U915" s="242"/>
      <c r="V915" s="242"/>
      <c r="W915" s="242"/>
      <c r="X915" s="242"/>
      <c r="Y915" s="242"/>
      <c r="Z915" s="242"/>
      <c r="AA915" s="242"/>
      <c r="AB915" s="242"/>
      <c r="AC915" s="242"/>
    </row>
    <row r="916">
      <c r="A916" s="242"/>
      <c r="B916" s="242"/>
      <c r="C916" s="242"/>
      <c r="D916" s="242"/>
      <c r="E916" s="242"/>
      <c r="F916" s="242"/>
      <c r="G916" s="242"/>
      <c r="H916" s="242"/>
      <c r="I916" s="242"/>
      <c r="J916" s="13"/>
      <c r="K916" s="15"/>
      <c r="L916" s="341"/>
      <c r="M916" s="13"/>
      <c r="N916" s="13"/>
      <c r="O916" s="13"/>
      <c r="P916" s="13"/>
      <c r="Q916" s="242"/>
      <c r="R916" s="13"/>
      <c r="S916" s="242"/>
      <c r="T916" s="13"/>
      <c r="U916" s="242"/>
      <c r="V916" s="242"/>
      <c r="W916" s="242"/>
      <c r="X916" s="242"/>
      <c r="Y916" s="242"/>
      <c r="Z916" s="242"/>
      <c r="AA916" s="242"/>
      <c r="AB916" s="242"/>
      <c r="AC916" s="242"/>
    </row>
    <row r="917">
      <c r="A917" s="242"/>
      <c r="B917" s="242"/>
      <c r="C917" s="242"/>
      <c r="D917" s="242"/>
      <c r="E917" s="242"/>
      <c r="F917" s="242"/>
      <c r="G917" s="242"/>
      <c r="H917" s="242"/>
      <c r="I917" s="242"/>
      <c r="J917" s="13"/>
      <c r="K917" s="15"/>
      <c r="L917" s="341"/>
      <c r="M917" s="13"/>
      <c r="N917" s="13"/>
      <c r="O917" s="13"/>
      <c r="P917" s="13"/>
      <c r="Q917" s="242"/>
      <c r="R917" s="13"/>
      <c r="S917" s="242"/>
      <c r="T917" s="13"/>
      <c r="U917" s="242"/>
      <c r="V917" s="242"/>
      <c r="W917" s="242"/>
      <c r="X917" s="242"/>
      <c r="Y917" s="242"/>
      <c r="Z917" s="242"/>
      <c r="AA917" s="242"/>
      <c r="AB917" s="242"/>
      <c r="AC917" s="242"/>
    </row>
    <row r="918">
      <c r="A918" s="242"/>
      <c r="B918" s="242"/>
      <c r="C918" s="242"/>
      <c r="D918" s="242"/>
      <c r="E918" s="242"/>
      <c r="F918" s="242"/>
      <c r="G918" s="242"/>
      <c r="H918" s="242"/>
      <c r="I918" s="242"/>
      <c r="J918" s="13"/>
      <c r="K918" s="15"/>
      <c r="L918" s="341"/>
      <c r="M918" s="13"/>
      <c r="N918" s="13"/>
      <c r="O918" s="13"/>
      <c r="P918" s="13"/>
      <c r="Q918" s="242"/>
      <c r="R918" s="13"/>
      <c r="S918" s="242"/>
      <c r="T918" s="13"/>
      <c r="U918" s="242"/>
      <c r="V918" s="242"/>
      <c r="W918" s="242"/>
      <c r="X918" s="242"/>
      <c r="Y918" s="242"/>
      <c r="Z918" s="242"/>
      <c r="AA918" s="242"/>
      <c r="AB918" s="242"/>
      <c r="AC918" s="242"/>
    </row>
    <row r="919">
      <c r="A919" s="242"/>
      <c r="B919" s="242"/>
      <c r="C919" s="242"/>
      <c r="D919" s="242"/>
      <c r="E919" s="242"/>
      <c r="F919" s="242"/>
      <c r="G919" s="242"/>
      <c r="H919" s="242"/>
      <c r="I919" s="242"/>
      <c r="J919" s="13"/>
      <c r="K919" s="15"/>
      <c r="L919" s="341"/>
      <c r="M919" s="13"/>
      <c r="N919" s="13"/>
      <c r="O919" s="13"/>
      <c r="P919" s="13"/>
      <c r="Q919" s="242"/>
      <c r="R919" s="13"/>
      <c r="S919" s="242"/>
      <c r="T919" s="13"/>
      <c r="U919" s="242"/>
      <c r="V919" s="242"/>
      <c r="W919" s="242"/>
      <c r="X919" s="242"/>
      <c r="Y919" s="242"/>
      <c r="Z919" s="242"/>
      <c r="AA919" s="242"/>
      <c r="AB919" s="242"/>
      <c r="AC919" s="242"/>
    </row>
    <row r="920">
      <c r="A920" s="242"/>
      <c r="B920" s="242"/>
      <c r="C920" s="242"/>
      <c r="D920" s="242"/>
      <c r="E920" s="242"/>
      <c r="F920" s="242"/>
      <c r="G920" s="242"/>
      <c r="H920" s="242"/>
      <c r="I920" s="242"/>
      <c r="J920" s="13"/>
      <c r="K920" s="15"/>
      <c r="L920" s="341"/>
      <c r="M920" s="13"/>
      <c r="N920" s="13"/>
      <c r="O920" s="13"/>
      <c r="P920" s="13"/>
      <c r="Q920" s="242"/>
      <c r="R920" s="13"/>
      <c r="S920" s="242"/>
      <c r="T920" s="13"/>
      <c r="U920" s="242"/>
      <c r="V920" s="242"/>
      <c r="W920" s="242"/>
      <c r="X920" s="242"/>
      <c r="Y920" s="242"/>
      <c r="Z920" s="242"/>
      <c r="AA920" s="242"/>
      <c r="AB920" s="242"/>
      <c r="AC920" s="242"/>
    </row>
    <row r="921">
      <c r="A921" s="242"/>
      <c r="B921" s="242"/>
      <c r="C921" s="242"/>
      <c r="D921" s="242"/>
      <c r="E921" s="242"/>
      <c r="F921" s="242"/>
      <c r="G921" s="242"/>
      <c r="H921" s="242"/>
      <c r="I921" s="242"/>
      <c r="J921" s="13"/>
      <c r="K921" s="15"/>
      <c r="L921" s="341"/>
      <c r="M921" s="13"/>
      <c r="N921" s="13"/>
      <c r="O921" s="13"/>
      <c r="P921" s="13"/>
      <c r="Q921" s="242"/>
      <c r="R921" s="13"/>
      <c r="S921" s="242"/>
      <c r="T921" s="13"/>
      <c r="U921" s="242"/>
      <c r="V921" s="242"/>
      <c r="W921" s="242"/>
      <c r="X921" s="242"/>
      <c r="Y921" s="242"/>
      <c r="Z921" s="242"/>
      <c r="AA921" s="242"/>
      <c r="AB921" s="242"/>
      <c r="AC921" s="242"/>
    </row>
    <row r="922">
      <c r="A922" s="242"/>
      <c r="B922" s="242"/>
      <c r="C922" s="242"/>
      <c r="D922" s="242"/>
      <c r="E922" s="242"/>
      <c r="F922" s="242"/>
      <c r="G922" s="242"/>
      <c r="H922" s="242"/>
      <c r="I922" s="242"/>
      <c r="J922" s="13"/>
      <c r="K922" s="15"/>
      <c r="L922" s="341"/>
      <c r="M922" s="13"/>
      <c r="N922" s="13"/>
      <c r="O922" s="13"/>
      <c r="P922" s="13"/>
      <c r="Q922" s="242"/>
      <c r="R922" s="13"/>
      <c r="S922" s="242"/>
      <c r="T922" s="13"/>
      <c r="U922" s="242"/>
      <c r="V922" s="242"/>
      <c r="W922" s="242"/>
      <c r="X922" s="242"/>
      <c r="Y922" s="242"/>
      <c r="Z922" s="242"/>
      <c r="AA922" s="242"/>
      <c r="AB922" s="242"/>
      <c r="AC922" s="242"/>
    </row>
    <row r="923">
      <c r="A923" s="242"/>
      <c r="B923" s="242"/>
      <c r="C923" s="242"/>
      <c r="D923" s="242"/>
      <c r="E923" s="242"/>
      <c r="F923" s="242"/>
      <c r="G923" s="242"/>
      <c r="H923" s="242"/>
      <c r="I923" s="242"/>
      <c r="J923" s="13"/>
      <c r="K923" s="15"/>
      <c r="L923" s="341"/>
      <c r="M923" s="13"/>
      <c r="N923" s="13"/>
      <c r="O923" s="13"/>
      <c r="P923" s="13"/>
      <c r="Q923" s="242"/>
      <c r="R923" s="13"/>
      <c r="S923" s="242"/>
      <c r="T923" s="13"/>
      <c r="U923" s="242"/>
      <c r="V923" s="242"/>
      <c r="W923" s="242"/>
      <c r="X923" s="242"/>
      <c r="Y923" s="242"/>
      <c r="Z923" s="242"/>
      <c r="AA923" s="242"/>
      <c r="AB923" s="242"/>
      <c r="AC923" s="242"/>
    </row>
    <row r="924">
      <c r="A924" s="242"/>
      <c r="B924" s="242"/>
      <c r="C924" s="242"/>
      <c r="D924" s="242"/>
      <c r="E924" s="242"/>
      <c r="F924" s="242"/>
      <c r="G924" s="242"/>
      <c r="H924" s="242"/>
      <c r="I924" s="242"/>
      <c r="J924" s="13"/>
      <c r="K924" s="15"/>
      <c r="L924" s="341"/>
      <c r="M924" s="13"/>
      <c r="N924" s="13"/>
      <c r="O924" s="13"/>
      <c r="P924" s="13"/>
      <c r="Q924" s="242"/>
      <c r="R924" s="13"/>
      <c r="S924" s="242"/>
      <c r="T924" s="13"/>
      <c r="U924" s="242"/>
      <c r="V924" s="242"/>
      <c r="W924" s="242"/>
      <c r="X924" s="242"/>
      <c r="Y924" s="242"/>
      <c r="Z924" s="242"/>
      <c r="AA924" s="242"/>
      <c r="AB924" s="242"/>
      <c r="AC924" s="242"/>
    </row>
    <row r="925">
      <c r="A925" s="242"/>
      <c r="B925" s="242"/>
      <c r="C925" s="242"/>
      <c r="D925" s="242"/>
      <c r="E925" s="242"/>
      <c r="F925" s="242"/>
      <c r="G925" s="242"/>
      <c r="H925" s="242"/>
      <c r="I925" s="242"/>
      <c r="J925" s="13"/>
      <c r="K925" s="15"/>
      <c r="L925" s="341"/>
      <c r="M925" s="13"/>
      <c r="N925" s="13"/>
      <c r="O925" s="13"/>
      <c r="P925" s="13"/>
      <c r="Q925" s="242"/>
      <c r="R925" s="13"/>
      <c r="S925" s="242"/>
      <c r="T925" s="13"/>
      <c r="U925" s="242"/>
      <c r="V925" s="242"/>
      <c r="W925" s="242"/>
      <c r="X925" s="242"/>
      <c r="Y925" s="242"/>
      <c r="Z925" s="242"/>
      <c r="AA925" s="242"/>
      <c r="AB925" s="242"/>
      <c r="AC925" s="242"/>
    </row>
    <row r="926">
      <c r="A926" s="242"/>
      <c r="B926" s="242"/>
      <c r="C926" s="242"/>
      <c r="D926" s="242"/>
      <c r="E926" s="242"/>
      <c r="F926" s="242"/>
      <c r="G926" s="242"/>
      <c r="H926" s="242"/>
      <c r="I926" s="242"/>
      <c r="J926" s="13"/>
      <c r="K926" s="15"/>
      <c r="L926" s="341"/>
      <c r="M926" s="13"/>
      <c r="N926" s="13"/>
      <c r="O926" s="13"/>
      <c r="P926" s="13"/>
      <c r="Q926" s="242"/>
      <c r="R926" s="13"/>
      <c r="S926" s="242"/>
      <c r="T926" s="13"/>
      <c r="U926" s="242"/>
      <c r="V926" s="242"/>
      <c r="W926" s="242"/>
      <c r="X926" s="242"/>
      <c r="Y926" s="242"/>
      <c r="Z926" s="242"/>
      <c r="AA926" s="242"/>
      <c r="AB926" s="242"/>
      <c r="AC926" s="242"/>
    </row>
    <row r="927">
      <c r="A927" s="242"/>
      <c r="B927" s="242"/>
      <c r="C927" s="242"/>
      <c r="D927" s="242"/>
      <c r="E927" s="242"/>
      <c r="F927" s="242"/>
      <c r="G927" s="242"/>
      <c r="H927" s="242"/>
      <c r="I927" s="242"/>
      <c r="J927" s="13"/>
      <c r="K927" s="15"/>
      <c r="L927" s="341"/>
      <c r="M927" s="13"/>
      <c r="N927" s="13"/>
      <c r="O927" s="13"/>
      <c r="P927" s="13"/>
      <c r="Q927" s="242"/>
      <c r="R927" s="13"/>
      <c r="S927" s="242"/>
      <c r="T927" s="13"/>
      <c r="U927" s="242"/>
      <c r="V927" s="242"/>
      <c r="W927" s="242"/>
      <c r="X927" s="242"/>
      <c r="Y927" s="242"/>
      <c r="Z927" s="242"/>
      <c r="AA927" s="242"/>
      <c r="AB927" s="242"/>
      <c r="AC927" s="242"/>
    </row>
    <row r="928">
      <c r="A928" s="242"/>
      <c r="B928" s="242"/>
      <c r="C928" s="242"/>
      <c r="D928" s="242"/>
      <c r="E928" s="242"/>
      <c r="F928" s="242"/>
      <c r="G928" s="242"/>
      <c r="H928" s="242"/>
      <c r="I928" s="242"/>
      <c r="J928" s="13"/>
      <c r="K928" s="15"/>
      <c r="L928" s="341"/>
      <c r="M928" s="13"/>
      <c r="N928" s="13"/>
      <c r="O928" s="13"/>
      <c r="P928" s="13"/>
      <c r="Q928" s="242"/>
      <c r="R928" s="13"/>
      <c r="S928" s="242"/>
      <c r="T928" s="13"/>
      <c r="U928" s="242"/>
      <c r="V928" s="242"/>
      <c r="W928" s="242"/>
      <c r="X928" s="242"/>
      <c r="Y928" s="242"/>
      <c r="Z928" s="242"/>
      <c r="AA928" s="242"/>
      <c r="AB928" s="242"/>
      <c r="AC928" s="242"/>
    </row>
    <row r="929">
      <c r="A929" s="242"/>
      <c r="B929" s="242"/>
      <c r="C929" s="242"/>
      <c r="D929" s="242"/>
      <c r="E929" s="242"/>
      <c r="F929" s="242"/>
      <c r="G929" s="242"/>
      <c r="H929" s="242"/>
      <c r="I929" s="242"/>
      <c r="J929" s="13"/>
      <c r="K929" s="15"/>
      <c r="L929" s="341"/>
      <c r="M929" s="13"/>
      <c r="N929" s="13"/>
      <c r="O929" s="13"/>
      <c r="P929" s="13"/>
      <c r="Q929" s="242"/>
      <c r="R929" s="13"/>
      <c r="S929" s="242"/>
      <c r="T929" s="13"/>
      <c r="U929" s="242"/>
      <c r="V929" s="242"/>
      <c r="W929" s="242"/>
      <c r="X929" s="242"/>
      <c r="Y929" s="242"/>
      <c r="Z929" s="242"/>
      <c r="AA929" s="242"/>
      <c r="AB929" s="242"/>
      <c r="AC929" s="242"/>
    </row>
    <row r="930">
      <c r="A930" s="242"/>
      <c r="B930" s="242"/>
      <c r="C930" s="242"/>
      <c r="D930" s="242"/>
      <c r="E930" s="242"/>
      <c r="F930" s="242"/>
      <c r="G930" s="242"/>
      <c r="H930" s="242"/>
      <c r="I930" s="242"/>
      <c r="J930" s="13"/>
      <c r="K930" s="15"/>
      <c r="L930" s="341"/>
      <c r="M930" s="13"/>
      <c r="N930" s="13"/>
      <c r="O930" s="13"/>
      <c r="P930" s="13"/>
      <c r="Q930" s="242"/>
      <c r="R930" s="13"/>
      <c r="S930" s="242"/>
      <c r="T930" s="13"/>
      <c r="U930" s="242"/>
      <c r="V930" s="242"/>
      <c r="W930" s="242"/>
      <c r="X930" s="242"/>
      <c r="Y930" s="242"/>
      <c r="Z930" s="242"/>
      <c r="AA930" s="242"/>
      <c r="AB930" s="242"/>
      <c r="AC930" s="242"/>
    </row>
    <row r="931">
      <c r="A931" s="242"/>
      <c r="B931" s="242"/>
      <c r="C931" s="242"/>
      <c r="D931" s="242"/>
      <c r="E931" s="242"/>
      <c r="F931" s="242"/>
      <c r="G931" s="242"/>
      <c r="H931" s="242"/>
      <c r="I931" s="242"/>
      <c r="J931" s="13"/>
      <c r="K931" s="15"/>
      <c r="L931" s="341"/>
      <c r="M931" s="13"/>
      <c r="N931" s="13"/>
      <c r="O931" s="13"/>
      <c r="P931" s="13"/>
      <c r="Q931" s="242"/>
      <c r="R931" s="13"/>
      <c r="S931" s="242"/>
      <c r="T931" s="13"/>
      <c r="U931" s="242"/>
      <c r="V931" s="242"/>
      <c r="W931" s="242"/>
      <c r="X931" s="242"/>
      <c r="Y931" s="242"/>
      <c r="Z931" s="242"/>
      <c r="AA931" s="242"/>
      <c r="AB931" s="242"/>
      <c r="AC931" s="242"/>
    </row>
    <row r="932">
      <c r="A932" s="242"/>
      <c r="B932" s="242"/>
      <c r="C932" s="242"/>
      <c r="D932" s="242"/>
      <c r="E932" s="242"/>
      <c r="F932" s="242"/>
      <c r="G932" s="242"/>
      <c r="H932" s="242"/>
      <c r="I932" s="242"/>
      <c r="J932" s="13"/>
      <c r="K932" s="15"/>
      <c r="L932" s="341"/>
      <c r="M932" s="13"/>
      <c r="N932" s="13"/>
      <c r="O932" s="13"/>
      <c r="P932" s="13"/>
      <c r="Q932" s="242"/>
      <c r="R932" s="13"/>
      <c r="S932" s="242"/>
      <c r="T932" s="13"/>
      <c r="U932" s="242"/>
      <c r="V932" s="242"/>
      <c r="W932" s="242"/>
      <c r="X932" s="242"/>
      <c r="Y932" s="242"/>
      <c r="Z932" s="242"/>
      <c r="AA932" s="242"/>
      <c r="AB932" s="242"/>
      <c r="AC932" s="242"/>
    </row>
    <row r="933">
      <c r="A933" s="242"/>
      <c r="B933" s="242"/>
      <c r="C933" s="242"/>
      <c r="D933" s="242"/>
      <c r="E933" s="242"/>
      <c r="F933" s="242"/>
      <c r="G933" s="242"/>
      <c r="H933" s="242"/>
      <c r="I933" s="242"/>
      <c r="J933" s="13"/>
      <c r="K933" s="15"/>
      <c r="L933" s="341"/>
      <c r="M933" s="13"/>
      <c r="N933" s="13"/>
      <c r="O933" s="13"/>
      <c r="P933" s="13"/>
      <c r="Q933" s="242"/>
      <c r="R933" s="13"/>
      <c r="S933" s="242"/>
      <c r="T933" s="13"/>
      <c r="U933" s="242"/>
      <c r="V933" s="242"/>
      <c r="W933" s="242"/>
      <c r="X933" s="242"/>
      <c r="Y933" s="242"/>
      <c r="Z933" s="242"/>
      <c r="AA933" s="242"/>
      <c r="AB933" s="242"/>
      <c r="AC933" s="242"/>
    </row>
    <row r="934">
      <c r="A934" s="242"/>
      <c r="B934" s="242"/>
      <c r="C934" s="242"/>
      <c r="D934" s="242"/>
      <c r="E934" s="242"/>
      <c r="F934" s="242"/>
      <c r="G934" s="242"/>
      <c r="H934" s="242"/>
      <c r="I934" s="242"/>
      <c r="J934" s="13"/>
      <c r="K934" s="15"/>
      <c r="L934" s="341"/>
      <c r="M934" s="13"/>
      <c r="N934" s="13"/>
      <c r="O934" s="13"/>
      <c r="P934" s="13"/>
      <c r="Q934" s="242"/>
      <c r="R934" s="13"/>
      <c r="S934" s="242"/>
      <c r="T934" s="13"/>
      <c r="U934" s="242"/>
      <c r="V934" s="242"/>
      <c r="W934" s="242"/>
      <c r="X934" s="242"/>
      <c r="Y934" s="242"/>
      <c r="Z934" s="242"/>
      <c r="AA934" s="242"/>
      <c r="AB934" s="242"/>
      <c r="AC934" s="242"/>
    </row>
    <row r="935">
      <c r="A935" s="242"/>
      <c r="B935" s="242"/>
      <c r="C935" s="242"/>
      <c r="D935" s="242"/>
      <c r="E935" s="242"/>
      <c r="F935" s="242"/>
      <c r="G935" s="242"/>
      <c r="H935" s="242"/>
      <c r="I935" s="242"/>
      <c r="J935" s="13"/>
      <c r="K935" s="15"/>
      <c r="L935" s="341"/>
      <c r="M935" s="13"/>
      <c r="N935" s="13"/>
      <c r="O935" s="13"/>
      <c r="P935" s="13"/>
      <c r="Q935" s="242"/>
      <c r="R935" s="13"/>
      <c r="S935" s="242"/>
      <c r="T935" s="13"/>
      <c r="U935" s="242"/>
      <c r="V935" s="242"/>
      <c r="W935" s="242"/>
      <c r="X935" s="242"/>
      <c r="Y935" s="242"/>
      <c r="Z935" s="242"/>
      <c r="AA935" s="242"/>
      <c r="AB935" s="242"/>
      <c r="AC935" s="242"/>
    </row>
    <row r="936">
      <c r="A936" s="242"/>
      <c r="B936" s="242"/>
      <c r="C936" s="242"/>
      <c r="D936" s="242"/>
      <c r="E936" s="242"/>
      <c r="F936" s="242"/>
      <c r="G936" s="242"/>
      <c r="H936" s="242"/>
      <c r="I936" s="242"/>
      <c r="J936" s="13"/>
      <c r="K936" s="15"/>
      <c r="L936" s="341"/>
      <c r="M936" s="13"/>
      <c r="N936" s="13"/>
      <c r="O936" s="13"/>
      <c r="P936" s="13"/>
      <c r="Q936" s="242"/>
      <c r="R936" s="13"/>
      <c r="S936" s="242"/>
      <c r="T936" s="13"/>
      <c r="U936" s="242"/>
      <c r="V936" s="242"/>
      <c r="W936" s="242"/>
      <c r="X936" s="242"/>
      <c r="Y936" s="242"/>
      <c r="Z936" s="242"/>
      <c r="AA936" s="242"/>
      <c r="AB936" s="242"/>
      <c r="AC936" s="242"/>
    </row>
    <row r="937">
      <c r="A937" s="242"/>
      <c r="B937" s="242"/>
      <c r="C937" s="242"/>
      <c r="D937" s="242"/>
      <c r="E937" s="242"/>
      <c r="F937" s="242"/>
      <c r="G937" s="242"/>
      <c r="H937" s="242"/>
      <c r="I937" s="242"/>
      <c r="J937" s="13"/>
      <c r="K937" s="15"/>
      <c r="L937" s="341"/>
      <c r="M937" s="13"/>
      <c r="N937" s="13"/>
      <c r="O937" s="13"/>
      <c r="P937" s="13"/>
      <c r="Q937" s="242"/>
      <c r="R937" s="13"/>
      <c r="S937" s="242"/>
      <c r="T937" s="13"/>
      <c r="U937" s="242"/>
      <c r="V937" s="242"/>
      <c r="W937" s="242"/>
      <c r="X937" s="242"/>
      <c r="Y937" s="242"/>
      <c r="Z937" s="242"/>
      <c r="AA937" s="242"/>
      <c r="AB937" s="242"/>
      <c r="AC937" s="242"/>
    </row>
    <row r="938">
      <c r="A938" s="242"/>
      <c r="B938" s="242"/>
      <c r="C938" s="242"/>
      <c r="D938" s="242"/>
      <c r="E938" s="242"/>
      <c r="F938" s="242"/>
      <c r="G938" s="242"/>
      <c r="H938" s="242"/>
      <c r="I938" s="242"/>
      <c r="J938" s="13"/>
      <c r="K938" s="15"/>
      <c r="L938" s="341"/>
      <c r="M938" s="13"/>
      <c r="N938" s="13"/>
      <c r="O938" s="13"/>
      <c r="P938" s="13"/>
      <c r="Q938" s="242"/>
      <c r="R938" s="13"/>
      <c r="S938" s="242"/>
      <c r="T938" s="13"/>
      <c r="U938" s="242"/>
      <c r="V938" s="242"/>
      <c r="W938" s="242"/>
      <c r="X938" s="242"/>
      <c r="Y938" s="242"/>
      <c r="Z938" s="242"/>
      <c r="AA938" s="242"/>
      <c r="AB938" s="242"/>
      <c r="AC938" s="242"/>
    </row>
    <row r="939">
      <c r="A939" s="242"/>
      <c r="B939" s="242"/>
      <c r="C939" s="242"/>
      <c r="D939" s="242"/>
      <c r="E939" s="242"/>
      <c r="F939" s="242"/>
      <c r="G939" s="242"/>
      <c r="H939" s="242"/>
      <c r="I939" s="242"/>
      <c r="J939" s="13"/>
      <c r="K939" s="15"/>
      <c r="L939" s="341"/>
      <c r="M939" s="13"/>
      <c r="N939" s="13"/>
      <c r="O939" s="13"/>
      <c r="P939" s="13"/>
      <c r="Q939" s="242"/>
      <c r="R939" s="13"/>
      <c r="S939" s="242"/>
      <c r="T939" s="13"/>
      <c r="U939" s="242"/>
      <c r="V939" s="242"/>
      <c r="W939" s="242"/>
      <c r="X939" s="242"/>
      <c r="Y939" s="242"/>
      <c r="Z939" s="242"/>
      <c r="AA939" s="242"/>
      <c r="AB939" s="242"/>
      <c r="AC939" s="242"/>
    </row>
    <row r="940">
      <c r="A940" s="242"/>
      <c r="B940" s="242"/>
      <c r="C940" s="242"/>
      <c r="D940" s="242"/>
      <c r="E940" s="242"/>
      <c r="F940" s="242"/>
      <c r="G940" s="242"/>
      <c r="H940" s="242"/>
      <c r="I940" s="242"/>
      <c r="J940" s="13"/>
      <c r="K940" s="15"/>
      <c r="L940" s="341"/>
      <c r="M940" s="13"/>
      <c r="N940" s="13"/>
      <c r="O940" s="13"/>
      <c r="P940" s="13"/>
      <c r="Q940" s="242"/>
      <c r="R940" s="13"/>
      <c r="S940" s="242"/>
      <c r="T940" s="13"/>
      <c r="U940" s="242"/>
      <c r="V940" s="242"/>
      <c r="W940" s="242"/>
      <c r="X940" s="242"/>
      <c r="Y940" s="242"/>
      <c r="Z940" s="242"/>
      <c r="AA940" s="242"/>
      <c r="AB940" s="242"/>
      <c r="AC940" s="242"/>
    </row>
    <row r="941">
      <c r="A941" s="242"/>
      <c r="B941" s="242"/>
      <c r="C941" s="242"/>
      <c r="D941" s="242"/>
      <c r="E941" s="242"/>
      <c r="F941" s="242"/>
      <c r="G941" s="242"/>
      <c r="H941" s="242"/>
      <c r="I941" s="242"/>
      <c r="J941" s="13"/>
      <c r="K941" s="15"/>
      <c r="L941" s="341"/>
      <c r="M941" s="13"/>
      <c r="N941" s="13"/>
      <c r="O941" s="13"/>
      <c r="P941" s="13"/>
      <c r="Q941" s="242"/>
      <c r="R941" s="13"/>
      <c r="S941" s="242"/>
      <c r="T941" s="13"/>
      <c r="U941" s="242"/>
      <c r="V941" s="242"/>
      <c r="W941" s="242"/>
      <c r="X941" s="242"/>
      <c r="Y941" s="242"/>
      <c r="Z941" s="242"/>
      <c r="AA941" s="242"/>
      <c r="AB941" s="242"/>
      <c r="AC941" s="242"/>
    </row>
    <row r="942">
      <c r="A942" s="242"/>
      <c r="B942" s="242"/>
      <c r="C942" s="242"/>
      <c r="D942" s="242"/>
      <c r="E942" s="242"/>
      <c r="F942" s="242"/>
      <c r="G942" s="242"/>
      <c r="H942" s="242"/>
      <c r="I942" s="242"/>
      <c r="J942" s="13"/>
      <c r="K942" s="15"/>
      <c r="L942" s="341"/>
      <c r="M942" s="13"/>
      <c r="N942" s="13"/>
      <c r="O942" s="13"/>
      <c r="P942" s="13"/>
      <c r="Q942" s="242"/>
      <c r="R942" s="13"/>
      <c r="S942" s="242"/>
      <c r="T942" s="13"/>
      <c r="U942" s="242"/>
      <c r="V942" s="242"/>
      <c r="W942" s="242"/>
      <c r="X942" s="242"/>
      <c r="Y942" s="242"/>
      <c r="Z942" s="242"/>
      <c r="AA942" s="242"/>
      <c r="AB942" s="242"/>
      <c r="AC942" s="242"/>
    </row>
    <row r="943">
      <c r="A943" s="242"/>
      <c r="B943" s="242"/>
      <c r="C943" s="242"/>
      <c r="D943" s="242"/>
      <c r="E943" s="242"/>
      <c r="F943" s="242"/>
      <c r="G943" s="242"/>
      <c r="H943" s="242"/>
      <c r="I943" s="242"/>
      <c r="J943" s="13"/>
      <c r="K943" s="15"/>
      <c r="L943" s="341"/>
      <c r="M943" s="13"/>
      <c r="N943" s="13"/>
      <c r="O943" s="13"/>
      <c r="P943" s="13"/>
      <c r="Q943" s="242"/>
      <c r="R943" s="13"/>
      <c r="S943" s="242"/>
      <c r="T943" s="13"/>
      <c r="U943" s="242"/>
      <c r="V943" s="242"/>
      <c r="W943" s="242"/>
      <c r="X943" s="242"/>
      <c r="Y943" s="242"/>
      <c r="Z943" s="242"/>
      <c r="AA943" s="242"/>
      <c r="AB943" s="242"/>
      <c r="AC943" s="242"/>
    </row>
    <row r="944">
      <c r="A944" s="242"/>
      <c r="B944" s="242"/>
      <c r="C944" s="242"/>
      <c r="D944" s="242"/>
      <c r="E944" s="242"/>
      <c r="F944" s="242"/>
      <c r="G944" s="242"/>
      <c r="H944" s="242"/>
      <c r="I944" s="242"/>
      <c r="J944" s="13"/>
      <c r="K944" s="15"/>
      <c r="L944" s="341"/>
      <c r="M944" s="13"/>
      <c r="N944" s="13"/>
      <c r="O944" s="13"/>
      <c r="P944" s="13"/>
      <c r="Q944" s="242"/>
      <c r="R944" s="13"/>
      <c r="S944" s="242"/>
      <c r="T944" s="13"/>
      <c r="U944" s="242"/>
      <c r="V944" s="242"/>
      <c r="W944" s="242"/>
      <c r="X944" s="242"/>
      <c r="Y944" s="242"/>
      <c r="Z944" s="242"/>
      <c r="AA944" s="242"/>
      <c r="AB944" s="242"/>
      <c r="AC944" s="242"/>
    </row>
    <row r="945">
      <c r="A945" s="242"/>
      <c r="B945" s="242"/>
      <c r="C945" s="242"/>
      <c r="D945" s="242"/>
      <c r="E945" s="242"/>
      <c r="F945" s="242"/>
      <c r="G945" s="242"/>
      <c r="H945" s="242"/>
      <c r="I945" s="242"/>
      <c r="J945" s="13"/>
      <c r="K945" s="15"/>
      <c r="L945" s="341"/>
      <c r="M945" s="13"/>
      <c r="N945" s="13"/>
      <c r="O945" s="13"/>
      <c r="P945" s="13"/>
      <c r="Q945" s="242"/>
      <c r="R945" s="13"/>
      <c r="S945" s="242"/>
      <c r="T945" s="13"/>
      <c r="U945" s="242"/>
      <c r="V945" s="242"/>
      <c r="W945" s="242"/>
      <c r="X945" s="242"/>
      <c r="Y945" s="242"/>
      <c r="Z945" s="242"/>
      <c r="AA945" s="242"/>
      <c r="AB945" s="242"/>
      <c r="AC945" s="242"/>
    </row>
    <row r="946">
      <c r="A946" s="242"/>
      <c r="B946" s="242"/>
      <c r="C946" s="242"/>
      <c r="D946" s="242"/>
      <c r="E946" s="242"/>
      <c r="F946" s="242"/>
      <c r="G946" s="242"/>
      <c r="H946" s="242"/>
      <c r="I946" s="242"/>
      <c r="J946" s="13"/>
      <c r="K946" s="15"/>
      <c r="L946" s="341"/>
      <c r="M946" s="13"/>
      <c r="N946" s="13"/>
      <c r="O946" s="13"/>
      <c r="P946" s="13"/>
      <c r="Q946" s="242"/>
      <c r="R946" s="13"/>
      <c r="S946" s="242"/>
      <c r="T946" s="13"/>
      <c r="U946" s="242"/>
      <c r="V946" s="242"/>
      <c r="W946" s="242"/>
      <c r="X946" s="242"/>
      <c r="Y946" s="242"/>
      <c r="Z946" s="242"/>
      <c r="AA946" s="242"/>
      <c r="AB946" s="242"/>
      <c r="AC946" s="242"/>
    </row>
    <row r="947">
      <c r="A947" s="242"/>
      <c r="B947" s="242"/>
      <c r="C947" s="242"/>
      <c r="D947" s="242"/>
      <c r="E947" s="242"/>
      <c r="F947" s="242"/>
      <c r="G947" s="242"/>
      <c r="H947" s="242"/>
      <c r="I947" s="242"/>
      <c r="J947" s="13"/>
      <c r="K947" s="15"/>
      <c r="L947" s="341"/>
      <c r="M947" s="13"/>
      <c r="N947" s="13"/>
      <c r="O947" s="13"/>
      <c r="P947" s="13"/>
      <c r="Q947" s="242"/>
      <c r="R947" s="13"/>
      <c r="S947" s="242"/>
      <c r="T947" s="13"/>
      <c r="U947" s="242"/>
      <c r="V947" s="242"/>
      <c r="W947" s="242"/>
      <c r="X947" s="242"/>
      <c r="Y947" s="242"/>
      <c r="Z947" s="242"/>
      <c r="AA947" s="242"/>
      <c r="AB947" s="242"/>
      <c r="AC947" s="242"/>
    </row>
    <row r="948">
      <c r="A948" s="242"/>
      <c r="B948" s="242"/>
      <c r="C948" s="242"/>
      <c r="D948" s="242"/>
      <c r="E948" s="242"/>
      <c r="F948" s="242"/>
      <c r="G948" s="242"/>
      <c r="H948" s="242"/>
      <c r="I948" s="242"/>
      <c r="J948" s="13"/>
      <c r="K948" s="15"/>
      <c r="L948" s="341"/>
      <c r="M948" s="13"/>
      <c r="N948" s="13"/>
      <c r="O948" s="13"/>
      <c r="P948" s="13"/>
      <c r="Q948" s="242"/>
      <c r="R948" s="13"/>
      <c r="S948" s="242"/>
      <c r="T948" s="13"/>
      <c r="U948" s="242"/>
      <c r="V948" s="242"/>
      <c r="W948" s="242"/>
      <c r="X948" s="242"/>
      <c r="Y948" s="242"/>
      <c r="Z948" s="242"/>
      <c r="AA948" s="242"/>
      <c r="AB948" s="242"/>
      <c r="AC948" s="242"/>
    </row>
    <row r="949">
      <c r="A949" s="242"/>
      <c r="B949" s="242"/>
      <c r="C949" s="242"/>
      <c r="D949" s="242"/>
      <c r="E949" s="242"/>
      <c r="F949" s="242"/>
      <c r="G949" s="242"/>
      <c r="H949" s="242"/>
      <c r="I949" s="242"/>
      <c r="J949" s="13"/>
      <c r="K949" s="15"/>
      <c r="L949" s="341"/>
      <c r="M949" s="13"/>
      <c r="N949" s="13"/>
      <c r="O949" s="13"/>
      <c r="P949" s="13"/>
      <c r="Q949" s="242"/>
      <c r="R949" s="13"/>
      <c r="S949" s="242"/>
      <c r="T949" s="13"/>
      <c r="U949" s="242"/>
      <c r="V949" s="242"/>
      <c r="W949" s="242"/>
      <c r="X949" s="242"/>
      <c r="Y949" s="242"/>
      <c r="Z949" s="242"/>
      <c r="AA949" s="242"/>
      <c r="AB949" s="242"/>
      <c r="AC949" s="242"/>
    </row>
    <row r="950">
      <c r="A950" s="242"/>
      <c r="B950" s="242"/>
      <c r="C950" s="242"/>
      <c r="D950" s="242"/>
      <c r="E950" s="242"/>
      <c r="F950" s="242"/>
      <c r="G950" s="242"/>
      <c r="H950" s="242"/>
      <c r="I950" s="242"/>
      <c r="J950" s="13"/>
      <c r="K950" s="15"/>
      <c r="L950" s="341"/>
      <c r="M950" s="13"/>
      <c r="N950" s="13"/>
      <c r="O950" s="13"/>
      <c r="P950" s="13"/>
      <c r="Q950" s="242"/>
      <c r="R950" s="13"/>
      <c r="S950" s="242"/>
      <c r="T950" s="13"/>
      <c r="U950" s="242"/>
      <c r="V950" s="242"/>
      <c r="W950" s="242"/>
      <c r="X950" s="242"/>
      <c r="Y950" s="242"/>
      <c r="Z950" s="242"/>
      <c r="AA950" s="242"/>
      <c r="AB950" s="242"/>
      <c r="AC950" s="242"/>
    </row>
    <row r="951">
      <c r="A951" s="242"/>
      <c r="B951" s="242"/>
      <c r="C951" s="242"/>
      <c r="D951" s="242"/>
      <c r="E951" s="242"/>
      <c r="F951" s="242"/>
      <c r="G951" s="242"/>
      <c r="H951" s="242"/>
      <c r="I951" s="242"/>
      <c r="J951" s="13"/>
      <c r="K951" s="15"/>
      <c r="L951" s="341"/>
      <c r="M951" s="13"/>
      <c r="N951" s="13"/>
      <c r="O951" s="13"/>
      <c r="P951" s="13"/>
      <c r="Q951" s="242"/>
      <c r="R951" s="13"/>
      <c r="S951" s="242"/>
      <c r="T951" s="13"/>
      <c r="U951" s="242"/>
      <c r="V951" s="242"/>
      <c r="W951" s="242"/>
      <c r="X951" s="242"/>
      <c r="Y951" s="242"/>
      <c r="Z951" s="242"/>
      <c r="AA951" s="242"/>
      <c r="AB951" s="242"/>
      <c r="AC951" s="242"/>
    </row>
    <row r="952">
      <c r="A952" s="242"/>
      <c r="B952" s="242"/>
      <c r="C952" s="242"/>
      <c r="D952" s="242"/>
      <c r="E952" s="242"/>
      <c r="F952" s="242"/>
      <c r="G952" s="242"/>
      <c r="H952" s="242"/>
      <c r="I952" s="242"/>
      <c r="J952" s="13"/>
      <c r="K952" s="15"/>
      <c r="L952" s="341"/>
      <c r="M952" s="13"/>
      <c r="N952" s="13"/>
      <c r="O952" s="13"/>
      <c r="P952" s="13"/>
      <c r="Q952" s="242"/>
      <c r="R952" s="13"/>
      <c r="S952" s="242"/>
      <c r="T952" s="13"/>
      <c r="U952" s="242"/>
      <c r="V952" s="242"/>
      <c r="W952" s="242"/>
      <c r="X952" s="242"/>
      <c r="Y952" s="242"/>
      <c r="Z952" s="242"/>
      <c r="AA952" s="242"/>
      <c r="AB952" s="242"/>
      <c r="AC952" s="242"/>
    </row>
    <row r="953">
      <c r="A953" s="242"/>
      <c r="B953" s="242"/>
      <c r="C953" s="242"/>
      <c r="D953" s="242"/>
      <c r="E953" s="242"/>
      <c r="F953" s="242"/>
      <c r="G953" s="242"/>
      <c r="H953" s="242"/>
      <c r="I953" s="242"/>
      <c r="J953" s="13"/>
      <c r="K953" s="15"/>
      <c r="L953" s="341"/>
      <c r="M953" s="13"/>
      <c r="N953" s="13"/>
      <c r="O953" s="13"/>
      <c r="P953" s="13"/>
      <c r="Q953" s="242"/>
      <c r="R953" s="13"/>
      <c r="S953" s="242"/>
      <c r="T953" s="13"/>
      <c r="U953" s="242"/>
      <c r="V953" s="242"/>
      <c r="W953" s="242"/>
      <c r="X953" s="242"/>
      <c r="Y953" s="242"/>
      <c r="Z953" s="242"/>
      <c r="AA953" s="242"/>
      <c r="AB953" s="242"/>
      <c r="AC953" s="242"/>
    </row>
    <row r="954">
      <c r="A954" s="242"/>
      <c r="B954" s="242"/>
      <c r="C954" s="242"/>
      <c r="D954" s="242"/>
      <c r="E954" s="242"/>
      <c r="F954" s="242"/>
      <c r="G954" s="242"/>
      <c r="H954" s="242"/>
      <c r="I954" s="242"/>
      <c r="J954" s="13"/>
      <c r="K954" s="15"/>
      <c r="L954" s="341"/>
      <c r="M954" s="13"/>
      <c r="N954" s="13"/>
      <c r="O954" s="13"/>
      <c r="P954" s="13"/>
      <c r="Q954" s="242"/>
      <c r="R954" s="13"/>
      <c r="S954" s="242"/>
      <c r="T954" s="13"/>
      <c r="U954" s="242"/>
      <c r="V954" s="242"/>
      <c r="W954" s="242"/>
      <c r="X954" s="242"/>
      <c r="Y954" s="242"/>
      <c r="Z954" s="242"/>
      <c r="AA954" s="242"/>
      <c r="AB954" s="242"/>
      <c r="AC954" s="242"/>
    </row>
    <row r="955">
      <c r="A955" s="242"/>
      <c r="B955" s="242"/>
      <c r="C955" s="242"/>
      <c r="D955" s="242"/>
      <c r="E955" s="242"/>
      <c r="F955" s="242"/>
      <c r="G955" s="242"/>
      <c r="H955" s="242"/>
      <c r="I955" s="242"/>
      <c r="J955" s="13"/>
      <c r="K955" s="15"/>
      <c r="L955" s="341"/>
      <c r="M955" s="13"/>
      <c r="N955" s="13"/>
      <c r="O955" s="13"/>
      <c r="P955" s="13"/>
      <c r="Q955" s="242"/>
      <c r="R955" s="13"/>
      <c r="S955" s="242"/>
      <c r="T955" s="13"/>
      <c r="U955" s="242"/>
      <c r="V955" s="242"/>
      <c r="W955" s="242"/>
      <c r="X955" s="242"/>
      <c r="Y955" s="242"/>
      <c r="Z955" s="242"/>
      <c r="AA955" s="242"/>
      <c r="AB955" s="242"/>
      <c r="AC955" s="242"/>
    </row>
    <row r="956">
      <c r="A956" s="242"/>
      <c r="B956" s="242"/>
      <c r="C956" s="242"/>
      <c r="D956" s="242"/>
      <c r="E956" s="242"/>
      <c r="F956" s="242"/>
      <c r="G956" s="242"/>
      <c r="H956" s="242"/>
      <c r="I956" s="242"/>
      <c r="J956" s="13"/>
      <c r="K956" s="15"/>
      <c r="L956" s="341"/>
      <c r="M956" s="13"/>
      <c r="N956" s="13"/>
      <c r="O956" s="13"/>
      <c r="P956" s="13"/>
      <c r="Q956" s="242"/>
      <c r="R956" s="13"/>
      <c r="S956" s="242"/>
      <c r="T956" s="13"/>
      <c r="U956" s="242"/>
      <c r="V956" s="242"/>
      <c r="W956" s="242"/>
      <c r="X956" s="242"/>
      <c r="Y956" s="242"/>
      <c r="Z956" s="242"/>
      <c r="AA956" s="242"/>
      <c r="AB956" s="242"/>
      <c r="AC956" s="242"/>
    </row>
    <row r="957">
      <c r="A957" s="242"/>
      <c r="B957" s="242"/>
      <c r="C957" s="242"/>
      <c r="D957" s="242"/>
      <c r="E957" s="242"/>
      <c r="F957" s="242"/>
      <c r="G957" s="242"/>
      <c r="H957" s="242"/>
      <c r="I957" s="242"/>
      <c r="J957" s="13"/>
      <c r="K957" s="15"/>
      <c r="L957" s="341"/>
      <c r="M957" s="13"/>
      <c r="N957" s="13"/>
      <c r="O957" s="13"/>
      <c r="P957" s="13"/>
      <c r="Q957" s="242"/>
      <c r="R957" s="13"/>
      <c r="S957" s="242"/>
      <c r="T957" s="13"/>
      <c r="U957" s="242"/>
      <c r="V957" s="242"/>
      <c r="W957" s="242"/>
      <c r="X957" s="242"/>
      <c r="Y957" s="242"/>
      <c r="Z957" s="242"/>
      <c r="AA957" s="242"/>
      <c r="AB957" s="242"/>
      <c r="AC957" s="242"/>
    </row>
    <row r="958">
      <c r="A958" s="242"/>
      <c r="B958" s="242"/>
      <c r="C958" s="242"/>
      <c r="D958" s="242"/>
      <c r="E958" s="242"/>
      <c r="F958" s="242"/>
      <c r="G958" s="242"/>
      <c r="H958" s="242"/>
      <c r="I958" s="242"/>
      <c r="J958" s="13"/>
      <c r="K958" s="15"/>
      <c r="L958" s="341"/>
      <c r="M958" s="13"/>
      <c r="N958" s="13"/>
      <c r="O958" s="13"/>
      <c r="P958" s="13"/>
      <c r="Q958" s="242"/>
      <c r="R958" s="13"/>
      <c r="S958" s="242"/>
      <c r="T958" s="13"/>
      <c r="U958" s="242"/>
      <c r="V958" s="242"/>
      <c r="W958" s="242"/>
      <c r="X958" s="242"/>
      <c r="Y958" s="242"/>
      <c r="Z958" s="242"/>
      <c r="AA958" s="242"/>
      <c r="AB958" s="242"/>
      <c r="AC958" s="242"/>
    </row>
    <row r="959">
      <c r="A959" s="242"/>
      <c r="B959" s="242"/>
      <c r="C959" s="242"/>
      <c r="D959" s="242"/>
      <c r="E959" s="242"/>
      <c r="F959" s="242"/>
      <c r="G959" s="242"/>
      <c r="H959" s="242"/>
      <c r="I959" s="242"/>
      <c r="J959" s="13"/>
      <c r="K959" s="15"/>
      <c r="L959" s="341"/>
      <c r="M959" s="13"/>
      <c r="N959" s="13"/>
      <c r="O959" s="13"/>
      <c r="P959" s="13"/>
      <c r="Q959" s="242"/>
      <c r="R959" s="13"/>
      <c r="S959" s="242"/>
      <c r="T959" s="13"/>
      <c r="U959" s="242"/>
      <c r="V959" s="242"/>
      <c r="W959" s="242"/>
      <c r="X959" s="242"/>
      <c r="Y959" s="242"/>
      <c r="Z959" s="242"/>
      <c r="AA959" s="242"/>
      <c r="AB959" s="242"/>
      <c r="AC959" s="242"/>
    </row>
    <row r="960">
      <c r="A960" s="242"/>
      <c r="B960" s="242"/>
      <c r="C960" s="242"/>
      <c r="D960" s="242"/>
      <c r="E960" s="242"/>
      <c r="F960" s="242"/>
      <c r="G960" s="242"/>
      <c r="H960" s="242"/>
      <c r="I960" s="242"/>
      <c r="J960" s="13"/>
      <c r="K960" s="15"/>
      <c r="L960" s="341"/>
      <c r="M960" s="13"/>
      <c r="N960" s="13"/>
      <c r="O960" s="13"/>
      <c r="P960" s="13"/>
      <c r="Q960" s="242"/>
      <c r="R960" s="13"/>
      <c r="S960" s="242"/>
      <c r="T960" s="13"/>
      <c r="U960" s="242"/>
      <c r="V960" s="242"/>
      <c r="W960" s="242"/>
      <c r="X960" s="242"/>
      <c r="Y960" s="242"/>
      <c r="Z960" s="242"/>
      <c r="AA960" s="242"/>
      <c r="AB960" s="242"/>
      <c r="AC960" s="242"/>
    </row>
    <row r="961">
      <c r="A961" s="242"/>
      <c r="B961" s="242"/>
      <c r="C961" s="242"/>
      <c r="D961" s="242"/>
      <c r="E961" s="242"/>
      <c r="F961" s="242"/>
      <c r="G961" s="242"/>
      <c r="H961" s="242"/>
      <c r="I961" s="242"/>
      <c r="J961" s="13"/>
      <c r="K961" s="15"/>
      <c r="L961" s="341"/>
      <c r="M961" s="13"/>
      <c r="N961" s="13"/>
      <c r="O961" s="13"/>
      <c r="P961" s="13"/>
      <c r="Q961" s="242"/>
      <c r="R961" s="13"/>
      <c r="S961" s="242"/>
      <c r="T961" s="13"/>
      <c r="U961" s="242"/>
      <c r="V961" s="242"/>
      <c r="W961" s="242"/>
      <c r="X961" s="242"/>
      <c r="Y961" s="242"/>
      <c r="Z961" s="242"/>
      <c r="AA961" s="242"/>
      <c r="AB961" s="242"/>
      <c r="AC961" s="242"/>
    </row>
    <row r="962">
      <c r="A962" s="242"/>
      <c r="B962" s="242"/>
      <c r="C962" s="242"/>
      <c r="D962" s="242"/>
      <c r="E962" s="242"/>
      <c r="F962" s="242"/>
      <c r="G962" s="242"/>
      <c r="H962" s="242"/>
      <c r="I962" s="242"/>
      <c r="J962" s="13"/>
      <c r="K962" s="15"/>
      <c r="L962" s="341"/>
      <c r="M962" s="13"/>
      <c r="N962" s="13"/>
      <c r="O962" s="13"/>
      <c r="P962" s="13"/>
      <c r="Q962" s="242"/>
      <c r="R962" s="13"/>
      <c r="S962" s="242"/>
      <c r="T962" s="13"/>
      <c r="U962" s="242"/>
      <c r="V962" s="242"/>
      <c r="W962" s="242"/>
      <c r="X962" s="242"/>
      <c r="Y962" s="242"/>
      <c r="Z962" s="242"/>
      <c r="AA962" s="242"/>
      <c r="AB962" s="242"/>
      <c r="AC962" s="242"/>
    </row>
    <row r="963">
      <c r="A963" s="242"/>
      <c r="B963" s="242"/>
      <c r="C963" s="242"/>
      <c r="D963" s="242"/>
      <c r="E963" s="242"/>
      <c r="F963" s="242"/>
      <c r="G963" s="242"/>
      <c r="H963" s="242"/>
      <c r="I963" s="242"/>
      <c r="J963" s="13"/>
      <c r="K963" s="15"/>
      <c r="L963" s="341"/>
      <c r="M963" s="13"/>
      <c r="N963" s="13"/>
      <c r="O963" s="13"/>
      <c r="P963" s="13"/>
      <c r="Q963" s="242"/>
      <c r="R963" s="13"/>
      <c r="S963" s="242"/>
      <c r="T963" s="13"/>
      <c r="U963" s="242"/>
      <c r="V963" s="242"/>
      <c r="W963" s="242"/>
      <c r="X963" s="242"/>
      <c r="Y963" s="242"/>
      <c r="Z963" s="242"/>
      <c r="AA963" s="242"/>
      <c r="AB963" s="242"/>
      <c r="AC963" s="242"/>
    </row>
    <row r="964">
      <c r="A964" s="242"/>
      <c r="B964" s="242"/>
      <c r="C964" s="242"/>
      <c r="D964" s="242"/>
      <c r="E964" s="242"/>
      <c r="F964" s="242"/>
      <c r="G964" s="242"/>
      <c r="H964" s="242"/>
      <c r="I964" s="242"/>
      <c r="J964" s="13"/>
      <c r="K964" s="15"/>
      <c r="L964" s="341"/>
      <c r="M964" s="13"/>
      <c r="N964" s="13"/>
      <c r="O964" s="13"/>
      <c r="P964" s="13"/>
      <c r="Q964" s="242"/>
      <c r="R964" s="13"/>
      <c r="S964" s="242"/>
      <c r="T964" s="13"/>
      <c r="U964" s="242"/>
      <c r="V964" s="242"/>
      <c r="W964" s="242"/>
      <c r="X964" s="242"/>
      <c r="Y964" s="242"/>
      <c r="Z964" s="242"/>
      <c r="AA964" s="242"/>
      <c r="AB964" s="242"/>
      <c r="AC964" s="242"/>
    </row>
    <row r="965">
      <c r="A965" s="242"/>
      <c r="B965" s="242"/>
      <c r="C965" s="242"/>
      <c r="D965" s="242"/>
      <c r="E965" s="242"/>
      <c r="F965" s="242"/>
      <c r="G965" s="242"/>
      <c r="H965" s="242"/>
      <c r="I965" s="242"/>
      <c r="J965" s="13"/>
      <c r="K965" s="15"/>
      <c r="L965" s="341"/>
      <c r="M965" s="13"/>
      <c r="N965" s="13"/>
      <c r="O965" s="13"/>
      <c r="P965" s="13"/>
      <c r="Q965" s="242"/>
      <c r="R965" s="13"/>
      <c r="S965" s="242"/>
      <c r="T965" s="13"/>
      <c r="U965" s="242"/>
      <c r="V965" s="242"/>
      <c r="W965" s="242"/>
      <c r="X965" s="242"/>
      <c r="Y965" s="242"/>
      <c r="Z965" s="242"/>
      <c r="AA965" s="242"/>
      <c r="AB965" s="242"/>
      <c r="AC965" s="242"/>
    </row>
    <row r="966">
      <c r="A966" s="242"/>
      <c r="B966" s="242"/>
      <c r="C966" s="242"/>
      <c r="D966" s="242"/>
      <c r="E966" s="242"/>
      <c r="F966" s="242"/>
      <c r="G966" s="242"/>
      <c r="H966" s="242"/>
      <c r="I966" s="242"/>
      <c r="J966" s="13"/>
      <c r="K966" s="15"/>
      <c r="L966" s="341"/>
      <c r="M966" s="13"/>
      <c r="N966" s="13"/>
      <c r="O966" s="13"/>
      <c r="P966" s="13"/>
      <c r="Q966" s="242"/>
      <c r="R966" s="13"/>
      <c r="S966" s="242"/>
      <c r="T966" s="13"/>
      <c r="U966" s="242"/>
      <c r="V966" s="242"/>
      <c r="W966" s="242"/>
      <c r="X966" s="242"/>
      <c r="Y966" s="242"/>
      <c r="Z966" s="242"/>
      <c r="AA966" s="242"/>
      <c r="AB966" s="242"/>
      <c r="AC966" s="242"/>
    </row>
    <row r="967">
      <c r="A967" s="242"/>
      <c r="B967" s="242"/>
      <c r="C967" s="242"/>
      <c r="D967" s="242"/>
      <c r="E967" s="242"/>
      <c r="F967" s="242"/>
      <c r="G967" s="242"/>
      <c r="H967" s="242"/>
      <c r="I967" s="242"/>
      <c r="J967" s="13"/>
      <c r="K967" s="15"/>
      <c r="L967" s="341"/>
      <c r="M967" s="13"/>
      <c r="N967" s="13"/>
      <c r="O967" s="13"/>
      <c r="P967" s="13"/>
      <c r="Q967" s="242"/>
      <c r="R967" s="13"/>
      <c r="S967" s="242"/>
      <c r="T967" s="13"/>
      <c r="U967" s="242"/>
      <c r="V967" s="242"/>
      <c r="W967" s="242"/>
      <c r="X967" s="242"/>
      <c r="Y967" s="242"/>
      <c r="Z967" s="242"/>
      <c r="AA967" s="242"/>
      <c r="AB967" s="242"/>
      <c r="AC967" s="242"/>
    </row>
    <row r="968">
      <c r="A968" s="242"/>
      <c r="B968" s="242"/>
      <c r="C968" s="242"/>
      <c r="D968" s="242"/>
      <c r="E968" s="242"/>
      <c r="F968" s="242"/>
      <c r="G968" s="242"/>
      <c r="H968" s="242"/>
      <c r="I968" s="242"/>
      <c r="J968" s="13"/>
      <c r="K968" s="15"/>
      <c r="L968" s="341"/>
      <c r="M968" s="13"/>
      <c r="N968" s="13"/>
      <c r="O968" s="13"/>
      <c r="P968" s="13"/>
      <c r="Q968" s="242"/>
      <c r="R968" s="13"/>
      <c r="S968" s="242"/>
      <c r="T968" s="13"/>
      <c r="U968" s="242"/>
      <c r="V968" s="242"/>
      <c r="W968" s="242"/>
      <c r="X968" s="242"/>
      <c r="Y968" s="242"/>
      <c r="Z968" s="242"/>
      <c r="AA968" s="242"/>
      <c r="AB968" s="242"/>
      <c r="AC968" s="242"/>
    </row>
    <row r="969">
      <c r="A969" s="242"/>
      <c r="B969" s="242"/>
      <c r="C969" s="242"/>
      <c r="D969" s="242"/>
      <c r="E969" s="242"/>
      <c r="F969" s="242"/>
      <c r="G969" s="242"/>
      <c r="H969" s="242"/>
      <c r="I969" s="242"/>
      <c r="J969" s="13"/>
      <c r="K969" s="15"/>
      <c r="L969" s="341"/>
      <c r="M969" s="13"/>
      <c r="N969" s="13"/>
      <c r="O969" s="13"/>
      <c r="P969" s="13"/>
      <c r="Q969" s="242"/>
      <c r="R969" s="13"/>
      <c r="S969" s="242"/>
      <c r="T969" s="13"/>
      <c r="U969" s="242"/>
      <c r="V969" s="242"/>
      <c r="W969" s="242"/>
      <c r="X969" s="242"/>
      <c r="Y969" s="242"/>
      <c r="Z969" s="242"/>
      <c r="AA969" s="242"/>
      <c r="AB969" s="242"/>
      <c r="AC969" s="242"/>
    </row>
    <row r="970">
      <c r="A970" s="242"/>
      <c r="B970" s="242"/>
      <c r="C970" s="242"/>
      <c r="D970" s="242"/>
      <c r="E970" s="242"/>
      <c r="F970" s="242"/>
      <c r="G970" s="242"/>
      <c r="H970" s="242"/>
      <c r="I970" s="242"/>
      <c r="J970" s="13"/>
      <c r="K970" s="15"/>
      <c r="L970" s="341"/>
      <c r="M970" s="13"/>
      <c r="N970" s="13"/>
      <c r="O970" s="13"/>
      <c r="P970" s="13"/>
      <c r="Q970" s="242"/>
      <c r="R970" s="13"/>
      <c r="S970" s="242"/>
      <c r="T970" s="13"/>
      <c r="U970" s="242"/>
      <c r="V970" s="242"/>
      <c r="W970" s="242"/>
      <c r="X970" s="242"/>
      <c r="Y970" s="242"/>
      <c r="Z970" s="242"/>
      <c r="AA970" s="242"/>
      <c r="AB970" s="242"/>
      <c r="AC970" s="242"/>
    </row>
    <row r="971">
      <c r="A971" s="242"/>
      <c r="B971" s="242"/>
      <c r="C971" s="242"/>
      <c r="D971" s="242"/>
      <c r="E971" s="242"/>
      <c r="F971" s="242"/>
      <c r="G971" s="242"/>
      <c r="H971" s="242"/>
      <c r="I971" s="242"/>
      <c r="J971" s="13"/>
      <c r="K971" s="15"/>
      <c r="L971" s="341"/>
      <c r="M971" s="13"/>
      <c r="N971" s="13"/>
      <c r="O971" s="13"/>
      <c r="P971" s="13"/>
      <c r="Q971" s="242"/>
      <c r="R971" s="13"/>
      <c r="S971" s="242"/>
      <c r="T971" s="13"/>
      <c r="U971" s="242"/>
      <c r="V971" s="242"/>
      <c r="W971" s="242"/>
      <c r="X971" s="242"/>
      <c r="Y971" s="242"/>
      <c r="Z971" s="242"/>
      <c r="AA971" s="242"/>
      <c r="AB971" s="242"/>
      <c r="AC971" s="242"/>
    </row>
    <row r="972">
      <c r="A972" s="242"/>
      <c r="B972" s="242"/>
      <c r="C972" s="242"/>
      <c r="D972" s="242"/>
      <c r="E972" s="242"/>
      <c r="F972" s="242"/>
      <c r="G972" s="242"/>
      <c r="H972" s="242"/>
      <c r="I972" s="242"/>
      <c r="J972" s="13"/>
      <c r="K972" s="15"/>
      <c r="L972" s="341"/>
      <c r="M972" s="13"/>
      <c r="N972" s="13"/>
      <c r="O972" s="13"/>
      <c r="P972" s="13"/>
      <c r="Q972" s="242"/>
      <c r="R972" s="13"/>
      <c r="S972" s="242"/>
      <c r="T972" s="13"/>
      <c r="U972" s="242"/>
      <c r="V972" s="242"/>
      <c r="W972" s="242"/>
      <c r="X972" s="242"/>
      <c r="Y972" s="242"/>
      <c r="Z972" s="242"/>
      <c r="AA972" s="242"/>
      <c r="AB972" s="242"/>
      <c r="AC972" s="242"/>
    </row>
    <row r="973">
      <c r="A973" s="242"/>
      <c r="B973" s="242"/>
      <c r="C973" s="242"/>
      <c r="D973" s="242"/>
      <c r="E973" s="242"/>
      <c r="F973" s="242"/>
      <c r="G973" s="242"/>
      <c r="H973" s="242"/>
      <c r="I973" s="242"/>
      <c r="J973" s="13"/>
      <c r="K973" s="15"/>
      <c r="L973" s="341"/>
      <c r="M973" s="13"/>
      <c r="N973" s="13"/>
      <c r="O973" s="13"/>
      <c r="P973" s="13"/>
      <c r="Q973" s="242"/>
      <c r="R973" s="13"/>
      <c r="S973" s="242"/>
      <c r="T973" s="13"/>
      <c r="U973" s="242"/>
      <c r="V973" s="242"/>
      <c r="W973" s="242"/>
      <c r="X973" s="242"/>
      <c r="Y973" s="242"/>
      <c r="Z973" s="242"/>
      <c r="AA973" s="242"/>
      <c r="AB973" s="242"/>
      <c r="AC973" s="242"/>
    </row>
    <row r="974">
      <c r="A974" s="242"/>
      <c r="B974" s="242"/>
      <c r="C974" s="242"/>
      <c r="D974" s="242"/>
      <c r="E974" s="242"/>
      <c r="F974" s="242"/>
      <c r="G974" s="242"/>
      <c r="H974" s="242"/>
      <c r="I974" s="242"/>
      <c r="J974" s="13"/>
      <c r="K974" s="15"/>
      <c r="L974" s="341"/>
      <c r="M974" s="13"/>
      <c r="N974" s="13"/>
      <c r="O974" s="13"/>
      <c r="P974" s="13"/>
      <c r="Q974" s="242"/>
      <c r="R974" s="13"/>
      <c r="S974" s="242"/>
      <c r="T974" s="13"/>
      <c r="U974" s="242"/>
      <c r="V974" s="242"/>
      <c r="W974" s="242"/>
      <c r="X974" s="242"/>
      <c r="Y974" s="242"/>
      <c r="Z974" s="242"/>
      <c r="AA974" s="242"/>
      <c r="AB974" s="242"/>
      <c r="AC974" s="242"/>
    </row>
    <row r="975">
      <c r="A975" s="242"/>
      <c r="B975" s="242"/>
      <c r="C975" s="242"/>
      <c r="D975" s="242"/>
      <c r="E975" s="242"/>
      <c r="F975" s="242"/>
      <c r="G975" s="242"/>
      <c r="H975" s="242"/>
      <c r="I975" s="242"/>
      <c r="J975" s="13"/>
      <c r="K975" s="15"/>
      <c r="L975" s="341"/>
      <c r="M975" s="13"/>
      <c r="N975" s="13"/>
      <c r="O975" s="13"/>
      <c r="P975" s="13"/>
      <c r="Q975" s="242"/>
      <c r="R975" s="13"/>
      <c r="S975" s="242"/>
      <c r="T975" s="13"/>
      <c r="U975" s="242"/>
      <c r="V975" s="242"/>
      <c r="W975" s="242"/>
      <c r="X975" s="242"/>
      <c r="Y975" s="242"/>
      <c r="Z975" s="242"/>
      <c r="AA975" s="242"/>
      <c r="AB975" s="242"/>
      <c r="AC975" s="242"/>
    </row>
    <row r="976">
      <c r="A976" s="242"/>
      <c r="B976" s="242"/>
      <c r="C976" s="242"/>
      <c r="D976" s="242"/>
      <c r="E976" s="242"/>
      <c r="F976" s="242"/>
      <c r="G976" s="242"/>
      <c r="H976" s="242"/>
      <c r="I976" s="242"/>
      <c r="J976" s="13"/>
      <c r="K976" s="15"/>
      <c r="L976" s="341"/>
      <c r="M976" s="13"/>
      <c r="N976" s="13"/>
      <c r="O976" s="13"/>
      <c r="P976" s="13"/>
      <c r="Q976" s="242"/>
      <c r="R976" s="13"/>
      <c r="S976" s="242"/>
      <c r="T976" s="13"/>
      <c r="U976" s="242"/>
      <c r="V976" s="242"/>
      <c r="W976" s="242"/>
      <c r="X976" s="242"/>
      <c r="Y976" s="242"/>
      <c r="Z976" s="242"/>
      <c r="AA976" s="242"/>
      <c r="AB976" s="242"/>
      <c r="AC976" s="242"/>
    </row>
    <row r="977">
      <c r="A977" s="242"/>
      <c r="B977" s="242"/>
      <c r="C977" s="242"/>
      <c r="D977" s="242"/>
      <c r="E977" s="242"/>
      <c r="F977" s="242"/>
      <c r="G977" s="242"/>
      <c r="H977" s="242"/>
      <c r="I977" s="242"/>
      <c r="J977" s="13"/>
      <c r="K977" s="15"/>
      <c r="L977" s="341"/>
      <c r="M977" s="13"/>
      <c r="N977" s="13"/>
      <c r="O977" s="13"/>
      <c r="P977" s="13"/>
      <c r="Q977" s="242"/>
      <c r="R977" s="13"/>
      <c r="S977" s="242"/>
      <c r="T977" s="13"/>
      <c r="U977" s="242"/>
      <c r="V977" s="242"/>
      <c r="W977" s="242"/>
      <c r="X977" s="242"/>
      <c r="Y977" s="242"/>
      <c r="Z977" s="242"/>
      <c r="AA977" s="242"/>
      <c r="AB977" s="242"/>
      <c r="AC977" s="242"/>
    </row>
    <row r="978">
      <c r="A978" s="242"/>
      <c r="B978" s="242"/>
      <c r="C978" s="242"/>
      <c r="D978" s="242"/>
      <c r="E978" s="242"/>
      <c r="F978" s="242"/>
      <c r="G978" s="242"/>
      <c r="H978" s="242"/>
      <c r="I978" s="242"/>
      <c r="J978" s="13"/>
      <c r="K978" s="15"/>
      <c r="L978" s="341"/>
      <c r="M978" s="13"/>
      <c r="N978" s="13"/>
      <c r="O978" s="13"/>
      <c r="P978" s="13"/>
      <c r="Q978" s="242"/>
      <c r="R978" s="13"/>
      <c r="S978" s="242"/>
      <c r="T978" s="13"/>
      <c r="U978" s="242"/>
      <c r="V978" s="242"/>
      <c r="W978" s="242"/>
      <c r="X978" s="242"/>
      <c r="Y978" s="242"/>
      <c r="Z978" s="242"/>
      <c r="AA978" s="242"/>
      <c r="AB978" s="242"/>
      <c r="AC978" s="242"/>
    </row>
    <row r="979">
      <c r="A979" s="242"/>
      <c r="B979" s="242"/>
      <c r="C979" s="242"/>
      <c r="D979" s="242"/>
      <c r="E979" s="242"/>
      <c r="F979" s="242"/>
      <c r="G979" s="242"/>
      <c r="H979" s="242"/>
      <c r="I979" s="242"/>
      <c r="J979" s="13"/>
      <c r="K979" s="15"/>
      <c r="L979" s="341"/>
      <c r="M979" s="13"/>
      <c r="N979" s="13"/>
      <c r="O979" s="13"/>
      <c r="P979" s="13"/>
      <c r="Q979" s="242"/>
      <c r="R979" s="13"/>
      <c r="S979" s="242"/>
      <c r="T979" s="13"/>
      <c r="U979" s="242"/>
      <c r="V979" s="242"/>
      <c r="W979" s="242"/>
      <c r="X979" s="242"/>
      <c r="Y979" s="242"/>
      <c r="Z979" s="242"/>
      <c r="AA979" s="242"/>
      <c r="AB979" s="242"/>
      <c r="AC979" s="242"/>
    </row>
    <row r="980">
      <c r="A980" s="242"/>
      <c r="B980" s="242"/>
      <c r="C980" s="242"/>
      <c r="D980" s="242"/>
      <c r="E980" s="242"/>
      <c r="F980" s="242"/>
      <c r="G980" s="242"/>
      <c r="H980" s="242"/>
      <c r="I980" s="242"/>
      <c r="J980" s="13"/>
      <c r="K980" s="15"/>
      <c r="L980" s="341"/>
      <c r="M980" s="13"/>
      <c r="N980" s="13"/>
      <c r="O980" s="13"/>
      <c r="P980" s="13"/>
      <c r="Q980" s="242"/>
      <c r="R980" s="13"/>
      <c r="S980" s="242"/>
      <c r="T980" s="13"/>
      <c r="U980" s="242"/>
      <c r="V980" s="242"/>
      <c r="W980" s="242"/>
      <c r="X980" s="242"/>
      <c r="Y980" s="242"/>
      <c r="Z980" s="242"/>
      <c r="AA980" s="242"/>
      <c r="AB980" s="242"/>
      <c r="AC980" s="242"/>
    </row>
    <row r="981">
      <c r="A981" s="242"/>
      <c r="B981" s="242"/>
      <c r="C981" s="242"/>
      <c r="D981" s="242"/>
      <c r="E981" s="242"/>
      <c r="F981" s="242"/>
      <c r="G981" s="242"/>
      <c r="H981" s="242"/>
      <c r="I981" s="242"/>
      <c r="J981" s="13"/>
      <c r="K981" s="15"/>
      <c r="L981" s="341"/>
      <c r="M981" s="13"/>
      <c r="N981" s="13"/>
      <c r="O981" s="13"/>
      <c r="P981" s="13"/>
      <c r="Q981" s="242"/>
      <c r="R981" s="13"/>
      <c r="S981" s="242"/>
      <c r="T981" s="13"/>
      <c r="U981" s="242"/>
      <c r="V981" s="242"/>
      <c r="W981" s="242"/>
      <c r="X981" s="242"/>
      <c r="Y981" s="242"/>
      <c r="Z981" s="242"/>
      <c r="AA981" s="242"/>
      <c r="AB981" s="242"/>
      <c r="AC981" s="242"/>
    </row>
    <row r="982">
      <c r="A982" s="242"/>
      <c r="B982" s="242"/>
      <c r="C982" s="242"/>
      <c r="D982" s="242"/>
      <c r="E982" s="242"/>
      <c r="F982" s="242"/>
      <c r="G982" s="242"/>
      <c r="H982" s="242"/>
      <c r="I982" s="242"/>
      <c r="J982" s="13"/>
      <c r="K982" s="15"/>
      <c r="L982" s="341"/>
      <c r="M982" s="13"/>
      <c r="N982" s="13"/>
      <c r="O982" s="13"/>
      <c r="P982" s="13"/>
      <c r="Q982" s="242"/>
      <c r="R982" s="13"/>
      <c r="S982" s="242"/>
      <c r="T982" s="13"/>
      <c r="U982" s="242"/>
      <c r="V982" s="242"/>
      <c r="W982" s="242"/>
      <c r="X982" s="242"/>
      <c r="Y982" s="242"/>
      <c r="Z982" s="242"/>
      <c r="AA982" s="242"/>
      <c r="AB982" s="242"/>
      <c r="AC982" s="242"/>
    </row>
    <row r="983">
      <c r="A983" s="242"/>
      <c r="B983" s="242"/>
      <c r="C983" s="242"/>
      <c r="D983" s="242"/>
      <c r="E983" s="242"/>
      <c r="F983" s="242"/>
      <c r="G983" s="242"/>
      <c r="H983" s="242"/>
      <c r="I983" s="242"/>
      <c r="J983" s="13"/>
      <c r="K983" s="15"/>
      <c r="L983" s="341"/>
      <c r="M983" s="13"/>
      <c r="N983" s="13"/>
      <c r="O983" s="13"/>
      <c r="P983" s="13"/>
      <c r="Q983" s="242"/>
      <c r="R983" s="13"/>
      <c r="S983" s="242"/>
      <c r="T983" s="13"/>
      <c r="U983" s="242"/>
      <c r="V983" s="242"/>
      <c r="W983" s="242"/>
      <c r="X983" s="242"/>
      <c r="Y983" s="242"/>
      <c r="Z983" s="242"/>
      <c r="AA983" s="242"/>
      <c r="AB983" s="242"/>
      <c r="AC983" s="242"/>
    </row>
    <row r="984">
      <c r="A984" s="242"/>
      <c r="B984" s="242"/>
      <c r="C984" s="242"/>
      <c r="D984" s="242"/>
      <c r="E984" s="242"/>
      <c r="F984" s="242"/>
      <c r="G984" s="242"/>
      <c r="H984" s="242"/>
      <c r="I984" s="242"/>
      <c r="J984" s="13"/>
      <c r="K984" s="15"/>
      <c r="L984" s="341"/>
      <c r="M984" s="13"/>
      <c r="N984" s="13"/>
      <c r="O984" s="13"/>
      <c r="P984" s="13"/>
      <c r="Q984" s="242"/>
      <c r="R984" s="13"/>
      <c r="S984" s="242"/>
      <c r="T984" s="13"/>
      <c r="U984" s="242"/>
      <c r="V984" s="242"/>
      <c r="W984" s="242"/>
      <c r="X984" s="242"/>
      <c r="Y984" s="242"/>
      <c r="Z984" s="242"/>
      <c r="AA984" s="242"/>
      <c r="AB984" s="242"/>
      <c r="AC984" s="242"/>
    </row>
    <row r="985">
      <c r="A985" s="242"/>
      <c r="B985" s="242"/>
      <c r="C985" s="242"/>
      <c r="D985" s="242"/>
      <c r="E985" s="242"/>
      <c r="F985" s="242"/>
      <c r="G985" s="242"/>
      <c r="H985" s="242"/>
      <c r="I985" s="242"/>
      <c r="J985" s="13"/>
      <c r="K985" s="15"/>
      <c r="L985" s="341"/>
      <c r="M985" s="13"/>
      <c r="N985" s="13"/>
      <c r="O985" s="13"/>
      <c r="P985" s="13"/>
      <c r="Q985" s="242"/>
      <c r="R985" s="13"/>
      <c r="S985" s="242"/>
      <c r="T985" s="13"/>
      <c r="U985" s="242"/>
      <c r="V985" s="242"/>
      <c r="W985" s="242"/>
      <c r="X985" s="242"/>
      <c r="Y985" s="242"/>
      <c r="Z985" s="242"/>
      <c r="AA985" s="242"/>
      <c r="AB985" s="242"/>
      <c r="AC985" s="242"/>
    </row>
    <row r="986">
      <c r="A986" s="242"/>
      <c r="B986" s="242"/>
      <c r="C986" s="242"/>
      <c r="D986" s="242"/>
      <c r="E986" s="242"/>
      <c r="F986" s="242"/>
      <c r="G986" s="242"/>
      <c r="H986" s="242"/>
      <c r="I986" s="242"/>
      <c r="J986" s="13"/>
      <c r="K986" s="15"/>
      <c r="L986" s="341"/>
      <c r="M986" s="13"/>
      <c r="N986" s="13"/>
      <c r="O986" s="13"/>
      <c r="P986" s="13"/>
      <c r="Q986" s="242"/>
      <c r="R986" s="13"/>
      <c r="S986" s="242"/>
      <c r="T986" s="13"/>
      <c r="U986" s="242"/>
      <c r="V986" s="242"/>
      <c r="W986" s="242"/>
      <c r="X986" s="242"/>
      <c r="Y986" s="242"/>
      <c r="Z986" s="242"/>
      <c r="AA986" s="242"/>
      <c r="AB986" s="242"/>
      <c r="AC986" s="242"/>
    </row>
    <row r="987">
      <c r="A987" s="242"/>
      <c r="B987" s="242"/>
      <c r="C987" s="242"/>
      <c r="D987" s="242"/>
      <c r="E987" s="242"/>
      <c r="F987" s="242"/>
      <c r="G987" s="242"/>
      <c r="H987" s="242"/>
      <c r="I987" s="242"/>
      <c r="J987" s="13"/>
      <c r="K987" s="15"/>
      <c r="L987" s="341"/>
      <c r="M987" s="13"/>
      <c r="N987" s="13"/>
      <c r="O987" s="13"/>
      <c r="P987" s="13"/>
      <c r="Q987" s="242"/>
      <c r="R987" s="13"/>
      <c r="S987" s="242"/>
      <c r="T987" s="13"/>
      <c r="U987" s="242"/>
      <c r="V987" s="242"/>
      <c r="W987" s="242"/>
      <c r="X987" s="242"/>
      <c r="Y987" s="242"/>
      <c r="Z987" s="242"/>
      <c r="AA987" s="242"/>
      <c r="AB987" s="242"/>
      <c r="AC987" s="242"/>
    </row>
    <row r="988">
      <c r="A988" s="242"/>
      <c r="B988" s="242"/>
      <c r="C988" s="242"/>
      <c r="D988" s="242"/>
      <c r="E988" s="242"/>
      <c r="F988" s="242"/>
      <c r="G988" s="242"/>
      <c r="H988" s="242"/>
      <c r="I988" s="242"/>
      <c r="J988" s="13"/>
      <c r="K988" s="15"/>
      <c r="L988" s="341"/>
      <c r="M988" s="13"/>
      <c r="N988" s="13"/>
      <c r="O988" s="13"/>
      <c r="P988" s="13"/>
      <c r="Q988" s="242"/>
      <c r="R988" s="13"/>
      <c r="S988" s="242"/>
      <c r="T988" s="13"/>
      <c r="U988" s="242"/>
      <c r="V988" s="242"/>
      <c r="W988" s="242"/>
      <c r="X988" s="242"/>
      <c r="Y988" s="242"/>
      <c r="Z988" s="242"/>
      <c r="AA988" s="242"/>
      <c r="AB988" s="242"/>
      <c r="AC988" s="242"/>
    </row>
    <row r="989">
      <c r="A989" s="242"/>
      <c r="B989" s="242"/>
      <c r="C989" s="242"/>
      <c r="D989" s="242"/>
      <c r="E989" s="242"/>
      <c r="F989" s="242"/>
      <c r="G989" s="242"/>
      <c r="H989" s="242"/>
      <c r="I989" s="242"/>
      <c r="J989" s="13"/>
      <c r="K989" s="15"/>
      <c r="L989" s="341"/>
      <c r="M989" s="13"/>
      <c r="N989" s="13"/>
      <c r="O989" s="13"/>
      <c r="P989" s="13"/>
      <c r="Q989" s="242"/>
      <c r="R989" s="13"/>
      <c r="S989" s="242"/>
      <c r="T989" s="13"/>
      <c r="U989" s="242"/>
      <c r="V989" s="242"/>
      <c r="W989" s="242"/>
      <c r="X989" s="242"/>
      <c r="Y989" s="242"/>
      <c r="Z989" s="242"/>
      <c r="AA989" s="242"/>
      <c r="AB989" s="242"/>
      <c r="AC989" s="242"/>
    </row>
    <row r="990">
      <c r="A990" s="242"/>
      <c r="B990" s="242"/>
      <c r="C990" s="242"/>
      <c r="D990" s="242"/>
      <c r="E990" s="242"/>
      <c r="F990" s="242"/>
      <c r="G990" s="242"/>
      <c r="H990" s="242"/>
      <c r="I990" s="242"/>
      <c r="J990" s="13"/>
      <c r="K990" s="15"/>
      <c r="L990" s="341"/>
      <c r="M990" s="13"/>
      <c r="N990" s="13"/>
      <c r="O990" s="13"/>
      <c r="P990" s="13"/>
      <c r="Q990" s="242"/>
      <c r="R990" s="13"/>
      <c r="S990" s="242"/>
      <c r="T990" s="13"/>
      <c r="U990" s="242"/>
      <c r="V990" s="242"/>
      <c r="W990" s="242"/>
      <c r="X990" s="242"/>
      <c r="Y990" s="242"/>
      <c r="Z990" s="242"/>
      <c r="AA990" s="242"/>
      <c r="AB990" s="242"/>
      <c r="AC990" s="242"/>
    </row>
    <row r="991">
      <c r="A991" s="242"/>
      <c r="B991" s="242"/>
      <c r="C991" s="242"/>
      <c r="D991" s="242"/>
      <c r="E991" s="242"/>
      <c r="F991" s="242"/>
      <c r="G991" s="242"/>
      <c r="H991" s="242"/>
      <c r="I991" s="242"/>
      <c r="J991" s="13"/>
      <c r="K991" s="15"/>
      <c r="L991" s="341"/>
      <c r="M991" s="13"/>
      <c r="N991" s="13"/>
      <c r="O991" s="13"/>
      <c r="P991" s="13"/>
      <c r="Q991" s="242"/>
      <c r="R991" s="13"/>
      <c r="S991" s="242"/>
      <c r="T991" s="13"/>
      <c r="U991" s="242"/>
      <c r="V991" s="242"/>
      <c r="W991" s="242"/>
      <c r="X991" s="242"/>
      <c r="Y991" s="242"/>
      <c r="Z991" s="242"/>
      <c r="AA991" s="242"/>
      <c r="AB991" s="242"/>
      <c r="AC991" s="242"/>
    </row>
    <row r="992">
      <c r="A992" s="242"/>
      <c r="B992" s="242"/>
      <c r="C992" s="242"/>
      <c r="D992" s="242"/>
      <c r="E992" s="242"/>
      <c r="F992" s="242"/>
      <c r="G992" s="242"/>
      <c r="H992" s="242"/>
      <c r="I992" s="242"/>
      <c r="J992" s="13"/>
      <c r="K992" s="15"/>
      <c r="L992" s="341"/>
      <c r="M992" s="13"/>
      <c r="N992" s="13"/>
      <c r="O992" s="13"/>
      <c r="P992" s="13"/>
      <c r="Q992" s="242"/>
      <c r="R992" s="13"/>
      <c r="S992" s="242"/>
      <c r="T992" s="13"/>
      <c r="U992" s="242"/>
      <c r="V992" s="242"/>
      <c r="W992" s="242"/>
      <c r="X992" s="242"/>
      <c r="Y992" s="242"/>
      <c r="Z992" s="242"/>
      <c r="AA992" s="242"/>
      <c r="AB992" s="242"/>
      <c r="AC992" s="242"/>
    </row>
    <row r="993">
      <c r="A993" s="242"/>
      <c r="B993" s="242"/>
      <c r="C993" s="242"/>
      <c r="D993" s="242"/>
      <c r="E993" s="242"/>
      <c r="F993" s="242"/>
      <c r="G993" s="242"/>
      <c r="H993" s="242"/>
      <c r="I993" s="242"/>
      <c r="J993" s="13"/>
      <c r="K993" s="15"/>
      <c r="L993" s="341"/>
      <c r="M993" s="13"/>
      <c r="N993" s="13"/>
      <c r="O993" s="13"/>
      <c r="P993" s="13"/>
      <c r="Q993" s="242"/>
      <c r="R993" s="13"/>
      <c r="S993" s="242"/>
      <c r="T993" s="13"/>
      <c r="U993" s="242"/>
      <c r="V993" s="242"/>
      <c r="W993" s="242"/>
      <c r="X993" s="242"/>
      <c r="Y993" s="242"/>
      <c r="Z993" s="242"/>
      <c r="AA993" s="242"/>
      <c r="AB993" s="242"/>
      <c r="AC993" s="242"/>
    </row>
    <row r="994">
      <c r="A994" s="242"/>
      <c r="B994" s="242"/>
      <c r="C994" s="242"/>
      <c r="D994" s="242"/>
      <c r="E994" s="242"/>
      <c r="F994" s="242"/>
      <c r="G994" s="242"/>
      <c r="H994" s="242"/>
      <c r="I994" s="242"/>
      <c r="J994" s="13"/>
      <c r="K994" s="15"/>
      <c r="L994" s="341"/>
      <c r="M994" s="13"/>
      <c r="N994" s="13"/>
      <c r="O994" s="13"/>
      <c r="P994" s="13"/>
      <c r="Q994" s="242"/>
      <c r="R994" s="13"/>
      <c r="S994" s="242"/>
      <c r="T994" s="13"/>
      <c r="U994" s="242"/>
      <c r="V994" s="242"/>
      <c r="W994" s="242"/>
      <c r="X994" s="242"/>
      <c r="Y994" s="242"/>
      <c r="Z994" s="242"/>
      <c r="AA994" s="242"/>
      <c r="AB994" s="242"/>
      <c r="AC994" s="242"/>
    </row>
    <row r="995">
      <c r="A995" s="242"/>
      <c r="B995" s="242"/>
      <c r="C995" s="242"/>
      <c r="D995" s="242"/>
      <c r="E995" s="242"/>
      <c r="F995" s="242"/>
      <c r="G995" s="242"/>
      <c r="H995" s="242"/>
      <c r="I995" s="242"/>
      <c r="J995" s="13"/>
      <c r="K995" s="15"/>
      <c r="L995" s="341"/>
      <c r="M995" s="13"/>
      <c r="N995" s="13"/>
      <c r="O995" s="13"/>
      <c r="P995" s="13"/>
      <c r="Q995" s="242"/>
      <c r="R995" s="13"/>
      <c r="S995" s="242"/>
      <c r="T995" s="13"/>
      <c r="U995" s="242"/>
      <c r="V995" s="242"/>
      <c r="W995" s="242"/>
      <c r="X995" s="242"/>
      <c r="Y995" s="242"/>
      <c r="Z995" s="242"/>
      <c r="AA995" s="242"/>
      <c r="AB995" s="242"/>
      <c r="AC995" s="242"/>
    </row>
    <row r="996">
      <c r="A996" s="242"/>
      <c r="B996" s="242"/>
      <c r="C996" s="242"/>
      <c r="D996" s="242"/>
      <c r="E996" s="242"/>
      <c r="F996" s="242"/>
      <c r="G996" s="242"/>
      <c r="H996" s="242"/>
      <c r="I996" s="242"/>
      <c r="J996" s="13"/>
      <c r="K996" s="15"/>
      <c r="L996" s="341"/>
      <c r="M996" s="13"/>
      <c r="N996" s="13"/>
      <c r="O996" s="13"/>
      <c r="P996" s="13"/>
      <c r="Q996" s="242"/>
      <c r="R996" s="13"/>
      <c r="S996" s="242"/>
      <c r="T996" s="13"/>
      <c r="U996" s="242"/>
      <c r="V996" s="242"/>
      <c r="W996" s="242"/>
      <c r="X996" s="242"/>
      <c r="Y996" s="242"/>
      <c r="Z996" s="242"/>
      <c r="AA996" s="242"/>
      <c r="AB996" s="242"/>
      <c r="AC996" s="242"/>
    </row>
    <row r="997">
      <c r="A997" s="242"/>
      <c r="B997" s="242"/>
      <c r="C997" s="242"/>
      <c r="D997" s="242"/>
      <c r="E997" s="242"/>
      <c r="F997" s="242"/>
      <c r="G997" s="242"/>
      <c r="H997" s="242"/>
      <c r="I997" s="242"/>
      <c r="J997" s="13"/>
      <c r="K997" s="15"/>
      <c r="L997" s="341"/>
      <c r="M997" s="13"/>
      <c r="N997" s="13"/>
      <c r="O997" s="13"/>
      <c r="P997" s="13"/>
      <c r="Q997" s="242"/>
      <c r="R997" s="13"/>
      <c r="S997" s="242"/>
      <c r="T997" s="13"/>
      <c r="U997" s="242"/>
      <c r="V997" s="242"/>
      <c r="W997" s="242"/>
      <c r="X997" s="242"/>
      <c r="Y997" s="242"/>
      <c r="Z997" s="242"/>
      <c r="AA997" s="242"/>
      <c r="AB997" s="242"/>
      <c r="AC997" s="242"/>
    </row>
    <row r="998">
      <c r="A998" s="242"/>
      <c r="B998" s="242"/>
      <c r="C998" s="242"/>
      <c r="D998" s="242"/>
      <c r="E998" s="242"/>
      <c r="F998" s="242"/>
      <c r="G998" s="242"/>
      <c r="H998" s="242"/>
      <c r="I998" s="242"/>
      <c r="J998" s="13"/>
      <c r="K998" s="15"/>
      <c r="L998" s="341"/>
      <c r="M998" s="13"/>
      <c r="N998" s="13"/>
      <c r="O998" s="13"/>
      <c r="P998" s="13"/>
      <c r="Q998" s="242"/>
      <c r="R998" s="13"/>
      <c r="S998" s="242"/>
      <c r="T998" s="13"/>
      <c r="U998" s="242"/>
      <c r="V998" s="242"/>
      <c r="W998" s="242"/>
      <c r="X998" s="242"/>
      <c r="Y998" s="242"/>
      <c r="Z998" s="242"/>
      <c r="AA998" s="242"/>
      <c r="AB998" s="242"/>
      <c r="AC998" s="242"/>
    </row>
    <row r="999">
      <c r="A999" s="242"/>
      <c r="B999" s="242"/>
      <c r="C999" s="242"/>
      <c r="D999" s="242"/>
      <c r="E999" s="242"/>
      <c r="F999" s="242"/>
      <c r="G999" s="242"/>
      <c r="H999" s="242"/>
      <c r="I999" s="242"/>
      <c r="J999" s="13"/>
      <c r="K999" s="15"/>
      <c r="L999" s="341"/>
      <c r="M999" s="13"/>
      <c r="N999" s="13"/>
      <c r="O999" s="13"/>
      <c r="P999" s="13"/>
      <c r="Q999" s="242"/>
      <c r="R999" s="13"/>
      <c r="S999" s="242"/>
      <c r="T999" s="13"/>
      <c r="U999" s="242"/>
      <c r="V999" s="242"/>
      <c r="W999" s="242"/>
      <c r="X999" s="242"/>
      <c r="Y999" s="242"/>
      <c r="Z999" s="242"/>
      <c r="AA999" s="242"/>
      <c r="AB999" s="242"/>
      <c r="AC999" s="242"/>
    </row>
    <row r="1000">
      <c r="A1000" s="242"/>
      <c r="B1000" s="242"/>
      <c r="C1000" s="242"/>
      <c r="D1000" s="242"/>
      <c r="E1000" s="242"/>
      <c r="F1000" s="242"/>
      <c r="G1000" s="242"/>
      <c r="H1000" s="242"/>
      <c r="I1000" s="242"/>
      <c r="J1000" s="13"/>
      <c r="K1000" s="15"/>
      <c r="L1000" s="341"/>
      <c r="M1000" s="13"/>
      <c r="N1000" s="13"/>
      <c r="O1000" s="13"/>
      <c r="P1000" s="13"/>
      <c r="Q1000" s="242"/>
      <c r="R1000" s="13"/>
      <c r="S1000" s="242"/>
      <c r="T1000" s="13"/>
      <c r="U1000" s="242"/>
      <c r="V1000" s="242"/>
      <c r="W1000" s="242"/>
      <c r="X1000" s="242"/>
      <c r="Y1000" s="242"/>
      <c r="Z1000" s="242"/>
      <c r="AA1000" s="242"/>
      <c r="AB1000" s="242"/>
      <c r="AC1000" s="242"/>
    </row>
    <row r="1001">
      <c r="A1001" s="242"/>
      <c r="B1001" s="242"/>
      <c r="C1001" s="242"/>
      <c r="D1001" s="242"/>
      <c r="E1001" s="242"/>
      <c r="F1001" s="242"/>
      <c r="G1001" s="242"/>
      <c r="H1001" s="242"/>
      <c r="I1001" s="242"/>
      <c r="J1001" s="13"/>
      <c r="K1001" s="15"/>
      <c r="L1001" s="341"/>
      <c r="M1001" s="13"/>
      <c r="N1001" s="13"/>
      <c r="O1001" s="13"/>
      <c r="P1001" s="13"/>
      <c r="Q1001" s="242"/>
      <c r="R1001" s="13"/>
      <c r="S1001" s="242"/>
      <c r="T1001" s="13"/>
      <c r="U1001" s="242"/>
      <c r="V1001" s="242"/>
      <c r="W1001" s="242"/>
      <c r="X1001" s="242"/>
      <c r="Y1001" s="242"/>
      <c r="Z1001" s="242"/>
      <c r="AA1001" s="242"/>
      <c r="AB1001" s="242"/>
      <c r="AC1001" s="242"/>
    </row>
    <row r="1002">
      <c r="A1002" s="242"/>
      <c r="B1002" s="242"/>
      <c r="C1002" s="242"/>
      <c r="D1002" s="242"/>
      <c r="E1002" s="242"/>
      <c r="F1002" s="242"/>
      <c r="G1002" s="242"/>
      <c r="H1002" s="242"/>
      <c r="I1002" s="242"/>
      <c r="J1002" s="13"/>
      <c r="K1002" s="15"/>
      <c r="L1002" s="341"/>
      <c r="M1002" s="13"/>
      <c r="N1002" s="13"/>
      <c r="O1002" s="13"/>
      <c r="P1002" s="13"/>
      <c r="Q1002" s="242"/>
      <c r="R1002" s="13"/>
      <c r="S1002" s="242"/>
      <c r="T1002" s="13"/>
      <c r="U1002" s="242"/>
      <c r="V1002" s="242"/>
      <c r="W1002" s="242"/>
      <c r="X1002" s="242"/>
      <c r="Y1002" s="242"/>
      <c r="Z1002" s="242"/>
      <c r="AA1002" s="242"/>
      <c r="AB1002" s="242"/>
      <c r="AC1002" s="242"/>
    </row>
    <row r="1003">
      <c r="A1003" s="242"/>
      <c r="B1003" s="242"/>
      <c r="C1003" s="242"/>
      <c r="D1003" s="242"/>
      <c r="E1003" s="242"/>
      <c r="F1003" s="242"/>
      <c r="G1003" s="242"/>
      <c r="H1003" s="242"/>
      <c r="I1003" s="242"/>
      <c r="J1003" s="13"/>
      <c r="K1003" s="15"/>
      <c r="L1003" s="341"/>
      <c r="M1003" s="13"/>
      <c r="N1003" s="13"/>
      <c r="O1003" s="13"/>
      <c r="P1003" s="13"/>
      <c r="Q1003" s="242"/>
      <c r="R1003" s="13"/>
      <c r="S1003" s="242"/>
      <c r="T1003" s="13"/>
      <c r="U1003" s="242"/>
      <c r="V1003" s="242"/>
      <c r="W1003" s="242"/>
      <c r="X1003" s="242"/>
      <c r="Y1003" s="242"/>
      <c r="Z1003" s="242"/>
      <c r="AA1003" s="242"/>
      <c r="AB1003" s="242"/>
      <c r="AC1003" s="242"/>
    </row>
    <row r="1004">
      <c r="A1004" s="242"/>
      <c r="B1004" s="242"/>
      <c r="C1004" s="242"/>
      <c r="D1004" s="242"/>
      <c r="E1004" s="242"/>
      <c r="F1004" s="242"/>
      <c r="G1004" s="242"/>
      <c r="H1004" s="242"/>
      <c r="I1004" s="242"/>
      <c r="J1004" s="13"/>
      <c r="K1004" s="15"/>
      <c r="L1004" s="341"/>
      <c r="M1004" s="13"/>
      <c r="N1004" s="13"/>
      <c r="O1004" s="13"/>
      <c r="P1004" s="13"/>
      <c r="Q1004" s="242"/>
      <c r="R1004" s="13"/>
      <c r="S1004" s="242"/>
      <c r="T1004" s="13"/>
      <c r="U1004" s="242"/>
      <c r="V1004" s="242"/>
      <c r="W1004" s="242"/>
      <c r="X1004" s="242"/>
      <c r="Y1004" s="242"/>
      <c r="Z1004" s="242"/>
      <c r="AA1004" s="242"/>
      <c r="AB1004" s="242"/>
      <c r="AC1004" s="242"/>
    </row>
    <row r="1005">
      <c r="A1005" s="242"/>
      <c r="B1005" s="242"/>
      <c r="C1005" s="242"/>
      <c r="D1005" s="242"/>
      <c r="E1005" s="242"/>
      <c r="F1005" s="242"/>
      <c r="G1005" s="242"/>
      <c r="H1005" s="242"/>
      <c r="I1005" s="242"/>
      <c r="J1005" s="13"/>
      <c r="K1005" s="15"/>
      <c r="L1005" s="341"/>
      <c r="M1005" s="13"/>
      <c r="N1005" s="13"/>
      <c r="O1005" s="13"/>
      <c r="P1005" s="13"/>
      <c r="Q1005" s="242"/>
      <c r="R1005" s="13"/>
      <c r="S1005" s="242"/>
      <c r="T1005" s="13"/>
      <c r="U1005" s="242"/>
      <c r="V1005" s="242"/>
      <c r="W1005" s="242"/>
      <c r="X1005" s="242"/>
      <c r="Y1005" s="242"/>
      <c r="Z1005" s="242"/>
      <c r="AA1005" s="242"/>
      <c r="AB1005" s="242"/>
      <c r="AC1005" s="242"/>
    </row>
    <row r="1006">
      <c r="A1006" s="242"/>
      <c r="B1006" s="242"/>
      <c r="C1006" s="242"/>
      <c r="D1006" s="242"/>
      <c r="E1006" s="242"/>
      <c r="F1006" s="242"/>
      <c r="G1006" s="242"/>
      <c r="H1006" s="242"/>
      <c r="I1006" s="242"/>
      <c r="J1006" s="13"/>
      <c r="K1006" s="15"/>
      <c r="L1006" s="341"/>
      <c r="M1006" s="13"/>
      <c r="N1006" s="13"/>
      <c r="O1006" s="13"/>
      <c r="P1006" s="13"/>
      <c r="Q1006" s="242"/>
      <c r="R1006" s="13"/>
      <c r="S1006" s="242"/>
      <c r="T1006" s="13"/>
      <c r="U1006" s="242"/>
      <c r="V1006" s="242"/>
      <c r="W1006" s="242"/>
      <c r="X1006" s="242"/>
      <c r="Y1006" s="242"/>
      <c r="Z1006" s="242"/>
      <c r="AA1006" s="242"/>
      <c r="AB1006" s="242"/>
      <c r="AC1006" s="242"/>
    </row>
    <row r="1007">
      <c r="A1007" s="242"/>
      <c r="B1007" s="242"/>
      <c r="C1007" s="242"/>
      <c r="D1007" s="242"/>
      <c r="E1007" s="242"/>
      <c r="F1007" s="242"/>
      <c r="G1007" s="242"/>
      <c r="H1007" s="242"/>
      <c r="I1007" s="242"/>
      <c r="J1007" s="13"/>
      <c r="K1007" s="15"/>
      <c r="L1007" s="341"/>
      <c r="M1007" s="13"/>
      <c r="N1007" s="13"/>
      <c r="O1007" s="13"/>
      <c r="P1007" s="13"/>
      <c r="Q1007" s="242"/>
      <c r="R1007" s="13"/>
      <c r="S1007" s="242"/>
      <c r="T1007" s="13"/>
      <c r="U1007" s="242"/>
      <c r="V1007" s="242"/>
      <c r="W1007" s="242"/>
      <c r="X1007" s="242"/>
      <c r="Y1007" s="242"/>
      <c r="Z1007" s="242"/>
      <c r="AA1007" s="242"/>
      <c r="AB1007" s="242"/>
      <c r="AC1007" s="242"/>
    </row>
    <row r="1008">
      <c r="A1008" s="242"/>
      <c r="B1008" s="242"/>
      <c r="C1008" s="242"/>
      <c r="D1008" s="242"/>
      <c r="E1008" s="242"/>
      <c r="F1008" s="242"/>
      <c r="G1008" s="242"/>
      <c r="H1008" s="242"/>
      <c r="I1008" s="242"/>
      <c r="J1008" s="13"/>
      <c r="K1008" s="15"/>
      <c r="L1008" s="341"/>
      <c r="M1008" s="13"/>
      <c r="N1008" s="13"/>
      <c r="O1008" s="13"/>
      <c r="P1008" s="13"/>
      <c r="Q1008" s="242"/>
      <c r="R1008" s="13"/>
      <c r="S1008" s="242"/>
      <c r="T1008" s="13"/>
      <c r="U1008" s="242"/>
      <c r="V1008" s="242"/>
      <c r="W1008" s="242"/>
      <c r="X1008" s="242"/>
      <c r="Y1008" s="242"/>
      <c r="Z1008" s="242"/>
      <c r="AA1008" s="242"/>
      <c r="AB1008" s="242"/>
      <c r="AC1008" s="242"/>
    </row>
    <row r="1009">
      <c r="A1009" s="242"/>
      <c r="B1009" s="242"/>
      <c r="C1009" s="242"/>
      <c r="D1009" s="242"/>
      <c r="E1009" s="242"/>
      <c r="F1009" s="242"/>
      <c r="G1009" s="242"/>
      <c r="H1009" s="242"/>
      <c r="I1009" s="242"/>
      <c r="J1009" s="13"/>
      <c r="K1009" s="15"/>
      <c r="L1009" s="341"/>
      <c r="M1009" s="13"/>
      <c r="N1009" s="13"/>
      <c r="O1009" s="13"/>
      <c r="P1009" s="13"/>
      <c r="Q1009" s="242"/>
      <c r="R1009" s="13"/>
      <c r="S1009" s="242"/>
      <c r="T1009" s="13"/>
      <c r="U1009" s="242"/>
      <c r="V1009" s="242"/>
      <c r="W1009" s="242"/>
      <c r="X1009" s="242"/>
      <c r="Y1009" s="242"/>
      <c r="Z1009" s="242"/>
      <c r="AA1009" s="242"/>
      <c r="AB1009" s="242"/>
      <c r="AC1009" s="242"/>
    </row>
    <row r="1010">
      <c r="A1010" s="242"/>
      <c r="B1010" s="242"/>
      <c r="C1010" s="242"/>
      <c r="D1010" s="242"/>
      <c r="E1010" s="242"/>
      <c r="F1010" s="242"/>
      <c r="G1010" s="242"/>
      <c r="H1010" s="242"/>
      <c r="I1010" s="242"/>
      <c r="J1010" s="13"/>
      <c r="K1010" s="15"/>
      <c r="L1010" s="341"/>
      <c r="M1010" s="13"/>
      <c r="N1010" s="13"/>
      <c r="O1010" s="13"/>
      <c r="P1010" s="13"/>
      <c r="Q1010" s="242"/>
      <c r="R1010" s="13"/>
      <c r="S1010" s="242"/>
      <c r="T1010" s="13"/>
      <c r="U1010" s="242"/>
      <c r="V1010" s="242"/>
      <c r="W1010" s="242"/>
      <c r="X1010" s="242"/>
      <c r="Y1010" s="242"/>
      <c r="Z1010" s="242"/>
      <c r="AA1010" s="242"/>
      <c r="AB1010" s="242"/>
      <c r="AC1010" s="242"/>
    </row>
    <row r="1011">
      <c r="A1011" s="242"/>
      <c r="B1011" s="242"/>
      <c r="C1011" s="242"/>
      <c r="D1011" s="242"/>
      <c r="E1011" s="242"/>
      <c r="F1011" s="242"/>
      <c r="G1011" s="242"/>
      <c r="H1011" s="242"/>
      <c r="I1011" s="242"/>
      <c r="J1011" s="13"/>
      <c r="K1011" s="15"/>
      <c r="L1011" s="341"/>
      <c r="M1011" s="13"/>
      <c r="N1011" s="13"/>
      <c r="O1011" s="13"/>
      <c r="P1011" s="13"/>
      <c r="Q1011" s="242"/>
      <c r="R1011" s="13"/>
      <c r="S1011" s="242"/>
      <c r="T1011" s="13"/>
      <c r="U1011" s="242"/>
      <c r="V1011" s="242"/>
      <c r="W1011" s="242"/>
      <c r="X1011" s="242"/>
      <c r="Y1011" s="242"/>
      <c r="Z1011" s="242"/>
      <c r="AA1011" s="242"/>
      <c r="AB1011" s="242"/>
      <c r="AC1011" s="242"/>
    </row>
    <row r="1012">
      <c r="A1012" s="242"/>
      <c r="B1012" s="242"/>
      <c r="C1012" s="242"/>
      <c r="D1012" s="242"/>
      <c r="E1012" s="242"/>
      <c r="F1012" s="242"/>
      <c r="G1012" s="242"/>
      <c r="H1012" s="242"/>
      <c r="I1012" s="242"/>
      <c r="J1012" s="13"/>
      <c r="K1012" s="15"/>
      <c r="L1012" s="341"/>
      <c r="M1012" s="13"/>
      <c r="N1012" s="13"/>
      <c r="O1012" s="13"/>
      <c r="P1012" s="13"/>
      <c r="Q1012" s="242"/>
      <c r="R1012" s="13"/>
      <c r="S1012" s="242"/>
      <c r="T1012" s="13"/>
      <c r="U1012" s="242"/>
      <c r="V1012" s="242"/>
      <c r="W1012" s="242"/>
      <c r="X1012" s="242"/>
      <c r="Y1012" s="242"/>
      <c r="Z1012" s="242"/>
      <c r="AA1012" s="242"/>
      <c r="AB1012" s="242"/>
      <c r="AC1012" s="242"/>
    </row>
    <row r="1013">
      <c r="A1013" s="242"/>
      <c r="B1013" s="242"/>
      <c r="C1013" s="242"/>
      <c r="D1013" s="242"/>
      <c r="E1013" s="242"/>
      <c r="F1013" s="242"/>
      <c r="G1013" s="242"/>
      <c r="H1013" s="242"/>
      <c r="I1013" s="242"/>
      <c r="J1013" s="13"/>
      <c r="K1013" s="15"/>
      <c r="L1013" s="341"/>
      <c r="M1013" s="13"/>
      <c r="N1013" s="13"/>
      <c r="O1013" s="13"/>
      <c r="P1013" s="13"/>
      <c r="Q1013" s="242"/>
      <c r="R1013" s="13"/>
      <c r="S1013" s="242"/>
      <c r="T1013" s="13"/>
      <c r="U1013" s="242"/>
      <c r="V1013" s="242"/>
      <c r="W1013" s="242"/>
      <c r="X1013" s="242"/>
      <c r="Y1013" s="242"/>
      <c r="Z1013" s="242"/>
      <c r="AA1013" s="242"/>
      <c r="AB1013" s="242"/>
      <c r="AC1013" s="242"/>
    </row>
    <row r="1014">
      <c r="A1014" s="242"/>
      <c r="B1014" s="242"/>
      <c r="C1014" s="242"/>
      <c r="D1014" s="242"/>
      <c r="E1014" s="242"/>
      <c r="F1014" s="242"/>
      <c r="G1014" s="242"/>
      <c r="H1014" s="242"/>
      <c r="I1014" s="242"/>
      <c r="J1014" s="13"/>
      <c r="K1014" s="15"/>
      <c r="L1014" s="341"/>
      <c r="M1014" s="13"/>
      <c r="N1014" s="13"/>
      <c r="O1014" s="13"/>
      <c r="P1014" s="13"/>
      <c r="Q1014" s="242"/>
      <c r="R1014" s="13"/>
      <c r="S1014" s="242"/>
      <c r="T1014" s="13"/>
      <c r="U1014" s="242"/>
      <c r="V1014" s="242"/>
      <c r="W1014" s="242"/>
      <c r="X1014" s="242"/>
      <c r="Y1014" s="242"/>
      <c r="Z1014" s="242"/>
      <c r="AA1014" s="242"/>
      <c r="AB1014" s="242"/>
      <c r="AC1014" s="242"/>
    </row>
    <row r="1015">
      <c r="A1015" s="242"/>
      <c r="B1015" s="242"/>
      <c r="C1015" s="242"/>
      <c r="D1015" s="242"/>
      <c r="E1015" s="242"/>
      <c r="F1015" s="242"/>
      <c r="G1015" s="242"/>
      <c r="H1015" s="242"/>
      <c r="I1015" s="242"/>
      <c r="J1015" s="13"/>
      <c r="K1015" s="15"/>
      <c r="L1015" s="341"/>
      <c r="M1015" s="13"/>
      <c r="N1015" s="13"/>
      <c r="O1015" s="13"/>
      <c r="P1015" s="13"/>
      <c r="Q1015" s="242"/>
      <c r="R1015" s="13"/>
      <c r="S1015" s="242"/>
      <c r="T1015" s="13"/>
      <c r="U1015" s="242"/>
      <c r="V1015" s="242"/>
      <c r="W1015" s="242"/>
      <c r="X1015" s="242"/>
      <c r="Y1015" s="242"/>
      <c r="Z1015" s="242"/>
      <c r="AA1015" s="242"/>
      <c r="AB1015" s="242"/>
      <c r="AC1015" s="242"/>
    </row>
    <row r="1016">
      <c r="A1016" s="242"/>
      <c r="B1016" s="242"/>
      <c r="C1016" s="242"/>
      <c r="D1016" s="242"/>
      <c r="E1016" s="242"/>
      <c r="F1016" s="242"/>
      <c r="G1016" s="242"/>
      <c r="H1016" s="242"/>
      <c r="I1016" s="242"/>
      <c r="J1016" s="13"/>
      <c r="K1016" s="15"/>
      <c r="L1016" s="341"/>
      <c r="M1016" s="13"/>
      <c r="N1016" s="13"/>
      <c r="O1016" s="13"/>
      <c r="P1016" s="13"/>
      <c r="Q1016" s="242"/>
      <c r="R1016" s="13"/>
      <c r="S1016" s="242"/>
      <c r="T1016" s="13"/>
      <c r="U1016" s="242"/>
      <c r="V1016" s="242"/>
      <c r="W1016" s="242"/>
      <c r="X1016" s="242"/>
      <c r="Y1016" s="242"/>
      <c r="Z1016" s="242"/>
      <c r="AA1016" s="242"/>
      <c r="AB1016" s="242"/>
      <c r="AC1016" s="242"/>
    </row>
    <row r="1017">
      <c r="A1017" s="242"/>
      <c r="B1017" s="242"/>
      <c r="C1017" s="242"/>
      <c r="D1017" s="242"/>
      <c r="E1017" s="242"/>
      <c r="F1017" s="242"/>
      <c r="G1017" s="242"/>
      <c r="H1017" s="242"/>
      <c r="I1017" s="242"/>
      <c r="J1017" s="13"/>
      <c r="K1017" s="15"/>
      <c r="L1017" s="341"/>
      <c r="M1017" s="13"/>
      <c r="N1017" s="13"/>
      <c r="O1017" s="13"/>
      <c r="P1017" s="13"/>
      <c r="Q1017" s="242"/>
      <c r="R1017" s="13"/>
      <c r="S1017" s="242"/>
      <c r="T1017" s="13"/>
      <c r="U1017" s="242"/>
      <c r="V1017" s="242"/>
      <c r="W1017" s="242"/>
      <c r="X1017" s="242"/>
      <c r="Y1017" s="242"/>
      <c r="Z1017" s="242"/>
      <c r="AA1017" s="242"/>
      <c r="AB1017" s="242"/>
      <c r="AC1017" s="242"/>
    </row>
    <row r="1018">
      <c r="A1018" s="242"/>
      <c r="B1018" s="242"/>
      <c r="C1018" s="242"/>
      <c r="D1018" s="242"/>
      <c r="E1018" s="242"/>
      <c r="F1018" s="242"/>
      <c r="G1018" s="242"/>
      <c r="H1018" s="242"/>
      <c r="I1018" s="242"/>
      <c r="J1018" s="13"/>
      <c r="K1018" s="15"/>
      <c r="L1018" s="341"/>
      <c r="M1018" s="13"/>
      <c r="N1018" s="13"/>
      <c r="O1018" s="13"/>
      <c r="P1018" s="13"/>
      <c r="Q1018" s="242"/>
      <c r="R1018" s="13"/>
      <c r="S1018" s="242"/>
      <c r="T1018" s="13"/>
      <c r="U1018" s="242"/>
      <c r="V1018" s="242"/>
      <c r="W1018" s="242"/>
      <c r="X1018" s="242"/>
      <c r="Y1018" s="242"/>
      <c r="Z1018" s="242"/>
      <c r="AA1018" s="242"/>
      <c r="AB1018" s="242"/>
      <c r="AC1018" s="242"/>
    </row>
    <row r="1019">
      <c r="A1019" s="242"/>
      <c r="B1019" s="242"/>
      <c r="C1019" s="242"/>
      <c r="D1019" s="242"/>
      <c r="E1019" s="242"/>
      <c r="F1019" s="242"/>
      <c r="G1019" s="242"/>
      <c r="H1019" s="242"/>
      <c r="I1019" s="242"/>
      <c r="J1019" s="13"/>
      <c r="K1019" s="15"/>
      <c r="L1019" s="341"/>
      <c r="M1019" s="13"/>
      <c r="N1019" s="13"/>
      <c r="O1019" s="13"/>
      <c r="P1019" s="13"/>
      <c r="Q1019" s="242"/>
      <c r="R1019" s="13"/>
      <c r="S1019" s="242"/>
      <c r="T1019" s="13"/>
      <c r="U1019" s="242"/>
      <c r="V1019" s="242"/>
      <c r="W1019" s="242"/>
      <c r="X1019" s="242"/>
      <c r="Y1019" s="242"/>
      <c r="Z1019" s="242"/>
      <c r="AA1019" s="242"/>
      <c r="AB1019" s="242"/>
      <c r="AC1019" s="242"/>
    </row>
    <row r="1020">
      <c r="A1020" s="242"/>
      <c r="B1020" s="242"/>
      <c r="C1020" s="242"/>
      <c r="D1020" s="242"/>
      <c r="E1020" s="242"/>
      <c r="F1020" s="242"/>
      <c r="G1020" s="242"/>
      <c r="H1020" s="242"/>
      <c r="I1020" s="242"/>
      <c r="J1020" s="13"/>
      <c r="K1020" s="15"/>
      <c r="L1020" s="341"/>
      <c r="M1020" s="13"/>
      <c r="N1020" s="13"/>
      <c r="O1020" s="13"/>
      <c r="P1020" s="13"/>
      <c r="Q1020" s="242"/>
      <c r="R1020" s="13"/>
      <c r="S1020" s="242"/>
      <c r="T1020" s="13"/>
      <c r="U1020" s="242"/>
      <c r="V1020" s="242"/>
      <c r="W1020" s="242"/>
      <c r="X1020" s="242"/>
      <c r="Y1020" s="242"/>
      <c r="Z1020" s="242"/>
      <c r="AA1020" s="242"/>
      <c r="AB1020" s="242"/>
      <c r="AC1020" s="242"/>
    </row>
    <row r="1021">
      <c r="A1021" s="242"/>
      <c r="B1021" s="242"/>
      <c r="C1021" s="242"/>
      <c r="D1021" s="242"/>
      <c r="E1021" s="242"/>
      <c r="F1021" s="242"/>
      <c r="G1021" s="242"/>
      <c r="H1021" s="242"/>
      <c r="I1021" s="242"/>
      <c r="J1021" s="13"/>
      <c r="K1021" s="15"/>
      <c r="L1021" s="341"/>
      <c r="M1021" s="13"/>
      <c r="N1021" s="13"/>
      <c r="O1021" s="13"/>
      <c r="P1021" s="13"/>
      <c r="Q1021" s="242"/>
      <c r="R1021" s="13"/>
      <c r="S1021" s="242"/>
      <c r="T1021" s="13"/>
      <c r="U1021" s="242"/>
      <c r="V1021" s="242"/>
      <c r="W1021" s="242"/>
      <c r="X1021" s="242"/>
      <c r="Y1021" s="242"/>
      <c r="Z1021" s="242"/>
      <c r="AA1021" s="242"/>
      <c r="AB1021" s="242"/>
      <c r="AC1021" s="242"/>
    </row>
    <row r="1022">
      <c r="A1022" s="242"/>
      <c r="B1022" s="242"/>
      <c r="C1022" s="242"/>
      <c r="D1022" s="242"/>
      <c r="E1022" s="242"/>
      <c r="F1022" s="242"/>
      <c r="G1022" s="242"/>
      <c r="H1022" s="242"/>
      <c r="I1022" s="242"/>
      <c r="J1022" s="13"/>
      <c r="K1022" s="15"/>
      <c r="L1022" s="341"/>
      <c r="M1022" s="13"/>
      <c r="N1022" s="13"/>
      <c r="O1022" s="13"/>
      <c r="P1022" s="13"/>
      <c r="Q1022" s="242"/>
      <c r="R1022" s="13"/>
      <c r="S1022" s="242"/>
      <c r="T1022" s="13"/>
      <c r="U1022" s="242"/>
      <c r="V1022" s="242"/>
      <c r="W1022" s="242"/>
      <c r="X1022" s="242"/>
      <c r="Y1022" s="242"/>
      <c r="Z1022" s="242"/>
      <c r="AA1022" s="242"/>
      <c r="AB1022" s="242"/>
      <c r="AC1022" s="242"/>
    </row>
    <row r="1023">
      <c r="A1023" s="242"/>
      <c r="B1023" s="242"/>
      <c r="C1023" s="242"/>
      <c r="D1023" s="242"/>
      <c r="E1023" s="242"/>
      <c r="F1023" s="242"/>
      <c r="G1023" s="242"/>
      <c r="H1023" s="242"/>
      <c r="I1023" s="242"/>
      <c r="J1023" s="13"/>
      <c r="K1023" s="15"/>
      <c r="L1023" s="341"/>
      <c r="M1023" s="13"/>
      <c r="N1023" s="13"/>
      <c r="O1023" s="13"/>
      <c r="P1023" s="13"/>
      <c r="Q1023" s="242"/>
      <c r="R1023" s="13"/>
      <c r="S1023" s="242"/>
      <c r="T1023" s="13"/>
      <c r="U1023" s="242"/>
      <c r="V1023" s="242"/>
      <c r="W1023" s="242"/>
      <c r="X1023" s="242"/>
      <c r="Y1023" s="242"/>
      <c r="Z1023" s="242"/>
      <c r="AA1023" s="242"/>
      <c r="AB1023" s="242"/>
      <c r="AC1023" s="242"/>
    </row>
    <row r="1024">
      <c r="A1024" s="242"/>
      <c r="B1024" s="242"/>
      <c r="C1024" s="242"/>
      <c r="D1024" s="242"/>
      <c r="E1024" s="242"/>
      <c r="F1024" s="242"/>
      <c r="G1024" s="242"/>
      <c r="H1024" s="242"/>
      <c r="I1024" s="242"/>
      <c r="J1024" s="13"/>
      <c r="K1024" s="15"/>
      <c r="L1024" s="341"/>
      <c r="M1024" s="13"/>
      <c r="N1024" s="13"/>
      <c r="O1024" s="13"/>
      <c r="P1024" s="13"/>
      <c r="Q1024" s="242"/>
      <c r="R1024" s="13"/>
      <c r="S1024" s="242"/>
      <c r="T1024" s="13"/>
      <c r="U1024" s="242"/>
      <c r="V1024" s="242"/>
      <c r="W1024" s="242"/>
      <c r="X1024" s="242"/>
      <c r="Y1024" s="242"/>
      <c r="Z1024" s="242"/>
      <c r="AA1024" s="242"/>
      <c r="AB1024" s="242"/>
      <c r="AC1024" s="242"/>
    </row>
    <row r="1025">
      <c r="A1025" s="242"/>
      <c r="B1025" s="242"/>
      <c r="C1025" s="242"/>
      <c r="D1025" s="242"/>
      <c r="E1025" s="242"/>
      <c r="F1025" s="242"/>
      <c r="G1025" s="242"/>
      <c r="H1025" s="242"/>
      <c r="I1025" s="242"/>
      <c r="J1025" s="13"/>
      <c r="K1025" s="15"/>
      <c r="L1025" s="341"/>
      <c r="M1025" s="13"/>
      <c r="N1025" s="13"/>
      <c r="O1025" s="13"/>
      <c r="P1025" s="13"/>
      <c r="Q1025" s="242"/>
      <c r="R1025" s="13"/>
      <c r="S1025" s="242"/>
      <c r="T1025" s="13"/>
      <c r="U1025" s="242"/>
      <c r="V1025" s="242"/>
      <c r="W1025" s="242"/>
      <c r="X1025" s="242"/>
      <c r="Y1025" s="242"/>
      <c r="Z1025" s="242"/>
      <c r="AA1025" s="242"/>
      <c r="AB1025" s="242"/>
      <c r="AC1025" s="242"/>
    </row>
  </sheetData>
  <mergeCells count="2">
    <mergeCell ref="I27:I33"/>
    <mergeCell ref="B59:K59"/>
  </mergeCells>
  <printOptions horizontalCentered="1"/>
  <pageMargins bottom="0.75" footer="0.0" header="0.0" left="0.25" right="0.25" top="0.75"/>
  <pageSetup paperSize="9" cellComments="atEnd" orientation="portrait"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88"/>
    <col customWidth="1" min="2" max="2" width="11.13"/>
    <col customWidth="1" min="3" max="4" width="11.0"/>
    <col customWidth="1" min="5" max="5" width="9.5"/>
    <col customWidth="1" min="6" max="7" width="7.63"/>
    <col customWidth="1" min="8" max="8" width="10.63"/>
    <col customWidth="1" min="9" max="10" width="9.25"/>
    <col customWidth="1" min="11" max="11" width="7.5"/>
    <col customWidth="1" hidden="1" min="12" max="12" width="7.5"/>
    <col customWidth="1" min="13" max="13" width="10.5"/>
    <col customWidth="1" min="14" max="15" width="9.5"/>
    <col customWidth="1" min="16" max="16" width="7.5"/>
    <col customWidth="1" hidden="1" min="17" max="17" width="7.5"/>
  </cols>
  <sheetData>
    <row r="1">
      <c r="A1" s="242"/>
      <c r="B1" s="242"/>
      <c r="C1" s="242"/>
      <c r="D1" s="13"/>
      <c r="E1" s="525"/>
      <c r="F1" s="525"/>
      <c r="G1" s="525"/>
      <c r="H1" s="242"/>
      <c r="I1" s="525"/>
      <c r="J1" s="525"/>
      <c r="K1" s="525"/>
      <c r="L1" s="525"/>
      <c r="M1" s="242"/>
      <c r="N1" s="525"/>
      <c r="O1" s="525"/>
      <c r="P1" s="525"/>
      <c r="Q1" s="525"/>
      <c r="R1" s="242"/>
      <c r="S1" s="242"/>
      <c r="T1" s="242"/>
      <c r="U1" s="242"/>
      <c r="V1" s="242"/>
      <c r="W1" s="242"/>
      <c r="X1" s="242"/>
      <c r="Y1" s="242"/>
      <c r="Z1" s="242"/>
      <c r="AA1" s="242"/>
      <c r="AB1" s="242"/>
      <c r="AC1" s="242"/>
      <c r="AD1" s="242"/>
      <c r="AE1" s="242"/>
      <c r="AF1" s="242"/>
    </row>
    <row r="2">
      <c r="A2" s="242"/>
      <c r="B2" s="466" t="s">
        <v>3445</v>
      </c>
      <c r="C2" s="597" t="s">
        <v>3446</v>
      </c>
      <c r="D2" s="45"/>
      <c r="E2" s="45"/>
      <c r="F2" s="46"/>
      <c r="G2" s="466"/>
      <c r="H2" s="597" t="s">
        <v>3448</v>
      </c>
      <c r="I2" s="45"/>
      <c r="J2" s="45"/>
      <c r="K2" s="46"/>
      <c r="L2" s="466"/>
      <c r="M2" s="597" t="s">
        <v>2555</v>
      </c>
      <c r="N2" s="45"/>
      <c r="O2" s="45"/>
      <c r="P2" s="45"/>
      <c r="Q2" s="46"/>
      <c r="R2" s="242"/>
      <c r="S2" s="242"/>
      <c r="T2" s="242"/>
      <c r="U2" s="242"/>
      <c r="V2" s="242"/>
      <c r="W2" s="242"/>
      <c r="X2" s="242"/>
      <c r="Y2" s="242"/>
      <c r="Z2" s="242"/>
      <c r="AA2" s="242"/>
      <c r="AB2" s="242"/>
      <c r="AC2" s="242"/>
      <c r="AD2" s="242"/>
      <c r="AE2" s="242"/>
      <c r="AF2" s="242"/>
    </row>
    <row r="3">
      <c r="A3" s="242"/>
      <c r="B3" s="466" t="s">
        <v>3450</v>
      </c>
      <c r="C3" s="598" t="s">
        <v>3288</v>
      </c>
      <c r="D3" s="467" t="s">
        <v>3133</v>
      </c>
      <c r="E3" s="449" t="s">
        <v>3452</v>
      </c>
      <c r="F3" s="449" t="s">
        <v>3453</v>
      </c>
      <c r="G3" s="450" t="s">
        <v>26</v>
      </c>
      <c r="H3" s="598" t="s">
        <v>3288</v>
      </c>
      <c r="I3" s="467" t="s">
        <v>3133</v>
      </c>
      <c r="J3" s="449" t="s">
        <v>3452</v>
      </c>
      <c r="K3" s="449" t="s">
        <v>3453</v>
      </c>
      <c r="L3" s="450" t="s">
        <v>26</v>
      </c>
      <c r="M3" s="598" t="s">
        <v>3288</v>
      </c>
      <c r="N3" s="467" t="s">
        <v>3133</v>
      </c>
      <c r="O3" s="449" t="s">
        <v>3452</v>
      </c>
      <c r="P3" s="449" t="s">
        <v>3453</v>
      </c>
      <c r="Q3" s="450" t="s">
        <v>26</v>
      </c>
      <c r="R3" s="242"/>
      <c r="S3" s="242"/>
      <c r="T3" s="242"/>
      <c r="U3" s="242"/>
      <c r="V3" s="242"/>
      <c r="W3" s="242"/>
      <c r="X3" s="242"/>
      <c r="Y3" s="242"/>
      <c r="Z3" s="242"/>
      <c r="AA3" s="242"/>
      <c r="AB3" s="242"/>
      <c r="AC3" s="242"/>
      <c r="AD3" s="242"/>
      <c r="AE3" s="242"/>
      <c r="AF3" s="242"/>
    </row>
    <row r="4">
      <c r="A4" s="242"/>
      <c r="B4" s="425" t="s">
        <v>3333</v>
      </c>
      <c r="C4" s="45"/>
      <c r="D4" s="45"/>
      <c r="E4" s="45"/>
      <c r="F4" s="45"/>
      <c r="G4" s="45"/>
      <c r="H4" s="45"/>
      <c r="I4" s="45"/>
      <c r="J4" s="45"/>
      <c r="K4" s="45"/>
      <c r="L4" s="45"/>
      <c r="M4" s="45"/>
      <c r="N4" s="45"/>
      <c r="O4" s="45"/>
      <c r="P4" s="45"/>
      <c r="Q4" s="46"/>
      <c r="R4" s="242"/>
      <c r="S4" s="242"/>
      <c r="T4" s="242"/>
      <c r="U4" s="242"/>
      <c r="V4" s="242"/>
      <c r="W4" s="242"/>
      <c r="X4" s="242"/>
      <c r="Y4" s="242"/>
      <c r="Z4" s="242"/>
      <c r="AA4" s="242"/>
      <c r="AB4" s="242"/>
      <c r="AC4" s="242"/>
      <c r="AD4" s="242"/>
      <c r="AE4" s="242"/>
      <c r="AF4" s="242"/>
    </row>
    <row r="5">
      <c r="A5" s="242"/>
      <c r="B5" s="466">
        <v>20.0</v>
      </c>
      <c r="C5" s="598" t="s">
        <v>3332</v>
      </c>
      <c r="D5" s="466"/>
      <c r="E5" s="599">
        <v>89.0</v>
      </c>
      <c r="F5" s="599">
        <f t="shared" ref="F5:F13" si="1">E5*3</f>
        <v>267</v>
      </c>
      <c r="G5" s="599"/>
      <c r="H5" s="598" t="s">
        <v>3342</v>
      </c>
      <c r="I5" s="599"/>
      <c r="J5" s="599">
        <v>77.0</v>
      </c>
      <c r="K5" s="599">
        <f t="shared" ref="K5:K14" si="2">J5*3</f>
        <v>231</v>
      </c>
      <c r="L5" s="599"/>
      <c r="M5" s="598" t="s">
        <v>3352</v>
      </c>
      <c r="N5" s="599"/>
      <c r="O5" s="599">
        <v>58.0</v>
      </c>
      <c r="P5" s="599">
        <f t="shared" ref="P5:P15" si="3">O5*3</f>
        <v>174</v>
      </c>
      <c r="Q5" s="599"/>
      <c r="R5" s="242"/>
      <c r="S5" s="242"/>
      <c r="T5" s="242"/>
      <c r="U5" s="242"/>
      <c r="V5" s="242"/>
      <c r="W5" s="242"/>
      <c r="X5" s="242"/>
      <c r="Y5" s="242"/>
      <c r="Z5" s="242"/>
      <c r="AA5" s="242"/>
      <c r="AB5" s="242"/>
      <c r="AC5" s="242"/>
      <c r="AD5" s="242"/>
      <c r="AE5" s="242"/>
      <c r="AF5" s="242"/>
    </row>
    <row r="6">
      <c r="A6" s="242"/>
      <c r="B6" s="466">
        <v>25.0</v>
      </c>
      <c r="C6" s="598" t="s">
        <v>3334</v>
      </c>
      <c r="D6" s="466"/>
      <c r="E6" s="599">
        <v>118.0</v>
      </c>
      <c r="F6" s="599">
        <f t="shared" si="1"/>
        <v>354</v>
      </c>
      <c r="G6" s="599"/>
      <c r="H6" s="598" t="s">
        <v>3343</v>
      </c>
      <c r="I6" s="599"/>
      <c r="J6" s="599">
        <v>102.0</v>
      </c>
      <c r="K6" s="599">
        <f t="shared" si="2"/>
        <v>306</v>
      </c>
      <c r="L6" s="599"/>
      <c r="M6" s="598" t="s">
        <v>3353</v>
      </c>
      <c r="N6" s="599"/>
      <c r="O6" s="599">
        <v>86.0</v>
      </c>
      <c r="P6" s="599">
        <f t="shared" si="3"/>
        <v>258</v>
      </c>
      <c r="Q6" s="599"/>
      <c r="R6" s="242"/>
      <c r="S6" s="242"/>
      <c r="T6" s="242"/>
      <c r="U6" s="242"/>
      <c r="V6" s="242"/>
      <c r="W6" s="242"/>
      <c r="X6" s="242"/>
      <c r="Y6" s="242"/>
      <c r="Z6" s="242"/>
      <c r="AA6" s="242"/>
      <c r="AB6" s="242"/>
      <c r="AC6" s="242"/>
      <c r="AD6" s="242"/>
      <c r="AE6" s="242"/>
      <c r="AF6" s="242"/>
    </row>
    <row r="7">
      <c r="A7" s="242"/>
      <c r="B7" s="466">
        <v>32.0</v>
      </c>
      <c r="C7" s="598" t="s">
        <v>3335</v>
      </c>
      <c r="D7" s="466"/>
      <c r="E7" s="599">
        <v>192.0</v>
      </c>
      <c r="F7" s="599">
        <f t="shared" si="1"/>
        <v>576</v>
      </c>
      <c r="G7" s="599"/>
      <c r="H7" s="598" t="s">
        <v>3344</v>
      </c>
      <c r="I7" s="599"/>
      <c r="J7" s="599">
        <v>165.0</v>
      </c>
      <c r="K7" s="599">
        <f t="shared" si="2"/>
        <v>495</v>
      </c>
      <c r="L7" s="599"/>
      <c r="M7" s="598" t="s">
        <v>3354</v>
      </c>
      <c r="N7" s="599"/>
      <c r="O7" s="599">
        <v>138.0</v>
      </c>
      <c r="P7" s="599">
        <f t="shared" si="3"/>
        <v>414</v>
      </c>
      <c r="Q7" s="599"/>
      <c r="R7" s="242"/>
      <c r="S7" s="242"/>
      <c r="T7" s="242"/>
      <c r="U7" s="242"/>
      <c r="V7" s="242"/>
      <c r="W7" s="242"/>
      <c r="X7" s="242"/>
      <c r="Y7" s="242"/>
      <c r="Z7" s="242"/>
      <c r="AA7" s="242"/>
      <c r="AB7" s="242"/>
      <c r="AC7" s="242"/>
      <c r="AD7" s="242"/>
      <c r="AE7" s="242"/>
      <c r="AF7" s="242"/>
    </row>
    <row r="8">
      <c r="A8" s="242"/>
      <c r="B8" s="466">
        <v>40.0</v>
      </c>
      <c r="C8" s="598" t="s">
        <v>3336</v>
      </c>
      <c r="D8" s="466"/>
      <c r="E8" s="599">
        <v>285.0</v>
      </c>
      <c r="F8" s="599">
        <f t="shared" si="1"/>
        <v>855</v>
      </c>
      <c r="G8" s="599"/>
      <c r="H8" s="598" t="s">
        <v>3345</v>
      </c>
      <c r="I8" s="599"/>
      <c r="J8" s="599">
        <v>245.0</v>
      </c>
      <c r="K8" s="599">
        <f t="shared" si="2"/>
        <v>735</v>
      </c>
      <c r="L8" s="599"/>
      <c r="M8" s="598" t="s">
        <v>3355</v>
      </c>
      <c r="N8" s="599"/>
      <c r="O8" s="599">
        <v>198.0</v>
      </c>
      <c r="P8" s="599">
        <f t="shared" si="3"/>
        <v>594</v>
      </c>
      <c r="Q8" s="599"/>
      <c r="R8" s="242"/>
      <c r="S8" s="242"/>
      <c r="T8" s="242"/>
      <c r="U8" s="242"/>
      <c r="V8" s="242"/>
      <c r="W8" s="242"/>
      <c r="X8" s="242"/>
      <c r="Y8" s="242"/>
      <c r="Z8" s="242"/>
      <c r="AA8" s="242"/>
      <c r="AB8" s="242"/>
      <c r="AC8" s="242"/>
      <c r="AD8" s="242"/>
      <c r="AE8" s="242"/>
      <c r="AF8" s="242"/>
    </row>
    <row r="9">
      <c r="A9" s="242"/>
      <c r="B9" s="466">
        <v>50.0</v>
      </c>
      <c r="C9" s="598" t="s">
        <v>3337</v>
      </c>
      <c r="D9" s="466"/>
      <c r="E9" s="599">
        <v>518.0</v>
      </c>
      <c r="F9" s="599">
        <f t="shared" si="1"/>
        <v>1554</v>
      </c>
      <c r="G9" s="599"/>
      <c r="H9" s="598" t="s">
        <v>3346</v>
      </c>
      <c r="I9" s="599"/>
      <c r="J9" s="599">
        <v>442.0</v>
      </c>
      <c r="K9" s="599">
        <f t="shared" si="2"/>
        <v>1326</v>
      </c>
      <c r="L9" s="599"/>
      <c r="M9" s="598" t="s">
        <v>3356</v>
      </c>
      <c r="N9" s="599"/>
      <c r="O9" s="599">
        <v>328.0</v>
      </c>
      <c r="P9" s="599">
        <f t="shared" si="3"/>
        <v>984</v>
      </c>
      <c r="Q9" s="599"/>
      <c r="R9" s="242"/>
      <c r="S9" s="242"/>
      <c r="T9" s="242"/>
      <c r="U9" s="242"/>
      <c r="V9" s="242"/>
      <c r="W9" s="242"/>
      <c r="X9" s="242"/>
      <c r="Y9" s="242"/>
      <c r="Z9" s="242"/>
      <c r="AA9" s="242"/>
      <c r="AB9" s="242"/>
      <c r="AC9" s="242"/>
      <c r="AD9" s="242"/>
      <c r="AE9" s="242"/>
      <c r="AF9" s="242"/>
    </row>
    <row r="10">
      <c r="A10" s="242"/>
      <c r="B10" s="466">
        <v>63.0</v>
      </c>
      <c r="C10" s="598" t="s">
        <v>3338</v>
      </c>
      <c r="D10" s="466"/>
      <c r="E10" s="599">
        <v>835.0</v>
      </c>
      <c r="F10" s="599">
        <f t="shared" si="1"/>
        <v>2505</v>
      </c>
      <c r="G10" s="599"/>
      <c r="H10" s="598" t="s">
        <v>3347</v>
      </c>
      <c r="I10" s="599"/>
      <c r="J10" s="599">
        <v>648.0</v>
      </c>
      <c r="K10" s="599">
        <f t="shared" si="2"/>
        <v>1944</v>
      </c>
      <c r="L10" s="599"/>
      <c r="M10" s="598" t="s">
        <v>3357</v>
      </c>
      <c r="N10" s="599"/>
      <c r="O10" s="599">
        <v>465.0</v>
      </c>
      <c r="P10" s="599">
        <f t="shared" si="3"/>
        <v>1395</v>
      </c>
      <c r="Q10" s="599"/>
      <c r="R10" s="242"/>
      <c r="S10" s="242"/>
      <c r="T10" s="242"/>
      <c r="U10" s="242"/>
      <c r="V10" s="242"/>
      <c r="W10" s="242"/>
      <c r="X10" s="242"/>
      <c r="Y10" s="242"/>
      <c r="Z10" s="242"/>
      <c r="AA10" s="242"/>
      <c r="AB10" s="242"/>
      <c r="AC10" s="242"/>
      <c r="AD10" s="242"/>
      <c r="AE10" s="242"/>
      <c r="AF10" s="242"/>
    </row>
    <row r="11">
      <c r="A11" s="242"/>
      <c r="B11" s="466">
        <v>75.0</v>
      </c>
      <c r="C11" s="598" t="s">
        <v>3339</v>
      </c>
      <c r="D11" s="466"/>
      <c r="E11" s="599">
        <v>990.0</v>
      </c>
      <c r="F11" s="599">
        <f t="shared" si="1"/>
        <v>2970</v>
      </c>
      <c r="G11" s="599"/>
      <c r="H11" s="598" t="s">
        <v>3348</v>
      </c>
      <c r="I11" s="599"/>
      <c r="J11" s="599">
        <v>848.0</v>
      </c>
      <c r="K11" s="599">
        <f t="shared" si="2"/>
        <v>2544</v>
      </c>
      <c r="L11" s="599"/>
      <c r="M11" s="598" t="s">
        <v>3358</v>
      </c>
      <c r="N11" s="599"/>
      <c r="O11" s="599">
        <v>596.0</v>
      </c>
      <c r="P11" s="599">
        <f t="shared" si="3"/>
        <v>1788</v>
      </c>
      <c r="Q11" s="599"/>
      <c r="R11" s="242"/>
      <c r="S11" s="242"/>
      <c r="T11" s="242"/>
      <c r="U11" s="242"/>
      <c r="V11" s="242"/>
      <c r="W11" s="242"/>
      <c r="X11" s="242"/>
      <c r="Y11" s="242"/>
      <c r="Z11" s="242"/>
      <c r="AA11" s="242"/>
      <c r="AB11" s="242"/>
      <c r="AC11" s="242"/>
      <c r="AD11" s="242"/>
      <c r="AE11" s="242"/>
      <c r="AF11" s="242"/>
    </row>
    <row r="12">
      <c r="A12" s="242"/>
      <c r="B12" s="466">
        <v>90.0</v>
      </c>
      <c r="C12" s="598" t="s">
        <v>3340</v>
      </c>
      <c r="D12" s="466"/>
      <c r="E12" s="599">
        <v>1290.0</v>
      </c>
      <c r="F12" s="599">
        <f t="shared" si="1"/>
        <v>3870</v>
      </c>
      <c r="G12" s="599"/>
      <c r="H12" s="598" t="s">
        <v>3349</v>
      </c>
      <c r="I12" s="599"/>
      <c r="J12" s="599">
        <v>1248.0</v>
      </c>
      <c r="K12" s="599">
        <f t="shared" si="2"/>
        <v>3744</v>
      </c>
      <c r="L12" s="599"/>
      <c r="M12" s="598" t="s">
        <v>3359</v>
      </c>
      <c r="N12" s="599"/>
      <c r="O12" s="599">
        <v>864.0</v>
      </c>
      <c r="P12" s="599">
        <f t="shared" si="3"/>
        <v>2592</v>
      </c>
      <c r="Q12" s="599"/>
      <c r="R12" s="242"/>
      <c r="S12" s="242"/>
      <c r="T12" s="242"/>
      <c r="U12" s="242"/>
      <c r="V12" s="242"/>
      <c r="W12" s="242"/>
      <c r="X12" s="242"/>
      <c r="Y12" s="242"/>
      <c r="Z12" s="242"/>
      <c r="AA12" s="242"/>
      <c r="AB12" s="242"/>
      <c r="AC12" s="242"/>
      <c r="AD12" s="242"/>
      <c r="AE12" s="242"/>
      <c r="AF12" s="242"/>
    </row>
    <row r="13">
      <c r="A13" s="242"/>
      <c r="B13" s="466">
        <v>110.0</v>
      </c>
      <c r="C13" s="598" t="s">
        <v>3341</v>
      </c>
      <c r="D13" s="466"/>
      <c r="E13" s="599">
        <v>2070.0</v>
      </c>
      <c r="F13" s="599">
        <f t="shared" si="1"/>
        <v>6210</v>
      </c>
      <c r="G13" s="599"/>
      <c r="H13" s="598" t="s">
        <v>3350</v>
      </c>
      <c r="I13" s="599"/>
      <c r="J13" s="599">
        <v>1870.0</v>
      </c>
      <c r="K13" s="599">
        <f t="shared" si="2"/>
        <v>5610</v>
      </c>
      <c r="L13" s="599"/>
      <c r="M13" s="598" t="s">
        <v>3360</v>
      </c>
      <c r="N13" s="599"/>
      <c r="O13" s="599">
        <v>1280.0</v>
      </c>
      <c r="P13" s="599">
        <f t="shared" si="3"/>
        <v>3840</v>
      </c>
      <c r="Q13" s="599"/>
      <c r="R13" s="242"/>
      <c r="S13" s="242"/>
      <c r="T13" s="242"/>
      <c r="U13" s="242"/>
      <c r="V13" s="242"/>
      <c r="W13" s="242"/>
      <c r="X13" s="242"/>
      <c r="Y13" s="242"/>
      <c r="Z13" s="242"/>
      <c r="AA13" s="242"/>
      <c r="AB13" s="242"/>
      <c r="AC13" s="242"/>
      <c r="AD13" s="242"/>
      <c r="AE13" s="242"/>
      <c r="AF13" s="242"/>
    </row>
    <row r="14">
      <c r="A14" s="242"/>
      <c r="B14" s="466">
        <v>160.0</v>
      </c>
      <c r="C14" s="478"/>
      <c r="D14" s="600"/>
      <c r="E14" s="599"/>
      <c r="F14" s="599"/>
      <c r="G14" s="599"/>
      <c r="H14" s="598" t="s">
        <v>3351</v>
      </c>
      <c r="I14" s="599"/>
      <c r="J14" s="599">
        <v>4880.0</v>
      </c>
      <c r="K14" s="599">
        <f t="shared" si="2"/>
        <v>14640</v>
      </c>
      <c r="L14" s="599"/>
      <c r="M14" s="598" t="s">
        <v>3361</v>
      </c>
      <c r="N14" s="599"/>
      <c r="O14" s="599">
        <v>2648.0</v>
      </c>
      <c r="P14" s="599">
        <f t="shared" si="3"/>
        <v>7944</v>
      </c>
      <c r="Q14" s="599"/>
      <c r="R14" s="242"/>
      <c r="S14" s="242"/>
      <c r="T14" s="242"/>
      <c r="U14" s="242"/>
      <c r="V14" s="242"/>
      <c r="W14" s="242"/>
      <c r="X14" s="242"/>
      <c r="Y14" s="242"/>
      <c r="Z14" s="242"/>
      <c r="AA14" s="242"/>
      <c r="AB14" s="242"/>
      <c r="AC14" s="242"/>
      <c r="AD14" s="242"/>
      <c r="AE14" s="242"/>
      <c r="AF14" s="242"/>
    </row>
    <row r="15">
      <c r="A15" s="242"/>
      <c r="B15" s="466">
        <v>200.0</v>
      </c>
      <c r="C15" s="478"/>
      <c r="D15" s="600"/>
      <c r="E15" s="599"/>
      <c r="F15" s="599"/>
      <c r="G15" s="599"/>
      <c r="H15" s="478"/>
      <c r="I15" s="599"/>
      <c r="J15" s="599"/>
      <c r="K15" s="599"/>
      <c r="L15" s="599"/>
      <c r="M15" s="598" t="s">
        <v>3362</v>
      </c>
      <c r="N15" s="599"/>
      <c r="O15" s="599">
        <v>4380.0</v>
      </c>
      <c r="P15" s="599">
        <f t="shared" si="3"/>
        <v>13140</v>
      </c>
      <c r="Q15" s="599"/>
      <c r="R15" s="242"/>
      <c r="S15" s="242"/>
      <c r="T15" s="242"/>
      <c r="U15" s="242"/>
      <c r="V15" s="242"/>
      <c r="W15" s="242"/>
      <c r="X15" s="242"/>
      <c r="Y15" s="242"/>
      <c r="Z15" s="242"/>
      <c r="AA15" s="242"/>
      <c r="AB15" s="242"/>
      <c r="AC15" s="242"/>
      <c r="AD15" s="242"/>
      <c r="AE15" s="242"/>
      <c r="AF15" s="242"/>
    </row>
    <row r="16">
      <c r="A16" s="242"/>
      <c r="B16" s="601"/>
      <c r="C16" s="601"/>
      <c r="D16" s="602"/>
      <c r="E16" s="603"/>
      <c r="F16" s="603"/>
      <c r="G16" s="603"/>
      <c r="H16" s="601"/>
      <c r="I16" s="603"/>
      <c r="J16" s="603"/>
      <c r="K16" s="603"/>
      <c r="L16" s="603"/>
      <c r="M16" s="601"/>
      <c r="N16" s="603"/>
      <c r="O16" s="603"/>
      <c r="P16" s="556"/>
      <c r="Q16" s="556"/>
      <c r="R16" s="242"/>
      <c r="S16" s="242"/>
      <c r="T16" s="242"/>
      <c r="U16" s="242"/>
      <c r="V16" s="242"/>
      <c r="W16" s="242"/>
      <c r="X16" s="242"/>
      <c r="Y16" s="242"/>
      <c r="Z16" s="242"/>
      <c r="AA16" s="242"/>
      <c r="AB16" s="242"/>
      <c r="AC16" s="242"/>
      <c r="AD16" s="242"/>
      <c r="AE16" s="242"/>
      <c r="AF16" s="242"/>
    </row>
    <row r="17">
      <c r="A17" s="242"/>
      <c r="B17" s="425" t="s">
        <v>3364</v>
      </c>
      <c r="C17" s="45"/>
      <c r="D17" s="45"/>
      <c r="E17" s="45"/>
      <c r="F17" s="45"/>
      <c r="G17" s="45"/>
      <c r="H17" s="45"/>
      <c r="I17" s="45"/>
      <c r="J17" s="45"/>
      <c r="K17" s="45"/>
      <c r="L17" s="45"/>
      <c r="M17" s="45"/>
      <c r="N17" s="45"/>
      <c r="O17" s="45"/>
      <c r="P17" s="45"/>
      <c r="Q17" s="46"/>
      <c r="R17" s="242"/>
      <c r="S17" s="242"/>
      <c r="T17" s="242"/>
      <c r="U17" s="242"/>
      <c r="V17" s="242"/>
      <c r="W17" s="242"/>
      <c r="X17" s="242"/>
      <c r="Y17" s="242"/>
      <c r="Z17" s="242"/>
      <c r="AA17" s="242"/>
      <c r="AB17" s="242"/>
      <c r="AC17" s="242"/>
      <c r="AD17" s="242"/>
      <c r="AE17" s="242"/>
      <c r="AF17" s="242"/>
    </row>
    <row r="18">
      <c r="A18" s="242"/>
      <c r="B18" s="466">
        <v>20.0</v>
      </c>
      <c r="C18" s="598" t="s">
        <v>3363</v>
      </c>
      <c r="D18" s="466"/>
      <c r="E18" s="599">
        <f t="shared" ref="E18:E26" si="4">E5*1.08</f>
        <v>96.12</v>
      </c>
      <c r="F18" s="599">
        <f t="shared" ref="F18:F26" si="5">E18*3</f>
        <v>288.36</v>
      </c>
      <c r="G18" s="599"/>
      <c r="H18" s="598" t="s">
        <v>3373</v>
      </c>
      <c r="I18" s="599"/>
      <c r="J18" s="599">
        <f t="shared" ref="J18:J27" si="6">J5*1.08</f>
        <v>83.16</v>
      </c>
      <c r="K18" s="599">
        <f t="shared" ref="K18:K27" si="7">J18*3</f>
        <v>249.48</v>
      </c>
      <c r="L18" s="599"/>
      <c r="M18" s="598" t="s">
        <v>3383</v>
      </c>
      <c r="N18" s="599"/>
      <c r="O18" s="599">
        <f t="shared" ref="O18:O28" si="8">O5*1.08</f>
        <v>62.64</v>
      </c>
      <c r="P18" s="599">
        <f t="shared" ref="P18:P28" si="9">O18*3</f>
        <v>187.92</v>
      </c>
      <c r="Q18" s="599"/>
      <c r="R18" s="242"/>
      <c r="S18" s="242"/>
      <c r="T18" s="242"/>
      <c r="U18" s="242"/>
      <c r="V18" s="242"/>
      <c r="W18" s="242"/>
      <c r="X18" s="242"/>
      <c r="Y18" s="242"/>
      <c r="Z18" s="242"/>
      <c r="AA18" s="242"/>
      <c r="AB18" s="242"/>
      <c r="AC18" s="242"/>
      <c r="AD18" s="242"/>
      <c r="AE18" s="242"/>
      <c r="AF18" s="242"/>
    </row>
    <row r="19">
      <c r="A19" s="242"/>
      <c r="B19" s="466">
        <v>25.0</v>
      </c>
      <c r="C19" s="598" t="s">
        <v>3365</v>
      </c>
      <c r="D19" s="467">
        <v>0.81</v>
      </c>
      <c r="E19" s="599">
        <f t="shared" si="4"/>
        <v>127.44</v>
      </c>
      <c r="F19" s="599">
        <f t="shared" si="5"/>
        <v>382.32</v>
      </c>
      <c r="G19" s="599">
        <f t="shared" ref="G19:G21" si="10">IFERROR(F19/D19,"")</f>
        <v>472</v>
      </c>
      <c r="H19" s="598" t="s">
        <v>3374</v>
      </c>
      <c r="I19" s="599"/>
      <c r="J19" s="599">
        <f t="shared" si="6"/>
        <v>110.16</v>
      </c>
      <c r="K19" s="599">
        <f t="shared" si="7"/>
        <v>330.48</v>
      </c>
      <c r="L19" s="599"/>
      <c r="M19" s="598" t="s">
        <v>3384</v>
      </c>
      <c r="N19" s="599"/>
      <c r="O19" s="599">
        <f t="shared" si="8"/>
        <v>92.88</v>
      </c>
      <c r="P19" s="599">
        <f t="shared" si="9"/>
        <v>278.64</v>
      </c>
      <c r="Q19" s="599"/>
      <c r="R19" s="242"/>
      <c r="S19" s="242"/>
      <c r="T19" s="242"/>
      <c r="U19" s="242"/>
      <c r="V19" s="242"/>
      <c r="W19" s="242"/>
      <c r="X19" s="242"/>
      <c r="Y19" s="242"/>
      <c r="Z19" s="242"/>
      <c r="AA19" s="242"/>
      <c r="AB19" s="242"/>
      <c r="AC19" s="242"/>
      <c r="AD19" s="242"/>
      <c r="AE19" s="242"/>
      <c r="AF19" s="242"/>
    </row>
    <row r="20">
      <c r="A20" s="242"/>
      <c r="B20" s="466">
        <v>32.0</v>
      </c>
      <c r="C20" s="598" t="s">
        <v>3366</v>
      </c>
      <c r="D20" s="467">
        <v>1.35</v>
      </c>
      <c r="E20" s="599">
        <f t="shared" si="4"/>
        <v>207.36</v>
      </c>
      <c r="F20" s="599">
        <f t="shared" si="5"/>
        <v>622.08</v>
      </c>
      <c r="G20" s="599">
        <f t="shared" si="10"/>
        <v>460.8</v>
      </c>
      <c r="H20" s="598" t="s">
        <v>3375</v>
      </c>
      <c r="I20" s="599"/>
      <c r="J20" s="599">
        <f t="shared" si="6"/>
        <v>178.2</v>
      </c>
      <c r="K20" s="599">
        <f t="shared" si="7"/>
        <v>534.6</v>
      </c>
      <c r="L20" s="599"/>
      <c r="M20" s="598" t="s">
        <v>3385</v>
      </c>
      <c r="N20" s="599"/>
      <c r="O20" s="599">
        <f t="shared" si="8"/>
        <v>149.04</v>
      </c>
      <c r="P20" s="599">
        <f t="shared" si="9"/>
        <v>447.12</v>
      </c>
      <c r="Q20" s="599"/>
      <c r="R20" s="242"/>
      <c r="S20" s="242"/>
      <c r="T20" s="242"/>
      <c r="U20" s="242"/>
      <c r="V20" s="242"/>
      <c r="W20" s="242"/>
      <c r="X20" s="242"/>
      <c r="Y20" s="242"/>
      <c r="Z20" s="242"/>
      <c r="AA20" s="242"/>
      <c r="AB20" s="242"/>
      <c r="AC20" s="242"/>
      <c r="AD20" s="242"/>
      <c r="AE20" s="242"/>
      <c r="AF20" s="242"/>
    </row>
    <row r="21">
      <c r="A21" s="242"/>
      <c r="B21" s="466">
        <v>40.0</v>
      </c>
      <c r="C21" s="598" t="s">
        <v>3367</v>
      </c>
      <c r="D21" s="467">
        <v>2.04</v>
      </c>
      <c r="E21" s="599">
        <f t="shared" si="4"/>
        <v>307.8</v>
      </c>
      <c r="F21" s="599">
        <f t="shared" si="5"/>
        <v>923.4</v>
      </c>
      <c r="G21" s="599">
        <f t="shared" si="10"/>
        <v>452.6470588</v>
      </c>
      <c r="H21" s="598" t="s">
        <v>3376</v>
      </c>
      <c r="I21" s="599"/>
      <c r="J21" s="599">
        <f t="shared" si="6"/>
        <v>264.6</v>
      </c>
      <c r="K21" s="599">
        <f t="shared" si="7"/>
        <v>793.8</v>
      </c>
      <c r="L21" s="599"/>
      <c r="M21" s="598" t="s">
        <v>3386</v>
      </c>
      <c r="N21" s="599"/>
      <c r="O21" s="599">
        <f t="shared" si="8"/>
        <v>213.84</v>
      </c>
      <c r="P21" s="599">
        <f t="shared" si="9"/>
        <v>641.52</v>
      </c>
      <c r="Q21" s="599"/>
      <c r="R21" s="242"/>
      <c r="S21" s="242"/>
      <c r="T21" s="242"/>
      <c r="U21" s="242"/>
      <c r="V21" s="242"/>
      <c r="W21" s="242"/>
      <c r="X21" s="242"/>
      <c r="Y21" s="242"/>
      <c r="Z21" s="242"/>
      <c r="AA21" s="242"/>
      <c r="AB21" s="242"/>
      <c r="AC21" s="242"/>
      <c r="AD21" s="242"/>
      <c r="AE21" s="242"/>
      <c r="AF21" s="242"/>
    </row>
    <row r="22">
      <c r="A22" s="242"/>
      <c r="B22" s="466">
        <v>50.0</v>
      </c>
      <c r="C22" s="598" t="s">
        <v>3368</v>
      </c>
      <c r="D22" s="466"/>
      <c r="E22" s="599">
        <f t="shared" si="4"/>
        <v>559.44</v>
      </c>
      <c r="F22" s="599">
        <f t="shared" si="5"/>
        <v>1678.32</v>
      </c>
      <c r="G22" s="599"/>
      <c r="H22" s="598" t="s">
        <v>3377</v>
      </c>
      <c r="I22" s="599"/>
      <c r="J22" s="599">
        <f t="shared" si="6"/>
        <v>477.36</v>
      </c>
      <c r="K22" s="599">
        <f t="shared" si="7"/>
        <v>1432.08</v>
      </c>
      <c r="L22" s="599"/>
      <c r="M22" s="598" t="s">
        <v>3387</v>
      </c>
      <c r="N22" s="599"/>
      <c r="O22" s="599">
        <f t="shared" si="8"/>
        <v>354.24</v>
      </c>
      <c r="P22" s="599">
        <f t="shared" si="9"/>
        <v>1062.72</v>
      </c>
      <c r="Q22" s="599"/>
      <c r="R22" s="242"/>
      <c r="S22" s="242"/>
      <c r="T22" s="242"/>
      <c r="U22" s="242"/>
      <c r="V22" s="242"/>
      <c r="W22" s="242"/>
      <c r="X22" s="242"/>
      <c r="Y22" s="242"/>
      <c r="Z22" s="242"/>
      <c r="AA22" s="242"/>
      <c r="AB22" s="242"/>
      <c r="AC22" s="242"/>
      <c r="AD22" s="242"/>
      <c r="AE22" s="242"/>
      <c r="AF22" s="242"/>
    </row>
    <row r="23">
      <c r="A23" s="242"/>
      <c r="B23" s="466">
        <v>63.0</v>
      </c>
      <c r="C23" s="598" t="s">
        <v>3369</v>
      </c>
      <c r="D23" s="466"/>
      <c r="E23" s="599">
        <f t="shared" si="4"/>
        <v>901.8</v>
      </c>
      <c r="F23" s="599">
        <f t="shared" si="5"/>
        <v>2705.4</v>
      </c>
      <c r="G23" s="599"/>
      <c r="H23" s="598" t="s">
        <v>3378</v>
      </c>
      <c r="I23" s="599"/>
      <c r="J23" s="599">
        <f t="shared" si="6"/>
        <v>699.84</v>
      </c>
      <c r="K23" s="599">
        <f t="shared" si="7"/>
        <v>2099.52</v>
      </c>
      <c r="L23" s="599"/>
      <c r="M23" s="598" t="s">
        <v>3388</v>
      </c>
      <c r="N23" s="599"/>
      <c r="O23" s="599">
        <f t="shared" si="8"/>
        <v>502.2</v>
      </c>
      <c r="P23" s="599">
        <f t="shared" si="9"/>
        <v>1506.6</v>
      </c>
      <c r="Q23" s="599"/>
      <c r="R23" s="242"/>
      <c r="S23" s="242"/>
      <c r="T23" s="242"/>
      <c r="U23" s="242"/>
      <c r="V23" s="242"/>
      <c r="W23" s="242"/>
      <c r="X23" s="242"/>
      <c r="Y23" s="242"/>
      <c r="Z23" s="242"/>
      <c r="AA23" s="242"/>
      <c r="AB23" s="242"/>
      <c r="AC23" s="242"/>
      <c r="AD23" s="242"/>
      <c r="AE23" s="242"/>
      <c r="AF23" s="242"/>
    </row>
    <row r="24">
      <c r="A24" s="242"/>
      <c r="B24" s="466">
        <v>75.0</v>
      </c>
      <c r="C24" s="598" t="s">
        <v>3370</v>
      </c>
      <c r="D24" s="466"/>
      <c r="E24" s="599">
        <f t="shared" si="4"/>
        <v>1069.2</v>
      </c>
      <c r="F24" s="599">
        <f t="shared" si="5"/>
        <v>3207.6</v>
      </c>
      <c r="G24" s="599"/>
      <c r="H24" s="598" t="s">
        <v>3379</v>
      </c>
      <c r="I24" s="599"/>
      <c r="J24" s="599">
        <f t="shared" si="6"/>
        <v>915.84</v>
      </c>
      <c r="K24" s="599">
        <f t="shared" si="7"/>
        <v>2747.52</v>
      </c>
      <c r="L24" s="599"/>
      <c r="M24" s="598" t="s">
        <v>3389</v>
      </c>
      <c r="N24" s="599"/>
      <c r="O24" s="599">
        <f t="shared" si="8"/>
        <v>643.68</v>
      </c>
      <c r="P24" s="599">
        <f t="shared" si="9"/>
        <v>1931.04</v>
      </c>
      <c r="Q24" s="599"/>
      <c r="R24" s="242"/>
      <c r="S24" s="242"/>
      <c r="T24" s="242"/>
      <c r="U24" s="242"/>
      <c r="V24" s="242"/>
      <c r="W24" s="242"/>
      <c r="X24" s="242"/>
      <c r="Y24" s="242"/>
      <c r="Z24" s="242"/>
      <c r="AA24" s="242"/>
      <c r="AB24" s="242"/>
      <c r="AC24" s="242"/>
      <c r="AD24" s="242"/>
      <c r="AE24" s="242"/>
      <c r="AF24" s="242"/>
    </row>
    <row r="25">
      <c r="A25" s="242"/>
      <c r="B25" s="466">
        <v>90.0</v>
      </c>
      <c r="C25" s="598" t="s">
        <v>3371</v>
      </c>
      <c r="D25" s="466"/>
      <c r="E25" s="599">
        <f t="shared" si="4"/>
        <v>1393.2</v>
      </c>
      <c r="F25" s="599">
        <f t="shared" si="5"/>
        <v>4179.6</v>
      </c>
      <c r="G25" s="599"/>
      <c r="H25" s="598" t="s">
        <v>3380</v>
      </c>
      <c r="I25" s="599"/>
      <c r="J25" s="599">
        <f t="shared" si="6"/>
        <v>1347.84</v>
      </c>
      <c r="K25" s="599">
        <f t="shared" si="7"/>
        <v>4043.52</v>
      </c>
      <c r="L25" s="599"/>
      <c r="M25" s="598" t="s">
        <v>3390</v>
      </c>
      <c r="N25" s="599"/>
      <c r="O25" s="599">
        <f t="shared" si="8"/>
        <v>933.12</v>
      </c>
      <c r="P25" s="599">
        <f t="shared" si="9"/>
        <v>2799.36</v>
      </c>
      <c r="Q25" s="599"/>
      <c r="R25" s="242"/>
      <c r="S25" s="242"/>
      <c r="T25" s="242"/>
      <c r="U25" s="242"/>
      <c r="V25" s="242"/>
      <c r="W25" s="242"/>
      <c r="X25" s="242"/>
      <c r="Y25" s="242"/>
      <c r="Z25" s="242"/>
      <c r="AA25" s="242"/>
      <c r="AB25" s="242"/>
      <c r="AC25" s="242"/>
      <c r="AD25" s="242"/>
      <c r="AE25" s="242"/>
      <c r="AF25" s="242"/>
    </row>
    <row r="26">
      <c r="A26" s="242"/>
      <c r="B26" s="466">
        <v>110.0</v>
      </c>
      <c r="C26" s="598" t="s">
        <v>3372</v>
      </c>
      <c r="D26" s="466"/>
      <c r="E26" s="599">
        <f t="shared" si="4"/>
        <v>2235.6</v>
      </c>
      <c r="F26" s="599">
        <f t="shared" si="5"/>
        <v>6706.8</v>
      </c>
      <c r="G26" s="599"/>
      <c r="H26" s="598" t="s">
        <v>3381</v>
      </c>
      <c r="I26" s="599"/>
      <c r="J26" s="599">
        <f t="shared" si="6"/>
        <v>2019.6</v>
      </c>
      <c r="K26" s="599">
        <f t="shared" si="7"/>
        <v>6058.8</v>
      </c>
      <c r="L26" s="599"/>
      <c r="M26" s="598" t="s">
        <v>3391</v>
      </c>
      <c r="N26" s="599"/>
      <c r="O26" s="599">
        <f t="shared" si="8"/>
        <v>1382.4</v>
      </c>
      <c r="P26" s="599">
        <f t="shared" si="9"/>
        <v>4147.2</v>
      </c>
      <c r="Q26" s="599"/>
      <c r="R26" s="242"/>
      <c r="S26" s="242"/>
      <c r="T26" s="242"/>
      <c r="U26" s="242"/>
      <c r="V26" s="242"/>
      <c r="W26" s="242"/>
      <c r="X26" s="242"/>
      <c r="Y26" s="242"/>
      <c r="Z26" s="242"/>
      <c r="AA26" s="242"/>
      <c r="AB26" s="242"/>
      <c r="AC26" s="242"/>
      <c r="AD26" s="242"/>
      <c r="AE26" s="242"/>
      <c r="AF26" s="242"/>
    </row>
    <row r="27">
      <c r="A27" s="242"/>
      <c r="B27" s="466">
        <v>160.0</v>
      </c>
      <c r="C27" s="478"/>
      <c r="D27" s="600"/>
      <c r="E27" s="599"/>
      <c r="F27" s="599"/>
      <c r="G27" s="599"/>
      <c r="H27" s="598" t="s">
        <v>3382</v>
      </c>
      <c r="I27" s="599"/>
      <c r="J27" s="599">
        <f t="shared" si="6"/>
        <v>5270.4</v>
      </c>
      <c r="K27" s="599">
        <f t="shared" si="7"/>
        <v>15811.2</v>
      </c>
      <c r="L27" s="599"/>
      <c r="M27" s="598" t="s">
        <v>3392</v>
      </c>
      <c r="N27" s="599"/>
      <c r="O27" s="599">
        <f t="shared" si="8"/>
        <v>2859.84</v>
      </c>
      <c r="P27" s="599">
        <f t="shared" si="9"/>
        <v>8579.52</v>
      </c>
      <c r="Q27" s="599"/>
      <c r="R27" s="242"/>
      <c r="S27" s="242"/>
      <c r="T27" s="242"/>
      <c r="U27" s="242"/>
      <c r="V27" s="242"/>
      <c r="W27" s="242"/>
      <c r="X27" s="242"/>
      <c r="Y27" s="242"/>
      <c r="Z27" s="242"/>
      <c r="AA27" s="242"/>
      <c r="AB27" s="242"/>
      <c r="AC27" s="242"/>
      <c r="AD27" s="242"/>
      <c r="AE27" s="242"/>
      <c r="AF27" s="242"/>
    </row>
    <row r="28">
      <c r="A28" s="242"/>
      <c r="B28" s="466">
        <v>200.0</v>
      </c>
      <c r="C28" s="478"/>
      <c r="D28" s="600"/>
      <c r="E28" s="599"/>
      <c r="F28" s="599"/>
      <c r="G28" s="599"/>
      <c r="H28" s="478"/>
      <c r="I28" s="599"/>
      <c r="J28" s="599"/>
      <c r="K28" s="599"/>
      <c r="L28" s="599"/>
      <c r="M28" s="598" t="s">
        <v>3393</v>
      </c>
      <c r="N28" s="599"/>
      <c r="O28" s="599">
        <f t="shared" si="8"/>
        <v>4730.4</v>
      </c>
      <c r="P28" s="599">
        <f t="shared" si="9"/>
        <v>14191.2</v>
      </c>
      <c r="Q28" s="599"/>
      <c r="R28" s="242"/>
      <c r="S28" s="242"/>
      <c r="T28" s="242"/>
      <c r="U28" s="242"/>
      <c r="V28" s="242"/>
      <c r="W28" s="242"/>
      <c r="X28" s="242"/>
      <c r="Y28" s="242"/>
      <c r="Z28" s="242"/>
      <c r="AA28" s="242"/>
      <c r="AB28" s="242"/>
      <c r="AC28" s="242"/>
      <c r="AD28" s="242"/>
      <c r="AE28" s="242"/>
      <c r="AF28" s="242"/>
    </row>
    <row r="29">
      <c r="A29" s="242"/>
      <c r="B29" s="601"/>
      <c r="C29" s="601"/>
      <c r="D29" s="602"/>
      <c r="E29" s="603"/>
      <c r="F29" s="603"/>
      <c r="G29" s="603"/>
      <c r="H29" s="601"/>
      <c r="I29" s="603"/>
      <c r="J29" s="603"/>
      <c r="K29" s="603"/>
      <c r="L29" s="603"/>
      <c r="M29" s="601"/>
      <c r="N29" s="603"/>
      <c r="O29" s="603"/>
      <c r="P29" s="556"/>
      <c r="Q29" s="556"/>
      <c r="R29" s="242"/>
      <c r="S29" s="242"/>
      <c r="T29" s="242"/>
      <c r="U29" s="242"/>
      <c r="V29" s="242"/>
      <c r="W29" s="242"/>
      <c r="X29" s="242"/>
      <c r="Y29" s="242"/>
      <c r="Z29" s="242"/>
      <c r="AA29" s="242"/>
      <c r="AB29" s="242"/>
      <c r="AC29" s="242"/>
      <c r="AD29" s="242"/>
      <c r="AE29" s="242"/>
      <c r="AF29" s="242"/>
    </row>
    <row r="30">
      <c r="A30" s="242"/>
      <c r="B30" s="604" t="s">
        <v>3395</v>
      </c>
      <c r="C30" s="45"/>
      <c r="D30" s="45"/>
      <c r="E30" s="45"/>
      <c r="F30" s="45"/>
      <c r="G30" s="45"/>
      <c r="H30" s="45"/>
      <c r="I30" s="45"/>
      <c r="J30" s="45"/>
      <c r="K30" s="45"/>
      <c r="L30" s="45"/>
      <c r="M30" s="45"/>
      <c r="N30" s="45"/>
      <c r="O30" s="45"/>
      <c r="P30" s="45"/>
      <c r="Q30" s="46"/>
      <c r="R30" s="242"/>
      <c r="S30" s="242"/>
      <c r="T30" s="242"/>
      <c r="U30" s="242"/>
      <c r="V30" s="242"/>
      <c r="W30" s="242"/>
      <c r="X30" s="242"/>
      <c r="Y30" s="242"/>
      <c r="Z30" s="242"/>
      <c r="AA30" s="242"/>
      <c r="AB30" s="242"/>
      <c r="AC30" s="242"/>
      <c r="AD30" s="242"/>
      <c r="AE30" s="242"/>
      <c r="AF30" s="242"/>
    </row>
    <row r="31">
      <c r="A31" s="242"/>
      <c r="B31" s="466">
        <v>20.0</v>
      </c>
      <c r="C31" s="598" t="s">
        <v>3394</v>
      </c>
      <c r="D31" s="466"/>
      <c r="E31" s="599">
        <f t="shared" ref="E31:E39" si="11">E18*1.25</f>
        <v>120.15</v>
      </c>
      <c r="F31" s="599">
        <f t="shared" ref="F31:F39" si="12">E31*3</f>
        <v>360.45</v>
      </c>
      <c r="G31" s="599"/>
      <c r="H31" s="598" t="s">
        <v>3404</v>
      </c>
      <c r="I31" s="599"/>
      <c r="J31" s="599">
        <f t="shared" ref="J31:J40" si="13">J18*1.25</f>
        <v>103.95</v>
      </c>
      <c r="K31" s="599">
        <f t="shared" ref="K31:K40" si="14">J31*3</f>
        <v>311.85</v>
      </c>
      <c r="L31" s="599"/>
      <c r="M31" s="598" t="s">
        <v>3414</v>
      </c>
      <c r="N31" s="599"/>
      <c r="O31" s="599">
        <f t="shared" ref="O31:O41" si="15">O18*1.25</f>
        <v>78.3</v>
      </c>
      <c r="P31" s="599">
        <f t="shared" ref="P31:P41" si="16">O31*3</f>
        <v>234.9</v>
      </c>
      <c r="Q31" s="599"/>
      <c r="R31" s="242"/>
      <c r="S31" s="242"/>
      <c r="T31" s="242"/>
      <c r="U31" s="242"/>
      <c r="V31" s="242"/>
      <c r="W31" s="242"/>
      <c r="X31" s="242"/>
      <c r="Y31" s="242"/>
      <c r="Z31" s="242"/>
      <c r="AA31" s="242"/>
      <c r="AB31" s="242"/>
      <c r="AC31" s="242"/>
      <c r="AD31" s="242"/>
      <c r="AE31" s="242"/>
      <c r="AF31" s="242"/>
    </row>
    <row r="32">
      <c r="A32" s="242"/>
      <c r="B32" s="466">
        <v>25.0</v>
      </c>
      <c r="C32" s="598" t="s">
        <v>3396</v>
      </c>
      <c r="D32" s="466"/>
      <c r="E32" s="599">
        <f t="shared" si="11"/>
        <v>159.3</v>
      </c>
      <c r="F32" s="599">
        <f t="shared" si="12"/>
        <v>477.9</v>
      </c>
      <c r="G32" s="599"/>
      <c r="H32" s="598" t="s">
        <v>3405</v>
      </c>
      <c r="I32" s="599"/>
      <c r="J32" s="599">
        <f t="shared" si="13"/>
        <v>137.7</v>
      </c>
      <c r="K32" s="599">
        <f t="shared" si="14"/>
        <v>413.1</v>
      </c>
      <c r="L32" s="599"/>
      <c r="M32" s="598" t="s">
        <v>3415</v>
      </c>
      <c r="N32" s="599"/>
      <c r="O32" s="599">
        <f t="shared" si="15"/>
        <v>116.1</v>
      </c>
      <c r="P32" s="599">
        <f t="shared" si="16"/>
        <v>348.3</v>
      </c>
      <c r="Q32" s="599"/>
      <c r="R32" s="242"/>
      <c r="S32" s="242"/>
      <c r="T32" s="242"/>
      <c r="U32" s="242"/>
      <c r="V32" s="242"/>
      <c r="W32" s="242"/>
      <c r="X32" s="242"/>
      <c r="Y32" s="242"/>
      <c r="Z32" s="242"/>
      <c r="AA32" s="242"/>
      <c r="AB32" s="242"/>
      <c r="AC32" s="242"/>
      <c r="AD32" s="242"/>
      <c r="AE32" s="242"/>
      <c r="AF32" s="242"/>
    </row>
    <row r="33">
      <c r="A33" s="242"/>
      <c r="B33" s="466">
        <v>32.0</v>
      </c>
      <c r="C33" s="598" t="s">
        <v>3397</v>
      </c>
      <c r="D33" s="466"/>
      <c r="E33" s="599">
        <f t="shared" si="11"/>
        <v>259.2</v>
      </c>
      <c r="F33" s="599">
        <f t="shared" si="12"/>
        <v>777.6</v>
      </c>
      <c r="G33" s="599"/>
      <c r="H33" s="598" t="s">
        <v>3406</v>
      </c>
      <c r="I33" s="599"/>
      <c r="J33" s="599">
        <f t="shared" si="13"/>
        <v>222.75</v>
      </c>
      <c r="K33" s="599">
        <f t="shared" si="14"/>
        <v>668.25</v>
      </c>
      <c r="L33" s="599"/>
      <c r="M33" s="598" t="s">
        <v>3416</v>
      </c>
      <c r="N33" s="599"/>
      <c r="O33" s="599">
        <f t="shared" si="15"/>
        <v>186.3</v>
      </c>
      <c r="P33" s="599">
        <f t="shared" si="16"/>
        <v>558.9</v>
      </c>
      <c r="Q33" s="599"/>
      <c r="R33" s="242"/>
      <c r="S33" s="242"/>
      <c r="T33" s="242"/>
      <c r="U33" s="242"/>
      <c r="V33" s="242"/>
      <c r="W33" s="242"/>
      <c r="X33" s="242"/>
      <c r="Y33" s="242"/>
      <c r="Z33" s="242"/>
      <c r="AA33" s="242"/>
      <c r="AB33" s="242"/>
      <c r="AC33" s="242"/>
      <c r="AD33" s="242"/>
      <c r="AE33" s="242"/>
      <c r="AF33" s="242"/>
    </row>
    <row r="34">
      <c r="A34" s="242"/>
      <c r="B34" s="466">
        <v>40.0</v>
      </c>
      <c r="C34" s="598" t="s">
        <v>3398</v>
      </c>
      <c r="D34" s="466"/>
      <c r="E34" s="599">
        <f t="shared" si="11"/>
        <v>384.75</v>
      </c>
      <c r="F34" s="599">
        <f t="shared" si="12"/>
        <v>1154.25</v>
      </c>
      <c r="G34" s="599"/>
      <c r="H34" s="598" t="s">
        <v>3407</v>
      </c>
      <c r="I34" s="599"/>
      <c r="J34" s="599">
        <f t="shared" si="13"/>
        <v>330.75</v>
      </c>
      <c r="K34" s="599">
        <f t="shared" si="14"/>
        <v>992.25</v>
      </c>
      <c r="L34" s="599"/>
      <c r="M34" s="598" t="s">
        <v>3417</v>
      </c>
      <c r="N34" s="599"/>
      <c r="O34" s="599">
        <f t="shared" si="15"/>
        <v>267.3</v>
      </c>
      <c r="P34" s="599">
        <f t="shared" si="16"/>
        <v>801.9</v>
      </c>
      <c r="Q34" s="599"/>
      <c r="R34" s="242"/>
      <c r="S34" s="242"/>
      <c r="T34" s="242"/>
      <c r="U34" s="242"/>
      <c r="V34" s="242"/>
      <c r="W34" s="242"/>
      <c r="X34" s="242"/>
      <c r="Y34" s="242"/>
      <c r="Z34" s="242"/>
      <c r="AA34" s="242"/>
      <c r="AB34" s="242"/>
      <c r="AC34" s="242"/>
      <c r="AD34" s="242"/>
      <c r="AE34" s="242"/>
      <c r="AF34" s="242"/>
    </row>
    <row r="35">
      <c r="A35" s="242"/>
      <c r="B35" s="466">
        <v>50.0</v>
      </c>
      <c r="C35" s="598" t="s">
        <v>3399</v>
      </c>
      <c r="D35" s="466"/>
      <c r="E35" s="599">
        <f t="shared" si="11"/>
        <v>699.3</v>
      </c>
      <c r="F35" s="599">
        <f t="shared" si="12"/>
        <v>2097.9</v>
      </c>
      <c r="G35" s="599"/>
      <c r="H35" s="598" t="s">
        <v>3408</v>
      </c>
      <c r="I35" s="599"/>
      <c r="J35" s="599">
        <f t="shared" si="13"/>
        <v>596.7</v>
      </c>
      <c r="K35" s="599">
        <f t="shared" si="14"/>
        <v>1790.1</v>
      </c>
      <c r="L35" s="599"/>
      <c r="M35" s="598" t="s">
        <v>3418</v>
      </c>
      <c r="N35" s="599"/>
      <c r="O35" s="599">
        <f t="shared" si="15"/>
        <v>442.8</v>
      </c>
      <c r="P35" s="599">
        <f t="shared" si="16"/>
        <v>1328.4</v>
      </c>
      <c r="Q35" s="599"/>
      <c r="R35" s="242"/>
      <c r="S35" s="242"/>
      <c r="T35" s="242"/>
      <c r="U35" s="242"/>
      <c r="V35" s="242"/>
      <c r="W35" s="242"/>
      <c r="X35" s="242"/>
      <c r="Y35" s="242"/>
      <c r="Z35" s="242"/>
      <c r="AA35" s="242"/>
      <c r="AB35" s="242"/>
      <c r="AC35" s="242"/>
      <c r="AD35" s="242"/>
      <c r="AE35" s="242"/>
      <c r="AF35" s="242"/>
    </row>
    <row r="36">
      <c r="A36" s="242"/>
      <c r="B36" s="466">
        <v>63.0</v>
      </c>
      <c r="C36" s="598" t="s">
        <v>3400</v>
      </c>
      <c r="D36" s="466"/>
      <c r="E36" s="599">
        <f t="shared" si="11"/>
        <v>1127.25</v>
      </c>
      <c r="F36" s="599">
        <f t="shared" si="12"/>
        <v>3381.75</v>
      </c>
      <c r="G36" s="599"/>
      <c r="H36" s="598" t="s">
        <v>3409</v>
      </c>
      <c r="I36" s="599"/>
      <c r="J36" s="599">
        <f t="shared" si="13"/>
        <v>874.8</v>
      </c>
      <c r="K36" s="599">
        <f t="shared" si="14"/>
        <v>2624.4</v>
      </c>
      <c r="L36" s="599"/>
      <c r="M36" s="598" t="s">
        <v>3419</v>
      </c>
      <c r="N36" s="599"/>
      <c r="O36" s="599">
        <f t="shared" si="15"/>
        <v>627.75</v>
      </c>
      <c r="P36" s="599">
        <f t="shared" si="16"/>
        <v>1883.25</v>
      </c>
      <c r="Q36" s="599"/>
      <c r="R36" s="242"/>
      <c r="S36" s="242"/>
      <c r="T36" s="242"/>
      <c r="U36" s="242"/>
      <c r="V36" s="242"/>
      <c r="W36" s="242"/>
      <c r="X36" s="242"/>
      <c r="Y36" s="242"/>
      <c r="Z36" s="242"/>
      <c r="AA36" s="242"/>
      <c r="AB36" s="242"/>
      <c r="AC36" s="242"/>
      <c r="AD36" s="242"/>
      <c r="AE36" s="242"/>
      <c r="AF36" s="242"/>
    </row>
    <row r="37">
      <c r="A37" s="242"/>
      <c r="B37" s="466">
        <v>75.0</v>
      </c>
      <c r="C37" s="598" t="s">
        <v>3401</v>
      </c>
      <c r="D37" s="466"/>
      <c r="E37" s="599">
        <f t="shared" si="11"/>
        <v>1336.5</v>
      </c>
      <c r="F37" s="599">
        <f t="shared" si="12"/>
        <v>4009.5</v>
      </c>
      <c r="G37" s="599"/>
      <c r="H37" s="598" t="s">
        <v>3410</v>
      </c>
      <c r="I37" s="599"/>
      <c r="J37" s="599">
        <f t="shared" si="13"/>
        <v>1144.8</v>
      </c>
      <c r="K37" s="599">
        <f t="shared" si="14"/>
        <v>3434.4</v>
      </c>
      <c r="L37" s="599"/>
      <c r="M37" s="598" t="s">
        <v>3420</v>
      </c>
      <c r="N37" s="599"/>
      <c r="O37" s="599">
        <f t="shared" si="15"/>
        <v>804.6</v>
      </c>
      <c r="P37" s="599">
        <f t="shared" si="16"/>
        <v>2413.8</v>
      </c>
      <c r="Q37" s="599"/>
      <c r="R37" s="242"/>
      <c r="S37" s="242"/>
      <c r="T37" s="242"/>
      <c r="U37" s="242"/>
      <c r="V37" s="242"/>
      <c r="W37" s="242"/>
      <c r="X37" s="242"/>
      <c r="Y37" s="242"/>
      <c r="Z37" s="242"/>
      <c r="AA37" s="242"/>
      <c r="AB37" s="242"/>
      <c r="AC37" s="242"/>
      <c r="AD37" s="242"/>
      <c r="AE37" s="242"/>
      <c r="AF37" s="242"/>
    </row>
    <row r="38">
      <c r="A38" s="242"/>
      <c r="B38" s="466">
        <v>90.0</v>
      </c>
      <c r="C38" s="598" t="s">
        <v>3402</v>
      </c>
      <c r="D38" s="466"/>
      <c r="E38" s="599">
        <f t="shared" si="11"/>
        <v>1741.5</v>
      </c>
      <c r="F38" s="599">
        <f t="shared" si="12"/>
        <v>5224.5</v>
      </c>
      <c r="G38" s="599"/>
      <c r="H38" s="598" t="s">
        <v>3411</v>
      </c>
      <c r="I38" s="599"/>
      <c r="J38" s="599">
        <f t="shared" si="13"/>
        <v>1684.8</v>
      </c>
      <c r="K38" s="599">
        <f t="shared" si="14"/>
        <v>5054.4</v>
      </c>
      <c r="L38" s="599"/>
      <c r="M38" s="598" t="s">
        <v>3421</v>
      </c>
      <c r="N38" s="599"/>
      <c r="O38" s="599">
        <f t="shared" si="15"/>
        <v>1166.4</v>
      </c>
      <c r="P38" s="599">
        <f t="shared" si="16"/>
        <v>3499.2</v>
      </c>
      <c r="Q38" s="599"/>
      <c r="R38" s="242"/>
      <c r="S38" s="242"/>
      <c r="T38" s="242"/>
      <c r="U38" s="242"/>
      <c r="V38" s="242"/>
      <c r="W38" s="242"/>
      <c r="X38" s="242"/>
      <c r="Y38" s="242"/>
      <c r="Z38" s="242"/>
      <c r="AA38" s="242"/>
      <c r="AB38" s="242"/>
      <c r="AC38" s="242"/>
      <c r="AD38" s="242"/>
      <c r="AE38" s="242"/>
      <c r="AF38" s="242"/>
    </row>
    <row r="39">
      <c r="A39" s="242"/>
      <c r="B39" s="466">
        <v>110.0</v>
      </c>
      <c r="C39" s="598" t="s">
        <v>3403</v>
      </c>
      <c r="D39" s="466"/>
      <c r="E39" s="599">
        <f t="shared" si="11"/>
        <v>2794.5</v>
      </c>
      <c r="F39" s="599">
        <f t="shared" si="12"/>
        <v>8383.5</v>
      </c>
      <c r="G39" s="599"/>
      <c r="H39" s="598" t="s">
        <v>3412</v>
      </c>
      <c r="I39" s="599"/>
      <c r="J39" s="599">
        <f t="shared" si="13"/>
        <v>2524.5</v>
      </c>
      <c r="K39" s="599">
        <f t="shared" si="14"/>
        <v>7573.5</v>
      </c>
      <c r="L39" s="599"/>
      <c r="M39" s="598" t="s">
        <v>3422</v>
      </c>
      <c r="N39" s="599"/>
      <c r="O39" s="599">
        <f t="shared" si="15"/>
        <v>1728</v>
      </c>
      <c r="P39" s="599">
        <f t="shared" si="16"/>
        <v>5184</v>
      </c>
      <c r="Q39" s="599"/>
      <c r="R39" s="242"/>
      <c r="S39" s="242"/>
      <c r="T39" s="242"/>
      <c r="U39" s="242"/>
      <c r="V39" s="242"/>
      <c r="W39" s="242"/>
      <c r="X39" s="242"/>
      <c r="Y39" s="242"/>
      <c r="Z39" s="242"/>
      <c r="AA39" s="242"/>
      <c r="AB39" s="242"/>
      <c r="AC39" s="242"/>
      <c r="AD39" s="242"/>
      <c r="AE39" s="242"/>
      <c r="AF39" s="242"/>
    </row>
    <row r="40">
      <c r="A40" s="242"/>
      <c r="B40" s="466">
        <v>160.0</v>
      </c>
      <c r="C40" s="478"/>
      <c r="D40" s="600"/>
      <c r="E40" s="599"/>
      <c r="F40" s="599"/>
      <c r="G40" s="599"/>
      <c r="H40" s="598" t="s">
        <v>3413</v>
      </c>
      <c r="I40" s="599"/>
      <c r="J40" s="599">
        <f t="shared" si="13"/>
        <v>6588</v>
      </c>
      <c r="K40" s="599">
        <f t="shared" si="14"/>
        <v>19764</v>
      </c>
      <c r="L40" s="599"/>
      <c r="M40" s="598" t="s">
        <v>3423</v>
      </c>
      <c r="N40" s="599"/>
      <c r="O40" s="599">
        <f t="shared" si="15"/>
        <v>3574.8</v>
      </c>
      <c r="P40" s="599">
        <f t="shared" si="16"/>
        <v>10724.4</v>
      </c>
      <c r="Q40" s="599"/>
      <c r="R40" s="242"/>
      <c r="S40" s="242"/>
      <c r="T40" s="242"/>
      <c r="U40" s="242"/>
      <c r="V40" s="242"/>
      <c r="W40" s="242"/>
      <c r="X40" s="242"/>
      <c r="Y40" s="242"/>
      <c r="Z40" s="242"/>
      <c r="AA40" s="242"/>
      <c r="AB40" s="242"/>
      <c r="AC40" s="242"/>
      <c r="AD40" s="242"/>
      <c r="AE40" s="242"/>
      <c r="AF40" s="242"/>
    </row>
    <row r="41">
      <c r="A41" s="242"/>
      <c r="B41" s="466">
        <v>200.0</v>
      </c>
      <c r="C41" s="478"/>
      <c r="D41" s="600"/>
      <c r="E41" s="599"/>
      <c r="F41" s="599"/>
      <c r="G41" s="599"/>
      <c r="H41" s="478"/>
      <c r="I41" s="599"/>
      <c r="J41" s="599"/>
      <c r="K41" s="599"/>
      <c r="L41" s="599"/>
      <c r="M41" s="598" t="s">
        <v>3424</v>
      </c>
      <c r="N41" s="599"/>
      <c r="O41" s="599">
        <f t="shared" si="15"/>
        <v>5913</v>
      </c>
      <c r="P41" s="599">
        <f t="shared" si="16"/>
        <v>17739</v>
      </c>
      <c r="Q41" s="599"/>
      <c r="R41" s="242"/>
      <c r="S41" s="242"/>
      <c r="T41" s="242"/>
      <c r="U41" s="242"/>
      <c r="V41" s="242"/>
      <c r="W41" s="242"/>
      <c r="X41" s="242"/>
      <c r="Y41" s="242"/>
      <c r="Z41" s="242"/>
      <c r="AA41" s="242"/>
      <c r="AB41" s="242"/>
      <c r="AC41" s="242"/>
      <c r="AD41" s="242"/>
      <c r="AE41" s="242"/>
      <c r="AF41" s="242"/>
    </row>
    <row r="42">
      <c r="A42" s="242"/>
      <c r="B42" s="242"/>
      <c r="C42" s="242"/>
      <c r="D42" s="13"/>
      <c r="E42" s="525"/>
      <c r="F42" s="525"/>
      <c r="G42" s="525"/>
      <c r="H42" s="242"/>
      <c r="I42" s="525"/>
      <c r="J42" s="525"/>
      <c r="K42" s="525"/>
      <c r="L42" s="525"/>
      <c r="M42" s="242"/>
      <c r="N42" s="525"/>
      <c r="O42" s="525"/>
      <c r="P42" s="525"/>
      <c r="Q42" s="525"/>
      <c r="R42" s="242"/>
      <c r="S42" s="242"/>
      <c r="T42" s="242"/>
      <c r="U42" s="242"/>
      <c r="V42" s="242"/>
      <c r="W42" s="242"/>
      <c r="X42" s="242"/>
      <c r="Y42" s="242"/>
      <c r="Z42" s="242"/>
      <c r="AA42" s="242"/>
      <c r="AB42" s="242"/>
      <c r="AC42" s="242"/>
      <c r="AD42" s="242"/>
      <c r="AE42" s="242"/>
      <c r="AF42" s="242"/>
    </row>
    <row r="43">
      <c r="A43" s="242"/>
      <c r="B43" s="242"/>
      <c r="C43" s="242"/>
      <c r="D43" s="13"/>
      <c r="E43" s="525"/>
      <c r="F43" s="525"/>
      <c r="G43" s="525"/>
      <c r="H43" s="242"/>
      <c r="I43" s="525"/>
      <c r="J43" s="525"/>
      <c r="K43" s="525"/>
      <c r="L43" s="525"/>
      <c r="M43" s="242"/>
      <c r="N43" s="525"/>
      <c r="O43" s="525"/>
      <c r="P43" s="525"/>
      <c r="Q43" s="525"/>
      <c r="R43" s="242"/>
      <c r="S43" s="242"/>
      <c r="T43" s="242"/>
      <c r="U43" s="242"/>
      <c r="V43" s="242"/>
      <c r="W43" s="242"/>
      <c r="X43" s="242"/>
      <c r="Y43" s="242"/>
      <c r="Z43" s="242"/>
      <c r="AA43" s="242"/>
      <c r="AB43" s="242"/>
      <c r="AC43" s="242"/>
      <c r="AD43" s="242"/>
      <c r="AE43" s="242"/>
      <c r="AF43" s="242"/>
    </row>
    <row r="44">
      <c r="A44" s="242"/>
      <c r="B44" s="242"/>
      <c r="C44" s="242"/>
      <c r="D44" s="13"/>
      <c r="E44" s="525"/>
      <c r="F44" s="525"/>
      <c r="G44" s="525"/>
      <c r="H44" s="242"/>
      <c r="I44" s="525"/>
      <c r="J44" s="525"/>
      <c r="K44" s="525"/>
      <c r="L44" s="525"/>
      <c r="M44" s="242"/>
      <c r="N44" s="525"/>
      <c r="O44" s="525"/>
      <c r="P44" s="525"/>
      <c r="Q44" s="525"/>
      <c r="R44" s="242"/>
      <c r="S44" s="242"/>
      <c r="T44" s="242"/>
      <c r="U44" s="242"/>
      <c r="V44" s="242"/>
      <c r="W44" s="242"/>
      <c r="X44" s="242"/>
      <c r="Y44" s="242"/>
      <c r="Z44" s="242"/>
      <c r="AA44" s="242"/>
      <c r="AB44" s="242"/>
      <c r="AC44" s="242"/>
      <c r="AD44" s="242"/>
      <c r="AE44" s="242"/>
      <c r="AF44" s="242"/>
    </row>
    <row r="45">
      <c r="A45" s="242"/>
      <c r="B45" s="242"/>
      <c r="C45" s="242"/>
      <c r="D45" s="13"/>
      <c r="E45" s="525"/>
      <c r="F45" s="525"/>
      <c r="G45" s="525"/>
      <c r="H45" s="242"/>
      <c r="I45" s="525"/>
      <c r="J45" s="525"/>
      <c r="K45" s="525"/>
      <c r="L45" s="525"/>
      <c r="M45" s="242"/>
      <c r="N45" s="525"/>
      <c r="O45" s="525"/>
      <c r="P45" s="525"/>
      <c r="Q45" s="525"/>
      <c r="R45" s="242"/>
      <c r="S45" s="242"/>
      <c r="T45" s="242"/>
      <c r="U45" s="242"/>
      <c r="V45" s="242"/>
      <c r="W45" s="242"/>
      <c r="X45" s="242"/>
      <c r="Y45" s="242"/>
      <c r="Z45" s="242"/>
      <c r="AA45" s="242"/>
      <c r="AB45" s="242"/>
      <c r="AC45" s="242"/>
      <c r="AD45" s="242"/>
      <c r="AE45" s="242"/>
      <c r="AF45" s="242"/>
    </row>
    <row r="46">
      <c r="A46" s="242"/>
      <c r="B46" s="242"/>
      <c r="C46" s="242"/>
      <c r="D46" s="13"/>
      <c r="E46" s="525"/>
      <c r="F46" s="525"/>
      <c r="G46" s="525"/>
      <c r="H46" s="242"/>
      <c r="I46" s="525"/>
      <c r="J46" s="525"/>
      <c r="K46" s="525"/>
      <c r="L46" s="525"/>
      <c r="M46" s="242"/>
      <c r="N46" s="525"/>
      <c r="O46" s="525"/>
      <c r="P46" s="525"/>
      <c r="Q46" s="525"/>
      <c r="R46" s="242"/>
      <c r="S46" s="242"/>
      <c r="T46" s="242"/>
      <c r="U46" s="242"/>
      <c r="V46" s="242"/>
      <c r="W46" s="242"/>
      <c r="X46" s="242"/>
      <c r="Y46" s="242"/>
      <c r="Z46" s="242"/>
      <c r="AA46" s="242"/>
      <c r="AB46" s="242"/>
      <c r="AC46" s="242"/>
      <c r="AD46" s="242"/>
      <c r="AE46" s="242"/>
      <c r="AF46" s="242"/>
    </row>
    <row r="47">
      <c r="A47" s="242"/>
      <c r="B47" s="242"/>
      <c r="C47" s="242"/>
      <c r="D47" s="13"/>
      <c r="E47" s="525"/>
      <c r="F47" s="525"/>
      <c r="G47" s="525"/>
      <c r="H47" s="242"/>
      <c r="I47" s="525"/>
      <c r="J47" s="525"/>
      <c r="K47" s="525"/>
      <c r="L47" s="525"/>
      <c r="M47" s="242"/>
      <c r="N47" s="525"/>
      <c r="O47" s="525"/>
      <c r="P47" s="525"/>
      <c r="Q47" s="525"/>
      <c r="R47" s="242"/>
      <c r="S47" s="242"/>
      <c r="T47" s="242"/>
      <c r="U47" s="242"/>
      <c r="V47" s="242"/>
      <c r="W47" s="242"/>
      <c r="X47" s="242"/>
      <c r="Y47" s="242"/>
      <c r="Z47" s="242"/>
      <c r="AA47" s="242"/>
      <c r="AB47" s="242"/>
      <c r="AC47" s="242"/>
      <c r="AD47" s="242"/>
      <c r="AE47" s="242"/>
      <c r="AF47" s="242"/>
    </row>
    <row r="48">
      <c r="A48" s="242"/>
      <c r="B48" s="242"/>
      <c r="C48" s="242"/>
      <c r="D48" s="13"/>
      <c r="E48" s="525"/>
      <c r="F48" s="525"/>
      <c r="G48" s="525"/>
      <c r="H48" s="242"/>
      <c r="I48" s="525"/>
      <c r="J48" s="525"/>
      <c r="K48" s="525"/>
      <c r="L48" s="525"/>
      <c r="M48" s="242"/>
      <c r="N48" s="525"/>
      <c r="O48" s="525"/>
      <c r="P48" s="525"/>
      <c r="Q48" s="525"/>
      <c r="R48" s="242"/>
      <c r="S48" s="242"/>
      <c r="T48" s="242"/>
      <c r="U48" s="242"/>
      <c r="V48" s="242"/>
      <c r="W48" s="242"/>
      <c r="X48" s="242"/>
      <c r="Y48" s="242"/>
      <c r="Z48" s="242"/>
      <c r="AA48" s="242"/>
      <c r="AB48" s="242"/>
      <c r="AC48" s="242"/>
      <c r="AD48" s="242"/>
      <c r="AE48" s="242"/>
      <c r="AF48" s="242"/>
    </row>
    <row r="49">
      <c r="A49" s="242"/>
      <c r="B49" s="242"/>
      <c r="C49" s="242"/>
      <c r="D49" s="13"/>
      <c r="E49" s="525"/>
      <c r="F49" s="525"/>
      <c r="G49" s="525"/>
      <c r="H49" s="242"/>
      <c r="I49" s="525"/>
      <c r="J49" s="525"/>
      <c r="K49" s="525"/>
      <c r="L49" s="525"/>
      <c r="M49" s="242"/>
      <c r="N49" s="525"/>
      <c r="O49" s="525"/>
      <c r="P49" s="525"/>
      <c r="Q49" s="525"/>
      <c r="R49" s="242"/>
      <c r="S49" s="242"/>
      <c r="T49" s="242"/>
      <c r="U49" s="242"/>
      <c r="V49" s="242"/>
      <c r="W49" s="242"/>
      <c r="X49" s="242"/>
      <c r="Y49" s="242"/>
      <c r="Z49" s="242"/>
      <c r="AA49" s="242"/>
      <c r="AB49" s="242"/>
      <c r="AC49" s="242"/>
      <c r="AD49" s="242"/>
      <c r="AE49" s="242"/>
      <c r="AF49" s="242"/>
    </row>
    <row r="50">
      <c r="A50" s="242"/>
      <c r="B50" s="242"/>
      <c r="C50" s="242"/>
      <c r="D50" s="13"/>
      <c r="E50" s="525"/>
      <c r="F50" s="525"/>
      <c r="G50" s="525"/>
      <c r="H50" s="242"/>
      <c r="I50" s="525"/>
      <c r="J50" s="525"/>
      <c r="K50" s="525"/>
      <c r="L50" s="525"/>
      <c r="M50" s="242"/>
      <c r="N50" s="525"/>
      <c r="O50" s="525"/>
      <c r="P50" s="525"/>
      <c r="Q50" s="525"/>
      <c r="R50" s="242"/>
      <c r="S50" s="242"/>
      <c r="T50" s="242"/>
      <c r="U50" s="242"/>
      <c r="V50" s="242"/>
      <c r="W50" s="242"/>
      <c r="X50" s="242"/>
      <c r="Y50" s="242"/>
      <c r="Z50" s="242"/>
      <c r="AA50" s="242"/>
      <c r="AB50" s="242"/>
      <c r="AC50" s="242"/>
      <c r="AD50" s="242"/>
      <c r="AE50" s="242"/>
      <c r="AF50" s="242"/>
    </row>
    <row r="51">
      <c r="A51" s="242"/>
      <c r="B51" s="242"/>
      <c r="C51" s="242"/>
      <c r="D51" s="13"/>
      <c r="E51" s="525"/>
      <c r="F51" s="525"/>
      <c r="G51" s="525"/>
      <c r="H51" s="242"/>
      <c r="I51" s="525"/>
      <c r="J51" s="525"/>
      <c r="K51" s="525"/>
      <c r="L51" s="525"/>
      <c r="M51" s="242"/>
      <c r="N51" s="525"/>
      <c r="O51" s="525"/>
      <c r="P51" s="525"/>
      <c r="Q51" s="525"/>
      <c r="R51" s="242"/>
      <c r="S51" s="242"/>
      <c r="T51" s="242"/>
      <c r="U51" s="242"/>
      <c r="V51" s="242"/>
      <c r="W51" s="242"/>
      <c r="X51" s="242"/>
      <c r="Y51" s="242"/>
      <c r="Z51" s="242"/>
      <c r="AA51" s="242"/>
      <c r="AB51" s="242"/>
      <c r="AC51" s="242"/>
      <c r="AD51" s="242"/>
      <c r="AE51" s="242"/>
      <c r="AF51" s="242"/>
    </row>
    <row r="52">
      <c r="A52" s="242"/>
      <c r="B52" s="242"/>
      <c r="C52" s="242"/>
      <c r="D52" s="13"/>
      <c r="E52" s="525"/>
      <c r="F52" s="525"/>
      <c r="G52" s="525"/>
      <c r="H52" s="242"/>
      <c r="I52" s="525"/>
      <c r="J52" s="525"/>
      <c r="K52" s="525"/>
      <c r="L52" s="525"/>
      <c r="M52" s="242"/>
      <c r="N52" s="525"/>
      <c r="O52" s="525"/>
      <c r="P52" s="525"/>
      <c r="Q52" s="525"/>
      <c r="R52" s="242"/>
      <c r="S52" s="242"/>
      <c r="T52" s="242"/>
      <c r="U52" s="242"/>
      <c r="V52" s="242"/>
      <c r="W52" s="242"/>
      <c r="X52" s="242"/>
      <c r="Y52" s="242"/>
      <c r="Z52" s="242"/>
      <c r="AA52" s="242"/>
      <c r="AB52" s="242"/>
      <c r="AC52" s="242"/>
      <c r="AD52" s="242"/>
      <c r="AE52" s="242"/>
      <c r="AF52" s="242"/>
    </row>
    <row r="53">
      <c r="A53" s="242"/>
      <c r="B53" s="242"/>
      <c r="C53" s="242"/>
      <c r="D53" s="13"/>
      <c r="E53" s="525"/>
      <c r="F53" s="525"/>
      <c r="G53" s="525"/>
      <c r="H53" s="242"/>
      <c r="I53" s="525"/>
      <c r="J53" s="525"/>
      <c r="K53" s="525"/>
      <c r="L53" s="525"/>
      <c r="M53" s="242"/>
      <c r="N53" s="525"/>
      <c r="O53" s="525"/>
      <c r="P53" s="525"/>
      <c r="Q53" s="525"/>
      <c r="R53" s="242"/>
      <c r="S53" s="242"/>
      <c r="T53" s="242"/>
      <c r="U53" s="242"/>
      <c r="V53" s="242"/>
      <c r="W53" s="242"/>
      <c r="X53" s="242"/>
      <c r="Y53" s="242"/>
      <c r="Z53" s="242"/>
      <c r="AA53" s="242"/>
      <c r="AB53" s="242"/>
      <c r="AC53" s="242"/>
      <c r="AD53" s="242"/>
      <c r="AE53" s="242"/>
      <c r="AF53" s="242"/>
    </row>
    <row r="54">
      <c r="A54" s="242"/>
      <c r="B54" s="242"/>
      <c r="C54" s="242"/>
      <c r="D54" s="13"/>
      <c r="E54" s="525"/>
      <c r="F54" s="525"/>
      <c r="G54" s="525"/>
      <c r="H54" s="242"/>
      <c r="I54" s="525"/>
      <c r="J54" s="525"/>
      <c r="K54" s="525"/>
      <c r="L54" s="525"/>
      <c r="M54" s="242"/>
      <c r="N54" s="525"/>
      <c r="O54" s="525"/>
      <c r="P54" s="525"/>
      <c r="Q54" s="525"/>
      <c r="R54" s="242"/>
      <c r="S54" s="242"/>
      <c r="T54" s="242"/>
      <c r="U54" s="242"/>
      <c r="V54" s="242"/>
      <c r="W54" s="242"/>
      <c r="X54" s="242"/>
      <c r="Y54" s="242"/>
      <c r="Z54" s="242"/>
      <c r="AA54" s="242"/>
      <c r="AB54" s="242"/>
      <c r="AC54" s="242"/>
      <c r="AD54" s="242"/>
      <c r="AE54" s="242"/>
      <c r="AF54" s="242"/>
    </row>
    <row r="55">
      <c r="A55" s="242"/>
      <c r="B55" s="242"/>
      <c r="C55" s="242"/>
      <c r="D55" s="13"/>
      <c r="E55" s="525"/>
      <c r="F55" s="525"/>
      <c r="G55" s="525"/>
      <c r="H55" s="242"/>
      <c r="I55" s="525"/>
      <c r="J55" s="525"/>
      <c r="K55" s="525"/>
      <c r="L55" s="525"/>
      <c r="M55" s="242"/>
      <c r="N55" s="525"/>
      <c r="O55" s="525"/>
      <c r="P55" s="525"/>
      <c r="Q55" s="525"/>
      <c r="R55" s="242"/>
      <c r="S55" s="242"/>
      <c r="T55" s="242"/>
      <c r="U55" s="242"/>
      <c r="V55" s="242"/>
      <c r="W55" s="242"/>
      <c r="X55" s="242"/>
      <c r="Y55" s="242"/>
      <c r="Z55" s="242"/>
      <c r="AA55" s="242"/>
      <c r="AB55" s="242"/>
      <c r="AC55" s="242"/>
      <c r="AD55" s="242"/>
      <c r="AE55" s="242"/>
      <c r="AF55" s="242"/>
    </row>
    <row r="56">
      <c r="A56" s="242"/>
      <c r="B56" s="242"/>
      <c r="C56" s="242"/>
      <c r="D56" s="13"/>
      <c r="E56" s="525"/>
      <c r="F56" s="525"/>
      <c r="G56" s="525"/>
      <c r="H56" s="242"/>
      <c r="I56" s="525"/>
      <c r="J56" s="525"/>
      <c r="K56" s="525"/>
      <c r="L56" s="525"/>
      <c r="M56" s="242"/>
      <c r="N56" s="525"/>
      <c r="O56" s="525"/>
      <c r="P56" s="525"/>
      <c r="Q56" s="525"/>
      <c r="R56" s="242"/>
      <c r="S56" s="242"/>
      <c r="T56" s="242"/>
      <c r="U56" s="242"/>
      <c r="V56" s="242"/>
      <c r="W56" s="242"/>
      <c r="X56" s="242"/>
      <c r="Y56" s="242"/>
      <c r="Z56" s="242"/>
      <c r="AA56" s="242"/>
      <c r="AB56" s="242"/>
      <c r="AC56" s="242"/>
      <c r="AD56" s="242"/>
      <c r="AE56" s="242"/>
      <c r="AF56" s="242"/>
    </row>
    <row r="57">
      <c r="A57" s="242"/>
      <c r="B57" s="242"/>
      <c r="C57" s="242"/>
      <c r="D57" s="13"/>
      <c r="E57" s="525"/>
      <c r="F57" s="525"/>
      <c r="G57" s="525"/>
      <c r="H57" s="242"/>
      <c r="I57" s="525"/>
      <c r="J57" s="525"/>
      <c r="K57" s="525"/>
      <c r="L57" s="525"/>
      <c r="M57" s="242"/>
      <c r="N57" s="525"/>
      <c r="O57" s="525"/>
      <c r="P57" s="525"/>
      <c r="Q57" s="525"/>
      <c r="R57" s="242"/>
      <c r="S57" s="242"/>
      <c r="T57" s="242"/>
      <c r="U57" s="242"/>
      <c r="V57" s="242"/>
      <c r="W57" s="242"/>
      <c r="X57" s="242"/>
      <c r="Y57" s="242"/>
      <c r="Z57" s="242"/>
      <c r="AA57" s="242"/>
      <c r="AB57" s="242"/>
      <c r="AC57" s="242"/>
      <c r="AD57" s="242"/>
      <c r="AE57" s="242"/>
      <c r="AF57" s="242"/>
    </row>
    <row r="58">
      <c r="A58" s="242"/>
      <c r="B58" s="242"/>
      <c r="C58" s="242"/>
      <c r="D58" s="13"/>
      <c r="E58" s="525"/>
      <c r="F58" s="525"/>
      <c r="G58" s="525"/>
      <c r="H58" s="242"/>
      <c r="I58" s="525"/>
      <c r="J58" s="525"/>
      <c r="K58" s="525"/>
      <c r="L58" s="525"/>
      <c r="M58" s="242"/>
      <c r="N58" s="525"/>
      <c r="O58" s="525"/>
      <c r="P58" s="525"/>
      <c r="Q58" s="525"/>
      <c r="R58" s="242"/>
      <c r="S58" s="242"/>
      <c r="T58" s="242"/>
      <c r="U58" s="242"/>
      <c r="V58" s="242"/>
      <c r="W58" s="242"/>
      <c r="X58" s="242"/>
      <c r="Y58" s="242"/>
      <c r="Z58" s="242"/>
      <c r="AA58" s="242"/>
      <c r="AB58" s="242"/>
      <c r="AC58" s="242"/>
      <c r="AD58" s="242"/>
      <c r="AE58" s="242"/>
      <c r="AF58" s="242"/>
    </row>
    <row r="59">
      <c r="A59" s="242"/>
      <c r="B59" s="242"/>
      <c r="C59" s="242"/>
      <c r="D59" s="13"/>
      <c r="E59" s="525"/>
      <c r="F59" s="525"/>
      <c r="G59" s="525"/>
      <c r="H59" s="242"/>
      <c r="I59" s="525"/>
      <c r="J59" s="525"/>
      <c r="K59" s="525"/>
      <c r="L59" s="525"/>
      <c r="M59" s="242"/>
      <c r="N59" s="525"/>
      <c r="O59" s="525"/>
      <c r="P59" s="525"/>
      <c r="Q59" s="525"/>
      <c r="R59" s="242"/>
      <c r="S59" s="242"/>
      <c r="T59" s="242"/>
      <c r="U59" s="242"/>
      <c r="V59" s="242"/>
      <c r="W59" s="242"/>
      <c r="X59" s="242"/>
      <c r="Y59" s="242"/>
      <c r="Z59" s="242"/>
      <c r="AA59" s="242"/>
      <c r="AB59" s="242"/>
      <c r="AC59" s="242"/>
      <c r="AD59" s="242"/>
      <c r="AE59" s="242"/>
      <c r="AF59" s="242"/>
    </row>
    <row r="60">
      <c r="A60" s="242"/>
      <c r="B60" s="242"/>
      <c r="C60" s="242"/>
      <c r="D60" s="13"/>
      <c r="E60" s="525"/>
      <c r="F60" s="525"/>
      <c r="G60" s="525"/>
      <c r="H60" s="242"/>
      <c r="I60" s="525"/>
      <c r="J60" s="525"/>
      <c r="K60" s="525"/>
      <c r="L60" s="525"/>
      <c r="M60" s="242"/>
      <c r="N60" s="525"/>
      <c r="O60" s="525"/>
      <c r="P60" s="525"/>
      <c r="Q60" s="525"/>
      <c r="R60" s="242"/>
      <c r="S60" s="242"/>
      <c r="T60" s="242"/>
      <c r="U60" s="242"/>
      <c r="V60" s="242"/>
      <c r="W60" s="242"/>
      <c r="X60" s="242"/>
      <c r="Y60" s="242"/>
      <c r="Z60" s="242"/>
      <c r="AA60" s="242"/>
      <c r="AB60" s="242"/>
      <c r="AC60" s="242"/>
      <c r="AD60" s="242"/>
      <c r="AE60" s="242"/>
      <c r="AF60" s="242"/>
    </row>
    <row r="61">
      <c r="A61" s="242"/>
      <c r="B61" s="242"/>
      <c r="C61" s="242"/>
      <c r="D61" s="13"/>
      <c r="E61" s="525"/>
      <c r="F61" s="525"/>
      <c r="G61" s="525"/>
      <c r="H61" s="242"/>
      <c r="I61" s="525"/>
      <c r="J61" s="525"/>
      <c r="K61" s="525"/>
      <c r="L61" s="525"/>
      <c r="M61" s="242"/>
      <c r="N61" s="525"/>
      <c r="O61" s="525"/>
      <c r="P61" s="525"/>
      <c r="Q61" s="525"/>
      <c r="R61" s="242"/>
      <c r="S61" s="242"/>
      <c r="T61" s="242"/>
      <c r="U61" s="242"/>
      <c r="V61" s="242"/>
      <c r="W61" s="242"/>
      <c r="X61" s="242"/>
      <c r="Y61" s="242"/>
      <c r="Z61" s="242"/>
      <c r="AA61" s="242"/>
      <c r="AB61" s="242"/>
      <c r="AC61" s="242"/>
      <c r="AD61" s="242"/>
      <c r="AE61" s="242"/>
      <c r="AF61" s="242"/>
    </row>
    <row r="62">
      <c r="A62" s="242"/>
      <c r="B62" s="242"/>
      <c r="C62" s="242"/>
      <c r="D62" s="13"/>
      <c r="E62" s="525"/>
      <c r="F62" s="525"/>
      <c r="G62" s="525"/>
      <c r="H62" s="242"/>
      <c r="I62" s="525"/>
      <c r="J62" s="525"/>
      <c r="K62" s="525"/>
      <c r="L62" s="525"/>
      <c r="M62" s="242"/>
      <c r="N62" s="525"/>
      <c r="O62" s="525"/>
      <c r="P62" s="525"/>
      <c r="Q62" s="525"/>
      <c r="R62" s="242"/>
      <c r="S62" s="242"/>
      <c r="T62" s="242"/>
      <c r="U62" s="242"/>
      <c r="V62" s="242"/>
      <c r="W62" s="242"/>
      <c r="X62" s="242"/>
      <c r="Y62" s="242"/>
      <c r="Z62" s="242"/>
      <c r="AA62" s="242"/>
      <c r="AB62" s="242"/>
      <c r="AC62" s="242"/>
      <c r="AD62" s="242"/>
      <c r="AE62" s="242"/>
      <c r="AF62" s="242"/>
    </row>
    <row r="63">
      <c r="A63" s="242"/>
      <c r="B63" s="242"/>
      <c r="C63" s="242"/>
      <c r="D63" s="13"/>
      <c r="E63" s="525"/>
      <c r="F63" s="525"/>
      <c r="G63" s="525"/>
      <c r="H63" s="242"/>
      <c r="I63" s="525"/>
      <c r="J63" s="525"/>
      <c r="K63" s="525"/>
      <c r="L63" s="525"/>
      <c r="M63" s="242"/>
      <c r="N63" s="525"/>
      <c r="O63" s="525"/>
      <c r="P63" s="525"/>
      <c r="Q63" s="525"/>
      <c r="R63" s="242"/>
      <c r="S63" s="242"/>
      <c r="T63" s="242"/>
      <c r="U63" s="242"/>
      <c r="V63" s="242"/>
      <c r="W63" s="242"/>
      <c r="X63" s="242"/>
      <c r="Y63" s="242"/>
      <c r="Z63" s="242"/>
      <c r="AA63" s="242"/>
      <c r="AB63" s="242"/>
      <c r="AC63" s="242"/>
      <c r="AD63" s="242"/>
      <c r="AE63" s="242"/>
      <c r="AF63" s="242"/>
    </row>
    <row r="64">
      <c r="A64" s="242"/>
      <c r="B64" s="242"/>
      <c r="C64" s="242"/>
      <c r="D64" s="13"/>
      <c r="E64" s="525"/>
      <c r="F64" s="525"/>
      <c r="G64" s="525"/>
      <c r="H64" s="242"/>
      <c r="I64" s="525"/>
      <c r="J64" s="525"/>
      <c r="K64" s="525"/>
      <c r="L64" s="525"/>
      <c r="M64" s="242"/>
      <c r="N64" s="525"/>
      <c r="O64" s="525"/>
      <c r="P64" s="525"/>
      <c r="Q64" s="525"/>
      <c r="R64" s="242"/>
      <c r="S64" s="242"/>
      <c r="T64" s="242"/>
      <c r="U64" s="242"/>
      <c r="V64" s="242"/>
      <c r="W64" s="242"/>
      <c r="X64" s="242"/>
      <c r="Y64" s="242"/>
      <c r="Z64" s="242"/>
      <c r="AA64" s="242"/>
      <c r="AB64" s="242"/>
      <c r="AC64" s="242"/>
      <c r="AD64" s="242"/>
      <c r="AE64" s="242"/>
      <c r="AF64" s="242"/>
    </row>
    <row r="65">
      <c r="A65" s="242"/>
      <c r="B65" s="242"/>
      <c r="C65" s="242"/>
      <c r="D65" s="13"/>
      <c r="E65" s="525"/>
      <c r="F65" s="525"/>
      <c r="G65" s="525"/>
      <c r="H65" s="242"/>
      <c r="I65" s="525"/>
      <c r="J65" s="525"/>
      <c r="K65" s="525"/>
      <c r="L65" s="525"/>
      <c r="M65" s="242"/>
      <c r="N65" s="525"/>
      <c r="O65" s="525"/>
      <c r="P65" s="525"/>
      <c r="Q65" s="525"/>
      <c r="R65" s="242"/>
      <c r="S65" s="242"/>
      <c r="T65" s="242"/>
      <c r="U65" s="242"/>
      <c r="V65" s="242"/>
      <c r="W65" s="242"/>
      <c r="X65" s="242"/>
      <c r="Y65" s="242"/>
      <c r="Z65" s="242"/>
      <c r="AA65" s="242"/>
      <c r="AB65" s="242"/>
      <c r="AC65" s="242"/>
      <c r="AD65" s="242"/>
      <c r="AE65" s="242"/>
      <c r="AF65" s="242"/>
    </row>
    <row r="66">
      <c r="A66" s="242"/>
      <c r="B66" s="242"/>
      <c r="C66" s="242"/>
      <c r="D66" s="13"/>
      <c r="E66" s="525"/>
      <c r="F66" s="525"/>
      <c r="G66" s="525"/>
      <c r="H66" s="242"/>
      <c r="I66" s="525"/>
      <c r="J66" s="525"/>
      <c r="K66" s="525"/>
      <c r="L66" s="525"/>
      <c r="M66" s="242"/>
      <c r="N66" s="525"/>
      <c r="O66" s="525"/>
      <c r="P66" s="525"/>
      <c r="Q66" s="525"/>
      <c r="R66" s="242"/>
      <c r="S66" s="242"/>
      <c r="T66" s="242"/>
      <c r="U66" s="242"/>
      <c r="V66" s="242"/>
      <c r="W66" s="242"/>
      <c r="X66" s="242"/>
      <c r="Y66" s="242"/>
      <c r="Z66" s="242"/>
      <c r="AA66" s="242"/>
      <c r="AB66" s="242"/>
      <c r="AC66" s="242"/>
      <c r="AD66" s="242"/>
      <c r="AE66" s="242"/>
      <c r="AF66" s="242"/>
    </row>
    <row r="67">
      <c r="A67" s="242"/>
      <c r="B67" s="242"/>
      <c r="C67" s="242"/>
      <c r="D67" s="13"/>
      <c r="E67" s="525"/>
      <c r="F67" s="525"/>
      <c r="G67" s="525"/>
      <c r="H67" s="242"/>
      <c r="I67" s="525"/>
      <c r="J67" s="525"/>
      <c r="K67" s="525"/>
      <c r="L67" s="525"/>
      <c r="M67" s="242"/>
      <c r="N67" s="525"/>
      <c r="O67" s="525"/>
      <c r="P67" s="525"/>
      <c r="Q67" s="525"/>
      <c r="R67" s="242"/>
      <c r="S67" s="242"/>
      <c r="T67" s="242"/>
      <c r="U67" s="242"/>
      <c r="V67" s="242"/>
      <c r="W67" s="242"/>
      <c r="X67" s="242"/>
      <c r="Y67" s="242"/>
      <c r="Z67" s="242"/>
      <c r="AA67" s="242"/>
      <c r="AB67" s="242"/>
      <c r="AC67" s="242"/>
      <c r="AD67" s="242"/>
      <c r="AE67" s="242"/>
      <c r="AF67" s="242"/>
    </row>
    <row r="68">
      <c r="A68" s="242"/>
      <c r="B68" s="242"/>
      <c r="C68" s="242"/>
      <c r="D68" s="13"/>
      <c r="E68" s="525"/>
      <c r="F68" s="525"/>
      <c r="G68" s="525"/>
      <c r="H68" s="242"/>
      <c r="I68" s="525"/>
      <c r="J68" s="525"/>
      <c r="K68" s="525"/>
      <c r="L68" s="525"/>
      <c r="M68" s="242"/>
      <c r="N68" s="525"/>
      <c r="O68" s="525"/>
      <c r="P68" s="525"/>
      <c r="Q68" s="525"/>
      <c r="R68" s="242"/>
      <c r="S68" s="242"/>
      <c r="T68" s="242"/>
      <c r="U68" s="242"/>
      <c r="V68" s="242"/>
      <c r="W68" s="242"/>
      <c r="X68" s="242"/>
      <c r="Y68" s="242"/>
      <c r="Z68" s="242"/>
      <c r="AA68" s="242"/>
      <c r="AB68" s="242"/>
      <c r="AC68" s="242"/>
      <c r="AD68" s="242"/>
      <c r="AE68" s="242"/>
      <c r="AF68" s="242"/>
    </row>
    <row r="69">
      <c r="A69" s="242"/>
      <c r="B69" s="242"/>
      <c r="C69" s="242"/>
      <c r="D69" s="13"/>
      <c r="E69" s="525"/>
      <c r="F69" s="525"/>
      <c r="G69" s="525"/>
      <c r="H69" s="242"/>
      <c r="I69" s="525"/>
      <c r="J69" s="525"/>
      <c r="K69" s="525"/>
      <c r="L69" s="525"/>
      <c r="M69" s="242"/>
      <c r="N69" s="525"/>
      <c r="O69" s="525"/>
      <c r="P69" s="525"/>
      <c r="Q69" s="525"/>
      <c r="R69" s="242"/>
      <c r="S69" s="242"/>
      <c r="T69" s="242"/>
      <c r="U69" s="242"/>
      <c r="V69" s="242"/>
      <c r="W69" s="242"/>
      <c r="X69" s="242"/>
      <c r="Y69" s="242"/>
      <c r="Z69" s="242"/>
      <c r="AA69" s="242"/>
      <c r="AB69" s="242"/>
      <c r="AC69" s="242"/>
      <c r="AD69" s="242"/>
      <c r="AE69" s="242"/>
      <c r="AF69" s="242"/>
    </row>
    <row r="70">
      <c r="A70" s="242"/>
      <c r="B70" s="242"/>
      <c r="C70" s="242"/>
      <c r="D70" s="13"/>
      <c r="E70" s="525"/>
      <c r="F70" s="525"/>
      <c r="G70" s="525"/>
      <c r="H70" s="242"/>
      <c r="I70" s="525"/>
      <c r="J70" s="525"/>
      <c r="K70" s="525"/>
      <c r="L70" s="525"/>
      <c r="M70" s="242"/>
      <c r="N70" s="525"/>
      <c r="O70" s="525"/>
      <c r="P70" s="525"/>
      <c r="Q70" s="525"/>
      <c r="R70" s="242"/>
      <c r="S70" s="242"/>
      <c r="T70" s="242"/>
      <c r="U70" s="242"/>
      <c r="V70" s="242"/>
      <c r="W70" s="242"/>
      <c r="X70" s="242"/>
      <c r="Y70" s="242"/>
      <c r="Z70" s="242"/>
      <c r="AA70" s="242"/>
      <c r="AB70" s="242"/>
      <c r="AC70" s="242"/>
      <c r="AD70" s="242"/>
      <c r="AE70" s="242"/>
      <c r="AF70" s="242"/>
    </row>
    <row r="71">
      <c r="A71" s="242"/>
      <c r="B71" s="242"/>
      <c r="C71" s="242"/>
      <c r="D71" s="13"/>
      <c r="E71" s="525"/>
      <c r="F71" s="525"/>
      <c r="G71" s="525"/>
      <c r="H71" s="242"/>
      <c r="I71" s="525"/>
      <c r="J71" s="525"/>
      <c r="K71" s="525"/>
      <c r="L71" s="525"/>
      <c r="M71" s="242"/>
      <c r="N71" s="525"/>
      <c r="O71" s="525"/>
      <c r="P71" s="525"/>
      <c r="Q71" s="525"/>
      <c r="R71" s="242"/>
      <c r="S71" s="242"/>
      <c r="T71" s="242"/>
      <c r="U71" s="242"/>
      <c r="V71" s="242"/>
      <c r="W71" s="242"/>
      <c r="X71" s="242"/>
      <c r="Y71" s="242"/>
      <c r="Z71" s="242"/>
      <c r="AA71" s="242"/>
      <c r="AB71" s="242"/>
      <c r="AC71" s="242"/>
      <c r="AD71" s="242"/>
      <c r="AE71" s="242"/>
      <c r="AF71" s="242"/>
    </row>
    <row r="72">
      <c r="A72" s="242"/>
      <c r="B72" s="242"/>
      <c r="C72" s="242"/>
      <c r="D72" s="13"/>
      <c r="E72" s="525"/>
      <c r="F72" s="525"/>
      <c r="G72" s="525"/>
      <c r="H72" s="242"/>
      <c r="I72" s="525"/>
      <c r="J72" s="525"/>
      <c r="K72" s="525"/>
      <c r="L72" s="525"/>
      <c r="M72" s="242"/>
      <c r="N72" s="525"/>
      <c r="O72" s="525"/>
      <c r="P72" s="525"/>
      <c r="Q72" s="525"/>
      <c r="R72" s="242"/>
      <c r="S72" s="242"/>
      <c r="T72" s="242"/>
      <c r="U72" s="242"/>
      <c r="V72" s="242"/>
      <c r="W72" s="242"/>
      <c r="X72" s="242"/>
      <c r="Y72" s="242"/>
      <c r="Z72" s="242"/>
      <c r="AA72" s="242"/>
      <c r="AB72" s="242"/>
      <c r="AC72" s="242"/>
      <c r="AD72" s="242"/>
      <c r="AE72" s="242"/>
      <c r="AF72" s="242"/>
    </row>
    <row r="73">
      <c r="A73" s="242"/>
      <c r="B73" s="242"/>
      <c r="C73" s="242"/>
      <c r="D73" s="13"/>
      <c r="E73" s="525"/>
      <c r="F73" s="525"/>
      <c r="G73" s="525"/>
      <c r="H73" s="242"/>
      <c r="I73" s="525"/>
      <c r="J73" s="525"/>
      <c r="K73" s="525"/>
      <c r="L73" s="525"/>
      <c r="M73" s="242"/>
      <c r="N73" s="525"/>
      <c r="O73" s="525"/>
      <c r="P73" s="525"/>
      <c r="Q73" s="525"/>
      <c r="R73" s="242"/>
      <c r="S73" s="242"/>
      <c r="T73" s="242"/>
      <c r="U73" s="242"/>
      <c r="V73" s="242"/>
      <c r="W73" s="242"/>
      <c r="X73" s="242"/>
      <c r="Y73" s="242"/>
      <c r="Z73" s="242"/>
      <c r="AA73" s="242"/>
      <c r="AB73" s="242"/>
      <c r="AC73" s="242"/>
      <c r="AD73" s="242"/>
      <c r="AE73" s="242"/>
      <c r="AF73" s="242"/>
    </row>
    <row r="74">
      <c r="A74" s="242"/>
      <c r="B74" s="242"/>
      <c r="C74" s="242"/>
      <c r="D74" s="13"/>
      <c r="E74" s="525"/>
      <c r="F74" s="525"/>
      <c r="G74" s="525"/>
      <c r="H74" s="242"/>
      <c r="I74" s="525"/>
      <c r="J74" s="525"/>
      <c r="K74" s="525"/>
      <c r="L74" s="525"/>
      <c r="M74" s="242"/>
      <c r="N74" s="525"/>
      <c r="O74" s="525"/>
      <c r="P74" s="525"/>
      <c r="Q74" s="525"/>
      <c r="R74" s="242"/>
      <c r="S74" s="242"/>
      <c r="T74" s="242"/>
      <c r="U74" s="242"/>
      <c r="V74" s="242"/>
      <c r="W74" s="242"/>
      <c r="X74" s="242"/>
      <c r="Y74" s="242"/>
      <c r="Z74" s="242"/>
      <c r="AA74" s="242"/>
      <c r="AB74" s="242"/>
      <c r="AC74" s="242"/>
      <c r="AD74" s="242"/>
      <c r="AE74" s="242"/>
      <c r="AF74" s="242"/>
    </row>
    <row r="75">
      <c r="A75" s="242"/>
      <c r="B75" s="242"/>
      <c r="C75" s="242"/>
      <c r="D75" s="13"/>
      <c r="E75" s="525"/>
      <c r="F75" s="525"/>
      <c r="G75" s="525"/>
      <c r="H75" s="242"/>
      <c r="I75" s="525"/>
      <c r="J75" s="525"/>
      <c r="K75" s="525"/>
      <c r="L75" s="525"/>
      <c r="M75" s="242"/>
      <c r="N75" s="525"/>
      <c r="O75" s="525"/>
      <c r="P75" s="525"/>
      <c r="Q75" s="525"/>
      <c r="R75" s="242"/>
      <c r="S75" s="242"/>
      <c r="T75" s="242"/>
      <c r="U75" s="242"/>
      <c r="V75" s="242"/>
      <c r="W75" s="242"/>
      <c r="X75" s="242"/>
      <c r="Y75" s="242"/>
      <c r="Z75" s="242"/>
      <c r="AA75" s="242"/>
      <c r="AB75" s="242"/>
      <c r="AC75" s="242"/>
      <c r="AD75" s="242"/>
      <c r="AE75" s="242"/>
      <c r="AF75" s="242"/>
    </row>
    <row r="76">
      <c r="A76" s="242"/>
      <c r="B76" s="242"/>
      <c r="C76" s="242"/>
      <c r="D76" s="13"/>
      <c r="E76" s="525"/>
      <c r="F76" s="525"/>
      <c r="G76" s="525"/>
      <c r="H76" s="242"/>
      <c r="I76" s="525"/>
      <c r="J76" s="525"/>
      <c r="K76" s="525"/>
      <c r="L76" s="525"/>
      <c r="M76" s="242"/>
      <c r="N76" s="525"/>
      <c r="O76" s="525"/>
      <c r="P76" s="525"/>
      <c r="Q76" s="525"/>
      <c r="R76" s="242"/>
      <c r="S76" s="242"/>
      <c r="T76" s="242"/>
      <c r="U76" s="242"/>
      <c r="V76" s="242"/>
      <c r="W76" s="242"/>
      <c r="X76" s="242"/>
      <c r="Y76" s="242"/>
      <c r="Z76" s="242"/>
      <c r="AA76" s="242"/>
      <c r="AB76" s="242"/>
      <c r="AC76" s="242"/>
      <c r="AD76" s="242"/>
      <c r="AE76" s="242"/>
      <c r="AF76" s="242"/>
    </row>
    <row r="77">
      <c r="A77" s="242"/>
      <c r="B77" s="242"/>
      <c r="C77" s="242"/>
      <c r="D77" s="13"/>
      <c r="E77" s="525"/>
      <c r="F77" s="525"/>
      <c r="G77" s="525"/>
      <c r="H77" s="242"/>
      <c r="I77" s="525"/>
      <c r="J77" s="525"/>
      <c r="K77" s="525"/>
      <c r="L77" s="525"/>
      <c r="M77" s="242"/>
      <c r="N77" s="525"/>
      <c r="O77" s="525"/>
      <c r="P77" s="525"/>
      <c r="Q77" s="525"/>
      <c r="R77" s="242"/>
      <c r="S77" s="242"/>
      <c r="T77" s="242"/>
      <c r="U77" s="242"/>
      <c r="V77" s="242"/>
      <c r="W77" s="242"/>
      <c r="X77" s="242"/>
      <c r="Y77" s="242"/>
      <c r="Z77" s="242"/>
      <c r="AA77" s="242"/>
      <c r="AB77" s="242"/>
      <c r="AC77" s="242"/>
      <c r="AD77" s="242"/>
      <c r="AE77" s="242"/>
      <c r="AF77" s="242"/>
    </row>
    <row r="78">
      <c r="A78" s="242"/>
      <c r="B78" s="242"/>
      <c r="C78" s="242"/>
      <c r="D78" s="13"/>
      <c r="E78" s="525"/>
      <c r="F78" s="525"/>
      <c r="G78" s="525"/>
      <c r="H78" s="242"/>
      <c r="I78" s="525"/>
      <c r="J78" s="525"/>
      <c r="K78" s="525"/>
      <c r="L78" s="525"/>
      <c r="M78" s="242"/>
      <c r="N78" s="525"/>
      <c r="O78" s="525"/>
      <c r="P78" s="525"/>
      <c r="Q78" s="525"/>
      <c r="R78" s="242"/>
      <c r="S78" s="242"/>
      <c r="T78" s="242"/>
      <c r="U78" s="242"/>
      <c r="V78" s="242"/>
      <c r="W78" s="242"/>
      <c r="X78" s="242"/>
      <c r="Y78" s="242"/>
      <c r="Z78" s="242"/>
      <c r="AA78" s="242"/>
      <c r="AB78" s="242"/>
      <c r="AC78" s="242"/>
      <c r="AD78" s="242"/>
      <c r="AE78" s="242"/>
      <c r="AF78" s="242"/>
    </row>
    <row r="79">
      <c r="A79" s="242"/>
      <c r="B79" s="242"/>
      <c r="C79" s="242"/>
      <c r="D79" s="13"/>
      <c r="E79" s="525"/>
      <c r="F79" s="525"/>
      <c r="G79" s="525"/>
      <c r="H79" s="242"/>
      <c r="I79" s="525"/>
      <c r="J79" s="525"/>
      <c r="K79" s="525"/>
      <c r="L79" s="525"/>
      <c r="M79" s="242"/>
      <c r="N79" s="525"/>
      <c r="O79" s="525"/>
      <c r="P79" s="525"/>
      <c r="Q79" s="525"/>
      <c r="R79" s="242"/>
      <c r="S79" s="242"/>
      <c r="T79" s="242"/>
      <c r="U79" s="242"/>
      <c r="V79" s="242"/>
      <c r="W79" s="242"/>
      <c r="X79" s="242"/>
      <c r="Y79" s="242"/>
      <c r="Z79" s="242"/>
      <c r="AA79" s="242"/>
      <c r="AB79" s="242"/>
      <c r="AC79" s="242"/>
      <c r="AD79" s="242"/>
      <c r="AE79" s="242"/>
      <c r="AF79" s="242"/>
    </row>
    <row r="80">
      <c r="A80" s="242"/>
      <c r="B80" s="242"/>
      <c r="C80" s="242"/>
      <c r="D80" s="13"/>
      <c r="E80" s="525"/>
      <c r="F80" s="525"/>
      <c r="G80" s="525"/>
      <c r="H80" s="242"/>
      <c r="I80" s="525"/>
      <c r="J80" s="525"/>
      <c r="K80" s="525"/>
      <c r="L80" s="525"/>
      <c r="M80" s="242"/>
      <c r="N80" s="525"/>
      <c r="O80" s="525"/>
      <c r="P80" s="525"/>
      <c r="Q80" s="525"/>
      <c r="R80" s="242"/>
      <c r="S80" s="242"/>
      <c r="T80" s="242"/>
      <c r="U80" s="242"/>
      <c r="V80" s="242"/>
      <c r="W80" s="242"/>
      <c r="X80" s="242"/>
      <c r="Y80" s="242"/>
      <c r="Z80" s="242"/>
      <c r="AA80" s="242"/>
      <c r="AB80" s="242"/>
      <c r="AC80" s="242"/>
      <c r="AD80" s="242"/>
      <c r="AE80" s="242"/>
      <c r="AF80" s="242"/>
    </row>
    <row r="81">
      <c r="A81" s="242"/>
      <c r="B81" s="242"/>
      <c r="C81" s="242"/>
      <c r="D81" s="13"/>
      <c r="E81" s="525"/>
      <c r="F81" s="525"/>
      <c r="G81" s="525"/>
      <c r="H81" s="242"/>
      <c r="I81" s="525"/>
      <c r="J81" s="525"/>
      <c r="K81" s="525"/>
      <c r="L81" s="525"/>
      <c r="M81" s="242"/>
      <c r="N81" s="525"/>
      <c r="O81" s="525"/>
      <c r="P81" s="525"/>
      <c r="Q81" s="525"/>
      <c r="R81" s="242"/>
      <c r="S81" s="242"/>
      <c r="T81" s="242"/>
      <c r="U81" s="242"/>
      <c r="V81" s="242"/>
      <c r="W81" s="242"/>
      <c r="X81" s="242"/>
      <c r="Y81" s="242"/>
      <c r="Z81" s="242"/>
      <c r="AA81" s="242"/>
      <c r="AB81" s="242"/>
      <c r="AC81" s="242"/>
      <c r="AD81" s="242"/>
      <c r="AE81" s="242"/>
      <c r="AF81" s="242"/>
    </row>
    <row r="82">
      <c r="A82" s="242"/>
      <c r="B82" s="242"/>
      <c r="C82" s="242"/>
      <c r="D82" s="13"/>
      <c r="E82" s="525"/>
      <c r="F82" s="525"/>
      <c r="G82" s="525"/>
      <c r="H82" s="242"/>
      <c r="I82" s="525"/>
      <c r="J82" s="525"/>
      <c r="K82" s="525"/>
      <c r="L82" s="525"/>
      <c r="M82" s="242"/>
      <c r="N82" s="525"/>
      <c r="O82" s="525"/>
      <c r="P82" s="525"/>
      <c r="Q82" s="525"/>
      <c r="R82" s="242"/>
      <c r="S82" s="242"/>
      <c r="T82" s="242"/>
      <c r="U82" s="242"/>
      <c r="V82" s="242"/>
      <c r="W82" s="242"/>
      <c r="X82" s="242"/>
      <c r="Y82" s="242"/>
      <c r="Z82" s="242"/>
      <c r="AA82" s="242"/>
      <c r="AB82" s="242"/>
      <c r="AC82" s="242"/>
      <c r="AD82" s="242"/>
      <c r="AE82" s="242"/>
      <c r="AF82" s="242"/>
    </row>
    <row r="83">
      <c r="A83" s="242"/>
      <c r="B83" s="242"/>
      <c r="C83" s="242"/>
      <c r="D83" s="13"/>
      <c r="E83" s="525"/>
      <c r="F83" s="525"/>
      <c r="G83" s="525"/>
      <c r="H83" s="242"/>
      <c r="I83" s="525"/>
      <c r="J83" s="525"/>
      <c r="K83" s="525"/>
      <c r="L83" s="525"/>
      <c r="M83" s="242"/>
      <c r="N83" s="525"/>
      <c r="O83" s="525"/>
      <c r="P83" s="525"/>
      <c r="Q83" s="525"/>
      <c r="R83" s="242"/>
      <c r="S83" s="242"/>
      <c r="T83" s="242"/>
      <c r="U83" s="242"/>
      <c r="V83" s="242"/>
      <c r="W83" s="242"/>
      <c r="X83" s="242"/>
      <c r="Y83" s="242"/>
      <c r="Z83" s="242"/>
      <c r="AA83" s="242"/>
      <c r="AB83" s="242"/>
      <c r="AC83" s="242"/>
      <c r="AD83" s="242"/>
      <c r="AE83" s="242"/>
      <c r="AF83" s="242"/>
    </row>
    <row r="84">
      <c r="A84" s="242"/>
      <c r="B84" s="242"/>
      <c r="C84" s="242"/>
      <c r="D84" s="13"/>
      <c r="E84" s="525"/>
      <c r="F84" s="525"/>
      <c r="G84" s="525"/>
      <c r="H84" s="242"/>
      <c r="I84" s="525"/>
      <c r="J84" s="525"/>
      <c r="K84" s="525"/>
      <c r="L84" s="525"/>
      <c r="M84" s="242"/>
      <c r="N84" s="525"/>
      <c r="O84" s="525"/>
      <c r="P84" s="525"/>
      <c r="Q84" s="525"/>
      <c r="R84" s="242"/>
      <c r="S84" s="242"/>
      <c r="T84" s="242"/>
      <c r="U84" s="242"/>
      <c r="V84" s="242"/>
      <c r="W84" s="242"/>
      <c r="X84" s="242"/>
      <c r="Y84" s="242"/>
      <c r="Z84" s="242"/>
      <c r="AA84" s="242"/>
      <c r="AB84" s="242"/>
      <c r="AC84" s="242"/>
      <c r="AD84" s="242"/>
      <c r="AE84" s="242"/>
      <c r="AF84" s="242"/>
    </row>
    <row r="85">
      <c r="A85" s="242"/>
      <c r="B85" s="242"/>
      <c r="C85" s="242"/>
      <c r="D85" s="13"/>
      <c r="E85" s="525"/>
      <c r="F85" s="525"/>
      <c r="G85" s="525"/>
      <c r="H85" s="242"/>
      <c r="I85" s="525"/>
      <c r="J85" s="525"/>
      <c r="K85" s="525"/>
      <c r="L85" s="525"/>
      <c r="M85" s="242"/>
      <c r="N85" s="525"/>
      <c r="O85" s="525"/>
      <c r="P85" s="525"/>
      <c r="Q85" s="525"/>
      <c r="R85" s="242"/>
      <c r="S85" s="242"/>
      <c r="T85" s="242"/>
      <c r="U85" s="242"/>
      <c r="V85" s="242"/>
      <c r="W85" s="242"/>
      <c r="X85" s="242"/>
      <c r="Y85" s="242"/>
      <c r="Z85" s="242"/>
      <c r="AA85" s="242"/>
      <c r="AB85" s="242"/>
      <c r="AC85" s="242"/>
      <c r="AD85" s="242"/>
      <c r="AE85" s="242"/>
      <c r="AF85" s="242"/>
    </row>
    <row r="86">
      <c r="A86" s="242"/>
      <c r="B86" s="242"/>
      <c r="C86" s="242"/>
      <c r="D86" s="13"/>
      <c r="E86" s="525"/>
      <c r="F86" s="525"/>
      <c r="G86" s="525"/>
      <c r="H86" s="242"/>
      <c r="I86" s="525"/>
      <c r="J86" s="525"/>
      <c r="K86" s="525"/>
      <c r="L86" s="525"/>
      <c r="M86" s="242"/>
      <c r="N86" s="525"/>
      <c r="O86" s="525"/>
      <c r="P86" s="525"/>
      <c r="Q86" s="525"/>
      <c r="R86" s="242"/>
      <c r="S86" s="242"/>
      <c r="T86" s="242"/>
      <c r="U86" s="242"/>
      <c r="V86" s="242"/>
      <c r="W86" s="242"/>
      <c r="X86" s="242"/>
      <c r="Y86" s="242"/>
      <c r="Z86" s="242"/>
      <c r="AA86" s="242"/>
      <c r="AB86" s="242"/>
      <c r="AC86" s="242"/>
      <c r="AD86" s="242"/>
      <c r="AE86" s="242"/>
      <c r="AF86" s="242"/>
    </row>
    <row r="87">
      <c r="A87" s="242"/>
      <c r="B87" s="242"/>
      <c r="C87" s="242"/>
      <c r="D87" s="13"/>
      <c r="E87" s="525"/>
      <c r="F87" s="525"/>
      <c r="G87" s="525"/>
      <c r="H87" s="242"/>
      <c r="I87" s="525"/>
      <c r="J87" s="525"/>
      <c r="K87" s="525"/>
      <c r="L87" s="525"/>
      <c r="M87" s="242"/>
      <c r="N87" s="525"/>
      <c r="O87" s="525"/>
      <c r="P87" s="525"/>
      <c r="Q87" s="525"/>
      <c r="R87" s="242"/>
      <c r="S87" s="242"/>
      <c r="T87" s="242"/>
      <c r="U87" s="242"/>
      <c r="V87" s="242"/>
      <c r="W87" s="242"/>
      <c r="X87" s="242"/>
      <c r="Y87" s="242"/>
      <c r="Z87" s="242"/>
      <c r="AA87" s="242"/>
      <c r="AB87" s="242"/>
      <c r="AC87" s="242"/>
      <c r="AD87" s="242"/>
      <c r="AE87" s="242"/>
      <c r="AF87" s="242"/>
    </row>
    <row r="88">
      <c r="A88" s="242"/>
      <c r="B88" s="242"/>
      <c r="C88" s="242"/>
      <c r="D88" s="13"/>
      <c r="E88" s="525"/>
      <c r="F88" s="525"/>
      <c r="G88" s="525"/>
      <c r="H88" s="242"/>
      <c r="I88" s="525"/>
      <c r="J88" s="525"/>
      <c r="K88" s="525"/>
      <c r="L88" s="525"/>
      <c r="M88" s="242"/>
      <c r="N88" s="525"/>
      <c r="O88" s="525"/>
      <c r="P88" s="525"/>
      <c r="Q88" s="525"/>
      <c r="R88" s="242"/>
      <c r="S88" s="242"/>
      <c r="T88" s="242"/>
      <c r="U88" s="242"/>
      <c r="V88" s="242"/>
      <c r="W88" s="242"/>
      <c r="X88" s="242"/>
      <c r="Y88" s="242"/>
      <c r="Z88" s="242"/>
      <c r="AA88" s="242"/>
      <c r="AB88" s="242"/>
      <c r="AC88" s="242"/>
      <c r="AD88" s="242"/>
      <c r="AE88" s="242"/>
      <c r="AF88" s="242"/>
    </row>
    <row r="89">
      <c r="A89" s="242"/>
      <c r="B89" s="242"/>
      <c r="C89" s="242"/>
      <c r="D89" s="13"/>
      <c r="E89" s="525"/>
      <c r="F89" s="525"/>
      <c r="G89" s="525"/>
      <c r="H89" s="242"/>
      <c r="I89" s="525"/>
      <c r="J89" s="525"/>
      <c r="K89" s="525"/>
      <c r="L89" s="525"/>
      <c r="M89" s="242"/>
      <c r="N89" s="525"/>
      <c r="O89" s="525"/>
      <c r="P89" s="525"/>
      <c r="Q89" s="525"/>
      <c r="R89" s="242"/>
      <c r="S89" s="242"/>
      <c r="T89" s="242"/>
      <c r="U89" s="242"/>
      <c r="V89" s="242"/>
      <c r="W89" s="242"/>
      <c r="X89" s="242"/>
      <c r="Y89" s="242"/>
      <c r="Z89" s="242"/>
      <c r="AA89" s="242"/>
      <c r="AB89" s="242"/>
      <c r="AC89" s="242"/>
      <c r="AD89" s="242"/>
      <c r="AE89" s="242"/>
      <c r="AF89" s="242"/>
    </row>
    <row r="90">
      <c r="A90" s="242"/>
      <c r="B90" s="242"/>
      <c r="C90" s="242"/>
      <c r="D90" s="13"/>
      <c r="E90" s="525"/>
      <c r="F90" s="525"/>
      <c r="G90" s="525"/>
      <c r="H90" s="242"/>
      <c r="I90" s="525"/>
      <c r="J90" s="525"/>
      <c r="K90" s="525"/>
      <c r="L90" s="525"/>
      <c r="M90" s="242"/>
      <c r="N90" s="525"/>
      <c r="O90" s="525"/>
      <c r="P90" s="525"/>
      <c r="Q90" s="525"/>
      <c r="R90" s="242"/>
      <c r="S90" s="242"/>
      <c r="T90" s="242"/>
      <c r="U90" s="242"/>
      <c r="V90" s="242"/>
      <c r="W90" s="242"/>
      <c r="X90" s="242"/>
      <c r="Y90" s="242"/>
      <c r="Z90" s="242"/>
      <c r="AA90" s="242"/>
      <c r="AB90" s="242"/>
      <c r="AC90" s="242"/>
      <c r="AD90" s="242"/>
      <c r="AE90" s="242"/>
      <c r="AF90" s="242"/>
    </row>
    <row r="91">
      <c r="A91" s="242"/>
      <c r="B91" s="242"/>
      <c r="C91" s="242"/>
      <c r="D91" s="13"/>
      <c r="E91" s="525"/>
      <c r="F91" s="525"/>
      <c r="G91" s="525"/>
      <c r="H91" s="242"/>
      <c r="I91" s="525"/>
      <c r="J91" s="525"/>
      <c r="K91" s="525"/>
      <c r="L91" s="525"/>
      <c r="M91" s="242"/>
      <c r="N91" s="525"/>
      <c r="O91" s="525"/>
      <c r="P91" s="525"/>
      <c r="Q91" s="525"/>
      <c r="R91" s="242"/>
      <c r="S91" s="242"/>
      <c r="T91" s="242"/>
      <c r="U91" s="242"/>
      <c r="V91" s="242"/>
      <c r="W91" s="242"/>
      <c r="X91" s="242"/>
      <c r="Y91" s="242"/>
      <c r="Z91" s="242"/>
      <c r="AA91" s="242"/>
      <c r="AB91" s="242"/>
      <c r="AC91" s="242"/>
      <c r="AD91" s="242"/>
      <c r="AE91" s="242"/>
      <c r="AF91" s="242"/>
    </row>
    <row r="92">
      <c r="A92" s="242"/>
      <c r="B92" s="242"/>
      <c r="C92" s="242"/>
      <c r="D92" s="13"/>
      <c r="E92" s="525"/>
      <c r="F92" s="525"/>
      <c r="G92" s="525"/>
      <c r="H92" s="242"/>
      <c r="I92" s="525"/>
      <c r="J92" s="525"/>
      <c r="K92" s="525"/>
      <c r="L92" s="525"/>
      <c r="M92" s="242"/>
      <c r="N92" s="525"/>
      <c r="O92" s="525"/>
      <c r="P92" s="525"/>
      <c r="Q92" s="525"/>
      <c r="R92" s="242"/>
      <c r="S92" s="242"/>
      <c r="T92" s="242"/>
      <c r="U92" s="242"/>
      <c r="V92" s="242"/>
      <c r="W92" s="242"/>
      <c r="X92" s="242"/>
      <c r="Y92" s="242"/>
      <c r="Z92" s="242"/>
      <c r="AA92" s="242"/>
      <c r="AB92" s="242"/>
      <c r="AC92" s="242"/>
      <c r="AD92" s="242"/>
      <c r="AE92" s="242"/>
      <c r="AF92" s="242"/>
    </row>
    <row r="93">
      <c r="A93" s="242"/>
      <c r="B93" s="242"/>
      <c r="C93" s="242"/>
      <c r="D93" s="13"/>
      <c r="E93" s="525"/>
      <c r="F93" s="525"/>
      <c r="G93" s="525"/>
      <c r="H93" s="242"/>
      <c r="I93" s="525"/>
      <c r="J93" s="525"/>
      <c r="K93" s="525"/>
      <c r="L93" s="525"/>
      <c r="M93" s="242"/>
      <c r="N93" s="525"/>
      <c r="O93" s="525"/>
      <c r="P93" s="525"/>
      <c r="Q93" s="525"/>
      <c r="R93" s="242"/>
      <c r="S93" s="242"/>
      <c r="T93" s="242"/>
      <c r="U93" s="242"/>
      <c r="V93" s="242"/>
      <c r="W93" s="242"/>
      <c r="X93" s="242"/>
      <c r="Y93" s="242"/>
      <c r="Z93" s="242"/>
      <c r="AA93" s="242"/>
      <c r="AB93" s="242"/>
      <c r="AC93" s="242"/>
      <c r="AD93" s="242"/>
      <c r="AE93" s="242"/>
      <c r="AF93" s="242"/>
    </row>
    <row r="94">
      <c r="A94" s="242"/>
      <c r="B94" s="242"/>
      <c r="C94" s="242"/>
      <c r="D94" s="13"/>
      <c r="E94" s="525"/>
      <c r="F94" s="525"/>
      <c r="G94" s="525"/>
      <c r="H94" s="242"/>
      <c r="I94" s="525"/>
      <c r="J94" s="525"/>
      <c r="K94" s="525"/>
      <c r="L94" s="525"/>
      <c r="M94" s="242"/>
      <c r="N94" s="525"/>
      <c r="O94" s="525"/>
      <c r="P94" s="525"/>
      <c r="Q94" s="525"/>
      <c r="R94" s="242"/>
      <c r="S94" s="242"/>
      <c r="T94" s="242"/>
      <c r="U94" s="242"/>
      <c r="V94" s="242"/>
      <c r="W94" s="242"/>
      <c r="X94" s="242"/>
      <c r="Y94" s="242"/>
      <c r="Z94" s="242"/>
      <c r="AA94" s="242"/>
      <c r="AB94" s="242"/>
      <c r="AC94" s="242"/>
      <c r="AD94" s="242"/>
      <c r="AE94" s="242"/>
      <c r="AF94" s="242"/>
    </row>
    <row r="95">
      <c r="A95" s="242"/>
      <c r="B95" s="242"/>
      <c r="C95" s="242"/>
      <c r="D95" s="13"/>
      <c r="E95" s="525"/>
      <c r="F95" s="525"/>
      <c r="G95" s="525"/>
      <c r="H95" s="242"/>
      <c r="I95" s="525"/>
      <c r="J95" s="525"/>
      <c r="K95" s="525"/>
      <c r="L95" s="525"/>
      <c r="M95" s="242"/>
      <c r="N95" s="525"/>
      <c r="O95" s="525"/>
      <c r="P95" s="525"/>
      <c r="Q95" s="525"/>
      <c r="R95" s="242"/>
      <c r="S95" s="242"/>
      <c r="T95" s="242"/>
      <c r="U95" s="242"/>
      <c r="V95" s="242"/>
      <c r="W95" s="242"/>
      <c r="X95" s="242"/>
      <c r="Y95" s="242"/>
      <c r="Z95" s="242"/>
      <c r="AA95" s="242"/>
      <c r="AB95" s="242"/>
      <c r="AC95" s="242"/>
      <c r="AD95" s="242"/>
      <c r="AE95" s="242"/>
      <c r="AF95" s="242"/>
    </row>
    <row r="96">
      <c r="A96" s="242"/>
      <c r="B96" s="242"/>
      <c r="C96" s="242"/>
      <c r="D96" s="13"/>
      <c r="E96" s="525"/>
      <c r="F96" s="525"/>
      <c r="G96" s="525"/>
      <c r="H96" s="242"/>
      <c r="I96" s="525"/>
      <c r="J96" s="525"/>
      <c r="K96" s="525"/>
      <c r="L96" s="525"/>
      <c r="M96" s="242"/>
      <c r="N96" s="525"/>
      <c r="O96" s="525"/>
      <c r="P96" s="525"/>
      <c r="Q96" s="525"/>
      <c r="R96" s="242"/>
      <c r="S96" s="242"/>
      <c r="T96" s="242"/>
      <c r="U96" s="242"/>
      <c r="V96" s="242"/>
      <c r="W96" s="242"/>
      <c r="X96" s="242"/>
      <c r="Y96" s="242"/>
      <c r="Z96" s="242"/>
      <c r="AA96" s="242"/>
      <c r="AB96" s="242"/>
      <c r="AC96" s="242"/>
      <c r="AD96" s="242"/>
      <c r="AE96" s="242"/>
      <c r="AF96" s="242"/>
    </row>
    <row r="97">
      <c r="A97" s="242"/>
      <c r="B97" s="242"/>
      <c r="C97" s="242"/>
      <c r="D97" s="13"/>
      <c r="E97" s="525"/>
      <c r="F97" s="525"/>
      <c r="G97" s="525"/>
      <c r="H97" s="242"/>
      <c r="I97" s="525"/>
      <c r="J97" s="525"/>
      <c r="K97" s="525"/>
      <c r="L97" s="525"/>
      <c r="M97" s="242"/>
      <c r="N97" s="525"/>
      <c r="O97" s="525"/>
      <c r="P97" s="525"/>
      <c r="Q97" s="525"/>
      <c r="R97" s="242"/>
      <c r="S97" s="242"/>
      <c r="T97" s="242"/>
      <c r="U97" s="242"/>
      <c r="V97" s="242"/>
      <c r="W97" s="242"/>
      <c r="X97" s="242"/>
      <c r="Y97" s="242"/>
      <c r="Z97" s="242"/>
      <c r="AA97" s="242"/>
      <c r="AB97" s="242"/>
      <c r="AC97" s="242"/>
      <c r="AD97" s="242"/>
      <c r="AE97" s="242"/>
      <c r="AF97" s="242"/>
    </row>
    <row r="98">
      <c r="A98" s="242"/>
      <c r="B98" s="242"/>
      <c r="C98" s="242"/>
      <c r="D98" s="13"/>
      <c r="E98" s="525"/>
      <c r="F98" s="525"/>
      <c r="G98" s="525"/>
      <c r="H98" s="242"/>
      <c r="I98" s="525"/>
      <c r="J98" s="525"/>
      <c r="K98" s="525"/>
      <c r="L98" s="525"/>
      <c r="M98" s="242"/>
      <c r="N98" s="525"/>
      <c r="O98" s="525"/>
      <c r="P98" s="525"/>
      <c r="Q98" s="525"/>
      <c r="R98" s="242"/>
      <c r="S98" s="242"/>
      <c r="T98" s="242"/>
      <c r="U98" s="242"/>
      <c r="V98" s="242"/>
      <c r="W98" s="242"/>
      <c r="X98" s="242"/>
      <c r="Y98" s="242"/>
      <c r="Z98" s="242"/>
      <c r="AA98" s="242"/>
      <c r="AB98" s="242"/>
      <c r="AC98" s="242"/>
      <c r="AD98" s="242"/>
      <c r="AE98" s="242"/>
      <c r="AF98" s="242"/>
    </row>
    <row r="99">
      <c r="A99" s="242"/>
      <c r="B99" s="242"/>
      <c r="C99" s="242"/>
      <c r="D99" s="13"/>
      <c r="E99" s="525"/>
      <c r="F99" s="525"/>
      <c r="G99" s="525"/>
      <c r="H99" s="242"/>
      <c r="I99" s="525"/>
      <c r="J99" s="525"/>
      <c r="K99" s="525"/>
      <c r="L99" s="525"/>
      <c r="M99" s="242"/>
      <c r="N99" s="525"/>
      <c r="O99" s="525"/>
      <c r="P99" s="525"/>
      <c r="Q99" s="525"/>
      <c r="R99" s="242"/>
      <c r="S99" s="242"/>
      <c r="T99" s="242"/>
      <c r="U99" s="242"/>
      <c r="V99" s="242"/>
      <c r="W99" s="242"/>
      <c r="X99" s="242"/>
      <c r="Y99" s="242"/>
      <c r="Z99" s="242"/>
      <c r="AA99" s="242"/>
      <c r="AB99" s="242"/>
      <c r="AC99" s="242"/>
      <c r="AD99" s="242"/>
      <c r="AE99" s="242"/>
      <c r="AF99" s="242"/>
    </row>
    <row r="100">
      <c r="A100" s="242"/>
      <c r="B100" s="242"/>
      <c r="C100" s="242"/>
      <c r="D100" s="13"/>
      <c r="E100" s="525"/>
      <c r="F100" s="525"/>
      <c r="G100" s="525"/>
      <c r="H100" s="242"/>
      <c r="I100" s="525"/>
      <c r="J100" s="525"/>
      <c r="K100" s="525"/>
      <c r="L100" s="525"/>
      <c r="M100" s="242"/>
      <c r="N100" s="525"/>
      <c r="O100" s="525"/>
      <c r="P100" s="525"/>
      <c r="Q100" s="525"/>
      <c r="R100" s="242"/>
      <c r="S100" s="242"/>
      <c r="T100" s="242"/>
      <c r="U100" s="242"/>
      <c r="V100" s="242"/>
      <c r="W100" s="242"/>
      <c r="X100" s="242"/>
      <c r="Y100" s="242"/>
      <c r="Z100" s="242"/>
      <c r="AA100" s="242"/>
      <c r="AB100" s="242"/>
      <c r="AC100" s="242"/>
      <c r="AD100" s="242"/>
      <c r="AE100" s="242"/>
      <c r="AF100" s="242"/>
    </row>
    <row r="101">
      <c r="A101" s="242"/>
      <c r="B101" s="242"/>
      <c r="C101" s="242"/>
      <c r="D101" s="13"/>
      <c r="E101" s="525"/>
      <c r="F101" s="525"/>
      <c r="G101" s="525"/>
      <c r="H101" s="242"/>
      <c r="I101" s="525"/>
      <c r="J101" s="525"/>
      <c r="K101" s="525"/>
      <c r="L101" s="525"/>
      <c r="M101" s="242"/>
      <c r="N101" s="525"/>
      <c r="O101" s="525"/>
      <c r="P101" s="525"/>
      <c r="Q101" s="525"/>
      <c r="R101" s="242"/>
      <c r="S101" s="242"/>
      <c r="T101" s="242"/>
      <c r="U101" s="242"/>
      <c r="V101" s="242"/>
      <c r="W101" s="242"/>
      <c r="X101" s="242"/>
      <c r="Y101" s="242"/>
      <c r="Z101" s="242"/>
      <c r="AA101" s="242"/>
      <c r="AB101" s="242"/>
      <c r="AC101" s="242"/>
      <c r="AD101" s="242"/>
      <c r="AE101" s="242"/>
      <c r="AF101" s="242"/>
    </row>
    <row r="102">
      <c r="A102" s="242"/>
      <c r="B102" s="242"/>
      <c r="C102" s="242"/>
      <c r="D102" s="13"/>
      <c r="E102" s="525"/>
      <c r="F102" s="525"/>
      <c r="G102" s="525"/>
      <c r="H102" s="242"/>
      <c r="I102" s="525"/>
      <c r="J102" s="525"/>
      <c r="K102" s="525"/>
      <c r="L102" s="525"/>
      <c r="M102" s="242"/>
      <c r="N102" s="525"/>
      <c r="O102" s="525"/>
      <c r="P102" s="525"/>
      <c r="Q102" s="525"/>
      <c r="R102" s="242"/>
      <c r="S102" s="242"/>
      <c r="T102" s="242"/>
      <c r="U102" s="242"/>
      <c r="V102" s="242"/>
      <c r="W102" s="242"/>
      <c r="X102" s="242"/>
      <c r="Y102" s="242"/>
      <c r="Z102" s="242"/>
      <c r="AA102" s="242"/>
      <c r="AB102" s="242"/>
      <c r="AC102" s="242"/>
      <c r="AD102" s="242"/>
      <c r="AE102" s="242"/>
      <c r="AF102" s="242"/>
    </row>
    <row r="103">
      <c r="A103" s="242"/>
      <c r="B103" s="242"/>
      <c r="C103" s="242"/>
      <c r="D103" s="13"/>
      <c r="E103" s="525"/>
      <c r="F103" s="525"/>
      <c r="G103" s="525"/>
      <c r="H103" s="242"/>
      <c r="I103" s="525"/>
      <c r="J103" s="525"/>
      <c r="K103" s="525"/>
      <c r="L103" s="525"/>
      <c r="M103" s="242"/>
      <c r="N103" s="525"/>
      <c r="O103" s="525"/>
      <c r="P103" s="525"/>
      <c r="Q103" s="525"/>
      <c r="R103" s="242"/>
      <c r="S103" s="242"/>
      <c r="T103" s="242"/>
      <c r="U103" s="242"/>
      <c r="V103" s="242"/>
      <c r="W103" s="242"/>
      <c r="X103" s="242"/>
      <c r="Y103" s="242"/>
      <c r="Z103" s="242"/>
      <c r="AA103" s="242"/>
      <c r="AB103" s="242"/>
      <c r="AC103" s="242"/>
      <c r="AD103" s="242"/>
      <c r="AE103" s="242"/>
      <c r="AF103" s="242"/>
    </row>
    <row r="104">
      <c r="A104" s="242"/>
      <c r="B104" s="242"/>
      <c r="C104" s="242"/>
      <c r="D104" s="13"/>
      <c r="E104" s="525"/>
      <c r="F104" s="525"/>
      <c r="G104" s="525"/>
      <c r="H104" s="242"/>
      <c r="I104" s="525"/>
      <c r="J104" s="525"/>
      <c r="K104" s="525"/>
      <c r="L104" s="525"/>
      <c r="M104" s="242"/>
      <c r="N104" s="525"/>
      <c r="O104" s="525"/>
      <c r="P104" s="525"/>
      <c r="Q104" s="525"/>
      <c r="R104" s="242"/>
      <c r="S104" s="242"/>
      <c r="T104" s="242"/>
      <c r="U104" s="242"/>
      <c r="V104" s="242"/>
      <c r="W104" s="242"/>
      <c r="X104" s="242"/>
      <c r="Y104" s="242"/>
      <c r="Z104" s="242"/>
      <c r="AA104" s="242"/>
      <c r="AB104" s="242"/>
      <c r="AC104" s="242"/>
      <c r="AD104" s="242"/>
      <c r="AE104" s="242"/>
      <c r="AF104" s="242"/>
    </row>
    <row r="105">
      <c r="A105" s="242"/>
      <c r="B105" s="242"/>
      <c r="C105" s="242"/>
      <c r="D105" s="13"/>
      <c r="E105" s="525"/>
      <c r="F105" s="525"/>
      <c r="G105" s="525"/>
      <c r="H105" s="242"/>
      <c r="I105" s="525"/>
      <c r="J105" s="525"/>
      <c r="K105" s="525"/>
      <c r="L105" s="525"/>
      <c r="M105" s="242"/>
      <c r="N105" s="525"/>
      <c r="O105" s="525"/>
      <c r="P105" s="525"/>
      <c r="Q105" s="525"/>
      <c r="R105" s="242"/>
      <c r="S105" s="242"/>
      <c r="T105" s="242"/>
      <c r="U105" s="242"/>
      <c r="V105" s="242"/>
      <c r="W105" s="242"/>
      <c r="X105" s="242"/>
      <c r="Y105" s="242"/>
      <c r="Z105" s="242"/>
      <c r="AA105" s="242"/>
      <c r="AB105" s="242"/>
      <c r="AC105" s="242"/>
      <c r="AD105" s="242"/>
      <c r="AE105" s="242"/>
      <c r="AF105" s="242"/>
    </row>
    <row r="106">
      <c r="A106" s="242"/>
      <c r="B106" s="242"/>
      <c r="C106" s="242"/>
      <c r="D106" s="13"/>
      <c r="E106" s="525"/>
      <c r="F106" s="525"/>
      <c r="G106" s="525"/>
      <c r="H106" s="242"/>
      <c r="I106" s="525"/>
      <c r="J106" s="525"/>
      <c r="K106" s="525"/>
      <c r="L106" s="525"/>
      <c r="M106" s="242"/>
      <c r="N106" s="525"/>
      <c r="O106" s="525"/>
      <c r="P106" s="525"/>
      <c r="Q106" s="525"/>
      <c r="R106" s="242"/>
      <c r="S106" s="242"/>
      <c r="T106" s="242"/>
      <c r="U106" s="242"/>
      <c r="V106" s="242"/>
      <c r="W106" s="242"/>
      <c r="X106" s="242"/>
      <c r="Y106" s="242"/>
      <c r="Z106" s="242"/>
      <c r="AA106" s="242"/>
      <c r="AB106" s="242"/>
      <c r="AC106" s="242"/>
      <c r="AD106" s="242"/>
      <c r="AE106" s="242"/>
      <c r="AF106" s="242"/>
    </row>
    <row r="107">
      <c r="A107" s="242"/>
      <c r="B107" s="242"/>
      <c r="C107" s="242"/>
      <c r="D107" s="13"/>
      <c r="E107" s="525"/>
      <c r="F107" s="525"/>
      <c r="G107" s="525"/>
      <c r="H107" s="242"/>
      <c r="I107" s="525"/>
      <c r="J107" s="525"/>
      <c r="K107" s="525"/>
      <c r="L107" s="525"/>
      <c r="M107" s="242"/>
      <c r="N107" s="525"/>
      <c r="O107" s="525"/>
      <c r="P107" s="525"/>
      <c r="Q107" s="525"/>
      <c r="R107" s="242"/>
      <c r="S107" s="242"/>
      <c r="T107" s="242"/>
      <c r="U107" s="242"/>
      <c r="V107" s="242"/>
      <c r="W107" s="242"/>
      <c r="X107" s="242"/>
      <c r="Y107" s="242"/>
      <c r="Z107" s="242"/>
      <c r="AA107" s="242"/>
      <c r="AB107" s="242"/>
      <c r="AC107" s="242"/>
      <c r="AD107" s="242"/>
      <c r="AE107" s="242"/>
      <c r="AF107" s="242"/>
    </row>
    <row r="108">
      <c r="A108" s="242"/>
      <c r="B108" s="242"/>
      <c r="C108" s="242"/>
      <c r="D108" s="13"/>
      <c r="E108" s="525"/>
      <c r="F108" s="525"/>
      <c r="G108" s="525"/>
      <c r="H108" s="242"/>
      <c r="I108" s="525"/>
      <c r="J108" s="525"/>
      <c r="K108" s="525"/>
      <c r="L108" s="525"/>
      <c r="M108" s="242"/>
      <c r="N108" s="525"/>
      <c r="O108" s="525"/>
      <c r="P108" s="525"/>
      <c r="Q108" s="525"/>
      <c r="R108" s="242"/>
      <c r="S108" s="242"/>
      <c r="T108" s="242"/>
      <c r="U108" s="242"/>
      <c r="V108" s="242"/>
      <c r="W108" s="242"/>
      <c r="X108" s="242"/>
      <c r="Y108" s="242"/>
      <c r="Z108" s="242"/>
      <c r="AA108" s="242"/>
      <c r="AB108" s="242"/>
      <c r="AC108" s="242"/>
      <c r="AD108" s="242"/>
      <c r="AE108" s="242"/>
      <c r="AF108" s="242"/>
    </row>
    <row r="109">
      <c r="A109" s="242"/>
      <c r="B109" s="242"/>
      <c r="C109" s="242"/>
      <c r="D109" s="13"/>
      <c r="E109" s="525"/>
      <c r="F109" s="525"/>
      <c r="G109" s="525"/>
      <c r="H109" s="242"/>
      <c r="I109" s="525"/>
      <c r="J109" s="525"/>
      <c r="K109" s="525"/>
      <c r="L109" s="525"/>
      <c r="M109" s="242"/>
      <c r="N109" s="525"/>
      <c r="O109" s="525"/>
      <c r="P109" s="525"/>
      <c r="Q109" s="525"/>
      <c r="R109" s="242"/>
      <c r="S109" s="242"/>
      <c r="T109" s="242"/>
      <c r="U109" s="242"/>
      <c r="V109" s="242"/>
      <c r="W109" s="242"/>
      <c r="X109" s="242"/>
      <c r="Y109" s="242"/>
      <c r="Z109" s="242"/>
      <c r="AA109" s="242"/>
      <c r="AB109" s="242"/>
      <c r="AC109" s="242"/>
      <c r="AD109" s="242"/>
      <c r="AE109" s="242"/>
      <c r="AF109" s="242"/>
    </row>
    <row r="110">
      <c r="A110" s="242"/>
      <c r="B110" s="242"/>
      <c r="C110" s="242"/>
      <c r="D110" s="13"/>
      <c r="E110" s="525"/>
      <c r="F110" s="525"/>
      <c r="G110" s="525"/>
      <c r="H110" s="242"/>
      <c r="I110" s="525"/>
      <c r="J110" s="525"/>
      <c r="K110" s="525"/>
      <c r="L110" s="525"/>
      <c r="M110" s="242"/>
      <c r="N110" s="525"/>
      <c r="O110" s="525"/>
      <c r="P110" s="525"/>
      <c r="Q110" s="525"/>
      <c r="R110" s="242"/>
      <c r="S110" s="242"/>
      <c r="T110" s="242"/>
      <c r="U110" s="242"/>
      <c r="V110" s="242"/>
      <c r="W110" s="242"/>
      <c r="X110" s="242"/>
      <c r="Y110" s="242"/>
      <c r="Z110" s="242"/>
      <c r="AA110" s="242"/>
      <c r="AB110" s="242"/>
      <c r="AC110" s="242"/>
      <c r="AD110" s="242"/>
      <c r="AE110" s="242"/>
      <c r="AF110" s="242"/>
    </row>
    <row r="111">
      <c r="A111" s="242"/>
      <c r="B111" s="242"/>
      <c r="C111" s="242"/>
      <c r="D111" s="13"/>
      <c r="E111" s="525"/>
      <c r="F111" s="525"/>
      <c r="G111" s="525"/>
      <c r="H111" s="242"/>
      <c r="I111" s="525"/>
      <c r="J111" s="525"/>
      <c r="K111" s="525"/>
      <c r="L111" s="525"/>
      <c r="M111" s="242"/>
      <c r="N111" s="525"/>
      <c r="O111" s="525"/>
      <c r="P111" s="525"/>
      <c r="Q111" s="525"/>
      <c r="R111" s="242"/>
      <c r="S111" s="242"/>
      <c r="T111" s="242"/>
      <c r="U111" s="242"/>
      <c r="V111" s="242"/>
      <c r="W111" s="242"/>
      <c r="X111" s="242"/>
      <c r="Y111" s="242"/>
      <c r="Z111" s="242"/>
      <c r="AA111" s="242"/>
      <c r="AB111" s="242"/>
      <c r="AC111" s="242"/>
      <c r="AD111" s="242"/>
      <c r="AE111" s="242"/>
      <c r="AF111" s="242"/>
    </row>
    <row r="112">
      <c r="A112" s="242"/>
      <c r="B112" s="242"/>
      <c r="C112" s="242"/>
      <c r="D112" s="13"/>
      <c r="E112" s="525"/>
      <c r="F112" s="525"/>
      <c r="G112" s="525"/>
      <c r="H112" s="242"/>
      <c r="I112" s="525"/>
      <c r="J112" s="525"/>
      <c r="K112" s="525"/>
      <c r="L112" s="525"/>
      <c r="M112" s="242"/>
      <c r="N112" s="525"/>
      <c r="O112" s="525"/>
      <c r="P112" s="525"/>
      <c r="Q112" s="525"/>
      <c r="R112" s="242"/>
      <c r="S112" s="242"/>
      <c r="T112" s="242"/>
      <c r="U112" s="242"/>
      <c r="V112" s="242"/>
      <c r="W112" s="242"/>
      <c r="X112" s="242"/>
      <c r="Y112" s="242"/>
      <c r="Z112" s="242"/>
      <c r="AA112" s="242"/>
      <c r="AB112" s="242"/>
      <c r="AC112" s="242"/>
      <c r="AD112" s="242"/>
      <c r="AE112" s="242"/>
      <c r="AF112" s="242"/>
    </row>
    <row r="113">
      <c r="A113" s="242"/>
      <c r="B113" s="242"/>
      <c r="C113" s="242"/>
      <c r="D113" s="13"/>
      <c r="E113" s="525"/>
      <c r="F113" s="525"/>
      <c r="G113" s="525"/>
      <c r="H113" s="242"/>
      <c r="I113" s="525"/>
      <c r="J113" s="525"/>
      <c r="K113" s="525"/>
      <c r="L113" s="525"/>
      <c r="M113" s="242"/>
      <c r="N113" s="525"/>
      <c r="O113" s="525"/>
      <c r="P113" s="525"/>
      <c r="Q113" s="525"/>
      <c r="R113" s="242"/>
      <c r="S113" s="242"/>
      <c r="T113" s="242"/>
      <c r="U113" s="242"/>
      <c r="V113" s="242"/>
      <c r="W113" s="242"/>
      <c r="X113" s="242"/>
      <c r="Y113" s="242"/>
      <c r="Z113" s="242"/>
      <c r="AA113" s="242"/>
      <c r="AB113" s="242"/>
      <c r="AC113" s="242"/>
      <c r="AD113" s="242"/>
      <c r="AE113" s="242"/>
      <c r="AF113" s="242"/>
    </row>
    <row r="114">
      <c r="A114" s="242"/>
      <c r="B114" s="242"/>
      <c r="C114" s="242"/>
      <c r="D114" s="13"/>
      <c r="E114" s="525"/>
      <c r="F114" s="525"/>
      <c r="G114" s="525"/>
      <c r="H114" s="242"/>
      <c r="I114" s="525"/>
      <c r="J114" s="525"/>
      <c r="K114" s="525"/>
      <c r="L114" s="525"/>
      <c r="M114" s="242"/>
      <c r="N114" s="525"/>
      <c r="O114" s="525"/>
      <c r="P114" s="525"/>
      <c r="Q114" s="525"/>
      <c r="R114" s="242"/>
      <c r="S114" s="242"/>
      <c r="T114" s="242"/>
      <c r="U114" s="242"/>
      <c r="V114" s="242"/>
      <c r="W114" s="242"/>
      <c r="X114" s="242"/>
      <c r="Y114" s="242"/>
      <c r="Z114" s="242"/>
      <c r="AA114" s="242"/>
      <c r="AB114" s="242"/>
      <c r="AC114" s="242"/>
      <c r="AD114" s="242"/>
      <c r="AE114" s="242"/>
      <c r="AF114" s="242"/>
    </row>
    <row r="115">
      <c r="A115" s="242"/>
      <c r="B115" s="242"/>
      <c r="C115" s="242"/>
      <c r="D115" s="13"/>
      <c r="E115" s="525"/>
      <c r="F115" s="525"/>
      <c r="G115" s="525"/>
      <c r="H115" s="242"/>
      <c r="I115" s="525"/>
      <c r="J115" s="525"/>
      <c r="K115" s="525"/>
      <c r="L115" s="525"/>
      <c r="M115" s="242"/>
      <c r="N115" s="525"/>
      <c r="O115" s="525"/>
      <c r="P115" s="525"/>
      <c r="Q115" s="525"/>
      <c r="R115" s="242"/>
      <c r="S115" s="242"/>
      <c r="T115" s="242"/>
      <c r="U115" s="242"/>
      <c r="V115" s="242"/>
      <c r="W115" s="242"/>
      <c r="X115" s="242"/>
      <c r="Y115" s="242"/>
      <c r="Z115" s="242"/>
      <c r="AA115" s="242"/>
      <c r="AB115" s="242"/>
      <c r="AC115" s="242"/>
      <c r="AD115" s="242"/>
      <c r="AE115" s="242"/>
      <c r="AF115" s="242"/>
    </row>
    <row r="116">
      <c r="A116" s="242"/>
      <c r="B116" s="242"/>
      <c r="C116" s="242"/>
      <c r="D116" s="13"/>
      <c r="E116" s="525"/>
      <c r="F116" s="525"/>
      <c r="G116" s="525"/>
      <c r="H116" s="242"/>
      <c r="I116" s="525"/>
      <c r="J116" s="525"/>
      <c r="K116" s="525"/>
      <c r="L116" s="525"/>
      <c r="M116" s="242"/>
      <c r="N116" s="525"/>
      <c r="O116" s="525"/>
      <c r="P116" s="525"/>
      <c r="Q116" s="525"/>
      <c r="R116" s="242"/>
      <c r="S116" s="242"/>
      <c r="T116" s="242"/>
      <c r="U116" s="242"/>
      <c r="V116" s="242"/>
      <c r="W116" s="242"/>
      <c r="X116" s="242"/>
      <c r="Y116" s="242"/>
      <c r="Z116" s="242"/>
      <c r="AA116" s="242"/>
      <c r="AB116" s="242"/>
      <c r="AC116" s="242"/>
      <c r="AD116" s="242"/>
      <c r="AE116" s="242"/>
      <c r="AF116" s="242"/>
    </row>
    <row r="117">
      <c r="A117" s="242"/>
      <c r="B117" s="242"/>
      <c r="C117" s="242"/>
      <c r="D117" s="13"/>
      <c r="E117" s="525"/>
      <c r="F117" s="525"/>
      <c r="G117" s="525"/>
      <c r="H117" s="242"/>
      <c r="I117" s="525"/>
      <c r="J117" s="525"/>
      <c r="K117" s="525"/>
      <c r="L117" s="525"/>
      <c r="M117" s="242"/>
      <c r="N117" s="525"/>
      <c r="O117" s="525"/>
      <c r="P117" s="525"/>
      <c r="Q117" s="525"/>
      <c r="R117" s="242"/>
      <c r="S117" s="242"/>
      <c r="T117" s="242"/>
      <c r="U117" s="242"/>
      <c r="V117" s="242"/>
      <c r="W117" s="242"/>
      <c r="X117" s="242"/>
      <c r="Y117" s="242"/>
      <c r="Z117" s="242"/>
      <c r="AA117" s="242"/>
      <c r="AB117" s="242"/>
      <c r="AC117" s="242"/>
      <c r="AD117" s="242"/>
      <c r="AE117" s="242"/>
      <c r="AF117" s="242"/>
    </row>
    <row r="118">
      <c r="A118" s="242"/>
      <c r="B118" s="242"/>
      <c r="C118" s="242"/>
      <c r="D118" s="13"/>
      <c r="E118" s="525"/>
      <c r="F118" s="525"/>
      <c r="G118" s="525"/>
      <c r="H118" s="242"/>
      <c r="I118" s="525"/>
      <c r="J118" s="525"/>
      <c r="K118" s="525"/>
      <c r="L118" s="525"/>
      <c r="M118" s="242"/>
      <c r="N118" s="525"/>
      <c r="O118" s="525"/>
      <c r="P118" s="525"/>
      <c r="Q118" s="525"/>
      <c r="R118" s="242"/>
      <c r="S118" s="242"/>
      <c r="T118" s="242"/>
      <c r="U118" s="242"/>
      <c r="V118" s="242"/>
      <c r="W118" s="242"/>
      <c r="X118" s="242"/>
      <c r="Y118" s="242"/>
      <c r="Z118" s="242"/>
      <c r="AA118" s="242"/>
      <c r="AB118" s="242"/>
      <c r="AC118" s="242"/>
      <c r="AD118" s="242"/>
      <c r="AE118" s="242"/>
      <c r="AF118" s="242"/>
    </row>
    <row r="119">
      <c r="A119" s="242"/>
      <c r="B119" s="242"/>
      <c r="C119" s="242"/>
      <c r="D119" s="13"/>
      <c r="E119" s="525"/>
      <c r="F119" s="525"/>
      <c r="G119" s="525"/>
      <c r="H119" s="242"/>
      <c r="I119" s="525"/>
      <c r="J119" s="525"/>
      <c r="K119" s="525"/>
      <c r="L119" s="525"/>
      <c r="M119" s="242"/>
      <c r="N119" s="525"/>
      <c r="O119" s="525"/>
      <c r="P119" s="525"/>
      <c r="Q119" s="525"/>
      <c r="R119" s="242"/>
      <c r="S119" s="242"/>
      <c r="T119" s="242"/>
      <c r="U119" s="242"/>
      <c r="V119" s="242"/>
      <c r="W119" s="242"/>
      <c r="X119" s="242"/>
      <c r="Y119" s="242"/>
      <c r="Z119" s="242"/>
      <c r="AA119" s="242"/>
      <c r="AB119" s="242"/>
      <c r="AC119" s="242"/>
      <c r="AD119" s="242"/>
      <c r="AE119" s="242"/>
      <c r="AF119" s="242"/>
    </row>
    <row r="120">
      <c r="A120" s="242"/>
      <c r="B120" s="242"/>
      <c r="C120" s="242"/>
      <c r="D120" s="13"/>
      <c r="E120" s="525"/>
      <c r="F120" s="525"/>
      <c r="G120" s="525"/>
      <c r="H120" s="242"/>
      <c r="I120" s="525"/>
      <c r="J120" s="525"/>
      <c r="K120" s="525"/>
      <c r="L120" s="525"/>
      <c r="M120" s="242"/>
      <c r="N120" s="525"/>
      <c r="O120" s="525"/>
      <c r="P120" s="525"/>
      <c r="Q120" s="525"/>
      <c r="R120" s="242"/>
      <c r="S120" s="242"/>
      <c r="T120" s="242"/>
      <c r="U120" s="242"/>
      <c r="V120" s="242"/>
      <c r="W120" s="242"/>
      <c r="X120" s="242"/>
      <c r="Y120" s="242"/>
      <c r="Z120" s="242"/>
      <c r="AA120" s="242"/>
      <c r="AB120" s="242"/>
      <c r="AC120" s="242"/>
      <c r="AD120" s="242"/>
      <c r="AE120" s="242"/>
      <c r="AF120" s="242"/>
    </row>
    <row r="121">
      <c r="A121" s="242"/>
      <c r="B121" s="242"/>
      <c r="C121" s="242"/>
      <c r="D121" s="13"/>
      <c r="E121" s="525"/>
      <c r="F121" s="525"/>
      <c r="G121" s="525"/>
      <c r="H121" s="242"/>
      <c r="I121" s="525"/>
      <c r="J121" s="525"/>
      <c r="K121" s="525"/>
      <c r="L121" s="525"/>
      <c r="M121" s="242"/>
      <c r="N121" s="525"/>
      <c r="O121" s="525"/>
      <c r="P121" s="525"/>
      <c r="Q121" s="525"/>
      <c r="R121" s="242"/>
      <c r="S121" s="242"/>
      <c r="T121" s="242"/>
      <c r="U121" s="242"/>
      <c r="V121" s="242"/>
      <c r="W121" s="242"/>
      <c r="X121" s="242"/>
      <c r="Y121" s="242"/>
      <c r="Z121" s="242"/>
      <c r="AA121" s="242"/>
      <c r="AB121" s="242"/>
      <c r="AC121" s="242"/>
      <c r="AD121" s="242"/>
      <c r="AE121" s="242"/>
      <c r="AF121" s="242"/>
    </row>
    <row r="122">
      <c r="A122" s="242"/>
      <c r="B122" s="242"/>
      <c r="C122" s="242"/>
      <c r="D122" s="13"/>
      <c r="E122" s="525"/>
      <c r="F122" s="525"/>
      <c r="G122" s="525"/>
      <c r="H122" s="242"/>
      <c r="I122" s="525"/>
      <c r="J122" s="525"/>
      <c r="K122" s="525"/>
      <c r="L122" s="525"/>
      <c r="M122" s="242"/>
      <c r="N122" s="525"/>
      <c r="O122" s="525"/>
      <c r="P122" s="525"/>
      <c r="Q122" s="525"/>
      <c r="R122" s="242"/>
      <c r="S122" s="242"/>
      <c r="T122" s="242"/>
      <c r="U122" s="242"/>
      <c r="V122" s="242"/>
      <c r="W122" s="242"/>
      <c r="X122" s="242"/>
      <c r="Y122" s="242"/>
      <c r="Z122" s="242"/>
      <c r="AA122" s="242"/>
      <c r="AB122" s="242"/>
      <c r="AC122" s="242"/>
      <c r="AD122" s="242"/>
      <c r="AE122" s="242"/>
      <c r="AF122" s="242"/>
    </row>
    <row r="123">
      <c r="A123" s="242"/>
      <c r="B123" s="242"/>
      <c r="C123" s="242"/>
      <c r="D123" s="13"/>
      <c r="E123" s="525"/>
      <c r="F123" s="525"/>
      <c r="G123" s="525"/>
      <c r="H123" s="242"/>
      <c r="I123" s="525"/>
      <c r="J123" s="525"/>
      <c r="K123" s="525"/>
      <c r="L123" s="525"/>
      <c r="M123" s="242"/>
      <c r="N123" s="525"/>
      <c r="O123" s="525"/>
      <c r="P123" s="525"/>
      <c r="Q123" s="525"/>
      <c r="R123" s="242"/>
      <c r="S123" s="242"/>
      <c r="T123" s="242"/>
      <c r="U123" s="242"/>
      <c r="V123" s="242"/>
      <c r="W123" s="242"/>
      <c r="X123" s="242"/>
      <c r="Y123" s="242"/>
      <c r="Z123" s="242"/>
      <c r="AA123" s="242"/>
      <c r="AB123" s="242"/>
      <c r="AC123" s="242"/>
      <c r="AD123" s="242"/>
      <c r="AE123" s="242"/>
      <c r="AF123" s="242"/>
    </row>
    <row r="124">
      <c r="A124" s="242"/>
      <c r="B124" s="242"/>
      <c r="C124" s="242"/>
      <c r="D124" s="13"/>
      <c r="E124" s="525"/>
      <c r="F124" s="525"/>
      <c r="G124" s="525"/>
      <c r="H124" s="242"/>
      <c r="I124" s="525"/>
      <c r="J124" s="525"/>
      <c r="K124" s="525"/>
      <c r="L124" s="525"/>
      <c r="M124" s="242"/>
      <c r="N124" s="525"/>
      <c r="O124" s="525"/>
      <c r="P124" s="525"/>
      <c r="Q124" s="525"/>
      <c r="R124" s="242"/>
      <c r="S124" s="242"/>
      <c r="T124" s="242"/>
      <c r="U124" s="242"/>
      <c r="V124" s="242"/>
      <c r="W124" s="242"/>
      <c r="X124" s="242"/>
      <c r="Y124" s="242"/>
      <c r="Z124" s="242"/>
      <c r="AA124" s="242"/>
      <c r="AB124" s="242"/>
      <c r="AC124" s="242"/>
      <c r="AD124" s="242"/>
      <c r="AE124" s="242"/>
      <c r="AF124" s="242"/>
    </row>
    <row r="125">
      <c r="A125" s="242"/>
      <c r="B125" s="242"/>
      <c r="C125" s="242"/>
      <c r="D125" s="13"/>
      <c r="E125" s="525"/>
      <c r="F125" s="525"/>
      <c r="G125" s="525"/>
      <c r="H125" s="242"/>
      <c r="I125" s="525"/>
      <c r="J125" s="525"/>
      <c r="K125" s="525"/>
      <c r="L125" s="525"/>
      <c r="M125" s="242"/>
      <c r="N125" s="525"/>
      <c r="O125" s="525"/>
      <c r="P125" s="525"/>
      <c r="Q125" s="525"/>
      <c r="R125" s="242"/>
      <c r="S125" s="242"/>
      <c r="T125" s="242"/>
      <c r="U125" s="242"/>
      <c r="V125" s="242"/>
      <c r="W125" s="242"/>
      <c r="X125" s="242"/>
      <c r="Y125" s="242"/>
      <c r="Z125" s="242"/>
      <c r="AA125" s="242"/>
      <c r="AB125" s="242"/>
      <c r="AC125" s="242"/>
      <c r="AD125" s="242"/>
      <c r="AE125" s="242"/>
      <c r="AF125" s="242"/>
    </row>
    <row r="126">
      <c r="A126" s="242"/>
      <c r="B126" s="242"/>
      <c r="C126" s="242"/>
      <c r="D126" s="13"/>
      <c r="E126" s="525"/>
      <c r="F126" s="525"/>
      <c r="G126" s="525"/>
      <c r="H126" s="242"/>
      <c r="I126" s="525"/>
      <c r="J126" s="525"/>
      <c r="K126" s="525"/>
      <c r="L126" s="525"/>
      <c r="M126" s="242"/>
      <c r="N126" s="525"/>
      <c r="O126" s="525"/>
      <c r="P126" s="525"/>
      <c r="Q126" s="525"/>
      <c r="R126" s="242"/>
      <c r="S126" s="242"/>
      <c r="T126" s="242"/>
      <c r="U126" s="242"/>
      <c r="V126" s="242"/>
      <c r="W126" s="242"/>
      <c r="X126" s="242"/>
      <c r="Y126" s="242"/>
      <c r="Z126" s="242"/>
      <c r="AA126" s="242"/>
      <c r="AB126" s="242"/>
      <c r="AC126" s="242"/>
      <c r="AD126" s="242"/>
      <c r="AE126" s="242"/>
      <c r="AF126" s="242"/>
    </row>
    <row r="127">
      <c r="A127" s="242"/>
      <c r="B127" s="242"/>
      <c r="C127" s="242"/>
      <c r="D127" s="13"/>
      <c r="E127" s="525"/>
      <c r="F127" s="525"/>
      <c r="G127" s="525"/>
      <c r="H127" s="242"/>
      <c r="I127" s="525"/>
      <c r="J127" s="525"/>
      <c r="K127" s="525"/>
      <c r="L127" s="525"/>
      <c r="M127" s="242"/>
      <c r="N127" s="525"/>
      <c r="O127" s="525"/>
      <c r="P127" s="525"/>
      <c r="Q127" s="525"/>
      <c r="R127" s="242"/>
      <c r="S127" s="242"/>
      <c r="T127" s="242"/>
      <c r="U127" s="242"/>
      <c r="V127" s="242"/>
      <c r="W127" s="242"/>
      <c r="X127" s="242"/>
      <c r="Y127" s="242"/>
      <c r="Z127" s="242"/>
      <c r="AA127" s="242"/>
      <c r="AB127" s="242"/>
      <c r="AC127" s="242"/>
      <c r="AD127" s="242"/>
      <c r="AE127" s="242"/>
      <c r="AF127" s="242"/>
    </row>
    <row r="128">
      <c r="A128" s="242"/>
      <c r="B128" s="242"/>
      <c r="C128" s="242"/>
      <c r="D128" s="13"/>
      <c r="E128" s="525"/>
      <c r="F128" s="525"/>
      <c r="G128" s="525"/>
      <c r="H128" s="242"/>
      <c r="I128" s="525"/>
      <c r="J128" s="525"/>
      <c r="K128" s="525"/>
      <c r="L128" s="525"/>
      <c r="M128" s="242"/>
      <c r="N128" s="525"/>
      <c r="O128" s="525"/>
      <c r="P128" s="525"/>
      <c r="Q128" s="525"/>
      <c r="R128" s="242"/>
      <c r="S128" s="242"/>
      <c r="T128" s="242"/>
      <c r="U128" s="242"/>
      <c r="V128" s="242"/>
      <c r="W128" s="242"/>
      <c r="X128" s="242"/>
      <c r="Y128" s="242"/>
      <c r="Z128" s="242"/>
      <c r="AA128" s="242"/>
      <c r="AB128" s="242"/>
      <c r="AC128" s="242"/>
      <c r="AD128" s="242"/>
      <c r="AE128" s="242"/>
      <c r="AF128" s="242"/>
    </row>
    <row r="129">
      <c r="A129" s="242"/>
      <c r="B129" s="242"/>
      <c r="C129" s="242"/>
      <c r="D129" s="13"/>
      <c r="E129" s="525"/>
      <c r="F129" s="525"/>
      <c r="G129" s="525"/>
      <c r="H129" s="242"/>
      <c r="I129" s="525"/>
      <c r="J129" s="525"/>
      <c r="K129" s="525"/>
      <c r="L129" s="525"/>
      <c r="M129" s="242"/>
      <c r="N129" s="525"/>
      <c r="O129" s="525"/>
      <c r="P129" s="525"/>
      <c r="Q129" s="525"/>
      <c r="R129" s="242"/>
      <c r="S129" s="242"/>
      <c r="T129" s="242"/>
      <c r="U129" s="242"/>
      <c r="V129" s="242"/>
      <c r="W129" s="242"/>
      <c r="X129" s="242"/>
      <c r="Y129" s="242"/>
      <c r="Z129" s="242"/>
      <c r="AA129" s="242"/>
      <c r="AB129" s="242"/>
      <c r="AC129" s="242"/>
      <c r="AD129" s="242"/>
      <c r="AE129" s="242"/>
      <c r="AF129" s="242"/>
    </row>
    <row r="130">
      <c r="A130" s="242"/>
      <c r="B130" s="242"/>
      <c r="C130" s="242"/>
      <c r="D130" s="13"/>
      <c r="E130" s="525"/>
      <c r="F130" s="525"/>
      <c r="G130" s="525"/>
      <c r="H130" s="242"/>
      <c r="I130" s="525"/>
      <c r="J130" s="525"/>
      <c r="K130" s="525"/>
      <c r="L130" s="525"/>
      <c r="M130" s="242"/>
      <c r="N130" s="525"/>
      <c r="O130" s="525"/>
      <c r="P130" s="525"/>
      <c r="Q130" s="525"/>
      <c r="R130" s="242"/>
      <c r="S130" s="242"/>
      <c r="T130" s="242"/>
      <c r="U130" s="242"/>
      <c r="V130" s="242"/>
      <c r="W130" s="242"/>
      <c r="X130" s="242"/>
      <c r="Y130" s="242"/>
      <c r="Z130" s="242"/>
      <c r="AA130" s="242"/>
      <c r="AB130" s="242"/>
      <c r="AC130" s="242"/>
      <c r="AD130" s="242"/>
      <c r="AE130" s="242"/>
      <c r="AF130" s="242"/>
    </row>
    <row r="131">
      <c r="A131" s="242"/>
      <c r="B131" s="242"/>
      <c r="C131" s="242"/>
      <c r="D131" s="13"/>
      <c r="E131" s="525"/>
      <c r="F131" s="525"/>
      <c r="G131" s="525"/>
      <c r="H131" s="242"/>
      <c r="I131" s="525"/>
      <c r="J131" s="525"/>
      <c r="K131" s="525"/>
      <c r="L131" s="525"/>
      <c r="M131" s="242"/>
      <c r="N131" s="525"/>
      <c r="O131" s="525"/>
      <c r="P131" s="525"/>
      <c r="Q131" s="525"/>
      <c r="R131" s="242"/>
      <c r="S131" s="242"/>
      <c r="T131" s="242"/>
      <c r="U131" s="242"/>
      <c r="V131" s="242"/>
      <c r="W131" s="242"/>
      <c r="X131" s="242"/>
      <c r="Y131" s="242"/>
      <c r="Z131" s="242"/>
      <c r="AA131" s="242"/>
      <c r="AB131" s="242"/>
      <c r="AC131" s="242"/>
      <c r="AD131" s="242"/>
      <c r="AE131" s="242"/>
      <c r="AF131" s="242"/>
    </row>
    <row r="132">
      <c r="A132" s="242"/>
      <c r="B132" s="242"/>
      <c r="C132" s="242"/>
      <c r="D132" s="13"/>
      <c r="E132" s="525"/>
      <c r="F132" s="525"/>
      <c r="G132" s="525"/>
      <c r="H132" s="242"/>
      <c r="I132" s="525"/>
      <c r="J132" s="525"/>
      <c r="K132" s="525"/>
      <c r="L132" s="525"/>
      <c r="M132" s="242"/>
      <c r="N132" s="525"/>
      <c r="O132" s="525"/>
      <c r="P132" s="525"/>
      <c r="Q132" s="525"/>
      <c r="R132" s="242"/>
      <c r="S132" s="242"/>
      <c r="T132" s="242"/>
      <c r="U132" s="242"/>
      <c r="V132" s="242"/>
      <c r="W132" s="242"/>
      <c r="X132" s="242"/>
      <c r="Y132" s="242"/>
      <c r="Z132" s="242"/>
      <c r="AA132" s="242"/>
      <c r="AB132" s="242"/>
      <c r="AC132" s="242"/>
      <c r="AD132" s="242"/>
      <c r="AE132" s="242"/>
      <c r="AF132" s="242"/>
    </row>
    <row r="133">
      <c r="A133" s="242"/>
      <c r="B133" s="242"/>
      <c r="C133" s="242"/>
      <c r="D133" s="13"/>
      <c r="E133" s="525"/>
      <c r="F133" s="525"/>
      <c r="G133" s="525"/>
      <c r="H133" s="242"/>
      <c r="I133" s="525"/>
      <c r="J133" s="525"/>
      <c r="K133" s="525"/>
      <c r="L133" s="525"/>
      <c r="M133" s="242"/>
      <c r="N133" s="525"/>
      <c r="O133" s="525"/>
      <c r="P133" s="525"/>
      <c r="Q133" s="525"/>
      <c r="R133" s="242"/>
      <c r="S133" s="242"/>
      <c r="T133" s="242"/>
      <c r="U133" s="242"/>
      <c r="V133" s="242"/>
      <c r="W133" s="242"/>
      <c r="X133" s="242"/>
      <c r="Y133" s="242"/>
      <c r="Z133" s="242"/>
      <c r="AA133" s="242"/>
      <c r="AB133" s="242"/>
      <c r="AC133" s="242"/>
      <c r="AD133" s="242"/>
      <c r="AE133" s="242"/>
      <c r="AF133" s="242"/>
    </row>
    <row r="134">
      <c r="A134" s="242"/>
      <c r="B134" s="242"/>
      <c r="C134" s="242"/>
      <c r="D134" s="13"/>
      <c r="E134" s="525"/>
      <c r="F134" s="525"/>
      <c r="G134" s="525"/>
      <c r="H134" s="242"/>
      <c r="I134" s="525"/>
      <c r="J134" s="525"/>
      <c r="K134" s="525"/>
      <c r="L134" s="525"/>
      <c r="M134" s="242"/>
      <c r="N134" s="525"/>
      <c r="O134" s="525"/>
      <c r="P134" s="525"/>
      <c r="Q134" s="525"/>
      <c r="R134" s="242"/>
      <c r="S134" s="242"/>
      <c r="T134" s="242"/>
      <c r="U134" s="242"/>
      <c r="V134" s="242"/>
      <c r="W134" s="242"/>
      <c r="X134" s="242"/>
      <c r="Y134" s="242"/>
      <c r="Z134" s="242"/>
      <c r="AA134" s="242"/>
      <c r="AB134" s="242"/>
      <c r="AC134" s="242"/>
      <c r="AD134" s="242"/>
      <c r="AE134" s="242"/>
      <c r="AF134" s="242"/>
    </row>
    <row r="135">
      <c r="A135" s="242"/>
      <c r="B135" s="242"/>
      <c r="C135" s="242"/>
      <c r="D135" s="13"/>
      <c r="E135" s="525"/>
      <c r="F135" s="525"/>
      <c r="G135" s="525"/>
      <c r="H135" s="242"/>
      <c r="I135" s="525"/>
      <c r="J135" s="525"/>
      <c r="K135" s="525"/>
      <c r="L135" s="525"/>
      <c r="M135" s="242"/>
      <c r="N135" s="525"/>
      <c r="O135" s="525"/>
      <c r="P135" s="525"/>
      <c r="Q135" s="525"/>
      <c r="R135" s="242"/>
      <c r="S135" s="242"/>
      <c r="T135" s="242"/>
      <c r="U135" s="242"/>
      <c r="V135" s="242"/>
      <c r="W135" s="242"/>
      <c r="X135" s="242"/>
      <c r="Y135" s="242"/>
      <c r="Z135" s="242"/>
      <c r="AA135" s="242"/>
      <c r="AB135" s="242"/>
      <c r="AC135" s="242"/>
      <c r="AD135" s="242"/>
      <c r="AE135" s="242"/>
      <c r="AF135" s="242"/>
    </row>
    <row r="136">
      <c r="A136" s="242"/>
      <c r="B136" s="242"/>
      <c r="C136" s="242"/>
      <c r="D136" s="13"/>
      <c r="E136" s="525"/>
      <c r="F136" s="525"/>
      <c r="G136" s="525"/>
      <c r="H136" s="242"/>
      <c r="I136" s="525"/>
      <c r="J136" s="525"/>
      <c r="K136" s="525"/>
      <c r="L136" s="525"/>
      <c r="M136" s="242"/>
      <c r="N136" s="525"/>
      <c r="O136" s="525"/>
      <c r="P136" s="525"/>
      <c r="Q136" s="525"/>
      <c r="R136" s="242"/>
      <c r="S136" s="242"/>
      <c r="T136" s="242"/>
      <c r="U136" s="242"/>
      <c r="V136" s="242"/>
      <c r="W136" s="242"/>
      <c r="X136" s="242"/>
      <c r="Y136" s="242"/>
      <c r="Z136" s="242"/>
      <c r="AA136" s="242"/>
      <c r="AB136" s="242"/>
      <c r="AC136" s="242"/>
      <c r="AD136" s="242"/>
      <c r="AE136" s="242"/>
      <c r="AF136" s="242"/>
    </row>
    <row r="137">
      <c r="A137" s="242"/>
      <c r="B137" s="242"/>
      <c r="C137" s="242"/>
      <c r="D137" s="13"/>
      <c r="E137" s="525"/>
      <c r="F137" s="525"/>
      <c r="G137" s="525"/>
      <c r="H137" s="242"/>
      <c r="I137" s="525"/>
      <c r="J137" s="525"/>
      <c r="K137" s="525"/>
      <c r="L137" s="525"/>
      <c r="M137" s="242"/>
      <c r="N137" s="525"/>
      <c r="O137" s="525"/>
      <c r="P137" s="525"/>
      <c r="Q137" s="525"/>
      <c r="R137" s="242"/>
      <c r="S137" s="242"/>
      <c r="T137" s="242"/>
      <c r="U137" s="242"/>
      <c r="V137" s="242"/>
      <c r="W137" s="242"/>
      <c r="X137" s="242"/>
      <c r="Y137" s="242"/>
      <c r="Z137" s="242"/>
      <c r="AA137" s="242"/>
      <c r="AB137" s="242"/>
      <c r="AC137" s="242"/>
      <c r="AD137" s="242"/>
      <c r="AE137" s="242"/>
      <c r="AF137" s="242"/>
    </row>
    <row r="138">
      <c r="A138" s="242"/>
      <c r="B138" s="242"/>
      <c r="C138" s="242"/>
      <c r="D138" s="13"/>
      <c r="E138" s="525"/>
      <c r="F138" s="525"/>
      <c r="G138" s="525"/>
      <c r="H138" s="242"/>
      <c r="I138" s="525"/>
      <c r="J138" s="525"/>
      <c r="K138" s="525"/>
      <c r="L138" s="525"/>
      <c r="M138" s="242"/>
      <c r="N138" s="525"/>
      <c r="O138" s="525"/>
      <c r="P138" s="525"/>
      <c r="Q138" s="525"/>
      <c r="R138" s="242"/>
      <c r="S138" s="242"/>
      <c r="T138" s="242"/>
      <c r="U138" s="242"/>
      <c r="V138" s="242"/>
      <c r="W138" s="242"/>
      <c r="X138" s="242"/>
      <c r="Y138" s="242"/>
      <c r="Z138" s="242"/>
      <c r="AA138" s="242"/>
      <c r="AB138" s="242"/>
      <c r="AC138" s="242"/>
      <c r="AD138" s="242"/>
      <c r="AE138" s="242"/>
      <c r="AF138" s="242"/>
    </row>
    <row r="139">
      <c r="A139" s="242"/>
      <c r="B139" s="242"/>
      <c r="C139" s="242"/>
      <c r="D139" s="13"/>
      <c r="E139" s="525"/>
      <c r="F139" s="525"/>
      <c r="G139" s="525"/>
      <c r="H139" s="242"/>
      <c r="I139" s="525"/>
      <c r="J139" s="525"/>
      <c r="K139" s="525"/>
      <c r="L139" s="525"/>
      <c r="M139" s="242"/>
      <c r="N139" s="525"/>
      <c r="O139" s="525"/>
      <c r="P139" s="525"/>
      <c r="Q139" s="525"/>
      <c r="R139" s="242"/>
      <c r="S139" s="242"/>
      <c r="T139" s="242"/>
      <c r="U139" s="242"/>
      <c r="V139" s="242"/>
      <c r="W139" s="242"/>
      <c r="X139" s="242"/>
      <c r="Y139" s="242"/>
      <c r="Z139" s="242"/>
      <c r="AA139" s="242"/>
      <c r="AB139" s="242"/>
      <c r="AC139" s="242"/>
      <c r="AD139" s="242"/>
      <c r="AE139" s="242"/>
      <c r="AF139" s="242"/>
    </row>
    <row r="140">
      <c r="A140" s="242"/>
      <c r="B140" s="242"/>
      <c r="C140" s="242"/>
      <c r="D140" s="13"/>
      <c r="E140" s="525"/>
      <c r="F140" s="525"/>
      <c r="G140" s="525"/>
      <c r="H140" s="242"/>
      <c r="I140" s="525"/>
      <c r="J140" s="525"/>
      <c r="K140" s="525"/>
      <c r="L140" s="525"/>
      <c r="M140" s="242"/>
      <c r="N140" s="525"/>
      <c r="O140" s="525"/>
      <c r="P140" s="525"/>
      <c r="Q140" s="525"/>
      <c r="R140" s="242"/>
      <c r="S140" s="242"/>
      <c r="T140" s="242"/>
      <c r="U140" s="242"/>
      <c r="V140" s="242"/>
      <c r="W140" s="242"/>
      <c r="X140" s="242"/>
      <c r="Y140" s="242"/>
      <c r="Z140" s="242"/>
      <c r="AA140" s="242"/>
      <c r="AB140" s="242"/>
      <c r="AC140" s="242"/>
      <c r="AD140" s="242"/>
      <c r="AE140" s="242"/>
      <c r="AF140" s="242"/>
    </row>
    <row r="141">
      <c r="A141" s="242"/>
      <c r="B141" s="242"/>
      <c r="C141" s="242"/>
      <c r="D141" s="13"/>
      <c r="E141" s="525"/>
      <c r="F141" s="525"/>
      <c r="G141" s="525"/>
      <c r="H141" s="242"/>
      <c r="I141" s="525"/>
      <c r="J141" s="525"/>
      <c r="K141" s="525"/>
      <c r="L141" s="525"/>
      <c r="M141" s="242"/>
      <c r="N141" s="525"/>
      <c r="O141" s="525"/>
      <c r="P141" s="525"/>
      <c r="Q141" s="525"/>
      <c r="R141" s="242"/>
      <c r="S141" s="242"/>
      <c r="T141" s="242"/>
      <c r="U141" s="242"/>
      <c r="V141" s="242"/>
      <c r="W141" s="242"/>
      <c r="X141" s="242"/>
      <c r="Y141" s="242"/>
      <c r="Z141" s="242"/>
      <c r="AA141" s="242"/>
      <c r="AB141" s="242"/>
      <c r="AC141" s="242"/>
      <c r="AD141" s="242"/>
      <c r="AE141" s="242"/>
      <c r="AF141" s="242"/>
    </row>
    <row r="142">
      <c r="A142" s="242"/>
      <c r="B142" s="242"/>
      <c r="C142" s="242"/>
      <c r="D142" s="13"/>
      <c r="E142" s="525"/>
      <c r="F142" s="525"/>
      <c r="G142" s="525"/>
      <c r="H142" s="242"/>
      <c r="I142" s="525"/>
      <c r="J142" s="525"/>
      <c r="K142" s="525"/>
      <c r="L142" s="525"/>
      <c r="M142" s="242"/>
      <c r="N142" s="525"/>
      <c r="O142" s="525"/>
      <c r="P142" s="525"/>
      <c r="Q142" s="525"/>
      <c r="R142" s="242"/>
      <c r="S142" s="242"/>
      <c r="T142" s="242"/>
      <c r="U142" s="242"/>
      <c r="V142" s="242"/>
      <c r="W142" s="242"/>
      <c r="X142" s="242"/>
      <c r="Y142" s="242"/>
      <c r="Z142" s="242"/>
      <c r="AA142" s="242"/>
      <c r="AB142" s="242"/>
      <c r="AC142" s="242"/>
      <c r="AD142" s="242"/>
      <c r="AE142" s="242"/>
      <c r="AF142" s="242"/>
    </row>
    <row r="143">
      <c r="A143" s="242"/>
      <c r="B143" s="242"/>
      <c r="C143" s="242"/>
      <c r="D143" s="13"/>
      <c r="E143" s="525"/>
      <c r="F143" s="525"/>
      <c r="G143" s="525"/>
      <c r="H143" s="242"/>
      <c r="I143" s="525"/>
      <c r="J143" s="525"/>
      <c r="K143" s="525"/>
      <c r="L143" s="525"/>
      <c r="M143" s="242"/>
      <c r="N143" s="525"/>
      <c r="O143" s="525"/>
      <c r="P143" s="525"/>
      <c r="Q143" s="525"/>
      <c r="R143" s="242"/>
      <c r="S143" s="242"/>
      <c r="T143" s="242"/>
      <c r="U143" s="242"/>
      <c r="V143" s="242"/>
      <c r="W143" s="242"/>
      <c r="X143" s="242"/>
      <c r="Y143" s="242"/>
      <c r="Z143" s="242"/>
      <c r="AA143" s="242"/>
      <c r="AB143" s="242"/>
      <c r="AC143" s="242"/>
      <c r="AD143" s="242"/>
      <c r="AE143" s="242"/>
      <c r="AF143" s="242"/>
    </row>
    <row r="144">
      <c r="A144" s="242"/>
      <c r="B144" s="242"/>
      <c r="C144" s="242"/>
      <c r="D144" s="13"/>
      <c r="E144" s="525"/>
      <c r="F144" s="525"/>
      <c r="G144" s="525"/>
      <c r="H144" s="242"/>
      <c r="I144" s="525"/>
      <c r="J144" s="525"/>
      <c r="K144" s="525"/>
      <c r="L144" s="525"/>
      <c r="M144" s="242"/>
      <c r="N144" s="525"/>
      <c r="O144" s="525"/>
      <c r="P144" s="525"/>
      <c r="Q144" s="525"/>
      <c r="R144" s="242"/>
      <c r="S144" s="242"/>
      <c r="T144" s="242"/>
      <c r="U144" s="242"/>
      <c r="V144" s="242"/>
      <c r="W144" s="242"/>
      <c r="X144" s="242"/>
      <c r="Y144" s="242"/>
      <c r="Z144" s="242"/>
      <c r="AA144" s="242"/>
      <c r="AB144" s="242"/>
      <c r="AC144" s="242"/>
      <c r="AD144" s="242"/>
      <c r="AE144" s="242"/>
      <c r="AF144" s="242"/>
    </row>
    <row r="145">
      <c r="A145" s="242"/>
      <c r="B145" s="242"/>
      <c r="C145" s="242"/>
      <c r="D145" s="13"/>
      <c r="E145" s="525"/>
      <c r="F145" s="525"/>
      <c r="G145" s="525"/>
      <c r="H145" s="242"/>
      <c r="I145" s="525"/>
      <c r="J145" s="525"/>
      <c r="K145" s="525"/>
      <c r="L145" s="525"/>
      <c r="M145" s="242"/>
      <c r="N145" s="525"/>
      <c r="O145" s="525"/>
      <c r="P145" s="525"/>
      <c r="Q145" s="525"/>
      <c r="R145" s="242"/>
      <c r="S145" s="242"/>
      <c r="T145" s="242"/>
      <c r="U145" s="242"/>
      <c r="V145" s="242"/>
      <c r="W145" s="242"/>
      <c r="X145" s="242"/>
      <c r="Y145" s="242"/>
      <c r="Z145" s="242"/>
      <c r="AA145" s="242"/>
      <c r="AB145" s="242"/>
      <c r="AC145" s="242"/>
      <c r="AD145" s="242"/>
      <c r="AE145" s="242"/>
      <c r="AF145" s="242"/>
    </row>
    <row r="146">
      <c r="A146" s="242"/>
      <c r="B146" s="242"/>
      <c r="C146" s="242"/>
      <c r="D146" s="13"/>
      <c r="E146" s="525"/>
      <c r="F146" s="525"/>
      <c r="G146" s="525"/>
      <c r="H146" s="242"/>
      <c r="I146" s="525"/>
      <c r="J146" s="525"/>
      <c r="K146" s="525"/>
      <c r="L146" s="525"/>
      <c r="M146" s="242"/>
      <c r="N146" s="525"/>
      <c r="O146" s="525"/>
      <c r="P146" s="525"/>
      <c r="Q146" s="525"/>
      <c r="R146" s="242"/>
      <c r="S146" s="242"/>
      <c r="T146" s="242"/>
      <c r="U146" s="242"/>
      <c r="V146" s="242"/>
      <c r="W146" s="242"/>
      <c r="X146" s="242"/>
      <c r="Y146" s="242"/>
      <c r="Z146" s="242"/>
      <c r="AA146" s="242"/>
      <c r="AB146" s="242"/>
      <c r="AC146" s="242"/>
      <c r="AD146" s="242"/>
      <c r="AE146" s="242"/>
      <c r="AF146" s="242"/>
    </row>
    <row r="147">
      <c r="A147" s="242"/>
      <c r="B147" s="242"/>
      <c r="C147" s="242"/>
      <c r="D147" s="13"/>
      <c r="E147" s="525"/>
      <c r="F147" s="525"/>
      <c r="G147" s="525"/>
      <c r="H147" s="242"/>
      <c r="I147" s="525"/>
      <c r="J147" s="525"/>
      <c r="K147" s="525"/>
      <c r="L147" s="525"/>
      <c r="M147" s="242"/>
      <c r="N147" s="525"/>
      <c r="O147" s="525"/>
      <c r="P147" s="525"/>
      <c r="Q147" s="525"/>
      <c r="R147" s="242"/>
      <c r="S147" s="242"/>
      <c r="T147" s="242"/>
      <c r="U147" s="242"/>
      <c r="V147" s="242"/>
      <c r="W147" s="242"/>
      <c r="X147" s="242"/>
      <c r="Y147" s="242"/>
      <c r="Z147" s="242"/>
      <c r="AA147" s="242"/>
      <c r="AB147" s="242"/>
      <c r="AC147" s="242"/>
      <c r="AD147" s="242"/>
      <c r="AE147" s="242"/>
      <c r="AF147" s="242"/>
    </row>
    <row r="148">
      <c r="A148" s="242"/>
      <c r="B148" s="242"/>
      <c r="C148" s="242"/>
      <c r="D148" s="13"/>
      <c r="E148" s="525"/>
      <c r="F148" s="525"/>
      <c r="G148" s="525"/>
      <c r="H148" s="242"/>
      <c r="I148" s="525"/>
      <c r="J148" s="525"/>
      <c r="K148" s="525"/>
      <c r="L148" s="525"/>
      <c r="M148" s="242"/>
      <c r="N148" s="525"/>
      <c r="O148" s="525"/>
      <c r="P148" s="525"/>
      <c r="Q148" s="525"/>
      <c r="R148" s="242"/>
      <c r="S148" s="242"/>
      <c r="T148" s="242"/>
      <c r="U148" s="242"/>
      <c r="V148" s="242"/>
      <c r="W148" s="242"/>
      <c r="X148" s="242"/>
      <c r="Y148" s="242"/>
      <c r="Z148" s="242"/>
      <c r="AA148" s="242"/>
      <c r="AB148" s="242"/>
      <c r="AC148" s="242"/>
      <c r="AD148" s="242"/>
      <c r="AE148" s="242"/>
      <c r="AF148" s="242"/>
    </row>
    <row r="149">
      <c r="A149" s="242"/>
      <c r="B149" s="242"/>
      <c r="C149" s="242"/>
      <c r="D149" s="13"/>
      <c r="E149" s="525"/>
      <c r="F149" s="525"/>
      <c r="G149" s="525"/>
      <c r="H149" s="242"/>
      <c r="I149" s="525"/>
      <c r="J149" s="525"/>
      <c r="K149" s="525"/>
      <c r="L149" s="525"/>
      <c r="M149" s="242"/>
      <c r="N149" s="525"/>
      <c r="O149" s="525"/>
      <c r="P149" s="525"/>
      <c r="Q149" s="525"/>
      <c r="R149" s="242"/>
      <c r="S149" s="242"/>
      <c r="T149" s="242"/>
      <c r="U149" s="242"/>
      <c r="V149" s="242"/>
      <c r="W149" s="242"/>
      <c r="X149" s="242"/>
      <c r="Y149" s="242"/>
      <c r="Z149" s="242"/>
      <c r="AA149" s="242"/>
      <c r="AB149" s="242"/>
      <c r="AC149" s="242"/>
      <c r="AD149" s="242"/>
      <c r="AE149" s="242"/>
      <c r="AF149" s="242"/>
    </row>
    <row r="150">
      <c r="A150" s="242"/>
      <c r="B150" s="242"/>
      <c r="C150" s="242"/>
      <c r="D150" s="13"/>
      <c r="E150" s="525"/>
      <c r="F150" s="525"/>
      <c r="G150" s="525"/>
      <c r="H150" s="242"/>
      <c r="I150" s="525"/>
      <c r="J150" s="525"/>
      <c r="K150" s="525"/>
      <c r="L150" s="525"/>
      <c r="M150" s="242"/>
      <c r="N150" s="525"/>
      <c r="O150" s="525"/>
      <c r="P150" s="525"/>
      <c r="Q150" s="525"/>
      <c r="R150" s="242"/>
      <c r="S150" s="242"/>
      <c r="T150" s="242"/>
      <c r="U150" s="242"/>
      <c r="V150" s="242"/>
      <c r="W150" s="242"/>
      <c r="X150" s="242"/>
      <c r="Y150" s="242"/>
      <c r="Z150" s="242"/>
      <c r="AA150" s="242"/>
      <c r="AB150" s="242"/>
      <c r="AC150" s="242"/>
      <c r="AD150" s="242"/>
      <c r="AE150" s="242"/>
      <c r="AF150" s="242"/>
    </row>
    <row r="151">
      <c r="A151" s="242"/>
      <c r="B151" s="242"/>
      <c r="C151" s="242"/>
      <c r="D151" s="13"/>
      <c r="E151" s="525"/>
      <c r="F151" s="525"/>
      <c r="G151" s="525"/>
      <c r="H151" s="242"/>
      <c r="I151" s="525"/>
      <c r="J151" s="525"/>
      <c r="K151" s="525"/>
      <c r="L151" s="525"/>
      <c r="M151" s="242"/>
      <c r="N151" s="525"/>
      <c r="O151" s="525"/>
      <c r="P151" s="525"/>
      <c r="Q151" s="525"/>
      <c r="R151" s="242"/>
      <c r="S151" s="242"/>
      <c r="T151" s="242"/>
      <c r="U151" s="242"/>
      <c r="V151" s="242"/>
      <c r="W151" s="242"/>
      <c r="X151" s="242"/>
      <c r="Y151" s="242"/>
      <c r="Z151" s="242"/>
      <c r="AA151" s="242"/>
      <c r="AB151" s="242"/>
      <c r="AC151" s="242"/>
      <c r="AD151" s="242"/>
      <c r="AE151" s="242"/>
      <c r="AF151" s="242"/>
    </row>
    <row r="152">
      <c r="A152" s="242"/>
      <c r="B152" s="242"/>
      <c r="C152" s="242"/>
      <c r="D152" s="13"/>
      <c r="E152" s="525"/>
      <c r="F152" s="525"/>
      <c r="G152" s="525"/>
      <c r="H152" s="242"/>
      <c r="I152" s="525"/>
      <c r="J152" s="525"/>
      <c r="K152" s="525"/>
      <c r="L152" s="525"/>
      <c r="M152" s="242"/>
      <c r="N152" s="525"/>
      <c r="O152" s="525"/>
      <c r="P152" s="525"/>
      <c r="Q152" s="525"/>
      <c r="R152" s="242"/>
      <c r="S152" s="242"/>
      <c r="T152" s="242"/>
      <c r="U152" s="242"/>
      <c r="V152" s="242"/>
      <c r="W152" s="242"/>
      <c r="X152" s="242"/>
      <c r="Y152" s="242"/>
      <c r="Z152" s="242"/>
      <c r="AA152" s="242"/>
      <c r="AB152" s="242"/>
      <c r="AC152" s="242"/>
      <c r="AD152" s="242"/>
      <c r="AE152" s="242"/>
      <c r="AF152" s="242"/>
    </row>
    <row r="153">
      <c r="A153" s="242"/>
      <c r="B153" s="242"/>
      <c r="C153" s="242"/>
      <c r="D153" s="13"/>
      <c r="E153" s="525"/>
      <c r="F153" s="525"/>
      <c r="G153" s="525"/>
      <c r="H153" s="242"/>
      <c r="I153" s="525"/>
      <c r="J153" s="525"/>
      <c r="K153" s="525"/>
      <c r="L153" s="525"/>
      <c r="M153" s="242"/>
      <c r="N153" s="525"/>
      <c r="O153" s="525"/>
      <c r="P153" s="525"/>
      <c r="Q153" s="525"/>
      <c r="R153" s="242"/>
      <c r="S153" s="242"/>
      <c r="T153" s="242"/>
      <c r="U153" s="242"/>
      <c r="V153" s="242"/>
      <c r="W153" s="242"/>
      <c r="X153" s="242"/>
      <c r="Y153" s="242"/>
      <c r="Z153" s="242"/>
      <c r="AA153" s="242"/>
      <c r="AB153" s="242"/>
      <c r="AC153" s="242"/>
      <c r="AD153" s="242"/>
      <c r="AE153" s="242"/>
      <c r="AF153" s="242"/>
    </row>
    <row r="154">
      <c r="A154" s="242"/>
      <c r="B154" s="242"/>
      <c r="C154" s="242"/>
      <c r="D154" s="13"/>
      <c r="E154" s="525"/>
      <c r="F154" s="525"/>
      <c r="G154" s="525"/>
      <c r="H154" s="242"/>
      <c r="I154" s="525"/>
      <c r="J154" s="525"/>
      <c r="K154" s="525"/>
      <c r="L154" s="525"/>
      <c r="M154" s="242"/>
      <c r="N154" s="525"/>
      <c r="O154" s="525"/>
      <c r="P154" s="525"/>
      <c r="Q154" s="525"/>
      <c r="R154" s="242"/>
      <c r="S154" s="242"/>
      <c r="T154" s="242"/>
      <c r="U154" s="242"/>
      <c r="V154" s="242"/>
      <c r="W154" s="242"/>
      <c r="X154" s="242"/>
      <c r="Y154" s="242"/>
      <c r="Z154" s="242"/>
      <c r="AA154" s="242"/>
      <c r="AB154" s="242"/>
      <c r="AC154" s="242"/>
      <c r="AD154" s="242"/>
      <c r="AE154" s="242"/>
      <c r="AF154" s="242"/>
    </row>
    <row r="155">
      <c r="A155" s="242"/>
      <c r="B155" s="242"/>
      <c r="C155" s="242"/>
      <c r="D155" s="13"/>
      <c r="E155" s="525"/>
      <c r="F155" s="525"/>
      <c r="G155" s="525"/>
      <c r="H155" s="242"/>
      <c r="I155" s="525"/>
      <c r="J155" s="525"/>
      <c r="K155" s="525"/>
      <c r="L155" s="525"/>
      <c r="M155" s="242"/>
      <c r="N155" s="525"/>
      <c r="O155" s="525"/>
      <c r="P155" s="525"/>
      <c r="Q155" s="525"/>
      <c r="R155" s="242"/>
      <c r="S155" s="242"/>
      <c r="T155" s="242"/>
      <c r="U155" s="242"/>
      <c r="V155" s="242"/>
      <c r="W155" s="242"/>
      <c r="X155" s="242"/>
      <c r="Y155" s="242"/>
      <c r="Z155" s="242"/>
      <c r="AA155" s="242"/>
      <c r="AB155" s="242"/>
      <c r="AC155" s="242"/>
      <c r="AD155" s="242"/>
      <c r="AE155" s="242"/>
      <c r="AF155" s="242"/>
    </row>
    <row r="156">
      <c r="A156" s="242"/>
      <c r="B156" s="242"/>
      <c r="C156" s="242"/>
      <c r="D156" s="13"/>
      <c r="E156" s="525"/>
      <c r="F156" s="525"/>
      <c r="G156" s="525"/>
      <c r="H156" s="242"/>
      <c r="I156" s="525"/>
      <c r="J156" s="525"/>
      <c r="K156" s="525"/>
      <c r="L156" s="525"/>
      <c r="M156" s="242"/>
      <c r="N156" s="525"/>
      <c r="O156" s="525"/>
      <c r="P156" s="525"/>
      <c r="Q156" s="525"/>
      <c r="R156" s="242"/>
      <c r="S156" s="242"/>
      <c r="T156" s="242"/>
      <c r="U156" s="242"/>
      <c r="V156" s="242"/>
      <c r="W156" s="242"/>
      <c r="X156" s="242"/>
      <c r="Y156" s="242"/>
      <c r="Z156" s="242"/>
      <c r="AA156" s="242"/>
      <c r="AB156" s="242"/>
      <c r="AC156" s="242"/>
      <c r="AD156" s="242"/>
      <c r="AE156" s="242"/>
      <c r="AF156" s="242"/>
    </row>
    <row r="157">
      <c r="A157" s="242"/>
      <c r="B157" s="242"/>
      <c r="C157" s="242"/>
      <c r="D157" s="13"/>
      <c r="E157" s="525"/>
      <c r="F157" s="525"/>
      <c r="G157" s="525"/>
      <c r="H157" s="242"/>
      <c r="I157" s="525"/>
      <c r="J157" s="525"/>
      <c r="K157" s="525"/>
      <c r="L157" s="525"/>
      <c r="M157" s="242"/>
      <c r="N157" s="525"/>
      <c r="O157" s="525"/>
      <c r="P157" s="525"/>
      <c r="Q157" s="525"/>
      <c r="R157" s="242"/>
      <c r="S157" s="242"/>
      <c r="T157" s="242"/>
      <c r="U157" s="242"/>
      <c r="V157" s="242"/>
      <c r="W157" s="242"/>
      <c r="X157" s="242"/>
      <c r="Y157" s="242"/>
      <c r="Z157" s="242"/>
      <c r="AA157" s="242"/>
      <c r="AB157" s="242"/>
      <c r="AC157" s="242"/>
      <c r="AD157" s="242"/>
      <c r="AE157" s="242"/>
      <c r="AF157" s="242"/>
    </row>
    <row r="158">
      <c r="A158" s="242"/>
      <c r="B158" s="242"/>
      <c r="C158" s="242"/>
      <c r="D158" s="13"/>
      <c r="E158" s="525"/>
      <c r="F158" s="525"/>
      <c r="G158" s="525"/>
      <c r="H158" s="242"/>
      <c r="I158" s="525"/>
      <c r="J158" s="525"/>
      <c r="K158" s="525"/>
      <c r="L158" s="525"/>
      <c r="M158" s="242"/>
      <c r="N158" s="525"/>
      <c r="O158" s="525"/>
      <c r="P158" s="525"/>
      <c r="Q158" s="525"/>
      <c r="R158" s="242"/>
      <c r="S158" s="242"/>
      <c r="T158" s="242"/>
      <c r="U158" s="242"/>
      <c r="V158" s="242"/>
      <c r="W158" s="242"/>
      <c r="X158" s="242"/>
      <c r="Y158" s="242"/>
      <c r="Z158" s="242"/>
      <c r="AA158" s="242"/>
      <c r="AB158" s="242"/>
      <c r="AC158" s="242"/>
      <c r="AD158" s="242"/>
      <c r="AE158" s="242"/>
      <c r="AF158" s="242"/>
    </row>
    <row r="159">
      <c r="A159" s="242"/>
      <c r="B159" s="242"/>
      <c r="C159" s="242"/>
      <c r="D159" s="13"/>
      <c r="E159" s="525"/>
      <c r="F159" s="525"/>
      <c r="G159" s="525"/>
      <c r="H159" s="242"/>
      <c r="I159" s="525"/>
      <c r="J159" s="525"/>
      <c r="K159" s="525"/>
      <c r="L159" s="525"/>
      <c r="M159" s="242"/>
      <c r="N159" s="525"/>
      <c r="O159" s="525"/>
      <c r="P159" s="525"/>
      <c r="Q159" s="525"/>
      <c r="R159" s="242"/>
      <c r="S159" s="242"/>
      <c r="T159" s="242"/>
      <c r="U159" s="242"/>
      <c r="V159" s="242"/>
      <c r="W159" s="242"/>
      <c r="X159" s="242"/>
      <c r="Y159" s="242"/>
      <c r="Z159" s="242"/>
      <c r="AA159" s="242"/>
      <c r="AB159" s="242"/>
      <c r="AC159" s="242"/>
      <c r="AD159" s="242"/>
      <c r="AE159" s="242"/>
      <c r="AF159" s="242"/>
    </row>
    <row r="160">
      <c r="A160" s="242"/>
      <c r="B160" s="242"/>
      <c r="C160" s="242"/>
      <c r="D160" s="13"/>
      <c r="E160" s="525"/>
      <c r="F160" s="525"/>
      <c r="G160" s="525"/>
      <c r="H160" s="242"/>
      <c r="I160" s="525"/>
      <c r="J160" s="525"/>
      <c r="K160" s="525"/>
      <c r="L160" s="525"/>
      <c r="M160" s="242"/>
      <c r="N160" s="525"/>
      <c r="O160" s="525"/>
      <c r="P160" s="525"/>
      <c r="Q160" s="525"/>
      <c r="R160" s="242"/>
      <c r="S160" s="242"/>
      <c r="T160" s="242"/>
      <c r="U160" s="242"/>
      <c r="V160" s="242"/>
      <c r="W160" s="242"/>
      <c r="X160" s="242"/>
      <c r="Y160" s="242"/>
      <c r="Z160" s="242"/>
      <c r="AA160" s="242"/>
      <c r="AB160" s="242"/>
      <c r="AC160" s="242"/>
      <c r="AD160" s="242"/>
      <c r="AE160" s="242"/>
      <c r="AF160" s="242"/>
    </row>
    <row r="161">
      <c r="A161" s="242"/>
      <c r="B161" s="242"/>
      <c r="C161" s="242"/>
      <c r="D161" s="13"/>
      <c r="E161" s="525"/>
      <c r="F161" s="525"/>
      <c r="G161" s="525"/>
      <c r="H161" s="242"/>
      <c r="I161" s="525"/>
      <c r="J161" s="525"/>
      <c r="K161" s="525"/>
      <c r="L161" s="525"/>
      <c r="M161" s="242"/>
      <c r="N161" s="525"/>
      <c r="O161" s="525"/>
      <c r="P161" s="525"/>
      <c r="Q161" s="525"/>
      <c r="R161" s="242"/>
      <c r="S161" s="242"/>
      <c r="T161" s="242"/>
      <c r="U161" s="242"/>
      <c r="V161" s="242"/>
      <c r="W161" s="242"/>
      <c r="X161" s="242"/>
      <c r="Y161" s="242"/>
      <c r="Z161" s="242"/>
      <c r="AA161" s="242"/>
      <c r="AB161" s="242"/>
      <c r="AC161" s="242"/>
      <c r="AD161" s="242"/>
      <c r="AE161" s="242"/>
      <c r="AF161" s="242"/>
    </row>
    <row r="162">
      <c r="A162" s="242"/>
      <c r="B162" s="242"/>
      <c r="C162" s="242"/>
      <c r="D162" s="13"/>
      <c r="E162" s="525"/>
      <c r="F162" s="525"/>
      <c r="G162" s="525"/>
      <c r="H162" s="242"/>
      <c r="I162" s="525"/>
      <c r="J162" s="525"/>
      <c r="K162" s="525"/>
      <c r="L162" s="525"/>
      <c r="M162" s="242"/>
      <c r="N162" s="525"/>
      <c r="O162" s="525"/>
      <c r="P162" s="525"/>
      <c r="Q162" s="525"/>
      <c r="R162" s="242"/>
      <c r="S162" s="242"/>
      <c r="T162" s="242"/>
      <c r="U162" s="242"/>
      <c r="V162" s="242"/>
      <c r="W162" s="242"/>
      <c r="X162" s="242"/>
      <c r="Y162" s="242"/>
      <c r="Z162" s="242"/>
      <c r="AA162" s="242"/>
      <c r="AB162" s="242"/>
      <c r="AC162" s="242"/>
      <c r="AD162" s="242"/>
      <c r="AE162" s="242"/>
      <c r="AF162" s="242"/>
    </row>
    <row r="163">
      <c r="A163" s="242"/>
      <c r="B163" s="242"/>
      <c r="C163" s="242"/>
      <c r="D163" s="13"/>
      <c r="E163" s="525"/>
      <c r="F163" s="525"/>
      <c r="G163" s="525"/>
      <c r="H163" s="242"/>
      <c r="I163" s="525"/>
      <c r="J163" s="525"/>
      <c r="K163" s="525"/>
      <c r="L163" s="525"/>
      <c r="M163" s="242"/>
      <c r="N163" s="525"/>
      <c r="O163" s="525"/>
      <c r="P163" s="525"/>
      <c r="Q163" s="525"/>
      <c r="R163" s="242"/>
      <c r="S163" s="242"/>
      <c r="T163" s="242"/>
      <c r="U163" s="242"/>
      <c r="V163" s="242"/>
      <c r="W163" s="242"/>
      <c r="X163" s="242"/>
      <c r="Y163" s="242"/>
      <c r="Z163" s="242"/>
      <c r="AA163" s="242"/>
      <c r="AB163" s="242"/>
      <c r="AC163" s="242"/>
      <c r="AD163" s="242"/>
      <c r="AE163" s="242"/>
      <c r="AF163" s="242"/>
    </row>
    <row r="164">
      <c r="A164" s="242"/>
      <c r="B164" s="242"/>
      <c r="C164" s="242"/>
      <c r="D164" s="13"/>
      <c r="E164" s="525"/>
      <c r="F164" s="525"/>
      <c r="G164" s="525"/>
      <c r="H164" s="242"/>
      <c r="I164" s="525"/>
      <c r="J164" s="525"/>
      <c r="K164" s="525"/>
      <c r="L164" s="525"/>
      <c r="M164" s="242"/>
      <c r="N164" s="525"/>
      <c r="O164" s="525"/>
      <c r="P164" s="525"/>
      <c r="Q164" s="525"/>
      <c r="R164" s="242"/>
      <c r="S164" s="242"/>
      <c r="T164" s="242"/>
      <c r="U164" s="242"/>
      <c r="V164" s="242"/>
      <c r="W164" s="242"/>
      <c r="X164" s="242"/>
      <c r="Y164" s="242"/>
      <c r="Z164" s="242"/>
      <c r="AA164" s="242"/>
      <c r="AB164" s="242"/>
      <c r="AC164" s="242"/>
      <c r="AD164" s="242"/>
      <c r="AE164" s="242"/>
      <c r="AF164" s="242"/>
    </row>
    <row r="165">
      <c r="A165" s="242"/>
      <c r="B165" s="242"/>
      <c r="C165" s="242"/>
      <c r="D165" s="13"/>
      <c r="E165" s="525"/>
      <c r="F165" s="525"/>
      <c r="G165" s="525"/>
      <c r="H165" s="242"/>
      <c r="I165" s="525"/>
      <c r="J165" s="525"/>
      <c r="K165" s="525"/>
      <c r="L165" s="525"/>
      <c r="M165" s="242"/>
      <c r="N165" s="525"/>
      <c r="O165" s="525"/>
      <c r="P165" s="525"/>
      <c r="Q165" s="525"/>
      <c r="R165" s="242"/>
      <c r="S165" s="242"/>
      <c r="T165" s="242"/>
      <c r="U165" s="242"/>
      <c r="V165" s="242"/>
      <c r="W165" s="242"/>
      <c r="X165" s="242"/>
      <c r="Y165" s="242"/>
      <c r="Z165" s="242"/>
      <c r="AA165" s="242"/>
      <c r="AB165" s="242"/>
      <c r="AC165" s="242"/>
      <c r="AD165" s="242"/>
      <c r="AE165" s="242"/>
      <c r="AF165" s="242"/>
    </row>
    <row r="166">
      <c r="A166" s="242"/>
      <c r="B166" s="242"/>
      <c r="C166" s="242"/>
      <c r="D166" s="13"/>
      <c r="E166" s="525"/>
      <c r="F166" s="525"/>
      <c r="G166" s="525"/>
      <c r="H166" s="242"/>
      <c r="I166" s="525"/>
      <c r="J166" s="525"/>
      <c r="K166" s="525"/>
      <c r="L166" s="525"/>
      <c r="M166" s="242"/>
      <c r="N166" s="525"/>
      <c r="O166" s="525"/>
      <c r="P166" s="525"/>
      <c r="Q166" s="525"/>
      <c r="R166" s="242"/>
      <c r="S166" s="242"/>
      <c r="T166" s="242"/>
      <c r="U166" s="242"/>
      <c r="V166" s="242"/>
      <c r="W166" s="242"/>
      <c r="X166" s="242"/>
      <c r="Y166" s="242"/>
      <c r="Z166" s="242"/>
      <c r="AA166" s="242"/>
      <c r="AB166" s="242"/>
      <c r="AC166" s="242"/>
      <c r="AD166" s="242"/>
      <c r="AE166" s="242"/>
      <c r="AF166" s="242"/>
    </row>
    <row r="167">
      <c r="A167" s="242"/>
      <c r="B167" s="242"/>
      <c r="C167" s="242"/>
      <c r="D167" s="13"/>
      <c r="E167" s="525"/>
      <c r="F167" s="525"/>
      <c r="G167" s="525"/>
      <c r="H167" s="242"/>
      <c r="I167" s="525"/>
      <c r="J167" s="525"/>
      <c r="K167" s="525"/>
      <c r="L167" s="525"/>
      <c r="M167" s="242"/>
      <c r="N167" s="525"/>
      <c r="O167" s="525"/>
      <c r="P167" s="525"/>
      <c r="Q167" s="525"/>
      <c r="R167" s="242"/>
      <c r="S167" s="242"/>
      <c r="T167" s="242"/>
      <c r="U167" s="242"/>
      <c r="V167" s="242"/>
      <c r="W167" s="242"/>
      <c r="X167" s="242"/>
      <c r="Y167" s="242"/>
      <c r="Z167" s="242"/>
      <c r="AA167" s="242"/>
      <c r="AB167" s="242"/>
      <c r="AC167" s="242"/>
      <c r="AD167" s="242"/>
      <c r="AE167" s="242"/>
      <c r="AF167" s="242"/>
    </row>
    <row r="168">
      <c r="A168" s="242"/>
      <c r="B168" s="242"/>
      <c r="C168" s="242"/>
      <c r="D168" s="13"/>
      <c r="E168" s="525"/>
      <c r="F168" s="525"/>
      <c r="G168" s="525"/>
      <c r="H168" s="242"/>
      <c r="I168" s="525"/>
      <c r="J168" s="525"/>
      <c r="K168" s="525"/>
      <c r="L168" s="525"/>
      <c r="M168" s="242"/>
      <c r="N168" s="525"/>
      <c r="O168" s="525"/>
      <c r="P168" s="525"/>
      <c r="Q168" s="525"/>
      <c r="R168" s="242"/>
      <c r="S168" s="242"/>
      <c r="T168" s="242"/>
      <c r="U168" s="242"/>
      <c r="V168" s="242"/>
      <c r="W168" s="242"/>
      <c r="X168" s="242"/>
      <c r="Y168" s="242"/>
      <c r="Z168" s="242"/>
      <c r="AA168" s="242"/>
      <c r="AB168" s="242"/>
      <c r="AC168" s="242"/>
      <c r="AD168" s="242"/>
      <c r="AE168" s="242"/>
      <c r="AF168" s="242"/>
    </row>
    <row r="169">
      <c r="A169" s="242"/>
      <c r="B169" s="242"/>
      <c r="C169" s="242"/>
      <c r="D169" s="13"/>
      <c r="E169" s="525"/>
      <c r="F169" s="525"/>
      <c r="G169" s="525"/>
      <c r="H169" s="242"/>
      <c r="I169" s="525"/>
      <c r="J169" s="525"/>
      <c r="K169" s="525"/>
      <c r="L169" s="525"/>
      <c r="M169" s="242"/>
      <c r="N169" s="525"/>
      <c r="O169" s="525"/>
      <c r="P169" s="525"/>
      <c r="Q169" s="525"/>
      <c r="R169" s="242"/>
      <c r="S169" s="242"/>
      <c r="T169" s="242"/>
      <c r="U169" s="242"/>
      <c r="V169" s="242"/>
      <c r="W169" s="242"/>
      <c r="X169" s="242"/>
      <c r="Y169" s="242"/>
      <c r="Z169" s="242"/>
      <c r="AA169" s="242"/>
      <c r="AB169" s="242"/>
      <c r="AC169" s="242"/>
      <c r="AD169" s="242"/>
      <c r="AE169" s="242"/>
      <c r="AF169" s="242"/>
    </row>
    <row r="170">
      <c r="A170" s="242"/>
      <c r="B170" s="242"/>
      <c r="C170" s="242"/>
      <c r="D170" s="13"/>
      <c r="E170" s="525"/>
      <c r="F170" s="525"/>
      <c r="G170" s="525"/>
      <c r="H170" s="242"/>
      <c r="I170" s="525"/>
      <c r="J170" s="525"/>
      <c r="K170" s="525"/>
      <c r="L170" s="525"/>
      <c r="M170" s="242"/>
      <c r="N170" s="525"/>
      <c r="O170" s="525"/>
      <c r="P170" s="525"/>
      <c r="Q170" s="525"/>
      <c r="R170" s="242"/>
      <c r="S170" s="242"/>
      <c r="T170" s="242"/>
      <c r="U170" s="242"/>
      <c r="V170" s="242"/>
      <c r="W170" s="242"/>
      <c r="X170" s="242"/>
      <c r="Y170" s="242"/>
      <c r="Z170" s="242"/>
      <c r="AA170" s="242"/>
      <c r="AB170" s="242"/>
      <c r="AC170" s="242"/>
      <c r="AD170" s="242"/>
      <c r="AE170" s="242"/>
      <c r="AF170" s="242"/>
    </row>
    <row r="171">
      <c r="A171" s="242"/>
      <c r="B171" s="242"/>
      <c r="C171" s="242"/>
      <c r="D171" s="13"/>
      <c r="E171" s="525"/>
      <c r="F171" s="525"/>
      <c r="G171" s="525"/>
      <c r="H171" s="242"/>
      <c r="I171" s="525"/>
      <c r="J171" s="525"/>
      <c r="K171" s="525"/>
      <c r="L171" s="525"/>
      <c r="M171" s="242"/>
      <c r="N171" s="525"/>
      <c r="O171" s="525"/>
      <c r="P171" s="525"/>
      <c r="Q171" s="525"/>
      <c r="R171" s="242"/>
      <c r="S171" s="242"/>
      <c r="T171" s="242"/>
      <c r="U171" s="242"/>
      <c r="V171" s="242"/>
      <c r="W171" s="242"/>
      <c r="X171" s="242"/>
      <c r="Y171" s="242"/>
      <c r="Z171" s="242"/>
      <c r="AA171" s="242"/>
      <c r="AB171" s="242"/>
      <c r="AC171" s="242"/>
      <c r="AD171" s="242"/>
      <c r="AE171" s="242"/>
      <c r="AF171" s="242"/>
    </row>
    <row r="172">
      <c r="A172" s="242"/>
      <c r="B172" s="242"/>
      <c r="C172" s="242"/>
      <c r="D172" s="13"/>
      <c r="E172" s="525"/>
      <c r="F172" s="525"/>
      <c r="G172" s="525"/>
      <c r="H172" s="242"/>
      <c r="I172" s="525"/>
      <c r="J172" s="525"/>
      <c r="K172" s="525"/>
      <c r="L172" s="525"/>
      <c r="M172" s="242"/>
      <c r="N172" s="525"/>
      <c r="O172" s="525"/>
      <c r="P172" s="525"/>
      <c r="Q172" s="525"/>
      <c r="R172" s="242"/>
      <c r="S172" s="242"/>
      <c r="T172" s="242"/>
      <c r="U172" s="242"/>
      <c r="V172" s="242"/>
      <c r="W172" s="242"/>
      <c r="X172" s="242"/>
      <c r="Y172" s="242"/>
      <c r="Z172" s="242"/>
      <c r="AA172" s="242"/>
      <c r="AB172" s="242"/>
      <c r="AC172" s="242"/>
      <c r="AD172" s="242"/>
      <c r="AE172" s="242"/>
      <c r="AF172" s="242"/>
    </row>
    <row r="173">
      <c r="A173" s="242"/>
      <c r="B173" s="242"/>
      <c r="C173" s="242"/>
      <c r="D173" s="13"/>
      <c r="E173" s="525"/>
      <c r="F173" s="525"/>
      <c r="G173" s="525"/>
      <c r="H173" s="242"/>
      <c r="I173" s="525"/>
      <c r="J173" s="525"/>
      <c r="K173" s="525"/>
      <c r="L173" s="525"/>
      <c r="M173" s="242"/>
      <c r="N173" s="525"/>
      <c r="O173" s="525"/>
      <c r="P173" s="525"/>
      <c r="Q173" s="525"/>
      <c r="R173" s="242"/>
      <c r="S173" s="242"/>
      <c r="T173" s="242"/>
      <c r="U173" s="242"/>
      <c r="V173" s="242"/>
      <c r="W173" s="242"/>
      <c r="X173" s="242"/>
      <c r="Y173" s="242"/>
      <c r="Z173" s="242"/>
      <c r="AA173" s="242"/>
      <c r="AB173" s="242"/>
      <c r="AC173" s="242"/>
      <c r="AD173" s="242"/>
      <c r="AE173" s="242"/>
      <c r="AF173" s="242"/>
    </row>
    <row r="174">
      <c r="A174" s="242"/>
      <c r="B174" s="242"/>
      <c r="C174" s="242"/>
      <c r="D174" s="13"/>
      <c r="E174" s="525"/>
      <c r="F174" s="525"/>
      <c r="G174" s="525"/>
      <c r="H174" s="242"/>
      <c r="I174" s="525"/>
      <c r="J174" s="525"/>
      <c r="K174" s="525"/>
      <c r="L174" s="525"/>
      <c r="M174" s="242"/>
      <c r="N174" s="525"/>
      <c r="O174" s="525"/>
      <c r="P174" s="525"/>
      <c r="Q174" s="525"/>
      <c r="R174" s="242"/>
      <c r="S174" s="242"/>
      <c r="T174" s="242"/>
      <c r="U174" s="242"/>
      <c r="V174" s="242"/>
      <c r="W174" s="242"/>
      <c r="X174" s="242"/>
      <c r="Y174" s="242"/>
      <c r="Z174" s="242"/>
      <c r="AA174" s="242"/>
      <c r="AB174" s="242"/>
      <c r="AC174" s="242"/>
      <c r="AD174" s="242"/>
      <c r="AE174" s="242"/>
      <c r="AF174" s="242"/>
    </row>
    <row r="175">
      <c r="A175" s="242"/>
      <c r="B175" s="242"/>
      <c r="C175" s="242"/>
      <c r="D175" s="13"/>
      <c r="E175" s="525"/>
      <c r="F175" s="525"/>
      <c r="G175" s="525"/>
      <c r="H175" s="242"/>
      <c r="I175" s="525"/>
      <c r="J175" s="525"/>
      <c r="K175" s="525"/>
      <c r="L175" s="525"/>
      <c r="M175" s="242"/>
      <c r="N175" s="525"/>
      <c r="O175" s="525"/>
      <c r="P175" s="525"/>
      <c r="Q175" s="525"/>
      <c r="R175" s="242"/>
      <c r="S175" s="242"/>
      <c r="T175" s="242"/>
      <c r="U175" s="242"/>
      <c r="V175" s="242"/>
      <c r="W175" s="242"/>
      <c r="X175" s="242"/>
      <c r="Y175" s="242"/>
      <c r="Z175" s="242"/>
      <c r="AA175" s="242"/>
      <c r="AB175" s="242"/>
      <c r="AC175" s="242"/>
      <c r="AD175" s="242"/>
      <c r="AE175" s="242"/>
      <c r="AF175" s="242"/>
    </row>
    <row r="176">
      <c r="A176" s="242"/>
      <c r="B176" s="242"/>
      <c r="C176" s="242"/>
      <c r="D176" s="13"/>
      <c r="E176" s="525"/>
      <c r="F176" s="525"/>
      <c r="G176" s="525"/>
      <c r="H176" s="242"/>
      <c r="I176" s="525"/>
      <c r="J176" s="525"/>
      <c r="K176" s="525"/>
      <c r="L176" s="525"/>
      <c r="M176" s="242"/>
      <c r="N176" s="525"/>
      <c r="O176" s="525"/>
      <c r="P176" s="525"/>
      <c r="Q176" s="525"/>
      <c r="R176" s="242"/>
      <c r="S176" s="242"/>
      <c r="T176" s="242"/>
      <c r="U176" s="242"/>
      <c r="V176" s="242"/>
      <c r="W176" s="242"/>
      <c r="X176" s="242"/>
      <c r="Y176" s="242"/>
      <c r="Z176" s="242"/>
      <c r="AA176" s="242"/>
      <c r="AB176" s="242"/>
      <c r="AC176" s="242"/>
      <c r="AD176" s="242"/>
      <c r="AE176" s="242"/>
      <c r="AF176" s="242"/>
    </row>
    <row r="177">
      <c r="A177" s="242"/>
      <c r="B177" s="242"/>
      <c r="C177" s="242"/>
      <c r="D177" s="13"/>
      <c r="E177" s="525"/>
      <c r="F177" s="525"/>
      <c r="G177" s="525"/>
      <c r="H177" s="242"/>
      <c r="I177" s="525"/>
      <c r="J177" s="525"/>
      <c r="K177" s="525"/>
      <c r="L177" s="525"/>
      <c r="M177" s="242"/>
      <c r="N177" s="525"/>
      <c r="O177" s="525"/>
      <c r="P177" s="525"/>
      <c r="Q177" s="525"/>
      <c r="R177" s="242"/>
      <c r="S177" s="242"/>
      <c r="T177" s="242"/>
      <c r="U177" s="242"/>
      <c r="V177" s="242"/>
      <c r="W177" s="242"/>
      <c r="X177" s="242"/>
      <c r="Y177" s="242"/>
      <c r="Z177" s="242"/>
      <c r="AA177" s="242"/>
      <c r="AB177" s="242"/>
      <c r="AC177" s="242"/>
      <c r="AD177" s="242"/>
      <c r="AE177" s="242"/>
      <c r="AF177" s="242"/>
    </row>
    <row r="178">
      <c r="A178" s="242"/>
      <c r="B178" s="242"/>
      <c r="C178" s="242"/>
      <c r="D178" s="13"/>
      <c r="E178" s="525"/>
      <c r="F178" s="525"/>
      <c r="G178" s="525"/>
      <c r="H178" s="242"/>
      <c r="I178" s="525"/>
      <c r="J178" s="525"/>
      <c r="K178" s="525"/>
      <c r="L178" s="525"/>
      <c r="M178" s="242"/>
      <c r="N178" s="525"/>
      <c r="O178" s="525"/>
      <c r="P178" s="525"/>
      <c r="Q178" s="525"/>
      <c r="R178" s="242"/>
      <c r="S178" s="242"/>
      <c r="T178" s="242"/>
      <c r="U178" s="242"/>
      <c r="V178" s="242"/>
      <c r="W178" s="242"/>
      <c r="X178" s="242"/>
      <c r="Y178" s="242"/>
      <c r="Z178" s="242"/>
      <c r="AA178" s="242"/>
      <c r="AB178" s="242"/>
      <c r="AC178" s="242"/>
      <c r="AD178" s="242"/>
      <c r="AE178" s="242"/>
      <c r="AF178" s="242"/>
    </row>
    <row r="179">
      <c r="A179" s="242"/>
      <c r="B179" s="242"/>
      <c r="C179" s="242"/>
      <c r="D179" s="13"/>
      <c r="E179" s="525"/>
      <c r="F179" s="525"/>
      <c r="G179" s="525"/>
      <c r="H179" s="242"/>
      <c r="I179" s="525"/>
      <c r="J179" s="525"/>
      <c r="K179" s="525"/>
      <c r="L179" s="525"/>
      <c r="M179" s="242"/>
      <c r="N179" s="525"/>
      <c r="O179" s="525"/>
      <c r="P179" s="525"/>
      <c r="Q179" s="525"/>
      <c r="R179" s="242"/>
      <c r="S179" s="242"/>
      <c r="T179" s="242"/>
      <c r="U179" s="242"/>
      <c r="V179" s="242"/>
      <c r="W179" s="242"/>
      <c r="X179" s="242"/>
      <c r="Y179" s="242"/>
      <c r="Z179" s="242"/>
      <c r="AA179" s="242"/>
      <c r="AB179" s="242"/>
      <c r="AC179" s="242"/>
      <c r="AD179" s="242"/>
      <c r="AE179" s="242"/>
      <c r="AF179" s="242"/>
    </row>
    <row r="180">
      <c r="A180" s="242"/>
      <c r="B180" s="242"/>
      <c r="C180" s="242"/>
      <c r="D180" s="13"/>
      <c r="E180" s="525"/>
      <c r="F180" s="525"/>
      <c r="G180" s="525"/>
      <c r="H180" s="242"/>
      <c r="I180" s="525"/>
      <c r="J180" s="525"/>
      <c r="K180" s="525"/>
      <c r="L180" s="525"/>
      <c r="M180" s="242"/>
      <c r="N180" s="525"/>
      <c r="O180" s="525"/>
      <c r="P180" s="525"/>
      <c r="Q180" s="525"/>
      <c r="R180" s="242"/>
      <c r="S180" s="242"/>
      <c r="T180" s="242"/>
      <c r="U180" s="242"/>
      <c r="V180" s="242"/>
      <c r="W180" s="242"/>
      <c r="X180" s="242"/>
      <c r="Y180" s="242"/>
      <c r="Z180" s="242"/>
      <c r="AA180" s="242"/>
      <c r="AB180" s="242"/>
      <c r="AC180" s="242"/>
      <c r="AD180" s="242"/>
      <c r="AE180" s="242"/>
      <c r="AF180" s="242"/>
    </row>
    <row r="181">
      <c r="A181" s="242"/>
      <c r="B181" s="242"/>
      <c r="C181" s="242"/>
      <c r="D181" s="13"/>
      <c r="E181" s="525"/>
      <c r="F181" s="525"/>
      <c r="G181" s="525"/>
      <c r="H181" s="242"/>
      <c r="I181" s="525"/>
      <c r="J181" s="525"/>
      <c r="K181" s="525"/>
      <c r="L181" s="525"/>
      <c r="M181" s="242"/>
      <c r="N181" s="525"/>
      <c r="O181" s="525"/>
      <c r="P181" s="525"/>
      <c r="Q181" s="525"/>
      <c r="R181" s="242"/>
      <c r="S181" s="242"/>
      <c r="T181" s="242"/>
      <c r="U181" s="242"/>
      <c r="V181" s="242"/>
      <c r="W181" s="242"/>
      <c r="X181" s="242"/>
      <c r="Y181" s="242"/>
      <c r="Z181" s="242"/>
      <c r="AA181" s="242"/>
      <c r="AB181" s="242"/>
      <c r="AC181" s="242"/>
      <c r="AD181" s="242"/>
      <c r="AE181" s="242"/>
      <c r="AF181" s="242"/>
    </row>
    <row r="182">
      <c r="A182" s="242"/>
      <c r="B182" s="242"/>
      <c r="C182" s="242"/>
      <c r="D182" s="13"/>
      <c r="E182" s="525"/>
      <c r="F182" s="525"/>
      <c r="G182" s="525"/>
      <c r="H182" s="242"/>
      <c r="I182" s="525"/>
      <c r="J182" s="525"/>
      <c r="K182" s="525"/>
      <c r="L182" s="525"/>
      <c r="M182" s="242"/>
      <c r="N182" s="525"/>
      <c r="O182" s="525"/>
      <c r="P182" s="525"/>
      <c r="Q182" s="525"/>
      <c r="R182" s="242"/>
      <c r="S182" s="242"/>
      <c r="T182" s="242"/>
      <c r="U182" s="242"/>
      <c r="V182" s="242"/>
      <c r="W182" s="242"/>
      <c r="X182" s="242"/>
      <c r="Y182" s="242"/>
      <c r="Z182" s="242"/>
      <c r="AA182" s="242"/>
      <c r="AB182" s="242"/>
      <c r="AC182" s="242"/>
      <c r="AD182" s="242"/>
      <c r="AE182" s="242"/>
      <c r="AF182" s="242"/>
    </row>
    <row r="183">
      <c r="A183" s="242"/>
      <c r="B183" s="242"/>
      <c r="C183" s="242"/>
      <c r="D183" s="13"/>
      <c r="E183" s="525"/>
      <c r="F183" s="525"/>
      <c r="G183" s="525"/>
      <c r="H183" s="242"/>
      <c r="I183" s="525"/>
      <c r="J183" s="525"/>
      <c r="K183" s="525"/>
      <c r="L183" s="525"/>
      <c r="M183" s="242"/>
      <c r="N183" s="525"/>
      <c r="O183" s="525"/>
      <c r="P183" s="525"/>
      <c r="Q183" s="525"/>
      <c r="R183" s="242"/>
      <c r="S183" s="242"/>
      <c r="T183" s="242"/>
      <c r="U183" s="242"/>
      <c r="V183" s="242"/>
      <c r="W183" s="242"/>
      <c r="X183" s="242"/>
      <c r="Y183" s="242"/>
      <c r="Z183" s="242"/>
      <c r="AA183" s="242"/>
      <c r="AB183" s="242"/>
      <c r="AC183" s="242"/>
      <c r="AD183" s="242"/>
      <c r="AE183" s="242"/>
      <c r="AF183" s="242"/>
    </row>
    <row r="184">
      <c r="A184" s="242"/>
      <c r="B184" s="242"/>
      <c r="C184" s="242"/>
      <c r="D184" s="13"/>
      <c r="E184" s="525"/>
      <c r="F184" s="525"/>
      <c r="G184" s="525"/>
      <c r="H184" s="242"/>
      <c r="I184" s="525"/>
      <c r="J184" s="525"/>
      <c r="K184" s="525"/>
      <c r="L184" s="525"/>
      <c r="M184" s="242"/>
      <c r="N184" s="525"/>
      <c r="O184" s="525"/>
      <c r="P184" s="525"/>
      <c r="Q184" s="525"/>
      <c r="R184" s="242"/>
      <c r="S184" s="242"/>
      <c r="T184" s="242"/>
      <c r="U184" s="242"/>
      <c r="V184" s="242"/>
      <c r="W184" s="242"/>
      <c r="X184" s="242"/>
      <c r="Y184" s="242"/>
      <c r="Z184" s="242"/>
      <c r="AA184" s="242"/>
      <c r="AB184" s="242"/>
      <c r="AC184" s="242"/>
      <c r="AD184" s="242"/>
      <c r="AE184" s="242"/>
      <c r="AF184" s="242"/>
    </row>
    <row r="185">
      <c r="A185" s="242"/>
      <c r="B185" s="242"/>
      <c r="C185" s="242"/>
      <c r="D185" s="13"/>
      <c r="E185" s="525"/>
      <c r="F185" s="525"/>
      <c r="G185" s="525"/>
      <c r="H185" s="242"/>
      <c r="I185" s="525"/>
      <c r="J185" s="525"/>
      <c r="K185" s="525"/>
      <c r="L185" s="525"/>
      <c r="M185" s="242"/>
      <c r="N185" s="525"/>
      <c r="O185" s="525"/>
      <c r="P185" s="525"/>
      <c r="Q185" s="525"/>
      <c r="R185" s="242"/>
      <c r="S185" s="242"/>
      <c r="T185" s="242"/>
      <c r="U185" s="242"/>
      <c r="V185" s="242"/>
      <c r="W185" s="242"/>
      <c r="X185" s="242"/>
      <c r="Y185" s="242"/>
      <c r="Z185" s="242"/>
      <c r="AA185" s="242"/>
      <c r="AB185" s="242"/>
      <c r="AC185" s="242"/>
      <c r="AD185" s="242"/>
      <c r="AE185" s="242"/>
      <c r="AF185" s="242"/>
    </row>
    <row r="186">
      <c r="A186" s="242"/>
      <c r="B186" s="242"/>
      <c r="C186" s="242"/>
      <c r="D186" s="13"/>
      <c r="E186" s="525"/>
      <c r="F186" s="525"/>
      <c r="G186" s="525"/>
      <c r="H186" s="242"/>
      <c r="I186" s="525"/>
      <c r="J186" s="525"/>
      <c r="K186" s="525"/>
      <c r="L186" s="525"/>
      <c r="M186" s="242"/>
      <c r="N186" s="525"/>
      <c r="O186" s="525"/>
      <c r="P186" s="525"/>
      <c r="Q186" s="525"/>
      <c r="R186" s="242"/>
      <c r="S186" s="242"/>
      <c r="T186" s="242"/>
      <c r="U186" s="242"/>
      <c r="V186" s="242"/>
      <c r="W186" s="242"/>
      <c r="X186" s="242"/>
      <c r="Y186" s="242"/>
      <c r="Z186" s="242"/>
      <c r="AA186" s="242"/>
      <c r="AB186" s="242"/>
      <c r="AC186" s="242"/>
      <c r="AD186" s="242"/>
      <c r="AE186" s="242"/>
      <c r="AF186" s="242"/>
    </row>
    <row r="187">
      <c r="A187" s="242"/>
      <c r="B187" s="242"/>
      <c r="C187" s="242"/>
      <c r="D187" s="13"/>
      <c r="E187" s="525"/>
      <c r="F187" s="525"/>
      <c r="G187" s="525"/>
      <c r="H187" s="242"/>
      <c r="I187" s="525"/>
      <c r="J187" s="525"/>
      <c r="K187" s="525"/>
      <c r="L187" s="525"/>
      <c r="M187" s="242"/>
      <c r="N187" s="525"/>
      <c r="O187" s="525"/>
      <c r="P187" s="525"/>
      <c r="Q187" s="525"/>
      <c r="R187" s="242"/>
      <c r="S187" s="242"/>
      <c r="T187" s="242"/>
      <c r="U187" s="242"/>
      <c r="V187" s="242"/>
      <c r="W187" s="242"/>
      <c r="X187" s="242"/>
      <c r="Y187" s="242"/>
      <c r="Z187" s="242"/>
      <c r="AA187" s="242"/>
      <c r="AB187" s="242"/>
      <c r="AC187" s="242"/>
      <c r="AD187" s="242"/>
      <c r="AE187" s="242"/>
      <c r="AF187" s="242"/>
    </row>
    <row r="188">
      <c r="A188" s="242"/>
      <c r="B188" s="242"/>
      <c r="C188" s="242"/>
      <c r="D188" s="13"/>
      <c r="E188" s="525"/>
      <c r="F188" s="525"/>
      <c r="G188" s="525"/>
      <c r="H188" s="242"/>
      <c r="I188" s="525"/>
      <c r="J188" s="525"/>
      <c r="K188" s="525"/>
      <c r="L188" s="525"/>
      <c r="M188" s="242"/>
      <c r="N188" s="525"/>
      <c r="O188" s="525"/>
      <c r="P188" s="525"/>
      <c r="Q188" s="525"/>
      <c r="R188" s="242"/>
      <c r="S188" s="242"/>
      <c r="T188" s="242"/>
      <c r="U188" s="242"/>
      <c r="V188" s="242"/>
      <c r="W188" s="242"/>
      <c r="X188" s="242"/>
      <c r="Y188" s="242"/>
      <c r="Z188" s="242"/>
      <c r="AA188" s="242"/>
      <c r="AB188" s="242"/>
      <c r="AC188" s="242"/>
      <c r="AD188" s="242"/>
      <c r="AE188" s="242"/>
      <c r="AF188" s="242"/>
    </row>
    <row r="189">
      <c r="A189" s="242"/>
      <c r="B189" s="242"/>
      <c r="C189" s="242"/>
      <c r="D189" s="13"/>
      <c r="E189" s="525"/>
      <c r="F189" s="525"/>
      <c r="G189" s="525"/>
      <c r="H189" s="242"/>
      <c r="I189" s="525"/>
      <c r="J189" s="525"/>
      <c r="K189" s="525"/>
      <c r="L189" s="525"/>
      <c r="M189" s="242"/>
      <c r="N189" s="525"/>
      <c r="O189" s="525"/>
      <c r="P189" s="525"/>
      <c r="Q189" s="525"/>
      <c r="R189" s="242"/>
      <c r="S189" s="242"/>
      <c r="T189" s="242"/>
      <c r="U189" s="242"/>
      <c r="V189" s="242"/>
      <c r="W189" s="242"/>
      <c r="X189" s="242"/>
      <c r="Y189" s="242"/>
      <c r="Z189" s="242"/>
      <c r="AA189" s="242"/>
      <c r="AB189" s="242"/>
      <c r="AC189" s="242"/>
      <c r="AD189" s="242"/>
      <c r="AE189" s="242"/>
      <c r="AF189" s="242"/>
    </row>
    <row r="190">
      <c r="A190" s="242"/>
      <c r="B190" s="242"/>
      <c r="C190" s="242"/>
      <c r="D190" s="13"/>
      <c r="E190" s="525"/>
      <c r="F190" s="525"/>
      <c r="G190" s="525"/>
      <c r="H190" s="242"/>
      <c r="I190" s="525"/>
      <c r="J190" s="525"/>
      <c r="K190" s="525"/>
      <c r="L190" s="525"/>
      <c r="M190" s="242"/>
      <c r="N190" s="525"/>
      <c r="O190" s="525"/>
      <c r="P190" s="525"/>
      <c r="Q190" s="525"/>
      <c r="R190" s="242"/>
      <c r="S190" s="242"/>
      <c r="T190" s="242"/>
      <c r="U190" s="242"/>
      <c r="V190" s="242"/>
      <c r="W190" s="242"/>
      <c r="X190" s="242"/>
      <c r="Y190" s="242"/>
      <c r="Z190" s="242"/>
      <c r="AA190" s="242"/>
      <c r="AB190" s="242"/>
      <c r="AC190" s="242"/>
      <c r="AD190" s="242"/>
      <c r="AE190" s="242"/>
      <c r="AF190" s="242"/>
    </row>
    <row r="191">
      <c r="A191" s="242"/>
      <c r="B191" s="242"/>
      <c r="C191" s="242"/>
      <c r="D191" s="13"/>
      <c r="E191" s="525"/>
      <c r="F191" s="525"/>
      <c r="G191" s="525"/>
      <c r="H191" s="242"/>
      <c r="I191" s="525"/>
      <c r="J191" s="525"/>
      <c r="K191" s="525"/>
      <c r="L191" s="525"/>
      <c r="M191" s="242"/>
      <c r="N191" s="525"/>
      <c r="O191" s="525"/>
      <c r="P191" s="525"/>
      <c r="Q191" s="525"/>
      <c r="R191" s="242"/>
      <c r="S191" s="242"/>
      <c r="T191" s="242"/>
      <c r="U191" s="242"/>
      <c r="V191" s="242"/>
      <c r="W191" s="242"/>
      <c r="X191" s="242"/>
      <c r="Y191" s="242"/>
      <c r="Z191" s="242"/>
      <c r="AA191" s="242"/>
      <c r="AB191" s="242"/>
      <c r="AC191" s="242"/>
      <c r="AD191" s="242"/>
      <c r="AE191" s="242"/>
      <c r="AF191" s="242"/>
    </row>
    <row r="192">
      <c r="A192" s="242"/>
      <c r="B192" s="242"/>
      <c r="C192" s="242"/>
      <c r="D192" s="13"/>
      <c r="E192" s="525"/>
      <c r="F192" s="525"/>
      <c r="G192" s="525"/>
      <c r="H192" s="242"/>
      <c r="I192" s="525"/>
      <c r="J192" s="525"/>
      <c r="K192" s="525"/>
      <c r="L192" s="525"/>
      <c r="M192" s="242"/>
      <c r="N192" s="525"/>
      <c r="O192" s="525"/>
      <c r="P192" s="525"/>
      <c r="Q192" s="525"/>
      <c r="R192" s="242"/>
      <c r="S192" s="242"/>
      <c r="T192" s="242"/>
      <c r="U192" s="242"/>
      <c r="V192" s="242"/>
      <c r="W192" s="242"/>
      <c r="X192" s="242"/>
      <c r="Y192" s="242"/>
      <c r="Z192" s="242"/>
      <c r="AA192" s="242"/>
      <c r="AB192" s="242"/>
      <c r="AC192" s="242"/>
      <c r="AD192" s="242"/>
      <c r="AE192" s="242"/>
      <c r="AF192" s="242"/>
    </row>
    <row r="193">
      <c r="A193" s="242"/>
      <c r="B193" s="242"/>
      <c r="C193" s="242"/>
      <c r="D193" s="13"/>
      <c r="E193" s="525"/>
      <c r="F193" s="525"/>
      <c r="G193" s="525"/>
      <c r="H193" s="242"/>
      <c r="I193" s="525"/>
      <c r="J193" s="525"/>
      <c r="K193" s="525"/>
      <c r="L193" s="525"/>
      <c r="M193" s="242"/>
      <c r="N193" s="525"/>
      <c r="O193" s="525"/>
      <c r="P193" s="525"/>
      <c r="Q193" s="525"/>
      <c r="R193" s="242"/>
      <c r="S193" s="242"/>
      <c r="T193" s="242"/>
      <c r="U193" s="242"/>
      <c r="V193" s="242"/>
      <c r="W193" s="242"/>
      <c r="X193" s="242"/>
      <c r="Y193" s="242"/>
      <c r="Z193" s="242"/>
      <c r="AA193" s="242"/>
      <c r="AB193" s="242"/>
      <c r="AC193" s="242"/>
      <c r="AD193" s="242"/>
      <c r="AE193" s="242"/>
      <c r="AF193" s="242"/>
    </row>
    <row r="194">
      <c r="A194" s="242"/>
      <c r="B194" s="242"/>
      <c r="C194" s="242"/>
      <c r="D194" s="13"/>
      <c r="E194" s="525"/>
      <c r="F194" s="525"/>
      <c r="G194" s="525"/>
      <c r="H194" s="242"/>
      <c r="I194" s="525"/>
      <c r="J194" s="525"/>
      <c r="K194" s="525"/>
      <c r="L194" s="525"/>
      <c r="M194" s="242"/>
      <c r="N194" s="525"/>
      <c r="O194" s="525"/>
      <c r="P194" s="525"/>
      <c r="Q194" s="525"/>
      <c r="R194" s="242"/>
      <c r="S194" s="242"/>
      <c r="T194" s="242"/>
      <c r="U194" s="242"/>
      <c r="V194" s="242"/>
      <c r="W194" s="242"/>
      <c r="X194" s="242"/>
      <c r="Y194" s="242"/>
      <c r="Z194" s="242"/>
      <c r="AA194" s="242"/>
      <c r="AB194" s="242"/>
      <c r="AC194" s="242"/>
      <c r="AD194" s="242"/>
      <c r="AE194" s="242"/>
      <c r="AF194" s="242"/>
    </row>
    <row r="195">
      <c r="A195" s="242"/>
      <c r="B195" s="242"/>
      <c r="C195" s="242"/>
      <c r="D195" s="13"/>
      <c r="E195" s="525"/>
      <c r="F195" s="525"/>
      <c r="G195" s="525"/>
      <c r="H195" s="242"/>
      <c r="I195" s="525"/>
      <c r="J195" s="525"/>
      <c r="K195" s="525"/>
      <c r="L195" s="525"/>
      <c r="M195" s="242"/>
      <c r="N195" s="525"/>
      <c r="O195" s="525"/>
      <c r="P195" s="525"/>
      <c r="Q195" s="525"/>
      <c r="R195" s="242"/>
      <c r="S195" s="242"/>
      <c r="T195" s="242"/>
      <c r="U195" s="242"/>
      <c r="V195" s="242"/>
      <c r="W195" s="242"/>
      <c r="X195" s="242"/>
      <c r="Y195" s="242"/>
      <c r="Z195" s="242"/>
      <c r="AA195" s="242"/>
      <c r="AB195" s="242"/>
      <c r="AC195" s="242"/>
      <c r="AD195" s="242"/>
      <c r="AE195" s="242"/>
      <c r="AF195" s="242"/>
    </row>
    <row r="196">
      <c r="A196" s="242"/>
      <c r="B196" s="242"/>
      <c r="C196" s="242"/>
      <c r="D196" s="13"/>
      <c r="E196" s="525"/>
      <c r="F196" s="525"/>
      <c r="G196" s="525"/>
      <c r="H196" s="242"/>
      <c r="I196" s="525"/>
      <c r="J196" s="525"/>
      <c r="K196" s="525"/>
      <c r="L196" s="525"/>
      <c r="M196" s="242"/>
      <c r="N196" s="525"/>
      <c r="O196" s="525"/>
      <c r="P196" s="525"/>
      <c r="Q196" s="525"/>
      <c r="R196" s="242"/>
      <c r="S196" s="242"/>
      <c r="T196" s="242"/>
      <c r="U196" s="242"/>
      <c r="V196" s="242"/>
      <c r="W196" s="242"/>
      <c r="X196" s="242"/>
      <c r="Y196" s="242"/>
      <c r="Z196" s="242"/>
      <c r="AA196" s="242"/>
      <c r="AB196" s="242"/>
      <c r="AC196" s="242"/>
      <c r="AD196" s="242"/>
      <c r="AE196" s="242"/>
      <c r="AF196" s="242"/>
    </row>
    <row r="197">
      <c r="A197" s="242"/>
      <c r="B197" s="242"/>
      <c r="C197" s="242"/>
      <c r="D197" s="13"/>
      <c r="E197" s="525"/>
      <c r="F197" s="525"/>
      <c r="G197" s="525"/>
      <c r="H197" s="242"/>
      <c r="I197" s="525"/>
      <c r="J197" s="525"/>
      <c r="K197" s="525"/>
      <c r="L197" s="525"/>
      <c r="M197" s="242"/>
      <c r="N197" s="525"/>
      <c r="O197" s="525"/>
      <c r="P197" s="525"/>
      <c r="Q197" s="525"/>
      <c r="R197" s="242"/>
      <c r="S197" s="242"/>
      <c r="T197" s="242"/>
      <c r="U197" s="242"/>
      <c r="V197" s="242"/>
      <c r="W197" s="242"/>
      <c r="X197" s="242"/>
      <c r="Y197" s="242"/>
      <c r="Z197" s="242"/>
      <c r="AA197" s="242"/>
      <c r="AB197" s="242"/>
      <c r="AC197" s="242"/>
      <c r="AD197" s="242"/>
      <c r="AE197" s="242"/>
      <c r="AF197" s="242"/>
    </row>
    <row r="198">
      <c r="A198" s="242"/>
      <c r="B198" s="242"/>
      <c r="C198" s="242"/>
      <c r="D198" s="13"/>
      <c r="E198" s="525"/>
      <c r="F198" s="525"/>
      <c r="G198" s="525"/>
      <c r="H198" s="242"/>
      <c r="I198" s="525"/>
      <c r="J198" s="525"/>
      <c r="K198" s="525"/>
      <c r="L198" s="525"/>
      <c r="M198" s="242"/>
      <c r="N198" s="525"/>
      <c r="O198" s="525"/>
      <c r="P198" s="525"/>
      <c r="Q198" s="525"/>
      <c r="R198" s="242"/>
      <c r="S198" s="242"/>
      <c r="T198" s="242"/>
      <c r="U198" s="242"/>
      <c r="V198" s="242"/>
      <c r="W198" s="242"/>
      <c r="X198" s="242"/>
      <c r="Y198" s="242"/>
      <c r="Z198" s="242"/>
      <c r="AA198" s="242"/>
      <c r="AB198" s="242"/>
      <c r="AC198" s="242"/>
      <c r="AD198" s="242"/>
      <c r="AE198" s="242"/>
      <c r="AF198" s="242"/>
    </row>
    <row r="199">
      <c r="A199" s="242"/>
      <c r="B199" s="242"/>
      <c r="C199" s="242"/>
      <c r="D199" s="13"/>
      <c r="E199" s="525"/>
      <c r="F199" s="525"/>
      <c r="G199" s="525"/>
      <c r="H199" s="242"/>
      <c r="I199" s="525"/>
      <c r="J199" s="525"/>
      <c r="K199" s="525"/>
      <c r="L199" s="525"/>
      <c r="M199" s="242"/>
      <c r="N199" s="525"/>
      <c r="O199" s="525"/>
      <c r="P199" s="525"/>
      <c r="Q199" s="525"/>
      <c r="R199" s="242"/>
      <c r="S199" s="242"/>
      <c r="T199" s="242"/>
      <c r="U199" s="242"/>
      <c r="V199" s="242"/>
      <c r="W199" s="242"/>
      <c r="X199" s="242"/>
      <c r="Y199" s="242"/>
      <c r="Z199" s="242"/>
      <c r="AA199" s="242"/>
      <c r="AB199" s="242"/>
      <c r="AC199" s="242"/>
      <c r="AD199" s="242"/>
      <c r="AE199" s="242"/>
      <c r="AF199" s="242"/>
    </row>
    <row r="200">
      <c r="A200" s="242"/>
      <c r="B200" s="242"/>
      <c r="C200" s="242"/>
      <c r="D200" s="13"/>
      <c r="E200" s="525"/>
      <c r="F200" s="525"/>
      <c r="G200" s="525"/>
      <c r="H200" s="242"/>
      <c r="I200" s="525"/>
      <c r="J200" s="525"/>
      <c r="K200" s="525"/>
      <c r="L200" s="525"/>
      <c r="M200" s="242"/>
      <c r="N200" s="525"/>
      <c r="O200" s="525"/>
      <c r="P200" s="525"/>
      <c r="Q200" s="525"/>
      <c r="R200" s="242"/>
      <c r="S200" s="242"/>
      <c r="T200" s="242"/>
      <c r="U200" s="242"/>
      <c r="V200" s="242"/>
      <c r="W200" s="242"/>
      <c r="X200" s="242"/>
      <c r="Y200" s="242"/>
      <c r="Z200" s="242"/>
      <c r="AA200" s="242"/>
      <c r="AB200" s="242"/>
      <c r="AC200" s="242"/>
      <c r="AD200" s="242"/>
      <c r="AE200" s="242"/>
      <c r="AF200" s="242"/>
    </row>
    <row r="201">
      <c r="A201" s="242"/>
      <c r="B201" s="242"/>
      <c r="C201" s="242"/>
      <c r="D201" s="13"/>
      <c r="E201" s="525"/>
      <c r="F201" s="525"/>
      <c r="G201" s="525"/>
      <c r="H201" s="242"/>
      <c r="I201" s="525"/>
      <c r="J201" s="525"/>
      <c r="K201" s="525"/>
      <c r="L201" s="525"/>
      <c r="M201" s="242"/>
      <c r="N201" s="525"/>
      <c r="O201" s="525"/>
      <c r="P201" s="525"/>
      <c r="Q201" s="525"/>
      <c r="R201" s="242"/>
      <c r="S201" s="242"/>
      <c r="T201" s="242"/>
      <c r="U201" s="242"/>
      <c r="V201" s="242"/>
      <c r="W201" s="242"/>
      <c r="X201" s="242"/>
      <c r="Y201" s="242"/>
      <c r="Z201" s="242"/>
      <c r="AA201" s="242"/>
      <c r="AB201" s="242"/>
      <c r="AC201" s="242"/>
      <c r="AD201" s="242"/>
      <c r="AE201" s="242"/>
      <c r="AF201" s="242"/>
    </row>
    <row r="202">
      <c r="A202" s="242"/>
      <c r="B202" s="242"/>
      <c r="C202" s="242"/>
      <c r="D202" s="13"/>
      <c r="E202" s="525"/>
      <c r="F202" s="525"/>
      <c r="G202" s="525"/>
      <c r="H202" s="242"/>
      <c r="I202" s="525"/>
      <c r="J202" s="525"/>
      <c r="K202" s="525"/>
      <c r="L202" s="525"/>
      <c r="M202" s="242"/>
      <c r="N202" s="525"/>
      <c r="O202" s="525"/>
      <c r="P202" s="525"/>
      <c r="Q202" s="525"/>
      <c r="R202" s="242"/>
      <c r="S202" s="242"/>
      <c r="T202" s="242"/>
      <c r="U202" s="242"/>
      <c r="V202" s="242"/>
      <c r="W202" s="242"/>
      <c r="X202" s="242"/>
      <c r="Y202" s="242"/>
      <c r="Z202" s="242"/>
      <c r="AA202" s="242"/>
      <c r="AB202" s="242"/>
      <c r="AC202" s="242"/>
      <c r="AD202" s="242"/>
      <c r="AE202" s="242"/>
      <c r="AF202" s="242"/>
    </row>
    <row r="203">
      <c r="A203" s="242"/>
      <c r="B203" s="242"/>
      <c r="C203" s="242"/>
      <c r="D203" s="13"/>
      <c r="E203" s="525"/>
      <c r="F203" s="525"/>
      <c r="G203" s="525"/>
      <c r="H203" s="242"/>
      <c r="I203" s="525"/>
      <c r="J203" s="525"/>
      <c r="K203" s="525"/>
      <c r="L203" s="525"/>
      <c r="M203" s="242"/>
      <c r="N203" s="525"/>
      <c r="O203" s="525"/>
      <c r="P203" s="525"/>
      <c r="Q203" s="525"/>
      <c r="R203" s="242"/>
      <c r="S203" s="242"/>
      <c r="T203" s="242"/>
      <c r="U203" s="242"/>
      <c r="V203" s="242"/>
      <c r="W203" s="242"/>
      <c r="X203" s="242"/>
      <c r="Y203" s="242"/>
      <c r="Z203" s="242"/>
      <c r="AA203" s="242"/>
      <c r="AB203" s="242"/>
      <c r="AC203" s="242"/>
      <c r="AD203" s="242"/>
      <c r="AE203" s="242"/>
      <c r="AF203" s="242"/>
    </row>
    <row r="204">
      <c r="A204" s="242"/>
      <c r="B204" s="242"/>
      <c r="C204" s="242"/>
      <c r="D204" s="13"/>
      <c r="E204" s="525"/>
      <c r="F204" s="525"/>
      <c r="G204" s="525"/>
      <c r="H204" s="242"/>
      <c r="I204" s="525"/>
      <c r="J204" s="525"/>
      <c r="K204" s="525"/>
      <c r="L204" s="525"/>
      <c r="M204" s="242"/>
      <c r="N204" s="525"/>
      <c r="O204" s="525"/>
      <c r="P204" s="525"/>
      <c r="Q204" s="525"/>
      <c r="R204" s="242"/>
      <c r="S204" s="242"/>
      <c r="T204" s="242"/>
      <c r="U204" s="242"/>
      <c r="V204" s="242"/>
      <c r="W204" s="242"/>
      <c r="X204" s="242"/>
      <c r="Y204" s="242"/>
      <c r="Z204" s="242"/>
      <c r="AA204" s="242"/>
      <c r="AB204" s="242"/>
      <c r="AC204" s="242"/>
      <c r="AD204" s="242"/>
      <c r="AE204" s="242"/>
      <c r="AF204" s="242"/>
    </row>
    <row r="205">
      <c r="A205" s="242"/>
      <c r="B205" s="242"/>
      <c r="C205" s="242"/>
      <c r="D205" s="13"/>
      <c r="E205" s="525"/>
      <c r="F205" s="525"/>
      <c r="G205" s="525"/>
      <c r="H205" s="242"/>
      <c r="I205" s="525"/>
      <c r="J205" s="525"/>
      <c r="K205" s="525"/>
      <c r="L205" s="525"/>
      <c r="M205" s="242"/>
      <c r="N205" s="525"/>
      <c r="O205" s="525"/>
      <c r="P205" s="525"/>
      <c r="Q205" s="525"/>
      <c r="R205" s="242"/>
      <c r="S205" s="242"/>
      <c r="T205" s="242"/>
      <c r="U205" s="242"/>
      <c r="V205" s="242"/>
      <c r="W205" s="242"/>
      <c r="X205" s="242"/>
      <c r="Y205" s="242"/>
      <c r="Z205" s="242"/>
      <c r="AA205" s="242"/>
      <c r="AB205" s="242"/>
      <c r="AC205" s="242"/>
      <c r="AD205" s="242"/>
      <c r="AE205" s="242"/>
      <c r="AF205" s="242"/>
    </row>
    <row r="206">
      <c r="A206" s="242"/>
      <c r="B206" s="242"/>
      <c r="C206" s="242"/>
      <c r="D206" s="13"/>
      <c r="E206" s="525"/>
      <c r="F206" s="525"/>
      <c r="G206" s="525"/>
      <c r="H206" s="242"/>
      <c r="I206" s="525"/>
      <c r="J206" s="525"/>
      <c r="K206" s="525"/>
      <c r="L206" s="525"/>
      <c r="M206" s="242"/>
      <c r="N206" s="525"/>
      <c r="O206" s="525"/>
      <c r="P206" s="525"/>
      <c r="Q206" s="525"/>
      <c r="R206" s="242"/>
      <c r="S206" s="242"/>
      <c r="T206" s="242"/>
      <c r="U206" s="242"/>
      <c r="V206" s="242"/>
      <c r="W206" s="242"/>
      <c r="X206" s="242"/>
      <c r="Y206" s="242"/>
      <c r="Z206" s="242"/>
      <c r="AA206" s="242"/>
      <c r="AB206" s="242"/>
      <c r="AC206" s="242"/>
      <c r="AD206" s="242"/>
      <c r="AE206" s="242"/>
      <c r="AF206" s="242"/>
    </row>
    <row r="207">
      <c r="A207" s="242"/>
      <c r="B207" s="242"/>
      <c r="C207" s="242"/>
      <c r="D207" s="13"/>
      <c r="E207" s="525"/>
      <c r="F207" s="525"/>
      <c r="G207" s="525"/>
      <c r="H207" s="242"/>
      <c r="I207" s="525"/>
      <c r="J207" s="525"/>
      <c r="K207" s="525"/>
      <c r="L207" s="525"/>
      <c r="M207" s="242"/>
      <c r="N207" s="525"/>
      <c r="O207" s="525"/>
      <c r="P207" s="525"/>
      <c r="Q207" s="525"/>
      <c r="R207" s="242"/>
      <c r="S207" s="242"/>
      <c r="T207" s="242"/>
      <c r="U207" s="242"/>
      <c r="V207" s="242"/>
      <c r="W207" s="242"/>
      <c r="X207" s="242"/>
      <c r="Y207" s="242"/>
      <c r="Z207" s="242"/>
      <c r="AA207" s="242"/>
      <c r="AB207" s="242"/>
      <c r="AC207" s="242"/>
      <c r="AD207" s="242"/>
      <c r="AE207" s="242"/>
      <c r="AF207" s="242"/>
    </row>
    <row r="208">
      <c r="A208" s="242"/>
      <c r="B208" s="242"/>
      <c r="C208" s="242"/>
      <c r="D208" s="13"/>
      <c r="E208" s="525"/>
      <c r="F208" s="525"/>
      <c r="G208" s="525"/>
      <c r="H208" s="242"/>
      <c r="I208" s="525"/>
      <c r="J208" s="525"/>
      <c r="K208" s="525"/>
      <c r="L208" s="525"/>
      <c r="M208" s="242"/>
      <c r="N208" s="525"/>
      <c r="O208" s="525"/>
      <c r="P208" s="525"/>
      <c r="Q208" s="525"/>
      <c r="R208" s="242"/>
      <c r="S208" s="242"/>
      <c r="T208" s="242"/>
      <c r="U208" s="242"/>
      <c r="V208" s="242"/>
      <c r="W208" s="242"/>
      <c r="X208" s="242"/>
      <c r="Y208" s="242"/>
      <c r="Z208" s="242"/>
      <c r="AA208" s="242"/>
      <c r="AB208" s="242"/>
      <c r="AC208" s="242"/>
      <c r="AD208" s="242"/>
      <c r="AE208" s="242"/>
      <c r="AF208" s="242"/>
    </row>
    <row r="209">
      <c r="A209" s="242"/>
      <c r="B209" s="242"/>
      <c r="C209" s="242"/>
      <c r="D209" s="13"/>
      <c r="E209" s="525"/>
      <c r="F209" s="525"/>
      <c r="G209" s="525"/>
      <c r="H209" s="242"/>
      <c r="I209" s="525"/>
      <c r="J209" s="525"/>
      <c r="K209" s="525"/>
      <c r="L209" s="525"/>
      <c r="M209" s="242"/>
      <c r="N209" s="525"/>
      <c r="O209" s="525"/>
      <c r="P209" s="525"/>
      <c r="Q209" s="525"/>
      <c r="R209" s="242"/>
      <c r="S209" s="242"/>
      <c r="T209" s="242"/>
      <c r="U209" s="242"/>
      <c r="V209" s="242"/>
      <c r="W209" s="242"/>
      <c r="X209" s="242"/>
      <c r="Y209" s="242"/>
      <c r="Z209" s="242"/>
      <c r="AA209" s="242"/>
      <c r="AB209" s="242"/>
      <c r="AC209" s="242"/>
      <c r="AD209" s="242"/>
      <c r="AE209" s="242"/>
      <c r="AF209" s="242"/>
    </row>
    <row r="210">
      <c r="A210" s="242"/>
      <c r="B210" s="242"/>
      <c r="C210" s="242"/>
      <c r="D210" s="13"/>
      <c r="E210" s="525"/>
      <c r="F210" s="525"/>
      <c r="G210" s="525"/>
      <c r="H210" s="242"/>
      <c r="I210" s="525"/>
      <c r="J210" s="525"/>
      <c r="K210" s="525"/>
      <c r="L210" s="525"/>
      <c r="M210" s="242"/>
      <c r="N210" s="525"/>
      <c r="O210" s="525"/>
      <c r="P210" s="525"/>
      <c r="Q210" s="525"/>
      <c r="R210" s="242"/>
      <c r="S210" s="242"/>
      <c r="T210" s="242"/>
      <c r="U210" s="242"/>
      <c r="V210" s="242"/>
      <c r="W210" s="242"/>
      <c r="X210" s="242"/>
      <c r="Y210" s="242"/>
      <c r="Z210" s="242"/>
      <c r="AA210" s="242"/>
      <c r="AB210" s="242"/>
      <c r="AC210" s="242"/>
      <c r="AD210" s="242"/>
      <c r="AE210" s="242"/>
      <c r="AF210" s="242"/>
    </row>
    <row r="211">
      <c r="A211" s="242"/>
      <c r="B211" s="242"/>
      <c r="C211" s="242"/>
      <c r="D211" s="13"/>
      <c r="E211" s="525"/>
      <c r="F211" s="525"/>
      <c r="G211" s="525"/>
      <c r="H211" s="242"/>
      <c r="I211" s="525"/>
      <c r="J211" s="525"/>
      <c r="K211" s="525"/>
      <c r="L211" s="525"/>
      <c r="M211" s="242"/>
      <c r="N211" s="525"/>
      <c r="O211" s="525"/>
      <c r="P211" s="525"/>
      <c r="Q211" s="525"/>
      <c r="R211" s="242"/>
      <c r="S211" s="242"/>
      <c r="T211" s="242"/>
      <c r="U211" s="242"/>
      <c r="V211" s="242"/>
      <c r="W211" s="242"/>
      <c r="X211" s="242"/>
      <c r="Y211" s="242"/>
      <c r="Z211" s="242"/>
      <c r="AA211" s="242"/>
      <c r="AB211" s="242"/>
      <c r="AC211" s="242"/>
      <c r="AD211" s="242"/>
      <c r="AE211" s="242"/>
      <c r="AF211" s="242"/>
    </row>
    <row r="212">
      <c r="A212" s="242"/>
      <c r="B212" s="242"/>
      <c r="C212" s="242"/>
      <c r="D212" s="13"/>
      <c r="E212" s="525"/>
      <c r="F212" s="525"/>
      <c r="G212" s="525"/>
      <c r="H212" s="242"/>
      <c r="I212" s="525"/>
      <c r="J212" s="525"/>
      <c r="K212" s="525"/>
      <c r="L212" s="525"/>
      <c r="M212" s="242"/>
      <c r="N212" s="525"/>
      <c r="O212" s="525"/>
      <c r="P212" s="525"/>
      <c r="Q212" s="525"/>
      <c r="R212" s="242"/>
      <c r="S212" s="242"/>
      <c r="T212" s="242"/>
      <c r="U212" s="242"/>
      <c r="V212" s="242"/>
      <c r="W212" s="242"/>
      <c r="X212" s="242"/>
      <c r="Y212" s="242"/>
      <c r="Z212" s="242"/>
      <c r="AA212" s="242"/>
      <c r="AB212" s="242"/>
      <c r="AC212" s="242"/>
      <c r="AD212" s="242"/>
      <c r="AE212" s="242"/>
      <c r="AF212" s="242"/>
    </row>
    <row r="213">
      <c r="A213" s="242"/>
      <c r="B213" s="242"/>
      <c r="C213" s="242"/>
      <c r="D213" s="13"/>
      <c r="E213" s="525"/>
      <c r="F213" s="525"/>
      <c r="G213" s="525"/>
      <c r="H213" s="242"/>
      <c r="I213" s="525"/>
      <c r="J213" s="525"/>
      <c r="K213" s="525"/>
      <c r="L213" s="525"/>
      <c r="M213" s="242"/>
      <c r="N213" s="525"/>
      <c r="O213" s="525"/>
      <c r="P213" s="525"/>
      <c r="Q213" s="525"/>
      <c r="R213" s="242"/>
      <c r="S213" s="242"/>
      <c r="T213" s="242"/>
      <c r="U213" s="242"/>
      <c r="V213" s="242"/>
      <c r="W213" s="242"/>
      <c r="X213" s="242"/>
      <c r="Y213" s="242"/>
      <c r="Z213" s="242"/>
      <c r="AA213" s="242"/>
      <c r="AB213" s="242"/>
      <c r="AC213" s="242"/>
      <c r="AD213" s="242"/>
      <c r="AE213" s="242"/>
      <c r="AF213" s="242"/>
    </row>
    <row r="214">
      <c r="A214" s="242"/>
      <c r="B214" s="242"/>
      <c r="C214" s="242"/>
      <c r="D214" s="13"/>
      <c r="E214" s="525"/>
      <c r="F214" s="525"/>
      <c r="G214" s="525"/>
      <c r="H214" s="242"/>
      <c r="I214" s="525"/>
      <c r="J214" s="525"/>
      <c r="K214" s="525"/>
      <c r="L214" s="525"/>
      <c r="M214" s="242"/>
      <c r="N214" s="525"/>
      <c r="O214" s="525"/>
      <c r="P214" s="525"/>
      <c r="Q214" s="525"/>
      <c r="R214" s="242"/>
      <c r="S214" s="242"/>
      <c r="T214" s="242"/>
      <c r="U214" s="242"/>
      <c r="V214" s="242"/>
      <c r="W214" s="242"/>
      <c r="X214" s="242"/>
      <c r="Y214" s="242"/>
      <c r="Z214" s="242"/>
      <c r="AA214" s="242"/>
      <c r="AB214" s="242"/>
      <c r="AC214" s="242"/>
      <c r="AD214" s="242"/>
      <c r="AE214" s="242"/>
      <c r="AF214" s="242"/>
    </row>
    <row r="215">
      <c r="A215" s="242"/>
      <c r="B215" s="242"/>
      <c r="C215" s="242"/>
      <c r="D215" s="13"/>
      <c r="E215" s="525"/>
      <c r="F215" s="525"/>
      <c r="G215" s="525"/>
      <c r="H215" s="242"/>
      <c r="I215" s="525"/>
      <c r="J215" s="525"/>
      <c r="K215" s="525"/>
      <c r="L215" s="525"/>
      <c r="M215" s="242"/>
      <c r="N215" s="525"/>
      <c r="O215" s="525"/>
      <c r="P215" s="525"/>
      <c r="Q215" s="525"/>
      <c r="R215" s="242"/>
      <c r="S215" s="242"/>
      <c r="T215" s="242"/>
      <c r="U215" s="242"/>
      <c r="V215" s="242"/>
      <c r="W215" s="242"/>
      <c r="X215" s="242"/>
      <c r="Y215" s="242"/>
      <c r="Z215" s="242"/>
      <c r="AA215" s="242"/>
      <c r="AB215" s="242"/>
      <c r="AC215" s="242"/>
      <c r="AD215" s="242"/>
      <c r="AE215" s="242"/>
      <c r="AF215" s="242"/>
    </row>
    <row r="216">
      <c r="A216" s="242"/>
      <c r="B216" s="242"/>
      <c r="C216" s="242"/>
      <c r="D216" s="13"/>
      <c r="E216" s="525"/>
      <c r="F216" s="525"/>
      <c r="G216" s="525"/>
      <c r="H216" s="242"/>
      <c r="I216" s="525"/>
      <c r="J216" s="525"/>
      <c r="K216" s="525"/>
      <c r="L216" s="525"/>
      <c r="M216" s="242"/>
      <c r="N216" s="525"/>
      <c r="O216" s="525"/>
      <c r="P216" s="525"/>
      <c r="Q216" s="525"/>
      <c r="R216" s="242"/>
      <c r="S216" s="242"/>
      <c r="T216" s="242"/>
      <c r="U216" s="242"/>
      <c r="V216" s="242"/>
      <c r="W216" s="242"/>
      <c r="X216" s="242"/>
      <c r="Y216" s="242"/>
      <c r="Z216" s="242"/>
      <c r="AA216" s="242"/>
      <c r="AB216" s="242"/>
      <c r="AC216" s="242"/>
      <c r="AD216" s="242"/>
      <c r="AE216" s="242"/>
      <c r="AF216" s="242"/>
    </row>
    <row r="217">
      <c r="A217" s="242"/>
      <c r="B217" s="242"/>
      <c r="C217" s="242"/>
      <c r="D217" s="13"/>
      <c r="E217" s="525"/>
      <c r="F217" s="525"/>
      <c r="G217" s="525"/>
      <c r="H217" s="242"/>
      <c r="I217" s="525"/>
      <c r="J217" s="525"/>
      <c r="K217" s="525"/>
      <c r="L217" s="525"/>
      <c r="M217" s="242"/>
      <c r="N217" s="525"/>
      <c r="O217" s="525"/>
      <c r="P217" s="525"/>
      <c r="Q217" s="525"/>
      <c r="R217" s="242"/>
      <c r="S217" s="242"/>
      <c r="T217" s="242"/>
      <c r="U217" s="242"/>
      <c r="V217" s="242"/>
      <c r="W217" s="242"/>
      <c r="X217" s="242"/>
      <c r="Y217" s="242"/>
      <c r="Z217" s="242"/>
      <c r="AA217" s="242"/>
      <c r="AB217" s="242"/>
      <c r="AC217" s="242"/>
      <c r="AD217" s="242"/>
      <c r="AE217" s="242"/>
      <c r="AF217" s="242"/>
    </row>
    <row r="218">
      <c r="A218" s="242"/>
      <c r="B218" s="242"/>
      <c r="C218" s="242"/>
      <c r="D218" s="13"/>
      <c r="E218" s="525"/>
      <c r="F218" s="525"/>
      <c r="G218" s="525"/>
      <c r="H218" s="242"/>
      <c r="I218" s="525"/>
      <c r="J218" s="525"/>
      <c r="K218" s="525"/>
      <c r="L218" s="525"/>
      <c r="M218" s="242"/>
      <c r="N218" s="525"/>
      <c r="O218" s="525"/>
      <c r="P218" s="525"/>
      <c r="Q218" s="525"/>
      <c r="R218" s="242"/>
      <c r="S218" s="242"/>
      <c r="T218" s="242"/>
      <c r="U218" s="242"/>
      <c r="V218" s="242"/>
      <c r="W218" s="242"/>
      <c r="X218" s="242"/>
      <c r="Y218" s="242"/>
      <c r="Z218" s="242"/>
      <c r="AA218" s="242"/>
      <c r="AB218" s="242"/>
      <c r="AC218" s="242"/>
      <c r="AD218" s="242"/>
      <c r="AE218" s="242"/>
      <c r="AF218" s="242"/>
    </row>
    <row r="219">
      <c r="A219" s="242"/>
      <c r="B219" s="242"/>
      <c r="C219" s="242"/>
      <c r="D219" s="13"/>
      <c r="E219" s="525"/>
      <c r="F219" s="525"/>
      <c r="G219" s="525"/>
      <c r="H219" s="242"/>
      <c r="I219" s="525"/>
      <c r="J219" s="525"/>
      <c r="K219" s="525"/>
      <c r="L219" s="525"/>
      <c r="M219" s="242"/>
      <c r="N219" s="525"/>
      <c r="O219" s="525"/>
      <c r="P219" s="525"/>
      <c r="Q219" s="525"/>
      <c r="R219" s="242"/>
      <c r="S219" s="242"/>
      <c r="T219" s="242"/>
      <c r="U219" s="242"/>
      <c r="V219" s="242"/>
      <c r="W219" s="242"/>
      <c r="X219" s="242"/>
      <c r="Y219" s="242"/>
      <c r="Z219" s="242"/>
      <c r="AA219" s="242"/>
      <c r="AB219" s="242"/>
      <c r="AC219" s="242"/>
      <c r="AD219" s="242"/>
      <c r="AE219" s="242"/>
      <c r="AF219" s="242"/>
    </row>
    <row r="220">
      <c r="A220" s="242"/>
      <c r="B220" s="242"/>
      <c r="C220" s="242"/>
      <c r="D220" s="13"/>
      <c r="E220" s="525"/>
      <c r="F220" s="525"/>
      <c r="G220" s="525"/>
      <c r="H220" s="242"/>
      <c r="I220" s="525"/>
      <c r="J220" s="525"/>
      <c r="K220" s="525"/>
      <c r="L220" s="525"/>
      <c r="M220" s="242"/>
      <c r="N220" s="525"/>
      <c r="O220" s="525"/>
      <c r="P220" s="525"/>
      <c r="Q220" s="525"/>
      <c r="R220" s="242"/>
      <c r="S220" s="242"/>
      <c r="T220" s="242"/>
      <c r="U220" s="242"/>
      <c r="V220" s="242"/>
      <c r="W220" s="242"/>
      <c r="X220" s="242"/>
      <c r="Y220" s="242"/>
      <c r="Z220" s="242"/>
      <c r="AA220" s="242"/>
      <c r="AB220" s="242"/>
      <c r="AC220" s="242"/>
      <c r="AD220" s="242"/>
      <c r="AE220" s="242"/>
      <c r="AF220" s="242"/>
    </row>
    <row r="221">
      <c r="A221" s="242"/>
      <c r="B221" s="242"/>
      <c r="C221" s="242"/>
      <c r="D221" s="13"/>
      <c r="E221" s="525"/>
      <c r="F221" s="525"/>
      <c r="G221" s="525"/>
      <c r="H221" s="242"/>
      <c r="I221" s="525"/>
      <c r="J221" s="525"/>
      <c r="K221" s="525"/>
      <c r="L221" s="525"/>
      <c r="M221" s="242"/>
      <c r="N221" s="525"/>
      <c r="O221" s="525"/>
      <c r="P221" s="525"/>
      <c r="Q221" s="525"/>
      <c r="R221" s="242"/>
      <c r="S221" s="242"/>
      <c r="T221" s="242"/>
      <c r="U221" s="242"/>
      <c r="V221" s="242"/>
      <c r="W221" s="242"/>
      <c r="X221" s="242"/>
      <c r="Y221" s="242"/>
      <c r="Z221" s="242"/>
      <c r="AA221" s="242"/>
      <c r="AB221" s="242"/>
      <c r="AC221" s="242"/>
      <c r="AD221" s="242"/>
      <c r="AE221" s="242"/>
      <c r="AF221" s="242"/>
    </row>
    <row r="222">
      <c r="A222" s="242"/>
      <c r="B222" s="242"/>
      <c r="C222" s="242"/>
      <c r="D222" s="13"/>
      <c r="E222" s="525"/>
      <c r="F222" s="525"/>
      <c r="G222" s="525"/>
      <c r="H222" s="242"/>
      <c r="I222" s="525"/>
      <c r="J222" s="525"/>
      <c r="K222" s="525"/>
      <c r="L222" s="525"/>
      <c r="M222" s="242"/>
      <c r="N222" s="525"/>
      <c r="O222" s="525"/>
      <c r="P222" s="525"/>
      <c r="Q222" s="525"/>
      <c r="R222" s="242"/>
      <c r="S222" s="242"/>
      <c r="T222" s="242"/>
      <c r="U222" s="242"/>
      <c r="V222" s="242"/>
      <c r="W222" s="242"/>
      <c r="X222" s="242"/>
      <c r="Y222" s="242"/>
      <c r="Z222" s="242"/>
      <c r="AA222" s="242"/>
      <c r="AB222" s="242"/>
      <c r="AC222" s="242"/>
      <c r="AD222" s="242"/>
      <c r="AE222" s="242"/>
      <c r="AF222" s="242"/>
    </row>
    <row r="223">
      <c r="A223" s="242"/>
      <c r="B223" s="242"/>
      <c r="C223" s="242"/>
      <c r="D223" s="13"/>
      <c r="E223" s="525"/>
      <c r="F223" s="525"/>
      <c r="G223" s="525"/>
      <c r="H223" s="242"/>
      <c r="I223" s="525"/>
      <c r="J223" s="525"/>
      <c r="K223" s="525"/>
      <c r="L223" s="525"/>
      <c r="M223" s="242"/>
      <c r="N223" s="525"/>
      <c r="O223" s="525"/>
      <c r="P223" s="525"/>
      <c r="Q223" s="525"/>
      <c r="R223" s="242"/>
      <c r="S223" s="242"/>
      <c r="T223" s="242"/>
      <c r="U223" s="242"/>
      <c r="V223" s="242"/>
      <c r="W223" s="242"/>
      <c r="X223" s="242"/>
      <c r="Y223" s="242"/>
      <c r="Z223" s="242"/>
      <c r="AA223" s="242"/>
      <c r="AB223" s="242"/>
      <c r="AC223" s="242"/>
      <c r="AD223" s="242"/>
      <c r="AE223" s="242"/>
      <c r="AF223" s="242"/>
    </row>
    <row r="224">
      <c r="A224" s="242"/>
      <c r="B224" s="242"/>
      <c r="C224" s="242"/>
      <c r="D224" s="13"/>
      <c r="E224" s="525"/>
      <c r="F224" s="525"/>
      <c r="G224" s="525"/>
      <c r="H224" s="242"/>
      <c r="I224" s="525"/>
      <c r="J224" s="525"/>
      <c r="K224" s="525"/>
      <c r="L224" s="525"/>
      <c r="M224" s="242"/>
      <c r="N224" s="525"/>
      <c r="O224" s="525"/>
      <c r="P224" s="525"/>
      <c r="Q224" s="525"/>
      <c r="R224" s="242"/>
      <c r="S224" s="242"/>
      <c r="T224" s="242"/>
      <c r="U224" s="242"/>
      <c r="V224" s="242"/>
      <c r="W224" s="242"/>
      <c r="X224" s="242"/>
      <c r="Y224" s="242"/>
      <c r="Z224" s="242"/>
      <c r="AA224" s="242"/>
      <c r="AB224" s="242"/>
      <c r="AC224" s="242"/>
      <c r="AD224" s="242"/>
      <c r="AE224" s="242"/>
      <c r="AF224" s="242"/>
    </row>
    <row r="225">
      <c r="A225" s="242"/>
      <c r="B225" s="242"/>
      <c r="C225" s="242"/>
      <c r="D225" s="13"/>
      <c r="E225" s="525"/>
      <c r="F225" s="525"/>
      <c r="G225" s="525"/>
      <c r="H225" s="242"/>
      <c r="I225" s="525"/>
      <c r="J225" s="525"/>
      <c r="K225" s="525"/>
      <c r="L225" s="525"/>
      <c r="M225" s="242"/>
      <c r="N225" s="525"/>
      <c r="O225" s="525"/>
      <c r="P225" s="525"/>
      <c r="Q225" s="525"/>
      <c r="R225" s="242"/>
      <c r="S225" s="242"/>
      <c r="T225" s="242"/>
      <c r="U225" s="242"/>
      <c r="V225" s="242"/>
      <c r="W225" s="242"/>
      <c r="X225" s="242"/>
      <c r="Y225" s="242"/>
      <c r="Z225" s="242"/>
      <c r="AA225" s="242"/>
      <c r="AB225" s="242"/>
      <c r="AC225" s="242"/>
      <c r="AD225" s="242"/>
      <c r="AE225" s="242"/>
      <c r="AF225" s="242"/>
    </row>
    <row r="226">
      <c r="A226" s="242"/>
      <c r="B226" s="242"/>
      <c r="C226" s="242"/>
      <c r="D226" s="13"/>
      <c r="E226" s="525"/>
      <c r="F226" s="525"/>
      <c r="G226" s="525"/>
      <c r="H226" s="242"/>
      <c r="I226" s="525"/>
      <c r="J226" s="525"/>
      <c r="K226" s="525"/>
      <c r="L226" s="525"/>
      <c r="M226" s="242"/>
      <c r="N226" s="525"/>
      <c r="O226" s="525"/>
      <c r="P226" s="525"/>
      <c r="Q226" s="525"/>
      <c r="R226" s="242"/>
      <c r="S226" s="242"/>
      <c r="T226" s="242"/>
      <c r="U226" s="242"/>
      <c r="V226" s="242"/>
      <c r="W226" s="242"/>
      <c r="X226" s="242"/>
      <c r="Y226" s="242"/>
      <c r="Z226" s="242"/>
      <c r="AA226" s="242"/>
      <c r="AB226" s="242"/>
      <c r="AC226" s="242"/>
      <c r="AD226" s="242"/>
      <c r="AE226" s="242"/>
      <c r="AF226" s="242"/>
    </row>
    <row r="227">
      <c r="A227" s="242"/>
      <c r="B227" s="242"/>
      <c r="C227" s="242"/>
      <c r="D227" s="13"/>
      <c r="E227" s="525"/>
      <c r="F227" s="525"/>
      <c r="G227" s="525"/>
      <c r="H227" s="242"/>
      <c r="I227" s="525"/>
      <c r="J227" s="525"/>
      <c r="K227" s="525"/>
      <c r="L227" s="525"/>
      <c r="M227" s="242"/>
      <c r="N227" s="525"/>
      <c r="O227" s="525"/>
      <c r="P227" s="525"/>
      <c r="Q227" s="525"/>
      <c r="R227" s="242"/>
      <c r="S227" s="242"/>
      <c r="T227" s="242"/>
      <c r="U227" s="242"/>
      <c r="V227" s="242"/>
      <c r="W227" s="242"/>
      <c r="X227" s="242"/>
      <c r="Y227" s="242"/>
      <c r="Z227" s="242"/>
      <c r="AA227" s="242"/>
      <c r="AB227" s="242"/>
      <c r="AC227" s="242"/>
      <c r="AD227" s="242"/>
      <c r="AE227" s="242"/>
      <c r="AF227" s="242"/>
    </row>
    <row r="228">
      <c r="A228" s="242"/>
      <c r="B228" s="242"/>
      <c r="C228" s="242"/>
      <c r="D228" s="13"/>
      <c r="E228" s="525"/>
      <c r="F228" s="525"/>
      <c r="G228" s="525"/>
      <c r="H228" s="242"/>
      <c r="I228" s="525"/>
      <c r="J228" s="525"/>
      <c r="K228" s="525"/>
      <c r="L228" s="525"/>
      <c r="M228" s="242"/>
      <c r="N228" s="525"/>
      <c r="O228" s="525"/>
      <c r="P228" s="525"/>
      <c r="Q228" s="525"/>
      <c r="R228" s="242"/>
      <c r="S228" s="242"/>
      <c r="T228" s="242"/>
      <c r="U228" s="242"/>
      <c r="V228" s="242"/>
      <c r="W228" s="242"/>
      <c r="X228" s="242"/>
      <c r="Y228" s="242"/>
      <c r="Z228" s="242"/>
      <c r="AA228" s="242"/>
      <c r="AB228" s="242"/>
      <c r="AC228" s="242"/>
      <c r="AD228" s="242"/>
      <c r="AE228" s="242"/>
      <c r="AF228" s="242"/>
    </row>
    <row r="229">
      <c r="A229" s="242"/>
      <c r="B229" s="242"/>
      <c r="C229" s="242"/>
      <c r="D229" s="13"/>
      <c r="E229" s="525"/>
      <c r="F229" s="525"/>
      <c r="G229" s="525"/>
      <c r="H229" s="242"/>
      <c r="I229" s="525"/>
      <c r="J229" s="525"/>
      <c r="K229" s="525"/>
      <c r="L229" s="525"/>
      <c r="M229" s="242"/>
      <c r="N229" s="525"/>
      <c r="O229" s="525"/>
      <c r="P229" s="525"/>
      <c r="Q229" s="525"/>
      <c r="R229" s="242"/>
      <c r="S229" s="242"/>
      <c r="T229" s="242"/>
      <c r="U229" s="242"/>
      <c r="V229" s="242"/>
      <c r="W229" s="242"/>
      <c r="X229" s="242"/>
      <c r="Y229" s="242"/>
      <c r="Z229" s="242"/>
      <c r="AA229" s="242"/>
      <c r="AB229" s="242"/>
      <c r="AC229" s="242"/>
      <c r="AD229" s="242"/>
      <c r="AE229" s="242"/>
      <c r="AF229" s="242"/>
    </row>
    <row r="230">
      <c r="A230" s="242"/>
      <c r="B230" s="242"/>
      <c r="C230" s="242"/>
      <c r="D230" s="13"/>
      <c r="E230" s="525"/>
      <c r="F230" s="525"/>
      <c r="G230" s="525"/>
      <c r="H230" s="242"/>
      <c r="I230" s="525"/>
      <c r="J230" s="525"/>
      <c r="K230" s="525"/>
      <c r="L230" s="525"/>
      <c r="M230" s="242"/>
      <c r="N230" s="525"/>
      <c r="O230" s="525"/>
      <c r="P230" s="525"/>
      <c r="Q230" s="525"/>
      <c r="R230" s="242"/>
      <c r="S230" s="242"/>
      <c r="T230" s="242"/>
      <c r="U230" s="242"/>
      <c r="V230" s="242"/>
      <c r="W230" s="242"/>
      <c r="X230" s="242"/>
      <c r="Y230" s="242"/>
      <c r="Z230" s="242"/>
      <c r="AA230" s="242"/>
      <c r="AB230" s="242"/>
      <c r="AC230" s="242"/>
      <c r="AD230" s="242"/>
      <c r="AE230" s="242"/>
      <c r="AF230" s="242"/>
    </row>
    <row r="231">
      <c r="A231" s="242"/>
      <c r="B231" s="242"/>
      <c r="C231" s="242"/>
      <c r="D231" s="13"/>
      <c r="E231" s="525"/>
      <c r="F231" s="525"/>
      <c r="G231" s="525"/>
      <c r="H231" s="242"/>
      <c r="I231" s="525"/>
      <c r="J231" s="525"/>
      <c r="K231" s="525"/>
      <c r="L231" s="525"/>
      <c r="M231" s="242"/>
      <c r="N231" s="525"/>
      <c r="O231" s="525"/>
      <c r="P231" s="525"/>
      <c r="Q231" s="525"/>
      <c r="R231" s="242"/>
      <c r="S231" s="242"/>
      <c r="T231" s="242"/>
      <c r="U231" s="242"/>
      <c r="V231" s="242"/>
      <c r="W231" s="242"/>
      <c r="X231" s="242"/>
      <c r="Y231" s="242"/>
      <c r="Z231" s="242"/>
      <c r="AA231" s="242"/>
      <c r="AB231" s="242"/>
      <c r="AC231" s="242"/>
      <c r="AD231" s="242"/>
      <c r="AE231" s="242"/>
      <c r="AF231" s="242"/>
    </row>
    <row r="232">
      <c r="A232" s="242"/>
      <c r="B232" s="242"/>
      <c r="C232" s="242"/>
      <c r="D232" s="13"/>
      <c r="E232" s="525"/>
      <c r="F232" s="525"/>
      <c r="G232" s="525"/>
      <c r="H232" s="242"/>
      <c r="I232" s="525"/>
      <c r="J232" s="525"/>
      <c r="K232" s="525"/>
      <c r="L232" s="525"/>
      <c r="M232" s="242"/>
      <c r="N232" s="525"/>
      <c r="O232" s="525"/>
      <c r="P232" s="525"/>
      <c r="Q232" s="525"/>
      <c r="R232" s="242"/>
      <c r="S232" s="242"/>
      <c r="T232" s="242"/>
      <c r="U232" s="242"/>
      <c r="V232" s="242"/>
      <c r="W232" s="242"/>
      <c r="X232" s="242"/>
      <c r="Y232" s="242"/>
      <c r="Z232" s="242"/>
      <c r="AA232" s="242"/>
      <c r="AB232" s="242"/>
      <c r="AC232" s="242"/>
      <c r="AD232" s="242"/>
      <c r="AE232" s="242"/>
      <c r="AF232" s="242"/>
    </row>
    <row r="233">
      <c r="A233" s="242"/>
      <c r="B233" s="242"/>
      <c r="C233" s="242"/>
      <c r="D233" s="13"/>
      <c r="E233" s="525"/>
      <c r="F233" s="525"/>
      <c r="G233" s="525"/>
      <c r="H233" s="242"/>
      <c r="I233" s="525"/>
      <c r="J233" s="525"/>
      <c r="K233" s="525"/>
      <c r="L233" s="525"/>
      <c r="M233" s="242"/>
      <c r="N233" s="525"/>
      <c r="O233" s="525"/>
      <c r="P233" s="525"/>
      <c r="Q233" s="525"/>
      <c r="R233" s="242"/>
      <c r="S233" s="242"/>
      <c r="T233" s="242"/>
      <c r="U233" s="242"/>
      <c r="V233" s="242"/>
      <c r="W233" s="242"/>
      <c r="X233" s="242"/>
      <c r="Y233" s="242"/>
      <c r="Z233" s="242"/>
      <c r="AA233" s="242"/>
      <c r="AB233" s="242"/>
      <c r="AC233" s="242"/>
      <c r="AD233" s="242"/>
      <c r="AE233" s="242"/>
      <c r="AF233" s="242"/>
    </row>
    <row r="234">
      <c r="A234" s="242"/>
      <c r="B234" s="242"/>
      <c r="C234" s="242"/>
      <c r="D234" s="13"/>
      <c r="E234" s="525"/>
      <c r="F234" s="525"/>
      <c r="G234" s="525"/>
      <c r="H234" s="242"/>
      <c r="I234" s="525"/>
      <c r="J234" s="525"/>
      <c r="K234" s="525"/>
      <c r="L234" s="525"/>
      <c r="M234" s="242"/>
      <c r="N234" s="525"/>
      <c r="O234" s="525"/>
      <c r="P234" s="525"/>
      <c r="Q234" s="525"/>
      <c r="R234" s="242"/>
      <c r="S234" s="242"/>
      <c r="T234" s="242"/>
      <c r="U234" s="242"/>
      <c r="V234" s="242"/>
      <c r="W234" s="242"/>
      <c r="X234" s="242"/>
      <c r="Y234" s="242"/>
      <c r="Z234" s="242"/>
      <c r="AA234" s="242"/>
      <c r="AB234" s="242"/>
      <c r="AC234" s="242"/>
      <c r="AD234" s="242"/>
      <c r="AE234" s="242"/>
      <c r="AF234" s="242"/>
    </row>
    <row r="235">
      <c r="A235" s="242"/>
      <c r="B235" s="242"/>
      <c r="C235" s="242"/>
      <c r="D235" s="13"/>
      <c r="E235" s="525"/>
      <c r="F235" s="525"/>
      <c r="G235" s="525"/>
      <c r="H235" s="242"/>
      <c r="I235" s="525"/>
      <c r="J235" s="525"/>
      <c r="K235" s="525"/>
      <c r="L235" s="525"/>
      <c r="M235" s="242"/>
      <c r="N235" s="525"/>
      <c r="O235" s="525"/>
      <c r="P235" s="525"/>
      <c r="Q235" s="525"/>
      <c r="R235" s="242"/>
      <c r="S235" s="242"/>
      <c r="T235" s="242"/>
      <c r="U235" s="242"/>
      <c r="V235" s="242"/>
      <c r="W235" s="242"/>
      <c r="X235" s="242"/>
      <c r="Y235" s="242"/>
      <c r="Z235" s="242"/>
      <c r="AA235" s="242"/>
      <c r="AB235" s="242"/>
      <c r="AC235" s="242"/>
      <c r="AD235" s="242"/>
      <c r="AE235" s="242"/>
      <c r="AF235" s="242"/>
    </row>
    <row r="236">
      <c r="A236" s="242"/>
      <c r="B236" s="242"/>
      <c r="C236" s="242"/>
      <c r="D236" s="13"/>
      <c r="E236" s="525"/>
      <c r="F236" s="525"/>
      <c r="G236" s="525"/>
      <c r="H236" s="242"/>
      <c r="I236" s="525"/>
      <c r="J236" s="525"/>
      <c r="K236" s="525"/>
      <c r="L236" s="525"/>
      <c r="M236" s="242"/>
      <c r="N236" s="525"/>
      <c r="O236" s="525"/>
      <c r="P236" s="525"/>
      <c r="Q236" s="525"/>
      <c r="R236" s="242"/>
      <c r="S236" s="242"/>
      <c r="T236" s="242"/>
      <c r="U236" s="242"/>
      <c r="V236" s="242"/>
      <c r="W236" s="242"/>
      <c r="X236" s="242"/>
      <c r="Y236" s="242"/>
      <c r="Z236" s="242"/>
      <c r="AA236" s="242"/>
      <c r="AB236" s="242"/>
      <c r="AC236" s="242"/>
      <c r="AD236" s="242"/>
      <c r="AE236" s="242"/>
      <c r="AF236" s="242"/>
    </row>
    <row r="237">
      <c r="A237" s="242"/>
      <c r="B237" s="242"/>
      <c r="C237" s="242"/>
      <c r="D237" s="13"/>
      <c r="E237" s="525"/>
      <c r="F237" s="525"/>
      <c r="G237" s="525"/>
      <c r="H237" s="242"/>
      <c r="I237" s="525"/>
      <c r="J237" s="525"/>
      <c r="K237" s="525"/>
      <c r="L237" s="525"/>
      <c r="M237" s="242"/>
      <c r="N237" s="525"/>
      <c r="O237" s="525"/>
      <c r="P237" s="525"/>
      <c r="Q237" s="525"/>
      <c r="R237" s="242"/>
      <c r="S237" s="242"/>
      <c r="T237" s="242"/>
      <c r="U237" s="242"/>
      <c r="V237" s="242"/>
      <c r="W237" s="242"/>
      <c r="X237" s="242"/>
      <c r="Y237" s="242"/>
      <c r="Z237" s="242"/>
      <c r="AA237" s="242"/>
      <c r="AB237" s="242"/>
      <c r="AC237" s="242"/>
      <c r="AD237" s="242"/>
      <c r="AE237" s="242"/>
      <c r="AF237" s="242"/>
    </row>
    <row r="238">
      <c r="A238" s="242"/>
      <c r="B238" s="242"/>
      <c r="C238" s="242"/>
      <c r="D238" s="13"/>
      <c r="E238" s="525"/>
      <c r="F238" s="525"/>
      <c r="G238" s="525"/>
      <c r="H238" s="242"/>
      <c r="I238" s="525"/>
      <c r="J238" s="525"/>
      <c r="K238" s="525"/>
      <c r="L238" s="525"/>
      <c r="M238" s="242"/>
      <c r="N238" s="525"/>
      <c r="O238" s="525"/>
      <c r="P238" s="525"/>
      <c r="Q238" s="525"/>
      <c r="R238" s="242"/>
      <c r="S238" s="242"/>
      <c r="T238" s="242"/>
      <c r="U238" s="242"/>
      <c r="V238" s="242"/>
      <c r="W238" s="242"/>
      <c r="X238" s="242"/>
      <c r="Y238" s="242"/>
      <c r="Z238" s="242"/>
      <c r="AA238" s="242"/>
      <c r="AB238" s="242"/>
      <c r="AC238" s="242"/>
      <c r="AD238" s="242"/>
      <c r="AE238" s="242"/>
      <c r="AF238" s="242"/>
    </row>
    <row r="239">
      <c r="A239" s="242"/>
      <c r="B239" s="242"/>
      <c r="C239" s="242"/>
      <c r="D239" s="13"/>
      <c r="E239" s="525"/>
      <c r="F239" s="525"/>
      <c r="G239" s="525"/>
      <c r="H239" s="242"/>
      <c r="I239" s="525"/>
      <c r="J239" s="525"/>
      <c r="K239" s="525"/>
      <c r="L239" s="525"/>
      <c r="M239" s="242"/>
      <c r="N239" s="525"/>
      <c r="O239" s="525"/>
      <c r="P239" s="525"/>
      <c r="Q239" s="525"/>
      <c r="R239" s="242"/>
      <c r="S239" s="242"/>
      <c r="T239" s="242"/>
      <c r="U239" s="242"/>
      <c r="V239" s="242"/>
      <c r="W239" s="242"/>
      <c r="X239" s="242"/>
      <c r="Y239" s="242"/>
      <c r="Z239" s="242"/>
      <c r="AA239" s="242"/>
      <c r="AB239" s="242"/>
      <c r="AC239" s="242"/>
      <c r="AD239" s="242"/>
      <c r="AE239" s="242"/>
      <c r="AF239" s="242"/>
    </row>
    <row r="240">
      <c r="A240" s="242"/>
      <c r="B240" s="242"/>
      <c r="C240" s="242"/>
      <c r="D240" s="13"/>
      <c r="E240" s="525"/>
      <c r="F240" s="525"/>
      <c r="G240" s="525"/>
      <c r="H240" s="242"/>
      <c r="I240" s="525"/>
      <c r="J240" s="525"/>
      <c r="K240" s="525"/>
      <c r="L240" s="525"/>
      <c r="M240" s="242"/>
      <c r="N240" s="525"/>
      <c r="O240" s="525"/>
      <c r="P240" s="525"/>
      <c r="Q240" s="525"/>
      <c r="R240" s="242"/>
      <c r="S240" s="242"/>
      <c r="T240" s="242"/>
      <c r="U240" s="242"/>
      <c r="V240" s="242"/>
      <c r="W240" s="242"/>
      <c r="X240" s="242"/>
      <c r="Y240" s="242"/>
      <c r="Z240" s="242"/>
      <c r="AA240" s="242"/>
      <c r="AB240" s="242"/>
      <c r="AC240" s="242"/>
      <c r="AD240" s="242"/>
      <c r="AE240" s="242"/>
      <c r="AF240" s="242"/>
    </row>
    <row r="241">
      <c r="A241" s="242"/>
      <c r="B241" s="242"/>
      <c r="C241" s="242"/>
      <c r="D241" s="13"/>
      <c r="E241" s="525"/>
      <c r="F241" s="525"/>
      <c r="G241" s="525"/>
      <c r="H241" s="242"/>
      <c r="I241" s="525"/>
      <c r="J241" s="525"/>
      <c r="K241" s="525"/>
      <c r="L241" s="525"/>
      <c r="M241" s="242"/>
      <c r="N241" s="525"/>
      <c r="O241" s="525"/>
      <c r="P241" s="525"/>
      <c r="Q241" s="525"/>
      <c r="R241" s="242"/>
      <c r="S241" s="242"/>
      <c r="T241" s="242"/>
      <c r="U241" s="242"/>
      <c r="V241" s="242"/>
      <c r="W241" s="242"/>
      <c r="X241" s="242"/>
      <c r="Y241" s="242"/>
      <c r="Z241" s="242"/>
      <c r="AA241" s="242"/>
      <c r="AB241" s="242"/>
      <c r="AC241" s="242"/>
      <c r="AD241" s="242"/>
      <c r="AE241" s="242"/>
      <c r="AF241" s="242"/>
    </row>
    <row r="242">
      <c r="A242" s="242"/>
      <c r="B242" s="242"/>
      <c r="C242" s="242"/>
      <c r="D242" s="13"/>
      <c r="E242" s="525"/>
      <c r="F242" s="525"/>
      <c r="G242" s="525"/>
      <c r="H242" s="242"/>
      <c r="I242" s="525"/>
      <c r="J242" s="525"/>
      <c r="K242" s="525"/>
      <c r="L242" s="525"/>
      <c r="M242" s="242"/>
      <c r="N242" s="525"/>
      <c r="O242" s="525"/>
      <c r="P242" s="525"/>
      <c r="Q242" s="525"/>
      <c r="R242" s="242"/>
      <c r="S242" s="242"/>
      <c r="T242" s="242"/>
      <c r="U242" s="242"/>
      <c r="V242" s="242"/>
      <c r="W242" s="242"/>
      <c r="X242" s="242"/>
      <c r="Y242" s="242"/>
      <c r="Z242" s="242"/>
      <c r="AA242" s="242"/>
      <c r="AB242" s="242"/>
      <c r="AC242" s="242"/>
      <c r="AD242" s="242"/>
      <c r="AE242" s="242"/>
      <c r="AF242" s="242"/>
    </row>
    <row r="243">
      <c r="A243" s="242"/>
      <c r="B243" s="242"/>
      <c r="C243" s="242"/>
      <c r="D243" s="13"/>
      <c r="E243" s="525"/>
      <c r="F243" s="525"/>
      <c r="G243" s="525"/>
      <c r="H243" s="242"/>
      <c r="I243" s="525"/>
      <c r="J243" s="525"/>
      <c r="K243" s="525"/>
      <c r="L243" s="525"/>
      <c r="M243" s="242"/>
      <c r="N243" s="525"/>
      <c r="O243" s="525"/>
      <c r="P243" s="525"/>
      <c r="Q243" s="525"/>
      <c r="R243" s="242"/>
      <c r="S243" s="242"/>
      <c r="T243" s="242"/>
      <c r="U243" s="242"/>
      <c r="V243" s="242"/>
      <c r="W243" s="242"/>
      <c r="X243" s="242"/>
      <c r="Y243" s="242"/>
      <c r="Z243" s="242"/>
      <c r="AA243" s="242"/>
      <c r="AB243" s="242"/>
      <c r="AC243" s="242"/>
      <c r="AD243" s="242"/>
      <c r="AE243" s="242"/>
      <c r="AF243" s="242"/>
    </row>
    <row r="244">
      <c r="A244" s="242"/>
      <c r="B244" s="242"/>
      <c r="C244" s="242"/>
      <c r="D244" s="13"/>
      <c r="E244" s="525"/>
      <c r="F244" s="525"/>
      <c r="G244" s="525"/>
      <c r="H244" s="242"/>
      <c r="I244" s="525"/>
      <c r="J244" s="525"/>
      <c r="K244" s="525"/>
      <c r="L244" s="525"/>
      <c r="M244" s="242"/>
      <c r="N244" s="525"/>
      <c r="O244" s="525"/>
      <c r="P244" s="525"/>
      <c r="Q244" s="525"/>
      <c r="R244" s="242"/>
      <c r="S244" s="242"/>
      <c r="T244" s="242"/>
      <c r="U244" s="242"/>
      <c r="V244" s="242"/>
      <c r="W244" s="242"/>
      <c r="X244" s="242"/>
      <c r="Y244" s="242"/>
      <c r="Z244" s="242"/>
      <c r="AA244" s="242"/>
      <c r="AB244" s="242"/>
      <c r="AC244" s="242"/>
      <c r="AD244" s="242"/>
      <c r="AE244" s="242"/>
      <c r="AF244" s="242"/>
    </row>
    <row r="245">
      <c r="A245" s="242"/>
      <c r="B245" s="242"/>
      <c r="C245" s="242"/>
      <c r="D245" s="13"/>
      <c r="E245" s="525"/>
      <c r="F245" s="525"/>
      <c r="G245" s="525"/>
      <c r="H245" s="242"/>
      <c r="I245" s="525"/>
      <c r="J245" s="525"/>
      <c r="K245" s="525"/>
      <c r="L245" s="525"/>
      <c r="M245" s="242"/>
      <c r="N245" s="525"/>
      <c r="O245" s="525"/>
      <c r="P245" s="525"/>
      <c r="Q245" s="525"/>
      <c r="R245" s="242"/>
      <c r="S245" s="242"/>
      <c r="T245" s="242"/>
      <c r="U245" s="242"/>
      <c r="V245" s="242"/>
      <c r="W245" s="242"/>
      <c r="X245" s="242"/>
      <c r="Y245" s="242"/>
      <c r="Z245" s="242"/>
      <c r="AA245" s="242"/>
      <c r="AB245" s="242"/>
      <c r="AC245" s="242"/>
      <c r="AD245" s="242"/>
      <c r="AE245" s="242"/>
      <c r="AF245" s="242"/>
    </row>
    <row r="246">
      <c r="A246" s="242"/>
      <c r="B246" s="242"/>
      <c r="C246" s="242"/>
      <c r="D246" s="13"/>
      <c r="E246" s="525"/>
      <c r="F246" s="525"/>
      <c r="G246" s="525"/>
      <c r="H246" s="242"/>
      <c r="I246" s="525"/>
      <c r="J246" s="525"/>
      <c r="K246" s="525"/>
      <c r="L246" s="525"/>
      <c r="M246" s="242"/>
      <c r="N246" s="525"/>
      <c r="O246" s="525"/>
      <c r="P246" s="525"/>
      <c r="Q246" s="525"/>
      <c r="R246" s="242"/>
      <c r="S246" s="242"/>
      <c r="T246" s="242"/>
      <c r="U246" s="242"/>
      <c r="V246" s="242"/>
      <c r="W246" s="242"/>
      <c r="X246" s="242"/>
      <c r="Y246" s="242"/>
      <c r="Z246" s="242"/>
      <c r="AA246" s="242"/>
      <c r="AB246" s="242"/>
      <c r="AC246" s="242"/>
      <c r="AD246" s="242"/>
      <c r="AE246" s="242"/>
      <c r="AF246" s="242"/>
    </row>
    <row r="247">
      <c r="A247" s="242"/>
      <c r="B247" s="242"/>
      <c r="C247" s="242"/>
      <c r="D247" s="13"/>
      <c r="E247" s="525"/>
      <c r="F247" s="525"/>
      <c r="G247" s="525"/>
      <c r="H247" s="242"/>
      <c r="I247" s="525"/>
      <c r="J247" s="525"/>
      <c r="K247" s="525"/>
      <c r="L247" s="525"/>
      <c r="M247" s="242"/>
      <c r="N247" s="525"/>
      <c r="O247" s="525"/>
      <c r="P247" s="525"/>
      <c r="Q247" s="525"/>
      <c r="R247" s="242"/>
      <c r="S247" s="242"/>
      <c r="T247" s="242"/>
      <c r="U247" s="242"/>
      <c r="V247" s="242"/>
      <c r="W247" s="242"/>
      <c r="X247" s="242"/>
      <c r="Y247" s="242"/>
      <c r="Z247" s="242"/>
      <c r="AA247" s="242"/>
      <c r="AB247" s="242"/>
      <c r="AC247" s="242"/>
      <c r="AD247" s="242"/>
      <c r="AE247" s="242"/>
      <c r="AF247" s="242"/>
    </row>
    <row r="248">
      <c r="A248" s="242"/>
      <c r="B248" s="242"/>
      <c r="C248" s="242"/>
      <c r="D248" s="13"/>
      <c r="E248" s="525"/>
      <c r="F248" s="525"/>
      <c r="G248" s="525"/>
      <c r="H248" s="242"/>
      <c r="I248" s="525"/>
      <c r="J248" s="525"/>
      <c r="K248" s="525"/>
      <c r="L248" s="525"/>
      <c r="M248" s="242"/>
      <c r="N248" s="525"/>
      <c r="O248" s="525"/>
      <c r="P248" s="525"/>
      <c r="Q248" s="525"/>
      <c r="R248" s="242"/>
      <c r="S248" s="242"/>
      <c r="T248" s="242"/>
      <c r="U248" s="242"/>
      <c r="V248" s="242"/>
      <c r="W248" s="242"/>
      <c r="X248" s="242"/>
      <c r="Y248" s="242"/>
      <c r="Z248" s="242"/>
      <c r="AA248" s="242"/>
      <c r="AB248" s="242"/>
      <c r="AC248" s="242"/>
      <c r="AD248" s="242"/>
      <c r="AE248" s="242"/>
      <c r="AF248" s="242"/>
    </row>
    <row r="249">
      <c r="A249" s="242"/>
      <c r="B249" s="242"/>
      <c r="C249" s="242"/>
      <c r="D249" s="13"/>
      <c r="E249" s="525"/>
      <c r="F249" s="525"/>
      <c r="G249" s="525"/>
      <c r="H249" s="242"/>
      <c r="I249" s="525"/>
      <c r="J249" s="525"/>
      <c r="K249" s="525"/>
      <c r="L249" s="525"/>
      <c r="M249" s="242"/>
      <c r="N249" s="525"/>
      <c r="O249" s="525"/>
      <c r="P249" s="525"/>
      <c r="Q249" s="525"/>
      <c r="R249" s="242"/>
      <c r="S249" s="242"/>
      <c r="T249" s="242"/>
      <c r="U249" s="242"/>
      <c r="V249" s="242"/>
      <c r="W249" s="242"/>
      <c r="X249" s="242"/>
      <c r="Y249" s="242"/>
      <c r="Z249" s="242"/>
      <c r="AA249" s="242"/>
      <c r="AB249" s="242"/>
      <c r="AC249" s="242"/>
      <c r="AD249" s="242"/>
      <c r="AE249" s="242"/>
      <c r="AF249" s="242"/>
    </row>
    <row r="250">
      <c r="A250" s="242"/>
      <c r="B250" s="242"/>
      <c r="C250" s="242"/>
      <c r="D250" s="13"/>
      <c r="E250" s="525"/>
      <c r="F250" s="525"/>
      <c r="G250" s="525"/>
      <c r="H250" s="242"/>
      <c r="I250" s="525"/>
      <c r="J250" s="525"/>
      <c r="K250" s="525"/>
      <c r="L250" s="525"/>
      <c r="M250" s="242"/>
      <c r="N250" s="525"/>
      <c r="O250" s="525"/>
      <c r="P250" s="525"/>
      <c r="Q250" s="525"/>
      <c r="R250" s="242"/>
      <c r="S250" s="242"/>
      <c r="T250" s="242"/>
      <c r="U250" s="242"/>
      <c r="V250" s="242"/>
      <c r="W250" s="242"/>
      <c r="X250" s="242"/>
      <c r="Y250" s="242"/>
      <c r="Z250" s="242"/>
      <c r="AA250" s="242"/>
      <c r="AB250" s="242"/>
      <c r="AC250" s="242"/>
      <c r="AD250" s="242"/>
      <c r="AE250" s="242"/>
      <c r="AF250" s="242"/>
    </row>
    <row r="251">
      <c r="A251" s="242"/>
      <c r="B251" s="242"/>
      <c r="C251" s="242"/>
      <c r="D251" s="13"/>
      <c r="E251" s="525"/>
      <c r="F251" s="525"/>
      <c r="G251" s="525"/>
      <c r="H251" s="242"/>
      <c r="I251" s="525"/>
      <c r="J251" s="525"/>
      <c r="K251" s="525"/>
      <c r="L251" s="525"/>
      <c r="M251" s="242"/>
      <c r="N251" s="525"/>
      <c r="O251" s="525"/>
      <c r="P251" s="525"/>
      <c r="Q251" s="525"/>
      <c r="R251" s="242"/>
      <c r="S251" s="242"/>
      <c r="T251" s="242"/>
      <c r="U251" s="242"/>
      <c r="V251" s="242"/>
      <c r="W251" s="242"/>
      <c r="X251" s="242"/>
      <c r="Y251" s="242"/>
      <c r="Z251" s="242"/>
      <c r="AA251" s="242"/>
      <c r="AB251" s="242"/>
      <c r="AC251" s="242"/>
      <c r="AD251" s="242"/>
      <c r="AE251" s="242"/>
      <c r="AF251" s="242"/>
    </row>
    <row r="252">
      <c r="A252" s="242"/>
      <c r="B252" s="242"/>
      <c r="C252" s="242"/>
      <c r="D252" s="13"/>
      <c r="E252" s="525"/>
      <c r="F252" s="525"/>
      <c r="G252" s="525"/>
      <c r="H252" s="242"/>
      <c r="I252" s="525"/>
      <c r="J252" s="525"/>
      <c r="K252" s="525"/>
      <c r="L252" s="525"/>
      <c r="M252" s="242"/>
      <c r="N252" s="525"/>
      <c r="O252" s="525"/>
      <c r="P252" s="525"/>
      <c r="Q252" s="525"/>
      <c r="R252" s="242"/>
      <c r="S252" s="242"/>
      <c r="T252" s="242"/>
      <c r="U252" s="242"/>
      <c r="V252" s="242"/>
      <c r="W252" s="242"/>
      <c r="X252" s="242"/>
      <c r="Y252" s="242"/>
      <c r="Z252" s="242"/>
      <c r="AA252" s="242"/>
      <c r="AB252" s="242"/>
      <c r="AC252" s="242"/>
      <c r="AD252" s="242"/>
      <c r="AE252" s="242"/>
      <c r="AF252" s="242"/>
    </row>
    <row r="253">
      <c r="A253" s="242"/>
      <c r="B253" s="242"/>
      <c r="C253" s="242"/>
      <c r="D253" s="13"/>
      <c r="E253" s="525"/>
      <c r="F253" s="525"/>
      <c r="G253" s="525"/>
      <c r="H253" s="242"/>
      <c r="I253" s="525"/>
      <c r="J253" s="525"/>
      <c r="K253" s="525"/>
      <c r="L253" s="525"/>
      <c r="M253" s="242"/>
      <c r="N253" s="525"/>
      <c r="O253" s="525"/>
      <c r="P253" s="525"/>
      <c r="Q253" s="525"/>
      <c r="R253" s="242"/>
      <c r="S253" s="242"/>
      <c r="T253" s="242"/>
      <c r="U253" s="242"/>
      <c r="V253" s="242"/>
      <c r="W253" s="242"/>
      <c r="X253" s="242"/>
      <c r="Y253" s="242"/>
      <c r="Z253" s="242"/>
      <c r="AA253" s="242"/>
      <c r="AB253" s="242"/>
      <c r="AC253" s="242"/>
      <c r="AD253" s="242"/>
      <c r="AE253" s="242"/>
      <c r="AF253" s="242"/>
    </row>
    <row r="254">
      <c r="A254" s="242"/>
      <c r="B254" s="242"/>
      <c r="C254" s="242"/>
      <c r="D254" s="13"/>
      <c r="E254" s="525"/>
      <c r="F254" s="525"/>
      <c r="G254" s="525"/>
      <c r="H254" s="242"/>
      <c r="I254" s="525"/>
      <c r="J254" s="525"/>
      <c r="K254" s="525"/>
      <c r="L254" s="525"/>
      <c r="M254" s="242"/>
      <c r="N254" s="525"/>
      <c r="O254" s="525"/>
      <c r="P254" s="525"/>
      <c r="Q254" s="525"/>
      <c r="R254" s="242"/>
      <c r="S254" s="242"/>
      <c r="T254" s="242"/>
      <c r="U254" s="242"/>
      <c r="V254" s="242"/>
      <c r="W254" s="242"/>
      <c r="X254" s="242"/>
      <c r="Y254" s="242"/>
      <c r="Z254" s="242"/>
      <c r="AA254" s="242"/>
      <c r="AB254" s="242"/>
      <c r="AC254" s="242"/>
      <c r="AD254" s="242"/>
      <c r="AE254" s="242"/>
      <c r="AF254" s="242"/>
    </row>
    <row r="255">
      <c r="A255" s="242"/>
      <c r="B255" s="242"/>
      <c r="C255" s="242"/>
      <c r="D255" s="13"/>
      <c r="E255" s="525"/>
      <c r="F255" s="525"/>
      <c r="G255" s="525"/>
      <c r="H255" s="242"/>
      <c r="I255" s="525"/>
      <c r="J255" s="525"/>
      <c r="K255" s="525"/>
      <c r="L255" s="525"/>
      <c r="M255" s="242"/>
      <c r="N255" s="525"/>
      <c r="O255" s="525"/>
      <c r="P255" s="525"/>
      <c r="Q255" s="525"/>
      <c r="R255" s="242"/>
      <c r="S255" s="242"/>
      <c r="T255" s="242"/>
      <c r="U255" s="242"/>
      <c r="V255" s="242"/>
      <c r="W255" s="242"/>
      <c r="X255" s="242"/>
      <c r="Y255" s="242"/>
      <c r="Z255" s="242"/>
      <c r="AA255" s="242"/>
      <c r="AB255" s="242"/>
      <c r="AC255" s="242"/>
      <c r="AD255" s="242"/>
      <c r="AE255" s="242"/>
      <c r="AF255" s="242"/>
    </row>
    <row r="256">
      <c r="A256" s="242"/>
      <c r="B256" s="242"/>
      <c r="C256" s="242"/>
      <c r="D256" s="13"/>
      <c r="E256" s="525"/>
      <c r="F256" s="525"/>
      <c r="G256" s="525"/>
      <c r="H256" s="242"/>
      <c r="I256" s="525"/>
      <c r="J256" s="525"/>
      <c r="K256" s="525"/>
      <c r="L256" s="525"/>
      <c r="M256" s="242"/>
      <c r="N256" s="525"/>
      <c r="O256" s="525"/>
      <c r="P256" s="525"/>
      <c r="Q256" s="525"/>
      <c r="R256" s="242"/>
      <c r="S256" s="242"/>
      <c r="T256" s="242"/>
      <c r="U256" s="242"/>
      <c r="V256" s="242"/>
      <c r="W256" s="242"/>
      <c r="X256" s="242"/>
      <c r="Y256" s="242"/>
      <c r="Z256" s="242"/>
      <c r="AA256" s="242"/>
      <c r="AB256" s="242"/>
      <c r="AC256" s="242"/>
      <c r="AD256" s="242"/>
      <c r="AE256" s="242"/>
      <c r="AF256" s="242"/>
    </row>
    <row r="257">
      <c r="A257" s="242"/>
      <c r="B257" s="242"/>
      <c r="C257" s="242"/>
      <c r="D257" s="13"/>
      <c r="E257" s="525"/>
      <c r="F257" s="525"/>
      <c r="G257" s="525"/>
      <c r="H257" s="242"/>
      <c r="I257" s="525"/>
      <c r="J257" s="525"/>
      <c r="K257" s="525"/>
      <c r="L257" s="525"/>
      <c r="M257" s="242"/>
      <c r="N257" s="525"/>
      <c r="O257" s="525"/>
      <c r="P257" s="525"/>
      <c r="Q257" s="525"/>
      <c r="R257" s="242"/>
      <c r="S257" s="242"/>
      <c r="T257" s="242"/>
      <c r="U257" s="242"/>
      <c r="V257" s="242"/>
      <c r="W257" s="242"/>
      <c r="X257" s="242"/>
      <c r="Y257" s="242"/>
      <c r="Z257" s="242"/>
      <c r="AA257" s="242"/>
      <c r="AB257" s="242"/>
      <c r="AC257" s="242"/>
      <c r="AD257" s="242"/>
      <c r="AE257" s="242"/>
      <c r="AF257" s="242"/>
    </row>
    <row r="258">
      <c r="A258" s="242"/>
      <c r="B258" s="242"/>
      <c r="C258" s="242"/>
      <c r="D258" s="13"/>
      <c r="E258" s="525"/>
      <c r="F258" s="525"/>
      <c r="G258" s="525"/>
      <c r="H258" s="242"/>
      <c r="I258" s="525"/>
      <c r="J258" s="525"/>
      <c r="K258" s="525"/>
      <c r="L258" s="525"/>
      <c r="M258" s="242"/>
      <c r="N258" s="525"/>
      <c r="O258" s="525"/>
      <c r="P258" s="525"/>
      <c r="Q258" s="525"/>
      <c r="R258" s="242"/>
      <c r="S258" s="242"/>
      <c r="T258" s="242"/>
      <c r="U258" s="242"/>
      <c r="V258" s="242"/>
      <c r="W258" s="242"/>
      <c r="X258" s="242"/>
      <c r="Y258" s="242"/>
      <c r="Z258" s="242"/>
      <c r="AA258" s="242"/>
      <c r="AB258" s="242"/>
      <c r="AC258" s="242"/>
      <c r="AD258" s="242"/>
      <c r="AE258" s="242"/>
      <c r="AF258" s="242"/>
    </row>
    <row r="259">
      <c r="A259" s="242"/>
      <c r="B259" s="242"/>
      <c r="C259" s="242"/>
      <c r="D259" s="13"/>
      <c r="E259" s="525"/>
      <c r="F259" s="525"/>
      <c r="G259" s="525"/>
      <c r="H259" s="242"/>
      <c r="I259" s="525"/>
      <c r="J259" s="525"/>
      <c r="K259" s="525"/>
      <c r="L259" s="525"/>
      <c r="M259" s="242"/>
      <c r="N259" s="525"/>
      <c r="O259" s="525"/>
      <c r="P259" s="525"/>
      <c r="Q259" s="525"/>
      <c r="R259" s="242"/>
      <c r="S259" s="242"/>
      <c r="T259" s="242"/>
      <c r="U259" s="242"/>
      <c r="V259" s="242"/>
      <c r="W259" s="242"/>
      <c r="X259" s="242"/>
      <c r="Y259" s="242"/>
      <c r="Z259" s="242"/>
      <c r="AA259" s="242"/>
      <c r="AB259" s="242"/>
      <c r="AC259" s="242"/>
      <c r="AD259" s="242"/>
      <c r="AE259" s="242"/>
      <c r="AF259" s="242"/>
    </row>
    <row r="260">
      <c r="A260" s="242"/>
      <c r="B260" s="242"/>
      <c r="C260" s="242"/>
      <c r="D260" s="13"/>
      <c r="E260" s="525"/>
      <c r="F260" s="525"/>
      <c r="G260" s="525"/>
      <c r="H260" s="242"/>
      <c r="I260" s="525"/>
      <c r="J260" s="525"/>
      <c r="K260" s="525"/>
      <c r="L260" s="525"/>
      <c r="M260" s="242"/>
      <c r="N260" s="525"/>
      <c r="O260" s="525"/>
      <c r="P260" s="525"/>
      <c r="Q260" s="525"/>
      <c r="R260" s="242"/>
      <c r="S260" s="242"/>
      <c r="T260" s="242"/>
      <c r="U260" s="242"/>
      <c r="V260" s="242"/>
      <c r="W260" s="242"/>
      <c r="X260" s="242"/>
      <c r="Y260" s="242"/>
      <c r="Z260" s="242"/>
      <c r="AA260" s="242"/>
      <c r="AB260" s="242"/>
      <c r="AC260" s="242"/>
      <c r="AD260" s="242"/>
      <c r="AE260" s="242"/>
      <c r="AF260" s="242"/>
    </row>
    <row r="261">
      <c r="A261" s="242"/>
      <c r="B261" s="242"/>
      <c r="C261" s="242"/>
      <c r="D261" s="13"/>
      <c r="E261" s="525"/>
      <c r="F261" s="525"/>
      <c r="G261" s="525"/>
      <c r="H261" s="242"/>
      <c r="I261" s="525"/>
      <c r="J261" s="525"/>
      <c r="K261" s="525"/>
      <c r="L261" s="525"/>
      <c r="M261" s="242"/>
      <c r="N261" s="525"/>
      <c r="O261" s="525"/>
      <c r="P261" s="525"/>
      <c r="Q261" s="525"/>
      <c r="R261" s="242"/>
      <c r="S261" s="242"/>
      <c r="T261" s="242"/>
      <c r="U261" s="242"/>
      <c r="V261" s="242"/>
      <c r="W261" s="242"/>
      <c r="X261" s="242"/>
      <c r="Y261" s="242"/>
      <c r="Z261" s="242"/>
      <c r="AA261" s="242"/>
      <c r="AB261" s="242"/>
      <c r="AC261" s="242"/>
      <c r="AD261" s="242"/>
      <c r="AE261" s="242"/>
      <c r="AF261" s="242"/>
    </row>
    <row r="262">
      <c r="A262" s="242"/>
      <c r="B262" s="242"/>
      <c r="C262" s="242"/>
      <c r="D262" s="13"/>
      <c r="E262" s="525"/>
      <c r="F262" s="525"/>
      <c r="G262" s="525"/>
      <c r="H262" s="242"/>
      <c r="I262" s="525"/>
      <c r="J262" s="525"/>
      <c r="K262" s="525"/>
      <c r="L262" s="525"/>
      <c r="M262" s="242"/>
      <c r="N262" s="525"/>
      <c r="O262" s="525"/>
      <c r="P262" s="525"/>
      <c r="Q262" s="525"/>
      <c r="R262" s="242"/>
      <c r="S262" s="242"/>
      <c r="T262" s="242"/>
      <c r="U262" s="242"/>
      <c r="V262" s="242"/>
      <c r="W262" s="242"/>
      <c r="X262" s="242"/>
      <c r="Y262" s="242"/>
      <c r="Z262" s="242"/>
      <c r="AA262" s="242"/>
      <c r="AB262" s="242"/>
      <c r="AC262" s="242"/>
      <c r="AD262" s="242"/>
      <c r="AE262" s="242"/>
      <c r="AF262" s="242"/>
    </row>
    <row r="263">
      <c r="A263" s="242"/>
      <c r="B263" s="242"/>
      <c r="C263" s="242"/>
      <c r="D263" s="13"/>
      <c r="E263" s="525"/>
      <c r="F263" s="525"/>
      <c r="G263" s="525"/>
      <c r="H263" s="242"/>
      <c r="I263" s="525"/>
      <c r="J263" s="525"/>
      <c r="K263" s="525"/>
      <c r="L263" s="525"/>
      <c r="M263" s="242"/>
      <c r="N263" s="525"/>
      <c r="O263" s="525"/>
      <c r="P263" s="525"/>
      <c r="Q263" s="525"/>
      <c r="R263" s="242"/>
      <c r="S263" s="242"/>
      <c r="T263" s="242"/>
      <c r="U263" s="242"/>
      <c r="V263" s="242"/>
      <c r="W263" s="242"/>
      <c r="X263" s="242"/>
      <c r="Y263" s="242"/>
      <c r="Z263" s="242"/>
      <c r="AA263" s="242"/>
      <c r="AB263" s="242"/>
      <c r="AC263" s="242"/>
      <c r="AD263" s="242"/>
      <c r="AE263" s="242"/>
      <c r="AF263" s="242"/>
    </row>
    <row r="264">
      <c r="A264" s="242"/>
      <c r="B264" s="242"/>
      <c r="C264" s="242"/>
      <c r="D264" s="13"/>
      <c r="E264" s="525"/>
      <c r="F264" s="525"/>
      <c r="G264" s="525"/>
      <c r="H264" s="242"/>
      <c r="I264" s="525"/>
      <c r="J264" s="525"/>
      <c r="K264" s="525"/>
      <c r="L264" s="525"/>
      <c r="M264" s="242"/>
      <c r="N264" s="525"/>
      <c r="O264" s="525"/>
      <c r="P264" s="525"/>
      <c r="Q264" s="525"/>
      <c r="R264" s="242"/>
      <c r="S264" s="242"/>
      <c r="T264" s="242"/>
      <c r="U264" s="242"/>
      <c r="V264" s="242"/>
      <c r="W264" s="242"/>
      <c r="X264" s="242"/>
      <c r="Y264" s="242"/>
      <c r="Z264" s="242"/>
      <c r="AA264" s="242"/>
      <c r="AB264" s="242"/>
      <c r="AC264" s="242"/>
      <c r="AD264" s="242"/>
      <c r="AE264" s="242"/>
      <c r="AF264" s="242"/>
    </row>
    <row r="265">
      <c r="A265" s="242"/>
      <c r="B265" s="242"/>
      <c r="C265" s="242"/>
      <c r="D265" s="13"/>
      <c r="E265" s="525"/>
      <c r="F265" s="525"/>
      <c r="G265" s="525"/>
      <c r="H265" s="242"/>
      <c r="I265" s="525"/>
      <c r="J265" s="525"/>
      <c r="K265" s="525"/>
      <c r="L265" s="525"/>
      <c r="M265" s="242"/>
      <c r="N265" s="525"/>
      <c r="O265" s="525"/>
      <c r="P265" s="525"/>
      <c r="Q265" s="525"/>
      <c r="R265" s="242"/>
      <c r="S265" s="242"/>
      <c r="T265" s="242"/>
      <c r="U265" s="242"/>
      <c r="V265" s="242"/>
      <c r="W265" s="242"/>
      <c r="X265" s="242"/>
      <c r="Y265" s="242"/>
      <c r="Z265" s="242"/>
      <c r="AA265" s="242"/>
      <c r="AB265" s="242"/>
      <c r="AC265" s="242"/>
      <c r="AD265" s="242"/>
      <c r="AE265" s="242"/>
      <c r="AF265" s="242"/>
    </row>
    <row r="266">
      <c r="A266" s="242"/>
      <c r="B266" s="242"/>
      <c r="C266" s="242"/>
      <c r="D266" s="13"/>
      <c r="E266" s="525"/>
      <c r="F266" s="525"/>
      <c r="G266" s="525"/>
      <c r="H266" s="242"/>
      <c r="I266" s="525"/>
      <c r="J266" s="525"/>
      <c r="K266" s="525"/>
      <c r="L266" s="525"/>
      <c r="M266" s="242"/>
      <c r="N266" s="525"/>
      <c r="O266" s="525"/>
      <c r="P266" s="525"/>
      <c r="Q266" s="525"/>
      <c r="R266" s="242"/>
      <c r="S266" s="242"/>
      <c r="T266" s="242"/>
      <c r="U266" s="242"/>
      <c r="V266" s="242"/>
      <c r="W266" s="242"/>
      <c r="X266" s="242"/>
      <c r="Y266" s="242"/>
      <c r="Z266" s="242"/>
      <c r="AA266" s="242"/>
      <c r="AB266" s="242"/>
      <c r="AC266" s="242"/>
      <c r="AD266" s="242"/>
      <c r="AE266" s="242"/>
      <c r="AF266" s="242"/>
    </row>
    <row r="267">
      <c r="A267" s="242"/>
      <c r="B267" s="242"/>
      <c r="C267" s="242"/>
      <c r="D267" s="13"/>
      <c r="E267" s="525"/>
      <c r="F267" s="525"/>
      <c r="G267" s="525"/>
      <c r="H267" s="242"/>
      <c r="I267" s="525"/>
      <c r="J267" s="525"/>
      <c r="K267" s="525"/>
      <c r="L267" s="525"/>
      <c r="M267" s="242"/>
      <c r="N267" s="525"/>
      <c r="O267" s="525"/>
      <c r="P267" s="525"/>
      <c r="Q267" s="525"/>
      <c r="R267" s="242"/>
      <c r="S267" s="242"/>
      <c r="T267" s="242"/>
      <c r="U267" s="242"/>
      <c r="V267" s="242"/>
      <c r="W267" s="242"/>
      <c r="X267" s="242"/>
      <c r="Y267" s="242"/>
      <c r="Z267" s="242"/>
      <c r="AA267" s="242"/>
      <c r="AB267" s="242"/>
      <c r="AC267" s="242"/>
      <c r="AD267" s="242"/>
      <c r="AE267" s="242"/>
      <c r="AF267" s="242"/>
    </row>
    <row r="268">
      <c r="A268" s="242"/>
      <c r="B268" s="242"/>
      <c r="C268" s="242"/>
      <c r="D268" s="13"/>
      <c r="E268" s="525"/>
      <c r="F268" s="525"/>
      <c r="G268" s="525"/>
      <c r="H268" s="242"/>
      <c r="I268" s="525"/>
      <c r="J268" s="525"/>
      <c r="K268" s="525"/>
      <c r="L268" s="525"/>
      <c r="M268" s="242"/>
      <c r="N268" s="525"/>
      <c r="O268" s="525"/>
      <c r="P268" s="525"/>
      <c r="Q268" s="525"/>
      <c r="R268" s="242"/>
      <c r="S268" s="242"/>
      <c r="T268" s="242"/>
      <c r="U268" s="242"/>
      <c r="V268" s="242"/>
      <c r="W268" s="242"/>
      <c r="X268" s="242"/>
      <c r="Y268" s="242"/>
      <c r="Z268" s="242"/>
      <c r="AA268" s="242"/>
      <c r="AB268" s="242"/>
      <c r="AC268" s="242"/>
      <c r="AD268" s="242"/>
      <c r="AE268" s="242"/>
      <c r="AF268" s="242"/>
    </row>
    <row r="269">
      <c r="A269" s="242"/>
      <c r="B269" s="242"/>
      <c r="C269" s="242"/>
      <c r="D269" s="13"/>
      <c r="E269" s="525"/>
      <c r="F269" s="525"/>
      <c r="G269" s="525"/>
      <c r="H269" s="242"/>
      <c r="I269" s="525"/>
      <c r="J269" s="525"/>
      <c r="K269" s="525"/>
      <c r="L269" s="525"/>
      <c r="M269" s="242"/>
      <c r="N269" s="525"/>
      <c r="O269" s="525"/>
      <c r="P269" s="525"/>
      <c r="Q269" s="525"/>
      <c r="R269" s="242"/>
      <c r="S269" s="242"/>
      <c r="T269" s="242"/>
      <c r="U269" s="242"/>
      <c r="V269" s="242"/>
      <c r="W269" s="242"/>
      <c r="X269" s="242"/>
      <c r="Y269" s="242"/>
      <c r="Z269" s="242"/>
      <c r="AA269" s="242"/>
      <c r="AB269" s="242"/>
      <c r="AC269" s="242"/>
      <c r="AD269" s="242"/>
      <c r="AE269" s="242"/>
      <c r="AF269" s="242"/>
    </row>
    <row r="270">
      <c r="A270" s="242"/>
      <c r="B270" s="242"/>
      <c r="C270" s="242"/>
      <c r="D270" s="13"/>
      <c r="E270" s="525"/>
      <c r="F270" s="525"/>
      <c r="G270" s="525"/>
      <c r="H270" s="242"/>
      <c r="I270" s="525"/>
      <c r="J270" s="525"/>
      <c r="K270" s="525"/>
      <c r="L270" s="525"/>
      <c r="M270" s="242"/>
      <c r="N270" s="525"/>
      <c r="O270" s="525"/>
      <c r="P270" s="525"/>
      <c r="Q270" s="525"/>
      <c r="R270" s="242"/>
      <c r="S270" s="242"/>
      <c r="T270" s="242"/>
      <c r="U270" s="242"/>
      <c r="V270" s="242"/>
      <c r="W270" s="242"/>
      <c r="X270" s="242"/>
      <c r="Y270" s="242"/>
      <c r="Z270" s="242"/>
      <c r="AA270" s="242"/>
      <c r="AB270" s="242"/>
      <c r="AC270" s="242"/>
      <c r="AD270" s="242"/>
      <c r="AE270" s="242"/>
      <c r="AF270" s="242"/>
    </row>
    <row r="271">
      <c r="A271" s="242"/>
      <c r="B271" s="242"/>
      <c r="C271" s="242"/>
      <c r="D271" s="13"/>
      <c r="E271" s="525"/>
      <c r="F271" s="525"/>
      <c r="G271" s="525"/>
      <c r="H271" s="242"/>
      <c r="I271" s="525"/>
      <c r="J271" s="525"/>
      <c r="K271" s="525"/>
      <c r="L271" s="525"/>
      <c r="M271" s="242"/>
      <c r="N271" s="525"/>
      <c r="O271" s="525"/>
      <c r="P271" s="525"/>
      <c r="Q271" s="525"/>
      <c r="R271" s="242"/>
      <c r="S271" s="242"/>
      <c r="T271" s="242"/>
      <c r="U271" s="242"/>
      <c r="V271" s="242"/>
      <c r="W271" s="242"/>
      <c r="X271" s="242"/>
      <c r="Y271" s="242"/>
      <c r="Z271" s="242"/>
      <c r="AA271" s="242"/>
      <c r="AB271" s="242"/>
      <c r="AC271" s="242"/>
      <c r="AD271" s="242"/>
      <c r="AE271" s="242"/>
      <c r="AF271" s="242"/>
    </row>
    <row r="272">
      <c r="A272" s="242"/>
      <c r="B272" s="242"/>
      <c r="C272" s="242"/>
      <c r="D272" s="13"/>
      <c r="E272" s="525"/>
      <c r="F272" s="525"/>
      <c r="G272" s="525"/>
      <c r="H272" s="242"/>
      <c r="I272" s="525"/>
      <c r="J272" s="525"/>
      <c r="K272" s="525"/>
      <c r="L272" s="525"/>
      <c r="M272" s="242"/>
      <c r="N272" s="525"/>
      <c r="O272" s="525"/>
      <c r="P272" s="525"/>
      <c r="Q272" s="525"/>
      <c r="R272" s="242"/>
      <c r="S272" s="242"/>
      <c r="T272" s="242"/>
      <c r="U272" s="242"/>
      <c r="V272" s="242"/>
      <c r="W272" s="242"/>
      <c r="X272" s="242"/>
      <c r="Y272" s="242"/>
      <c r="Z272" s="242"/>
      <c r="AA272" s="242"/>
      <c r="AB272" s="242"/>
      <c r="AC272" s="242"/>
      <c r="AD272" s="242"/>
      <c r="AE272" s="242"/>
      <c r="AF272" s="242"/>
    </row>
    <row r="273">
      <c r="A273" s="242"/>
      <c r="B273" s="242"/>
      <c r="C273" s="242"/>
      <c r="D273" s="13"/>
      <c r="E273" s="525"/>
      <c r="F273" s="525"/>
      <c r="G273" s="525"/>
      <c r="H273" s="242"/>
      <c r="I273" s="525"/>
      <c r="J273" s="525"/>
      <c r="K273" s="525"/>
      <c r="L273" s="525"/>
      <c r="M273" s="242"/>
      <c r="N273" s="525"/>
      <c r="O273" s="525"/>
      <c r="P273" s="525"/>
      <c r="Q273" s="525"/>
      <c r="R273" s="242"/>
      <c r="S273" s="242"/>
      <c r="T273" s="242"/>
      <c r="U273" s="242"/>
      <c r="V273" s="242"/>
      <c r="W273" s="242"/>
      <c r="X273" s="242"/>
      <c r="Y273" s="242"/>
      <c r="Z273" s="242"/>
      <c r="AA273" s="242"/>
      <c r="AB273" s="242"/>
      <c r="AC273" s="242"/>
      <c r="AD273" s="242"/>
      <c r="AE273" s="242"/>
      <c r="AF273" s="242"/>
    </row>
    <row r="274">
      <c r="A274" s="242"/>
      <c r="B274" s="242"/>
      <c r="C274" s="242"/>
      <c r="D274" s="13"/>
      <c r="E274" s="525"/>
      <c r="F274" s="525"/>
      <c r="G274" s="525"/>
      <c r="H274" s="242"/>
      <c r="I274" s="525"/>
      <c r="J274" s="525"/>
      <c r="K274" s="525"/>
      <c r="L274" s="525"/>
      <c r="M274" s="242"/>
      <c r="N274" s="525"/>
      <c r="O274" s="525"/>
      <c r="P274" s="525"/>
      <c r="Q274" s="525"/>
      <c r="R274" s="242"/>
      <c r="S274" s="242"/>
      <c r="T274" s="242"/>
      <c r="U274" s="242"/>
      <c r="V274" s="242"/>
      <c r="W274" s="242"/>
      <c r="X274" s="242"/>
      <c r="Y274" s="242"/>
      <c r="Z274" s="242"/>
      <c r="AA274" s="242"/>
      <c r="AB274" s="242"/>
      <c r="AC274" s="242"/>
      <c r="AD274" s="242"/>
      <c r="AE274" s="242"/>
      <c r="AF274" s="242"/>
    </row>
    <row r="275">
      <c r="A275" s="242"/>
      <c r="B275" s="242"/>
      <c r="C275" s="242"/>
      <c r="D275" s="13"/>
      <c r="E275" s="525"/>
      <c r="F275" s="525"/>
      <c r="G275" s="525"/>
      <c r="H275" s="242"/>
      <c r="I275" s="525"/>
      <c r="J275" s="525"/>
      <c r="K275" s="525"/>
      <c r="L275" s="525"/>
      <c r="M275" s="242"/>
      <c r="N275" s="525"/>
      <c r="O275" s="525"/>
      <c r="P275" s="525"/>
      <c r="Q275" s="525"/>
      <c r="R275" s="242"/>
      <c r="S275" s="242"/>
      <c r="T275" s="242"/>
      <c r="U275" s="242"/>
      <c r="V275" s="242"/>
      <c r="W275" s="242"/>
      <c r="X275" s="242"/>
      <c r="Y275" s="242"/>
      <c r="Z275" s="242"/>
      <c r="AA275" s="242"/>
      <c r="AB275" s="242"/>
      <c r="AC275" s="242"/>
      <c r="AD275" s="242"/>
      <c r="AE275" s="242"/>
      <c r="AF275" s="242"/>
    </row>
    <row r="276">
      <c r="A276" s="242"/>
      <c r="B276" s="242"/>
      <c r="C276" s="242"/>
      <c r="D276" s="13"/>
      <c r="E276" s="525"/>
      <c r="F276" s="525"/>
      <c r="G276" s="525"/>
      <c r="H276" s="242"/>
      <c r="I276" s="525"/>
      <c r="J276" s="525"/>
      <c r="K276" s="525"/>
      <c r="L276" s="525"/>
      <c r="M276" s="242"/>
      <c r="N276" s="525"/>
      <c r="O276" s="525"/>
      <c r="P276" s="525"/>
      <c r="Q276" s="525"/>
      <c r="R276" s="242"/>
      <c r="S276" s="242"/>
      <c r="T276" s="242"/>
      <c r="U276" s="242"/>
      <c r="V276" s="242"/>
      <c r="W276" s="242"/>
      <c r="X276" s="242"/>
      <c r="Y276" s="242"/>
      <c r="Z276" s="242"/>
      <c r="AA276" s="242"/>
      <c r="AB276" s="242"/>
      <c r="AC276" s="242"/>
      <c r="AD276" s="242"/>
      <c r="AE276" s="242"/>
      <c r="AF276" s="242"/>
    </row>
    <row r="277">
      <c r="A277" s="242"/>
      <c r="B277" s="242"/>
      <c r="C277" s="242"/>
      <c r="D277" s="13"/>
      <c r="E277" s="525"/>
      <c r="F277" s="525"/>
      <c r="G277" s="525"/>
      <c r="H277" s="242"/>
      <c r="I277" s="525"/>
      <c r="J277" s="525"/>
      <c r="K277" s="525"/>
      <c r="L277" s="525"/>
      <c r="M277" s="242"/>
      <c r="N277" s="525"/>
      <c r="O277" s="525"/>
      <c r="P277" s="525"/>
      <c r="Q277" s="525"/>
      <c r="R277" s="242"/>
      <c r="S277" s="242"/>
      <c r="T277" s="242"/>
      <c r="U277" s="242"/>
      <c r="V277" s="242"/>
      <c r="W277" s="242"/>
      <c r="X277" s="242"/>
      <c r="Y277" s="242"/>
      <c r="Z277" s="242"/>
      <c r="AA277" s="242"/>
      <c r="AB277" s="242"/>
      <c r="AC277" s="242"/>
      <c r="AD277" s="242"/>
      <c r="AE277" s="242"/>
      <c r="AF277" s="242"/>
    </row>
    <row r="278">
      <c r="A278" s="242"/>
      <c r="B278" s="242"/>
      <c r="C278" s="242"/>
      <c r="D278" s="13"/>
      <c r="E278" s="525"/>
      <c r="F278" s="525"/>
      <c r="G278" s="525"/>
      <c r="H278" s="242"/>
      <c r="I278" s="525"/>
      <c r="J278" s="525"/>
      <c r="K278" s="525"/>
      <c r="L278" s="525"/>
      <c r="M278" s="242"/>
      <c r="N278" s="525"/>
      <c r="O278" s="525"/>
      <c r="P278" s="525"/>
      <c r="Q278" s="525"/>
      <c r="R278" s="242"/>
      <c r="S278" s="242"/>
      <c r="T278" s="242"/>
      <c r="U278" s="242"/>
      <c r="V278" s="242"/>
      <c r="W278" s="242"/>
      <c r="X278" s="242"/>
      <c r="Y278" s="242"/>
      <c r="Z278" s="242"/>
      <c r="AA278" s="242"/>
      <c r="AB278" s="242"/>
      <c r="AC278" s="242"/>
      <c r="AD278" s="242"/>
      <c r="AE278" s="242"/>
      <c r="AF278" s="242"/>
    </row>
    <row r="279">
      <c r="A279" s="242"/>
      <c r="B279" s="242"/>
      <c r="C279" s="242"/>
      <c r="D279" s="13"/>
      <c r="E279" s="525"/>
      <c r="F279" s="525"/>
      <c r="G279" s="525"/>
      <c r="H279" s="242"/>
      <c r="I279" s="525"/>
      <c r="J279" s="525"/>
      <c r="K279" s="525"/>
      <c r="L279" s="525"/>
      <c r="M279" s="242"/>
      <c r="N279" s="525"/>
      <c r="O279" s="525"/>
      <c r="P279" s="525"/>
      <c r="Q279" s="525"/>
      <c r="R279" s="242"/>
      <c r="S279" s="242"/>
      <c r="T279" s="242"/>
      <c r="U279" s="242"/>
      <c r="V279" s="242"/>
      <c r="W279" s="242"/>
      <c r="X279" s="242"/>
      <c r="Y279" s="242"/>
      <c r="Z279" s="242"/>
      <c r="AA279" s="242"/>
      <c r="AB279" s="242"/>
      <c r="AC279" s="242"/>
      <c r="AD279" s="242"/>
      <c r="AE279" s="242"/>
      <c r="AF279" s="242"/>
    </row>
    <row r="280">
      <c r="A280" s="242"/>
      <c r="B280" s="242"/>
      <c r="C280" s="242"/>
      <c r="D280" s="13"/>
      <c r="E280" s="525"/>
      <c r="F280" s="525"/>
      <c r="G280" s="525"/>
      <c r="H280" s="242"/>
      <c r="I280" s="525"/>
      <c r="J280" s="525"/>
      <c r="K280" s="525"/>
      <c r="L280" s="525"/>
      <c r="M280" s="242"/>
      <c r="N280" s="525"/>
      <c r="O280" s="525"/>
      <c r="P280" s="525"/>
      <c r="Q280" s="525"/>
      <c r="R280" s="242"/>
      <c r="S280" s="242"/>
      <c r="T280" s="242"/>
      <c r="U280" s="242"/>
      <c r="V280" s="242"/>
      <c r="W280" s="242"/>
      <c r="X280" s="242"/>
      <c r="Y280" s="242"/>
      <c r="Z280" s="242"/>
      <c r="AA280" s="242"/>
      <c r="AB280" s="242"/>
      <c r="AC280" s="242"/>
      <c r="AD280" s="242"/>
      <c r="AE280" s="242"/>
      <c r="AF280" s="242"/>
    </row>
    <row r="281">
      <c r="A281" s="242"/>
      <c r="B281" s="242"/>
      <c r="C281" s="242"/>
      <c r="D281" s="13"/>
      <c r="E281" s="525"/>
      <c r="F281" s="525"/>
      <c r="G281" s="525"/>
      <c r="H281" s="242"/>
      <c r="I281" s="525"/>
      <c r="J281" s="525"/>
      <c r="K281" s="525"/>
      <c r="L281" s="525"/>
      <c r="M281" s="242"/>
      <c r="N281" s="525"/>
      <c r="O281" s="525"/>
      <c r="P281" s="525"/>
      <c r="Q281" s="525"/>
      <c r="R281" s="242"/>
      <c r="S281" s="242"/>
      <c r="T281" s="242"/>
      <c r="U281" s="242"/>
      <c r="V281" s="242"/>
      <c r="W281" s="242"/>
      <c r="X281" s="242"/>
      <c r="Y281" s="242"/>
      <c r="Z281" s="242"/>
      <c r="AA281" s="242"/>
      <c r="AB281" s="242"/>
      <c r="AC281" s="242"/>
      <c r="AD281" s="242"/>
      <c r="AE281" s="242"/>
      <c r="AF281" s="242"/>
    </row>
    <row r="282">
      <c r="A282" s="242"/>
      <c r="B282" s="242"/>
      <c r="C282" s="242"/>
      <c r="D282" s="13"/>
      <c r="E282" s="525"/>
      <c r="F282" s="525"/>
      <c r="G282" s="525"/>
      <c r="H282" s="242"/>
      <c r="I282" s="525"/>
      <c r="J282" s="525"/>
      <c r="K282" s="525"/>
      <c r="L282" s="525"/>
      <c r="M282" s="242"/>
      <c r="N282" s="525"/>
      <c r="O282" s="525"/>
      <c r="P282" s="525"/>
      <c r="Q282" s="525"/>
      <c r="R282" s="242"/>
      <c r="S282" s="242"/>
      <c r="T282" s="242"/>
      <c r="U282" s="242"/>
      <c r="V282" s="242"/>
      <c r="W282" s="242"/>
      <c r="X282" s="242"/>
      <c r="Y282" s="242"/>
      <c r="Z282" s="242"/>
      <c r="AA282" s="242"/>
      <c r="AB282" s="242"/>
      <c r="AC282" s="242"/>
      <c r="AD282" s="242"/>
      <c r="AE282" s="242"/>
      <c r="AF282" s="242"/>
    </row>
    <row r="283">
      <c r="A283" s="242"/>
      <c r="B283" s="242"/>
      <c r="C283" s="242"/>
      <c r="D283" s="13"/>
      <c r="E283" s="525"/>
      <c r="F283" s="525"/>
      <c r="G283" s="525"/>
      <c r="H283" s="242"/>
      <c r="I283" s="525"/>
      <c r="J283" s="525"/>
      <c r="K283" s="525"/>
      <c r="L283" s="525"/>
      <c r="M283" s="242"/>
      <c r="N283" s="525"/>
      <c r="O283" s="525"/>
      <c r="P283" s="525"/>
      <c r="Q283" s="525"/>
      <c r="R283" s="242"/>
      <c r="S283" s="242"/>
      <c r="T283" s="242"/>
      <c r="U283" s="242"/>
      <c r="V283" s="242"/>
      <c r="W283" s="242"/>
      <c r="X283" s="242"/>
      <c r="Y283" s="242"/>
      <c r="Z283" s="242"/>
      <c r="AA283" s="242"/>
      <c r="AB283" s="242"/>
      <c r="AC283" s="242"/>
      <c r="AD283" s="242"/>
      <c r="AE283" s="242"/>
      <c r="AF283" s="242"/>
    </row>
    <row r="284">
      <c r="A284" s="242"/>
      <c r="B284" s="242"/>
      <c r="C284" s="242"/>
      <c r="D284" s="13"/>
      <c r="E284" s="525"/>
      <c r="F284" s="525"/>
      <c r="G284" s="525"/>
      <c r="H284" s="242"/>
      <c r="I284" s="525"/>
      <c r="J284" s="525"/>
      <c r="K284" s="525"/>
      <c r="L284" s="525"/>
      <c r="M284" s="242"/>
      <c r="N284" s="525"/>
      <c r="O284" s="525"/>
      <c r="P284" s="525"/>
      <c r="Q284" s="525"/>
      <c r="R284" s="242"/>
      <c r="S284" s="242"/>
      <c r="T284" s="242"/>
      <c r="U284" s="242"/>
      <c r="V284" s="242"/>
      <c r="W284" s="242"/>
      <c r="X284" s="242"/>
      <c r="Y284" s="242"/>
      <c r="Z284" s="242"/>
      <c r="AA284" s="242"/>
      <c r="AB284" s="242"/>
      <c r="AC284" s="242"/>
      <c r="AD284" s="242"/>
      <c r="AE284" s="242"/>
      <c r="AF284" s="242"/>
    </row>
    <row r="285">
      <c r="A285" s="242"/>
      <c r="B285" s="242"/>
      <c r="C285" s="242"/>
      <c r="D285" s="13"/>
      <c r="E285" s="525"/>
      <c r="F285" s="525"/>
      <c r="G285" s="525"/>
      <c r="H285" s="242"/>
      <c r="I285" s="525"/>
      <c r="J285" s="525"/>
      <c r="K285" s="525"/>
      <c r="L285" s="525"/>
      <c r="M285" s="242"/>
      <c r="N285" s="525"/>
      <c r="O285" s="525"/>
      <c r="P285" s="525"/>
      <c r="Q285" s="525"/>
      <c r="R285" s="242"/>
      <c r="S285" s="242"/>
      <c r="T285" s="242"/>
      <c r="U285" s="242"/>
      <c r="V285" s="242"/>
      <c r="W285" s="242"/>
      <c r="X285" s="242"/>
      <c r="Y285" s="242"/>
      <c r="Z285" s="242"/>
      <c r="AA285" s="242"/>
      <c r="AB285" s="242"/>
      <c r="AC285" s="242"/>
      <c r="AD285" s="242"/>
      <c r="AE285" s="242"/>
      <c r="AF285" s="242"/>
    </row>
    <row r="286">
      <c r="A286" s="242"/>
      <c r="B286" s="242"/>
      <c r="C286" s="242"/>
      <c r="D286" s="13"/>
      <c r="E286" s="525"/>
      <c r="F286" s="525"/>
      <c r="G286" s="525"/>
      <c r="H286" s="242"/>
      <c r="I286" s="525"/>
      <c r="J286" s="525"/>
      <c r="K286" s="525"/>
      <c r="L286" s="525"/>
      <c r="M286" s="242"/>
      <c r="N286" s="525"/>
      <c r="O286" s="525"/>
      <c r="P286" s="525"/>
      <c r="Q286" s="525"/>
      <c r="R286" s="242"/>
      <c r="S286" s="242"/>
      <c r="T286" s="242"/>
      <c r="U286" s="242"/>
      <c r="V286" s="242"/>
      <c r="W286" s="242"/>
      <c r="X286" s="242"/>
      <c r="Y286" s="242"/>
      <c r="Z286" s="242"/>
      <c r="AA286" s="242"/>
      <c r="AB286" s="242"/>
      <c r="AC286" s="242"/>
      <c r="AD286" s="242"/>
      <c r="AE286" s="242"/>
      <c r="AF286" s="242"/>
    </row>
    <row r="287">
      <c r="A287" s="242"/>
      <c r="B287" s="242"/>
      <c r="C287" s="242"/>
      <c r="D287" s="13"/>
      <c r="E287" s="525"/>
      <c r="F287" s="525"/>
      <c r="G287" s="525"/>
      <c r="H287" s="242"/>
      <c r="I287" s="525"/>
      <c r="J287" s="525"/>
      <c r="K287" s="525"/>
      <c r="L287" s="525"/>
      <c r="M287" s="242"/>
      <c r="N287" s="525"/>
      <c r="O287" s="525"/>
      <c r="P287" s="525"/>
      <c r="Q287" s="525"/>
      <c r="R287" s="242"/>
      <c r="S287" s="242"/>
      <c r="T287" s="242"/>
      <c r="U287" s="242"/>
      <c r="V287" s="242"/>
      <c r="W287" s="242"/>
      <c r="X287" s="242"/>
      <c r="Y287" s="242"/>
      <c r="Z287" s="242"/>
      <c r="AA287" s="242"/>
      <c r="AB287" s="242"/>
      <c r="AC287" s="242"/>
      <c r="AD287" s="242"/>
      <c r="AE287" s="242"/>
      <c r="AF287" s="242"/>
    </row>
    <row r="288">
      <c r="A288" s="242"/>
      <c r="B288" s="242"/>
      <c r="C288" s="242"/>
      <c r="D288" s="13"/>
      <c r="E288" s="525"/>
      <c r="F288" s="525"/>
      <c r="G288" s="525"/>
      <c r="H288" s="242"/>
      <c r="I288" s="525"/>
      <c r="J288" s="525"/>
      <c r="K288" s="525"/>
      <c r="L288" s="525"/>
      <c r="M288" s="242"/>
      <c r="N288" s="525"/>
      <c r="O288" s="525"/>
      <c r="P288" s="525"/>
      <c r="Q288" s="525"/>
      <c r="R288" s="242"/>
      <c r="S288" s="242"/>
      <c r="T288" s="242"/>
      <c r="U288" s="242"/>
      <c r="V288" s="242"/>
      <c r="W288" s="242"/>
      <c r="X288" s="242"/>
      <c r="Y288" s="242"/>
      <c r="Z288" s="242"/>
      <c r="AA288" s="242"/>
      <c r="AB288" s="242"/>
      <c r="AC288" s="242"/>
      <c r="AD288" s="242"/>
      <c r="AE288" s="242"/>
      <c r="AF288" s="242"/>
    </row>
    <row r="289">
      <c r="A289" s="242"/>
      <c r="B289" s="242"/>
      <c r="C289" s="242"/>
      <c r="D289" s="13"/>
      <c r="E289" s="525"/>
      <c r="F289" s="525"/>
      <c r="G289" s="525"/>
      <c r="H289" s="242"/>
      <c r="I289" s="525"/>
      <c r="J289" s="525"/>
      <c r="K289" s="525"/>
      <c r="L289" s="525"/>
      <c r="M289" s="242"/>
      <c r="N289" s="525"/>
      <c r="O289" s="525"/>
      <c r="P289" s="525"/>
      <c r="Q289" s="525"/>
      <c r="R289" s="242"/>
      <c r="S289" s="242"/>
      <c r="T289" s="242"/>
      <c r="U289" s="242"/>
      <c r="V289" s="242"/>
      <c r="W289" s="242"/>
      <c r="X289" s="242"/>
      <c r="Y289" s="242"/>
      <c r="Z289" s="242"/>
      <c r="AA289" s="242"/>
      <c r="AB289" s="242"/>
      <c r="AC289" s="242"/>
      <c r="AD289" s="242"/>
      <c r="AE289" s="242"/>
      <c r="AF289" s="242"/>
    </row>
    <row r="290">
      <c r="A290" s="242"/>
      <c r="B290" s="242"/>
      <c r="C290" s="242"/>
      <c r="D290" s="13"/>
      <c r="E290" s="525"/>
      <c r="F290" s="525"/>
      <c r="G290" s="525"/>
      <c r="H290" s="242"/>
      <c r="I290" s="525"/>
      <c r="J290" s="525"/>
      <c r="K290" s="525"/>
      <c r="L290" s="525"/>
      <c r="M290" s="242"/>
      <c r="N290" s="525"/>
      <c r="O290" s="525"/>
      <c r="P290" s="525"/>
      <c r="Q290" s="525"/>
      <c r="R290" s="242"/>
      <c r="S290" s="242"/>
      <c r="T290" s="242"/>
      <c r="U290" s="242"/>
      <c r="V290" s="242"/>
      <c r="W290" s="242"/>
      <c r="X290" s="242"/>
      <c r="Y290" s="242"/>
      <c r="Z290" s="242"/>
      <c r="AA290" s="242"/>
      <c r="AB290" s="242"/>
      <c r="AC290" s="242"/>
      <c r="AD290" s="242"/>
      <c r="AE290" s="242"/>
      <c r="AF290" s="242"/>
    </row>
    <row r="291">
      <c r="A291" s="242"/>
      <c r="B291" s="242"/>
      <c r="C291" s="242"/>
      <c r="D291" s="13"/>
      <c r="E291" s="525"/>
      <c r="F291" s="525"/>
      <c r="G291" s="525"/>
      <c r="H291" s="242"/>
      <c r="I291" s="525"/>
      <c r="J291" s="525"/>
      <c r="K291" s="525"/>
      <c r="L291" s="525"/>
      <c r="M291" s="242"/>
      <c r="N291" s="525"/>
      <c r="O291" s="525"/>
      <c r="P291" s="525"/>
      <c r="Q291" s="525"/>
      <c r="R291" s="242"/>
      <c r="S291" s="242"/>
      <c r="T291" s="242"/>
      <c r="U291" s="242"/>
      <c r="V291" s="242"/>
      <c r="W291" s="242"/>
      <c r="X291" s="242"/>
      <c r="Y291" s="242"/>
      <c r="Z291" s="242"/>
      <c r="AA291" s="242"/>
      <c r="AB291" s="242"/>
      <c r="AC291" s="242"/>
      <c r="AD291" s="242"/>
      <c r="AE291" s="242"/>
      <c r="AF291" s="242"/>
    </row>
    <row r="292">
      <c r="A292" s="242"/>
      <c r="B292" s="242"/>
      <c r="C292" s="242"/>
      <c r="D292" s="13"/>
      <c r="E292" s="525"/>
      <c r="F292" s="525"/>
      <c r="G292" s="525"/>
      <c r="H292" s="242"/>
      <c r="I292" s="525"/>
      <c r="J292" s="525"/>
      <c r="K292" s="525"/>
      <c r="L292" s="525"/>
      <c r="M292" s="242"/>
      <c r="N292" s="525"/>
      <c r="O292" s="525"/>
      <c r="P292" s="525"/>
      <c r="Q292" s="525"/>
      <c r="R292" s="242"/>
      <c r="S292" s="242"/>
      <c r="T292" s="242"/>
      <c r="U292" s="242"/>
      <c r="V292" s="242"/>
      <c r="W292" s="242"/>
      <c r="X292" s="242"/>
      <c r="Y292" s="242"/>
      <c r="Z292" s="242"/>
      <c r="AA292" s="242"/>
      <c r="AB292" s="242"/>
      <c r="AC292" s="242"/>
      <c r="AD292" s="242"/>
      <c r="AE292" s="242"/>
      <c r="AF292" s="242"/>
    </row>
    <row r="293">
      <c r="A293" s="242"/>
      <c r="B293" s="242"/>
      <c r="C293" s="242"/>
      <c r="D293" s="13"/>
      <c r="E293" s="525"/>
      <c r="F293" s="525"/>
      <c r="G293" s="525"/>
      <c r="H293" s="242"/>
      <c r="I293" s="525"/>
      <c r="J293" s="525"/>
      <c r="K293" s="525"/>
      <c r="L293" s="525"/>
      <c r="M293" s="242"/>
      <c r="N293" s="525"/>
      <c r="O293" s="525"/>
      <c r="P293" s="525"/>
      <c r="Q293" s="525"/>
      <c r="R293" s="242"/>
      <c r="S293" s="242"/>
      <c r="T293" s="242"/>
      <c r="U293" s="242"/>
      <c r="V293" s="242"/>
      <c r="W293" s="242"/>
      <c r="X293" s="242"/>
      <c r="Y293" s="242"/>
      <c r="Z293" s="242"/>
      <c r="AA293" s="242"/>
      <c r="AB293" s="242"/>
      <c r="AC293" s="242"/>
      <c r="AD293" s="242"/>
      <c r="AE293" s="242"/>
      <c r="AF293" s="242"/>
    </row>
    <row r="294">
      <c r="A294" s="242"/>
      <c r="B294" s="242"/>
      <c r="C294" s="242"/>
      <c r="D294" s="13"/>
      <c r="E294" s="525"/>
      <c r="F294" s="525"/>
      <c r="G294" s="525"/>
      <c r="H294" s="242"/>
      <c r="I294" s="525"/>
      <c r="J294" s="525"/>
      <c r="K294" s="525"/>
      <c r="L294" s="525"/>
      <c r="M294" s="242"/>
      <c r="N294" s="525"/>
      <c r="O294" s="525"/>
      <c r="P294" s="525"/>
      <c r="Q294" s="525"/>
      <c r="R294" s="242"/>
      <c r="S294" s="242"/>
      <c r="T294" s="242"/>
      <c r="U294" s="242"/>
      <c r="V294" s="242"/>
      <c r="W294" s="242"/>
      <c r="X294" s="242"/>
      <c r="Y294" s="242"/>
      <c r="Z294" s="242"/>
      <c r="AA294" s="242"/>
      <c r="AB294" s="242"/>
      <c r="AC294" s="242"/>
      <c r="AD294" s="242"/>
      <c r="AE294" s="242"/>
      <c r="AF294" s="242"/>
    </row>
    <row r="295">
      <c r="A295" s="242"/>
      <c r="B295" s="242"/>
      <c r="C295" s="242"/>
      <c r="D295" s="13"/>
      <c r="E295" s="525"/>
      <c r="F295" s="525"/>
      <c r="G295" s="525"/>
      <c r="H295" s="242"/>
      <c r="I295" s="525"/>
      <c r="J295" s="525"/>
      <c r="K295" s="525"/>
      <c r="L295" s="525"/>
      <c r="M295" s="242"/>
      <c r="N295" s="525"/>
      <c r="O295" s="525"/>
      <c r="P295" s="525"/>
      <c r="Q295" s="525"/>
      <c r="R295" s="242"/>
      <c r="S295" s="242"/>
      <c r="T295" s="242"/>
      <c r="U295" s="242"/>
      <c r="V295" s="242"/>
      <c r="W295" s="242"/>
      <c r="X295" s="242"/>
      <c r="Y295" s="242"/>
      <c r="Z295" s="242"/>
      <c r="AA295" s="242"/>
      <c r="AB295" s="242"/>
      <c r="AC295" s="242"/>
      <c r="AD295" s="242"/>
      <c r="AE295" s="242"/>
      <c r="AF295" s="242"/>
    </row>
    <row r="296">
      <c r="A296" s="242"/>
      <c r="B296" s="242"/>
      <c r="C296" s="242"/>
      <c r="D296" s="13"/>
      <c r="E296" s="525"/>
      <c r="F296" s="525"/>
      <c r="G296" s="525"/>
      <c r="H296" s="242"/>
      <c r="I296" s="525"/>
      <c r="J296" s="525"/>
      <c r="K296" s="525"/>
      <c r="L296" s="525"/>
      <c r="M296" s="242"/>
      <c r="N296" s="525"/>
      <c r="O296" s="525"/>
      <c r="P296" s="525"/>
      <c r="Q296" s="525"/>
      <c r="R296" s="242"/>
      <c r="S296" s="242"/>
      <c r="T296" s="242"/>
      <c r="U296" s="242"/>
      <c r="V296" s="242"/>
      <c r="W296" s="242"/>
      <c r="X296" s="242"/>
      <c r="Y296" s="242"/>
      <c r="Z296" s="242"/>
      <c r="AA296" s="242"/>
      <c r="AB296" s="242"/>
      <c r="AC296" s="242"/>
      <c r="AD296" s="242"/>
      <c r="AE296" s="242"/>
      <c r="AF296" s="242"/>
    </row>
    <row r="297">
      <c r="A297" s="242"/>
      <c r="B297" s="242"/>
      <c r="C297" s="242"/>
      <c r="D297" s="13"/>
      <c r="E297" s="525"/>
      <c r="F297" s="525"/>
      <c r="G297" s="525"/>
      <c r="H297" s="242"/>
      <c r="I297" s="525"/>
      <c r="J297" s="525"/>
      <c r="K297" s="525"/>
      <c r="L297" s="525"/>
      <c r="M297" s="242"/>
      <c r="N297" s="525"/>
      <c r="O297" s="525"/>
      <c r="P297" s="525"/>
      <c r="Q297" s="525"/>
      <c r="R297" s="242"/>
      <c r="S297" s="242"/>
      <c r="T297" s="242"/>
      <c r="U297" s="242"/>
      <c r="V297" s="242"/>
      <c r="W297" s="242"/>
      <c r="X297" s="242"/>
      <c r="Y297" s="242"/>
      <c r="Z297" s="242"/>
      <c r="AA297" s="242"/>
      <c r="AB297" s="242"/>
      <c r="AC297" s="242"/>
      <c r="AD297" s="242"/>
      <c r="AE297" s="242"/>
      <c r="AF297" s="242"/>
    </row>
    <row r="298">
      <c r="A298" s="242"/>
      <c r="B298" s="242"/>
      <c r="C298" s="242"/>
      <c r="D298" s="13"/>
      <c r="E298" s="525"/>
      <c r="F298" s="525"/>
      <c r="G298" s="525"/>
      <c r="H298" s="242"/>
      <c r="I298" s="525"/>
      <c r="J298" s="525"/>
      <c r="K298" s="525"/>
      <c r="L298" s="525"/>
      <c r="M298" s="242"/>
      <c r="N298" s="525"/>
      <c r="O298" s="525"/>
      <c r="P298" s="525"/>
      <c r="Q298" s="525"/>
      <c r="R298" s="242"/>
      <c r="S298" s="242"/>
      <c r="T298" s="242"/>
      <c r="U298" s="242"/>
      <c r="V298" s="242"/>
      <c r="W298" s="242"/>
      <c r="X298" s="242"/>
      <c r="Y298" s="242"/>
      <c r="Z298" s="242"/>
      <c r="AA298" s="242"/>
      <c r="AB298" s="242"/>
      <c r="AC298" s="242"/>
      <c r="AD298" s="242"/>
      <c r="AE298" s="242"/>
      <c r="AF298" s="242"/>
    </row>
    <row r="299">
      <c r="A299" s="242"/>
      <c r="B299" s="242"/>
      <c r="C299" s="242"/>
      <c r="D299" s="13"/>
      <c r="E299" s="525"/>
      <c r="F299" s="525"/>
      <c r="G299" s="525"/>
      <c r="H299" s="242"/>
      <c r="I299" s="525"/>
      <c r="J299" s="525"/>
      <c r="K299" s="525"/>
      <c r="L299" s="525"/>
      <c r="M299" s="242"/>
      <c r="N299" s="525"/>
      <c r="O299" s="525"/>
      <c r="P299" s="525"/>
      <c r="Q299" s="525"/>
      <c r="R299" s="242"/>
      <c r="S299" s="242"/>
      <c r="T299" s="242"/>
      <c r="U299" s="242"/>
      <c r="V299" s="242"/>
      <c r="W299" s="242"/>
      <c r="X299" s="242"/>
      <c r="Y299" s="242"/>
      <c r="Z299" s="242"/>
      <c r="AA299" s="242"/>
      <c r="AB299" s="242"/>
      <c r="AC299" s="242"/>
      <c r="AD299" s="242"/>
      <c r="AE299" s="242"/>
      <c r="AF299" s="242"/>
    </row>
    <row r="300">
      <c r="A300" s="242"/>
      <c r="B300" s="242"/>
      <c r="C300" s="242"/>
      <c r="D300" s="13"/>
      <c r="E300" s="525"/>
      <c r="F300" s="525"/>
      <c r="G300" s="525"/>
      <c r="H300" s="242"/>
      <c r="I300" s="525"/>
      <c r="J300" s="525"/>
      <c r="K300" s="525"/>
      <c r="L300" s="525"/>
      <c r="M300" s="242"/>
      <c r="N300" s="525"/>
      <c r="O300" s="525"/>
      <c r="P300" s="525"/>
      <c r="Q300" s="525"/>
      <c r="R300" s="242"/>
      <c r="S300" s="242"/>
      <c r="T300" s="242"/>
      <c r="U300" s="242"/>
      <c r="V300" s="242"/>
      <c r="W300" s="242"/>
      <c r="X300" s="242"/>
      <c r="Y300" s="242"/>
      <c r="Z300" s="242"/>
      <c r="AA300" s="242"/>
      <c r="AB300" s="242"/>
      <c r="AC300" s="242"/>
      <c r="AD300" s="242"/>
      <c r="AE300" s="242"/>
      <c r="AF300" s="242"/>
    </row>
    <row r="301">
      <c r="A301" s="242"/>
      <c r="B301" s="242"/>
      <c r="C301" s="242"/>
      <c r="D301" s="13"/>
      <c r="E301" s="525"/>
      <c r="F301" s="525"/>
      <c r="G301" s="525"/>
      <c r="H301" s="242"/>
      <c r="I301" s="525"/>
      <c r="J301" s="525"/>
      <c r="K301" s="525"/>
      <c r="L301" s="525"/>
      <c r="M301" s="242"/>
      <c r="N301" s="525"/>
      <c r="O301" s="525"/>
      <c r="P301" s="525"/>
      <c r="Q301" s="525"/>
      <c r="R301" s="242"/>
      <c r="S301" s="242"/>
      <c r="T301" s="242"/>
      <c r="U301" s="242"/>
      <c r="V301" s="242"/>
      <c r="W301" s="242"/>
      <c r="X301" s="242"/>
      <c r="Y301" s="242"/>
      <c r="Z301" s="242"/>
      <c r="AA301" s="242"/>
      <c r="AB301" s="242"/>
      <c r="AC301" s="242"/>
      <c r="AD301" s="242"/>
      <c r="AE301" s="242"/>
      <c r="AF301" s="242"/>
    </row>
    <row r="302">
      <c r="A302" s="242"/>
      <c r="B302" s="242"/>
      <c r="C302" s="242"/>
      <c r="D302" s="13"/>
      <c r="E302" s="525"/>
      <c r="F302" s="525"/>
      <c r="G302" s="525"/>
      <c r="H302" s="242"/>
      <c r="I302" s="525"/>
      <c r="J302" s="525"/>
      <c r="K302" s="525"/>
      <c r="L302" s="525"/>
      <c r="M302" s="242"/>
      <c r="N302" s="525"/>
      <c r="O302" s="525"/>
      <c r="P302" s="525"/>
      <c r="Q302" s="525"/>
      <c r="R302" s="242"/>
      <c r="S302" s="242"/>
      <c r="T302" s="242"/>
      <c r="U302" s="242"/>
      <c r="V302" s="242"/>
      <c r="W302" s="242"/>
      <c r="X302" s="242"/>
      <c r="Y302" s="242"/>
      <c r="Z302" s="242"/>
      <c r="AA302" s="242"/>
      <c r="AB302" s="242"/>
      <c r="AC302" s="242"/>
      <c r="AD302" s="242"/>
      <c r="AE302" s="242"/>
      <c r="AF302" s="242"/>
    </row>
    <row r="303">
      <c r="A303" s="242"/>
      <c r="B303" s="242"/>
      <c r="C303" s="242"/>
      <c r="D303" s="13"/>
      <c r="E303" s="525"/>
      <c r="F303" s="525"/>
      <c r="G303" s="525"/>
      <c r="H303" s="242"/>
      <c r="I303" s="525"/>
      <c r="J303" s="525"/>
      <c r="K303" s="525"/>
      <c r="L303" s="525"/>
      <c r="M303" s="242"/>
      <c r="N303" s="525"/>
      <c r="O303" s="525"/>
      <c r="P303" s="525"/>
      <c r="Q303" s="525"/>
      <c r="R303" s="242"/>
      <c r="S303" s="242"/>
      <c r="T303" s="242"/>
      <c r="U303" s="242"/>
      <c r="V303" s="242"/>
      <c r="W303" s="242"/>
      <c r="X303" s="242"/>
      <c r="Y303" s="242"/>
      <c r="Z303" s="242"/>
      <c r="AA303" s="242"/>
      <c r="AB303" s="242"/>
      <c r="AC303" s="242"/>
      <c r="AD303" s="242"/>
      <c r="AE303" s="242"/>
      <c r="AF303" s="242"/>
    </row>
    <row r="304">
      <c r="A304" s="242"/>
      <c r="B304" s="242"/>
      <c r="C304" s="242"/>
      <c r="D304" s="13"/>
      <c r="E304" s="525"/>
      <c r="F304" s="525"/>
      <c r="G304" s="525"/>
      <c r="H304" s="242"/>
      <c r="I304" s="525"/>
      <c r="J304" s="525"/>
      <c r="K304" s="525"/>
      <c r="L304" s="525"/>
      <c r="M304" s="242"/>
      <c r="N304" s="525"/>
      <c r="O304" s="525"/>
      <c r="P304" s="525"/>
      <c r="Q304" s="525"/>
      <c r="R304" s="242"/>
      <c r="S304" s="242"/>
      <c r="T304" s="242"/>
      <c r="U304" s="242"/>
      <c r="V304" s="242"/>
      <c r="W304" s="242"/>
      <c r="X304" s="242"/>
      <c r="Y304" s="242"/>
      <c r="Z304" s="242"/>
      <c r="AA304" s="242"/>
      <c r="AB304" s="242"/>
      <c r="AC304" s="242"/>
      <c r="AD304" s="242"/>
      <c r="AE304" s="242"/>
      <c r="AF304" s="242"/>
    </row>
    <row r="305">
      <c r="A305" s="242"/>
      <c r="B305" s="242"/>
      <c r="C305" s="242"/>
      <c r="D305" s="13"/>
      <c r="E305" s="525"/>
      <c r="F305" s="525"/>
      <c r="G305" s="525"/>
      <c r="H305" s="242"/>
      <c r="I305" s="525"/>
      <c r="J305" s="525"/>
      <c r="K305" s="525"/>
      <c r="L305" s="525"/>
      <c r="M305" s="242"/>
      <c r="N305" s="525"/>
      <c r="O305" s="525"/>
      <c r="P305" s="525"/>
      <c r="Q305" s="525"/>
      <c r="R305" s="242"/>
      <c r="S305" s="242"/>
      <c r="T305" s="242"/>
      <c r="U305" s="242"/>
      <c r="V305" s="242"/>
      <c r="W305" s="242"/>
      <c r="X305" s="242"/>
      <c r="Y305" s="242"/>
      <c r="Z305" s="242"/>
      <c r="AA305" s="242"/>
      <c r="AB305" s="242"/>
      <c r="AC305" s="242"/>
      <c r="AD305" s="242"/>
      <c r="AE305" s="242"/>
      <c r="AF305" s="242"/>
    </row>
    <row r="306">
      <c r="A306" s="242"/>
      <c r="B306" s="242"/>
      <c r="C306" s="242"/>
      <c r="D306" s="13"/>
      <c r="E306" s="525"/>
      <c r="F306" s="525"/>
      <c r="G306" s="525"/>
      <c r="H306" s="242"/>
      <c r="I306" s="525"/>
      <c r="J306" s="525"/>
      <c r="K306" s="525"/>
      <c r="L306" s="525"/>
      <c r="M306" s="242"/>
      <c r="N306" s="525"/>
      <c r="O306" s="525"/>
      <c r="P306" s="525"/>
      <c r="Q306" s="525"/>
      <c r="R306" s="242"/>
      <c r="S306" s="242"/>
      <c r="T306" s="242"/>
      <c r="U306" s="242"/>
      <c r="V306" s="242"/>
      <c r="W306" s="242"/>
      <c r="X306" s="242"/>
      <c r="Y306" s="242"/>
      <c r="Z306" s="242"/>
      <c r="AA306" s="242"/>
      <c r="AB306" s="242"/>
      <c r="AC306" s="242"/>
      <c r="AD306" s="242"/>
      <c r="AE306" s="242"/>
      <c r="AF306" s="242"/>
    </row>
    <row r="307">
      <c r="A307" s="242"/>
      <c r="B307" s="242"/>
      <c r="C307" s="242"/>
      <c r="D307" s="13"/>
      <c r="E307" s="525"/>
      <c r="F307" s="525"/>
      <c r="G307" s="525"/>
      <c r="H307" s="242"/>
      <c r="I307" s="525"/>
      <c r="J307" s="525"/>
      <c r="K307" s="525"/>
      <c r="L307" s="525"/>
      <c r="M307" s="242"/>
      <c r="N307" s="525"/>
      <c r="O307" s="525"/>
      <c r="P307" s="525"/>
      <c r="Q307" s="525"/>
      <c r="R307" s="242"/>
      <c r="S307" s="242"/>
      <c r="T307" s="242"/>
      <c r="U307" s="242"/>
      <c r="V307" s="242"/>
      <c r="W307" s="242"/>
      <c r="X307" s="242"/>
      <c r="Y307" s="242"/>
      <c r="Z307" s="242"/>
      <c r="AA307" s="242"/>
      <c r="AB307" s="242"/>
      <c r="AC307" s="242"/>
      <c r="AD307" s="242"/>
      <c r="AE307" s="242"/>
      <c r="AF307" s="242"/>
    </row>
    <row r="308">
      <c r="A308" s="242"/>
      <c r="B308" s="242"/>
      <c r="C308" s="242"/>
      <c r="D308" s="13"/>
      <c r="E308" s="525"/>
      <c r="F308" s="525"/>
      <c r="G308" s="525"/>
      <c r="H308" s="242"/>
      <c r="I308" s="525"/>
      <c r="J308" s="525"/>
      <c r="K308" s="525"/>
      <c r="L308" s="525"/>
      <c r="M308" s="242"/>
      <c r="N308" s="525"/>
      <c r="O308" s="525"/>
      <c r="P308" s="525"/>
      <c r="Q308" s="525"/>
      <c r="R308" s="242"/>
      <c r="S308" s="242"/>
      <c r="T308" s="242"/>
      <c r="U308" s="242"/>
      <c r="V308" s="242"/>
      <c r="W308" s="242"/>
      <c r="X308" s="242"/>
      <c r="Y308" s="242"/>
      <c r="Z308" s="242"/>
      <c r="AA308" s="242"/>
      <c r="AB308" s="242"/>
      <c r="AC308" s="242"/>
      <c r="AD308" s="242"/>
      <c r="AE308" s="242"/>
      <c r="AF308" s="242"/>
    </row>
    <row r="309">
      <c r="A309" s="242"/>
      <c r="B309" s="242"/>
      <c r="C309" s="242"/>
      <c r="D309" s="13"/>
      <c r="E309" s="525"/>
      <c r="F309" s="525"/>
      <c r="G309" s="525"/>
      <c r="H309" s="242"/>
      <c r="I309" s="525"/>
      <c r="J309" s="525"/>
      <c r="K309" s="525"/>
      <c r="L309" s="525"/>
      <c r="M309" s="242"/>
      <c r="N309" s="525"/>
      <c r="O309" s="525"/>
      <c r="P309" s="525"/>
      <c r="Q309" s="525"/>
      <c r="R309" s="242"/>
      <c r="S309" s="242"/>
      <c r="T309" s="242"/>
      <c r="U309" s="242"/>
      <c r="V309" s="242"/>
      <c r="W309" s="242"/>
      <c r="X309" s="242"/>
      <c r="Y309" s="242"/>
      <c r="Z309" s="242"/>
      <c r="AA309" s="242"/>
      <c r="AB309" s="242"/>
      <c r="AC309" s="242"/>
      <c r="AD309" s="242"/>
      <c r="AE309" s="242"/>
      <c r="AF309" s="242"/>
    </row>
    <row r="310">
      <c r="A310" s="242"/>
      <c r="B310" s="242"/>
      <c r="C310" s="242"/>
      <c r="D310" s="13"/>
      <c r="E310" s="525"/>
      <c r="F310" s="525"/>
      <c r="G310" s="525"/>
      <c r="H310" s="242"/>
      <c r="I310" s="525"/>
      <c r="J310" s="525"/>
      <c r="K310" s="525"/>
      <c r="L310" s="525"/>
      <c r="M310" s="242"/>
      <c r="N310" s="525"/>
      <c r="O310" s="525"/>
      <c r="P310" s="525"/>
      <c r="Q310" s="525"/>
      <c r="R310" s="242"/>
      <c r="S310" s="242"/>
      <c r="T310" s="242"/>
      <c r="U310" s="242"/>
      <c r="V310" s="242"/>
      <c r="W310" s="242"/>
      <c r="X310" s="242"/>
      <c r="Y310" s="242"/>
      <c r="Z310" s="242"/>
      <c r="AA310" s="242"/>
      <c r="AB310" s="242"/>
      <c r="AC310" s="242"/>
      <c r="AD310" s="242"/>
      <c r="AE310" s="242"/>
      <c r="AF310" s="242"/>
    </row>
    <row r="311">
      <c r="A311" s="242"/>
      <c r="B311" s="242"/>
      <c r="C311" s="242"/>
      <c r="D311" s="13"/>
      <c r="E311" s="525"/>
      <c r="F311" s="525"/>
      <c r="G311" s="525"/>
      <c r="H311" s="242"/>
      <c r="I311" s="525"/>
      <c r="J311" s="525"/>
      <c r="K311" s="525"/>
      <c r="L311" s="525"/>
      <c r="M311" s="242"/>
      <c r="N311" s="525"/>
      <c r="O311" s="525"/>
      <c r="P311" s="525"/>
      <c r="Q311" s="525"/>
      <c r="R311" s="242"/>
      <c r="S311" s="242"/>
      <c r="T311" s="242"/>
      <c r="U311" s="242"/>
      <c r="V311" s="242"/>
      <c r="W311" s="242"/>
      <c r="X311" s="242"/>
      <c r="Y311" s="242"/>
      <c r="Z311" s="242"/>
      <c r="AA311" s="242"/>
      <c r="AB311" s="242"/>
      <c r="AC311" s="242"/>
      <c r="AD311" s="242"/>
      <c r="AE311" s="242"/>
      <c r="AF311" s="242"/>
    </row>
    <row r="312">
      <c r="A312" s="242"/>
      <c r="B312" s="242"/>
      <c r="C312" s="242"/>
      <c r="D312" s="13"/>
      <c r="E312" s="525"/>
      <c r="F312" s="525"/>
      <c r="G312" s="525"/>
      <c r="H312" s="242"/>
      <c r="I312" s="525"/>
      <c r="J312" s="525"/>
      <c r="K312" s="525"/>
      <c r="L312" s="525"/>
      <c r="M312" s="242"/>
      <c r="N312" s="525"/>
      <c r="O312" s="525"/>
      <c r="P312" s="525"/>
      <c r="Q312" s="525"/>
      <c r="R312" s="242"/>
      <c r="S312" s="242"/>
      <c r="T312" s="242"/>
      <c r="U312" s="242"/>
      <c r="V312" s="242"/>
      <c r="W312" s="242"/>
      <c r="X312" s="242"/>
      <c r="Y312" s="242"/>
      <c r="Z312" s="242"/>
      <c r="AA312" s="242"/>
      <c r="AB312" s="242"/>
      <c r="AC312" s="242"/>
      <c r="AD312" s="242"/>
      <c r="AE312" s="242"/>
      <c r="AF312" s="242"/>
    </row>
    <row r="313">
      <c r="A313" s="242"/>
      <c r="B313" s="242"/>
      <c r="C313" s="242"/>
      <c r="D313" s="13"/>
      <c r="E313" s="525"/>
      <c r="F313" s="525"/>
      <c r="G313" s="525"/>
      <c r="H313" s="242"/>
      <c r="I313" s="525"/>
      <c r="J313" s="525"/>
      <c r="K313" s="525"/>
      <c r="L313" s="525"/>
      <c r="M313" s="242"/>
      <c r="N313" s="525"/>
      <c r="O313" s="525"/>
      <c r="P313" s="525"/>
      <c r="Q313" s="525"/>
      <c r="R313" s="242"/>
      <c r="S313" s="242"/>
      <c r="T313" s="242"/>
      <c r="U313" s="242"/>
      <c r="V313" s="242"/>
      <c r="W313" s="242"/>
      <c r="X313" s="242"/>
      <c r="Y313" s="242"/>
      <c r="Z313" s="242"/>
      <c r="AA313" s="242"/>
      <c r="AB313" s="242"/>
      <c r="AC313" s="242"/>
      <c r="AD313" s="242"/>
      <c r="AE313" s="242"/>
      <c r="AF313" s="242"/>
    </row>
    <row r="314">
      <c r="A314" s="242"/>
      <c r="B314" s="242"/>
      <c r="C314" s="242"/>
      <c r="D314" s="13"/>
      <c r="E314" s="525"/>
      <c r="F314" s="525"/>
      <c r="G314" s="525"/>
      <c r="H314" s="242"/>
      <c r="I314" s="525"/>
      <c r="J314" s="525"/>
      <c r="K314" s="525"/>
      <c r="L314" s="525"/>
      <c r="M314" s="242"/>
      <c r="N314" s="525"/>
      <c r="O314" s="525"/>
      <c r="P314" s="525"/>
      <c r="Q314" s="525"/>
      <c r="R314" s="242"/>
      <c r="S314" s="242"/>
      <c r="T314" s="242"/>
      <c r="U314" s="242"/>
      <c r="V314" s="242"/>
      <c r="W314" s="242"/>
      <c r="X314" s="242"/>
      <c r="Y314" s="242"/>
      <c r="Z314" s="242"/>
      <c r="AA314" s="242"/>
      <c r="AB314" s="242"/>
      <c r="AC314" s="242"/>
      <c r="AD314" s="242"/>
      <c r="AE314" s="242"/>
      <c r="AF314" s="242"/>
    </row>
    <row r="315">
      <c r="A315" s="242"/>
      <c r="B315" s="242"/>
      <c r="C315" s="242"/>
      <c r="D315" s="13"/>
      <c r="E315" s="525"/>
      <c r="F315" s="525"/>
      <c r="G315" s="525"/>
      <c r="H315" s="242"/>
      <c r="I315" s="525"/>
      <c r="J315" s="525"/>
      <c r="K315" s="525"/>
      <c r="L315" s="525"/>
      <c r="M315" s="242"/>
      <c r="N315" s="525"/>
      <c r="O315" s="525"/>
      <c r="P315" s="525"/>
      <c r="Q315" s="525"/>
      <c r="R315" s="242"/>
      <c r="S315" s="242"/>
      <c r="T315" s="242"/>
      <c r="U315" s="242"/>
      <c r="V315" s="242"/>
      <c r="W315" s="242"/>
      <c r="X315" s="242"/>
      <c r="Y315" s="242"/>
      <c r="Z315" s="242"/>
      <c r="AA315" s="242"/>
      <c r="AB315" s="242"/>
      <c r="AC315" s="242"/>
      <c r="AD315" s="242"/>
      <c r="AE315" s="242"/>
      <c r="AF315" s="242"/>
    </row>
    <row r="316">
      <c r="A316" s="242"/>
      <c r="B316" s="242"/>
      <c r="C316" s="242"/>
      <c r="D316" s="13"/>
      <c r="E316" s="525"/>
      <c r="F316" s="525"/>
      <c r="G316" s="525"/>
      <c r="H316" s="242"/>
      <c r="I316" s="525"/>
      <c r="J316" s="525"/>
      <c r="K316" s="525"/>
      <c r="L316" s="525"/>
      <c r="M316" s="242"/>
      <c r="N316" s="525"/>
      <c r="O316" s="525"/>
      <c r="P316" s="525"/>
      <c r="Q316" s="525"/>
      <c r="R316" s="242"/>
      <c r="S316" s="242"/>
      <c r="T316" s="242"/>
      <c r="U316" s="242"/>
      <c r="V316" s="242"/>
      <c r="W316" s="242"/>
      <c r="X316" s="242"/>
      <c r="Y316" s="242"/>
      <c r="Z316" s="242"/>
      <c r="AA316" s="242"/>
      <c r="AB316" s="242"/>
      <c r="AC316" s="242"/>
      <c r="AD316" s="242"/>
      <c r="AE316" s="242"/>
      <c r="AF316" s="242"/>
    </row>
    <row r="317">
      <c r="A317" s="242"/>
      <c r="B317" s="242"/>
      <c r="C317" s="242"/>
      <c r="D317" s="13"/>
      <c r="E317" s="525"/>
      <c r="F317" s="525"/>
      <c r="G317" s="525"/>
      <c r="H317" s="242"/>
      <c r="I317" s="525"/>
      <c r="J317" s="525"/>
      <c r="K317" s="525"/>
      <c r="L317" s="525"/>
      <c r="M317" s="242"/>
      <c r="N317" s="525"/>
      <c r="O317" s="525"/>
      <c r="P317" s="525"/>
      <c r="Q317" s="525"/>
      <c r="R317" s="242"/>
      <c r="S317" s="242"/>
      <c r="T317" s="242"/>
      <c r="U317" s="242"/>
      <c r="V317" s="242"/>
      <c r="W317" s="242"/>
      <c r="X317" s="242"/>
      <c r="Y317" s="242"/>
      <c r="Z317" s="242"/>
      <c r="AA317" s="242"/>
      <c r="AB317" s="242"/>
      <c r="AC317" s="242"/>
      <c r="AD317" s="242"/>
      <c r="AE317" s="242"/>
      <c r="AF317" s="242"/>
    </row>
    <row r="318">
      <c r="A318" s="242"/>
      <c r="B318" s="242"/>
      <c r="C318" s="242"/>
      <c r="D318" s="13"/>
      <c r="E318" s="525"/>
      <c r="F318" s="525"/>
      <c r="G318" s="525"/>
      <c r="H318" s="242"/>
      <c r="I318" s="525"/>
      <c r="J318" s="525"/>
      <c r="K318" s="525"/>
      <c r="L318" s="525"/>
      <c r="M318" s="242"/>
      <c r="N318" s="525"/>
      <c r="O318" s="525"/>
      <c r="P318" s="525"/>
      <c r="Q318" s="525"/>
      <c r="R318" s="242"/>
      <c r="S318" s="242"/>
      <c r="T318" s="242"/>
      <c r="U318" s="242"/>
      <c r="V318" s="242"/>
      <c r="W318" s="242"/>
      <c r="X318" s="242"/>
      <c r="Y318" s="242"/>
      <c r="Z318" s="242"/>
      <c r="AA318" s="242"/>
      <c r="AB318" s="242"/>
      <c r="AC318" s="242"/>
      <c r="AD318" s="242"/>
      <c r="AE318" s="242"/>
      <c r="AF318" s="242"/>
    </row>
    <row r="319">
      <c r="A319" s="242"/>
      <c r="B319" s="242"/>
      <c r="C319" s="242"/>
      <c r="D319" s="13"/>
      <c r="E319" s="525"/>
      <c r="F319" s="525"/>
      <c r="G319" s="525"/>
      <c r="H319" s="242"/>
      <c r="I319" s="525"/>
      <c r="J319" s="525"/>
      <c r="K319" s="525"/>
      <c r="L319" s="525"/>
      <c r="M319" s="242"/>
      <c r="N319" s="525"/>
      <c r="O319" s="525"/>
      <c r="P319" s="525"/>
      <c r="Q319" s="525"/>
      <c r="R319" s="242"/>
      <c r="S319" s="242"/>
      <c r="T319" s="242"/>
      <c r="U319" s="242"/>
      <c r="V319" s="242"/>
      <c r="W319" s="242"/>
      <c r="X319" s="242"/>
      <c r="Y319" s="242"/>
      <c r="Z319" s="242"/>
      <c r="AA319" s="242"/>
      <c r="AB319" s="242"/>
      <c r="AC319" s="242"/>
      <c r="AD319" s="242"/>
      <c r="AE319" s="242"/>
      <c r="AF319" s="242"/>
    </row>
    <row r="320">
      <c r="A320" s="242"/>
      <c r="B320" s="242"/>
      <c r="C320" s="242"/>
      <c r="D320" s="13"/>
      <c r="E320" s="525"/>
      <c r="F320" s="525"/>
      <c r="G320" s="525"/>
      <c r="H320" s="242"/>
      <c r="I320" s="525"/>
      <c r="J320" s="525"/>
      <c r="K320" s="525"/>
      <c r="L320" s="525"/>
      <c r="M320" s="242"/>
      <c r="N320" s="525"/>
      <c r="O320" s="525"/>
      <c r="P320" s="525"/>
      <c r="Q320" s="525"/>
      <c r="R320" s="242"/>
      <c r="S320" s="242"/>
      <c r="T320" s="242"/>
      <c r="U320" s="242"/>
      <c r="V320" s="242"/>
      <c r="W320" s="242"/>
      <c r="X320" s="242"/>
      <c r="Y320" s="242"/>
      <c r="Z320" s="242"/>
      <c r="AA320" s="242"/>
      <c r="AB320" s="242"/>
      <c r="AC320" s="242"/>
      <c r="AD320" s="242"/>
      <c r="AE320" s="242"/>
      <c r="AF320" s="242"/>
    </row>
    <row r="321">
      <c r="A321" s="242"/>
      <c r="B321" s="242"/>
      <c r="C321" s="242"/>
      <c r="D321" s="13"/>
      <c r="E321" s="525"/>
      <c r="F321" s="525"/>
      <c r="G321" s="525"/>
      <c r="H321" s="242"/>
      <c r="I321" s="525"/>
      <c r="J321" s="525"/>
      <c r="K321" s="525"/>
      <c r="L321" s="525"/>
      <c r="M321" s="242"/>
      <c r="N321" s="525"/>
      <c r="O321" s="525"/>
      <c r="P321" s="525"/>
      <c r="Q321" s="525"/>
      <c r="R321" s="242"/>
      <c r="S321" s="242"/>
      <c r="T321" s="242"/>
      <c r="U321" s="242"/>
      <c r="V321" s="242"/>
      <c r="W321" s="242"/>
      <c r="X321" s="242"/>
      <c r="Y321" s="242"/>
      <c r="Z321" s="242"/>
      <c r="AA321" s="242"/>
      <c r="AB321" s="242"/>
      <c r="AC321" s="242"/>
      <c r="AD321" s="242"/>
      <c r="AE321" s="242"/>
      <c r="AF321" s="242"/>
    </row>
    <row r="322">
      <c r="A322" s="242"/>
      <c r="B322" s="242"/>
      <c r="C322" s="242"/>
      <c r="D322" s="13"/>
      <c r="E322" s="525"/>
      <c r="F322" s="525"/>
      <c r="G322" s="525"/>
      <c r="H322" s="242"/>
      <c r="I322" s="525"/>
      <c r="J322" s="525"/>
      <c r="K322" s="525"/>
      <c r="L322" s="525"/>
      <c r="M322" s="242"/>
      <c r="N322" s="525"/>
      <c r="O322" s="525"/>
      <c r="P322" s="525"/>
      <c r="Q322" s="525"/>
      <c r="R322" s="242"/>
      <c r="S322" s="242"/>
      <c r="T322" s="242"/>
      <c r="U322" s="242"/>
      <c r="V322" s="242"/>
      <c r="W322" s="242"/>
      <c r="X322" s="242"/>
      <c r="Y322" s="242"/>
      <c r="Z322" s="242"/>
      <c r="AA322" s="242"/>
      <c r="AB322" s="242"/>
      <c r="AC322" s="242"/>
      <c r="AD322" s="242"/>
      <c r="AE322" s="242"/>
      <c r="AF322" s="242"/>
    </row>
    <row r="323">
      <c r="A323" s="242"/>
      <c r="B323" s="242"/>
      <c r="C323" s="242"/>
      <c r="D323" s="13"/>
      <c r="E323" s="525"/>
      <c r="F323" s="525"/>
      <c r="G323" s="525"/>
      <c r="H323" s="242"/>
      <c r="I323" s="525"/>
      <c r="J323" s="525"/>
      <c r="K323" s="525"/>
      <c r="L323" s="525"/>
      <c r="M323" s="242"/>
      <c r="N323" s="525"/>
      <c r="O323" s="525"/>
      <c r="P323" s="525"/>
      <c r="Q323" s="525"/>
      <c r="R323" s="242"/>
      <c r="S323" s="242"/>
      <c r="T323" s="242"/>
      <c r="U323" s="242"/>
      <c r="V323" s="242"/>
      <c r="W323" s="242"/>
      <c r="X323" s="242"/>
      <c r="Y323" s="242"/>
      <c r="Z323" s="242"/>
      <c r="AA323" s="242"/>
      <c r="AB323" s="242"/>
      <c r="AC323" s="242"/>
      <c r="AD323" s="242"/>
      <c r="AE323" s="242"/>
      <c r="AF323" s="242"/>
    </row>
    <row r="324">
      <c r="A324" s="242"/>
      <c r="B324" s="242"/>
      <c r="C324" s="242"/>
      <c r="D324" s="13"/>
      <c r="E324" s="525"/>
      <c r="F324" s="525"/>
      <c r="G324" s="525"/>
      <c r="H324" s="242"/>
      <c r="I324" s="525"/>
      <c r="J324" s="525"/>
      <c r="K324" s="525"/>
      <c r="L324" s="525"/>
      <c r="M324" s="242"/>
      <c r="N324" s="525"/>
      <c r="O324" s="525"/>
      <c r="P324" s="525"/>
      <c r="Q324" s="525"/>
      <c r="R324" s="242"/>
      <c r="S324" s="242"/>
      <c r="T324" s="242"/>
      <c r="U324" s="242"/>
      <c r="V324" s="242"/>
      <c r="W324" s="242"/>
      <c r="X324" s="242"/>
      <c r="Y324" s="242"/>
      <c r="Z324" s="242"/>
      <c r="AA324" s="242"/>
      <c r="AB324" s="242"/>
      <c r="AC324" s="242"/>
      <c r="AD324" s="242"/>
      <c r="AE324" s="242"/>
      <c r="AF324" s="242"/>
    </row>
    <row r="325">
      <c r="A325" s="242"/>
      <c r="B325" s="242"/>
      <c r="C325" s="242"/>
      <c r="D325" s="13"/>
      <c r="E325" s="525"/>
      <c r="F325" s="525"/>
      <c r="G325" s="525"/>
      <c r="H325" s="242"/>
      <c r="I325" s="525"/>
      <c r="J325" s="525"/>
      <c r="K325" s="525"/>
      <c r="L325" s="525"/>
      <c r="M325" s="242"/>
      <c r="N325" s="525"/>
      <c r="O325" s="525"/>
      <c r="P325" s="525"/>
      <c r="Q325" s="525"/>
      <c r="R325" s="242"/>
      <c r="S325" s="242"/>
      <c r="T325" s="242"/>
      <c r="U325" s="242"/>
      <c r="V325" s="242"/>
      <c r="W325" s="242"/>
      <c r="X325" s="242"/>
      <c r="Y325" s="242"/>
      <c r="Z325" s="242"/>
      <c r="AA325" s="242"/>
      <c r="AB325" s="242"/>
      <c r="AC325" s="242"/>
      <c r="AD325" s="242"/>
      <c r="AE325" s="242"/>
      <c r="AF325" s="242"/>
    </row>
    <row r="326">
      <c r="A326" s="242"/>
      <c r="B326" s="242"/>
      <c r="C326" s="242"/>
      <c r="D326" s="13"/>
      <c r="E326" s="525"/>
      <c r="F326" s="525"/>
      <c r="G326" s="525"/>
      <c r="H326" s="242"/>
      <c r="I326" s="525"/>
      <c r="J326" s="525"/>
      <c r="K326" s="525"/>
      <c r="L326" s="525"/>
      <c r="M326" s="242"/>
      <c r="N326" s="525"/>
      <c r="O326" s="525"/>
      <c r="P326" s="525"/>
      <c r="Q326" s="525"/>
      <c r="R326" s="242"/>
      <c r="S326" s="242"/>
      <c r="T326" s="242"/>
      <c r="U326" s="242"/>
      <c r="V326" s="242"/>
      <c r="W326" s="242"/>
      <c r="X326" s="242"/>
      <c r="Y326" s="242"/>
      <c r="Z326" s="242"/>
      <c r="AA326" s="242"/>
      <c r="AB326" s="242"/>
      <c r="AC326" s="242"/>
      <c r="AD326" s="242"/>
      <c r="AE326" s="242"/>
      <c r="AF326" s="242"/>
    </row>
    <row r="327">
      <c r="A327" s="242"/>
      <c r="B327" s="242"/>
      <c r="C327" s="242"/>
      <c r="D327" s="13"/>
      <c r="E327" s="525"/>
      <c r="F327" s="525"/>
      <c r="G327" s="525"/>
      <c r="H327" s="242"/>
      <c r="I327" s="525"/>
      <c r="J327" s="525"/>
      <c r="K327" s="525"/>
      <c r="L327" s="525"/>
      <c r="M327" s="242"/>
      <c r="N327" s="525"/>
      <c r="O327" s="525"/>
      <c r="P327" s="525"/>
      <c r="Q327" s="525"/>
      <c r="R327" s="242"/>
      <c r="S327" s="242"/>
      <c r="T327" s="242"/>
      <c r="U327" s="242"/>
      <c r="V327" s="242"/>
      <c r="W327" s="242"/>
      <c r="X327" s="242"/>
      <c r="Y327" s="242"/>
      <c r="Z327" s="242"/>
      <c r="AA327" s="242"/>
      <c r="AB327" s="242"/>
      <c r="AC327" s="242"/>
      <c r="AD327" s="242"/>
      <c r="AE327" s="242"/>
      <c r="AF327" s="242"/>
    </row>
    <row r="328">
      <c r="A328" s="242"/>
      <c r="B328" s="242"/>
      <c r="C328" s="242"/>
      <c r="D328" s="13"/>
      <c r="E328" s="525"/>
      <c r="F328" s="525"/>
      <c r="G328" s="525"/>
      <c r="H328" s="242"/>
      <c r="I328" s="525"/>
      <c r="J328" s="525"/>
      <c r="K328" s="525"/>
      <c r="L328" s="525"/>
      <c r="M328" s="242"/>
      <c r="N328" s="525"/>
      <c r="O328" s="525"/>
      <c r="P328" s="525"/>
      <c r="Q328" s="525"/>
      <c r="R328" s="242"/>
      <c r="S328" s="242"/>
      <c r="T328" s="242"/>
      <c r="U328" s="242"/>
      <c r="V328" s="242"/>
      <c r="W328" s="242"/>
      <c r="X328" s="242"/>
      <c r="Y328" s="242"/>
      <c r="Z328" s="242"/>
      <c r="AA328" s="242"/>
      <c r="AB328" s="242"/>
      <c r="AC328" s="242"/>
      <c r="AD328" s="242"/>
      <c r="AE328" s="242"/>
      <c r="AF328" s="242"/>
    </row>
    <row r="329">
      <c r="A329" s="242"/>
      <c r="B329" s="242"/>
      <c r="C329" s="242"/>
      <c r="D329" s="13"/>
      <c r="E329" s="525"/>
      <c r="F329" s="525"/>
      <c r="G329" s="525"/>
      <c r="H329" s="242"/>
      <c r="I329" s="525"/>
      <c r="J329" s="525"/>
      <c r="K329" s="525"/>
      <c r="L329" s="525"/>
      <c r="M329" s="242"/>
      <c r="N329" s="525"/>
      <c r="O329" s="525"/>
      <c r="P329" s="525"/>
      <c r="Q329" s="525"/>
      <c r="R329" s="242"/>
      <c r="S329" s="242"/>
      <c r="T329" s="242"/>
      <c r="U329" s="242"/>
      <c r="V329" s="242"/>
      <c r="W329" s="242"/>
      <c r="X329" s="242"/>
      <c r="Y329" s="242"/>
      <c r="Z329" s="242"/>
      <c r="AA329" s="242"/>
      <c r="AB329" s="242"/>
      <c r="AC329" s="242"/>
      <c r="AD329" s="242"/>
      <c r="AE329" s="242"/>
      <c r="AF329" s="242"/>
    </row>
    <row r="330">
      <c r="A330" s="242"/>
      <c r="B330" s="242"/>
      <c r="C330" s="242"/>
      <c r="D330" s="13"/>
      <c r="E330" s="525"/>
      <c r="F330" s="525"/>
      <c r="G330" s="525"/>
      <c r="H330" s="242"/>
      <c r="I330" s="525"/>
      <c r="J330" s="525"/>
      <c r="K330" s="525"/>
      <c r="L330" s="525"/>
      <c r="M330" s="242"/>
      <c r="N330" s="525"/>
      <c r="O330" s="525"/>
      <c r="P330" s="525"/>
      <c r="Q330" s="525"/>
      <c r="R330" s="242"/>
      <c r="S330" s="242"/>
      <c r="T330" s="242"/>
      <c r="U330" s="242"/>
      <c r="V330" s="242"/>
      <c r="W330" s="242"/>
      <c r="X330" s="242"/>
      <c r="Y330" s="242"/>
      <c r="Z330" s="242"/>
      <c r="AA330" s="242"/>
      <c r="AB330" s="242"/>
      <c r="AC330" s="242"/>
      <c r="AD330" s="242"/>
      <c r="AE330" s="242"/>
      <c r="AF330" s="242"/>
    </row>
    <row r="331">
      <c r="A331" s="242"/>
      <c r="B331" s="242"/>
      <c r="C331" s="242"/>
      <c r="D331" s="13"/>
      <c r="E331" s="525"/>
      <c r="F331" s="525"/>
      <c r="G331" s="525"/>
      <c r="H331" s="242"/>
      <c r="I331" s="525"/>
      <c r="J331" s="525"/>
      <c r="K331" s="525"/>
      <c r="L331" s="525"/>
      <c r="M331" s="242"/>
      <c r="N331" s="525"/>
      <c r="O331" s="525"/>
      <c r="P331" s="525"/>
      <c r="Q331" s="525"/>
      <c r="R331" s="242"/>
      <c r="S331" s="242"/>
      <c r="T331" s="242"/>
      <c r="U331" s="242"/>
      <c r="V331" s="242"/>
      <c r="W331" s="242"/>
      <c r="X331" s="242"/>
      <c r="Y331" s="242"/>
      <c r="Z331" s="242"/>
      <c r="AA331" s="242"/>
      <c r="AB331" s="242"/>
      <c r="AC331" s="242"/>
      <c r="AD331" s="242"/>
      <c r="AE331" s="242"/>
      <c r="AF331" s="242"/>
    </row>
    <row r="332">
      <c r="A332" s="242"/>
      <c r="B332" s="242"/>
      <c r="C332" s="242"/>
      <c r="D332" s="13"/>
      <c r="E332" s="525"/>
      <c r="F332" s="525"/>
      <c r="G332" s="525"/>
      <c r="H332" s="242"/>
      <c r="I332" s="525"/>
      <c r="J332" s="525"/>
      <c r="K332" s="525"/>
      <c r="L332" s="525"/>
      <c r="M332" s="242"/>
      <c r="N332" s="525"/>
      <c r="O332" s="525"/>
      <c r="P332" s="525"/>
      <c r="Q332" s="525"/>
      <c r="R332" s="242"/>
      <c r="S332" s="242"/>
      <c r="T332" s="242"/>
      <c r="U332" s="242"/>
      <c r="V332" s="242"/>
      <c r="W332" s="242"/>
      <c r="X332" s="242"/>
      <c r="Y332" s="242"/>
      <c r="Z332" s="242"/>
      <c r="AA332" s="242"/>
      <c r="AB332" s="242"/>
      <c r="AC332" s="242"/>
      <c r="AD332" s="242"/>
      <c r="AE332" s="242"/>
      <c r="AF332" s="242"/>
    </row>
    <row r="333">
      <c r="A333" s="242"/>
      <c r="B333" s="242"/>
      <c r="C333" s="242"/>
      <c r="D333" s="13"/>
      <c r="E333" s="525"/>
      <c r="F333" s="525"/>
      <c r="G333" s="525"/>
      <c r="H333" s="242"/>
      <c r="I333" s="525"/>
      <c r="J333" s="525"/>
      <c r="K333" s="525"/>
      <c r="L333" s="525"/>
      <c r="M333" s="242"/>
      <c r="N333" s="525"/>
      <c r="O333" s="525"/>
      <c r="P333" s="525"/>
      <c r="Q333" s="525"/>
      <c r="R333" s="242"/>
      <c r="S333" s="242"/>
      <c r="T333" s="242"/>
      <c r="U333" s="242"/>
      <c r="V333" s="242"/>
      <c r="W333" s="242"/>
      <c r="X333" s="242"/>
      <c r="Y333" s="242"/>
      <c r="Z333" s="242"/>
      <c r="AA333" s="242"/>
      <c r="AB333" s="242"/>
      <c r="AC333" s="242"/>
      <c r="AD333" s="242"/>
      <c r="AE333" s="242"/>
      <c r="AF333" s="242"/>
    </row>
    <row r="334">
      <c r="A334" s="242"/>
      <c r="B334" s="242"/>
      <c r="C334" s="242"/>
      <c r="D334" s="13"/>
      <c r="E334" s="525"/>
      <c r="F334" s="525"/>
      <c r="G334" s="525"/>
      <c r="H334" s="242"/>
      <c r="I334" s="525"/>
      <c r="J334" s="525"/>
      <c r="K334" s="525"/>
      <c r="L334" s="525"/>
      <c r="M334" s="242"/>
      <c r="N334" s="525"/>
      <c r="O334" s="525"/>
      <c r="P334" s="525"/>
      <c r="Q334" s="525"/>
      <c r="R334" s="242"/>
      <c r="S334" s="242"/>
      <c r="T334" s="242"/>
      <c r="U334" s="242"/>
      <c r="V334" s="242"/>
      <c r="W334" s="242"/>
      <c r="X334" s="242"/>
      <c r="Y334" s="242"/>
      <c r="Z334" s="242"/>
      <c r="AA334" s="242"/>
      <c r="AB334" s="242"/>
      <c r="AC334" s="242"/>
      <c r="AD334" s="242"/>
      <c r="AE334" s="242"/>
      <c r="AF334" s="242"/>
    </row>
    <row r="335">
      <c r="A335" s="242"/>
      <c r="B335" s="242"/>
      <c r="C335" s="242"/>
      <c r="D335" s="13"/>
      <c r="E335" s="525"/>
      <c r="F335" s="525"/>
      <c r="G335" s="525"/>
      <c r="H335" s="242"/>
      <c r="I335" s="525"/>
      <c r="J335" s="525"/>
      <c r="K335" s="525"/>
      <c r="L335" s="525"/>
      <c r="M335" s="242"/>
      <c r="N335" s="525"/>
      <c r="O335" s="525"/>
      <c r="P335" s="525"/>
      <c r="Q335" s="525"/>
      <c r="R335" s="242"/>
      <c r="S335" s="242"/>
      <c r="T335" s="242"/>
      <c r="U335" s="242"/>
      <c r="V335" s="242"/>
      <c r="W335" s="242"/>
      <c r="X335" s="242"/>
      <c r="Y335" s="242"/>
      <c r="Z335" s="242"/>
      <c r="AA335" s="242"/>
      <c r="AB335" s="242"/>
      <c r="AC335" s="242"/>
      <c r="AD335" s="242"/>
      <c r="AE335" s="242"/>
      <c r="AF335" s="242"/>
    </row>
    <row r="336">
      <c r="A336" s="242"/>
      <c r="B336" s="242"/>
      <c r="C336" s="242"/>
      <c r="D336" s="13"/>
      <c r="E336" s="525"/>
      <c r="F336" s="525"/>
      <c r="G336" s="525"/>
      <c r="H336" s="242"/>
      <c r="I336" s="525"/>
      <c r="J336" s="525"/>
      <c r="K336" s="525"/>
      <c r="L336" s="525"/>
      <c r="M336" s="242"/>
      <c r="N336" s="525"/>
      <c r="O336" s="525"/>
      <c r="P336" s="525"/>
      <c r="Q336" s="525"/>
      <c r="R336" s="242"/>
      <c r="S336" s="242"/>
      <c r="T336" s="242"/>
      <c r="U336" s="242"/>
      <c r="V336" s="242"/>
      <c r="W336" s="242"/>
      <c r="X336" s="242"/>
      <c r="Y336" s="242"/>
      <c r="Z336" s="242"/>
      <c r="AA336" s="242"/>
      <c r="AB336" s="242"/>
      <c r="AC336" s="242"/>
      <c r="AD336" s="242"/>
      <c r="AE336" s="242"/>
      <c r="AF336" s="242"/>
    </row>
    <row r="337">
      <c r="A337" s="242"/>
      <c r="B337" s="242"/>
      <c r="C337" s="242"/>
      <c r="D337" s="13"/>
      <c r="E337" s="525"/>
      <c r="F337" s="525"/>
      <c r="G337" s="525"/>
      <c r="H337" s="242"/>
      <c r="I337" s="525"/>
      <c r="J337" s="525"/>
      <c r="K337" s="525"/>
      <c r="L337" s="525"/>
      <c r="M337" s="242"/>
      <c r="N337" s="525"/>
      <c r="O337" s="525"/>
      <c r="P337" s="525"/>
      <c r="Q337" s="525"/>
      <c r="R337" s="242"/>
      <c r="S337" s="242"/>
      <c r="T337" s="242"/>
      <c r="U337" s="242"/>
      <c r="V337" s="242"/>
      <c r="W337" s="242"/>
      <c r="X337" s="242"/>
      <c r="Y337" s="242"/>
      <c r="Z337" s="242"/>
      <c r="AA337" s="242"/>
      <c r="AB337" s="242"/>
      <c r="AC337" s="242"/>
      <c r="AD337" s="242"/>
      <c r="AE337" s="242"/>
      <c r="AF337" s="242"/>
    </row>
    <row r="338">
      <c r="A338" s="242"/>
      <c r="B338" s="242"/>
      <c r="C338" s="242"/>
      <c r="D338" s="13"/>
      <c r="E338" s="525"/>
      <c r="F338" s="525"/>
      <c r="G338" s="525"/>
      <c r="H338" s="242"/>
      <c r="I338" s="525"/>
      <c r="J338" s="525"/>
      <c r="K338" s="525"/>
      <c r="L338" s="525"/>
      <c r="M338" s="242"/>
      <c r="N338" s="525"/>
      <c r="O338" s="525"/>
      <c r="P338" s="525"/>
      <c r="Q338" s="525"/>
      <c r="R338" s="242"/>
      <c r="S338" s="242"/>
      <c r="T338" s="242"/>
      <c r="U338" s="242"/>
      <c r="V338" s="242"/>
      <c r="W338" s="242"/>
      <c r="X338" s="242"/>
      <c r="Y338" s="242"/>
      <c r="Z338" s="242"/>
      <c r="AA338" s="242"/>
      <c r="AB338" s="242"/>
      <c r="AC338" s="242"/>
      <c r="AD338" s="242"/>
      <c r="AE338" s="242"/>
      <c r="AF338" s="242"/>
    </row>
    <row r="339">
      <c r="A339" s="242"/>
      <c r="B339" s="242"/>
      <c r="C339" s="242"/>
      <c r="D339" s="13"/>
      <c r="E339" s="525"/>
      <c r="F339" s="525"/>
      <c r="G339" s="525"/>
      <c r="H339" s="242"/>
      <c r="I339" s="525"/>
      <c r="J339" s="525"/>
      <c r="K339" s="525"/>
      <c r="L339" s="525"/>
      <c r="M339" s="242"/>
      <c r="N339" s="525"/>
      <c r="O339" s="525"/>
      <c r="P339" s="525"/>
      <c r="Q339" s="525"/>
      <c r="R339" s="242"/>
      <c r="S339" s="242"/>
      <c r="T339" s="242"/>
      <c r="U339" s="242"/>
      <c r="V339" s="242"/>
      <c r="W339" s="242"/>
      <c r="X339" s="242"/>
      <c r="Y339" s="242"/>
      <c r="Z339" s="242"/>
      <c r="AA339" s="242"/>
      <c r="AB339" s="242"/>
      <c r="AC339" s="242"/>
      <c r="AD339" s="242"/>
      <c r="AE339" s="242"/>
      <c r="AF339" s="242"/>
    </row>
    <row r="340">
      <c r="A340" s="242"/>
      <c r="B340" s="242"/>
      <c r="C340" s="242"/>
      <c r="D340" s="13"/>
      <c r="E340" s="525"/>
      <c r="F340" s="525"/>
      <c r="G340" s="525"/>
      <c r="H340" s="242"/>
      <c r="I340" s="525"/>
      <c r="J340" s="525"/>
      <c r="K340" s="525"/>
      <c r="L340" s="525"/>
      <c r="M340" s="242"/>
      <c r="N340" s="525"/>
      <c r="O340" s="525"/>
      <c r="P340" s="525"/>
      <c r="Q340" s="525"/>
      <c r="R340" s="242"/>
      <c r="S340" s="242"/>
      <c r="T340" s="242"/>
      <c r="U340" s="242"/>
      <c r="V340" s="242"/>
      <c r="W340" s="242"/>
      <c r="X340" s="242"/>
      <c r="Y340" s="242"/>
      <c r="Z340" s="242"/>
      <c r="AA340" s="242"/>
      <c r="AB340" s="242"/>
      <c r="AC340" s="242"/>
      <c r="AD340" s="242"/>
      <c r="AE340" s="242"/>
      <c r="AF340" s="242"/>
    </row>
    <row r="341">
      <c r="A341" s="242"/>
      <c r="B341" s="242"/>
      <c r="C341" s="242"/>
      <c r="D341" s="13"/>
      <c r="E341" s="525"/>
      <c r="F341" s="525"/>
      <c r="G341" s="525"/>
      <c r="H341" s="242"/>
      <c r="I341" s="525"/>
      <c r="J341" s="525"/>
      <c r="K341" s="525"/>
      <c r="L341" s="525"/>
      <c r="M341" s="242"/>
      <c r="N341" s="525"/>
      <c r="O341" s="525"/>
      <c r="P341" s="525"/>
      <c r="Q341" s="525"/>
      <c r="R341" s="242"/>
      <c r="S341" s="242"/>
      <c r="T341" s="242"/>
      <c r="U341" s="242"/>
      <c r="V341" s="242"/>
      <c r="W341" s="242"/>
      <c r="X341" s="242"/>
      <c r="Y341" s="242"/>
      <c r="Z341" s="242"/>
      <c r="AA341" s="242"/>
      <c r="AB341" s="242"/>
      <c r="AC341" s="242"/>
      <c r="AD341" s="242"/>
      <c r="AE341" s="242"/>
      <c r="AF341" s="242"/>
    </row>
    <row r="342">
      <c r="A342" s="242"/>
      <c r="B342" s="242"/>
      <c r="C342" s="242"/>
      <c r="D342" s="13"/>
      <c r="E342" s="525"/>
      <c r="F342" s="525"/>
      <c r="G342" s="525"/>
      <c r="H342" s="242"/>
      <c r="I342" s="525"/>
      <c r="J342" s="525"/>
      <c r="K342" s="525"/>
      <c r="L342" s="525"/>
      <c r="M342" s="242"/>
      <c r="N342" s="525"/>
      <c r="O342" s="525"/>
      <c r="P342" s="525"/>
      <c r="Q342" s="525"/>
      <c r="R342" s="242"/>
      <c r="S342" s="242"/>
      <c r="T342" s="242"/>
      <c r="U342" s="242"/>
      <c r="V342" s="242"/>
      <c r="W342" s="242"/>
      <c r="X342" s="242"/>
      <c r="Y342" s="242"/>
      <c r="Z342" s="242"/>
      <c r="AA342" s="242"/>
      <c r="AB342" s="242"/>
      <c r="AC342" s="242"/>
      <c r="AD342" s="242"/>
      <c r="AE342" s="242"/>
      <c r="AF342" s="242"/>
    </row>
    <row r="343">
      <c r="A343" s="242"/>
      <c r="B343" s="242"/>
      <c r="C343" s="242"/>
      <c r="D343" s="13"/>
      <c r="E343" s="525"/>
      <c r="F343" s="525"/>
      <c r="G343" s="525"/>
      <c r="H343" s="242"/>
      <c r="I343" s="525"/>
      <c r="J343" s="525"/>
      <c r="K343" s="525"/>
      <c r="L343" s="525"/>
      <c r="M343" s="242"/>
      <c r="N343" s="525"/>
      <c r="O343" s="525"/>
      <c r="P343" s="525"/>
      <c r="Q343" s="525"/>
      <c r="R343" s="242"/>
      <c r="S343" s="242"/>
      <c r="T343" s="242"/>
      <c r="U343" s="242"/>
      <c r="V343" s="242"/>
      <c r="W343" s="242"/>
      <c r="X343" s="242"/>
      <c r="Y343" s="242"/>
      <c r="Z343" s="242"/>
      <c r="AA343" s="242"/>
      <c r="AB343" s="242"/>
      <c r="AC343" s="242"/>
      <c r="AD343" s="242"/>
      <c r="AE343" s="242"/>
      <c r="AF343" s="242"/>
    </row>
    <row r="344">
      <c r="A344" s="242"/>
      <c r="B344" s="242"/>
      <c r="C344" s="242"/>
      <c r="D344" s="13"/>
      <c r="E344" s="525"/>
      <c r="F344" s="525"/>
      <c r="G344" s="525"/>
      <c r="H344" s="242"/>
      <c r="I344" s="525"/>
      <c r="J344" s="525"/>
      <c r="K344" s="525"/>
      <c r="L344" s="525"/>
      <c r="M344" s="242"/>
      <c r="N344" s="525"/>
      <c r="O344" s="525"/>
      <c r="P344" s="525"/>
      <c r="Q344" s="525"/>
      <c r="R344" s="242"/>
      <c r="S344" s="242"/>
      <c r="T344" s="242"/>
      <c r="U344" s="242"/>
      <c r="V344" s="242"/>
      <c r="W344" s="242"/>
      <c r="X344" s="242"/>
      <c r="Y344" s="242"/>
      <c r="Z344" s="242"/>
      <c r="AA344" s="242"/>
      <c r="AB344" s="242"/>
      <c r="AC344" s="242"/>
      <c r="AD344" s="242"/>
      <c r="AE344" s="242"/>
      <c r="AF344" s="242"/>
    </row>
    <row r="345">
      <c r="A345" s="242"/>
      <c r="B345" s="242"/>
      <c r="C345" s="242"/>
      <c r="D345" s="13"/>
      <c r="E345" s="525"/>
      <c r="F345" s="525"/>
      <c r="G345" s="525"/>
      <c r="H345" s="242"/>
      <c r="I345" s="525"/>
      <c r="J345" s="525"/>
      <c r="K345" s="525"/>
      <c r="L345" s="525"/>
      <c r="M345" s="242"/>
      <c r="N345" s="525"/>
      <c r="O345" s="525"/>
      <c r="P345" s="525"/>
      <c r="Q345" s="525"/>
      <c r="R345" s="242"/>
      <c r="S345" s="242"/>
      <c r="T345" s="242"/>
      <c r="U345" s="242"/>
      <c r="V345" s="242"/>
      <c r="W345" s="242"/>
      <c r="X345" s="242"/>
      <c r="Y345" s="242"/>
      <c r="Z345" s="242"/>
      <c r="AA345" s="242"/>
      <c r="AB345" s="242"/>
      <c r="AC345" s="242"/>
      <c r="AD345" s="242"/>
      <c r="AE345" s="242"/>
      <c r="AF345" s="242"/>
    </row>
    <row r="346">
      <c r="A346" s="242"/>
      <c r="B346" s="242"/>
      <c r="C346" s="242"/>
      <c r="D346" s="13"/>
      <c r="E346" s="525"/>
      <c r="F346" s="525"/>
      <c r="G346" s="525"/>
      <c r="H346" s="242"/>
      <c r="I346" s="525"/>
      <c r="J346" s="525"/>
      <c r="K346" s="525"/>
      <c r="L346" s="525"/>
      <c r="M346" s="242"/>
      <c r="N346" s="525"/>
      <c r="O346" s="525"/>
      <c r="P346" s="525"/>
      <c r="Q346" s="525"/>
      <c r="R346" s="242"/>
      <c r="S346" s="242"/>
      <c r="T346" s="242"/>
      <c r="U346" s="242"/>
      <c r="V346" s="242"/>
      <c r="W346" s="242"/>
      <c r="X346" s="242"/>
      <c r="Y346" s="242"/>
      <c r="Z346" s="242"/>
      <c r="AA346" s="242"/>
      <c r="AB346" s="242"/>
      <c r="AC346" s="242"/>
      <c r="AD346" s="242"/>
      <c r="AE346" s="242"/>
      <c r="AF346" s="242"/>
    </row>
    <row r="347">
      <c r="A347" s="242"/>
      <c r="B347" s="242"/>
      <c r="C347" s="242"/>
      <c r="D347" s="13"/>
      <c r="E347" s="525"/>
      <c r="F347" s="525"/>
      <c r="G347" s="525"/>
      <c r="H347" s="242"/>
      <c r="I347" s="525"/>
      <c r="J347" s="525"/>
      <c r="K347" s="525"/>
      <c r="L347" s="525"/>
      <c r="M347" s="242"/>
      <c r="N347" s="525"/>
      <c r="O347" s="525"/>
      <c r="P347" s="525"/>
      <c r="Q347" s="525"/>
      <c r="R347" s="242"/>
      <c r="S347" s="242"/>
      <c r="T347" s="242"/>
      <c r="U347" s="242"/>
      <c r="V347" s="242"/>
      <c r="W347" s="242"/>
      <c r="X347" s="242"/>
      <c r="Y347" s="242"/>
      <c r="Z347" s="242"/>
      <c r="AA347" s="242"/>
      <c r="AB347" s="242"/>
      <c r="AC347" s="242"/>
      <c r="AD347" s="242"/>
      <c r="AE347" s="242"/>
      <c r="AF347" s="242"/>
    </row>
    <row r="348">
      <c r="A348" s="242"/>
      <c r="B348" s="242"/>
      <c r="C348" s="242"/>
      <c r="D348" s="13"/>
      <c r="E348" s="525"/>
      <c r="F348" s="525"/>
      <c r="G348" s="525"/>
      <c r="H348" s="242"/>
      <c r="I348" s="525"/>
      <c r="J348" s="525"/>
      <c r="K348" s="525"/>
      <c r="L348" s="525"/>
      <c r="M348" s="242"/>
      <c r="N348" s="525"/>
      <c r="O348" s="525"/>
      <c r="P348" s="525"/>
      <c r="Q348" s="525"/>
      <c r="R348" s="242"/>
      <c r="S348" s="242"/>
      <c r="T348" s="242"/>
      <c r="U348" s="242"/>
      <c r="V348" s="242"/>
      <c r="W348" s="242"/>
      <c r="X348" s="242"/>
      <c r="Y348" s="242"/>
      <c r="Z348" s="242"/>
      <c r="AA348" s="242"/>
      <c r="AB348" s="242"/>
      <c r="AC348" s="242"/>
      <c r="AD348" s="242"/>
      <c r="AE348" s="242"/>
      <c r="AF348" s="242"/>
    </row>
    <row r="349">
      <c r="A349" s="242"/>
      <c r="B349" s="242"/>
      <c r="C349" s="242"/>
      <c r="D349" s="13"/>
      <c r="E349" s="525"/>
      <c r="F349" s="525"/>
      <c r="G349" s="525"/>
      <c r="H349" s="242"/>
      <c r="I349" s="525"/>
      <c r="J349" s="525"/>
      <c r="K349" s="525"/>
      <c r="L349" s="525"/>
      <c r="M349" s="242"/>
      <c r="N349" s="525"/>
      <c r="O349" s="525"/>
      <c r="P349" s="525"/>
      <c r="Q349" s="525"/>
      <c r="R349" s="242"/>
      <c r="S349" s="242"/>
      <c r="T349" s="242"/>
      <c r="U349" s="242"/>
      <c r="V349" s="242"/>
      <c r="W349" s="242"/>
      <c r="X349" s="242"/>
      <c r="Y349" s="242"/>
      <c r="Z349" s="242"/>
      <c r="AA349" s="242"/>
      <c r="AB349" s="242"/>
      <c r="AC349" s="242"/>
      <c r="AD349" s="242"/>
      <c r="AE349" s="242"/>
      <c r="AF349" s="242"/>
    </row>
    <row r="350">
      <c r="A350" s="242"/>
      <c r="B350" s="242"/>
      <c r="C350" s="242"/>
      <c r="D350" s="13"/>
      <c r="E350" s="525"/>
      <c r="F350" s="525"/>
      <c r="G350" s="525"/>
      <c r="H350" s="242"/>
      <c r="I350" s="525"/>
      <c r="J350" s="525"/>
      <c r="K350" s="525"/>
      <c r="L350" s="525"/>
      <c r="M350" s="242"/>
      <c r="N350" s="525"/>
      <c r="O350" s="525"/>
      <c r="P350" s="525"/>
      <c r="Q350" s="525"/>
      <c r="R350" s="242"/>
      <c r="S350" s="242"/>
      <c r="T350" s="242"/>
      <c r="U350" s="242"/>
      <c r="V350" s="242"/>
      <c r="W350" s="242"/>
      <c r="X350" s="242"/>
      <c r="Y350" s="242"/>
      <c r="Z350" s="242"/>
      <c r="AA350" s="242"/>
      <c r="AB350" s="242"/>
      <c r="AC350" s="242"/>
      <c r="AD350" s="242"/>
      <c r="AE350" s="242"/>
      <c r="AF350" s="242"/>
    </row>
    <row r="351">
      <c r="A351" s="242"/>
      <c r="B351" s="242"/>
      <c r="C351" s="242"/>
      <c r="D351" s="13"/>
      <c r="E351" s="525"/>
      <c r="F351" s="525"/>
      <c r="G351" s="525"/>
      <c r="H351" s="242"/>
      <c r="I351" s="525"/>
      <c r="J351" s="525"/>
      <c r="K351" s="525"/>
      <c r="L351" s="525"/>
      <c r="M351" s="242"/>
      <c r="N351" s="525"/>
      <c r="O351" s="525"/>
      <c r="P351" s="525"/>
      <c r="Q351" s="525"/>
      <c r="R351" s="242"/>
      <c r="S351" s="242"/>
      <c r="T351" s="242"/>
      <c r="U351" s="242"/>
      <c r="V351" s="242"/>
      <c r="W351" s="242"/>
      <c r="X351" s="242"/>
      <c r="Y351" s="242"/>
      <c r="Z351" s="242"/>
      <c r="AA351" s="242"/>
      <c r="AB351" s="242"/>
      <c r="AC351" s="242"/>
      <c r="AD351" s="242"/>
      <c r="AE351" s="242"/>
      <c r="AF351" s="242"/>
    </row>
    <row r="352">
      <c r="A352" s="242"/>
      <c r="B352" s="242"/>
      <c r="C352" s="242"/>
      <c r="D352" s="13"/>
      <c r="E352" s="525"/>
      <c r="F352" s="525"/>
      <c r="G352" s="525"/>
      <c r="H352" s="242"/>
      <c r="I352" s="525"/>
      <c r="J352" s="525"/>
      <c r="K352" s="525"/>
      <c r="L352" s="525"/>
      <c r="M352" s="242"/>
      <c r="N352" s="525"/>
      <c r="O352" s="525"/>
      <c r="P352" s="525"/>
      <c r="Q352" s="525"/>
      <c r="R352" s="242"/>
      <c r="S352" s="242"/>
      <c r="T352" s="242"/>
      <c r="U352" s="242"/>
      <c r="V352" s="242"/>
      <c r="W352" s="242"/>
      <c r="X352" s="242"/>
      <c r="Y352" s="242"/>
      <c r="Z352" s="242"/>
      <c r="AA352" s="242"/>
      <c r="AB352" s="242"/>
      <c r="AC352" s="242"/>
      <c r="AD352" s="242"/>
      <c r="AE352" s="242"/>
      <c r="AF352" s="242"/>
    </row>
    <row r="353">
      <c r="A353" s="242"/>
      <c r="B353" s="242"/>
      <c r="C353" s="242"/>
      <c r="D353" s="13"/>
      <c r="E353" s="525"/>
      <c r="F353" s="525"/>
      <c r="G353" s="525"/>
      <c r="H353" s="242"/>
      <c r="I353" s="525"/>
      <c r="J353" s="525"/>
      <c r="K353" s="525"/>
      <c r="L353" s="525"/>
      <c r="M353" s="242"/>
      <c r="N353" s="525"/>
      <c r="O353" s="525"/>
      <c r="P353" s="525"/>
      <c r="Q353" s="525"/>
      <c r="R353" s="242"/>
      <c r="S353" s="242"/>
      <c r="T353" s="242"/>
      <c r="U353" s="242"/>
      <c r="V353" s="242"/>
      <c r="W353" s="242"/>
      <c r="X353" s="242"/>
      <c r="Y353" s="242"/>
      <c r="Z353" s="242"/>
      <c r="AA353" s="242"/>
      <c r="AB353" s="242"/>
      <c r="AC353" s="242"/>
      <c r="AD353" s="242"/>
      <c r="AE353" s="242"/>
      <c r="AF353" s="242"/>
    </row>
    <row r="354">
      <c r="A354" s="242"/>
      <c r="B354" s="242"/>
      <c r="C354" s="242"/>
      <c r="D354" s="13"/>
      <c r="E354" s="525"/>
      <c r="F354" s="525"/>
      <c r="G354" s="525"/>
      <c r="H354" s="242"/>
      <c r="I354" s="525"/>
      <c r="J354" s="525"/>
      <c r="K354" s="525"/>
      <c r="L354" s="525"/>
      <c r="M354" s="242"/>
      <c r="N354" s="525"/>
      <c r="O354" s="525"/>
      <c r="P354" s="525"/>
      <c r="Q354" s="525"/>
      <c r="R354" s="242"/>
      <c r="S354" s="242"/>
      <c r="T354" s="242"/>
      <c r="U354" s="242"/>
      <c r="V354" s="242"/>
      <c r="W354" s="242"/>
      <c r="X354" s="242"/>
      <c r="Y354" s="242"/>
      <c r="Z354" s="242"/>
      <c r="AA354" s="242"/>
      <c r="AB354" s="242"/>
      <c r="AC354" s="242"/>
      <c r="AD354" s="242"/>
      <c r="AE354" s="242"/>
      <c r="AF354" s="242"/>
    </row>
    <row r="355">
      <c r="A355" s="242"/>
      <c r="B355" s="242"/>
      <c r="C355" s="242"/>
      <c r="D355" s="13"/>
      <c r="E355" s="525"/>
      <c r="F355" s="525"/>
      <c r="G355" s="525"/>
      <c r="H355" s="242"/>
      <c r="I355" s="525"/>
      <c r="J355" s="525"/>
      <c r="K355" s="525"/>
      <c r="L355" s="525"/>
      <c r="M355" s="242"/>
      <c r="N355" s="525"/>
      <c r="O355" s="525"/>
      <c r="P355" s="525"/>
      <c r="Q355" s="525"/>
      <c r="R355" s="242"/>
      <c r="S355" s="242"/>
      <c r="T355" s="242"/>
      <c r="U355" s="242"/>
      <c r="V355" s="242"/>
      <c r="W355" s="242"/>
      <c r="X355" s="242"/>
      <c r="Y355" s="242"/>
      <c r="Z355" s="242"/>
      <c r="AA355" s="242"/>
      <c r="AB355" s="242"/>
      <c r="AC355" s="242"/>
      <c r="AD355" s="242"/>
      <c r="AE355" s="242"/>
      <c r="AF355" s="242"/>
    </row>
    <row r="356">
      <c r="A356" s="242"/>
      <c r="B356" s="242"/>
      <c r="C356" s="242"/>
      <c r="D356" s="13"/>
      <c r="E356" s="525"/>
      <c r="F356" s="525"/>
      <c r="G356" s="525"/>
      <c r="H356" s="242"/>
      <c r="I356" s="525"/>
      <c r="J356" s="525"/>
      <c r="K356" s="525"/>
      <c r="L356" s="525"/>
      <c r="M356" s="242"/>
      <c r="N356" s="525"/>
      <c r="O356" s="525"/>
      <c r="P356" s="525"/>
      <c r="Q356" s="525"/>
      <c r="R356" s="242"/>
      <c r="S356" s="242"/>
      <c r="T356" s="242"/>
      <c r="U356" s="242"/>
      <c r="V356" s="242"/>
      <c r="W356" s="242"/>
      <c r="X356" s="242"/>
      <c r="Y356" s="242"/>
      <c r="Z356" s="242"/>
      <c r="AA356" s="242"/>
      <c r="AB356" s="242"/>
      <c r="AC356" s="242"/>
      <c r="AD356" s="242"/>
      <c r="AE356" s="242"/>
      <c r="AF356" s="242"/>
    </row>
    <row r="357">
      <c r="A357" s="242"/>
      <c r="B357" s="242"/>
      <c r="C357" s="242"/>
      <c r="D357" s="13"/>
      <c r="E357" s="525"/>
      <c r="F357" s="525"/>
      <c r="G357" s="525"/>
      <c r="H357" s="242"/>
      <c r="I357" s="525"/>
      <c r="J357" s="525"/>
      <c r="K357" s="525"/>
      <c r="L357" s="525"/>
      <c r="M357" s="242"/>
      <c r="N357" s="525"/>
      <c r="O357" s="525"/>
      <c r="P357" s="525"/>
      <c r="Q357" s="525"/>
      <c r="R357" s="242"/>
      <c r="S357" s="242"/>
      <c r="T357" s="242"/>
      <c r="U357" s="242"/>
      <c r="V357" s="242"/>
      <c r="W357" s="242"/>
      <c r="X357" s="242"/>
      <c r="Y357" s="242"/>
      <c r="Z357" s="242"/>
      <c r="AA357" s="242"/>
      <c r="AB357" s="242"/>
      <c r="AC357" s="242"/>
      <c r="AD357" s="242"/>
      <c r="AE357" s="242"/>
      <c r="AF357" s="242"/>
    </row>
    <row r="358">
      <c r="A358" s="242"/>
      <c r="B358" s="242"/>
      <c r="C358" s="242"/>
      <c r="D358" s="13"/>
      <c r="E358" s="525"/>
      <c r="F358" s="525"/>
      <c r="G358" s="525"/>
      <c r="H358" s="242"/>
      <c r="I358" s="525"/>
      <c r="J358" s="525"/>
      <c r="K358" s="525"/>
      <c r="L358" s="525"/>
      <c r="M358" s="242"/>
      <c r="N358" s="525"/>
      <c r="O358" s="525"/>
      <c r="P358" s="525"/>
      <c r="Q358" s="525"/>
      <c r="R358" s="242"/>
      <c r="S358" s="242"/>
      <c r="T358" s="242"/>
      <c r="U358" s="242"/>
      <c r="V358" s="242"/>
      <c r="W358" s="242"/>
      <c r="X358" s="242"/>
      <c r="Y358" s="242"/>
      <c r="Z358" s="242"/>
      <c r="AA358" s="242"/>
      <c r="AB358" s="242"/>
      <c r="AC358" s="242"/>
      <c r="AD358" s="242"/>
      <c r="AE358" s="242"/>
      <c r="AF358" s="242"/>
    </row>
    <row r="359">
      <c r="A359" s="242"/>
      <c r="B359" s="242"/>
      <c r="C359" s="242"/>
      <c r="D359" s="13"/>
      <c r="E359" s="525"/>
      <c r="F359" s="525"/>
      <c r="G359" s="525"/>
      <c r="H359" s="242"/>
      <c r="I359" s="525"/>
      <c r="J359" s="525"/>
      <c r="K359" s="525"/>
      <c r="L359" s="525"/>
      <c r="M359" s="242"/>
      <c r="N359" s="525"/>
      <c r="O359" s="525"/>
      <c r="P359" s="525"/>
      <c r="Q359" s="525"/>
      <c r="R359" s="242"/>
      <c r="S359" s="242"/>
      <c r="T359" s="242"/>
      <c r="U359" s="242"/>
      <c r="V359" s="242"/>
      <c r="W359" s="242"/>
      <c r="X359" s="242"/>
      <c r="Y359" s="242"/>
      <c r="Z359" s="242"/>
      <c r="AA359" s="242"/>
      <c r="AB359" s="242"/>
      <c r="AC359" s="242"/>
      <c r="AD359" s="242"/>
      <c r="AE359" s="242"/>
      <c r="AF359" s="242"/>
    </row>
    <row r="360">
      <c r="A360" s="242"/>
      <c r="B360" s="242"/>
      <c r="C360" s="242"/>
      <c r="D360" s="13"/>
      <c r="E360" s="525"/>
      <c r="F360" s="525"/>
      <c r="G360" s="525"/>
      <c r="H360" s="242"/>
      <c r="I360" s="525"/>
      <c r="J360" s="525"/>
      <c r="K360" s="525"/>
      <c r="L360" s="525"/>
      <c r="M360" s="242"/>
      <c r="N360" s="525"/>
      <c r="O360" s="525"/>
      <c r="P360" s="525"/>
      <c r="Q360" s="525"/>
      <c r="R360" s="242"/>
      <c r="S360" s="242"/>
      <c r="T360" s="242"/>
      <c r="U360" s="242"/>
      <c r="V360" s="242"/>
      <c r="W360" s="242"/>
      <c r="X360" s="242"/>
      <c r="Y360" s="242"/>
      <c r="Z360" s="242"/>
      <c r="AA360" s="242"/>
      <c r="AB360" s="242"/>
      <c r="AC360" s="242"/>
      <c r="AD360" s="242"/>
      <c r="AE360" s="242"/>
      <c r="AF360" s="242"/>
    </row>
    <row r="361">
      <c r="A361" s="242"/>
      <c r="B361" s="242"/>
      <c r="C361" s="242"/>
      <c r="D361" s="13"/>
      <c r="E361" s="525"/>
      <c r="F361" s="525"/>
      <c r="G361" s="525"/>
      <c r="H361" s="242"/>
      <c r="I361" s="525"/>
      <c r="J361" s="525"/>
      <c r="K361" s="525"/>
      <c r="L361" s="525"/>
      <c r="M361" s="242"/>
      <c r="N361" s="525"/>
      <c r="O361" s="525"/>
      <c r="P361" s="525"/>
      <c r="Q361" s="525"/>
      <c r="R361" s="242"/>
      <c r="S361" s="242"/>
      <c r="T361" s="242"/>
      <c r="U361" s="242"/>
      <c r="V361" s="242"/>
      <c r="W361" s="242"/>
      <c r="X361" s="242"/>
      <c r="Y361" s="242"/>
      <c r="Z361" s="242"/>
      <c r="AA361" s="242"/>
      <c r="AB361" s="242"/>
      <c r="AC361" s="242"/>
      <c r="AD361" s="242"/>
      <c r="AE361" s="242"/>
      <c r="AF361" s="242"/>
    </row>
    <row r="362">
      <c r="A362" s="242"/>
      <c r="B362" s="242"/>
      <c r="C362" s="242"/>
      <c r="D362" s="13"/>
      <c r="E362" s="525"/>
      <c r="F362" s="525"/>
      <c r="G362" s="525"/>
      <c r="H362" s="242"/>
      <c r="I362" s="525"/>
      <c r="J362" s="525"/>
      <c r="K362" s="525"/>
      <c r="L362" s="525"/>
      <c r="M362" s="242"/>
      <c r="N362" s="525"/>
      <c r="O362" s="525"/>
      <c r="P362" s="525"/>
      <c r="Q362" s="525"/>
      <c r="R362" s="242"/>
      <c r="S362" s="242"/>
      <c r="T362" s="242"/>
      <c r="U362" s="242"/>
      <c r="V362" s="242"/>
      <c r="W362" s="242"/>
      <c r="X362" s="242"/>
      <c r="Y362" s="242"/>
      <c r="Z362" s="242"/>
      <c r="AA362" s="242"/>
      <c r="AB362" s="242"/>
      <c r="AC362" s="242"/>
      <c r="AD362" s="242"/>
      <c r="AE362" s="242"/>
      <c r="AF362" s="242"/>
    </row>
    <row r="363">
      <c r="A363" s="242"/>
      <c r="B363" s="242"/>
      <c r="C363" s="242"/>
      <c r="D363" s="13"/>
      <c r="E363" s="525"/>
      <c r="F363" s="525"/>
      <c r="G363" s="525"/>
      <c r="H363" s="242"/>
      <c r="I363" s="525"/>
      <c r="J363" s="525"/>
      <c r="K363" s="525"/>
      <c r="L363" s="525"/>
      <c r="M363" s="242"/>
      <c r="N363" s="525"/>
      <c r="O363" s="525"/>
      <c r="P363" s="525"/>
      <c r="Q363" s="525"/>
      <c r="R363" s="242"/>
      <c r="S363" s="242"/>
      <c r="T363" s="242"/>
      <c r="U363" s="242"/>
      <c r="V363" s="242"/>
      <c r="W363" s="242"/>
      <c r="X363" s="242"/>
      <c r="Y363" s="242"/>
      <c r="Z363" s="242"/>
      <c r="AA363" s="242"/>
      <c r="AB363" s="242"/>
      <c r="AC363" s="242"/>
      <c r="AD363" s="242"/>
      <c r="AE363" s="242"/>
      <c r="AF363" s="242"/>
    </row>
    <row r="364">
      <c r="A364" s="242"/>
      <c r="B364" s="242"/>
      <c r="C364" s="242"/>
      <c r="D364" s="13"/>
      <c r="E364" s="525"/>
      <c r="F364" s="525"/>
      <c r="G364" s="525"/>
      <c r="H364" s="242"/>
      <c r="I364" s="525"/>
      <c r="J364" s="525"/>
      <c r="K364" s="525"/>
      <c r="L364" s="525"/>
      <c r="M364" s="242"/>
      <c r="N364" s="525"/>
      <c r="O364" s="525"/>
      <c r="P364" s="525"/>
      <c r="Q364" s="525"/>
      <c r="R364" s="242"/>
      <c r="S364" s="242"/>
      <c r="T364" s="242"/>
      <c r="U364" s="242"/>
      <c r="V364" s="242"/>
      <c r="W364" s="242"/>
      <c r="X364" s="242"/>
      <c r="Y364" s="242"/>
      <c r="Z364" s="242"/>
      <c r="AA364" s="242"/>
      <c r="AB364" s="242"/>
      <c r="AC364" s="242"/>
      <c r="AD364" s="242"/>
      <c r="AE364" s="242"/>
      <c r="AF364" s="242"/>
    </row>
    <row r="365">
      <c r="A365" s="242"/>
      <c r="B365" s="242"/>
      <c r="C365" s="242"/>
      <c r="D365" s="13"/>
      <c r="E365" s="525"/>
      <c r="F365" s="525"/>
      <c r="G365" s="525"/>
      <c r="H365" s="242"/>
      <c r="I365" s="525"/>
      <c r="J365" s="525"/>
      <c r="K365" s="525"/>
      <c r="L365" s="525"/>
      <c r="M365" s="242"/>
      <c r="N365" s="525"/>
      <c r="O365" s="525"/>
      <c r="P365" s="525"/>
      <c r="Q365" s="525"/>
      <c r="R365" s="242"/>
      <c r="S365" s="242"/>
      <c r="T365" s="242"/>
      <c r="U365" s="242"/>
      <c r="V365" s="242"/>
      <c r="W365" s="242"/>
      <c r="X365" s="242"/>
      <c r="Y365" s="242"/>
      <c r="Z365" s="242"/>
      <c r="AA365" s="242"/>
      <c r="AB365" s="242"/>
      <c r="AC365" s="242"/>
      <c r="AD365" s="242"/>
      <c r="AE365" s="242"/>
      <c r="AF365" s="242"/>
    </row>
    <row r="366">
      <c r="A366" s="242"/>
      <c r="B366" s="242"/>
      <c r="C366" s="242"/>
      <c r="D366" s="13"/>
      <c r="E366" s="525"/>
      <c r="F366" s="525"/>
      <c r="G366" s="525"/>
      <c r="H366" s="242"/>
      <c r="I366" s="525"/>
      <c r="J366" s="525"/>
      <c r="K366" s="525"/>
      <c r="L366" s="525"/>
      <c r="M366" s="242"/>
      <c r="N366" s="525"/>
      <c r="O366" s="525"/>
      <c r="P366" s="525"/>
      <c r="Q366" s="525"/>
      <c r="R366" s="242"/>
      <c r="S366" s="242"/>
      <c r="T366" s="242"/>
      <c r="U366" s="242"/>
      <c r="V366" s="242"/>
      <c r="W366" s="242"/>
      <c r="X366" s="242"/>
      <c r="Y366" s="242"/>
      <c r="Z366" s="242"/>
      <c r="AA366" s="242"/>
      <c r="AB366" s="242"/>
      <c r="AC366" s="242"/>
      <c r="AD366" s="242"/>
      <c r="AE366" s="242"/>
      <c r="AF366" s="242"/>
    </row>
    <row r="367">
      <c r="A367" s="242"/>
      <c r="B367" s="242"/>
      <c r="C367" s="242"/>
      <c r="D367" s="13"/>
      <c r="E367" s="525"/>
      <c r="F367" s="525"/>
      <c r="G367" s="525"/>
      <c r="H367" s="242"/>
      <c r="I367" s="525"/>
      <c r="J367" s="525"/>
      <c r="K367" s="525"/>
      <c r="L367" s="525"/>
      <c r="M367" s="242"/>
      <c r="N367" s="525"/>
      <c r="O367" s="525"/>
      <c r="P367" s="525"/>
      <c r="Q367" s="525"/>
      <c r="R367" s="242"/>
      <c r="S367" s="242"/>
      <c r="T367" s="242"/>
      <c r="U367" s="242"/>
      <c r="V367" s="242"/>
      <c r="W367" s="242"/>
      <c r="X367" s="242"/>
      <c r="Y367" s="242"/>
      <c r="Z367" s="242"/>
      <c r="AA367" s="242"/>
      <c r="AB367" s="242"/>
      <c r="AC367" s="242"/>
      <c r="AD367" s="242"/>
      <c r="AE367" s="242"/>
      <c r="AF367" s="242"/>
    </row>
    <row r="368">
      <c r="A368" s="242"/>
      <c r="B368" s="242"/>
      <c r="C368" s="242"/>
      <c r="D368" s="13"/>
      <c r="E368" s="525"/>
      <c r="F368" s="525"/>
      <c r="G368" s="525"/>
      <c r="H368" s="242"/>
      <c r="I368" s="525"/>
      <c r="J368" s="525"/>
      <c r="K368" s="525"/>
      <c r="L368" s="525"/>
      <c r="M368" s="242"/>
      <c r="N368" s="525"/>
      <c r="O368" s="525"/>
      <c r="P368" s="525"/>
      <c r="Q368" s="525"/>
      <c r="R368" s="242"/>
      <c r="S368" s="242"/>
      <c r="T368" s="242"/>
      <c r="U368" s="242"/>
      <c r="V368" s="242"/>
      <c r="W368" s="242"/>
      <c r="X368" s="242"/>
      <c r="Y368" s="242"/>
      <c r="Z368" s="242"/>
      <c r="AA368" s="242"/>
      <c r="AB368" s="242"/>
      <c r="AC368" s="242"/>
      <c r="AD368" s="242"/>
      <c r="AE368" s="242"/>
      <c r="AF368" s="242"/>
    </row>
    <row r="369">
      <c r="A369" s="242"/>
      <c r="B369" s="242"/>
      <c r="C369" s="242"/>
      <c r="D369" s="13"/>
      <c r="E369" s="525"/>
      <c r="F369" s="525"/>
      <c r="G369" s="525"/>
      <c r="H369" s="242"/>
      <c r="I369" s="525"/>
      <c r="J369" s="525"/>
      <c r="K369" s="525"/>
      <c r="L369" s="525"/>
      <c r="M369" s="242"/>
      <c r="N369" s="525"/>
      <c r="O369" s="525"/>
      <c r="P369" s="525"/>
      <c r="Q369" s="525"/>
      <c r="R369" s="242"/>
      <c r="S369" s="242"/>
      <c r="T369" s="242"/>
      <c r="U369" s="242"/>
      <c r="V369" s="242"/>
      <c r="W369" s="242"/>
      <c r="X369" s="242"/>
      <c r="Y369" s="242"/>
      <c r="Z369" s="242"/>
      <c r="AA369" s="242"/>
      <c r="AB369" s="242"/>
      <c r="AC369" s="242"/>
      <c r="AD369" s="242"/>
      <c r="AE369" s="242"/>
      <c r="AF369" s="242"/>
    </row>
    <row r="370">
      <c r="A370" s="242"/>
      <c r="B370" s="242"/>
      <c r="C370" s="242"/>
      <c r="D370" s="13"/>
      <c r="E370" s="525"/>
      <c r="F370" s="525"/>
      <c r="G370" s="525"/>
      <c r="H370" s="242"/>
      <c r="I370" s="525"/>
      <c r="J370" s="525"/>
      <c r="K370" s="525"/>
      <c r="L370" s="525"/>
      <c r="M370" s="242"/>
      <c r="N370" s="525"/>
      <c r="O370" s="525"/>
      <c r="P370" s="525"/>
      <c r="Q370" s="525"/>
      <c r="R370" s="242"/>
      <c r="S370" s="242"/>
      <c r="T370" s="242"/>
      <c r="U370" s="242"/>
      <c r="V370" s="242"/>
      <c r="W370" s="242"/>
      <c r="X370" s="242"/>
      <c r="Y370" s="242"/>
      <c r="Z370" s="242"/>
      <c r="AA370" s="242"/>
      <c r="AB370" s="242"/>
      <c r="AC370" s="242"/>
      <c r="AD370" s="242"/>
      <c r="AE370" s="242"/>
      <c r="AF370" s="242"/>
    </row>
    <row r="371">
      <c r="A371" s="242"/>
      <c r="B371" s="242"/>
      <c r="C371" s="242"/>
      <c r="D371" s="13"/>
      <c r="E371" s="525"/>
      <c r="F371" s="525"/>
      <c r="G371" s="525"/>
      <c r="H371" s="242"/>
      <c r="I371" s="525"/>
      <c r="J371" s="525"/>
      <c r="K371" s="525"/>
      <c r="L371" s="525"/>
      <c r="M371" s="242"/>
      <c r="N371" s="525"/>
      <c r="O371" s="525"/>
      <c r="P371" s="525"/>
      <c r="Q371" s="525"/>
      <c r="R371" s="242"/>
      <c r="S371" s="242"/>
      <c r="T371" s="242"/>
      <c r="U371" s="242"/>
      <c r="V371" s="242"/>
      <c r="W371" s="242"/>
      <c r="X371" s="242"/>
      <c r="Y371" s="242"/>
      <c r="Z371" s="242"/>
      <c r="AA371" s="242"/>
      <c r="AB371" s="242"/>
      <c r="AC371" s="242"/>
      <c r="AD371" s="242"/>
      <c r="AE371" s="242"/>
      <c r="AF371" s="242"/>
    </row>
    <row r="372">
      <c r="A372" s="242"/>
      <c r="B372" s="242"/>
      <c r="C372" s="242"/>
      <c r="D372" s="13"/>
      <c r="E372" s="525"/>
      <c r="F372" s="525"/>
      <c r="G372" s="525"/>
      <c r="H372" s="242"/>
      <c r="I372" s="525"/>
      <c r="J372" s="525"/>
      <c r="K372" s="525"/>
      <c r="L372" s="525"/>
      <c r="M372" s="242"/>
      <c r="N372" s="525"/>
      <c r="O372" s="525"/>
      <c r="P372" s="525"/>
      <c r="Q372" s="525"/>
      <c r="R372" s="242"/>
      <c r="S372" s="242"/>
      <c r="T372" s="242"/>
      <c r="U372" s="242"/>
      <c r="V372" s="242"/>
      <c r="W372" s="242"/>
      <c r="X372" s="242"/>
      <c r="Y372" s="242"/>
      <c r="Z372" s="242"/>
      <c r="AA372" s="242"/>
      <c r="AB372" s="242"/>
      <c r="AC372" s="242"/>
      <c r="AD372" s="242"/>
      <c r="AE372" s="242"/>
      <c r="AF372" s="242"/>
    </row>
    <row r="373">
      <c r="A373" s="242"/>
      <c r="B373" s="242"/>
      <c r="C373" s="242"/>
      <c r="D373" s="13"/>
      <c r="E373" s="525"/>
      <c r="F373" s="525"/>
      <c r="G373" s="525"/>
      <c r="H373" s="242"/>
      <c r="I373" s="525"/>
      <c r="J373" s="525"/>
      <c r="K373" s="525"/>
      <c r="L373" s="525"/>
      <c r="M373" s="242"/>
      <c r="N373" s="525"/>
      <c r="O373" s="525"/>
      <c r="P373" s="525"/>
      <c r="Q373" s="525"/>
      <c r="R373" s="242"/>
      <c r="S373" s="242"/>
      <c r="T373" s="242"/>
      <c r="U373" s="242"/>
      <c r="V373" s="242"/>
      <c r="W373" s="242"/>
      <c r="X373" s="242"/>
      <c r="Y373" s="242"/>
      <c r="Z373" s="242"/>
      <c r="AA373" s="242"/>
      <c r="AB373" s="242"/>
      <c r="AC373" s="242"/>
      <c r="AD373" s="242"/>
      <c r="AE373" s="242"/>
      <c r="AF373" s="242"/>
    </row>
    <row r="374">
      <c r="A374" s="242"/>
      <c r="B374" s="242"/>
      <c r="C374" s="242"/>
      <c r="D374" s="13"/>
      <c r="E374" s="525"/>
      <c r="F374" s="525"/>
      <c r="G374" s="525"/>
      <c r="H374" s="242"/>
      <c r="I374" s="525"/>
      <c r="J374" s="525"/>
      <c r="K374" s="525"/>
      <c r="L374" s="525"/>
      <c r="M374" s="242"/>
      <c r="N374" s="525"/>
      <c r="O374" s="525"/>
      <c r="P374" s="525"/>
      <c r="Q374" s="525"/>
      <c r="R374" s="242"/>
      <c r="S374" s="242"/>
      <c r="T374" s="242"/>
      <c r="U374" s="242"/>
      <c r="V374" s="242"/>
      <c r="W374" s="242"/>
      <c r="X374" s="242"/>
      <c r="Y374" s="242"/>
      <c r="Z374" s="242"/>
      <c r="AA374" s="242"/>
      <c r="AB374" s="242"/>
      <c r="AC374" s="242"/>
      <c r="AD374" s="242"/>
      <c r="AE374" s="242"/>
      <c r="AF374" s="242"/>
    </row>
    <row r="375">
      <c r="A375" s="242"/>
      <c r="B375" s="242"/>
      <c r="C375" s="242"/>
      <c r="D375" s="13"/>
      <c r="E375" s="525"/>
      <c r="F375" s="525"/>
      <c r="G375" s="525"/>
      <c r="H375" s="242"/>
      <c r="I375" s="525"/>
      <c r="J375" s="525"/>
      <c r="K375" s="525"/>
      <c r="L375" s="525"/>
      <c r="M375" s="242"/>
      <c r="N375" s="525"/>
      <c r="O375" s="525"/>
      <c r="P375" s="525"/>
      <c r="Q375" s="525"/>
      <c r="R375" s="242"/>
      <c r="S375" s="242"/>
      <c r="T375" s="242"/>
      <c r="U375" s="242"/>
      <c r="V375" s="242"/>
      <c r="W375" s="242"/>
      <c r="X375" s="242"/>
      <c r="Y375" s="242"/>
      <c r="Z375" s="242"/>
      <c r="AA375" s="242"/>
      <c r="AB375" s="242"/>
      <c r="AC375" s="242"/>
      <c r="AD375" s="242"/>
      <c r="AE375" s="242"/>
      <c r="AF375" s="242"/>
    </row>
    <row r="376">
      <c r="A376" s="242"/>
      <c r="B376" s="242"/>
      <c r="C376" s="242"/>
      <c r="D376" s="13"/>
      <c r="E376" s="525"/>
      <c r="F376" s="525"/>
      <c r="G376" s="525"/>
      <c r="H376" s="242"/>
      <c r="I376" s="525"/>
      <c r="J376" s="525"/>
      <c r="K376" s="525"/>
      <c r="L376" s="525"/>
      <c r="M376" s="242"/>
      <c r="N376" s="525"/>
      <c r="O376" s="525"/>
      <c r="P376" s="525"/>
      <c r="Q376" s="525"/>
      <c r="R376" s="242"/>
      <c r="S376" s="242"/>
      <c r="T376" s="242"/>
      <c r="U376" s="242"/>
      <c r="V376" s="242"/>
      <c r="W376" s="242"/>
      <c r="X376" s="242"/>
      <c r="Y376" s="242"/>
      <c r="Z376" s="242"/>
      <c r="AA376" s="242"/>
      <c r="AB376" s="242"/>
      <c r="AC376" s="242"/>
      <c r="AD376" s="242"/>
      <c r="AE376" s="242"/>
      <c r="AF376" s="242"/>
    </row>
    <row r="377">
      <c r="A377" s="242"/>
      <c r="B377" s="242"/>
      <c r="C377" s="242"/>
      <c r="D377" s="13"/>
      <c r="E377" s="525"/>
      <c r="F377" s="525"/>
      <c r="G377" s="525"/>
      <c r="H377" s="242"/>
      <c r="I377" s="525"/>
      <c r="J377" s="525"/>
      <c r="K377" s="525"/>
      <c r="L377" s="525"/>
      <c r="M377" s="242"/>
      <c r="N377" s="525"/>
      <c r="O377" s="525"/>
      <c r="P377" s="525"/>
      <c r="Q377" s="525"/>
      <c r="R377" s="242"/>
      <c r="S377" s="242"/>
      <c r="T377" s="242"/>
      <c r="U377" s="242"/>
      <c r="V377" s="242"/>
      <c r="W377" s="242"/>
      <c r="X377" s="242"/>
      <c r="Y377" s="242"/>
      <c r="Z377" s="242"/>
      <c r="AA377" s="242"/>
      <c r="AB377" s="242"/>
      <c r="AC377" s="242"/>
      <c r="AD377" s="242"/>
      <c r="AE377" s="242"/>
      <c r="AF377" s="242"/>
    </row>
    <row r="378">
      <c r="A378" s="242"/>
      <c r="B378" s="242"/>
      <c r="C378" s="242"/>
      <c r="D378" s="13"/>
      <c r="E378" s="525"/>
      <c r="F378" s="525"/>
      <c r="G378" s="525"/>
      <c r="H378" s="242"/>
      <c r="I378" s="525"/>
      <c r="J378" s="525"/>
      <c r="K378" s="525"/>
      <c r="L378" s="525"/>
      <c r="M378" s="242"/>
      <c r="N378" s="525"/>
      <c r="O378" s="525"/>
      <c r="P378" s="525"/>
      <c r="Q378" s="525"/>
      <c r="R378" s="242"/>
      <c r="S378" s="242"/>
      <c r="T378" s="242"/>
      <c r="U378" s="242"/>
      <c r="V378" s="242"/>
      <c r="W378" s="242"/>
      <c r="X378" s="242"/>
      <c r="Y378" s="242"/>
      <c r="Z378" s="242"/>
      <c r="AA378" s="242"/>
      <c r="AB378" s="242"/>
      <c r="AC378" s="242"/>
      <c r="AD378" s="242"/>
      <c r="AE378" s="242"/>
      <c r="AF378" s="242"/>
    </row>
    <row r="379">
      <c r="A379" s="242"/>
      <c r="B379" s="242"/>
      <c r="C379" s="242"/>
      <c r="D379" s="13"/>
      <c r="E379" s="525"/>
      <c r="F379" s="525"/>
      <c r="G379" s="525"/>
      <c r="H379" s="242"/>
      <c r="I379" s="525"/>
      <c r="J379" s="525"/>
      <c r="K379" s="525"/>
      <c r="L379" s="525"/>
      <c r="M379" s="242"/>
      <c r="N379" s="525"/>
      <c r="O379" s="525"/>
      <c r="P379" s="525"/>
      <c r="Q379" s="525"/>
      <c r="R379" s="242"/>
      <c r="S379" s="242"/>
      <c r="T379" s="242"/>
      <c r="U379" s="242"/>
      <c r="V379" s="242"/>
      <c r="W379" s="242"/>
      <c r="X379" s="242"/>
      <c r="Y379" s="242"/>
      <c r="Z379" s="242"/>
      <c r="AA379" s="242"/>
      <c r="AB379" s="242"/>
      <c r="AC379" s="242"/>
      <c r="AD379" s="242"/>
      <c r="AE379" s="242"/>
      <c r="AF379" s="242"/>
    </row>
    <row r="380">
      <c r="A380" s="242"/>
      <c r="B380" s="242"/>
      <c r="C380" s="242"/>
      <c r="D380" s="13"/>
      <c r="E380" s="525"/>
      <c r="F380" s="525"/>
      <c r="G380" s="525"/>
      <c r="H380" s="242"/>
      <c r="I380" s="525"/>
      <c r="J380" s="525"/>
      <c r="K380" s="525"/>
      <c r="L380" s="525"/>
      <c r="M380" s="242"/>
      <c r="N380" s="525"/>
      <c r="O380" s="525"/>
      <c r="P380" s="525"/>
      <c r="Q380" s="525"/>
      <c r="R380" s="242"/>
      <c r="S380" s="242"/>
      <c r="T380" s="242"/>
      <c r="U380" s="242"/>
      <c r="V380" s="242"/>
      <c r="W380" s="242"/>
      <c r="X380" s="242"/>
      <c r="Y380" s="242"/>
      <c r="Z380" s="242"/>
      <c r="AA380" s="242"/>
      <c r="AB380" s="242"/>
      <c r="AC380" s="242"/>
      <c r="AD380" s="242"/>
      <c r="AE380" s="242"/>
      <c r="AF380" s="242"/>
    </row>
    <row r="381">
      <c r="A381" s="242"/>
      <c r="B381" s="242"/>
      <c r="C381" s="242"/>
      <c r="D381" s="13"/>
      <c r="E381" s="525"/>
      <c r="F381" s="525"/>
      <c r="G381" s="525"/>
      <c r="H381" s="242"/>
      <c r="I381" s="525"/>
      <c r="J381" s="525"/>
      <c r="K381" s="525"/>
      <c r="L381" s="525"/>
      <c r="M381" s="242"/>
      <c r="N381" s="525"/>
      <c r="O381" s="525"/>
      <c r="P381" s="525"/>
      <c r="Q381" s="525"/>
      <c r="R381" s="242"/>
      <c r="S381" s="242"/>
      <c r="T381" s="242"/>
      <c r="U381" s="242"/>
      <c r="V381" s="242"/>
      <c r="W381" s="242"/>
      <c r="X381" s="242"/>
      <c r="Y381" s="242"/>
      <c r="Z381" s="242"/>
      <c r="AA381" s="242"/>
      <c r="AB381" s="242"/>
      <c r="AC381" s="242"/>
      <c r="AD381" s="242"/>
      <c r="AE381" s="242"/>
      <c r="AF381" s="242"/>
    </row>
    <row r="382">
      <c r="A382" s="242"/>
      <c r="B382" s="242"/>
      <c r="C382" s="242"/>
      <c r="D382" s="13"/>
      <c r="E382" s="525"/>
      <c r="F382" s="525"/>
      <c r="G382" s="525"/>
      <c r="H382" s="242"/>
      <c r="I382" s="525"/>
      <c r="J382" s="525"/>
      <c r="K382" s="525"/>
      <c r="L382" s="525"/>
      <c r="M382" s="242"/>
      <c r="N382" s="525"/>
      <c r="O382" s="525"/>
      <c r="P382" s="525"/>
      <c r="Q382" s="525"/>
      <c r="R382" s="242"/>
      <c r="S382" s="242"/>
      <c r="T382" s="242"/>
      <c r="U382" s="242"/>
      <c r="V382" s="242"/>
      <c r="W382" s="242"/>
      <c r="X382" s="242"/>
      <c r="Y382" s="242"/>
      <c r="Z382" s="242"/>
      <c r="AA382" s="242"/>
      <c r="AB382" s="242"/>
      <c r="AC382" s="242"/>
      <c r="AD382" s="242"/>
      <c r="AE382" s="242"/>
      <c r="AF382" s="242"/>
    </row>
    <row r="383">
      <c r="A383" s="242"/>
      <c r="B383" s="242"/>
      <c r="C383" s="242"/>
      <c r="D383" s="13"/>
      <c r="E383" s="525"/>
      <c r="F383" s="525"/>
      <c r="G383" s="525"/>
      <c r="H383" s="242"/>
      <c r="I383" s="525"/>
      <c r="J383" s="525"/>
      <c r="K383" s="525"/>
      <c r="L383" s="525"/>
      <c r="M383" s="242"/>
      <c r="N383" s="525"/>
      <c r="O383" s="525"/>
      <c r="P383" s="525"/>
      <c r="Q383" s="525"/>
      <c r="R383" s="242"/>
      <c r="S383" s="242"/>
      <c r="T383" s="242"/>
      <c r="U383" s="242"/>
      <c r="V383" s="242"/>
      <c r="W383" s="242"/>
      <c r="X383" s="242"/>
      <c r="Y383" s="242"/>
      <c r="Z383" s="242"/>
      <c r="AA383" s="242"/>
      <c r="AB383" s="242"/>
      <c r="AC383" s="242"/>
      <c r="AD383" s="242"/>
      <c r="AE383" s="242"/>
      <c r="AF383" s="242"/>
    </row>
    <row r="384">
      <c r="A384" s="242"/>
      <c r="B384" s="242"/>
      <c r="C384" s="242"/>
      <c r="D384" s="13"/>
      <c r="E384" s="525"/>
      <c r="F384" s="525"/>
      <c r="G384" s="525"/>
      <c r="H384" s="242"/>
      <c r="I384" s="525"/>
      <c r="J384" s="525"/>
      <c r="K384" s="525"/>
      <c r="L384" s="525"/>
      <c r="M384" s="242"/>
      <c r="N384" s="525"/>
      <c r="O384" s="525"/>
      <c r="P384" s="525"/>
      <c r="Q384" s="525"/>
      <c r="R384" s="242"/>
      <c r="S384" s="242"/>
      <c r="T384" s="242"/>
      <c r="U384" s="242"/>
      <c r="V384" s="242"/>
      <c r="W384" s="242"/>
      <c r="X384" s="242"/>
      <c r="Y384" s="242"/>
      <c r="Z384" s="242"/>
      <c r="AA384" s="242"/>
      <c r="AB384" s="242"/>
      <c r="AC384" s="242"/>
      <c r="AD384" s="242"/>
      <c r="AE384" s="242"/>
      <c r="AF384" s="242"/>
    </row>
    <row r="385">
      <c r="A385" s="242"/>
      <c r="B385" s="242"/>
      <c r="C385" s="242"/>
      <c r="D385" s="13"/>
      <c r="E385" s="525"/>
      <c r="F385" s="525"/>
      <c r="G385" s="525"/>
      <c r="H385" s="242"/>
      <c r="I385" s="525"/>
      <c r="J385" s="525"/>
      <c r="K385" s="525"/>
      <c r="L385" s="525"/>
      <c r="M385" s="242"/>
      <c r="N385" s="525"/>
      <c r="O385" s="525"/>
      <c r="P385" s="525"/>
      <c r="Q385" s="525"/>
      <c r="R385" s="242"/>
      <c r="S385" s="242"/>
      <c r="T385" s="242"/>
      <c r="U385" s="242"/>
      <c r="V385" s="242"/>
      <c r="W385" s="242"/>
      <c r="X385" s="242"/>
      <c r="Y385" s="242"/>
      <c r="Z385" s="242"/>
      <c r="AA385" s="242"/>
      <c r="AB385" s="242"/>
      <c r="AC385" s="242"/>
      <c r="AD385" s="242"/>
      <c r="AE385" s="242"/>
      <c r="AF385" s="242"/>
    </row>
    <row r="386">
      <c r="A386" s="242"/>
      <c r="B386" s="242"/>
      <c r="C386" s="242"/>
      <c r="D386" s="13"/>
      <c r="E386" s="525"/>
      <c r="F386" s="525"/>
      <c r="G386" s="525"/>
      <c r="H386" s="242"/>
      <c r="I386" s="525"/>
      <c r="J386" s="525"/>
      <c r="K386" s="525"/>
      <c r="L386" s="525"/>
      <c r="M386" s="242"/>
      <c r="N386" s="525"/>
      <c r="O386" s="525"/>
      <c r="P386" s="525"/>
      <c r="Q386" s="525"/>
      <c r="R386" s="242"/>
      <c r="S386" s="242"/>
      <c r="T386" s="242"/>
      <c r="U386" s="242"/>
      <c r="V386" s="242"/>
      <c r="W386" s="242"/>
      <c r="X386" s="242"/>
      <c r="Y386" s="242"/>
      <c r="Z386" s="242"/>
      <c r="AA386" s="242"/>
      <c r="AB386" s="242"/>
      <c r="AC386" s="242"/>
      <c r="AD386" s="242"/>
      <c r="AE386" s="242"/>
      <c r="AF386" s="242"/>
    </row>
    <row r="387">
      <c r="A387" s="242"/>
      <c r="B387" s="242"/>
      <c r="C387" s="242"/>
      <c r="D387" s="13"/>
      <c r="E387" s="525"/>
      <c r="F387" s="525"/>
      <c r="G387" s="525"/>
      <c r="H387" s="242"/>
      <c r="I387" s="525"/>
      <c r="J387" s="525"/>
      <c r="K387" s="525"/>
      <c r="L387" s="525"/>
      <c r="M387" s="242"/>
      <c r="N387" s="525"/>
      <c r="O387" s="525"/>
      <c r="P387" s="525"/>
      <c r="Q387" s="525"/>
      <c r="R387" s="242"/>
      <c r="S387" s="242"/>
      <c r="T387" s="242"/>
      <c r="U387" s="242"/>
      <c r="V387" s="242"/>
      <c r="W387" s="242"/>
      <c r="X387" s="242"/>
      <c r="Y387" s="242"/>
      <c r="Z387" s="242"/>
      <c r="AA387" s="242"/>
      <c r="AB387" s="242"/>
      <c r="AC387" s="242"/>
      <c r="AD387" s="242"/>
      <c r="AE387" s="242"/>
      <c r="AF387" s="242"/>
    </row>
    <row r="388">
      <c r="A388" s="242"/>
      <c r="B388" s="242"/>
      <c r="C388" s="242"/>
      <c r="D388" s="13"/>
      <c r="E388" s="525"/>
      <c r="F388" s="525"/>
      <c r="G388" s="525"/>
      <c r="H388" s="242"/>
      <c r="I388" s="525"/>
      <c r="J388" s="525"/>
      <c r="K388" s="525"/>
      <c r="L388" s="525"/>
      <c r="M388" s="242"/>
      <c r="N388" s="525"/>
      <c r="O388" s="525"/>
      <c r="P388" s="525"/>
      <c r="Q388" s="525"/>
      <c r="R388" s="242"/>
      <c r="S388" s="242"/>
      <c r="T388" s="242"/>
      <c r="U388" s="242"/>
      <c r="V388" s="242"/>
      <c r="W388" s="242"/>
      <c r="X388" s="242"/>
      <c r="Y388" s="242"/>
      <c r="Z388" s="242"/>
      <c r="AA388" s="242"/>
      <c r="AB388" s="242"/>
      <c r="AC388" s="242"/>
      <c r="AD388" s="242"/>
      <c r="AE388" s="242"/>
      <c r="AF388" s="242"/>
    </row>
    <row r="389">
      <c r="A389" s="242"/>
      <c r="B389" s="242"/>
      <c r="C389" s="242"/>
      <c r="D389" s="13"/>
      <c r="E389" s="525"/>
      <c r="F389" s="525"/>
      <c r="G389" s="525"/>
      <c r="H389" s="242"/>
      <c r="I389" s="525"/>
      <c r="J389" s="525"/>
      <c r="K389" s="525"/>
      <c r="L389" s="525"/>
      <c r="M389" s="242"/>
      <c r="N389" s="525"/>
      <c r="O389" s="525"/>
      <c r="P389" s="525"/>
      <c r="Q389" s="525"/>
      <c r="R389" s="242"/>
      <c r="S389" s="242"/>
      <c r="T389" s="242"/>
      <c r="U389" s="242"/>
      <c r="V389" s="242"/>
      <c r="W389" s="242"/>
      <c r="X389" s="242"/>
      <c r="Y389" s="242"/>
      <c r="Z389" s="242"/>
      <c r="AA389" s="242"/>
      <c r="AB389" s="242"/>
      <c r="AC389" s="242"/>
      <c r="AD389" s="242"/>
      <c r="AE389" s="242"/>
      <c r="AF389" s="242"/>
    </row>
    <row r="390">
      <c r="A390" s="242"/>
      <c r="B390" s="242"/>
      <c r="C390" s="242"/>
      <c r="D390" s="13"/>
      <c r="E390" s="525"/>
      <c r="F390" s="525"/>
      <c r="G390" s="525"/>
      <c r="H390" s="242"/>
      <c r="I390" s="525"/>
      <c r="J390" s="525"/>
      <c r="K390" s="525"/>
      <c r="L390" s="525"/>
      <c r="M390" s="242"/>
      <c r="N390" s="525"/>
      <c r="O390" s="525"/>
      <c r="P390" s="525"/>
      <c r="Q390" s="525"/>
      <c r="R390" s="242"/>
      <c r="S390" s="242"/>
      <c r="T390" s="242"/>
      <c r="U390" s="242"/>
      <c r="V390" s="242"/>
      <c r="W390" s="242"/>
      <c r="X390" s="242"/>
      <c r="Y390" s="242"/>
      <c r="Z390" s="242"/>
      <c r="AA390" s="242"/>
      <c r="AB390" s="242"/>
      <c r="AC390" s="242"/>
      <c r="AD390" s="242"/>
      <c r="AE390" s="242"/>
      <c r="AF390" s="242"/>
    </row>
    <row r="391">
      <c r="A391" s="242"/>
      <c r="B391" s="242"/>
      <c r="C391" s="242"/>
      <c r="D391" s="13"/>
      <c r="E391" s="525"/>
      <c r="F391" s="525"/>
      <c r="G391" s="525"/>
      <c r="H391" s="242"/>
      <c r="I391" s="525"/>
      <c r="J391" s="525"/>
      <c r="K391" s="525"/>
      <c r="L391" s="525"/>
      <c r="M391" s="242"/>
      <c r="N391" s="525"/>
      <c r="O391" s="525"/>
      <c r="P391" s="525"/>
      <c r="Q391" s="525"/>
      <c r="R391" s="242"/>
      <c r="S391" s="242"/>
      <c r="T391" s="242"/>
      <c r="U391" s="242"/>
      <c r="V391" s="242"/>
      <c r="W391" s="242"/>
      <c r="X391" s="242"/>
      <c r="Y391" s="242"/>
      <c r="Z391" s="242"/>
      <c r="AA391" s="242"/>
      <c r="AB391" s="242"/>
      <c r="AC391" s="242"/>
      <c r="AD391" s="242"/>
      <c r="AE391" s="242"/>
      <c r="AF391" s="242"/>
    </row>
    <row r="392">
      <c r="A392" s="242"/>
      <c r="B392" s="242"/>
      <c r="C392" s="242"/>
      <c r="D392" s="13"/>
      <c r="E392" s="525"/>
      <c r="F392" s="525"/>
      <c r="G392" s="525"/>
      <c r="H392" s="242"/>
      <c r="I392" s="525"/>
      <c r="J392" s="525"/>
      <c r="K392" s="525"/>
      <c r="L392" s="525"/>
      <c r="M392" s="242"/>
      <c r="N392" s="525"/>
      <c r="O392" s="525"/>
      <c r="P392" s="525"/>
      <c r="Q392" s="525"/>
      <c r="R392" s="242"/>
      <c r="S392" s="242"/>
      <c r="T392" s="242"/>
      <c r="U392" s="242"/>
      <c r="V392" s="242"/>
      <c r="W392" s="242"/>
      <c r="X392" s="242"/>
      <c r="Y392" s="242"/>
      <c r="Z392" s="242"/>
      <c r="AA392" s="242"/>
      <c r="AB392" s="242"/>
      <c r="AC392" s="242"/>
      <c r="AD392" s="242"/>
      <c r="AE392" s="242"/>
      <c r="AF392" s="242"/>
    </row>
    <row r="393">
      <c r="A393" s="242"/>
      <c r="B393" s="242"/>
      <c r="C393" s="242"/>
      <c r="D393" s="13"/>
      <c r="E393" s="525"/>
      <c r="F393" s="525"/>
      <c r="G393" s="525"/>
      <c r="H393" s="242"/>
      <c r="I393" s="525"/>
      <c r="J393" s="525"/>
      <c r="K393" s="525"/>
      <c r="L393" s="525"/>
      <c r="M393" s="242"/>
      <c r="N393" s="525"/>
      <c r="O393" s="525"/>
      <c r="P393" s="525"/>
      <c r="Q393" s="525"/>
      <c r="R393" s="242"/>
      <c r="S393" s="242"/>
      <c r="T393" s="242"/>
      <c r="U393" s="242"/>
      <c r="V393" s="242"/>
      <c r="W393" s="242"/>
      <c r="X393" s="242"/>
      <c r="Y393" s="242"/>
      <c r="Z393" s="242"/>
      <c r="AA393" s="242"/>
      <c r="AB393" s="242"/>
      <c r="AC393" s="242"/>
      <c r="AD393" s="242"/>
      <c r="AE393" s="242"/>
      <c r="AF393" s="242"/>
    </row>
    <row r="394">
      <c r="A394" s="242"/>
      <c r="B394" s="242"/>
      <c r="C394" s="242"/>
      <c r="D394" s="13"/>
      <c r="E394" s="525"/>
      <c r="F394" s="525"/>
      <c r="G394" s="525"/>
      <c r="H394" s="242"/>
      <c r="I394" s="525"/>
      <c r="J394" s="525"/>
      <c r="K394" s="525"/>
      <c r="L394" s="525"/>
      <c r="M394" s="242"/>
      <c r="N394" s="525"/>
      <c r="O394" s="525"/>
      <c r="P394" s="525"/>
      <c r="Q394" s="525"/>
      <c r="R394" s="242"/>
      <c r="S394" s="242"/>
      <c r="T394" s="242"/>
      <c r="U394" s="242"/>
      <c r="V394" s="242"/>
      <c r="W394" s="242"/>
      <c r="X394" s="242"/>
      <c r="Y394" s="242"/>
      <c r="Z394" s="242"/>
      <c r="AA394" s="242"/>
      <c r="AB394" s="242"/>
      <c r="AC394" s="242"/>
      <c r="AD394" s="242"/>
      <c r="AE394" s="242"/>
      <c r="AF394" s="242"/>
    </row>
    <row r="395">
      <c r="A395" s="242"/>
      <c r="B395" s="242"/>
      <c r="C395" s="242"/>
      <c r="D395" s="13"/>
      <c r="E395" s="525"/>
      <c r="F395" s="525"/>
      <c r="G395" s="525"/>
      <c r="H395" s="242"/>
      <c r="I395" s="525"/>
      <c r="J395" s="525"/>
      <c r="K395" s="525"/>
      <c r="L395" s="525"/>
      <c r="M395" s="242"/>
      <c r="N395" s="525"/>
      <c r="O395" s="525"/>
      <c r="P395" s="525"/>
      <c r="Q395" s="525"/>
      <c r="R395" s="242"/>
      <c r="S395" s="242"/>
      <c r="T395" s="242"/>
      <c r="U395" s="242"/>
      <c r="V395" s="242"/>
      <c r="W395" s="242"/>
      <c r="X395" s="242"/>
      <c r="Y395" s="242"/>
      <c r="Z395" s="242"/>
      <c r="AA395" s="242"/>
      <c r="AB395" s="242"/>
      <c r="AC395" s="242"/>
      <c r="AD395" s="242"/>
      <c r="AE395" s="242"/>
      <c r="AF395" s="242"/>
    </row>
    <row r="396">
      <c r="A396" s="242"/>
      <c r="B396" s="242"/>
      <c r="C396" s="242"/>
      <c r="D396" s="13"/>
      <c r="E396" s="525"/>
      <c r="F396" s="525"/>
      <c r="G396" s="525"/>
      <c r="H396" s="242"/>
      <c r="I396" s="525"/>
      <c r="J396" s="525"/>
      <c r="K396" s="525"/>
      <c r="L396" s="525"/>
      <c r="M396" s="242"/>
      <c r="N396" s="525"/>
      <c r="O396" s="525"/>
      <c r="P396" s="525"/>
      <c r="Q396" s="525"/>
      <c r="R396" s="242"/>
      <c r="S396" s="242"/>
      <c r="T396" s="242"/>
      <c r="U396" s="242"/>
      <c r="V396" s="242"/>
      <c r="W396" s="242"/>
      <c r="X396" s="242"/>
      <c r="Y396" s="242"/>
      <c r="Z396" s="242"/>
      <c r="AA396" s="242"/>
      <c r="AB396" s="242"/>
      <c r="AC396" s="242"/>
      <c r="AD396" s="242"/>
      <c r="AE396" s="242"/>
      <c r="AF396" s="242"/>
    </row>
    <row r="397">
      <c r="A397" s="242"/>
      <c r="B397" s="242"/>
      <c r="C397" s="242"/>
      <c r="D397" s="13"/>
      <c r="E397" s="525"/>
      <c r="F397" s="525"/>
      <c r="G397" s="525"/>
      <c r="H397" s="242"/>
      <c r="I397" s="525"/>
      <c r="J397" s="525"/>
      <c r="K397" s="525"/>
      <c r="L397" s="525"/>
      <c r="M397" s="242"/>
      <c r="N397" s="525"/>
      <c r="O397" s="525"/>
      <c r="P397" s="525"/>
      <c r="Q397" s="525"/>
      <c r="R397" s="242"/>
      <c r="S397" s="242"/>
      <c r="T397" s="242"/>
      <c r="U397" s="242"/>
      <c r="V397" s="242"/>
      <c r="W397" s="242"/>
      <c r="X397" s="242"/>
      <c r="Y397" s="242"/>
      <c r="Z397" s="242"/>
      <c r="AA397" s="242"/>
      <c r="AB397" s="242"/>
      <c r="AC397" s="242"/>
      <c r="AD397" s="242"/>
      <c r="AE397" s="242"/>
      <c r="AF397" s="242"/>
    </row>
    <row r="398">
      <c r="A398" s="242"/>
      <c r="B398" s="242"/>
      <c r="C398" s="242"/>
      <c r="D398" s="13"/>
      <c r="E398" s="525"/>
      <c r="F398" s="525"/>
      <c r="G398" s="525"/>
      <c r="H398" s="242"/>
      <c r="I398" s="525"/>
      <c r="J398" s="525"/>
      <c r="K398" s="525"/>
      <c r="L398" s="525"/>
      <c r="M398" s="242"/>
      <c r="N398" s="525"/>
      <c r="O398" s="525"/>
      <c r="P398" s="525"/>
      <c r="Q398" s="525"/>
      <c r="R398" s="242"/>
      <c r="S398" s="242"/>
      <c r="T398" s="242"/>
      <c r="U398" s="242"/>
      <c r="V398" s="242"/>
      <c r="W398" s="242"/>
      <c r="X398" s="242"/>
      <c r="Y398" s="242"/>
      <c r="Z398" s="242"/>
      <c r="AA398" s="242"/>
      <c r="AB398" s="242"/>
      <c r="AC398" s="242"/>
      <c r="AD398" s="242"/>
      <c r="AE398" s="242"/>
      <c r="AF398" s="242"/>
    </row>
    <row r="399">
      <c r="A399" s="242"/>
      <c r="B399" s="242"/>
      <c r="C399" s="242"/>
      <c r="D399" s="13"/>
      <c r="E399" s="525"/>
      <c r="F399" s="525"/>
      <c r="G399" s="525"/>
      <c r="H399" s="242"/>
      <c r="I399" s="525"/>
      <c r="J399" s="525"/>
      <c r="K399" s="525"/>
      <c r="L399" s="525"/>
      <c r="M399" s="242"/>
      <c r="N399" s="525"/>
      <c r="O399" s="525"/>
      <c r="P399" s="525"/>
      <c r="Q399" s="525"/>
      <c r="R399" s="242"/>
      <c r="S399" s="242"/>
      <c r="T399" s="242"/>
      <c r="U399" s="242"/>
      <c r="V399" s="242"/>
      <c r="W399" s="242"/>
      <c r="X399" s="242"/>
      <c r="Y399" s="242"/>
      <c r="Z399" s="242"/>
      <c r="AA399" s="242"/>
      <c r="AB399" s="242"/>
      <c r="AC399" s="242"/>
      <c r="AD399" s="242"/>
      <c r="AE399" s="242"/>
      <c r="AF399" s="242"/>
    </row>
    <row r="400">
      <c r="A400" s="242"/>
      <c r="B400" s="242"/>
      <c r="C400" s="242"/>
      <c r="D400" s="13"/>
      <c r="E400" s="525"/>
      <c r="F400" s="525"/>
      <c r="G400" s="525"/>
      <c r="H400" s="242"/>
      <c r="I400" s="525"/>
      <c r="J400" s="525"/>
      <c r="K400" s="525"/>
      <c r="L400" s="525"/>
      <c r="M400" s="242"/>
      <c r="N400" s="525"/>
      <c r="O400" s="525"/>
      <c r="P400" s="525"/>
      <c r="Q400" s="525"/>
      <c r="R400" s="242"/>
      <c r="S400" s="242"/>
      <c r="T400" s="242"/>
      <c r="U400" s="242"/>
      <c r="V400" s="242"/>
      <c r="W400" s="242"/>
      <c r="X400" s="242"/>
      <c r="Y400" s="242"/>
      <c r="Z400" s="242"/>
      <c r="AA400" s="242"/>
      <c r="AB400" s="242"/>
      <c r="AC400" s="242"/>
      <c r="AD400" s="242"/>
      <c r="AE400" s="242"/>
      <c r="AF400" s="242"/>
    </row>
    <row r="401">
      <c r="A401" s="242"/>
      <c r="B401" s="242"/>
      <c r="C401" s="242"/>
      <c r="D401" s="13"/>
      <c r="E401" s="525"/>
      <c r="F401" s="525"/>
      <c r="G401" s="525"/>
      <c r="H401" s="242"/>
      <c r="I401" s="525"/>
      <c r="J401" s="525"/>
      <c r="K401" s="525"/>
      <c r="L401" s="525"/>
      <c r="M401" s="242"/>
      <c r="N401" s="525"/>
      <c r="O401" s="525"/>
      <c r="P401" s="525"/>
      <c r="Q401" s="525"/>
      <c r="R401" s="242"/>
      <c r="S401" s="242"/>
      <c r="T401" s="242"/>
      <c r="U401" s="242"/>
      <c r="V401" s="242"/>
      <c r="W401" s="242"/>
      <c r="X401" s="242"/>
      <c r="Y401" s="242"/>
      <c r="Z401" s="242"/>
      <c r="AA401" s="242"/>
      <c r="AB401" s="242"/>
      <c r="AC401" s="242"/>
      <c r="AD401" s="242"/>
      <c r="AE401" s="242"/>
      <c r="AF401" s="242"/>
    </row>
    <row r="402">
      <c r="A402" s="242"/>
      <c r="B402" s="242"/>
      <c r="C402" s="242"/>
      <c r="D402" s="13"/>
      <c r="E402" s="525"/>
      <c r="F402" s="525"/>
      <c r="G402" s="525"/>
      <c r="H402" s="242"/>
      <c r="I402" s="525"/>
      <c r="J402" s="525"/>
      <c r="K402" s="525"/>
      <c r="L402" s="525"/>
      <c r="M402" s="242"/>
      <c r="N402" s="525"/>
      <c r="O402" s="525"/>
      <c r="P402" s="525"/>
      <c r="Q402" s="525"/>
      <c r="R402" s="242"/>
      <c r="S402" s="242"/>
      <c r="T402" s="242"/>
      <c r="U402" s="242"/>
      <c r="V402" s="242"/>
      <c r="W402" s="242"/>
      <c r="X402" s="242"/>
      <c r="Y402" s="242"/>
      <c r="Z402" s="242"/>
      <c r="AA402" s="242"/>
      <c r="AB402" s="242"/>
      <c r="AC402" s="242"/>
      <c r="AD402" s="242"/>
      <c r="AE402" s="242"/>
      <c r="AF402" s="242"/>
    </row>
    <row r="403">
      <c r="A403" s="242"/>
      <c r="B403" s="242"/>
      <c r="C403" s="242"/>
      <c r="D403" s="13"/>
      <c r="E403" s="525"/>
      <c r="F403" s="525"/>
      <c r="G403" s="525"/>
      <c r="H403" s="242"/>
      <c r="I403" s="525"/>
      <c r="J403" s="525"/>
      <c r="K403" s="525"/>
      <c r="L403" s="525"/>
      <c r="M403" s="242"/>
      <c r="N403" s="525"/>
      <c r="O403" s="525"/>
      <c r="P403" s="525"/>
      <c r="Q403" s="525"/>
      <c r="R403" s="242"/>
      <c r="S403" s="242"/>
      <c r="T403" s="242"/>
      <c r="U403" s="242"/>
      <c r="V403" s="242"/>
      <c r="W403" s="242"/>
      <c r="X403" s="242"/>
      <c r="Y403" s="242"/>
      <c r="Z403" s="242"/>
      <c r="AA403" s="242"/>
      <c r="AB403" s="242"/>
      <c r="AC403" s="242"/>
      <c r="AD403" s="242"/>
      <c r="AE403" s="242"/>
      <c r="AF403" s="242"/>
    </row>
    <row r="404">
      <c r="A404" s="242"/>
      <c r="B404" s="242"/>
      <c r="C404" s="242"/>
      <c r="D404" s="13"/>
      <c r="E404" s="525"/>
      <c r="F404" s="525"/>
      <c r="G404" s="525"/>
      <c r="H404" s="242"/>
      <c r="I404" s="525"/>
      <c r="J404" s="525"/>
      <c r="K404" s="525"/>
      <c r="L404" s="525"/>
      <c r="M404" s="242"/>
      <c r="N404" s="525"/>
      <c r="O404" s="525"/>
      <c r="P404" s="525"/>
      <c r="Q404" s="525"/>
      <c r="R404" s="242"/>
      <c r="S404" s="242"/>
      <c r="T404" s="242"/>
      <c r="U404" s="242"/>
      <c r="V404" s="242"/>
      <c r="W404" s="242"/>
      <c r="X404" s="242"/>
      <c r="Y404" s="242"/>
      <c r="Z404" s="242"/>
      <c r="AA404" s="242"/>
      <c r="AB404" s="242"/>
      <c r="AC404" s="242"/>
      <c r="AD404" s="242"/>
      <c r="AE404" s="242"/>
      <c r="AF404" s="242"/>
    </row>
    <row r="405">
      <c r="A405" s="242"/>
      <c r="B405" s="242"/>
      <c r="C405" s="242"/>
      <c r="D405" s="13"/>
      <c r="E405" s="525"/>
      <c r="F405" s="525"/>
      <c r="G405" s="525"/>
      <c r="H405" s="242"/>
      <c r="I405" s="525"/>
      <c r="J405" s="525"/>
      <c r="K405" s="525"/>
      <c r="L405" s="525"/>
      <c r="M405" s="242"/>
      <c r="N405" s="525"/>
      <c r="O405" s="525"/>
      <c r="P405" s="525"/>
      <c r="Q405" s="525"/>
      <c r="R405" s="242"/>
      <c r="S405" s="242"/>
      <c r="T405" s="242"/>
      <c r="U405" s="242"/>
      <c r="V405" s="242"/>
      <c r="W405" s="242"/>
      <c r="X405" s="242"/>
      <c r="Y405" s="242"/>
      <c r="Z405" s="242"/>
      <c r="AA405" s="242"/>
      <c r="AB405" s="242"/>
      <c r="AC405" s="242"/>
      <c r="AD405" s="242"/>
      <c r="AE405" s="242"/>
      <c r="AF405" s="242"/>
    </row>
    <row r="406">
      <c r="A406" s="242"/>
      <c r="B406" s="242"/>
      <c r="C406" s="242"/>
      <c r="D406" s="13"/>
      <c r="E406" s="525"/>
      <c r="F406" s="525"/>
      <c r="G406" s="525"/>
      <c r="H406" s="242"/>
      <c r="I406" s="525"/>
      <c r="J406" s="525"/>
      <c r="K406" s="525"/>
      <c r="L406" s="525"/>
      <c r="M406" s="242"/>
      <c r="N406" s="525"/>
      <c r="O406" s="525"/>
      <c r="P406" s="525"/>
      <c r="Q406" s="525"/>
      <c r="R406" s="242"/>
      <c r="S406" s="242"/>
      <c r="T406" s="242"/>
      <c r="U406" s="242"/>
      <c r="V406" s="242"/>
      <c r="W406" s="242"/>
      <c r="X406" s="242"/>
      <c r="Y406" s="242"/>
      <c r="Z406" s="242"/>
      <c r="AA406" s="242"/>
      <c r="AB406" s="242"/>
      <c r="AC406" s="242"/>
      <c r="AD406" s="242"/>
      <c r="AE406" s="242"/>
      <c r="AF406" s="242"/>
    </row>
    <row r="407">
      <c r="A407" s="242"/>
      <c r="B407" s="242"/>
      <c r="C407" s="242"/>
      <c r="D407" s="13"/>
      <c r="E407" s="525"/>
      <c r="F407" s="525"/>
      <c r="G407" s="525"/>
      <c r="H407" s="242"/>
      <c r="I407" s="525"/>
      <c r="J407" s="525"/>
      <c r="K407" s="525"/>
      <c r="L407" s="525"/>
      <c r="M407" s="242"/>
      <c r="N407" s="525"/>
      <c r="O407" s="525"/>
      <c r="P407" s="525"/>
      <c r="Q407" s="525"/>
      <c r="R407" s="242"/>
      <c r="S407" s="242"/>
      <c r="T407" s="242"/>
      <c r="U407" s="242"/>
      <c r="V407" s="242"/>
      <c r="W407" s="242"/>
      <c r="X407" s="242"/>
      <c r="Y407" s="242"/>
      <c r="Z407" s="242"/>
      <c r="AA407" s="242"/>
      <c r="AB407" s="242"/>
      <c r="AC407" s="242"/>
      <c r="AD407" s="242"/>
      <c r="AE407" s="242"/>
      <c r="AF407" s="242"/>
    </row>
    <row r="408">
      <c r="A408" s="242"/>
      <c r="B408" s="242"/>
      <c r="C408" s="242"/>
      <c r="D408" s="13"/>
      <c r="E408" s="525"/>
      <c r="F408" s="525"/>
      <c r="G408" s="525"/>
      <c r="H408" s="242"/>
      <c r="I408" s="525"/>
      <c r="J408" s="525"/>
      <c r="K408" s="525"/>
      <c r="L408" s="525"/>
      <c r="M408" s="242"/>
      <c r="N408" s="525"/>
      <c r="O408" s="525"/>
      <c r="P408" s="525"/>
      <c r="Q408" s="525"/>
      <c r="R408" s="242"/>
      <c r="S408" s="242"/>
      <c r="T408" s="242"/>
      <c r="U408" s="242"/>
      <c r="V408" s="242"/>
      <c r="W408" s="242"/>
      <c r="X408" s="242"/>
      <c r="Y408" s="242"/>
      <c r="Z408" s="242"/>
      <c r="AA408" s="242"/>
      <c r="AB408" s="242"/>
      <c r="AC408" s="242"/>
      <c r="AD408" s="242"/>
      <c r="AE408" s="242"/>
      <c r="AF408" s="242"/>
    </row>
    <row r="409">
      <c r="A409" s="242"/>
      <c r="B409" s="242"/>
      <c r="C409" s="242"/>
      <c r="D409" s="13"/>
      <c r="E409" s="525"/>
      <c r="F409" s="525"/>
      <c r="G409" s="525"/>
      <c r="H409" s="242"/>
      <c r="I409" s="525"/>
      <c r="J409" s="525"/>
      <c r="K409" s="525"/>
      <c r="L409" s="525"/>
      <c r="M409" s="242"/>
      <c r="N409" s="525"/>
      <c r="O409" s="525"/>
      <c r="P409" s="525"/>
      <c r="Q409" s="525"/>
      <c r="R409" s="242"/>
      <c r="S409" s="242"/>
      <c r="T409" s="242"/>
      <c r="U409" s="242"/>
      <c r="V409" s="242"/>
      <c r="W409" s="242"/>
      <c r="X409" s="242"/>
      <c r="Y409" s="242"/>
      <c r="Z409" s="242"/>
      <c r="AA409" s="242"/>
      <c r="AB409" s="242"/>
      <c r="AC409" s="242"/>
      <c r="AD409" s="242"/>
      <c r="AE409" s="242"/>
      <c r="AF409" s="242"/>
    </row>
    <row r="410">
      <c r="A410" s="242"/>
      <c r="B410" s="242"/>
      <c r="C410" s="242"/>
      <c r="D410" s="13"/>
      <c r="E410" s="525"/>
      <c r="F410" s="525"/>
      <c r="G410" s="525"/>
      <c r="H410" s="242"/>
      <c r="I410" s="525"/>
      <c r="J410" s="525"/>
      <c r="K410" s="525"/>
      <c r="L410" s="525"/>
      <c r="M410" s="242"/>
      <c r="N410" s="525"/>
      <c r="O410" s="525"/>
      <c r="P410" s="525"/>
      <c r="Q410" s="525"/>
      <c r="R410" s="242"/>
      <c r="S410" s="242"/>
      <c r="T410" s="242"/>
      <c r="U410" s="242"/>
      <c r="V410" s="242"/>
      <c r="W410" s="242"/>
      <c r="X410" s="242"/>
      <c r="Y410" s="242"/>
      <c r="Z410" s="242"/>
      <c r="AA410" s="242"/>
      <c r="AB410" s="242"/>
      <c r="AC410" s="242"/>
      <c r="AD410" s="242"/>
      <c r="AE410" s="242"/>
      <c r="AF410" s="242"/>
    </row>
    <row r="411">
      <c r="A411" s="242"/>
      <c r="B411" s="242"/>
      <c r="C411" s="242"/>
      <c r="D411" s="13"/>
      <c r="E411" s="525"/>
      <c r="F411" s="525"/>
      <c r="G411" s="525"/>
      <c r="H411" s="242"/>
      <c r="I411" s="525"/>
      <c r="J411" s="525"/>
      <c r="K411" s="525"/>
      <c r="L411" s="525"/>
      <c r="M411" s="242"/>
      <c r="N411" s="525"/>
      <c r="O411" s="525"/>
      <c r="P411" s="525"/>
      <c r="Q411" s="525"/>
      <c r="R411" s="242"/>
      <c r="S411" s="242"/>
      <c r="T411" s="242"/>
      <c r="U411" s="242"/>
      <c r="V411" s="242"/>
      <c r="W411" s="242"/>
      <c r="X411" s="242"/>
      <c r="Y411" s="242"/>
      <c r="Z411" s="242"/>
      <c r="AA411" s="242"/>
      <c r="AB411" s="242"/>
      <c r="AC411" s="242"/>
      <c r="AD411" s="242"/>
      <c r="AE411" s="242"/>
      <c r="AF411" s="242"/>
    </row>
    <row r="412">
      <c r="A412" s="242"/>
      <c r="B412" s="242"/>
      <c r="C412" s="242"/>
      <c r="D412" s="13"/>
      <c r="E412" s="525"/>
      <c r="F412" s="525"/>
      <c r="G412" s="525"/>
      <c r="H412" s="242"/>
      <c r="I412" s="525"/>
      <c r="J412" s="525"/>
      <c r="K412" s="525"/>
      <c r="L412" s="525"/>
      <c r="M412" s="242"/>
      <c r="N412" s="525"/>
      <c r="O412" s="525"/>
      <c r="P412" s="525"/>
      <c r="Q412" s="525"/>
      <c r="R412" s="242"/>
      <c r="S412" s="242"/>
      <c r="T412" s="242"/>
      <c r="U412" s="242"/>
      <c r="V412" s="242"/>
      <c r="W412" s="242"/>
      <c r="X412" s="242"/>
      <c r="Y412" s="242"/>
      <c r="Z412" s="242"/>
      <c r="AA412" s="242"/>
      <c r="AB412" s="242"/>
      <c r="AC412" s="242"/>
      <c r="AD412" s="242"/>
      <c r="AE412" s="242"/>
      <c r="AF412" s="242"/>
    </row>
    <row r="413">
      <c r="A413" s="242"/>
      <c r="B413" s="242"/>
      <c r="C413" s="242"/>
      <c r="D413" s="13"/>
      <c r="E413" s="525"/>
      <c r="F413" s="525"/>
      <c r="G413" s="525"/>
      <c r="H413" s="242"/>
      <c r="I413" s="525"/>
      <c r="J413" s="525"/>
      <c r="K413" s="525"/>
      <c r="L413" s="525"/>
      <c r="M413" s="242"/>
      <c r="N413" s="525"/>
      <c r="O413" s="525"/>
      <c r="P413" s="525"/>
      <c r="Q413" s="525"/>
      <c r="R413" s="242"/>
      <c r="S413" s="242"/>
      <c r="T413" s="242"/>
      <c r="U413" s="242"/>
      <c r="V413" s="242"/>
      <c r="W413" s="242"/>
      <c r="X413" s="242"/>
      <c r="Y413" s="242"/>
      <c r="Z413" s="242"/>
      <c r="AA413" s="242"/>
      <c r="AB413" s="242"/>
      <c r="AC413" s="242"/>
      <c r="AD413" s="242"/>
      <c r="AE413" s="242"/>
      <c r="AF413" s="242"/>
    </row>
    <row r="414">
      <c r="A414" s="242"/>
      <c r="B414" s="242"/>
      <c r="C414" s="242"/>
      <c r="D414" s="13"/>
      <c r="E414" s="525"/>
      <c r="F414" s="525"/>
      <c r="G414" s="525"/>
      <c r="H414" s="242"/>
      <c r="I414" s="525"/>
      <c r="J414" s="525"/>
      <c r="K414" s="525"/>
      <c r="L414" s="525"/>
      <c r="M414" s="242"/>
      <c r="N414" s="525"/>
      <c r="O414" s="525"/>
      <c r="P414" s="525"/>
      <c r="Q414" s="525"/>
      <c r="R414" s="242"/>
      <c r="S414" s="242"/>
      <c r="T414" s="242"/>
      <c r="U414" s="242"/>
      <c r="V414" s="242"/>
      <c r="W414" s="242"/>
      <c r="X414" s="242"/>
      <c r="Y414" s="242"/>
      <c r="Z414" s="242"/>
      <c r="AA414" s="242"/>
      <c r="AB414" s="242"/>
      <c r="AC414" s="242"/>
      <c r="AD414" s="242"/>
      <c r="AE414" s="242"/>
      <c r="AF414" s="242"/>
    </row>
    <row r="415">
      <c r="A415" s="242"/>
      <c r="B415" s="242"/>
      <c r="C415" s="242"/>
      <c r="D415" s="13"/>
      <c r="E415" s="525"/>
      <c r="F415" s="525"/>
      <c r="G415" s="525"/>
      <c r="H415" s="242"/>
      <c r="I415" s="525"/>
      <c r="J415" s="525"/>
      <c r="K415" s="525"/>
      <c r="L415" s="525"/>
      <c r="M415" s="242"/>
      <c r="N415" s="525"/>
      <c r="O415" s="525"/>
      <c r="P415" s="525"/>
      <c r="Q415" s="525"/>
      <c r="R415" s="242"/>
      <c r="S415" s="242"/>
      <c r="T415" s="242"/>
      <c r="U415" s="242"/>
      <c r="V415" s="242"/>
      <c r="W415" s="242"/>
      <c r="X415" s="242"/>
      <c r="Y415" s="242"/>
      <c r="Z415" s="242"/>
      <c r="AA415" s="242"/>
      <c r="AB415" s="242"/>
      <c r="AC415" s="242"/>
      <c r="AD415" s="242"/>
      <c r="AE415" s="242"/>
      <c r="AF415" s="242"/>
    </row>
    <row r="416">
      <c r="A416" s="242"/>
      <c r="B416" s="242"/>
      <c r="C416" s="242"/>
      <c r="D416" s="13"/>
      <c r="E416" s="525"/>
      <c r="F416" s="525"/>
      <c r="G416" s="525"/>
      <c r="H416" s="242"/>
      <c r="I416" s="525"/>
      <c r="J416" s="525"/>
      <c r="K416" s="525"/>
      <c r="L416" s="525"/>
      <c r="M416" s="242"/>
      <c r="N416" s="525"/>
      <c r="O416" s="525"/>
      <c r="P416" s="525"/>
      <c r="Q416" s="525"/>
      <c r="R416" s="242"/>
      <c r="S416" s="242"/>
      <c r="T416" s="242"/>
      <c r="U416" s="242"/>
      <c r="V416" s="242"/>
      <c r="W416" s="242"/>
      <c r="X416" s="242"/>
      <c r="Y416" s="242"/>
      <c r="Z416" s="242"/>
      <c r="AA416" s="242"/>
      <c r="AB416" s="242"/>
      <c r="AC416" s="242"/>
      <c r="AD416" s="242"/>
      <c r="AE416" s="242"/>
      <c r="AF416" s="242"/>
    </row>
    <row r="417">
      <c r="A417" s="242"/>
      <c r="B417" s="242"/>
      <c r="C417" s="242"/>
      <c r="D417" s="13"/>
      <c r="E417" s="525"/>
      <c r="F417" s="525"/>
      <c r="G417" s="525"/>
      <c r="H417" s="242"/>
      <c r="I417" s="525"/>
      <c r="J417" s="525"/>
      <c r="K417" s="525"/>
      <c r="L417" s="525"/>
      <c r="M417" s="242"/>
      <c r="N417" s="525"/>
      <c r="O417" s="525"/>
      <c r="P417" s="525"/>
      <c r="Q417" s="525"/>
      <c r="R417" s="242"/>
      <c r="S417" s="242"/>
      <c r="T417" s="242"/>
      <c r="U417" s="242"/>
      <c r="V417" s="242"/>
      <c r="W417" s="242"/>
      <c r="X417" s="242"/>
      <c r="Y417" s="242"/>
      <c r="Z417" s="242"/>
      <c r="AA417" s="242"/>
      <c r="AB417" s="242"/>
      <c r="AC417" s="242"/>
      <c r="AD417" s="242"/>
      <c r="AE417" s="242"/>
      <c r="AF417" s="242"/>
    </row>
    <row r="418">
      <c r="A418" s="242"/>
      <c r="B418" s="242"/>
      <c r="C418" s="242"/>
      <c r="D418" s="13"/>
      <c r="E418" s="525"/>
      <c r="F418" s="525"/>
      <c r="G418" s="525"/>
      <c r="H418" s="242"/>
      <c r="I418" s="525"/>
      <c r="J418" s="525"/>
      <c r="K418" s="525"/>
      <c r="L418" s="525"/>
      <c r="M418" s="242"/>
      <c r="N418" s="525"/>
      <c r="O418" s="525"/>
      <c r="P418" s="525"/>
      <c r="Q418" s="525"/>
      <c r="R418" s="242"/>
      <c r="S418" s="242"/>
      <c r="T418" s="242"/>
      <c r="U418" s="242"/>
      <c r="V418" s="242"/>
      <c r="W418" s="242"/>
      <c r="X418" s="242"/>
      <c r="Y418" s="242"/>
      <c r="Z418" s="242"/>
      <c r="AA418" s="242"/>
      <c r="AB418" s="242"/>
      <c r="AC418" s="242"/>
      <c r="AD418" s="242"/>
      <c r="AE418" s="242"/>
      <c r="AF418" s="242"/>
    </row>
    <row r="419">
      <c r="A419" s="242"/>
      <c r="B419" s="242"/>
      <c r="C419" s="242"/>
      <c r="D419" s="13"/>
      <c r="E419" s="525"/>
      <c r="F419" s="525"/>
      <c r="G419" s="525"/>
      <c r="H419" s="242"/>
      <c r="I419" s="525"/>
      <c r="J419" s="525"/>
      <c r="K419" s="525"/>
      <c r="L419" s="525"/>
      <c r="M419" s="242"/>
      <c r="N419" s="525"/>
      <c r="O419" s="525"/>
      <c r="P419" s="525"/>
      <c r="Q419" s="525"/>
      <c r="R419" s="242"/>
      <c r="S419" s="242"/>
      <c r="T419" s="242"/>
      <c r="U419" s="242"/>
      <c r="V419" s="242"/>
      <c r="W419" s="242"/>
      <c r="X419" s="242"/>
      <c r="Y419" s="242"/>
      <c r="Z419" s="242"/>
      <c r="AA419" s="242"/>
      <c r="AB419" s="242"/>
      <c r="AC419" s="242"/>
      <c r="AD419" s="242"/>
      <c r="AE419" s="242"/>
      <c r="AF419" s="242"/>
    </row>
    <row r="420">
      <c r="A420" s="242"/>
      <c r="B420" s="242"/>
      <c r="C420" s="242"/>
      <c r="D420" s="13"/>
      <c r="E420" s="525"/>
      <c r="F420" s="525"/>
      <c r="G420" s="525"/>
      <c r="H420" s="242"/>
      <c r="I420" s="525"/>
      <c r="J420" s="525"/>
      <c r="K420" s="525"/>
      <c r="L420" s="525"/>
      <c r="M420" s="242"/>
      <c r="N420" s="525"/>
      <c r="O420" s="525"/>
      <c r="P420" s="525"/>
      <c r="Q420" s="525"/>
      <c r="R420" s="242"/>
      <c r="S420" s="242"/>
      <c r="T420" s="242"/>
      <c r="U420" s="242"/>
      <c r="V420" s="242"/>
      <c r="W420" s="242"/>
      <c r="X420" s="242"/>
      <c r="Y420" s="242"/>
      <c r="Z420" s="242"/>
      <c r="AA420" s="242"/>
      <c r="AB420" s="242"/>
      <c r="AC420" s="242"/>
      <c r="AD420" s="242"/>
      <c r="AE420" s="242"/>
      <c r="AF420" s="242"/>
    </row>
    <row r="421">
      <c r="A421" s="242"/>
      <c r="B421" s="242"/>
      <c r="C421" s="242"/>
      <c r="D421" s="13"/>
      <c r="E421" s="525"/>
      <c r="F421" s="525"/>
      <c r="G421" s="525"/>
      <c r="H421" s="242"/>
      <c r="I421" s="525"/>
      <c r="J421" s="525"/>
      <c r="K421" s="525"/>
      <c r="L421" s="525"/>
      <c r="M421" s="242"/>
      <c r="N421" s="525"/>
      <c r="O421" s="525"/>
      <c r="P421" s="525"/>
      <c r="Q421" s="525"/>
      <c r="R421" s="242"/>
      <c r="S421" s="242"/>
      <c r="T421" s="242"/>
      <c r="U421" s="242"/>
      <c r="V421" s="242"/>
      <c r="W421" s="242"/>
      <c r="X421" s="242"/>
      <c r="Y421" s="242"/>
      <c r="Z421" s="242"/>
      <c r="AA421" s="242"/>
      <c r="AB421" s="242"/>
      <c r="AC421" s="242"/>
      <c r="AD421" s="242"/>
      <c r="AE421" s="242"/>
      <c r="AF421" s="242"/>
    </row>
    <row r="422">
      <c r="A422" s="242"/>
      <c r="B422" s="242"/>
      <c r="C422" s="242"/>
      <c r="D422" s="13"/>
      <c r="E422" s="525"/>
      <c r="F422" s="525"/>
      <c r="G422" s="525"/>
      <c r="H422" s="242"/>
      <c r="I422" s="525"/>
      <c r="J422" s="525"/>
      <c r="K422" s="525"/>
      <c r="L422" s="525"/>
      <c r="M422" s="242"/>
      <c r="N422" s="525"/>
      <c r="O422" s="525"/>
      <c r="P422" s="525"/>
      <c r="Q422" s="525"/>
      <c r="R422" s="242"/>
      <c r="S422" s="242"/>
      <c r="T422" s="242"/>
      <c r="U422" s="242"/>
      <c r="V422" s="242"/>
      <c r="W422" s="242"/>
      <c r="X422" s="242"/>
      <c r="Y422" s="242"/>
      <c r="Z422" s="242"/>
      <c r="AA422" s="242"/>
      <c r="AB422" s="242"/>
      <c r="AC422" s="242"/>
      <c r="AD422" s="242"/>
      <c r="AE422" s="242"/>
      <c r="AF422" s="242"/>
    </row>
    <row r="423">
      <c r="A423" s="242"/>
      <c r="B423" s="242"/>
      <c r="C423" s="242"/>
      <c r="D423" s="13"/>
      <c r="E423" s="525"/>
      <c r="F423" s="525"/>
      <c r="G423" s="525"/>
      <c r="H423" s="242"/>
      <c r="I423" s="525"/>
      <c r="J423" s="525"/>
      <c r="K423" s="525"/>
      <c r="L423" s="525"/>
      <c r="M423" s="242"/>
      <c r="N423" s="525"/>
      <c r="O423" s="525"/>
      <c r="P423" s="525"/>
      <c r="Q423" s="525"/>
      <c r="R423" s="242"/>
      <c r="S423" s="242"/>
      <c r="T423" s="242"/>
      <c r="U423" s="242"/>
      <c r="V423" s="242"/>
      <c r="W423" s="242"/>
      <c r="X423" s="242"/>
      <c r="Y423" s="242"/>
      <c r="Z423" s="242"/>
      <c r="AA423" s="242"/>
      <c r="AB423" s="242"/>
      <c r="AC423" s="242"/>
      <c r="AD423" s="242"/>
      <c r="AE423" s="242"/>
      <c r="AF423" s="242"/>
    </row>
    <row r="424">
      <c r="A424" s="242"/>
      <c r="B424" s="242"/>
      <c r="C424" s="242"/>
      <c r="D424" s="13"/>
      <c r="E424" s="525"/>
      <c r="F424" s="525"/>
      <c r="G424" s="525"/>
      <c r="H424" s="242"/>
      <c r="I424" s="525"/>
      <c r="J424" s="525"/>
      <c r="K424" s="525"/>
      <c r="L424" s="525"/>
      <c r="M424" s="242"/>
      <c r="N424" s="525"/>
      <c r="O424" s="525"/>
      <c r="P424" s="525"/>
      <c r="Q424" s="525"/>
      <c r="R424" s="242"/>
      <c r="S424" s="242"/>
      <c r="T424" s="242"/>
      <c r="U424" s="242"/>
      <c r="V424" s="242"/>
      <c r="W424" s="242"/>
      <c r="X424" s="242"/>
      <c r="Y424" s="242"/>
      <c r="Z424" s="242"/>
      <c r="AA424" s="242"/>
      <c r="AB424" s="242"/>
      <c r="AC424" s="242"/>
      <c r="AD424" s="242"/>
      <c r="AE424" s="242"/>
      <c r="AF424" s="242"/>
    </row>
    <row r="425">
      <c r="A425" s="242"/>
      <c r="B425" s="242"/>
      <c r="C425" s="242"/>
      <c r="D425" s="13"/>
      <c r="E425" s="525"/>
      <c r="F425" s="525"/>
      <c r="G425" s="525"/>
      <c r="H425" s="242"/>
      <c r="I425" s="525"/>
      <c r="J425" s="525"/>
      <c r="K425" s="525"/>
      <c r="L425" s="525"/>
      <c r="M425" s="242"/>
      <c r="N425" s="525"/>
      <c r="O425" s="525"/>
      <c r="P425" s="525"/>
      <c r="Q425" s="525"/>
      <c r="R425" s="242"/>
      <c r="S425" s="242"/>
      <c r="T425" s="242"/>
      <c r="U425" s="242"/>
      <c r="V425" s="242"/>
      <c r="W425" s="242"/>
      <c r="X425" s="242"/>
      <c r="Y425" s="242"/>
      <c r="Z425" s="242"/>
      <c r="AA425" s="242"/>
      <c r="AB425" s="242"/>
      <c r="AC425" s="242"/>
      <c r="AD425" s="242"/>
      <c r="AE425" s="242"/>
      <c r="AF425" s="242"/>
    </row>
    <row r="426">
      <c r="A426" s="242"/>
      <c r="B426" s="242"/>
      <c r="C426" s="242"/>
      <c r="D426" s="13"/>
      <c r="E426" s="525"/>
      <c r="F426" s="525"/>
      <c r="G426" s="525"/>
      <c r="H426" s="242"/>
      <c r="I426" s="525"/>
      <c r="J426" s="525"/>
      <c r="K426" s="525"/>
      <c r="L426" s="525"/>
      <c r="M426" s="242"/>
      <c r="N426" s="525"/>
      <c r="O426" s="525"/>
      <c r="P426" s="525"/>
      <c r="Q426" s="525"/>
      <c r="R426" s="242"/>
      <c r="S426" s="242"/>
      <c r="T426" s="242"/>
      <c r="U426" s="242"/>
      <c r="V426" s="242"/>
      <c r="W426" s="242"/>
      <c r="X426" s="242"/>
      <c r="Y426" s="242"/>
      <c r="Z426" s="242"/>
      <c r="AA426" s="242"/>
      <c r="AB426" s="242"/>
      <c r="AC426" s="242"/>
      <c r="AD426" s="242"/>
      <c r="AE426" s="242"/>
      <c r="AF426" s="242"/>
    </row>
    <row r="427">
      <c r="A427" s="242"/>
      <c r="B427" s="242"/>
      <c r="C427" s="242"/>
      <c r="D427" s="13"/>
      <c r="E427" s="525"/>
      <c r="F427" s="525"/>
      <c r="G427" s="525"/>
      <c r="H427" s="242"/>
      <c r="I427" s="525"/>
      <c r="J427" s="525"/>
      <c r="K427" s="525"/>
      <c r="L427" s="525"/>
      <c r="M427" s="242"/>
      <c r="N427" s="525"/>
      <c r="O427" s="525"/>
      <c r="P427" s="525"/>
      <c r="Q427" s="525"/>
      <c r="R427" s="242"/>
      <c r="S427" s="242"/>
      <c r="T427" s="242"/>
      <c r="U427" s="242"/>
      <c r="V427" s="242"/>
      <c r="W427" s="242"/>
      <c r="X427" s="242"/>
      <c r="Y427" s="242"/>
      <c r="Z427" s="242"/>
      <c r="AA427" s="242"/>
      <c r="AB427" s="242"/>
      <c r="AC427" s="242"/>
      <c r="AD427" s="242"/>
      <c r="AE427" s="242"/>
      <c r="AF427" s="242"/>
    </row>
    <row r="428">
      <c r="A428" s="242"/>
      <c r="B428" s="242"/>
      <c r="C428" s="242"/>
      <c r="D428" s="13"/>
      <c r="E428" s="525"/>
      <c r="F428" s="525"/>
      <c r="G428" s="525"/>
      <c r="H428" s="242"/>
      <c r="I428" s="525"/>
      <c r="J428" s="525"/>
      <c r="K428" s="525"/>
      <c r="L428" s="525"/>
      <c r="M428" s="242"/>
      <c r="N428" s="525"/>
      <c r="O428" s="525"/>
      <c r="P428" s="525"/>
      <c r="Q428" s="525"/>
      <c r="R428" s="242"/>
      <c r="S428" s="242"/>
      <c r="T428" s="242"/>
      <c r="U428" s="242"/>
      <c r="V428" s="242"/>
      <c r="W428" s="242"/>
      <c r="X428" s="242"/>
      <c r="Y428" s="242"/>
      <c r="Z428" s="242"/>
      <c r="AA428" s="242"/>
      <c r="AB428" s="242"/>
      <c r="AC428" s="242"/>
      <c r="AD428" s="242"/>
      <c r="AE428" s="242"/>
      <c r="AF428" s="242"/>
    </row>
    <row r="429">
      <c r="A429" s="242"/>
      <c r="B429" s="242"/>
      <c r="C429" s="242"/>
      <c r="D429" s="13"/>
      <c r="E429" s="525"/>
      <c r="F429" s="525"/>
      <c r="G429" s="525"/>
      <c r="H429" s="242"/>
      <c r="I429" s="525"/>
      <c r="J429" s="525"/>
      <c r="K429" s="525"/>
      <c r="L429" s="525"/>
      <c r="M429" s="242"/>
      <c r="N429" s="525"/>
      <c r="O429" s="525"/>
      <c r="P429" s="525"/>
      <c r="Q429" s="525"/>
      <c r="R429" s="242"/>
      <c r="S429" s="242"/>
      <c r="T429" s="242"/>
      <c r="U429" s="242"/>
      <c r="V429" s="242"/>
      <c r="W429" s="242"/>
      <c r="X429" s="242"/>
      <c r="Y429" s="242"/>
      <c r="Z429" s="242"/>
      <c r="AA429" s="242"/>
      <c r="AB429" s="242"/>
      <c r="AC429" s="242"/>
      <c r="AD429" s="242"/>
      <c r="AE429" s="242"/>
      <c r="AF429" s="242"/>
    </row>
    <row r="430">
      <c r="A430" s="242"/>
      <c r="B430" s="242"/>
      <c r="C430" s="242"/>
      <c r="D430" s="13"/>
      <c r="E430" s="525"/>
      <c r="F430" s="525"/>
      <c r="G430" s="525"/>
      <c r="H430" s="242"/>
      <c r="I430" s="525"/>
      <c r="J430" s="525"/>
      <c r="K430" s="525"/>
      <c r="L430" s="525"/>
      <c r="M430" s="242"/>
      <c r="N430" s="525"/>
      <c r="O430" s="525"/>
      <c r="P430" s="525"/>
      <c r="Q430" s="525"/>
      <c r="R430" s="242"/>
      <c r="S430" s="242"/>
      <c r="T430" s="242"/>
      <c r="U430" s="242"/>
      <c r="V430" s="242"/>
      <c r="W430" s="242"/>
      <c r="X430" s="242"/>
      <c r="Y430" s="242"/>
      <c r="Z430" s="242"/>
      <c r="AA430" s="242"/>
      <c r="AB430" s="242"/>
      <c r="AC430" s="242"/>
      <c r="AD430" s="242"/>
      <c r="AE430" s="242"/>
      <c r="AF430" s="242"/>
    </row>
    <row r="431">
      <c r="A431" s="242"/>
      <c r="B431" s="242"/>
      <c r="C431" s="242"/>
      <c r="D431" s="13"/>
      <c r="E431" s="525"/>
      <c r="F431" s="525"/>
      <c r="G431" s="525"/>
      <c r="H431" s="242"/>
      <c r="I431" s="525"/>
      <c r="J431" s="525"/>
      <c r="K431" s="525"/>
      <c r="L431" s="525"/>
      <c r="M431" s="242"/>
      <c r="N431" s="525"/>
      <c r="O431" s="525"/>
      <c r="P431" s="525"/>
      <c r="Q431" s="525"/>
      <c r="R431" s="242"/>
      <c r="S431" s="242"/>
      <c r="T431" s="242"/>
      <c r="U431" s="242"/>
      <c r="V431" s="242"/>
      <c r="W431" s="242"/>
      <c r="X431" s="242"/>
      <c r="Y431" s="242"/>
      <c r="Z431" s="242"/>
      <c r="AA431" s="242"/>
      <c r="AB431" s="242"/>
      <c r="AC431" s="242"/>
      <c r="AD431" s="242"/>
      <c r="AE431" s="242"/>
      <c r="AF431" s="242"/>
    </row>
    <row r="432">
      <c r="A432" s="242"/>
      <c r="B432" s="242"/>
      <c r="C432" s="242"/>
      <c r="D432" s="13"/>
      <c r="E432" s="525"/>
      <c r="F432" s="525"/>
      <c r="G432" s="525"/>
      <c r="H432" s="242"/>
      <c r="I432" s="525"/>
      <c r="J432" s="525"/>
      <c r="K432" s="525"/>
      <c r="L432" s="525"/>
      <c r="M432" s="242"/>
      <c r="N432" s="525"/>
      <c r="O432" s="525"/>
      <c r="P432" s="525"/>
      <c r="Q432" s="525"/>
      <c r="R432" s="242"/>
      <c r="S432" s="242"/>
      <c r="T432" s="242"/>
      <c r="U432" s="242"/>
      <c r="V432" s="242"/>
      <c r="W432" s="242"/>
      <c r="X432" s="242"/>
      <c r="Y432" s="242"/>
      <c r="Z432" s="242"/>
      <c r="AA432" s="242"/>
      <c r="AB432" s="242"/>
      <c r="AC432" s="242"/>
      <c r="AD432" s="242"/>
      <c r="AE432" s="242"/>
      <c r="AF432" s="242"/>
    </row>
    <row r="433">
      <c r="A433" s="242"/>
      <c r="B433" s="242"/>
      <c r="C433" s="242"/>
      <c r="D433" s="13"/>
      <c r="E433" s="525"/>
      <c r="F433" s="525"/>
      <c r="G433" s="525"/>
      <c r="H433" s="242"/>
      <c r="I433" s="525"/>
      <c r="J433" s="525"/>
      <c r="K433" s="525"/>
      <c r="L433" s="525"/>
      <c r="M433" s="242"/>
      <c r="N433" s="525"/>
      <c r="O433" s="525"/>
      <c r="P433" s="525"/>
      <c r="Q433" s="525"/>
      <c r="R433" s="242"/>
      <c r="S433" s="242"/>
      <c r="T433" s="242"/>
      <c r="U433" s="242"/>
      <c r="V433" s="242"/>
      <c r="W433" s="242"/>
      <c r="X433" s="242"/>
      <c r="Y433" s="242"/>
      <c r="Z433" s="242"/>
      <c r="AA433" s="242"/>
      <c r="AB433" s="242"/>
      <c r="AC433" s="242"/>
      <c r="AD433" s="242"/>
      <c r="AE433" s="242"/>
      <c r="AF433" s="242"/>
    </row>
    <row r="434">
      <c r="A434" s="242"/>
      <c r="B434" s="242"/>
      <c r="C434" s="242"/>
      <c r="D434" s="13"/>
      <c r="E434" s="525"/>
      <c r="F434" s="525"/>
      <c r="G434" s="525"/>
      <c r="H434" s="242"/>
      <c r="I434" s="525"/>
      <c r="J434" s="525"/>
      <c r="K434" s="525"/>
      <c r="L434" s="525"/>
      <c r="M434" s="242"/>
      <c r="N434" s="525"/>
      <c r="O434" s="525"/>
      <c r="P434" s="525"/>
      <c r="Q434" s="525"/>
      <c r="R434" s="242"/>
      <c r="S434" s="242"/>
      <c r="T434" s="242"/>
      <c r="U434" s="242"/>
      <c r="V434" s="242"/>
      <c r="W434" s="242"/>
      <c r="X434" s="242"/>
      <c r="Y434" s="242"/>
      <c r="Z434" s="242"/>
      <c r="AA434" s="242"/>
      <c r="AB434" s="242"/>
      <c r="AC434" s="242"/>
      <c r="AD434" s="242"/>
      <c r="AE434" s="242"/>
      <c r="AF434" s="242"/>
    </row>
    <row r="435">
      <c r="A435" s="242"/>
      <c r="B435" s="242"/>
      <c r="C435" s="242"/>
      <c r="D435" s="13"/>
      <c r="E435" s="525"/>
      <c r="F435" s="525"/>
      <c r="G435" s="525"/>
      <c r="H435" s="242"/>
      <c r="I435" s="525"/>
      <c r="J435" s="525"/>
      <c r="K435" s="525"/>
      <c r="L435" s="525"/>
      <c r="M435" s="242"/>
      <c r="N435" s="525"/>
      <c r="O435" s="525"/>
      <c r="P435" s="525"/>
      <c r="Q435" s="525"/>
      <c r="R435" s="242"/>
      <c r="S435" s="242"/>
      <c r="T435" s="242"/>
      <c r="U435" s="242"/>
      <c r="V435" s="242"/>
      <c r="W435" s="242"/>
      <c r="X435" s="242"/>
      <c r="Y435" s="242"/>
      <c r="Z435" s="242"/>
      <c r="AA435" s="242"/>
      <c r="AB435" s="242"/>
      <c r="AC435" s="242"/>
      <c r="AD435" s="242"/>
      <c r="AE435" s="242"/>
      <c r="AF435" s="242"/>
    </row>
    <row r="436">
      <c r="A436" s="242"/>
      <c r="B436" s="242"/>
      <c r="C436" s="242"/>
      <c r="D436" s="13"/>
      <c r="E436" s="525"/>
      <c r="F436" s="525"/>
      <c r="G436" s="525"/>
      <c r="H436" s="242"/>
      <c r="I436" s="525"/>
      <c r="J436" s="525"/>
      <c r="K436" s="525"/>
      <c r="L436" s="525"/>
      <c r="M436" s="242"/>
      <c r="N436" s="525"/>
      <c r="O436" s="525"/>
      <c r="P436" s="525"/>
      <c r="Q436" s="525"/>
      <c r="R436" s="242"/>
      <c r="S436" s="242"/>
      <c r="T436" s="242"/>
      <c r="U436" s="242"/>
      <c r="V436" s="242"/>
      <c r="W436" s="242"/>
      <c r="X436" s="242"/>
      <c r="Y436" s="242"/>
      <c r="Z436" s="242"/>
      <c r="AA436" s="242"/>
      <c r="AB436" s="242"/>
      <c r="AC436" s="242"/>
      <c r="AD436" s="242"/>
      <c r="AE436" s="242"/>
      <c r="AF436" s="242"/>
    </row>
    <row r="437">
      <c r="A437" s="242"/>
      <c r="B437" s="242"/>
      <c r="C437" s="242"/>
      <c r="D437" s="13"/>
      <c r="E437" s="525"/>
      <c r="F437" s="525"/>
      <c r="G437" s="525"/>
      <c r="H437" s="242"/>
      <c r="I437" s="525"/>
      <c r="J437" s="525"/>
      <c r="K437" s="525"/>
      <c r="L437" s="525"/>
      <c r="M437" s="242"/>
      <c r="N437" s="525"/>
      <c r="O437" s="525"/>
      <c r="P437" s="525"/>
      <c r="Q437" s="525"/>
      <c r="R437" s="242"/>
      <c r="S437" s="242"/>
      <c r="T437" s="242"/>
      <c r="U437" s="242"/>
      <c r="V437" s="242"/>
      <c r="W437" s="242"/>
      <c r="X437" s="242"/>
      <c r="Y437" s="242"/>
      <c r="Z437" s="242"/>
      <c r="AA437" s="242"/>
      <c r="AB437" s="242"/>
      <c r="AC437" s="242"/>
      <c r="AD437" s="242"/>
      <c r="AE437" s="242"/>
      <c r="AF437" s="242"/>
    </row>
    <row r="438">
      <c r="A438" s="242"/>
      <c r="B438" s="242"/>
      <c r="C438" s="242"/>
      <c r="D438" s="13"/>
      <c r="E438" s="525"/>
      <c r="F438" s="525"/>
      <c r="G438" s="525"/>
      <c r="H438" s="242"/>
      <c r="I438" s="525"/>
      <c r="J438" s="525"/>
      <c r="K438" s="525"/>
      <c r="L438" s="525"/>
      <c r="M438" s="242"/>
      <c r="N438" s="525"/>
      <c r="O438" s="525"/>
      <c r="P438" s="525"/>
      <c r="Q438" s="525"/>
      <c r="R438" s="242"/>
      <c r="S438" s="242"/>
      <c r="T438" s="242"/>
      <c r="U438" s="242"/>
      <c r="V438" s="242"/>
      <c r="W438" s="242"/>
      <c r="X438" s="242"/>
      <c r="Y438" s="242"/>
      <c r="Z438" s="242"/>
      <c r="AA438" s="242"/>
      <c r="AB438" s="242"/>
      <c r="AC438" s="242"/>
      <c r="AD438" s="242"/>
      <c r="AE438" s="242"/>
      <c r="AF438" s="242"/>
    </row>
    <row r="439">
      <c r="A439" s="242"/>
      <c r="B439" s="242"/>
      <c r="C439" s="242"/>
      <c r="D439" s="13"/>
      <c r="E439" s="525"/>
      <c r="F439" s="525"/>
      <c r="G439" s="525"/>
      <c r="H439" s="242"/>
      <c r="I439" s="525"/>
      <c r="J439" s="525"/>
      <c r="K439" s="525"/>
      <c r="L439" s="525"/>
      <c r="M439" s="242"/>
      <c r="N439" s="525"/>
      <c r="O439" s="525"/>
      <c r="P439" s="525"/>
      <c r="Q439" s="525"/>
      <c r="R439" s="242"/>
      <c r="S439" s="242"/>
      <c r="T439" s="242"/>
      <c r="U439" s="242"/>
      <c r="V439" s="242"/>
      <c r="W439" s="242"/>
      <c r="X439" s="242"/>
      <c r="Y439" s="242"/>
      <c r="Z439" s="242"/>
      <c r="AA439" s="242"/>
      <c r="AB439" s="242"/>
      <c r="AC439" s="242"/>
      <c r="AD439" s="242"/>
      <c r="AE439" s="242"/>
      <c r="AF439" s="242"/>
    </row>
    <row r="440">
      <c r="A440" s="242"/>
      <c r="B440" s="242"/>
      <c r="C440" s="242"/>
      <c r="D440" s="13"/>
      <c r="E440" s="525"/>
      <c r="F440" s="525"/>
      <c r="G440" s="525"/>
      <c r="H440" s="242"/>
      <c r="I440" s="525"/>
      <c r="J440" s="525"/>
      <c r="K440" s="525"/>
      <c r="L440" s="525"/>
      <c r="M440" s="242"/>
      <c r="N440" s="525"/>
      <c r="O440" s="525"/>
      <c r="P440" s="525"/>
      <c r="Q440" s="525"/>
      <c r="R440" s="242"/>
      <c r="S440" s="242"/>
      <c r="T440" s="242"/>
      <c r="U440" s="242"/>
      <c r="V440" s="242"/>
      <c r="W440" s="242"/>
      <c r="X440" s="242"/>
      <c r="Y440" s="242"/>
      <c r="Z440" s="242"/>
      <c r="AA440" s="242"/>
      <c r="AB440" s="242"/>
      <c r="AC440" s="242"/>
      <c r="AD440" s="242"/>
      <c r="AE440" s="242"/>
      <c r="AF440" s="242"/>
    </row>
    <row r="441">
      <c r="A441" s="242"/>
      <c r="B441" s="242"/>
      <c r="C441" s="242"/>
      <c r="D441" s="13"/>
      <c r="E441" s="525"/>
      <c r="F441" s="525"/>
      <c r="G441" s="525"/>
      <c r="H441" s="242"/>
      <c r="I441" s="525"/>
      <c r="J441" s="525"/>
      <c r="K441" s="525"/>
      <c r="L441" s="525"/>
      <c r="M441" s="242"/>
      <c r="N441" s="525"/>
      <c r="O441" s="525"/>
      <c r="P441" s="525"/>
      <c r="Q441" s="525"/>
      <c r="R441" s="242"/>
      <c r="S441" s="242"/>
      <c r="T441" s="242"/>
      <c r="U441" s="242"/>
      <c r="V441" s="242"/>
      <c r="W441" s="242"/>
      <c r="X441" s="242"/>
      <c r="Y441" s="242"/>
      <c r="Z441" s="242"/>
      <c r="AA441" s="242"/>
      <c r="AB441" s="242"/>
      <c r="AC441" s="242"/>
      <c r="AD441" s="242"/>
      <c r="AE441" s="242"/>
      <c r="AF441" s="242"/>
    </row>
    <row r="442">
      <c r="A442" s="242"/>
      <c r="B442" s="242"/>
      <c r="C442" s="242"/>
      <c r="D442" s="13"/>
      <c r="E442" s="525"/>
      <c r="F442" s="525"/>
      <c r="G442" s="525"/>
      <c r="H442" s="242"/>
      <c r="I442" s="525"/>
      <c r="J442" s="525"/>
      <c r="K442" s="525"/>
      <c r="L442" s="525"/>
      <c r="M442" s="242"/>
      <c r="N442" s="525"/>
      <c r="O442" s="525"/>
      <c r="P442" s="525"/>
      <c r="Q442" s="525"/>
      <c r="R442" s="242"/>
      <c r="S442" s="242"/>
      <c r="T442" s="242"/>
      <c r="U442" s="242"/>
      <c r="V442" s="242"/>
      <c r="W442" s="242"/>
      <c r="X442" s="242"/>
      <c r="Y442" s="242"/>
      <c r="Z442" s="242"/>
      <c r="AA442" s="242"/>
      <c r="AB442" s="242"/>
      <c r="AC442" s="242"/>
      <c r="AD442" s="242"/>
      <c r="AE442" s="242"/>
      <c r="AF442" s="242"/>
    </row>
    <row r="443">
      <c r="A443" s="242"/>
      <c r="B443" s="242"/>
      <c r="C443" s="242"/>
      <c r="D443" s="13"/>
      <c r="E443" s="525"/>
      <c r="F443" s="525"/>
      <c r="G443" s="525"/>
      <c r="H443" s="242"/>
      <c r="I443" s="525"/>
      <c r="J443" s="525"/>
      <c r="K443" s="525"/>
      <c r="L443" s="525"/>
      <c r="M443" s="242"/>
      <c r="N443" s="525"/>
      <c r="O443" s="525"/>
      <c r="P443" s="525"/>
      <c r="Q443" s="525"/>
      <c r="R443" s="242"/>
      <c r="S443" s="242"/>
      <c r="T443" s="242"/>
      <c r="U443" s="242"/>
      <c r="V443" s="242"/>
      <c r="W443" s="242"/>
      <c r="X443" s="242"/>
      <c r="Y443" s="242"/>
      <c r="Z443" s="242"/>
      <c r="AA443" s="242"/>
      <c r="AB443" s="242"/>
      <c r="AC443" s="242"/>
      <c r="AD443" s="242"/>
      <c r="AE443" s="242"/>
      <c r="AF443" s="242"/>
    </row>
    <row r="444">
      <c r="A444" s="242"/>
      <c r="B444" s="242"/>
      <c r="C444" s="242"/>
      <c r="D444" s="13"/>
      <c r="E444" s="525"/>
      <c r="F444" s="525"/>
      <c r="G444" s="525"/>
      <c r="H444" s="242"/>
      <c r="I444" s="525"/>
      <c r="J444" s="525"/>
      <c r="K444" s="525"/>
      <c r="L444" s="525"/>
      <c r="M444" s="242"/>
      <c r="N444" s="525"/>
      <c r="O444" s="525"/>
      <c r="P444" s="525"/>
      <c r="Q444" s="525"/>
      <c r="R444" s="242"/>
      <c r="S444" s="242"/>
      <c r="T444" s="242"/>
      <c r="U444" s="242"/>
      <c r="V444" s="242"/>
      <c r="W444" s="242"/>
      <c r="X444" s="242"/>
      <c r="Y444" s="242"/>
      <c r="Z444" s="242"/>
      <c r="AA444" s="242"/>
      <c r="AB444" s="242"/>
      <c r="AC444" s="242"/>
      <c r="AD444" s="242"/>
      <c r="AE444" s="242"/>
      <c r="AF444" s="242"/>
    </row>
    <row r="445">
      <c r="A445" s="242"/>
      <c r="B445" s="242"/>
      <c r="C445" s="242"/>
      <c r="D445" s="13"/>
      <c r="E445" s="525"/>
      <c r="F445" s="525"/>
      <c r="G445" s="525"/>
      <c r="H445" s="242"/>
      <c r="I445" s="525"/>
      <c r="J445" s="525"/>
      <c r="K445" s="525"/>
      <c r="L445" s="525"/>
      <c r="M445" s="242"/>
      <c r="N445" s="525"/>
      <c r="O445" s="525"/>
      <c r="P445" s="525"/>
      <c r="Q445" s="525"/>
      <c r="R445" s="242"/>
      <c r="S445" s="242"/>
      <c r="T445" s="242"/>
      <c r="U445" s="242"/>
      <c r="V445" s="242"/>
      <c r="W445" s="242"/>
      <c r="X445" s="242"/>
      <c r="Y445" s="242"/>
      <c r="Z445" s="242"/>
      <c r="AA445" s="242"/>
      <c r="AB445" s="242"/>
      <c r="AC445" s="242"/>
      <c r="AD445" s="242"/>
      <c r="AE445" s="242"/>
      <c r="AF445" s="242"/>
    </row>
    <row r="446">
      <c r="A446" s="242"/>
      <c r="B446" s="242"/>
      <c r="C446" s="242"/>
      <c r="D446" s="13"/>
      <c r="E446" s="525"/>
      <c r="F446" s="525"/>
      <c r="G446" s="525"/>
      <c r="H446" s="242"/>
      <c r="I446" s="525"/>
      <c r="J446" s="525"/>
      <c r="K446" s="525"/>
      <c r="L446" s="525"/>
      <c r="M446" s="242"/>
      <c r="N446" s="525"/>
      <c r="O446" s="525"/>
      <c r="P446" s="525"/>
      <c r="Q446" s="525"/>
      <c r="R446" s="242"/>
      <c r="S446" s="242"/>
      <c r="T446" s="242"/>
      <c r="U446" s="242"/>
      <c r="V446" s="242"/>
      <c r="W446" s="242"/>
      <c r="X446" s="242"/>
      <c r="Y446" s="242"/>
      <c r="Z446" s="242"/>
      <c r="AA446" s="242"/>
      <c r="AB446" s="242"/>
      <c r="AC446" s="242"/>
      <c r="AD446" s="242"/>
      <c r="AE446" s="242"/>
      <c r="AF446" s="242"/>
    </row>
    <row r="447">
      <c r="A447" s="242"/>
      <c r="B447" s="242"/>
      <c r="C447" s="242"/>
      <c r="D447" s="13"/>
      <c r="E447" s="525"/>
      <c r="F447" s="525"/>
      <c r="G447" s="525"/>
      <c r="H447" s="242"/>
      <c r="I447" s="525"/>
      <c r="J447" s="525"/>
      <c r="K447" s="525"/>
      <c r="L447" s="525"/>
      <c r="M447" s="242"/>
      <c r="N447" s="525"/>
      <c r="O447" s="525"/>
      <c r="P447" s="525"/>
      <c r="Q447" s="525"/>
      <c r="R447" s="242"/>
      <c r="S447" s="242"/>
      <c r="T447" s="242"/>
      <c r="U447" s="242"/>
      <c r="V447" s="242"/>
      <c r="W447" s="242"/>
      <c r="X447" s="242"/>
      <c r="Y447" s="242"/>
      <c r="Z447" s="242"/>
      <c r="AA447" s="242"/>
      <c r="AB447" s="242"/>
      <c r="AC447" s="242"/>
      <c r="AD447" s="242"/>
      <c r="AE447" s="242"/>
      <c r="AF447" s="242"/>
    </row>
    <row r="448">
      <c r="A448" s="242"/>
      <c r="B448" s="242"/>
      <c r="C448" s="242"/>
      <c r="D448" s="13"/>
      <c r="E448" s="525"/>
      <c r="F448" s="525"/>
      <c r="G448" s="525"/>
      <c r="H448" s="242"/>
      <c r="I448" s="525"/>
      <c r="J448" s="525"/>
      <c r="K448" s="525"/>
      <c r="L448" s="525"/>
      <c r="M448" s="242"/>
      <c r="N448" s="525"/>
      <c r="O448" s="525"/>
      <c r="P448" s="525"/>
      <c r="Q448" s="525"/>
      <c r="R448" s="242"/>
      <c r="S448" s="242"/>
      <c r="T448" s="242"/>
      <c r="U448" s="242"/>
      <c r="V448" s="242"/>
      <c r="W448" s="242"/>
      <c r="X448" s="242"/>
      <c r="Y448" s="242"/>
      <c r="Z448" s="242"/>
      <c r="AA448" s="242"/>
      <c r="AB448" s="242"/>
      <c r="AC448" s="242"/>
      <c r="AD448" s="242"/>
      <c r="AE448" s="242"/>
      <c r="AF448" s="242"/>
    </row>
    <row r="449">
      <c r="A449" s="242"/>
      <c r="B449" s="242"/>
      <c r="C449" s="242"/>
      <c r="D449" s="13"/>
      <c r="E449" s="525"/>
      <c r="F449" s="525"/>
      <c r="G449" s="525"/>
      <c r="H449" s="242"/>
      <c r="I449" s="525"/>
      <c r="J449" s="525"/>
      <c r="K449" s="525"/>
      <c r="L449" s="525"/>
      <c r="M449" s="242"/>
      <c r="N449" s="525"/>
      <c r="O449" s="525"/>
      <c r="P449" s="525"/>
      <c r="Q449" s="525"/>
      <c r="R449" s="242"/>
      <c r="S449" s="242"/>
      <c r="T449" s="242"/>
      <c r="U449" s="242"/>
      <c r="V449" s="242"/>
      <c r="W449" s="242"/>
      <c r="X449" s="242"/>
      <c r="Y449" s="242"/>
      <c r="Z449" s="242"/>
      <c r="AA449" s="242"/>
      <c r="AB449" s="242"/>
      <c r="AC449" s="242"/>
      <c r="AD449" s="242"/>
      <c r="AE449" s="242"/>
      <c r="AF449" s="242"/>
    </row>
    <row r="450">
      <c r="A450" s="242"/>
      <c r="B450" s="242"/>
      <c r="C450" s="242"/>
      <c r="D450" s="13"/>
      <c r="E450" s="525"/>
      <c r="F450" s="525"/>
      <c r="G450" s="525"/>
      <c r="H450" s="242"/>
      <c r="I450" s="525"/>
      <c r="J450" s="525"/>
      <c r="K450" s="525"/>
      <c r="L450" s="525"/>
      <c r="M450" s="242"/>
      <c r="N450" s="525"/>
      <c r="O450" s="525"/>
      <c r="P450" s="525"/>
      <c r="Q450" s="525"/>
      <c r="R450" s="242"/>
      <c r="S450" s="242"/>
      <c r="T450" s="242"/>
      <c r="U450" s="242"/>
      <c r="V450" s="242"/>
      <c r="W450" s="242"/>
      <c r="X450" s="242"/>
      <c r="Y450" s="242"/>
      <c r="Z450" s="242"/>
      <c r="AA450" s="242"/>
      <c r="AB450" s="242"/>
      <c r="AC450" s="242"/>
      <c r="AD450" s="242"/>
      <c r="AE450" s="242"/>
      <c r="AF450" s="242"/>
    </row>
    <row r="451">
      <c r="A451" s="242"/>
      <c r="B451" s="242"/>
      <c r="C451" s="242"/>
      <c r="D451" s="13"/>
      <c r="E451" s="525"/>
      <c r="F451" s="525"/>
      <c r="G451" s="525"/>
      <c r="H451" s="242"/>
      <c r="I451" s="525"/>
      <c r="J451" s="525"/>
      <c r="K451" s="525"/>
      <c r="L451" s="525"/>
      <c r="M451" s="242"/>
      <c r="N451" s="525"/>
      <c r="O451" s="525"/>
      <c r="P451" s="525"/>
      <c r="Q451" s="525"/>
      <c r="R451" s="242"/>
      <c r="S451" s="242"/>
      <c r="T451" s="242"/>
      <c r="U451" s="242"/>
      <c r="V451" s="242"/>
      <c r="W451" s="242"/>
      <c r="X451" s="242"/>
      <c r="Y451" s="242"/>
      <c r="Z451" s="242"/>
      <c r="AA451" s="242"/>
      <c r="AB451" s="242"/>
      <c r="AC451" s="242"/>
      <c r="AD451" s="242"/>
      <c r="AE451" s="242"/>
      <c r="AF451" s="242"/>
    </row>
    <row r="452">
      <c r="A452" s="242"/>
      <c r="B452" s="242"/>
      <c r="C452" s="242"/>
      <c r="D452" s="13"/>
      <c r="E452" s="525"/>
      <c r="F452" s="525"/>
      <c r="G452" s="525"/>
      <c r="H452" s="242"/>
      <c r="I452" s="525"/>
      <c r="J452" s="525"/>
      <c r="K452" s="525"/>
      <c r="L452" s="525"/>
      <c r="M452" s="242"/>
      <c r="N452" s="525"/>
      <c r="O452" s="525"/>
      <c r="P452" s="525"/>
      <c r="Q452" s="525"/>
      <c r="R452" s="242"/>
      <c r="S452" s="242"/>
      <c r="T452" s="242"/>
      <c r="U452" s="242"/>
      <c r="V452" s="242"/>
      <c r="W452" s="242"/>
      <c r="X452" s="242"/>
      <c r="Y452" s="242"/>
      <c r="Z452" s="242"/>
      <c r="AA452" s="242"/>
      <c r="AB452" s="242"/>
      <c r="AC452" s="242"/>
      <c r="AD452" s="242"/>
      <c r="AE452" s="242"/>
      <c r="AF452" s="242"/>
    </row>
    <row r="453">
      <c r="A453" s="242"/>
      <c r="B453" s="242"/>
      <c r="C453" s="242"/>
      <c r="D453" s="13"/>
      <c r="E453" s="525"/>
      <c r="F453" s="525"/>
      <c r="G453" s="525"/>
      <c r="H453" s="242"/>
      <c r="I453" s="525"/>
      <c r="J453" s="525"/>
      <c r="K453" s="525"/>
      <c r="L453" s="525"/>
      <c r="M453" s="242"/>
      <c r="N453" s="525"/>
      <c r="O453" s="525"/>
      <c r="P453" s="525"/>
      <c r="Q453" s="525"/>
      <c r="R453" s="242"/>
      <c r="S453" s="242"/>
      <c r="T453" s="242"/>
      <c r="U453" s="242"/>
      <c r="V453" s="242"/>
      <c r="W453" s="242"/>
      <c r="X453" s="242"/>
      <c r="Y453" s="242"/>
      <c r="Z453" s="242"/>
      <c r="AA453" s="242"/>
      <c r="AB453" s="242"/>
      <c r="AC453" s="242"/>
      <c r="AD453" s="242"/>
      <c r="AE453" s="242"/>
      <c r="AF453" s="242"/>
    </row>
    <row r="454">
      <c r="A454" s="242"/>
      <c r="B454" s="242"/>
      <c r="C454" s="242"/>
      <c r="D454" s="13"/>
      <c r="E454" s="525"/>
      <c r="F454" s="525"/>
      <c r="G454" s="525"/>
      <c r="H454" s="242"/>
      <c r="I454" s="525"/>
      <c r="J454" s="525"/>
      <c r="K454" s="525"/>
      <c r="L454" s="525"/>
      <c r="M454" s="242"/>
      <c r="N454" s="525"/>
      <c r="O454" s="525"/>
      <c r="P454" s="525"/>
      <c r="Q454" s="525"/>
      <c r="R454" s="242"/>
      <c r="S454" s="242"/>
      <c r="T454" s="242"/>
      <c r="U454" s="242"/>
      <c r="V454" s="242"/>
      <c r="W454" s="242"/>
      <c r="X454" s="242"/>
      <c r="Y454" s="242"/>
      <c r="Z454" s="242"/>
      <c r="AA454" s="242"/>
      <c r="AB454" s="242"/>
      <c r="AC454" s="242"/>
      <c r="AD454" s="242"/>
      <c r="AE454" s="242"/>
      <c r="AF454" s="242"/>
    </row>
    <row r="455">
      <c r="A455" s="242"/>
      <c r="B455" s="242"/>
      <c r="C455" s="242"/>
      <c r="D455" s="13"/>
      <c r="E455" s="525"/>
      <c r="F455" s="525"/>
      <c r="G455" s="525"/>
      <c r="H455" s="242"/>
      <c r="I455" s="525"/>
      <c r="J455" s="525"/>
      <c r="K455" s="525"/>
      <c r="L455" s="525"/>
      <c r="M455" s="242"/>
      <c r="N455" s="525"/>
      <c r="O455" s="525"/>
      <c r="P455" s="525"/>
      <c r="Q455" s="525"/>
      <c r="R455" s="242"/>
      <c r="S455" s="242"/>
      <c r="T455" s="242"/>
      <c r="U455" s="242"/>
      <c r="V455" s="242"/>
      <c r="W455" s="242"/>
      <c r="X455" s="242"/>
      <c r="Y455" s="242"/>
      <c r="Z455" s="242"/>
      <c r="AA455" s="242"/>
      <c r="AB455" s="242"/>
      <c r="AC455" s="242"/>
      <c r="AD455" s="242"/>
      <c r="AE455" s="242"/>
      <c r="AF455" s="242"/>
    </row>
    <row r="456">
      <c r="A456" s="242"/>
      <c r="B456" s="242"/>
      <c r="C456" s="242"/>
      <c r="D456" s="13"/>
      <c r="E456" s="525"/>
      <c r="F456" s="525"/>
      <c r="G456" s="525"/>
      <c r="H456" s="242"/>
      <c r="I456" s="525"/>
      <c r="J456" s="525"/>
      <c r="K456" s="525"/>
      <c r="L456" s="525"/>
      <c r="M456" s="242"/>
      <c r="N456" s="525"/>
      <c r="O456" s="525"/>
      <c r="P456" s="525"/>
      <c r="Q456" s="525"/>
      <c r="R456" s="242"/>
      <c r="S456" s="242"/>
      <c r="T456" s="242"/>
      <c r="U456" s="242"/>
      <c r="V456" s="242"/>
      <c r="W456" s="242"/>
      <c r="X456" s="242"/>
      <c r="Y456" s="242"/>
      <c r="Z456" s="242"/>
      <c r="AA456" s="242"/>
      <c r="AB456" s="242"/>
      <c r="AC456" s="242"/>
      <c r="AD456" s="242"/>
      <c r="AE456" s="242"/>
      <c r="AF456" s="242"/>
    </row>
    <row r="457">
      <c r="A457" s="242"/>
      <c r="B457" s="242"/>
      <c r="C457" s="242"/>
      <c r="D457" s="13"/>
      <c r="E457" s="525"/>
      <c r="F457" s="525"/>
      <c r="G457" s="525"/>
      <c r="H457" s="242"/>
      <c r="I457" s="525"/>
      <c r="J457" s="525"/>
      <c r="K457" s="525"/>
      <c r="L457" s="525"/>
      <c r="M457" s="242"/>
      <c r="N457" s="525"/>
      <c r="O457" s="525"/>
      <c r="P457" s="525"/>
      <c r="Q457" s="525"/>
      <c r="R457" s="242"/>
      <c r="S457" s="242"/>
      <c r="T457" s="242"/>
      <c r="U457" s="242"/>
      <c r="V457" s="242"/>
      <c r="W457" s="242"/>
      <c r="X457" s="242"/>
      <c r="Y457" s="242"/>
      <c r="Z457" s="242"/>
      <c r="AA457" s="242"/>
      <c r="AB457" s="242"/>
      <c r="AC457" s="242"/>
      <c r="AD457" s="242"/>
      <c r="AE457" s="242"/>
      <c r="AF457" s="242"/>
    </row>
    <row r="458">
      <c r="A458" s="242"/>
      <c r="B458" s="242"/>
      <c r="C458" s="242"/>
      <c r="D458" s="13"/>
      <c r="E458" s="525"/>
      <c r="F458" s="525"/>
      <c r="G458" s="525"/>
      <c r="H458" s="242"/>
      <c r="I458" s="525"/>
      <c r="J458" s="525"/>
      <c r="K458" s="525"/>
      <c r="L458" s="525"/>
      <c r="M458" s="242"/>
      <c r="N458" s="525"/>
      <c r="O458" s="525"/>
      <c r="P458" s="525"/>
      <c r="Q458" s="525"/>
      <c r="R458" s="242"/>
      <c r="S458" s="242"/>
      <c r="T458" s="242"/>
      <c r="U458" s="242"/>
      <c r="V458" s="242"/>
      <c r="W458" s="242"/>
      <c r="X458" s="242"/>
      <c r="Y458" s="242"/>
      <c r="Z458" s="242"/>
      <c r="AA458" s="242"/>
      <c r="AB458" s="242"/>
      <c r="AC458" s="242"/>
      <c r="AD458" s="242"/>
      <c r="AE458" s="242"/>
      <c r="AF458" s="242"/>
    </row>
    <row r="459">
      <c r="A459" s="242"/>
      <c r="B459" s="242"/>
      <c r="C459" s="242"/>
      <c r="D459" s="13"/>
      <c r="E459" s="525"/>
      <c r="F459" s="525"/>
      <c r="G459" s="525"/>
      <c r="H459" s="242"/>
      <c r="I459" s="525"/>
      <c r="J459" s="525"/>
      <c r="K459" s="525"/>
      <c r="L459" s="525"/>
      <c r="M459" s="242"/>
      <c r="N459" s="525"/>
      <c r="O459" s="525"/>
      <c r="P459" s="525"/>
      <c r="Q459" s="525"/>
      <c r="R459" s="242"/>
      <c r="S459" s="242"/>
      <c r="T459" s="242"/>
      <c r="U459" s="242"/>
      <c r="V459" s="242"/>
      <c r="W459" s="242"/>
      <c r="X459" s="242"/>
      <c r="Y459" s="242"/>
      <c r="Z459" s="242"/>
      <c r="AA459" s="242"/>
      <c r="AB459" s="242"/>
      <c r="AC459" s="242"/>
      <c r="AD459" s="242"/>
      <c r="AE459" s="242"/>
      <c r="AF459" s="242"/>
    </row>
    <row r="460">
      <c r="A460" s="242"/>
      <c r="B460" s="242"/>
      <c r="C460" s="242"/>
      <c r="D460" s="13"/>
      <c r="E460" s="525"/>
      <c r="F460" s="525"/>
      <c r="G460" s="525"/>
      <c r="H460" s="242"/>
      <c r="I460" s="525"/>
      <c r="J460" s="525"/>
      <c r="K460" s="525"/>
      <c r="L460" s="525"/>
      <c r="M460" s="242"/>
      <c r="N460" s="525"/>
      <c r="O460" s="525"/>
      <c r="P460" s="525"/>
      <c r="Q460" s="525"/>
      <c r="R460" s="242"/>
      <c r="S460" s="242"/>
      <c r="T460" s="242"/>
      <c r="U460" s="242"/>
      <c r="V460" s="242"/>
      <c r="W460" s="242"/>
      <c r="X460" s="242"/>
      <c r="Y460" s="242"/>
      <c r="Z460" s="242"/>
      <c r="AA460" s="242"/>
      <c r="AB460" s="242"/>
      <c r="AC460" s="242"/>
      <c r="AD460" s="242"/>
      <c r="AE460" s="242"/>
      <c r="AF460" s="242"/>
    </row>
    <row r="461">
      <c r="A461" s="242"/>
      <c r="B461" s="242"/>
      <c r="C461" s="242"/>
      <c r="D461" s="13"/>
      <c r="E461" s="525"/>
      <c r="F461" s="525"/>
      <c r="G461" s="525"/>
      <c r="H461" s="242"/>
      <c r="I461" s="525"/>
      <c r="J461" s="525"/>
      <c r="K461" s="525"/>
      <c r="L461" s="525"/>
      <c r="M461" s="242"/>
      <c r="N461" s="525"/>
      <c r="O461" s="525"/>
      <c r="P461" s="525"/>
      <c r="Q461" s="525"/>
      <c r="R461" s="242"/>
      <c r="S461" s="242"/>
      <c r="T461" s="242"/>
      <c r="U461" s="242"/>
      <c r="V461" s="242"/>
      <c r="W461" s="242"/>
      <c r="X461" s="242"/>
      <c r="Y461" s="242"/>
      <c r="Z461" s="242"/>
      <c r="AA461" s="242"/>
      <c r="AB461" s="242"/>
      <c r="AC461" s="242"/>
      <c r="AD461" s="242"/>
      <c r="AE461" s="242"/>
      <c r="AF461" s="242"/>
    </row>
    <row r="462">
      <c r="A462" s="242"/>
      <c r="B462" s="242"/>
      <c r="C462" s="242"/>
      <c r="D462" s="13"/>
      <c r="E462" s="525"/>
      <c r="F462" s="525"/>
      <c r="G462" s="525"/>
      <c r="H462" s="242"/>
      <c r="I462" s="525"/>
      <c r="J462" s="525"/>
      <c r="K462" s="525"/>
      <c r="L462" s="525"/>
      <c r="M462" s="242"/>
      <c r="N462" s="525"/>
      <c r="O462" s="525"/>
      <c r="P462" s="525"/>
      <c r="Q462" s="525"/>
      <c r="R462" s="242"/>
      <c r="S462" s="242"/>
      <c r="T462" s="242"/>
      <c r="U462" s="242"/>
      <c r="V462" s="242"/>
      <c r="W462" s="242"/>
      <c r="X462" s="242"/>
      <c r="Y462" s="242"/>
      <c r="Z462" s="242"/>
      <c r="AA462" s="242"/>
      <c r="AB462" s="242"/>
      <c r="AC462" s="242"/>
      <c r="AD462" s="242"/>
      <c r="AE462" s="242"/>
      <c r="AF462" s="242"/>
    </row>
    <row r="463">
      <c r="A463" s="242"/>
      <c r="B463" s="242"/>
      <c r="C463" s="242"/>
      <c r="D463" s="13"/>
      <c r="E463" s="525"/>
      <c r="F463" s="525"/>
      <c r="G463" s="525"/>
      <c r="H463" s="242"/>
      <c r="I463" s="525"/>
      <c r="J463" s="525"/>
      <c r="K463" s="525"/>
      <c r="L463" s="525"/>
      <c r="M463" s="242"/>
      <c r="N463" s="525"/>
      <c r="O463" s="525"/>
      <c r="P463" s="525"/>
      <c r="Q463" s="525"/>
      <c r="R463" s="242"/>
      <c r="S463" s="242"/>
      <c r="T463" s="242"/>
      <c r="U463" s="242"/>
      <c r="V463" s="242"/>
      <c r="W463" s="242"/>
      <c r="X463" s="242"/>
      <c r="Y463" s="242"/>
      <c r="Z463" s="242"/>
      <c r="AA463" s="242"/>
      <c r="AB463" s="242"/>
      <c r="AC463" s="242"/>
      <c r="AD463" s="242"/>
      <c r="AE463" s="242"/>
      <c r="AF463" s="242"/>
    </row>
    <row r="464">
      <c r="A464" s="242"/>
      <c r="B464" s="242"/>
      <c r="C464" s="242"/>
      <c r="D464" s="13"/>
      <c r="E464" s="525"/>
      <c r="F464" s="525"/>
      <c r="G464" s="525"/>
      <c r="H464" s="242"/>
      <c r="I464" s="525"/>
      <c r="J464" s="525"/>
      <c r="K464" s="525"/>
      <c r="L464" s="525"/>
      <c r="M464" s="242"/>
      <c r="N464" s="525"/>
      <c r="O464" s="525"/>
      <c r="P464" s="525"/>
      <c r="Q464" s="525"/>
      <c r="R464" s="242"/>
      <c r="S464" s="242"/>
      <c r="T464" s="242"/>
      <c r="U464" s="242"/>
      <c r="V464" s="242"/>
      <c r="W464" s="242"/>
      <c r="X464" s="242"/>
      <c r="Y464" s="242"/>
      <c r="Z464" s="242"/>
      <c r="AA464" s="242"/>
      <c r="AB464" s="242"/>
      <c r="AC464" s="242"/>
      <c r="AD464" s="242"/>
      <c r="AE464" s="242"/>
      <c r="AF464" s="242"/>
    </row>
    <row r="465">
      <c r="A465" s="242"/>
      <c r="B465" s="242"/>
      <c r="C465" s="242"/>
      <c r="D465" s="13"/>
      <c r="E465" s="525"/>
      <c r="F465" s="525"/>
      <c r="G465" s="525"/>
      <c r="H465" s="242"/>
      <c r="I465" s="525"/>
      <c r="J465" s="525"/>
      <c r="K465" s="525"/>
      <c r="L465" s="525"/>
      <c r="M465" s="242"/>
      <c r="N465" s="525"/>
      <c r="O465" s="525"/>
      <c r="P465" s="525"/>
      <c r="Q465" s="525"/>
      <c r="R465" s="242"/>
      <c r="S465" s="242"/>
      <c r="T465" s="242"/>
      <c r="U465" s="242"/>
      <c r="V465" s="242"/>
      <c r="W465" s="242"/>
      <c r="X465" s="242"/>
      <c r="Y465" s="242"/>
      <c r="Z465" s="242"/>
      <c r="AA465" s="242"/>
      <c r="AB465" s="242"/>
      <c r="AC465" s="242"/>
      <c r="AD465" s="242"/>
      <c r="AE465" s="242"/>
      <c r="AF465" s="242"/>
    </row>
    <row r="466">
      <c r="A466" s="242"/>
      <c r="B466" s="242"/>
      <c r="C466" s="242"/>
      <c r="D466" s="13"/>
      <c r="E466" s="525"/>
      <c r="F466" s="525"/>
      <c r="G466" s="525"/>
      <c r="H466" s="242"/>
      <c r="I466" s="525"/>
      <c r="J466" s="525"/>
      <c r="K466" s="525"/>
      <c r="L466" s="525"/>
      <c r="M466" s="242"/>
      <c r="N466" s="525"/>
      <c r="O466" s="525"/>
      <c r="P466" s="525"/>
      <c r="Q466" s="525"/>
      <c r="R466" s="242"/>
      <c r="S466" s="242"/>
      <c r="T466" s="242"/>
      <c r="U466" s="242"/>
      <c r="V466" s="242"/>
      <c r="W466" s="242"/>
      <c r="X466" s="242"/>
      <c r="Y466" s="242"/>
      <c r="Z466" s="242"/>
      <c r="AA466" s="242"/>
      <c r="AB466" s="242"/>
      <c r="AC466" s="242"/>
      <c r="AD466" s="242"/>
      <c r="AE466" s="242"/>
      <c r="AF466" s="242"/>
    </row>
    <row r="467">
      <c r="A467" s="242"/>
      <c r="B467" s="242"/>
      <c r="C467" s="242"/>
      <c r="D467" s="13"/>
      <c r="E467" s="525"/>
      <c r="F467" s="525"/>
      <c r="G467" s="525"/>
      <c r="H467" s="242"/>
      <c r="I467" s="525"/>
      <c r="J467" s="525"/>
      <c r="K467" s="525"/>
      <c r="L467" s="525"/>
      <c r="M467" s="242"/>
      <c r="N467" s="525"/>
      <c r="O467" s="525"/>
      <c r="P467" s="525"/>
      <c r="Q467" s="525"/>
      <c r="R467" s="242"/>
      <c r="S467" s="242"/>
      <c r="T467" s="242"/>
      <c r="U467" s="242"/>
      <c r="V467" s="242"/>
      <c r="W467" s="242"/>
      <c r="X467" s="242"/>
      <c r="Y467" s="242"/>
      <c r="Z467" s="242"/>
      <c r="AA467" s="242"/>
      <c r="AB467" s="242"/>
      <c r="AC467" s="242"/>
      <c r="AD467" s="242"/>
      <c r="AE467" s="242"/>
      <c r="AF467" s="242"/>
    </row>
    <row r="468">
      <c r="A468" s="242"/>
      <c r="B468" s="242"/>
      <c r="C468" s="242"/>
      <c r="D468" s="13"/>
      <c r="E468" s="525"/>
      <c r="F468" s="525"/>
      <c r="G468" s="525"/>
      <c r="H468" s="242"/>
      <c r="I468" s="525"/>
      <c r="J468" s="525"/>
      <c r="K468" s="525"/>
      <c r="L468" s="525"/>
      <c r="M468" s="242"/>
      <c r="N468" s="525"/>
      <c r="O468" s="525"/>
      <c r="P468" s="525"/>
      <c r="Q468" s="525"/>
      <c r="R468" s="242"/>
      <c r="S468" s="242"/>
      <c r="T468" s="242"/>
      <c r="U468" s="242"/>
      <c r="V468" s="242"/>
      <c r="W468" s="242"/>
      <c r="X468" s="242"/>
      <c r="Y468" s="242"/>
      <c r="Z468" s="242"/>
      <c r="AA468" s="242"/>
      <c r="AB468" s="242"/>
      <c r="AC468" s="242"/>
      <c r="AD468" s="242"/>
      <c r="AE468" s="242"/>
      <c r="AF468" s="242"/>
    </row>
    <row r="469">
      <c r="A469" s="242"/>
      <c r="B469" s="242"/>
      <c r="C469" s="242"/>
      <c r="D469" s="13"/>
      <c r="E469" s="525"/>
      <c r="F469" s="525"/>
      <c r="G469" s="525"/>
      <c r="H469" s="242"/>
      <c r="I469" s="525"/>
      <c r="J469" s="525"/>
      <c r="K469" s="525"/>
      <c r="L469" s="525"/>
      <c r="M469" s="242"/>
      <c r="N469" s="525"/>
      <c r="O469" s="525"/>
      <c r="P469" s="525"/>
      <c r="Q469" s="525"/>
      <c r="R469" s="242"/>
      <c r="S469" s="242"/>
      <c r="T469" s="242"/>
      <c r="U469" s="242"/>
      <c r="V469" s="242"/>
      <c r="W469" s="242"/>
      <c r="X469" s="242"/>
      <c r="Y469" s="242"/>
      <c r="Z469" s="242"/>
      <c r="AA469" s="242"/>
      <c r="AB469" s="242"/>
      <c r="AC469" s="242"/>
      <c r="AD469" s="242"/>
      <c r="AE469" s="242"/>
      <c r="AF469" s="242"/>
    </row>
    <row r="470">
      <c r="A470" s="242"/>
      <c r="B470" s="242"/>
      <c r="C470" s="242"/>
      <c r="D470" s="13"/>
      <c r="E470" s="525"/>
      <c r="F470" s="525"/>
      <c r="G470" s="525"/>
      <c r="H470" s="242"/>
      <c r="I470" s="525"/>
      <c r="J470" s="525"/>
      <c r="K470" s="525"/>
      <c r="L470" s="525"/>
      <c r="M470" s="242"/>
      <c r="N470" s="525"/>
      <c r="O470" s="525"/>
      <c r="P470" s="525"/>
      <c r="Q470" s="525"/>
      <c r="R470" s="242"/>
      <c r="S470" s="242"/>
      <c r="T470" s="242"/>
      <c r="U470" s="242"/>
      <c r="V470" s="242"/>
      <c r="W470" s="242"/>
      <c r="X470" s="242"/>
      <c r="Y470" s="242"/>
      <c r="Z470" s="242"/>
      <c r="AA470" s="242"/>
      <c r="AB470" s="242"/>
      <c r="AC470" s="242"/>
      <c r="AD470" s="242"/>
      <c r="AE470" s="242"/>
      <c r="AF470" s="242"/>
    </row>
    <row r="471">
      <c r="A471" s="242"/>
      <c r="B471" s="242"/>
      <c r="C471" s="242"/>
      <c r="D471" s="13"/>
      <c r="E471" s="525"/>
      <c r="F471" s="525"/>
      <c r="G471" s="525"/>
      <c r="H471" s="242"/>
      <c r="I471" s="525"/>
      <c r="J471" s="525"/>
      <c r="K471" s="525"/>
      <c r="L471" s="525"/>
      <c r="M471" s="242"/>
      <c r="N471" s="525"/>
      <c r="O471" s="525"/>
      <c r="P471" s="525"/>
      <c r="Q471" s="525"/>
      <c r="R471" s="242"/>
      <c r="S471" s="242"/>
      <c r="T471" s="242"/>
      <c r="U471" s="242"/>
      <c r="V471" s="242"/>
      <c r="W471" s="242"/>
      <c r="X471" s="242"/>
      <c r="Y471" s="242"/>
      <c r="Z471" s="242"/>
      <c r="AA471" s="242"/>
      <c r="AB471" s="242"/>
      <c r="AC471" s="242"/>
      <c r="AD471" s="242"/>
      <c r="AE471" s="242"/>
      <c r="AF471" s="242"/>
    </row>
    <row r="472">
      <c r="A472" s="242"/>
      <c r="B472" s="242"/>
      <c r="C472" s="242"/>
      <c r="D472" s="13"/>
      <c r="E472" s="525"/>
      <c r="F472" s="525"/>
      <c r="G472" s="525"/>
      <c r="H472" s="242"/>
      <c r="I472" s="525"/>
      <c r="J472" s="525"/>
      <c r="K472" s="525"/>
      <c r="L472" s="525"/>
      <c r="M472" s="242"/>
      <c r="N472" s="525"/>
      <c r="O472" s="525"/>
      <c r="P472" s="525"/>
      <c r="Q472" s="525"/>
      <c r="R472" s="242"/>
      <c r="S472" s="242"/>
      <c r="T472" s="242"/>
      <c r="U472" s="242"/>
      <c r="V472" s="242"/>
      <c r="W472" s="242"/>
      <c r="X472" s="242"/>
      <c r="Y472" s="242"/>
      <c r="Z472" s="242"/>
      <c r="AA472" s="242"/>
      <c r="AB472" s="242"/>
      <c r="AC472" s="242"/>
      <c r="AD472" s="242"/>
      <c r="AE472" s="242"/>
      <c r="AF472" s="242"/>
    </row>
    <row r="473">
      <c r="A473" s="242"/>
      <c r="B473" s="242"/>
      <c r="C473" s="242"/>
      <c r="D473" s="13"/>
      <c r="E473" s="525"/>
      <c r="F473" s="525"/>
      <c r="G473" s="525"/>
      <c r="H473" s="242"/>
      <c r="I473" s="525"/>
      <c r="J473" s="525"/>
      <c r="K473" s="525"/>
      <c r="L473" s="525"/>
      <c r="M473" s="242"/>
      <c r="N473" s="525"/>
      <c r="O473" s="525"/>
      <c r="P473" s="525"/>
      <c r="Q473" s="525"/>
      <c r="R473" s="242"/>
      <c r="S473" s="242"/>
      <c r="T473" s="242"/>
      <c r="U473" s="242"/>
      <c r="V473" s="242"/>
      <c r="W473" s="242"/>
      <c r="X473" s="242"/>
      <c r="Y473" s="242"/>
      <c r="Z473" s="242"/>
      <c r="AA473" s="242"/>
      <c r="AB473" s="242"/>
      <c r="AC473" s="242"/>
      <c r="AD473" s="242"/>
      <c r="AE473" s="242"/>
      <c r="AF473" s="242"/>
    </row>
    <row r="474">
      <c r="A474" s="242"/>
      <c r="B474" s="242"/>
      <c r="C474" s="242"/>
      <c r="D474" s="13"/>
      <c r="E474" s="525"/>
      <c r="F474" s="525"/>
      <c r="G474" s="525"/>
      <c r="H474" s="242"/>
      <c r="I474" s="525"/>
      <c r="J474" s="525"/>
      <c r="K474" s="525"/>
      <c r="L474" s="525"/>
      <c r="M474" s="242"/>
      <c r="N474" s="525"/>
      <c r="O474" s="525"/>
      <c r="P474" s="525"/>
      <c r="Q474" s="525"/>
      <c r="R474" s="242"/>
      <c r="S474" s="242"/>
      <c r="T474" s="242"/>
      <c r="U474" s="242"/>
      <c r="V474" s="242"/>
      <c r="W474" s="242"/>
      <c r="X474" s="242"/>
      <c r="Y474" s="242"/>
      <c r="Z474" s="242"/>
      <c r="AA474" s="242"/>
      <c r="AB474" s="242"/>
      <c r="AC474" s="242"/>
      <c r="AD474" s="242"/>
      <c r="AE474" s="242"/>
      <c r="AF474" s="242"/>
    </row>
    <row r="475">
      <c r="A475" s="242"/>
      <c r="B475" s="242"/>
      <c r="C475" s="242"/>
      <c r="D475" s="13"/>
      <c r="E475" s="525"/>
      <c r="F475" s="525"/>
      <c r="G475" s="525"/>
      <c r="H475" s="242"/>
      <c r="I475" s="525"/>
      <c r="J475" s="525"/>
      <c r="K475" s="525"/>
      <c r="L475" s="525"/>
      <c r="M475" s="242"/>
      <c r="N475" s="525"/>
      <c r="O475" s="525"/>
      <c r="P475" s="525"/>
      <c r="Q475" s="525"/>
      <c r="R475" s="242"/>
      <c r="S475" s="242"/>
      <c r="T475" s="242"/>
      <c r="U475" s="242"/>
      <c r="V475" s="242"/>
      <c r="W475" s="242"/>
      <c r="X475" s="242"/>
      <c r="Y475" s="242"/>
      <c r="Z475" s="242"/>
      <c r="AA475" s="242"/>
      <c r="AB475" s="242"/>
      <c r="AC475" s="242"/>
      <c r="AD475" s="242"/>
      <c r="AE475" s="242"/>
      <c r="AF475" s="242"/>
    </row>
    <row r="476">
      <c r="A476" s="242"/>
      <c r="B476" s="242"/>
      <c r="C476" s="242"/>
      <c r="D476" s="13"/>
      <c r="E476" s="525"/>
      <c r="F476" s="525"/>
      <c r="G476" s="525"/>
      <c r="H476" s="242"/>
      <c r="I476" s="525"/>
      <c r="J476" s="525"/>
      <c r="K476" s="525"/>
      <c r="L476" s="525"/>
      <c r="M476" s="242"/>
      <c r="N476" s="525"/>
      <c r="O476" s="525"/>
      <c r="P476" s="525"/>
      <c r="Q476" s="525"/>
      <c r="R476" s="242"/>
      <c r="S476" s="242"/>
      <c r="T476" s="242"/>
      <c r="U476" s="242"/>
      <c r="V476" s="242"/>
      <c r="W476" s="242"/>
      <c r="X476" s="242"/>
      <c r="Y476" s="242"/>
      <c r="Z476" s="242"/>
      <c r="AA476" s="242"/>
      <c r="AB476" s="242"/>
      <c r="AC476" s="242"/>
      <c r="AD476" s="242"/>
      <c r="AE476" s="242"/>
      <c r="AF476" s="242"/>
    </row>
    <row r="477">
      <c r="A477" s="242"/>
      <c r="B477" s="242"/>
      <c r="C477" s="242"/>
      <c r="D477" s="13"/>
      <c r="E477" s="525"/>
      <c r="F477" s="525"/>
      <c r="G477" s="525"/>
      <c r="H477" s="242"/>
      <c r="I477" s="525"/>
      <c r="J477" s="525"/>
      <c r="K477" s="525"/>
      <c r="L477" s="525"/>
      <c r="M477" s="242"/>
      <c r="N477" s="525"/>
      <c r="O477" s="525"/>
      <c r="P477" s="525"/>
      <c r="Q477" s="525"/>
      <c r="R477" s="242"/>
      <c r="S477" s="242"/>
      <c r="T477" s="242"/>
      <c r="U477" s="242"/>
      <c r="V477" s="242"/>
      <c r="W477" s="242"/>
      <c r="X477" s="242"/>
      <c r="Y477" s="242"/>
      <c r="Z477" s="242"/>
      <c r="AA477" s="242"/>
      <c r="AB477" s="242"/>
      <c r="AC477" s="242"/>
      <c r="AD477" s="242"/>
      <c r="AE477" s="242"/>
      <c r="AF477" s="242"/>
    </row>
    <row r="478">
      <c r="A478" s="242"/>
      <c r="B478" s="242"/>
      <c r="C478" s="242"/>
      <c r="D478" s="13"/>
      <c r="E478" s="525"/>
      <c r="F478" s="525"/>
      <c r="G478" s="525"/>
      <c r="H478" s="242"/>
      <c r="I478" s="525"/>
      <c r="J478" s="525"/>
      <c r="K478" s="525"/>
      <c r="L478" s="525"/>
      <c r="M478" s="242"/>
      <c r="N478" s="525"/>
      <c r="O478" s="525"/>
      <c r="P478" s="525"/>
      <c r="Q478" s="525"/>
      <c r="R478" s="242"/>
      <c r="S478" s="242"/>
      <c r="T478" s="242"/>
      <c r="U478" s="242"/>
      <c r="V478" s="242"/>
      <c r="W478" s="242"/>
      <c r="X478" s="242"/>
      <c r="Y478" s="242"/>
      <c r="Z478" s="242"/>
      <c r="AA478" s="242"/>
      <c r="AB478" s="242"/>
      <c r="AC478" s="242"/>
      <c r="AD478" s="242"/>
      <c r="AE478" s="242"/>
      <c r="AF478" s="242"/>
    </row>
    <row r="479">
      <c r="A479" s="242"/>
      <c r="B479" s="242"/>
      <c r="C479" s="242"/>
      <c r="D479" s="13"/>
      <c r="E479" s="525"/>
      <c r="F479" s="525"/>
      <c r="G479" s="525"/>
      <c r="H479" s="242"/>
      <c r="I479" s="525"/>
      <c r="J479" s="525"/>
      <c r="K479" s="525"/>
      <c r="L479" s="525"/>
      <c r="M479" s="242"/>
      <c r="N479" s="525"/>
      <c r="O479" s="525"/>
      <c r="P479" s="525"/>
      <c r="Q479" s="525"/>
      <c r="R479" s="242"/>
      <c r="S479" s="242"/>
      <c r="T479" s="242"/>
      <c r="U479" s="242"/>
      <c r="V479" s="242"/>
      <c r="W479" s="242"/>
      <c r="X479" s="242"/>
      <c r="Y479" s="242"/>
      <c r="Z479" s="242"/>
      <c r="AA479" s="242"/>
      <c r="AB479" s="242"/>
      <c r="AC479" s="242"/>
      <c r="AD479" s="242"/>
      <c r="AE479" s="242"/>
      <c r="AF479" s="242"/>
    </row>
    <row r="480">
      <c r="A480" s="242"/>
      <c r="B480" s="242"/>
      <c r="C480" s="242"/>
      <c r="D480" s="13"/>
      <c r="E480" s="525"/>
      <c r="F480" s="525"/>
      <c r="G480" s="525"/>
      <c r="H480" s="242"/>
      <c r="I480" s="525"/>
      <c r="J480" s="525"/>
      <c r="K480" s="525"/>
      <c r="L480" s="525"/>
      <c r="M480" s="242"/>
      <c r="N480" s="525"/>
      <c r="O480" s="525"/>
      <c r="P480" s="525"/>
      <c r="Q480" s="525"/>
      <c r="R480" s="242"/>
      <c r="S480" s="242"/>
      <c r="T480" s="242"/>
      <c r="U480" s="242"/>
      <c r="V480" s="242"/>
      <c r="W480" s="242"/>
      <c r="X480" s="242"/>
      <c r="Y480" s="242"/>
      <c r="Z480" s="242"/>
      <c r="AA480" s="242"/>
      <c r="AB480" s="242"/>
      <c r="AC480" s="242"/>
      <c r="AD480" s="242"/>
      <c r="AE480" s="242"/>
      <c r="AF480" s="242"/>
    </row>
    <row r="481">
      <c r="A481" s="242"/>
      <c r="B481" s="242"/>
      <c r="C481" s="242"/>
      <c r="D481" s="13"/>
      <c r="E481" s="525"/>
      <c r="F481" s="525"/>
      <c r="G481" s="525"/>
      <c r="H481" s="242"/>
      <c r="I481" s="525"/>
      <c r="J481" s="525"/>
      <c r="K481" s="525"/>
      <c r="L481" s="525"/>
      <c r="M481" s="242"/>
      <c r="N481" s="525"/>
      <c r="O481" s="525"/>
      <c r="P481" s="525"/>
      <c r="Q481" s="525"/>
      <c r="R481" s="242"/>
      <c r="S481" s="242"/>
      <c r="T481" s="242"/>
      <c r="U481" s="242"/>
      <c r="V481" s="242"/>
      <c r="W481" s="242"/>
      <c r="X481" s="242"/>
      <c r="Y481" s="242"/>
      <c r="Z481" s="242"/>
      <c r="AA481" s="242"/>
      <c r="AB481" s="242"/>
      <c r="AC481" s="242"/>
      <c r="AD481" s="242"/>
      <c r="AE481" s="242"/>
      <c r="AF481" s="242"/>
    </row>
    <row r="482">
      <c r="A482" s="242"/>
      <c r="B482" s="242"/>
      <c r="C482" s="242"/>
      <c r="D482" s="13"/>
      <c r="E482" s="525"/>
      <c r="F482" s="525"/>
      <c r="G482" s="525"/>
      <c r="H482" s="242"/>
      <c r="I482" s="525"/>
      <c r="J482" s="525"/>
      <c r="K482" s="525"/>
      <c r="L482" s="525"/>
      <c r="M482" s="242"/>
      <c r="N482" s="525"/>
      <c r="O482" s="525"/>
      <c r="P482" s="525"/>
      <c r="Q482" s="525"/>
      <c r="R482" s="242"/>
      <c r="S482" s="242"/>
      <c r="T482" s="242"/>
      <c r="U482" s="242"/>
      <c r="V482" s="242"/>
      <c r="W482" s="242"/>
      <c r="X482" s="242"/>
      <c r="Y482" s="242"/>
      <c r="Z482" s="242"/>
      <c r="AA482" s="242"/>
      <c r="AB482" s="242"/>
      <c r="AC482" s="242"/>
      <c r="AD482" s="242"/>
      <c r="AE482" s="242"/>
      <c r="AF482" s="242"/>
    </row>
    <row r="483">
      <c r="A483" s="242"/>
      <c r="B483" s="242"/>
      <c r="C483" s="242"/>
      <c r="D483" s="13"/>
      <c r="E483" s="525"/>
      <c r="F483" s="525"/>
      <c r="G483" s="525"/>
      <c r="H483" s="242"/>
      <c r="I483" s="525"/>
      <c r="J483" s="525"/>
      <c r="K483" s="525"/>
      <c r="L483" s="525"/>
      <c r="M483" s="242"/>
      <c r="N483" s="525"/>
      <c r="O483" s="525"/>
      <c r="P483" s="525"/>
      <c r="Q483" s="525"/>
      <c r="R483" s="242"/>
      <c r="S483" s="242"/>
      <c r="T483" s="242"/>
      <c r="U483" s="242"/>
      <c r="V483" s="242"/>
      <c r="W483" s="242"/>
      <c r="X483" s="242"/>
      <c r="Y483" s="242"/>
      <c r="Z483" s="242"/>
      <c r="AA483" s="242"/>
      <c r="AB483" s="242"/>
      <c r="AC483" s="242"/>
      <c r="AD483" s="242"/>
      <c r="AE483" s="242"/>
      <c r="AF483" s="242"/>
    </row>
    <row r="484">
      <c r="A484" s="242"/>
      <c r="B484" s="242"/>
      <c r="C484" s="242"/>
      <c r="D484" s="13"/>
      <c r="E484" s="525"/>
      <c r="F484" s="525"/>
      <c r="G484" s="525"/>
      <c r="H484" s="242"/>
      <c r="I484" s="525"/>
      <c r="J484" s="525"/>
      <c r="K484" s="525"/>
      <c r="L484" s="525"/>
      <c r="M484" s="242"/>
      <c r="N484" s="525"/>
      <c r="O484" s="525"/>
      <c r="P484" s="525"/>
      <c r="Q484" s="525"/>
      <c r="R484" s="242"/>
      <c r="S484" s="242"/>
      <c r="T484" s="242"/>
      <c r="U484" s="242"/>
      <c r="V484" s="242"/>
      <c r="W484" s="242"/>
      <c r="X484" s="242"/>
      <c r="Y484" s="242"/>
      <c r="Z484" s="242"/>
      <c r="AA484" s="242"/>
      <c r="AB484" s="242"/>
      <c r="AC484" s="242"/>
      <c r="AD484" s="242"/>
      <c r="AE484" s="242"/>
      <c r="AF484" s="242"/>
    </row>
    <row r="485">
      <c r="A485" s="242"/>
      <c r="B485" s="242"/>
      <c r="C485" s="242"/>
      <c r="D485" s="13"/>
      <c r="E485" s="525"/>
      <c r="F485" s="525"/>
      <c r="G485" s="525"/>
      <c r="H485" s="242"/>
      <c r="I485" s="525"/>
      <c r="J485" s="525"/>
      <c r="K485" s="525"/>
      <c r="L485" s="525"/>
      <c r="M485" s="242"/>
      <c r="N485" s="525"/>
      <c r="O485" s="525"/>
      <c r="P485" s="525"/>
      <c r="Q485" s="525"/>
      <c r="R485" s="242"/>
      <c r="S485" s="242"/>
      <c r="T485" s="242"/>
      <c r="U485" s="242"/>
      <c r="V485" s="242"/>
      <c r="W485" s="242"/>
      <c r="X485" s="242"/>
      <c r="Y485" s="242"/>
      <c r="Z485" s="242"/>
      <c r="AA485" s="242"/>
      <c r="AB485" s="242"/>
      <c r="AC485" s="242"/>
      <c r="AD485" s="242"/>
      <c r="AE485" s="242"/>
      <c r="AF485" s="242"/>
    </row>
    <row r="486">
      <c r="A486" s="242"/>
      <c r="B486" s="242"/>
      <c r="C486" s="242"/>
      <c r="D486" s="13"/>
      <c r="E486" s="525"/>
      <c r="F486" s="525"/>
      <c r="G486" s="525"/>
      <c r="H486" s="242"/>
      <c r="I486" s="525"/>
      <c r="J486" s="525"/>
      <c r="K486" s="525"/>
      <c r="L486" s="525"/>
      <c r="M486" s="242"/>
      <c r="N486" s="525"/>
      <c r="O486" s="525"/>
      <c r="P486" s="525"/>
      <c r="Q486" s="525"/>
      <c r="R486" s="242"/>
      <c r="S486" s="242"/>
      <c r="T486" s="242"/>
      <c r="U486" s="242"/>
      <c r="V486" s="242"/>
      <c r="W486" s="242"/>
      <c r="X486" s="242"/>
      <c r="Y486" s="242"/>
      <c r="Z486" s="242"/>
      <c r="AA486" s="242"/>
      <c r="AB486" s="242"/>
      <c r="AC486" s="242"/>
      <c r="AD486" s="242"/>
      <c r="AE486" s="242"/>
      <c r="AF486" s="242"/>
    </row>
    <row r="487">
      <c r="A487" s="242"/>
      <c r="B487" s="242"/>
      <c r="C487" s="242"/>
      <c r="D487" s="13"/>
      <c r="E487" s="525"/>
      <c r="F487" s="525"/>
      <c r="G487" s="525"/>
      <c r="H487" s="242"/>
      <c r="I487" s="525"/>
      <c r="J487" s="525"/>
      <c r="K487" s="525"/>
      <c r="L487" s="525"/>
      <c r="M487" s="242"/>
      <c r="N487" s="525"/>
      <c r="O487" s="525"/>
      <c r="P487" s="525"/>
      <c r="Q487" s="525"/>
      <c r="R487" s="242"/>
      <c r="S487" s="242"/>
      <c r="T487" s="242"/>
      <c r="U487" s="242"/>
      <c r="V487" s="242"/>
      <c r="W487" s="242"/>
      <c r="X487" s="242"/>
      <c r="Y487" s="242"/>
      <c r="Z487" s="242"/>
      <c r="AA487" s="242"/>
      <c r="AB487" s="242"/>
      <c r="AC487" s="242"/>
      <c r="AD487" s="242"/>
      <c r="AE487" s="242"/>
      <c r="AF487" s="242"/>
    </row>
    <row r="488">
      <c r="A488" s="242"/>
      <c r="B488" s="242"/>
      <c r="C488" s="242"/>
      <c r="D488" s="13"/>
      <c r="E488" s="525"/>
      <c r="F488" s="525"/>
      <c r="G488" s="525"/>
      <c r="H488" s="242"/>
      <c r="I488" s="525"/>
      <c r="J488" s="525"/>
      <c r="K488" s="525"/>
      <c r="L488" s="525"/>
      <c r="M488" s="242"/>
      <c r="N488" s="525"/>
      <c r="O488" s="525"/>
      <c r="P488" s="525"/>
      <c r="Q488" s="525"/>
      <c r="R488" s="242"/>
      <c r="S488" s="242"/>
      <c r="T488" s="242"/>
      <c r="U488" s="242"/>
      <c r="V488" s="242"/>
      <c r="W488" s="242"/>
      <c r="X488" s="242"/>
      <c r="Y488" s="242"/>
      <c r="Z488" s="242"/>
      <c r="AA488" s="242"/>
      <c r="AB488" s="242"/>
      <c r="AC488" s="242"/>
      <c r="AD488" s="242"/>
      <c r="AE488" s="242"/>
      <c r="AF488" s="242"/>
    </row>
    <row r="489">
      <c r="A489" s="242"/>
      <c r="B489" s="242"/>
      <c r="C489" s="242"/>
      <c r="D489" s="13"/>
      <c r="E489" s="525"/>
      <c r="F489" s="525"/>
      <c r="G489" s="525"/>
      <c r="H489" s="242"/>
      <c r="I489" s="525"/>
      <c r="J489" s="525"/>
      <c r="K489" s="525"/>
      <c r="L489" s="525"/>
      <c r="M489" s="242"/>
      <c r="N489" s="525"/>
      <c r="O489" s="525"/>
      <c r="P489" s="525"/>
      <c r="Q489" s="525"/>
      <c r="R489" s="242"/>
      <c r="S489" s="242"/>
      <c r="T489" s="242"/>
      <c r="U489" s="242"/>
      <c r="V489" s="242"/>
      <c r="W489" s="242"/>
      <c r="X489" s="242"/>
      <c r="Y489" s="242"/>
      <c r="Z489" s="242"/>
      <c r="AA489" s="242"/>
      <c r="AB489" s="242"/>
      <c r="AC489" s="242"/>
      <c r="AD489" s="242"/>
      <c r="AE489" s="242"/>
      <c r="AF489" s="242"/>
    </row>
    <row r="490">
      <c r="A490" s="242"/>
      <c r="B490" s="242"/>
      <c r="C490" s="242"/>
      <c r="D490" s="13"/>
      <c r="E490" s="525"/>
      <c r="F490" s="525"/>
      <c r="G490" s="525"/>
      <c r="H490" s="242"/>
      <c r="I490" s="525"/>
      <c r="J490" s="525"/>
      <c r="K490" s="525"/>
      <c r="L490" s="525"/>
      <c r="M490" s="242"/>
      <c r="N490" s="525"/>
      <c r="O490" s="525"/>
      <c r="P490" s="525"/>
      <c r="Q490" s="525"/>
      <c r="R490" s="242"/>
      <c r="S490" s="242"/>
      <c r="T490" s="242"/>
      <c r="U490" s="242"/>
      <c r="V490" s="242"/>
      <c r="W490" s="242"/>
      <c r="X490" s="242"/>
      <c r="Y490" s="242"/>
      <c r="Z490" s="242"/>
      <c r="AA490" s="242"/>
      <c r="AB490" s="242"/>
      <c r="AC490" s="242"/>
      <c r="AD490" s="242"/>
      <c r="AE490" s="242"/>
      <c r="AF490" s="242"/>
    </row>
    <row r="491">
      <c r="A491" s="242"/>
      <c r="B491" s="242"/>
      <c r="C491" s="242"/>
      <c r="D491" s="13"/>
      <c r="E491" s="525"/>
      <c r="F491" s="525"/>
      <c r="G491" s="525"/>
      <c r="H491" s="242"/>
      <c r="I491" s="525"/>
      <c r="J491" s="525"/>
      <c r="K491" s="525"/>
      <c r="L491" s="525"/>
      <c r="M491" s="242"/>
      <c r="N491" s="525"/>
      <c r="O491" s="525"/>
      <c r="P491" s="525"/>
      <c r="Q491" s="525"/>
      <c r="R491" s="242"/>
      <c r="S491" s="242"/>
      <c r="T491" s="242"/>
      <c r="U491" s="242"/>
      <c r="V491" s="242"/>
      <c r="W491" s="242"/>
      <c r="X491" s="242"/>
      <c r="Y491" s="242"/>
      <c r="Z491" s="242"/>
      <c r="AA491" s="242"/>
      <c r="AB491" s="242"/>
      <c r="AC491" s="242"/>
      <c r="AD491" s="242"/>
      <c r="AE491" s="242"/>
      <c r="AF491" s="242"/>
    </row>
    <row r="492">
      <c r="A492" s="242"/>
      <c r="B492" s="242"/>
      <c r="C492" s="242"/>
      <c r="D492" s="13"/>
      <c r="E492" s="525"/>
      <c r="F492" s="525"/>
      <c r="G492" s="525"/>
      <c r="H492" s="242"/>
      <c r="I492" s="525"/>
      <c r="J492" s="525"/>
      <c r="K492" s="525"/>
      <c r="L492" s="525"/>
      <c r="M492" s="242"/>
      <c r="N492" s="525"/>
      <c r="O492" s="525"/>
      <c r="P492" s="525"/>
      <c r="Q492" s="525"/>
      <c r="R492" s="242"/>
      <c r="S492" s="242"/>
      <c r="T492" s="242"/>
      <c r="U492" s="242"/>
      <c r="V492" s="242"/>
      <c r="W492" s="242"/>
      <c r="X492" s="242"/>
      <c r="Y492" s="242"/>
      <c r="Z492" s="242"/>
      <c r="AA492" s="242"/>
      <c r="AB492" s="242"/>
      <c r="AC492" s="242"/>
      <c r="AD492" s="242"/>
      <c r="AE492" s="242"/>
      <c r="AF492" s="242"/>
    </row>
    <row r="493">
      <c r="A493" s="242"/>
      <c r="B493" s="242"/>
      <c r="C493" s="242"/>
      <c r="D493" s="13"/>
      <c r="E493" s="525"/>
      <c r="F493" s="525"/>
      <c r="G493" s="525"/>
      <c r="H493" s="242"/>
      <c r="I493" s="525"/>
      <c r="J493" s="525"/>
      <c r="K493" s="525"/>
      <c r="L493" s="525"/>
      <c r="M493" s="242"/>
      <c r="N493" s="525"/>
      <c r="O493" s="525"/>
      <c r="P493" s="525"/>
      <c r="Q493" s="525"/>
      <c r="R493" s="242"/>
      <c r="S493" s="242"/>
      <c r="T493" s="242"/>
      <c r="U493" s="242"/>
      <c r="V493" s="242"/>
      <c r="W493" s="242"/>
      <c r="X493" s="242"/>
      <c r="Y493" s="242"/>
      <c r="Z493" s="242"/>
      <c r="AA493" s="242"/>
      <c r="AB493" s="242"/>
      <c r="AC493" s="242"/>
      <c r="AD493" s="242"/>
      <c r="AE493" s="242"/>
      <c r="AF493" s="242"/>
    </row>
    <row r="494">
      <c r="A494" s="242"/>
      <c r="B494" s="242"/>
      <c r="C494" s="242"/>
      <c r="D494" s="13"/>
      <c r="E494" s="525"/>
      <c r="F494" s="525"/>
      <c r="G494" s="525"/>
      <c r="H494" s="242"/>
      <c r="I494" s="525"/>
      <c r="J494" s="525"/>
      <c r="K494" s="525"/>
      <c r="L494" s="525"/>
      <c r="M494" s="242"/>
      <c r="N494" s="525"/>
      <c r="O494" s="525"/>
      <c r="P494" s="525"/>
      <c r="Q494" s="525"/>
      <c r="R494" s="242"/>
      <c r="S494" s="242"/>
      <c r="T494" s="242"/>
      <c r="U494" s="242"/>
      <c r="V494" s="242"/>
      <c r="W494" s="242"/>
      <c r="X494" s="242"/>
      <c r="Y494" s="242"/>
      <c r="Z494" s="242"/>
      <c r="AA494" s="242"/>
      <c r="AB494" s="242"/>
      <c r="AC494" s="242"/>
      <c r="AD494" s="242"/>
      <c r="AE494" s="242"/>
      <c r="AF494" s="242"/>
    </row>
    <row r="495">
      <c r="A495" s="242"/>
      <c r="B495" s="242"/>
      <c r="C495" s="242"/>
      <c r="D495" s="13"/>
      <c r="E495" s="525"/>
      <c r="F495" s="525"/>
      <c r="G495" s="525"/>
      <c r="H495" s="242"/>
      <c r="I495" s="525"/>
      <c r="J495" s="525"/>
      <c r="K495" s="525"/>
      <c r="L495" s="525"/>
      <c r="M495" s="242"/>
      <c r="N495" s="525"/>
      <c r="O495" s="525"/>
      <c r="P495" s="525"/>
      <c r="Q495" s="525"/>
      <c r="R495" s="242"/>
      <c r="S495" s="242"/>
      <c r="T495" s="242"/>
      <c r="U495" s="242"/>
      <c r="V495" s="242"/>
      <c r="W495" s="242"/>
      <c r="X495" s="242"/>
      <c r="Y495" s="242"/>
      <c r="Z495" s="242"/>
      <c r="AA495" s="242"/>
      <c r="AB495" s="242"/>
      <c r="AC495" s="242"/>
      <c r="AD495" s="242"/>
      <c r="AE495" s="242"/>
      <c r="AF495" s="242"/>
    </row>
    <row r="496">
      <c r="A496" s="242"/>
      <c r="B496" s="242"/>
      <c r="C496" s="242"/>
      <c r="D496" s="13"/>
      <c r="E496" s="525"/>
      <c r="F496" s="525"/>
      <c r="G496" s="525"/>
      <c r="H496" s="242"/>
      <c r="I496" s="525"/>
      <c r="J496" s="525"/>
      <c r="K496" s="525"/>
      <c r="L496" s="525"/>
      <c r="M496" s="242"/>
      <c r="N496" s="525"/>
      <c r="O496" s="525"/>
      <c r="P496" s="525"/>
      <c r="Q496" s="525"/>
      <c r="R496" s="242"/>
      <c r="S496" s="242"/>
      <c r="T496" s="242"/>
      <c r="U496" s="242"/>
      <c r="V496" s="242"/>
      <c r="W496" s="242"/>
      <c r="X496" s="242"/>
      <c r="Y496" s="242"/>
      <c r="Z496" s="242"/>
      <c r="AA496" s="242"/>
      <c r="AB496" s="242"/>
      <c r="AC496" s="242"/>
      <c r="AD496" s="242"/>
      <c r="AE496" s="242"/>
      <c r="AF496" s="242"/>
    </row>
    <row r="497">
      <c r="A497" s="242"/>
      <c r="B497" s="242"/>
      <c r="C497" s="242"/>
      <c r="D497" s="13"/>
      <c r="E497" s="525"/>
      <c r="F497" s="525"/>
      <c r="G497" s="525"/>
      <c r="H497" s="242"/>
      <c r="I497" s="525"/>
      <c r="J497" s="525"/>
      <c r="K497" s="525"/>
      <c r="L497" s="525"/>
      <c r="M497" s="242"/>
      <c r="N497" s="525"/>
      <c r="O497" s="525"/>
      <c r="P497" s="525"/>
      <c r="Q497" s="525"/>
      <c r="R497" s="242"/>
      <c r="S497" s="242"/>
      <c r="T497" s="242"/>
      <c r="U497" s="242"/>
      <c r="V497" s="242"/>
      <c r="W497" s="242"/>
      <c r="X497" s="242"/>
      <c r="Y497" s="242"/>
      <c r="Z497" s="242"/>
      <c r="AA497" s="242"/>
      <c r="AB497" s="242"/>
      <c r="AC497" s="242"/>
      <c r="AD497" s="242"/>
      <c r="AE497" s="242"/>
      <c r="AF497" s="242"/>
    </row>
    <row r="498">
      <c r="A498" s="242"/>
      <c r="B498" s="242"/>
      <c r="C498" s="242"/>
      <c r="D498" s="13"/>
      <c r="E498" s="525"/>
      <c r="F498" s="525"/>
      <c r="G498" s="525"/>
      <c r="H498" s="242"/>
      <c r="I498" s="525"/>
      <c r="J498" s="525"/>
      <c r="K498" s="525"/>
      <c r="L498" s="525"/>
      <c r="M498" s="242"/>
      <c r="N498" s="525"/>
      <c r="O498" s="525"/>
      <c r="P498" s="525"/>
      <c r="Q498" s="525"/>
      <c r="R498" s="242"/>
      <c r="S498" s="242"/>
      <c r="T498" s="242"/>
      <c r="U498" s="242"/>
      <c r="V498" s="242"/>
      <c r="W498" s="242"/>
      <c r="X498" s="242"/>
      <c r="Y498" s="242"/>
      <c r="Z498" s="242"/>
      <c r="AA498" s="242"/>
      <c r="AB498" s="242"/>
      <c r="AC498" s="242"/>
      <c r="AD498" s="242"/>
      <c r="AE498" s="242"/>
      <c r="AF498" s="242"/>
    </row>
    <row r="499">
      <c r="A499" s="242"/>
      <c r="B499" s="242"/>
      <c r="C499" s="242"/>
      <c r="D499" s="13"/>
      <c r="E499" s="525"/>
      <c r="F499" s="525"/>
      <c r="G499" s="525"/>
      <c r="H499" s="242"/>
      <c r="I499" s="525"/>
      <c r="J499" s="525"/>
      <c r="K499" s="525"/>
      <c r="L499" s="525"/>
      <c r="M499" s="242"/>
      <c r="N499" s="525"/>
      <c r="O499" s="525"/>
      <c r="P499" s="525"/>
      <c r="Q499" s="525"/>
      <c r="R499" s="242"/>
      <c r="S499" s="242"/>
      <c r="T499" s="242"/>
      <c r="U499" s="242"/>
      <c r="V499" s="242"/>
      <c r="W499" s="242"/>
      <c r="X499" s="242"/>
      <c r="Y499" s="242"/>
      <c r="Z499" s="242"/>
      <c r="AA499" s="242"/>
      <c r="AB499" s="242"/>
      <c r="AC499" s="242"/>
      <c r="AD499" s="242"/>
      <c r="AE499" s="242"/>
      <c r="AF499" s="242"/>
    </row>
    <row r="500">
      <c r="A500" s="242"/>
      <c r="B500" s="242"/>
      <c r="C500" s="242"/>
      <c r="D500" s="13"/>
      <c r="E500" s="525"/>
      <c r="F500" s="525"/>
      <c r="G500" s="525"/>
      <c r="H500" s="242"/>
      <c r="I500" s="525"/>
      <c r="J500" s="525"/>
      <c r="K500" s="525"/>
      <c r="L500" s="525"/>
      <c r="M500" s="242"/>
      <c r="N500" s="525"/>
      <c r="O500" s="525"/>
      <c r="P500" s="525"/>
      <c r="Q500" s="525"/>
      <c r="R500" s="242"/>
      <c r="S500" s="242"/>
      <c r="T500" s="242"/>
      <c r="U500" s="242"/>
      <c r="V500" s="242"/>
      <c r="W500" s="242"/>
      <c r="X500" s="242"/>
      <c r="Y500" s="242"/>
      <c r="Z500" s="242"/>
      <c r="AA500" s="242"/>
      <c r="AB500" s="242"/>
      <c r="AC500" s="242"/>
      <c r="AD500" s="242"/>
      <c r="AE500" s="242"/>
      <c r="AF500" s="242"/>
    </row>
    <row r="501">
      <c r="A501" s="242"/>
      <c r="B501" s="242"/>
      <c r="C501" s="242"/>
      <c r="D501" s="13"/>
      <c r="E501" s="525"/>
      <c r="F501" s="525"/>
      <c r="G501" s="525"/>
      <c r="H501" s="242"/>
      <c r="I501" s="525"/>
      <c r="J501" s="525"/>
      <c r="K501" s="525"/>
      <c r="L501" s="525"/>
      <c r="M501" s="242"/>
      <c r="N501" s="525"/>
      <c r="O501" s="525"/>
      <c r="P501" s="525"/>
      <c r="Q501" s="525"/>
      <c r="R501" s="242"/>
      <c r="S501" s="242"/>
      <c r="T501" s="242"/>
      <c r="U501" s="242"/>
      <c r="V501" s="242"/>
      <c r="W501" s="242"/>
      <c r="X501" s="242"/>
      <c r="Y501" s="242"/>
      <c r="Z501" s="242"/>
      <c r="AA501" s="242"/>
      <c r="AB501" s="242"/>
      <c r="AC501" s="242"/>
      <c r="AD501" s="242"/>
      <c r="AE501" s="242"/>
      <c r="AF501" s="242"/>
    </row>
    <row r="502">
      <c r="A502" s="242"/>
      <c r="B502" s="242"/>
      <c r="C502" s="242"/>
      <c r="D502" s="13"/>
      <c r="E502" s="525"/>
      <c r="F502" s="525"/>
      <c r="G502" s="525"/>
      <c r="H502" s="242"/>
      <c r="I502" s="525"/>
      <c r="J502" s="525"/>
      <c r="K502" s="525"/>
      <c r="L502" s="525"/>
      <c r="M502" s="242"/>
      <c r="N502" s="525"/>
      <c r="O502" s="525"/>
      <c r="P502" s="525"/>
      <c r="Q502" s="525"/>
      <c r="R502" s="242"/>
      <c r="S502" s="242"/>
      <c r="T502" s="242"/>
      <c r="U502" s="242"/>
      <c r="V502" s="242"/>
      <c r="W502" s="242"/>
      <c r="X502" s="242"/>
      <c r="Y502" s="242"/>
      <c r="Z502" s="242"/>
      <c r="AA502" s="242"/>
      <c r="AB502" s="242"/>
      <c r="AC502" s="242"/>
      <c r="AD502" s="242"/>
      <c r="AE502" s="242"/>
      <c r="AF502" s="242"/>
    </row>
    <row r="503">
      <c r="A503" s="242"/>
      <c r="B503" s="242"/>
      <c r="C503" s="242"/>
      <c r="D503" s="13"/>
      <c r="E503" s="525"/>
      <c r="F503" s="525"/>
      <c r="G503" s="525"/>
      <c r="H503" s="242"/>
      <c r="I503" s="525"/>
      <c r="J503" s="525"/>
      <c r="K503" s="525"/>
      <c r="L503" s="525"/>
      <c r="M503" s="242"/>
      <c r="N503" s="525"/>
      <c r="O503" s="525"/>
      <c r="P503" s="525"/>
      <c r="Q503" s="525"/>
      <c r="R503" s="242"/>
      <c r="S503" s="242"/>
      <c r="T503" s="242"/>
      <c r="U503" s="242"/>
      <c r="V503" s="242"/>
      <c r="W503" s="242"/>
      <c r="X503" s="242"/>
      <c r="Y503" s="242"/>
      <c r="Z503" s="242"/>
      <c r="AA503" s="242"/>
      <c r="AB503" s="242"/>
      <c r="AC503" s="242"/>
      <c r="AD503" s="242"/>
      <c r="AE503" s="242"/>
      <c r="AF503" s="242"/>
    </row>
    <row r="504">
      <c r="A504" s="242"/>
      <c r="B504" s="242"/>
      <c r="C504" s="242"/>
      <c r="D504" s="13"/>
      <c r="E504" s="525"/>
      <c r="F504" s="525"/>
      <c r="G504" s="525"/>
      <c r="H504" s="242"/>
      <c r="I504" s="525"/>
      <c r="J504" s="525"/>
      <c r="K504" s="525"/>
      <c r="L504" s="525"/>
      <c r="M504" s="242"/>
      <c r="N504" s="525"/>
      <c r="O504" s="525"/>
      <c r="P504" s="525"/>
      <c r="Q504" s="525"/>
      <c r="R504" s="242"/>
      <c r="S504" s="242"/>
      <c r="T504" s="242"/>
      <c r="U504" s="242"/>
      <c r="V504" s="242"/>
      <c r="W504" s="242"/>
      <c r="X504" s="242"/>
      <c r="Y504" s="242"/>
      <c r="Z504" s="242"/>
      <c r="AA504" s="242"/>
      <c r="AB504" s="242"/>
      <c r="AC504" s="242"/>
      <c r="AD504" s="242"/>
      <c r="AE504" s="242"/>
      <c r="AF504" s="242"/>
    </row>
    <row r="505">
      <c r="A505" s="242"/>
      <c r="B505" s="242"/>
      <c r="C505" s="242"/>
      <c r="D505" s="13"/>
      <c r="E505" s="525"/>
      <c r="F505" s="525"/>
      <c r="G505" s="525"/>
      <c r="H505" s="242"/>
      <c r="I505" s="525"/>
      <c r="J505" s="525"/>
      <c r="K505" s="525"/>
      <c r="L505" s="525"/>
      <c r="M505" s="242"/>
      <c r="N505" s="525"/>
      <c r="O505" s="525"/>
      <c r="P505" s="525"/>
      <c r="Q505" s="525"/>
      <c r="R505" s="242"/>
      <c r="S505" s="242"/>
      <c r="T505" s="242"/>
      <c r="U505" s="242"/>
      <c r="V505" s="242"/>
      <c r="W505" s="242"/>
      <c r="X505" s="242"/>
      <c r="Y505" s="242"/>
      <c r="Z505" s="242"/>
      <c r="AA505" s="242"/>
      <c r="AB505" s="242"/>
      <c r="AC505" s="242"/>
      <c r="AD505" s="242"/>
      <c r="AE505" s="242"/>
      <c r="AF505" s="242"/>
    </row>
    <row r="506">
      <c r="A506" s="242"/>
      <c r="B506" s="242"/>
      <c r="C506" s="242"/>
      <c r="D506" s="13"/>
      <c r="E506" s="525"/>
      <c r="F506" s="525"/>
      <c r="G506" s="525"/>
      <c r="H506" s="242"/>
      <c r="I506" s="525"/>
      <c r="J506" s="525"/>
      <c r="K506" s="525"/>
      <c r="L506" s="525"/>
      <c r="M506" s="242"/>
      <c r="N506" s="525"/>
      <c r="O506" s="525"/>
      <c r="P506" s="525"/>
      <c r="Q506" s="525"/>
      <c r="R506" s="242"/>
      <c r="S506" s="242"/>
      <c r="T506" s="242"/>
      <c r="U506" s="242"/>
      <c r="V506" s="242"/>
      <c r="W506" s="242"/>
      <c r="X506" s="242"/>
      <c r="Y506" s="242"/>
      <c r="Z506" s="242"/>
      <c r="AA506" s="242"/>
      <c r="AB506" s="242"/>
      <c r="AC506" s="242"/>
      <c r="AD506" s="242"/>
      <c r="AE506" s="242"/>
      <c r="AF506" s="242"/>
    </row>
    <row r="507">
      <c r="A507" s="242"/>
      <c r="B507" s="242"/>
      <c r="C507" s="242"/>
      <c r="D507" s="13"/>
      <c r="E507" s="525"/>
      <c r="F507" s="525"/>
      <c r="G507" s="525"/>
      <c r="H507" s="242"/>
      <c r="I507" s="525"/>
      <c r="J507" s="525"/>
      <c r="K507" s="525"/>
      <c r="L507" s="525"/>
      <c r="M507" s="242"/>
      <c r="N507" s="525"/>
      <c r="O507" s="525"/>
      <c r="P507" s="525"/>
      <c r="Q507" s="525"/>
      <c r="R507" s="242"/>
      <c r="S507" s="242"/>
      <c r="T507" s="242"/>
      <c r="U507" s="242"/>
      <c r="V507" s="242"/>
      <c r="W507" s="242"/>
      <c r="X507" s="242"/>
      <c r="Y507" s="242"/>
      <c r="Z507" s="242"/>
      <c r="AA507" s="242"/>
      <c r="AB507" s="242"/>
      <c r="AC507" s="242"/>
      <c r="AD507" s="242"/>
      <c r="AE507" s="242"/>
      <c r="AF507" s="242"/>
    </row>
    <row r="508">
      <c r="A508" s="242"/>
      <c r="B508" s="242"/>
      <c r="C508" s="242"/>
      <c r="D508" s="13"/>
      <c r="E508" s="525"/>
      <c r="F508" s="525"/>
      <c r="G508" s="525"/>
      <c r="H508" s="242"/>
      <c r="I508" s="525"/>
      <c r="J508" s="525"/>
      <c r="K508" s="525"/>
      <c r="L508" s="525"/>
      <c r="M508" s="242"/>
      <c r="N508" s="525"/>
      <c r="O508" s="525"/>
      <c r="P508" s="525"/>
      <c r="Q508" s="525"/>
      <c r="R508" s="242"/>
      <c r="S508" s="242"/>
      <c r="T508" s="242"/>
      <c r="U508" s="242"/>
      <c r="V508" s="242"/>
      <c r="W508" s="242"/>
      <c r="X508" s="242"/>
      <c r="Y508" s="242"/>
      <c r="Z508" s="242"/>
      <c r="AA508" s="242"/>
      <c r="AB508" s="242"/>
      <c r="AC508" s="242"/>
      <c r="AD508" s="242"/>
      <c r="AE508" s="242"/>
      <c r="AF508" s="242"/>
    </row>
    <row r="509">
      <c r="A509" s="242"/>
      <c r="B509" s="242"/>
      <c r="C509" s="242"/>
      <c r="D509" s="13"/>
      <c r="E509" s="525"/>
      <c r="F509" s="525"/>
      <c r="G509" s="525"/>
      <c r="H509" s="242"/>
      <c r="I509" s="525"/>
      <c r="J509" s="525"/>
      <c r="K509" s="525"/>
      <c r="L509" s="525"/>
      <c r="M509" s="242"/>
      <c r="N509" s="525"/>
      <c r="O509" s="525"/>
      <c r="P509" s="525"/>
      <c r="Q509" s="525"/>
      <c r="R509" s="242"/>
      <c r="S509" s="242"/>
      <c r="T509" s="242"/>
      <c r="U509" s="242"/>
      <c r="V509" s="242"/>
      <c r="W509" s="242"/>
      <c r="X509" s="242"/>
      <c r="Y509" s="242"/>
      <c r="Z509" s="242"/>
      <c r="AA509" s="242"/>
      <c r="AB509" s="242"/>
      <c r="AC509" s="242"/>
      <c r="AD509" s="242"/>
      <c r="AE509" s="242"/>
      <c r="AF509" s="242"/>
    </row>
    <row r="510">
      <c r="A510" s="242"/>
      <c r="B510" s="242"/>
      <c r="C510" s="242"/>
      <c r="D510" s="13"/>
      <c r="E510" s="525"/>
      <c r="F510" s="525"/>
      <c r="G510" s="525"/>
      <c r="H510" s="242"/>
      <c r="I510" s="525"/>
      <c r="J510" s="525"/>
      <c r="K510" s="525"/>
      <c r="L510" s="525"/>
      <c r="M510" s="242"/>
      <c r="N510" s="525"/>
      <c r="O510" s="525"/>
      <c r="P510" s="525"/>
      <c r="Q510" s="525"/>
      <c r="R510" s="242"/>
      <c r="S510" s="242"/>
      <c r="T510" s="242"/>
      <c r="U510" s="242"/>
      <c r="V510" s="242"/>
      <c r="W510" s="242"/>
      <c r="X510" s="242"/>
      <c r="Y510" s="242"/>
      <c r="Z510" s="242"/>
      <c r="AA510" s="242"/>
      <c r="AB510" s="242"/>
      <c r="AC510" s="242"/>
      <c r="AD510" s="242"/>
      <c r="AE510" s="242"/>
      <c r="AF510" s="242"/>
    </row>
    <row r="511">
      <c r="A511" s="242"/>
      <c r="B511" s="242"/>
      <c r="C511" s="242"/>
      <c r="D511" s="13"/>
      <c r="E511" s="525"/>
      <c r="F511" s="525"/>
      <c r="G511" s="525"/>
      <c r="H511" s="242"/>
      <c r="I511" s="525"/>
      <c r="J511" s="525"/>
      <c r="K511" s="525"/>
      <c r="L511" s="525"/>
      <c r="M511" s="242"/>
      <c r="N511" s="525"/>
      <c r="O511" s="525"/>
      <c r="P511" s="525"/>
      <c r="Q511" s="525"/>
      <c r="R511" s="242"/>
      <c r="S511" s="242"/>
      <c r="T511" s="242"/>
      <c r="U511" s="242"/>
      <c r="V511" s="242"/>
      <c r="W511" s="242"/>
      <c r="X511" s="242"/>
      <c r="Y511" s="242"/>
      <c r="Z511" s="242"/>
      <c r="AA511" s="242"/>
      <c r="AB511" s="242"/>
      <c r="AC511" s="242"/>
      <c r="AD511" s="242"/>
      <c r="AE511" s="242"/>
      <c r="AF511" s="242"/>
    </row>
    <row r="512">
      <c r="A512" s="242"/>
      <c r="B512" s="242"/>
      <c r="C512" s="242"/>
      <c r="D512" s="13"/>
      <c r="E512" s="525"/>
      <c r="F512" s="525"/>
      <c r="G512" s="525"/>
      <c r="H512" s="242"/>
      <c r="I512" s="525"/>
      <c r="J512" s="525"/>
      <c r="K512" s="525"/>
      <c r="L512" s="525"/>
      <c r="M512" s="242"/>
      <c r="N512" s="525"/>
      <c r="O512" s="525"/>
      <c r="P512" s="525"/>
      <c r="Q512" s="525"/>
      <c r="R512" s="242"/>
      <c r="S512" s="242"/>
      <c r="T512" s="242"/>
      <c r="U512" s="242"/>
      <c r="V512" s="242"/>
      <c r="W512" s="242"/>
      <c r="X512" s="242"/>
      <c r="Y512" s="242"/>
      <c r="Z512" s="242"/>
      <c r="AA512" s="242"/>
      <c r="AB512" s="242"/>
      <c r="AC512" s="242"/>
      <c r="AD512" s="242"/>
      <c r="AE512" s="242"/>
      <c r="AF512" s="242"/>
    </row>
    <row r="513">
      <c r="A513" s="242"/>
      <c r="B513" s="242"/>
      <c r="C513" s="242"/>
      <c r="D513" s="13"/>
      <c r="E513" s="525"/>
      <c r="F513" s="525"/>
      <c r="G513" s="525"/>
      <c r="H513" s="242"/>
      <c r="I513" s="525"/>
      <c r="J513" s="525"/>
      <c r="K513" s="525"/>
      <c r="L513" s="525"/>
      <c r="M513" s="242"/>
      <c r="N513" s="525"/>
      <c r="O513" s="525"/>
      <c r="P513" s="525"/>
      <c r="Q513" s="525"/>
      <c r="R513" s="242"/>
      <c r="S513" s="242"/>
      <c r="T513" s="242"/>
      <c r="U513" s="242"/>
      <c r="V513" s="242"/>
      <c r="W513" s="242"/>
      <c r="X513" s="242"/>
      <c r="Y513" s="242"/>
      <c r="Z513" s="242"/>
      <c r="AA513" s="242"/>
      <c r="AB513" s="242"/>
      <c r="AC513" s="242"/>
      <c r="AD513" s="242"/>
      <c r="AE513" s="242"/>
      <c r="AF513" s="242"/>
    </row>
    <row r="514">
      <c r="A514" s="242"/>
      <c r="B514" s="242"/>
      <c r="C514" s="242"/>
      <c r="D514" s="13"/>
      <c r="E514" s="525"/>
      <c r="F514" s="525"/>
      <c r="G514" s="525"/>
      <c r="H514" s="242"/>
      <c r="I514" s="525"/>
      <c r="J514" s="525"/>
      <c r="K514" s="525"/>
      <c r="L514" s="525"/>
      <c r="M514" s="242"/>
      <c r="N514" s="525"/>
      <c r="O514" s="525"/>
      <c r="P514" s="525"/>
      <c r="Q514" s="525"/>
      <c r="R514" s="242"/>
      <c r="S514" s="242"/>
      <c r="T514" s="242"/>
      <c r="U514" s="242"/>
      <c r="V514" s="242"/>
      <c r="W514" s="242"/>
      <c r="X514" s="242"/>
      <c r="Y514" s="242"/>
      <c r="Z514" s="242"/>
      <c r="AA514" s="242"/>
      <c r="AB514" s="242"/>
      <c r="AC514" s="242"/>
      <c r="AD514" s="242"/>
      <c r="AE514" s="242"/>
      <c r="AF514" s="242"/>
    </row>
    <row r="515">
      <c r="A515" s="242"/>
      <c r="B515" s="242"/>
      <c r="C515" s="242"/>
      <c r="D515" s="13"/>
      <c r="E515" s="525"/>
      <c r="F515" s="525"/>
      <c r="G515" s="525"/>
      <c r="H515" s="242"/>
      <c r="I515" s="525"/>
      <c r="J515" s="525"/>
      <c r="K515" s="525"/>
      <c r="L515" s="525"/>
      <c r="M515" s="242"/>
      <c r="N515" s="525"/>
      <c r="O515" s="525"/>
      <c r="P515" s="525"/>
      <c r="Q515" s="525"/>
      <c r="R515" s="242"/>
      <c r="S515" s="242"/>
      <c r="T515" s="242"/>
      <c r="U515" s="242"/>
      <c r="V515" s="242"/>
      <c r="W515" s="242"/>
      <c r="X515" s="242"/>
      <c r="Y515" s="242"/>
      <c r="Z515" s="242"/>
      <c r="AA515" s="242"/>
      <c r="AB515" s="242"/>
      <c r="AC515" s="242"/>
      <c r="AD515" s="242"/>
      <c r="AE515" s="242"/>
      <c r="AF515" s="242"/>
    </row>
    <row r="516">
      <c r="A516" s="242"/>
      <c r="B516" s="242"/>
      <c r="C516" s="242"/>
      <c r="D516" s="13"/>
      <c r="E516" s="525"/>
      <c r="F516" s="525"/>
      <c r="G516" s="525"/>
      <c r="H516" s="242"/>
      <c r="I516" s="525"/>
      <c r="J516" s="525"/>
      <c r="K516" s="525"/>
      <c r="L516" s="525"/>
      <c r="M516" s="242"/>
      <c r="N516" s="525"/>
      <c r="O516" s="525"/>
      <c r="P516" s="525"/>
      <c r="Q516" s="525"/>
      <c r="R516" s="242"/>
      <c r="S516" s="242"/>
      <c r="T516" s="242"/>
      <c r="U516" s="242"/>
      <c r="V516" s="242"/>
      <c r="W516" s="242"/>
      <c r="X516" s="242"/>
      <c r="Y516" s="242"/>
      <c r="Z516" s="242"/>
      <c r="AA516" s="242"/>
      <c r="AB516" s="242"/>
      <c r="AC516" s="242"/>
      <c r="AD516" s="242"/>
      <c r="AE516" s="242"/>
      <c r="AF516" s="242"/>
    </row>
    <row r="517">
      <c r="A517" s="242"/>
      <c r="B517" s="242"/>
      <c r="C517" s="242"/>
      <c r="D517" s="13"/>
      <c r="E517" s="525"/>
      <c r="F517" s="525"/>
      <c r="G517" s="525"/>
      <c r="H517" s="242"/>
      <c r="I517" s="525"/>
      <c r="J517" s="525"/>
      <c r="K517" s="525"/>
      <c r="L517" s="525"/>
      <c r="M517" s="242"/>
      <c r="N517" s="525"/>
      <c r="O517" s="525"/>
      <c r="P517" s="525"/>
      <c r="Q517" s="525"/>
      <c r="R517" s="242"/>
      <c r="S517" s="242"/>
      <c r="T517" s="242"/>
      <c r="U517" s="242"/>
      <c r="V517" s="242"/>
      <c r="W517" s="242"/>
      <c r="X517" s="242"/>
      <c r="Y517" s="242"/>
      <c r="Z517" s="242"/>
      <c r="AA517" s="242"/>
      <c r="AB517" s="242"/>
      <c r="AC517" s="242"/>
      <c r="AD517" s="242"/>
      <c r="AE517" s="242"/>
      <c r="AF517" s="242"/>
    </row>
    <row r="518">
      <c r="A518" s="242"/>
      <c r="B518" s="242"/>
      <c r="C518" s="242"/>
      <c r="D518" s="13"/>
      <c r="E518" s="525"/>
      <c r="F518" s="525"/>
      <c r="G518" s="525"/>
      <c r="H518" s="242"/>
      <c r="I518" s="525"/>
      <c r="J518" s="525"/>
      <c r="K518" s="525"/>
      <c r="L518" s="525"/>
      <c r="M518" s="242"/>
      <c r="N518" s="525"/>
      <c r="O518" s="525"/>
      <c r="P518" s="525"/>
      <c r="Q518" s="525"/>
      <c r="R518" s="242"/>
      <c r="S518" s="242"/>
      <c r="T518" s="242"/>
      <c r="U518" s="242"/>
      <c r="V518" s="242"/>
      <c r="W518" s="242"/>
      <c r="X518" s="242"/>
      <c r="Y518" s="242"/>
      <c r="Z518" s="242"/>
      <c r="AA518" s="242"/>
      <c r="AB518" s="242"/>
      <c r="AC518" s="242"/>
      <c r="AD518" s="242"/>
      <c r="AE518" s="242"/>
      <c r="AF518" s="242"/>
    </row>
    <row r="519">
      <c r="A519" s="242"/>
      <c r="B519" s="242"/>
      <c r="C519" s="242"/>
      <c r="D519" s="13"/>
      <c r="E519" s="525"/>
      <c r="F519" s="525"/>
      <c r="G519" s="525"/>
      <c r="H519" s="242"/>
      <c r="I519" s="525"/>
      <c r="J519" s="525"/>
      <c r="K519" s="525"/>
      <c r="L519" s="525"/>
      <c r="M519" s="242"/>
      <c r="N519" s="525"/>
      <c r="O519" s="525"/>
      <c r="P519" s="525"/>
      <c r="Q519" s="525"/>
      <c r="R519" s="242"/>
      <c r="S519" s="242"/>
      <c r="T519" s="242"/>
      <c r="U519" s="242"/>
      <c r="V519" s="242"/>
      <c r="W519" s="242"/>
      <c r="X519" s="242"/>
      <c r="Y519" s="242"/>
      <c r="Z519" s="242"/>
      <c r="AA519" s="242"/>
      <c r="AB519" s="242"/>
      <c r="AC519" s="242"/>
      <c r="AD519" s="242"/>
      <c r="AE519" s="242"/>
      <c r="AF519" s="242"/>
    </row>
    <row r="520">
      <c r="A520" s="242"/>
      <c r="B520" s="242"/>
      <c r="C520" s="242"/>
      <c r="D520" s="13"/>
      <c r="E520" s="525"/>
      <c r="F520" s="525"/>
      <c r="G520" s="525"/>
      <c r="H520" s="242"/>
      <c r="I520" s="525"/>
      <c r="J520" s="525"/>
      <c r="K520" s="525"/>
      <c r="L520" s="525"/>
      <c r="M520" s="242"/>
      <c r="N520" s="525"/>
      <c r="O520" s="525"/>
      <c r="P520" s="525"/>
      <c r="Q520" s="525"/>
      <c r="R520" s="242"/>
      <c r="S520" s="242"/>
      <c r="T520" s="242"/>
      <c r="U520" s="242"/>
      <c r="V520" s="242"/>
      <c r="W520" s="242"/>
      <c r="X520" s="242"/>
      <c r="Y520" s="242"/>
      <c r="Z520" s="242"/>
      <c r="AA520" s="242"/>
      <c r="AB520" s="242"/>
      <c r="AC520" s="242"/>
      <c r="AD520" s="242"/>
      <c r="AE520" s="242"/>
      <c r="AF520" s="242"/>
    </row>
    <row r="521">
      <c r="A521" s="242"/>
      <c r="B521" s="242"/>
      <c r="C521" s="242"/>
      <c r="D521" s="13"/>
      <c r="E521" s="525"/>
      <c r="F521" s="525"/>
      <c r="G521" s="525"/>
      <c r="H521" s="242"/>
      <c r="I521" s="525"/>
      <c r="J521" s="525"/>
      <c r="K521" s="525"/>
      <c r="L521" s="525"/>
      <c r="M521" s="242"/>
      <c r="N521" s="525"/>
      <c r="O521" s="525"/>
      <c r="P521" s="525"/>
      <c r="Q521" s="525"/>
      <c r="R521" s="242"/>
      <c r="S521" s="242"/>
      <c r="T521" s="242"/>
      <c r="U521" s="242"/>
      <c r="V521" s="242"/>
      <c r="W521" s="242"/>
      <c r="X521" s="242"/>
      <c r="Y521" s="242"/>
      <c r="Z521" s="242"/>
      <c r="AA521" s="242"/>
      <c r="AB521" s="242"/>
      <c r="AC521" s="242"/>
      <c r="AD521" s="242"/>
      <c r="AE521" s="242"/>
      <c r="AF521" s="242"/>
    </row>
    <row r="522">
      <c r="A522" s="242"/>
      <c r="B522" s="242"/>
      <c r="C522" s="242"/>
      <c r="D522" s="13"/>
      <c r="E522" s="525"/>
      <c r="F522" s="525"/>
      <c r="G522" s="525"/>
      <c r="H522" s="242"/>
      <c r="I522" s="525"/>
      <c r="J522" s="525"/>
      <c r="K522" s="525"/>
      <c r="L522" s="525"/>
      <c r="M522" s="242"/>
      <c r="N522" s="525"/>
      <c r="O522" s="525"/>
      <c r="P522" s="525"/>
      <c r="Q522" s="525"/>
      <c r="R522" s="242"/>
      <c r="S522" s="242"/>
      <c r="T522" s="242"/>
      <c r="U522" s="242"/>
      <c r="V522" s="242"/>
      <c r="W522" s="242"/>
      <c r="X522" s="242"/>
      <c r="Y522" s="242"/>
      <c r="Z522" s="242"/>
      <c r="AA522" s="242"/>
      <c r="AB522" s="242"/>
      <c r="AC522" s="242"/>
      <c r="AD522" s="242"/>
      <c r="AE522" s="242"/>
      <c r="AF522" s="242"/>
    </row>
    <row r="523">
      <c r="A523" s="242"/>
      <c r="B523" s="242"/>
      <c r="C523" s="242"/>
      <c r="D523" s="13"/>
      <c r="E523" s="525"/>
      <c r="F523" s="525"/>
      <c r="G523" s="525"/>
      <c r="H523" s="242"/>
      <c r="I523" s="525"/>
      <c r="J523" s="525"/>
      <c r="K523" s="525"/>
      <c r="L523" s="525"/>
      <c r="M523" s="242"/>
      <c r="N523" s="525"/>
      <c r="O523" s="525"/>
      <c r="P523" s="525"/>
      <c r="Q523" s="525"/>
      <c r="R523" s="242"/>
      <c r="S523" s="242"/>
      <c r="T523" s="242"/>
      <c r="U523" s="242"/>
      <c r="V523" s="242"/>
      <c r="W523" s="242"/>
      <c r="X523" s="242"/>
      <c r="Y523" s="242"/>
      <c r="Z523" s="242"/>
      <c r="AA523" s="242"/>
      <c r="AB523" s="242"/>
      <c r="AC523" s="242"/>
      <c r="AD523" s="242"/>
      <c r="AE523" s="242"/>
      <c r="AF523" s="242"/>
    </row>
    <row r="524">
      <c r="A524" s="242"/>
      <c r="B524" s="242"/>
      <c r="C524" s="242"/>
      <c r="D524" s="13"/>
      <c r="E524" s="525"/>
      <c r="F524" s="525"/>
      <c r="G524" s="525"/>
      <c r="H524" s="242"/>
      <c r="I524" s="525"/>
      <c r="J524" s="525"/>
      <c r="K524" s="525"/>
      <c r="L524" s="525"/>
      <c r="M524" s="242"/>
      <c r="N524" s="525"/>
      <c r="O524" s="525"/>
      <c r="P524" s="525"/>
      <c r="Q524" s="525"/>
      <c r="R524" s="242"/>
      <c r="S524" s="242"/>
      <c r="T524" s="242"/>
      <c r="U524" s="242"/>
      <c r="V524" s="242"/>
      <c r="W524" s="242"/>
      <c r="X524" s="242"/>
      <c r="Y524" s="242"/>
      <c r="Z524" s="242"/>
      <c r="AA524" s="242"/>
      <c r="AB524" s="242"/>
      <c r="AC524" s="242"/>
      <c r="AD524" s="242"/>
      <c r="AE524" s="242"/>
      <c r="AF524" s="242"/>
    </row>
    <row r="525">
      <c r="A525" s="242"/>
      <c r="B525" s="242"/>
      <c r="C525" s="242"/>
      <c r="D525" s="13"/>
      <c r="E525" s="525"/>
      <c r="F525" s="525"/>
      <c r="G525" s="525"/>
      <c r="H525" s="242"/>
      <c r="I525" s="525"/>
      <c r="J525" s="525"/>
      <c r="K525" s="525"/>
      <c r="L525" s="525"/>
      <c r="M525" s="242"/>
      <c r="N525" s="525"/>
      <c r="O525" s="525"/>
      <c r="P525" s="525"/>
      <c r="Q525" s="525"/>
      <c r="R525" s="242"/>
      <c r="S525" s="242"/>
      <c r="T525" s="242"/>
      <c r="U525" s="242"/>
      <c r="V525" s="242"/>
      <c r="W525" s="242"/>
      <c r="X525" s="242"/>
      <c r="Y525" s="242"/>
      <c r="Z525" s="242"/>
      <c r="AA525" s="242"/>
      <c r="AB525" s="242"/>
      <c r="AC525" s="242"/>
      <c r="AD525" s="242"/>
      <c r="AE525" s="242"/>
      <c r="AF525" s="242"/>
    </row>
    <row r="526">
      <c r="A526" s="242"/>
      <c r="B526" s="242"/>
      <c r="C526" s="242"/>
      <c r="D526" s="13"/>
      <c r="E526" s="525"/>
      <c r="F526" s="525"/>
      <c r="G526" s="525"/>
      <c r="H526" s="242"/>
      <c r="I526" s="525"/>
      <c r="J526" s="525"/>
      <c r="K526" s="525"/>
      <c r="L526" s="525"/>
      <c r="M526" s="242"/>
      <c r="N526" s="525"/>
      <c r="O526" s="525"/>
      <c r="P526" s="525"/>
      <c r="Q526" s="525"/>
      <c r="R526" s="242"/>
      <c r="S526" s="242"/>
      <c r="T526" s="242"/>
      <c r="U526" s="242"/>
      <c r="V526" s="242"/>
      <c r="W526" s="242"/>
      <c r="X526" s="242"/>
      <c r="Y526" s="242"/>
      <c r="Z526" s="242"/>
      <c r="AA526" s="242"/>
      <c r="AB526" s="242"/>
      <c r="AC526" s="242"/>
      <c r="AD526" s="242"/>
      <c r="AE526" s="242"/>
      <c r="AF526" s="242"/>
    </row>
    <row r="527">
      <c r="A527" s="242"/>
      <c r="B527" s="242"/>
      <c r="C527" s="242"/>
      <c r="D527" s="13"/>
      <c r="E527" s="525"/>
      <c r="F527" s="525"/>
      <c r="G527" s="525"/>
      <c r="H527" s="242"/>
      <c r="I527" s="525"/>
      <c r="J527" s="525"/>
      <c r="K527" s="525"/>
      <c r="L527" s="525"/>
      <c r="M527" s="242"/>
      <c r="N527" s="525"/>
      <c r="O527" s="525"/>
      <c r="P527" s="525"/>
      <c r="Q527" s="525"/>
      <c r="R527" s="242"/>
      <c r="S527" s="242"/>
      <c r="T527" s="242"/>
      <c r="U527" s="242"/>
      <c r="V527" s="242"/>
      <c r="W527" s="242"/>
      <c r="X527" s="242"/>
      <c r="Y527" s="242"/>
      <c r="Z527" s="242"/>
      <c r="AA527" s="242"/>
      <c r="AB527" s="242"/>
      <c r="AC527" s="242"/>
      <c r="AD527" s="242"/>
      <c r="AE527" s="242"/>
      <c r="AF527" s="242"/>
    </row>
    <row r="528">
      <c r="A528" s="242"/>
      <c r="B528" s="242"/>
      <c r="C528" s="242"/>
      <c r="D528" s="13"/>
      <c r="E528" s="525"/>
      <c r="F528" s="525"/>
      <c r="G528" s="525"/>
      <c r="H528" s="242"/>
      <c r="I528" s="525"/>
      <c r="J528" s="525"/>
      <c r="K528" s="525"/>
      <c r="L528" s="525"/>
      <c r="M528" s="242"/>
      <c r="N528" s="525"/>
      <c r="O528" s="525"/>
      <c r="P528" s="525"/>
      <c r="Q528" s="525"/>
      <c r="R528" s="242"/>
      <c r="S528" s="242"/>
      <c r="T528" s="242"/>
      <c r="U528" s="242"/>
      <c r="V528" s="242"/>
      <c r="W528" s="242"/>
      <c r="X528" s="242"/>
      <c r="Y528" s="242"/>
      <c r="Z528" s="242"/>
      <c r="AA528" s="242"/>
      <c r="AB528" s="242"/>
      <c r="AC528" s="242"/>
      <c r="AD528" s="242"/>
      <c r="AE528" s="242"/>
      <c r="AF528" s="242"/>
    </row>
    <row r="529">
      <c r="A529" s="242"/>
      <c r="B529" s="242"/>
      <c r="C529" s="242"/>
      <c r="D529" s="13"/>
      <c r="E529" s="525"/>
      <c r="F529" s="525"/>
      <c r="G529" s="525"/>
      <c r="H529" s="242"/>
      <c r="I529" s="525"/>
      <c r="J529" s="525"/>
      <c r="K529" s="525"/>
      <c r="L529" s="525"/>
      <c r="M529" s="242"/>
      <c r="N529" s="525"/>
      <c r="O529" s="525"/>
      <c r="P529" s="525"/>
      <c r="Q529" s="525"/>
      <c r="R529" s="242"/>
      <c r="S529" s="242"/>
      <c r="T529" s="242"/>
      <c r="U529" s="242"/>
      <c r="V529" s="242"/>
      <c r="W529" s="242"/>
      <c r="X529" s="242"/>
      <c r="Y529" s="242"/>
      <c r="Z529" s="242"/>
      <c r="AA529" s="242"/>
      <c r="AB529" s="242"/>
      <c r="AC529" s="242"/>
      <c r="AD529" s="242"/>
      <c r="AE529" s="242"/>
      <c r="AF529" s="242"/>
    </row>
    <row r="530">
      <c r="A530" s="242"/>
      <c r="B530" s="242"/>
      <c r="C530" s="242"/>
      <c r="D530" s="13"/>
      <c r="E530" s="525"/>
      <c r="F530" s="525"/>
      <c r="G530" s="525"/>
      <c r="H530" s="242"/>
      <c r="I530" s="525"/>
      <c r="J530" s="525"/>
      <c r="K530" s="525"/>
      <c r="L530" s="525"/>
      <c r="M530" s="242"/>
      <c r="N530" s="525"/>
      <c r="O530" s="525"/>
      <c r="P530" s="525"/>
      <c r="Q530" s="525"/>
      <c r="R530" s="242"/>
      <c r="S530" s="242"/>
      <c r="T530" s="242"/>
      <c r="U530" s="242"/>
      <c r="V530" s="242"/>
      <c r="W530" s="242"/>
      <c r="X530" s="242"/>
      <c r="Y530" s="242"/>
      <c r="Z530" s="242"/>
      <c r="AA530" s="242"/>
      <c r="AB530" s="242"/>
      <c r="AC530" s="242"/>
      <c r="AD530" s="242"/>
      <c r="AE530" s="242"/>
      <c r="AF530" s="242"/>
    </row>
    <row r="531">
      <c r="A531" s="242"/>
      <c r="B531" s="242"/>
      <c r="C531" s="242"/>
      <c r="D531" s="13"/>
      <c r="E531" s="525"/>
      <c r="F531" s="525"/>
      <c r="G531" s="525"/>
      <c r="H531" s="242"/>
      <c r="I531" s="525"/>
      <c r="J531" s="525"/>
      <c r="K531" s="525"/>
      <c r="L531" s="525"/>
      <c r="M531" s="242"/>
      <c r="N531" s="525"/>
      <c r="O531" s="525"/>
      <c r="P531" s="525"/>
      <c r="Q531" s="525"/>
      <c r="R531" s="242"/>
      <c r="S531" s="242"/>
      <c r="T531" s="242"/>
      <c r="U531" s="242"/>
      <c r="V531" s="242"/>
      <c r="W531" s="242"/>
      <c r="X531" s="242"/>
      <c r="Y531" s="242"/>
      <c r="Z531" s="242"/>
      <c r="AA531" s="242"/>
      <c r="AB531" s="242"/>
      <c r="AC531" s="242"/>
      <c r="AD531" s="242"/>
      <c r="AE531" s="242"/>
      <c r="AF531" s="242"/>
    </row>
    <row r="532">
      <c r="A532" s="242"/>
      <c r="B532" s="242"/>
      <c r="C532" s="242"/>
      <c r="D532" s="13"/>
      <c r="E532" s="525"/>
      <c r="F532" s="525"/>
      <c r="G532" s="525"/>
      <c r="H532" s="242"/>
      <c r="I532" s="525"/>
      <c r="J532" s="525"/>
      <c r="K532" s="525"/>
      <c r="L532" s="525"/>
      <c r="M532" s="242"/>
      <c r="N532" s="525"/>
      <c r="O532" s="525"/>
      <c r="P532" s="525"/>
      <c r="Q532" s="525"/>
      <c r="R532" s="242"/>
      <c r="S532" s="242"/>
      <c r="T532" s="242"/>
      <c r="U532" s="242"/>
      <c r="V532" s="242"/>
      <c r="W532" s="242"/>
      <c r="X532" s="242"/>
      <c r="Y532" s="242"/>
      <c r="Z532" s="242"/>
      <c r="AA532" s="242"/>
      <c r="AB532" s="242"/>
      <c r="AC532" s="242"/>
      <c r="AD532" s="242"/>
      <c r="AE532" s="242"/>
      <c r="AF532" s="242"/>
    </row>
    <row r="533">
      <c r="A533" s="242"/>
      <c r="B533" s="242"/>
      <c r="C533" s="242"/>
      <c r="D533" s="13"/>
      <c r="E533" s="525"/>
      <c r="F533" s="525"/>
      <c r="G533" s="525"/>
      <c r="H533" s="242"/>
      <c r="I533" s="525"/>
      <c r="J533" s="525"/>
      <c r="K533" s="525"/>
      <c r="L533" s="525"/>
      <c r="M533" s="242"/>
      <c r="N533" s="525"/>
      <c r="O533" s="525"/>
      <c r="P533" s="525"/>
      <c r="Q533" s="525"/>
      <c r="R533" s="242"/>
      <c r="S533" s="242"/>
      <c r="T533" s="242"/>
      <c r="U533" s="242"/>
      <c r="V533" s="242"/>
      <c r="W533" s="242"/>
      <c r="X533" s="242"/>
      <c r="Y533" s="242"/>
      <c r="Z533" s="242"/>
      <c r="AA533" s="242"/>
      <c r="AB533" s="242"/>
      <c r="AC533" s="242"/>
      <c r="AD533" s="242"/>
      <c r="AE533" s="242"/>
      <c r="AF533" s="242"/>
    </row>
    <row r="534">
      <c r="A534" s="242"/>
      <c r="B534" s="242"/>
      <c r="C534" s="242"/>
      <c r="D534" s="13"/>
      <c r="E534" s="525"/>
      <c r="F534" s="525"/>
      <c r="G534" s="525"/>
      <c r="H534" s="242"/>
      <c r="I534" s="525"/>
      <c r="J534" s="525"/>
      <c r="K534" s="525"/>
      <c r="L534" s="525"/>
      <c r="M534" s="242"/>
      <c r="N534" s="525"/>
      <c r="O534" s="525"/>
      <c r="P534" s="525"/>
      <c r="Q534" s="525"/>
      <c r="R534" s="242"/>
      <c r="S534" s="242"/>
      <c r="T534" s="242"/>
      <c r="U534" s="242"/>
      <c r="V534" s="242"/>
      <c r="W534" s="242"/>
      <c r="X534" s="242"/>
      <c r="Y534" s="242"/>
      <c r="Z534" s="242"/>
      <c r="AA534" s="242"/>
      <c r="AB534" s="242"/>
      <c r="AC534" s="242"/>
      <c r="AD534" s="242"/>
      <c r="AE534" s="242"/>
      <c r="AF534" s="242"/>
    </row>
    <row r="535">
      <c r="A535" s="242"/>
      <c r="B535" s="242"/>
      <c r="C535" s="242"/>
      <c r="D535" s="13"/>
      <c r="E535" s="525"/>
      <c r="F535" s="525"/>
      <c r="G535" s="525"/>
      <c r="H535" s="242"/>
      <c r="I535" s="525"/>
      <c r="J535" s="525"/>
      <c r="K535" s="525"/>
      <c r="L535" s="525"/>
      <c r="M535" s="242"/>
      <c r="N535" s="525"/>
      <c r="O535" s="525"/>
      <c r="P535" s="525"/>
      <c r="Q535" s="525"/>
      <c r="R535" s="242"/>
      <c r="S535" s="242"/>
      <c r="T535" s="242"/>
      <c r="U535" s="242"/>
      <c r="V535" s="242"/>
      <c r="W535" s="242"/>
      <c r="X535" s="242"/>
      <c r="Y535" s="242"/>
      <c r="Z535" s="242"/>
      <c r="AA535" s="242"/>
      <c r="AB535" s="242"/>
      <c r="AC535" s="242"/>
      <c r="AD535" s="242"/>
      <c r="AE535" s="242"/>
      <c r="AF535" s="242"/>
    </row>
    <row r="536">
      <c r="A536" s="242"/>
      <c r="B536" s="242"/>
      <c r="C536" s="242"/>
      <c r="D536" s="13"/>
      <c r="E536" s="525"/>
      <c r="F536" s="525"/>
      <c r="G536" s="525"/>
      <c r="H536" s="242"/>
      <c r="I536" s="525"/>
      <c r="J536" s="525"/>
      <c r="K536" s="525"/>
      <c r="L536" s="525"/>
      <c r="M536" s="242"/>
      <c r="N536" s="525"/>
      <c r="O536" s="525"/>
      <c r="P536" s="525"/>
      <c r="Q536" s="525"/>
      <c r="R536" s="242"/>
      <c r="S536" s="242"/>
      <c r="T536" s="242"/>
      <c r="U536" s="242"/>
      <c r="V536" s="242"/>
      <c r="W536" s="242"/>
      <c r="X536" s="242"/>
      <c r="Y536" s="242"/>
      <c r="Z536" s="242"/>
      <c r="AA536" s="242"/>
      <c r="AB536" s="242"/>
      <c r="AC536" s="242"/>
      <c r="AD536" s="242"/>
      <c r="AE536" s="242"/>
      <c r="AF536" s="242"/>
    </row>
    <row r="537">
      <c r="A537" s="242"/>
      <c r="B537" s="242"/>
      <c r="C537" s="242"/>
      <c r="D537" s="13"/>
      <c r="E537" s="525"/>
      <c r="F537" s="525"/>
      <c r="G537" s="525"/>
      <c r="H537" s="242"/>
      <c r="I537" s="525"/>
      <c r="J537" s="525"/>
      <c r="K537" s="525"/>
      <c r="L537" s="525"/>
      <c r="M537" s="242"/>
      <c r="N537" s="525"/>
      <c r="O537" s="525"/>
      <c r="P537" s="525"/>
      <c r="Q537" s="525"/>
      <c r="R537" s="242"/>
      <c r="S537" s="242"/>
      <c r="T537" s="242"/>
      <c r="U537" s="242"/>
      <c r="V537" s="242"/>
      <c r="W537" s="242"/>
      <c r="X537" s="242"/>
      <c r="Y537" s="242"/>
      <c r="Z537" s="242"/>
      <c r="AA537" s="242"/>
      <c r="AB537" s="242"/>
      <c r="AC537" s="242"/>
      <c r="AD537" s="242"/>
      <c r="AE537" s="242"/>
      <c r="AF537" s="242"/>
    </row>
    <row r="538">
      <c r="A538" s="242"/>
      <c r="B538" s="242"/>
      <c r="C538" s="242"/>
      <c r="D538" s="13"/>
      <c r="E538" s="525"/>
      <c r="F538" s="525"/>
      <c r="G538" s="525"/>
      <c r="H538" s="242"/>
      <c r="I538" s="525"/>
      <c r="J538" s="525"/>
      <c r="K538" s="525"/>
      <c r="L538" s="525"/>
      <c r="M538" s="242"/>
      <c r="N538" s="525"/>
      <c r="O538" s="525"/>
      <c r="P538" s="525"/>
      <c r="Q538" s="525"/>
      <c r="R538" s="242"/>
      <c r="S538" s="242"/>
      <c r="T538" s="242"/>
      <c r="U538" s="242"/>
      <c r="V538" s="242"/>
      <c r="W538" s="242"/>
      <c r="X538" s="242"/>
      <c r="Y538" s="242"/>
      <c r="Z538" s="242"/>
      <c r="AA538" s="242"/>
      <c r="AB538" s="242"/>
      <c r="AC538" s="242"/>
      <c r="AD538" s="242"/>
      <c r="AE538" s="242"/>
      <c r="AF538" s="242"/>
    </row>
    <row r="539">
      <c r="A539" s="242"/>
      <c r="B539" s="242"/>
      <c r="C539" s="242"/>
      <c r="D539" s="13"/>
      <c r="E539" s="525"/>
      <c r="F539" s="525"/>
      <c r="G539" s="525"/>
      <c r="H539" s="242"/>
      <c r="I539" s="525"/>
      <c r="J539" s="525"/>
      <c r="K539" s="525"/>
      <c r="L539" s="525"/>
      <c r="M539" s="242"/>
      <c r="N539" s="525"/>
      <c r="O539" s="525"/>
      <c r="P539" s="525"/>
      <c r="Q539" s="525"/>
      <c r="R539" s="242"/>
      <c r="S539" s="242"/>
      <c r="T539" s="242"/>
      <c r="U539" s="242"/>
      <c r="V539" s="242"/>
      <c r="W539" s="242"/>
      <c r="X539" s="242"/>
      <c r="Y539" s="242"/>
      <c r="Z539" s="242"/>
      <c r="AA539" s="242"/>
      <c r="AB539" s="242"/>
      <c r="AC539" s="242"/>
      <c r="AD539" s="242"/>
      <c r="AE539" s="242"/>
      <c r="AF539" s="242"/>
    </row>
    <row r="540">
      <c r="A540" s="242"/>
      <c r="B540" s="242"/>
      <c r="C540" s="242"/>
      <c r="D540" s="13"/>
      <c r="E540" s="525"/>
      <c r="F540" s="525"/>
      <c r="G540" s="525"/>
      <c r="H540" s="242"/>
      <c r="I540" s="525"/>
      <c r="J540" s="525"/>
      <c r="K540" s="525"/>
      <c r="L540" s="525"/>
      <c r="M540" s="242"/>
      <c r="N540" s="525"/>
      <c r="O540" s="525"/>
      <c r="P540" s="525"/>
      <c r="Q540" s="525"/>
      <c r="R540" s="242"/>
      <c r="S540" s="242"/>
      <c r="T540" s="242"/>
      <c r="U540" s="242"/>
      <c r="V540" s="242"/>
      <c r="W540" s="242"/>
      <c r="X540" s="242"/>
      <c r="Y540" s="242"/>
      <c r="Z540" s="242"/>
      <c r="AA540" s="242"/>
      <c r="AB540" s="242"/>
      <c r="AC540" s="242"/>
      <c r="AD540" s="242"/>
      <c r="AE540" s="242"/>
      <c r="AF540" s="242"/>
    </row>
    <row r="541">
      <c r="A541" s="242"/>
      <c r="B541" s="242"/>
      <c r="C541" s="242"/>
      <c r="D541" s="13"/>
      <c r="E541" s="525"/>
      <c r="F541" s="525"/>
      <c r="G541" s="525"/>
      <c r="H541" s="242"/>
      <c r="I541" s="525"/>
      <c r="J541" s="525"/>
      <c r="K541" s="525"/>
      <c r="L541" s="525"/>
      <c r="M541" s="242"/>
      <c r="N541" s="525"/>
      <c r="O541" s="525"/>
      <c r="P541" s="525"/>
      <c r="Q541" s="525"/>
      <c r="R541" s="242"/>
      <c r="S541" s="242"/>
      <c r="T541" s="242"/>
      <c r="U541" s="242"/>
      <c r="V541" s="242"/>
      <c r="W541" s="242"/>
      <c r="X541" s="242"/>
      <c r="Y541" s="242"/>
      <c r="Z541" s="242"/>
      <c r="AA541" s="242"/>
      <c r="AB541" s="242"/>
      <c r="AC541" s="242"/>
      <c r="AD541" s="242"/>
      <c r="AE541" s="242"/>
      <c r="AF541" s="242"/>
    </row>
    <row r="542">
      <c r="A542" s="242"/>
      <c r="B542" s="242"/>
      <c r="C542" s="242"/>
      <c r="D542" s="13"/>
      <c r="E542" s="525"/>
      <c r="F542" s="525"/>
      <c r="G542" s="525"/>
      <c r="H542" s="242"/>
      <c r="I542" s="525"/>
      <c r="J542" s="525"/>
      <c r="K542" s="525"/>
      <c r="L542" s="525"/>
      <c r="M542" s="242"/>
      <c r="N542" s="525"/>
      <c r="O542" s="525"/>
      <c r="P542" s="525"/>
      <c r="Q542" s="525"/>
      <c r="R542" s="242"/>
      <c r="S542" s="242"/>
      <c r="T542" s="242"/>
      <c r="U542" s="242"/>
      <c r="V542" s="242"/>
      <c r="W542" s="242"/>
      <c r="X542" s="242"/>
      <c r="Y542" s="242"/>
      <c r="Z542" s="242"/>
      <c r="AA542" s="242"/>
      <c r="AB542" s="242"/>
      <c r="AC542" s="242"/>
      <c r="AD542" s="242"/>
      <c r="AE542" s="242"/>
      <c r="AF542" s="242"/>
    </row>
    <row r="543">
      <c r="A543" s="242"/>
      <c r="B543" s="242"/>
      <c r="C543" s="242"/>
      <c r="D543" s="13"/>
      <c r="E543" s="525"/>
      <c r="F543" s="525"/>
      <c r="G543" s="525"/>
      <c r="H543" s="242"/>
      <c r="I543" s="525"/>
      <c r="J543" s="525"/>
      <c r="K543" s="525"/>
      <c r="L543" s="525"/>
      <c r="M543" s="242"/>
      <c r="N543" s="525"/>
      <c r="O543" s="525"/>
      <c r="P543" s="525"/>
      <c r="Q543" s="525"/>
      <c r="R543" s="242"/>
      <c r="S543" s="242"/>
      <c r="T543" s="242"/>
      <c r="U543" s="242"/>
      <c r="V543" s="242"/>
      <c r="W543" s="242"/>
      <c r="X543" s="242"/>
      <c r="Y543" s="242"/>
      <c r="Z543" s="242"/>
      <c r="AA543" s="242"/>
      <c r="AB543" s="242"/>
      <c r="AC543" s="242"/>
      <c r="AD543" s="242"/>
      <c r="AE543" s="242"/>
      <c r="AF543" s="242"/>
    </row>
    <row r="544">
      <c r="A544" s="242"/>
      <c r="B544" s="242"/>
      <c r="C544" s="242"/>
      <c r="D544" s="13"/>
      <c r="E544" s="525"/>
      <c r="F544" s="525"/>
      <c r="G544" s="525"/>
      <c r="H544" s="242"/>
      <c r="I544" s="525"/>
      <c r="J544" s="525"/>
      <c r="K544" s="525"/>
      <c r="L544" s="525"/>
      <c r="M544" s="242"/>
      <c r="N544" s="525"/>
      <c r="O544" s="525"/>
      <c r="P544" s="525"/>
      <c r="Q544" s="525"/>
      <c r="R544" s="242"/>
      <c r="S544" s="242"/>
      <c r="T544" s="242"/>
      <c r="U544" s="242"/>
      <c r="V544" s="242"/>
      <c r="W544" s="242"/>
      <c r="X544" s="242"/>
      <c r="Y544" s="242"/>
      <c r="Z544" s="242"/>
      <c r="AA544" s="242"/>
      <c r="AB544" s="242"/>
      <c r="AC544" s="242"/>
      <c r="AD544" s="242"/>
      <c r="AE544" s="242"/>
      <c r="AF544" s="242"/>
    </row>
    <row r="545">
      <c r="A545" s="242"/>
      <c r="B545" s="242"/>
      <c r="C545" s="242"/>
      <c r="D545" s="13"/>
      <c r="E545" s="525"/>
      <c r="F545" s="525"/>
      <c r="G545" s="525"/>
      <c r="H545" s="242"/>
      <c r="I545" s="525"/>
      <c r="J545" s="525"/>
      <c r="K545" s="525"/>
      <c r="L545" s="525"/>
      <c r="M545" s="242"/>
      <c r="N545" s="525"/>
      <c r="O545" s="525"/>
      <c r="P545" s="525"/>
      <c r="Q545" s="525"/>
      <c r="R545" s="242"/>
      <c r="S545" s="242"/>
      <c r="T545" s="242"/>
      <c r="U545" s="242"/>
      <c r="V545" s="242"/>
      <c r="W545" s="242"/>
      <c r="X545" s="242"/>
      <c r="Y545" s="242"/>
      <c r="Z545" s="242"/>
      <c r="AA545" s="242"/>
      <c r="AB545" s="242"/>
      <c r="AC545" s="242"/>
      <c r="AD545" s="242"/>
      <c r="AE545" s="242"/>
      <c r="AF545" s="242"/>
    </row>
    <row r="546">
      <c r="A546" s="242"/>
      <c r="B546" s="242"/>
      <c r="C546" s="242"/>
      <c r="D546" s="13"/>
      <c r="E546" s="525"/>
      <c r="F546" s="525"/>
      <c r="G546" s="525"/>
      <c r="H546" s="242"/>
      <c r="I546" s="525"/>
      <c r="J546" s="525"/>
      <c r="K546" s="525"/>
      <c r="L546" s="525"/>
      <c r="M546" s="242"/>
      <c r="N546" s="525"/>
      <c r="O546" s="525"/>
      <c r="P546" s="525"/>
      <c r="Q546" s="525"/>
      <c r="R546" s="242"/>
      <c r="S546" s="242"/>
      <c r="T546" s="242"/>
      <c r="U546" s="242"/>
      <c r="V546" s="242"/>
      <c r="W546" s="242"/>
      <c r="X546" s="242"/>
      <c r="Y546" s="242"/>
      <c r="Z546" s="242"/>
      <c r="AA546" s="242"/>
      <c r="AB546" s="242"/>
      <c r="AC546" s="242"/>
      <c r="AD546" s="242"/>
      <c r="AE546" s="242"/>
      <c r="AF546" s="242"/>
    </row>
    <row r="547">
      <c r="A547" s="242"/>
      <c r="B547" s="242"/>
      <c r="C547" s="242"/>
      <c r="D547" s="13"/>
      <c r="E547" s="525"/>
      <c r="F547" s="525"/>
      <c r="G547" s="525"/>
      <c r="H547" s="242"/>
      <c r="I547" s="525"/>
      <c r="J547" s="525"/>
      <c r="K547" s="525"/>
      <c r="L547" s="525"/>
      <c r="M547" s="242"/>
      <c r="N547" s="525"/>
      <c r="O547" s="525"/>
      <c r="P547" s="525"/>
      <c r="Q547" s="525"/>
      <c r="R547" s="242"/>
      <c r="S547" s="242"/>
      <c r="T547" s="242"/>
      <c r="U547" s="242"/>
      <c r="V547" s="242"/>
      <c r="W547" s="242"/>
      <c r="X547" s="242"/>
      <c r="Y547" s="242"/>
      <c r="Z547" s="242"/>
      <c r="AA547" s="242"/>
      <c r="AB547" s="242"/>
      <c r="AC547" s="242"/>
      <c r="AD547" s="242"/>
      <c r="AE547" s="242"/>
      <c r="AF547" s="242"/>
    </row>
    <row r="548">
      <c r="A548" s="242"/>
      <c r="B548" s="242"/>
      <c r="C548" s="242"/>
      <c r="D548" s="13"/>
      <c r="E548" s="525"/>
      <c r="F548" s="525"/>
      <c r="G548" s="525"/>
      <c r="H548" s="242"/>
      <c r="I548" s="525"/>
      <c r="J548" s="525"/>
      <c r="K548" s="525"/>
      <c r="L548" s="525"/>
      <c r="M548" s="242"/>
      <c r="N548" s="525"/>
      <c r="O548" s="525"/>
      <c r="P548" s="525"/>
      <c r="Q548" s="525"/>
      <c r="R548" s="242"/>
      <c r="S548" s="242"/>
      <c r="T548" s="242"/>
      <c r="U548" s="242"/>
      <c r="V548" s="242"/>
      <c r="W548" s="242"/>
      <c r="X548" s="242"/>
      <c r="Y548" s="242"/>
      <c r="Z548" s="242"/>
      <c r="AA548" s="242"/>
      <c r="AB548" s="242"/>
      <c r="AC548" s="242"/>
      <c r="AD548" s="242"/>
      <c r="AE548" s="242"/>
      <c r="AF548" s="242"/>
    </row>
    <row r="549">
      <c r="A549" s="242"/>
      <c r="B549" s="242"/>
      <c r="C549" s="242"/>
      <c r="D549" s="13"/>
      <c r="E549" s="525"/>
      <c r="F549" s="525"/>
      <c r="G549" s="525"/>
      <c r="H549" s="242"/>
      <c r="I549" s="525"/>
      <c r="J549" s="525"/>
      <c r="K549" s="525"/>
      <c r="L549" s="525"/>
      <c r="M549" s="242"/>
      <c r="N549" s="525"/>
      <c r="O549" s="525"/>
      <c r="P549" s="525"/>
      <c r="Q549" s="525"/>
      <c r="R549" s="242"/>
      <c r="S549" s="242"/>
      <c r="T549" s="242"/>
      <c r="U549" s="242"/>
      <c r="V549" s="242"/>
      <c r="W549" s="242"/>
      <c r="X549" s="242"/>
      <c r="Y549" s="242"/>
      <c r="Z549" s="242"/>
      <c r="AA549" s="242"/>
      <c r="AB549" s="242"/>
      <c r="AC549" s="242"/>
      <c r="AD549" s="242"/>
      <c r="AE549" s="242"/>
      <c r="AF549" s="242"/>
    </row>
    <row r="550">
      <c r="A550" s="242"/>
      <c r="B550" s="242"/>
      <c r="C550" s="242"/>
      <c r="D550" s="13"/>
      <c r="E550" s="525"/>
      <c r="F550" s="525"/>
      <c r="G550" s="525"/>
      <c r="H550" s="242"/>
      <c r="I550" s="525"/>
      <c r="J550" s="525"/>
      <c r="K550" s="525"/>
      <c r="L550" s="525"/>
      <c r="M550" s="242"/>
      <c r="N550" s="525"/>
      <c r="O550" s="525"/>
      <c r="P550" s="525"/>
      <c r="Q550" s="525"/>
      <c r="R550" s="242"/>
      <c r="S550" s="242"/>
      <c r="T550" s="242"/>
      <c r="U550" s="242"/>
      <c r="V550" s="242"/>
      <c r="W550" s="242"/>
      <c r="X550" s="242"/>
      <c r="Y550" s="242"/>
      <c r="Z550" s="242"/>
      <c r="AA550" s="242"/>
      <c r="AB550" s="242"/>
      <c r="AC550" s="242"/>
      <c r="AD550" s="242"/>
      <c r="AE550" s="242"/>
      <c r="AF550" s="242"/>
    </row>
    <row r="551">
      <c r="A551" s="242"/>
      <c r="B551" s="242"/>
      <c r="C551" s="242"/>
      <c r="D551" s="13"/>
      <c r="E551" s="525"/>
      <c r="F551" s="525"/>
      <c r="G551" s="525"/>
      <c r="H551" s="242"/>
      <c r="I551" s="525"/>
      <c r="J551" s="525"/>
      <c r="K551" s="525"/>
      <c r="L551" s="525"/>
      <c r="M551" s="242"/>
      <c r="N551" s="525"/>
      <c r="O551" s="525"/>
      <c r="P551" s="525"/>
      <c r="Q551" s="525"/>
      <c r="R551" s="242"/>
      <c r="S551" s="242"/>
      <c r="T551" s="242"/>
      <c r="U551" s="242"/>
      <c r="V551" s="242"/>
      <c r="W551" s="242"/>
      <c r="X551" s="242"/>
      <c r="Y551" s="242"/>
      <c r="Z551" s="242"/>
      <c r="AA551" s="242"/>
      <c r="AB551" s="242"/>
      <c r="AC551" s="242"/>
      <c r="AD551" s="242"/>
      <c r="AE551" s="242"/>
      <c r="AF551" s="242"/>
    </row>
    <row r="552">
      <c r="A552" s="242"/>
      <c r="B552" s="242"/>
      <c r="C552" s="242"/>
      <c r="D552" s="13"/>
      <c r="E552" s="525"/>
      <c r="F552" s="525"/>
      <c r="G552" s="525"/>
      <c r="H552" s="242"/>
      <c r="I552" s="525"/>
      <c r="J552" s="525"/>
      <c r="K552" s="525"/>
      <c r="L552" s="525"/>
      <c r="M552" s="242"/>
      <c r="N552" s="525"/>
      <c r="O552" s="525"/>
      <c r="P552" s="525"/>
      <c r="Q552" s="525"/>
      <c r="R552" s="242"/>
      <c r="S552" s="242"/>
      <c r="T552" s="242"/>
      <c r="U552" s="242"/>
      <c r="V552" s="242"/>
      <c r="W552" s="242"/>
      <c r="X552" s="242"/>
      <c r="Y552" s="242"/>
      <c r="Z552" s="242"/>
      <c r="AA552" s="242"/>
      <c r="AB552" s="242"/>
      <c r="AC552" s="242"/>
      <c r="AD552" s="242"/>
      <c r="AE552" s="242"/>
      <c r="AF552" s="242"/>
    </row>
    <row r="553">
      <c r="A553" s="242"/>
      <c r="B553" s="242"/>
      <c r="C553" s="242"/>
      <c r="D553" s="13"/>
      <c r="E553" s="525"/>
      <c r="F553" s="525"/>
      <c r="G553" s="525"/>
      <c r="H553" s="242"/>
      <c r="I553" s="525"/>
      <c r="J553" s="525"/>
      <c r="K553" s="525"/>
      <c r="L553" s="525"/>
      <c r="M553" s="242"/>
      <c r="N553" s="525"/>
      <c r="O553" s="525"/>
      <c r="P553" s="525"/>
      <c r="Q553" s="525"/>
      <c r="R553" s="242"/>
      <c r="S553" s="242"/>
      <c r="T553" s="242"/>
      <c r="U553" s="242"/>
      <c r="V553" s="242"/>
      <c r="W553" s="242"/>
      <c r="X553" s="242"/>
      <c r="Y553" s="242"/>
      <c r="Z553" s="242"/>
      <c r="AA553" s="242"/>
      <c r="AB553" s="242"/>
      <c r="AC553" s="242"/>
      <c r="AD553" s="242"/>
      <c r="AE553" s="242"/>
      <c r="AF553" s="242"/>
    </row>
    <row r="554">
      <c r="A554" s="242"/>
      <c r="B554" s="242"/>
      <c r="C554" s="242"/>
      <c r="D554" s="13"/>
      <c r="E554" s="525"/>
      <c r="F554" s="525"/>
      <c r="G554" s="525"/>
      <c r="H554" s="242"/>
      <c r="I554" s="525"/>
      <c r="J554" s="525"/>
      <c r="K554" s="525"/>
      <c r="L554" s="525"/>
      <c r="M554" s="242"/>
      <c r="N554" s="525"/>
      <c r="O554" s="525"/>
      <c r="P554" s="525"/>
      <c r="Q554" s="525"/>
      <c r="R554" s="242"/>
      <c r="S554" s="242"/>
      <c r="T554" s="242"/>
      <c r="U554" s="242"/>
      <c r="V554" s="242"/>
      <c r="W554" s="242"/>
      <c r="X554" s="242"/>
      <c r="Y554" s="242"/>
      <c r="Z554" s="242"/>
      <c r="AA554" s="242"/>
      <c r="AB554" s="242"/>
      <c r="AC554" s="242"/>
      <c r="AD554" s="242"/>
      <c r="AE554" s="242"/>
      <c r="AF554" s="242"/>
    </row>
    <row r="555">
      <c r="A555" s="242"/>
      <c r="B555" s="242"/>
      <c r="C555" s="242"/>
      <c r="D555" s="13"/>
      <c r="E555" s="525"/>
      <c r="F555" s="525"/>
      <c r="G555" s="525"/>
      <c r="H555" s="242"/>
      <c r="I555" s="525"/>
      <c r="J555" s="525"/>
      <c r="K555" s="525"/>
      <c r="L555" s="525"/>
      <c r="M555" s="242"/>
      <c r="N555" s="525"/>
      <c r="O555" s="525"/>
      <c r="P555" s="525"/>
      <c r="Q555" s="525"/>
      <c r="R555" s="242"/>
      <c r="S555" s="242"/>
      <c r="T555" s="242"/>
      <c r="U555" s="242"/>
      <c r="V555" s="242"/>
      <c r="W555" s="242"/>
      <c r="X555" s="242"/>
      <c r="Y555" s="242"/>
      <c r="Z555" s="242"/>
      <c r="AA555" s="242"/>
      <c r="AB555" s="242"/>
      <c r="AC555" s="242"/>
      <c r="AD555" s="242"/>
      <c r="AE555" s="242"/>
      <c r="AF555" s="242"/>
    </row>
    <row r="556">
      <c r="A556" s="242"/>
      <c r="B556" s="242"/>
      <c r="C556" s="242"/>
      <c r="D556" s="13"/>
      <c r="E556" s="525"/>
      <c r="F556" s="525"/>
      <c r="G556" s="525"/>
      <c r="H556" s="242"/>
      <c r="I556" s="525"/>
      <c r="J556" s="525"/>
      <c r="K556" s="525"/>
      <c r="L556" s="525"/>
      <c r="M556" s="242"/>
      <c r="N556" s="525"/>
      <c r="O556" s="525"/>
      <c r="P556" s="525"/>
      <c r="Q556" s="525"/>
      <c r="R556" s="242"/>
      <c r="S556" s="242"/>
      <c r="T556" s="242"/>
      <c r="U556" s="242"/>
      <c r="V556" s="242"/>
      <c r="W556" s="242"/>
      <c r="X556" s="242"/>
      <c r="Y556" s="242"/>
      <c r="Z556" s="242"/>
      <c r="AA556" s="242"/>
      <c r="AB556" s="242"/>
      <c r="AC556" s="242"/>
      <c r="AD556" s="242"/>
      <c r="AE556" s="242"/>
      <c r="AF556" s="242"/>
    </row>
    <row r="557">
      <c r="A557" s="242"/>
      <c r="B557" s="242"/>
      <c r="C557" s="242"/>
      <c r="D557" s="13"/>
      <c r="E557" s="525"/>
      <c r="F557" s="525"/>
      <c r="G557" s="525"/>
      <c r="H557" s="242"/>
      <c r="I557" s="525"/>
      <c r="J557" s="525"/>
      <c r="K557" s="525"/>
      <c r="L557" s="525"/>
      <c r="M557" s="242"/>
      <c r="N557" s="525"/>
      <c r="O557" s="525"/>
      <c r="P557" s="525"/>
      <c r="Q557" s="525"/>
      <c r="R557" s="242"/>
      <c r="S557" s="242"/>
      <c r="T557" s="242"/>
      <c r="U557" s="242"/>
      <c r="V557" s="242"/>
      <c r="W557" s="242"/>
      <c r="X557" s="242"/>
      <c r="Y557" s="242"/>
      <c r="Z557" s="242"/>
      <c r="AA557" s="242"/>
      <c r="AB557" s="242"/>
      <c r="AC557" s="242"/>
      <c r="AD557" s="242"/>
      <c r="AE557" s="242"/>
      <c r="AF557" s="242"/>
    </row>
    <row r="558">
      <c r="A558" s="242"/>
      <c r="B558" s="242"/>
      <c r="C558" s="242"/>
      <c r="D558" s="13"/>
      <c r="E558" s="525"/>
      <c r="F558" s="525"/>
      <c r="G558" s="525"/>
      <c r="H558" s="242"/>
      <c r="I558" s="525"/>
      <c r="J558" s="525"/>
      <c r="K558" s="525"/>
      <c r="L558" s="525"/>
      <c r="M558" s="242"/>
      <c r="N558" s="525"/>
      <c r="O558" s="525"/>
      <c r="P558" s="525"/>
      <c r="Q558" s="525"/>
      <c r="R558" s="242"/>
      <c r="S558" s="242"/>
      <c r="T558" s="242"/>
      <c r="U558" s="242"/>
      <c r="V558" s="242"/>
      <c r="W558" s="242"/>
      <c r="X558" s="242"/>
      <c r="Y558" s="242"/>
      <c r="Z558" s="242"/>
      <c r="AA558" s="242"/>
      <c r="AB558" s="242"/>
      <c r="AC558" s="242"/>
      <c r="AD558" s="242"/>
      <c r="AE558" s="242"/>
      <c r="AF558" s="242"/>
    </row>
    <row r="559">
      <c r="A559" s="242"/>
      <c r="B559" s="242"/>
      <c r="C559" s="242"/>
      <c r="D559" s="13"/>
      <c r="E559" s="525"/>
      <c r="F559" s="525"/>
      <c r="G559" s="525"/>
      <c r="H559" s="242"/>
      <c r="I559" s="525"/>
      <c r="J559" s="525"/>
      <c r="K559" s="525"/>
      <c r="L559" s="525"/>
      <c r="M559" s="242"/>
      <c r="N559" s="525"/>
      <c r="O559" s="525"/>
      <c r="P559" s="525"/>
      <c r="Q559" s="525"/>
      <c r="R559" s="242"/>
      <c r="S559" s="242"/>
      <c r="T559" s="242"/>
      <c r="U559" s="242"/>
      <c r="V559" s="242"/>
      <c r="W559" s="242"/>
      <c r="X559" s="242"/>
      <c r="Y559" s="242"/>
      <c r="Z559" s="242"/>
      <c r="AA559" s="242"/>
      <c r="AB559" s="242"/>
      <c r="AC559" s="242"/>
      <c r="AD559" s="242"/>
      <c r="AE559" s="242"/>
      <c r="AF559" s="242"/>
    </row>
    <row r="560">
      <c r="A560" s="242"/>
      <c r="B560" s="242"/>
      <c r="C560" s="242"/>
      <c r="D560" s="13"/>
      <c r="E560" s="525"/>
      <c r="F560" s="525"/>
      <c r="G560" s="525"/>
      <c r="H560" s="242"/>
      <c r="I560" s="525"/>
      <c r="J560" s="525"/>
      <c r="K560" s="525"/>
      <c r="L560" s="525"/>
      <c r="M560" s="242"/>
      <c r="N560" s="525"/>
      <c r="O560" s="525"/>
      <c r="P560" s="525"/>
      <c r="Q560" s="525"/>
      <c r="R560" s="242"/>
      <c r="S560" s="242"/>
      <c r="T560" s="242"/>
      <c r="U560" s="242"/>
      <c r="V560" s="242"/>
      <c r="W560" s="242"/>
      <c r="X560" s="242"/>
      <c r="Y560" s="242"/>
      <c r="Z560" s="242"/>
      <c r="AA560" s="242"/>
      <c r="AB560" s="242"/>
      <c r="AC560" s="242"/>
      <c r="AD560" s="242"/>
      <c r="AE560" s="242"/>
      <c r="AF560" s="242"/>
    </row>
    <row r="561">
      <c r="A561" s="242"/>
      <c r="B561" s="242"/>
      <c r="C561" s="242"/>
      <c r="D561" s="13"/>
      <c r="E561" s="525"/>
      <c r="F561" s="525"/>
      <c r="G561" s="525"/>
      <c r="H561" s="242"/>
      <c r="I561" s="525"/>
      <c r="J561" s="525"/>
      <c r="K561" s="525"/>
      <c r="L561" s="525"/>
      <c r="M561" s="242"/>
      <c r="N561" s="525"/>
      <c r="O561" s="525"/>
      <c r="P561" s="525"/>
      <c r="Q561" s="525"/>
      <c r="R561" s="242"/>
      <c r="S561" s="242"/>
      <c r="T561" s="242"/>
      <c r="U561" s="242"/>
      <c r="V561" s="242"/>
      <c r="W561" s="242"/>
      <c r="X561" s="242"/>
      <c r="Y561" s="242"/>
      <c r="Z561" s="242"/>
      <c r="AA561" s="242"/>
      <c r="AB561" s="242"/>
      <c r="AC561" s="242"/>
      <c r="AD561" s="242"/>
      <c r="AE561" s="242"/>
      <c r="AF561" s="242"/>
    </row>
    <row r="562">
      <c r="A562" s="242"/>
      <c r="B562" s="242"/>
      <c r="C562" s="242"/>
      <c r="D562" s="13"/>
      <c r="E562" s="525"/>
      <c r="F562" s="525"/>
      <c r="G562" s="525"/>
      <c r="H562" s="242"/>
      <c r="I562" s="525"/>
      <c r="J562" s="525"/>
      <c r="K562" s="525"/>
      <c r="L562" s="525"/>
      <c r="M562" s="242"/>
      <c r="N562" s="525"/>
      <c r="O562" s="525"/>
      <c r="P562" s="525"/>
      <c r="Q562" s="525"/>
      <c r="R562" s="242"/>
      <c r="S562" s="242"/>
      <c r="T562" s="242"/>
      <c r="U562" s="242"/>
      <c r="V562" s="242"/>
      <c r="W562" s="242"/>
      <c r="X562" s="242"/>
      <c r="Y562" s="242"/>
      <c r="Z562" s="242"/>
      <c r="AA562" s="242"/>
      <c r="AB562" s="242"/>
      <c r="AC562" s="242"/>
      <c r="AD562" s="242"/>
      <c r="AE562" s="242"/>
      <c r="AF562" s="242"/>
    </row>
    <row r="563">
      <c r="A563" s="242"/>
      <c r="B563" s="242"/>
      <c r="C563" s="242"/>
      <c r="D563" s="13"/>
      <c r="E563" s="525"/>
      <c r="F563" s="525"/>
      <c r="G563" s="525"/>
      <c r="H563" s="242"/>
      <c r="I563" s="525"/>
      <c r="J563" s="525"/>
      <c r="K563" s="525"/>
      <c r="L563" s="525"/>
      <c r="M563" s="242"/>
      <c r="N563" s="525"/>
      <c r="O563" s="525"/>
      <c r="P563" s="525"/>
      <c r="Q563" s="525"/>
      <c r="R563" s="242"/>
      <c r="S563" s="242"/>
      <c r="T563" s="242"/>
      <c r="U563" s="242"/>
      <c r="V563" s="242"/>
      <c r="W563" s="242"/>
      <c r="X563" s="242"/>
      <c r="Y563" s="242"/>
      <c r="Z563" s="242"/>
      <c r="AA563" s="242"/>
      <c r="AB563" s="242"/>
      <c r="AC563" s="242"/>
      <c r="AD563" s="242"/>
      <c r="AE563" s="242"/>
      <c r="AF563" s="242"/>
    </row>
    <row r="564">
      <c r="A564" s="242"/>
      <c r="B564" s="242"/>
      <c r="C564" s="242"/>
      <c r="D564" s="13"/>
      <c r="E564" s="525"/>
      <c r="F564" s="525"/>
      <c r="G564" s="525"/>
      <c r="H564" s="242"/>
      <c r="I564" s="525"/>
      <c r="J564" s="525"/>
      <c r="K564" s="525"/>
      <c r="L564" s="525"/>
      <c r="M564" s="242"/>
      <c r="N564" s="525"/>
      <c r="O564" s="525"/>
      <c r="P564" s="525"/>
      <c r="Q564" s="525"/>
      <c r="R564" s="242"/>
      <c r="S564" s="242"/>
      <c r="T564" s="242"/>
      <c r="U564" s="242"/>
      <c r="V564" s="242"/>
      <c r="W564" s="242"/>
      <c r="X564" s="242"/>
      <c r="Y564" s="242"/>
      <c r="Z564" s="242"/>
      <c r="AA564" s="242"/>
      <c r="AB564" s="242"/>
      <c r="AC564" s="242"/>
      <c r="AD564" s="242"/>
      <c r="AE564" s="242"/>
      <c r="AF564" s="242"/>
    </row>
    <row r="565">
      <c r="A565" s="242"/>
      <c r="B565" s="242"/>
      <c r="C565" s="242"/>
      <c r="D565" s="13"/>
      <c r="E565" s="525"/>
      <c r="F565" s="525"/>
      <c r="G565" s="525"/>
      <c r="H565" s="242"/>
      <c r="I565" s="525"/>
      <c r="J565" s="525"/>
      <c r="K565" s="525"/>
      <c r="L565" s="525"/>
      <c r="M565" s="242"/>
      <c r="N565" s="525"/>
      <c r="O565" s="525"/>
      <c r="P565" s="525"/>
      <c r="Q565" s="525"/>
      <c r="R565" s="242"/>
      <c r="S565" s="242"/>
      <c r="T565" s="242"/>
      <c r="U565" s="242"/>
      <c r="V565" s="242"/>
      <c r="W565" s="242"/>
      <c r="X565" s="242"/>
      <c r="Y565" s="242"/>
      <c r="Z565" s="242"/>
      <c r="AA565" s="242"/>
      <c r="AB565" s="242"/>
      <c r="AC565" s="242"/>
      <c r="AD565" s="242"/>
      <c r="AE565" s="242"/>
      <c r="AF565" s="242"/>
    </row>
    <row r="566">
      <c r="A566" s="242"/>
      <c r="B566" s="242"/>
      <c r="C566" s="242"/>
      <c r="D566" s="13"/>
      <c r="E566" s="525"/>
      <c r="F566" s="525"/>
      <c r="G566" s="525"/>
      <c r="H566" s="242"/>
      <c r="I566" s="525"/>
      <c r="J566" s="525"/>
      <c r="K566" s="525"/>
      <c r="L566" s="525"/>
      <c r="M566" s="242"/>
      <c r="N566" s="525"/>
      <c r="O566" s="525"/>
      <c r="P566" s="525"/>
      <c r="Q566" s="525"/>
      <c r="R566" s="242"/>
      <c r="S566" s="242"/>
      <c r="T566" s="242"/>
      <c r="U566" s="242"/>
      <c r="V566" s="242"/>
      <c r="W566" s="242"/>
      <c r="X566" s="242"/>
      <c r="Y566" s="242"/>
      <c r="Z566" s="242"/>
      <c r="AA566" s="242"/>
      <c r="AB566" s="242"/>
      <c r="AC566" s="242"/>
      <c r="AD566" s="242"/>
      <c r="AE566" s="242"/>
      <c r="AF566" s="242"/>
    </row>
    <row r="567">
      <c r="A567" s="242"/>
      <c r="B567" s="242"/>
      <c r="C567" s="242"/>
      <c r="D567" s="13"/>
      <c r="E567" s="525"/>
      <c r="F567" s="525"/>
      <c r="G567" s="525"/>
      <c r="H567" s="242"/>
      <c r="I567" s="525"/>
      <c r="J567" s="525"/>
      <c r="K567" s="525"/>
      <c r="L567" s="525"/>
      <c r="M567" s="242"/>
      <c r="N567" s="525"/>
      <c r="O567" s="525"/>
      <c r="P567" s="525"/>
      <c r="Q567" s="525"/>
      <c r="R567" s="242"/>
      <c r="S567" s="242"/>
      <c r="T567" s="242"/>
      <c r="U567" s="242"/>
      <c r="V567" s="242"/>
      <c r="W567" s="242"/>
      <c r="X567" s="242"/>
      <c r="Y567" s="242"/>
      <c r="Z567" s="242"/>
      <c r="AA567" s="242"/>
      <c r="AB567" s="242"/>
      <c r="AC567" s="242"/>
      <c r="AD567" s="242"/>
      <c r="AE567" s="242"/>
      <c r="AF567" s="242"/>
    </row>
    <row r="568">
      <c r="A568" s="242"/>
      <c r="B568" s="242"/>
      <c r="C568" s="242"/>
      <c r="D568" s="13"/>
      <c r="E568" s="525"/>
      <c r="F568" s="525"/>
      <c r="G568" s="525"/>
      <c r="H568" s="242"/>
      <c r="I568" s="525"/>
      <c r="J568" s="525"/>
      <c r="K568" s="525"/>
      <c r="L568" s="525"/>
      <c r="M568" s="242"/>
      <c r="N568" s="525"/>
      <c r="O568" s="525"/>
      <c r="P568" s="525"/>
      <c r="Q568" s="525"/>
      <c r="R568" s="242"/>
      <c r="S568" s="242"/>
      <c r="T568" s="242"/>
      <c r="U568" s="242"/>
      <c r="V568" s="242"/>
      <c r="W568" s="242"/>
      <c r="X568" s="242"/>
      <c r="Y568" s="242"/>
      <c r="Z568" s="242"/>
      <c r="AA568" s="242"/>
      <c r="AB568" s="242"/>
      <c r="AC568" s="242"/>
      <c r="AD568" s="242"/>
      <c r="AE568" s="242"/>
      <c r="AF568" s="242"/>
    </row>
    <row r="569">
      <c r="A569" s="242"/>
      <c r="B569" s="242"/>
      <c r="C569" s="242"/>
      <c r="D569" s="13"/>
      <c r="E569" s="525"/>
      <c r="F569" s="525"/>
      <c r="G569" s="525"/>
      <c r="H569" s="242"/>
      <c r="I569" s="525"/>
      <c r="J569" s="525"/>
      <c r="K569" s="525"/>
      <c r="L569" s="525"/>
      <c r="M569" s="242"/>
      <c r="N569" s="525"/>
      <c r="O569" s="525"/>
      <c r="P569" s="525"/>
      <c r="Q569" s="525"/>
      <c r="R569" s="242"/>
      <c r="S569" s="242"/>
      <c r="T569" s="242"/>
      <c r="U569" s="242"/>
      <c r="V569" s="242"/>
      <c r="W569" s="242"/>
      <c r="X569" s="242"/>
      <c r="Y569" s="242"/>
      <c r="Z569" s="242"/>
      <c r="AA569" s="242"/>
      <c r="AB569" s="242"/>
      <c r="AC569" s="242"/>
      <c r="AD569" s="242"/>
      <c r="AE569" s="242"/>
      <c r="AF569" s="242"/>
    </row>
    <row r="570">
      <c r="A570" s="242"/>
      <c r="B570" s="242"/>
      <c r="C570" s="242"/>
      <c r="D570" s="13"/>
      <c r="E570" s="525"/>
      <c r="F570" s="525"/>
      <c r="G570" s="525"/>
      <c r="H570" s="242"/>
      <c r="I570" s="525"/>
      <c r="J570" s="525"/>
      <c r="K570" s="525"/>
      <c r="L570" s="525"/>
      <c r="M570" s="242"/>
      <c r="N570" s="525"/>
      <c r="O570" s="525"/>
      <c r="P570" s="525"/>
      <c r="Q570" s="525"/>
      <c r="R570" s="242"/>
      <c r="S570" s="242"/>
      <c r="T570" s="242"/>
      <c r="U570" s="242"/>
      <c r="V570" s="242"/>
      <c r="W570" s="242"/>
      <c r="X570" s="242"/>
      <c r="Y570" s="242"/>
      <c r="Z570" s="242"/>
      <c r="AA570" s="242"/>
      <c r="AB570" s="242"/>
      <c r="AC570" s="242"/>
      <c r="AD570" s="242"/>
      <c r="AE570" s="242"/>
      <c r="AF570" s="242"/>
    </row>
    <row r="571">
      <c r="A571" s="242"/>
      <c r="B571" s="242"/>
      <c r="C571" s="242"/>
      <c r="D571" s="13"/>
      <c r="E571" s="525"/>
      <c r="F571" s="525"/>
      <c r="G571" s="525"/>
      <c r="H571" s="242"/>
      <c r="I571" s="525"/>
      <c r="J571" s="525"/>
      <c r="K571" s="525"/>
      <c r="L571" s="525"/>
      <c r="M571" s="242"/>
      <c r="N571" s="525"/>
      <c r="O571" s="525"/>
      <c r="P571" s="525"/>
      <c r="Q571" s="525"/>
      <c r="R571" s="242"/>
      <c r="S571" s="242"/>
      <c r="T571" s="242"/>
      <c r="U571" s="242"/>
      <c r="V571" s="242"/>
      <c r="W571" s="242"/>
      <c r="X571" s="242"/>
      <c r="Y571" s="242"/>
      <c r="Z571" s="242"/>
      <c r="AA571" s="242"/>
      <c r="AB571" s="242"/>
      <c r="AC571" s="242"/>
      <c r="AD571" s="242"/>
      <c r="AE571" s="242"/>
      <c r="AF571" s="242"/>
    </row>
    <row r="572">
      <c r="A572" s="242"/>
      <c r="B572" s="242"/>
      <c r="C572" s="242"/>
      <c r="D572" s="13"/>
      <c r="E572" s="525"/>
      <c r="F572" s="525"/>
      <c r="G572" s="525"/>
      <c r="H572" s="242"/>
      <c r="I572" s="525"/>
      <c r="J572" s="525"/>
      <c r="K572" s="525"/>
      <c r="L572" s="525"/>
      <c r="M572" s="242"/>
      <c r="N572" s="525"/>
      <c r="O572" s="525"/>
      <c r="P572" s="525"/>
      <c r="Q572" s="525"/>
      <c r="R572" s="242"/>
      <c r="S572" s="242"/>
      <c r="T572" s="242"/>
      <c r="U572" s="242"/>
      <c r="V572" s="242"/>
      <c r="W572" s="242"/>
      <c r="X572" s="242"/>
      <c r="Y572" s="242"/>
      <c r="Z572" s="242"/>
      <c r="AA572" s="242"/>
      <c r="AB572" s="242"/>
      <c r="AC572" s="242"/>
      <c r="AD572" s="242"/>
      <c r="AE572" s="242"/>
      <c r="AF572" s="242"/>
    </row>
    <row r="573">
      <c r="A573" s="242"/>
      <c r="B573" s="242"/>
      <c r="C573" s="242"/>
      <c r="D573" s="13"/>
      <c r="E573" s="525"/>
      <c r="F573" s="525"/>
      <c r="G573" s="525"/>
      <c r="H573" s="242"/>
      <c r="I573" s="525"/>
      <c r="J573" s="525"/>
      <c r="K573" s="525"/>
      <c r="L573" s="525"/>
      <c r="M573" s="242"/>
      <c r="N573" s="525"/>
      <c r="O573" s="525"/>
      <c r="P573" s="525"/>
      <c r="Q573" s="525"/>
      <c r="R573" s="242"/>
      <c r="S573" s="242"/>
      <c r="T573" s="242"/>
      <c r="U573" s="242"/>
      <c r="V573" s="242"/>
      <c r="W573" s="242"/>
      <c r="X573" s="242"/>
      <c r="Y573" s="242"/>
      <c r="Z573" s="242"/>
      <c r="AA573" s="242"/>
      <c r="AB573" s="242"/>
      <c r="AC573" s="242"/>
      <c r="AD573" s="242"/>
      <c r="AE573" s="242"/>
      <c r="AF573" s="242"/>
    </row>
    <row r="574">
      <c r="A574" s="242"/>
      <c r="B574" s="242"/>
      <c r="C574" s="242"/>
      <c r="D574" s="13"/>
      <c r="E574" s="525"/>
      <c r="F574" s="525"/>
      <c r="G574" s="525"/>
      <c r="H574" s="242"/>
      <c r="I574" s="525"/>
      <c r="J574" s="525"/>
      <c r="K574" s="525"/>
      <c r="L574" s="525"/>
      <c r="M574" s="242"/>
      <c r="N574" s="525"/>
      <c r="O574" s="525"/>
      <c r="P574" s="525"/>
      <c r="Q574" s="525"/>
      <c r="R574" s="242"/>
      <c r="S574" s="242"/>
      <c r="T574" s="242"/>
      <c r="U574" s="242"/>
      <c r="V574" s="242"/>
      <c r="W574" s="242"/>
      <c r="X574" s="242"/>
      <c r="Y574" s="242"/>
      <c r="Z574" s="242"/>
      <c r="AA574" s="242"/>
      <c r="AB574" s="242"/>
      <c r="AC574" s="242"/>
      <c r="AD574" s="242"/>
      <c r="AE574" s="242"/>
      <c r="AF574" s="242"/>
    </row>
    <row r="575">
      <c r="A575" s="242"/>
      <c r="B575" s="242"/>
      <c r="C575" s="242"/>
      <c r="D575" s="13"/>
      <c r="E575" s="525"/>
      <c r="F575" s="525"/>
      <c r="G575" s="525"/>
      <c r="H575" s="242"/>
      <c r="I575" s="525"/>
      <c r="J575" s="525"/>
      <c r="K575" s="525"/>
      <c r="L575" s="525"/>
      <c r="M575" s="242"/>
      <c r="N575" s="525"/>
      <c r="O575" s="525"/>
      <c r="P575" s="525"/>
      <c r="Q575" s="525"/>
      <c r="R575" s="242"/>
      <c r="S575" s="242"/>
      <c r="T575" s="242"/>
      <c r="U575" s="242"/>
      <c r="V575" s="242"/>
      <c r="W575" s="242"/>
      <c r="X575" s="242"/>
      <c r="Y575" s="242"/>
      <c r="Z575" s="242"/>
      <c r="AA575" s="242"/>
      <c r="AB575" s="242"/>
      <c r="AC575" s="242"/>
      <c r="AD575" s="242"/>
      <c r="AE575" s="242"/>
      <c r="AF575" s="242"/>
    </row>
    <row r="576">
      <c r="A576" s="242"/>
      <c r="B576" s="242"/>
      <c r="C576" s="242"/>
      <c r="D576" s="13"/>
      <c r="E576" s="525"/>
      <c r="F576" s="525"/>
      <c r="G576" s="525"/>
      <c r="H576" s="242"/>
      <c r="I576" s="525"/>
      <c r="J576" s="525"/>
      <c r="K576" s="525"/>
      <c r="L576" s="525"/>
      <c r="M576" s="242"/>
      <c r="N576" s="525"/>
      <c r="O576" s="525"/>
      <c r="P576" s="525"/>
      <c r="Q576" s="525"/>
      <c r="R576" s="242"/>
      <c r="S576" s="242"/>
      <c r="T576" s="242"/>
      <c r="U576" s="242"/>
      <c r="V576" s="242"/>
      <c r="W576" s="242"/>
      <c r="X576" s="242"/>
      <c r="Y576" s="242"/>
      <c r="Z576" s="242"/>
      <c r="AA576" s="242"/>
      <c r="AB576" s="242"/>
      <c r="AC576" s="242"/>
      <c r="AD576" s="242"/>
      <c r="AE576" s="242"/>
      <c r="AF576" s="242"/>
    </row>
    <row r="577">
      <c r="A577" s="242"/>
      <c r="B577" s="242"/>
      <c r="C577" s="242"/>
      <c r="D577" s="13"/>
      <c r="E577" s="525"/>
      <c r="F577" s="525"/>
      <c r="G577" s="525"/>
      <c r="H577" s="242"/>
      <c r="I577" s="525"/>
      <c r="J577" s="525"/>
      <c r="K577" s="525"/>
      <c r="L577" s="525"/>
      <c r="M577" s="242"/>
      <c r="N577" s="525"/>
      <c r="O577" s="525"/>
      <c r="P577" s="525"/>
      <c r="Q577" s="525"/>
      <c r="R577" s="242"/>
      <c r="S577" s="242"/>
      <c r="T577" s="242"/>
      <c r="U577" s="242"/>
      <c r="V577" s="242"/>
      <c r="W577" s="242"/>
      <c r="X577" s="242"/>
      <c r="Y577" s="242"/>
      <c r="Z577" s="242"/>
      <c r="AA577" s="242"/>
      <c r="AB577" s="242"/>
      <c r="AC577" s="242"/>
      <c r="AD577" s="242"/>
      <c r="AE577" s="242"/>
      <c r="AF577" s="242"/>
    </row>
    <row r="578">
      <c r="A578" s="242"/>
      <c r="B578" s="242"/>
      <c r="C578" s="242"/>
      <c r="D578" s="13"/>
      <c r="E578" s="525"/>
      <c r="F578" s="525"/>
      <c r="G578" s="525"/>
      <c r="H578" s="242"/>
      <c r="I578" s="525"/>
      <c r="J578" s="525"/>
      <c r="K578" s="525"/>
      <c r="L578" s="525"/>
      <c r="M578" s="242"/>
      <c r="N578" s="525"/>
      <c r="O578" s="525"/>
      <c r="P578" s="525"/>
      <c r="Q578" s="525"/>
      <c r="R578" s="242"/>
      <c r="S578" s="242"/>
      <c r="T578" s="242"/>
      <c r="U578" s="242"/>
      <c r="V578" s="242"/>
      <c r="W578" s="242"/>
      <c r="X578" s="242"/>
      <c r="Y578" s="242"/>
      <c r="Z578" s="242"/>
      <c r="AA578" s="242"/>
      <c r="AB578" s="242"/>
      <c r="AC578" s="242"/>
      <c r="AD578" s="242"/>
      <c r="AE578" s="242"/>
      <c r="AF578" s="242"/>
    </row>
    <row r="579">
      <c r="A579" s="242"/>
      <c r="B579" s="242"/>
      <c r="C579" s="242"/>
      <c r="D579" s="13"/>
      <c r="E579" s="525"/>
      <c r="F579" s="525"/>
      <c r="G579" s="525"/>
      <c r="H579" s="242"/>
      <c r="I579" s="525"/>
      <c r="J579" s="525"/>
      <c r="K579" s="525"/>
      <c r="L579" s="525"/>
      <c r="M579" s="242"/>
      <c r="N579" s="525"/>
      <c r="O579" s="525"/>
      <c r="P579" s="525"/>
      <c r="Q579" s="525"/>
      <c r="R579" s="242"/>
      <c r="S579" s="242"/>
      <c r="T579" s="242"/>
      <c r="U579" s="242"/>
      <c r="V579" s="242"/>
      <c r="W579" s="242"/>
      <c r="X579" s="242"/>
      <c r="Y579" s="242"/>
      <c r="Z579" s="242"/>
      <c r="AA579" s="242"/>
      <c r="AB579" s="242"/>
      <c r="AC579" s="242"/>
      <c r="AD579" s="242"/>
      <c r="AE579" s="242"/>
      <c r="AF579" s="242"/>
    </row>
    <row r="580">
      <c r="A580" s="242"/>
      <c r="B580" s="242"/>
      <c r="C580" s="242"/>
      <c r="D580" s="13"/>
      <c r="E580" s="525"/>
      <c r="F580" s="525"/>
      <c r="G580" s="525"/>
      <c r="H580" s="242"/>
      <c r="I580" s="525"/>
      <c r="J580" s="525"/>
      <c r="K580" s="525"/>
      <c r="L580" s="525"/>
      <c r="M580" s="242"/>
      <c r="N580" s="525"/>
      <c r="O580" s="525"/>
      <c r="P580" s="525"/>
      <c r="Q580" s="525"/>
      <c r="R580" s="242"/>
      <c r="S580" s="242"/>
      <c r="T580" s="242"/>
      <c r="U580" s="242"/>
      <c r="V580" s="242"/>
      <c r="W580" s="242"/>
      <c r="X580" s="242"/>
      <c r="Y580" s="242"/>
      <c r="Z580" s="242"/>
      <c r="AA580" s="242"/>
      <c r="AB580" s="242"/>
      <c r="AC580" s="242"/>
      <c r="AD580" s="242"/>
      <c r="AE580" s="242"/>
      <c r="AF580" s="242"/>
    </row>
    <row r="581">
      <c r="A581" s="242"/>
      <c r="B581" s="242"/>
      <c r="C581" s="242"/>
      <c r="D581" s="13"/>
      <c r="E581" s="525"/>
      <c r="F581" s="525"/>
      <c r="G581" s="525"/>
      <c r="H581" s="242"/>
      <c r="I581" s="525"/>
      <c r="J581" s="525"/>
      <c r="K581" s="525"/>
      <c r="L581" s="525"/>
      <c r="M581" s="242"/>
      <c r="N581" s="525"/>
      <c r="O581" s="525"/>
      <c r="P581" s="525"/>
      <c r="Q581" s="525"/>
      <c r="R581" s="242"/>
      <c r="S581" s="242"/>
      <c r="T581" s="242"/>
      <c r="U581" s="242"/>
      <c r="V581" s="242"/>
      <c r="W581" s="242"/>
      <c r="X581" s="242"/>
      <c r="Y581" s="242"/>
      <c r="Z581" s="242"/>
      <c r="AA581" s="242"/>
      <c r="AB581" s="242"/>
      <c r="AC581" s="242"/>
      <c r="AD581" s="242"/>
      <c r="AE581" s="242"/>
      <c r="AF581" s="242"/>
    </row>
    <row r="582">
      <c r="A582" s="242"/>
      <c r="B582" s="242"/>
      <c r="C582" s="242"/>
      <c r="D582" s="13"/>
      <c r="E582" s="525"/>
      <c r="F582" s="525"/>
      <c r="G582" s="525"/>
      <c r="H582" s="242"/>
      <c r="I582" s="525"/>
      <c r="J582" s="525"/>
      <c r="K582" s="525"/>
      <c r="L582" s="525"/>
      <c r="M582" s="242"/>
      <c r="N582" s="525"/>
      <c r="O582" s="525"/>
      <c r="P582" s="525"/>
      <c r="Q582" s="525"/>
      <c r="R582" s="242"/>
      <c r="S582" s="242"/>
      <c r="T582" s="242"/>
      <c r="U582" s="242"/>
      <c r="V582" s="242"/>
      <c r="W582" s="242"/>
      <c r="X582" s="242"/>
      <c r="Y582" s="242"/>
      <c r="Z582" s="242"/>
      <c r="AA582" s="242"/>
      <c r="AB582" s="242"/>
      <c r="AC582" s="242"/>
      <c r="AD582" s="242"/>
      <c r="AE582" s="242"/>
      <c r="AF582" s="242"/>
    </row>
    <row r="583">
      <c r="A583" s="242"/>
      <c r="B583" s="242"/>
      <c r="C583" s="242"/>
      <c r="D583" s="13"/>
      <c r="E583" s="525"/>
      <c r="F583" s="525"/>
      <c r="G583" s="525"/>
      <c r="H583" s="242"/>
      <c r="I583" s="525"/>
      <c r="J583" s="525"/>
      <c r="K583" s="525"/>
      <c r="L583" s="525"/>
      <c r="M583" s="242"/>
      <c r="N583" s="525"/>
      <c r="O583" s="525"/>
      <c r="P583" s="525"/>
      <c r="Q583" s="525"/>
      <c r="R583" s="242"/>
      <c r="S583" s="242"/>
      <c r="T583" s="242"/>
      <c r="U583" s="242"/>
      <c r="V583" s="242"/>
      <c r="W583" s="242"/>
      <c r="X583" s="242"/>
      <c r="Y583" s="242"/>
      <c r="Z583" s="242"/>
      <c r="AA583" s="242"/>
      <c r="AB583" s="242"/>
      <c r="AC583" s="242"/>
      <c r="AD583" s="242"/>
      <c r="AE583" s="242"/>
      <c r="AF583" s="242"/>
    </row>
    <row r="584">
      <c r="A584" s="242"/>
      <c r="B584" s="242"/>
      <c r="C584" s="242"/>
      <c r="D584" s="13"/>
      <c r="E584" s="525"/>
      <c r="F584" s="525"/>
      <c r="G584" s="525"/>
      <c r="H584" s="242"/>
      <c r="I584" s="525"/>
      <c r="J584" s="525"/>
      <c r="K584" s="525"/>
      <c r="L584" s="525"/>
      <c r="M584" s="242"/>
      <c r="N584" s="525"/>
      <c r="O584" s="525"/>
      <c r="P584" s="525"/>
      <c r="Q584" s="525"/>
      <c r="R584" s="242"/>
      <c r="S584" s="242"/>
      <c r="T584" s="242"/>
      <c r="U584" s="242"/>
      <c r="V584" s="242"/>
      <c r="W584" s="242"/>
      <c r="X584" s="242"/>
      <c r="Y584" s="242"/>
      <c r="Z584" s="242"/>
      <c r="AA584" s="242"/>
      <c r="AB584" s="242"/>
      <c r="AC584" s="242"/>
      <c r="AD584" s="242"/>
      <c r="AE584" s="242"/>
      <c r="AF584" s="242"/>
    </row>
    <row r="585">
      <c r="A585" s="242"/>
      <c r="B585" s="242"/>
      <c r="C585" s="242"/>
      <c r="D585" s="13"/>
      <c r="E585" s="525"/>
      <c r="F585" s="525"/>
      <c r="G585" s="525"/>
      <c r="H585" s="242"/>
      <c r="I585" s="525"/>
      <c r="J585" s="525"/>
      <c r="K585" s="525"/>
      <c r="L585" s="525"/>
      <c r="M585" s="242"/>
      <c r="N585" s="525"/>
      <c r="O585" s="525"/>
      <c r="P585" s="525"/>
      <c r="Q585" s="525"/>
      <c r="R585" s="242"/>
      <c r="S585" s="242"/>
      <c r="T585" s="242"/>
      <c r="U585" s="242"/>
      <c r="V585" s="242"/>
      <c r="W585" s="242"/>
      <c r="X585" s="242"/>
      <c r="Y585" s="242"/>
      <c r="Z585" s="242"/>
      <c r="AA585" s="242"/>
      <c r="AB585" s="242"/>
      <c r="AC585" s="242"/>
      <c r="AD585" s="242"/>
      <c r="AE585" s="242"/>
      <c r="AF585" s="242"/>
    </row>
    <row r="586">
      <c r="A586" s="242"/>
      <c r="B586" s="242"/>
      <c r="C586" s="242"/>
      <c r="D586" s="13"/>
      <c r="E586" s="525"/>
      <c r="F586" s="525"/>
      <c r="G586" s="525"/>
      <c r="H586" s="242"/>
      <c r="I586" s="525"/>
      <c r="J586" s="525"/>
      <c r="K586" s="525"/>
      <c r="L586" s="525"/>
      <c r="M586" s="242"/>
      <c r="N586" s="525"/>
      <c r="O586" s="525"/>
      <c r="P586" s="525"/>
      <c r="Q586" s="525"/>
      <c r="R586" s="242"/>
      <c r="S586" s="242"/>
      <c r="T586" s="242"/>
      <c r="U586" s="242"/>
      <c r="V586" s="242"/>
      <c r="W586" s="242"/>
      <c r="X586" s="242"/>
      <c r="Y586" s="242"/>
      <c r="Z586" s="242"/>
      <c r="AA586" s="242"/>
      <c r="AB586" s="242"/>
      <c r="AC586" s="242"/>
      <c r="AD586" s="242"/>
      <c r="AE586" s="242"/>
      <c r="AF586" s="242"/>
    </row>
    <row r="587">
      <c r="A587" s="242"/>
      <c r="B587" s="242"/>
      <c r="C587" s="242"/>
      <c r="D587" s="13"/>
      <c r="E587" s="525"/>
      <c r="F587" s="525"/>
      <c r="G587" s="525"/>
      <c r="H587" s="242"/>
      <c r="I587" s="525"/>
      <c r="J587" s="525"/>
      <c r="K587" s="525"/>
      <c r="L587" s="525"/>
      <c r="M587" s="242"/>
      <c r="N587" s="525"/>
      <c r="O587" s="525"/>
      <c r="P587" s="525"/>
      <c r="Q587" s="525"/>
      <c r="R587" s="242"/>
      <c r="S587" s="242"/>
      <c r="T587" s="242"/>
      <c r="U587" s="242"/>
      <c r="V587" s="242"/>
      <c r="W587" s="242"/>
      <c r="X587" s="242"/>
      <c r="Y587" s="242"/>
      <c r="Z587" s="242"/>
      <c r="AA587" s="242"/>
      <c r="AB587" s="242"/>
      <c r="AC587" s="242"/>
      <c r="AD587" s="242"/>
      <c r="AE587" s="242"/>
      <c r="AF587" s="242"/>
    </row>
    <row r="588">
      <c r="A588" s="242"/>
      <c r="B588" s="242"/>
      <c r="C588" s="242"/>
      <c r="D588" s="13"/>
      <c r="E588" s="525"/>
      <c r="F588" s="525"/>
      <c r="G588" s="525"/>
      <c r="H588" s="242"/>
      <c r="I588" s="525"/>
      <c r="J588" s="525"/>
      <c r="K588" s="525"/>
      <c r="L588" s="525"/>
      <c r="M588" s="242"/>
      <c r="N588" s="525"/>
      <c r="O588" s="525"/>
      <c r="P588" s="525"/>
      <c r="Q588" s="525"/>
      <c r="R588" s="242"/>
      <c r="S588" s="242"/>
      <c r="T588" s="242"/>
      <c r="U588" s="242"/>
      <c r="V588" s="242"/>
      <c r="W588" s="242"/>
      <c r="X588" s="242"/>
      <c r="Y588" s="242"/>
      <c r="Z588" s="242"/>
      <c r="AA588" s="242"/>
      <c r="AB588" s="242"/>
      <c r="AC588" s="242"/>
      <c r="AD588" s="242"/>
      <c r="AE588" s="242"/>
      <c r="AF588" s="242"/>
    </row>
    <row r="589">
      <c r="A589" s="242"/>
      <c r="B589" s="242"/>
      <c r="C589" s="242"/>
      <c r="D589" s="13"/>
      <c r="E589" s="525"/>
      <c r="F589" s="525"/>
      <c r="G589" s="525"/>
      <c r="H589" s="242"/>
      <c r="I589" s="525"/>
      <c r="J589" s="525"/>
      <c r="K589" s="525"/>
      <c r="L589" s="525"/>
      <c r="M589" s="242"/>
      <c r="N589" s="525"/>
      <c r="O589" s="525"/>
      <c r="P589" s="525"/>
      <c r="Q589" s="525"/>
      <c r="R589" s="242"/>
      <c r="S589" s="242"/>
      <c r="T589" s="242"/>
      <c r="U589" s="242"/>
      <c r="V589" s="242"/>
      <c r="W589" s="242"/>
      <c r="X589" s="242"/>
      <c r="Y589" s="242"/>
      <c r="Z589" s="242"/>
      <c r="AA589" s="242"/>
      <c r="AB589" s="242"/>
      <c r="AC589" s="242"/>
      <c r="AD589" s="242"/>
      <c r="AE589" s="242"/>
      <c r="AF589" s="242"/>
    </row>
    <row r="590">
      <c r="A590" s="242"/>
      <c r="B590" s="242"/>
      <c r="C590" s="242"/>
      <c r="D590" s="13"/>
      <c r="E590" s="525"/>
      <c r="F590" s="525"/>
      <c r="G590" s="525"/>
      <c r="H590" s="242"/>
      <c r="I590" s="525"/>
      <c r="J590" s="525"/>
      <c r="K590" s="525"/>
      <c r="L590" s="525"/>
      <c r="M590" s="242"/>
      <c r="N590" s="525"/>
      <c r="O590" s="525"/>
      <c r="P590" s="525"/>
      <c r="Q590" s="525"/>
      <c r="R590" s="242"/>
      <c r="S590" s="242"/>
      <c r="T590" s="242"/>
      <c r="U590" s="242"/>
      <c r="V590" s="242"/>
      <c r="W590" s="242"/>
      <c r="X590" s="242"/>
      <c r="Y590" s="242"/>
      <c r="Z590" s="242"/>
      <c r="AA590" s="242"/>
      <c r="AB590" s="242"/>
      <c r="AC590" s="242"/>
      <c r="AD590" s="242"/>
      <c r="AE590" s="242"/>
      <c r="AF590" s="242"/>
    </row>
    <row r="591">
      <c r="A591" s="242"/>
      <c r="B591" s="242"/>
      <c r="C591" s="242"/>
      <c r="D591" s="13"/>
      <c r="E591" s="525"/>
      <c r="F591" s="525"/>
      <c r="G591" s="525"/>
      <c r="H591" s="242"/>
      <c r="I591" s="525"/>
      <c r="J591" s="525"/>
      <c r="K591" s="525"/>
      <c r="L591" s="525"/>
      <c r="M591" s="242"/>
      <c r="N591" s="525"/>
      <c r="O591" s="525"/>
      <c r="P591" s="525"/>
      <c r="Q591" s="525"/>
      <c r="R591" s="242"/>
      <c r="S591" s="242"/>
      <c r="T591" s="242"/>
      <c r="U591" s="242"/>
      <c r="V591" s="242"/>
      <c r="W591" s="242"/>
      <c r="X591" s="242"/>
      <c r="Y591" s="242"/>
      <c r="Z591" s="242"/>
      <c r="AA591" s="242"/>
      <c r="AB591" s="242"/>
      <c r="AC591" s="242"/>
      <c r="AD591" s="242"/>
      <c r="AE591" s="242"/>
      <c r="AF591" s="242"/>
    </row>
    <row r="592">
      <c r="A592" s="242"/>
      <c r="B592" s="242"/>
      <c r="C592" s="242"/>
      <c r="D592" s="13"/>
      <c r="E592" s="525"/>
      <c r="F592" s="525"/>
      <c r="G592" s="525"/>
      <c r="H592" s="242"/>
      <c r="I592" s="525"/>
      <c r="J592" s="525"/>
      <c r="K592" s="525"/>
      <c r="L592" s="525"/>
      <c r="M592" s="242"/>
      <c r="N592" s="525"/>
      <c r="O592" s="525"/>
      <c r="P592" s="525"/>
      <c r="Q592" s="525"/>
      <c r="R592" s="242"/>
      <c r="S592" s="242"/>
      <c r="T592" s="242"/>
      <c r="U592" s="242"/>
      <c r="V592" s="242"/>
      <c r="W592" s="242"/>
      <c r="X592" s="242"/>
      <c r="Y592" s="242"/>
      <c r="Z592" s="242"/>
      <c r="AA592" s="242"/>
      <c r="AB592" s="242"/>
      <c r="AC592" s="242"/>
      <c r="AD592" s="242"/>
      <c r="AE592" s="242"/>
      <c r="AF592" s="242"/>
    </row>
    <row r="593">
      <c r="A593" s="242"/>
      <c r="B593" s="242"/>
      <c r="C593" s="242"/>
      <c r="D593" s="13"/>
      <c r="E593" s="525"/>
      <c r="F593" s="525"/>
      <c r="G593" s="525"/>
      <c r="H593" s="242"/>
      <c r="I593" s="525"/>
      <c r="J593" s="525"/>
      <c r="K593" s="525"/>
      <c r="L593" s="525"/>
      <c r="M593" s="242"/>
      <c r="N593" s="525"/>
      <c r="O593" s="525"/>
      <c r="P593" s="525"/>
      <c r="Q593" s="525"/>
      <c r="R593" s="242"/>
      <c r="S593" s="242"/>
      <c r="T593" s="242"/>
      <c r="U593" s="242"/>
      <c r="V593" s="242"/>
      <c r="W593" s="242"/>
      <c r="X593" s="242"/>
      <c r="Y593" s="242"/>
      <c r="Z593" s="242"/>
      <c r="AA593" s="242"/>
      <c r="AB593" s="242"/>
      <c r="AC593" s="242"/>
      <c r="AD593" s="242"/>
      <c r="AE593" s="242"/>
      <c r="AF593" s="242"/>
    </row>
    <row r="594">
      <c r="A594" s="242"/>
      <c r="B594" s="242"/>
      <c r="C594" s="242"/>
      <c r="D594" s="13"/>
      <c r="E594" s="525"/>
      <c r="F594" s="525"/>
      <c r="G594" s="525"/>
      <c r="H594" s="242"/>
      <c r="I594" s="525"/>
      <c r="J594" s="525"/>
      <c r="K594" s="525"/>
      <c r="L594" s="525"/>
      <c r="M594" s="242"/>
      <c r="N594" s="525"/>
      <c r="O594" s="525"/>
      <c r="P594" s="525"/>
      <c r="Q594" s="525"/>
      <c r="R594" s="242"/>
      <c r="S594" s="242"/>
      <c r="T594" s="242"/>
      <c r="U594" s="242"/>
      <c r="V594" s="242"/>
      <c r="W594" s="242"/>
      <c r="X594" s="242"/>
      <c r="Y594" s="242"/>
      <c r="Z594" s="242"/>
      <c r="AA594" s="242"/>
      <c r="AB594" s="242"/>
      <c r="AC594" s="242"/>
      <c r="AD594" s="242"/>
      <c r="AE594" s="242"/>
      <c r="AF594" s="242"/>
    </row>
    <row r="595">
      <c r="A595" s="242"/>
      <c r="B595" s="242"/>
      <c r="C595" s="242"/>
      <c r="D595" s="13"/>
      <c r="E595" s="525"/>
      <c r="F595" s="525"/>
      <c r="G595" s="525"/>
      <c r="H595" s="242"/>
      <c r="I595" s="525"/>
      <c r="J595" s="525"/>
      <c r="K595" s="525"/>
      <c r="L595" s="525"/>
      <c r="M595" s="242"/>
      <c r="N595" s="525"/>
      <c r="O595" s="525"/>
      <c r="P595" s="525"/>
      <c r="Q595" s="525"/>
      <c r="R595" s="242"/>
      <c r="S595" s="242"/>
      <c r="T595" s="242"/>
      <c r="U595" s="242"/>
      <c r="V595" s="242"/>
      <c r="W595" s="242"/>
      <c r="X595" s="242"/>
      <c r="Y595" s="242"/>
      <c r="Z595" s="242"/>
      <c r="AA595" s="242"/>
      <c r="AB595" s="242"/>
      <c r="AC595" s="242"/>
      <c r="AD595" s="242"/>
      <c r="AE595" s="242"/>
      <c r="AF595" s="242"/>
    </row>
    <row r="596">
      <c r="A596" s="242"/>
      <c r="B596" s="242"/>
      <c r="C596" s="242"/>
      <c r="D596" s="13"/>
      <c r="E596" s="525"/>
      <c r="F596" s="525"/>
      <c r="G596" s="525"/>
      <c r="H596" s="242"/>
      <c r="I596" s="525"/>
      <c r="J596" s="525"/>
      <c r="K596" s="525"/>
      <c r="L596" s="525"/>
      <c r="M596" s="242"/>
      <c r="N596" s="525"/>
      <c r="O596" s="525"/>
      <c r="P596" s="525"/>
      <c r="Q596" s="525"/>
      <c r="R596" s="242"/>
      <c r="S596" s="242"/>
      <c r="T596" s="242"/>
      <c r="U596" s="242"/>
      <c r="V596" s="242"/>
      <c r="W596" s="242"/>
      <c r="X596" s="242"/>
      <c r="Y596" s="242"/>
      <c r="Z596" s="242"/>
      <c r="AA596" s="242"/>
      <c r="AB596" s="242"/>
      <c r="AC596" s="242"/>
      <c r="AD596" s="242"/>
      <c r="AE596" s="242"/>
      <c r="AF596" s="242"/>
    </row>
    <row r="597">
      <c r="A597" s="242"/>
      <c r="B597" s="242"/>
      <c r="C597" s="242"/>
      <c r="D597" s="13"/>
      <c r="E597" s="525"/>
      <c r="F597" s="525"/>
      <c r="G597" s="525"/>
      <c r="H597" s="242"/>
      <c r="I597" s="525"/>
      <c r="J597" s="525"/>
      <c r="K597" s="525"/>
      <c r="L597" s="525"/>
      <c r="M597" s="242"/>
      <c r="N597" s="525"/>
      <c r="O597" s="525"/>
      <c r="P597" s="525"/>
      <c r="Q597" s="525"/>
      <c r="R597" s="242"/>
      <c r="S597" s="242"/>
      <c r="T597" s="242"/>
      <c r="U597" s="242"/>
      <c r="V597" s="242"/>
      <c r="W597" s="242"/>
      <c r="X597" s="242"/>
      <c r="Y597" s="242"/>
      <c r="Z597" s="242"/>
      <c r="AA597" s="242"/>
      <c r="AB597" s="242"/>
      <c r="AC597" s="242"/>
      <c r="AD597" s="242"/>
      <c r="AE597" s="242"/>
      <c r="AF597" s="242"/>
    </row>
    <row r="598">
      <c r="A598" s="242"/>
      <c r="B598" s="242"/>
      <c r="C598" s="242"/>
      <c r="D598" s="13"/>
      <c r="E598" s="525"/>
      <c r="F598" s="525"/>
      <c r="G598" s="525"/>
      <c r="H598" s="242"/>
      <c r="I598" s="525"/>
      <c r="J598" s="525"/>
      <c r="K598" s="525"/>
      <c r="L598" s="525"/>
      <c r="M598" s="242"/>
      <c r="N598" s="525"/>
      <c r="O598" s="525"/>
      <c r="P598" s="525"/>
      <c r="Q598" s="525"/>
      <c r="R598" s="242"/>
      <c r="S598" s="242"/>
      <c r="T598" s="242"/>
      <c r="U598" s="242"/>
      <c r="V598" s="242"/>
      <c r="W598" s="242"/>
      <c r="X598" s="242"/>
      <c r="Y598" s="242"/>
      <c r="Z598" s="242"/>
      <c r="AA598" s="242"/>
      <c r="AB598" s="242"/>
      <c r="AC598" s="242"/>
      <c r="AD598" s="242"/>
      <c r="AE598" s="242"/>
      <c r="AF598" s="242"/>
    </row>
    <row r="599">
      <c r="A599" s="242"/>
      <c r="B599" s="242"/>
      <c r="C599" s="242"/>
      <c r="D599" s="13"/>
      <c r="E599" s="525"/>
      <c r="F599" s="525"/>
      <c r="G599" s="525"/>
      <c r="H599" s="242"/>
      <c r="I599" s="525"/>
      <c r="J599" s="525"/>
      <c r="K599" s="525"/>
      <c r="L599" s="525"/>
      <c r="M599" s="242"/>
      <c r="N599" s="525"/>
      <c r="O599" s="525"/>
      <c r="P599" s="525"/>
      <c r="Q599" s="525"/>
      <c r="R599" s="242"/>
      <c r="S599" s="242"/>
      <c r="T599" s="242"/>
      <c r="U599" s="242"/>
      <c r="V599" s="242"/>
      <c r="W599" s="242"/>
      <c r="X599" s="242"/>
      <c r="Y599" s="242"/>
      <c r="Z599" s="242"/>
      <c r="AA599" s="242"/>
      <c r="AB599" s="242"/>
      <c r="AC599" s="242"/>
      <c r="AD599" s="242"/>
      <c r="AE599" s="242"/>
      <c r="AF599" s="242"/>
    </row>
    <row r="600">
      <c r="A600" s="242"/>
      <c r="B600" s="242"/>
      <c r="C600" s="242"/>
      <c r="D600" s="13"/>
      <c r="E600" s="525"/>
      <c r="F600" s="525"/>
      <c r="G600" s="525"/>
      <c r="H600" s="242"/>
      <c r="I600" s="525"/>
      <c r="J600" s="525"/>
      <c r="K600" s="525"/>
      <c r="L600" s="525"/>
      <c r="M600" s="242"/>
      <c r="N600" s="525"/>
      <c r="O600" s="525"/>
      <c r="P600" s="525"/>
      <c r="Q600" s="525"/>
      <c r="R600" s="242"/>
      <c r="S600" s="242"/>
      <c r="T600" s="242"/>
      <c r="U600" s="242"/>
      <c r="V600" s="242"/>
      <c r="W600" s="242"/>
      <c r="X600" s="242"/>
      <c r="Y600" s="242"/>
      <c r="Z600" s="242"/>
      <c r="AA600" s="242"/>
      <c r="AB600" s="242"/>
      <c r="AC600" s="242"/>
      <c r="AD600" s="242"/>
      <c r="AE600" s="242"/>
      <c r="AF600" s="242"/>
    </row>
    <row r="601">
      <c r="A601" s="242"/>
      <c r="B601" s="242"/>
      <c r="C601" s="242"/>
      <c r="D601" s="13"/>
      <c r="E601" s="525"/>
      <c r="F601" s="525"/>
      <c r="G601" s="525"/>
      <c r="H601" s="242"/>
      <c r="I601" s="525"/>
      <c r="J601" s="525"/>
      <c r="K601" s="525"/>
      <c r="L601" s="525"/>
      <c r="M601" s="242"/>
      <c r="N601" s="525"/>
      <c r="O601" s="525"/>
      <c r="P601" s="525"/>
      <c r="Q601" s="525"/>
      <c r="R601" s="242"/>
      <c r="S601" s="242"/>
      <c r="T601" s="242"/>
      <c r="U601" s="242"/>
      <c r="V601" s="242"/>
      <c r="W601" s="242"/>
      <c r="X601" s="242"/>
      <c r="Y601" s="242"/>
      <c r="Z601" s="242"/>
      <c r="AA601" s="242"/>
      <c r="AB601" s="242"/>
      <c r="AC601" s="242"/>
      <c r="AD601" s="242"/>
      <c r="AE601" s="242"/>
      <c r="AF601" s="242"/>
    </row>
    <row r="602">
      <c r="A602" s="242"/>
      <c r="B602" s="242"/>
      <c r="C602" s="242"/>
      <c r="D602" s="13"/>
      <c r="E602" s="525"/>
      <c r="F602" s="525"/>
      <c r="G602" s="525"/>
      <c r="H602" s="242"/>
      <c r="I602" s="525"/>
      <c r="J602" s="525"/>
      <c r="K602" s="525"/>
      <c r="L602" s="525"/>
      <c r="M602" s="242"/>
      <c r="N602" s="525"/>
      <c r="O602" s="525"/>
      <c r="P602" s="525"/>
      <c r="Q602" s="525"/>
      <c r="R602" s="242"/>
      <c r="S602" s="242"/>
      <c r="T602" s="242"/>
      <c r="U602" s="242"/>
      <c r="V602" s="242"/>
      <c r="W602" s="242"/>
      <c r="X602" s="242"/>
      <c r="Y602" s="242"/>
      <c r="Z602" s="242"/>
      <c r="AA602" s="242"/>
      <c r="AB602" s="242"/>
      <c r="AC602" s="242"/>
      <c r="AD602" s="242"/>
      <c r="AE602" s="242"/>
      <c r="AF602" s="242"/>
    </row>
    <row r="603">
      <c r="A603" s="242"/>
      <c r="B603" s="242"/>
      <c r="C603" s="242"/>
      <c r="D603" s="13"/>
      <c r="E603" s="525"/>
      <c r="F603" s="525"/>
      <c r="G603" s="525"/>
      <c r="H603" s="242"/>
      <c r="I603" s="525"/>
      <c r="J603" s="525"/>
      <c r="K603" s="525"/>
      <c r="L603" s="525"/>
      <c r="M603" s="242"/>
      <c r="N603" s="525"/>
      <c r="O603" s="525"/>
      <c r="P603" s="525"/>
      <c r="Q603" s="525"/>
      <c r="R603" s="242"/>
      <c r="S603" s="242"/>
      <c r="T603" s="242"/>
      <c r="U603" s="242"/>
      <c r="V603" s="242"/>
      <c r="W603" s="242"/>
      <c r="X603" s="242"/>
      <c r="Y603" s="242"/>
      <c r="Z603" s="242"/>
      <c r="AA603" s="242"/>
      <c r="AB603" s="242"/>
      <c r="AC603" s="242"/>
      <c r="AD603" s="242"/>
      <c r="AE603" s="242"/>
      <c r="AF603" s="242"/>
    </row>
    <row r="604">
      <c r="A604" s="242"/>
      <c r="B604" s="242"/>
      <c r="C604" s="242"/>
      <c r="D604" s="13"/>
      <c r="E604" s="525"/>
      <c r="F604" s="525"/>
      <c r="G604" s="525"/>
      <c r="H604" s="242"/>
      <c r="I604" s="525"/>
      <c r="J604" s="525"/>
      <c r="K604" s="525"/>
      <c r="L604" s="525"/>
      <c r="M604" s="242"/>
      <c r="N604" s="525"/>
      <c r="O604" s="525"/>
      <c r="P604" s="525"/>
      <c r="Q604" s="525"/>
      <c r="R604" s="242"/>
      <c r="S604" s="242"/>
      <c r="T604" s="242"/>
      <c r="U604" s="242"/>
      <c r="V604" s="242"/>
      <c r="W604" s="242"/>
      <c r="X604" s="242"/>
      <c r="Y604" s="242"/>
      <c r="Z604" s="242"/>
      <c r="AA604" s="242"/>
      <c r="AB604" s="242"/>
      <c r="AC604" s="242"/>
      <c r="AD604" s="242"/>
      <c r="AE604" s="242"/>
      <c r="AF604" s="242"/>
    </row>
    <row r="605">
      <c r="A605" s="242"/>
      <c r="B605" s="242"/>
      <c r="C605" s="242"/>
      <c r="D605" s="13"/>
      <c r="E605" s="525"/>
      <c r="F605" s="525"/>
      <c r="G605" s="525"/>
      <c r="H605" s="242"/>
      <c r="I605" s="525"/>
      <c r="J605" s="525"/>
      <c r="K605" s="525"/>
      <c r="L605" s="525"/>
      <c r="M605" s="242"/>
      <c r="N605" s="525"/>
      <c r="O605" s="525"/>
      <c r="P605" s="525"/>
      <c r="Q605" s="525"/>
      <c r="R605" s="242"/>
      <c r="S605" s="242"/>
      <c r="T605" s="242"/>
      <c r="U605" s="242"/>
      <c r="V605" s="242"/>
      <c r="W605" s="242"/>
      <c r="X605" s="242"/>
      <c r="Y605" s="242"/>
      <c r="Z605" s="242"/>
      <c r="AA605" s="242"/>
      <c r="AB605" s="242"/>
      <c r="AC605" s="242"/>
      <c r="AD605" s="242"/>
      <c r="AE605" s="242"/>
      <c r="AF605" s="242"/>
    </row>
    <row r="606">
      <c r="A606" s="242"/>
      <c r="B606" s="242"/>
      <c r="C606" s="242"/>
      <c r="D606" s="13"/>
      <c r="E606" s="525"/>
      <c r="F606" s="525"/>
      <c r="G606" s="525"/>
      <c r="H606" s="242"/>
      <c r="I606" s="525"/>
      <c r="J606" s="525"/>
      <c r="K606" s="525"/>
      <c r="L606" s="525"/>
      <c r="M606" s="242"/>
      <c r="N606" s="525"/>
      <c r="O606" s="525"/>
      <c r="P606" s="525"/>
      <c r="Q606" s="525"/>
      <c r="R606" s="242"/>
      <c r="S606" s="242"/>
      <c r="T606" s="242"/>
      <c r="U606" s="242"/>
      <c r="V606" s="242"/>
      <c r="W606" s="242"/>
      <c r="X606" s="242"/>
      <c r="Y606" s="242"/>
      <c r="Z606" s="242"/>
      <c r="AA606" s="242"/>
      <c r="AB606" s="242"/>
      <c r="AC606" s="242"/>
      <c r="AD606" s="242"/>
      <c r="AE606" s="242"/>
      <c r="AF606" s="242"/>
    </row>
    <row r="607">
      <c r="A607" s="242"/>
      <c r="B607" s="242"/>
      <c r="C607" s="242"/>
      <c r="D607" s="13"/>
      <c r="E607" s="525"/>
      <c r="F607" s="525"/>
      <c r="G607" s="525"/>
      <c r="H607" s="242"/>
      <c r="I607" s="525"/>
      <c r="J607" s="525"/>
      <c r="K607" s="525"/>
      <c r="L607" s="525"/>
      <c r="M607" s="242"/>
      <c r="N607" s="525"/>
      <c r="O607" s="525"/>
      <c r="P607" s="525"/>
      <c r="Q607" s="525"/>
      <c r="R607" s="242"/>
      <c r="S607" s="242"/>
      <c r="T607" s="242"/>
      <c r="U607" s="242"/>
      <c r="V607" s="242"/>
      <c r="W607" s="242"/>
      <c r="X607" s="242"/>
      <c r="Y607" s="242"/>
      <c r="Z607" s="242"/>
      <c r="AA607" s="242"/>
      <c r="AB607" s="242"/>
      <c r="AC607" s="242"/>
      <c r="AD607" s="242"/>
      <c r="AE607" s="242"/>
      <c r="AF607" s="242"/>
    </row>
    <row r="608">
      <c r="A608" s="242"/>
      <c r="B608" s="242"/>
      <c r="C608" s="242"/>
      <c r="D608" s="13"/>
      <c r="E608" s="525"/>
      <c r="F608" s="525"/>
      <c r="G608" s="525"/>
      <c r="H608" s="242"/>
      <c r="I608" s="525"/>
      <c r="J608" s="525"/>
      <c r="K608" s="525"/>
      <c r="L608" s="525"/>
      <c r="M608" s="242"/>
      <c r="N608" s="525"/>
      <c r="O608" s="525"/>
      <c r="P608" s="525"/>
      <c r="Q608" s="525"/>
      <c r="R608" s="242"/>
      <c r="S608" s="242"/>
      <c r="T608" s="242"/>
      <c r="U608" s="242"/>
      <c r="V608" s="242"/>
      <c r="W608" s="242"/>
      <c r="X608" s="242"/>
      <c r="Y608" s="242"/>
      <c r="Z608" s="242"/>
      <c r="AA608" s="242"/>
      <c r="AB608" s="242"/>
      <c r="AC608" s="242"/>
      <c r="AD608" s="242"/>
      <c r="AE608" s="242"/>
      <c r="AF608" s="242"/>
    </row>
    <row r="609">
      <c r="A609" s="242"/>
      <c r="B609" s="242"/>
      <c r="C609" s="242"/>
      <c r="D609" s="13"/>
      <c r="E609" s="525"/>
      <c r="F609" s="525"/>
      <c r="G609" s="525"/>
      <c r="H609" s="242"/>
      <c r="I609" s="525"/>
      <c r="J609" s="525"/>
      <c r="K609" s="525"/>
      <c r="L609" s="525"/>
      <c r="M609" s="242"/>
      <c r="N609" s="525"/>
      <c r="O609" s="525"/>
      <c r="P609" s="525"/>
      <c r="Q609" s="525"/>
      <c r="R609" s="242"/>
      <c r="S609" s="242"/>
      <c r="T609" s="242"/>
      <c r="U609" s="242"/>
      <c r="V609" s="242"/>
      <c r="W609" s="242"/>
      <c r="X609" s="242"/>
      <c r="Y609" s="242"/>
      <c r="Z609" s="242"/>
      <c r="AA609" s="242"/>
      <c r="AB609" s="242"/>
      <c r="AC609" s="242"/>
      <c r="AD609" s="242"/>
      <c r="AE609" s="242"/>
      <c r="AF609" s="242"/>
    </row>
    <row r="610">
      <c r="A610" s="242"/>
      <c r="B610" s="242"/>
      <c r="C610" s="242"/>
      <c r="D610" s="13"/>
      <c r="E610" s="525"/>
      <c r="F610" s="525"/>
      <c r="G610" s="525"/>
      <c r="H610" s="242"/>
      <c r="I610" s="525"/>
      <c r="J610" s="525"/>
      <c r="K610" s="525"/>
      <c r="L610" s="525"/>
      <c r="M610" s="242"/>
      <c r="N610" s="525"/>
      <c r="O610" s="525"/>
      <c r="P610" s="525"/>
      <c r="Q610" s="525"/>
      <c r="R610" s="242"/>
      <c r="S610" s="242"/>
      <c r="T610" s="242"/>
      <c r="U610" s="242"/>
      <c r="V610" s="242"/>
      <c r="W610" s="242"/>
      <c r="X610" s="242"/>
      <c r="Y610" s="242"/>
      <c r="Z610" s="242"/>
      <c r="AA610" s="242"/>
      <c r="AB610" s="242"/>
      <c r="AC610" s="242"/>
      <c r="AD610" s="242"/>
      <c r="AE610" s="242"/>
      <c r="AF610" s="242"/>
    </row>
    <row r="611">
      <c r="A611" s="242"/>
      <c r="B611" s="242"/>
      <c r="C611" s="242"/>
      <c r="D611" s="13"/>
      <c r="E611" s="525"/>
      <c r="F611" s="525"/>
      <c r="G611" s="525"/>
      <c r="H611" s="242"/>
      <c r="I611" s="525"/>
      <c r="J611" s="525"/>
      <c r="K611" s="525"/>
      <c r="L611" s="525"/>
      <c r="M611" s="242"/>
      <c r="N611" s="525"/>
      <c r="O611" s="525"/>
      <c r="P611" s="525"/>
      <c r="Q611" s="525"/>
      <c r="R611" s="242"/>
      <c r="S611" s="242"/>
      <c r="T611" s="242"/>
      <c r="U611" s="242"/>
      <c r="V611" s="242"/>
      <c r="W611" s="242"/>
      <c r="X611" s="242"/>
      <c r="Y611" s="242"/>
      <c r="Z611" s="242"/>
      <c r="AA611" s="242"/>
      <c r="AB611" s="242"/>
      <c r="AC611" s="242"/>
      <c r="AD611" s="242"/>
      <c r="AE611" s="242"/>
      <c r="AF611" s="242"/>
    </row>
    <row r="612">
      <c r="A612" s="242"/>
      <c r="B612" s="242"/>
      <c r="C612" s="242"/>
      <c r="D612" s="13"/>
      <c r="E612" s="525"/>
      <c r="F612" s="525"/>
      <c r="G612" s="525"/>
      <c r="H612" s="242"/>
      <c r="I612" s="525"/>
      <c r="J612" s="525"/>
      <c r="K612" s="525"/>
      <c r="L612" s="525"/>
      <c r="M612" s="242"/>
      <c r="N612" s="525"/>
      <c r="O612" s="525"/>
      <c r="P612" s="525"/>
      <c r="Q612" s="525"/>
      <c r="R612" s="242"/>
      <c r="S612" s="242"/>
      <c r="T612" s="242"/>
      <c r="U612" s="242"/>
      <c r="V612" s="242"/>
      <c r="W612" s="242"/>
      <c r="X612" s="242"/>
      <c r="Y612" s="242"/>
      <c r="Z612" s="242"/>
      <c r="AA612" s="242"/>
      <c r="AB612" s="242"/>
      <c r="AC612" s="242"/>
      <c r="AD612" s="242"/>
      <c r="AE612" s="242"/>
      <c r="AF612" s="242"/>
    </row>
    <row r="613">
      <c r="A613" s="242"/>
      <c r="B613" s="242"/>
      <c r="C613" s="242"/>
      <c r="D613" s="13"/>
      <c r="E613" s="525"/>
      <c r="F613" s="525"/>
      <c r="G613" s="525"/>
      <c r="H613" s="242"/>
      <c r="I613" s="525"/>
      <c r="J613" s="525"/>
      <c r="K613" s="525"/>
      <c r="L613" s="525"/>
      <c r="M613" s="242"/>
      <c r="N613" s="525"/>
      <c r="O613" s="525"/>
      <c r="P613" s="525"/>
      <c r="Q613" s="525"/>
      <c r="R613" s="242"/>
      <c r="S613" s="242"/>
      <c r="T613" s="242"/>
      <c r="U613" s="242"/>
      <c r="V613" s="242"/>
      <c r="W613" s="242"/>
      <c r="X613" s="242"/>
      <c r="Y613" s="242"/>
      <c r="Z613" s="242"/>
      <c r="AA613" s="242"/>
      <c r="AB613" s="242"/>
      <c r="AC613" s="242"/>
      <c r="AD613" s="242"/>
      <c r="AE613" s="242"/>
      <c r="AF613" s="242"/>
    </row>
    <row r="614">
      <c r="A614" s="242"/>
      <c r="B614" s="242"/>
      <c r="C614" s="242"/>
      <c r="D614" s="13"/>
      <c r="E614" s="525"/>
      <c r="F614" s="525"/>
      <c r="G614" s="525"/>
      <c r="H614" s="242"/>
      <c r="I614" s="525"/>
      <c r="J614" s="525"/>
      <c r="K614" s="525"/>
      <c r="L614" s="525"/>
      <c r="M614" s="242"/>
      <c r="N614" s="525"/>
      <c r="O614" s="525"/>
      <c r="P614" s="525"/>
      <c r="Q614" s="525"/>
      <c r="R614" s="242"/>
      <c r="S614" s="242"/>
      <c r="T614" s="242"/>
      <c r="U614" s="242"/>
      <c r="V614" s="242"/>
      <c r="W614" s="242"/>
      <c r="X614" s="242"/>
      <c r="Y614" s="242"/>
      <c r="Z614" s="242"/>
      <c r="AA614" s="242"/>
      <c r="AB614" s="242"/>
      <c r="AC614" s="242"/>
      <c r="AD614" s="242"/>
      <c r="AE614" s="242"/>
      <c r="AF614" s="242"/>
    </row>
    <row r="615">
      <c r="A615" s="242"/>
      <c r="B615" s="242"/>
      <c r="C615" s="242"/>
      <c r="D615" s="13"/>
      <c r="E615" s="525"/>
      <c r="F615" s="525"/>
      <c r="G615" s="525"/>
      <c r="H615" s="242"/>
      <c r="I615" s="525"/>
      <c r="J615" s="525"/>
      <c r="K615" s="525"/>
      <c r="L615" s="525"/>
      <c r="M615" s="242"/>
      <c r="N615" s="525"/>
      <c r="O615" s="525"/>
      <c r="P615" s="525"/>
      <c r="Q615" s="525"/>
      <c r="R615" s="242"/>
      <c r="S615" s="242"/>
      <c r="T615" s="242"/>
      <c r="U615" s="242"/>
      <c r="V615" s="242"/>
      <c r="W615" s="242"/>
      <c r="X615" s="242"/>
      <c r="Y615" s="242"/>
      <c r="Z615" s="242"/>
      <c r="AA615" s="242"/>
      <c r="AB615" s="242"/>
      <c r="AC615" s="242"/>
      <c r="AD615" s="242"/>
      <c r="AE615" s="242"/>
      <c r="AF615" s="242"/>
    </row>
    <row r="616">
      <c r="A616" s="242"/>
      <c r="B616" s="242"/>
      <c r="C616" s="242"/>
      <c r="D616" s="13"/>
      <c r="E616" s="525"/>
      <c r="F616" s="525"/>
      <c r="G616" s="525"/>
      <c r="H616" s="242"/>
      <c r="I616" s="525"/>
      <c r="J616" s="525"/>
      <c r="K616" s="525"/>
      <c r="L616" s="525"/>
      <c r="M616" s="242"/>
      <c r="N616" s="525"/>
      <c r="O616" s="525"/>
      <c r="P616" s="525"/>
      <c r="Q616" s="525"/>
      <c r="R616" s="242"/>
      <c r="S616" s="242"/>
      <c r="T616" s="242"/>
      <c r="U616" s="242"/>
      <c r="V616" s="242"/>
      <c r="W616" s="242"/>
      <c r="X616" s="242"/>
      <c r="Y616" s="242"/>
      <c r="Z616" s="242"/>
      <c r="AA616" s="242"/>
      <c r="AB616" s="242"/>
      <c r="AC616" s="242"/>
      <c r="AD616" s="242"/>
      <c r="AE616" s="242"/>
      <c r="AF616" s="242"/>
    </row>
    <row r="617">
      <c r="A617" s="242"/>
      <c r="B617" s="242"/>
      <c r="C617" s="242"/>
      <c r="D617" s="13"/>
      <c r="E617" s="525"/>
      <c r="F617" s="525"/>
      <c r="G617" s="525"/>
      <c r="H617" s="242"/>
      <c r="I617" s="525"/>
      <c r="J617" s="525"/>
      <c r="K617" s="525"/>
      <c r="L617" s="525"/>
      <c r="M617" s="242"/>
      <c r="N617" s="525"/>
      <c r="O617" s="525"/>
      <c r="P617" s="525"/>
      <c r="Q617" s="525"/>
      <c r="R617" s="242"/>
      <c r="S617" s="242"/>
      <c r="T617" s="242"/>
      <c r="U617" s="242"/>
      <c r="V617" s="242"/>
      <c r="W617" s="242"/>
      <c r="X617" s="242"/>
      <c r="Y617" s="242"/>
      <c r="Z617" s="242"/>
      <c r="AA617" s="242"/>
      <c r="AB617" s="242"/>
      <c r="AC617" s="242"/>
      <c r="AD617" s="242"/>
      <c r="AE617" s="242"/>
      <c r="AF617" s="242"/>
    </row>
    <row r="618">
      <c r="A618" s="242"/>
      <c r="B618" s="242"/>
      <c r="C618" s="242"/>
      <c r="D618" s="13"/>
      <c r="E618" s="525"/>
      <c r="F618" s="525"/>
      <c r="G618" s="525"/>
      <c r="H618" s="242"/>
      <c r="I618" s="525"/>
      <c r="J618" s="525"/>
      <c r="K618" s="525"/>
      <c r="L618" s="525"/>
      <c r="M618" s="242"/>
      <c r="N618" s="525"/>
      <c r="O618" s="525"/>
      <c r="P618" s="525"/>
      <c r="Q618" s="525"/>
      <c r="R618" s="242"/>
      <c r="S618" s="242"/>
      <c r="T618" s="242"/>
      <c r="U618" s="242"/>
      <c r="V618" s="242"/>
      <c r="W618" s="242"/>
      <c r="X618" s="242"/>
      <c r="Y618" s="242"/>
      <c r="Z618" s="242"/>
      <c r="AA618" s="242"/>
      <c r="AB618" s="242"/>
      <c r="AC618" s="242"/>
      <c r="AD618" s="242"/>
      <c r="AE618" s="242"/>
      <c r="AF618" s="242"/>
    </row>
    <row r="619">
      <c r="A619" s="242"/>
      <c r="B619" s="242"/>
      <c r="C619" s="242"/>
      <c r="D619" s="13"/>
      <c r="E619" s="525"/>
      <c r="F619" s="525"/>
      <c r="G619" s="525"/>
      <c r="H619" s="242"/>
      <c r="I619" s="525"/>
      <c r="J619" s="525"/>
      <c r="K619" s="525"/>
      <c r="L619" s="525"/>
      <c r="M619" s="242"/>
      <c r="N619" s="525"/>
      <c r="O619" s="525"/>
      <c r="P619" s="525"/>
      <c r="Q619" s="525"/>
      <c r="R619" s="242"/>
      <c r="S619" s="242"/>
      <c r="T619" s="242"/>
      <c r="U619" s="242"/>
      <c r="V619" s="242"/>
      <c r="W619" s="242"/>
      <c r="X619" s="242"/>
      <c r="Y619" s="242"/>
      <c r="Z619" s="242"/>
      <c r="AA619" s="242"/>
      <c r="AB619" s="242"/>
      <c r="AC619" s="242"/>
      <c r="AD619" s="242"/>
      <c r="AE619" s="242"/>
      <c r="AF619" s="242"/>
    </row>
    <row r="620">
      <c r="A620" s="242"/>
      <c r="B620" s="242"/>
      <c r="C620" s="242"/>
      <c r="D620" s="13"/>
      <c r="E620" s="525"/>
      <c r="F620" s="525"/>
      <c r="G620" s="525"/>
      <c r="H620" s="242"/>
      <c r="I620" s="525"/>
      <c r="J620" s="525"/>
      <c r="K620" s="525"/>
      <c r="L620" s="525"/>
      <c r="M620" s="242"/>
      <c r="N620" s="525"/>
      <c r="O620" s="525"/>
      <c r="P620" s="525"/>
      <c r="Q620" s="525"/>
      <c r="R620" s="242"/>
      <c r="S620" s="242"/>
      <c r="T620" s="242"/>
      <c r="U620" s="242"/>
      <c r="V620" s="242"/>
      <c r="W620" s="242"/>
      <c r="X620" s="242"/>
      <c r="Y620" s="242"/>
      <c r="Z620" s="242"/>
      <c r="AA620" s="242"/>
      <c r="AB620" s="242"/>
      <c r="AC620" s="242"/>
      <c r="AD620" s="242"/>
      <c r="AE620" s="242"/>
      <c r="AF620" s="242"/>
    </row>
    <row r="621">
      <c r="A621" s="242"/>
      <c r="B621" s="242"/>
      <c r="C621" s="242"/>
      <c r="D621" s="13"/>
      <c r="E621" s="525"/>
      <c r="F621" s="525"/>
      <c r="G621" s="525"/>
      <c r="H621" s="242"/>
      <c r="I621" s="525"/>
      <c r="J621" s="525"/>
      <c r="K621" s="525"/>
      <c r="L621" s="525"/>
      <c r="M621" s="242"/>
      <c r="N621" s="525"/>
      <c r="O621" s="525"/>
      <c r="P621" s="525"/>
      <c r="Q621" s="525"/>
      <c r="R621" s="242"/>
      <c r="S621" s="242"/>
      <c r="T621" s="242"/>
      <c r="U621" s="242"/>
      <c r="V621" s="242"/>
      <c r="W621" s="242"/>
      <c r="X621" s="242"/>
      <c r="Y621" s="242"/>
      <c r="Z621" s="242"/>
      <c r="AA621" s="242"/>
      <c r="AB621" s="242"/>
      <c r="AC621" s="242"/>
      <c r="AD621" s="242"/>
      <c r="AE621" s="242"/>
      <c r="AF621" s="242"/>
    </row>
    <row r="622">
      <c r="A622" s="242"/>
      <c r="B622" s="242"/>
      <c r="C622" s="242"/>
      <c r="D622" s="13"/>
      <c r="E622" s="525"/>
      <c r="F622" s="525"/>
      <c r="G622" s="525"/>
      <c r="H622" s="242"/>
      <c r="I622" s="525"/>
      <c r="J622" s="525"/>
      <c r="K622" s="525"/>
      <c r="L622" s="525"/>
      <c r="M622" s="242"/>
      <c r="N622" s="525"/>
      <c r="O622" s="525"/>
      <c r="P622" s="525"/>
      <c r="Q622" s="525"/>
      <c r="R622" s="242"/>
      <c r="S622" s="242"/>
      <c r="T622" s="242"/>
      <c r="U622" s="242"/>
      <c r="V622" s="242"/>
      <c r="W622" s="242"/>
      <c r="X622" s="242"/>
      <c r="Y622" s="242"/>
      <c r="Z622" s="242"/>
      <c r="AA622" s="242"/>
      <c r="AB622" s="242"/>
      <c r="AC622" s="242"/>
      <c r="AD622" s="242"/>
      <c r="AE622" s="242"/>
      <c r="AF622" s="242"/>
    </row>
    <row r="623">
      <c r="A623" s="242"/>
      <c r="B623" s="242"/>
      <c r="C623" s="242"/>
      <c r="D623" s="13"/>
      <c r="E623" s="525"/>
      <c r="F623" s="525"/>
      <c r="G623" s="525"/>
      <c r="H623" s="242"/>
      <c r="I623" s="525"/>
      <c r="J623" s="525"/>
      <c r="K623" s="525"/>
      <c r="L623" s="525"/>
      <c r="M623" s="242"/>
      <c r="N623" s="525"/>
      <c r="O623" s="525"/>
      <c r="P623" s="525"/>
      <c r="Q623" s="525"/>
      <c r="R623" s="242"/>
      <c r="S623" s="242"/>
      <c r="T623" s="242"/>
      <c r="U623" s="242"/>
      <c r="V623" s="242"/>
      <c r="W623" s="242"/>
      <c r="X623" s="242"/>
      <c r="Y623" s="242"/>
      <c r="Z623" s="242"/>
      <c r="AA623" s="242"/>
      <c r="AB623" s="242"/>
      <c r="AC623" s="242"/>
      <c r="AD623" s="242"/>
      <c r="AE623" s="242"/>
      <c r="AF623" s="242"/>
    </row>
    <row r="624">
      <c r="A624" s="242"/>
      <c r="B624" s="242"/>
      <c r="C624" s="242"/>
      <c r="D624" s="13"/>
      <c r="E624" s="525"/>
      <c r="F624" s="525"/>
      <c r="G624" s="525"/>
      <c r="H624" s="242"/>
      <c r="I624" s="525"/>
      <c r="J624" s="525"/>
      <c r="K624" s="525"/>
      <c r="L624" s="525"/>
      <c r="M624" s="242"/>
      <c r="N624" s="525"/>
      <c r="O624" s="525"/>
      <c r="P624" s="525"/>
      <c r="Q624" s="525"/>
      <c r="R624" s="242"/>
      <c r="S624" s="242"/>
      <c r="T624" s="242"/>
      <c r="U624" s="242"/>
      <c r="V624" s="242"/>
      <c r="W624" s="242"/>
      <c r="X624" s="242"/>
      <c r="Y624" s="242"/>
      <c r="Z624" s="242"/>
      <c r="AA624" s="242"/>
      <c r="AB624" s="242"/>
      <c r="AC624" s="242"/>
      <c r="AD624" s="242"/>
      <c r="AE624" s="242"/>
      <c r="AF624" s="242"/>
    </row>
    <row r="625">
      <c r="A625" s="242"/>
      <c r="B625" s="242"/>
      <c r="C625" s="242"/>
      <c r="D625" s="13"/>
      <c r="E625" s="525"/>
      <c r="F625" s="525"/>
      <c r="G625" s="525"/>
      <c r="H625" s="242"/>
      <c r="I625" s="525"/>
      <c r="J625" s="525"/>
      <c r="K625" s="525"/>
      <c r="L625" s="525"/>
      <c r="M625" s="242"/>
      <c r="N625" s="525"/>
      <c r="O625" s="525"/>
      <c r="P625" s="525"/>
      <c r="Q625" s="525"/>
      <c r="R625" s="242"/>
      <c r="S625" s="242"/>
      <c r="T625" s="242"/>
      <c r="U625" s="242"/>
      <c r="V625" s="242"/>
      <c r="W625" s="242"/>
      <c r="X625" s="242"/>
      <c r="Y625" s="242"/>
      <c r="Z625" s="242"/>
      <c r="AA625" s="242"/>
      <c r="AB625" s="242"/>
      <c r="AC625" s="242"/>
      <c r="AD625" s="242"/>
      <c r="AE625" s="242"/>
      <c r="AF625" s="242"/>
    </row>
    <row r="626">
      <c r="A626" s="242"/>
      <c r="B626" s="242"/>
      <c r="C626" s="242"/>
      <c r="D626" s="13"/>
      <c r="E626" s="525"/>
      <c r="F626" s="525"/>
      <c r="G626" s="525"/>
      <c r="H626" s="242"/>
      <c r="I626" s="525"/>
      <c r="J626" s="525"/>
      <c r="K626" s="525"/>
      <c r="L626" s="525"/>
      <c r="M626" s="242"/>
      <c r="N626" s="525"/>
      <c r="O626" s="525"/>
      <c r="P626" s="525"/>
      <c r="Q626" s="525"/>
      <c r="R626" s="242"/>
      <c r="S626" s="242"/>
      <c r="T626" s="242"/>
      <c r="U626" s="242"/>
      <c r="V626" s="242"/>
      <c r="W626" s="242"/>
      <c r="X626" s="242"/>
      <c r="Y626" s="242"/>
      <c r="Z626" s="242"/>
      <c r="AA626" s="242"/>
      <c r="AB626" s="242"/>
      <c r="AC626" s="242"/>
      <c r="AD626" s="242"/>
      <c r="AE626" s="242"/>
      <c r="AF626" s="242"/>
    </row>
    <row r="627">
      <c r="A627" s="242"/>
      <c r="B627" s="242"/>
      <c r="C627" s="242"/>
      <c r="D627" s="13"/>
      <c r="E627" s="525"/>
      <c r="F627" s="525"/>
      <c r="G627" s="525"/>
      <c r="H627" s="242"/>
      <c r="I627" s="525"/>
      <c r="J627" s="525"/>
      <c r="K627" s="525"/>
      <c r="L627" s="525"/>
      <c r="M627" s="242"/>
      <c r="N627" s="525"/>
      <c r="O627" s="525"/>
      <c r="P627" s="525"/>
      <c r="Q627" s="525"/>
      <c r="R627" s="242"/>
      <c r="S627" s="242"/>
      <c r="T627" s="242"/>
      <c r="U627" s="242"/>
      <c r="V627" s="242"/>
      <c r="W627" s="242"/>
      <c r="X627" s="242"/>
      <c r="Y627" s="242"/>
      <c r="Z627" s="242"/>
      <c r="AA627" s="242"/>
      <c r="AB627" s="242"/>
      <c r="AC627" s="242"/>
      <c r="AD627" s="242"/>
      <c r="AE627" s="242"/>
      <c r="AF627" s="242"/>
    </row>
    <row r="628">
      <c r="A628" s="242"/>
      <c r="B628" s="242"/>
      <c r="C628" s="242"/>
      <c r="D628" s="13"/>
      <c r="E628" s="525"/>
      <c r="F628" s="525"/>
      <c r="G628" s="525"/>
      <c r="H628" s="242"/>
      <c r="I628" s="525"/>
      <c r="J628" s="525"/>
      <c r="K628" s="525"/>
      <c r="L628" s="525"/>
      <c r="M628" s="242"/>
      <c r="N628" s="525"/>
      <c r="O628" s="525"/>
      <c r="P628" s="525"/>
      <c r="Q628" s="525"/>
      <c r="R628" s="242"/>
      <c r="S628" s="242"/>
      <c r="T628" s="242"/>
      <c r="U628" s="242"/>
      <c r="V628" s="242"/>
      <c r="W628" s="242"/>
      <c r="X628" s="242"/>
      <c r="Y628" s="242"/>
      <c r="Z628" s="242"/>
      <c r="AA628" s="242"/>
      <c r="AB628" s="242"/>
      <c r="AC628" s="242"/>
      <c r="AD628" s="242"/>
      <c r="AE628" s="242"/>
      <c r="AF628" s="242"/>
    </row>
    <row r="629">
      <c r="A629" s="242"/>
      <c r="B629" s="242"/>
      <c r="C629" s="242"/>
      <c r="D629" s="13"/>
      <c r="E629" s="525"/>
      <c r="F629" s="525"/>
      <c r="G629" s="525"/>
      <c r="H629" s="242"/>
      <c r="I629" s="525"/>
      <c r="J629" s="525"/>
      <c r="K629" s="525"/>
      <c r="L629" s="525"/>
      <c r="M629" s="242"/>
      <c r="N629" s="525"/>
      <c r="O629" s="525"/>
      <c r="P629" s="525"/>
      <c r="Q629" s="525"/>
      <c r="R629" s="242"/>
      <c r="S629" s="242"/>
      <c r="T629" s="242"/>
      <c r="U629" s="242"/>
      <c r="V629" s="242"/>
      <c r="W629" s="242"/>
      <c r="X629" s="242"/>
      <c r="Y629" s="242"/>
      <c r="Z629" s="242"/>
      <c r="AA629" s="242"/>
      <c r="AB629" s="242"/>
      <c r="AC629" s="242"/>
      <c r="AD629" s="242"/>
      <c r="AE629" s="242"/>
      <c r="AF629" s="242"/>
    </row>
    <row r="630">
      <c r="A630" s="242"/>
      <c r="B630" s="242"/>
      <c r="C630" s="242"/>
      <c r="D630" s="13"/>
      <c r="E630" s="525"/>
      <c r="F630" s="525"/>
      <c r="G630" s="525"/>
      <c r="H630" s="242"/>
      <c r="I630" s="525"/>
      <c r="J630" s="525"/>
      <c r="K630" s="525"/>
      <c r="L630" s="525"/>
      <c r="M630" s="242"/>
      <c r="N630" s="525"/>
      <c r="O630" s="525"/>
      <c r="P630" s="525"/>
      <c r="Q630" s="525"/>
      <c r="R630" s="242"/>
      <c r="S630" s="242"/>
      <c r="T630" s="242"/>
      <c r="U630" s="242"/>
      <c r="V630" s="242"/>
      <c r="W630" s="242"/>
      <c r="X630" s="242"/>
      <c r="Y630" s="242"/>
      <c r="Z630" s="242"/>
      <c r="AA630" s="242"/>
      <c r="AB630" s="242"/>
      <c r="AC630" s="242"/>
      <c r="AD630" s="242"/>
      <c r="AE630" s="242"/>
      <c r="AF630" s="242"/>
    </row>
    <row r="631">
      <c r="A631" s="242"/>
      <c r="B631" s="242"/>
      <c r="C631" s="242"/>
      <c r="D631" s="13"/>
      <c r="E631" s="525"/>
      <c r="F631" s="525"/>
      <c r="G631" s="525"/>
      <c r="H631" s="242"/>
      <c r="I631" s="525"/>
      <c r="J631" s="525"/>
      <c r="K631" s="525"/>
      <c r="L631" s="525"/>
      <c r="M631" s="242"/>
      <c r="N631" s="525"/>
      <c r="O631" s="525"/>
      <c r="P631" s="525"/>
      <c r="Q631" s="525"/>
      <c r="R631" s="242"/>
      <c r="S631" s="242"/>
      <c r="T631" s="242"/>
      <c r="U631" s="242"/>
      <c r="V631" s="242"/>
      <c r="W631" s="242"/>
      <c r="X631" s="242"/>
      <c r="Y631" s="242"/>
      <c r="Z631" s="242"/>
      <c r="AA631" s="242"/>
      <c r="AB631" s="242"/>
      <c r="AC631" s="242"/>
      <c r="AD631" s="242"/>
      <c r="AE631" s="242"/>
      <c r="AF631" s="242"/>
    </row>
    <row r="632">
      <c r="A632" s="242"/>
      <c r="B632" s="242"/>
      <c r="C632" s="242"/>
      <c r="D632" s="13"/>
      <c r="E632" s="525"/>
      <c r="F632" s="525"/>
      <c r="G632" s="525"/>
      <c r="H632" s="242"/>
      <c r="I632" s="525"/>
      <c r="J632" s="525"/>
      <c r="K632" s="525"/>
      <c r="L632" s="525"/>
      <c r="M632" s="242"/>
      <c r="N632" s="525"/>
      <c r="O632" s="525"/>
      <c r="P632" s="525"/>
      <c r="Q632" s="525"/>
      <c r="R632" s="242"/>
      <c r="S632" s="242"/>
      <c r="T632" s="242"/>
      <c r="U632" s="242"/>
      <c r="V632" s="242"/>
      <c r="W632" s="242"/>
      <c r="X632" s="242"/>
      <c r="Y632" s="242"/>
      <c r="Z632" s="242"/>
      <c r="AA632" s="242"/>
      <c r="AB632" s="242"/>
      <c r="AC632" s="242"/>
      <c r="AD632" s="242"/>
      <c r="AE632" s="242"/>
      <c r="AF632" s="242"/>
    </row>
    <row r="633">
      <c r="A633" s="242"/>
      <c r="B633" s="242"/>
      <c r="C633" s="242"/>
      <c r="D633" s="13"/>
      <c r="E633" s="525"/>
      <c r="F633" s="525"/>
      <c r="G633" s="525"/>
      <c r="H633" s="242"/>
      <c r="I633" s="525"/>
      <c r="J633" s="525"/>
      <c r="K633" s="525"/>
      <c r="L633" s="525"/>
      <c r="M633" s="242"/>
      <c r="N633" s="525"/>
      <c r="O633" s="525"/>
      <c r="P633" s="525"/>
      <c r="Q633" s="525"/>
      <c r="R633" s="242"/>
      <c r="S633" s="242"/>
      <c r="T633" s="242"/>
      <c r="U633" s="242"/>
      <c r="V633" s="242"/>
      <c r="W633" s="242"/>
      <c r="X633" s="242"/>
      <c r="Y633" s="242"/>
      <c r="Z633" s="242"/>
      <c r="AA633" s="242"/>
      <c r="AB633" s="242"/>
      <c r="AC633" s="242"/>
      <c r="AD633" s="242"/>
      <c r="AE633" s="242"/>
      <c r="AF633" s="242"/>
    </row>
    <row r="634">
      <c r="A634" s="242"/>
      <c r="B634" s="242"/>
      <c r="C634" s="242"/>
      <c r="D634" s="13"/>
      <c r="E634" s="525"/>
      <c r="F634" s="525"/>
      <c r="G634" s="525"/>
      <c r="H634" s="242"/>
      <c r="I634" s="525"/>
      <c r="J634" s="525"/>
      <c r="K634" s="525"/>
      <c r="L634" s="525"/>
      <c r="M634" s="242"/>
      <c r="N634" s="525"/>
      <c r="O634" s="525"/>
      <c r="P634" s="525"/>
      <c r="Q634" s="525"/>
      <c r="R634" s="242"/>
      <c r="S634" s="242"/>
      <c r="T634" s="242"/>
      <c r="U634" s="242"/>
      <c r="V634" s="242"/>
      <c r="W634" s="242"/>
      <c r="X634" s="242"/>
      <c r="Y634" s="242"/>
      <c r="Z634" s="242"/>
      <c r="AA634" s="242"/>
      <c r="AB634" s="242"/>
      <c r="AC634" s="242"/>
      <c r="AD634" s="242"/>
      <c r="AE634" s="242"/>
      <c r="AF634" s="242"/>
    </row>
    <row r="635">
      <c r="A635" s="242"/>
      <c r="B635" s="242"/>
      <c r="C635" s="242"/>
      <c r="D635" s="13"/>
      <c r="E635" s="525"/>
      <c r="F635" s="525"/>
      <c r="G635" s="525"/>
      <c r="H635" s="242"/>
      <c r="I635" s="525"/>
      <c r="J635" s="525"/>
      <c r="K635" s="525"/>
      <c r="L635" s="525"/>
      <c r="M635" s="242"/>
      <c r="N635" s="525"/>
      <c r="O635" s="525"/>
      <c r="P635" s="525"/>
      <c r="Q635" s="525"/>
      <c r="R635" s="242"/>
      <c r="S635" s="242"/>
      <c r="T635" s="242"/>
      <c r="U635" s="242"/>
      <c r="V635" s="242"/>
      <c r="W635" s="242"/>
      <c r="X635" s="242"/>
      <c r="Y635" s="242"/>
      <c r="Z635" s="242"/>
      <c r="AA635" s="242"/>
      <c r="AB635" s="242"/>
      <c r="AC635" s="242"/>
      <c r="AD635" s="242"/>
      <c r="AE635" s="242"/>
      <c r="AF635" s="242"/>
    </row>
    <row r="636">
      <c r="A636" s="242"/>
      <c r="B636" s="242"/>
      <c r="C636" s="242"/>
      <c r="D636" s="13"/>
      <c r="E636" s="525"/>
      <c r="F636" s="525"/>
      <c r="G636" s="525"/>
      <c r="H636" s="242"/>
      <c r="I636" s="525"/>
      <c r="J636" s="525"/>
      <c r="K636" s="525"/>
      <c r="L636" s="525"/>
      <c r="M636" s="242"/>
      <c r="N636" s="525"/>
      <c r="O636" s="525"/>
      <c r="P636" s="525"/>
      <c r="Q636" s="525"/>
      <c r="R636" s="242"/>
      <c r="S636" s="242"/>
      <c r="T636" s="242"/>
      <c r="U636" s="242"/>
      <c r="V636" s="242"/>
      <c r="W636" s="242"/>
      <c r="X636" s="242"/>
      <c r="Y636" s="242"/>
      <c r="Z636" s="242"/>
      <c r="AA636" s="242"/>
      <c r="AB636" s="242"/>
      <c r="AC636" s="242"/>
      <c r="AD636" s="242"/>
      <c r="AE636" s="242"/>
      <c r="AF636" s="242"/>
    </row>
    <row r="637">
      <c r="A637" s="242"/>
      <c r="B637" s="242"/>
      <c r="C637" s="242"/>
      <c r="D637" s="13"/>
      <c r="E637" s="525"/>
      <c r="F637" s="525"/>
      <c r="G637" s="525"/>
      <c r="H637" s="242"/>
      <c r="I637" s="525"/>
      <c r="J637" s="525"/>
      <c r="K637" s="525"/>
      <c r="L637" s="525"/>
      <c r="M637" s="242"/>
      <c r="N637" s="525"/>
      <c r="O637" s="525"/>
      <c r="P637" s="525"/>
      <c r="Q637" s="525"/>
      <c r="R637" s="242"/>
      <c r="S637" s="242"/>
      <c r="T637" s="242"/>
      <c r="U637" s="242"/>
      <c r="V637" s="242"/>
      <c r="W637" s="242"/>
      <c r="X637" s="242"/>
      <c r="Y637" s="242"/>
      <c r="Z637" s="242"/>
      <c r="AA637" s="242"/>
      <c r="AB637" s="242"/>
      <c r="AC637" s="242"/>
      <c r="AD637" s="242"/>
      <c r="AE637" s="242"/>
      <c r="AF637" s="242"/>
    </row>
    <row r="638">
      <c r="A638" s="242"/>
      <c r="B638" s="242"/>
      <c r="C638" s="242"/>
      <c r="D638" s="13"/>
      <c r="E638" s="525"/>
      <c r="F638" s="525"/>
      <c r="G638" s="525"/>
      <c r="H638" s="242"/>
      <c r="I638" s="525"/>
      <c r="J638" s="525"/>
      <c r="K638" s="525"/>
      <c r="L638" s="525"/>
      <c r="M638" s="242"/>
      <c r="N638" s="525"/>
      <c r="O638" s="525"/>
      <c r="P638" s="525"/>
      <c r="Q638" s="525"/>
      <c r="R638" s="242"/>
      <c r="S638" s="242"/>
      <c r="T638" s="242"/>
      <c r="U638" s="242"/>
      <c r="V638" s="242"/>
      <c r="W638" s="242"/>
      <c r="X638" s="242"/>
      <c r="Y638" s="242"/>
      <c r="Z638" s="242"/>
      <c r="AA638" s="242"/>
      <c r="AB638" s="242"/>
      <c r="AC638" s="242"/>
      <c r="AD638" s="242"/>
      <c r="AE638" s="242"/>
      <c r="AF638" s="242"/>
    </row>
    <row r="639">
      <c r="A639" s="242"/>
      <c r="B639" s="242"/>
      <c r="C639" s="242"/>
      <c r="D639" s="13"/>
      <c r="E639" s="525"/>
      <c r="F639" s="525"/>
      <c r="G639" s="525"/>
      <c r="H639" s="242"/>
      <c r="I639" s="525"/>
      <c r="J639" s="525"/>
      <c r="K639" s="525"/>
      <c r="L639" s="525"/>
      <c r="M639" s="242"/>
      <c r="N639" s="525"/>
      <c r="O639" s="525"/>
      <c r="P639" s="525"/>
      <c r="Q639" s="525"/>
      <c r="R639" s="242"/>
      <c r="S639" s="242"/>
      <c r="T639" s="242"/>
      <c r="U639" s="242"/>
      <c r="V639" s="242"/>
      <c r="W639" s="242"/>
      <c r="X639" s="242"/>
      <c r="Y639" s="242"/>
      <c r="Z639" s="242"/>
      <c r="AA639" s="242"/>
      <c r="AB639" s="242"/>
      <c r="AC639" s="242"/>
      <c r="AD639" s="242"/>
      <c r="AE639" s="242"/>
      <c r="AF639" s="242"/>
    </row>
    <row r="640">
      <c r="A640" s="242"/>
      <c r="B640" s="242"/>
      <c r="C640" s="242"/>
      <c r="D640" s="13"/>
      <c r="E640" s="525"/>
      <c r="F640" s="525"/>
      <c r="G640" s="525"/>
      <c r="H640" s="242"/>
      <c r="I640" s="525"/>
      <c r="J640" s="525"/>
      <c r="K640" s="525"/>
      <c r="L640" s="525"/>
      <c r="M640" s="242"/>
      <c r="N640" s="525"/>
      <c r="O640" s="525"/>
      <c r="P640" s="525"/>
      <c r="Q640" s="525"/>
      <c r="R640" s="242"/>
      <c r="S640" s="242"/>
      <c r="T640" s="242"/>
      <c r="U640" s="242"/>
      <c r="V640" s="242"/>
      <c r="W640" s="242"/>
      <c r="X640" s="242"/>
      <c r="Y640" s="242"/>
      <c r="Z640" s="242"/>
      <c r="AA640" s="242"/>
      <c r="AB640" s="242"/>
      <c r="AC640" s="242"/>
      <c r="AD640" s="242"/>
      <c r="AE640" s="242"/>
      <c r="AF640" s="242"/>
    </row>
    <row r="641">
      <c r="A641" s="242"/>
      <c r="B641" s="242"/>
      <c r="C641" s="242"/>
      <c r="D641" s="13"/>
      <c r="E641" s="525"/>
      <c r="F641" s="525"/>
      <c r="G641" s="525"/>
      <c r="H641" s="242"/>
      <c r="I641" s="525"/>
      <c r="J641" s="525"/>
      <c r="K641" s="525"/>
      <c r="L641" s="525"/>
      <c r="M641" s="242"/>
      <c r="N641" s="525"/>
      <c r="O641" s="525"/>
      <c r="P641" s="525"/>
      <c r="Q641" s="525"/>
      <c r="R641" s="242"/>
      <c r="S641" s="242"/>
      <c r="T641" s="242"/>
      <c r="U641" s="242"/>
      <c r="V641" s="242"/>
      <c r="W641" s="242"/>
      <c r="X641" s="242"/>
      <c r="Y641" s="242"/>
      <c r="Z641" s="242"/>
      <c r="AA641" s="242"/>
      <c r="AB641" s="242"/>
      <c r="AC641" s="242"/>
      <c r="AD641" s="242"/>
      <c r="AE641" s="242"/>
      <c r="AF641" s="242"/>
    </row>
    <row r="642">
      <c r="A642" s="242"/>
      <c r="B642" s="242"/>
      <c r="C642" s="242"/>
      <c r="D642" s="13"/>
      <c r="E642" s="525"/>
      <c r="F642" s="525"/>
      <c r="G642" s="525"/>
      <c r="H642" s="242"/>
      <c r="I642" s="525"/>
      <c r="J642" s="525"/>
      <c r="K642" s="525"/>
      <c r="L642" s="525"/>
      <c r="M642" s="242"/>
      <c r="N642" s="525"/>
      <c r="O642" s="525"/>
      <c r="P642" s="525"/>
      <c r="Q642" s="525"/>
      <c r="R642" s="242"/>
      <c r="S642" s="242"/>
      <c r="T642" s="242"/>
      <c r="U642" s="242"/>
      <c r="V642" s="242"/>
      <c r="W642" s="242"/>
      <c r="X642" s="242"/>
      <c r="Y642" s="242"/>
      <c r="Z642" s="242"/>
      <c r="AA642" s="242"/>
      <c r="AB642" s="242"/>
      <c r="AC642" s="242"/>
      <c r="AD642" s="242"/>
      <c r="AE642" s="242"/>
      <c r="AF642" s="242"/>
    </row>
    <row r="643">
      <c r="A643" s="242"/>
      <c r="B643" s="242"/>
      <c r="C643" s="242"/>
      <c r="D643" s="13"/>
      <c r="E643" s="525"/>
      <c r="F643" s="525"/>
      <c r="G643" s="525"/>
      <c r="H643" s="242"/>
      <c r="I643" s="525"/>
      <c r="J643" s="525"/>
      <c r="K643" s="525"/>
      <c r="L643" s="525"/>
      <c r="M643" s="242"/>
      <c r="N643" s="525"/>
      <c r="O643" s="525"/>
      <c r="P643" s="525"/>
      <c r="Q643" s="525"/>
      <c r="R643" s="242"/>
      <c r="S643" s="242"/>
      <c r="T643" s="242"/>
      <c r="U643" s="242"/>
      <c r="V643" s="242"/>
      <c r="W643" s="242"/>
      <c r="X643" s="242"/>
      <c r="Y643" s="242"/>
      <c r="Z643" s="242"/>
      <c r="AA643" s="242"/>
      <c r="AB643" s="242"/>
      <c r="AC643" s="242"/>
      <c r="AD643" s="242"/>
      <c r="AE643" s="242"/>
      <c r="AF643" s="242"/>
    </row>
    <row r="644">
      <c r="A644" s="242"/>
      <c r="B644" s="242"/>
      <c r="C644" s="242"/>
      <c r="D644" s="13"/>
      <c r="E644" s="525"/>
      <c r="F644" s="525"/>
      <c r="G644" s="525"/>
      <c r="H644" s="242"/>
      <c r="I644" s="525"/>
      <c r="J644" s="525"/>
      <c r="K644" s="525"/>
      <c r="L644" s="525"/>
      <c r="M644" s="242"/>
      <c r="N644" s="525"/>
      <c r="O644" s="525"/>
      <c r="P644" s="525"/>
      <c r="Q644" s="525"/>
      <c r="R644" s="242"/>
      <c r="S644" s="242"/>
      <c r="T644" s="242"/>
      <c r="U644" s="242"/>
      <c r="V644" s="242"/>
      <c r="W644" s="242"/>
      <c r="X644" s="242"/>
      <c r="Y644" s="242"/>
      <c r="Z644" s="242"/>
      <c r="AA644" s="242"/>
      <c r="AB644" s="242"/>
      <c r="AC644" s="242"/>
      <c r="AD644" s="242"/>
      <c r="AE644" s="242"/>
      <c r="AF644" s="242"/>
    </row>
    <row r="645">
      <c r="A645" s="242"/>
      <c r="B645" s="242"/>
      <c r="C645" s="242"/>
      <c r="D645" s="13"/>
      <c r="E645" s="525"/>
      <c r="F645" s="525"/>
      <c r="G645" s="525"/>
      <c r="H645" s="242"/>
      <c r="I645" s="525"/>
      <c r="J645" s="525"/>
      <c r="K645" s="525"/>
      <c r="L645" s="525"/>
      <c r="M645" s="242"/>
      <c r="N645" s="525"/>
      <c r="O645" s="525"/>
      <c r="P645" s="525"/>
      <c r="Q645" s="525"/>
      <c r="R645" s="242"/>
      <c r="S645" s="242"/>
      <c r="T645" s="242"/>
      <c r="U645" s="242"/>
      <c r="V645" s="242"/>
      <c r="W645" s="242"/>
      <c r="X645" s="242"/>
      <c r="Y645" s="242"/>
      <c r="Z645" s="242"/>
      <c r="AA645" s="242"/>
      <c r="AB645" s="242"/>
      <c r="AC645" s="242"/>
      <c r="AD645" s="242"/>
      <c r="AE645" s="242"/>
      <c r="AF645" s="242"/>
    </row>
    <row r="646">
      <c r="A646" s="242"/>
      <c r="B646" s="242"/>
      <c r="C646" s="242"/>
      <c r="D646" s="13"/>
      <c r="E646" s="525"/>
      <c r="F646" s="525"/>
      <c r="G646" s="525"/>
      <c r="H646" s="242"/>
      <c r="I646" s="525"/>
      <c r="J646" s="525"/>
      <c r="K646" s="525"/>
      <c r="L646" s="525"/>
      <c r="M646" s="242"/>
      <c r="N646" s="525"/>
      <c r="O646" s="525"/>
      <c r="P646" s="525"/>
      <c r="Q646" s="525"/>
      <c r="R646" s="242"/>
      <c r="S646" s="242"/>
      <c r="T646" s="242"/>
      <c r="U646" s="242"/>
      <c r="V646" s="242"/>
      <c r="W646" s="242"/>
      <c r="X646" s="242"/>
      <c r="Y646" s="242"/>
      <c r="Z646" s="242"/>
      <c r="AA646" s="242"/>
      <c r="AB646" s="242"/>
      <c r="AC646" s="242"/>
      <c r="AD646" s="242"/>
      <c r="AE646" s="242"/>
      <c r="AF646" s="242"/>
    </row>
    <row r="647">
      <c r="A647" s="242"/>
      <c r="B647" s="242"/>
      <c r="C647" s="242"/>
      <c r="D647" s="13"/>
      <c r="E647" s="525"/>
      <c r="F647" s="525"/>
      <c r="G647" s="525"/>
      <c r="H647" s="242"/>
      <c r="I647" s="525"/>
      <c r="J647" s="525"/>
      <c r="K647" s="525"/>
      <c r="L647" s="525"/>
      <c r="M647" s="242"/>
      <c r="N647" s="525"/>
      <c r="O647" s="525"/>
      <c r="P647" s="525"/>
      <c r="Q647" s="525"/>
      <c r="R647" s="242"/>
      <c r="S647" s="242"/>
      <c r="T647" s="242"/>
      <c r="U647" s="242"/>
      <c r="V647" s="242"/>
      <c r="W647" s="242"/>
      <c r="X647" s="242"/>
      <c r="Y647" s="242"/>
      <c r="Z647" s="242"/>
      <c r="AA647" s="242"/>
      <c r="AB647" s="242"/>
      <c r="AC647" s="242"/>
      <c r="AD647" s="242"/>
      <c r="AE647" s="242"/>
      <c r="AF647" s="242"/>
    </row>
    <row r="648">
      <c r="A648" s="242"/>
      <c r="B648" s="242"/>
      <c r="C648" s="242"/>
      <c r="D648" s="13"/>
      <c r="E648" s="525"/>
      <c r="F648" s="525"/>
      <c r="G648" s="525"/>
      <c r="H648" s="242"/>
      <c r="I648" s="525"/>
      <c r="J648" s="525"/>
      <c r="K648" s="525"/>
      <c r="L648" s="525"/>
      <c r="M648" s="242"/>
      <c r="N648" s="525"/>
      <c r="O648" s="525"/>
      <c r="P648" s="525"/>
      <c r="Q648" s="525"/>
      <c r="R648" s="242"/>
      <c r="S648" s="242"/>
      <c r="T648" s="242"/>
      <c r="U648" s="242"/>
      <c r="V648" s="242"/>
      <c r="W648" s="242"/>
      <c r="X648" s="242"/>
      <c r="Y648" s="242"/>
      <c r="Z648" s="242"/>
      <c r="AA648" s="242"/>
      <c r="AB648" s="242"/>
      <c r="AC648" s="242"/>
      <c r="AD648" s="242"/>
      <c r="AE648" s="242"/>
      <c r="AF648" s="242"/>
    </row>
    <row r="649">
      <c r="A649" s="242"/>
      <c r="B649" s="242"/>
      <c r="C649" s="242"/>
      <c r="D649" s="13"/>
      <c r="E649" s="525"/>
      <c r="F649" s="525"/>
      <c r="G649" s="525"/>
      <c r="H649" s="242"/>
      <c r="I649" s="525"/>
      <c r="J649" s="525"/>
      <c r="K649" s="525"/>
      <c r="L649" s="525"/>
      <c r="M649" s="242"/>
      <c r="N649" s="525"/>
      <c r="O649" s="525"/>
      <c r="P649" s="525"/>
      <c r="Q649" s="525"/>
      <c r="R649" s="242"/>
      <c r="S649" s="242"/>
      <c r="T649" s="242"/>
      <c r="U649" s="242"/>
      <c r="V649" s="242"/>
      <c r="W649" s="242"/>
      <c r="X649" s="242"/>
      <c r="Y649" s="242"/>
      <c r="Z649" s="242"/>
      <c r="AA649" s="242"/>
      <c r="AB649" s="242"/>
      <c r="AC649" s="242"/>
      <c r="AD649" s="242"/>
      <c r="AE649" s="242"/>
      <c r="AF649" s="242"/>
    </row>
    <row r="650">
      <c r="A650" s="242"/>
      <c r="B650" s="242"/>
      <c r="C650" s="242"/>
      <c r="D650" s="13"/>
      <c r="E650" s="525"/>
      <c r="F650" s="525"/>
      <c r="G650" s="525"/>
      <c r="H650" s="242"/>
      <c r="I650" s="525"/>
      <c r="J650" s="525"/>
      <c r="K650" s="525"/>
      <c r="L650" s="525"/>
      <c r="M650" s="242"/>
      <c r="N650" s="525"/>
      <c r="O650" s="525"/>
      <c r="P650" s="525"/>
      <c r="Q650" s="525"/>
      <c r="R650" s="242"/>
      <c r="S650" s="242"/>
      <c r="T650" s="242"/>
      <c r="U650" s="242"/>
      <c r="V650" s="242"/>
      <c r="W650" s="242"/>
      <c r="X650" s="242"/>
      <c r="Y650" s="242"/>
      <c r="Z650" s="242"/>
      <c r="AA650" s="242"/>
      <c r="AB650" s="242"/>
      <c r="AC650" s="242"/>
      <c r="AD650" s="242"/>
      <c r="AE650" s="242"/>
      <c r="AF650" s="242"/>
    </row>
    <row r="651">
      <c r="A651" s="242"/>
      <c r="B651" s="242"/>
      <c r="C651" s="242"/>
      <c r="D651" s="13"/>
      <c r="E651" s="525"/>
      <c r="F651" s="525"/>
      <c r="G651" s="525"/>
      <c r="H651" s="242"/>
      <c r="I651" s="525"/>
      <c r="J651" s="525"/>
      <c r="K651" s="525"/>
      <c r="L651" s="525"/>
      <c r="M651" s="242"/>
      <c r="N651" s="525"/>
      <c r="O651" s="525"/>
      <c r="P651" s="525"/>
      <c r="Q651" s="525"/>
      <c r="R651" s="242"/>
      <c r="S651" s="242"/>
      <c r="T651" s="242"/>
      <c r="U651" s="242"/>
      <c r="V651" s="242"/>
      <c r="W651" s="242"/>
      <c r="X651" s="242"/>
      <c r="Y651" s="242"/>
      <c r="Z651" s="242"/>
      <c r="AA651" s="242"/>
      <c r="AB651" s="242"/>
      <c r="AC651" s="242"/>
      <c r="AD651" s="242"/>
      <c r="AE651" s="242"/>
      <c r="AF651" s="242"/>
    </row>
    <row r="652">
      <c r="A652" s="242"/>
      <c r="B652" s="242"/>
      <c r="C652" s="242"/>
      <c r="D652" s="13"/>
      <c r="E652" s="525"/>
      <c r="F652" s="525"/>
      <c r="G652" s="525"/>
      <c r="H652" s="242"/>
      <c r="I652" s="525"/>
      <c r="J652" s="525"/>
      <c r="K652" s="525"/>
      <c r="L652" s="525"/>
      <c r="M652" s="242"/>
      <c r="N652" s="525"/>
      <c r="O652" s="525"/>
      <c r="P652" s="525"/>
      <c r="Q652" s="525"/>
      <c r="R652" s="242"/>
      <c r="S652" s="242"/>
      <c r="T652" s="242"/>
      <c r="U652" s="242"/>
      <c r="V652" s="242"/>
      <c r="W652" s="242"/>
      <c r="X652" s="242"/>
      <c r="Y652" s="242"/>
      <c r="Z652" s="242"/>
      <c r="AA652" s="242"/>
      <c r="AB652" s="242"/>
      <c r="AC652" s="242"/>
      <c r="AD652" s="242"/>
      <c r="AE652" s="242"/>
      <c r="AF652" s="242"/>
    </row>
    <row r="653">
      <c r="A653" s="242"/>
      <c r="B653" s="242"/>
      <c r="C653" s="242"/>
      <c r="D653" s="13"/>
      <c r="E653" s="525"/>
      <c r="F653" s="525"/>
      <c r="G653" s="525"/>
      <c r="H653" s="242"/>
      <c r="I653" s="525"/>
      <c r="J653" s="525"/>
      <c r="K653" s="525"/>
      <c r="L653" s="525"/>
      <c r="M653" s="242"/>
      <c r="N653" s="525"/>
      <c r="O653" s="525"/>
      <c r="P653" s="525"/>
      <c r="Q653" s="525"/>
      <c r="R653" s="242"/>
      <c r="S653" s="242"/>
      <c r="T653" s="242"/>
      <c r="U653" s="242"/>
      <c r="V653" s="242"/>
      <c r="W653" s="242"/>
      <c r="X653" s="242"/>
      <c r="Y653" s="242"/>
      <c r="Z653" s="242"/>
      <c r="AA653" s="242"/>
      <c r="AB653" s="242"/>
      <c r="AC653" s="242"/>
      <c r="AD653" s="242"/>
      <c r="AE653" s="242"/>
      <c r="AF653" s="242"/>
    </row>
    <row r="654">
      <c r="A654" s="242"/>
      <c r="B654" s="242"/>
      <c r="C654" s="242"/>
      <c r="D654" s="13"/>
      <c r="E654" s="525"/>
      <c r="F654" s="525"/>
      <c r="G654" s="525"/>
      <c r="H654" s="242"/>
      <c r="I654" s="525"/>
      <c r="J654" s="525"/>
      <c r="K654" s="525"/>
      <c r="L654" s="525"/>
      <c r="M654" s="242"/>
      <c r="N654" s="525"/>
      <c r="O654" s="525"/>
      <c r="P654" s="525"/>
      <c r="Q654" s="525"/>
      <c r="R654" s="242"/>
      <c r="S654" s="242"/>
      <c r="T654" s="242"/>
      <c r="U654" s="242"/>
      <c r="V654" s="242"/>
      <c r="W654" s="242"/>
      <c r="X654" s="242"/>
      <c r="Y654" s="242"/>
      <c r="Z654" s="242"/>
      <c r="AA654" s="242"/>
      <c r="AB654" s="242"/>
      <c r="AC654" s="242"/>
      <c r="AD654" s="242"/>
      <c r="AE654" s="242"/>
      <c r="AF654" s="242"/>
    </row>
    <row r="655">
      <c r="A655" s="242"/>
      <c r="B655" s="242"/>
      <c r="C655" s="242"/>
      <c r="D655" s="13"/>
      <c r="E655" s="525"/>
      <c r="F655" s="525"/>
      <c r="G655" s="525"/>
      <c r="H655" s="242"/>
      <c r="I655" s="525"/>
      <c r="J655" s="525"/>
      <c r="K655" s="525"/>
      <c r="L655" s="525"/>
      <c r="M655" s="242"/>
      <c r="N655" s="525"/>
      <c r="O655" s="525"/>
      <c r="P655" s="525"/>
      <c r="Q655" s="525"/>
      <c r="R655" s="242"/>
      <c r="S655" s="242"/>
      <c r="T655" s="242"/>
      <c r="U655" s="242"/>
      <c r="V655" s="242"/>
      <c r="W655" s="242"/>
      <c r="X655" s="242"/>
      <c r="Y655" s="242"/>
      <c r="Z655" s="242"/>
      <c r="AA655" s="242"/>
      <c r="AB655" s="242"/>
      <c r="AC655" s="242"/>
      <c r="AD655" s="242"/>
      <c r="AE655" s="242"/>
      <c r="AF655" s="242"/>
    </row>
    <row r="656">
      <c r="A656" s="242"/>
      <c r="B656" s="242"/>
      <c r="C656" s="242"/>
      <c r="D656" s="13"/>
      <c r="E656" s="525"/>
      <c r="F656" s="525"/>
      <c r="G656" s="525"/>
      <c r="H656" s="242"/>
      <c r="I656" s="525"/>
      <c r="J656" s="525"/>
      <c r="K656" s="525"/>
      <c r="L656" s="525"/>
      <c r="M656" s="242"/>
      <c r="N656" s="525"/>
      <c r="O656" s="525"/>
      <c r="P656" s="525"/>
      <c r="Q656" s="525"/>
      <c r="R656" s="242"/>
      <c r="S656" s="242"/>
      <c r="T656" s="242"/>
      <c r="U656" s="242"/>
      <c r="V656" s="242"/>
      <c r="W656" s="242"/>
      <c r="X656" s="242"/>
      <c r="Y656" s="242"/>
      <c r="Z656" s="242"/>
      <c r="AA656" s="242"/>
      <c r="AB656" s="242"/>
      <c r="AC656" s="242"/>
      <c r="AD656" s="242"/>
      <c r="AE656" s="242"/>
      <c r="AF656" s="242"/>
    </row>
    <row r="657">
      <c r="A657" s="242"/>
      <c r="B657" s="242"/>
      <c r="C657" s="242"/>
      <c r="D657" s="13"/>
      <c r="E657" s="525"/>
      <c r="F657" s="525"/>
      <c r="G657" s="525"/>
      <c r="H657" s="242"/>
      <c r="I657" s="525"/>
      <c r="J657" s="525"/>
      <c r="K657" s="525"/>
      <c r="L657" s="525"/>
      <c r="M657" s="242"/>
      <c r="N657" s="525"/>
      <c r="O657" s="525"/>
      <c r="P657" s="525"/>
      <c r="Q657" s="525"/>
      <c r="R657" s="242"/>
      <c r="S657" s="242"/>
      <c r="T657" s="242"/>
      <c r="U657" s="242"/>
      <c r="V657" s="242"/>
      <c r="W657" s="242"/>
      <c r="X657" s="242"/>
      <c r="Y657" s="242"/>
      <c r="Z657" s="242"/>
      <c r="AA657" s="242"/>
      <c r="AB657" s="242"/>
      <c r="AC657" s="242"/>
      <c r="AD657" s="242"/>
      <c r="AE657" s="242"/>
      <c r="AF657" s="242"/>
    </row>
    <row r="658">
      <c r="A658" s="242"/>
      <c r="B658" s="242"/>
      <c r="C658" s="242"/>
      <c r="D658" s="13"/>
      <c r="E658" s="525"/>
      <c r="F658" s="525"/>
      <c r="G658" s="525"/>
      <c r="H658" s="242"/>
      <c r="I658" s="525"/>
      <c r="J658" s="525"/>
      <c r="K658" s="525"/>
      <c r="L658" s="525"/>
      <c r="M658" s="242"/>
      <c r="N658" s="525"/>
      <c r="O658" s="525"/>
      <c r="P658" s="525"/>
      <c r="Q658" s="525"/>
      <c r="R658" s="242"/>
      <c r="S658" s="242"/>
      <c r="T658" s="242"/>
      <c r="U658" s="242"/>
      <c r="V658" s="242"/>
      <c r="W658" s="242"/>
      <c r="X658" s="242"/>
      <c r="Y658" s="242"/>
      <c r="Z658" s="242"/>
      <c r="AA658" s="242"/>
      <c r="AB658" s="242"/>
      <c r="AC658" s="242"/>
      <c r="AD658" s="242"/>
      <c r="AE658" s="242"/>
      <c r="AF658" s="242"/>
    </row>
    <row r="659">
      <c r="A659" s="242"/>
      <c r="B659" s="242"/>
      <c r="C659" s="242"/>
      <c r="D659" s="13"/>
      <c r="E659" s="525"/>
      <c r="F659" s="525"/>
      <c r="G659" s="525"/>
      <c r="H659" s="242"/>
      <c r="I659" s="525"/>
      <c r="J659" s="525"/>
      <c r="K659" s="525"/>
      <c r="L659" s="525"/>
      <c r="M659" s="242"/>
      <c r="N659" s="525"/>
      <c r="O659" s="525"/>
      <c r="P659" s="525"/>
      <c r="Q659" s="525"/>
      <c r="R659" s="242"/>
      <c r="S659" s="242"/>
      <c r="T659" s="242"/>
      <c r="U659" s="242"/>
      <c r="V659" s="242"/>
      <c r="W659" s="242"/>
      <c r="X659" s="242"/>
      <c r="Y659" s="242"/>
      <c r="Z659" s="242"/>
      <c r="AA659" s="242"/>
      <c r="AB659" s="242"/>
      <c r="AC659" s="242"/>
      <c r="AD659" s="242"/>
      <c r="AE659" s="242"/>
      <c r="AF659" s="242"/>
    </row>
    <row r="660">
      <c r="A660" s="242"/>
      <c r="B660" s="242"/>
      <c r="C660" s="242"/>
      <c r="D660" s="13"/>
      <c r="E660" s="525"/>
      <c r="F660" s="525"/>
      <c r="G660" s="525"/>
      <c r="H660" s="242"/>
      <c r="I660" s="525"/>
      <c r="J660" s="525"/>
      <c r="K660" s="525"/>
      <c r="L660" s="525"/>
      <c r="M660" s="242"/>
      <c r="N660" s="525"/>
      <c r="O660" s="525"/>
      <c r="P660" s="525"/>
      <c r="Q660" s="525"/>
      <c r="R660" s="242"/>
      <c r="S660" s="242"/>
      <c r="T660" s="242"/>
      <c r="U660" s="242"/>
      <c r="V660" s="242"/>
      <c r="W660" s="242"/>
      <c r="X660" s="242"/>
      <c r="Y660" s="242"/>
      <c r="Z660" s="242"/>
      <c r="AA660" s="242"/>
      <c r="AB660" s="242"/>
      <c r="AC660" s="242"/>
      <c r="AD660" s="242"/>
      <c r="AE660" s="242"/>
      <c r="AF660" s="242"/>
    </row>
    <row r="661">
      <c r="A661" s="242"/>
      <c r="B661" s="242"/>
      <c r="C661" s="242"/>
      <c r="D661" s="13"/>
      <c r="E661" s="525"/>
      <c r="F661" s="525"/>
      <c r="G661" s="525"/>
      <c r="H661" s="242"/>
      <c r="I661" s="525"/>
      <c r="J661" s="525"/>
      <c r="K661" s="525"/>
      <c r="L661" s="525"/>
      <c r="M661" s="242"/>
      <c r="N661" s="525"/>
      <c r="O661" s="525"/>
      <c r="P661" s="525"/>
      <c r="Q661" s="525"/>
      <c r="R661" s="242"/>
      <c r="S661" s="242"/>
      <c r="T661" s="242"/>
      <c r="U661" s="242"/>
      <c r="V661" s="242"/>
      <c r="W661" s="242"/>
      <c r="X661" s="242"/>
      <c r="Y661" s="242"/>
      <c r="Z661" s="242"/>
      <c r="AA661" s="242"/>
      <c r="AB661" s="242"/>
      <c r="AC661" s="242"/>
      <c r="AD661" s="242"/>
      <c r="AE661" s="242"/>
      <c r="AF661" s="242"/>
    </row>
    <row r="662">
      <c r="A662" s="242"/>
      <c r="B662" s="242"/>
      <c r="C662" s="242"/>
      <c r="D662" s="13"/>
      <c r="E662" s="525"/>
      <c r="F662" s="525"/>
      <c r="G662" s="525"/>
      <c r="H662" s="242"/>
      <c r="I662" s="525"/>
      <c r="J662" s="525"/>
      <c r="K662" s="525"/>
      <c r="L662" s="525"/>
      <c r="M662" s="242"/>
      <c r="N662" s="525"/>
      <c r="O662" s="525"/>
      <c r="P662" s="525"/>
      <c r="Q662" s="525"/>
      <c r="R662" s="242"/>
      <c r="S662" s="242"/>
      <c r="T662" s="242"/>
      <c r="U662" s="242"/>
      <c r="V662" s="242"/>
      <c r="W662" s="242"/>
      <c r="X662" s="242"/>
      <c r="Y662" s="242"/>
      <c r="Z662" s="242"/>
      <c r="AA662" s="242"/>
      <c r="AB662" s="242"/>
      <c r="AC662" s="242"/>
      <c r="AD662" s="242"/>
      <c r="AE662" s="242"/>
      <c r="AF662" s="242"/>
    </row>
    <row r="663">
      <c r="A663" s="242"/>
      <c r="B663" s="242"/>
      <c r="C663" s="242"/>
      <c r="D663" s="13"/>
      <c r="E663" s="525"/>
      <c r="F663" s="525"/>
      <c r="G663" s="525"/>
      <c r="H663" s="242"/>
      <c r="I663" s="525"/>
      <c r="J663" s="525"/>
      <c r="K663" s="525"/>
      <c r="L663" s="525"/>
      <c r="M663" s="242"/>
      <c r="N663" s="525"/>
      <c r="O663" s="525"/>
      <c r="P663" s="525"/>
      <c r="Q663" s="525"/>
      <c r="R663" s="242"/>
      <c r="S663" s="242"/>
      <c r="T663" s="242"/>
      <c r="U663" s="242"/>
      <c r="V663" s="242"/>
      <c r="W663" s="242"/>
      <c r="X663" s="242"/>
      <c r="Y663" s="242"/>
      <c r="Z663" s="242"/>
      <c r="AA663" s="242"/>
      <c r="AB663" s="242"/>
      <c r="AC663" s="242"/>
      <c r="AD663" s="242"/>
      <c r="AE663" s="242"/>
      <c r="AF663" s="242"/>
    </row>
    <row r="664">
      <c r="A664" s="242"/>
      <c r="B664" s="242"/>
      <c r="C664" s="242"/>
      <c r="D664" s="13"/>
      <c r="E664" s="525"/>
      <c r="F664" s="525"/>
      <c r="G664" s="525"/>
      <c r="H664" s="242"/>
      <c r="I664" s="525"/>
      <c r="J664" s="525"/>
      <c r="K664" s="525"/>
      <c r="L664" s="525"/>
      <c r="M664" s="242"/>
      <c r="N664" s="525"/>
      <c r="O664" s="525"/>
      <c r="P664" s="525"/>
      <c r="Q664" s="525"/>
      <c r="R664" s="242"/>
      <c r="S664" s="242"/>
      <c r="T664" s="242"/>
      <c r="U664" s="242"/>
      <c r="V664" s="242"/>
      <c r="W664" s="242"/>
      <c r="X664" s="242"/>
      <c r="Y664" s="242"/>
      <c r="Z664" s="242"/>
      <c r="AA664" s="242"/>
      <c r="AB664" s="242"/>
      <c r="AC664" s="242"/>
      <c r="AD664" s="242"/>
      <c r="AE664" s="242"/>
      <c r="AF664" s="242"/>
    </row>
    <row r="665">
      <c r="A665" s="242"/>
      <c r="B665" s="242"/>
      <c r="C665" s="242"/>
      <c r="D665" s="13"/>
      <c r="E665" s="525"/>
      <c r="F665" s="525"/>
      <c r="G665" s="525"/>
      <c r="H665" s="242"/>
      <c r="I665" s="525"/>
      <c r="J665" s="525"/>
      <c r="K665" s="525"/>
      <c r="L665" s="525"/>
      <c r="M665" s="242"/>
      <c r="N665" s="525"/>
      <c r="O665" s="525"/>
      <c r="P665" s="525"/>
      <c r="Q665" s="525"/>
      <c r="R665" s="242"/>
      <c r="S665" s="242"/>
      <c r="T665" s="242"/>
      <c r="U665" s="242"/>
      <c r="V665" s="242"/>
      <c r="W665" s="242"/>
      <c r="X665" s="242"/>
      <c r="Y665" s="242"/>
      <c r="Z665" s="242"/>
      <c r="AA665" s="242"/>
      <c r="AB665" s="242"/>
      <c r="AC665" s="242"/>
      <c r="AD665" s="242"/>
      <c r="AE665" s="242"/>
      <c r="AF665" s="242"/>
    </row>
    <row r="666">
      <c r="A666" s="242"/>
      <c r="B666" s="242"/>
      <c r="C666" s="242"/>
      <c r="D666" s="13"/>
      <c r="E666" s="525"/>
      <c r="F666" s="525"/>
      <c r="G666" s="525"/>
      <c r="H666" s="242"/>
      <c r="I666" s="525"/>
      <c r="J666" s="525"/>
      <c r="K666" s="525"/>
      <c r="L666" s="525"/>
      <c r="M666" s="242"/>
      <c r="N666" s="525"/>
      <c r="O666" s="525"/>
      <c r="P666" s="525"/>
      <c r="Q666" s="525"/>
      <c r="R666" s="242"/>
      <c r="S666" s="242"/>
      <c r="T666" s="242"/>
      <c r="U666" s="242"/>
      <c r="V666" s="242"/>
      <c r="W666" s="242"/>
      <c r="X666" s="242"/>
      <c r="Y666" s="242"/>
      <c r="Z666" s="242"/>
      <c r="AA666" s="242"/>
      <c r="AB666" s="242"/>
      <c r="AC666" s="242"/>
      <c r="AD666" s="242"/>
      <c r="AE666" s="242"/>
      <c r="AF666" s="242"/>
    </row>
    <row r="667">
      <c r="A667" s="242"/>
      <c r="B667" s="242"/>
      <c r="C667" s="242"/>
      <c r="D667" s="13"/>
      <c r="E667" s="525"/>
      <c r="F667" s="525"/>
      <c r="G667" s="525"/>
      <c r="H667" s="242"/>
      <c r="I667" s="525"/>
      <c r="J667" s="525"/>
      <c r="K667" s="525"/>
      <c r="L667" s="525"/>
      <c r="M667" s="242"/>
      <c r="N667" s="525"/>
      <c r="O667" s="525"/>
      <c r="P667" s="525"/>
      <c r="Q667" s="525"/>
      <c r="R667" s="242"/>
      <c r="S667" s="242"/>
      <c r="T667" s="242"/>
      <c r="U667" s="242"/>
      <c r="V667" s="242"/>
      <c r="W667" s="242"/>
      <c r="X667" s="242"/>
      <c r="Y667" s="242"/>
      <c r="Z667" s="242"/>
      <c r="AA667" s="242"/>
      <c r="AB667" s="242"/>
      <c r="AC667" s="242"/>
      <c r="AD667" s="242"/>
      <c r="AE667" s="242"/>
      <c r="AF667" s="242"/>
    </row>
    <row r="668">
      <c r="A668" s="242"/>
      <c r="B668" s="242"/>
      <c r="C668" s="242"/>
      <c r="D668" s="13"/>
      <c r="E668" s="525"/>
      <c r="F668" s="525"/>
      <c r="G668" s="525"/>
      <c r="H668" s="242"/>
      <c r="I668" s="525"/>
      <c r="J668" s="525"/>
      <c r="K668" s="525"/>
      <c r="L668" s="525"/>
      <c r="M668" s="242"/>
      <c r="N668" s="525"/>
      <c r="O668" s="525"/>
      <c r="P668" s="525"/>
      <c r="Q668" s="525"/>
      <c r="R668" s="242"/>
      <c r="S668" s="242"/>
      <c r="T668" s="242"/>
      <c r="U668" s="242"/>
      <c r="V668" s="242"/>
      <c r="W668" s="242"/>
      <c r="X668" s="242"/>
      <c r="Y668" s="242"/>
      <c r="Z668" s="242"/>
      <c r="AA668" s="242"/>
      <c r="AB668" s="242"/>
      <c r="AC668" s="242"/>
      <c r="AD668" s="242"/>
      <c r="AE668" s="242"/>
      <c r="AF668" s="242"/>
    </row>
    <row r="669">
      <c r="A669" s="242"/>
      <c r="B669" s="242"/>
      <c r="C669" s="242"/>
      <c r="D669" s="13"/>
      <c r="E669" s="525"/>
      <c r="F669" s="525"/>
      <c r="G669" s="525"/>
      <c r="H669" s="242"/>
      <c r="I669" s="525"/>
      <c r="J669" s="525"/>
      <c r="K669" s="525"/>
      <c r="L669" s="525"/>
      <c r="M669" s="242"/>
      <c r="N669" s="525"/>
      <c r="O669" s="525"/>
      <c r="P669" s="525"/>
      <c r="Q669" s="525"/>
      <c r="R669" s="242"/>
      <c r="S669" s="242"/>
      <c r="T669" s="242"/>
      <c r="U669" s="242"/>
      <c r="V669" s="242"/>
      <c r="W669" s="242"/>
      <c r="X669" s="242"/>
      <c r="Y669" s="242"/>
      <c r="Z669" s="242"/>
      <c r="AA669" s="242"/>
      <c r="AB669" s="242"/>
      <c r="AC669" s="242"/>
      <c r="AD669" s="242"/>
      <c r="AE669" s="242"/>
      <c r="AF669" s="242"/>
    </row>
    <row r="670">
      <c r="A670" s="242"/>
      <c r="B670" s="242"/>
      <c r="C670" s="242"/>
      <c r="D670" s="13"/>
      <c r="E670" s="525"/>
      <c r="F670" s="525"/>
      <c r="G670" s="525"/>
      <c r="H670" s="242"/>
      <c r="I670" s="525"/>
      <c r="J670" s="525"/>
      <c r="K670" s="525"/>
      <c r="L670" s="525"/>
      <c r="M670" s="242"/>
      <c r="N670" s="525"/>
      <c r="O670" s="525"/>
      <c r="P670" s="525"/>
      <c r="Q670" s="525"/>
      <c r="R670" s="242"/>
      <c r="S670" s="242"/>
      <c r="T670" s="242"/>
      <c r="U670" s="242"/>
      <c r="V670" s="242"/>
      <c r="W670" s="242"/>
      <c r="X670" s="242"/>
      <c r="Y670" s="242"/>
      <c r="Z670" s="242"/>
      <c r="AA670" s="242"/>
      <c r="AB670" s="242"/>
      <c r="AC670" s="242"/>
      <c r="AD670" s="242"/>
      <c r="AE670" s="242"/>
      <c r="AF670" s="242"/>
    </row>
    <row r="671">
      <c r="A671" s="242"/>
      <c r="B671" s="242"/>
      <c r="C671" s="242"/>
      <c r="D671" s="13"/>
      <c r="E671" s="525"/>
      <c r="F671" s="525"/>
      <c r="G671" s="525"/>
      <c r="H671" s="242"/>
      <c r="I671" s="525"/>
      <c r="J671" s="525"/>
      <c r="K671" s="525"/>
      <c r="L671" s="525"/>
      <c r="M671" s="242"/>
      <c r="N671" s="525"/>
      <c r="O671" s="525"/>
      <c r="P671" s="525"/>
      <c r="Q671" s="525"/>
      <c r="R671" s="242"/>
      <c r="S671" s="242"/>
      <c r="T671" s="242"/>
      <c r="U671" s="242"/>
      <c r="V671" s="242"/>
      <c r="W671" s="242"/>
      <c r="X671" s="242"/>
      <c r="Y671" s="242"/>
      <c r="Z671" s="242"/>
      <c r="AA671" s="242"/>
      <c r="AB671" s="242"/>
      <c r="AC671" s="242"/>
      <c r="AD671" s="242"/>
      <c r="AE671" s="242"/>
      <c r="AF671" s="242"/>
    </row>
    <row r="672">
      <c r="A672" s="242"/>
      <c r="B672" s="242"/>
      <c r="C672" s="242"/>
      <c r="D672" s="13"/>
      <c r="E672" s="525"/>
      <c r="F672" s="525"/>
      <c r="G672" s="525"/>
      <c r="H672" s="242"/>
      <c r="I672" s="525"/>
      <c r="J672" s="525"/>
      <c r="K672" s="525"/>
      <c r="L672" s="525"/>
      <c r="M672" s="242"/>
      <c r="N672" s="525"/>
      <c r="O672" s="525"/>
      <c r="P672" s="525"/>
      <c r="Q672" s="525"/>
      <c r="R672" s="242"/>
      <c r="S672" s="242"/>
      <c r="T672" s="242"/>
      <c r="U672" s="242"/>
      <c r="V672" s="242"/>
      <c r="W672" s="242"/>
      <c r="X672" s="242"/>
      <c r="Y672" s="242"/>
      <c r="Z672" s="242"/>
      <c r="AA672" s="242"/>
      <c r="AB672" s="242"/>
      <c r="AC672" s="242"/>
      <c r="AD672" s="242"/>
      <c r="AE672" s="242"/>
      <c r="AF672" s="242"/>
    </row>
    <row r="673">
      <c r="A673" s="242"/>
      <c r="B673" s="242"/>
      <c r="C673" s="242"/>
      <c r="D673" s="13"/>
      <c r="E673" s="525"/>
      <c r="F673" s="525"/>
      <c r="G673" s="525"/>
      <c r="H673" s="242"/>
      <c r="I673" s="525"/>
      <c r="J673" s="525"/>
      <c r="K673" s="525"/>
      <c r="L673" s="525"/>
      <c r="M673" s="242"/>
      <c r="N673" s="525"/>
      <c r="O673" s="525"/>
      <c r="P673" s="525"/>
      <c r="Q673" s="525"/>
      <c r="R673" s="242"/>
      <c r="S673" s="242"/>
      <c r="T673" s="242"/>
      <c r="U673" s="242"/>
      <c r="V673" s="242"/>
      <c r="W673" s="242"/>
      <c r="X673" s="242"/>
      <c r="Y673" s="242"/>
      <c r="Z673" s="242"/>
      <c r="AA673" s="242"/>
      <c r="AB673" s="242"/>
      <c r="AC673" s="242"/>
      <c r="AD673" s="242"/>
      <c r="AE673" s="242"/>
      <c r="AF673" s="242"/>
    </row>
    <row r="674">
      <c r="A674" s="242"/>
      <c r="B674" s="242"/>
      <c r="C674" s="242"/>
      <c r="D674" s="13"/>
      <c r="E674" s="525"/>
      <c r="F674" s="525"/>
      <c r="G674" s="525"/>
      <c r="H674" s="242"/>
      <c r="I674" s="525"/>
      <c r="J674" s="525"/>
      <c r="K674" s="525"/>
      <c r="L674" s="525"/>
      <c r="M674" s="242"/>
      <c r="N674" s="525"/>
      <c r="O674" s="525"/>
      <c r="P674" s="525"/>
      <c r="Q674" s="525"/>
      <c r="R674" s="242"/>
      <c r="S674" s="242"/>
      <c r="T674" s="242"/>
      <c r="U674" s="242"/>
      <c r="V674" s="242"/>
      <c r="W674" s="242"/>
      <c r="X674" s="242"/>
      <c r="Y674" s="242"/>
      <c r="Z674" s="242"/>
      <c r="AA674" s="242"/>
      <c r="AB674" s="242"/>
      <c r="AC674" s="242"/>
      <c r="AD674" s="242"/>
      <c r="AE674" s="242"/>
      <c r="AF674" s="242"/>
    </row>
    <row r="675">
      <c r="A675" s="242"/>
      <c r="B675" s="242"/>
      <c r="C675" s="242"/>
      <c r="D675" s="13"/>
      <c r="E675" s="525"/>
      <c r="F675" s="525"/>
      <c r="G675" s="525"/>
      <c r="H675" s="242"/>
      <c r="I675" s="525"/>
      <c r="J675" s="525"/>
      <c r="K675" s="525"/>
      <c r="L675" s="525"/>
      <c r="M675" s="242"/>
      <c r="N675" s="525"/>
      <c r="O675" s="525"/>
      <c r="P675" s="525"/>
      <c r="Q675" s="525"/>
      <c r="R675" s="242"/>
      <c r="S675" s="242"/>
      <c r="T675" s="242"/>
      <c r="U675" s="242"/>
      <c r="V675" s="242"/>
      <c r="W675" s="242"/>
      <c r="X675" s="242"/>
      <c r="Y675" s="242"/>
      <c r="Z675" s="242"/>
      <c r="AA675" s="242"/>
      <c r="AB675" s="242"/>
      <c r="AC675" s="242"/>
      <c r="AD675" s="242"/>
      <c r="AE675" s="242"/>
      <c r="AF675" s="242"/>
    </row>
    <row r="676">
      <c r="A676" s="242"/>
      <c r="B676" s="242"/>
      <c r="C676" s="242"/>
      <c r="D676" s="13"/>
      <c r="E676" s="525"/>
      <c r="F676" s="525"/>
      <c r="G676" s="525"/>
      <c r="H676" s="242"/>
      <c r="I676" s="525"/>
      <c r="J676" s="525"/>
      <c r="K676" s="525"/>
      <c r="L676" s="525"/>
      <c r="M676" s="242"/>
      <c r="N676" s="525"/>
      <c r="O676" s="525"/>
      <c r="P676" s="525"/>
      <c r="Q676" s="525"/>
      <c r="R676" s="242"/>
      <c r="S676" s="242"/>
      <c r="T676" s="242"/>
      <c r="U676" s="242"/>
      <c r="V676" s="242"/>
      <c r="W676" s="242"/>
      <c r="X676" s="242"/>
      <c r="Y676" s="242"/>
      <c r="Z676" s="242"/>
      <c r="AA676" s="242"/>
      <c r="AB676" s="242"/>
      <c r="AC676" s="242"/>
      <c r="AD676" s="242"/>
      <c r="AE676" s="242"/>
      <c r="AF676" s="242"/>
    </row>
    <row r="677">
      <c r="A677" s="242"/>
      <c r="B677" s="242"/>
      <c r="C677" s="242"/>
      <c r="D677" s="13"/>
      <c r="E677" s="525"/>
      <c r="F677" s="525"/>
      <c r="G677" s="525"/>
      <c r="H677" s="242"/>
      <c r="I677" s="525"/>
      <c r="J677" s="525"/>
      <c r="K677" s="525"/>
      <c r="L677" s="525"/>
      <c r="M677" s="242"/>
      <c r="N677" s="525"/>
      <c r="O677" s="525"/>
      <c r="P677" s="525"/>
      <c r="Q677" s="525"/>
      <c r="R677" s="242"/>
      <c r="S677" s="242"/>
      <c r="T677" s="242"/>
      <c r="U677" s="242"/>
      <c r="V677" s="242"/>
      <c r="W677" s="242"/>
      <c r="X677" s="242"/>
      <c r="Y677" s="242"/>
      <c r="Z677" s="242"/>
      <c r="AA677" s="242"/>
      <c r="AB677" s="242"/>
      <c r="AC677" s="242"/>
      <c r="AD677" s="242"/>
      <c r="AE677" s="242"/>
      <c r="AF677" s="242"/>
    </row>
    <row r="678">
      <c r="A678" s="242"/>
      <c r="B678" s="242"/>
      <c r="C678" s="242"/>
      <c r="D678" s="13"/>
      <c r="E678" s="525"/>
      <c r="F678" s="525"/>
      <c r="G678" s="525"/>
      <c r="H678" s="242"/>
      <c r="I678" s="525"/>
      <c r="J678" s="525"/>
      <c r="K678" s="525"/>
      <c r="L678" s="525"/>
      <c r="M678" s="242"/>
      <c r="N678" s="525"/>
      <c r="O678" s="525"/>
      <c r="P678" s="525"/>
      <c r="Q678" s="525"/>
      <c r="R678" s="242"/>
      <c r="S678" s="242"/>
      <c r="T678" s="242"/>
      <c r="U678" s="242"/>
      <c r="V678" s="242"/>
      <c r="W678" s="242"/>
      <c r="X678" s="242"/>
      <c r="Y678" s="242"/>
      <c r="Z678" s="242"/>
      <c r="AA678" s="242"/>
      <c r="AB678" s="242"/>
      <c r="AC678" s="242"/>
      <c r="AD678" s="242"/>
      <c r="AE678" s="242"/>
      <c r="AF678" s="242"/>
    </row>
    <row r="679">
      <c r="A679" s="242"/>
      <c r="B679" s="242"/>
      <c r="C679" s="242"/>
      <c r="D679" s="13"/>
      <c r="E679" s="525"/>
      <c r="F679" s="525"/>
      <c r="G679" s="525"/>
      <c r="H679" s="242"/>
      <c r="I679" s="525"/>
      <c r="J679" s="525"/>
      <c r="K679" s="525"/>
      <c r="L679" s="525"/>
      <c r="M679" s="242"/>
      <c r="N679" s="525"/>
      <c r="O679" s="525"/>
      <c r="P679" s="525"/>
      <c r="Q679" s="525"/>
      <c r="R679" s="242"/>
      <c r="S679" s="242"/>
      <c r="T679" s="242"/>
      <c r="U679" s="242"/>
      <c r="V679" s="242"/>
      <c r="W679" s="242"/>
      <c r="X679" s="242"/>
      <c r="Y679" s="242"/>
      <c r="Z679" s="242"/>
      <c r="AA679" s="242"/>
      <c r="AB679" s="242"/>
      <c r="AC679" s="242"/>
      <c r="AD679" s="242"/>
      <c r="AE679" s="242"/>
      <c r="AF679" s="242"/>
    </row>
    <row r="680">
      <c r="A680" s="242"/>
      <c r="B680" s="242"/>
      <c r="C680" s="242"/>
      <c r="D680" s="13"/>
      <c r="E680" s="525"/>
      <c r="F680" s="525"/>
      <c r="G680" s="525"/>
      <c r="H680" s="242"/>
      <c r="I680" s="525"/>
      <c r="J680" s="525"/>
      <c r="K680" s="525"/>
      <c r="L680" s="525"/>
      <c r="M680" s="242"/>
      <c r="N680" s="525"/>
      <c r="O680" s="525"/>
      <c r="P680" s="525"/>
      <c r="Q680" s="525"/>
      <c r="R680" s="242"/>
      <c r="S680" s="242"/>
      <c r="T680" s="242"/>
      <c r="U680" s="242"/>
      <c r="V680" s="242"/>
      <c r="W680" s="242"/>
      <c r="X680" s="242"/>
      <c r="Y680" s="242"/>
      <c r="Z680" s="242"/>
      <c r="AA680" s="242"/>
      <c r="AB680" s="242"/>
      <c r="AC680" s="242"/>
      <c r="AD680" s="242"/>
      <c r="AE680" s="242"/>
      <c r="AF680" s="242"/>
    </row>
    <row r="681">
      <c r="A681" s="242"/>
      <c r="B681" s="242"/>
      <c r="C681" s="242"/>
      <c r="D681" s="13"/>
      <c r="E681" s="525"/>
      <c r="F681" s="525"/>
      <c r="G681" s="525"/>
      <c r="H681" s="242"/>
      <c r="I681" s="525"/>
      <c r="J681" s="525"/>
      <c r="K681" s="525"/>
      <c r="L681" s="525"/>
      <c r="M681" s="242"/>
      <c r="N681" s="525"/>
      <c r="O681" s="525"/>
      <c r="P681" s="525"/>
      <c r="Q681" s="525"/>
      <c r="R681" s="242"/>
      <c r="S681" s="242"/>
      <c r="T681" s="242"/>
      <c r="U681" s="242"/>
      <c r="V681" s="242"/>
      <c r="W681" s="242"/>
      <c r="X681" s="242"/>
      <c r="Y681" s="242"/>
      <c r="Z681" s="242"/>
      <c r="AA681" s="242"/>
      <c r="AB681" s="242"/>
      <c r="AC681" s="242"/>
      <c r="AD681" s="242"/>
      <c r="AE681" s="242"/>
      <c r="AF681" s="242"/>
    </row>
    <row r="682">
      <c r="A682" s="242"/>
      <c r="B682" s="242"/>
      <c r="C682" s="242"/>
      <c r="D682" s="13"/>
      <c r="E682" s="525"/>
      <c r="F682" s="525"/>
      <c r="G682" s="525"/>
      <c r="H682" s="242"/>
      <c r="I682" s="525"/>
      <c r="J682" s="525"/>
      <c r="K682" s="525"/>
      <c r="L682" s="525"/>
      <c r="M682" s="242"/>
      <c r="N682" s="525"/>
      <c r="O682" s="525"/>
      <c r="P682" s="525"/>
      <c r="Q682" s="525"/>
      <c r="R682" s="242"/>
      <c r="S682" s="242"/>
      <c r="T682" s="242"/>
      <c r="U682" s="242"/>
      <c r="V682" s="242"/>
      <c r="W682" s="242"/>
      <c r="X682" s="242"/>
      <c r="Y682" s="242"/>
      <c r="Z682" s="242"/>
      <c r="AA682" s="242"/>
      <c r="AB682" s="242"/>
      <c r="AC682" s="242"/>
      <c r="AD682" s="242"/>
      <c r="AE682" s="242"/>
      <c r="AF682" s="242"/>
    </row>
    <row r="683">
      <c r="A683" s="242"/>
      <c r="B683" s="242"/>
      <c r="C683" s="242"/>
      <c r="D683" s="13"/>
      <c r="E683" s="525"/>
      <c r="F683" s="525"/>
      <c r="G683" s="525"/>
      <c r="H683" s="242"/>
      <c r="I683" s="525"/>
      <c r="J683" s="525"/>
      <c r="K683" s="525"/>
      <c r="L683" s="525"/>
      <c r="M683" s="242"/>
      <c r="N683" s="525"/>
      <c r="O683" s="525"/>
      <c r="P683" s="525"/>
      <c r="Q683" s="525"/>
      <c r="R683" s="242"/>
      <c r="S683" s="242"/>
      <c r="T683" s="242"/>
      <c r="U683" s="242"/>
      <c r="V683" s="242"/>
      <c r="W683" s="242"/>
      <c r="X683" s="242"/>
      <c r="Y683" s="242"/>
      <c r="Z683" s="242"/>
      <c r="AA683" s="242"/>
      <c r="AB683" s="242"/>
      <c r="AC683" s="242"/>
      <c r="AD683" s="242"/>
      <c r="AE683" s="242"/>
      <c r="AF683" s="242"/>
    </row>
    <row r="684">
      <c r="A684" s="242"/>
      <c r="B684" s="242"/>
      <c r="C684" s="242"/>
      <c r="D684" s="13"/>
      <c r="E684" s="525"/>
      <c r="F684" s="525"/>
      <c r="G684" s="525"/>
      <c r="H684" s="242"/>
      <c r="I684" s="525"/>
      <c r="J684" s="525"/>
      <c r="K684" s="525"/>
      <c r="L684" s="525"/>
      <c r="M684" s="242"/>
      <c r="N684" s="525"/>
      <c r="O684" s="525"/>
      <c r="P684" s="525"/>
      <c r="Q684" s="525"/>
      <c r="R684" s="242"/>
      <c r="S684" s="242"/>
      <c r="T684" s="242"/>
      <c r="U684" s="242"/>
      <c r="V684" s="242"/>
      <c r="W684" s="242"/>
      <c r="X684" s="242"/>
      <c r="Y684" s="242"/>
      <c r="Z684" s="242"/>
      <c r="AA684" s="242"/>
      <c r="AB684" s="242"/>
      <c r="AC684" s="242"/>
      <c r="AD684" s="242"/>
      <c r="AE684" s="242"/>
      <c r="AF684" s="242"/>
    </row>
    <row r="685">
      <c r="A685" s="242"/>
      <c r="B685" s="242"/>
      <c r="C685" s="242"/>
      <c r="D685" s="13"/>
      <c r="E685" s="525"/>
      <c r="F685" s="525"/>
      <c r="G685" s="525"/>
      <c r="H685" s="242"/>
      <c r="I685" s="525"/>
      <c r="J685" s="525"/>
      <c r="K685" s="525"/>
      <c r="L685" s="525"/>
      <c r="M685" s="242"/>
      <c r="N685" s="525"/>
      <c r="O685" s="525"/>
      <c r="P685" s="525"/>
      <c r="Q685" s="525"/>
      <c r="R685" s="242"/>
      <c r="S685" s="242"/>
      <c r="T685" s="242"/>
      <c r="U685" s="242"/>
      <c r="V685" s="242"/>
      <c r="W685" s="242"/>
      <c r="X685" s="242"/>
      <c r="Y685" s="242"/>
      <c r="Z685" s="242"/>
      <c r="AA685" s="242"/>
      <c r="AB685" s="242"/>
      <c r="AC685" s="242"/>
      <c r="AD685" s="242"/>
      <c r="AE685" s="242"/>
      <c r="AF685" s="242"/>
    </row>
    <row r="686">
      <c r="A686" s="242"/>
      <c r="B686" s="242"/>
      <c r="C686" s="242"/>
      <c r="D686" s="13"/>
      <c r="E686" s="525"/>
      <c r="F686" s="525"/>
      <c r="G686" s="525"/>
      <c r="H686" s="242"/>
      <c r="I686" s="525"/>
      <c r="J686" s="525"/>
      <c r="K686" s="525"/>
      <c r="L686" s="525"/>
      <c r="M686" s="242"/>
      <c r="N686" s="525"/>
      <c r="O686" s="525"/>
      <c r="P686" s="525"/>
      <c r="Q686" s="525"/>
      <c r="R686" s="242"/>
      <c r="S686" s="242"/>
      <c r="T686" s="242"/>
      <c r="U686" s="242"/>
      <c r="V686" s="242"/>
      <c r="W686" s="242"/>
      <c r="X686" s="242"/>
      <c r="Y686" s="242"/>
      <c r="Z686" s="242"/>
      <c r="AA686" s="242"/>
      <c r="AB686" s="242"/>
      <c r="AC686" s="242"/>
      <c r="AD686" s="242"/>
      <c r="AE686" s="242"/>
      <c r="AF686" s="242"/>
    </row>
    <row r="687">
      <c r="A687" s="242"/>
      <c r="B687" s="242"/>
      <c r="C687" s="242"/>
      <c r="D687" s="13"/>
      <c r="E687" s="525"/>
      <c r="F687" s="525"/>
      <c r="G687" s="525"/>
      <c r="H687" s="242"/>
      <c r="I687" s="525"/>
      <c r="J687" s="525"/>
      <c r="K687" s="525"/>
      <c r="L687" s="525"/>
      <c r="M687" s="242"/>
      <c r="N687" s="525"/>
      <c r="O687" s="525"/>
      <c r="P687" s="525"/>
      <c r="Q687" s="525"/>
      <c r="R687" s="242"/>
      <c r="S687" s="242"/>
      <c r="T687" s="242"/>
      <c r="U687" s="242"/>
      <c r="V687" s="242"/>
      <c r="W687" s="242"/>
      <c r="X687" s="242"/>
      <c r="Y687" s="242"/>
      <c r="Z687" s="242"/>
      <c r="AA687" s="242"/>
      <c r="AB687" s="242"/>
      <c r="AC687" s="242"/>
      <c r="AD687" s="242"/>
      <c r="AE687" s="242"/>
      <c r="AF687" s="242"/>
    </row>
    <row r="688">
      <c r="A688" s="242"/>
      <c r="B688" s="242"/>
      <c r="C688" s="242"/>
      <c r="D688" s="13"/>
      <c r="E688" s="525"/>
      <c r="F688" s="525"/>
      <c r="G688" s="525"/>
      <c r="H688" s="242"/>
      <c r="I688" s="525"/>
      <c r="J688" s="525"/>
      <c r="K688" s="525"/>
      <c r="L688" s="525"/>
      <c r="M688" s="242"/>
      <c r="N688" s="525"/>
      <c r="O688" s="525"/>
      <c r="P688" s="525"/>
      <c r="Q688" s="525"/>
      <c r="R688" s="242"/>
      <c r="S688" s="242"/>
      <c r="T688" s="242"/>
      <c r="U688" s="242"/>
      <c r="V688" s="242"/>
      <c r="W688" s="242"/>
      <c r="X688" s="242"/>
      <c r="Y688" s="242"/>
      <c r="Z688" s="242"/>
      <c r="AA688" s="242"/>
      <c r="AB688" s="242"/>
      <c r="AC688" s="242"/>
      <c r="AD688" s="242"/>
      <c r="AE688" s="242"/>
      <c r="AF688" s="242"/>
    </row>
    <row r="689">
      <c r="A689" s="242"/>
      <c r="B689" s="242"/>
      <c r="C689" s="242"/>
      <c r="D689" s="13"/>
      <c r="E689" s="525"/>
      <c r="F689" s="525"/>
      <c r="G689" s="525"/>
      <c r="H689" s="242"/>
      <c r="I689" s="525"/>
      <c r="J689" s="525"/>
      <c r="K689" s="525"/>
      <c r="L689" s="525"/>
      <c r="M689" s="242"/>
      <c r="N689" s="525"/>
      <c r="O689" s="525"/>
      <c r="P689" s="525"/>
      <c r="Q689" s="525"/>
      <c r="R689" s="242"/>
      <c r="S689" s="242"/>
      <c r="T689" s="242"/>
      <c r="U689" s="242"/>
      <c r="V689" s="242"/>
      <c r="W689" s="242"/>
      <c r="X689" s="242"/>
      <c r="Y689" s="242"/>
      <c r="Z689" s="242"/>
      <c r="AA689" s="242"/>
      <c r="AB689" s="242"/>
      <c r="AC689" s="242"/>
      <c r="AD689" s="242"/>
      <c r="AE689" s="242"/>
      <c r="AF689" s="242"/>
    </row>
    <row r="690">
      <c r="A690" s="242"/>
      <c r="B690" s="242"/>
      <c r="C690" s="242"/>
      <c r="D690" s="13"/>
      <c r="E690" s="525"/>
      <c r="F690" s="525"/>
      <c r="G690" s="525"/>
      <c r="H690" s="242"/>
      <c r="I690" s="525"/>
      <c r="J690" s="525"/>
      <c r="K690" s="525"/>
      <c r="L690" s="525"/>
      <c r="M690" s="242"/>
      <c r="N690" s="525"/>
      <c r="O690" s="525"/>
      <c r="P690" s="525"/>
      <c r="Q690" s="525"/>
      <c r="R690" s="242"/>
      <c r="S690" s="242"/>
      <c r="T690" s="242"/>
      <c r="U690" s="242"/>
      <c r="V690" s="242"/>
      <c r="W690" s="242"/>
      <c r="X690" s="242"/>
      <c r="Y690" s="242"/>
      <c r="Z690" s="242"/>
      <c r="AA690" s="242"/>
      <c r="AB690" s="242"/>
      <c r="AC690" s="242"/>
      <c r="AD690" s="242"/>
      <c r="AE690" s="242"/>
      <c r="AF690" s="242"/>
    </row>
    <row r="691">
      <c r="A691" s="242"/>
      <c r="B691" s="242"/>
      <c r="C691" s="242"/>
      <c r="D691" s="13"/>
      <c r="E691" s="525"/>
      <c r="F691" s="525"/>
      <c r="G691" s="525"/>
      <c r="H691" s="242"/>
      <c r="I691" s="525"/>
      <c r="J691" s="525"/>
      <c r="K691" s="525"/>
      <c r="L691" s="525"/>
      <c r="M691" s="242"/>
      <c r="N691" s="525"/>
      <c r="O691" s="525"/>
      <c r="P691" s="525"/>
      <c r="Q691" s="525"/>
      <c r="R691" s="242"/>
      <c r="S691" s="242"/>
      <c r="T691" s="242"/>
      <c r="U691" s="242"/>
      <c r="V691" s="242"/>
      <c r="W691" s="242"/>
      <c r="X691" s="242"/>
      <c r="Y691" s="242"/>
      <c r="Z691" s="242"/>
      <c r="AA691" s="242"/>
      <c r="AB691" s="242"/>
      <c r="AC691" s="242"/>
      <c r="AD691" s="242"/>
      <c r="AE691" s="242"/>
      <c r="AF691" s="242"/>
    </row>
    <row r="692">
      <c r="A692" s="242"/>
      <c r="B692" s="242"/>
      <c r="C692" s="242"/>
      <c r="D692" s="13"/>
      <c r="E692" s="525"/>
      <c r="F692" s="525"/>
      <c r="G692" s="525"/>
      <c r="H692" s="242"/>
      <c r="I692" s="525"/>
      <c r="J692" s="525"/>
      <c r="K692" s="525"/>
      <c r="L692" s="525"/>
      <c r="M692" s="242"/>
      <c r="N692" s="525"/>
      <c r="O692" s="525"/>
      <c r="P692" s="525"/>
      <c r="Q692" s="525"/>
      <c r="R692" s="242"/>
      <c r="S692" s="242"/>
      <c r="T692" s="242"/>
      <c r="U692" s="242"/>
      <c r="V692" s="242"/>
      <c r="W692" s="242"/>
      <c r="X692" s="242"/>
      <c r="Y692" s="242"/>
      <c r="Z692" s="242"/>
      <c r="AA692" s="242"/>
      <c r="AB692" s="242"/>
      <c r="AC692" s="242"/>
      <c r="AD692" s="242"/>
      <c r="AE692" s="242"/>
      <c r="AF692" s="242"/>
    </row>
    <row r="693">
      <c r="A693" s="242"/>
      <c r="B693" s="242"/>
      <c r="C693" s="242"/>
      <c r="D693" s="13"/>
      <c r="E693" s="525"/>
      <c r="F693" s="525"/>
      <c r="G693" s="525"/>
      <c r="H693" s="242"/>
      <c r="I693" s="525"/>
      <c r="J693" s="525"/>
      <c r="K693" s="525"/>
      <c r="L693" s="525"/>
      <c r="M693" s="242"/>
      <c r="N693" s="525"/>
      <c r="O693" s="525"/>
      <c r="P693" s="525"/>
      <c r="Q693" s="525"/>
      <c r="R693" s="242"/>
      <c r="S693" s="242"/>
      <c r="T693" s="242"/>
      <c r="U693" s="242"/>
      <c r="V693" s="242"/>
      <c r="W693" s="242"/>
      <c r="X693" s="242"/>
      <c r="Y693" s="242"/>
      <c r="Z693" s="242"/>
      <c r="AA693" s="242"/>
      <c r="AB693" s="242"/>
      <c r="AC693" s="242"/>
      <c r="AD693" s="242"/>
      <c r="AE693" s="242"/>
      <c r="AF693" s="242"/>
    </row>
    <row r="694">
      <c r="A694" s="242"/>
      <c r="B694" s="242"/>
      <c r="C694" s="242"/>
      <c r="D694" s="13"/>
      <c r="E694" s="525"/>
      <c r="F694" s="525"/>
      <c r="G694" s="525"/>
      <c r="H694" s="242"/>
      <c r="I694" s="525"/>
      <c r="J694" s="525"/>
      <c r="K694" s="525"/>
      <c r="L694" s="525"/>
      <c r="M694" s="242"/>
      <c r="N694" s="525"/>
      <c r="O694" s="525"/>
      <c r="P694" s="525"/>
      <c r="Q694" s="525"/>
      <c r="R694" s="242"/>
      <c r="S694" s="242"/>
      <c r="T694" s="242"/>
      <c r="U694" s="242"/>
      <c r="V694" s="242"/>
      <c r="W694" s="242"/>
      <c r="X694" s="242"/>
      <c r="Y694" s="242"/>
      <c r="Z694" s="242"/>
      <c r="AA694" s="242"/>
      <c r="AB694" s="242"/>
      <c r="AC694" s="242"/>
      <c r="AD694" s="242"/>
      <c r="AE694" s="242"/>
      <c r="AF694" s="242"/>
    </row>
    <row r="695">
      <c r="A695" s="242"/>
      <c r="B695" s="242"/>
      <c r="C695" s="242"/>
      <c r="D695" s="13"/>
      <c r="E695" s="525"/>
      <c r="F695" s="525"/>
      <c r="G695" s="525"/>
      <c r="H695" s="242"/>
      <c r="I695" s="525"/>
      <c r="J695" s="525"/>
      <c r="K695" s="525"/>
      <c r="L695" s="525"/>
      <c r="M695" s="242"/>
      <c r="N695" s="525"/>
      <c r="O695" s="525"/>
      <c r="P695" s="525"/>
      <c r="Q695" s="525"/>
      <c r="R695" s="242"/>
      <c r="S695" s="242"/>
      <c r="T695" s="242"/>
      <c r="U695" s="242"/>
      <c r="V695" s="242"/>
      <c r="W695" s="242"/>
      <c r="X695" s="242"/>
      <c r="Y695" s="242"/>
      <c r="Z695" s="242"/>
      <c r="AA695" s="242"/>
      <c r="AB695" s="242"/>
      <c r="AC695" s="242"/>
      <c r="AD695" s="242"/>
      <c r="AE695" s="242"/>
      <c r="AF695" s="242"/>
    </row>
    <row r="696">
      <c r="A696" s="242"/>
      <c r="B696" s="242"/>
      <c r="C696" s="242"/>
      <c r="D696" s="13"/>
      <c r="E696" s="525"/>
      <c r="F696" s="525"/>
      <c r="G696" s="525"/>
      <c r="H696" s="242"/>
      <c r="I696" s="525"/>
      <c r="J696" s="525"/>
      <c r="K696" s="525"/>
      <c r="L696" s="525"/>
      <c r="M696" s="242"/>
      <c r="N696" s="525"/>
      <c r="O696" s="525"/>
      <c r="P696" s="525"/>
      <c r="Q696" s="525"/>
      <c r="R696" s="242"/>
      <c r="S696" s="242"/>
      <c r="T696" s="242"/>
      <c r="U696" s="242"/>
      <c r="V696" s="242"/>
      <c r="W696" s="242"/>
      <c r="X696" s="242"/>
      <c r="Y696" s="242"/>
      <c r="Z696" s="242"/>
      <c r="AA696" s="242"/>
      <c r="AB696" s="242"/>
      <c r="AC696" s="242"/>
      <c r="AD696" s="242"/>
      <c r="AE696" s="242"/>
      <c r="AF696" s="242"/>
    </row>
    <row r="697">
      <c r="A697" s="242"/>
      <c r="B697" s="242"/>
      <c r="C697" s="242"/>
      <c r="D697" s="13"/>
      <c r="E697" s="525"/>
      <c r="F697" s="525"/>
      <c r="G697" s="525"/>
      <c r="H697" s="242"/>
      <c r="I697" s="525"/>
      <c r="J697" s="525"/>
      <c r="K697" s="525"/>
      <c r="L697" s="525"/>
      <c r="M697" s="242"/>
      <c r="N697" s="525"/>
      <c r="O697" s="525"/>
      <c r="P697" s="525"/>
      <c r="Q697" s="525"/>
      <c r="R697" s="242"/>
      <c r="S697" s="242"/>
      <c r="T697" s="242"/>
      <c r="U697" s="242"/>
      <c r="V697" s="242"/>
      <c r="W697" s="242"/>
      <c r="X697" s="242"/>
      <c r="Y697" s="242"/>
      <c r="Z697" s="242"/>
      <c r="AA697" s="242"/>
      <c r="AB697" s="242"/>
      <c r="AC697" s="242"/>
      <c r="AD697" s="242"/>
      <c r="AE697" s="242"/>
      <c r="AF697" s="242"/>
    </row>
    <row r="698">
      <c r="A698" s="242"/>
      <c r="B698" s="242"/>
      <c r="C698" s="242"/>
      <c r="D698" s="13"/>
      <c r="E698" s="525"/>
      <c r="F698" s="525"/>
      <c r="G698" s="525"/>
      <c r="H698" s="242"/>
      <c r="I698" s="525"/>
      <c r="J698" s="525"/>
      <c r="K698" s="525"/>
      <c r="L698" s="525"/>
      <c r="M698" s="242"/>
      <c r="N698" s="525"/>
      <c r="O698" s="525"/>
      <c r="P698" s="525"/>
      <c r="Q698" s="525"/>
      <c r="R698" s="242"/>
      <c r="S698" s="242"/>
      <c r="T698" s="242"/>
      <c r="U698" s="242"/>
      <c r="V698" s="242"/>
      <c r="W698" s="242"/>
      <c r="X698" s="242"/>
      <c r="Y698" s="242"/>
      <c r="Z698" s="242"/>
      <c r="AA698" s="242"/>
      <c r="AB698" s="242"/>
      <c r="AC698" s="242"/>
      <c r="AD698" s="242"/>
      <c r="AE698" s="242"/>
      <c r="AF698" s="242"/>
    </row>
    <row r="699">
      <c r="A699" s="242"/>
      <c r="B699" s="242"/>
      <c r="C699" s="242"/>
      <c r="D699" s="13"/>
      <c r="E699" s="525"/>
      <c r="F699" s="525"/>
      <c r="G699" s="525"/>
      <c r="H699" s="242"/>
      <c r="I699" s="525"/>
      <c r="J699" s="525"/>
      <c r="K699" s="525"/>
      <c r="L699" s="525"/>
      <c r="M699" s="242"/>
      <c r="N699" s="525"/>
      <c r="O699" s="525"/>
      <c r="P699" s="525"/>
      <c r="Q699" s="525"/>
      <c r="R699" s="242"/>
      <c r="S699" s="242"/>
      <c r="T699" s="242"/>
      <c r="U699" s="242"/>
      <c r="V699" s="242"/>
      <c r="W699" s="242"/>
      <c r="X699" s="242"/>
      <c r="Y699" s="242"/>
      <c r="Z699" s="242"/>
      <c r="AA699" s="242"/>
      <c r="AB699" s="242"/>
      <c r="AC699" s="242"/>
      <c r="AD699" s="242"/>
      <c r="AE699" s="242"/>
      <c r="AF699" s="242"/>
    </row>
    <row r="700">
      <c r="A700" s="242"/>
      <c r="B700" s="242"/>
      <c r="C700" s="242"/>
      <c r="D700" s="13"/>
      <c r="E700" s="525"/>
      <c r="F700" s="525"/>
      <c r="G700" s="525"/>
      <c r="H700" s="242"/>
      <c r="I700" s="525"/>
      <c r="J700" s="525"/>
      <c r="K700" s="525"/>
      <c r="L700" s="525"/>
      <c r="M700" s="242"/>
      <c r="N700" s="525"/>
      <c r="O700" s="525"/>
      <c r="P700" s="525"/>
      <c r="Q700" s="525"/>
      <c r="R700" s="242"/>
      <c r="S700" s="242"/>
      <c r="T700" s="242"/>
      <c r="U700" s="242"/>
      <c r="V700" s="242"/>
      <c r="W700" s="242"/>
      <c r="X700" s="242"/>
      <c r="Y700" s="242"/>
      <c r="Z700" s="242"/>
      <c r="AA700" s="242"/>
      <c r="AB700" s="242"/>
      <c r="AC700" s="242"/>
      <c r="AD700" s="242"/>
      <c r="AE700" s="242"/>
      <c r="AF700" s="242"/>
    </row>
    <row r="701">
      <c r="A701" s="242"/>
      <c r="B701" s="242"/>
      <c r="C701" s="242"/>
      <c r="D701" s="13"/>
      <c r="E701" s="525"/>
      <c r="F701" s="525"/>
      <c r="G701" s="525"/>
      <c r="H701" s="242"/>
      <c r="I701" s="525"/>
      <c r="J701" s="525"/>
      <c r="K701" s="525"/>
      <c r="L701" s="525"/>
      <c r="M701" s="242"/>
      <c r="N701" s="525"/>
      <c r="O701" s="525"/>
      <c r="P701" s="525"/>
      <c r="Q701" s="525"/>
      <c r="R701" s="242"/>
      <c r="S701" s="242"/>
      <c r="T701" s="242"/>
      <c r="U701" s="242"/>
      <c r="V701" s="242"/>
      <c r="W701" s="242"/>
      <c r="X701" s="242"/>
      <c r="Y701" s="242"/>
      <c r="Z701" s="242"/>
      <c r="AA701" s="242"/>
      <c r="AB701" s="242"/>
      <c r="AC701" s="242"/>
      <c r="AD701" s="242"/>
      <c r="AE701" s="242"/>
      <c r="AF701" s="242"/>
    </row>
    <row r="702">
      <c r="A702" s="242"/>
      <c r="B702" s="242"/>
      <c r="C702" s="242"/>
      <c r="D702" s="13"/>
      <c r="E702" s="525"/>
      <c r="F702" s="525"/>
      <c r="G702" s="525"/>
      <c r="H702" s="242"/>
      <c r="I702" s="525"/>
      <c r="J702" s="525"/>
      <c r="K702" s="525"/>
      <c r="L702" s="525"/>
      <c r="M702" s="242"/>
      <c r="N702" s="525"/>
      <c r="O702" s="525"/>
      <c r="P702" s="525"/>
      <c r="Q702" s="525"/>
      <c r="R702" s="242"/>
      <c r="S702" s="242"/>
      <c r="T702" s="242"/>
      <c r="U702" s="242"/>
      <c r="V702" s="242"/>
      <c r="W702" s="242"/>
      <c r="X702" s="242"/>
      <c r="Y702" s="242"/>
      <c r="Z702" s="242"/>
      <c r="AA702" s="242"/>
      <c r="AB702" s="242"/>
      <c r="AC702" s="242"/>
      <c r="AD702" s="242"/>
      <c r="AE702" s="242"/>
      <c r="AF702" s="242"/>
    </row>
    <row r="703">
      <c r="A703" s="242"/>
      <c r="B703" s="242"/>
      <c r="C703" s="242"/>
      <c r="D703" s="13"/>
      <c r="E703" s="525"/>
      <c r="F703" s="525"/>
      <c r="G703" s="525"/>
      <c r="H703" s="242"/>
      <c r="I703" s="525"/>
      <c r="J703" s="525"/>
      <c r="K703" s="525"/>
      <c r="L703" s="525"/>
      <c r="M703" s="242"/>
      <c r="N703" s="525"/>
      <c r="O703" s="525"/>
      <c r="P703" s="525"/>
      <c r="Q703" s="525"/>
      <c r="R703" s="242"/>
      <c r="S703" s="242"/>
      <c r="T703" s="242"/>
      <c r="U703" s="242"/>
      <c r="V703" s="242"/>
      <c r="W703" s="242"/>
      <c r="X703" s="242"/>
      <c r="Y703" s="242"/>
      <c r="Z703" s="242"/>
      <c r="AA703" s="242"/>
      <c r="AB703" s="242"/>
      <c r="AC703" s="242"/>
      <c r="AD703" s="242"/>
      <c r="AE703" s="242"/>
      <c r="AF703" s="242"/>
    </row>
    <row r="704">
      <c r="A704" s="242"/>
      <c r="B704" s="242"/>
      <c r="C704" s="242"/>
      <c r="D704" s="13"/>
      <c r="E704" s="525"/>
      <c r="F704" s="525"/>
      <c r="G704" s="525"/>
      <c r="H704" s="242"/>
      <c r="I704" s="525"/>
      <c r="J704" s="525"/>
      <c r="K704" s="525"/>
      <c r="L704" s="525"/>
      <c r="M704" s="242"/>
      <c r="N704" s="525"/>
      <c r="O704" s="525"/>
      <c r="P704" s="525"/>
      <c r="Q704" s="525"/>
      <c r="R704" s="242"/>
      <c r="S704" s="242"/>
      <c r="T704" s="242"/>
      <c r="U704" s="242"/>
      <c r="V704" s="242"/>
      <c r="W704" s="242"/>
      <c r="X704" s="242"/>
      <c r="Y704" s="242"/>
      <c r="Z704" s="242"/>
      <c r="AA704" s="242"/>
      <c r="AB704" s="242"/>
      <c r="AC704" s="242"/>
      <c r="AD704" s="242"/>
      <c r="AE704" s="242"/>
      <c r="AF704" s="242"/>
    </row>
    <row r="705">
      <c r="A705" s="242"/>
      <c r="B705" s="242"/>
      <c r="C705" s="242"/>
      <c r="D705" s="13"/>
      <c r="E705" s="525"/>
      <c r="F705" s="525"/>
      <c r="G705" s="525"/>
      <c r="H705" s="242"/>
      <c r="I705" s="525"/>
      <c r="J705" s="525"/>
      <c r="K705" s="525"/>
      <c r="L705" s="525"/>
      <c r="M705" s="242"/>
      <c r="N705" s="525"/>
      <c r="O705" s="525"/>
      <c r="P705" s="525"/>
      <c r="Q705" s="525"/>
      <c r="R705" s="242"/>
      <c r="S705" s="242"/>
      <c r="T705" s="242"/>
      <c r="U705" s="242"/>
      <c r="V705" s="242"/>
      <c r="W705" s="242"/>
      <c r="X705" s="242"/>
      <c r="Y705" s="242"/>
      <c r="Z705" s="242"/>
      <c r="AA705" s="242"/>
      <c r="AB705" s="242"/>
      <c r="AC705" s="242"/>
      <c r="AD705" s="242"/>
      <c r="AE705" s="242"/>
      <c r="AF705" s="242"/>
    </row>
    <row r="706">
      <c r="A706" s="242"/>
      <c r="B706" s="242"/>
      <c r="C706" s="242"/>
      <c r="D706" s="13"/>
      <c r="E706" s="525"/>
      <c r="F706" s="525"/>
      <c r="G706" s="525"/>
      <c r="H706" s="242"/>
      <c r="I706" s="525"/>
      <c r="J706" s="525"/>
      <c r="K706" s="525"/>
      <c r="L706" s="525"/>
      <c r="M706" s="242"/>
      <c r="N706" s="525"/>
      <c r="O706" s="525"/>
      <c r="P706" s="525"/>
      <c r="Q706" s="525"/>
      <c r="R706" s="242"/>
      <c r="S706" s="242"/>
      <c r="T706" s="242"/>
      <c r="U706" s="242"/>
      <c r="V706" s="242"/>
      <c r="W706" s="242"/>
      <c r="X706" s="242"/>
      <c r="Y706" s="242"/>
      <c r="Z706" s="242"/>
      <c r="AA706" s="242"/>
      <c r="AB706" s="242"/>
      <c r="AC706" s="242"/>
      <c r="AD706" s="242"/>
      <c r="AE706" s="242"/>
      <c r="AF706" s="242"/>
    </row>
    <row r="707">
      <c r="A707" s="242"/>
      <c r="B707" s="242"/>
      <c r="C707" s="242"/>
      <c r="D707" s="13"/>
      <c r="E707" s="525"/>
      <c r="F707" s="525"/>
      <c r="G707" s="525"/>
      <c r="H707" s="242"/>
      <c r="I707" s="525"/>
      <c r="J707" s="525"/>
      <c r="K707" s="525"/>
      <c r="L707" s="525"/>
      <c r="M707" s="242"/>
      <c r="N707" s="525"/>
      <c r="O707" s="525"/>
      <c r="P707" s="525"/>
      <c r="Q707" s="525"/>
      <c r="R707" s="242"/>
      <c r="S707" s="242"/>
      <c r="T707" s="242"/>
      <c r="U707" s="242"/>
      <c r="V707" s="242"/>
      <c r="W707" s="242"/>
      <c r="X707" s="242"/>
      <c r="Y707" s="242"/>
      <c r="Z707" s="242"/>
      <c r="AA707" s="242"/>
      <c r="AB707" s="242"/>
      <c r="AC707" s="242"/>
      <c r="AD707" s="242"/>
      <c r="AE707" s="242"/>
      <c r="AF707" s="242"/>
    </row>
    <row r="708">
      <c r="A708" s="242"/>
      <c r="B708" s="242"/>
      <c r="C708" s="242"/>
      <c r="D708" s="13"/>
      <c r="E708" s="525"/>
      <c r="F708" s="525"/>
      <c r="G708" s="525"/>
      <c r="H708" s="242"/>
      <c r="I708" s="525"/>
      <c r="J708" s="525"/>
      <c r="K708" s="525"/>
      <c r="L708" s="525"/>
      <c r="M708" s="242"/>
      <c r="N708" s="525"/>
      <c r="O708" s="525"/>
      <c r="P708" s="525"/>
      <c r="Q708" s="525"/>
      <c r="R708" s="242"/>
      <c r="S708" s="242"/>
      <c r="T708" s="242"/>
      <c r="U708" s="242"/>
      <c r="V708" s="242"/>
      <c r="W708" s="242"/>
      <c r="X708" s="242"/>
      <c r="Y708" s="242"/>
      <c r="Z708" s="242"/>
      <c r="AA708" s="242"/>
      <c r="AB708" s="242"/>
      <c r="AC708" s="242"/>
      <c r="AD708" s="242"/>
      <c r="AE708" s="242"/>
      <c r="AF708" s="242"/>
    </row>
    <row r="709">
      <c r="A709" s="242"/>
      <c r="B709" s="242"/>
      <c r="C709" s="242"/>
      <c r="D709" s="13"/>
      <c r="E709" s="525"/>
      <c r="F709" s="525"/>
      <c r="G709" s="525"/>
      <c r="H709" s="242"/>
      <c r="I709" s="525"/>
      <c r="J709" s="525"/>
      <c r="K709" s="525"/>
      <c r="L709" s="525"/>
      <c r="M709" s="242"/>
      <c r="N709" s="525"/>
      <c r="O709" s="525"/>
      <c r="P709" s="525"/>
      <c r="Q709" s="525"/>
      <c r="R709" s="242"/>
      <c r="S709" s="242"/>
      <c r="T709" s="242"/>
      <c r="U709" s="242"/>
      <c r="V709" s="242"/>
      <c r="W709" s="242"/>
      <c r="X709" s="242"/>
      <c r="Y709" s="242"/>
      <c r="Z709" s="242"/>
      <c r="AA709" s="242"/>
      <c r="AB709" s="242"/>
      <c r="AC709" s="242"/>
      <c r="AD709" s="242"/>
      <c r="AE709" s="242"/>
      <c r="AF709" s="242"/>
    </row>
    <row r="710">
      <c r="A710" s="242"/>
      <c r="B710" s="242"/>
      <c r="C710" s="242"/>
      <c r="D710" s="13"/>
      <c r="E710" s="525"/>
      <c r="F710" s="525"/>
      <c r="G710" s="525"/>
      <c r="H710" s="242"/>
      <c r="I710" s="525"/>
      <c r="J710" s="525"/>
      <c r="K710" s="525"/>
      <c r="L710" s="525"/>
      <c r="M710" s="242"/>
      <c r="N710" s="525"/>
      <c r="O710" s="525"/>
      <c r="P710" s="525"/>
      <c r="Q710" s="525"/>
      <c r="R710" s="242"/>
      <c r="S710" s="242"/>
      <c r="T710" s="242"/>
      <c r="U710" s="242"/>
      <c r="V710" s="242"/>
      <c r="W710" s="242"/>
      <c r="X710" s="242"/>
      <c r="Y710" s="242"/>
      <c r="Z710" s="242"/>
      <c r="AA710" s="242"/>
      <c r="AB710" s="242"/>
      <c r="AC710" s="242"/>
      <c r="AD710" s="242"/>
      <c r="AE710" s="242"/>
      <c r="AF710" s="242"/>
    </row>
    <row r="711">
      <c r="A711" s="242"/>
      <c r="B711" s="242"/>
      <c r="C711" s="242"/>
      <c r="D711" s="13"/>
      <c r="E711" s="525"/>
      <c r="F711" s="525"/>
      <c r="G711" s="525"/>
      <c r="H711" s="242"/>
      <c r="I711" s="525"/>
      <c r="J711" s="525"/>
      <c r="K711" s="525"/>
      <c r="L711" s="525"/>
      <c r="M711" s="242"/>
      <c r="N711" s="525"/>
      <c r="O711" s="525"/>
      <c r="P711" s="525"/>
      <c r="Q711" s="525"/>
      <c r="R711" s="242"/>
      <c r="S711" s="242"/>
      <c r="T711" s="242"/>
      <c r="U711" s="242"/>
      <c r="V711" s="242"/>
      <c r="W711" s="242"/>
      <c r="X711" s="242"/>
      <c r="Y711" s="242"/>
      <c r="Z711" s="242"/>
      <c r="AA711" s="242"/>
      <c r="AB711" s="242"/>
      <c r="AC711" s="242"/>
      <c r="AD711" s="242"/>
      <c r="AE711" s="242"/>
      <c r="AF711" s="242"/>
    </row>
    <row r="712">
      <c r="A712" s="242"/>
      <c r="B712" s="242"/>
      <c r="C712" s="242"/>
      <c r="D712" s="13"/>
      <c r="E712" s="525"/>
      <c r="F712" s="525"/>
      <c r="G712" s="525"/>
      <c r="H712" s="242"/>
      <c r="I712" s="525"/>
      <c r="J712" s="525"/>
      <c r="K712" s="525"/>
      <c r="L712" s="525"/>
      <c r="M712" s="242"/>
      <c r="N712" s="525"/>
      <c r="O712" s="525"/>
      <c r="P712" s="525"/>
      <c r="Q712" s="525"/>
      <c r="R712" s="242"/>
      <c r="S712" s="242"/>
      <c r="T712" s="242"/>
      <c r="U712" s="242"/>
      <c r="V712" s="242"/>
      <c r="W712" s="242"/>
      <c r="X712" s="242"/>
      <c r="Y712" s="242"/>
      <c r="Z712" s="242"/>
      <c r="AA712" s="242"/>
      <c r="AB712" s="242"/>
      <c r="AC712" s="242"/>
      <c r="AD712" s="242"/>
      <c r="AE712" s="242"/>
      <c r="AF712" s="242"/>
    </row>
    <row r="713">
      <c r="A713" s="242"/>
      <c r="B713" s="242"/>
      <c r="C713" s="242"/>
      <c r="D713" s="13"/>
      <c r="E713" s="525"/>
      <c r="F713" s="525"/>
      <c r="G713" s="525"/>
      <c r="H713" s="242"/>
      <c r="I713" s="525"/>
      <c r="J713" s="525"/>
      <c r="K713" s="525"/>
      <c r="L713" s="525"/>
      <c r="M713" s="242"/>
      <c r="N713" s="525"/>
      <c r="O713" s="525"/>
      <c r="P713" s="525"/>
      <c r="Q713" s="525"/>
      <c r="R713" s="242"/>
      <c r="S713" s="242"/>
      <c r="T713" s="242"/>
      <c r="U713" s="242"/>
      <c r="V713" s="242"/>
      <c r="W713" s="242"/>
      <c r="X713" s="242"/>
      <c r="Y713" s="242"/>
      <c r="Z713" s="242"/>
      <c r="AA713" s="242"/>
      <c r="AB713" s="242"/>
      <c r="AC713" s="242"/>
      <c r="AD713" s="242"/>
      <c r="AE713" s="242"/>
      <c r="AF713" s="242"/>
    </row>
    <row r="714">
      <c r="A714" s="242"/>
      <c r="B714" s="242"/>
      <c r="C714" s="242"/>
      <c r="D714" s="13"/>
      <c r="E714" s="525"/>
      <c r="F714" s="525"/>
      <c r="G714" s="525"/>
      <c r="H714" s="242"/>
      <c r="I714" s="525"/>
      <c r="J714" s="525"/>
      <c r="K714" s="525"/>
      <c r="L714" s="525"/>
      <c r="M714" s="242"/>
      <c r="N714" s="525"/>
      <c r="O714" s="525"/>
      <c r="P714" s="525"/>
      <c r="Q714" s="525"/>
      <c r="R714" s="242"/>
      <c r="S714" s="242"/>
      <c r="T714" s="242"/>
      <c r="U714" s="242"/>
      <c r="V714" s="242"/>
      <c r="W714" s="242"/>
      <c r="X714" s="242"/>
      <c r="Y714" s="242"/>
      <c r="Z714" s="242"/>
      <c r="AA714" s="242"/>
      <c r="AB714" s="242"/>
      <c r="AC714" s="242"/>
      <c r="AD714" s="242"/>
      <c r="AE714" s="242"/>
      <c r="AF714" s="242"/>
    </row>
    <row r="715">
      <c r="A715" s="242"/>
      <c r="B715" s="242"/>
      <c r="C715" s="242"/>
      <c r="D715" s="13"/>
      <c r="E715" s="525"/>
      <c r="F715" s="525"/>
      <c r="G715" s="525"/>
      <c r="H715" s="242"/>
      <c r="I715" s="525"/>
      <c r="J715" s="525"/>
      <c r="K715" s="525"/>
      <c r="L715" s="525"/>
      <c r="M715" s="242"/>
      <c r="N715" s="525"/>
      <c r="O715" s="525"/>
      <c r="P715" s="525"/>
      <c r="Q715" s="525"/>
      <c r="R715" s="242"/>
      <c r="S715" s="242"/>
      <c r="T715" s="242"/>
      <c r="U715" s="242"/>
      <c r="V715" s="242"/>
      <c r="W715" s="242"/>
      <c r="X715" s="242"/>
      <c r="Y715" s="242"/>
      <c r="Z715" s="242"/>
      <c r="AA715" s="242"/>
      <c r="AB715" s="242"/>
      <c r="AC715" s="242"/>
      <c r="AD715" s="242"/>
      <c r="AE715" s="242"/>
      <c r="AF715" s="242"/>
    </row>
    <row r="716">
      <c r="A716" s="242"/>
      <c r="B716" s="242"/>
      <c r="C716" s="242"/>
      <c r="D716" s="13"/>
      <c r="E716" s="525"/>
      <c r="F716" s="525"/>
      <c r="G716" s="525"/>
      <c r="H716" s="242"/>
      <c r="I716" s="525"/>
      <c r="J716" s="525"/>
      <c r="K716" s="525"/>
      <c r="L716" s="525"/>
      <c r="M716" s="242"/>
      <c r="N716" s="525"/>
      <c r="O716" s="525"/>
      <c r="P716" s="525"/>
      <c r="Q716" s="525"/>
      <c r="R716" s="242"/>
      <c r="S716" s="242"/>
      <c r="T716" s="242"/>
      <c r="U716" s="242"/>
      <c r="V716" s="242"/>
      <c r="W716" s="242"/>
      <c r="X716" s="242"/>
      <c r="Y716" s="242"/>
      <c r="Z716" s="242"/>
      <c r="AA716" s="242"/>
      <c r="AB716" s="242"/>
      <c r="AC716" s="242"/>
      <c r="AD716" s="242"/>
      <c r="AE716" s="242"/>
      <c r="AF716" s="242"/>
    </row>
    <row r="717">
      <c r="A717" s="242"/>
      <c r="B717" s="242"/>
      <c r="C717" s="242"/>
      <c r="D717" s="13"/>
      <c r="E717" s="525"/>
      <c r="F717" s="525"/>
      <c r="G717" s="525"/>
      <c r="H717" s="242"/>
      <c r="I717" s="525"/>
      <c r="J717" s="525"/>
      <c r="K717" s="525"/>
      <c r="L717" s="525"/>
      <c r="M717" s="242"/>
      <c r="N717" s="525"/>
      <c r="O717" s="525"/>
      <c r="P717" s="525"/>
      <c r="Q717" s="525"/>
      <c r="R717" s="242"/>
      <c r="S717" s="242"/>
      <c r="T717" s="242"/>
      <c r="U717" s="242"/>
      <c r="V717" s="242"/>
      <c r="W717" s="242"/>
      <c r="X717" s="242"/>
      <c r="Y717" s="242"/>
      <c r="Z717" s="242"/>
      <c r="AA717" s="242"/>
      <c r="AB717" s="242"/>
      <c r="AC717" s="242"/>
      <c r="AD717" s="242"/>
      <c r="AE717" s="242"/>
      <c r="AF717" s="242"/>
    </row>
    <row r="718">
      <c r="A718" s="242"/>
      <c r="B718" s="242"/>
      <c r="C718" s="242"/>
      <c r="D718" s="13"/>
      <c r="E718" s="525"/>
      <c r="F718" s="525"/>
      <c r="G718" s="525"/>
      <c r="H718" s="242"/>
      <c r="I718" s="525"/>
      <c r="J718" s="525"/>
      <c r="K718" s="525"/>
      <c r="L718" s="525"/>
      <c r="M718" s="242"/>
      <c r="N718" s="525"/>
      <c r="O718" s="525"/>
      <c r="P718" s="525"/>
      <c r="Q718" s="525"/>
      <c r="R718" s="242"/>
      <c r="S718" s="242"/>
      <c r="T718" s="242"/>
      <c r="U718" s="242"/>
      <c r="V718" s="242"/>
      <c r="W718" s="242"/>
      <c r="X718" s="242"/>
      <c r="Y718" s="242"/>
      <c r="Z718" s="242"/>
      <c r="AA718" s="242"/>
      <c r="AB718" s="242"/>
      <c r="AC718" s="242"/>
      <c r="AD718" s="242"/>
      <c r="AE718" s="242"/>
      <c r="AF718" s="242"/>
    </row>
    <row r="719">
      <c r="A719" s="242"/>
      <c r="B719" s="242"/>
      <c r="C719" s="242"/>
      <c r="D719" s="13"/>
      <c r="E719" s="525"/>
      <c r="F719" s="525"/>
      <c r="G719" s="525"/>
      <c r="H719" s="242"/>
      <c r="I719" s="525"/>
      <c r="J719" s="525"/>
      <c r="K719" s="525"/>
      <c r="L719" s="525"/>
      <c r="M719" s="242"/>
      <c r="N719" s="525"/>
      <c r="O719" s="525"/>
      <c r="P719" s="525"/>
      <c r="Q719" s="525"/>
      <c r="R719" s="242"/>
      <c r="S719" s="242"/>
      <c r="T719" s="242"/>
      <c r="U719" s="242"/>
      <c r="V719" s="242"/>
      <c r="W719" s="242"/>
      <c r="X719" s="242"/>
      <c r="Y719" s="242"/>
      <c r="Z719" s="242"/>
      <c r="AA719" s="242"/>
      <c r="AB719" s="242"/>
      <c r="AC719" s="242"/>
      <c r="AD719" s="242"/>
      <c r="AE719" s="242"/>
      <c r="AF719" s="242"/>
    </row>
    <row r="720">
      <c r="A720" s="242"/>
      <c r="B720" s="242"/>
      <c r="C720" s="242"/>
      <c r="D720" s="13"/>
      <c r="E720" s="525"/>
      <c r="F720" s="525"/>
      <c r="G720" s="525"/>
      <c r="H720" s="242"/>
      <c r="I720" s="525"/>
      <c r="J720" s="525"/>
      <c r="K720" s="525"/>
      <c r="L720" s="525"/>
      <c r="M720" s="242"/>
      <c r="N720" s="525"/>
      <c r="O720" s="525"/>
      <c r="P720" s="525"/>
      <c r="Q720" s="525"/>
      <c r="R720" s="242"/>
      <c r="S720" s="242"/>
      <c r="T720" s="242"/>
      <c r="U720" s="242"/>
      <c r="V720" s="242"/>
      <c r="W720" s="242"/>
      <c r="X720" s="242"/>
      <c r="Y720" s="242"/>
      <c r="Z720" s="242"/>
      <c r="AA720" s="242"/>
      <c r="AB720" s="242"/>
      <c r="AC720" s="242"/>
      <c r="AD720" s="242"/>
      <c r="AE720" s="242"/>
      <c r="AF720" s="242"/>
    </row>
    <row r="721">
      <c r="A721" s="242"/>
      <c r="B721" s="242"/>
      <c r="C721" s="242"/>
      <c r="D721" s="13"/>
      <c r="E721" s="525"/>
      <c r="F721" s="525"/>
      <c r="G721" s="525"/>
      <c r="H721" s="242"/>
      <c r="I721" s="525"/>
      <c r="J721" s="525"/>
      <c r="K721" s="525"/>
      <c r="L721" s="525"/>
      <c r="M721" s="242"/>
      <c r="N721" s="525"/>
      <c r="O721" s="525"/>
      <c r="P721" s="525"/>
      <c r="Q721" s="525"/>
      <c r="R721" s="242"/>
      <c r="S721" s="242"/>
      <c r="T721" s="242"/>
      <c r="U721" s="242"/>
      <c r="V721" s="242"/>
      <c r="W721" s="242"/>
      <c r="X721" s="242"/>
      <c r="Y721" s="242"/>
      <c r="Z721" s="242"/>
      <c r="AA721" s="242"/>
      <c r="AB721" s="242"/>
      <c r="AC721" s="242"/>
      <c r="AD721" s="242"/>
      <c r="AE721" s="242"/>
      <c r="AF721" s="242"/>
    </row>
    <row r="722">
      <c r="A722" s="242"/>
      <c r="B722" s="242"/>
      <c r="C722" s="242"/>
      <c r="D722" s="13"/>
      <c r="E722" s="525"/>
      <c r="F722" s="525"/>
      <c r="G722" s="525"/>
      <c r="H722" s="242"/>
      <c r="I722" s="525"/>
      <c r="J722" s="525"/>
      <c r="K722" s="525"/>
      <c r="L722" s="525"/>
      <c r="M722" s="242"/>
      <c r="N722" s="525"/>
      <c r="O722" s="525"/>
      <c r="P722" s="525"/>
      <c r="Q722" s="525"/>
      <c r="R722" s="242"/>
      <c r="S722" s="242"/>
      <c r="T722" s="242"/>
      <c r="U722" s="242"/>
      <c r="V722" s="242"/>
      <c r="W722" s="242"/>
      <c r="X722" s="242"/>
      <c r="Y722" s="242"/>
      <c r="Z722" s="242"/>
      <c r="AA722" s="242"/>
      <c r="AB722" s="242"/>
      <c r="AC722" s="242"/>
      <c r="AD722" s="242"/>
      <c r="AE722" s="242"/>
      <c r="AF722" s="242"/>
    </row>
    <row r="723">
      <c r="A723" s="242"/>
      <c r="B723" s="242"/>
      <c r="C723" s="242"/>
      <c r="D723" s="13"/>
      <c r="E723" s="525"/>
      <c r="F723" s="525"/>
      <c r="G723" s="525"/>
      <c r="H723" s="242"/>
      <c r="I723" s="525"/>
      <c r="J723" s="525"/>
      <c r="K723" s="525"/>
      <c r="L723" s="525"/>
      <c r="M723" s="242"/>
      <c r="N723" s="525"/>
      <c r="O723" s="525"/>
      <c r="P723" s="525"/>
      <c r="Q723" s="525"/>
      <c r="R723" s="242"/>
      <c r="S723" s="242"/>
      <c r="T723" s="242"/>
      <c r="U723" s="242"/>
      <c r="V723" s="242"/>
      <c r="W723" s="242"/>
      <c r="X723" s="242"/>
      <c r="Y723" s="242"/>
      <c r="Z723" s="242"/>
      <c r="AA723" s="242"/>
      <c r="AB723" s="242"/>
      <c r="AC723" s="242"/>
      <c r="AD723" s="242"/>
      <c r="AE723" s="242"/>
      <c r="AF723" s="242"/>
    </row>
    <row r="724">
      <c r="A724" s="242"/>
      <c r="B724" s="242"/>
      <c r="C724" s="242"/>
      <c r="D724" s="13"/>
      <c r="E724" s="525"/>
      <c r="F724" s="525"/>
      <c r="G724" s="525"/>
      <c r="H724" s="242"/>
      <c r="I724" s="525"/>
      <c r="J724" s="525"/>
      <c r="K724" s="525"/>
      <c r="L724" s="525"/>
      <c r="M724" s="242"/>
      <c r="N724" s="525"/>
      <c r="O724" s="525"/>
      <c r="P724" s="525"/>
      <c r="Q724" s="525"/>
      <c r="R724" s="242"/>
      <c r="S724" s="242"/>
      <c r="T724" s="242"/>
      <c r="U724" s="242"/>
      <c r="V724" s="242"/>
      <c r="W724" s="242"/>
      <c r="X724" s="242"/>
      <c r="Y724" s="242"/>
      <c r="Z724" s="242"/>
      <c r="AA724" s="242"/>
      <c r="AB724" s="242"/>
      <c r="AC724" s="242"/>
      <c r="AD724" s="242"/>
      <c r="AE724" s="242"/>
      <c r="AF724" s="242"/>
    </row>
    <row r="725">
      <c r="A725" s="242"/>
      <c r="B725" s="242"/>
      <c r="C725" s="242"/>
      <c r="D725" s="13"/>
      <c r="E725" s="525"/>
      <c r="F725" s="525"/>
      <c r="G725" s="525"/>
      <c r="H725" s="242"/>
      <c r="I725" s="525"/>
      <c r="J725" s="525"/>
      <c r="K725" s="525"/>
      <c r="L725" s="525"/>
      <c r="M725" s="242"/>
      <c r="N725" s="525"/>
      <c r="O725" s="525"/>
      <c r="P725" s="525"/>
      <c r="Q725" s="525"/>
      <c r="R725" s="242"/>
      <c r="S725" s="242"/>
      <c r="T725" s="242"/>
      <c r="U725" s="242"/>
      <c r="V725" s="242"/>
      <c r="W725" s="242"/>
      <c r="X725" s="242"/>
      <c r="Y725" s="242"/>
      <c r="Z725" s="242"/>
      <c r="AA725" s="242"/>
      <c r="AB725" s="242"/>
      <c r="AC725" s="242"/>
      <c r="AD725" s="242"/>
      <c r="AE725" s="242"/>
      <c r="AF725" s="242"/>
    </row>
    <row r="726">
      <c r="A726" s="242"/>
      <c r="B726" s="242"/>
      <c r="C726" s="242"/>
      <c r="D726" s="13"/>
      <c r="E726" s="525"/>
      <c r="F726" s="525"/>
      <c r="G726" s="525"/>
      <c r="H726" s="242"/>
      <c r="I726" s="525"/>
      <c r="J726" s="525"/>
      <c r="K726" s="525"/>
      <c r="L726" s="525"/>
      <c r="M726" s="242"/>
      <c r="N726" s="525"/>
      <c r="O726" s="525"/>
      <c r="P726" s="525"/>
      <c r="Q726" s="525"/>
      <c r="R726" s="242"/>
      <c r="S726" s="242"/>
      <c r="T726" s="242"/>
      <c r="U726" s="242"/>
      <c r="V726" s="242"/>
      <c r="W726" s="242"/>
      <c r="X726" s="242"/>
      <c r="Y726" s="242"/>
      <c r="Z726" s="242"/>
      <c r="AA726" s="242"/>
      <c r="AB726" s="242"/>
      <c r="AC726" s="242"/>
      <c r="AD726" s="242"/>
      <c r="AE726" s="242"/>
      <c r="AF726" s="242"/>
    </row>
    <row r="727">
      <c r="A727" s="242"/>
      <c r="B727" s="242"/>
      <c r="C727" s="242"/>
      <c r="D727" s="13"/>
      <c r="E727" s="525"/>
      <c r="F727" s="525"/>
      <c r="G727" s="525"/>
      <c r="H727" s="242"/>
      <c r="I727" s="525"/>
      <c r="J727" s="525"/>
      <c r="K727" s="525"/>
      <c r="L727" s="525"/>
      <c r="M727" s="242"/>
      <c r="N727" s="525"/>
      <c r="O727" s="525"/>
      <c r="P727" s="525"/>
      <c r="Q727" s="525"/>
      <c r="R727" s="242"/>
      <c r="S727" s="242"/>
      <c r="T727" s="242"/>
      <c r="U727" s="242"/>
      <c r="V727" s="242"/>
      <c r="W727" s="242"/>
      <c r="X727" s="242"/>
      <c r="Y727" s="242"/>
      <c r="Z727" s="242"/>
      <c r="AA727" s="242"/>
      <c r="AB727" s="242"/>
      <c r="AC727" s="242"/>
      <c r="AD727" s="242"/>
      <c r="AE727" s="242"/>
      <c r="AF727" s="242"/>
    </row>
    <row r="728">
      <c r="A728" s="242"/>
      <c r="B728" s="242"/>
      <c r="C728" s="242"/>
      <c r="D728" s="13"/>
      <c r="E728" s="525"/>
      <c r="F728" s="525"/>
      <c r="G728" s="525"/>
      <c r="H728" s="242"/>
      <c r="I728" s="525"/>
      <c r="J728" s="525"/>
      <c r="K728" s="525"/>
      <c r="L728" s="525"/>
      <c r="M728" s="242"/>
      <c r="N728" s="525"/>
      <c r="O728" s="525"/>
      <c r="P728" s="525"/>
      <c r="Q728" s="525"/>
      <c r="R728" s="242"/>
      <c r="S728" s="242"/>
      <c r="T728" s="242"/>
      <c r="U728" s="242"/>
      <c r="V728" s="242"/>
      <c r="W728" s="242"/>
      <c r="X728" s="242"/>
      <c r="Y728" s="242"/>
      <c r="Z728" s="242"/>
      <c r="AA728" s="242"/>
      <c r="AB728" s="242"/>
      <c r="AC728" s="242"/>
      <c r="AD728" s="242"/>
      <c r="AE728" s="242"/>
      <c r="AF728" s="242"/>
    </row>
    <row r="729">
      <c r="A729" s="242"/>
      <c r="B729" s="242"/>
      <c r="C729" s="242"/>
      <c r="D729" s="13"/>
      <c r="E729" s="525"/>
      <c r="F729" s="525"/>
      <c r="G729" s="525"/>
      <c r="H729" s="242"/>
      <c r="I729" s="525"/>
      <c r="J729" s="525"/>
      <c r="K729" s="525"/>
      <c r="L729" s="525"/>
      <c r="M729" s="242"/>
      <c r="N729" s="525"/>
      <c r="O729" s="525"/>
      <c r="P729" s="525"/>
      <c r="Q729" s="525"/>
      <c r="R729" s="242"/>
      <c r="S729" s="242"/>
      <c r="T729" s="242"/>
      <c r="U729" s="242"/>
      <c r="V729" s="242"/>
      <c r="W729" s="242"/>
      <c r="X729" s="242"/>
      <c r="Y729" s="242"/>
      <c r="Z729" s="242"/>
      <c r="AA729" s="242"/>
      <c r="AB729" s="242"/>
      <c r="AC729" s="242"/>
      <c r="AD729" s="242"/>
      <c r="AE729" s="242"/>
      <c r="AF729" s="242"/>
    </row>
    <row r="730">
      <c r="A730" s="242"/>
      <c r="B730" s="242"/>
      <c r="C730" s="242"/>
      <c r="D730" s="13"/>
      <c r="E730" s="525"/>
      <c r="F730" s="525"/>
      <c r="G730" s="525"/>
      <c r="H730" s="242"/>
      <c r="I730" s="525"/>
      <c r="J730" s="525"/>
      <c r="K730" s="525"/>
      <c r="L730" s="525"/>
      <c r="M730" s="242"/>
      <c r="N730" s="525"/>
      <c r="O730" s="525"/>
      <c r="P730" s="525"/>
      <c r="Q730" s="525"/>
      <c r="R730" s="242"/>
      <c r="S730" s="242"/>
      <c r="T730" s="242"/>
      <c r="U730" s="242"/>
      <c r="V730" s="242"/>
      <c r="W730" s="242"/>
      <c r="X730" s="242"/>
      <c r="Y730" s="242"/>
      <c r="Z730" s="242"/>
      <c r="AA730" s="242"/>
      <c r="AB730" s="242"/>
      <c r="AC730" s="242"/>
      <c r="AD730" s="242"/>
      <c r="AE730" s="242"/>
      <c r="AF730" s="242"/>
    </row>
    <row r="731">
      <c r="A731" s="242"/>
      <c r="B731" s="242"/>
      <c r="C731" s="242"/>
      <c r="D731" s="13"/>
      <c r="E731" s="525"/>
      <c r="F731" s="525"/>
      <c r="G731" s="525"/>
      <c r="H731" s="242"/>
      <c r="I731" s="525"/>
      <c r="J731" s="525"/>
      <c r="K731" s="525"/>
      <c r="L731" s="525"/>
      <c r="M731" s="242"/>
      <c r="N731" s="525"/>
      <c r="O731" s="525"/>
      <c r="P731" s="525"/>
      <c r="Q731" s="525"/>
      <c r="R731" s="242"/>
      <c r="S731" s="242"/>
      <c r="T731" s="242"/>
      <c r="U731" s="242"/>
      <c r="V731" s="242"/>
      <c r="W731" s="242"/>
      <c r="X731" s="242"/>
      <c r="Y731" s="242"/>
      <c r="Z731" s="242"/>
      <c r="AA731" s="242"/>
      <c r="AB731" s="242"/>
      <c r="AC731" s="242"/>
      <c r="AD731" s="242"/>
      <c r="AE731" s="242"/>
      <c r="AF731" s="242"/>
    </row>
    <row r="732">
      <c r="A732" s="242"/>
      <c r="B732" s="242"/>
      <c r="C732" s="242"/>
      <c r="D732" s="13"/>
      <c r="E732" s="525"/>
      <c r="F732" s="525"/>
      <c r="G732" s="525"/>
      <c r="H732" s="242"/>
      <c r="I732" s="525"/>
      <c r="J732" s="525"/>
      <c r="K732" s="525"/>
      <c r="L732" s="525"/>
      <c r="M732" s="242"/>
      <c r="N732" s="525"/>
      <c r="O732" s="525"/>
      <c r="P732" s="525"/>
      <c r="Q732" s="525"/>
      <c r="R732" s="242"/>
      <c r="S732" s="242"/>
      <c r="T732" s="242"/>
      <c r="U732" s="242"/>
      <c r="V732" s="242"/>
      <c r="W732" s="242"/>
      <c r="X732" s="242"/>
      <c r="Y732" s="242"/>
      <c r="Z732" s="242"/>
      <c r="AA732" s="242"/>
      <c r="AB732" s="242"/>
      <c r="AC732" s="242"/>
      <c r="AD732" s="242"/>
      <c r="AE732" s="242"/>
      <c r="AF732" s="242"/>
    </row>
    <row r="733">
      <c r="A733" s="242"/>
      <c r="B733" s="242"/>
      <c r="C733" s="242"/>
      <c r="D733" s="13"/>
      <c r="E733" s="525"/>
      <c r="F733" s="525"/>
      <c r="G733" s="525"/>
      <c r="H733" s="242"/>
      <c r="I733" s="525"/>
      <c r="J733" s="525"/>
      <c r="K733" s="525"/>
      <c r="L733" s="525"/>
      <c r="M733" s="242"/>
      <c r="N733" s="525"/>
      <c r="O733" s="525"/>
      <c r="P733" s="525"/>
      <c r="Q733" s="525"/>
      <c r="R733" s="242"/>
      <c r="S733" s="242"/>
      <c r="T733" s="242"/>
      <c r="U733" s="242"/>
      <c r="V733" s="242"/>
      <c r="W733" s="242"/>
      <c r="X733" s="242"/>
      <c r="Y733" s="242"/>
      <c r="Z733" s="242"/>
      <c r="AA733" s="242"/>
      <c r="AB733" s="242"/>
      <c r="AC733" s="242"/>
      <c r="AD733" s="242"/>
      <c r="AE733" s="242"/>
      <c r="AF733" s="242"/>
    </row>
    <row r="734">
      <c r="A734" s="242"/>
      <c r="B734" s="242"/>
      <c r="C734" s="242"/>
      <c r="D734" s="13"/>
      <c r="E734" s="525"/>
      <c r="F734" s="525"/>
      <c r="G734" s="525"/>
      <c r="H734" s="242"/>
      <c r="I734" s="525"/>
      <c r="J734" s="525"/>
      <c r="K734" s="525"/>
      <c r="L734" s="525"/>
      <c r="M734" s="242"/>
      <c r="N734" s="525"/>
      <c r="O734" s="525"/>
      <c r="P734" s="525"/>
      <c r="Q734" s="525"/>
      <c r="R734" s="242"/>
      <c r="S734" s="242"/>
      <c r="T734" s="242"/>
      <c r="U734" s="242"/>
      <c r="V734" s="242"/>
      <c r="W734" s="242"/>
      <c r="X734" s="242"/>
      <c r="Y734" s="242"/>
      <c r="Z734" s="242"/>
      <c r="AA734" s="242"/>
      <c r="AB734" s="242"/>
      <c r="AC734" s="242"/>
      <c r="AD734" s="242"/>
      <c r="AE734" s="242"/>
      <c r="AF734" s="242"/>
    </row>
    <row r="735">
      <c r="A735" s="242"/>
      <c r="B735" s="242"/>
      <c r="C735" s="242"/>
      <c r="D735" s="13"/>
      <c r="E735" s="525"/>
      <c r="F735" s="525"/>
      <c r="G735" s="525"/>
      <c r="H735" s="242"/>
      <c r="I735" s="525"/>
      <c r="J735" s="525"/>
      <c r="K735" s="525"/>
      <c r="L735" s="525"/>
      <c r="M735" s="242"/>
      <c r="N735" s="525"/>
      <c r="O735" s="525"/>
      <c r="P735" s="525"/>
      <c r="Q735" s="525"/>
      <c r="R735" s="242"/>
      <c r="S735" s="242"/>
      <c r="T735" s="242"/>
      <c r="U735" s="242"/>
      <c r="V735" s="242"/>
      <c r="W735" s="242"/>
      <c r="X735" s="242"/>
      <c r="Y735" s="242"/>
      <c r="Z735" s="242"/>
      <c r="AA735" s="242"/>
      <c r="AB735" s="242"/>
      <c r="AC735" s="242"/>
      <c r="AD735" s="242"/>
      <c r="AE735" s="242"/>
      <c r="AF735" s="242"/>
    </row>
    <row r="736">
      <c r="A736" s="242"/>
      <c r="B736" s="242"/>
      <c r="C736" s="242"/>
      <c r="D736" s="13"/>
      <c r="E736" s="525"/>
      <c r="F736" s="525"/>
      <c r="G736" s="525"/>
      <c r="H736" s="242"/>
      <c r="I736" s="525"/>
      <c r="J736" s="525"/>
      <c r="K736" s="525"/>
      <c r="L736" s="525"/>
      <c r="M736" s="242"/>
      <c r="N736" s="525"/>
      <c r="O736" s="525"/>
      <c r="P736" s="525"/>
      <c r="Q736" s="525"/>
      <c r="R736" s="242"/>
      <c r="S736" s="242"/>
      <c r="T736" s="242"/>
      <c r="U736" s="242"/>
      <c r="V736" s="242"/>
      <c r="W736" s="242"/>
      <c r="X736" s="242"/>
      <c r="Y736" s="242"/>
      <c r="Z736" s="242"/>
      <c r="AA736" s="242"/>
      <c r="AB736" s="242"/>
      <c r="AC736" s="242"/>
      <c r="AD736" s="242"/>
      <c r="AE736" s="242"/>
      <c r="AF736" s="242"/>
    </row>
    <row r="737">
      <c r="A737" s="242"/>
      <c r="B737" s="242"/>
      <c r="C737" s="242"/>
      <c r="D737" s="13"/>
      <c r="E737" s="525"/>
      <c r="F737" s="525"/>
      <c r="G737" s="525"/>
      <c r="H737" s="242"/>
      <c r="I737" s="525"/>
      <c r="J737" s="525"/>
      <c r="K737" s="525"/>
      <c r="L737" s="525"/>
      <c r="M737" s="242"/>
      <c r="N737" s="525"/>
      <c r="O737" s="525"/>
      <c r="P737" s="525"/>
      <c r="Q737" s="525"/>
      <c r="R737" s="242"/>
      <c r="S737" s="242"/>
      <c r="T737" s="242"/>
      <c r="U737" s="242"/>
      <c r="V737" s="242"/>
      <c r="W737" s="242"/>
      <c r="X737" s="242"/>
      <c r="Y737" s="242"/>
      <c r="Z737" s="242"/>
      <c r="AA737" s="242"/>
      <c r="AB737" s="242"/>
      <c r="AC737" s="242"/>
      <c r="AD737" s="242"/>
      <c r="AE737" s="242"/>
      <c r="AF737" s="242"/>
    </row>
    <row r="738">
      <c r="A738" s="242"/>
      <c r="B738" s="242"/>
      <c r="C738" s="242"/>
      <c r="D738" s="13"/>
      <c r="E738" s="525"/>
      <c r="F738" s="525"/>
      <c r="G738" s="525"/>
      <c r="H738" s="242"/>
      <c r="I738" s="525"/>
      <c r="J738" s="525"/>
      <c r="K738" s="525"/>
      <c r="L738" s="525"/>
      <c r="M738" s="242"/>
      <c r="N738" s="525"/>
      <c r="O738" s="525"/>
      <c r="P738" s="525"/>
      <c r="Q738" s="525"/>
      <c r="R738" s="242"/>
      <c r="S738" s="242"/>
      <c r="T738" s="242"/>
      <c r="U738" s="242"/>
      <c r="V738" s="242"/>
      <c r="W738" s="242"/>
      <c r="X738" s="242"/>
      <c r="Y738" s="242"/>
      <c r="Z738" s="242"/>
      <c r="AA738" s="242"/>
      <c r="AB738" s="242"/>
      <c r="AC738" s="242"/>
      <c r="AD738" s="242"/>
      <c r="AE738" s="242"/>
      <c r="AF738" s="242"/>
    </row>
    <row r="739">
      <c r="A739" s="242"/>
      <c r="B739" s="242"/>
      <c r="C739" s="242"/>
      <c r="D739" s="13"/>
      <c r="E739" s="525"/>
      <c r="F739" s="525"/>
      <c r="G739" s="525"/>
      <c r="H739" s="242"/>
      <c r="I739" s="525"/>
      <c r="J739" s="525"/>
      <c r="K739" s="525"/>
      <c r="L739" s="525"/>
      <c r="M739" s="242"/>
      <c r="N739" s="525"/>
      <c r="O739" s="525"/>
      <c r="P739" s="525"/>
      <c r="Q739" s="525"/>
      <c r="R739" s="242"/>
      <c r="S739" s="242"/>
      <c r="T739" s="242"/>
      <c r="U739" s="242"/>
      <c r="V739" s="242"/>
      <c r="W739" s="242"/>
      <c r="X739" s="242"/>
      <c r="Y739" s="242"/>
      <c r="Z739" s="242"/>
      <c r="AA739" s="242"/>
      <c r="AB739" s="242"/>
      <c r="AC739" s="242"/>
      <c r="AD739" s="242"/>
      <c r="AE739" s="242"/>
      <c r="AF739" s="242"/>
    </row>
    <row r="740">
      <c r="A740" s="242"/>
      <c r="B740" s="242"/>
      <c r="C740" s="242"/>
      <c r="D740" s="13"/>
      <c r="E740" s="525"/>
      <c r="F740" s="525"/>
      <c r="G740" s="525"/>
      <c r="H740" s="242"/>
      <c r="I740" s="525"/>
      <c r="J740" s="525"/>
      <c r="K740" s="525"/>
      <c r="L740" s="525"/>
      <c r="M740" s="242"/>
      <c r="N740" s="525"/>
      <c r="O740" s="525"/>
      <c r="P740" s="525"/>
      <c r="Q740" s="525"/>
      <c r="R740" s="242"/>
      <c r="S740" s="242"/>
      <c r="T740" s="242"/>
      <c r="U740" s="242"/>
      <c r="V740" s="242"/>
      <c r="W740" s="242"/>
      <c r="X740" s="242"/>
      <c r="Y740" s="242"/>
      <c r="Z740" s="242"/>
      <c r="AA740" s="242"/>
      <c r="AB740" s="242"/>
      <c r="AC740" s="242"/>
      <c r="AD740" s="242"/>
      <c r="AE740" s="242"/>
      <c r="AF740" s="242"/>
    </row>
    <row r="741">
      <c r="A741" s="242"/>
      <c r="B741" s="242"/>
      <c r="C741" s="242"/>
      <c r="D741" s="13"/>
      <c r="E741" s="525"/>
      <c r="F741" s="525"/>
      <c r="G741" s="525"/>
      <c r="H741" s="242"/>
      <c r="I741" s="525"/>
      <c r="J741" s="525"/>
      <c r="K741" s="525"/>
      <c r="L741" s="525"/>
      <c r="M741" s="242"/>
      <c r="N741" s="525"/>
      <c r="O741" s="525"/>
      <c r="P741" s="525"/>
      <c r="Q741" s="525"/>
      <c r="R741" s="242"/>
      <c r="S741" s="242"/>
      <c r="T741" s="242"/>
      <c r="U741" s="242"/>
      <c r="V741" s="242"/>
      <c r="W741" s="242"/>
      <c r="X741" s="242"/>
      <c r="Y741" s="242"/>
      <c r="Z741" s="242"/>
      <c r="AA741" s="242"/>
      <c r="AB741" s="242"/>
      <c r="AC741" s="242"/>
      <c r="AD741" s="242"/>
      <c r="AE741" s="242"/>
      <c r="AF741" s="242"/>
    </row>
    <row r="742">
      <c r="A742" s="242"/>
      <c r="B742" s="242"/>
      <c r="C742" s="242"/>
      <c r="D742" s="13"/>
      <c r="E742" s="525"/>
      <c r="F742" s="525"/>
      <c r="G742" s="525"/>
      <c r="H742" s="242"/>
      <c r="I742" s="525"/>
      <c r="J742" s="525"/>
      <c r="K742" s="525"/>
      <c r="L742" s="525"/>
      <c r="M742" s="242"/>
      <c r="N742" s="525"/>
      <c r="O742" s="525"/>
      <c r="P742" s="525"/>
      <c r="Q742" s="525"/>
      <c r="R742" s="242"/>
      <c r="S742" s="242"/>
      <c r="T742" s="242"/>
      <c r="U742" s="242"/>
      <c r="V742" s="242"/>
      <c r="W742" s="242"/>
      <c r="X742" s="242"/>
      <c r="Y742" s="242"/>
      <c r="Z742" s="242"/>
      <c r="AA742" s="242"/>
      <c r="AB742" s="242"/>
      <c r="AC742" s="242"/>
      <c r="AD742" s="242"/>
      <c r="AE742" s="242"/>
      <c r="AF742" s="242"/>
    </row>
    <row r="743">
      <c r="A743" s="242"/>
      <c r="B743" s="242"/>
      <c r="C743" s="242"/>
      <c r="D743" s="13"/>
      <c r="E743" s="525"/>
      <c r="F743" s="525"/>
      <c r="G743" s="525"/>
      <c r="H743" s="242"/>
      <c r="I743" s="525"/>
      <c r="J743" s="525"/>
      <c r="K743" s="525"/>
      <c r="L743" s="525"/>
      <c r="M743" s="242"/>
      <c r="N743" s="525"/>
      <c r="O743" s="525"/>
      <c r="P743" s="525"/>
      <c r="Q743" s="525"/>
      <c r="R743" s="242"/>
      <c r="S743" s="242"/>
      <c r="T743" s="242"/>
      <c r="U743" s="242"/>
      <c r="V743" s="242"/>
      <c r="W743" s="242"/>
      <c r="X743" s="242"/>
      <c r="Y743" s="242"/>
      <c r="Z743" s="242"/>
      <c r="AA743" s="242"/>
      <c r="AB743" s="242"/>
      <c r="AC743" s="242"/>
      <c r="AD743" s="242"/>
      <c r="AE743" s="242"/>
      <c r="AF743" s="242"/>
    </row>
    <row r="744">
      <c r="A744" s="242"/>
      <c r="B744" s="242"/>
      <c r="C744" s="242"/>
      <c r="D744" s="13"/>
      <c r="E744" s="525"/>
      <c r="F744" s="525"/>
      <c r="G744" s="525"/>
      <c r="H744" s="242"/>
      <c r="I744" s="525"/>
      <c r="J744" s="525"/>
      <c r="K744" s="525"/>
      <c r="L744" s="525"/>
      <c r="M744" s="242"/>
      <c r="N744" s="525"/>
      <c r="O744" s="525"/>
      <c r="P744" s="525"/>
      <c r="Q744" s="525"/>
      <c r="R744" s="242"/>
      <c r="S744" s="242"/>
      <c r="T744" s="242"/>
      <c r="U744" s="242"/>
      <c r="V744" s="242"/>
      <c r="W744" s="242"/>
      <c r="X744" s="242"/>
      <c r="Y744" s="242"/>
      <c r="Z744" s="242"/>
      <c r="AA744" s="242"/>
      <c r="AB744" s="242"/>
      <c r="AC744" s="242"/>
      <c r="AD744" s="242"/>
      <c r="AE744" s="242"/>
      <c r="AF744" s="242"/>
    </row>
    <row r="745">
      <c r="A745" s="242"/>
      <c r="B745" s="242"/>
      <c r="C745" s="242"/>
      <c r="D745" s="13"/>
      <c r="E745" s="525"/>
      <c r="F745" s="525"/>
      <c r="G745" s="525"/>
      <c r="H745" s="242"/>
      <c r="I745" s="525"/>
      <c r="J745" s="525"/>
      <c r="K745" s="525"/>
      <c r="L745" s="525"/>
      <c r="M745" s="242"/>
      <c r="N745" s="525"/>
      <c r="O745" s="525"/>
      <c r="P745" s="525"/>
      <c r="Q745" s="525"/>
      <c r="R745" s="242"/>
      <c r="S745" s="242"/>
      <c r="T745" s="242"/>
      <c r="U745" s="242"/>
      <c r="V745" s="242"/>
      <c r="W745" s="242"/>
      <c r="X745" s="242"/>
      <c r="Y745" s="242"/>
      <c r="Z745" s="242"/>
      <c r="AA745" s="242"/>
      <c r="AB745" s="242"/>
      <c r="AC745" s="242"/>
      <c r="AD745" s="242"/>
      <c r="AE745" s="242"/>
      <c r="AF745" s="242"/>
    </row>
    <row r="746">
      <c r="A746" s="242"/>
      <c r="B746" s="242"/>
      <c r="C746" s="242"/>
      <c r="D746" s="13"/>
      <c r="E746" s="525"/>
      <c r="F746" s="525"/>
      <c r="G746" s="525"/>
      <c r="H746" s="242"/>
      <c r="I746" s="525"/>
      <c r="J746" s="525"/>
      <c r="K746" s="525"/>
      <c r="L746" s="525"/>
      <c r="M746" s="242"/>
      <c r="N746" s="525"/>
      <c r="O746" s="525"/>
      <c r="P746" s="525"/>
      <c r="Q746" s="525"/>
      <c r="R746" s="242"/>
      <c r="S746" s="242"/>
      <c r="T746" s="242"/>
      <c r="U746" s="242"/>
      <c r="V746" s="242"/>
      <c r="W746" s="242"/>
      <c r="X746" s="242"/>
      <c r="Y746" s="242"/>
      <c r="Z746" s="242"/>
      <c r="AA746" s="242"/>
      <c r="AB746" s="242"/>
      <c r="AC746" s="242"/>
      <c r="AD746" s="242"/>
      <c r="AE746" s="242"/>
      <c r="AF746" s="242"/>
    </row>
    <row r="747">
      <c r="A747" s="242"/>
      <c r="B747" s="242"/>
      <c r="C747" s="242"/>
      <c r="D747" s="13"/>
      <c r="E747" s="525"/>
      <c r="F747" s="525"/>
      <c r="G747" s="525"/>
      <c r="H747" s="242"/>
      <c r="I747" s="525"/>
      <c r="J747" s="525"/>
      <c r="K747" s="525"/>
      <c r="L747" s="525"/>
      <c r="M747" s="242"/>
      <c r="N747" s="525"/>
      <c r="O747" s="525"/>
      <c r="P747" s="525"/>
      <c r="Q747" s="525"/>
      <c r="R747" s="242"/>
      <c r="S747" s="242"/>
      <c r="T747" s="242"/>
      <c r="U747" s="242"/>
      <c r="V747" s="242"/>
      <c r="W747" s="242"/>
      <c r="X747" s="242"/>
      <c r="Y747" s="242"/>
      <c r="Z747" s="242"/>
      <c r="AA747" s="242"/>
      <c r="AB747" s="242"/>
      <c r="AC747" s="242"/>
      <c r="AD747" s="242"/>
      <c r="AE747" s="242"/>
      <c r="AF747" s="242"/>
    </row>
    <row r="748">
      <c r="A748" s="242"/>
      <c r="B748" s="242"/>
      <c r="C748" s="242"/>
      <c r="D748" s="13"/>
      <c r="E748" s="525"/>
      <c r="F748" s="525"/>
      <c r="G748" s="525"/>
      <c r="H748" s="242"/>
      <c r="I748" s="525"/>
      <c r="J748" s="525"/>
      <c r="K748" s="525"/>
      <c r="L748" s="525"/>
      <c r="M748" s="242"/>
      <c r="N748" s="525"/>
      <c r="O748" s="525"/>
      <c r="P748" s="525"/>
      <c r="Q748" s="525"/>
      <c r="R748" s="242"/>
      <c r="S748" s="242"/>
      <c r="T748" s="242"/>
      <c r="U748" s="242"/>
      <c r="V748" s="242"/>
      <c r="W748" s="242"/>
      <c r="X748" s="242"/>
      <c r="Y748" s="242"/>
      <c r="Z748" s="242"/>
      <c r="AA748" s="242"/>
      <c r="AB748" s="242"/>
      <c r="AC748" s="242"/>
      <c r="AD748" s="242"/>
      <c r="AE748" s="242"/>
      <c r="AF748" s="242"/>
    </row>
    <row r="749">
      <c r="A749" s="242"/>
      <c r="B749" s="242"/>
      <c r="C749" s="242"/>
      <c r="D749" s="13"/>
      <c r="E749" s="525"/>
      <c r="F749" s="525"/>
      <c r="G749" s="525"/>
      <c r="H749" s="242"/>
      <c r="I749" s="525"/>
      <c r="J749" s="525"/>
      <c r="K749" s="525"/>
      <c r="L749" s="525"/>
      <c r="M749" s="242"/>
      <c r="N749" s="525"/>
      <c r="O749" s="525"/>
      <c r="P749" s="525"/>
      <c r="Q749" s="525"/>
      <c r="R749" s="242"/>
      <c r="S749" s="242"/>
      <c r="T749" s="242"/>
      <c r="U749" s="242"/>
      <c r="V749" s="242"/>
      <c r="W749" s="242"/>
      <c r="X749" s="242"/>
      <c r="Y749" s="242"/>
      <c r="Z749" s="242"/>
      <c r="AA749" s="242"/>
      <c r="AB749" s="242"/>
      <c r="AC749" s="242"/>
      <c r="AD749" s="242"/>
      <c r="AE749" s="242"/>
      <c r="AF749" s="242"/>
    </row>
    <row r="750">
      <c r="A750" s="242"/>
      <c r="B750" s="242"/>
      <c r="C750" s="242"/>
      <c r="D750" s="13"/>
      <c r="E750" s="525"/>
      <c r="F750" s="525"/>
      <c r="G750" s="525"/>
      <c r="H750" s="242"/>
      <c r="I750" s="525"/>
      <c r="J750" s="525"/>
      <c r="K750" s="525"/>
      <c r="L750" s="525"/>
      <c r="M750" s="242"/>
      <c r="N750" s="525"/>
      <c r="O750" s="525"/>
      <c r="P750" s="525"/>
      <c r="Q750" s="525"/>
      <c r="R750" s="242"/>
      <c r="S750" s="242"/>
      <c r="T750" s="242"/>
      <c r="U750" s="242"/>
      <c r="V750" s="242"/>
      <c r="W750" s="242"/>
      <c r="X750" s="242"/>
      <c r="Y750" s="242"/>
      <c r="Z750" s="242"/>
      <c r="AA750" s="242"/>
      <c r="AB750" s="242"/>
      <c r="AC750" s="242"/>
      <c r="AD750" s="242"/>
      <c r="AE750" s="242"/>
      <c r="AF750" s="242"/>
    </row>
    <row r="751">
      <c r="A751" s="242"/>
      <c r="B751" s="242"/>
      <c r="C751" s="242"/>
      <c r="D751" s="13"/>
      <c r="E751" s="525"/>
      <c r="F751" s="525"/>
      <c r="G751" s="525"/>
      <c r="H751" s="242"/>
      <c r="I751" s="525"/>
      <c r="J751" s="525"/>
      <c r="K751" s="525"/>
      <c r="L751" s="525"/>
      <c r="M751" s="242"/>
      <c r="N751" s="525"/>
      <c r="O751" s="525"/>
      <c r="P751" s="525"/>
      <c r="Q751" s="525"/>
      <c r="R751" s="242"/>
      <c r="S751" s="242"/>
      <c r="T751" s="242"/>
      <c r="U751" s="242"/>
      <c r="V751" s="242"/>
      <c r="W751" s="242"/>
      <c r="X751" s="242"/>
      <c r="Y751" s="242"/>
      <c r="Z751" s="242"/>
      <c r="AA751" s="242"/>
      <c r="AB751" s="242"/>
      <c r="AC751" s="242"/>
      <c r="AD751" s="242"/>
      <c r="AE751" s="242"/>
      <c r="AF751" s="242"/>
    </row>
    <row r="752">
      <c r="A752" s="242"/>
      <c r="B752" s="242"/>
      <c r="C752" s="242"/>
      <c r="D752" s="13"/>
      <c r="E752" s="525"/>
      <c r="F752" s="525"/>
      <c r="G752" s="525"/>
      <c r="H752" s="242"/>
      <c r="I752" s="525"/>
      <c r="J752" s="525"/>
      <c r="K752" s="525"/>
      <c r="L752" s="525"/>
      <c r="M752" s="242"/>
      <c r="N752" s="525"/>
      <c r="O752" s="525"/>
      <c r="P752" s="525"/>
      <c r="Q752" s="525"/>
      <c r="R752" s="242"/>
      <c r="S752" s="242"/>
      <c r="T752" s="242"/>
      <c r="U752" s="242"/>
      <c r="V752" s="242"/>
      <c r="W752" s="242"/>
      <c r="X752" s="242"/>
      <c r="Y752" s="242"/>
      <c r="Z752" s="242"/>
      <c r="AA752" s="242"/>
      <c r="AB752" s="242"/>
      <c r="AC752" s="242"/>
      <c r="AD752" s="242"/>
      <c r="AE752" s="242"/>
      <c r="AF752" s="242"/>
    </row>
    <row r="753">
      <c r="A753" s="242"/>
      <c r="B753" s="242"/>
      <c r="C753" s="242"/>
      <c r="D753" s="13"/>
      <c r="E753" s="525"/>
      <c r="F753" s="525"/>
      <c r="G753" s="525"/>
      <c r="H753" s="242"/>
      <c r="I753" s="525"/>
      <c r="J753" s="525"/>
      <c r="K753" s="525"/>
      <c r="L753" s="525"/>
      <c r="M753" s="242"/>
      <c r="N753" s="525"/>
      <c r="O753" s="525"/>
      <c r="P753" s="525"/>
      <c r="Q753" s="525"/>
      <c r="R753" s="242"/>
      <c r="S753" s="242"/>
      <c r="T753" s="242"/>
      <c r="U753" s="242"/>
      <c r="V753" s="242"/>
      <c r="W753" s="242"/>
      <c r="X753" s="242"/>
      <c r="Y753" s="242"/>
      <c r="Z753" s="242"/>
      <c r="AA753" s="242"/>
      <c r="AB753" s="242"/>
      <c r="AC753" s="242"/>
      <c r="AD753" s="242"/>
      <c r="AE753" s="242"/>
      <c r="AF753" s="242"/>
    </row>
    <row r="754">
      <c r="A754" s="242"/>
      <c r="B754" s="242"/>
      <c r="C754" s="242"/>
      <c r="D754" s="13"/>
      <c r="E754" s="525"/>
      <c r="F754" s="525"/>
      <c r="G754" s="525"/>
      <c r="H754" s="242"/>
      <c r="I754" s="525"/>
      <c r="J754" s="525"/>
      <c r="K754" s="525"/>
      <c r="L754" s="525"/>
      <c r="M754" s="242"/>
      <c r="N754" s="525"/>
      <c r="O754" s="525"/>
      <c r="P754" s="525"/>
      <c r="Q754" s="525"/>
      <c r="R754" s="242"/>
      <c r="S754" s="242"/>
      <c r="T754" s="242"/>
      <c r="U754" s="242"/>
      <c r="V754" s="242"/>
      <c r="W754" s="242"/>
      <c r="X754" s="242"/>
      <c r="Y754" s="242"/>
      <c r="Z754" s="242"/>
      <c r="AA754" s="242"/>
      <c r="AB754" s="242"/>
      <c r="AC754" s="242"/>
      <c r="AD754" s="242"/>
      <c r="AE754" s="242"/>
      <c r="AF754" s="242"/>
    </row>
    <row r="755">
      <c r="A755" s="242"/>
      <c r="B755" s="242"/>
      <c r="C755" s="242"/>
      <c r="D755" s="13"/>
      <c r="E755" s="525"/>
      <c r="F755" s="525"/>
      <c r="G755" s="525"/>
      <c r="H755" s="242"/>
      <c r="I755" s="525"/>
      <c r="J755" s="525"/>
      <c r="K755" s="525"/>
      <c r="L755" s="525"/>
      <c r="M755" s="242"/>
      <c r="N755" s="525"/>
      <c r="O755" s="525"/>
      <c r="P755" s="525"/>
      <c r="Q755" s="525"/>
      <c r="R755" s="242"/>
      <c r="S755" s="242"/>
      <c r="T755" s="242"/>
      <c r="U755" s="242"/>
      <c r="V755" s="242"/>
      <c r="W755" s="242"/>
      <c r="X755" s="242"/>
      <c r="Y755" s="242"/>
      <c r="Z755" s="242"/>
      <c r="AA755" s="242"/>
      <c r="AB755" s="242"/>
      <c r="AC755" s="242"/>
      <c r="AD755" s="242"/>
      <c r="AE755" s="242"/>
      <c r="AF755" s="242"/>
    </row>
    <row r="756">
      <c r="A756" s="242"/>
      <c r="B756" s="242"/>
      <c r="C756" s="242"/>
      <c r="D756" s="13"/>
      <c r="E756" s="525"/>
      <c r="F756" s="525"/>
      <c r="G756" s="525"/>
      <c r="H756" s="242"/>
      <c r="I756" s="525"/>
      <c r="J756" s="525"/>
      <c r="K756" s="525"/>
      <c r="L756" s="525"/>
      <c r="M756" s="242"/>
      <c r="N756" s="525"/>
      <c r="O756" s="525"/>
      <c r="P756" s="525"/>
      <c r="Q756" s="525"/>
      <c r="R756" s="242"/>
      <c r="S756" s="242"/>
      <c r="T756" s="242"/>
      <c r="U756" s="242"/>
      <c r="V756" s="242"/>
      <c r="W756" s="242"/>
      <c r="X756" s="242"/>
      <c r="Y756" s="242"/>
      <c r="Z756" s="242"/>
      <c r="AA756" s="242"/>
      <c r="AB756" s="242"/>
      <c r="AC756" s="242"/>
      <c r="AD756" s="242"/>
      <c r="AE756" s="242"/>
      <c r="AF756" s="242"/>
    </row>
    <row r="757">
      <c r="A757" s="242"/>
      <c r="B757" s="242"/>
      <c r="C757" s="242"/>
      <c r="D757" s="13"/>
      <c r="E757" s="525"/>
      <c r="F757" s="525"/>
      <c r="G757" s="525"/>
      <c r="H757" s="242"/>
      <c r="I757" s="525"/>
      <c r="J757" s="525"/>
      <c r="K757" s="525"/>
      <c r="L757" s="525"/>
      <c r="M757" s="242"/>
      <c r="N757" s="525"/>
      <c r="O757" s="525"/>
      <c r="P757" s="525"/>
      <c r="Q757" s="525"/>
      <c r="R757" s="242"/>
      <c r="S757" s="242"/>
      <c r="T757" s="242"/>
      <c r="U757" s="242"/>
      <c r="V757" s="242"/>
      <c r="W757" s="242"/>
      <c r="X757" s="242"/>
      <c r="Y757" s="242"/>
      <c r="Z757" s="242"/>
      <c r="AA757" s="242"/>
      <c r="AB757" s="242"/>
      <c r="AC757" s="242"/>
      <c r="AD757" s="242"/>
      <c r="AE757" s="242"/>
      <c r="AF757" s="242"/>
    </row>
    <row r="758">
      <c r="A758" s="242"/>
      <c r="B758" s="242"/>
      <c r="C758" s="242"/>
      <c r="D758" s="13"/>
      <c r="E758" s="525"/>
      <c r="F758" s="525"/>
      <c r="G758" s="525"/>
      <c r="H758" s="242"/>
      <c r="I758" s="525"/>
      <c r="J758" s="525"/>
      <c r="K758" s="525"/>
      <c r="L758" s="525"/>
      <c r="M758" s="242"/>
      <c r="N758" s="525"/>
      <c r="O758" s="525"/>
      <c r="P758" s="525"/>
      <c r="Q758" s="525"/>
      <c r="R758" s="242"/>
      <c r="S758" s="242"/>
      <c r="T758" s="242"/>
      <c r="U758" s="242"/>
      <c r="V758" s="242"/>
      <c r="W758" s="242"/>
      <c r="X758" s="242"/>
      <c r="Y758" s="242"/>
      <c r="Z758" s="242"/>
      <c r="AA758" s="242"/>
      <c r="AB758" s="242"/>
      <c r="AC758" s="242"/>
      <c r="AD758" s="242"/>
      <c r="AE758" s="242"/>
      <c r="AF758" s="242"/>
    </row>
    <row r="759">
      <c r="A759" s="242"/>
      <c r="B759" s="242"/>
      <c r="C759" s="242"/>
      <c r="D759" s="13"/>
      <c r="E759" s="525"/>
      <c r="F759" s="525"/>
      <c r="G759" s="525"/>
      <c r="H759" s="242"/>
      <c r="I759" s="525"/>
      <c r="J759" s="525"/>
      <c r="K759" s="525"/>
      <c r="L759" s="525"/>
      <c r="M759" s="242"/>
      <c r="N759" s="525"/>
      <c r="O759" s="525"/>
      <c r="P759" s="525"/>
      <c r="Q759" s="525"/>
      <c r="R759" s="242"/>
      <c r="S759" s="242"/>
      <c r="T759" s="242"/>
      <c r="U759" s="242"/>
      <c r="V759" s="242"/>
      <c r="W759" s="242"/>
      <c r="X759" s="242"/>
      <c r="Y759" s="242"/>
      <c r="Z759" s="242"/>
      <c r="AA759" s="242"/>
      <c r="AB759" s="242"/>
      <c r="AC759" s="242"/>
      <c r="AD759" s="242"/>
      <c r="AE759" s="242"/>
      <c r="AF759" s="242"/>
    </row>
    <row r="760">
      <c r="A760" s="242"/>
      <c r="B760" s="242"/>
      <c r="C760" s="242"/>
      <c r="D760" s="13"/>
      <c r="E760" s="525"/>
      <c r="F760" s="525"/>
      <c r="G760" s="525"/>
      <c r="H760" s="242"/>
      <c r="I760" s="525"/>
      <c r="J760" s="525"/>
      <c r="K760" s="525"/>
      <c r="L760" s="525"/>
      <c r="M760" s="242"/>
      <c r="N760" s="525"/>
      <c r="O760" s="525"/>
      <c r="P760" s="525"/>
      <c r="Q760" s="525"/>
      <c r="R760" s="242"/>
      <c r="S760" s="242"/>
      <c r="T760" s="242"/>
      <c r="U760" s="242"/>
      <c r="V760" s="242"/>
      <c r="W760" s="242"/>
      <c r="X760" s="242"/>
      <c r="Y760" s="242"/>
      <c r="Z760" s="242"/>
      <c r="AA760" s="242"/>
      <c r="AB760" s="242"/>
      <c r="AC760" s="242"/>
      <c r="AD760" s="242"/>
      <c r="AE760" s="242"/>
      <c r="AF760" s="242"/>
    </row>
    <row r="761">
      <c r="A761" s="242"/>
      <c r="B761" s="242"/>
      <c r="C761" s="242"/>
      <c r="D761" s="13"/>
      <c r="E761" s="525"/>
      <c r="F761" s="525"/>
      <c r="G761" s="525"/>
      <c r="H761" s="242"/>
      <c r="I761" s="525"/>
      <c r="J761" s="525"/>
      <c r="K761" s="525"/>
      <c r="L761" s="525"/>
      <c r="M761" s="242"/>
      <c r="N761" s="525"/>
      <c r="O761" s="525"/>
      <c r="P761" s="525"/>
      <c r="Q761" s="525"/>
      <c r="R761" s="242"/>
      <c r="S761" s="242"/>
      <c r="T761" s="242"/>
      <c r="U761" s="242"/>
      <c r="V761" s="242"/>
      <c r="W761" s="242"/>
      <c r="X761" s="242"/>
      <c r="Y761" s="242"/>
      <c r="Z761" s="242"/>
      <c r="AA761" s="242"/>
      <c r="AB761" s="242"/>
      <c r="AC761" s="242"/>
      <c r="AD761" s="242"/>
      <c r="AE761" s="242"/>
      <c r="AF761" s="242"/>
    </row>
    <row r="762">
      <c r="A762" s="242"/>
      <c r="B762" s="242"/>
      <c r="C762" s="242"/>
      <c r="D762" s="13"/>
      <c r="E762" s="525"/>
      <c r="F762" s="525"/>
      <c r="G762" s="525"/>
      <c r="H762" s="242"/>
      <c r="I762" s="525"/>
      <c r="J762" s="525"/>
      <c r="K762" s="525"/>
      <c r="L762" s="525"/>
      <c r="M762" s="242"/>
      <c r="N762" s="525"/>
      <c r="O762" s="525"/>
      <c r="P762" s="525"/>
      <c r="Q762" s="525"/>
      <c r="R762" s="242"/>
      <c r="S762" s="242"/>
      <c r="T762" s="242"/>
      <c r="U762" s="242"/>
      <c r="V762" s="242"/>
      <c r="W762" s="242"/>
      <c r="X762" s="242"/>
      <c r="Y762" s="242"/>
      <c r="Z762" s="242"/>
      <c r="AA762" s="242"/>
      <c r="AB762" s="242"/>
      <c r="AC762" s="242"/>
      <c r="AD762" s="242"/>
      <c r="AE762" s="242"/>
      <c r="AF762" s="242"/>
    </row>
    <row r="763">
      <c r="A763" s="242"/>
      <c r="B763" s="242"/>
      <c r="C763" s="242"/>
      <c r="D763" s="13"/>
      <c r="E763" s="525"/>
      <c r="F763" s="525"/>
      <c r="G763" s="525"/>
      <c r="H763" s="242"/>
      <c r="I763" s="525"/>
      <c r="J763" s="525"/>
      <c r="K763" s="525"/>
      <c r="L763" s="525"/>
      <c r="M763" s="242"/>
      <c r="N763" s="525"/>
      <c r="O763" s="525"/>
      <c r="P763" s="525"/>
      <c r="Q763" s="525"/>
      <c r="R763" s="242"/>
      <c r="S763" s="242"/>
      <c r="T763" s="242"/>
      <c r="U763" s="242"/>
      <c r="V763" s="242"/>
      <c r="W763" s="242"/>
      <c r="X763" s="242"/>
      <c r="Y763" s="242"/>
      <c r="Z763" s="242"/>
      <c r="AA763" s="242"/>
      <c r="AB763" s="242"/>
      <c r="AC763" s="242"/>
      <c r="AD763" s="242"/>
      <c r="AE763" s="242"/>
      <c r="AF763" s="242"/>
    </row>
    <row r="764">
      <c r="A764" s="242"/>
      <c r="B764" s="242"/>
      <c r="C764" s="242"/>
      <c r="D764" s="13"/>
      <c r="E764" s="525"/>
      <c r="F764" s="525"/>
      <c r="G764" s="525"/>
      <c r="H764" s="242"/>
      <c r="I764" s="525"/>
      <c r="J764" s="525"/>
      <c r="K764" s="525"/>
      <c r="L764" s="525"/>
      <c r="M764" s="242"/>
      <c r="N764" s="525"/>
      <c r="O764" s="525"/>
      <c r="P764" s="525"/>
      <c r="Q764" s="525"/>
      <c r="R764" s="242"/>
      <c r="S764" s="242"/>
      <c r="T764" s="242"/>
      <c r="U764" s="242"/>
      <c r="V764" s="242"/>
      <c r="W764" s="242"/>
      <c r="X764" s="242"/>
      <c r="Y764" s="242"/>
      <c r="Z764" s="242"/>
      <c r="AA764" s="242"/>
      <c r="AB764" s="242"/>
      <c r="AC764" s="242"/>
      <c r="AD764" s="242"/>
      <c r="AE764" s="242"/>
      <c r="AF764" s="242"/>
    </row>
    <row r="765">
      <c r="A765" s="242"/>
      <c r="B765" s="242"/>
      <c r="C765" s="242"/>
      <c r="D765" s="13"/>
      <c r="E765" s="525"/>
      <c r="F765" s="525"/>
      <c r="G765" s="525"/>
      <c r="H765" s="242"/>
      <c r="I765" s="525"/>
      <c r="J765" s="525"/>
      <c r="K765" s="525"/>
      <c r="L765" s="525"/>
      <c r="M765" s="242"/>
      <c r="N765" s="525"/>
      <c r="O765" s="525"/>
      <c r="P765" s="525"/>
      <c r="Q765" s="525"/>
      <c r="R765" s="242"/>
      <c r="S765" s="242"/>
      <c r="T765" s="242"/>
      <c r="U765" s="242"/>
      <c r="V765" s="242"/>
      <c r="W765" s="242"/>
      <c r="X765" s="242"/>
      <c r="Y765" s="242"/>
      <c r="Z765" s="242"/>
      <c r="AA765" s="242"/>
      <c r="AB765" s="242"/>
      <c r="AC765" s="242"/>
      <c r="AD765" s="242"/>
      <c r="AE765" s="242"/>
      <c r="AF765" s="242"/>
    </row>
    <row r="766">
      <c r="A766" s="242"/>
      <c r="B766" s="242"/>
      <c r="C766" s="242"/>
      <c r="D766" s="13"/>
      <c r="E766" s="525"/>
      <c r="F766" s="525"/>
      <c r="G766" s="525"/>
      <c r="H766" s="242"/>
      <c r="I766" s="525"/>
      <c r="J766" s="525"/>
      <c r="K766" s="525"/>
      <c r="L766" s="525"/>
      <c r="M766" s="242"/>
      <c r="N766" s="525"/>
      <c r="O766" s="525"/>
      <c r="P766" s="525"/>
      <c r="Q766" s="525"/>
      <c r="R766" s="242"/>
      <c r="S766" s="242"/>
      <c r="T766" s="242"/>
      <c r="U766" s="242"/>
      <c r="V766" s="242"/>
      <c r="W766" s="242"/>
      <c r="X766" s="242"/>
      <c r="Y766" s="242"/>
      <c r="Z766" s="242"/>
      <c r="AA766" s="242"/>
      <c r="AB766" s="242"/>
      <c r="AC766" s="242"/>
      <c r="AD766" s="242"/>
      <c r="AE766" s="242"/>
      <c r="AF766" s="242"/>
    </row>
    <row r="767">
      <c r="A767" s="242"/>
      <c r="B767" s="242"/>
      <c r="C767" s="242"/>
      <c r="D767" s="13"/>
      <c r="E767" s="525"/>
      <c r="F767" s="525"/>
      <c r="G767" s="525"/>
      <c r="H767" s="242"/>
      <c r="I767" s="525"/>
      <c r="J767" s="525"/>
      <c r="K767" s="525"/>
      <c r="L767" s="525"/>
      <c r="M767" s="242"/>
      <c r="N767" s="525"/>
      <c r="O767" s="525"/>
      <c r="P767" s="525"/>
      <c r="Q767" s="525"/>
      <c r="R767" s="242"/>
      <c r="S767" s="242"/>
      <c r="T767" s="242"/>
      <c r="U767" s="242"/>
      <c r="V767" s="242"/>
      <c r="W767" s="242"/>
      <c r="X767" s="242"/>
      <c r="Y767" s="242"/>
      <c r="Z767" s="242"/>
      <c r="AA767" s="242"/>
      <c r="AB767" s="242"/>
      <c r="AC767" s="242"/>
      <c r="AD767" s="242"/>
      <c r="AE767" s="242"/>
      <c r="AF767" s="242"/>
    </row>
    <row r="768">
      <c r="A768" s="242"/>
      <c r="B768" s="242"/>
      <c r="C768" s="242"/>
      <c r="D768" s="13"/>
      <c r="E768" s="525"/>
      <c r="F768" s="525"/>
      <c r="G768" s="525"/>
      <c r="H768" s="242"/>
      <c r="I768" s="525"/>
      <c r="J768" s="525"/>
      <c r="K768" s="525"/>
      <c r="L768" s="525"/>
      <c r="M768" s="242"/>
      <c r="N768" s="525"/>
      <c r="O768" s="525"/>
      <c r="P768" s="525"/>
      <c r="Q768" s="525"/>
      <c r="R768" s="242"/>
      <c r="S768" s="242"/>
      <c r="T768" s="242"/>
      <c r="U768" s="242"/>
      <c r="V768" s="242"/>
      <c r="W768" s="242"/>
      <c r="X768" s="242"/>
      <c r="Y768" s="242"/>
      <c r="Z768" s="242"/>
      <c r="AA768" s="242"/>
      <c r="AB768" s="242"/>
      <c r="AC768" s="242"/>
      <c r="AD768" s="242"/>
      <c r="AE768" s="242"/>
      <c r="AF768" s="242"/>
    </row>
    <row r="769">
      <c r="A769" s="242"/>
      <c r="B769" s="242"/>
      <c r="C769" s="242"/>
      <c r="D769" s="13"/>
      <c r="E769" s="525"/>
      <c r="F769" s="525"/>
      <c r="G769" s="525"/>
      <c r="H769" s="242"/>
      <c r="I769" s="525"/>
      <c r="J769" s="525"/>
      <c r="K769" s="525"/>
      <c r="L769" s="525"/>
      <c r="M769" s="242"/>
      <c r="N769" s="525"/>
      <c r="O769" s="525"/>
      <c r="P769" s="525"/>
      <c r="Q769" s="525"/>
      <c r="R769" s="242"/>
      <c r="S769" s="242"/>
      <c r="T769" s="242"/>
      <c r="U769" s="242"/>
      <c r="V769" s="242"/>
      <c r="W769" s="242"/>
      <c r="X769" s="242"/>
      <c r="Y769" s="242"/>
      <c r="Z769" s="242"/>
      <c r="AA769" s="242"/>
      <c r="AB769" s="242"/>
      <c r="AC769" s="242"/>
      <c r="AD769" s="242"/>
      <c r="AE769" s="242"/>
      <c r="AF769" s="242"/>
    </row>
    <row r="770">
      <c r="A770" s="242"/>
      <c r="B770" s="242"/>
      <c r="C770" s="242"/>
      <c r="D770" s="13"/>
      <c r="E770" s="525"/>
      <c r="F770" s="525"/>
      <c r="G770" s="525"/>
      <c r="H770" s="242"/>
      <c r="I770" s="525"/>
      <c r="J770" s="525"/>
      <c r="K770" s="525"/>
      <c r="L770" s="525"/>
      <c r="M770" s="242"/>
      <c r="N770" s="525"/>
      <c r="O770" s="525"/>
      <c r="P770" s="525"/>
      <c r="Q770" s="525"/>
      <c r="R770" s="242"/>
      <c r="S770" s="242"/>
      <c r="T770" s="242"/>
      <c r="U770" s="242"/>
      <c r="V770" s="242"/>
      <c r="W770" s="242"/>
      <c r="X770" s="242"/>
      <c r="Y770" s="242"/>
      <c r="Z770" s="242"/>
      <c r="AA770" s="242"/>
      <c r="AB770" s="242"/>
      <c r="AC770" s="242"/>
      <c r="AD770" s="242"/>
      <c r="AE770" s="242"/>
      <c r="AF770" s="242"/>
    </row>
    <row r="771">
      <c r="A771" s="242"/>
      <c r="B771" s="242"/>
      <c r="C771" s="242"/>
      <c r="D771" s="13"/>
      <c r="E771" s="525"/>
      <c r="F771" s="525"/>
      <c r="G771" s="525"/>
      <c r="H771" s="242"/>
      <c r="I771" s="525"/>
      <c r="J771" s="525"/>
      <c r="K771" s="525"/>
      <c r="L771" s="525"/>
      <c r="M771" s="242"/>
      <c r="N771" s="525"/>
      <c r="O771" s="525"/>
      <c r="P771" s="525"/>
      <c r="Q771" s="525"/>
      <c r="R771" s="242"/>
      <c r="S771" s="242"/>
      <c r="T771" s="242"/>
      <c r="U771" s="242"/>
      <c r="V771" s="242"/>
      <c r="W771" s="242"/>
      <c r="X771" s="242"/>
      <c r="Y771" s="242"/>
      <c r="Z771" s="242"/>
      <c r="AA771" s="242"/>
      <c r="AB771" s="242"/>
      <c r="AC771" s="242"/>
      <c r="AD771" s="242"/>
      <c r="AE771" s="242"/>
      <c r="AF771" s="242"/>
    </row>
    <row r="772">
      <c r="A772" s="242"/>
      <c r="B772" s="242"/>
      <c r="C772" s="242"/>
      <c r="D772" s="13"/>
      <c r="E772" s="525"/>
      <c r="F772" s="525"/>
      <c r="G772" s="525"/>
      <c r="H772" s="242"/>
      <c r="I772" s="525"/>
      <c r="J772" s="525"/>
      <c r="K772" s="525"/>
      <c r="L772" s="525"/>
      <c r="M772" s="242"/>
      <c r="N772" s="525"/>
      <c r="O772" s="525"/>
      <c r="P772" s="525"/>
      <c r="Q772" s="525"/>
      <c r="R772" s="242"/>
      <c r="S772" s="242"/>
      <c r="T772" s="242"/>
      <c r="U772" s="242"/>
      <c r="V772" s="242"/>
      <c r="W772" s="242"/>
      <c r="X772" s="242"/>
      <c r="Y772" s="242"/>
      <c r="Z772" s="242"/>
      <c r="AA772" s="242"/>
      <c r="AB772" s="242"/>
      <c r="AC772" s="242"/>
      <c r="AD772" s="242"/>
      <c r="AE772" s="242"/>
      <c r="AF772" s="242"/>
    </row>
    <row r="773">
      <c r="A773" s="242"/>
      <c r="B773" s="242"/>
      <c r="C773" s="242"/>
      <c r="D773" s="13"/>
      <c r="E773" s="525"/>
      <c r="F773" s="525"/>
      <c r="G773" s="525"/>
      <c r="H773" s="242"/>
      <c r="I773" s="525"/>
      <c r="J773" s="525"/>
      <c r="K773" s="525"/>
      <c r="L773" s="525"/>
      <c r="M773" s="242"/>
      <c r="N773" s="525"/>
      <c r="O773" s="525"/>
      <c r="P773" s="525"/>
      <c r="Q773" s="525"/>
      <c r="R773" s="242"/>
      <c r="S773" s="242"/>
      <c r="T773" s="242"/>
      <c r="U773" s="242"/>
      <c r="V773" s="242"/>
      <c r="W773" s="242"/>
      <c r="X773" s="242"/>
      <c r="Y773" s="242"/>
      <c r="Z773" s="242"/>
      <c r="AA773" s="242"/>
      <c r="AB773" s="242"/>
      <c r="AC773" s="242"/>
      <c r="AD773" s="242"/>
      <c r="AE773" s="242"/>
      <c r="AF773" s="242"/>
    </row>
    <row r="774">
      <c r="A774" s="242"/>
      <c r="B774" s="242"/>
      <c r="C774" s="242"/>
      <c r="D774" s="13"/>
      <c r="E774" s="525"/>
      <c r="F774" s="525"/>
      <c r="G774" s="525"/>
      <c r="H774" s="242"/>
      <c r="I774" s="525"/>
      <c r="J774" s="525"/>
      <c r="K774" s="525"/>
      <c r="L774" s="525"/>
      <c r="M774" s="242"/>
      <c r="N774" s="525"/>
      <c r="O774" s="525"/>
      <c r="P774" s="525"/>
      <c r="Q774" s="525"/>
      <c r="R774" s="242"/>
      <c r="S774" s="242"/>
      <c r="T774" s="242"/>
      <c r="U774" s="242"/>
      <c r="V774" s="242"/>
      <c r="W774" s="242"/>
      <c r="X774" s="242"/>
      <c r="Y774" s="242"/>
      <c r="Z774" s="242"/>
      <c r="AA774" s="242"/>
      <c r="AB774" s="242"/>
      <c r="AC774" s="242"/>
      <c r="AD774" s="242"/>
      <c r="AE774" s="242"/>
      <c r="AF774" s="242"/>
    </row>
    <row r="775">
      <c r="A775" s="242"/>
      <c r="B775" s="242"/>
      <c r="C775" s="242"/>
      <c r="D775" s="13"/>
      <c r="E775" s="525"/>
      <c r="F775" s="525"/>
      <c r="G775" s="525"/>
      <c r="H775" s="242"/>
      <c r="I775" s="525"/>
      <c r="J775" s="525"/>
      <c r="K775" s="525"/>
      <c r="L775" s="525"/>
      <c r="M775" s="242"/>
      <c r="N775" s="525"/>
      <c r="O775" s="525"/>
      <c r="P775" s="525"/>
      <c r="Q775" s="525"/>
      <c r="R775" s="242"/>
      <c r="S775" s="242"/>
      <c r="T775" s="242"/>
      <c r="U775" s="242"/>
      <c r="V775" s="242"/>
      <c r="W775" s="242"/>
      <c r="X775" s="242"/>
      <c r="Y775" s="242"/>
      <c r="Z775" s="242"/>
      <c r="AA775" s="242"/>
      <c r="AB775" s="242"/>
      <c r="AC775" s="242"/>
      <c r="AD775" s="242"/>
      <c r="AE775" s="242"/>
      <c r="AF775" s="242"/>
    </row>
    <row r="776">
      <c r="A776" s="242"/>
      <c r="B776" s="242"/>
      <c r="C776" s="242"/>
      <c r="D776" s="13"/>
      <c r="E776" s="525"/>
      <c r="F776" s="525"/>
      <c r="G776" s="525"/>
      <c r="H776" s="242"/>
      <c r="I776" s="525"/>
      <c r="J776" s="525"/>
      <c r="K776" s="525"/>
      <c r="L776" s="525"/>
      <c r="M776" s="242"/>
      <c r="N776" s="525"/>
      <c r="O776" s="525"/>
      <c r="P776" s="525"/>
      <c r="Q776" s="525"/>
      <c r="R776" s="242"/>
      <c r="S776" s="242"/>
      <c r="T776" s="242"/>
      <c r="U776" s="242"/>
      <c r="V776" s="242"/>
      <c r="W776" s="242"/>
      <c r="X776" s="242"/>
      <c r="Y776" s="242"/>
      <c r="Z776" s="242"/>
      <c r="AA776" s="242"/>
      <c r="AB776" s="242"/>
      <c r="AC776" s="242"/>
      <c r="AD776" s="242"/>
      <c r="AE776" s="242"/>
      <c r="AF776" s="242"/>
    </row>
    <row r="777">
      <c r="A777" s="242"/>
      <c r="B777" s="242"/>
      <c r="C777" s="242"/>
      <c r="D777" s="13"/>
      <c r="E777" s="525"/>
      <c r="F777" s="525"/>
      <c r="G777" s="525"/>
      <c r="H777" s="242"/>
      <c r="I777" s="525"/>
      <c r="J777" s="525"/>
      <c r="K777" s="525"/>
      <c r="L777" s="525"/>
      <c r="M777" s="242"/>
      <c r="N777" s="525"/>
      <c r="O777" s="525"/>
      <c r="P777" s="525"/>
      <c r="Q777" s="525"/>
      <c r="R777" s="242"/>
      <c r="S777" s="242"/>
      <c r="T777" s="242"/>
      <c r="U777" s="242"/>
      <c r="V777" s="242"/>
      <c r="W777" s="242"/>
      <c r="X777" s="242"/>
      <c r="Y777" s="242"/>
      <c r="Z777" s="242"/>
      <c r="AA777" s="242"/>
      <c r="AB777" s="242"/>
      <c r="AC777" s="242"/>
      <c r="AD777" s="242"/>
      <c r="AE777" s="242"/>
      <c r="AF777" s="242"/>
    </row>
    <row r="778">
      <c r="A778" s="242"/>
      <c r="B778" s="242"/>
      <c r="C778" s="242"/>
      <c r="D778" s="13"/>
      <c r="E778" s="525"/>
      <c r="F778" s="525"/>
      <c r="G778" s="525"/>
      <c r="H778" s="242"/>
      <c r="I778" s="525"/>
      <c r="J778" s="525"/>
      <c r="K778" s="525"/>
      <c r="L778" s="525"/>
      <c r="M778" s="242"/>
      <c r="N778" s="525"/>
      <c r="O778" s="525"/>
      <c r="P778" s="525"/>
      <c r="Q778" s="525"/>
      <c r="R778" s="242"/>
      <c r="S778" s="242"/>
      <c r="T778" s="242"/>
      <c r="U778" s="242"/>
      <c r="V778" s="242"/>
      <c r="W778" s="242"/>
      <c r="X778" s="242"/>
      <c r="Y778" s="242"/>
      <c r="Z778" s="242"/>
      <c r="AA778" s="242"/>
      <c r="AB778" s="242"/>
      <c r="AC778" s="242"/>
      <c r="AD778" s="242"/>
      <c r="AE778" s="242"/>
      <c r="AF778" s="242"/>
    </row>
    <row r="779">
      <c r="A779" s="242"/>
      <c r="B779" s="242"/>
      <c r="C779" s="242"/>
      <c r="D779" s="13"/>
      <c r="E779" s="525"/>
      <c r="F779" s="525"/>
      <c r="G779" s="525"/>
      <c r="H779" s="242"/>
      <c r="I779" s="525"/>
      <c r="J779" s="525"/>
      <c r="K779" s="525"/>
      <c r="L779" s="525"/>
      <c r="M779" s="242"/>
      <c r="N779" s="525"/>
      <c r="O779" s="525"/>
      <c r="P779" s="525"/>
      <c r="Q779" s="525"/>
      <c r="R779" s="242"/>
      <c r="S779" s="242"/>
      <c r="T779" s="242"/>
      <c r="U779" s="242"/>
      <c r="V779" s="242"/>
      <c r="W779" s="242"/>
      <c r="X779" s="242"/>
      <c r="Y779" s="242"/>
      <c r="Z779" s="242"/>
      <c r="AA779" s="242"/>
      <c r="AB779" s="242"/>
      <c r="AC779" s="242"/>
      <c r="AD779" s="242"/>
      <c r="AE779" s="242"/>
      <c r="AF779" s="242"/>
    </row>
    <row r="780">
      <c r="A780" s="242"/>
      <c r="B780" s="242"/>
      <c r="C780" s="242"/>
      <c r="D780" s="13"/>
      <c r="E780" s="525"/>
      <c r="F780" s="525"/>
      <c r="G780" s="525"/>
      <c r="H780" s="242"/>
      <c r="I780" s="525"/>
      <c r="J780" s="525"/>
      <c r="K780" s="525"/>
      <c r="L780" s="525"/>
      <c r="M780" s="242"/>
      <c r="N780" s="525"/>
      <c r="O780" s="525"/>
      <c r="P780" s="525"/>
      <c r="Q780" s="525"/>
      <c r="R780" s="242"/>
      <c r="S780" s="242"/>
      <c r="T780" s="242"/>
      <c r="U780" s="242"/>
      <c r="V780" s="242"/>
      <c r="W780" s="242"/>
      <c r="X780" s="242"/>
      <c r="Y780" s="242"/>
      <c r="Z780" s="242"/>
      <c r="AA780" s="242"/>
      <c r="AB780" s="242"/>
      <c r="AC780" s="242"/>
      <c r="AD780" s="242"/>
      <c r="AE780" s="242"/>
      <c r="AF780" s="242"/>
    </row>
    <row r="781">
      <c r="A781" s="242"/>
      <c r="B781" s="242"/>
      <c r="C781" s="242"/>
      <c r="D781" s="13"/>
      <c r="E781" s="525"/>
      <c r="F781" s="525"/>
      <c r="G781" s="525"/>
      <c r="H781" s="242"/>
      <c r="I781" s="525"/>
      <c r="J781" s="525"/>
      <c r="K781" s="525"/>
      <c r="L781" s="525"/>
      <c r="M781" s="242"/>
      <c r="N781" s="525"/>
      <c r="O781" s="525"/>
      <c r="P781" s="525"/>
      <c r="Q781" s="525"/>
      <c r="R781" s="242"/>
      <c r="S781" s="242"/>
      <c r="T781" s="242"/>
      <c r="U781" s="242"/>
      <c r="V781" s="242"/>
      <c r="W781" s="242"/>
      <c r="X781" s="242"/>
      <c r="Y781" s="242"/>
      <c r="Z781" s="242"/>
      <c r="AA781" s="242"/>
      <c r="AB781" s="242"/>
      <c r="AC781" s="242"/>
      <c r="AD781" s="242"/>
      <c r="AE781" s="242"/>
      <c r="AF781" s="242"/>
    </row>
    <row r="782">
      <c r="A782" s="242"/>
      <c r="B782" s="242"/>
      <c r="C782" s="242"/>
      <c r="D782" s="13"/>
      <c r="E782" s="525"/>
      <c r="F782" s="525"/>
      <c r="G782" s="525"/>
      <c r="H782" s="242"/>
      <c r="I782" s="525"/>
      <c r="J782" s="525"/>
      <c r="K782" s="525"/>
      <c r="L782" s="525"/>
      <c r="M782" s="242"/>
      <c r="N782" s="525"/>
      <c r="O782" s="525"/>
      <c r="P782" s="525"/>
      <c r="Q782" s="525"/>
      <c r="R782" s="242"/>
      <c r="S782" s="242"/>
      <c r="T782" s="242"/>
      <c r="U782" s="242"/>
      <c r="V782" s="242"/>
      <c r="W782" s="242"/>
      <c r="X782" s="242"/>
      <c r="Y782" s="242"/>
      <c r="Z782" s="242"/>
      <c r="AA782" s="242"/>
      <c r="AB782" s="242"/>
      <c r="AC782" s="242"/>
      <c r="AD782" s="242"/>
      <c r="AE782" s="242"/>
      <c r="AF782" s="242"/>
    </row>
    <row r="783">
      <c r="A783" s="242"/>
      <c r="B783" s="242"/>
      <c r="C783" s="242"/>
      <c r="D783" s="13"/>
      <c r="E783" s="525"/>
      <c r="F783" s="525"/>
      <c r="G783" s="525"/>
      <c r="H783" s="242"/>
      <c r="I783" s="525"/>
      <c r="J783" s="525"/>
      <c r="K783" s="525"/>
      <c r="L783" s="525"/>
      <c r="M783" s="242"/>
      <c r="N783" s="525"/>
      <c r="O783" s="525"/>
      <c r="P783" s="525"/>
      <c r="Q783" s="525"/>
      <c r="R783" s="242"/>
      <c r="S783" s="242"/>
      <c r="T783" s="242"/>
      <c r="U783" s="242"/>
      <c r="V783" s="242"/>
      <c r="W783" s="242"/>
      <c r="X783" s="242"/>
      <c r="Y783" s="242"/>
      <c r="Z783" s="242"/>
      <c r="AA783" s="242"/>
      <c r="AB783" s="242"/>
      <c r="AC783" s="242"/>
      <c r="AD783" s="242"/>
      <c r="AE783" s="242"/>
      <c r="AF783" s="242"/>
    </row>
    <row r="784">
      <c r="A784" s="242"/>
      <c r="B784" s="242"/>
      <c r="C784" s="242"/>
      <c r="D784" s="13"/>
      <c r="E784" s="525"/>
      <c r="F784" s="525"/>
      <c r="G784" s="525"/>
      <c r="H784" s="242"/>
      <c r="I784" s="525"/>
      <c r="J784" s="525"/>
      <c r="K784" s="525"/>
      <c r="L784" s="525"/>
      <c r="M784" s="242"/>
      <c r="N784" s="525"/>
      <c r="O784" s="525"/>
      <c r="P784" s="525"/>
      <c r="Q784" s="525"/>
      <c r="R784" s="242"/>
      <c r="S784" s="242"/>
      <c r="T784" s="242"/>
      <c r="U784" s="242"/>
      <c r="V784" s="242"/>
      <c r="W784" s="242"/>
      <c r="X784" s="242"/>
      <c r="Y784" s="242"/>
      <c r="Z784" s="242"/>
      <c r="AA784" s="242"/>
      <c r="AB784" s="242"/>
      <c r="AC784" s="242"/>
      <c r="AD784" s="242"/>
      <c r="AE784" s="242"/>
      <c r="AF784" s="242"/>
    </row>
    <row r="785">
      <c r="A785" s="242"/>
      <c r="B785" s="242"/>
      <c r="C785" s="242"/>
      <c r="D785" s="13"/>
      <c r="E785" s="525"/>
      <c r="F785" s="525"/>
      <c r="G785" s="525"/>
      <c r="H785" s="242"/>
      <c r="I785" s="525"/>
      <c r="J785" s="525"/>
      <c r="K785" s="525"/>
      <c r="L785" s="525"/>
      <c r="M785" s="242"/>
      <c r="N785" s="525"/>
      <c r="O785" s="525"/>
      <c r="P785" s="525"/>
      <c r="Q785" s="525"/>
      <c r="R785" s="242"/>
      <c r="S785" s="242"/>
      <c r="T785" s="242"/>
      <c r="U785" s="242"/>
      <c r="V785" s="242"/>
      <c r="W785" s="242"/>
      <c r="X785" s="242"/>
      <c r="Y785" s="242"/>
      <c r="Z785" s="242"/>
      <c r="AA785" s="242"/>
      <c r="AB785" s="242"/>
      <c r="AC785" s="242"/>
      <c r="AD785" s="242"/>
      <c r="AE785" s="242"/>
      <c r="AF785" s="242"/>
    </row>
    <row r="786">
      <c r="A786" s="242"/>
      <c r="B786" s="242"/>
      <c r="C786" s="242"/>
      <c r="D786" s="13"/>
      <c r="E786" s="525"/>
      <c r="F786" s="525"/>
      <c r="G786" s="525"/>
      <c r="H786" s="242"/>
      <c r="I786" s="525"/>
      <c r="J786" s="525"/>
      <c r="K786" s="525"/>
      <c r="L786" s="525"/>
      <c r="M786" s="242"/>
      <c r="N786" s="525"/>
      <c r="O786" s="525"/>
      <c r="P786" s="525"/>
      <c r="Q786" s="525"/>
      <c r="R786" s="242"/>
      <c r="S786" s="242"/>
      <c r="T786" s="242"/>
      <c r="U786" s="242"/>
      <c r="V786" s="242"/>
      <c r="W786" s="242"/>
      <c r="X786" s="242"/>
      <c r="Y786" s="242"/>
      <c r="Z786" s="242"/>
      <c r="AA786" s="242"/>
      <c r="AB786" s="242"/>
      <c r="AC786" s="242"/>
      <c r="AD786" s="242"/>
      <c r="AE786" s="242"/>
      <c r="AF786" s="242"/>
    </row>
    <row r="787">
      <c r="A787" s="242"/>
      <c r="B787" s="242"/>
      <c r="C787" s="242"/>
      <c r="D787" s="13"/>
      <c r="E787" s="525"/>
      <c r="F787" s="525"/>
      <c r="G787" s="525"/>
      <c r="H787" s="242"/>
      <c r="I787" s="525"/>
      <c r="J787" s="525"/>
      <c r="K787" s="525"/>
      <c r="L787" s="525"/>
      <c r="M787" s="242"/>
      <c r="N787" s="525"/>
      <c r="O787" s="525"/>
      <c r="P787" s="525"/>
      <c r="Q787" s="525"/>
      <c r="R787" s="242"/>
      <c r="S787" s="242"/>
      <c r="T787" s="242"/>
      <c r="U787" s="242"/>
      <c r="V787" s="242"/>
      <c r="W787" s="242"/>
      <c r="X787" s="242"/>
      <c r="Y787" s="242"/>
      <c r="Z787" s="242"/>
      <c r="AA787" s="242"/>
      <c r="AB787" s="242"/>
      <c r="AC787" s="242"/>
      <c r="AD787" s="242"/>
      <c r="AE787" s="242"/>
      <c r="AF787" s="242"/>
    </row>
    <row r="788">
      <c r="A788" s="242"/>
      <c r="B788" s="242"/>
      <c r="C788" s="242"/>
      <c r="D788" s="13"/>
      <c r="E788" s="525"/>
      <c r="F788" s="525"/>
      <c r="G788" s="525"/>
      <c r="H788" s="242"/>
      <c r="I788" s="525"/>
      <c r="J788" s="525"/>
      <c r="K788" s="525"/>
      <c r="L788" s="525"/>
      <c r="M788" s="242"/>
      <c r="N788" s="525"/>
      <c r="O788" s="525"/>
      <c r="P788" s="525"/>
      <c r="Q788" s="525"/>
      <c r="R788" s="242"/>
      <c r="S788" s="242"/>
      <c r="T788" s="242"/>
      <c r="U788" s="242"/>
      <c r="V788" s="242"/>
      <c r="W788" s="242"/>
      <c r="X788" s="242"/>
      <c r="Y788" s="242"/>
      <c r="Z788" s="242"/>
      <c r="AA788" s="242"/>
      <c r="AB788" s="242"/>
      <c r="AC788" s="242"/>
      <c r="AD788" s="242"/>
      <c r="AE788" s="242"/>
      <c r="AF788" s="242"/>
    </row>
    <row r="789">
      <c r="A789" s="242"/>
      <c r="B789" s="242"/>
      <c r="C789" s="242"/>
      <c r="D789" s="13"/>
      <c r="E789" s="525"/>
      <c r="F789" s="525"/>
      <c r="G789" s="525"/>
      <c r="H789" s="242"/>
      <c r="I789" s="525"/>
      <c r="J789" s="525"/>
      <c r="K789" s="525"/>
      <c r="L789" s="525"/>
      <c r="M789" s="242"/>
      <c r="N789" s="525"/>
      <c r="O789" s="525"/>
      <c r="P789" s="525"/>
      <c r="Q789" s="525"/>
      <c r="R789" s="242"/>
      <c r="S789" s="242"/>
      <c r="T789" s="242"/>
      <c r="U789" s="242"/>
      <c r="V789" s="242"/>
      <c r="W789" s="242"/>
      <c r="X789" s="242"/>
      <c r="Y789" s="242"/>
      <c r="Z789" s="242"/>
      <c r="AA789" s="242"/>
      <c r="AB789" s="242"/>
      <c r="AC789" s="242"/>
      <c r="AD789" s="242"/>
      <c r="AE789" s="242"/>
      <c r="AF789" s="242"/>
    </row>
    <row r="790">
      <c r="A790" s="242"/>
      <c r="B790" s="242"/>
      <c r="C790" s="242"/>
      <c r="D790" s="13"/>
      <c r="E790" s="525"/>
      <c r="F790" s="525"/>
      <c r="G790" s="525"/>
      <c r="H790" s="242"/>
      <c r="I790" s="525"/>
      <c r="J790" s="525"/>
      <c r="K790" s="525"/>
      <c r="L790" s="525"/>
      <c r="M790" s="242"/>
      <c r="N790" s="525"/>
      <c r="O790" s="525"/>
      <c r="P790" s="525"/>
      <c r="Q790" s="525"/>
      <c r="R790" s="242"/>
      <c r="S790" s="242"/>
      <c r="T790" s="242"/>
      <c r="U790" s="242"/>
      <c r="V790" s="242"/>
      <c r="W790" s="242"/>
      <c r="X790" s="242"/>
      <c r="Y790" s="242"/>
      <c r="Z790" s="242"/>
      <c r="AA790" s="242"/>
      <c r="AB790" s="242"/>
      <c r="AC790" s="242"/>
      <c r="AD790" s="242"/>
      <c r="AE790" s="242"/>
      <c r="AF790" s="242"/>
    </row>
    <row r="791">
      <c r="A791" s="242"/>
      <c r="B791" s="242"/>
      <c r="C791" s="242"/>
      <c r="D791" s="13"/>
      <c r="E791" s="525"/>
      <c r="F791" s="525"/>
      <c r="G791" s="525"/>
      <c r="H791" s="242"/>
      <c r="I791" s="525"/>
      <c r="J791" s="525"/>
      <c r="K791" s="525"/>
      <c r="L791" s="525"/>
      <c r="M791" s="242"/>
      <c r="N791" s="525"/>
      <c r="O791" s="525"/>
      <c r="P791" s="525"/>
      <c r="Q791" s="525"/>
      <c r="R791" s="242"/>
      <c r="S791" s="242"/>
      <c r="T791" s="242"/>
      <c r="U791" s="242"/>
      <c r="V791" s="242"/>
      <c r="W791" s="242"/>
      <c r="X791" s="242"/>
      <c r="Y791" s="242"/>
      <c r="Z791" s="242"/>
      <c r="AA791" s="242"/>
      <c r="AB791" s="242"/>
      <c r="AC791" s="242"/>
      <c r="AD791" s="242"/>
      <c r="AE791" s="242"/>
      <c r="AF791" s="242"/>
    </row>
    <row r="792">
      <c r="A792" s="242"/>
      <c r="B792" s="242"/>
      <c r="C792" s="242"/>
      <c r="D792" s="13"/>
      <c r="E792" s="525"/>
      <c r="F792" s="525"/>
      <c r="G792" s="525"/>
      <c r="H792" s="242"/>
      <c r="I792" s="525"/>
      <c r="J792" s="525"/>
      <c r="K792" s="525"/>
      <c r="L792" s="525"/>
      <c r="M792" s="242"/>
      <c r="N792" s="525"/>
      <c r="O792" s="525"/>
      <c r="P792" s="525"/>
      <c r="Q792" s="525"/>
      <c r="R792" s="242"/>
      <c r="S792" s="242"/>
      <c r="T792" s="242"/>
      <c r="U792" s="242"/>
      <c r="V792" s="242"/>
      <c r="W792" s="242"/>
      <c r="X792" s="242"/>
      <c r="Y792" s="242"/>
      <c r="Z792" s="242"/>
      <c r="AA792" s="242"/>
      <c r="AB792" s="242"/>
      <c r="AC792" s="242"/>
      <c r="AD792" s="242"/>
      <c r="AE792" s="242"/>
      <c r="AF792" s="242"/>
    </row>
    <row r="793">
      <c r="A793" s="242"/>
      <c r="B793" s="242"/>
      <c r="C793" s="242"/>
      <c r="D793" s="13"/>
      <c r="E793" s="525"/>
      <c r="F793" s="525"/>
      <c r="G793" s="525"/>
      <c r="H793" s="242"/>
      <c r="I793" s="525"/>
      <c r="J793" s="525"/>
      <c r="K793" s="525"/>
      <c r="L793" s="525"/>
      <c r="M793" s="242"/>
      <c r="N793" s="525"/>
      <c r="O793" s="525"/>
      <c r="P793" s="525"/>
      <c r="Q793" s="525"/>
      <c r="R793" s="242"/>
      <c r="S793" s="242"/>
      <c r="T793" s="242"/>
      <c r="U793" s="242"/>
      <c r="V793" s="242"/>
      <c r="W793" s="242"/>
      <c r="X793" s="242"/>
      <c r="Y793" s="242"/>
      <c r="Z793" s="242"/>
      <c r="AA793" s="242"/>
      <c r="AB793" s="242"/>
      <c r="AC793" s="242"/>
      <c r="AD793" s="242"/>
      <c r="AE793" s="242"/>
      <c r="AF793" s="242"/>
    </row>
    <row r="794">
      <c r="A794" s="242"/>
      <c r="B794" s="242"/>
      <c r="C794" s="242"/>
      <c r="D794" s="13"/>
      <c r="E794" s="525"/>
      <c r="F794" s="525"/>
      <c r="G794" s="525"/>
      <c r="H794" s="242"/>
      <c r="I794" s="525"/>
      <c r="J794" s="525"/>
      <c r="K794" s="525"/>
      <c r="L794" s="525"/>
      <c r="M794" s="242"/>
      <c r="N794" s="525"/>
      <c r="O794" s="525"/>
      <c r="P794" s="525"/>
      <c r="Q794" s="525"/>
      <c r="R794" s="242"/>
      <c r="S794" s="242"/>
      <c r="T794" s="242"/>
      <c r="U794" s="242"/>
      <c r="V794" s="242"/>
      <c r="W794" s="242"/>
      <c r="X794" s="242"/>
      <c r="Y794" s="242"/>
      <c r="Z794" s="242"/>
      <c r="AA794" s="242"/>
      <c r="AB794" s="242"/>
      <c r="AC794" s="242"/>
      <c r="AD794" s="242"/>
      <c r="AE794" s="242"/>
      <c r="AF794" s="242"/>
    </row>
    <row r="795">
      <c r="A795" s="242"/>
      <c r="B795" s="242"/>
      <c r="C795" s="242"/>
      <c r="D795" s="13"/>
      <c r="E795" s="525"/>
      <c r="F795" s="525"/>
      <c r="G795" s="525"/>
      <c r="H795" s="242"/>
      <c r="I795" s="525"/>
      <c r="J795" s="525"/>
      <c r="K795" s="525"/>
      <c r="L795" s="525"/>
      <c r="M795" s="242"/>
      <c r="N795" s="525"/>
      <c r="O795" s="525"/>
      <c r="P795" s="525"/>
      <c r="Q795" s="525"/>
      <c r="R795" s="242"/>
      <c r="S795" s="242"/>
      <c r="T795" s="242"/>
      <c r="U795" s="242"/>
      <c r="V795" s="242"/>
      <c r="W795" s="242"/>
      <c r="X795" s="242"/>
      <c r="Y795" s="242"/>
      <c r="Z795" s="242"/>
      <c r="AA795" s="242"/>
      <c r="AB795" s="242"/>
      <c r="AC795" s="242"/>
      <c r="AD795" s="242"/>
      <c r="AE795" s="242"/>
      <c r="AF795" s="242"/>
    </row>
    <row r="796">
      <c r="A796" s="242"/>
      <c r="B796" s="242"/>
      <c r="C796" s="242"/>
      <c r="D796" s="13"/>
      <c r="E796" s="525"/>
      <c r="F796" s="525"/>
      <c r="G796" s="525"/>
      <c r="H796" s="242"/>
      <c r="I796" s="525"/>
      <c r="J796" s="525"/>
      <c r="K796" s="525"/>
      <c r="L796" s="525"/>
      <c r="M796" s="242"/>
      <c r="N796" s="525"/>
      <c r="O796" s="525"/>
      <c r="P796" s="525"/>
      <c r="Q796" s="525"/>
      <c r="R796" s="242"/>
      <c r="S796" s="242"/>
      <c r="T796" s="242"/>
      <c r="U796" s="242"/>
      <c r="V796" s="242"/>
      <c r="W796" s="242"/>
      <c r="X796" s="242"/>
      <c r="Y796" s="242"/>
      <c r="Z796" s="242"/>
      <c r="AA796" s="242"/>
      <c r="AB796" s="242"/>
      <c r="AC796" s="242"/>
      <c r="AD796" s="242"/>
      <c r="AE796" s="242"/>
      <c r="AF796" s="242"/>
    </row>
    <row r="797">
      <c r="A797" s="242"/>
      <c r="B797" s="242"/>
      <c r="C797" s="242"/>
      <c r="D797" s="13"/>
      <c r="E797" s="525"/>
      <c r="F797" s="525"/>
      <c r="G797" s="525"/>
      <c r="H797" s="242"/>
      <c r="I797" s="525"/>
      <c r="J797" s="525"/>
      <c r="K797" s="525"/>
      <c r="L797" s="525"/>
      <c r="M797" s="242"/>
      <c r="N797" s="525"/>
      <c r="O797" s="525"/>
      <c r="P797" s="525"/>
      <c r="Q797" s="525"/>
      <c r="R797" s="242"/>
      <c r="S797" s="242"/>
      <c r="T797" s="242"/>
      <c r="U797" s="242"/>
      <c r="V797" s="242"/>
      <c r="W797" s="242"/>
      <c r="X797" s="242"/>
      <c r="Y797" s="242"/>
      <c r="Z797" s="242"/>
      <c r="AA797" s="242"/>
      <c r="AB797" s="242"/>
      <c r="AC797" s="242"/>
      <c r="AD797" s="242"/>
      <c r="AE797" s="242"/>
      <c r="AF797" s="242"/>
    </row>
    <row r="798">
      <c r="A798" s="242"/>
      <c r="B798" s="242"/>
      <c r="C798" s="242"/>
      <c r="D798" s="13"/>
      <c r="E798" s="525"/>
      <c r="F798" s="525"/>
      <c r="G798" s="525"/>
      <c r="H798" s="242"/>
      <c r="I798" s="525"/>
      <c r="J798" s="525"/>
      <c r="K798" s="525"/>
      <c r="L798" s="525"/>
      <c r="M798" s="242"/>
      <c r="N798" s="525"/>
      <c r="O798" s="525"/>
      <c r="P798" s="525"/>
      <c r="Q798" s="525"/>
      <c r="R798" s="242"/>
      <c r="S798" s="242"/>
      <c r="T798" s="242"/>
      <c r="U798" s="242"/>
      <c r="V798" s="242"/>
      <c r="W798" s="242"/>
      <c r="X798" s="242"/>
      <c r="Y798" s="242"/>
      <c r="Z798" s="242"/>
      <c r="AA798" s="242"/>
      <c r="AB798" s="242"/>
      <c r="AC798" s="242"/>
      <c r="AD798" s="242"/>
      <c r="AE798" s="242"/>
      <c r="AF798" s="242"/>
    </row>
    <row r="799">
      <c r="A799" s="242"/>
      <c r="B799" s="242"/>
      <c r="C799" s="242"/>
      <c r="D799" s="13"/>
      <c r="E799" s="525"/>
      <c r="F799" s="525"/>
      <c r="G799" s="525"/>
      <c r="H799" s="242"/>
      <c r="I799" s="525"/>
      <c r="J799" s="525"/>
      <c r="K799" s="525"/>
      <c r="L799" s="525"/>
      <c r="M799" s="242"/>
      <c r="N799" s="525"/>
      <c r="O799" s="525"/>
      <c r="P799" s="525"/>
      <c r="Q799" s="525"/>
      <c r="R799" s="242"/>
      <c r="S799" s="242"/>
      <c r="T799" s="242"/>
      <c r="U799" s="242"/>
      <c r="V799" s="242"/>
      <c r="W799" s="242"/>
      <c r="X799" s="242"/>
      <c r="Y799" s="242"/>
      <c r="Z799" s="242"/>
      <c r="AA799" s="242"/>
      <c r="AB799" s="242"/>
      <c r="AC799" s="242"/>
      <c r="AD799" s="242"/>
      <c r="AE799" s="242"/>
      <c r="AF799" s="242"/>
    </row>
    <row r="800">
      <c r="A800" s="242"/>
      <c r="B800" s="242"/>
      <c r="C800" s="242"/>
      <c r="D800" s="13"/>
      <c r="E800" s="525"/>
      <c r="F800" s="525"/>
      <c r="G800" s="525"/>
      <c r="H800" s="242"/>
      <c r="I800" s="525"/>
      <c r="J800" s="525"/>
      <c r="K800" s="525"/>
      <c r="L800" s="525"/>
      <c r="M800" s="242"/>
      <c r="N800" s="525"/>
      <c r="O800" s="525"/>
      <c r="P800" s="525"/>
      <c r="Q800" s="525"/>
      <c r="R800" s="242"/>
      <c r="S800" s="242"/>
      <c r="T800" s="242"/>
      <c r="U800" s="242"/>
      <c r="V800" s="242"/>
      <c r="W800" s="242"/>
      <c r="X800" s="242"/>
      <c r="Y800" s="242"/>
      <c r="Z800" s="242"/>
      <c r="AA800" s="242"/>
      <c r="AB800" s="242"/>
      <c r="AC800" s="242"/>
      <c r="AD800" s="242"/>
      <c r="AE800" s="242"/>
      <c r="AF800" s="242"/>
    </row>
    <row r="801">
      <c r="A801" s="242"/>
      <c r="B801" s="242"/>
      <c r="C801" s="242"/>
      <c r="D801" s="13"/>
      <c r="E801" s="525"/>
      <c r="F801" s="525"/>
      <c r="G801" s="525"/>
      <c r="H801" s="242"/>
      <c r="I801" s="525"/>
      <c r="J801" s="525"/>
      <c r="K801" s="525"/>
      <c r="L801" s="525"/>
      <c r="M801" s="242"/>
      <c r="N801" s="525"/>
      <c r="O801" s="525"/>
      <c r="P801" s="525"/>
      <c r="Q801" s="525"/>
      <c r="R801" s="242"/>
      <c r="S801" s="242"/>
      <c r="T801" s="242"/>
      <c r="U801" s="242"/>
      <c r="V801" s="242"/>
      <c r="W801" s="242"/>
      <c r="X801" s="242"/>
      <c r="Y801" s="242"/>
      <c r="Z801" s="242"/>
      <c r="AA801" s="242"/>
      <c r="AB801" s="242"/>
      <c r="AC801" s="242"/>
      <c r="AD801" s="242"/>
      <c r="AE801" s="242"/>
      <c r="AF801" s="242"/>
    </row>
    <row r="802">
      <c r="A802" s="242"/>
      <c r="B802" s="242"/>
      <c r="C802" s="242"/>
      <c r="D802" s="13"/>
      <c r="E802" s="525"/>
      <c r="F802" s="525"/>
      <c r="G802" s="525"/>
      <c r="H802" s="242"/>
      <c r="I802" s="525"/>
      <c r="J802" s="525"/>
      <c r="K802" s="525"/>
      <c r="L802" s="525"/>
      <c r="M802" s="242"/>
      <c r="N802" s="525"/>
      <c r="O802" s="525"/>
      <c r="P802" s="525"/>
      <c r="Q802" s="525"/>
      <c r="R802" s="242"/>
      <c r="S802" s="242"/>
      <c r="T802" s="242"/>
      <c r="U802" s="242"/>
      <c r="V802" s="242"/>
      <c r="W802" s="242"/>
      <c r="X802" s="242"/>
      <c r="Y802" s="242"/>
      <c r="Z802" s="242"/>
      <c r="AA802" s="242"/>
      <c r="AB802" s="242"/>
      <c r="AC802" s="242"/>
      <c r="AD802" s="242"/>
      <c r="AE802" s="242"/>
      <c r="AF802" s="242"/>
    </row>
    <row r="803">
      <c r="A803" s="242"/>
      <c r="B803" s="242"/>
      <c r="C803" s="242"/>
      <c r="D803" s="13"/>
      <c r="E803" s="525"/>
      <c r="F803" s="525"/>
      <c r="G803" s="525"/>
      <c r="H803" s="242"/>
      <c r="I803" s="525"/>
      <c r="J803" s="525"/>
      <c r="K803" s="525"/>
      <c r="L803" s="525"/>
      <c r="M803" s="242"/>
      <c r="N803" s="525"/>
      <c r="O803" s="525"/>
      <c r="P803" s="525"/>
      <c r="Q803" s="525"/>
      <c r="R803" s="242"/>
      <c r="S803" s="242"/>
      <c r="T803" s="242"/>
      <c r="U803" s="242"/>
      <c r="V803" s="242"/>
      <c r="W803" s="242"/>
      <c r="X803" s="242"/>
      <c r="Y803" s="242"/>
      <c r="Z803" s="242"/>
      <c r="AA803" s="242"/>
      <c r="AB803" s="242"/>
      <c r="AC803" s="242"/>
      <c r="AD803" s="242"/>
      <c r="AE803" s="242"/>
      <c r="AF803" s="242"/>
    </row>
    <row r="804">
      <c r="A804" s="242"/>
      <c r="B804" s="242"/>
      <c r="C804" s="242"/>
      <c r="D804" s="13"/>
      <c r="E804" s="525"/>
      <c r="F804" s="525"/>
      <c r="G804" s="525"/>
      <c r="H804" s="242"/>
      <c r="I804" s="525"/>
      <c r="J804" s="525"/>
      <c r="K804" s="525"/>
      <c r="L804" s="525"/>
      <c r="M804" s="242"/>
      <c r="N804" s="525"/>
      <c r="O804" s="525"/>
      <c r="P804" s="525"/>
      <c r="Q804" s="525"/>
      <c r="R804" s="242"/>
      <c r="S804" s="242"/>
      <c r="T804" s="242"/>
      <c r="U804" s="242"/>
      <c r="V804" s="242"/>
      <c r="W804" s="242"/>
      <c r="X804" s="242"/>
      <c r="Y804" s="242"/>
      <c r="Z804" s="242"/>
      <c r="AA804" s="242"/>
      <c r="AB804" s="242"/>
      <c r="AC804" s="242"/>
      <c r="AD804" s="242"/>
      <c r="AE804" s="242"/>
      <c r="AF804" s="242"/>
    </row>
    <row r="805">
      <c r="A805" s="242"/>
      <c r="B805" s="242"/>
      <c r="C805" s="242"/>
      <c r="D805" s="13"/>
      <c r="E805" s="525"/>
      <c r="F805" s="525"/>
      <c r="G805" s="525"/>
      <c r="H805" s="242"/>
      <c r="I805" s="525"/>
      <c r="J805" s="525"/>
      <c r="K805" s="525"/>
      <c r="L805" s="525"/>
      <c r="M805" s="242"/>
      <c r="N805" s="525"/>
      <c r="O805" s="525"/>
      <c r="P805" s="525"/>
      <c r="Q805" s="525"/>
      <c r="R805" s="242"/>
      <c r="S805" s="242"/>
      <c r="T805" s="242"/>
      <c r="U805" s="242"/>
      <c r="V805" s="242"/>
      <c r="W805" s="242"/>
      <c r="X805" s="242"/>
      <c r="Y805" s="242"/>
      <c r="Z805" s="242"/>
      <c r="AA805" s="242"/>
      <c r="AB805" s="242"/>
      <c r="AC805" s="242"/>
      <c r="AD805" s="242"/>
      <c r="AE805" s="242"/>
      <c r="AF805" s="242"/>
    </row>
    <row r="806">
      <c r="A806" s="242"/>
      <c r="B806" s="242"/>
      <c r="C806" s="242"/>
      <c r="D806" s="13"/>
      <c r="E806" s="525"/>
      <c r="F806" s="525"/>
      <c r="G806" s="525"/>
      <c r="H806" s="242"/>
      <c r="I806" s="525"/>
      <c r="J806" s="525"/>
      <c r="K806" s="525"/>
      <c r="L806" s="525"/>
      <c r="M806" s="242"/>
      <c r="N806" s="525"/>
      <c r="O806" s="525"/>
      <c r="P806" s="525"/>
      <c r="Q806" s="525"/>
      <c r="R806" s="242"/>
      <c r="S806" s="242"/>
      <c r="T806" s="242"/>
      <c r="U806" s="242"/>
      <c r="V806" s="242"/>
      <c r="W806" s="242"/>
      <c r="X806" s="242"/>
      <c r="Y806" s="242"/>
      <c r="Z806" s="242"/>
      <c r="AA806" s="242"/>
      <c r="AB806" s="242"/>
      <c r="AC806" s="242"/>
      <c r="AD806" s="242"/>
      <c r="AE806" s="242"/>
      <c r="AF806" s="242"/>
    </row>
    <row r="807">
      <c r="A807" s="242"/>
      <c r="B807" s="242"/>
      <c r="C807" s="242"/>
      <c r="D807" s="13"/>
      <c r="E807" s="525"/>
      <c r="F807" s="525"/>
      <c r="G807" s="525"/>
      <c r="H807" s="242"/>
      <c r="I807" s="525"/>
      <c r="J807" s="525"/>
      <c r="K807" s="525"/>
      <c r="L807" s="525"/>
      <c r="M807" s="242"/>
      <c r="N807" s="525"/>
      <c r="O807" s="525"/>
      <c r="P807" s="525"/>
      <c r="Q807" s="525"/>
      <c r="R807" s="242"/>
      <c r="S807" s="242"/>
      <c r="T807" s="242"/>
      <c r="U807" s="242"/>
      <c r="V807" s="242"/>
      <c r="W807" s="242"/>
      <c r="X807" s="242"/>
      <c r="Y807" s="242"/>
      <c r="Z807" s="242"/>
      <c r="AA807" s="242"/>
      <c r="AB807" s="242"/>
      <c r="AC807" s="242"/>
      <c r="AD807" s="242"/>
      <c r="AE807" s="242"/>
      <c r="AF807" s="242"/>
    </row>
    <row r="808">
      <c r="A808" s="242"/>
      <c r="B808" s="242"/>
      <c r="C808" s="242"/>
      <c r="D808" s="13"/>
      <c r="E808" s="525"/>
      <c r="F808" s="525"/>
      <c r="G808" s="525"/>
      <c r="H808" s="242"/>
      <c r="I808" s="525"/>
      <c r="J808" s="525"/>
      <c r="K808" s="525"/>
      <c r="L808" s="525"/>
      <c r="M808" s="242"/>
      <c r="N808" s="525"/>
      <c r="O808" s="525"/>
      <c r="P808" s="525"/>
      <c r="Q808" s="525"/>
      <c r="R808" s="242"/>
      <c r="S808" s="242"/>
      <c r="T808" s="242"/>
      <c r="U808" s="242"/>
      <c r="V808" s="242"/>
      <c r="W808" s="242"/>
      <c r="X808" s="242"/>
      <c r="Y808" s="242"/>
      <c r="Z808" s="242"/>
      <c r="AA808" s="242"/>
      <c r="AB808" s="242"/>
      <c r="AC808" s="242"/>
      <c r="AD808" s="242"/>
      <c r="AE808" s="242"/>
      <c r="AF808" s="242"/>
    </row>
    <row r="809">
      <c r="A809" s="242"/>
      <c r="B809" s="242"/>
      <c r="C809" s="242"/>
      <c r="D809" s="13"/>
      <c r="E809" s="525"/>
      <c r="F809" s="525"/>
      <c r="G809" s="525"/>
      <c r="H809" s="242"/>
      <c r="I809" s="525"/>
      <c r="J809" s="525"/>
      <c r="K809" s="525"/>
      <c r="L809" s="525"/>
      <c r="M809" s="242"/>
      <c r="N809" s="525"/>
      <c r="O809" s="525"/>
      <c r="P809" s="525"/>
      <c r="Q809" s="525"/>
      <c r="R809" s="242"/>
      <c r="S809" s="242"/>
      <c r="T809" s="242"/>
      <c r="U809" s="242"/>
      <c r="V809" s="242"/>
      <c r="W809" s="242"/>
      <c r="X809" s="242"/>
      <c r="Y809" s="242"/>
      <c r="Z809" s="242"/>
      <c r="AA809" s="242"/>
      <c r="AB809" s="242"/>
      <c r="AC809" s="242"/>
      <c r="AD809" s="242"/>
      <c r="AE809" s="242"/>
      <c r="AF809" s="242"/>
    </row>
    <row r="810">
      <c r="A810" s="242"/>
      <c r="B810" s="242"/>
      <c r="C810" s="242"/>
      <c r="D810" s="13"/>
      <c r="E810" s="525"/>
      <c r="F810" s="525"/>
      <c r="G810" s="525"/>
      <c r="H810" s="242"/>
      <c r="I810" s="525"/>
      <c r="J810" s="525"/>
      <c r="K810" s="525"/>
      <c r="L810" s="525"/>
      <c r="M810" s="242"/>
      <c r="N810" s="525"/>
      <c r="O810" s="525"/>
      <c r="P810" s="525"/>
      <c r="Q810" s="525"/>
      <c r="R810" s="242"/>
      <c r="S810" s="242"/>
      <c r="T810" s="242"/>
      <c r="U810" s="242"/>
      <c r="V810" s="242"/>
      <c r="W810" s="242"/>
      <c r="X810" s="242"/>
      <c r="Y810" s="242"/>
      <c r="Z810" s="242"/>
      <c r="AA810" s="242"/>
      <c r="AB810" s="242"/>
      <c r="AC810" s="242"/>
      <c r="AD810" s="242"/>
      <c r="AE810" s="242"/>
      <c r="AF810" s="242"/>
    </row>
    <row r="811">
      <c r="A811" s="242"/>
      <c r="B811" s="242"/>
      <c r="C811" s="242"/>
      <c r="D811" s="13"/>
      <c r="E811" s="525"/>
      <c r="F811" s="525"/>
      <c r="G811" s="525"/>
      <c r="H811" s="242"/>
      <c r="I811" s="525"/>
      <c r="J811" s="525"/>
      <c r="K811" s="525"/>
      <c r="L811" s="525"/>
      <c r="M811" s="242"/>
      <c r="N811" s="525"/>
      <c r="O811" s="525"/>
      <c r="P811" s="525"/>
      <c r="Q811" s="525"/>
      <c r="R811" s="242"/>
      <c r="S811" s="242"/>
      <c r="T811" s="242"/>
      <c r="U811" s="242"/>
      <c r="V811" s="242"/>
      <c r="W811" s="242"/>
      <c r="X811" s="242"/>
      <c r="Y811" s="242"/>
      <c r="Z811" s="242"/>
      <c r="AA811" s="242"/>
      <c r="AB811" s="242"/>
      <c r="AC811" s="242"/>
      <c r="AD811" s="242"/>
      <c r="AE811" s="242"/>
      <c r="AF811" s="242"/>
    </row>
    <row r="812">
      <c r="A812" s="242"/>
      <c r="B812" s="242"/>
      <c r="C812" s="242"/>
      <c r="D812" s="13"/>
      <c r="E812" s="525"/>
      <c r="F812" s="525"/>
      <c r="G812" s="525"/>
      <c r="H812" s="242"/>
      <c r="I812" s="525"/>
      <c r="J812" s="525"/>
      <c r="K812" s="525"/>
      <c r="L812" s="525"/>
      <c r="M812" s="242"/>
      <c r="N812" s="525"/>
      <c r="O812" s="525"/>
      <c r="P812" s="525"/>
      <c r="Q812" s="525"/>
      <c r="R812" s="242"/>
      <c r="S812" s="242"/>
      <c r="T812" s="242"/>
      <c r="U812" s="242"/>
      <c r="V812" s="242"/>
      <c r="W812" s="242"/>
      <c r="X812" s="242"/>
      <c r="Y812" s="242"/>
      <c r="Z812" s="242"/>
      <c r="AA812" s="242"/>
      <c r="AB812" s="242"/>
      <c r="AC812" s="242"/>
      <c r="AD812" s="242"/>
      <c r="AE812" s="242"/>
      <c r="AF812" s="242"/>
    </row>
    <row r="813">
      <c r="A813" s="242"/>
      <c r="B813" s="242"/>
      <c r="C813" s="242"/>
      <c r="D813" s="13"/>
      <c r="E813" s="525"/>
      <c r="F813" s="525"/>
      <c r="G813" s="525"/>
      <c r="H813" s="242"/>
      <c r="I813" s="525"/>
      <c r="J813" s="525"/>
      <c r="K813" s="525"/>
      <c r="L813" s="525"/>
      <c r="M813" s="242"/>
      <c r="N813" s="525"/>
      <c r="O813" s="525"/>
      <c r="P813" s="525"/>
      <c r="Q813" s="525"/>
      <c r="R813" s="242"/>
      <c r="S813" s="242"/>
      <c r="T813" s="242"/>
      <c r="U813" s="242"/>
      <c r="V813" s="242"/>
      <c r="W813" s="242"/>
      <c r="X813" s="242"/>
      <c r="Y813" s="242"/>
      <c r="Z813" s="242"/>
      <c r="AA813" s="242"/>
      <c r="AB813" s="242"/>
      <c r="AC813" s="242"/>
      <c r="AD813" s="242"/>
      <c r="AE813" s="242"/>
      <c r="AF813" s="242"/>
    </row>
    <row r="814">
      <c r="A814" s="242"/>
      <c r="B814" s="242"/>
      <c r="C814" s="242"/>
      <c r="D814" s="13"/>
      <c r="E814" s="525"/>
      <c r="F814" s="525"/>
      <c r="G814" s="525"/>
      <c r="H814" s="242"/>
      <c r="I814" s="525"/>
      <c r="J814" s="525"/>
      <c r="K814" s="525"/>
      <c r="L814" s="525"/>
      <c r="M814" s="242"/>
      <c r="N814" s="525"/>
      <c r="O814" s="525"/>
      <c r="P814" s="525"/>
      <c r="Q814" s="525"/>
      <c r="R814" s="242"/>
      <c r="S814" s="242"/>
      <c r="T814" s="242"/>
      <c r="U814" s="242"/>
      <c r="V814" s="242"/>
      <c r="W814" s="242"/>
      <c r="X814" s="242"/>
      <c r="Y814" s="242"/>
      <c r="Z814" s="242"/>
      <c r="AA814" s="242"/>
      <c r="AB814" s="242"/>
      <c r="AC814" s="242"/>
      <c r="AD814" s="242"/>
      <c r="AE814" s="242"/>
      <c r="AF814" s="242"/>
    </row>
    <row r="815">
      <c r="A815" s="242"/>
      <c r="B815" s="242"/>
      <c r="C815" s="242"/>
      <c r="D815" s="13"/>
      <c r="E815" s="525"/>
      <c r="F815" s="525"/>
      <c r="G815" s="525"/>
      <c r="H815" s="242"/>
      <c r="I815" s="525"/>
      <c r="J815" s="525"/>
      <c r="K815" s="525"/>
      <c r="L815" s="525"/>
      <c r="M815" s="242"/>
      <c r="N815" s="525"/>
      <c r="O815" s="525"/>
      <c r="P815" s="525"/>
      <c r="Q815" s="525"/>
      <c r="R815" s="242"/>
      <c r="S815" s="242"/>
      <c r="T815" s="242"/>
      <c r="U815" s="242"/>
      <c r="V815" s="242"/>
      <c r="W815" s="242"/>
      <c r="X815" s="242"/>
      <c r="Y815" s="242"/>
      <c r="Z815" s="242"/>
      <c r="AA815" s="242"/>
      <c r="AB815" s="242"/>
      <c r="AC815" s="242"/>
      <c r="AD815" s="242"/>
      <c r="AE815" s="242"/>
      <c r="AF815" s="242"/>
    </row>
    <row r="816">
      <c r="A816" s="242"/>
      <c r="B816" s="242"/>
      <c r="C816" s="242"/>
      <c r="D816" s="13"/>
      <c r="E816" s="525"/>
      <c r="F816" s="525"/>
      <c r="G816" s="525"/>
      <c r="H816" s="242"/>
      <c r="I816" s="525"/>
      <c r="J816" s="525"/>
      <c r="K816" s="525"/>
      <c r="L816" s="525"/>
      <c r="M816" s="242"/>
      <c r="N816" s="525"/>
      <c r="O816" s="525"/>
      <c r="P816" s="525"/>
      <c r="Q816" s="525"/>
      <c r="R816" s="242"/>
      <c r="S816" s="242"/>
      <c r="T816" s="242"/>
      <c r="U816" s="242"/>
      <c r="V816" s="242"/>
      <c r="W816" s="242"/>
      <c r="X816" s="242"/>
      <c r="Y816" s="242"/>
      <c r="Z816" s="242"/>
      <c r="AA816" s="242"/>
      <c r="AB816" s="242"/>
      <c r="AC816" s="242"/>
      <c r="AD816" s="242"/>
      <c r="AE816" s="242"/>
      <c r="AF816" s="242"/>
    </row>
    <row r="817">
      <c r="A817" s="242"/>
      <c r="B817" s="242"/>
      <c r="C817" s="242"/>
      <c r="D817" s="13"/>
      <c r="E817" s="525"/>
      <c r="F817" s="525"/>
      <c r="G817" s="525"/>
      <c r="H817" s="242"/>
      <c r="I817" s="525"/>
      <c r="J817" s="525"/>
      <c r="K817" s="525"/>
      <c r="L817" s="525"/>
      <c r="M817" s="242"/>
      <c r="N817" s="525"/>
      <c r="O817" s="525"/>
      <c r="P817" s="525"/>
      <c r="Q817" s="525"/>
      <c r="R817" s="242"/>
      <c r="S817" s="242"/>
      <c r="T817" s="242"/>
      <c r="U817" s="242"/>
      <c r="V817" s="242"/>
      <c r="W817" s="242"/>
      <c r="X817" s="242"/>
      <c r="Y817" s="242"/>
      <c r="Z817" s="242"/>
      <c r="AA817" s="242"/>
      <c r="AB817" s="242"/>
      <c r="AC817" s="242"/>
      <c r="AD817" s="242"/>
      <c r="AE817" s="242"/>
      <c r="AF817" s="242"/>
    </row>
    <row r="818">
      <c r="A818" s="242"/>
      <c r="B818" s="242"/>
      <c r="C818" s="242"/>
      <c r="D818" s="13"/>
      <c r="E818" s="525"/>
      <c r="F818" s="525"/>
      <c r="G818" s="525"/>
      <c r="H818" s="242"/>
      <c r="I818" s="525"/>
      <c r="J818" s="525"/>
      <c r="K818" s="525"/>
      <c r="L818" s="525"/>
      <c r="M818" s="242"/>
      <c r="N818" s="525"/>
      <c r="O818" s="525"/>
      <c r="P818" s="525"/>
      <c r="Q818" s="525"/>
      <c r="R818" s="242"/>
      <c r="S818" s="242"/>
      <c r="T818" s="242"/>
      <c r="U818" s="242"/>
      <c r="V818" s="242"/>
      <c r="W818" s="242"/>
      <c r="X818" s="242"/>
      <c r="Y818" s="242"/>
      <c r="Z818" s="242"/>
      <c r="AA818" s="242"/>
      <c r="AB818" s="242"/>
      <c r="AC818" s="242"/>
      <c r="AD818" s="242"/>
      <c r="AE818" s="242"/>
      <c r="AF818" s="242"/>
    </row>
    <row r="819">
      <c r="A819" s="242"/>
      <c r="B819" s="242"/>
      <c r="C819" s="242"/>
      <c r="D819" s="13"/>
      <c r="E819" s="525"/>
      <c r="F819" s="525"/>
      <c r="G819" s="525"/>
      <c r="H819" s="242"/>
      <c r="I819" s="525"/>
      <c r="J819" s="525"/>
      <c r="K819" s="525"/>
      <c r="L819" s="525"/>
      <c r="M819" s="242"/>
      <c r="N819" s="525"/>
      <c r="O819" s="525"/>
      <c r="P819" s="525"/>
      <c r="Q819" s="525"/>
      <c r="R819" s="242"/>
      <c r="S819" s="242"/>
      <c r="T819" s="242"/>
      <c r="U819" s="242"/>
      <c r="V819" s="242"/>
      <c r="W819" s="242"/>
      <c r="X819" s="242"/>
      <c r="Y819" s="242"/>
      <c r="Z819" s="242"/>
      <c r="AA819" s="242"/>
      <c r="AB819" s="242"/>
      <c r="AC819" s="242"/>
      <c r="AD819" s="242"/>
      <c r="AE819" s="242"/>
      <c r="AF819" s="242"/>
    </row>
    <row r="820">
      <c r="A820" s="242"/>
      <c r="B820" s="242"/>
      <c r="C820" s="242"/>
      <c r="D820" s="13"/>
      <c r="E820" s="525"/>
      <c r="F820" s="525"/>
      <c r="G820" s="525"/>
      <c r="H820" s="242"/>
      <c r="I820" s="525"/>
      <c r="J820" s="525"/>
      <c r="K820" s="525"/>
      <c r="L820" s="525"/>
      <c r="M820" s="242"/>
      <c r="N820" s="525"/>
      <c r="O820" s="525"/>
      <c r="P820" s="525"/>
      <c r="Q820" s="525"/>
      <c r="R820" s="242"/>
      <c r="S820" s="242"/>
      <c r="T820" s="242"/>
      <c r="U820" s="242"/>
      <c r="V820" s="242"/>
      <c r="W820" s="242"/>
      <c r="X820" s="242"/>
      <c r="Y820" s="242"/>
      <c r="Z820" s="242"/>
      <c r="AA820" s="242"/>
      <c r="AB820" s="242"/>
      <c r="AC820" s="242"/>
      <c r="AD820" s="242"/>
      <c r="AE820" s="242"/>
      <c r="AF820" s="242"/>
    </row>
    <row r="821">
      <c r="A821" s="242"/>
      <c r="B821" s="242"/>
      <c r="C821" s="242"/>
      <c r="D821" s="13"/>
      <c r="E821" s="525"/>
      <c r="F821" s="525"/>
      <c r="G821" s="525"/>
      <c r="H821" s="242"/>
      <c r="I821" s="525"/>
      <c r="J821" s="525"/>
      <c r="K821" s="525"/>
      <c r="L821" s="525"/>
      <c r="M821" s="242"/>
      <c r="N821" s="525"/>
      <c r="O821" s="525"/>
      <c r="P821" s="525"/>
      <c r="Q821" s="525"/>
      <c r="R821" s="242"/>
      <c r="S821" s="242"/>
      <c r="T821" s="242"/>
      <c r="U821" s="242"/>
      <c r="V821" s="242"/>
      <c r="W821" s="242"/>
      <c r="X821" s="242"/>
      <c r="Y821" s="242"/>
      <c r="Z821" s="242"/>
      <c r="AA821" s="242"/>
      <c r="AB821" s="242"/>
      <c r="AC821" s="242"/>
      <c r="AD821" s="242"/>
      <c r="AE821" s="242"/>
      <c r="AF821" s="242"/>
    </row>
    <row r="822">
      <c r="A822" s="242"/>
      <c r="B822" s="242"/>
      <c r="C822" s="242"/>
      <c r="D822" s="13"/>
      <c r="E822" s="525"/>
      <c r="F822" s="525"/>
      <c r="G822" s="525"/>
      <c r="H822" s="242"/>
      <c r="I822" s="525"/>
      <c r="J822" s="525"/>
      <c r="K822" s="525"/>
      <c r="L822" s="525"/>
      <c r="M822" s="242"/>
      <c r="N822" s="525"/>
      <c r="O822" s="525"/>
      <c r="P822" s="525"/>
      <c r="Q822" s="525"/>
      <c r="R822" s="242"/>
      <c r="S822" s="242"/>
      <c r="T822" s="242"/>
      <c r="U822" s="242"/>
      <c r="V822" s="242"/>
      <c r="W822" s="242"/>
      <c r="X822" s="242"/>
      <c r="Y822" s="242"/>
      <c r="Z822" s="242"/>
      <c r="AA822" s="242"/>
      <c r="AB822" s="242"/>
      <c r="AC822" s="242"/>
      <c r="AD822" s="242"/>
      <c r="AE822" s="242"/>
      <c r="AF822" s="242"/>
    </row>
    <row r="823">
      <c r="A823" s="242"/>
      <c r="B823" s="242"/>
      <c r="C823" s="242"/>
      <c r="D823" s="13"/>
      <c r="E823" s="525"/>
      <c r="F823" s="525"/>
      <c r="G823" s="525"/>
      <c r="H823" s="242"/>
      <c r="I823" s="525"/>
      <c r="J823" s="525"/>
      <c r="K823" s="525"/>
      <c r="L823" s="525"/>
      <c r="M823" s="242"/>
      <c r="N823" s="525"/>
      <c r="O823" s="525"/>
      <c r="P823" s="525"/>
      <c r="Q823" s="525"/>
      <c r="R823" s="242"/>
      <c r="S823" s="242"/>
      <c r="T823" s="242"/>
      <c r="U823" s="242"/>
      <c r="V823" s="242"/>
      <c r="W823" s="242"/>
      <c r="X823" s="242"/>
      <c r="Y823" s="242"/>
      <c r="Z823" s="242"/>
      <c r="AA823" s="242"/>
      <c r="AB823" s="242"/>
      <c r="AC823" s="242"/>
      <c r="AD823" s="242"/>
      <c r="AE823" s="242"/>
      <c r="AF823" s="242"/>
    </row>
    <row r="824">
      <c r="A824" s="242"/>
      <c r="B824" s="242"/>
      <c r="C824" s="242"/>
      <c r="D824" s="13"/>
      <c r="E824" s="525"/>
      <c r="F824" s="525"/>
      <c r="G824" s="525"/>
      <c r="H824" s="242"/>
      <c r="I824" s="525"/>
      <c r="J824" s="525"/>
      <c r="K824" s="525"/>
      <c r="L824" s="525"/>
      <c r="M824" s="242"/>
      <c r="N824" s="525"/>
      <c r="O824" s="525"/>
      <c r="P824" s="525"/>
      <c r="Q824" s="525"/>
      <c r="R824" s="242"/>
      <c r="S824" s="242"/>
      <c r="T824" s="242"/>
      <c r="U824" s="242"/>
      <c r="V824" s="242"/>
      <c r="W824" s="242"/>
      <c r="X824" s="242"/>
      <c r="Y824" s="242"/>
      <c r="Z824" s="242"/>
      <c r="AA824" s="242"/>
      <c r="AB824" s="242"/>
      <c r="AC824" s="242"/>
      <c r="AD824" s="242"/>
      <c r="AE824" s="242"/>
      <c r="AF824" s="242"/>
    </row>
    <row r="825">
      <c r="A825" s="242"/>
      <c r="B825" s="242"/>
      <c r="C825" s="242"/>
      <c r="D825" s="13"/>
      <c r="E825" s="525"/>
      <c r="F825" s="525"/>
      <c r="G825" s="525"/>
      <c r="H825" s="242"/>
      <c r="I825" s="525"/>
      <c r="J825" s="525"/>
      <c r="K825" s="525"/>
      <c r="L825" s="525"/>
      <c r="M825" s="242"/>
      <c r="N825" s="525"/>
      <c r="O825" s="525"/>
      <c r="P825" s="525"/>
      <c r="Q825" s="525"/>
      <c r="R825" s="242"/>
      <c r="S825" s="242"/>
      <c r="T825" s="242"/>
      <c r="U825" s="242"/>
      <c r="V825" s="242"/>
      <c r="W825" s="242"/>
      <c r="X825" s="242"/>
      <c r="Y825" s="242"/>
      <c r="Z825" s="242"/>
      <c r="AA825" s="242"/>
      <c r="AB825" s="242"/>
      <c r="AC825" s="242"/>
      <c r="AD825" s="242"/>
      <c r="AE825" s="242"/>
      <c r="AF825" s="242"/>
    </row>
    <row r="826">
      <c r="A826" s="242"/>
      <c r="B826" s="242"/>
      <c r="C826" s="242"/>
      <c r="D826" s="13"/>
      <c r="E826" s="525"/>
      <c r="F826" s="525"/>
      <c r="G826" s="525"/>
      <c r="H826" s="242"/>
      <c r="I826" s="525"/>
      <c r="J826" s="525"/>
      <c r="K826" s="525"/>
      <c r="L826" s="525"/>
      <c r="M826" s="242"/>
      <c r="N826" s="525"/>
      <c r="O826" s="525"/>
      <c r="P826" s="525"/>
      <c r="Q826" s="525"/>
      <c r="R826" s="242"/>
      <c r="S826" s="242"/>
      <c r="T826" s="242"/>
      <c r="U826" s="242"/>
      <c r="V826" s="242"/>
      <c r="W826" s="242"/>
      <c r="X826" s="242"/>
      <c r="Y826" s="242"/>
      <c r="Z826" s="242"/>
      <c r="AA826" s="242"/>
      <c r="AB826" s="242"/>
      <c r="AC826" s="242"/>
      <c r="AD826" s="242"/>
      <c r="AE826" s="242"/>
      <c r="AF826" s="242"/>
    </row>
    <row r="827">
      <c r="A827" s="242"/>
      <c r="B827" s="242"/>
      <c r="C827" s="242"/>
      <c r="D827" s="13"/>
      <c r="E827" s="525"/>
      <c r="F827" s="525"/>
      <c r="G827" s="525"/>
      <c r="H827" s="242"/>
      <c r="I827" s="525"/>
      <c r="J827" s="525"/>
      <c r="K827" s="525"/>
      <c r="L827" s="525"/>
      <c r="M827" s="242"/>
      <c r="N827" s="525"/>
      <c r="O827" s="525"/>
      <c r="P827" s="525"/>
      <c r="Q827" s="525"/>
      <c r="R827" s="242"/>
      <c r="S827" s="242"/>
      <c r="T827" s="242"/>
      <c r="U827" s="242"/>
      <c r="V827" s="242"/>
      <c r="W827" s="242"/>
      <c r="X827" s="242"/>
      <c r="Y827" s="242"/>
      <c r="Z827" s="242"/>
      <c r="AA827" s="242"/>
      <c r="AB827" s="242"/>
      <c r="AC827" s="242"/>
      <c r="AD827" s="242"/>
      <c r="AE827" s="242"/>
      <c r="AF827" s="242"/>
    </row>
    <row r="828">
      <c r="A828" s="242"/>
      <c r="B828" s="242"/>
      <c r="C828" s="242"/>
      <c r="D828" s="13"/>
      <c r="E828" s="525"/>
      <c r="F828" s="525"/>
      <c r="G828" s="525"/>
      <c r="H828" s="242"/>
      <c r="I828" s="525"/>
      <c r="J828" s="525"/>
      <c r="K828" s="525"/>
      <c r="L828" s="525"/>
      <c r="M828" s="242"/>
      <c r="N828" s="525"/>
      <c r="O828" s="525"/>
      <c r="P828" s="525"/>
      <c r="Q828" s="525"/>
      <c r="R828" s="242"/>
      <c r="S828" s="242"/>
      <c r="T828" s="242"/>
      <c r="U828" s="242"/>
      <c r="V828" s="242"/>
      <c r="W828" s="242"/>
      <c r="X828" s="242"/>
      <c r="Y828" s="242"/>
      <c r="Z828" s="242"/>
      <c r="AA828" s="242"/>
      <c r="AB828" s="242"/>
      <c r="AC828" s="242"/>
      <c r="AD828" s="242"/>
      <c r="AE828" s="242"/>
      <c r="AF828" s="242"/>
    </row>
    <row r="829">
      <c r="A829" s="242"/>
      <c r="B829" s="242"/>
      <c r="C829" s="242"/>
      <c r="D829" s="13"/>
      <c r="E829" s="525"/>
      <c r="F829" s="525"/>
      <c r="G829" s="525"/>
      <c r="H829" s="242"/>
      <c r="I829" s="525"/>
      <c r="J829" s="525"/>
      <c r="K829" s="525"/>
      <c r="L829" s="525"/>
      <c r="M829" s="242"/>
      <c r="N829" s="525"/>
      <c r="O829" s="525"/>
      <c r="P829" s="525"/>
      <c r="Q829" s="525"/>
      <c r="R829" s="242"/>
      <c r="S829" s="242"/>
      <c r="T829" s="242"/>
      <c r="U829" s="242"/>
      <c r="V829" s="242"/>
      <c r="W829" s="242"/>
      <c r="X829" s="242"/>
      <c r="Y829" s="242"/>
      <c r="Z829" s="242"/>
      <c r="AA829" s="242"/>
      <c r="AB829" s="242"/>
      <c r="AC829" s="242"/>
      <c r="AD829" s="242"/>
      <c r="AE829" s="242"/>
      <c r="AF829" s="242"/>
    </row>
    <row r="830">
      <c r="A830" s="242"/>
      <c r="B830" s="242"/>
      <c r="C830" s="242"/>
      <c r="D830" s="13"/>
      <c r="E830" s="525"/>
      <c r="F830" s="525"/>
      <c r="G830" s="525"/>
      <c r="H830" s="242"/>
      <c r="I830" s="525"/>
      <c r="J830" s="525"/>
      <c r="K830" s="525"/>
      <c r="L830" s="525"/>
      <c r="M830" s="242"/>
      <c r="N830" s="525"/>
      <c r="O830" s="525"/>
      <c r="P830" s="525"/>
      <c r="Q830" s="525"/>
      <c r="R830" s="242"/>
      <c r="S830" s="242"/>
      <c r="T830" s="242"/>
      <c r="U830" s="242"/>
      <c r="V830" s="242"/>
      <c r="W830" s="242"/>
      <c r="X830" s="242"/>
      <c r="Y830" s="242"/>
      <c r="Z830" s="242"/>
      <c r="AA830" s="242"/>
      <c r="AB830" s="242"/>
      <c r="AC830" s="242"/>
      <c r="AD830" s="242"/>
      <c r="AE830" s="242"/>
      <c r="AF830" s="242"/>
    </row>
    <row r="831">
      <c r="A831" s="242"/>
      <c r="B831" s="242"/>
      <c r="C831" s="242"/>
      <c r="D831" s="13"/>
      <c r="E831" s="525"/>
      <c r="F831" s="525"/>
      <c r="G831" s="525"/>
      <c r="H831" s="242"/>
      <c r="I831" s="525"/>
      <c r="J831" s="525"/>
      <c r="K831" s="525"/>
      <c r="L831" s="525"/>
      <c r="M831" s="242"/>
      <c r="N831" s="525"/>
      <c r="O831" s="525"/>
      <c r="P831" s="525"/>
      <c r="Q831" s="525"/>
      <c r="R831" s="242"/>
      <c r="S831" s="242"/>
      <c r="T831" s="242"/>
      <c r="U831" s="242"/>
      <c r="V831" s="242"/>
      <c r="W831" s="242"/>
      <c r="X831" s="242"/>
      <c r="Y831" s="242"/>
      <c r="Z831" s="242"/>
      <c r="AA831" s="242"/>
      <c r="AB831" s="242"/>
      <c r="AC831" s="242"/>
      <c r="AD831" s="242"/>
      <c r="AE831" s="242"/>
      <c r="AF831" s="242"/>
    </row>
    <row r="832">
      <c r="A832" s="242"/>
      <c r="B832" s="242"/>
      <c r="C832" s="242"/>
      <c r="D832" s="13"/>
      <c r="E832" s="525"/>
      <c r="F832" s="525"/>
      <c r="G832" s="525"/>
      <c r="H832" s="242"/>
      <c r="I832" s="525"/>
      <c r="J832" s="525"/>
      <c r="K832" s="525"/>
      <c r="L832" s="525"/>
      <c r="M832" s="242"/>
      <c r="N832" s="525"/>
      <c r="O832" s="525"/>
      <c r="P832" s="525"/>
      <c r="Q832" s="525"/>
      <c r="R832" s="242"/>
      <c r="S832" s="242"/>
      <c r="T832" s="242"/>
      <c r="U832" s="242"/>
      <c r="V832" s="242"/>
      <c r="W832" s="242"/>
      <c r="X832" s="242"/>
      <c r="Y832" s="242"/>
      <c r="Z832" s="242"/>
      <c r="AA832" s="242"/>
      <c r="AB832" s="242"/>
      <c r="AC832" s="242"/>
      <c r="AD832" s="242"/>
      <c r="AE832" s="242"/>
      <c r="AF832" s="242"/>
    </row>
    <row r="833">
      <c r="A833" s="242"/>
      <c r="B833" s="242"/>
      <c r="C833" s="242"/>
      <c r="D833" s="13"/>
      <c r="E833" s="525"/>
      <c r="F833" s="525"/>
      <c r="G833" s="525"/>
      <c r="H833" s="242"/>
      <c r="I833" s="525"/>
      <c r="J833" s="525"/>
      <c r="K833" s="525"/>
      <c r="L833" s="525"/>
      <c r="M833" s="242"/>
      <c r="N833" s="525"/>
      <c r="O833" s="525"/>
      <c r="P833" s="525"/>
      <c r="Q833" s="525"/>
      <c r="R833" s="242"/>
      <c r="S833" s="242"/>
      <c r="T833" s="242"/>
      <c r="U833" s="242"/>
      <c r="V833" s="242"/>
      <c r="W833" s="242"/>
      <c r="X833" s="242"/>
      <c r="Y833" s="242"/>
      <c r="Z833" s="242"/>
      <c r="AA833" s="242"/>
      <c r="AB833" s="242"/>
      <c r="AC833" s="242"/>
      <c r="AD833" s="242"/>
      <c r="AE833" s="242"/>
      <c r="AF833" s="242"/>
    </row>
    <row r="834">
      <c r="A834" s="242"/>
      <c r="B834" s="242"/>
      <c r="C834" s="242"/>
      <c r="D834" s="13"/>
      <c r="E834" s="525"/>
      <c r="F834" s="525"/>
      <c r="G834" s="525"/>
      <c r="H834" s="242"/>
      <c r="I834" s="525"/>
      <c r="J834" s="525"/>
      <c r="K834" s="525"/>
      <c r="L834" s="525"/>
      <c r="M834" s="242"/>
      <c r="N834" s="525"/>
      <c r="O834" s="525"/>
      <c r="P834" s="525"/>
      <c r="Q834" s="525"/>
      <c r="R834" s="242"/>
      <c r="S834" s="242"/>
      <c r="T834" s="242"/>
      <c r="U834" s="242"/>
      <c r="V834" s="242"/>
      <c r="W834" s="242"/>
      <c r="X834" s="242"/>
      <c r="Y834" s="242"/>
      <c r="Z834" s="242"/>
      <c r="AA834" s="242"/>
      <c r="AB834" s="242"/>
      <c r="AC834" s="242"/>
      <c r="AD834" s="242"/>
      <c r="AE834" s="242"/>
      <c r="AF834" s="242"/>
    </row>
    <row r="835">
      <c r="A835" s="242"/>
      <c r="B835" s="242"/>
      <c r="C835" s="242"/>
      <c r="D835" s="13"/>
      <c r="E835" s="525"/>
      <c r="F835" s="525"/>
      <c r="G835" s="525"/>
      <c r="H835" s="242"/>
      <c r="I835" s="525"/>
      <c r="J835" s="525"/>
      <c r="K835" s="525"/>
      <c r="L835" s="525"/>
      <c r="M835" s="242"/>
      <c r="N835" s="525"/>
      <c r="O835" s="525"/>
      <c r="P835" s="525"/>
      <c r="Q835" s="525"/>
      <c r="R835" s="242"/>
      <c r="S835" s="242"/>
      <c r="T835" s="242"/>
      <c r="U835" s="242"/>
      <c r="V835" s="242"/>
      <c r="W835" s="242"/>
      <c r="X835" s="242"/>
      <c r="Y835" s="242"/>
      <c r="Z835" s="242"/>
      <c r="AA835" s="242"/>
      <c r="AB835" s="242"/>
      <c r="AC835" s="242"/>
      <c r="AD835" s="242"/>
      <c r="AE835" s="242"/>
      <c r="AF835" s="242"/>
    </row>
    <row r="836">
      <c r="A836" s="242"/>
      <c r="B836" s="242"/>
      <c r="C836" s="242"/>
      <c r="D836" s="13"/>
      <c r="E836" s="525"/>
      <c r="F836" s="525"/>
      <c r="G836" s="525"/>
      <c r="H836" s="242"/>
      <c r="I836" s="525"/>
      <c r="J836" s="525"/>
      <c r="K836" s="525"/>
      <c r="L836" s="525"/>
      <c r="M836" s="242"/>
      <c r="N836" s="525"/>
      <c r="O836" s="525"/>
      <c r="P836" s="525"/>
      <c r="Q836" s="525"/>
      <c r="R836" s="242"/>
      <c r="S836" s="242"/>
      <c r="T836" s="242"/>
      <c r="U836" s="242"/>
      <c r="V836" s="242"/>
      <c r="W836" s="242"/>
      <c r="X836" s="242"/>
      <c r="Y836" s="242"/>
      <c r="Z836" s="242"/>
      <c r="AA836" s="242"/>
      <c r="AB836" s="242"/>
      <c r="AC836" s="242"/>
      <c r="AD836" s="242"/>
      <c r="AE836" s="242"/>
      <c r="AF836" s="242"/>
    </row>
    <row r="837">
      <c r="A837" s="242"/>
      <c r="B837" s="242"/>
      <c r="C837" s="242"/>
      <c r="D837" s="13"/>
      <c r="E837" s="525"/>
      <c r="F837" s="525"/>
      <c r="G837" s="525"/>
      <c r="H837" s="242"/>
      <c r="I837" s="525"/>
      <c r="J837" s="525"/>
      <c r="K837" s="525"/>
      <c r="L837" s="525"/>
      <c r="M837" s="242"/>
      <c r="N837" s="525"/>
      <c r="O837" s="525"/>
      <c r="P837" s="525"/>
      <c r="Q837" s="525"/>
      <c r="R837" s="242"/>
      <c r="S837" s="242"/>
      <c r="T837" s="242"/>
      <c r="U837" s="242"/>
      <c r="V837" s="242"/>
      <c r="W837" s="242"/>
      <c r="X837" s="242"/>
      <c r="Y837" s="242"/>
      <c r="Z837" s="242"/>
      <c r="AA837" s="242"/>
      <c r="AB837" s="242"/>
      <c r="AC837" s="242"/>
      <c r="AD837" s="242"/>
      <c r="AE837" s="242"/>
      <c r="AF837" s="242"/>
    </row>
    <row r="838">
      <c r="A838" s="242"/>
      <c r="B838" s="242"/>
      <c r="C838" s="242"/>
      <c r="D838" s="13"/>
      <c r="E838" s="525"/>
      <c r="F838" s="525"/>
      <c r="G838" s="525"/>
      <c r="H838" s="242"/>
      <c r="I838" s="525"/>
      <c r="J838" s="525"/>
      <c r="K838" s="525"/>
      <c r="L838" s="525"/>
      <c r="M838" s="242"/>
      <c r="N838" s="525"/>
      <c r="O838" s="525"/>
      <c r="P838" s="525"/>
      <c r="Q838" s="525"/>
      <c r="R838" s="242"/>
      <c r="S838" s="242"/>
      <c r="T838" s="242"/>
      <c r="U838" s="242"/>
      <c r="V838" s="242"/>
      <c r="W838" s="242"/>
      <c r="X838" s="242"/>
      <c r="Y838" s="242"/>
      <c r="Z838" s="242"/>
      <c r="AA838" s="242"/>
      <c r="AB838" s="242"/>
      <c r="AC838" s="242"/>
      <c r="AD838" s="242"/>
      <c r="AE838" s="242"/>
      <c r="AF838" s="242"/>
    </row>
    <row r="839">
      <c r="A839" s="242"/>
      <c r="B839" s="242"/>
      <c r="C839" s="242"/>
      <c r="D839" s="13"/>
      <c r="E839" s="525"/>
      <c r="F839" s="525"/>
      <c r="G839" s="525"/>
      <c r="H839" s="242"/>
      <c r="I839" s="525"/>
      <c r="J839" s="525"/>
      <c r="K839" s="525"/>
      <c r="L839" s="525"/>
      <c r="M839" s="242"/>
      <c r="N839" s="525"/>
      <c r="O839" s="525"/>
      <c r="P839" s="525"/>
      <c r="Q839" s="525"/>
      <c r="R839" s="242"/>
      <c r="S839" s="242"/>
      <c r="T839" s="242"/>
      <c r="U839" s="242"/>
      <c r="V839" s="242"/>
      <c r="W839" s="242"/>
      <c r="X839" s="242"/>
      <c r="Y839" s="242"/>
      <c r="Z839" s="242"/>
      <c r="AA839" s="242"/>
      <c r="AB839" s="242"/>
      <c r="AC839" s="242"/>
      <c r="AD839" s="242"/>
      <c r="AE839" s="242"/>
      <c r="AF839" s="242"/>
    </row>
    <row r="840">
      <c r="A840" s="242"/>
      <c r="B840" s="242"/>
      <c r="C840" s="242"/>
      <c r="D840" s="13"/>
      <c r="E840" s="525"/>
      <c r="F840" s="525"/>
      <c r="G840" s="525"/>
      <c r="H840" s="242"/>
      <c r="I840" s="525"/>
      <c r="J840" s="525"/>
      <c r="K840" s="525"/>
      <c r="L840" s="525"/>
      <c r="M840" s="242"/>
      <c r="N840" s="525"/>
      <c r="O840" s="525"/>
      <c r="P840" s="525"/>
      <c r="Q840" s="525"/>
      <c r="R840" s="242"/>
      <c r="S840" s="242"/>
      <c r="T840" s="242"/>
      <c r="U840" s="242"/>
      <c r="V840" s="242"/>
      <c r="W840" s="242"/>
      <c r="X840" s="242"/>
      <c r="Y840" s="242"/>
      <c r="Z840" s="242"/>
      <c r="AA840" s="242"/>
      <c r="AB840" s="242"/>
      <c r="AC840" s="242"/>
      <c r="AD840" s="242"/>
      <c r="AE840" s="242"/>
      <c r="AF840" s="242"/>
    </row>
    <row r="841">
      <c r="A841" s="242"/>
      <c r="B841" s="242"/>
      <c r="C841" s="242"/>
      <c r="D841" s="13"/>
      <c r="E841" s="525"/>
      <c r="F841" s="525"/>
      <c r="G841" s="525"/>
      <c r="H841" s="242"/>
      <c r="I841" s="525"/>
      <c r="J841" s="525"/>
      <c r="K841" s="525"/>
      <c r="L841" s="525"/>
      <c r="M841" s="242"/>
      <c r="N841" s="525"/>
      <c r="O841" s="525"/>
      <c r="P841" s="525"/>
      <c r="Q841" s="525"/>
      <c r="R841" s="242"/>
      <c r="S841" s="242"/>
      <c r="T841" s="242"/>
      <c r="U841" s="242"/>
      <c r="V841" s="242"/>
      <c r="W841" s="242"/>
      <c r="X841" s="242"/>
      <c r="Y841" s="242"/>
      <c r="Z841" s="242"/>
      <c r="AA841" s="242"/>
      <c r="AB841" s="242"/>
      <c r="AC841" s="242"/>
      <c r="AD841" s="242"/>
      <c r="AE841" s="242"/>
      <c r="AF841" s="242"/>
    </row>
    <row r="842">
      <c r="A842" s="242"/>
      <c r="B842" s="242"/>
      <c r="C842" s="242"/>
      <c r="D842" s="13"/>
      <c r="E842" s="525"/>
      <c r="F842" s="525"/>
      <c r="G842" s="525"/>
      <c r="H842" s="242"/>
      <c r="I842" s="525"/>
      <c r="J842" s="525"/>
      <c r="K842" s="525"/>
      <c r="L842" s="525"/>
      <c r="M842" s="242"/>
      <c r="N842" s="525"/>
      <c r="O842" s="525"/>
      <c r="P842" s="525"/>
      <c r="Q842" s="525"/>
      <c r="R842" s="242"/>
      <c r="S842" s="242"/>
      <c r="T842" s="242"/>
      <c r="U842" s="242"/>
      <c r="V842" s="242"/>
      <c r="W842" s="242"/>
      <c r="X842" s="242"/>
      <c r="Y842" s="242"/>
      <c r="Z842" s="242"/>
      <c r="AA842" s="242"/>
      <c r="AB842" s="242"/>
      <c r="AC842" s="242"/>
      <c r="AD842" s="242"/>
      <c r="AE842" s="242"/>
      <c r="AF842" s="242"/>
    </row>
    <row r="843">
      <c r="A843" s="242"/>
      <c r="B843" s="242"/>
      <c r="C843" s="242"/>
      <c r="D843" s="13"/>
      <c r="E843" s="525"/>
      <c r="F843" s="525"/>
      <c r="G843" s="525"/>
      <c r="H843" s="242"/>
      <c r="I843" s="525"/>
      <c r="J843" s="525"/>
      <c r="K843" s="525"/>
      <c r="L843" s="525"/>
      <c r="M843" s="242"/>
      <c r="N843" s="525"/>
      <c r="O843" s="525"/>
      <c r="P843" s="525"/>
      <c r="Q843" s="525"/>
      <c r="R843" s="242"/>
      <c r="S843" s="242"/>
      <c r="T843" s="242"/>
      <c r="U843" s="242"/>
      <c r="V843" s="242"/>
      <c r="W843" s="242"/>
      <c r="X843" s="242"/>
      <c r="Y843" s="242"/>
      <c r="Z843" s="242"/>
      <c r="AA843" s="242"/>
      <c r="AB843" s="242"/>
      <c r="AC843" s="242"/>
      <c r="AD843" s="242"/>
      <c r="AE843" s="242"/>
      <c r="AF843" s="242"/>
    </row>
    <row r="844">
      <c r="A844" s="242"/>
      <c r="B844" s="242"/>
      <c r="C844" s="242"/>
      <c r="D844" s="13"/>
      <c r="E844" s="525"/>
      <c r="F844" s="525"/>
      <c r="G844" s="525"/>
      <c r="H844" s="242"/>
      <c r="I844" s="525"/>
      <c r="J844" s="525"/>
      <c r="K844" s="525"/>
      <c r="L844" s="525"/>
      <c r="M844" s="242"/>
      <c r="N844" s="525"/>
      <c r="O844" s="525"/>
      <c r="P844" s="525"/>
      <c r="Q844" s="525"/>
      <c r="R844" s="242"/>
      <c r="S844" s="242"/>
      <c r="T844" s="242"/>
      <c r="U844" s="242"/>
      <c r="V844" s="242"/>
      <c r="W844" s="242"/>
      <c r="X844" s="242"/>
      <c r="Y844" s="242"/>
      <c r="Z844" s="242"/>
      <c r="AA844" s="242"/>
      <c r="AB844" s="242"/>
      <c r="AC844" s="242"/>
      <c r="AD844" s="242"/>
      <c r="AE844" s="242"/>
      <c r="AF844" s="242"/>
    </row>
    <row r="845">
      <c r="A845" s="242"/>
      <c r="B845" s="242"/>
      <c r="C845" s="242"/>
      <c r="D845" s="13"/>
      <c r="E845" s="525"/>
      <c r="F845" s="525"/>
      <c r="G845" s="525"/>
      <c r="H845" s="242"/>
      <c r="I845" s="525"/>
      <c r="J845" s="525"/>
      <c r="K845" s="525"/>
      <c r="L845" s="525"/>
      <c r="M845" s="242"/>
      <c r="N845" s="525"/>
      <c r="O845" s="525"/>
      <c r="P845" s="525"/>
      <c r="Q845" s="525"/>
      <c r="R845" s="242"/>
      <c r="S845" s="242"/>
      <c r="T845" s="242"/>
      <c r="U845" s="242"/>
      <c r="V845" s="242"/>
      <c r="W845" s="242"/>
      <c r="X845" s="242"/>
      <c r="Y845" s="242"/>
      <c r="Z845" s="242"/>
      <c r="AA845" s="242"/>
      <c r="AB845" s="242"/>
      <c r="AC845" s="242"/>
      <c r="AD845" s="242"/>
      <c r="AE845" s="242"/>
      <c r="AF845" s="242"/>
    </row>
    <row r="846">
      <c r="A846" s="242"/>
      <c r="B846" s="242"/>
      <c r="C846" s="242"/>
      <c r="D846" s="13"/>
      <c r="E846" s="525"/>
      <c r="F846" s="525"/>
      <c r="G846" s="525"/>
      <c r="H846" s="242"/>
      <c r="I846" s="525"/>
      <c r="J846" s="525"/>
      <c r="K846" s="525"/>
      <c r="L846" s="525"/>
      <c r="M846" s="242"/>
      <c r="N846" s="525"/>
      <c r="O846" s="525"/>
      <c r="P846" s="525"/>
      <c r="Q846" s="525"/>
      <c r="R846" s="242"/>
      <c r="S846" s="242"/>
      <c r="T846" s="242"/>
      <c r="U846" s="242"/>
      <c r="V846" s="242"/>
      <c r="W846" s="242"/>
      <c r="X846" s="242"/>
      <c r="Y846" s="242"/>
      <c r="Z846" s="242"/>
      <c r="AA846" s="242"/>
      <c r="AB846" s="242"/>
      <c r="AC846" s="242"/>
      <c r="AD846" s="242"/>
      <c r="AE846" s="242"/>
      <c r="AF846" s="242"/>
    </row>
    <row r="847">
      <c r="A847" s="242"/>
      <c r="B847" s="242"/>
      <c r="C847" s="242"/>
      <c r="D847" s="13"/>
      <c r="E847" s="525"/>
      <c r="F847" s="525"/>
      <c r="G847" s="525"/>
      <c r="H847" s="242"/>
      <c r="I847" s="525"/>
      <c r="J847" s="525"/>
      <c r="K847" s="525"/>
      <c r="L847" s="525"/>
      <c r="M847" s="242"/>
      <c r="N847" s="525"/>
      <c r="O847" s="525"/>
      <c r="P847" s="525"/>
      <c r="Q847" s="525"/>
      <c r="R847" s="242"/>
      <c r="S847" s="242"/>
      <c r="T847" s="242"/>
      <c r="U847" s="242"/>
      <c r="V847" s="242"/>
      <c r="W847" s="242"/>
      <c r="X847" s="242"/>
      <c r="Y847" s="242"/>
      <c r="Z847" s="242"/>
      <c r="AA847" s="242"/>
      <c r="AB847" s="242"/>
      <c r="AC847" s="242"/>
      <c r="AD847" s="242"/>
      <c r="AE847" s="242"/>
      <c r="AF847" s="242"/>
    </row>
    <row r="848">
      <c r="A848" s="242"/>
      <c r="B848" s="242"/>
      <c r="C848" s="242"/>
      <c r="D848" s="13"/>
      <c r="E848" s="525"/>
      <c r="F848" s="525"/>
      <c r="G848" s="525"/>
      <c r="H848" s="242"/>
      <c r="I848" s="525"/>
      <c r="J848" s="525"/>
      <c r="K848" s="525"/>
      <c r="L848" s="525"/>
      <c r="M848" s="242"/>
      <c r="N848" s="525"/>
      <c r="O848" s="525"/>
      <c r="P848" s="525"/>
      <c r="Q848" s="525"/>
      <c r="R848" s="242"/>
      <c r="S848" s="242"/>
      <c r="T848" s="242"/>
      <c r="U848" s="242"/>
      <c r="V848" s="242"/>
      <c r="W848" s="242"/>
      <c r="X848" s="242"/>
      <c r="Y848" s="242"/>
      <c r="Z848" s="242"/>
      <c r="AA848" s="242"/>
      <c r="AB848" s="242"/>
      <c r="AC848" s="242"/>
      <c r="AD848" s="242"/>
      <c r="AE848" s="242"/>
      <c r="AF848" s="242"/>
    </row>
    <row r="849">
      <c r="A849" s="242"/>
      <c r="B849" s="242"/>
      <c r="C849" s="242"/>
      <c r="D849" s="13"/>
      <c r="E849" s="525"/>
      <c r="F849" s="525"/>
      <c r="G849" s="525"/>
      <c r="H849" s="242"/>
      <c r="I849" s="525"/>
      <c r="J849" s="525"/>
      <c r="K849" s="525"/>
      <c r="L849" s="525"/>
      <c r="M849" s="242"/>
      <c r="N849" s="525"/>
      <c r="O849" s="525"/>
      <c r="P849" s="525"/>
      <c r="Q849" s="525"/>
      <c r="R849" s="242"/>
      <c r="S849" s="242"/>
      <c r="T849" s="242"/>
      <c r="U849" s="242"/>
      <c r="V849" s="242"/>
      <c r="W849" s="242"/>
      <c r="X849" s="242"/>
      <c r="Y849" s="242"/>
      <c r="Z849" s="242"/>
      <c r="AA849" s="242"/>
      <c r="AB849" s="242"/>
      <c r="AC849" s="242"/>
      <c r="AD849" s="242"/>
      <c r="AE849" s="242"/>
      <c r="AF849" s="242"/>
    </row>
    <row r="850">
      <c r="A850" s="242"/>
      <c r="B850" s="242"/>
      <c r="C850" s="242"/>
      <c r="D850" s="13"/>
      <c r="E850" s="525"/>
      <c r="F850" s="525"/>
      <c r="G850" s="525"/>
      <c r="H850" s="242"/>
      <c r="I850" s="525"/>
      <c r="J850" s="525"/>
      <c r="K850" s="525"/>
      <c r="L850" s="525"/>
      <c r="M850" s="242"/>
      <c r="N850" s="525"/>
      <c r="O850" s="525"/>
      <c r="P850" s="525"/>
      <c r="Q850" s="525"/>
      <c r="R850" s="242"/>
      <c r="S850" s="242"/>
      <c r="T850" s="242"/>
      <c r="U850" s="242"/>
      <c r="V850" s="242"/>
      <c r="W850" s="242"/>
      <c r="X850" s="242"/>
      <c r="Y850" s="242"/>
      <c r="Z850" s="242"/>
      <c r="AA850" s="242"/>
      <c r="AB850" s="242"/>
      <c r="AC850" s="242"/>
      <c r="AD850" s="242"/>
      <c r="AE850" s="242"/>
      <c r="AF850" s="242"/>
    </row>
    <row r="851">
      <c r="A851" s="242"/>
      <c r="B851" s="242"/>
      <c r="C851" s="242"/>
      <c r="D851" s="13"/>
      <c r="E851" s="525"/>
      <c r="F851" s="525"/>
      <c r="G851" s="525"/>
      <c r="H851" s="242"/>
      <c r="I851" s="525"/>
      <c r="J851" s="525"/>
      <c r="K851" s="525"/>
      <c r="L851" s="525"/>
      <c r="M851" s="242"/>
      <c r="N851" s="525"/>
      <c r="O851" s="525"/>
      <c r="P851" s="525"/>
      <c r="Q851" s="525"/>
      <c r="R851" s="242"/>
      <c r="S851" s="242"/>
      <c r="T851" s="242"/>
      <c r="U851" s="242"/>
      <c r="V851" s="242"/>
      <c r="W851" s="242"/>
      <c r="X851" s="242"/>
      <c r="Y851" s="242"/>
      <c r="Z851" s="242"/>
      <c r="AA851" s="242"/>
      <c r="AB851" s="242"/>
      <c r="AC851" s="242"/>
      <c r="AD851" s="242"/>
      <c r="AE851" s="242"/>
      <c r="AF851" s="242"/>
    </row>
    <row r="852">
      <c r="A852" s="242"/>
      <c r="B852" s="242"/>
      <c r="C852" s="242"/>
      <c r="D852" s="13"/>
      <c r="E852" s="525"/>
      <c r="F852" s="525"/>
      <c r="G852" s="525"/>
      <c r="H852" s="242"/>
      <c r="I852" s="525"/>
      <c r="J852" s="525"/>
      <c r="K852" s="525"/>
      <c r="L852" s="525"/>
      <c r="M852" s="242"/>
      <c r="N852" s="525"/>
      <c r="O852" s="525"/>
      <c r="P852" s="525"/>
      <c r="Q852" s="525"/>
      <c r="R852" s="242"/>
      <c r="S852" s="242"/>
      <c r="T852" s="242"/>
      <c r="U852" s="242"/>
      <c r="V852" s="242"/>
      <c r="W852" s="242"/>
      <c r="X852" s="242"/>
      <c r="Y852" s="242"/>
      <c r="Z852" s="242"/>
      <c r="AA852" s="242"/>
      <c r="AB852" s="242"/>
      <c r="AC852" s="242"/>
      <c r="AD852" s="242"/>
      <c r="AE852" s="242"/>
      <c r="AF852" s="242"/>
    </row>
    <row r="853">
      <c r="A853" s="242"/>
      <c r="B853" s="242"/>
      <c r="C853" s="242"/>
      <c r="D853" s="13"/>
      <c r="E853" s="525"/>
      <c r="F853" s="525"/>
      <c r="G853" s="525"/>
      <c r="H853" s="242"/>
      <c r="I853" s="525"/>
      <c r="J853" s="525"/>
      <c r="K853" s="525"/>
      <c r="L853" s="525"/>
      <c r="M853" s="242"/>
      <c r="N853" s="525"/>
      <c r="O853" s="525"/>
      <c r="P853" s="525"/>
      <c r="Q853" s="525"/>
      <c r="R853" s="242"/>
      <c r="S853" s="242"/>
      <c r="T853" s="242"/>
      <c r="U853" s="242"/>
      <c r="V853" s="242"/>
      <c r="W853" s="242"/>
      <c r="X853" s="242"/>
      <c r="Y853" s="242"/>
      <c r="Z853" s="242"/>
      <c r="AA853" s="242"/>
      <c r="AB853" s="242"/>
      <c r="AC853" s="242"/>
      <c r="AD853" s="242"/>
      <c r="AE853" s="242"/>
      <c r="AF853" s="242"/>
    </row>
    <row r="854">
      <c r="A854" s="242"/>
      <c r="B854" s="242"/>
      <c r="C854" s="242"/>
      <c r="D854" s="13"/>
      <c r="E854" s="525"/>
      <c r="F854" s="525"/>
      <c r="G854" s="525"/>
      <c r="H854" s="242"/>
      <c r="I854" s="525"/>
      <c r="J854" s="525"/>
      <c r="K854" s="525"/>
      <c r="L854" s="525"/>
      <c r="M854" s="242"/>
      <c r="N854" s="525"/>
      <c r="O854" s="525"/>
      <c r="P854" s="525"/>
      <c r="Q854" s="525"/>
      <c r="R854" s="242"/>
      <c r="S854" s="242"/>
      <c r="T854" s="242"/>
      <c r="U854" s="242"/>
      <c r="V854" s="242"/>
      <c r="W854" s="242"/>
      <c r="X854" s="242"/>
      <c r="Y854" s="242"/>
      <c r="Z854" s="242"/>
      <c r="AA854" s="242"/>
      <c r="AB854" s="242"/>
      <c r="AC854" s="242"/>
      <c r="AD854" s="242"/>
      <c r="AE854" s="242"/>
      <c r="AF854" s="242"/>
    </row>
    <row r="855">
      <c r="A855" s="242"/>
      <c r="B855" s="242"/>
      <c r="C855" s="242"/>
      <c r="D855" s="13"/>
      <c r="E855" s="525"/>
      <c r="F855" s="525"/>
      <c r="G855" s="525"/>
      <c r="H855" s="242"/>
      <c r="I855" s="525"/>
      <c r="J855" s="525"/>
      <c r="K855" s="525"/>
      <c r="L855" s="525"/>
      <c r="M855" s="242"/>
      <c r="N855" s="525"/>
      <c r="O855" s="525"/>
      <c r="P855" s="525"/>
      <c r="Q855" s="525"/>
      <c r="R855" s="242"/>
      <c r="S855" s="242"/>
      <c r="T855" s="242"/>
      <c r="U855" s="242"/>
      <c r="V855" s="242"/>
      <c r="W855" s="242"/>
      <c r="X855" s="242"/>
      <c r="Y855" s="242"/>
      <c r="Z855" s="242"/>
      <c r="AA855" s="242"/>
      <c r="AB855" s="242"/>
      <c r="AC855" s="242"/>
      <c r="AD855" s="242"/>
      <c r="AE855" s="242"/>
      <c r="AF855" s="242"/>
    </row>
    <row r="856">
      <c r="A856" s="242"/>
      <c r="B856" s="242"/>
      <c r="C856" s="242"/>
      <c r="D856" s="13"/>
      <c r="E856" s="525"/>
      <c r="F856" s="525"/>
      <c r="G856" s="525"/>
      <c r="H856" s="242"/>
      <c r="I856" s="525"/>
      <c r="J856" s="525"/>
      <c r="K856" s="525"/>
      <c r="L856" s="525"/>
      <c r="M856" s="242"/>
      <c r="N856" s="525"/>
      <c r="O856" s="525"/>
      <c r="P856" s="525"/>
      <c r="Q856" s="525"/>
      <c r="R856" s="242"/>
      <c r="S856" s="242"/>
      <c r="T856" s="242"/>
      <c r="U856" s="242"/>
      <c r="V856" s="242"/>
      <c r="W856" s="242"/>
      <c r="X856" s="242"/>
      <c r="Y856" s="242"/>
      <c r="Z856" s="242"/>
      <c r="AA856" s="242"/>
      <c r="AB856" s="242"/>
      <c r="AC856" s="242"/>
      <c r="AD856" s="242"/>
      <c r="AE856" s="242"/>
      <c r="AF856" s="242"/>
    </row>
    <row r="857">
      <c r="A857" s="242"/>
      <c r="B857" s="242"/>
      <c r="C857" s="242"/>
      <c r="D857" s="13"/>
      <c r="E857" s="525"/>
      <c r="F857" s="525"/>
      <c r="G857" s="525"/>
      <c r="H857" s="242"/>
      <c r="I857" s="525"/>
      <c r="J857" s="525"/>
      <c r="K857" s="525"/>
      <c r="L857" s="525"/>
      <c r="M857" s="242"/>
      <c r="N857" s="525"/>
      <c r="O857" s="525"/>
      <c r="P857" s="525"/>
      <c r="Q857" s="525"/>
      <c r="R857" s="242"/>
      <c r="S857" s="242"/>
      <c r="T857" s="242"/>
      <c r="U857" s="242"/>
      <c r="V857" s="242"/>
      <c r="W857" s="242"/>
      <c r="X857" s="242"/>
      <c r="Y857" s="242"/>
      <c r="Z857" s="242"/>
      <c r="AA857" s="242"/>
      <c r="AB857" s="242"/>
      <c r="AC857" s="242"/>
      <c r="AD857" s="242"/>
      <c r="AE857" s="242"/>
      <c r="AF857" s="242"/>
    </row>
    <row r="858">
      <c r="A858" s="242"/>
      <c r="B858" s="242"/>
      <c r="C858" s="242"/>
      <c r="D858" s="13"/>
      <c r="E858" s="525"/>
      <c r="F858" s="525"/>
      <c r="G858" s="525"/>
      <c r="H858" s="242"/>
      <c r="I858" s="525"/>
      <c r="J858" s="525"/>
      <c r="K858" s="525"/>
      <c r="L858" s="525"/>
      <c r="M858" s="242"/>
      <c r="N858" s="525"/>
      <c r="O858" s="525"/>
      <c r="P858" s="525"/>
      <c r="Q858" s="525"/>
      <c r="R858" s="242"/>
      <c r="S858" s="242"/>
      <c r="T858" s="242"/>
      <c r="U858" s="242"/>
      <c r="V858" s="242"/>
      <c r="W858" s="242"/>
      <c r="X858" s="242"/>
      <c r="Y858" s="242"/>
      <c r="Z858" s="242"/>
      <c r="AA858" s="242"/>
      <c r="AB858" s="242"/>
      <c r="AC858" s="242"/>
      <c r="AD858" s="242"/>
      <c r="AE858" s="242"/>
      <c r="AF858" s="242"/>
    </row>
    <row r="859">
      <c r="A859" s="242"/>
      <c r="B859" s="242"/>
      <c r="C859" s="242"/>
      <c r="D859" s="13"/>
      <c r="E859" s="525"/>
      <c r="F859" s="525"/>
      <c r="G859" s="525"/>
      <c r="H859" s="242"/>
      <c r="I859" s="525"/>
      <c r="J859" s="525"/>
      <c r="K859" s="525"/>
      <c r="L859" s="525"/>
      <c r="M859" s="242"/>
      <c r="N859" s="525"/>
      <c r="O859" s="525"/>
      <c r="P859" s="525"/>
      <c r="Q859" s="525"/>
      <c r="R859" s="242"/>
      <c r="S859" s="242"/>
      <c r="T859" s="242"/>
      <c r="U859" s="242"/>
      <c r="V859" s="242"/>
      <c r="W859" s="242"/>
      <c r="X859" s="242"/>
      <c r="Y859" s="242"/>
      <c r="Z859" s="242"/>
      <c r="AA859" s="242"/>
      <c r="AB859" s="242"/>
      <c r="AC859" s="242"/>
      <c r="AD859" s="242"/>
      <c r="AE859" s="242"/>
      <c r="AF859" s="242"/>
    </row>
    <row r="860">
      <c r="A860" s="242"/>
      <c r="B860" s="242"/>
      <c r="C860" s="242"/>
      <c r="D860" s="13"/>
      <c r="E860" s="525"/>
      <c r="F860" s="525"/>
      <c r="G860" s="525"/>
      <c r="H860" s="242"/>
      <c r="I860" s="525"/>
      <c r="J860" s="525"/>
      <c r="K860" s="525"/>
      <c r="L860" s="525"/>
      <c r="M860" s="242"/>
      <c r="N860" s="525"/>
      <c r="O860" s="525"/>
      <c r="P860" s="525"/>
      <c r="Q860" s="525"/>
      <c r="R860" s="242"/>
      <c r="S860" s="242"/>
      <c r="T860" s="242"/>
      <c r="U860" s="242"/>
      <c r="V860" s="242"/>
      <c r="W860" s="242"/>
      <c r="X860" s="242"/>
      <c r="Y860" s="242"/>
      <c r="Z860" s="242"/>
      <c r="AA860" s="242"/>
      <c r="AB860" s="242"/>
      <c r="AC860" s="242"/>
      <c r="AD860" s="242"/>
      <c r="AE860" s="242"/>
      <c r="AF860" s="242"/>
    </row>
    <row r="861">
      <c r="A861" s="242"/>
      <c r="B861" s="242"/>
      <c r="C861" s="242"/>
      <c r="D861" s="13"/>
      <c r="E861" s="525"/>
      <c r="F861" s="525"/>
      <c r="G861" s="525"/>
      <c r="H861" s="242"/>
      <c r="I861" s="525"/>
      <c r="J861" s="525"/>
      <c r="K861" s="525"/>
      <c r="L861" s="525"/>
      <c r="M861" s="242"/>
      <c r="N861" s="525"/>
      <c r="O861" s="525"/>
      <c r="P861" s="525"/>
      <c r="Q861" s="525"/>
      <c r="R861" s="242"/>
      <c r="S861" s="242"/>
      <c r="T861" s="242"/>
      <c r="U861" s="242"/>
      <c r="V861" s="242"/>
      <c r="W861" s="242"/>
      <c r="X861" s="242"/>
      <c r="Y861" s="242"/>
      <c r="Z861" s="242"/>
      <c r="AA861" s="242"/>
      <c r="AB861" s="242"/>
      <c r="AC861" s="242"/>
      <c r="AD861" s="242"/>
      <c r="AE861" s="242"/>
      <c r="AF861" s="242"/>
    </row>
    <row r="862">
      <c r="A862" s="242"/>
      <c r="B862" s="242"/>
      <c r="C862" s="242"/>
      <c r="D862" s="13"/>
      <c r="E862" s="525"/>
      <c r="F862" s="525"/>
      <c r="G862" s="525"/>
      <c r="H862" s="242"/>
      <c r="I862" s="525"/>
      <c r="J862" s="525"/>
      <c r="K862" s="525"/>
      <c r="L862" s="525"/>
      <c r="M862" s="242"/>
      <c r="N862" s="525"/>
      <c r="O862" s="525"/>
      <c r="P862" s="525"/>
      <c r="Q862" s="525"/>
      <c r="R862" s="242"/>
      <c r="S862" s="242"/>
      <c r="T862" s="242"/>
      <c r="U862" s="242"/>
      <c r="V862" s="242"/>
      <c r="W862" s="242"/>
      <c r="X862" s="242"/>
      <c r="Y862" s="242"/>
      <c r="Z862" s="242"/>
      <c r="AA862" s="242"/>
      <c r="AB862" s="242"/>
      <c r="AC862" s="242"/>
      <c r="AD862" s="242"/>
      <c r="AE862" s="242"/>
      <c r="AF862" s="242"/>
    </row>
    <row r="863">
      <c r="A863" s="242"/>
      <c r="B863" s="242"/>
      <c r="C863" s="242"/>
      <c r="D863" s="13"/>
      <c r="E863" s="525"/>
      <c r="F863" s="525"/>
      <c r="G863" s="525"/>
      <c r="H863" s="242"/>
      <c r="I863" s="525"/>
      <c r="J863" s="525"/>
      <c r="K863" s="525"/>
      <c r="L863" s="525"/>
      <c r="M863" s="242"/>
      <c r="N863" s="525"/>
      <c r="O863" s="525"/>
      <c r="P863" s="525"/>
      <c r="Q863" s="525"/>
      <c r="R863" s="242"/>
      <c r="S863" s="242"/>
      <c r="T863" s="242"/>
      <c r="U863" s="242"/>
      <c r="V863" s="242"/>
      <c r="W863" s="242"/>
      <c r="X863" s="242"/>
      <c r="Y863" s="242"/>
      <c r="Z863" s="242"/>
      <c r="AA863" s="242"/>
      <c r="AB863" s="242"/>
      <c r="AC863" s="242"/>
      <c r="AD863" s="242"/>
      <c r="AE863" s="242"/>
      <c r="AF863" s="242"/>
    </row>
    <row r="864">
      <c r="A864" s="242"/>
      <c r="B864" s="242"/>
      <c r="C864" s="242"/>
      <c r="D864" s="13"/>
      <c r="E864" s="525"/>
      <c r="F864" s="525"/>
      <c r="G864" s="525"/>
      <c r="H864" s="242"/>
      <c r="I864" s="525"/>
      <c r="J864" s="525"/>
      <c r="K864" s="525"/>
      <c r="L864" s="525"/>
      <c r="M864" s="242"/>
      <c r="N864" s="525"/>
      <c r="O864" s="525"/>
      <c r="P864" s="525"/>
      <c r="Q864" s="525"/>
      <c r="R864" s="242"/>
      <c r="S864" s="242"/>
      <c r="T864" s="242"/>
      <c r="U864" s="242"/>
      <c r="V864" s="242"/>
      <c r="W864" s="242"/>
      <c r="X864" s="242"/>
      <c r="Y864" s="242"/>
      <c r="Z864" s="242"/>
      <c r="AA864" s="242"/>
      <c r="AB864" s="242"/>
      <c r="AC864" s="242"/>
      <c r="AD864" s="242"/>
      <c r="AE864" s="242"/>
      <c r="AF864" s="242"/>
    </row>
    <row r="865">
      <c r="A865" s="242"/>
      <c r="B865" s="242"/>
      <c r="C865" s="242"/>
      <c r="D865" s="13"/>
      <c r="E865" s="525"/>
      <c r="F865" s="525"/>
      <c r="G865" s="525"/>
      <c r="H865" s="242"/>
      <c r="I865" s="525"/>
      <c r="J865" s="525"/>
      <c r="K865" s="525"/>
      <c r="L865" s="525"/>
      <c r="M865" s="242"/>
      <c r="N865" s="525"/>
      <c r="O865" s="525"/>
      <c r="P865" s="525"/>
      <c r="Q865" s="525"/>
      <c r="R865" s="242"/>
      <c r="S865" s="242"/>
      <c r="T865" s="242"/>
      <c r="U865" s="242"/>
      <c r="V865" s="242"/>
      <c r="W865" s="242"/>
      <c r="X865" s="242"/>
      <c r="Y865" s="242"/>
      <c r="Z865" s="242"/>
      <c r="AA865" s="242"/>
      <c r="AB865" s="242"/>
      <c r="AC865" s="242"/>
      <c r="AD865" s="242"/>
      <c r="AE865" s="242"/>
      <c r="AF865" s="242"/>
    </row>
    <row r="866">
      <c r="A866" s="242"/>
      <c r="B866" s="242"/>
      <c r="C866" s="242"/>
      <c r="D866" s="13"/>
      <c r="E866" s="525"/>
      <c r="F866" s="525"/>
      <c r="G866" s="525"/>
      <c r="H866" s="242"/>
      <c r="I866" s="525"/>
      <c r="J866" s="525"/>
      <c r="K866" s="525"/>
      <c r="L866" s="525"/>
      <c r="M866" s="242"/>
      <c r="N866" s="525"/>
      <c r="O866" s="525"/>
      <c r="P866" s="525"/>
      <c r="Q866" s="525"/>
      <c r="R866" s="242"/>
      <c r="S866" s="242"/>
      <c r="T866" s="242"/>
      <c r="U866" s="242"/>
      <c r="V866" s="242"/>
      <c r="W866" s="242"/>
      <c r="X866" s="242"/>
      <c r="Y866" s="242"/>
      <c r="Z866" s="242"/>
      <c r="AA866" s="242"/>
      <c r="AB866" s="242"/>
      <c r="AC866" s="242"/>
      <c r="AD866" s="242"/>
      <c r="AE866" s="242"/>
      <c r="AF866" s="242"/>
    </row>
    <row r="867">
      <c r="A867" s="242"/>
      <c r="B867" s="242"/>
      <c r="C867" s="242"/>
      <c r="D867" s="13"/>
      <c r="E867" s="525"/>
      <c r="F867" s="525"/>
      <c r="G867" s="525"/>
      <c r="H867" s="242"/>
      <c r="I867" s="525"/>
      <c r="J867" s="525"/>
      <c r="K867" s="525"/>
      <c r="L867" s="525"/>
      <c r="M867" s="242"/>
      <c r="N867" s="525"/>
      <c r="O867" s="525"/>
      <c r="P867" s="525"/>
      <c r="Q867" s="525"/>
      <c r="R867" s="242"/>
      <c r="S867" s="242"/>
      <c r="T867" s="242"/>
      <c r="U867" s="242"/>
      <c r="V867" s="242"/>
      <c r="W867" s="242"/>
      <c r="X867" s="242"/>
      <c r="Y867" s="242"/>
      <c r="Z867" s="242"/>
      <c r="AA867" s="242"/>
      <c r="AB867" s="242"/>
      <c r="AC867" s="242"/>
      <c r="AD867" s="242"/>
      <c r="AE867" s="242"/>
      <c r="AF867" s="242"/>
    </row>
    <row r="868">
      <c r="A868" s="242"/>
      <c r="B868" s="242"/>
      <c r="C868" s="242"/>
      <c r="D868" s="13"/>
      <c r="E868" s="525"/>
      <c r="F868" s="525"/>
      <c r="G868" s="525"/>
      <c r="H868" s="242"/>
      <c r="I868" s="525"/>
      <c r="J868" s="525"/>
      <c r="K868" s="525"/>
      <c r="L868" s="525"/>
      <c r="M868" s="242"/>
      <c r="N868" s="525"/>
      <c r="O868" s="525"/>
      <c r="P868" s="525"/>
      <c r="Q868" s="525"/>
      <c r="R868" s="242"/>
      <c r="S868" s="242"/>
      <c r="T868" s="242"/>
      <c r="U868" s="242"/>
      <c r="V868" s="242"/>
      <c r="W868" s="242"/>
      <c r="X868" s="242"/>
      <c r="Y868" s="242"/>
      <c r="Z868" s="242"/>
      <c r="AA868" s="242"/>
      <c r="AB868" s="242"/>
      <c r="AC868" s="242"/>
      <c r="AD868" s="242"/>
      <c r="AE868" s="242"/>
      <c r="AF868" s="242"/>
    </row>
    <row r="869">
      <c r="A869" s="242"/>
      <c r="B869" s="242"/>
      <c r="C869" s="242"/>
      <c r="D869" s="13"/>
      <c r="E869" s="525"/>
      <c r="F869" s="525"/>
      <c r="G869" s="525"/>
      <c r="H869" s="242"/>
      <c r="I869" s="525"/>
      <c r="J869" s="525"/>
      <c r="K869" s="525"/>
      <c r="L869" s="525"/>
      <c r="M869" s="242"/>
      <c r="N869" s="525"/>
      <c r="O869" s="525"/>
      <c r="P869" s="525"/>
      <c r="Q869" s="525"/>
      <c r="R869" s="242"/>
      <c r="S869" s="242"/>
      <c r="T869" s="242"/>
      <c r="U869" s="242"/>
      <c r="V869" s="242"/>
      <c r="W869" s="242"/>
      <c r="X869" s="242"/>
      <c r="Y869" s="242"/>
      <c r="Z869" s="242"/>
      <c r="AA869" s="242"/>
      <c r="AB869" s="242"/>
      <c r="AC869" s="242"/>
      <c r="AD869" s="242"/>
      <c r="AE869" s="242"/>
      <c r="AF869" s="242"/>
    </row>
    <row r="870">
      <c r="A870" s="242"/>
      <c r="B870" s="242"/>
      <c r="C870" s="242"/>
      <c r="D870" s="13"/>
      <c r="E870" s="525"/>
      <c r="F870" s="525"/>
      <c r="G870" s="525"/>
      <c r="H870" s="242"/>
      <c r="I870" s="525"/>
      <c r="J870" s="525"/>
      <c r="K870" s="525"/>
      <c r="L870" s="525"/>
      <c r="M870" s="242"/>
      <c r="N870" s="525"/>
      <c r="O870" s="525"/>
      <c r="P870" s="525"/>
      <c r="Q870" s="525"/>
      <c r="R870" s="242"/>
      <c r="S870" s="242"/>
      <c r="T870" s="242"/>
      <c r="U870" s="242"/>
      <c r="V870" s="242"/>
      <c r="W870" s="242"/>
      <c r="X870" s="242"/>
      <c r="Y870" s="242"/>
      <c r="Z870" s="242"/>
      <c r="AA870" s="242"/>
      <c r="AB870" s="242"/>
      <c r="AC870" s="242"/>
      <c r="AD870" s="242"/>
      <c r="AE870" s="242"/>
      <c r="AF870" s="242"/>
    </row>
    <row r="871">
      <c r="A871" s="242"/>
      <c r="B871" s="242"/>
      <c r="C871" s="242"/>
      <c r="D871" s="13"/>
      <c r="E871" s="525"/>
      <c r="F871" s="525"/>
      <c r="G871" s="525"/>
      <c r="H871" s="242"/>
      <c r="I871" s="525"/>
      <c r="J871" s="525"/>
      <c r="K871" s="525"/>
      <c r="L871" s="525"/>
      <c r="M871" s="242"/>
      <c r="N871" s="525"/>
      <c r="O871" s="525"/>
      <c r="P871" s="525"/>
      <c r="Q871" s="525"/>
      <c r="R871" s="242"/>
      <c r="S871" s="242"/>
      <c r="T871" s="242"/>
      <c r="U871" s="242"/>
      <c r="V871" s="242"/>
      <c r="W871" s="242"/>
      <c r="X871" s="242"/>
      <c r="Y871" s="242"/>
      <c r="Z871" s="242"/>
      <c r="AA871" s="242"/>
      <c r="AB871" s="242"/>
      <c r="AC871" s="242"/>
      <c r="AD871" s="242"/>
      <c r="AE871" s="242"/>
      <c r="AF871" s="242"/>
    </row>
    <row r="872">
      <c r="A872" s="242"/>
      <c r="B872" s="242"/>
      <c r="C872" s="242"/>
      <c r="D872" s="13"/>
      <c r="E872" s="525"/>
      <c r="F872" s="525"/>
      <c r="G872" s="525"/>
      <c r="H872" s="242"/>
      <c r="I872" s="525"/>
      <c r="J872" s="525"/>
      <c r="K872" s="525"/>
      <c r="L872" s="525"/>
      <c r="M872" s="242"/>
      <c r="N872" s="525"/>
      <c r="O872" s="525"/>
      <c r="P872" s="525"/>
      <c r="Q872" s="525"/>
      <c r="R872" s="242"/>
      <c r="S872" s="242"/>
      <c r="T872" s="242"/>
      <c r="U872" s="242"/>
      <c r="V872" s="242"/>
      <c r="W872" s="242"/>
      <c r="X872" s="242"/>
      <c r="Y872" s="242"/>
      <c r="Z872" s="242"/>
      <c r="AA872" s="242"/>
      <c r="AB872" s="242"/>
      <c r="AC872" s="242"/>
      <c r="AD872" s="242"/>
      <c r="AE872" s="242"/>
      <c r="AF872" s="242"/>
    </row>
    <row r="873">
      <c r="A873" s="242"/>
      <c r="B873" s="242"/>
      <c r="C873" s="242"/>
      <c r="D873" s="13"/>
      <c r="E873" s="525"/>
      <c r="F873" s="525"/>
      <c r="G873" s="525"/>
      <c r="H873" s="242"/>
      <c r="I873" s="525"/>
      <c r="J873" s="525"/>
      <c r="K873" s="525"/>
      <c r="L873" s="525"/>
      <c r="M873" s="242"/>
      <c r="N873" s="525"/>
      <c r="O873" s="525"/>
      <c r="P873" s="525"/>
      <c r="Q873" s="525"/>
      <c r="R873" s="242"/>
      <c r="S873" s="242"/>
      <c r="T873" s="242"/>
      <c r="U873" s="242"/>
      <c r="V873" s="242"/>
      <c r="W873" s="242"/>
      <c r="X873" s="242"/>
      <c r="Y873" s="242"/>
      <c r="Z873" s="242"/>
      <c r="AA873" s="242"/>
      <c r="AB873" s="242"/>
      <c r="AC873" s="242"/>
      <c r="AD873" s="242"/>
      <c r="AE873" s="242"/>
      <c r="AF873" s="242"/>
    </row>
    <row r="874">
      <c r="A874" s="242"/>
      <c r="B874" s="242"/>
      <c r="C874" s="242"/>
      <c r="D874" s="13"/>
      <c r="E874" s="525"/>
      <c r="F874" s="525"/>
      <c r="G874" s="525"/>
      <c r="H874" s="242"/>
      <c r="I874" s="525"/>
      <c r="J874" s="525"/>
      <c r="K874" s="525"/>
      <c r="L874" s="525"/>
      <c r="M874" s="242"/>
      <c r="N874" s="525"/>
      <c r="O874" s="525"/>
      <c r="P874" s="525"/>
      <c r="Q874" s="525"/>
      <c r="R874" s="242"/>
      <c r="S874" s="242"/>
      <c r="T874" s="242"/>
      <c r="U874" s="242"/>
      <c r="V874" s="242"/>
      <c r="W874" s="242"/>
      <c r="X874" s="242"/>
      <c r="Y874" s="242"/>
      <c r="Z874" s="242"/>
      <c r="AA874" s="242"/>
      <c r="AB874" s="242"/>
      <c r="AC874" s="242"/>
      <c r="AD874" s="242"/>
      <c r="AE874" s="242"/>
      <c r="AF874" s="242"/>
    </row>
    <row r="875">
      <c r="A875" s="242"/>
      <c r="B875" s="242"/>
      <c r="C875" s="242"/>
      <c r="D875" s="13"/>
      <c r="E875" s="525"/>
      <c r="F875" s="525"/>
      <c r="G875" s="525"/>
      <c r="H875" s="242"/>
      <c r="I875" s="525"/>
      <c r="J875" s="525"/>
      <c r="K875" s="525"/>
      <c r="L875" s="525"/>
      <c r="M875" s="242"/>
      <c r="N875" s="525"/>
      <c r="O875" s="525"/>
      <c r="P875" s="525"/>
      <c r="Q875" s="525"/>
      <c r="R875" s="242"/>
      <c r="S875" s="242"/>
      <c r="T875" s="242"/>
      <c r="U875" s="242"/>
      <c r="V875" s="242"/>
      <c r="W875" s="242"/>
      <c r="X875" s="242"/>
      <c r="Y875" s="242"/>
      <c r="Z875" s="242"/>
      <c r="AA875" s="242"/>
      <c r="AB875" s="242"/>
      <c r="AC875" s="242"/>
      <c r="AD875" s="242"/>
      <c r="AE875" s="242"/>
      <c r="AF875" s="242"/>
    </row>
    <row r="876">
      <c r="A876" s="242"/>
      <c r="B876" s="242"/>
      <c r="C876" s="242"/>
      <c r="D876" s="13"/>
      <c r="E876" s="525"/>
      <c r="F876" s="525"/>
      <c r="G876" s="525"/>
      <c r="H876" s="242"/>
      <c r="I876" s="525"/>
      <c r="J876" s="525"/>
      <c r="K876" s="525"/>
      <c r="L876" s="525"/>
      <c r="M876" s="242"/>
      <c r="N876" s="525"/>
      <c r="O876" s="525"/>
      <c r="P876" s="525"/>
      <c r="Q876" s="525"/>
      <c r="R876" s="242"/>
      <c r="S876" s="242"/>
      <c r="T876" s="242"/>
      <c r="U876" s="242"/>
      <c r="V876" s="242"/>
      <c r="W876" s="242"/>
      <c r="X876" s="242"/>
      <c r="Y876" s="242"/>
      <c r="Z876" s="242"/>
      <c r="AA876" s="242"/>
      <c r="AB876" s="242"/>
      <c r="AC876" s="242"/>
      <c r="AD876" s="242"/>
      <c r="AE876" s="242"/>
      <c r="AF876" s="242"/>
    </row>
    <row r="877">
      <c r="A877" s="242"/>
      <c r="B877" s="242"/>
      <c r="C877" s="242"/>
      <c r="D877" s="13"/>
      <c r="E877" s="525"/>
      <c r="F877" s="525"/>
      <c r="G877" s="525"/>
      <c r="H877" s="242"/>
      <c r="I877" s="525"/>
      <c r="J877" s="525"/>
      <c r="K877" s="525"/>
      <c r="L877" s="525"/>
      <c r="M877" s="242"/>
      <c r="N877" s="525"/>
      <c r="O877" s="525"/>
      <c r="P877" s="525"/>
      <c r="Q877" s="525"/>
      <c r="R877" s="242"/>
      <c r="S877" s="242"/>
      <c r="T877" s="242"/>
      <c r="U877" s="242"/>
      <c r="V877" s="242"/>
      <c r="W877" s="242"/>
      <c r="X877" s="242"/>
      <c r="Y877" s="242"/>
      <c r="Z877" s="242"/>
      <c r="AA877" s="242"/>
      <c r="AB877" s="242"/>
      <c r="AC877" s="242"/>
      <c r="AD877" s="242"/>
      <c r="AE877" s="242"/>
      <c r="AF877" s="242"/>
    </row>
    <row r="878">
      <c r="A878" s="242"/>
      <c r="B878" s="242"/>
      <c r="C878" s="242"/>
      <c r="D878" s="13"/>
      <c r="E878" s="525"/>
      <c r="F878" s="525"/>
      <c r="G878" s="525"/>
      <c r="H878" s="242"/>
      <c r="I878" s="525"/>
      <c r="J878" s="525"/>
      <c r="K878" s="525"/>
      <c r="L878" s="525"/>
      <c r="M878" s="242"/>
      <c r="N878" s="525"/>
      <c r="O878" s="525"/>
      <c r="P878" s="525"/>
      <c r="Q878" s="525"/>
      <c r="R878" s="242"/>
      <c r="S878" s="242"/>
      <c r="T878" s="242"/>
      <c r="U878" s="242"/>
      <c r="V878" s="242"/>
      <c r="W878" s="242"/>
      <c r="X878" s="242"/>
      <c r="Y878" s="242"/>
      <c r="Z878" s="242"/>
      <c r="AA878" s="242"/>
      <c r="AB878" s="242"/>
      <c r="AC878" s="242"/>
      <c r="AD878" s="242"/>
      <c r="AE878" s="242"/>
      <c r="AF878" s="242"/>
    </row>
    <row r="879">
      <c r="A879" s="242"/>
      <c r="B879" s="242"/>
      <c r="C879" s="242"/>
      <c r="D879" s="13"/>
      <c r="E879" s="525"/>
      <c r="F879" s="525"/>
      <c r="G879" s="525"/>
      <c r="H879" s="242"/>
      <c r="I879" s="525"/>
      <c r="J879" s="525"/>
      <c r="K879" s="525"/>
      <c r="L879" s="525"/>
      <c r="M879" s="242"/>
      <c r="N879" s="525"/>
      <c r="O879" s="525"/>
      <c r="P879" s="525"/>
      <c r="Q879" s="525"/>
      <c r="R879" s="242"/>
      <c r="S879" s="242"/>
      <c r="T879" s="242"/>
      <c r="U879" s="242"/>
      <c r="V879" s="242"/>
      <c r="W879" s="242"/>
      <c r="X879" s="242"/>
      <c r="Y879" s="242"/>
      <c r="Z879" s="242"/>
      <c r="AA879" s="242"/>
      <c r="AB879" s="242"/>
      <c r="AC879" s="242"/>
      <c r="AD879" s="242"/>
      <c r="AE879" s="242"/>
      <c r="AF879" s="242"/>
    </row>
    <row r="880">
      <c r="A880" s="242"/>
      <c r="B880" s="242"/>
      <c r="C880" s="242"/>
      <c r="D880" s="13"/>
      <c r="E880" s="525"/>
      <c r="F880" s="525"/>
      <c r="G880" s="525"/>
      <c r="H880" s="242"/>
      <c r="I880" s="525"/>
      <c r="J880" s="525"/>
      <c r="K880" s="525"/>
      <c r="L880" s="525"/>
      <c r="M880" s="242"/>
      <c r="N880" s="525"/>
      <c r="O880" s="525"/>
      <c r="P880" s="525"/>
      <c r="Q880" s="525"/>
      <c r="R880" s="242"/>
      <c r="S880" s="242"/>
      <c r="T880" s="242"/>
      <c r="U880" s="242"/>
      <c r="V880" s="242"/>
      <c r="W880" s="242"/>
      <c r="X880" s="242"/>
      <c r="Y880" s="242"/>
      <c r="Z880" s="242"/>
      <c r="AA880" s="242"/>
      <c r="AB880" s="242"/>
      <c r="AC880" s="242"/>
      <c r="AD880" s="242"/>
      <c r="AE880" s="242"/>
      <c r="AF880" s="242"/>
    </row>
    <row r="881">
      <c r="A881" s="242"/>
      <c r="B881" s="242"/>
      <c r="C881" s="242"/>
      <c r="D881" s="13"/>
      <c r="E881" s="525"/>
      <c r="F881" s="525"/>
      <c r="G881" s="525"/>
      <c r="H881" s="242"/>
      <c r="I881" s="525"/>
      <c r="J881" s="525"/>
      <c r="K881" s="525"/>
      <c r="L881" s="525"/>
      <c r="M881" s="242"/>
      <c r="N881" s="525"/>
      <c r="O881" s="525"/>
      <c r="P881" s="525"/>
      <c r="Q881" s="525"/>
      <c r="R881" s="242"/>
      <c r="S881" s="242"/>
      <c r="T881" s="242"/>
      <c r="U881" s="242"/>
      <c r="V881" s="242"/>
      <c r="W881" s="242"/>
      <c r="X881" s="242"/>
      <c r="Y881" s="242"/>
      <c r="Z881" s="242"/>
      <c r="AA881" s="242"/>
      <c r="AB881" s="242"/>
      <c r="AC881" s="242"/>
      <c r="AD881" s="242"/>
      <c r="AE881" s="242"/>
      <c r="AF881" s="242"/>
    </row>
    <row r="882">
      <c r="A882" s="242"/>
      <c r="B882" s="242"/>
      <c r="C882" s="242"/>
      <c r="D882" s="13"/>
      <c r="E882" s="525"/>
      <c r="F882" s="525"/>
      <c r="G882" s="525"/>
      <c r="H882" s="242"/>
      <c r="I882" s="525"/>
      <c r="J882" s="525"/>
      <c r="K882" s="525"/>
      <c r="L882" s="525"/>
      <c r="M882" s="242"/>
      <c r="N882" s="525"/>
      <c r="O882" s="525"/>
      <c r="P882" s="525"/>
      <c r="Q882" s="525"/>
      <c r="R882" s="242"/>
      <c r="S882" s="242"/>
      <c r="T882" s="242"/>
      <c r="U882" s="242"/>
      <c r="V882" s="242"/>
      <c r="W882" s="242"/>
      <c r="X882" s="242"/>
      <c r="Y882" s="242"/>
      <c r="Z882" s="242"/>
      <c r="AA882" s="242"/>
      <c r="AB882" s="242"/>
      <c r="AC882" s="242"/>
      <c r="AD882" s="242"/>
      <c r="AE882" s="242"/>
      <c r="AF882" s="242"/>
    </row>
    <row r="883">
      <c r="A883" s="242"/>
      <c r="B883" s="242"/>
      <c r="C883" s="242"/>
      <c r="D883" s="13"/>
      <c r="E883" s="525"/>
      <c r="F883" s="525"/>
      <c r="G883" s="525"/>
      <c r="H883" s="242"/>
      <c r="I883" s="525"/>
      <c r="J883" s="525"/>
      <c r="K883" s="525"/>
      <c r="L883" s="525"/>
      <c r="M883" s="242"/>
      <c r="N883" s="525"/>
      <c r="O883" s="525"/>
      <c r="P883" s="525"/>
      <c r="Q883" s="525"/>
      <c r="R883" s="242"/>
      <c r="S883" s="242"/>
      <c r="T883" s="242"/>
      <c r="U883" s="242"/>
      <c r="V883" s="242"/>
      <c r="W883" s="242"/>
      <c r="X883" s="242"/>
      <c r="Y883" s="242"/>
      <c r="Z883" s="242"/>
      <c r="AA883" s="242"/>
      <c r="AB883" s="242"/>
      <c r="AC883" s="242"/>
      <c r="AD883" s="242"/>
      <c r="AE883" s="242"/>
      <c r="AF883" s="242"/>
    </row>
    <row r="884">
      <c r="A884" s="242"/>
      <c r="B884" s="242"/>
      <c r="C884" s="242"/>
      <c r="D884" s="13"/>
      <c r="E884" s="525"/>
      <c r="F884" s="525"/>
      <c r="G884" s="525"/>
      <c r="H884" s="242"/>
      <c r="I884" s="525"/>
      <c r="J884" s="525"/>
      <c r="K884" s="525"/>
      <c r="L884" s="525"/>
      <c r="M884" s="242"/>
      <c r="N884" s="525"/>
      <c r="O884" s="525"/>
      <c r="P884" s="525"/>
      <c r="Q884" s="525"/>
      <c r="R884" s="242"/>
      <c r="S884" s="242"/>
      <c r="T884" s="242"/>
      <c r="U884" s="242"/>
      <c r="V884" s="242"/>
      <c r="W884" s="242"/>
      <c r="X884" s="242"/>
      <c r="Y884" s="242"/>
      <c r="Z884" s="242"/>
      <c r="AA884" s="242"/>
      <c r="AB884" s="242"/>
      <c r="AC884" s="242"/>
      <c r="AD884" s="242"/>
      <c r="AE884" s="242"/>
      <c r="AF884" s="242"/>
    </row>
    <row r="885">
      <c r="A885" s="242"/>
      <c r="B885" s="242"/>
      <c r="C885" s="242"/>
      <c r="D885" s="13"/>
      <c r="E885" s="525"/>
      <c r="F885" s="525"/>
      <c r="G885" s="525"/>
      <c r="H885" s="242"/>
      <c r="I885" s="525"/>
      <c r="J885" s="525"/>
      <c r="K885" s="525"/>
      <c r="L885" s="525"/>
      <c r="M885" s="242"/>
      <c r="N885" s="525"/>
      <c r="O885" s="525"/>
      <c r="P885" s="525"/>
      <c r="Q885" s="525"/>
      <c r="R885" s="242"/>
      <c r="S885" s="242"/>
      <c r="T885" s="242"/>
      <c r="U885" s="242"/>
      <c r="V885" s="242"/>
      <c r="W885" s="242"/>
      <c r="X885" s="242"/>
      <c r="Y885" s="242"/>
      <c r="Z885" s="242"/>
      <c r="AA885" s="242"/>
      <c r="AB885" s="242"/>
      <c r="AC885" s="242"/>
      <c r="AD885" s="242"/>
      <c r="AE885" s="242"/>
      <c r="AF885" s="242"/>
    </row>
    <row r="886">
      <c r="A886" s="242"/>
      <c r="B886" s="242"/>
      <c r="C886" s="242"/>
      <c r="D886" s="13"/>
      <c r="E886" s="525"/>
      <c r="F886" s="525"/>
      <c r="G886" s="525"/>
      <c r="H886" s="242"/>
      <c r="I886" s="525"/>
      <c r="J886" s="525"/>
      <c r="K886" s="525"/>
      <c r="L886" s="525"/>
      <c r="M886" s="242"/>
      <c r="N886" s="525"/>
      <c r="O886" s="525"/>
      <c r="P886" s="525"/>
      <c r="Q886" s="525"/>
      <c r="R886" s="242"/>
      <c r="S886" s="242"/>
      <c r="T886" s="242"/>
      <c r="U886" s="242"/>
      <c r="V886" s="242"/>
      <c r="W886" s="242"/>
      <c r="X886" s="242"/>
      <c r="Y886" s="242"/>
      <c r="Z886" s="242"/>
      <c r="AA886" s="242"/>
      <c r="AB886" s="242"/>
      <c r="AC886" s="242"/>
      <c r="AD886" s="242"/>
      <c r="AE886" s="242"/>
      <c r="AF886" s="242"/>
    </row>
    <row r="887">
      <c r="A887" s="242"/>
      <c r="B887" s="242"/>
      <c r="C887" s="242"/>
      <c r="D887" s="13"/>
      <c r="E887" s="525"/>
      <c r="F887" s="525"/>
      <c r="G887" s="525"/>
      <c r="H887" s="242"/>
      <c r="I887" s="525"/>
      <c r="J887" s="525"/>
      <c r="K887" s="525"/>
      <c r="L887" s="525"/>
      <c r="M887" s="242"/>
      <c r="N887" s="525"/>
      <c r="O887" s="525"/>
      <c r="P887" s="525"/>
      <c r="Q887" s="525"/>
      <c r="R887" s="242"/>
      <c r="S887" s="242"/>
      <c r="T887" s="242"/>
      <c r="U887" s="242"/>
      <c r="V887" s="242"/>
      <c r="W887" s="242"/>
      <c r="X887" s="242"/>
      <c r="Y887" s="242"/>
      <c r="Z887" s="242"/>
      <c r="AA887" s="242"/>
      <c r="AB887" s="242"/>
      <c r="AC887" s="242"/>
      <c r="AD887" s="242"/>
      <c r="AE887" s="242"/>
      <c r="AF887" s="242"/>
    </row>
    <row r="888">
      <c r="A888" s="242"/>
      <c r="B888" s="242"/>
      <c r="C888" s="242"/>
      <c r="D888" s="13"/>
      <c r="E888" s="525"/>
      <c r="F888" s="525"/>
      <c r="G888" s="525"/>
      <c r="H888" s="242"/>
      <c r="I888" s="525"/>
      <c r="J888" s="525"/>
      <c r="K888" s="525"/>
      <c r="L888" s="525"/>
      <c r="M888" s="242"/>
      <c r="N888" s="525"/>
      <c r="O888" s="525"/>
      <c r="P888" s="525"/>
      <c r="Q888" s="525"/>
      <c r="R888" s="242"/>
      <c r="S888" s="242"/>
      <c r="T888" s="242"/>
      <c r="U888" s="242"/>
      <c r="V888" s="242"/>
      <c r="W888" s="242"/>
      <c r="X888" s="242"/>
      <c r="Y888" s="242"/>
      <c r="Z888" s="242"/>
      <c r="AA888" s="242"/>
      <c r="AB888" s="242"/>
      <c r="AC888" s="242"/>
      <c r="AD888" s="242"/>
      <c r="AE888" s="242"/>
      <c r="AF888" s="242"/>
    </row>
    <row r="889">
      <c r="A889" s="242"/>
      <c r="B889" s="242"/>
      <c r="C889" s="242"/>
      <c r="D889" s="13"/>
      <c r="E889" s="525"/>
      <c r="F889" s="525"/>
      <c r="G889" s="525"/>
      <c r="H889" s="242"/>
      <c r="I889" s="525"/>
      <c r="J889" s="525"/>
      <c r="K889" s="525"/>
      <c r="L889" s="525"/>
      <c r="M889" s="242"/>
      <c r="N889" s="525"/>
      <c r="O889" s="525"/>
      <c r="P889" s="525"/>
      <c r="Q889" s="525"/>
      <c r="R889" s="242"/>
      <c r="S889" s="242"/>
      <c r="T889" s="242"/>
      <c r="U889" s="242"/>
      <c r="V889" s="242"/>
      <c r="W889" s="242"/>
      <c r="X889" s="242"/>
      <c r="Y889" s="242"/>
      <c r="Z889" s="242"/>
      <c r="AA889" s="242"/>
      <c r="AB889" s="242"/>
      <c r="AC889" s="242"/>
      <c r="AD889" s="242"/>
      <c r="AE889" s="242"/>
      <c r="AF889" s="242"/>
    </row>
    <row r="890">
      <c r="A890" s="242"/>
      <c r="B890" s="242"/>
      <c r="C890" s="242"/>
      <c r="D890" s="13"/>
      <c r="E890" s="525"/>
      <c r="F890" s="525"/>
      <c r="G890" s="525"/>
      <c r="H890" s="242"/>
      <c r="I890" s="525"/>
      <c r="J890" s="525"/>
      <c r="K890" s="525"/>
      <c r="L890" s="525"/>
      <c r="M890" s="242"/>
      <c r="N890" s="525"/>
      <c r="O890" s="525"/>
      <c r="P890" s="525"/>
      <c r="Q890" s="525"/>
      <c r="R890" s="242"/>
      <c r="S890" s="242"/>
      <c r="T890" s="242"/>
      <c r="U890" s="242"/>
      <c r="V890" s="242"/>
      <c r="W890" s="242"/>
      <c r="X890" s="242"/>
      <c r="Y890" s="242"/>
      <c r="Z890" s="242"/>
      <c r="AA890" s="242"/>
      <c r="AB890" s="242"/>
      <c r="AC890" s="242"/>
      <c r="AD890" s="242"/>
      <c r="AE890" s="242"/>
      <c r="AF890" s="242"/>
    </row>
    <row r="891">
      <c r="A891" s="242"/>
      <c r="B891" s="242"/>
      <c r="C891" s="242"/>
      <c r="D891" s="13"/>
      <c r="E891" s="525"/>
      <c r="F891" s="525"/>
      <c r="G891" s="525"/>
      <c r="H891" s="242"/>
      <c r="I891" s="525"/>
      <c r="J891" s="525"/>
      <c r="K891" s="525"/>
      <c r="L891" s="525"/>
      <c r="M891" s="242"/>
      <c r="N891" s="525"/>
      <c r="O891" s="525"/>
      <c r="P891" s="525"/>
      <c r="Q891" s="525"/>
      <c r="R891" s="242"/>
      <c r="S891" s="242"/>
      <c r="T891" s="242"/>
      <c r="U891" s="242"/>
      <c r="V891" s="242"/>
      <c r="W891" s="242"/>
      <c r="X891" s="242"/>
      <c r="Y891" s="242"/>
      <c r="Z891" s="242"/>
      <c r="AA891" s="242"/>
      <c r="AB891" s="242"/>
      <c r="AC891" s="242"/>
      <c r="AD891" s="242"/>
      <c r="AE891" s="242"/>
      <c r="AF891" s="242"/>
    </row>
    <row r="892">
      <c r="A892" s="242"/>
      <c r="B892" s="242"/>
      <c r="C892" s="242"/>
      <c r="D892" s="13"/>
      <c r="E892" s="525"/>
      <c r="F892" s="525"/>
      <c r="G892" s="525"/>
      <c r="H892" s="242"/>
      <c r="I892" s="525"/>
      <c r="J892" s="525"/>
      <c r="K892" s="525"/>
      <c r="L892" s="525"/>
      <c r="M892" s="242"/>
      <c r="N892" s="525"/>
      <c r="O892" s="525"/>
      <c r="P892" s="525"/>
      <c r="Q892" s="525"/>
      <c r="R892" s="242"/>
      <c r="S892" s="242"/>
      <c r="T892" s="242"/>
      <c r="U892" s="242"/>
      <c r="V892" s="242"/>
      <c r="W892" s="242"/>
      <c r="X892" s="242"/>
      <c r="Y892" s="242"/>
      <c r="Z892" s="242"/>
      <c r="AA892" s="242"/>
      <c r="AB892" s="242"/>
      <c r="AC892" s="242"/>
      <c r="AD892" s="242"/>
      <c r="AE892" s="242"/>
      <c r="AF892" s="242"/>
    </row>
    <row r="893">
      <c r="A893" s="242"/>
      <c r="B893" s="242"/>
      <c r="C893" s="242"/>
      <c r="D893" s="13"/>
      <c r="E893" s="525"/>
      <c r="F893" s="525"/>
      <c r="G893" s="525"/>
      <c r="H893" s="242"/>
      <c r="I893" s="525"/>
      <c r="J893" s="525"/>
      <c r="K893" s="525"/>
      <c r="L893" s="525"/>
      <c r="M893" s="242"/>
      <c r="N893" s="525"/>
      <c r="O893" s="525"/>
      <c r="P893" s="525"/>
      <c r="Q893" s="525"/>
      <c r="R893" s="242"/>
      <c r="S893" s="242"/>
      <c r="T893" s="242"/>
      <c r="U893" s="242"/>
      <c r="V893" s="242"/>
      <c r="W893" s="242"/>
      <c r="X893" s="242"/>
      <c r="Y893" s="242"/>
      <c r="Z893" s="242"/>
      <c r="AA893" s="242"/>
      <c r="AB893" s="242"/>
      <c r="AC893" s="242"/>
      <c r="AD893" s="242"/>
      <c r="AE893" s="242"/>
      <c r="AF893" s="242"/>
    </row>
    <row r="894">
      <c r="A894" s="242"/>
      <c r="B894" s="242"/>
      <c r="C894" s="242"/>
      <c r="D894" s="13"/>
      <c r="E894" s="525"/>
      <c r="F894" s="525"/>
      <c r="G894" s="525"/>
      <c r="H894" s="242"/>
      <c r="I894" s="525"/>
      <c r="J894" s="525"/>
      <c r="K894" s="525"/>
      <c r="L894" s="525"/>
      <c r="M894" s="242"/>
      <c r="N894" s="525"/>
      <c r="O894" s="525"/>
      <c r="P894" s="525"/>
      <c r="Q894" s="525"/>
      <c r="R894" s="242"/>
      <c r="S894" s="242"/>
      <c r="T894" s="242"/>
      <c r="U894" s="242"/>
      <c r="V894" s="242"/>
      <c r="W894" s="242"/>
      <c r="X894" s="242"/>
      <c r="Y894" s="242"/>
      <c r="Z894" s="242"/>
      <c r="AA894" s="242"/>
      <c r="AB894" s="242"/>
      <c r="AC894" s="242"/>
      <c r="AD894" s="242"/>
      <c r="AE894" s="242"/>
      <c r="AF894" s="242"/>
    </row>
    <row r="895">
      <c r="A895" s="242"/>
      <c r="B895" s="242"/>
      <c r="C895" s="242"/>
      <c r="D895" s="13"/>
      <c r="E895" s="525"/>
      <c r="F895" s="525"/>
      <c r="G895" s="525"/>
      <c r="H895" s="242"/>
      <c r="I895" s="525"/>
      <c r="J895" s="525"/>
      <c r="K895" s="525"/>
      <c r="L895" s="525"/>
      <c r="M895" s="242"/>
      <c r="N895" s="525"/>
      <c r="O895" s="525"/>
      <c r="P895" s="525"/>
      <c r="Q895" s="525"/>
      <c r="R895" s="242"/>
      <c r="S895" s="242"/>
      <c r="T895" s="242"/>
      <c r="U895" s="242"/>
      <c r="V895" s="242"/>
      <c r="W895" s="242"/>
      <c r="X895" s="242"/>
      <c r="Y895" s="242"/>
      <c r="Z895" s="242"/>
      <c r="AA895" s="242"/>
      <c r="AB895" s="242"/>
      <c r="AC895" s="242"/>
      <c r="AD895" s="242"/>
      <c r="AE895" s="242"/>
      <c r="AF895" s="242"/>
    </row>
    <row r="896">
      <c r="A896" s="242"/>
      <c r="B896" s="242"/>
      <c r="C896" s="242"/>
      <c r="D896" s="13"/>
      <c r="E896" s="525"/>
      <c r="F896" s="525"/>
      <c r="G896" s="525"/>
      <c r="H896" s="242"/>
      <c r="I896" s="525"/>
      <c r="J896" s="525"/>
      <c r="K896" s="525"/>
      <c r="L896" s="525"/>
      <c r="M896" s="242"/>
      <c r="N896" s="525"/>
      <c r="O896" s="525"/>
      <c r="P896" s="525"/>
      <c r="Q896" s="525"/>
      <c r="R896" s="242"/>
      <c r="S896" s="242"/>
      <c r="T896" s="242"/>
      <c r="U896" s="242"/>
      <c r="V896" s="242"/>
      <c r="W896" s="242"/>
      <c r="X896" s="242"/>
      <c r="Y896" s="242"/>
      <c r="Z896" s="242"/>
      <c r="AA896" s="242"/>
      <c r="AB896" s="242"/>
      <c r="AC896" s="242"/>
      <c r="AD896" s="242"/>
      <c r="AE896" s="242"/>
      <c r="AF896" s="242"/>
    </row>
    <row r="897">
      <c r="A897" s="242"/>
      <c r="B897" s="242"/>
      <c r="C897" s="242"/>
      <c r="D897" s="13"/>
      <c r="E897" s="525"/>
      <c r="F897" s="525"/>
      <c r="G897" s="525"/>
      <c r="H897" s="242"/>
      <c r="I897" s="525"/>
      <c r="J897" s="525"/>
      <c r="K897" s="525"/>
      <c r="L897" s="525"/>
      <c r="M897" s="242"/>
      <c r="N897" s="525"/>
      <c r="O897" s="525"/>
      <c r="P897" s="525"/>
      <c r="Q897" s="525"/>
      <c r="R897" s="242"/>
      <c r="S897" s="242"/>
      <c r="T897" s="242"/>
      <c r="U897" s="242"/>
      <c r="V897" s="242"/>
      <c r="W897" s="242"/>
      <c r="X897" s="242"/>
      <c r="Y897" s="242"/>
      <c r="Z897" s="242"/>
      <c r="AA897" s="242"/>
      <c r="AB897" s="242"/>
      <c r="AC897" s="242"/>
      <c r="AD897" s="242"/>
      <c r="AE897" s="242"/>
      <c r="AF897" s="242"/>
    </row>
    <row r="898">
      <c r="A898" s="242"/>
      <c r="B898" s="242"/>
      <c r="C898" s="242"/>
      <c r="D898" s="13"/>
      <c r="E898" s="525"/>
      <c r="F898" s="525"/>
      <c r="G898" s="525"/>
      <c r="H898" s="242"/>
      <c r="I898" s="525"/>
      <c r="J898" s="525"/>
      <c r="K898" s="525"/>
      <c r="L898" s="525"/>
      <c r="M898" s="242"/>
      <c r="N898" s="525"/>
      <c r="O898" s="525"/>
      <c r="P898" s="525"/>
      <c r="Q898" s="525"/>
      <c r="R898" s="242"/>
      <c r="S898" s="242"/>
      <c r="T898" s="242"/>
      <c r="U898" s="242"/>
      <c r="V898" s="242"/>
      <c r="W898" s="242"/>
      <c r="X898" s="242"/>
      <c r="Y898" s="242"/>
      <c r="Z898" s="242"/>
      <c r="AA898" s="242"/>
      <c r="AB898" s="242"/>
      <c r="AC898" s="242"/>
      <c r="AD898" s="242"/>
      <c r="AE898" s="242"/>
      <c r="AF898" s="242"/>
    </row>
    <row r="899">
      <c r="A899" s="242"/>
      <c r="B899" s="242"/>
      <c r="C899" s="242"/>
      <c r="D899" s="13"/>
      <c r="E899" s="525"/>
      <c r="F899" s="525"/>
      <c r="G899" s="525"/>
      <c r="H899" s="242"/>
      <c r="I899" s="525"/>
      <c r="J899" s="525"/>
      <c r="K899" s="525"/>
      <c r="L899" s="525"/>
      <c r="M899" s="242"/>
      <c r="N899" s="525"/>
      <c r="O899" s="525"/>
      <c r="P899" s="525"/>
      <c r="Q899" s="525"/>
      <c r="R899" s="242"/>
      <c r="S899" s="242"/>
      <c r="T899" s="242"/>
      <c r="U899" s="242"/>
      <c r="V899" s="242"/>
      <c r="W899" s="242"/>
      <c r="X899" s="242"/>
      <c r="Y899" s="242"/>
      <c r="Z899" s="242"/>
      <c r="AA899" s="242"/>
      <c r="AB899" s="242"/>
      <c r="AC899" s="242"/>
      <c r="AD899" s="242"/>
      <c r="AE899" s="242"/>
      <c r="AF899" s="242"/>
    </row>
    <row r="900">
      <c r="A900" s="242"/>
      <c r="B900" s="242"/>
      <c r="C900" s="242"/>
      <c r="D900" s="13"/>
      <c r="E900" s="525"/>
      <c r="F900" s="525"/>
      <c r="G900" s="525"/>
      <c r="H900" s="242"/>
      <c r="I900" s="525"/>
      <c r="J900" s="525"/>
      <c r="K900" s="525"/>
      <c r="L900" s="525"/>
      <c r="M900" s="242"/>
      <c r="N900" s="525"/>
      <c r="O900" s="525"/>
      <c r="P900" s="525"/>
      <c r="Q900" s="525"/>
      <c r="R900" s="242"/>
      <c r="S900" s="242"/>
      <c r="T900" s="242"/>
      <c r="U900" s="242"/>
      <c r="V900" s="242"/>
      <c r="W900" s="242"/>
      <c r="X900" s="242"/>
      <c r="Y900" s="242"/>
      <c r="Z900" s="242"/>
      <c r="AA900" s="242"/>
      <c r="AB900" s="242"/>
      <c r="AC900" s="242"/>
      <c r="AD900" s="242"/>
      <c r="AE900" s="242"/>
      <c r="AF900" s="242"/>
    </row>
    <row r="901">
      <c r="A901" s="242"/>
      <c r="B901" s="242"/>
      <c r="C901" s="242"/>
      <c r="D901" s="13"/>
      <c r="E901" s="525"/>
      <c r="F901" s="525"/>
      <c r="G901" s="525"/>
      <c r="H901" s="242"/>
      <c r="I901" s="525"/>
      <c r="J901" s="525"/>
      <c r="K901" s="525"/>
      <c r="L901" s="525"/>
      <c r="M901" s="242"/>
      <c r="N901" s="525"/>
      <c r="O901" s="525"/>
      <c r="P901" s="525"/>
      <c r="Q901" s="525"/>
      <c r="R901" s="242"/>
      <c r="S901" s="242"/>
      <c r="T901" s="242"/>
      <c r="U901" s="242"/>
      <c r="V901" s="242"/>
      <c r="W901" s="242"/>
      <c r="X901" s="242"/>
      <c r="Y901" s="242"/>
      <c r="Z901" s="242"/>
      <c r="AA901" s="242"/>
      <c r="AB901" s="242"/>
      <c r="AC901" s="242"/>
      <c r="AD901" s="242"/>
      <c r="AE901" s="242"/>
      <c r="AF901" s="242"/>
    </row>
    <row r="902">
      <c r="A902" s="242"/>
      <c r="B902" s="242"/>
      <c r="C902" s="242"/>
      <c r="D902" s="13"/>
      <c r="E902" s="525"/>
      <c r="F902" s="525"/>
      <c r="G902" s="525"/>
      <c r="H902" s="242"/>
      <c r="I902" s="525"/>
      <c r="J902" s="525"/>
      <c r="K902" s="525"/>
      <c r="L902" s="525"/>
      <c r="M902" s="242"/>
      <c r="N902" s="525"/>
      <c r="O902" s="525"/>
      <c r="P902" s="525"/>
      <c r="Q902" s="525"/>
      <c r="R902" s="242"/>
      <c r="S902" s="242"/>
      <c r="T902" s="242"/>
      <c r="U902" s="242"/>
      <c r="V902" s="242"/>
      <c r="W902" s="242"/>
      <c r="X902" s="242"/>
      <c r="Y902" s="242"/>
      <c r="Z902" s="242"/>
      <c r="AA902" s="242"/>
      <c r="AB902" s="242"/>
      <c r="AC902" s="242"/>
      <c r="AD902" s="242"/>
      <c r="AE902" s="242"/>
      <c r="AF902" s="242"/>
    </row>
    <row r="903">
      <c r="A903" s="242"/>
      <c r="B903" s="242"/>
      <c r="C903" s="242"/>
      <c r="D903" s="13"/>
      <c r="E903" s="525"/>
      <c r="F903" s="525"/>
      <c r="G903" s="525"/>
      <c r="H903" s="242"/>
      <c r="I903" s="525"/>
      <c r="J903" s="525"/>
      <c r="K903" s="525"/>
      <c r="L903" s="525"/>
      <c r="M903" s="242"/>
      <c r="N903" s="525"/>
      <c r="O903" s="525"/>
      <c r="P903" s="525"/>
      <c r="Q903" s="525"/>
      <c r="R903" s="242"/>
      <c r="S903" s="242"/>
      <c r="T903" s="242"/>
      <c r="U903" s="242"/>
      <c r="V903" s="242"/>
      <c r="W903" s="242"/>
      <c r="X903" s="242"/>
      <c r="Y903" s="242"/>
      <c r="Z903" s="242"/>
      <c r="AA903" s="242"/>
      <c r="AB903" s="242"/>
      <c r="AC903" s="242"/>
      <c r="AD903" s="242"/>
      <c r="AE903" s="242"/>
      <c r="AF903" s="242"/>
    </row>
    <row r="904">
      <c r="A904" s="242"/>
      <c r="B904" s="242"/>
      <c r="C904" s="242"/>
      <c r="D904" s="13"/>
      <c r="E904" s="525"/>
      <c r="F904" s="525"/>
      <c r="G904" s="525"/>
      <c r="H904" s="242"/>
      <c r="I904" s="525"/>
      <c r="J904" s="525"/>
      <c r="K904" s="525"/>
      <c r="L904" s="525"/>
      <c r="M904" s="242"/>
      <c r="N904" s="525"/>
      <c r="O904" s="525"/>
      <c r="P904" s="525"/>
      <c r="Q904" s="525"/>
      <c r="R904" s="242"/>
      <c r="S904" s="242"/>
      <c r="T904" s="242"/>
      <c r="U904" s="242"/>
      <c r="V904" s="242"/>
      <c r="W904" s="242"/>
      <c r="X904" s="242"/>
      <c r="Y904" s="242"/>
      <c r="Z904" s="242"/>
      <c r="AA904" s="242"/>
      <c r="AB904" s="242"/>
      <c r="AC904" s="242"/>
      <c r="AD904" s="242"/>
      <c r="AE904" s="242"/>
      <c r="AF904" s="242"/>
    </row>
    <row r="905">
      <c r="A905" s="242"/>
      <c r="B905" s="242"/>
      <c r="C905" s="242"/>
      <c r="D905" s="13"/>
      <c r="E905" s="525"/>
      <c r="F905" s="525"/>
      <c r="G905" s="525"/>
      <c r="H905" s="242"/>
      <c r="I905" s="525"/>
      <c r="J905" s="525"/>
      <c r="K905" s="525"/>
      <c r="L905" s="525"/>
      <c r="M905" s="242"/>
      <c r="N905" s="525"/>
      <c r="O905" s="525"/>
      <c r="P905" s="525"/>
      <c r="Q905" s="525"/>
      <c r="R905" s="242"/>
      <c r="S905" s="242"/>
      <c r="T905" s="242"/>
      <c r="U905" s="242"/>
      <c r="V905" s="242"/>
      <c r="W905" s="242"/>
      <c r="X905" s="242"/>
      <c r="Y905" s="242"/>
      <c r="Z905" s="242"/>
      <c r="AA905" s="242"/>
      <c r="AB905" s="242"/>
      <c r="AC905" s="242"/>
      <c r="AD905" s="242"/>
      <c r="AE905" s="242"/>
      <c r="AF905" s="242"/>
    </row>
    <row r="906">
      <c r="A906" s="242"/>
      <c r="B906" s="242"/>
      <c r="C906" s="242"/>
      <c r="D906" s="13"/>
      <c r="E906" s="525"/>
      <c r="F906" s="525"/>
      <c r="G906" s="525"/>
      <c r="H906" s="242"/>
      <c r="I906" s="525"/>
      <c r="J906" s="525"/>
      <c r="K906" s="525"/>
      <c r="L906" s="525"/>
      <c r="M906" s="242"/>
      <c r="N906" s="525"/>
      <c r="O906" s="525"/>
      <c r="P906" s="525"/>
      <c r="Q906" s="525"/>
      <c r="R906" s="242"/>
      <c r="S906" s="242"/>
      <c r="T906" s="242"/>
      <c r="U906" s="242"/>
      <c r="V906" s="242"/>
      <c r="W906" s="242"/>
      <c r="X906" s="242"/>
      <c r="Y906" s="242"/>
      <c r="Z906" s="242"/>
      <c r="AA906" s="242"/>
      <c r="AB906" s="242"/>
      <c r="AC906" s="242"/>
      <c r="AD906" s="242"/>
      <c r="AE906" s="242"/>
      <c r="AF906" s="242"/>
    </row>
    <row r="907">
      <c r="A907" s="242"/>
      <c r="B907" s="242"/>
      <c r="C907" s="242"/>
      <c r="D907" s="13"/>
      <c r="E907" s="525"/>
      <c r="F907" s="525"/>
      <c r="G907" s="525"/>
      <c r="H907" s="242"/>
      <c r="I907" s="525"/>
      <c r="J907" s="525"/>
      <c r="K907" s="525"/>
      <c r="L907" s="525"/>
      <c r="M907" s="242"/>
      <c r="N907" s="525"/>
      <c r="O907" s="525"/>
      <c r="P907" s="525"/>
      <c r="Q907" s="525"/>
      <c r="R907" s="242"/>
      <c r="S907" s="242"/>
      <c r="T907" s="242"/>
      <c r="U907" s="242"/>
      <c r="V907" s="242"/>
      <c r="W907" s="242"/>
      <c r="X907" s="242"/>
      <c r="Y907" s="242"/>
      <c r="Z907" s="242"/>
      <c r="AA907" s="242"/>
      <c r="AB907" s="242"/>
      <c r="AC907" s="242"/>
      <c r="AD907" s="242"/>
      <c r="AE907" s="242"/>
      <c r="AF907" s="242"/>
    </row>
    <row r="908">
      <c r="A908" s="242"/>
      <c r="B908" s="242"/>
      <c r="C908" s="242"/>
      <c r="D908" s="13"/>
      <c r="E908" s="525"/>
      <c r="F908" s="525"/>
      <c r="G908" s="525"/>
      <c r="H908" s="242"/>
      <c r="I908" s="525"/>
      <c r="J908" s="525"/>
      <c r="K908" s="525"/>
      <c r="L908" s="525"/>
      <c r="M908" s="242"/>
      <c r="N908" s="525"/>
      <c r="O908" s="525"/>
      <c r="P908" s="525"/>
      <c r="Q908" s="525"/>
      <c r="R908" s="242"/>
      <c r="S908" s="242"/>
      <c r="T908" s="242"/>
      <c r="U908" s="242"/>
      <c r="V908" s="242"/>
      <c r="W908" s="242"/>
      <c r="X908" s="242"/>
      <c r="Y908" s="242"/>
      <c r="Z908" s="242"/>
      <c r="AA908" s="242"/>
      <c r="AB908" s="242"/>
      <c r="AC908" s="242"/>
      <c r="AD908" s="242"/>
      <c r="AE908" s="242"/>
      <c r="AF908" s="242"/>
    </row>
    <row r="909">
      <c r="A909" s="242"/>
      <c r="B909" s="242"/>
      <c r="C909" s="242"/>
      <c r="D909" s="13"/>
      <c r="E909" s="525"/>
      <c r="F909" s="525"/>
      <c r="G909" s="525"/>
      <c r="H909" s="242"/>
      <c r="I909" s="525"/>
      <c r="J909" s="525"/>
      <c r="K909" s="525"/>
      <c r="L909" s="525"/>
      <c r="M909" s="242"/>
      <c r="N909" s="525"/>
      <c r="O909" s="525"/>
      <c r="P909" s="525"/>
      <c r="Q909" s="525"/>
      <c r="R909" s="242"/>
      <c r="S909" s="242"/>
      <c r="T909" s="242"/>
      <c r="U909" s="242"/>
      <c r="V909" s="242"/>
      <c r="W909" s="242"/>
      <c r="X909" s="242"/>
      <c r="Y909" s="242"/>
      <c r="Z909" s="242"/>
      <c r="AA909" s="242"/>
      <c r="AB909" s="242"/>
      <c r="AC909" s="242"/>
      <c r="AD909" s="242"/>
      <c r="AE909" s="242"/>
      <c r="AF909" s="242"/>
    </row>
    <row r="910">
      <c r="A910" s="242"/>
      <c r="B910" s="242"/>
      <c r="C910" s="242"/>
      <c r="D910" s="13"/>
      <c r="E910" s="525"/>
      <c r="F910" s="525"/>
      <c r="G910" s="525"/>
      <c r="H910" s="242"/>
      <c r="I910" s="525"/>
      <c r="J910" s="525"/>
      <c r="K910" s="525"/>
      <c r="L910" s="525"/>
      <c r="M910" s="242"/>
      <c r="N910" s="525"/>
      <c r="O910" s="525"/>
      <c r="P910" s="525"/>
      <c r="Q910" s="525"/>
      <c r="R910" s="242"/>
      <c r="S910" s="242"/>
      <c r="T910" s="242"/>
      <c r="U910" s="242"/>
      <c r="V910" s="242"/>
      <c r="W910" s="242"/>
      <c r="X910" s="242"/>
      <c r="Y910" s="242"/>
      <c r="Z910" s="242"/>
      <c r="AA910" s="242"/>
      <c r="AB910" s="242"/>
      <c r="AC910" s="242"/>
      <c r="AD910" s="242"/>
      <c r="AE910" s="242"/>
      <c r="AF910" s="242"/>
    </row>
    <row r="911">
      <c r="A911" s="242"/>
      <c r="B911" s="242"/>
      <c r="C911" s="242"/>
      <c r="D911" s="13"/>
      <c r="E911" s="525"/>
      <c r="F911" s="525"/>
      <c r="G911" s="525"/>
      <c r="H911" s="242"/>
      <c r="I911" s="525"/>
      <c r="J911" s="525"/>
      <c r="K911" s="525"/>
      <c r="L911" s="525"/>
      <c r="M911" s="242"/>
      <c r="N911" s="525"/>
      <c r="O911" s="525"/>
      <c r="P911" s="525"/>
      <c r="Q911" s="525"/>
      <c r="R911" s="242"/>
      <c r="S911" s="242"/>
      <c r="T911" s="242"/>
      <c r="U911" s="242"/>
      <c r="V911" s="242"/>
      <c r="W911" s="242"/>
      <c r="X911" s="242"/>
      <c r="Y911" s="242"/>
      <c r="Z911" s="242"/>
      <c r="AA911" s="242"/>
      <c r="AB911" s="242"/>
      <c r="AC911" s="242"/>
      <c r="AD911" s="242"/>
      <c r="AE911" s="242"/>
      <c r="AF911" s="242"/>
    </row>
    <row r="912">
      <c r="A912" s="242"/>
      <c r="B912" s="242"/>
      <c r="C912" s="242"/>
      <c r="D912" s="13"/>
      <c r="E912" s="525"/>
      <c r="F912" s="525"/>
      <c r="G912" s="525"/>
      <c r="H912" s="242"/>
      <c r="I912" s="525"/>
      <c r="J912" s="525"/>
      <c r="K912" s="525"/>
      <c r="L912" s="525"/>
      <c r="M912" s="242"/>
      <c r="N912" s="525"/>
      <c r="O912" s="525"/>
      <c r="P912" s="525"/>
      <c r="Q912" s="525"/>
      <c r="R912" s="242"/>
      <c r="S912" s="242"/>
      <c r="T912" s="242"/>
      <c r="U912" s="242"/>
      <c r="V912" s="242"/>
      <c r="W912" s="242"/>
      <c r="X912" s="242"/>
      <c r="Y912" s="242"/>
      <c r="Z912" s="242"/>
      <c r="AA912" s="242"/>
      <c r="AB912" s="242"/>
      <c r="AC912" s="242"/>
      <c r="AD912" s="242"/>
      <c r="AE912" s="242"/>
      <c r="AF912" s="242"/>
    </row>
    <row r="913">
      <c r="A913" s="242"/>
      <c r="B913" s="242"/>
      <c r="C913" s="242"/>
      <c r="D913" s="13"/>
      <c r="E913" s="525"/>
      <c r="F913" s="525"/>
      <c r="G913" s="525"/>
      <c r="H913" s="242"/>
      <c r="I913" s="525"/>
      <c r="J913" s="525"/>
      <c r="K913" s="525"/>
      <c r="L913" s="525"/>
      <c r="M913" s="242"/>
      <c r="N913" s="525"/>
      <c r="O913" s="525"/>
      <c r="P913" s="525"/>
      <c r="Q913" s="525"/>
      <c r="R913" s="242"/>
      <c r="S913" s="242"/>
      <c r="T913" s="242"/>
      <c r="U913" s="242"/>
      <c r="V913" s="242"/>
      <c r="W913" s="242"/>
      <c r="X913" s="242"/>
      <c r="Y913" s="242"/>
      <c r="Z913" s="242"/>
      <c r="AA913" s="242"/>
      <c r="AB913" s="242"/>
      <c r="AC913" s="242"/>
      <c r="AD913" s="242"/>
      <c r="AE913" s="242"/>
      <c r="AF913" s="242"/>
    </row>
    <row r="914">
      <c r="A914" s="242"/>
      <c r="B914" s="242"/>
      <c r="C914" s="242"/>
      <c r="D914" s="13"/>
      <c r="E914" s="525"/>
      <c r="F914" s="525"/>
      <c r="G914" s="525"/>
      <c r="H914" s="242"/>
      <c r="I914" s="525"/>
      <c r="J914" s="525"/>
      <c r="K914" s="525"/>
      <c r="L914" s="525"/>
      <c r="M914" s="242"/>
      <c r="N914" s="525"/>
      <c r="O914" s="525"/>
      <c r="P914" s="525"/>
      <c r="Q914" s="525"/>
      <c r="R914" s="242"/>
      <c r="S914" s="242"/>
      <c r="T914" s="242"/>
      <c r="U914" s="242"/>
      <c r="V914" s="242"/>
      <c r="W914" s="242"/>
      <c r="X914" s="242"/>
      <c r="Y914" s="242"/>
      <c r="Z914" s="242"/>
      <c r="AA914" s="242"/>
      <c r="AB914" s="242"/>
      <c r="AC914" s="242"/>
      <c r="AD914" s="242"/>
      <c r="AE914" s="242"/>
      <c r="AF914" s="242"/>
    </row>
    <row r="915">
      <c r="A915" s="242"/>
      <c r="B915" s="242"/>
      <c r="C915" s="242"/>
      <c r="D915" s="13"/>
      <c r="E915" s="525"/>
      <c r="F915" s="525"/>
      <c r="G915" s="525"/>
      <c r="H915" s="242"/>
      <c r="I915" s="525"/>
      <c r="J915" s="525"/>
      <c r="K915" s="525"/>
      <c r="L915" s="525"/>
      <c r="M915" s="242"/>
      <c r="N915" s="525"/>
      <c r="O915" s="525"/>
      <c r="P915" s="525"/>
      <c r="Q915" s="525"/>
      <c r="R915" s="242"/>
      <c r="S915" s="242"/>
      <c r="T915" s="242"/>
      <c r="U915" s="242"/>
      <c r="V915" s="242"/>
      <c r="W915" s="242"/>
      <c r="X915" s="242"/>
      <c r="Y915" s="242"/>
      <c r="Z915" s="242"/>
      <c r="AA915" s="242"/>
      <c r="AB915" s="242"/>
      <c r="AC915" s="242"/>
      <c r="AD915" s="242"/>
      <c r="AE915" s="242"/>
      <c r="AF915" s="242"/>
    </row>
    <row r="916">
      <c r="A916" s="242"/>
      <c r="B916" s="242"/>
      <c r="C916" s="242"/>
      <c r="D916" s="13"/>
      <c r="E916" s="525"/>
      <c r="F916" s="525"/>
      <c r="G916" s="525"/>
      <c r="H916" s="242"/>
      <c r="I916" s="525"/>
      <c r="J916" s="525"/>
      <c r="K916" s="525"/>
      <c r="L916" s="525"/>
      <c r="M916" s="242"/>
      <c r="N916" s="525"/>
      <c r="O916" s="525"/>
      <c r="P916" s="525"/>
      <c r="Q916" s="525"/>
      <c r="R916" s="242"/>
      <c r="S916" s="242"/>
      <c r="T916" s="242"/>
      <c r="U916" s="242"/>
      <c r="V916" s="242"/>
      <c r="W916" s="242"/>
      <c r="X916" s="242"/>
      <c r="Y916" s="242"/>
      <c r="Z916" s="242"/>
      <c r="AA916" s="242"/>
      <c r="AB916" s="242"/>
      <c r="AC916" s="242"/>
      <c r="AD916" s="242"/>
      <c r="AE916" s="242"/>
      <c r="AF916" s="242"/>
    </row>
    <row r="917">
      <c r="A917" s="242"/>
      <c r="B917" s="242"/>
      <c r="C917" s="242"/>
      <c r="D917" s="13"/>
      <c r="E917" s="525"/>
      <c r="F917" s="525"/>
      <c r="G917" s="525"/>
      <c r="H917" s="242"/>
      <c r="I917" s="525"/>
      <c r="J917" s="525"/>
      <c r="K917" s="525"/>
      <c r="L917" s="525"/>
      <c r="M917" s="242"/>
      <c r="N917" s="525"/>
      <c r="O917" s="525"/>
      <c r="P917" s="525"/>
      <c r="Q917" s="525"/>
      <c r="R917" s="242"/>
      <c r="S917" s="242"/>
      <c r="T917" s="242"/>
      <c r="U917" s="242"/>
      <c r="V917" s="242"/>
      <c r="W917" s="242"/>
      <c r="X917" s="242"/>
      <c r="Y917" s="242"/>
      <c r="Z917" s="242"/>
      <c r="AA917" s="242"/>
      <c r="AB917" s="242"/>
      <c r="AC917" s="242"/>
      <c r="AD917" s="242"/>
      <c r="AE917" s="242"/>
      <c r="AF917" s="242"/>
    </row>
    <row r="918">
      <c r="A918" s="242"/>
      <c r="B918" s="242"/>
      <c r="C918" s="242"/>
      <c r="D918" s="13"/>
      <c r="E918" s="525"/>
      <c r="F918" s="525"/>
      <c r="G918" s="525"/>
      <c r="H918" s="242"/>
      <c r="I918" s="525"/>
      <c r="J918" s="525"/>
      <c r="K918" s="525"/>
      <c r="L918" s="525"/>
      <c r="M918" s="242"/>
      <c r="N918" s="525"/>
      <c r="O918" s="525"/>
      <c r="P918" s="525"/>
      <c r="Q918" s="525"/>
      <c r="R918" s="242"/>
      <c r="S918" s="242"/>
      <c r="T918" s="242"/>
      <c r="U918" s="242"/>
      <c r="V918" s="242"/>
      <c r="W918" s="242"/>
      <c r="X918" s="242"/>
      <c r="Y918" s="242"/>
      <c r="Z918" s="242"/>
      <c r="AA918" s="242"/>
      <c r="AB918" s="242"/>
      <c r="AC918" s="242"/>
      <c r="AD918" s="242"/>
      <c r="AE918" s="242"/>
      <c r="AF918" s="242"/>
    </row>
    <row r="919">
      <c r="A919" s="242"/>
      <c r="B919" s="242"/>
      <c r="C919" s="242"/>
      <c r="D919" s="13"/>
      <c r="E919" s="525"/>
      <c r="F919" s="525"/>
      <c r="G919" s="525"/>
      <c r="H919" s="242"/>
      <c r="I919" s="525"/>
      <c r="J919" s="525"/>
      <c r="K919" s="525"/>
      <c r="L919" s="525"/>
      <c r="M919" s="242"/>
      <c r="N919" s="525"/>
      <c r="O919" s="525"/>
      <c r="P919" s="525"/>
      <c r="Q919" s="525"/>
      <c r="R919" s="242"/>
      <c r="S919" s="242"/>
      <c r="T919" s="242"/>
      <c r="U919" s="242"/>
      <c r="V919" s="242"/>
      <c r="W919" s="242"/>
      <c r="X919" s="242"/>
      <c r="Y919" s="242"/>
      <c r="Z919" s="242"/>
      <c r="AA919" s="242"/>
      <c r="AB919" s="242"/>
      <c r="AC919" s="242"/>
      <c r="AD919" s="242"/>
      <c r="AE919" s="242"/>
      <c r="AF919" s="242"/>
    </row>
    <row r="920">
      <c r="A920" s="242"/>
      <c r="B920" s="242"/>
      <c r="C920" s="242"/>
      <c r="D920" s="13"/>
      <c r="E920" s="525"/>
      <c r="F920" s="525"/>
      <c r="G920" s="525"/>
      <c r="H920" s="242"/>
      <c r="I920" s="525"/>
      <c r="J920" s="525"/>
      <c r="K920" s="525"/>
      <c r="L920" s="525"/>
      <c r="M920" s="242"/>
      <c r="N920" s="525"/>
      <c r="O920" s="525"/>
      <c r="P920" s="525"/>
      <c r="Q920" s="525"/>
      <c r="R920" s="242"/>
      <c r="S920" s="242"/>
      <c r="T920" s="242"/>
      <c r="U920" s="242"/>
      <c r="V920" s="242"/>
      <c r="W920" s="242"/>
      <c r="X920" s="242"/>
      <c r="Y920" s="242"/>
      <c r="Z920" s="242"/>
      <c r="AA920" s="242"/>
      <c r="AB920" s="242"/>
      <c r="AC920" s="242"/>
      <c r="AD920" s="242"/>
      <c r="AE920" s="242"/>
      <c r="AF920" s="242"/>
    </row>
    <row r="921">
      <c r="A921" s="242"/>
      <c r="B921" s="242"/>
      <c r="C921" s="242"/>
      <c r="D921" s="13"/>
      <c r="E921" s="525"/>
      <c r="F921" s="525"/>
      <c r="G921" s="525"/>
      <c r="H921" s="242"/>
      <c r="I921" s="525"/>
      <c r="J921" s="525"/>
      <c r="K921" s="525"/>
      <c r="L921" s="525"/>
      <c r="M921" s="242"/>
      <c r="N921" s="525"/>
      <c r="O921" s="525"/>
      <c r="P921" s="525"/>
      <c r="Q921" s="525"/>
      <c r="R921" s="242"/>
      <c r="S921" s="242"/>
      <c r="T921" s="242"/>
      <c r="U921" s="242"/>
      <c r="V921" s="242"/>
      <c r="W921" s="242"/>
      <c r="X921" s="242"/>
      <c r="Y921" s="242"/>
      <c r="Z921" s="242"/>
      <c r="AA921" s="242"/>
      <c r="AB921" s="242"/>
      <c r="AC921" s="242"/>
      <c r="AD921" s="242"/>
      <c r="AE921" s="242"/>
      <c r="AF921" s="242"/>
    </row>
    <row r="922">
      <c r="A922" s="242"/>
      <c r="B922" s="242"/>
      <c r="C922" s="242"/>
      <c r="D922" s="13"/>
      <c r="E922" s="525"/>
      <c r="F922" s="525"/>
      <c r="G922" s="525"/>
      <c r="H922" s="242"/>
      <c r="I922" s="525"/>
      <c r="J922" s="525"/>
      <c r="K922" s="525"/>
      <c r="L922" s="525"/>
      <c r="M922" s="242"/>
      <c r="N922" s="525"/>
      <c r="O922" s="525"/>
      <c r="P922" s="525"/>
      <c r="Q922" s="525"/>
      <c r="R922" s="242"/>
      <c r="S922" s="242"/>
      <c r="T922" s="242"/>
      <c r="U922" s="242"/>
      <c r="V922" s="242"/>
      <c r="W922" s="242"/>
      <c r="X922" s="242"/>
      <c r="Y922" s="242"/>
      <c r="Z922" s="242"/>
      <c r="AA922" s="242"/>
      <c r="AB922" s="242"/>
      <c r="AC922" s="242"/>
      <c r="AD922" s="242"/>
      <c r="AE922" s="242"/>
      <c r="AF922" s="242"/>
    </row>
    <row r="923">
      <c r="A923" s="242"/>
      <c r="B923" s="242"/>
      <c r="C923" s="242"/>
      <c r="D923" s="13"/>
      <c r="E923" s="525"/>
      <c r="F923" s="525"/>
      <c r="G923" s="525"/>
      <c r="H923" s="242"/>
      <c r="I923" s="525"/>
      <c r="J923" s="525"/>
      <c r="K923" s="525"/>
      <c r="L923" s="525"/>
      <c r="M923" s="242"/>
      <c r="N923" s="525"/>
      <c r="O923" s="525"/>
      <c r="P923" s="525"/>
      <c r="Q923" s="525"/>
      <c r="R923" s="242"/>
      <c r="S923" s="242"/>
      <c r="T923" s="242"/>
      <c r="U923" s="242"/>
      <c r="V923" s="242"/>
      <c r="W923" s="242"/>
      <c r="X923" s="242"/>
      <c r="Y923" s="242"/>
      <c r="Z923" s="242"/>
      <c r="AA923" s="242"/>
      <c r="AB923" s="242"/>
      <c r="AC923" s="242"/>
      <c r="AD923" s="242"/>
      <c r="AE923" s="242"/>
      <c r="AF923" s="242"/>
    </row>
    <row r="924">
      <c r="A924" s="242"/>
      <c r="B924" s="242"/>
      <c r="C924" s="242"/>
      <c r="D924" s="13"/>
      <c r="E924" s="525"/>
      <c r="F924" s="525"/>
      <c r="G924" s="525"/>
      <c r="H924" s="242"/>
      <c r="I924" s="525"/>
      <c r="J924" s="525"/>
      <c r="K924" s="525"/>
      <c r="L924" s="525"/>
      <c r="M924" s="242"/>
      <c r="N924" s="525"/>
      <c r="O924" s="525"/>
      <c r="P924" s="525"/>
      <c r="Q924" s="525"/>
      <c r="R924" s="242"/>
      <c r="S924" s="242"/>
      <c r="T924" s="242"/>
      <c r="U924" s="242"/>
      <c r="V924" s="242"/>
      <c r="W924" s="242"/>
      <c r="X924" s="242"/>
      <c r="Y924" s="242"/>
      <c r="Z924" s="242"/>
      <c r="AA924" s="242"/>
      <c r="AB924" s="242"/>
      <c r="AC924" s="242"/>
      <c r="AD924" s="242"/>
      <c r="AE924" s="242"/>
      <c r="AF924" s="242"/>
    </row>
    <row r="925">
      <c r="A925" s="242"/>
      <c r="B925" s="242"/>
      <c r="C925" s="242"/>
      <c r="D925" s="13"/>
      <c r="E925" s="525"/>
      <c r="F925" s="525"/>
      <c r="G925" s="525"/>
      <c r="H925" s="242"/>
      <c r="I925" s="525"/>
      <c r="J925" s="525"/>
      <c r="K925" s="525"/>
      <c r="L925" s="525"/>
      <c r="M925" s="242"/>
      <c r="N925" s="525"/>
      <c r="O925" s="525"/>
      <c r="P925" s="525"/>
      <c r="Q925" s="525"/>
      <c r="R925" s="242"/>
      <c r="S925" s="242"/>
      <c r="T925" s="242"/>
      <c r="U925" s="242"/>
      <c r="V925" s="242"/>
      <c r="W925" s="242"/>
      <c r="X925" s="242"/>
      <c r="Y925" s="242"/>
      <c r="Z925" s="242"/>
      <c r="AA925" s="242"/>
      <c r="AB925" s="242"/>
      <c r="AC925" s="242"/>
      <c r="AD925" s="242"/>
      <c r="AE925" s="242"/>
      <c r="AF925" s="242"/>
    </row>
    <row r="926">
      <c r="A926" s="242"/>
      <c r="B926" s="242"/>
      <c r="C926" s="242"/>
      <c r="D926" s="13"/>
      <c r="E926" s="525"/>
      <c r="F926" s="525"/>
      <c r="G926" s="525"/>
      <c r="H926" s="242"/>
      <c r="I926" s="525"/>
      <c r="J926" s="525"/>
      <c r="K926" s="525"/>
      <c r="L926" s="525"/>
      <c r="M926" s="242"/>
      <c r="N926" s="525"/>
      <c r="O926" s="525"/>
      <c r="P926" s="525"/>
      <c r="Q926" s="525"/>
      <c r="R926" s="242"/>
      <c r="S926" s="242"/>
      <c r="T926" s="242"/>
      <c r="U926" s="242"/>
      <c r="V926" s="242"/>
      <c r="W926" s="242"/>
      <c r="X926" s="242"/>
      <c r="Y926" s="242"/>
      <c r="Z926" s="242"/>
      <c r="AA926" s="242"/>
      <c r="AB926" s="242"/>
      <c r="AC926" s="242"/>
      <c r="AD926" s="242"/>
      <c r="AE926" s="242"/>
      <c r="AF926" s="242"/>
    </row>
    <row r="927">
      <c r="A927" s="242"/>
      <c r="B927" s="242"/>
      <c r="C927" s="242"/>
      <c r="D927" s="13"/>
      <c r="E927" s="525"/>
      <c r="F927" s="525"/>
      <c r="G927" s="525"/>
      <c r="H927" s="242"/>
      <c r="I927" s="525"/>
      <c r="J927" s="525"/>
      <c r="K927" s="525"/>
      <c r="L927" s="525"/>
      <c r="M927" s="242"/>
      <c r="N927" s="525"/>
      <c r="O927" s="525"/>
      <c r="P927" s="525"/>
      <c r="Q927" s="525"/>
      <c r="R927" s="242"/>
      <c r="S927" s="242"/>
      <c r="T927" s="242"/>
      <c r="U927" s="242"/>
      <c r="V927" s="242"/>
      <c r="W927" s="242"/>
      <c r="X927" s="242"/>
      <c r="Y927" s="242"/>
      <c r="Z927" s="242"/>
      <c r="AA927" s="242"/>
      <c r="AB927" s="242"/>
      <c r="AC927" s="242"/>
      <c r="AD927" s="242"/>
      <c r="AE927" s="242"/>
      <c r="AF927" s="242"/>
    </row>
    <row r="928">
      <c r="A928" s="242"/>
      <c r="B928" s="242"/>
      <c r="C928" s="242"/>
      <c r="D928" s="13"/>
      <c r="E928" s="525"/>
      <c r="F928" s="525"/>
      <c r="G928" s="525"/>
      <c r="H928" s="242"/>
      <c r="I928" s="525"/>
      <c r="J928" s="525"/>
      <c r="K928" s="525"/>
      <c r="L928" s="525"/>
      <c r="M928" s="242"/>
      <c r="N928" s="525"/>
      <c r="O928" s="525"/>
      <c r="P928" s="525"/>
      <c r="Q928" s="525"/>
      <c r="R928" s="242"/>
      <c r="S928" s="242"/>
      <c r="T928" s="242"/>
      <c r="U928" s="242"/>
      <c r="V928" s="242"/>
      <c r="W928" s="242"/>
      <c r="X928" s="242"/>
      <c r="Y928" s="242"/>
      <c r="Z928" s="242"/>
      <c r="AA928" s="242"/>
      <c r="AB928" s="242"/>
      <c r="AC928" s="242"/>
      <c r="AD928" s="242"/>
      <c r="AE928" s="242"/>
      <c r="AF928" s="242"/>
    </row>
    <row r="929">
      <c r="A929" s="242"/>
      <c r="B929" s="242"/>
      <c r="C929" s="242"/>
      <c r="D929" s="13"/>
      <c r="E929" s="525"/>
      <c r="F929" s="525"/>
      <c r="G929" s="525"/>
      <c r="H929" s="242"/>
      <c r="I929" s="525"/>
      <c r="J929" s="525"/>
      <c r="K929" s="525"/>
      <c r="L929" s="525"/>
      <c r="M929" s="242"/>
      <c r="N929" s="525"/>
      <c r="O929" s="525"/>
      <c r="P929" s="525"/>
      <c r="Q929" s="525"/>
      <c r="R929" s="242"/>
      <c r="S929" s="242"/>
      <c r="T929" s="242"/>
      <c r="U929" s="242"/>
      <c r="V929" s="242"/>
      <c r="W929" s="242"/>
      <c r="X929" s="242"/>
      <c r="Y929" s="242"/>
      <c r="Z929" s="242"/>
      <c r="AA929" s="242"/>
      <c r="AB929" s="242"/>
      <c r="AC929" s="242"/>
      <c r="AD929" s="242"/>
      <c r="AE929" s="242"/>
      <c r="AF929" s="242"/>
    </row>
    <row r="930">
      <c r="A930" s="242"/>
      <c r="B930" s="242"/>
      <c r="C930" s="242"/>
      <c r="D930" s="13"/>
      <c r="E930" s="525"/>
      <c r="F930" s="525"/>
      <c r="G930" s="525"/>
      <c r="H930" s="242"/>
      <c r="I930" s="525"/>
      <c r="J930" s="525"/>
      <c r="K930" s="525"/>
      <c r="L930" s="525"/>
      <c r="M930" s="242"/>
      <c r="N930" s="525"/>
      <c r="O930" s="525"/>
      <c r="P930" s="525"/>
      <c r="Q930" s="525"/>
      <c r="R930" s="242"/>
      <c r="S930" s="242"/>
      <c r="T930" s="242"/>
      <c r="U930" s="242"/>
      <c r="V930" s="242"/>
      <c r="W930" s="242"/>
      <c r="X930" s="242"/>
      <c r="Y930" s="242"/>
      <c r="Z930" s="242"/>
      <c r="AA930" s="242"/>
      <c r="AB930" s="242"/>
      <c r="AC930" s="242"/>
      <c r="AD930" s="242"/>
      <c r="AE930" s="242"/>
      <c r="AF930" s="242"/>
    </row>
    <row r="931">
      <c r="A931" s="242"/>
      <c r="B931" s="242"/>
      <c r="C931" s="242"/>
      <c r="D931" s="13"/>
      <c r="E931" s="525"/>
      <c r="F931" s="525"/>
      <c r="G931" s="525"/>
      <c r="H931" s="242"/>
      <c r="I931" s="525"/>
      <c r="J931" s="525"/>
      <c r="K931" s="525"/>
      <c r="L931" s="525"/>
      <c r="M931" s="242"/>
      <c r="N931" s="525"/>
      <c r="O931" s="525"/>
      <c r="P931" s="525"/>
      <c r="Q931" s="525"/>
      <c r="R931" s="242"/>
      <c r="S931" s="242"/>
      <c r="T931" s="242"/>
      <c r="U931" s="242"/>
      <c r="V931" s="242"/>
      <c r="W931" s="242"/>
      <c r="X931" s="242"/>
      <c r="Y931" s="242"/>
      <c r="Z931" s="242"/>
      <c r="AA931" s="242"/>
      <c r="AB931" s="242"/>
      <c r="AC931" s="242"/>
      <c r="AD931" s="242"/>
      <c r="AE931" s="242"/>
      <c r="AF931" s="242"/>
    </row>
    <row r="932">
      <c r="A932" s="242"/>
      <c r="B932" s="242"/>
      <c r="C932" s="242"/>
      <c r="D932" s="13"/>
      <c r="E932" s="525"/>
      <c r="F932" s="525"/>
      <c r="G932" s="525"/>
      <c r="H932" s="242"/>
      <c r="I932" s="525"/>
      <c r="J932" s="525"/>
      <c r="K932" s="525"/>
      <c r="L932" s="525"/>
      <c r="M932" s="242"/>
      <c r="N932" s="525"/>
      <c r="O932" s="525"/>
      <c r="P932" s="525"/>
      <c r="Q932" s="525"/>
      <c r="R932" s="242"/>
      <c r="S932" s="242"/>
      <c r="T932" s="242"/>
      <c r="U932" s="242"/>
      <c r="V932" s="242"/>
      <c r="W932" s="242"/>
      <c r="X932" s="242"/>
      <c r="Y932" s="242"/>
      <c r="Z932" s="242"/>
      <c r="AA932" s="242"/>
      <c r="AB932" s="242"/>
      <c r="AC932" s="242"/>
      <c r="AD932" s="242"/>
      <c r="AE932" s="242"/>
      <c r="AF932" s="242"/>
    </row>
    <row r="933">
      <c r="A933" s="242"/>
      <c r="B933" s="242"/>
      <c r="C933" s="242"/>
      <c r="D933" s="13"/>
      <c r="E933" s="525"/>
      <c r="F933" s="525"/>
      <c r="G933" s="525"/>
      <c r="H933" s="242"/>
      <c r="I933" s="525"/>
      <c r="J933" s="525"/>
      <c r="K933" s="525"/>
      <c r="L933" s="525"/>
      <c r="M933" s="242"/>
      <c r="N933" s="525"/>
      <c r="O933" s="525"/>
      <c r="P933" s="525"/>
      <c r="Q933" s="525"/>
      <c r="R933" s="242"/>
      <c r="S933" s="242"/>
      <c r="T933" s="242"/>
      <c r="U933" s="242"/>
      <c r="V933" s="242"/>
      <c r="W933" s="242"/>
      <c r="X933" s="242"/>
      <c r="Y933" s="242"/>
      <c r="Z933" s="242"/>
      <c r="AA933" s="242"/>
      <c r="AB933" s="242"/>
      <c r="AC933" s="242"/>
      <c r="AD933" s="242"/>
      <c r="AE933" s="242"/>
      <c r="AF933" s="242"/>
    </row>
    <row r="934">
      <c r="A934" s="242"/>
      <c r="B934" s="242"/>
      <c r="C934" s="242"/>
      <c r="D934" s="13"/>
      <c r="E934" s="525"/>
      <c r="F934" s="525"/>
      <c r="G934" s="525"/>
      <c r="H934" s="242"/>
      <c r="I934" s="525"/>
      <c r="J934" s="525"/>
      <c r="K934" s="525"/>
      <c r="L934" s="525"/>
      <c r="M934" s="242"/>
      <c r="N934" s="525"/>
      <c r="O934" s="525"/>
      <c r="P934" s="525"/>
      <c r="Q934" s="525"/>
      <c r="R934" s="242"/>
      <c r="S934" s="242"/>
      <c r="T934" s="242"/>
      <c r="U934" s="242"/>
      <c r="V934" s="242"/>
      <c r="W934" s="242"/>
      <c r="X934" s="242"/>
      <c r="Y934" s="242"/>
      <c r="Z934" s="242"/>
      <c r="AA934" s="242"/>
      <c r="AB934" s="242"/>
      <c r="AC934" s="242"/>
      <c r="AD934" s="242"/>
      <c r="AE934" s="242"/>
      <c r="AF934" s="242"/>
    </row>
    <row r="935">
      <c r="A935" s="242"/>
      <c r="B935" s="242"/>
      <c r="C935" s="242"/>
      <c r="D935" s="13"/>
      <c r="E935" s="525"/>
      <c r="F935" s="525"/>
      <c r="G935" s="525"/>
      <c r="H935" s="242"/>
      <c r="I935" s="525"/>
      <c r="J935" s="525"/>
      <c r="K935" s="525"/>
      <c r="L935" s="525"/>
      <c r="M935" s="242"/>
      <c r="N935" s="525"/>
      <c r="O935" s="525"/>
      <c r="P935" s="525"/>
      <c r="Q935" s="525"/>
      <c r="R935" s="242"/>
      <c r="S935" s="242"/>
      <c r="T935" s="242"/>
      <c r="U935" s="242"/>
      <c r="V935" s="242"/>
      <c r="W935" s="242"/>
      <c r="X935" s="242"/>
      <c r="Y935" s="242"/>
      <c r="Z935" s="242"/>
      <c r="AA935" s="242"/>
      <c r="AB935" s="242"/>
      <c r="AC935" s="242"/>
      <c r="AD935" s="242"/>
      <c r="AE935" s="242"/>
      <c r="AF935" s="242"/>
    </row>
    <row r="936">
      <c r="A936" s="242"/>
      <c r="B936" s="242"/>
      <c r="C936" s="242"/>
      <c r="D936" s="13"/>
      <c r="E936" s="525"/>
      <c r="F936" s="525"/>
      <c r="G936" s="525"/>
      <c r="H936" s="242"/>
      <c r="I936" s="525"/>
      <c r="J936" s="525"/>
      <c r="K936" s="525"/>
      <c r="L936" s="525"/>
      <c r="M936" s="242"/>
      <c r="N936" s="525"/>
      <c r="O936" s="525"/>
      <c r="P936" s="525"/>
      <c r="Q936" s="525"/>
      <c r="R936" s="242"/>
      <c r="S936" s="242"/>
      <c r="T936" s="242"/>
      <c r="U936" s="242"/>
      <c r="V936" s="242"/>
      <c r="W936" s="242"/>
      <c r="X936" s="242"/>
      <c r="Y936" s="242"/>
      <c r="Z936" s="242"/>
      <c r="AA936" s="242"/>
      <c r="AB936" s="242"/>
      <c r="AC936" s="242"/>
      <c r="AD936" s="242"/>
      <c r="AE936" s="242"/>
      <c r="AF936" s="242"/>
    </row>
    <row r="937">
      <c r="A937" s="242"/>
      <c r="B937" s="242"/>
      <c r="C937" s="242"/>
      <c r="D937" s="13"/>
      <c r="E937" s="525"/>
      <c r="F937" s="525"/>
      <c r="G937" s="525"/>
      <c r="H937" s="242"/>
      <c r="I937" s="525"/>
      <c r="J937" s="525"/>
      <c r="K937" s="525"/>
      <c r="L937" s="525"/>
      <c r="M937" s="242"/>
      <c r="N937" s="525"/>
      <c r="O937" s="525"/>
      <c r="P937" s="525"/>
      <c r="Q937" s="525"/>
      <c r="R937" s="242"/>
      <c r="S937" s="242"/>
      <c r="T937" s="242"/>
      <c r="U937" s="242"/>
      <c r="V937" s="242"/>
      <c r="W937" s="242"/>
      <c r="X937" s="242"/>
      <c r="Y937" s="242"/>
      <c r="Z937" s="242"/>
      <c r="AA937" s="242"/>
      <c r="AB937" s="242"/>
      <c r="AC937" s="242"/>
      <c r="AD937" s="242"/>
      <c r="AE937" s="242"/>
      <c r="AF937" s="242"/>
    </row>
    <row r="938">
      <c r="A938" s="242"/>
      <c r="B938" s="242"/>
      <c r="C938" s="242"/>
      <c r="D938" s="13"/>
      <c r="E938" s="525"/>
      <c r="F938" s="525"/>
      <c r="G938" s="525"/>
      <c r="H938" s="242"/>
      <c r="I938" s="525"/>
      <c r="J938" s="525"/>
      <c r="K938" s="525"/>
      <c r="L938" s="525"/>
      <c r="M938" s="242"/>
      <c r="N938" s="525"/>
      <c r="O938" s="525"/>
      <c r="P938" s="525"/>
      <c r="Q938" s="525"/>
      <c r="R938" s="242"/>
      <c r="S938" s="242"/>
      <c r="T938" s="242"/>
      <c r="U938" s="242"/>
      <c r="V938" s="242"/>
      <c r="W938" s="242"/>
      <c r="X938" s="242"/>
      <c r="Y938" s="242"/>
      <c r="Z938" s="242"/>
      <c r="AA938" s="242"/>
      <c r="AB938" s="242"/>
      <c r="AC938" s="242"/>
      <c r="AD938" s="242"/>
      <c r="AE938" s="242"/>
      <c r="AF938" s="242"/>
    </row>
    <row r="939">
      <c r="A939" s="242"/>
      <c r="B939" s="242"/>
      <c r="C939" s="242"/>
      <c r="D939" s="13"/>
      <c r="E939" s="525"/>
      <c r="F939" s="525"/>
      <c r="G939" s="525"/>
      <c r="H939" s="242"/>
      <c r="I939" s="525"/>
      <c r="J939" s="525"/>
      <c r="K939" s="525"/>
      <c r="L939" s="525"/>
      <c r="M939" s="242"/>
      <c r="N939" s="525"/>
      <c r="O939" s="525"/>
      <c r="P939" s="525"/>
      <c r="Q939" s="525"/>
      <c r="R939" s="242"/>
      <c r="S939" s="242"/>
      <c r="T939" s="242"/>
      <c r="U939" s="242"/>
      <c r="V939" s="242"/>
      <c r="W939" s="242"/>
      <c r="X939" s="242"/>
      <c r="Y939" s="242"/>
      <c r="Z939" s="242"/>
      <c r="AA939" s="242"/>
      <c r="AB939" s="242"/>
      <c r="AC939" s="242"/>
      <c r="AD939" s="242"/>
      <c r="AE939" s="242"/>
      <c r="AF939" s="242"/>
    </row>
    <row r="940">
      <c r="A940" s="242"/>
      <c r="B940" s="242"/>
      <c r="C940" s="242"/>
      <c r="D940" s="13"/>
      <c r="E940" s="525"/>
      <c r="F940" s="525"/>
      <c r="G940" s="525"/>
      <c r="H940" s="242"/>
      <c r="I940" s="525"/>
      <c r="J940" s="525"/>
      <c r="K940" s="525"/>
      <c r="L940" s="525"/>
      <c r="M940" s="242"/>
      <c r="N940" s="525"/>
      <c r="O940" s="525"/>
      <c r="P940" s="525"/>
      <c r="Q940" s="525"/>
      <c r="R940" s="242"/>
      <c r="S940" s="242"/>
      <c r="T940" s="242"/>
      <c r="U940" s="242"/>
      <c r="V940" s="242"/>
      <c r="W940" s="242"/>
      <c r="X940" s="242"/>
      <c r="Y940" s="242"/>
      <c r="Z940" s="242"/>
      <c r="AA940" s="242"/>
      <c r="AB940" s="242"/>
      <c r="AC940" s="242"/>
      <c r="AD940" s="242"/>
      <c r="AE940" s="242"/>
      <c r="AF940" s="242"/>
    </row>
    <row r="941">
      <c r="A941" s="242"/>
      <c r="B941" s="242"/>
      <c r="C941" s="242"/>
      <c r="D941" s="13"/>
      <c r="E941" s="525"/>
      <c r="F941" s="525"/>
      <c r="G941" s="525"/>
      <c r="H941" s="242"/>
      <c r="I941" s="525"/>
      <c r="J941" s="525"/>
      <c r="K941" s="525"/>
      <c r="L941" s="525"/>
      <c r="M941" s="242"/>
      <c r="N941" s="525"/>
      <c r="O941" s="525"/>
      <c r="P941" s="525"/>
      <c r="Q941" s="525"/>
      <c r="R941" s="242"/>
      <c r="S941" s="242"/>
      <c r="T941" s="242"/>
      <c r="U941" s="242"/>
      <c r="V941" s="242"/>
      <c r="W941" s="242"/>
      <c r="X941" s="242"/>
      <c r="Y941" s="242"/>
      <c r="Z941" s="242"/>
      <c r="AA941" s="242"/>
      <c r="AB941" s="242"/>
      <c r="AC941" s="242"/>
      <c r="AD941" s="242"/>
      <c r="AE941" s="242"/>
      <c r="AF941" s="242"/>
    </row>
    <row r="942">
      <c r="A942" s="242"/>
      <c r="B942" s="242"/>
      <c r="C942" s="242"/>
      <c r="D942" s="13"/>
      <c r="E942" s="525"/>
      <c r="F942" s="525"/>
      <c r="G942" s="525"/>
      <c r="H942" s="242"/>
      <c r="I942" s="525"/>
      <c r="J942" s="525"/>
      <c r="K942" s="525"/>
      <c r="L942" s="525"/>
      <c r="M942" s="242"/>
      <c r="N942" s="525"/>
      <c r="O942" s="525"/>
      <c r="P942" s="525"/>
      <c r="Q942" s="525"/>
      <c r="R942" s="242"/>
      <c r="S942" s="242"/>
      <c r="T942" s="242"/>
      <c r="U942" s="242"/>
      <c r="V942" s="242"/>
      <c r="W942" s="242"/>
      <c r="X942" s="242"/>
      <c r="Y942" s="242"/>
      <c r="Z942" s="242"/>
      <c r="AA942" s="242"/>
      <c r="AB942" s="242"/>
      <c r="AC942" s="242"/>
      <c r="AD942" s="242"/>
      <c r="AE942" s="242"/>
      <c r="AF942" s="242"/>
    </row>
    <row r="943">
      <c r="A943" s="242"/>
      <c r="B943" s="242"/>
      <c r="C943" s="242"/>
      <c r="D943" s="13"/>
      <c r="E943" s="525"/>
      <c r="F943" s="525"/>
      <c r="G943" s="525"/>
      <c r="H943" s="242"/>
      <c r="I943" s="525"/>
      <c r="J943" s="525"/>
      <c r="K943" s="525"/>
      <c r="L943" s="525"/>
      <c r="M943" s="242"/>
      <c r="N943" s="525"/>
      <c r="O943" s="525"/>
      <c r="P943" s="525"/>
      <c r="Q943" s="525"/>
      <c r="R943" s="242"/>
      <c r="S943" s="242"/>
      <c r="T943" s="242"/>
      <c r="U943" s="242"/>
      <c r="V943" s="242"/>
      <c r="W943" s="242"/>
      <c r="X943" s="242"/>
      <c r="Y943" s="242"/>
      <c r="Z943" s="242"/>
      <c r="AA943" s="242"/>
      <c r="AB943" s="242"/>
      <c r="AC943" s="242"/>
      <c r="AD943" s="242"/>
      <c r="AE943" s="242"/>
      <c r="AF943" s="242"/>
    </row>
    <row r="944">
      <c r="A944" s="242"/>
      <c r="B944" s="242"/>
      <c r="C944" s="242"/>
      <c r="D944" s="13"/>
      <c r="E944" s="525"/>
      <c r="F944" s="525"/>
      <c r="G944" s="525"/>
      <c r="H944" s="242"/>
      <c r="I944" s="525"/>
      <c r="J944" s="525"/>
      <c r="K944" s="525"/>
      <c r="L944" s="525"/>
      <c r="M944" s="242"/>
      <c r="N944" s="525"/>
      <c r="O944" s="525"/>
      <c r="P944" s="525"/>
      <c r="Q944" s="525"/>
      <c r="R944" s="242"/>
      <c r="S944" s="242"/>
      <c r="T944" s="242"/>
      <c r="U944" s="242"/>
      <c r="V944" s="242"/>
      <c r="W944" s="242"/>
      <c r="X944" s="242"/>
      <c r="Y944" s="242"/>
      <c r="Z944" s="242"/>
      <c r="AA944" s="242"/>
      <c r="AB944" s="242"/>
      <c r="AC944" s="242"/>
      <c r="AD944" s="242"/>
      <c r="AE944" s="242"/>
      <c r="AF944" s="242"/>
    </row>
    <row r="945">
      <c r="A945" s="242"/>
      <c r="B945" s="242"/>
      <c r="C945" s="242"/>
      <c r="D945" s="13"/>
      <c r="E945" s="525"/>
      <c r="F945" s="525"/>
      <c r="G945" s="525"/>
      <c r="H945" s="242"/>
      <c r="I945" s="525"/>
      <c r="J945" s="525"/>
      <c r="K945" s="525"/>
      <c r="L945" s="525"/>
      <c r="M945" s="242"/>
      <c r="N945" s="525"/>
      <c r="O945" s="525"/>
      <c r="P945" s="525"/>
      <c r="Q945" s="525"/>
      <c r="R945" s="242"/>
      <c r="S945" s="242"/>
      <c r="T945" s="242"/>
      <c r="U945" s="242"/>
      <c r="V945" s="242"/>
      <c r="W945" s="242"/>
      <c r="X945" s="242"/>
      <c r="Y945" s="242"/>
      <c r="Z945" s="242"/>
      <c r="AA945" s="242"/>
      <c r="AB945" s="242"/>
      <c r="AC945" s="242"/>
      <c r="AD945" s="242"/>
      <c r="AE945" s="242"/>
      <c r="AF945" s="242"/>
    </row>
    <row r="946">
      <c r="A946" s="242"/>
      <c r="B946" s="242"/>
      <c r="C946" s="242"/>
      <c r="D946" s="13"/>
      <c r="E946" s="525"/>
      <c r="F946" s="525"/>
      <c r="G946" s="525"/>
      <c r="H946" s="242"/>
      <c r="I946" s="525"/>
      <c r="J946" s="525"/>
      <c r="K946" s="525"/>
      <c r="L946" s="525"/>
      <c r="M946" s="242"/>
      <c r="N946" s="525"/>
      <c r="O946" s="525"/>
      <c r="P946" s="525"/>
      <c r="Q946" s="525"/>
      <c r="R946" s="242"/>
      <c r="S946" s="242"/>
      <c r="T946" s="242"/>
      <c r="U946" s="242"/>
      <c r="V946" s="242"/>
      <c r="W946" s="242"/>
      <c r="X946" s="242"/>
      <c r="Y946" s="242"/>
      <c r="Z946" s="242"/>
      <c r="AA946" s="242"/>
      <c r="AB946" s="242"/>
      <c r="AC946" s="242"/>
      <c r="AD946" s="242"/>
      <c r="AE946" s="242"/>
      <c r="AF946" s="242"/>
    </row>
    <row r="947">
      <c r="A947" s="242"/>
      <c r="B947" s="242"/>
      <c r="C947" s="242"/>
      <c r="D947" s="13"/>
      <c r="E947" s="525"/>
      <c r="F947" s="525"/>
      <c r="G947" s="525"/>
      <c r="H947" s="242"/>
      <c r="I947" s="525"/>
      <c r="J947" s="525"/>
      <c r="K947" s="525"/>
      <c r="L947" s="525"/>
      <c r="M947" s="242"/>
      <c r="N947" s="525"/>
      <c r="O947" s="525"/>
      <c r="P947" s="525"/>
      <c r="Q947" s="525"/>
      <c r="R947" s="242"/>
      <c r="S947" s="242"/>
      <c r="T947" s="242"/>
      <c r="U947" s="242"/>
      <c r="V947" s="242"/>
      <c r="W947" s="242"/>
      <c r="X947" s="242"/>
      <c r="Y947" s="242"/>
      <c r="Z947" s="242"/>
      <c r="AA947" s="242"/>
      <c r="AB947" s="242"/>
      <c r="AC947" s="242"/>
      <c r="AD947" s="242"/>
      <c r="AE947" s="242"/>
      <c r="AF947" s="242"/>
    </row>
    <row r="948">
      <c r="A948" s="242"/>
      <c r="B948" s="242"/>
      <c r="C948" s="242"/>
      <c r="D948" s="13"/>
      <c r="E948" s="525"/>
      <c r="F948" s="525"/>
      <c r="G948" s="525"/>
      <c r="H948" s="242"/>
      <c r="I948" s="525"/>
      <c r="J948" s="525"/>
      <c r="K948" s="525"/>
      <c r="L948" s="525"/>
      <c r="M948" s="242"/>
      <c r="N948" s="525"/>
      <c r="O948" s="525"/>
      <c r="P948" s="525"/>
      <c r="Q948" s="525"/>
      <c r="R948" s="242"/>
      <c r="S948" s="242"/>
      <c r="T948" s="242"/>
      <c r="U948" s="242"/>
      <c r="V948" s="242"/>
      <c r="W948" s="242"/>
      <c r="X948" s="242"/>
      <c r="Y948" s="242"/>
      <c r="Z948" s="242"/>
      <c r="AA948" s="242"/>
      <c r="AB948" s="242"/>
      <c r="AC948" s="242"/>
      <c r="AD948" s="242"/>
      <c r="AE948" s="242"/>
      <c r="AF948" s="242"/>
    </row>
    <row r="949">
      <c r="A949" s="242"/>
      <c r="B949" s="242"/>
      <c r="C949" s="242"/>
      <c r="D949" s="13"/>
      <c r="E949" s="525"/>
      <c r="F949" s="525"/>
      <c r="G949" s="525"/>
      <c r="H949" s="242"/>
      <c r="I949" s="525"/>
      <c r="J949" s="525"/>
      <c r="K949" s="525"/>
      <c r="L949" s="525"/>
      <c r="M949" s="242"/>
      <c r="N949" s="525"/>
      <c r="O949" s="525"/>
      <c r="P949" s="525"/>
      <c r="Q949" s="525"/>
      <c r="R949" s="242"/>
      <c r="S949" s="242"/>
      <c r="T949" s="242"/>
      <c r="U949" s="242"/>
      <c r="V949" s="242"/>
      <c r="W949" s="242"/>
      <c r="X949" s="242"/>
      <c r="Y949" s="242"/>
      <c r="Z949" s="242"/>
      <c r="AA949" s="242"/>
      <c r="AB949" s="242"/>
      <c r="AC949" s="242"/>
      <c r="AD949" s="242"/>
      <c r="AE949" s="242"/>
      <c r="AF949" s="242"/>
    </row>
    <row r="950">
      <c r="A950" s="242"/>
      <c r="B950" s="242"/>
      <c r="C950" s="242"/>
      <c r="D950" s="13"/>
      <c r="E950" s="525"/>
      <c r="F950" s="525"/>
      <c r="G950" s="525"/>
      <c r="H950" s="242"/>
      <c r="I950" s="525"/>
      <c r="J950" s="525"/>
      <c r="K950" s="525"/>
      <c r="L950" s="525"/>
      <c r="M950" s="242"/>
      <c r="N950" s="525"/>
      <c r="O950" s="525"/>
      <c r="P950" s="525"/>
      <c r="Q950" s="525"/>
      <c r="R950" s="242"/>
      <c r="S950" s="242"/>
      <c r="T950" s="242"/>
      <c r="U950" s="242"/>
      <c r="V950" s="242"/>
      <c r="W950" s="242"/>
      <c r="X950" s="242"/>
      <c r="Y950" s="242"/>
      <c r="Z950" s="242"/>
      <c r="AA950" s="242"/>
      <c r="AB950" s="242"/>
      <c r="AC950" s="242"/>
      <c r="AD950" s="242"/>
      <c r="AE950" s="242"/>
      <c r="AF950" s="242"/>
    </row>
    <row r="951">
      <c r="A951" s="242"/>
      <c r="B951" s="242"/>
      <c r="C951" s="242"/>
      <c r="D951" s="13"/>
      <c r="E951" s="525"/>
      <c r="F951" s="525"/>
      <c r="G951" s="525"/>
      <c r="H951" s="242"/>
      <c r="I951" s="525"/>
      <c r="J951" s="525"/>
      <c r="K951" s="525"/>
      <c r="L951" s="525"/>
      <c r="M951" s="242"/>
      <c r="N951" s="525"/>
      <c r="O951" s="525"/>
      <c r="P951" s="525"/>
      <c r="Q951" s="525"/>
      <c r="R951" s="242"/>
      <c r="S951" s="242"/>
      <c r="T951" s="242"/>
      <c r="U951" s="242"/>
      <c r="V951" s="242"/>
      <c r="W951" s="242"/>
      <c r="X951" s="242"/>
      <c r="Y951" s="242"/>
      <c r="Z951" s="242"/>
      <c r="AA951" s="242"/>
      <c r="AB951" s="242"/>
      <c r="AC951" s="242"/>
      <c r="AD951" s="242"/>
      <c r="AE951" s="242"/>
      <c r="AF951" s="242"/>
    </row>
    <row r="952">
      <c r="A952" s="242"/>
      <c r="B952" s="242"/>
      <c r="C952" s="242"/>
      <c r="D952" s="13"/>
      <c r="E952" s="525"/>
      <c r="F952" s="525"/>
      <c r="G952" s="525"/>
      <c r="H952" s="242"/>
      <c r="I952" s="525"/>
      <c r="J952" s="525"/>
      <c r="K952" s="525"/>
      <c r="L952" s="525"/>
      <c r="M952" s="242"/>
      <c r="N952" s="525"/>
      <c r="O952" s="525"/>
      <c r="P952" s="525"/>
      <c r="Q952" s="525"/>
      <c r="R952" s="242"/>
      <c r="S952" s="242"/>
      <c r="T952" s="242"/>
      <c r="U952" s="242"/>
      <c r="V952" s="242"/>
      <c r="W952" s="242"/>
      <c r="X952" s="242"/>
      <c r="Y952" s="242"/>
      <c r="Z952" s="242"/>
      <c r="AA952" s="242"/>
      <c r="AB952" s="242"/>
      <c r="AC952" s="242"/>
      <c r="AD952" s="242"/>
      <c r="AE952" s="242"/>
      <c r="AF952" s="242"/>
    </row>
    <row r="953">
      <c r="A953" s="242"/>
      <c r="B953" s="242"/>
      <c r="C953" s="242"/>
      <c r="D953" s="13"/>
      <c r="E953" s="525"/>
      <c r="F953" s="525"/>
      <c r="G953" s="525"/>
      <c r="H953" s="242"/>
      <c r="I953" s="525"/>
      <c r="J953" s="525"/>
      <c r="K953" s="525"/>
      <c r="L953" s="525"/>
      <c r="M953" s="242"/>
      <c r="N953" s="525"/>
      <c r="O953" s="525"/>
      <c r="P953" s="525"/>
      <c r="Q953" s="525"/>
      <c r="R953" s="242"/>
      <c r="S953" s="242"/>
      <c r="T953" s="242"/>
      <c r="U953" s="242"/>
      <c r="V953" s="242"/>
      <c r="W953" s="242"/>
      <c r="X953" s="242"/>
      <c r="Y953" s="242"/>
      <c r="Z953" s="242"/>
      <c r="AA953" s="242"/>
      <c r="AB953" s="242"/>
      <c r="AC953" s="242"/>
      <c r="AD953" s="242"/>
      <c r="AE953" s="242"/>
      <c r="AF953" s="242"/>
    </row>
    <row r="954">
      <c r="A954" s="242"/>
      <c r="B954" s="242"/>
      <c r="C954" s="242"/>
      <c r="D954" s="13"/>
      <c r="E954" s="525"/>
      <c r="F954" s="525"/>
      <c r="G954" s="525"/>
      <c r="H954" s="242"/>
      <c r="I954" s="525"/>
      <c r="J954" s="525"/>
      <c r="K954" s="525"/>
      <c r="L954" s="525"/>
      <c r="M954" s="242"/>
      <c r="N954" s="525"/>
      <c r="O954" s="525"/>
      <c r="P954" s="525"/>
      <c r="Q954" s="525"/>
      <c r="R954" s="242"/>
      <c r="S954" s="242"/>
      <c r="T954" s="242"/>
      <c r="U954" s="242"/>
      <c r="V954" s="242"/>
      <c r="W954" s="242"/>
      <c r="X954" s="242"/>
      <c r="Y954" s="242"/>
      <c r="Z954" s="242"/>
      <c r="AA954" s="242"/>
      <c r="AB954" s="242"/>
      <c r="AC954" s="242"/>
      <c r="AD954" s="242"/>
      <c r="AE954" s="242"/>
      <c r="AF954" s="242"/>
    </row>
    <row r="955">
      <c r="A955" s="242"/>
      <c r="B955" s="242"/>
      <c r="C955" s="242"/>
      <c r="D955" s="13"/>
      <c r="E955" s="525"/>
      <c r="F955" s="525"/>
      <c r="G955" s="525"/>
      <c r="H955" s="242"/>
      <c r="I955" s="525"/>
      <c r="J955" s="525"/>
      <c r="K955" s="525"/>
      <c r="L955" s="525"/>
      <c r="M955" s="242"/>
      <c r="N955" s="525"/>
      <c r="O955" s="525"/>
      <c r="P955" s="525"/>
      <c r="Q955" s="525"/>
      <c r="R955" s="242"/>
      <c r="S955" s="242"/>
      <c r="T955" s="242"/>
      <c r="U955" s="242"/>
      <c r="V955" s="242"/>
      <c r="W955" s="242"/>
      <c r="X955" s="242"/>
      <c r="Y955" s="242"/>
      <c r="Z955" s="242"/>
      <c r="AA955" s="242"/>
      <c r="AB955" s="242"/>
      <c r="AC955" s="242"/>
      <c r="AD955" s="242"/>
      <c r="AE955" s="242"/>
      <c r="AF955" s="242"/>
    </row>
    <row r="956">
      <c r="A956" s="242"/>
      <c r="B956" s="242"/>
      <c r="C956" s="242"/>
      <c r="D956" s="13"/>
      <c r="E956" s="525"/>
      <c r="F956" s="525"/>
      <c r="G956" s="525"/>
      <c r="H956" s="242"/>
      <c r="I956" s="525"/>
      <c r="J956" s="525"/>
      <c r="K956" s="525"/>
      <c r="L956" s="525"/>
      <c r="M956" s="242"/>
      <c r="N956" s="525"/>
      <c r="O956" s="525"/>
      <c r="P956" s="525"/>
      <c r="Q956" s="525"/>
      <c r="R956" s="242"/>
      <c r="S956" s="242"/>
      <c r="T956" s="242"/>
      <c r="U956" s="242"/>
      <c r="V956" s="242"/>
      <c r="W956" s="242"/>
      <c r="X956" s="242"/>
      <c r="Y956" s="242"/>
      <c r="Z956" s="242"/>
      <c r="AA956" s="242"/>
      <c r="AB956" s="242"/>
      <c r="AC956" s="242"/>
      <c r="AD956" s="242"/>
      <c r="AE956" s="242"/>
      <c r="AF956" s="242"/>
    </row>
    <row r="957">
      <c r="A957" s="242"/>
      <c r="B957" s="242"/>
      <c r="C957" s="242"/>
      <c r="D957" s="13"/>
      <c r="E957" s="525"/>
      <c r="F957" s="525"/>
      <c r="G957" s="525"/>
      <c r="H957" s="242"/>
      <c r="I957" s="525"/>
      <c r="J957" s="525"/>
      <c r="K957" s="525"/>
      <c r="L957" s="525"/>
      <c r="M957" s="242"/>
      <c r="N957" s="525"/>
      <c r="O957" s="525"/>
      <c r="P957" s="525"/>
      <c r="Q957" s="525"/>
      <c r="R957" s="242"/>
      <c r="S957" s="242"/>
      <c r="T957" s="242"/>
      <c r="U957" s="242"/>
      <c r="V957" s="242"/>
      <c r="W957" s="242"/>
      <c r="X957" s="242"/>
      <c r="Y957" s="242"/>
      <c r="Z957" s="242"/>
      <c r="AA957" s="242"/>
      <c r="AB957" s="242"/>
      <c r="AC957" s="242"/>
      <c r="AD957" s="242"/>
      <c r="AE957" s="242"/>
      <c r="AF957" s="242"/>
    </row>
    <row r="958">
      <c r="A958" s="242"/>
      <c r="B958" s="242"/>
      <c r="C958" s="242"/>
      <c r="D958" s="13"/>
      <c r="E958" s="525"/>
      <c r="F958" s="525"/>
      <c r="G958" s="525"/>
      <c r="H958" s="242"/>
      <c r="I958" s="525"/>
      <c r="J958" s="525"/>
      <c r="K958" s="525"/>
      <c r="L958" s="525"/>
      <c r="M958" s="242"/>
      <c r="N958" s="525"/>
      <c r="O958" s="525"/>
      <c r="P958" s="525"/>
      <c r="Q958" s="525"/>
      <c r="R958" s="242"/>
      <c r="S958" s="242"/>
      <c r="T958" s="242"/>
      <c r="U958" s="242"/>
      <c r="V958" s="242"/>
      <c r="W958" s="242"/>
      <c r="X958" s="242"/>
      <c r="Y958" s="242"/>
      <c r="Z958" s="242"/>
      <c r="AA958" s="242"/>
      <c r="AB958" s="242"/>
      <c r="AC958" s="242"/>
      <c r="AD958" s="242"/>
      <c r="AE958" s="242"/>
      <c r="AF958" s="242"/>
    </row>
    <row r="959">
      <c r="A959" s="242"/>
      <c r="B959" s="242"/>
      <c r="C959" s="242"/>
      <c r="D959" s="13"/>
      <c r="E959" s="525"/>
      <c r="F959" s="525"/>
      <c r="G959" s="525"/>
      <c r="H959" s="242"/>
      <c r="I959" s="525"/>
      <c r="J959" s="525"/>
      <c r="K959" s="525"/>
      <c r="L959" s="525"/>
      <c r="M959" s="242"/>
      <c r="N959" s="525"/>
      <c r="O959" s="525"/>
      <c r="P959" s="525"/>
      <c r="Q959" s="525"/>
      <c r="R959" s="242"/>
      <c r="S959" s="242"/>
      <c r="T959" s="242"/>
      <c r="U959" s="242"/>
      <c r="V959" s="242"/>
      <c r="W959" s="242"/>
      <c r="X959" s="242"/>
      <c r="Y959" s="242"/>
      <c r="Z959" s="242"/>
      <c r="AA959" s="242"/>
      <c r="AB959" s="242"/>
      <c r="AC959" s="242"/>
      <c r="AD959" s="242"/>
      <c r="AE959" s="242"/>
      <c r="AF959" s="242"/>
    </row>
    <row r="960">
      <c r="A960" s="242"/>
      <c r="B960" s="242"/>
      <c r="C960" s="242"/>
      <c r="D960" s="13"/>
      <c r="E960" s="525"/>
      <c r="F960" s="525"/>
      <c r="G960" s="525"/>
      <c r="H960" s="242"/>
      <c r="I960" s="525"/>
      <c r="J960" s="525"/>
      <c r="K960" s="525"/>
      <c r="L960" s="525"/>
      <c r="M960" s="242"/>
      <c r="N960" s="525"/>
      <c r="O960" s="525"/>
      <c r="P960" s="525"/>
      <c r="Q960" s="525"/>
      <c r="R960" s="242"/>
      <c r="S960" s="242"/>
      <c r="T960" s="242"/>
      <c r="U960" s="242"/>
      <c r="V960" s="242"/>
      <c r="W960" s="242"/>
      <c r="X960" s="242"/>
      <c r="Y960" s="242"/>
      <c r="Z960" s="242"/>
      <c r="AA960" s="242"/>
      <c r="AB960" s="242"/>
      <c r="AC960" s="242"/>
      <c r="AD960" s="242"/>
      <c r="AE960" s="242"/>
      <c r="AF960" s="242"/>
    </row>
    <row r="961">
      <c r="A961" s="242"/>
      <c r="B961" s="242"/>
      <c r="C961" s="242"/>
      <c r="D961" s="13"/>
      <c r="E961" s="525"/>
      <c r="F961" s="525"/>
      <c r="G961" s="525"/>
      <c r="H961" s="242"/>
      <c r="I961" s="525"/>
      <c r="J961" s="525"/>
      <c r="K961" s="525"/>
      <c r="L961" s="525"/>
      <c r="M961" s="242"/>
      <c r="N961" s="525"/>
      <c r="O961" s="525"/>
      <c r="P961" s="525"/>
      <c r="Q961" s="525"/>
      <c r="R961" s="242"/>
      <c r="S961" s="242"/>
      <c r="T961" s="242"/>
      <c r="U961" s="242"/>
      <c r="V961" s="242"/>
      <c r="W961" s="242"/>
      <c r="X961" s="242"/>
      <c r="Y961" s="242"/>
      <c r="Z961" s="242"/>
      <c r="AA961" s="242"/>
      <c r="AB961" s="242"/>
      <c r="AC961" s="242"/>
      <c r="AD961" s="242"/>
      <c r="AE961" s="242"/>
      <c r="AF961" s="242"/>
    </row>
    <row r="962">
      <c r="A962" s="242"/>
      <c r="B962" s="242"/>
      <c r="C962" s="242"/>
      <c r="D962" s="13"/>
      <c r="E962" s="525"/>
      <c r="F962" s="525"/>
      <c r="G962" s="525"/>
      <c r="H962" s="242"/>
      <c r="I962" s="525"/>
      <c r="J962" s="525"/>
      <c r="K962" s="525"/>
      <c r="L962" s="525"/>
      <c r="M962" s="242"/>
      <c r="N962" s="525"/>
      <c r="O962" s="525"/>
      <c r="P962" s="525"/>
      <c r="Q962" s="525"/>
      <c r="R962" s="242"/>
      <c r="S962" s="242"/>
      <c r="T962" s="242"/>
      <c r="U962" s="242"/>
      <c r="V962" s="242"/>
      <c r="W962" s="242"/>
      <c r="X962" s="242"/>
      <c r="Y962" s="242"/>
      <c r="Z962" s="242"/>
      <c r="AA962" s="242"/>
      <c r="AB962" s="242"/>
      <c r="AC962" s="242"/>
      <c r="AD962" s="242"/>
      <c r="AE962" s="242"/>
      <c r="AF962" s="242"/>
    </row>
    <row r="963">
      <c r="A963" s="242"/>
      <c r="B963" s="242"/>
      <c r="C963" s="242"/>
      <c r="D963" s="13"/>
      <c r="E963" s="525"/>
      <c r="F963" s="525"/>
      <c r="G963" s="525"/>
      <c r="H963" s="242"/>
      <c r="I963" s="525"/>
      <c r="J963" s="525"/>
      <c r="K963" s="525"/>
      <c r="L963" s="525"/>
      <c r="M963" s="242"/>
      <c r="N963" s="525"/>
      <c r="O963" s="525"/>
      <c r="P963" s="525"/>
      <c r="Q963" s="525"/>
      <c r="R963" s="242"/>
      <c r="S963" s="242"/>
      <c r="T963" s="242"/>
      <c r="U963" s="242"/>
      <c r="V963" s="242"/>
      <c r="W963" s="242"/>
      <c r="X963" s="242"/>
      <c r="Y963" s="242"/>
      <c r="Z963" s="242"/>
      <c r="AA963" s="242"/>
      <c r="AB963" s="242"/>
      <c r="AC963" s="242"/>
      <c r="AD963" s="242"/>
      <c r="AE963" s="242"/>
      <c r="AF963" s="242"/>
    </row>
    <row r="964">
      <c r="A964" s="242"/>
      <c r="B964" s="242"/>
      <c r="C964" s="242"/>
      <c r="D964" s="13"/>
      <c r="E964" s="525"/>
      <c r="F964" s="525"/>
      <c r="G964" s="525"/>
      <c r="H964" s="242"/>
      <c r="I964" s="525"/>
      <c r="J964" s="525"/>
      <c r="K964" s="525"/>
      <c r="L964" s="525"/>
      <c r="M964" s="242"/>
      <c r="N964" s="525"/>
      <c r="O964" s="525"/>
      <c r="P964" s="525"/>
      <c r="Q964" s="525"/>
      <c r="R964" s="242"/>
      <c r="S964" s="242"/>
      <c r="T964" s="242"/>
      <c r="U964" s="242"/>
      <c r="V964" s="242"/>
      <c r="W964" s="242"/>
      <c r="X964" s="242"/>
      <c r="Y964" s="242"/>
      <c r="Z964" s="242"/>
      <c r="AA964" s="242"/>
      <c r="AB964" s="242"/>
      <c r="AC964" s="242"/>
      <c r="AD964" s="242"/>
      <c r="AE964" s="242"/>
      <c r="AF964" s="242"/>
    </row>
    <row r="965">
      <c r="A965" s="242"/>
      <c r="B965" s="242"/>
      <c r="C965" s="242"/>
      <c r="D965" s="13"/>
      <c r="E965" s="525"/>
      <c r="F965" s="525"/>
      <c r="G965" s="525"/>
      <c r="H965" s="242"/>
      <c r="I965" s="525"/>
      <c r="J965" s="525"/>
      <c r="K965" s="525"/>
      <c r="L965" s="525"/>
      <c r="M965" s="242"/>
      <c r="N965" s="525"/>
      <c r="O965" s="525"/>
      <c r="P965" s="525"/>
      <c r="Q965" s="525"/>
      <c r="R965" s="242"/>
      <c r="S965" s="242"/>
      <c r="T965" s="242"/>
      <c r="U965" s="242"/>
      <c r="V965" s="242"/>
      <c r="W965" s="242"/>
      <c r="X965" s="242"/>
      <c r="Y965" s="242"/>
      <c r="Z965" s="242"/>
      <c r="AA965" s="242"/>
      <c r="AB965" s="242"/>
      <c r="AC965" s="242"/>
      <c r="AD965" s="242"/>
      <c r="AE965" s="242"/>
      <c r="AF965" s="242"/>
    </row>
    <row r="966">
      <c r="A966" s="242"/>
      <c r="B966" s="242"/>
      <c r="C966" s="242"/>
      <c r="D966" s="13"/>
      <c r="E966" s="525"/>
      <c r="F966" s="525"/>
      <c r="G966" s="525"/>
      <c r="H966" s="242"/>
      <c r="I966" s="525"/>
      <c r="J966" s="525"/>
      <c r="K966" s="525"/>
      <c r="L966" s="525"/>
      <c r="M966" s="242"/>
      <c r="N966" s="525"/>
      <c r="O966" s="525"/>
      <c r="P966" s="525"/>
      <c r="Q966" s="525"/>
      <c r="R966" s="242"/>
      <c r="S966" s="242"/>
      <c r="T966" s="242"/>
      <c r="U966" s="242"/>
      <c r="V966" s="242"/>
      <c r="W966" s="242"/>
      <c r="X966" s="242"/>
      <c r="Y966" s="242"/>
      <c r="Z966" s="242"/>
      <c r="AA966" s="242"/>
      <c r="AB966" s="242"/>
      <c r="AC966" s="242"/>
      <c r="AD966" s="242"/>
      <c r="AE966" s="242"/>
      <c r="AF966" s="242"/>
    </row>
    <row r="967">
      <c r="A967" s="242"/>
      <c r="B967" s="242"/>
      <c r="C967" s="242"/>
      <c r="D967" s="13"/>
      <c r="E967" s="525"/>
      <c r="F967" s="525"/>
      <c r="G967" s="525"/>
      <c r="H967" s="242"/>
      <c r="I967" s="525"/>
      <c r="J967" s="525"/>
      <c r="K967" s="525"/>
      <c r="L967" s="525"/>
      <c r="M967" s="242"/>
      <c r="N967" s="525"/>
      <c r="O967" s="525"/>
      <c r="P967" s="525"/>
      <c r="Q967" s="525"/>
      <c r="R967" s="242"/>
      <c r="S967" s="242"/>
      <c r="T967" s="242"/>
      <c r="U967" s="242"/>
      <c r="V967" s="242"/>
      <c r="W967" s="242"/>
      <c r="X967" s="242"/>
      <c r="Y967" s="242"/>
      <c r="Z967" s="242"/>
      <c r="AA967" s="242"/>
      <c r="AB967" s="242"/>
      <c r="AC967" s="242"/>
      <c r="AD967" s="242"/>
      <c r="AE967" s="242"/>
      <c r="AF967" s="242"/>
    </row>
    <row r="968">
      <c r="A968" s="242"/>
      <c r="B968" s="242"/>
      <c r="C968" s="242"/>
      <c r="D968" s="13"/>
      <c r="E968" s="525"/>
      <c r="F968" s="525"/>
      <c r="G968" s="525"/>
      <c r="H968" s="242"/>
      <c r="I968" s="525"/>
      <c r="J968" s="525"/>
      <c r="K968" s="525"/>
      <c r="L968" s="525"/>
      <c r="M968" s="242"/>
      <c r="N968" s="525"/>
      <c r="O968" s="525"/>
      <c r="P968" s="525"/>
      <c r="Q968" s="525"/>
      <c r="R968" s="242"/>
      <c r="S968" s="242"/>
      <c r="T968" s="242"/>
      <c r="U968" s="242"/>
      <c r="V968" s="242"/>
      <c r="W968" s="242"/>
      <c r="X968" s="242"/>
      <c r="Y968" s="242"/>
      <c r="Z968" s="242"/>
      <c r="AA968" s="242"/>
      <c r="AB968" s="242"/>
      <c r="AC968" s="242"/>
      <c r="AD968" s="242"/>
      <c r="AE968" s="242"/>
      <c r="AF968" s="242"/>
    </row>
    <row r="969">
      <c r="A969" s="242"/>
      <c r="B969" s="242"/>
      <c r="C969" s="242"/>
      <c r="D969" s="13"/>
      <c r="E969" s="525"/>
      <c r="F969" s="525"/>
      <c r="G969" s="525"/>
      <c r="H969" s="242"/>
      <c r="I969" s="525"/>
      <c r="J969" s="525"/>
      <c r="K969" s="525"/>
      <c r="L969" s="525"/>
      <c r="M969" s="242"/>
      <c r="N969" s="525"/>
      <c r="O969" s="525"/>
      <c r="P969" s="525"/>
      <c r="Q969" s="525"/>
      <c r="R969" s="242"/>
      <c r="S969" s="242"/>
      <c r="T969" s="242"/>
      <c r="U969" s="242"/>
      <c r="V969" s="242"/>
      <c r="W969" s="242"/>
      <c r="X969" s="242"/>
      <c r="Y969" s="242"/>
      <c r="Z969" s="242"/>
      <c r="AA969" s="242"/>
      <c r="AB969" s="242"/>
      <c r="AC969" s="242"/>
      <c r="AD969" s="242"/>
      <c r="AE969" s="242"/>
      <c r="AF969" s="242"/>
    </row>
    <row r="970">
      <c r="A970" s="242"/>
      <c r="B970" s="242"/>
      <c r="C970" s="242"/>
      <c r="D970" s="13"/>
      <c r="E970" s="525"/>
      <c r="F970" s="525"/>
      <c r="G970" s="525"/>
      <c r="H970" s="242"/>
      <c r="I970" s="525"/>
      <c r="J970" s="525"/>
      <c r="K970" s="525"/>
      <c r="L970" s="525"/>
      <c r="M970" s="242"/>
      <c r="N970" s="525"/>
      <c r="O970" s="525"/>
      <c r="P970" s="525"/>
      <c r="Q970" s="525"/>
      <c r="R970" s="242"/>
      <c r="S970" s="242"/>
      <c r="T970" s="242"/>
      <c r="U970" s="242"/>
      <c r="V970" s="242"/>
      <c r="W970" s="242"/>
      <c r="X970" s="242"/>
      <c r="Y970" s="242"/>
      <c r="Z970" s="242"/>
      <c r="AA970" s="242"/>
      <c r="AB970" s="242"/>
      <c r="AC970" s="242"/>
      <c r="AD970" s="242"/>
      <c r="AE970" s="242"/>
      <c r="AF970" s="242"/>
    </row>
    <row r="971">
      <c r="A971" s="242"/>
      <c r="B971" s="242"/>
      <c r="C971" s="242"/>
      <c r="D971" s="13"/>
      <c r="E971" s="525"/>
      <c r="F971" s="525"/>
      <c r="G971" s="525"/>
      <c r="H971" s="242"/>
      <c r="I971" s="525"/>
      <c r="J971" s="525"/>
      <c r="K971" s="525"/>
      <c r="L971" s="525"/>
      <c r="M971" s="242"/>
      <c r="N971" s="525"/>
      <c r="O971" s="525"/>
      <c r="P971" s="525"/>
      <c r="Q971" s="525"/>
      <c r="R971" s="242"/>
      <c r="S971" s="242"/>
      <c r="T971" s="242"/>
      <c r="U971" s="242"/>
      <c r="V971" s="242"/>
      <c r="W971" s="242"/>
      <c r="X971" s="242"/>
      <c r="Y971" s="242"/>
      <c r="Z971" s="242"/>
      <c r="AA971" s="242"/>
      <c r="AB971" s="242"/>
      <c r="AC971" s="242"/>
      <c r="AD971" s="242"/>
      <c r="AE971" s="242"/>
      <c r="AF971" s="242"/>
    </row>
    <row r="972">
      <c r="A972" s="242"/>
      <c r="B972" s="242"/>
      <c r="C972" s="242"/>
      <c r="D972" s="13"/>
      <c r="E972" s="525"/>
      <c r="F972" s="525"/>
      <c r="G972" s="525"/>
      <c r="H972" s="242"/>
      <c r="I972" s="525"/>
      <c r="J972" s="525"/>
      <c r="K972" s="525"/>
      <c r="L972" s="525"/>
      <c r="M972" s="242"/>
      <c r="N972" s="525"/>
      <c r="O972" s="525"/>
      <c r="P972" s="525"/>
      <c r="Q972" s="525"/>
      <c r="R972" s="242"/>
      <c r="S972" s="242"/>
      <c r="T972" s="242"/>
      <c r="U972" s="242"/>
      <c r="V972" s="242"/>
      <c r="W972" s="242"/>
      <c r="X972" s="242"/>
      <c r="Y972" s="242"/>
      <c r="Z972" s="242"/>
      <c r="AA972" s="242"/>
      <c r="AB972" s="242"/>
      <c r="AC972" s="242"/>
      <c r="AD972" s="242"/>
      <c r="AE972" s="242"/>
      <c r="AF972" s="242"/>
    </row>
    <row r="973">
      <c r="A973" s="242"/>
      <c r="B973" s="242"/>
      <c r="C973" s="242"/>
      <c r="D973" s="13"/>
      <c r="E973" s="525"/>
      <c r="F973" s="525"/>
      <c r="G973" s="525"/>
      <c r="H973" s="242"/>
      <c r="I973" s="525"/>
      <c r="J973" s="525"/>
      <c r="K973" s="525"/>
      <c r="L973" s="525"/>
      <c r="M973" s="242"/>
      <c r="N973" s="525"/>
      <c r="O973" s="525"/>
      <c r="P973" s="525"/>
      <c r="Q973" s="525"/>
      <c r="R973" s="242"/>
      <c r="S973" s="242"/>
      <c r="T973" s="242"/>
      <c r="U973" s="242"/>
      <c r="V973" s="242"/>
      <c r="W973" s="242"/>
      <c r="X973" s="242"/>
      <c r="Y973" s="242"/>
      <c r="Z973" s="242"/>
      <c r="AA973" s="242"/>
      <c r="AB973" s="242"/>
      <c r="AC973" s="242"/>
      <c r="AD973" s="242"/>
      <c r="AE973" s="242"/>
      <c r="AF973" s="242"/>
    </row>
    <row r="974">
      <c r="A974" s="242"/>
      <c r="B974" s="242"/>
      <c r="C974" s="242"/>
      <c r="D974" s="13"/>
      <c r="E974" s="525"/>
      <c r="F974" s="525"/>
      <c r="G974" s="525"/>
      <c r="H974" s="242"/>
      <c r="I974" s="525"/>
      <c r="J974" s="525"/>
      <c r="K974" s="525"/>
      <c r="L974" s="525"/>
      <c r="M974" s="242"/>
      <c r="N974" s="525"/>
      <c r="O974" s="525"/>
      <c r="P974" s="525"/>
      <c r="Q974" s="525"/>
      <c r="R974" s="242"/>
      <c r="S974" s="242"/>
      <c r="T974" s="242"/>
      <c r="U974" s="242"/>
      <c r="V974" s="242"/>
      <c r="W974" s="242"/>
      <c r="X974" s="242"/>
      <c r="Y974" s="242"/>
      <c r="Z974" s="242"/>
      <c r="AA974" s="242"/>
      <c r="AB974" s="242"/>
      <c r="AC974" s="242"/>
      <c r="AD974" s="242"/>
      <c r="AE974" s="242"/>
      <c r="AF974" s="242"/>
    </row>
    <row r="975">
      <c r="A975" s="242"/>
      <c r="B975" s="242"/>
      <c r="C975" s="242"/>
      <c r="D975" s="13"/>
      <c r="E975" s="525"/>
      <c r="F975" s="525"/>
      <c r="G975" s="525"/>
      <c r="H975" s="242"/>
      <c r="I975" s="525"/>
      <c r="J975" s="525"/>
      <c r="K975" s="525"/>
      <c r="L975" s="525"/>
      <c r="M975" s="242"/>
      <c r="N975" s="525"/>
      <c r="O975" s="525"/>
      <c r="P975" s="525"/>
      <c r="Q975" s="525"/>
      <c r="R975" s="242"/>
      <c r="S975" s="242"/>
      <c r="T975" s="242"/>
      <c r="U975" s="242"/>
      <c r="V975" s="242"/>
      <c r="W975" s="242"/>
      <c r="X975" s="242"/>
      <c r="Y975" s="242"/>
      <c r="Z975" s="242"/>
      <c r="AA975" s="242"/>
      <c r="AB975" s="242"/>
      <c r="AC975" s="242"/>
      <c r="AD975" s="242"/>
      <c r="AE975" s="242"/>
      <c r="AF975" s="242"/>
    </row>
    <row r="976">
      <c r="A976" s="242"/>
      <c r="B976" s="242"/>
      <c r="C976" s="242"/>
      <c r="D976" s="13"/>
      <c r="E976" s="525"/>
      <c r="F976" s="525"/>
      <c r="G976" s="525"/>
      <c r="H976" s="242"/>
      <c r="I976" s="525"/>
      <c r="J976" s="525"/>
      <c r="K976" s="525"/>
      <c r="L976" s="525"/>
      <c r="M976" s="242"/>
      <c r="N976" s="525"/>
      <c r="O976" s="525"/>
      <c r="P976" s="525"/>
      <c r="Q976" s="525"/>
      <c r="R976" s="242"/>
      <c r="S976" s="242"/>
      <c r="T976" s="242"/>
      <c r="U976" s="242"/>
      <c r="V976" s="242"/>
      <c r="W976" s="242"/>
      <c r="X976" s="242"/>
      <c r="Y976" s="242"/>
      <c r="Z976" s="242"/>
      <c r="AA976" s="242"/>
      <c r="AB976" s="242"/>
      <c r="AC976" s="242"/>
      <c r="AD976" s="242"/>
      <c r="AE976" s="242"/>
      <c r="AF976" s="242"/>
    </row>
    <row r="977">
      <c r="A977" s="242"/>
      <c r="B977" s="242"/>
      <c r="C977" s="242"/>
      <c r="D977" s="13"/>
      <c r="E977" s="525"/>
      <c r="F977" s="525"/>
      <c r="G977" s="525"/>
      <c r="H977" s="242"/>
      <c r="I977" s="525"/>
      <c r="J977" s="525"/>
      <c r="K977" s="525"/>
      <c r="L977" s="525"/>
      <c r="M977" s="242"/>
      <c r="N977" s="525"/>
      <c r="O977" s="525"/>
      <c r="P977" s="525"/>
      <c r="Q977" s="525"/>
      <c r="R977" s="242"/>
      <c r="S977" s="242"/>
      <c r="T977" s="242"/>
      <c r="U977" s="242"/>
      <c r="V977" s="242"/>
      <c r="W977" s="242"/>
      <c r="X977" s="242"/>
      <c r="Y977" s="242"/>
      <c r="Z977" s="242"/>
      <c r="AA977" s="242"/>
      <c r="AB977" s="242"/>
      <c r="AC977" s="242"/>
      <c r="AD977" s="242"/>
      <c r="AE977" s="242"/>
      <c r="AF977" s="242"/>
    </row>
    <row r="978">
      <c r="A978" s="242"/>
      <c r="B978" s="242"/>
      <c r="C978" s="242"/>
      <c r="D978" s="13"/>
      <c r="E978" s="525"/>
      <c r="F978" s="525"/>
      <c r="G978" s="525"/>
      <c r="H978" s="242"/>
      <c r="I978" s="525"/>
      <c r="J978" s="525"/>
      <c r="K978" s="525"/>
      <c r="L978" s="525"/>
      <c r="M978" s="242"/>
      <c r="N978" s="525"/>
      <c r="O978" s="525"/>
      <c r="P978" s="525"/>
      <c r="Q978" s="525"/>
      <c r="R978" s="242"/>
      <c r="S978" s="242"/>
      <c r="T978" s="242"/>
      <c r="U978" s="242"/>
      <c r="V978" s="242"/>
      <c r="W978" s="242"/>
      <c r="X978" s="242"/>
      <c r="Y978" s="242"/>
      <c r="Z978" s="242"/>
      <c r="AA978" s="242"/>
      <c r="AB978" s="242"/>
      <c r="AC978" s="242"/>
      <c r="AD978" s="242"/>
      <c r="AE978" s="242"/>
      <c r="AF978" s="242"/>
    </row>
    <row r="979">
      <c r="A979" s="242"/>
      <c r="B979" s="242"/>
      <c r="C979" s="242"/>
      <c r="D979" s="13"/>
      <c r="E979" s="525"/>
      <c r="F979" s="525"/>
      <c r="G979" s="525"/>
      <c r="H979" s="242"/>
      <c r="I979" s="525"/>
      <c r="J979" s="525"/>
      <c r="K979" s="525"/>
      <c r="L979" s="525"/>
      <c r="M979" s="242"/>
      <c r="N979" s="525"/>
      <c r="O979" s="525"/>
      <c r="P979" s="525"/>
      <c r="Q979" s="525"/>
      <c r="R979" s="242"/>
      <c r="S979" s="242"/>
      <c r="T979" s="242"/>
      <c r="U979" s="242"/>
      <c r="V979" s="242"/>
      <c r="W979" s="242"/>
      <c r="X979" s="242"/>
      <c r="Y979" s="242"/>
      <c r="Z979" s="242"/>
      <c r="AA979" s="242"/>
      <c r="AB979" s="242"/>
      <c r="AC979" s="242"/>
      <c r="AD979" s="242"/>
      <c r="AE979" s="242"/>
      <c r="AF979" s="242"/>
    </row>
    <row r="980">
      <c r="A980" s="242"/>
      <c r="B980" s="242"/>
      <c r="C980" s="242"/>
      <c r="D980" s="13"/>
      <c r="E980" s="525"/>
      <c r="F980" s="525"/>
      <c r="G980" s="525"/>
      <c r="H980" s="242"/>
      <c r="I980" s="525"/>
      <c r="J980" s="525"/>
      <c r="K980" s="525"/>
      <c r="L980" s="525"/>
      <c r="M980" s="242"/>
      <c r="N980" s="525"/>
      <c r="O980" s="525"/>
      <c r="P980" s="525"/>
      <c r="Q980" s="525"/>
      <c r="R980" s="242"/>
      <c r="S980" s="242"/>
      <c r="T980" s="242"/>
      <c r="U980" s="242"/>
      <c r="V980" s="242"/>
      <c r="W980" s="242"/>
      <c r="X980" s="242"/>
      <c r="Y980" s="242"/>
      <c r="Z980" s="242"/>
      <c r="AA980" s="242"/>
      <c r="AB980" s="242"/>
      <c r="AC980" s="242"/>
      <c r="AD980" s="242"/>
      <c r="AE980" s="242"/>
      <c r="AF980" s="242"/>
    </row>
    <row r="981">
      <c r="A981" s="242"/>
      <c r="B981" s="242"/>
      <c r="C981" s="242"/>
      <c r="D981" s="13"/>
      <c r="E981" s="525"/>
      <c r="F981" s="525"/>
      <c r="G981" s="525"/>
      <c r="H981" s="242"/>
      <c r="I981" s="525"/>
      <c r="J981" s="525"/>
      <c r="K981" s="525"/>
      <c r="L981" s="525"/>
      <c r="M981" s="242"/>
      <c r="N981" s="525"/>
      <c r="O981" s="525"/>
      <c r="P981" s="525"/>
      <c r="Q981" s="525"/>
      <c r="R981" s="242"/>
      <c r="S981" s="242"/>
      <c r="T981" s="242"/>
      <c r="U981" s="242"/>
      <c r="V981" s="242"/>
      <c r="W981" s="242"/>
      <c r="X981" s="242"/>
      <c r="Y981" s="242"/>
      <c r="Z981" s="242"/>
      <c r="AA981" s="242"/>
      <c r="AB981" s="242"/>
      <c r="AC981" s="242"/>
      <c r="AD981" s="242"/>
      <c r="AE981" s="242"/>
      <c r="AF981" s="242"/>
    </row>
    <row r="982">
      <c r="A982" s="242"/>
      <c r="B982" s="242"/>
      <c r="C982" s="242"/>
      <c r="D982" s="13"/>
      <c r="E982" s="525"/>
      <c r="F982" s="525"/>
      <c r="G982" s="525"/>
      <c r="H982" s="242"/>
      <c r="I982" s="525"/>
      <c r="J982" s="525"/>
      <c r="K982" s="525"/>
      <c r="L982" s="525"/>
      <c r="M982" s="242"/>
      <c r="N982" s="525"/>
      <c r="O982" s="525"/>
      <c r="P982" s="525"/>
      <c r="Q982" s="525"/>
      <c r="R982" s="242"/>
      <c r="S982" s="242"/>
      <c r="T982" s="242"/>
      <c r="U982" s="242"/>
      <c r="V982" s="242"/>
      <c r="W982" s="242"/>
      <c r="X982" s="242"/>
      <c r="Y982" s="242"/>
      <c r="Z982" s="242"/>
      <c r="AA982" s="242"/>
      <c r="AB982" s="242"/>
      <c r="AC982" s="242"/>
      <c r="AD982" s="242"/>
      <c r="AE982" s="242"/>
      <c r="AF982" s="242"/>
    </row>
    <row r="983">
      <c r="A983" s="242"/>
      <c r="B983" s="242"/>
      <c r="C983" s="242"/>
      <c r="D983" s="13"/>
      <c r="E983" s="525"/>
      <c r="F983" s="525"/>
      <c r="G983" s="525"/>
      <c r="H983" s="242"/>
      <c r="I983" s="525"/>
      <c r="J983" s="525"/>
      <c r="K983" s="525"/>
      <c r="L983" s="525"/>
      <c r="M983" s="242"/>
      <c r="N983" s="525"/>
      <c r="O983" s="525"/>
      <c r="P983" s="525"/>
      <c r="Q983" s="525"/>
      <c r="R983" s="242"/>
      <c r="S983" s="242"/>
      <c r="T983" s="242"/>
      <c r="U983" s="242"/>
      <c r="V983" s="242"/>
      <c r="W983" s="242"/>
      <c r="X983" s="242"/>
      <c r="Y983" s="242"/>
      <c r="Z983" s="242"/>
      <c r="AA983" s="242"/>
      <c r="AB983" s="242"/>
      <c r="AC983" s="242"/>
      <c r="AD983" s="242"/>
      <c r="AE983" s="242"/>
      <c r="AF983" s="242"/>
    </row>
    <row r="984">
      <c r="A984" s="242"/>
      <c r="B984" s="242"/>
      <c r="C984" s="242"/>
      <c r="D984" s="13"/>
      <c r="E984" s="525"/>
      <c r="F984" s="525"/>
      <c r="G984" s="525"/>
      <c r="H984" s="242"/>
      <c r="I984" s="525"/>
      <c r="J984" s="525"/>
      <c r="K984" s="525"/>
      <c r="L984" s="525"/>
      <c r="M984" s="242"/>
      <c r="N984" s="525"/>
      <c r="O984" s="525"/>
      <c r="P984" s="525"/>
      <c r="Q984" s="525"/>
      <c r="R984" s="242"/>
      <c r="S984" s="242"/>
      <c r="T984" s="242"/>
      <c r="U984" s="242"/>
      <c r="V984" s="242"/>
      <c r="W984" s="242"/>
      <c r="X984" s="242"/>
      <c r="Y984" s="242"/>
      <c r="Z984" s="242"/>
      <c r="AA984" s="242"/>
      <c r="AB984" s="242"/>
      <c r="AC984" s="242"/>
      <c r="AD984" s="242"/>
      <c r="AE984" s="242"/>
      <c r="AF984" s="242"/>
    </row>
    <row r="985">
      <c r="A985" s="242"/>
      <c r="B985" s="242"/>
      <c r="C985" s="242"/>
      <c r="D985" s="13"/>
      <c r="E985" s="525"/>
      <c r="F985" s="525"/>
      <c r="G985" s="525"/>
      <c r="H985" s="242"/>
      <c r="I985" s="525"/>
      <c r="J985" s="525"/>
      <c r="K985" s="525"/>
      <c r="L985" s="525"/>
      <c r="M985" s="242"/>
      <c r="N985" s="525"/>
      <c r="O985" s="525"/>
      <c r="P985" s="525"/>
      <c r="Q985" s="525"/>
      <c r="R985" s="242"/>
      <c r="S985" s="242"/>
      <c r="T985" s="242"/>
      <c r="U985" s="242"/>
      <c r="V985" s="242"/>
      <c r="W985" s="242"/>
      <c r="X985" s="242"/>
      <c r="Y985" s="242"/>
      <c r="Z985" s="242"/>
      <c r="AA985" s="242"/>
      <c r="AB985" s="242"/>
      <c r="AC985" s="242"/>
      <c r="AD985" s="242"/>
      <c r="AE985" s="242"/>
      <c r="AF985" s="242"/>
    </row>
    <row r="986">
      <c r="A986" s="242"/>
      <c r="B986" s="242"/>
      <c r="C986" s="242"/>
      <c r="D986" s="13"/>
      <c r="E986" s="525"/>
      <c r="F986" s="525"/>
      <c r="G986" s="525"/>
      <c r="H986" s="242"/>
      <c r="I986" s="525"/>
      <c r="J986" s="525"/>
      <c r="K986" s="525"/>
      <c r="L986" s="525"/>
      <c r="M986" s="242"/>
      <c r="N986" s="525"/>
      <c r="O986" s="525"/>
      <c r="P986" s="525"/>
      <c r="Q986" s="525"/>
      <c r="R986" s="242"/>
      <c r="S986" s="242"/>
      <c r="T986" s="242"/>
      <c r="U986" s="242"/>
      <c r="V986" s="242"/>
      <c r="W986" s="242"/>
      <c r="X986" s="242"/>
      <c r="Y986" s="242"/>
      <c r="Z986" s="242"/>
      <c r="AA986" s="242"/>
      <c r="AB986" s="242"/>
      <c r="AC986" s="242"/>
      <c r="AD986" s="242"/>
      <c r="AE986" s="242"/>
      <c r="AF986" s="242"/>
    </row>
    <row r="987">
      <c r="A987" s="242"/>
      <c r="B987" s="242"/>
      <c r="C987" s="242"/>
      <c r="D987" s="13"/>
      <c r="E987" s="525"/>
      <c r="F987" s="525"/>
      <c r="G987" s="525"/>
      <c r="H987" s="242"/>
      <c r="I987" s="525"/>
      <c r="J987" s="525"/>
      <c r="K987" s="525"/>
      <c r="L987" s="525"/>
      <c r="M987" s="242"/>
      <c r="N987" s="525"/>
      <c r="O987" s="525"/>
      <c r="P987" s="525"/>
      <c r="Q987" s="525"/>
      <c r="R987" s="242"/>
      <c r="S987" s="242"/>
      <c r="T987" s="242"/>
      <c r="U987" s="242"/>
      <c r="V987" s="242"/>
      <c r="W987" s="242"/>
      <c r="X987" s="242"/>
      <c r="Y987" s="242"/>
      <c r="Z987" s="242"/>
      <c r="AA987" s="242"/>
      <c r="AB987" s="242"/>
      <c r="AC987" s="242"/>
      <c r="AD987" s="242"/>
      <c r="AE987" s="242"/>
      <c r="AF987" s="242"/>
    </row>
    <row r="988">
      <c r="A988" s="242"/>
      <c r="B988" s="242"/>
      <c r="C988" s="242"/>
      <c r="D988" s="13"/>
      <c r="E988" s="525"/>
      <c r="F988" s="525"/>
      <c r="G988" s="525"/>
      <c r="H988" s="242"/>
      <c r="I988" s="525"/>
      <c r="J988" s="525"/>
      <c r="K988" s="525"/>
      <c r="L988" s="525"/>
      <c r="M988" s="242"/>
      <c r="N988" s="525"/>
      <c r="O988" s="525"/>
      <c r="P988" s="525"/>
      <c r="Q988" s="525"/>
      <c r="R988" s="242"/>
      <c r="S988" s="242"/>
      <c r="T988" s="242"/>
      <c r="U988" s="242"/>
      <c r="V988" s="242"/>
      <c r="W988" s="242"/>
      <c r="X988" s="242"/>
      <c r="Y988" s="242"/>
      <c r="Z988" s="242"/>
      <c r="AA988" s="242"/>
      <c r="AB988" s="242"/>
      <c r="AC988" s="242"/>
      <c r="AD988" s="242"/>
      <c r="AE988" s="242"/>
      <c r="AF988" s="242"/>
    </row>
    <row r="989">
      <c r="A989" s="242"/>
      <c r="B989" s="242"/>
      <c r="C989" s="242"/>
      <c r="D989" s="13"/>
      <c r="E989" s="525"/>
      <c r="F989" s="525"/>
      <c r="G989" s="525"/>
      <c r="H989" s="242"/>
      <c r="I989" s="525"/>
      <c r="J989" s="525"/>
      <c r="K989" s="525"/>
      <c r="L989" s="525"/>
      <c r="M989" s="242"/>
      <c r="N989" s="525"/>
      <c r="O989" s="525"/>
      <c r="P989" s="525"/>
      <c r="Q989" s="525"/>
      <c r="R989" s="242"/>
      <c r="S989" s="242"/>
      <c r="T989" s="242"/>
      <c r="U989" s="242"/>
      <c r="V989" s="242"/>
      <c r="W989" s="242"/>
      <c r="X989" s="242"/>
      <c r="Y989" s="242"/>
      <c r="Z989" s="242"/>
      <c r="AA989" s="242"/>
      <c r="AB989" s="242"/>
      <c r="AC989" s="242"/>
      <c r="AD989" s="242"/>
      <c r="AE989" s="242"/>
      <c r="AF989" s="242"/>
    </row>
    <row r="990">
      <c r="A990" s="242"/>
      <c r="B990" s="242"/>
      <c r="C990" s="242"/>
      <c r="D990" s="13"/>
      <c r="E990" s="525"/>
      <c r="F990" s="525"/>
      <c r="G990" s="525"/>
      <c r="H990" s="242"/>
      <c r="I990" s="525"/>
      <c r="J990" s="525"/>
      <c r="K990" s="525"/>
      <c r="L990" s="525"/>
      <c r="M990" s="242"/>
      <c r="N990" s="525"/>
      <c r="O990" s="525"/>
      <c r="P990" s="525"/>
      <c r="Q990" s="525"/>
      <c r="R990" s="242"/>
      <c r="S990" s="242"/>
      <c r="T990" s="242"/>
      <c r="U990" s="242"/>
      <c r="V990" s="242"/>
      <c r="W990" s="242"/>
      <c r="X990" s="242"/>
      <c r="Y990" s="242"/>
      <c r="Z990" s="242"/>
      <c r="AA990" s="242"/>
      <c r="AB990" s="242"/>
      <c r="AC990" s="242"/>
      <c r="AD990" s="242"/>
      <c r="AE990" s="242"/>
      <c r="AF990" s="242"/>
    </row>
    <row r="991">
      <c r="A991" s="242"/>
      <c r="B991" s="242"/>
      <c r="C991" s="242"/>
      <c r="D991" s="13"/>
      <c r="E991" s="525"/>
      <c r="F991" s="525"/>
      <c r="G991" s="525"/>
      <c r="H991" s="242"/>
      <c r="I991" s="525"/>
      <c r="J991" s="525"/>
      <c r="K991" s="525"/>
      <c r="L991" s="525"/>
      <c r="M991" s="242"/>
      <c r="N991" s="525"/>
      <c r="O991" s="525"/>
      <c r="P991" s="525"/>
      <c r="Q991" s="525"/>
      <c r="R991" s="242"/>
      <c r="S991" s="242"/>
      <c r="T991" s="242"/>
      <c r="U991" s="242"/>
      <c r="V991" s="242"/>
      <c r="W991" s="242"/>
      <c r="X991" s="242"/>
      <c r="Y991" s="242"/>
      <c r="Z991" s="242"/>
      <c r="AA991" s="242"/>
      <c r="AB991" s="242"/>
      <c r="AC991" s="242"/>
      <c r="AD991" s="242"/>
      <c r="AE991" s="242"/>
      <c r="AF991" s="242"/>
    </row>
    <row r="992">
      <c r="A992" s="242"/>
      <c r="B992" s="242"/>
      <c r="C992" s="242"/>
      <c r="D992" s="13"/>
      <c r="E992" s="525"/>
      <c r="F992" s="525"/>
      <c r="G992" s="525"/>
      <c r="H992" s="242"/>
      <c r="I992" s="525"/>
      <c r="J992" s="525"/>
      <c r="K992" s="525"/>
      <c r="L992" s="525"/>
      <c r="M992" s="242"/>
      <c r="N992" s="525"/>
      <c r="O992" s="525"/>
      <c r="P992" s="525"/>
      <c r="Q992" s="525"/>
      <c r="R992" s="242"/>
      <c r="S992" s="242"/>
      <c r="T992" s="242"/>
      <c r="U992" s="242"/>
      <c r="V992" s="242"/>
      <c r="W992" s="242"/>
      <c r="X992" s="242"/>
      <c r="Y992" s="242"/>
      <c r="Z992" s="242"/>
      <c r="AA992" s="242"/>
      <c r="AB992" s="242"/>
      <c r="AC992" s="242"/>
      <c r="AD992" s="242"/>
      <c r="AE992" s="242"/>
      <c r="AF992" s="242"/>
    </row>
    <row r="993">
      <c r="A993" s="242"/>
      <c r="B993" s="242"/>
      <c r="C993" s="242"/>
      <c r="D993" s="13"/>
      <c r="E993" s="525"/>
      <c r="F993" s="525"/>
      <c r="G993" s="525"/>
      <c r="H993" s="242"/>
      <c r="I993" s="525"/>
      <c r="J993" s="525"/>
      <c r="K993" s="525"/>
      <c r="L993" s="525"/>
      <c r="M993" s="242"/>
      <c r="N993" s="525"/>
      <c r="O993" s="525"/>
      <c r="P993" s="525"/>
      <c r="Q993" s="525"/>
      <c r="R993" s="242"/>
      <c r="S993" s="242"/>
      <c r="T993" s="242"/>
      <c r="U993" s="242"/>
      <c r="V993" s="242"/>
      <c r="W993" s="242"/>
      <c r="X993" s="242"/>
      <c r="Y993" s="242"/>
      <c r="Z993" s="242"/>
      <c r="AA993" s="242"/>
      <c r="AB993" s="242"/>
      <c r="AC993" s="242"/>
      <c r="AD993" s="242"/>
      <c r="AE993" s="242"/>
      <c r="AF993" s="242"/>
    </row>
    <row r="994">
      <c r="A994" s="242"/>
      <c r="B994" s="242"/>
      <c r="C994" s="242"/>
      <c r="D994" s="13"/>
      <c r="E994" s="525"/>
      <c r="F994" s="525"/>
      <c r="G994" s="525"/>
      <c r="H994" s="242"/>
      <c r="I994" s="525"/>
      <c r="J994" s="525"/>
      <c r="K994" s="525"/>
      <c r="L994" s="525"/>
      <c r="M994" s="242"/>
      <c r="N994" s="525"/>
      <c r="O994" s="525"/>
      <c r="P994" s="525"/>
      <c r="Q994" s="525"/>
      <c r="R994" s="242"/>
      <c r="S994" s="242"/>
      <c r="T994" s="242"/>
      <c r="U994" s="242"/>
      <c r="V994" s="242"/>
      <c r="W994" s="242"/>
      <c r="X994" s="242"/>
      <c r="Y994" s="242"/>
      <c r="Z994" s="242"/>
      <c r="AA994" s="242"/>
      <c r="AB994" s="242"/>
      <c r="AC994" s="242"/>
      <c r="AD994" s="242"/>
      <c r="AE994" s="242"/>
      <c r="AF994" s="242"/>
    </row>
    <row r="995">
      <c r="A995" s="242"/>
      <c r="B995" s="242"/>
      <c r="C995" s="242"/>
      <c r="D995" s="13"/>
      <c r="E995" s="525"/>
      <c r="F995" s="525"/>
      <c r="G995" s="525"/>
      <c r="H995" s="242"/>
      <c r="I995" s="525"/>
      <c r="J995" s="525"/>
      <c r="K995" s="525"/>
      <c r="L995" s="525"/>
      <c r="M995" s="242"/>
      <c r="N995" s="525"/>
      <c r="O995" s="525"/>
      <c r="P995" s="525"/>
      <c r="Q995" s="525"/>
      <c r="R995" s="242"/>
      <c r="S995" s="242"/>
      <c r="T995" s="242"/>
      <c r="U995" s="242"/>
      <c r="V995" s="242"/>
      <c r="W995" s="242"/>
      <c r="X995" s="242"/>
      <c r="Y995" s="242"/>
      <c r="Z995" s="242"/>
      <c r="AA995" s="242"/>
      <c r="AB995" s="242"/>
      <c r="AC995" s="242"/>
      <c r="AD995" s="242"/>
      <c r="AE995" s="242"/>
      <c r="AF995" s="242"/>
    </row>
    <row r="996">
      <c r="A996" s="242"/>
      <c r="B996" s="242"/>
      <c r="C996" s="242"/>
      <c r="D996" s="13"/>
      <c r="E996" s="525"/>
      <c r="F996" s="525"/>
      <c r="G996" s="525"/>
      <c r="H996" s="242"/>
      <c r="I996" s="525"/>
      <c r="J996" s="525"/>
      <c r="K996" s="525"/>
      <c r="L996" s="525"/>
      <c r="M996" s="242"/>
      <c r="N996" s="525"/>
      <c r="O996" s="525"/>
      <c r="P996" s="525"/>
      <c r="Q996" s="525"/>
      <c r="R996" s="242"/>
      <c r="S996" s="242"/>
      <c r="T996" s="242"/>
      <c r="U996" s="242"/>
      <c r="V996" s="242"/>
      <c r="W996" s="242"/>
      <c r="X996" s="242"/>
      <c r="Y996" s="242"/>
      <c r="Z996" s="242"/>
      <c r="AA996" s="242"/>
      <c r="AB996" s="242"/>
      <c r="AC996" s="242"/>
      <c r="AD996" s="242"/>
      <c r="AE996" s="242"/>
      <c r="AF996" s="242"/>
    </row>
    <row r="997">
      <c r="A997" s="242"/>
      <c r="B997" s="242"/>
      <c r="C997" s="242"/>
      <c r="D997" s="13"/>
      <c r="E997" s="525"/>
      <c r="F997" s="525"/>
      <c r="G997" s="525"/>
      <c r="H997" s="242"/>
      <c r="I997" s="525"/>
      <c r="J997" s="525"/>
      <c r="K997" s="525"/>
      <c r="L997" s="525"/>
      <c r="M997" s="242"/>
      <c r="N997" s="525"/>
      <c r="O997" s="525"/>
      <c r="P997" s="525"/>
      <c r="Q997" s="525"/>
      <c r="R997" s="242"/>
      <c r="S997" s="242"/>
      <c r="T997" s="242"/>
      <c r="U997" s="242"/>
      <c r="V997" s="242"/>
      <c r="W997" s="242"/>
      <c r="X997" s="242"/>
      <c r="Y997" s="242"/>
      <c r="Z997" s="242"/>
      <c r="AA997" s="242"/>
      <c r="AB997" s="242"/>
      <c r="AC997" s="242"/>
      <c r="AD997" s="242"/>
      <c r="AE997" s="242"/>
      <c r="AF997" s="242"/>
    </row>
    <row r="998">
      <c r="A998" s="242"/>
      <c r="B998" s="242"/>
      <c r="C998" s="242"/>
      <c r="D998" s="13"/>
      <c r="E998" s="525"/>
      <c r="F998" s="525"/>
      <c r="G998" s="525"/>
      <c r="H998" s="242"/>
      <c r="I998" s="525"/>
      <c r="J998" s="525"/>
      <c r="K998" s="525"/>
      <c r="L998" s="525"/>
      <c r="M998" s="242"/>
      <c r="N998" s="525"/>
      <c r="O998" s="525"/>
      <c r="P998" s="525"/>
      <c r="Q998" s="525"/>
      <c r="R998" s="242"/>
      <c r="S998" s="242"/>
      <c r="T998" s="242"/>
      <c r="U998" s="242"/>
      <c r="V998" s="242"/>
      <c r="W998" s="242"/>
      <c r="X998" s="242"/>
      <c r="Y998" s="242"/>
      <c r="Z998" s="242"/>
      <c r="AA998" s="242"/>
      <c r="AB998" s="242"/>
      <c r="AC998" s="242"/>
      <c r="AD998" s="242"/>
      <c r="AE998" s="242"/>
      <c r="AF998" s="242"/>
    </row>
    <row r="999">
      <c r="A999" s="242"/>
      <c r="B999" s="242"/>
      <c r="C999" s="242"/>
      <c r="D999" s="13"/>
      <c r="E999" s="525"/>
      <c r="F999" s="525"/>
      <c r="G999" s="525"/>
      <c r="H999" s="242"/>
      <c r="I999" s="525"/>
      <c r="J999" s="525"/>
      <c r="K999" s="525"/>
      <c r="L999" s="525"/>
      <c r="M999" s="242"/>
      <c r="N999" s="525"/>
      <c r="O999" s="525"/>
      <c r="P999" s="525"/>
      <c r="Q999" s="525"/>
      <c r="R999" s="242"/>
      <c r="S999" s="242"/>
      <c r="T999" s="242"/>
      <c r="U999" s="242"/>
      <c r="V999" s="242"/>
      <c r="W999" s="242"/>
      <c r="X999" s="242"/>
      <c r="Y999" s="242"/>
      <c r="Z999" s="242"/>
      <c r="AA999" s="242"/>
      <c r="AB999" s="242"/>
      <c r="AC999" s="242"/>
      <c r="AD999" s="242"/>
      <c r="AE999" s="242"/>
      <c r="AF999" s="242"/>
    </row>
    <row r="1000">
      <c r="A1000" s="242"/>
      <c r="B1000" s="242"/>
      <c r="C1000" s="242"/>
      <c r="D1000" s="13"/>
      <c r="E1000" s="525"/>
      <c r="F1000" s="525"/>
      <c r="G1000" s="525"/>
      <c r="H1000" s="242"/>
      <c r="I1000" s="525"/>
      <c r="J1000" s="525"/>
      <c r="K1000" s="525"/>
      <c r="L1000" s="525"/>
      <c r="M1000" s="242"/>
      <c r="N1000" s="525"/>
      <c r="O1000" s="525"/>
      <c r="P1000" s="525"/>
      <c r="Q1000" s="525"/>
      <c r="R1000" s="242"/>
      <c r="S1000" s="242"/>
      <c r="T1000" s="242"/>
      <c r="U1000" s="242"/>
      <c r="V1000" s="242"/>
      <c r="W1000" s="242"/>
      <c r="X1000" s="242"/>
      <c r="Y1000" s="242"/>
      <c r="Z1000" s="242"/>
      <c r="AA1000" s="242"/>
      <c r="AB1000" s="242"/>
      <c r="AC1000" s="242"/>
      <c r="AD1000" s="242"/>
      <c r="AE1000" s="242"/>
      <c r="AF1000" s="242"/>
    </row>
  </sheetData>
  <mergeCells count="6">
    <mergeCell ref="C2:F2"/>
    <mergeCell ref="H2:K2"/>
    <mergeCell ref="M2:Q2"/>
    <mergeCell ref="B4:Q4"/>
    <mergeCell ref="B17:Q17"/>
    <mergeCell ref="B30:Q30"/>
  </mergeCells>
  <printOptions horizontalCentered="1"/>
  <pageMargins bottom="0.75" footer="0.0" header="0.0" left="0.25" right="0.25" top="0.75"/>
  <pageSetup fitToHeight="0" paperSize="9" cellComments="atEnd" orientation="portrait"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8"/>
    <col customWidth="1" min="2" max="2" width="6.75"/>
    <col customWidth="1" min="3" max="3" width="26.25"/>
    <col customWidth="1" min="7" max="7" width="16.75"/>
    <col customWidth="1" min="8" max="9" width="10.13"/>
    <col customWidth="1" hidden="1" min="10" max="10" width="10.0"/>
    <col customWidth="1" min="11" max="11" width="17.75"/>
    <col customWidth="1" min="12" max="12" width="13.25"/>
    <col customWidth="1" min="13" max="13" width="11.0"/>
    <col customWidth="1" min="14" max="14" width="8.25"/>
    <col customWidth="1" min="15" max="15" width="13.38"/>
    <col customWidth="1" min="16" max="16" width="8.13"/>
    <col customWidth="1" min="19" max="19" width="12.38"/>
    <col customWidth="1" min="20" max="20" width="10.13"/>
    <col customWidth="1" min="21" max="21" width="10.5"/>
    <col customWidth="1" min="22" max="22" width="10.25"/>
  </cols>
  <sheetData>
    <row r="1">
      <c r="A1" s="605" t="s">
        <v>3516</v>
      </c>
      <c r="B1" s="242"/>
      <c r="C1" s="242"/>
      <c r="D1" s="242"/>
      <c r="E1" s="13"/>
      <c r="F1" s="242"/>
      <c r="G1" s="242"/>
      <c r="H1" s="13"/>
      <c r="I1" s="13"/>
      <c r="J1" s="242"/>
      <c r="K1" s="242"/>
      <c r="L1" s="13"/>
      <c r="M1" s="606" t="s">
        <v>3518</v>
      </c>
      <c r="N1" s="607">
        <v>0.1</v>
      </c>
      <c r="O1" s="242"/>
      <c r="P1" s="242"/>
      <c r="Q1" s="608" t="s">
        <v>3520</v>
      </c>
      <c r="R1" s="608" t="s">
        <v>3521</v>
      </c>
      <c r="S1" s="242"/>
      <c r="T1" s="443"/>
      <c r="U1" s="443"/>
      <c r="V1" s="242"/>
      <c r="W1" s="242"/>
      <c r="X1" s="242"/>
      <c r="Y1" s="242"/>
      <c r="Z1" s="242"/>
    </row>
    <row r="2">
      <c r="A2" s="609"/>
      <c r="B2" s="610" t="s">
        <v>2511</v>
      </c>
      <c r="C2" s="611" t="s">
        <v>2513</v>
      </c>
      <c r="D2" s="612" t="s">
        <v>24</v>
      </c>
      <c r="E2" s="612" t="s">
        <v>2646</v>
      </c>
      <c r="F2" s="613" t="s">
        <v>2514</v>
      </c>
      <c r="G2" s="614" t="s">
        <v>3526</v>
      </c>
      <c r="H2" s="615" t="s">
        <v>3527</v>
      </c>
      <c r="I2" s="612" t="s">
        <v>3528</v>
      </c>
      <c r="J2" s="612" t="s">
        <v>3529</v>
      </c>
      <c r="K2" s="616" t="s">
        <v>3530</v>
      </c>
      <c r="L2" s="13"/>
      <c r="M2" s="606" t="s">
        <v>1907</v>
      </c>
      <c r="N2" s="607">
        <v>0.05</v>
      </c>
      <c r="O2" s="617" t="s">
        <v>3532</v>
      </c>
      <c r="P2" s="515"/>
      <c r="Q2" s="3"/>
      <c r="R2" s="3"/>
      <c r="S2" s="242"/>
      <c r="T2" s="443"/>
      <c r="U2" s="443"/>
      <c r="V2" s="242"/>
      <c r="W2" s="242"/>
      <c r="X2" s="242"/>
      <c r="Y2" s="242"/>
      <c r="Z2" s="242"/>
    </row>
    <row r="3">
      <c r="A3" s="618"/>
      <c r="B3" s="425" t="s">
        <v>3533</v>
      </c>
      <c r="C3" s="45"/>
      <c r="D3" s="45"/>
      <c r="E3" s="45"/>
      <c r="F3" s="45"/>
      <c r="G3" s="46"/>
      <c r="H3" s="513"/>
      <c r="I3" s="513"/>
      <c r="J3" s="299"/>
      <c r="K3" s="299"/>
      <c r="L3" s="13"/>
      <c r="M3" s="476"/>
      <c r="N3" s="476"/>
      <c r="O3" s="617" t="s">
        <v>3535</v>
      </c>
      <c r="P3" s="242"/>
      <c r="Q3" s="13"/>
      <c r="R3" s="13"/>
      <c r="S3" s="619"/>
      <c r="T3" s="620"/>
      <c r="U3" s="620"/>
      <c r="V3" s="619"/>
      <c r="W3" s="242"/>
      <c r="X3" s="242"/>
      <c r="Y3" s="242"/>
      <c r="Z3" s="242"/>
    </row>
    <row r="4">
      <c r="A4" s="621"/>
      <c r="B4" s="622">
        <v>1.0</v>
      </c>
      <c r="C4" s="623" t="s">
        <v>1981</v>
      </c>
      <c r="D4" s="624" t="s">
        <v>341</v>
      </c>
      <c r="E4" s="625" t="s">
        <v>43</v>
      </c>
      <c r="F4" s="626" t="s">
        <v>3426</v>
      </c>
      <c r="G4" s="627">
        <v>12.7</v>
      </c>
      <c r="H4" s="216"/>
      <c r="I4" s="216">
        <v>13.0</v>
      </c>
      <c r="J4" s="628"/>
      <c r="K4" s="629" t="s">
        <v>3541</v>
      </c>
      <c r="L4" s="630"/>
      <c r="M4" s="606">
        <v>12.1</v>
      </c>
      <c r="N4" s="606">
        <f t="shared" ref="N4:N27" si="1">IFERROR(M4*$N$2,"")+M4</f>
        <v>12.705</v>
      </c>
      <c r="O4" s="617">
        <v>10.2</v>
      </c>
      <c r="P4" s="631">
        <f t="shared" ref="P4:P15" si="2">IFERROR((G4*7%)+G4,"")</f>
        <v>13.589</v>
      </c>
      <c r="Q4" s="632"/>
      <c r="R4" s="3"/>
      <c r="S4" s="633"/>
      <c r="T4" s="634"/>
      <c r="U4" s="635"/>
      <c r="V4" s="636"/>
      <c r="W4" s="242"/>
      <c r="X4" s="242"/>
      <c r="Y4" s="242"/>
      <c r="Z4" s="242"/>
    </row>
    <row r="5">
      <c r="A5" s="621"/>
      <c r="B5" s="622">
        <f t="shared" ref="B5:B26" si="3">B4+1</f>
        <v>2</v>
      </c>
      <c r="C5" s="176"/>
      <c r="D5" s="624" t="s">
        <v>346</v>
      </c>
      <c r="E5" s="625" t="s">
        <v>51</v>
      </c>
      <c r="F5" s="626" t="s">
        <v>3428</v>
      </c>
      <c r="G5" s="627">
        <v>16.6</v>
      </c>
      <c r="H5" s="637"/>
      <c r="I5" s="216">
        <v>21.0</v>
      </c>
      <c r="J5" s="628"/>
      <c r="K5" s="629" t="s">
        <v>3541</v>
      </c>
      <c r="L5" s="630"/>
      <c r="M5" s="606">
        <v>15.85</v>
      </c>
      <c r="N5" s="606">
        <f t="shared" si="1"/>
        <v>16.6425</v>
      </c>
      <c r="O5" s="617">
        <v>14.25</v>
      </c>
      <c r="P5" s="631">
        <f t="shared" si="2"/>
        <v>17.762</v>
      </c>
      <c r="Q5" s="632"/>
      <c r="R5" s="13"/>
      <c r="S5" s="633"/>
      <c r="T5" s="634"/>
      <c r="U5" s="635"/>
      <c r="V5" s="636"/>
      <c r="W5" s="242"/>
      <c r="X5" s="242"/>
      <c r="Y5" s="242"/>
      <c r="Z5" s="242"/>
    </row>
    <row r="6">
      <c r="A6" s="621"/>
      <c r="B6" s="622">
        <f t="shared" si="3"/>
        <v>3</v>
      </c>
      <c r="C6" s="176"/>
      <c r="D6" s="624" t="s">
        <v>356</v>
      </c>
      <c r="E6" s="625" t="s">
        <v>84</v>
      </c>
      <c r="F6" s="626" t="s">
        <v>3429</v>
      </c>
      <c r="G6" s="627">
        <v>30.3</v>
      </c>
      <c r="H6" s="637"/>
      <c r="I6" s="216">
        <v>31.0</v>
      </c>
      <c r="J6" s="628"/>
      <c r="K6" s="629" t="s">
        <v>3541</v>
      </c>
      <c r="L6" s="630"/>
      <c r="M6" s="606">
        <v>28.85</v>
      </c>
      <c r="N6" s="606">
        <f t="shared" si="1"/>
        <v>30.2925</v>
      </c>
      <c r="O6" s="617">
        <v>26.4</v>
      </c>
      <c r="P6" s="631">
        <f t="shared" si="2"/>
        <v>32.421</v>
      </c>
      <c r="Q6" s="632"/>
      <c r="R6" s="13"/>
      <c r="S6" s="633"/>
      <c r="T6" s="634"/>
      <c r="U6" s="635"/>
      <c r="V6" s="636"/>
      <c r="W6" s="242"/>
      <c r="X6" s="242"/>
      <c r="Y6" s="242"/>
      <c r="Z6" s="242"/>
    </row>
    <row r="7">
      <c r="A7" s="621"/>
      <c r="B7" s="622">
        <f t="shared" si="3"/>
        <v>4</v>
      </c>
      <c r="C7" s="176"/>
      <c r="D7" s="625" t="s">
        <v>3549</v>
      </c>
      <c r="E7" s="625" t="s">
        <v>55</v>
      </c>
      <c r="F7" s="626" t="s">
        <v>3430</v>
      </c>
      <c r="G7" s="627">
        <v>43.9</v>
      </c>
      <c r="H7" s="638"/>
      <c r="I7" s="639"/>
      <c r="J7" s="628"/>
      <c r="K7" s="629" t="s">
        <v>3551</v>
      </c>
      <c r="L7" s="630"/>
      <c r="M7" s="606">
        <v>41.9</v>
      </c>
      <c r="N7" s="606">
        <f t="shared" si="1"/>
        <v>43.995</v>
      </c>
      <c r="O7" s="617">
        <v>42.2</v>
      </c>
      <c r="P7" s="631">
        <f t="shared" si="2"/>
        <v>46.973</v>
      </c>
      <c r="Q7" s="632"/>
      <c r="R7" s="13"/>
      <c r="S7" s="242"/>
      <c r="T7" s="443"/>
      <c r="U7" s="4"/>
      <c r="V7" s="242"/>
      <c r="W7" s="242"/>
      <c r="X7" s="242"/>
      <c r="Y7" s="242"/>
      <c r="Z7" s="242"/>
    </row>
    <row r="8">
      <c r="A8" s="621"/>
      <c r="B8" s="622">
        <f t="shared" si="3"/>
        <v>5</v>
      </c>
      <c r="C8" s="176"/>
      <c r="D8" s="625" t="s">
        <v>3552</v>
      </c>
      <c r="E8" s="625" t="s">
        <v>56</v>
      </c>
      <c r="F8" s="626" t="s">
        <v>3431</v>
      </c>
      <c r="G8" s="627">
        <v>69.4</v>
      </c>
      <c r="H8" s="638"/>
      <c r="I8" s="622"/>
      <c r="J8" s="628"/>
      <c r="K8" s="629" t="s">
        <v>3551</v>
      </c>
      <c r="L8" s="630"/>
      <c r="M8" s="606">
        <v>67.0</v>
      </c>
      <c r="N8" s="606">
        <f t="shared" si="1"/>
        <v>70.35</v>
      </c>
      <c r="O8" s="617">
        <v>77.4</v>
      </c>
      <c r="P8" s="631">
        <f t="shared" si="2"/>
        <v>74.258</v>
      </c>
      <c r="Q8" s="632"/>
      <c r="R8" s="13"/>
      <c r="S8" s="242"/>
      <c r="T8" s="443"/>
      <c r="U8" s="443"/>
      <c r="V8" s="242"/>
      <c r="W8" s="242"/>
      <c r="X8" s="242"/>
      <c r="Y8" s="242"/>
      <c r="Z8" s="242"/>
    </row>
    <row r="9">
      <c r="A9" s="621"/>
      <c r="B9" s="622">
        <f t="shared" si="3"/>
        <v>6</v>
      </c>
      <c r="C9" s="176"/>
      <c r="D9" s="625" t="s">
        <v>3554</v>
      </c>
      <c r="E9" s="625" t="s">
        <v>107</v>
      </c>
      <c r="F9" s="626" t="s">
        <v>3432</v>
      </c>
      <c r="G9" s="627">
        <v>132.3</v>
      </c>
      <c r="H9" s="638"/>
      <c r="I9" s="622"/>
      <c r="J9" s="628"/>
      <c r="K9" s="629" t="s">
        <v>3551</v>
      </c>
      <c r="L9" s="630"/>
      <c r="M9" s="606">
        <v>126.0</v>
      </c>
      <c r="N9" s="606">
        <f t="shared" si="1"/>
        <v>132.3</v>
      </c>
      <c r="O9" s="617">
        <v>135.9</v>
      </c>
      <c r="P9" s="631">
        <f t="shared" si="2"/>
        <v>141.561</v>
      </c>
      <c r="Q9" s="632"/>
      <c r="R9" s="3"/>
      <c r="S9" s="242"/>
      <c r="T9" s="443"/>
      <c r="U9" s="443"/>
      <c r="V9" s="242"/>
      <c r="W9" s="242"/>
      <c r="X9" s="242"/>
      <c r="Y9" s="242"/>
      <c r="Z9" s="242"/>
    </row>
    <row r="10">
      <c r="A10" s="621"/>
      <c r="B10" s="622">
        <f t="shared" si="3"/>
        <v>7</v>
      </c>
      <c r="C10" s="176"/>
      <c r="D10" s="625" t="s">
        <v>3556</v>
      </c>
      <c r="E10" s="625" t="s">
        <v>69</v>
      </c>
      <c r="F10" s="626" t="s">
        <v>3433</v>
      </c>
      <c r="G10" s="640">
        <v>278.0</v>
      </c>
      <c r="H10" s="622"/>
      <c r="I10" s="622"/>
      <c r="J10" s="628"/>
      <c r="K10" s="629" t="s">
        <v>3557</v>
      </c>
      <c r="L10" s="630"/>
      <c r="M10" s="606">
        <v>267.0</v>
      </c>
      <c r="N10" s="606">
        <f t="shared" si="1"/>
        <v>280.35</v>
      </c>
      <c r="O10" s="617">
        <v>265.8</v>
      </c>
      <c r="P10" s="631">
        <f t="shared" si="2"/>
        <v>297.46</v>
      </c>
      <c r="Q10" s="632"/>
      <c r="R10" s="13"/>
      <c r="S10" s="242"/>
      <c r="T10" s="443"/>
      <c r="U10" s="443"/>
      <c r="V10" s="242"/>
      <c r="W10" s="242"/>
      <c r="X10" s="242"/>
      <c r="Y10" s="242"/>
      <c r="Z10" s="242"/>
    </row>
    <row r="11">
      <c r="A11" s="621"/>
      <c r="B11" s="622">
        <f t="shared" si="3"/>
        <v>8</v>
      </c>
      <c r="C11" s="176"/>
      <c r="D11" s="625" t="s">
        <v>3559</v>
      </c>
      <c r="E11" s="625" t="s">
        <v>3560</v>
      </c>
      <c r="F11" s="626" t="s">
        <v>3434</v>
      </c>
      <c r="G11" s="627">
        <v>417.9</v>
      </c>
      <c r="H11" s="638"/>
      <c r="I11" s="622"/>
      <c r="J11" s="628"/>
      <c r="K11" s="629" t="s">
        <v>3557</v>
      </c>
      <c r="L11" s="630"/>
      <c r="M11" s="606">
        <v>398.0</v>
      </c>
      <c r="N11" s="606">
        <f t="shared" si="1"/>
        <v>417.9</v>
      </c>
      <c r="O11" s="617">
        <v>331.8</v>
      </c>
      <c r="P11" s="631">
        <f t="shared" si="2"/>
        <v>447.153</v>
      </c>
      <c r="Q11" s="632"/>
      <c r="R11" s="13"/>
      <c r="S11" s="242"/>
      <c r="T11" s="443"/>
      <c r="U11" s="443"/>
      <c r="V11" s="242"/>
      <c r="W11" s="242"/>
      <c r="X11" s="242"/>
      <c r="Y11" s="242"/>
      <c r="Z11" s="242"/>
    </row>
    <row r="12">
      <c r="A12" s="621"/>
      <c r="B12" s="622">
        <f t="shared" si="3"/>
        <v>9</v>
      </c>
      <c r="C12" s="41"/>
      <c r="D12" s="625" t="s">
        <v>3561</v>
      </c>
      <c r="E12" s="625" t="s">
        <v>3562</v>
      </c>
      <c r="F12" s="626" t="s">
        <v>3435</v>
      </c>
      <c r="G12" s="640">
        <v>876.0</v>
      </c>
      <c r="H12" s="622"/>
      <c r="I12" s="622"/>
      <c r="J12" s="628"/>
      <c r="K12" s="629" t="s">
        <v>3557</v>
      </c>
      <c r="L12" s="630"/>
      <c r="M12" s="606">
        <v>838.0</v>
      </c>
      <c r="N12" s="606">
        <f t="shared" si="1"/>
        <v>879.9</v>
      </c>
      <c r="O12" s="617">
        <v>569.6</v>
      </c>
      <c r="P12" s="631">
        <f t="shared" si="2"/>
        <v>937.32</v>
      </c>
      <c r="Q12" s="632"/>
      <c r="R12" s="13"/>
      <c r="S12" s="242"/>
      <c r="T12" s="443"/>
      <c r="U12" s="443"/>
      <c r="V12" s="242"/>
      <c r="W12" s="242"/>
      <c r="X12" s="242"/>
      <c r="Y12" s="242"/>
      <c r="Z12" s="242"/>
    </row>
    <row r="13">
      <c r="A13" s="621"/>
      <c r="B13" s="622">
        <f t="shared" si="3"/>
        <v>10</v>
      </c>
      <c r="C13" s="641" t="s">
        <v>297</v>
      </c>
      <c r="D13" s="624" t="s">
        <v>155</v>
      </c>
      <c r="E13" s="625" t="s">
        <v>144</v>
      </c>
      <c r="F13" s="626" t="s">
        <v>3436</v>
      </c>
      <c r="G13" s="627">
        <v>14.7</v>
      </c>
      <c r="H13" s="638"/>
      <c r="I13" s="216">
        <v>16.0</v>
      </c>
      <c r="J13" s="628"/>
      <c r="K13" s="629" t="s">
        <v>3541</v>
      </c>
      <c r="L13" s="630"/>
      <c r="M13" s="606">
        <v>14.0</v>
      </c>
      <c r="N13" s="606">
        <f t="shared" si="1"/>
        <v>14.7</v>
      </c>
      <c r="O13" s="631"/>
      <c r="P13" s="631">
        <f t="shared" si="2"/>
        <v>15.729</v>
      </c>
      <c r="Q13" s="632"/>
      <c r="R13" s="13"/>
      <c r="S13" s="242"/>
      <c r="T13" s="443"/>
      <c r="U13" s="443"/>
      <c r="V13" s="242"/>
      <c r="W13" s="242"/>
      <c r="X13" s="242"/>
      <c r="Y13" s="242"/>
      <c r="Z13" s="242"/>
    </row>
    <row r="14">
      <c r="A14" s="621"/>
      <c r="B14" s="622">
        <f t="shared" si="3"/>
        <v>11</v>
      </c>
      <c r="C14" s="176"/>
      <c r="D14" s="624" t="s">
        <v>304</v>
      </c>
      <c r="E14" s="625" t="s">
        <v>352</v>
      </c>
      <c r="F14" s="626" t="s">
        <v>3438</v>
      </c>
      <c r="G14" s="627">
        <v>23.5</v>
      </c>
      <c r="H14" s="638"/>
      <c r="I14" s="216">
        <v>25.0</v>
      </c>
      <c r="J14" s="628"/>
      <c r="K14" s="629" t="s">
        <v>3541</v>
      </c>
      <c r="L14" s="630"/>
      <c r="M14" s="606">
        <v>22.35</v>
      </c>
      <c r="N14" s="606">
        <f t="shared" si="1"/>
        <v>23.4675</v>
      </c>
      <c r="O14" s="631"/>
      <c r="P14" s="631">
        <f t="shared" si="2"/>
        <v>25.145</v>
      </c>
      <c r="Q14" s="632"/>
      <c r="R14" s="13"/>
      <c r="S14" s="242"/>
      <c r="T14" s="443"/>
      <c r="U14" s="443"/>
      <c r="V14" s="242"/>
      <c r="W14" s="242"/>
      <c r="X14" s="242"/>
      <c r="Y14" s="242"/>
      <c r="Z14" s="242"/>
    </row>
    <row r="15">
      <c r="A15" s="621"/>
      <c r="B15" s="622">
        <f t="shared" si="3"/>
        <v>12</v>
      </c>
      <c r="C15" s="176"/>
      <c r="D15" s="624" t="s">
        <v>307</v>
      </c>
      <c r="E15" s="625" t="s">
        <v>153</v>
      </c>
      <c r="F15" s="626" t="s">
        <v>3439</v>
      </c>
      <c r="G15" s="627">
        <v>31.3</v>
      </c>
      <c r="H15" s="638"/>
      <c r="I15" s="622"/>
      <c r="J15" s="628"/>
      <c r="K15" s="629" t="s">
        <v>3541</v>
      </c>
      <c r="L15" s="630"/>
      <c r="M15" s="606">
        <v>29.8</v>
      </c>
      <c r="N15" s="606">
        <f t="shared" si="1"/>
        <v>31.29</v>
      </c>
      <c r="O15" s="631"/>
      <c r="P15" s="631">
        <f t="shared" si="2"/>
        <v>33.491</v>
      </c>
      <c r="Q15" s="632"/>
      <c r="R15" s="13"/>
      <c r="S15" s="242"/>
      <c r="T15" s="443"/>
      <c r="U15" s="443"/>
      <c r="V15" s="242"/>
      <c r="W15" s="242"/>
      <c r="X15" s="242"/>
      <c r="Y15" s="242"/>
      <c r="Z15" s="242"/>
    </row>
    <row r="16">
      <c r="A16" s="621"/>
      <c r="B16" s="622">
        <f t="shared" si="3"/>
        <v>13</v>
      </c>
      <c r="C16" s="176"/>
      <c r="D16" s="625" t="s">
        <v>311</v>
      </c>
      <c r="E16" s="625" t="s">
        <v>401</v>
      </c>
      <c r="F16" s="626" t="s">
        <v>3440</v>
      </c>
      <c r="G16" s="640">
        <v>36.8</v>
      </c>
      <c r="H16" s="622"/>
      <c r="I16" s="216">
        <v>31.0</v>
      </c>
      <c r="J16" s="628"/>
      <c r="K16" s="629" t="s">
        <v>3541</v>
      </c>
      <c r="L16" s="630" t="s">
        <v>722</v>
      </c>
      <c r="M16" s="606">
        <v>35.4</v>
      </c>
      <c r="N16" s="606">
        <f t="shared" si="1"/>
        <v>37.17</v>
      </c>
      <c r="O16" s="631"/>
      <c r="P16" s="631"/>
      <c r="Q16" s="632"/>
      <c r="R16" s="13"/>
      <c r="S16" s="242"/>
      <c r="T16" s="443"/>
      <c r="U16" s="443"/>
      <c r="V16" s="242"/>
      <c r="W16" s="242"/>
      <c r="X16" s="242"/>
      <c r="Y16" s="242"/>
      <c r="Z16" s="242"/>
    </row>
    <row r="17">
      <c r="A17" s="621"/>
      <c r="B17" s="622">
        <f t="shared" si="3"/>
        <v>14</v>
      </c>
      <c r="C17" s="176"/>
      <c r="D17" s="625" t="s">
        <v>314</v>
      </c>
      <c r="E17" s="625" t="s">
        <v>303</v>
      </c>
      <c r="F17" s="626" t="s">
        <v>3441</v>
      </c>
      <c r="G17" s="640">
        <v>37.8</v>
      </c>
      <c r="H17" s="622"/>
      <c r="I17" s="622"/>
      <c r="J17" s="628"/>
      <c r="K17" s="629" t="s">
        <v>3541</v>
      </c>
      <c r="L17" s="630" t="s">
        <v>722</v>
      </c>
      <c r="M17" s="606">
        <v>36.3</v>
      </c>
      <c r="N17" s="606">
        <f t="shared" si="1"/>
        <v>38.115</v>
      </c>
      <c r="O17" s="631"/>
      <c r="P17" s="631"/>
      <c r="Q17" s="632"/>
      <c r="R17" s="13"/>
      <c r="S17" s="242"/>
      <c r="T17" s="443"/>
      <c r="U17" s="443"/>
      <c r="V17" s="242"/>
      <c r="W17" s="242"/>
      <c r="X17" s="242"/>
      <c r="Y17" s="242"/>
      <c r="Z17" s="242"/>
    </row>
    <row r="18">
      <c r="A18" s="621"/>
      <c r="B18" s="622">
        <f t="shared" si="3"/>
        <v>15</v>
      </c>
      <c r="C18" s="176"/>
      <c r="D18" s="625" t="s">
        <v>318</v>
      </c>
      <c r="E18" s="625" t="s">
        <v>306</v>
      </c>
      <c r="F18" s="626" t="s">
        <v>3442</v>
      </c>
      <c r="G18" s="627">
        <v>39.8</v>
      </c>
      <c r="H18" s="638"/>
      <c r="I18" s="622"/>
      <c r="J18" s="628"/>
      <c r="K18" s="629" t="s">
        <v>3541</v>
      </c>
      <c r="L18" s="630"/>
      <c r="M18" s="606">
        <v>38.2</v>
      </c>
      <c r="N18" s="606">
        <f t="shared" si="1"/>
        <v>40.11</v>
      </c>
      <c r="O18" s="631"/>
      <c r="P18" s="631">
        <f>IFERROR((G18*7%)+G18,"")</f>
        <v>42.586</v>
      </c>
      <c r="Q18" s="632"/>
      <c r="R18" s="13"/>
      <c r="S18" s="242"/>
      <c r="T18" s="443"/>
      <c r="U18" s="443"/>
      <c r="V18" s="242"/>
      <c r="W18" s="242"/>
      <c r="X18" s="242"/>
      <c r="Y18" s="242"/>
      <c r="Z18" s="242"/>
    </row>
    <row r="19">
      <c r="A19" s="621"/>
      <c r="B19" s="622">
        <f t="shared" si="3"/>
        <v>16</v>
      </c>
      <c r="C19" s="176"/>
      <c r="D19" s="625" t="s">
        <v>321</v>
      </c>
      <c r="E19" s="625" t="s">
        <v>414</v>
      </c>
      <c r="F19" s="626" t="s">
        <v>3443</v>
      </c>
      <c r="G19" s="640">
        <v>61.4</v>
      </c>
      <c r="H19" s="622"/>
      <c r="I19" s="622"/>
      <c r="J19" s="628"/>
      <c r="K19" s="629" t="s">
        <v>2124</v>
      </c>
      <c r="L19" s="630" t="s">
        <v>722</v>
      </c>
      <c r="M19" s="606">
        <v>58.65</v>
      </c>
      <c r="N19" s="606">
        <f t="shared" si="1"/>
        <v>61.5825</v>
      </c>
      <c r="O19" s="631"/>
      <c r="P19" s="631"/>
      <c r="Q19" s="632"/>
      <c r="R19" s="13"/>
      <c r="S19" s="242"/>
      <c r="T19" s="443"/>
      <c r="U19" s="443"/>
      <c r="V19" s="242"/>
      <c r="W19" s="242"/>
      <c r="X19" s="242"/>
      <c r="Y19" s="242"/>
      <c r="Z19" s="242"/>
    </row>
    <row r="20">
      <c r="A20" s="621"/>
      <c r="B20" s="622">
        <f t="shared" si="3"/>
        <v>17</v>
      </c>
      <c r="C20" s="176"/>
      <c r="D20" s="625" t="s">
        <v>325</v>
      </c>
      <c r="E20" s="625" t="s">
        <v>310</v>
      </c>
      <c r="F20" s="626" t="s">
        <v>3444</v>
      </c>
      <c r="G20" s="640">
        <v>64.4</v>
      </c>
      <c r="H20" s="622"/>
      <c r="I20" s="622"/>
      <c r="J20" s="628"/>
      <c r="K20" s="629" t="s">
        <v>2124</v>
      </c>
      <c r="L20" s="630" t="s">
        <v>722</v>
      </c>
      <c r="M20" s="606">
        <v>62.35</v>
      </c>
      <c r="N20" s="606">
        <f t="shared" si="1"/>
        <v>65.4675</v>
      </c>
      <c r="O20" s="631"/>
      <c r="P20" s="631"/>
      <c r="Q20" s="632"/>
      <c r="R20" s="13"/>
      <c r="S20" s="242"/>
      <c r="T20" s="443"/>
      <c r="U20" s="443"/>
      <c r="V20" s="242"/>
      <c r="W20" s="242"/>
      <c r="X20" s="242"/>
      <c r="Y20" s="242"/>
      <c r="Z20" s="242"/>
    </row>
    <row r="21">
      <c r="A21" s="621"/>
      <c r="B21" s="622">
        <f t="shared" si="3"/>
        <v>18</v>
      </c>
      <c r="C21" s="176"/>
      <c r="D21" s="625" t="s">
        <v>328</v>
      </c>
      <c r="E21" s="625" t="s">
        <v>313</v>
      </c>
      <c r="F21" s="626" t="s">
        <v>3447</v>
      </c>
      <c r="G21" s="640">
        <v>66.4</v>
      </c>
      <c r="H21" s="622"/>
      <c r="I21" s="622"/>
      <c r="J21" s="628"/>
      <c r="K21" s="629" t="s">
        <v>2124</v>
      </c>
      <c r="L21" s="630" t="s">
        <v>722</v>
      </c>
      <c r="M21" s="606">
        <v>63.3</v>
      </c>
      <c r="N21" s="606">
        <f t="shared" si="1"/>
        <v>66.465</v>
      </c>
      <c r="O21" s="631"/>
      <c r="P21" s="631"/>
      <c r="Q21" s="632"/>
      <c r="R21" s="13"/>
      <c r="S21" s="242"/>
      <c r="T21" s="443"/>
      <c r="U21" s="443"/>
      <c r="V21" s="242"/>
      <c r="W21" s="242"/>
      <c r="X21" s="242"/>
      <c r="Y21" s="242"/>
      <c r="Z21" s="242"/>
    </row>
    <row r="22">
      <c r="A22" s="621"/>
      <c r="B22" s="622">
        <f t="shared" si="3"/>
        <v>19</v>
      </c>
      <c r="C22" s="176"/>
      <c r="D22" s="625" t="s">
        <v>332</v>
      </c>
      <c r="E22" s="625" t="s">
        <v>317</v>
      </c>
      <c r="F22" s="626" t="s">
        <v>3449</v>
      </c>
      <c r="G22" s="627">
        <v>69.8</v>
      </c>
      <c r="H22" s="638"/>
      <c r="I22" s="622"/>
      <c r="J22" s="628"/>
      <c r="K22" s="629" t="s">
        <v>2124</v>
      </c>
      <c r="L22" s="630"/>
      <c r="M22" s="606">
        <v>67.0</v>
      </c>
      <c r="N22" s="606">
        <f t="shared" si="1"/>
        <v>70.35</v>
      </c>
      <c r="O22" s="631"/>
      <c r="P22" s="631">
        <f>IFERROR((G22*7%)+G22,"")</f>
        <v>74.686</v>
      </c>
      <c r="Q22" s="632"/>
      <c r="R22" s="13"/>
      <c r="S22" s="242"/>
      <c r="T22" s="443"/>
      <c r="U22" s="443"/>
      <c r="V22" s="242"/>
      <c r="W22" s="242"/>
      <c r="X22" s="242"/>
      <c r="Y22" s="242"/>
      <c r="Z22" s="242"/>
    </row>
    <row r="23">
      <c r="A23" s="621"/>
      <c r="B23" s="622">
        <f t="shared" si="3"/>
        <v>20</v>
      </c>
      <c r="C23" s="176"/>
      <c r="D23" s="625" t="s">
        <v>3575</v>
      </c>
      <c r="E23" s="625" t="s">
        <v>320</v>
      </c>
      <c r="F23" s="626" t="s">
        <v>3451</v>
      </c>
      <c r="G23" s="640">
        <v>113.4</v>
      </c>
      <c r="H23" s="622"/>
      <c r="I23" s="622"/>
      <c r="J23" s="628"/>
      <c r="K23" s="629" t="s">
        <v>2124</v>
      </c>
      <c r="L23" s="630" t="s">
        <v>722</v>
      </c>
      <c r="M23" s="606">
        <v>108.0</v>
      </c>
      <c r="N23" s="606">
        <f t="shared" si="1"/>
        <v>113.4</v>
      </c>
      <c r="O23" s="631"/>
      <c r="P23" s="631"/>
      <c r="Q23" s="632"/>
      <c r="R23" s="13"/>
      <c r="S23" s="242"/>
      <c r="T23" s="443"/>
      <c r="U23" s="443"/>
      <c r="V23" s="242"/>
      <c r="W23" s="242"/>
      <c r="X23" s="242"/>
      <c r="Y23" s="242"/>
      <c r="Z23" s="242"/>
    </row>
    <row r="24">
      <c r="A24" s="621"/>
      <c r="B24" s="622">
        <f t="shared" si="3"/>
        <v>21</v>
      </c>
      <c r="C24" s="176"/>
      <c r="D24" s="625" t="s">
        <v>3578</v>
      </c>
      <c r="E24" s="625" t="s">
        <v>324</v>
      </c>
      <c r="F24" s="626" t="s">
        <v>3454</v>
      </c>
      <c r="G24" s="640">
        <v>121.8</v>
      </c>
      <c r="H24" s="622"/>
      <c r="I24" s="622"/>
      <c r="J24" s="628"/>
      <c r="K24" s="629" t="s">
        <v>2124</v>
      </c>
      <c r="L24" s="630" t="s">
        <v>722</v>
      </c>
      <c r="M24" s="606">
        <v>116.0</v>
      </c>
      <c r="N24" s="606">
        <f t="shared" si="1"/>
        <v>121.8</v>
      </c>
      <c r="O24" s="631"/>
      <c r="P24" s="631"/>
      <c r="Q24" s="632"/>
      <c r="R24" s="13"/>
      <c r="S24" s="242"/>
      <c r="T24" s="443"/>
      <c r="U24" s="443"/>
      <c r="V24" s="242"/>
      <c r="W24" s="242"/>
      <c r="X24" s="242"/>
      <c r="Y24" s="242"/>
      <c r="Z24" s="242"/>
    </row>
    <row r="25">
      <c r="A25" s="621"/>
      <c r="B25" s="622">
        <f t="shared" si="3"/>
        <v>22</v>
      </c>
      <c r="C25" s="176"/>
      <c r="D25" s="625" t="s">
        <v>3580</v>
      </c>
      <c r="E25" s="625" t="s">
        <v>327</v>
      </c>
      <c r="F25" s="626" t="s">
        <v>3455</v>
      </c>
      <c r="G25" s="640">
        <v>140.4</v>
      </c>
      <c r="H25" s="622"/>
      <c r="I25" s="622"/>
      <c r="J25" s="628"/>
      <c r="K25" s="629" t="s">
        <v>2124</v>
      </c>
      <c r="L25" s="630" t="s">
        <v>722</v>
      </c>
      <c r="M25" s="606">
        <v>134.0</v>
      </c>
      <c r="N25" s="606">
        <f t="shared" si="1"/>
        <v>140.7</v>
      </c>
      <c r="O25" s="631"/>
      <c r="P25" s="631"/>
      <c r="Q25" s="632"/>
      <c r="R25" s="13"/>
      <c r="S25" s="242"/>
      <c r="T25" s="443"/>
      <c r="U25" s="443"/>
      <c r="V25" s="242"/>
      <c r="W25" s="242"/>
      <c r="X25" s="242"/>
      <c r="Y25" s="242"/>
      <c r="Z25" s="242"/>
    </row>
    <row r="26">
      <c r="A26" s="621"/>
      <c r="B26" s="622">
        <f t="shared" si="3"/>
        <v>23</v>
      </c>
      <c r="C26" s="176"/>
      <c r="D26" s="625" t="s">
        <v>3583</v>
      </c>
      <c r="E26" s="625" t="s">
        <v>331</v>
      </c>
      <c r="F26" s="626" t="s">
        <v>3456</v>
      </c>
      <c r="G26" s="627">
        <v>139.7</v>
      </c>
      <c r="H26" s="638"/>
      <c r="I26" s="622"/>
      <c r="J26" s="628"/>
      <c r="K26" s="629" t="s">
        <v>2124</v>
      </c>
      <c r="L26" s="630"/>
      <c r="M26" s="606">
        <v>134.0</v>
      </c>
      <c r="N26" s="606">
        <f t="shared" si="1"/>
        <v>140.7</v>
      </c>
      <c r="O26" s="631"/>
      <c r="P26" s="631">
        <f t="shared" ref="P26:P27" si="4">IFERROR((G26*7%)+G26,"")</f>
        <v>149.479</v>
      </c>
      <c r="Q26" s="632"/>
      <c r="R26" s="13"/>
      <c r="S26" s="242"/>
      <c r="T26" s="443"/>
      <c r="U26" s="443"/>
      <c r="V26" s="242"/>
      <c r="W26" s="242"/>
      <c r="X26" s="242"/>
      <c r="Y26" s="242"/>
      <c r="Z26" s="242"/>
    </row>
    <row r="27" hidden="1">
      <c r="A27" s="621"/>
      <c r="B27" s="622"/>
      <c r="C27" s="41"/>
      <c r="D27" s="625" t="s">
        <v>3588</v>
      </c>
      <c r="E27" s="625" t="s">
        <v>461</v>
      </c>
      <c r="F27" s="626" t="s">
        <v>3589</v>
      </c>
      <c r="G27" s="627">
        <v>698.5</v>
      </c>
      <c r="H27" s="638"/>
      <c r="I27" s="622"/>
      <c r="J27" s="628"/>
      <c r="K27" s="628"/>
      <c r="L27" s="630"/>
      <c r="M27" s="606">
        <v>670.0</v>
      </c>
      <c r="N27" s="606">
        <f t="shared" si="1"/>
        <v>703.5</v>
      </c>
      <c r="O27" s="631"/>
      <c r="P27" s="631">
        <f t="shared" si="4"/>
        <v>747.395</v>
      </c>
      <c r="Q27" s="632"/>
      <c r="R27" s="13"/>
      <c r="S27" s="242"/>
      <c r="T27" s="443"/>
      <c r="U27" s="443"/>
      <c r="V27" s="242"/>
      <c r="W27" s="242"/>
      <c r="X27" s="242"/>
      <c r="Y27" s="242"/>
      <c r="Z27" s="242"/>
    </row>
    <row r="28">
      <c r="A28" s="621"/>
      <c r="B28" s="622">
        <f>B26+1</f>
        <v>24</v>
      </c>
      <c r="C28" s="641" t="s">
        <v>3594</v>
      </c>
      <c r="D28" s="625" t="s">
        <v>3598</v>
      </c>
      <c r="E28" s="625" t="s">
        <v>397</v>
      </c>
      <c r="F28" s="626" t="s">
        <v>3457</v>
      </c>
      <c r="G28" s="640">
        <v>119.7</v>
      </c>
      <c r="H28" s="216">
        <v>40.0</v>
      </c>
      <c r="I28" s="216">
        <v>65.0</v>
      </c>
      <c r="J28" s="628"/>
      <c r="K28" s="629" t="s">
        <v>3541</v>
      </c>
      <c r="L28" s="630"/>
      <c r="M28" s="606">
        <v>109.8</v>
      </c>
      <c r="N28" s="606">
        <f t="shared" ref="N28:N29" si="5">IFERROR(M28*10%,"")+M28</f>
        <v>120.78</v>
      </c>
      <c r="O28" s="631"/>
      <c r="P28" s="631">
        <f t="shared" ref="P28:P31" si="6">IFERROR((G28*15%)+G28,"")</f>
        <v>137.655</v>
      </c>
      <c r="Q28" s="632"/>
      <c r="R28" s="13"/>
      <c r="S28" s="242"/>
      <c r="T28" s="443"/>
      <c r="U28" s="443"/>
      <c r="V28" s="242"/>
      <c r="W28" s="242"/>
      <c r="X28" s="242"/>
      <c r="Y28" s="242"/>
      <c r="Z28" s="242"/>
    </row>
    <row r="29">
      <c r="A29" s="621"/>
      <c r="B29" s="622">
        <f t="shared" ref="B29:B108" si="7">B28+1</f>
        <v>25</v>
      </c>
      <c r="C29" s="176"/>
      <c r="D29" s="625" t="s">
        <v>3618</v>
      </c>
      <c r="E29" s="625" t="s">
        <v>144</v>
      </c>
      <c r="F29" s="626" t="s">
        <v>3459</v>
      </c>
      <c r="G29" s="640">
        <v>124.7</v>
      </c>
      <c r="H29" s="216">
        <v>40.0</v>
      </c>
      <c r="I29" s="216">
        <v>66.0</v>
      </c>
      <c r="J29" s="628"/>
      <c r="K29" s="629" t="s">
        <v>3541</v>
      </c>
      <c r="L29" s="630"/>
      <c r="M29" s="606">
        <v>114.5</v>
      </c>
      <c r="N29" s="606">
        <f t="shared" si="5"/>
        <v>125.95</v>
      </c>
      <c r="O29" s="631"/>
      <c r="P29" s="631">
        <f t="shared" si="6"/>
        <v>143.405</v>
      </c>
      <c r="Q29" s="632"/>
      <c r="R29" s="13"/>
      <c r="S29" s="242"/>
      <c r="T29" s="443"/>
      <c r="U29" s="443"/>
      <c r="V29" s="242"/>
      <c r="W29" s="242"/>
      <c r="X29" s="242"/>
      <c r="Y29" s="242"/>
      <c r="Z29" s="242"/>
    </row>
    <row r="30">
      <c r="A30" s="621"/>
      <c r="B30" s="622">
        <f t="shared" si="7"/>
        <v>26</v>
      </c>
      <c r="C30" s="641" t="s">
        <v>3621</v>
      </c>
      <c r="D30" s="625" t="s">
        <v>3598</v>
      </c>
      <c r="E30" s="625" t="s">
        <v>397</v>
      </c>
      <c r="F30" s="626" t="s">
        <v>3460</v>
      </c>
      <c r="G30" s="627">
        <v>129.5</v>
      </c>
      <c r="H30" s="638"/>
      <c r="I30" s="622"/>
      <c r="J30" s="628"/>
      <c r="K30" s="629" t="s">
        <v>3541</v>
      </c>
      <c r="L30" s="630"/>
      <c r="M30" s="606">
        <v>112.6</v>
      </c>
      <c r="N30" s="606">
        <f t="shared" ref="N30:N31" si="8">IFERROR(M30*$N$2,"")+M30</f>
        <v>118.23</v>
      </c>
      <c r="O30" s="631"/>
      <c r="P30" s="631">
        <f t="shared" si="6"/>
        <v>148.925</v>
      </c>
      <c r="Q30" s="632"/>
      <c r="R30" s="13"/>
      <c r="S30" s="242"/>
      <c r="T30" s="443"/>
      <c r="U30" s="443"/>
      <c r="V30" s="242"/>
      <c r="W30" s="242"/>
      <c r="X30" s="242"/>
      <c r="Y30" s="242"/>
      <c r="Z30" s="242"/>
    </row>
    <row r="31">
      <c r="A31" s="621"/>
      <c r="B31" s="622">
        <f t="shared" si="7"/>
        <v>27</v>
      </c>
      <c r="C31" s="176"/>
      <c r="D31" s="625" t="s">
        <v>3618</v>
      </c>
      <c r="E31" s="625" t="s">
        <v>144</v>
      </c>
      <c r="F31" s="626" t="s">
        <v>3462</v>
      </c>
      <c r="G31" s="627">
        <v>169.5</v>
      </c>
      <c r="H31" s="637">
        <v>40.0</v>
      </c>
      <c r="I31" s="216">
        <v>85.0</v>
      </c>
      <c r="J31" s="628"/>
      <c r="K31" s="629" t="s">
        <v>3541</v>
      </c>
      <c r="L31" s="630"/>
      <c r="M31" s="606">
        <v>141.45</v>
      </c>
      <c r="N31" s="606">
        <f t="shared" si="8"/>
        <v>148.5225</v>
      </c>
      <c r="O31" s="631"/>
      <c r="P31" s="631">
        <f t="shared" si="6"/>
        <v>194.925</v>
      </c>
      <c r="Q31" s="632"/>
      <c r="R31" s="13"/>
      <c r="S31" s="242"/>
      <c r="T31" s="443"/>
      <c r="U31" s="443"/>
      <c r="V31" s="242"/>
      <c r="W31" s="242"/>
      <c r="X31" s="242"/>
      <c r="Y31" s="242"/>
      <c r="Z31" s="242"/>
    </row>
    <row r="32">
      <c r="A32" s="621"/>
      <c r="B32" s="622">
        <f t="shared" si="7"/>
        <v>28</v>
      </c>
      <c r="C32" s="176"/>
      <c r="D32" s="625" t="s">
        <v>3625</v>
      </c>
      <c r="E32" s="625" t="s">
        <v>409</v>
      </c>
      <c r="F32" s="626" t="s">
        <v>3463</v>
      </c>
      <c r="G32" s="640">
        <v>288.7</v>
      </c>
      <c r="H32" s="622"/>
      <c r="I32" s="622"/>
      <c r="J32" s="628"/>
      <c r="K32" s="629" t="s">
        <v>3551</v>
      </c>
      <c r="L32" s="630" t="s">
        <v>722</v>
      </c>
      <c r="M32" s="606">
        <v>262.45</v>
      </c>
      <c r="N32" s="606">
        <f t="shared" ref="N32:N35" si="9">IFERROR(M32*10%,"")+M32</f>
        <v>288.695</v>
      </c>
      <c r="O32" s="631"/>
      <c r="P32" s="631"/>
      <c r="Q32" s="632"/>
      <c r="R32" s="13"/>
      <c r="S32" s="242"/>
      <c r="T32" s="443"/>
      <c r="U32" s="443"/>
      <c r="V32" s="242"/>
      <c r="W32" s="242"/>
      <c r="X32" s="242"/>
      <c r="Y32" s="242"/>
      <c r="Z32" s="242"/>
    </row>
    <row r="33">
      <c r="A33" s="621"/>
      <c r="B33" s="622">
        <f t="shared" si="7"/>
        <v>29</v>
      </c>
      <c r="C33" s="41"/>
      <c r="D33" s="625" t="s">
        <v>3628</v>
      </c>
      <c r="E33" s="625" t="s">
        <v>306</v>
      </c>
      <c r="F33" s="626" t="s">
        <v>3464</v>
      </c>
      <c r="G33" s="640">
        <v>638.0</v>
      </c>
      <c r="H33" s="622"/>
      <c r="I33" s="622"/>
      <c r="J33" s="628"/>
      <c r="K33" s="629" t="s">
        <v>3551</v>
      </c>
      <c r="L33" s="630" t="s">
        <v>722</v>
      </c>
      <c r="M33" s="606">
        <v>580.0</v>
      </c>
      <c r="N33" s="606">
        <f t="shared" si="9"/>
        <v>638</v>
      </c>
      <c r="O33" s="631"/>
      <c r="P33" s="631"/>
      <c r="Q33" s="632"/>
      <c r="R33" s="13"/>
      <c r="S33" s="242"/>
      <c r="T33" s="443"/>
      <c r="U33" s="443"/>
      <c r="V33" s="242"/>
      <c r="W33" s="242"/>
      <c r="X33" s="242"/>
      <c r="Y33" s="242"/>
      <c r="Z33" s="242"/>
    </row>
    <row r="34">
      <c r="A34" s="621"/>
      <c r="B34" s="622">
        <f t="shared" si="7"/>
        <v>30</v>
      </c>
      <c r="C34" s="641" t="s">
        <v>3630</v>
      </c>
      <c r="D34" s="625" t="s">
        <v>3598</v>
      </c>
      <c r="E34" s="625" t="s">
        <v>397</v>
      </c>
      <c r="F34" s="626" t="s">
        <v>3465</v>
      </c>
      <c r="G34" s="640">
        <v>89.9</v>
      </c>
      <c r="H34" s="216">
        <v>26.0</v>
      </c>
      <c r="I34" s="216">
        <v>51.0</v>
      </c>
      <c r="J34" s="628"/>
      <c r="K34" s="629" t="s">
        <v>3541</v>
      </c>
      <c r="L34" s="630"/>
      <c r="M34" s="606">
        <v>81.9</v>
      </c>
      <c r="N34" s="606">
        <f t="shared" si="9"/>
        <v>90.09</v>
      </c>
      <c r="O34" s="631"/>
      <c r="P34" s="631">
        <f t="shared" ref="P34:P35" si="10">IFERROR((G34*15%)+G34,"")</f>
        <v>103.385</v>
      </c>
      <c r="Q34" s="632"/>
      <c r="R34" s="13"/>
      <c r="S34" s="242"/>
      <c r="T34" s="443"/>
      <c r="U34" s="443"/>
      <c r="V34" s="242"/>
      <c r="W34" s="242"/>
      <c r="X34" s="242"/>
      <c r="Y34" s="242"/>
      <c r="Z34" s="242"/>
    </row>
    <row r="35">
      <c r="A35" s="621"/>
      <c r="B35" s="622">
        <f t="shared" si="7"/>
        <v>31</v>
      </c>
      <c r="C35" s="41"/>
      <c r="D35" s="625" t="s">
        <v>3618</v>
      </c>
      <c r="E35" s="625" t="s">
        <v>144</v>
      </c>
      <c r="F35" s="626" t="s">
        <v>3467</v>
      </c>
      <c r="G35" s="640">
        <v>106.4</v>
      </c>
      <c r="H35" s="216">
        <v>26.0</v>
      </c>
      <c r="I35" s="216">
        <v>52.0</v>
      </c>
      <c r="J35" s="628"/>
      <c r="K35" s="629" t="s">
        <v>3541</v>
      </c>
      <c r="L35" s="630"/>
      <c r="M35" s="606">
        <v>97.75</v>
      </c>
      <c r="N35" s="606">
        <f t="shared" si="9"/>
        <v>107.525</v>
      </c>
      <c r="O35" s="631"/>
      <c r="P35" s="631">
        <f t="shared" si="10"/>
        <v>122.36</v>
      </c>
      <c r="Q35" s="632"/>
      <c r="R35" s="13"/>
      <c r="S35" s="242"/>
      <c r="T35" s="443"/>
      <c r="U35" s="443"/>
      <c r="V35" s="242"/>
      <c r="W35" s="242"/>
      <c r="X35" s="242"/>
      <c r="Y35" s="242"/>
      <c r="Z35" s="242"/>
    </row>
    <row r="36">
      <c r="A36" s="621"/>
      <c r="B36" s="622">
        <f t="shared" si="7"/>
        <v>32</v>
      </c>
      <c r="C36" s="657" t="s">
        <v>52</v>
      </c>
      <c r="D36" s="624" t="s">
        <v>341</v>
      </c>
      <c r="E36" s="625" t="s">
        <v>43</v>
      </c>
      <c r="F36" s="626" t="s">
        <v>3468</v>
      </c>
      <c r="G36" s="627">
        <v>16.6</v>
      </c>
      <c r="H36" s="638"/>
      <c r="I36" s="622"/>
      <c r="J36" s="628"/>
      <c r="K36" s="629" t="s">
        <v>3541</v>
      </c>
      <c r="L36" s="630"/>
      <c r="M36" s="606">
        <v>15.85</v>
      </c>
      <c r="N36" s="606">
        <f t="shared" ref="N36:N74" si="11">IFERROR(M36*$N$2,"")+M36</f>
        <v>16.6425</v>
      </c>
      <c r="O36" s="617">
        <v>13.8</v>
      </c>
      <c r="P36" s="631">
        <f t="shared" ref="P36:P44" si="12">IFERROR((G36*7%)+G36,"")</f>
        <v>17.762</v>
      </c>
      <c r="Q36" s="632"/>
      <c r="R36" s="13"/>
      <c r="S36" s="242"/>
      <c r="T36" s="443"/>
      <c r="U36" s="443"/>
      <c r="V36" s="242"/>
      <c r="W36" s="242"/>
      <c r="X36" s="242"/>
      <c r="Y36" s="242"/>
      <c r="Z36" s="242"/>
    </row>
    <row r="37">
      <c r="A37" s="621"/>
      <c r="B37" s="622">
        <f t="shared" si="7"/>
        <v>33</v>
      </c>
      <c r="C37" s="176"/>
      <c r="D37" s="624" t="s">
        <v>346</v>
      </c>
      <c r="E37" s="625" t="s">
        <v>51</v>
      </c>
      <c r="F37" s="626" t="s">
        <v>3470</v>
      </c>
      <c r="G37" s="627">
        <v>22.5</v>
      </c>
      <c r="H37" s="637"/>
      <c r="I37" s="216">
        <v>31.0</v>
      </c>
      <c r="J37" s="628"/>
      <c r="K37" s="629" t="s">
        <v>3541</v>
      </c>
      <c r="L37" s="630"/>
      <c r="M37" s="606">
        <v>21.45</v>
      </c>
      <c r="N37" s="606">
        <f t="shared" si="11"/>
        <v>22.5225</v>
      </c>
      <c r="O37" s="617">
        <v>23.7</v>
      </c>
      <c r="P37" s="631">
        <f t="shared" si="12"/>
        <v>24.075</v>
      </c>
      <c r="Q37" s="632"/>
      <c r="R37" s="13"/>
      <c r="S37" s="242"/>
      <c r="T37" s="443"/>
      <c r="U37" s="443"/>
      <c r="V37" s="242"/>
      <c r="W37" s="242"/>
      <c r="X37" s="242"/>
      <c r="Y37" s="242"/>
      <c r="Z37" s="242"/>
    </row>
    <row r="38">
      <c r="A38" s="621"/>
      <c r="B38" s="622">
        <f t="shared" si="7"/>
        <v>34</v>
      </c>
      <c r="C38" s="176"/>
      <c r="D38" s="624" t="s">
        <v>356</v>
      </c>
      <c r="E38" s="625" t="s">
        <v>84</v>
      </c>
      <c r="F38" s="626" t="s">
        <v>3471</v>
      </c>
      <c r="G38" s="627">
        <v>39.8</v>
      </c>
      <c r="H38" s="637"/>
      <c r="I38" s="216">
        <v>49.0</v>
      </c>
      <c r="J38" s="628"/>
      <c r="K38" s="629" t="s">
        <v>3541</v>
      </c>
      <c r="L38" s="630"/>
      <c r="M38" s="606">
        <v>39.1</v>
      </c>
      <c r="N38" s="606">
        <f t="shared" si="11"/>
        <v>41.055</v>
      </c>
      <c r="O38" s="617">
        <v>42.7</v>
      </c>
      <c r="P38" s="631">
        <f t="shared" si="12"/>
        <v>42.586</v>
      </c>
      <c r="Q38" s="632"/>
      <c r="R38" s="13"/>
      <c r="S38" s="242"/>
      <c r="T38" s="443"/>
      <c r="U38" s="443"/>
      <c r="V38" s="242"/>
      <c r="W38" s="242"/>
      <c r="X38" s="242"/>
      <c r="Y38" s="242"/>
      <c r="Z38" s="242"/>
    </row>
    <row r="39">
      <c r="A39" s="621"/>
      <c r="B39" s="622">
        <f t="shared" si="7"/>
        <v>35</v>
      </c>
      <c r="C39" s="176"/>
      <c r="D39" s="625" t="s">
        <v>3549</v>
      </c>
      <c r="E39" s="625" t="s">
        <v>55</v>
      </c>
      <c r="F39" s="626" t="s">
        <v>3472</v>
      </c>
      <c r="G39" s="627">
        <v>64.5</v>
      </c>
      <c r="H39" s="638"/>
      <c r="I39" s="622"/>
      <c r="J39" s="628"/>
      <c r="K39" s="629" t="s">
        <v>2124</v>
      </c>
      <c r="L39" s="630"/>
      <c r="M39" s="606">
        <v>61.45</v>
      </c>
      <c r="N39" s="606">
        <f t="shared" si="11"/>
        <v>64.5225</v>
      </c>
      <c r="O39" s="617">
        <v>76.6</v>
      </c>
      <c r="P39" s="631">
        <f t="shared" si="12"/>
        <v>69.015</v>
      </c>
      <c r="Q39" s="632"/>
      <c r="R39" s="13"/>
      <c r="S39" s="242"/>
      <c r="T39" s="443"/>
      <c r="U39" s="443"/>
      <c r="V39" s="242"/>
      <c r="W39" s="242"/>
      <c r="X39" s="242"/>
      <c r="Y39" s="242"/>
      <c r="Z39" s="242"/>
    </row>
    <row r="40">
      <c r="A40" s="621"/>
      <c r="B40" s="622">
        <f t="shared" si="7"/>
        <v>36</v>
      </c>
      <c r="C40" s="176"/>
      <c r="D40" s="625" t="s">
        <v>3552</v>
      </c>
      <c r="E40" s="625" t="s">
        <v>56</v>
      </c>
      <c r="F40" s="626" t="s">
        <v>3473</v>
      </c>
      <c r="G40" s="627">
        <v>114.9</v>
      </c>
      <c r="H40" s="638"/>
      <c r="I40" s="622"/>
      <c r="J40" s="628"/>
      <c r="K40" s="629" t="s">
        <v>2124</v>
      </c>
      <c r="L40" s="630"/>
      <c r="M40" s="606">
        <v>109.8</v>
      </c>
      <c r="N40" s="606">
        <f t="shared" si="11"/>
        <v>115.29</v>
      </c>
      <c r="O40" s="617">
        <v>121.7</v>
      </c>
      <c r="P40" s="631">
        <f t="shared" si="12"/>
        <v>122.943</v>
      </c>
      <c r="Q40" s="632"/>
      <c r="R40" s="13"/>
      <c r="S40" s="242"/>
      <c r="T40" s="443"/>
      <c r="U40" s="443"/>
      <c r="V40" s="242"/>
      <c r="W40" s="242"/>
      <c r="X40" s="242"/>
      <c r="Y40" s="242"/>
      <c r="Z40" s="242"/>
    </row>
    <row r="41">
      <c r="A41" s="621"/>
      <c r="B41" s="622">
        <f t="shared" si="7"/>
        <v>37</v>
      </c>
      <c r="C41" s="176"/>
      <c r="D41" s="625" t="s">
        <v>3554</v>
      </c>
      <c r="E41" s="625" t="s">
        <v>107</v>
      </c>
      <c r="F41" s="626" t="s">
        <v>3474</v>
      </c>
      <c r="G41" s="640">
        <v>258.0</v>
      </c>
      <c r="H41" s="622"/>
      <c r="I41" s="622"/>
      <c r="J41" s="628"/>
      <c r="K41" s="629" t="s">
        <v>2124</v>
      </c>
      <c r="L41" s="630"/>
      <c r="M41" s="606">
        <v>247.0</v>
      </c>
      <c r="N41" s="606">
        <f t="shared" si="11"/>
        <v>259.35</v>
      </c>
      <c r="O41" s="617">
        <v>218.5</v>
      </c>
      <c r="P41" s="631">
        <f t="shared" si="12"/>
        <v>276.06</v>
      </c>
      <c r="Q41" s="632"/>
      <c r="R41" s="13"/>
      <c r="S41" s="242"/>
      <c r="T41" s="443"/>
      <c r="U41" s="443"/>
      <c r="V41" s="242"/>
      <c r="W41" s="242"/>
      <c r="X41" s="242"/>
      <c r="Y41" s="242"/>
      <c r="Z41" s="242"/>
    </row>
    <row r="42">
      <c r="A42" s="621"/>
      <c r="B42" s="622">
        <f t="shared" si="7"/>
        <v>38</v>
      </c>
      <c r="C42" s="176"/>
      <c r="D42" s="625" t="s">
        <v>3556</v>
      </c>
      <c r="E42" s="625" t="s">
        <v>69</v>
      </c>
      <c r="F42" s="626" t="s">
        <v>3475</v>
      </c>
      <c r="G42" s="640">
        <v>554.0</v>
      </c>
      <c r="H42" s="622"/>
      <c r="I42" s="622"/>
      <c r="J42" s="628"/>
      <c r="K42" s="629" t="s">
        <v>3557</v>
      </c>
      <c r="L42" s="630"/>
      <c r="M42" s="606">
        <v>528.0</v>
      </c>
      <c r="N42" s="606">
        <f t="shared" si="11"/>
        <v>554.4</v>
      </c>
      <c r="O42" s="617">
        <v>441.0</v>
      </c>
      <c r="P42" s="631">
        <f t="shared" si="12"/>
        <v>592.78</v>
      </c>
      <c r="Q42" s="632"/>
      <c r="R42" s="13"/>
      <c r="S42" s="242"/>
      <c r="T42" s="443"/>
      <c r="U42" s="443"/>
      <c r="V42" s="242"/>
      <c r="W42" s="242"/>
      <c r="X42" s="242"/>
      <c r="Y42" s="242"/>
      <c r="Z42" s="242"/>
    </row>
    <row r="43">
      <c r="A43" s="621"/>
      <c r="B43" s="622">
        <f t="shared" si="7"/>
        <v>39</v>
      </c>
      <c r="C43" s="176"/>
      <c r="D43" s="625" t="s">
        <v>3559</v>
      </c>
      <c r="E43" s="625" t="s">
        <v>3560</v>
      </c>
      <c r="F43" s="626" t="s">
        <v>3476</v>
      </c>
      <c r="G43" s="640">
        <v>724.0</v>
      </c>
      <c r="H43" s="622"/>
      <c r="I43" s="622"/>
      <c r="J43" s="628"/>
      <c r="K43" s="629" t="s">
        <v>3557</v>
      </c>
      <c r="L43" s="630"/>
      <c r="M43" s="606">
        <v>690.0</v>
      </c>
      <c r="N43" s="606">
        <f t="shared" si="11"/>
        <v>724.5</v>
      </c>
      <c r="O43" s="617">
        <v>768.5</v>
      </c>
      <c r="P43" s="631">
        <f t="shared" si="12"/>
        <v>774.68</v>
      </c>
      <c r="Q43" s="632"/>
      <c r="R43" s="13"/>
      <c r="S43" s="242"/>
      <c r="T43" s="443"/>
      <c r="U43" s="443"/>
      <c r="V43" s="242"/>
      <c r="W43" s="242"/>
      <c r="X43" s="242"/>
      <c r="Y43" s="242"/>
      <c r="Z43" s="242"/>
    </row>
    <row r="44">
      <c r="A44" s="621"/>
      <c r="B44" s="622">
        <f t="shared" si="7"/>
        <v>40</v>
      </c>
      <c r="C44" s="41"/>
      <c r="D44" s="625" t="s">
        <v>3561</v>
      </c>
      <c r="E44" s="625" t="s">
        <v>3562</v>
      </c>
      <c r="F44" s="626" t="s">
        <v>3477</v>
      </c>
      <c r="G44" s="640">
        <v>1272.0</v>
      </c>
      <c r="H44" s="622"/>
      <c r="I44" s="622"/>
      <c r="J44" s="628"/>
      <c r="K44" s="629" t="s">
        <v>3557</v>
      </c>
      <c r="L44" s="630"/>
      <c r="M44" s="606">
        <v>1212.0</v>
      </c>
      <c r="N44" s="606">
        <f t="shared" si="11"/>
        <v>1272.6</v>
      </c>
      <c r="O44" s="617">
        <v>1333.8</v>
      </c>
      <c r="P44" s="631">
        <f t="shared" si="12"/>
        <v>1361.04</v>
      </c>
      <c r="Q44" s="632"/>
      <c r="R44" s="13"/>
      <c r="S44" s="242"/>
      <c r="T44" s="443"/>
      <c r="U44" s="443"/>
      <c r="V44" s="242"/>
      <c r="W44" s="242"/>
      <c r="X44" s="242"/>
      <c r="Y44" s="242"/>
      <c r="Z44" s="242"/>
    </row>
    <row r="45">
      <c r="A45" s="621"/>
      <c r="B45" s="622">
        <f t="shared" si="7"/>
        <v>41</v>
      </c>
      <c r="C45" s="641" t="s">
        <v>3680</v>
      </c>
      <c r="D45" s="625" t="s">
        <v>3598</v>
      </c>
      <c r="E45" s="625" t="s">
        <v>397</v>
      </c>
      <c r="F45" s="626" t="s">
        <v>3478</v>
      </c>
      <c r="G45" s="627">
        <v>129.3</v>
      </c>
      <c r="H45" s="638"/>
      <c r="I45" s="622"/>
      <c r="J45" s="628"/>
      <c r="K45" s="629" t="s">
        <v>3541</v>
      </c>
      <c r="L45" s="630"/>
      <c r="M45" s="606">
        <v>138.0</v>
      </c>
      <c r="N45" s="606">
        <f t="shared" si="11"/>
        <v>144.9</v>
      </c>
      <c r="O45" s="631"/>
      <c r="P45" s="631">
        <f t="shared" ref="P45:P47" si="13">IFERROR((G45*15%)+G45,"")</f>
        <v>148.695</v>
      </c>
      <c r="Q45" s="632"/>
      <c r="R45" s="13"/>
      <c r="S45" s="242"/>
      <c r="T45" s="443"/>
      <c r="U45" s="443"/>
      <c r="V45" s="242"/>
      <c r="W45" s="242"/>
      <c r="X45" s="242"/>
      <c r="Y45" s="242"/>
      <c r="Z45" s="242"/>
    </row>
    <row r="46">
      <c r="A46" s="621"/>
      <c r="B46" s="622">
        <f t="shared" si="7"/>
        <v>42</v>
      </c>
      <c r="C46" s="176"/>
      <c r="D46" s="625" t="s">
        <v>3618</v>
      </c>
      <c r="E46" s="625" t="s">
        <v>144</v>
      </c>
      <c r="F46" s="626" t="s">
        <v>3480</v>
      </c>
      <c r="G46" s="627">
        <v>162.5</v>
      </c>
      <c r="H46" s="637">
        <v>26.0</v>
      </c>
      <c r="I46" s="216">
        <v>65.0</v>
      </c>
      <c r="J46" s="628"/>
      <c r="K46" s="629" t="s">
        <v>3541</v>
      </c>
      <c r="L46" s="630"/>
      <c r="M46" s="606">
        <v>142.0</v>
      </c>
      <c r="N46" s="606">
        <f t="shared" si="11"/>
        <v>149.1</v>
      </c>
      <c r="O46" s="631"/>
      <c r="P46" s="631">
        <f t="shared" si="13"/>
        <v>186.875</v>
      </c>
      <c r="Q46" s="632"/>
      <c r="R46" s="13"/>
      <c r="S46" s="242"/>
      <c r="T46" s="443"/>
      <c r="U46" s="443"/>
      <c r="V46" s="242"/>
      <c r="W46" s="242"/>
      <c r="X46" s="242"/>
      <c r="Y46" s="242"/>
      <c r="Z46" s="242"/>
    </row>
    <row r="47">
      <c r="A47" s="621"/>
      <c r="B47" s="622">
        <f t="shared" si="7"/>
        <v>43</v>
      </c>
      <c r="C47" s="176"/>
      <c r="D47" s="216" t="s">
        <v>3625</v>
      </c>
      <c r="E47" s="625" t="s">
        <v>409</v>
      </c>
      <c r="F47" s="626" t="s">
        <v>3481</v>
      </c>
      <c r="G47" s="627">
        <v>182.8</v>
      </c>
      <c r="H47" s="638"/>
      <c r="I47" s="622"/>
      <c r="J47" s="628"/>
      <c r="K47" s="629" t="s">
        <v>3551</v>
      </c>
      <c r="L47" s="630"/>
      <c r="M47" s="606">
        <v>262.0</v>
      </c>
      <c r="N47" s="606">
        <f t="shared" si="11"/>
        <v>275.1</v>
      </c>
      <c r="O47" s="631"/>
      <c r="P47" s="631">
        <f t="shared" si="13"/>
        <v>210.22</v>
      </c>
      <c r="Q47" s="632"/>
      <c r="R47" s="13"/>
      <c r="S47" s="242"/>
      <c r="T47" s="443"/>
      <c r="U47" s="443"/>
      <c r="V47" s="242"/>
      <c r="W47" s="242"/>
      <c r="X47" s="242"/>
      <c r="Y47" s="242"/>
      <c r="Z47" s="242"/>
    </row>
    <row r="48">
      <c r="A48" s="621"/>
      <c r="B48" s="622">
        <f t="shared" si="7"/>
        <v>44</v>
      </c>
      <c r="C48" s="41"/>
      <c r="D48" s="216" t="s">
        <v>3628</v>
      </c>
      <c r="E48" s="625" t="s">
        <v>306</v>
      </c>
      <c r="F48" s="626" t="s">
        <v>3482</v>
      </c>
      <c r="G48" s="640">
        <v>0.0</v>
      </c>
      <c r="H48" s="622"/>
      <c r="I48" s="622"/>
      <c r="J48" s="628"/>
      <c r="K48" s="629" t="s">
        <v>3551</v>
      </c>
      <c r="L48" s="630"/>
      <c r="M48" s="476"/>
      <c r="N48" s="606">
        <f t="shared" si="11"/>
        <v>0</v>
      </c>
      <c r="O48" s="631"/>
      <c r="P48" s="631"/>
      <c r="Q48" s="632"/>
      <c r="R48" s="13"/>
      <c r="S48" s="242"/>
      <c r="T48" s="443"/>
      <c r="U48" s="443"/>
      <c r="V48" s="242"/>
      <c r="W48" s="242"/>
      <c r="X48" s="242"/>
      <c r="Y48" s="242"/>
      <c r="Z48" s="242"/>
    </row>
    <row r="49">
      <c r="A49" s="621"/>
      <c r="B49" s="622">
        <f t="shared" si="7"/>
        <v>45</v>
      </c>
      <c r="C49" s="664" t="s">
        <v>3691</v>
      </c>
      <c r="D49" s="624" t="s">
        <v>341</v>
      </c>
      <c r="E49" s="625" t="s">
        <v>43</v>
      </c>
      <c r="F49" s="626" t="s">
        <v>3483</v>
      </c>
      <c r="G49" s="627">
        <v>19.6</v>
      </c>
      <c r="H49" s="638"/>
      <c r="I49" s="622"/>
      <c r="J49" s="628"/>
      <c r="K49" s="629" t="s">
        <v>3541</v>
      </c>
      <c r="L49" s="630"/>
      <c r="M49" s="606">
        <v>18.65</v>
      </c>
      <c r="N49" s="606">
        <f t="shared" si="11"/>
        <v>19.5825</v>
      </c>
      <c r="O49" s="617">
        <v>16.4</v>
      </c>
      <c r="P49" s="631">
        <f t="shared" ref="P49:P59" si="14">IFERROR((G49*7%)+G49,"")</f>
        <v>20.972</v>
      </c>
      <c r="Q49" s="632"/>
      <c r="R49" s="13"/>
      <c r="S49" s="242"/>
      <c r="T49" s="443"/>
      <c r="U49" s="443"/>
      <c r="V49" s="242"/>
      <c r="W49" s="242"/>
      <c r="X49" s="242"/>
      <c r="Y49" s="242"/>
      <c r="Z49" s="242"/>
    </row>
    <row r="50">
      <c r="A50" s="621"/>
      <c r="B50" s="622">
        <f t="shared" si="7"/>
        <v>46</v>
      </c>
      <c r="C50" s="176"/>
      <c r="D50" s="624" t="s">
        <v>346</v>
      </c>
      <c r="E50" s="625" t="s">
        <v>51</v>
      </c>
      <c r="F50" s="626" t="s">
        <v>3485</v>
      </c>
      <c r="G50" s="627">
        <v>36.2</v>
      </c>
      <c r="H50" s="637"/>
      <c r="I50" s="216">
        <v>40.0</v>
      </c>
      <c r="J50" s="628"/>
      <c r="K50" s="629" t="s">
        <v>3541</v>
      </c>
      <c r="L50" s="630"/>
      <c r="M50" s="606">
        <v>34.45</v>
      </c>
      <c r="N50" s="606">
        <f t="shared" si="11"/>
        <v>36.1725</v>
      </c>
      <c r="O50" s="617">
        <v>30.9</v>
      </c>
      <c r="P50" s="631">
        <f t="shared" si="14"/>
        <v>38.734</v>
      </c>
      <c r="Q50" s="632"/>
      <c r="R50" s="13"/>
      <c r="S50" s="242"/>
      <c r="T50" s="443"/>
      <c r="U50" s="443"/>
      <c r="V50" s="242"/>
      <c r="W50" s="242"/>
      <c r="X50" s="242"/>
      <c r="Y50" s="242"/>
      <c r="Z50" s="242"/>
    </row>
    <row r="51">
      <c r="A51" s="621"/>
      <c r="B51" s="622">
        <f t="shared" si="7"/>
        <v>47</v>
      </c>
      <c r="C51" s="176"/>
      <c r="D51" s="624" t="s">
        <v>356</v>
      </c>
      <c r="E51" s="625" t="s">
        <v>84</v>
      </c>
      <c r="F51" s="626" t="s">
        <v>3486</v>
      </c>
      <c r="G51" s="627">
        <v>58.6</v>
      </c>
      <c r="H51" s="637"/>
      <c r="I51" s="216">
        <v>66.0</v>
      </c>
      <c r="J51" s="628"/>
      <c r="K51" s="629" t="s">
        <v>3541</v>
      </c>
      <c r="L51" s="630"/>
      <c r="M51" s="606">
        <v>55.85</v>
      </c>
      <c r="N51" s="606">
        <f t="shared" si="11"/>
        <v>58.6425</v>
      </c>
      <c r="O51" s="617">
        <v>47.9</v>
      </c>
      <c r="P51" s="631">
        <f t="shared" si="14"/>
        <v>62.702</v>
      </c>
      <c r="Q51" s="632"/>
      <c r="R51" s="13"/>
      <c r="S51" s="242"/>
      <c r="T51" s="443"/>
      <c r="U51" s="443"/>
      <c r="V51" s="242"/>
      <c r="W51" s="242"/>
      <c r="X51" s="242"/>
      <c r="Y51" s="242"/>
      <c r="Z51" s="242"/>
    </row>
    <row r="52">
      <c r="A52" s="621"/>
      <c r="B52" s="622">
        <f t="shared" si="7"/>
        <v>48</v>
      </c>
      <c r="C52" s="176"/>
      <c r="D52" s="625" t="s">
        <v>3549</v>
      </c>
      <c r="E52" s="625" t="s">
        <v>55</v>
      </c>
      <c r="F52" s="626" t="s">
        <v>3487</v>
      </c>
      <c r="G52" s="627">
        <v>85.0</v>
      </c>
      <c r="H52" s="638"/>
      <c r="I52" s="622"/>
      <c r="J52" s="628"/>
      <c r="K52" s="629" t="s">
        <v>2124</v>
      </c>
      <c r="L52" s="630"/>
      <c r="M52" s="606">
        <v>81.0</v>
      </c>
      <c r="N52" s="606">
        <f t="shared" si="11"/>
        <v>85.05</v>
      </c>
      <c r="O52" s="617">
        <v>87.3</v>
      </c>
      <c r="P52" s="631">
        <f t="shared" si="14"/>
        <v>90.95</v>
      </c>
      <c r="Q52" s="632"/>
      <c r="R52" s="13"/>
      <c r="S52" s="242"/>
      <c r="T52" s="443"/>
      <c r="U52" s="443"/>
      <c r="V52" s="242"/>
      <c r="W52" s="242"/>
      <c r="X52" s="242"/>
      <c r="Y52" s="242"/>
      <c r="Z52" s="242"/>
    </row>
    <row r="53">
      <c r="A53" s="621"/>
      <c r="B53" s="622">
        <f t="shared" si="7"/>
        <v>49</v>
      </c>
      <c r="C53" s="176"/>
      <c r="D53" s="625" t="s">
        <v>3552</v>
      </c>
      <c r="E53" s="625" t="s">
        <v>56</v>
      </c>
      <c r="F53" s="626" t="s">
        <v>3488</v>
      </c>
      <c r="G53" s="627">
        <v>170.0</v>
      </c>
      <c r="H53" s="638"/>
      <c r="I53" s="622"/>
      <c r="J53" s="628"/>
      <c r="K53" s="629" t="s">
        <v>2124</v>
      </c>
      <c r="L53" s="630"/>
      <c r="M53" s="606">
        <v>162.85</v>
      </c>
      <c r="N53" s="606">
        <f t="shared" si="11"/>
        <v>170.9925</v>
      </c>
      <c r="O53" s="617">
        <v>160.7</v>
      </c>
      <c r="P53" s="631">
        <f t="shared" si="14"/>
        <v>181.9</v>
      </c>
      <c r="Q53" s="632"/>
      <c r="R53" s="13"/>
      <c r="S53" s="242"/>
      <c r="T53" s="443"/>
      <c r="U53" s="443"/>
      <c r="V53" s="242"/>
      <c r="W53" s="242"/>
      <c r="X53" s="242"/>
      <c r="Y53" s="242"/>
      <c r="Z53" s="242"/>
    </row>
    <row r="54">
      <c r="A54" s="621"/>
      <c r="B54" s="622">
        <f t="shared" si="7"/>
        <v>50</v>
      </c>
      <c r="C54" s="176"/>
      <c r="D54" s="625" t="s">
        <v>3554</v>
      </c>
      <c r="E54" s="625" t="s">
        <v>107</v>
      </c>
      <c r="F54" s="626" t="s">
        <v>3489</v>
      </c>
      <c r="G54" s="640">
        <v>374.0</v>
      </c>
      <c r="H54" s="622"/>
      <c r="I54" s="622"/>
      <c r="J54" s="628"/>
      <c r="K54" s="629" t="s">
        <v>2124</v>
      </c>
      <c r="L54" s="630"/>
      <c r="M54" s="606">
        <v>358.0</v>
      </c>
      <c r="N54" s="606">
        <f t="shared" si="11"/>
        <v>375.9</v>
      </c>
      <c r="O54" s="617">
        <v>300.7</v>
      </c>
      <c r="P54" s="631">
        <f t="shared" si="14"/>
        <v>400.18</v>
      </c>
      <c r="Q54" s="632"/>
      <c r="R54" s="13"/>
      <c r="S54" s="242"/>
      <c r="T54" s="443"/>
      <c r="U54" s="443"/>
      <c r="V54" s="242"/>
      <c r="W54" s="242"/>
      <c r="X54" s="242"/>
      <c r="Y54" s="242"/>
      <c r="Z54" s="242"/>
    </row>
    <row r="55">
      <c r="A55" s="621"/>
      <c r="B55" s="622">
        <f t="shared" si="7"/>
        <v>51</v>
      </c>
      <c r="C55" s="176"/>
      <c r="D55" s="625" t="s">
        <v>3556</v>
      </c>
      <c r="E55" s="625" t="s">
        <v>69</v>
      </c>
      <c r="F55" s="626" t="s">
        <v>3490</v>
      </c>
      <c r="G55" s="640">
        <v>714.0</v>
      </c>
      <c r="H55" s="622"/>
      <c r="I55" s="622"/>
      <c r="J55" s="628"/>
      <c r="K55" s="629" t="s">
        <v>3557</v>
      </c>
      <c r="L55" s="630"/>
      <c r="M55" s="606">
        <v>682.0</v>
      </c>
      <c r="N55" s="606">
        <f t="shared" si="11"/>
        <v>716.1</v>
      </c>
      <c r="O55" s="617">
        <v>540.8</v>
      </c>
      <c r="P55" s="631">
        <f t="shared" si="14"/>
        <v>763.98</v>
      </c>
      <c r="Q55" s="632"/>
      <c r="R55" s="13"/>
      <c r="S55" s="242"/>
      <c r="T55" s="443"/>
      <c r="U55" s="443"/>
      <c r="V55" s="242"/>
      <c r="W55" s="242"/>
      <c r="X55" s="242"/>
      <c r="Y55" s="242"/>
      <c r="Z55" s="242"/>
    </row>
    <row r="56">
      <c r="A56" s="621"/>
      <c r="B56" s="622">
        <f t="shared" si="7"/>
        <v>52</v>
      </c>
      <c r="C56" s="176"/>
      <c r="D56" s="625" t="s">
        <v>3559</v>
      </c>
      <c r="E56" s="625" t="s">
        <v>3560</v>
      </c>
      <c r="F56" s="626" t="s">
        <v>3491</v>
      </c>
      <c r="G56" s="640">
        <v>948.0</v>
      </c>
      <c r="H56" s="622"/>
      <c r="I56" s="622"/>
      <c r="J56" s="628"/>
      <c r="K56" s="629" t="s">
        <v>3557</v>
      </c>
      <c r="L56" s="630"/>
      <c r="M56" s="606">
        <v>912.0</v>
      </c>
      <c r="N56" s="606">
        <f t="shared" si="11"/>
        <v>957.6</v>
      </c>
      <c r="O56" s="617">
        <v>1069.8</v>
      </c>
      <c r="P56" s="631">
        <f t="shared" si="14"/>
        <v>1014.36</v>
      </c>
      <c r="Q56" s="632"/>
      <c r="R56" s="13"/>
      <c r="S56" s="242"/>
      <c r="T56" s="443"/>
      <c r="U56" s="443"/>
      <c r="V56" s="242"/>
      <c r="W56" s="242"/>
      <c r="X56" s="242"/>
      <c r="Y56" s="242"/>
      <c r="Z56" s="242"/>
    </row>
    <row r="57">
      <c r="A57" s="621"/>
      <c r="B57" s="622">
        <f t="shared" si="7"/>
        <v>53</v>
      </c>
      <c r="C57" s="41"/>
      <c r="D57" s="625" t="s">
        <v>3561</v>
      </c>
      <c r="E57" s="625" t="s">
        <v>3562</v>
      </c>
      <c r="F57" s="626" t="s">
        <v>3492</v>
      </c>
      <c r="G57" s="640">
        <v>1478.0</v>
      </c>
      <c r="H57" s="622"/>
      <c r="I57" s="622"/>
      <c r="J57" s="628"/>
      <c r="K57" s="629" t="s">
        <v>3557</v>
      </c>
      <c r="L57" s="630"/>
      <c r="M57" s="606">
        <v>1415.0</v>
      </c>
      <c r="N57" s="606">
        <f t="shared" si="11"/>
        <v>1485.75</v>
      </c>
      <c r="O57" s="617">
        <v>1750.0</v>
      </c>
      <c r="P57" s="631">
        <f t="shared" si="14"/>
        <v>1581.46</v>
      </c>
      <c r="Q57" s="632"/>
      <c r="R57" s="13"/>
      <c r="S57" s="242"/>
      <c r="T57" s="443"/>
      <c r="U57" s="443"/>
      <c r="V57" s="242"/>
      <c r="W57" s="242"/>
      <c r="X57" s="242"/>
      <c r="Y57" s="242"/>
      <c r="Z57" s="242"/>
    </row>
    <row r="58">
      <c r="A58" s="621"/>
      <c r="B58" s="622">
        <f t="shared" si="7"/>
        <v>54</v>
      </c>
      <c r="C58" s="657" t="s">
        <v>202</v>
      </c>
      <c r="D58" s="216" t="s">
        <v>155</v>
      </c>
      <c r="E58" s="625" t="s">
        <v>144</v>
      </c>
      <c r="F58" s="626" t="s">
        <v>3493</v>
      </c>
      <c r="G58" s="627">
        <v>35.2</v>
      </c>
      <c r="H58" s="638"/>
      <c r="I58" s="216">
        <v>34.0</v>
      </c>
      <c r="J58" s="628"/>
      <c r="K58" s="629" t="s">
        <v>3541</v>
      </c>
      <c r="L58" s="630"/>
      <c r="M58" s="606">
        <v>33.5</v>
      </c>
      <c r="N58" s="606">
        <f t="shared" si="11"/>
        <v>35.175</v>
      </c>
      <c r="O58" s="631"/>
      <c r="P58" s="631">
        <f t="shared" si="14"/>
        <v>37.664</v>
      </c>
      <c r="Q58" s="632"/>
      <c r="R58" s="13"/>
      <c r="S58" s="242"/>
      <c r="T58" s="443"/>
      <c r="U58" s="443"/>
      <c r="V58" s="242"/>
      <c r="W58" s="242"/>
      <c r="X58" s="242"/>
      <c r="Y58" s="242"/>
      <c r="Z58" s="242"/>
    </row>
    <row r="59">
      <c r="A59" s="621"/>
      <c r="B59" s="622">
        <f t="shared" si="7"/>
        <v>55</v>
      </c>
      <c r="C59" s="176"/>
      <c r="D59" s="216" t="s">
        <v>304</v>
      </c>
      <c r="E59" s="625" t="s">
        <v>352</v>
      </c>
      <c r="F59" s="626" t="s">
        <v>3495</v>
      </c>
      <c r="G59" s="627">
        <v>59.6</v>
      </c>
      <c r="H59" s="638"/>
      <c r="I59" s="216">
        <v>50.0</v>
      </c>
      <c r="J59" s="628"/>
      <c r="K59" s="629" t="s">
        <v>3541</v>
      </c>
      <c r="L59" s="630"/>
      <c r="M59" s="606">
        <v>56.8</v>
      </c>
      <c r="N59" s="606">
        <f t="shared" si="11"/>
        <v>59.64</v>
      </c>
      <c r="O59" s="631"/>
      <c r="P59" s="631">
        <f t="shared" si="14"/>
        <v>63.772</v>
      </c>
      <c r="Q59" s="632"/>
      <c r="R59" s="13"/>
      <c r="S59" s="242"/>
      <c r="T59" s="443"/>
      <c r="U59" s="443"/>
      <c r="V59" s="242"/>
      <c r="W59" s="242"/>
      <c r="X59" s="242"/>
      <c r="Y59" s="242"/>
      <c r="Z59" s="242"/>
    </row>
    <row r="60">
      <c r="A60" s="621"/>
      <c r="B60" s="622">
        <f t="shared" si="7"/>
        <v>56</v>
      </c>
      <c r="C60" s="176"/>
      <c r="D60" s="216" t="s">
        <v>307</v>
      </c>
      <c r="E60" s="625" t="s">
        <v>153</v>
      </c>
      <c r="F60" s="626" t="s">
        <v>3496</v>
      </c>
      <c r="G60" s="640">
        <v>60.6</v>
      </c>
      <c r="H60" s="622"/>
      <c r="I60" s="216">
        <v>55.0</v>
      </c>
      <c r="J60" s="628"/>
      <c r="K60" s="629" t="s">
        <v>3541</v>
      </c>
      <c r="L60" s="630" t="s">
        <v>722</v>
      </c>
      <c r="M60" s="606">
        <v>57.7</v>
      </c>
      <c r="N60" s="606">
        <f t="shared" si="11"/>
        <v>60.585</v>
      </c>
      <c r="O60" s="631"/>
      <c r="P60" s="631"/>
      <c r="Q60" s="632"/>
      <c r="R60" s="13"/>
      <c r="S60" s="242"/>
      <c r="T60" s="443"/>
      <c r="U60" s="443"/>
      <c r="V60" s="242"/>
      <c r="W60" s="242"/>
      <c r="X60" s="242"/>
      <c r="Y60" s="242"/>
      <c r="Z60" s="242"/>
    </row>
    <row r="61">
      <c r="A61" s="621"/>
      <c r="B61" s="622">
        <f t="shared" si="7"/>
        <v>57</v>
      </c>
      <c r="C61" s="176"/>
      <c r="D61" s="216" t="s">
        <v>311</v>
      </c>
      <c r="E61" s="625" t="s">
        <v>401</v>
      </c>
      <c r="F61" s="626" t="s">
        <v>3497</v>
      </c>
      <c r="G61" s="640">
        <v>79.6</v>
      </c>
      <c r="H61" s="622"/>
      <c r="I61" s="216">
        <v>63.0</v>
      </c>
      <c r="J61" s="628"/>
      <c r="K61" s="629" t="s">
        <v>3541</v>
      </c>
      <c r="L61" s="630" t="s">
        <v>722</v>
      </c>
      <c r="M61" s="606">
        <v>76.35</v>
      </c>
      <c r="N61" s="606">
        <f t="shared" si="11"/>
        <v>80.1675</v>
      </c>
      <c r="O61" s="631"/>
      <c r="P61" s="631"/>
      <c r="Q61" s="632"/>
      <c r="R61" s="13"/>
      <c r="S61" s="242"/>
      <c r="T61" s="443"/>
      <c r="U61" s="443"/>
      <c r="V61" s="242"/>
      <c r="W61" s="242"/>
      <c r="X61" s="242"/>
      <c r="Y61" s="242"/>
      <c r="Z61" s="242"/>
    </row>
    <row r="62">
      <c r="A62" s="621"/>
      <c r="B62" s="622">
        <f t="shared" si="7"/>
        <v>58</v>
      </c>
      <c r="C62" s="176"/>
      <c r="D62" s="216" t="s">
        <v>314</v>
      </c>
      <c r="E62" s="625" t="s">
        <v>303</v>
      </c>
      <c r="F62" s="626" t="s">
        <v>3498</v>
      </c>
      <c r="G62" s="627">
        <v>83.0</v>
      </c>
      <c r="H62" s="638"/>
      <c r="I62" s="216">
        <v>70.0</v>
      </c>
      <c r="J62" s="628"/>
      <c r="K62" s="629" t="s">
        <v>3541</v>
      </c>
      <c r="L62" s="630"/>
      <c r="M62" s="606">
        <v>79.1</v>
      </c>
      <c r="N62" s="606">
        <f t="shared" si="11"/>
        <v>83.055</v>
      </c>
      <c r="O62" s="631"/>
      <c r="P62" s="631">
        <f>IFERROR((G62*7%)+G62,"")</f>
        <v>88.81</v>
      </c>
      <c r="Q62" s="632"/>
      <c r="R62" s="13"/>
      <c r="S62" s="242"/>
      <c r="T62" s="443"/>
      <c r="U62" s="443"/>
      <c r="V62" s="242"/>
      <c r="W62" s="242"/>
      <c r="X62" s="242"/>
      <c r="Y62" s="242"/>
      <c r="Z62" s="242"/>
    </row>
    <row r="63">
      <c r="A63" s="621"/>
      <c r="B63" s="622">
        <f t="shared" si="7"/>
        <v>59</v>
      </c>
      <c r="C63" s="176"/>
      <c r="D63" s="216" t="s">
        <v>318</v>
      </c>
      <c r="E63" s="625" t="s">
        <v>306</v>
      </c>
      <c r="F63" s="626" t="s">
        <v>3499</v>
      </c>
      <c r="G63" s="640">
        <v>84.8</v>
      </c>
      <c r="H63" s="622"/>
      <c r="I63" s="622"/>
      <c r="J63" s="628"/>
      <c r="K63" s="629" t="s">
        <v>3541</v>
      </c>
      <c r="L63" s="630" t="s">
        <v>722</v>
      </c>
      <c r="M63" s="606">
        <v>81.0</v>
      </c>
      <c r="N63" s="606">
        <f t="shared" si="11"/>
        <v>85.05</v>
      </c>
      <c r="O63" s="631"/>
      <c r="P63" s="631"/>
      <c r="Q63" s="632"/>
      <c r="R63" s="13"/>
      <c r="S63" s="242"/>
      <c r="T63" s="443"/>
      <c r="U63" s="443"/>
      <c r="V63" s="242"/>
      <c r="W63" s="242"/>
      <c r="X63" s="242"/>
      <c r="Y63" s="242"/>
      <c r="Z63" s="242"/>
    </row>
    <row r="64">
      <c r="A64" s="621"/>
      <c r="B64" s="622">
        <f t="shared" si="7"/>
        <v>60</v>
      </c>
      <c r="C64" s="176"/>
      <c r="D64" s="216" t="s">
        <v>321</v>
      </c>
      <c r="E64" s="625" t="s">
        <v>414</v>
      </c>
      <c r="F64" s="626" t="s">
        <v>3500</v>
      </c>
      <c r="G64" s="640">
        <v>154.4</v>
      </c>
      <c r="H64" s="622"/>
      <c r="I64" s="622"/>
      <c r="J64" s="628"/>
      <c r="K64" s="629" t="s">
        <v>2124</v>
      </c>
      <c r="L64" s="630" t="s">
        <v>722</v>
      </c>
      <c r="M64" s="606">
        <v>147.95</v>
      </c>
      <c r="N64" s="606">
        <f t="shared" si="11"/>
        <v>155.3475</v>
      </c>
      <c r="O64" s="631"/>
      <c r="P64" s="631"/>
      <c r="Q64" s="632"/>
      <c r="R64" s="13"/>
      <c r="S64" s="242"/>
      <c r="T64" s="443"/>
      <c r="U64" s="443"/>
      <c r="V64" s="242"/>
      <c r="W64" s="242"/>
      <c r="X64" s="242"/>
      <c r="Y64" s="242"/>
      <c r="Z64" s="242"/>
    </row>
    <row r="65">
      <c r="A65" s="621"/>
      <c r="B65" s="622">
        <f t="shared" si="7"/>
        <v>61</v>
      </c>
      <c r="C65" s="176"/>
      <c r="D65" s="216" t="s">
        <v>325</v>
      </c>
      <c r="E65" s="625" t="s">
        <v>310</v>
      </c>
      <c r="F65" s="626" t="s">
        <v>3501</v>
      </c>
      <c r="G65" s="640">
        <v>159.6</v>
      </c>
      <c r="H65" s="622"/>
      <c r="I65" s="622"/>
      <c r="J65" s="628"/>
      <c r="K65" s="629" t="s">
        <v>2124</v>
      </c>
      <c r="L65" s="630" t="s">
        <v>722</v>
      </c>
      <c r="M65" s="606">
        <v>153.55</v>
      </c>
      <c r="N65" s="606">
        <f t="shared" si="11"/>
        <v>161.2275</v>
      </c>
      <c r="O65" s="631"/>
      <c r="P65" s="631"/>
      <c r="Q65" s="632"/>
      <c r="R65" s="13"/>
      <c r="S65" s="242"/>
      <c r="T65" s="443"/>
      <c r="U65" s="443"/>
      <c r="V65" s="242"/>
      <c r="W65" s="242"/>
      <c r="X65" s="242"/>
      <c r="Y65" s="242"/>
      <c r="Z65" s="242"/>
    </row>
    <row r="66">
      <c r="A66" s="621"/>
      <c r="B66" s="622">
        <f t="shared" si="7"/>
        <v>62</v>
      </c>
      <c r="C66" s="176"/>
      <c r="D66" s="216" t="s">
        <v>328</v>
      </c>
      <c r="E66" s="625" t="s">
        <v>313</v>
      </c>
      <c r="F66" s="626" t="s">
        <v>3502</v>
      </c>
      <c r="G66" s="627">
        <v>161.2</v>
      </c>
      <c r="H66" s="638"/>
      <c r="I66" s="622"/>
      <c r="J66" s="628"/>
      <c r="K66" s="629" t="s">
        <v>2124</v>
      </c>
      <c r="L66" s="630"/>
      <c r="M66" s="606">
        <v>153.55</v>
      </c>
      <c r="N66" s="606">
        <f t="shared" si="11"/>
        <v>161.2275</v>
      </c>
      <c r="O66" s="631"/>
      <c r="P66" s="631">
        <f>IFERROR((G66*7%)+G66,"")</f>
        <v>172.484</v>
      </c>
      <c r="Q66" s="632"/>
      <c r="R66" s="13"/>
      <c r="S66" s="242"/>
      <c r="T66" s="443"/>
      <c r="U66" s="443"/>
      <c r="V66" s="242"/>
      <c r="W66" s="242"/>
      <c r="X66" s="242"/>
      <c r="Y66" s="242"/>
      <c r="Z66" s="242"/>
    </row>
    <row r="67">
      <c r="A67" s="621"/>
      <c r="B67" s="622">
        <f t="shared" si="7"/>
        <v>63</v>
      </c>
      <c r="C67" s="176"/>
      <c r="D67" s="216" t="s">
        <v>332</v>
      </c>
      <c r="E67" s="625" t="s">
        <v>317</v>
      </c>
      <c r="F67" s="626" t="s">
        <v>3503</v>
      </c>
      <c r="G67" s="640">
        <v>162.4</v>
      </c>
      <c r="H67" s="622"/>
      <c r="I67" s="622"/>
      <c r="J67" s="628"/>
      <c r="K67" s="629" t="s">
        <v>2124</v>
      </c>
      <c r="L67" s="630" t="s">
        <v>722</v>
      </c>
      <c r="M67" s="606">
        <v>154.5</v>
      </c>
      <c r="N67" s="606">
        <f t="shared" si="11"/>
        <v>162.225</v>
      </c>
      <c r="O67" s="631"/>
      <c r="P67" s="631"/>
      <c r="Q67" s="632"/>
      <c r="R67" s="13"/>
      <c r="S67" s="242"/>
      <c r="T67" s="443"/>
      <c r="U67" s="443"/>
      <c r="V67" s="242"/>
      <c r="W67" s="242"/>
      <c r="X67" s="242"/>
      <c r="Y67" s="242"/>
      <c r="Z67" s="242"/>
    </row>
    <row r="68">
      <c r="A68" s="621"/>
      <c r="B68" s="622">
        <f t="shared" si="7"/>
        <v>64</v>
      </c>
      <c r="C68" s="176"/>
      <c r="D68" s="216" t="s">
        <v>3575</v>
      </c>
      <c r="E68" s="625" t="s">
        <v>320</v>
      </c>
      <c r="F68" s="626" t="s">
        <v>3504</v>
      </c>
      <c r="G68" s="640">
        <v>318.0</v>
      </c>
      <c r="H68" s="622"/>
      <c r="I68" s="622"/>
      <c r="J68" s="628"/>
      <c r="K68" s="629" t="s">
        <v>2124</v>
      </c>
      <c r="L68" s="630" t="s">
        <v>722</v>
      </c>
      <c r="M68" s="606">
        <v>305.0</v>
      </c>
      <c r="N68" s="606">
        <f t="shared" si="11"/>
        <v>320.25</v>
      </c>
      <c r="O68" s="631"/>
      <c r="P68" s="631"/>
      <c r="Q68" s="632"/>
      <c r="R68" s="13"/>
      <c r="S68" s="242"/>
      <c r="T68" s="443"/>
      <c r="U68" s="443"/>
      <c r="V68" s="242"/>
      <c r="W68" s="242"/>
      <c r="X68" s="242"/>
      <c r="Y68" s="242"/>
      <c r="Z68" s="242"/>
    </row>
    <row r="69">
      <c r="A69" s="621"/>
      <c r="B69" s="622">
        <f t="shared" si="7"/>
        <v>65</v>
      </c>
      <c r="C69" s="176"/>
      <c r="D69" s="216" t="s">
        <v>3578</v>
      </c>
      <c r="E69" s="625" t="s">
        <v>324</v>
      </c>
      <c r="F69" s="626" t="s">
        <v>3505</v>
      </c>
      <c r="G69" s="640">
        <v>324.0</v>
      </c>
      <c r="H69" s="622"/>
      <c r="I69" s="622"/>
      <c r="J69" s="628"/>
      <c r="K69" s="629" t="s">
        <v>2124</v>
      </c>
      <c r="L69" s="630" t="s">
        <v>722</v>
      </c>
      <c r="M69" s="606">
        <v>310.0</v>
      </c>
      <c r="N69" s="606">
        <f t="shared" si="11"/>
        <v>325.5</v>
      </c>
      <c r="O69" s="631"/>
      <c r="P69" s="631"/>
      <c r="Q69" s="632"/>
      <c r="R69" s="13"/>
      <c r="S69" s="242"/>
      <c r="T69" s="443"/>
      <c r="U69" s="443"/>
      <c r="V69" s="242"/>
      <c r="W69" s="242"/>
      <c r="X69" s="242"/>
      <c r="Y69" s="242"/>
      <c r="Z69" s="242"/>
    </row>
    <row r="70">
      <c r="A70" s="621"/>
      <c r="B70" s="622">
        <f t="shared" si="7"/>
        <v>66</v>
      </c>
      <c r="C70" s="176"/>
      <c r="D70" s="216" t="s">
        <v>3580</v>
      </c>
      <c r="E70" s="625" t="s">
        <v>327</v>
      </c>
      <c r="F70" s="626" t="s">
        <v>3506</v>
      </c>
      <c r="G70" s="640">
        <v>328.0</v>
      </c>
      <c r="H70" s="622"/>
      <c r="I70" s="622"/>
      <c r="J70" s="628"/>
      <c r="K70" s="629" t="s">
        <v>2124</v>
      </c>
      <c r="L70" s="630" t="s">
        <v>722</v>
      </c>
      <c r="M70" s="606">
        <v>311.0</v>
      </c>
      <c r="N70" s="606">
        <f t="shared" si="11"/>
        <v>326.55</v>
      </c>
      <c r="O70" s="631"/>
      <c r="P70" s="631"/>
      <c r="Q70" s="632"/>
      <c r="R70" s="13"/>
      <c r="S70" s="242"/>
      <c r="T70" s="443"/>
      <c r="U70" s="443"/>
      <c r="V70" s="242"/>
      <c r="W70" s="242"/>
      <c r="X70" s="242"/>
      <c r="Y70" s="242"/>
      <c r="Z70" s="242"/>
    </row>
    <row r="71">
      <c r="A71" s="621"/>
      <c r="B71" s="622">
        <f t="shared" si="7"/>
        <v>67</v>
      </c>
      <c r="C71" s="41"/>
      <c r="D71" s="216" t="s">
        <v>3583</v>
      </c>
      <c r="E71" s="625" t="s">
        <v>331</v>
      </c>
      <c r="F71" s="626" t="s">
        <v>3507</v>
      </c>
      <c r="G71" s="640">
        <v>342.0</v>
      </c>
      <c r="H71" s="622"/>
      <c r="I71" s="622"/>
      <c r="J71" s="628"/>
      <c r="K71" s="629" t="s">
        <v>2124</v>
      </c>
      <c r="L71" s="630" t="s">
        <v>722</v>
      </c>
      <c r="M71" s="606">
        <v>326.0</v>
      </c>
      <c r="N71" s="606">
        <f t="shared" si="11"/>
        <v>342.3</v>
      </c>
      <c r="O71" s="631"/>
      <c r="P71" s="631"/>
      <c r="Q71" s="632"/>
      <c r="R71" s="13"/>
      <c r="S71" s="242"/>
      <c r="T71" s="443"/>
      <c r="U71" s="443"/>
      <c r="V71" s="242"/>
      <c r="W71" s="242"/>
      <c r="X71" s="242"/>
      <c r="Y71" s="242"/>
      <c r="Z71" s="242"/>
    </row>
    <row r="72">
      <c r="A72" s="621"/>
      <c r="B72" s="622">
        <f t="shared" si="7"/>
        <v>68</v>
      </c>
      <c r="C72" s="665" t="s">
        <v>3722</v>
      </c>
      <c r="D72" s="216" t="s">
        <v>3598</v>
      </c>
      <c r="E72" s="625" t="s">
        <v>397</v>
      </c>
      <c r="F72" s="626" t="s">
        <v>3508</v>
      </c>
      <c r="G72" s="627">
        <v>142.6</v>
      </c>
      <c r="H72" s="637">
        <v>26.0</v>
      </c>
      <c r="I72" s="216">
        <v>61.0</v>
      </c>
      <c r="J72" s="628"/>
      <c r="K72" s="629" t="s">
        <v>3551</v>
      </c>
      <c r="L72" s="630"/>
      <c r="M72" s="606">
        <v>87.5</v>
      </c>
      <c r="N72" s="606">
        <f t="shared" si="11"/>
        <v>91.875</v>
      </c>
      <c r="O72" s="617">
        <v>75.9</v>
      </c>
      <c r="P72" s="631">
        <f t="shared" ref="P72:P74" si="15">IFERROR((G72*15%)+G72,"")</f>
        <v>163.99</v>
      </c>
      <c r="Q72" s="632"/>
      <c r="R72" s="13"/>
      <c r="S72" s="242"/>
      <c r="T72" s="443"/>
      <c r="U72" s="443"/>
      <c r="V72" s="242"/>
      <c r="W72" s="242"/>
      <c r="X72" s="242"/>
      <c r="Y72" s="242"/>
      <c r="Z72" s="242"/>
    </row>
    <row r="73">
      <c r="A73" s="621"/>
      <c r="B73" s="622">
        <f t="shared" si="7"/>
        <v>69</v>
      </c>
      <c r="C73" s="176"/>
      <c r="D73" s="216" t="s">
        <v>3618</v>
      </c>
      <c r="E73" s="625" t="s">
        <v>144</v>
      </c>
      <c r="F73" s="626" t="s">
        <v>3510</v>
      </c>
      <c r="G73" s="627">
        <v>157.5</v>
      </c>
      <c r="H73" s="637">
        <v>26.0</v>
      </c>
      <c r="I73" s="216">
        <v>72.0</v>
      </c>
      <c r="J73" s="628"/>
      <c r="K73" s="629" t="s">
        <v>3551</v>
      </c>
      <c r="L73" s="630"/>
      <c r="M73" s="606">
        <v>108.9</v>
      </c>
      <c r="N73" s="606">
        <f t="shared" si="11"/>
        <v>114.345</v>
      </c>
      <c r="O73" s="617">
        <v>84.2</v>
      </c>
      <c r="P73" s="631">
        <f t="shared" si="15"/>
        <v>181.125</v>
      </c>
      <c r="Q73" s="632"/>
      <c r="R73" s="13"/>
      <c r="S73" s="242"/>
      <c r="T73" s="443"/>
      <c r="U73" s="443"/>
      <c r="V73" s="242"/>
      <c r="W73" s="242"/>
      <c r="X73" s="242"/>
      <c r="Y73" s="242"/>
      <c r="Z73" s="242"/>
    </row>
    <row r="74">
      <c r="A74" s="621"/>
      <c r="B74" s="622">
        <f t="shared" si="7"/>
        <v>70</v>
      </c>
      <c r="C74" s="176"/>
      <c r="D74" s="216" t="s">
        <v>3625</v>
      </c>
      <c r="E74" s="625" t="s">
        <v>409</v>
      </c>
      <c r="F74" s="626" t="s">
        <v>3511</v>
      </c>
      <c r="G74" s="627">
        <v>184.0</v>
      </c>
      <c r="H74" s="638"/>
      <c r="I74" s="622"/>
      <c r="J74" s="628"/>
      <c r="K74" s="629" t="s">
        <v>2124</v>
      </c>
      <c r="L74" s="630"/>
      <c r="M74" s="606">
        <v>272.0</v>
      </c>
      <c r="N74" s="606">
        <f t="shared" si="11"/>
        <v>285.6</v>
      </c>
      <c r="O74" s="617">
        <v>198.0</v>
      </c>
      <c r="P74" s="631">
        <f t="shared" si="15"/>
        <v>211.6</v>
      </c>
      <c r="Q74" s="632"/>
      <c r="R74" s="13"/>
      <c r="S74" s="242"/>
      <c r="T74" s="443"/>
      <c r="U74" s="443"/>
      <c r="V74" s="242"/>
      <c r="W74" s="242"/>
      <c r="X74" s="242"/>
      <c r="Y74" s="242"/>
      <c r="Z74" s="242"/>
    </row>
    <row r="75">
      <c r="A75" s="621"/>
      <c r="B75" s="622">
        <f t="shared" si="7"/>
        <v>71</v>
      </c>
      <c r="C75" s="176"/>
      <c r="D75" s="216" t="s">
        <v>3729</v>
      </c>
      <c r="E75" s="625" t="s">
        <v>352</v>
      </c>
      <c r="F75" s="626" t="s">
        <v>3512</v>
      </c>
      <c r="G75" s="640">
        <v>194.0</v>
      </c>
      <c r="H75" s="622"/>
      <c r="I75" s="622"/>
      <c r="J75" s="628"/>
      <c r="K75" s="629" t="s">
        <v>3557</v>
      </c>
      <c r="L75" s="630" t="s">
        <v>722</v>
      </c>
      <c r="M75" s="606">
        <v>178.0</v>
      </c>
      <c r="N75" s="606">
        <f t="shared" ref="N75:N81" si="16">IFERROR(M75*10%,"")+M75</f>
        <v>195.8</v>
      </c>
      <c r="O75" s="617"/>
      <c r="P75" s="631"/>
      <c r="Q75" s="632"/>
      <c r="R75" s="13"/>
      <c r="S75" s="242"/>
      <c r="T75" s="443"/>
      <c r="U75" s="443"/>
      <c r="V75" s="242"/>
      <c r="W75" s="242"/>
      <c r="X75" s="242"/>
      <c r="Y75" s="242"/>
      <c r="Z75" s="242"/>
    </row>
    <row r="76">
      <c r="A76" s="621"/>
      <c r="B76" s="622">
        <f t="shared" si="7"/>
        <v>72</v>
      </c>
      <c r="C76" s="41"/>
      <c r="D76" s="216" t="s">
        <v>3628</v>
      </c>
      <c r="E76" s="625" t="s">
        <v>306</v>
      </c>
      <c r="F76" s="626" t="s">
        <v>3731</v>
      </c>
      <c r="G76" s="640">
        <v>0.0</v>
      </c>
      <c r="H76" s="622"/>
      <c r="I76" s="622"/>
      <c r="J76" s="628"/>
      <c r="K76" s="629" t="s">
        <v>2124</v>
      </c>
      <c r="L76" s="630"/>
      <c r="M76" s="476"/>
      <c r="N76" s="606">
        <f t="shared" si="16"/>
        <v>0</v>
      </c>
      <c r="O76" s="617"/>
      <c r="P76" s="631"/>
      <c r="Q76" s="632"/>
      <c r="R76" s="13"/>
      <c r="S76" s="242"/>
      <c r="T76" s="443"/>
      <c r="U76" s="443"/>
      <c r="V76" s="242"/>
      <c r="W76" s="242"/>
      <c r="X76" s="242"/>
      <c r="Y76" s="242"/>
      <c r="Z76" s="242"/>
    </row>
    <row r="77">
      <c r="A77" s="621"/>
      <c r="B77" s="622">
        <f t="shared" si="7"/>
        <v>73</v>
      </c>
      <c r="C77" s="641" t="s">
        <v>3733</v>
      </c>
      <c r="D77" s="216" t="s">
        <v>3598</v>
      </c>
      <c r="E77" s="625" t="s">
        <v>397</v>
      </c>
      <c r="F77" s="626" t="s">
        <v>3513</v>
      </c>
      <c r="G77" s="640">
        <v>136.8</v>
      </c>
      <c r="H77" s="216">
        <v>40.0</v>
      </c>
      <c r="I77" s="216">
        <v>79.0</v>
      </c>
      <c r="J77" s="628"/>
      <c r="K77" s="629" t="s">
        <v>3541</v>
      </c>
      <c r="L77" s="630"/>
      <c r="M77" s="606">
        <v>124.7</v>
      </c>
      <c r="N77" s="606">
        <f t="shared" si="16"/>
        <v>137.17</v>
      </c>
      <c r="O77" s="631"/>
      <c r="P77" s="631">
        <f t="shared" ref="P77:P78" si="17">IFERROR((G77*15%)+G77,"")</f>
        <v>157.32</v>
      </c>
      <c r="Q77" s="632"/>
      <c r="R77" s="13"/>
      <c r="S77" s="242"/>
      <c r="T77" s="443"/>
      <c r="U77" s="443"/>
      <c r="V77" s="242"/>
      <c r="W77" s="242"/>
      <c r="X77" s="242"/>
      <c r="Y77" s="242"/>
      <c r="Z77" s="242"/>
    </row>
    <row r="78">
      <c r="A78" s="621"/>
      <c r="B78" s="622">
        <f t="shared" si="7"/>
        <v>74</v>
      </c>
      <c r="C78" s="176"/>
      <c r="D78" s="216" t="s">
        <v>3618</v>
      </c>
      <c r="E78" s="625" t="s">
        <v>144</v>
      </c>
      <c r="F78" s="626" t="s">
        <v>3515</v>
      </c>
      <c r="G78" s="640">
        <v>149.6</v>
      </c>
      <c r="H78" s="216">
        <v>40.0</v>
      </c>
      <c r="I78" s="216">
        <v>92.0</v>
      </c>
      <c r="J78" s="628"/>
      <c r="K78" s="629" t="s">
        <v>3541</v>
      </c>
      <c r="L78" s="630"/>
      <c r="M78" s="606">
        <v>137.75</v>
      </c>
      <c r="N78" s="606">
        <f t="shared" si="16"/>
        <v>151.525</v>
      </c>
      <c r="O78" s="631"/>
      <c r="P78" s="631">
        <f t="shared" si="17"/>
        <v>172.04</v>
      </c>
      <c r="Q78" s="632"/>
      <c r="R78" s="13"/>
      <c r="S78" s="242"/>
      <c r="T78" s="443"/>
      <c r="U78" s="443"/>
      <c r="V78" s="242"/>
      <c r="W78" s="242"/>
      <c r="X78" s="242"/>
      <c r="Y78" s="242"/>
      <c r="Z78" s="242"/>
    </row>
    <row r="79">
      <c r="A79" s="621"/>
      <c r="B79" s="622">
        <f t="shared" si="7"/>
        <v>75</v>
      </c>
      <c r="C79" s="176"/>
      <c r="D79" s="216" t="s">
        <v>3625</v>
      </c>
      <c r="E79" s="625" t="s">
        <v>409</v>
      </c>
      <c r="F79" s="626" t="s">
        <v>3517</v>
      </c>
      <c r="G79" s="640">
        <v>279.4</v>
      </c>
      <c r="H79" s="622"/>
      <c r="I79" s="622"/>
      <c r="J79" s="628"/>
      <c r="K79" s="629" t="s">
        <v>2124</v>
      </c>
      <c r="L79" s="630"/>
      <c r="M79" s="606">
        <v>256.0</v>
      </c>
      <c r="N79" s="606">
        <f t="shared" si="16"/>
        <v>281.6</v>
      </c>
      <c r="O79" s="631"/>
      <c r="P79" s="631"/>
      <c r="Q79" s="632"/>
      <c r="R79" s="13"/>
      <c r="S79" s="242"/>
      <c r="T79" s="443"/>
      <c r="U79" s="443"/>
      <c r="V79" s="242"/>
      <c r="W79" s="242"/>
      <c r="X79" s="242"/>
      <c r="Y79" s="242"/>
      <c r="Z79" s="242"/>
    </row>
    <row r="80">
      <c r="A80" s="621"/>
      <c r="B80" s="622">
        <f t="shared" si="7"/>
        <v>76</v>
      </c>
      <c r="C80" s="176"/>
      <c r="D80" s="216" t="s">
        <v>3729</v>
      </c>
      <c r="E80" s="625" t="s">
        <v>352</v>
      </c>
      <c r="F80" s="626" t="s">
        <v>3519</v>
      </c>
      <c r="G80" s="640">
        <v>169.6</v>
      </c>
      <c r="H80" s="622"/>
      <c r="I80" s="622"/>
      <c r="J80" s="628"/>
      <c r="K80" s="629" t="s">
        <v>3557</v>
      </c>
      <c r="L80" s="630" t="s">
        <v>722</v>
      </c>
      <c r="M80" s="606">
        <v>156.0</v>
      </c>
      <c r="N80" s="606">
        <f t="shared" si="16"/>
        <v>171.6</v>
      </c>
      <c r="O80" s="631"/>
      <c r="P80" s="631"/>
      <c r="Q80" s="632"/>
      <c r="R80" s="13"/>
      <c r="S80" s="242"/>
      <c r="T80" s="443"/>
      <c r="U80" s="443"/>
      <c r="V80" s="242"/>
      <c r="W80" s="242"/>
      <c r="X80" s="242"/>
      <c r="Y80" s="242"/>
      <c r="Z80" s="242"/>
    </row>
    <row r="81">
      <c r="A81" s="621"/>
      <c r="B81" s="622">
        <f t="shared" si="7"/>
        <v>77</v>
      </c>
      <c r="C81" s="41"/>
      <c r="D81" s="216" t="s">
        <v>3628</v>
      </c>
      <c r="E81" s="625" t="s">
        <v>306</v>
      </c>
      <c r="F81" s="626" t="s">
        <v>3522</v>
      </c>
      <c r="G81" s="640">
        <v>0.0</v>
      </c>
      <c r="H81" s="622"/>
      <c r="I81" s="622"/>
      <c r="J81" s="628"/>
      <c r="K81" s="629" t="s">
        <v>2124</v>
      </c>
      <c r="L81" s="630"/>
      <c r="M81" s="476"/>
      <c r="N81" s="606">
        <f t="shared" si="16"/>
        <v>0</v>
      </c>
      <c r="O81" s="631"/>
      <c r="P81" s="631"/>
      <c r="Q81" s="632"/>
      <c r="R81" s="13"/>
      <c r="S81" s="242"/>
      <c r="T81" s="443"/>
      <c r="U81" s="443"/>
      <c r="V81" s="242"/>
      <c r="W81" s="242"/>
      <c r="X81" s="242"/>
      <c r="Y81" s="242"/>
      <c r="Z81" s="242"/>
    </row>
    <row r="82">
      <c r="A82" s="621"/>
      <c r="B82" s="622">
        <f t="shared" si="7"/>
        <v>78</v>
      </c>
      <c r="C82" s="664" t="s">
        <v>247</v>
      </c>
      <c r="D82" s="624" t="s">
        <v>341</v>
      </c>
      <c r="E82" s="624" t="s">
        <v>43</v>
      </c>
      <c r="F82" s="626" t="s">
        <v>3523</v>
      </c>
      <c r="G82" s="627">
        <v>92.8</v>
      </c>
      <c r="H82" s="638"/>
      <c r="I82" s="216">
        <v>28.0</v>
      </c>
      <c r="J82" s="628"/>
      <c r="K82" s="629" t="s">
        <v>3541</v>
      </c>
      <c r="L82" s="630"/>
      <c r="M82" s="606">
        <v>88.4</v>
      </c>
      <c r="N82" s="606">
        <f t="shared" ref="N82:N107" si="18">IFERROR(M82*$N$2,"")+M82</f>
        <v>92.82</v>
      </c>
      <c r="O82" s="617">
        <v>96.0</v>
      </c>
      <c r="P82" s="631">
        <f t="shared" ref="P82:P86" si="19">IFERROR((G82*7%)+G82,"")</f>
        <v>99.296</v>
      </c>
      <c r="Q82" s="632"/>
      <c r="R82" s="13"/>
      <c r="S82" s="242"/>
      <c r="T82" s="443"/>
      <c r="U82" s="443"/>
      <c r="V82" s="242"/>
      <c r="W82" s="242"/>
      <c r="X82" s="242"/>
      <c r="Y82" s="242"/>
      <c r="Z82" s="242"/>
    </row>
    <row r="83">
      <c r="A83" s="621"/>
      <c r="B83" s="622">
        <f t="shared" si="7"/>
        <v>79</v>
      </c>
      <c r="C83" s="176"/>
      <c r="D83" s="624" t="s">
        <v>346</v>
      </c>
      <c r="E83" s="624" t="s">
        <v>51</v>
      </c>
      <c r="F83" s="626" t="s">
        <v>3525</v>
      </c>
      <c r="G83" s="627">
        <v>126.0</v>
      </c>
      <c r="H83" s="638"/>
      <c r="I83" s="216">
        <v>49.0</v>
      </c>
      <c r="J83" s="628"/>
      <c r="K83" s="629" t="s">
        <v>3541</v>
      </c>
      <c r="L83" s="630"/>
      <c r="M83" s="606">
        <v>120.05</v>
      </c>
      <c r="N83" s="606">
        <f t="shared" si="18"/>
        <v>126.0525</v>
      </c>
      <c r="O83" s="617">
        <v>150.0</v>
      </c>
      <c r="P83" s="631">
        <f t="shared" si="19"/>
        <v>134.82</v>
      </c>
      <c r="Q83" s="632"/>
      <c r="R83" s="13"/>
      <c r="S83" s="242"/>
      <c r="T83" s="443"/>
      <c r="U83" s="443"/>
      <c r="V83" s="242"/>
      <c r="W83" s="242"/>
      <c r="X83" s="242"/>
      <c r="Y83" s="242"/>
      <c r="Z83" s="242"/>
    </row>
    <row r="84">
      <c r="A84" s="621"/>
      <c r="B84" s="622">
        <f t="shared" si="7"/>
        <v>80</v>
      </c>
      <c r="C84" s="176"/>
      <c r="D84" s="624" t="s">
        <v>356</v>
      </c>
      <c r="E84" s="624" t="s">
        <v>84</v>
      </c>
      <c r="F84" s="626" t="s">
        <v>3531</v>
      </c>
      <c r="G84" s="627">
        <v>246.2</v>
      </c>
      <c r="H84" s="638"/>
      <c r="I84" s="216">
        <v>77.0</v>
      </c>
      <c r="J84" s="628"/>
      <c r="K84" s="629" t="s">
        <v>3541</v>
      </c>
      <c r="L84" s="630"/>
      <c r="M84" s="606">
        <v>234.5</v>
      </c>
      <c r="N84" s="606">
        <f t="shared" si="18"/>
        <v>246.225</v>
      </c>
      <c r="O84" s="617">
        <v>180.0</v>
      </c>
      <c r="P84" s="631">
        <f t="shared" si="19"/>
        <v>263.434</v>
      </c>
      <c r="Q84" s="632"/>
      <c r="R84" s="13"/>
      <c r="S84" s="242"/>
      <c r="T84" s="443"/>
      <c r="U84" s="443"/>
      <c r="V84" s="242"/>
      <c r="W84" s="242"/>
      <c r="X84" s="242"/>
      <c r="Y84" s="242"/>
      <c r="Z84" s="242"/>
    </row>
    <row r="85">
      <c r="A85" s="621"/>
      <c r="B85" s="622">
        <f t="shared" si="7"/>
        <v>81</v>
      </c>
      <c r="C85" s="176"/>
      <c r="D85" s="625" t="s">
        <v>3549</v>
      </c>
      <c r="E85" s="624" t="s">
        <v>55</v>
      </c>
      <c r="F85" s="626" t="s">
        <v>3534</v>
      </c>
      <c r="G85" s="627">
        <v>635.0</v>
      </c>
      <c r="H85" s="638"/>
      <c r="I85" s="622"/>
      <c r="J85" s="628"/>
      <c r="K85" s="629" t="s">
        <v>2124</v>
      </c>
      <c r="L85" s="630"/>
      <c r="M85" s="606">
        <v>604.85</v>
      </c>
      <c r="N85" s="606">
        <f t="shared" si="18"/>
        <v>635.0925</v>
      </c>
      <c r="O85" s="631"/>
      <c r="P85" s="631">
        <f t="shared" si="19"/>
        <v>679.45</v>
      </c>
      <c r="Q85" s="632"/>
      <c r="R85" s="13"/>
      <c r="S85" s="242"/>
      <c r="T85" s="443"/>
      <c r="U85" s="443"/>
      <c r="V85" s="242"/>
      <c r="W85" s="242"/>
      <c r="X85" s="242"/>
      <c r="Y85" s="242"/>
      <c r="Z85" s="242"/>
    </row>
    <row r="86">
      <c r="A86" s="621"/>
      <c r="B86" s="622">
        <f t="shared" si="7"/>
        <v>82</v>
      </c>
      <c r="C86" s="176"/>
      <c r="D86" s="625" t="s">
        <v>3552</v>
      </c>
      <c r="E86" s="624" t="s">
        <v>56</v>
      </c>
      <c r="F86" s="626" t="s">
        <v>3536</v>
      </c>
      <c r="G86" s="627">
        <v>895.9</v>
      </c>
      <c r="H86" s="638"/>
      <c r="I86" s="622"/>
      <c r="J86" s="628"/>
      <c r="K86" s="629" t="s">
        <v>2124</v>
      </c>
      <c r="L86" s="630"/>
      <c r="M86" s="606">
        <v>853.3</v>
      </c>
      <c r="N86" s="606">
        <f t="shared" si="18"/>
        <v>895.965</v>
      </c>
      <c r="O86" s="631"/>
      <c r="P86" s="631">
        <f t="shared" si="19"/>
        <v>958.613</v>
      </c>
      <c r="Q86" s="632"/>
      <c r="R86" s="13"/>
      <c r="S86" s="242"/>
      <c r="T86" s="443"/>
      <c r="U86" s="443"/>
      <c r="V86" s="242"/>
      <c r="W86" s="242"/>
      <c r="X86" s="242"/>
      <c r="Y86" s="242"/>
      <c r="Z86" s="242"/>
    </row>
    <row r="87">
      <c r="A87" s="621"/>
      <c r="B87" s="622">
        <f t="shared" si="7"/>
        <v>83</v>
      </c>
      <c r="C87" s="41"/>
      <c r="D87" s="625" t="s">
        <v>3554</v>
      </c>
      <c r="E87" s="625" t="s">
        <v>107</v>
      </c>
      <c r="F87" s="626" t="s">
        <v>3537</v>
      </c>
      <c r="G87" s="640">
        <v>1118.0</v>
      </c>
      <c r="H87" s="622"/>
      <c r="I87" s="622"/>
      <c r="J87" s="628"/>
      <c r="K87" s="629" t="s">
        <v>2124</v>
      </c>
      <c r="L87" s="630" t="s">
        <v>722</v>
      </c>
      <c r="M87" s="606">
        <v>1068.0</v>
      </c>
      <c r="N87" s="606">
        <f t="shared" si="18"/>
        <v>1121.4</v>
      </c>
      <c r="O87" s="631"/>
      <c r="P87" s="631"/>
      <c r="Q87" s="632"/>
      <c r="R87" s="13"/>
      <c r="S87" s="242"/>
      <c r="T87" s="443"/>
      <c r="U87" s="443"/>
      <c r="V87" s="242"/>
      <c r="W87" s="242"/>
      <c r="X87" s="242"/>
      <c r="Y87" s="242"/>
      <c r="Z87" s="242"/>
    </row>
    <row r="88">
      <c r="A88" s="621"/>
      <c r="B88" s="622">
        <f t="shared" si="7"/>
        <v>84</v>
      </c>
      <c r="C88" s="666" t="s">
        <v>854</v>
      </c>
      <c r="D88" s="624" t="s">
        <v>341</v>
      </c>
      <c r="E88" s="624" t="s">
        <v>43</v>
      </c>
      <c r="F88" s="626" t="s">
        <v>3538</v>
      </c>
      <c r="G88" s="627">
        <v>95.8</v>
      </c>
      <c r="H88" s="638"/>
      <c r="I88" s="622"/>
      <c r="J88" s="628"/>
      <c r="K88" s="629" t="s">
        <v>3541</v>
      </c>
      <c r="L88" s="630"/>
      <c r="M88" s="606">
        <v>91.2</v>
      </c>
      <c r="N88" s="606">
        <f t="shared" si="18"/>
        <v>95.76</v>
      </c>
      <c r="O88" s="617">
        <v>37.2</v>
      </c>
      <c r="P88" s="631">
        <f t="shared" ref="P88:P92" si="20">IFERROR((G88*7%)+G88,"")</f>
        <v>102.506</v>
      </c>
      <c r="Q88" s="632"/>
      <c r="R88" s="13"/>
      <c r="S88" s="242"/>
      <c r="T88" s="443"/>
      <c r="U88" s="443"/>
      <c r="V88" s="242"/>
      <c r="W88" s="242"/>
      <c r="X88" s="242"/>
      <c r="Y88" s="242"/>
      <c r="Z88" s="242"/>
    </row>
    <row r="89">
      <c r="A89" s="621"/>
      <c r="B89" s="622">
        <f t="shared" si="7"/>
        <v>85</v>
      </c>
      <c r="C89" s="176"/>
      <c r="D89" s="624" t="s">
        <v>346</v>
      </c>
      <c r="E89" s="624" t="s">
        <v>51</v>
      </c>
      <c r="F89" s="626" t="s">
        <v>3540</v>
      </c>
      <c r="G89" s="627">
        <v>101.6</v>
      </c>
      <c r="H89" s="638"/>
      <c r="I89" s="622"/>
      <c r="J89" s="628"/>
      <c r="K89" s="629" t="s">
        <v>3541</v>
      </c>
      <c r="L89" s="630"/>
      <c r="M89" s="606">
        <v>96.8</v>
      </c>
      <c r="N89" s="606">
        <f t="shared" si="18"/>
        <v>101.64</v>
      </c>
      <c r="O89" s="617">
        <v>57.8</v>
      </c>
      <c r="P89" s="631">
        <f t="shared" si="20"/>
        <v>108.712</v>
      </c>
      <c r="Q89" s="632"/>
      <c r="R89" s="13"/>
      <c r="S89" s="242"/>
      <c r="T89" s="443"/>
      <c r="U89" s="443"/>
      <c r="V89" s="242"/>
      <c r="W89" s="242"/>
      <c r="X89" s="242"/>
      <c r="Y89" s="242"/>
      <c r="Z89" s="242"/>
    </row>
    <row r="90">
      <c r="A90" s="621"/>
      <c r="B90" s="622">
        <f t="shared" si="7"/>
        <v>86</v>
      </c>
      <c r="C90" s="176"/>
      <c r="D90" s="624" t="s">
        <v>356</v>
      </c>
      <c r="E90" s="624" t="s">
        <v>84</v>
      </c>
      <c r="F90" s="626" t="s">
        <v>3542</v>
      </c>
      <c r="G90" s="627">
        <v>130.9</v>
      </c>
      <c r="H90" s="638"/>
      <c r="I90" s="622"/>
      <c r="J90" s="628"/>
      <c r="K90" s="629" t="s">
        <v>3541</v>
      </c>
      <c r="L90" s="630"/>
      <c r="M90" s="606">
        <v>124.7</v>
      </c>
      <c r="N90" s="606">
        <f t="shared" si="18"/>
        <v>130.935</v>
      </c>
      <c r="O90" s="617">
        <v>77.0</v>
      </c>
      <c r="P90" s="631">
        <f t="shared" si="20"/>
        <v>140.063</v>
      </c>
      <c r="Q90" s="632"/>
      <c r="R90" s="13"/>
      <c r="S90" s="242"/>
      <c r="T90" s="443"/>
      <c r="U90" s="443"/>
      <c r="V90" s="242"/>
      <c r="W90" s="242"/>
      <c r="X90" s="242"/>
      <c r="Y90" s="242"/>
      <c r="Z90" s="242"/>
    </row>
    <row r="91">
      <c r="A91" s="621"/>
      <c r="B91" s="622">
        <f t="shared" si="7"/>
        <v>87</v>
      </c>
      <c r="C91" s="176"/>
      <c r="D91" s="625" t="s">
        <v>3549</v>
      </c>
      <c r="E91" s="624" t="s">
        <v>55</v>
      </c>
      <c r="F91" s="626" t="s">
        <v>3543</v>
      </c>
      <c r="G91" s="627">
        <v>217.9</v>
      </c>
      <c r="H91" s="638"/>
      <c r="I91" s="622"/>
      <c r="J91" s="628"/>
      <c r="K91" s="629" t="s">
        <v>2124</v>
      </c>
      <c r="L91" s="630"/>
      <c r="M91" s="606">
        <v>207.55</v>
      </c>
      <c r="N91" s="606">
        <f t="shared" si="18"/>
        <v>217.9275</v>
      </c>
      <c r="O91" s="617">
        <v>110.0</v>
      </c>
      <c r="P91" s="631">
        <f t="shared" si="20"/>
        <v>233.153</v>
      </c>
      <c r="Q91" s="632"/>
      <c r="R91" s="13"/>
      <c r="S91" s="242"/>
      <c r="T91" s="443"/>
      <c r="U91" s="443"/>
      <c r="V91" s="242"/>
      <c r="W91" s="242"/>
      <c r="X91" s="242"/>
      <c r="Y91" s="242"/>
      <c r="Z91" s="242"/>
    </row>
    <row r="92">
      <c r="A92" s="621"/>
      <c r="B92" s="622">
        <f t="shared" si="7"/>
        <v>88</v>
      </c>
      <c r="C92" s="176"/>
      <c r="D92" s="625" t="s">
        <v>3552</v>
      </c>
      <c r="E92" s="624" t="s">
        <v>56</v>
      </c>
      <c r="F92" s="626" t="s">
        <v>3544</v>
      </c>
      <c r="G92" s="627">
        <v>292.9</v>
      </c>
      <c r="H92" s="638"/>
      <c r="I92" s="622"/>
      <c r="J92" s="628"/>
      <c r="K92" s="629" t="s">
        <v>2124</v>
      </c>
      <c r="L92" s="630"/>
      <c r="M92" s="606">
        <v>279.15</v>
      </c>
      <c r="N92" s="606">
        <f t="shared" si="18"/>
        <v>293.1075</v>
      </c>
      <c r="O92" s="617">
        <v>140.0</v>
      </c>
      <c r="P92" s="631">
        <f t="shared" si="20"/>
        <v>313.403</v>
      </c>
      <c r="Q92" s="632"/>
      <c r="R92" s="13"/>
      <c r="S92" s="242"/>
      <c r="T92" s="443"/>
      <c r="U92" s="443"/>
      <c r="V92" s="242"/>
      <c r="W92" s="242"/>
      <c r="X92" s="242"/>
      <c r="Y92" s="242"/>
      <c r="Z92" s="242"/>
    </row>
    <row r="93">
      <c r="A93" s="621"/>
      <c r="B93" s="622">
        <f t="shared" si="7"/>
        <v>89</v>
      </c>
      <c r="C93" s="41"/>
      <c r="D93" s="625" t="s">
        <v>3554</v>
      </c>
      <c r="E93" s="625" t="s">
        <v>107</v>
      </c>
      <c r="F93" s="626" t="s">
        <v>3545</v>
      </c>
      <c r="G93" s="640">
        <v>496.0</v>
      </c>
      <c r="H93" s="622"/>
      <c r="I93" s="622"/>
      <c r="J93" s="628"/>
      <c r="K93" s="629" t="s">
        <v>2124</v>
      </c>
      <c r="L93" s="630" t="s">
        <v>722</v>
      </c>
      <c r="M93" s="606">
        <v>474.0</v>
      </c>
      <c r="N93" s="606">
        <f t="shared" si="18"/>
        <v>497.7</v>
      </c>
      <c r="O93" s="617"/>
      <c r="P93" s="631"/>
      <c r="Q93" s="632"/>
      <c r="R93" s="13"/>
      <c r="S93" s="242"/>
      <c r="T93" s="443"/>
      <c r="U93" s="443"/>
      <c r="V93" s="242"/>
      <c r="W93" s="242"/>
      <c r="X93" s="242"/>
      <c r="Y93" s="242"/>
      <c r="Z93" s="242"/>
    </row>
    <row r="94">
      <c r="A94" s="621"/>
      <c r="B94" s="622">
        <f t="shared" si="7"/>
        <v>90</v>
      </c>
      <c r="C94" s="666" t="s">
        <v>361</v>
      </c>
      <c r="D94" s="624">
        <v>20.0</v>
      </c>
      <c r="E94" s="624" t="s">
        <v>43</v>
      </c>
      <c r="F94" s="629" t="s">
        <v>3546</v>
      </c>
      <c r="G94" s="627">
        <v>12.7</v>
      </c>
      <c r="H94" s="638"/>
      <c r="I94" s="622"/>
      <c r="J94" s="628"/>
      <c r="K94" s="629" t="s">
        <v>2124</v>
      </c>
      <c r="L94" s="630"/>
      <c r="M94" s="606">
        <v>12.1</v>
      </c>
      <c r="N94" s="606">
        <f t="shared" si="18"/>
        <v>12.705</v>
      </c>
      <c r="O94" s="617">
        <v>12.2</v>
      </c>
      <c r="P94" s="631">
        <f t="shared" ref="P94:P98" si="21">IFERROR((G94*7%)+G94,"")</f>
        <v>13.589</v>
      </c>
      <c r="Q94" s="3"/>
      <c r="R94" s="13"/>
      <c r="S94" s="242"/>
      <c r="T94" s="443"/>
      <c r="U94" s="443"/>
      <c r="V94" s="242"/>
      <c r="W94" s="242"/>
      <c r="X94" s="242"/>
      <c r="Y94" s="242"/>
      <c r="Z94" s="242"/>
    </row>
    <row r="95">
      <c r="A95" s="621"/>
      <c r="B95" s="622">
        <f t="shared" si="7"/>
        <v>91</v>
      </c>
      <c r="C95" s="176"/>
      <c r="D95" s="624">
        <v>25.0</v>
      </c>
      <c r="E95" s="624" t="s">
        <v>51</v>
      </c>
      <c r="F95" s="629" t="s">
        <v>3548</v>
      </c>
      <c r="G95" s="627">
        <v>18.6</v>
      </c>
      <c r="H95" s="638"/>
      <c r="I95" s="622"/>
      <c r="J95" s="628"/>
      <c r="K95" s="629" t="s">
        <v>2124</v>
      </c>
      <c r="L95" s="630"/>
      <c r="M95" s="606">
        <v>17.7</v>
      </c>
      <c r="N95" s="606">
        <f t="shared" si="18"/>
        <v>18.585</v>
      </c>
      <c r="O95" s="617">
        <v>24.0</v>
      </c>
      <c r="P95" s="631">
        <f t="shared" si="21"/>
        <v>19.902</v>
      </c>
      <c r="Q95" s="3"/>
      <c r="R95" s="13"/>
      <c r="S95" s="242"/>
      <c r="T95" s="443"/>
      <c r="U95" s="443"/>
      <c r="V95" s="242"/>
      <c r="W95" s="242"/>
      <c r="X95" s="242"/>
      <c r="Y95" s="242"/>
      <c r="Z95" s="242"/>
    </row>
    <row r="96">
      <c r="A96" s="621"/>
      <c r="B96" s="622">
        <f t="shared" si="7"/>
        <v>92</v>
      </c>
      <c r="C96" s="176"/>
      <c r="D96" s="625" t="s">
        <v>356</v>
      </c>
      <c r="E96" s="624" t="s">
        <v>84</v>
      </c>
      <c r="F96" s="629" t="s">
        <v>3550</v>
      </c>
      <c r="G96" s="627">
        <v>22.5</v>
      </c>
      <c r="H96" s="638"/>
      <c r="I96" s="622"/>
      <c r="J96" s="628"/>
      <c r="K96" s="629" t="s">
        <v>2124</v>
      </c>
      <c r="L96" s="630"/>
      <c r="M96" s="606">
        <v>21.45</v>
      </c>
      <c r="N96" s="606">
        <f t="shared" si="18"/>
        <v>22.5225</v>
      </c>
      <c r="O96" s="617">
        <v>27.9</v>
      </c>
      <c r="P96" s="631">
        <f t="shared" si="21"/>
        <v>24.075</v>
      </c>
      <c r="Q96" s="3"/>
      <c r="R96" s="13"/>
      <c r="S96" s="242"/>
      <c r="T96" s="443"/>
      <c r="U96" s="443"/>
      <c r="V96" s="242"/>
      <c r="W96" s="242"/>
      <c r="X96" s="242"/>
      <c r="Y96" s="242"/>
      <c r="Z96" s="242"/>
    </row>
    <row r="97">
      <c r="A97" s="621"/>
      <c r="B97" s="622">
        <f t="shared" si="7"/>
        <v>93</v>
      </c>
      <c r="C97" s="176"/>
      <c r="D97" s="625" t="s">
        <v>3549</v>
      </c>
      <c r="E97" s="624" t="s">
        <v>55</v>
      </c>
      <c r="F97" s="629" t="s">
        <v>3553</v>
      </c>
      <c r="G97" s="627">
        <v>31.3</v>
      </c>
      <c r="H97" s="638"/>
      <c r="I97" s="622"/>
      <c r="J97" s="628"/>
      <c r="K97" s="629" t="s">
        <v>2124</v>
      </c>
      <c r="L97" s="630"/>
      <c r="M97" s="606">
        <v>29.8</v>
      </c>
      <c r="N97" s="606">
        <f t="shared" si="18"/>
        <v>31.29</v>
      </c>
      <c r="O97" s="617">
        <v>37.3</v>
      </c>
      <c r="P97" s="631">
        <f t="shared" si="21"/>
        <v>33.491</v>
      </c>
      <c r="Q97" s="3"/>
      <c r="R97" s="13"/>
      <c r="S97" s="242"/>
      <c r="T97" s="443"/>
      <c r="U97" s="443"/>
      <c r="V97" s="242"/>
      <c r="W97" s="242"/>
      <c r="X97" s="242"/>
      <c r="Y97" s="242"/>
      <c r="Z97" s="242"/>
    </row>
    <row r="98">
      <c r="A98" s="621"/>
      <c r="B98" s="622">
        <f t="shared" si="7"/>
        <v>94</v>
      </c>
      <c r="C98" s="176"/>
      <c r="D98" s="625" t="s">
        <v>3552</v>
      </c>
      <c r="E98" s="624" t="s">
        <v>56</v>
      </c>
      <c r="F98" s="629" t="s">
        <v>3555</v>
      </c>
      <c r="G98" s="627">
        <v>59.6</v>
      </c>
      <c r="H98" s="638"/>
      <c r="I98" s="622"/>
      <c r="J98" s="628"/>
      <c r="K98" s="629" t="s">
        <v>2124</v>
      </c>
      <c r="L98" s="630"/>
      <c r="M98" s="606">
        <v>56.8</v>
      </c>
      <c r="N98" s="606">
        <f t="shared" si="18"/>
        <v>59.64</v>
      </c>
      <c r="O98" s="617">
        <v>63.3</v>
      </c>
      <c r="P98" s="631">
        <f t="shared" si="21"/>
        <v>63.772</v>
      </c>
      <c r="Q98" s="3"/>
      <c r="R98" s="13"/>
      <c r="S98" s="242"/>
      <c r="T98" s="443"/>
      <c r="U98" s="443"/>
      <c r="V98" s="242"/>
      <c r="W98" s="242"/>
      <c r="X98" s="242"/>
      <c r="Y98" s="242"/>
      <c r="Z98" s="242"/>
    </row>
    <row r="99">
      <c r="A99" s="621"/>
      <c r="B99" s="622">
        <f t="shared" si="7"/>
        <v>95</v>
      </c>
      <c r="C99" s="41"/>
      <c r="D99" s="625" t="s">
        <v>3554</v>
      </c>
      <c r="E99" s="625" t="s">
        <v>107</v>
      </c>
      <c r="F99" s="629" t="s">
        <v>3558</v>
      </c>
      <c r="G99" s="640">
        <v>98.0</v>
      </c>
      <c r="H99" s="622"/>
      <c r="I99" s="622"/>
      <c r="J99" s="628"/>
      <c r="K99" s="629" t="s">
        <v>2124</v>
      </c>
      <c r="L99" s="630" t="s">
        <v>722</v>
      </c>
      <c r="M99" s="606">
        <v>101.0</v>
      </c>
      <c r="N99" s="606">
        <f t="shared" si="18"/>
        <v>106.05</v>
      </c>
      <c r="O99" s="617"/>
      <c r="P99" s="631"/>
      <c r="Q99" s="3"/>
      <c r="R99" s="13"/>
      <c r="S99" s="242"/>
      <c r="T99" s="443"/>
      <c r="U99" s="443"/>
      <c r="V99" s="242"/>
      <c r="W99" s="242"/>
      <c r="X99" s="242"/>
      <c r="Y99" s="242"/>
      <c r="Z99" s="242"/>
    </row>
    <row r="100">
      <c r="A100" s="621"/>
      <c r="B100" s="622">
        <f t="shared" si="7"/>
        <v>96</v>
      </c>
      <c r="C100" s="641" t="s">
        <v>982</v>
      </c>
      <c r="D100" s="624">
        <v>15.0</v>
      </c>
      <c r="E100" s="624" t="s">
        <v>43</v>
      </c>
      <c r="F100" s="629" t="s">
        <v>3563</v>
      </c>
      <c r="G100" s="627">
        <v>8.2</v>
      </c>
      <c r="H100" s="638"/>
      <c r="I100" s="622"/>
      <c r="J100" s="628"/>
      <c r="K100" s="629" t="s">
        <v>3541</v>
      </c>
      <c r="L100" s="630"/>
      <c r="M100" s="476"/>
      <c r="N100" s="606">
        <f t="shared" si="18"/>
        <v>0</v>
      </c>
      <c r="O100" s="242"/>
      <c r="P100" s="631">
        <f t="shared" ref="P100:P105" si="22">IFERROR((G100*7%)+G100,"")</f>
        <v>8.774</v>
      </c>
      <c r="Q100" s="3"/>
      <c r="R100" s="13"/>
      <c r="S100" s="242"/>
      <c r="T100" s="443"/>
      <c r="U100" s="443"/>
      <c r="V100" s="242"/>
      <c r="W100" s="242"/>
      <c r="X100" s="242"/>
      <c r="Y100" s="242"/>
      <c r="Z100" s="242"/>
    </row>
    <row r="101">
      <c r="A101" s="621"/>
      <c r="B101" s="622">
        <f t="shared" si="7"/>
        <v>97</v>
      </c>
      <c r="C101" s="41"/>
      <c r="D101" s="622">
        <v>20.0</v>
      </c>
      <c r="E101" s="624" t="s">
        <v>51</v>
      </c>
      <c r="F101" s="629" t="s">
        <v>3565</v>
      </c>
      <c r="G101" s="627">
        <v>9.8</v>
      </c>
      <c r="H101" s="638"/>
      <c r="I101" s="622"/>
      <c r="J101" s="628"/>
      <c r="K101" s="629" t="s">
        <v>3541</v>
      </c>
      <c r="L101" s="630"/>
      <c r="M101" s="606">
        <v>6.55</v>
      </c>
      <c r="N101" s="606">
        <f t="shared" si="18"/>
        <v>6.8775</v>
      </c>
      <c r="O101" s="242"/>
      <c r="P101" s="631">
        <f t="shared" si="22"/>
        <v>10.486</v>
      </c>
      <c r="Q101" s="3"/>
      <c r="R101" s="13"/>
      <c r="S101" s="242"/>
      <c r="T101" s="443"/>
      <c r="U101" s="443"/>
      <c r="V101" s="242"/>
      <c r="W101" s="242"/>
      <c r="X101" s="242"/>
      <c r="Y101" s="242"/>
      <c r="Z101" s="242"/>
    </row>
    <row r="102">
      <c r="A102" s="621"/>
      <c r="B102" s="622">
        <f t="shared" si="7"/>
        <v>98</v>
      </c>
      <c r="C102" s="666" t="s">
        <v>3766</v>
      </c>
      <c r="D102" s="216">
        <v>25.0</v>
      </c>
      <c r="E102" s="624" t="s">
        <v>51</v>
      </c>
      <c r="F102" s="629" t="s">
        <v>3566</v>
      </c>
      <c r="G102" s="627">
        <v>197.4</v>
      </c>
      <c r="H102" s="638"/>
      <c r="I102" s="622"/>
      <c r="J102" s="628"/>
      <c r="K102" s="629" t="s">
        <v>3557</v>
      </c>
      <c r="L102" s="630"/>
      <c r="M102" s="606">
        <v>188.0</v>
      </c>
      <c r="N102" s="606">
        <f t="shared" si="18"/>
        <v>197.4</v>
      </c>
      <c r="O102" s="242"/>
      <c r="P102" s="631">
        <f t="shared" si="22"/>
        <v>211.218</v>
      </c>
      <c r="Q102" s="3"/>
      <c r="R102" s="13"/>
      <c r="S102" s="242"/>
      <c r="T102" s="443"/>
      <c r="U102" s="443"/>
      <c r="V102" s="242"/>
      <c r="W102" s="242"/>
      <c r="X102" s="242"/>
      <c r="Y102" s="242"/>
      <c r="Z102" s="242"/>
    </row>
    <row r="103">
      <c r="A103" s="621"/>
      <c r="B103" s="622">
        <f t="shared" si="7"/>
        <v>99</v>
      </c>
      <c r="C103" s="176"/>
      <c r="D103" s="216">
        <v>32.0</v>
      </c>
      <c r="E103" s="624" t="s">
        <v>84</v>
      </c>
      <c r="F103" s="629" t="s">
        <v>3568</v>
      </c>
      <c r="G103" s="627">
        <v>311.6</v>
      </c>
      <c r="H103" s="638"/>
      <c r="I103" s="622"/>
      <c r="J103" s="628"/>
      <c r="K103" s="629" t="s">
        <v>3557</v>
      </c>
      <c r="L103" s="630"/>
      <c r="M103" s="606">
        <v>296.85</v>
      </c>
      <c r="N103" s="606">
        <f t="shared" si="18"/>
        <v>311.6925</v>
      </c>
      <c r="O103" s="242"/>
      <c r="P103" s="631">
        <f t="shared" si="22"/>
        <v>333.412</v>
      </c>
      <c r="Q103" s="3"/>
      <c r="R103" s="13"/>
      <c r="S103" s="242"/>
      <c r="T103" s="443"/>
      <c r="U103" s="443"/>
      <c r="V103" s="242"/>
      <c r="W103" s="242"/>
      <c r="X103" s="242"/>
      <c r="Y103" s="242"/>
      <c r="Z103" s="242"/>
    </row>
    <row r="104">
      <c r="A104" s="621"/>
      <c r="B104" s="622">
        <f t="shared" si="7"/>
        <v>100</v>
      </c>
      <c r="C104" s="176"/>
      <c r="D104" s="216">
        <v>40.0</v>
      </c>
      <c r="E104" s="624" t="s">
        <v>55</v>
      </c>
      <c r="F104" s="629" t="s">
        <v>3569</v>
      </c>
      <c r="G104" s="627">
        <v>407.5</v>
      </c>
      <c r="H104" s="638"/>
      <c r="I104" s="622"/>
      <c r="J104" s="628"/>
      <c r="K104" s="629" t="s">
        <v>3557</v>
      </c>
      <c r="L104" s="630"/>
      <c r="M104" s="606">
        <v>388.05</v>
      </c>
      <c r="N104" s="606">
        <f t="shared" si="18"/>
        <v>407.4525</v>
      </c>
      <c r="O104" s="242"/>
      <c r="P104" s="631">
        <f t="shared" si="22"/>
        <v>436.025</v>
      </c>
      <c r="Q104" s="3"/>
      <c r="R104" s="13"/>
      <c r="S104" s="242"/>
      <c r="T104" s="443"/>
      <c r="U104" s="443"/>
      <c r="V104" s="242"/>
      <c r="W104" s="242"/>
      <c r="X104" s="242"/>
      <c r="Y104" s="242"/>
      <c r="Z104" s="242"/>
    </row>
    <row r="105">
      <c r="A105" s="621"/>
      <c r="B105" s="622">
        <f t="shared" si="7"/>
        <v>101</v>
      </c>
      <c r="C105" s="41"/>
      <c r="D105" s="216">
        <v>50.0</v>
      </c>
      <c r="E105" s="624" t="s">
        <v>56</v>
      </c>
      <c r="F105" s="629" t="s">
        <v>3570</v>
      </c>
      <c r="G105" s="627">
        <v>608.8</v>
      </c>
      <c r="H105" s="638"/>
      <c r="I105" s="622"/>
      <c r="J105" s="628"/>
      <c r="K105" s="629" t="s">
        <v>3557</v>
      </c>
      <c r="L105" s="630"/>
      <c r="M105" s="606">
        <v>579.75</v>
      </c>
      <c r="N105" s="606">
        <f t="shared" si="18"/>
        <v>608.7375</v>
      </c>
      <c r="O105" s="242"/>
      <c r="P105" s="631">
        <f t="shared" si="22"/>
        <v>651.416</v>
      </c>
      <c r="Q105" s="3"/>
      <c r="R105" s="13"/>
      <c r="S105" s="242"/>
      <c r="T105" s="443"/>
      <c r="U105" s="443"/>
      <c r="V105" s="242"/>
      <c r="W105" s="242"/>
      <c r="X105" s="242"/>
      <c r="Y105" s="242"/>
      <c r="Z105" s="242"/>
    </row>
    <row r="106">
      <c r="A106" s="621"/>
      <c r="B106" s="622">
        <f t="shared" si="7"/>
        <v>102</v>
      </c>
      <c r="C106" s="657" t="s">
        <v>3772</v>
      </c>
      <c r="D106" s="216">
        <v>32.0</v>
      </c>
      <c r="E106" s="624" t="s">
        <v>84</v>
      </c>
      <c r="F106" s="629" t="s">
        <v>3571</v>
      </c>
      <c r="G106" s="627">
        <v>1291.6</v>
      </c>
      <c r="H106" s="638"/>
      <c r="I106" s="622"/>
      <c r="J106" s="628"/>
      <c r="K106" s="629" t="s">
        <v>3557</v>
      </c>
      <c r="L106" s="630"/>
      <c r="M106" s="606">
        <v>1230.15</v>
      </c>
      <c r="N106" s="606">
        <f t="shared" si="18"/>
        <v>1291.6575</v>
      </c>
      <c r="O106" s="242"/>
      <c r="P106" s="631">
        <f t="shared" ref="P106:P108" si="23">IFERROR((G106*15%)+G106,"")</f>
        <v>1485.34</v>
      </c>
      <c r="Q106" s="3"/>
      <c r="R106" s="13"/>
      <c r="S106" s="242"/>
      <c r="T106" s="443"/>
      <c r="U106" s="443"/>
      <c r="V106" s="242"/>
      <c r="W106" s="242"/>
      <c r="X106" s="242"/>
      <c r="Y106" s="242"/>
      <c r="Z106" s="242"/>
    </row>
    <row r="107">
      <c r="A107" s="621"/>
      <c r="B107" s="622">
        <f t="shared" si="7"/>
        <v>103</v>
      </c>
      <c r="C107" s="176"/>
      <c r="D107" s="216">
        <v>40.0</v>
      </c>
      <c r="E107" s="624" t="s">
        <v>55</v>
      </c>
      <c r="F107" s="629" t="s">
        <v>3573</v>
      </c>
      <c r="G107" s="627">
        <v>2184.6</v>
      </c>
      <c r="H107" s="638"/>
      <c r="I107" s="622"/>
      <c r="J107" s="628"/>
      <c r="K107" s="629" t="s">
        <v>3557</v>
      </c>
      <c r="L107" s="630"/>
      <c r="M107" s="606">
        <v>2080.6</v>
      </c>
      <c r="N107" s="606">
        <f t="shared" si="18"/>
        <v>2184.63</v>
      </c>
      <c r="O107" s="242"/>
      <c r="P107" s="631">
        <f t="shared" si="23"/>
        <v>2512.29</v>
      </c>
      <c r="Q107" s="3"/>
      <c r="R107" s="13"/>
      <c r="S107" s="242"/>
      <c r="T107" s="443"/>
      <c r="U107" s="443"/>
      <c r="V107" s="242"/>
      <c r="W107" s="242"/>
      <c r="X107" s="242"/>
      <c r="Y107" s="242"/>
      <c r="Z107" s="242"/>
    </row>
    <row r="108">
      <c r="A108" s="621"/>
      <c r="B108" s="622">
        <f t="shared" si="7"/>
        <v>104</v>
      </c>
      <c r="C108" s="41"/>
      <c r="D108" s="216">
        <v>50.0</v>
      </c>
      <c r="E108" s="624" t="s">
        <v>56</v>
      </c>
      <c r="F108" s="629" t="s">
        <v>3574</v>
      </c>
      <c r="G108" s="640">
        <v>3480.0</v>
      </c>
      <c r="H108" s="622"/>
      <c r="I108" s="622"/>
      <c r="J108" s="628"/>
      <c r="K108" s="629" t="s">
        <v>3557</v>
      </c>
      <c r="L108" s="630"/>
      <c r="M108" s="242"/>
      <c r="N108" s="606"/>
      <c r="O108" s="242"/>
      <c r="P108" s="631">
        <f t="shared" si="23"/>
        <v>4002</v>
      </c>
      <c r="Q108" s="3"/>
      <c r="R108" s="13"/>
      <c r="S108" s="242"/>
      <c r="T108" s="443"/>
      <c r="U108" s="443"/>
      <c r="V108" s="242"/>
      <c r="W108" s="242"/>
      <c r="X108" s="242"/>
      <c r="Y108" s="242"/>
      <c r="Z108" s="242"/>
    </row>
    <row r="109">
      <c r="A109" s="242"/>
      <c r="B109" s="242"/>
      <c r="C109" s="242"/>
      <c r="D109" s="242"/>
      <c r="E109" s="13"/>
      <c r="F109" s="242"/>
      <c r="G109" s="242"/>
      <c r="H109" s="13"/>
      <c r="I109" s="13"/>
      <c r="J109" s="242"/>
      <c r="K109" s="242"/>
      <c r="L109" s="13"/>
      <c r="M109" s="242"/>
      <c r="N109" s="242"/>
      <c r="O109" s="242"/>
      <c r="P109" s="242"/>
      <c r="Q109" s="13"/>
      <c r="R109" s="13"/>
      <c r="S109" s="242"/>
      <c r="T109" s="443"/>
      <c r="U109" s="443"/>
      <c r="V109" s="242"/>
      <c r="W109" s="242"/>
      <c r="X109" s="242"/>
      <c r="Y109" s="242"/>
      <c r="Z109" s="242"/>
    </row>
    <row r="110">
      <c r="A110" s="618"/>
      <c r="B110" s="425" t="s">
        <v>3779</v>
      </c>
      <c r="C110" s="45"/>
      <c r="D110" s="45"/>
      <c r="E110" s="45"/>
      <c r="F110" s="45"/>
      <c r="G110" s="46"/>
      <c r="H110" s="513"/>
      <c r="I110" s="513"/>
      <c r="J110" s="299"/>
      <c r="K110" s="299"/>
      <c r="L110" s="13"/>
      <c r="M110" s="242"/>
      <c r="N110" s="242"/>
      <c r="O110" s="242"/>
      <c r="P110" s="242"/>
      <c r="Q110" s="13"/>
      <c r="R110" s="13"/>
      <c r="S110" s="242"/>
      <c r="T110" s="443"/>
      <c r="U110" s="443"/>
      <c r="V110" s="242"/>
      <c r="W110" s="242"/>
      <c r="X110" s="242"/>
      <c r="Y110" s="242"/>
      <c r="Z110" s="242"/>
    </row>
    <row r="111">
      <c r="A111" s="621"/>
      <c r="B111" s="622">
        <v>1.0</v>
      </c>
      <c r="C111" s="623" t="s">
        <v>1981</v>
      </c>
      <c r="D111" s="624" t="s">
        <v>341</v>
      </c>
      <c r="E111" s="625" t="s">
        <v>43</v>
      </c>
      <c r="F111" s="626" t="s">
        <v>3576</v>
      </c>
      <c r="G111" s="640">
        <v>13.2</v>
      </c>
      <c r="H111" s="667"/>
      <c r="I111" s="667"/>
      <c r="J111" s="628"/>
      <c r="K111" s="628"/>
      <c r="L111" s="13"/>
      <c r="M111" s="242"/>
      <c r="N111" s="242"/>
      <c r="O111" s="242"/>
      <c r="P111" s="631">
        <f t="shared" ref="P111:P122" si="24">IFERROR((G111*7%)+G111,"")</f>
        <v>14.124</v>
      </c>
      <c r="Q111" s="13"/>
      <c r="R111" s="13"/>
      <c r="S111" s="242"/>
      <c r="T111" s="443"/>
      <c r="U111" s="443"/>
      <c r="V111" s="242"/>
      <c r="W111" s="242"/>
      <c r="X111" s="242"/>
      <c r="Y111" s="242"/>
      <c r="Z111" s="242"/>
    </row>
    <row r="112">
      <c r="A112" s="621"/>
      <c r="B112" s="622">
        <f t="shared" ref="B112:B133" si="25">B111+1</f>
        <v>2</v>
      </c>
      <c r="C112" s="176"/>
      <c r="D112" s="624" t="s">
        <v>346</v>
      </c>
      <c r="E112" s="625" t="s">
        <v>51</v>
      </c>
      <c r="F112" s="626" t="s">
        <v>3579</v>
      </c>
      <c r="G112" s="640">
        <v>17.3</v>
      </c>
      <c r="H112" s="667"/>
      <c r="I112" s="667"/>
      <c r="J112" s="628"/>
      <c r="K112" s="628"/>
      <c r="L112" s="13"/>
      <c r="M112" s="242"/>
      <c r="N112" s="242"/>
      <c r="O112" s="242"/>
      <c r="P112" s="631">
        <f t="shared" si="24"/>
        <v>18.511</v>
      </c>
      <c r="Q112" s="13"/>
      <c r="R112" s="13"/>
      <c r="S112" s="242"/>
      <c r="T112" s="443"/>
      <c r="U112" s="443"/>
      <c r="V112" s="242"/>
      <c r="W112" s="242"/>
      <c r="X112" s="242"/>
      <c r="Y112" s="242"/>
      <c r="Z112" s="242"/>
    </row>
    <row r="113">
      <c r="A113" s="621"/>
      <c r="B113" s="622">
        <f t="shared" si="25"/>
        <v>3</v>
      </c>
      <c r="C113" s="176"/>
      <c r="D113" s="624" t="s">
        <v>356</v>
      </c>
      <c r="E113" s="625" t="s">
        <v>84</v>
      </c>
      <c r="F113" s="626" t="s">
        <v>3581</v>
      </c>
      <c r="G113" s="640">
        <v>31.5</v>
      </c>
      <c r="H113" s="667"/>
      <c r="I113" s="667"/>
      <c r="J113" s="628"/>
      <c r="K113" s="628"/>
      <c r="L113" s="13"/>
      <c r="M113" s="242"/>
      <c r="N113" s="242"/>
      <c r="O113" s="242"/>
      <c r="P113" s="631">
        <f t="shared" si="24"/>
        <v>33.705</v>
      </c>
      <c r="Q113" s="13"/>
      <c r="R113" s="13"/>
      <c r="S113" s="242"/>
      <c r="T113" s="443"/>
      <c r="U113" s="443"/>
      <c r="V113" s="242"/>
      <c r="W113" s="242"/>
      <c r="X113" s="242"/>
      <c r="Y113" s="242"/>
      <c r="Z113" s="242"/>
    </row>
    <row r="114">
      <c r="A114" s="621"/>
      <c r="B114" s="622">
        <f t="shared" si="25"/>
        <v>4</v>
      </c>
      <c r="C114" s="176"/>
      <c r="D114" s="625" t="s">
        <v>3549</v>
      </c>
      <c r="E114" s="625" t="s">
        <v>55</v>
      </c>
      <c r="F114" s="626" t="s">
        <v>3585</v>
      </c>
      <c r="G114" s="640">
        <v>45.7</v>
      </c>
      <c r="H114" s="667"/>
      <c r="I114" s="667"/>
      <c r="J114" s="628"/>
      <c r="K114" s="628"/>
      <c r="L114" s="13"/>
      <c r="M114" s="242"/>
      <c r="N114" s="242"/>
      <c r="O114" s="242"/>
      <c r="P114" s="631">
        <f t="shared" si="24"/>
        <v>48.899</v>
      </c>
      <c r="Q114" s="13"/>
      <c r="R114" s="13"/>
      <c r="S114" s="242"/>
      <c r="T114" s="443"/>
      <c r="U114" s="443"/>
      <c r="V114" s="242"/>
      <c r="W114" s="242"/>
      <c r="X114" s="242"/>
      <c r="Y114" s="242"/>
      <c r="Z114" s="242"/>
    </row>
    <row r="115">
      <c r="A115" s="621"/>
      <c r="B115" s="622">
        <f t="shared" si="25"/>
        <v>5</v>
      </c>
      <c r="C115" s="176"/>
      <c r="D115" s="625" t="s">
        <v>3552</v>
      </c>
      <c r="E115" s="625" t="s">
        <v>56</v>
      </c>
      <c r="F115" s="626" t="s">
        <v>3590</v>
      </c>
      <c r="G115" s="640">
        <v>72.2</v>
      </c>
      <c r="H115" s="667"/>
      <c r="I115" s="667"/>
      <c r="J115" s="628"/>
      <c r="K115" s="628"/>
      <c r="L115" s="13"/>
      <c r="M115" s="242"/>
      <c r="N115" s="242"/>
      <c r="O115" s="242"/>
      <c r="P115" s="631">
        <f t="shared" si="24"/>
        <v>77.254</v>
      </c>
      <c r="Q115" s="13"/>
      <c r="R115" s="13"/>
      <c r="S115" s="242"/>
      <c r="T115" s="443"/>
      <c r="U115" s="443"/>
      <c r="V115" s="242"/>
      <c r="W115" s="242"/>
      <c r="X115" s="242"/>
      <c r="Y115" s="242"/>
      <c r="Z115" s="242"/>
    </row>
    <row r="116">
      <c r="A116" s="621"/>
      <c r="B116" s="622">
        <f t="shared" si="25"/>
        <v>6</v>
      </c>
      <c r="C116" s="176"/>
      <c r="D116" s="625" t="s">
        <v>3554</v>
      </c>
      <c r="E116" s="625" t="s">
        <v>107</v>
      </c>
      <c r="F116" s="626" t="s">
        <v>3593</v>
      </c>
      <c r="G116" s="640">
        <v>137.6</v>
      </c>
      <c r="H116" s="667"/>
      <c r="I116" s="667"/>
      <c r="J116" s="628"/>
      <c r="K116" s="628"/>
      <c r="L116" s="13"/>
      <c r="M116" s="242"/>
      <c r="N116" s="242"/>
      <c r="O116" s="242"/>
      <c r="P116" s="631">
        <f t="shared" si="24"/>
        <v>147.232</v>
      </c>
      <c r="Q116" s="13"/>
      <c r="R116" s="13"/>
      <c r="S116" s="242"/>
      <c r="T116" s="443"/>
      <c r="U116" s="443"/>
      <c r="V116" s="242"/>
      <c r="W116" s="242"/>
      <c r="X116" s="242"/>
      <c r="Y116" s="242"/>
      <c r="Z116" s="242"/>
    </row>
    <row r="117">
      <c r="A117" s="621"/>
      <c r="B117" s="622">
        <f t="shared" si="25"/>
        <v>7</v>
      </c>
      <c r="C117" s="176"/>
      <c r="D117" s="625" t="s">
        <v>3556</v>
      </c>
      <c r="E117" s="625" t="s">
        <v>69</v>
      </c>
      <c r="F117" s="626" t="s">
        <v>3601</v>
      </c>
      <c r="G117" s="640">
        <v>289.1</v>
      </c>
      <c r="H117" s="667"/>
      <c r="I117" s="667"/>
      <c r="J117" s="628"/>
      <c r="K117" s="628"/>
      <c r="L117" s="13"/>
      <c r="M117" s="242"/>
      <c r="N117" s="242"/>
      <c r="O117" s="242"/>
      <c r="P117" s="631">
        <f t="shared" si="24"/>
        <v>309.337</v>
      </c>
      <c r="Q117" s="13"/>
      <c r="R117" s="13"/>
      <c r="S117" s="242"/>
      <c r="T117" s="443"/>
      <c r="U117" s="443"/>
      <c r="V117" s="242"/>
      <c r="W117" s="242"/>
      <c r="X117" s="242"/>
      <c r="Y117" s="242"/>
      <c r="Z117" s="242"/>
    </row>
    <row r="118">
      <c r="A118" s="621"/>
      <c r="B118" s="622">
        <f t="shared" si="25"/>
        <v>8</v>
      </c>
      <c r="C118" s="176"/>
      <c r="D118" s="625" t="s">
        <v>3559</v>
      </c>
      <c r="E118" s="625" t="s">
        <v>3560</v>
      </c>
      <c r="F118" s="626" t="s">
        <v>3617</v>
      </c>
      <c r="G118" s="640">
        <v>434.6</v>
      </c>
      <c r="H118" s="667"/>
      <c r="I118" s="667"/>
      <c r="J118" s="628"/>
      <c r="K118" s="628"/>
      <c r="L118" s="13"/>
      <c r="M118" s="242"/>
      <c r="N118" s="242"/>
      <c r="O118" s="242"/>
      <c r="P118" s="631">
        <f t="shared" si="24"/>
        <v>465.022</v>
      </c>
      <c r="Q118" s="13"/>
      <c r="R118" s="13"/>
      <c r="S118" s="242"/>
      <c r="T118" s="443"/>
      <c r="U118" s="443"/>
      <c r="V118" s="242"/>
      <c r="W118" s="242"/>
      <c r="X118" s="242"/>
      <c r="Y118" s="242"/>
      <c r="Z118" s="242"/>
    </row>
    <row r="119">
      <c r="A119" s="621"/>
      <c r="B119" s="622">
        <f t="shared" si="25"/>
        <v>9</v>
      </c>
      <c r="C119" s="41"/>
      <c r="D119" s="625" t="s">
        <v>3561</v>
      </c>
      <c r="E119" s="625" t="s">
        <v>3562</v>
      </c>
      <c r="F119" s="626" t="s">
        <v>3620</v>
      </c>
      <c r="G119" s="640">
        <v>911.0</v>
      </c>
      <c r="H119" s="667"/>
      <c r="I119" s="667"/>
      <c r="J119" s="628"/>
      <c r="K119" s="628"/>
      <c r="L119" s="13"/>
      <c r="M119" s="242"/>
      <c r="N119" s="242"/>
      <c r="O119" s="242"/>
      <c r="P119" s="631">
        <f t="shared" si="24"/>
        <v>974.77</v>
      </c>
      <c r="Q119" s="13"/>
      <c r="R119" s="13"/>
      <c r="S119" s="242"/>
      <c r="T119" s="443"/>
      <c r="U119" s="443"/>
      <c r="V119" s="242"/>
      <c r="W119" s="242"/>
      <c r="X119" s="242"/>
      <c r="Y119" s="242"/>
      <c r="Z119" s="242"/>
    </row>
    <row r="120">
      <c r="A120" s="621"/>
      <c r="B120" s="622">
        <f t="shared" si="25"/>
        <v>10</v>
      </c>
      <c r="C120" s="665" t="s">
        <v>297</v>
      </c>
      <c r="D120" s="624" t="s">
        <v>155</v>
      </c>
      <c r="E120" s="625" t="s">
        <v>144</v>
      </c>
      <c r="F120" s="626" t="s">
        <v>3622</v>
      </c>
      <c r="G120" s="640">
        <v>15.3</v>
      </c>
      <c r="H120" s="667"/>
      <c r="I120" s="667"/>
      <c r="J120" s="628"/>
      <c r="K120" s="628"/>
      <c r="L120" s="13"/>
      <c r="M120" s="242"/>
      <c r="N120" s="242"/>
      <c r="O120" s="242"/>
      <c r="P120" s="631">
        <f t="shared" si="24"/>
        <v>16.371</v>
      </c>
      <c r="Q120" s="13"/>
      <c r="R120" s="13"/>
      <c r="S120" s="242"/>
      <c r="T120" s="443"/>
      <c r="U120" s="443"/>
      <c r="V120" s="242"/>
      <c r="W120" s="242"/>
      <c r="X120" s="242"/>
      <c r="Y120" s="242"/>
      <c r="Z120" s="242"/>
    </row>
    <row r="121">
      <c r="A121" s="621"/>
      <c r="B121" s="622">
        <f t="shared" si="25"/>
        <v>11</v>
      </c>
      <c r="C121" s="176"/>
      <c r="D121" s="624" t="s">
        <v>304</v>
      </c>
      <c r="E121" s="625" t="s">
        <v>352</v>
      </c>
      <c r="F121" s="626" t="s">
        <v>3624</v>
      </c>
      <c r="G121" s="640">
        <v>24.4</v>
      </c>
      <c r="H121" s="667"/>
      <c r="I121" s="667"/>
      <c r="J121" s="628"/>
      <c r="K121" s="628"/>
      <c r="L121" s="13"/>
      <c r="M121" s="242"/>
      <c r="N121" s="242"/>
      <c r="O121" s="242"/>
      <c r="P121" s="631">
        <f t="shared" si="24"/>
        <v>26.108</v>
      </c>
      <c r="Q121" s="13"/>
      <c r="R121" s="13"/>
      <c r="S121" s="242"/>
      <c r="T121" s="443"/>
      <c r="U121" s="443"/>
      <c r="V121" s="242"/>
      <c r="W121" s="242"/>
      <c r="X121" s="242"/>
      <c r="Y121" s="242"/>
      <c r="Z121" s="242"/>
    </row>
    <row r="122">
      <c r="A122" s="621"/>
      <c r="B122" s="622">
        <f t="shared" si="25"/>
        <v>12</v>
      </c>
      <c r="C122" s="176"/>
      <c r="D122" s="624" t="s">
        <v>307</v>
      </c>
      <c r="E122" s="625" t="s">
        <v>153</v>
      </c>
      <c r="F122" s="626" t="s">
        <v>3626</v>
      </c>
      <c r="G122" s="640">
        <v>32.6</v>
      </c>
      <c r="H122" s="667"/>
      <c r="I122" s="667"/>
      <c r="J122" s="628"/>
      <c r="K122" s="628"/>
      <c r="L122" s="13"/>
      <c r="M122" s="242"/>
      <c r="N122" s="242"/>
      <c r="O122" s="242"/>
      <c r="P122" s="631">
        <f t="shared" si="24"/>
        <v>34.882</v>
      </c>
      <c r="Q122" s="13"/>
      <c r="R122" s="13"/>
      <c r="S122" s="242"/>
      <c r="T122" s="443"/>
      <c r="U122" s="443"/>
      <c r="V122" s="242"/>
      <c r="W122" s="242"/>
      <c r="X122" s="242"/>
      <c r="Y122" s="242"/>
      <c r="Z122" s="242"/>
    </row>
    <row r="123">
      <c r="A123" s="621"/>
      <c r="B123" s="622">
        <f t="shared" si="25"/>
        <v>13</v>
      </c>
      <c r="C123" s="176"/>
      <c r="D123" s="625" t="s">
        <v>311</v>
      </c>
      <c r="E123" s="625" t="s">
        <v>401</v>
      </c>
      <c r="F123" s="626" t="s">
        <v>3629</v>
      </c>
      <c r="G123" s="640">
        <v>38.3</v>
      </c>
      <c r="H123" s="667"/>
      <c r="I123" s="667"/>
      <c r="J123" s="628"/>
      <c r="K123" s="628"/>
      <c r="L123" s="630" t="s">
        <v>722</v>
      </c>
      <c r="M123" s="242"/>
      <c r="N123" s="242"/>
      <c r="O123" s="242"/>
      <c r="P123" s="631"/>
      <c r="Q123" s="13"/>
      <c r="R123" s="13"/>
      <c r="S123" s="242"/>
      <c r="T123" s="443"/>
      <c r="U123" s="443"/>
      <c r="V123" s="242"/>
      <c r="W123" s="242"/>
      <c r="X123" s="242"/>
      <c r="Y123" s="242"/>
      <c r="Z123" s="242"/>
    </row>
    <row r="124">
      <c r="A124" s="621"/>
      <c r="B124" s="622">
        <f t="shared" si="25"/>
        <v>14</v>
      </c>
      <c r="C124" s="176"/>
      <c r="D124" s="625" t="s">
        <v>314</v>
      </c>
      <c r="E124" s="625" t="s">
        <v>303</v>
      </c>
      <c r="F124" s="626" t="s">
        <v>3632</v>
      </c>
      <c r="G124" s="640">
        <v>39.3</v>
      </c>
      <c r="H124" s="667"/>
      <c r="I124" s="667"/>
      <c r="J124" s="628"/>
      <c r="K124" s="628"/>
      <c r="L124" s="630" t="s">
        <v>722</v>
      </c>
      <c r="M124" s="242"/>
      <c r="N124" s="242"/>
      <c r="O124" s="242"/>
      <c r="P124" s="631"/>
      <c r="Q124" s="13"/>
      <c r="R124" s="13"/>
      <c r="S124" s="242"/>
      <c r="T124" s="443"/>
      <c r="U124" s="443"/>
      <c r="V124" s="242"/>
      <c r="W124" s="242"/>
      <c r="X124" s="242"/>
      <c r="Y124" s="242"/>
      <c r="Z124" s="242"/>
    </row>
    <row r="125">
      <c r="A125" s="621"/>
      <c r="B125" s="622">
        <f t="shared" si="25"/>
        <v>15</v>
      </c>
      <c r="C125" s="176"/>
      <c r="D125" s="625" t="s">
        <v>318</v>
      </c>
      <c r="E125" s="625" t="s">
        <v>306</v>
      </c>
      <c r="F125" s="626" t="s">
        <v>3635</v>
      </c>
      <c r="G125" s="640">
        <v>41.4</v>
      </c>
      <c r="H125" s="667"/>
      <c r="I125" s="667"/>
      <c r="J125" s="628"/>
      <c r="K125" s="628"/>
      <c r="L125" s="13"/>
      <c r="M125" s="242"/>
      <c r="N125" s="242"/>
      <c r="O125" s="242"/>
      <c r="P125" s="631">
        <f>IFERROR((G125*7%)+G125,"")</f>
        <v>44.298</v>
      </c>
      <c r="Q125" s="13"/>
      <c r="R125" s="13"/>
      <c r="S125" s="242"/>
      <c r="T125" s="443"/>
      <c r="U125" s="443"/>
      <c r="V125" s="242"/>
      <c r="W125" s="242"/>
      <c r="X125" s="242"/>
      <c r="Y125" s="242"/>
      <c r="Z125" s="242"/>
    </row>
    <row r="126">
      <c r="A126" s="621"/>
      <c r="B126" s="622">
        <f t="shared" si="25"/>
        <v>16</v>
      </c>
      <c r="C126" s="176"/>
      <c r="D126" s="625" t="s">
        <v>321</v>
      </c>
      <c r="E126" s="625" t="s">
        <v>414</v>
      </c>
      <c r="F126" s="626" t="s">
        <v>3637</v>
      </c>
      <c r="G126" s="640">
        <v>63.9</v>
      </c>
      <c r="H126" s="667"/>
      <c r="I126" s="667"/>
      <c r="J126" s="628"/>
      <c r="K126" s="628"/>
      <c r="L126" s="630" t="s">
        <v>722</v>
      </c>
      <c r="M126" s="242"/>
      <c r="N126" s="242"/>
      <c r="O126" s="242"/>
      <c r="P126" s="631"/>
      <c r="Q126" s="13"/>
      <c r="R126" s="13"/>
      <c r="S126" s="242"/>
      <c r="T126" s="443"/>
      <c r="U126" s="443"/>
      <c r="V126" s="242"/>
      <c r="W126" s="242"/>
      <c r="X126" s="242"/>
      <c r="Y126" s="242"/>
      <c r="Z126" s="242"/>
    </row>
    <row r="127">
      <c r="A127" s="621"/>
      <c r="B127" s="622">
        <f t="shared" si="25"/>
        <v>17</v>
      </c>
      <c r="C127" s="176"/>
      <c r="D127" s="625" t="s">
        <v>325</v>
      </c>
      <c r="E127" s="625" t="s">
        <v>310</v>
      </c>
      <c r="F127" s="626" t="s">
        <v>3642</v>
      </c>
      <c r="G127" s="640">
        <v>66.9</v>
      </c>
      <c r="H127" s="667"/>
      <c r="I127" s="667"/>
      <c r="J127" s="628"/>
      <c r="K127" s="628"/>
      <c r="L127" s="630" t="s">
        <v>722</v>
      </c>
      <c r="M127" s="242"/>
      <c r="N127" s="242"/>
      <c r="O127" s="242"/>
      <c r="P127" s="631"/>
      <c r="Q127" s="13"/>
      <c r="R127" s="13"/>
      <c r="S127" s="242"/>
      <c r="T127" s="443"/>
      <c r="U127" s="443"/>
      <c r="V127" s="242"/>
      <c r="W127" s="242"/>
      <c r="X127" s="242"/>
      <c r="Y127" s="242"/>
      <c r="Z127" s="242"/>
    </row>
    <row r="128">
      <c r="A128" s="621"/>
      <c r="B128" s="622">
        <f t="shared" si="25"/>
        <v>18</v>
      </c>
      <c r="C128" s="176"/>
      <c r="D128" s="625" t="s">
        <v>328</v>
      </c>
      <c r="E128" s="625" t="s">
        <v>313</v>
      </c>
      <c r="F128" s="626" t="s">
        <v>3644</v>
      </c>
      <c r="G128" s="640">
        <v>69.1</v>
      </c>
      <c r="H128" s="667"/>
      <c r="I128" s="667"/>
      <c r="J128" s="628"/>
      <c r="K128" s="628"/>
      <c r="L128" s="630" t="s">
        <v>722</v>
      </c>
      <c r="M128" s="242"/>
      <c r="N128" s="242"/>
      <c r="O128" s="242"/>
      <c r="P128" s="631"/>
      <c r="Q128" s="13"/>
      <c r="R128" s="13"/>
      <c r="S128" s="242"/>
      <c r="T128" s="443"/>
      <c r="U128" s="443"/>
      <c r="V128" s="242"/>
      <c r="W128" s="242"/>
      <c r="X128" s="242"/>
      <c r="Y128" s="242"/>
      <c r="Z128" s="242"/>
    </row>
    <row r="129">
      <c r="A129" s="621"/>
      <c r="B129" s="622">
        <f t="shared" si="25"/>
        <v>19</v>
      </c>
      <c r="C129" s="176"/>
      <c r="D129" s="625" t="s">
        <v>332</v>
      </c>
      <c r="E129" s="625" t="s">
        <v>317</v>
      </c>
      <c r="F129" s="626" t="s">
        <v>3649</v>
      </c>
      <c r="G129" s="640">
        <v>72.6</v>
      </c>
      <c r="H129" s="667"/>
      <c r="I129" s="667"/>
      <c r="J129" s="628"/>
      <c r="K129" s="628"/>
      <c r="L129" s="13"/>
      <c r="M129" s="242"/>
      <c r="N129" s="242"/>
      <c r="O129" s="242"/>
      <c r="P129" s="631">
        <f>IFERROR((G129*7%)+G129,"")</f>
        <v>77.682</v>
      </c>
      <c r="Q129" s="13"/>
      <c r="R129" s="13"/>
      <c r="S129" s="242"/>
      <c r="T129" s="443"/>
      <c r="U129" s="443"/>
      <c r="V129" s="242"/>
      <c r="W129" s="242"/>
      <c r="X129" s="242"/>
      <c r="Y129" s="242"/>
      <c r="Z129" s="242"/>
    </row>
    <row r="130">
      <c r="A130" s="621"/>
      <c r="B130" s="622">
        <f t="shared" si="25"/>
        <v>20</v>
      </c>
      <c r="C130" s="176"/>
      <c r="D130" s="625" t="s">
        <v>3575</v>
      </c>
      <c r="E130" s="625" t="s">
        <v>320</v>
      </c>
      <c r="F130" s="626" t="s">
        <v>3652</v>
      </c>
      <c r="G130" s="640">
        <v>117.9</v>
      </c>
      <c r="H130" s="667"/>
      <c r="I130" s="667"/>
      <c r="J130" s="628"/>
      <c r="K130" s="628"/>
      <c r="L130" s="630" t="s">
        <v>722</v>
      </c>
      <c r="M130" s="242"/>
      <c r="N130" s="242"/>
      <c r="O130" s="242"/>
      <c r="P130" s="631"/>
      <c r="Q130" s="13"/>
      <c r="R130" s="13"/>
      <c r="S130" s="242"/>
      <c r="T130" s="443"/>
      <c r="U130" s="443"/>
      <c r="V130" s="242"/>
      <c r="W130" s="242"/>
      <c r="X130" s="242"/>
      <c r="Y130" s="242"/>
      <c r="Z130" s="242"/>
    </row>
    <row r="131">
      <c r="A131" s="621"/>
      <c r="B131" s="622">
        <f t="shared" si="25"/>
        <v>21</v>
      </c>
      <c r="C131" s="176"/>
      <c r="D131" s="625" t="s">
        <v>3578</v>
      </c>
      <c r="E131" s="625" t="s">
        <v>324</v>
      </c>
      <c r="F131" s="626" t="s">
        <v>3657</v>
      </c>
      <c r="G131" s="640">
        <v>126.7</v>
      </c>
      <c r="H131" s="667"/>
      <c r="I131" s="667"/>
      <c r="J131" s="628"/>
      <c r="K131" s="628"/>
      <c r="L131" s="630" t="s">
        <v>722</v>
      </c>
      <c r="M131" s="242"/>
      <c r="N131" s="242"/>
      <c r="O131" s="242"/>
      <c r="P131" s="631"/>
      <c r="Q131" s="13"/>
      <c r="R131" s="13"/>
      <c r="S131" s="242"/>
      <c r="T131" s="443"/>
      <c r="U131" s="443"/>
      <c r="V131" s="242"/>
      <c r="W131" s="242"/>
      <c r="X131" s="242"/>
      <c r="Y131" s="242"/>
      <c r="Z131" s="242"/>
    </row>
    <row r="132">
      <c r="A132" s="621"/>
      <c r="B132" s="622">
        <f t="shared" si="25"/>
        <v>22</v>
      </c>
      <c r="C132" s="176"/>
      <c r="D132" s="625" t="s">
        <v>3580</v>
      </c>
      <c r="E132" s="625" t="s">
        <v>327</v>
      </c>
      <c r="F132" s="626" t="s">
        <v>3663</v>
      </c>
      <c r="G132" s="640">
        <v>145.9</v>
      </c>
      <c r="H132" s="667"/>
      <c r="I132" s="667"/>
      <c r="J132" s="628"/>
      <c r="K132" s="628"/>
      <c r="L132" s="630" t="s">
        <v>722</v>
      </c>
      <c r="M132" s="242"/>
      <c r="N132" s="242"/>
      <c r="O132" s="242"/>
      <c r="P132" s="631"/>
      <c r="Q132" s="13"/>
      <c r="R132" s="13"/>
      <c r="S132" s="242"/>
      <c r="T132" s="443"/>
      <c r="U132" s="443"/>
      <c r="V132" s="242"/>
      <c r="W132" s="242"/>
      <c r="X132" s="242"/>
      <c r="Y132" s="242"/>
      <c r="Z132" s="242"/>
    </row>
    <row r="133">
      <c r="A133" s="621"/>
      <c r="B133" s="622">
        <f t="shared" si="25"/>
        <v>23</v>
      </c>
      <c r="C133" s="176"/>
      <c r="D133" s="625" t="s">
        <v>3583</v>
      </c>
      <c r="E133" s="625" t="s">
        <v>331</v>
      </c>
      <c r="F133" s="626" t="s">
        <v>3668</v>
      </c>
      <c r="G133" s="640">
        <v>145.3</v>
      </c>
      <c r="H133" s="667"/>
      <c r="I133" s="667"/>
      <c r="J133" s="628"/>
      <c r="K133" s="628"/>
      <c r="L133" s="13"/>
      <c r="M133" s="242"/>
      <c r="N133" s="242"/>
      <c r="O133" s="242"/>
      <c r="P133" s="631">
        <f t="shared" ref="P133:P134" si="26">IFERROR((G133*7%)+G133,"")</f>
        <v>155.471</v>
      </c>
      <c r="Q133" s="13"/>
      <c r="R133" s="13"/>
      <c r="S133" s="242"/>
      <c r="T133" s="443"/>
      <c r="U133" s="443"/>
      <c r="V133" s="242"/>
      <c r="W133" s="242"/>
      <c r="X133" s="242"/>
      <c r="Y133" s="242"/>
      <c r="Z133" s="242"/>
    </row>
    <row r="134" hidden="1">
      <c r="A134" s="621"/>
      <c r="B134" s="622"/>
      <c r="C134" s="41"/>
      <c r="D134" s="625" t="s">
        <v>3588</v>
      </c>
      <c r="E134" s="625" t="s">
        <v>461</v>
      </c>
      <c r="F134" s="626" t="s">
        <v>3809</v>
      </c>
      <c r="G134" s="627">
        <v>726.4</v>
      </c>
      <c r="H134" s="627"/>
      <c r="I134" s="667"/>
      <c r="J134" s="628"/>
      <c r="K134" s="628"/>
      <c r="L134" s="13"/>
      <c r="M134" s="242"/>
      <c r="N134" s="242"/>
      <c r="O134" s="242"/>
      <c r="P134" s="631">
        <f t="shared" si="26"/>
        <v>777.248</v>
      </c>
      <c r="Q134" s="13"/>
      <c r="R134" s="13"/>
      <c r="S134" s="242"/>
      <c r="T134" s="443"/>
      <c r="U134" s="443"/>
      <c r="V134" s="242"/>
      <c r="W134" s="242"/>
      <c r="X134" s="242"/>
      <c r="Y134" s="242"/>
      <c r="Z134" s="242"/>
    </row>
    <row r="135">
      <c r="A135" s="621"/>
      <c r="B135" s="622">
        <f>B133+1</f>
        <v>24</v>
      </c>
      <c r="C135" s="665" t="s">
        <v>3594</v>
      </c>
      <c r="D135" s="625" t="s">
        <v>3598</v>
      </c>
      <c r="E135" s="625" t="s">
        <v>397</v>
      </c>
      <c r="F135" s="626" t="s">
        <v>3670</v>
      </c>
      <c r="G135" s="640">
        <v>124.5</v>
      </c>
      <c r="H135" s="667"/>
      <c r="I135" s="667"/>
      <c r="J135" s="628"/>
      <c r="K135" s="628"/>
      <c r="L135" s="13"/>
      <c r="M135" s="242"/>
      <c r="N135" s="242"/>
      <c r="O135" s="242"/>
      <c r="P135" s="631">
        <f t="shared" ref="P135:P138" si="27">IFERROR((G135*15%)+G135,"")</f>
        <v>143.175</v>
      </c>
      <c r="Q135" s="13"/>
      <c r="R135" s="13"/>
      <c r="S135" s="242"/>
      <c r="T135" s="443"/>
      <c r="U135" s="443"/>
      <c r="V135" s="242"/>
      <c r="W135" s="242"/>
      <c r="X135" s="242"/>
      <c r="Y135" s="242"/>
      <c r="Z135" s="242"/>
    </row>
    <row r="136">
      <c r="A136" s="621"/>
      <c r="B136" s="622">
        <f t="shared" ref="B136:B215" si="28">B135+1</f>
        <v>25</v>
      </c>
      <c r="C136" s="176"/>
      <c r="D136" s="625" t="s">
        <v>3618</v>
      </c>
      <c r="E136" s="625" t="s">
        <v>144</v>
      </c>
      <c r="F136" s="626" t="s">
        <v>3673</v>
      </c>
      <c r="G136" s="640">
        <v>129.7</v>
      </c>
      <c r="H136" s="667"/>
      <c r="I136" s="667"/>
      <c r="J136" s="628"/>
      <c r="K136" s="628"/>
      <c r="L136" s="13"/>
      <c r="M136" s="242"/>
      <c r="N136" s="242"/>
      <c r="O136" s="242"/>
      <c r="P136" s="631">
        <f t="shared" si="27"/>
        <v>149.155</v>
      </c>
      <c r="Q136" s="13"/>
      <c r="R136" s="13"/>
      <c r="S136" s="242"/>
      <c r="T136" s="443"/>
      <c r="U136" s="443"/>
      <c r="V136" s="242"/>
      <c r="W136" s="242"/>
      <c r="X136" s="242"/>
      <c r="Y136" s="242"/>
      <c r="Z136" s="242"/>
    </row>
    <row r="137">
      <c r="A137" s="621"/>
      <c r="B137" s="622">
        <f t="shared" si="28"/>
        <v>26</v>
      </c>
      <c r="C137" s="665" t="s">
        <v>3621</v>
      </c>
      <c r="D137" s="625" t="s">
        <v>3598</v>
      </c>
      <c r="E137" s="625" t="s">
        <v>397</v>
      </c>
      <c r="F137" s="626" t="s">
        <v>3677</v>
      </c>
      <c r="G137" s="640">
        <v>134.7</v>
      </c>
      <c r="H137" s="667"/>
      <c r="I137" s="667"/>
      <c r="J137" s="628"/>
      <c r="K137" s="628"/>
      <c r="L137" s="13"/>
      <c r="M137" s="242"/>
      <c r="N137" s="242"/>
      <c r="O137" s="242"/>
      <c r="P137" s="631">
        <f t="shared" si="27"/>
        <v>154.905</v>
      </c>
      <c r="Q137" s="13"/>
      <c r="R137" s="13"/>
      <c r="S137" s="242"/>
      <c r="T137" s="443"/>
      <c r="U137" s="443"/>
      <c r="V137" s="242"/>
      <c r="W137" s="242"/>
      <c r="X137" s="242"/>
      <c r="Y137" s="242"/>
      <c r="Z137" s="242"/>
    </row>
    <row r="138">
      <c r="A138" s="621"/>
      <c r="B138" s="622">
        <f t="shared" si="28"/>
        <v>27</v>
      </c>
      <c r="C138" s="176"/>
      <c r="D138" s="625" t="s">
        <v>3618</v>
      </c>
      <c r="E138" s="625" t="s">
        <v>144</v>
      </c>
      <c r="F138" s="626" t="s">
        <v>3682</v>
      </c>
      <c r="G138" s="640">
        <v>176.3</v>
      </c>
      <c r="H138" s="667"/>
      <c r="I138" s="667"/>
      <c r="J138" s="628"/>
      <c r="K138" s="628"/>
      <c r="L138" s="13"/>
      <c r="M138" s="242"/>
      <c r="N138" s="242"/>
      <c r="O138" s="242"/>
      <c r="P138" s="631">
        <f t="shared" si="27"/>
        <v>202.745</v>
      </c>
      <c r="Q138" s="13"/>
      <c r="R138" s="13"/>
      <c r="S138" s="242"/>
      <c r="T138" s="443"/>
      <c r="U138" s="443"/>
      <c r="V138" s="242"/>
      <c r="W138" s="242"/>
      <c r="X138" s="242"/>
      <c r="Y138" s="242"/>
      <c r="Z138" s="242"/>
    </row>
    <row r="139">
      <c r="A139" s="621"/>
      <c r="B139" s="622">
        <f t="shared" si="28"/>
        <v>28</v>
      </c>
      <c r="C139" s="176"/>
      <c r="D139" s="625" t="s">
        <v>3625</v>
      </c>
      <c r="E139" s="625" t="s">
        <v>409</v>
      </c>
      <c r="F139" s="626" t="s">
        <v>3684</v>
      </c>
      <c r="G139" s="640">
        <v>300.3</v>
      </c>
      <c r="H139" s="667"/>
      <c r="I139" s="667"/>
      <c r="J139" s="628"/>
      <c r="K139" s="628"/>
      <c r="L139" s="630" t="s">
        <v>722</v>
      </c>
      <c r="M139" s="242"/>
      <c r="N139" s="242"/>
      <c r="O139" s="242"/>
      <c r="P139" s="631"/>
      <c r="Q139" s="13"/>
      <c r="R139" s="13"/>
      <c r="S139" s="242"/>
      <c r="T139" s="443"/>
      <c r="U139" s="443"/>
      <c r="V139" s="242"/>
      <c r="W139" s="242"/>
      <c r="X139" s="242"/>
      <c r="Y139" s="242"/>
      <c r="Z139" s="242"/>
    </row>
    <row r="140">
      <c r="A140" s="621"/>
      <c r="B140" s="622">
        <f t="shared" si="28"/>
        <v>29</v>
      </c>
      <c r="C140" s="41"/>
      <c r="D140" s="625" t="s">
        <v>3628</v>
      </c>
      <c r="E140" s="625" t="s">
        <v>306</v>
      </c>
      <c r="F140" s="626" t="s">
        <v>3687</v>
      </c>
      <c r="G140" s="640">
        <v>663.5</v>
      </c>
      <c r="H140" s="667"/>
      <c r="I140" s="667"/>
      <c r="J140" s="628"/>
      <c r="K140" s="628"/>
      <c r="L140" s="630" t="s">
        <v>722</v>
      </c>
      <c r="M140" s="242"/>
      <c r="N140" s="242"/>
      <c r="O140" s="242"/>
      <c r="P140" s="631"/>
      <c r="Q140" s="13"/>
      <c r="R140" s="13"/>
      <c r="S140" s="242"/>
      <c r="T140" s="443"/>
      <c r="U140" s="443"/>
      <c r="V140" s="242"/>
      <c r="W140" s="242"/>
      <c r="X140" s="242"/>
      <c r="Y140" s="242"/>
      <c r="Z140" s="242"/>
    </row>
    <row r="141">
      <c r="A141" s="621"/>
      <c r="B141" s="622">
        <f t="shared" si="28"/>
        <v>30</v>
      </c>
      <c r="C141" s="665" t="s">
        <v>3630</v>
      </c>
      <c r="D141" s="625" t="s">
        <v>3598</v>
      </c>
      <c r="E141" s="625" t="s">
        <v>397</v>
      </c>
      <c r="F141" s="626" t="s">
        <v>3689</v>
      </c>
      <c r="G141" s="640">
        <v>93.5</v>
      </c>
      <c r="H141" s="667"/>
      <c r="I141" s="667"/>
      <c r="J141" s="628"/>
      <c r="K141" s="628"/>
      <c r="L141" s="13"/>
      <c r="M141" s="242"/>
      <c r="N141" s="242"/>
      <c r="O141" s="242"/>
      <c r="P141" s="631">
        <f t="shared" ref="P141:P142" si="29">IFERROR((G141*15%)+G141,"")</f>
        <v>107.525</v>
      </c>
      <c r="Q141" s="13"/>
      <c r="R141" s="13"/>
      <c r="S141" s="242"/>
      <c r="T141" s="443"/>
      <c r="U141" s="443"/>
      <c r="V141" s="242"/>
      <c r="W141" s="242"/>
      <c r="X141" s="242"/>
      <c r="Y141" s="242"/>
      <c r="Z141" s="242"/>
    </row>
    <row r="142">
      <c r="A142" s="621"/>
      <c r="B142" s="622">
        <f t="shared" si="28"/>
        <v>31</v>
      </c>
      <c r="C142" s="41"/>
      <c r="D142" s="625" t="s">
        <v>3618</v>
      </c>
      <c r="E142" s="625" t="s">
        <v>144</v>
      </c>
      <c r="F142" s="626" t="s">
        <v>3692</v>
      </c>
      <c r="G142" s="640">
        <v>110.7</v>
      </c>
      <c r="H142" s="667"/>
      <c r="I142" s="667"/>
      <c r="J142" s="628"/>
      <c r="K142" s="628"/>
      <c r="L142" s="13"/>
      <c r="M142" s="242"/>
      <c r="N142" s="242"/>
      <c r="O142" s="242"/>
      <c r="P142" s="631">
        <f t="shared" si="29"/>
        <v>127.305</v>
      </c>
      <c r="Q142" s="13"/>
      <c r="R142" s="13"/>
      <c r="S142" s="242"/>
      <c r="T142" s="443"/>
      <c r="U142" s="443"/>
      <c r="V142" s="242"/>
      <c r="W142" s="242"/>
      <c r="X142" s="242"/>
      <c r="Y142" s="242"/>
      <c r="Z142" s="242"/>
    </row>
    <row r="143">
      <c r="A143" s="621"/>
      <c r="B143" s="622">
        <f t="shared" si="28"/>
        <v>32</v>
      </c>
      <c r="C143" s="623" t="s">
        <v>52</v>
      </c>
      <c r="D143" s="624" t="s">
        <v>341</v>
      </c>
      <c r="E143" s="625" t="s">
        <v>43</v>
      </c>
      <c r="F143" s="626" t="s">
        <v>3694</v>
      </c>
      <c r="G143" s="640">
        <v>17.3</v>
      </c>
      <c r="H143" s="667"/>
      <c r="I143" s="667"/>
      <c r="J143" s="628"/>
      <c r="K143" s="628"/>
      <c r="L143" s="13"/>
      <c r="M143" s="242"/>
      <c r="N143" s="242"/>
      <c r="O143" s="242"/>
      <c r="P143" s="631">
        <f t="shared" ref="P143:P151" si="30">IFERROR((G143*7%)+G143,"")</f>
        <v>18.511</v>
      </c>
      <c r="Q143" s="13"/>
      <c r="R143" s="13"/>
      <c r="S143" s="242"/>
      <c r="T143" s="443"/>
      <c r="U143" s="443"/>
      <c r="V143" s="242"/>
      <c r="W143" s="242"/>
      <c r="X143" s="242"/>
      <c r="Y143" s="242"/>
      <c r="Z143" s="242"/>
    </row>
    <row r="144">
      <c r="A144" s="621"/>
      <c r="B144" s="622">
        <f t="shared" si="28"/>
        <v>33</v>
      </c>
      <c r="C144" s="176"/>
      <c r="D144" s="624" t="s">
        <v>346</v>
      </c>
      <c r="E144" s="625" t="s">
        <v>51</v>
      </c>
      <c r="F144" s="626" t="s">
        <v>3696</v>
      </c>
      <c r="G144" s="640">
        <v>23.4</v>
      </c>
      <c r="H144" s="667"/>
      <c r="I144" s="667"/>
      <c r="J144" s="628"/>
      <c r="K144" s="628"/>
      <c r="L144" s="13"/>
      <c r="M144" s="242"/>
      <c r="N144" s="242"/>
      <c r="O144" s="242"/>
      <c r="P144" s="631">
        <f t="shared" si="30"/>
        <v>25.038</v>
      </c>
      <c r="Q144" s="13"/>
      <c r="R144" s="13"/>
      <c r="S144" s="242"/>
      <c r="T144" s="443"/>
      <c r="U144" s="443"/>
      <c r="V144" s="242"/>
      <c r="W144" s="242"/>
      <c r="X144" s="242"/>
      <c r="Y144" s="242"/>
      <c r="Z144" s="242"/>
    </row>
    <row r="145">
      <c r="A145" s="621"/>
      <c r="B145" s="622">
        <f t="shared" si="28"/>
        <v>34</v>
      </c>
      <c r="C145" s="176"/>
      <c r="D145" s="624" t="s">
        <v>356</v>
      </c>
      <c r="E145" s="625" t="s">
        <v>84</v>
      </c>
      <c r="F145" s="626" t="s">
        <v>3697</v>
      </c>
      <c r="G145" s="640">
        <v>41.4</v>
      </c>
      <c r="H145" s="667"/>
      <c r="I145" s="667"/>
      <c r="J145" s="628"/>
      <c r="K145" s="628"/>
      <c r="L145" s="13"/>
      <c r="M145" s="242"/>
      <c r="N145" s="242"/>
      <c r="O145" s="242"/>
      <c r="P145" s="631">
        <f t="shared" si="30"/>
        <v>44.298</v>
      </c>
      <c r="Q145" s="13"/>
      <c r="R145" s="13"/>
      <c r="S145" s="242"/>
      <c r="T145" s="443"/>
      <c r="U145" s="443"/>
      <c r="V145" s="242"/>
      <c r="W145" s="242"/>
      <c r="X145" s="242"/>
      <c r="Y145" s="242"/>
      <c r="Z145" s="242"/>
    </row>
    <row r="146">
      <c r="A146" s="621"/>
      <c r="B146" s="622">
        <f t="shared" si="28"/>
        <v>35</v>
      </c>
      <c r="C146" s="176"/>
      <c r="D146" s="625" t="s">
        <v>3549</v>
      </c>
      <c r="E146" s="625" t="s">
        <v>55</v>
      </c>
      <c r="F146" s="626" t="s">
        <v>3698</v>
      </c>
      <c r="G146" s="640">
        <v>67.1</v>
      </c>
      <c r="H146" s="667"/>
      <c r="I146" s="667"/>
      <c r="J146" s="628"/>
      <c r="K146" s="628"/>
      <c r="L146" s="13"/>
      <c r="M146" s="242"/>
      <c r="N146" s="242"/>
      <c r="O146" s="242"/>
      <c r="P146" s="631">
        <f t="shared" si="30"/>
        <v>71.797</v>
      </c>
      <c r="Q146" s="13"/>
      <c r="R146" s="13"/>
      <c r="S146" s="242"/>
      <c r="T146" s="443"/>
      <c r="U146" s="443"/>
      <c r="V146" s="242"/>
      <c r="W146" s="242"/>
      <c r="X146" s="242"/>
      <c r="Y146" s="242"/>
      <c r="Z146" s="242"/>
    </row>
    <row r="147">
      <c r="A147" s="621"/>
      <c r="B147" s="622">
        <f t="shared" si="28"/>
        <v>36</v>
      </c>
      <c r="C147" s="176"/>
      <c r="D147" s="625" t="s">
        <v>3552</v>
      </c>
      <c r="E147" s="625" t="s">
        <v>56</v>
      </c>
      <c r="F147" s="626" t="s">
        <v>3699</v>
      </c>
      <c r="G147" s="640">
        <v>119.49600000000001</v>
      </c>
      <c r="H147" s="667"/>
      <c r="I147" s="667"/>
      <c r="J147" s="628"/>
      <c r="K147" s="628"/>
      <c r="L147" s="13"/>
      <c r="M147" s="242"/>
      <c r="N147" s="242"/>
      <c r="O147" s="242"/>
      <c r="P147" s="631">
        <f t="shared" si="30"/>
        <v>127.86072</v>
      </c>
      <c r="Q147" s="13"/>
      <c r="R147" s="13"/>
      <c r="S147" s="242"/>
      <c r="T147" s="443"/>
      <c r="U147" s="443"/>
      <c r="V147" s="242"/>
      <c r="W147" s="242"/>
      <c r="X147" s="242"/>
      <c r="Y147" s="242"/>
      <c r="Z147" s="242"/>
    </row>
    <row r="148">
      <c r="A148" s="621"/>
      <c r="B148" s="622">
        <f t="shared" si="28"/>
        <v>37</v>
      </c>
      <c r="C148" s="176"/>
      <c r="D148" s="625" t="s">
        <v>3554</v>
      </c>
      <c r="E148" s="625" t="s">
        <v>107</v>
      </c>
      <c r="F148" s="626" t="s">
        <v>3700</v>
      </c>
      <c r="G148" s="640">
        <v>268.3</v>
      </c>
      <c r="H148" s="667"/>
      <c r="I148" s="667"/>
      <c r="J148" s="628"/>
      <c r="K148" s="628"/>
      <c r="L148" s="13"/>
      <c r="M148" s="242"/>
      <c r="N148" s="242"/>
      <c r="O148" s="242"/>
      <c r="P148" s="631">
        <f t="shared" si="30"/>
        <v>287.081</v>
      </c>
      <c r="Q148" s="13"/>
      <c r="R148" s="13"/>
      <c r="S148" s="242"/>
      <c r="T148" s="443"/>
      <c r="U148" s="443"/>
      <c r="V148" s="242"/>
      <c r="W148" s="242"/>
      <c r="X148" s="242"/>
      <c r="Y148" s="242"/>
      <c r="Z148" s="242"/>
    </row>
    <row r="149">
      <c r="A149" s="621"/>
      <c r="B149" s="622">
        <f t="shared" si="28"/>
        <v>38</v>
      </c>
      <c r="C149" s="176"/>
      <c r="D149" s="625" t="s">
        <v>3556</v>
      </c>
      <c r="E149" s="625" t="s">
        <v>69</v>
      </c>
      <c r="F149" s="626" t="s">
        <v>3701</v>
      </c>
      <c r="G149" s="640">
        <v>576.2</v>
      </c>
      <c r="H149" s="667"/>
      <c r="I149" s="667"/>
      <c r="J149" s="628"/>
      <c r="K149" s="628"/>
      <c r="L149" s="13"/>
      <c r="M149" s="242"/>
      <c r="N149" s="242"/>
      <c r="O149" s="242"/>
      <c r="P149" s="631">
        <f t="shared" si="30"/>
        <v>616.534</v>
      </c>
      <c r="Q149" s="13"/>
      <c r="R149" s="13"/>
      <c r="S149" s="242"/>
      <c r="T149" s="443"/>
      <c r="U149" s="443"/>
      <c r="V149" s="242"/>
      <c r="W149" s="242"/>
      <c r="X149" s="242"/>
      <c r="Y149" s="242"/>
      <c r="Z149" s="242"/>
    </row>
    <row r="150">
      <c r="A150" s="621"/>
      <c r="B150" s="622">
        <f t="shared" si="28"/>
        <v>39</v>
      </c>
      <c r="C150" s="176"/>
      <c r="D150" s="625" t="s">
        <v>3559</v>
      </c>
      <c r="E150" s="625" t="s">
        <v>3560</v>
      </c>
      <c r="F150" s="626" t="s">
        <v>3702</v>
      </c>
      <c r="G150" s="640">
        <v>752.9</v>
      </c>
      <c r="H150" s="667"/>
      <c r="I150" s="667"/>
      <c r="J150" s="628"/>
      <c r="K150" s="628"/>
      <c r="L150" s="13"/>
      <c r="M150" s="242"/>
      <c r="N150" s="242"/>
      <c r="O150" s="242"/>
      <c r="P150" s="631">
        <f t="shared" si="30"/>
        <v>805.603</v>
      </c>
      <c r="Q150" s="13"/>
      <c r="R150" s="13"/>
      <c r="S150" s="242"/>
      <c r="T150" s="443"/>
      <c r="U150" s="443"/>
      <c r="V150" s="242"/>
      <c r="W150" s="242"/>
      <c r="X150" s="242"/>
      <c r="Y150" s="242"/>
      <c r="Z150" s="242"/>
    </row>
    <row r="151">
      <c r="A151" s="621"/>
      <c r="B151" s="622">
        <f t="shared" si="28"/>
        <v>40</v>
      </c>
      <c r="C151" s="41"/>
      <c r="D151" s="625" t="s">
        <v>3561</v>
      </c>
      <c r="E151" s="625" t="s">
        <v>3562</v>
      </c>
      <c r="F151" s="626" t="s">
        <v>3703</v>
      </c>
      <c r="G151" s="640">
        <v>1322.9</v>
      </c>
      <c r="H151" s="667"/>
      <c r="I151" s="667"/>
      <c r="J151" s="628"/>
      <c r="K151" s="628"/>
      <c r="L151" s="13"/>
      <c r="M151" s="242"/>
      <c r="N151" s="242"/>
      <c r="O151" s="242"/>
      <c r="P151" s="631">
        <f t="shared" si="30"/>
        <v>1415.503</v>
      </c>
      <c r="Q151" s="13"/>
      <c r="R151" s="13"/>
      <c r="S151" s="242"/>
      <c r="T151" s="443"/>
      <c r="U151" s="443"/>
      <c r="V151" s="242"/>
      <c r="W151" s="242"/>
      <c r="X151" s="242"/>
      <c r="Y151" s="242"/>
      <c r="Z151" s="242"/>
    </row>
    <row r="152">
      <c r="A152" s="621"/>
      <c r="B152" s="622">
        <f t="shared" si="28"/>
        <v>41</v>
      </c>
      <c r="C152" s="665" t="s">
        <v>3680</v>
      </c>
      <c r="D152" s="625" t="s">
        <v>3598</v>
      </c>
      <c r="E152" s="625" t="s">
        <v>397</v>
      </c>
      <c r="F152" s="626" t="s">
        <v>3704</v>
      </c>
      <c r="G152" s="640">
        <v>134.5</v>
      </c>
      <c r="H152" s="667"/>
      <c r="I152" s="667"/>
      <c r="J152" s="628"/>
      <c r="K152" s="628"/>
      <c r="L152" s="13"/>
      <c r="M152" s="242"/>
      <c r="N152" s="242"/>
      <c r="O152" s="242"/>
      <c r="P152" s="631">
        <f t="shared" ref="P152:P154" si="31">IFERROR((G152*15%)+G152,"")</f>
        <v>154.675</v>
      </c>
      <c r="Q152" s="13"/>
      <c r="R152" s="13"/>
      <c r="S152" s="242"/>
      <c r="T152" s="443"/>
      <c r="U152" s="443"/>
      <c r="V152" s="242"/>
      <c r="W152" s="242"/>
      <c r="X152" s="242"/>
      <c r="Y152" s="242"/>
      <c r="Z152" s="242"/>
    </row>
    <row r="153">
      <c r="A153" s="621"/>
      <c r="B153" s="622">
        <f t="shared" si="28"/>
        <v>42</v>
      </c>
      <c r="C153" s="176"/>
      <c r="D153" s="625" t="s">
        <v>3618</v>
      </c>
      <c r="E153" s="625" t="s">
        <v>144</v>
      </c>
      <c r="F153" s="626" t="s">
        <v>3706</v>
      </c>
      <c r="G153" s="640">
        <v>169.0</v>
      </c>
      <c r="H153" s="667"/>
      <c r="I153" s="667"/>
      <c r="J153" s="628"/>
      <c r="K153" s="628"/>
      <c r="L153" s="13"/>
      <c r="M153" s="242"/>
      <c r="N153" s="242"/>
      <c r="O153" s="242"/>
      <c r="P153" s="631">
        <f t="shared" si="31"/>
        <v>194.35</v>
      </c>
      <c r="Q153" s="13"/>
      <c r="R153" s="13"/>
      <c r="S153" s="242"/>
      <c r="T153" s="443"/>
      <c r="U153" s="443"/>
      <c r="V153" s="242"/>
      <c r="W153" s="242"/>
      <c r="X153" s="242"/>
      <c r="Y153" s="242"/>
      <c r="Z153" s="242"/>
    </row>
    <row r="154">
      <c r="A154" s="621"/>
      <c r="B154" s="622">
        <f t="shared" si="28"/>
        <v>43</v>
      </c>
      <c r="C154" s="176"/>
      <c r="D154" s="216" t="s">
        <v>3625</v>
      </c>
      <c r="E154" s="625" t="s">
        <v>409</v>
      </c>
      <c r="F154" s="626" t="s">
        <v>3707</v>
      </c>
      <c r="G154" s="640">
        <v>190.1</v>
      </c>
      <c r="H154" s="667"/>
      <c r="I154" s="667"/>
      <c r="J154" s="628"/>
      <c r="K154" s="628"/>
      <c r="L154" s="13"/>
      <c r="M154" s="242"/>
      <c r="N154" s="242"/>
      <c r="O154" s="242"/>
      <c r="P154" s="631">
        <f t="shared" si="31"/>
        <v>218.615</v>
      </c>
      <c r="Q154" s="13"/>
      <c r="R154" s="13"/>
      <c r="S154" s="242"/>
      <c r="T154" s="443"/>
      <c r="U154" s="443"/>
      <c r="V154" s="242"/>
      <c r="W154" s="242"/>
      <c r="X154" s="242"/>
      <c r="Y154" s="242"/>
      <c r="Z154" s="242"/>
    </row>
    <row r="155">
      <c r="A155" s="621"/>
      <c r="B155" s="622">
        <f t="shared" si="28"/>
        <v>44</v>
      </c>
      <c r="C155" s="41"/>
      <c r="D155" s="216" t="s">
        <v>3628</v>
      </c>
      <c r="E155" s="625" t="s">
        <v>306</v>
      </c>
      <c r="F155" s="626" t="s">
        <v>3708</v>
      </c>
      <c r="G155" s="640">
        <v>0.0</v>
      </c>
      <c r="H155" s="667"/>
      <c r="I155" s="667"/>
      <c r="J155" s="628"/>
      <c r="K155" s="628"/>
      <c r="L155" s="13"/>
      <c r="M155" s="242"/>
      <c r="N155" s="242"/>
      <c r="O155" s="242"/>
      <c r="P155" s="631"/>
      <c r="Q155" s="13"/>
      <c r="R155" s="13"/>
      <c r="S155" s="242"/>
      <c r="T155" s="443"/>
      <c r="U155" s="443"/>
      <c r="V155" s="242"/>
      <c r="W155" s="242"/>
      <c r="X155" s="242"/>
      <c r="Y155" s="242"/>
      <c r="Z155" s="242"/>
    </row>
    <row r="156">
      <c r="A156" s="621"/>
      <c r="B156" s="622">
        <f t="shared" si="28"/>
        <v>45</v>
      </c>
      <c r="C156" s="664" t="s">
        <v>3691</v>
      </c>
      <c r="D156" s="624" t="s">
        <v>341</v>
      </c>
      <c r="E156" s="625" t="s">
        <v>43</v>
      </c>
      <c r="F156" s="626" t="s">
        <v>3709</v>
      </c>
      <c r="G156" s="640">
        <v>20.4</v>
      </c>
      <c r="H156" s="667"/>
      <c r="I156" s="667"/>
      <c r="J156" s="628"/>
      <c r="K156" s="628"/>
      <c r="L156" s="13"/>
      <c r="M156" s="242"/>
      <c r="N156" s="242"/>
      <c r="O156" s="242"/>
      <c r="P156" s="631">
        <f t="shared" ref="P156:P166" si="32">IFERROR((G156*7%)+G156,"")</f>
        <v>21.828</v>
      </c>
      <c r="Q156" s="13"/>
      <c r="R156" s="13"/>
      <c r="S156" s="242"/>
      <c r="T156" s="443"/>
      <c r="U156" s="443"/>
      <c r="V156" s="242"/>
      <c r="W156" s="242"/>
      <c r="X156" s="242"/>
      <c r="Y156" s="242"/>
      <c r="Z156" s="242"/>
    </row>
    <row r="157">
      <c r="A157" s="621"/>
      <c r="B157" s="622">
        <f t="shared" si="28"/>
        <v>46</v>
      </c>
      <c r="C157" s="176"/>
      <c r="D157" s="624" t="s">
        <v>346</v>
      </c>
      <c r="E157" s="625" t="s">
        <v>51</v>
      </c>
      <c r="F157" s="626" t="s">
        <v>3711</v>
      </c>
      <c r="G157" s="640">
        <v>37.7</v>
      </c>
      <c r="H157" s="667"/>
      <c r="I157" s="667"/>
      <c r="J157" s="628"/>
      <c r="K157" s="628"/>
      <c r="L157" s="13"/>
      <c r="M157" s="242"/>
      <c r="N157" s="242"/>
      <c r="O157" s="242"/>
      <c r="P157" s="631">
        <f t="shared" si="32"/>
        <v>40.339</v>
      </c>
      <c r="Q157" s="13"/>
      <c r="R157" s="13"/>
      <c r="S157" s="242"/>
      <c r="T157" s="443"/>
      <c r="U157" s="443"/>
      <c r="V157" s="242"/>
      <c r="W157" s="242"/>
      <c r="X157" s="242"/>
      <c r="Y157" s="242"/>
      <c r="Z157" s="242"/>
    </row>
    <row r="158">
      <c r="A158" s="621"/>
      <c r="B158" s="622">
        <f t="shared" si="28"/>
        <v>47</v>
      </c>
      <c r="C158" s="176"/>
      <c r="D158" s="624" t="s">
        <v>356</v>
      </c>
      <c r="E158" s="625" t="s">
        <v>84</v>
      </c>
      <c r="F158" s="626" t="s">
        <v>3712</v>
      </c>
      <c r="G158" s="640">
        <v>60.9</v>
      </c>
      <c r="H158" s="667"/>
      <c r="I158" s="667"/>
      <c r="J158" s="628"/>
      <c r="K158" s="628"/>
      <c r="L158" s="13"/>
      <c r="M158" s="242"/>
      <c r="N158" s="242"/>
      <c r="O158" s="242"/>
      <c r="P158" s="631">
        <f t="shared" si="32"/>
        <v>65.163</v>
      </c>
      <c r="Q158" s="13"/>
      <c r="R158" s="13"/>
      <c r="S158" s="242"/>
      <c r="T158" s="443"/>
      <c r="U158" s="443"/>
      <c r="V158" s="242"/>
      <c r="W158" s="242"/>
      <c r="X158" s="242"/>
      <c r="Y158" s="242"/>
      <c r="Z158" s="242"/>
    </row>
    <row r="159">
      <c r="A159" s="621"/>
      <c r="B159" s="622">
        <f t="shared" si="28"/>
        <v>48</v>
      </c>
      <c r="C159" s="176"/>
      <c r="D159" s="625" t="s">
        <v>3549</v>
      </c>
      <c r="E159" s="625" t="s">
        <v>55</v>
      </c>
      <c r="F159" s="626" t="s">
        <v>3713</v>
      </c>
      <c r="G159" s="640">
        <v>88.4</v>
      </c>
      <c r="H159" s="667"/>
      <c r="I159" s="667"/>
      <c r="J159" s="628"/>
      <c r="K159" s="628"/>
      <c r="L159" s="13"/>
      <c r="M159" s="242"/>
      <c r="N159" s="242"/>
      <c r="O159" s="242"/>
      <c r="P159" s="631">
        <f t="shared" si="32"/>
        <v>94.588</v>
      </c>
      <c r="Q159" s="13"/>
      <c r="R159" s="13"/>
      <c r="S159" s="242"/>
      <c r="T159" s="443"/>
      <c r="U159" s="443"/>
      <c r="V159" s="242"/>
      <c r="W159" s="242"/>
      <c r="X159" s="242"/>
      <c r="Y159" s="242"/>
      <c r="Z159" s="242"/>
    </row>
    <row r="160">
      <c r="A160" s="621"/>
      <c r="B160" s="622">
        <f t="shared" si="28"/>
        <v>49</v>
      </c>
      <c r="C160" s="176"/>
      <c r="D160" s="625" t="s">
        <v>3552</v>
      </c>
      <c r="E160" s="625" t="s">
        <v>56</v>
      </c>
      <c r="F160" s="626" t="s">
        <v>3714</v>
      </c>
      <c r="G160" s="640">
        <v>176.8</v>
      </c>
      <c r="H160" s="667"/>
      <c r="I160" s="667"/>
      <c r="J160" s="628"/>
      <c r="K160" s="628"/>
      <c r="L160" s="13"/>
      <c r="M160" s="242"/>
      <c r="N160" s="242"/>
      <c r="O160" s="242"/>
      <c r="P160" s="631">
        <f t="shared" si="32"/>
        <v>189.176</v>
      </c>
      <c r="Q160" s="13"/>
      <c r="R160" s="13"/>
      <c r="S160" s="242"/>
      <c r="T160" s="443"/>
      <c r="U160" s="443"/>
      <c r="V160" s="242"/>
      <c r="W160" s="242"/>
      <c r="X160" s="242"/>
      <c r="Y160" s="242"/>
      <c r="Z160" s="242"/>
    </row>
    <row r="161">
      <c r="A161" s="621"/>
      <c r="B161" s="622">
        <f t="shared" si="28"/>
        <v>50</v>
      </c>
      <c r="C161" s="176"/>
      <c r="D161" s="625" t="s">
        <v>3554</v>
      </c>
      <c r="E161" s="625" t="s">
        <v>107</v>
      </c>
      <c r="F161" s="626" t="s">
        <v>3715</v>
      </c>
      <c r="G161" s="640">
        <v>388.9</v>
      </c>
      <c r="H161" s="667"/>
      <c r="I161" s="667"/>
      <c r="J161" s="628"/>
      <c r="K161" s="628"/>
      <c r="L161" s="13"/>
      <c r="M161" s="242"/>
      <c r="N161" s="242"/>
      <c r="O161" s="242"/>
      <c r="P161" s="631">
        <f t="shared" si="32"/>
        <v>416.123</v>
      </c>
      <c r="Q161" s="13"/>
      <c r="R161" s="13"/>
      <c r="S161" s="242"/>
      <c r="T161" s="443"/>
      <c r="U161" s="443"/>
      <c r="V161" s="242"/>
      <c r="W161" s="242"/>
      <c r="X161" s="242"/>
      <c r="Y161" s="242"/>
      <c r="Z161" s="242"/>
    </row>
    <row r="162">
      <c r="A162" s="621"/>
      <c r="B162" s="622">
        <f t="shared" si="28"/>
        <v>51</v>
      </c>
      <c r="C162" s="176"/>
      <c r="D162" s="625" t="s">
        <v>3556</v>
      </c>
      <c r="E162" s="625" t="s">
        <v>69</v>
      </c>
      <c r="F162" s="626" t="s">
        <v>3716</v>
      </c>
      <c r="G162" s="640">
        <v>742.6</v>
      </c>
      <c r="H162" s="667"/>
      <c r="I162" s="667"/>
      <c r="J162" s="628"/>
      <c r="K162" s="628"/>
      <c r="L162" s="13"/>
      <c r="M162" s="242"/>
      <c r="N162" s="242"/>
      <c r="O162" s="242"/>
      <c r="P162" s="631">
        <f t="shared" si="32"/>
        <v>794.582</v>
      </c>
      <c r="Q162" s="13"/>
      <c r="R162" s="13"/>
      <c r="S162" s="242"/>
      <c r="T162" s="443"/>
      <c r="U162" s="443"/>
      <c r="V162" s="242"/>
      <c r="W162" s="242"/>
      <c r="X162" s="242"/>
      <c r="Y162" s="242"/>
      <c r="Z162" s="242"/>
    </row>
    <row r="163">
      <c r="A163" s="621"/>
      <c r="B163" s="622">
        <f t="shared" si="28"/>
        <v>52</v>
      </c>
      <c r="C163" s="176"/>
      <c r="D163" s="625" t="s">
        <v>3559</v>
      </c>
      <c r="E163" s="625" t="s">
        <v>3560</v>
      </c>
      <c r="F163" s="626" t="s">
        <v>3717</v>
      </c>
      <c r="G163" s="640">
        <v>985.9</v>
      </c>
      <c r="H163" s="667"/>
      <c r="I163" s="667"/>
      <c r="J163" s="628"/>
      <c r="K163" s="628"/>
      <c r="L163" s="13"/>
      <c r="M163" s="242"/>
      <c r="N163" s="242"/>
      <c r="O163" s="242"/>
      <c r="P163" s="631">
        <f t="shared" si="32"/>
        <v>1054.913</v>
      </c>
      <c r="Q163" s="13"/>
      <c r="R163" s="13"/>
      <c r="S163" s="242"/>
      <c r="T163" s="443"/>
      <c r="U163" s="443"/>
      <c r="V163" s="242"/>
      <c r="W163" s="242"/>
      <c r="X163" s="242"/>
      <c r="Y163" s="242"/>
      <c r="Z163" s="242"/>
    </row>
    <row r="164">
      <c r="A164" s="621"/>
      <c r="B164" s="622">
        <f t="shared" si="28"/>
        <v>53</v>
      </c>
      <c r="C164" s="41"/>
      <c r="D164" s="625" t="s">
        <v>3561</v>
      </c>
      <c r="E164" s="625" t="s">
        <v>3562</v>
      </c>
      <c r="F164" s="626" t="s">
        <v>3718</v>
      </c>
      <c r="G164" s="640">
        <v>1537.1</v>
      </c>
      <c r="H164" s="667"/>
      <c r="I164" s="667"/>
      <c r="J164" s="628"/>
      <c r="K164" s="628"/>
      <c r="L164" s="13"/>
      <c r="M164" s="242"/>
      <c r="N164" s="242"/>
      <c r="O164" s="242"/>
      <c r="P164" s="631">
        <f t="shared" si="32"/>
        <v>1644.697</v>
      </c>
      <c r="Q164" s="13"/>
      <c r="R164" s="13"/>
      <c r="S164" s="242"/>
      <c r="T164" s="443"/>
      <c r="U164" s="443"/>
      <c r="V164" s="242"/>
      <c r="W164" s="242"/>
      <c r="X164" s="242"/>
      <c r="Y164" s="242"/>
      <c r="Z164" s="242"/>
    </row>
    <row r="165">
      <c r="A165" s="621"/>
      <c r="B165" s="622">
        <f t="shared" si="28"/>
        <v>54</v>
      </c>
      <c r="C165" s="623" t="s">
        <v>202</v>
      </c>
      <c r="D165" s="216" t="s">
        <v>155</v>
      </c>
      <c r="E165" s="625" t="s">
        <v>144</v>
      </c>
      <c r="F165" s="626" t="s">
        <v>3719</v>
      </c>
      <c r="G165" s="640">
        <v>36.6</v>
      </c>
      <c r="H165" s="667"/>
      <c r="I165" s="667"/>
      <c r="J165" s="628"/>
      <c r="K165" s="628"/>
      <c r="L165" s="13"/>
      <c r="M165" s="242"/>
      <c r="N165" s="242"/>
      <c r="O165" s="242"/>
      <c r="P165" s="631">
        <f t="shared" si="32"/>
        <v>39.162</v>
      </c>
      <c r="Q165" s="13"/>
      <c r="R165" s="13"/>
      <c r="S165" s="242"/>
      <c r="T165" s="443"/>
      <c r="U165" s="443"/>
      <c r="V165" s="242"/>
      <c r="W165" s="242"/>
      <c r="X165" s="242"/>
      <c r="Y165" s="242"/>
      <c r="Z165" s="242"/>
    </row>
    <row r="166">
      <c r="A166" s="621"/>
      <c r="B166" s="622">
        <f t="shared" si="28"/>
        <v>55</v>
      </c>
      <c r="C166" s="176"/>
      <c r="D166" s="216" t="s">
        <v>304</v>
      </c>
      <c r="E166" s="625" t="s">
        <v>352</v>
      </c>
      <c r="F166" s="626" t="s">
        <v>3721</v>
      </c>
      <c r="G166" s="640">
        <v>62.0</v>
      </c>
      <c r="H166" s="667"/>
      <c r="I166" s="667"/>
      <c r="J166" s="628"/>
      <c r="K166" s="628"/>
      <c r="L166" s="13"/>
      <c r="M166" s="242"/>
      <c r="N166" s="242"/>
      <c r="O166" s="242"/>
      <c r="P166" s="631">
        <f t="shared" si="32"/>
        <v>66.34</v>
      </c>
      <c r="Q166" s="13"/>
      <c r="R166" s="13"/>
      <c r="S166" s="242"/>
      <c r="T166" s="443"/>
      <c r="U166" s="443"/>
      <c r="V166" s="242"/>
      <c r="W166" s="242"/>
      <c r="X166" s="242"/>
      <c r="Y166" s="242"/>
      <c r="Z166" s="242"/>
    </row>
    <row r="167">
      <c r="A167" s="621"/>
      <c r="B167" s="622">
        <f t="shared" si="28"/>
        <v>56</v>
      </c>
      <c r="C167" s="176"/>
      <c r="D167" s="216" t="s">
        <v>307</v>
      </c>
      <c r="E167" s="625" t="s">
        <v>153</v>
      </c>
      <c r="F167" s="626" t="s">
        <v>3723</v>
      </c>
      <c r="G167" s="640">
        <v>63.1</v>
      </c>
      <c r="H167" s="667"/>
      <c r="I167" s="667"/>
      <c r="J167" s="628"/>
      <c r="K167" s="628"/>
      <c r="L167" s="630" t="s">
        <v>722</v>
      </c>
      <c r="M167" s="242"/>
      <c r="N167" s="242"/>
      <c r="O167" s="242"/>
      <c r="P167" s="631"/>
      <c r="Q167" s="13"/>
      <c r="R167" s="13"/>
      <c r="S167" s="242"/>
      <c r="T167" s="443"/>
      <c r="U167" s="443"/>
      <c r="V167" s="242"/>
      <c r="W167" s="242"/>
      <c r="X167" s="242"/>
      <c r="Y167" s="242"/>
      <c r="Z167" s="242"/>
    </row>
    <row r="168">
      <c r="A168" s="621"/>
      <c r="B168" s="622">
        <f t="shared" si="28"/>
        <v>57</v>
      </c>
      <c r="C168" s="176"/>
      <c r="D168" s="216" t="s">
        <v>311</v>
      </c>
      <c r="E168" s="625" t="s">
        <v>401</v>
      </c>
      <c r="F168" s="626" t="s">
        <v>3724</v>
      </c>
      <c r="G168" s="640">
        <v>82.8</v>
      </c>
      <c r="H168" s="667"/>
      <c r="I168" s="667"/>
      <c r="J168" s="628"/>
      <c r="K168" s="628"/>
      <c r="L168" s="630" t="s">
        <v>722</v>
      </c>
      <c r="M168" s="242"/>
      <c r="N168" s="242"/>
      <c r="O168" s="242"/>
      <c r="P168" s="631"/>
      <c r="Q168" s="13"/>
      <c r="R168" s="13"/>
      <c r="S168" s="242"/>
      <c r="T168" s="443"/>
      <c r="U168" s="443"/>
      <c r="V168" s="242"/>
      <c r="W168" s="242"/>
      <c r="X168" s="242"/>
      <c r="Y168" s="242"/>
      <c r="Z168" s="242"/>
    </row>
    <row r="169">
      <c r="A169" s="621"/>
      <c r="B169" s="622">
        <f t="shared" si="28"/>
        <v>58</v>
      </c>
      <c r="C169" s="176"/>
      <c r="D169" s="216" t="s">
        <v>314</v>
      </c>
      <c r="E169" s="625" t="s">
        <v>303</v>
      </c>
      <c r="F169" s="626" t="s">
        <v>3725</v>
      </c>
      <c r="G169" s="640">
        <v>86.3</v>
      </c>
      <c r="H169" s="667"/>
      <c r="I169" s="667"/>
      <c r="J169" s="628"/>
      <c r="K169" s="628"/>
      <c r="L169" s="13"/>
      <c r="M169" s="242"/>
      <c r="N169" s="242"/>
      <c r="O169" s="242"/>
      <c r="P169" s="631">
        <f>IFERROR((G169*7%)+G169,"")</f>
        <v>92.341</v>
      </c>
      <c r="Q169" s="13"/>
      <c r="R169" s="13"/>
      <c r="S169" s="242"/>
      <c r="T169" s="443"/>
      <c r="U169" s="443"/>
      <c r="V169" s="242"/>
      <c r="W169" s="242"/>
      <c r="X169" s="242"/>
      <c r="Y169" s="242"/>
      <c r="Z169" s="242"/>
    </row>
    <row r="170">
      <c r="A170" s="621"/>
      <c r="B170" s="622">
        <f t="shared" si="28"/>
        <v>59</v>
      </c>
      <c r="C170" s="176"/>
      <c r="D170" s="216" t="s">
        <v>318</v>
      </c>
      <c r="E170" s="625" t="s">
        <v>306</v>
      </c>
      <c r="F170" s="626" t="s">
        <v>3726</v>
      </c>
      <c r="G170" s="640">
        <v>88.2</v>
      </c>
      <c r="H170" s="667"/>
      <c r="I170" s="667"/>
      <c r="J170" s="628"/>
      <c r="K170" s="628"/>
      <c r="L170" s="630" t="s">
        <v>722</v>
      </c>
      <c r="M170" s="242"/>
      <c r="N170" s="242"/>
      <c r="O170" s="242"/>
      <c r="P170" s="631"/>
      <c r="Q170" s="13"/>
      <c r="R170" s="13"/>
      <c r="S170" s="242"/>
      <c r="T170" s="443"/>
      <c r="U170" s="443"/>
      <c r="V170" s="242"/>
      <c r="W170" s="242"/>
      <c r="X170" s="242"/>
      <c r="Y170" s="242"/>
      <c r="Z170" s="242"/>
    </row>
    <row r="171">
      <c r="A171" s="621"/>
      <c r="B171" s="622">
        <f t="shared" si="28"/>
        <v>60</v>
      </c>
      <c r="C171" s="176"/>
      <c r="D171" s="216" t="s">
        <v>321</v>
      </c>
      <c r="E171" s="625" t="s">
        <v>414</v>
      </c>
      <c r="F171" s="626" t="s">
        <v>3727</v>
      </c>
      <c r="G171" s="640">
        <v>160.6</v>
      </c>
      <c r="H171" s="667"/>
      <c r="I171" s="667"/>
      <c r="J171" s="628"/>
      <c r="K171" s="628"/>
      <c r="L171" s="630" t="s">
        <v>722</v>
      </c>
      <c r="M171" s="242"/>
      <c r="N171" s="242"/>
      <c r="O171" s="242"/>
      <c r="P171" s="631"/>
      <c r="Q171" s="13"/>
      <c r="R171" s="13"/>
      <c r="S171" s="242"/>
      <c r="T171" s="443"/>
      <c r="U171" s="443"/>
      <c r="V171" s="242"/>
      <c r="W171" s="242"/>
      <c r="X171" s="242"/>
      <c r="Y171" s="242"/>
      <c r="Z171" s="242"/>
    </row>
    <row r="172">
      <c r="A172" s="621"/>
      <c r="B172" s="622">
        <f t="shared" si="28"/>
        <v>61</v>
      </c>
      <c r="C172" s="176"/>
      <c r="D172" s="216" t="s">
        <v>325</v>
      </c>
      <c r="E172" s="625" t="s">
        <v>310</v>
      </c>
      <c r="F172" s="626" t="s">
        <v>3728</v>
      </c>
      <c r="G172" s="640">
        <v>165.9</v>
      </c>
      <c r="H172" s="667"/>
      <c r="I172" s="667"/>
      <c r="J172" s="628"/>
      <c r="K172" s="628"/>
      <c r="L172" s="630" t="s">
        <v>722</v>
      </c>
      <c r="M172" s="242"/>
      <c r="N172" s="242"/>
      <c r="O172" s="242"/>
      <c r="P172" s="631"/>
      <c r="Q172" s="13"/>
      <c r="R172" s="13"/>
      <c r="S172" s="242"/>
      <c r="T172" s="443"/>
      <c r="U172" s="443"/>
      <c r="V172" s="242"/>
      <c r="W172" s="242"/>
      <c r="X172" s="242"/>
      <c r="Y172" s="242"/>
      <c r="Z172" s="242"/>
    </row>
    <row r="173">
      <c r="A173" s="621"/>
      <c r="B173" s="622">
        <f t="shared" si="28"/>
        <v>62</v>
      </c>
      <c r="C173" s="176"/>
      <c r="D173" s="216" t="s">
        <v>328</v>
      </c>
      <c r="E173" s="625" t="s">
        <v>313</v>
      </c>
      <c r="F173" s="626" t="s">
        <v>3730</v>
      </c>
      <c r="G173" s="640">
        <v>167.7</v>
      </c>
      <c r="H173" s="667"/>
      <c r="I173" s="667"/>
      <c r="J173" s="628"/>
      <c r="K173" s="628"/>
      <c r="L173" s="13"/>
      <c r="M173" s="242"/>
      <c r="N173" s="242"/>
      <c r="O173" s="242"/>
      <c r="P173" s="631">
        <f>IFERROR((G173*7%)+G173,"")</f>
        <v>179.439</v>
      </c>
      <c r="Q173" s="13"/>
      <c r="R173" s="13"/>
      <c r="S173" s="242"/>
      <c r="T173" s="443"/>
      <c r="U173" s="443"/>
      <c r="V173" s="242"/>
      <c r="W173" s="242"/>
      <c r="X173" s="242"/>
      <c r="Y173" s="242"/>
      <c r="Z173" s="242"/>
    </row>
    <row r="174">
      <c r="A174" s="621"/>
      <c r="B174" s="622">
        <f t="shared" si="28"/>
        <v>63</v>
      </c>
      <c r="C174" s="176"/>
      <c r="D174" s="216" t="s">
        <v>332</v>
      </c>
      <c r="E174" s="625" t="s">
        <v>317</v>
      </c>
      <c r="F174" s="626" t="s">
        <v>3732</v>
      </c>
      <c r="G174" s="640">
        <v>168.9</v>
      </c>
      <c r="H174" s="667"/>
      <c r="I174" s="667"/>
      <c r="J174" s="628"/>
      <c r="K174" s="628"/>
      <c r="L174" s="630" t="s">
        <v>722</v>
      </c>
      <c r="M174" s="242"/>
      <c r="N174" s="242"/>
      <c r="O174" s="242"/>
      <c r="P174" s="631"/>
      <c r="Q174" s="13"/>
      <c r="R174" s="13"/>
      <c r="S174" s="242"/>
      <c r="T174" s="443"/>
      <c r="U174" s="443"/>
      <c r="V174" s="242"/>
      <c r="W174" s="242"/>
      <c r="X174" s="242"/>
      <c r="Y174" s="242"/>
      <c r="Z174" s="242"/>
    </row>
    <row r="175">
      <c r="A175" s="621"/>
      <c r="B175" s="622">
        <f t="shared" si="28"/>
        <v>64</v>
      </c>
      <c r="C175" s="176"/>
      <c r="D175" s="216" t="s">
        <v>3575</v>
      </c>
      <c r="E175" s="625" t="s">
        <v>320</v>
      </c>
      <c r="F175" s="626" t="s">
        <v>3734</v>
      </c>
      <c r="G175" s="640">
        <v>330.7</v>
      </c>
      <c r="H175" s="667"/>
      <c r="I175" s="667"/>
      <c r="J175" s="628"/>
      <c r="K175" s="628"/>
      <c r="L175" s="630" t="s">
        <v>722</v>
      </c>
      <c r="M175" s="242"/>
      <c r="N175" s="242"/>
      <c r="O175" s="242"/>
      <c r="P175" s="631"/>
      <c r="Q175" s="13"/>
      <c r="R175" s="13"/>
      <c r="S175" s="242"/>
      <c r="T175" s="443"/>
      <c r="U175" s="443"/>
      <c r="V175" s="242"/>
      <c r="W175" s="242"/>
      <c r="X175" s="242"/>
      <c r="Y175" s="242"/>
      <c r="Z175" s="242"/>
    </row>
    <row r="176">
      <c r="A176" s="621"/>
      <c r="B176" s="622">
        <f t="shared" si="28"/>
        <v>65</v>
      </c>
      <c r="C176" s="176"/>
      <c r="D176" s="216" t="s">
        <v>3578</v>
      </c>
      <c r="E176" s="625" t="s">
        <v>324</v>
      </c>
      <c r="F176" s="626" t="s">
        <v>3735</v>
      </c>
      <c r="G176" s="640">
        <v>336.9</v>
      </c>
      <c r="H176" s="667"/>
      <c r="I176" s="667"/>
      <c r="J176" s="628"/>
      <c r="K176" s="628"/>
      <c r="L176" s="630" t="s">
        <v>722</v>
      </c>
      <c r="M176" s="242"/>
      <c r="N176" s="242"/>
      <c r="O176" s="242"/>
      <c r="P176" s="631"/>
      <c r="Q176" s="13"/>
      <c r="R176" s="13"/>
      <c r="S176" s="242"/>
      <c r="T176" s="443"/>
      <c r="U176" s="443"/>
      <c r="V176" s="242"/>
      <c r="W176" s="242"/>
      <c r="X176" s="242"/>
      <c r="Y176" s="242"/>
      <c r="Z176" s="242"/>
    </row>
    <row r="177">
      <c r="A177" s="621"/>
      <c r="B177" s="622">
        <f t="shared" si="28"/>
        <v>66</v>
      </c>
      <c r="C177" s="176"/>
      <c r="D177" s="216" t="s">
        <v>3580</v>
      </c>
      <c r="E177" s="625" t="s">
        <v>327</v>
      </c>
      <c r="F177" s="626" t="s">
        <v>3736</v>
      </c>
      <c r="G177" s="640">
        <v>341.1</v>
      </c>
      <c r="H177" s="667"/>
      <c r="I177" s="667"/>
      <c r="J177" s="628"/>
      <c r="K177" s="628"/>
      <c r="L177" s="630" t="s">
        <v>722</v>
      </c>
      <c r="M177" s="242"/>
      <c r="N177" s="242"/>
      <c r="O177" s="242"/>
      <c r="P177" s="631"/>
      <c r="Q177" s="13"/>
      <c r="R177" s="13"/>
      <c r="S177" s="242"/>
      <c r="T177" s="443"/>
      <c r="U177" s="443"/>
      <c r="V177" s="242"/>
      <c r="W177" s="242"/>
      <c r="X177" s="242"/>
      <c r="Y177" s="242"/>
      <c r="Z177" s="242"/>
    </row>
    <row r="178">
      <c r="A178" s="621"/>
      <c r="B178" s="622">
        <f t="shared" si="28"/>
        <v>67</v>
      </c>
      <c r="C178" s="41"/>
      <c r="D178" s="216" t="s">
        <v>3583</v>
      </c>
      <c r="E178" s="625" t="s">
        <v>331</v>
      </c>
      <c r="F178" s="626" t="s">
        <v>3737</v>
      </c>
      <c r="G178" s="640">
        <v>355.7</v>
      </c>
      <c r="H178" s="667"/>
      <c r="I178" s="667"/>
      <c r="J178" s="628"/>
      <c r="K178" s="628"/>
      <c r="L178" s="630" t="s">
        <v>722</v>
      </c>
      <c r="M178" s="242"/>
      <c r="N178" s="242"/>
      <c r="O178" s="242"/>
      <c r="P178" s="631"/>
      <c r="Q178" s="13"/>
      <c r="R178" s="13"/>
      <c r="S178" s="242"/>
      <c r="T178" s="443"/>
      <c r="U178" s="443"/>
      <c r="V178" s="242"/>
      <c r="W178" s="242"/>
      <c r="X178" s="242"/>
      <c r="Y178" s="242"/>
      <c r="Z178" s="242"/>
    </row>
    <row r="179">
      <c r="A179" s="621"/>
      <c r="B179" s="622">
        <f t="shared" si="28"/>
        <v>68</v>
      </c>
      <c r="C179" s="665" t="s">
        <v>3722</v>
      </c>
      <c r="D179" s="216" t="s">
        <v>3598</v>
      </c>
      <c r="E179" s="625" t="s">
        <v>397</v>
      </c>
      <c r="F179" s="626" t="s">
        <v>3738</v>
      </c>
      <c r="G179" s="640">
        <v>148.304</v>
      </c>
      <c r="H179" s="667"/>
      <c r="I179" s="667"/>
      <c r="J179" s="628"/>
      <c r="K179" s="628"/>
      <c r="L179" s="13"/>
      <c r="M179" s="242"/>
      <c r="N179" s="242"/>
      <c r="O179" s="242"/>
      <c r="P179" s="631">
        <f t="shared" ref="P179:P181" si="33">IFERROR((G179*15%)+G179,"")</f>
        <v>170.5496</v>
      </c>
      <c r="Q179" s="13"/>
      <c r="R179" s="13"/>
      <c r="S179" s="242"/>
      <c r="T179" s="443"/>
      <c r="U179" s="443"/>
      <c r="V179" s="242"/>
      <c r="W179" s="242"/>
      <c r="X179" s="242"/>
      <c r="Y179" s="242"/>
      <c r="Z179" s="242"/>
    </row>
    <row r="180">
      <c r="A180" s="621"/>
      <c r="B180" s="622">
        <f t="shared" si="28"/>
        <v>69</v>
      </c>
      <c r="C180" s="176"/>
      <c r="D180" s="216" t="s">
        <v>3618</v>
      </c>
      <c r="E180" s="625" t="s">
        <v>144</v>
      </c>
      <c r="F180" s="626" t="s">
        <v>3740</v>
      </c>
      <c r="G180" s="640">
        <v>163.8</v>
      </c>
      <c r="H180" s="667"/>
      <c r="I180" s="667"/>
      <c r="J180" s="628"/>
      <c r="K180" s="628"/>
      <c r="L180" s="13"/>
      <c r="M180" s="242"/>
      <c r="N180" s="242"/>
      <c r="O180" s="242"/>
      <c r="P180" s="631">
        <f t="shared" si="33"/>
        <v>188.37</v>
      </c>
      <c r="Q180" s="13"/>
      <c r="R180" s="13"/>
      <c r="S180" s="242"/>
      <c r="T180" s="443"/>
      <c r="U180" s="443"/>
      <c r="V180" s="242"/>
      <c r="W180" s="242"/>
      <c r="X180" s="242"/>
      <c r="Y180" s="242"/>
      <c r="Z180" s="242"/>
    </row>
    <row r="181">
      <c r="A181" s="621"/>
      <c r="B181" s="622">
        <f t="shared" si="28"/>
        <v>70</v>
      </c>
      <c r="C181" s="176"/>
      <c r="D181" s="216" t="s">
        <v>3625</v>
      </c>
      <c r="E181" s="625" t="s">
        <v>409</v>
      </c>
      <c r="F181" s="626" t="s">
        <v>3741</v>
      </c>
      <c r="G181" s="640">
        <v>191.4</v>
      </c>
      <c r="H181" s="667"/>
      <c r="I181" s="667"/>
      <c r="J181" s="628"/>
      <c r="K181" s="628"/>
      <c r="L181" s="13"/>
      <c r="M181" s="242"/>
      <c r="N181" s="242"/>
      <c r="O181" s="242"/>
      <c r="P181" s="631">
        <f t="shared" si="33"/>
        <v>220.11</v>
      </c>
      <c r="Q181" s="13"/>
      <c r="R181" s="13"/>
      <c r="S181" s="242"/>
      <c r="T181" s="443"/>
      <c r="U181" s="443"/>
      <c r="V181" s="242"/>
      <c r="W181" s="242"/>
      <c r="X181" s="242"/>
      <c r="Y181" s="242"/>
      <c r="Z181" s="242"/>
    </row>
    <row r="182">
      <c r="A182" s="621"/>
      <c r="B182" s="622">
        <f t="shared" si="28"/>
        <v>71</v>
      </c>
      <c r="C182" s="176"/>
      <c r="D182" s="216" t="s">
        <v>3729</v>
      </c>
      <c r="E182" s="625" t="s">
        <v>352</v>
      </c>
      <c r="F182" s="626" t="s">
        <v>3742</v>
      </c>
      <c r="G182" s="640">
        <v>201.8</v>
      </c>
      <c r="H182" s="667"/>
      <c r="I182" s="667"/>
      <c r="J182" s="628"/>
      <c r="K182" s="628"/>
      <c r="L182" s="630" t="s">
        <v>722</v>
      </c>
      <c r="M182" s="242"/>
      <c r="N182" s="242"/>
      <c r="O182" s="242"/>
      <c r="P182" s="631"/>
      <c r="Q182" s="13"/>
      <c r="R182" s="13"/>
      <c r="S182" s="242"/>
      <c r="T182" s="443"/>
      <c r="U182" s="443"/>
      <c r="V182" s="242"/>
      <c r="W182" s="242"/>
      <c r="X182" s="242"/>
      <c r="Y182" s="242"/>
      <c r="Z182" s="242"/>
    </row>
    <row r="183">
      <c r="A183" s="621"/>
      <c r="B183" s="622">
        <f t="shared" si="28"/>
        <v>72</v>
      </c>
      <c r="C183" s="41"/>
      <c r="D183" s="216" t="s">
        <v>3628</v>
      </c>
      <c r="E183" s="625" t="s">
        <v>306</v>
      </c>
      <c r="F183" s="626" t="s">
        <v>3743</v>
      </c>
      <c r="G183" s="640">
        <v>0.0</v>
      </c>
      <c r="H183" s="667"/>
      <c r="I183" s="667"/>
      <c r="J183" s="628"/>
      <c r="K183" s="628"/>
      <c r="L183" s="13"/>
      <c r="M183" s="242"/>
      <c r="N183" s="242"/>
      <c r="O183" s="242"/>
      <c r="P183" s="631"/>
      <c r="Q183" s="13"/>
      <c r="R183" s="13"/>
      <c r="S183" s="242"/>
      <c r="T183" s="443"/>
      <c r="U183" s="443"/>
      <c r="V183" s="242"/>
      <c r="W183" s="242"/>
      <c r="X183" s="242"/>
      <c r="Y183" s="242"/>
      <c r="Z183" s="242"/>
    </row>
    <row r="184">
      <c r="A184" s="621"/>
      <c r="B184" s="622">
        <f t="shared" si="28"/>
        <v>73</v>
      </c>
      <c r="C184" s="665" t="s">
        <v>3733</v>
      </c>
      <c r="D184" s="216" t="s">
        <v>3598</v>
      </c>
      <c r="E184" s="625" t="s">
        <v>397</v>
      </c>
      <c r="F184" s="626" t="s">
        <v>3744</v>
      </c>
      <c r="G184" s="640">
        <v>142.3</v>
      </c>
      <c r="H184" s="667"/>
      <c r="I184" s="667"/>
      <c r="J184" s="628"/>
      <c r="K184" s="628"/>
      <c r="L184" s="13"/>
      <c r="M184" s="242"/>
      <c r="N184" s="242"/>
      <c r="O184" s="242"/>
      <c r="P184" s="631">
        <f t="shared" ref="P184:P185" si="34">IFERROR((G184*15%)+G184,"")</f>
        <v>163.645</v>
      </c>
      <c r="Q184" s="13"/>
      <c r="R184" s="13"/>
      <c r="S184" s="242"/>
      <c r="T184" s="443"/>
      <c r="U184" s="443"/>
      <c r="V184" s="242"/>
      <c r="W184" s="242"/>
      <c r="X184" s="242"/>
      <c r="Y184" s="242"/>
      <c r="Z184" s="242"/>
    </row>
    <row r="185">
      <c r="A185" s="621"/>
      <c r="B185" s="622">
        <f t="shared" si="28"/>
        <v>74</v>
      </c>
      <c r="C185" s="176"/>
      <c r="D185" s="216" t="s">
        <v>3618</v>
      </c>
      <c r="E185" s="625" t="s">
        <v>144</v>
      </c>
      <c r="F185" s="626" t="s">
        <v>3746</v>
      </c>
      <c r="G185" s="640">
        <v>155.6</v>
      </c>
      <c r="H185" s="667"/>
      <c r="I185" s="667"/>
      <c r="J185" s="628"/>
      <c r="K185" s="628"/>
      <c r="L185" s="13"/>
      <c r="M185" s="242"/>
      <c r="N185" s="242"/>
      <c r="O185" s="242"/>
      <c r="P185" s="631">
        <f t="shared" si="34"/>
        <v>178.94</v>
      </c>
      <c r="Q185" s="13"/>
      <c r="R185" s="13"/>
      <c r="S185" s="242"/>
      <c r="T185" s="443"/>
      <c r="U185" s="443"/>
      <c r="V185" s="242"/>
      <c r="W185" s="242"/>
      <c r="X185" s="242"/>
      <c r="Y185" s="242"/>
      <c r="Z185" s="242"/>
    </row>
    <row r="186">
      <c r="A186" s="621"/>
      <c r="B186" s="622">
        <f t="shared" si="28"/>
        <v>75</v>
      </c>
      <c r="C186" s="176"/>
      <c r="D186" s="216" t="s">
        <v>3625</v>
      </c>
      <c r="E186" s="625" t="s">
        <v>409</v>
      </c>
      <c r="F186" s="626" t="s">
        <v>3747</v>
      </c>
      <c r="G186" s="640">
        <v>290.6</v>
      </c>
      <c r="H186" s="667"/>
      <c r="I186" s="667"/>
      <c r="J186" s="628"/>
      <c r="K186" s="628"/>
      <c r="L186" s="13"/>
      <c r="M186" s="242"/>
      <c r="N186" s="242"/>
      <c r="O186" s="242"/>
      <c r="P186" s="631"/>
      <c r="Q186" s="13"/>
      <c r="R186" s="13"/>
      <c r="S186" s="242"/>
      <c r="T186" s="443"/>
      <c r="U186" s="443"/>
      <c r="V186" s="242"/>
      <c r="W186" s="242"/>
      <c r="X186" s="242"/>
      <c r="Y186" s="242"/>
      <c r="Z186" s="242"/>
    </row>
    <row r="187">
      <c r="A187" s="621"/>
      <c r="B187" s="622">
        <f t="shared" si="28"/>
        <v>76</v>
      </c>
      <c r="C187" s="176"/>
      <c r="D187" s="216" t="s">
        <v>3729</v>
      </c>
      <c r="E187" s="625" t="s">
        <v>352</v>
      </c>
      <c r="F187" s="626" t="s">
        <v>3748</v>
      </c>
      <c r="G187" s="640">
        <v>176.4</v>
      </c>
      <c r="H187" s="667"/>
      <c r="I187" s="667"/>
      <c r="J187" s="628"/>
      <c r="K187" s="628"/>
      <c r="L187" s="630" t="s">
        <v>722</v>
      </c>
      <c r="M187" s="242"/>
      <c r="N187" s="242"/>
      <c r="O187" s="242"/>
      <c r="P187" s="631"/>
      <c r="Q187" s="13"/>
      <c r="R187" s="13"/>
      <c r="S187" s="242"/>
      <c r="T187" s="443"/>
      <c r="U187" s="443"/>
      <c r="V187" s="242"/>
      <c r="W187" s="242"/>
      <c r="X187" s="242"/>
      <c r="Y187" s="242"/>
      <c r="Z187" s="242"/>
    </row>
    <row r="188">
      <c r="A188" s="621"/>
      <c r="B188" s="622">
        <f t="shared" si="28"/>
        <v>77</v>
      </c>
      <c r="C188" s="41"/>
      <c r="D188" s="216" t="s">
        <v>3628</v>
      </c>
      <c r="E188" s="625" t="s">
        <v>306</v>
      </c>
      <c r="F188" s="626" t="s">
        <v>3749</v>
      </c>
      <c r="G188" s="640">
        <v>0.0</v>
      </c>
      <c r="H188" s="667"/>
      <c r="I188" s="667"/>
      <c r="J188" s="628"/>
      <c r="K188" s="628"/>
      <c r="L188" s="13"/>
      <c r="M188" s="242"/>
      <c r="N188" s="242"/>
      <c r="O188" s="242"/>
      <c r="P188" s="631"/>
      <c r="Q188" s="13"/>
      <c r="R188" s="13"/>
      <c r="S188" s="242"/>
      <c r="T188" s="443"/>
      <c r="U188" s="443"/>
      <c r="V188" s="242"/>
      <c r="W188" s="242"/>
      <c r="X188" s="242"/>
      <c r="Y188" s="242"/>
      <c r="Z188" s="242"/>
    </row>
    <row r="189">
      <c r="A189" s="621"/>
      <c r="B189" s="622">
        <f t="shared" si="28"/>
        <v>78</v>
      </c>
      <c r="C189" s="664" t="s">
        <v>247</v>
      </c>
      <c r="D189" s="624" t="s">
        <v>341</v>
      </c>
      <c r="E189" s="624" t="s">
        <v>43</v>
      </c>
      <c r="F189" s="626" t="s">
        <v>3750</v>
      </c>
      <c r="G189" s="640">
        <v>96.5</v>
      </c>
      <c r="H189" s="667"/>
      <c r="I189" s="667"/>
      <c r="J189" s="628"/>
      <c r="K189" s="628"/>
      <c r="L189" s="13"/>
      <c r="M189" s="242"/>
      <c r="N189" s="242"/>
      <c r="O189" s="242"/>
      <c r="P189" s="631">
        <f t="shared" ref="P189:P193" si="35">IFERROR((G189*7%)+G189,"")</f>
        <v>103.255</v>
      </c>
      <c r="Q189" s="13"/>
      <c r="R189" s="13"/>
      <c r="S189" s="242"/>
      <c r="T189" s="443"/>
      <c r="U189" s="443"/>
      <c r="V189" s="242"/>
      <c r="W189" s="242"/>
      <c r="X189" s="242"/>
      <c r="Y189" s="242"/>
      <c r="Z189" s="242"/>
    </row>
    <row r="190">
      <c r="A190" s="621"/>
      <c r="B190" s="622">
        <f t="shared" si="28"/>
        <v>79</v>
      </c>
      <c r="C190" s="176"/>
      <c r="D190" s="624" t="s">
        <v>346</v>
      </c>
      <c r="E190" s="624" t="s">
        <v>51</v>
      </c>
      <c r="F190" s="626" t="s">
        <v>3752</v>
      </c>
      <c r="G190" s="640">
        <v>131.0</v>
      </c>
      <c r="H190" s="667"/>
      <c r="I190" s="667"/>
      <c r="J190" s="628"/>
      <c r="K190" s="628"/>
      <c r="L190" s="13"/>
      <c r="M190" s="242"/>
      <c r="N190" s="242"/>
      <c r="O190" s="242"/>
      <c r="P190" s="631">
        <f t="shared" si="35"/>
        <v>140.17</v>
      </c>
      <c r="Q190" s="13"/>
      <c r="R190" s="13"/>
      <c r="S190" s="242"/>
      <c r="T190" s="443"/>
      <c r="U190" s="443"/>
      <c r="V190" s="242"/>
      <c r="W190" s="242"/>
      <c r="X190" s="242"/>
      <c r="Y190" s="242"/>
      <c r="Z190" s="242"/>
    </row>
    <row r="191">
      <c r="A191" s="621"/>
      <c r="B191" s="622">
        <f t="shared" si="28"/>
        <v>80</v>
      </c>
      <c r="C191" s="176"/>
      <c r="D191" s="624" t="s">
        <v>356</v>
      </c>
      <c r="E191" s="624" t="s">
        <v>84</v>
      </c>
      <c r="F191" s="626" t="s">
        <v>3753</v>
      </c>
      <c r="G191" s="640">
        <v>256.0</v>
      </c>
      <c r="H191" s="667"/>
      <c r="I191" s="667"/>
      <c r="J191" s="628"/>
      <c r="K191" s="628"/>
      <c r="L191" s="13"/>
      <c r="M191" s="242"/>
      <c r="N191" s="242"/>
      <c r="O191" s="242"/>
      <c r="P191" s="631">
        <f t="shared" si="35"/>
        <v>273.92</v>
      </c>
      <c r="Q191" s="13"/>
      <c r="R191" s="13"/>
      <c r="S191" s="242"/>
      <c r="T191" s="443"/>
      <c r="U191" s="443"/>
      <c r="V191" s="242"/>
      <c r="W191" s="242"/>
      <c r="X191" s="242"/>
      <c r="Y191" s="242"/>
      <c r="Z191" s="242"/>
    </row>
    <row r="192">
      <c r="A192" s="621"/>
      <c r="B192" s="622">
        <f t="shared" si="28"/>
        <v>81</v>
      </c>
      <c r="C192" s="176"/>
      <c r="D192" s="625" t="s">
        <v>3549</v>
      </c>
      <c r="E192" s="624" t="s">
        <v>55</v>
      </c>
      <c r="F192" s="626" t="s">
        <v>3754</v>
      </c>
      <c r="G192" s="640">
        <v>660.4</v>
      </c>
      <c r="H192" s="667"/>
      <c r="I192" s="667"/>
      <c r="J192" s="628"/>
      <c r="K192" s="628"/>
      <c r="L192" s="13"/>
      <c r="M192" s="242"/>
      <c r="N192" s="242"/>
      <c r="O192" s="242"/>
      <c r="P192" s="631">
        <f t="shared" si="35"/>
        <v>706.628</v>
      </c>
      <c r="Q192" s="13"/>
      <c r="R192" s="13"/>
      <c r="S192" s="242"/>
      <c r="T192" s="443"/>
      <c r="U192" s="443"/>
      <c r="V192" s="242"/>
      <c r="W192" s="242"/>
      <c r="X192" s="242"/>
      <c r="Y192" s="242"/>
      <c r="Z192" s="242"/>
    </row>
    <row r="193">
      <c r="A193" s="621"/>
      <c r="B193" s="622">
        <f t="shared" si="28"/>
        <v>82</v>
      </c>
      <c r="C193" s="176"/>
      <c r="D193" s="625" t="s">
        <v>3552</v>
      </c>
      <c r="E193" s="624" t="s">
        <v>56</v>
      </c>
      <c r="F193" s="626" t="s">
        <v>3755</v>
      </c>
      <c r="G193" s="640">
        <v>931.7</v>
      </c>
      <c r="H193" s="667"/>
      <c r="I193" s="667"/>
      <c r="J193" s="628"/>
      <c r="K193" s="628"/>
      <c r="L193" s="13"/>
      <c r="M193" s="242"/>
      <c r="N193" s="242"/>
      <c r="O193" s="242"/>
      <c r="P193" s="631">
        <f t="shared" si="35"/>
        <v>996.919</v>
      </c>
      <c r="Q193" s="13"/>
      <c r="R193" s="13"/>
      <c r="S193" s="242"/>
      <c r="T193" s="443"/>
      <c r="U193" s="443"/>
      <c r="V193" s="242"/>
      <c r="W193" s="242"/>
      <c r="X193" s="242"/>
      <c r="Y193" s="242"/>
      <c r="Z193" s="242"/>
    </row>
    <row r="194">
      <c r="A194" s="621"/>
      <c r="B194" s="622">
        <f t="shared" si="28"/>
        <v>83</v>
      </c>
      <c r="C194" s="41"/>
      <c r="D194" s="625" t="s">
        <v>3554</v>
      </c>
      <c r="E194" s="625" t="s">
        <v>107</v>
      </c>
      <c r="F194" s="626" t="s">
        <v>3756</v>
      </c>
      <c r="G194" s="640">
        <v>1162.7</v>
      </c>
      <c r="H194" s="667"/>
      <c r="I194" s="667"/>
      <c r="J194" s="628"/>
      <c r="K194" s="628"/>
      <c r="L194" s="630" t="s">
        <v>722</v>
      </c>
      <c r="M194" s="242"/>
      <c r="N194" s="242"/>
      <c r="O194" s="242"/>
      <c r="P194" s="631"/>
      <c r="Q194" s="13"/>
      <c r="R194" s="13"/>
      <c r="S194" s="242"/>
      <c r="T194" s="443"/>
      <c r="U194" s="443"/>
      <c r="V194" s="242"/>
      <c r="W194" s="242"/>
      <c r="X194" s="242"/>
      <c r="Y194" s="242"/>
      <c r="Z194" s="242"/>
    </row>
    <row r="195">
      <c r="A195" s="621"/>
      <c r="B195" s="622">
        <f t="shared" si="28"/>
        <v>84</v>
      </c>
      <c r="C195" s="664" t="s">
        <v>854</v>
      </c>
      <c r="D195" s="624" t="s">
        <v>341</v>
      </c>
      <c r="E195" s="624" t="s">
        <v>43</v>
      </c>
      <c r="F195" s="626" t="s">
        <v>3757</v>
      </c>
      <c r="G195" s="640">
        <v>99.6</v>
      </c>
      <c r="H195" s="667"/>
      <c r="I195" s="667"/>
      <c r="J195" s="628"/>
      <c r="K195" s="628"/>
      <c r="L195" s="13"/>
      <c r="M195" s="242"/>
      <c r="N195" s="242"/>
      <c r="O195" s="242"/>
      <c r="P195" s="631">
        <f t="shared" ref="P195:P199" si="36">IFERROR((G195*7%)+G195,"")</f>
        <v>106.572</v>
      </c>
      <c r="Q195" s="13"/>
      <c r="R195" s="13"/>
      <c r="S195" s="242"/>
      <c r="T195" s="443"/>
      <c r="U195" s="443"/>
      <c r="V195" s="242"/>
      <c r="W195" s="242"/>
      <c r="X195" s="242"/>
      <c r="Y195" s="242"/>
      <c r="Z195" s="242"/>
    </row>
    <row r="196">
      <c r="A196" s="621"/>
      <c r="B196" s="622">
        <f t="shared" si="28"/>
        <v>85</v>
      </c>
      <c r="C196" s="176"/>
      <c r="D196" s="624" t="s">
        <v>346</v>
      </c>
      <c r="E196" s="624" t="s">
        <v>51</v>
      </c>
      <c r="F196" s="626" t="s">
        <v>3759</v>
      </c>
      <c r="G196" s="640">
        <v>105.7</v>
      </c>
      <c r="H196" s="667"/>
      <c r="I196" s="667"/>
      <c r="J196" s="628"/>
      <c r="K196" s="628"/>
      <c r="L196" s="13"/>
      <c r="M196" s="242"/>
      <c r="N196" s="242"/>
      <c r="O196" s="242"/>
      <c r="P196" s="631">
        <f t="shared" si="36"/>
        <v>113.099</v>
      </c>
      <c r="Q196" s="13"/>
      <c r="R196" s="13"/>
      <c r="S196" s="242"/>
      <c r="T196" s="443"/>
      <c r="U196" s="443"/>
      <c r="V196" s="242"/>
      <c r="W196" s="242"/>
      <c r="X196" s="242"/>
      <c r="Y196" s="242"/>
      <c r="Z196" s="242"/>
    </row>
    <row r="197">
      <c r="A197" s="621"/>
      <c r="B197" s="622">
        <f t="shared" si="28"/>
        <v>86</v>
      </c>
      <c r="C197" s="176"/>
      <c r="D197" s="624" t="s">
        <v>356</v>
      </c>
      <c r="E197" s="624" t="s">
        <v>84</v>
      </c>
      <c r="F197" s="626" t="s">
        <v>3760</v>
      </c>
      <c r="G197" s="640">
        <v>136.1</v>
      </c>
      <c r="H197" s="667"/>
      <c r="I197" s="667"/>
      <c r="J197" s="628"/>
      <c r="K197" s="628"/>
      <c r="L197" s="13"/>
      <c r="M197" s="242"/>
      <c r="N197" s="242"/>
      <c r="O197" s="242"/>
      <c r="P197" s="631">
        <f t="shared" si="36"/>
        <v>145.627</v>
      </c>
      <c r="Q197" s="13"/>
      <c r="R197" s="13"/>
      <c r="S197" s="242"/>
      <c r="T197" s="443"/>
      <c r="U197" s="443"/>
      <c r="V197" s="242"/>
      <c r="W197" s="242"/>
      <c r="X197" s="242"/>
      <c r="Y197" s="242"/>
      <c r="Z197" s="242"/>
    </row>
    <row r="198">
      <c r="A198" s="621"/>
      <c r="B198" s="622">
        <f t="shared" si="28"/>
        <v>87</v>
      </c>
      <c r="C198" s="176"/>
      <c r="D198" s="625" t="s">
        <v>3549</v>
      </c>
      <c r="E198" s="624" t="s">
        <v>55</v>
      </c>
      <c r="F198" s="626" t="s">
        <v>3761</v>
      </c>
      <c r="G198" s="640">
        <v>226.6</v>
      </c>
      <c r="H198" s="667"/>
      <c r="I198" s="667"/>
      <c r="J198" s="628"/>
      <c r="K198" s="628"/>
      <c r="L198" s="13"/>
      <c r="M198" s="242"/>
      <c r="N198" s="242"/>
      <c r="O198" s="242"/>
      <c r="P198" s="631">
        <f t="shared" si="36"/>
        <v>242.462</v>
      </c>
      <c r="Q198" s="13"/>
      <c r="R198" s="13"/>
      <c r="S198" s="242"/>
      <c r="T198" s="443"/>
      <c r="U198" s="443"/>
      <c r="V198" s="242"/>
      <c r="W198" s="242"/>
      <c r="X198" s="242"/>
      <c r="Y198" s="242"/>
      <c r="Z198" s="242"/>
    </row>
    <row r="199">
      <c r="A199" s="621"/>
      <c r="B199" s="622">
        <f t="shared" si="28"/>
        <v>88</v>
      </c>
      <c r="C199" s="176"/>
      <c r="D199" s="625" t="s">
        <v>3552</v>
      </c>
      <c r="E199" s="624" t="s">
        <v>56</v>
      </c>
      <c r="F199" s="626" t="s">
        <v>3762</v>
      </c>
      <c r="G199" s="640">
        <v>304.6</v>
      </c>
      <c r="H199" s="667"/>
      <c r="I199" s="667"/>
      <c r="J199" s="628"/>
      <c r="K199" s="628"/>
      <c r="L199" s="13"/>
      <c r="M199" s="242"/>
      <c r="N199" s="242"/>
      <c r="O199" s="242"/>
      <c r="P199" s="631">
        <f t="shared" si="36"/>
        <v>325.922</v>
      </c>
      <c r="Q199" s="13"/>
      <c r="R199" s="13"/>
      <c r="S199" s="242"/>
      <c r="T199" s="443"/>
      <c r="U199" s="443"/>
      <c r="V199" s="242"/>
      <c r="W199" s="242"/>
      <c r="X199" s="242"/>
      <c r="Y199" s="242"/>
      <c r="Z199" s="242"/>
    </row>
    <row r="200">
      <c r="A200" s="621"/>
      <c r="B200" s="622">
        <f t="shared" si="28"/>
        <v>89</v>
      </c>
      <c r="C200" s="41"/>
      <c r="D200" s="625" t="s">
        <v>3554</v>
      </c>
      <c r="E200" s="625" t="s">
        <v>107</v>
      </c>
      <c r="F200" s="626" t="s">
        <v>3763</v>
      </c>
      <c r="G200" s="640">
        <v>515.8</v>
      </c>
      <c r="H200" s="667"/>
      <c r="I200" s="667"/>
      <c r="J200" s="628"/>
      <c r="K200" s="628"/>
      <c r="L200" s="630" t="s">
        <v>722</v>
      </c>
      <c r="M200" s="242"/>
      <c r="N200" s="242"/>
      <c r="O200" s="242"/>
      <c r="P200" s="631"/>
      <c r="Q200" s="13"/>
      <c r="R200" s="13"/>
      <c r="S200" s="242"/>
      <c r="T200" s="443"/>
      <c r="U200" s="443"/>
      <c r="V200" s="242"/>
      <c r="W200" s="242"/>
      <c r="X200" s="242"/>
      <c r="Y200" s="242"/>
      <c r="Z200" s="242"/>
    </row>
    <row r="201">
      <c r="A201" s="621"/>
      <c r="B201" s="622">
        <f t="shared" si="28"/>
        <v>90</v>
      </c>
      <c r="C201" s="664" t="s">
        <v>361</v>
      </c>
      <c r="D201" s="624">
        <v>20.0</v>
      </c>
      <c r="E201" s="624" t="s">
        <v>43</v>
      </c>
      <c r="F201" s="629" t="s">
        <v>3764</v>
      </c>
      <c r="G201" s="640">
        <v>13.2</v>
      </c>
      <c r="H201" s="667"/>
      <c r="I201" s="667"/>
      <c r="J201" s="628"/>
      <c r="K201" s="628"/>
      <c r="L201" s="13"/>
      <c r="M201" s="242"/>
      <c r="N201" s="242"/>
      <c r="O201" s="242"/>
      <c r="P201" s="631">
        <f t="shared" ref="P201:P205" si="37">IFERROR((G201*7%)+G201,"")</f>
        <v>14.124</v>
      </c>
      <c r="Q201" s="13"/>
      <c r="R201" s="13"/>
      <c r="S201" s="242"/>
      <c r="T201" s="443"/>
      <c r="U201" s="443"/>
      <c r="V201" s="242"/>
      <c r="W201" s="242"/>
      <c r="X201" s="242"/>
      <c r="Y201" s="242"/>
      <c r="Z201" s="242"/>
    </row>
    <row r="202">
      <c r="A202" s="621"/>
      <c r="B202" s="622">
        <f t="shared" si="28"/>
        <v>91</v>
      </c>
      <c r="C202" s="176"/>
      <c r="D202" s="624">
        <v>25.0</v>
      </c>
      <c r="E202" s="624" t="s">
        <v>51</v>
      </c>
      <c r="F202" s="629" t="s">
        <v>3767</v>
      </c>
      <c r="G202" s="640">
        <v>19.3</v>
      </c>
      <c r="H202" s="667"/>
      <c r="I202" s="667"/>
      <c r="J202" s="628"/>
      <c r="K202" s="628"/>
      <c r="L202" s="13"/>
      <c r="M202" s="242"/>
      <c r="N202" s="242"/>
      <c r="O202" s="242"/>
      <c r="P202" s="631">
        <f t="shared" si="37"/>
        <v>20.651</v>
      </c>
      <c r="Q202" s="13"/>
      <c r="R202" s="13"/>
      <c r="S202" s="242"/>
      <c r="T202" s="443"/>
      <c r="U202" s="443"/>
      <c r="V202" s="242"/>
      <c r="W202" s="242"/>
      <c r="X202" s="242"/>
      <c r="Y202" s="242"/>
      <c r="Z202" s="242"/>
    </row>
    <row r="203">
      <c r="A203" s="621"/>
      <c r="B203" s="622">
        <f t="shared" si="28"/>
        <v>92</v>
      </c>
      <c r="C203" s="176"/>
      <c r="D203" s="625" t="s">
        <v>356</v>
      </c>
      <c r="E203" s="624" t="s">
        <v>84</v>
      </c>
      <c r="F203" s="629" t="s">
        <v>3768</v>
      </c>
      <c r="G203" s="640">
        <v>23.4</v>
      </c>
      <c r="H203" s="667"/>
      <c r="I203" s="667"/>
      <c r="J203" s="628"/>
      <c r="K203" s="628"/>
      <c r="L203" s="13"/>
      <c r="M203" s="242"/>
      <c r="N203" s="242"/>
      <c r="O203" s="242"/>
      <c r="P203" s="631">
        <f t="shared" si="37"/>
        <v>25.038</v>
      </c>
      <c r="Q203" s="13"/>
      <c r="R203" s="13"/>
      <c r="S203" s="242"/>
      <c r="T203" s="443"/>
      <c r="U203" s="443"/>
      <c r="V203" s="242"/>
      <c r="W203" s="242"/>
      <c r="X203" s="242"/>
      <c r="Y203" s="242"/>
      <c r="Z203" s="242"/>
    </row>
    <row r="204">
      <c r="A204" s="621"/>
      <c r="B204" s="622">
        <f t="shared" si="28"/>
        <v>93</v>
      </c>
      <c r="C204" s="176"/>
      <c r="D204" s="625" t="s">
        <v>3549</v>
      </c>
      <c r="E204" s="624" t="s">
        <v>55</v>
      </c>
      <c r="F204" s="629" t="s">
        <v>3769</v>
      </c>
      <c r="G204" s="640">
        <v>32.5</v>
      </c>
      <c r="H204" s="667"/>
      <c r="I204" s="667"/>
      <c r="J204" s="628"/>
      <c r="K204" s="628"/>
      <c r="L204" s="13"/>
      <c r="M204" s="242"/>
      <c r="N204" s="242"/>
      <c r="O204" s="242"/>
      <c r="P204" s="631">
        <f t="shared" si="37"/>
        <v>34.775</v>
      </c>
      <c r="Q204" s="13"/>
      <c r="R204" s="13"/>
      <c r="S204" s="242"/>
      <c r="T204" s="443"/>
      <c r="U204" s="443"/>
      <c r="V204" s="242"/>
      <c r="W204" s="242"/>
      <c r="X204" s="242"/>
      <c r="Y204" s="242"/>
      <c r="Z204" s="242"/>
    </row>
    <row r="205">
      <c r="A205" s="621"/>
      <c r="B205" s="622">
        <f t="shared" si="28"/>
        <v>94</v>
      </c>
      <c r="C205" s="176"/>
      <c r="D205" s="625" t="s">
        <v>3552</v>
      </c>
      <c r="E205" s="624" t="s">
        <v>56</v>
      </c>
      <c r="F205" s="629" t="s">
        <v>3770</v>
      </c>
      <c r="G205" s="640">
        <v>62.0</v>
      </c>
      <c r="H205" s="667"/>
      <c r="I205" s="667"/>
      <c r="J205" s="628"/>
      <c r="K205" s="628"/>
      <c r="L205" s="13"/>
      <c r="M205" s="242"/>
      <c r="N205" s="242"/>
      <c r="O205" s="242"/>
      <c r="P205" s="631">
        <f t="shared" si="37"/>
        <v>66.34</v>
      </c>
      <c r="Q205" s="13"/>
      <c r="R205" s="13"/>
      <c r="S205" s="242"/>
      <c r="T205" s="443"/>
      <c r="U205" s="443"/>
      <c r="V205" s="242"/>
      <c r="W205" s="242"/>
      <c r="X205" s="242"/>
      <c r="Y205" s="242"/>
      <c r="Z205" s="242"/>
    </row>
    <row r="206">
      <c r="A206" s="621"/>
      <c r="B206" s="622">
        <f t="shared" si="28"/>
        <v>95</v>
      </c>
      <c r="C206" s="41"/>
      <c r="D206" s="625" t="s">
        <v>3554</v>
      </c>
      <c r="E206" s="625" t="s">
        <v>107</v>
      </c>
      <c r="F206" s="629" t="s">
        <v>3771</v>
      </c>
      <c r="G206" s="640">
        <v>101.9</v>
      </c>
      <c r="H206" s="667"/>
      <c r="I206" s="667"/>
      <c r="J206" s="628"/>
      <c r="K206" s="628"/>
      <c r="L206" s="630" t="s">
        <v>722</v>
      </c>
      <c r="M206" s="242"/>
      <c r="N206" s="242"/>
      <c r="O206" s="242"/>
      <c r="P206" s="631"/>
      <c r="Q206" s="13"/>
      <c r="R206" s="13"/>
      <c r="S206" s="242"/>
      <c r="T206" s="443"/>
      <c r="U206" s="443"/>
      <c r="V206" s="242"/>
      <c r="W206" s="242"/>
      <c r="X206" s="242"/>
      <c r="Y206" s="242"/>
      <c r="Z206" s="242"/>
    </row>
    <row r="207">
      <c r="A207" s="621"/>
      <c r="B207" s="622">
        <f t="shared" si="28"/>
        <v>96</v>
      </c>
      <c r="C207" s="665" t="s">
        <v>982</v>
      </c>
      <c r="D207" s="624">
        <v>15.0</v>
      </c>
      <c r="E207" s="624" t="s">
        <v>43</v>
      </c>
      <c r="F207" s="629" t="s">
        <v>3773</v>
      </c>
      <c r="G207" s="640">
        <v>8.5</v>
      </c>
      <c r="H207" s="667"/>
      <c r="I207" s="667"/>
      <c r="J207" s="628"/>
      <c r="K207" s="628"/>
      <c r="L207" s="13"/>
      <c r="M207" s="242"/>
      <c r="N207" s="242"/>
      <c r="O207" s="242"/>
      <c r="P207" s="631">
        <f t="shared" ref="P207:P212" si="38">IFERROR((G207*7%)+G207,"")</f>
        <v>9.095</v>
      </c>
      <c r="Q207" s="13"/>
      <c r="R207" s="13"/>
      <c r="S207" s="242"/>
      <c r="T207" s="443"/>
      <c r="U207" s="443"/>
      <c r="V207" s="242"/>
      <c r="W207" s="242"/>
      <c r="X207" s="242"/>
      <c r="Y207" s="242"/>
      <c r="Z207" s="242"/>
    </row>
    <row r="208">
      <c r="A208" s="621"/>
      <c r="B208" s="622">
        <f t="shared" si="28"/>
        <v>97</v>
      </c>
      <c r="C208" s="41"/>
      <c r="D208" s="622">
        <v>20.0</v>
      </c>
      <c r="E208" s="624" t="s">
        <v>51</v>
      </c>
      <c r="F208" s="629" t="s">
        <v>3775</v>
      </c>
      <c r="G208" s="640">
        <v>10.2</v>
      </c>
      <c r="H208" s="667"/>
      <c r="I208" s="667"/>
      <c r="J208" s="628"/>
      <c r="K208" s="628"/>
      <c r="L208" s="13"/>
      <c r="M208" s="242"/>
      <c r="N208" s="242"/>
      <c r="O208" s="242"/>
      <c r="P208" s="631">
        <f t="shared" si="38"/>
        <v>10.914</v>
      </c>
      <c r="Q208" s="13"/>
      <c r="R208" s="13"/>
      <c r="S208" s="242"/>
      <c r="T208" s="443"/>
      <c r="U208" s="443"/>
      <c r="V208" s="242"/>
      <c r="W208" s="242"/>
      <c r="X208" s="242"/>
      <c r="Y208" s="242"/>
      <c r="Z208" s="242"/>
    </row>
    <row r="209">
      <c r="A209" s="621"/>
      <c r="B209" s="622">
        <f t="shared" si="28"/>
        <v>98</v>
      </c>
      <c r="C209" s="664" t="s">
        <v>3766</v>
      </c>
      <c r="D209" s="216">
        <v>25.0</v>
      </c>
      <c r="E209" s="624" t="s">
        <v>51</v>
      </c>
      <c r="F209" s="629" t="s">
        <v>3776</v>
      </c>
      <c r="G209" s="640">
        <v>205.296</v>
      </c>
      <c r="H209" s="667"/>
      <c r="I209" s="667"/>
      <c r="J209" s="628"/>
      <c r="K209" s="628"/>
      <c r="L209" s="13"/>
      <c r="M209" s="242"/>
      <c r="N209" s="242"/>
      <c r="O209" s="242"/>
      <c r="P209" s="631">
        <f t="shared" si="38"/>
        <v>219.66672</v>
      </c>
      <c r="Q209" s="13"/>
      <c r="R209" s="13"/>
      <c r="S209" s="242"/>
      <c r="T209" s="443"/>
      <c r="U209" s="443"/>
      <c r="V209" s="242"/>
      <c r="W209" s="242"/>
      <c r="X209" s="242"/>
      <c r="Y209" s="242"/>
      <c r="Z209" s="242"/>
    </row>
    <row r="210">
      <c r="A210" s="621"/>
      <c r="B210" s="622">
        <f t="shared" si="28"/>
        <v>99</v>
      </c>
      <c r="C210" s="176"/>
      <c r="D210" s="216">
        <v>32.0</v>
      </c>
      <c r="E210" s="624" t="s">
        <v>84</v>
      </c>
      <c r="F210" s="629" t="s">
        <v>3778</v>
      </c>
      <c r="G210" s="640">
        <v>324.1</v>
      </c>
      <c r="H210" s="667"/>
      <c r="I210" s="667"/>
      <c r="J210" s="628"/>
      <c r="K210" s="628"/>
      <c r="L210" s="13"/>
      <c r="M210" s="242"/>
      <c r="N210" s="242"/>
      <c r="O210" s="242"/>
      <c r="P210" s="631">
        <f t="shared" si="38"/>
        <v>346.787</v>
      </c>
      <c r="Q210" s="13"/>
      <c r="R210" s="13"/>
      <c r="S210" s="242"/>
      <c r="T210" s="443"/>
      <c r="U210" s="443"/>
      <c r="V210" s="242"/>
      <c r="W210" s="242"/>
      <c r="X210" s="242"/>
      <c r="Y210" s="242"/>
      <c r="Z210" s="242"/>
    </row>
    <row r="211">
      <c r="A211" s="621"/>
      <c r="B211" s="622">
        <f t="shared" si="28"/>
        <v>100</v>
      </c>
      <c r="C211" s="176"/>
      <c r="D211" s="216">
        <v>40.0</v>
      </c>
      <c r="E211" s="624" t="s">
        <v>55</v>
      </c>
      <c r="F211" s="629" t="s">
        <v>3780</v>
      </c>
      <c r="G211" s="640">
        <v>423.8</v>
      </c>
      <c r="H211" s="667"/>
      <c r="I211" s="667"/>
      <c r="J211" s="628"/>
      <c r="K211" s="628"/>
      <c r="L211" s="13"/>
      <c r="M211" s="242"/>
      <c r="N211" s="242"/>
      <c r="O211" s="242"/>
      <c r="P211" s="631">
        <f t="shared" si="38"/>
        <v>453.466</v>
      </c>
      <c r="Q211" s="13"/>
      <c r="R211" s="13"/>
      <c r="S211" s="242"/>
      <c r="T211" s="443"/>
      <c r="U211" s="443"/>
      <c r="V211" s="242"/>
      <c r="W211" s="242"/>
      <c r="X211" s="242"/>
      <c r="Y211" s="242"/>
      <c r="Z211" s="242"/>
    </row>
    <row r="212">
      <c r="A212" s="621"/>
      <c r="B212" s="622">
        <f t="shared" si="28"/>
        <v>101</v>
      </c>
      <c r="C212" s="41"/>
      <c r="D212" s="216">
        <v>50.0</v>
      </c>
      <c r="E212" s="624" t="s">
        <v>56</v>
      </c>
      <c r="F212" s="629" t="s">
        <v>3781</v>
      </c>
      <c r="G212" s="640">
        <v>633.2</v>
      </c>
      <c r="H212" s="667"/>
      <c r="I212" s="667"/>
      <c r="J212" s="628"/>
      <c r="K212" s="628"/>
      <c r="L212" s="13"/>
      <c r="M212" s="242"/>
      <c r="N212" s="242"/>
      <c r="O212" s="242"/>
      <c r="P212" s="631">
        <f t="shared" si="38"/>
        <v>677.524</v>
      </c>
      <c r="Q212" s="13"/>
      <c r="R212" s="13"/>
      <c r="S212" s="242"/>
      <c r="T212" s="443"/>
      <c r="U212" s="443"/>
      <c r="V212" s="242"/>
      <c r="W212" s="242"/>
      <c r="X212" s="242"/>
      <c r="Y212" s="242"/>
      <c r="Z212" s="242"/>
    </row>
    <row r="213">
      <c r="A213" s="621"/>
      <c r="B213" s="622">
        <f t="shared" si="28"/>
        <v>102</v>
      </c>
      <c r="C213" s="623" t="s">
        <v>3772</v>
      </c>
      <c r="D213" s="216">
        <v>32.0</v>
      </c>
      <c r="E213" s="624" t="s">
        <v>84</v>
      </c>
      <c r="F213" s="629" t="s">
        <v>3782</v>
      </c>
      <c r="G213" s="640">
        <v>1343.264</v>
      </c>
      <c r="H213" s="667"/>
      <c r="I213" s="667"/>
      <c r="J213" s="628"/>
      <c r="K213" s="628"/>
      <c r="L213" s="13"/>
      <c r="M213" s="242"/>
      <c r="N213" s="242"/>
      <c r="O213" s="242"/>
      <c r="P213" s="631">
        <f t="shared" ref="P213:P215" si="39">IFERROR((G213*15%)+G213,"")</f>
        <v>1544.7536</v>
      </c>
      <c r="Q213" s="13"/>
      <c r="R213" s="13"/>
      <c r="S213" s="242"/>
      <c r="T213" s="443"/>
      <c r="U213" s="443"/>
      <c r="V213" s="242"/>
      <c r="W213" s="242"/>
      <c r="X213" s="242"/>
      <c r="Y213" s="242"/>
      <c r="Z213" s="242"/>
    </row>
    <row r="214">
      <c r="A214" s="621"/>
      <c r="B214" s="622">
        <f t="shared" si="28"/>
        <v>103</v>
      </c>
      <c r="C214" s="176"/>
      <c r="D214" s="216">
        <v>40.0</v>
      </c>
      <c r="E214" s="624" t="s">
        <v>55</v>
      </c>
      <c r="F214" s="629" t="s">
        <v>3784</v>
      </c>
      <c r="G214" s="640">
        <v>2272.0</v>
      </c>
      <c r="H214" s="667"/>
      <c r="I214" s="667"/>
      <c r="J214" s="628"/>
      <c r="K214" s="628"/>
      <c r="L214" s="13"/>
      <c r="M214" s="242"/>
      <c r="N214" s="242"/>
      <c r="O214" s="242"/>
      <c r="P214" s="631">
        <f t="shared" si="39"/>
        <v>2612.8</v>
      </c>
      <c r="Q214" s="13"/>
      <c r="R214" s="13"/>
      <c r="S214" s="242"/>
      <c r="T214" s="443"/>
      <c r="U214" s="443"/>
      <c r="V214" s="242"/>
      <c r="W214" s="242"/>
      <c r="X214" s="242"/>
      <c r="Y214" s="242"/>
      <c r="Z214" s="242"/>
    </row>
    <row r="215">
      <c r="A215" s="621"/>
      <c r="B215" s="622">
        <f t="shared" si="28"/>
        <v>104</v>
      </c>
      <c r="C215" s="41"/>
      <c r="D215" s="216">
        <v>50.0</v>
      </c>
      <c r="E215" s="624" t="s">
        <v>56</v>
      </c>
      <c r="F215" s="629" t="s">
        <v>3785</v>
      </c>
      <c r="G215" s="640">
        <v>3619.2</v>
      </c>
      <c r="H215" s="667"/>
      <c r="I215" s="667"/>
      <c r="J215" s="628"/>
      <c r="K215" s="628"/>
      <c r="L215" s="13"/>
      <c r="M215" s="242"/>
      <c r="N215" s="242"/>
      <c r="O215" s="242"/>
      <c r="P215" s="631">
        <f t="shared" si="39"/>
        <v>4162.08</v>
      </c>
      <c r="Q215" s="13"/>
      <c r="R215" s="13"/>
      <c r="S215" s="242"/>
      <c r="T215" s="443"/>
      <c r="U215" s="443"/>
      <c r="V215" s="242"/>
      <c r="W215" s="242"/>
      <c r="X215" s="242"/>
      <c r="Y215" s="242"/>
      <c r="Z215" s="242"/>
    </row>
    <row r="216">
      <c r="A216" s="243"/>
      <c r="B216" s="243"/>
      <c r="C216" s="243"/>
      <c r="D216" s="243"/>
      <c r="E216" s="15"/>
      <c r="F216" s="243"/>
      <c r="G216" s="243"/>
      <c r="H216" s="15"/>
      <c r="I216" s="15"/>
      <c r="J216" s="243"/>
      <c r="K216" s="243"/>
      <c r="L216" s="13"/>
      <c r="M216" s="242"/>
      <c r="N216" s="242"/>
      <c r="O216" s="242"/>
      <c r="P216" s="242"/>
      <c r="Q216" s="13"/>
      <c r="R216" s="13"/>
      <c r="S216" s="242"/>
      <c r="T216" s="443"/>
      <c r="U216" s="443"/>
      <c r="V216" s="242"/>
      <c r="W216" s="242"/>
      <c r="X216" s="242"/>
      <c r="Y216" s="242"/>
      <c r="Z216" s="242"/>
    </row>
    <row r="217">
      <c r="A217" s="618"/>
      <c r="B217" s="425" t="s">
        <v>3873</v>
      </c>
      <c r="C217" s="45"/>
      <c r="D217" s="45"/>
      <c r="E217" s="45"/>
      <c r="F217" s="45"/>
      <c r="G217" s="46"/>
      <c r="H217" s="513"/>
      <c r="I217" s="513"/>
      <c r="J217" s="299"/>
      <c r="K217" s="299"/>
      <c r="L217" s="13"/>
      <c r="M217" s="242"/>
      <c r="N217" s="242"/>
      <c r="O217" s="242"/>
      <c r="P217" s="242"/>
      <c r="Q217" s="13"/>
      <c r="R217" s="13"/>
      <c r="S217" s="242"/>
      <c r="T217" s="443"/>
      <c r="U217" s="443"/>
      <c r="V217" s="242"/>
      <c r="W217" s="242"/>
      <c r="X217" s="242"/>
      <c r="Y217" s="242"/>
      <c r="Z217" s="242"/>
    </row>
    <row r="218">
      <c r="A218" s="621"/>
      <c r="B218" s="622">
        <v>1.0</v>
      </c>
      <c r="C218" s="623" t="s">
        <v>1981</v>
      </c>
      <c r="D218" s="624" t="s">
        <v>341</v>
      </c>
      <c r="E218" s="625" t="s">
        <v>43</v>
      </c>
      <c r="F218" s="626" t="s">
        <v>3786</v>
      </c>
      <c r="G218" s="669">
        <v>14.2</v>
      </c>
      <c r="H218" s="627"/>
      <c r="I218" s="667"/>
      <c r="J218" s="628"/>
      <c r="K218" s="628"/>
      <c r="L218" s="13"/>
      <c r="M218" s="242"/>
      <c r="N218" s="242"/>
      <c r="O218" s="242"/>
      <c r="P218" s="631">
        <f t="shared" ref="P218:P233" si="40">IFERROR((G218*7%)+G218,"")</f>
        <v>15.194</v>
      </c>
      <c r="Q218" s="13"/>
      <c r="R218" s="13"/>
      <c r="S218" s="242"/>
      <c r="T218" s="443"/>
      <c r="U218" s="443"/>
      <c r="V218" s="242"/>
      <c r="W218" s="242"/>
      <c r="X218" s="242"/>
      <c r="Y218" s="242"/>
      <c r="Z218" s="242"/>
    </row>
    <row r="219">
      <c r="A219" s="621"/>
      <c r="B219" s="622">
        <f t="shared" ref="B219:B240" si="41">B218+1</f>
        <v>2</v>
      </c>
      <c r="C219" s="176"/>
      <c r="D219" s="624" t="s">
        <v>346</v>
      </c>
      <c r="E219" s="625" t="s">
        <v>51</v>
      </c>
      <c r="F219" s="626" t="s">
        <v>3788</v>
      </c>
      <c r="G219" s="669">
        <v>18.6</v>
      </c>
      <c r="H219" s="627"/>
      <c r="I219" s="667"/>
      <c r="J219" s="628"/>
      <c r="K219" s="628"/>
      <c r="L219" s="13"/>
      <c r="M219" s="242"/>
      <c r="N219" s="242"/>
      <c r="O219" s="242"/>
      <c r="P219" s="631">
        <f t="shared" si="40"/>
        <v>19.902</v>
      </c>
      <c r="Q219" s="13"/>
      <c r="R219" s="13"/>
      <c r="S219" s="242"/>
      <c r="T219" s="443"/>
      <c r="U219" s="443"/>
      <c r="V219" s="242"/>
      <c r="W219" s="242"/>
      <c r="X219" s="242"/>
      <c r="Y219" s="242"/>
      <c r="Z219" s="242"/>
    </row>
    <row r="220">
      <c r="A220" s="621"/>
      <c r="B220" s="622">
        <f t="shared" si="41"/>
        <v>3</v>
      </c>
      <c r="C220" s="176"/>
      <c r="D220" s="624" t="s">
        <v>356</v>
      </c>
      <c r="E220" s="625" t="s">
        <v>84</v>
      </c>
      <c r="F220" s="626" t="s">
        <v>3789</v>
      </c>
      <c r="G220" s="669">
        <v>33.9</v>
      </c>
      <c r="H220" s="627"/>
      <c r="I220" s="667"/>
      <c r="J220" s="628"/>
      <c r="K220" s="628"/>
      <c r="L220" s="13"/>
      <c r="M220" s="242"/>
      <c r="N220" s="242"/>
      <c r="O220" s="242"/>
      <c r="P220" s="631">
        <f t="shared" si="40"/>
        <v>36.273</v>
      </c>
      <c r="Q220" s="13"/>
      <c r="R220" s="13"/>
      <c r="S220" s="242"/>
      <c r="T220" s="443"/>
      <c r="U220" s="443"/>
      <c r="V220" s="242"/>
      <c r="W220" s="242"/>
      <c r="X220" s="242"/>
      <c r="Y220" s="242"/>
      <c r="Z220" s="242"/>
    </row>
    <row r="221">
      <c r="A221" s="621"/>
      <c r="B221" s="622">
        <f t="shared" si="41"/>
        <v>4</v>
      </c>
      <c r="C221" s="176"/>
      <c r="D221" s="625" t="s">
        <v>3549</v>
      </c>
      <c r="E221" s="625" t="s">
        <v>55</v>
      </c>
      <c r="F221" s="626" t="s">
        <v>3790</v>
      </c>
      <c r="G221" s="669">
        <v>49.2</v>
      </c>
      <c r="H221" s="627"/>
      <c r="I221" s="667"/>
      <c r="J221" s="628"/>
      <c r="K221" s="628"/>
      <c r="L221" s="13"/>
      <c r="M221" s="242"/>
      <c r="N221" s="242"/>
      <c r="O221" s="242"/>
      <c r="P221" s="631">
        <f t="shared" si="40"/>
        <v>52.644</v>
      </c>
      <c r="Q221" s="13"/>
      <c r="R221" s="13"/>
      <c r="S221" s="242"/>
      <c r="T221" s="443"/>
      <c r="U221" s="443"/>
      <c r="V221" s="242"/>
      <c r="W221" s="242"/>
      <c r="X221" s="242"/>
      <c r="Y221" s="242"/>
      <c r="Z221" s="242"/>
    </row>
    <row r="222">
      <c r="A222" s="621"/>
      <c r="B222" s="622">
        <f t="shared" si="41"/>
        <v>5</v>
      </c>
      <c r="C222" s="176"/>
      <c r="D222" s="625" t="s">
        <v>3552</v>
      </c>
      <c r="E222" s="625" t="s">
        <v>56</v>
      </c>
      <c r="F222" s="626" t="s">
        <v>3791</v>
      </c>
      <c r="G222" s="669">
        <v>77.7</v>
      </c>
      <c r="H222" s="627"/>
      <c r="I222" s="667"/>
      <c r="J222" s="628"/>
      <c r="K222" s="628"/>
      <c r="L222" s="13"/>
      <c r="M222" s="242"/>
      <c r="N222" s="242"/>
      <c r="O222" s="242"/>
      <c r="P222" s="631">
        <f t="shared" si="40"/>
        <v>83.139</v>
      </c>
      <c r="Q222" s="13"/>
      <c r="R222" s="13"/>
      <c r="S222" s="242"/>
      <c r="T222" s="443"/>
      <c r="U222" s="443"/>
      <c r="V222" s="242"/>
      <c r="W222" s="242"/>
      <c r="X222" s="242"/>
      <c r="Y222" s="242"/>
      <c r="Z222" s="242"/>
    </row>
    <row r="223">
      <c r="A223" s="621"/>
      <c r="B223" s="622">
        <f t="shared" si="41"/>
        <v>6</v>
      </c>
      <c r="C223" s="176"/>
      <c r="D223" s="625" t="s">
        <v>3554</v>
      </c>
      <c r="E223" s="625" t="s">
        <v>107</v>
      </c>
      <c r="F223" s="626" t="s">
        <v>3792</v>
      </c>
      <c r="G223" s="669">
        <v>148.2</v>
      </c>
      <c r="H223" s="627"/>
      <c r="I223" s="667"/>
      <c r="J223" s="628"/>
      <c r="K223" s="628"/>
      <c r="L223" s="13"/>
      <c r="M223" s="242"/>
      <c r="N223" s="242"/>
      <c r="O223" s="242"/>
      <c r="P223" s="631">
        <f t="shared" si="40"/>
        <v>158.574</v>
      </c>
      <c r="Q223" s="13"/>
      <c r="R223" s="13"/>
      <c r="S223" s="242"/>
      <c r="T223" s="443"/>
      <c r="U223" s="443"/>
      <c r="V223" s="242"/>
      <c r="W223" s="242"/>
      <c r="X223" s="242"/>
      <c r="Y223" s="242"/>
      <c r="Z223" s="242"/>
    </row>
    <row r="224">
      <c r="A224" s="621"/>
      <c r="B224" s="622">
        <f t="shared" si="41"/>
        <v>7</v>
      </c>
      <c r="C224" s="176"/>
      <c r="D224" s="625" t="s">
        <v>3556</v>
      </c>
      <c r="E224" s="625" t="s">
        <v>69</v>
      </c>
      <c r="F224" s="626" t="s">
        <v>3793</v>
      </c>
      <c r="G224" s="669">
        <v>311.4</v>
      </c>
      <c r="H224" s="627"/>
      <c r="I224" s="667"/>
      <c r="J224" s="628"/>
      <c r="K224" s="628"/>
      <c r="L224" s="13"/>
      <c r="M224" s="242"/>
      <c r="N224" s="242"/>
      <c r="O224" s="242"/>
      <c r="P224" s="631">
        <f t="shared" si="40"/>
        <v>333.198</v>
      </c>
      <c r="Q224" s="13"/>
      <c r="R224" s="13"/>
      <c r="S224" s="242"/>
      <c r="T224" s="443"/>
      <c r="U224" s="443"/>
      <c r="V224" s="242"/>
      <c r="W224" s="242"/>
      <c r="X224" s="242"/>
      <c r="Y224" s="242"/>
      <c r="Z224" s="242"/>
    </row>
    <row r="225">
      <c r="A225" s="621"/>
      <c r="B225" s="622">
        <f t="shared" si="41"/>
        <v>8</v>
      </c>
      <c r="C225" s="176"/>
      <c r="D225" s="625" t="s">
        <v>3559</v>
      </c>
      <c r="E225" s="625" t="s">
        <v>3560</v>
      </c>
      <c r="F225" s="626" t="s">
        <v>3794</v>
      </c>
      <c r="G225" s="669">
        <v>468.0</v>
      </c>
      <c r="H225" s="627"/>
      <c r="I225" s="667"/>
      <c r="J225" s="628"/>
      <c r="K225" s="628"/>
      <c r="L225" s="13"/>
      <c r="M225" s="242"/>
      <c r="N225" s="242"/>
      <c r="O225" s="242"/>
      <c r="P225" s="631">
        <f t="shared" si="40"/>
        <v>500.76</v>
      </c>
      <c r="Q225" s="13"/>
      <c r="R225" s="13"/>
      <c r="S225" s="242"/>
      <c r="T225" s="443"/>
      <c r="U225" s="443"/>
      <c r="V225" s="242"/>
      <c r="W225" s="242"/>
      <c r="X225" s="242"/>
      <c r="Y225" s="242"/>
      <c r="Z225" s="242"/>
    </row>
    <row r="226">
      <c r="A226" s="621"/>
      <c r="B226" s="622">
        <f t="shared" si="41"/>
        <v>9</v>
      </c>
      <c r="C226" s="41"/>
      <c r="D226" s="625" t="s">
        <v>3561</v>
      </c>
      <c r="E226" s="625" t="s">
        <v>3562</v>
      </c>
      <c r="F226" s="626" t="s">
        <v>3795</v>
      </c>
      <c r="G226" s="669">
        <v>981.1</v>
      </c>
      <c r="H226" s="627"/>
      <c r="I226" s="667"/>
      <c r="J226" s="628"/>
      <c r="K226" s="628"/>
      <c r="L226" s="13"/>
      <c r="M226" s="242"/>
      <c r="N226" s="242"/>
      <c r="O226" s="242"/>
      <c r="P226" s="631">
        <f t="shared" si="40"/>
        <v>1049.777</v>
      </c>
      <c r="Q226" s="13"/>
      <c r="R226" s="13"/>
      <c r="S226" s="242"/>
      <c r="T226" s="443"/>
      <c r="U226" s="443"/>
      <c r="V226" s="242"/>
      <c r="W226" s="242"/>
      <c r="X226" s="242"/>
      <c r="Y226" s="242"/>
      <c r="Z226" s="242"/>
    </row>
    <row r="227">
      <c r="A227" s="621"/>
      <c r="B227" s="622">
        <f t="shared" si="41"/>
        <v>10</v>
      </c>
      <c r="C227" s="665" t="s">
        <v>297</v>
      </c>
      <c r="D227" s="624" t="s">
        <v>155</v>
      </c>
      <c r="E227" s="625" t="s">
        <v>144</v>
      </c>
      <c r="F227" s="626" t="s">
        <v>3796</v>
      </c>
      <c r="G227" s="669">
        <v>16.5</v>
      </c>
      <c r="H227" s="627"/>
      <c r="I227" s="667"/>
      <c r="J227" s="628"/>
      <c r="K227" s="628"/>
      <c r="L227" s="13"/>
      <c r="M227" s="242"/>
      <c r="N227" s="242"/>
      <c r="O227" s="242"/>
      <c r="P227" s="631">
        <f t="shared" si="40"/>
        <v>17.655</v>
      </c>
      <c r="Q227" s="13"/>
      <c r="R227" s="13"/>
      <c r="S227" s="242"/>
      <c r="T227" s="443"/>
      <c r="U227" s="443"/>
      <c r="V227" s="242"/>
      <c r="W227" s="242"/>
      <c r="X227" s="242"/>
      <c r="Y227" s="242"/>
      <c r="Z227" s="242"/>
    </row>
    <row r="228">
      <c r="A228" s="621"/>
      <c r="B228" s="622">
        <f t="shared" si="41"/>
        <v>11</v>
      </c>
      <c r="C228" s="176"/>
      <c r="D228" s="624" t="s">
        <v>304</v>
      </c>
      <c r="E228" s="625" t="s">
        <v>352</v>
      </c>
      <c r="F228" s="626" t="s">
        <v>3798</v>
      </c>
      <c r="G228" s="669">
        <v>23.3</v>
      </c>
      <c r="H228" s="627"/>
      <c r="I228" s="667"/>
      <c r="J228" s="628"/>
      <c r="K228" s="628"/>
      <c r="L228" s="13"/>
      <c r="M228" s="242"/>
      <c r="N228" s="242"/>
      <c r="O228" s="242"/>
      <c r="P228" s="631">
        <f t="shared" si="40"/>
        <v>24.931</v>
      </c>
      <c r="Q228" s="13"/>
      <c r="R228" s="13"/>
      <c r="S228" s="242"/>
      <c r="T228" s="443"/>
      <c r="U228" s="443"/>
      <c r="V228" s="242"/>
      <c r="W228" s="242"/>
      <c r="X228" s="242"/>
      <c r="Y228" s="242"/>
      <c r="Z228" s="242"/>
    </row>
    <row r="229">
      <c r="A229" s="621"/>
      <c r="B229" s="622">
        <f t="shared" si="41"/>
        <v>12</v>
      </c>
      <c r="C229" s="176"/>
      <c r="D229" s="624" t="s">
        <v>307</v>
      </c>
      <c r="E229" s="625" t="s">
        <v>153</v>
      </c>
      <c r="F229" s="626" t="s">
        <v>3799</v>
      </c>
      <c r="G229" s="669">
        <v>35.1</v>
      </c>
      <c r="H229" s="627"/>
      <c r="I229" s="667"/>
      <c r="J229" s="628"/>
      <c r="K229" s="628"/>
      <c r="L229" s="13"/>
      <c r="M229" s="242"/>
      <c r="N229" s="242"/>
      <c r="O229" s="242"/>
      <c r="P229" s="631">
        <f t="shared" si="40"/>
        <v>37.557</v>
      </c>
      <c r="Q229" s="13"/>
      <c r="R229" s="13"/>
      <c r="S229" s="242"/>
      <c r="T229" s="443"/>
      <c r="U229" s="443"/>
      <c r="V229" s="242"/>
      <c r="W229" s="242"/>
      <c r="X229" s="242"/>
      <c r="Y229" s="242"/>
      <c r="Z229" s="242"/>
    </row>
    <row r="230">
      <c r="A230" s="621"/>
      <c r="B230" s="622">
        <f t="shared" si="41"/>
        <v>13</v>
      </c>
      <c r="C230" s="176"/>
      <c r="D230" s="625" t="s">
        <v>311</v>
      </c>
      <c r="E230" s="625" t="s">
        <v>401</v>
      </c>
      <c r="F230" s="626" t="s">
        <v>3800</v>
      </c>
      <c r="G230" s="669">
        <v>41.2</v>
      </c>
      <c r="H230" s="627"/>
      <c r="I230" s="667"/>
      <c r="J230" s="628"/>
      <c r="K230" s="628"/>
      <c r="L230" s="630" t="s">
        <v>722</v>
      </c>
      <c r="M230" s="242"/>
      <c r="N230" s="242"/>
      <c r="O230" s="242"/>
      <c r="P230" s="631">
        <f t="shared" si="40"/>
        <v>44.084</v>
      </c>
      <c r="Q230" s="13"/>
      <c r="R230" s="13"/>
      <c r="S230" s="242"/>
      <c r="T230" s="443"/>
      <c r="U230" s="443"/>
      <c r="V230" s="242"/>
      <c r="W230" s="242"/>
      <c r="X230" s="242"/>
      <c r="Y230" s="242"/>
      <c r="Z230" s="242"/>
    </row>
    <row r="231">
      <c r="A231" s="621"/>
      <c r="B231" s="622">
        <f t="shared" si="41"/>
        <v>14</v>
      </c>
      <c r="C231" s="176"/>
      <c r="D231" s="625" t="s">
        <v>314</v>
      </c>
      <c r="E231" s="625" t="s">
        <v>303</v>
      </c>
      <c r="F231" s="626" t="s">
        <v>3801</v>
      </c>
      <c r="G231" s="669">
        <v>42.3</v>
      </c>
      <c r="H231" s="627"/>
      <c r="I231" s="667"/>
      <c r="J231" s="628"/>
      <c r="K231" s="628"/>
      <c r="L231" s="630" t="s">
        <v>722</v>
      </c>
      <c r="M231" s="242"/>
      <c r="N231" s="242"/>
      <c r="O231" s="242"/>
      <c r="P231" s="631">
        <f t="shared" si="40"/>
        <v>45.261</v>
      </c>
      <c r="Q231" s="13"/>
      <c r="R231" s="13"/>
      <c r="S231" s="242"/>
      <c r="T231" s="443"/>
      <c r="U231" s="443"/>
      <c r="V231" s="242"/>
      <c r="W231" s="242"/>
      <c r="X231" s="242"/>
      <c r="Y231" s="242"/>
      <c r="Z231" s="242"/>
    </row>
    <row r="232">
      <c r="A232" s="621"/>
      <c r="B232" s="622">
        <f t="shared" si="41"/>
        <v>15</v>
      </c>
      <c r="C232" s="176"/>
      <c r="D232" s="625" t="s">
        <v>318</v>
      </c>
      <c r="E232" s="625" t="s">
        <v>306</v>
      </c>
      <c r="F232" s="626" t="s">
        <v>3802</v>
      </c>
      <c r="G232" s="669">
        <v>44.6</v>
      </c>
      <c r="H232" s="627"/>
      <c r="I232" s="667"/>
      <c r="J232" s="628"/>
      <c r="K232" s="628"/>
      <c r="L232" s="13"/>
      <c r="M232" s="242"/>
      <c r="N232" s="242"/>
      <c r="O232" s="242"/>
      <c r="P232" s="631">
        <f t="shared" si="40"/>
        <v>47.722</v>
      </c>
      <c r="Q232" s="13"/>
      <c r="R232" s="13"/>
      <c r="S232" s="242"/>
      <c r="T232" s="443"/>
      <c r="U232" s="443"/>
      <c r="V232" s="242"/>
      <c r="W232" s="242"/>
      <c r="X232" s="242"/>
      <c r="Y232" s="242"/>
      <c r="Z232" s="242"/>
    </row>
    <row r="233">
      <c r="A233" s="621"/>
      <c r="B233" s="622">
        <f t="shared" si="41"/>
        <v>16</v>
      </c>
      <c r="C233" s="176"/>
      <c r="D233" s="625" t="s">
        <v>321</v>
      </c>
      <c r="E233" s="625" t="s">
        <v>414</v>
      </c>
      <c r="F233" s="626" t="s">
        <v>3803</v>
      </c>
      <c r="G233" s="669">
        <v>68.8</v>
      </c>
      <c r="H233" s="627"/>
      <c r="I233" s="667"/>
      <c r="J233" s="628"/>
      <c r="K233" s="628"/>
      <c r="L233" s="630" t="s">
        <v>722</v>
      </c>
      <c r="M233" s="242"/>
      <c r="N233" s="242"/>
      <c r="O233" s="242"/>
      <c r="P233" s="631">
        <f t="shared" si="40"/>
        <v>73.616</v>
      </c>
      <c r="Q233" s="13"/>
      <c r="R233" s="13"/>
      <c r="S233" s="242"/>
      <c r="T233" s="443"/>
      <c r="U233" s="443"/>
      <c r="V233" s="242"/>
      <c r="W233" s="242"/>
      <c r="X233" s="242"/>
      <c r="Y233" s="242"/>
      <c r="Z233" s="242"/>
    </row>
    <row r="234">
      <c r="A234" s="621"/>
      <c r="B234" s="622">
        <f t="shared" si="41"/>
        <v>17</v>
      </c>
      <c r="C234" s="176"/>
      <c r="D234" s="625" t="s">
        <v>325</v>
      </c>
      <c r="E234" s="625" t="s">
        <v>310</v>
      </c>
      <c r="F234" s="626" t="s">
        <v>3804</v>
      </c>
      <c r="G234" s="669">
        <v>72.1</v>
      </c>
      <c r="H234" s="627"/>
      <c r="I234" s="667"/>
      <c r="J234" s="628"/>
      <c r="K234" s="628"/>
      <c r="L234" s="630" t="s">
        <v>722</v>
      </c>
      <c r="M234" s="242"/>
      <c r="N234" s="242"/>
      <c r="O234" s="242"/>
      <c r="P234" s="631">
        <f t="shared" ref="P234:P239" si="42">IFERROR((G234*15%)+G234,"")</f>
        <v>82.915</v>
      </c>
      <c r="Q234" s="13"/>
      <c r="R234" s="13"/>
      <c r="S234" s="242"/>
      <c r="T234" s="443"/>
      <c r="U234" s="443"/>
      <c r="V234" s="242"/>
      <c r="W234" s="242"/>
      <c r="X234" s="242"/>
      <c r="Y234" s="242"/>
      <c r="Z234" s="242"/>
    </row>
    <row r="235">
      <c r="A235" s="621"/>
      <c r="B235" s="622">
        <f t="shared" si="41"/>
        <v>18</v>
      </c>
      <c r="C235" s="176"/>
      <c r="D235" s="625" t="s">
        <v>328</v>
      </c>
      <c r="E235" s="625" t="s">
        <v>313</v>
      </c>
      <c r="F235" s="626" t="s">
        <v>3805</v>
      </c>
      <c r="G235" s="669">
        <v>74.4</v>
      </c>
      <c r="H235" s="627"/>
      <c r="I235" s="667"/>
      <c r="J235" s="628"/>
      <c r="K235" s="628"/>
      <c r="L235" s="630" t="s">
        <v>722</v>
      </c>
      <c r="M235" s="242"/>
      <c r="N235" s="242"/>
      <c r="O235" s="242"/>
      <c r="P235" s="631">
        <f t="shared" si="42"/>
        <v>85.56</v>
      </c>
      <c r="Q235" s="13"/>
      <c r="R235" s="13"/>
      <c r="S235" s="242"/>
      <c r="T235" s="443"/>
      <c r="U235" s="443"/>
      <c r="V235" s="242"/>
      <c r="W235" s="242"/>
      <c r="X235" s="242"/>
      <c r="Y235" s="242"/>
      <c r="Z235" s="242"/>
    </row>
    <row r="236">
      <c r="A236" s="621"/>
      <c r="B236" s="622">
        <f t="shared" si="41"/>
        <v>19</v>
      </c>
      <c r="C236" s="176"/>
      <c r="D236" s="625" t="s">
        <v>332</v>
      </c>
      <c r="E236" s="625" t="s">
        <v>317</v>
      </c>
      <c r="F236" s="626" t="s">
        <v>3806</v>
      </c>
      <c r="G236" s="669">
        <v>78.2</v>
      </c>
      <c r="H236" s="627"/>
      <c r="I236" s="667"/>
      <c r="J236" s="628"/>
      <c r="K236" s="628"/>
      <c r="L236" s="13"/>
      <c r="M236" s="242"/>
      <c r="N236" s="242"/>
      <c r="O236" s="242"/>
      <c r="P236" s="631">
        <f t="shared" si="42"/>
        <v>89.93</v>
      </c>
      <c r="Q236" s="13"/>
      <c r="R236" s="13"/>
      <c r="S236" s="242"/>
      <c r="T236" s="443"/>
      <c r="U236" s="443"/>
      <c r="V236" s="242"/>
      <c r="W236" s="242"/>
      <c r="X236" s="242"/>
      <c r="Y236" s="242"/>
      <c r="Z236" s="242"/>
    </row>
    <row r="237">
      <c r="A237" s="621"/>
      <c r="B237" s="622">
        <f t="shared" si="41"/>
        <v>20</v>
      </c>
      <c r="C237" s="176"/>
      <c r="D237" s="625" t="s">
        <v>3575</v>
      </c>
      <c r="E237" s="625" t="s">
        <v>320</v>
      </c>
      <c r="F237" s="626" t="s">
        <v>3807</v>
      </c>
      <c r="G237" s="669">
        <v>126.9</v>
      </c>
      <c r="H237" s="627"/>
      <c r="I237" s="667"/>
      <c r="J237" s="628"/>
      <c r="K237" s="628"/>
      <c r="L237" s="630" t="s">
        <v>722</v>
      </c>
      <c r="M237" s="242"/>
      <c r="N237" s="242"/>
      <c r="O237" s="242"/>
      <c r="P237" s="631">
        <f t="shared" si="42"/>
        <v>145.935</v>
      </c>
      <c r="Q237" s="13"/>
      <c r="R237" s="13"/>
      <c r="S237" s="242"/>
      <c r="T237" s="443"/>
      <c r="U237" s="443"/>
      <c r="V237" s="242"/>
      <c r="W237" s="242"/>
      <c r="X237" s="242"/>
      <c r="Y237" s="242"/>
      <c r="Z237" s="242"/>
    </row>
    <row r="238">
      <c r="A238" s="621"/>
      <c r="B238" s="622">
        <f t="shared" si="41"/>
        <v>21</v>
      </c>
      <c r="C238" s="176"/>
      <c r="D238" s="625" t="s">
        <v>3578</v>
      </c>
      <c r="E238" s="625" t="s">
        <v>324</v>
      </c>
      <c r="F238" s="626" t="s">
        <v>3808</v>
      </c>
      <c r="G238" s="669">
        <v>136.4</v>
      </c>
      <c r="H238" s="627"/>
      <c r="I238" s="667"/>
      <c r="J238" s="628"/>
      <c r="K238" s="628"/>
      <c r="L238" s="630" t="s">
        <v>722</v>
      </c>
      <c r="M238" s="242"/>
      <c r="N238" s="242"/>
      <c r="O238" s="242"/>
      <c r="P238" s="631">
        <f t="shared" si="42"/>
        <v>156.86</v>
      </c>
      <c r="Q238" s="13"/>
      <c r="R238" s="13"/>
      <c r="S238" s="242"/>
      <c r="T238" s="443"/>
      <c r="U238" s="443"/>
      <c r="V238" s="242"/>
      <c r="W238" s="242"/>
      <c r="X238" s="242"/>
      <c r="Y238" s="242"/>
      <c r="Z238" s="242"/>
    </row>
    <row r="239">
      <c r="A239" s="621"/>
      <c r="B239" s="622">
        <f t="shared" si="41"/>
        <v>22</v>
      </c>
      <c r="C239" s="176"/>
      <c r="D239" s="625" t="s">
        <v>3580</v>
      </c>
      <c r="E239" s="625" t="s">
        <v>327</v>
      </c>
      <c r="F239" s="626" t="s">
        <v>3810</v>
      </c>
      <c r="G239" s="669">
        <v>157.3</v>
      </c>
      <c r="H239" s="627"/>
      <c r="I239" s="667"/>
      <c r="J239" s="628"/>
      <c r="K239" s="628"/>
      <c r="L239" s="630" t="s">
        <v>722</v>
      </c>
      <c r="M239" s="242"/>
      <c r="N239" s="242"/>
      <c r="O239" s="242"/>
      <c r="P239" s="631">
        <f t="shared" si="42"/>
        <v>180.895</v>
      </c>
      <c r="Q239" s="13"/>
      <c r="R239" s="13"/>
      <c r="S239" s="242"/>
      <c r="T239" s="443"/>
      <c r="U239" s="443"/>
      <c r="V239" s="242"/>
      <c r="W239" s="242"/>
      <c r="X239" s="242"/>
      <c r="Y239" s="242"/>
      <c r="Z239" s="242"/>
    </row>
    <row r="240">
      <c r="A240" s="621"/>
      <c r="B240" s="622">
        <f t="shared" si="41"/>
        <v>23</v>
      </c>
      <c r="C240" s="176"/>
      <c r="D240" s="625" t="s">
        <v>3583</v>
      </c>
      <c r="E240" s="625" t="s">
        <v>331</v>
      </c>
      <c r="F240" s="626" t="s">
        <v>3811</v>
      </c>
      <c r="G240" s="669">
        <v>156.5</v>
      </c>
      <c r="H240" s="627"/>
      <c r="I240" s="667"/>
      <c r="J240" s="628"/>
      <c r="K240" s="628"/>
      <c r="L240" s="13"/>
      <c r="M240" s="242"/>
      <c r="N240" s="242"/>
      <c r="O240" s="242"/>
      <c r="P240" s="631">
        <f t="shared" ref="P240:P248" si="43">IFERROR((G240*7%)+G240,"")</f>
        <v>167.455</v>
      </c>
      <c r="Q240" s="13"/>
      <c r="R240" s="13"/>
      <c r="S240" s="242"/>
      <c r="T240" s="443"/>
      <c r="U240" s="443"/>
      <c r="V240" s="242"/>
      <c r="W240" s="242"/>
      <c r="X240" s="242"/>
      <c r="Y240" s="242"/>
      <c r="Z240" s="242"/>
    </row>
    <row r="241" hidden="1">
      <c r="A241" s="621"/>
      <c r="B241" s="622"/>
      <c r="C241" s="41"/>
      <c r="D241" s="625" t="s">
        <v>3588</v>
      </c>
      <c r="E241" s="625" t="s">
        <v>461</v>
      </c>
      <c r="F241" s="626" t="s">
        <v>3812</v>
      </c>
      <c r="G241" s="669">
        <v>782.3</v>
      </c>
      <c r="H241" s="627"/>
      <c r="I241" s="667"/>
      <c r="J241" s="628"/>
      <c r="K241" s="628"/>
      <c r="L241" s="13"/>
      <c r="M241" s="242"/>
      <c r="N241" s="242"/>
      <c r="O241" s="242"/>
      <c r="P241" s="631">
        <f t="shared" si="43"/>
        <v>837.061</v>
      </c>
      <c r="Q241" s="13"/>
      <c r="R241" s="13"/>
      <c r="S241" s="242"/>
      <c r="T241" s="443"/>
      <c r="U241" s="443"/>
      <c r="V241" s="242"/>
      <c r="W241" s="242"/>
      <c r="X241" s="242"/>
      <c r="Y241" s="242"/>
      <c r="Z241" s="242"/>
    </row>
    <row r="242">
      <c r="A242" s="621"/>
      <c r="B242" s="622">
        <f>B240+1</f>
        <v>24</v>
      </c>
      <c r="C242" s="665" t="s">
        <v>3594</v>
      </c>
      <c r="D242" s="625" t="s">
        <v>3598</v>
      </c>
      <c r="E242" s="625" t="s">
        <v>397</v>
      </c>
      <c r="F242" s="626" t="s">
        <v>3813</v>
      </c>
      <c r="G242" s="669">
        <v>134.1</v>
      </c>
      <c r="H242" s="627"/>
      <c r="I242" s="667"/>
      <c r="J242" s="628"/>
      <c r="K242" s="628"/>
      <c r="L242" s="13"/>
      <c r="M242" s="242"/>
      <c r="N242" s="242"/>
      <c r="O242" s="242"/>
      <c r="P242" s="631">
        <f t="shared" si="43"/>
        <v>143.487</v>
      </c>
      <c r="Q242" s="13"/>
      <c r="R242" s="13"/>
      <c r="S242" s="242"/>
      <c r="T242" s="443"/>
      <c r="U242" s="443"/>
      <c r="V242" s="242"/>
      <c r="W242" s="242"/>
      <c r="X242" s="242"/>
      <c r="Y242" s="242"/>
      <c r="Z242" s="242"/>
    </row>
    <row r="243">
      <c r="A243" s="621"/>
      <c r="B243" s="622">
        <f t="shared" ref="B243:B322" si="44">B242+1</f>
        <v>25</v>
      </c>
      <c r="C243" s="176"/>
      <c r="D243" s="625" t="s">
        <v>3618</v>
      </c>
      <c r="E243" s="625" t="s">
        <v>144</v>
      </c>
      <c r="F243" s="626" t="s">
        <v>3815</v>
      </c>
      <c r="G243" s="669">
        <v>139.7</v>
      </c>
      <c r="H243" s="627"/>
      <c r="I243" s="667"/>
      <c r="J243" s="628"/>
      <c r="K243" s="628"/>
      <c r="L243" s="13"/>
      <c r="M243" s="242"/>
      <c r="N243" s="242"/>
      <c r="O243" s="242"/>
      <c r="P243" s="631">
        <f t="shared" si="43"/>
        <v>149.479</v>
      </c>
      <c r="Q243" s="13"/>
      <c r="R243" s="13"/>
      <c r="S243" s="242"/>
      <c r="T243" s="443"/>
      <c r="U243" s="443"/>
      <c r="V243" s="242"/>
      <c r="W243" s="242"/>
      <c r="X243" s="242"/>
      <c r="Y243" s="242"/>
      <c r="Z243" s="242"/>
    </row>
    <row r="244">
      <c r="A244" s="621"/>
      <c r="B244" s="622">
        <f t="shared" si="44"/>
        <v>26</v>
      </c>
      <c r="C244" s="665" t="s">
        <v>3621</v>
      </c>
      <c r="D244" s="625" t="s">
        <v>3598</v>
      </c>
      <c r="E244" s="625" t="s">
        <v>397</v>
      </c>
      <c r="F244" s="626" t="s">
        <v>3816</v>
      </c>
      <c r="G244" s="669">
        <v>145.0</v>
      </c>
      <c r="H244" s="627"/>
      <c r="I244" s="667"/>
      <c r="J244" s="628"/>
      <c r="K244" s="628"/>
      <c r="L244" s="13"/>
      <c r="M244" s="242"/>
      <c r="N244" s="242"/>
      <c r="O244" s="242"/>
      <c r="P244" s="631">
        <f t="shared" si="43"/>
        <v>155.15</v>
      </c>
      <c r="Q244" s="13"/>
      <c r="R244" s="13"/>
      <c r="S244" s="242"/>
      <c r="T244" s="443"/>
      <c r="U244" s="443"/>
      <c r="V244" s="242"/>
      <c r="W244" s="242"/>
      <c r="X244" s="242"/>
      <c r="Y244" s="242"/>
      <c r="Z244" s="242"/>
    </row>
    <row r="245">
      <c r="A245" s="621"/>
      <c r="B245" s="622">
        <f t="shared" si="44"/>
        <v>27</v>
      </c>
      <c r="C245" s="176"/>
      <c r="D245" s="625" t="s">
        <v>3618</v>
      </c>
      <c r="E245" s="625" t="s">
        <v>144</v>
      </c>
      <c r="F245" s="626" t="s">
        <v>3818</v>
      </c>
      <c r="G245" s="669">
        <v>189.8</v>
      </c>
      <c r="H245" s="627"/>
      <c r="I245" s="667"/>
      <c r="J245" s="628"/>
      <c r="K245" s="628"/>
      <c r="L245" s="13"/>
      <c r="M245" s="242"/>
      <c r="N245" s="242"/>
      <c r="O245" s="242"/>
      <c r="P245" s="631">
        <f t="shared" si="43"/>
        <v>203.086</v>
      </c>
      <c r="Q245" s="13"/>
      <c r="R245" s="13"/>
      <c r="S245" s="242"/>
      <c r="T245" s="443"/>
      <c r="U245" s="443"/>
      <c r="V245" s="242"/>
      <c r="W245" s="242"/>
      <c r="X245" s="242"/>
      <c r="Y245" s="242"/>
      <c r="Z245" s="242"/>
    </row>
    <row r="246">
      <c r="A246" s="621"/>
      <c r="B246" s="622">
        <f t="shared" si="44"/>
        <v>28</v>
      </c>
      <c r="C246" s="176"/>
      <c r="D246" s="625" t="s">
        <v>3625</v>
      </c>
      <c r="E246" s="625" t="s">
        <v>409</v>
      </c>
      <c r="F246" s="626" t="s">
        <v>3819</v>
      </c>
      <c r="G246" s="669">
        <v>323.3</v>
      </c>
      <c r="H246" s="627"/>
      <c r="I246" s="667"/>
      <c r="J246" s="628"/>
      <c r="K246" s="628"/>
      <c r="L246" s="630" t="s">
        <v>722</v>
      </c>
      <c r="M246" s="242"/>
      <c r="N246" s="242"/>
      <c r="O246" s="242"/>
      <c r="P246" s="631">
        <f t="shared" si="43"/>
        <v>345.931</v>
      </c>
      <c r="Q246" s="13"/>
      <c r="R246" s="13"/>
      <c r="S246" s="242"/>
      <c r="T246" s="443"/>
      <c r="U246" s="443"/>
      <c r="V246" s="242"/>
      <c r="W246" s="242"/>
      <c r="X246" s="242"/>
      <c r="Y246" s="242"/>
      <c r="Z246" s="242"/>
    </row>
    <row r="247">
      <c r="A247" s="621"/>
      <c r="B247" s="622">
        <f t="shared" si="44"/>
        <v>29</v>
      </c>
      <c r="C247" s="41"/>
      <c r="D247" s="625" t="s">
        <v>3628</v>
      </c>
      <c r="E247" s="625" t="s">
        <v>306</v>
      </c>
      <c r="F247" s="626" t="s">
        <v>3820</v>
      </c>
      <c r="G247" s="669">
        <v>714.6</v>
      </c>
      <c r="H247" s="627"/>
      <c r="I247" s="667"/>
      <c r="J247" s="628"/>
      <c r="K247" s="628"/>
      <c r="L247" s="630" t="s">
        <v>722</v>
      </c>
      <c r="M247" s="242"/>
      <c r="N247" s="242"/>
      <c r="O247" s="242"/>
      <c r="P247" s="631">
        <f t="shared" si="43"/>
        <v>764.622</v>
      </c>
      <c r="Q247" s="13"/>
      <c r="R247" s="13"/>
      <c r="S247" s="242"/>
      <c r="T247" s="443"/>
      <c r="U247" s="443"/>
      <c r="V247" s="242"/>
      <c r="W247" s="242"/>
      <c r="X247" s="242"/>
      <c r="Y247" s="242"/>
      <c r="Z247" s="242"/>
    </row>
    <row r="248">
      <c r="A248" s="621"/>
      <c r="B248" s="622">
        <f t="shared" si="44"/>
        <v>30</v>
      </c>
      <c r="C248" s="665" t="s">
        <v>3630</v>
      </c>
      <c r="D248" s="625" t="s">
        <v>3598</v>
      </c>
      <c r="E248" s="625" t="s">
        <v>397</v>
      </c>
      <c r="F248" s="626" t="s">
        <v>3821</v>
      </c>
      <c r="G248" s="669">
        <v>100.7</v>
      </c>
      <c r="H248" s="627"/>
      <c r="I248" s="667"/>
      <c r="J248" s="628"/>
      <c r="K248" s="628"/>
      <c r="L248" s="13"/>
      <c r="M248" s="242"/>
      <c r="N248" s="242"/>
      <c r="O248" s="242"/>
      <c r="P248" s="631">
        <f t="shared" si="43"/>
        <v>107.749</v>
      </c>
      <c r="Q248" s="13"/>
      <c r="R248" s="13"/>
      <c r="S248" s="242"/>
      <c r="T248" s="443"/>
      <c r="U248" s="443"/>
      <c r="V248" s="242"/>
      <c r="W248" s="242"/>
      <c r="X248" s="242"/>
      <c r="Y248" s="242"/>
      <c r="Z248" s="242"/>
    </row>
    <row r="249">
      <c r="A249" s="621"/>
      <c r="B249" s="622">
        <f t="shared" si="44"/>
        <v>31</v>
      </c>
      <c r="C249" s="41"/>
      <c r="D249" s="625" t="s">
        <v>3618</v>
      </c>
      <c r="E249" s="625" t="s">
        <v>144</v>
      </c>
      <c r="F249" s="626" t="s">
        <v>3823</v>
      </c>
      <c r="G249" s="669">
        <v>119.2</v>
      </c>
      <c r="H249" s="627"/>
      <c r="I249" s="667"/>
      <c r="J249" s="628"/>
      <c r="K249" s="628"/>
      <c r="L249" s="13"/>
      <c r="M249" s="242"/>
      <c r="N249" s="242"/>
      <c r="O249" s="242"/>
      <c r="P249" s="631">
        <f t="shared" ref="P249:P251" si="45">IFERROR((G249*15%)+G249,"")</f>
        <v>137.08</v>
      </c>
      <c r="Q249" s="13"/>
      <c r="R249" s="13"/>
      <c r="S249" s="242"/>
      <c r="T249" s="443"/>
      <c r="U249" s="443"/>
      <c r="V249" s="242"/>
      <c r="W249" s="242"/>
      <c r="X249" s="242"/>
      <c r="Y249" s="242"/>
      <c r="Z249" s="242"/>
    </row>
    <row r="250">
      <c r="A250" s="621"/>
      <c r="B250" s="622">
        <f t="shared" si="44"/>
        <v>32</v>
      </c>
      <c r="C250" s="623" t="s">
        <v>52</v>
      </c>
      <c r="D250" s="624" t="s">
        <v>341</v>
      </c>
      <c r="E250" s="625" t="s">
        <v>43</v>
      </c>
      <c r="F250" s="626" t="s">
        <v>3824</v>
      </c>
      <c r="G250" s="669">
        <v>18.6</v>
      </c>
      <c r="H250" s="627"/>
      <c r="I250" s="667"/>
      <c r="J250" s="628"/>
      <c r="K250" s="628"/>
      <c r="L250" s="13"/>
      <c r="M250" s="242"/>
      <c r="N250" s="242"/>
      <c r="O250" s="242"/>
      <c r="P250" s="631">
        <f t="shared" si="45"/>
        <v>21.39</v>
      </c>
      <c r="Q250" s="13"/>
      <c r="R250" s="13"/>
      <c r="S250" s="242"/>
      <c r="T250" s="443"/>
      <c r="U250" s="443"/>
      <c r="V250" s="242"/>
      <c r="W250" s="242"/>
      <c r="X250" s="242"/>
      <c r="Y250" s="242"/>
      <c r="Z250" s="242"/>
    </row>
    <row r="251">
      <c r="A251" s="621"/>
      <c r="B251" s="622">
        <f t="shared" si="44"/>
        <v>33</v>
      </c>
      <c r="C251" s="176"/>
      <c r="D251" s="624" t="s">
        <v>346</v>
      </c>
      <c r="E251" s="625" t="s">
        <v>51</v>
      </c>
      <c r="F251" s="626" t="s">
        <v>3826</v>
      </c>
      <c r="G251" s="669">
        <v>25.2</v>
      </c>
      <c r="H251" s="627"/>
      <c r="I251" s="667"/>
      <c r="J251" s="628"/>
      <c r="K251" s="628"/>
      <c r="L251" s="13"/>
      <c r="M251" s="242"/>
      <c r="N251" s="242"/>
      <c r="O251" s="242"/>
      <c r="P251" s="631">
        <f t="shared" si="45"/>
        <v>28.98</v>
      </c>
      <c r="Q251" s="13"/>
      <c r="R251" s="13"/>
      <c r="S251" s="242"/>
      <c r="T251" s="443"/>
      <c r="U251" s="443"/>
      <c r="V251" s="242"/>
      <c r="W251" s="242"/>
      <c r="X251" s="242"/>
      <c r="Y251" s="242"/>
      <c r="Z251" s="242"/>
    </row>
    <row r="252">
      <c r="A252" s="621"/>
      <c r="B252" s="622">
        <f t="shared" si="44"/>
        <v>34</v>
      </c>
      <c r="C252" s="176"/>
      <c r="D252" s="624" t="s">
        <v>356</v>
      </c>
      <c r="E252" s="625" t="s">
        <v>84</v>
      </c>
      <c r="F252" s="626" t="s">
        <v>3827</v>
      </c>
      <c r="G252" s="669">
        <v>44.6</v>
      </c>
      <c r="H252" s="627"/>
      <c r="I252" s="667"/>
      <c r="J252" s="628"/>
      <c r="K252" s="628"/>
      <c r="L252" s="13"/>
      <c r="M252" s="242"/>
      <c r="N252" s="242"/>
      <c r="O252" s="242"/>
      <c r="P252" s="631">
        <f t="shared" ref="P252:P264" si="46">IFERROR((G252*7%)+G252,"")</f>
        <v>47.722</v>
      </c>
      <c r="Q252" s="13"/>
      <c r="R252" s="13"/>
      <c r="S252" s="242"/>
      <c r="T252" s="443"/>
      <c r="U252" s="443"/>
      <c r="V252" s="242"/>
      <c r="W252" s="242"/>
      <c r="X252" s="242"/>
      <c r="Y252" s="242"/>
      <c r="Z252" s="242"/>
    </row>
    <row r="253">
      <c r="A253" s="621"/>
      <c r="B253" s="622">
        <f t="shared" si="44"/>
        <v>35</v>
      </c>
      <c r="C253" s="176"/>
      <c r="D253" s="625" t="s">
        <v>3549</v>
      </c>
      <c r="E253" s="625" t="s">
        <v>55</v>
      </c>
      <c r="F253" s="626" t="s">
        <v>3828</v>
      </c>
      <c r="G253" s="669">
        <v>72.2</v>
      </c>
      <c r="H253" s="627"/>
      <c r="I253" s="667"/>
      <c r="J253" s="628"/>
      <c r="K253" s="628"/>
      <c r="L253" s="13"/>
      <c r="M253" s="242"/>
      <c r="N253" s="242"/>
      <c r="O253" s="242"/>
      <c r="P253" s="631">
        <f t="shared" si="46"/>
        <v>77.254</v>
      </c>
      <c r="Q253" s="13"/>
      <c r="R253" s="13"/>
      <c r="S253" s="242"/>
      <c r="T253" s="443"/>
      <c r="U253" s="443"/>
      <c r="V253" s="242"/>
      <c r="W253" s="242"/>
      <c r="X253" s="242"/>
      <c r="Y253" s="242"/>
      <c r="Z253" s="242"/>
    </row>
    <row r="254">
      <c r="A254" s="621"/>
      <c r="B254" s="622">
        <f t="shared" si="44"/>
        <v>36</v>
      </c>
      <c r="C254" s="176"/>
      <c r="D254" s="625" t="s">
        <v>3552</v>
      </c>
      <c r="E254" s="625" t="s">
        <v>56</v>
      </c>
      <c r="F254" s="626" t="s">
        <v>3829</v>
      </c>
      <c r="G254" s="669">
        <v>128.7</v>
      </c>
      <c r="H254" s="627"/>
      <c r="I254" s="667"/>
      <c r="J254" s="628"/>
      <c r="K254" s="628"/>
      <c r="L254" s="13"/>
      <c r="M254" s="242"/>
      <c r="N254" s="242"/>
      <c r="O254" s="242"/>
      <c r="P254" s="631">
        <f t="shared" si="46"/>
        <v>137.709</v>
      </c>
      <c r="Q254" s="13"/>
      <c r="R254" s="13"/>
      <c r="S254" s="242"/>
      <c r="T254" s="443"/>
      <c r="U254" s="443"/>
      <c r="V254" s="242"/>
      <c r="W254" s="242"/>
      <c r="X254" s="242"/>
      <c r="Y254" s="242"/>
      <c r="Z254" s="242"/>
    </row>
    <row r="255">
      <c r="A255" s="621"/>
      <c r="B255" s="622">
        <f t="shared" si="44"/>
        <v>37</v>
      </c>
      <c r="C255" s="176"/>
      <c r="D255" s="625" t="s">
        <v>3554</v>
      </c>
      <c r="E255" s="625" t="s">
        <v>107</v>
      </c>
      <c r="F255" s="626" t="s">
        <v>3830</v>
      </c>
      <c r="G255" s="669">
        <v>288.9</v>
      </c>
      <c r="H255" s="627"/>
      <c r="I255" s="667"/>
      <c r="J255" s="628"/>
      <c r="K255" s="628"/>
      <c r="L255" s="13"/>
      <c r="M255" s="242"/>
      <c r="N255" s="242"/>
      <c r="O255" s="242"/>
      <c r="P255" s="631">
        <f t="shared" si="46"/>
        <v>309.123</v>
      </c>
      <c r="Q255" s="13"/>
      <c r="R255" s="13"/>
      <c r="S255" s="242"/>
      <c r="T255" s="443"/>
      <c r="U255" s="443"/>
      <c r="V255" s="242"/>
      <c r="W255" s="242"/>
      <c r="X255" s="242"/>
      <c r="Y255" s="242"/>
      <c r="Z255" s="242"/>
    </row>
    <row r="256">
      <c r="A256" s="621"/>
      <c r="B256" s="622">
        <f t="shared" si="44"/>
        <v>38</v>
      </c>
      <c r="C256" s="176"/>
      <c r="D256" s="625" t="s">
        <v>3556</v>
      </c>
      <c r="E256" s="625" t="s">
        <v>69</v>
      </c>
      <c r="F256" s="626" t="s">
        <v>3831</v>
      </c>
      <c r="G256" s="669">
        <v>620.5</v>
      </c>
      <c r="H256" s="627"/>
      <c r="I256" s="667"/>
      <c r="J256" s="628"/>
      <c r="K256" s="628"/>
      <c r="L256" s="13"/>
      <c r="M256" s="242"/>
      <c r="N256" s="242"/>
      <c r="O256" s="242"/>
      <c r="P256" s="631">
        <f t="shared" si="46"/>
        <v>663.935</v>
      </c>
      <c r="Q256" s="13"/>
      <c r="R256" s="13"/>
      <c r="S256" s="242"/>
      <c r="T256" s="443"/>
      <c r="U256" s="443"/>
      <c r="V256" s="242"/>
      <c r="W256" s="242"/>
      <c r="X256" s="242"/>
      <c r="Y256" s="242"/>
      <c r="Z256" s="242"/>
    </row>
    <row r="257">
      <c r="A257" s="621"/>
      <c r="B257" s="622">
        <f t="shared" si="44"/>
        <v>39</v>
      </c>
      <c r="C257" s="176"/>
      <c r="D257" s="625" t="s">
        <v>3559</v>
      </c>
      <c r="E257" s="625" t="s">
        <v>3560</v>
      </c>
      <c r="F257" s="626" t="s">
        <v>3832</v>
      </c>
      <c r="G257" s="669">
        <v>810.9</v>
      </c>
      <c r="H257" s="627"/>
      <c r="I257" s="667"/>
      <c r="J257" s="628"/>
      <c r="K257" s="628"/>
      <c r="L257" s="13"/>
      <c r="M257" s="242"/>
      <c r="N257" s="242"/>
      <c r="O257" s="242"/>
      <c r="P257" s="631">
        <f t="shared" si="46"/>
        <v>867.663</v>
      </c>
      <c r="Q257" s="13"/>
      <c r="R257" s="13"/>
      <c r="S257" s="242"/>
      <c r="T257" s="443"/>
      <c r="U257" s="443"/>
      <c r="V257" s="242"/>
      <c r="W257" s="242"/>
      <c r="X257" s="242"/>
      <c r="Y257" s="242"/>
      <c r="Z257" s="242"/>
    </row>
    <row r="258">
      <c r="A258" s="621"/>
      <c r="B258" s="622">
        <f t="shared" si="44"/>
        <v>40</v>
      </c>
      <c r="C258" s="41"/>
      <c r="D258" s="625" t="s">
        <v>3561</v>
      </c>
      <c r="E258" s="625" t="s">
        <v>3562</v>
      </c>
      <c r="F258" s="626" t="s">
        <v>3833</v>
      </c>
      <c r="G258" s="669">
        <v>1424.7</v>
      </c>
      <c r="H258" s="627"/>
      <c r="I258" s="667"/>
      <c r="J258" s="628"/>
      <c r="K258" s="628"/>
      <c r="L258" s="13"/>
      <c r="M258" s="242"/>
      <c r="N258" s="242"/>
      <c r="O258" s="242"/>
      <c r="P258" s="631">
        <f t="shared" si="46"/>
        <v>1524.429</v>
      </c>
      <c r="Q258" s="13"/>
      <c r="R258" s="13"/>
      <c r="S258" s="242"/>
      <c r="T258" s="443"/>
      <c r="U258" s="443"/>
      <c r="V258" s="242"/>
      <c r="W258" s="242"/>
      <c r="X258" s="242"/>
      <c r="Y258" s="242"/>
      <c r="Z258" s="242"/>
    </row>
    <row r="259">
      <c r="A259" s="621"/>
      <c r="B259" s="622">
        <f t="shared" si="44"/>
        <v>41</v>
      </c>
      <c r="C259" s="665" t="s">
        <v>3680</v>
      </c>
      <c r="D259" s="625" t="s">
        <v>3598</v>
      </c>
      <c r="E259" s="625" t="s">
        <v>397</v>
      </c>
      <c r="F259" s="626" t="s">
        <v>3834</v>
      </c>
      <c r="G259" s="669">
        <v>144.8</v>
      </c>
      <c r="H259" s="627"/>
      <c r="I259" s="667"/>
      <c r="J259" s="628"/>
      <c r="K259" s="628"/>
      <c r="L259" s="13"/>
      <c r="M259" s="242"/>
      <c r="N259" s="242"/>
      <c r="O259" s="242"/>
      <c r="P259" s="631">
        <f t="shared" si="46"/>
        <v>154.936</v>
      </c>
      <c r="Q259" s="13"/>
      <c r="R259" s="13"/>
      <c r="S259" s="242"/>
      <c r="T259" s="443"/>
      <c r="U259" s="443"/>
      <c r="V259" s="242"/>
      <c r="W259" s="242"/>
      <c r="X259" s="242"/>
      <c r="Y259" s="242"/>
      <c r="Z259" s="242"/>
    </row>
    <row r="260">
      <c r="A260" s="621"/>
      <c r="B260" s="622">
        <f t="shared" si="44"/>
        <v>42</v>
      </c>
      <c r="C260" s="176"/>
      <c r="D260" s="625" t="s">
        <v>3618</v>
      </c>
      <c r="E260" s="625" t="s">
        <v>144</v>
      </c>
      <c r="F260" s="626" t="s">
        <v>3836</v>
      </c>
      <c r="G260" s="669">
        <v>182.0</v>
      </c>
      <c r="H260" s="627"/>
      <c r="I260" s="667"/>
      <c r="J260" s="628"/>
      <c r="K260" s="628"/>
      <c r="L260" s="13"/>
      <c r="M260" s="242"/>
      <c r="N260" s="242"/>
      <c r="O260" s="242"/>
      <c r="P260" s="631">
        <f t="shared" si="46"/>
        <v>194.74</v>
      </c>
      <c r="Q260" s="13"/>
      <c r="R260" s="13"/>
      <c r="S260" s="242"/>
      <c r="T260" s="443"/>
      <c r="U260" s="443"/>
      <c r="V260" s="242"/>
      <c r="W260" s="242"/>
      <c r="X260" s="242"/>
      <c r="Y260" s="242"/>
      <c r="Z260" s="242"/>
    </row>
    <row r="261">
      <c r="A261" s="621"/>
      <c r="B261" s="622">
        <f t="shared" si="44"/>
        <v>43</v>
      </c>
      <c r="C261" s="176"/>
      <c r="D261" s="216" t="s">
        <v>3625</v>
      </c>
      <c r="E261" s="625" t="s">
        <v>409</v>
      </c>
      <c r="F261" s="626" t="s">
        <v>3837</v>
      </c>
      <c r="G261" s="669">
        <v>204.7</v>
      </c>
      <c r="H261" s="627"/>
      <c r="I261" s="667"/>
      <c r="J261" s="628"/>
      <c r="K261" s="628"/>
      <c r="L261" s="13"/>
      <c r="M261" s="242"/>
      <c r="N261" s="242"/>
      <c r="O261" s="242"/>
      <c r="P261" s="631">
        <f t="shared" si="46"/>
        <v>219.029</v>
      </c>
      <c r="Q261" s="13"/>
      <c r="R261" s="13"/>
      <c r="S261" s="242"/>
      <c r="T261" s="443"/>
      <c r="U261" s="443"/>
      <c r="V261" s="242"/>
      <c r="W261" s="242"/>
      <c r="X261" s="242"/>
      <c r="Y261" s="242"/>
      <c r="Z261" s="242"/>
    </row>
    <row r="262">
      <c r="A262" s="621"/>
      <c r="B262" s="622">
        <f t="shared" si="44"/>
        <v>44</v>
      </c>
      <c r="C262" s="41"/>
      <c r="D262" s="216" t="s">
        <v>3628</v>
      </c>
      <c r="E262" s="625" t="s">
        <v>306</v>
      </c>
      <c r="F262" s="626" t="s">
        <v>3838</v>
      </c>
      <c r="G262" s="640">
        <v>0.0</v>
      </c>
      <c r="H262" s="667"/>
      <c r="I262" s="667"/>
      <c r="J262" s="628"/>
      <c r="K262" s="628"/>
      <c r="L262" s="13"/>
      <c r="M262" s="242"/>
      <c r="N262" s="242"/>
      <c r="O262" s="242"/>
      <c r="P262" s="631">
        <f t="shared" si="46"/>
        <v>0</v>
      </c>
      <c r="Q262" s="13"/>
      <c r="R262" s="13"/>
      <c r="S262" s="242"/>
      <c r="T262" s="443"/>
      <c r="U262" s="443"/>
      <c r="V262" s="242"/>
      <c r="W262" s="242"/>
      <c r="X262" s="242"/>
      <c r="Y262" s="242"/>
      <c r="Z262" s="242"/>
    </row>
    <row r="263">
      <c r="A263" s="621"/>
      <c r="B263" s="622">
        <f t="shared" si="44"/>
        <v>45</v>
      </c>
      <c r="C263" s="664" t="s">
        <v>3691</v>
      </c>
      <c r="D263" s="624" t="s">
        <v>341</v>
      </c>
      <c r="E263" s="625" t="s">
        <v>43</v>
      </c>
      <c r="F263" s="626" t="s">
        <v>3839</v>
      </c>
      <c r="G263" s="669">
        <v>22.0</v>
      </c>
      <c r="H263" s="627"/>
      <c r="I263" s="667"/>
      <c r="J263" s="628"/>
      <c r="K263" s="628"/>
      <c r="L263" s="13"/>
      <c r="M263" s="242"/>
      <c r="N263" s="242"/>
      <c r="O263" s="242"/>
      <c r="P263" s="631">
        <f t="shared" si="46"/>
        <v>23.54</v>
      </c>
      <c r="Q263" s="13"/>
      <c r="R263" s="13"/>
      <c r="S263" s="242"/>
      <c r="T263" s="443"/>
      <c r="U263" s="443"/>
      <c r="V263" s="242"/>
      <c r="W263" s="242"/>
      <c r="X263" s="242"/>
      <c r="Y263" s="242"/>
      <c r="Z263" s="242"/>
    </row>
    <row r="264">
      <c r="A264" s="621"/>
      <c r="B264" s="622">
        <f t="shared" si="44"/>
        <v>46</v>
      </c>
      <c r="C264" s="176"/>
      <c r="D264" s="624" t="s">
        <v>346</v>
      </c>
      <c r="E264" s="625" t="s">
        <v>51</v>
      </c>
      <c r="F264" s="626" t="s">
        <v>3841</v>
      </c>
      <c r="G264" s="669">
        <v>40.5</v>
      </c>
      <c r="H264" s="627"/>
      <c r="I264" s="667"/>
      <c r="J264" s="628"/>
      <c r="K264" s="628"/>
      <c r="L264" s="13"/>
      <c r="M264" s="242"/>
      <c r="N264" s="242"/>
      <c r="O264" s="242"/>
      <c r="P264" s="631">
        <f t="shared" si="46"/>
        <v>43.335</v>
      </c>
      <c r="Q264" s="13"/>
      <c r="R264" s="13"/>
      <c r="S264" s="242"/>
      <c r="T264" s="443"/>
      <c r="U264" s="443"/>
      <c r="V264" s="242"/>
      <c r="W264" s="242"/>
      <c r="X264" s="242"/>
      <c r="Y264" s="242"/>
      <c r="Z264" s="242"/>
    </row>
    <row r="265">
      <c r="A265" s="621"/>
      <c r="B265" s="622">
        <f t="shared" si="44"/>
        <v>47</v>
      </c>
      <c r="C265" s="176"/>
      <c r="D265" s="624" t="s">
        <v>356</v>
      </c>
      <c r="E265" s="625" t="s">
        <v>84</v>
      </c>
      <c r="F265" s="626" t="s">
        <v>3842</v>
      </c>
      <c r="G265" s="669">
        <v>65.6</v>
      </c>
      <c r="H265" s="627"/>
      <c r="I265" s="667"/>
      <c r="J265" s="628"/>
      <c r="K265" s="628"/>
      <c r="L265" s="13"/>
      <c r="M265" s="242"/>
      <c r="N265" s="242"/>
      <c r="O265" s="242"/>
      <c r="P265" s="631">
        <f t="shared" ref="P265:P269" si="47">IFERROR((G265*15%)+G265,"")</f>
        <v>75.44</v>
      </c>
      <c r="Q265" s="13"/>
      <c r="R265" s="13"/>
      <c r="S265" s="242"/>
      <c r="T265" s="443"/>
      <c r="U265" s="443"/>
      <c r="V265" s="242"/>
      <c r="W265" s="242"/>
      <c r="X265" s="242"/>
      <c r="Y265" s="242"/>
      <c r="Z265" s="242"/>
    </row>
    <row r="266">
      <c r="A266" s="621"/>
      <c r="B266" s="622">
        <f t="shared" si="44"/>
        <v>48</v>
      </c>
      <c r="C266" s="176"/>
      <c r="D266" s="625" t="s">
        <v>3549</v>
      </c>
      <c r="E266" s="625" t="s">
        <v>55</v>
      </c>
      <c r="F266" s="626" t="s">
        <v>3843</v>
      </c>
      <c r="G266" s="669">
        <v>95.2</v>
      </c>
      <c r="H266" s="627"/>
      <c r="I266" s="667"/>
      <c r="J266" s="628"/>
      <c r="K266" s="628"/>
      <c r="L266" s="13"/>
      <c r="M266" s="242"/>
      <c r="N266" s="242"/>
      <c r="O266" s="242"/>
      <c r="P266" s="631">
        <f t="shared" si="47"/>
        <v>109.48</v>
      </c>
      <c r="Q266" s="13"/>
      <c r="R266" s="13"/>
      <c r="S266" s="242"/>
      <c r="T266" s="443"/>
      <c r="U266" s="443"/>
      <c r="V266" s="242"/>
      <c r="W266" s="242"/>
      <c r="X266" s="242"/>
      <c r="Y266" s="242"/>
      <c r="Z266" s="242"/>
    </row>
    <row r="267">
      <c r="A267" s="621"/>
      <c r="B267" s="622">
        <f t="shared" si="44"/>
        <v>49</v>
      </c>
      <c r="C267" s="176"/>
      <c r="D267" s="625" t="s">
        <v>3552</v>
      </c>
      <c r="E267" s="625" t="s">
        <v>56</v>
      </c>
      <c r="F267" s="626" t="s">
        <v>3844</v>
      </c>
      <c r="G267" s="669">
        <v>190.4</v>
      </c>
      <c r="H267" s="627"/>
      <c r="I267" s="667"/>
      <c r="J267" s="628"/>
      <c r="K267" s="628"/>
      <c r="L267" s="13"/>
      <c r="M267" s="242"/>
      <c r="N267" s="242"/>
      <c r="O267" s="242"/>
      <c r="P267" s="631">
        <f t="shared" si="47"/>
        <v>218.96</v>
      </c>
      <c r="Q267" s="13"/>
      <c r="R267" s="13"/>
      <c r="S267" s="242"/>
      <c r="T267" s="443"/>
      <c r="U267" s="443"/>
      <c r="V267" s="242"/>
      <c r="W267" s="242"/>
      <c r="X267" s="242"/>
      <c r="Y267" s="242"/>
      <c r="Z267" s="242"/>
    </row>
    <row r="268">
      <c r="A268" s="621"/>
      <c r="B268" s="622">
        <f t="shared" si="44"/>
        <v>50</v>
      </c>
      <c r="C268" s="176"/>
      <c r="D268" s="625" t="s">
        <v>3554</v>
      </c>
      <c r="E268" s="625" t="s">
        <v>107</v>
      </c>
      <c r="F268" s="626" t="s">
        <v>3845</v>
      </c>
      <c r="G268" s="669">
        <v>418.9</v>
      </c>
      <c r="H268" s="627"/>
      <c r="I268" s="667"/>
      <c r="J268" s="628"/>
      <c r="K268" s="628"/>
      <c r="L268" s="13"/>
      <c r="M268" s="242"/>
      <c r="N268" s="242"/>
      <c r="O268" s="242"/>
      <c r="P268" s="631">
        <f t="shared" si="47"/>
        <v>481.735</v>
      </c>
      <c r="Q268" s="13"/>
      <c r="R268" s="13"/>
      <c r="S268" s="242"/>
      <c r="T268" s="443"/>
      <c r="U268" s="443"/>
      <c r="V268" s="242"/>
      <c r="W268" s="242"/>
      <c r="X268" s="242"/>
      <c r="Y268" s="242"/>
      <c r="Z268" s="242"/>
    </row>
    <row r="269">
      <c r="A269" s="621"/>
      <c r="B269" s="622">
        <f t="shared" si="44"/>
        <v>51</v>
      </c>
      <c r="C269" s="176"/>
      <c r="D269" s="625" t="s">
        <v>3556</v>
      </c>
      <c r="E269" s="625" t="s">
        <v>69</v>
      </c>
      <c r="F269" s="626" t="s">
        <v>3846</v>
      </c>
      <c r="G269" s="669">
        <v>799.7</v>
      </c>
      <c r="H269" s="627"/>
      <c r="I269" s="667"/>
      <c r="J269" s="628"/>
      <c r="K269" s="628"/>
      <c r="L269" s="13"/>
      <c r="M269" s="242"/>
      <c r="N269" s="242"/>
      <c r="O269" s="242"/>
      <c r="P269" s="631">
        <f t="shared" si="47"/>
        <v>919.655</v>
      </c>
      <c r="Q269" s="13"/>
      <c r="R269" s="13"/>
      <c r="S269" s="242"/>
      <c r="T269" s="443"/>
      <c r="U269" s="443"/>
      <c r="V269" s="242"/>
      <c r="W269" s="242"/>
      <c r="X269" s="242"/>
      <c r="Y269" s="242"/>
      <c r="Z269" s="242"/>
    </row>
    <row r="270">
      <c r="A270" s="621"/>
      <c r="B270" s="622">
        <f t="shared" si="44"/>
        <v>52</v>
      </c>
      <c r="C270" s="176"/>
      <c r="D270" s="625" t="s">
        <v>3559</v>
      </c>
      <c r="E270" s="625" t="s">
        <v>3560</v>
      </c>
      <c r="F270" s="626" t="s">
        <v>3847</v>
      </c>
      <c r="G270" s="669">
        <v>1061.8</v>
      </c>
      <c r="H270" s="627"/>
      <c r="I270" s="667"/>
      <c r="J270" s="628"/>
      <c r="K270" s="628"/>
      <c r="L270" s="13"/>
      <c r="M270" s="242"/>
      <c r="N270" s="242"/>
      <c r="O270" s="242"/>
      <c r="P270" s="631">
        <f t="shared" ref="P270:P290" si="48">IFERROR((G270*7%)+G270,"")</f>
        <v>1136.126</v>
      </c>
      <c r="Q270" s="13"/>
      <c r="R270" s="13"/>
      <c r="S270" s="242"/>
      <c r="T270" s="443"/>
      <c r="U270" s="443"/>
      <c r="V270" s="242"/>
      <c r="W270" s="242"/>
      <c r="X270" s="242"/>
      <c r="Y270" s="242"/>
      <c r="Z270" s="242"/>
    </row>
    <row r="271">
      <c r="A271" s="621"/>
      <c r="B271" s="622">
        <f t="shared" si="44"/>
        <v>53</v>
      </c>
      <c r="C271" s="41"/>
      <c r="D271" s="625" t="s">
        <v>3561</v>
      </c>
      <c r="E271" s="625" t="s">
        <v>3562</v>
      </c>
      <c r="F271" s="626" t="s">
        <v>3848</v>
      </c>
      <c r="G271" s="669">
        <v>1655.4</v>
      </c>
      <c r="H271" s="627"/>
      <c r="I271" s="667"/>
      <c r="J271" s="628"/>
      <c r="K271" s="628"/>
      <c r="L271" s="13"/>
      <c r="M271" s="242"/>
      <c r="N271" s="242"/>
      <c r="O271" s="242"/>
      <c r="P271" s="631">
        <f t="shared" si="48"/>
        <v>1771.278</v>
      </c>
      <c r="Q271" s="13"/>
      <c r="R271" s="13"/>
      <c r="S271" s="242"/>
      <c r="T271" s="443"/>
      <c r="U271" s="443"/>
      <c r="V271" s="242"/>
      <c r="W271" s="242"/>
      <c r="X271" s="242"/>
      <c r="Y271" s="242"/>
      <c r="Z271" s="242"/>
    </row>
    <row r="272">
      <c r="A272" s="621"/>
      <c r="B272" s="622">
        <f t="shared" si="44"/>
        <v>54</v>
      </c>
      <c r="C272" s="623" t="s">
        <v>202</v>
      </c>
      <c r="D272" s="216" t="s">
        <v>155</v>
      </c>
      <c r="E272" s="625" t="s">
        <v>144</v>
      </c>
      <c r="F272" s="626" t="s">
        <v>3849</v>
      </c>
      <c r="G272" s="669">
        <v>39.4</v>
      </c>
      <c r="H272" s="627"/>
      <c r="I272" s="667"/>
      <c r="J272" s="628"/>
      <c r="K272" s="628"/>
      <c r="L272" s="13"/>
      <c r="M272" s="242"/>
      <c r="N272" s="242"/>
      <c r="O272" s="242"/>
      <c r="P272" s="631">
        <f t="shared" si="48"/>
        <v>42.158</v>
      </c>
      <c r="Q272" s="13"/>
      <c r="R272" s="13"/>
      <c r="S272" s="242"/>
      <c r="T272" s="443"/>
      <c r="U272" s="443"/>
      <c r="V272" s="242"/>
      <c r="W272" s="242"/>
      <c r="X272" s="242"/>
      <c r="Y272" s="242"/>
      <c r="Z272" s="242"/>
    </row>
    <row r="273">
      <c r="A273" s="621"/>
      <c r="B273" s="622">
        <f t="shared" si="44"/>
        <v>55</v>
      </c>
      <c r="C273" s="176"/>
      <c r="D273" s="216" t="s">
        <v>304</v>
      </c>
      <c r="E273" s="625" t="s">
        <v>352</v>
      </c>
      <c r="F273" s="626" t="s">
        <v>3851</v>
      </c>
      <c r="G273" s="669">
        <v>66.8</v>
      </c>
      <c r="H273" s="627"/>
      <c r="I273" s="667"/>
      <c r="J273" s="628"/>
      <c r="K273" s="628"/>
      <c r="L273" s="13"/>
      <c r="M273" s="242"/>
      <c r="N273" s="242"/>
      <c r="O273" s="242"/>
      <c r="P273" s="631">
        <f t="shared" si="48"/>
        <v>71.476</v>
      </c>
      <c r="Q273" s="13"/>
      <c r="R273" s="13"/>
      <c r="S273" s="242"/>
      <c r="T273" s="443"/>
      <c r="U273" s="443"/>
      <c r="V273" s="242"/>
      <c r="W273" s="242"/>
      <c r="X273" s="242"/>
      <c r="Y273" s="242"/>
      <c r="Z273" s="242"/>
    </row>
    <row r="274">
      <c r="A274" s="621"/>
      <c r="B274" s="622">
        <f t="shared" si="44"/>
        <v>56</v>
      </c>
      <c r="C274" s="176"/>
      <c r="D274" s="216" t="s">
        <v>307</v>
      </c>
      <c r="E274" s="625" t="s">
        <v>153</v>
      </c>
      <c r="F274" s="626" t="s">
        <v>3852</v>
      </c>
      <c r="G274" s="669">
        <v>67.9</v>
      </c>
      <c r="H274" s="627"/>
      <c r="I274" s="667"/>
      <c r="J274" s="628"/>
      <c r="K274" s="628"/>
      <c r="L274" s="630" t="s">
        <v>722</v>
      </c>
      <c r="M274" s="242"/>
      <c r="N274" s="242"/>
      <c r="O274" s="242"/>
      <c r="P274" s="631">
        <f t="shared" si="48"/>
        <v>72.653</v>
      </c>
      <c r="Q274" s="13"/>
      <c r="R274" s="13"/>
      <c r="S274" s="242"/>
      <c r="T274" s="443"/>
      <c r="U274" s="443"/>
      <c r="V274" s="242"/>
      <c r="W274" s="242"/>
      <c r="X274" s="242"/>
      <c r="Y274" s="242"/>
      <c r="Z274" s="242"/>
    </row>
    <row r="275">
      <c r="A275" s="621"/>
      <c r="B275" s="622">
        <f t="shared" si="44"/>
        <v>57</v>
      </c>
      <c r="C275" s="176"/>
      <c r="D275" s="216" t="s">
        <v>311</v>
      </c>
      <c r="E275" s="625" t="s">
        <v>401</v>
      </c>
      <c r="F275" s="626" t="s">
        <v>3853</v>
      </c>
      <c r="G275" s="669">
        <v>89.2</v>
      </c>
      <c r="H275" s="627"/>
      <c r="I275" s="667"/>
      <c r="J275" s="628"/>
      <c r="K275" s="628"/>
      <c r="L275" s="630" t="s">
        <v>722</v>
      </c>
      <c r="M275" s="242"/>
      <c r="N275" s="242"/>
      <c r="O275" s="242"/>
      <c r="P275" s="631">
        <f t="shared" si="48"/>
        <v>95.444</v>
      </c>
      <c r="Q275" s="13"/>
      <c r="R275" s="13"/>
      <c r="S275" s="242"/>
      <c r="T275" s="443"/>
      <c r="U275" s="443"/>
      <c r="V275" s="242"/>
      <c r="W275" s="242"/>
      <c r="X275" s="242"/>
      <c r="Y275" s="242"/>
      <c r="Z275" s="242"/>
    </row>
    <row r="276">
      <c r="A276" s="621"/>
      <c r="B276" s="622">
        <f t="shared" si="44"/>
        <v>58</v>
      </c>
      <c r="C276" s="176"/>
      <c r="D276" s="216" t="s">
        <v>314</v>
      </c>
      <c r="E276" s="625" t="s">
        <v>303</v>
      </c>
      <c r="F276" s="626" t="s">
        <v>3854</v>
      </c>
      <c r="G276" s="669">
        <v>93.0</v>
      </c>
      <c r="H276" s="627"/>
      <c r="I276" s="667"/>
      <c r="J276" s="628"/>
      <c r="K276" s="628"/>
      <c r="L276" s="13"/>
      <c r="M276" s="242"/>
      <c r="N276" s="242"/>
      <c r="O276" s="242"/>
      <c r="P276" s="631">
        <f t="shared" si="48"/>
        <v>99.51</v>
      </c>
      <c r="Q276" s="13"/>
      <c r="R276" s="13"/>
      <c r="S276" s="242"/>
      <c r="T276" s="443"/>
      <c r="U276" s="443"/>
      <c r="V276" s="242"/>
      <c r="W276" s="242"/>
      <c r="X276" s="242"/>
      <c r="Y276" s="242"/>
      <c r="Z276" s="242"/>
    </row>
    <row r="277">
      <c r="A277" s="621"/>
      <c r="B277" s="622">
        <f t="shared" si="44"/>
        <v>59</v>
      </c>
      <c r="C277" s="176"/>
      <c r="D277" s="216" t="s">
        <v>318</v>
      </c>
      <c r="E277" s="625" t="s">
        <v>306</v>
      </c>
      <c r="F277" s="626" t="s">
        <v>3855</v>
      </c>
      <c r="G277" s="669">
        <v>94.9</v>
      </c>
      <c r="H277" s="627"/>
      <c r="I277" s="667"/>
      <c r="J277" s="628"/>
      <c r="K277" s="628"/>
      <c r="L277" s="630" t="s">
        <v>722</v>
      </c>
      <c r="M277" s="242"/>
      <c r="N277" s="242"/>
      <c r="O277" s="242"/>
      <c r="P277" s="631">
        <f t="shared" si="48"/>
        <v>101.543</v>
      </c>
      <c r="Q277" s="13"/>
      <c r="R277" s="13"/>
      <c r="S277" s="242"/>
      <c r="T277" s="443"/>
      <c r="U277" s="443"/>
      <c r="V277" s="242"/>
      <c r="W277" s="242"/>
      <c r="X277" s="242"/>
      <c r="Y277" s="242"/>
      <c r="Z277" s="242"/>
    </row>
    <row r="278">
      <c r="A278" s="621"/>
      <c r="B278" s="622">
        <f t="shared" si="44"/>
        <v>60</v>
      </c>
      <c r="C278" s="176"/>
      <c r="D278" s="216" t="s">
        <v>321</v>
      </c>
      <c r="E278" s="625" t="s">
        <v>414</v>
      </c>
      <c r="F278" s="626" t="s">
        <v>3856</v>
      </c>
      <c r="G278" s="669">
        <v>172.9</v>
      </c>
      <c r="H278" s="627"/>
      <c r="I278" s="667"/>
      <c r="J278" s="628"/>
      <c r="K278" s="628"/>
      <c r="L278" s="630" t="s">
        <v>722</v>
      </c>
      <c r="M278" s="242"/>
      <c r="N278" s="242"/>
      <c r="O278" s="242"/>
      <c r="P278" s="631">
        <f t="shared" si="48"/>
        <v>185.003</v>
      </c>
      <c r="Q278" s="13"/>
      <c r="R278" s="13"/>
      <c r="S278" s="242"/>
      <c r="T278" s="443"/>
      <c r="U278" s="443"/>
      <c r="V278" s="242"/>
      <c r="W278" s="242"/>
      <c r="X278" s="242"/>
      <c r="Y278" s="242"/>
      <c r="Z278" s="242"/>
    </row>
    <row r="279">
      <c r="A279" s="621"/>
      <c r="B279" s="622">
        <f t="shared" si="44"/>
        <v>61</v>
      </c>
      <c r="C279" s="176"/>
      <c r="D279" s="216" t="s">
        <v>325</v>
      </c>
      <c r="E279" s="625" t="s">
        <v>310</v>
      </c>
      <c r="F279" s="626" t="s">
        <v>3857</v>
      </c>
      <c r="G279" s="669">
        <v>178.8</v>
      </c>
      <c r="H279" s="627"/>
      <c r="I279" s="667"/>
      <c r="J279" s="628"/>
      <c r="K279" s="628"/>
      <c r="L279" s="630" t="s">
        <v>722</v>
      </c>
      <c r="M279" s="242"/>
      <c r="N279" s="242"/>
      <c r="O279" s="242"/>
      <c r="P279" s="631">
        <f t="shared" si="48"/>
        <v>191.316</v>
      </c>
      <c r="Q279" s="13"/>
      <c r="R279" s="13"/>
      <c r="S279" s="242"/>
      <c r="T279" s="443"/>
      <c r="U279" s="443"/>
      <c r="V279" s="242"/>
      <c r="W279" s="242"/>
      <c r="X279" s="242"/>
      <c r="Y279" s="242"/>
      <c r="Z279" s="242"/>
    </row>
    <row r="280">
      <c r="A280" s="621"/>
      <c r="B280" s="622">
        <f t="shared" si="44"/>
        <v>62</v>
      </c>
      <c r="C280" s="176"/>
      <c r="D280" s="216" t="s">
        <v>328</v>
      </c>
      <c r="E280" s="625" t="s">
        <v>313</v>
      </c>
      <c r="F280" s="626" t="s">
        <v>3858</v>
      </c>
      <c r="G280" s="669">
        <v>180.5</v>
      </c>
      <c r="H280" s="627"/>
      <c r="I280" s="667"/>
      <c r="J280" s="628"/>
      <c r="K280" s="628"/>
      <c r="L280" s="13"/>
      <c r="M280" s="242"/>
      <c r="N280" s="242"/>
      <c r="O280" s="242"/>
      <c r="P280" s="631">
        <f t="shared" si="48"/>
        <v>193.135</v>
      </c>
      <c r="Q280" s="13"/>
      <c r="R280" s="13"/>
      <c r="S280" s="242"/>
      <c r="T280" s="443"/>
      <c r="U280" s="443"/>
      <c r="V280" s="242"/>
      <c r="W280" s="242"/>
      <c r="X280" s="242"/>
      <c r="Y280" s="242"/>
      <c r="Z280" s="242"/>
    </row>
    <row r="281">
      <c r="A281" s="621"/>
      <c r="B281" s="622">
        <f t="shared" si="44"/>
        <v>63</v>
      </c>
      <c r="C281" s="176"/>
      <c r="D281" s="216" t="s">
        <v>332</v>
      </c>
      <c r="E281" s="625" t="s">
        <v>317</v>
      </c>
      <c r="F281" s="626" t="s">
        <v>3859</v>
      </c>
      <c r="G281" s="669">
        <v>181.9</v>
      </c>
      <c r="H281" s="627"/>
      <c r="I281" s="667"/>
      <c r="J281" s="628"/>
      <c r="K281" s="628"/>
      <c r="L281" s="630" t="s">
        <v>722</v>
      </c>
      <c r="M281" s="242"/>
      <c r="N281" s="242"/>
      <c r="O281" s="242"/>
      <c r="P281" s="631">
        <f t="shared" si="48"/>
        <v>194.633</v>
      </c>
      <c r="Q281" s="13"/>
      <c r="R281" s="13"/>
      <c r="S281" s="242"/>
      <c r="T281" s="443"/>
      <c r="U281" s="443"/>
      <c r="V281" s="242"/>
      <c r="W281" s="242"/>
      <c r="X281" s="242"/>
      <c r="Y281" s="242"/>
      <c r="Z281" s="242"/>
    </row>
    <row r="282">
      <c r="A282" s="621"/>
      <c r="B282" s="622">
        <f t="shared" si="44"/>
        <v>64</v>
      </c>
      <c r="C282" s="176"/>
      <c r="D282" s="216" t="s">
        <v>3575</v>
      </c>
      <c r="E282" s="625" t="s">
        <v>320</v>
      </c>
      <c r="F282" s="626" t="s">
        <v>3860</v>
      </c>
      <c r="G282" s="669">
        <v>356.2</v>
      </c>
      <c r="H282" s="627"/>
      <c r="I282" s="667"/>
      <c r="J282" s="628"/>
      <c r="K282" s="628"/>
      <c r="L282" s="630" t="s">
        <v>722</v>
      </c>
      <c r="M282" s="242"/>
      <c r="N282" s="242"/>
      <c r="O282" s="242"/>
      <c r="P282" s="631">
        <f t="shared" si="48"/>
        <v>381.134</v>
      </c>
      <c r="Q282" s="13"/>
      <c r="R282" s="13"/>
      <c r="S282" s="242"/>
      <c r="T282" s="443"/>
      <c r="U282" s="443"/>
      <c r="V282" s="242"/>
      <c r="W282" s="242"/>
      <c r="X282" s="242"/>
      <c r="Y282" s="242"/>
      <c r="Z282" s="242"/>
    </row>
    <row r="283">
      <c r="A283" s="621"/>
      <c r="B283" s="622">
        <f t="shared" si="44"/>
        <v>65</v>
      </c>
      <c r="C283" s="176"/>
      <c r="D283" s="216" t="s">
        <v>3578</v>
      </c>
      <c r="E283" s="625" t="s">
        <v>324</v>
      </c>
      <c r="F283" s="626" t="s">
        <v>3861</v>
      </c>
      <c r="G283" s="669">
        <v>362.9</v>
      </c>
      <c r="H283" s="627"/>
      <c r="I283" s="667"/>
      <c r="J283" s="628"/>
      <c r="K283" s="628"/>
      <c r="L283" s="630" t="s">
        <v>722</v>
      </c>
      <c r="M283" s="242"/>
      <c r="N283" s="242"/>
      <c r="O283" s="242"/>
      <c r="P283" s="631">
        <f t="shared" si="48"/>
        <v>388.303</v>
      </c>
      <c r="Q283" s="13"/>
      <c r="R283" s="13"/>
      <c r="S283" s="242"/>
      <c r="T283" s="443"/>
      <c r="U283" s="443"/>
      <c r="V283" s="242"/>
      <c r="W283" s="242"/>
      <c r="X283" s="242"/>
      <c r="Y283" s="242"/>
      <c r="Z283" s="242"/>
    </row>
    <row r="284">
      <c r="A284" s="621"/>
      <c r="B284" s="622">
        <f t="shared" si="44"/>
        <v>66</v>
      </c>
      <c r="C284" s="176"/>
      <c r="D284" s="216" t="s">
        <v>3580</v>
      </c>
      <c r="E284" s="625" t="s">
        <v>327</v>
      </c>
      <c r="F284" s="626" t="s">
        <v>3862</v>
      </c>
      <c r="G284" s="669">
        <v>367.4</v>
      </c>
      <c r="H284" s="627"/>
      <c r="I284" s="667"/>
      <c r="J284" s="628"/>
      <c r="K284" s="628"/>
      <c r="L284" s="630" t="s">
        <v>722</v>
      </c>
      <c r="M284" s="242"/>
      <c r="N284" s="242"/>
      <c r="O284" s="242"/>
      <c r="P284" s="631">
        <f t="shared" si="48"/>
        <v>393.118</v>
      </c>
      <c r="Q284" s="13"/>
      <c r="R284" s="13"/>
      <c r="S284" s="242"/>
      <c r="T284" s="443"/>
      <c r="U284" s="443"/>
      <c r="V284" s="242"/>
      <c r="W284" s="242"/>
      <c r="X284" s="242"/>
      <c r="Y284" s="242"/>
      <c r="Z284" s="242"/>
    </row>
    <row r="285">
      <c r="A285" s="621"/>
      <c r="B285" s="622">
        <f t="shared" si="44"/>
        <v>67</v>
      </c>
      <c r="C285" s="41"/>
      <c r="D285" s="216" t="s">
        <v>3583</v>
      </c>
      <c r="E285" s="625" t="s">
        <v>331</v>
      </c>
      <c r="F285" s="626" t="s">
        <v>3863</v>
      </c>
      <c r="G285" s="669">
        <v>382.9</v>
      </c>
      <c r="H285" s="627"/>
      <c r="I285" s="667"/>
      <c r="J285" s="628"/>
      <c r="K285" s="628"/>
      <c r="L285" s="630" t="s">
        <v>722</v>
      </c>
      <c r="M285" s="242"/>
      <c r="N285" s="242"/>
      <c r="O285" s="242"/>
      <c r="P285" s="631">
        <f t="shared" si="48"/>
        <v>409.703</v>
      </c>
      <c r="Q285" s="13"/>
      <c r="R285" s="13"/>
      <c r="S285" s="242"/>
      <c r="T285" s="443"/>
      <c r="U285" s="443"/>
      <c r="V285" s="242"/>
      <c r="W285" s="242"/>
      <c r="X285" s="242"/>
      <c r="Y285" s="242"/>
      <c r="Z285" s="242"/>
    </row>
    <row r="286">
      <c r="A286" s="621"/>
      <c r="B286" s="622">
        <f t="shared" si="44"/>
        <v>68</v>
      </c>
      <c r="C286" s="665" t="s">
        <v>3722</v>
      </c>
      <c r="D286" s="216" t="s">
        <v>3598</v>
      </c>
      <c r="E286" s="625" t="s">
        <v>397</v>
      </c>
      <c r="F286" s="626" t="s">
        <v>3864</v>
      </c>
      <c r="G286" s="669">
        <v>159.7</v>
      </c>
      <c r="H286" s="627"/>
      <c r="I286" s="667"/>
      <c r="J286" s="628"/>
      <c r="K286" s="628"/>
      <c r="L286" s="13"/>
      <c r="M286" s="242"/>
      <c r="N286" s="242"/>
      <c r="O286" s="242"/>
      <c r="P286" s="631">
        <f t="shared" si="48"/>
        <v>170.879</v>
      </c>
      <c r="Q286" s="13"/>
      <c r="R286" s="13"/>
      <c r="S286" s="242"/>
      <c r="T286" s="443"/>
      <c r="U286" s="443"/>
      <c r="V286" s="242"/>
      <c r="W286" s="242"/>
      <c r="X286" s="242"/>
      <c r="Y286" s="242"/>
      <c r="Z286" s="242"/>
    </row>
    <row r="287">
      <c r="A287" s="621"/>
      <c r="B287" s="622">
        <f t="shared" si="44"/>
        <v>69</v>
      </c>
      <c r="C287" s="176"/>
      <c r="D287" s="216" t="s">
        <v>3618</v>
      </c>
      <c r="E287" s="625" t="s">
        <v>144</v>
      </c>
      <c r="F287" s="626" t="s">
        <v>3866</v>
      </c>
      <c r="G287" s="669">
        <v>176.4</v>
      </c>
      <c r="H287" s="627"/>
      <c r="I287" s="667"/>
      <c r="J287" s="628"/>
      <c r="K287" s="628"/>
      <c r="L287" s="13"/>
      <c r="M287" s="242"/>
      <c r="N287" s="242"/>
      <c r="O287" s="242"/>
      <c r="P287" s="631">
        <f t="shared" si="48"/>
        <v>188.748</v>
      </c>
      <c r="Q287" s="13"/>
      <c r="R287" s="13"/>
      <c r="S287" s="242"/>
      <c r="T287" s="443"/>
      <c r="U287" s="443"/>
      <c r="V287" s="242"/>
      <c r="W287" s="242"/>
      <c r="X287" s="242"/>
      <c r="Y287" s="242"/>
      <c r="Z287" s="242"/>
    </row>
    <row r="288">
      <c r="A288" s="621"/>
      <c r="B288" s="622">
        <f t="shared" si="44"/>
        <v>70</v>
      </c>
      <c r="C288" s="176"/>
      <c r="D288" s="216" t="s">
        <v>3625</v>
      </c>
      <c r="E288" s="625" t="s">
        <v>409</v>
      </c>
      <c r="F288" s="626" t="s">
        <v>3867</v>
      </c>
      <c r="G288" s="669">
        <v>206.0</v>
      </c>
      <c r="H288" s="627"/>
      <c r="I288" s="667"/>
      <c r="J288" s="628"/>
      <c r="K288" s="628"/>
      <c r="L288" s="13"/>
      <c r="M288" s="242"/>
      <c r="N288" s="242"/>
      <c r="O288" s="242"/>
      <c r="P288" s="631">
        <f t="shared" si="48"/>
        <v>220.42</v>
      </c>
      <c r="Q288" s="13"/>
      <c r="R288" s="13"/>
      <c r="S288" s="242"/>
      <c r="T288" s="443"/>
      <c r="U288" s="443"/>
      <c r="V288" s="242"/>
      <c r="W288" s="242"/>
      <c r="X288" s="242"/>
      <c r="Y288" s="242"/>
      <c r="Z288" s="242"/>
    </row>
    <row r="289">
      <c r="A289" s="621"/>
      <c r="B289" s="622">
        <f t="shared" si="44"/>
        <v>71</v>
      </c>
      <c r="C289" s="176"/>
      <c r="D289" s="216" t="s">
        <v>3729</v>
      </c>
      <c r="E289" s="625" t="s">
        <v>352</v>
      </c>
      <c r="F289" s="626" t="s">
        <v>3868</v>
      </c>
      <c r="G289" s="669">
        <v>217.3</v>
      </c>
      <c r="H289" s="627"/>
      <c r="I289" s="667"/>
      <c r="J289" s="628"/>
      <c r="K289" s="628"/>
      <c r="L289" s="630" t="s">
        <v>722</v>
      </c>
      <c r="M289" s="242"/>
      <c r="N289" s="242"/>
      <c r="O289" s="242"/>
      <c r="P289" s="631">
        <f t="shared" si="48"/>
        <v>232.511</v>
      </c>
      <c r="Q289" s="13"/>
      <c r="R289" s="13"/>
      <c r="S289" s="242"/>
      <c r="T289" s="443"/>
      <c r="U289" s="443"/>
      <c r="V289" s="242"/>
      <c r="W289" s="242"/>
      <c r="X289" s="242"/>
      <c r="Y289" s="242"/>
      <c r="Z289" s="242"/>
    </row>
    <row r="290">
      <c r="A290" s="621"/>
      <c r="B290" s="622">
        <f t="shared" si="44"/>
        <v>72</v>
      </c>
      <c r="C290" s="41"/>
      <c r="D290" s="216" t="s">
        <v>3628</v>
      </c>
      <c r="E290" s="625" t="s">
        <v>306</v>
      </c>
      <c r="F290" s="626" t="s">
        <v>3869</v>
      </c>
      <c r="G290" s="640">
        <v>0.0</v>
      </c>
      <c r="H290" s="667"/>
      <c r="I290" s="667"/>
      <c r="J290" s="628"/>
      <c r="K290" s="628"/>
      <c r="L290" s="13"/>
      <c r="M290" s="242"/>
      <c r="N290" s="242"/>
      <c r="O290" s="242"/>
      <c r="P290" s="631">
        <f t="shared" si="48"/>
        <v>0</v>
      </c>
      <c r="Q290" s="13"/>
      <c r="R290" s="13"/>
      <c r="S290" s="242"/>
      <c r="T290" s="443"/>
      <c r="U290" s="443"/>
      <c r="V290" s="242"/>
      <c r="W290" s="242"/>
      <c r="X290" s="242"/>
      <c r="Y290" s="242"/>
      <c r="Z290" s="242"/>
    </row>
    <row r="291">
      <c r="A291" s="621"/>
      <c r="B291" s="622">
        <f t="shared" si="44"/>
        <v>73</v>
      </c>
      <c r="C291" s="665" t="s">
        <v>3733</v>
      </c>
      <c r="D291" s="216" t="s">
        <v>3598</v>
      </c>
      <c r="E291" s="625" t="s">
        <v>397</v>
      </c>
      <c r="F291" s="626" t="s">
        <v>3870</v>
      </c>
      <c r="G291" s="669">
        <v>153.2</v>
      </c>
      <c r="H291" s="627"/>
      <c r="I291" s="667"/>
      <c r="J291" s="628"/>
      <c r="K291" s="628"/>
      <c r="L291" s="13"/>
      <c r="M291" s="242"/>
      <c r="N291" s="242"/>
      <c r="O291" s="242"/>
      <c r="P291" s="631">
        <f t="shared" ref="P291:P293" si="49">IFERROR((G291*15%)+G291,"")</f>
        <v>176.18</v>
      </c>
      <c r="Q291" s="13"/>
      <c r="R291" s="13"/>
      <c r="S291" s="242"/>
      <c r="T291" s="443"/>
      <c r="U291" s="443"/>
      <c r="V291" s="242"/>
      <c r="W291" s="242"/>
      <c r="X291" s="242"/>
      <c r="Y291" s="242"/>
      <c r="Z291" s="242"/>
    </row>
    <row r="292">
      <c r="A292" s="621"/>
      <c r="B292" s="622">
        <f t="shared" si="44"/>
        <v>74</v>
      </c>
      <c r="C292" s="176"/>
      <c r="D292" s="216" t="s">
        <v>3618</v>
      </c>
      <c r="E292" s="625" t="s">
        <v>144</v>
      </c>
      <c r="F292" s="626" t="s">
        <v>3872</v>
      </c>
      <c r="G292" s="669">
        <v>167.6</v>
      </c>
      <c r="H292" s="627"/>
      <c r="I292" s="667"/>
      <c r="J292" s="628"/>
      <c r="K292" s="628"/>
      <c r="L292" s="13"/>
      <c r="M292" s="242"/>
      <c r="N292" s="242"/>
      <c r="O292" s="242"/>
      <c r="P292" s="631">
        <f t="shared" si="49"/>
        <v>192.74</v>
      </c>
      <c r="Q292" s="13"/>
      <c r="R292" s="13"/>
      <c r="S292" s="242"/>
      <c r="T292" s="443"/>
      <c r="U292" s="443"/>
      <c r="V292" s="242"/>
      <c r="W292" s="242"/>
      <c r="X292" s="242"/>
      <c r="Y292" s="242"/>
      <c r="Z292" s="242"/>
    </row>
    <row r="293">
      <c r="A293" s="621"/>
      <c r="B293" s="622">
        <f t="shared" si="44"/>
        <v>75</v>
      </c>
      <c r="C293" s="176"/>
      <c r="D293" s="216" t="s">
        <v>3625</v>
      </c>
      <c r="E293" s="625" t="s">
        <v>409</v>
      </c>
      <c r="F293" s="626" t="s">
        <v>3874</v>
      </c>
      <c r="G293" s="669">
        <v>312.9</v>
      </c>
      <c r="H293" s="627"/>
      <c r="I293" s="667"/>
      <c r="J293" s="628"/>
      <c r="K293" s="628"/>
      <c r="L293" s="13"/>
      <c r="M293" s="242"/>
      <c r="N293" s="242"/>
      <c r="O293" s="242"/>
      <c r="P293" s="631">
        <f t="shared" si="49"/>
        <v>359.835</v>
      </c>
      <c r="Q293" s="13"/>
      <c r="R293" s="13"/>
      <c r="S293" s="242"/>
      <c r="T293" s="443"/>
      <c r="U293" s="443"/>
      <c r="V293" s="242"/>
      <c r="W293" s="242"/>
      <c r="X293" s="242"/>
      <c r="Y293" s="242"/>
      <c r="Z293" s="242"/>
    </row>
    <row r="294">
      <c r="A294" s="621"/>
      <c r="B294" s="622">
        <f t="shared" si="44"/>
        <v>76</v>
      </c>
      <c r="C294" s="176"/>
      <c r="D294" s="216" t="s">
        <v>3729</v>
      </c>
      <c r="E294" s="625" t="s">
        <v>352</v>
      </c>
      <c r="F294" s="626" t="s">
        <v>3875</v>
      </c>
      <c r="G294" s="669">
        <v>189.9</v>
      </c>
      <c r="H294" s="627"/>
      <c r="I294" s="667"/>
      <c r="J294" s="670"/>
      <c r="K294" s="670"/>
      <c r="L294" s="630" t="s">
        <v>722</v>
      </c>
      <c r="M294" s="242"/>
      <c r="N294" s="242"/>
      <c r="O294" s="242"/>
      <c r="P294" s="242"/>
      <c r="Q294" s="13"/>
      <c r="R294" s="13"/>
      <c r="S294" s="242"/>
      <c r="T294" s="443"/>
      <c r="U294" s="443"/>
      <c r="V294" s="242"/>
      <c r="W294" s="242"/>
      <c r="X294" s="242"/>
      <c r="Y294" s="242"/>
      <c r="Z294" s="242"/>
    </row>
    <row r="295">
      <c r="A295" s="621"/>
      <c r="B295" s="622">
        <f t="shared" si="44"/>
        <v>77</v>
      </c>
      <c r="C295" s="41"/>
      <c r="D295" s="216" t="s">
        <v>3628</v>
      </c>
      <c r="E295" s="625" t="s">
        <v>306</v>
      </c>
      <c r="F295" s="626" t="s">
        <v>3876</v>
      </c>
      <c r="G295" s="640">
        <v>0.0</v>
      </c>
      <c r="H295" s="667"/>
      <c r="I295" s="667"/>
      <c r="J295" s="670"/>
      <c r="K295" s="670"/>
      <c r="L295" s="13"/>
      <c r="M295" s="242"/>
      <c r="N295" s="242"/>
      <c r="O295" s="242"/>
      <c r="P295" s="242"/>
      <c r="Q295" s="13"/>
      <c r="R295" s="13"/>
      <c r="S295" s="242"/>
      <c r="T295" s="443"/>
      <c r="U295" s="443"/>
      <c r="V295" s="242"/>
      <c r="W295" s="242"/>
      <c r="X295" s="242"/>
      <c r="Y295" s="242"/>
      <c r="Z295" s="242"/>
    </row>
    <row r="296">
      <c r="A296" s="621"/>
      <c r="B296" s="622">
        <f t="shared" si="44"/>
        <v>78</v>
      </c>
      <c r="C296" s="664" t="s">
        <v>247</v>
      </c>
      <c r="D296" s="624" t="s">
        <v>341</v>
      </c>
      <c r="E296" s="624" t="s">
        <v>43</v>
      </c>
      <c r="F296" s="626" t="s">
        <v>3877</v>
      </c>
      <c r="G296" s="669">
        <v>103.9</v>
      </c>
      <c r="H296" s="627"/>
      <c r="I296" s="667"/>
      <c r="J296" s="670"/>
      <c r="K296" s="670"/>
      <c r="L296" s="13"/>
      <c r="M296" s="242"/>
      <c r="N296" s="242"/>
      <c r="O296" s="242"/>
      <c r="P296" s="242"/>
      <c r="Q296" s="13"/>
      <c r="R296" s="13"/>
      <c r="S296" s="242"/>
      <c r="T296" s="443"/>
      <c r="U296" s="443"/>
      <c r="V296" s="242"/>
      <c r="W296" s="242"/>
      <c r="X296" s="242"/>
      <c r="Y296" s="242"/>
      <c r="Z296" s="242"/>
    </row>
    <row r="297">
      <c r="A297" s="621"/>
      <c r="B297" s="622">
        <f t="shared" si="44"/>
        <v>79</v>
      </c>
      <c r="C297" s="176"/>
      <c r="D297" s="624" t="s">
        <v>346</v>
      </c>
      <c r="E297" s="624" t="s">
        <v>51</v>
      </c>
      <c r="F297" s="626" t="s">
        <v>3879</v>
      </c>
      <c r="G297" s="669">
        <v>141.1</v>
      </c>
      <c r="H297" s="627"/>
      <c r="I297" s="667"/>
      <c r="J297" s="670"/>
      <c r="K297" s="670"/>
      <c r="L297" s="13"/>
      <c r="M297" s="242"/>
      <c r="N297" s="242"/>
      <c r="O297" s="242"/>
      <c r="P297" s="242"/>
      <c r="Q297" s="13"/>
      <c r="R297" s="13"/>
      <c r="S297" s="242"/>
      <c r="T297" s="443"/>
      <c r="U297" s="443"/>
      <c r="V297" s="242"/>
      <c r="W297" s="242"/>
      <c r="X297" s="242"/>
      <c r="Y297" s="242"/>
      <c r="Z297" s="242"/>
    </row>
    <row r="298">
      <c r="A298" s="621"/>
      <c r="B298" s="622">
        <f t="shared" si="44"/>
        <v>80</v>
      </c>
      <c r="C298" s="176"/>
      <c r="D298" s="624" t="s">
        <v>356</v>
      </c>
      <c r="E298" s="624" t="s">
        <v>84</v>
      </c>
      <c r="F298" s="626" t="s">
        <v>3880</v>
      </c>
      <c r="G298" s="669">
        <v>275.7</v>
      </c>
      <c r="H298" s="627"/>
      <c r="I298" s="667"/>
      <c r="J298" s="670"/>
      <c r="K298" s="670"/>
      <c r="L298" s="13"/>
      <c r="M298" s="242"/>
      <c r="N298" s="242"/>
      <c r="O298" s="242"/>
      <c r="P298" s="242"/>
      <c r="Q298" s="13"/>
      <c r="R298" s="13"/>
      <c r="S298" s="242"/>
      <c r="T298" s="443"/>
      <c r="U298" s="443"/>
      <c r="V298" s="242"/>
      <c r="W298" s="242"/>
      <c r="X298" s="242"/>
      <c r="Y298" s="242"/>
      <c r="Z298" s="242"/>
    </row>
    <row r="299">
      <c r="A299" s="621"/>
      <c r="B299" s="622">
        <f t="shared" si="44"/>
        <v>81</v>
      </c>
      <c r="C299" s="176"/>
      <c r="D299" s="625" t="s">
        <v>3549</v>
      </c>
      <c r="E299" s="624" t="s">
        <v>55</v>
      </c>
      <c r="F299" s="626" t="s">
        <v>3881</v>
      </c>
      <c r="G299" s="669">
        <v>711.2</v>
      </c>
      <c r="H299" s="627"/>
      <c r="I299" s="667"/>
      <c r="J299" s="670"/>
      <c r="K299" s="670"/>
      <c r="L299" s="13"/>
      <c r="M299" s="242"/>
      <c r="N299" s="242"/>
      <c r="O299" s="242"/>
      <c r="P299" s="242"/>
      <c r="Q299" s="13"/>
      <c r="R299" s="13"/>
      <c r="S299" s="242"/>
      <c r="T299" s="443"/>
      <c r="U299" s="443"/>
      <c r="V299" s="242"/>
      <c r="W299" s="242"/>
      <c r="X299" s="242"/>
      <c r="Y299" s="242"/>
      <c r="Z299" s="242"/>
    </row>
    <row r="300">
      <c r="A300" s="621"/>
      <c r="B300" s="622">
        <f t="shared" si="44"/>
        <v>82</v>
      </c>
      <c r="C300" s="176"/>
      <c r="D300" s="625" t="s">
        <v>3552</v>
      </c>
      <c r="E300" s="624" t="s">
        <v>56</v>
      </c>
      <c r="F300" s="626" t="s">
        <v>3882</v>
      </c>
      <c r="G300" s="669">
        <v>1003.4</v>
      </c>
      <c r="H300" s="627"/>
      <c r="I300" s="667"/>
      <c r="J300" s="670"/>
      <c r="K300" s="670"/>
      <c r="L300" s="13"/>
      <c r="M300" s="242"/>
      <c r="N300" s="242"/>
      <c r="O300" s="242"/>
      <c r="P300" s="242"/>
      <c r="Q300" s="13"/>
      <c r="R300" s="13"/>
      <c r="S300" s="242"/>
      <c r="T300" s="443"/>
      <c r="U300" s="443"/>
      <c r="V300" s="242"/>
      <c r="W300" s="242"/>
      <c r="X300" s="242"/>
      <c r="Y300" s="242"/>
      <c r="Z300" s="242"/>
    </row>
    <row r="301">
      <c r="A301" s="621"/>
      <c r="B301" s="622">
        <f t="shared" si="44"/>
        <v>83</v>
      </c>
      <c r="C301" s="41"/>
      <c r="D301" s="625" t="s">
        <v>3554</v>
      </c>
      <c r="E301" s="625" t="s">
        <v>107</v>
      </c>
      <c r="F301" s="626" t="s">
        <v>3883</v>
      </c>
      <c r="G301" s="669">
        <v>1252.2</v>
      </c>
      <c r="H301" s="627"/>
      <c r="I301" s="667"/>
      <c r="J301" s="670"/>
      <c r="K301" s="670"/>
      <c r="L301" s="630" t="s">
        <v>722</v>
      </c>
      <c r="M301" s="242"/>
      <c r="N301" s="242"/>
      <c r="O301" s="242"/>
      <c r="P301" s="242"/>
      <c r="Q301" s="13"/>
      <c r="R301" s="13"/>
      <c r="S301" s="242"/>
      <c r="T301" s="443"/>
      <c r="U301" s="443"/>
      <c r="V301" s="242"/>
      <c r="W301" s="242"/>
      <c r="X301" s="242"/>
      <c r="Y301" s="242"/>
      <c r="Z301" s="242"/>
    </row>
    <row r="302">
      <c r="A302" s="621"/>
      <c r="B302" s="622">
        <f t="shared" si="44"/>
        <v>84</v>
      </c>
      <c r="C302" s="664" t="s">
        <v>854</v>
      </c>
      <c r="D302" s="624" t="s">
        <v>341</v>
      </c>
      <c r="E302" s="624" t="s">
        <v>43</v>
      </c>
      <c r="F302" s="626" t="s">
        <v>3884</v>
      </c>
      <c r="G302" s="669">
        <v>107.29599999999999</v>
      </c>
      <c r="H302" s="627"/>
      <c r="I302" s="667"/>
      <c r="J302" s="670"/>
      <c r="K302" s="670"/>
      <c r="L302" s="13"/>
      <c r="M302" s="242"/>
      <c r="N302" s="242"/>
      <c r="O302" s="242"/>
      <c r="P302" s="242"/>
      <c r="Q302" s="13"/>
      <c r="R302" s="13"/>
      <c r="S302" s="242"/>
      <c r="T302" s="443"/>
      <c r="U302" s="443"/>
      <c r="V302" s="242"/>
      <c r="W302" s="242"/>
      <c r="X302" s="242"/>
      <c r="Y302" s="242"/>
      <c r="Z302" s="242"/>
    </row>
    <row r="303">
      <c r="A303" s="621"/>
      <c r="B303" s="622">
        <f t="shared" si="44"/>
        <v>85</v>
      </c>
      <c r="C303" s="176"/>
      <c r="D303" s="624" t="s">
        <v>346</v>
      </c>
      <c r="E303" s="624" t="s">
        <v>51</v>
      </c>
      <c r="F303" s="626" t="s">
        <v>3886</v>
      </c>
      <c r="G303" s="669">
        <v>113.8</v>
      </c>
      <c r="H303" s="627"/>
      <c r="I303" s="667"/>
      <c r="J303" s="670"/>
      <c r="K303" s="670"/>
      <c r="L303" s="13"/>
      <c r="M303" s="242"/>
      <c r="N303" s="242"/>
      <c r="O303" s="242"/>
      <c r="P303" s="242"/>
      <c r="Q303" s="13"/>
      <c r="R303" s="13"/>
      <c r="S303" s="242"/>
      <c r="T303" s="443"/>
      <c r="U303" s="443"/>
      <c r="V303" s="242"/>
      <c r="W303" s="242"/>
      <c r="X303" s="242"/>
      <c r="Y303" s="242"/>
      <c r="Z303" s="242"/>
    </row>
    <row r="304">
      <c r="A304" s="621"/>
      <c r="B304" s="622">
        <f t="shared" si="44"/>
        <v>86</v>
      </c>
      <c r="C304" s="176"/>
      <c r="D304" s="624" t="s">
        <v>356</v>
      </c>
      <c r="E304" s="624" t="s">
        <v>84</v>
      </c>
      <c r="F304" s="626" t="s">
        <v>3887</v>
      </c>
      <c r="G304" s="669">
        <v>146.6</v>
      </c>
      <c r="H304" s="627"/>
      <c r="I304" s="667"/>
      <c r="J304" s="670"/>
      <c r="K304" s="670"/>
      <c r="L304" s="13"/>
      <c r="M304" s="242"/>
      <c r="N304" s="242"/>
      <c r="O304" s="242"/>
      <c r="P304" s="242"/>
      <c r="Q304" s="13"/>
      <c r="R304" s="13"/>
      <c r="S304" s="242"/>
      <c r="T304" s="443"/>
      <c r="U304" s="443"/>
      <c r="V304" s="242"/>
      <c r="W304" s="242"/>
      <c r="X304" s="242"/>
      <c r="Y304" s="242"/>
      <c r="Z304" s="242"/>
    </row>
    <row r="305">
      <c r="A305" s="621"/>
      <c r="B305" s="622">
        <f t="shared" si="44"/>
        <v>87</v>
      </c>
      <c r="C305" s="176"/>
      <c r="D305" s="625" t="s">
        <v>3549</v>
      </c>
      <c r="E305" s="624" t="s">
        <v>55</v>
      </c>
      <c r="F305" s="626" t="s">
        <v>3888</v>
      </c>
      <c r="G305" s="669">
        <v>244.0</v>
      </c>
      <c r="H305" s="627"/>
      <c r="I305" s="667"/>
      <c r="J305" s="670"/>
      <c r="K305" s="670"/>
      <c r="L305" s="13"/>
      <c r="M305" s="242"/>
      <c r="N305" s="242"/>
      <c r="O305" s="242"/>
      <c r="P305" s="242"/>
      <c r="Q305" s="13"/>
      <c r="R305" s="13"/>
      <c r="S305" s="242"/>
      <c r="T305" s="443"/>
      <c r="U305" s="443"/>
      <c r="V305" s="242"/>
      <c r="W305" s="242"/>
      <c r="X305" s="242"/>
      <c r="Y305" s="242"/>
      <c r="Z305" s="242"/>
    </row>
    <row r="306">
      <c r="A306" s="621"/>
      <c r="B306" s="622">
        <f t="shared" si="44"/>
        <v>88</v>
      </c>
      <c r="C306" s="176"/>
      <c r="D306" s="625" t="s">
        <v>3552</v>
      </c>
      <c r="E306" s="624" t="s">
        <v>56</v>
      </c>
      <c r="F306" s="626" t="s">
        <v>3889</v>
      </c>
      <c r="G306" s="669">
        <v>328.0</v>
      </c>
      <c r="H306" s="627"/>
      <c r="I306" s="667"/>
      <c r="J306" s="670"/>
      <c r="K306" s="670"/>
      <c r="L306" s="13"/>
      <c r="M306" s="242"/>
      <c r="N306" s="242"/>
      <c r="O306" s="242"/>
      <c r="P306" s="242"/>
      <c r="Q306" s="13"/>
      <c r="R306" s="13"/>
      <c r="S306" s="242"/>
      <c r="T306" s="443"/>
      <c r="U306" s="443"/>
      <c r="V306" s="242"/>
      <c r="W306" s="242"/>
      <c r="X306" s="242"/>
      <c r="Y306" s="242"/>
      <c r="Z306" s="242"/>
    </row>
    <row r="307">
      <c r="A307" s="621"/>
      <c r="B307" s="622">
        <f t="shared" si="44"/>
        <v>89</v>
      </c>
      <c r="C307" s="41"/>
      <c r="D307" s="625" t="s">
        <v>3554</v>
      </c>
      <c r="E307" s="625" t="s">
        <v>107</v>
      </c>
      <c r="F307" s="626" t="s">
        <v>3890</v>
      </c>
      <c r="G307" s="669">
        <v>555.5</v>
      </c>
      <c r="H307" s="627"/>
      <c r="I307" s="667"/>
      <c r="J307" s="670"/>
      <c r="K307" s="670"/>
      <c r="L307" s="630" t="s">
        <v>722</v>
      </c>
      <c r="M307" s="242"/>
      <c r="N307" s="242"/>
      <c r="O307" s="242"/>
      <c r="P307" s="242"/>
      <c r="Q307" s="13"/>
      <c r="R307" s="13"/>
      <c r="S307" s="242"/>
      <c r="T307" s="443"/>
      <c r="U307" s="443"/>
      <c r="V307" s="242"/>
      <c r="W307" s="242"/>
      <c r="X307" s="242"/>
      <c r="Y307" s="242"/>
      <c r="Z307" s="242"/>
    </row>
    <row r="308">
      <c r="A308" s="621"/>
      <c r="B308" s="622">
        <f t="shared" si="44"/>
        <v>90</v>
      </c>
      <c r="C308" s="664" t="s">
        <v>361</v>
      </c>
      <c r="D308" s="624">
        <v>20.0</v>
      </c>
      <c r="E308" s="624" t="s">
        <v>43</v>
      </c>
      <c r="F308" s="629" t="s">
        <v>3891</v>
      </c>
      <c r="G308" s="669">
        <v>14.2</v>
      </c>
      <c r="H308" s="627"/>
      <c r="I308" s="667"/>
      <c r="J308" s="670"/>
      <c r="K308" s="670"/>
      <c r="L308" s="13"/>
      <c r="M308" s="242"/>
      <c r="N308" s="242"/>
      <c r="O308" s="242"/>
      <c r="P308" s="242"/>
      <c r="Q308" s="13"/>
      <c r="R308" s="13"/>
      <c r="S308" s="242"/>
      <c r="T308" s="443"/>
      <c r="U308" s="443"/>
      <c r="V308" s="242"/>
      <c r="W308" s="242"/>
      <c r="X308" s="242"/>
      <c r="Y308" s="242"/>
      <c r="Z308" s="242"/>
    </row>
    <row r="309">
      <c r="A309" s="621"/>
      <c r="B309" s="622">
        <f t="shared" si="44"/>
        <v>91</v>
      </c>
      <c r="C309" s="176"/>
      <c r="D309" s="624">
        <v>25.0</v>
      </c>
      <c r="E309" s="624" t="s">
        <v>51</v>
      </c>
      <c r="F309" s="629" t="s">
        <v>3893</v>
      </c>
      <c r="G309" s="669">
        <v>20.8</v>
      </c>
      <c r="H309" s="627"/>
      <c r="I309" s="667"/>
      <c r="J309" s="670"/>
      <c r="K309" s="670"/>
      <c r="L309" s="13"/>
      <c r="M309" s="242"/>
      <c r="N309" s="242"/>
      <c r="O309" s="242"/>
      <c r="P309" s="242"/>
      <c r="Q309" s="13"/>
      <c r="R309" s="13"/>
      <c r="S309" s="242"/>
      <c r="T309" s="443"/>
      <c r="U309" s="443"/>
      <c r="V309" s="242"/>
      <c r="W309" s="242"/>
      <c r="X309" s="242"/>
      <c r="Y309" s="242"/>
      <c r="Z309" s="242"/>
    </row>
    <row r="310">
      <c r="A310" s="621"/>
      <c r="B310" s="622">
        <f t="shared" si="44"/>
        <v>92</v>
      </c>
      <c r="C310" s="176"/>
      <c r="D310" s="625" t="s">
        <v>356</v>
      </c>
      <c r="E310" s="624" t="s">
        <v>84</v>
      </c>
      <c r="F310" s="629" t="s">
        <v>3894</v>
      </c>
      <c r="G310" s="669">
        <v>25.2</v>
      </c>
      <c r="H310" s="627"/>
      <c r="I310" s="667"/>
      <c r="J310" s="670"/>
      <c r="K310" s="670"/>
      <c r="L310" s="13"/>
      <c r="M310" s="242"/>
      <c r="N310" s="242"/>
      <c r="O310" s="242"/>
      <c r="P310" s="242"/>
      <c r="Q310" s="13"/>
      <c r="R310" s="13"/>
      <c r="S310" s="242"/>
      <c r="T310" s="443"/>
      <c r="U310" s="443"/>
      <c r="V310" s="242"/>
      <c r="W310" s="242"/>
      <c r="X310" s="242"/>
      <c r="Y310" s="242"/>
      <c r="Z310" s="242"/>
    </row>
    <row r="311">
      <c r="A311" s="621"/>
      <c r="B311" s="622">
        <f t="shared" si="44"/>
        <v>93</v>
      </c>
      <c r="C311" s="176"/>
      <c r="D311" s="625" t="s">
        <v>3549</v>
      </c>
      <c r="E311" s="624" t="s">
        <v>55</v>
      </c>
      <c r="F311" s="629" t="s">
        <v>3895</v>
      </c>
      <c r="G311" s="669">
        <v>35.1</v>
      </c>
      <c r="H311" s="627"/>
      <c r="I311" s="667"/>
      <c r="J311" s="670"/>
      <c r="K311" s="670"/>
      <c r="L311" s="13"/>
      <c r="M311" s="242"/>
      <c r="N311" s="242"/>
      <c r="O311" s="242"/>
      <c r="P311" s="242"/>
      <c r="Q311" s="13"/>
      <c r="R311" s="13"/>
      <c r="S311" s="242"/>
      <c r="T311" s="443"/>
      <c r="U311" s="443"/>
      <c r="V311" s="242"/>
      <c r="W311" s="242"/>
      <c r="X311" s="242"/>
      <c r="Y311" s="242"/>
      <c r="Z311" s="242"/>
    </row>
    <row r="312">
      <c r="A312" s="621"/>
      <c r="B312" s="622">
        <f t="shared" si="44"/>
        <v>94</v>
      </c>
      <c r="C312" s="176"/>
      <c r="D312" s="625" t="s">
        <v>3552</v>
      </c>
      <c r="E312" s="624" t="s">
        <v>56</v>
      </c>
      <c r="F312" s="629" t="s">
        <v>3896</v>
      </c>
      <c r="G312" s="669">
        <v>66.7</v>
      </c>
      <c r="H312" s="627"/>
      <c r="I312" s="667"/>
      <c r="J312" s="514"/>
      <c r="K312" s="514"/>
      <c r="L312" s="13"/>
      <c r="M312" s="242"/>
      <c r="N312" s="242"/>
      <c r="O312" s="242"/>
      <c r="P312" s="242"/>
      <c r="Q312" s="13"/>
      <c r="R312" s="13"/>
      <c r="S312" s="242"/>
      <c r="T312" s="443"/>
      <c r="U312" s="443"/>
      <c r="V312" s="242"/>
      <c r="W312" s="242"/>
      <c r="X312" s="242"/>
      <c r="Y312" s="242"/>
      <c r="Z312" s="242"/>
    </row>
    <row r="313">
      <c r="A313" s="621"/>
      <c r="B313" s="622">
        <f t="shared" si="44"/>
        <v>95</v>
      </c>
      <c r="C313" s="41"/>
      <c r="D313" s="625" t="s">
        <v>3554</v>
      </c>
      <c r="E313" s="625" t="s">
        <v>107</v>
      </c>
      <c r="F313" s="629" t="s">
        <v>3897</v>
      </c>
      <c r="G313" s="669">
        <v>109.8</v>
      </c>
      <c r="H313" s="627"/>
      <c r="I313" s="667"/>
      <c r="J313" s="514"/>
      <c r="K313" s="514"/>
      <c r="L313" s="630" t="s">
        <v>722</v>
      </c>
      <c r="M313" s="242"/>
      <c r="N313" s="242"/>
      <c r="O313" s="242"/>
      <c r="P313" s="242"/>
      <c r="Q313" s="13"/>
      <c r="R313" s="13"/>
      <c r="S313" s="242"/>
      <c r="T313" s="443"/>
      <c r="U313" s="443"/>
      <c r="V313" s="242"/>
      <c r="W313" s="242"/>
      <c r="X313" s="242"/>
      <c r="Y313" s="242"/>
      <c r="Z313" s="242"/>
    </row>
    <row r="314">
      <c r="A314" s="621"/>
      <c r="B314" s="622">
        <f t="shared" si="44"/>
        <v>96</v>
      </c>
      <c r="C314" s="665" t="s">
        <v>982</v>
      </c>
      <c r="D314" s="624">
        <v>15.0</v>
      </c>
      <c r="E314" s="624" t="s">
        <v>43</v>
      </c>
      <c r="F314" s="629" t="s">
        <v>3898</v>
      </c>
      <c r="G314" s="669">
        <v>9.2</v>
      </c>
      <c r="H314" s="627"/>
      <c r="I314" s="667"/>
      <c r="J314" s="514"/>
      <c r="K314" s="514"/>
      <c r="L314" s="13"/>
      <c r="M314" s="242"/>
      <c r="N314" s="242"/>
      <c r="O314" s="242"/>
      <c r="P314" s="242"/>
      <c r="Q314" s="13"/>
      <c r="R314" s="13"/>
      <c r="S314" s="242"/>
      <c r="T314" s="443"/>
      <c r="U314" s="443"/>
      <c r="V314" s="242"/>
      <c r="W314" s="242"/>
      <c r="X314" s="242"/>
      <c r="Y314" s="242"/>
      <c r="Z314" s="242"/>
    </row>
    <row r="315">
      <c r="A315" s="621"/>
      <c r="B315" s="622">
        <f t="shared" si="44"/>
        <v>97</v>
      </c>
      <c r="C315" s="41"/>
      <c r="D315" s="622">
        <v>20.0</v>
      </c>
      <c r="E315" s="624" t="s">
        <v>51</v>
      </c>
      <c r="F315" s="629" t="s">
        <v>3900</v>
      </c>
      <c r="G315" s="669">
        <v>10.9</v>
      </c>
      <c r="H315" s="627"/>
      <c r="I315" s="667"/>
      <c r="J315" s="514"/>
      <c r="K315" s="514"/>
      <c r="L315" s="13"/>
      <c r="M315" s="242"/>
      <c r="N315" s="242"/>
      <c r="O315" s="242"/>
      <c r="P315" s="242"/>
      <c r="Q315" s="13"/>
      <c r="R315" s="13"/>
      <c r="S315" s="242"/>
      <c r="T315" s="443"/>
      <c r="U315" s="443"/>
      <c r="V315" s="242"/>
      <c r="W315" s="242"/>
      <c r="X315" s="242"/>
      <c r="Y315" s="242"/>
      <c r="Z315" s="242"/>
    </row>
    <row r="316">
      <c r="A316" s="621"/>
      <c r="B316" s="622">
        <f t="shared" si="44"/>
        <v>98</v>
      </c>
      <c r="C316" s="664" t="s">
        <v>3766</v>
      </c>
      <c r="D316" s="216">
        <v>25.0</v>
      </c>
      <c r="E316" s="624" t="s">
        <v>51</v>
      </c>
      <c r="F316" s="629" t="s">
        <v>3901</v>
      </c>
      <c r="G316" s="669">
        <v>221.1</v>
      </c>
      <c r="H316" s="627"/>
      <c r="I316" s="667"/>
      <c r="J316" s="514"/>
      <c r="K316" s="514"/>
      <c r="L316" s="13"/>
      <c r="M316" s="242"/>
      <c r="N316" s="242"/>
      <c r="O316" s="242"/>
      <c r="P316" s="242"/>
      <c r="Q316" s="13"/>
      <c r="R316" s="13"/>
      <c r="S316" s="242"/>
      <c r="T316" s="443"/>
      <c r="U316" s="443"/>
      <c r="V316" s="242"/>
      <c r="W316" s="242"/>
      <c r="X316" s="242"/>
      <c r="Y316" s="242"/>
      <c r="Z316" s="242"/>
    </row>
    <row r="317">
      <c r="A317" s="621"/>
      <c r="B317" s="622">
        <f t="shared" si="44"/>
        <v>99</v>
      </c>
      <c r="C317" s="176"/>
      <c r="D317" s="216">
        <v>32.0</v>
      </c>
      <c r="E317" s="624" t="s">
        <v>84</v>
      </c>
      <c r="F317" s="629" t="s">
        <v>3903</v>
      </c>
      <c r="G317" s="669">
        <v>348.9</v>
      </c>
      <c r="H317" s="627"/>
      <c r="I317" s="667"/>
      <c r="J317" s="514"/>
      <c r="K317" s="514"/>
      <c r="L317" s="13"/>
      <c r="M317" s="242"/>
      <c r="N317" s="242"/>
      <c r="O317" s="242"/>
      <c r="P317" s="242"/>
      <c r="Q317" s="13"/>
      <c r="R317" s="13"/>
      <c r="S317" s="242"/>
      <c r="T317" s="443"/>
      <c r="U317" s="443"/>
      <c r="V317" s="242"/>
      <c r="W317" s="242"/>
      <c r="X317" s="242"/>
      <c r="Y317" s="242"/>
      <c r="Z317" s="242"/>
    </row>
    <row r="318">
      <c r="A318" s="621"/>
      <c r="B318" s="622">
        <f t="shared" si="44"/>
        <v>100</v>
      </c>
      <c r="C318" s="176"/>
      <c r="D318" s="216">
        <v>40.0</v>
      </c>
      <c r="E318" s="624" t="s">
        <v>55</v>
      </c>
      <c r="F318" s="629" t="s">
        <v>3904</v>
      </c>
      <c r="G318" s="669">
        <v>456.4</v>
      </c>
      <c r="H318" s="627"/>
      <c r="I318" s="667"/>
      <c r="J318" s="514"/>
      <c r="K318" s="514"/>
      <c r="L318" s="13"/>
      <c r="M318" s="242"/>
      <c r="N318" s="242"/>
      <c r="O318" s="242"/>
      <c r="P318" s="242"/>
      <c r="Q318" s="13"/>
      <c r="R318" s="13"/>
      <c r="S318" s="242"/>
      <c r="T318" s="443"/>
      <c r="U318" s="443"/>
      <c r="V318" s="242"/>
      <c r="W318" s="242"/>
      <c r="X318" s="242"/>
      <c r="Y318" s="242"/>
      <c r="Z318" s="242"/>
    </row>
    <row r="319">
      <c r="A319" s="621"/>
      <c r="B319" s="622">
        <f t="shared" si="44"/>
        <v>101</v>
      </c>
      <c r="C319" s="41"/>
      <c r="D319" s="216">
        <v>50.0</v>
      </c>
      <c r="E319" s="624" t="s">
        <v>56</v>
      </c>
      <c r="F319" s="629" t="s">
        <v>3905</v>
      </c>
      <c r="G319" s="669">
        <v>681.9</v>
      </c>
      <c r="H319" s="627"/>
      <c r="I319" s="667"/>
      <c r="J319" s="514"/>
      <c r="K319" s="514"/>
      <c r="L319" s="13"/>
      <c r="M319" s="242"/>
      <c r="N319" s="242"/>
      <c r="O319" s="242"/>
      <c r="P319" s="242"/>
      <c r="Q319" s="13"/>
      <c r="R319" s="13"/>
      <c r="S319" s="242"/>
      <c r="T319" s="443"/>
      <c r="U319" s="443"/>
      <c r="V319" s="242"/>
      <c r="W319" s="242"/>
      <c r="X319" s="242"/>
      <c r="Y319" s="242"/>
      <c r="Z319" s="242"/>
    </row>
    <row r="320">
      <c r="A320" s="621"/>
      <c r="B320" s="622">
        <f t="shared" si="44"/>
        <v>102</v>
      </c>
      <c r="C320" s="623" t="s">
        <v>3772</v>
      </c>
      <c r="D320" s="216">
        <v>32.0</v>
      </c>
      <c r="E320" s="624" t="s">
        <v>84</v>
      </c>
      <c r="F320" s="629" t="s">
        <v>3906</v>
      </c>
      <c r="G320" s="669">
        <v>1446.6</v>
      </c>
      <c r="H320" s="627"/>
      <c r="I320" s="667"/>
      <c r="J320" s="514"/>
      <c r="K320" s="514"/>
      <c r="L320" s="13"/>
      <c r="M320" s="242"/>
      <c r="N320" s="242"/>
      <c r="O320" s="242"/>
      <c r="P320" s="242"/>
      <c r="Q320" s="13"/>
      <c r="R320" s="13"/>
      <c r="S320" s="242"/>
      <c r="T320" s="443"/>
      <c r="U320" s="443"/>
      <c r="V320" s="242"/>
      <c r="W320" s="242"/>
      <c r="X320" s="242"/>
      <c r="Y320" s="242"/>
      <c r="Z320" s="242"/>
    </row>
    <row r="321">
      <c r="A321" s="621"/>
      <c r="B321" s="622">
        <f t="shared" si="44"/>
        <v>103</v>
      </c>
      <c r="C321" s="176"/>
      <c r="D321" s="216">
        <v>40.0</v>
      </c>
      <c r="E321" s="624" t="s">
        <v>55</v>
      </c>
      <c r="F321" s="629" t="s">
        <v>3908</v>
      </c>
      <c r="G321" s="669">
        <v>2446.8</v>
      </c>
      <c r="H321" s="627"/>
      <c r="I321" s="667"/>
      <c r="J321" s="514"/>
      <c r="K321" s="514"/>
      <c r="L321" s="13"/>
      <c r="M321" s="242"/>
      <c r="N321" s="242"/>
      <c r="O321" s="242"/>
      <c r="P321" s="242"/>
      <c r="Q321" s="13"/>
      <c r="R321" s="13"/>
      <c r="S321" s="242"/>
      <c r="T321" s="443"/>
      <c r="U321" s="443"/>
      <c r="V321" s="242"/>
      <c r="W321" s="242"/>
      <c r="X321" s="242"/>
      <c r="Y321" s="242"/>
      <c r="Z321" s="242"/>
    </row>
    <row r="322">
      <c r="A322" s="621"/>
      <c r="B322" s="622">
        <f t="shared" si="44"/>
        <v>104</v>
      </c>
      <c r="C322" s="41"/>
      <c r="D322" s="216">
        <v>50.0</v>
      </c>
      <c r="E322" s="624" t="s">
        <v>56</v>
      </c>
      <c r="F322" s="629" t="s">
        <v>3909</v>
      </c>
      <c r="G322" s="669">
        <v>3897.6</v>
      </c>
      <c r="H322" s="627"/>
      <c r="I322" s="667"/>
      <c r="J322" s="514"/>
      <c r="K322" s="514"/>
      <c r="L322" s="13"/>
      <c r="M322" s="242"/>
      <c r="N322" s="242"/>
      <c r="O322" s="242"/>
      <c r="P322" s="242"/>
      <c r="Q322" s="13"/>
      <c r="R322" s="13"/>
      <c r="S322" s="242"/>
      <c r="T322" s="443"/>
      <c r="U322" s="443"/>
      <c r="V322" s="242"/>
      <c r="W322" s="242"/>
      <c r="X322" s="242"/>
      <c r="Y322" s="242"/>
      <c r="Z322" s="242"/>
    </row>
    <row r="323">
      <c r="A323" s="242"/>
      <c r="B323" s="243"/>
      <c r="C323" s="243"/>
      <c r="D323" s="243"/>
      <c r="E323" s="15"/>
      <c r="F323" s="243"/>
      <c r="G323" s="243"/>
      <c r="H323" s="13"/>
      <c r="I323" s="13"/>
      <c r="J323" s="242"/>
      <c r="K323" s="242"/>
      <c r="L323" s="13"/>
      <c r="M323" s="242"/>
      <c r="N323" s="242"/>
      <c r="O323" s="242"/>
      <c r="P323" s="242"/>
      <c r="Q323" s="13"/>
      <c r="R323" s="13"/>
      <c r="S323" s="242"/>
      <c r="T323" s="443"/>
      <c r="U323" s="443"/>
      <c r="V323" s="242"/>
      <c r="W323" s="242"/>
      <c r="X323" s="242"/>
      <c r="Y323" s="242"/>
      <c r="Z323" s="242"/>
    </row>
    <row r="324">
      <c r="A324" s="242"/>
      <c r="B324" s="243"/>
      <c r="C324" s="243"/>
      <c r="D324" s="243"/>
      <c r="E324" s="15"/>
      <c r="F324" s="243"/>
      <c r="G324" s="243"/>
      <c r="H324" s="13"/>
      <c r="I324" s="13"/>
      <c r="J324" s="242"/>
      <c r="K324" s="242"/>
      <c r="L324" s="13"/>
      <c r="M324" s="242"/>
      <c r="N324" s="242"/>
      <c r="O324" s="242"/>
      <c r="P324" s="242"/>
      <c r="Q324" s="13"/>
      <c r="R324" s="13"/>
      <c r="S324" s="242"/>
      <c r="T324" s="443"/>
      <c r="U324" s="443"/>
      <c r="V324" s="242"/>
      <c r="W324" s="242"/>
      <c r="X324" s="242"/>
      <c r="Y324" s="242"/>
      <c r="Z324" s="242"/>
    </row>
    <row r="325">
      <c r="A325" s="242"/>
      <c r="B325" s="243"/>
      <c r="C325" s="243"/>
      <c r="D325" s="243"/>
      <c r="E325" s="15"/>
      <c r="F325" s="243"/>
      <c r="G325" s="243"/>
      <c r="H325" s="13"/>
      <c r="I325" s="13"/>
      <c r="J325" s="242"/>
      <c r="K325" s="242"/>
      <c r="L325" s="13"/>
      <c r="M325" s="242"/>
      <c r="N325" s="242"/>
      <c r="O325" s="242"/>
      <c r="P325" s="242"/>
      <c r="Q325" s="13"/>
      <c r="R325" s="13"/>
      <c r="S325" s="242"/>
      <c r="T325" s="443"/>
      <c r="U325" s="443"/>
      <c r="V325" s="242"/>
      <c r="W325" s="242"/>
      <c r="X325" s="242"/>
      <c r="Y325" s="242"/>
      <c r="Z325" s="242"/>
    </row>
    <row r="326">
      <c r="A326" s="242"/>
      <c r="B326" s="243"/>
      <c r="C326" s="243"/>
      <c r="D326" s="243"/>
      <c r="E326" s="15"/>
      <c r="F326" s="243"/>
      <c r="G326" s="243"/>
      <c r="H326" s="13"/>
      <c r="I326" s="13"/>
      <c r="J326" s="242"/>
      <c r="K326" s="242"/>
      <c r="L326" s="13"/>
      <c r="M326" s="242"/>
      <c r="N326" s="242"/>
      <c r="O326" s="242"/>
      <c r="P326" s="242"/>
      <c r="Q326" s="13"/>
      <c r="R326" s="13"/>
      <c r="S326" s="242"/>
      <c r="T326" s="443"/>
      <c r="U326" s="443"/>
      <c r="V326" s="242"/>
      <c r="W326" s="242"/>
      <c r="X326" s="242"/>
      <c r="Y326" s="242"/>
      <c r="Z326" s="242"/>
    </row>
    <row r="327">
      <c r="A327" s="242"/>
      <c r="B327" s="243"/>
      <c r="C327" s="243"/>
      <c r="D327" s="243"/>
      <c r="E327" s="15"/>
      <c r="F327" s="243"/>
      <c r="G327" s="243"/>
      <c r="H327" s="13"/>
      <c r="I327" s="13"/>
      <c r="J327" s="242"/>
      <c r="K327" s="242"/>
      <c r="L327" s="13"/>
      <c r="M327" s="242"/>
      <c r="N327" s="242"/>
      <c r="O327" s="242"/>
      <c r="P327" s="242"/>
      <c r="Q327" s="13"/>
      <c r="R327" s="13"/>
      <c r="S327" s="242"/>
      <c r="T327" s="443"/>
      <c r="U327" s="443"/>
      <c r="V327" s="242"/>
      <c r="W327" s="242"/>
      <c r="X327" s="242"/>
      <c r="Y327" s="242"/>
      <c r="Z327" s="242"/>
    </row>
    <row r="328">
      <c r="A328" s="242"/>
      <c r="B328" s="243"/>
      <c r="C328" s="243"/>
      <c r="D328" s="243"/>
      <c r="E328" s="15"/>
      <c r="F328" s="243"/>
      <c r="G328" s="243"/>
      <c r="H328" s="13"/>
      <c r="I328" s="13"/>
      <c r="J328" s="242"/>
      <c r="K328" s="242"/>
      <c r="L328" s="13"/>
      <c r="M328" s="242"/>
      <c r="N328" s="242"/>
      <c r="O328" s="242"/>
      <c r="P328" s="242"/>
      <c r="Q328" s="13"/>
      <c r="R328" s="13"/>
      <c r="S328" s="242"/>
      <c r="T328" s="443"/>
      <c r="U328" s="443"/>
      <c r="V328" s="242"/>
      <c r="W328" s="242"/>
      <c r="X328" s="242"/>
      <c r="Y328" s="242"/>
      <c r="Z328" s="242"/>
    </row>
    <row r="329">
      <c r="A329" s="242"/>
      <c r="B329" s="243"/>
      <c r="C329" s="243"/>
      <c r="D329" s="243"/>
      <c r="E329" s="15"/>
      <c r="F329" s="243"/>
      <c r="G329" s="243"/>
      <c r="H329" s="13"/>
      <c r="I329" s="13"/>
      <c r="J329" s="242"/>
      <c r="K329" s="242"/>
      <c r="L329" s="13"/>
      <c r="M329" s="242"/>
      <c r="N329" s="242"/>
      <c r="O329" s="242"/>
      <c r="P329" s="242"/>
      <c r="Q329" s="13"/>
      <c r="R329" s="13"/>
      <c r="S329" s="242"/>
      <c r="T329" s="443"/>
      <c r="U329" s="443"/>
      <c r="V329" s="242"/>
      <c r="W329" s="242"/>
      <c r="X329" s="242"/>
      <c r="Y329" s="242"/>
      <c r="Z329" s="242"/>
    </row>
    <row r="330">
      <c r="A330" s="242"/>
      <c r="B330" s="243"/>
      <c r="C330" s="243"/>
      <c r="D330" s="243"/>
      <c r="E330" s="15"/>
      <c r="F330" s="243"/>
      <c r="G330" s="243"/>
      <c r="H330" s="13"/>
      <c r="I330" s="13"/>
      <c r="J330" s="242"/>
      <c r="K330" s="242"/>
      <c r="L330" s="13"/>
      <c r="M330" s="242"/>
      <c r="N330" s="242"/>
      <c r="O330" s="242"/>
      <c r="P330" s="242"/>
      <c r="Q330" s="13"/>
      <c r="R330" s="13"/>
      <c r="S330" s="242"/>
      <c r="T330" s="443"/>
      <c r="U330" s="443"/>
      <c r="V330" s="242"/>
      <c r="W330" s="242"/>
      <c r="X330" s="242"/>
      <c r="Y330" s="242"/>
      <c r="Z330" s="242"/>
    </row>
    <row r="331">
      <c r="A331" s="242"/>
      <c r="B331" s="243"/>
      <c r="C331" s="243"/>
      <c r="D331" s="243"/>
      <c r="E331" s="15"/>
      <c r="F331" s="243"/>
      <c r="G331" s="243"/>
      <c r="H331" s="13"/>
      <c r="I331" s="13"/>
      <c r="J331" s="242"/>
      <c r="K331" s="242"/>
      <c r="L331" s="13"/>
      <c r="M331" s="242"/>
      <c r="N331" s="242"/>
      <c r="O331" s="242"/>
      <c r="P331" s="242"/>
      <c r="Q331" s="13"/>
      <c r="R331" s="13"/>
      <c r="S331" s="242"/>
      <c r="T331" s="443"/>
      <c r="U331" s="443"/>
      <c r="V331" s="242"/>
      <c r="W331" s="242"/>
      <c r="X331" s="242"/>
      <c r="Y331" s="242"/>
      <c r="Z331" s="242"/>
    </row>
    <row r="332">
      <c r="A332" s="242"/>
      <c r="B332" s="243"/>
      <c r="C332" s="243"/>
      <c r="D332" s="243"/>
      <c r="E332" s="15"/>
      <c r="F332" s="243"/>
      <c r="G332" s="243"/>
      <c r="H332" s="13"/>
      <c r="I332" s="13"/>
      <c r="J332" s="242"/>
      <c r="K332" s="242"/>
      <c r="L332" s="13"/>
      <c r="M332" s="242"/>
      <c r="N332" s="242"/>
      <c r="O332" s="242"/>
      <c r="P332" s="242"/>
      <c r="Q332" s="13"/>
      <c r="R332" s="13"/>
      <c r="S332" s="242"/>
      <c r="T332" s="443"/>
      <c r="U332" s="443"/>
      <c r="V332" s="242"/>
      <c r="W332" s="242"/>
      <c r="X332" s="242"/>
      <c r="Y332" s="242"/>
      <c r="Z332" s="242"/>
    </row>
    <row r="333">
      <c r="A333" s="242"/>
      <c r="B333" s="243"/>
      <c r="C333" s="243"/>
      <c r="D333" s="243"/>
      <c r="E333" s="15"/>
      <c r="F333" s="243"/>
      <c r="G333" s="243"/>
      <c r="H333" s="13"/>
      <c r="I333" s="13"/>
      <c r="J333" s="242"/>
      <c r="K333" s="242"/>
      <c r="L333" s="13"/>
      <c r="M333" s="242"/>
      <c r="N333" s="242"/>
      <c r="O333" s="242"/>
      <c r="P333" s="242"/>
      <c r="Q333" s="13"/>
      <c r="R333" s="13"/>
      <c r="S333" s="242"/>
      <c r="T333" s="443"/>
      <c r="U333" s="443"/>
      <c r="V333" s="242"/>
      <c r="W333" s="242"/>
      <c r="X333" s="242"/>
      <c r="Y333" s="242"/>
      <c r="Z333" s="242"/>
    </row>
    <row r="334">
      <c r="A334" s="242"/>
      <c r="B334" s="243"/>
      <c r="C334" s="243"/>
      <c r="D334" s="243"/>
      <c r="E334" s="15"/>
      <c r="F334" s="243"/>
      <c r="G334" s="243"/>
      <c r="H334" s="13"/>
      <c r="I334" s="13"/>
      <c r="J334" s="242"/>
      <c r="K334" s="242"/>
      <c r="L334" s="13"/>
      <c r="M334" s="242"/>
      <c r="N334" s="242"/>
      <c r="O334" s="242"/>
      <c r="P334" s="242"/>
      <c r="Q334" s="13"/>
      <c r="R334" s="13"/>
      <c r="S334" s="242"/>
      <c r="T334" s="443"/>
      <c r="U334" s="443"/>
      <c r="V334" s="242"/>
      <c r="W334" s="242"/>
      <c r="X334" s="242"/>
      <c r="Y334" s="242"/>
      <c r="Z334" s="242"/>
    </row>
    <row r="335">
      <c r="A335" s="242"/>
      <c r="B335" s="243"/>
      <c r="C335" s="243"/>
      <c r="D335" s="243"/>
      <c r="E335" s="15"/>
      <c r="F335" s="243"/>
      <c r="G335" s="243"/>
      <c r="H335" s="13"/>
      <c r="I335" s="13"/>
      <c r="J335" s="242"/>
      <c r="K335" s="242"/>
      <c r="L335" s="13"/>
      <c r="M335" s="242"/>
      <c r="N335" s="242"/>
      <c r="O335" s="242"/>
      <c r="P335" s="242"/>
      <c r="Q335" s="13"/>
      <c r="R335" s="13"/>
      <c r="S335" s="242"/>
      <c r="T335" s="443"/>
      <c r="U335" s="443"/>
      <c r="V335" s="242"/>
      <c r="W335" s="242"/>
      <c r="X335" s="242"/>
      <c r="Y335" s="242"/>
      <c r="Z335" s="242"/>
    </row>
    <row r="336">
      <c r="A336" s="242"/>
      <c r="B336" s="243"/>
      <c r="C336" s="243"/>
      <c r="D336" s="243"/>
      <c r="E336" s="15"/>
      <c r="F336" s="243"/>
      <c r="G336" s="243"/>
      <c r="H336" s="13"/>
      <c r="I336" s="13"/>
      <c r="J336" s="242"/>
      <c r="K336" s="242"/>
      <c r="L336" s="13"/>
      <c r="M336" s="242"/>
      <c r="N336" s="242"/>
      <c r="O336" s="242"/>
      <c r="P336" s="242"/>
      <c r="Q336" s="13"/>
      <c r="R336" s="13"/>
      <c r="S336" s="242"/>
      <c r="T336" s="443"/>
      <c r="U336" s="443"/>
      <c r="V336" s="242"/>
      <c r="W336" s="242"/>
      <c r="X336" s="242"/>
      <c r="Y336" s="242"/>
      <c r="Z336" s="242"/>
    </row>
    <row r="337">
      <c r="A337" s="242"/>
      <c r="B337" s="243"/>
      <c r="C337" s="243"/>
      <c r="D337" s="243"/>
      <c r="E337" s="15"/>
      <c r="F337" s="243"/>
      <c r="G337" s="243"/>
      <c r="H337" s="13"/>
      <c r="I337" s="13"/>
      <c r="J337" s="242"/>
      <c r="K337" s="242"/>
      <c r="L337" s="13"/>
      <c r="M337" s="242"/>
      <c r="N337" s="242"/>
      <c r="O337" s="242"/>
      <c r="P337" s="242"/>
      <c r="Q337" s="13"/>
      <c r="R337" s="13"/>
      <c r="S337" s="242"/>
      <c r="T337" s="443"/>
      <c r="U337" s="443"/>
      <c r="V337" s="242"/>
      <c r="W337" s="242"/>
      <c r="X337" s="242"/>
      <c r="Y337" s="242"/>
      <c r="Z337" s="242"/>
    </row>
    <row r="338">
      <c r="A338" s="242"/>
      <c r="B338" s="243"/>
      <c r="C338" s="243"/>
      <c r="D338" s="243"/>
      <c r="E338" s="15"/>
      <c r="F338" s="243"/>
      <c r="G338" s="243"/>
      <c r="H338" s="13"/>
      <c r="I338" s="13"/>
      <c r="J338" s="242"/>
      <c r="K338" s="242"/>
      <c r="L338" s="13"/>
      <c r="M338" s="242"/>
      <c r="N338" s="242"/>
      <c r="O338" s="242"/>
      <c r="P338" s="242"/>
      <c r="Q338" s="13"/>
      <c r="R338" s="13"/>
      <c r="S338" s="242"/>
      <c r="T338" s="443"/>
      <c r="U338" s="443"/>
      <c r="V338" s="242"/>
      <c r="W338" s="242"/>
      <c r="X338" s="242"/>
      <c r="Y338" s="242"/>
      <c r="Z338" s="242"/>
    </row>
    <row r="339">
      <c r="A339" s="242"/>
      <c r="B339" s="243"/>
      <c r="C339" s="243"/>
      <c r="D339" s="243"/>
      <c r="E339" s="15"/>
      <c r="F339" s="243"/>
      <c r="G339" s="243"/>
      <c r="H339" s="13"/>
      <c r="I339" s="13"/>
      <c r="J339" s="242"/>
      <c r="K339" s="242"/>
      <c r="L339" s="13"/>
      <c r="M339" s="242"/>
      <c r="N339" s="242"/>
      <c r="O339" s="242"/>
      <c r="P339" s="242"/>
      <c r="Q339" s="13"/>
      <c r="R339" s="13"/>
      <c r="S339" s="242"/>
      <c r="T339" s="443"/>
      <c r="U339" s="443"/>
      <c r="V339" s="242"/>
      <c r="W339" s="242"/>
      <c r="X339" s="242"/>
      <c r="Y339" s="242"/>
      <c r="Z339" s="242"/>
    </row>
    <row r="340">
      <c r="A340" s="242"/>
      <c r="B340" s="243"/>
      <c r="C340" s="243"/>
      <c r="D340" s="243"/>
      <c r="E340" s="15"/>
      <c r="F340" s="243"/>
      <c r="G340" s="243"/>
      <c r="H340" s="13"/>
      <c r="I340" s="13"/>
      <c r="J340" s="242"/>
      <c r="K340" s="242"/>
      <c r="L340" s="13"/>
      <c r="M340" s="242"/>
      <c r="N340" s="242"/>
      <c r="O340" s="242"/>
      <c r="P340" s="242"/>
      <c r="Q340" s="13"/>
      <c r="R340" s="13"/>
      <c r="S340" s="242"/>
      <c r="T340" s="443"/>
      <c r="U340" s="443"/>
      <c r="V340" s="242"/>
      <c r="W340" s="242"/>
      <c r="X340" s="242"/>
      <c r="Y340" s="242"/>
      <c r="Z340" s="242"/>
    </row>
    <row r="341">
      <c r="A341" s="242"/>
      <c r="B341" s="243"/>
      <c r="C341" s="243"/>
      <c r="D341" s="243"/>
      <c r="E341" s="15"/>
      <c r="F341" s="243"/>
      <c r="G341" s="243"/>
      <c r="H341" s="13"/>
      <c r="I341" s="13"/>
      <c r="J341" s="242"/>
      <c r="K341" s="242"/>
      <c r="L341" s="13"/>
      <c r="M341" s="242"/>
      <c r="N341" s="242"/>
      <c r="O341" s="242"/>
      <c r="P341" s="242"/>
      <c r="Q341" s="13"/>
      <c r="R341" s="13"/>
      <c r="S341" s="242"/>
      <c r="T341" s="443"/>
      <c r="U341" s="443"/>
      <c r="V341" s="242"/>
      <c r="W341" s="242"/>
      <c r="X341" s="242"/>
      <c r="Y341" s="242"/>
      <c r="Z341" s="242"/>
    </row>
    <row r="342">
      <c r="A342" s="242"/>
      <c r="B342" s="243"/>
      <c r="C342" s="243"/>
      <c r="D342" s="243"/>
      <c r="E342" s="15"/>
      <c r="F342" s="243"/>
      <c r="G342" s="243"/>
      <c r="H342" s="13"/>
      <c r="I342" s="13"/>
      <c r="J342" s="242"/>
      <c r="K342" s="242"/>
      <c r="L342" s="13"/>
      <c r="M342" s="242"/>
      <c r="N342" s="242"/>
      <c r="O342" s="242"/>
      <c r="P342" s="242"/>
      <c r="Q342" s="13"/>
      <c r="R342" s="13"/>
      <c r="S342" s="242"/>
      <c r="T342" s="443"/>
      <c r="U342" s="443"/>
      <c r="V342" s="242"/>
      <c r="W342" s="242"/>
      <c r="X342" s="242"/>
      <c r="Y342" s="242"/>
      <c r="Z342" s="242"/>
    </row>
    <row r="343">
      <c r="A343" s="242"/>
      <c r="B343" s="243"/>
      <c r="C343" s="243"/>
      <c r="D343" s="243"/>
      <c r="E343" s="15"/>
      <c r="F343" s="243"/>
      <c r="G343" s="243"/>
      <c r="H343" s="13"/>
      <c r="I343" s="13"/>
      <c r="J343" s="242"/>
      <c r="K343" s="242"/>
      <c r="L343" s="13"/>
      <c r="M343" s="242"/>
      <c r="N343" s="242"/>
      <c r="O343" s="242"/>
      <c r="P343" s="242"/>
      <c r="Q343" s="13"/>
      <c r="R343" s="13"/>
      <c r="S343" s="242"/>
      <c r="T343" s="443"/>
      <c r="U343" s="443"/>
      <c r="V343" s="242"/>
      <c r="W343" s="242"/>
      <c r="X343" s="242"/>
      <c r="Y343" s="242"/>
      <c r="Z343" s="242"/>
    </row>
    <row r="344">
      <c r="A344" s="242"/>
      <c r="B344" s="243"/>
      <c r="C344" s="243"/>
      <c r="D344" s="243"/>
      <c r="E344" s="15"/>
      <c r="F344" s="243"/>
      <c r="G344" s="243"/>
      <c r="H344" s="13"/>
      <c r="I344" s="13"/>
      <c r="J344" s="242"/>
      <c r="K344" s="242"/>
      <c r="L344" s="13"/>
      <c r="M344" s="242"/>
      <c r="N344" s="242"/>
      <c r="O344" s="242"/>
      <c r="P344" s="242"/>
      <c r="Q344" s="13"/>
      <c r="R344" s="13"/>
      <c r="S344" s="242"/>
      <c r="T344" s="443"/>
      <c r="U344" s="443"/>
      <c r="V344" s="242"/>
      <c r="W344" s="242"/>
      <c r="X344" s="242"/>
      <c r="Y344" s="242"/>
      <c r="Z344" s="242"/>
    </row>
    <row r="345">
      <c r="A345" s="242"/>
      <c r="B345" s="243"/>
      <c r="C345" s="243"/>
      <c r="D345" s="243"/>
      <c r="E345" s="15"/>
      <c r="F345" s="243"/>
      <c r="G345" s="243"/>
      <c r="H345" s="13"/>
      <c r="I345" s="13"/>
      <c r="J345" s="242"/>
      <c r="K345" s="242"/>
      <c r="L345" s="13"/>
      <c r="M345" s="242"/>
      <c r="N345" s="242"/>
      <c r="O345" s="242"/>
      <c r="P345" s="242"/>
      <c r="Q345" s="13"/>
      <c r="R345" s="13"/>
      <c r="S345" s="242"/>
      <c r="T345" s="443"/>
      <c r="U345" s="443"/>
      <c r="V345" s="242"/>
      <c r="W345" s="242"/>
      <c r="X345" s="242"/>
      <c r="Y345" s="242"/>
      <c r="Z345" s="242"/>
    </row>
    <row r="346">
      <c r="A346" s="242"/>
      <c r="B346" s="243"/>
      <c r="C346" s="243"/>
      <c r="D346" s="243"/>
      <c r="E346" s="15"/>
      <c r="F346" s="243"/>
      <c r="G346" s="243"/>
      <c r="H346" s="13"/>
      <c r="I346" s="13"/>
      <c r="J346" s="242"/>
      <c r="K346" s="242"/>
      <c r="L346" s="13"/>
      <c r="M346" s="242"/>
      <c r="N346" s="242"/>
      <c r="O346" s="242"/>
      <c r="P346" s="242"/>
      <c r="Q346" s="13"/>
      <c r="R346" s="13"/>
      <c r="S346" s="242"/>
      <c r="T346" s="443"/>
      <c r="U346" s="443"/>
      <c r="V346" s="242"/>
      <c r="W346" s="242"/>
      <c r="X346" s="242"/>
      <c r="Y346" s="242"/>
      <c r="Z346" s="242"/>
    </row>
    <row r="347">
      <c r="A347" s="242"/>
      <c r="B347" s="243"/>
      <c r="C347" s="243"/>
      <c r="D347" s="243"/>
      <c r="E347" s="15"/>
      <c r="F347" s="243"/>
      <c r="G347" s="243"/>
      <c r="H347" s="13"/>
      <c r="I347" s="13"/>
      <c r="J347" s="242"/>
      <c r="K347" s="242"/>
      <c r="L347" s="13"/>
      <c r="M347" s="242"/>
      <c r="N347" s="242"/>
      <c r="O347" s="242"/>
      <c r="P347" s="242"/>
      <c r="Q347" s="13"/>
      <c r="R347" s="13"/>
      <c r="S347" s="242"/>
      <c r="T347" s="443"/>
      <c r="U347" s="443"/>
      <c r="V347" s="242"/>
      <c r="W347" s="242"/>
      <c r="X347" s="242"/>
      <c r="Y347" s="242"/>
      <c r="Z347" s="242"/>
    </row>
    <row r="348">
      <c r="A348" s="242"/>
      <c r="B348" s="243"/>
      <c r="C348" s="243"/>
      <c r="D348" s="243"/>
      <c r="E348" s="15"/>
      <c r="F348" s="243"/>
      <c r="G348" s="243"/>
      <c r="H348" s="13"/>
      <c r="I348" s="13"/>
      <c r="J348" s="242"/>
      <c r="K348" s="242"/>
      <c r="L348" s="13"/>
      <c r="M348" s="242"/>
      <c r="N348" s="242"/>
      <c r="O348" s="242"/>
      <c r="P348" s="242"/>
      <c r="Q348" s="13"/>
      <c r="R348" s="13"/>
      <c r="S348" s="242"/>
      <c r="T348" s="443"/>
      <c r="U348" s="443"/>
      <c r="V348" s="242"/>
      <c r="W348" s="242"/>
      <c r="X348" s="242"/>
      <c r="Y348" s="242"/>
      <c r="Z348" s="242"/>
    </row>
    <row r="349">
      <c r="A349" s="242"/>
      <c r="B349" s="243"/>
      <c r="C349" s="243"/>
      <c r="D349" s="243"/>
      <c r="E349" s="15"/>
      <c r="F349" s="243"/>
      <c r="G349" s="243"/>
      <c r="H349" s="13"/>
      <c r="I349" s="13"/>
      <c r="J349" s="242"/>
      <c r="K349" s="242"/>
      <c r="L349" s="13"/>
      <c r="M349" s="242"/>
      <c r="N349" s="242"/>
      <c r="O349" s="242"/>
      <c r="P349" s="242"/>
      <c r="Q349" s="13"/>
      <c r="R349" s="13"/>
      <c r="S349" s="242"/>
      <c r="T349" s="443"/>
      <c r="U349" s="443"/>
      <c r="V349" s="242"/>
      <c r="W349" s="242"/>
      <c r="X349" s="242"/>
      <c r="Y349" s="242"/>
      <c r="Z349" s="242"/>
    </row>
    <row r="350">
      <c r="A350" s="242"/>
      <c r="B350" s="243"/>
      <c r="C350" s="243"/>
      <c r="D350" s="243"/>
      <c r="E350" s="15"/>
      <c r="F350" s="243"/>
      <c r="G350" s="243"/>
      <c r="H350" s="13"/>
      <c r="I350" s="13"/>
      <c r="J350" s="242"/>
      <c r="K350" s="242"/>
      <c r="L350" s="13"/>
      <c r="M350" s="242"/>
      <c r="N350" s="242"/>
      <c r="O350" s="242"/>
      <c r="P350" s="242"/>
      <c r="Q350" s="13"/>
      <c r="R350" s="13"/>
      <c r="S350" s="242"/>
      <c r="T350" s="443"/>
      <c r="U350" s="443"/>
      <c r="V350" s="242"/>
      <c r="W350" s="242"/>
      <c r="X350" s="242"/>
      <c r="Y350" s="242"/>
      <c r="Z350" s="242"/>
    </row>
    <row r="351">
      <c r="A351" s="242"/>
      <c r="B351" s="243"/>
      <c r="C351" s="243"/>
      <c r="D351" s="243"/>
      <c r="E351" s="15"/>
      <c r="F351" s="243"/>
      <c r="G351" s="243"/>
      <c r="H351" s="13"/>
      <c r="I351" s="13"/>
      <c r="J351" s="242"/>
      <c r="K351" s="242"/>
      <c r="L351" s="13"/>
      <c r="M351" s="242"/>
      <c r="N351" s="242"/>
      <c r="O351" s="242"/>
      <c r="P351" s="242"/>
      <c r="Q351" s="13"/>
      <c r="R351" s="13"/>
      <c r="S351" s="242"/>
      <c r="T351" s="443"/>
      <c r="U351" s="443"/>
      <c r="V351" s="242"/>
      <c r="W351" s="242"/>
      <c r="X351" s="242"/>
      <c r="Y351" s="242"/>
      <c r="Z351" s="242"/>
    </row>
    <row r="352">
      <c r="A352" s="242"/>
      <c r="B352" s="243"/>
      <c r="C352" s="243"/>
      <c r="D352" s="243"/>
      <c r="E352" s="15"/>
      <c r="F352" s="243"/>
      <c r="G352" s="243"/>
      <c r="H352" s="13"/>
      <c r="I352" s="13"/>
      <c r="J352" s="242"/>
      <c r="K352" s="242"/>
      <c r="L352" s="13"/>
      <c r="M352" s="242"/>
      <c r="N352" s="242"/>
      <c r="O352" s="242"/>
      <c r="P352" s="242"/>
      <c r="Q352" s="13"/>
      <c r="R352" s="13"/>
      <c r="S352" s="242"/>
      <c r="T352" s="443"/>
      <c r="U352" s="443"/>
      <c r="V352" s="242"/>
      <c r="W352" s="242"/>
      <c r="X352" s="242"/>
      <c r="Y352" s="242"/>
      <c r="Z352" s="242"/>
    </row>
    <row r="353">
      <c r="A353" s="242"/>
      <c r="B353" s="243"/>
      <c r="C353" s="243"/>
      <c r="D353" s="243"/>
      <c r="E353" s="15"/>
      <c r="F353" s="243"/>
      <c r="G353" s="243"/>
      <c r="H353" s="13"/>
      <c r="I353" s="13"/>
      <c r="J353" s="242"/>
      <c r="K353" s="242"/>
      <c r="L353" s="13"/>
      <c r="M353" s="242"/>
      <c r="N353" s="242"/>
      <c r="O353" s="242"/>
      <c r="P353" s="242"/>
      <c r="Q353" s="13"/>
      <c r="R353" s="13"/>
      <c r="S353" s="242"/>
      <c r="T353" s="443"/>
      <c r="U353" s="443"/>
      <c r="V353" s="242"/>
      <c r="W353" s="242"/>
      <c r="X353" s="242"/>
      <c r="Y353" s="242"/>
      <c r="Z353" s="242"/>
    </row>
    <row r="354">
      <c r="A354" s="242"/>
      <c r="B354" s="243"/>
      <c r="C354" s="243"/>
      <c r="D354" s="243"/>
      <c r="E354" s="15"/>
      <c r="F354" s="243"/>
      <c r="G354" s="243"/>
      <c r="H354" s="13"/>
      <c r="I354" s="13"/>
      <c r="J354" s="242"/>
      <c r="K354" s="242"/>
      <c r="L354" s="13"/>
      <c r="M354" s="242"/>
      <c r="N354" s="242"/>
      <c r="O354" s="242"/>
      <c r="P354" s="242"/>
      <c r="Q354" s="13"/>
      <c r="R354" s="13"/>
      <c r="S354" s="242"/>
      <c r="T354" s="443"/>
      <c r="U354" s="443"/>
      <c r="V354" s="242"/>
      <c r="W354" s="242"/>
      <c r="X354" s="242"/>
      <c r="Y354" s="242"/>
      <c r="Z354" s="242"/>
    </row>
    <row r="355">
      <c r="A355" s="242"/>
      <c r="B355" s="243"/>
      <c r="C355" s="243"/>
      <c r="D355" s="243"/>
      <c r="E355" s="15"/>
      <c r="F355" s="243"/>
      <c r="G355" s="243"/>
      <c r="H355" s="13"/>
      <c r="I355" s="13"/>
      <c r="J355" s="242"/>
      <c r="K355" s="242"/>
      <c r="L355" s="13"/>
      <c r="M355" s="242"/>
      <c r="N355" s="242"/>
      <c r="O355" s="242"/>
      <c r="P355" s="242"/>
      <c r="Q355" s="13"/>
      <c r="R355" s="13"/>
      <c r="S355" s="242"/>
      <c r="T355" s="443"/>
      <c r="U355" s="443"/>
      <c r="V355" s="242"/>
      <c r="W355" s="242"/>
      <c r="X355" s="242"/>
      <c r="Y355" s="242"/>
      <c r="Z355" s="242"/>
    </row>
    <row r="356">
      <c r="A356" s="242"/>
      <c r="B356" s="243"/>
      <c r="C356" s="243"/>
      <c r="D356" s="243"/>
      <c r="E356" s="15"/>
      <c r="F356" s="243"/>
      <c r="G356" s="243"/>
      <c r="H356" s="13"/>
      <c r="I356" s="13"/>
      <c r="J356" s="242"/>
      <c r="K356" s="242"/>
      <c r="L356" s="13"/>
      <c r="M356" s="242"/>
      <c r="N356" s="242"/>
      <c r="O356" s="242"/>
      <c r="P356" s="242"/>
      <c r="Q356" s="13"/>
      <c r="R356" s="13"/>
      <c r="S356" s="242"/>
      <c r="T356" s="443"/>
      <c r="U356" s="443"/>
      <c r="V356" s="242"/>
      <c r="W356" s="242"/>
      <c r="X356" s="242"/>
      <c r="Y356" s="242"/>
      <c r="Z356" s="242"/>
    </row>
    <row r="357">
      <c r="A357" s="242"/>
      <c r="B357" s="243"/>
      <c r="C357" s="243"/>
      <c r="D357" s="243"/>
      <c r="E357" s="15"/>
      <c r="F357" s="243"/>
      <c r="G357" s="243"/>
      <c r="H357" s="13"/>
      <c r="I357" s="13"/>
      <c r="J357" s="242"/>
      <c r="K357" s="242"/>
      <c r="L357" s="13"/>
      <c r="M357" s="242"/>
      <c r="N357" s="242"/>
      <c r="O357" s="242"/>
      <c r="P357" s="242"/>
      <c r="Q357" s="13"/>
      <c r="R357" s="13"/>
      <c r="S357" s="242"/>
      <c r="T357" s="443"/>
      <c r="U357" s="443"/>
      <c r="V357" s="242"/>
      <c r="W357" s="242"/>
      <c r="X357" s="242"/>
      <c r="Y357" s="242"/>
      <c r="Z357" s="242"/>
    </row>
    <row r="358">
      <c r="A358" s="242"/>
      <c r="B358" s="243"/>
      <c r="C358" s="243"/>
      <c r="D358" s="243"/>
      <c r="E358" s="15"/>
      <c r="F358" s="243"/>
      <c r="G358" s="243"/>
      <c r="H358" s="13"/>
      <c r="I358" s="13"/>
      <c r="J358" s="242"/>
      <c r="K358" s="242"/>
      <c r="L358" s="13"/>
      <c r="M358" s="242"/>
      <c r="N358" s="242"/>
      <c r="O358" s="242"/>
      <c r="P358" s="242"/>
      <c r="Q358" s="13"/>
      <c r="R358" s="13"/>
      <c r="S358" s="242"/>
      <c r="T358" s="443"/>
      <c r="U358" s="443"/>
      <c r="V358" s="242"/>
      <c r="W358" s="242"/>
      <c r="X358" s="242"/>
      <c r="Y358" s="242"/>
      <c r="Z358" s="242"/>
    </row>
    <row r="359">
      <c r="A359" s="242"/>
      <c r="B359" s="243"/>
      <c r="C359" s="243"/>
      <c r="D359" s="243"/>
      <c r="E359" s="15"/>
      <c r="F359" s="243"/>
      <c r="G359" s="243"/>
      <c r="H359" s="13"/>
      <c r="I359" s="13"/>
      <c r="J359" s="242"/>
      <c r="K359" s="242"/>
      <c r="L359" s="13"/>
      <c r="M359" s="242"/>
      <c r="N359" s="242"/>
      <c r="O359" s="242"/>
      <c r="P359" s="242"/>
      <c r="Q359" s="13"/>
      <c r="R359" s="13"/>
      <c r="S359" s="242"/>
      <c r="T359" s="443"/>
      <c r="U359" s="443"/>
      <c r="V359" s="242"/>
      <c r="W359" s="242"/>
      <c r="X359" s="242"/>
      <c r="Y359" s="242"/>
      <c r="Z359" s="242"/>
    </row>
    <row r="360">
      <c r="A360" s="242"/>
      <c r="B360" s="243"/>
      <c r="C360" s="243"/>
      <c r="D360" s="243"/>
      <c r="E360" s="15"/>
      <c r="F360" s="243"/>
      <c r="G360" s="243"/>
      <c r="H360" s="13"/>
      <c r="I360" s="13"/>
      <c r="J360" s="242"/>
      <c r="K360" s="242"/>
      <c r="L360" s="13"/>
      <c r="M360" s="242"/>
      <c r="N360" s="242"/>
      <c r="O360" s="242"/>
      <c r="P360" s="242"/>
      <c r="Q360" s="13"/>
      <c r="R360" s="13"/>
      <c r="S360" s="242"/>
      <c r="T360" s="443"/>
      <c r="U360" s="443"/>
      <c r="V360" s="242"/>
      <c r="W360" s="242"/>
      <c r="X360" s="242"/>
      <c r="Y360" s="242"/>
      <c r="Z360" s="242"/>
    </row>
    <row r="361">
      <c r="A361" s="242"/>
      <c r="B361" s="243"/>
      <c r="C361" s="243"/>
      <c r="D361" s="243"/>
      <c r="E361" s="15"/>
      <c r="F361" s="243"/>
      <c r="G361" s="243"/>
      <c r="H361" s="13"/>
      <c r="I361" s="13"/>
      <c r="J361" s="242"/>
      <c r="K361" s="242"/>
      <c r="L361" s="13"/>
      <c r="M361" s="242"/>
      <c r="N361" s="242"/>
      <c r="O361" s="242"/>
      <c r="P361" s="242"/>
      <c r="Q361" s="13"/>
      <c r="R361" s="13"/>
      <c r="S361" s="242"/>
      <c r="T361" s="443"/>
      <c r="U361" s="443"/>
      <c r="V361" s="242"/>
      <c r="W361" s="242"/>
      <c r="X361" s="242"/>
      <c r="Y361" s="242"/>
      <c r="Z361" s="242"/>
    </row>
    <row r="362">
      <c r="A362" s="242"/>
      <c r="B362" s="243"/>
      <c r="C362" s="243"/>
      <c r="D362" s="243"/>
      <c r="E362" s="15"/>
      <c r="F362" s="243"/>
      <c r="G362" s="243"/>
      <c r="H362" s="13"/>
      <c r="I362" s="13"/>
      <c r="J362" s="242"/>
      <c r="K362" s="242"/>
      <c r="L362" s="13"/>
      <c r="M362" s="242"/>
      <c r="N362" s="242"/>
      <c r="O362" s="242"/>
      <c r="P362" s="242"/>
      <c r="Q362" s="13"/>
      <c r="R362" s="13"/>
      <c r="S362" s="242"/>
      <c r="T362" s="443"/>
      <c r="U362" s="443"/>
      <c r="V362" s="242"/>
      <c r="W362" s="242"/>
      <c r="X362" s="242"/>
      <c r="Y362" s="242"/>
      <c r="Z362" s="242"/>
    </row>
    <row r="363">
      <c r="A363" s="242"/>
      <c r="B363" s="243"/>
      <c r="C363" s="243"/>
      <c r="D363" s="243"/>
      <c r="E363" s="15"/>
      <c r="F363" s="243"/>
      <c r="G363" s="243"/>
      <c r="H363" s="13"/>
      <c r="I363" s="13"/>
      <c r="J363" s="242"/>
      <c r="K363" s="242"/>
      <c r="L363" s="13"/>
      <c r="M363" s="242"/>
      <c r="N363" s="242"/>
      <c r="O363" s="242"/>
      <c r="P363" s="242"/>
      <c r="Q363" s="13"/>
      <c r="R363" s="13"/>
      <c r="S363" s="242"/>
      <c r="T363" s="443"/>
      <c r="U363" s="443"/>
      <c r="V363" s="242"/>
      <c r="W363" s="242"/>
      <c r="X363" s="242"/>
      <c r="Y363" s="242"/>
      <c r="Z363" s="242"/>
    </row>
    <row r="364">
      <c r="A364" s="242"/>
      <c r="B364" s="243"/>
      <c r="C364" s="243"/>
      <c r="D364" s="243"/>
      <c r="E364" s="15"/>
      <c r="F364" s="243"/>
      <c r="G364" s="243"/>
      <c r="H364" s="13"/>
      <c r="I364" s="13"/>
      <c r="J364" s="242"/>
      <c r="K364" s="242"/>
      <c r="L364" s="13"/>
      <c r="M364" s="242"/>
      <c r="N364" s="242"/>
      <c r="O364" s="242"/>
      <c r="P364" s="242"/>
      <c r="Q364" s="13"/>
      <c r="R364" s="13"/>
      <c r="S364" s="242"/>
      <c r="T364" s="443"/>
      <c r="U364" s="443"/>
      <c r="V364" s="242"/>
      <c r="W364" s="242"/>
      <c r="X364" s="242"/>
      <c r="Y364" s="242"/>
      <c r="Z364" s="242"/>
    </row>
    <row r="365">
      <c r="A365" s="242"/>
      <c r="B365" s="243"/>
      <c r="C365" s="243"/>
      <c r="D365" s="243"/>
      <c r="E365" s="15"/>
      <c r="F365" s="243"/>
      <c r="G365" s="243"/>
      <c r="H365" s="13"/>
      <c r="I365" s="13"/>
      <c r="J365" s="242"/>
      <c r="K365" s="242"/>
      <c r="L365" s="13"/>
      <c r="M365" s="242"/>
      <c r="N365" s="242"/>
      <c r="O365" s="242"/>
      <c r="P365" s="242"/>
      <c r="Q365" s="13"/>
      <c r="R365" s="13"/>
      <c r="S365" s="242"/>
      <c r="T365" s="443"/>
      <c r="U365" s="443"/>
      <c r="V365" s="242"/>
      <c r="W365" s="242"/>
      <c r="X365" s="242"/>
      <c r="Y365" s="242"/>
      <c r="Z365" s="242"/>
    </row>
    <row r="366">
      <c r="A366" s="242"/>
      <c r="B366" s="243"/>
      <c r="C366" s="243"/>
      <c r="D366" s="243"/>
      <c r="E366" s="15"/>
      <c r="F366" s="243"/>
      <c r="G366" s="243"/>
      <c r="H366" s="13"/>
      <c r="I366" s="13"/>
      <c r="J366" s="242"/>
      <c r="K366" s="242"/>
      <c r="L366" s="13"/>
      <c r="M366" s="242"/>
      <c r="N366" s="242"/>
      <c r="O366" s="242"/>
      <c r="P366" s="242"/>
      <c r="Q366" s="13"/>
      <c r="R366" s="13"/>
      <c r="S366" s="242"/>
      <c r="T366" s="443"/>
      <c r="U366" s="443"/>
      <c r="V366" s="242"/>
      <c r="W366" s="242"/>
      <c r="X366" s="242"/>
      <c r="Y366" s="242"/>
      <c r="Z366" s="242"/>
    </row>
    <row r="367">
      <c r="A367" s="242"/>
      <c r="B367" s="243"/>
      <c r="C367" s="243"/>
      <c r="D367" s="243"/>
      <c r="E367" s="15"/>
      <c r="F367" s="243"/>
      <c r="G367" s="243"/>
      <c r="H367" s="13"/>
      <c r="I367" s="13"/>
      <c r="J367" s="242"/>
      <c r="K367" s="242"/>
      <c r="L367" s="13"/>
      <c r="M367" s="242"/>
      <c r="N367" s="242"/>
      <c r="O367" s="242"/>
      <c r="P367" s="242"/>
      <c r="Q367" s="13"/>
      <c r="R367" s="13"/>
      <c r="S367" s="242"/>
      <c r="T367" s="443"/>
      <c r="U367" s="443"/>
      <c r="V367" s="242"/>
      <c r="W367" s="242"/>
      <c r="X367" s="242"/>
      <c r="Y367" s="242"/>
      <c r="Z367" s="242"/>
    </row>
    <row r="368">
      <c r="A368" s="242"/>
      <c r="B368" s="243"/>
      <c r="C368" s="243"/>
      <c r="D368" s="243"/>
      <c r="E368" s="15"/>
      <c r="F368" s="243"/>
      <c r="G368" s="243"/>
      <c r="H368" s="13"/>
      <c r="I368" s="13"/>
      <c r="J368" s="242"/>
      <c r="K368" s="242"/>
      <c r="L368" s="13"/>
      <c r="M368" s="242"/>
      <c r="N368" s="242"/>
      <c r="O368" s="242"/>
      <c r="P368" s="242"/>
      <c r="Q368" s="13"/>
      <c r="R368" s="13"/>
      <c r="S368" s="242"/>
      <c r="T368" s="443"/>
      <c r="U368" s="443"/>
      <c r="V368" s="242"/>
      <c r="W368" s="242"/>
      <c r="X368" s="242"/>
      <c r="Y368" s="242"/>
      <c r="Z368" s="242"/>
    </row>
    <row r="369">
      <c r="A369" s="242"/>
      <c r="B369" s="243"/>
      <c r="C369" s="243"/>
      <c r="D369" s="243"/>
      <c r="E369" s="15"/>
      <c r="F369" s="243"/>
      <c r="G369" s="243"/>
      <c r="H369" s="13"/>
      <c r="I369" s="13"/>
      <c r="J369" s="242"/>
      <c r="K369" s="242"/>
      <c r="L369" s="13"/>
      <c r="M369" s="242"/>
      <c r="N369" s="242"/>
      <c r="O369" s="242"/>
      <c r="P369" s="242"/>
      <c r="Q369" s="13"/>
      <c r="R369" s="13"/>
      <c r="S369" s="242"/>
      <c r="T369" s="443"/>
      <c r="U369" s="443"/>
      <c r="V369" s="242"/>
      <c r="W369" s="242"/>
      <c r="X369" s="242"/>
      <c r="Y369" s="242"/>
      <c r="Z369" s="242"/>
    </row>
    <row r="370">
      <c r="A370" s="242"/>
      <c r="B370" s="243"/>
      <c r="C370" s="243"/>
      <c r="D370" s="243"/>
      <c r="E370" s="15"/>
      <c r="F370" s="243"/>
      <c r="G370" s="243"/>
      <c r="H370" s="13"/>
      <c r="I370" s="13"/>
      <c r="J370" s="242"/>
      <c r="K370" s="242"/>
      <c r="L370" s="13"/>
      <c r="M370" s="242"/>
      <c r="N370" s="242"/>
      <c r="O370" s="242"/>
      <c r="P370" s="242"/>
      <c r="Q370" s="13"/>
      <c r="R370" s="13"/>
      <c r="S370" s="242"/>
      <c r="T370" s="443"/>
      <c r="U370" s="443"/>
      <c r="V370" s="242"/>
      <c r="W370" s="242"/>
      <c r="X370" s="242"/>
      <c r="Y370" s="242"/>
      <c r="Z370" s="242"/>
    </row>
    <row r="371">
      <c r="A371" s="242"/>
      <c r="B371" s="243"/>
      <c r="C371" s="243"/>
      <c r="D371" s="243"/>
      <c r="E371" s="15"/>
      <c r="F371" s="243"/>
      <c r="G371" s="243"/>
      <c r="H371" s="13"/>
      <c r="I371" s="13"/>
      <c r="J371" s="242"/>
      <c r="K371" s="242"/>
      <c r="L371" s="13"/>
      <c r="M371" s="242"/>
      <c r="N371" s="242"/>
      <c r="O371" s="242"/>
      <c r="P371" s="242"/>
      <c r="Q371" s="13"/>
      <c r="R371" s="13"/>
      <c r="S371" s="242"/>
      <c r="T371" s="443"/>
      <c r="U371" s="443"/>
      <c r="V371" s="242"/>
      <c r="W371" s="242"/>
      <c r="X371" s="242"/>
      <c r="Y371" s="242"/>
      <c r="Z371" s="242"/>
    </row>
    <row r="372">
      <c r="A372" s="242"/>
      <c r="B372" s="243"/>
      <c r="C372" s="243"/>
      <c r="D372" s="243"/>
      <c r="E372" s="15"/>
      <c r="F372" s="243"/>
      <c r="G372" s="243"/>
      <c r="H372" s="13"/>
      <c r="I372" s="13"/>
      <c r="J372" s="242"/>
      <c r="K372" s="242"/>
      <c r="L372" s="13"/>
      <c r="M372" s="242"/>
      <c r="N372" s="242"/>
      <c r="O372" s="242"/>
      <c r="P372" s="242"/>
      <c r="Q372" s="13"/>
      <c r="R372" s="13"/>
      <c r="S372" s="242"/>
      <c r="T372" s="443"/>
      <c r="U372" s="443"/>
      <c r="V372" s="242"/>
      <c r="W372" s="242"/>
      <c r="X372" s="242"/>
      <c r="Y372" s="242"/>
      <c r="Z372" s="242"/>
    </row>
    <row r="373">
      <c r="A373" s="242"/>
      <c r="B373" s="243"/>
      <c r="C373" s="243"/>
      <c r="D373" s="243"/>
      <c r="E373" s="15"/>
      <c r="F373" s="243"/>
      <c r="G373" s="243"/>
      <c r="H373" s="13"/>
      <c r="I373" s="13"/>
      <c r="J373" s="242"/>
      <c r="K373" s="242"/>
      <c r="L373" s="13"/>
      <c r="M373" s="242"/>
      <c r="N373" s="242"/>
      <c r="O373" s="242"/>
      <c r="P373" s="242"/>
      <c r="Q373" s="13"/>
      <c r="R373" s="13"/>
      <c r="S373" s="242"/>
      <c r="T373" s="443"/>
      <c r="U373" s="443"/>
      <c r="V373" s="242"/>
      <c r="W373" s="242"/>
      <c r="X373" s="242"/>
      <c r="Y373" s="242"/>
      <c r="Z373" s="242"/>
    </row>
    <row r="374">
      <c r="A374" s="242"/>
      <c r="B374" s="243"/>
      <c r="C374" s="243"/>
      <c r="D374" s="243"/>
      <c r="E374" s="15"/>
      <c r="F374" s="243"/>
      <c r="G374" s="243"/>
      <c r="H374" s="13"/>
      <c r="I374" s="13"/>
      <c r="J374" s="242"/>
      <c r="K374" s="242"/>
      <c r="L374" s="13"/>
      <c r="M374" s="242"/>
      <c r="N374" s="242"/>
      <c r="O374" s="242"/>
      <c r="P374" s="242"/>
      <c r="Q374" s="13"/>
      <c r="R374" s="13"/>
      <c r="S374" s="242"/>
      <c r="T374" s="443"/>
      <c r="U374" s="443"/>
      <c r="V374" s="242"/>
      <c r="W374" s="242"/>
      <c r="X374" s="242"/>
      <c r="Y374" s="242"/>
      <c r="Z374" s="242"/>
    </row>
    <row r="375">
      <c r="A375" s="242"/>
      <c r="B375" s="243"/>
      <c r="C375" s="243"/>
      <c r="D375" s="243"/>
      <c r="E375" s="15"/>
      <c r="F375" s="243"/>
      <c r="G375" s="243"/>
      <c r="H375" s="13"/>
      <c r="I375" s="13"/>
      <c r="J375" s="242"/>
      <c r="K375" s="242"/>
      <c r="L375" s="13"/>
      <c r="M375" s="242"/>
      <c r="N375" s="242"/>
      <c r="O375" s="242"/>
      <c r="P375" s="242"/>
      <c r="Q375" s="13"/>
      <c r="R375" s="13"/>
      <c r="S375" s="242"/>
      <c r="T375" s="443"/>
      <c r="U375" s="443"/>
      <c r="V375" s="242"/>
      <c r="W375" s="242"/>
      <c r="X375" s="242"/>
      <c r="Y375" s="242"/>
      <c r="Z375" s="242"/>
    </row>
    <row r="376">
      <c r="A376" s="242"/>
      <c r="B376" s="243"/>
      <c r="C376" s="243"/>
      <c r="D376" s="243"/>
      <c r="E376" s="15"/>
      <c r="F376" s="243"/>
      <c r="G376" s="243"/>
      <c r="H376" s="13"/>
      <c r="I376" s="13"/>
      <c r="J376" s="242"/>
      <c r="K376" s="242"/>
      <c r="L376" s="13"/>
      <c r="M376" s="242"/>
      <c r="N376" s="242"/>
      <c r="O376" s="242"/>
      <c r="P376" s="242"/>
      <c r="Q376" s="13"/>
      <c r="R376" s="13"/>
      <c r="S376" s="242"/>
      <c r="T376" s="443"/>
      <c r="U376" s="443"/>
      <c r="V376" s="242"/>
      <c r="W376" s="242"/>
      <c r="X376" s="242"/>
      <c r="Y376" s="242"/>
      <c r="Z376" s="242"/>
    </row>
    <row r="377">
      <c r="A377" s="242"/>
      <c r="B377" s="243"/>
      <c r="C377" s="243"/>
      <c r="D377" s="243"/>
      <c r="E377" s="15"/>
      <c r="F377" s="243"/>
      <c r="G377" s="243"/>
      <c r="H377" s="13"/>
      <c r="I377" s="13"/>
      <c r="J377" s="242"/>
      <c r="K377" s="242"/>
      <c r="L377" s="13"/>
      <c r="M377" s="242"/>
      <c r="N377" s="242"/>
      <c r="O377" s="242"/>
      <c r="P377" s="242"/>
      <c r="Q377" s="13"/>
      <c r="R377" s="13"/>
      <c r="S377" s="242"/>
      <c r="T377" s="443"/>
      <c r="U377" s="443"/>
      <c r="V377" s="242"/>
      <c r="W377" s="242"/>
      <c r="X377" s="242"/>
      <c r="Y377" s="242"/>
      <c r="Z377" s="242"/>
    </row>
    <row r="378">
      <c r="A378" s="242"/>
      <c r="B378" s="243"/>
      <c r="C378" s="243"/>
      <c r="D378" s="243"/>
      <c r="E378" s="15"/>
      <c r="F378" s="243"/>
      <c r="G378" s="243"/>
      <c r="H378" s="13"/>
      <c r="I378" s="13"/>
      <c r="J378" s="242"/>
      <c r="K378" s="242"/>
      <c r="L378" s="13"/>
      <c r="M378" s="242"/>
      <c r="N378" s="242"/>
      <c r="O378" s="242"/>
      <c r="P378" s="242"/>
      <c r="Q378" s="13"/>
      <c r="R378" s="13"/>
      <c r="S378" s="242"/>
      <c r="T378" s="443"/>
      <c r="U378" s="443"/>
      <c r="V378" s="242"/>
      <c r="W378" s="242"/>
      <c r="X378" s="242"/>
      <c r="Y378" s="242"/>
      <c r="Z378" s="242"/>
    </row>
    <row r="379">
      <c r="A379" s="242"/>
      <c r="B379" s="243"/>
      <c r="C379" s="243"/>
      <c r="D379" s="243"/>
      <c r="E379" s="15"/>
      <c r="F379" s="243"/>
      <c r="G379" s="243"/>
      <c r="H379" s="13"/>
      <c r="I379" s="13"/>
      <c r="J379" s="242"/>
      <c r="K379" s="242"/>
      <c r="L379" s="13"/>
      <c r="M379" s="242"/>
      <c r="N379" s="242"/>
      <c r="O379" s="242"/>
      <c r="P379" s="242"/>
      <c r="Q379" s="13"/>
      <c r="R379" s="13"/>
      <c r="S379" s="242"/>
      <c r="T379" s="443"/>
      <c r="U379" s="443"/>
      <c r="V379" s="242"/>
      <c r="W379" s="242"/>
      <c r="X379" s="242"/>
      <c r="Y379" s="242"/>
      <c r="Z379" s="242"/>
    </row>
    <row r="380">
      <c r="A380" s="242"/>
      <c r="B380" s="243"/>
      <c r="C380" s="243"/>
      <c r="D380" s="243"/>
      <c r="E380" s="15"/>
      <c r="F380" s="243"/>
      <c r="G380" s="243"/>
      <c r="H380" s="13"/>
      <c r="I380" s="13"/>
      <c r="J380" s="242"/>
      <c r="K380" s="242"/>
      <c r="L380" s="13"/>
      <c r="M380" s="242"/>
      <c r="N380" s="242"/>
      <c r="O380" s="242"/>
      <c r="P380" s="242"/>
      <c r="Q380" s="13"/>
      <c r="R380" s="13"/>
      <c r="S380" s="242"/>
      <c r="T380" s="443"/>
      <c r="U380" s="443"/>
      <c r="V380" s="242"/>
      <c r="W380" s="242"/>
      <c r="X380" s="242"/>
      <c r="Y380" s="242"/>
      <c r="Z380" s="242"/>
    </row>
    <row r="381">
      <c r="A381" s="242"/>
      <c r="B381" s="243"/>
      <c r="C381" s="243"/>
      <c r="D381" s="243"/>
      <c r="E381" s="15"/>
      <c r="F381" s="243"/>
      <c r="G381" s="243"/>
      <c r="H381" s="13"/>
      <c r="I381" s="13"/>
      <c r="J381" s="242"/>
      <c r="K381" s="242"/>
      <c r="L381" s="13"/>
      <c r="M381" s="242"/>
      <c r="N381" s="242"/>
      <c r="O381" s="242"/>
      <c r="P381" s="242"/>
      <c r="Q381" s="13"/>
      <c r="R381" s="13"/>
      <c r="S381" s="242"/>
      <c r="T381" s="443"/>
      <c r="U381" s="443"/>
      <c r="V381" s="242"/>
      <c r="W381" s="242"/>
      <c r="X381" s="242"/>
      <c r="Y381" s="242"/>
      <c r="Z381" s="242"/>
    </row>
    <row r="382">
      <c r="A382" s="242"/>
      <c r="B382" s="243"/>
      <c r="C382" s="243"/>
      <c r="D382" s="243"/>
      <c r="E382" s="15"/>
      <c r="F382" s="243"/>
      <c r="G382" s="243"/>
      <c r="H382" s="13"/>
      <c r="I382" s="13"/>
      <c r="J382" s="242"/>
      <c r="K382" s="242"/>
      <c r="L382" s="13"/>
      <c r="M382" s="242"/>
      <c r="N382" s="242"/>
      <c r="O382" s="242"/>
      <c r="P382" s="242"/>
      <c r="Q382" s="13"/>
      <c r="R382" s="13"/>
      <c r="S382" s="242"/>
      <c r="T382" s="443"/>
      <c r="U382" s="443"/>
      <c r="V382" s="242"/>
      <c r="W382" s="242"/>
      <c r="X382" s="242"/>
      <c r="Y382" s="242"/>
      <c r="Z382" s="242"/>
    </row>
    <row r="383">
      <c r="A383" s="242"/>
      <c r="B383" s="243"/>
      <c r="C383" s="243"/>
      <c r="D383" s="243"/>
      <c r="E383" s="15"/>
      <c r="F383" s="243"/>
      <c r="G383" s="243"/>
      <c r="H383" s="13"/>
      <c r="I383" s="13"/>
      <c r="J383" s="242"/>
      <c r="K383" s="242"/>
      <c r="L383" s="13"/>
      <c r="M383" s="242"/>
      <c r="N383" s="242"/>
      <c r="O383" s="242"/>
      <c r="P383" s="242"/>
      <c r="Q383" s="13"/>
      <c r="R383" s="13"/>
      <c r="S383" s="242"/>
      <c r="T383" s="443"/>
      <c r="U383" s="443"/>
      <c r="V383" s="242"/>
      <c r="W383" s="242"/>
      <c r="X383" s="242"/>
      <c r="Y383" s="242"/>
      <c r="Z383" s="242"/>
    </row>
    <row r="384">
      <c r="A384" s="242"/>
      <c r="B384" s="243"/>
      <c r="C384" s="243"/>
      <c r="D384" s="243"/>
      <c r="E384" s="15"/>
      <c r="F384" s="243"/>
      <c r="G384" s="243"/>
      <c r="H384" s="13"/>
      <c r="I384" s="13"/>
      <c r="J384" s="242"/>
      <c r="K384" s="242"/>
      <c r="L384" s="13"/>
      <c r="M384" s="242"/>
      <c r="N384" s="242"/>
      <c r="O384" s="242"/>
      <c r="P384" s="242"/>
      <c r="Q384" s="13"/>
      <c r="R384" s="13"/>
      <c r="S384" s="242"/>
      <c r="T384" s="443"/>
      <c r="U384" s="443"/>
      <c r="V384" s="242"/>
      <c r="W384" s="242"/>
      <c r="X384" s="242"/>
      <c r="Y384" s="242"/>
      <c r="Z384" s="242"/>
    </row>
    <row r="385">
      <c r="A385" s="242"/>
      <c r="B385" s="243"/>
      <c r="C385" s="243"/>
      <c r="D385" s="243"/>
      <c r="E385" s="15"/>
      <c r="F385" s="243"/>
      <c r="G385" s="243"/>
      <c r="H385" s="13"/>
      <c r="I385" s="13"/>
      <c r="J385" s="242"/>
      <c r="K385" s="242"/>
      <c r="L385" s="13"/>
      <c r="M385" s="242"/>
      <c r="N385" s="242"/>
      <c r="O385" s="242"/>
      <c r="P385" s="242"/>
      <c r="Q385" s="13"/>
      <c r="R385" s="13"/>
      <c r="S385" s="242"/>
      <c r="T385" s="443"/>
      <c r="U385" s="443"/>
      <c r="V385" s="242"/>
      <c r="W385" s="242"/>
      <c r="X385" s="242"/>
      <c r="Y385" s="242"/>
      <c r="Z385" s="242"/>
    </row>
    <row r="386">
      <c r="A386" s="242"/>
      <c r="B386" s="243"/>
      <c r="C386" s="243"/>
      <c r="D386" s="243"/>
      <c r="E386" s="15"/>
      <c r="F386" s="243"/>
      <c r="G386" s="243"/>
      <c r="H386" s="13"/>
      <c r="I386" s="13"/>
      <c r="J386" s="242"/>
      <c r="K386" s="242"/>
      <c r="L386" s="13"/>
      <c r="M386" s="242"/>
      <c r="N386" s="242"/>
      <c r="O386" s="242"/>
      <c r="P386" s="242"/>
      <c r="Q386" s="13"/>
      <c r="R386" s="13"/>
      <c r="S386" s="242"/>
      <c r="T386" s="443"/>
      <c r="U386" s="443"/>
      <c r="V386" s="242"/>
      <c r="W386" s="242"/>
      <c r="X386" s="242"/>
      <c r="Y386" s="242"/>
      <c r="Z386" s="242"/>
    </row>
    <row r="387">
      <c r="A387" s="242"/>
      <c r="B387" s="243"/>
      <c r="C387" s="243"/>
      <c r="D387" s="243"/>
      <c r="E387" s="15"/>
      <c r="F387" s="243"/>
      <c r="G387" s="243"/>
      <c r="H387" s="13"/>
      <c r="I387" s="13"/>
      <c r="J387" s="242"/>
      <c r="K387" s="242"/>
      <c r="L387" s="13"/>
      <c r="M387" s="242"/>
      <c r="N387" s="242"/>
      <c r="O387" s="242"/>
      <c r="P387" s="242"/>
      <c r="Q387" s="13"/>
      <c r="R387" s="13"/>
      <c r="S387" s="242"/>
      <c r="T387" s="443"/>
      <c r="U387" s="443"/>
      <c r="V387" s="242"/>
      <c r="W387" s="242"/>
      <c r="X387" s="242"/>
      <c r="Y387" s="242"/>
      <c r="Z387" s="242"/>
    </row>
    <row r="388">
      <c r="A388" s="242"/>
      <c r="B388" s="243"/>
      <c r="C388" s="243"/>
      <c r="D388" s="243"/>
      <c r="E388" s="15"/>
      <c r="F388" s="243"/>
      <c r="G388" s="243"/>
      <c r="H388" s="13"/>
      <c r="I388" s="13"/>
      <c r="J388" s="242"/>
      <c r="K388" s="242"/>
      <c r="L388" s="13"/>
      <c r="M388" s="242"/>
      <c r="N388" s="242"/>
      <c r="O388" s="242"/>
      <c r="P388" s="242"/>
      <c r="Q388" s="13"/>
      <c r="R388" s="13"/>
      <c r="S388" s="242"/>
      <c r="T388" s="443"/>
      <c r="U388" s="443"/>
      <c r="V388" s="242"/>
      <c r="W388" s="242"/>
      <c r="X388" s="242"/>
      <c r="Y388" s="242"/>
      <c r="Z388" s="242"/>
    </row>
    <row r="389">
      <c r="A389" s="242"/>
      <c r="B389" s="243"/>
      <c r="C389" s="243"/>
      <c r="D389" s="243"/>
      <c r="E389" s="15"/>
      <c r="F389" s="243"/>
      <c r="G389" s="243"/>
      <c r="H389" s="13"/>
      <c r="I389" s="13"/>
      <c r="J389" s="242"/>
      <c r="K389" s="242"/>
      <c r="L389" s="13"/>
      <c r="M389" s="242"/>
      <c r="N389" s="242"/>
      <c r="O389" s="242"/>
      <c r="P389" s="242"/>
      <c r="Q389" s="13"/>
      <c r="R389" s="13"/>
      <c r="S389" s="242"/>
      <c r="T389" s="443"/>
      <c r="U389" s="443"/>
      <c r="V389" s="242"/>
      <c r="W389" s="242"/>
      <c r="X389" s="242"/>
      <c r="Y389" s="242"/>
      <c r="Z389" s="242"/>
    </row>
    <row r="390">
      <c r="A390" s="242"/>
      <c r="B390" s="243"/>
      <c r="C390" s="243"/>
      <c r="D390" s="243"/>
      <c r="E390" s="15"/>
      <c r="F390" s="243"/>
      <c r="G390" s="243"/>
      <c r="H390" s="13"/>
      <c r="I390" s="13"/>
      <c r="J390" s="242"/>
      <c r="K390" s="242"/>
      <c r="L390" s="13"/>
      <c r="M390" s="242"/>
      <c r="N390" s="242"/>
      <c r="O390" s="242"/>
      <c r="P390" s="242"/>
      <c r="Q390" s="13"/>
      <c r="R390" s="13"/>
      <c r="S390" s="242"/>
      <c r="T390" s="443"/>
      <c r="U390" s="443"/>
      <c r="V390" s="242"/>
      <c r="W390" s="242"/>
      <c r="X390" s="242"/>
      <c r="Y390" s="242"/>
      <c r="Z390" s="242"/>
    </row>
    <row r="391">
      <c r="A391" s="242"/>
      <c r="B391" s="243"/>
      <c r="C391" s="243"/>
      <c r="D391" s="243"/>
      <c r="E391" s="15"/>
      <c r="F391" s="243"/>
      <c r="G391" s="243"/>
      <c r="H391" s="13"/>
      <c r="I391" s="13"/>
      <c r="J391" s="242"/>
      <c r="K391" s="242"/>
      <c r="L391" s="13"/>
      <c r="M391" s="242"/>
      <c r="N391" s="242"/>
      <c r="O391" s="242"/>
      <c r="P391" s="242"/>
      <c r="Q391" s="13"/>
      <c r="R391" s="13"/>
      <c r="S391" s="242"/>
      <c r="T391" s="443"/>
      <c r="U391" s="443"/>
      <c r="V391" s="242"/>
      <c r="W391" s="242"/>
      <c r="X391" s="242"/>
      <c r="Y391" s="242"/>
      <c r="Z391" s="242"/>
    </row>
    <row r="392">
      <c r="A392" s="242"/>
      <c r="B392" s="243"/>
      <c r="C392" s="243"/>
      <c r="D392" s="243"/>
      <c r="E392" s="15"/>
      <c r="F392" s="243"/>
      <c r="G392" s="243"/>
      <c r="H392" s="13"/>
      <c r="I392" s="13"/>
      <c r="J392" s="242"/>
      <c r="K392" s="242"/>
      <c r="L392" s="13"/>
      <c r="M392" s="242"/>
      <c r="N392" s="242"/>
      <c r="O392" s="242"/>
      <c r="P392" s="242"/>
      <c r="Q392" s="13"/>
      <c r="R392" s="13"/>
      <c r="S392" s="242"/>
      <c r="T392" s="443"/>
      <c r="U392" s="443"/>
      <c r="V392" s="242"/>
      <c r="W392" s="242"/>
      <c r="X392" s="242"/>
      <c r="Y392" s="242"/>
      <c r="Z392" s="242"/>
    </row>
    <row r="393">
      <c r="A393" s="242"/>
      <c r="B393" s="243"/>
      <c r="C393" s="243"/>
      <c r="D393" s="243"/>
      <c r="E393" s="15"/>
      <c r="F393" s="243"/>
      <c r="G393" s="243"/>
      <c r="H393" s="13"/>
      <c r="I393" s="13"/>
      <c r="J393" s="242"/>
      <c r="K393" s="242"/>
      <c r="L393" s="13"/>
      <c r="M393" s="242"/>
      <c r="N393" s="242"/>
      <c r="O393" s="242"/>
      <c r="P393" s="242"/>
      <c r="Q393" s="13"/>
      <c r="R393" s="13"/>
      <c r="S393" s="242"/>
      <c r="T393" s="443"/>
      <c r="U393" s="443"/>
      <c r="V393" s="242"/>
      <c r="W393" s="242"/>
      <c r="X393" s="242"/>
      <c r="Y393" s="242"/>
      <c r="Z393" s="242"/>
    </row>
    <row r="394">
      <c r="A394" s="242"/>
      <c r="B394" s="243"/>
      <c r="C394" s="243"/>
      <c r="D394" s="243"/>
      <c r="E394" s="15"/>
      <c r="F394" s="243"/>
      <c r="G394" s="243"/>
      <c r="H394" s="13"/>
      <c r="I394" s="13"/>
      <c r="J394" s="242"/>
      <c r="K394" s="242"/>
      <c r="L394" s="13"/>
      <c r="M394" s="242"/>
      <c r="N394" s="242"/>
      <c r="O394" s="242"/>
      <c r="P394" s="242"/>
      <c r="Q394" s="13"/>
      <c r="R394" s="13"/>
      <c r="S394" s="242"/>
      <c r="T394" s="443"/>
      <c r="U394" s="443"/>
      <c r="V394" s="242"/>
      <c r="W394" s="242"/>
      <c r="X394" s="242"/>
      <c r="Y394" s="242"/>
      <c r="Z394" s="242"/>
    </row>
    <row r="395">
      <c r="A395" s="242"/>
      <c r="B395" s="243"/>
      <c r="C395" s="243"/>
      <c r="D395" s="243"/>
      <c r="E395" s="15"/>
      <c r="F395" s="243"/>
      <c r="G395" s="243"/>
      <c r="H395" s="13"/>
      <c r="I395" s="13"/>
      <c r="J395" s="242"/>
      <c r="K395" s="242"/>
      <c r="L395" s="13"/>
      <c r="M395" s="242"/>
      <c r="N395" s="242"/>
      <c r="O395" s="242"/>
      <c r="P395" s="242"/>
      <c r="Q395" s="13"/>
      <c r="R395" s="13"/>
      <c r="S395" s="242"/>
      <c r="T395" s="443"/>
      <c r="U395" s="443"/>
      <c r="V395" s="242"/>
      <c r="W395" s="242"/>
      <c r="X395" s="242"/>
      <c r="Y395" s="242"/>
      <c r="Z395" s="242"/>
    </row>
    <row r="396">
      <c r="A396" s="242"/>
      <c r="B396" s="243"/>
      <c r="C396" s="243"/>
      <c r="D396" s="243"/>
      <c r="E396" s="15"/>
      <c r="F396" s="243"/>
      <c r="G396" s="243"/>
      <c r="H396" s="13"/>
      <c r="I396" s="13"/>
      <c r="J396" s="242"/>
      <c r="K396" s="242"/>
      <c r="L396" s="13"/>
      <c r="M396" s="242"/>
      <c r="N396" s="242"/>
      <c r="O396" s="242"/>
      <c r="P396" s="242"/>
      <c r="Q396" s="13"/>
      <c r="R396" s="13"/>
      <c r="S396" s="242"/>
      <c r="T396" s="443"/>
      <c r="U396" s="443"/>
      <c r="V396" s="242"/>
      <c r="W396" s="242"/>
      <c r="X396" s="242"/>
      <c r="Y396" s="242"/>
      <c r="Z396" s="242"/>
    </row>
    <row r="397">
      <c r="A397" s="242"/>
      <c r="B397" s="243"/>
      <c r="C397" s="243"/>
      <c r="D397" s="243"/>
      <c r="E397" s="15"/>
      <c r="F397" s="243"/>
      <c r="G397" s="243"/>
      <c r="H397" s="13"/>
      <c r="I397" s="13"/>
      <c r="J397" s="242"/>
      <c r="K397" s="242"/>
      <c r="L397" s="13"/>
      <c r="M397" s="242"/>
      <c r="N397" s="242"/>
      <c r="O397" s="242"/>
      <c r="P397" s="242"/>
      <c r="Q397" s="13"/>
      <c r="R397" s="13"/>
      <c r="S397" s="242"/>
      <c r="T397" s="443"/>
      <c r="U397" s="443"/>
      <c r="V397" s="242"/>
      <c r="W397" s="242"/>
      <c r="X397" s="242"/>
      <c r="Y397" s="242"/>
      <c r="Z397" s="242"/>
    </row>
    <row r="398">
      <c r="A398" s="242"/>
      <c r="B398" s="243"/>
      <c r="C398" s="243"/>
      <c r="D398" s="243"/>
      <c r="E398" s="15"/>
      <c r="F398" s="243"/>
      <c r="G398" s="243"/>
      <c r="H398" s="13"/>
      <c r="I398" s="13"/>
      <c r="J398" s="242"/>
      <c r="K398" s="242"/>
      <c r="L398" s="13"/>
      <c r="M398" s="242"/>
      <c r="N398" s="242"/>
      <c r="O398" s="242"/>
      <c r="P398" s="242"/>
      <c r="Q398" s="13"/>
      <c r="R398" s="13"/>
      <c r="S398" s="242"/>
      <c r="T398" s="443"/>
      <c r="U398" s="443"/>
      <c r="V398" s="242"/>
      <c r="W398" s="242"/>
      <c r="X398" s="242"/>
      <c r="Y398" s="242"/>
      <c r="Z398" s="242"/>
    </row>
    <row r="399">
      <c r="A399" s="242"/>
      <c r="B399" s="243"/>
      <c r="C399" s="243"/>
      <c r="D399" s="243"/>
      <c r="E399" s="15"/>
      <c r="F399" s="243"/>
      <c r="G399" s="243"/>
      <c r="H399" s="13"/>
      <c r="I399" s="13"/>
      <c r="J399" s="242"/>
      <c r="K399" s="242"/>
      <c r="L399" s="13"/>
      <c r="M399" s="242"/>
      <c r="N399" s="242"/>
      <c r="O399" s="242"/>
      <c r="P399" s="242"/>
      <c r="Q399" s="13"/>
      <c r="R399" s="13"/>
      <c r="S399" s="242"/>
      <c r="T399" s="443"/>
      <c r="U399" s="443"/>
      <c r="V399" s="242"/>
      <c r="W399" s="242"/>
      <c r="X399" s="242"/>
      <c r="Y399" s="242"/>
      <c r="Z399" s="242"/>
    </row>
    <row r="400">
      <c r="A400" s="242"/>
      <c r="B400" s="243"/>
      <c r="C400" s="243"/>
      <c r="D400" s="243"/>
      <c r="E400" s="15"/>
      <c r="F400" s="243"/>
      <c r="G400" s="243"/>
      <c r="H400" s="13"/>
      <c r="I400" s="13"/>
      <c r="J400" s="242"/>
      <c r="K400" s="242"/>
      <c r="L400" s="13"/>
      <c r="M400" s="242"/>
      <c r="N400" s="242"/>
      <c r="O400" s="242"/>
      <c r="P400" s="242"/>
      <c r="Q400" s="13"/>
      <c r="R400" s="13"/>
      <c r="S400" s="242"/>
      <c r="T400" s="443"/>
      <c r="U400" s="443"/>
      <c r="V400" s="242"/>
      <c r="W400" s="242"/>
      <c r="X400" s="242"/>
      <c r="Y400" s="242"/>
      <c r="Z400" s="242"/>
    </row>
    <row r="401">
      <c r="A401" s="242"/>
      <c r="B401" s="243"/>
      <c r="C401" s="243"/>
      <c r="D401" s="243"/>
      <c r="E401" s="15"/>
      <c r="F401" s="243"/>
      <c r="G401" s="243"/>
      <c r="H401" s="13"/>
      <c r="I401" s="13"/>
      <c r="J401" s="242"/>
      <c r="K401" s="242"/>
      <c r="L401" s="13"/>
      <c r="M401" s="242"/>
      <c r="N401" s="242"/>
      <c r="O401" s="242"/>
      <c r="P401" s="242"/>
      <c r="Q401" s="13"/>
      <c r="R401" s="13"/>
      <c r="S401" s="242"/>
      <c r="T401" s="443"/>
      <c r="U401" s="443"/>
      <c r="V401" s="242"/>
      <c r="W401" s="242"/>
      <c r="X401" s="242"/>
      <c r="Y401" s="242"/>
      <c r="Z401" s="242"/>
    </row>
    <row r="402">
      <c r="A402" s="242"/>
      <c r="B402" s="243"/>
      <c r="C402" s="243"/>
      <c r="D402" s="243"/>
      <c r="E402" s="15"/>
      <c r="F402" s="243"/>
      <c r="G402" s="243"/>
      <c r="H402" s="13"/>
      <c r="I402" s="13"/>
      <c r="J402" s="242"/>
      <c r="K402" s="242"/>
      <c r="L402" s="13"/>
      <c r="M402" s="242"/>
      <c r="N402" s="242"/>
      <c r="O402" s="242"/>
      <c r="P402" s="242"/>
      <c r="Q402" s="13"/>
      <c r="R402" s="13"/>
      <c r="S402" s="242"/>
      <c r="T402" s="443"/>
      <c r="U402" s="443"/>
      <c r="V402" s="242"/>
      <c r="W402" s="242"/>
      <c r="X402" s="242"/>
      <c r="Y402" s="242"/>
      <c r="Z402" s="242"/>
    </row>
    <row r="403">
      <c r="A403" s="242"/>
      <c r="B403" s="243"/>
      <c r="C403" s="243"/>
      <c r="D403" s="243"/>
      <c r="E403" s="15"/>
      <c r="F403" s="243"/>
      <c r="G403" s="243"/>
      <c r="H403" s="13"/>
      <c r="I403" s="13"/>
      <c r="J403" s="242"/>
      <c r="K403" s="242"/>
      <c r="L403" s="13"/>
      <c r="M403" s="242"/>
      <c r="N403" s="242"/>
      <c r="O403" s="242"/>
      <c r="P403" s="242"/>
      <c r="Q403" s="13"/>
      <c r="R403" s="13"/>
      <c r="S403" s="242"/>
      <c r="T403" s="443"/>
      <c r="U403" s="443"/>
      <c r="V403" s="242"/>
      <c r="W403" s="242"/>
      <c r="X403" s="242"/>
      <c r="Y403" s="242"/>
      <c r="Z403" s="242"/>
    </row>
    <row r="404">
      <c r="A404" s="242"/>
      <c r="B404" s="243"/>
      <c r="C404" s="243"/>
      <c r="D404" s="243"/>
      <c r="E404" s="15"/>
      <c r="F404" s="243"/>
      <c r="G404" s="243"/>
      <c r="H404" s="13"/>
      <c r="I404" s="13"/>
      <c r="J404" s="242"/>
      <c r="K404" s="242"/>
      <c r="L404" s="13"/>
      <c r="M404" s="242"/>
      <c r="N404" s="242"/>
      <c r="O404" s="242"/>
      <c r="P404" s="242"/>
      <c r="Q404" s="13"/>
      <c r="R404" s="13"/>
      <c r="S404" s="242"/>
      <c r="T404" s="443"/>
      <c r="U404" s="443"/>
      <c r="V404" s="242"/>
      <c r="W404" s="242"/>
      <c r="X404" s="242"/>
      <c r="Y404" s="242"/>
      <c r="Z404" s="242"/>
    </row>
    <row r="405">
      <c r="A405" s="242"/>
      <c r="B405" s="243"/>
      <c r="C405" s="243"/>
      <c r="D405" s="243"/>
      <c r="E405" s="15"/>
      <c r="F405" s="243"/>
      <c r="G405" s="243"/>
      <c r="H405" s="13"/>
      <c r="I405" s="13"/>
      <c r="J405" s="242"/>
      <c r="K405" s="242"/>
      <c r="L405" s="13"/>
      <c r="M405" s="242"/>
      <c r="N405" s="242"/>
      <c r="O405" s="242"/>
      <c r="P405" s="242"/>
      <c r="Q405" s="13"/>
      <c r="R405" s="13"/>
      <c r="S405" s="242"/>
      <c r="T405" s="443"/>
      <c r="U405" s="443"/>
      <c r="V405" s="242"/>
      <c r="W405" s="242"/>
      <c r="X405" s="242"/>
      <c r="Y405" s="242"/>
      <c r="Z405" s="242"/>
    </row>
    <row r="406">
      <c r="A406" s="242"/>
      <c r="B406" s="243"/>
      <c r="C406" s="243"/>
      <c r="D406" s="243"/>
      <c r="E406" s="15"/>
      <c r="F406" s="243"/>
      <c r="G406" s="243"/>
      <c r="H406" s="13"/>
      <c r="I406" s="13"/>
      <c r="J406" s="242"/>
      <c r="K406" s="242"/>
      <c r="L406" s="13"/>
      <c r="M406" s="242"/>
      <c r="N406" s="242"/>
      <c r="O406" s="242"/>
      <c r="P406" s="242"/>
      <c r="Q406" s="13"/>
      <c r="R406" s="13"/>
      <c r="S406" s="242"/>
      <c r="T406" s="443"/>
      <c r="U406" s="443"/>
      <c r="V406" s="242"/>
      <c r="W406" s="242"/>
      <c r="X406" s="242"/>
      <c r="Y406" s="242"/>
      <c r="Z406" s="242"/>
    </row>
    <row r="407">
      <c r="A407" s="242"/>
      <c r="B407" s="243"/>
      <c r="C407" s="243"/>
      <c r="D407" s="243"/>
      <c r="E407" s="15"/>
      <c r="F407" s="243"/>
      <c r="G407" s="243"/>
      <c r="H407" s="13"/>
      <c r="I407" s="13"/>
      <c r="J407" s="242"/>
      <c r="K407" s="242"/>
      <c r="L407" s="13"/>
      <c r="M407" s="242"/>
      <c r="N407" s="242"/>
      <c r="O407" s="242"/>
      <c r="P407" s="242"/>
      <c r="Q407" s="13"/>
      <c r="R407" s="13"/>
      <c r="S407" s="242"/>
      <c r="T407" s="443"/>
      <c r="U407" s="443"/>
      <c r="V407" s="242"/>
      <c r="W407" s="242"/>
      <c r="X407" s="242"/>
      <c r="Y407" s="242"/>
      <c r="Z407" s="242"/>
    </row>
    <row r="408">
      <c r="A408" s="242"/>
      <c r="B408" s="243"/>
      <c r="C408" s="243"/>
      <c r="D408" s="243"/>
      <c r="E408" s="15"/>
      <c r="F408" s="243"/>
      <c r="G408" s="243"/>
      <c r="H408" s="13"/>
      <c r="I408" s="13"/>
      <c r="J408" s="242"/>
      <c r="K408" s="242"/>
      <c r="L408" s="13"/>
      <c r="M408" s="242"/>
      <c r="N408" s="242"/>
      <c r="O408" s="242"/>
      <c r="P408" s="242"/>
      <c r="Q408" s="13"/>
      <c r="R408" s="13"/>
      <c r="S408" s="242"/>
      <c r="T408" s="443"/>
      <c r="U408" s="443"/>
      <c r="V408" s="242"/>
      <c r="W408" s="242"/>
      <c r="X408" s="242"/>
      <c r="Y408" s="242"/>
      <c r="Z408" s="242"/>
    </row>
    <row r="409">
      <c r="A409" s="242"/>
      <c r="B409" s="243"/>
      <c r="C409" s="243"/>
      <c r="D409" s="243"/>
      <c r="E409" s="15"/>
      <c r="F409" s="243"/>
      <c r="G409" s="243"/>
      <c r="H409" s="13"/>
      <c r="I409" s="13"/>
      <c r="J409" s="242"/>
      <c r="K409" s="242"/>
      <c r="L409" s="13"/>
      <c r="M409" s="242"/>
      <c r="N409" s="242"/>
      <c r="O409" s="242"/>
      <c r="P409" s="242"/>
      <c r="Q409" s="13"/>
      <c r="R409" s="13"/>
      <c r="S409" s="242"/>
      <c r="T409" s="443"/>
      <c r="U409" s="443"/>
      <c r="V409" s="242"/>
      <c r="W409" s="242"/>
      <c r="X409" s="242"/>
      <c r="Y409" s="242"/>
      <c r="Z409" s="242"/>
    </row>
    <row r="410">
      <c r="A410" s="242"/>
      <c r="B410" s="243"/>
      <c r="C410" s="243"/>
      <c r="D410" s="243"/>
      <c r="E410" s="15"/>
      <c r="F410" s="243"/>
      <c r="G410" s="243"/>
      <c r="H410" s="13"/>
      <c r="I410" s="13"/>
      <c r="J410" s="242"/>
      <c r="K410" s="242"/>
      <c r="L410" s="13"/>
      <c r="M410" s="242"/>
      <c r="N410" s="242"/>
      <c r="O410" s="242"/>
      <c r="P410" s="242"/>
      <c r="Q410" s="13"/>
      <c r="R410" s="13"/>
      <c r="S410" s="242"/>
      <c r="T410" s="443"/>
      <c r="U410" s="443"/>
      <c r="V410" s="242"/>
      <c r="W410" s="242"/>
      <c r="X410" s="242"/>
      <c r="Y410" s="242"/>
      <c r="Z410" s="242"/>
    </row>
    <row r="411">
      <c r="A411" s="242"/>
      <c r="B411" s="243"/>
      <c r="C411" s="243"/>
      <c r="D411" s="243"/>
      <c r="E411" s="15"/>
      <c r="F411" s="243"/>
      <c r="G411" s="243"/>
      <c r="H411" s="13"/>
      <c r="I411" s="13"/>
      <c r="J411" s="242"/>
      <c r="K411" s="242"/>
      <c r="L411" s="13"/>
      <c r="M411" s="242"/>
      <c r="N411" s="242"/>
      <c r="O411" s="242"/>
      <c r="P411" s="242"/>
      <c r="Q411" s="13"/>
      <c r="R411" s="13"/>
      <c r="S411" s="242"/>
      <c r="T411" s="443"/>
      <c r="U411" s="443"/>
      <c r="V411" s="242"/>
      <c r="W411" s="242"/>
      <c r="X411" s="242"/>
      <c r="Y411" s="242"/>
      <c r="Z411" s="242"/>
    </row>
    <row r="412">
      <c r="A412" s="242"/>
      <c r="B412" s="243"/>
      <c r="C412" s="243"/>
      <c r="D412" s="243"/>
      <c r="E412" s="15"/>
      <c r="F412" s="243"/>
      <c r="G412" s="243"/>
      <c r="H412" s="13"/>
      <c r="I412" s="13"/>
      <c r="J412" s="242"/>
      <c r="K412" s="242"/>
      <c r="L412" s="13"/>
      <c r="M412" s="242"/>
      <c r="N412" s="242"/>
      <c r="O412" s="242"/>
      <c r="P412" s="242"/>
      <c r="Q412" s="13"/>
      <c r="R412" s="13"/>
      <c r="S412" s="242"/>
      <c r="T412" s="443"/>
      <c r="U412" s="443"/>
      <c r="V412" s="242"/>
      <c r="W412" s="242"/>
      <c r="X412" s="242"/>
      <c r="Y412" s="242"/>
      <c r="Z412" s="242"/>
    </row>
    <row r="413">
      <c r="A413" s="242"/>
      <c r="B413" s="243"/>
      <c r="C413" s="243"/>
      <c r="D413" s="243"/>
      <c r="E413" s="15"/>
      <c r="F413" s="243"/>
      <c r="G413" s="243"/>
      <c r="H413" s="13"/>
      <c r="I413" s="13"/>
      <c r="J413" s="242"/>
      <c r="K413" s="242"/>
      <c r="L413" s="13"/>
      <c r="M413" s="242"/>
      <c r="N413" s="242"/>
      <c r="O413" s="242"/>
      <c r="P413" s="242"/>
      <c r="Q413" s="13"/>
      <c r="R413" s="13"/>
      <c r="S413" s="242"/>
      <c r="T413" s="443"/>
      <c r="U413" s="443"/>
      <c r="V413" s="242"/>
      <c r="W413" s="242"/>
      <c r="X413" s="242"/>
      <c r="Y413" s="242"/>
      <c r="Z413" s="242"/>
    </row>
    <row r="414">
      <c r="A414" s="242"/>
      <c r="B414" s="243"/>
      <c r="C414" s="243"/>
      <c r="D414" s="243"/>
      <c r="E414" s="15"/>
      <c r="F414" s="243"/>
      <c r="G414" s="243"/>
      <c r="H414" s="13"/>
      <c r="I414" s="13"/>
      <c r="J414" s="242"/>
      <c r="K414" s="242"/>
      <c r="L414" s="13"/>
      <c r="M414" s="242"/>
      <c r="N414" s="242"/>
      <c r="O414" s="242"/>
      <c r="P414" s="242"/>
      <c r="Q414" s="13"/>
      <c r="R414" s="13"/>
      <c r="S414" s="242"/>
      <c r="T414" s="443"/>
      <c r="U414" s="443"/>
      <c r="V414" s="242"/>
      <c r="W414" s="242"/>
      <c r="X414" s="242"/>
      <c r="Y414" s="242"/>
      <c r="Z414" s="242"/>
    </row>
    <row r="415">
      <c r="A415" s="242"/>
      <c r="B415" s="243"/>
      <c r="C415" s="243"/>
      <c r="D415" s="243"/>
      <c r="E415" s="15"/>
      <c r="F415" s="243"/>
      <c r="G415" s="243"/>
      <c r="H415" s="13"/>
      <c r="I415" s="13"/>
      <c r="J415" s="242"/>
      <c r="K415" s="242"/>
      <c r="L415" s="13"/>
      <c r="M415" s="242"/>
      <c r="N415" s="242"/>
      <c r="O415" s="242"/>
      <c r="P415" s="242"/>
      <c r="Q415" s="13"/>
      <c r="R415" s="13"/>
      <c r="S415" s="242"/>
      <c r="T415" s="443"/>
      <c r="U415" s="443"/>
      <c r="V415" s="242"/>
      <c r="W415" s="242"/>
      <c r="X415" s="242"/>
      <c r="Y415" s="242"/>
      <c r="Z415" s="242"/>
    </row>
    <row r="416">
      <c r="A416" s="242"/>
      <c r="B416" s="243"/>
      <c r="C416" s="243"/>
      <c r="D416" s="243"/>
      <c r="E416" s="15"/>
      <c r="F416" s="243"/>
      <c r="G416" s="243"/>
      <c r="H416" s="13"/>
      <c r="I416" s="13"/>
      <c r="J416" s="242"/>
      <c r="K416" s="242"/>
      <c r="L416" s="13"/>
      <c r="M416" s="242"/>
      <c r="N416" s="242"/>
      <c r="O416" s="242"/>
      <c r="P416" s="242"/>
      <c r="Q416" s="13"/>
      <c r="R416" s="13"/>
      <c r="S416" s="242"/>
      <c r="T416" s="443"/>
      <c r="U416" s="443"/>
      <c r="V416" s="242"/>
      <c r="W416" s="242"/>
      <c r="X416" s="242"/>
      <c r="Y416" s="242"/>
      <c r="Z416" s="242"/>
    </row>
    <row r="417">
      <c r="A417" s="242"/>
      <c r="B417" s="243"/>
      <c r="C417" s="243"/>
      <c r="D417" s="243"/>
      <c r="E417" s="15"/>
      <c r="F417" s="243"/>
      <c r="G417" s="243"/>
      <c r="H417" s="13"/>
      <c r="I417" s="13"/>
      <c r="J417" s="242"/>
      <c r="K417" s="242"/>
      <c r="L417" s="13"/>
      <c r="M417" s="242"/>
      <c r="N417" s="242"/>
      <c r="O417" s="242"/>
      <c r="P417" s="242"/>
      <c r="Q417" s="13"/>
      <c r="R417" s="13"/>
      <c r="S417" s="242"/>
      <c r="T417" s="443"/>
      <c r="U417" s="443"/>
      <c r="V417" s="242"/>
      <c r="W417" s="242"/>
      <c r="X417" s="242"/>
      <c r="Y417" s="242"/>
      <c r="Z417" s="242"/>
    </row>
    <row r="418">
      <c r="A418" s="242"/>
      <c r="B418" s="243"/>
      <c r="C418" s="243"/>
      <c r="D418" s="243"/>
      <c r="E418" s="15"/>
      <c r="F418" s="243"/>
      <c r="G418" s="243"/>
      <c r="H418" s="13"/>
      <c r="I418" s="13"/>
      <c r="J418" s="242"/>
      <c r="K418" s="242"/>
      <c r="L418" s="13"/>
      <c r="M418" s="242"/>
      <c r="N418" s="242"/>
      <c r="O418" s="242"/>
      <c r="P418" s="242"/>
      <c r="Q418" s="13"/>
      <c r="R418" s="13"/>
      <c r="S418" s="242"/>
      <c r="T418" s="443"/>
      <c r="U418" s="443"/>
      <c r="V418" s="242"/>
      <c r="W418" s="242"/>
      <c r="X418" s="242"/>
      <c r="Y418" s="242"/>
      <c r="Z418" s="242"/>
    </row>
    <row r="419">
      <c r="A419" s="242"/>
      <c r="B419" s="243"/>
      <c r="C419" s="243"/>
      <c r="D419" s="243"/>
      <c r="E419" s="15"/>
      <c r="F419" s="243"/>
      <c r="G419" s="243"/>
      <c r="H419" s="13"/>
      <c r="I419" s="13"/>
      <c r="J419" s="242"/>
      <c r="K419" s="242"/>
      <c r="L419" s="13"/>
      <c r="M419" s="242"/>
      <c r="N419" s="242"/>
      <c r="O419" s="242"/>
      <c r="P419" s="242"/>
      <c r="Q419" s="13"/>
      <c r="R419" s="13"/>
      <c r="S419" s="242"/>
      <c r="T419" s="443"/>
      <c r="U419" s="443"/>
      <c r="V419" s="242"/>
      <c r="W419" s="242"/>
      <c r="X419" s="242"/>
      <c r="Y419" s="242"/>
      <c r="Z419" s="242"/>
    </row>
    <row r="420">
      <c r="A420" s="242"/>
      <c r="B420" s="243"/>
      <c r="C420" s="243"/>
      <c r="D420" s="243"/>
      <c r="E420" s="15"/>
      <c r="F420" s="243"/>
      <c r="G420" s="243"/>
      <c r="H420" s="13"/>
      <c r="I420" s="13"/>
      <c r="J420" s="242"/>
      <c r="K420" s="242"/>
      <c r="L420" s="13"/>
      <c r="M420" s="242"/>
      <c r="N420" s="242"/>
      <c r="O420" s="242"/>
      <c r="P420" s="242"/>
      <c r="Q420" s="13"/>
      <c r="R420" s="13"/>
      <c r="S420" s="242"/>
      <c r="T420" s="443"/>
      <c r="U420" s="443"/>
      <c r="V420" s="242"/>
      <c r="W420" s="242"/>
      <c r="X420" s="242"/>
      <c r="Y420" s="242"/>
      <c r="Z420" s="242"/>
    </row>
    <row r="421">
      <c r="A421" s="242"/>
      <c r="B421" s="243"/>
      <c r="C421" s="243"/>
      <c r="D421" s="243"/>
      <c r="E421" s="15"/>
      <c r="F421" s="243"/>
      <c r="G421" s="243"/>
      <c r="H421" s="13"/>
      <c r="I421" s="13"/>
      <c r="J421" s="242"/>
      <c r="K421" s="242"/>
      <c r="L421" s="13"/>
      <c r="M421" s="242"/>
      <c r="N421" s="242"/>
      <c r="O421" s="242"/>
      <c r="P421" s="242"/>
      <c r="Q421" s="13"/>
      <c r="R421" s="13"/>
      <c r="S421" s="242"/>
      <c r="T421" s="443"/>
      <c r="U421" s="443"/>
      <c r="V421" s="242"/>
      <c r="W421" s="242"/>
      <c r="X421" s="242"/>
      <c r="Y421" s="242"/>
      <c r="Z421" s="242"/>
    </row>
    <row r="422">
      <c r="A422" s="242"/>
      <c r="B422" s="243"/>
      <c r="C422" s="243"/>
      <c r="D422" s="243"/>
      <c r="E422" s="15"/>
      <c r="F422" s="243"/>
      <c r="G422" s="243"/>
      <c r="H422" s="13"/>
      <c r="I422" s="13"/>
      <c r="J422" s="242"/>
      <c r="K422" s="242"/>
      <c r="L422" s="13"/>
      <c r="M422" s="242"/>
      <c r="N422" s="242"/>
      <c r="O422" s="242"/>
      <c r="P422" s="242"/>
      <c r="Q422" s="13"/>
      <c r="R422" s="13"/>
      <c r="S422" s="242"/>
      <c r="T422" s="443"/>
      <c r="U422" s="443"/>
      <c r="V422" s="242"/>
      <c r="W422" s="242"/>
      <c r="X422" s="242"/>
      <c r="Y422" s="242"/>
      <c r="Z422" s="242"/>
    </row>
    <row r="423">
      <c r="A423" s="242"/>
      <c r="B423" s="243"/>
      <c r="C423" s="243"/>
      <c r="D423" s="243"/>
      <c r="E423" s="15"/>
      <c r="F423" s="243"/>
      <c r="G423" s="243"/>
      <c r="H423" s="13"/>
      <c r="I423" s="13"/>
      <c r="J423" s="242"/>
      <c r="K423" s="242"/>
      <c r="L423" s="13"/>
      <c r="M423" s="242"/>
      <c r="N423" s="242"/>
      <c r="O423" s="242"/>
      <c r="P423" s="242"/>
      <c r="Q423" s="13"/>
      <c r="R423" s="13"/>
      <c r="S423" s="242"/>
      <c r="T423" s="443"/>
      <c r="U423" s="443"/>
      <c r="V423" s="242"/>
      <c r="W423" s="242"/>
      <c r="X423" s="242"/>
      <c r="Y423" s="242"/>
      <c r="Z423" s="242"/>
    </row>
    <row r="424">
      <c r="A424" s="242"/>
      <c r="B424" s="243"/>
      <c r="C424" s="243"/>
      <c r="D424" s="243"/>
      <c r="E424" s="15"/>
      <c r="F424" s="243"/>
      <c r="G424" s="243"/>
      <c r="H424" s="13"/>
      <c r="I424" s="13"/>
      <c r="J424" s="242"/>
      <c r="K424" s="242"/>
      <c r="L424" s="13"/>
      <c r="M424" s="242"/>
      <c r="N424" s="242"/>
      <c r="O424" s="242"/>
      <c r="P424" s="242"/>
      <c r="Q424" s="13"/>
      <c r="R424" s="13"/>
      <c r="S424" s="242"/>
      <c r="T424" s="443"/>
      <c r="U424" s="443"/>
      <c r="V424" s="242"/>
      <c r="W424" s="242"/>
      <c r="X424" s="242"/>
      <c r="Y424" s="242"/>
      <c r="Z424" s="242"/>
    </row>
    <row r="425">
      <c r="A425" s="242"/>
      <c r="B425" s="243"/>
      <c r="C425" s="243"/>
      <c r="D425" s="243"/>
      <c r="E425" s="15"/>
      <c r="F425" s="243"/>
      <c r="G425" s="243"/>
      <c r="H425" s="13"/>
      <c r="I425" s="13"/>
      <c r="J425" s="242"/>
      <c r="K425" s="242"/>
      <c r="L425" s="13"/>
      <c r="M425" s="242"/>
      <c r="N425" s="242"/>
      <c r="O425" s="242"/>
      <c r="P425" s="242"/>
      <c r="Q425" s="13"/>
      <c r="R425" s="13"/>
      <c r="S425" s="242"/>
      <c r="T425" s="443"/>
      <c r="U425" s="443"/>
      <c r="V425" s="242"/>
      <c r="W425" s="242"/>
      <c r="X425" s="242"/>
      <c r="Y425" s="242"/>
      <c r="Z425" s="242"/>
    </row>
    <row r="426">
      <c r="A426" s="242"/>
      <c r="B426" s="243"/>
      <c r="C426" s="243"/>
      <c r="D426" s="243"/>
      <c r="E426" s="15"/>
      <c r="F426" s="243"/>
      <c r="G426" s="243"/>
      <c r="H426" s="13"/>
      <c r="I426" s="13"/>
      <c r="J426" s="242"/>
      <c r="K426" s="242"/>
      <c r="L426" s="13"/>
      <c r="M426" s="242"/>
      <c r="N426" s="242"/>
      <c r="O426" s="242"/>
      <c r="P426" s="242"/>
      <c r="Q426" s="13"/>
      <c r="R426" s="13"/>
      <c r="S426" s="242"/>
      <c r="T426" s="443"/>
      <c r="U426" s="443"/>
      <c r="V426" s="242"/>
      <c r="W426" s="242"/>
      <c r="X426" s="242"/>
      <c r="Y426" s="242"/>
      <c r="Z426" s="242"/>
    </row>
    <row r="427">
      <c r="A427" s="242"/>
      <c r="B427" s="243"/>
      <c r="C427" s="243"/>
      <c r="D427" s="243"/>
      <c r="E427" s="15"/>
      <c r="F427" s="243"/>
      <c r="G427" s="243"/>
      <c r="H427" s="13"/>
      <c r="I427" s="13"/>
      <c r="J427" s="242"/>
      <c r="K427" s="242"/>
      <c r="L427" s="13"/>
      <c r="M427" s="242"/>
      <c r="N427" s="242"/>
      <c r="O427" s="242"/>
      <c r="P427" s="242"/>
      <c r="Q427" s="13"/>
      <c r="R427" s="13"/>
      <c r="S427" s="242"/>
      <c r="T427" s="443"/>
      <c r="U427" s="443"/>
      <c r="V427" s="242"/>
      <c r="W427" s="242"/>
      <c r="X427" s="242"/>
      <c r="Y427" s="242"/>
      <c r="Z427" s="242"/>
    </row>
    <row r="428">
      <c r="A428" s="242"/>
      <c r="B428" s="243"/>
      <c r="C428" s="243"/>
      <c r="D428" s="243"/>
      <c r="E428" s="15"/>
      <c r="F428" s="243"/>
      <c r="G428" s="243"/>
      <c r="H428" s="13"/>
      <c r="I428" s="13"/>
      <c r="J428" s="242"/>
      <c r="K428" s="242"/>
      <c r="L428" s="13"/>
      <c r="M428" s="242"/>
      <c r="N428" s="242"/>
      <c r="O428" s="242"/>
      <c r="P428" s="242"/>
      <c r="Q428" s="13"/>
      <c r="R428" s="13"/>
      <c r="S428" s="242"/>
      <c r="T428" s="443"/>
      <c r="U428" s="443"/>
      <c r="V428" s="242"/>
      <c r="W428" s="242"/>
      <c r="X428" s="242"/>
      <c r="Y428" s="242"/>
      <c r="Z428" s="242"/>
    </row>
    <row r="429">
      <c r="A429" s="242"/>
      <c r="B429" s="243"/>
      <c r="C429" s="243"/>
      <c r="D429" s="243"/>
      <c r="E429" s="15"/>
      <c r="F429" s="243"/>
      <c r="G429" s="243"/>
      <c r="H429" s="13"/>
      <c r="I429" s="13"/>
      <c r="J429" s="242"/>
      <c r="K429" s="242"/>
      <c r="L429" s="13"/>
      <c r="M429" s="242"/>
      <c r="N429" s="242"/>
      <c r="O429" s="242"/>
      <c r="P429" s="242"/>
      <c r="Q429" s="13"/>
      <c r="R429" s="13"/>
      <c r="S429" s="242"/>
      <c r="T429" s="443"/>
      <c r="U429" s="443"/>
      <c r="V429" s="242"/>
      <c r="W429" s="242"/>
      <c r="X429" s="242"/>
      <c r="Y429" s="242"/>
      <c r="Z429" s="242"/>
    </row>
    <row r="430">
      <c r="A430" s="242"/>
      <c r="B430" s="243"/>
      <c r="C430" s="243"/>
      <c r="D430" s="243"/>
      <c r="E430" s="15"/>
      <c r="F430" s="243"/>
      <c r="G430" s="243"/>
      <c r="H430" s="13"/>
      <c r="I430" s="13"/>
      <c r="J430" s="242"/>
      <c r="K430" s="242"/>
      <c r="L430" s="13"/>
      <c r="M430" s="242"/>
      <c r="N430" s="242"/>
      <c r="O430" s="242"/>
      <c r="P430" s="242"/>
      <c r="Q430" s="13"/>
      <c r="R430" s="13"/>
      <c r="S430" s="242"/>
      <c r="T430" s="443"/>
      <c r="U430" s="443"/>
      <c r="V430" s="242"/>
      <c r="W430" s="242"/>
      <c r="X430" s="242"/>
      <c r="Y430" s="242"/>
      <c r="Z430" s="242"/>
    </row>
    <row r="431">
      <c r="A431" s="242"/>
      <c r="B431" s="243"/>
      <c r="C431" s="243"/>
      <c r="D431" s="243"/>
      <c r="E431" s="15"/>
      <c r="F431" s="243"/>
      <c r="G431" s="243"/>
      <c r="H431" s="13"/>
      <c r="I431" s="13"/>
      <c r="J431" s="242"/>
      <c r="K431" s="242"/>
      <c r="L431" s="13"/>
      <c r="M431" s="242"/>
      <c r="N431" s="242"/>
      <c r="O431" s="242"/>
      <c r="P431" s="242"/>
      <c r="Q431" s="13"/>
      <c r="R431" s="13"/>
      <c r="S431" s="242"/>
      <c r="T431" s="443"/>
      <c r="U431" s="443"/>
      <c r="V431" s="242"/>
      <c r="W431" s="242"/>
      <c r="X431" s="242"/>
      <c r="Y431" s="242"/>
      <c r="Z431" s="242"/>
    </row>
    <row r="432">
      <c r="A432" s="242"/>
      <c r="B432" s="243"/>
      <c r="C432" s="243"/>
      <c r="D432" s="243"/>
      <c r="E432" s="15"/>
      <c r="F432" s="243"/>
      <c r="G432" s="243"/>
      <c r="H432" s="13"/>
      <c r="I432" s="13"/>
      <c r="J432" s="242"/>
      <c r="K432" s="242"/>
      <c r="L432" s="13"/>
      <c r="M432" s="242"/>
      <c r="N432" s="242"/>
      <c r="O432" s="242"/>
      <c r="P432" s="242"/>
      <c r="Q432" s="13"/>
      <c r="R432" s="13"/>
      <c r="S432" s="242"/>
      <c r="T432" s="443"/>
      <c r="U432" s="443"/>
      <c r="V432" s="242"/>
      <c r="W432" s="242"/>
      <c r="X432" s="242"/>
      <c r="Y432" s="242"/>
      <c r="Z432" s="242"/>
    </row>
    <row r="433">
      <c r="A433" s="242"/>
      <c r="B433" s="243"/>
      <c r="C433" s="243"/>
      <c r="D433" s="243"/>
      <c r="E433" s="15"/>
      <c r="F433" s="243"/>
      <c r="G433" s="243"/>
      <c r="H433" s="13"/>
      <c r="I433" s="13"/>
      <c r="J433" s="242"/>
      <c r="K433" s="242"/>
      <c r="L433" s="13"/>
      <c r="M433" s="242"/>
      <c r="N433" s="242"/>
      <c r="O433" s="242"/>
      <c r="P433" s="242"/>
      <c r="Q433" s="13"/>
      <c r="R433" s="13"/>
      <c r="S433" s="242"/>
      <c r="T433" s="443"/>
      <c r="U433" s="443"/>
      <c r="V433" s="242"/>
      <c r="W433" s="242"/>
      <c r="X433" s="242"/>
      <c r="Y433" s="242"/>
      <c r="Z433" s="242"/>
    </row>
    <row r="434">
      <c r="A434" s="242"/>
      <c r="B434" s="243"/>
      <c r="C434" s="243"/>
      <c r="D434" s="243"/>
      <c r="E434" s="15"/>
      <c r="F434" s="243"/>
      <c r="G434" s="243"/>
      <c r="H434" s="13"/>
      <c r="I434" s="13"/>
      <c r="J434" s="242"/>
      <c r="K434" s="242"/>
      <c r="L434" s="13"/>
      <c r="M434" s="242"/>
      <c r="N434" s="242"/>
      <c r="O434" s="242"/>
      <c r="P434" s="242"/>
      <c r="Q434" s="13"/>
      <c r="R434" s="13"/>
      <c r="S434" s="242"/>
      <c r="T434" s="443"/>
      <c r="U434" s="443"/>
      <c r="V434" s="242"/>
      <c r="W434" s="242"/>
      <c r="X434" s="242"/>
      <c r="Y434" s="242"/>
      <c r="Z434" s="242"/>
    </row>
    <row r="435">
      <c r="A435" s="242"/>
      <c r="B435" s="243"/>
      <c r="C435" s="243"/>
      <c r="D435" s="243"/>
      <c r="E435" s="15"/>
      <c r="F435" s="243"/>
      <c r="G435" s="243"/>
      <c r="H435" s="13"/>
      <c r="I435" s="13"/>
      <c r="J435" s="242"/>
      <c r="K435" s="242"/>
      <c r="L435" s="13"/>
      <c r="M435" s="242"/>
      <c r="N435" s="242"/>
      <c r="O435" s="242"/>
      <c r="P435" s="242"/>
      <c r="Q435" s="13"/>
      <c r="R435" s="13"/>
      <c r="S435" s="242"/>
      <c r="T435" s="443"/>
      <c r="U435" s="443"/>
      <c r="V435" s="242"/>
      <c r="W435" s="242"/>
      <c r="X435" s="242"/>
      <c r="Y435" s="242"/>
      <c r="Z435" s="242"/>
    </row>
    <row r="436">
      <c r="A436" s="242"/>
      <c r="B436" s="243"/>
      <c r="C436" s="243"/>
      <c r="D436" s="243"/>
      <c r="E436" s="15"/>
      <c r="F436" s="243"/>
      <c r="G436" s="243"/>
      <c r="H436" s="13"/>
      <c r="I436" s="13"/>
      <c r="J436" s="242"/>
      <c r="K436" s="242"/>
      <c r="L436" s="13"/>
      <c r="M436" s="242"/>
      <c r="N436" s="242"/>
      <c r="O436" s="242"/>
      <c r="P436" s="242"/>
      <c r="Q436" s="13"/>
      <c r="R436" s="13"/>
      <c r="S436" s="242"/>
      <c r="T436" s="443"/>
      <c r="U436" s="443"/>
      <c r="V436" s="242"/>
      <c r="W436" s="242"/>
      <c r="X436" s="242"/>
      <c r="Y436" s="242"/>
      <c r="Z436" s="242"/>
    </row>
    <row r="437">
      <c r="A437" s="242"/>
      <c r="B437" s="243"/>
      <c r="C437" s="243"/>
      <c r="D437" s="243"/>
      <c r="E437" s="15"/>
      <c r="F437" s="243"/>
      <c r="G437" s="243"/>
      <c r="H437" s="13"/>
      <c r="I437" s="13"/>
      <c r="J437" s="242"/>
      <c r="K437" s="242"/>
      <c r="L437" s="13"/>
      <c r="M437" s="242"/>
      <c r="N437" s="242"/>
      <c r="O437" s="242"/>
      <c r="P437" s="242"/>
      <c r="Q437" s="13"/>
      <c r="R437" s="13"/>
      <c r="S437" s="242"/>
      <c r="T437" s="443"/>
      <c r="U437" s="443"/>
      <c r="V437" s="242"/>
      <c r="W437" s="242"/>
      <c r="X437" s="242"/>
      <c r="Y437" s="242"/>
      <c r="Z437" s="242"/>
    </row>
    <row r="438">
      <c r="A438" s="242"/>
      <c r="B438" s="243"/>
      <c r="C438" s="243"/>
      <c r="D438" s="243"/>
      <c r="E438" s="15"/>
      <c r="F438" s="243"/>
      <c r="G438" s="243"/>
      <c r="H438" s="13"/>
      <c r="I438" s="13"/>
      <c r="J438" s="242"/>
      <c r="K438" s="242"/>
      <c r="L438" s="13"/>
      <c r="M438" s="242"/>
      <c r="N438" s="242"/>
      <c r="O438" s="242"/>
      <c r="P438" s="242"/>
      <c r="Q438" s="13"/>
      <c r="R438" s="13"/>
      <c r="S438" s="242"/>
      <c r="T438" s="443"/>
      <c r="U438" s="443"/>
      <c r="V438" s="242"/>
      <c r="W438" s="242"/>
      <c r="X438" s="242"/>
      <c r="Y438" s="242"/>
      <c r="Z438" s="242"/>
    </row>
    <row r="439">
      <c r="A439" s="242"/>
      <c r="B439" s="243"/>
      <c r="C439" s="243"/>
      <c r="D439" s="243"/>
      <c r="E439" s="15"/>
      <c r="F439" s="243"/>
      <c r="G439" s="243"/>
      <c r="H439" s="13"/>
      <c r="I439" s="13"/>
      <c r="J439" s="242"/>
      <c r="K439" s="242"/>
      <c r="L439" s="13"/>
      <c r="M439" s="242"/>
      <c r="N439" s="242"/>
      <c r="O439" s="242"/>
      <c r="P439" s="242"/>
      <c r="Q439" s="13"/>
      <c r="R439" s="13"/>
      <c r="S439" s="242"/>
      <c r="T439" s="443"/>
      <c r="U439" s="443"/>
      <c r="V439" s="242"/>
      <c r="W439" s="242"/>
      <c r="X439" s="242"/>
      <c r="Y439" s="242"/>
      <c r="Z439" s="242"/>
    </row>
    <row r="440">
      <c r="A440" s="242"/>
      <c r="B440" s="243"/>
      <c r="C440" s="243"/>
      <c r="D440" s="243"/>
      <c r="E440" s="15"/>
      <c r="F440" s="243"/>
      <c r="G440" s="243"/>
      <c r="H440" s="13"/>
      <c r="I440" s="13"/>
      <c r="J440" s="242"/>
      <c r="K440" s="242"/>
      <c r="L440" s="13"/>
      <c r="M440" s="242"/>
      <c r="N440" s="242"/>
      <c r="O440" s="242"/>
      <c r="P440" s="242"/>
      <c r="Q440" s="13"/>
      <c r="R440" s="13"/>
      <c r="S440" s="242"/>
      <c r="T440" s="443"/>
      <c r="U440" s="443"/>
      <c r="V440" s="242"/>
      <c r="W440" s="242"/>
      <c r="X440" s="242"/>
      <c r="Y440" s="242"/>
      <c r="Z440" s="242"/>
    </row>
    <row r="441">
      <c r="A441" s="242"/>
      <c r="B441" s="243"/>
      <c r="C441" s="243"/>
      <c r="D441" s="243"/>
      <c r="E441" s="15"/>
      <c r="F441" s="243"/>
      <c r="G441" s="243"/>
      <c r="H441" s="13"/>
      <c r="I441" s="13"/>
      <c r="J441" s="242"/>
      <c r="K441" s="242"/>
      <c r="L441" s="13"/>
      <c r="M441" s="242"/>
      <c r="N441" s="242"/>
      <c r="O441" s="242"/>
      <c r="P441" s="242"/>
      <c r="Q441" s="13"/>
      <c r="R441" s="13"/>
      <c r="S441" s="242"/>
      <c r="T441" s="443"/>
      <c r="U441" s="443"/>
      <c r="V441" s="242"/>
      <c r="W441" s="242"/>
      <c r="X441" s="242"/>
      <c r="Y441" s="242"/>
      <c r="Z441" s="242"/>
    </row>
    <row r="442">
      <c r="A442" s="242"/>
      <c r="B442" s="243"/>
      <c r="C442" s="243"/>
      <c r="D442" s="243"/>
      <c r="E442" s="15"/>
      <c r="F442" s="243"/>
      <c r="G442" s="243"/>
      <c r="H442" s="13"/>
      <c r="I442" s="13"/>
      <c r="J442" s="242"/>
      <c r="K442" s="242"/>
      <c r="L442" s="13"/>
      <c r="M442" s="242"/>
      <c r="N442" s="242"/>
      <c r="O442" s="242"/>
      <c r="P442" s="242"/>
      <c r="Q442" s="13"/>
      <c r="R442" s="13"/>
      <c r="S442" s="242"/>
      <c r="T442" s="443"/>
      <c r="U442" s="443"/>
      <c r="V442" s="242"/>
      <c r="W442" s="242"/>
      <c r="X442" s="242"/>
      <c r="Y442" s="242"/>
      <c r="Z442" s="242"/>
    </row>
    <row r="443">
      <c r="A443" s="242"/>
      <c r="B443" s="243"/>
      <c r="C443" s="243"/>
      <c r="D443" s="243"/>
      <c r="E443" s="15"/>
      <c r="F443" s="243"/>
      <c r="G443" s="243"/>
      <c r="H443" s="13"/>
      <c r="I443" s="13"/>
      <c r="J443" s="242"/>
      <c r="K443" s="242"/>
      <c r="L443" s="13"/>
      <c r="M443" s="242"/>
      <c r="N443" s="242"/>
      <c r="O443" s="242"/>
      <c r="P443" s="242"/>
      <c r="Q443" s="13"/>
      <c r="R443" s="13"/>
      <c r="S443" s="242"/>
      <c r="T443" s="443"/>
      <c r="U443" s="443"/>
      <c r="V443" s="242"/>
      <c r="W443" s="242"/>
      <c r="X443" s="242"/>
      <c r="Y443" s="242"/>
      <c r="Z443" s="242"/>
    </row>
    <row r="444">
      <c r="A444" s="242"/>
      <c r="B444" s="243"/>
      <c r="C444" s="243"/>
      <c r="D444" s="243"/>
      <c r="E444" s="15"/>
      <c r="F444" s="243"/>
      <c r="G444" s="243"/>
      <c r="H444" s="13"/>
      <c r="I444" s="13"/>
      <c r="J444" s="242"/>
      <c r="K444" s="242"/>
      <c r="L444" s="13"/>
      <c r="M444" s="242"/>
      <c r="N444" s="242"/>
      <c r="O444" s="242"/>
      <c r="P444" s="242"/>
      <c r="Q444" s="13"/>
      <c r="R444" s="13"/>
      <c r="S444" s="242"/>
      <c r="T444" s="443"/>
      <c r="U444" s="443"/>
      <c r="V444" s="242"/>
      <c r="W444" s="242"/>
      <c r="X444" s="242"/>
      <c r="Y444" s="242"/>
      <c r="Z444" s="242"/>
    </row>
    <row r="445">
      <c r="A445" s="242"/>
      <c r="B445" s="243"/>
      <c r="C445" s="243"/>
      <c r="D445" s="243"/>
      <c r="E445" s="15"/>
      <c r="F445" s="243"/>
      <c r="G445" s="243"/>
      <c r="H445" s="13"/>
      <c r="I445" s="13"/>
      <c r="J445" s="242"/>
      <c r="K445" s="242"/>
      <c r="L445" s="13"/>
      <c r="M445" s="242"/>
      <c r="N445" s="242"/>
      <c r="O445" s="242"/>
      <c r="P445" s="242"/>
      <c r="Q445" s="13"/>
      <c r="R445" s="13"/>
      <c r="S445" s="242"/>
      <c r="T445" s="443"/>
      <c r="U445" s="443"/>
      <c r="V445" s="242"/>
      <c r="W445" s="242"/>
      <c r="X445" s="242"/>
      <c r="Y445" s="242"/>
      <c r="Z445" s="242"/>
    </row>
    <row r="446">
      <c r="A446" s="242"/>
      <c r="B446" s="243"/>
      <c r="C446" s="243"/>
      <c r="D446" s="243"/>
      <c r="E446" s="15"/>
      <c r="F446" s="243"/>
      <c r="G446" s="243"/>
      <c r="H446" s="13"/>
      <c r="I446" s="13"/>
      <c r="J446" s="242"/>
      <c r="K446" s="242"/>
      <c r="L446" s="13"/>
      <c r="M446" s="242"/>
      <c r="N446" s="242"/>
      <c r="O446" s="242"/>
      <c r="P446" s="242"/>
      <c r="Q446" s="13"/>
      <c r="R446" s="13"/>
      <c r="S446" s="242"/>
      <c r="T446" s="443"/>
      <c r="U446" s="443"/>
      <c r="V446" s="242"/>
      <c r="W446" s="242"/>
      <c r="X446" s="242"/>
      <c r="Y446" s="242"/>
      <c r="Z446" s="242"/>
    </row>
    <row r="447">
      <c r="A447" s="242"/>
      <c r="B447" s="243"/>
      <c r="C447" s="243"/>
      <c r="D447" s="243"/>
      <c r="E447" s="15"/>
      <c r="F447" s="243"/>
      <c r="G447" s="243"/>
      <c r="H447" s="13"/>
      <c r="I447" s="13"/>
      <c r="J447" s="242"/>
      <c r="K447" s="242"/>
      <c r="L447" s="13"/>
      <c r="M447" s="242"/>
      <c r="N447" s="242"/>
      <c r="O447" s="242"/>
      <c r="P447" s="242"/>
      <c r="Q447" s="13"/>
      <c r="R447" s="13"/>
      <c r="S447" s="242"/>
      <c r="T447" s="443"/>
      <c r="U447" s="443"/>
      <c r="V447" s="242"/>
      <c r="W447" s="242"/>
      <c r="X447" s="242"/>
      <c r="Y447" s="242"/>
      <c r="Z447" s="242"/>
    </row>
    <row r="448">
      <c r="A448" s="242"/>
      <c r="B448" s="243"/>
      <c r="C448" s="243"/>
      <c r="D448" s="243"/>
      <c r="E448" s="15"/>
      <c r="F448" s="243"/>
      <c r="G448" s="243"/>
      <c r="H448" s="13"/>
      <c r="I448" s="13"/>
      <c r="J448" s="242"/>
      <c r="K448" s="242"/>
      <c r="L448" s="13"/>
      <c r="M448" s="242"/>
      <c r="N448" s="242"/>
      <c r="O448" s="242"/>
      <c r="P448" s="242"/>
      <c r="Q448" s="13"/>
      <c r="R448" s="13"/>
      <c r="S448" s="242"/>
      <c r="T448" s="443"/>
      <c r="U448" s="443"/>
      <c r="V448" s="242"/>
      <c r="W448" s="242"/>
      <c r="X448" s="242"/>
      <c r="Y448" s="242"/>
      <c r="Z448" s="242"/>
    </row>
    <row r="449">
      <c r="A449" s="242"/>
      <c r="B449" s="243"/>
      <c r="C449" s="243"/>
      <c r="D449" s="243"/>
      <c r="E449" s="15"/>
      <c r="F449" s="243"/>
      <c r="G449" s="243"/>
      <c r="H449" s="13"/>
      <c r="I449" s="13"/>
      <c r="J449" s="242"/>
      <c r="K449" s="242"/>
      <c r="L449" s="13"/>
      <c r="M449" s="242"/>
      <c r="N449" s="242"/>
      <c r="O449" s="242"/>
      <c r="P449" s="242"/>
      <c r="Q449" s="13"/>
      <c r="R449" s="13"/>
      <c r="S449" s="242"/>
      <c r="T449" s="443"/>
      <c r="U449" s="443"/>
      <c r="V449" s="242"/>
      <c r="W449" s="242"/>
      <c r="X449" s="242"/>
      <c r="Y449" s="242"/>
      <c r="Z449" s="242"/>
    </row>
    <row r="450">
      <c r="A450" s="242"/>
      <c r="B450" s="243"/>
      <c r="C450" s="243"/>
      <c r="D450" s="243"/>
      <c r="E450" s="15"/>
      <c r="F450" s="243"/>
      <c r="G450" s="243"/>
      <c r="H450" s="13"/>
      <c r="I450" s="13"/>
      <c r="J450" s="242"/>
      <c r="K450" s="242"/>
      <c r="L450" s="13"/>
      <c r="M450" s="242"/>
      <c r="N450" s="242"/>
      <c r="O450" s="242"/>
      <c r="P450" s="242"/>
      <c r="Q450" s="13"/>
      <c r="R450" s="13"/>
      <c r="S450" s="242"/>
      <c r="T450" s="443"/>
      <c r="U450" s="443"/>
      <c r="V450" s="242"/>
      <c r="W450" s="242"/>
      <c r="X450" s="242"/>
      <c r="Y450" s="242"/>
      <c r="Z450" s="242"/>
    </row>
    <row r="451">
      <c r="A451" s="242"/>
      <c r="B451" s="243"/>
      <c r="C451" s="243"/>
      <c r="D451" s="243"/>
      <c r="E451" s="15"/>
      <c r="F451" s="243"/>
      <c r="G451" s="243"/>
      <c r="H451" s="13"/>
      <c r="I451" s="13"/>
      <c r="J451" s="242"/>
      <c r="K451" s="242"/>
      <c r="L451" s="13"/>
      <c r="M451" s="242"/>
      <c r="N451" s="242"/>
      <c r="O451" s="242"/>
      <c r="P451" s="242"/>
      <c r="Q451" s="13"/>
      <c r="R451" s="13"/>
      <c r="S451" s="242"/>
      <c r="T451" s="443"/>
      <c r="U451" s="443"/>
      <c r="V451" s="242"/>
      <c r="W451" s="242"/>
      <c r="X451" s="242"/>
      <c r="Y451" s="242"/>
      <c r="Z451" s="242"/>
    </row>
    <row r="452">
      <c r="A452" s="242"/>
      <c r="B452" s="243"/>
      <c r="C452" s="243"/>
      <c r="D452" s="243"/>
      <c r="E452" s="15"/>
      <c r="F452" s="243"/>
      <c r="G452" s="243"/>
      <c r="H452" s="13"/>
      <c r="I452" s="13"/>
      <c r="J452" s="242"/>
      <c r="K452" s="242"/>
      <c r="L452" s="13"/>
      <c r="M452" s="242"/>
      <c r="N452" s="242"/>
      <c r="O452" s="242"/>
      <c r="P452" s="242"/>
      <c r="Q452" s="13"/>
      <c r="R452" s="13"/>
      <c r="S452" s="242"/>
      <c r="T452" s="443"/>
      <c r="U452" s="443"/>
      <c r="V452" s="242"/>
      <c r="W452" s="242"/>
      <c r="X452" s="242"/>
      <c r="Y452" s="242"/>
      <c r="Z452" s="242"/>
    </row>
    <row r="453">
      <c r="A453" s="242"/>
      <c r="B453" s="243"/>
      <c r="C453" s="243"/>
      <c r="D453" s="243"/>
      <c r="E453" s="15"/>
      <c r="F453" s="243"/>
      <c r="G453" s="243"/>
      <c r="H453" s="13"/>
      <c r="I453" s="13"/>
      <c r="J453" s="242"/>
      <c r="K453" s="242"/>
      <c r="L453" s="13"/>
      <c r="M453" s="242"/>
      <c r="N453" s="242"/>
      <c r="O453" s="242"/>
      <c r="P453" s="242"/>
      <c r="Q453" s="13"/>
      <c r="R453" s="13"/>
      <c r="S453" s="242"/>
      <c r="T453" s="443"/>
      <c r="U453" s="443"/>
      <c r="V453" s="242"/>
      <c r="W453" s="242"/>
      <c r="X453" s="242"/>
      <c r="Y453" s="242"/>
      <c r="Z453" s="242"/>
    </row>
    <row r="454">
      <c r="A454" s="242"/>
      <c r="B454" s="243"/>
      <c r="C454" s="243"/>
      <c r="D454" s="243"/>
      <c r="E454" s="15"/>
      <c r="F454" s="243"/>
      <c r="G454" s="243"/>
      <c r="H454" s="13"/>
      <c r="I454" s="13"/>
      <c r="J454" s="242"/>
      <c r="K454" s="242"/>
      <c r="L454" s="13"/>
      <c r="M454" s="242"/>
      <c r="N454" s="242"/>
      <c r="O454" s="242"/>
      <c r="P454" s="242"/>
      <c r="Q454" s="13"/>
      <c r="R454" s="13"/>
      <c r="S454" s="242"/>
      <c r="T454" s="443"/>
      <c r="U454" s="443"/>
      <c r="V454" s="242"/>
      <c r="W454" s="242"/>
      <c r="X454" s="242"/>
      <c r="Y454" s="242"/>
      <c r="Z454" s="242"/>
    </row>
    <row r="455">
      <c r="A455" s="242"/>
      <c r="B455" s="243"/>
      <c r="C455" s="243"/>
      <c r="D455" s="243"/>
      <c r="E455" s="15"/>
      <c r="F455" s="243"/>
      <c r="G455" s="243"/>
      <c r="H455" s="13"/>
      <c r="I455" s="13"/>
      <c r="J455" s="242"/>
      <c r="K455" s="242"/>
      <c r="L455" s="13"/>
      <c r="M455" s="242"/>
      <c r="N455" s="242"/>
      <c r="O455" s="242"/>
      <c r="P455" s="242"/>
      <c r="Q455" s="13"/>
      <c r="R455" s="13"/>
      <c r="S455" s="242"/>
      <c r="T455" s="443"/>
      <c r="U455" s="443"/>
      <c r="V455" s="242"/>
      <c r="W455" s="242"/>
      <c r="X455" s="242"/>
      <c r="Y455" s="242"/>
      <c r="Z455" s="242"/>
    </row>
    <row r="456">
      <c r="A456" s="242"/>
      <c r="B456" s="243"/>
      <c r="C456" s="243"/>
      <c r="D456" s="243"/>
      <c r="E456" s="15"/>
      <c r="F456" s="243"/>
      <c r="G456" s="243"/>
      <c r="H456" s="13"/>
      <c r="I456" s="13"/>
      <c r="J456" s="242"/>
      <c r="K456" s="242"/>
      <c r="L456" s="13"/>
      <c r="M456" s="242"/>
      <c r="N456" s="242"/>
      <c r="O456" s="242"/>
      <c r="P456" s="242"/>
      <c r="Q456" s="13"/>
      <c r="R456" s="13"/>
      <c r="S456" s="242"/>
      <c r="T456" s="443"/>
      <c r="U456" s="443"/>
      <c r="V456" s="242"/>
      <c r="W456" s="242"/>
      <c r="X456" s="242"/>
      <c r="Y456" s="242"/>
      <c r="Z456" s="242"/>
    </row>
    <row r="457">
      <c r="A457" s="242"/>
      <c r="B457" s="243"/>
      <c r="C457" s="243"/>
      <c r="D457" s="243"/>
      <c r="E457" s="15"/>
      <c r="F457" s="243"/>
      <c r="G457" s="243"/>
      <c r="H457" s="13"/>
      <c r="I457" s="13"/>
      <c r="J457" s="242"/>
      <c r="K457" s="242"/>
      <c r="L457" s="13"/>
      <c r="M457" s="242"/>
      <c r="N457" s="242"/>
      <c r="O457" s="242"/>
      <c r="P457" s="242"/>
      <c r="Q457" s="13"/>
      <c r="R457" s="13"/>
      <c r="S457" s="242"/>
      <c r="T457" s="443"/>
      <c r="U457" s="443"/>
      <c r="V457" s="242"/>
      <c r="W457" s="242"/>
      <c r="X457" s="242"/>
      <c r="Y457" s="242"/>
      <c r="Z457" s="242"/>
    </row>
    <row r="458">
      <c r="A458" s="242"/>
      <c r="B458" s="243"/>
      <c r="C458" s="243"/>
      <c r="D458" s="243"/>
      <c r="E458" s="15"/>
      <c r="F458" s="243"/>
      <c r="G458" s="243"/>
      <c r="H458" s="13"/>
      <c r="I458" s="13"/>
      <c r="J458" s="242"/>
      <c r="K458" s="242"/>
      <c r="L458" s="13"/>
      <c r="M458" s="242"/>
      <c r="N458" s="242"/>
      <c r="O458" s="242"/>
      <c r="P458" s="242"/>
      <c r="Q458" s="13"/>
      <c r="R458" s="13"/>
      <c r="S458" s="242"/>
      <c r="T458" s="443"/>
      <c r="U458" s="443"/>
      <c r="V458" s="242"/>
      <c r="W458" s="242"/>
      <c r="X458" s="242"/>
      <c r="Y458" s="242"/>
      <c r="Z458" s="242"/>
    </row>
    <row r="459">
      <c r="A459" s="242"/>
      <c r="B459" s="243"/>
      <c r="C459" s="243"/>
      <c r="D459" s="243"/>
      <c r="E459" s="15"/>
      <c r="F459" s="243"/>
      <c r="G459" s="243"/>
      <c r="H459" s="13"/>
      <c r="I459" s="13"/>
      <c r="J459" s="242"/>
      <c r="K459" s="242"/>
      <c r="L459" s="13"/>
      <c r="M459" s="242"/>
      <c r="N459" s="242"/>
      <c r="O459" s="242"/>
      <c r="P459" s="242"/>
      <c r="Q459" s="13"/>
      <c r="R459" s="13"/>
      <c r="S459" s="242"/>
      <c r="T459" s="443"/>
      <c r="U459" s="443"/>
      <c r="V459" s="242"/>
      <c r="W459" s="242"/>
      <c r="X459" s="242"/>
      <c r="Y459" s="242"/>
      <c r="Z459" s="242"/>
    </row>
    <row r="460">
      <c r="A460" s="242"/>
      <c r="B460" s="243"/>
      <c r="C460" s="243"/>
      <c r="D460" s="243"/>
      <c r="E460" s="15"/>
      <c r="F460" s="243"/>
      <c r="G460" s="243"/>
      <c r="H460" s="13"/>
      <c r="I460" s="13"/>
      <c r="J460" s="242"/>
      <c r="K460" s="242"/>
      <c r="L460" s="13"/>
      <c r="M460" s="242"/>
      <c r="N460" s="242"/>
      <c r="O460" s="242"/>
      <c r="P460" s="242"/>
      <c r="Q460" s="13"/>
      <c r="R460" s="13"/>
      <c r="S460" s="242"/>
      <c r="T460" s="443"/>
      <c r="U460" s="443"/>
      <c r="V460" s="242"/>
      <c r="W460" s="242"/>
      <c r="X460" s="242"/>
      <c r="Y460" s="242"/>
      <c r="Z460" s="242"/>
    </row>
    <row r="461">
      <c r="A461" s="242"/>
      <c r="B461" s="243"/>
      <c r="C461" s="243"/>
      <c r="D461" s="243"/>
      <c r="E461" s="15"/>
      <c r="F461" s="243"/>
      <c r="G461" s="243"/>
      <c r="H461" s="13"/>
      <c r="I461" s="13"/>
      <c r="J461" s="242"/>
      <c r="K461" s="242"/>
      <c r="L461" s="13"/>
      <c r="M461" s="242"/>
      <c r="N461" s="242"/>
      <c r="O461" s="242"/>
      <c r="P461" s="242"/>
      <c r="Q461" s="13"/>
      <c r="R461" s="13"/>
      <c r="S461" s="242"/>
      <c r="T461" s="443"/>
      <c r="U461" s="443"/>
      <c r="V461" s="242"/>
      <c r="W461" s="242"/>
      <c r="X461" s="242"/>
      <c r="Y461" s="242"/>
      <c r="Z461" s="242"/>
    </row>
    <row r="462">
      <c r="A462" s="242"/>
      <c r="B462" s="243"/>
      <c r="C462" s="243"/>
      <c r="D462" s="243"/>
      <c r="E462" s="15"/>
      <c r="F462" s="243"/>
      <c r="G462" s="243"/>
      <c r="H462" s="13"/>
      <c r="I462" s="13"/>
      <c r="J462" s="242"/>
      <c r="K462" s="242"/>
      <c r="L462" s="13"/>
      <c r="M462" s="242"/>
      <c r="N462" s="242"/>
      <c r="O462" s="242"/>
      <c r="P462" s="242"/>
      <c r="Q462" s="13"/>
      <c r="R462" s="13"/>
      <c r="S462" s="242"/>
      <c r="T462" s="443"/>
      <c r="U462" s="443"/>
      <c r="V462" s="242"/>
      <c r="W462" s="242"/>
      <c r="X462" s="242"/>
      <c r="Y462" s="242"/>
      <c r="Z462" s="242"/>
    </row>
    <row r="463">
      <c r="A463" s="242"/>
      <c r="B463" s="243"/>
      <c r="C463" s="243"/>
      <c r="D463" s="243"/>
      <c r="E463" s="15"/>
      <c r="F463" s="243"/>
      <c r="G463" s="243"/>
      <c r="H463" s="13"/>
      <c r="I463" s="13"/>
      <c r="J463" s="242"/>
      <c r="K463" s="242"/>
      <c r="L463" s="13"/>
      <c r="M463" s="242"/>
      <c r="N463" s="242"/>
      <c r="O463" s="242"/>
      <c r="P463" s="242"/>
      <c r="Q463" s="13"/>
      <c r="R463" s="13"/>
      <c r="S463" s="242"/>
      <c r="T463" s="443"/>
      <c r="U463" s="443"/>
      <c r="V463" s="242"/>
      <c r="W463" s="242"/>
      <c r="X463" s="242"/>
      <c r="Y463" s="242"/>
      <c r="Z463" s="242"/>
    </row>
    <row r="464">
      <c r="A464" s="242"/>
      <c r="B464" s="243"/>
      <c r="C464" s="243"/>
      <c r="D464" s="243"/>
      <c r="E464" s="15"/>
      <c r="F464" s="243"/>
      <c r="G464" s="243"/>
      <c r="H464" s="13"/>
      <c r="I464" s="13"/>
      <c r="J464" s="242"/>
      <c r="K464" s="242"/>
      <c r="L464" s="13"/>
      <c r="M464" s="242"/>
      <c r="N464" s="242"/>
      <c r="O464" s="242"/>
      <c r="P464" s="242"/>
      <c r="Q464" s="13"/>
      <c r="R464" s="13"/>
      <c r="S464" s="242"/>
      <c r="T464" s="443"/>
      <c r="U464" s="443"/>
      <c r="V464" s="242"/>
      <c r="W464" s="242"/>
      <c r="X464" s="242"/>
      <c r="Y464" s="242"/>
      <c r="Z464" s="242"/>
    </row>
    <row r="465">
      <c r="A465" s="242"/>
      <c r="B465" s="243"/>
      <c r="C465" s="243"/>
      <c r="D465" s="243"/>
      <c r="E465" s="15"/>
      <c r="F465" s="243"/>
      <c r="G465" s="243"/>
      <c r="H465" s="13"/>
      <c r="I465" s="13"/>
      <c r="J465" s="242"/>
      <c r="K465" s="242"/>
      <c r="L465" s="13"/>
      <c r="M465" s="242"/>
      <c r="N465" s="242"/>
      <c r="O465" s="242"/>
      <c r="P465" s="242"/>
      <c r="Q465" s="13"/>
      <c r="R465" s="13"/>
      <c r="S465" s="242"/>
      <c r="T465" s="443"/>
      <c r="U465" s="443"/>
      <c r="V465" s="242"/>
      <c r="W465" s="242"/>
      <c r="X465" s="242"/>
      <c r="Y465" s="242"/>
      <c r="Z465" s="242"/>
    </row>
    <row r="466">
      <c r="A466" s="242"/>
      <c r="B466" s="243"/>
      <c r="C466" s="243"/>
      <c r="D466" s="243"/>
      <c r="E466" s="15"/>
      <c r="F466" s="243"/>
      <c r="G466" s="243"/>
      <c r="H466" s="13"/>
      <c r="I466" s="13"/>
      <c r="J466" s="242"/>
      <c r="K466" s="242"/>
      <c r="L466" s="13"/>
      <c r="M466" s="242"/>
      <c r="N466" s="242"/>
      <c r="O466" s="242"/>
      <c r="P466" s="242"/>
      <c r="Q466" s="13"/>
      <c r="R466" s="13"/>
      <c r="S466" s="242"/>
      <c r="T466" s="443"/>
      <c r="U466" s="443"/>
      <c r="V466" s="242"/>
      <c r="W466" s="242"/>
      <c r="X466" s="242"/>
      <c r="Y466" s="242"/>
      <c r="Z466" s="242"/>
    </row>
    <row r="467">
      <c r="A467" s="242"/>
      <c r="B467" s="243"/>
      <c r="C467" s="243"/>
      <c r="D467" s="243"/>
      <c r="E467" s="15"/>
      <c r="F467" s="243"/>
      <c r="G467" s="243"/>
      <c r="H467" s="13"/>
      <c r="I467" s="13"/>
      <c r="J467" s="242"/>
      <c r="K467" s="242"/>
      <c r="L467" s="13"/>
      <c r="M467" s="242"/>
      <c r="N467" s="242"/>
      <c r="O467" s="242"/>
      <c r="P467" s="242"/>
      <c r="Q467" s="13"/>
      <c r="R467" s="13"/>
      <c r="S467" s="242"/>
      <c r="T467" s="443"/>
      <c r="U467" s="443"/>
      <c r="V467" s="242"/>
      <c r="W467" s="242"/>
      <c r="X467" s="242"/>
      <c r="Y467" s="242"/>
      <c r="Z467" s="242"/>
    </row>
    <row r="468">
      <c r="A468" s="242"/>
      <c r="B468" s="243"/>
      <c r="C468" s="243"/>
      <c r="D468" s="243"/>
      <c r="E468" s="15"/>
      <c r="F468" s="243"/>
      <c r="G468" s="243"/>
      <c r="H468" s="13"/>
      <c r="I468" s="13"/>
      <c r="J468" s="242"/>
      <c r="K468" s="242"/>
      <c r="L468" s="13"/>
      <c r="M468" s="242"/>
      <c r="N468" s="242"/>
      <c r="O468" s="242"/>
      <c r="P468" s="242"/>
      <c r="Q468" s="13"/>
      <c r="R468" s="13"/>
      <c r="S468" s="242"/>
      <c r="T468" s="443"/>
      <c r="U468" s="443"/>
      <c r="V468" s="242"/>
      <c r="W468" s="242"/>
      <c r="X468" s="242"/>
      <c r="Y468" s="242"/>
      <c r="Z468" s="242"/>
    </row>
    <row r="469">
      <c r="A469" s="242"/>
      <c r="B469" s="243"/>
      <c r="C469" s="243"/>
      <c r="D469" s="243"/>
      <c r="E469" s="15"/>
      <c r="F469" s="243"/>
      <c r="G469" s="243"/>
      <c r="H469" s="13"/>
      <c r="I469" s="13"/>
      <c r="J469" s="242"/>
      <c r="K469" s="242"/>
      <c r="L469" s="13"/>
      <c r="M469" s="242"/>
      <c r="N469" s="242"/>
      <c r="O469" s="242"/>
      <c r="P469" s="242"/>
      <c r="Q469" s="13"/>
      <c r="R469" s="13"/>
      <c r="S469" s="242"/>
      <c r="T469" s="443"/>
      <c r="U469" s="443"/>
      <c r="V469" s="242"/>
      <c r="W469" s="242"/>
      <c r="X469" s="242"/>
      <c r="Y469" s="242"/>
      <c r="Z469" s="242"/>
    </row>
    <row r="470">
      <c r="A470" s="242"/>
      <c r="B470" s="243"/>
      <c r="C470" s="243"/>
      <c r="D470" s="243"/>
      <c r="E470" s="15"/>
      <c r="F470" s="243"/>
      <c r="G470" s="243"/>
      <c r="H470" s="13"/>
      <c r="I470" s="13"/>
      <c r="J470" s="242"/>
      <c r="K470" s="242"/>
      <c r="L470" s="13"/>
      <c r="M470" s="242"/>
      <c r="N470" s="242"/>
      <c r="O470" s="242"/>
      <c r="P470" s="242"/>
      <c r="Q470" s="13"/>
      <c r="R470" s="13"/>
      <c r="S470" s="242"/>
      <c r="T470" s="443"/>
      <c r="U470" s="443"/>
      <c r="V470" s="242"/>
      <c r="W470" s="242"/>
      <c r="X470" s="242"/>
      <c r="Y470" s="242"/>
      <c r="Z470" s="242"/>
    </row>
    <row r="471">
      <c r="A471" s="242"/>
      <c r="B471" s="243"/>
      <c r="C471" s="243"/>
      <c r="D471" s="243"/>
      <c r="E471" s="15"/>
      <c r="F471" s="243"/>
      <c r="G471" s="243"/>
      <c r="H471" s="13"/>
      <c r="I471" s="13"/>
      <c r="J471" s="242"/>
      <c r="K471" s="242"/>
      <c r="L471" s="13"/>
      <c r="M471" s="242"/>
      <c r="N471" s="242"/>
      <c r="O471" s="242"/>
      <c r="P471" s="242"/>
      <c r="Q471" s="13"/>
      <c r="R471" s="13"/>
      <c r="S471" s="242"/>
      <c r="T471" s="443"/>
      <c r="U471" s="443"/>
      <c r="V471" s="242"/>
      <c r="W471" s="242"/>
      <c r="X471" s="242"/>
      <c r="Y471" s="242"/>
      <c r="Z471" s="242"/>
    </row>
    <row r="472">
      <c r="A472" s="242"/>
      <c r="B472" s="243"/>
      <c r="C472" s="243"/>
      <c r="D472" s="243"/>
      <c r="E472" s="15"/>
      <c r="F472" s="243"/>
      <c r="G472" s="243"/>
      <c r="H472" s="13"/>
      <c r="I472" s="13"/>
      <c r="J472" s="242"/>
      <c r="K472" s="242"/>
      <c r="L472" s="13"/>
      <c r="M472" s="242"/>
      <c r="N472" s="242"/>
      <c r="O472" s="242"/>
      <c r="P472" s="242"/>
      <c r="Q472" s="13"/>
      <c r="R472" s="13"/>
      <c r="S472" s="242"/>
      <c r="T472" s="443"/>
      <c r="U472" s="443"/>
      <c r="V472" s="242"/>
      <c r="W472" s="242"/>
      <c r="X472" s="242"/>
      <c r="Y472" s="242"/>
      <c r="Z472" s="242"/>
    </row>
    <row r="473">
      <c r="A473" s="242"/>
      <c r="B473" s="243"/>
      <c r="C473" s="243"/>
      <c r="D473" s="243"/>
      <c r="E473" s="15"/>
      <c r="F473" s="243"/>
      <c r="G473" s="243"/>
      <c r="H473" s="13"/>
      <c r="I473" s="13"/>
      <c r="J473" s="242"/>
      <c r="K473" s="242"/>
      <c r="L473" s="13"/>
      <c r="M473" s="242"/>
      <c r="N473" s="242"/>
      <c r="O473" s="242"/>
      <c r="P473" s="242"/>
      <c r="Q473" s="13"/>
      <c r="R473" s="13"/>
      <c r="S473" s="242"/>
      <c r="T473" s="443"/>
      <c r="U473" s="443"/>
      <c r="V473" s="242"/>
      <c r="W473" s="242"/>
      <c r="X473" s="242"/>
      <c r="Y473" s="242"/>
      <c r="Z473" s="242"/>
    </row>
    <row r="474">
      <c r="A474" s="242"/>
      <c r="B474" s="243"/>
      <c r="C474" s="243"/>
      <c r="D474" s="243"/>
      <c r="E474" s="15"/>
      <c r="F474" s="243"/>
      <c r="G474" s="243"/>
      <c r="H474" s="13"/>
      <c r="I474" s="13"/>
      <c r="J474" s="242"/>
      <c r="K474" s="242"/>
      <c r="L474" s="13"/>
      <c r="M474" s="242"/>
      <c r="N474" s="242"/>
      <c r="O474" s="242"/>
      <c r="P474" s="242"/>
      <c r="Q474" s="13"/>
      <c r="R474" s="13"/>
      <c r="S474" s="242"/>
      <c r="T474" s="443"/>
      <c r="U474" s="443"/>
      <c r="V474" s="242"/>
      <c r="W474" s="242"/>
      <c r="X474" s="242"/>
      <c r="Y474" s="242"/>
      <c r="Z474" s="242"/>
    </row>
    <row r="475">
      <c r="A475" s="242"/>
      <c r="B475" s="243"/>
      <c r="C475" s="243"/>
      <c r="D475" s="243"/>
      <c r="E475" s="15"/>
      <c r="F475" s="243"/>
      <c r="G475" s="243"/>
      <c r="H475" s="13"/>
      <c r="I475" s="13"/>
      <c r="J475" s="242"/>
      <c r="K475" s="242"/>
      <c r="L475" s="13"/>
      <c r="M475" s="242"/>
      <c r="N475" s="242"/>
      <c r="O475" s="242"/>
      <c r="P475" s="242"/>
      <c r="Q475" s="13"/>
      <c r="R475" s="13"/>
      <c r="S475" s="242"/>
      <c r="T475" s="443"/>
      <c r="U475" s="443"/>
      <c r="V475" s="242"/>
      <c r="W475" s="242"/>
      <c r="X475" s="242"/>
      <c r="Y475" s="242"/>
      <c r="Z475" s="242"/>
    </row>
    <row r="476">
      <c r="A476" s="242"/>
      <c r="B476" s="243"/>
      <c r="C476" s="243"/>
      <c r="D476" s="243"/>
      <c r="E476" s="15"/>
      <c r="F476" s="243"/>
      <c r="G476" s="243"/>
      <c r="H476" s="13"/>
      <c r="I476" s="13"/>
      <c r="J476" s="242"/>
      <c r="K476" s="242"/>
      <c r="L476" s="13"/>
      <c r="M476" s="242"/>
      <c r="N476" s="242"/>
      <c r="O476" s="242"/>
      <c r="P476" s="242"/>
      <c r="Q476" s="13"/>
      <c r="R476" s="13"/>
      <c r="S476" s="242"/>
      <c r="T476" s="443"/>
      <c r="U476" s="443"/>
      <c r="V476" s="242"/>
      <c r="W476" s="242"/>
      <c r="X476" s="242"/>
      <c r="Y476" s="242"/>
      <c r="Z476" s="242"/>
    </row>
    <row r="477">
      <c r="A477" s="242"/>
      <c r="B477" s="243"/>
      <c r="C477" s="243"/>
      <c r="D477" s="243"/>
      <c r="E477" s="15"/>
      <c r="F477" s="243"/>
      <c r="G477" s="243"/>
      <c r="H477" s="13"/>
      <c r="I477" s="13"/>
      <c r="J477" s="242"/>
      <c r="K477" s="242"/>
      <c r="L477" s="13"/>
      <c r="M477" s="242"/>
      <c r="N477" s="242"/>
      <c r="O477" s="242"/>
      <c r="P477" s="242"/>
      <c r="Q477" s="13"/>
      <c r="R477" s="13"/>
      <c r="S477" s="242"/>
      <c r="T477" s="443"/>
      <c r="U477" s="443"/>
      <c r="V477" s="242"/>
      <c r="W477" s="242"/>
      <c r="X477" s="242"/>
      <c r="Y477" s="242"/>
      <c r="Z477" s="242"/>
    </row>
    <row r="478">
      <c r="A478" s="242"/>
      <c r="B478" s="243"/>
      <c r="C478" s="243"/>
      <c r="D478" s="243"/>
      <c r="E478" s="15"/>
      <c r="F478" s="243"/>
      <c r="G478" s="243"/>
      <c r="H478" s="13"/>
      <c r="I478" s="13"/>
      <c r="J478" s="242"/>
      <c r="K478" s="242"/>
      <c r="L478" s="13"/>
      <c r="M478" s="242"/>
      <c r="N478" s="242"/>
      <c r="O478" s="242"/>
      <c r="P478" s="242"/>
      <c r="Q478" s="13"/>
      <c r="R478" s="13"/>
      <c r="S478" s="242"/>
      <c r="T478" s="443"/>
      <c r="U478" s="443"/>
      <c r="V478" s="242"/>
      <c r="W478" s="242"/>
      <c r="X478" s="242"/>
      <c r="Y478" s="242"/>
      <c r="Z478" s="242"/>
    </row>
    <row r="479">
      <c r="A479" s="242"/>
      <c r="B479" s="243"/>
      <c r="C479" s="243"/>
      <c r="D479" s="243"/>
      <c r="E479" s="15"/>
      <c r="F479" s="243"/>
      <c r="G479" s="243"/>
      <c r="H479" s="13"/>
      <c r="I479" s="13"/>
      <c r="J479" s="242"/>
      <c r="K479" s="242"/>
      <c r="L479" s="13"/>
      <c r="M479" s="242"/>
      <c r="N479" s="242"/>
      <c r="O479" s="242"/>
      <c r="P479" s="242"/>
      <c r="Q479" s="13"/>
      <c r="R479" s="13"/>
      <c r="S479" s="242"/>
      <c r="T479" s="443"/>
      <c r="U479" s="443"/>
      <c r="V479" s="242"/>
      <c r="W479" s="242"/>
      <c r="X479" s="242"/>
      <c r="Y479" s="242"/>
      <c r="Z479" s="242"/>
    </row>
    <row r="480">
      <c r="A480" s="242"/>
      <c r="B480" s="243"/>
      <c r="C480" s="243"/>
      <c r="D480" s="243"/>
      <c r="E480" s="15"/>
      <c r="F480" s="243"/>
      <c r="G480" s="243"/>
      <c r="H480" s="13"/>
      <c r="I480" s="13"/>
      <c r="J480" s="242"/>
      <c r="K480" s="242"/>
      <c r="L480" s="13"/>
      <c r="M480" s="242"/>
      <c r="N480" s="242"/>
      <c r="O480" s="242"/>
      <c r="P480" s="242"/>
      <c r="Q480" s="13"/>
      <c r="R480" s="13"/>
      <c r="S480" s="242"/>
      <c r="T480" s="443"/>
      <c r="U480" s="443"/>
      <c r="V480" s="242"/>
      <c r="W480" s="242"/>
      <c r="X480" s="242"/>
      <c r="Y480" s="242"/>
      <c r="Z480" s="242"/>
    </row>
    <row r="481">
      <c r="A481" s="242"/>
      <c r="B481" s="243"/>
      <c r="C481" s="243"/>
      <c r="D481" s="243"/>
      <c r="E481" s="15"/>
      <c r="F481" s="243"/>
      <c r="G481" s="243"/>
      <c r="H481" s="13"/>
      <c r="I481" s="13"/>
      <c r="J481" s="242"/>
      <c r="K481" s="242"/>
      <c r="L481" s="13"/>
      <c r="M481" s="242"/>
      <c r="N481" s="242"/>
      <c r="O481" s="242"/>
      <c r="P481" s="242"/>
      <c r="Q481" s="13"/>
      <c r="R481" s="13"/>
      <c r="S481" s="242"/>
      <c r="T481" s="443"/>
      <c r="U481" s="443"/>
      <c r="V481" s="242"/>
      <c r="W481" s="242"/>
      <c r="X481" s="242"/>
      <c r="Y481" s="242"/>
      <c r="Z481" s="242"/>
    </row>
    <row r="482">
      <c r="A482" s="242"/>
      <c r="B482" s="243"/>
      <c r="C482" s="243"/>
      <c r="D482" s="243"/>
      <c r="E482" s="15"/>
      <c r="F482" s="243"/>
      <c r="G482" s="243"/>
      <c r="H482" s="13"/>
      <c r="I482" s="13"/>
      <c r="J482" s="242"/>
      <c r="K482" s="242"/>
      <c r="L482" s="13"/>
      <c r="M482" s="242"/>
      <c r="N482" s="242"/>
      <c r="O482" s="242"/>
      <c r="P482" s="242"/>
      <c r="Q482" s="13"/>
      <c r="R482" s="13"/>
      <c r="S482" s="242"/>
      <c r="T482" s="443"/>
      <c r="U482" s="443"/>
      <c r="V482" s="242"/>
      <c r="W482" s="242"/>
      <c r="X482" s="242"/>
      <c r="Y482" s="242"/>
      <c r="Z482" s="242"/>
    </row>
    <row r="483">
      <c r="A483" s="242"/>
      <c r="B483" s="243"/>
      <c r="C483" s="243"/>
      <c r="D483" s="243"/>
      <c r="E483" s="15"/>
      <c r="F483" s="243"/>
      <c r="G483" s="243"/>
      <c r="H483" s="13"/>
      <c r="I483" s="13"/>
      <c r="J483" s="242"/>
      <c r="K483" s="242"/>
      <c r="L483" s="13"/>
      <c r="M483" s="242"/>
      <c r="N483" s="242"/>
      <c r="O483" s="242"/>
      <c r="P483" s="242"/>
      <c r="Q483" s="13"/>
      <c r="R483" s="13"/>
      <c r="S483" s="242"/>
      <c r="T483" s="443"/>
      <c r="U483" s="443"/>
      <c r="V483" s="242"/>
      <c r="W483" s="242"/>
      <c r="X483" s="242"/>
      <c r="Y483" s="242"/>
      <c r="Z483" s="242"/>
    </row>
    <row r="484">
      <c r="A484" s="242"/>
      <c r="B484" s="243"/>
      <c r="C484" s="243"/>
      <c r="D484" s="243"/>
      <c r="E484" s="15"/>
      <c r="F484" s="243"/>
      <c r="G484" s="243"/>
      <c r="H484" s="13"/>
      <c r="I484" s="13"/>
      <c r="J484" s="242"/>
      <c r="K484" s="242"/>
      <c r="L484" s="13"/>
      <c r="M484" s="242"/>
      <c r="N484" s="242"/>
      <c r="O484" s="242"/>
      <c r="P484" s="242"/>
      <c r="Q484" s="13"/>
      <c r="R484" s="13"/>
      <c r="S484" s="242"/>
      <c r="T484" s="443"/>
      <c r="U484" s="443"/>
      <c r="V484" s="242"/>
      <c r="W484" s="242"/>
      <c r="X484" s="242"/>
      <c r="Y484" s="242"/>
      <c r="Z484" s="242"/>
    </row>
    <row r="485">
      <c r="A485" s="242"/>
      <c r="B485" s="243"/>
      <c r="C485" s="243"/>
      <c r="D485" s="243"/>
      <c r="E485" s="15"/>
      <c r="F485" s="243"/>
      <c r="G485" s="243"/>
      <c r="H485" s="13"/>
      <c r="I485" s="13"/>
      <c r="J485" s="242"/>
      <c r="K485" s="242"/>
      <c r="L485" s="13"/>
      <c r="M485" s="242"/>
      <c r="N485" s="242"/>
      <c r="O485" s="242"/>
      <c r="P485" s="242"/>
      <c r="Q485" s="13"/>
      <c r="R485" s="13"/>
      <c r="S485" s="242"/>
      <c r="T485" s="443"/>
      <c r="U485" s="443"/>
      <c r="V485" s="242"/>
      <c r="W485" s="242"/>
      <c r="X485" s="242"/>
      <c r="Y485" s="242"/>
      <c r="Z485" s="242"/>
    </row>
    <row r="486">
      <c r="A486" s="242"/>
      <c r="B486" s="243"/>
      <c r="C486" s="243"/>
      <c r="D486" s="243"/>
      <c r="E486" s="15"/>
      <c r="F486" s="243"/>
      <c r="G486" s="243"/>
      <c r="H486" s="13"/>
      <c r="I486" s="13"/>
      <c r="J486" s="242"/>
      <c r="K486" s="242"/>
      <c r="L486" s="13"/>
      <c r="M486" s="242"/>
      <c r="N486" s="242"/>
      <c r="O486" s="242"/>
      <c r="P486" s="242"/>
      <c r="Q486" s="13"/>
      <c r="R486" s="13"/>
      <c r="S486" s="242"/>
      <c r="T486" s="443"/>
      <c r="U486" s="443"/>
      <c r="V486" s="242"/>
      <c r="W486" s="242"/>
      <c r="X486" s="242"/>
      <c r="Y486" s="242"/>
      <c r="Z486" s="242"/>
    </row>
    <row r="487">
      <c r="A487" s="242"/>
      <c r="B487" s="243"/>
      <c r="C487" s="243"/>
      <c r="D487" s="243"/>
      <c r="E487" s="15"/>
      <c r="F487" s="243"/>
      <c r="G487" s="243"/>
      <c r="H487" s="13"/>
      <c r="I487" s="13"/>
      <c r="J487" s="242"/>
      <c r="K487" s="242"/>
      <c r="L487" s="13"/>
      <c r="M487" s="242"/>
      <c r="N487" s="242"/>
      <c r="O487" s="242"/>
      <c r="P487" s="242"/>
      <c r="Q487" s="13"/>
      <c r="R487" s="13"/>
      <c r="S487" s="242"/>
      <c r="T487" s="443"/>
      <c r="U487" s="443"/>
      <c r="V487" s="242"/>
      <c r="W487" s="242"/>
      <c r="X487" s="242"/>
      <c r="Y487" s="242"/>
      <c r="Z487" s="242"/>
    </row>
    <row r="488">
      <c r="A488" s="242"/>
      <c r="B488" s="243"/>
      <c r="C488" s="243"/>
      <c r="D488" s="243"/>
      <c r="E488" s="15"/>
      <c r="F488" s="243"/>
      <c r="G488" s="243"/>
      <c r="H488" s="13"/>
      <c r="I488" s="13"/>
      <c r="J488" s="242"/>
      <c r="K488" s="242"/>
      <c r="L488" s="13"/>
      <c r="M488" s="242"/>
      <c r="N488" s="242"/>
      <c r="O488" s="242"/>
      <c r="P488" s="242"/>
      <c r="Q488" s="13"/>
      <c r="R488" s="13"/>
      <c r="S488" s="242"/>
      <c r="T488" s="443"/>
      <c r="U488" s="443"/>
      <c r="V488" s="242"/>
      <c r="W488" s="242"/>
      <c r="X488" s="242"/>
      <c r="Y488" s="242"/>
      <c r="Z488" s="242"/>
    </row>
    <row r="489">
      <c r="A489" s="242"/>
      <c r="B489" s="243"/>
      <c r="C489" s="243"/>
      <c r="D489" s="243"/>
      <c r="E489" s="15"/>
      <c r="F489" s="243"/>
      <c r="G489" s="243"/>
      <c r="H489" s="13"/>
      <c r="I489" s="13"/>
      <c r="J489" s="242"/>
      <c r="K489" s="242"/>
      <c r="L489" s="13"/>
      <c r="M489" s="242"/>
      <c r="N489" s="242"/>
      <c r="O489" s="242"/>
      <c r="P489" s="242"/>
      <c r="Q489" s="13"/>
      <c r="R489" s="13"/>
      <c r="S489" s="242"/>
      <c r="T489" s="443"/>
      <c r="U489" s="443"/>
      <c r="V489" s="242"/>
      <c r="W489" s="242"/>
      <c r="X489" s="242"/>
      <c r="Y489" s="242"/>
      <c r="Z489" s="242"/>
    </row>
    <row r="490">
      <c r="A490" s="242"/>
      <c r="B490" s="243"/>
      <c r="C490" s="243"/>
      <c r="D490" s="243"/>
      <c r="E490" s="15"/>
      <c r="F490" s="243"/>
      <c r="G490" s="243"/>
      <c r="H490" s="13"/>
      <c r="I490" s="13"/>
      <c r="J490" s="242"/>
      <c r="K490" s="242"/>
      <c r="L490" s="13"/>
      <c r="M490" s="242"/>
      <c r="N490" s="242"/>
      <c r="O490" s="242"/>
      <c r="P490" s="242"/>
      <c r="Q490" s="13"/>
      <c r="R490" s="13"/>
      <c r="S490" s="242"/>
      <c r="T490" s="443"/>
      <c r="U490" s="443"/>
      <c r="V490" s="242"/>
      <c r="W490" s="242"/>
      <c r="X490" s="242"/>
      <c r="Y490" s="242"/>
      <c r="Z490" s="242"/>
    </row>
    <row r="491">
      <c r="A491" s="242"/>
      <c r="B491" s="243"/>
      <c r="C491" s="243"/>
      <c r="D491" s="243"/>
      <c r="E491" s="15"/>
      <c r="F491" s="243"/>
      <c r="G491" s="243"/>
      <c r="H491" s="13"/>
      <c r="I491" s="13"/>
      <c r="J491" s="242"/>
      <c r="K491" s="242"/>
      <c r="L491" s="13"/>
      <c r="M491" s="242"/>
      <c r="N491" s="242"/>
      <c r="O491" s="242"/>
      <c r="P491" s="242"/>
      <c r="Q491" s="13"/>
      <c r="R491" s="13"/>
      <c r="S491" s="242"/>
      <c r="T491" s="443"/>
      <c r="U491" s="443"/>
      <c r="V491" s="242"/>
      <c r="W491" s="242"/>
      <c r="X491" s="242"/>
      <c r="Y491" s="242"/>
      <c r="Z491" s="242"/>
    </row>
    <row r="492">
      <c r="A492" s="242"/>
      <c r="B492" s="243"/>
      <c r="C492" s="243"/>
      <c r="D492" s="243"/>
      <c r="E492" s="15"/>
      <c r="F492" s="243"/>
      <c r="G492" s="243"/>
      <c r="H492" s="13"/>
      <c r="I492" s="13"/>
      <c r="J492" s="242"/>
      <c r="K492" s="242"/>
      <c r="L492" s="13"/>
      <c r="M492" s="242"/>
      <c r="N492" s="242"/>
      <c r="O492" s="242"/>
      <c r="P492" s="242"/>
      <c r="Q492" s="13"/>
      <c r="R492" s="13"/>
      <c r="S492" s="242"/>
      <c r="T492" s="443"/>
      <c r="U492" s="443"/>
      <c r="V492" s="242"/>
      <c r="W492" s="242"/>
      <c r="X492" s="242"/>
      <c r="Y492" s="242"/>
      <c r="Z492" s="242"/>
    </row>
    <row r="493">
      <c r="A493" s="242"/>
      <c r="B493" s="243"/>
      <c r="C493" s="243"/>
      <c r="D493" s="243"/>
      <c r="E493" s="15"/>
      <c r="F493" s="243"/>
      <c r="G493" s="243"/>
      <c r="H493" s="13"/>
      <c r="I493" s="13"/>
      <c r="J493" s="242"/>
      <c r="K493" s="242"/>
      <c r="L493" s="13"/>
      <c r="M493" s="242"/>
      <c r="N493" s="242"/>
      <c r="O493" s="242"/>
      <c r="P493" s="242"/>
      <c r="Q493" s="13"/>
      <c r="R493" s="13"/>
      <c r="S493" s="242"/>
      <c r="T493" s="443"/>
      <c r="U493" s="443"/>
      <c r="V493" s="242"/>
      <c r="W493" s="242"/>
      <c r="X493" s="242"/>
      <c r="Y493" s="242"/>
      <c r="Z493" s="242"/>
    </row>
    <row r="494">
      <c r="A494" s="242"/>
      <c r="B494" s="243"/>
      <c r="C494" s="243"/>
      <c r="D494" s="243"/>
      <c r="E494" s="15"/>
      <c r="F494" s="243"/>
      <c r="G494" s="243"/>
      <c r="H494" s="13"/>
      <c r="I494" s="13"/>
      <c r="J494" s="242"/>
      <c r="K494" s="242"/>
      <c r="L494" s="13"/>
      <c r="M494" s="242"/>
      <c r="N494" s="242"/>
      <c r="O494" s="242"/>
      <c r="P494" s="242"/>
      <c r="Q494" s="13"/>
      <c r="R494" s="13"/>
      <c r="S494" s="242"/>
      <c r="T494" s="443"/>
      <c r="U494" s="443"/>
      <c r="V494" s="242"/>
      <c r="W494" s="242"/>
      <c r="X494" s="242"/>
      <c r="Y494" s="242"/>
      <c r="Z494" s="242"/>
    </row>
    <row r="495">
      <c r="A495" s="242"/>
      <c r="B495" s="243"/>
      <c r="C495" s="243"/>
      <c r="D495" s="243"/>
      <c r="E495" s="15"/>
      <c r="F495" s="243"/>
      <c r="G495" s="243"/>
      <c r="H495" s="13"/>
      <c r="I495" s="13"/>
      <c r="J495" s="242"/>
      <c r="K495" s="242"/>
      <c r="L495" s="13"/>
      <c r="M495" s="242"/>
      <c r="N495" s="242"/>
      <c r="O495" s="242"/>
      <c r="P495" s="242"/>
      <c r="Q495" s="13"/>
      <c r="R495" s="13"/>
      <c r="S495" s="242"/>
      <c r="T495" s="443"/>
      <c r="U495" s="443"/>
      <c r="V495" s="242"/>
      <c r="W495" s="242"/>
      <c r="X495" s="242"/>
      <c r="Y495" s="242"/>
      <c r="Z495" s="242"/>
    </row>
    <row r="496">
      <c r="A496" s="242"/>
      <c r="B496" s="243"/>
      <c r="C496" s="243"/>
      <c r="D496" s="243"/>
      <c r="E496" s="15"/>
      <c r="F496" s="243"/>
      <c r="G496" s="243"/>
      <c r="H496" s="13"/>
      <c r="I496" s="13"/>
      <c r="J496" s="242"/>
      <c r="K496" s="242"/>
      <c r="L496" s="13"/>
      <c r="M496" s="242"/>
      <c r="N496" s="242"/>
      <c r="O496" s="242"/>
      <c r="P496" s="242"/>
      <c r="Q496" s="13"/>
      <c r="R496" s="13"/>
      <c r="S496" s="242"/>
      <c r="T496" s="443"/>
      <c r="U496" s="443"/>
      <c r="V496" s="242"/>
      <c r="W496" s="242"/>
      <c r="X496" s="242"/>
      <c r="Y496" s="242"/>
      <c r="Z496" s="242"/>
    </row>
    <row r="497">
      <c r="A497" s="242"/>
      <c r="B497" s="243"/>
      <c r="C497" s="243"/>
      <c r="D497" s="243"/>
      <c r="E497" s="15"/>
      <c r="F497" s="243"/>
      <c r="G497" s="243"/>
      <c r="H497" s="13"/>
      <c r="I497" s="13"/>
      <c r="J497" s="242"/>
      <c r="K497" s="242"/>
      <c r="L497" s="13"/>
      <c r="M497" s="242"/>
      <c r="N497" s="242"/>
      <c r="O497" s="242"/>
      <c r="P497" s="242"/>
      <c r="Q497" s="13"/>
      <c r="R497" s="13"/>
      <c r="S497" s="242"/>
      <c r="T497" s="443"/>
      <c r="U497" s="443"/>
      <c r="V497" s="242"/>
      <c r="W497" s="242"/>
      <c r="X497" s="242"/>
      <c r="Y497" s="242"/>
      <c r="Z497" s="242"/>
    </row>
    <row r="498">
      <c r="A498" s="242"/>
      <c r="B498" s="243"/>
      <c r="C498" s="243"/>
      <c r="D498" s="243"/>
      <c r="E498" s="15"/>
      <c r="F498" s="243"/>
      <c r="G498" s="243"/>
      <c r="H498" s="13"/>
      <c r="I498" s="13"/>
      <c r="J498" s="242"/>
      <c r="K498" s="242"/>
      <c r="L498" s="13"/>
      <c r="M498" s="242"/>
      <c r="N498" s="242"/>
      <c r="O498" s="242"/>
      <c r="P498" s="242"/>
      <c r="Q498" s="13"/>
      <c r="R498" s="13"/>
      <c r="S498" s="242"/>
      <c r="T498" s="443"/>
      <c r="U498" s="443"/>
      <c r="V498" s="242"/>
      <c r="W498" s="242"/>
      <c r="X498" s="242"/>
      <c r="Y498" s="242"/>
      <c r="Z498" s="242"/>
    </row>
    <row r="499">
      <c r="A499" s="242"/>
      <c r="B499" s="243"/>
      <c r="C499" s="243"/>
      <c r="D499" s="243"/>
      <c r="E499" s="15"/>
      <c r="F499" s="243"/>
      <c r="G499" s="243"/>
      <c r="H499" s="13"/>
      <c r="I499" s="13"/>
      <c r="J499" s="242"/>
      <c r="K499" s="242"/>
      <c r="L499" s="13"/>
      <c r="M499" s="242"/>
      <c r="N499" s="242"/>
      <c r="O499" s="242"/>
      <c r="P499" s="242"/>
      <c r="Q499" s="13"/>
      <c r="R499" s="13"/>
      <c r="S499" s="242"/>
      <c r="T499" s="443"/>
      <c r="U499" s="443"/>
      <c r="V499" s="242"/>
      <c r="W499" s="242"/>
      <c r="X499" s="242"/>
      <c r="Y499" s="242"/>
      <c r="Z499" s="242"/>
    </row>
    <row r="500">
      <c r="A500" s="242"/>
      <c r="B500" s="243"/>
      <c r="C500" s="243"/>
      <c r="D500" s="243"/>
      <c r="E500" s="15"/>
      <c r="F500" s="243"/>
      <c r="G500" s="243"/>
      <c r="H500" s="13"/>
      <c r="I500" s="13"/>
      <c r="J500" s="242"/>
      <c r="K500" s="242"/>
      <c r="L500" s="13"/>
      <c r="M500" s="242"/>
      <c r="N500" s="242"/>
      <c r="O500" s="242"/>
      <c r="P500" s="242"/>
      <c r="Q500" s="13"/>
      <c r="R500" s="13"/>
      <c r="S500" s="242"/>
      <c r="T500" s="443"/>
      <c r="U500" s="443"/>
      <c r="V500" s="242"/>
      <c r="W500" s="242"/>
      <c r="X500" s="242"/>
      <c r="Y500" s="242"/>
      <c r="Z500" s="242"/>
    </row>
    <row r="501">
      <c r="A501" s="242"/>
      <c r="B501" s="243"/>
      <c r="C501" s="243"/>
      <c r="D501" s="243"/>
      <c r="E501" s="15"/>
      <c r="F501" s="243"/>
      <c r="G501" s="243"/>
      <c r="H501" s="13"/>
      <c r="I501" s="13"/>
      <c r="J501" s="242"/>
      <c r="K501" s="242"/>
      <c r="L501" s="13"/>
      <c r="M501" s="242"/>
      <c r="N501" s="242"/>
      <c r="O501" s="242"/>
      <c r="P501" s="242"/>
      <c r="Q501" s="13"/>
      <c r="R501" s="13"/>
      <c r="S501" s="242"/>
      <c r="T501" s="443"/>
      <c r="U501" s="443"/>
      <c r="V501" s="242"/>
      <c r="W501" s="242"/>
      <c r="X501" s="242"/>
      <c r="Y501" s="242"/>
      <c r="Z501" s="242"/>
    </row>
    <row r="502">
      <c r="A502" s="242"/>
      <c r="B502" s="243"/>
      <c r="C502" s="243"/>
      <c r="D502" s="243"/>
      <c r="E502" s="15"/>
      <c r="F502" s="243"/>
      <c r="G502" s="243"/>
      <c r="H502" s="13"/>
      <c r="I502" s="13"/>
      <c r="J502" s="242"/>
      <c r="K502" s="242"/>
      <c r="L502" s="13"/>
      <c r="M502" s="242"/>
      <c r="N502" s="242"/>
      <c r="O502" s="242"/>
      <c r="P502" s="242"/>
      <c r="Q502" s="13"/>
      <c r="R502" s="13"/>
      <c r="S502" s="242"/>
      <c r="T502" s="443"/>
      <c r="U502" s="443"/>
      <c r="V502" s="242"/>
      <c r="W502" s="242"/>
      <c r="X502" s="242"/>
      <c r="Y502" s="242"/>
      <c r="Z502" s="242"/>
    </row>
    <row r="503">
      <c r="A503" s="242"/>
      <c r="B503" s="243"/>
      <c r="C503" s="243"/>
      <c r="D503" s="243"/>
      <c r="E503" s="15"/>
      <c r="F503" s="243"/>
      <c r="G503" s="243"/>
      <c r="H503" s="13"/>
      <c r="I503" s="13"/>
      <c r="J503" s="242"/>
      <c r="K503" s="242"/>
      <c r="L503" s="13"/>
      <c r="M503" s="242"/>
      <c r="N503" s="242"/>
      <c r="O503" s="242"/>
      <c r="P503" s="242"/>
      <c r="Q503" s="13"/>
      <c r="R503" s="13"/>
      <c r="S503" s="242"/>
      <c r="T503" s="443"/>
      <c r="U503" s="443"/>
      <c r="V503" s="242"/>
      <c r="W503" s="242"/>
      <c r="X503" s="242"/>
      <c r="Y503" s="242"/>
      <c r="Z503" s="242"/>
    </row>
    <row r="504">
      <c r="A504" s="242"/>
      <c r="B504" s="243"/>
      <c r="C504" s="243"/>
      <c r="D504" s="243"/>
      <c r="E504" s="15"/>
      <c r="F504" s="243"/>
      <c r="G504" s="243"/>
      <c r="H504" s="13"/>
      <c r="I504" s="13"/>
      <c r="J504" s="242"/>
      <c r="K504" s="242"/>
      <c r="L504" s="13"/>
      <c r="M504" s="242"/>
      <c r="N504" s="242"/>
      <c r="O504" s="242"/>
      <c r="P504" s="242"/>
      <c r="Q504" s="13"/>
      <c r="R504" s="13"/>
      <c r="S504" s="242"/>
      <c r="T504" s="443"/>
      <c r="U504" s="443"/>
      <c r="V504" s="242"/>
      <c r="W504" s="242"/>
      <c r="X504" s="242"/>
      <c r="Y504" s="242"/>
      <c r="Z504" s="242"/>
    </row>
    <row r="505">
      <c r="A505" s="242"/>
      <c r="B505" s="243"/>
      <c r="C505" s="243"/>
      <c r="D505" s="243"/>
      <c r="E505" s="15"/>
      <c r="F505" s="243"/>
      <c r="G505" s="243"/>
      <c r="H505" s="13"/>
      <c r="I505" s="13"/>
      <c r="J505" s="242"/>
      <c r="K505" s="242"/>
      <c r="L505" s="13"/>
      <c r="M505" s="242"/>
      <c r="N505" s="242"/>
      <c r="O505" s="242"/>
      <c r="P505" s="242"/>
      <c r="Q505" s="13"/>
      <c r="R505" s="13"/>
      <c r="S505" s="242"/>
      <c r="T505" s="443"/>
      <c r="U505" s="443"/>
      <c r="V505" s="242"/>
      <c r="W505" s="242"/>
      <c r="X505" s="242"/>
      <c r="Y505" s="242"/>
      <c r="Z505" s="242"/>
    </row>
    <row r="506">
      <c r="A506" s="242"/>
      <c r="B506" s="243"/>
      <c r="C506" s="243"/>
      <c r="D506" s="243"/>
      <c r="E506" s="15"/>
      <c r="F506" s="243"/>
      <c r="G506" s="243"/>
      <c r="H506" s="13"/>
      <c r="I506" s="13"/>
      <c r="J506" s="242"/>
      <c r="K506" s="242"/>
      <c r="L506" s="13"/>
      <c r="M506" s="242"/>
      <c r="N506" s="242"/>
      <c r="O506" s="242"/>
      <c r="P506" s="242"/>
      <c r="Q506" s="13"/>
      <c r="R506" s="13"/>
      <c r="S506" s="242"/>
      <c r="T506" s="443"/>
      <c r="U506" s="443"/>
      <c r="V506" s="242"/>
      <c r="W506" s="242"/>
      <c r="X506" s="242"/>
      <c r="Y506" s="242"/>
      <c r="Z506" s="242"/>
    </row>
    <row r="507">
      <c r="A507" s="242"/>
      <c r="B507" s="243"/>
      <c r="C507" s="243"/>
      <c r="D507" s="243"/>
      <c r="E507" s="15"/>
      <c r="F507" s="243"/>
      <c r="G507" s="243"/>
      <c r="H507" s="13"/>
      <c r="I507" s="13"/>
      <c r="J507" s="242"/>
      <c r="K507" s="242"/>
      <c r="L507" s="13"/>
      <c r="M507" s="242"/>
      <c r="N507" s="242"/>
      <c r="O507" s="242"/>
      <c r="P507" s="242"/>
      <c r="Q507" s="13"/>
      <c r="R507" s="13"/>
      <c r="S507" s="242"/>
      <c r="T507" s="443"/>
      <c r="U507" s="443"/>
      <c r="V507" s="242"/>
      <c r="W507" s="242"/>
      <c r="X507" s="242"/>
      <c r="Y507" s="242"/>
      <c r="Z507" s="242"/>
    </row>
    <row r="508">
      <c r="A508" s="242"/>
      <c r="B508" s="243"/>
      <c r="C508" s="243"/>
      <c r="D508" s="243"/>
      <c r="E508" s="15"/>
      <c r="F508" s="243"/>
      <c r="G508" s="243"/>
      <c r="H508" s="13"/>
      <c r="I508" s="13"/>
      <c r="J508" s="242"/>
      <c r="K508" s="242"/>
      <c r="L508" s="13"/>
      <c r="M508" s="242"/>
      <c r="N508" s="242"/>
      <c r="O508" s="242"/>
      <c r="P508" s="242"/>
      <c r="Q508" s="13"/>
      <c r="R508" s="13"/>
      <c r="S508" s="242"/>
      <c r="T508" s="443"/>
      <c r="U508" s="443"/>
      <c r="V508" s="242"/>
      <c r="W508" s="242"/>
      <c r="X508" s="242"/>
      <c r="Y508" s="242"/>
      <c r="Z508" s="242"/>
    </row>
    <row r="509">
      <c r="A509" s="242"/>
      <c r="B509" s="243"/>
      <c r="C509" s="243"/>
      <c r="D509" s="243"/>
      <c r="E509" s="15"/>
      <c r="F509" s="243"/>
      <c r="G509" s="243"/>
      <c r="H509" s="13"/>
      <c r="I509" s="13"/>
      <c r="J509" s="242"/>
      <c r="K509" s="242"/>
      <c r="L509" s="13"/>
      <c r="M509" s="242"/>
      <c r="N509" s="242"/>
      <c r="O509" s="242"/>
      <c r="P509" s="242"/>
      <c r="Q509" s="13"/>
      <c r="R509" s="13"/>
      <c r="S509" s="242"/>
      <c r="T509" s="443"/>
      <c r="U509" s="443"/>
      <c r="V509" s="242"/>
      <c r="W509" s="242"/>
      <c r="X509" s="242"/>
      <c r="Y509" s="242"/>
      <c r="Z509" s="242"/>
    </row>
    <row r="510">
      <c r="A510" s="242"/>
      <c r="B510" s="243"/>
      <c r="C510" s="243"/>
      <c r="D510" s="243"/>
      <c r="E510" s="15"/>
      <c r="F510" s="243"/>
      <c r="G510" s="243"/>
      <c r="H510" s="13"/>
      <c r="I510" s="13"/>
      <c r="J510" s="242"/>
      <c r="K510" s="242"/>
      <c r="L510" s="13"/>
      <c r="M510" s="242"/>
      <c r="N510" s="242"/>
      <c r="O510" s="242"/>
      <c r="P510" s="242"/>
      <c r="Q510" s="13"/>
      <c r="R510" s="13"/>
      <c r="S510" s="242"/>
      <c r="T510" s="443"/>
      <c r="U510" s="443"/>
      <c r="V510" s="242"/>
      <c r="W510" s="242"/>
      <c r="X510" s="242"/>
      <c r="Y510" s="242"/>
      <c r="Z510" s="242"/>
    </row>
    <row r="511">
      <c r="A511" s="242"/>
      <c r="B511" s="243"/>
      <c r="C511" s="243"/>
      <c r="D511" s="243"/>
      <c r="E511" s="15"/>
      <c r="F511" s="243"/>
      <c r="G511" s="243"/>
      <c r="H511" s="13"/>
      <c r="I511" s="13"/>
      <c r="J511" s="242"/>
      <c r="K511" s="242"/>
      <c r="L511" s="13"/>
      <c r="M511" s="242"/>
      <c r="N511" s="242"/>
      <c r="O511" s="242"/>
      <c r="P511" s="242"/>
      <c r="Q511" s="13"/>
      <c r="R511" s="13"/>
      <c r="S511" s="242"/>
      <c r="T511" s="443"/>
      <c r="U511" s="443"/>
      <c r="V511" s="242"/>
      <c r="W511" s="242"/>
      <c r="X511" s="242"/>
      <c r="Y511" s="242"/>
      <c r="Z511" s="242"/>
    </row>
    <row r="512">
      <c r="A512" s="242"/>
      <c r="B512" s="243"/>
      <c r="C512" s="243"/>
      <c r="D512" s="243"/>
      <c r="E512" s="15"/>
      <c r="F512" s="243"/>
      <c r="G512" s="243"/>
      <c r="H512" s="13"/>
      <c r="I512" s="13"/>
      <c r="J512" s="242"/>
      <c r="K512" s="242"/>
      <c r="L512" s="13"/>
      <c r="M512" s="242"/>
      <c r="N512" s="242"/>
      <c r="O512" s="242"/>
      <c r="P512" s="242"/>
      <c r="Q512" s="13"/>
      <c r="R512" s="13"/>
      <c r="S512" s="242"/>
      <c r="T512" s="443"/>
      <c r="U512" s="443"/>
      <c r="V512" s="242"/>
      <c r="W512" s="242"/>
      <c r="X512" s="242"/>
      <c r="Y512" s="242"/>
      <c r="Z512" s="242"/>
    </row>
    <row r="513">
      <c r="A513" s="242"/>
      <c r="B513" s="243"/>
      <c r="C513" s="243"/>
      <c r="D513" s="243"/>
      <c r="E513" s="15"/>
      <c r="F513" s="243"/>
      <c r="G513" s="243"/>
      <c r="H513" s="13"/>
      <c r="I513" s="13"/>
      <c r="J513" s="242"/>
      <c r="K513" s="242"/>
      <c r="L513" s="13"/>
      <c r="M513" s="242"/>
      <c r="N513" s="242"/>
      <c r="O513" s="242"/>
      <c r="P513" s="242"/>
      <c r="Q513" s="13"/>
      <c r="R513" s="13"/>
      <c r="S513" s="242"/>
      <c r="T513" s="443"/>
      <c r="U513" s="443"/>
      <c r="V513" s="242"/>
      <c r="W513" s="242"/>
      <c r="X513" s="242"/>
      <c r="Y513" s="242"/>
      <c r="Z513" s="242"/>
    </row>
    <row r="514">
      <c r="A514" s="242"/>
      <c r="B514" s="243"/>
      <c r="C514" s="243"/>
      <c r="D514" s="243"/>
      <c r="E514" s="15"/>
      <c r="F514" s="243"/>
      <c r="G514" s="243"/>
      <c r="H514" s="13"/>
      <c r="I514" s="13"/>
      <c r="J514" s="242"/>
      <c r="K514" s="242"/>
      <c r="L514" s="13"/>
      <c r="M514" s="242"/>
      <c r="N514" s="242"/>
      <c r="O514" s="242"/>
      <c r="P514" s="242"/>
      <c r="Q514" s="13"/>
      <c r="R514" s="13"/>
      <c r="S514" s="242"/>
      <c r="T514" s="443"/>
      <c r="U514" s="443"/>
      <c r="V514" s="242"/>
      <c r="W514" s="242"/>
      <c r="X514" s="242"/>
      <c r="Y514" s="242"/>
      <c r="Z514" s="242"/>
    </row>
    <row r="515">
      <c r="A515" s="242"/>
      <c r="B515" s="243"/>
      <c r="C515" s="243"/>
      <c r="D515" s="243"/>
      <c r="E515" s="15"/>
      <c r="F515" s="243"/>
      <c r="G515" s="243"/>
      <c r="H515" s="13"/>
      <c r="I515" s="13"/>
      <c r="J515" s="242"/>
      <c r="K515" s="242"/>
      <c r="L515" s="13"/>
      <c r="M515" s="242"/>
      <c r="N515" s="242"/>
      <c r="O515" s="242"/>
      <c r="P515" s="242"/>
      <c r="Q515" s="13"/>
      <c r="R515" s="13"/>
      <c r="S515" s="242"/>
      <c r="T515" s="443"/>
      <c r="U515" s="443"/>
      <c r="V515" s="242"/>
      <c r="W515" s="242"/>
      <c r="X515" s="242"/>
      <c r="Y515" s="242"/>
      <c r="Z515" s="242"/>
    </row>
    <row r="516">
      <c r="A516" s="242"/>
      <c r="B516" s="243"/>
      <c r="C516" s="243"/>
      <c r="D516" s="243"/>
      <c r="E516" s="15"/>
      <c r="F516" s="243"/>
      <c r="G516" s="243"/>
      <c r="H516" s="13"/>
      <c r="I516" s="13"/>
      <c r="J516" s="242"/>
      <c r="K516" s="242"/>
      <c r="L516" s="13"/>
      <c r="M516" s="242"/>
      <c r="N516" s="242"/>
      <c r="O516" s="242"/>
      <c r="P516" s="242"/>
      <c r="Q516" s="13"/>
      <c r="R516" s="13"/>
      <c r="S516" s="242"/>
      <c r="T516" s="443"/>
      <c r="U516" s="443"/>
      <c r="V516" s="242"/>
      <c r="W516" s="242"/>
      <c r="X516" s="242"/>
      <c r="Y516" s="242"/>
      <c r="Z516" s="242"/>
    </row>
    <row r="517">
      <c r="A517" s="242"/>
      <c r="B517" s="243"/>
      <c r="C517" s="243"/>
      <c r="D517" s="243"/>
      <c r="E517" s="15"/>
      <c r="F517" s="243"/>
      <c r="G517" s="243"/>
      <c r="H517" s="13"/>
      <c r="I517" s="13"/>
      <c r="J517" s="242"/>
      <c r="K517" s="242"/>
      <c r="L517" s="13"/>
      <c r="M517" s="242"/>
      <c r="N517" s="242"/>
      <c r="O517" s="242"/>
      <c r="P517" s="242"/>
      <c r="Q517" s="13"/>
      <c r="R517" s="13"/>
      <c r="S517" s="242"/>
      <c r="T517" s="443"/>
      <c r="U517" s="443"/>
      <c r="V517" s="242"/>
      <c r="W517" s="242"/>
      <c r="X517" s="242"/>
      <c r="Y517" s="242"/>
      <c r="Z517" s="242"/>
    </row>
    <row r="518">
      <c r="A518" s="242"/>
      <c r="B518" s="243"/>
      <c r="C518" s="243"/>
      <c r="D518" s="243"/>
      <c r="E518" s="15"/>
      <c r="F518" s="243"/>
      <c r="G518" s="243"/>
      <c r="H518" s="13"/>
      <c r="I518" s="13"/>
      <c r="J518" s="242"/>
      <c r="K518" s="242"/>
      <c r="L518" s="13"/>
      <c r="M518" s="242"/>
      <c r="N518" s="242"/>
      <c r="O518" s="242"/>
      <c r="P518" s="242"/>
      <c r="Q518" s="13"/>
      <c r="R518" s="13"/>
      <c r="S518" s="242"/>
      <c r="T518" s="443"/>
      <c r="U518" s="443"/>
      <c r="V518" s="242"/>
      <c r="W518" s="242"/>
      <c r="X518" s="242"/>
      <c r="Y518" s="242"/>
      <c r="Z518" s="242"/>
    </row>
    <row r="519">
      <c r="A519" s="242"/>
      <c r="B519" s="243"/>
      <c r="C519" s="243"/>
      <c r="D519" s="243"/>
      <c r="E519" s="15"/>
      <c r="F519" s="243"/>
      <c r="G519" s="243"/>
      <c r="H519" s="13"/>
      <c r="I519" s="13"/>
      <c r="J519" s="242"/>
      <c r="K519" s="242"/>
      <c r="L519" s="13"/>
      <c r="M519" s="242"/>
      <c r="N519" s="242"/>
      <c r="O519" s="242"/>
      <c r="P519" s="242"/>
      <c r="Q519" s="13"/>
      <c r="R519" s="13"/>
      <c r="S519" s="242"/>
      <c r="T519" s="443"/>
      <c r="U519" s="443"/>
      <c r="V519" s="242"/>
      <c r="W519" s="242"/>
      <c r="X519" s="242"/>
      <c r="Y519" s="242"/>
      <c r="Z519" s="242"/>
    </row>
    <row r="520">
      <c r="A520" s="242"/>
      <c r="B520" s="243"/>
      <c r="C520" s="243"/>
      <c r="D520" s="243"/>
      <c r="E520" s="15"/>
      <c r="F520" s="243"/>
      <c r="G520" s="243"/>
      <c r="H520" s="13"/>
      <c r="I520" s="13"/>
      <c r="J520" s="242"/>
      <c r="K520" s="242"/>
      <c r="L520" s="13"/>
      <c r="M520" s="242"/>
      <c r="N520" s="242"/>
      <c r="O520" s="242"/>
      <c r="P520" s="242"/>
      <c r="Q520" s="13"/>
      <c r="R520" s="13"/>
      <c r="S520" s="242"/>
      <c r="T520" s="443"/>
      <c r="U520" s="443"/>
      <c r="V520" s="242"/>
      <c r="W520" s="242"/>
      <c r="X520" s="242"/>
      <c r="Y520" s="242"/>
      <c r="Z520" s="242"/>
    </row>
    <row r="521">
      <c r="A521" s="242"/>
      <c r="B521" s="243"/>
      <c r="C521" s="243"/>
      <c r="D521" s="243"/>
      <c r="E521" s="15"/>
      <c r="F521" s="243"/>
      <c r="G521" s="243"/>
      <c r="H521" s="13"/>
      <c r="I521" s="13"/>
      <c r="J521" s="242"/>
      <c r="K521" s="242"/>
      <c r="L521" s="13"/>
      <c r="M521" s="242"/>
      <c r="N521" s="242"/>
      <c r="O521" s="242"/>
      <c r="P521" s="242"/>
      <c r="Q521" s="13"/>
      <c r="R521" s="13"/>
      <c r="S521" s="242"/>
      <c r="T521" s="443"/>
      <c r="U521" s="443"/>
      <c r="V521" s="242"/>
      <c r="W521" s="242"/>
      <c r="X521" s="242"/>
      <c r="Y521" s="242"/>
      <c r="Z521" s="242"/>
    </row>
    <row r="522">
      <c r="A522" s="242"/>
      <c r="B522" s="243"/>
      <c r="C522" s="243"/>
      <c r="D522" s="243"/>
      <c r="E522" s="15"/>
      <c r="F522" s="243"/>
      <c r="G522" s="243"/>
      <c r="H522" s="13"/>
      <c r="I522" s="13"/>
      <c r="J522" s="242"/>
      <c r="K522" s="242"/>
      <c r="L522" s="13"/>
      <c r="M522" s="242"/>
      <c r="N522" s="242"/>
      <c r="O522" s="242"/>
      <c r="P522" s="242"/>
      <c r="Q522" s="13"/>
      <c r="R522" s="13"/>
      <c r="S522" s="242"/>
      <c r="T522" s="443"/>
      <c r="U522" s="443"/>
      <c r="V522" s="242"/>
      <c r="W522" s="242"/>
      <c r="X522" s="242"/>
      <c r="Y522" s="242"/>
      <c r="Z522" s="242"/>
    </row>
    <row r="523">
      <c r="A523" s="242"/>
      <c r="B523" s="243"/>
      <c r="C523" s="243"/>
      <c r="D523" s="243"/>
      <c r="E523" s="15"/>
      <c r="F523" s="243"/>
      <c r="G523" s="243"/>
      <c r="H523" s="13"/>
      <c r="I523" s="13"/>
      <c r="J523" s="242"/>
      <c r="K523" s="242"/>
      <c r="L523" s="13"/>
      <c r="M523" s="242"/>
      <c r="N523" s="242"/>
      <c r="O523" s="242"/>
      <c r="P523" s="242"/>
      <c r="Q523" s="13"/>
      <c r="R523" s="13"/>
      <c r="S523" s="242"/>
      <c r="T523" s="443"/>
      <c r="U523" s="443"/>
      <c r="V523" s="242"/>
      <c r="W523" s="242"/>
      <c r="X523" s="242"/>
      <c r="Y523" s="242"/>
      <c r="Z523" s="242"/>
    </row>
    <row r="524">
      <c r="A524" s="242"/>
      <c r="B524" s="243"/>
      <c r="C524" s="243"/>
      <c r="D524" s="243"/>
      <c r="E524" s="15"/>
      <c r="F524" s="243"/>
      <c r="G524" s="243"/>
      <c r="H524" s="13"/>
      <c r="I524" s="13"/>
      <c r="J524" s="242"/>
      <c r="K524" s="242"/>
      <c r="L524" s="13"/>
      <c r="M524" s="242"/>
      <c r="N524" s="242"/>
      <c r="O524" s="242"/>
      <c r="P524" s="242"/>
      <c r="Q524" s="13"/>
      <c r="R524" s="13"/>
      <c r="S524" s="242"/>
      <c r="T524" s="443"/>
      <c r="U524" s="443"/>
      <c r="V524" s="242"/>
      <c r="W524" s="242"/>
      <c r="X524" s="242"/>
      <c r="Y524" s="242"/>
      <c r="Z524" s="242"/>
    </row>
    <row r="525">
      <c r="A525" s="242"/>
      <c r="B525" s="243"/>
      <c r="C525" s="243"/>
      <c r="D525" s="243"/>
      <c r="E525" s="15"/>
      <c r="F525" s="243"/>
      <c r="G525" s="243"/>
      <c r="H525" s="13"/>
      <c r="I525" s="13"/>
      <c r="J525" s="242"/>
      <c r="K525" s="242"/>
      <c r="L525" s="13"/>
      <c r="M525" s="242"/>
      <c r="N525" s="242"/>
      <c r="O525" s="242"/>
      <c r="P525" s="242"/>
      <c r="Q525" s="13"/>
      <c r="R525" s="13"/>
      <c r="S525" s="242"/>
      <c r="T525" s="443"/>
      <c r="U525" s="443"/>
      <c r="V525" s="242"/>
      <c r="W525" s="242"/>
      <c r="X525" s="242"/>
      <c r="Y525" s="242"/>
      <c r="Z525" s="242"/>
    </row>
    <row r="526">
      <c r="A526" s="242"/>
      <c r="B526" s="243"/>
      <c r="C526" s="243"/>
      <c r="D526" s="243"/>
      <c r="E526" s="15"/>
      <c r="F526" s="243"/>
      <c r="G526" s="243"/>
      <c r="H526" s="13"/>
      <c r="I526" s="13"/>
      <c r="J526" s="242"/>
      <c r="K526" s="242"/>
      <c r="L526" s="13"/>
      <c r="M526" s="242"/>
      <c r="N526" s="242"/>
      <c r="O526" s="242"/>
      <c r="P526" s="242"/>
      <c r="Q526" s="13"/>
      <c r="R526" s="13"/>
      <c r="S526" s="242"/>
      <c r="T526" s="443"/>
      <c r="U526" s="443"/>
      <c r="V526" s="242"/>
      <c r="W526" s="242"/>
      <c r="X526" s="242"/>
      <c r="Y526" s="242"/>
      <c r="Z526" s="242"/>
    </row>
    <row r="527">
      <c r="A527" s="242"/>
      <c r="B527" s="243"/>
      <c r="C527" s="243"/>
      <c r="D527" s="243"/>
      <c r="E527" s="15"/>
      <c r="F527" s="243"/>
      <c r="G527" s="243"/>
      <c r="H527" s="13"/>
      <c r="I527" s="13"/>
      <c r="J527" s="242"/>
      <c r="K527" s="242"/>
      <c r="L527" s="13"/>
      <c r="M527" s="242"/>
      <c r="N527" s="242"/>
      <c r="O527" s="242"/>
      <c r="P527" s="242"/>
      <c r="Q527" s="13"/>
      <c r="R527" s="13"/>
      <c r="S527" s="242"/>
      <c r="T527" s="443"/>
      <c r="U527" s="443"/>
      <c r="V527" s="242"/>
      <c r="W527" s="242"/>
      <c r="X527" s="242"/>
      <c r="Y527" s="242"/>
      <c r="Z527" s="242"/>
    </row>
    <row r="528">
      <c r="A528" s="242"/>
      <c r="B528" s="243"/>
      <c r="C528" s="243"/>
      <c r="D528" s="243"/>
      <c r="E528" s="15"/>
      <c r="F528" s="243"/>
      <c r="G528" s="243"/>
      <c r="H528" s="13"/>
      <c r="I528" s="13"/>
      <c r="J528" s="242"/>
      <c r="K528" s="242"/>
      <c r="L528" s="13"/>
      <c r="M528" s="242"/>
      <c r="N528" s="242"/>
      <c r="O528" s="242"/>
      <c r="P528" s="242"/>
      <c r="Q528" s="13"/>
      <c r="R528" s="13"/>
      <c r="S528" s="242"/>
      <c r="T528" s="443"/>
      <c r="U528" s="443"/>
      <c r="V528" s="242"/>
      <c r="W528" s="242"/>
      <c r="X528" s="242"/>
      <c r="Y528" s="242"/>
      <c r="Z528" s="242"/>
    </row>
    <row r="529">
      <c r="A529" s="242"/>
      <c r="B529" s="243"/>
      <c r="C529" s="243"/>
      <c r="D529" s="243"/>
      <c r="E529" s="15"/>
      <c r="F529" s="243"/>
      <c r="G529" s="243"/>
      <c r="H529" s="13"/>
      <c r="I529" s="13"/>
      <c r="J529" s="242"/>
      <c r="K529" s="242"/>
      <c r="L529" s="13"/>
      <c r="M529" s="242"/>
      <c r="N529" s="242"/>
      <c r="O529" s="242"/>
      <c r="P529" s="242"/>
      <c r="Q529" s="13"/>
      <c r="R529" s="13"/>
      <c r="S529" s="242"/>
      <c r="T529" s="443"/>
      <c r="U529" s="443"/>
      <c r="V529" s="242"/>
      <c r="W529" s="242"/>
      <c r="X529" s="242"/>
      <c r="Y529" s="242"/>
      <c r="Z529" s="242"/>
    </row>
    <row r="530">
      <c r="A530" s="242"/>
      <c r="B530" s="243"/>
      <c r="C530" s="243"/>
      <c r="D530" s="243"/>
      <c r="E530" s="15"/>
      <c r="F530" s="243"/>
      <c r="G530" s="243"/>
      <c r="H530" s="13"/>
      <c r="I530" s="13"/>
      <c r="J530" s="242"/>
      <c r="K530" s="242"/>
      <c r="L530" s="13"/>
      <c r="M530" s="242"/>
      <c r="N530" s="242"/>
      <c r="O530" s="242"/>
      <c r="P530" s="242"/>
      <c r="Q530" s="13"/>
      <c r="R530" s="13"/>
      <c r="S530" s="242"/>
      <c r="T530" s="443"/>
      <c r="U530" s="443"/>
      <c r="V530" s="242"/>
      <c r="W530" s="242"/>
      <c r="X530" s="242"/>
      <c r="Y530" s="242"/>
      <c r="Z530" s="242"/>
    </row>
    <row r="531">
      <c r="A531" s="242"/>
      <c r="B531" s="243"/>
      <c r="C531" s="243"/>
      <c r="D531" s="243"/>
      <c r="E531" s="15"/>
      <c r="F531" s="243"/>
      <c r="G531" s="243"/>
      <c r="H531" s="13"/>
      <c r="I531" s="13"/>
      <c r="J531" s="242"/>
      <c r="K531" s="242"/>
      <c r="L531" s="13"/>
      <c r="M531" s="242"/>
      <c r="N531" s="242"/>
      <c r="O531" s="242"/>
      <c r="P531" s="242"/>
      <c r="Q531" s="13"/>
      <c r="R531" s="13"/>
      <c r="S531" s="242"/>
      <c r="T531" s="443"/>
      <c r="U531" s="443"/>
      <c r="V531" s="242"/>
      <c r="W531" s="242"/>
      <c r="X531" s="242"/>
      <c r="Y531" s="242"/>
      <c r="Z531" s="242"/>
    </row>
    <row r="532">
      <c r="A532" s="242"/>
      <c r="B532" s="243"/>
      <c r="C532" s="243"/>
      <c r="D532" s="243"/>
      <c r="E532" s="15"/>
      <c r="F532" s="243"/>
      <c r="G532" s="243"/>
      <c r="H532" s="13"/>
      <c r="I532" s="13"/>
      <c r="J532" s="242"/>
      <c r="K532" s="242"/>
      <c r="L532" s="13"/>
      <c r="M532" s="242"/>
      <c r="N532" s="242"/>
      <c r="O532" s="242"/>
      <c r="P532" s="242"/>
      <c r="Q532" s="13"/>
      <c r="R532" s="13"/>
      <c r="S532" s="242"/>
      <c r="T532" s="443"/>
      <c r="U532" s="443"/>
      <c r="V532" s="242"/>
      <c r="W532" s="242"/>
      <c r="X532" s="242"/>
      <c r="Y532" s="242"/>
      <c r="Z532" s="242"/>
    </row>
    <row r="533">
      <c r="A533" s="242"/>
      <c r="B533" s="243"/>
      <c r="C533" s="243"/>
      <c r="D533" s="243"/>
      <c r="E533" s="15"/>
      <c r="F533" s="243"/>
      <c r="G533" s="243"/>
      <c r="H533" s="13"/>
      <c r="I533" s="13"/>
      <c r="J533" s="242"/>
      <c r="K533" s="242"/>
      <c r="L533" s="13"/>
      <c r="M533" s="242"/>
      <c r="N533" s="242"/>
      <c r="O533" s="242"/>
      <c r="P533" s="242"/>
      <c r="Q533" s="13"/>
      <c r="R533" s="13"/>
      <c r="S533" s="242"/>
      <c r="T533" s="443"/>
      <c r="U533" s="443"/>
      <c r="V533" s="242"/>
      <c r="W533" s="242"/>
      <c r="X533" s="242"/>
      <c r="Y533" s="242"/>
      <c r="Z533" s="242"/>
    </row>
    <row r="534">
      <c r="A534" s="242"/>
      <c r="B534" s="243"/>
      <c r="C534" s="243"/>
      <c r="D534" s="243"/>
      <c r="E534" s="15"/>
      <c r="F534" s="243"/>
      <c r="G534" s="243"/>
      <c r="H534" s="13"/>
      <c r="I534" s="13"/>
      <c r="J534" s="242"/>
      <c r="K534" s="242"/>
      <c r="L534" s="13"/>
      <c r="M534" s="242"/>
      <c r="N534" s="242"/>
      <c r="O534" s="242"/>
      <c r="P534" s="242"/>
      <c r="Q534" s="13"/>
      <c r="R534" s="13"/>
      <c r="S534" s="242"/>
      <c r="T534" s="443"/>
      <c r="U534" s="443"/>
      <c r="V534" s="242"/>
      <c r="W534" s="242"/>
      <c r="X534" s="242"/>
      <c r="Y534" s="242"/>
      <c r="Z534" s="242"/>
    </row>
    <row r="535">
      <c r="A535" s="242"/>
      <c r="B535" s="243"/>
      <c r="C535" s="243"/>
      <c r="D535" s="243"/>
      <c r="E535" s="15"/>
      <c r="F535" s="243"/>
      <c r="G535" s="243"/>
      <c r="H535" s="13"/>
      <c r="I535" s="13"/>
      <c r="J535" s="242"/>
      <c r="K535" s="242"/>
      <c r="L535" s="13"/>
      <c r="M535" s="242"/>
      <c r="N535" s="242"/>
      <c r="O535" s="242"/>
      <c r="P535" s="242"/>
      <c r="Q535" s="13"/>
      <c r="R535" s="13"/>
      <c r="S535" s="242"/>
      <c r="T535" s="443"/>
      <c r="U535" s="443"/>
      <c r="V535" s="242"/>
      <c r="W535" s="242"/>
      <c r="X535" s="242"/>
      <c r="Y535" s="242"/>
      <c r="Z535" s="242"/>
    </row>
    <row r="536">
      <c r="A536" s="242"/>
      <c r="B536" s="243"/>
      <c r="C536" s="243"/>
      <c r="D536" s="243"/>
      <c r="E536" s="15"/>
      <c r="F536" s="243"/>
      <c r="G536" s="243"/>
      <c r="H536" s="13"/>
      <c r="I536" s="13"/>
      <c r="J536" s="242"/>
      <c r="K536" s="242"/>
      <c r="L536" s="13"/>
      <c r="M536" s="242"/>
      <c r="N536" s="242"/>
      <c r="O536" s="242"/>
      <c r="P536" s="242"/>
      <c r="Q536" s="13"/>
      <c r="R536" s="13"/>
      <c r="S536" s="242"/>
      <c r="T536" s="443"/>
      <c r="U536" s="443"/>
      <c r="V536" s="242"/>
      <c r="W536" s="242"/>
      <c r="X536" s="242"/>
      <c r="Y536" s="242"/>
      <c r="Z536" s="242"/>
    </row>
    <row r="537">
      <c r="A537" s="242"/>
      <c r="B537" s="243"/>
      <c r="C537" s="243"/>
      <c r="D537" s="243"/>
      <c r="E537" s="15"/>
      <c r="F537" s="243"/>
      <c r="G537" s="243"/>
      <c r="H537" s="13"/>
      <c r="I537" s="13"/>
      <c r="J537" s="242"/>
      <c r="K537" s="242"/>
      <c r="L537" s="13"/>
      <c r="M537" s="242"/>
      <c r="N537" s="242"/>
      <c r="O537" s="242"/>
      <c r="P537" s="242"/>
      <c r="Q537" s="13"/>
      <c r="R537" s="13"/>
      <c r="S537" s="242"/>
      <c r="T537" s="443"/>
      <c r="U537" s="443"/>
      <c r="V537" s="242"/>
      <c r="W537" s="242"/>
      <c r="X537" s="242"/>
      <c r="Y537" s="242"/>
      <c r="Z537" s="242"/>
    </row>
    <row r="538">
      <c r="A538" s="242"/>
      <c r="B538" s="243"/>
      <c r="C538" s="243"/>
      <c r="D538" s="243"/>
      <c r="E538" s="15"/>
      <c r="F538" s="243"/>
      <c r="G538" s="243"/>
      <c r="H538" s="13"/>
      <c r="I538" s="13"/>
      <c r="J538" s="242"/>
      <c r="K538" s="242"/>
      <c r="L538" s="13"/>
      <c r="M538" s="242"/>
      <c r="N538" s="242"/>
      <c r="O538" s="242"/>
      <c r="P538" s="242"/>
      <c r="Q538" s="13"/>
      <c r="R538" s="13"/>
      <c r="S538" s="242"/>
      <c r="T538" s="443"/>
      <c r="U538" s="443"/>
      <c r="V538" s="242"/>
      <c r="W538" s="242"/>
      <c r="X538" s="242"/>
      <c r="Y538" s="242"/>
      <c r="Z538" s="242"/>
    </row>
    <row r="539">
      <c r="A539" s="242"/>
      <c r="B539" s="243"/>
      <c r="C539" s="243"/>
      <c r="D539" s="243"/>
      <c r="E539" s="15"/>
      <c r="F539" s="243"/>
      <c r="G539" s="243"/>
      <c r="H539" s="13"/>
      <c r="I539" s="13"/>
      <c r="J539" s="242"/>
      <c r="K539" s="242"/>
      <c r="L539" s="13"/>
      <c r="M539" s="242"/>
      <c r="N539" s="242"/>
      <c r="O539" s="242"/>
      <c r="P539" s="242"/>
      <c r="Q539" s="13"/>
      <c r="R539" s="13"/>
      <c r="S539" s="242"/>
      <c r="T539" s="443"/>
      <c r="U539" s="443"/>
      <c r="V539" s="242"/>
      <c r="W539" s="242"/>
      <c r="X539" s="242"/>
      <c r="Y539" s="242"/>
      <c r="Z539" s="242"/>
    </row>
    <row r="540">
      <c r="A540" s="242"/>
      <c r="B540" s="243"/>
      <c r="C540" s="243"/>
      <c r="D540" s="243"/>
      <c r="E540" s="15"/>
      <c r="F540" s="243"/>
      <c r="G540" s="243"/>
      <c r="H540" s="13"/>
      <c r="I540" s="13"/>
      <c r="J540" s="242"/>
      <c r="K540" s="242"/>
      <c r="L540" s="13"/>
      <c r="M540" s="242"/>
      <c r="N540" s="242"/>
      <c r="O540" s="242"/>
      <c r="P540" s="242"/>
      <c r="Q540" s="13"/>
      <c r="R540" s="13"/>
      <c r="S540" s="242"/>
      <c r="T540" s="443"/>
      <c r="U540" s="443"/>
      <c r="V540" s="242"/>
      <c r="W540" s="242"/>
      <c r="X540" s="242"/>
      <c r="Y540" s="242"/>
      <c r="Z540" s="242"/>
    </row>
    <row r="541">
      <c r="A541" s="242"/>
      <c r="B541" s="243"/>
      <c r="C541" s="243"/>
      <c r="D541" s="243"/>
      <c r="E541" s="15"/>
      <c r="F541" s="243"/>
      <c r="G541" s="243"/>
      <c r="H541" s="13"/>
      <c r="I541" s="13"/>
      <c r="J541" s="242"/>
      <c r="K541" s="242"/>
      <c r="L541" s="13"/>
      <c r="M541" s="242"/>
      <c r="N541" s="242"/>
      <c r="O541" s="242"/>
      <c r="P541" s="242"/>
      <c r="Q541" s="13"/>
      <c r="R541" s="13"/>
      <c r="S541" s="242"/>
      <c r="T541" s="443"/>
      <c r="U541" s="443"/>
      <c r="V541" s="242"/>
      <c r="W541" s="242"/>
      <c r="X541" s="242"/>
      <c r="Y541" s="242"/>
      <c r="Z541" s="242"/>
    </row>
    <row r="542">
      <c r="A542" s="242"/>
      <c r="B542" s="243"/>
      <c r="C542" s="243"/>
      <c r="D542" s="243"/>
      <c r="E542" s="15"/>
      <c r="F542" s="243"/>
      <c r="G542" s="243"/>
      <c r="H542" s="13"/>
      <c r="I542" s="13"/>
      <c r="J542" s="242"/>
      <c r="K542" s="242"/>
      <c r="L542" s="13"/>
      <c r="M542" s="242"/>
      <c r="N542" s="242"/>
      <c r="O542" s="242"/>
      <c r="P542" s="242"/>
      <c r="Q542" s="13"/>
      <c r="R542" s="13"/>
      <c r="S542" s="242"/>
      <c r="T542" s="443"/>
      <c r="U542" s="443"/>
      <c r="V542" s="242"/>
      <c r="W542" s="242"/>
      <c r="X542" s="242"/>
      <c r="Y542" s="242"/>
      <c r="Z542" s="242"/>
    </row>
    <row r="543">
      <c r="A543" s="242"/>
      <c r="B543" s="243"/>
      <c r="C543" s="243"/>
      <c r="D543" s="243"/>
      <c r="E543" s="15"/>
      <c r="F543" s="243"/>
      <c r="G543" s="243"/>
      <c r="H543" s="13"/>
      <c r="I543" s="13"/>
      <c r="J543" s="242"/>
      <c r="K543" s="242"/>
      <c r="L543" s="13"/>
      <c r="M543" s="242"/>
      <c r="N543" s="242"/>
      <c r="O543" s="242"/>
      <c r="P543" s="242"/>
      <c r="Q543" s="13"/>
      <c r="R543" s="13"/>
      <c r="S543" s="242"/>
      <c r="T543" s="443"/>
      <c r="U543" s="443"/>
      <c r="V543" s="242"/>
      <c r="W543" s="242"/>
      <c r="X543" s="242"/>
      <c r="Y543" s="242"/>
      <c r="Z543" s="242"/>
    </row>
    <row r="544">
      <c r="A544" s="242"/>
      <c r="B544" s="243"/>
      <c r="C544" s="243"/>
      <c r="D544" s="243"/>
      <c r="E544" s="15"/>
      <c r="F544" s="243"/>
      <c r="G544" s="243"/>
      <c r="H544" s="13"/>
      <c r="I544" s="13"/>
      <c r="J544" s="242"/>
      <c r="K544" s="242"/>
      <c r="L544" s="13"/>
      <c r="M544" s="242"/>
      <c r="N544" s="242"/>
      <c r="O544" s="242"/>
      <c r="P544" s="242"/>
      <c r="Q544" s="13"/>
      <c r="R544" s="13"/>
      <c r="S544" s="242"/>
      <c r="T544" s="443"/>
      <c r="U544" s="443"/>
      <c r="V544" s="242"/>
      <c r="W544" s="242"/>
      <c r="X544" s="242"/>
      <c r="Y544" s="242"/>
      <c r="Z544" s="242"/>
    </row>
    <row r="545">
      <c r="A545" s="242"/>
      <c r="B545" s="243"/>
      <c r="C545" s="243"/>
      <c r="D545" s="243"/>
      <c r="E545" s="15"/>
      <c r="F545" s="243"/>
      <c r="G545" s="243"/>
      <c r="H545" s="13"/>
      <c r="I545" s="13"/>
      <c r="J545" s="242"/>
      <c r="K545" s="242"/>
      <c r="L545" s="13"/>
      <c r="M545" s="242"/>
      <c r="N545" s="242"/>
      <c r="O545" s="242"/>
      <c r="P545" s="242"/>
      <c r="Q545" s="13"/>
      <c r="R545" s="13"/>
      <c r="S545" s="242"/>
      <c r="T545" s="443"/>
      <c r="U545" s="443"/>
      <c r="V545" s="242"/>
      <c r="W545" s="242"/>
      <c r="X545" s="242"/>
      <c r="Y545" s="242"/>
      <c r="Z545" s="242"/>
    </row>
    <row r="546">
      <c r="A546" s="242"/>
      <c r="B546" s="243"/>
      <c r="C546" s="243"/>
      <c r="D546" s="243"/>
      <c r="E546" s="15"/>
      <c r="F546" s="243"/>
      <c r="G546" s="243"/>
      <c r="H546" s="13"/>
      <c r="I546" s="13"/>
      <c r="J546" s="242"/>
      <c r="K546" s="242"/>
      <c r="L546" s="13"/>
      <c r="M546" s="242"/>
      <c r="N546" s="242"/>
      <c r="O546" s="242"/>
      <c r="P546" s="242"/>
      <c r="Q546" s="13"/>
      <c r="R546" s="13"/>
      <c r="S546" s="242"/>
      <c r="T546" s="443"/>
      <c r="U546" s="443"/>
      <c r="V546" s="242"/>
      <c r="W546" s="242"/>
      <c r="X546" s="242"/>
      <c r="Y546" s="242"/>
      <c r="Z546" s="242"/>
    </row>
    <row r="547">
      <c r="A547" s="242"/>
      <c r="B547" s="243"/>
      <c r="C547" s="243"/>
      <c r="D547" s="243"/>
      <c r="E547" s="15"/>
      <c r="F547" s="243"/>
      <c r="G547" s="243"/>
      <c r="H547" s="13"/>
      <c r="I547" s="13"/>
      <c r="J547" s="242"/>
      <c r="K547" s="242"/>
      <c r="L547" s="13"/>
      <c r="M547" s="242"/>
      <c r="N547" s="242"/>
      <c r="O547" s="242"/>
      <c r="P547" s="242"/>
      <c r="Q547" s="13"/>
      <c r="R547" s="13"/>
      <c r="S547" s="242"/>
      <c r="T547" s="443"/>
      <c r="U547" s="443"/>
      <c r="V547" s="242"/>
      <c r="W547" s="242"/>
      <c r="X547" s="242"/>
      <c r="Y547" s="242"/>
      <c r="Z547" s="242"/>
    </row>
    <row r="548">
      <c r="A548" s="242"/>
      <c r="B548" s="243"/>
      <c r="C548" s="243"/>
      <c r="D548" s="243"/>
      <c r="E548" s="15"/>
      <c r="F548" s="243"/>
      <c r="G548" s="243"/>
      <c r="H548" s="13"/>
      <c r="I548" s="13"/>
      <c r="J548" s="242"/>
      <c r="K548" s="242"/>
      <c r="L548" s="13"/>
      <c r="M548" s="242"/>
      <c r="N548" s="242"/>
      <c r="O548" s="242"/>
      <c r="P548" s="242"/>
      <c r="Q548" s="13"/>
      <c r="R548" s="13"/>
      <c r="S548" s="242"/>
      <c r="T548" s="443"/>
      <c r="U548" s="443"/>
      <c r="V548" s="242"/>
      <c r="W548" s="242"/>
      <c r="X548" s="242"/>
      <c r="Y548" s="242"/>
      <c r="Z548" s="242"/>
    </row>
    <row r="549">
      <c r="A549" s="242"/>
      <c r="B549" s="243"/>
      <c r="C549" s="243"/>
      <c r="D549" s="243"/>
      <c r="E549" s="15"/>
      <c r="F549" s="243"/>
      <c r="G549" s="243"/>
      <c r="H549" s="13"/>
      <c r="I549" s="13"/>
      <c r="J549" s="242"/>
      <c r="K549" s="242"/>
      <c r="L549" s="13"/>
      <c r="M549" s="242"/>
      <c r="N549" s="242"/>
      <c r="O549" s="242"/>
      <c r="P549" s="242"/>
      <c r="Q549" s="13"/>
      <c r="R549" s="13"/>
      <c r="S549" s="242"/>
      <c r="T549" s="443"/>
      <c r="U549" s="443"/>
      <c r="V549" s="242"/>
      <c r="W549" s="242"/>
      <c r="X549" s="242"/>
      <c r="Y549" s="242"/>
      <c r="Z549" s="242"/>
    </row>
    <row r="550">
      <c r="A550" s="242"/>
      <c r="B550" s="243"/>
      <c r="C550" s="243"/>
      <c r="D550" s="243"/>
      <c r="E550" s="15"/>
      <c r="F550" s="243"/>
      <c r="G550" s="243"/>
      <c r="H550" s="13"/>
      <c r="I550" s="13"/>
      <c r="J550" s="242"/>
      <c r="K550" s="242"/>
      <c r="L550" s="13"/>
      <c r="M550" s="242"/>
      <c r="N550" s="242"/>
      <c r="O550" s="242"/>
      <c r="P550" s="242"/>
      <c r="Q550" s="13"/>
      <c r="R550" s="13"/>
      <c r="S550" s="242"/>
      <c r="T550" s="443"/>
      <c r="U550" s="443"/>
      <c r="V550" s="242"/>
      <c r="W550" s="242"/>
      <c r="X550" s="242"/>
      <c r="Y550" s="242"/>
      <c r="Z550" s="242"/>
    </row>
    <row r="551">
      <c r="A551" s="242"/>
      <c r="B551" s="243"/>
      <c r="C551" s="243"/>
      <c r="D551" s="243"/>
      <c r="E551" s="15"/>
      <c r="F551" s="243"/>
      <c r="G551" s="243"/>
      <c r="H551" s="13"/>
      <c r="I551" s="13"/>
      <c r="J551" s="242"/>
      <c r="K551" s="242"/>
      <c r="L551" s="13"/>
      <c r="M551" s="242"/>
      <c r="N551" s="242"/>
      <c r="O551" s="242"/>
      <c r="P551" s="242"/>
      <c r="Q551" s="13"/>
      <c r="R551" s="13"/>
      <c r="S551" s="242"/>
      <c r="T551" s="443"/>
      <c r="U551" s="443"/>
      <c r="V551" s="242"/>
      <c r="W551" s="242"/>
      <c r="X551" s="242"/>
      <c r="Y551" s="242"/>
      <c r="Z551" s="242"/>
    </row>
    <row r="552">
      <c r="A552" s="242"/>
      <c r="B552" s="243"/>
      <c r="C552" s="243"/>
      <c r="D552" s="243"/>
      <c r="E552" s="15"/>
      <c r="F552" s="243"/>
      <c r="G552" s="243"/>
      <c r="H552" s="13"/>
      <c r="I552" s="13"/>
      <c r="J552" s="242"/>
      <c r="K552" s="242"/>
      <c r="L552" s="13"/>
      <c r="M552" s="242"/>
      <c r="N552" s="242"/>
      <c r="O552" s="242"/>
      <c r="P552" s="242"/>
      <c r="Q552" s="13"/>
      <c r="R552" s="13"/>
      <c r="S552" s="242"/>
      <c r="T552" s="443"/>
      <c r="U552" s="443"/>
      <c r="V552" s="242"/>
      <c r="W552" s="242"/>
      <c r="X552" s="242"/>
      <c r="Y552" s="242"/>
      <c r="Z552" s="242"/>
    </row>
    <row r="553">
      <c r="A553" s="242"/>
      <c r="B553" s="243"/>
      <c r="C553" s="243"/>
      <c r="D553" s="243"/>
      <c r="E553" s="15"/>
      <c r="F553" s="243"/>
      <c r="G553" s="243"/>
      <c r="H553" s="13"/>
      <c r="I553" s="13"/>
      <c r="J553" s="242"/>
      <c r="K553" s="242"/>
      <c r="L553" s="13"/>
      <c r="M553" s="242"/>
      <c r="N553" s="242"/>
      <c r="O553" s="242"/>
      <c r="P553" s="242"/>
      <c r="Q553" s="13"/>
      <c r="R553" s="13"/>
      <c r="S553" s="242"/>
      <c r="T553" s="443"/>
      <c r="U553" s="443"/>
      <c r="V553" s="242"/>
      <c r="W553" s="242"/>
      <c r="X553" s="242"/>
      <c r="Y553" s="242"/>
      <c r="Z553" s="242"/>
    </row>
    <row r="554">
      <c r="A554" s="242"/>
      <c r="B554" s="243"/>
      <c r="C554" s="243"/>
      <c r="D554" s="243"/>
      <c r="E554" s="15"/>
      <c r="F554" s="243"/>
      <c r="G554" s="243"/>
      <c r="H554" s="13"/>
      <c r="I554" s="13"/>
      <c r="J554" s="242"/>
      <c r="K554" s="242"/>
      <c r="L554" s="13"/>
      <c r="M554" s="242"/>
      <c r="N554" s="242"/>
      <c r="O554" s="242"/>
      <c r="P554" s="242"/>
      <c r="Q554" s="13"/>
      <c r="R554" s="13"/>
      <c r="S554" s="242"/>
      <c r="T554" s="443"/>
      <c r="U554" s="443"/>
      <c r="V554" s="242"/>
      <c r="W554" s="242"/>
      <c r="X554" s="242"/>
      <c r="Y554" s="242"/>
      <c r="Z554" s="242"/>
    </row>
    <row r="555">
      <c r="A555" s="242"/>
      <c r="B555" s="243"/>
      <c r="C555" s="243"/>
      <c r="D555" s="243"/>
      <c r="E555" s="15"/>
      <c r="F555" s="243"/>
      <c r="G555" s="243"/>
      <c r="H555" s="13"/>
      <c r="I555" s="13"/>
      <c r="J555" s="242"/>
      <c r="K555" s="242"/>
      <c r="L555" s="13"/>
      <c r="M555" s="242"/>
      <c r="N555" s="242"/>
      <c r="O555" s="242"/>
      <c r="P555" s="242"/>
      <c r="Q555" s="13"/>
      <c r="R555" s="13"/>
      <c r="S555" s="242"/>
      <c r="T555" s="443"/>
      <c r="U555" s="443"/>
      <c r="V555" s="242"/>
      <c r="W555" s="242"/>
      <c r="X555" s="242"/>
      <c r="Y555" s="242"/>
      <c r="Z555" s="242"/>
    </row>
    <row r="556">
      <c r="A556" s="242"/>
      <c r="B556" s="243"/>
      <c r="C556" s="243"/>
      <c r="D556" s="243"/>
      <c r="E556" s="15"/>
      <c r="F556" s="243"/>
      <c r="G556" s="243"/>
      <c r="H556" s="13"/>
      <c r="I556" s="13"/>
      <c r="J556" s="242"/>
      <c r="K556" s="242"/>
      <c r="L556" s="13"/>
      <c r="M556" s="242"/>
      <c r="N556" s="242"/>
      <c r="O556" s="242"/>
      <c r="P556" s="242"/>
      <c r="Q556" s="13"/>
      <c r="R556" s="13"/>
      <c r="S556" s="242"/>
      <c r="T556" s="443"/>
      <c r="U556" s="443"/>
      <c r="V556" s="242"/>
      <c r="W556" s="242"/>
      <c r="X556" s="242"/>
      <c r="Y556" s="242"/>
      <c r="Z556" s="242"/>
    </row>
    <row r="557">
      <c r="A557" s="242"/>
      <c r="B557" s="243"/>
      <c r="C557" s="243"/>
      <c r="D557" s="243"/>
      <c r="E557" s="15"/>
      <c r="F557" s="243"/>
      <c r="G557" s="243"/>
      <c r="H557" s="13"/>
      <c r="I557" s="13"/>
      <c r="J557" s="242"/>
      <c r="K557" s="242"/>
      <c r="L557" s="13"/>
      <c r="M557" s="242"/>
      <c r="N557" s="242"/>
      <c r="O557" s="242"/>
      <c r="P557" s="242"/>
      <c r="Q557" s="13"/>
      <c r="R557" s="13"/>
      <c r="S557" s="242"/>
      <c r="T557" s="443"/>
      <c r="U557" s="443"/>
      <c r="V557" s="242"/>
      <c r="W557" s="242"/>
      <c r="X557" s="242"/>
      <c r="Y557" s="242"/>
      <c r="Z557" s="242"/>
    </row>
    <row r="558">
      <c r="A558" s="242"/>
      <c r="B558" s="243"/>
      <c r="C558" s="243"/>
      <c r="D558" s="243"/>
      <c r="E558" s="15"/>
      <c r="F558" s="243"/>
      <c r="G558" s="243"/>
      <c r="H558" s="13"/>
      <c r="I558" s="13"/>
      <c r="J558" s="242"/>
      <c r="K558" s="242"/>
      <c r="L558" s="13"/>
      <c r="M558" s="242"/>
      <c r="N558" s="242"/>
      <c r="O558" s="242"/>
      <c r="P558" s="242"/>
      <c r="Q558" s="13"/>
      <c r="R558" s="13"/>
      <c r="S558" s="242"/>
      <c r="T558" s="443"/>
      <c r="U558" s="443"/>
      <c r="V558" s="242"/>
      <c r="W558" s="242"/>
      <c r="X558" s="242"/>
      <c r="Y558" s="242"/>
      <c r="Z558" s="242"/>
    </row>
    <row r="559">
      <c r="A559" s="242"/>
      <c r="B559" s="243"/>
      <c r="C559" s="243"/>
      <c r="D559" s="243"/>
      <c r="E559" s="15"/>
      <c r="F559" s="243"/>
      <c r="G559" s="243"/>
      <c r="H559" s="13"/>
      <c r="I559" s="13"/>
      <c r="J559" s="242"/>
      <c r="K559" s="242"/>
      <c r="L559" s="13"/>
      <c r="M559" s="242"/>
      <c r="N559" s="242"/>
      <c r="O559" s="242"/>
      <c r="P559" s="242"/>
      <c r="Q559" s="13"/>
      <c r="R559" s="13"/>
      <c r="S559" s="242"/>
      <c r="T559" s="443"/>
      <c r="U559" s="443"/>
      <c r="V559" s="242"/>
      <c r="W559" s="242"/>
      <c r="X559" s="242"/>
      <c r="Y559" s="242"/>
      <c r="Z559" s="242"/>
    </row>
    <row r="560">
      <c r="A560" s="242"/>
      <c r="B560" s="243"/>
      <c r="C560" s="243"/>
      <c r="D560" s="243"/>
      <c r="E560" s="15"/>
      <c r="F560" s="243"/>
      <c r="G560" s="243"/>
      <c r="H560" s="13"/>
      <c r="I560" s="13"/>
      <c r="J560" s="242"/>
      <c r="K560" s="242"/>
      <c r="L560" s="13"/>
      <c r="M560" s="242"/>
      <c r="N560" s="242"/>
      <c r="O560" s="242"/>
      <c r="P560" s="242"/>
      <c r="Q560" s="13"/>
      <c r="R560" s="13"/>
      <c r="S560" s="242"/>
      <c r="T560" s="443"/>
      <c r="U560" s="443"/>
      <c r="V560" s="242"/>
      <c r="W560" s="242"/>
      <c r="X560" s="242"/>
      <c r="Y560" s="242"/>
      <c r="Z560" s="242"/>
    </row>
    <row r="561">
      <c r="A561" s="242"/>
      <c r="B561" s="243"/>
      <c r="C561" s="243"/>
      <c r="D561" s="243"/>
      <c r="E561" s="15"/>
      <c r="F561" s="243"/>
      <c r="G561" s="243"/>
      <c r="H561" s="13"/>
      <c r="I561" s="13"/>
      <c r="J561" s="242"/>
      <c r="K561" s="242"/>
      <c r="L561" s="13"/>
      <c r="M561" s="242"/>
      <c r="N561" s="242"/>
      <c r="O561" s="242"/>
      <c r="P561" s="242"/>
      <c r="Q561" s="13"/>
      <c r="R561" s="13"/>
      <c r="S561" s="242"/>
      <c r="T561" s="443"/>
      <c r="U561" s="443"/>
      <c r="V561" s="242"/>
      <c r="W561" s="242"/>
      <c r="X561" s="242"/>
      <c r="Y561" s="242"/>
      <c r="Z561" s="242"/>
    </row>
    <row r="562">
      <c r="A562" s="242"/>
      <c r="B562" s="243"/>
      <c r="C562" s="243"/>
      <c r="D562" s="243"/>
      <c r="E562" s="15"/>
      <c r="F562" s="243"/>
      <c r="G562" s="243"/>
      <c r="H562" s="13"/>
      <c r="I562" s="13"/>
      <c r="J562" s="242"/>
      <c r="K562" s="242"/>
      <c r="L562" s="13"/>
      <c r="M562" s="242"/>
      <c r="N562" s="242"/>
      <c r="O562" s="242"/>
      <c r="P562" s="242"/>
      <c r="Q562" s="13"/>
      <c r="R562" s="13"/>
      <c r="S562" s="242"/>
      <c r="T562" s="443"/>
      <c r="U562" s="443"/>
      <c r="V562" s="242"/>
      <c r="W562" s="242"/>
      <c r="X562" s="242"/>
      <c r="Y562" s="242"/>
      <c r="Z562" s="242"/>
    </row>
    <row r="563">
      <c r="A563" s="242"/>
      <c r="B563" s="243"/>
      <c r="C563" s="243"/>
      <c r="D563" s="243"/>
      <c r="E563" s="15"/>
      <c r="F563" s="243"/>
      <c r="G563" s="243"/>
      <c r="H563" s="13"/>
      <c r="I563" s="13"/>
      <c r="J563" s="242"/>
      <c r="K563" s="242"/>
      <c r="L563" s="13"/>
      <c r="M563" s="242"/>
      <c r="N563" s="242"/>
      <c r="O563" s="242"/>
      <c r="P563" s="242"/>
      <c r="Q563" s="13"/>
      <c r="R563" s="13"/>
      <c r="S563" s="242"/>
      <c r="T563" s="443"/>
      <c r="U563" s="443"/>
      <c r="V563" s="242"/>
      <c r="W563" s="242"/>
      <c r="X563" s="242"/>
      <c r="Y563" s="242"/>
      <c r="Z563" s="242"/>
    </row>
    <row r="564">
      <c r="A564" s="242"/>
      <c r="B564" s="243"/>
      <c r="C564" s="243"/>
      <c r="D564" s="243"/>
      <c r="E564" s="15"/>
      <c r="F564" s="243"/>
      <c r="G564" s="243"/>
      <c r="H564" s="13"/>
      <c r="I564" s="13"/>
      <c r="J564" s="242"/>
      <c r="K564" s="242"/>
      <c r="L564" s="13"/>
      <c r="M564" s="242"/>
      <c r="N564" s="242"/>
      <c r="O564" s="242"/>
      <c r="P564" s="242"/>
      <c r="Q564" s="13"/>
      <c r="R564" s="13"/>
      <c r="S564" s="242"/>
      <c r="T564" s="443"/>
      <c r="U564" s="443"/>
      <c r="V564" s="242"/>
      <c r="W564" s="242"/>
      <c r="X564" s="242"/>
      <c r="Y564" s="242"/>
      <c r="Z564" s="242"/>
    </row>
    <row r="565">
      <c r="A565" s="242"/>
      <c r="B565" s="243"/>
      <c r="C565" s="243"/>
      <c r="D565" s="243"/>
      <c r="E565" s="15"/>
      <c r="F565" s="243"/>
      <c r="G565" s="243"/>
      <c r="H565" s="13"/>
      <c r="I565" s="13"/>
      <c r="J565" s="242"/>
      <c r="K565" s="242"/>
      <c r="L565" s="13"/>
      <c r="M565" s="242"/>
      <c r="N565" s="242"/>
      <c r="O565" s="242"/>
      <c r="P565" s="242"/>
      <c r="Q565" s="13"/>
      <c r="R565" s="13"/>
      <c r="S565" s="242"/>
      <c r="T565" s="443"/>
      <c r="U565" s="443"/>
      <c r="V565" s="242"/>
      <c r="W565" s="242"/>
      <c r="X565" s="242"/>
      <c r="Y565" s="242"/>
      <c r="Z565" s="242"/>
    </row>
    <row r="566">
      <c r="A566" s="242"/>
      <c r="B566" s="243"/>
      <c r="C566" s="243"/>
      <c r="D566" s="243"/>
      <c r="E566" s="15"/>
      <c r="F566" s="243"/>
      <c r="G566" s="243"/>
      <c r="H566" s="13"/>
      <c r="I566" s="13"/>
      <c r="J566" s="242"/>
      <c r="K566" s="242"/>
      <c r="L566" s="13"/>
      <c r="M566" s="242"/>
      <c r="N566" s="242"/>
      <c r="O566" s="242"/>
      <c r="P566" s="242"/>
      <c r="Q566" s="13"/>
      <c r="R566" s="13"/>
      <c r="S566" s="242"/>
      <c r="T566" s="443"/>
      <c r="U566" s="443"/>
      <c r="V566" s="242"/>
      <c r="W566" s="242"/>
      <c r="X566" s="242"/>
      <c r="Y566" s="242"/>
      <c r="Z566" s="242"/>
    </row>
    <row r="567">
      <c r="A567" s="242"/>
      <c r="B567" s="243"/>
      <c r="C567" s="243"/>
      <c r="D567" s="243"/>
      <c r="E567" s="15"/>
      <c r="F567" s="243"/>
      <c r="G567" s="243"/>
      <c r="H567" s="13"/>
      <c r="I567" s="13"/>
      <c r="J567" s="242"/>
      <c r="K567" s="242"/>
      <c r="L567" s="13"/>
      <c r="M567" s="242"/>
      <c r="N567" s="242"/>
      <c r="O567" s="242"/>
      <c r="P567" s="242"/>
      <c r="Q567" s="13"/>
      <c r="R567" s="13"/>
      <c r="S567" s="242"/>
      <c r="T567" s="443"/>
      <c r="U567" s="443"/>
      <c r="V567" s="242"/>
      <c r="W567" s="242"/>
      <c r="X567" s="242"/>
      <c r="Y567" s="242"/>
      <c r="Z567" s="242"/>
    </row>
    <row r="568">
      <c r="A568" s="242"/>
      <c r="B568" s="243"/>
      <c r="C568" s="243"/>
      <c r="D568" s="243"/>
      <c r="E568" s="15"/>
      <c r="F568" s="243"/>
      <c r="G568" s="243"/>
      <c r="H568" s="13"/>
      <c r="I568" s="13"/>
      <c r="J568" s="242"/>
      <c r="K568" s="242"/>
      <c r="L568" s="13"/>
      <c r="M568" s="242"/>
      <c r="N568" s="242"/>
      <c r="O568" s="242"/>
      <c r="P568" s="242"/>
      <c r="Q568" s="13"/>
      <c r="R568" s="13"/>
      <c r="S568" s="242"/>
      <c r="T568" s="443"/>
      <c r="U568" s="443"/>
      <c r="V568" s="242"/>
      <c r="W568" s="242"/>
      <c r="X568" s="242"/>
      <c r="Y568" s="242"/>
      <c r="Z568" s="242"/>
    </row>
    <row r="569">
      <c r="A569" s="242"/>
      <c r="B569" s="243"/>
      <c r="C569" s="243"/>
      <c r="D569" s="243"/>
      <c r="E569" s="15"/>
      <c r="F569" s="243"/>
      <c r="G569" s="243"/>
      <c r="H569" s="13"/>
      <c r="I569" s="13"/>
      <c r="J569" s="242"/>
      <c r="K569" s="242"/>
      <c r="L569" s="13"/>
      <c r="M569" s="242"/>
      <c r="N569" s="242"/>
      <c r="O569" s="242"/>
      <c r="P569" s="242"/>
      <c r="Q569" s="13"/>
      <c r="R569" s="13"/>
      <c r="S569" s="242"/>
      <c r="T569" s="443"/>
      <c r="U569" s="443"/>
      <c r="V569" s="242"/>
      <c r="W569" s="242"/>
      <c r="X569" s="242"/>
      <c r="Y569" s="242"/>
      <c r="Z569" s="242"/>
    </row>
    <row r="570">
      <c r="A570" s="242"/>
      <c r="B570" s="243"/>
      <c r="C570" s="243"/>
      <c r="D570" s="243"/>
      <c r="E570" s="15"/>
      <c r="F570" s="243"/>
      <c r="G570" s="243"/>
      <c r="H570" s="13"/>
      <c r="I570" s="13"/>
      <c r="J570" s="242"/>
      <c r="K570" s="242"/>
      <c r="L570" s="13"/>
      <c r="M570" s="242"/>
      <c r="N570" s="242"/>
      <c r="O570" s="242"/>
      <c r="P570" s="242"/>
      <c r="Q570" s="13"/>
      <c r="R570" s="13"/>
      <c r="S570" s="242"/>
      <c r="T570" s="443"/>
      <c r="U570" s="443"/>
      <c r="V570" s="242"/>
      <c r="W570" s="242"/>
      <c r="X570" s="242"/>
      <c r="Y570" s="242"/>
      <c r="Z570" s="242"/>
    </row>
    <row r="571">
      <c r="A571" s="242"/>
      <c r="B571" s="243"/>
      <c r="C571" s="243"/>
      <c r="D571" s="243"/>
      <c r="E571" s="15"/>
      <c r="F571" s="243"/>
      <c r="G571" s="243"/>
      <c r="H571" s="13"/>
      <c r="I571" s="13"/>
      <c r="J571" s="242"/>
      <c r="K571" s="242"/>
      <c r="L571" s="13"/>
      <c r="M571" s="242"/>
      <c r="N571" s="242"/>
      <c r="O571" s="242"/>
      <c r="P571" s="242"/>
      <c r="Q571" s="13"/>
      <c r="R571" s="13"/>
      <c r="S571" s="242"/>
      <c r="T571" s="443"/>
      <c r="U571" s="443"/>
      <c r="V571" s="242"/>
      <c r="W571" s="242"/>
      <c r="X571" s="242"/>
      <c r="Y571" s="242"/>
      <c r="Z571" s="242"/>
    </row>
    <row r="572">
      <c r="A572" s="242"/>
      <c r="B572" s="243"/>
      <c r="C572" s="243"/>
      <c r="D572" s="243"/>
      <c r="E572" s="15"/>
      <c r="F572" s="243"/>
      <c r="G572" s="243"/>
      <c r="H572" s="13"/>
      <c r="I572" s="13"/>
      <c r="J572" s="242"/>
      <c r="K572" s="242"/>
      <c r="L572" s="13"/>
      <c r="M572" s="242"/>
      <c r="N572" s="242"/>
      <c r="O572" s="242"/>
      <c r="P572" s="242"/>
      <c r="Q572" s="13"/>
      <c r="R572" s="13"/>
      <c r="S572" s="242"/>
      <c r="T572" s="443"/>
      <c r="U572" s="443"/>
      <c r="V572" s="242"/>
      <c r="W572" s="242"/>
      <c r="X572" s="242"/>
      <c r="Y572" s="242"/>
      <c r="Z572" s="242"/>
    </row>
    <row r="573">
      <c r="A573" s="242"/>
      <c r="B573" s="243"/>
      <c r="C573" s="243"/>
      <c r="D573" s="243"/>
      <c r="E573" s="15"/>
      <c r="F573" s="243"/>
      <c r="G573" s="243"/>
      <c r="H573" s="13"/>
      <c r="I573" s="13"/>
      <c r="J573" s="242"/>
      <c r="K573" s="242"/>
      <c r="L573" s="13"/>
      <c r="M573" s="242"/>
      <c r="N573" s="242"/>
      <c r="O573" s="242"/>
      <c r="P573" s="242"/>
      <c r="Q573" s="13"/>
      <c r="R573" s="13"/>
      <c r="S573" s="242"/>
      <c r="T573" s="443"/>
      <c r="U573" s="443"/>
      <c r="V573" s="242"/>
      <c r="W573" s="242"/>
      <c r="X573" s="242"/>
      <c r="Y573" s="242"/>
      <c r="Z573" s="242"/>
    </row>
    <row r="574">
      <c r="A574" s="242"/>
      <c r="B574" s="243"/>
      <c r="C574" s="243"/>
      <c r="D574" s="243"/>
      <c r="E574" s="15"/>
      <c r="F574" s="243"/>
      <c r="G574" s="243"/>
      <c r="H574" s="13"/>
      <c r="I574" s="13"/>
      <c r="J574" s="242"/>
      <c r="K574" s="242"/>
      <c r="L574" s="13"/>
      <c r="M574" s="242"/>
      <c r="N574" s="242"/>
      <c r="O574" s="242"/>
      <c r="P574" s="242"/>
      <c r="Q574" s="13"/>
      <c r="R574" s="13"/>
      <c r="S574" s="242"/>
      <c r="T574" s="443"/>
      <c r="U574" s="443"/>
      <c r="V574" s="242"/>
      <c r="W574" s="242"/>
      <c r="X574" s="242"/>
      <c r="Y574" s="242"/>
      <c r="Z574" s="242"/>
    </row>
    <row r="575">
      <c r="A575" s="242"/>
      <c r="B575" s="243"/>
      <c r="C575" s="243"/>
      <c r="D575" s="243"/>
      <c r="E575" s="15"/>
      <c r="F575" s="243"/>
      <c r="G575" s="243"/>
      <c r="H575" s="13"/>
      <c r="I575" s="13"/>
      <c r="J575" s="242"/>
      <c r="K575" s="242"/>
      <c r="L575" s="13"/>
      <c r="M575" s="242"/>
      <c r="N575" s="242"/>
      <c r="O575" s="242"/>
      <c r="P575" s="242"/>
      <c r="Q575" s="13"/>
      <c r="R575" s="13"/>
      <c r="S575" s="242"/>
      <c r="T575" s="443"/>
      <c r="U575" s="443"/>
      <c r="V575" s="242"/>
      <c r="W575" s="242"/>
      <c r="X575" s="242"/>
      <c r="Y575" s="242"/>
      <c r="Z575" s="242"/>
    </row>
    <row r="576">
      <c r="A576" s="242"/>
      <c r="B576" s="243"/>
      <c r="C576" s="243"/>
      <c r="D576" s="243"/>
      <c r="E576" s="15"/>
      <c r="F576" s="243"/>
      <c r="G576" s="243"/>
      <c r="H576" s="13"/>
      <c r="I576" s="13"/>
      <c r="J576" s="242"/>
      <c r="K576" s="242"/>
      <c r="L576" s="13"/>
      <c r="M576" s="242"/>
      <c r="N576" s="242"/>
      <c r="O576" s="242"/>
      <c r="P576" s="242"/>
      <c r="Q576" s="13"/>
      <c r="R576" s="13"/>
      <c r="S576" s="242"/>
      <c r="T576" s="443"/>
      <c r="U576" s="443"/>
      <c r="V576" s="242"/>
      <c r="W576" s="242"/>
      <c r="X576" s="242"/>
      <c r="Y576" s="242"/>
      <c r="Z576" s="242"/>
    </row>
    <row r="577">
      <c r="A577" s="242"/>
      <c r="B577" s="243"/>
      <c r="C577" s="243"/>
      <c r="D577" s="243"/>
      <c r="E577" s="15"/>
      <c r="F577" s="243"/>
      <c r="G577" s="243"/>
      <c r="H577" s="13"/>
      <c r="I577" s="13"/>
      <c r="J577" s="242"/>
      <c r="K577" s="242"/>
      <c r="L577" s="13"/>
      <c r="M577" s="242"/>
      <c r="N577" s="242"/>
      <c r="O577" s="242"/>
      <c r="P577" s="242"/>
      <c r="Q577" s="13"/>
      <c r="R577" s="13"/>
      <c r="S577" s="242"/>
      <c r="T577" s="443"/>
      <c r="U577" s="443"/>
      <c r="V577" s="242"/>
      <c r="W577" s="242"/>
      <c r="X577" s="242"/>
      <c r="Y577" s="242"/>
      <c r="Z577" s="242"/>
    </row>
    <row r="578">
      <c r="A578" s="242"/>
      <c r="B578" s="243"/>
      <c r="C578" s="243"/>
      <c r="D578" s="243"/>
      <c r="E578" s="15"/>
      <c r="F578" s="243"/>
      <c r="G578" s="243"/>
      <c r="H578" s="13"/>
      <c r="I578" s="13"/>
      <c r="J578" s="242"/>
      <c r="K578" s="242"/>
      <c r="L578" s="13"/>
      <c r="M578" s="242"/>
      <c r="N578" s="242"/>
      <c r="O578" s="242"/>
      <c r="P578" s="242"/>
      <c r="Q578" s="13"/>
      <c r="R578" s="13"/>
      <c r="S578" s="242"/>
      <c r="T578" s="443"/>
      <c r="U578" s="443"/>
      <c r="V578" s="242"/>
      <c r="W578" s="242"/>
      <c r="X578" s="242"/>
      <c r="Y578" s="242"/>
      <c r="Z578" s="242"/>
    </row>
    <row r="579">
      <c r="A579" s="242"/>
      <c r="B579" s="243"/>
      <c r="C579" s="243"/>
      <c r="D579" s="243"/>
      <c r="E579" s="15"/>
      <c r="F579" s="243"/>
      <c r="G579" s="243"/>
      <c r="H579" s="13"/>
      <c r="I579" s="13"/>
      <c r="J579" s="242"/>
      <c r="K579" s="242"/>
      <c r="L579" s="13"/>
      <c r="M579" s="242"/>
      <c r="N579" s="242"/>
      <c r="O579" s="242"/>
      <c r="P579" s="242"/>
      <c r="Q579" s="13"/>
      <c r="R579" s="13"/>
      <c r="S579" s="242"/>
      <c r="T579" s="443"/>
      <c r="U579" s="443"/>
      <c r="V579" s="242"/>
      <c r="W579" s="242"/>
      <c r="X579" s="242"/>
      <c r="Y579" s="242"/>
      <c r="Z579" s="242"/>
    </row>
    <row r="580">
      <c r="A580" s="242"/>
      <c r="B580" s="243"/>
      <c r="C580" s="243"/>
      <c r="D580" s="243"/>
      <c r="E580" s="15"/>
      <c r="F580" s="243"/>
      <c r="G580" s="243"/>
      <c r="H580" s="13"/>
      <c r="I580" s="13"/>
      <c r="J580" s="242"/>
      <c r="K580" s="242"/>
      <c r="L580" s="13"/>
      <c r="M580" s="242"/>
      <c r="N580" s="242"/>
      <c r="O580" s="242"/>
      <c r="P580" s="242"/>
      <c r="Q580" s="13"/>
      <c r="R580" s="13"/>
      <c r="S580" s="242"/>
      <c r="T580" s="443"/>
      <c r="U580" s="443"/>
      <c r="V580" s="242"/>
      <c r="W580" s="242"/>
      <c r="X580" s="242"/>
      <c r="Y580" s="242"/>
      <c r="Z580" s="242"/>
    </row>
    <row r="581">
      <c r="A581" s="242"/>
      <c r="B581" s="243"/>
      <c r="C581" s="243"/>
      <c r="D581" s="243"/>
      <c r="E581" s="15"/>
      <c r="F581" s="243"/>
      <c r="G581" s="243"/>
      <c r="H581" s="13"/>
      <c r="I581" s="13"/>
      <c r="J581" s="242"/>
      <c r="K581" s="242"/>
      <c r="L581" s="13"/>
      <c r="M581" s="242"/>
      <c r="N581" s="242"/>
      <c r="O581" s="242"/>
      <c r="P581" s="242"/>
      <c r="Q581" s="13"/>
      <c r="R581" s="13"/>
      <c r="S581" s="242"/>
      <c r="T581" s="443"/>
      <c r="U581" s="443"/>
      <c r="V581" s="242"/>
      <c r="W581" s="242"/>
      <c r="X581" s="242"/>
      <c r="Y581" s="242"/>
      <c r="Z581" s="242"/>
    </row>
    <row r="582">
      <c r="A582" s="242"/>
      <c r="B582" s="243"/>
      <c r="C582" s="243"/>
      <c r="D582" s="243"/>
      <c r="E582" s="15"/>
      <c r="F582" s="243"/>
      <c r="G582" s="243"/>
      <c r="H582" s="13"/>
      <c r="I582" s="13"/>
      <c r="J582" s="242"/>
      <c r="K582" s="242"/>
      <c r="L582" s="13"/>
      <c r="M582" s="242"/>
      <c r="N582" s="242"/>
      <c r="O582" s="242"/>
      <c r="P582" s="242"/>
      <c r="Q582" s="13"/>
      <c r="R582" s="13"/>
      <c r="S582" s="242"/>
      <c r="T582" s="443"/>
      <c r="U582" s="443"/>
      <c r="V582" s="242"/>
      <c r="W582" s="242"/>
      <c r="X582" s="242"/>
      <c r="Y582" s="242"/>
      <c r="Z582" s="242"/>
    </row>
    <row r="583">
      <c r="A583" s="242"/>
      <c r="B583" s="243"/>
      <c r="C583" s="243"/>
      <c r="D583" s="243"/>
      <c r="E583" s="15"/>
      <c r="F583" s="243"/>
      <c r="G583" s="243"/>
      <c r="H583" s="13"/>
      <c r="I583" s="13"/>
      <c r="J583" s="242"/>
      <c r="K583" s="242"/>
      <c r="L583" s="13"/>
      <c r="M583" s="242"/>
      <c r="N583" s="242"/>
      <c r="O583" s="242"/>
      <c r="P583" s="242"/>
      <c r="Q583" s="13"/>
      <c r="R583" s="13"/>
      <c r="S583" s="242"/>
      <c r="T583" s="443"/>
      <c r="U583" s="443"/>
      <c r="V583" s="242"/>
      <c r="W583" s="242"/>
      <c r="X583" s="242"/>
      <c r="Y583" s="242"/>
      <c r="Z583" s="242"/>
    </row>
    <row r="584">
      <c r="A584" s="242"/>
      <c r="B584" s="243"/>
      <c r="C584" s="243"/>
      <c r="D584" s="243"/>
      <c r="E584" s="15"/>
      <c r="F584" s="243"/>
      <c r="G584" s="243"/>
      <c r="H584" s="13"/>
      <c r="I584" s="13"/>
      <c r="J584" s="242"/>
      <c r="K584" s="242"/>
      <c r="L584" s="13"/>
      <c r="M584" s="242"/>
      <c r="N584" s="242"/>
      <c r="O584" s="242"/>
      <c r="P584" s="242"/>
      <c r="Q584" s="13"/>
      <c r="R584" s="13"/>
      <c r="S584" s="242"/>
      <c r="T584" s="443"/>
      <c r="U584" s="443"/>
      <c r="V584" s="242"/>
      <c r="W584" s="242"/>
      <c r="X584" s="242"/>
      <c r="Y584" s="242"/>
      <c r="Z584" s="242"/>
    </row>
    <row r="585">
      <c r="A585" s="242"/>
      <c r="B585" s="243"/>
      <c r="C585" s="243"/>
      <c r="D585" s="243"/>
      <c r="E585" s="15"/>
      <c r="F585" s="243"/>
      <c r="G585" s="243"/>
      <c r="H585" s="13"/>
      <c r="I585" s="13"/>
      <c r="J585" s="242"/>
      <c r="K585" s="242"/>
      <c r="L585" s="13"/>
      <c r="M585" s="242"/>
      <c r="N585" s="242"/>
      <c r="O585" s="242"/>
      <c r="P585" s="242"/>
      <c r="Q585" s="13"/>
      <c r="R585" s="13"/>
      <c r="S585" s="242"/>
      <c r="T585" s="443"/>
      <c r="U585" s="443"/>
      <c r="V585" s="242"/>
      <c r="W585" s="242"/>
      <c r="X585" s="242"/>
      <c r="Y585" s="242"/>
      <c r="Z585" s="242"/>
    </row>
    <row r="586">
      <c r="A586" s="242"/>
      <c r="B586" s="243"/>
      <c r="C586" s="243"/>
      <c r="D586" s="243"/>
      <c r="E586" s="15"/>
      <c r="F586" s="243"/>
      <c r="G586" s="243"/>
      <c r="H586" s="13"/>
      <c r="I586" s="13"/>
      <c r="J586" s="242"/>
      <c r="K586" s="242"/>
      <c r="L586" s="13"/>
      <c r="M586" s="242"/>
      <c r="N586" s="242"/>
      <c r="O586" s="242"/>
      <c r="P586" s="242"/>
      <c r="Q586" s="13"/>
      <c r="R586" s="13"/>
      <c r="S586" s="242"/>
      <c r="T586" s="443"/>
      <c r="U586" s="443"/>
      <c r="V586" s="242"/>
      <c r="W586" s="242"/>
      <c r="X586" s="242"/>
      <c r="Y586" s="242"/>
      <c r="Z586" s="242"/>
    </row>
    <row r="587">
      <c r="A587" s="242"/>
      <c r="B587" s="243"/>
      <c r="C587" s="243"/>
      <c r="D587" s="243"/>
      <c r="E587" s="15"/>
      <c r="F587" s="243"/>
      <c r="G587" s="243"/>
      <c r="H587" s="13"/>
      <c r="I587" s="13"/>
      <c r="J587" s="242"/>
      <c r="K587" s="242"/>
      <c r="L587" s="13"/>
      <c r="M587" s="242"/>
      <c r="N587" s="242"/>
      <c r="O587" s="242"/>
      <c r="P587" s="242"/>
      <c r="Q587" s="13"/>
      <c r="R587" s="13"/>
      <c r="S587" s="242"/>
      <c r="T587" s="443"/>
      <c r="U587" s="443"/>
      <c r="V587" s="242"/>
      <c r="W587" s="242"/>
      <c r="X587" s="242"/>
      <c r="Y587" s="242"/>
      <c r="Z587" s="242"/>
    </row>
    <row r="588">
      <c r="A588" s="242"/>
      <c r="B588" s="243"/>
      <c r="C588" s="243"/>
      <c r="D588" s="243"/>
      <c r="E588" s="15"/>
      <c r="F588" s="243"/>
      <c r="G588" s="243"/>
      <c r="H588" s="13"/>
      <c r="I588" s="13"/>
      <c r="J588" s="242"/>
      <c r="K588" s="242"/>
      <c r="L588" s="13"/>
      <c r="M588" s="242"/>
      <c r="N588" s="242"/>
      <c r="O588" s="242"/>
      <c r="P588" s="242"/>
      <c r="Q588" s="13"/>
      <c r="R588" s="13"/>
      <c r="S588" s="242"/>
      <c r="T588" s="443"/>
      <c r="U588" s="443"/>
      <c r="V588" s="242"/>
      <c r="W588" s="242"/>
      <c r="X588" s="242"/>
      <c r="Y588" s="242"/>
      <c r="Z588" s="242"/>
    </row>
    <row r="589">
      <c r="A589" s="242"/>
      <c r="B589" s="243"/>
      <c r="C589" s="243"/>
      <c r="D589" s="243"/>
      <c r="E589" s="15"/>
      <c r="F589" s="243"/>
      <c r="G589" s="243"/>
      <c r="H589" s="13"/>
      <c r="I589" s="13"/>
      <c r="J589" s="242"/>
      <c r="K589" s="242"/>
      <c r="L589" s="13"/>
      <c r="M589" s="242"/>
      <c r="N589" s="242"/>
      <c r="O589" s="242"/>
      <c r="P589" s="242"/>
      <c r="Q589" s="13"/>
      <c r="R589" s="13"/>
      <c r="S589" s="242"/>
      <c r="T589" s="443"/>
      <c r="U589" s="443"/>
      <c r="V589" s="242"/>
      <c r="W589" s="242"/>
      <c r="X589" s="242"/>
      <c r="Y589" s="242"/>
      <c r="Z589" s="242"/>
    </row>
    <row r="590">
      <c r="A590" s="242"/>
      <c r="B590" s="243"/>
      <c r="C590" s="243"/>
      <c r="D590" s="243"/>
      <c r="E590" s="15"/>
      <c r="F590" s="243"/>
      <c r="G590" s="243"/>
      <c r="H590" s="13"/>
      <c r="I590" s="13"/>
      <c r="J590" s="242"/>
      <c r="K590" s="242"/>
      <c r="L590" s="13"/>
      <c r="M590" s="242"/>
      <c r="N590" s="242"/>
      <c r="O590" s="242"/>
      <c r="P590" s="242"/>
      <c r="Q590" s="13"/>
      <c r="R590" s="13"/>
      <c r="S590" s="242"/>
      <c r="T590" s="443"/>
      <c r="U590" s="443"/>
      <c r="V590" s="242"/>
      <c r="W590" s="242"/>
      <c r="X590" s="242"/>
      <c r="Y590" s="242"/>
      <c r="Z590" s="242"/>
    </row>
    <row r="591">
      <c r="A591" s="242"/>
      <c r="B591" s="243"/>
      <c r="C591" s="243"/>
      <c r="D591" s="243"/>
      <c r="E591" s="15"/>
      <c r="F591" s="243"/>
      <c r="G591" s="243"/>
      <c r="H591" s="13"/>
      <c r="I591" s="13"/>
      <c r="J591" s="242"/>
      <c r="K591" s="242"/>
      <c r="L591" s="13"/>
      <c r="M591" s="242"/>
      <c r="N591" s="242"/>
      <c r="O591" s="242"/>
      <c r="P591" s="242"/>
      <c r="Q591" s="13"/>
      <c r="R591" s="13"/>
      <c r="S591" s="242"/>
      <c r="T591" s="443"/>
      <c r="U591" s="443"/>
      <c r="V591" s="242"/>
      <c r="W591" s="242"/>
      <c r="X591" s="242"/>
      <c r="Y591" s="242"/>
      <c r="Z591" s="242"/>
    </row>
    <row r="592">
      <c r="A592" s="242"/>
      <c r="B592" s="243"/>
      <c r="C592" s="243"/>
      <c r="D592" s="243"/>
      <c r="E592" s="15"/>
      <c r="F592" s="243"/>
      <c r="G592" s="243"/>
      <c r="H592" s="13"/>
      <c r="I592" s="13"/>
      <c r="J592" s="242"/>
      <c r="K592" s="242"/>
      <c r="L592" s="13"/>
      <c r="M592" s="242"/>
      <c r="N592" s="242"/>
      <c r="O592" s="242"/>
      <c r="P592" s="242"/>
      <c r="Q592" s="13"/>
      <c r="R592" s="13"/>
      <c r="S592" s="242"/>
      <c r="T592" s="443"/>
      <c r="U592" s="443"/>
      <c r="V592" s="242"/>
      <c r="W592" s="242"/>
      <c r="X592" s="242"/>
      <c r="Y592" s="242"/>
      <c r="Z592" s="242"/>
    </row>
    <row r="593">
      <c r="A593" s="242"/>
      <c r="B593" s="243"/>
      <c r="C593" s="243"/>
      <c r="D593" s="243"/>
      <c r="E593" s="15"/>
      <c r="F593" s="243"/>
      <c r="G593" s="243"/>
      <c r="H593" s="13"/>
      <c r="I593" s="13"/>
      <c r="J593" s="242"/>
      <c r="K593" s="242"/>
      <c r="L593" s="13"/>
      <c r="M593" s="242"/>
      <c r="N593" s="242"/>
      <c r="O593" s="242"/>
      <c r="P593" s="242"/>
      <c r="Q593" s="13"/>
      <c r="R593" s="13"/>
      <c r="S593" s="242"/>
      <c r="T593" s="443"/>
      <c r="U593" s="443"/>
      <c r="V593" s="242"/>
      <c r="W593" s="242"/>
      <c r="X593" s="242"/>
      <c r="Y593" s="242"/>
      <c r="Z593" s="242"/>
    </row>
    <row r="594">
      <c r="A594" s="242"/>
      <c r="B594" s="243"/>
      <c r="C594" s="243"/>
      <c r="D594" s="243"/>
      <c r="E594" s="15"/>
      <c r="F594" s="243"/>
      <c r="G594" s="243"/>
      <c r="H594" s="13"/>
      <c r="I594" s="13"/>
      <c r="J594" s="242"/>
      <c r="K594" s="242"/>
      <c r="L594" s="13"/>
      <c r="M594" s="242"/>
      <c r="N594" s="242"/>
      <c r="O594" s="242"/>
      <c r="P594" s="242"/>
      <c r="Q594" s="13"/>
      <c r="R594" s="13"/>
      <c r="S594" s="242"/>
      <c r="T594" s="443"/>
      <c r="U594" s="443"/>
      <c r="V594" s="242"/>
      <c r="W594" s="242"/>
      <c r="X594" s="242"/>
      <c r="Y594" s="242"/>
      <c r="Z594" s="242"/>
    </row>
    <row r="595">
      <c r="A595" s="242"/>
      <c r="B595" s="243"/>
      <c r="C595" s="243"/>
      <c r="D595" s="243"/>
      <c r="E595" s="15"/>
      <c r="F595" s="243"/>
      <c r="G595" s="243"/>
      <c r="H595" s="13"/>
      <c r="I595" s="13"/>
      <c r="J595" s="242"/>
      <c r="K595" s="242"/>
      <c r="L595" s="13"/>
      <c r="M595" s="242"/>
      <c r="N595" s="242"/>
      <c r="O595" s="242"/>
      <c r="P595" s="242"/>
      <c r="Q595" s="13"/>
      <c r="R595" s="13"/>
      <c r="S595" s="242"/>
      <c r="T595" s="443"/>
      <c r="U595" s="443"/>
      <c r="V595" s="242"/>
      <c r="W595" s="242"/>
      <c r="X595" s="242"/>
      <c r="Y595" s="242"/>
      <c r="Z595" s="242"/>
    </row>
    <row r="596">
      <c r="A596" s="242"/>
      <c r="B596" s="243"/>
      <c r="C596" s="243"/>
      <c r="D596" s="243"/>
      <c r="E596" s="15"/>
      <c r="F596" s="243"/>
      <c r="G596" s="243"/>
      <c r="H596" s="13"/>
      <c r="I596" s="13"/>
      <c r="J596" s="242"/>
      <c r="K596" s="242"/>
      <c r="L596" s="13"/>
      <c r="M596" s="242"/>
      <c r="N596" s="242"/>
      <c r="O596" s="242"/>
      <c r="P596" s="242"/>
      <c r="Q596" s="13"/>
      <c r="R596" s="13"/>
      <c r="S596" s="242"/>
      <c r="T596" s="443"/>
      <c r="U596" s="443"/>
      <c r="V596" s="242"/>
      <c r="W596" s="242"/>
      <c r="X596" s="242"/>
      <c r="Y596" s="242"/>
      <c r="Z596" s="242"/>
    </row>
    <row r="597">
      <c r="A597" s="242"/>
      <c r="B597" s="243"/>
      <c r="C597" s="243"/>
      <c r="D597" s="243"/>
      <c r="E597" s="15"/>
      <c r="F597" s="243"/>
      <c r="G597" s="243"/>
      <c r="H597" s="13"/>
      <c r="I597" s="13"/>
      <c r="J597" s="242"/>
      <c r="K597" s="242"/>
      <c r="L597" s="13"/>
      <c r="M597" s="242"/>
      <c r="N597" s="242"/>
      <c r="O597" s="242"/>
      <c r="P597" s="242"/>
      <c r="Q597" s="13"/>
      <c r="R597" s="13"/>
      <c r="S597" s="242"/>
      <c r="T597" s="443"/>
      <c r="U597" s="443"/>
      <c r="V597" s="242"/>
      <c r="W597" s="242"/>
      <c r="X597" s="242"/>
      <c r="Y597" s="242"/>
      <c r="Z597" s="242"/>
    </row>
    <row r="598">
      <c r="A598" s="242"/>
      <c r="B598" s="243"/>
      <c r="C598" s="243"/>
      <c r="D598" s="243"/>
      <c r="E598" s="15"/>
      <c r="F598" s="243"/>
      <c r="G598" s="243"/>
      <c r="H598" s="13"/>
      <c r="I598" s="13"/>
      <c r="J598" s="242"/>
      <c r="K598" s="242"/>
      <c r="L598" s="13"/>
      <c r="M598" s="242"/>
      <c r="N598" s="242"/>
      <c r="O598" s="242"/>
      <c r="P598" s="242"/>
      <c r="Q598" s="13"/>
      <c r="R598" s="13"/>
      <c r="S598" s="242"/>
      <c r="T598" s="443"/>
      <c r="U598" s="443"/>
      <c r="V598" s="242"/>
      <c r="W598" s="242"/>
      <c r="X598" s="242"/>
      <c r="Y598" s="242"/>
      <c r="Z598" s="242"/>
    </row>
    <row r="599">
      <c r="A599" s="242"/>
      <c r="B599" s="243"/>
      <c r="C599" s="243"/>
      <c r="D599" s="243"/>
      <c r="E599" s="15"/>
      <c r="F599" s="243"/>
      <c r="G599" s="243"/>
      <c r="H599" s="13"/>
      <c r="I599" s="13"/>
      <c r="J599" s="242"/>
      <c r="K599" s="242"/>
      <c r="L599" s="13"/>
      <c r="M599" s="242"/>
      <c r="N599" s="242"/>
      <c r="O599" s="242"/>
      <c r="P599" s="242"/>
      <c r="Q599" s="13"/>
      <c r="R599" s="13"/>
      <c r="S599" s="242"/>
      <c r="T599" s="443"/>
      <c r="U599" s="443"/>
      <c r="V599" s="242"/>
      <c r="W599" s="242"/>
      <c r="X599" s="242"/>
      <c r="Y599" s="242"/>
      <c r="Z599" s="242"/>
    </row>
    <row r="600">
      <c r="A600" s="242"/>
      <c r="B600" s="243"/>
      <c r="C600" s="243"/>
      <c r="D600" s="243"/>
      <c r="E600" s="15"/>
      <c r="F600" s="243"/>
      <c r="G600" s="243"/>
      <c r="H600" s="13"/>
      <c r="I600" s="13"/>
      <c r="J600" s="242"/>
      <c r="K600" s="242"/>
      <c r="L600" s="13"/>
      <c r="M600" s="242"/>
      <c r="N600" s="242"/>
      <c r="O600" s="242"/>
      <c r="P600" s="242"/>
      <c r="Q600" s="13"/>
      <c r="R600" s="13"/>
      <c r="S600" s="242"/>
      <c r="T600" s="443"/>
      <c r="U600" s="443"/>
      <c r="V600" s="242"/>
      <c r="W600" s="242"/>
      <c r="X600" s="242"/>
      <c r="Y600" s="242"/>
      <c r="Z600" s="242"/>
    </row>
    <row r="601">
      <c r="A601" s="242"/>
      <c r="B601" s="243"/>
      <c r="C601" s="243"/>
      <c r="D601" s="243"/>
      <c r="E601" s="15"/>
      <c r="F601" s="243"/>
      <c r="G601" s="243"/>
      <c r="H601" s="13"/>
      <c r="I601" s="13"/>
      <c r="J601" s="242"/>
      <c r="K601" s="242"/>
      <c r="L601" s="13"/>
      <c r="M601" s="242"/>
      <c r="N601" s="242"/>
      <c r="O601" s="242"/>
      <c r="P601" s="242"/>
      <c r="Q601" s="13"/>
      <c r="R601" s="13"/>
      <c r="S601" s="242"/>
      <c r="T601" s="443"/>
      <c r="U601" s="443"/>
      <c r="V601" s="242"/>
      <c r="W601" s="242"/>
      <c r="X601" s="242"/>
      <c r="Y601" s="242"/>
      <c r="Z601" s="242"/>
    </row>
    <row r="602">
      <c r="A602" s="242"/>
      <c r="B602" s="243"/>
      <c r="C602" s="243"/>
      <c r="D602" s="243"/>
      <c r="E602" s="15"/>
      <c r="F602" s="243"/>
      <c r="G602" s="243"/>
      <c r="H602" s="13"/>
      <c r="I602" s="13"/>
      <c r="J602" s="242"/>
      <c r="K602" s="242"/>
      <c r="L602" s="13"/>
      <c r="M602" s="242"/>
      <c r="N602" s="242"/>
      <c r="O602" s="242"/>
      <c r="P602" s="242"/>
      <c r="Q602" s="13"/>
      <c r="R602" s="13"/>
      <c r="S602" s="242"/>
      <c r="T602" s="443"/>
      <c r="U602" s="443"/>
      <c r="V602" s="242"/>
      <c r="W602" s="242"/>
      <c r="X602" s="242"/>
      <c r="Y602" s="242"/>
      <c r="Z602" s="242"/>
    </row>
    <row r="603">
      <c r="A603" s="242"/>
      <c r="B603" s="243"/>
      <c r="C603" s="243"/>
      <c r="D603" s="243"/>
      <c r="E603" s="15"/>
      <c r="F603" s="243"/>
      <c r="G603" s="243"/>
      <c r="H603" s="13"/>
      <c r="I603" s="13"/>
      <c r="J603" s="242"/>
      <c r="K603" s="242"/>
      <c r="L603" s="13"/>
      <c r="M603" s="242"/>
      <c r="N603" s="242"/>
      <c r="O603" s="242"/>
      <c r="P603" s="242"/>
      <c r="Q603" s="13"/>
      <c r="R603" s="13"/>
      <c r="S603" s="242"/>
      <c r="T603" s="443"/>
      <c r="U603" s="443"/>
      <c r="V603" s="242"/>
      <c r="W603" s="242"/>
      <c r="X603" s="242"/>
      <c r="Y603" s="242"/>
      <c r="Z603" s="242"/>
    </row>
    <row r="604">
      <c r="A604" s="242"/>
      <c r="B604" s="243"/>
      <c r="C604" s="243"/>
      <c r="D604" s="243"/>
      <c r="E604" s="15"/>
      <c r="F604" s="243"/>
      <c r="G604" s="243"/>
      <c r="H604" s="13"/>
      <c r="I604" s="13"/>
      <c r="J604" s="242"/>
      <c r="K604" s="242"/>
      <c r="L604" s="13"/>
      <c r="M604" s="242"/>
      <c r="N604" s="242"/>
      <c r="O604" s="242"/>
      <c r="P604" s="242"/>
      <c r="Q604" s="13"/>
      <c r="R604" s="13"/>
      <c r="S604" s="242"/>
      <c r="T604" s="443"/>
      <c r="U604" s="443"/>
      <c r="V604" s="242"/>
      <c r="W604" s="242"/>
      <c r="X604" s="242"/>
      <c r="Y604" s="242"/>
      <c r="Z604" s="242"/>
    </row>
    <row r="605">
      <c r="A605" s="242"/>
      <c r="B605" s="243"/>
      <c r="C605" s="243"/>
      <c r="D605" s="243"/>
      <c r="E605" s="15"/>
      <c r="F605" s="243"/>
      <c r="G605" s="243"/>
      <c r="H605" s="13"/>
      <c r="I605" s="13"/>
      <c r="J605" s="242"/>
      <c r="K605" s="242"/>
      <c r="L605" s="13"/>
      <c r="M605" s="242"/>
      <c r="N605" s="242"/>
      <c r="O605" s="242"/>
      <c r="P605" s="242"/>
      <c r="Q605" s="13"/>
      <c r="R605" s="13"/>
      <c r="S605" s="242"/>
      <c r="T605" s="443"/>
      <c r="U605" s="443"/>
      <c r="V605" s="242"/>
      <c r="W605" s="242"/>
      <c r="X605" s="242"/>
      <c r="Y605" s="242"/>
      <c r="Z605" s="242"/>
    </row>
    <row r="606">
      <c r="A606" s="242"/>
      <c r="B606" s="243"/>
      <c r="C606" s="243"/>
      <c r="D606" s="243"/>
      <c r="E606" s="15"/>
      <c r="F606" s="243"/>
      <c r="G606" s="243"/>
      <c r="H606" s="13"/>
      <c r="I606" s="13"/>
      <c r="J606" s="242"/>
      <c r="K606" s="242"/>
      <c r="L606" s="13"/>
      <c r="M606" s="242"/>
      <c r="N606" s="242"/>
      <c r="O606" s="242"/>
      <c r="P606" s="242"/>
      <c r="Q606" s="13"/>
      <c r="R606" s="13"/>
      <c r="S606" s="242"/>
      <c r="T606" s="443"/>
      <c r="U606" s="443"/>
      <c r="V606" s="242"/>
      <c r="W606" s="242"/>
      <c r="X606" s="242"/>
      <c r="Y606" s="242"/>
      <c r="Z606" s="242"/>
    </row>
    <row r="607">
      <c r="A607" s="242"/>
      <c r="B607" s="243"/>
      <c r="C607" s="243"/>
      <c r="D607" s="243"/>
      <c r="E607" s="15"/>
      <c r="F607" s="243"/>
      <c r="G607" s="243"/>
      <c r="H607" s="13"/>
      <c r="I607" s="13"/>
      <c r="J607" s="242"/>
      <c r="K607" s="242"/>
      <c r="L607" s="13"/>
      <c r="M607" s="242"/>
      <c r="N607" s="242"/>
      <c r="O607" s="242"/>
      <c r="P607" s="242"/>
      <c r="Q607" s="13"/>
      <c r="R607" s="13"/>
      <c r="S607" s="242"/>
      <c r="T607" s="443"/>
      <c r="U607" s="443"/>
      <c r="V607" s="242"/>
      <c r="W607" s="242"/>
      <c r="X607" s="242"/>
      <c r="Y607" s="242"/>
      <c r="Z607" s="242"/>
    </row>
    <row r="608">
      <c r="A608" s="242"/>
      <c r="B608" s="243"/>
      <c r="C608" s="243"/>
      <c r="D608" s="243"/>
      <c r="E608" s="15"/>
      <c r="F608" s="243"/>
      <c r="G608" s="243"/>
      <c r="H608" s="13"/>
      <c r="I608" s="13"/>
      <c r="J608" s="242"/>
      <c r="K608" s="242"/>
      <c r="L608" s="13"/>
      <c r="M608" s="242"/>
      <c r="N608" s="242"/>
      <c r="O608" s="242"/>
      <c r="P608" s="242"/>
      <c r="Q608" s="13"/>
      <c r="R608" s="13"/>
      <c r="S608" s="242"/>
      <c r="T608" s="443"/>
      <c r="U608" s="443"/>
      <c r="V608" s="242"/>
      <c r="W608" s="242"/>
      <c r="X608" s="242"/>
      <c r="Y608" s="242"/>
      <c r="Z608" s="242"/>
    </row>
    <row r="609">
      <c r="A609" s="242"/>
      <c r="B609" s="243"/>
      <c r="C609" s="243"/>
      <c r="D609" s="243"/>
      <c r="E609" s="15"/>
      <c r="F609" s="243"/>
      <c r="G609" s="243"/>
      <c r="H609" s="13"/>
      <c r="I609" s="13"/>
      <c r="J609" s="242"/>
      <c r="K609" s="242"/>
      <c r="L609" s="13"/>
      <c r="M609" s="242"/>
      <c r="N609" s="242"/>
      <c r="O609" s="242"/>
      <c r="P609" s="242"/>
      <c r="Q609" s="13"/>
      <c r="R609" s="13"/>
      <c r="S609" s="242"/>
      <c r="T609" s="443"/>
      <c r="U609" s="443"/>
      <c r="V609" s="242"/>
      <c r="W609" s="242"/>
      <c r="X609" s="242"/>
      <c r="Y609" s="242"/>
      <c r="Z609" s="242"/>
    </row>
    <row r="610">
      <c r="A610" s="242"/>
      <c r="B610" s="243"/>
      <c r="C610" s="243"/>
      <c r="D610" s="243"/>
      <c r="E610" s="15"/>
      <c r="F610" s="243"/>
      <c r="G610" s="243"/>
      <c r="H610" s="13"/>
      <c r="I610" s="13"/>
      <c r="J610" s="242"/>
      <c r="K610" s="242"/>
      <c r="L610" s="13"/>
      <c r="M610" s="242"/>
      <c r="N610" s="242"/>
      <c r="O610" s="242"/>
      <c r="P610" s="242"/>
      <c r="Q610" s="13"/>
      <c r="R610" s="13"/>
      <c r="S610" s="242"/>
      <c r="T610" s="443"/>
      <c r="U610" s="443"/>
      <c r="V610" s="242"/>
      <c r="W610" s="242"/>
      <c r="X610" s="242"/>
      <c r="Y610" s="242"/>
      <c r="Z610" s="242"/>
    </row>
    <row r="611">
      <c r="A611" s="242"/>
      <c r="B611" s="243"/>
      <c r="C611" s="243"/>
      <c r="D611" s="243"/>
      <c r="E611" s="15"/>
      <c r="F611" s="243"/>
      <c r="G611" s="243"/>
      <c r="H611" s="13"/>
      <c r="I611" s="13"/>
      <c r="J611" s="242"/>
      <c r="K611" s="242"/>
      <c r="L611" s="13"/>
      <c r="M611" s="242"/>
      <c r="N611" s="242"/>
      <c r="O611" s="242"/>
      <c r="P611" s="242"/>
      <c r="Q611" s="13"/>
      <c r="R611" s="13"/>
      <c r="S611" s="242"/>
      <c r="T611" s="443"/>
      <c r="U611" s="443"/>
      <c r="V611" s="242"/>
      <c r="W611" s="242"/>
      <c r="X611" s="242"/>
      <c r="Y611" s="242"/>
      <c r="Z611" s="242"/>
    </row>
    <row r="612">
      <c r="A612" s="242"/>
      <c r="B612" s="243"/>
      <c r="C612" s="243"/>
      <c r="D612" s="243"/>
      <c r="E612" s="15"/>
      <c r="F612" s="243"/>
      <c r="G612" s="243"/>
      <c r="H612" s="13"/>
      <c r="I612" s="13"/>
      <c r="J612" s="242"/>
      <c r="K612" s="242"/>
      <c r="L612" s="13"/>
      <c r="M612" s="242"/>
      <c r="N612" s="242"/>
      <c r="O612" s="242"/>
      <c r="P612" s="242"/>
      <c r="Q612" s="13"/>
      <c r="R612" s="13"/>
      <c r="S612" s="242"/>
      <c r="T612" s="443"/>
      <c r="U612" s="443"/>
      <c r="V612" s="242"/>
      <c r="W612" s="242"/>
      <c r="X612" s="242"/>
      <c r="Y612" s="242"/>
      <c r="Z612" s="242"/>
    </row>
    <row r="613">
      <c r="A613" s="242"/>
      <c r="B613" s="243"/>
      <c r="C613" s="243"/>
      <c r="D613" s="243"/>
      <c r="E613" s="15"/>
      <c r="F613" s="243"/>
      <c r="G613" s="243"/>
      <c r="H613" s="13"/>
      <c r="I613" s="13"/>
      <c r="J613" s="242"/>
      <c r="K613" s="242"/>
      <c r="L613" s="13"/>
      <c r="M613" s="242"/>
      <c r="N613" s="242"/>
      <c r="O613" s="242"/>
      <c r="P613" s="242"/>
      <c r="Q613" s="13"/>
      <c r="R613" s="13"/>
      <c r="S613" s="242"/>
      <c r="T613" s="443"/>
      <c r="U613" s="443"/>
      <c r="V613" s="242"/>
      <c r="W613" s="242"/>
      <c r="X613" s="242"/>
      <c r="Y613" s="242"/>
      <c r="Z613" s="242"/>
    </row>
    <row r="614">
      <c r="A614" s="242"/>
      <c r="B614" s="243"/>
      <c r="C614" s="243"/>
      <c r="D614" s="243"/>
      <c r="E614" s="15"/>
      <c r="F614" s="243"/>
      <c r="G614" s="243"/>
      <c r="H614" s="13"/>
      <c r="I614" s="13"/>
      <c r="J614" s="242"/>
      <c r="K614" s="242"/>
      <c r="L614" s="13"/>
      <c r="M614" s="242"/>
      <c r="N614" s="242"/>
      <c r="O614" s="242"/>
      <c r="P614" s="242"/>
      <c r="Q614" s="13"/>
      <c r="R614" s="13"/>
      <c r="S614" s="242"/>
      <c r="T614" s="443"/>
      <c r="U614" s="443"/>
      <c r="V614" s="242"/>
      <c r="W614" s="242"/>
      <c r="X614" s="242"/>
      <c r="Y614" s="242"/>
      <c r="Z614" s="242"/>
    </row>
    <row r="615">
      <c r="A615" s="242"/>
      <c r="B615" s="243"/>
      <c r="C615" s="243"/>
      <c r="D615" s="243"/>
      <c r="E615" s="15"/>
      <c r="F615" s="243"/>
      <c r="G615" s="243"/>
      <c r="H615" s="13"/>
      <c r="I615" s="13"/>
      <c r="J615" s="242"/>
      <c r="K615" s="242"/>
      <c r="L615" s="13"/>
      <c r="M615" s="242"/>
      <c r="N615" s="242"/>
      <c r="O615" s="242"/>
      <c r="P615" s="242"/>
      <c r="Q615" s="13"/>
      <c r="R615" s="13"/>
      <c r="S615" s="242"/>
      <c r="T615" s="443"/>
      <c r="U615" s="443"/>
      <c r="V615" s="242"/>
      <c r="W615" s="242"/>
      <c r="X615" s="242"/>
      <c r="Y615" s="242"/>
      <c r="Z615" s="242"/>
    </row>
    <row r="616">
      <c r="A616" s="242"/>
      <c r="B616" s="243"/>
      <c r="C616" s="243"/>
      <c r="D616" s="243"/>
      <c r="E616" s="15"/>
      <c r="F616" s="243"/>
      <c r="G616" s="243"/>
      <c r="H616" s="13"/>
      <c r="I616" s="13"/>
      <c r="J616" s="242"/>
      <c r="K616" s="242"/>
      <c r="L616" s="13"/>
      <c r="M616" s="242"/>
      <c r="N616" s="242"/>
      <c r="O616" s="242"/>
      <c r="P616" s="242"/>
      <c r="Q616" s="13"/>
      <c r="R616" s="13"/>
      <c r="S616" s="242"/>
      <c r="T616" s="443"/>
      <c r="U616" s="443"/>
      <c r="V616" s="242"/>
      <c r="W616" s="242"/>
      <c r="X616" s="242"/>
      <c r="Y616" s="242"/>
      <c r="Z616" s="242"/>
    </row>
    <row r="617">
      <c r="A617" s="242"/>
      <c r="B617" s="243"/>
      <c r="C617" s="243"/>
      <c r="D617" s="243"/>
      <c r="E617" s="15"/>
      <c r="F617" s="243"/>
      <c r="G617" s="243"/>
      <c r="H617" s="13"/>
      <c r="I617" s="13"/>
      <c r="J617" s="242"/>
      <c r="K617" s="242"/>
      <c r="L617" s="13"/>
      <c r="M617" s="242"/>
      <c r="N617" s="242"/>
      <c r="O617" s="242"/>
      <c r="P617" s="242"/>
      <c r="Q617" s="13"/>
      <c r="R617" s="13"/>
      <c r="S617" s="242"/>
      <c r="T617" s="443"/>
      <c r="U617" s="443"/>
      <c r="V617" s="242"/>
      <c r="W617" s="242"/>
      <c r="X617" s="242"/>
      <c r="Y617" s="242"/>
      <c r="Z617" s="242"/>
    </row>
    <row r="618">
      <c r="A618" s="242"/>
      <c r="B618" s="243"/>
      <c r="C618" s="243"/>
      <c r="D618" s="243"/>
      <c r="E618" s="15"/>
      <c r="F618" s="243"/>
      <c r="G618" s="243"/>
      <c r="H618" s="13"/>
      <c r="I618" s="13"/>
      <c r="J618" s="242"/>
      <c r="K618" s="242"/>
      <c r="L618" s="13"/>
      <c r="M618" s="242"/>
      <c r="N618" s="242"/>
      <c r="O618" s="242"/>
      <c r="P618" s="242"/>
      <c r="Q618" s="13"/>
      <c r="R618" s="13"/>
      <c r="S618" s="242"/>
      <c r="T618" s="443"/>
      <c r="U618" s="443"/>
      <c r="V618" s="242"/>
      <c r="W618" s="242"/>
      <c r="X618" s="242"/>
      <c r="Y618" s="242"/>
      <c r="Z618" s="242"/>
    </row>
    <row r="619">
      <c r="A619" s="242"/>
      <c r="B619" s="243"/>
      <c r="C619" s="243"/>
      <c r="D619" s="243"/>
      <c r="E619" s="15"/>
      <c r="F619" s="243"/>
      <c r="G619" s="243"/>
      <c r="H619" s="13"/>
      <c r="I619" s="13"/>
      <c r="J619" s="242"/>
      <c r="K619" s="242"/>
      <c r="L619" s="13"/>
      <c r="M619" s="242"/>
      <c r="N619" s="242"/>
      <c r="O619" s="242"/>
      <c r="P619" s="242"/>
      <c r="Q619" s="13"/>
      <c r="R619" s="13"/>
      <c r="S619" s="242"/>
      <c r="T619" s="443"/>
      <c r="U619" s="443"/>
      <c r="V619" s="242"/>
      <c r="W619" s="242"/>
      <c r="X619" s="242"/>
      <c r="Y619" s="242"/>
      <c r="Z619" s="242"/>
    </row>
    <row r="620">
      <c r="A620" s="242"/>
      <c r="B620" s="243"/>
      <c r="C620" s="243"/>
      <c r="D620" s="243"/>
      <c r="E620" s="15"/>
      <c r="F620" s="243"/>
      <c r="G620" s="243"/>
      <c r="H620" s="13"/>
      <c r="I620" s="13"/>
      <c r="J620" s="242"/>
      <c r="K620" s="242"/>
      <c r="L620" s="13"/>
      <c r="M620" s="242"/>
      <c r="N620" s="242"/>
      <c r="O620" s="242"/>
      <c r="P620" s="242"/>
      <c r="Q620" s="13"/>
      <c r="R620" s="13"/>
      <c r="S620" s="242"/>
      <c r="T620" s="443"/>
      <c r="U620" s="443"/>
      <c r="V620" s="242"/>
      <c r="W620" s="242"/>
      <c r="X620" s="242"/>
      <c r="Y620" s="242"/>
      <c r="Z620" s="242"/>
    </row>
    <row r="621">
      <c r="A621" s="242"/>
      <c r="B621" s="243"/>
      <c r="C621" s="243"/>
      <c r="D621" s="243"/>
      <c r="E621" s="15"/>
      <c r="F621" s="243"/>
      <c r="G621" s="243"/>
      <c r="H621" s="13"/>
      <c r="I621" s="13"/>
      <c r="J621" s="242"/>
      <c r="K621" s="242"/>
      <c r="L621" s="13"/>
      <c r="M621" s="242"/>
      <c r="N621" s="242"/>
      <c r="O621" s="242"/>
      <c r="P621" s="242"/>
      <c r="Q621" s="13"/>
      <c r="R621" s="13"/>
      <c r="S621" s="242"/>
      <c r="T621" s="443"/>
      <c r="U621" s="443"/>
      <c r="V621" s="242"/>
      <c r="W621" s="242"/>
      <c r="X621" s="242"/>
      <c r="Y621" s="242"/>
      <c r="Z621" s="242"/>
    </row>
    <row r="622">
      <c r="A622" s="242"/>
      <c r="B622" s="243"/>
      <c r="C622" s="243"/>
      <c r="D622" s="243"/>
      <c r="E622" s="15"/>
      <c r="F622" s="243"/>
      <c r="G622" s="243"/>
      <c r="H622" s="13"/>
      <c r="I622" s="13"/>
      <c r="J622" s="242"/>
      <c r="K622" s="242"/>
      <c r="L622" s="13"/>
      <c r="M622" s="242"/>
      <c r="N622" s="242"/>
      <c r="O622" s="242"/>
      <c r="P622" s="242"/>
      <c r="Q622" s="13"/>
      <c r="R622" s="13"/>
      <c r="S622" s="242"/>
      <c r="T622" s="443"/>
      <c r="U622" s="443"/>
      <c r="V622" s="242"/>
      <c r="W622" s="242"/>
      <c r="X622" s="242"/>
      <c r="Y622" s="242"/>
      <c r="Z622" s="242"/>
    </row>
    <row r="623">
      <c r="A623" s="242"/>
      <c r="B623" s="243"/>
      <c r="C623" s="243"/>
      <c r="D623" s="243"/>
      <c r="E623" s="15"/>
      <c r="F623" s="243"/>
      <c r="G623" s="243"/>
      <c r="H623" s="13"/>
      <c r="I623" s="13"/>
      <c r="J623" s="242"/>
      <c r="K623" s="242"/>
      <c r="L623" s="13"/>
      <c r="M623" s="242"/>
      <c r="N623" s="242"/>
      <c r="O623" s="242"/>
      <c r="P623" s="242"/>
      <c r="Q623" s="13"/>
      <c r="R623" s="13"/>
      <c r="S623" s="242"/>
      <c r="T623" s="443"/>
      <c r="U623" s="443"/>
      <c r="V623" s="242"/>
      <c r="W623" s="242"/>
      <c r="X623" s="242"/>
      <c r="Y623" s="242"/>
      <c r="Z623" s="242"/>
    </row>
    <row r="624">
      <c r="A624" s="242"/>
      <c r="B624" s="243"/>
      <c r="C624" s="243"/>
      <c r="D624" s="243"/>
      <c r="E624" s="15"/>
      <c r="F624" s="243"/>
      <c r="G624" s="243"/>
      <c r="H624" s="13"/>
      <c r="I624" s="13"/>
      <c r="J624" s="242"/>
      <c r="K624" s="242"/>
      <c r="L624" s="13"/>
      <c r="M624" s="242"/>
      <c r="N624" s="242"/>
      <c r="O624" s="242"/>
      <c r="P624" s="242"/>
      <c r="Q624" s="13"/>
      <c r="R624" s="13"/>
      <c r="S624" s="242"/>
      <c r="T624" s="443"/>
      <c r="U624" s="443"/>
      <c r="V624" s="242"/>
      <c r="W624" s="242"/>
      <c r="X624" s="242"/>
      <c r="Y624" s="242"/>
      <c r="Z624" s="242"/>
    </row>
    <row r="625">
      <c r="A625" s="242"/>
      <c r="B625" s="243"/>
      <c r="C625" s="243"/>
      <c r="D625" s="243"/>
      <c r="E625" s="15"/>
      <c r="F625" s="243"/>
      <c r="G625" s="243"/>
      <c r="H625" s="13"/>
      <c r="I625" s="13"/>
      <c r="J625" s="242"/>
      <c r="K625" s="242"/>
      <c r="L625" s="13"/>
      <c r="M625" s="242"/>
      <c r="N625" s="242"/>
      <c r="O625" s="242"/>
      <c r="P625" s="242"/>
      <c r="Q625" s="13"/>
      <c r="R625" s="13"/>
      <c r="S625" s="242"/>
      <c r="T625" s="443"/>
      <c r="U625" s="443"/>
      <c r="V625" s="242"/>
      <c r="W625" s="242"/>
      <c r="X625" s="242"/>
      <c r="Y625" s="242"/>
      <c r="Z625" s="242"/>
    </row>
    <row r="626">
      <c r="A626" s="242"/>
      <c r="B626" s="243"/>
      <c r="C626" s="243"/>
      <c r="D626" s="243"/>
      <c r="E626" s="15"/>
      <c r="F626" s="243"/>
      <c r="G626" s="243"/>
      <c r="H626" s="13"/>
      <c r="I626" s="13"/>
      <c r="J626" s="242"/>
      <c r="K626" s="242"/>
      <c r="L626" s="13"/>
      <c r="M626" s="242"/>
      <c r="N626" s="242"/>
      <c r="O626" s="242"/>
      <c r="P626" s="242"/>
      <c r="Q626" s="13"/>
      <c r="R626" s="13"/>
      <c r="S626" s="242"/>
      <c r="T626" s="443"/>
      <c r="U626" s="443"/>
      <c r="V626" s="242"/>
      <c r="W626" s="242"/>
      <c r="X626" s="242"/>
      <c r="Y626" s="242"/>
      <c r="Z626" s="242"/>
    </row>
    <row r="627">
      <c r="A627" s="242"/>
      <c r="B627" s="243"/>
      <c r="C627" s="243"/>
      <c r="D627" s="243"/>
      <c r="E627" s="15"/>
      <c r="F627" s="243"/>
      <c r="G627" s="243"/>
      <c r="H627" s="13"/>
      <c r="I627" s="13"/>
      <c r="J627" s="242"/>
      <c r="K627" s="242"/>
      <c r="L627" s="13"/>
      <c r="M627" s="242"/>
      <c r="N627" s="242"/>
      <c r="O627" s="242"/>
      <c r="P627" s="242"/>
      <c r="Q627" s="13"/>
      <c r="R627" s="13"/>
      <c r="S627" s="242"/>
      <c r="T627" s="443"/>
      <c r="U627" s="443"/>
      <c r="V627" s="242"/>
      <c r="W627" s="242"/>
      <c r="X627" s="242"/>
      <c r="Y627" s="242"/>
      <c r="Z627" s="242"/>
    </row>
    <row r="628">
      <c r="A628" s="242"/>
      <c r="B628" s="243"/>
      <c r="C628" s="243"/>
      <c r="D628" s="243"/>
      <c r="E628" s="15"/>
      <c r="F628" s="243"/>
      <c r="G628" s="243"/>
      <c r="H628" s="13"/>
      <c r="I628" s="13"/>
      <c r="J628" s="242"/>
      <c r="K628" s="242"/>
      <c r="L628" s="13"/>
      <c r="M628" s="242"/>
      <c r="N628" s="242"/>
      <c r="O628" s="242"/>
      <c r="P628" s="242"/>
      <c r="Q628" s="13"/>
      <c r="R628" s="13"/>
      <c r="S628" s="242"/>
      <c r="T628" s="443"/>
      <c r="U628" s="443"/>
      <c r="V628" s="242"/>
      <c r="W628" s="242"/>
      <c r="X628" s="242"/>
      <c r="Y628" s="242"/>
      <c r="Z628" s="242"/>
    </row>
    <row r="629">
      <c r="A629" s="242"/>
      <c r="B629" s="243"/>
      <c r="C629" s="243"/>
      <c r="D629" s="243"/>
      <c r="E629" s="15"/>
      <c r="F629" s="243"/>
      <c r="G629" s="243"/>
      <c r="H629" s="13"/>
      <c r="I629" s="13"/>
      <c r="J629" s="242"/>
      <c r="K629" s="242"/>
      <c r="L629" s="13"/>
      <c r="M629" s="242"/>
      <c r="N629" s="242"/>
      <c r="O629" s="242"/>
      <c r="P629" s="242"/>
      <c r="Q629" s="13"/>
      <c r="R629" s="13"/>
      <c r="S629" s="242"/>
      <c r="T629" s="443"/>
      <c r="U629" s="443"/>
      <c r="V629" s="242"/>
      <c r="W629" s="242"/>
      <c r="X629" s="242"/>
      <c r="Y629" s="242"/>
      <c r="Z629" s="242"/>
    </row>
    <row r="630">
      <c r="A630" s="242"/>
      <c r="B630" s="243"/>
      <c r="C630" s="243"/>
      <c r="D630" s="243"/>
      <c r="E630" s="15"/>
      <c r="F630" s="243"/>
      <c r="G630" s="243"/>
      <c r="H630" s="13"/>
      <c r="I630" s="13"/>
      <c r="J630" s="242"/>
      <c r="K630" s="242"/>
      <c r="L630" s="13"/>
      <c r="M630" s="242"/>
      <c r="N630" s="242"/>
      <c r="O630" s="242"/>
      <c r="P630" s="242"/>
      <c r="Q630" s="13"/>
      <c r="R630" s="13"/>
      <c r="S630" s="242"/>
      <c r="T630" s="443"/>
      <c r="U630" s="443"/>
      <c r="V630" s="242"/>
      <c r="W630" s="242"/>
      <c r="X630" s="242"/>
      <c r="Y630" s="242"/>
      <c r="Z630" s="242"/>
    </row>
    <row r="631">
      <c r="A631" s="242"/>
      <c r="B631" s="243"/>
      <c r="C631" s="243"/>
      <c r="D631" s="243"/>
      <c r="E631" s="15"/>
      <c r="F631" s="243"/>
      <c r="G631" s="243"/>
      <c r="H631" s="13"/>
      <c r="I631" s="13"/>
      <c r="J631" s="242"/>
      <c r="K631" s="242"/>
      <c r="L631" s="13"/>
      <c r="M631" s="242"/>
      <c r="N631" s="242"/>
      <c r="O631" s="242"/>
      <c r="P631" s="242"/>
      <c r="Q631" s="13"/>
      <c r="R631" s="13"/>
      <c r="S631" s="242"/>
      <c r="T631" s="443"/>
      <c r="U631" s="443"/>
      <c r="V631" s="242"/>
      <c r="W631" s="242"/>
      <c r="X631" s="242"/>
      <c r="Y631" s="242"/>
      <c r="Z631" s="242"/>
    </row>
    <row r="632">
      <c r="A632" s="242"/>
      <c r="B632" s="243"/>
      <c r="C632" s="243"/>
      <c r="D632" s="243"/>
      <c r="E632" s="15"/>
      <c r="F632" s="243"/>
      <c r="G632" s="243"/>
      <c r="H632" s="13"/>
      <c r="I632" s="13"/>
      <c r="J632" s="242"/>
      <c r="K632" s="242"/>
      <c r="L632" s="13"/>
      <c r="M632" s="242"/>
      <c r="N632" s="242"/>
      <c r="O632" s="242"/>
      <c r="P632" s="242"/>
      <c r="Q632" s="13"/>
      <c r="R632" s="13"/>
      <c r="S632" s="242"/>
      <c r="T632" s="443"/>
      <c r="U632" s="443"/>
      <c r="V632" s="242"/>
      <c r="W632" s="242"/>
      <c r="X632" s="242"/>
      <c r="Y632" s="242"/>
      <c r="Z632" s="242"/>
    </row>
    <row r="633">
      <c r="A633" s="242"/>
      <c r="B633" s="243"/>
      <c r="C633" s="243"/>
      <c r="D633" s="243"/>
      <c r="E633" s="15"/>
      <c r="F633" s="243"/>
      <c r="G633" s="243"/>
      <c r="H633" s="13"/>
      <c r="I633" s="13"/>
      <c r="J633" s="242"/>
      <c r="K633" s="242"/>
      <c r="L633" s="13"/>
      <c r="M633" s="242"/>
      <c r="N633" s="242"/>
      <c r="O633" s="242"/>
      <c r="P633" s="242"/>
      <c r="Q633" s="13"/>
      <c r="R633" s="13"/>
      <c r="S633" s="242"/>
      <c r="T633" s="443"/>
      <c r="U633" s="443"/>
      <c r="V633" s="242"/>
      <c r="W633" s="242"/>
      <c r="X633" s="242"/>
      <c r="Y633" s="242"/>
      <c r="Z633" s="242"/>
    </row>
    <row r="634">
      <c r="A634" s="242"/>
      <c r="B634" s="243"/>
      <c r="C634" s="243"/>
      <c r="D634" s="243"/>
      <c r="E634" s="15"/>
      <c r="F634" s="243"/>
      <c r="G634" s="243"/>
      <c r="H634" s="13"/>
      <c r="I634" s="13"/>
      <c r="J634" s="242"/>
      <c r="K634" s="242"/>
      <c r="L634" s="13"/>
      <c r="M634" s="242"/>
      <c r="N634" s="242"/>
      <c r="O634" s="242"/>
      <c r="P634" s="242"/>
      <c r="Q634" s="13"/>
      <c r="R634" s="13"/>
      <c r="S634" s="242"/>
      <c r="T634" s="443"/>
      <c r="U634" s="443"/>
      <c r="V634" s="242"/>
      <c r="W634" s="242"/>
      <c r="X634" s="242"/>
      <c r="Y634" s="242"/>
      <c r="Z634" s="242"/>
    </row>
    <row r="635">
      <c r="A635" s="242"/>
      <c r="B635" s="243"/>
      <c r="C635" s="243"/>
      <c r="D635" s="243"/>
      <c r="E635" s="15"/>
      <c r="F635" s="243"/>
      <c r="G635" s="243"/>
      <c r="H635" s="13"/>
      <c r="I635" s="13"/>
      <c r="J635" s="242"/>
      <c r="K635" s="242"/>
      <c r="L635" s="13"/>
      <c r="M635" s="242"/>
      <c r="N635" s="242"/>
      <c r="O635" s="242"/>
      <c r="P635" s="242"/>
      <c r="Q635" s="13"/>
      <c r="R635" s="13"/>
      <c r="S635" s="242"/>
      <c r="T635" s="443"/>
      <c r="U635" s="443"/>
      <c r="V635" s="242"/>
      <c r="W635" s="242"/>
      <c r="X635" s="242"/>
      <c r="Y635" s="242"/>
      <c r="Z635" s="242"/>
    </row>
    <row r="636">
      <c r="A636" s="242"/>
      <c r="B636" s="243"/>
      <c r="C636" s="243"/>
      <c r="D636" s="243"/>
      <c r="E636" s="15"/>
      <c r="F636" s="243"/>
      <c r="G636" s="243"/>
      <c r="H636" s="13"/>
      <c r="I636" s="13"/>
      <c r="J636" s="242"/>
      <c r="K636" s="242"/>
      <c r="L636" s="13"/>
      <c r="M636" s="242"/>
      <c r="N636" s="242"/>
      <c r="O636" s="242"/>
      <c r="P636" s="242"/>
      <c r="Q636" s="13"/>
      <c r="R636" s="13"/>
      <c r="S636" s="242"/>
      <c r="T636" s="443"/>
      <c r="U636" s="443"/>
      <c r="V636" s="242"/>
      <c r="W636" s="242"/>
      <c r="X636" s="242"/>
      <c r="Y636" s="242"/>
      <c r="Z636" s="242"/>
    </row>
    <row r="637">
      <c r="A637" s="242"/>
      <c r="B637" s="243"/>
      <c r="C637" s="243"/>
      <c r="D637" s="243"/>
      <c r="E637" s="15"/>
      <c r="F637" s="243"/>
      <c r="G637" s="243"/>
      <c r="H637" s="13"/>
      <c r="I637" s="13"/>
      <c r="J637" s="242"/>
      <c r="K637" s="242"/>
      <c r="L637" s="13"/>
      <c r="M637" s="242"/>
      <c r="N637" s="242"/>
      <c r="O637" s="242"/>
      <c r="P637" s="242"/>
      <c r="Q637" s="13"/>
      <c r="R637" s="13"/>
      <c r="S637" s="242"/>
      <c r="T637" s="443"/>
      <c r="U637" s="443"/>
      <c r="V637" s="242"/>
      <c r="W637" s="242"/>
      <c r="X637" s="242"/>
      <c r="Y637" s="242"/>
      <c r="Z637" s="242"/>
    </row>
    <row r="638">
      <c r="A638" s="242"/>
      <c r="B638" s="243"/>
      <c r="C638" s="243"/>
      <c r="D638" s="243"/>
      <c r="E638" s="15"/>
      <c r="F638" s="243"/>
      <c r="G638" s="243"/>
      <c r="H638" s="13"/>
      <c r="I638" s="13"/>
      <c r="J638" s="242"/>
      <c r="K638" s="242"/>
      <c r="L638" s="13"/>
      <c r="M638" s="242"/>
      <c r="N638" s="242"/>
      <c r="O638" s="242"/>
      <c r="P638" s="242"/>
      <c r="Q638" s="13"/>
      <c r="R638" s="13"/>
      <c r="S638" s="242"/>
      <c r="T638" s="443"/>
      <c r="U638" s="443"/>
      <c r="V638" s="242"/>
      <c r="W638" s="242"/>
      <c r="X638" s="242"/>
      <c r="Y638" s="242"/>
      <c r="Z638" s="242"/>
    </row>
    <row r="639">
      <c r="A639" s="242"/>
      <c r="B639" s="243"/>
      <c r="C639" s="243"/>
      <c r="D639" s="243"/>
      <c r="E639" s="15"/>
      <c r="F639" s="243"/>
      <c r="G639" s="243"/>
      <c r="H639" s="13"/>
      <c r="I639" s="13"/>
      <c r="J639" s="242"/>
      <c r="K639" s="242"/>
      <c r="L639" s="13"/>
      <c r="M639" s="242"/>
      <c r="N639" s="242"/>
      <c r="O639" s="242"/>
      <c r="P639" s="242"/>
      <c r="Q639" s="13"/>
      <c r="R639" s="13"/>
      <c r="S639" s="242"/>
      <c r="T639" s="443"/>
      <c r="U639" s="443"/>
      <c r="V639" s="242"/>
      <c r="W639" s="242"/>
      <c r="X639" s="242"/>
      <c r="Y639" s="242"/>
      <c r="Z639" s="242"/>
    </row>
    <row r="640">
      <c r="A640" s="242"/>
      <c r="B640" s="243"/>
      <c r="C640" s="243"/>
      <c r="D640" s="243"/>
      <c r="E640" s="15"/>
      <c r="F640" s="243"/>
      <c r="G640" s="243"/>
      <c r="H640" s="13"/>
      <c r="I640" s="13"/>
      <c r="J640" s="242"/>
      <c r="K640" s="242"/>
      <c r="L640" s="13"/>
      <c r="M640" s="242"/>
      <c r="N640" s="242"/>
      <c r="O640" s="242"/>
      <c r="P640" s="242"/>
      <c r="Q640" s="13"/>
      <c r="R640" s="13"/>
      <c r="S640" s="242"/>
      <c r="T640" s="443"/>
      <c r="U640" s="443"/>
      <c r="V640" s="242"/>
      <c r="W640" s="242"/>
      <c r="X640" s="242"/>
      <c r="Y640" s="242"/>
      <c r="Z640" s="242"/>
    </row>
    <row r="641">
      <c r="A641" s="242"/>
      <c r="B641" s="243"/>
      <c r="C641" s="243"/>
      <c r="D641" s="243"/>
      <c r="E641" s="15"/>
      <c r="F641" s="243"/>
      <c r="G641" s="243"/>
      <c r="H641" s="13"/>
      <c r="I641" s="13"/>
      <c r="J641" s="242"/>
      <c r="K641" s="242"/>
      <c r="L641" s="13"/>
      <c r="M641" s="242"/>
      <c r="N641" s="242"/>
      <c r="O641" s="242"/>
      <c r="P641" s="242"/>
      <c r="Q641" s="13"/>
      <c r="R641" s="13"/>
      <c r="S641" s="242"/>
      <c r="T641" s="443"/>
      <c r="U641" s="443"/>
      <c r="V641" s="242"/>
      <c r="W641" s="242"/>
      <c r="X641" s="242"/>
      <c r="Y641" s="242"/>
      <c r="Z641" s="242"/>
    </row>
    <row r="642">
      <c r="A642" s="242"/>
      <c r="B642" s="243"/>
      <c r="C642" s="243"/>
      <c r="D642" s="243"/>
      <c r="E642" s="15"/>
      <c r="F642" s="243"/>
      <c r="G642" s="243"/>
      <c r="H642" s="13"/>
      <c r="I642" s="13"/>
      <c r="J642" s="242"/>
      <c r="K642" s="242"/>
      <c r="L642" s="13"/>
      <c r="M642" s="242"/>
      <c r="N642" s="242"/>
      <c r="O642" s="242"/>
      <c r="P642" s="242"/>
      <c r="Q642" s="13"/>
      <c r="R642" s="13"/>
      <c r="S642" s="242"/>
      <c r="T642" s="443"/>
      <c r="U642" s="443"/>
      <c r="V642" s="242"/>
      <c r="W642" s="242"/>
      <c r="X642" s="242"/>
      <c r="Y642" s="242"/>
      <c r="Z642" s="242"/>
    </row>
    <row r="643">
      <c r="A643" s="242"/>
      <c r="B643" s="243"/>
      <c r="C643" s="243"/>
      <c r="D643" s="243"/>
      <c r="E643" s="15"/>
      <c r="F643" s="243"/>
      <c r="G643" s="243"/>
      <c r="H643" s="13"/>
      <c r="I643" s="13"/>
      <c r="J643" s="242"/>
      <c r="K643" s="242"/>
      <c r="L643" s="13"/>
      <c r="M643" s="242"/>
      <c r="N643" s="242"/>
      <c r="O643" s="242"/>
      <c r="P643" s="242"/>
      <c r="Q643" s="13"/>
      <c r="R643" s="13"/>
      <c r="S643" s="242"/>
      <c r="T643" s="443"/>
      <c r="U643" s="443"/>
      <c r="V643" s="242"/>
      <c r="W643" s="242"/>
      <c r="X643" s="242"/>
      <c r="Y643" s="242"/>
      <c r="Z643" s="242"/>
    </row>
    <row r="644">
      <c r="A644" s="242"/>
      <c r="B644" s="243"/>
      <c r="C644" s="243"/>
      <c r="D644" s="243"/>
      <c r="E644" s="15"/>
      <c r="F644" s="243"/>
      <c r="G644" s="243"/>
      <c r="H644" s="13"/>
      <c r="I644" s="13"/>
      <c r="J644" s="242"/>
      <c r="K644" s="242"/>
      <c r="L644" s="13"/>
      <c r="M644" s="242"/>
      <c r="N644" s="242"/>
      <c r="O644" s="242"/>
      <c r="P644" s="242"/>
      <c r="Q644" s="13"/>
      <c r="R644" s="13"/>
      <c r="S644" s="242"/>
      <c r="T644" s="443"/>
      <c r="U644" s="443"/>
      <c r="V644" s="242"/>
      <c r="W644" s="242"/>
      <c r="X644" s="242"/>
      <c r="Y644" s="242"/>
      <c r="Z644" s="242"/>
    </row>
    <row r="645">
      <c r="A645" s="242"/>
      <c r="B645" s="243"/>
      <c r="C645" s="243"/>
      <c r="D645" s="243"/>
      <c r="E645" s="15"/>
      <c r="F645" s="243"/>
      <c r="G645" s="243"/>
      <c r="H645" s="13"/>
      <c r="I645" s="13"/>
      <c r="J645" s="242"/>
      <c r="K645" s="242"/>
      <c r="L645" s="13"/>
      <c r="M645" s="242"/>
      <c r="N645" s="242"/>
      <c r="O645" s="242"/>
      <c r="P645" s="242"/>
      <c r="Q645" s="13"/>
      <c r="R645" s="13"/>
      <c r="S645" s="242"/>
      <c r="T645" s="443"/>
      <c r="U645" s="443"/>
      <c r="V645" s="242"/>
      <c r="W645" s="242"/>
      <c r="X645" s="242"/>
      <c r="Y645" s="242"/>
      <c r="Z645" s="242"/>
    </row>
    <row r="646">
      <c r="A646" s="242"/>
      <c r="B646" s="243"/>
      <c r="C646" s="243"/>
      <c r="D646" s="243"/>
      <c r="E646" s="15"/>
      <c r="F646" s="243"/>
      <c r="G646" s="243"/>
      <c r="H646" s="13"/>
      <c r="I646" s="13"/>
      <c r="J646" s="242"/>
      <c r="K646" s="242"/>
      <c r="L646" s="13"/>
      <c r="M646" s="242"/>
      <c r="N646" s="242"/>
      <c r="O646" s="242"/>
      <c r="P646" s="242"/>
      <c r="Q646" s="13"/>
      <c r="R646" s="13"/>
      <c r="S646" s="242"/>
      <c r="T646" s="443"/>
      <c r="U646" s="443"/>
      <c r="V646" s="242"/>
      <c r="W646" s="242"/>
      <c r="X646" s="242"/>
      <c r="Y646" s="242"/>
      <c r="Z646" s="242"/>
    </row>
    <row r="647">
      <c r="A647" s="242"/>
      <c r="B647" s="243"/>
      <c r="C647" s="243"/>
      <c r="D647" s="243"/>
      <c r="E647" s="15"/>
      <c r="F647" s="243"/>
      <c r="G647" s="243"/>
      <c r="H647" s="13"/>
      <c r="I647" s="13"/>
      <c r="J647" s="242"/>
      <c r="K647" s="242"/>
      <c r="L647" s="13"/>
      <c r="M647" s="242"/>
      <c r="N647" s="242"/>
      <c r="O647" s="242"/>
      <c r="P647" s="242"/>
      <c r="Q647" s="13"/>
      <c r="R647" s="13"/>
      <c r="S647" s="242"/>
      <c r="T647" s="443"/>
      <c r="U647" s="443"/>
      <c r="V647" s="242"/>
      <c r="W647" s="242"/>
      <c r="X647" s="242"/>
      <c r="Y647" s="242"/>
      <c r="Z647" s="242"/>
    </row>
    <row r="648">
      <c r="A648" s="242"/>
      <c r="B648" s="243"/>
      <c r="C648" s="243"/>
      <c r="D648" s="243"/>
      <c r="E648" s="15"/>
      <c r="F648" s="243"/>
      <c r="G648" s="243"/>
      <c r="H648" s="13"/>
      <c r="I648" s="13"/>
      <c r="J648" s="242"/>
      <c r="K648" s="242"/>
      <c r="L648" s="13"/>
      <c r="M648" s="242"/>
      <c r="N648" s="242"/>
      <c r="O648" s="242"/>
      <c r="P648" s="242"/>
      <c r="Q648" s="13"/>
      <c r="R648" s="13"/>
      <c r="S648" s="242"/>
      <c r="T648" s="443"/>
      <c r="U648" s="443"/>
      <c r="V648" s="242"/>
      <c r="W648" s="242"/>
      <c r="X648" s="242"/>
      <c r="Y648" s="242"/>
      <c r="Z648" s="242"/>
    </row>
    <row r="649">
      <c r="A649" s="242"/>
      <c r="B649" s="243"/>
      <c r="C649" s="243"/>
      <c r="D649" s="243"/>
      <c r="E649" s="15"/>
      <c r="F649" s="243"/>
      <c r="G649" s="243"/>
      <c r="H649" s="13"/>
      <c r="I649" s="13"/>
      <c r="J649" s="242"/>
      <c r="K649" s="242"/>
      <c r="L649" s="13"/>
      <c r="M649" s="242"/>
      <c r="N649" s="242"/>
      <c r="O649" s="242"/>
      <c r="P649" s="242"/>
      <c r="Q649" s="13"/>
      <c r="R649" s="13"/>
      <c r="S649" s="242"/>
      <c r="T649" s="443"/>
      <c r="U649" s="443"/>
      <c r="V649" s="242"/>
      <c r="W649" s="242"/>
      <c r="X649" s="242"/>
      <c r="Y649" s="242"/>
      <c r="Z649" s="242"/>
    </row>
    <row r="650">
      <c r="A650" s="242"/>
      <c r="B650" s="243"/>
      <c r="C650" s="243"/>
      <c r="D650" s="243"/>
      <c r="E650" s="15"/>
      <c r="F650" s="243"/>
      <c r="G650" s="243"/>
      <c r="H650" s="13"/>
      <c r="I650" s="13"/>
      <c r="J650" s="242"/>
      <c r="K650" s="242"/>
      <c r="L650" s="13"/>
      <c r="M650" s="242"/>
      <c r="N650" s="242"/>
      <c r="O650" s="242"/>
      <c r="P650" s="242"/>
      <c r="Q650" s="13"/>
      <c r="R650" s="13"/>
      <c r="S650" s="242"/>
      <c r="T650" s="443"/>
      <c r="U650" s="443"/>
      <c r="V650" s="242"/>
      <c r="W650" s="242"/>
      <c r="X650" s="242"/>
      <c r="Y650" s="242"/>
      <c r="Z650" s="242"/>
    </row>
    <row r="651">
      <c r="A651" s="242"/>
      <c r="B651" s="243"/>
      <c r="C651" s="243"/>
      <c r="D651" s="243"/>
      <c r="E651" s="15"/>
      <c r="F651" s="243"/>
      <c r="G651" s="243"/>
      <c r="H651" s="13"/>
      <c r="I651" s="13"/>
      <c r="J651" s="242"/>
      <c r="K651" s="242"/>
      <c r="L651" s="13"/>
      <c r="M651" s="242"/>
      <c r="N651" s="242"/>
      <c r="O651" s="242"/>
      <c r="P651" s="242"/>
      <c r="Q651" s="13"/>
      <c r="R651" s="13"/>
      <c r="S651" s="242"/>
      <c r="T651" s="443"/>
      <c r="U651" s="443"/>
      <c r="V651" s="242"/>
      <c r="W651" s="242"/>
      <c r="X651" s="242"/>
      <c r="Y651" s="242"/>
      <c r="Z651" s="242"/>
    </row>
    <row r="652">
      <c r="A652" s="242"/>
      <c r="B652" s="243"/>
      <c r="C652" s="243"/>
      <c r="D652" s="243"/>
      <c r="E652" s="15"/>
      <c r="F652" s="243"/>
      <c r="G652" s="243"/>
      <c r="H652" s="13"/>
      <c r="I652" s="13"/>
      <c r="J652" s="242"/>
      <c r="K652" s="242"/>
      <c r="L652" s="13"/>
      <c r="M652" s="242"/>
      <c r="N652" s="242"/>
      <c r="O652" s="242"/>
      <c r="P652" s="242"/>
      <c r="Q652" s="13"/>
      <c r="R652" s="13"/>
      <c r="S652" s="242"/>
      <c r="T652" s="443"/>
      <c r="U652" s="443"/>
      <c r="V652" s="242"/>
      <c r="W652" s="242"/>
      <c r="X652" s="242"/>
      <c r="Y652" s="242"/>
      <c r="Z652" s="242"/>
    </row>
    <row r="653">
      <c r="A653" s="242"/>
      <c r="B653" s="243"/>
      <c r="C653" s="243"/>
      <c r="D653" s="243"/>
      <c r="E653" s="15"/>
      <c r="F653" s="243"/>
      <c r="G653" s="243"/>
      <c r="H653" s="13"/>
      <c r="I653" s="13"/>
      <c r="J653" s="242"/>
      <c r="K653" s="242"/>
      <c r="L653" s="13"/>
      <c r="M653" s="242"/>
      <c r="N653" s="242"/>
      <c r="O653" s="242"/>
      <c r="P653" s="242"/>
      <c r="Q653" s="13"/>
      <c r="R653" s="13"/>
      <c r="S653" s="242"/>
      <c r="T653" s="443"/>
      <c r="U653" s="443"/>
      <c r="V653" s="242"/>
      <c r="W653" s="242"/>
      <c r="X653" s="242"/>
      <c r="Y653" s="242"/>
      <c r="Z653" s="242"/>
    </row>
    <row r="654">
      <c r="A654" s="242"/>
      <c r="B654" s="243"/>
      <c r="C654" s="243"/>
      <c r="D654" s="243"/>
      <c r="E654" s="15"/>
      <c r="F654" s="243"/>
      <c r="G654" s="243"/>
      <c r="H654" s="13"/>
      <c r="I654" s="13"/>
      <c r="J654" s="242"/>
      <c r="K654" s="242"/>
      <c r="L654" s="13"/>
      <c r="M654" s="242"/>
      <c r="N654" s="242"/>
      <c r="O654" s="242"/>
      <c r="P654" s="242"/>
      <c r="Q654" s="13"/>
      <c r="R654" s="13"/>
      <c r="S654" s="242"/>
      <c r="T654" s="443"/>
      <c r="U654" s="443"/>
      <c r="V654" s="242"/>
      <c r="W654" s="242"/>
      <c r="X654" s="242"/>
      <c r="Y654" s="242"/>
      <c r="Z654" s="242"/>
    </row>
    <row r="655">
      <c r="A655" s="242"/>
      <c r="B655" s="243"/>
      <c r="C655" s="243"/>
      <c r="D655" s="243"/>
      <c r="E655" s="15"/>
      <c r="F655" s="243"/>
      <c r="G655" s="243"/>
      <c r="H655" s="13"/>
      <c r="I655" s="13"/>
      <c r="J655" s="242"/>
      <c r="K655" s="242"/>
      <c r="L655" s="13"/>
      <c r="M655" s="242"/>
      <c r="N655" s="242"/>
      <c r="O655" s="242"/>
      <c r="P655" s="242"/>
      <c r="Q655" s="13"/>
      <c r="R655" s="13"/>
      <c r="S655" s="242"/>
      <c r="T655" s="443"/>
      <c r="U655" s="443"/>
      <c r="V655" s="242"/>
      <c r="W655" s="242"/>
      <c r="X655" s="242"/>
      <c r="Y655" s="242"/>
      <c r="Z655" s="242"/>
    </row>
    <row r="656">
      <c r="A656" s="242"/>
      <c r="B656" s="243"/>
      <c r="C656" s="243"/>
      <c r="D656" s="243"/>
      <c r="E656" s="15"/>
      <c r="F656" s="243"/>
      <c r="G656" s="243"/>
      <c r="H656" s="13"/>
      <c r="I656" s="13"/>
      <c r="J656" s="242"/>
      <c r="K656" s="242"/>
      <c r="L656" s="13"/>
      <c r="M656" s="242"/>
      <c r="N656" s="242"/>
      <c r="O656" s="242"/>
      <c r="P656" s="242"/>
      <c r="Q656" s="13"/>
      <c r="R656" s="13"/>
      <c r="S656" s="242"/>
      <c r="T656" s="443"/>
      <c r="U656" s="443"/>
      <c r="V656" s="242"/>
      <c r="W656" s="242"/>
      <c r="X656" s="242"/>
      <c r="Y656" s="242"/>
      <c r="Z656" s="242"/>
    </row>
    <row r="657">
      <c r="A657" s="242"/>
      <c r="B657" s="243"/>
      <c r="C657" s="243"/>
      <c r="D657" s="243"/>
      <c r="E657" s="15"/>
      <c r="F657" s="243"/>
      <c r="G657" s="243"/>
      <c r="H657" s="13"/>
      <c r="I657" s="13"/>
      <c r="J657" s="242"/>
      <c r="K657" s="242"/>
      <c r="L657" s="13"/>
      <c r="M657" s="242"/>
      <c r="N657" s="242"/>
      <c r="O657" s="242"/>
      <c r="P657" s="242"/>
      <c r="Q657" s="13"/>
      <c r="R657" s="13"/>
      <c r="S657" s="242"/>
      <c r="T657" s="443"/>
      <c r="U657" s="443"/>
      <c r="V657" s="242"/>
      <c r="W657" s="242"/>
      <c r="X657" s="242"/>
      <c r="Y657" s="242"/>
      <c r="Z657" s="242"/>
    </row>
    <row r="658">
      <c r="A658" s="242"/>
      <c r="B658" s="243"/>
      <c r="C658" s="243"/>
      <c r="D658" s="243"/>
      <c r="E658" s="15"/>
      <c r="F658" s="243"/>
      <c r="G658" s="243"/>
      <c r="H658" s="13"/>
      <c r="I658" s="13"/>
      <c r="J658" s="242"/>
      <c r="K658" s="242"/>
      <c r="L658" s="13"/>
      <c r="M658" s="242"/>
      <c r="N658" s="242"/>
      <c r="O658" s="242"/>
      <c r="P658" s="242"/>
      <c r="Q658" s="13"/>
      <c r="R658" s="13"/>
      <c r="S658" s="242"/>
      <c r="T658" s="443"/>
      <c r="U658" s="443"/>
      <c r="V658" s="242"/>
      <c r="W658" s="242"/>
      <c r="X658" s="242"/>
      <c r="Y658" s="242"/>
      <c r="Z658" s="242"/>
    </row>
    <row r="659">
      <c r="A659" s="242"/>
      <c r="B659" s="243"/>
      <c r="C659" s="243"/>
      <c r="D659" s="243"/>
      <c r="E659" s="15"/>
      <c r="F659" s="243"/>
      <c r="G659" s="243"/>
      <c r="H659" s="13"/>
      <c r="I659" s="13"/>
      <c r="J659" s="242"/>
      <c r="K659" s="242"/>
      <c r="L659" s="13"/>
      <c r="M659" s="242"/>
      <c r="N659" s="242"/>
      <c r="O659" s="242"/>
      <c r="P659" s="242"/>
      <c r="Q659" s="13"/>
      <c r="R659" s="13"/>
      <c r="S659" s="242"/>
      <c r="T659" s="443"/>
      <c r="U659" s="443"/>
      <c r="V659" s="242"/>
      <c r="W659" s="242"/>
      <c r="X659" s="242"/>
      <c r="Y659" s="242"/>
      <c r="Z659" s="242"/>
    </row>
    <row r="660">
      <c r="A660" s="242"/>
      <c r="B660" s="243"/>
      <c r="C660" s="243"/>
      <c r="D660" s="243"/>
      <c r="E660" s="15"/>
      <c r="F660" s="243"/>
      <c r="G660" s="243"/>
      <c r="H660" s="13"/>
      <c r="I660" s="13"/>
      <c r="J660" s="242"/>
      <c r="K660" s="242"/>
      <c r="L660" s="13"/>
      <c r="M660" s="242"/>
      <c r="N660" s="242"/>
      <c r="O660" s="242"/>
      <c r="P660" s="242"/>
      <c r="Q660" s="13"/>
      <c r="R660" s="13"/>
      <c r="S660" s="242"/>
      <c r="T660" s="443"/>
      <c r="U660" s="443"/>
      <c r="V660" s="242"/>
      <c r="W660" s="242"/>
      <c r="X660" s="242"/>
      <c r="Y660" s="242"/>
      <c r="Z660" s="242"/>
    </row>
    <row r="661">
      <c r="A661" s="242"/>
      <c r="B661" s="243"/>
      <c r="C661" s="243"/>
      <c r="D661" s="243"/>
      <c r="E661" s="15"/>
      <c r="F661" s="243"/>
      <c r="G661" s="243"/>
      <c r="H661" s="13"/>
      <c r="I661" s="13"/>
      <c r="J661" s="242"/>
      <c r="K661" s="242"/>
      <c r="L661" s="13"/>
      <c r="M661" s="242"/>
      <c r="N661" s="242"/>
      <c r="O661" s="242"/>
      <c r="P661" s="242"/>
      <c r="Q661" s="13"/>
      <c r="R661" s="13"/>
      <c r="S661" s="242"/>
      <c r="T661" s="443"/>
      <c r="U661" s="443"/>
      <c r="V661" s="242"/>
      <c r="W661" s="242"/>
      <c r="X661" s="242"/>
      <c r="Y661" s="242"/>
      <c r="Z661" s="242"/>
    </row>
    <row r="662">
      <c r="A662" s="242"/>
      <c r="B662" s="243"/>
      <c r="C662" s="243"/>
      <c r="D662" s="243"/>
      <c r="E662" s="15"/>
      <c r="F662" s="243"/>
      <c r="G662" s="243"/>
      <c r="H662" s="13"/>
      <c r="I662" s="13"/>
      <c r="J662" s="242"/>
      <c r="K662" s="242"/>
      <c r="L662" s="13"/>
      <c r="M662" s="242"/>
      <c r="N662" s="242"/>
      <c r="O662" s="242"/>
      <c r="P662" s="242"/>
      <c r="Q662" s="13"/>
      <c r="R662" s="13"/>
      <c r="S662" s="242"/>
      <c r="T662" s="443"/>
      <c r="U662" s="443"/>
      <c r="V662" s="242"/>
      <c r="W662" s="242"/>
      <c r="X662" s="242"/>
      <c r="Y662" s="242"/>
      <c r="Z662" s="242"/>
    </row>
    <row r="663">
      <c r="A663" s="242"/>
      <c r="B663" s="243"/>
      <c r="C663" s="243"/>
      <c r="D663" s="243"/>
      <c r="E663" s="15"/>
      <c r="F663" s="243"/>
      <c r="G663" s="243"/>
      <c r="H663" s="13"/>
      <c r="I663" s="13"/>
      <c r="J663" s="242"/>
      <c r="K663" s="242"/>
      <c r="L663" s="13"/>
      <c r="M663" s="242"/>
      <c r="N663" s="242"/>
      <c r="O663" s="242"/>
      <c r="P663" s="242"/>
      <c r="Q663" s="13"/>
      <c r="R663" s="13"/>
      <c r="S663" s="242"/>
      <c r="T663" s="443"/>
      <c r="U663" s="443"/>
      <c r="V663" s="242"/>
      <c r="W663" s="242"/>
      <c r="X663" s="242"/>
      <c r="Y663" s="242"/>
      <c r="Z663" s="242"/>
    </row>
    <row r="664">
      <c r="A664" s="242"/>
      <c r="B664" s="243"/>
      <c r="C664" s="243"/>
      <c r="D664" s="243"/>
      <c r="E664" s="15"/>
      <c r="F664" s="243"/>
      <c r="G664" s="243"/>
      <c r="H664" s="13"/>
      <c r="I664" s="13"/>
      <c r="J664" s="242"/>
      <c r="K664" s="242"/>
      <c r="L664" s="13"/>
      <c r="M664" s="242"/>
      <c r="N664" s="242"/>
      <c r="O664" s="242"/>
      <c r="P664" s="242"/>
      <c r="Q664" s="13"/>
      <c r="R664" s="13"/>
      <c r="S664" s="242"/>
      <c r="T664" s="443"/>
      <c r="U664" s="443"/>
      <c r="V664" s="242"/>
      <c r="W664" s="242"/>
      <c r="X664" s="242"/>
      <c r="Y664" s="242"/>
      <c r="Z664" s="242"/>
    </row>
    <row r="665">
      <c r="A665" s="242"/>
      <c r="B665" s="243"/>
      <c r="C665" s="243"/>
      <c r="D665" s="243"/>
      <c r="E665" s="15"/>
      <c r="F665" s="243"/>
      <c r="G665" s="243"/>
      <c r="H665" s="13"/>
      <c r="I665" s="13"/>
      <c r="J665" s="242"/>
      <c r="K665" s="242"/>
      <c r="L665" s="13"/>
      <c r="M665" s="242"/>
      <c r="N665" s="242"/>
      <c r="O665" s="242"/>
      <c r="P665" s="242"/>
      <c r="Q665" s="13"/>
      <c r="R665" s="13"/>
      <c r="S665" s="242"/>
      <c r="T665" s="443"/>
      <c r="U665" s="443"/>
      <c r="V665" s="242"/>
      <c r="W665" s="242"/>
      <c r="X665" s="242"/>
      <c r="Y665" s="242"/>
      <c r="Z665" s="242"/>
    </row>
    <row r="666">
      <c r="A666" s="242"/>
      <c r="B666" s="243"/>
      <c r="C666" s="243"/>
      <c r="D666" s="243"/>
      <c r="E666" s="15"/>
      <c r="F666" s="243"/>
      <c r="G666" s="243"/>
      <c r="H666" s="13"/>
      <c r="I666" s="13"/>
      <c r="J666" s="242"/>
      <c r="K666" s="242"/>
      <c r="L666" s="13"/>
      <c r="M666" s="242"/>
      <c r="N666" s="242"/>
      <c r="O666" s="242"/>
      <c r="P666" s="242"/>
      <c r="Q666" s="13"/>
      <c r="R666" s="13"/>
      <c r="S666" s="242"/>
      <c r="T666" s="443"/>
      <c r="U666" s="443"/>
      <c r="V666" s="242"/>
      <c r="W666" s="242"/>
      <c r="X666" s="242"/>
      <c r="Y666" s="242"/>
      <c r="Z666" s="242"/>
    </row>
    <row r="667">
      <c r="A667" s="242"/>
      <c r="B667" s="243"/>
      <c r="C667" s="243"/>
      <c r="D667" s="243"/>
      <c r="E667" s="15"/>
      <c r="F667" s="243"/>
      <c r="G667" s="243"/>
      <c r="H667" s="13"/>
      <c r="I667" s="13"/>
      <c r="J667" s="242"/>
      <c r="K667" s="242"/>
      <c r="L667" s="13"/>
      <c r="M667" s="242"/>
      <c r="N667" s="242"/>
      <c r="O667" s="242"/>
      <c r="P667" s="242"/>
      <c r="Q667" s="13"/>
      <c r="R667" s="13"/>
      <c r="S667" s="242"/>
      <c r="T667" s="443"/>
      <c r="U667" s="443"/>
      <c r="V667" s="242"/>
      <c r="W667" s="242"/>
      <c r="X667" s="242"/>
      <c r="Y667" s="242"/>
      <c r="Z667" s="242"/>
    </row>
    <row r="668">
      <c r="A668" s="242"/>
      <c r="B668" s="243"/>
      <c r="C668" s="243"/>
      <c r="D668" s="243"/>
      <c r="E668" s="15"/>
      <c r="F668" s="243"/>
      <c r="G668" s="243"/>
      <c r="H668" s="13"/>
      <c r="I668" s="13"/>
      <c r="J668" s="242"/>
      <c r="K668" s="242"/>
      <c r="L668" s="13"/>
      <c r="M668" s="242"/>
      <c r="N668" s="242"/>
      <c r="O668" s="242"/>
      <c r="P668" s="242"/>
      <c r="Q668" s="13"/>
      <c r="R668" s="13"/>
      <c r="S668" s="242"/>
      <c r="T668" s="443"/>
      <c r="U668" s="443"/>
      <c r="V668" s="242"/>
      <c r="W668" s="242"/>
      <c r="X668" s="242"/>
      <c r="Y668" s="242"/>
      <c r="Z668" s="242"/>
    </row>
    <row r="669">
      <c r="A669" s="242"/>
      <c r="B669" s="243"/>
      <c r="C669" s="243"/>
      <c r="D669" s="243"/>
      <c r="E669" s="15"/>
      <c r="F669" s="243"/>
      <c r="G669" s="243"/>
      <c r="H669" s="13"/>
      <c r="I669" s="13"/>
      <c r="J669" s="242"/>
      <c r="K669" s="242"/>
      <c r="L669" s="13"/>
      <c r="M669" s="242"/>
      <c r="N669" s="242"/>
      <c r="O669" s="242"/>
      <c r="P669" s="242"/>
      <c r="Q669" s="13"/>
      <c r="R669" s="13"/>
      <c r="S669" s="242"/>
      <c r="T669" s="443"/>
      <c r="U669" s="443"/>
      <c r="V669" s="242"/>
      <c r="W669" s="242"/>
      <c r="X669" s="242"/>
      <c r="Y669" s="242"/>
      <c r="Z669" s="242"/>
    </row>
    <row r="670">
      <c r="A670" s="242"/>
      <c r="B670" s="243"/>
      <c r="C670" s="243"/>
      <c r="D670" s="243"/>
      <c r="E670" s="15"/>
      <c r="F670" s="243"/>
      <c r="G670" s="243"/>
      <c r="H670" s="13"/>
      <c r="I670" s="13"/>
      <c r="J670" s="242"/>
      <c r="K670" s="242"/>
      <c r="L670" s="13"/>
      <c r="M670" s="242"/>
      <c r="N670" s="242"/>
      <c r="O670" s="242"/>
      <c r="P670" s="242"/>
      <c r="Q670" s="13"/>
      <c r="R670" s="13"/>
      <c r="S670" s="242"/>
      <c r="T670" s="443"/>
      <c r="U670" s="443"/>
      <c r="V670" s="242"/>
      <c r="W670" s="242"/>
      <c r="X670" s="242"/>
      <c r="Y670" s="242"/>
      <c r="Z670" s="242"/>
    </row>
    <row r="671">
      <c r="A671" s="242"/>
      <c r="B671" s="243"/>
      <c r="C671" s="243"/>
      <c r="D671" s="243"/>
      <c r="E671" s="15"/>
      <c r="F671" s="243"/>
      <c r="G671" s="243"/>
      <c r="H671" s="13"/>
      <c r="I671" s="13"/>
      <c r="J671" s="242"/>
      <c r="K671" s="242"/>
      <c r="L671" s="13"/>
      <c r="M671" s="242"/>
      <c r="N671" s="242"/>
      <c r="O671" s="242"/>
      <c r="P671" s="242"/>
      <c r="Q671" s="13"/>
      <c r="R671" s="13"/>
      <c r="S671" s="242"/>
      <c r="T671" s="443"/>
      <c r="U671" s="443"/>
      <c r="V671" s="242"/>
      <c r="W671" s="242"/>
      <c r="X671" s="242"/>
      <c r="Y671" s="242"/>
      <c r="Z671" s="242"/>
    </row>
    <row r="672">
      <c r="A672" s="242"/>
      <c r="B672" s="243"/>
      <c r="C672" s="243"/>
      <c r="D672" s="243"/>
      <c r="E672" s="15"/>
      <c r="F672" s="243"/>
      <c r="G672" s="243"/>
      <c r="H672" s="13"/>
      <c r="I672" s="13"/>
      <c r="J672" s="242"/>
      <c r="K672" s="242"/>
      <c r="L672" s="13"/>
      <c r="M672" s="242"/>
      <c r="N672" s="242"/>
      <c r="O672" s="242"/>
      <c r="P672" s="242"/>
      <c r="Q672" s="13"/>
      <c r="R672" s="13"/>
      <c r="S672" s="242"/>
      <c r="T672" s="443"/>
      <c r="U672" s="443"/>
      <c r="V672" s="242"/>
      <c r="W672" s="242"/>
      <c r="X672" s="242"/>
      <c r="Y672" s="242"/>
      <c r="Z672" s="242"/>
    </row>
    <row r="673">
      <c r="A673" s="242"/>
      <c r="B673" s="243"/>
      <c r="C673" s="243"/>
      <c r="D673" s="243"/>
      <c r="E673" s="15"/>
      <c r="F673" s="243"/>
      <c r="G673" s="243"/>
      <c r="H673" s="13"/>
      <c r="I673" s="13"/>
      <c r="J673" s="242"/>
      <c r="K673" s="242"/>
      <c r="L673" s="13"/>
      <c r="M673" s="242"/>
      <c r="N673" s="242"/>
      <c r="O673" s="242"/>
      <c r="P673" s="242"/>
      <c r="Q673" s="13"/>
      <c r="R673" s="13"/>
      <c r="S673" s="242"/>
      <c r="T673" s="443"/>
      <c r="U673" s="443"/>
      <c r="V673" s="242"/>
      <c r="W673" s="242"/>
      <c r="X673" s="242"/>
      <c r="Y673" s="242"/>
      <c r="Z673" s="242"/>
    </row>
    <row r="674">
      <c r="A674" s="242"/>
      <c r="B674" s="243"/>
      <c r="C674" s="243"/>
      <c r="D674" s="243"/>
      <c r="E674" s="15"/>
      <c r="F674" s="243"/>
      <c r="G674" s="243"/>
      <c r="H674" s="13"/>
      <c r="I674" s="13"/>
      <c r="J674" s="242"/>
      <c r="K674" s="242"/>
      <c r="L674" s="13"/>
      <c r="M674" s="242"/>
      <c r="N674" s="242"/>
      <c r="O674" s="242"/>
      <c r="P674" s="242"/>
      <c r="Q674" s="13"/>
      <c r="R674" s="13"/>
      <c r="S674" s="242"/>
      <c r="T674" s="443"/>
      <c r="U674" s="443"/>
      <c r="V674" s="242"/>
      <c r="W674" s="242"/>
      <c r="X674" s="242"/>
      <c r="Y674" s="242"/>
      <c r="Z674" s="242"/>
    </row>
    <row r="675">
      <c r="A675" s="242"/>
      <c r="B675" s="243"/>
      <c r="C675" s="243"/>
      <c r="D675" s="243"/>
      <c r="E675" s="15"/>
      <c r="F675" s="243"/>
      <c r="G675" s="243"/>
      <c r="H675" s="13"/>
      <c r="I675" s="13"/>
      <c r="J675" s="242"/>
      <c r="K675" s="242"/>
      <c r="L675" s="13"/>
      <c r="M675" s="242"/>
      <c r="N675" s="242"/>
      <c r="O675" s="242"/>
      <c r="P675" s="242"/>
      <c r="Q675" s="13"/>
      <c r="R675" s="13"/>
      <c r="S675" s="242"/>
      <c r="T675" s="443"/>
      <c r="U675" s="443"/>
      <c r="V675" s="242"/>
      <c r="W675" s="242"/>
      <c r="X675" s="242"/>
      <c r="Y675" s="242"/>
      <c r="Z675" s="242"/>
    </row>
    <row r="676">
      <c r="A676" s="242"/>
      <c r="B676" s="243"/>
      <c r="C676" s="243"/>
      <c r="D676" s="243"/>
      <c r="E676" s="15"/>
      <c r="F676" s="243"/>
      <c r="G676" s="243"/>
      <c r="H676" s="13"/>
      <c r="I676" s="13"/>
      <c r="J676" s="242"/>
      <c r="K676" s="242"/>
      <c r="L676" s="13"/>
      <c r="M676" s="242"/>
      <c r="N676" s="242"/>
      <c r="O676" s="242"/>
      <c r="P676" s="242"/>
      <c r="Q676" s="13"/>
      <c r="R676" s="13"/>
      <c r="S676" s="242"/>
      <c r="T676" s="443"/>
      <c r="U676" s="443"/>
      <c r="V676" s="242"/>
      <c r="W676" s="242"/>
      <c r="X676" s="242"/>
      <c r="Y676" s="242"/>
      <c r="Z676" s="242"/>
    </row>
    <row r="677">
      <c r="A677" s="242"/>
      <c r="B677" s="243"/>
      <c r="C677" s="243"/>
      <c r="D677" s="243"/>
      <c r="E677" s="15"/>
      <c r="F677" s="243"/>
      <c r="G677" s="243"/>
      <c r="H677" s="13"/>
      <c r="I677" s="13"/>
      <c r="J677" s="242"/>
      <c r="K677" s="242"/>
      <c r="L677" s="13"/>
      <c r="M677" s="242"/>
      <c r="N677" s="242"/>
      <c r="O677" s="242"/>
      <c r="P677" s="242"/>
      <c r="Q677" s="13"/>
      <c r="R677" s="13"/>
      <c r="S677" s="242"/>
      <c r="T677" s="443"/>
      <c r="U677" s="443"/>
      <c r="V677" s="242"/>
      <c r="W677" s="242"/>
      <c r="X677" s="242"/>
      <c r="Y677" s="242"/>
      <c r="Z677" s="242"/>
    </row>
    <row r="678">
      <c r="A678" s="242"/>
      <c r="B678" s="243"/>
      <c r="C678" s="243"/>
      <c r="D678" s="243"/>
      <c r="E678" s="15"/>
      <c r="F678" s="243"/>
      <c r="G678" s="243"/>
      <c r="H678" s="13"/>
      <c r="I678" s="13"/>
      <c r="J678" s="242"/>
      <c r="K678" s="242"/>
      <c r="L678" s="13"/>
      <c r="M678" s="242"/>
      <c r="N678" s="242"/>
      <c r="O678" s="242"/>
      <c r="P678" s="242"/>
      <c r="Q678" s="13"/>
      <c r="R678" s="13"/>
      <c r="S678" s="242"/>
      <c r="T678" s="443"/>
      <c r="U678" s="443"/>
      <c r="V678" s="242"/>
      <c r="W678" s="242"/>
      <c r="X678" s="242"/>
      <c r="Y678" s="242"/>
      <c r="Z678" s="242"/>
    </row>
    <row r="679">
      <c r="A679" s="242"/>
      <c r="B679" s="243"/>
      <c r="C679" s="243"/>
      <c r="D679" s="243"/>
      <c r="E679" s="15"/>
      <c r="F679" s="243"/>
      <c r="G679" s="243"/>
      <c r="H679" s="13"/>
      <c r="I679" s="13"/>
      <c r="J679" s="242"/>
      <c r="K679" s="242"/>
      <c r="L679" s="13"/>
      <c r="M679" s="242"/>
      <c r="N679" s="242"/>
      <c r="O679" s="242"/>
      <c r="P679" s="242"/>
      <c r="Q679" s="13"/>
      <c r="R679" s="13"/>
      <c r="S679" s="242"/>
      <c r="T679" s="443"/>
      <c r="U679" s="443"/>
      <c r="V679" s="242"/>
      <c r="W679" s="242"/>
      <c r="X679" s="242"/>
      <c r="Y679" s="242"/>
      <c r="Z679" s="242"/>
    </row>
    <row r="680">
      <c r="A680" s="242"/>
      <c r="B680" s="243"/>
      <c r="C680" s="243"/>
      <c r="D680" s="243"/>
      <c r="E680" s="15"/>
      <c r="F680" s="243"/>
      <c r="G680" s="243"/>
      <c r="H680" s="13"/>
      <c r="I680" s="13"/>
      <c r="J680" s="242"/>
      <c r="K680" s="242"/>
      <c r="L680" s="13"/>
      <c r="M680" s="242"/>
      <c r="N680" s="242"/>
      <c r="O680" s="242"/>
      <c r="P680" s="242"/>
      <c r="Q680" s="13"/>
      <c r="R680" s="13"/>
      <c r="S680" s="242"/>
      <c r="T680" s="443"/>
      <c r="U680" s="443"/>
      <c r="V680" s="242"/>
      <c r="W680" s="242"/>
      <c r="X680" s="242"/>
      <c r="Y680" s="242"/>
      <c r="Z680" s="242"/>
    </row>
    <row r="681">
      <c r="A681" s="242"/>
      <c r="B681" s="243"/>
      <c r="C681" s="243"/>
      <c r="D681" s="243"/>
      <c r="E681" s="15"/>
      <c r="F681" s="243"/>
      <c r="G681" s="243"/>
      <c r="H681" s="13"/>
      <c r="I681" s="13"/>
      <c r="J681" s="242"/>
      <c r="K681" s="242"/>
      <c r="L681" s="13"/>
      <c r="M681" s="242"/>
      <c r="N681" s="242"/>
      <c r="O681" s="242"/>
      <c r="P681" s="242"/>
      <c r="Q681" s="13"/>
      <c r="R681" s="13"/>
      <c r="S681" s="242"/>
      <c r="T681" s="443"/>
      <c r="U681" s="443"/>
      <c r="V681" s="242"/>
      <c r="W681" s="242"/>
      <c r="X681" s="242"/>
      <c r="Y681" s="242"/>
      <c r="Z681" s="242"/>
    </row>
    <row r="682">
      <c r="A682" s="242"/>
      <c r="B682" s="243"/>
      <c r="C682" s="243"/>
      <c r="D682" s="243"/>
      <c r="E682" s="15"/>
      <c r="F682" s="243"/>
      <c r="G682" s="243"/>
      <c r="H682" s="13"/>
      <c r="I682" s="13"/>
      <c r="J682" s="242"/>
      <c r="K682" s="242"/>
      <c r="L682" s="13"/>
      <c r="M682" s="242"/>
      <c r="N682" s="242"/>
      <c r="O682" s="242"/>
      <c r="P682" s="242"/>
      <c r="Q682" s="13"/>
      <c r="R682" s="13"/>
      <c r="S682" s="242"/>
      <c r="T682" s="443"/>
      <c r="U682" s="443"/>
      <c r="V682" s="242"/>
      <c r="W682" s="242"/>
      <c r="X682" s="242"/>
      <c r="Y682" s="242"/>
      <c r="Z682" s="242"/>
    </row>
    <row r="683">
      <c r="A683" s="242"/>
      <c r="B683" s="243"/>
      <c r="C683" s="243"/>
      <c r="D683" s="243"/>
      <c r="E683" s="15"/>
      <c r="F683" s="243"/>
      <c r="G683" s="243"/>
      <c r="H683" s="13"/>
      <c r="I683" s="13"/>
      <c r="J683" s="242"/>
      <c r="K683" s="242"/>
      <c r="L683" s="13"/>
      <c r="M683" s="242"/>
      <c r="N683" s="242"/>
      <c r="O683" s="242"/>
      <c r="P683" s="242"/>
      <c r="Q683" s="13"/>
      <c r="R683" s="13"/>
      <c r="S683" s="242"/>
      <c r="T683" s="443"/>
      <c r="U683" s="443"/>
      <c r="V683" s="242"/>
      <c r="W683" s="242"/>
      <c r="X683" s="242"/>
      <c r="Y683" s="242"/>
      <c r="Z683" s="242"/>
    </row>
    <row r="684">
      <c r="A684" s="242"/>
      <c r="B684" s="243"/>
      <c r="C684" s="243"/>
      <c r="D684" s="243"/>
      <c r="E684" s="15"/>
      <c r="F684" s="243"/>
      <c r="G684" s="243"/>
      <c r="H684" s="13"/>
      <c r="I684" s="13"/>
      <c r="J684" s="242"/>
      <c r="K684" s="242"/>
      <c r="L684" s="13"/>
      <c r="M684" s="242"/>
      <c r="N684" s="242"/>
      <c r="O684" s="242"/>
      <c r="P684" s="242"/>
      <c r="Q684" s="13"/>
      <c r="R684" s="13"/>
      <c r="S684" s="242"/>
      <c r="T684" s="443"/>
      <c r="U684" s="443"/>
      <c r="V684" s="242"/>
      <c r="W684" s="242"/>
      <c r="X684" s="242"/>
      <c r="Y684" s="242"/>
      <c r="Z684" s="242"/>
    </row>
    <row r="685">
      <c r="A685" s="242"/>
      <c r="B685" s="243"/>
      <c r="C685" s="243"/>
      <c r="D685" s="243"/>
      <c r="E685" s="15"/>
      <c r="F685" s="243"/>
      <c r="G685" s="243"/>
      <c r="H685" s="13"/>
      <c r="I685" s="13"/>
      <c r="J685" s="242"/>
      <c r="K685" s="242"/>
      <c r="L685" s="13"/>
      <c r="M685" s="242"/>
      <c r="N685" s="242"/>
      <c r="O685" s="242"/>
      <c r="P685" s="242"/>
      <c r="Q685" s="13"/>
      <c r="R685" s="13"/>
      <c r="S685" s="242"/>
      <c r="T685" s="443"/>
      <c r="U685" s="443"/>
      <c r="V685" s="242"/>
      <c r="W685" s="242"/>
      <c r="X685" s="242"/>
      <c r="Y685" s="242"/>
      <c r="Z685" s="242"/>
    </row>
    <row r="686">
      <c r="A686" s="242"/>
      <c r="B686" s="243"/>
      <c r="C686" s="243"/>
      <c r="D686" s="243"/>
      <c r="E686" s="15"/>
      <c r="F686" s="243"/>
      <c r="G686" s="243"/>
      <c r="H686" s="13"/>
      <c r="I686" s="13"/>
      <c r="J686" s="242"/>
      <c r="K686" s="242"/>
      <c r="L686" s="13"/>
      <c r="M686" s="242"/>
      <c r="N686" s="242"/>
      <c r="O686" s="242"/>
      <c r="P686" s="242"/>
      <c r="Q686" s="13"/>
      <c r="R686" s="13"/>
      <c r="S686" s="242"/>
      <c r="T686" s="443"/>
      <c r="U686" s="443"/>
      <c r="V686" s="242"/>
      <c r="W686" s="242"/>
      <c r="X686" s="242"/>
      <c r="Y686" s="242"/>
      <c r="Z686" s="242"/>
    </row>
    <row r="687">
      <c r="A687" s="242"/>
      <c r="B687" s="243"/>
      <c r="C687" s="243"/>
      <c r="D687" s="243"/>
      <c r="E687" s="15"/>
      <c r="F687" s="243"/>
      <c r="G687" s="243"/>
      <c r="H687" s="13"/>
      <c r="I687" s="13"/>
      <c r="J687" s="242"/>
      <c r="K687" s="242"/>
      <c r="L687" s="13"/>
      <c r="M687" s="242"/>
      <c r="N687" s="242"/>
      <c r="O687" s="242"/>
      <c r="P687" s="242"/>
      <c r="Q687" s="13"/>
      <c r="R687" s="13"/>
      <c r="S687" s="242"/>
      <c r="T687" s="443"/>
      <c r="U687" s="443"/>
      <c r="V687" s="242"/>
      <c r="W687" s="242"/>
      <c r="X687" s="242"/>
      <c r="Y687" s="242"/>
      <c r="Z687" s="242"/>
    </row>
    <row r="688">
      <c r="A688" s="242"/>
      <c r="B688" s="243"/>
      <c r="C688" s="243"/>
      <c r="D688" s="243"/>
      <c r="E688" s="15"/>
      <c r="F688" s="243"/>
      <c r="G688" s="243"/>
      <c r="H688" s="13"/>
      <c r="I688" s="13"/>
      <c r="J688" s="242"/>
      <c r="K688" s="242"/>
      <c r="L688" s="13"/>
      <c r="M688" s="242"/>
      <c r="N688" s="242"/>
      <c r="O688" s="242"/>
      <c r="P688" s="242"/>
      <c r="Q688" s="13"/>
      <c r="R688" s="13"/>
      <c r="S688" s="242"/>
      <c r="T688" s="443"/>
      <c r="U688" s="443"/>
      <c r="V688" s="242"/>
      <c r="W688" s="242"/>
      <c r="X688" s="242"/>
      <c r="Y688" s="242"/>
      <c r="Z688" s="242"/>
    </row>
    <row r="689">
      <c r="A689" s="242"/>
      <c r="B689" s="243"/>
      <c r="C689" s="243"/>
      <c r="D689" s="243"/>
      <c r="E689" s="15"/>
      <c r="F689" s="243"/>
      <c r="G689" s="243"/>
      <c r="H689" s="13"/>
      <c r="I689" s="13"/>
      <c r="J689" s="242"/>
      <c r="K689" s="242"/>
      <c r="L689" s="13"/>
      <c r="M689" s="242"/>
      <c r="N689" s="242"/>
      <c r="O689" s="242"/>
      <c r="P689" s="242"/>
      <c r="Q689" s="13"/>
      <c r="R689" s="13"/>
      <c r="S689" s="242"/>
      <c r="T689" s="443"/>
      <c r="U689" s="443"/>
      <c r="V689" s="242"/>
      <c r="W689" s="242"/>
      <c r="X689" s="242"/>
      <c r="Y689" s="242"/>
      <c r="Z689" s="242"/>
    </row>
    <row r="690">
      <c r="A690" s="242"/>
      <c r="B690" s="243"/>
      <c r="C690" s="243"/>
      <c r="D690" s="243"/>
      <c r="E690" s="15"/>
      <c r="F690" s="243"/>
      <c r="G690" s="243"/>
      <c r="H690" s="13"/>
      <c r="I690" s="13"/>
      <c r="J690" s="242"/>
      <c r="K690" s="242"/>
      <c r="L690" s="13"/>
      <c r="M690" s="242"/>
      <c r="N690" s="242"/>
      <c r="O690" s="242"/>
      <c r="P690" s="242"/>
      <c r="Q690" s="13"/>
      <c r="R690" s="13"/>
      <c r="S690" s="242"/>
      <c r="T690" s="443"/>
      <c r="U690" s="443"/>
      <c r="V690" s="242"/>
      <c r="W690" s="242"/>
      <c r="X690" s="242"/>
      <c r="Y690" s="242"/>
      <c r="Z690" s="242"/>
    </row>
    <row r="691">
      <c r="A691" s="242"/>
      <c r="B691" s="243"/>
      <c r="C691" s="243"/>
      <c r="D691" s="243"/>
      <c r="E691" s="15"/>
      <c r="F691" s="243"/>
      <c r="G691" s="243"/>
      <c r="H691" s="13"/>
      <c r="I691" s="13"/>
      <c r="J691" s="242"/>
      <c r="K691" s="242"/>
      <c r="L691" s="13"/>
      <c r="M691" s="242"/>
      <c r="N691" s="242"/>
      <c r="O691" s="242"/>
      <c r="P691" s="242"/>
      <c r="Q691" s="13"/>
      <c r="R691" s="13"/>
      <c r="S691" s="242"/>
      <c r="T691" s="443"/>
      <c r="U691" s="443"/>
      <c r="V691" s="242"/>
      <c r="W691" s="242"/>
      <c r="X691" s="242"/>
      <c r="Y691" s="242"/>
      <c r="Z691" s="242"/>
    </row>
    <row r="692">
      <c r="A692" s="242"/>
      <c r="B692" s="243"/>
      <c r="C692" s="243"/>
      <c r="D692" s="243"/>
      <c r="E692" s="15"/>
      <c r="F692" s="243"/>
      <c r="G692" s="243"/>
      <c r="H692" s="13"/>
      <c r="I692" s="13"/>
      <c r="J692" s="242"/>
      <c r="K692" s="242"/>
      <c r="L692" s="13"/>
      <c r="M692" s="242"/>
      <c r="N692" s="242"/>
      <c r="O692" s="242"/>
      <c r="P692" s="242"/>
      <c r="Q692" s="13"/>
      <c r="R692" s="13"/>
      <c r="S692" s="242"/>
      <c r="T692" s="443"/>
      <c r="U692" s="443"/>
      <c r="V692" s="242"/>
      <c r="W692" s="242"/>
      <c r="X692" s="242"/>
      <c r="Y692" s="242"/>
      <c r="Z692" s="242"/>
    </row>
    <row r="693">
      <c r="A693" s="242"/>
      <c r="B693" s="243"/>
      <c r="C693" s="243"/>
      <c r="D693" s="243"/>
      <c r="E693" s="15"/>
      <c r="F693" s="243"/>
      <c r="G693" s="243"/>
      <c r="H693" s="13"/>
      <c r="I693" s="13"/>
      <c r="J693" s="242"/>
      <c r="K693" s="242"/>
      <c r="L693" s="13"/>
      <c r="M693" s="242"/>
      <c r="N693" s="242"/>
      <c r="O693" s="242"/>
      <c r="P693" s="242"/>
      <c r="Q693" s="13"/>
      <c r="R693" s="13"/>
      <c r="S693" s="242"/>
      <c r="T693" s="443"/>
      <c r="U693" s="443"/>
      <c r="V693" s="242"/>
      <c r="W693" s="242"/>
      <c r="X693" s="242"/>
      <c r="Y693" s="242"/>
      <c r="Z693" s="242"/>
    </row>
    <row r="694">
      <c r="A694" s="242"/>
      <c r="B694" s="243"/>
      <c r="C694" s="243"/>
      <c r="D694" s="243"/>
      <c r="E694" s="15"/>
      <c r="F694" s="243"/>
      <c r="G694" s="243"/>
      <c r="H694" s="13"/>
      <c r="I694" s="13"/>
      <c r="J694" s="242"/>
      <c r="K694" s="242"/>
      <c r="L694" s="13"/>
      <c r="M694" s="242"/>
      <c r="N694" s="242"/>
      <c r="O694" s="242"/>
      <c r="P694" s="242"/>
      <c r="Q694" s="13"/>
      <c r="R694" s="13"/>
      <c r="S694" s="242"/>
      <c r="T694" s="443"/>
      <c r="U694" s="443"/>
      <c r="V694" s="242"/>
      <c r="W694" s="242"/>
      <c r="X694" s="242"/>
      <c r="Y694" s="242"/>
      <c r="Z694" s="242"/>
    </row>
    <row r="695">
      <c r="A695" s="242"/>
      <c r="B695" s="243"/>
      <c r="C695" s="243"/>
      <c r="D695" s="243"/>
      <c r="E695" s="15"/>
      <c r="F695" s="243"/>
      <c r="G695" s="243"/>
      <c r="H695" s="13"/>
      <c r="I695" s="13"/>
      <c r="J695" s="242"/>
      <c r="K695" s="242"/>
      <c r="L695" s="13"/>
      <c r="M695" s="242"/>
      <c r="N695" s="242"/>
      <c r="O695" s="242"/>
      <c r="P695" s="242"/>
      <c r="Q695" s="13"/>
      <c r="R695" s="13"/>
      <c r="S695" s="242"/>
      <c r="T695" s="443"/>
      <c r="U695" s="443"/>
      <c r="V695" s="242"/>
      <c r="W695" s="242"/>
      <c r="X695" s="242"/>
      <c r="Y695" s="242"/>
      <c r="Z695" s="242"/>
    </row>
    <row r="696">
      <c r="A696" s="242"/>
      <c r="B696" s="243"/>
      <c r="C696" s="243"/>
      <c r="D696" s="243"/>
      <c r="E696" s="15"/>
      <c r="F696" s="243"/>
      <c r="G696" s="243"/>
      <c r="H696" s="13"/>
      <c r="I696" s="13"/>
      <c r="J696" s="242"/>
      <c r="K696" s="242"/>
      <c r="L696" s="13"/>
      <c r="M696" s="242"/>
      <c r="N696" s="242"/>
      <c r="O696" s="242"/>
      <c r="P696" s="242"/>
      <c r="Q696" s="13"/>
      <c r="R696" s="13"/>
      <c r="S696" s="242"/>
      <c r="T696" s="443"/>
      <c r="U696" s="443"/>
      <c r="V696" s="242"/>
      <c r="W696" s="242"/>
      <c r="X696" s="242"/>
      <c r="Y696" s="242"/>
      <c r="Z696" s="242"/>
    </row>
    <row r="697">
      <c r="A697" s="242"/>
      <c r="B697" s="243"/>
      <c r="C697" s="243"/>
      <c r="D697" s="243"/>
      <c r="E697" s="15"/>
      <c r="F697" s="243"/>
      <c r="G697" s="243"/>
      <c r="H697" s="13"/>
      <c r="I697" s="13"/>
      <c r="J697" s="242"/>
      <c r="K697" s="242"/>
      <c r="L697" s="13"/>
      <c r="M697" s="242"/>
      <c r="N697" s="242"/>
      <c r="O697" s="242"/>
      <c r="P697" s="242"/>
      <c r="Q697" s="13"/>
      <c r="R697" s="13"/>
      <c r="S697" s="242"/>
      <c r="T697" s="443"/>
      <c r="U697" s="443"/>
      <c r="V697" s="242"/>
      <c r="W697" s="242"/>
      <c r="X697" s="242"/>
      <c r="Y697" s="242"/>
      <c r="Z697" s="242"/>
    </row>
    <row r="698">
      <c r="A698" s="242"/>
      <c r="B698" s="243"/>
      <c r="C698" s="243"/>
      <c r="D698" s="243"/>
      <c r="E698" s="15"/>
      <c r="F698" s="243"/>
      <c r="G698" s="243"/>
      <c r="H698" s="13"/>
      <c r="I698" s="13"/>
      <c r="J698" s="242"/>
      <c r="K698" s="242"/>
      <c r="L698" s="13"/>
      <c r="M698" s="242"/>
      <c r="N698" s="242"/>
      <c r="O698" s="242"/>
      <c r="P698" s="242"/>
      <c r="Q698" s="13"/>
      <c r="R698" s="13"/>
      <c r="S698" s="242"/>
      <c r="T698" s="443"/>
      <c r="U698" s="443"/>
      <c r="V698" s="242"/>
      <c r="W698" s="242"/>
      <c r="X698" s="242"/>
      <c r="Y698" s="242"/>
      <c r="Z698" s="242"/>
    </row>
    <row r="699">
      <c r="A699" s="242"/>
      <c r="B699" s="243"/>
      <c r="C699" s="243"/>
      <c r="D699" s="243"/>
      <c r="E699" s="15"/>
      <c r="F699" s="243"/>
      <c r="G699" s="243"/>
      <c r="H699" s="13"/>
      <c r="I699" s="13"/>
      <c r="J699" s="242"/>
      <c r="K699" s="242"/>
      <c r="L699" s="13"/>
      <c r="M699" s="242"/>
      <c r="N699" s="242"/>
      <c r="O699" s="242"/>
      <c r="P699" s="242"/>
      <c r="Q699" s="13"/>
      <c r="R699" s="13"/>
      <c r="S699" s="242"/>
      <c r="T699" s="443"/>
      <c r="U699" s="443"/>
      <c r="V699" s="242"/>
      <c r="W699" s="242"/>
      <c r="X699" s="242"/>
      <c r="Y699" s="242"/>
      <c r="Z699" s="242"/>
    </row>
    <row r="700">
      <c r="A700" s="242"/>
      <c r="B700" s="243"/>
      <c r="C700" s="243"/>
      <c r="D700" s="243"/>
      <c r="E700" s="15"/>
      <c r="F700" s="243"/>
      <c r="G700" s="243"/>
      <c r="H700" s="13"/>
      <c r="I700" s="13"/>
      <c r="J700" s="242"/>
      <c r="K700" s="242"/>
      <c r="L700" s="13"/>
      <c r="M700" s="242"/>
      <c r="N700" s="242"/>
      <c r="O700" s="242"/>
      <c r="P700" s="242"/>
      <c r="Q700" s="13"/>
      <c r="R700" s="13"/>
      <c r="S700" s="242"/>
      <c r="T700" s="443"/>
      <c r="U700" s="443"/>
      <c r="V700" s="242"/>
      <c r="W700" s="242"/>
      <c r="X700" s="242"/>
      <c r="Y700" s="242"/>
      <c r="Z700" s="242"/>
    </row>
    <row r="701">
      <c r="A701" s="242"/>
      <c r="B701" s="243"/>
      <c r="C701" s="243"/>
      <c r="D701" s="243"/>
      <c r="E701" s="15"/>
      <c r="F701" s="243"/>
      <c r="G701" s="243"/>
      <c r="H701" s="13"/>
      <c r="I701" s="13"/>
      <c r="J701" s="242"/>
      <c r="K701" s="242"/>
      <c r="L701" s="13"/>
      <c r="M701" s="242"/>
      <c r="N701" s="242"/>
      <c r="O701" s="242"/>
      <c r="P701" s="242"/>
      <c r="Q701" s="13"/>
      <c r="R701" s="13"/>
      <c r="S701" s="242"/>
      <c r="T701" s="443"/>
      <c r="U701" s="443"/>
      <c r="V701" s="242"/>
      <c r="W701" s="242"/>
      <c r="X701" s="242"/>
      <c r="Y701" s="242"/>
      <c r="Z701" s="242"/>
    </row>
    <row r="702">
      <c r="A702" s="242"/>
      <c r="B702" s="243"/>
      <c r="C702" s="243"/>
      <c r="D702" s="243"/>
      <c r="E702" s="15"/>
      <c r="F702" s="243"/>
      <c r="G702" s="243"/>
      <c r="H702" s="13"/>
      <c r="I702" s="13"/>
      <c r="J702" s="242"/>
      <c r="K702" s="242"/>
      <c r="L702" s="13"/>
      <c r="M702" s="242"/>
      <c r="N702" s="242"/>
      <c r="O702" s="242"/>
      <c r="P702" s="242"/>
      <c r="Q702" s="13"/>
      <c r="R702" s="13"/>
      <c r="S702" s="242"/>
      <c r="T702" s="443"/>
      <c r="U702" s="443"/>
      <c r="V702" s="242"/>
      <c r="W702" s="242"/>
      <c r="X702" s="242"/>
      <c r="Y702" s="242"/>
      <c r="Z702" s="242"/>
    </row>
    <row r="703">
      <c r="A703" s="242"/>
      <c r="B703" s="243"/>
      <c r="C703" s="243"/>
      <c r="D703" s="243"/>
      <c r="E703" s="15"/>
      <c r="F703" s="243"/>
      <c r="G703" s="243"/>
      <c r="H703" s="13"/>
      <c r="I703" s="13"/>
      <c r="J703" s="242"/>
      <c r="K703" s="242"/>
      <c r="L703" s="13"/>
      <c r="M703" s="242"/>
      <c r="N703" s="242"/>
      <c r="O703" s="242"/>
      <c r="P703" s="242"/>
      <c r="Q703" s="13"/>
      <c r="R703" s="13"/>
      <c r="S703" s="242"/>
      <c r="T703" s="443"/>
      <c r="U703" s="443"/>
      <c r="V703" s="242"/>
      <c r="W703" s="242"/>
      <c r="X703" s="242"/>
      <c r="Y703" s="242"/>
      <c r="Z703" s="242"/>
    </row>
    <row r="704">
      <c r="A704" s="242"/>
      <c r="B704" s="243"/>
      <c r="C704" s="243"/>
      <c r="D704" s="243"/>
      <c r="E704" s="15"/>
      <c r="F704" s="243"/>
      <c r="G704" s="243"/>
      <c r="H704" s="13"/>
      <c r="I704" s="13"/>
      <c r="J704" s="242"/>
      <c r="K704" s="242"/>
      <c r="L704" s="13"/>
      <c r="M704" s="242"/>
      <c r="N704" s="242"/>
      <c r="O704" s="242"/>
      <c r="P704" s="242"/>
      <c r="Q704" s="13"/>
      <c r="R704" s="13"/>
      <c r="S704" s="242"/>
      <c r="T704" s="443"/>
      <c r="U704" s="443"/>
      <c r="V704" s="242"/>
      <c r="W704" s="242"/>
      <c r="X704" s="242"/>
      <c r="Y704" s="242"/>
      <c r="Z704" s="242"/>
    </row>
    <row r="705">
      <c r="A705" s="242"/>
      <c r="B705" s="243"/>
      <c r="C705" s="243"/>
      <c r="D705" s="243"/>
      <c r="E705" s="15"/>
      <c r="F705" s="243"/>
      <c r="G705" s="243"/>
      <c r="H705" s="13"/>
      <c r="I705" s="13"/>
      <c r="J705" s="242"/>
      <c r="K705" s="242"/>
      <c r="L705" s="13"/>
      <c r="M705" s="242"/>
      <c r="N705" s="242"/>
      <c r="O705" s="242"/>
      <c r="P705" s="242"/>
      <c r="Q705" s="13"/>
      <c r="R705" s="13"/>
      <c r="S705" s="242"/>
      <c r="T705" s="443"/>
      <c r="U705" s="443"/>
      <c r="V705" s="242"/>
      <c r="W705" s="242"/>
      <c r="X705" s="242"/>
      <c r="Y705" s="242"/>
      <c r="Z705" s="242"/>
    </row>
    <row r="706">
      <c r="A706" s="242"/>
      <c r="B706" s="243"/>
      <c r="C706" s="243"/>
      <c r="D706" s="243"/>
      <c r="E706" s="15"/>
      <c r="F706" s="243"/>
      <c r="G706" s="243"/>
      <c r="H706" s="13"/>
      <c r="I706" s="13"/>
      <c r="J706" s="242"/>
      <c r="K706" s="242"/>
      <c r="L706" s="13"/>
      <c r="M706" s="242"/>
      <c r="N706" s="242"/>
      <c r="O706" s="242"/>
      <c r="P706" s="242"/>
      <c r="Q706" s="13"/>
      <c r="R706" s="13"/>
      <c r="S706" s="242"/>
      <c r="T706" s="443"/>
      <c r="U706" s="443"/>
      <c r="V706" s="242"/>
      <c r="W706" s="242"/>
      <c r="X706" s="242"/>
      <c r="Y706" s="242"/>
      <c r="Z706" s="242"/>
    </row>
    <row r="707">
      <c r="A707" s="242"/>
      <c r="B707" s="243"/>
      <c r="C707" s="243"/>
      <c r="D707" s="243"/>
      <c r="E707" s="15"/>
      <c r="F707" s="243"/>
      <c r="G707" s="243"/>
      <c r="H707" s="13"/>
      <c r="I707" s="13"/>
      <c r="J707" s="242"/>
      <c r="K707" s="242"/>
      <c r="L707" s="13"/>
      <c r="M707" s="242"/>
      <c r="N707" s="242"/>
      <c r="O707" s="242"/>
      <c r="P707" s="242"/>
      <c r="Q707" s="13"/>
      <c r="R707" s="13"/>
      <c r="S707" s="242"/>
      <c r="T707" s="443"/>
      <c r="U707" s="443"/>
      <c r="V707" s="242"/>
      <c r="W707" s="242"/>
      <c r="X707" s="242"/>
      <c r="Y707" s="242"/>
      <c r="Z707" s="242"/>
    </row>
    <row r="708">
      <c r="A708" s="242"/>
      <c r="B708" s="243"/>
      <c r="C708" s="243"/>
      <c r="D708" s="243"/>
      <c r="E708" s="15"/>
      <c r="F708" s="243"/>
      <c r="G708" s="243"/>
      <c r="H708" s="13"/>
      <c r="I708" s="13"/>
      <c r="J708" s="242"/>
      <c r="K708" s="242"/>
      <c r="L708" s="13"/>
      <c r="M708" s="242"/>
      <c r="N708" s="242"/>
      <c r="O708" s="242"/>
      <c r="P708" s="242"/>
      <c r="Q708" s="13"/>
      <c r="R708" s="13"/>
      <c r="S708" s="242"/>
      <c r="T708" s="443"/>
      <c r="U708" s="443"/>
      <c r="V708" s="242"/>
      <c r="W708" s="242"/>
      <c r="X708" s="242"/>
      <c r="Y708" s="242"/>
      <c r="Z708" s="242"/>
    </row>
    <row r="709">
      <c r="A709" s="242"/>
      <c r="B709" s="243"/>
      <c r="C709" s="243"/>
      <c r="D709" s="243"/>
      <c r="E709" s="15"/>
      <c r="F709" s="243"/>
      <c r="G709" s="243"/>
      <c r="H709" s="13"/>
      <c r="I709" s="13"/>
      <c r="J709" s="242"/>
      <c r="K709" s="242"/>
      <c r="L709" s="13"/>
      <c r="M709" s="242"/>
      <c r="N709" s="242"/>
      <c r="O709" s="242"/>
      <c r="P709" s="242"/>
      <c r="Q709" s="13"/>
      <c r="R709" s="13"/>
      <c r="S709" s="242"/>
      <c r="T709" s="443"/>
      <c r="U709" s="443"/>
      <c r="V709" s="242"/>
      <c r="W709" s="242"/>
      <c r="X709" s="242"/>
      <c r="Y709" s="242"/>
      <c r="Z709" s="242"/>
    </row>
    <row r="710">
      <c r="A710" s="242"/>
      <c r="B710" s="243"/>
      <c r="C710" s="243"/>
      <c r="D710" s="243"/>
      <c r="E710" s="15"/>
      <c r="F710" s="243"/>
      <c r="G710" s="243"/>
      <c r="H710" s="13"/>
      <c r="I710" s="13"/>
      <c r="J710" s="242"/>
      <c r="K710" s="242"/>
      <c r="L710" s="13"/>
      <c r="M710" s="242"/>
      <c r="N710" s="242"/>
      <c r="O710" s="242"/>
      <c r="P710" s="242"/>
      <c r="Q710" s="13"/>
      <c r="R710" s="13"/>
      <c r="S710" s="242"/>
      <c r="T710" s="443"/>
      <c r="U710" s="443"/>
      <c r="V710" s="242"/>
      <c r="W710" s="242"/>
      <c r="X710" s="242"/>
      <c r="Y710" s="242"/>
      <c r="Z710" s="242"/>
    </row>
    <row r="711">
      <c r="A711" s="242"/>
      <c r="B711" s="243"/>
      <c r="C711" s="243"/>
      <c r="D711" s="243"/>
      <c r="E711" s="15"/>
      <c r="F711" s="243"/>
      <c r="G711" s="243"/>
      <c r="H711" s="13"/>
      <c r="I711" s="13"/>
      <c r="J711" s="242"/>
      <c r="K711" s="242"/>
      <c r="L711" s="13"/>
      <c r="M711" s="242"/>
      <c r="N711" s="242"/>
      <c r="O711" s="242"/>
      <c r="P711" s="242"/>
      <c r="Q711" s="13"/>
      <c r="R711" s="13"/>
      <c r="S711" s="242"/>
      <c r="T711" s="443"/>
      <c r="U711" s="443"/>
      <c r="V711" s="242"/>
      <c r="W711" s="242"/>
      <c r="X711" s="242"/>
      <c r="Y711" s="242"/>
      <c r="Z711" s="242"/>
    </row>
    <row r="712">
      <c r="A712" s="242"/>
      <c r="B712" s="243"/>
      <c r="C712" s="243"/>
      <c r="D712" s="243"/>
      <c r="E712" s="15"/>
      <c r="F712" s="243"/>
      <c r="G712" s="243"/>
      <c r="H712" s="13"/>
      <c r="I712" s="13"/>
      <c r="J712" s="242"/>
      <c r="K712" s="242"/>
      <c r="L712" s="13"/>
      <c r="M712" s="242"/>
      <c r="N712" s="242"/>
      <c r="O712" s="242"/>
      <c r="P712" s="242"/>
      <c r="Q712" s="13"/>
      <c r="R712" s="13"/>
      <c r="S712" s="242"/>
      <c r="T712" s="443"/>
      <c r="U712" s="443"/>
      <c r="V712" s="242"/>
      <c r="W712" s="242"/>
      <c r="X712" s="242"/>
      <c r="Y712" s="242"/>
      <c r="Z712" s="242"/>
    </row>
    <row r="713">
      <c r="A713" s="242"/>
      <c r="B713" s="243"/>
      <c r="C713" s="243"/>
      <c r="D713" s="243"/>
      <c r="E713" s="15"/>
      <c r="F713" s="243"/>
      <c r="G713" s="243"/>
      <c r="H713" s="13"/>
      <c r="I713" s="13"/>
      <c r="J713" s="242"/>
      <c r="K713" s="242"/>
      <c r="L713" s="13"/>
      <c r="M713" s="242"/>
      <c r="N713" s="242"/>
      <c r="O713" s="242"/>
      <c r="P713" s="242"/>
      <c r="Q713" s="13"/>
      <c r="R713" s="13"/>
      <c r="S713" s="242"/>
      <c r="T713" s="443"/>
      <c r="U713" s="443"/>
      <c r="V713" s="242"/>
      <c r="W713" s="242"/>
      <c r="X713" s="242"/>
      <c r="Y713" s="242"/>
      <c r="Z713" s="242"/>
    </row>
    <row r="714">
      <c r="A714" s="242"/>
      <c r="B714" s="243"/>
      <c r="C714" s="243"/>
      <c r="D714" s="243"/>
      <c r="E714" s="15"/>
      <c r="F714" s="243"/>
      <c r="G714" s="243"/>
      <c r="H714" s="13"/>
      <c r="I714" s="13"/>
      <c r="J714" s="242"/>
      <c r="K714" s="242"/>
      <c r="L714" s="13"/>
      <c r="M714" s="242"/>
      <c r="N714" s="242"/>
      <c r="O714" s="242"/>
      <c r="P714" s="242"/>
      <c r="Q714" s="13"/>
      <c r="R714" s="13"/>
      <c r="S714" s="242"/>
      <c r="T714" s="443"/>
      <c r="U714" s="443"/>
      <c r="V714" s="242"/>
      <c r="W714" s="242"/>
      <c r="X714" s="242"/>
      <c r="Y714" s="242"/>
      <c r="Z714" s="242"/>
    </row>
    <row r="715">
      <c r="A715" s="242"/>
      <c r="B715" s="243"/>
      <c r="C715" s="243"/>
      <c r="D715" s="243"/>
      <c r="E715" s="15"/>
      <c r="F715" s="243"/>
      <c r="G715" s="243"/>
      <c r="H715" s="13"/>
      <c r="I715" s="13"/>
      <c r="J715" s="242"/>
      <c r="K715" s="242"/>
      <c r="L715" s="13"/>
      <c r="M715" s="242"/>
      <c r="N715" s="242"/>
      <c r="O715" s="242"/>
      <c r="P715" s="242"/>
      <c r="Q715" s="13"/>
      <c r="R715" s="13"/>
      <c r="S715" s="242"/>
      <c r="T715" s="443"/>
      <c r="U715" s="443"/>
      <c r="V715" s="242"/>
      <c r="W715" s="242"/>
      <c r="X715" s="242"/>
      <c r="Y715" s="242"/>
      <c r="Z715" s="242"/>
    </row>
    <row r="716">
      <c r="A716" s="242"/>
      <c r="B716" s="243"/>
      <c r="C716" s="243"/>
      <c r="D716" s="243"/>
      <c r="E716" s="15"/>
      <c r="F716" s="243"/>
      <c r="G716" s="243"/>
      <c r="H716" s="13"/>
      <c r="I716" s="13"/>
      <c r="J716" s="242"/>
      <c r="K716" s="242"/>
      <c r="L716" s="13"/>
      <c r="M716" s="242"/>
      <c r="N716" s="242"/>
      <c r="O716" s="242"/>
      <c r="P716" s="242"/>
      <c r="Q716" s="13"/>
      <c r="R716" s="13"/>
      <c r="S716" s="242"/>
      <c r="T716" s="443"/>
      <c r="U716" s="443"/>
      <c r="V716" s="242"/>
      <c r="W716" s="242"/>
      <c r="X716" s="242"/>
      <c r="Y716" s="242"/>
      <c r="Z716" s="242"/>
    </row>
    <row r="717">
      <c r="A717" s="242"/>
      <c r="B717" s="243"/>
      <c r="C717" s="243"/>
      <c r="D717" s="243"/>
      <c r="E717" s="15"/>
      <c r="F717" s="243"/>
      <c r="G717" s="243"/>
      <c r="H717" s="13"/>
      <c r="I717" s="13"/>
      <c r="J717" s="242"/>
      <c r="K717" s="242"/>
      <c r="L717" s="13"/>
      <c r="M717" s="242"/>
      <c r="N717" s="242"/>
      <c r="O717" s="242"/>
      <c r="P717" s="242"/>
      <c r="Q717" s="13"/>
      <c r="R717" s="13"/>
      <c r="S717" s="242"/>
      <c r="T717" s="443"/>
      <c r="U717" s="443"/>
      <c r="V717" s="242"/>
      <c r="W717" s="242"/>
      <c r="X717" s="242"/>
      <c r="Y717" s="242"/>
      <c r="Z717" s="242"/>
    </row>
    <row r="718">
      <c r="A718" s="242"/>
      <c r="B718" s="243"/>
      <c r="C718" s="243"/>
      <c r="D718" s="243"/>
      <c r="E718" s="15"/>
      <c r="F718" s="243"/>
      <c r="G718" s="243"/>
      <c r="H718" s="13"/>
      <c r="I718" s="13"/>
      <c r="J718" s="242"/>
      <c r="K718" s="242"/>
      <c r="L718" s="13"/>
      <c r="M718" s="242"/>
      <c r="N718" s="242"/>
      <c r="O718" s="242"/>
      <c r="P718" s="242"/>
      <c r="Q718" s="13"/>
      <c r="R718" s="13"/>
      <c r="S718" s="242"/>
      <c r="T718" s="443"/>
      <c r="U718" s="443"/>
      <c r="V718" s="242"/>
      <c r="W718" s="242"/>
      <c r="X718" s="242"/>
      <c r="Y718" s="242"/>
      <c r="Z718" s="242"/>
    </row>
    <row r="719">
      <c r="A719" s="242"/>
      <c r="B719" s="243"/>
      <c r="C719" s="243"/>
      <c r="D719" s="243"/>
      <c r="E719" s="15"/>
      <c r="F719" s="243"/>
      <c r="G719" s="243"/>
      <c r="H719" s="13"/>
      <c r="I719" s="13"/>
      <c r="J719" s="242"/>
      <c r="K719" s="242"/>
      <c r="L719" s="13"/>
      <c r="M719" s="242"/>
      <c r="N719" s="242"/>
      <c r="O719" s="242"/>
      <c r="P719" s="242"/>
      <c r="Q719" s="13"/>
      <c r="R719" s="13"/>
      <c r="S719" s="242"/>
      <c r="T719" s="443"/>
      <c r="U719" s="443"/>
      <c r="V719" s="242"/>
      <c r="W719" s="242"/>
      <c r="X719" s="242"/>
      <c r="Y719" s="242"/>
      <c r="Z719" s="242"/>
    </row>
    <row r="720">
      <c r="A720" s="242"/>
      <c r="B720" s="243"/>
      <c r="C720" s="243"/>
      <c r="D720" s="243"/>
      <c r="E720" s="15"/>
      <c r="F720" s="243"/>
      <c r="G720" s="243"/>
      <c r="H720" s="13"/>
      <c r="I720" s="13"/>
      <c r="J720" s="242"/>
      <c r="K720" s="242"/>
      <c r="L720" s="13"/>
      <c r="M720" s="242"/>
      <c r="N720" s="242"/>
      <c r="O720" s="242"/>
      <c r="P720" s="242"/>
      <c r="Q720" s="13"/>
      <c r="R720" s="13"/>
      <c r="S720" s="242"/>
      <c r="T720" s="443"/>
      <c r="U720" s="443"/>
      <c r="V720" s="242"/>
      <c r="W720" s="242"/>
      <c r="X720" s="242"/>
      <c r="Y720" s="242"/>
      <c r="Z720" s="242"/>
    </row>
    <row r="721">
      <c r="A721" s="242"/>
      <c r="B721" s="243"/>
      <c r="C721" s="243"/>
      <c r="D721" s="243"/>
      <c r="E721" s="15"/>
      <c r="F721" s="243"/>
      <c r="G721" s="243"/>
      <c r="H721" s="13"/>
      <c r="I721" s="13"/>
      <c r="J721" s="242"/>
      <c r="K721" s="242"/>
      <c r="L721" s="13"/>
      <c r="M721" s="242"/>
      <c r="N721" s="242"/>
      <c r="O721" s="242"/>
      <c r="P721" s="242"/>
      <c r="Q721" s="13"/>
      <c r="R721" s="13"/>
      <c r="S721" s="242"/>
      <c r="T721" s="443"/>
      <c r="U721" s="443"/>
      <c r="V721" s="242"/>
      <c r="W721" s="242"/>
      <c r="X721" s="242"/>
      <c r="Y721" s="242"/>
      <c r="Z721" s="242"/>
    </row>
    <row r="722">
      <c r="A722" s="242"/>
      <c r="B722" s="243"/>
      <c r="C722" s="243"/>
      <c r="D722" s="243"/>
      <c r="E722" s="15"/>
      <c r="F722" s="243"/>
      <c r="G722" s="243"/>
      <c r="H722" s="13"/>
      <c r="I722" s="13"/>
      <c r="J722" s="242"/>
      <c r="K722" s="242"/>
      <c r="L722" s="13"/>
      <c r="M722" s="242"/>
      <c r="N722" s="242"/>
      <c r="O722" s="242"/>
      <c r="P722" s="242"/>
      <c r="Q722" s="13"/>
      <c r="R722" s="13"/>
      <c r="S722" s="242"/>
      <c r="T722" s="443"/>
      <c r="U722" s="443"/>
      <c r="V722" s="242"/>
      <c r="W722" s="242"/>
      <c r="X722" s="242"/>
      <c r="Y722" s="242"/>
      <c r="Z722" s="242"/>
    </row>
    <row r="723">
      <c r="A723" s="242"/>
      <c r="B723" s="243"/>
      <c r="C723" s="243"/>
      <c r="D723" s="243"/>
      <c r="E723" s="15"/>
      <c r="F723" s="243"/>
      <c r="G723" s="243"/>
      <c r="H723" s="13"/>
      <c r="I723" s="13"/>
      <c r="J723" s="242"/>
      <c r="K723" s="242"/>
      <c r="L723" s="13"/>
      <c r="M723" s="242"/>
      <c r="N723" s="242"/>
      <c r="O723" s="242"/>
      <c r="P723" s="242"/>
      <c r="Q723" s="13"/>
      <c r="R723" s="13"/>
      <c r="S723" s="242"/>
      <c r="T723" s="443"/>
      <c r="U723" s="443"/>
      <c r="V723" s="242"/>
      <c r="W723" s="242"/>
      <c r="X723" s="242"/>
      <c r="Y723" s="242"/>
      <c r="Z723" s="242"/>
    </row>
    <row r="724">
      <c r="A724" s="242"/>
      <c r="B724" s="243"/>
      <c r="C724" s="243"/>
      <c r="D724" s="243"/>
      <c r="E724" s="15"/>
      <c r="F724" s="243"/>
      <c r="G724" s="243"/>
      <c r="H724" s="13"/>
      <c r="I724" s="13"/>
      <c r="J724" s="242"/>
      <c r="K724" s="242"/>
      <c r="L724" s="13"/>
      <c r="M724" s="242"/>
      <c r="N724" s="242"/>
      <c r="O724" s="242"/>
      <c r="P724" s="242"/>
      <c r="Q724" s="13"/>
      <c r="R724" s="13"/>
      <c r="S724" s="242"/>
      <c r="T724" s="443"/>
      <c r="U724" s="443"/>
      <c r="V724" s="242"/>
      <c r="W724" s="242"/>
      <c r="X724" s="242"/>
      <c r="Y724" s="242"/>
      <c r="Z724" s="242"/>
    </row>
    <row r="725">
      <c r="A725" s="242"/>
      <c r="B725" s="243"/>
      <c r="C725" s="243"/>
      <c r="D725" s="243"/>
      <c r="E725" s="15"/>
      <c r="F725" s="243"/>
      <c r="G725" s="243"/>
      <c r="H725" s="13"/>
      <c r="I725" s="13"/>
      <c r="J725" s="242"/>
      <c r="K725" s="242"/>
      <c r="L725" s="13"/>
      <c r="M725" s="242"/>
      <c r="N725" s="242"/>
      <c r="O725" s="242"/>
      <c r="P725" s="242"/>
      <c r="Q725" s="13"/>
      <c r="R725" s="13"/>
      <c r="S725" s="242"/>
      <c r="T725" s="443"/>
      <c r="U725" s="443"/>
      <c r="V725" s="242"/>
      <c r="W725" s="242"/>
      <c r="X725" s="242"/>
      <c r="Y725" s="242"/>
      <c r="Z725" s="242"/>
    </row>
    <row r="726">
      <c r="A726" s="242"/>
      <c r="B726" s="243"/>
      <c r="C726" s="243"/>
      <c r="D726" s="243"/>
      <c r="E726" s="15"/>
      <c r="F726" s="243"/>
      <c r="G726" s="243"/>
      <c r="H726" s="13"/>
      <c r="I726" s="13"/>
      <c r="J726" s="242"/>
      <c r="K726" s="242"/>
      <c r="L726" s="13"/>
      <c r="M726" s="242"/>
      <c r="N726" s="242"/>
      <c r="O726" s="242"/>
      <c r="P726" s="242"/>
      <c r="Q726" s="13"/>
      <c r="R726" s="13"/>
      <c r="S726" s="242"/>
      <c r="T726" s="443"/>
      <c r="U726" s="443"/>
      <c r="V726" s="242"/>
      <c r="W726" s="242"/>
      <c r="X726" s="242"/>
      <c r="Y726" s="242"/>
      <c r="Z726" s="242"/>
    </row>
    <row r="727">
      <c r="A727" s="242"/>
      <c r="B727" s="243"/>
      <c r="C727" s="243"/>
      <c r="D727" s="243"/>
      <c r="E727" s="15"/>
      <c r="F727" s="243"/>
      <c r="G727" s="243"/>
      <c r="H727" s="13"/>
      <c r="I727" s="13"/>
      <c r="J727" s="242"/>
      <c r="K727" s="242"/>
      <c r="L727" s="13"/>
      <c r="M727" s="242"/>
      <c r="N727" s="242"/>
      <c r="O727" s="242"/>
      <c r="P727" s="242"/>
      <c r="Q727" s="13"/>
      <c r="R727" s="13"/>
      <c r="S727" s="242"/>
      <c r="T727" s="443"/>
      <c r="U727" s="443"/>
      <c r="V727" s="242"/>
      <c r="W727" s="242"/>
      <c r="X727" s="242"/>
      <c r="Y727" s="242"/>
      <c r="Z727" s="242"/>
    </row>
    <row r="728">
      <c r="A728" s="242"/>
      <c r="B728" s="243"/>
      <c r="C728" s="243"/>
      <c r="D728" s="243"/>
      <c r="E728" s="15"/>
      <c r="F728" s="243"/>
      <c r="G728" s="243"/>
      <c r="H728" s="13"/>
      <c r="I728" s="13"/>
      <c r="J728" s="242"/>
      <c r="K728" s="242"/>
      <c r="L728" s="13"/>
      <c r="M728" s="242"/>
      <c r="N728" s="242"/>
      <c r="O728" s="242"/>
      <c r="P728" s="242"/>
      <c r="Q728" s="13"/>
      <c r="R728" s="13"/>
      <c r="S728" s="242"/>
      <c r="T728" s="443"/>
      <c r="U728" s="443"/>
      <c r="V728" s="242"/>
      <c r="W728" s="242"/>
      <c r="X728" s="242"/>
      <c r="Y728" s="242"/>
      <c r="Z728" s="242"/>
    </row>
    <row r="729">
      <c r="A729" s="242"/>
      <c r="B729" s="243"/>
      <c r="C729" s="243"/>
      <c r="D729" s="243"/>
      <c r="E729" s="15"/>
      <c r="F729" s="243"/>
      <c r="G729" s="243"/>
      <c r="H729" s="13"/>
      <c r="I729" s="13"/>
      <c r="J729" s="242"/>
      <c r="K729" s="242"/>
      <c r="L729" s="13"/>
      <c r="M729" s="242"/>
      <c r="N729" s="242"/>
      <c r="O729" s="242"/>
      <c r="P729" s="242"/>
      <c r="Q729" s="13"/>
      <c r="R729" s="13"/>
      <c r="S729" s="242"/>
      <c r="T729" s="443"/>
      <c r="U729" s="443"/>
      <c r="V729" s="242"/>
      <c r="W729" s="242"/>
      <c r="X729" s="242"/>
      <c r="Y729" s="242"/>
      <c r="Z729" s="242"/>
    </row>
    <row r="730">
      <c r="A730" s="242"/>
      <c r="B730" s="243"/>
      <c r="C730" s="243"/>
      <c r="D730" s="243"/>
      <c r="E730" s="15"/>
      <c r="F730" s="243"/>
      <c r="G730" s="243"/>
      <c r="H730" s="13"/>
      <c r="I730" s="13"/>
      <c r="J730" s="242"/>
      <c r="K730" s="242"/>
      <c r="L730" s="13"/>
      <c r="M730" s="242"/>
      <c r="N730" s="242"/>
      <c r="O730" s="242"/>
      <c r="P730" s="242"/>
      <c r="Q730" s="13"/>
      <c r="R730" s="13"/>
      <c r="S730" s="242"/>
      <c r="T730" s="443"/>
      <c r="U730" s="443"/>
      <c r="V730" s="242"/>
      <c r="W730" s="242"/>
      <c r="X730" s="242"/>
      <c r="Y730" s="242"/>
      <c r="Z730" s="242"/>
    </row>
    <row r="731">
      <c r="A731" s="242"/>
      <c r="B731" s="243"/>
      <c r="C731" s="243"/>
      <c r="D731" s="243"/>
      <c r="E731" s="15"/>
      <c r="F731" s="243"/>
      <c r="G731" s="243"/>
      <c r="H731" s="13"/>
      <c r="I731" s="13"/>
      <c r="J731" s="242"/>
      <c r="K731" s="242"/>
      <c r="L731" s="13"/>
      <c r="M731" s="242"/>
      <c r="N731" s="242"/>
      <c r="O731" s="242"/>
      <c r="P731" s="242"/>
      <c r="Q731" s="13"/>
      <c r="R731" s="13"/>
      <c r="S731" s="242"/>
      <c r="T731" s="443"/>
      <c r="U731" s="443"/>
      <c r="V731" s="242"/>
      <c r="W731" s="242"/>
      <c r="X731" s="242"/>
      <c r="Y731" s="242"/>
      <c r="Z731" s="242"/>
    </row>
    <row r="732">
      <c r="A732" s="242"/>
      <c r="B732" s="243"/>
      <c r="C732" s="243"/>
      <c r="D732" s="243"/>
      <c r="E732" s="15"/>
      <c r="F732" s="243"/>
      <c r="G732" s="243"/>
      <c r="H732" s="13"/>
      <c r="I732" s="13"/>
      <c r="J732" s="242"/>
      <c r="K732" s="242"/>
      <c r="L732" s="13"/>
      <c r="M732" s="242"/>
      <c r="N732" s="242"/>
      <c r="O732" s="242"/>
      <c r="P732" s="242"/>
      <c r="Q732" s="13"/>
      <c r="R732" s="13"/>
      <c r="S732" s="242"/>
      <c r="T732" s="443"/>
      <c r="U732" s="443"/>
      <c r="V732" s="242"/>
      <c r="W732" s="242"/>
      <c r="X732" s="242"/>
      <c r="Y732" s="242"/>
      <c r="Z732" s="242"/>
    </row>
    <row r="733">
      <c r="A733" s="242"/>
      <c r="B733" s="243"/>
      <c r="C733" s="243"/>
      <c r="D733" s="243"/>
      <c r="E733" s="15"/>
      <c r="F733" s="243"/>
      <c r="G733" s="243"/>
      <c r="H733" s="13"/>
      <c r="I733" s="13"/>
      <c r="J733" s="242"/>
      <c r="K733" s="242"/>
      <c r="L733" s="13"/>
      <c r="M733" s="242"/>
      <c r="N733" s="242"/>
      <c r="O733" s="242"/>
      <c r="P733" s="242"/>
      <c r="Q733" s="13"/>
      <c r="R733" s="13"/>
      <c r="S733" s="242"/>
      <c r="T733" s="443"/>
      <c r="U733" s="443"/>
      <c r="V733" s="242"/>
      <c r="W733" s="242"/>
      <c r="X733" s="242"/>
      <c r="Y733" s="242"/>
      <c r="Z733" s="242"/>
    </row>
    <row r="734">
      <c r="A734" s="242"/>
      <c r="B734" s="243"/>
      <c r="C734" s="243"/>
      <c r="D734" s="243"/>
      <c r="E734" s="15"/>
      <c r="F734" s="243"/>
      <c r="G734" s="243"/>
      <c r="H734" s="13"/>
      <c r="I734" s="13"/>
      <c r="J734" s="242"/>
      <c r="K734" s="242"/>
      <c r="L734" s="13"/>
      <c r="M734" s="242"/>
      <c r="N734" s="242"/>
      <c r="O734" s="242"/>
      <c r="P734" s="242"/>
      <c r="Q734" s="13"/>
      <c r="R734" s="13"/>
      <c r="S734" s="242"/>
      <c r="T734" s="443"/>
      <c r="U734" s="443"/>
      <c r="V734" s="242"/>
      <c r="W734" s="242"/>
      <c r="X734" s="242"/>
      <c r="Y734" s="242"/>
      <c r="Z734" s="242"/>
    </row>
    <row r="735">
      <c r="A735" s="242"/>
      <c r="B735" s="243"/>
      <c r="C735" s="243"/>
      <c r="D735" s="243"/>
      <c r="E735" s="15"/>
      <c r="F735" s="243"/>
      <c r="G735" s="243"/>
      <c r="H735" s="13"/>
      <c r="I735" s="13"/>
      <c r="J735" s="242"/>
      <c r="K735" s="242"/>
      <c r="L735" s="13"/>
      <c r="M735" s="242"/>
      <c r="N735" s="242"/>
      <c r="O735" s="242"/>
      <c r="P735" s="242"/>
      <c r="Q735" s="13"/>
      <c r="R735" s="13"/>
      <c r="S735" s="242"/>
      <c r="T735" s="443"/>
      <c r="U735" s="443"/>
      <c r="V735" s="242"/>
      <c r="W735" s="242"/>
      <c r="X735" s="242"/>
      <c r="Y735" s="242"/>
      <c r="Z735" s="242"/>
    </row>
    <row r="736">
      <c r="A736" s="242"/>
      <c r="B736" s="243"/>
      <c r="C736" s="243"/>
      <c r="D736" s="243"/>
      <c r="E736" s="15"/>
      <c r="F736" s="243"/>
      <c r="G736" s="243"/>
      <c r="H736" s="13"/>
      <c r="I736" s="13"/>
      <c r="J736" s="242"/>
      <c r="K736" s="242"/>
      <c r="L736" s="13"/>
      <c r="M736" s="242"/>
      <c r="N736" s="242"/>
      <c r="O736" s="242"/>
      <c r="P736" s="242"/>
      <c r="Q736" s="13"/>
      <c r="R736" s="13"/>
      <c r="S736" s="242"/>
      <c r="T736" s="443"/>
      <c r="U736" s="443"/>
      <c r="V736" s="242"/>
      <c r="W736" s="242"/>
      <c r="X736" s="242"/>
      <c r="Y736" s="242"/>
      <c r="Z736" s="242"/>
    </row>
    <row r="737">
      <c r="A737" s="242"/>
      <c r="B737" s="243"/>
      <c r="C737" s="243"/>
      <c r="D737" s="243"/>
      <c r="E737" s="15"/>
      <c r="F737" s="243"/>
      <c r="G737" s="243"/>
      <c r="H737" s="13"/>
      <c r="I737" s="13"/>
      <c r="J737" s="242"/>
      <c r="K737" s="242"/>
      <c r="L737" s="13"/>
      <c r="M737" s="242"/>
      <c r="N737" s="242"/>
      <c r="O737" s="242"/>
      <c r="P737" s="242"/>
      <c r="Q737" s="13"/>
      <c r="R737" s="13"/>
      <c r="S737" s="242"/>
      <c r="T737" s="443"/>
      <c r="U737" s="443"/>
      <c r="V737" s="242"/>
      <c r="W737" s="242"/>
      <c r="X737" s="242"/>
      <c r="Y737" s="242"/>
      <c r="Z737" s="242"/>
    </row>
    <row r="738">
      <c r="A738" s="242"/>
      <c r="B738" s="243"/>
      <c r="C738" s="243"/>
      <c r="D738" s="243"/>
      <c r="E738" s="15"/>
      <c r="F738" s="243"/>
      <c r="G738" s="243"/>
      <c r="H738" s="13"/>
      <c r="I738" s="13"/>
      <c r="J738" s="242"/>
      <c r="K738" s="242"/>
      <c r="L738" s="13"/>
      <c r="M738" s="242"/>
      <c r="N738" s="242"/>
      <c r="O738" s="242"/>
      <c r="P738" s="242"/>
      <c r="Q738" s="13"/>
      <c r="R738" s="13"/>
      <c r="S738" s="242"/>
      <c r="T738" s="443"/>
      <c r="U738" s="443"/>
      <c r="V738" s="242"/>
      <c r="W738" s="242"/>
      <c r="X738" s="242"/>
      <c r="Y738" s="242"/>
      <c r="Z738" s="242"/>
    </row>
    <row r="739">
      <c r="A739" s="242"/>
      <c r="B739" s="243"/>
      <c r="C739" s="243"/>
      <c r="D739" s="243"/>
      <c r="E739" s="15"/>
      <c r="F739" s="243"/>
      <c r="G739" s="243"/>
      <c r="H739" s="13"/>
      <c r="I739" s="13"/>
      <c r="J739" s="242"/>
      <c r="K739" s="242"/>
      <c r="L739" s="13"/>
      <c r="M739" s="242"/>
      <c r="N739" s="242"/>
      <c r="O739" s="242"/>
      <c r="P739" s="242"/>
      <c r="Q739" s="13"/>
      <c r="R739" s="13"/>
      <c r="S739" s="242"/>
      <c r="T739" s="443"/>
      <c r="U739" s="443"/>
      <c r="V739" s="242"/>
      <c r="W739" s="242"/>
      <c r="X739" s="242"/>
      <c r="Y739" s="242"/>
      <c r="Z739" s="242"/>
    </row>
    <row r="740">
      <c r="A740" s="242"/>
      <c r="B740" s="243"/>
      <c r="C740" s="243"/>
      <c r="D740" s="243"/>
      <c r="E740" s="15"/>
      <c r="F740" s="243"/>
      <c r="G740" s="243"/>
      <c r="H740" s="13"/>
      <c r="I740" s="13"/>
      <c r="J740" s="242"/>
      <c r="K740" s="242"/>
      <c r="L740" s="13"/>
      <c r="M740" s="242"/>
      <c r="N740" s="242"/>
      <c r="O740" s="242"/>
      <c r="P740" s="242"/>
      <c r="Q740" s="13"/>
      <c r="R740" s="13"/>
      <c r="S740" s="242"/>
      <c r="T740" s="443"/>
      <c r="U740" s="443"/>
      <c r="V740" s="242"/>
      <c r="W740" s="242"/>
      <c r="X740" s="242"/>
      <c r="Y740" s="242"/>
      <c r="Z740" s="242"/>
    </row>
    <row r="741">
      <c r="A741" s="242"/>
      <c r="B741" s="243"/>
      <c r="C741" s="243"/>
      <c r="D741" s="243"/>
      <c r="E741" s="15"/>
      <c r="F741" s="243"/>
      <c r="G741" s="243"/>
      <c r="H741" s="13"/>
      <c r="I741" s="13"/>
      <c r="J741" s="242"/>
      <c r="K741" s="242"/>
      <c r="L741" s="13"/>
      <c r="M741" s="242"/>
      <c r="N741" s="242"/>
      <c r="O741" s="242"/>
      <c r="P741" s="242"/>
      <c r="Q741" s="13"/>
      <c r="R741" s="13"/>
      <c r="S741" s="242"/>
      <c r="T741" s="443"/>
      <c r="U741" s="443"/>
      <c r="V741" s="242"/>
      <c r="W741" s="242"/>
      <c r="X741" s="242"/>
      <c r="Y741" s="242"/>
      <c r="Z741" s="242"/>
    </row>
    <row r="742">
      <c r="A742" s="242"/>
      <c r="B742" s="243"/>
      <c r="C742" s="243"/>
      <c r="D742" s="243"/>
      <c r="E742" s="15"/>
      <c r="F742" s="243"/>
      <c r="G742" s="243"/>
      <c r="H742" s="13"/>
      <c r="I742" s="13"/>
      <c r="J742" s="242"/>
      <c r="K742" s="242"/>
      <c r="L742" s="13"/>
      <c r="M742" s="242"/>
      <c r="N742" s="242"/>
      <c r="O742" s="242"/>
      <c r="P742" s="242"/>
      <c r="Q742" s="13"/>
      <c r="R742" s="13"/>
      <c r="S742" s="242"/>
      <c r="T742" s="443"/>
      <c r="U742" s="443"/>
      <c r="V742" s="242"/>
      <c r="W742" s="242"/>
      <c r="X742" s="242"/>
      <c r="Y742" s="242"/>
      <c r="Z742" s="242"/>
    </row>
    <row r="743">
      <c r="A743" s="242"/>
      <c r="B743" s="243"/>
      <c r="C743" s="243"/>
      <c r="D743" s="243"/>
      <c r="E743" s="15"/>
      <c r="F743" s="243"/>
      <c r="G743" s="243"/>
      <c r="H743" s="13"/>
      <c r="I743" s="13"/>
      <c r="J743" s="242"/>
      <c r="K743" s="242"/>
      <c r="L743" s="13"/>
      <c r="M743" s="242"/>
      <c r="N743" s="242"/>
      <c r="O743" s="242"/>
      <c r="P743" s="242"/>
      <c r="Q743" s="13"/>
      <c r="R743" s="13"/>
      <c r="S743" s="242"/>
      <c r="T743" s="443"/>
      <c r="U743" s="443"/>
      <c r="V743" s="242"/>
      <c r="W743" s="242"/>
      <c r="X743" s="242"/>
      <c r="Y743" s="242"/>
      <c r="Z743" s="242"/>
    </row>
    <row r="744">
      <c r="A744" s="242"/>
      <c r="B744" s="243"/>
      <c r="C744" s="243"/>
      <c r="D744" s="243"/>
      <c r="E744" s="15"/>
      <c r="F744" s="243"/>
      <c r="G744" s="243"/>
      <c r="H744" s="13"/>
      <c r="I744" s="13"/>
      <c r="J744" s="242"/>
      <c r="K744" s="242"/>
      <c r="L744" s="13"/>
      <c r="M744" s="242"/>
      <c r="N744" s="242"/>
      <c r="O744" s="242"/>
      <c r="P744" s="242"/>
      <c r="Q744" s="13"/>
      <c r="R744" s="13"/>
      <c r="S744" s="242"/>
      <c r="T744" s="443"/>
      <c r="U744" s="443"/>
      <c r="V744" s="242"/>
      <c r="W744" s="242"/>
      <c r="X744" s="242"/>
      <c r="Y744" s="242"/>
      <c r="Z744" s="242"/>
    </row>
    <row r="745">
      <c r="A745" s="242"/>
      <c r="B745" s="243"/>
      <c r="C745" s="243"/>
      <c r="D745" s="243"/>
      <c r="E745" s="15"/>
      <c r="F745" s="243"/>
      <c r="G745" s="243"/>
      <c r="H745" s="13"/>
      <c r="I745" s="13"/>
      <c r="J745" s="242"/>
      <c r="K745" s="242"/>
      <c r="L745" s="13"/>
      <c r="M745" s="242"/>
      <c r="N745" s="242"/>
      <c r="O745" s="242"/>
      <c r="P745" s="242"/>
      <c r="Q745" s="13"/>
      <c r="R745" s="13"/>
      <c r="S745" s="242"/>
      <c r="T745" s="443"/>
      <c r="U745" s="443"/>
      <c r="V745" s="242"/>
      <c r="W745" s="242"/>
      <c r="X745" s="242"/>
      <c r="Y745" s="242"/>
      <c r="Z745" s="242"/>
    </row>
    <row r="746">
      <c r="A746" s="242"/>
      <c r="B746" s="243"/>
      <c r="C746" s="243"/>
      <c r="D746" s="243"/>
      <c r="E746" s="15"/>
      <c r="F746" s="243"/>
      <c r="G746" s="243"/>
      <c r="H746" s="13"/>
      <c r="I746" s="13"/>
      <c r="J746" s="242"/>
      <c r="K746" s="242"/>
      <c r="L746" s="13"/>
      <c r="M746" s="242"/>
      <c r="N746" s="242"/>
      <c r="O746" s="242"/>
      <c r="P746" s="242"/>
      <c r="Q746" s="13"/>
      <c r="R746" s="13"/>
      <c r="S746" s="242"/>
      <c r="T746" s="443"/>
      <c r="U746" s="443"/>
      <c r="V746" s="242"/>
      <c r="W746" s="242"/>
      <c r="X746" s="242"/>
      <c r="Y746" s="242"/>
      <c r="Z746" s="242"/>
    </row>
    <row r="747">
      <c r="A747" s="242"/>
      <c r="B747" s="243"/>
      <c r="C747" s="243"/>
      <c r="D747" s="243"/>
      <c r="E747" s="15"/>
      <c r="F747" s="243"/>
      <c r="G747" s="243"/>
      <c r="H747" s="13"/>
      <c r="I747" s="13"/>
      <c r="J747" s="242"/>
      <c r="K747" s="242"/>
      <c r="L747" s="13"/>
      <c r="M747" s="242"/>
      <c r="N747" s="242"/>
      <c r="O747" s="242"/>
      <c r="P747" s="242"/>
      <c r="Q747" s="13"/>
      <c r="R747" s="13"/>
      <c r="S747" s="242"/>
      <c r="T747" s="443"/>
      <c r="U747" s="443"/>
      <c r="V747" s="242"/>
      <c r="W747" s="242"/>
      <c r="X747" s="242"/>
      <c r="Y747" s="242"/>
      <c r="Z747" s="242"/>
    </row>
    <row r="748">
      <c r="A748" s="242"/>
      <c r="B748" s="243"/>
      <c r="C748" s="243"/>
      <c r="D748" s="243"/>
      <c r="E748" s="15"/>
      <c r="F748" s="243"/>
      <c r="G748" s="243"/>
      <c r="H748" s="13"/>
      <c r="I748" s="13"/>
      <c r="J748" s="242"/>
      <c r="K748" s="242"/>
      <c r="L748" s="13"/>
      <c r="M748" s="242"/>
      <c r="N748" s="242"/>
      <c r="O748" s="242"/>
      <c r="P748" s="242"/>
      <c r="Q748" s="13"/>
      <c r="R748" s="13"/>
      <c r="S748" s="242"/>
      <c r="T748" s="443"/>
      <c r="U748" s="443"/>
      <c r="V748" s="242"/>
      <c r="W748" s="242"/>
      <c r="X748" s="242"/>
      <c r="Y748" s="242"/>
      <c r="Z748" s="242"/>
    </row>
    <row r="749">
      <c r="A749" s="242"/>
      <c r="B749" s="243"/>
      <c r="C749" s="243"/>
      <c r="D749" s="243"/>
      <c r="E749" s="15"/>
      <c r="F749" s="243"/>
      <c r="G749" s="243"/>
      <c r="H749" s="13"/>
      <c r="I749" s="13"/>
      <c r="J749" s="242"/>
      <c r="K749" s="242"/>
      <c r="L749" s="13"/>
      <c r="M749" s="242"/>
      <c r="N749" s="242"/>
      <c r="O749" s="242"/>
      <c r="P749" s="242"/>
      <c r="Q749" s="13"/>
      <c r="R749" s="13"/>
      <c r="S749" s="242"/>
      <c r="T749" s="443"/>
      <c r="U749" s="443"/>
      <c r="V749" s="242"/>
      <c r="W749" s="242"/>
      <c r="X749" s="242"/>
      <c r="Y749" s="242"/>
      <c r="Z749" s="242"/>
    </row>
    <row r="750">
      <c r="A750" s="242"/>
      <c r="B750" s="243"/>
      <c r="C750" s="243"/>
      <c r="D750" s="243"/>
      <c r="E750" s="15"/>
      <c r="F750" s="243"/>
      <c r="G750" s="243"/>
      <c r="H750" s="13"/>
      <c r="I750" s="13"/>
      <c r="J750" s="242"/>
      <c r="K750" s="242"/>
      <c r="L750" s="13"/>
      <c r="M750" s="242"/>
      <c r="N750" s="242"/>
      <c r="O750" s="242"/>
      <c r="P750" s="242"/>
      <c r="Q750" s="13"/>
      <c r="R750" s="13"/>
      <c r="S750" s="242"/>
      <c r="T750" s="443"/>
      <c r="U750" s="443"/>
      <c r="V750" s="242"/>
      <c r="W750" s="242"/>
      <c r="X750" s="242"/>
      <c r="Y750" s="242"/>
      <c r="Z750" s="242"/>
    </row>
    <row r="751">
      <c r="A751" s="242"/>
      <c r="B751" s="243"/>
      <c r="C751" s="243"/>
      <c r="D751" s="243"/>
      <c r="E751" s="15"/>
      <c r="F751" s="243"/>
      <c r="G751" s="243"/>
      <c r="H751" s="13"/>
      <c r="I751" s="13"/>
      <c r="J751" s="242"/>
      <c r="K751" s="242"/>
      <c r="L751" s="13"/>
      <c r="M751" s="242"/>
      <c r="N751" s="242"/>
      <c r="O751" s="242"/>
      <c r="P751" s="242"/>
      <c r="Q751" s="13"/>
      <c r="R751" s="13"/>
      <c r="S751" s="242"/>
      <c r="T751" s="443"/>
      <c r="U751" s="443"/>
      <c r="V751" s="242"/>
      <c r="W751" s="242"/>
      <c r="X751" s="242"/>
      <c r="Y751" s="242"/>
      <c r="Z751" s="242"/>
    </row>
    <row r="752">
      <c r="A752" s="242"/>
      <c r="B752" s="243"/>
      <c r="C752" s="243"/>
      <c r="D752" s="243"/>
      <c r="E752" s="15"/>
      <c r="F752" s="243"/>
      <c r="G752" s="243"/>
      <c r="H752" s="13"/>
      <c r="I752" s="13"/>
      <c r="J752" s="242"/>
      <c r="K752" s="242"/>
      <c r="L752" s="13"/>
      <c r="M752" s="242"/>
      <c r="N752" s="242"/>
      <c r="O752" s="242"/>
      <c r="P752" s="242"/>
      <c r="Q752" s="13"/>
      <c r="R752" s="13"/>
      <c r="S752" s="242"/>
      <c r="T752" s="443"/>
      <c r="U752" s="443"/>
      <c r="V752" s="242"/>
      <c r="W752" s="242"/>
      <c r="X752" s="242"/>
      <c r="Y752" s="242"/>
      <c r="Z752" s="242"/>
    </row>
    <row r="753">
      <c r="A753" s="242"/>
      <c r="B753" s="243"/>
      <c r="C753" s="243"/>
      <c r="D753" s="243"/>
      <c r="E753" s="15"/>
      <c r="F753" s="243"/>
      <c r="G753" s="243"/>
      <c r="H753" s="13"/>
      <c r="I753" s="13"/>
      <c r="J753" s="242"/>
      <c r="K753" s="242"/>
      <c r="L753" s="13"/>
      <c r="M753" s="242"/>
      <c r="N753" s="242"/>
      <c r="O753" s="242"/>
      <c r="P753" s="242"/>
      <c r="Q753" s="13"/>
      <c r="R753" s="13"/>
      <c r="S753" s="242"/>
      <c r="T753" s="443"/>
      <c r="U753" s="443"/>
      <c r="V753" s="242"/>
      <c r="W753" s="242"/>
      <c r="X753" s="242"/>
      <c r="Y753" s="242"/>
      <c r="Z753" s="242"/>
    </row>
    <row r="754">
      <c r="A754" s="242"/>
      <c r="B754" s="243"/>
      <c r="C754" s="243"/>
      <c r="D754" s="243"/>
      <c r="E754" s="15"/>
      <c r="F754" s="243"/>
      <c r="G754" s="243"/>
      <c r="H754" s="13"/>
      <c r="I754" s="13"/>
      <c r="J754" s="242"/>
      <c r="K754" s="242"/>
      <c r="L754" s="13"/>
      <c r="M754" s="242"/>
      <c r="N754" s="242"/>
      <c r="O754" s="242"/>
      <c r="P754" s="242"/>
      <c r="Q754" s="13"/>
      <c r="R754" s="13"/>
      <c r="S754" s="242"/>
      <c r="T754" s="443"/>
      <c r="U754" s="443"/>
      <c r="V754" s="242"/>
      <c r="W754" s="242"/>
      <c r="X754" s="242"/>
      <c r="Y754" s="242"/>
      <c r="Z754" s="242"/>
    </row>
    <row r="755">
      <c r="A755" s="242"/>
      <c r="B755" s="243"/>
      <c r="C755" s="243"/>
      <c r="D755" s="243"/>
      <c r="E755" s="15"/>
      <c r="F755" s="243"/>
      <c r="G755" s="243"/>
      <c r="H755" s="13"/>
      <c r="I755" s="13"/>
      <c r="J755" s="242"/>
      <c r="K755" s="242"/>
      <c r="L755" s="13"/>
      <c r="M755" s="242"/>
      <c r="N755" s="242"/>
      <c r="O755" s="242"/>
      <c r="P755" s="242"/>
      <c r="Q755" s="13"/>
      <c r="R755" s="13"/>
      <c r="S755" s="242"/>
      <c r="T755" s="443"/>
      <c r="U755" s="443"/>
      <c r="V755" s="242"/>
      <c r="W755" s="242"/>
      <c r="X755" s="242"/>
      <c r="Y755" s="242"/>
      <c r="Z755" s="242"/>
    </row>
    <row r="756">
      <c r="A756" s="242"/>
      <c r="B756" s="243"/>
      <c r="C756" s="243"/>
      <c r="D756" s="243"/>
      <c r="E756" s="15"/>
      <c r="F756" s="243"/>
      <c r="G756" s="243"/>
      <c r="H756" s="13"/>
      <c r="I756" s="13"/>
      <c r="J756" s="242"/>
      <c r="K756" s="242"/>
      <c r="L756" s="13"/>
      <c r="M756" s="242"/>
      <c r="N756" s="242"/>
      <c r="O756" s="242"/>
      <c r="P756" s="242"/>
      <c r="Q756" s="13"/>
      <c r="R756" s="13"/>
      <c r="S756" s="242"/>
      <c r="T756" s="443"/>
      <c r="U756" s="443"/>
      <c r="V756" s="242"/>
      <c r="W756" s="242"/>
      <c r="X756" s="242"/>
      <c r="Y756" s="242"/>
      <c r="Z756" s="242"/>
    </row>
    <row r="757">
      <c r="A757" s="242"/>
      <c r="B757" s="243"/>
      <c r="C757" s="243"/>
      <c r="D757" s="243"/>
      <c r="E757" s="15"/>
      <c r="F757" s="243"/>
      <c r="G757" s="243"/>
      <c r="H757" s="13"/>
      <c r="I757" s="13"/>
      <c r="J757" s="242"/>
      <c r="K757" s="242"/>
      <c r="L757" s="13"/>
      <c r="M757" s="242"/>
      <c r="N757" s="242"/>
      <c r="O757" s="242"/>
      <c r="P757" s="242"/>
      <c r="Q757" s="13"/>
      <c r="R757" s="13"/>
      <c r="S757" s="242"/>
      <c r="T757" s="443"/>
      <c r="U757" s="443"/>
      <c r="V757" s="242"/>
      <c r="W757" s="242"/>
      <c r="X757" s="242"/>
      <c r="Y757" s="242"/>
      <c r="Z757" s="242"/>
    </row>
    <row r="758">
      <c r="A758" s="242"/>
      <c r="B758" s="243"/>
      <c r="C758" s="243"/>
      <c r="D758" s="243"/>
      <c r="E758" s="15"/>
      <c r="F758" s="243"/>
      <c r="G758" s="243"/>
      <c r="H758" s="13"/>
      <c r="I758" s="13"/>
      <c r="J758" s="242"/>
      <c r="K758" s="242"/>
      <c r="L758" s="13"/>
      <c r="M758" s="242"/>
      <c r="N758" s="242"/>
      <c r="O758" s="242"/>
      <c r="P758" s="242"/>
      <c r="Q758" s="13"/>
      <c r="R758" s="13"/>
      <c r="S758" s="242"/>
      <c r="T758" s="443"/>
      <c r="U758" s="443"/>
      <c r="V758" s="242"/>
      <c r="W758" s="242"/>
      <c r="X758" s="242"/>
      <c r="Y758" s="242"/>
      <c r="Z758" s="242"/>
    </row>
    <row r="759">
      <c r="A759" s="242"/>
      <c r="B759" s="243"/>
      <c r="C759" s="243"/>
      <c r="D759" s="243"/>
      <c r="E759" s="15"/>
      <c r="F759" s="243"/>
      <c r="G759" s="243"/>
      <c r="H759" s="13"/>
      <c r="I759" s="13"/>
      <c r="J759" s="242"/>
      <c r="K759" s="242"/>
      <c r="L759" s="13"/>
      <c r="M759" s="242"/>
      <c r="N759" s="242"/>
      <c r="O759" s="242"/>
      <c r="P759" s="242"/>
      <c r="Q759" s="13"/>
      <c r="R759" s="13"/>
      <c r="S759" s="242"/>
      <c r="T759" s="443"/>
      <c r="U759" s="443"/>
      <c r="V759" s="242"/>
      <c r="W759" s="242"/>
      <c r="X759" s="242"/>
      <c r="Y759" s="242"/>
      <c r="Z759" s="242"/>
    </row>
    <row r="760">
      <c r="A760" s="242"/>
      <c r="B760" s="243"/>
      <c r="C760" s="243"/>
      <c r="D760" s="243"/>
      <c r="E760" s="15"/>
      <c r="F760" s="243"/>
      <c r="G760" s="243"/>
      <c r="H760" s="13"/>
      <c r="I760" s="13"/>
      <c r="J760" s="242"/>
      <c r="K760" s="242"/>
      <c r="L760" s="13"/>
      <c r="M760" s="242"/>
      <c r="N760" s="242"/>
      <c r="O760" s="242"/>
      <c r="P760" s="242"/>
      <c r="Q760" s="13"/>
      <c r="R760" s="13"/>
      <c r="S760" s="242"/>
      <c r="T760" s="443"/>
      <c r="U760" s="443"/>
      <c r="V760" s="242"/>
      <c r="W760" s="242"/>
      <c r="X760" s="242"/>
      <c r="Y760" s="242"/>
      <c r="Z760" s="242"/>
    </row>
    <row r="761">
      <c r="A761" s="242"/>
      <c r="B761" s="243"/>
      <c r="C761" s="243"/>
      <c r="D761" s="243"/>
      <c r="E761" s="15"/>
      <c r="F761" s="243"/>
      <c r="G761" s="243"/>
      <c r="H761" s="13"/>
      <c r="I761" s="13"/>
      <c r="J761" s="242"/>
      <c r="K761" s="242"/>
      <c r="L761" s="13"/>
      <c r="M761" s="242"/>
      <c r="N761" s="242"/>
      <c r="O761" s="242"/>
      <c r="P761" s="242"/>
      <c r="Q761" s="13"/>
      <c r="R761" s="13"/>
      <c r="S761" s="242"/>
      <c r="T761" s="443"/>
      <c r="U761" s="443"/>
      <c r="V761" s="242"/>
      <c r="W761" s="242"/>
      <c r="X761" s="242"/>
      <c r="Y761" s="242"/>
      <c r="Z761" s="242"/>
    </row>
    <row r="762">
      <c r="A762" s="242"/>
      <c r="B762" s="243"/>
      <c r="C762" s="243"/>
      <c r="D762" s="243"/>
      <c r="E762" s="15"/>
      <c r="F762" s="243"/>
      <c r="G762" s="243"/>
      <c r="H762" s="13"/>
      <c r="I762" s="13"/>
      <c r="J762" s="242"/>
      <c r="K762" s="242"/>
      <c r="L762" s="13"/>
      <c r="M762" s="242"/>
      <c r="N762" s="242"/>
      <c r="O762" s="242"/>
      <c r="P762" s="242"/>
      <c r="Q762" s="13"/>
      <c r="R762" s="13"/>
      <c r="S762" s="242"/>
      <c r="T762" s="443"/>
      <c r="U762" s="443"/>
      <c r="V762" s="242"/>
      <c r="W762" s="242"/>
      <c r="X762" s="242"/>
      <c r="Y762" s="242"/>
      <c r="Z762" s="242"/>
    </row>
    <row r="763">
      <c r="A763" s="242"/>
      <c r="B763" s="243"/>
      <c r="C763" s="243"/>
      <c r="D763" s="243"/>
      <c r="E763" s="15"/>
      <c r="F763" s="243"/>
      <c r="G763" s="243"/>
      <c r="H763" s="13"/>
      <c r="I763" s="13"/>
      <c r="J763" s="242"/>
      <c r="K763" s="242"/>
      <c r="L763" s="13"/>
      <c r="M763" s="242"/>
      <c r="N763" s="242"/>
      <c r="O763" s="242"/>
      <c r="P763" s="242"/>
      <c r="Q763" s="13"/>
      <c r="R763" s="13"/>
      <c r="S763" s="242"/>
      <c r="T763" s="443"/>
      <c r="U763" s="443"/>
      <c r="V763" s="242"/>
      <c r="W763" s="242"/>
      <c r="X763" s="242"/>
      <c r="Y763" s="242"/>
      <c r="Z763" s="242"/>
    </row>
    <row r="764">
      <c r="A764" s="242"/>
      <c r="B764" s="243"/>
      <c r="C764" s="243"/>
      <c r="D764" s="243"/>
      <c r="E764" s="15"/>
      <c r="F764" s="243"/>
      <c r="G764" s="243"/>
      <c r="H764" s="13"/>
      <c r="I764" s="13"/>
      <c r="J764" s="242"/>
      <c r="K764" s="242"/>
      <c r="L764" s="13"/>
      <c r="M764" s="242"/>
      <c r="N764" s="242"/>
      <c r="O764" s="242"/>
      <c r="P764" s="242"/>
      <c r="Q764" s="13"/>
      <c r="R764" s="13"/>
      <c r="S764" s="242"/>
      <c r="T764" s="443"/>
      <c r="U764" s="443"/>
      <c r="V764" s="242"/>
      <c r="W764" s="242"/>
      <c r="X764" s="242"/>
      <c r="Y764" s="242"/>
      <c r="Z764" s="242"/>
    </row>
    <row r="765">
      <c r="A765" s="242"/>
      <c r="B765" s="243"/>
      <c r="C765" s="243"/>
      <c r="D765" s="243"/>
      <c r="E765" s="15"/>
      <c r="F765" s="243"/>
      <c r="G765" s="243"/>
      <c r="H765" s="13"/>
      <c r="I765" s="13"/>
      <c r="J765" s="242"/>
      <c r="K765" s="242"/>
      <c r="L765" s="13"/>
      <c r="M765" s="242"/>
      <c r="N765" s="242"/>
      <c r="O765" s="242"/>
      <c r="P765" s="242"/>
      <c r="Q765" s="13"/>
      <c r="R765" s="13"/>
      <c r="S765" s="242"/>
      <c r="T765" s="443"/>
      <c r="U765" s="443"/>
      <c r="V765" s="242"/>
      <c r="W765" s="242"/>
      <c r="X765" s="242"/>
      <c r="Y765" s="242"/>
      <c r="Z765" s="242"/>
    </row>
    <row r="766">
      <c r="A766" s="242"/>
      <c r="B766" s="243"/>
      <c r="C766" s="243"/>
      <c r="D766" s="243"/>
      <c r="E766" s="15"/>
      <c r="F766" s="243"/>
      <c r="G766" s="243"/>
      <c r="H766" s="13"/>
      <c r="I766" s="13"/>
      <c r="J766" s="242"/>
      <c r="K766" s="242"/>
      <c r="L766" s="13"/>
      <c r="M766" s="242"/>
      <c r="N766" s="242"/>
      <c r="O766" s="242"/>
      <c r="P766" s="242"/>
      <c r="Q766" s="13"/>
      <c r="R766" s="13"/>
      <c r="S766" s="242"/>
      <c r="T766" s="443"/>
      <c r="U766" s="443"/>
      <c r="V766" s="242"/>
      <c r="W766" s="242"/>
      <c r="X766" s="242"/>
      <c r="Y766" s="242"/>
      <c r="Z766" s="242"/>
    </row>
    <row r="767">
      <c r="A767" s="242"/>
      <c r="B767" s="243"/>
      <c r="C767" s="243"/>
      <c r="D767" s="243"/>
      <c r="E767" s="15"/>
      <c r="F767" s="243"/>
      <c r="G767" s="243"/>
      <c r="H767" s="13"/>
      <c r="I767" s="13"/>
      <c r="J767" s="242"/>
      <c r="K767" s="242"/>
      <c r="L767" s="13"/>
      <c r="M767" s="242"/>
      <c r="N767" s="242"/>
      <c r="O767" s="242"/>
      <c r="P767" s="242"/>
      <c r="Q767" s="13"/>
      <c r="R767" s="13"/>
      <c r="S767" s="242"/>
      <c r="T767" s="443"/>
      <c r="U767" s="443"/>
      <c r="V767" s="242"/>
      <c r="W767" s="242"/>
      <c r="X767" s="242"/>
      <c r="Y767" s="242"/>
      <c r="Z767" s="242"/>
    </row>
    <row r="768">
      <c r="A768" s="242"/>
      <c r="B768" s="243"/>
      <c r="C768" s="243"/>
      <c r="D768" s="243"/>
      <c r="E768" s="15"/>
      <c r="F768" s="243"/>
      <c r="G768" s="243"/>
      <c r="H768" s="13"/>
      <c r="I768" s="13"/>
      <c r="J768" s="242"/>
      <c r="K768" s="242"/>
      <c r="L768" s="13"/>
      <c r="M768" s="242"/>
      <c r="N768" s="242"/>
      <c r="O768" s="242"/>
      <c r="P768" s="242"/>
      <c r="Q768" s="13"/>
      <c r="R768" s="13"/>
      <c r="S768" s="242"/>
      <c r="T768" s="443"/>
      <c r="U768" s="443"/>
      <c r="V768" s="242"/>
      <c r="W768" s="242"/>
      <c r="X768" s="242"/>
      <c r="Y768" s="242"/>
      <c r="Z768" s="242"/>
    </row>
    <row r="769">
      <c r="A769" s="242"/>
      <c r="B769" s="243"/>
      <c r="C769" s="243"/>
      <c r="D769" s="243"/>
      <c r="E769" s="15"/>
      <c r="F769" s="243"/>
      <c r="G769" s="243"/>
      <c r="H769" s="13"/>
      <c r="I769" s="13"/>
      <c r="J769" s="242"/>
      <c r="K769" s="242"/>
      <c r="L769" s="13"/>
      <c r="M769" s="242"/>
      <c r="N769" s="242"/>
      <c r="O769" s="242"/>
      <c r="P769" s="242"/>
      <c r="Q769" s="13"/>
      <c r="R769" s="13"/>
      <c r="S769" s="242"/>
      <c r="T769" s="443"/>
      <c r="U769" s="443"/>
      <c r="V769" s="242"/>
      <c r="W769" s="242"/>
      <c r="X769" s="242"/>
      <c r="Y769" s="242"/>
      <c r="Z769" s="242"/>
    </row>
    <row r="770">
      <c r="A770" s="242"/>
      <c r="B770" s="243"/>
      <c r="C770" s="243"/>
      <c r="D770" s="243"/>
      <c r="E770" s="15"/>
      <c r="F770" s="243"/>
      <c r="G770" s="243"/>
      <c r="H770" s="13"/>
      <c r="I770" s="13"/>
      <c r="J770" s="242"/>
      <c r="K770" s="242"/>
      <c r="L770" s="13"/>
      <c r="M770" s="242"/>
      <c r="N770" s="242"/>
      <c r="O770" s="242"/>
      <c r="P770" s="242"/>
      <c r="Q770" s="13"/>
      <c r="R770" s="13"/>
      <c r="S770" s="242"/>
      <c r="T770" s="443"/>
      <c r="U770" s="443"/>
      <c r="V770" s="242"/>
      <c r="W770" s="242"/>
      <c r="X770" s="242"/>
      <c r="Y770" s="242"/>
      <c r="Z770" s="242"/>
    </row>
    <row r="771">
      <c r="A771" s="242"/>
      <c r="B771" s="243"/>
      <c r="C771" s="243"/>
      <c r="D771" s="243"/>
      <c r="E771" s="15"/>
      <c r="F771" s="243"/>
      <c r="G771" s="243"/>
      <c r="H771" s="13"/>
      <c r="I771" s="13"/>
      <c r="J771" s="242"/>
      <c r="K771" s="242"/>
      <c r="L771" s="13"/>
      <c r="M771" s="242"/>
      <c r="N771" s="242"/>
      <c r="O771" s="242"/>
      <c r="P771" s="242"/>
      <c r="Q771" s="13"/>
      <c r="R771" s="13"/>
      <c r="S771" s="242"/>
      <c r="T771" s="443"/>
      <c r="U771" s="443"/>
      <c r="V771" s="242"/>
      <c r="W771" s="242"/>
      <c r="X771" s="242"/>
      <c r="Y771" s="242"/>
      <c r="Z771" s="242"/>
    </row>
    <row r="772">
      <c r="A772" s="242"/>
      <c r="B772" s="243"/>
      <c r="C772" s="243"/>
      <c r="D772" s="243"/>
      <c r="E772" s="15"/>
      <c r="F772" s="243"/>
      <c r="G772" s="243"/>
      <c r="H772" s="13"/>
      <c r="I772" s="13"/>
      <c r="J772" s="242"/>
      <c r="K772" s="242"/>
      <c r="L772" s="13"/>
      <c r="M772" s="242"/>
      <c r="N772" s="242"/>
      <c r="O772" s="242"/>
      <c r="P772" s="242"/>
      <c r="Q772" s="13"/>
      <c r="R772" s="13"/>
      <c r="S772" s="242"/>
      <c r="T772" s="443"/>
      <c r="U772" s="443"/>
      <c r="V772" s="242"/>
      <c r="W772" s="242"/>
      <c r="X772" s="242"/>
      <c r="Y772" s="242"/>
      <c r="Z772" s="242"/>
    </row>
    <row r="773">
      <c r="A773" s="242"/>
      <c r="B773" s="243"/>
      <c r="C773" s="243"/>
      <c r="D773" s="243"/>
      <c r="E773" s="15"/>
      <c r="F773" s="243"/>
      <c r="G773" s="243"/>
      <c r="H773" s="13"/>
      <c r="I773" s="13"/>
      <c r="J773" s="242"/>
      <c r="K773" s="242"/>
      <c r="L773" s="13"/>
      <c r="M773" s="242"/>
      <c r="N773" s="242"/>
      <c r="O773" s="242"/>
      <c r="P773" s="242"/>
      <c r="Q773" s="13"/>
      <c r="R773" s="13"/>
      <c r="S773" s="242"/>
      <c r="T773" s="443"/>
      <c r="U773" s="443"/>
      <c r="V773" s="242"/>
      <c r="W773" s="242"/>
      <c r="X773" s="242"/>
      <c r="Y773" s="242"/>
      <c r="Z773" s="242"/>
    </row>
    <row r="774">
      <c r="A774" s="242"/>
      <c r="B774" s="243"/>
      <c r="C774" s="243"/>
      <c r="D774" s="243"/>
      <c r="E774" s="15"/>
      <c r="F774" s="243"/>
      <c r="G774" s="243"/>
      <c r="H774" s="13"/>
      <c r="I774" s="13"/>
      <c r="J774" s="242"/>
      <c r="K774" s="242"/>
      <c r="L774" s="13"/>
      <c r="M774" s="242"/>
      <c r="N774" s="242"/>
      <c r="O774" s="242"/>
      <c r="P774" s="242"/>
      <c r="Q774" s="13"/>
      <c r="R774" s="13"/>
      <c r="S774" s="242"/>
      <c r="T774" s="443"/>
      <c r="U774" s="443"/>
      <c r="V774" s="242"/>
      <c r="W774" s="242"/>
      <c r="X774" s="242"/>
      <c r="Y774" s="242"/>
      <c r="Z774" s="242"/>
    </row>
    <row r="775">
      <c r="A775" s="242"/>
      <c r="B775" s="243"/>
      <c r="C775" s="243"/>
      <c r="D775" s="243"/>
      <c r="E775" s="15"/>
      <c r="F775" s="243"/>
      <c r="G775" s="243"/>
      <c r="H775" s="13"/>
      <c r="I775" s="13"/>
      <c r="J775" s="242"/>
      <c r="K775" s="242"/>
      <c r="L775" s="13"/>
      <c r="M775" s="242"/>
      <c r="N775" s="242"/>
      <c r="O775" s="242"/>
      <c r="P775" s="242"/>
      <c r="Q775" s="13"/>
      <c r="R775" s="13"/>
      <c r="S775" s="242"/>
      <c r="T775" s="443"/>
      <c r="U775" s="443"/>
      <c r="V775" s="242"/>
      <c r="W775" s="242"/>
      <c r="X775" s="242"/>
      <c r="Y775" s="242"/>
      <c r="Z775" s="242"/>
    </row>
    <row r="776">
      <c r="A776" s="242"/>
      <c r="B776" s="243"/>
      <c r="C776" s="243"/>
      <c r="D776" s="243"/>
      <c r="E776" s="15"/>
      <c r="F776" s="243"/>
      <c r="G776" s="243"/>
      <c r="H776" s="13"/>
      <c r="I776" s="13"/>
      <c r="J776" s="242"/>
      <c r="K776" s="242"/>
      <c r="L776" s="13"/>
      <c r="M776" s="242"/>
      <c r="N776" s="242"/>
      <c r="O776" s="242"/>
      <c r="P776" s="242"/>
      <c r="Q776" s="13"/>
      <c r="R776" s="13"/>
      <c r="S776" s="242"/>
      <c r="T776" s="443"/>
      <c r="U776" s="443"/>
      <c r="V776" s="242"/>
      <c r="W776" s="242"/>
      <c r="X776" s="242"/>
      <c r="Y776" s="242"/>
      <c r="Z776" s="242"/>
    </row>
    <row r="777">
      <c r="A777" s="242"/>
      <c r="B777" s="243"/>
      <c r="C777" s="243"/>
      <c r="D777" s="243"/>
      <c r="E777" s="15"/>
      <c r="F777" s="243"/>
      <c r="G777" s="243"/>
      <c r="H777" s="13"/>
      <c r="I777" s="13"/>
      <c r="J777" s="242"/>
      <c r="K777" s="242"/>
      <c r="L777" s="13"/>
      <c r="M777" s="242"/>
      <c r="N777" s="242"/>
      <c r="O777" s="242"/>
      <c r="P777" s="242"/>
      <c r="Q777" s="13"/>
      <c r="R777" s="13"/>
      <c r="S777" s="242"/>
      <c r="T777" s="443"/>
      <c r="U777" s="443"/>
      <c r="V777" s="242"/>
      <c r="W777" s="242"/>
      <c r="X777" s="242"/>
      <c r="Y777" s="242"/>
      <c r="Z777" s="242"/>
    </row>
    <row r="778">
      <c r="A778" s="242"/>
      <c r="B778" s="243"/>
      <c r="C778" s="243"/>
      <c r="D778" s="243"/>
      <c r="E778" s="15"/>
      <c r="F778" s="243"/>
      <c r="G778" s="243"/>
      <c r="H778" s="13"/>
      <c r="I778" s="13"/>
      <c r="J778" s="242"/>
      <c r="K778" s="242"/>
      <c r="L778" s="13"/>
      <c r="M778" s="242"/>
      <c r="N778" s="242"/>
      <c r="O778" s="242"/>
      <c r="P778" s="242"/>
      <c r="Q778" s="13"/>
      <c r="R778" s="13"/>
      <c r="S778" s="242"/>
      <c r="T778" s="443"/>
      <c r="U778" s="443"/>
      <c r="V778" s="242"/>
      <c r="W778" s="242"/>
      <c r="X778" s="242"/>
      <c r="Y778" s="242"/>
      <c r="Z778" s="242"/>
    </row>
    <row r="779">
      <c r="A779" s="242"/>
      <c r="B779" s="243"/>
      <c r="C779" s="243"/>
      <c r="D779" s="243"/>
      <c r="E779" s="15"/>
      <c r="F779" s="243"/>
      <c r="G779" s="243"/>
      <c r="H779" s="13"/>
      <c r="I779" s="13"/>
      <c r="J779" s="242"/>
      <c r="K779" s="242"/>
      <c r="L779" s="13"/>
      <c r="M779" s="242"/>
      <c r="N779" s="242"/>
      <c r="O779" s="242"/>
      <c r="P779" s="242"/>
      <c r="Q779" s="13"/>
      <c r="R779" s="13"/>
      <c r="S779" s="242"/>
      <c r="T779" s="443"/>
      <c r="U779" s="443"/>
      <c r="V779" s="242"/>
      <c r="W779" s="242"/>
      <c r="X779" s="242"/>
      <c r="Y779" s="242"/>
      <c r="Z779" s="242"/>
    </row>
    <row r="780">
      <c r="A780" s="242"/>
      <c r="B780" s="243"/>
      <c r="C780" s="243"/>
      <c r="D780" s="243"/>
      <c r="E780" s="15"/>
      <c r="F780" s="243"/>
      <c r="G780" s="243"/>
      <c r="H780" s="13"/>
      <c r="I780" s="13"/>
      <c r="J780" s="242"/>
      <c r="K780" s="242"/>
      <c r="L780" s="13"/>
      <c r="M780" s="242"/>
      <c r="N780" s="242"/>
      <c r="O780" s="242"/>
      <c r="P780" s="242"/>
      <c r="Q780" s="13"/>
      <c r="R780" s="13"/>
      <c r="S780" s="242"/>
      <c r="T780" s="443"/>
      <c r="U780" s="443"/>
      <c r="V780" s="242"/>
      <c r="W780" s="242"/>
      <c r="X780" s="242"/>
      <c r="Y780" s="242"/>
      <c r="Z780" s="242"/>
    </row>
    <row r="781">
      <c r="A781" s="242"/>
      <c r="B781" s="243"/>
      <c r="C781" s="243"/>
      <c r="D781" s="243"/>
      <c r="E781" s="15"/>
      <c r="F781" s="243"/>
      <c r="G781" s="243"/>
      <c r="H781" s="13"/>
      <c r="I781" s="13"/>
      <c r="J781" s="242"/>
      <c r="K781" s="242"/>
      <c r="L781" s="13"/>
      <c r="M781" s="242"/>
      <c r="N781" s="242"/>
      <c r="O781" s="242"/>
      <c r="P781" s="242"/>
      <c r="Q781" s="13"/>
      <c r="R781" s="13"/>
      <c r="S781" s="242"/>
      <c r="T781" s="443"/>
      <c r="U781" s="443"/>
      <c r="V781" s="242"/>
      <c r="W781" s="242"/>
      <c r="X781" s="242"/>
      <c r="Y781" s="242"/>
      <c r="Z781" s="242"/>
    </row>
    <row r="782">
      <c r="A782" s="242"/>
      <c r="B782" s="243"/>
      <c r="C782" s="243"/>
      <c r="D782" s="243"/>
      <c r="E782" s="15"/>
      <c r="F782" s="243"/>
      <c r="G782" s="243"/>
      <c r="H782" s="13"/>
      <c r="I782" s="13"/>
      <c r="J782" s="242"/>
      <c r="K782" s="242"/>
      <c r="L782" s="13"/>
      <c r="M782" s="242"/>
      <c r="N782" s="242"/>
      <c r="O782" s="242"/>
      <c r="P782" s="242"/>
      <c r="Q782" s="13"/>
      <c r="R782" s="13"/>
      <c r="S782" s="242"/>
      <c r="T782" s="443"/>
      <c r="U782" s="443"/>
      <c r="V782" s="242"/>
      <c r="W782" s="242"/>
      <c r="X782" s="242"/>
      <c r="Y782" s="242"/>
      <c r="Z782" s="242"/>
    </row>
    <row r="783">
      <c r="A783" s="242"/>
      <c r="B783" s="243"/>
      <c r="C783" s="243"/>
      <c r="D783" s="243"/>
      <c r="E783" s="15"/>
      <c r="F783" s="243"/>
      <c r="G783" s="243"/>
      <c r="H783" s="13"/>
      <c r="I783" s="13"/>
      <c r="J783" s="242"/>
      <c r="K783" s="242"/>
      <c r="L783" s="13"/>
      <c r="M783" s="242"/>
      <c r="N783" s="242"/>
      <c r="O783" s="242"/>
      <c r="P783" s="242"/>
      <c r="Q783" s="13"/>
      <c r="R783" s="13"/>
      <c r="S783" s="242"/>
      <c r="T783" s="443"/>
      <c r="U783" s="443"/>
      <c r="V783" s="242"/>
      <c r="W783" s="242"/>
      <c r="X783" s="242"/>
      <c r="Y783" s="242"/>
      <c r="Z783" s="242"/>
    </row>
    <row r="784">
      <c r="A784" s="242"/>
      <c r="B784" s="243"/>
      <c r="C784" s="243"/>
      <c r="D784" s="243"/>
      <c r="E784" s="15"/>
      <c r="F784" s="243"/>
      <c r="G784" s="243"/>
      <c r="H784" s="13"/>
      <c r="I784" s="13"/>
      <c r="J784" s="242"/>
      <c r="K784" s="242"/>
      <c r="L784" s="13"/>
      <c r="M784" s="242"/>
      <c r="N784" s="242"/>
      <c r="O784" s="242"/>
      <c r="P784" s="242"/>
      <c r="Q784" s="13"/>
      <c r="R784" s="13"/>
      <c r="S784" s="242"/>
      <c r="T784" s="443"/>
      <c r="U784" s="443"/>
      <c r="V784" s="242"/>
      <c r="W784" s="242"/>
      <c r="X784" s="242"/>
      <c r="Y784" s="242"/>
      <c r="Z784" s="242"/>
    </row>
    <row r="785">
      <c r="A785" s="242"/>
      <c r="B785" s="243"/>
      <c r="C785" s="243"/>
      <c r="D785" s="243"/>
      <c r="E785" s="15"/>
      <c r="F785" s="243"/>
      <c r="G785" s="243"/>
      <c r="H785" s="13"/>
      <c r="I785" s="13"/>
      <c r="J785" s="242"/>
      <c r="K785" s="242"/>
      <c r="L785" s="13"/>
      <c r="M785" s="242"/>
      <c r="N785" s="242"/>
      <c r="O785" s="242"/>
      <c r="P785" s="242"/>
      <c r="Q785" s="13"/>
      <c r="R785" s="13"/>
      <c r="S785" s="242"/>
      <c r="T785" s="443"/>
      <c r="U785" s="443"/>
      <c r="V785" s="242"/>
      <c r="W785" s="242"/>
      <c r="X785" s="242"/>
      <c r="Y785" s="242"/>
      <c r="Z785" s="242"/>
    </row>
    <row r="786">
      <c r="A786" s="242"/>
      <c r="B786" s="243"/>
      <c r="C786" s="243"/>
      <c r="D786" s="243"/>
      <c r="E786" s="15"/>
      <c r="F786" s="243"/>
      <c r="G786" s="243"/>
      <c r="H786" s="13"/>
      <c r="I786" s="13"/>
      <c r="J786" s="242"/>
      <c r="K786" s="242"/>
      <c r="L786" s="13"/>
      <c r="M786" s="242"/>
      <c r="N786" s="242"/>
      <c r="O786" s="242"/>
      <c r="P786" s="242"/>
      <c r="Q786" s="13"/>
      <c r="R786" s="13"/>
      <c r="S786" s="242"/>
      <c r="T786" s="443"/>
      <c r="U786" s="443"/>
      <c r="V786" s="242"/>
      <c r="W786" s="242"/>
      <c r="X786" s="242"/>
      <c r="Y786" s="242"/>
      <c r="Z786" s="242"/>
    </row>
    <row r="787">
      <c r="A787" s="242"/>
      <c r="B787" s="243"/>
      <c r="C787" s="243"/>
      <c r="D787" s="243"/>
      <c r="E787" s="15"/>
      <c r="F787" s="243"/>
      <c r="G787" s="243"/>
      <c r="H787" s="13"/>
      <c r="I787" s="13"/>
      <c r="J787" s="242"/>
      <c r="K787" s="242"/>
      <c r="L787" s="13"/>
      <c r="M787" s="242"/>
      <c r="N787" s="242"/>
      <c r="O787" s="242"/>
      <c r="P787" s="242"/>
      <c r="Q787" s="13"/>
      <c r="R787" s="13"/>
      <c r="S787" s="242"/>
      <c r="T787" s="443"/>
      <c r="U787" s="443"/>
      <c r="V787" s="242"/>
      <c r="W787" s="242"/>
      <c r="X787" s="242"/>
      <c r="Y787" s="242"/>
      <c r="Z787" s="242"/>
    </row>
    <row r="788">
      <c r="A788" s="242"/>
      <c r="B788" s="243"/>
      <c r="C788" s="243"/>
      <c r="D788" s="243"/>
      <c r="E788" s="15"/>
      <c r="F788" s="243"/>
      <c r="G788" s="243"/>
      <c r="H788" s="13"/>
      <c r="I788" s="13"/>
      <c r="J788" s="242"/>
      <c r="K788" s="242"/>
      <c r="L788" s="13"/>
      <c r="M788" s="242"/>
      <c r="N788" s="242"/>
      <c r="O788" s="242"/>
      <c r="P788" s="242"/>
      <c r="Q788" s="13"/>
      <c r="R788" s="13"/>
      <c r="S788" s="242"/>
      <c r="T788" s="443"/>
      <c r="U788" s="443"/>
      <c r="V788" s="242"/>
      <c r="W788" s="242"/>
      <c r="X788" s="242"/>
      <c r="Y788" s="242"/>
      <c r="Z788" s="242"/>
    </row>
    <row r="789">
      <c r="A789" s="242"/>
      <c r="B789" s="243"/>
      <c r="C789" s="243"/>
      <c r="D789" s="243"/>
      <c r="E789" s="15"/>
      <c r="F789" s="243"/>
      <c r="G789" s="243"/>
      <c r="H789" s="13"/>
      <c r="I789" s="13"/>
      <c r="J789" s="242"/>
      <c r="K789" s="242"/>
      <c r="L789" s="13"/>
      <c r="M789" s="242"/>
      <c r="N789" s="242"/>
      <c r="O789" s="242"/>
      <c r="P789" s="242"/>
      <c r="Q789" s="13"/>
      <c r="R789" s="13"/>
      <c r="S789" s="242"/>
      <c r="T789" s="443"/>
      <c r="U789" s="443"/>
      <c r="V789" s="242"/>
      <c r="W789" s="242"/>
      <c r="X789" s="242"/>
      <c r="Y789" s="242"/>
      <c r="Z789" s="242"/>
    </row>
    <row r="790">
      <c r="A790" s="242"/>
      <c r="B790" s="243"/>
      <c r="C790" s="243"/>
      <c r="D790" s="243"/>
      <c r="E790" s="15"/>
      <c r="F790" s="243"/>
      <c r="G790" s="243"/>
      <c r="H790" s="13"/>
      <c r="I790" s="13"/>
      <c r="J790" s="242"/>
      <c r="K790" s="242"/>
      <c r="L790" s="13"/>
      <c r="M790" s="242"/>
      <c r="N790" s="242"/>
      <c r="O790" s="242"/>
      <c r="P790" s="242"/>
      <c r="Q790" s="13"/>
      <c r="R790" s="13"/>
      <c r="S790" s="242"/>
      <c r="T790" s="443"/>
      <c r="U790" s="443"/>
      <c r="V790" s="242"/>
      <c r="W790" s="242"/>
      <c r="X790" s="242"/>
      <c r="Y790" s="242"/>
      <c r="Z790" s="242"/>
    </row>
    <row r="791">
      <c r="A791" s="242"/>
      <c r="B791" s="243"/>
      <c r="C791" s="243"/>
      <c r="D791" s="243"/>
      <c r="E791" s="15"/>
      <c r="F791" s="243"/>
      <c r="G791" s="243"/>
      <c r="H791" s="13"/>
      <c r="I791" s="13"/>
      <c r="J791" s="242"/>
      <c r="K791" s="242"/>
      <c r="L791" s="13"/>
      <c r="M791" s="242"/>
      <c r="N791" s="242"/>
      <c r="O791" s="242"/>
      <c r="P791" s="242"/>
      <c r="Q791" s="13"/>
      <c r="R791" s="13"/>
      <c r="S791" s="242"/>
      <c r="T791" s="443"/>
      <c r="U791" s="443"/>
      <c r="V791" s="242"/>
      <c r="W791" s="242"/>
      <c r="X791" s="242"/>
      <c r="Y791" s="242"/>
      <c r="Z791" s="242"/>
    </row>
    <row r="792">
      <c r="A792" s="242"/>
      <c r="B792" s="243"/>
      <c r="C792" s="243"/>
      <c r="D792" s="243"/>
      <c r="E792" s="15"/>
      <c r="F792" s="243"/>
      <c r="G792" s="243"/>
      <c r="H792" s="13"/>
      <c r="I792" s="13"/>
      <c r="J792" s="242"/>
      <c r="K792" s="242"/>
      <c r="L792" s="13"/>
      <c r="M792" s="242"/>
      <c r="N792" s="242"/>
      <c r="O792" s="242"/>
      <c r="P792" s="242"/>
      <c r="Q792" s="13"/>
      <c r="R792" s="13"/>
      <c r="S792" s="242"/>
      <c r="T792" s="443"/>
      <c r="U792" s="443"/>
      <c r="V792" s="242"/>
      <c r="W792" s="242"/>
      <c r="X792" s="242"/>
      <c r="Y792" s="242"/>
      <c r="Z792" s="242"/>
    </row>
    <row r="793">
      <c r="A793" s="242"/>
      <c r="B793" s="243"/>
      <c r="C793" s="243"/>
      <c r="D793" s="243"/>
      <c r="E793" s="15"/>
      <c r="F793" s="243"/>
      <c r="G793" s="243"/>
      <c r="H793" s="13"/>
      <c r="I793" s="13"/>
      <c r="J793" s="242"/>
      <c r="K793" s="242"/>
      <c r="L793" s="13"/>
      <c r="M793" s="242"/>
      <c r="N793" s="242"/>
      <c r="O793" s="242"/>
      <c r="P793" s="242"/>
      <c r="Q793" s="13"/>
      <c r="R793" s="13"/>
      <c r="S793" s="242"/>
      <c r="T793" s="443"/>
      <c r="U793" s="443"/>
      <c r="V793" s="242"/>
      <c r="W793" s="242"/>
      <c r="X793" s="242"/>
      <c r="Y793" s="242"/>
      <c r="Z793" s="242"/>
    </row>
    <row r="794">
      <c r="A794" s="242"/>
      <c r="B794" s="243"/>
      <c r="C794" s="243"/>
      <c r="D794" s="243"/>
      <c r="E794" s="15"/>
      <c r="F794" s="243"/>
      <c r="G794" s="243"/>
      <c r="H794" s="13"/>
      <c r="I794" s="13"/>
      <c r="J794" s="242"/>
      <c r="K794" s="242"/>
      <c r="L794" s="13"/>
      <c r="M794" s="242"/>
      <c r="N794" s="242"/>
      <c r="O794" s="242"/>
      <c r="P794" s="242"/>
      <c r="Q794" s="13"/>
      <c r="R794" s="13"/>
      <c r="S794" s="242"/>
      <c r="T794" s="443"/>
      <c r="U794" s="443"/>
      <c r="V794" s="242"/>
      <c r="W794" s="242"/>
      <c r="X794" s="242"/>
      <c r="Y794" s="242"/>
      <c r="Z794" s="242"/>
    </row>
    <row r="795">
      <c r="A795" s="242"/>
      <c r="B795" s="243"/>
      <c r="C795" s="243"/>
      <c r="D795" s="243"/>
      <c r="E795" s="15"/>
      <c r="F795" s="243"/>
      <c r="G795" s="243"/>
      <c r="H795" s="13"/>
      <c r="I795" s="13"/>
      <c r="J795" s="242"/>
      <c r="K795" s="242"/>
      <c r="L795" s="13"/>
      <c r="M795" s="242"/>
      <c r="N795" s="242"/>
      <c r="O795" s="242"/>
      <c r="P795" s="242"/>
      <c r="Q795" s="13"/>
      <c r="R795" s="13"/>
      <c r="S795" s="242"/>
      <c r="T795" s="443"/>
      <c r="U795" s="443"/>
      <c r="V795" s="242"/>
      <c r="W795" s="242"/>
      <c r="X795" s="242"/>
      <c r="Y795" s="242"/>
      <c r="Z795" s="242"/>
    </row>
    <row r="796">
      <c r="A796" s="242"/>
      <c r="B796" s="243"/>
      <c r="C796" s="243"/>
      <c r="D796" s="243"/>
      <c r="E796" s="15"/>
      <c r="F796" s="243"/>
      <c r="G796" s="243"/>
      <c r="H796" s="13"/>
      <c r="I796" s="13"/>
      <c r="J796" s="242"/>
      <c r="K796" s="242"/>
      <c r="L796" s="13"/>
      <c r="M796" s="242"/>
      <c r="N796" s="242"/>
      <c r="O796" s="242"/>
      <c r="P796" s="242"/>
      <c r="Q796" s="13"/>
      <c r="R796" s="13"/>
      <c r="S796" s="242"/>
      <c r="T796" s="443"/>
      <c r="U796" s="443"/>
      <c r="V796" s="242"/>
      <c r="W796" s="242"/>
      <c r="X796" s="242"/>
      <c r="Y796" s="242"/>
      <c r="Z796" s="242"/>
    </row>
    <row r="797">
      <c r="A797" s="242"/>
      <c r="B797" s="243"/>
      <c r="C797" s="243"/>
      <c r="D797" s="243"/>
      <c r="E797" s="15"/>
      <c r="F797" s="243"/>
      <c r="G797" s="243"/>
      <c r="H797" s="13"/>
      <c r="I797" s="13"/>
      <c r="J797" s="242"/>
      <c r="K797" s="242"/>
      <c r="L797" s="13"/>
      <c r="M797" s="242"/>
      <c r="N797" s="242"/>
      <c r="O797" s="242"/>
      <c r="P797" s="242"/>
      <c r="Q797" s="13"/>
      <c r="R797" s="13"/>
      <c r="S797" s="242"/>
      <c r="T797" s="443"/>
      <c r="U797" s="443"/>
      <c r="V797" s="242"/>
      <c r="W797" s="242"/>
      <c r="X797" s="242"/>
      <c r="Y797" s="242"/>
      <c r="Z797" s="242"/>
    </row>
    <row r="798">
      <c r="A798" s="242"/>
      <c r="B798" s="243"/>
      <c r="C798" s="243"/>
      <c r="D798" s="243"/>
      <c r="E798" s="15"/>
      <c r="F798" s="243"/>
      <c r="G798" s="243"/>
      <c r="H798" s="13"/>
      <c r="I798" s="13"/>
      <c r="J798" s="242"/>
      <c r="K798" s="242"/>
      <c r="L798" s="13"/>
      <c r="M798" s="242"/>
      <c r="N798" s="242"/>
      <c r="O798" s="242"/>
      <c r="P798" s="242"/>
      <c r="Q798" s="13"/>
      <c r="R798" s="13"/>
      <c r="S798" s="242"/>
      <c r="T798" s="443"/>
      <c r="U798" s="443"/>
      <c r="V798" s="242"/>
      <c r="W798" s="242"/>
      <c r="X798" s="242"/>
      <c r="Y798" s="242"/>
      <c r="Z798" s="242"/>
    </row>
    <row r="799">
      <c r="A799" s="242"/>
      <c r="B799" s="243"/>
      <c r="C799" s="243"/>
      <c r="D799" s="243"/>
      <c r="E799" s="15"/>
      <c r="F799" s="243"/>
      <c r="G799" s="243"/>
      <c r="H799" s="13"/>
      <c r="I799" s="13"/>
      <c r="J799" s="242"/>
      <c r="K799" s="242"/>
      <c r="L799" s="13"/>
      <c r="M799" s="242"/>
      <c r="N799" s="242"/>
      <c r="O799" s="242"/>
      <c r="P799" s="242"/>
      <c r="Q799" s="13"/>
      <c r="R799" s="13"/>
      <c r="S799" s="242"/>
      <c r="T799" s="443"/>
      <c r="U799" s="443"/>
      <c r="V799" s="242"/>
      <c r="W799" s="242"/>
      <c r="X799" s="242"/>
      <c r="Y799" s="242"/>
      <c r="Z799" s="242"/>
    </row>
    <row r="800">
      <c r="A800" s="242"/>
      <c r="B800" s="243"/>
      <c r="C800" s="243"/>
      <c r="D800" s="243"/>
      <c r="E800" s="15"/>
      <c r="F800" s="243"/>
      <c r="G800" s="243"/>
      <c r="H800" s="13"/>
      <c r="I800" s="13"/>
      <c r="J800" s="242"/>
      <c r="K800" s="242"/>
      <c r="L800" s="13"/>
      <c r="M800" s="242"/>
      <c r="N800" s="242"/>
      <c r="O800" s="242"/>
      <c r="P800" s="242"/>
      <c r="Q800" s="13"/>
      <c r="R800" s="13"/>
      <c r="S800" s="242"/>
      <c r="T800" s="443"/>
      <c r="U800" s="443"/>
      <c r="V800" s="242"/>
      <c r="W800" s="242"/>
      <c r="X800" s="242"/>
      <c r="Y800" s="242"/>
      <c r="Z800" s="242"/>
    </row>
    <row r="801">
      <c r="A801" s="242"/>
      <c r="B801" s="243"/>
      <c r="C801" s="243"/>
      <c r="D801" s="243"/>
      <c r="E801" s="15"/>
      <c r="F801" s="243"/>
      <c r="G801" s="243"/>
      <c r="H801" s="13"/>
      <c r="I801" s="13"/>
      <c r="J801" s="242"/>
      <c r="K801" s="242"/>
      <c r="L801" s="13"/>
      <c r="M801" s="242"/>
      <c r="N801" s="242"/>
      <c r="O801" s="242"/>
      <c r="P801" s="242"/>
      <c r="Q801" s="13"/>
      <c r="R801" s="13"/>
      <c r="S801" s="242"/>
      <c r="T801" s="443"/>
      <c r="U801" s="443"/>
      <c r="V801" s="242"/>
      <c r="W801" s="242"/>
      <c r="X801" s="242"/>
      <c r="Y801" s="242"/>
      <c r="Z801" s="242"/>
    </row>
    <row r="802">
      <c r="A802" s="242"/>
      <c r="B802" s="243"/>
      <c r="C802" s="243"/>
      <c r="D802" s="243"/>
      <c r="E802" s="15"/>
      <c r="F802" s="243"/>
      <c r="G802" s="243"/>
      <c r="H802" s="13"/>
      <c r="I802" s="13"/>
      <c r="J802" s="242"/>
      <c r="K802" s="242"/>
      <c r="L802" s="13"/>
      <c r="M802" s="242"/>
      <c r="N802" s="242"/>
      <c r="O802" s="242"/>
      <c r="P802" s="242"/>
      <c r="Q802" s="13"/>
      <c r="R802" s="13"/>
      <c r="S802" s="242"/>
      <c r="T802" s="443"/>
      <c r="U802" s="443"/>
      <c r="V802" s="242"/>
      <c r="W802" s="242"/>
      <c r="X802" s="242"/>
      <c r="Y802" s="242"/>
      <c r="Z802" s="242"/>
    </row>
    <row r="803">
      <c r="A803" s="242"/>
      <c r="B803" s="243"/>
      <c r="C803" s="243"/>
      <c r="D803" s="243"/>
      <c r="E803" s="15"/>
      <c r="F803" s="243"/>
      <c r="G803" s="243"/>
      <c r="H803" s="13"/>
      <c r="I803" s="13"/>
      <c r="J803" s="242"/>
      <c r="K803" s="242"/>
      <c r="L803" s="13"/>
      <c r="M803" s="242"/>
      <c r="N803" s="242"/>
      <c r="O803" s="242"/>
      <c r="P803" s="242"/>
      <c r="Q803" s="13"/>
      <c r="R803" s="13"/>
      <c r="S803" s="242"/>
      <c r="T803" s="443"/>
      <c r="U803" s="443"/>
      <c r="V803" s="242"/>
      <c r="W803" s="242"/>
      <c r="X803" s="242"/>
      <c r="Y803" s="242"/>
      <c r="Z803" s="242"/>
    </row>
    <row r="804">
      <c r="A804" s="242"/>
      <c r="B804" s="243"/>
      <c r="C804" s="243"/>
      <c r="D804" s="243"/>
      <c r="E804" s="15"/>
      <c r="F804" s="243"/>
      <c r="G804" s="243"/>
      <c r="H804" s="13"/>
      <c r="I804" s="13"/>
      <c r="J804" s="242"/>
      <c r="K804" s="242"/>
      <c r="L804" s="13"/>
      <c r="M804" s="242"/>
      <c r="N804" s="242"/>
      <c r="O804" s="242"/>
      <c r="P804" s="242"/>
      <c r="Q804" s="13"/>
      <c r="R804" s="13"/>
      <c r="S804" s="242"/>
      <c r="T804" s="443"/>
      <c r="U804" s="443"/>
      <c r="V804" s="242"/>
      <c r="W804" s="242"/>
      <c r="X804" s="242"/>
      <c r="Y804" s="242"/>
      <c r="Z804" s="242"/>
    </row>
    <row r="805">
      <c r="A805" s="242"/>
      <c r="B805" s="243"/>
      <c r="C805" s="243"/>
      <c r="D805" s="243"/>
      <c r="E805" s="15"/>
      <c r="F805" s="243"/>
      <c r="G805" s="243"/>
      <c r="H805" s="13"/>
      <c r="I805" s="13"/>
      <c r="J805" s="242"/>
      <c r="K805" s="242"/>
      <c r="L805" s="13"/>
      <c r="M805" s="242"/>
      <c r="N805" s="242"/>
      <c r="O805" s="242"/>
      <c r="P805" s="242"/>
      <c r="Q805" s="13"/>
      <c r="R805" s="13"/>
      <c r="S805" s="242"/>
      <c r="T805" s="443"/>
      <c r="U805" s="443"/>
      <c r="V805" s="242"/>
      <c r="W805" s="242"/>
      <c r="X805" s="242"/>
      <c r="Y805" s="242"/>
      <c r="Z805" s="242"/>
    </row>
    <row r="806">
      <c r="A806" s="242"/>
      <c r="B806" s="243"/>
      <c r="C806" s="243"/>
      <c r="D806" s="243"/>
      <c r="E806" s="15"/>
      <c r="F806" s="243"/>
      <c r="G806" s="243"/>
      <c r="H806" s="13"/>
      <c r="I806" s="13"/>
      <c r="J806" s="242"/>
      <c r="K806" s="242"/>
      <c r="L806" s="13"/>
      <c r="M806" s="242"/>
      <c r="N806" s="242"/>
      <c r="O806" s="242"/>
      <c r="P806" s="242"/>
      <c r="Q806" s="13"/>
      <c r="R806" s="13"/>
      <c r="S806" s="242"/>
      <c r="T806" s="443"/>
      <c r="U806" s="443"/>
      <c r="V806" s="242"/>
      <c r="W806" s="242"/>
      <c r="X806" s="242"/>
      <c r="Y806" s="242"/>
      <c r="Z806" s="242"/>
    </row>
    <row r="807">
      <c r="A807" s="242"/>
      <c r="B807" s="243"/>
      <c r="C807" s="243"/>
      <c r="D807" s="243"/>
      <c r="E807" s="15"/>
      <c r="F807" s="243"/>
      <c r="G807" s="243"/>
      <c r="H807" s="13"/>
      <c r="I807" s="13"/>
      <c r="J807" s="242"/>
      <c r="K807" s="242"/>
      <c r="L807" s="13"/>
      <c r="M807" s="242"/>
      <c r="N807" s="242"/>
      <c r="O807" s="242"/>
      <c r="P807" s="242"/>
      <c r="Q807" s="13"/>
      <c r="R807" s="13"/>
      <c r="S807" s="242"/>
      <c r="T807" s="443"/>
      <c r="U807" s="443"/>
      <c r="V807" s="242"/>
      <c r="W807" s="242"/>
      <c r="X807" s="242"/>
      <c r="Y807" s="242"/>
      <c r="Z807" s="242"/>
    </row>
    <row r="808">
      <c r="A808" s="242"/>
      <c r="B808" s="243"/>
      <c r="C808" s="243"/>
      <c r="D808" s="243"/>
      <c r="E808" s="15"/>
      <c r="F808" s="243"/>
      <c r="G808" s="243"/>
      <c r="H808" s="13"/>
      <c r="I808" s="13"/>
      <c r="J808" s="242"/>
      <c r="K808" s="242"/>
      <c r="L808" s="13"/>
      <c r="M808" s="242"/>
      <c r="N808" s="242"/>
      <c r="O808" s="242"/>
      <c r="P808" s="242"/>
      <c r="Q808" s="13"/>
      <c r="R808" s="13"/>
      <c r="S808" s="242"/>
      <c r="T808" s="443"/>
      <c r="U808" s="443"/>
      <c r="V808" s="242"/>
      <c r="W808" s="242"/>
      <c r="X808" s="242"/>
      <c r="Y808" s="242"/>
      <c r="Z808" s="242"/>
    </row>
    <row r="809">
      <c r="A809" s="242"/>
      <c r="B809" s="243"/>
      <c r="C809" s="243"/>
      <c r="D809" s="243"/>
      <c r="E809" s="15"/>
      <c r="F809" s="243"/>
      <c r="G809" s="243"/>
      <c r="H809" s="13"/>
      <c r="I809" s="13"/>
      <c r="J809" s="242"/>
      <c r="K809" s="242"/>
      <c r="L809" s="13"/>
      <c r="M809" s="242"/>
      <c r="N809" s="242"/>
      <c r="O809" s="242"/>
      <c r="P809" s="242"/>
      <c r="Q809" s="13"/>
      <c r="R809" s="13"/>
      <c r="S809" s="242"/>
      <c r="T809" s="443"/>
      <c r="U809" s="443"/>
      <c r="V809" s="242"/>
      <c r="W809" s="242"/>
      <c r="X809" s="242"/>
      <c r="Y809" s="242"/>
      <c r="Z809" s="242"/>
    </row>
    <row r="810">
      <c r="A810" s="242"/>
      <c r="B810" s="243"/>
      <c r="C810" s="243"/>
      <c r="D810" s="243"/>
      <c r="E810" s="15"/>
      <c r="F810" s="243"/>
      <c r="G810" s="243"/>
      <c r="H810" s="13"/>
      <c r="I810" s="13"/>
      <c r="J810" s="242"/>
      <c r="K810" s="242"/>
      <c r="L810" s="13"/>
      <c r="M810" s="242"/>
      <c r="N810" s="242"/>
      <c r="O810" s="242"/>
      <c r="P810" s="242"/>
      <c r="Q810" s="13"/>
      <c r="R810" s="13"/>
      <c r="S810" s="242"/>
      <c r="T810" s="443"/>
      <c r="U810" s="443"/>
      <c r="V810" s="242"/>
      <c r="W810" s="242"/>
      <c r="X810" s="242"/>
      <c r="Y810" s="242"/>
      <c r="Z810" s="242"/>
    </row>
    <row r="811">
      <c r="A811" s="242"/>
      <c r="B811" s="243"/>
      <c r="C811" s="243"/>
      <c r="D811" s="243"/>
      <c r="E811" s="15"/>
      <c r="F811" s="243"/>
      <c r="G811" s="243"/>
      <c r="H811" s="13"/>
      <c r="I811" s="13"/>
      <c r="J811" s="242"/>
      <c r="K811" s="242"/>
      <c r="L811" s="13"/>
      <c r="M811" s="242"/>
      <c r="N811" s="242"/>
      <c r="O811" s="242"/>
      <c r="P811" s="242"/>
      <c r="Q811" s="13"/>
      <c r="R811" s="13"/>
      <c r="S811" s="242"/>
      <c r="T811" s="443"/>
      <c r="U811" s="443"/>
      <c r="V811" s="242"/>
      <c r="W811" s="242"/>
      <c r="X811" s="242"/>
      <c r="Y811" s="242"/>
      <c r="Z811" s="242"/>
    </row>
    <row r="812">
      <c r="A812" s="242"/>
      <c r="B812" s="243"/>
      <c r="C812" s="243"/>
      <c r="D812" s="243"/>
      <c r="E812" s="15"/>
      <c r="F812" s="243"/>
      <c r="G812" s="243"/>
      <c r="H812" s="13"/>
      <c r="I812" s="13"/>
      <c r="J812" s="242"/>
      <c r="K812" s="242"/>
      <c r="L812" s="13"/>
      <c r="M812" s="242"/>
      <c r="N812" s="242"/>
      <c r="O812" s="242"/>
      <c r="P812" s="242"/>
      <c r="Q812" s="13"/>
      <c r="R812" s="13"/>
      <c r="S812" s="242"/>
      <c r="T812" s="443"/>
      <c r="U812" s="443"/>
      <c r="V812" s="242"/>
      <c r="W812" s="242"/>
      <c r="X812" s="242"/>
      <c r="Y812" s="242"/>
      <c r="Z812" s="242"/>
    </row>
    <row r="813">
      <c r="A813" s="242"/>
      <c r="B813" s="243"/>
      <c r="C813" s="243"/>
      <c r="D813" s="243"/>
      <c r="E813" s="15"/>
      <c r="F813" s="243"/>
      <c r="G813" s="243"/>
      <c r="H813" s="13"/>
      <c r="I813" s="13"/>
      <c r="J813" s="242"/>
      <c r="K813" s="242"/>
      <c r="L813" s="13"/>
      <c r="M813" s="242"/>
      <c r="N813" s="242"/>
      <c r="O813" s="242"/>
      <c r="P813" s="242"/>
      <c r="Q813" s="13"/>
      <c r="R813" s="13"/>
      <c r="S813" s="242"/>
      <c r="T813" s="443"/>
      <c r="U813" s="443"/>
      <c r="V813" s="242"/>
      <c r="W813" s="242"/>
      <c r="X813" s="242"/>
      <c r="Y813" s="242"/>
      <c r="Z813" s="242"/>
    </row>
    <row r="814">
      <c r="A814" s="242"/>
      <c r="B814" s="243"/>
      <c r="C814" s="243"/>
      <c r="D814" s="243"/>
      <c r="E814" s="15"/>
      <c r="F814" s="243"/>
      <c r="G814" s="243"/>
      <c r="H814" s="13"/>
      <c r="I814" s="13"/>
      <c r="J814" s="242"/>
      <c r="K814" s="242"/>
      <c r="L814" s="13"/>
      <c r="M814" s="242"/>
      <c r="N814" s="242"/>
      <c r="O814" s="242"/>
      <c r="P814" s="242"/>
      <c r="Q814" s="13"/>
      <c r="R814" s="13"/>
      <c r="S814" s="242"/>
      <c r="T814" s="443"/>
      <c r="U814" s="443"/>
      <c r="V814" s="242"/>
      <c r="W814" s="242"/>
      <c r="X814" s="242"/>
      <c r="Y814" s="242"/>
      <c r="Z814" s="242"/>
    </row>
    <row r="815">
      <c r="A815" s="242"/>
      <c r="B815" s="243"/>
      <c r="C815" s="243"/>
      <c r="D815" s="243"/>
      <c r="E815" s="15"/>
      <c r="F815" s="243"/>
      <c r="G815" s="243"/>
      <c r="H815" s="13"/>
      <c r="I815" s="13"/>
      <c r="J815" s="242"/>
      <c r="K815" s="242"/>
      <c r="L815" s="13"/>
      <c r="M815" s="242"/>
      <c r="N815" s="242"/>
      <c r="O815" s="242"/>
      <c r="P815" s="242"/>
      <c r="Q815" s="13"/>
      <c r="R815" s="13"/>
      <c r="S815" s="242"/>
      <c r="T815" s="443"/>
      <c r="U815" s="443"/>
      <c r="V815" s="242"/>
      <c r="W815" s="242"/>
      <c r="X815" s="242"/>
      <c r="Y815" s="242"/>
      <c r="Z815" s="242"/>
    </row>
    <row r="816">
      <c r="A816" s="242"/>
      <c r="B816" s="243"/>
      <c r="C816" s="243"/>
      <c r="D816" s="243"/>
      <c r="E816" s="15"/>
      <c r="F816" s="243"/>
      <c r="G816" s="243"/>
      <c r="H816" s="13"/>
      <c r="I816" s="13"/>
      <c r="J816" s="242"/>
      <c r="K816" s="242"/>
      <c r="L816" s="13"/>
      <c r="M816" s="242"/>
      <c r="N816" s="242"/>
      <c r="O816" s="242"/>
      <c r="P816" s="242"/>
      <c r="Q816" s="13"/>
      <c r="R816" s="13"/>
      <c r="S816" s="242"/>
      <c r="T816" s="443"/>
      <c r="U816" s="443"/>
      <c r="V816" s="242"/>
      <c r="W816" s="242"/>
      <c r="X816" s="242"/>
      <c r="Y816" s="242"/>
      <c r="Z816" s="242"/>
    </row>
    <row r="817">
      <c r="A817" s="242"/>
      <c r="B817" s="243"/>
      <c r="C817" s="243"/>
      <c r="D817" s="243"/>
      <c r="E817" s="15"/>
      <c r="F817" s="243"/>
      <c r="G817" s="243"/>
      <c r="H817" s="13"/>
      <c r="I817" s="13"/>
      <c r="J817" s="242"/>
      <c r="K817" s="242"/>
      <c r="L817" s="13"/>
      <c r="M817" s="242"/>
      <c r="N817" s="242"/>
      <c r="O817" s="242"/>
      <c r="P817" s="242"/>
      <c r="Q817" s="13"/>
      <c r="R817" s="13"/>
      <c r="S817" s="242"/>
      <c r="T817" s="443"/>
      <c r="U817" s="443"/>
      <c r="V817" s="242"/>
      <c r="W817" s="242"/>
      <c r="X817" s="242"/>
      <c r="Y817" s="242"/>
      <c r="Z817" s="242"/>
    </row>
    <row r="818">
      <c r="A818" s="242"/>
      <c r="B818" s="243"/>
      <c r="C818" s="243"/>
      <c r="D818" s="243"/>
      <c r="E818" s="15"/>
      <c r="F818" s="243"/>
      <c r="G818" s="243"/>
      <c r="H818" s="13"/>
      <c r="I818" s="13"/>
      <c r="J818" s="242"/>
      <c r="K818" s="242"/>
      <c r="L818" s="13"/>
      <c r="M818" s="242"/>
      <c r="N818" s="242"/>
      <c r="O818" s="242"/>
      <c r="P818" s="242"/>
      <c r="Q818" s="13"/>
      <c r="R818" s="13"/>
      <c r="S818" s="242"/>
      <c r="T818" s="443"/>
      <c r="U818" s="443"/>
      <c r="V818" s="242"/>
      <c r="W818" s="242"/>
      <c r="X818" s="242"/>
      <c r="Y818" s="242"/>
      <c r="Z818" s="242"/>
    </row>
    <row r="819">
      <c r="A819" s="242"/>
      <c r="B819" s="243"/>
      <c r="C819" s="243"/>
      <c r="D819" s="243"/>
      <c r="E819" s="15"/>
      <c r="F819" s="243"/>
      <c r="G819" s="243"/>
      <c r="H819" s="13"/>
      <c r="I819" s="13"/>
      <c r="J819" s="242"/>
      <c r="K819" s="242"/>
      <c r="L819" s="13"/>
      <c r="M819" s="242"/>
      <c r="N819" s="242"/>
      <c r="O819" s="242"/>
      <c r="P819" s="242"/>
      <c r="Q819" s="13"/>
      <c r="R819" s="13"/>
      <c r="S819" s="242"/>
      <c r="T819" s="443"/>
      <c r="U819" s="443"/>
      <c r="V819" s="242"/>
      <c r="W819" s="242"/>
      <c r="X819" s="242"/>
      <c r="Y819" s="242"/>
      <c r="Z819" s="242"/>
    </row>
    <row r="820">
      <c r="A820" s="242"/>
      <c r="B820" s="243"/>
      <c r="C820" s="243"/>
      <c r="D820" s="243"/>
      <c r="E820" s="15"/>
      <c r="F820" s="243"/>
      <c r="G820" s="243"/>
      <c r="H820" s="13"/>
      <c r="I820" s="13"/>
      <c r="J820" s="242"/>
      <c r="K820" s="242"/>
      <c r="L820" s="13"/>
      <c r="M820" s="242"/>
      <c r="N820" s="242"/>
      <c r="O820" s="242"/>
      <c r="P820" s="242"/>
      <c r="Q820" s="13"/>
      <c r="R820" s="13"/>
      <c r="S820" s="242"/>
      <c r="T820" s="443"/>
      <c r="U820" s="443"/>
      <c r="V820" s="242"/>
      <c r="W820" s="242"/>
      <c r="X820" s="242"/>
      <c r="Y820" s="242"/>
      <c r="Z820" s="242"/>
    </row>
    <row r="821">
      <c r="A821" s="242"/>
      <c r="B821" s="243"/>
      <c r="C821" s="243"/>
      <c r="D821" s="243"/>
      <c r="E821" s="15"/>
      <c r="F821" s="243"/>
      <c r="G821" s="243"/>
      <c r="H821" s="13"/>
      <c r="I821" s="13"/>
      <c r="J821" s="242"/>
      <c r="K821" s="242"/>
      <c r="L821" s="13"/>
      <c r="M821" s="242"/>
      <c r="N821" s="242"/>
      <c r="O821" s="242"/>
      <c r="P821" s="242"/>
      <c r="Q821" s="13"/>
      <c r="R821" s="13"/>
      <c r="S821" s="242"/>
      <c r="T821" s="443"/>
      <c r="U821" s="443"/>
      <c r="V821" s="242"/>
      <c r="W821" s="242"/>
      <c r="X821" s="242"/>
      <c r="Y821" s="242"/>
      <c r="Z821" s="242"/>
    </row>
    <row r="822">
      <c r="A822" s="242"/>
      <c r="B822" s="243"/>
      <c r="C822" s="243"/>
      <c r="D822" s="243"/>
      <c r="E822" s="15"/>
      <c r="F822" s="243"/>
      <c r="G822" s="243"/>
      <c r="H822" s="13"/>
      <c r="I822" s="13"/>
      <c r="J822" s="242"/>
      <c r="K822" s="242"/>
      <c r="L822" s="13"/>
      <c r="M822" s="242"/>
      <c r="N822" s="242"/>
      <c r="O822" s="242"/>
      <c r="P822" s="242"/>
      <c r="Q822" s="13"/>
      <c r="R822" s="13"/>
      <c r="S822" s="242"/>
      <c r="T822" s="443"/>
      <c r="U822" s="443"/>
      <c r="V822" s="242"/>
      <c r="W822" s="242"/>
      <c r="X822" s="242"/>
      <c r="Y822" s="242"/>
      <c r="Z822" s="242"/>
    </row>
    <row r="823">
      <c r="A823" s="242"/>
      <c r="B823" s="243"/>
      <c r="C823" s="243"/>
      <c r="D823" s="243"/>
      <c r="E823" s="15"/>
      <c r="F823" s="243"/>
      <c r="G823" s="243"/>
      <c r="H823" s="13"/>
      <c r="I823" s="13"/>
      <c r="J823" s="242"/>
      <c r="K823" s="242"/>
      <c r="L823" s="13"/>
      <c r="M823" s="242"/>
      <c r="N823" s="242"/>
      <c r="O823" s="242"/>
      <c r="P823" s="242"/>
      <c r="Q823" s="13"/>
      <c r="R823" s="13"/>
      <c r="S823" s="242"/>
      <c r="T823" s="443"/>
      <c r="U823" s="443"/>
      <c r="V823" s="242"/>
      <c r="W823" s="242"/>
      <c r="X823" s="242"/>
      <c r="Y823" s="242"/>
      <c r="Z823" s="242"/>
    </row>
    <row r="824">
      <c r="A824" s="242"/>
      <c r="B824" s="243"/>
      <c r="C824" s="243"/>
      <c r="D824" s="243"/>
      <c r="E824" s="15"/>
      <c r="F824" s="243"/>
      <c r="G824" s="243"/>
      <c r="H824" s="13"/>
      <c r="I824" s="13"/>
      <c r="J824" s="242"/>
      <c r="K824" s="242"/>
      <c r="L824" s="13"/>
      <c r="M824" s="242"/>
      <c r="N824" s="242"/>
      <c r="O824" s="242"/>
      <c r="P824" s="242"/>
      <c r="Q824" s="13"/>
      <c r="R824" s="13"/>
      <c r="S824" s="242"/>
      <c r="T824" s="443"/>
      <c r="U824" s="443"/>
      <c r="V824" s="242"/>
      <c r="W824" s="242"/>
      <c r="X824" s="242"/>
      <c r="Y824" s="242"/>
      <c r="Z824" s="242"/>
    </row>
    <row r="825">
      <c r="A825" s="242"/>
      <c r="B825" s="243"/>
      <c r="C825" s="243"/>
      <c r="D825" s="243"/>
      <c r="E825" s="15"/>
      <c r="F825" s="243"/>
      <c r="G825" s="243"/>
      <c r="H825" s="13"/>
      <c r="I825" s="13"/>
      <c r="J825" s="242"/>
      <c r="K825" s="242"/>
      <c r="L825" s="13"/>
      <c r="M825" s="242"/>
      <c r="N825" s="242"/>
      <c r="O825" s="242"/>
      <c r="P825" s="242"/>
      <c r="Q825" s="13"/>
      <c r="R825" s="13"/>
      <c r="S825" s="242"/>
      <c r="T825" s="443"/>
      <c r="U825" s="443"/>
      <c r="V825" s="242"/>
      <c r="W825" s="242"/>
      <c r="X825" s="242"/>
      <c r="Y825" s="242"/>
      <c r="Z825" s="242"/>
    </row>
    <row r="826">
      <c r="A826" s="242"/>
      <c r="B826" s="243"/>
      <c r="C826" s="243"/>
      <c r="D826" s="243"/>
      <c r="E826" s="15"/>
      <c r="F826" s="243"/>
      <c r="G826" s="243"/>
      <c r="H826" s="13"/>
      <c r="I826" s="13"/>
      <c r="J826" s="242"/>
      <c r="K826" s="242"/>
      <c r="L826" s="13"/>
      <c r="M826" s="242"/>
      <c r="N826" s="242"/>
      <c r="O826" s="242"/>
      <c r="P826" s="242"/>
      <c r="Q826" s="13"/>
      <c r="R826" s="13"/>
      <c r="S826" s="242"/>
      <c r="T826" s="443"/>
      <c r="U826" s="443"/>
      <c r="V826" s="242"/>
      <c r="W826" s="242"/>
      <c r="X826" s="242"/>
      <c r="Y826" s="242"/>
      <c r="Z826" s="242"/>
    </row>
    <row r="827">
      <c r="A827" s="242"/>
      <c r="B827" s="243"/>
      <c r="C827" s="243"/>
      <c r="D827" s="243"/>
      <c r="E827" s="15"/>
      <c r="F827" s="243"/>
      <c r="G827" s="243"/>
      <c r="H827" s="13"/>
      <c r="I827" s="13"/>
      <c r="J827" s="242"/>
      <c r="K827" s="242"/>
      <c r="L827" s="13"/>
      <c r="M827" s="242"/>
      <c r="N827" s="242"/>
      <c r="O827" s="242"/>
      <c r="P827" s="242"/>
      <c r="Q827" s="13"/>
      <c r="R827" s="13"/>
      <c r="S827" s="242"/>
      <c r="T827" s="443"/>
      <c r="U827" s="443"/>
      <c r="V827" s="242"/>
      <c r="W827" s="242"/>
      <c r="X827" s="242"/>
      <c r="Y827" s="242"/>
      <c r="Z827" s="242"/>
    </row>
    <row r="828">
      <c r="A828" s="242"/>
      <c r="B828" s="243"/>
      <c r="C828" s="243"/>
      <c r="D828" s="243"/>
      <c r="E828" s="15"/>
      <c r="F828" s="243"/>
      <c r="G828" s="243"/>
      <c r="H828" s="13"/>
      <c r="I828" s="13"/>
      <c r="J828" s="242"/>
      <c r="K828" s="242"/>
      <c r="L828" s="13"/>
      <c r="M828" s="242"/>
      <c r="N828" s="242"/>
      <c r="O828" s="242"/>
      <c r="P828" s="242"/>
      <c r="Q828" s="13"/>
      <c r="R828" s="13"/>
      <c r="S828" s="242"/>
      <c r="T828" s="443"/>
      <c r="U828" s="443"/>
      <c r="V828" s="242"/>
      <c r="W828" s="242"/>
      <c r="X828" s="242"/>
      <c r="Y828" s="242"/>
      <c r="Z828" s="242"/>
    </row>
    <row r="829">
      <c r="A829" s="242"/>
      <c r="B829" s="243"/>
      <c r="C829" s="243"/>
      <c r="D829" s="243"/>
      <c r="E829" s="15"/>
      <c r="F829" s="243"/>
      <c r="G829" s="243"/>
      <c r="H829" s="13"/>
      <c r="I829" s="13"/>
      <c r="J829" s="242"/>
      <c r="K829" s="242"/>
      <c r="L829" s="13"/>
      <c r="M829" s="242"/>
      <c r="N829" s="242"/>
      <c r="O829" s="242"/>
      <c r="P829" s="242"/>
      <c r="Q829" s="13"/>
      <c r="R829" s="13"/>
      <c r="S829" s="242"/>
      <c r="T829" s="443"/>
      <c r="U829" s="443"/>
      <c r="V829" s="242"/>
      <c r="W829" s="242"/>
      <c r="X829" s="242"/>
      <c r="Y829" s="242"/>
      <c r="Z829" s="242"/>
    </row>
    <row r="830">
      <c r="A830" s="242"/>
      <c r="B830" s="243"/>
      <c r="C830" s="243"/>
      <c r="D830" s="243"/>
      <c r="E830" s="15"/>
      <c r="F830" s="243"/>
      <c r="G830" s="243"/>
      <c r="H830" s="13"/>
      <c r="I830" s="13"/>
      <c r="J830" s="242"/>
      <c r="K830" s="242"/>
      <c r="L830" s="13"/>
      <c r="M830" s="242"/>
      <c r="N830" s="242"/>
      <c r="O830" s="242"/>
      <c r="P830" s="242"/>
      <c r="Q830" s="13"/>
      <c r="R830" s="13"/>
      <c r="S830" s="242"/>
      <c r="T830" s="443"/>
      <c r="U830" s="443"/>
      <c r="V830" s="242"/>
      <c r="W830" s="242"/>
      <c r="X830" s="242"/>
      <c r="Y830" s="242"/>
      <c r="Z830" s="242"/>
    </row>
    <row r="831">
      <c r="A831" s="242"/>
      <c r="B831" s="243"/>
      <c r="C831" s="243"/>
      <c r="D831" s="243"/>
      <c r="E831" s="15"/>
      <c r="F831" s="243"/>
      <c r="G831" s="243"/>
      <c r="H831" s="13"/>
      <c r="I831" s="13"/>
      <c r="J831" s="242"/>
      <c r="K831" s="242"/>
      <c r="L831" s="13"/>
      <c r="M831" s="242"/>
      <c r="N831" s="242"/>
      <c r="O831" s="242"/>
      <c r="P831" s="242"/>
      <c r="Q831" s="13"/>
      <c r="R831" s="13"/>
      <c r="S831" s="242"/>
      <c r="T831" s="443"/>
      <c r="U831" s="443"/>
      <c r="V831" s="242"/>
      <c r="W831" s="242"/>
      <c r="X831" s="242"/>
      <c r="Y831" s="242"/>
      <c r="Z831" s="242"/>
    </row>
    <row r="832">
      <c r="A832" s="242"/>
      <c r="B832" s="243"/>
      <c r="C832" s="243"/>
      <c r="D832" s="243"/>
      <c r="E832" s="15"/>
      <c r="F832" s="243"/>
      <c r="G832" s="243"/>
      <c r="H832" s="13"/>
      <c r="I832" s="13"/>
      <c r="J832" s="242"/>
      <c r="K832" s="242"/>
      <c r="L832" s="13"/>
      <c r="M832" s="242"/>
      <c r="N832" s="242"/>
      <c r="O832" s="242"/>
      <c r="P832" s="242"/>
      <c r="Q832" s="13"/>
      <c r="R832" s="13"/>
      <c r="S832" s="242"/>
      <c r="T832" s="443"/>
      <c r="U832" s="443"/>
      <c r="V832" s="242"/>
      <c r="W832" s="242"/>
      <c r="X832" s="242"/>
      <c r="Y832" s="242"/>
      <c r="Z832" s="242"/>
    </row>
    <row r="833">
      <c r="A833" s="242"/>
      <c r="B833" s="243"/>
      <c r="C833" s="243"/>
      <c r="D833" s="243"/>
      <c r="E833" s="15"/>
      <c r="F833" s="243"/>
      <c r="G833" s="243"/>
      <c r="H833" s="13"/>
      <c r="I833" s="13"/>
      <c r="J833" s="242"/>
      <c r="K833" s="242"/>
      <c r="L833" s="13"/>
      <c r="M833" s="242"/>
      <c r="N833" s="242"/>
      <c r="O833" s="242"/>
      <c r="P833" s="242"/>
      <c r="Q833" s="13"/>
      <c r="R833" s="13"/>
      <c r="S833" s="242"/>
      <c r="T833" s="443"/>
      <c r="U833" s="443"/>
      <c r="V833" s="242"/>
      <c r="W833" s="242"/>
      <c r="X833" s="242"/>
      <c r="Y833" s="242"/>
      <c r="Z833" s="242"/>
    </row>
    <row r="834">
      <c r="A834" s="242"/>
      <c r="B834" s="243"/>
      <c r="C834" s="243"/>
      <c r="D834" s="243"/>
      <c r="E834" s="15"/>
      <c r="F834" s="243"/>
      <c r="G834" s="243"/>
      <c r="H834" s="13"/>
      <c r="I834" s="13"/>
      <c r="J834" s="242"/>
      <c r="K834" s="242"/>
      <c r="L834" s="13"/>
      <c r="M834" s="242"/>
      <c r="N834" s="242"/>
      <c r="O834" s="242"/>
      <c r="P834" s="242"/>
      <c r="Q834" s="13"/>
      <c r="R834" s="13"/>
      <c r="S834" s="242"/>
      <c r="T834" s="443"/>
      <c r="U834" s="443"/>
      <c r="V834" s="242"/>
      <c r="W834" s="242"/>
      <c r="X834" s="242"/>
      <c r="Y834" s="242"/>
      <c r="Z834" s="242"/>
    </row>
    <row r="835">
      <c r="A835" s="242"/>
      <c r="B835" s="243"/>
      <c r="C835" s="243"/>
      <c r="D835" s="243"/>
      <c r="E835" s="15"/>
      <c r="F835" s="243"/>
      <c r="G835" s="243"/>
      <c r="H835" s="13"/>
      <c r="I835" s="13"/>
      <c r="J835" s="242"/>
      <c r="K835" s="242"/>
      <c r="L835" s="13"/>
      <c r="M835" s="242"/>
      <c r="N835" s="242"/>
      <c r="O835" s="242"/>
      <c r="P835" s="242"/>
      <c r="Q835" s="13"/>
      <c r="R835" s="13"/>
      <c r="S835" s="242"/>
      <c r="T835" s="443"/>
      <c r="U835" s="443"/>
      <c r="V835" s="242"/>
      <c r="W835" s="242"/>
      <c r="X835" s="242"/>
      <c r="Y835" s="242"/>
      <c r="Z835" s="242"/>
    </row>
    <row r="836">
      <c r="A836" s="242"/>
      <c r="B836" s="243"/>
      <c r="C836" s="243"/>
      <c r="D836" s="243"/>
      <c r="E836" s="15"/>
      <c r="F836" s="243"/>
      <c r="G836" s="243"/>
      <c r="H836" s="13"/>
      <c r="I836" s="13"/>
      <c r="J836" s="242"/>
      <c r="K836" s="242"/>
      <c r="L836" s="13"/>
      <c r="M836" s="242"/>
      <c r="N836" s="242"/>
      <c r="O836" s="242"/>
      <c r="P836" s="242"/>
      <c r="Q836" s="13"/>
      <c r="R836" s="13"/>
      <c r="S836" s="242"/>
      <c r="T836" s="443"/>
      <c r="U836" s="443"/>
      <c r="V836" s="242"/>
      <c r="W836" s="242"/>
      <c r="X836" s="242"/>
      <c r="Y836" s="242"/>
      <c r="Z836" s="242"/>
    </row>
    <row r="837">
      <c r="A837" s="242"/>
      <c r="B837" s="243"/>
      <c r="C837" s="243"/>
      <c r="D837" s="243"/>
      <c r="E837" s="15"/>
      <c r="F837" s="243"/>
      <c r="G837" s="243"/>
      <c r="H837" s="13"/>
      <c r="I837" s="13"/>
      <c r="J837" s="242"/>
      <c r="K837" s="242"/>
      <c r="L837" s="13"/>
      <c r="M837" s="242"/>
      <c r="N837" s="242"/>
      <c r="O837" s="242"/>
      <c r="P837" s="242"/>
      <c r="Q837" s="13"/>
      <c r="R837" s="13"/>
      <c r="S837" s="242"/>
      <c r="T837" s="443"/>
      <c r="U837" s="443"/>
      <c r="V837" s="242"/>
      <c r="W837" s="242"/>
      <c r="X837" s="242"/>
      <c r="Y837" s="242"/>
      <c r="Z837" s="242"/>
    </row>
    <row r="838">
      <c r="A838" s="242"/>
      <c r="B838" s="243"/>
      <c r="C838" s="243"/>
      <c r="D838" s="243"/>
      <c r="E838" s="15"/>
      <c r="F838" s="243"/>
      <c r="G838" s="243"/>
      <c r="H838" s="13"/>
      <c r="I838" s="13"/>
      <c r="J838" s="242"/>
      <c r="K838" s="242"/>
      <c r="L838" s="13"/>
      <c r="M838" s="242"/>
      <c r="N838" s="242"/>
      <c r="O838" s="242"/>
      <c r="P838" s="242"/>
      <c r="Q838" s="13"/>
      <c r="R838" s="13"/>
      <c r="S838" s="242"/>
      <c r="T838" s="443"/>
      <c r="U838" s="443"/>
      <c r="V838" s="242"/>
      <c r="W838" s="242"/>
      <c r="X838" s="242"/>
      <c r="Y838" s="242"/>
      <c r="Z838" s="242"/>
    </row>
    <row r="839">
      <c r="A839" s="242"/>
      <c r="B839" s="243"/>
      <c r="C839" s="243"/>
      <c r="D839" s="243"/>
      <c r="E839" s="15"/>
      <c r="F839" s="243"/>
      <c r="G839" s="243"/>
      <c r="H839" s="13"/>
      <c r="I839" s="13"/>
      <c r="J839" s="242"/>
      <c r="K839" s="242"/>
      <c r="L839" s="13"/>
      <c r="M839" s="242"/>
      <c r="N839" s="242"/>
      <c r="O839" s="242"/>
      <c r="P839" s="242"/>
      <c r="Q839" s="13"/>
      <c r="R839" s="13"/>
      <c r="S839" s="242"/>
      <c r="T839" s="443"/>
      <c r="U839" s="443"/>
      <c r="V839" s="242"/>
      <c r="W839" s="242"/>
      <c r="X839" s="242"/>
      <c r="Y839" s="242"/>
      <c r="Z839" s="242"/>
    </row>
    <row r="840">
      <c r="A840" s="242"/>
      <c r="B840" s="243"/>
      <c r="C840" s="243"/>
      <c r="D840" s="243"/>
      <c r="E840" s="15"/>
      <c r="F840" s="243"/>
      <c r="G840" s="243"/>
      <c r="H840" s="13"/>
      <c r="I840" s="13"/>
      <c r="J840" s="242"/>
      <c r="K840" s="242"/>
      <c r="L840" s="13"/>
      <c r="M840" s="242"/>
      <c r="N840" s="242"/>
      <c r="O840" s="242"/>
      <c r="P840" s="242"/>
      <c r="Q840" s="13"/>
      <c r="R840" s="13"/>
      <c r="S840" s="242"/>
      <c r="T840" s="443"/>
      <c r="U840" s="443"/>
      <c r="V840" s="242"/>
      <c r="W840" s="242"/>
      <c r="X840" s="242"/>
      <c r="Y840" s="242"/>
      <c r="Z840" s="242"/>
    </row>
    <row r="841">
      <c r="A841" s="242"/>
      <c r="B841" s="243"/>
      <c r="C841" s="243"/>
      <c r="D841" s="243"/>
      <c r="E841" s="15"/>
      <c r="F841" s="243"/>
      <c r="G841" s="243"/>
      <c r="H841" s="13"/>
      <c r="I841" s="13"/>
      <c r="J841" s="242"/>
      <c r="K841" s="242"/>
      <c r="L841" s="13"/>
      <c r="M841" s="242"/>
      <c r="N841" s="242"/>
      <c r="O841" s="242"/>
      <c r="P841" s="242"/>
      <c r="Q841" s="13"/>
      <c r="R841" s="13"/>
      <c r="S841" s="242"/>
      <c r="T841" s="443"/>
      <c r="U841" s="443"/>
      <c r="V841" s="242"/>
      <c r="W841" s="242"/>
      <c r="X841" s="242"/>
      <c r="Y841" s="242"/>
      <c r="Z841" s="242"/>
    </row>
    <row r="842">
      <c r="A842" s="242"/>
      <c r="B842" s="243"/>
      <c r="C842" s="243"/>
      <c r="D842" s="243"/>
      <c r="E842" s="15"/>
      <c r="F842" s="243"/>
      <c r="G842" s="243"/>
      <c r="H842" s="13"/>
      <c r="I842" s="13"/>
      <c r="J842" s="242"/>
      <c r="K842" s="242"/>
      <c r="L842" s="13"/>
      <c r="M842" s="242"/>
      <c r="N842" s="242"/>
      <c r="O842" s="242"/>
      <c r="P842" s="242"/>
      <c r="Q842" s="13"/>
      <c r="R842" s="13"/>
      <c r="S842" s="242"/>
      <c r="T842" s="443"/>
      <c r="U842" s="443"/>
      <c r="V842" s="242"/>
      <c r="W842" s="242"/>
      <c r="X842" s="242"/>
      <c r="Y842" s="242"/>
      <c r="Z842" s="242"/>
    </row>
    <row r="843">
      <c r="A843" s="242"/>
      <c r="B843" s="243"/>
      <c r="C843" s="243"/>
      <c r="D843" s="243"/>
      <c r="E843" s="15"/>
      <c r="F843" s="243"/>
      <c r="G843" s="243"/>
      <c r="H843" s="13"/>
      <c r="I843" s="13"/>
      <c r="J843" s="242"/>
      <c r="K843" s="242"/>
      <c r="L843" s="13"/>
      <c r="M843" s="242"/>
      <c r="N843" s="242"/>
      <c r="O843" s="242"/>
      <c r="P843" s="242"/>
      <c r="Q843" s="13"/>
      <c r="R843" s="13"/>
      <c r="S843" s="242"/>
      <c r="T843" s="443"/>
      <c r="U843" s="443"/>
      <c r="V843" s="242"/>
      <c r="W843" s="242"/>
      <c r="X843" s="242"/>
      <c r="Y843" s="242"/>
      <c r="Z843" s="242"/>
    </row>
    <row r="844">
      <c r="A844" s="242"/>
      <c r="B844" s="243"/>
      <c r="C844" s="243"/>
      <c r="D844" s="243"/>
      <c r="E844" s="15"/>
      <c r="F844" s="243"/>
      <c r="G844" s="243"/>
      <c r="H844" s="13"/>
      <c r="I844" s="13"/>
      <c r="J844" s="242"/>
      <c r="K844" s="242"/>
      <c r="L844" s="13"/>
      <c r="M844" s="242"/>
      <c r="N844" s="242"/>
      <c r="O844" s="242"/>
      <c r="P844" s="242"/>
      <c r="Q844" s="13"/>
      <c r="R844" s="13"/>
      <c r="S844" s="242"/>
      <c r="T844" s="443"/>
      <c r="U844" s="443"/>
      <c r="V844" s="242"/>
      <c r="W844" s="242"/>
      <c r="X844" s="242"/>
      <c r="Y844" s="242"/>
      <c r="Z844" s="242"/>
    </row>
    <row r="845">
      <c r="A845" s="242"/>
      <c r="B845" s="243"/>
      <c r="C845" s="243"/>
      <c r="D845" s="243"/>
      <c r="E845" s="15"/>
      <c r="F845" s="243"/>
      <c r="G845" s="243"/>
      <c r="H845" s="13"/>
      <c r="I845" s="13"/>
      <c r="J845" s="242"/>
      <c r="K845" s="242"/>
      <c r="L845" s="13"/>
      <c r="M845" s="242"/>
      <c r="N845" s="242"/>
      <c r="O845" s="242"/>
      <c r="P845" s="242"/>
      <c r="Q845" s="13"/>
      <c r="R845" s="13"/>
      <c r="S845" s="242"/>
      <c r="T845" s="443"/>
      <c r="U845" s="443"/>
      <c r="V845" s="242"/>
      <c r="W845" s="242"/>
      <c r="X845" s="242"/>
      <c r="Y845" s="242"/>
      <c r="Z845" s="242"/>
    </row>
    <row r="846">
      <c r="A846" s="242"/>
      <c r="B846" s="243"/>
      <c r="C846" s="243"/>
      <c r="D846" s="243"/>
      <c r="E846" s="15"/>
      <c r="F846" s="243"/>
      <c r="G846" s="243"/>
      <c r="H846" s="13"/>
      <c r="I846" s="13"/>
      <c r="J846" s="242"/>
      <c r="K846" s="242"/>
      <c r="L846" s="13"/>
      <c r="M846" s="242"/>
      <c r="N846" s="242"/>
      <c r="O846" s="242"/>
      <c r="P846" s="242"/>
      <c r="Q846" s="13"/>
      <c r="R846" s="13"/>
      <c r="S846" s="242"/>
      <c r="T846" s="443"/>
      <c r="U846" s="443"/>
      <c r="V846" s="242"/>
      <c r="W846" s="242"/>
      <c r="X846" s="242"/>
      <c r="Y846" s="242"/>
      <c r="Z846" s="242"/>
    </row>
    <row r="847">
      <c r="A847" s="242"/>
      <c r="B847" s="243"/>
      <c r="C847" s="243"/>
      <c r="D847" s="243"/>
      <c r="E847" s="15"/>
      <c r="F847" s="243"/>
      <c r="G847" s="243"/>
      <c r="H847" s="13"/>
      <c r="I847" s="13"/>
      <c r="J847" s="242"/>
      <c r="K847" s="242"/>
      <c r="L847" s="13"/>
      <c r="M847" s="242"/>
      <c r="N847" s="242"/>
      <c r="O847" s="242"/>
      <c r="P847" s="242"/>
      <c r="Q847" s="13"/>
      <c r="R847" s="13"/>
      <c r="S847" s="242"/>
      <c r="T847" s="443"/>
      <c r="U847" s="443"/>
      <c r="V847" s="242"/>
      <c r="W847" s="242"/>
      <c r="X847" s="242"/>
      <c r="Y847" s="242"/>
      <c r="Z847" s="242"/>
    </row>
    <row r="848">
      <c r="A848" s="242"/>
      <c r="B848" s="243"/>
      <c r="C848" s="243"/>
      <c r="D848" s="243"/>
      <c r="E848" s="15"/>
      <c r="F848" s="243"/>
      <c r="G848" s="243"/>
      <c r="H848" s="13"/>
      <c r="I848" s="13"/>
      <c r="J848" s="242"/>
      <c r="K848" s="242"/>
      <c r="L848" s="13"/>
      <c r="M848" s="242"/>
      <c r="N848" s="242"/>
      <c r="O848" s="242"/>
      <c r="P848" s="242"/>
      <c r="Q848" s="13"/>
      <c r="R848" s="13"/>
      <c r="S848" s="242"/>
      <c r="T848" s="443"/>
      <c r="U848" s="443"/>
      <c r="V848" s="242"/>
      <c r="W848" s="242"/>
      <c r="X848" s="242"/>
      <c r="Y848" s="242"/>
      <c r="Z848" s="242"/>
    </row>
    <row r="849">
      <c r="A849" s="242"/>
      <c r="B849" s="243"/>
      <c r="C849" s="243"/>
      <c r="D849" s="243"/>
      <c r="E849" s="15"/>
      <c r="F849" s="243"/>
      <c r="G849" s="243"/>
      <c r="H849" s="13"/>
      <c r="I849" s="13"/>
      <c r="J849" s="242"/>
      <c r="K849" s="242"/>
      <c r="L849" s="13"/>
      <c r="M849" s="242"/>
      <c r="N849" s="242"/>
      <c r="O849" s="242"/>
      <c r="P849" s="242"/>
      <c r="Q849" s="13"/>
      <c r="R849" s="13"/>
      <c r="S849" s="242"/>
      <c r="T849" s="443"/>
      <c r="U849" s="443"/>
      <c r="V849" s="242"/>
      <c r="W849" s="242"/>
      <c r="X849" s="242"/>
      <c r="Y849" s="242"/>
      <c r="Z849" s="242"/>
    </row>
    <row r="850">
      <c r="A850" s="242"/>
      <c r="B850" s="243"/>
      <c r="C850" s="243"/>
      <c r="D850" s="243"/>
      <c r="E850" s="15"/>
      <c r="F850" s="243"/>
      <c r="G850" s="243"/>
      <c r="H850" s="13"/>
      <c r="I850" s="13"/>
      <c r="J850" s="242"/>
      <c r="K850" s="242"/>
      <c r="L850" s="13"/>
      <c r="M850" s="242"/>
      <c r="N850" s="242"/>
      <c r="O850" s="242"/>
      <c r="P850" s="242"/>
      <c r="Q850" s="13"/>
      <c r="R850" s="13"/>
      <c r="S850" s="242"/>
      <c r="T850" s="443"/>
      <c r="U850" s="443"/>
      <c r="V850" s="242"/>
      <c r="W850" s="242"/>
      <c r="X850" s="242"/>
      <c r="Y850" s="242"/>
      <c r="Z850" s="242"/>
    </row>
    <row r="851">
      <c r="A851" s="242"/>
      <c r="B851" s="243"/>
      <c r="C851" s="243"/>
      <c r="D851" s="243"/>
      <c r="E851" s="15"/>
      <c r="F851" s="243"/>
      <c r="G851" s="243"/>
      <c r="H851" s="13"/>
      <c r="I851" s="13"/>
      <c r="J851" s="242"/>
      <c r="K851" s="242"/>
      <c r="L851" s="13"/>
      <c r="M851" s="242"/>
      <c r="N851" s="242"/>
      <c r="O851" s="242"/>
      <c r="P851" s="242"/>
      <c r="Q851" s="13"/>
      <c r="R851" s="13"/>
      <c r="S851" s="242"/>
      <c r="T851" s="443"/>
      <c r="U851" s="443"/>
      <c r="V851" s="242"/>
      <c r="W851" s="242"/>
      <c r="X851" s="242"/>
      <c r="Y851" s="242"/>
      <c r="Z851" s="242"/>
    </row>
    <row r="852">
      <c r="A852" s="242"/>
      <c r="B852" s="243"/>
      <c r="C852" s="243"/>
      <c r="D852" s="243"/>
      <c r="E852" s="15"/>
      <c r="F852" s="243"/>
      <c r="G852" s="243"/>
      <c r="H852" s="13"/>
      <c r="I852" s="13"/>
      <c r="J852" s="242"/>
      <c r="K852" s="242"/>
      <c r="L852" s="13"/>
      <c r="M852" s="242"/>
      <c r="N852" s="242"/>
      <c r="O852" s="242"/>
      <c r="P852" s="242"/>
      <c r="Q852" s="13"/>
      <c r="R852" s="13"/>
      <c r="S852" s="242"/>
      <c r="T852" s="443"/>
      <c r="U852" s="443"/>
      <c r="V852" s="242"/>
      <c r="W852" s="242"/>
      <c r="X852" s="242"/>
      <c r="Y852" s="242"/>
      <c r="Z852" s="242"/>
    </row>
    <row r="853">
      <c r="A853" s="242"/>
      <c r="B853" s="243"/>
      <c r="C853" s="243"/>
      <c r="D853" s="243"/>
      <c r="E853" s="15"/>
      <c r="F853" s="243"/>
      <c r="G853" s="243"/>
      <c r="H853" s="13"/>
      <c r="I853" s="13"/>
      <c r="J853" s="242"/>
      <c r="K853" s="242"/>
      <c r="L853" s="13"/>
      <c r="M853" s="242"/>
      <c r="N853" s="242"/>
      <c r="O853" s="242"/>
      <c r="P853" s="242"/>
      <c r="Q853" s="13"/>
      <c r="R853" s="13"/>
      <c r="S853" s="242"/>
      <c r="T853" s="443"/>
      <c r="U853" s="443"/>
      <c r="V853" s="242"/>
      <c r="W853" s="242"/>
      <c r="X853" s="242"/>
      <c r="Y853" s="242"/>
      <c r="Z853" s="242"/>
    </row>
    <row r="854">
      <c r="A854" s="242"/>
      <c r="B854" s="243"/>
      <c r="C854" s="243"/>
      <c r="D854" s="243"/>
      <c r="E854" s="15"/>
      <c r="F854" s="243"/>
      <c r="G854" s="243"/>
      <c r="H854" s="13"/>
      <c r="I854" s="13"/>
      <c r="J854" s="242"/>
      <c r="K854" s="242"/>
      <c r="L854" s="13"/>
      <c r="M854" s="242"/>
      <c r="N854" s="242"/>
      <c r="O854" s="242"/>
      <c r="P854" s="242"/>
      <c r="Q854" s="13"/>
      <c r="R854" s="13"/>
      <c r="S854" s="242"/>
      <c r="T854" s="443"/>
      <c r="U854" s="443"/>
      <c r="V854" s="242"/>
      <c r="W854" s="242"/>
      <c r="X854" s="242"/>
      <c r="Y854" s="242"/>
      <c r="Z854" s="242"/>
    </row>
    <row r="855">
      <c r="A855" s="242"/>
      <c r="B855" s="243"/>
      <c r="C855" s="243"/>
      <c r="D855" s="243"/>
      <c r="E855" s="15"/>
      <c r="F855" s="243"/>
      <c r="G855" s="243"/>
      <c r="H855" s="13"/>
      <c r="I855" s="13"/>
      <c r="J855" s="242"/>
      <c r="K855" s="242"/>
      <c r="L855" s="13"/>
      <c r="M855" s="242"/>
      <c r="N855" s="242"/>
      <c r="O855" s="242"/>
      <c r="P855" s="242"/>
      <c r="Q855" s="13"/>
      <c r="R855" s="13"/>
      <c r="S855" s="242"/>
      <c r="T855" s="443"/>
      <c r="U855" s="443"/>
      <c r="V855" s="242"/>
      <c r="W855" s="242"/>
      <c r="X855" s="242"/>
      <c r="Y855" s="242"/>
      <c r="Z855" s="242"/>
    </row>
    <row r="856">
      <c r="A856" s="242"/>
      <c r="B856" s="243"/>
      <c r="C856" s="243"/>
      <c r="D856" s="243"/>
      <c r="E856" s="15"/>
      <c r="F856" s="243"/>
      <c r="G856" s="243"/>
      <c r="H856" s="13"/>
      <c r="I856" s="13"/>
      <c r="J856" s="242"/>
      <c r="K856" s="242"/>
      <c r="L856" s="13"/>
      <c r="M856" s="242"/>
      <c r="N856" s="242"/>
      <c r="O856" s="242"/>
      <c r="P856" s="242"/>
      <c r="Q856" s="13"/>
      <c r="R856" s="13"/>
      <c r="S856" s="242"/>
      <c r="T856" s="443"/>
      <c r="U856" s="443"/>
      <c r="V856" s="242"/>
      <c r="W856" s="242"/>
      <c r="X856" s="242"/>
      <c r="Y856" s="242"/>
      <c r="Z856" s="242"/>
    </row>
    <row r="857">
      <c r="A857" s="242"/>
      <c r="B857" s="243"/>
      <c r="C857" s="243"/>
      <c r="D857" s="243"/>
      <c r="E857" s="15"/>
      <c r="F857" s="243"/>
      <c r="G857" s="243"/>
      <c r="H857" s="13"/>
      <c r="I857" s="13"/>
      <c r="J857" s="242"/>
      <c r="K857" s="242"/>
      <c r="L857" s="13"/>
      <c r="M857" s="242"/>
      <c r="N857" s="242"/>
      <c r="O857" s="242"/>
      <c r="P857" s="242"/>
      <c r="Q857" s="13"/>
      <c r="R857" s="13"/>
      <c r="S857" s="242"/>
      <c r="T857" s="443"/>
      <c r="U857" s="443"/>
      <c r="V857" s="242"/>
      <c r="W857" s="242"/>
      <c r="X857" s="242"/>
      <c r="Y857" s="242"/>
      <c r="Z857" s="242"/>
    </row>
    <row r="858">
      <c r="A858" s="242"/>
      <c r="B858" s="243"/>
      <c r="C858" s="243"/>
      <c r="D858" s="243"/>
      <c r="E858" s="15"/>
      <c r="F858" s="243"/>
      <c r="G858" s="243"/>
      <c r="H858" s="13"/>
      <c r="I858" s="13"/>
      <c r="J858" s="242"/>
      <c r="K858" s="242"/>
      <c r="L858" s="13"/>
      <c r="M858" s="242"/>
      <c r="N858" s="242"/>
      <c r="O858" s="242"/>
      <c r="P858" s="242"/>
      <c r="Q858" s="13"/>
      <c r="R858" s="13"/>
      <c r="S858" s="242"/>
      <c r="T858" s="443"/>
      <c r="U858" s="443"/>
      <c r="V858" s="242"/>
      <c r="W858" s="242"/>
      <c r="X858" s="242"/>
      <c r="Y858" s="242"/>
      <c r="Z858" s="242"/>
    </row>
    <row r="859">
      <c r="A859" s="242"/>
      <c r="B859" s="243"/>
      <c r="C859" s="243"/>
      <c r="D859" s="243"/>
      <c r="E859" s="15"/>
      <c r="F859" s="243"/>
      <c r="G859" s="243"/>
      <c r="H859" s="13"/>
      <c r="I859" s="13"/>
      <c r="J859" s="242"/>
      <c r="K859" s="242"/>
      <c r="L859" s="13"/>
      <c r="M859" s="242"/>
      <c r="N859" s="242"/>
      <c r="O859" s="242"/>
      <c r="P859" s="242"/>
      <c r="Q859" s="13"/>
      <c r="R859" s="13"/>
      <c r="S859" s="242"/>
      <c r="T859" s="443"/>
      <c r="U859" s="443"/>
      <c r="V859" s="242"/>
      <c r="W859" s="242"/>
      <c r="X859" s="242"/>
      <c r="Y859" s="242"/>
      <c r="Z859" s="242"/>
    </row>
    <row r="860">
      <c r="A860" s="242"/>
      <c r="B860" s="243"/>
      <c r="C860" s="243"/>
      <c r="D860" s="243"/>
      <c r="E860" s="15"/>
      <c r="F860" s="243"/>
      <c r="G860" s="243"/>
      <c r="H860" s="13"/>
      <c r="I860" s="13"/>
      <c r="J860" s="242"/>
      <c r="K860" s="242"/>
      <c r="L860" s="13"/>
      <c r="M860" s="242"/>
      <c r="N860" s="242"/>
      <c r="O860" s="242"/>
      <c r="P860" s="242"/>
      <c r="Q860" s="13"/>
      <c r="R860" s="13"/>
      <c r="S860" s="242"/>
      <c r="T860" s="443"/>
      <c r="U860" s="443"/>
      <c r="V860" s="242"/>
      <c r="W860" s="242"/>
      <c r="X860" s="242"/>
      <c r="Y860" s="242"/>
      <c r="Z860" s="242"/>
    </row>
    <row r="861">
      <c r="A861" s="242"/>
      <c r="B861" s="243"/>
      <c r="C861" s="243"/>
      <c r="D861" s="243"/>
      <c r="E861" s="15"/>
      <c r="F861" s="243"/>
      <c r="G861" s="243"/>
      <c r="H861" s="13"/>
      <c r="I861" s="13"/>
      <c r="J861" s="242"/>
      <c r="K861" s="242"/>
      <c r="L861" s="13"/>
      <c r="M861" s="242"/>
      <c r="N861" s="242"/>
      <c r="O861" s="242"/>
      <c r="P861" s="242"/>
      <c r="Q861" s="13"/>
      <c r="R861" s="13"/>
      <c r="S861" s="242"/>
      <c r="T861" s="443"/>
      <c r="U861" s="443"/>
      <c r="V861" s="242"/>
      <c r="W861" s="242"/>
      <c r="X861" s="242"/>
      <c r="Y861" s="242"/>
      <c r="Z861" s="242"/>
    </row>
    <row r="862">
      <c r="A862" s="242"/>
      <c r="B862" s="243"/>
      <c r="C862" s="243"/>
      <c r="D862" s="243"/>
      <c r="E862" s="15"/>
      <c r="F862" s="243"/>
      <c r="G862" s="243"/>
      <c r="H862" s="13"/>
      <c r="I862" s="13"/>
      <c r="J862" s="242"/>
      <c r="K862" s="242"/>
      <c r="L862" s="13"/>
      <c r="M862" s="242"/>
      <c r="N862" s="242"/>
      <c r="O862" s="242"/>
      <c r="P862" s="242"/>
      <c r="Q862" s="13"/>
      <c r="R862" s="13"/>
      <c r="S862" s="242"/>
      <c r="T862" s="443"/>
      <c r="U862" s="443"/>
      <c r="V862" s="242"/>
      <c r="W862" s="242"/>
      <c r="X862" s="242"/>
      <c r="Y862" s="242"/>
      <c r="Z862" s="242"/>
    </row>
    <row r="863">
      <c r="A863" s="242"/>
      <c r="B863" s="243"/>
      <c r="C863" s="243"/>
      <c r="D863" s="243"/>
      <c r="E863" s="15"/>
      <c r="F863" s="243"/>
      <c r="G863" s="243"/>
      <c r="H863" s="13"/>
      <c r="I863" s="13"/>
      <c r="J863" s="242"/>
      <c r="K863" s="242"/>
      <c r="L863" s="13"/>
      <c r="M863" s="242"/>
      <c r="N863" s="242"/>
      <c r="O863" s="242"/>
      <c r="P863" s="242"/>
      <c r="Q863" s="13"/>
      <c r="R863" s="13"/>
      <c r="S863" s="242"/>
      <c r="T863" s="443"/>
      <c r="U863" s="443"/>
      <c r="V863" s="242"/>
      <c r="W863" s="242"/>
      <c r="X863" s="242"/>
      <c r="Y863" s="242"/>
      <c r="Z863" s="242"/>
    </row>
    <row r="864">
      <c r="A864" s="242"/>
      <c r="B864" s="243"/>
      <c r="C864" s="243"/>
      <c r="D864" s="243"/>
      <c r="E864" s="15"/>
      <c r="F864" s="243"/>
      <c r="G864" s="243"/>
      <c r="H864" s="13"/>
      <c r="I864" s="13"/>
      <c r="J864" s="242"/>
      <c r="K864" s="242"/>
      <c r="L864" s="13"/>
      <c r="M864" s="242"/>
      <c r="N864" s="242"/>
      <c r="O864" s="242"/>
      <c r="P864" s="242"/>
      <c r="Q864" s="13"/>
      <c r="R864" s="13"/>
      <c r="S864" s="242"/>
      <c r="T864" s="443"/>
      <c r="U864" s="443"/>
      <c r="V864" s="242"/>
      <c r="W864" s="242"/>
      <c r="X864" s="242"/>
      <c r="Y864" s="242"/>
      <c r="Z864" s="242"/>
    </row>
    <row r="865">
      <c r="A865" s="242"/>
      <c r="B865" s="243"/>
      <c r="C865" s="243"/>
      <c r="D865" s="243"/>
      <c r="E865" s="15"/>
      <c r="F865" s="243"/>
      <c r="G865" s="243"/>
      <c r="H865" s="13"/>
      <c r="I865" s="13"/>
      <c r="J865" s="242"/>
      <c r="K865" s="242"/>
      <c r="L865" s="13"/>
      <c r="M865" s="242"/>
      <c r="N865" s="242"/>
      <c r="O865" s="242"/>
      <c r="P865" s="242"/>
      <c r="Q865" s="13"/>
      <c r="R865" s="13"/>
      <c r="S865" s="242"/>
      <c r="T865" s="443"/>
      <c r="U865" s="443"/>
      <c r="V865" s="242"/>
      <c r="W865" s="242"/>
      <c r="X865" s="242"/>
      <c r="Y865" s="242"/>
      <c r="Z865" s="242"/>
    </row>
    <row r="866">
      <c r="A866" s="242"/>
      <c r="B866" s="243"/>
      <c r="C866" s="243"/>
      <c r="D866" s="243"/>
      <c r="E866" s="15"/>
      <c r="F866" s="243"/>
      <c r="G866" s="243"/>
      <c r="H866" s="13"/>
      <c r="I866" s="13"/>
      <c r="J866" s="242"/>
      <c r="K866" s="242"/>
      <c r="L866" s="13"/>
      <c r="M866" s="242"/>
      <c r="N866" s="242"/>
      <c r="O866" s="242"/>
      <c r="P866" s="242"/>
      <c r="Q866" s="13"/>
      <c r="R866" s="13"/>
      <c r="S866" s="242"/>
      <c r="T866" s="443"/>
      <c r="U866" s="443"/>
      <c r="V866" s="242"/>
      <c r="W866" s="242"/>
      <c r="X866" s="242"/>
      <c r="Y866" s="242"/>
      <c r="Z866" s="242"/>
    </row>
    <row r="867">
      <c r="A867" s="242"/>
      <c r="B867" s="243"/>
      <c r="C867" s="243"/>
      <c r="D867" s="243"/>
      <c r="E867" s="15"/>
      <c r="F867" s="243"/>
      <c r="G867" s="243"/>
      <c r="H867" s="13"/>
      <c r="I867" s="13"/>
      <c r="J867" s="242"/>
      <c r="K867" s="242"/>
      <c r="L867" s="13"/>
      <c r="M867" s="242"/>
      <c r="N867" s="242"/>
      <c r="O867" s="242"/>
      <c r="P867" s="242"/>
      <c r="Q867" s="13"/>
      <c r="R867" s="13"/>
      <c r="S867" s="242"/>
      <c r="T867" s="443"/>
      <c r="U867" s="443"/>
      <c r="V867" s="242"/>
      <c r="W867" s="242"/>
      <c r="X867" s="242"/>
      <c r="Y867" s="242"/>
      <c r="Z867" s="242"/>
    </row>
    <row r="868">
      <c r="A868" s="242"/>
      <c r="B868" s="243"/>
      <c r="C868" s="243"/>
      <c r="D868" s="243"/>
      <c r="E868" s="15"/>
      <c r="F868" s="243"/>
      <c r="G868" s="243"/>
      <c r="H868" s="13"/>
      <c r="I868" s="13"/>
      <c r="J868" s="242"/>
      <c r="K868" s="242"/>
      <c r="L868" s="13"/>
      <c r="M868" s="242"/>
      <c r="N868" s="242"/>
      <c r="O868" s="242"/>
      <c r="P868" s="242"/>
      <c r="Q868" s="13"/>
      <c r="R868" s="13"/>
      <c r="S868" s="242"/>
      <c r="T868" s="443"/>
      <c r="U868" s="443"/>
      <c r="V868" s="242"/>
      <c r="W868" s="242"/>
      <c r="X868" s="242"/>
      <c r="Y868" s="242"/>
      <c r="Z868" s="242"/>
    </row>
    <row r="869">
      <c r="A869" s="242"/>
      <c r="B869" s="243"/>
      <c r="C869" s="243"/>
      <c r="D869" s="243"/>
      <c r="E869" s="15"/>
      <c r="F869" s="243"/>
      <c r="G869" s="243"/>
      <c r="H869" s="13"/>
      <c r="I869" s="13"/>
      <c r="J869" s="242"/>
      <c r="K869" s="242"/>
      <c r="L869" s="13"/>
      <c r="M869" s="242"/>
      <c r="N869" s="242"/>
      <c r="O869" s="242"/>
      <c r="P869" s="242"/>
      <c r="Q869" s="13"/>
      <c r="R869" s="13"/>
      <c r="S869" s="242"/>
      <c r="T869" s="443"/>
      <c r="U869" s="443"/>
      <c r="V869" s="242"/>
      <c r="W869" s="242"/>
      <c r="X869" s="242"/>
      <c r="Y869" s="242"/>
      <c r="Z869" s="242"/>
    </row>
    <row r="870">
      <c r="A870" s="242"/>
      <c r="B870" s="243"/>
      <c r="C870" s="243"/>
      <c r="D870" s="243"/>
      <c r="E870" s="15"/>
      <c r="F870" s="243"/>
      <c r="G870" s="243"/>
      <c r="H870" s="13"/>
      <c r="I870" s="13"/>
      <c r="J870" s="242"/>
      <c r="K870" s="242"/>
      <c r="L870" s="13"/>
      <c r="M870" s="242"/>
      <c r="N870" s="242"/>
      <c r="O870" s="242"/>
      <c r="P870" s="242"/>
      <c r="Q870" s="13"/>
      <c r="R870" s="13"/>
      <c r="S870" s="242"/>
      <c r="T870" s="443"/>
      <c r="U870" s="443"/>
      <c r="V870" s="242"/>
      <c r="W870" s="242"/>
      <c r="X870" s="242"/>
      <c r="Y870" s="242"/>
      <c r="Z870" s="242"/>
    </row>
    <row r="871">
      <c r="A871" s="242"/>
      <c r="B871" s="243"/>
      <c r="C871" s="243"/>
      <c r="D871" s="243"/>
      <c r="E871" s="15"/>
      <c r="F871" s="243"/>
      <c r="G871" s="243"/>
      <c r="H871" s="13"/>
      <c r="I871" s="13"/>
      <c r="J871" s="242"/>
      <c r="K871" s="242"/>
      <c r="L871" s="13"/>
      <c r="M871" s="242"/>
      <c r="N871" s="242"/>
      <c r="O871" s="242"/>
      <c r="P871" s="242"/>
      <c r="Q871" s="13"/>
      <c r="R871" s="13"/>
      <c r="S871" s="242"/>
      <c r="T871" s="443"/>
      <c r="U871" s="443"/>
      <c r="V871" s="242"/>
      <c r="W871" s="242"/>
      <c r="X871" s="242"/>
      <c r="Y871" s="242"/>
      <c r="Z871" s="242"/>
    </row>
    <row r="872">
      <c r="A872" s="242"/>
      <c r="B872" s="243"/>
      <c r="C872" s="243"/>
      <c r="D872" s="243"/>
      <c r="E872" s="15"/>
      <c r="F872" s="243"/>
      <c r="G872" s="243"/>
      <c r="H872" s="13"/>
      <c r="I872" s="13"/>
      <c r="J872" s="242"/>
      <c r="K872" s="242"/>
      <c r="L872" s="13"/>
      <c r="M872" s="242"/>
      <c r="N872" s="242"/>
      <c r="O872" s="242"/>
      <c r="P872" s="242"/>
      <c r="Q872" s="13"/>
      <c r="R872" s="13"/>
      <c r="S872" s="242"/>
      <c r="T872" s="443"/>
      <c r="U872" s="443"/>
      <c r="V872" s="242"/>
      <c r="W872" s="242"/>
      <c r="X872" s="242"/>
      <c r="Y872" s="242"/>
      <c r="Z872" s="242"/>
    </row>
    <row r="873">
      <c r="A873" s="242"/>
      <c r="B873" s="243"/>
      <c r="C873" s="243"/>
      <c r="D873" s="243"/>
      <c r="E873" s="15"/>
      <c r="F873" s="243"/>
      <c r="G873" s="243"/>
      <c r="H873" s="13"/>
      <c r="I873" s="13"/>
      <c r="J873" s="242"/>
      <c r="K873" s="242"/>
      <c r="L873" s="13"/>
      <c r="M873" s="242"/>
      <c r="N873" s="242"/>
      <c r="O873" s="242"/>
      <c r="P873" s="242"/>
      <c r="Q873" s="13"/>
      <c r="R873" s="13"/>
      <c r="S873" s="242"/>
      <c r="T873" s="443"/>
      <c r="U873" s="443"/>
      <c r="V873" s="242"/>
      <c r="W873" s="242"/>
      <c r="X873" s="242"/>
      <c r="Y873" s="242"/>
      <c r="Z873" s="242"/>
    </row>
    <row r="874">
      <c r="A874" s="242"/>
      <c r="B874" s="243"/>
      <c r="C874" s="243"/>
      <c r="D874" s="243"/>
      <c r="E874" s="15"/>
      <c r="F874" s="243"/>
      <c r="G874" s="243"/>
      <c r="H874" s="13"/>
      <c r="I874" s="13"/>
      <c r="J874" s="242"/>
      <c r="K874" s="242"/>
      <c r="L874" s="13"/>
      <c r="M874" s="242"/>
      <c r="N874" s="242"/>
      <c r="O874" s="242"/>
      <c r="P874" s="242"/>
      <c r="Q874" s="13"/>
      <c r="R874" s="13"/>
      <c r="S874" s="242"/>
      <c r="T874" s="443"/>
      <c r="U874" s="443"/>
      <c r="V874" s="242"/>
      <c r="W874" s="242"/>
      <c r="X874" s="242"/>
      <c r="Y874" s="242"/>
      <c r="Z874" s="242"/>
    </row>
    <row r="875">
      <c r="A875" s="242"/>
      <c r="B875" s="243"/>
      <c r="C875" s="243"/>
      <c r="D875" s="243"/>
      <c r="E875" s="15"/>
      <c r="F875" s="243"/>
      <c r="G875" s="243"/>
      <c r="H875" s="13"/>
      <c r="I875" s="13"/>
      <c r="J875" s="242"/>
      <c r="K875" s="242"/>
      <c r="L875" s="13"/>
      <c r="M875" s="242"/>
      <c r="N875" s="242"/>
      <c r="O875" s="242"/>
      <c r="P875" s="242"/>
      <c r="Q875" s="13"/>
      <c r="R875" s="13"/>
      <c r="S875" s="242"/>
      <c r="T875" s="443"/>
      <c r="U875" s="443"/>
      <c r="V875" s="242"/>
      <c r="W875" s="242"/>
      <c r="X875" s="242"/>
      <c r="Y875" s="242"/>
      <c r="Z875" s="242"/>
    </row>
    <row r="876">
      <c r="A876" s="242"/>
      <c r="B876" s="243"/>
      <c r="C876" s="243"/>
      <c r="D876" s="243"/>
      <c r="E876" s="15"/>
      <c r="F876" s="243"/>
      <c r="G876" s="243"/>
      <c r="H876" s="13"/>
      <c r="I876" s="13"/>
      <c r="J876" s="242"/>
      <c r="K876" s="242"/>
      <c r="L876" s="13"/>
      <c r="M876" s="242"/>
      <c r="N876" s="242"/>
      <c r="O876" s="242"/>
      <c r="P876" s="242"/>
      <c r="Q876" s="13"/>
      <c r="R876" s="13"/>
      <c r="S876" s="242"/>
      <c r="T876" s="443"/>
      <c r="U876" s="443"/>
      <c r="V876" s="242"/>
      <c r="W876" s="242"/>
      <c r="X876" s="242"/>
      <c r="Y876" s="242"/>
      <c r="Z876" s="242"/>
    </row>
    <row r="877">
      <c r="A877" s="242"/>
      <c r="B877" s="243"/>
      <c r="C877" s="243"/>
      <c r="D877" s="243"/>
      <c r="E877" s="15"/>
      <c r="F877" s="243"/>
      <c r="G877" s="243"/>
      <c r="H877" s="13"/>
      <c r="I877" s="13"/>
      <c r="J877" s="242"/>
      <c r="K877" s="242"/>
      <c r="L877" s="13"/>
      <c r="M877" s="242"/>
      <c r="N877" s="242"/>
      <c r="O877" s="242"/>
      <c r="P877" s="242"/>
      <c r="Q877" s="13"/>
      <c r="R877" s="13"/>
      <c r="S877" s="242"/>
      <c r="T877" s="443"/>
      <c r="U877" s="443"/>
      <c r="V877" s="242"/>
      <c r="W877" s="242"/>
      <c r="X877" s="242"/>
      <c r="Y877" s="242"/>
      <c r="Z877" s="242"/>
    </row>
    <row r="878">
      <c r="A878" s="242"/>
      <c r="B878" s="243"/>
      <c r="C878" s="243"/>
      <c r="D878" s="243"/>
      <c r="E878" s="15"/>
      <c r="F878" s="243"/>
      <c r="G878" s="243"/>
      <c r="H878" s="13"/>
      <c r="I878" s="13"/>
      <c r="J878" s="242"/>
      <c r="K878" s="242"/>
      <c r="L878" s="13"/>
      <c r="M878" s="242"/>
      <c r="N878" s="242"/>
      <c r="O878" s="242"/>
      <c r="P878" s="242"/>
      <c r="Q878" s="13"/>
      <c r="R878" s="13"/>
      <c r="S878" s="242"/>
      <c r="T878" s="443"/>
      <c r="U878" s="443"/>
      <c r="V878" s="242"/>
      <c r="W878" s="242"/>
      <c r="X878" s="242"/>
      <c r="Y878" s="242"/>
      <c r="Z878" s="242"/>
    </row>
    <row r="879">
      <c r="A879" s="242"/>
      <c r="B879" s="243"/>
      <c r="C879" s="243"/>
      <c r="D879" s="243"/>
      <c r="E879" s="15"/>
      <c r="F879" s="243"/>
      <c r="G879" s="243"/>
      <c r="H879" s="13"/>
      <c r="I879" s="13"/>
      <c r="J879" s="242"/>
      <c r="K879" s="242"/>
      <c r="L879" s="13"/>
      <c r="M879" s="242"/>
      <c r="N879" s="242"/>
      <c r="O879" s="242"/>
      <c r="P879" s="242"/>
      <c r="Q879" s="13"/>
      <c r="R879" s="13"/>
      <c r="S879" s="242"/>
      <c r="T879" s="443"/>
      <c r="U879" s="443"/>
      <c r="V879" s="242"/>
      <c r="W879" s="242"/>
      <c r="X879" s="242"/>
      <c r="Y879" s="242"/>
      <c r="Z879" s="242"/>
    </row>
    <row r="880">
      <c r="A880" s="242"/>
      <c r="B880" s="243"/>
      <c r="C880" s="243"/>
      <c r="D880" s="243"/>
      <c r="E880" s="15"/>
      <c r="F880" s="243"/>
      <c r="G880" s="243"/>
      <c r="H880" s="13"/>
      <c r="I880" s="13"/>
      <c r="J880" s="242"/>
      <c r="K880" s="242"/>
      <c r="L880" s="13"/>
      <c r="M880" s="242"/>
      <c r="N880" s="242"/>
      <c r="O880" s="242"/>
      <c r="P880" s="242"/>
      <c r="Q880" s="13"/>
      <c r="R880" s="13"/>
      <c r="S880" s="242"/>
      <c r="T880" s="443"/>
      <c r="U880" s="443"/>
      <c r="V880" s="242"/>
      <c r="W880" s="242"/>
      <c r="X880" s="242"/>
      <c r="Y880" s="242"/>
      <c r="Z880" s="242"/>
    </row>
    <row r="881">
      <c r="A881" s="242"/>
      <c r="B881" s="243"/>
      <c r="C881" s="243"/>
      <c r="D881" s="243"/>
      <c r="E881" s="15"/>
      <c r="F881" s="243"/>
      <c r="G881" s="243"/>
      <c r="H881" s="13"/>
      <c r="I881" s="13"/>
      <c r="J881" s="242"/>
      <c r="K881" s="242"/>
      <c r="L881" s="13"/>
      <c r="M881" s="242"/>
      <c r="N881" s="242"/>
      <c r="O881" s="242"/>
      <c r="P881" s="242"/>
      <c r="Q881" s="13"/>
      <c r="R881" s="13"/>
      <c r="S881" s="242"/>
      <c r="T881" s="443"/>
      <c r="U881" s="443"/>
      <c r="V881" s="242"/>
      <c r="W881" s="242"/>
      <c r="X881" s="242"/>
      <c r="Y881" s="242"/>
      <c r="Z881" s="242"/>
    </row>
    <row r="882">
      <c r="A882" s="242"/>
      <c r="B882" s="243"/>
      <c r="C882" s="243"/>
      <c r="D882" s="243"/>
      <c r="E882" s="15"/>
      <c r="F882" s="243"/>
      <c r="G882" s="243"/>
      <c r="H882" s="13"/>
      <c r="I882" s="13"/>
      <c r="J882" s="242"/>
      <c r="K882" s="242"/>
      <c r="L882" s="13"/>
      <c r="M882" s="242"/>
      <c r="N882" s="242"/>
      <c r="O882" s="242"/>
      <c r="P882" s="242"/>
      <c r="Q882" s="13"/>
      <c r="R882" s="13"/>
      <c r="S882" s="242"/>
      <c r="T882" s="443"/>
      <c r="U882" s="443"/>
      <c r="V882" s="242"/>
      <c r="W882" s="242"/>
      <c r="X882" s="242"/>
      <c r="Y882" s="242"/>
      <c r="Z882" s="242"/>
    </row>
    <row r="883">
      <c r="A883" s="242"/>
      <c r="B883" s="243"/>
      <c r="C883" s="243"/>
      <c r="D883" s="243"/>
      <c r="E883" s="15"/>
      <c r="F883" s="243"/>
      <c r="G883" s="243"/>
      <c r="H883" s="13"/>
      <c r="I883" s="13"/>
      <c r="J883" s="242"/>
      <c r="K883" s="242"/>
      <c r="L883" s="13"/>
      <c r="M883" s="242"/>
      <c r="N883" s="242"/>
      <c r="O883" s="242"/>
      <c r="P883" s="242"/>
      <c r="Q883" s="13"/>
      <c r="R883" s="13"/>
      <c r="S883" s="242"/>
      <c r="T883" s="443"/>
      <c r="U883" s="443"/>
      <c r="V883" s="242"/>
      <c r="W883" s="242"/>
      <c r="X883" s="242"/>
      <c r="Y883" s="242"/>
      <c r="Z883" s="242"/>
    </row>
    <row r="884">
      <c r="A884" s="242"/>
      <c r="B884" s="243"/>
      <c r="C884" s="243"/>
      <c r="D884" s="243"/>
      <c r="E884" s="15"/>
      <c r="F884" s="243"/>
      <c r="G884" s="243"/>
      <c r="H884" s="13"/>
      <c r="I884" s="13"/>
      <c r="J884" s="242"/>
      <c r="K884" s="242"/>
      <c r="L884" s="13"/>
      <c r="M884" s="242"/>
      <c r="N884" s="242"/>
      <c r="O884" s="242"/>
      <c r="P884" s="242"/>
      <c r="Q884" s="13"/>
      <c r="R884" s="13"/>
      <c r="S884" s="242"/>
      <c r="T884" s="443"/>
      <c r="U884" s="443"/>
      <c r="V884" s="242"/>
      <c r="W884" s="242"/>
      <c r="X884" s="242"/>
      <c r="Y884" s="242"/>
      <c r="Z884" s="242"/>
    </row>
    <row r="885">
      <c r="A885" s="242"/>
      <c r="B885" s="243"/>
      <c r="C885" s="243"/>
      <c r="D885" s="243"/>
      <c r="E885" s="15"/>
      <c r="F885" s="243"/>
      <c r="G885" s="243"/>
      <c r="H885" s="13"/>
      <c r="I885" s="13"/>
      <c r="J885" s="242"/>
      <c r="K885" s="242"/>
      <c r="L885" s="13"/>
      <c r="M885" s="242"/>
      <c r="N885" s="242"/>
      <c r="O885" s="242"/>
      <c r="P885" s="242"/>
      <c r="Q885" s="13"/>
      <c r="R885" s="13"/>
      <c r="S885" s="242"/>
      <c r="T885" s="443"/>
      <c r="U885" s="443"/>
      <c r="V885" s="242"/>
      <c r="W885" s="242"/>
      <c r="X885" s="242"/>
      <c r="Y885" s="242"/>
      <c r="Z885" s="242"/>
    </row>
    <row r="886">
      <c r="A886" s="242"/>
      <c r="B886" s="243"/>
      <c r="C886" s="243"/>
      <c r="D886" s="243"/>
      <c r="E886" s="15"/>
      <c r="F886" s="243"/>
      <c r="G886" s="243"/>
      <c r="H886" s="13"/>
      <c r="I886" s="13"/>
      <c r="J886" s="242"/>
      <c r="K886" s="242"/>
      <c r="L886" s="13"/>
      <c r="M886" s="242"/>
      <c r="N886" s="242"/>
      <c r="O886" s="242"/>
      <c r="P886" s="242"/>
      <c r="Q886" s="13"/>
      <c r="R886" s="13"/>
      <c r="S886" s="242"/>
      <c r="T886" s="443"/>
      <c r="U886" s="443"/>
      <c r="V886" s="242"/>
      <c r="W886" s="242"/>
      <c r="X886" s="242"/>
      <c r="Y886" s="242"/>
      <c r="Z886" s="242"/>
    </row>
    <row r="887">
      <c r="A887" s="242"/>
      <c r="B887" s="243"/>
      <c r="C887" s="243"/>
      <c r="D887" s="243"/>
      <c r="E887" s="15"/>
      <c r="F887" s="243"/>
      <c r="G887" s="243"/>
      <c r="H887" s="13"/>
      <c r="I887" s="13"/>
      <c r="J887" s="242"/>
      <c r="K887" s="242"/>
      <c r="L887" s="13"/>
      <c r="M887" s="242"/>
      <c r="N887" s="242"/>
      <c r="O887" s="242"/>
      <c r="P887" s="242"/>
      <c r="Q887" s="13"/>
      <c r="R887" s="13"/>
      <c r="S887" s="242"/>
      <c r="T887" s="443"/>
      <c r="U887" s="443"/>
      <c r="V887" s="242"/>
      <c r="W887" s="242"/>
      <c r="X887" s="242"/>
      <c r="Y887" s="242"/>
      <c r="Z887" s="242"/>
    </row>
    <row r="888">
      <c r="A888" s="242"/>
      <c r="B888" s="243"/>
      <c r="C888" s="243"/>
      <c r="D888" s="243"/>
      <c r="E888" s="15"/>
      <c r="F888" s="243"/>
      <c r="G888" s="243"/>
      <c r="H888" s="13"/>
      <c r="I888" s="13"/>
      <c r="J888" s="242"/>
      <c r="K888" s="242"/>
      <c r="L888" s="13"/>
      <c r="M888" s="242"/>
      <c r="N888" s="242"/>
      <c r="O888" s="242"/>
      <c r="P888" s="242"/>
      <c r="Q888" s="13"/>
      <c r="R888" s="13"/>
      <c r="S888" s="242"/>
      <c r="T888" s="443"/>
      <c r="U888" s="443"/>
      <c r="V888" s="242"/>
      <c r="W888" s="242"/>
      <c r="X888" s="242"/>
      <c r="Y888" s="242"/>
      <c r="Z888" s="242"/>
    </row>
    <row r="889">
      <c r="A889" s="242"/>
      <c r="B889" s="243"/>
      <c r="C889" s="243"/>
      <c r="D889" s="243"/>
      <c r="E889" s="15"/>
      <c r="F889" s="243"/>
      <c r="G889" s="243"/>
      <c r="H889" s="13"/>
      <c r="I889" s="13"/>
      <c r="J889" s="242"/>
      <c r="K889" s="242"/>
      <c r="L889" s="13"/>
      <c r="M889" s="242"/>
      <c r="N889" s="242"/>
      <c r="O889" s="242"/>
      <c r="P889" s="242"/>
      <c r="Q889" s="13"/>
      <c r="R889" s="13"/>
      <c r="S889" s="242"/>
      <c r="T889" s="443"/>
      <c r="U889" s="443"/>
      <c r="V889" s="242"/>
      <c r="W889" s="242"/>
      <c r="X889" s="242"/>
      <c r="Y889" s="242"/>
      <c r="Z889" s="242"/>
    </row>
    <row r="890">
      <c r="A890" s="242"/>
      <c r="B890" s="243"/>
      <c r="C890" s="243"/>
      <c r="D890" s="243"/>
      <c r="E890" s="15"/>
      <c r="F890" s="243"/>
      <c r="G890" s="243"/>
      <c r="H890" s="13"/>
      <c r="I890" s="13"/>
      <c r="J890" s="242"/>
      <c r="K890" s="242"/>
      <c r="L890" s="13"/>
      <c r="M890" s="242"/>
      <c r="N890" s="242"/>
      <c r="O890" s="242"/>
      <c r="P890" s="242"/>
      <c r="Q890" s="13"/>
      <c r="R890" s="13"/>
      <c r="S890" s="242"/>
      <c r="T890" s="443"/>
      <c r="U890" s="443"/>
      <c r="V890" s="242"/>
      <c r="W890" s="242"/>
      <c r="X890" s="242"/>
      <c r="Y890" s="242"/>
      <c r="Z890" s="242"/>
    </row>
    <row r="891">
      <c r="A891" s="242"/>
      <c r="B891" s="243"/>
      <c r="C891" s="243"/>
      <c r="D891" s="243"/>
      <c r="E891" s="15"/>
      <c r="F891" s="243"/>
      <c r="G891" s="243"/>
      <c r="H891" s="13"/>
      <c r="I891" s="13"/>
      <c r="J891" s="242"/>
      <c r="K891" s="242"/>
      <c r="L891" s="13"/>
      <c r="M891" s="242"/>
      <c r="N891" s="242"/>
      <c r="O891" s="242"/>
      <c r="P891" s="242"/>
      <c r="Q891" s="13"/>
      <c r="R891" s="13"/>
      <c r="S891" s="242"/>
      <c r="T891" s="443"/>
      <c r="U891" s="443"/>
      <c r="V891" s="242"/>
      <c r="W891" s="242"/>
      <c r="X891" s="242"/>
      <c r="Y891" s="242"/>
      <c r="Z891" s="242"/>
    </row>
    <row r="892">
      <c r="A892" s="242"/>
      <c r="B892" s="243"/>
      <c r="C892" s="243"/>
      <c r="D892" s="243"/>
      <c r="E892" s="15"/>
      <c r="F892" s="243"/>
      <c r="G892" s="243"/>
      <c r="H892" s="13"/>
      <c r="I892" s="13"/>
      <c r="J892" s="242"/>
      <c r="K892" s="242"/>
      <c r="L892" s="13"/>
      <c r="M892" s="242"/>
      <c r="N892" s="242"/>
      <c r="O892" s="242"/>
      <c r="P892" s="242"/>
      <c r="Q892" s="13"/>
      <c r="R892" s="13"/>
      <c r="S892" s="242"/>
      <c r="T892" s="443"/>
      <c r="U892" s="443"/>
      <c r="V892" s="242"/>
      <c r="W892" s="242"/>
      <c r="X892" s="242"/>
      <c r="Y892" s="242"/>
      <c r="Z892" s="242"/>
    </row>
    <row r="893">
      <c r="A893" s="242"/>
      <c r="B893" s="243"/>
      <c r="C893" s="243"/>
      <c r="D893" s="243"/>
      <c r="E893" s="15"/>
      <c r="F893" s="243"/>
      <c r="G893" s="243"/>
      <c r="H893" s="13"/>
      <c r="I893" s="13"/>
      <c r="J893" s="242"/>
      <c r="K893" s="242"/>
      <c r="L893" s="13"/>
      <c r="M893" s="242"/>
      <c r="N893" s="242"/>
      <c r="O893" s="242"/>
      <c r="P893" s="242"/>
      <c r="Q893" s="13"/>
      <c r="R893" s="13"/>
      <c r="S893" s="242"/>
      <c r="T893" s="443"/>
      <c r="U893" s="443"/>
      <c r="V893" s="242"/>
      <c r="W893" s="242"/>
      <c r="X893" s="242"/>
      <c r="Y893" s="242"/>
      <c r="Z893" s="242"/>
    </row>
    <row r="894">
      <c r="A894" s="242"/>
      <c r="B894" s="243"/>
      <c r="C894" s="243"/>
      <c r="D894" s="243"/>
      <c r="E894" s="15"/>
      <c r="F894" s="243"/>
      <c r="G894" s="243"/>
      <c r="H894" s="13"/>
      <c r="I894" s="13"/>
      <c r="J894" s="242"/>
      <c r="K894" s="242"/>
      <c r="L894" s="13"/>
      <c r="M894" s="242"/>
      <c r="N894" s="242"/>
      <c r="O894" s="242"/>
      <c r="P894" s="242"/>
      <c r="Q894" s="13"/>
      <c r="R894" s="13"/>
      <c r="S894" s="242"/>
      <c r="T894" s="443"/>
      <c r="U894" s="443"/>
      <c r="V894" s="242"/>
      <c r="W894" s="242"/>
      <c r="X894" s="242"/>
      <c r="Y894" s="242"/>
      <c r="Z894" s="242"/>
    </row>
    <row r="895">
      <c r="A895" s="242"/>
      <c r="B895" s="243"/>
      <c r="C895" s="243"/>
      <c r="D895" s="243"/>
      <c r="E895" s="15"/>
      <c r="F895" s="243"/>
      <c r="G895" s="243"/>
      <c r="H895" s="13"/>
      <c r="I895" s="13"/>
      <c r="J895" s="242"/>
      <c r="K895" s="242"/>
      <c r="L895" s="13"/>
      <c r="M895" s="242"/>
      <c r="N895" s="242"/>
      <c r="O895" s="242"/>
      <c r="P895" s="242"/>
      <c r="Q895" s="13"/>
      <c r="R895" s="13"/>
      <c r="S895" s="242"/>
      <c r="T895" s="443"/>
      <c r="U895" s="443"/>
      <c r="V895" s="242"/>
      <c r="W895" s="242"/>
      <c r="X895" s="242"/>
      <c r="Y895" s="242"/>
      <c r="Z895" s="242"/>
    </row>
    <row r="896">
      <c r="A896" s="242"/>
      <c r="B896" s="243"/>
      <c r="C896" s="243"/>
      <c r="D896" s="243"/>
      <c r="E896" s="15"/>
      <c r="F896" s="243"/>
      <c r="G896" s="243"/>
      <c r="H896" s="13"/>
      <c r="I896" s="13"/>
      <c r="J896" s="242"/>
      <c r="K896" s="242"/>
      <c r="L896" s="13"/>
      <c r="M896" s="242"/>
      <c r="N896" s="242"/>
      <c r="O896" s="242"/>
      <c r="P896" s="242"/>
      <c r="Q896" s="13"/>
      <c r="R896" s="13"/>
      <c r="S896" s="242"/>
      <c r="T896" s="443"/>
      <c r="U896" s="443"/>
      <c r="V896" s="242"/>
      <c r="W896" s="242"/>
      <c r="X896" s="242"/>
      <c r="Y896" s="242"/>
      <c r="Z896" s="242"/>
    </row>
    <row r="897">
      <c r="A897" s="242"/>
      <c r="B897" s="243"/>
      <c r="C897" s="243"/>
      <c r="D897" s="243"/>
      <c r="E897" s="15"/>
      <c r="F897" s="243"/>
      <c r="G897" s="243"/>
      <c r="H897" s="13"/>
      <c r="I897" s="13"/>
      <c r="J897" s="242"/>
      <c r="K897" s="242"/>
      <c r="L897" s="13"/>
      <c r="M897" s="242"/>
      <c r="N897" s="242"/>
      <c r="O897" s="242"/>
      <c r="P897" s="242"/>
      <c r="Q897" s="13"/>
      <c r="R897" s="13"/>
      <c r="S897" s="242"/>
      <c r="T897" s="443"/>
      <c r="U897" s="443"/>
      <c r="V897" s="242"/>
      <c r="W897" s="242"/>
      <c r="X897" s="242"/>
      <c r="Y897" s="242"/>
      <c r="Z897" s="242"/>
    </row>
    <row r="898">
      <c r="A898" s="242"/>
      <c r="B898" s="243"/>
      <c r="C898" s="243"/>
      <c r="D898" s="243"/>
      <c r="E898" s="15"/>
      <c r="F898" s="243"/>
      <c r="G898" s="243"/>
      <c r="H898" s="13"/>
      <c r="I898" s="13"/>
      <c r="J898" s="242"/>
      <c r="K898" s="242"/>
      <c r="L898" s="13"/>
      <c r="M898" s="242"/>
      <c r="N898" s="242"/>
      <c r="O898" s="242"/>
      <c r="P898" s="242"/>
      <c r="Q898" s="13"/>
      <c r="R898" s="13"/>
      <c r="S898" s="242"/>
      <c r="T898" s="443"/>
      <c r="U898" s="443"/>
      <c r="V898" s="242"/>
      <c r="W898" s="242"/>
      <c r="X898" s="242"/>
      <c r="Y898" s="242"/>
      <c r="Z898" s="242"/>
    </row>
    <row r="899">
      <c r="A899" s="242"/>
      <c r="B899" s="243"/>
      <c r="C899" s="243"/>
      <c r="D899" s="243"/>
      <c r="E899" s="15"/>
      <c r="F899" s="243"/>
      <c r="G899" s="243"/>
      <c r="H899" s="13"/>
      <c r="I899" s="13"/>
      <c r="J899" s="242"/>
      <c r="K899" s="242"/>
      <c r="L899" s="13"/>
      <c r="M899" s="242"/>
      <c r="N899" s="242"/>
      <c r="O899" s="242"/>
      <c r="P899" s="242"/>
      <c r="Q899" s="13"/>
      <c r="R899" s="13"/>
      <c r="S899" s="242"/>
      <c r="T899" s="443"/>
      <c r="U899" s="443"/>
      <c r="V899" s="242"/>
      <c r="W899" s="242"/>
      <c r="X899" s="242"/>
      <c r="Y899" s="242"/>
      <c r="Z899" s="242"/>
    </row>
    <row r="900">
      <c r="A900" s="242"/>
      <c r="B900" s="243"/>
      <c r="C900" s="243"/>
      <c r="D900" s="243"/>
      <c r="E900" s="15"/>
      <c r="F900" s="243"/>
      <c r="G900" s="243"/>
      <c r="H900" s="13"/>
      <c r="I900" s="13"/>
      <c r="J900" s="242"/>
      <c r="K900" s="242"/>
      <c r="L900" s="13"/>
      <c r="M900" s="242"/>
      <c r="N900" s="242"/>
      <c r="O900" s="242"/>
      <c r="P900" s="242"/>
      <c r="Q900" s="13"/>
      <c r="R900" s="13"/>
      <c r="S900" s="242"/>
      <c r="T900" s="443"/>
      <c r="U900" s="443"/>
      <c r="V900" s="242"/>
      <c r="W900" s="242"/>
      <c r="X900" s="242"/>
      <c r="Y900" s="242"/>
      <c r="Z900" s="242"/>
    </row>
    <row r="901">
      <c r="A901" s="242"/>
      <c r="B901" s="243"/>
      <c r="C901" s="243"/>
      <c r="D901" s="243"/>
      <c r="E901" s="15"/>
      <c r="F901" s="243"/>
      <c r="G901" s="243"/>
      <c r="H901" s="13"/>
      <c r="I901" s="13"/>
      <c r="J901" s="242"/>
      <c r="K901" s="242"/>
      <c r="L901" s="13"/>
      <c r="M901" s="242"/>
      <c r="N901" s="242"/>
      <c r="O901" s="242"/>
      <c r="P901" s="242"/>
      <c r="Q901" s="13"/>
      <c r="R901" s="13"/>
      <c r="S901" s="242"/>
      <c r="T901" s="443"/>
      <c r="U901" s="443"/>
      <c r="V901" s="242"/>
      <c r="W901" s="242"/>
      <c r="X901" s="242"/>
      <c r="Y901" s="242"/>
      <c r="Z901" s="242"/>
    </row>
    <row r="902">
      <c r="A902" s="242"/>
      <c r="B902" s="243"/>
      <c r="C902" s="243"/>
      <c r="D902" s="243"/>
      <c r="E902" s="15"/>
      <c r="F902" s="243"/>
      <c r="G902" s="243"/>
      <c r="H902" s="13"/>
      <c r="I902" s="13"/>
      <c r="J902" s="242"/>
      <c r="K902" s="242"/>
      <c r="L902" s="13"/>
      <c r="M902" s="242"/>
      <c r="N902" s="242"/>
      <c r="O902" s="242"/>
      <c r="P902" s="242"/>
      <c r="Q902" s="13"/>
      <c r="R902" s="13"/>
      <c r="S902" s="242"/>
      <c r="T902" s="443"/>
      <c r="U902" s="443"/>
      <c r="V902" s="242"/>
      <c r="W902" s="242"/>
      <c r="X902" s="242"/>
      <c r="Y902" s="242"/>
      <c r="Z902" s="242"/>
    </row>
    <row r="903">
      <c r="A903" s="242"/>
      <c r="B903" s="243"/>
      <c r="C903" s="243"/>
      <c r="D903" s="243"/>
      <c r="E903" s="15"/>
      <c r="F903" s="243"/>
      <c r="G903" s="243"/>
      <c r="H903" s="13"/>
      <c r="I903" s="13"/>
      <c r="J903" s="242"/>
      <c r="K903" s="242"/>
      <c r="L903" s="13"/>
      <c r="M903" s="242"/>
      <c r="N903" s="242"/>
      <c r="O903" s="242"/>
      <c r="P903" s="242"/>
      <c r="Q903" s="13"/>
      <c r="R903" s="13"/>
      <c r="S903" s="242"/>
      <c r="T903" s="443"/>
      <c r="U903" s="443"/>
      <c r="V903" s="242"/>
      <c r="W903" s="242"/>
      <c r="X903" s="242"/>
      <c r="Y903" s="242"/>
      <c r="Z903" s="242"/>
    </row>
    <row r="904">
      <c r="A904" s="242"/>
      <c r="B904" s="243"/>
      <c r="C904" s="243"/>
      <c r="D904" s="243"/>
      <c r="E904" s="15"/>
      <c r="F904" s="243"/>
      <c r="G904" s="243"/>
      <c r="H904" s="13"/>
      <c r="I904" s="13"/>
      <c r="J904" s="242"/>
      <c r="K904" s="242"/>
      <c r="L904" s="13"/>
      <c r="M904" s="242"/>
      <c r="N904" s="242"/>
      <c r="O904" s="242"/>
      <c r="P904" s="242"/>
      <c r="Q904" s="13"/>
      <c r="R904" s="13"/>
      <c r="S904" s="242"/>
      <c r="T904" s="443"/>
      <c r="U904" s="443"/>
      <c r="V904" s="242"/>
      <c r="W904" s="242"/>
      <c r="X904" s="242"/>
      <c r="Y904" s="242"/>
      <c r="Z904" s="242"/>
    </row>
    <row r="905">
      <c r="A905" s="242"/>
      <c r="B905" s="243"/>
      <c r="C905" s="243"/>
      <c r="D905" s="243"/>
      <c r="E905" s="15"/>
      <c r="F905" s="243"/>
      <c r="G905" s="243"/>
      <c r="H905" s="13"/>
      <c r="I905" s="13"/>
      <c r="J905" s="242"/>
      <c r="K905" s="242"/>
      <c r="L905" s="13"/>
      <c r="M905" s="242"/>
      <c r="N905" s="242"/>
      <c r="O905" s="242"/>
      <c r="P905" s="242"/>
      <c r="Q905" s="13"/>
      <c r="R905" s="13"/>
      <c r="S905" s="242"/>
      <c r="T905" s="443"/>
      <c r="U905" s="443"/>
      <c r="V905" s="242"/>
      <c r="W905" s="242"/>
      <c r="X905" s="242"/>
      <c r="Y905" s="242"/>
      <c r="Z905" s="242"/>
    </row>
    <row r="906">
      <c r="A906" s="242"/>
      <c r="B906" s="243"/>
      <c r="C906" s="243"/>
      <c r="D906" s="243"/>
      <c r="E906" s="15"/>
      <c r="F906" s="243"/>
      <c r="G906" s="243"/>
      <c r="H906" s="13"/>
      <c r="I906" s="13"/>
      <c r="J906" s="242"/>
      <c r="K906" s="242"/>
      <c r="L906" s="13"/>
      <c r="M906" s="242"/>
      <c r="N906" s="242"/>
      <c r="O906" s="242"/>
      <c r="P906" s="242"/>
      <c r="Q906" s="13"/>
      <c r="R906" s="13"/>
      <c r="S906" s="242"/>
      <c r="T906" s="443"/>
      <c r="U906" s="443"/>
      <c r="V906" s="242"/>
      <c r="W906" s="242"/>
      <c r="X906" s="242"/>
      <c r="Y906" s="242"/>
      <c r="Z906" s="242"/>
    </row>
    <row r="907">
      <c r="A907" s="242"/>
      <c r="B907" s="243"/>
      <c r="C907" s="243"/>
      <c r="D907" s="243"/>
      <c r="E907" s="15"/>
      <c r="F907" s="243"/>
      <c r="G907" s="243"/>
      <c r="H907" s="13"/>
      <c r="I907" s="13"/>
      <c r="J907" s="242"/>
      <c r="K907" s="242"/>
      <c r="L907" s="13"/>
      <c r="M907" s="242"/>
      <c r="N907" s="242"/>
      <c r="O907" s="242"/>
      <c r="P907" s="242"/>
      <c r="Q907" s="13"/>
      <c r="R907" s="13"/>
      <c r="S907" s="242"/>
      <c r="T907" s="443"/>
      <c r="U907" s="443"/>
      <c r="V907" s="242"/>
      <c r="W907" s="242"/>
      <c r="X907" s="242"/>
      <c r="Y907" s="242"/>
      <c r="Z907" s="242"/>
    </row>
    <row r="908">
      <c r="A908" s="242"/>
      <c r="B908" s="243"/>
      <c r="C908" s="243"/>
      <c r="D908" s="243"/>
      <c r="E908" s="15"/>
      <c r="F908" s="243"/>
      <c r="G908" s="243"/>
      <c r="H908" s="13"/>
      <c r="I908" s="13"/>
      <c r="J908" s="242"/>
      <c r="K908" s="242"/>
      <c r="L908" s="13"/>
      <c r="M908" s="242"/>
      <c r="N908" s="242"/>
      <c r="O908" s="242"/>
      <c r="P908" s="242"/>
      <c r="Q908" s="13"/>
      <c r="R908" s="13"/>
      <c r="S908" s="242"/>
      <c r="T908" s="443"/>
      <c r="U908" s="443"/>
      <c r="V908" s="242"/>
      <c r="W908" s="242"/>
      <c r="X908" s="242"/>
      <c r="Y908" s="242"/>
      <c r="Z908" s="242"/>
    </row>
    <row r="909">
      <c r="A909" s="242"/>
      <c r="B909" s="243"/>
      <c r="C909" s="243"/>
      <c r="D909" s="243"/>
      <c r="E909" s="15"/>
      <c r="F909" s="243"/>
      <c r="G909" s="243"/>
      <c r="H909" s="13"/>
      <c r="I909" s="13"/>
      <c r="J909" s="242"/>
      <c r="K909" s="242"/>
      <c r="L909" s="13"/>
      <c r="M909" s="242"/>
      <c r="N909" s="242"/>
      <c r="O909" s="242"/>
      <c r="P909" s="242"/>
      <c r="Q909" s="13"/>
      <c r="R909" s="13"/>
      <c r="S909" s="242"/>
      <c r="T909" s="443"/>
      <c r="U909" s="443"/>
      <c r="V909" s="242"/>
      <c r="W909" s="242"/>
      <c r="X909" s="242"/>
      <c r="Y909" s="242"/>
      <c r="Z909" s="242"/>
    </row>
    <row r="910">
      <c r="A910" s="242"/>
      <c r="B910" s="243"/>
      <c r="C910" s="243"/>
      <c r="D910" s="243"/>
      <c r="E910" s="15"/>
      <c r="F910" s="243"/>
      <c r="G910" s="243"/>
      <c r="H910" s="13"/>
      <c r="I910" s="13"/>
      <c r="J910" s="242"/>
      <c r="K910" s="242"/>
      <c r="L910" s="13"/>
      <c r="M910" s="242"/>
      <c r="N910" s="242"/>
      <c r="O910" s="242"/>
      <c r="P910" s="242"/>
      <c r="Q910" s="13"/>
      <c r="R910" s="13"/>
      <c r="S910" s="242"/>
      <c r="T910" s="443"/>
      <c r="U910" s="443"/>
      <c r="V910" s="242"/>
      <c r="W910" s="242"/>
      <c r="X910" s="242"/>
      <c r="Y910" s="242"/>
      <c r="Z910" s="242"/>
    </row>
    <row r="911">
      <c r="A911" s="242"/>
      <c r="B911" s="243"/>
      <c r="C911" s="243"/>
      <c r="D911" s="243"/>
      <c r="E911" s="15"/>
      <c r="F911" s="243"/>
      <c r="G911" s="243"/>
      <c r="H911" s="13"/>
      <c r="I911" s="13"/>
      <c r="J911" s="242"/>
      <c r="K911" s="242"/>
      <c r="L911" s="13"/>
      <c r="M911" s="242"/>
      <c r="N911" s="242"/>
      <c r="O911" s="242"/>
      <c r="P911" s="242"/>
      <c r="Q911" s="13"/>
      <c r="R911" s="13"/>
      <c r="S911" s="242"/>
      <c r="T911" s="443"/>
      <c r="U911" s="443"/>
      <c r="V911" s="242"/>
      <c r="W911" s="242"/>
      <c r="X911" s="242"/>
      <c r="Y911" s="242"/>
      <c r="Z911" s="242"/>
    </row>
    <row r="912">
      <c r="A912" s="242"/>
      <c r="B912" s="243"/>
      <c r="C912" s="243"/>
      <c r="D912" s="243"/>
      <c r="E912" s="15"/>
      <c r="F912" s="243"/>
      <c r="G912" s="243"/>
      <c r="H912" s="13"/>
      <c r="I912" s="13"/>
      <c r="J912" s="242"/>
      <c r="K912" s="242"/>
      <c r="L912" s="13"/>
      <c r="M912" s="242"/>
      <c r="N912" s="242"/>
      <c r="O912" s="242"/>
      <c r="P912" s="242"/>
      <c r="Q912" s="13"/>
      <c r="R912" s="13"/>
      <c r="S912" s="242"/>
      <c r="T912" s="443"/>
      <c r="U912" s="443"/>
      <c r="V912" s="242"/>
      <c r="W912" s="242"/>
      <c r="X912" s="242"/>
      <c r="Y912" s="242"/>
      <c r="Z912" s="242"/>
    </row>
    <row r="913">
      <c r="A913" s="242"/>
      <c r="B913" s="243"/>
      <c r="C913" s="243"/>
      <c r="D913" s="243"/>
      <c r="E913" s="15"/>
      <c r="F913" s="243"/>
      <c r="G913" s="243"/>
      <c r="H913" s="13"/>
      <c r="I913" s="13"/>
      <c r="J913" s="242"/>
      <c r="K913" s="242"/>
      <c r="L913" s="13"/>
      <c r="M913" s="242"/>
      <c r="N913" s="242"/>
      <c r="O913" s="242"/>
      <c r="P913" s="242"/>
      <c r="Q913" s="13"/>
      <c r="R913" s="13"/>
      <c r="S913" s="242"/>
      <c r="T913" s="443"/>
      <c r="U913" s="443"/>
      <c r="V913" s="242"/>
      <c r="W913" s="242"/>
      <c r="X913" s="242"/>
      <c r="Y913" s="242"/>
      <c r="Z913" s="242"/>
    </row>
    <row r="914">
      <c r="A914" s="242"/>
      <c r="B914" s="243"/>
      <c r="C914" s="243"/>
      <c r="D914" s="243"/>
      <c r="E914" s="15"/>
      <c r="F914" s="243"/>
      <c r="G914" s="243"/>
      <c r="H914" s="13"/>
      <c r="I914" s="13"/>
      <c r="J914" s="242"/>
      <c r="K914" s="242"/>
      <c r="L914" s="13"/>
      <c r="M914" s="242"/>
      <c r="N914" s="242"/>
      <c r="O914" s="242"/>
      <c r="P914" s="242"/>
      <c r="Q914" s="13"/>
      <c r="R914" s="13"/>
      <c r="S914" s="242"/>
      <c r="T914" s="443"/>
      <c r="U914" s="443"/>
      <c r="V914" s="242"/>
      <c r="W914" s="242"/>
      <c r="X914" s="242"/>
      <c r="Y914" s="242"/>
      <c r="Z914" s="242"/>
    </row>
    <row r="915">
      <c r="A915" s="242"/>
      <c r="B915" s="243"/>
      <c r="C915" s="243"/>
      <c r="D915" s="243"/>
      <c r="E915" s="15"/>
      <c r="F915" s="243"/>
      <c r="G915" s="243"/>
      <c r="H915" s="13"/>
      <c r="I915" s="13"/>
      <c r="J915" s="242"/>
      <c r="K915" s="242"/>
      <c r="L915" s="13"/>
      <c r="M915" s="242"/>
      <c r="N915" s="242"/>
      <c r="O915" s="242"/>
      <c r="P915" s="242"/>
      <c r="Q915" s="13"/>
      <c r="R915" s="13"/>
      <c r="S915" s="242"/>
      <c r="T915" s="443"/>
      <c r="U915" s="443"/>
      <c r="V915" s="242"/>
      <c r="W915" s="242"/>
      <c r="X915" s="242"/>
      <c r="Y915" s="242"/>
      <c r="Z915" s="242"/>
    </row>
    <row r="916">
      <c r="A916" s="242"/>
      <c r="B916" s="243"/>
      <c r="C916" s="243"/>
      <c r="D916" s="243"/>
      <c r="E916" s="15"/>
      <c r="F916" s="243"/>
      <c r="G916" s="243"/>
      <c r="H916" s="13"/>
      <c r="I916" s="13"/>
      <c r="J916" s="242"/>
      <c r="K916" s="242"/>
      <c r="L916" s="13"/>
      <c r="M916" s="242"/>
      <c r="N916" s="242"/>
      <c r="O916" s="242"/>
      <c r="P916" s="242"/>
      <c r="Q916" s="13"/>
      <c r="R916" s="13"/>
      <c r="S916" s="242"/>
      <c r="T916" s="443"/>
      <c r="U916" s="443"/>
      <c r="V916" s="242"/>
      <c r="W916" s="242"/>
      <c r="X916" s="242"/>
      <c r="Y916" s="242"/>
      <c r="Z916" s="242"/>
    </row>
    <row r="917">
      <c r="A917" s="242"/>
      <c r="B917" s="243"/>
      <c r="C917" s="243"/>
      <c r="D917" s="243"/>
      <c r="E917" s="15"/>
      <c r="F917" s="243"/>
      <c r="G917" s="243"/>
      <c r="H917" s="13"/>
      <c r="I917" s="13"/>
      <c r="J917" s="242"/>
      <c r="K917" s="242"/>
      <c r="L917" s="13"/>
      <c r="M917" s="242"/>
      <c r="N917" s="242"/>
      <c r="O917" s="242"/>
      <c r="P917" s="242"/>
      <c r="Q917" s="13"/>
      <c r="R917" s="13"/>
      <c r="S917" s="242"/>
      <c r="T917" s="443"/>
      <c r="U917" s="443"/>
      <c r="V917" s="242"/>
      <c r="W917" s="242"/>
      <c r="X917" s="242"/>
      <c r="Y917" s="242"/>
      <c r="Z917" s="242"/>
    </row>
    <row r="918">
      <c r="A918" s="242"/>
      <c r="B918" s="243"/>
      <c r="C918" s="243"/>
      <c r="D918" s="243"/>
      <c r="E918" s="15"/>
      <c r="F918" s="243"/>
      <c r="G918" s="243"/>
      <c r="H918" s="13"/>
      <c r="I918" s="13"/>
      <c r="J918" s="242"/>
      <c r="K918" s="242"/>
      <c r="L918" s="13"/>
      <c r="M918" s="242"/>
      <c r="N918" s="242"/>
      <c r="O918" s="242"/>
      <c r="P918" s="242"/>
      <c r="Q918" s="13"/>
      <c r="R918" s="13"/>
      <c r="S918" s="242"/>
      <c r="T918" s="443"/>
      <c r="U918" s="443"/>
      <c r="V918" s="242"/>
      <c r="W918" s="242"/>
      <c r="X918" s="242"/>
      <c r="Y918" s="242"/>
      <c r="Z918" s="242"/>
    </row>
    <row r="919">
      <c r="A919" s="242"/>
      <c r="B919" s="243"/>
      <c r="C919" s="243"/>
      <c r="D919" s="243"/>
      <c r="E919" s="15"/>
      <c r="F919" s="243"/>
      <c r="G919" s="243"/>
      <c r="H919" s="13"/>
      <c r="I919" s="13"/>
      <c r="J919" s="242"/>
      <c r="K919" s="242"/>
      <c r="L919" s="13"/>
      <c r="M919" s="242"/>
      <c r="N919" s="242"/>
      <c r="O919" s="242"/>
      <c r="P919" s="242"/>
      <c r="Q919" s="13"/>
      <c r="R919" s="13"/>
      <c r="S919" s="242"/>
      <c r="T919" s="443"/>
      <c r="U919" s="443"/>
      <c r="V919" s="242"/>
      <c r="W919" s="242"/>
      <c r="X919" s="242"/>
      <c r="Y919" s="242"/>
      <c r="Z919" s="242"/>
    </row>
    <row r="920">
      <c r="A920" s="242"/>
      <c r="B920" s="243"/>
      <c r="C920" s="243"/>
      <c r="D920" s="243"/>
      <c r="E920" s="15"/>
      <c r="F920" s="243"/>
      <c r="G920" s="243"/>
      <c r="H920" s="13"/>
      <c r="I920" s="13"/>
      <c r="J920" s="242"/>
      <c r="K920" s="242"/>
      <c r="L920" s="13"/>
      <c r="M920" s="242"/>
      <c r="N920" s="242"/>
      <c r="O920" s="242"/>
      <c r="P920" s="242"/>
      <c r="Q920" s="13"/>
      <c r="R920" s="13"/>
      <c r="S920" s="242"/>
      <c r="T920" s="443"/>
      <c r="U920" s="443"/>
      <c r="V920" s="242"/>
      <c r="W920" s="242"/>
      <c r="X920" s="242"/>
      <c r="Y920" s="242"/>
      <c r="Z920" s="242"/>
    </row>
    <row r="921">
      <c r="A921" s="242"/>
      <c r="B921" s="243"/>
      <c r="C921" s="243"/>
      <c r="D921" s="243"/>
      <c r="E921" s="15"/>
      <c r="F921" s="243"/>
      <c r="G921" s="243"/>
      <c r="H921" s="13"/>
      <c r="I921" s="13"/>
      <c r="J921" s="242"/>
      <c r="K921" s="242"/>
      <c r="L921" s="13"/>
      <c r="M921" s="242"/>
      <c r="N921" s="242"/>
      <c r="O921" s="242"/>
      <c r="P921" s="242"/>
      <c r="Q921" s="13"/>
      <c r="R921" s="13"/>
      <c r="S921" s="242"/>
      <c r="T921" s="443"/>
      <c r="U921" s="443"/>
      <c r="V921" s="242"/>
      <c r="W921" s="242"/>
      <c r="X921" s="242"/>
      <c r="Y921" s="242"/>
      <c r="Z921" s="242"/>
    </row>
    <row r="922">
      <c r="A922" s="242"/>
      <c r="B922" s="243"/>
      <c r="C922" s="243"/>
      <c r="D922" s="243"/>
      <c r="E922" s="15"/>
      <c r="F922" s="243"/>
      <c r="G922" s="243"/>
      <c r="H922" s="13"/>
      <c r="I922" s="13"/>
      <c r="J922" s="242"/>
      <c r="K922" s="242"/>
      <c r="L922" s="13"/>
      <c r="M922" s="242"/>
      <c r="N922" s="242"/>
      <c r="O922" s="242"/>
      <c r="P922" s="242"/>
      <c r="Q922" s="13"/>
      <c r="R922" s="13"/>
      <c r="S922" s="242"/>
      <c r="T922" s="443"/>
      <c r="U922" s="443"/>
      <c r="V922" s="242"/>
      <c r="W922" s="242"/>
      <c r="X922" s="242"/>
      <c r="Y922" s="242"/>
      <c r="Z922" s="242"/>
    </row>
    <row r="923">
      <c r="A923" s="242"/>
      <c r="B923" s="243"/>
      <c r="C923" s="243"/>
      <c r="D923" s="243"/>
      <c r="E923" s="15"/>
      <c r="F923" s="243"/>
      <c r="G923" s="243"/>
      <c r="H923" s="13"/>
      <c r="I923" s="13"/>
      <c r="J923" s="242"/>
      <c r="K923" s="242"/>
      <c r="L923" s="13"/>
      <c r="M923" s="242"/>
      <c r="N923" s="242"/>
      <c r="O923" s="242"/>
      <c r="P923" s="242"/>
      <c r="Q923" s="13"/>
      <c r="R923" s="13"/>
      <c r="S923" s="242"/>
      <c r="T923" s="443"/>
      <c r="U923" s="443"/>
      <c r="V923" s="242"/>
      <c r="W923" s="242"/>
      <c r="X923" s="242"/>
      <c r="Y923" s="242"/>
      <c r="Z923" s="242"/>
    </row>
    <row r="924">
      <c r="A924" s="242"/>
      <c r="B924" s="243"/>
      <c r="C924" s="243"/>
      <c r="D924" s="243"/>
      <c r="E924" s="15"/>
      <c r="F924" s="243"/>
      <c r="G924" s="243"/>
      <c r="H924" s="13"/>
      <c r="I924" s="13"/>
      <c r="J924" s="242"/>
      <c r="K924" s="242"/>
      <c r="L924" s="13"/>
      <c r="M924" s="242"/>
      <c r="N924" s="242"/>
      <c r="O924" s="242"/>
      <c r="P924" s="242"/>
      <c r="Q924" s="13"/>
      <c r="R924" s="13"/>
      <c r="S924" s="242"/>
      <c r="T924" s="443"/>
      <c r="U924" s="443"/>
      <c r="V924" s="242"/>
      <c r="W924" s="242"/>
      <c r="X924" s="242"/>
      <c r="Y924" s="242"/>
      <c r="Z924" s="242"/>
    </row>
    <row r="925">
      <c r="A925" s="242"/>
      <c r="B925" s="243"/>
      <c r="C925" s="243"/>
      <c r="D925" s="243"/>
      <c r="E925" s="15"/>
      <c r="F925" s="243"/>
      <c r="G925" s="243"/>
      <c r="H925" s="13"/>
      <c r="I925" s="13"/>
      <c r="J925" s="242"/>
      <c r="K925" s="242"/>
      <c r="L925" s="13"/>
      <c r="M925" s="242"/>
      <c r="N925" s="242"/>
      <c r="O925" s="242"/>
      <c r="P925" s="242"/>
      <c r="Q925" s="13"/>
      <c r="R925" s="13"/>
      <c r="S925" s="242"/>
      <c r="T925" s="443"/>
      <c r="U925" s="443"/>
      <c r="V925" s="242"/>
      <c r="W925" s="242"/>
      <c r="X925" s="242"/>
      <c r="Y925" s="242"/>
      <c r="Z925" s="242"/>
    </row>
    <row r="926">
      <c r="A926" s="242"/>
      <c r="B926" s="243"/>
      <c r="C926" s="243"/>
      <c r="D926" s="243"/>
      <c r="E926" s="15"/>
      <c r="F926" s="243"/>
      <c r="G926" s="243"/>
      <c r="H926" s="13"/>
      <c r="I926" s="13"/>
      <c r="J926" s="242"/>
      <c r="K926" s="242"/>
      <c r="L926" s="13"/>
      <c r="M926" s="242"/>
      <c r="N926" s="242"/>
      <c r="O926" s="242"/>
      <c r="P926" s="242"/>
      <c r="Q926" s="13"/>
      <c r="R926" s="13"/>
      <c r="S926" s="242"/>
      <c r="T926" s="443"/>
      <c r="U926" s="443"/>
      <c r="V926" s="242"/>
      <c r="W926" s="242"/>
      <c r="X926" s="242"/>
      <c r="Y926" s="242"/>
      <c r="Z926" s="242"/>
    </row>
    <row r="927">
      <c r="A927" s="242"/>
      <c r="B927" s="243"/>
      <c r="C927" s="243"/>
      <c r="D927" s="243"/>
      <c r="E927" s="15"/>
      <c r="F927" s="243"/>
      <c r="G927" s="243"/>
      <c r="H927" s="13"/>
      <c r="I927" s="13"/>
      <c r="J927" s="242"/>
      <c r="K927" s="242"/>
      <c r="L927" s="13"/>
      <c r="M927" s="242"/>
      <c r="N927" s="242"/>
      <c r="O927" s="242"/>
      <c r="P927" s="242"/>
      <c r="Q927" s="13"/>
      <c r="R927" s="13"/>
      <c r="S927" s="242"/>
      <c r="T927" s="443"/>
      <c r="U927" s="443"/>
      <c r="V927" s="242"/>
      <c r="W927" s="242"/>
      <c r="X927" s="242"/>
      <c r="Y927" s="242"/>
      <c r="Z927" s="242"/>
    </row>
    <row r="928">
      <c r="A928" s="242"/>
      <c r="B928" s="243"/>
      <c r="C928" s="243"/>
      <c r="D928" s="243"/>
      <c r="E928" s="15"/>
      <c r="F928" s="243"/>
      <c r="G928" s="243"/>
      <c r="H928" s="13"/>
      <c r="I928" s="13"/>
      <c r="J928" s="242"/>
      <c r="K928" s="242"/>
      <c r="L928" s="13"/>
      <c r="M928" s="242"/>
      <c r="N928" s="242"/>
      <c r="O928" s="242"/>
      <c r="P928" s="242"/>
      <c r="Q928" s="13"/>
      <c r="R928" s="13"/>
      <c r="S928" s="242"/>
      <c r="T928" s="443"/>
      <c r="U928" s="443"/>
      <c r="V928" s="242"/>
      <c r="W928" s="242"/>
      <c r="X928" s="242"/>
      <c r="Y928" s="242"/>
      <c r="Z928" s="242"/>
    </row>
    <row r="929">
      <c r="A929" s="242"/>
      <c r="B929" s="243"/>
      <c r="C929" s="243"/>
      <c r="D929" s="243"/>
      <c r="E929" s="15"/>
      <c r="F929" s="243"/>
      <c r="G929" s="243"/>
      <c r="H929" s="13"/>
      <c r="I929" s="13"/>
      <c r="J929" s="242"/>
      <c r="K929" s="242"/>
      <c r="L929" s="13"/>
      <c r="M929" s="242"/>
      <c r="N929" s="242"/>
      <c r="O929" s="242"/>
      <c r="P929" s="242"/>
      <c r="Q929" s="13"/>
      <c r="R929" s="13"/>
      <c r="S929" s="242"/>
      <c r="T929" s="443"/>
      <c r="U929" s="443"/>
      <c r="V929" s="242"/>
      <c r="W929" s="242"/>
      <c r="X929" s="242"/>
      <c r="Y929" s="242"/>
      <c r="Z929" s="242"/>
    </row>
    <row r="930">
      <c r="A930" s="242"/>
      <c r="B930" s="243"/>
      <c r="C930" s="243"/>
      <c r="D930" s="243"/>
      <c r="E930" s="15"/>
      <c r="F930" s="243"/>
      <c r="G930" s="243"/>
      <c r="H930" s="13"/>
      <c r="I930" s="13"/>
      <c r="J930" s="242"/>
      <c r="K930" s="242"/>
      <c r="L930" s="13"/>
      <c r="M930" s="242"/>
      <c r="N930" s="242"/>
      <c r="O930" s="242"/>
      <c r="P930" s="242"/>
      <c r="Q930" s="13"/>
      <c r="R930" s="13"/>
      <c r="S930" s="242"/>
      <c r="T930" s="443"/>
      <c r="U930" s="443"/>
      <c r="V930" s="242"/>
      <c r="W930" s="242"/>
      <c r="X930" s="242"/>
      <c r="Y930" s="242"/>
      <c r="Z930" s="242"/>
    </row>
    <row r="931">
      <c r="A931" s="242"/>
      <c r="B931" s="243"/>
      <c r="C931" s="243"/>
      <c r="D931" s="243"/>
      <c r="E931" s="15"/>
      <c r="F931" s="243"/>
      <c r="G931" s="243"/>
      <c r="H931" s="13"/>
      <c r="I931" s="13"/>
      <c r="J931" s="242"/>
      <c r="K931" s="242"/>
      <c r="L931" s="13"/>
      <c r="M931" s="242"/>
      <c r="N931" s="242"/>
      <c r="O931" s="242"/>
      <c r="P931" s="242"/>
      <c r="Q931" s="13"/>
      <c r="R931" s="13"/>
      <c r="S931" s="242"/>
      <c r="T931" s="443"/>
      <c r="U931" s="443"/>
      <c r="V931" s="242"/>
      <c r="W931" s="242"/>
      <c r="X931" s="242"/>
      <c r="Y931" s="242"/>
      <c r="Z931" s="242"/>
    </row>
    <row r="932">
      <c r="A932" s="242"/>
      <c r="B932" s="243"/>
      <c r="C932" s="243"/>
      <c r="D932" s="243"/>
      <c r="E932" s="15"/>
      <c r="F932" s="243"/>
      <c r="G932" s="243"/>
      <c r="H932" s="13"/>
      <c r="I932" s="13"/>
      <c r="J932" s="242"/>
      <c r="K932" s="242"/>
      <c r="L932" s="13"/>
      <c r="M932" s="242"/>
      <c r="N932" s="242"/>
      <c r="O932" s="242"/>
      <c r="P932" s="242"/>
      <c r="Q932" s="13"/>
      <c r="R932" s="13"/>
      <c r="S932" s="242"/>
      <c r="T932" s="443"/>
      <c r="U932" s="443"/>
      <c r="V932" s="242"/>
      <c r="W932" s="242"/>
      <c r="X932" s="242"/>
      <c r="Y932" s="242"/>
      <c r="Z932" s="242"/>
    </row>
    <row r="933">
      <c r="A933" s="242"/>
      <c r="B933" s="243"/>
      <c r="C933" s="243"/>
      <c r="D933" s="243"/>
      <c r="E933" s="15"/>
      <c r="F933" s="243"/>
      <c r="G933" s="243"/>
      <c r="H933" s="13"/>
      <c r="I933" s="13"/>
      <c r="J933" s="242"/>
      <c r="K933" s="242"/>
      <c r="L933" s="13"/>
      <c r="M933" s="242"/>
      <c r="N933" s="242"/>
      <c r="O933" s="242"/>
      <c r="P933" s="242"/>
      <c r="Q933" s="13"/>
      <c r="R933" s="13"/>
      <c r="S933" s="242"/>
      <c r="T933" s="443"/>
      <c r="U933" s="443"/>
      <c r="V933" s="242"/>
      <c r="W933" s="242"/>
      <c r="X933" s="242"/>
      <c r="Y933" s="242"/>
      <c r="Z933" s="242"/>
    </row>
    <row r="934">
      <c r="A934" s="242"/>
      <c r="B934" s="243"/>
      <c r="C934" s="243"/>
      <c r="D934" s="243"/>
      <c r="E934" s="15"/>
      <c r="F934" s="243"/>
      <c r="G934" s="243"/>
      <c r="H934" s="13"/>
      <c r="I934" s="13"/>
      <c r="J934" s="242"/>
      <c r="K934" s="242"/>
      <c r="L934" s="13"/>
      <c r="M934" s="242"/>
      <c r="N934" s="242"/>
      <c r="O934" s="242"/>
      <c r="P934" s="242"/>
      <c r="Q934" s="13"/>
      <c r="R934" s="13"/>
      <c r="S934" s="242"/>
      <c r="T934" s="443"/>
      <c r="U934" s="443"/>
      <c r="V934" s="242"/>
      <c r="W934" s="242"/>
      <c r="X934" s="242"/>
      <c r="Y934" s="242"/>
      <c r="Z934" s="242"/>
    </row>
    <row r="935">
      <c r="A935" s="242"/>
      <c r="B935" s="243"/>
      <c r="C935" s="243"/>
      <c r="D935" s="243"/>
      <c r="E935" s="15"/>
      <c r="F935" s="243"/>
      <c r="G935" s="243"/>
      <c r="H935" s="13"/>
      <c r="I935" s="13"/>
      <c r="J935" s="242"/>
      <c r="K935" s="242"/>
      <c r="L935" s="13"/>
      <c r="M935" s="242"/>
      <c r="N935" s="242"/>
      <c r="O935" s="242"/>
      <c r="P935" s="242"/>
      <c r="Q935" s="13"/>
      <c r="R935" s="13"/>
      <c r="S935" s="242"/>
      <c r="T935" s="443"/>
      <c r="U935" s="443"/>
      <c r="V935" s="242"/>
      <c r="W935" s="242"/>
      <c r="X935" s="242"/>
      <c r="Y935" s="242"/>
      <c r="Z935" s="242"/>
    </row>
    <row r="936">
      <c r="A936" s="242"/>
      <c r="B936" s="243"/>
      <c r="C936" s="243"/>
      <c r="D936" s="243"/>
      <c r="E936" s="15"/>
      <c r="F936" s="243"/>
      <c r="G936" s="243"/>
      <c r="H936" s="13"/>
      <c r="I936" s="13"/>
      <c r="J936" s="242"/>
      <c r="K936" s="242"/>
      <c r="L936" s="13"/>
      <c r="M936" s="242"/>
      <c r="N936" s="242"/>
      <c r="O936" s="242"/>
      <c r="P936" s="242"/>
      <c r="Q936" s="13"/>
      <c r="R936" s="13"/>
      <c r="S936" s="242"/>
      <c r="T936" s="443"/>
      <c r="U936" s="443"/>
      <c r="V936" s="242"/>
      <c r="W936" s="242"/>
      <c r="X936" s="242"/>
      <c r="Y936" s="242"/>
      <c r="Z936" s="242"/>
    </row>
    <row r="937">
      <c r="A937" s="242"/>
      <c r="B937" s="243"/>
      <c r="C937" s="243"/>
      <c r="D937" s="243"/>
      <c r="E937" s="15"/>
      <c r="F937" s="243"/>
      <c r="G937" s="243"/>
      <c r="H937" s="13"/>
      <c r="I937" s="13"/>
      <c r="J937" s="242"/>
      <c r="K937" s="242"/>
      <c r="L937" s="13"/>
      <c r="M937" s="242"/>
      <c r="N937" s="242"/>
      <c r="O937" s="242"/>
      <c r="P937" s="242"/>
      <c r="Q937" s="13"/>
      <c r="R937" s="13"/>
      <c r="S937" s="242"/>
      <c r="T937" s="443"/>
      <c r="U937" s="443"/>
      <c r="V937" s="242"/>
      <c r="W937" s="242"/>
      <c r="X937" s="242"/>
      <c r="Y937" s="242"/>
      <c r="Z937" s="242"/>
    </row>
    <row r="938">
      <c r="A938" s="242"/>
      <c r="B938" s="243"/>
      <c r="C938" s="243"/>
      <c r="D938" s="243"/>
      <c r="E938" s="15"/>
      <c r="F938" s="243"/>
      <c r="G938" s="243"/>
      <c r="H938" s="13"/>
      <c r="I938" s="13"/>
      <c r="J938" s="242"/>
      <c r="K938" s="242"/>
      <c r="L938" s="13"/>
      <c r="M938" s="242"/>
      <c r="N938" s="242"/>
      <c r="O938" s="242"/>
      <c r="P938" s="242"/>
      <c r="Q938" s="13"/>
      <c r="R938" s="13"/>
      <c r="S938" s="242"/>
      <c r="T938" s="443"/>
      <c r="U938" s="443"/>
      <c r="V938" s="242"/>
      <c r="W938" s="242"/>
      <c r="X938" s="242"/>
      <c r="Y938" s="242"/>
      <c r="Z938" s="242"/>
    </row>
    <row r="939">
      <c r="A939" s="242"/>
      <c r="B939" s="243"/>
      <c r="C939" s="243"/>
      <c r="D939" s="243"/>
      <c r="E939" s="15"/>
      <c r="F939" s="243"/>
      <c r="G939" s="243"/>
      <c r="H939" s="13"/>
      <c r="I939" s="13"/>
      <c r="J939" s="242"/>
      <c r="K939" s="242"/>
      <c r="L939" s="13"/>
      <c r="M939" s="242"/>
      <c r="N939" s="242"/>
      <c r="O939" s="242"/>
      <c r="P939" s="242"/>
      <c r="Q939" s="13"/>
      <c r="R939" s="13"/>
      <c r="S939" s="242"/>
      <c r="T939" s="443"/>
      <c r="U939" s="443"/>
      <c r="V939" s="242"/>
      <c r="W939" s="242"/>
      <c r="X939" s="242"/>
      <c r="Y939" s="242"/>
      <c r="Z939" s="242"/>
    </row>
    <row r="940">
      <c r="A940" s="242"/>
      <c r="B940" s="243"/>
      <c r="C940" s="243"/>
      <c r="D940" s="243"/>
      <c r="E940" s="15"/>
      <c r="F940" s="243"/>
      <c r="G940" s="243"/>
      <c r="H940" s="13"/>
      <c r="I940" s="13"/>
      <c r="J940" s="242"/>
      <c r="K940" s="242"/>
      <c r="L940" s="13"/>
      <c r="M940" s="242"/>
      <c r="N940" s="242"/>
      <c r="O940" s="242"/>
      <c r="P940" s="242"/>
      <c r="Q940" s="13"/>
      <c r="R940" s="13"/>
      <c r="S940" s="242"/>
      <c r="T940" s="443"/>
      <c r="U940" s="443"/>
      <c r="V940" s="242"/>
      <c r="W940" s="242"/>
      <c r="X940" s="242"/>
      <c r="Y940" s="242"/>
      <c r="Z940" s="242"/>
    </row>
    <row r="941">
      <c r="A941" s="242"/>
      <c r="B941" s="243"/>
      <c r="C941" s="243"/>
      <c r="D941" s="243"/>
      <c r="E941" s="15"/>
      <c r="F941" s="243"/>
      <c r="G941" s="243"/>
      <c r="H941" s="13"/>
      <c r="I941" s="13"/>
      <c r="J941" s="242"/>
      <c r="K941" s="242"/>
      <c r="L941" s="13"/>
      <c r="M941" s="242"/>
      <c r="N941" s="242"/>
      <c r="O941" s="242"/>
      <c r="P941" s="242"/>
      <c r="Q941" s="13"/>
      <c r="R941" s="13"/>
      <c r="S941" s="242"/>
      <c r="T941" s="443"/>
      <c r="U941" s="443"/>
      <c r="V941" s="242"/>
      <c r="W941" s="242"/>
      <c r="X941" s="242"/>
      <c r="Y941" s="242"/>
      <c r="Z941" s="242"/>
    </row>
    <row r="942">
      <c r="A942" s="242"/>
      <c r="B942" s="243"/>
      <c r="C942" s="243"/>
      <c r="D942" s="243"/>
      <c r="E942" s="15"/>
      <c r="F942" s="243"/>
      <c r="G942" s="243"/>
      <c r="H942" s="13"/>
      <c r="I942" s="13"/>
      <c r="J942" s="242"/>
      <c r="K942" s="242"/>
      <c r="L942" s="13"/>
      <c r="M942" s="242"/>
      <c r="N942" s="242"/>
      <c r="O942" s="242"/>
      <c r="P942" s="242"/>
      <c r="Q942" s="13"/>
      <c r="R942" s="13"/>
      <c r="S942" s="242"/>
      <c r="T942" s="443"/>
      <c r="U942" s="443"/>
      <c r="V942" s="242"/>
      <c r="W942" s="242"/>
      <c r="X942" s="242"/>
      <c r="Y942" s="242"/>
      <c r="Z942" s="242"/>
    </row>
    <row r="943">
      <c r="A943" s="242"/>
      <c r="B943" s="243"/>
      <c r="C943" s="243"/>
      <c r="D943" s="243"/>
      <c r="E943" s="15"/>
      <c r="F943" s="243"/>
      <c r="G943" s="243"/>
      <c r="H943" s="13"/>
      <c r="I943" s="13"/>
      <c r="J943" s="242"/>
      <c r="K943" s="242"/>
      <c r="L943" s="13"/>
      <c r="M943" s="242"/>
      <c r="N943" s="242"/>
      <c r="O943" s="242"/>
      <c r="P943" s="242"/>
      <c r="Q943" s="13"/>
      <c r="R943" s="13"/>
      <c r="S943" s="242"/>
      <c r="T943" s="443"/>
      <c r="U943" s="443"/>
      <c r="V943" s="242"/>
      <c r="W943" s="242"/>
      <c r="X943" s="242"/>
      <c r="Y943" s="242"/>
      <c r="Z943" s="242"/>
    </row>
    <row r="944">
      <c r="A944" s="242"/>
      <c r="B944" s="243"/>
      <c r="C944" s="243"/>
      <c r="D944" s="243"/>
      <c r="E944" s="15"/>
      <c r="F944" s="243"/>
      <c r="G944" s="243"/>
      <c r="H944" s="13"/>
      <c r="I944" s="13"/>
      <c r="J944" s="242"/>
      <c r="K944" s="242"/>
      <c r="L944" s="13"/>
      <c r="M944" s="242"/>
      <c r="N944" s="242"/>
      <c r="O944" s="242"/>
      <c r="P944" s="242"/>
      <c r="Q944" s="13"/>
      <c r="R944" s="13"/>
      <c r="S944" s="242"/>
      <c r="T944" s="443"/>
      <c r="U944" s="443"/>
      <c r="V944" s="242"/>
      <c r="W944" s="242"/>
      <c r="X944" s="242"/>
      <c r="Y944" s="242"/>
      <c r="Z944" s="242"/>
    </row>
    <row r="945">
      <c r="A945" s="242"/>
      <c r="B945" s="243"/>
      <c r="C945" s="243"/>
      <c r="D945" s="243"/>
      <c r="E945" s="15"/>
      <c r="F945" s="243"/>
      <c r="G945" s="243"/>
      <c r="H945" s="13"/>
      <c r="I945" s="13"/>
      <c r="J945" s="242"/>
      <c r="K945" s="242"/>
      <c r="L945" s="13"/>
      <c r="M945" s="242"/>
      <c r="N945" s="242"/>
      <c r="O945" s="242"/>
      <c r="P945" s="242"/>
      <c r="Q945" s="13"/>
      <c r="R945" s="13"/>
      <c r="S945" s="242"/>
      <c r="T945" s="443"/>
      <c r="U945" s="443"/>
      <c r="V945" s="242"/>
      <c r="W945" s="242"/>
      <c r="X945" s="242"/>
      <c r="Y945" s="242"/>
      <c r="Z945" s="242"/>
    </row>
    <row r="946">
      <c r="A946" s="242"/>
      <c r="B946" s="243"/>
      <c r="C946" s="243"/>
      <c r="D946" s="243"/>
      <c r="E946" s="15"/>
      <c r="F946" s="243"/>
      <c r="G946" s="243"/>
      <c r="H946" s="13"/>
      <c r="I946" s="13"/>
      <c r="J946" s="242"/>
      <c r="K946" s="242"/>
      <c r="L946" s="13"/>
      <c r="M946" s="242"/>
      <c r="N946" s="242"/>
      <c r="O946" s="242"/>
      <c r="P946" s="242"/>
      <c r="Q946" s="13"/>
      <c r="R946" s="13"/>
      <c r="S946" s="242"/>
      <c r="T946" s="443"/>
      <c r="U946" s="443"/>
      <c r="V946" s="242"/>
      <c r="W946" s="242"/>
      <c r="X946" s="242"/>
      <c r="Y946" s="242"/>
      <c r="Z946" s="242"/>
    </row>
    <row r="947">
      <c r="A947" s="242"/>
      <c r="B947" s="243"/>
      <c r="C947" s="243"/>
      <c r="D947" s="243"/>
      <c r="E947" s="15"/>
      <c r="F947" s="243"/>
      <c r="G947" s="243"/>
      <c r="H947" s="13"/>
      <c r="I947" s="13"/>
      <c r="J947" s="242"/>
      <c r="K947" s="242"/>
      <c r="L947" s="13"/>
      <c r="M947" s="242"/>
      <c r="N947" s="242"/>
      <c r="O947" s="242"/>
      <c r="P947" s="242"/>
      <c r="Q947" s="13"/>
      <c r="R947" s="13"/>
      <c r="S947" s="242"/>
      <c r="T947" s="443"/>
      <c r="U947" s="443"/>
      <c r="V947" s="242"/>
      <c r="W947" s="242"/>
      <c r="X947" s="242"/>
      <c r="Y947" s="242"/>
      <c r="Z947" s="242"/>
    </row>
    <row r="948">
      <c r="A948" s="242"/>
      <c r="B948" s="243"/>
      <c r="C948" s="243"/>
      <c r="D948" s="243"/>
      <c r="E948" s="15"/>
      <c r="F948" s="243"/>
      <c r="G948" s="243"/>
      <c r="H948" s="13"/>
      <c r="I948" s="13"/>
      <c r="J948" s="242"/>
      <c r="K948" s="242"/>
      <c r="L948" s="13"/>
      <c r="M948" s="242"/>
      <c r="N948" s="242"/>
      <c r="O948" s="242"/>
      <c r="P948" s="242"/>
      <c r="Q948" s="13"/>
      <c r="R948" s="13"/>
      <c r="S948" s="242"/>
      <c r="T948" s="443"/>
      <c r="U948" s="443"/>
      <c r="V948" s="242"/>
      <c r="W948" s="242"/>
      <c r="X948" s="242"/>
      <c r="Y948" s="242"/>
      <c r="Z948" s="242"/>
    </row>
    <row r="949">
      <c r="A949" s="242"/>
      <c r="B949" s="243"/>
      <c r="C949" s="243"/>
      <c r="D949" s="243"/>
      <c r="E949" s="15"/>
      <c r="F949" s="243"/>
      <c r="G949" s="243"/>
      <c r="H949" s="13"/>
      <c r="I949" s="13"/>
      <c r="J949" s="242"/>
      <c r="K949" s="242"/>
      <c r="L949" s="13"/>
      <c r="M949" s="242"/>
      <c r="N949" s="242"/>
      <c r="O949" s="242"/>
      <c r="P949" s="242"/>
      <c r="Q949" s="13"/>
      <c r="R949" s="13"/>
      <c r="S949" s="242"/>
      <c r="T949" s="443"/>
      <c r="U949" s="443"/>
      <c r="V949" s="242"/>
      <c r="W949" s="242"/>
      <c r="X949" s="242"/>
      <c r="Y949" s="242"/>
      <c r="Z949" s="242"/>
    </row>
    <row r="950">
      <c r="A950" s="242"/>
      <c r="B950" s="243"/>
      <c r="C950" s="243"/>
      <c r="D950" s="243"/>
      <c r="E950" s="15"/>
      <c r="F950" s="243"/>
      <c r="G950" s="243"/>
      <c r="H950" s="13"/>
      <c r="I950" s="13"/>
      <c r="J950" s="242"/>
      <c r="K950" s="242"/>
      <c r="L950" s="13"/>
      <c r="M950" s="242"/>
      <c r="N950" s="242"/>
      <c r="O950" s="242"/>
      <c r="P950" s="242"/>
      <c r="Q950" s="13"/>
      <c r="R950" s="13"/>
      <c r="S950" s="242"/>
      <c r="T950" s="443"/>
      <c r="U950" s="443"/>
      <c r="V950" s="242"/>
      <c r="W950" s="242"/>
      <c r="X950" s="242"/>
      <c r="Y950" s="242"/>
      <c r="Z950" s="242"/>
    </row>
    <row r="951">
      <c r="A951" s="242"/>
      <c r="B951" s="243"/>
      <c r="C951" s="243"/>
      <c r="D951" s="243"/>
      <c r="E951" s="15"/>
      <c r="F951" s="243"/>
      <c r="G951" s="243"/>
      <c r="H951" s="13"/>
      <c r="I951" s="13"/>
      <c r="J951" s="242"/>
      <c r="K951" s="242"/>
      <c r="L951" s="13"/>
      <c r="M951" s="242"/>
      <c r="N951" s="242"/>
      <c r="O951" s="242"/>
      <c r="P951" s="242"/>
      <c r="Q951" s="13"/>
      <c r="R951" s="13"/>
      <c r="S951" s="242"/>
      <c r="T951" s="443"/>
      <c r="U951" s="443"/>
      <c r="V951" s="242"/>
      <c r="W951" s="242"/>
      <c r="X951" s="242"/>
      <c r="Y951" s="242"/>
      <c r="Z951" s="242"/>
    </row>
    <row r="952">
      <c r="A952" s="242"/>
      <c r="B952" s="243"/>
      <c r="C952" s="243"/>
      <c r="D952" s="243"/>
      <c r="E952" s="15"/>
      <c r="F952" s="243"/>
      <c r="G952" s="243"/>
      <c r="H952" s="13"/>
      <c r="I952" s="13"/>
      <c r="J952" s="242"/>
      <c r="K952" s="242"/>
      <c r="L952" s="13"/>
      <c r="M952" s="242"/>
      <c r="N952" s="242"/>
      <c r="O952" s="242"/>
      <c r="P952" s="242"/>
      <c r="Q952" s="13"/>
      <c r="R952" s="13"/>
      <c r="S952" s="242"/>
      <c r="T952" s="443"/>
      <c r="U952" s="443"/>
      <c r="V952" s="242"/>
      <c r="W952" s="242"/>
      <c r="X952" s="242"/>
      <c r="Y952" s="242"/>
      <c r="Z952" s="242"/>
    </row>
    <row r="953">
      <c r="A953" s="242"/>
      <c r="B953" s="243"/>
      <c r="C953" s="243"/>
      <c r="D953" s="243"/>
      <c r="E953" s="15"/>
      <c r="F953" s="243"/>
      <c r="G953" s="243"/>
      <c r="H953" s="13"/>
      <c r="I953" s="13"/>
      <c r="J953" s="242"/>
      <c r="K953" s="242"/>
      <c r="L953" s="13"/>
      <c r="M953" s="242"/>
      <c r="N953" s="242"/>
      <c r="O953" s="242"/>
      <c r="P953" s="242"/>
      <c r="Q953" s="13"/>
      <c r="R953" s="13"/>
      <c r="S953" s="242"/>
      <c r="T953" s="443"/>
      <c r="U953" s="443"/>
      <c r="V953" s="242"/>
      <c r="W953" s="242"/>
      <c r="X953" s="242"/>
      <c r="Y953" s="242"/>
      <c r="Z953" s="242"/>
    </row>
    <row r="954">
      <c r="A954" s="242"/>
      <c r="B954" s="243"/>
      <c r="C954" s="243"/>
      <c r="D954" s="243"/>
      <c r="E954" s="15"/>
      <c r="F954" s="243"/>
      <c r="G954" s="243"/>
      <c r="H954" s="13"/>
      <c r="I954" s="13"/>
      <c r="J954" s="242"/>
      <c r="K954" s="242"/>
      <c r="L954" s="13"/>
      <c r="M954" s="242"/>
      <c r="N954" s="242"/>
      <c r="O954" s="242"/>
      <c r="P954" s="242"/>
      <c r="Q954" s="13"/>
      <c r="R954" s="13"/>
      <c r="S954" s="242"/>
      <c r="T954" s="443"/>
      <c r="U954" s="443"/>
      <c r="V954" s="242"/>
      <c r="W954" s="242"/>
      <c r="X954" s="242"/>
      <c r="Y954" s="242"/>
      <c r="Z954" s="242"/>
    </row>
    <row r="955">
      <c r="A955" s="242"/>
      <c r="B955" s="243"/>
      <c r="C955" s="243"/>
      <c r="D955" s="243"/>
      <c r="E955" s="15"/>
      <c r="F955" s="243"/>
      <c r="G955" s="243"/>
      <c r="H955" s="13"/>
      <c r="I955" s="13"/>
      <c r="J955" s="242"/>
      <c r="K955" s="242"/>
      <c r="L955" s="13"/>
      <c r="M955" s="242"/>
      <c r="N955" s="242"/>
      <c r="O955" s="242"/>
      <c r="P955" s="242"/>
      <c r="Q955" s="13"/>
      <c r="R955" s="13"/>
      <c r="S955" s="242"/>
      <c r="T955" s="443"/>
      <c r="U955" s="443"/>
      <c r="V955" s="242"/>
      <c r="W955" s="242"/>
      <c r="X955" s="242"/>
      <c r="Y955" s="242"/>
      <c r="Z955" s="242"/>
    </row>
    <row r="956">
      <c r="A956" s="242"/>
      <c r="B956" s="243"/>
      <c r="C956" s="243"/>
      <c r="D956" s="243"/>
      <c r="E956" s="15"/>
      <c r="F956" s="243"/>
      <c r="G956" s="243"/>
      <c r="H956" s="13"/>
      <c r="I956" s="13"/>
      <c r="J956" s="242"/>
      <c r="K956" s="242"/>
      <c r="L956" s="13"/>
      <c r="M956" s="242"/>
      <c r="N956" s="242"/>
      <c r="O956" s="242"/>
      <c r="P956" s="242"/>
      <c r="Q956" s="13"/>
      <c r="R956" s="13"/>
      <c r="S956" s="242"/>
      <c r="T956" s="443"/>
      <c r="U956" s="443"/>
      <c r="V956" s="242"/>
      <c r="W956" s="242"/>
      <c r="X956" s="242"/>
      <c r="Y956" s="242"/>
      <c r="Z956" s="242"/>
    </row>
    <row r="957">
      <c r="A957" s="242"/>
      <c r="B957" s="243"/>
      <c r="C957" s="243"/>
      <c r="D957" s="243"/>
      <c r="E957" s="15"/>
      <c r="F957" s="243"/>
      <c r="G957" s="243"/>
      <c r="H957" s="13"/>
      <c r="I957" s="13"/>
      <c r="J957" s="242"/>
      <c r="K957" s="242"/>
      <c r="L957" s="13"/>
      <c r="M957" s="242"/>
      <c r="N957" s="242"/>
      <c r="O957" s="242"/>
      <c r="P957" s="242"/>
      <c r="Q957" s="13"/>
      <c r="R957" s="13"/>
      <c r="S957" s="242"/>
      <c r="T957" s="443"/>
      <c r="U957" s="443"/>
      <c r="V957" s="242"/>
      <c r="W957" s="242"/>
      <c r="X957" s="242"/>
      <c r="Y957" s="242"/>
      <c r="Z957" s="242"/>
    </row>
    <row r="958">
      <c r="A958" s="242"/>
      <c r="B958" s="243"/>
      <c r="C958" s="243"/>
      <c r="D958" s="243"/>
      <c r="E958" s="15"/>
      <c r="F958" s="243"/>
      <c r="G958" s="243"/>
      <c r="H958" s="13"/>
      <c r="I958" s="13"/>
      <c r="J958" s="242"/>
      <c r="K958" s="242"/>
      <c r="L958" s="13"/>
      <c r="M958" s="242"/>
      <c r="N958" s="242"/>
      <c r="O958" s="242"/>
      <c r="P958" s="242"/>
      <c r="Q958" s="13"/>
      <c r="R958" s="13"/>
      <c r="S958" s="242"/>
      <c r="T958" s="443"/>
      <c r="U958" s="443"/>
      <c r="V958" s="242"/>
      <c r="W958" s="242"/>
      <c r="X958" s="242"/>
      <c r="Y958" s="242"/>
      <c r="Z958" s="242"/>
    </row>
    <row r="959">
      <c r="A959" s="242"/>
      <c r="B959" s="243"/>
      <c r="C959" s="243"/>
      <c r="D959" s="243"/>
      <c r="E959" s="15"/>
      <c r="F959" s="243"/>
      <c r="G959" s="243"/>
      <c r="H959" s="13"/>
      <c r="I959" s="13"/>
      <c r="J959" s="242"/>
      <c r="K959" s="242"/>
      <c r="L959" s="13"/>
      <c r="M959" s="242"/>
      <c r="N959" s="242"/>
      <c r="O959" s="242"/>
      <c r="P959" s="242"/>
      <c r="Q959" s="13"/>
      <c r="R959" s="13"/>
      <c r="S959" s="242"/>
      <c r="T959" s="443"/>
      <c r="U959" s="443"/>
      <c r="V959" s="242"/>
      <c r="W959" s="242"/>
      <c r="X959" s="242"/>
      <c r="Y959" s="242"/>
      <c r="Z959" s="242"/>
    </row>
    <row r="960">
      <c r="A960" s="242"/>
      <c r="B960" s="243"/>
      <c r="C960" s="243"/>
      <c r="D960" s="243"/>
      <c r="E960" s="15"/>
      <c r="F960" s="243"/>
      <c r="G960" s="243"/>
      <c r="H960" s="13"/>
      <c r="I960" s="13"/>
      <c r="J960" s="242"/>
      <c r="K960" s="242"/>
      <c r="L960" s="13"/>
      <c r="M960" s="242"/>
      <c r="N960" s="242"/>
      <c r="O960" s="242"/>
      <c r="P960" s="242"/>
      <c r="Q960" s="13"/>
      <c r="R960" s="13"/>
      <c r="S960" s="242"/>
      <c r="T960" s="443"/>
      <c r="U960" s="443"/>
      <c r="V960" s="242"/>
      <c r="W960" s="242"/>
      <c r="X960" s="242"/>
      <c r="Y960" s="242"/>
      <c r="Z960" s="242"/>
    </row>
    <row r="961">
      <c r="A961" s="242"/>
      <c r="B961" s="243"/>
      <c r="C961" s="243"/>
      <c r="D961" s="243"/>
      <c r="E961" s="15"/>
      <c r="F961" s="243"/>
      <c r="G961" s="243"/>
      <c r="H961" s="13"/>
      <c r="I961" s="13"/>
      <c r="J961" s="242"/>
      <c r="K961" s="242"/>
      <c r="L961" s="13"/>
      <c r="M961" s="242"/>
      <c r="N961" s="242"/>
      <c r="O961" s="242"/>
      <c r="P961" s="242"/>
      <c r="Q961" s="13"/>
      <c r="R961" s="13"/>
      <c r="S961" s="242"/>
      <c r="T961" s="443"/>
      <c r="U961" s="443"/>
      <c r="V961" s="242"/>
      <c r="W961" s="242"/>
      <c r="X961" s="242"/>
      <c r="Y961" s="242"/>
      <c r="Z961" s="242"/>
    </row>
    <row r="962">
      <c r="A962" s="242"/>
      <c r="B962" s="243"/>
      <c r="C962" s="243"/>
      <c r="D962" s="243"/>
      <c r="E962" s="15"/>
      <c r="F962" s="243"/>
      <c r="G962" s="243"/>
      <c r="H962" s="13"/>
      <c r="I962" s="13"/>
      <c r="J962" s="242"/>
      <c r="K962" s="242"/>
      <c r="L962" s="13"/>
      <c r="M962" s="242"/>
      <c r="N962" s="242"/>
      <c r="O962" s="242"/>
      <c r="P962" s="242"/>
      <c r="Q962" s="13"/>
      <c r="R962" s="13"/>
      <c r="S962" s="242"/>
      <c r="T962" s="443"/>
      <c r="U962" s="443"/>
      <c r="V962" s="242"/>
      <c r="W962" s="242"/>
      <c r="X962" s="242"/>
      <c r="Y962" s="242"/>
      <c r="Z962" s="242"/>
    </row>
    <row r="963">
      <c r="A963" s="242"/>
      <c r="B963" s="243"/>
      <c r="C963" s="243"/>
      <c r="D963" s="243"/>
      <c r="E963" s="15"/>
      <c r="F963" s="243"/>
      <c r="G963" s="243"/>
      <c r="H963" s="13"/>
      <c r="I963" s="13"/>
      <c r="J963" s="242"/>
      <c r="K963" s="242"/>
      <c r="L963" s="13"/>
      <c r="M963" s="242"/>
      <c r="N963" s="242"/>
      <c r="O963" s="242"/>
      <c r="P963" s="242"/>
      <c r="Q963" s="13"/>
      <c r="R963" s="13"/>
      <c r="S963" s="242"/>
      <c r="T963" s="443"/>
      <c r="U963" s="443"/>
      <c r="V963" s="242"/>
      <c r="W963" s="242"/>
      <c r="X963" s="242"/>
      <c r="Y963" s="242"/>
      <c r="Z963" s="242"/>
    </row>
    <row r="964">
      <c r="A964" s="242"/>
      <c r="B964" s="243"/>
      <c r="C964" s="243"/>
      <c r="D964" s="243"/>
      <c r="E964" s="15"/>
      <c r="F964" s="243"/>
      <c r="G964" s="243"/>
      <c r="H964" s="13"/>
      <c r="I964" s="13"/>
      <c r="J964" s="242"/>
      <c r="K964" s="242"/>
      <c r="L964" s="13"/>
      <c r="M964" s="242"/>
      <c r="N964" s="242"/>
      <c r="O964" s="242"/>
      <c r="P964" s="242"/>
      <c r="Q964" s="13"/>
      <c r="R964" s="13"/>
      <c r="S964" s="242"/>
      <c r="T964" s="443"/>
      <c r="U964" s="443"/>
      <c r="V964" s="242"/>
      <c r="W964" s="242"/>
      <c r="X964" s="242"/>
      <c r="Y964" s="242"/>
      <c r="Z964" s="242"/>
    </row>
    <row r="965">
      <c r="A965" s="242"/>
      <c r="B965" s="243"/>
      <c r="C965" s="243"/>
      <c r="D965" s="243"/>
      <c r="E965" s="15"/>
      <c r="F965" s="243"/>
      <c r="G965" s="243"/>
      <c r="H965" s="13"/>
      <c r="I965" s="13"/>
      <c r="J965" s="242"/>
      <c r="K965" s="242"/>
      <c r="L965" s="13"/>
      <c r="M965" s="242"/>
      <c r="N965" s="242"/>
      <c r="O965" s="242"/>
      <c r="P965" s="242"/>
      <c r="Q965" s="13"/>
      <c r="R965" s="13"/>
      <c r="S965" s="242"/>
      <c r="T965" s="443"/>
      <c r="U965" s="443"/>
      <c r="V965" s="242"/>
      <c r="W965" s="242"/>
      <c r="X965" s="242"/>
      <c r="Y965" s="242"/>
      <c r="Z965" s="242"/>
    </row>
    <row r="966">
      <c r="A966" s="242"/>
      <c r="B966" s="243"/>
      <c r="C966" s="243"/>
      <c r="D966" s="243"/>
      <c r="E966" s="15"/>
      <c r="F966" s="243"/>
      <c r="G966" s="243"/>
      <c r="H966" s="13"/>
      <c r="I966" s="13"/>
      <c r="J966" s="242"/>
      <c r="K966" s="242"/>
      <c r="L966" s="13"/>
      <c r="M966" s="242"/>
      <c r="N966" s="242"/>
      <c r="O966" s="242"/>
      <c r="P966" s="242"/>
      <c r="Q966" s="13"/>
      <c r="R966" s="13"/>
      <c r="S966" s="242"/>
      <c r="T966" s="443"/>
      <c r="U966" s="443"/>
      <c r="V966" s="242"/>
      <c r="W966" s="242"/>
      <c r="X966" s="242"/>
      <c r="Y966" s="242"/>
      <c r="Z966" s="242"/>
    </row>
    <row r="967">
      <c r="A967" s="242"/>
      <c r="B967" s="243"/>
      <c r="C967" s="243"/>
      <c r="D967" s="243"/>
      <c r="E967" s="15"/>
      <c r="F967" s="243"/>
      <c r="G967" s="243"/>
      <c r="H967" s="13"/>
      <c r="I967" s="13"/>
      <c r="J967" s="242"/>
      <c r="K967" s="242"/>
      <c r="L967" s="13"/>
      <c r="M967" s="242"/>
      <c r="N967" s="242"/>
      <c r="O967" s="242"/>
      <c r="P967" s="242"/>
      <c r="Q967" s="13"/>
      <c r="R967" s="13"/>
      <c r="S967" s="242"/>
      <c r="T967" s="443"/>
      <c r="U967" s="443"/>
      <c r="V967" s="242"/>
      <c r="W967" s="242"/>
      <c r="X967" s="242"/>
      <c r="Y967" s="242"/>
      <c r="Z967" s="242"/>
    </row>
    <row r="968">
      <c r="A968" s="242"/>
      <c r="B968" s="243"/>
      <c r="C968" s="243"/>
      <c r="D968" s="243"/>
      <c r="E968" s="15"/>
      <c r="F968" s="243"/>
      <c r="G968" s="243"/>
      <c r="H968" s="13"/>
      <c r="I968" s="13"/>
      <c r="J968" s="242"/>
      <c r="K968" s="242"/>
      <c r="L968" s="13"/>
      <c r="M968" s="242"/>
      <c r="N968" s="242"/>
      <c r="O968" s="242"/>
      <c r="P968" s="242"/>
      <c r="Q968" s="13"/>
      <c r="R968" s="13"/>
      <c r="S968" s="242"/>
      <c r="T968" s="443"/>
      <c r="U968" s="443"/>
      <c r="V968" s="242"/>
      <c r="W968" s="242"/>
      <c r="X968" s="242"/>
      <c r="Y968" s="242"/>
      <c r="Z968" s="242"/>
    </row>
    <row r="969">
      <c r="A969" s="242"/>
      <c r="B969" s="243"/>
      <c r="C969" s="243"/>
      <c r="D969" s="243"/>
      <c r="E969" s="15"/>
      <c r="F969" s="243"/>
      <c r="G969" s="243"/>
      <c r="H969" s="13"/>
      <c r="I969" s="13"/>
      <c r="J969" s="242"/>
      <c r="K969" s="242"/>
      <c r="L969" s="13"/>
      <c r="M969" s="242"/>
      <c r="N969" s="242"/>
      <c r="O969" s="242"/>
      <c r="P969" s="242"/>
      <c r="Q969" s="13"/>
      <c r="R969" s="13"/>
      <c r="S969" s="242"/>
      <c r="T969" s="443"/>
      <c r="U969" s="443"/>
      <c r="V969" s="242"/>
      <c r="W969" s="242"/>
      <c r="X969" s="242"/>
      <c r="Y969" s="242"/>
      <c r="Z969" s="242"/>
    </row>
    <row r="970">
      <c r="A970" s="242"/>
      <c r="B970" s="243"/>
      <c r="C970" s="243"/>
      <c r="D970" s="243"/>
      <c r="E970" s="15"/>
      <c r="F970" s="243"/>
      <c r="G970" s="243"/>
      <c r="H970" s="13"/>
      <c r="I970" s="13"/>
      <c r="J970" s="242"/>
      <c r="K970" s="242"/>
      <c r="L970" s="13"/>
      <c r="M970" s="242"/>
      <c r="N970" s="242"/>
      <c r="O970" s="242"/>
      <c r="P970" s="242"/>
      <c r="Q970" s="13"/>
      <c r="R970" s="13"/>
      <c r="S970" s="242"/>
      <c r="T970" s="443"/>
      <c r="U970" s="443"/>
      <c r="V970" s="242"/>
      <c r="W970" s="242"/>
      <c r="X970" s="242"/>
      <c r="Y970" s="242"/>
      <c r="Z970" s="242"/>
    </row>
    <row r="971">
      <c r="A971" s="242"/>
      <c r="B971" s="243"/>
      <c r="C971" s="243"/>
      <c r="D971" s="243"/>
      <c r="E971" s="15"/>
      <c r="F971" s="243"/>
      <c r="G971" s="243"/>
      <c r="H971" s="13"/>
      <c r="I971" s="13"/>
      <c r="J971" s="242"/>
      <c r="K971" s="242"/>
      <c r="L971" s="13"/>
      <c r="M971" s="242"/>
      <c r="N971" s="242"/>
      <c r="O971" s="242"/>
      <c r="P971" s="242"/>
      <c r="Q971" s="13"/>
      <c r="R971" s="13"/>
      <c r="S971" s="242"/>
      <c r="T971" s="443"/>
      <c r="U971" s="443"/>
      <c r="V971" s="242"/>
      <c r="W971" s="242"/>
      <c r="X971" s="242"/>
      <c r="Y971" s="242"/>
      <c r="Z971" s="242"/>
    </row>
    <row r="972">
      <c r="A972" s="242"/>
      <c r="B972" s="243"/>
      <c r="C972" s="243"/>
      <c r="D972" s="243"/>
      <c r="E972" s="15"/>
      <c r="F972" s="243"/>
      <c r="G972" s="243"/>
      <c r="H972" s="13"/>
      <c r="I972" s="13"/>
      <c r="J972" s="242"/>
      <c r="K972" s="242"/>
      <c r="L972" s="13"/>
      <c r="M972" s="242"/>
      <c r="N972" s="242"/>
      <c r="O972" s="242"/>
      <c r="P972" s="242"/>
      <c r="Q972" s="13"/>
      <c r="R972" s="13"/>
      <c r="S972" s="242"/>
      <c r="T972" s="443"/>
      <c r="U972" s="443"/>
      <c r="V972" s="242"/>
      <c r="W972" s="242"/>
      <c r="X972" s="242"/>
      <c r="Y972" s="242"/>
      <c r="Z972" s="242"/>
    </row>
    <row r="973">
      <c r="A973" s="242"/>
      <c r="B973" s="243"/>
      <c r="C973" s="243"/>
      <c r="D973" s="243"/>
      <c r="E973" s="15"/>
      <c r="F973" s="243"/>
      <c r="G973" s="243"/>
      <c r="H973" s="13"/>
      <c r="I973" s="13"/>
      <c r="J973" s="242"/>
      <c r="K973" s="242"/>
      <c r="L973" s="13"/>
      <c r="M973" s="242"/>
      <c r="N973" s="242"/>
      <c r="O973" s="242"/>
      <c r="P973" s="242"/>
      <c r="Q973" s="13"/>
      <c r="R973" s="13"/>
      <c r="S973" s="242"/>
      <c r="T973" s="443"/>
      <c r="U973" s="443"/>
      <c r="V973" s="242"/>
      <c r="W973" s="242"/>
      <c r="X973" s="242"/>
      <c r="Y973" s="242"/>
      <c r="Z973" s="242"/>
    </row>
    <row r="974">
      <c r="A974" s="242"/>
      <c r="B974" s="243"/>
      <c r="C974" s="243"/>
      <c r="D974" s="243"/>
      <c r="E974" s="15"/>
      <c r="F974" s="243"/>
      <c r="G974" s="243"/>
      <c r="H974" s="13"/>
      <c r="I974" s="13"/>
      <c r="J974" s="242"/>
      <c r="K974" s="242"/>
      <c r="L974" s="13"/>
      <c r="M974" s="242"/>
      <c r="N974" s="242"/>
      <c r="O974" s="242"/>
      <c r="P974" s="242"/>
      <c r="Q974" s="13"/>
      <c r="R974" s="13"/>
      <c r="S974" s="242"/>
      <c r="T974" s="443"/>
      <c r="U974" s="443"/>
      <c r="V974" s="242"/>
      <c r="W974" s="242"/>
      <c r="X974" s="242"/>
      <c r="Y974" s="242"/>
      <c r="Z974" s="242"/>
    </row>
    <row r="975">
      <c r="A975" s="242"/>
      <c r="B975" s="243"/>
      <c r="C975" s="243"/>
      <c r="D975" s="243"/>
      <c r="E975" s="15"/>
      <c r="F975" s="243"/>
      <c r="G975" s="243"/>
      <c r="H975" s="13"/>
      <c r="I975" s="13"/>
      <c r="J975" s="242"/>
      <c r="K975" s="242"/>
      <c r="L975" s="13"/>
      <c r="M975" s="242"/>
      <c r="N975" s="242"/>
      <c r="O975" s="242"/>
      <c r="P975" s="242"/>
      <c r="Q975" s="13"/>
      <c r="R975" s="13"/>
      <c r="S975" s="242"/>
      <c r="T975" s="443"/>
      <c r="U975" s="443"/>
      <c r="V975" s="242"/>
      <c r="W975" s="242"/>
      <c r="X975" s="242"/>
      <c r="Y975" s="242"/>
      <c r="Z975" s="242"/>
    </row>
    <row r="976">
      <c r="A976" s="242"/>
      <c r="B976" s="243"/>
      <c r="C976" s="243"/>
      <c r="D976" s="243"/>
      <c r="E976" s="15"/>
      <c r="F976" s="243"/>
      <c r="G976" s="243"/>
      <c r="H976" s="13"/>
      <c r="I976" s="13"/>
      <c r="J976" s="242"/>
      <c r="K976" s="242"/>
      <c r="L976" s="13"/>
      <c r="M976" s="242"/>
      <c r="N976" s="242"/>
      <c r="O976" s="242"/>
      <c r="P976" s="242"/>
      <c r="Q976" s="13"/>
      <c r="R976" s="13"/>
      <c r="S976" s="242"/>
      <c r="T976" s="443"/>
      <c r="U976" s="443"/>
      <c r="V976" s="242"/>
      <c r="W976" s="242"/>
      <c r="X976" s="242"/>
      <c r="Y976" s="242"/>
      <c r="Z976" s="242"/>
    </row>
    <row r="977">
      <c r="A977" s="242"/>
      <c r="B977" s="243"/>
      <c r="C977" s="243"/>
      <c r="D977" s="243"/>
      <c r="E977" s="15"/>
      <c r="F977" s="243"/>
      <c r="G977" s="243"/>
      <c r="H977" s="13"/>
      <c r="I977" s="13"/>
      <c r="J977" s="242"/>
      <c r="K977" s="242"/>
      <c r="L977" s="13"/>
      <c r="M977" s="242"/>
      <c r="N977" s="242"/>
      <c r="O977" s="242"/>
      <c r="P977" s="242"/>
      <c r="Q977" s="13"/>
      <c r="R977" s="13"/>
      <c r="S977" s="242"/>
      <c r="T977" s="443"/>
      <c r="U977" s="443"/>
      <c r="V977" s="242"/>
      <c r="W977" s="242"/>
      <c r="X977" s="242"/>
      <c r="Y977" s="242"/>
      <c r="Z977" s="242"/>
    </row>
    <row r="978">
      <c r="A978" s="242"/>
      <c r="B978" s="243"/>
      <c r="C978" s="243"/>
      <c r="D978" s="243"/>
      <c r="E978" s="15"/>
      <c r="F978" s="243"/>
      <c r="G978" s="243"/>
      <c r="H978" s="13"/>
      <c r="I978" s="13"/>
      <c r="J978" s="242"/>
      <c r="K978" s="242"/>
      <c r="L978" s="13"/>
      <c r="M978" s="242"/>
      <c r="N978" s="242"/>
      <c r="O978" s="242"/>
      <c r="P978" s="242"/>
      <c r="Q978" s="13"/>
      <c r="R978" s="13"/>
      <c r="S978" s="242"/>
      <c r="T978" s="443"/>
      <c r="U978" s="443"/>
      <c r="V978" s="242"/>
      <c r="W978" s="242"/>
      <c r="X978" s="242"/>
      <c r="Y978" s="242"/>
      <c r="Z978" s="242"/>
    </row>
    <row r="979">
      <c r="A979" s="242"/>
      <c r="B979" s="243"/>
      <c r="C979" s="243"/>
      <c r="D979" s="243"/>
      <c r="E979" s="15"/>
      <c r="F979" s="243"/>
      <c r="G979" s="243"/>
      <c r="H979" s="13"/>
      <c r="I979" s="13"/>
      <c r="J979" s="242"/>
      <c r="K979" s="242"/>
      <c r="L979" s="13"/>
      <c r="M979" s="242"/>
      <c r="N979" s="242"/>
      <c r="O979" s="242"/>
      <c r="P979" s="242"/>
      <c r="Q979" s="13"/>
      <c r="R979" s="13"/>
      <c r="S979" s="242"/>
      <c r="T979" s="443"/>
      <c r="U979" s="443"/>
      <c r="V979" s="242"/>
      <c r="W979" s="242"/>
      <c r="X979" s="242"/>
      <c r="Y979" s="242"/>
      <c r="Z979" s="242"/>
    </row>
    <row r="980">
      <c r="A980" s="242"/>
      <c r="B980" s="243"/>
      <c r="C980" s="243"/>
      <c r="D980" s="243"/>
      <c r="E980" s="15"/>
      <c r="F980" s="243"/>
      <c r="G980" s="243"/>
      <c r="H980" s="13"/>
      <c r="I980" s="13"/>
      <c r="J980" s="242"/>
      <c r="K980" s="242"/>
      <c r="L980" s="13"/>
      <c r="M980" s="242"/>
      <c r="N980" s="242"/>
      <c r="O980" s="242"/>
      <c r="P980" s="242"/>
      <c r="Q980" s="13"/>
      <c r="R980" s="13"/>
      <c r="S980" s="242"/>
      <c r="T980" s="443"/>
      <c r="U980" s="443"/>
      <c r="V980" s="242"/>
      <c r="W980" s="242"/>
      <c r="X980" s="242"/>
      <c r="Y980" s="242"/>
      <c r="Z980" s="242"/>
    </row>
    <row r="981">
      <c r="A981" s="242"/>
      <c r="B981" s="243"/>
      <c r="C981" s="243"/>
      <c r="D981" s="243"/>
      <c r="E981" s="15"/>
      <c r="F981" s="243"/>
      <c r="G981" s="243"/>
      <c r="H981" s="13"/>
      <c r="I981" s="13"/>
      <c r="J981" s="242"/>
      <c r="K981" s="242"/>
      <c r="L981" s="13"/>
      <c r="M981" s="242"/>
      <c r="N981" s="242"/>
      <c r="O981" s="242"/>
      <c r="P981" s="242"/>
      <c r="Q981" s="13"/>
      <c r="R981" s="13"/>
      <c r="S981" s="242"/>
      <c r="T981" s="443"/>
      <c r="U981" s="443"/>
      <c r="V981" s="242"/>
      <c r="W981" s="242"/>
      <c r="X981" s="242"/>
      <c r="Y981" s="242"/>
      <c r="Z981" s="242"/>
    </row>
    <row r="982">
      <c r="A982" s="242"/>
      <c r="B982" s="243"/>
      <c r="C982" s="243"/>
      <c r="D982" s="243"/>
      <c r="E982" s="15"/>
      <c r="F982" s="243"/>
      <c r="G982" s="243"/>
      <c r="H982" s="13"/>
      <c r="I982" s="13"/>
      <c r="J982" s="242"/>
      <c r="K982" s="242"/>
      <c r="L982" s="13"/>
      <c r="M982" s="242"/>
      <c r="N982" s="242"/>
      <c r="O982" s="242"/>
      <c r="P982" s="242"/>
      <c r="Q982" s="13"/>
      <c r="R982" s="13"/>
      <c r="S982" s="242"/>
      <c r="T982" s="443"/>
      <c r="U982" s="443"/>
      <c r="V982" s="242"/>
      <c r="W982" s="242"/>
      <c r="X982" s="242"/>
      <c r="Y982" s="242"/>
      <c r="Z982" s="242"/>
    </row>
    <row r="983">
      <c r="A983" s="242"/>
      <c r="B983" s="243"/>
      <c r="C983" s="243"/>
      <c r="D983" s="243"/>
      <c r="E983" s="15"/>
      <c r="F983" s="243"/>
      <c r="G983" s="243"/>
      <c r="H983" s="13"/>
      <c r="I983" s="13"/>
      <c r="J983" s="242"/>
      <c r="K983" s="242"/>
      <c r="L983" s="13"/>
      <c r="M983" s="242"/>
      <c r="N983" s="242"/>
      <c r="O983" s="242"/>
      <c r="P983" s="242"/>
      <c r="Q983" s="13"/>
      <c r="R983" s="13"/>
      <c r="S983" s="242"/>
      <c r="T983" s="443"/>
      <c r="U983" s="443"/>
      <c r="V983" s="242"/>
      <c r="W983" s="242"/>
      <c r="X983" s="242"/>
      <c r="Y983" s="242"/>
      <c r="Z983" s="242"/>
    </row>
    <row r="984">
      <c r="A984" s="242"/>
      <c r="B984" s="243"/>
      <c r="C984" s="243"/>
      <c r="D984" s="243"/>
      <c r="E984" s="15"/>
      <c r="F984" s="243"/>
      <c r="G984" s="243"/>
      <c r="H984" s="13"/>
      <c r="I984" s="13"/>
      <c r="J984" s="242"/>
      <c r="K984" s="242"/>
      <c r="L984" s="13"/>
      <c r="M984" s="242"/>
      <c r="N984" s="242"/>
      <c r="O984" s="242"/>
      <c r="P984" s="242"/>
      <c r="Q984" s="13"/>
      <c r="R984" s="13"/>
      <c r="S984" s="242"/>
      <c r="T984" s="443"/>
      <c r="U984" s="443"/>
      <c r="V984" s="242"/>
      <c r="W984" s="242"/>
      <c r="X984" s="242"/>
      <c r="Y984" s="242"/>
      <c r="Z984" s="242"/>
    </row>
    <row r="985">
      <c r="A985" s="242"/>
      <c r="B985" s="243"/>
      <c r="C985" s="243"/>
      <c r="D985" s="243"/>
      <c r="E985" s="15"/>
      <c r="F985" s="243"/>
      <c r="G985" s="243"/>
      <c r="H985" s="13"/>
      <c r="I985" s="13"/>
      <c r="J985" s="242"/>
      <c r="K985" s="242"/>
      <c r="L985" s="13"/>
      <c r="M985" s="242"/>
      <c r="N985" s="242"/>
      <c r="O985" s="242"/>
      <c r="P985" s="242"/>
      <c r="Q985" s="13"/>
      <c r="R985" s="13"/>
      <c r="S985" s="242"/>
      <c r="T985" s="443"/>
      <c r="U985" s="443"/>
      <c r="V985" s="242"/>
      <c r="W985" s="242"/>
      <c r="X985" s="242"/>
      <c r="Y985" s="242"/>
      <c r="Z985" s="242"/>
    </row>
    <row r="986">
      <c r="A986" s="242"/>
      <c r="B986" s="243"/>
      <c r="C986" s="243"/>
      <c r="D986" s="243"/>
      <c r="E986" s="15"/>
      <c r="F986" s="243"/>
      <c r="G986" s="243"/>
      <c r="H986" s="13"/>
      <c r="I986" s="13"/>
      <c r="J986" s="242"/>
      <c r="K986" s="242"/>
      <c r="L986" s="13"/>
      <c r="M986" s="242"/>
      <c r="N986" s="242"/>
      <c r="O986" s="242"/>
      <c r="P986" s="242"/>
      <c r="Q986" s="13"/>
      <c r="R986" s="13"/>
      <c r="S986" s="242"/>
      <c r="T986" s="443"/>
      <c r="U986" s="443"/>
      <c r="V986" s="242"/>
      <c r="W986" s="242"/>
      <c r="X986" s="242"/>
      <c r="Y986" s="242"/>
      <c r="Z986" s="242"/>
    </row>
    <row r="987">
      <c r="A987" s="242"/>
      <c r="B987" s="243"/>
      <c r="C987" s="243"/>
      <c r="D987" s="243"/>
      <c r="E987" s="15"/>
      <c r="F987" s="243"/>
      <c r="G987" s="243"/>
      <c r="H987" s="13"/>
      <c r="I987" s="13"/>
      <c r="J987" s="242"/>
      <c r="K987" s="242"/>
      <c r="L987" s="13"/>
      <c r="M987" s="242"/>
      <c r="N987" s="242"/>
      <c r="O987" s="242"/>
      <c r="P987" s="242"/>
      <c r="Q987" s="13"/>
      <c r="R987" s="13"/>
      <c r="S987" s="242"/>
      <c r="T987" s="443"/>
      <c r="U987" s="443"/>
      <c r="V987" s="242"/>
      <c r="W987" s="242"/>
      <c r="X987" s="242"/>
      <c r="Y987" s="242"/>
      <c r="Z987" s="242"/>
    </row>
    <row r="988">
      <c r="A988" s="242"/>
      <c r="B988" s="243"/>
      <c r="C988" s="243"/>
      <c r="D988" s="243"/>
      <c r="E988" s="15"/>
      <c r="F988" s="243"/>
      <c r="G988" s="243"/>
      <c r="H988" s="13"/>
      <c r="I988" s="13"/>
      <c r="J988" s="242"/>
      <c r="K988" s="242"/>
      <c r="L988" s="13"/>
      <c r="M988" s="242"/>
      <c r="N988" s="242"/>
      <c r="O988" s="242"/>
      <c r="P988" s="242"/>
      <c r="Q988" s="13"/>
      <c r="R988" s="13"/>
      <c r="S988" s="242"/>
      <c r="T988" s="443"/>
      <c r="U988" s="443"/>
      <c r="V988" s="242"/>
      <c r="W988" s="242"/>
      <c r="X988" s="242"/>
      <c r="Y988" s="242"/>
      <c r="Z988" s="242"/>
    </row>
    <row r="989">
      <c r="A989" s="242"/>
      <c r="B989" s="243"/>
      <c r="C989" s="243"/>
      <c r="D989" s="243"/>
      <c r="E989" s="15"/>
      <c r="F989" s="243"/>
      <c r="G989" s="243"/>
      <c r="H989" s="13"/>
      <c r="I989" s="13"/>
      <c r="J989" s="242"/>
      <c r="K989" s="242"/>
      <c r="L989" s="13"/>
      <c r="M989" s="242"/>
      <c r="N989" s="242"/>
      <c r="O989" s="242"/>
      <c r="P989" s="242"/>
      <c r="Q989" s="13"/>
      <c r="R989" s="13"/>
      <c r="S989" s="242"/>
      <c r="T989" s="443"/>
      <c r="U989" s="443"/>
      <c r="V989" s="242"/>
      <c r="W989" s="242"/>
      <c r="X989" s="242"/>
      <c r="Y989" s="242"/>
      <c r="Z989" s="242"/>
    </row>
    <row r="990">
      <c r="A990" s="242"/>
      <c r="B990" s="243"/>
      <c r="C990" s="243"/>
      <c r="D990" s="243"/>
      <c r="E990" s="15"/>
      <c r="F990" s="243"/>
      <c r="G990" s="243"/>
      <c r="H990" s="13"/>
      <c r="I990" s="13"/>
      <c r="J990" s="242"/>
      <c r="K990" s="242"/>
      <c r="L990" s="13"/>
      <c r="M990" s="242"/>
      <c r="N990" s="242"/>
      <c r="O990" s="242"/>
      <c r="P990" s="242"/>
      <c r="Q990" s="13"/>
      <c r="R990" s="13"/>
      <c r="S990" s="242"/>
      <c r="T990" s="443"/>
      <c r="U990" s="443"/>
      <c r="V990" s="242"/>
      <c r="W990" s="242"/>
      <c r="X990" s="242"/>
      <c r="Y990" s="242"/>
      <c r="Z990" s="242"/>
    </row>
    <row r="991">
      <c r="A991" s="242"/>
      <c r="B991" s="243"/>
      <c r="C991" s="243"/>
      <c r="D991" s="243"/>
      <c r="E991" s="15"/>
      <c r="F991" s="243"/>
      <c r="G991" s="243"/>
      <c r="H991" s="13"/>
      <c r="I991" s="13"/>
      <c r="J991" s="242"/>
      <c r="K991" s="242"/>
      <c r="L991" s="13"/>
      <c r="M991" s="242"/>
      <c r="N991" s="242"/>
      <c r="O991" s="242"/>
      <c r="P991" s="242"/>
      <c r="Q991" s="13"/>
      <c r="R991" s="13"/>
      <c r="S991" s="242"/>
      <c r="T991" s="443"/>
      <c r="U991" s="443"/>
      <c r="V991" s="242"/>
      <c r="W991" s="242"/>
      <c r="X991" s="242"/>
      <c r="Y991" s="242"/>
      <c r="Z991" s="242"/>
    </row>
    <row r="992">
      <c r="A992" s="242"/>
      <c r="B992" s="243"/>
      <c r="C992" s="243"/>
      <c r="D992" s="243"/>
      <c r="E992" s="15"/>
      <c r="F992" s="243"/>
      <c r="G992" s="243"/>
      <c r="H992" s="13"/>
      <c r="I992" s="13"/>
      <c r="J992" s="242"/>
      <c r="K992" s="242"/>
      <c r="L992" s="13"/>
      <c r="M992" s="242"/>
      <c r="N992" s="242"/>
      <c r="O992" s="242"/>
      <c r="P992" s="242"/>
      <c r="Q992" s="13"/>
      <c r="R992" s="13"/>
      <c r="S992" s="242"/>
      <c r="T992" s="443"/>
      <c r="U992" s="443"/>
      <c r="V992" s="242"/>
      <c r="W992" s="242"/>
      <c r="X992" s="242"/>
      <c r="Y992" s="242"/>
      <c r="Z992" s="242"/>
    </row>
    <row r="993">
      <c r="A993" s="242"/>
      <c r="B993" s="243"/>
      <c r="C993" s="243"/>
      <c r="D993" s="243"/>
      <c r="E993" s="15"/>
      <c r="F993" s="243"/>
      <c r="G993" s="243"/>
      <c r="H993" s="13"/>
      <c r="I993" s="13"/>
      <c r="J993" s="242"/>
      <c r="K993" s="242"/>
      <c r="L993" s="13"/>
      <c r="M993" s="242"/>
      <c r="N993" s="242"/>
      <c r="O993" s="242"/>
      <c r="P993" s="242"/>
      <c r="Q993" s="13"/>
      <c r="R993" s="13"/>
      <c r="S993" s="242"/>
      <c r="T993" s="443"/>
      <c r="U993" s="443"/>
      <c r="V993" s="242"/>
      <c r="W993" s="242"/>
      <c r="X993" s="242"/>
      <c r="Y993" s="242"/>
      <c r="Z993" s="242"/>
    </row>
    <row r="994">
      <c r="A994" s="242"/>
      <c r="B994" s="243"/>
      <c r="C994" s="243"/>
      <c r="D994" s="243"/>
      <c r="E994" s="15"/>
      <c r="F994" s="243"/>
      <c r="G994" s="243"/>
      <c r="H994" s="13"/>
      <c r="I994" s="13"/>
      <c r="J994" s="242"/>
      <c r="K994" s="242"/>
      <c r="L994" s="13"/>
      <c r="M994" s="242"/>
      <c r="N994" s="242"/>
      <c r="O994" s="242"/>
      <c r="P994" s="242"/>
      <c r="Q994" s="13"/>
      <c r="R994" s="13"/>
      <c r="S994" s="242"/>
      <c r="T994" s="443"/>
      <c r="U994" s="443"/>
      <c r="V994" s="242"/>
      <c r="W994" s="242"/>
      <c r="X994" s="242"/>
      <c r="Y994" s="242"/>
      <c r="Z994" s="242"/>
    </row>
    <row r="995">
      <c r="A995" s="242"/>
      <c r="B995" s="243"/>
      <c r="C995" s="243"/>
      <c r="D995" s="243"/>
      <c r="E995" s="15"/>
      <c r="F995" s="243"/>
      <c r="G995" s="243"/>
      <c r="H995" s="13"/>
      <c r="I995" s="13"/>
      <c r="J995" s="242"/>
      <c r="K995" s="242"/>
      <c r="L995" s="13"/>
      <c r="M995" s="242"/>
      <c r="N995" s="242"/>
      <c r="O995" s="242"/>
      <c r="P995" s="242"/>
      <c r="Q995" s="13"/>
      <c r="R995" s="13"/>
      <c r="S995" s="242"/>
      <c r="T995" s="443"/>
      <c r="U995" s="443"/>
      <c r="V995" s="242"/>
      <c r="W995" s="242"/>
      <c r="X995" s="242"/>
      <c r="Y995" s="242"/>
      <c r="Z995" s="242"/>
    </row>
    <row r="996">
      <c r="A996" s="242"/>
      <c r="B996" s="243"/>
      <c r="C996" s="243"/>
      <c r="D996" s="243"/>
      <c r="E996" s="15"/>
      <c r="F996" s="243"/>
      <c r="G996" s="243"/>
      <c r="H996" s="13"/>
      <c r="I996" s="13"/>
      <c r="J996" s="242"/>
      <c r="K996" s="242"/>
      <c r="L996" s="13"/>
      <c r="M996" s="242"/>
      <c r="N996" s="242"/>
      <c r="O996" s="242"/>
      <c r="P996" s="242"/>
      <c r="Q996" s="13"/>
      <c r="R996" s="13"/>
      <c r="S996" s="242"/>
      <c r="T996" s="443"/>
      <c r="U996" s="443"/>
      <c r="V996" s="242"/>
      <c r="W996" s="242"/>
      <c r="X996" s="242"/>
      <c r="Y996" s="242"/>
      <c r="Z996" s="242"/>
    </row>
    <row r="997">
      <c r="A997" s="242"/>
      <c r="B997" s="243"/>
      <c r="C997" s="243"/>
      <c r="D997" s="243"/>
      <c r="E997" s="15"/>
      <c r="F997" s="243"/>
      <c r="G997" s="243"/>
      <c r="H997" s="13"/>
      <c r="I997" s="13"/>
      <c r="J997" s="242"/>
      <c r="K997" s="242"/>
      <c r="L997" s="13"/>
      <c r="M997" s="242"/>
      <c r="N997" s="242"/>
      <c r="O997" s="242"/>
      <c r="P997" s="242"/>
      <c r="Q997" s="13"/>
      <c r="R997" s="13"/>
      <c r="S997" s="242"/>
      <c r="T997" s="443"/>
      <c r="U997" s="443"/>
      <c r="V997" s="242"/>
      <c r="W997" s="242"/>
      <c r="X997" s="242"/>
      <c r="Y997" s="242"/>
      <c r="Z997" s="242"/>
    </row>
    <row r="998">
      <c r="A998" s="242"/>
      <c r="B998" s="243"/>
      <c r="C998" s="243"/>
      <c r="D998" s="243"/>
      <c r="E998" s="15"/>
      <c r="F998" s="243"/>
      <c r="G998" s="243"/>
      <c r="H998" s="13"/>
      <c r="I998" s="13"/>
      <c r="J998" s="242"/>
      <c r="K998" s="242"/>
      <c r="L998" s="13"/>
      <c r="M998" s="242"/>
      <c r="N998" s="242"/>
      <c r="O998" s="242"/>
      <c r="P998" s="242"/>
      <c r="Q998" s="13"/>
      <c r="R998" s="13"/>
      <c r="S998" s="242"/>
      <c r="T998" s="443"/>
      <c r="U998" s="443"/>
      <c r="V998" s="242"/>
      <c r="W998" s="242"/>
      <c r="X998" s="242"/>
      <c r="Y998" s="242"/>
      <c r="Z998" s="242"/>
    </row>
    <row r="999">
      <c r="A999" s="242"/>
      <c r="B999" s="243"/>
      <c r="C999" s="243"/>
      <c r="D999" s="243"/>
      <c r="E999" s="15"/>
      <c r="F999" s="243"/>
      <c r="G999" s="243"/>
      <c r="H999" s="13"/>
      <c r="I999" s="13"/>
      <c r="J999" s="242"/>
      <c r="K999" s="242"/>
      <c r="L999" s="13"/>
      <c r="M999" s="242"/>
      <c r="N999" s="242"/>
      <c r="O999" s="242"/>
      <c r="P999" s="242"/>
      <c r="Q999" s="13"/>
      <c r="R999" s="13"/>
      <c r="S999" s="242"/>
      <c r="T999" s="443"/>
      <c r="U999" s="443"/>
      <c r="V999" s="242"/>
      <c r="W999" s="242"/>
      <c r="X999" s="242"/>
      <c r="Y999" s="242"/>
      <c r="Z999" s="242"/>
    </row>
    <row r="1000">
      <c r="A1000" s="242"/>
      <c r="B1000" s="243"/>
      <c r="C1000" s="243"/>
      <c r="D1000" s="243"/>
      <c r="E1000" s="15"/>
      <c r="F1000" s="243"/>
      <c r="G1000" s="243"/>
      <c r="H1000" s="13"/>
      <c r="I1000" s="13"/>
      <c r="J1000" s="242"/>
      <c r="K1000" s="242"/>
      <c r="L1000" s="13"/>
      <c r="M1000" s="242"/>
      <c r="N1000" s="242"/>
      <c r="O1000" s="242"/>
      <c r="P1000" s="242"/>
      <c r="Q1000" s="13"/>
      <c r="R1000" s="13"/>
      <c r="S1000" s="242"/>
      <c r="T1000" s="443"/>
      <c r="U1000" s="443"/>
      <c r="V1000" s="242"/>
      <c r="W1000" s="242"/>
      <c r="X1000" s="242"/>
      <c r="Y1000" s="242"/>
      <c r="Z1000" s="242"/>
    </row>
    <row r="1001">
      <c r="A1001" s="242"/>
      <c r="B1001" s="243"/>
      <c r="C1001" s="243"/>
      <c r="D1001" s="243"/>
      <c r="E1001" s="15"/>
      <c r="F1001" s="243"/>
      <c r="G1001" s="243"/>
      <c r="H1001" s="13"/>
      <c r="I1001" s="13"/>
      <c r="J1001" s="242"/>
      <c r="K1001" s="242"/>
      <c r="L1001" s="13"/>
      <c r="M1001" s="242"/>
      <c r="N1001" s="242"/>
      <c r="O1001" s="242"/>
      <c r="P1001" s="242"/>
      <c r="Q1001" s="13"/>
      <c r="R1001" s="13"/>
      <c r="S1001" s="242"/>
      <c r="T1001" s="443"/>
      <c r="U1001" s="443"/>
      <c r="V1001" s="242"/>
      <c r="W1001" s="242"/>
      <c r="X1001" s="242"/>
      <c r="Y1001" s="242"/>
      <c r="Z1001" s="242"/>
    </row>
    <row r="1002">
      <c r="A1002" s="242"/>
      <c r="B1002" s="243"/>
      <c r="C1002" s="243"/>
      <c r="D1002" s="243"/>
      <c r="E1002" s="15"/>
      <c r="F1002" s="243"/>
      <c r="G1002" s="243"/>
      <c r="H1002" s="13"/>
      <c r="I1002" s="13"/>
      <c r="J1002" s="242"/>
      <c r="K1002" s="242"/>
      <c r="L1002" s="13"/>
      <c r="M1002" s="242"/>
      <c r="N1002" s="242"/>
      <c r="O1002" s="242"/>
      <c r="P1002" s="242"/>
      <c r="Q1002" s="13"/>
      <c r="R1002" s="13"/>
      <c r="S1002" s="242"/>
      <c r="T1002" s="443"/>
      <c r="U1002" s="443"/>
      <c r="V1002" s="242"/>
      <c r="W1002" s="242"/>
      <c r="X1002" s="242"/>
      <c r="Y1002" s="242"/>
      <c r="Z1002" s="242"/>
    </row>
    <row r="1003">
      <c r="A1003" s="242"/>
      <c r="B1003" s="243"/>
      <c r="C1003" s="243"/>
      <c r="D1003" s="243"/>
      <c r="E1003" s="15"/>
      <c r="F1003" s="243"/>
      <c r="G1003" s="243"/>
      <c r="H1003" s="13"/>
      <c r="I1003" s="13"/>
      <c r="J1003" s="242"/>
      <c r="K1003" s="242"/>
      <c r="L1003" s="13"/>
      <c r="M1003" s="242"/>
      <c r="N1003" s="242"/>
      <c r="O1003" s="242"/>
      <c r="P1003" s="242"/>
      <c r="Q1003" s="13"/>
      <c r="R1003" s="13"/>
      <c r="S1003" s="242"/>
      <c r="T1003" s="443"/>
      <c r="U1003" s="443"/>
      <c r="V1003" s="242"/>
      <c r="W1003" s="242"/>
      <c r="X1003" s="242"/>
      <c r="Y1003" s="242"/>
      <c r="Z1003" s="242"/>
    </row>
    <row r="1004">
      <c r="A1004" s="242"/>
      <c r="B1004" s="243"/>
      <c r="C1004" s="243"/>
      <c r="D1004" s="243"/>
      <c r="E1004" s="15"/>
      <c r="F1004" s="243"/>
      <c r="G1004" s="243"/>
      <c r="H1004" s="13"/>
      <c r="I1004" s="13"/>
      <c r="J1004" s="242"/>
      <c r="K1004" s="242"/>
      <c r="L1004" s="13"/>
      <c r="M1004" s="242"/>
      <c r="N1004" s="242"/>
      <c r="O1004" s="242"/>
      <c r="P1004" s="242"/>
      <c r="Q1004" s="13"/>
      <c r="R1004" s="13"/>
      <c r="S1004" s="242"/>
      <c r="T1004" s="443"/>
      <c r="U1004" s="443"/>
      <c r="V1004" s="242"/>
      <c r="W1004" s="242"/>
      <c r="X1004" s="242"/>
      <c r="Y1004" s="242"/>
      <c r="Z1004" s="242"/>
    </row>
    <row r="1005">
      <c r="A1005" s="242"/>
      <c r="B1005" s="243"/>
      <c r="C1005" s="243"/>
      <c r="D1005" s="243"/>
      <c r="E1005" s="15"/>
      <c r="F1005" s="243"/>
      <c r="G1005" s="243"/>
      <c r="H1005" s="13"/>
      <c r="I1005" s="13"/>
      <c r="J1005" s="242"/>
      <c r="K1005" s="242"/>
      <c r="L1005" s="13"/>
      <c r="M1005" s="242"/>
      <c r="N1005" s="242"/>
      <c r="O1005" s="242"/>
      <c r="P1005" s="242"/>
      <c r="Q1005" s="13"/>
      <c r="R1005" s="13"/>
      <c r="S1005" s="242"/>
      <c r="T1005" s="443"/>
      <c r="U1005" s="443"/>
      <c r="V1005" s="242"/>
      <c r="W1005" s="242"/>
      <c r="X1005" s="242"/>
      <c r="Y1005" s="242"/>
      <c r="Z1005" s="242"/>
    </row>
    <row r="1006">
      <c r="A1006" s="242"/>
      <c r="B1006" s="243"/>
      <c r="C1006" s="243"/>
      <c r="D1006" s="243"/>
      <c r="E1006" s="15"/>
      <c r="F1006" s="243"/>
      <c r="G1006" s="243"/>
      <c r="H1006" s="13"/>
      <c r="I1006" s="13"/>
      <c r="J1006" s="242"/>
      <c r="K1006" s="242"/>
      <c r="L1006" s="13"/>
      <c r="M1006" s="242"/>
      <c r="N1006" s="242"/>
      <c r="O1006" s="242"/>
      <c r="P1006" s="242"/>
      <c r="Q1006" s="13"/>
      <c r="R1006" s="13"/>
      <c r="S1006" s="242"/>
      <c r="T1006" s="443"/>
      <c r="U1006" s="443"/>
      <c r="V1006" s="242"/>
      <c r="W1006" s="242"/>
      <c r="X1006" s="242"/>
      <c r="Y1006" s="242"/>
      <c r="Z1006" s="242"/>
    </row>
    <row r="1007">
      <c r="A1007" s="242"/>
      <c r="B1007" s="243"/>
      <c r="C1007" s="243"/>
      <c r="D1007" s="243"/>
      <c r="E1007" s="15"/>
      <c r="F1007" s="243"/>
      <c r="G1007" s="243"/>
      <c r="H1007" s="13"/>
      <c r="I1007" s="13"/>
      <c r="J1007" s="242"/>
      <c r="K1007" s="242"/>
      <c r="L1007" s="13"/>
      <c r="M1007" s="242"/>
      <c r="N1007" s="242"/>
      <c r="O1007" s="242"/>
      <c r="P1007" s="242"/>
      <c r="Q1007" s="13"/>
      <c r="R1007" s="13"/>
      <c r="S1007" s="242"/>
      <c r="T1007" s="443"/>
      <c r="U1007" s="443"/>
      <c r="V1007" s="242"/>
      <c r="W1007" s="242"/>
      <c r="X1007" s="242"/>
      <c r="Y1007" s="242"/>
      <c r="Z1007" s="242"/>
    </row>
    <row r="1008">
      <c r="A1008" s="242"/>
      <c r="B1008" s="243"/>
      <c r="C1008" s="243"/>
      <c r="D1008" s="243"/>
      <c r="E1008" s="15"/>
      <c r="F1008" s="243"/>
      <c r="G1008" s="243"/>
      <c r="H1008" s="13"/>
      <c r="I1008" s="13"/>
      <c r="J1008" s="242"/>
      <c r="K1008" s="242"/>
      <c r="L1008" s="13"/>
      <c r="M1008" s="242"/>
      <c r="N1008" s="242"/>
      <c r="O1008" s="242"/>
      <c r="P1008" s="242"/>
      <c r="Q1008" s="13"/>
      <c r="R1008" s="13"/>
      <c r="S1008" s="242"/>
      <c r="T1008" s="443"/>
      <c r="U1008" s="443"/>
      <c r="V1008" s="242"/>
      <c r="W1008" s="242"/>
      <c r="X1008" s="242"/>
      <c r="Y1008" s="242"/>
      <c r="Z1008" s="242"/>
    </row>
    <row r="1009">
      <c r="A1009" s="242"/>
      <c r="B1009" s="243"/>
      <c r="C1009" s="243"/>
      <c r="D1009" s="243"/>
      <c r="E1009" s="15"/>
      <c r="F1009" s="243"/>
      <c r="G1009" s="243"/>
      <c r="H1009" s="13"/>
      <c r="I1009" s="13"/>
      <c r="J1009" s="242"/>
      <c r="K1009" s="242"/>
      <c r="L1009" s="13"/>
      <c r="M1009" s="242"/>
      <c r="N1009" s="242"/>
      <c r="O1009" s="242"/>
      <c r="P1009" s="242"/>
      <c r="Q1009" s="13"/>
      <c r="R1009" s="13"/>
      <c r="S1009" s="242"/>
      <c r="T1009" s="443"/>
      <c r="U1009" s="443"/>
      <c r="V1009" s="242"/>
      <c r="W1009" s="242"/>
      <c r="X1009" s="242"/>
      <c r="Y1009" s="242"/>
      <c r="Z1009" s="242"/>
    </row>
    <row r="1010">
      <c r="A1010" s="242"/>
      <c r="B1010" s="243"/>
      <c r="C1010" s="243"/>
      <c r="D1010" s="243"/>
      <c r="E1010" s="15"/>
      <c r="F1010" s="243"/>
      <c r="G1010" s="243"/>
      <c r="H1010" s="13"/>
      <c r="I1010" s="13"/>
      <c r="J1010" s="242"/>
      <c r="K1010" s="242"/>
      <c r="L1010" s="13"/>
      <c r="M1010" s="242"/>
      <c r="N1010" s="242"/>
      <c r="O1010" s="242"/>
      <c r="P1010" s="242"/>
      <c r="Q1010" s="13"/>
      <c r="R1010" s="13"/>
      <c r="S1010" s="242"/>
      <c r="T1010" s="443"/>
      <c r="U1010" s="443"/>
      <c r="V1010" s="242"/>
      <c r="W1010" s="242"/>
      <c r="X1010" s="242"/>
      <c r="Y1010" s="242"/>
      <c r="Z1010" s="242"/>
    </row>
    <row r="1011">
      <c r="A1011" s="242"/>
      <c r="B1011" s="243"/>
      <c r="C1011" s="243"/>
      <c r="D1011" s="243"/>
      <c r="E1011" s="15"/>
      <c r="F1011" s="243"/>
      <c r="G1011" s="243"/>
      <c r="H1011" s="13"/>
      <c r="I1011" s="13"/>
      <c r="J1011" s="242"/>
      <c r="K1011" s="242"/>
      <c r="L1011" s="13"/>
      <c r="M1011" s="242"/>
      <c r="N1011" s="242"/>
      <c r="O1011" s="242"/>
      <c r="P1011" s="242"/>
      <c r="Q1011" s="13"/>
      <c r="R1011" s="13"/>
      <c r="S1011" s="242"/>
      <c r="T1011" s="443"/>
      <c r="U1011" s="443"/>
      <c r="V1011" s="242"/>
      <c r="W1011" s="242"/>
      <c r="X1011" s="242"/>
      <c r="Y1011" s="242"/>
      <c r="Z1011" s="242"/>
    </row>
    <row r="1012">
      <c r="A1012" s="242"/>
      <c r="B1012" s="243"/>
      <c r="C1012" s="243"/>
      <c r="D1012" s="243"/>
      <c r="E1012" s="15"/>
      <c r="F1012" s="243"/>
      <c r="G1012" s="243"/>
      <c r="H1012" s="13"/>
      <c r="I1012" s="13"/>
      <c r="J1012" s="242"/>
      <c r="K1012" s="242"/>
      <c r="L1012" s="13"/>
      <c r="M1012" s="242"/>
      <c r="N1012" s="242"/>
      <c r="O1012" s="242"/>
      <c r="P1012" s="242"/>
      <c r="Q1012" s="13"/>
      <c r="R1012" s="13"/>
      <c r="S1012" s="242"/>
      <c r="T1012" s="443"/>
      <c r="U1012" s="443"/>
      <c r="V1012" s="242"/>
      <c r="W1012" s="242"/>
      <c r="X1012" s="242"/>
      <c r="Y1012" s="242"/>
      <c r="Z1012" s="242"/>
    </row>
    <row r="1013">
      <c r="A1013" s="242"/>
      <c r="B1013" s="243"/>
      <c r="C1013" s="243"/>
      <c r="D1013" s="243"/>
      <c r="E1013" s="15"/>
      <c r="F1013" s="243"/>
      <c r="G1013" s="243"/>
      <c r="H1013" s="13"/>
      <c r="I1013" s="13"/>
      <c r="J1013" s="242"/>
      <c r="K1013" s="242"/>
      <c r="L1013" s="13"/>
      <c r="M1013" s="242"/>
      <c r="N1013" s="242"/>
      <c r="O1013" s="242"/>
      <c r="P1013" s="242"/>
      <c r="Q1013" s="13"/>
      <c r="R1013" s="13"/>
      <c r="S1013" s="242"/>
      <c r="T1013" s="443"/>
      <c r="U1013" s="443"/>
      <c r="V1013" s="242"/>
      <c r="W1013" s="242"/>
      <c r="X1013" s="242"/>
      <c r="Y1013" s="242"/>
      <c r="Z1013" s="242"/>
    </row>
    <row r="1014">
      <c r="A1014" s="242"/>
      <c r="B1014" s="243"/>
      <c r="C1014" s="243"/>
      <c r="D1014" s="243"/>
      <c r="E1014" s="15"/>
      <c r="F1014" s="243"/>
      <c r="G1014" s="243"/>
      <c r="H1014" s="13"/>
      <c r="I1014" s="13"/>
      <c r="J1014" s="242"/>
      <c r="K1014" s="242"/>
      <c r="L1014" s="13"/>
      <c r="M1014" s="242"/>
      <c r="N1014" s="242"/>
      <c r="O1014" s="242"/>
      <c r="P1014" s="242"/>
      <c r="Q1014" s="13"/>
      <c r="R1014" s="13"/>
      <c r="S1014" s="242"/>
      <c r="T1014" s="443"/>
      <c r="U1014" s="443"/>
      <c r="V1014" s="242"/>
      <c r="W1014" s="242"/>
      <c r="X1014" s="242"/>
      <c r="Y1014" s="242"/>
      <c r="Z1014" s="242"/>
    </row>
    <row r="1015">
      <c r="A1015" s="242"/>
      <c r="B1015" s="243"/>
      <c r="C1015" s="243"/>
      <c r="D1015" s="243"/>
      <c r="E1015" s="15"/>
      <c r="F1015" s="243"/>
      <c r="G1015" s="243"/>
      <c r="H1015" s="13"/>
      <c r="I1015" s="13"/>
      <c r="J1015" s="242"/>
      <c r="K1015" s="242"/>
      <c r="L1015" s="13"/>
      <c r="M1015" s="242"/>
      <c r="N1015" s="242"/>
      <c r="O1015" s="242"/>
      <c r="P1015" s="242"/>
      <c r="Q1015" s="13"/>
      <c r="R1015" s="13"/>
      <c r="S1015" s="242"/>
      <c r="T1015" s="443"/>
      <c r="U1015" s="443"/>
      <c r="V1015" s="242"/>
      <c r="W1015" s="242"/>
      <c r="X1015" s="242"/>
      <c r="Y1015" s="242"/>
      <c r="Z1015" s="242"/>
    </row>
    <row r="1016">
      <c r="A1016" s="242"/>
      <c r="B1016" s="243"/>
      <c r="C1016" s="243"/>
      <c r="D1016" s="243"/>
      <c r="E1016" s="15"/>
      <c r="F1016" s="243"/>
      <c r="G1016" s="243"/>
      <c r="H1016" s="13"/>
      <c r="I1016" s="13"/>
      <c r="J1016" s="242"/>
      <c r="K1016" s="242"/>
      <c r="L1016" s="13"/>
      <c r="M1016" s="242"/>
      <c r="N1016" s="242"/>
      <c r="O1016" s="242"/>
      <c r="P1016" s="242"/>
      <c r="Q1016" s="13"/>
      <c r="R1016" s="13"/>
      <c r="S1016" s="242"/>
      <c r="T1016" s="443"/>
      <c r="U1016" s="443"/>
      <c r="V1016" s="242"/>
      <c r="W1016" s="242"/>
      <c r="X1016" s="242"/>
      <c r="Y1016" s="242"/>
      <c r="Z1016" s="242"/>
    </row>
    <row r="1017">
      <c r="A1017" s="242"/>
      <c r="B1017" s="243"/>
      <c r="C1017" s="243"/>
      <c r="D1017" s="243"/>
      <c r="E1017" s="15"/>
      <c r="F1017" s="243"/>
      <c r="G1017" s="243"/>
      <c r="H1017" s="13"/>
      <c r="I1017" s="13"/>
      <c r="J1017" s="242"/>
      <c r="K1017" s="242"/>
      <c r="L1017" s="13"/>
      <c r="M1017" s="242"/>
      <c r="N1017" s="242"/>
      <c r="O1017" s="242"/>
      <c r="P1017" s="242"/>
      <c r="Q1017" s="13"/>
      <c r="R1017" s="13"/>
      <c r="S1017" s="242"/>
      <c r="T1017" s="443"/>
      <c r="U1017" s="443"/>
      <c r="V1017" s="242"/>
      <c r="W1017" s="242"/>
      <c r="X1017" s="242"/>
      <c r="Y1017" s="242"/>
      <c r="Z1017" s="242"/>
    </row>
    <row r="1018">
      <c r="A1018" s="242"/>
      <c r="B1018" s="243"/>
      <c r="C1018" s="243"/>
      <c r="D1018" s="243"/>
      <c r="E1018" s="15"/>
      <c r="F1018" s="243"/>
      <c r="G1018" s="243"/>
      <c r="H1018" s="13"/>
      <c r="I1018" s="13"/>
      <c r="J1018" s="242"/>
      <c r="K1018" s="242"/>
      <c r="L1018" s="13"/>
      <c r="M1018" s="242"/>
      <c r="N1018" s="242"/>
      <c r="O1018" s="242"/>
      <c r="P1018" s="242"/>
      <c r="Q1018" s="13"/>
      <c r="R1018" s="13"/>
      <c r="S1018" s="242"/>
      <c r="T1018" s="443"/>
      <c r="U1018" s="443"/>
      <c r="V1018" s="242"/>
      <c r="W1018" s="242"/>
      <c r="X1018" s="242"/>
      <c r="Y1018" s="242"/>
      <c r="Z1018" s="242"/>
    </row>
    <row r="1019">
      <c r="A1019" s="242"/>
      <c r="B1019" s="243"/>
      <c r="C1019" s="243"/>
      <c r="D1019" s="243"/>
      <c r="E1019" s="15"/>
      <c r="F1019" s="243"/>
      <c r="G1019" s="243"/>
      <c r="H1019" s="13"/>
      <c r="I1019" s="13"/>
      <c r="J1019" s="242"/>
      <c r="K1019" s="242"/>
      <c r="L1019" s="13"/>
      <c r="M1019" s="242"/>
      <c r="N1019" s="242"/>
      <c r="O1019" s="242"/>
      <c r="P1019" s="242"/>
      <c r="Q1019" s="13"/>
      <c r="R1019" s="13"/>
      <c r="S1019" s="242"/>
      <c r="T1019" s="443"/>
      <c r="U1019" s="443"/>
      <c r="V1019" s="242"/>
      <c r="W1019" s="242"/>
      <c r="X1019" s="242"/>
      <c r="Y1019" s="242"/>
      <c r="Z1019" s="242"/>
    </row>
    <row r="1020">
      <c r="A1020" s="242"/>
      <c r="B1020" s="243"/>
      <c r="C1020" s="243"/>
      <c r="D1020" s="243"/>
      <c r="E1020" s="15"/>
      <c r="F1020" s="243"/>
      <c r="G1020" s="243"/>
      <c r="H1020" s="13"/>
      <c r="I1020" s="13"/>
      <c r="J1020" s="242"/>
      <c r="K1020" s="242"/>
      <c r="L1020" s="13"/>
      <c r="M1020" s="242"/>
      <c r="N1020" s="242"/>
      <c r="O1020" s="242"/>
      <c r="P1020" s="242"/>
      <c r="Q1020" s="13"/>
      <c r="R1020" s="13"/>
      <c r="S1020" s="242"/>
      <c r="T1020" s="443"/>
      <c r="U1020" s="443"/>
      <c r="V1020" s="242"/>
      <c r="W1020" s="242"/>
      <c r="X1020" s="242"/>
      <c r="Y1020" s="242"/>
      <c r="Z1020" s="242"/>
    </row>
    <row r="1021">
      <c r="A1021" s="242"/>
      <c r="B1021" s="243"/>
      <c r="C1021" s="243"/>
      <c r="D1021" s="243"/>
      <c r="E1021" s="15"/>
      <c r="F1021" s="243"/>
      <c r="G1021" s="243"/>
      <c r="H1021" s="13"/>
      <c r="I1021" s="13"/>
      <c r="J1021" s="242"/>
      <c r="K1021" s="242"/>
      <c r="L1021" s="13"/>
      <c r="M1021" s="242"/>
      <c r="N1021" s="242"/>
      <c r="O1021" s="242"/>
      <c r="P1021" s="242"/>
      <c r="Q1021" s="13"/>
      <c r="R1021" s="13"/>
      <c r="S1021" s="242"/>
      <c r="T1021" s="443"/>
      <c r="U1021" s="443"/>
      <c r="V1021" s="242"/>
      <c r="W1021" s="242"/>
      <c r="X1021" s="242"/>
      <c r="Y1021" s="242"/>
      <c r="Z1021" s="242"/>
    </row>
    <row r="1022">
      <c r="A1022" s="242"/>
      <c r="B1022" s="243"/>
      <c r="C1022" s="243"/>
      <c r="D1022" s="243"/>
      <c r="E1022" s="15"/>
      <c r="F1022" s="243"/>
      <c r="G1022" s="243"/>
      <c r="H1022" s="13"/>
      <c r="I1022" s="13"/>
      <c r="J1022" s="242"/>
      <c r="K1022" s="242"/>
      <c r="L1022" s="13"/>
      <c r="M1022" s="242"/>
      <c r="N1022" s="242"/>
      <c r="O1022" s="242"/>
      <c r="P1022" s="242"/>
      <c r="Q1022" s="13"/>
      <c r="R1022" s="13"/>
      <c r="S1022" s="242"/>
      <c r="T1022" s="443"/>
      <c r="U1022" s="443"/>
      <c r="V1022" s="242"/>
      <c r="W1022" s="242"/>
      <c r="X1022" s="242"/>
      <c r="Y1022" s="242"/>
      <c r="Z1022" s="242"/>
    </row>
    <row r="1023">
      <c r="A1023" s="242"/>
      <c r="B1023" s="243"/>
      <c r="C1023" s="243"/>
      <c r="D1023" s="243"/>
      <c r="E1023" s="15"/>
      <c r="F1023" s="243"/>
      <c r="G1023" s="243"/>
      <c r="H1023" s="13"/>
      <c r="I1023" s="13"/>
      <c r="J1023" s="242"/>
      <c r="K1023" s="242"/>
      <c r="L1023" s="13"/>
      <c r="M1023" s="242"/>
      <c r="N1023" s="242"/>
      <c r="O1023" s="242"/>
      <c r="P1023" s="242"/>
      <c r="Q1023" s="13"/>
      <c r="R1023" s="13"/>
      <c r="S1023" s="242"/>
      <c r="T1023" s="443"/>
      <c r="U1023" s="443"/>
      <c r="V1023" s="242"/>
      <c r="W1023" s="242"/>
      <c r="X1023" s="242"/>
      <c r="Y1023" s="242"/>
      <c r="Z1023" s="242"/>
    </row>
    <row r="1024">
      <c r="A1024" s="242"/>
      <c r="B1024" s="243"/>
      <c r="C1024" s="243"/>
      <c r="D1024" s="243"/>
      <c r="E1024" s="15"/>
      <c r="F1024" s="243"/>
      <c r="G1024" s="243"/>
      <c r="H1024" s="13"/>
      <c r="I1024" s="13"/>
      <c r="J1024" s="242"/>
      <c r="K1024" s="242"/>
      <c r="L1024" s="13"/>
      <c r="M1024" s="242"/>
      <c r="N1024" s="242"/>
      <c r="O1024" s="242"/>
      <c r="P1024" s="242"/>
      <c r="Q1024" s="13"/>
      <c r="R1024" s="13"/>
      <c r="S1024" s="242"/>
      <c r="T1024" s="443"/>
      <c r="U1024" s="443"/>
      <c r="V1024" s="242"/>
      <c r="W1024" s="242"/>
      <c r="X1024" s="242"/>
      <c r="Y1024" s="242"/>
      <c r="Z1024" s="242"/>
    </row>
    <row r="1025">
      <c r="A1025" s="242"/>
      <c r="B1025" s="243"/>
      <c r="C1025" s="243"/>
      <c r="D1025" s="243"/>
      <c r="E1025" s="15"/>
      <c r="F1025" s="243"/>
      <c r="G1025" s="243"/>
      <c r="H1025" s="13"/>
      <c r="I1025" s="13"/>
      <c r="J1025" s="242"/>
      <c r="K1025" s="242"/>
      <c r="L1025" s="13"/>
      <c r="M1025" s="242"/>
      <c r="N1025" s="242"/>
      <c r="O1025" s="242"/>
      <c r="P1025" s="242"/>
      <c r="Q1025" s="13"/>
      <c r="R1025" s="13"/>
      <c r="S1025" s="242"/>
      <c r="T1025" s="443"/>
      <c r="U1025" s="443"/>
      <c r="V1025" s="242"/>
      <c r="W1025" s="242"/>
      <c r="X1025" s="242"/>
      <c r="Y1025" s="242"/>
      <c r="Z1025" s="242"/>
    </row>
    <row r="1026">
      <c r="A1026" s="242"/>
      <c r="B1026" s="243"/>
      <c r="C1026" s="243"/>
      <c r="D1026" s="243"/>
      <c r="E1026" s="15"/>
      <c r="F1026" s="243"/>
      <c r="G1026" s="243"/>
      <c r="H1026" s="13"/>
      <c r="I1026" s="13"/>
      <c r="J1026" s="242"/>
      <c r="K1026" s="242"/>
      <c r="L1026" s="13"/>
      <c r="M1026" s="242"/>
      <c r="N1026" s="242"/>
      <c r="O1026" s="242"/>
      <c r="P1026" s="242"/>
      <c r="Q1026" s="13"/>
      <c r="R1026" s="13"/>
      <c r="S1026" s="242"/>
      <c r="T1026" s="443"/>
      <c r="U1026" s="443"/>
      <c r="V1026" s="242"/>
      <c r="W1026" s="242"/>
      <c r="X1026" s="242"/>
      <c r="Y1026" s="242"/>
      <c r="Z1026" s="242"/>
    </row>
    <row r="1027">
      <c r="A1027" s="242"/>
      <c r="B1027" s="243"/>
      <c r="C1027" s="243"/>
      <c r="D1027" s="243"/>
      <c r="E1027" s="15"/>
      <c r="F1027" s="243"/>
      <c r="G1027" s="243"/>
      <c r="H1027" s="13"/>
      <c r="I1027" s="13"/>
      <c r="J1027" s="242"/>
      <c r="K1027" s="242"/>
      <c r="L1027" s="13"/>
      <c r="M1027" s="242"/>
      <c r="N1027" s="242"/>
      <c r="O1027" s="242"/>
      <c r="P1027" s="242"/>
      <c r="Q1027" s="13"/>
      <c r="R1027" s="13"/>
      <c r="S1027" s="242"/>
      <c r="T1027" s="443"/>
      <c r="U1027" s="443"/>
      <c r="V1027" s="242"/>
      <c r="W1027" s="242"/>
      <c r="X1027" s="242"/>
      <c r="Y1027" s="242"/>
      <c r="Z1027" s="242"/>
    </row>
    <row r="1028">
      <c r="A1028" s="242"/>
      <c r="B1028" s="243"/>
      <c r="C1028" s="243"/>
      <c r="D1028" s="243"/>
      <c r="E1028" s="15"/>
      <c r="F1028" s="243"/>
      <c r="G1028" s="243"/>
      <c r="H1028" s="13"/>
      <c r="I1028" s="13"/>
      <c r="J1028" s="242"/>
      <c r="K1028" s="242"/>
      <c r="L1028" s="13"/>
      <c r="M1028" s="242"/>
      <c r="N1028" s="242"/>
      <c r="O1028" s="242"/>
      <c r="P1028" s="242"/>
      <c r="Q1028" s="13"/>
      <c r="R1028" s="13"/>
      <c r="S1028" s="242"/>
      <c r="T1028" s="443"/>
      <c r="U1028" s="443"/>
      <c r="V1028" s="242"/>
      <c r="W1028" s="242"/>
      <c r="X1028" s="242"/>
      <c r="Y1028" s="242"/>
      <c r="Z1028" s="242"/>
    </row>
    <row r="1029">
      <c r="A1029" s="242"/>
      <c r="B1029" s="243"/>
      <c r="C1029" s="243"/>
      <c r="D1029" s="243"/>
      <c r="E1029" s="15"/>
      <c r="F1029" s="243"/>
      <c r="G1029" s="243"/>
      <c r="H1029" s="13"/>
      <c r="I1029" s="13"/>
      <c r="J1029" s="242"/>
      <c r="K1029" s="242"/>
      <c r="L1029" s="13"/>
      <c r="M1029" s="242"/>
      <c r="N1029" s="242"/>
      <c r="O1029" s="242"/>
      <c r="P1029" s="242"/>
      <c r="Q1029" s="13"/>
      <c r="R1029" s="13"/>
      <c r="S1029" s="242"/>
      <c r="T1029" s="443"/>
      <c r="U1029" s="443"/>
      <c r="V1029" s="242"/>
      <c r="W1029" s="242"/>
      <c r="X1029" s="242"/>
      <c r="Y1029" s="242"/>
      <c r="Z1029" s="242"/>
    </row>
    <row r="1030">
      <c r="A1030" s="242"/>
      <c r="B1030" s="243"/>
      <c r="C1030" s="243"/>
      <c r="D1030" s="243"/>
      <c r="E1030" s="15"/>
      <c r="F1030" s="243"/>
      <c r="G1030" s="243"/>
      <c r="H1030" s="13"/>
      <c r="I1030" s="13"/>
      <c r="J1030" s="242"/>
      <c r="K1030" s="242"/>
      <c r="L1030" s="13"/>
      <c r="M1030" s="242"/>
      <c r="N1030" s="242"/>
      <c r="O1030" s="242"/>
      <c r="P1030" s="242"/>
      <c r="Q1030" s="13"/>
      <c r="R1030" s="13"/>
      <c r="S1030" s="242"/>
      <c r="T1030" s="443"/>
      <c r="U1030" s="443"/>
      <c r="V1030" s="242"/>
      <c r="W1030" s="242"/>
      <c r="X1030" s="242"/>
      <c r="Y1030" s="242"/>
      <c r="Z1030" s="242"/>
    </row>
    <row r="1031">
      <c r="A1031" s="242"/>
      <c r="B1031" s="243"/>
      <c r="C1031" s="243"/>
      <c r="D1031" s="243"/>
      <c r="E1031" s="15"/>
      <c r="F1031" s="243"/>
      <c r="G1031" s="243"/>
      <c r="H1031" s="13"/>
      <c r="I1031" s="13"/>
      <c r="J1031" s="242"/>
      <c r="K1031" s="242"/>
      <c r="L1031" s="13"/>
      <c r="M1031" s="242"/>
      <c r="N1031" s="242"/>
      <c r="O1031" s="242"/>
      <c r="P1031" s="242"/>
      <c r="Q1031" s="13"/>
      <c r="R1031" s="13"/>
      <c r="S1031" s="242"/>
      <c r="T1031" s="443"/>
      <c r="U1031" s="443"/>
      <c r="V1031" s="242"/>
      <c r="W1031" s="242"/>
      <c r="X1031" s="242"/>
      <c r="Y1031" s="242"/>
      <c r="Z1031" s="242"/>
    </row>
    <row r="1032">
      <c r="A1032" s="242"/>
      <c r="B1032" s="243"/>
      <c r="C1032" s="243"/>
      <c r="D1032" s="243"/>
      <c r="E1032" s="15"/>
      <c r="F1032" s="243"/>
      <c r="G1032" s="243"/>
      <c r="H1032" s="13"/>
      <c r="I1032" s="13"/>
      <c r="J1032" s="242"/>
      <c r="K1032" s="242"/>
      <c r="L1032" s="13"/>
      <c r="M1032" s="242"/>
      <c r="N1032" s="242"/>
      <c r="O1032" s="242"/>
      <c r="P1032" s="242"/>
      <c r="Q1032" s="13"/>
      <c r="R1032" s="13"/>
      <c r="S1032" s="242"/>
      <c r="T1032" s="443"/>
      <c r="U1032" s="443"/>
      <c r="V1032" s="242"/>
      <c r="W1032" s="242"/>
      <c r="X1032" s="242"/>
      <c r="Y1032" s="242"/>
      <c r="Z1032" s="242"/>
    </row>
    <row r="1033">
      <c r="A1033" s="242"/>
      <c r="B1033" s="243"/>
      <c r="C1033" s="243"/>
      <c r="D1033" s="243"/>
      <c r="E1033" s="15"/>
      <c r="F1033" s="243"/>
      <c r="G1033" s="243"/>
      <c r="H1033" s="13"/>
      <c r="I1033" s="13"/>
      <c r="J1033" s="242"/>
      <c r="K1033" s="242"/>
      <c r="L1033" s="13"/>
      <c r="M1033" s="242"/>
      <c r="N1033" s="242"/>
      <c r="O1033" s="242"/>
      <c r="P1033" s="242"/>
      <c r="Q1033" s="13"/>
      <c r="R1033" s="13"/>
      <c r="S1033" s="242"/>
      <c r="T1033" s="443"/>
      <c r="U1033" s="443"/>
      <c r="V1033" s="242"/>
      <c r="W1033" s="242"/>
      <c r="X1033" s="242"/>
      <c r="Y1033" s="242"/>
      <c r="Z1033" s="242"/>
    </row>
    <row r="1034">
      <c r="A1034" s="242"/>
      <c r="B1034" s="243"/>
      <c r="C1034" s="243"/>
      <c r="D1034" s="243"/>
      <c r="E1034" s="15"/>
      <c r="F1034" s="243"/>
      <c r="G1034" s="243"/>
      <c r="H1034" s="13"/>
      <c r="I1034" s="13"/>
      <c r="J1034" s="242"/>
      <c r="K1034" s="242"/>
      <c r="L1034" s="13"/>
      <c r="M1034" s="242"/>
      <c r="N1034" s="242"/>
      <c r="O1034" s="242"/>
      <c r="P1034" s="242"/>
      <c r="Q1034" s="13"/>
      <c r="R1034" s="13"/>
      <c r="S1034" s="242"/>
      <c r="T1034" s="443"/>
      <c r="U1034" s="443"/>
      <c r="V1034" s="242"/>
      <c r="W1034" s="242"/>
      <c r="X1034" s="242"/>
      <c r="Y1034" s="242"/>
      <c r="Z1034" s="242"/>
    </row>
    <row r="1035">
      <c r="A1035" s="242"/>
      <c r="B1035" s="243"/>
      <c r="C1035" s="243"/>
      <c r="D1035" s="243"/>
      <c r="E1035" s="15"/>
      <c r="F1035" s="243"/>
      <c r="G1035" s="243"/>
      <c r="H1035" s="13"/>
      <c r="I1035" s="13"/>
      <c r="J1035" s="242"/>
      <c r="K1035" s="242"/>
      <c r="L1035" s="13"/>
      <c r="M1035" s="242"/>
      <c r="N1035" s="242"/>
      <c r="O1035" s="242"/>
      <c r="P1035" s="242"/>
      <c r="Q1035" s="13"/>
      <c r="R1035" s="13"/>
      <c r="S1035" s="242"/>
      <c r="T1035" s="443"/>
      <c r="U1035" s="443"/>
      <c r="V1035" s="242"/>
      <c r="W1035" s="242"/>
      <c r="X1035" s="242"/>
      <c r="Y1035" s="242"/>
      <c r="Z1035" s="242"/>
    </row>
    <row r="1036">
      <c r="A1036" s="242"/>
      <c r="B1036" s="243"/>
      <c r="C1036" s="243"/>
      <c r="D1036" s="243"/>
      <c r="E1036" s="15"/>
      <c r="F1036" s="243"/>
      <c r="G1036" s="243"/>
      <c r="H1036" s="13"/>
      <c r="I1036" s="13"/>
      <c r="J1036" s="242"/>
      <c r="K1036" s="242"/>
      <c r="L1036" s="13"/>
      <c r="M1036" s="242"/>
      <c r="N1036" s="242"/>
      <c r="O1036" s="242"/>
      <c r="P1036" s="242"/>
      <c r="Q1036" s="13"/>
      <c r="R1036" s="13"/>
      <c r="S1036" s="242"/>
      <c r="T1036" s="443"/>
      <c r="U1036" s="443"/>
      <c r="V1036" s="242"/>
      <c r="W1036" s="242"/>
      <c r="X1036" s="242"/>
      <c r="Y1036" s="242"/>
      <c r="Z1036" s="242"/>
    </row>
    <row r="1037">
      <c r="A1037" s="242"/>
      <c r="B1037" s="243"/>
      <c r="C1037" s="243"/>
      <c r="D1037" s="243"/>
      <c r="E1037" s="15"/>
      <c r="F1037" s="243"/>
      <c r="G1037" s="243"/>
      <c r="H1037" s="13"/>
      <c r="I1037" s="13"/>
      <c r="J1037" s="242"/>
      <c r="K1037" s="242"/>
      <c r="L1037" s="13"/>
      <c r="M1037" s="242"/>
      <c r="N1037" s="242"/>
      <c r="O1037" s="242"/>
      <c r="P1037" s="242"/>
      <c r="Q1037" s="13"/>
      <c r="R1037" s="13"/>
      <c r="S1037" s="242"/>
      <c r="T1037" s="443"/>
      <c r="U1037" s="443"/>
      <c r="V1037" s="242"/>
      <c r="W1037" s="242"/>
      <c r="X1037" s="242"/>
      <c r="Y1037" s="242"/>
      <c r="Z1037" s="242"/>
    </row>
    <row r="1038">
      <c r="A1038" s="242"/>
      <c r="B1038" s="243"/>
      <c r="C1038" s="243"/>
      <c r="D1038" s="243"/>
      <c r="E1038" s="15"/>
      <c r="F1038" s="243"/>
      <c r="G1038" s="243"/>
      <c r="H1038" s="13"/>
      <c r="I1038" s="13"/>
      <c r="J1038" s="242"/>
      <c r="K1038" s="242"/>
      <c r="L1038" s="13"/>
      <c r="M1038" s="242"/>
      <c r="N1038" s="242"/>
      <c r="O1038" s="242"/>
      <c r="P1038" s="242"/>
      <c r="Q1038" s="13"/>
      <c r="R1038" s="13"/>
      <c r="S1038" s="242"/>
      <c r="T1038" s="443"/>
      <c r="U1038" s="443"/>
      <c r="V1038" s="242"/>
      <c r="W1038" s="242"/>
      <c r="X1038" s="242"/>
      <c r="Y1038" s="242"/>
      <c r="Z1038" s="242"/>
    </row>
    <row r="1039">
      <c r="A1039" s="242"/>
      <c r="B1039" s="243"/>
      <c r="C1039" s="243"/>
      <c r="D1039" s="243"/>
      <c r="E1039" s="15"/>
      <c r="F1039" s="243"/>
      <c r="G1039" s="243"/>
      <c r="H1039" s="13"/>
      <c r="I1039" s="13"/>
      <c r="J1039" s="242"/>
      <c r="K1039" s="242"/>
      <c r="L1039" s="13"/>
      <c r="M1039" s="242"/>
      <c r="N1039" s="242"/>
      <c r="O1039" s="242"/>
      <c r="P1039" s="242"/>
      <c r="Q1039" s="13"/>
      <c r="R1039" s="13"/>
      <c r="S1039" s="242"/>
      <c r="T1039" s="443"/>
      <c r="U1039" s="443"/>
      <c r="V1039" s="242"/>
      <c r="W1039" s="242"/>
      <c r="X1039" s="242"/>
      <c r="Y1039" s="242"/>
      <c r="Z1039" s="242"/>
    </row>
    <row r="1040">
      <c r="A1040" s="242"/>
      <c r="B1040" s="243"/>
      <c r="C1040" s="243"/>
      <c r="D1040" s="243"/>
      <c r="E1040" s="15"/>
      <c r="F1040" s="243"/>
      <c r="G1040" s="243"/>
      <c r="H1040" s="13"/>
      <c r="I1040" s="13"/>
      <c r="J1040" s="242"/>
      <c r="K1040" s="242"/>
      <c r="L1040" s="13"/>
      <c r="M1040" s="242"/>
      <c r="N1040" s="242"/>
      <c r="O1040" s="242"/>
      <c r="P1040" s="242"/>
      <c r="Q1040" s="13"/>
      <c r="R1040" s="13"/>
      <c r="S1040" s="242"/>
      <c r="T1040" s="443"/>
      <c r="U1040" s="443"/>
      <c r="V1040" s="242"/>
      <c r="W1040" s="242"/>
      <c r="X1040" s="242"/>
      <c r="Y1040" s="242"/>
      <c r="Z1040" s="242"/>
    </row>
    <row r="1041">
      <c r="A1041" s="242"/>
      <c r="B1041" s="243"/>
      <c r="C1041" s="243"/>
      <c r="D1041" s="243"/>
      <c r="E1041" s="15"/>
      <c r="F1041" s="243"/>
      <c r="G1041" s="243"/>
      <c r="H1041" s="13"/>
      <c r="I1041" s="13"/>
      <c r="J1041" s="242"/>
      <c r="K1041" s="242"/>
      <c r="L1041" s="13"/>
      <c r="M1041" s="242"/>
      <c r="N1041" s="242"/>
      <c r="O1041" s="242"/>
      <c r="P1041" s="242"/>
      <c r="Q1041" s="13"/>
      <c r="R1041" s="13"/>
      <c r="S1041" s="242"/>
      <c r="T1041" s="443"/>
      <c r="U1041" s="443"/>
      <c r="V1041" s="242"/>
      <c r="W1041" s="242"/>
      <c r="X1041" s="242"/>
      <c r="Y1041" s="242"/>
      <c r="Z1041" s="242"/>
    </row>
    <row r="1042">
      <c r="A1042" s="242"/>
      <c r="B1042" s="243"/>
      <c r="C1042" s="243"/>
      <c r="D1042" s="243"/>
      <c r="E1042" s="15"/>
      <c r="F1042" s="243"/>
      <c r="G1042" s="243"/>
      <c r="H1042" s="13"/>
      <c r="I1042" s="13"/>
      <c r="J1042" s="242"/>
      <c r="K1042" s="242"/>
      <c r="L1042" s="13"/>
      <c r="M1042" s="242"/>
      <c r="N1042" s="242"/>
      <c r="O1042" s="242"/>
      <c r="P1042" s="242"/>
      <c r="Q1042" s="13"/>
      <c r="R1042" s="13"/>
      <c r="S1042" s="242"/>
      <c r="T1042" s="443"/>
      <c r="U1042" s="443"/>
      <c r="V1042" s="242"/>
      <c r="W1042" s="242"/>
      <c r="X1042" s="242"/>
      <c r="Y1042" s="242"/>
      <c r="Z1042" s="242"/>
    </row>
    <row r="1043">
      <c r="A1043" s="242"/>
      <c r="B1043" s="243"/>
      <c r="C1043" s="243"/>
      <c r="D1043" s="243"/>
      <c r="E1043" s="15"/>
      <c r="F1043" s="243"/>
      <c r="G1043" s="243"/>
      <c r="H1043" s="13"/>
      <c r="I1043" s="13"/>
      <c r="J1043" s="242"/>
      <c r="K1043" s="242"/>
      <c r="L1043" s="13"/>
      <c r="M1043" s="242"/>
      <c r="N1043" s="242"/>
      <c r="O1043" s="242"/>
      <c r="P1043" s="242"/>
      <c r="Q1043" s="13"/>
      <c r="R1043" s="13"/>
      <c r="S1043" s="242"/>
      <c r="T1043" s="443"/>
      <c r="U1043" s="443"/>
      <c r="V1043" s="242"/>
      <c r="W1043" s="242"/>
      <c r="X1043" s="242"/>
      <c r="Y1043" s="242"/>
      <c r="Z1043" s="242"/>
    </row>
    <row r="1044">
      <c r="A1044" s="242"/>
      <c r="B1044" s="243"/>
      <c r="C1044" s="243"/>
      <c r="D1044" s="243"/>
      <c r="E1044" s="15"/>
      <c r="F1044" s="243"/>
      <c r="G1044" s="243"/>
      <c r="H1044" s="13"/>
      <c r="I1044" s="13"/>
      <c r="J1044" s="242"/>
      <c r="K1044" s="242"/>
      <c r="L1044" s="13"/>
      <c r="M1044" s="242"/>
      <c r="N1044" s="242"/>
      <c r="O1044" s="242"/>
      <c r="P1044" s="242"/>
      <c r="Q1044" s="13"/>
      <c r="R1044" s="13"/>
      <c r="S1044" s="242"/>
      <c r="T1044" s="443"/>
      <c r="U1044" s="443"/>
      <c r="V1044" s="242"/>
      <c r="W1044" s="242"/>
      <c r="X1044" s="242"/>
      <c r="Y1044" s="242"/>
      <c r="Z1044" s="242"/>
    </row>
    <row r="1045">
      <c r="A1045" s="242"/>
      <c r="B1045" s="243"/>
      <c r="C1045" s="243"/>
      <c r="D1045" s="243"/>
      <c r="E1045" s="15"/>
      <c r="F1045" s="243"/>
      <c r="G1045" s="243"/>
      <c r="H1045" s="13"/>
      <c r="I1045" s="13"/>
      <c r="J1045" s="242"/>
      <c r="K1045" s="242"/>
      <c r="L1045" s="13"/>
      <c r="M1045" s="242"/>
      <c r="N1045" s="242"/>
      <c r="O1045" s="242"/>
      <c r="P1045" s="242"/>
      <c r="Q1045" s="13"/>
      <c r="R1045" s="13"/>
      <c r="S1045" s="242"/>
      <c r="T1045" s="443"/>
      <c r="U1045" s="443"/>
      <c r="V1045" s="242"/>
      <c r="W1045" s="242"/>
      <c r="X1045" s="242"/>
      <c r="Y1045" s="242"/>
      <c r="Z1045" s="242"/>
    </row>
    <row r="1046">
      <c r="A1046" s="242"/>
      <c r="B1046" s="243"/>
      <c r="C1046" s="243"/>
      <c r="D1046" s="243"/>
      <c r="E1046" s="15"/>
      <c r="F1046" s="243"/>
      <c r="G1046" s="243"/>
      <c r="H1046" s="13"/>
      <c r="I1046" s="13"/>
      <c r="J1046" s="242"/>
      <c r="K1046" s="242"/>
      <c r="L1046" s="13"/>
      <c r="M1046" s="242"/>
      <c r="N1046" s="242"/>
      <c r="O1046" s="242"/>
      <c r="P1046" s="242"/>
      <c r="Q1046" s="13"/>
      <c r="R1046" s="13"/>
      <c r="S1046" s="242"/>
      <c r="T1046" s="443"/>
      <c r="U1046" s="443"/>
      <c r="V1046" s="242"/>
      <c r="W1046" s="242"/>
      <c r="X1046" s="242"/>
      <c r="Y1046" s="242"/>
      <c r="Z1046" s="242"/>
    </row>
    <row r="1047">
      <c r="A1047" s="242"/>
      <c r="B1047" s="243"/>
      <c r="C1047" s="243"/>
      <c r="D1047" s="243"/>
      <c r="E1047" s="15"/>
      <c r="F1047" s="243"/>
      <c r="G1047" s="243"/>
      <c r="H1047" s="13"/>
      <c r="I1047" s="13"/>
      <c r="J1047" s="242"/>
      <c r="K1047" s="242"/>
      <c r="L1047" s="13"/>
      <c r="M1047" s="242"/>
      <c r="N1047" s="242"/>
      <c r="O1047" s="242"/>
      <c r="P1047" s="242"/>
      <c r="Q1047" s="13"/>
      <c r="R1047" s="13"/>
      <c r="S1047" s="242"/>
      <c r="T1047" s="443"/>
      <c r="U1047" s="443"/>
      <c r="V1047" s="242"/>
      <c r="W1047" s="242"/>
      <c r="X1047" s="242"/>
      <c r="Y1047" s="242"/>
      <c r="Z1047" s="242"/>
    </row>
    <row r="1048">
      <c r="A1048" s="242"/>
      <c r="B1048" s="243"/>
      <c r="C1048" s="243"/>
      <c r="D1048" s="243"/>
      <c r="E1048" s="15"/>
      <c r="F1048" s="243"/>
      <c r="G1048" s="243"/>
      <c r="H1048" s="13"/>
      <c r="I1048" s="13"/>
      <c r="J1048" s="242"/>
      <c r="K1048" s="242"/>
      <c r="L1048" s="13"/>
      <c r="M1048" s="242"/>
      <c r="N1048" s="242"/>
      <c r="O1048" s="242"/>
      <c r="P1048" s="242"/>
      <c r="Q1048" s="13"/>
      <c r="R1048" s="13"/>
      <c r="S1048" s="242"/>
      <c r="T1048" s="443"/>
      <c r="U1048" s="443"/>
      <c r="V1048" s="242"/>
      <c r="W1048" s="242"/>
      <c r="X1048" s="242"/>
      <c r="Y1048" s="242"/>
      <c r="Z1048" s="242"/>
    </row>
    <row r="1049">
      <c r="A1049" s="242"/>
      <c r="B1049" s="243"/>
      <c r="C1049" s="243"/>
      <c r="D1049" s="243"/>
      <c r="E1049" s="15"/>
      <c r="F1049" s="243"/>
      <c r="G1049" s="243"/>
      <c r="H1049" s="13"/>
      <c r="I1049" s="13"/>
      <c r="J1049" s="242"/>
      <c r="K1049" s="242"/>
      <c r="L1049" s="13"/>
      <c r="M1049" s="242"/>
      <c r="N1049" s="242"/>
      <c r="O1049" s="242"/>
      <c r="P1049" s="242"/>
      <c r="Q1049" s="13"/>
      <c r="R1049" s="13"/>
      <c r="S1049" s="242"/>
      <c r="T1049" s="443"/>
      <c r="U1049" s="443"/>
      <c r="V1049" s="242"/>
      <c r="W1049" s="242"/>
      <c r="X1049" s="242"/>
      <c r="Y1049" s="242"/>
      <c r="Z1049" s="242"/>
    </row>
    <row r="1050">
      <c r="A1050" s="242"/>
      <c r="B1050" s="243"/>
      <c r="C1050" s="243"/>
      <c r="D1050" s="243"/>
      <c r="E1050" s="15"/>
      <c r="F1050" s="243"/>
      <c r="G1050" s="243"/>
      <c r="H1050" s="13"/>
      <c r="I1050" s="13"/>
      <c r="J1050" s="242"/>
      <c r="K1050" s="242"/>
      <c r="L1050" s="13"/>
      <c r="M1050" s="242"/>
      <c r="N1050" s="242"/>
      <c r="O1050" s="242"/>
      <c r="P1050" s="242"/>
      <c r="Q1050" s="13"/>
      <c r="R1050" s="13"/>
      <c r="S1050" s="242"/>
      <c r="T1050" s="443"/>
      <c r="U1050" s="443"/>
      <c r="V1050" s="242"/>
      <c r="W1050" s="242"/>
      <c r="X1050" s="242"/>
      <c r="Y1050" s="242"/>
      <c r="Z1050" s="242"/>
    </row>
    <row r="1051">
      <c r="A1051" s="242"/>
      <c r="B1051" s="243"/>
      <c r="C1051" s="243"/>
      <c r="D1051" s="243"/>
      <c r="E1051" s="15"/>
      <c r="F1051" s="243"/>
      <c r="G1051" s="243"/>
      <c r="H1051" s="13"/>
      <c r="I1051" s="13"/>
      <c r="J1051" s="242"/>
      <c r="K1051" s="242"/>
      <c r="L1051" s="13"/>
      <c r="M1051" s="242"/>
      <c r="N1051" s="242"/>
      <c r="O1051" s="242"/>
      <c r="P1051" s="242"/>
      <c r="Q1051" s="13"/>
      <c r="R1051" s="13"/>
      <c r="S1051" s="242"/>
      <c r="T1051" s="443"/>
      <c r="U1051" s="443"/>
      <c r="V1051" s="242"/>
      <c r="W1051" s="242"/>
      <c r="X1051" s="242"/>
      <c r="Y1051" s="242"/>
      <c r="Z1051" s="242"/>
    </row>
    <row r="1052">
      <c r="A1052" s="242"/>
      <c r="B1052" s="243"/>
      <c r="C1052" s="243"/>
      <c r="D1052" s="243"/>
      <c r="E1052" s="15"/>
      <c r="F1052" s="243"/>
      <c r="G1052" s="243"/>
      <c r="H1052" s="13"/>
      <c r="I1052" s="13"/>
      <c r="J1052" s="242"/>
      <c r="K1052" s="242"/>
      <c r="L1052" s="13"/>
      <c r="M1052" s="242"/>
      <c r="N1052" s="242"/>
      <c r="O1052" s="242"/>
      <c r="P1052" s="242"/>
      <c r="Q1052" s="13"/>
      <c r="R1052" s="13"/>
      <c r="S1052" s="242"/>
      <c r="T1052" s="443"/>
      <c r="U1052" s="443"/>
      <c r="V1052" s="242"/>
      <c r="W1052" s="242"/>
      <c r="X1052" s="242"/>
      <c r="Y1052" s="242"/>
      <c r="Z1052" s="242"/>
    </row>
    <row r="1053">
      <c r="A1053" s="242"/>
      <c r="B1053" s="243"/>
      <c r="C1053" s="243"/>
      <c r="D1053" s="243"/>
      <c r="E1053" s="15"/>
      <c r="F1053" s="243"/>
      <c r="G1053" s="243"/>
      <c r="H1053" s="13"/>
      <c r="I1053" s="13"/>
      <c r="J1053" s="242"/>
      <c r="K1053" s="242"/>
      <c r="L1053" s="13"/>
      <c r="M1053" s="242"/>
      <c r="N1053" s="242"/>
      <c r="O1053" s="242"/>
      <c r="P1053" s="242"/>
      <c r="Q1053" s="13"/>
      <c r="R1053" s="13"/>
      <c r="S1053" s="242"/>
      <c r="T1053" s="443"/>
      <c r="U1053" s="443"/>
      <c r="V1053" s="242"/>
      <c r="W1053" s="242"/>
      <c r="X1053" s="242"/>
      <c r="Y1053" s="242"/>
      <c r="Z1053" s="242"/>
    </row>
    <row r="1054">
      <c r="A1054" s="242"/>
      <c r="B1054" s="243"/>
      <c r="C1054" s="243"/>
      <c r="D1054" s="243"/>
      <c r="E1054" s="15"/>
      <c r="F1054" s="243"/>
      <c r="G1054" s="243"/>
      <c r="H1054" s="13"/>
      <c r="I1054" s="13"/>
      <c r="J1054" s="242"/>
      <c r="K1054" s="242"/>
      <c r="L1054" s="13"/>
      <c r="M1054" s="242"/>
      <c r="N1054" s="242"/>
      <c r="O1054" s="242"/>
      <c r="P1054" s="242"/>
      <c r="Q1054" s="13"/>
      <c r="R1054" s="13"/>
      <c r="S1054" s="242"/>
      <c r="T1054" s="443"/>
      <c r="U1054" s="443"/>
      <c r="V1054" s="242"/>
      <c r="W1054" s="242"/>
      <c r="X1054" s="242"/>
      <c r="Y1054" s="242"/>
      <c r="Z1054" s="242"/>
    </row>
    <row r="1055">
      <c r="A1055" s="242"/>
      <c r="B1055" s="243"/>
      <c r="C1055" s="243"/>
      <c r="D1055" s="243"/>
      <c r="E1055" s="15"/>
      <c r="F1055" s="243"/>
      <c r="G1055" s="243"/>
      <c r="H1055" s="13"/>
      <c r="I1055" s="13"/>
      <c r="J1055" s="242"/>
      <c r="K1055" s="242"/>
      <c r="L1055" s="13"/>
      <c r="M1055" s="242"/>
      <c r="N1055" s="242"/>
      <c r="O1055" s="242"/>
      <c r="P1055" s="242"/>
      <c r="Q1055" s="13"/>
      <c r="R1055" s="13"/>
      <c r="S1055" s="242"/>
      <c r="T1055" s="443"/>
      <c r="U1055" s="443"/>
      <c r="V1055" s="242"/>
      <c r="W1055" s="242"/>
      <c r="X1055" s="242"/>
      <c r="Y1055" s="242"/>
      <c r="Z1055" s="242"/>
    </row>
    <row r="1056">
      <c r="A1056" s="242"/>
      <c r="B1056" s="243"/>
      <c r="C1056" s="243"/>
      <c r="D1056" s="243"/>
      <c r="E1056" s="15"/>
      <c r="F1056" s="243"/>
      <c r="G1056" s="243"/>
      <c r="H1056" s="13"/>
      <c r="I1056" s="13"/>
      <c r="J1056" s="242"/>
      <c r="K1056" s="242"/>
      <c r="L1056" s="13"/>
      <c r="M1056" s="242"/>
      <c r="N1056" s="242"/>
      <c r="O1056" s="242"/>
      <c r="P1056" s="242"/>
      <c r="Q1056" s="13"/>
      <c r="R1056" s="13"/>
      <c r="S1056" s="242"/>
      <c r="T1056" s="443"/>
      <c r="U1056" s="443"/>
      <c r="V1056" s="242"/>
      <c r="W1056" s="242"/>
      <c r="X1056" s="242"/>
      <c r="Y1056" s="242"/>
      <c r="Z1056" s="242"/>
    </row>
    <row r="1057">
      <c r="A1057" s="242"/>
      <c r="B1057" s="243"/>
      <c r="C1057" s="243"/>
      <c r="D1057" s="243"/>
      <c r="E1057" s="15"/>
      <c r="F1057" s="243"/>
      <c r="G1057" s="243"/>
      <c r="H1057" s="13"/>
      <c r="I1057" s="13"/>
      <c r="J1057" s="242"/>
      <c r="K1057" s="242"/>
      <c r="L1057" s="13"/>
      <c r="M1057" s="242"/>
      <c r="N1057" s="242"/>
      <c r="O1057" s="242"/>
      <c r="P1057" s="242"/>
      <c r="Q1057" s="13"/>
      <c r="R1057" s="13"/>
      <c r="S1057" s="242"/>
      <c r="T1057" s="443"/>
      <c r="U1057" s="443"/>
      <c r="V1057" s="242"/>
      <c r="W1057" s="242"/>
      <c r="X1057" s="242"/>
      <c r="Y1057" s="242"/>
      <c r="Z1057" s="242"/>
    </row>
    <row r="1058">
      <c r="A1058" s="242"/>
      <c r="B1058" s="243"/>
      <c r="C1058" s="243"/>
      <c r="D1058" s="243"/>
      <c r="E1058" s="15"/>
      <c r="F1058" s="243"/>
      <c r="G1058" s="243"/>
      <c r="H1058" s="13"/>
      <c r="I1058" s="13"/>
      <c r="J1058" s="242"/>
      <c r="K1058" s="242"/>
      <c r="L1058" s="13"/>
      <c r="M1058" s="242"/>
      <c r="N1058" s="242"/>
      <c r="O1058" s="242"/>
      <c r="P1058" s="242"/>
      <c r="Q1058" s="13"/>
      <c r="R1058" s="13"/>
      <c r="S1058" s="242"/>
      <c r="T1058" s="443"/>
      <c r="U1058" s="443"/>
      <c r="V1058" s="242"/>
      <c r="W1058" s="242"/>
      <c r="X1058" s="242"/>
      <c r="Y1058" s="242"/>
      <c r="Z1058" s="242"/>
    </row>
    <row r="1059">
      <c r="A1059" s="242"/>
      <c r="B1059" s="243"/>
      <c r="C1059" s="243"/>
      <c r="D1059" s="243"/>
      <c r="E1059" s="15"/>
      <c r="F1059" s="243"/>
      <c r="G1059" s="243"/>
      <c r="H1059" s="13"/>
      <c r="I1059" s="13"/>
      <c r="J1059" s="242"/>
      <c r="K1059" s="242"/>
      <c r="L1059" s="13"/>
      <c r="M1059" s="242"/>
      <c r="N1059" s="242"/>
      <c r="O1059" s="242"/>
      <c r="P1059" s="242"/>
      <c r="Q1059" s="13"/>
      <c r="R1059" s="13"/>
      <c r="S1059" s="242"/>
      <c r="T1059" s="443"/>
      <c r="U1059" s="443"/>
      <c r="V1059" s="242"/>
      <c r="W1059" s="242"/>
      <c r="X1059" s="242"/>
      <c r="Y1059" s="242"/>
      <c r="Z1059" s="242"/>
    </row>
    <row r="1060">
      <c r="A1060" s="242"/>
      <c r="B1060" s="243"/>
      <c r="C1060" s="243"/>
      <c r="D1060" s="243"/>
      <c r="E1060" s="15"/>
      <c r="F1060" s="243"/>
      <c r="G1060" s="243"/>
      <c r="H1060" s="13"/>
      <c r="I1060" s="13"/>
      <c r="J1060" s="242"/>
      <c r="K1060" s="242"/>
      <c r="L1060" s="13"/>
      <c r="M1060" s="242"/>
      <c r="N1060" s="242"/>
      <c r="O1060" s="242"/>
      <c r="P1060" s="242"/>
      <c r="Q1060" s="13"/>
      <c r="R1060" s="13"/>
      <c r="S1060" s="242"/>
      <c r="T1060" s="443"/>
      <c r="U1060" s="443"/>
      <c r="V1060" s="242"/>
      <c r="W1060" s="242"/>
      <c r="X1060" s="242"/>
      <c r="Y1060" s="242"/>
      <c r="Z1060" s="242"/>
    </row>
    <row r="1061">
      <c r="A1061" s="242"/>
      <c r="B1061" s="243"/>
      <c r="C1061" s="243"/>
      <c r="D1061" s="243"/>
      <c r="E1061" s="15"/>
      <c r="F1061" s="243"/>
      <c r="G1061" s="243"/>
      <c r="H1061" s="13"/>
      <c r="I1061" s="13"/>
      <c r="J1061" s="242"/>
      <c r="K1061" s="242"/>
      <c r="L1061" s="13"/>
      <c r="M1061" s="242"/>
      <c r="N1061" s="242"/>
      <c r="O1061" s="242"/>
      <c r="P1061" s="242"/>
      <c r="Q1061" s="13"/>
      <c r="R1061" s="13"/>
      <c r="S1061" s="242"/>
      <c r="T1061" s="443"/>
      <c r="U1061" s="443"/>
      <c r="V1061" s="242"/>
      <c r="W1061" s="242"/>
      <c r="X1061" s="242"/>
      <c r="Y1061" s="242"/>
      <c r="Z1061" s="242"/>
    </row>
    <row r="1062">
      <c r="A1062" s="242"/>
      <c r="B1062" s="243"/>
      <c r="C1062" s="243"/>
      <c r="D1062" s="243"/>
      <c r="E1062" s="15"/>
      <c r="F1062" s="243"/>
      <c r="G1062" s="243"/>
      <c r="H1062" s="13"/>
      <c r="I1062" s="13"/>
      <c r="J1062" s="242"/>
      <c r="K1062" s="242"/>
      <c r="L1062" s="13"/>
      <c r="M1062" s="242"/>
      <c r="N1062" s="242"/>
      <c r="O1062" s="242"/>
      <c r="P1062" s="242"/>
      <c r="Q1062" s="13"/>
      <c r="R1062" s="13"/>
      <c r="S1062" s="242"/>
      <c r="T1062" s="443"/>
      <c r="U1062" s="443"/>
      <c r="V1062" s="242"/>
      <c r="W1062" s="242"/>
      <c r="X1062" s="242"/>
      <c r="Y1062" s="242"/>
      <c r="Z1062" s="242"/>
    </row>
    <row r="1063">
      <c r="A1063" s="242"/>
      <c r="B1063" s="243"/>
      <c r="C1063" s="243"/>
      <c r="D1063" s="243"/>
      <c r="E1063" s="15"/>
      <c r="F1063" s="243"/>
      <c r="G1063" s="243"/>
      <c r="H1063" s="13"/>
      <c r="I1063" s="13"/>
      <c r="J1063" s="242"/>
      <c r="K1063" s="242"/>
      <c r="L1063" s="13"/>
      <c r="M1063" s="242"/>
      <c r="N1063" s="242"/>
      <c r="O1063" s="242"/>
      <c r="P1063" s="242"/>
      <c r="Q1063" s="13"/>
      <c r="R1063" s="13"/>
      <c r="S1063" s="242"/>
      <c r="T1063" s="443"/>
      <c r="U1063" s="443"/>
      <c r="V1063" s="242"/>
      <c r="W1063" s="242"/>
      <c r="X1063" s="242"/>
      <c r="Y1063" s="242"/>
      <c r="Z1063" s="242"/>
    </row>
    <row r="1064">
      <c r="A1064" s="242"/>
      <c r="B1064" s="243"/>
      <c r="C1064" s="243"/>
      <c r="D1064" s="243"/>
      <c r="E1064" s="15"/>
      <c r="F1064" s="243"/>
      <c r="G1064" s="243"/>
      <c r="H1064" s="13"/>
      <c r="I1064" s="13"/>
      <c r="J1064" s="242"/>
      <c r="K1064" s="242"/>
      <c r="L1064" s="13"/>
      <c r="M1064" s="242"/>
      <c r="N1064" s="242"/>
      <c r="O1064" s="242"/>
      <c r="P1064" s="242"/>
      <c r="Q1064" s="13"/>
      <c r="R1064" s="13"/>
      <c r="S1064" s="242"/>
      <c r="T1064" s="443"/>
      <c r="U1064" s="443"/>
      <c r="V1064" s="242"/>
      <c r="W1064" s="242"/>
      <c r="X1064" s="242"/>
      <c r="Y1064" s="242"/>
      <c r="Z1064" s="242"/>
    </row>
    <row r="1065">
      <c r="A1065" s="242"/>
      <c r="B1065" s="243"/>
      <c r="C1065" s="243"/>
      <c r="D1065" s="243"/>
      <c r="E1065" s="15"/>
      <c r="F1065" s="243"/>
      <c r="G1065" s="243"/>
      <c r="H1065" s="13"/>
      <c r="I1065" s="13"/>
      <c r="J1065" s="242"/>
      <c r="K1065" s="242"/>
      <c r="L1065" s="13"/>
      <c r="M1065" s="242"/>
      <c r="N1065" s="242"/>
      <c r="O1065" s="242"/>
      <c r="P1065" s="242"/>
      <c r="Q1065" s="13"/>
      <c r="R1065" s="13"/>
      <c r="S1065" s="242"/>
      <c r="T1065" s="443"/>
      <c r="U1065" s="443"/>
      <c r="V1065" s="242"/>
      <c r="W1065" s="242"/>
      <c r="X1065" s="242"/>
      <c r="Y1065" s="242"/>
      <c r="Z1065" s="242"/>
    </row>
    <row r="1066">
      <c r="A1066" s="242"/>
      <c r="B1066" s="243"/>
      <c r="C1066" s="243"/>
      <c r="D1066" s="243"/>
      <c r="E1066" s="15"/>
      <c r="F1066" s="243"/>
      <c r="G1066" s="243"/>
      <c r="H1066" s="13"/>
      <c r="I1066" s="13"/>
      <c r="J1066" s="242"/>
      <c r="K1066" s="242"/>
      <c r="L1066" s="13"/>
      <c r="M1066" s="242"/>
      <c r="N1066" s="242"/>
      <c r="O1066" s="242"/>
      <c r="P1066" s="242"/>
      <c r="Q1066" s="13"/>
      <c r="R1066" s="13"/>
      <c r="S1066" s="242"/>
      <c r="T1066" s="443"/>
      <c r="U1066" s="443"/>
      <c r="V1066" s="242"/>
      <c r="W1066" s="242"/>
      <c r="X1066" s="242"/>
      <c r="Y1066" s="242"/>
      <c r="Z1066" s="242"/>
    </row>
    <row r="1067">
      <c r="A1067" s="242"/>
      <c r="B1067" s="243"/>
      <c r="C1067" s="243"/>
      <c r="D1067" s="243"/>
      <c r="E1067" s="15"/>
      <c r="F1067" s="243"/>
      <c r="G1067" s="243"/>
      <c r="H1067" s="13"/>
      <c r="I1067" s="13"/>
      <c r="J1067" s="242"/>
      <c r="K1067" s="242"/>
      <c r="L1067" s="13"/>
      <c r="M1067" s="242"/>
      <c r="N1067" s="242"/>
      <c r="O1067" s="242"/>
      <c r="P1067" s="242"/>
      <c r="Q1067" s="13"/>
      <c r="R1067" s="13"/>
      <c r="S1067" s="242"/>
      <c r="T1067" s="443"/>
      <c r="U1067" s="443"/>
      <c r="V1067" s="242"/>
      <c r="W1067" s="242"/>
      <c r="X1067" s="242"/>
      <c r="Y1067" s="242"/>
      <c r="Z1067" s="242"/>
    </row>
    <row r="1068">
      <c r="A1068" s="242"/>
      <c r="B1068" s="243"/>
      <c r="C1068" s="243"/>
      <c r="D1068" s="243"/>
      <c r="E1068" s="15"/>
      <c r="F1068" s="243"/>
      <c r="G1068" s="243"/>
      <c r="H1068" s="13"/>
      <c r="I1068" s="13"/>
      <c r="J1068" s="242"/>
      <c r="K1068" s="242"/>
      <c r="L1068" s="13"/>
      <c r="M1068" s="242"/>
      <c r="N1068" s="242"/>
      <c r="O1068" s="242"/>
      <c r="P1068" s="242"/>
      <c r="Q1068" s="13"/>
      <c r="R1068" s="13"/>
      <c r="S1068" s="242"/>
      <c r="T1068" s="443"/>
      <c r="U1068" s="443"/>
      <c r="V1068" s="242"/>
      <c r="W1068" s="242"/>
      <c r="X1068" s="242"/>
      <c r="Y1068" s="242"/>
      <c r="Z1068" s="242"/>
    </row>
  </sheetData>
  <autoFilter ref="$K$3:$K$108"/>
  <mergeCells count="54">
    <mergeCell ref="C314:C315"/>
    <mergeCell ref="C316:C319"/>
    <mergeCell ref="C320:C322"/>
    <mergeCell ref="C263:C271"/>
    <mergeCell ref="C272:C285"/>
    <mergeCell ref="C286:C290"/>
    <mergeCell ref="C291:C295"/>
    <mergeCell ref="C296:C301"/>
    <mergeCell ref="C302:C307"/>
    <mergeCell ref="C308:C313"/>
    <mergeCell ref="B3:G3"/>
    <mergeCell ref="C4:C12"/>
    <mergeCell ref="C13:C27"/>
    <mergeCell ref="C28:C29"/>
    <mergeCell ref="C30:C33"/>
    <mergeCell ref="C34:C35"/>
    <mergeCell ref="C36:C44"/>
    <mergeCell ref="C94:C99"/>
    <mergeCell ref="C100:C101"/>
    <mergeCell ref="C102:C105"/>
    <mergeCell ref="C106:C108"/>
    <mergeCell ref="B110:G110"/>
    <mergeCell ref="C45:C48"/>
    <mergeCell ref="C49:C57"/>
    <mergeCell ref="C58:C71"/>
    <mergeCell ref="C72:C76"/>
    <mergeCell ref="C77:C81"/>
    <mergeCell ref="C82:C87"/>
    <mergeCell ref="C88:C93"/>
    <mergeCell ref="C111:C119"/>
    <mergeCell ref="C120:C134"/>
    <mergeCell ref="C135:C136"/>
    <mergeCell ref="C137:C140"/>
    <mergeCell ref="C141:C142"/>
    <mergeCell ref="C143:C151"/>
    <mergeCell ref="C152:C155"/>
    <mergeCell ref="C207:C208"/>
    <mergeCell ref="C209:C212"/>
    <mergeCell ref="C213:C215"/>
    <mergeCell ref="B217:G217"/>
    <mergeCell ref="C156:C164"/>
    <mergeCell ref="C165:C178"/>
    <mergeCell ref="C179:C183"/>
    <mergeCell ref="C184:C188"/>
    <mergeCell ref="C189:C194"/>
    <mergeCell ref="C195:C200"/>
    <mergeCell ref="C201:C206"/>
    <mergeCell ref="C218:C226"/>
    <mergeCell ref="C227:C241"/>
    <mergeCell ref="C242:C243"/>
    <mergeCell ref="C244:C247"/>
    <mergeCell ref="C248:C249"/>
    <mergeCell ref="C250:C258"/>
    <mergeCell ref="C259:C262"/>
  </mergeCells>
  <conditionalFormatting sqref="K4:K108">
    <cfRule type="beginsWith" dxfId="0" priority="1" operator="beginsWith" text="Available">
      <formula>LEFT((K4),LEN("Available"))=("Available")</formula>
    </cfRule>
  </conditionalFormatting>
  <conditionalFormatting sqref="K4:K108">
    <cfRule type="beginsWith" dxfId="1" priority="2" operator="beginsWith" text="Not">
      <formula>LEFT((K4),LEN("Not"))=("Not")</formula>
    </cfRule>
  </conditionalFormatting>
  <conditionalFormatting sqref="K4:K108">
    <cfRule type="beginsWith" dxfId="2" priority="3" operator="beginsWith" text="Ordered">
      <formula>LEFT((K4),LEN("Ordered"))=("Ordered")</formula>
    </cfRule>
  </conditionalFormatting>
  <conditionalFormatting sqref="K4:K108">
    <cfRule type="beginsWith" dxfId="3" priority="4" operator="beginsWith" text="On the Way">
      <formula>LEFT((K4),LEN("On the Way"))=("On the Way")</formula>
    </cfRule>
  </conditionalFormatting>
  <dataValidations>
    <dataValidation type="list" allowBlank="1" showErrorMessage="1" sqref="K4:K108 K111:K215 K218:K322">
      <formula1>"On the Way,Available,Not Available,Ordered"</formula1>
    </dataValidation>
  </dataValidations>
  <printOptions horizontalCentered="1"/>
  <pageMargins bottom="0.75" footer="0.0" header="0.0" left="0.25" right="0.25" top="0.75"/>
  <pageSetup fitToHeight="0" paperSize="9" cellComments="atEnd" orientation="portrait" pageOrder="overThenDown"/>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5.0" ySplit="3.0" topLeftCell="P4" activePane="bottomRight" state="frozen"/>
      <selection activeCell="P1" sqref="P1" pane="topRight"/>
      <selection activeCell="A4" sqref="A4" pane="bottomLeft"/>
      <selection activeCell="P4" sqref="P4" pane="bottomRight"/>
    </sheetView>
  </sheetViews>
  <sheetFormatPr customHeight="1" defaultColWidth="12.63" defaultRowHeight="15.75"/>
  <cols>
    <col customWidth="1" min="1" max="1" width="2.0"/>
    <col customWidth="1" min="2" max="2" width="20.38"/>
    <col customWidth="1" min="3" max="4" width="10.38"/>
    <col customWidth="1" min="5" max="6" width="7.88"/>
    <col customWidth="1" min="7" max="7" width="9.25"/>
    <col customWidth="1" min="8" max="12" width="7.88"/>
    <col customWidth="1" min="13" max="13" width="9.13"/>
    <col customWidth="1" min="14" max="14" width="9.88"/>
    <col customWidth="1" min="15" max="15" width="8.0"/>
    <col customWidth="1" min="16" max="16" width="8.5"/>
    <col customWidth="1" min="17" max="17" width="5.5"/>
    <col customWidth="1" min="18" max="19" width="9.38"/>
    <col customWidth="1" min="20" max="20" width="10.0"/>
    <col customWidth="1" min="21" max="21" width="5.5"/>
    <col customWidth="1" min="22" max="23" width="9.38"/>
    <col customWidth="1" min="24" max="24" width="10.0"/>
    <col customWidth="1" min="25" max="25" width="5.5"/>
    <col customWidth="1" min="26" max="27" width="9.25"/>
    <col customWidth="1" min="28" max="28" width="10.0"/>
    <col customWidth="1" min="29" max="29" width="5.5"/>
    <col customWidth="1" min="30" max="31" width="9.25"/>
  </cols>
  <sheetData>
    <row r="1">
      <c r="A1" s="242"/>
      <c r="B1" s="242"/>
      <c r="C1" s="242"/>
      <c r="D1" s="242"/>
      <c r="E1" s="242"/>
      <c r="F1" s="242"/>
      <c r="G1" s="242"/>
      <c r="H1" s="242"/>
      <c r="I1" s="242"/>
      <c r="J1" s="242"/>
      <c r="K1" s="242"/>
      <c r="L1" s="242"/>
      <c r="M1" s="242"/>
      <c r="N1" s="242"/>
      <c r="O1" s="242"/>
      <c r="P1" s="597" t="s">
        <v>3582</v>
      </c>
      <c r="Q1" s="45"/>
      <c r="R1" s="46"/>
      <c r="S1" s="466"/>
      <c r="T1" s="597" t="s">
        <v>3584</v>
      </c>
      <c r="U1" s="45"/>
      <c r="V1" s="46"/>
      <c r="W1" s="466"/>
      <c r="X1" s="597" t="s">
        <v>3586</v>
      </c>
      <c r="Y1" s="45"/>
      <c r="Z1" s="46"/>
      <c r="AA1" s="466"/>
      <c r="AB1" s="597" t="s">
        <v>3587</v>
      </c>
      <c r="AC1" s="45"/>
      <c r="AD1" s="46"/>
      <c r="AE1" s="473"/>
      <c r="AF1" s="242"/>
      <c r="AG1" s="242"/>
      <c r="AH1" s="242"/>
      <c r="AI1" s="242"/>
      <c r="AJ1" s="242"/>
      <c r="AK1" s="242"/>
      <c r="AL1" s="242"/>
      <c r="AM1" s="242"/>
      <c r="AN1" s="242"/>
      <c r="AO1" s="242"/>
      <c r="AP1" s="242"/>
    </row>
    <row r="2">
      <c r="A2" s="242"/>
      <c r="B2" s="642"/>
      <c r="C2" s="273"/>
      <c r="D2" s="273"/>
      <c r="E2" s="643" t="s">
        <v>3591</v>
      </c>
      <c r="F2" s="644" t="s">
        <v>3592</v>
      </c>
      <c r="G2" s="45"/>
      <c r="H2" s="46"/>
      <c r="I2" s="645">
        <v>500.0</v>
      </c>
      <c r="J2" s="645">
        <v>300.0</v>
      </c>
      <c r="K2" s="645">
        <v>154.0</v>
      </c>
      <c r="L2" s="643"/>
      <c r="M2" s="643" t="s">
        <v>3595</v>
      </c>
      <c r="N2" s="643" t="s">
        <v>3596</v>
      </c>
      <c r="O2" s="646"/>
      <c r="P2" s="597" t="s">
        <v>3597</v>
      </c>
      <c r="Q2" s="45"/>
      <c r="R2" s="46"/>
      <c r="S2" s="466"/>
      <c r="T2" s="597" t="s">
        <v>3599</v>
      </c>
      <c r="U2" s="45"/>
      <c r="V2" s="46"/>
      <c r="W2" s="466"/>
      <c r="X2" s="597" t="s">
        <v>3600</v>
      </c>
      <c r="Y2" s="45"/>
      <c r="Z2" s="46"/>
      <c r="AA2" s="466"/>
      <c r="AB2" s="597" t="s">
        <v>3602</v>
      </c>
      <c r="AC2" s="45"/>
      <c r="AD2" s="46"/>
      <c r="AE2" s="473"/>
      <c r="AF2" s="554"/>
      <c r="AG2" s="554"/>
      <c r="AH2" s="242"/>
      <c r="AI2" s="242"/>
      <c r="AJ2" s="242"/>
      <c r="AK2" s="242"/>
      <c r="AL2" s="242"/>
      <c r="AM2" s="242"/>
      <c r="AN2" s="242"/>
      <c r="AO2" s="242"/>
      <c r="AP2" s="242"/>
    </row>
    <row r="3">
      <c r="A3" s="242"/>
      <c r="B3" s="647" t="s">
        <v>3450</v>
      </c>
      <c r="C3" s="648" t="s">
        <v>3603</v>
      </c>
      <c r="D3" s="648" t="s">
        <v>3604</v>
      </c>
      <c r="E3" s="647" t="s">
        <v>3605</v>
      </c>
      <c r="F3" s="647" t="s">
        <v>3606</v>
      </c>
      <c r="G3" s="647" t="s">
        <v>3607</v>
      </c>
      <c r="H3" s="647" t="s">
        <v>3608</v>
      </c>
      <c r="I3" s="647" t="s">
        <v>3609</v>
      </c>
      <c r="J3" s="647" t="s">
        <v>3610</v>
      </c>
      <c r="K3" s="647" t="s">
        <v>3611</v>
      </c>
      <c r="L3" s="450" t="s">
        <v>3296</v>
      </c>
      <c r="M3" s="647" t="s">
        <v>3612</v>
      </c>
      <c r="N3" s="648" t="s">
        <v>3613</v>
      </c>
      <c r="O3" s="648" t="s">
        <v>3614</v>
      </c>
      <c r="P3" s="466" t="s">
        <v>3288</v>
      </c>
      <c r="Q3" s="449" t="s">
        <v>3452</v>
      </c>
      <c r="R3" s="450" t="s">
        <v>3615</v>
      </c>
      <c r="S3" s="450" t="s">
        <v>3616</v>
      </c>
      <c r="T3" s="466" t="s">
        <v>3288</v>
      </c>
      <c r="U3" s="449" t="s">
        <v>3452</v>
      </c>
      <c r="V3" s="450" t="s">
        <v>3615</v>
      </c>
      <c r="W3" s="450" t="s">
        <v>3616</v>
      </c>
      <c r="X3" s="466" t="s">
        <v>3288</v>
      </c>
      <c r="Y3" s="449" t="s">
        <v>3452</v>
      </c>
      <c r="Z3" s="450" t="s">
        <v>3615</v>
      </c>
      <c r="AA3" s="450" t="s">
        <v>3616</v>
      </c>
      <c r="AB3" s="466" t="s">
        <v>3288</v>
      </c>
      <c r="AC3" s="449" t="s">
        <v>3452</v>
      </c>
      <c r="AD3" s="450" t="s">
        <v>3615</v>
      </c>
      <c r="AE3" s="450" t="s">
        <v>3616</v>
      </c>
      <c r="AF3" s="554"/>
      <c r="AG3" s="649"/>
      <c r="AH3" s="2"/>
      <c r="AI3" s="242"/>
      <c r="AJ3" s="242"/>
      <c r="AK3" s="242"/>
      <c r="AL3" s="242"/>
      <c r="AM3" s="242"/>
      <c r="AN3" s="242"/>
      <c r="AO3" s="242"/>
      <c r="AP3" s="242"/>
    </row>
    <row r="4" ht="23.25" customHeight="1">
      <c r="A4" s="242"/>
      <c r="B4" s="650" t="s">
        <v>3619</v>
      </c>
      <c r="C4" s="449">
        <v>0.18</v>
      </c>
      <c r="D4" s="450">
        <v>43.0</v>
      </c>
      <c r="E4" s="651">
        <f t="shared" ref="E4:E9" si="1">SUM(F4:H4)</f>
        <v>85.1</v>
      </c>
      <c r="F4" s="450">
        <v>20.7</v>
      </c>
      <c r="G4" s="450">
        <v>7.4</v>
      </c>
      <c r="H4" s="450">
        <v>57.0</v>
      </c>
      <c r="I4" s="652">
        <f t="shared" ref="I4:I9" si="2">(F4*$I$2)/1000</f>
        <v>10.35</v>
      </c>
      <c r="J4" s="652">
        <f t="shared" ref="J4:J9" si="3">(G4*$J$2)/1000</f>
        <v>2.22</v>
      </c>
      <c r="K4" s="652">
        <f t="shared" ref="K4:K9" si="4">(H4*$K$2)/1000</f>
        <v>8.778</v>
      </c>
      <c r="L4" s="652">
        <f t="shared" ref="L4:L9" si="5">SUM(I4:K4)</f>
        <v>21.348</v>
      </c>
      <c r="M4" s="449">
        <v>200.0</v>
      </c>
      <c r="N4" s="651">
        <f t="shared" ref="N4:N9" si="6">(M4*E4)/1000</f>
        <v>17.02</v>
      </c>
      <c r="O4" s="653">
        <v>30.5</v>
      </c>
      <c r="P4" s="467" t="s">
        <v>3627</v>
      </c>
      <c r="Q4" s="654">
        <v>96.0</v>
      </c>
      <c r="R4" s="450">
        <v>106.0</v>
      </c>
      <c r="S4" s="655">
        <f t="shared" ref="S4:S9" si="7">IFERROR(R4-Q4,"")/Q4</f>
        <v>0.1041666667</v>
      </c>
      <c r="T4" s="467" t="s">
        <v>3631</v>
      </c>
      <c r="U4" s="654">
        <v>106.0</v>
      </c>
      <c r="V4" s="450">
        <v>118.0</v>
      </c>
      <c r="W4" s="655">
        <f t="shared" ref="W4:W9" si="8">IFERROR(V4-U4,"")/U4</f>
        <v>0.1132075472</v>
      </c>
      <c r="X4" s="467" t="s">
        <v>3633</v>
      </c>
      <c r="Y4" s="654">
        <v>106.0</v>
      </c>
      <c r="Z4" s="450">
        <v>118.0</v>
      </c>
      <c r="AA4" s="655">
        <f t="shared" ref="AA4:AA9" si="9">IFERROR(Z4-Y4,"")/Y4</f>
        <v>0.1132075472</v>
      </c>
      <c r="AB4" s="467" t="s">
        <v>3634</v>
      </c>
      <c r="AC4" s="654">
        <v>96.0</v>
      </c>
      <c r="AD4" s="450">
        <v>106.0</v>
      </c>
      <c r="AE4" s="655">
        <f t="shared" ref="AE4:AE9" si="10">IFERROR(AD4-AC4,"")/AC4</f>
        <v>0.1041666667</v>
      </c>
      <c r="AF4" s="656">
        <f t="shared" ref="AF4:AF9" si="11">IFERROR(Q4/L4,"")</f>
        <v>4.496908375</v>
      </c>
      <c r="AG4" s="649"/>
      <c r="AH4" s="2"/>
      <c r="AI4" s="242"/>
      <c r="AJ4" s="242"/>
      <c r="AK4" s="242"/>
      <c r="AL4" s="242"/>
      <c r="AM4" s="242"/>
      <c r="AN4" s="242"/>
      <c r="AO4" s="242"/>
      <c r="AP4" s="242"/>
    </row>
    <row r="5" ht="23.25" customHeight="1">
      <c r="A5" s="242"/>
      <c r="B5" s="650" t="s">
        <v>3636</v>
      </c>
      <c r="C5" s="449">
        <v>0.18</v>
      </c>
      <c r="D5" s="449">
        <v>49.0</v>
      </c>
      <c r="E5" s="651">
        <f t="shared" si="1"/>
        <v>99.5</v>
      </c>
      <c r="F5" s="450">
        <v>23.9</v>
      </c>
      <c r="G5" s="450">
        <v>8.6</v>
      </c>
      <c r="H5" s="450">
        <v>67.0</v>
      </c>
      <c r="I5" s="652">
        <f t="shared" si="2"/>
        <v>11.95</v>
      </c>
      <c r="J5" s="652">
        <f t="shared" si="3"/>
        <v>2.58</v>
      </c>
      <c r="K5" s="652">
        <f t="shared" si="4"/>
        <v>10.318</v>
      </c>
      <c r="L5" s="652">
        <f t="shared" si="5"/>
        <v>24.848</v>
      </c>
      <c r="M5" s="449">
        <v>200.0</v>
      </c>
      <c r="N5" s="651">
        <f t="shared" si="6"/>
        <v>19.9</v>
      </c>
      <c r="O5" s="653">
        <v>34.75</v>
      </c>
      <c r="P5" s="467" t="s">
        <v>3638</v>
      </c>
      <c r="Q5" s="654">
        <v>116.0</v>
      </c>
      <c r="R5" s="450">
        <v>126.0</v>
      </c>
      <c r="S5" s="655">
        <f t="shared" si="7"/>
        <v>0.08620689655</v>
      </c>
      <c r="T5" s="467" t="s">
        <v>3639</v>
      </c>
      <c r="U5" s="654">
        <v>126.0</v>
      </c>
      <c r="V5" s="450">
        <v>138.0</v>
      </c>
      <c r="W5" s="655">
        <f t="shared" si="8"/>
        <v>0.09523809524</v>
      </c>
      <c r="X5" s="467" t="s">
        <v>3640</v>
      </c>
      <c r="Y5" s="654">
        <v>126.0</v>
      </c>
      <c r="Z5" s="450">
        <v>138.0</v>
      </c>
      <c r="AA5" s="655">
        <f t="shared" si="9"/>
        <v>0.09523809524</v>
      </c>
      <c r="AB5" s="467" t="s">
        <v>3641</v>
      </c>
      <c r="AC5" s="654">
        <v>116.0</v>
      </c>
      <c r="AD5" s="450">
        <v>126.0</v>
      </c>
      <c r="AE5" s="655">
        <f t="shared" si="10"/>
        <v>0.08620689655</v>
      </c>
      <c r="AF5" s="656">
        <f t="shared" si="11"/>
        <v>4.668383773</v>
      </c>
      <c r="AG5" s="649"/>
      <c r="AH5" s="2"/>
      <c r="AI5" s="242"/>
      <c r="AJ5" s="242"/>
      <c r="AK5" s="242"/>
      <c r="AL5" s="242"/>
      <c r="AM5" s="242"/>
      <c r="AN5" s="242"/>
      <c r="AO5" s="242"/>
      <c r="AP5" s="242"/>
    </row>
    <row r="6" ht="23.25" customHeight="1">
      <c r="A6" s="242"/>
      <c r="B6" s="658" t="s">
        <v>3643</v>
      </c>
      <c r="C6" s="449">
        <v>0.23</v>
      </c>
      <c r="D6" s="449">
        <v>61.0</v>
      </c>
      <c r="E6" s="651">
        <f t="shared" si="1"/>
        <v>132.4</v>
      </c>
      <c r="F6" s="450">
        <v>38.4</v>
      </c>
      <c r="G6" s="450">
        <v>11.0</v>
      </c>
      <c r="H6" s="450">
        <v>83.0</v>
      </c>
      <c r="I6" s="652">
        <f t="shared" si="2"/>
        <v>19.2</v>
      </c>
      <c r="J6" s="652">
        <f t="shared" si="3"/>
        <v>3.3</v>
      </c>
      <c r="K6" s="652">
        <f t="shared" si="4"/>
        <v>12.782</v>
      </c>
      <c r="L6" s="652">
        <f t="shared" si="5"/>
        <v>35.282</v>
      </c>
      <c r="M6" s="449">
        <v>200.0</v>
      </c>
      <c r="N6" s="651">
        <f t="shared" si="6"/>
        <v>26.48</v>
      </c>
      <c r="O6" s="653">
        <v>47.0</v>
      </c>
      <c r="P6" s="467" t="s">
        <v>3645</v>
      </c>
      <c r="Q6" s="654">
        <v>136.0</v>
      </c>
      <c r="R6" s="450">
        <v>166.0</v>
      </c>
      <c r="S6" s="655">
        <f t="shared" si="7"/>
        <v>0.2205882353</v>
      </c>
      <c r="T6" s="467" t="s">
        <v>3646</v>
      </c>
      <c r="U6" s="654">
        <v>146.0</v>
      </c>
      <c r="V6" s="450">
        <v>178.0</v>
      </c>
      <c r="W6" s="655">
        <f t="shared" si="8"/>
        <v>0.2191780822</v>
      </c>
      <c r="X6" s="467" t="s">
        <v>3647</v>
      </c>
      <c r="Y6" s="654">
        <v>146.0</v>
      </c>
      <c r="Z6" s="450">
        <v>178.0</v>
      </c>
      <c r="AA6" s="655">
        <f t="shared" si="9"/>
        <v>0.2191780822</v>
      </c>
      <c r="AB6" s="467" t="s">
        <v>3648</v>
      </c>
      <c r="AC6" s="654">
        <v>136.0</v>
      </c>
      <c r="AD6" s="450">
        <v>166.0</v>
      </c>
      <c r="AE6" s="655">
        <f t="shared" si="10"/>
        <v>0.2205882353</v>
      </c>
      <c r="AF6" s="656">
        <f t="shared" si="11"/>
        <v>3.854656765</v>
      </c>
      <c r="AG6" s="649"/>
      <c r="AH6" s="2"/>
      <c r="AI6" s="242"/>
      <c r="AJ6" s="242"/>
      <c r="AK6" s="242"/>
      <c r="AL6" s="242"/>
      <c r="AM6" s="242"/>
      <c r="AN6" s="242"/>
      <c r="AO6" s="242"/>
      <c r="AP6" s="242"/>
    </row>
    <row r="7" ht="23.25" customHeight="1">
      <c r="A7" s="242"/>
      <c r="B7" s="650" t="s">
        <v>3650</v>
      </c>
      <c r="C7" s="449">
        <v>0.23</v>
      </c>
      <c r="D7" s="449">
        <v>76.0</v>
      </c>
      <c r="E7" s="651">
        <f t="shared" si="1"/>
        <v>191.7</v>
      </c>
      <c r="F7" s="450">
        <v>47.9</v>
      </c>
      <c r="G7" s="450">
        <v>13.8</v>
      </c>
      <c r="H7" s="450">
        <v>130.0</v>
      </c>
      <c r="I7" s="652">
        <f t="shared" si="2"/>
        <v>23.95</v>
      </c>
      <c r="J7" s="652">
        <f t="shared" si="3"/>
        <v>4.14</v>
      </c>
      <c r="K7" s="652">
        <f t="shared" si="4"/>
        <v>20.02</v>
      </c>
      <c r="L7" s="652">
        <f t="shared" si="5"/>
        <v>48.11</v>
      </c>
      <c r="M7" s="449">
        <v>100.0</v>
      </c>
      <c r="N7" s="651">
        <f t="shared" si="6"/>
        <v>19.17</v>
      </c>
      <c r="O7" s="653">
        <v>70.0</v>
      </c>
      <c r="P7" s="467" t="s">
        <v>3651</v>
      </c>
      <c r="Q7" s="654">
        <v>236.0</v>
      </c>
      <c r="R7" s="450">
        <v>246.0</v>
      </c>
      <c r="S7" s="655">
        <f t="shared" si="7"/>
        <v>0.04237288136</v>
      </c>
      <c r="T7" s="467" t="s">
        <v>3653</v>
      </c>
      <c r="U7" s="654">
        <v>256.0</v>
      </c>
      <c r="V7" s="450">
        <v>258.0</v>
      </c>
      <c r="W7" s="655">
        <f t="shared" si="8"/>
        <v>0.0078125</v>
      </c>
      <c r="X7" s="467" t="s">
        <v>3654</v>
      </c>
      <c r="Y7" s="654">
        <v>256.0</v>
      </c>
      <c r="Z7" s="450">
        <v>258.0</v>
      </c>
      <c r="AA7" s="655">
        <f t="shared" si="9"/>
        <v>0.0078125</v>
      </c>
      <c r="AB7" s="467" t="s">
        <v>3655</v>
      </c>
      <c r="AC7" s="654">
        <v>236.0</v>
      </c>
      <c r="AD7" s="450">
        <v>246.0</v>
      </c>
      <c r="AE7" s="655">
        <f t="shared" si="10"/>
        <v>0.04237288136</v>
      </c>
      <c r="AF7" s="656">
        <f t="shared" si="11"/>
        <v>4.905425068</v>
      </c>
      <c r="AG7" s="649"/>
      <c r="AH7" s="2"/>
      <c r="AI7" s="242"/>
      <c r="AJ7" s="242"/>
      <c r="AK7" s="242"/>
      <c r="AL7" s="242"/>
      <c r="AM7" s="242"/>
      <c r="AN7" s="242"/>
      <c r="AO7" s="242"/>
      <c r="AP7" s="242"/>
    </row>
    <row r="8" ht="23.25" customHeight="1">
      <c r="A8" s="242"/>
      <c r="B8" s="650" t="s">
        <v>3656</v>
      </c>
      <c r="C8" s="449">
        <v>0.28</v>
      </c>
      <c r="D8" s="449">
        <v>98.0</v>
      </c>
      <c r="E8" s="651">
        <f t="shared" si="1"/>
        <v>345.9</v>
      </c>
      <c r="F8" s="450">
        <v>74.9</v>
      </c>
      <c r="G8" s="450">
        <v>18.0</v>
      </c>
      <c r="H8" s="450">
        <v>253.0</v>
      </c>
      <c r="I8" s="652">
        <f t="shared" si="2"/>
        <v>37.45</v>
      </c>
      <c r="J8" s="652">
        <f t="shared" si="3"/>
        <v>5.4</v>
      </c>
      <c r="K8" s="652">
        <f t="shared" si="4"/>
        <v>38.962</v>
      </c>
      <c r="L8" s="652">
        <f t="shared" si="5"/>
        <v>81.812</v>
      </c>
      <c r="M8" s="449">
        <v>100.0</v>
      </c>
      <c r="N8" s="651">
        <f t="shared" si="6"/>
        <v>34.59</v>
      </c>
      <c r="O8" s="653">
        <v>122.0</v>
      </c>
      <c r="P8" s="467" t="s">
        <v>3658</v>
      </c>
      <c r="Q8" s="654">
        <v>336.0</v>
      </c>
      <c r="R8" s="450">
        <v>356.0</v>
      </c>
      <c r="S8" s="655">
        <f t="shared" si="7"/>
        <v>0.05952380952</v>
      </c>
      <c r="T8" s="467" t="s">
        <v>3659</v>
      </c>
      <c r="U8" s="654">
        <v>366.0</v>
      </c>
      <c r="V8" s="450">
        <v>368.0</v>
      </c>
      <c r="W8" s="655">
        <f t="shared" si="8"/>
        <v>0.005464480874</v>
      </c>
      <c r="X8" s="467" t="s">
        <v>3660</v>
      </c>
      <c r="Y8" s="654">
        <v>366.0</v>
      </c>
      <c r="Z8" s="450">
        <v>368.0</v>
      </c>
      <c r="AA8" s="655">
        <f t="shared" si="9"/>
        <v>0.005464480874</v>
      </c>
      <c r="AB8" s="467" t="s">
        <v>3661</v>
      </c>
      <c r="AC8" s="654">
        <v>336.0</v>
      </c>
      <c r="AD8" s="450">
        <v>356.0</v>
      </c>
      <c r="AE8" s="655">
        <f t="shared" si="10"/>
        <v>0.05952380952</v>
      </c>
      <c r="AF8" s="656">
        <f t="shared" si="11"/>
        <v>4.106976972</v>
      </c>
      <c r="AG8" s="649"/>
      <c r="AH8" s="2"/>
      <c r="AI8" s="242"/>
      <c r="AJ8" s="242"/>
      <c r="AK8" s="242"/>
      <c r="AL8" s="242"/>
      <c r="AM8" s="242"/>
      <c r="AN8" s="242"/>
      <c r="AO8" s="242"/>
      <c r="AP8" s="242"/>
    </row>
    <row r="9" ht="23.25" customHeight="1">
      <c r="A9" s="242"/>
      <c r="B9" s="650" t="s">
        <v>3662</v>
      </c>
      <c r="C9" s="449">
        <v>0.33</v>
      </c>
      <c r="D9" s="449">
        <v>122.0</v>
      </c>
      <c r="E9" s="651">
        <f t="shared" si="1"/>
        <v>500.1</v>
      </c>
      <c r="F9" s="450">
        <v>108.9</v>
      </c>
      <c r="G9" s="450">
        <v>22.2</v>
      </c>
      <c r="H9" s="450">
        <v>369.0</v>
      </c>
      <c r="I9" s="652">
        <f t="shared" si="2"/>
        <v>54.45</v>
      </c>
      <c r="J9" s="652">
        <f t="shared" si="3"/>
        <v>6.66</v>
      </c>
      <c r="K9" s="652">
        <f t="shared" si="4"/>
        <v>56.826</v>
      </c>
      <c r="L9" s="652">
        <f t="shared" si="5"/>
        <v>117.936</v>
      </c>
      <c r="M9" s="449">
        <v>100.0</v>
      </c>
      <c r="N9" s="651">
        <f t="shared" si="6"/>
        <v>50.01</v>
      </c>
      <c r="O9" s="653">
        <v>175.0</v>
      </c>
      <c r="P9" s="467" t="s">
        <v>3664</v>
      </c>
      <c r="Q9" s="654">
        <v>516.0</v>
      </c>
      <c r="R9" s="450">
        <v>596.0</v>
      </c>
      <c r="S9" s="655">
        <f t="shared" si="7"/>
        <v>0.1550387597</v>
      </c>
      <c r="T9" s="467" t="s">
        <v>3665</v>
      </c>
      <c r="U9" s="654">
        <v>566.0</v>
      </c>
      <c r="V9" s="450">
        <v>608.0</v>
      </c>
      <c r="W9" s="655">
        <f t="shared" si="8"/>
        <v>0.074204947</v>
      </c>
      <c r="X9" s="467" t="s">
        <v>3666</v>
      </c>
      <c r="Y9" s="654">
        <v>566.0</v>
      </c>
      <c r="Z9" s="450">
        <v>608.0</v>
      </c>
      <c r="AA9" s="655">
        <f t="shared" si="9"/>
        <v>0.074204947</v>
      </c>
      <c r="AB9" s="467" t="s">
        <v>3667</v>
      </c>
      <c r="AC9" s="654">
        <v>516.0</v>
      </c>
      <c r="AD9" s="450">
        <v>596.0</v>
      </c>
      <c r="AE9" s="655">
        <f t="shared" si="10"/>
        <v>0.1550387597</v>
      </c>
      <c r="AF9" s="656">
        <f t="shared" si="11"/>
        <v>4.375254375</v>
      </c>
      <c r="AG9" s="649"/>
      <c r="AH9" s="2"/>
      <c r="AI9" s="242"/>
      <c r="AJ9" s="242"/>
      <c r="AK9" s="242"/>
      <c r="AL9" s="242"/>
      <c r="AM9" s="242"/>
      <c r="AN9" s="242"/>
      <c r="AO9" s="242"/>
      <c r="AP9" s="242"/>
    </row>
    <row r="10">
      <c r="A10" s="242"/>
      <c r="B10" s="555"/>
      <c r="C10" s="554"/>
      <c r="D10" s="554"/>
      <c r="E10" s="554"/>
      <c r="F10" s="554"/>
      <c r="G10" s="554"/>
      <c r="H10" s="554"/>
      <c r="I10" s="554"/>
      <c r="J10" s="554"/>
      <c r="K10" s="554"/>
      <c r="L10" s="554"/>
      <c r="M10" s="659"/>
      <c r="N10" s="660"/>
      <c r="O10" s="557"/>
      <c r="P10" s="555"/>
      <c r="Q10" s="555"/>
      <c r="R10" s="555"/>
      <c r="S10" s="555"/>
      <c r="T10" s="555"/>
      <c r="U10" s="555"/>
      <c r="V10" s="555"/>
      <c r="W10" s="555"/>
      <c r="X10" s="555"/>
      <c r="Y10" s="555"/>
      <c r="Z10" s="555"/>
      <c r="AA10" s="555"/>
      <c r="AB10" s="555"/>
      <c r="AC10" s="555"/>
      <c r="AD10" s="555"/>
      <c r="AE10" s="555"/>
      <c r="AF10" s="554"/>
      <c r="AG10" s="554"/>
      <c r="AH10" s="242"/>
      <c r="AI10" s="242"/>
      <c r="AJ10" s="242"/>
      <c r="AK10" s="242"/>
      <c r="AL10" s="242"/>
      <c r="AM10" s="242"/>
      <c r="AN10" s="242"/>
      <c r="AO10" s="242"/>
      <c r="AP10" s="242"/>
    </row>
    <row r="11">
      <c r="A11" s="242"/>
      <c r="B11" s="2" t="s">
        <v>3669</v>
      </c>
      <c r="C11" s="242"/>
      <c r="D11" s="242"/>
      <c r="E11" s="242"/>
      <c r="F11" s="242"/>
      <c r="G11" s="242"/>
      <c r="H11" s="242"/>
      <c r="I11" s="242"/>
      <c r="J11" s="242"/>
      <c r="K11" s="242"/>
      <c r="L11" s="242"/>
      <c r="M11" s="242"/>
      <c r="O11" s="242"/>
      <c r="P11" s="3"/>
      <c r="Q11" s="13"/>
      <c r="R11" s="13"/>
      <c r="S11" s="13"/>
      <c r="T11" s="3"/>
      <c r="U11" s="13"/>
      <c r="V11" s="13"/>
      <c r="W11" s="13"/>
      <c r="X11" s="3"/>
      <c r="Y11" s="13"/>
      <c r="Z11" s="13"/>
      <c r="AA11" s="13"/>
      <c r="AB11" s="3"/>
      <c r="AC11" s="13"/>
      <c r="AD11" s="13"/>
      <c r="AE11" s="13"/>
      <c r="AF11" s="242"/>
      <c r="AG11" s="242"/>
      <c r="AH11" s="242"/>
      <c r="AI11" s="242"/>
      <c r="AJ11" s="242"/>
      <c r="AK11" s="242"/>
      <c r="AL11" s="242"/>
      <c r="AM11" s="242"/>
      <c r="AN11" s="242"/>
      <c r="AO11" s="242"/>
      <c r="AP11" s="242"/>
    </row>
    <row r="12">
      <c r="A12" s="242"/>
      <c r="B12" s="2" t="s">
        <v>3672</v>
      </c>
      <c r="C12" s="242"/>
      <c r="D12" s="242"/>
      <c r="E12" s="242"/>
      <c r="F12" s="242"/>
      <c r="G12" s="242"/>
      <c r="H12" s="242"/>
      <c r="I12" s="242"/>
      <c r="J12" s="242"/>
      <c r="K12" s="242"/>
      <c r="L12" s="242"/>
      <c r="M12" s="242"/>
      <c r="O12" s="242"/>
      <c r="P12" s="13"/>
      <c r="Q12" s="13"/>
      <c r="R12" s="13"/>
      <c r="S12" s="13"/>
      <c r="T12" s="13"/>
      <c r="U12" s="13"/>
      <c r="V12" s="13"/>
      <c r="W12" s="13"/>
      <c r="X12" s="13"/>
      <c r="Y12" s="13"/>
      <c r="Z12" s="13"/>
      <c r="AA12" s="13"/>
      <c r="AB12" s="13"/>
      <c r="AC12" s="13"/>
      <c r="AD12" s="13"/>
      <c r="AE12" s="13"/>
      <c r="AF12" s="242"/>
      <c r="AG12" s="242"/>
      <c r="AH12" s="242"/>
      <c r="AI12" s="242"/>
      <c r="AJ12" s="242"/>
      <c r="AK12" s="242"/>
      <c r="AL12" s="242"/>
      <c r="AM12" s="242"/>
      <c r="AN12" s="242"/>
      <c r="AO12" s="242"/>
      <c r="AP12" s="242"/>
    </row>
    <row r="13">
      <c r="A13" s="242"/>
      <c r="B13" s="2" t="s">
        <v>3582</v>
      </c>
      <c r="C13" s="2" t="s">
        <v>3674</v>
      </c>
      <c r="D13" s="2" t="s">
        <v>3675</v>
      </c>
      <c r="E13" s="2" t="s">
        <v>3676</v>
      </c>
      <c r="F13" s="242"/>
      <c r="G13" s="242"/>
      <c r="H13" s="242"/>
      <c r="I13" s="242"/>
      <c r="J13" s="242"/>
      <c r="K13" s="242"/>
      <c r="L13" s="242"/>
      <c r="M13" s="242"/>
      <c r="N13" s="242"/>
      <c r="O13" s="242"/>
      <c r="P13" s="13"/>
      <c r="Q13" s="13"/>
      <c r="R13" s="13"/>
      <c r="S13" s="13"/>
      <c r="T13" s="13"/>
      <c r="U13" s="13"/>
      <c r="V13" s="13"/>
      <c r="W13" s="13"/>
      <c r="X13" s="13"/>
      <c r="Y13" s="13"/>
      <c r="Z13" s="13"/>
      <c r="AA13" s="13"/>
      <c r="AB13" s="13"/>
      <c r="AC13" s="13"/>
      <c r="AD13" s="13"/>
      <c r="AE13" s="13"/>
      <c r="AF13" s="242"/>
      <c r="AG13" s="242"/>
      <c r="AH13" s="242"/>
      <c r="AI13" s="242"/>
      <c r="AJ13" s="242"/>
      <c r="AK13" s="242"/>
      <c r="AL13" s="242"/>
      <c r="AM13" s="242"/>
      <c r="AN13" s="242"/>
      <c r="AO13" s="242"/>
      <c r="AP13" s="242"/>
    </row>
    <row r="14">
      <c r="A14" s="242"/>
      <c r="B14" s="2" t="s">
        <v>3584</v>
      </c>
      <c r="C14" s="2" t="s">
        <v>3679</v>
      </c>
      <c r="D14" s="2" t="s">
        <v>3675</v>
      </c>
      <c r="E14" s="2" t="s">
        <v>3676</v>
      </c>
      <c r="F14" s="242"/>
      <c r="G14" s="242"/>
      <c r="H14" s="242"/>
      <c r="I14" s="242"/>
      <c r="J14" s="242"/>
      <c r="K14" s="242"/>
      <c r="L14" s="242"/>
      <c r="M14" s="242"/>
      <c r="N14" s="242"/>
      <c r="O14" s="242"/>
      <c r="P14" s="13"/>
      <c r="Q14" s="13"/>
      <c r="R14" s="13"/>
      <c r="S14" s="13"/>
      <c r="T14" s="13"/>
      <c r="U14" s="13"/>
      <c r="V14" s="13"/>
      <c r="W14" s="13"/>
      <c r="X14" s="13"/>
      <c r="Y14" s="13"/>
      <c r="Z14" s="13"/>
      <c r="AA14" s="13"/>
      <c r="AB14" s="13"/>
      <c r="AC14" s="13"/>
      <c r="AD14" s="13"/>
      <c r="AE14" s="13"/>
      <c r="AF14" s="242"/>
      <c r="AG14" s="242"/>
      <c r="AH14" s="242"/>
      <c r="AI14" s="242"/>
      <c r="AJ14" s="242"/>
      <c r="AK14" s="242"/>
      <c r="AL14" s="242"/>
      <c r="AM14" s="242"/>
      <c r="AN14" s="242"/>
      <c r="AO14" s="242"/>
      <c r="AP14" s="242"/>
    </row>
    <row r="15">
      <c r="A15" s="242"/>
      <c r="B15" s="2" t="s">
        <v>3586</v>
      </c>
      <c r="C15" s="2" t="s">
        <v>3681</v>
      </c>
      <c r="D15" s="2" t="s">
        <v>3675</v>
      </c>
      <c r="E15" s="2" t="s">
        <v>3674</v>
      </c>
      <c r="F15" s="242"/>
      <c r="G15" s="242"/>
      <c r="H15" s="242"/>
      <c r="I15" s="242"/>
      <c r="J15" s="242"/>
      <c r="K15" s="242"/>
      <c r="L15" s="242"/>
      <c r="M15" s="242"/>
      <c r="N15" s="242"/>
      <c r="O15" s="242"/>
      <c r="P15" s="13"/>
      <c r="Q15" s="13"/>
      <c r="R15" s="13"/>
      <c r="S15" s="13"/>
      <c r="T15" s="13"/>
      <c r="U15" s="13"/>
      <c r="V15" s="13"/>
      <c r="W15" s="13"/>
      <c r="X15" s="13"/>
      <c r="Y15" s="13"/>
      <c r="Z15" s="13"/>
      <c r="AA15" s="13"/>
      <c r="AB15" s="13"/>
      <c r="AC15" s="13"/>
      <c r="AD15" s="13"/>
      <c r="AE15" s="13"/>
      <c r="AF15" s="242"/>
      <c r="AG15" s="242"/>
      <c r="AH15" s="242"/>
      <c r="AI15" s="242"/>
      <c r="AJ15" s="242"/>
      <c r="AK15" s="242"/>
      <c r="AL15" s="242"/>
      <c r="AM15" s="242"/>
      <c r="AN15" s="242"/>
      <c r="AO15" s="242"/>
      <c r="AP15" s="242"/>
    </row>
    <row r="16">
      <c r="A16" s="242"/>
      <c r="B16" s="2" t="s">
        <v>3587</v>
      </c>
      <c r="C16" s="2" t="s">
        <v>3683</v>
      </c>
      <c r="D16" s="2" t="s">
        <v>3675</v>
      </c>
      <c r="E16" s="2" t="s">
        <v>3676</v>
      </c>
      <c r="F16" s="242"/>
      <c r="G16" s="242"/>
      <c r="H16" s="242"/>
      <c r="I16" s="242"/>
      <c r="J16" s="242"/>
      <c r="K16" s="242"/>
      <c r="L16" s="242"/>
      <c r="M16" s="242"/>
      <c r="N16" s="242"/>
      <c r="O16" s="242"/>
      <c r="P16" s="13"/>
      <c r="Q16" s="13"/>
      <c r="R16" s="13"/>
      <c r="S16" s="13"/>
      <c r="T16" s="13"/>
      <c r="U16" s="13"/>
      <c r="V16" s="13"/>
      <c r="W16" s="13"/>
      <c r="X16" s="13"/>
      <c r="Y16" s="13"/>
      <c r="Z16" s="13"/>
      <c r="AA16" s="13"/>
      <c r="AB16" s="13"/>
      <c r="AC16" s="13"/>
      <c r="AD16" s="13"/>
      <c r="AE16" s="13"/>
      <c r="AF16" s="242"/>
      <c r="AG16" s="242"/>
      <c r="AH16" s="242"/>
      <c r="AI16" s="242"/>
      <c r="AJ16" s="242"/>
      <c r="AK16" s="242"/>
      <c r="AL16" s="242"/>
      <c r="AM16" s="242"/>
      <c r="AN16" s="242"/>
      <c r="AO16" s="242"/>
      <c r="AP16" s="242"/>
    </row>
    <row r="17">
      <c r="A17" s="242"/>
      <c r="B17" s="2"/>
      <c r="C17" s="242"/>
      <c r="D17" s="242"/>
      <c r="E17" s="242"/>
      <c r="F17" s="242"/>
      <c r="G17" s="242"/>
      <c r="H17" s="242"/>
      <c r="I17" s="242"/>
      <c r="J17" s="242"/>
      <c r="K17" s="242"/>
      <c r="L17" s="242"/>
      <c r="M17" s="242"/>
      <c r="N17" s="242"/>
      <c r="O17" s="242"/>
      <c r="P17" s="13"/>
      <c r="Q17" s="13"/>
      <c r="R17" s="13"/>
      <c r="S17" s="13"/>
      <c r="T17" s="13"/>
      <c r="U17" s="13"/>
      <c r="V17" s="13"/>
      <c r="W17" s="13"/>
      <c r="X17" s="13"/>
      <c r="Y17" s="13"/>
      <c r="Z17" s="13"/>
      <c r="AA17" s="13"/>
      <c r="AB17" s="13"/>
      <c r="AC17" s="13"/>
      <c r="AD17" s="13"/>
      <c r="AE17" s="13"/>
      <c r="AF17" s="242"/>
      <c r="AG17" s="242"/>
      <c r="AH17" s="242"/>
      <c r="AI17" s="242"/>
      <c r="AJ17" s="242"/>
      <c r="AK17" s="242"/>
      <c r="AL17" s="242"/>
      <c r="AM17" s="242"/>
      <c r="AN17" s="242"/>
      <c r="AO17" s="242"/>
      <c r="AP17" s="242"/>
    </row>
    <row r="18">
      <c r="A18" s="242"/>
      <c r="B18" s="2" t="s">
        <v>3685</v>
      </c>
      <c r="C18" s="242"/>
      <c r="D18" s="242"/>
      <c r="E18" s="242"/>
      <c r="F18" s="242"/>
      <c r="G18" s="242"/>
      <c r="H18" s="242"/>
      <c r="I18" s="242"/>
      <c r="J18" s="242"/>
      <c r="K18" s="242"/>
      <c r="L18" s="242"/>
      <c r="M18" s="242"/>
      <c r="N18" s="242"/>
      <c r="O18" s="242"/>
      <c r="P18" s="13"/>
      <c r="Q18" s="13"/>
      <c r="R18" s="13"/>
      <c r="S18" s="13"/>
      <c r="T18" s="13"/>
      <c r="U18" s="13"/>
      <c r="V18" s="13"/>
      <c r="W18" s="13"/>
      <c r="X18" s="13"/>
      <c r="Y18" s="13"/>
      <c r="Z18" s="13"/>
      <c r="AA18" s="13"/>
      <c r="AB18" s="13"/>
      <c r="AC18" s="13"/>
      <c r="AD18" s="13"/>
      <c r="AE18" s="13"/>
      <c r="AF18" s="242"/>
      <c r="AG18" s="242"/>
      <c r="AH18" s="242"/>
      <c r="AI18" s="242"/>
      <c r="AJ18" s="242"/>
      <c r="AK18" s="242"/>
      <c r="AL18" s="242"/>
      <c r="AM18" s="242"/>
      <c r="AN18" s="242"/>
      <c r="AO18" s="242"/>
      <c r="AP18" s="242"/>
    </row>
    <row r="19">
      <c r="A19" s="242"/>
      <c r="B19" s="2" t="s">
        <v>3686</v>
      </c>
      <c r="C19" s="242"/>
      <c r="D19" s="242"/>
      <c r="E19" s="242"/>
      <c r="F19" s="242"/>
      <c r="G19" s="661"/>
      <c r="H19" s="661"/>
      <c r="I19" s="242"/>
      <c r="J19" s="242"/>
      <c r="K19" s="242"/>
      <c r="L19" s="242"/>
      <c r="M19" s="242"/>
      <c r="N19" s="242"/>
      <c r="O19" s="242"/>
      <c r="P19" s="13"/>
      <c r="Q19" s="13"/>
      <c r="R19" s="13"/>
      <c r="S19" s="13"/>
      <c r="T19" s="13"/>
      <c r="U19" s="13"/>
      <c r="V19" s="13"/>
      <c r="W19" s="13"/>
      <c r="X19" s="13"/>
      <c r="Y19" s="13"/>
      <c r="Z19" s="13"/>
      <c r="AA19" s="13"/>
      <c r="AB19" s="13"/>
      <c r="AC19" s="13"/>
      <c r="AD19" s="13"/>
      <c r="AE19" s="13"/>
      <c r="AF19" s="242"/>
      <c r="AG19" s="242"/>
      <c r="AH19" s="242"/>
      <c r="AI19" s="242"/>
      <c r="AJ19" s="242"/>
      <c r="AK19" s="242"/>
      <c r="AL19" s="242"/>
      <c r="AM19" s="242"/>
      <c r="AN19" s="242"/>
      <c r="AO19" s="242"/>
      <c r="AP19" s="242"/>
    </row>
    <row r="20">
      <c r="A20" s="242"/>
      <c r="B20" s="2" t="s">
        <v>3688</v>
      </c>
      <c r="C20" s="242"/>
      <c r="D20" s="242"/>
      <c r="E20" s="242"/>
      <c r="F20" s="242"/>
      <c r="G20" s="662"/>
      <c r="H20" s="663"/>
      <c r="I20" s="242"/>
      <c r="J20" s="242"/>
      <c r="K20" s="242"/>
      <c r="L20" s="242"/>
      <c r="M20" s="242"/>
      <c r="N20" s="242"/>
      <c r="O20" s="242"/>
      <c r="P20" s="13"/>
      <c r="Q20" s="13"/>
      <c r="R20" s="13"/>
      <c r="S20" s="13"/>
      <c r="T20" s="13"/>
      <c r="U20" s="13"/>
      <c r="V20" s="13"/>
      <c r="W20" s="13"/>
      <c r="X20" s="13"/>
      <c r="Y20" s="13"/>
      <c r="Z20" s="13"/>
      <c r="AA20" s="13"/>
      <c r="AB20" s="13"/>
      <c r="AC20" s="13"/>
      <c r="AD20" s="13"/>
      <c r="AE20" s="13"/>
      <c r="AF20" s="242"/>
      <c r="AG20" s="242"/>
      <c r="AH20" s="242"/>
      <c r="AI20" s="242"/>
      <c r="AJ20" s="242"/>
      <c r="AK20" s="242"/>
      <c r="AL20" s="242"/>
      <c r="AM20" s="242"/>
      <c r="AN20" s="242"/>
      <c r="AO20" s="242"/>
      <c r="AP20" s="242"/>
    </row>
    <row r="21">
      <c r="A21" s="242"/>
      <c r="B21" s="2" t="s">
        <v>3675</v>
      </c>
      <c r="C21" s="242"/>
      <c r="D21" s="242"/>
      <c r="E21" s="242"/>
      <c r="F21" s="242"/>
      <c r="G21" s="662"/>
      <c r="H21" s="663"/>
      <c r="I21" s="242"/>
      <c r="J21" s="242"/>
      <c r="K21" s="242"/>
      <c r="L21" s="242"/>
      <c r="M21" s="242"/>
      <c r="N21" s="242"/>
      <c r="O21" s="242"/>
      <c r="P21" s="13"/>
      <c r="Q21" s="13"/>
      <c r="R21" s="13"/>
      <c r="S21" s="13"/>
      <c r="T21" s="13"/>
      <c r="U21" s="13"/>
      <c r="V21" s="13"/>
      <c r="W21" s="13"/>
      <c r="X21" s="13"/>
      <c r="Y21" s="13"/>
      <c r="Z21" s="13"/>
      <c r="AA21" s="13"/>
      <c r="AB21" s="13"/>
      <c r="AC21" s="13"/>
      <c r="AD21" s="13"/>
      <c r="AE21" s="13"/>
      <c r="AF21" s="242"/>
      <c r="AG21" s="242"/>
      <c r="AH21" s="242"/>
      <c r="AI21" s="242"/>
      <c r="AJ21" s="242"/>
      <c r="AK21" s="242"/>
      <c r="AL21" s="242"/>
      <c r="AM21" s="242"/>
      <c r="AN21" s="242"/>
      <c r="AO21" s="242"/>
      <c r="AP21" s="242"/>
    </row>
    <row r="22">
      <c r="A22" s="242"/>
      <c r="B22" s="2" t="s">
        <v>3688</v>
      </c>
      <c r="C22" s="242"/>
      <c r="D22" s="242"/>
      <c r="E22" s="242"/>
      <c r="F22" s="242"/>
      <c r="G22" s="662"/>
      <c r="H22" s="663"/>
      <c r="I22" s="242"/>
      <c r="J22" s="242"/>
      <c r="K22" s="242"/>
      <c r="L22" s="242"/>
      <c r="M22" s="242"/>
      <c r="N22" s="242"/>
      <c r="O22" s="242"/>
      <c r="P22" s="13"/>
      <c r="Q22" s="13"/>
      <c r="R22" s="13"/>
      <c r="S22" s="13"/>
      <c r="T22" s="13"/>
      <c r="U22" s="13"/>
      <c r="V22" s="13"/>
      <c r="W22" s="13"/>
      <c r="X22" s="13"/>
      <c r="Y22" s="13"/>
      <c r="Z22" s="13"/>
      <c r="AA22" s="13"/>
      <c r="AB22" s="13"/>
      <c r="AC22" s="13"/>
      <c r="AD22" s="13"/>
      <c r="AE22" s="13"/>
      <c r="AF22" s="242"/>
      <c r="AG22" s="242"/>
      <c r="AH22" s="242"/>
      <c r="AI22" s="242"/>
      <c r="AJ22" s="242"/>
      <c r="AK22" s="242"/>
      <c r="AL22" s="242"/>
      <c r="AM22" s="242"/>
      <c r="AN22" s="242"/>
      <c r="AO22" s="242"/>
      <c r="AP22" s="242"/>
    </row>
    <row r="23">
      <c r="A23" s="242"/>
      <c r="B23" s="2" t="s">
        <v>3693</v>
      </c>
      <c r="C23" s="242"/>
      <c r="D23" s="242"/>
      <c r="E23" s="242"/>
      <c r="F23" s="242"/>
      <c r="G23" s="662"/>
      <c r="H23" s="663"/>
      <c r="I23" s="242"/>
      <c r="J23" s="242"/>
      <c r="K23" s="242"/>
      <c r="L23" s="242"/>
      <c r="M23" s="242"/>
      <c r="N23" s="242"/>
      <c r="O23" s="242"/>
      <c r="P23" s="13"/>
      <c r="Q23" s="13"/>
      <c r="R23" s="13"/>
      <c r="S23" s="13"/>
      <c r="T23" s="13"/>
      <c r="U23" s="13"/>
      <c r="V23" s="13"/>
      <c r="W23" s="13"/>
      <c r="X23" s="13"/>
      <c r="Y23" s="13"/>
      <c r="Z23" s="13"/>
      <c r="AA23" s="13"/>
      <c r="AB23" s="13"/>
      <c r="AC23" s="13"/>
      <c r="AD23" s="13"/>
      <c r="AE23" s="13"/>
      <c r="AF23" s="242"/>
      <c r="AG23" s="242"/>
      <c r="AH23" s="242"/>
      <c r="AI23" s="242"/>
      <c r="AJ23" s="242"/>
      <c r="AK23" s="242"/>
      <c r="AL23" s="242"/>
      <c r="AM23" s="242"/>
      <c r="AN23" s="242"/>
      <c r="AO23" s="242"/>
      <c r="AP23" s="242"/>
    </row>
    <row r="24">
      <c r="A24" s="242"/>
      <c r="B24" s="242"/>
      <c r="C24" s="242"/>
      <c r="D24" s="242"/>
      <c r="E24" s="242"/>
      <c r="F24" s="242"/>
      <c r="G24" s="662"/>
      <c r="H24" s="663"/>
      <c r="I24" s="242"/>
      <c r="J24" s="242"/>
      <c r="K24" s="242"/>
      <c r="L24" s="242"/>
      <c r="M24" s="242"/>
      <c r="N24" s="242"/>
      <c r="O24" s="242"/>
      <c r="P24" s="13"/>
      <c r="Q24" s="13"/>
      <c r="R24" s="13"/>
      <c r="S24" s="13"/>
      <c r="T24" s="13"/>
      <c r="U24" s="13"/>
      <c r="V24" s="13"/>
      <c r="W24" s="13"/>
      <c r="X24" s="13"/>
      <c r="Y24" s="13"/>
      <c r="Z24" s="13"/>
      <c r="AA24" s="13"/>
      <c r="AB24" s="13"/>
      <c r="AC24" s="13"/>
      <c r="AD24" s="13"/>
      <c r="AE24" s="13"/>
      <c r="AF24" s="242"/>
      <c r="AG24" s="242"/>
      <c r="AH24" s="242"/>
      <c r="AI24" s="242"/>
      <c r="AJ24" s="242"/>
      <c r="AK24" s="242"/>
      <c r="AL24" s="242"/>
      <c r="AM24" s="242"/>
      <c r="AN24" s="242"/>
      <c r="AO24" s="242"/>
      <c r="AP24" s="242"/>
    </row>
    <row r="25">
      <c r="A25" s="242"/>
      <c r="B25" s="242"/>
      <c r="C25" s="242"/>
      <c r="D25" s="242"/>
      <c r="E25" s="242"/>
      <c r="F25" s="242"/>
      <c r="G25" s="662"/>
      <c r="H25" s="663"/>
      <c r="I25" s="242"/>
      <c r="J25" s="242"/>
      <c r="K25" s="242"/>
      <c r="L25" s="242"/>
      <c r="M25" s="242"/>
      <c r="N25" s="242"/>
      <c r="O25" s="242"/>
      <c r="P25" s="13"/>
      <c r="Q25" s="13"/>
      <c r="R25" s="13"/>
      <c r="S25" s="13"/>
      <c r="T25" s="13"/>
      <c r="U25" s="13"/>
      <c r="V25" s="13"/>
      <c r="W25" s="13"/>
      <c r="X25" s="13"/>
      <c r="Y25" s="13"/>
      <c r="Z25" s="13"/>
      <c r="AA25" s="13"/>
      <c r="AB25" s="13"/>
      <c r="AC25" s="13"/>
      <c r="AD25" s="13"/>
      <c r="AE25" s="13"/>
      <c r="AF25" s="242"/>
      <c r="AG25" s="242"/>
      <c r="AH25" s="242"/>
      <c r="AI25" s="242"/>
      <c r="AJ25" s="242"/>
      <c r="AK25" s="242"/>
      <c r="AL25" s="242"/>
      <c r="AM25" s="242"/>
      <c r="AN25" s="242"/>
      <c r="AO25" s="242"/>
      <c r="AP25" s="242"/>
    </row>
    <row r="26">
      <c r="A26" s="242"/>
      <c r="B26" s="242"/>
      <c r="C26" s="242"/>
      <c r="D26" s="242"/>
      <c r="E26" s="242"/>
      <c r="F26" s="242"/>
      <c r="G26" s="242"/>
      <c r="H26" s="242"/>
      <c r="I26" s="242"/>
      <c r="J26" s="242"/>
      <c r="K26" s="242"/>
      <c r="L26" s="242"/>
      <c r="M26" s="242"/>
      <c r="N26" s="242"/>
      <c r="O26" s="242"/>
      <c r="P26" s="13"/>
      <c r="Q26" s="13"/>
      <c r="R26" s="13"/>
      <c r="S26" s="13"/>
      <c r="T26" s="13"/>
      <c r="U26" s="13"/>
      <c r="V26" s="13"/>
      <c r="W26" s="13"/>
      <c r="X26" s="13"/>
      <c r="Y26" s="13"/>
      <c r="Z26" s="13"/>
      <c r="AA26" s="13"/>
      <c r="AB26" s="13"/>
      <c r="AC26" s="13"/>
      <c r="AD26" s="13"/>
      <c r="AE26" s="13"/>
      <c r="AF26" s="242"/>
      <c r="AG26" s="242"/>
      <c r="AH26" s="242"/>
      <c r="AI26" s="242"/>
      <c r="AJ26" s="242"/>
      <c r="AK26" s="242"/>
      <c r="AL26" s="242"/>
      <c r="AM26" s="242"/>
      <c r="AN26" s="242"/>
      <c r="AO26" s="242"/>
      <c r="AP26" s="242"/>
    </row>
    <row r="27">
      <c r="A27" s="242"/>
      <c r="B27" s="242"/>
      <c r="C27" s="242"/>
      <c r="D27" s="242"/>
      <c r="E27" s="242"/>
      <c r="F27" s="242"/>
      <c r="G27" s="242"/>
      <c r="H27" s="242"/>
      <c r="I27" s="242"/>
      <c r="J27" s="242"/>
      <c r="K27" s="242"/>
      <c r="L27" s="242"/>
      <c r="M27" s="242"/>
      <c r="N27" s="242"/>
      <c r="O27" s="242"/>
      <c r="P27" s="13"/>
      <c r="Q27" s="13"/>
      <c r="R27" s="13"/>
      <c r="S27" s="13"/>
      <c r="T27" s="13"/>
      <c r="U27" s="13"/>
      <c r="V27" s="13"/>
      <c r="W27" s="13"/>
      <c r="X27" s="13"/>
      <c r="Y27" s="13"/>
      <c r="Z27" s="13"/>
      <c r="AA27" s="13"/>
      <c r="AB27" s="13"/>
      <c r="AC27" s="13"/>
      <c r="AD27" s="13"/>
      <c r="AE27" s="13"/>
      <c r="AF27" s="242"/>
      <c r="AG27" s="242"/>
      <c r="AH27" s="242"/>
      <c r="AI27" s="242"/>
      <c r="AJ27" s="242"/>
      <c r="AK27" s="242"/>
      <c r="AL27" s="242"/>
      <c r="AM27" s="242"/>
      <c r="AN27" s="242"/>
      <c r="AO27" s="242"/>
      <c r="AP27" s="242"/>
    </row>
    <row r="28">
      <c r="A28" s="242"/>
      <c r="B28" s="242"/>
      <c r="C28" s="242"/>
      <c r="D28" s="242"/>
      <c r="E28" s="242"/>
      <c r="F28" s="242"/>
      <c r="G28" s="242"/>
      <c r="H28" s="242"/>
      <c r="I28" s="242"/>
      <c r="J28" s="242"/>
      <c r="K28" s="242"/>
      <c r="L28" s="242"/>
      <c r="M28" s="242"/>
      <c r="N28" s="242"/>
      <c r="O28" s="242"/>
      <c r="P28" s="13"/>
      <c r="Q28" s="13"/>
      <c r="R28" s="13"/>
      <c r="S28" s="13"/>
      <c r="T28" s="13"/>
      <c r="U28" s="13"/>
      <c r="V28" s="13"/>
      <c r="W28" s="13"/>
      <c r="X28" s="13"/>
      <c r="Y28" s="13"/>
      <c r="Z28" s="13"/>
      <c r="AA28" s="13"/>
      <c r="AB28" s="13"/>
      <c r="AC28" s="13"/>
      <c r="AD28" s="13"/>
      <c r="AE28" s="13"/>
      <c r="AF28" s="242"/>
      <c r="AG28" s="242"/>
      <c r="AH28" s="242"/>
      <c r="AI28" s="242"/>
      <c r="AJ28" s="242"/>
      <c r="AK28" s="242"/>
      <c r="AL28" s="242"/>
      <c r="AM28" s="242"/>
      <c r="AN28" s="242"/>
      <c r="AO28" s="242"/>
      <c r="AP28" s="242"/>
    </row>
    <row r="29">
      <c r="A29" s="242"/>
      <c r="B29" s="242"/>
      <c r="C29" s="242"/>
      <c r="D29" s="242"/>
      <c r="E29" s="242"/>
      <c r="F29" s="242"/>
      <c r="G29" s="242"/>
      <c r="H29" s="242"/>
      <c r="I29" s="242"/>
      <c r="J29" s="242"/>
      <c r="K29" s="242"/>
      <c r="L29" s="242"/>
      <c r="M29" s="242"/>
      <c r="N29" s="242"/>
      <c r="O29" s="242"/>
      <c r="P29" s="13"/>
      <c r="Q29" s="13"/>
      <c r="R29" s="13"/>
      <c r="S29" s="13"/>
      <c r="T29" s="13"/>
      <c r="U29" s="13"/>
      <c r="V29" s="13"/>
      <c r="W29" s="13"/>
      <c r="X29" s="13"/>
      <c r="Y29" s="13"/>
      <c r="Z29" s="13"/>
      <c r="AA29" s="13"/>
      <c r="AB29" s="13"/>
      <c r="AC29" s="13"/>
      <c r="AD29" s="13"/>
      <c r="AE29" s="13"/>
      <c r="AF29" s="242"/>
      <c r="AG29" s="242"/>
      <c r="AH29" s="242"/>
      <c r="AI29" s="242"/>
      <c r="AJ29" s="242"/>
      <c r="AK29" s="242"/>
      <c r="AL29" s="242"/>
      <c r="AM29" s="242"/>
      <c r="AN29" s="242"/>
      <c r="AO29" s="242"/>
      <c r="AP29" s="242"/>
    </row>
    <row r="30">
      <c r="A30" s="242"/>
      <c r="B30" s="242"/>
      <c r="C30" s="242"/>
      <c r="D30" s="242"/>
      <c r="E30" s="242"/>
      <c r="F30" s="242"/>
      <c r="G30" s="242"/>
      <c r="H30" s="242"/>
      <c r="I30" s="242"/>
      <c r="J30" s="242"/>
      <c r="K30" s="242"/>
      <c r="L30" s="242"/>
      <c r="M30" s="242"/>
      <c r="N30" s="242"/>
      <c r="O30" s="242"/>
      <c r="P30" s="13"/>
      <c r="Q30" s="13"/>
      <c r="R30" s="13"/>
      <c r="S30" s="13"/>
      <c r="T30" s="13"/>
      <c r="U30" s="13"/>
      <c r="V30" s="13"/>
      <c r="W30" s="13"/>
      <c r="X30" s="13"/>
      <c r="Y30" s="13"/>
      <c r="Z30" s="13"/>
      <c r="AA30" s="13"/>
      <c r="AB30" s="13"/>
      <c r="AC30" s="13"/>
      <c r="AD30" s="13"/>
      <c r="AE30" s="13"/>
      <c r="AF30" s="242"/>
      <c r="AG30" s="242"/>
      <c r="AH30" s="242"/>
      <c r="AI30" s="242"/>
      <c r="AJ30" s="242"/>
      <c r="AK30" s="242"/>
      <c r="AL30" s="242"/>
      <c r="AM30" s="242"/>
      <c r="AN30" s="242"/>
      <c r="AO30" s="242"/>
      <c r="AP30" s="242"/>
    </row>
    <row r="31">
      <c r="A31" s="242"/>
      <c r="B31" s="242"/>
      <c r="C31" s="242"/>
      <c r="D31" s="242"/>
      <c r="E31" s="242"/>
      <c r="F31" s="242"/>
      <c r="G31" s="242"/>
      <c r="H31" s="242"/>
      <c r="I31" s="242"/>
      <c r="J31" s="242"/>
      <c r="K31" s="242"/>
      <c r="L31" s="242"/>
      <c r="M31" s="242"/>
      <c r="N31" s="242"/>
      <c r="O31" s="242"/>
      <c r="P31" s="13"/>
      <c r="Q31" s="13"/>
      <c r="R31" s="13"/>
      <c r="S31" s="13"/>
      <c r="T31" s="13"/>
      <c r="U31" s="13"/>
      <c r="V31" s="13"/>
      <c r="W31" s="13"/>
      <c r="X31" s="13"/>
      <c r="Y31" s="13"/>
      <c r="Z31" s="13"/>
      <c r="AA31" s="13"/>
      <c r="AB31" s="13"/>
      <c r="AC31" s="13"/>
      <c r="AD31" s="13"/>
      <c r="AE31" s="13"/>
      <c r="AF31" s="242"/>
      <c r="AG31" s="242"/>
      <c r="AH31" s="242"/>
      <c r="AI31" s="242"/>
      <c r="AJ31" s="242"/>
      <c r="AK31" s="242"/>
      <c r="AL31" s="242"/>
      <c r="AM31" s="242"/>
      <c r="AN31" s="242"/>
      <c r="AO31" s="242"/>
      <c r="AP31" s="242"/>
    </row>
    <row r="32">
      <c r="A32" s="242"/>
      <c r="B32" s="242"/>
      <c r="C32" s="242"/>
      <c r="D32" s="242"/>
      <c r="E32" s="242"/>
      <c r="F32" s="242"/>
      <c r="G32" s="242"/>
      <c r="H32" s="242"/>
      <c r="I32" s="242"/>
      <c r="J32" s="242"/>
      <c r="K32" s="242"/>
      <c r="L32" s="242"/>
      <c r="M32" s="242"/>
      <c r="N32" s="242"/>
      <c r="O32" s="242"/>
      <c r="P32" s="13"/>
      <c r="Q32" s="13"/>
      <c r="R32" s="13"/>
      <c r="S32" s="13"/>
      <c r="T32" s="13"/>
      <c r="U32" s="13"/>
      <c r="V32" s="13"/>
      <c r="W32" s="13"/>
      <c r="X32" s="13"/>
      <c r="Y32" s="13"/>
      <c r="Z32" s="13"/>
      <c r="AA32" s="13"/>
      <c r="AB32" s="13"/>
      <c r="AC32" s="13"/>
      <c r="AD32" s="13"/>
      <c r="AE32" s="13"/>
      <c r="AF32" s="242"/>
      <c r="AG32" s="242"/>
      <c r="AH32" s="242"/>
      <c r="AI32" s="242"/>
      <c r="AJ32" s="242"/>
      <c r="AK32" s="242"/>
      <c r="AL32" s="242"/>
      <c r="AM32" s="242"/>
      <c r="AN32" s="242"/>
      <c r="AO32" s="242"/>
      <c r="AP32" s="242"/>
    </row>
    <row r="33">
      <c r="A33" s="242"/>
      <c r="B33" s="242"/>
      <c r="C33" s="242"/>
      <c r="D33" s="242"/>
      <c r="E33" s="242"/>
      <c r="F33" s="242"/>
      <c r="G33" s="242"/>
      <c r="H33" s="242"/>
      <c r="I33" s="242"/>
      <c r="J33" s="242"/>
      <c r="K33" s="242"/>
      <c r="L33" s="242"/>
      <c r="M33" s="242"/>
      <c r="N33" s="242"/>
      <c r="O33" s="242"/>
      <c r="P33" s="13"/>
      <c r="Q33" s="13"/>
      <c r="R33" s="13"/>
      <c r="S33" s="13"/>
      <c r="T33" s="13"/>
      <c r="U33" s="13"/>
      <c r="V33" s="13"/>
      <c r="W33" s="13"/>
      <c r="X33" s="13"/>
      <c r="Y33" s="13"/>
      <c r="Z33" s="13"/>
      <c r="AA33" s="13"/>
      <c r="AB33" s="13"/>
      <c r="AC33" s="13"/>
      <c r="AD33" s="13"/>
      <c r="AE33" s="13"/>
      <c r="AF33" s="242"/>
      <c r="AG33" s="242"/>
      <c r="AH33" s="242"/>
      <c r="AI33" s="242"/>
      <c r="AJ33" s="242"/>
      <c r="AK33" s="242"/>
      <c r="AL33" s="242"/>
      <c r="AM33" s="242"/>
      <c r="AN33" s="242"/>
      <c r="AO33" s="242"/>
      <c r="AP33" s="242"/>
    </row>
    <row r="34">
      <c r="A34" s="242"/>
      <c r="B34" s="242"/>
      <c r="C34" s="242"/>
      <c r="D34" s="242"/>
      <c r="E34" s="242"/>
      <c r="F34" s="242"/>
      <c r="G34" s="242"/>
      <c r="H34" s="242"/>
      <c r="I34" s="242"/>
      <c r="J34" s="242"/>
      <c r="K34" s="242"/>
      <c r="L34" s="242"/>
      <c r="M34" s="242"/>
      <c r="N34" s="242"/>
      <c r="O34" s="242"/>
      <c r="P34" s="13"/>
      <c r="Q34" s="13"/>
      <c r="R34" s="13"/>
      <c r="S34" s="13"/>
      <c r="T34" s="13"/>
      <c r="U34" s="13"/>
      <c r="V34" s="13"/>
      <c r="W34" s="13"/>
      <c r="X34" s="13"/>
      <c r="Y34" s="13"/>
      <c r="Z34" s="13"/>
      <c r="AA34" s="13"/>
      <c r="AB34" s="13"/>
      <c r="AC34" s="13"/>
      <c r="AD34" s="13"/>
      <c r="AE34" s="13"/>
      <c r="AF34" s="242"/>
      <c r="AG34" s="242"/>
      <c r="AH34" s="242"/>
      <c r="AI34" s="242"/>
      <c r="AJ34" s="242"/>
      <c r="AK34" s="242"/>
      <c r="AL34" s="242"/>
      <c r="AM34" s="242"/>
      <c r="AN34" s="242"/>
      <c r="AO34" s="242"/>
      <c r="AP34" s="242"/>
    </row>
    <row r="35">
      <c r="A35" s="242"/>
      <c r="B35" s="242"/>
      <c r="C35" s="242"/>
      <c r="D35" s="242"/>
      <c r="E35" s="242"/>
      <c r="F35" s="242"/>
      <c r="G35" s="242"/>
      <c r="H35" s="242"/>
      <c r="I35" s="242"/>
      <c r="J35" s="242"/>
      <c r="K35" s="242"/>
      <c r="L35" s="242"/>
      <c r="M35" s="242"/>
      <c r="N35" s="242"/>
      <c r="O35" s="242"/>
      <c r="P35" s="13"/>
      <c r="Q35" s="13"/>
      <c r="R35" s="13"/>
      <c r="S35" s="13"/>
      <c r="T35" s="13"/>
      <c r="U35" s="13"/>
      <c r="V35" s="13"/>
      <c r="W35" s="13"/>
      <c r="X35" s="13"/>
      <c r="Y35" s="13"/>
      <c r="Z35" s="13"/>
      <c r="AA35" s="13"/>
      <c r="AB35" s="13"/>
      <c r="AC35" s="13"/>
      <c r="AD35" s="13"/>
      <c r="AE35" s="13"/>
      <c r="AF35" s="242"/>
      <c r="AG35" s="242"/>
      <c r="AH35" s="242"/>
      <c r="AI35" s="242"/>
      <c r="AJ35" s="242"/>
      <c r="AK35" s="242"/>
      <c r="AL35" s="242"/>
      <c r="AM35" s="242"/>
      <c r="AN35" s="242"/>
      <c r="AO35" s="242"/>
      <c r="AP35" s="242"/>
    </row>
    <row r="36">
      <c r="A36" s="242"/>
      <c r="B36" s="242"/>
      <c r="C36" s="242"/>
      <c r="D36" s="242"/>
      <c r="E36" s="242"/>
      <c r="F36" s="242"/>
      <c r="G36" s="242"/>
      <c r="H36" s="242"/>
      <c r="I36" s="242"/>
      <c r="J36" s="242"/>
      <c r="K36" s="242"/>
      <c r="L36" s="242"/>
      <c r="M36" s="242"/>
      <c r="N36" s="242"/>
      <c r="O36" s="242"/>
      <c r="P36" s="13"/>
      <c r="Q36" s="13"/>
      <c r="R36" s="13"/>
      <c r="S36" s="13"/>
      <c r="T36" s="13"/>
      <c r="U36" s="13"/>
      <c r="V36" s="13"/>
      <c r="W36" s="13"/>
      <c r="X36" s="13"/>
      <c r="Y36" s="13"/>
      <c r="Z36" s="13"/>
      <c r="AA36" s="13"/>
      <c r="AB36" s="13"/>
      <c r="AC36" s="13"/>
      <c r="AD36" s="13"/>
      <c r="AE36" s="13"/>
      <c r="AF36" s="242"/>
      <c r="AG36" s="242"/>
      <c r="AH36" s="242"/>
      <c r="AI36" s="242"/>
      <c r="AJ36" s="242"/>
      <c r="AK36" s="242"/>
      <c r="AL36" s="242"/>
      <c r="AM36" s="242"/>
      <c r="AN36" s="242"/>
      <c r="AO36" s="242"/>
      <c r="AP36" s="242"/>
    </row>
    <row r="37">
      <c r="A37" s="242"/>
      <c r="B37" s="242"/>
      <c r="C37" s="242"/>
      <c r="D37" s="242"/>
      <c r="E37" s="242"/>
      <c r="F37" s="242"/>
      <c r="G37" s="242"/>
      <c r="H37" s="242"/>
      <c r="I37" s="242"/>
      <c r="J37" s="242"/>
      <c r="K37" s="242"/>
      <c r="L37" s="242"/>
      <c r="M37" s="242"/>
      <c r="N37" s="242"/>
      <c r="O37" s="242"/>
      <c r="P37" s="13"/>
      <c r="Q37" s="13"/>
      <c r="R37" s="13"/>
      <c r="S37" s="13"/>
      <c r="T37" s="13"/>
      <c r="U37" s="13"/>
      <c r="V37" s="13"/>
      <c r="W37" s="13"/>
      <c r="X37" s="13"/>
      <c r="Y37" s="13"/>
      <c r="Z37" s="13"/>
      <c r="AA37" s="13"/>
      <c r="AB37" s="13"/>
      <c r="AC37" s="13"/>
      <c r="AD37" s="13"/>
      <c r="AE37" s="13"/>
      <c r="AF37" s="242"/>
      <c r="AG37" s="242"/>
      <c r="AH37" s="242"/>
      <c r="AI37" s="242"/>
      <c r="AJ37" s="242"/>
      <c r="AK37" s="242"/>
      <c r="AL37" s="242"/>
      <c r="AM37" s="242"/>
      <c r="AN37" s="242"/>
      <c r="AO37" s="242"/>
      <c r="AP37" s="242"/>
    </row>
    <row r="38">
      <c r="A38" s="242"/>
      <c r="B38" s="242"/>
      <c r="C38" s="242"/>
      <c r="D38" s="242"/>
      <c r="E38" s="242"/>
      <c r="F38" s="242"/>
      <c r="G38" s="242"/>
      <c r="H38" s="242"/>
      <c r="I38" s="242"/>
      <c r="J38" s="242"/>
      <c r="K38" s="242"/>
      <c r="L38" s="242"/>
      <c r="M38" s="242"/>
      <c r="N38" s="242"/>
      <c r="O38" s="242"/>
      <c r="P38" s="13"/>
      <c r="Q38" s="13"/>
      <c r="R38" s="13"/>
      <c r="S38" s="13"/>
      <c r="T38" s="13"/>
      <c r="U38" s="13"/>
      <c r="V38" s="13"/>
      <c r="W38" s="13"/>
      <c r="X38" s="13"/>
      <c r="Y38" s="13"/>
      <c r="Z38" s="13"/>
      <c r="AA38" s="13"/>
      <c r="AB38" s="13"/>
      <c r="AC38" s="13"/>
      <c r="AD38" s="13"/>
      <c r="AE38" s="13"/>
      <c r="AF38" s="242"/>
      <c r="AG38" s="242"/>
      <c r="AH38" s="242"/>
      <c r="AI38" s="242"/>
      <c r="AJ38" s="242"/>
      <c r="AK38" s="242"/>
      <c r="AL38" s="242"/>
      <c r="AM38" s="242"/>
      <c r="AN38" s="242"/>
      <c r="AO38" s="242"/>
      <c r="AP38" s="242"/>
    </row>
    <row r="39">
      <c r="A39" s="242"/>
      <c r="B39" s="242"/>
      <c r="C39" s="242"/>
      <c r="D39" s="242"/>
      <c r="E39" s="242"/>
      <c r="F39" s="242"/>
      <c r="G39" s="242"/>
      <c r="H39" s="242"/>
      <c r="I39" s="242"/>
      <c r="J39" s="242"/>
      <c r="K39" s="242"/>
      <c r="L39" s="242"/>
      <c r="M39" s="242"/>
      <c r="N39" s="242"/>
      <c r="O39" s="242"/>
      <c r="P39" s="13"/>
      <c r="Q39" s="13"/>
      <c r="R39" s="13"/>
      <c r="S39" s="13"/>
      <c r="T39" s="13"/>
      <c r="U39" s="13"/>
      <c r="V39" s="13"/>
      <c r="W39" s="13"/>
      <c r="X39" s="13"/>
      <c r="Y39" s="13"/>
      <c r="Z39" s="13"/>
      <c r="AA39" s="13"/>
      <c r="AB39" s="13"/>
      <c r="AC39" s="13"/>
      <c r="AD39" s="13"/>
      <c r="AE39" s="13"/>
      <c r="AF39" s="242"/>
      <c r="AG39" s="242"/>
      <c r="AH39" s="242"/>
      <c r="AI39" s="242"/>
      <c r="AJ39" s="242"/>
      <c r="AK39" s="242"/>
      <c r="AL39" s="242"/>
      <c r="AM39" s="242"/>
      <c r="AN39" s="242"/>
      <c r="AO39" s="242"/>
      <c r="AP39" s="242"/>
    </row>
    <row r="40">
      <c r="A40" s="242"/>
      <c r="B40" s="242"/>
      <c r="C40" s="242"/>
      <c r="D40" s="242"/>
      <c r="E40" s="242"/>
      <c r="F40" s="242"/>
      <c r="G40" s="242"/>
      <c r="H40" s="242"/>
      <c r="I40" s="242"/>
      <c r="J40" s="242"/>
      <c r="K40" s="242"/>
      <c r="L40" s="242"/>
      <c r="M40" s="242"/>
      <c r="N40" s="242"/>
      <c r="O40" s="242"/>
      <c r="P40" s="13"/>
      <c r="Q40" s="13"/>
      <c r="R40" s="13"/>
      <c r="S40" s="13"/>
      <c r="T40" s="13"/>
      <c r="U40" s="13"/>
      <c r="V40" s="13"/>
      <c r="W40" s="13"/>
      <c r="X40" s="13"/>
      <c r="Y40" s="13"/>
      <c r="Z40" s="13"/>
      <c r="AA40" s="13"/>
      <c r="AB40" s="13"/>
      <c r="AC40" s="13"/>
      <c r="AD40" s="13"/>
      <c r="AE40" s="13"/>
      <c r="AF40" s="242"/>
      <c r="AG40" s="242"/>
      <c r="AH40" s="242"/>
      <c r="AI40" s="242"/>
      <c r="AJ40" s="242"/>
      <c r="AK40" s="242"/>
      <c r="AL40" s="242"/>
      <c r="AM40" s="242"/>
      <c r="AN40" s="242"/>
      <c r="AO40" s="242"/>
      <c r="AP40" s="242"/>
    </row>
    <row r="41">
      <c r="A41" s="242"/>
      <c r="B41" s="242"/>
      <c r="C41" s="242"/>
      <c r="D41" s="242"/>
      <c r="E41" s="242"/>
      <c r="F41" s="242"/>
      <c r="G41" s="242"/>
      <c r="H41" s="242"/>
      <c r="I41" s="242"/>
      <c r="J41" s="242"/>
      <c r="K41" s="242"/>
      <c r="L41" s="242"/>
      <c r="M41" s="242"/>
      <c r="N41" s="242"/>
      <c r="O41" s="242"/>
      <c r="P41" s="13"/>
      <c r="Q41" s="13"/>
      <c r="R41" s="13"/>
      <c r="S41" s="13"/>
      <c r="T41" s="13"/>
      <c r="U41" s="13"/>
      <c r="V41" s="13"/>
      <c r="W41" s="13"/>
      <c r="X41" s="13"/>
      <c r="Y41" s="13"/>
      <c r="Z41" s="13"/>
      <c r="AA41" s="13"/>
      <c r="AB41" s="13"/>
      <c r="AC41" s="13"/>
      <c r="AD41" s="13"/>
      <c r="AE41" s="13"/>
      <c r="AF41" s="242"/>
      <c r="AG41" s="242"/>
      <c r="AH41" s="242"/>
      <c r="AI41" s="242"/>
      <c r="AJ41" s="242"/>
      <c r="AK41" s="242"/>
      <c r="AL41" s="242"/>
      <c r="AM41" s="242"/>
      <c r="AN41" s="242"/>
      <c r="AO41" s="242"/>
      <c r="AP41" s="242"/>
    </row>
    <row r="42">
      <c r="A42" s="242"/>
      <c r="B42" s="242"/>
      <c r="C42" s="242"/>
      <c r="D42" s="242"/>
      <c r="E42" s="242"/>
      <c r="F42" s="242"/>
      <c r="G42" s="242"/>
      <c r="H42" s="242"/>
      <c r="I42" s="242"/>
      <c r="J42" s="242"/>
      <c r="K42" s="242"/>
      <c r="L42" s="242"/>
      <c r="M42" s="242"/>
      <c r="N42" s="242"/>
      <c r="O42" s="242"/>
      <c r="P42" s="13"/>
      <c r="Q42" s="13"/>
      <c r="R42" s="13"/>
      <c r="S42" s="13"/>
      <c r="T42" s="13"/>
      <c r="U42" s="13"/>
      <c r="V42" s="13"/>
      <c r="W42" s="13"/>
      <c r="X42" s="13"/>
      <c r="Y42" s="13"/>
      <c r="Z42" s="13"/>
      <c r="AA42" s="13"/>
      <c r="AB42" s="13"/>
      <c r="AC42" s="13"/>
      <c r="AD42" s="13"/>
      <c r="AE42" s="13"/>
      <c r="AF42" s="242"/>
      <c r="AG42" s="242"/>
      <c r="AH42" s="242"/>
      <c r="AI42" s="242"/>
      <c r="AJ42" s="242"/>
      <c r="AK42" s="242"/>
      <c r="AL42" s="242"/>
      <c r="AM42" s="242"/>
      <c r="AN42" s="242"/>
      <c r="AO42" s="242"/>
      <c r="AP42" s="242"/>
    </row>
    <row r="43">
      <c r="A43" s="242"/>
      <c r="B43" s="242"/>
      <c r="C43" s="242"/>
      <c r="D43" s="242"/>
      <c r="E43" s="242"/>
      <c r="F43" s="242"/>
      <c r="G43" s="242"/>
      <c r="H43" s="242"/>
      <c r="I43" s="242"/>
      <c r="J43" s="242"/>
      <c r="K43" s="242"/>
      <c r="L43" s="242"/>
      <c r="M43" s="242"/>
      <c r="N43" s="242"/>
      <c r="O43" s="242"/>
      <c r="P43" s="13"/>
      <c r="Q43" s="13"/>
      <c r="R43" s="13"/>
      <c r="S43" s="13"/>
      <c r="T43" s="13"/>
      <c r="U43" s="13"/>
      <c r="V43" s="13"/>
      <c r="W43" s="13"/>
      <c r="X43" s="13"/>
      <c r="Y43" s="13"/>
      <c r="Z43" s="13"/>
      <c r="AA43" s="13"/>
      <c r="AB43" s="13"/>
      <c r="AC43" s="13"/>
      <c r="AD43" s="13"/>
      <c r="AE43" s="13"/>
      <c r="AF43" s="242"/>
      <c r="AG43" s="242"/>
      <c r="AH43" s="242"/>
      <c r="AI43" s="242"/>
      <c r="AJ43" s="242"/>
      <c r="AK43" s="242"/>
      <c r="AL43" s="242"/>
      <c r="AM43" s="242"/>
      <c r="AN43" s="242"/>
      <c r="AO43" s="242"/>
      <c r="AP43" s="242"/>
    </row>
    <row r="44">
      <c r="A44" s="242"/>
      <c r="B44" s="242"/>
      <c r="C44" s="242"/>
      <c r="D44" s="242"/>
      <c r="E44" s="242"/>
      <c r="F44" s="242"/>
      <c r="G44" s="242"/>
      <c r="H44" s="242"/>
      <c r="I44" s="242"/>
      <c r="J44" s="242"/>
      <c r="K44" s="242"/>
      <c r="L44" s="242"/>
      <c r="M44" s="242"/>
      <c r="N44" s="242"/>
      <c r="O44" s="242"/>
      <c r="P44" s="13"/>
      <c r="Q44" s="13"/>
      <c r="R44" s="13"/>
      <c r="S44" s="13"/>
      <c r="T44" s="13"/>
      <c r="U44" s="13"/>
      <c r="V44" s="13"/>
      <c r="W44" s="13"/>
      <c r="X44" s="13"/>
      <c r="Y44" s="13"/>
      <c r="Z44" s="13"/>
      <c r="AA44" s="13"/>
      <c r="AB44" s="13"/>
      <c r="AC44" s="13"/>
      <c r="AD44" s="13"/>
      <c r="AE44" s="13"/>
      <c r="AF44" s="242"/>
      <c r="AG44" s="242"/>
      <c r="AH44" s="242"/>
      <c r="AI44" s="242"/>
      <c r="AJ44" s="242"/>
      <c r="AK44" s="242"/>
      <c r="AL44" s="242"/>
      <c r="AM44" s="242"/>
      <c r="AN44" s="242"/>
      <c r="AO44" s="242"/>
      <c r="AP44" s="242"/>
    </row>
    <row r="45">
      <c r="A45" s="242"/>
      <c r="B45" s="242"/>
      <c r="C45" s="242"/>
      <c r="D45" s="242"/>
      <c r="E45" s="242"/>
      <c r="F45" s="242"/>
      <c r="G45" s="242"/>
      <c r="H45" s="242"/>
      <c r="I45" s="242"/>
      <c r="J45" s="242"/>
      <c r="K45" s="242"/>
      <c r="L45" s="242"/>
      <c r="M45" s="242"/>
      <c r="N45" s="242"/>
      <c r="O45" s="242"/>
      <c r="P45" s="13"/>
      <c r="Q45" s="13"/>
      <c r="R45" s="13"/>
      <c r="S45" s="13"/>
      <c r="T45" s="13"/>
      <c r="U45" s="13"/>
      <c r="V45" s="13"/>
      <c r="W45" s="13"/>
      <c r="X45" s="13"/>
      <c r="Y45" s="13"/>
      <c r="Z45" s="13"/>
      <c r="AA45" s="13"/>
      <c r="AB45" s="13"/>
      <c r="AC45" s="13"/>
      <c r="AD45" s="13"/>
      <c r="AE45" s="13"/>
      <c r="AF45" s="242"/>
      <c r="AG45" s="242"/>
      <c r="AH45" s="242"/>
      <c r="AI45" s="242"/>
      <c r="AJ45" s="242"/>
      <c r="AK45" s="242"/>
      <c r="AL45" s="242"/>
      <c r="AM45" s="242"/>
      <c r="AN45" s="242"/>
      <c r="AO45" s="242"/>
      <c r="AP45" s="242"/>
    </row>
    <row r="46">
      <c r="A46" s="242"/>
      <c r="B46" s="242"/>
      <c r="C46" s="242"/>
      <c r="D46" s="242"/>
      <c r="E46" s="242"/>
      <c r="F46" s="242"/>
      <c r="G46" s="242"/>
      <c r="H46" s="242"/>
      <c r="I46" s="242"/>
      <c r="J46" s="242"/>
      <c r="K46" s="242"/>
      <c r="L46" s="242"/>
      <c r="M46" s="242"/>
      <c r="N46" s="242"/>
      <c r="O46" s="242"/>
      <c r="P46" s="13"/>
      <c r="Q46" s="13"/>
      <c r="R46" s="13"/>
      <c r="S46" s="13"/>
      <c r="T46" s="13"/>
      <c r="U46" s="13"/>
      <c r="V46" s="13"/>
      <c r="W46" s="13"/>
      <c r="X46" s="13"/>
      <c r="Y46" s="13"/>
      <c r="Z46" s="13"/>
      <c r="AA46" s="13"/>
      <c r="AB46" s="13"/>
      <c r="AC46" s="13"/>
      <c r="AD46" s="13"/>
      <c r="AE46" s="13"/>
      <c r="AF46" s="242"/>
      <c r="AG46" s="242"/>
      <c r="AH46" s="242"/>
      <c r="AI46" s="242"/>
      <c r="AJ46" s="242"/>
      <c r="AK46" s="242"/>
      <c r="AL46" s="242"/>
      <c r="AM46" s="242"/>
      <c r="AN46" s="242"/>
      <c r="AO46" s="242"/>
      <c r="AP46" s="242"/>
    </row>
    <row r="47">
      <c r="A47" s="242"/>
      <c r="B47" s="242"/>
      <c r="C47" s="242"/>
      <c r="D47" s="242"/>
      <c r="E47" s="242"/>
      <c r="F47" s="242"/>
      <c r="G47" s="242"/>
      <c r="H47" s="242"/>
      <c r="I47" s="242"/>
      <c r="J47" s="242"/>
      <c r="K47" s="242"/>
      <c r="L47" s="242"/>
      <c r="M47" s="242"/>
      <c r="N47" s="242"/>
      <c r="O47" s="242"/>
      <c r="P47" s="13"/>
      <c r="Q47" s="13"/>
      <c r="R47" s="13"/>
      <c r="S47" s="13"/>
      <c r="T47" s="13"/>
      <c r="U47" s="13"/>
      <c r="V47" s="13"/>
      <c r="W47" s="13"/>
      <c r="X47" s="13"/>
      <c r="Y47" s="13"/>
      <c r="Z47" s="13"/>
      <c r="AA47" s="13"/>
      <c r="AB47" s="13"/>
      <c r="AC47" s="13"/>
      <c r="AD47" s="13"/>
      <c r="AE47" s="13"/>
      <c r="AF47" s="242"/>
      <c r="AG47" s="242"/>
      <c r="AH47" s="242"/>
      <c r="AI47" s="242"/>
      <c r="AJ47" s="242"/>
      <c r="AK47" s="242"/>
      <c r="AL47" s="242"/>
      <c r="AM47" s="242"/>
      <c r="AN47" s="242"/>
      <c r="AO47" s="242"/>
      <c r="AP47" s="242"/>
    </row>
    <row r="48">
      <c r="A48" s="242"/>
      <c r="B48" s="242"/>
      <c r="C48" s="242"/>
      <c r="D48" s="242"/>
      <c r="E48" s="242"/>
      <c r="F48" s="242"/>
      <c r="G48" s="242"/>
      <c r="H48" s="242"/>
      <c r="I48" s="242"/>
      <c r="J48" s="242"/>
      <c r="K48" s="242"/>
      <c r="L48" s="242"/>
      <c r="M48" s="242"/>
      <c r="N48" s="242"/>
      <c r="O48" s="242"/>
      <c r="P48" s="13"/>
      <c r="Q48" s="13"/>
      <c r="R48" s="13"/>
      <c r="S48" s="13"/>
      <c r="T48" s="13"/>
      <c r="U48" s="13"/>
      <c r="V48" s="13"/>
      <c r="W48" s="13"/>
      <c r="X48" s="13"/>
      <c r="Y48" s="13"/>
      <c r="Z48" s="13"/>
      <c r="AA48" s="13"/>
      <c r="AB48" s="13"/>
      <c r="AC48" s="13"/>
      <c r="AD48" s="13"/>
      <c r="AE48" s="13"/>
      <c r="AF48" s="242"/>
      <c r="AG48" s="242"/>
      <c r="AH48" s="242"/>
      <c r="AI48" s="242"/>
      <c r="AJ48" s="242"/>
      <c r="AK48" s="242"/>
      <c r="AL48" s="242"/>
      <c r="AM48" s="242"/>
      <c r="AN48" s="242"/>
      <c r="AO48" s="242"/>
      <c r="AP48" s="242"/>
    </row>
    <row r="49">
      <c r="A49" s="242"/>
      <c r="B49" s="242"/>
      <c r="C49" s="242"/>
      <c r="D49" s="242"/>
      <c r="E49" s="242"/>
      <c r="F49" s="242"/>
      <c r="G49" s="242"/>
      <c r="H49" s="242"/>
      <c r="I49" s="242"/>
      <c r="J49" s="242"/>
      <c r="K49" s="242"/>
      <c r="L49" s="242"/>
      <c r="M49" s="242"/>
      <c r="N49" s="242"/>
      <c r="O49" s="242"/>
      <c r="P49" s="13"/>
      <c r="Q49" s="13"/>
      <c r="R49" s="13"/>
      <c r="S49" s="13"/>
      <c r="T49" s="13"/>
      <c r="U49" s="13"/>
      <c r="V49" s="13"/>
      <c r="W49" s="13"/>
      <c r="X49" s="13"/>
      <c r="Y49" s="13"/>
      <c r="Z49" s="13"/>
      <c r="AA49" s="13"/>
      <c r="AB49" s="13"/>
      <c r="AC49" s="13"/>
      <c r="AD49" s="13"/>
      <c r="AE49" s="13"/>
      <c r="AF49" s="242"/>
      <c r="AG49" s="242"/>
      <c r="AH49" s="242"/>
      <c r="AI49" s="242"/>
      <c r="AJ49" s="242"/>
      <c r="AK49" s="242"/>
      <c r="AL49" s="242"/>
      <c r="AM49" s="242"/>
      <c r="AN49" s="242"/>
      <c r="AO49" s="242"/>
      <c r="AP49" s="242"/>
    </row>
    <row r="50">
      <c r="A50" s="242"/>
      <c r="B50" s="242"/>
      <c r="C50" s="242"/>
      <c r="D50" s="242"/>
      <c r="E50" s="242"/>
      <c r="F50" s="242"/>
      <c r="G50" s="242"/>
      <c r="H50" s="242"/>
      <c r="I50" s="242"/>
      <c r="J50" s="242"/>
      <c r="K50" s="242"/>
      <c r="L50" s="242"/>
      <c r="M50" s="242"/>
      <c r="N50" s="242"/>
      <c r="O50" s="242"/>
      <c r="P50" s="13"/>
      <c r="Q50" s="13"/>
      <c r="R50" s="13"/>
      <c r="S50" s="13"/>
      <c r="T50" s="13"/>
      <c r="U50" s="13"/>
      <c r="V50" s="13"/>
      <c r="W50" s="13"/>
      <c r="X50" s="13"/>
      <c r="Y50" s="13"/>
      <c r="Z50" s="13"/>
      <c r="AA50" s="13"/>
      <c r="AB50" s="13"/>
      <c r="AC50" s="13"/>
      <c r="AD50" s="13"/>
      <c r="AE50" s="13"/>
      <c r="AF50" s="242"/>
      <c r="AG50" s="242"/>
      <c r="AH50" s="242"/>
      <c r="AI50" s="242"/>
      <c r="AJ50" s="242"/>
      <c r="AK50" s="242"/>
      <c r="AL50" s="242"/>
      <c r="AM50" s="242"/>
      <c r="AN50" s="242"/>
      <c r="AO50" s="242"/>
      <c r="AP50" s="242"/>
    </row>
    <row r="51">
      <c r="A51" s="242"/>
      <c r="B51" s="242"/>
      <c r="C51" s="242"/>
      <c r="D51" s="242"/>
      <c r="E51" s="242"/>
      <c r="F51" s="242"/>
      <c r="G51" s="242"/>
      <c r="H51" s="242"/>
      <c r="I51" s="242"/>
      <c r="J51" s="242"/>
      <c r="K51" s="242"/>
      <c r="L51" s="242"/>
      <c r="M51" s="242"/>
      <c r="N51" s="242"/>
      <c r="O51" s="242"/>
      <c r="P51" s="13"/>
      <c r="Q51" s="13"/>
      <c r="R51" s="13"/>
      <c r="S51" s="13"/>
      <c r="T51" s="13"/>
      <c r="U51" s="13"/>
      <c r="V51" s="13"/>
      <c r="W51" s="13"/>
      <c r="X51" s="13"/>
      <c r="Y51" s="13"/>
      <c r="Z51" s="13"/>
      <c r="AA51" s="13"/>
      <c r="AB51" s="13"/>
      <c r="AC51" s="13"/>
      <c r="AD51" s="13"/>
      <c r="AE51" s="13"/>
      <c r="AF51" s="242"/>
      <c r="AG51" s="242"/>
      <c r="AH51" s="242"/>
      <c r="AI51" s="242"/>
      <c r="AJ51" s="242"/>
      <c r="AK51" s="242"/>
      <c r="AL51" s="242"/>
      <c r="AM51" s="242"/>
      <c r="AN51" s="242"/>
      <c r="AO51" s="242"/>
      <c r="AP51" s="242"/>
    </row>
    <row r="52">
      <c r="A52" s="242"/>
      <c r="B52" s="242"/>
      <c r="C52" s="242"/>
      <c r="D52" s="242"/>
      <c r="E52" s="242"/>
      <c r="F52" s="242"/>
      <c r="G52" s="242"/>
      <c r="H52" s="242"/>
      <c r="I52" s="242"/>
      <c r="J52" s="242"/>
      <c r="K52" s="242"/>
      <c r="L52" s="242"/>
      <c r="M52" s="242"/>
      <c r="N52" s="242"/>
      <c r="O52" s="242"/>
      <c r="P52" s="13"/>
      <c r="Q52" s="13"/>
      <c r="R52" s="13"/>
      <c r="S52" s="13"/>
      <c r="T52" s="13"/>
      <c r="U52" s="13"/>
      <c r="V52" s="13"/>
      <c r="W52" s="13"/>
      <c r="X52" s="13"/>
      <c r="Y52" s="13"/>
      <c r="Z52" s="13"/>
      <c r="AA52" s="13"/>
      <c r="AB52" s="13"/>
      <c r="AC52" s="13"/>
      <c r="AD52" s="13"/>
      <c r="AE52" s="13"/>
      <c r="AF52" s="242"/>
      <c r="AG52" s="242"/>
      <c r="AH52" s="242"/>
      <c r="AI52" s="242"/>
      <c r="AJ52" s="242"/>
      <c r="AK52" s="242"/>
      <c r="AL52" s="242"/>
      <c r="AM52" s="242"/>
      <c r="AN52" s="242"/>
      <c r="AO52" s="242"/>
      <c r="AP52" s="242"/>
    </row>
    <row r="53">
      <c r="A53" s="242"/>
      <c r="B53" s="242"/>
      <c r="C53" s="242"/>
      <c r="D53" s="242"/>
      <c r="E53" s="242"/>
      <c r="F53" s="242"/>
      <c r="G53" s="242"/>
      <c r="H53" s="242"/>
      <c r="I53" s="242"/>
      <c r="J53" s="242"/>
      <c r="K53" s="242"/>
      <c r="L53" s="242"/>
      <c r="M53" s="242"/>
      <c r="N53" s="242"/>
      <c r="O53" s="242"/>
      <c r="P53" s="13"/>
      <c r="Q53" s="13"/>
      <c r="R53" s="13"/>
      <c r="S53" s="13"/>
      <c r="T53" s="13"/>
      <c r="U53" s="13"/>
      <c r="V53" s="13"/>
      <c r="W53" s="13"/>
      <c r="X53" s="13"/>
      <c r="Y53" s="13"/>
      <c r="Z53" s="13"/>
      <c r="AA53" s="13"/>
      <c r="AB53" s="13"/>
      <c r="AC53" s="13"/>
      <c r="AD53" s="13"/>
      <c r="AE53" s="13"/>
      <c r="AF53" s="242"/>
      <c r="AG53" s="242"/>
      <c r="AH53" s="242"/>
      <c r="AI53" s="242"/>
      <c r="AJ53" s="242"/>
      <c r="AK53" s="242"/>
      <c r="AL53" s="242"/>
      <c r="AM53" s="242"/>
      <c r="AN53" s="242"/>
      <c r="AO53" s="242"/>
      <c r="AP53" s="242"/>
    </row>
    <row r="54">
      <c r="A54" s="242"/>
      <c r="B54" s="242"/>
      <c r="C54" s="242"/>
      <c r="D54" s="242"/>
      <c r="E54" s="242"/>
      <c r="F54" s="242"/>
      <c r="G54" s="242"/>
      <c r="H54" s="242"/>
      <c r="I54" s="242"/>
      <c r="J54" s="242"/>
      <c r="K54" s="242"/>
      <c r="L54" s="242"/>
      <c r="M54" s="242"/>
      <c r="N54" s="242"/>
      <c r="O54" s="242"/>
      <c r="P54" s="13"/>
      <c r="Q54" s="13"/>
      <c r="R54" s="13"/>
      <c r="S54" s="13"/>
      <c r="T54" s="13"/>
      <c r="U54" s="13"/>
      <c r="V54" s="13"/>
      <c r="W54" s="13"/>
      <c r="X54" s="13"/>
      <c r="Y54" s="13"/>
      <c r="Z54" s="13"/>
      <c r="AA54" s="13"/>
      <c r="AB54" s="13"/>
      <c r="AC54" s="13"/>
      <c r="AD54" s="13"/>
      <c r="AE54" s="13"/>
      <c r="AF54" s="242"/>
      <c r="AG54" s="242"/>
      <c r="AH54" s="242"/>
      <c r="AI54" s="242"/>
      <c r="AJ54" s="242"/>
      <c r="AK54" s="242"/>
      <c r="AL54" s="242"/>
      <c r="AM54" s="242"/>
      <c r="AN54" s="242"/>
      <c r="AO54" s="242"/>
      <c r="AP54" s="242"/>
    </row>
    <row r="55">
      <c r="A55" s="242"/>
      <c r="B55" s="242"/>
      <c r="C55" s="242"/>
      <c r="D55" s="242"/>
      <c r="E55" s="242"/>
      <c r="F55" s="242"/>
      <c r="G55" s="242"/>
      <c r="H55" s="242"/>
      <c r="I55" s="242"/>
      <c r="J55" s="242"/>
      <c r="K55" s="242"/>
      <c r="L55" s="242"/>
      <c r="M55" s="242"/>
      <c r="N55" s="242"/>
      <c r="O55" s="242"/>
      <c r="P55" s="13"/>
      <c r="Q55" s="13"/>
      <c r="R55" s="13"/>
      <c r="S55" s="13"/>
      <c r="T55" s="13"/>
      <c r="U55" s="13"/>
      <c r="V55" s="13"/>
      <c r="W55" s="13"/>
      <c r="X55" s="13"/>
      <c r="Y55" s="13"/>
      <c r="Z55" s="13"/>
      <c r="AA55" s="13"/>
      <c r="AB55" s="13"/>
      <c r="AC55" s="13"/>
      <c r="AD55" s="13"/>
      <c r="AE55" s="13"/>
      <c r="AF55" s="242"/>
      <c r="AG55" s="242"/>
      <c r="AH55" s="242"/>
      <c r="AI55" s="242"/>
      <c r="AJ55" s="242"/>
      <c r="AK55" s="242"/>
      <c r="AL55" s="242"/>
      <c r="AM55" s="242"/>
      <c r="AN55" s="242"/>
      <c r="AO55" s="242"/>
      <c r="AP55" s="242"/>
    </row>
    <row r="56">
      <c r="A56" s="242"/>
      <c r="B56" s="242"/>
      <c r="C56" s="242"/>
      <c r="D56" s="242"/>
      <c r="E56" s="242"/>
      <c r="F56" s="242"/>
      <c r="G56" s="242"/>
      <c r="H56" s="242"/>
      <c r="I56" s="242"/>
      <c r="J56" s="242"/>
      <c r="K56" s="242"/>
      <c r="L56" s="242"/>
      <c r="M56" s="242"/>
      <c r="N56" s="242"/>
      <c r="O56" s="242"/>
      <c r="P56" s="13"/>
      <c r="Q56" s="13"/>
      <c r="R56" s="13"/>
      <c r="S56" s="13"/>
      <c r="T56" s="13"/>
      <c r="U56" s="13"/>
      <c r="V56" s="13"/>
      <c r="W56" s="13"/>
      <c r="X56" s="13"/>
      <c r="Y56" s="13"/>
      <c r="Z56" s="13"/>
      <c r="AA56" s="13"/>
      <c r="AB56" s="13"/>
      <c r="AC56" s="13"/>
      <c r="AD56" s="13"/>
      <c r="AE56" s="13"/>
      <c r="AF56" s="242"/>
      <c r="AG56" s="242"/>
      <c r="AH56" s="242"/>
      <c r="AI56" s="242"/>
      <c r="AJ56" s="242"/>
      <c r="AK56" s="242"/>
      <c r="AL56" s="242"/>
      <c r="AM56" s="242"/>
      <c r="AN56" s="242"/>
      <c r="AO56" s="242"/>
      <c r="AP56" s="242"/>
    </row>
    <row r="57">
      <c r="A57" s="242"/>
      <c r="B57" s="242"/>
      <c r="C57" s="242"/>
      <c r="D57" s="242"/>
      <c r="E57" s="242"/>
      <c r="F57" s="242"/>
      <c r="G57" s="242"/>
      <c r="H57" s="242"/>
      <c r="I57" s="242"/>
      <c r="J57" s="242"/>
      <c r="K57" s="242"/>
      <c r="L57" s="242"/>
      <c r="M57" s="242"/>
      <c r="N57" s="242"/>
      <c r="O57" s="242"/>
      <c r="P57" s="13"/>
      <c r="Q57" s="13"/>
      <c r="R57" s="13"/>
      <c r="S57" s="13"/>
      <c r="T57" s="13"/>
      <c r="U57" s="13"/>
      <c r="V57" s="13"/>
      <c r="W57" s="13"/>
      <c r="X57" s="13"/>
      <c r="Y57" s="13"/>
      <c r="Z57" s="13"/>
      <c r="AA57" s="13"/>
      <c r="AB57" s="13"/>
      <c r="AC57" s="13"/>
      <c r="AD57" s="13"/>
      <c r="AE57" s="13"/>
      <c r="AF57" s="242"/>
      <c r="AG57" s="242"/>
      <c r="AH57" s="242"/>
      <c r="AI57" s="242"/>
      <c r="AJ57" s="242"/>
      <c r="AK57" s="242"/>
      <c r="AL57" s="242"/>
      <c r="AM57" s="242"/>
      <c r="AN57" s="242"/>
      <c r="AO57" s="242"/>
      <c r="AP57" s="242"/>
    </row>
    <row r="58">
      <c r="A58" s="242"/>
      <c r="B58" s="242"/>
      <c r="C58" s="242"/>
      <c r="D58" s="242"/>
      <c r="E58" s="242"/>
      <c r="F58" s="242"/>
      <c r="G58" s="242"/>
      <c r="H58" s="242"/>
      <c r="I58" s="242"/>
      <c r="J58" s="242"/>
      <c r="K58" s="242"/>
      <c r="L58" s="242"/>
      <c r="M58" s="242"/>
      <c r="N58" s="242"/>
      <c r="O58" s="242"/>
      <c r="P58" s="13"/>
      <c r="Q58" s="13"/>
      <c r="R58" s="13"/>
      <c r="S58" s="13"/>
      <c r="T58" s="13"/>
      <c r="U58" s="13"/>
      <c r="V58" s="13"/>
      <c r="W58" s="13"/>
      <c r="X58" s="13"/>
      <c r="Y58" s="13"/>
      <c r="Z58" s="13"/>
      <c r="AA58" s="13"/>
      <c r="AB58" s="13"/>
      <c r="AC58" s="13"/>
      <c r="AD58" s="13"/>
      <c r="AE58" s="13"/>
      <c r="AF58" s="242"/>
      <c r="AG58" s="242"/>
      <c r="AH58" s="242"/>
      <c r="AI58" s="242"/>
      <c r="AJ58" s="242"/>
      <c r="AK58" s="242"/>
      <c r="AL58" s="242"/>
      <c r="AM58" s="242"/>
      <c r="AN58" s="242"/>
      <c r="AO58" s="242"/>
      <c r="AP58" s="242"/>
    </row>
    <row r="59">
      <c r="A59" s="242"/>
      <c r="B59" s="242"/>
      <c r="C59" s="242"/>
      <c r="D59" s="242"/>
      <c r="E59" s="242"/>
      <c r="F59" s="242"/>
      <c r="G59" s="242"/>
      <c r="H59" s="242"/>
      <c r="I59" s="242"/>
      <c r="J59" s="242"/>
      <c r="K59" s="242"/>
      <c r="L59" s="242"/>
      <c r="M59" s="242"/>
      <c r="N59" s="242"/>
      <c r="O59" s="242"/>
      <c r="P59" s="13"/>
      <c r="Q59" s="13"/>
      <c r="R59" s="13"/>
      <c r="S59" s="13"/>
      <c r="T59" s="13"/>
      <c r="U59" s="13"/>
      <c r="V59" s="13"/>
      <c r="W59" s="13"/>
      <c r="X59" s="13"/>
      <c r="Y59" s="13"/>
      <c r="Z59" s="13"/>
      <c r="AA59" s="13"/>
      <c r="AB59" s="13"/>
      <c r="AC59" s="13"/>
      <c r="AD59" s="13"/>
      <c r="AE59" s="13"/>
      <c r="AF59" s="242"/>
      <c r="AG59" s="242"/>
      <c r="AH59" s="242"/>
      <c r="AI59" s="242"/>
      <c r="AJ59" s="242"/>
      <c r="AK59" s="242"/>
      <c r="AL59" s="242"/>
      <c r="AM59" s="242"/>
      <c r="AN59" s="242"/>
      <c r="AO59" s="242"/>
      <c r="AP59" s="242"/>
    </row>
    <row r="60">
      <c r="A60" s="242"/>
      <c r="B60" s="242"/>
      <c r="C60" s="242"/>
      <c r="D60" s="242"/>
      <c r="E60" s="242"/>
      <c r="F60" s="242"/>
      <c r="G60" s="242"/>
      <c r="H60" s="242"/>
      <c r="I60" s="242"/>
      <c r="J60" s="242"/>
      <c r="K60" s="242"/>
      <c r="L60" s="242"/>
      <c r="M60" s="242"/>
      <c r="N60" s="242"/>
      <c r="O60" s="242"/>
      <c r="P60" s="13"/>
      <c r="Q60" s="13"/>
      <c r="R60" s="13"/>
      <c r="S60" s="13"/>
      <c r="T60" s="13"/>
      <c r="U60" s="13"/>
      <c r="V60" s="13"/>
      <c r="W60" s="13"/>
      <c r="X60" s="13"/>
      <c r="Y60" s="13"/>
      <c r="Z60" s="13"/>
      <c r="AA60" s="13"/>
      <c r="AB60" s="13"/>
      <c r="AC60" s="13"/>
      <c r="AD60" s="13"/>
      <c r="AE60" s="13"/>
      <c r="AF60" s="242"/>
      <c r="AG60" s="242"/>
      <c r="AH60" s="242"/>
      <c r="AI60" s="242"/>
      <c r="AJ60" s="242"/>
      <c r="AK60" s="242"/>
      <c r="AL60" s="242"/>
      <c r="AM60" s="242"/>
      <c r="AN60" s="242"/>
      <c r="AO60" s="242"/>
      <c r="AP60" s="242"/>
    </row>
    <row r="61">
      <c r="A61" s="242"/>
      <c r="B61" s="242"/>
      <c r="C61" s="242"/>
      <c r="D61" s="242"/>
      <c r="E61" s="242"/>
      <c r="F61" s="242"/>
      <c r="G61" s="242"/>
      <c r="H61" s="242"/>
      <c r="I61" s="242"/>
      <c r="J61" s="242"/>
      <c r="K61" s="242"/>
      <c r="L61" s="242"/>
      <c r="M61" s="242"/>
      <c r="N61" s="242"/>
      <c r="O61" s="242"/>
      <c r="P61" s="13"/>
      <c r="Q61" s="13"/>
      <c r="R61" s="13"/>
      <c r="S61" s="13"/>
      <c r="T61" s="13"/>
      <c r="U61" s="13"/>
      <c r="V61" s="13"/>
      <c r="W61" s="13"/>
      <c r="X61" s="13"/>
      <c r="Y61" s="13"/>
      <c r="Z61" s="13"/>
      <c r="AA61" s="13"/>
      <c r="AB61" s="13"/>
      <c r="AC61" s="13"/>
      <c r="AD61" s="13"/>
      <c r="AE61" s="13"/>
      <c r="AF61" s="242"/>
      <c r="AG61" s="242"/>
      <c r="AH61" s="242"/>
      <c r="AI61" s="242"/>
      <c r="AJ61" s="242"/>
      <c r="AK61" s="242"/>
      <c r="AL61" s="242"/>
      <c r="AM61" s="242"/>
      <c r="AN61" s="242"/>
      <c r="AO61" s="242"/>
      <c r="AP61" s="242"/>
    </row>
    <row r="62">
      <c r="A62" s="242"/>
      <c r="B62" s="242"/>
      <c r="C62" s="242"/>
      <c r="D62" s="242"/>
      <c r="E62" s="242"/>
      <c r="F62" s="242"/>
      <c r="G62" s="242"/>
      <c r="H62" s="242"/>
      <c r="I62" s="242"/>
      <c r="J62" s="242"/>
      <c r="K62" s="242"/>
      <c r="L62" s="242"/>
      <c r="M62" s="242"/>
      <c r="N62" s="242"/>
      <c r="O62" s="242"/>
      <c r="P62" s="13"/>
      <c r="Q62" s="13"/>
      <c r="R62" s="13"/>
      <c r="S62" s="13"/>
      <c r="T62" s="13"/>
      <c r="U62" s="13"/>
      <c r="V62" s="13"/>
      <c r="W62" s="13"/>
      <c r="X62" s="13"/>
      <c r="Y62" s="13"/>
      <c r="Z62" s="13"/>
      <c r="AA62" s="13"/>
      <c r="AB62" s="13"/>
      <c r="AC62" s="13"/>
      <c r="AD62" s="13"/>
      <c r="AE62" s="13"/>
      <c r="AF62" s="242"/>
      <c r="AG62" s="242"/>
      <c r="AH62" s="242"/>
      <c r="AI62" s="242"/>
      <c r="AJ62" s="242"/>
      <c r="AK62" s="242"/>
      <c r="AL62" s="242"/>
      <c r="AM62" s="242"/>
      <c r="AN62" s="242"/>
      <c r="AO62" s="242"/>
      <c r="AP62" s="242"/>
    </row>
    <row r="63">
      <c r="A63" s="242"/>
      <c r="B63" s="242"/>
      <c r="C63" s="242"/>
      <c r="D63" s="242"/>
      <c r="E63" s="242"/>
      <c r="F63" s="242"/>
      <c r="G63" s="242"/>
      <c r="H63" s="242"/>
      <c r="I63" s="242"/>
      <c r="J63" s="242"/>
      <c r="K63" s="242"/>
      <c r="L63" s="242"/>
      <c r="M63" s="242"/>
      <c r="N63" s="242"/>
      <c r="O63" s="242"/>
      <c r="P63" s="13"/>
      <c r="Q63" s="13"/>
      <c r="R63" s="13"/>
      <c r="S63" s="13"/>
      <c r="T63" s="13"/>
      <c r="U63" s="13"/>
      <c r="V63" s="13"/>
      <c r="W63" s="13"/>
      <c r="X63" s="13"/>
      <c r="Y63" s="13"/>
      <c r="Z63" s="13"/>
      <c r="AA63" s="13"/>
      <c r="AB63" s="13"/>
      <c r="AC63" s="13"/>
      <c r="AD63" s="13"/>
      <c r="AE63" s="13"/>
      <c r="AF63" s="242"/>
      <c r="AG63" s="242"/>
      <c r="AH63" s="242"/>
      <c r="AI63" s="242"/>
      <c r="AJ63" s="242"/>
      <c r="AK63" s="242"/>
      <c r="AL63" s="242"/>
      <c r="AM63" s="242"/>
      <c r="AN63" s="242"/>
      <c r="AO63" s="242"/>
      <c r="AP63" s="242"/>
    </row>
    <row r="64">
      <c r="A64" s="242"/>
      <c r="B64" s="242"/>
      <c r="C64" s="242"/>
      <c r="D64" s="242"/>
      <c r="E64" s="242"/>
      <c r="F64" s="242"/>
      <c r="G64" s="242"/>
      <c r="H64" s="242"/>
      <c r="I64" s="242"/>
      <c r="J64" s="242"/>
      <c r="K64" s="242"/>
      <c r="L64" s="242"/>
      <c r="M64" s="242"/>
      <c r="N64" s="242"/>
      <c r="O64" s="242"/>
      <c r="P64" s="13"/>
      <c r="Q64" s="13"/>
      <c r="R64" s="13"/>
      <c r="S64" s="13"/>
      <c r="T64" s="13"/>
      <c r="U64" s="13"/>
      <c r="V64" s="13"/>
      <c r="W64" s="13"/>
      <c r="X64" s="13"/>
      <c r="Y64" s="13"/>
      <c r="Z64" s="13"/>
      <c r="AA64" s="13"/>
      <c r="AB64" s="13"/>
      <c r="AC64" s="13"/>
      <c r="AD64" s="13"/>
      <c r="AE64" s="13"/>
      <c r="AF64" s="242"/>
      <c r="AG64" s="242"/>
      <c r="AH64" s="242"/>
      <c r="AI64" s="242"/>
      <c r="AJ64" s="242"/>
      <c r="AK64" s="242"/>
      <c r="AL64" s="242"/>
      <c r="AM64" s="242"/>
      <c r="AN64" s="242"/>
      <c r="AO64" s="242"/>
      <c r="AP64" s="242"/>
    </row>
    <row r="65">
      <c r="A65" s="242"/>
      <c r="B65" s="242"/>
      <c r="C65" s="242"/>
      <c r="D65" s="242"/>
      <c r="E65" s="242"/>
      <c r="F65" s="242"/>
      <c r="G65" s="242"/>
      <c r="H65" s="242"/>
      <c r="I65" s="242"/>
      <c r="J65" s="242"/>
      <c r="K65" s="242"/>
      <c r="L65" s="242"/>
      <c r="M65" s="242"/>
      <c r="N65" s="242"/>
      <c r="O65" s="242"/>
      <c r="P65" s="13"/>
      <c r="Q65" s="13"/>
      <c r="R65" s="13"/>
      <c r="S65" s="13"/>
      <c r="T65" s="13"/>
      <c r="U65" s="13"/>
      <c r="V65" s="13"/>
      <c r="W65" s="13"/>
      <c r="X65" s="13"/>
      <c r="Y65" s="13"/>
      <c r="Z65" s="13"/>
      <c r="AA65" s="13"/>
      <c r="AB65" s="13"/>
      <c r="AC65" s="13"/>
      <c r="AD65" s="13"/>
      <c r="AE65" s="13"/>
      <c r="AF65" s="242"/>
      <c r="AG65" s="242"/>
      <c r="AH65" s="242"/>
      <c r="AI65" s="242"/>
      <c r="AJ65" s="242"/>
      <c r="AK65" s="242"/>
      <c r="AL65" s="242"/>
      <c r="AM65" s="242"/>
      <c r="AN65" s="242"/>
      <c r="AO65" s="242"/>
      <c r="AP65" s="242"/>
    </row>
    <row r="66">
      <c r="A66" s="242"/>
      <c r="B66" s="242"/>
      <c r="C66" s="242"/>
      <c r="D66" s="242"/>
      <c r="E66" s="242"/>
      <c r="F66" s="242"/>
      <c r="G66" s="242"/>
      <c r="H66" s="242"/>
      <c r="I66" s="242"/>
      <c r="J66" s="242"/>
      <c r="K66" s="242"/>
      <c r="L66" s="242"/>
      <c r="M66" s="242"/>
      <c r="N66" s="242"/>
      <c r="O66" s="242"/>
      <c r="P66" s="13"/>
      <c r="Q66" s="13"/>
      <c r="R66" s="13"/>
      <c r="S66" s="13"/>
      <c r="T66" s="13"/>
      <c r="U66" s="13"/>
      <c r="V66" s="13"/>
      <c r="W66" s="13"/>
      <c r="X66" s="13"/>
      <c r="Y66" s="13"/>
      <c r="Z66" s="13"/>
      <c r="AA66" s="13"/>
      <c r="AB66" s="13"/>
      <c r="AC66" s="13"/>
      <c r="AD66" s="13"/>
      <c r="AE66" s="13"/>
      <c r="AF66" s="242"/>
      <c r="AG66" s="242"/>
      <c r="AH66" s="242"/>
      <c r="AI66" s="242"/>
      <c r="AJ66" s="242"/>
      <c r="AK66" s="242"/>
      <c r="AL66" s="242"/>
      <c r="AM66" s="242"/>
      <c r="AN66" s="242"/>
      <c r="AO66" s="242"/>
      <c r="AP66" s="242"/>
    </row>
    <row r="67">
      <c r="A67" s="242"/>
      <c r="B67" s="242"/>
      <c r="C67" s="242"/>
      <c r="D67" s="242"/>
      <c r="E67" s="242"/>
      <c r="F67" s="242"/>
      <c r="G67" s="242"/>
      <c r="H67" s="242"/>
      <c r="I67" s="242"/>
      <c r="J67" s="242"/>
      <c r="K67" s="242"/>
      <c r="L67" s="242"/>
      <c r="M67" s="242"/>
      <c r="N67" s="242"/>
      <c r="O67" s="242"/>
      <c r="P67" s="13"/>
      <c r="Q67" s="13"/>
      <c r="R67" s="13"/>
      <c r="S67" s="13"/>
      <c r="T67" s="13"/>
      <c r="U67" s="13"/>
      <c r="V67" s="13"/>
      <c r="W67" s="13"/>
      <c r="X67" s="13"/>
      <c r="Y67" s="13"/>
      <c r="Z67" s="13"/>
      <c r="AA67" s="13"/>
      <c r="AB67" s="13"/>
      <c r="AC67" s="13"/>
      <c r="AD67" s="13"/>
      <c r="AE67" s="13"/>
      <c r="AF67" s="242"/>
      <c r="AG67" s="242"/>
      <c r="AH67" s="242"/>
      <c r="AI67" s="242"/>
      <c r="AJ67" s="242"/>
      <c r="AK67" s="242"/>
      <c r="AL67" s="242"/>
      <c r="AM67" s="242"/>
      <c r="AN67" s="242"/>
      <c r="AO67" s="242"/>
      <c r="AP67" s="242"/>
    </row>
    <row r="68">
      <c r="A68" s="242"/>
      <c r="B68" s="242"/>
      <c r="C68" s="242"/>
      <c r="D68" s="242"/>
      <c r="E68" s="242"/>
      <c r="F68" s="242"/>
      <c r="G68" s="242"/>
      <c r="H68" s="242"/>
      <c r="I68" s="242"/>
      <c r="J68" s="242"/>
      <c r="K68" s="242"/>
      <c r="L68" s="242"/>
      <c r="M68" s="242"/>
      <c r="N68" s="242"/>
      <c r="O68" s="242"/>
      <c r="P68" s="13"/>
      <c r="Q68" s="13"/>
      <c r="R68" s="13"/>
      <c r="S68" s="13"/>
      <c r="T68" s="13"/>
      <c r="U68" s="13"/>
      <c r="V68" s="13"/>
      <c r="W68" s="13"/>
      <c r="X68" s="13"/>
      <c r="Y68" s="13"/>
      <c r="Z68" s="13"/>
      <c r="AA68" s="13"/>
      <c r="AB68" s="13"/>
      <c r="AC68" s="13"/>
      <c r="AD68" s="13"/>
      <c r="AE68" s="13"/>
      <c r="AF68" s="242"/>
      <c r="AG68" s="242"/>
      <c r="AH68" s="242"/>
      <c r="AI68" s="242"/>
      <c r="AJ68" s="242"/>
      <c r="AK68" s="242"/>
      <c r="AL68" s="242"/>
      <c r="AM68" s="242"/>
      <c r="AN68" s="242"/>
      <c r="AO68" s="242"/>
      <c r="AP68" s="242"/>
    </row>
    <row r="69">
      <c r="A69" s="242"/>
      <c r="B69" s="242"/>
      <c r="C69" s="242"/>
      <c r="D69" s="242"/>
      <c r="E69" s="242"/>
      <c r="F69" s="242"/>
      <c r="G69" s="242"/>
      <c r="H69" s="242"/>
      <c r="I69" s="242"/>
      <c r="J69" s="242"/>
      <c r="K69" s="242"/>
      <c r="L69" s="242"/>
      <c r="M69" s="242"/>
      <c r="N69" s="242"/>
      <c r="O69" s="242"/>
      <c r="P69" s="13"/>
      <c r="Q69" s="13"/>
      <c r="R69" s="13"/>
      <c r="S69" s="13"/>
      <c r="T69" s="13"/>
      <c r="U69" s="13"/>
      <c r="V69" s="13"/>
      <c r="W69" s="13"/>
      <c r="X69" s="13"/>
      <c r="Y69" s="13"/>
      <c r="Z69" s="13"/>
      <c r="AA69" s="13"/>
      <c r="AB69" s="13"/>
      <c r="AC69" s="13"/>
      <c r="AD69" s="13"/>
      <c r="AE69" s="13"/>
      <c r="AF69" s="242"/>
      <c r="AG69" s="242"/>
      <c r="AH69" s="242"/>
      <c r="AI69" s="242"/>
      <c r="AJ69" s="242"/>
      <c r="AK69" s="242"/>
      <c r="AL69" s="242"/>
      <c r="AM69" s="242"/>
      <c r="AN69" s="242"/>
      <c r="AO69" s="242"/>
      <c r="AP69" s="242"/>
    </row>
    <row r="70">
      <c r="A70" s="242"/>
      <c r="B70" s="242"/>
      <c r="C70" s="242"/>
      <c r="D70" s="242"/>
      <c r="E70" s="242"/>
      <c r="F70" s="242"/>
      <c r="G70" s="242"/>
      <c r="H70" s="242"/>
      <c r="I70" s="242"/>
      <c r="J70" s="242"/>
      <c r="K70" s="242"/>
      <c r="L70" s="242"/>
      <c r="M70" s="242"/>
      <c r="N70" s="242"/>
      <c r="O70" s="242"/>
      <c r="P70" s="13"/>
      <c r="Q70" s="13"/>
      <c r="R70" s="13"/>
      <c r="S70" s="13"/>
      <c r="T70" s="13"/>
      <c r="U70" s="13"/>
      <c r="V70" s="13"/>
      <c r="W70" s="13"/>
      <c r="X70" s="13"/>
      <c r="Y70" s="13"/>
      <c r="Z70" s="13"/>
      <c r="AA70" s="13"/>
      <c r="AB70" s="13"/>
      <c r="AC70" s="13"/>
      <c r="AD70" s="13"/>
      <c r="AE70" s="13"/>
      <c r="AF70" s="242"/>
      <c r="AG70" s="242"/>
      <c r="AH70" s="242"/>
      <c r="AI70" s="242"/>
      <c r="AJ70" s="242"/>
      <c r="AK70" s="242"/>
      <c r="AL70" s="242"/>
      <c r="AM70" s="242"/>
      <c r="AN70" s="242"/>
      <c r="AO70" s="242"/>
      <c r="AP70" s="242"/>
    </row>
    <row r="71">
      <c r="A71" s="242"/>
      <c r="B71" s="242"/>
      <c r="C71" s="242"/>
      <c r="D71" s="242"/>
      <c r="E71" s="242"/>
      <c r="F71" s="242"/>
      <c r="G71" s="242"/>
      <c r="H71" s="242"/>
      <c r="I71" s="242"/>
      <c r="J71" s="242"/>
      <c r="K71" s="242"/>
      <c r="L71" s="242"/>
      <c r="M71" s="242"/>
      <c r="N71" s="242"/>
      <c r="O71" s="242"/>
      <c r="P71" s="13"/>
      <c r="Q71" s="13"/>
      <c r="R71" s="13"/>
      <c r="S71" s="13"/>
      <c r="T71" s="13"/>
      <c r="U71" s="13"/>
      <c r="V71" s="13"/>
      <c r="W71" s="13"/>
      <c r="X71" s="13"/>
      <c r="Y71" s="13"/>
      <c r="Z71" s="13"/>
      <c r="AA71" s="13"/>
      <c r="AB71" s="13"/>
      <c r="AC71" s="13"/>
      <c r="AD71" s="13"/>
      <c r="AE71" s="13"/>
      <c r="AF71" s="242"/>
      <c r="AG71" s="242"/>
      <c r="AH71" s="242"/>
      <c r="AI71" s="242"/>
      <c r="AJ71" s="242"/>
      <c r="AK71" s="242"/>
      <c r="AL71" s="242"/>
      <c r="AM71" s="242"/>
      <c r="AN71" s="242"/>
      <c r="AO71" s="242"/>
      <c r="AP71" s="242"/>
    </row>
    <row r="72">
      <c r="A72" s="242"/>
      <c r="B72" s="242"/>
      <c r="C72" s="242"/>
      <c r="D72" s="242"/>
      <c r="E72" s="242"/>
      <c r="F72" s="242"/>
      <c r="G72" s="242"/>
      <c r="H72" s="242"/>
      <c r="I72" s="242"/>
      <c r="J72" s="242"/>
      <c r="K72" s="242"/>
      <c r="L72" s="242"/>
      <c r="M72" s="242"/>
      <c r="N72" s="242"/>
      <c r="O72" s="242"/>
      <c r="P72" s="13"/>
      <c r="Q72" s="13"/>
      <c r="R72" s="13"/>
      <c r="S72" s="13"/>
      <c r="T72" s="13"/>
      <c r="U72" s="13"/>
      <c r="V72" s="13"/>
      <c r="W72" s="13"/>
      <c r="X72" s="13"/>
      <c r="Y72" s="13"/>
      <c r="Z72" s="13"/>
      <c r="AA72" s="13"/>
      <c r="AB72" s="13"/>
      <c r="AC72" s="13"/>
      <c r="AD72" s="13"/>
      <c r="AE72" s="13"/>
      <c r="AF72" s="242"/>
      <c r="AG72" s="242"/>
      <c r="AH72" s="242"/>
      <c r="AI72" s="242"/>
      <c r="AJ72" s="242"/>
      <c r="AK72" s="242"/>
      <c r="AL72" s="242"/>
      <c r="AM72" s="242"/>
      <c r="AN72" s="242"/>
      <c r="AO72" s="242"/>
      <c r="AP72" s="242"/>
    </row>
    <row r="73">
      <c r="A73" s="242"/>
      <c r="B73" s="242"/>
      <c r="C73" s="242"/>
      <c r="D73" s="242"/>
      <c r="E73" s="242"/>
      <c r="F73" s="242"/>
      <c r="G73" s="242"/>
      <c r="H73" s="242"/>
      <c r="I73" s="242"/>
      <c r="J73" s="242"/>
      <c r="K73" s="242"/>
      <c r="L73" s="242"/>
      <c r="M73" s="242"/>
      <c r="N73" s="242"/>
      <c r="O73" s="242"/>
      <c r="P73" s="13"/>
      <c r="Q73" s="13"/>
      <c r="R73" s="13"/>
      <c r="S73" s="13"/>
      <c r="T73" s="13"/>
      <c r="U73" s="13"/>
      <c r="V73" s="13"/>
      <c r="W73" s="13"/>
      <c r="X73" s="13"/>
      <c r="Y73" s="13"/>
      <c r="Z73" s="13"/>
      <c r="AA73" s="13"/>
      <c r="AB73" s="13"/>
      <c r="AC73" s="13"/>
      <c r="AD73" s="13"/>
      <c r="AE73" s="13"/>
      <c r="AF73" s="242"/>
      <c r="AG73" s="242"/>
      <c r="AH73" s="242"/>
      <c r="AI73" s="242"/>
      <c r="AJ73" s="242"/>
      <c r="AK73" s="242"/>
      <c r="AL73" s="242"/>
      <c r="AM73" s="242"/>
      <c r="AN73" s="242"/>
      <c r="AO73" s="242"/>
      <c r="AP73" s="242"/>
    </row>
    <row r="74">
      <c r="A74" s="242"/>
      <c r="B74" s="242"/>
      <c r="C74" s="242"/>
      <c r="D74" s="242"/>
      <c r="E74" s="242"/>
      <c r="F74" s="242"/>
      <c r="G74" s="242"/>
      <c r="H74" s="242"/>
      <c r="I74" s="242"/>
      <c r="J74" s="242"/>
      <c r="K74" s="242"/>
      <c r="L74" s="242"/>
      <c r="M74" s="242"/>
      <c r="N74" s="242"/>
      <c r="O74" s="242"/>
      <c r="P74" s="13"/>
      <c r="Q74" s="13"/>
      <c r="R74" s="13"/>
      <c r="S74" s="13"/>
      <c r="T74" s="13"/>
      <c r="U74" s="13"/>
      <c r="V74" s="13"/>
      <c r="W74" s="13"/>
      <c r="X74" s="13"/>
      <c r="Y74" s="13"/>
      <c r="Z74" s="13"/>
      <c r="AA74" s="13"/>
      <c r="AB74" s="13"/>
      <c r="AC74" s="13"/>
      <c r="AD74" s="13"/>
      <c r="AE74" s="13"/>
      <c r="AF74" s="242"/>
      <c r="AG74" s="242"/>
      <c r="AH74" s="242"/>
      <c r="AI74" s="242"/>
      <c r="AJ74" s="242"/>
      <c r="AK74" s="242"/>
      <c r="AL74" s="242"/>
      <c r="AM74" s="242"/>
      <c r="AN74" s="242"/>
      <c r="AO74" s="242"/>
      <c r="AP74" s="242"/>
    </row>
    <row r="75">
      <c r="A75" s="242"/>
      <c r="B75" s="242"/>
      <c r="C75" s="242"/>
      <c r="D75" s="242"/>
      <c r="E75" s="242"/>
      <c r="F75" s="242"/>
      <c r="G75" s="242"/>
      <c r="H75" s="242"/>
      <c r="I75" s="242"/>
      <c r="J75" s="242"/>
      <c r="K75" s="242"/>
      <c r="L75" s="242"/>
      <c r="M75" s="242"/>
      <c r="N75" s="242"/>
      <c r="O75" s="242"/>
      <c r="P75" s="13"/>
      <c r="Q75" s="13"/>
      <c r="R75" s="13"/>
      <c r="S75" s="13"/>
      <c r="T75" s="13"/>
      <c r="U75" s="13"/>
      <c r="V75" s="13"/>
      <c r="W75" s="13"/>
      <c r="X75" s="13"/>
      <c r="Y75" s="13"/>
      <c r="Z75" s="13"/>
      <c r="AA75" s="13"/>
      <c r="AB75" s="13"/>
      <c r="AC75" s="13"/>
      <c r="AD75" s="13"/>
      <c r="AE75" s="13"/>
      <c r="AF75" s="242"/>
      <c r="AG75" s="242"/>
      <c r="AH75" s="242"/>
      <c r="AI75" s="242"/>
      <c r="AJ75" s="242"/>
      <c r="AK75" s="242"/>
      <c r="AL75" s="242"/>
      <c r="AM75" s="242"/>
      <c r="AN75" s="242"/>
      <c r="AO75" s="242"/>
      <c r="AP75" s="242"/>
    </row>
    <row r="76">
      <c r="A76" s="242"/>
      <c r="B76" s="242"/>
      <c r="C76" s="242"/>
      <c r="D76" s="242"/>
      <c r="E76" s="242"/>
      <c r="F76" s="242"/>
      <c r="G76" s="242"/>
      <c r="H76" s="242"/>
      <c r="I76" s="242"/>
      <c r="J76" s="242"/>
      <c r="K76" s="242"/>
      <c r="L76" s="242"/>
      <c r="M76" s="242"/>
      <c r="N76" s="242"/>
      <c r="O76" s="242"/>
      <c r="P76" s="13"/>
      <c r="Q76" s="13"/>
      <c r="R76" s="13"/>
      <c r="S76" s="13"/>
      <c r="T76" s="13"/>
      <c r="U76" s="13"/>
      <c r="V76" s="13"/>
      <c r="W76" s="13"/>
      <c r="X76" s="13"/>
      <c r="Y76" s="13"/>
      <c r="Z76" s="13"/>
      <c r="AA76" s="13"/>
      <c r="AB76" s="13"/>
      <c r="AC76" s="13"/>
      <c r="AD76" s="13"/>
      <c r="AE76" s="13"/>
      <c r="AF76" s="242"/>
      <c r="AG76" s="242"/>
      <c r="AH76" s="242"/>
      <c r="AI76" s="242"/>
      <c r="AJ76" s="242"/>
      <c r="AK76" s="242"/>
      <c r="AL76" s="242"/>
      <c r="AM76" s="242"/>
      <c r="AN76" s="242"/>
      <c r="AO76" s="242"/>
      <c r="AP76" s="242"/>
    </row>
    <row r="77">
      <c r="A77" s="242"/>
      <c r="B77" s="242"/>
      <c r="C77" s="242"/>
      <c r="D77" s="242"/>
      <c r="E77" s="242"/>
      <c r="F77" s="242"/>
      <c r="G77" s="242"/>
      <c r="H77" s="242"/>
      <c r="I77" s="242"/>
      <c r="J77" s="242"/>
      <c r="K77" s="242"/>
      <c r="L77" s="242"/>
      <c r="M77" s="242"/>
      <c r="N77" s="242"/>
      <c r="O77" s="242"/>
      <c r="P77" s="13"/>
      <c r="Q77" s="13"/>
      <c r="R77" s="13"/>
      <c r="S77" s="13"/>
      <c r="T77" s="13"/>
      <c r="U77" s="13"/>
      <c r="V77" s="13"/>
      <c r="W77" s="13"/>
      <c r="X77" s="13"/>
      <c r="Y77" s="13"/>
      <c r="Z77" s="13"/>
      <c r="AA77" s="13"/>
      <c r="AB77" s="13"/>
      <c r="AC77" s="13"/>
      <c r="AD77" s="13"/>
      <c r="AE77" s="13"/>
      <c r="AF77" s="242"/>
      <c r="AG77" s="242"/>
      <c r="AH77" s="242"/>
      <c r="AI77" s="242"/>
      <c r="AJ77" s="242"/>
      <c r="AK77" s="242"/>
      <c r="AL77" s="242"/>
      <c r="AM77" s="242"/>
      <c r="AN77" s="242"/>
      <c r="AO77" s="242"/>
      <c r="AP77" s="242"/>
    </row>
    <row r="78">
      <c r="A78" s="242"/>
      <c r="B78" s="242"/>
      <c r="C78" s="242"/>
      <c r="D78" s="242"/>
      <c r="E78" s="242"/>
      <c r="F78" s="242"/>
      <c r="G78" s="242"/>
      <c r="H78" s="242"/>
      <c r="I78" s="242"/>
      <c r="J78" s="242"/>
      <c r="K78" s="242"/>
      <c r="L78" s="242"/>
      <c r="M78" s="242"/>
      <c r="N78" s="242"/>
      <c r="O78" s="242"/>
      <c r="P78" s="13"/>
      <c r="Q78" s="13"/>
      <c r="R78" s="13"/>
      <c r="S78" s="13"/>
      <c r="T78" s="13"/>
      <c r="U78" s="13"/>
      <c r="V78" s="13"/>
      <c r="W78" s="13"/>
      <c r="X78" s="13"/>
      <c r="Y78" s="13"/>
      <c r="Z78" s="13"/>
      <c r="AA78" s="13"/>
      <c r="AB78" s="13"/>
      <c r="AC78" s="13"/>
      <c r="AD78" s="13"/>
      <c r="AE78" s="13"/>
      <c r="AF78" s="242"/>
      <c r="AG78" s="242"/>
      <c r="AH78" s="242"/>
      <c r="AI78" s="242"/>
      <c r="AJ78" s="242"/>
      <c r="AK78" s="242"/>
      <c r="AL78" s="242"/>
      <c r="AM78" s="242"/>
      <c r="AN78" s="242"/>
      <c r="AO78" s="242"/>
      <c r="AP78" s="242"/>
    </row>
    <row r="79">
      <c r="A79" s="242"/>
      <c r="B79" s="242"/>
      <c r="C79" s="242"/>
      <c r="D79" s="242"/>
      <c r="E79" s="242"/>
      <c r="F79" s="242"/>
      <c r="G79" s="242"/>
      <c r="H79" s="242"/>
      <c r="I79" s="242"/>
      <c r="J79" s="242"/>
      <c r="K79" s="242"/>
      <c r="L79" s="242"/>
      <c r="M79" s="242"/>
      <c r="N79" s="242"/>
      <c r="O79" s="242"/>
      <c r="P79" s="13"/>
      <c r="Q79" s="13"/>
      <c r="R79" s="13"/>
      <c r="S79" s="13"/>
      <c r="T79" s="13"/>
      <c r="U79" s="13"/>
      <c r="V79" s="13"/>
      <c r="W79" s="13"/>
      <c r="X79" s="13"/>
      <c r="Y79" s="13"/>
      <c r="Z79" s="13"/>
      <c r="AA79" s="13"/>
      <c r="AB79" s="13"/>
      <c r="AC79" s="13"/>
      <c r="AD79" s="13"/>
      <c r="AE79" s="13"/>
      <c r="AF79" s="242"/>
      <c r="AG79" s="242"/>
      <c r="AH79" s="242"/>
      <c r="AI79" s="242"/>
      <c r="AJ79" s="242"/>
      <c r="AK79" s="242"/>
      <c r="AL79" s="242"/>
      <c r="AM79" s="242"/>
      <c r="AN79" s="242"/>
      <c r="AO79" s="242"/>
      <c r="AP79" s="242"/>
    </row>
    <row r="80">
      <c r="A80" s="242"/>
      <c r="B80" s="242"/>
      <c r="C80" s="242"/>
      <c r="D80" s="242"/>
      <c r="E80" s="242"/>
      <c r="F80" s="242"/>
      <c r="G80" s="242"/>
      <c r="H80" s="242"/>
      <c r="I80" s="242"/>
      <c r="J80" s="242"/>
      <c r="K80" s="242"/>
      <c r="L80" s="242"/>
      <c r="M80" s="242"/>
      <c r="N80" s="242"/>
      <c r="O80" s="242"/>
      <c r="P80" s="13"/>
      <c r="Q80" s="13"/>
      <c r="R80" s="13"/>
      <c r="S80" s="13"/>
      <c r="T80" s="13"/>
      <c r="U80" s="13"/>
      <c r="V80" s="13"/>
      <c r="W80" s="13"/>
      <c r="X80" s="13"/>
      <c r="Y80" s="13"/>
      <c r="Z80" s="13"/>
      <c r="AA80" s="13"/>
      <c r="AB80" s="13"/>
      <c r="AC80" s="13"/>
      <c r="AD80" s="13"/>
      <c r="AE80" s="13"/>
      <c r="AF80" s="242"/>
      <c r="AG80" s="242"/>
      <c r="AH80" s="242"/>
      <c r="AI80" s="242"/>
      <c r="AJ80" s="242"/>
      <c r="AK80" s="242"/>
      <c r="AL80" s="242"/>
      <c r="AM80" s="242"/>
      <c r="AN80" s="242"/>
      <c r="AO80" s="242"/>
      <c r="AP80" s="242"/>
    </row>
    <row r="81">
      <c r="A81" s="242"/>
      <c r="B81" s="242"/>
      <c r="C81" s="242"/>
      <c r="D81" s="242"/>
      <c r="E81" s="242"/>
      <c r="F81" s="242"/>
      <c r="G81" s="242"/>
      <c r="H81" s="242"/>
      <c r="I81" s="242"/>
      <c r="J81" s="242"/>
      <c r="K81" s="242"/>
      <c r="L81" s="242"/>
      <c r="M81" s="242"/>
      <c r="N81" s="242"/>
      <c r="O81" s="242"/>
      <c r="P81" s="13"/>
      <c r="Q81" s="13"/>
      <c r="R81" s="13"/>
      <c r="S81" s="13"/>
      <c r="T81" s="13"/>
      <c r="U81" s="13"/>
      <c r="V81" s="13"/>
      <c r="W81" s="13"/>
      <c r="X81" s="13"/>
      <c r="Y81" s="13"/>
      <c r="Z81" s="13"/>
      <c r="AA81" s="13"/>
      <c r="AB81" s="13"/>
      <c r="AC81" s="13"/>
      <c r="AD81" s="13"/>
      <c r="AE81" s="13"/>
      <c r="AF81" s="242"/>
      <c r="AG81" s="242"/>
      <c r="AH81" s="242"/>
      <c r="AI81" s="242"/>
      <c r="AJ81" s="242"/>
      <c r="AK81" s="242"/>
      <c r="AL81" s="242"/>
      <c r="AM81" s="242"/>
      <c r="AN81" s="242"/>
      <c r="AO81" s="242"/>
      <c r="AP81" s="242"/>
    </row>
    <row r="82">
      <c r="A82" s="242"/>
      <c r="B82" s="242"/>
      <c r="C82" s="242"/>
      <c r="D82" s="242"/>
      <c r="E82" s="242"/>
      <c r="F82" s="242"/>
      <c r="G82" s="242"/>
      <c r="H82" s="242"/>
      <c r="I82" s="242"/>
      <c r="J82" s="242"/>
      <c r="K82" s="242"/>
      <c r="L82" s="242"/>
      <c r="M82" s="242"/>
      <c r="N82" s="242"/>
      <c r="O82" s="242"/>
      <c r="P82" s="13"/>
      <c r="Q82" s="13"/>
      <c r="R82" s="13"/>
      <c r="S82" s="13"/>
      <c r="T82" s="13"/>
      <c r="U82" s="13"/>
      <c r="V82" s="13"/>
      <c r="W82" s="13"/>
      <c r="X82" s="13"/>
      <c r="Y82" s="13"/>
      <c r="Z82" s="13"/>
      <c r="AA82" s="13"/>
      <c r="AB82" s="13"/>
      <c r="AC82" s="13"/>
      <c r="AD82" s="13"/>
      <c r="AE82" s="13"/>
      <c r="AF82" s="242"/>
      <c r="AG82" s="242"/>
      <c r="AH82" s="242"/>
      <c r="AI82" s="242"/>
      <c r="AJ82" s="242"/>
      <c r="AK82" s="242"/>
      <c r="AL82" s="242"/>
      <c r="AM82" s="242"/>
      <c r="AN82" s="242"/>
      <c r="AO82" s="242"/>
      <c r="AP82" s="242"/>
    </row>
    <row r="83">
      <c r="A83" s="242"/>
      <c r="B83" s="242"/>
      <c r="C83" s="242"/>
      <c r="D83" s="242"/>
      <c r="E83" s="242"/>
      <c r="F83" s="242"/>
      <c r="G83" s="242"/>
      <c r="H83" s="242"/>
      <c r="I83" s="242"/>
      <c r="J83" s="242"/>
      <c r="K83" s="242"/>
      <c r="L83" s="242"/>
      <c r="M83" s="242"/>
      <c r="N83" s="242"/>
      <c r="O83" s="242"/>
      <c r="P83" s="13"/>
      <c r="Q83" s="13"/>
      <c r="R83" s="13"/>
      <c r="S83" s="13"/>
      <c r="T83" s="13"/>
      <c r="U83" s="13"/>
      <c r="V83" s="13"/>
      <c r="W83" s="13"/>
      <c r="X83" s="13"/>
      <c r="Y83" s="13"/>
      <c r="Z83" s="13"/>
      <c r="AA83" s="13"/>
      <c r="AB83" s="13"/>
      <c r="AC83" s="13"/>
      <c r="AD83" s="13"/>
      <c r="AE83" s="13"/>
      <c r="AF83" s="242"/>
      <c r="AG83" s="242"/>
      <c r="AH83" s="242"/>
      <c r="AI83" s="242"/>
      <c r="AJ83" s="242"/>
      <c r="AK83" s="242"/>
      <c r="AL83" s="242"/>
      <c r="AM83" s="242"/>
      <c r="AN83" s="242"/>
      <c r="AO83" s="242"/>
      <c r="AP83" s="242"/>
    </row>
    <row r="84">
      <c r="A84" s="242"/>
      <c r="B84" s="242"/>
      <c r="C84" s="242"/>
      <c r="D84" s="242"/>
      <c r="E84" s="242"/>
      <c r="F84" s="242"/>
      <c r="G84" s="242"/>
      <c r="H84" s="242"/>
      <c r="I84" s="242"/>
      <c r="J84" s="242"/>
      <c r="K84" s="242"/>
      <c r="L84" s="242"/>
      <c r="M84" s="242"/>
      <c r="N84" s="242"/>
      <c r="O84" s="242"/>
      <c r="P84" s="13"/>
      <c r="Q84" s="13"/>
      <c r="R84" s="13"/>
      <c r="S84" s="13"/>
      <c r="T84" s="13"/>
      <c r="U84" s="13"/>
      <c r="V84" s="13"/>
      <c r="W84" s="13"/>
      <c r="X84" s="13"/>
      <c r="Y84" s="13"/>
      <c r="Z84" s="13"/>
      <c r="AA84" s="13"/>
      <c r="AB84" s="13"/>
      <c r="AC84" s="13"/>
      <c r="AD84" s="13"/>
      <c r="AE84" s="13"/>
      <c r="AF84" s="242"/>
      <c r="AG84" s="242"/>
      <c r="AH84" s="242"/>
      <c r="AI84" s="242"/>
      <c r="AJ84" s="242"/>
      <c r="AK84" s="242"/>
      <c r="AL84" s="242"/>
      <c r="AM84" s="242"/>
      <c r="AN84" s="242"/>
      <c r="AO84" s="242"/>
      <c r="AP84" s="242"/>
    </row>
    <row r="85">
      <c r="A85" s="242"/>
      <c r="B85" s="242"/>
      <c r="C85" s="242"/>
      <c r="D85" s="242"/>
      <c r="E85" s="242"/>
      <c r="F85" s="242"/>
      <c r="G85" s="242"/>
      <c r="H85" s="242"/>
      <c r="I85" s="242"/>
      <c r="J85" s="242"/>
      <c r="K85" s="242"/>
      <c r="L85" s="242"/>
      <c r="M85" s="242"/>
      <c r="N85" s="242"/>
      <c r="O85" s="242"/>
      <c r="P85" s="13"/>
      <c r="Q85" s="13"/>
      <c r="R85" s="13"/>
      <c r="S85" s="13"/>
      <c r="T85" s="13"/>
      <c r="U85" s="13"/>
      <c r="V85" s="13"/>
      <c r="W85" s="13"/>
      <c r="X85" s="13"/>
      <c r="Y85" s="13"/>
      <c r="Z85" s="13"/>
      <c r="AA85" s="13"/>
      <c r="AB85" s="13"/>
      <c r="AC85" s="13"/>
      <c r="AD85" s="13"/>
      <c r="AE85" s="13"/>
      <c r="AF85" s="242"/>
      <c r="AG85" s="242"/>
      <c r="AH85" s="242"/>
      <c r="AI85" s="242"/>
      <c r="AJ85" s="242"/>
      <c r="AK85" s="242"/>
      <c r="AL85" s="242"/>
      <c r="AM85" s="242"/>
      <c r="AN85" s="242"/>
      <c r="AO85" s="242"/>
      <c r="AP85" s="242"/>
    </row>
    <row r="86">
      <c r="A86" s="242"/>
      <c r="B86" s="242"/>
      <c r="C86" s="242"/>
      <c r="D86" s="242"/>
      <c r="E86" s="242"/>
      <c r="F86" s="242"/>
      <c r="G86" s="242"/>
      <c r="H86" s="242"/>
      <c r="I86" s="242"/>
      <c r="J86" s="242"/>
      <c r="K86" s="242"/>
      <c r="L86" s="242"/>
      <c r="M86" s="242"/>
      <c r="N86" s="242"/>
      <c r="O86" s="242"/>
      <c r="P86" s="13"/>
      <c r="Q86" s="13"/>
      <c r="R86" s="13"/>
      <c r="S86" s="13"/>
      <c r="T86" s="13"/>
      <c r="U86" s="13"/>
      <c r="V86" s="13"/>
      <c r="W86" s="13"/>
      <c r="X86" s="13"/>
      <c r="Y86" s="13"/>
      <c r="Z86" s="13"/>
      <c r="AA86" s="13"/>
      <c r="AB86" s="13"/>
      <c r="AC86" s="13"/>
      <c r="AD86" s="13"/>
      <c r="AE86" s="13"/>
      <c r="AF86" s="242"/>
      <c r="AG86" s="242"/>
      <c r="AH86" s="242"/>
      <c r="AI86" s="242"/>
      <c r="AJ86" s="242"/>
      <c r="AK86" s="242"/>
      <c r="AL86" s="242"/>
      <c r="AM86" s="242"/>
      <c r="AN86" s="242"/>
      <c r="AO86" s="242"/>
      <c r="AP86" s="242"/>
    </row>
    <row r="87">
      <c r="A87" s="242"/>
      <c r="B87" s="242"/>
      <c r="C87" s="242"/>
      <c r="D87" s="242"/>
      <c r="E87" s="242"/>
      <c r="F87" s="242"/>
      <c r="G87" s="242"/>
      <c r="H87" s="242"/>
      <c r="I87" s="242"/>
      <c r="J87" s="242"/>
      <c r="K87" s="242"/>
      <c r="L87" s="242"/>
      <c r="M87" s="242"/>
      <c r="N87" s="242"/>
      <c r="O87" s="242"/>
      <c r="P87" s="13"/>
      <c r="Q87" s="13"/>
      <c r="R87" s="13"/>
      <c r="S87" s="13"/>
      <c r="T87" s="13"/>
      <c r="U87" s="13"/>
      <c r="V87" s="13"/>
      <c r="W87" s="13"/>
      <c r="X87" s="13"/>
      <c r="Y87" s="13"/>
      <c r="Z87" s="13"/>
      <c r="AA87" s="13"/>
      <c r="AB87" s="13"/>
      <c r="AC87" s="13"/>
      <c r="AD87" s="13"/>
      <c r="AE87" s="13"/>
      <c r="AF87" s="242"/>
      <c r="AG87" s="242"/>
      <c r="AH87" s="242"/>
      <c r="AI87" s="242"/>
      <c r="AJ87" s="242"/>
      <c r="AK87" s="242"/>
      <c r="AL87" s="242"/>
      <c r="AM87" s="242"/>
      <c r="AN87" s="242"/>
      <c r="AO87" s="242"/>
      <c r="AP87" s="242"/>
    </row>
    <row r="88">
      <c r="A88" s="242"/>
      <c r="B88" s="242"/>
      <c r="C88" s="242"/>
      <c r="D88" s="242"/>
      <c r="E88" s="242"/>
      <c r="F88" s="242"/>
      <c r="G88" s="242"/>
      <c r="H88" s="242"/>
      <c r="I88" s="242"/>
      <c r="J88" s="242"/>
      <c r="K88" s="242"/>
      <c r="L88" s="242"/>
      <c r="M88" s="242"/>
      <c r="N88" s="242"/>
      <c r="O88" s="242"/>
      <c r="P88" s="13"/>
      <c r="Q88" s="13"/>
      <c r="R88" s="13"/>
      <c r="S88" s="13"/>
      <c r="T88" s="13"/>
      <c r="U88" s="13"/>
      <c r="V88" s="13"/>
      <c r="W88" s="13"/>
      <c r="X88" s="13"/>
      <c r="Y88" s="13"/>
      <c r="Z88" s="13"/>
      <c r="AA88" s="13"/>
      <c r="AB88" s="13"/>
      <c r="AC88" s="13"/>
      <c r="AD88" s="13"/>
      <c r="AE88" s="13"/>
      <c r="AF88" s="242"/>
      <c r="AG88" s="242"/>
      <c r="AH88" s="242"/>
      <c r="AI88" s="242"/>
      <c r="AJ88" s="242"/>
      <c r="AK88" s="242"/>
      <c r="AL88" s="242"/>
      <c r="AM88" s="242"/>
      <c r="AN88" s="242"/>
      <c r="AO88" s="242"/>
      <c r="AP88" s="242"/>
    </row>
    <row r="89">
      <c r="A89" s="242"/>
      <c r="B89" s="242"/>
      <c r="C89" s="242"/>
      <c r="D89" s="242"/>
      <c r="E89" s="242"/>
      <c r="F89" s="242"/>
      <c r="G89" s="242"/>
      <c r="H89" s="242"/>
      <c r="I89" s="242"/>
      <c r="J89" s="242"/>
      <c r="K89" s="242"/>
      <c r="L89" s="242"/>
      <c r="M89" s="242"/>
      <c r="N89" s="242"/>
      <c r="O89" s="242"/>
      <c r="P89" s="13"/>
      <c r="Q89" s="13"/>
      <c r="R89" s="13"/>
      <c r="S89" s="13"/>
      <c r="T89" s="13"/>
      <c r="U89" s="13"/>
      <c r="V89" s="13"/>
      <c r="W89" s="13"/>
      <c r="X89" s="13"/>
      <c r="Y89" s="13"/>
      <c r="Z89" s="13"/>
      <c r="AA89" s="13"/>
      <c r="AB89" s="13"/>
      <c r="AC89" s="13"/>
      <c r="AD89" s="13"/>
      <c r="AE89" s="13"/>
      <c r="AF89" s="242"/>
      <c r="AG89" s="242"/>
      <c r="AH89" s="242"/>
      <c r="AI89" s="242"/>
      <c r="AJ89" s="242"/>
      <c r="AK89" s="242"/>
      <c r="AL89" s="242"/>
      <c r="AM89" s="242"/>
      <c r="AN89" s="242"/>
      <c r="AO89" s="242"/>
      <c r="AP89" s="242"/>
    </row>
    <row r="90">
      <c r="A90" s="242"/>
      <c r="B90" s="242"/>
      <c r="C90" s="242"/>
      <c r="D90" s="242"/>
      <c r="E90" s="242"/>
      <c r="F90" s="242"/>
      <c r="G90" s="242"/>
      <c r="H90" s="242"/>
      <c r="I90" s="242"/>
      <c r="J90" s="242"/>
      <c r="K90" s="242"/>
      <c r="L90" s="242"/>
      <c r="M90" s="242"/>
      <c r="N90" s="242"/>
      <c r="O90" s="242"/>
      <c r="P90" s="13"/>
      <c r="Q90" s="13"/>
      <c r="R90" s="13"/>
      <c r="S90" s="13"/>
      <c r="T90" s="13"/>
      <c r="U90" s="13"/>
      <c r="V90" s="13"/>
      <c r="W90" s="13"/>
      <c r="X90" s="13"/>
      <c r="Y90" s="13"/>
      <c r="Z90" s="13"/>
      <c r="AA90" s="13"/>
      <c r="AB90" s="13"/>
      <c r="AC90" s="13"/>
      <c r="AD90" s="13"/>
      <c r="AE90" s="13"/>
      <c r="AF90" s="242"/>
      <c r="AG90" s="242"/>
      <c r="AH90" s="242"/>
      <c r="AI90" s="242"/>
      <c r="AJ90" s="242"/>
      <c r="AK90" s="242"/>
      <c r="AL90" s="242"/>
      <c r="AM90" s="242"/>
      <c r="AN90" s="242"/>
      <c r="AO90" s="242"/>
      <c r="AP90" s="242"/>
    </row>
    <row r="91">
      <c r="A91" s="242"/>
      <c r="B91" s="242"/>
      <c r="C91" s="242"/>
      <c r="D91" s="242"/>
      <c r="E91" s="242"/>
      <c r="F91" s="242"/>
      <c r="G91" s="242"/>
      <c r="H91" s="242"/>
      <c r="I91" s="242"/>
      <c r="J91" s="242"/>
      <c r="K91" s="242"/>
      <c r="L91" s="242"/>
      <c r="M91" s="242"/>
      <c r="N91" s="242"/>
      <c r="O91" s="242"/>
      <c r="P91" s="13"/>
      <c r="Q91" s="13"/>
      <c r="R91" s="13"/>
      <c r="S91" s="13"/>
      <c r="T91" s="13"/>
      <c r="U91" s="13"/>
      <c r="V91" s="13"/>
      <c r="W91" s="13"/>
      <c r="X91" s="13"/>
      <c r="Y91" s="13"/>
      <c r="Z91" s="13"/>
      <c r="AA91" s="13"/>
      <c r="AB91" s="13"/>
      <c r="AC91" s="13"/>
      <c r="AD91" s="13"/>
      <c r="AE91" s="13"/>
      <c r="AF91" s="242"/>
      <c r="AG91" s="242"/>
      <c r="AH91" s="242"/>
      <c r="AI91" s="242"/>
      <c r="AJ91" s="242"/>
      <c r="AK91" s="242"/>
      <c r="AL91" s="242"/>
      <c r="AM91" s="242"/>
      <c r="AN91" s="242"/>
      <c r="AO91" s="242"/>
      <c r="AP91" s="242"/>
    </row>
    <row r="92">
      <c r="A92" s="242"/>
      <c r="B92" s="242"/>
      <c r="C92" s="242"/>
      <c r="D92" s="242"/>
      <c r="E92" s="242"/>
      <c r="F92" s="242"/>
      <c r="G92" s="242"/>
      <c r="H92" s="242"/>
      <c r="I92" s="242"/>
      <c r="J92" s="242"/>
      <c r="K92" s="242"/>
      <c r="L92" s="242"/>
      <c r="M92" s="242"/>
      <c r="N92" s="242"/>
      <c r="O92" s="242"/>
      <c r="P92" s="13"/>
      <c r="Q92" s="13"/>
      <c r="R92" s="13"/>
      <c r="S92" s="13"/>
      <c r="T92" s="13"/>
      <c r="U92" s="13"/>
      <c r="V92" s="13"/>
      <c r="W92" s="13"/>
      <c r="X92" s="13"/>
      <c r="Y92" s="13"/>
      <c r="Z92" s="13"/>
      <c r="AA92" s="13"/>
      <c r="AB92" s="13"/>
      <c r="AC92" s="13"/>
      <c r="AD92" s="13"/>
      <c r="AE92" s="13"/>
      <c r="AF92" s="242"/>
      <c r="AG92" s="242"/>
      <c r="AH92" s="242"/>
      <c r="AI92" s="242"/>
      <c r="AJ92" s="242"/>
      <c r="AK92" s="242"/>
      <c r="AL92" s="242"/>
      <c r="AM92" s="242"/>
      <c r="AN92" s="242"/>
      <c r="AO92" s="242"/>
      <c r="AP92" s="242"/>
    </row>
    <row r="93">
      <c r="A93" s="242"/>
      <c r="B93" s="242"/>
      <c r="C93" s="242"/>
      <c r="D93" s="242"/>
      <c r="E93" s="242"/>
      <c r="F93" s="242"/>
      <c r="G93" s="242"/>
      <c r="H93" s="242"/>
      <c r="I93" s="242"/>
      <c r="J93" s="242"/>
      <c r="K93" s="242"/>
      <c r="L93" s="242"/>
      <c r="M93" s="242"/>
      <c r="N93" s="242"/>
      <c r="O93" s="242"/>
      <c r="P93" s="13"/>
      <c r="Q93" s="13"/>
      <c r="R93" s="13"/>
      <c r="S93" s="13"/>
      <c r="T93" s="13"/>
      <c r="U93" s="13"/>
      <c r="V93" s="13"/>
      <c r="W93" s="13"/>
      <c r="X93" s="13"/>
      <c r="Y93" s="13"/>
      <c r="Z93" s="13"/>
      <c r="AA93" s="13"/>
      <c r="AB93" s="13"/>
      <c r="AC93" s="13"/>
      <c r="AD93" s="13"/>
      <c r="AE93" s="13"/>
      <c r="AF93" s="242"/>
      <c r="AG93" s="242"/>
      <c r="AH93" s="242"/>
      <c r="AI93" s="242"/>
      <c r="AJ93" s="242"/>
      <c r="AK93" s="242"/>
      <c r="AL93" s="242"/>
      <c r="AM93" s="242"/>
      <c r="AN93" s="242"/>
      <c r="AO93" s="242"/>
      <c r="AP93" s="242"/>
    </row>
    <row r="94">
      <c r="A94" s="242"/>
      <c r="B94" s="242"/>
      <c r="C94" s="242"/>
      <c r="D94" s="242"/>
      <c r="E94" s="242"/>
      <c r="F94" s="242"/>
      <c r="G94" s="242"/>
      <c r="H94" s="242"/>
      <c r="I94" s="242"/>
      <c r="J94" s="242"/>
      <c r="K94" s="242"/>
      <c r="L94" s="242"/>
      <c r="M94" s="242"/>
      <c r="N94" s="242"/>
      <c r="O94" s="242"/>
      <c r="P94" s="13"/>
      <c r="Q94" s="13"/>
      <c r="R94" s="13"/>
      <c r="S94" s="13"/>
      <c r="T94" s="13"/>
      <c r="U94" s="13"/>
      <c r="V94" s="13"/>
      <c r="W94" s="13"/>
      <c r="X94" s="13"/>
      <c r="Y94" s="13"/>
      <c r="Z94" s="13"/>
      <c r="AA94" s="13"/>
      <c r="AB94" s="13"/>
      <c r="AC94" s="13"/>
      <c r="AD94" s="13"/>
      <c r="AE94" s="13"/>
      <c r="AF94" s="242"/>
      <c r="AG94" s="242"/>
      <c r="AH94" s="242"/>
      <c r="AI94" s="242"/>
      <c r="AJ94" s="242"/>
      <c r="AK94" s="242"/>
      <c r="AL94" s="242"/>
      <c r="AM94" s="242"/>
      <c r="AN94" s="242"/>
      <c r="AO94" s="242"/>
      <c r="AP94" s="242"/>
    </row>
    <row r="95">
      <c r="A95" s="242"/>
      <c r="B95" s="242"/>
      <c r="C95" s="242"/>
      <c r="D95" s="242"/>
      <c r="E95" s="242"/>
      <c r="F95" s="242"/>
      <c r="G95" s="242"/>
      <c r="H95" s="242"/>
      <c r="I95" s="242"/>
      <c r="J95" s="242"/>
      <c r="K95" s="242"/>
      <c r="L95" s="242"/>
      <c r="M95" s="242"/>
      <c r="N95" s="242"/>
      <c r="O95" s="242"/>
      <c r="P95" s="13"/>
      <c r="Q95" s="13"/>
      <c r="R95" s="13"/>
      <c r="S95" s="13"/>
      <c r="T95" s="13"/>
      <c r="U95" s="13"/>
      <c r="V95" s="13"/>
      <c r="W95" s="13"/>
      <c r="X95" s="13"/>
      <c r="Y95" s="13"/>
      <c r="Z95" s="13"/>
      <c r="AA95" s="13"/>
      <c r="AB95" s="13"/>
      <c r="AC95" s="13"/>
      <c r="AD95" s="13"/>
      <c r="AE95" s="13"/>
      <c r="AF95" s="242"/>
      <c r="AG95" s="242"/>
      <c r="AH95" s="242"/>
      <c r="AI95" s="242"/>
      <c r="AJ95" s="242"/>
      <c r="AK95" s="242"/>
      <c r="AL95" s="242"/>
      <c r="AM95" s="242"/>
      <c r="AN95" s="242"/>
      <c r="AO95" s="242"/>
      <c r="AP95" s="242"/>
    </row>
    <row r="96">
      <c r="A96" s="242"/>
      <c r="B96" s="242"/>
      <c r="C96" s="242"/>
      <c r="D96" s="242"/>
      <c r="E96" s="242"/>
      <c r="F96" s="242"/>
      <c r="G96" s="242"/>
      <c r="H96" s="242"/>
      <c r="I96" s="242"/>
      <c r="J96" s="242"/>
      <c r="K96" s="242"/>
      <c r="L96" s="242"/>
      <c r="M96" s="242"/>
      <c r="N96" s="242"/>
      <c r="O96" s="242"/>
      <c r="P96" s="13"/>
      <c r="Q96" s="13"/>
      <c r="R96" s="13"/>
      <c r="S96" s="13"/>
      <c r="T96" s="13"/>
      <c r="U96" s="13"/>
      <c r="V96" s="13"/>
      <c r="W96" s="13"/>
      <c r="X96" s="13"/>
      <c r="Y96" s="13"/>
      <c r="Z96" s="13"/>
      <c r="AA96" s="13"/>
      <c r="AB96" s="13"/>
      <c r="AC96" s="13"/>
      <c r="AD96" s="13"/>
      <c r="AE96" s="13"/>
      <c r="AF96" s="242"/>
      <c r="AG96" s="242"/>
      <c r="AH96" s="242"/>
      <c r="AI96" s="242"/>
      <c r="AJ96" s="242"/>
      <c r="AK96" s="242"/>
      <c r="AL96" s="242"/>
      <c r="AM96" s="242"/>
      <c r="AN96" s="242"/>
      <c r="AO96" s="242"/>
      <c r="AP96" s="242"/>
    </row>
    <row r="97">
      <c r="A97" s="242"/>
      <c r="B97" s="242"/>
      <c r="C97" s="242"/>
      <c r="D97" s="242"/>
      <c r="E97" s="242"/>
      <c r="F97" s="242"/>
      <c r="G97" s="242"/>
      <c r="H97" s="242"/>
      <c r="I97" s="242"/>
      <c r="J97" s="242"/>
      <c r="K97" s="242"/>
      <c r="L97" s="242"/>
      <c r="M97" s="242"/>
      <c r="N97" s="242"/>
      <c r="O97" s="242"/>
      <c r="P97" s="13"/>
      <c r="Q97" s="13"/>
      <c r="R97" s="13"/>
      <c r="S97" s="13"/>
      <c r="T97" s="13"/>
      <c r="U97" s="13"/>
      <c r="V97" s="13"/>
      <c r="W97" s="13"/>
      <c r="X97" s="13"/>
      <c r="Y97" s="13"/>
      <c r="Z97" s="13"/>
      <c r="AA97" s="13"/>
      <c r="AB97" s="13"/>
      <c r="AC97" s="13"/>
      <c r="AD97" s="13"/>
      <c r="AE97" s="13"/>
      <c r="AF97" s="242"/>
      <c r="AG97" s="242"/>
      <c r="AH97" s="242"/>
      <c r="AI97" s="242"/>
      <c r="AJ97" s="242"/>
      <c r="AK97" s="242"/>
      <c r="AL97" s="242"/>
      <c r="AM97" s="242"/>
      <c r="AN97" s="242"/>
      <c r="AO97" s="242"/>
      <c r="AP97" s="242"/>
    </row>
    <row r="98">
      <c r="A98" s="242"/>
      <c r="B98" s="242"/>
      <c r="C98" s="242"/>
      <c r="D98" s="242"/>
      <c r="E98" s="242"/>
      <c r="F98" s="242"/>
      <c r="G98" s="242"/>
      <c r="H98" s="242"/>
      <c r="I98" s="242"/>
      <c r="J98" s="242"/>
      <c r="K98" s="242"/>
      <c r="L98" s="242"/>
      <c r="M98" s="242"/>
      <c r="N98" s="242"/>
      <c r="O98" s="242"/>
      <c r="P98" s="13"/>
      <c r="Q98" s="13"/>
      <c r="R98" s="13"/>
      <c r="S98" s="13"/>
      <c r="T98" s="13"/>
      <c r="U98" s="13"/>
      <c r="V98" s="13"/>
      <c r="W98" s="13"/>
      <c r="X98" s="13"/>
      <c r="Y98" s="13"/>
      <c r="Z98" s="13"/>
      <c r="AA98" s="13"/>
      <c r="AB98" s="13"/>
      <c r="AC98" s="13"/>
      <c r="AD98" s="13"/>
      <c r="AE98" s="13"/>
      <c r="AF98" s="242"/>
      <c r="AG98" s="242"/>
      <c r="AH98" s="242"/>
      <c r="AI98" s="242"/>
      <c r="AJ98" s="242"/>
      <c r="AK98" s="242"/>
      <c r="AL98" s="242"/>
      <c r="AM98" s="242"/>
      <c r="AN98" s="242"/>
      <c r="AO98" s="242"/>
      <c r="AP98" s="242"/>
    </row>
    <row r="99">
      <c r="A99" s="242"/>
      <c r="B99" s="242"/>
      <c r="C99" s="242"/>
      <c r="D99" s="242"/>
      <c r="E99" s="242"/>
      <c r="F99" s="242"/>
      <c r="G99" s="242"/>
      <c r="H99" s="242"/>
      <c r="I99" s="242"/>
      <c r="J99" s="242"/>
      <c r="K99" s="242"/>
      <c r="L99" s="242"/>
      <c r="M99" s="242"/>
      <c r="N99" s="242"/>
      <c r="O99" s="242"/>
      <c r="P99" s="13"/>
      <c r="Q99" s="13"/>
      <c r="R99" s="13"/>
      <c r="S99" s="13"/>
      <c r="T99" s="13"/>
      <c r="U99" s="13"/>
      <c r="V99" s="13"/>
      <c r="W99" s="13"/>
      <c r="X99" s="13"/>
      <c r="Y99" s="13"/>
      <c r="Z99" s="13"/>
      <c r="AA99" s="13"/>
      <c r="AB99" s="13"/>
      <c r="AC99" s="13"/>
      <c r="AD99" s="13"/>
      <c r="AE99" s="13"/>
      <c r="AF99" s="242"/>
      <c r="AG99" s="242"/>
      <c r="AH99" s="242"/>
      <c r="AI99" s="242"/>
      <c r="AJ99" s="242"/>
      <c r="AK99" s="242"/>
      <c r="AL99" s="242"/>
      <c r="AM99" s="242"/>
      <c r="AN99" s="242"/>
      <c r="AO99" s="242"/>
      <c r="AP99" s="242"/>
    </row>
    <row r="100">
      <c r="A100" s="242"/>
      <c r="B100" s="242"/>
      <c r="C100" s="242"/>
      <c r="D100" s="242"/>
      <c r="E100" s="242"/>
      <c r="F100" s="242"/>
      <c r="G100" s="242"/>
      <c r="H100" s="242"/>
      <c r="I100" s="242"/>
      <c r="J100" s="242"/>
      <c r="K100" s="242"/>
      <c r="L100" s="242"/>
      <c r="M100" s="242"/>
      <c r="N100" s="242"/>
      <c r="O100" s="242"/>
      <c r="P100" s="13"/>
      <c r="Q100" s="13"/>
      <c r="R100" s="13"/>
      <c r="S100" s="13"/>
      <c r="T100" s="13"/>
      <c r="U100" s="13"/>
      <c r="V100" s="13"/>
      <c r="W100" s="13"/>
      <c r="X100" s="13"/>
      <c r="Y100" s="13"/>
      <c r="Z100" s="13"/>
      <c r="AA100" s="13"/>
      <c r="AB100" s="13"/>
      <c r="AC100" s="13"/>
      <c r="AD100" s="13"/>
      <c r="AE100" s="13"/>
      <c r="AF100" s="242"/>
      <c r="AG100" s="242"/>
      <c r="AH100" s="242"/>
      <c r="AI100" s="242"/>
      <c r="AJ100" s="242"/>
      <c r="AK100" s="242"/>
      <c r="AL100" s="242"/>
      <c r="AM100" s="242"/>
      <c r="AN100" s="242"/>
      <c r="AO100" s="242"/>
      <c r="AP100" s="242"/>
    </row>
    <row r="101">
      <c r="A101" s="242"/>
      <c r="B101" s="242"/>
      <c r="C101" s="242"/>
      <c r="D101" s="242"/>
      <c r="E101" s="242"/>
      <c r="F101" s="242"/>
      <c r="G101" s="242"/>
      <c r="H101" s="242"/>
      <c r="I101" s="242"/>
      <c r="J101" s="242"/>
      <c r="K101" s="242"/>
      <c r="L101" s="242"/>
      <c r="M101" s="242"/>
      <c r="N101" s="242"/>
      <c r="O101" s="242"/>
      <c r="P101" s="13"/>
      <c r="Q101" s="13"/>
      <c r="R101" s="13"/>
      <c r="S101" s="13"/>
      <c r="T101" s="13"/>
      <c r="U101" s="13"/>
      <c r="V101" s="13"/>
      <c r="W101" s="13"/>
      <c r="X101" s="13"/>
      <c r="Y101" s="13"/>
      <c r="Z101" s="13"/>
      <c r="AA101" s="13"/>
      <c r="AB101" s="13"/>
      <c r="AC101" s="13"/>
      <c r="AD101" s="13"/>
      <c r="AE101" s="13"/>
      <c r="AF101" s="242"/>
      <c r="AG101" s="242"/>
      <c r="AH101" s="242"/>
      <c r="AI101" s="242"/>
      <c r="AJ101" s="242"/>
      <c r="AK101" s="242"/>
      <c r="AL101" s="242"/>
      <c r="AM101" s="242"/>
      <c r="AN101" s="242"/>
      <c r="AO101" s="242"/>
      <c r="AP101" s="242"/>
    </row>
    <row r="102">
      <c r="A102" s="242"/>
      <c r="B102" s="242"/>
      <c r="C102" s="242"/>
      <c r="D102" s="242"/>
      <c r="E102" s="242"/>
      <c r="F102" s="242"/>
      <c r="G102" s="242"/>
      <c r="H102" s="242"/>
      <c r="I102" s="242"/>
      <c r="J102" s="242"/>
      <c r="K102" s="242"/>
      <c r="L102" s="242"/>
      <c r="M102" s="242"/>
      <c r="N102" s="242"/>
      <c r="O102" s="242"/>
      <c r="P102" s="13"/>
      <c r="Q102" s="13"/>
      <c r="R102" s="13"/>
      <c r="S102" s="13"/>
      <c r="T102" s="13"/>
      <c r="U102" s="13"/>
      <c r="V102" s="13"/>
      <c r="W102" s="13"/>
      <c r="X102" s="13"/>
      <c r="Y102" s="13"/>
      <c r="Z102" s="13"/>
      <c r="AA102" s="13"/>
      <c r="AB102" s="13"/>
      <c r="AC102" s="13"/>
      <c r="AD102" s="13"/>
      <c r="AE102" s="13"/>
      <c r="AF102" s="242"/>
      <c r="AG102" s="242"/>
      <c r="AH102" s="242"/>
      <c r="AI102" s="242"/>
      <c r="AJ102" s="242"/>
      <c r="AK102" s="242"/>
      <c r="AL102" s="242"/>
      <c r="AM102" s="242"/>
      <c r="AN102" s="242"/>
      <c r="AO102" s="242"/>
      <c r="AP102" s="242"/>
    </row>
    <row r="103">
      <c r="A103" s="242"/>
      <c r="B103" s="242"/>
      <c r="C103" s="242"/>
      <c r="D103" s="242"/>
      <c r="E103" s="242"/>
      <c r="F103" s="242"/>
      <c r="G103" s="242"/>
      <c r="H103" s="242"/>
      <c r="I103" s="242"/>
      <c r="J103" s="242"/>
      <c r="K103" s="242"/>
      <c r="L103" s="242"/>
      <c r="M103" s="242"/>
      <c r="N103" s="242"/>
      <c r="O103" s="242"/>
      <c r="P103" s="13"/>
      <c r="Q103" s="13"/>
      <c r="R103" s="13"/>
      <c r="S103" s="13"/>
      <c r="T103" s="13"/>
      <c r="U103" s="13"/>
      <c r="V103" s="13"/>
      <c r="W103" s="13"/>
      <c r="X103" s="13"/>
      <c r="Y103" s="13"/>
      <c r="Z103" s="13"/>
      <c r="AA103" s="13"/>
      <c r="AB103" s="13"/>
      <c r="AC103" s="13"/>
      <c r="AD103" s="13"/>
      <c r="AE103" s="13"/>
      <c r="AF103" s="242"/>
      <c r="AG103" s="242"/>
      <c r="AH103" s="242"/>
      <c r="AI103" s="242"/>
      <c r="AJ103" s="242"/>
      <c r="AK103" s="242"/>
      <c r="AL103" s="242"/>
      <c r="AM103" s="242"/>
      <c r="AN103" s="242"/>
      <c r="AO103" s="242"/>
      <c r="AP103" s="242"/>
    </row>
    <row r="104">
      <c r="A104" s="242"/>
      <c r="B104" s="242"/>
      <c r="C104" s="242"/>
      <c r="D104" s="242"/>
      <c r="E104" s="242"/>
      <c r="F104" s="242"/>
      <c r="G104" s="242"/>
      <c r="H104" s="242"/>
      <c r="I104" s="242"/>
      <c r="J104" s="242"/>
      <c r="K104" s="242"/>
      <c r="L104" s="242"/>
      <c r="M104" s="242"/>
      <c r="N104" s="242"/>
      <c r="O104" s="242"/>
      <c r="P104" s="13"/>
      <c r="Q104" s="13"/>
      <c r="R104" s="13"/>
      <c r="S104" s="13"/>
      <c r="T104" s="13"/>
      <c r="U104" s="13"/>
      <c r="V104" s="13"/>
      <c r="W104" s="13"/>
      <c r="X104" s="13"/>
      <c r="Y104" s="13"/>
      <c r="Z104" s="13"/>
      <c r="AA104" s="13"/>
      <c r="AB104" s="13"/>
      <c r="AC104" s="13"/>
      <c r="AD104" s="13"/>
      <c r="AE104" s="13"/>
      <c r="AF104" s="242"/>
      <c r="AG104" s="242"/>
      <c r="AH104" s="242"/>
      <c r="AI104" s="242"/>
      <c r="AJ104" s="242"/>
      <c r="AK104" s="242"/>
      <c r="AL104" s="242"/>
      <c r="AM104" s="242"/>
      <c r="AN104" s="242"/>
      <c r="AO104" s="242"/>
      <c r="AP104" s="242"/>
    </row>
    <row r="105">
      <c r="A105" s="242"/>
      <c r="B105" s="242"/>
      <c r="C105" s="242"/>
      <c r="D105" s="242"/>
      <c r="E105" s="242"/>
      <c r="F105" s="242"/>
      <c r="G105" s="242"/>
      <c r="H105" s="242"/>
      <c r="I105" s="242"/>
      <c r="J105" s="242"/>
      <c r="K105" s="242"/>
      <c r="L105" s="242"/>
      <c r="M105" s="242"/>
      <c r="N105" s="242"/>
      <c r="O105" s="242"/>
      <c r="P105" s="13"/>
      <c r="Q105" s="13"/>
      <c r="R105" s="13"/>
      <c r="S105" s="13"/>
      <c r="T105" s="13"/>
      <c r="U105" s="13"/>
      <c r="V105" s="13"/>
      <c r="W105" s="13"/>
      <c r="X105" s="13"/>
      <c r="Y105" s="13"/>
      <c r="Z105" s="13"/>
      <c r="AA105" s="13"/>
      <c r="AB105" s="13"/>
      <c r="AC105" s="13"/>
      <c r="AD105" s="13"/>
      <c r="AE105" s="13"/>
      <c r="AF105" s="242"/>
      <c r="AG105" s="242"/>
      <c r="AH105" s="242"/>
      <c r="AI105" s="242"/>
      <c r="AJ105" s="242"/>
      <c r="AK105" s="242"/>
      <c r="AL105" s="242"/>
      <c r="AM105" s="242"/>
      <c r="AN105" s="242"/>
      <c r="AO105" s="242"/>
      <c r="AP105" s="242"/>
    </row>
    <row r="106">
      <c r="A106" s="242"/>
      <c r="B106" s="242"/>
      <c r="C106" s="242"/>
      <c r="D106" s="242"/>
      <c r="E106" s="242"/>
      <c r="F106" s="242"/>
      <c r="G106" s="242"/>
      <c r="H106" s="242"/>
      <c r="I106" s="242"/>
      <c r="J106" s="242"/>
      <c r="K106" s="242"/>
      <c r="L106" s="242"/>
      <c r="M106" s="242"/>
      <c r="N106" s="242"/>
      <c r="O106" s="242"/>
      <c r="P106" s="13"/>
      <c r="Q106" s="13"/>
      <c r="R106" s="13"/>
      <c r="S106" s="13"/>
      <c r="T106" s="13"/>
      <c r="U106" s="13"/>
      <c r="V106" s="13"/>
      <c r="W106" s="13"/>
      <c r="X106" s="13"/>
      <c r="Y106" s="13"/>
      <c r="Z106" s="13"/>
      <c r="AA106" s="13"/>
      <c r="AB106" s="13"/>
      <c r="AC106" s="13"/>
      <c r="AD106" s="13"/>
      <c r="AE106" s="13"/>
      <c r="AF106" s="242"/>
      <c r="AG106" s="242"/>
      <c r="AH106" s="242"/>
      <c r="AI106" s="242"/>
      <c r="AJ106" s="242"/>
      <c r="AK106" s="242"/>
      <c r="AL106" s="242"/>
      <c r="AM106" s="242"/>
      <c r="AN106" s="242"/>
      <c r="AO106" s="242"/>
      <c r="AP106" s="242"/>
    </row>
    <row r="107">
      <c r="A107" s="242"/>
      <c r="B107" s="242"/>
      <c r="C107" s="242"/>
      <c r="D107" s="242"/>
      <c r="E107" s="242"/>
      <c r="F107" s="242"/>
      <c r="G107" s="242"/>
      <c r="H107" s="242"/>
      <c r="I107" s="242"/>
      <c r="J107" s="242"/>
      <c r="K107" s="242"/>
      <c r="L107" s="242"/>
      <c r="M107" s="242"/>
      <c r="N107" s="242"/>
      <c r="O107" s="242"/>
      <c r="P107" s="13"/>
      <c r="Q107" s="13"/>
      <c r="R107" s="13"/>
      <c r="S107" s="13"/>
      <c r="T107" s="13"/>
      <c r="U107" s="13"/>
      <c r="V107" s="13"/>
      <c r="W107" s="13"/>
      <c r="X107" s="13"/>
      <c r="Y107" s="13"/>
      <c r="Z107" s="13"/>
      <c r="AA107" s="13"/>
      <c r="AB107" s="13"/>
      <c r="AC107" s="13"/>
      <c r="AD107" s="13"/>
      <c r="AE107" s="13"/>
      <c r="AF107" s="242"/>
      <c r="AG107" s="242"/>
      <c r="AH107" s="242"/>
      <c r="AI107" s="242"/>
      <c r="AJ107" s="242"/>
      <c r="AK107" s="242"/>
      <c r="AL107" s="242"/>
      <c r="AM107" s="242"/>
      <c r="AN107" s="242"/>
      <c r="AO107" s="242"/>
      <c r="AP107" s="242"/>
    </row>
    <row r="108">
      <c r="A108" s="242"/>
      <c r="B108" s="242"/>
      <c r="C108" s="242"/>
      <c r="D108" s="242"/>
      <c r="E108" s="242"/>
      <c r="F108" s="242"/>
      <c r="G108" s="242"/>
      <c r="H108" s="242"/>
      <c r="I108" s="242"/>
      <c r="J108" s="242"/>
      <c r="K108" s="242"/>
      <c r="L108" s="242"/>
      <c r="M108" s="242"/>
      <c r="N108" s="242"/>
      <c r="O108" s="242"/>
      <c r="P108" s="13"/>
      <c r="Q108" s="13"/>
      <c r="R108" s="13"/>
      <c r="S108" s="13"/>
      <c r="T108" s="13"/>
      <c r="U108" s="13"/>
      <c r="V108" s="13"/>
      <c r="W108" s="13"/>
      <c r="X108" s="13"/>
      <c r="Y108" s="13"/>
      <c r="Z108" s="13"/>
      <c r="AA108" s="13"/>
      <c r="AB108" s="13"/>
      <c r="AC108" s="13"/>
      <c r="AD108" s="13"/>
      <c r="AE108" s="13"/>
      <c r="AF108" s="242"/>
      <c r="AG108" s="242"/>
      <c r="AH108" s="242"/>
      <c r="AI108" s="242"/>
      <c r="AJ108" s="242"/>
      <c r="AK108" s="242"/>
      <c r="AL108" s="242"/>
      <c r="AM108" s="242"/>
      <c r="AN108" s="242"/>
      <c r="AO108" s="242"/>
      <c r="AP108" s="242"/>
    </row>
    <row r="109">
      <c r="A109" s="242"/>
      <c r="B109" s="242"/>
      <c r="C109" s="242"/>
      <c r="D109" s="242"/>
      <c r="E109" s="242"/>
      <c r="F109" s="242"/>
      <c r="G109" s="242"/>
      <c r="H109" s="242"/>
      <c r="I109" s="242"/>
      <c r="J109" s="242"/>
      <c r="K109" s="242"/>
      <c r="L109" s="242"/>
      <c r="M109" s="242"/>
      <c r="N109" s="242"/>
      <c r="O109" s="242"/>
      <c r="P109" s="13"/>
      <c r="Q109" s="13"/>
      <c r="R109" s="13"/>
      <c r="S109" s="13"/>
      <c r="T109" s="13"/>
      <c r="U109" s="13"/>
      <c r="V109" s="13"/>
      <c r="W109" s="13"/>
      <c r="X109" s="13"/>
      <c r="Y109" s="13"/>
      <c r="Z109" s="13"/>
      <c r="AA109" s="13"/>
      <c r="AB109" s="13"/>
      <c r="AC109" s="13"/>
      <c r="AD109" s="13"/>
      <c r="AE109" s="13"/>
      <c r="AF109" s="242"/>
      <c r="AG109" s="242"/>
      <c r="AH109" s="242"/>
      <c r="AI109" s="242"/>
      <c r="AJ109" s="242"/>
      <c r="AK109" s="242"/>
      <c r="AL109" s="242"/>
      <c r="AM109" s="242"/>
      <c r="AN109" s="242"/>
      <c r="AO109" s="242"/>
      <c r="AP109" s="242"/>
    </row>
    <row r="110">
      <c r="A110" s="242"/>
      <c r="B110" s="242"/>
      <c r="C110" s="242"/>
      <c r="D110" s="242"/>
      <c r="E110" s="242"/>
      <c r="F110" s="242"/>
      <c r="G110" s="242"/>
      <c r="H110" s="242"/>
      <c r="I110" s="242"/>
      <c r="J110" s="242"/>
      <c r="K110" s="242"/>
      <c r="L110" s="242"/>
      <c r="M110" s="242"/>
      <c r="N110" s="242"/>
      <c r="O110" s="242"/>
      <c r="P110" s="13"/>
      <c r="Q110" s="13"/>
      <c r="R110" s="13"/>
      <c r="S110" s="13"/>
      <c r="T110" s="13"/>
      <c r="U110" s="13"/>
      <c r="V110" s="13"/>
      <c r="W110" s="13"/>
      <c r="X110" s="13"/>
      <c r="Y110" s="13"/>
      <c r="Z110" s="13"/>
      <c r="AA110" s="13"/>
      <c r="AB110" s="13"/>
      <c r="AC110" s="13"/>
      <c r="AD110" s="13"/>
      <c r="AE110" s="13"/>
      <c r="AF110" s="242"/>
      <c r="AG110" s="242"/>
      <c r="AH110" s="242"/>
      <c r="AI110" s="242"/>
      <c r="AJ110" s="242"/>
      <c r="AK110" s="242"/>
      <c r="AL110" s="242"/>
      <c r="AM110" s="242"/>
      <c r="AN110" s="242"/>
      <c r="AO110" s="242"/>
      <c r="AP110" s="242"/>
    </row>
    <row r="111">
      <c r="A111" s="242"/>
      <c r="B111" s="242"/>
      <c r="C111" s="242"/>
      <c r="D111" s="242"/>
      <c r="E111" s="242"/>
      <c r="F111" s="242"/>
      <c r="G111" s="242"/>
      <c r="H111" s="242"/>
      <c r="I111" s="242"/>
      <c r="J111" s="242"/>
      <c r="K111" s="242"/>
      <c r="L111" s="242"/>
      <c r="M111" s="242"/>
      <c r="N111" s="242"/>
      <c r="O111" s="242"/>
      <c r="P111" s="13"/>
      <c r="Q111" s="13"/>
      <c r="R111" s="13"/>
      <c r="S111" s="13"/>
      <c r="T111" s="13"/>
      <c r="U111" s="13"/>
      <c r="V111" s="13"/>
      <c r="W111" s="13"/>
      <c r="X111" s="13"/>
      <c r="Y111" s="13"/>
      <c r="Z111" s="13"/>
      <c r="AA111" s="13"/>
      <c r="AB111" s="13"/>
      <c r="AC111" s="13"/>
      <c r="AD111" s="13"/>
      <c r="AE111" s="13"/>
      <c r="AF111" s="242"/>
      <c r="AG111" s="242"/>
      <c r="AH111" s="242"/>
      <c r="AI111" s="242"/>
      <c r="AJ111" s="242"/>
      <c r="AK111" s="242"/>
      <c r="AL111" s="242"/>
      <c r="AM111" s="242"/>
      <c r="AN111" s="242"/>
      <c r="AO111" s="242"/>
      <c r="AP111" s="242"/>
    </row>
    <row r="112">
      <c r="A112" s="242"/>
      <c r="B112" s="242"/>
      <c r="C112" s="242"/>
      <c r="D112" s="242"/>
      <c r="E112" s="242"/>
      <c r="F112" s="242"/>
      <c r="G112" s="242"/>
      <c r="H112" s="242"/>
      <c r="I112" s="242"/>
      <c r="J112" s="242"/>
      <c r="K112" s="242"/>
      <c r="L112" s="242"/>
      <c r="M112" s="242"/>
      <c r="N112" s="242"/>
      <c r="O112" s="242"/>
      <c r="P112" s="13"/>
      <c r="Q112" s="13"/>
      <c r="R112" s="13"/>
      <c r="S112" s="13"/>
      <c r="T112" s="13"/>
      <c r="U112" s="13"/>
      <c r="V112" s="13"/>
      <c r="W112" s="13"/>
      <c r="X112" s="13"/>
      <c r="Y112" s="13"/>
      <c r="Z112" s="13"/>
      <c r="AA112" s="13"/>
      <c r="AB112" s="13"/>
      <c r="AC112" s="13"/>
      <c r="AD112" s="13"/>
      <c r="AE112" s="13"/>
      <c r="AF112" s="242"/>
      <c r="AG112" s="242"/>
      <c r="AH112" s="242"/>
      <c r="AI112" s="242"/>
      <c r="AJ112" s="242"/>
      <c r="AK112" s="242"/>
      <c r="AL112" s="242"/>
      <c r="AM112" s="242"/>
      <c r="AN112" s="242"/>
      <c r="AO112" s="242"/>
      <c r="AP112" s="242"/>
    </row>
    <row r="113">
      <c r="A113" s="242"/>
      <c r="B113" s="242"/>
      <c r="C113" s="242"/>
      <c r="D113" s="242"/>
      <c r="E113" s="242"/>
      <c r="F113" s="242"/>
      <c r="G113" s="242"/>
      <c r="H113" s="242"/>
      <c r="I113" s="242"/>
      <c r="J113" s="242"/>
      <c r="K113" s="242"/>
      <c r="L113" s="242"/>
      <c r="M113" s="242"/>
      <c r="N113" s="242"/>
      <c r="O113" s="242"/>
      <c r="P113" s="13"/>
      <c r="Q113" s="13"/>
      <c r="R113" s="13"/>
      <c r="S113" s="13"/>
      <c r="T113" s="13"/>
      <c r="U113" s="13"/>
      <c r="V113" s="13"/>
      <c r="W113" s="13"/>
      <c r="X113" s="13"/>
      <c r="Y113" s="13"/>
      <c r="Z113" s="13"/>
      <c r="AA113" s="13"/>
      <c r="AB113" s="13"/>
      <c r="AC113" s="13"/>
      <c r="AD113" s="13"/>
      <c r="AE113" s="13"/>
      <c r="AF113" s="242"/>
      <c r="AG113" s="242"/>
      <c r="AH113" s="242"/>
      <c r="AI113" s="242"/>
      <c r="AJ113" s="242"/>
      <c r="AK113" s="242"/>
      <c r="AL113" s="242"/>
      <c r="AM113" s="242"/>
      <c r="AN113" s="242"/>
      <c r="AO113" s="242"/>
      <c r="AP113" s="242"/>
    </row>
    <row r="114">
      <c r="A114" s="242"/>
      <c r="B114" s="242"/>
      <c r="C114" s="242"/>
      <c r="D114" s="242"/>
      <c r="E114" s="242"/>
      <c r="F114" s="242"/>
      <c r="G114" s="242"/>
      <c r="H114" s="242"/>
      <c r="I114" s="242"/>
      <c r="J114" s="242"/>
      <c r="K114" s="242"/>
      <c r="L114" s="242"/>
      <c r="M114" s="242"/>
      <c r="N114" s="242"/>
      <c r="O114" s="242"/>
      <c r="P114" s="13"/>
      <c r="Q114" s="13"/>
      <c r="R114" s="13"/>
      <c r="S114" s="13"/>
      <c r="T114" s="13"/>
      <c r="U114" s="13"/>
      <c r="V114" s="13"/>
      <c r="W114" s="13"/>
      <c r="X114" s="13"/>
      <c r="Y114" s="13"/>
      <c r="Z114" s="13"/>
      <c r="AA114" s="13"/>
      <c r="AB114" s="13"/>
      <c r="AC114" s="13"/>
      <c r="AD114" s="13"/>
      <c r="AE114" s="13"/>
      <c r="AF114" s="242"/>
      <c r="AG114" s="242"/>
      <c r="AH114" s="242"/>
      <c r="AI114" s="242"/>
      <c r="AJ114" s="242"/>
      <c r="AK114" s="242"/>
      <c r="AL114" s="242"/>
      <c r="AM114" s="242"/>
      <c r="AN114" s="242"/>
      <c r="AO114" s="242"/>
      <c r="AP114" s="242"/>
    </row>
    <row r="115">
      <c r="A115" s="242"/>
      <c r="B115" s="242"/>
      <c r="C115" s="242"/>
      <c r="D115" s="242"/>
      <c r="E115" s="242"/>
      <c r="F115" s="242"/>
      <c r="G115" s="242"/>
      <c r="H115" s="242"/>
      <c r="I115" s="242"/>
      <c r="J115" s="242"/>
      <c r="K115" s="242"/>
      <c r="L115" s="242"/>
      <c r="M115" s="242"/>
      <c r="N115" s="242"/>
      <c r="O115" s="242"/>
      <c r="P115" s="13"/>
      <c r="Q115" s="13"/>
      <c r="R115" s="13"/>
      <c r="S115" s="13"/>
      <c r="T115" s="13"/>
      <c r="U115" s="13"/>
      <c r="V115" s="13"/>
      <c r="W115" s="13"/>
      <c r="X115" s="13"/>
      <c r="Y115" s="13"/>
      <c r="Z115" s="13"/>
      <c r="AA115" s="13"/>
      <c r="AB115" s="13"/>
      <c r="AC115" s="13"/>
      <c r="AD115" s="13"/>
      <c r="AE115" s="13"/>
      <c r="AF115" s="242"/>
      <c r="AG115" s="242"/>
      <c r="AH115" s="242"/>
      <c r="AI115" s="242"/>
      <c r="AJ115" s="242"/>
      <c r="AK115" s="242"/>
      <c r="AL115" s="242"/>
      <c r="AM115" s="242"/>
      <c r="AN115" s="242"/>
      <c r="AO115" s="242"/>
      <c r="AP115" s="242"/>
    </row>
    <row r="116">
      <c r="A116" s="242"/>
      <c r="B116" s="242"/>
      <c r="C116" s="242"/>
      <c r="D116" s="242"/>
      <c r="E116" s="242"/>
      <c r="F116" s="242"/>
      <c r="G116" s="242"/>
      <c r="H116" s="242"/>
      <c r="I116" s="242"/>
      <c r="J116" s="242"/>
      <c r="K116" s="242"/>
      <c r="L116" s="242"/>
      <c r="M116" s="242"/>
      <c r="N116" s="242"/>
      <c r="O116" s="242"/>
      <c r="P116" s="13"/>
      <c r="Q116" s="13"/>
      <c r="R116" s="13"/>
      <c r="S116" s="13"/>
      <c r="T116" s="13"/>
      <c r="U116" s="13"/>
      <c r="V116" s="13"/>
      <c r="W116" s="13"/>
      <c r="X116" s="13"/>
      <c r="Y116" s="13"/>
      <c r="Z116" s="13"/>
      <c r="AA116" s="13"/>
      <c r="AB116" s="13"/>
      <c r="AC116" s="13"/>
      <c r="AD116" s="13"/>
      <c r="AE116" s="13"/>
      <c r="AF116" s="242"/>
      <c r="AG116" s="242"/>
      <c r="AH116" s="242"/>
      <c r="AI116" s="242"/>
      <c r="AJ116" s="242"/>
      <c r="AK116" s="242"/>
      <c r="AL116" s="242"/>
      <c r="AM116" s="242"/>
      <c r="AN116" s="242"/>
      <c r="AO116" s="242"/>
      <c r="AP116" s="242"/>
    </row>
    <row r="117">
      <c r="A117" s="242"/>
      <c r="B117" s="242"/>
      <c r="C117" s="242"/>
      <c r="D117" s="242"/>
      <c r="E117" s="242"/>
      <c r="F117" s="242"/>
      <c r="G117" s="242"/>
      <c r="H117" s="242"/>
      <c r="I117" s="242"/>
      <c r="J117" s="242"/>
      <c r="K117" s="242"/>
      <c r="L117" s="242"/>
      <c r="M117" s="242"/>
      <c r="N117" s="242"/>
      <c r="O117" s="242"/>
      <c r="P117" s="13"/>
      <c r="Q117" s="13"/>
      <c r="R117" s="13"/>
      <c r="S117" s="13"/>
      <c r="T117" s="13"/>
      <c r="U117" s="13"/>
      <c r="V117" s="13"/>
      <c r="W117" s="13"/>
      <c r="X117" s="13"/>
      <c r="Y117" s="13"/>
      <c r="Z117" s="13"/>
      <c r="AA117" s="13"/>
      <c r="AB117" s="13"/>
      <c r="AC117" s="13"/>
      <c r="AD117" s="13"/>
      <c r="AE117" s="13"/>
      <c r="AF117" s="242"/>
      <c r="AG117" s="242"/>
      <c r="AH117" s="242"/>
      <c r="AI117" s="242"/>
      <c r="AJ117" s="242"/>
      <c r="AK117" s="242"/>
      <c r="AL117" s="242"/>
      <c r="AM117" s="242"/>
      <c r="AN117" s="242"/>
      <c r="AO117" s="242"/>
      <c r="AP117" s="242"/>
    </row>
    <row r="118">
      <c r="A118" s="242"/>
      <c r="B118" s="242"/>
      <c r="C118" s="242"/>
      <c r="D118" s="242"/>
      <c r="E118" s="242"/>
      <c r="F118" s="242"/>
      <c r="G118" s="242"/>
      <c r="H118" s="242"/>
      <c r="I118" s="242"/>
      <c r="J118" s="242"/>
      <c r="K118" s="242"/>
      <c r="L118" s="242"/>
      <c r="M118" s="242"/>
      <c r="N118" s="242"/>
      <c r="O118" s="242"/>
      <c r="P118" s="13"/>
      <c r="Q118" s="13"/>
      <c r="R118" s="13"/>
      <c r="S118" s="13"/>
      <c r="T118" s="13"/>
      <c r="U118" s="13"/>
      <c r="V118" s="13"/>
      <c r="W118" s="13"/>
      <c r="X118" s="13"/>
      <c r="Y118" s="13"/>
      <c r="Z118" s="13"/>
      <c r="AA118" s="13"/>
      <c r="AB118" s="13"/>
      <c r="AC118" s="13"/>
      <c r="AD118" s="13"/>
      <c r="AE118" s="13"/>
      <c r="AF118" s="242"/>
      <c r="AG118" s="242"/>
      <c r="AH118" s="242"/>
      <c r="AI118" s="242"/>
      <c r="AJ118" s="242"/>
      <c r="AK118" s="242"/>
      <c r="AL118" s="242"/>
      <c r="AM118" s="242"/>
      <c r="AN118" s="242"/>
      <c r="AO118" s="242"/>
      <c r="AP118" s="242"/>
    </row>
    <row r="119">
      <c r="A119" s="242"/>
      <c r="B119" s="242"/>
      <c r="C119" s="242"/>
      <c r="D119" s="242"/>
      <c r="E119" s="242"/>
      <c r="F119" s="242"/>
      <c r="G119" s="242"/>
      <c r="H119" s="242"/>
      <c r="I119" s="242"/>
      <c r="J119" s="242"/>
      <c r="K119" s="242"/>
      <c r="L119" s="242"/>
      <c r="M119" s="242"/>
      <c r="N119" s="242"/>
      <c r="O119" s="242"/>
      <c r="P119" s="13"/>
      <c r="Q119" s="13"/>
      <c r="R119" s="13"/>
      <c r="S119" s="13"/>
      <c r="T119" s="13"/>
      <c r="U119" s="13"/>
      <c r="V119" s="13"/>
      <c r="W119" s="13"/>
      <c r="X119" s="13"/>
      <c r="Y119" s="13"/>
      <c r="Z119" s="13"/>
      <c r="AA119" s="13"/>
      <c r="AB119" s="13"/>
      <c r="AC119" s="13"/>
      <c r="AD119" s="13"/>
      <c r="AE119" s="13"/>
      <c r="AF119" s="242"/>
      <c r="AG119" s="242"/>
      <c r="AH119" s="242"/>
      <c r="AI119" s="242"/>
      <c r="AJ119" s="242"/>
      <c r="AK119" s="242"/>
      <c r="AL119" s="242"/>
      <c r="AM119" s="242"/>
      <c r="AN119" s="242"/>
      <c r="AO119" s="242"/>
      <c r="AP119" s="242"/>
    </row>
    <row r="120">
      <c r="A120" s="242"/>
      <c r="B120" s="242"/>
      <c r="C120" s="242"/>
      <c r="D120" s="242"/>
      <c r="E120" s="242"/>
      <c r="F120" s="242"/>
      <c r="G120" s="242"/>
      <c r="H120" s="242"/>
      <c r="I120" s="242"/>
      <c r="J120" s="242"/>
      <c r="K120" s="242"/>
      <c r="L120" s="242"/>
      <c r="M120" s="242"/>
      <c r="N120" s="242"/>
      <c r="O120" s="242"/>
      <c r="P120" s="13"/>
      <c r="Q120" s="13"/>
      <c r="R120" s="13"/>
      <c r="S120" s="13"/>
      <c r="T120" s="13"/>
      <c r="U120" s="13"/>
      <c r="V120" s="13"/>
      <c r="W120" s="13"/>
      <c r="X120" s="13"/>
      <c r="Y120" s="13"/>
      <c r="Z120" s="13"/>
      <c r="AA120" s="13"/>
      <c r="AB120" s="13"/>
      <c r="AC120" s="13"/>
      <c r="AD120" s="13"/>
      <c r="AE120" s="13"/>
      <c r="AF120" s="242"/>
      <c r="AG120" s="242"/>
      <c r="AH120" s="242"/>
      <c r="AI120" s="242"/>
      <c r="AJ120" s="242"/>
      <c r="AK120" s="242"/>
      <c r="AL120" s="242"/>
      <c r="AM120" s="242"/>
      <c r="AN120" s="242"/>
      <c r="AO120" s="242"/>
      <c r="AP120" s="242"/>
    </row>
    <row r="121">
      <c r="A121" s="242"/>
      <c r="B121" s="242"/>
      <c r="C121" s="242"/>
      <c r="D121" s="242"/>
      <c r="E121" s="242"/>
      <c r="F121" s="242"/>
      <c r="G121" s="242"/>
      <c r="H121" s="242"/>
      <c r="I121" s="242"/>
      <c r="J121" s="242"/>
      <c r="K121" s="242"/>
      <c r="L121" s="242"/>
      <c r="M121" s="242"/>
      <c r="N121" s="242"/>
      <c r="O121" s="242"/>
      <c r="P121" s="13"/>
      <c r="Q121" s="13"/>
      <c r="R121" s="13"/>
      <c r="S121" s="13"/>
      <c r="T121" s="13"/>
      <c r="U121" s="13"/>
      <c r="V121" s="13"/>
      <c r="W121" s="13"/>
      <c r="X121" s="13"/>
      <c r="Y121" s="13"/>
      <c r="Z121" s="13"/>
      <c r="AA121" s="13"/>
      <c r="AB121" s="13"/>
      <c r="AC121" s="13"/>
      <c r="AD121" s="13"/>
      <c r="AE121" s="13"/>
      <c r="AF121" s="242"/>
      <c r="AG121" s="242"/>
      <c r="AH121" s="242"/>
      <c r="AI121" s="242"/>
      <c r="AJ121" s="242"/>
      <c r="AK121" s="242"/>
      <c r="AL121" s="242"/>
      <c r="AM121" s="242"/>
      <c r="AN121" s="242"/>
      <c r="AO121" s="242"/>
      <c r="AP121" s="242"/>
    </row>
    <row r="122">
      <c r="A122" s="242"/>
      <c r="B122" s="242"/>
      <c r="C122" s="242"/>
      <c r="D122" s="242"/>
      <c r="E122" s="242"/>
      <c r="F122" s="242"/>
      <c r="G122" s="242"/>
      <c r="H122" s="242"/>
      <c r="I122" s="242"/>
      <c r="J122" s="242"/>
      <c r="K122" s="242"/>
      <c r="L122" s="242"/>
      <c r="M122" s="242"/>
      <c r="N122" s="242"/>
      <c r="O122" s="242"/>
      <c r="P122" s="13"/>
      <c r="Q122" s="13"/>
      <c r="R122" s="13"/>
      <c r="S122" s="13"/>
      <c r="T122" s="13"/>
      <c r="U122" s="13"/>
      <c r="V122" s="13"/>
      <c r="W122" s="13"/>
      <c r="X122" s="13"/>
      <c r="Y122" s="13"/>
      <c r="Z122" s="13"/>
      <c r="AA122" s="13"/>
      <c r="AB122" s="13"/>
      <c r="AC122" s="13"/>
      <c r="AD122" s="13"/>
      <c r="AE122" s="13"/>
      <c r="AF122" s="242"/>
      <c r="AG122" s="242"/>
      <c r="AH122" s="242"/>
      <c r="AI122" s="242"/>
      <c r="AJ122" s="242"/>
      <c r="AK122" s="242"/>
      <c r="AL122" s="242"/>
      <c r="AM122" s="242"/>
      <c r="AN122" s="242"/>
      <c r="AO122" s="242"/>
      <c r="AP122" s="242"/>
    </row>
    <row r="123">
      <c r="A123" s="242"/>
      <c r="B123" s="242"/>
      <c r="C123" s="242"/>
      <c r="D123" s="242"/>
      <c r="E123" s="242"/>
      <c r="F123" s="242"/>
      <c r="G123" s="242"/>
      <c r="H123" s="242"/>
      <c r="I123" s="242"/>
      <c r="J123" s="242"/>
      <c r="K123" s="242"/>
      <c r="L123" s="242"/>
      <c r="M123" s="242"/>
      <c r="N123" s="242"/>
      <c r="O123" s="242"/>
      <c r="P123" s="13"/>
      <c r="Q123" s="13"/>
      <c r="R123" s="13"/>
      <c r="S123" s="13"/>
      <c r="T123" s="13"/>
      <c r="U123" s="13"/>
      <c r="V123" s="13"/>
      <c r="W123" s="13"/>
      <c r="X123" s="13"/>
      <c r="Y123" s="13"/>
      <c r="Z123" s="13"/>
      <c r="AA123" s="13"/>
      <c r="AB123" s="13"/>
      <c r="AC123" s="13"/>
      <c r="AD123" s="13"/>
      <c r="AE123" s="13"/>
      <c r="AF123" s="242"/>
      <c r="AG123" s="242"/>
      <c r="AH123" s="242"/>
      <c r="AI123" s="242"/>
      <c r="AJ123" s="242"/>
      <c r="AK123" s="242"/>
      <c r="AL123" s="242"/>
      <c r="AM123" s="242"/>
      <c r="AN123" s="242"/>
      <c r="AO123" s="242"/>
      <c r="AP123" s="242"/>
    </row>
    <row r="124">
      <c r="A124" s="242"/>
      <c r="B124" s="242"/>
      <c r="C124" s="242"/>
      <c r="D124" s="242"/>
      <c r="E124" s="242"/>
      <c r="F124" s="242"/>
      <c r="G124" s="242"/>
      <c r="H124" s="242"/>
      <c r="I124" s="242"/>
      <c r="J124" s="242"/>
      <c r="K124" s="242"/>
      <c r="L124" s="242"/>
      <c r="M124" s="242"/>
      <c r="N124" s="242"/>
      <c r="O124" s="242"/>
      <c r="P124" s="13"/>
      <c r="Q124" s="13"/>
      <c r="R124" s="13"/>
      <c r="S124" s="13"/>
      <c r="T124" s="13"/>
      <c r="U124" s="13"/>
      <c r="V124" s="13"/>
      <c r="W124" s="13"/>
      <c r="X124" s="13"/>
      <c r="Y124" s="13"/>
      <c r="Z124" s="13"/>
      <c r="AA124" s="13"/>
      <c r="AB124" s="13"/>
      <c r="AC124" s="13"/>
      <c r="AD124" s="13"/>
      <c r="AE124" s="13"/>
      <c r="AF124" s="242"/>
      <c r="AG124" s="242"/>
      <c r="AH124" s="242"/>
      <c r="AI124" s="242"/>
      <c r="AJ124" s="242"/>
      <c r="AK124" s="242"/>
      <c r="AL124" s="242"/>
      <c r="AM124" s="242"/>
      <c r="AN124" s="242"/>
      <c r="AO124" s="242"/>
      <c r="AP124" s="242"/>
    </row>
    <row r="125">
      <c r="A125" s="242"/>
      <c r="B125" s="242"/>
      <c r="C125" s="242"/>
      <c r="D125" s="242"/>
      <c r="E125" s="242"/>
      <c r="F125" s="242"/>
      <c r="G125" s="242"/>
      <c r="H125" s="242"/>
      <c r="I125" s="242"/>
      <c r="J125" s="242"/>
      <c r="K125" s="242"/>
      <c r="L125" s="242"/>
      <c r="M125" s="242"/>
      <c r="N125" s="242"/>
      <c r="O125" s="242"/>
      <c r="P125" s="13"/>
      <c r="Q125" s="13"/>
      <c r="R125" s="13"/>
      <c r="S125" s="13"/>
      <c r="T125" s="13"/>
      <c r="U125" s="13"/>
      <c r="V125" s="13"/>
      <c r="W125" s="13"/>
      <c r="X125" s="13"/>
      <c r="Y125" s="13"/>
      <c r="Z125" s="13"/>
      <c r="AA125" s="13"/>
      <c r="AB125" s="13"/>
      <c r="AC125" s="13"/>
      <c r="AD125" s="13"/>
      <c r="AE125" s="13"/>
      <c r="AF125" s="242"/>
      <c r="AG125" s="242"/>
      <c r="AH125" s="242"/>
      <c r="AI125" s="242"/>
      <c r="AJ125" s="242"/>
      <c r="AK125" s="242"/>
      <c r="AL125" s="242"/>
      <c r="AM125" s="242"/>
      <c r="AN125" s="242"/>
      <c r="AO125" s="242"/>
      <c r="AP125" s="242"/>
    </row>
    <row r="126">
      <c r="A126" s="242"/>
      <c r="B126" s="242"/>
      <c r="C126" s="242"/>
      <c r="D126" s="242"/>
      <c r="E126" s="242"/>
      <c r="F126" s="242"/>
      <c r="G126" s="242"/>
      <c r="H126" s="242"/>
      <c r="I126" s="242"/>
      <c r="J126" s="242"/>
      <c r="K126" s="242"/>
      <c r="L126" s="242"/>
      <c r="M126" s="242"/>
      <c r="N126" s="242"/>
      <c r="O126" s="242"/>
      <c r="P126" s="13"/>
      <c r="Q126" s="13"/>
      <c r="R126" s="13"/>
      <c r="S126" s="13"/>
      <c r="T126" s="13"/>
      <c r="U126" s="13"/>
      <c r="V126" s="13"/>
      <c r="W126" s="13"/>
      <c r="X126" s="13"/>
      <c r="Y126" s="13"/>
      <c r="Z126" s="13"/>
      <c r="AA126" s="13"/>
      <c r="AB126" s="13"/>
      <c r="AC126" s="13"/>
      <c r="AD126" s="13"/>
      <c r="AE126" s="13"/>
      <c r="AF126" s="242"/>
      <c r="AG126" s="242"/>
      <c r="AH126" s="242"/>
      <c r="AI126" s="242"/>
      <c r="AJ126" s="242"/>
      <c r="AK126" s="242"/>
      <c r="AL126" s="242"/>
      <c r="AM126" s="242"/>
      <c r="AN126" s="242"/>
      <c r="AO126" s="242"/>
      <c r="AP126" s="242"/>
    </row>
    <row r="127">
      <c r="A127" s="242"/>
      <c r="B127" s="242"/>
      <c r="C127" s="242"/>
      <c r="D127" s="242"/>
      <c r="E127" s="242"/>
      <c r="F127" s="242"/>
      <c r="G127" s="242"/>
      <c r="H127" s="242"/>
      <c r="I127" s="242"/>
      <c r="J127" s="242"/>
      <c r="K127" s="242"/>
      <c r="L127" s="242"/>
      <c r="M127" s="242"/>
      <c r="N127" s="242"/>
      <c r="O127" s="242"/>
      <c r="P127" s="13"/>
      <c r="Q127" s="13"/>
      <c r="R127" s="13"/>
      <c r="S127" s="13"/>
      <c r="T127" s="13"/>
      <c r="U127" s="13"/>
      <c r="V127" s="13"/>
      <c r="W127" s="13"/>
      <c r="X127" s="13"/>
      <c r="Y127" s="13"/>
      <c r="Z127" s="13"/>
      <c r="AA127" s="13"/>
      <c r="AB127" s="13"/>
      <c r="AC127" s="13"/>
      <c r="AD127" s="13"/>
      <c r="AE127" s="13"/>
      <c r="AF127" s="242"/>
      <c r="AG127" s="242"/>
      <c r="AH127" s="242"/>
      <c r="AI127" s="242"/>
      <c r="AJ127" s="242"/>
      <c r="AK127" s="242"/>
      <c r="AL127" s="242"/>
      <c r="AM127" s="242"/>
      <c r="AN127" s="242"/>
      <c r="AO127" s="242"/>
      <c r="AP127" s="242"/>
    </row>
    <row r="128">
      <c r="A128" s="242"/>
      <c r="B128" s="242"/>
      <c r="C128" s="242"/>
      <c r="D128" s="242"/>
      <c r="E128" s="242"/>
      <c r="F128" s="242"/>
      <c r="G128" s="242"/>
      <c r="H128" s="242"/>
      <c r="I128" s="242"/>
      <c r="J128" s="242"/>
      <c r="K128" s="242"/>
      <c r="L128" s="242"/>
      <c r="M128" s="242"/>
      <c r="N128" s="242"/>
      <c r="O128" s="242"/>
      <c r="P128" s="13"/>
      <c r="Q128" s="13"/>
      <c r="R128" s="13"/>
      <c r="S128" s="13"/>
      <c r="T128" s="13"/>
      <c r="U128" s="13"/>
      <c r="V128" s="13"/>
      <c r="W128" s="13"/>
      <c r="X128" s="13"/>
      <c r="Y128" s="13"/>
      <c r="Z128" s="13"/>
      <c r="AA128" s="13"/>
      <c r="AB128" s="13"/>
      <c r="AC128" s="13"/>
      <c r="AD128" s="13"/>
      <c r="AE128" s="13"/>
      <c r="AF128" s="242"/>
      <c r="AG128" s="242"/>
      <c r="AH128" s="242"/>
      <c r="AI128" s="242"/>
      <c r="AJ128" s="242"/>
      <c r="AK128" s="242"/>
      <c r="AL128" s="242"/>
      <c r="AM128" s="242"/>
      <c r="AN128" s="242"/>
      <c r="AO128" s="242"/>
      <c r="AP128" s="242"/>
    </row>
    <row r="129">
      <c r="A129" s="242"/>
      <c r="B129" s="242"/>
      <c r="C129" s="242"/>
      <c r="D129" s="242"/>
      <c r="E129" s="242"/>
      <c r="F129" s="242"/>
      <c r="G129" s="242"/>
      <c r="H129" s="242"/>
      <c r="I129" s="242"/>
      <c r="J129" s="242"/>
      <c r="K129" s="242"/>
      <c r="L129" s="242"/>
      <c r="M129" s="242"/>
      <c r="N129" s="242"/>
      <c r="O129" s="242"/>
      <c r="P129" s="13"/>
      <c r="Q129" s="13"/>
      <c r="R129" s="13"/>
      <c r="S129" s="13"/>
      <c r="T129" s="13"/>
      <c r="U129" s="13"/>
      <c r="V129" s="13"/>
      <c r="W129" s="13"/>
      <c r="X129" s="13"/>
      <c r="Y129" s="13"/>
      <c r="Z129" s="13"/>
      <c r="AA129" s="13"/>
      <c r="AB129" s="13"/>
      <c r="AC129" s="13"/>
      <c r="AD129" s="13"/>
      <c r="AE129" s="13"/>
      <c r="AF129" s="242"/>
      <c r="AG129" s="242"/>
      <c r="AH129" s="242"/>
      <c r="AI129" s="242"/>
      <c r="AJ129" s="242"/>
      <c r="AK129" s="242"/>
      <c r="AL129" s="242"/>
      <c r="AM129" s="242"/>
      <c r="AN129" s="242"/>
      <c r="AO129" s="242"/>
      <c r="AP129" s="242"/>
    </row>
    <row r="130">
      <c r="A130" s="242"/>
      <c r="B130" s="242"/>
      <c r="C130" s="242"/>
      <c r="D130" s="242"/>
      <c r="E130" s="242"/>
      <c r="F130" s="242"/>
      <c r="G130" s="242"/>
      <c r="H130" s="242"/>
      <c r="I130" s="242"/>
      <c r="J130" s="242"/>
      <c r="K130" s="242"/>
      <c r="L130" s="242"/>
      <c r="M130" s="242"/>
      <c r="N130" s="242"/>
      <c r="O130" s="242"/>
      <c r="P130" s="13"/>
      <c r="Q130" s="13"/>
      <c r="R130" s="13"/>
      <c r="S130" s="13"/>
      <c r="T130" s="13"/>
      <c r="U130" s="13"/>
      <c r="V130" s="13"/>
      <c r="W130" s="13"/>
      <c r="X130" s="13"/>
      <c r="Y130" s="13"/>
      <c r="Z130" s="13"/>
      <c r="AA130" s="13"/>
      <c r="AB130" s="13"/>
      <c r="AC130" s="13"/>
      <c r="AD130" s="13"/>
      <c r="AE130" s="13"/>
      <c r="AF130" s="242"/>
      <c r="AG130" s="242"/>
      <c r="AH130" s="242"/>
      <c r="AI130" s="242"/>
      <c r="AJ130" s="242"/>
      <c r="AK130" s="242"/>
      <c r="AL130" s="242"/>
      <c r="AM130" s="242"/>
      <c r="AN130" s="242"/>
      <c r="AO130" s="242"/>
      <c r="AP130" s="242"/>
    </row>
    <row r="131">
      <c r="A131" s="242"/>
      <c r="B131" s="242"/>
      <c r="C131" s="242"/>
      <c r="D131" s="242"/>
      <c r="E131" s="242"/>
      <c r="F131" s="242"/>
      <c r="G131" s="242"/>
      <c r="H131" s="242"/>
      <c r="I131" s="242"/>
      <c r="J131" s="242"/>
      <c r="K131" s="242"/>
      <c r="L131" s="242"/>
      <c r="M131" s="242"/>
      <c r="N131" s="242"/>
      <c r="O131" s="242"/>
      <c r="P131" s="13"/>
      <c r="Q131" s="13"/>
      <c r="R131" s="13"/>
      <c r="S131" s="13"/>
      <c r="T131" s="13"/>
      <c r="U131" s="13"/>
      <c r="V131" s="13"/>
      <c r="W131" s="13"/>
      <c r="X131" s="13"/>
      <c r="Y131" s="13"/>
      <c r="Z131" s="13"/>
      <c r="AA131" s="13"/>
      <c r="AB131" s="13"/>
      <c r="AC131" s="13"/>
      <c r="AD131" s="13"/>
      <c r="AE131" s="13"/>
      <c r="AF131" s="242"/>
      <c r="AG131" s="242"/>
      <c r="AH131" s="242"/>
      <c r="AI131" s="242"/>
      <c r="AJ131" s="242"/>
      <c r="AK131" s="242"/>
      <c r="AL131" s="242"/>
      <c r="AM131" s="242"/>
      <c r="AN131" s="242"/>
      <c r="AO131" s="242"/>
      <c r="AP131" s="242"/>
    </row>
    <row r="132">
      <c r="A132" s="242"/>
      <c r="B132" s="242"/>
      <c r="C132" s="242"/>
      <c r="D132" s="242"/>
      <c r="E132" s="242"/>
      <c r="F132" s="242"/>
      <c r="G132" s="242"/>
      <c r="H132" s="242"/>
      <c r="I132" s="242"/>
      <c r="J132" s="242"/>
      <c r="K132" s="242"/>
      <c r="L132" s="242"/>
      <c r="M132" s="242"/>
      <c r="N132" s="242"/>
      <c r="O132" s="242"/>
      <c r="P132" s="13"/>
      <c r="Q132" s="13"/>
      <c r="R132" s="13"/>
      <c r="S132" s="13"/>
      <c r="T132" s="13"/>
      <c r="U132" s="13"/>
      <c r="V132" s="13"/>
      <c r="W132" s="13"/>
      <c r="X132" s="13"/>
      <c r="Y132" s="13"/>
      <c r="Z132" s="13"/>
      <c r="AA132" s="13"/>
      <c r="AB132" s="13"/>
      <c r="AC132" s="13"/>
      <c r="AD132" s="13"/>
      <c r="AE132" s="13"/>
      <c r="AF132" s="242"/>
      <c r="AG132" s="242"/>
      <c r="AH132" s="242"/>
      <c r="AI132" s="242"/>
      <c r="AJ132" s="242"/>
      <c r="AK132" s="242"/>
      <c r="AL132" s="242"/>
      <c r="AM132" s="242"/>
      <c r="AN132" s="242"/>
      <c r="AO132" s="242"/>
      <c r="AP132" s="242"/>
    </row>
    <row r="133">
      <c r="A133" s="242"/>
      <c r="B133" s="242"/>
      <c r="C133" s="242"/>
      <c r="D133" s="242"/>
      <c r="E133" s="242"/>
      <c r="F133" s="242"/>
      <c r="G133" s="242"/>
      <c r="H133" s="242"/>
      <c r="I133" s="242"/>
      <c r="J133" s="242"/>
      <c r="K133" s="242"/>
      <c r="L133" s="242"/>
      <c r="M133" s="242"/>
      <c r="N133" s="242"/>
      <c r="O133" s="242"/>
      <c r="P133" s="13"/>
      <c r="Q133" s="13"/>
      <c r="R133" s="13"/>
      <c r="S133" s="13"/>
      <c r="T133" s="13"/>
      <c r="U133" s="13"/>
      <c r="V133" s="13"/>
      <c r="W133" s="13"/>
      <c r="X133" s="13"/>
      <c r="Y133" s="13"/>
      <c r="Z133" s="13"/>
      <c r="AA133" s="13"/>
      <c r="AB133" s="13"/>
      <c r="AC133" s="13"/>
      <c r="AD133" s="13"/>
      <c r="AE133" s="13"/>
      <c r="AF133" s="242"/>
      <c r="AG133" s="242"/>
      <c r="AH133" s="242"/>
      <c r="AI133" s="242"/>
      <c r="AJ133" s="242"/>
      <c r="AK133" s="242"/>
      <c r="AL133" s="242"/>
      <c r="AM133" s="242"/>
      <c r="AN133" s="242"/>
      <c r="AO133" s="242"/>
      <c r="AP133" s="242"/>
    </row>
    <row r="134">
      <c r="A134" s="242"/>
      <c r="B134" s="242"/>
      <c r="C134" s="242"/>
      <c r="D134" s="242"/>
      <c r="E134" s="242"/>
      <c r="F134" s="242"/>
      <c r="G134" s="242"/>
      <c r="H134" s="242"/>
      <c r="I134" s="242"/>
      <c r="J134" s="242"/>
      <c r="K134" s="242"/>
      <c r="L134" s="242"/>
      <c r="M134" s="242"/>
      <c r="N134" s="242"/>
      <c r="O134" s="242"/>
      <c r="P134" s="13"/>
      <c r="Q134" s="13"/>
      <c r="R134" s="13"/>
      <c r="S134" s="13"/>
      <c r="T134" s="13"/>
      <c r="U134" s="13"/>
      <c r="V134" s="13"/>
      <c r="W134" s="13"/>
      <c r="X134" s="13"/>
      <c r="Y134" s="13"/>
      <c r="Z134" s="13"/>
      <c r="AA134" s="13"/>
      <c r="AB134" s="13"/>
      <c r="AC134" s="13"/>
      <c r="AD134" s="13"/>
      <c r="AE134" s="13"/>
      <c r="AF134" s="242"/>
      <c r="AG134" s="242"/>
      <c r="AH134" s="242"/>
      <c r="AI134" s="242"/>
      <c r="AJ134" s="242"/>
      <c r="AK134" s="242"/>
      <c r="AL134" s="242"/>
      <c r="AM134" s="242"/>
      <c r="AN134" s="242"/>
      <c r="AO134" s="242"/>
      <c r="AP134" s="242"/>
    </row>
    <row r="135">
      <c r="A135" s="242"/>
      <c r="B135" s="242"/>
      <c r="C135" s="242"/>
      <c r="D135" s="242"/>
      <c r="E135" s="242"/>
      <c r="F135" s="242"/>
      <c r="G135" s="242"/>
      <c r="H135" s="242"/>
      <c r="I135" s="242"/>
      <c r="J135" s="242"/>
      <c r="K135" s="242"/>
      <c r="L135" s="242"/>
      <c r="M135" s="242"/>
      <c r="N135" s="242"/>
      <c r="O135" s="242"/>
      <c r="P135" s="13"/>
      <c r="Q135" s="13"/>
      <c r="R135" s="13"/>
      <c r="S135" s="13"/>
      <c r="T135" s="13"/>
      <c r="U135" s="13"/>
      <c r="V135" s="13"/>
      <c r="W135" s="13"/>
      <c r="X135" s="13"/>
      <c r="Y135" s="13"/>
      <c r="Z135" s="13"/>
      <c r="AA135" s="13"/>
      <c r="AB135" s="13"/>
      <c r="AC135" s="13"/>
      <c r="AD135" s="13"/>
      <c r="AE135" s="13"/>
      <c r="AF135" s="242"/>
      <c r="AG135" s="242"/>
      <c r="AH135" s="242"/>
      <c r="AI135" s="242"/>
      <c r="AJ135" s="242"/>
      <c r="AK135" s="242"/>
      <c r="AL135" s="242"/>
      <c r="AM135" s="242"/>
      <c r="AN135" s="242"/>
      <c r="AO135" s="242"/>
      <c r="AP135" s="242"/>
    </row>
    <row r="136">
      <c r="A136" s="242"/>
      <c r="B136" s="242"/>
      <c r="C136" s="242"/>
      <c r="D136" s="242"/>
      <c r="E136" s="242"/>
      <c r="F136" s="242"/>
      <c r="G136" s="242"/>
      <c r="H136" s="242"/>
      <c r="I136" s="242"/>
      <c r="J136" s="242"/>
      <c r="K136" s="242"/>
      <c r="L136" s="242"/>
      <c r="M136" s="242"/>
      <c r="N136" s="242"/>
      <c r="O136" s="242"/>
      <c r="P136" s="13"/>
      <c r="Q136" s="13"/>
      <c r="R136" s="13"/>
      <c r="S136" s="13"/>
      <c r="T136" s="13"/>
      <c r="U136" s="13"/>
      <c r="V136" s="13"/>
      <c r="W136" s="13"/>
      <c r="X136" s="13"/>
      <c r="Y136" s="13"/>
      <c r="Z136" s="13"/>
      <c r="AA136" s="13"/>
      <c r="AB136" s="13"/>
      <c r="AC136" s="13"/>
      <c r="AD136" s="13"/>
      <c r="AE136" s="13"/>
      <c r="AF136" s="242"/>
      <c r="AG136" s="242"/>
      <c r="AH136" s="242"/>
      <c r="AI136" s="242"/>
      <c r="AJ136" s="242"/>
      <c r="AK136" s="242"/>
      <c r="AL136" s="242"/>
      <c r="AM136" s="242"/>
      <c r="AN136" s="242"/>
      <c r="AO136" s="242"/>
      <c r="AP136" s="242"/>
    </row>
    <row r="137">
      <c r="A137" s="242"/>
      <c r="B137" s="242"/>
      <c r="C137" s="242"/>
      <c r="D137" s="242"/>
      <c r="E137" s="242"/>
      <c r="F137" s="242"/>
      <c r="G137" s="242"/>
      <c r="H137" s="242"/>
      <c r="I137" s="242"/>
      <c r="J137" s="242"/>
      <c r="K137" s="242"/>
      <c r="L137" s="242"/>
      <c r="M137" s="242"/>
      <c r="N137" s="242"/>
      <c r="O137" s="242"/>
      <c r="P137" s="13"/>
      <c r="Q137" s="13"/>
      <c r="R137" s="13"/>
      <c r="S137" s="13"/>
      <c r="T137" s="13"/>
      <c r="U137" s="13"/>
      <c r="V137" s="13"/>
      <c r="W137" s="13"/>
      <c r="X137" s="13"/>
      <c r="Y137" s="13"/>
      <c r="Z137" s="13"/>
      <c r="AA137" s="13"/>
      <c r="AB137" s="13"/>
      <c r="AC137" s="13"/>
      <c r="AD137" s="13"/>
      <c r="AE137" s="13"/>
      <c r="AF137" s="242"/>
      <c r="AG137" s="242"/>
      <c r="AH137" s="242"/>
      <c r="AI137" s="242"/>
      <c r="AJ137" s="242"/>
      <c r="AK137" s="242"/>
      <c r="AL137" s="242"/>
      <c r="AM137" s="242"/>
      <c r="AN137" s="242"/>
      <c r="AO137" s="242"/>
      <c r="AP137" s="242"/>
    </row>
    <row r="138">
      <c r="A138" s="242"/>
      <c r="B138" s="242"/>
      <c r="C138" s="242"/>
      <c r="D138" s="242"/>
      <c r="E138" s="242"/>
      <c r="F138" s="242"/>
      <c r="G138" s="242"/>
      <c r="H138" s="242"/>
      <c r="I138" s="242"/>
      <c r="J138" s="242"/>
      <c r="K138" s="242"/>
      <c r="L138" s="242"/>
      <c r="M138" s="242"/>
      <c r="N138" s="242"/>
      <c r="O138" s="242"/>
      <c r="P138" s="13"/>
      <c r="Q138" s="13"/>
      <c r="R138" s="13"/>
      <c r="S138" s="13"/>
      <c r="T138" s="13"/>
      <c r="U138" s="13"/>
      <c r="V138" s="13"/>
      <c r="W138" s="13"/>
      <c r="X138" s="13"/>
      <c r="Y138" s="13"/>
      <c r="Z138" s="13"/>
      <c r="AA138" s="13"/>
      <c r="AB138" s="13"/>
      <c r="AC138" s="13"/>
      <c r="AD138" s="13"/>
      <c r="AE138" s="13"/>
      <c r="AF138" s="242"/>
      <c r="AG138" s="242"/>
      <c r="AH138" s="242"/>
      <c r="AI138" s="242"/>
      <c r="AJ138" s="242"/>
      <c r="AK138" s="242"/>
      <c r="AL138" s="242"/>
      <c r="AM138" s="242"/>
      <c r="AN138" s="242"/>
      <c r="AO138" s="242"/>
      <c r="AP138" s="242"/>
    </row>
    <row r="139">
      <c r="A139" s="242"/>
      <c r="B139" s="242"/>
      <c r="C139" s="242"/>
      <c r="D139" s="242"/>
      <c r="E139" s="242"/>
      <c r="F139" s="242"/>
      <c r="G139" s="242"/>
      <c r="H139" s="242"/>
      <c r="I139" s="242"/>
      <c r="J139" s="242"/>
      <c r="K139" s="242"/>
      <c r="L139" s="242"/>
      <c r="M139" s="242"/>
      <c r="N139" s="242"/>
      <c r="O139" s="242"/>
      <c r="P139" s="13"/>
      <c r="Q139" s="13"/>
      <c r="R139" s="13"/>
      <c r="S139" s="13"/>
      <c r="T139" s="13"/>
      <c r="U139" s="13"/>
      <c r="V139" s="13"/>
      <c r="W139" s="13"/>
      <c r="X139" s="13"/>
      <c r="Y139" s="13"/>
      <c r="Z139" s="13"/>
      <c r="AA139" s="13"/>
      <c r="AB139" s="13"/>
      <c r="AC139" s="13"/>
      <c r="AD139" s="13"/>
      <c r="AE139" s="13"/>
      <c r="AF139" s="242"/>
      <c r="AG139" s="242"/>
      <c r="AH139" s="242"/>
      <c r="AI139" s="242"/>
      <c r="AJ139" s="242"/>
      <c r="AK139" s="242"/>
      <c r="AL139" s="242"/>
      <c r="AM139" s="242"/>
      <c r="AN139" s="242"/>
      <c r="AO139" s="242"/>
      <c r="AP139" s="242"/>
    </row>
    <row r="140">
      <c r="A140" s="242"/>
      <c r="B140" s="242"/>
      <c r="C140" s="242"/>
      <c r="D140" s="242"/>
      <c r="E140" s="242"/>
      <c r="F140" s="242"/>
      <c r="G140" s="242"/>
      <c r="H140" s="242"/>
      <c r="I140" s="242"/>
      <c r="J140" s="242"/>
      <c r="K140" s="242"/>
      <c r="L140" s="242"/>
      <c r="M140" s="242"/>
      <c r="N140" s="242"/>
      <c r="O140" s="242"/>
      <c r="P140" s="13"/>
      <c r="Q140" s="13"/>
      <c r="R140" s="13"/>
      <c r="S140" s="13"/>
      <c r="T140" s="13"/>
      <c r="U140" s="13"/>
      <c r="V140" s="13"/>
      <c r="W140" s="13"/>
      <c r="X140" s="13"/>
      <c r="Y140" s="13"/>
      <c r="Z140" s="13"/>
      <c r="AA140" s="13"/>
      <c r="AB140" s="13"/>
      <c r="AC140" s="13"/>
      <c r="AD140" s="13"/>
      <c r="AE140" s="13"/>
      <c r="AF140" s="242"/>
      <c r="AG140" s="242"/>
      <c r="AH140" s="242"/>
      <c r="AI140" s="242"/>
      <c r="AJ140" s="242"/>
      <c r="AK140" s="242"/>
      <c r="AL140" s="242"/>
      <c r="AM140" s="242"/>
      <c r="AN140" s="242"/>
      <c r="AO140" s="242"/>
      <c r="AP140" s="242"/>
    </row>
    <row r="141">
      <c r="A141" s="242"/>
      <c r="B141" s="242"/>
      <c r="C141" s="242"/>
      <c r="D141" s="242"/>
      <c r="E141" s="242"/>
      <c r="F141" s="242"/>
      <c r="G141" s="242"/>
      <c r="H141" s="242"/>
      <c r="I141" s="242"/>
      <c r="J141" s="242"/>
      <c r="K141" s="242"/>
      <c r="L141" s="242"/>
      <c r="M141" s="242"/>
      <c r="N141" s="242"/>
      <c r="O141" s="242"/>
      <c r="P141" s="13"/>
      <c r="Q141" s="13"/>
      <c r="R141" s="13"/>
      <c r="S141" s="13"/>
      <c r="T141" s="13"/>
      <c r="U141" s="13"/>
      <c r="V141" s="13"/>
      <c r="W141" s="13"/>
      <c r="X141" s="13"/>
      <c r="Y141" s="13"/>
      <c r="Z141" s="13"/>
      <c r="AA141" s="13"/>
      <c r="AB141" s="13"/>
      <c r="AC141" s="13"/>
      <c r="AD141" s="13"/>
      <c r="AE141" s="13"/>
      <c r="AF141" s="242"/>
      <c r="AG141" s="242"/>
      <c r="AH141" s="242"/>
      <c r="AI141" s="242"/>
      <c r="AJ141" s="242"/>
      <c r="AK141" s="242"/>
      <c r="AL141" s="242"/>
      <c r="AM141" s="242"/>
      <c r="AN141" s="242"/>
      <c r="AO141" s="242"/>
      <c r="AP141" s="242"/>
    </row>
    <row r="142">
      <c r="A142" s="242"/>
      <c r="B142" s="242"/>
      <c r="C142" s="242"/>
      <c r="D142" s="242"/>
      <c r="E142" s="242"/>
      <c r="F142" s="242"/>
      <c r="G142" s="242"/>
      <c r="H142" s="242"/>
      <c r="I142" s="242"/>
      <c r="J142" s="242"/>
      <c r="K142" s="242"/>
      <c r="L142" s="242"/>
      <c r="M142" s="242"/>
      <c r="N142" s="242"/>
      <c r="O142" s="242"/>
      <c r="P142" s="13"/>
      <c r="Q142" s="13"/>
      <c r="R142" s="13"/>
      <c r="S142" s="13"/>
      <c r="T142" s="13"/>
      <c r="U142" s="13"/>
      <c r="V142" s="13"/>
      <c r="W142" s="13"/>
      <c r="X142" s="13"/>
      <c r="Y142" s="13"/>
      <c r="Z142" s="13"/>
      <c r="AA142" s="13"/>
      <c r="AB142" s="13"/>
      <c r="AC142" s="13"/>
      <c r="AD142" s="13"/>
      <c r="AE142" s="13"/>
      <c r="AF142" s="242"/>
      <c r="AG142" s="242"/>
      <c r="AH142" s="242"/>
      <c r="AI142" s="242"/>
      <c r="AJ142" s="242"/>
      <c r="AK142" s="242"/>
      <c r="AL142" s="242"/>
      <c r="AM142" s="242"/>
      <c r="AN142" s="242"/>
      <c r="AO142" s="242"/>
      <c r="AP142" s="242"/>
    </row>
    <row r="143">
      <c r="A143" s="242"/>
      <c r="B143" s="242"/>
      <c r="C143" s="242"/>
      <c r="D143" s="242"/>
      <c r="E143" s="242"/>
      <c r="F143" s="242"/>
      <c r="G143" s="242"/>
      <c r="H143" s="242"/>
      <c r="I143" s="242"/>
      <c r="J143" s="242"/>
      <c r="K143" s="242"/>
      <c r="L143" s="242"/>
      <c r="M143" s="242"/>
      <c r="N143" s="242"/>
      <c r="O143" s="242"/>
      <c r="P143" s="13"/>
      <c r="Q143" s="13"/>
      <c r="R143" s="13"/>
      <c r="S143" s="13"/>
      <c r="T143" s="13"/>
      <c r="U143" s="13"/>
      <c r="V143" s="13"/>
      <c r="W143" s="13"/>
      <c r="X143" s="13"/>
      <c r="Y143" s="13"/>
      <c r="Z143" s="13"/>
      <c r="AA143" s="13"/>
      <c r="AB143" s="13"/>
      <c r="AC143" s="13"/>
      <c r="AD143" s="13"/>
      <c r="AE143" s="13"/>
      <c r="AF143" s="242"/>
      <c r="AG143" s="242"/>
      <c r="AH143" s="242"/>
      <c r="AI143" s="242"/>
      <c r="AJ143" s="242"/>
      <c r="AK143" s="242"/>
      <c r="AL143" s="242"/>
      <c r="AM143" s="242"/>
      <c r="AN143" s="242"/>
      <c r="AO143" s="242"/>
      <c r="AP143" s="242"/>
    </row>
    <row r="144">
      <c r="A144" s="242"/>
      <c r="B144" s="242"/>
      <c r="C144" s="242"/>
      <c r="D144" s="242"/>
      <c r="E144" s="242"/>
      <c r="F144" s="242"/>
      <c r="G144" s="242"/>
      <c r="H144" s="242"/>
      <c r="I144" s="242"/>
      <c r="J144" s="242"/>
      <c r="K144" s="242"/>
      <c r="L144" s="242"/>
      <c r="M144" s="242"/>
      <c r="N144" s="242"/>
      <c r="O144" s="242"/>
      <c r="P144" s="13"/>
      <c r="Q144" s="13"/>
      <c r="R144" s="13"/>
      <c r="S144" s="13"/>
      <c r="T144" s="13"/>
      <c r="U144" s="13"/>
      <c r="V144" s="13"/>
      <c r="W144" s="13"/>
      <c r="X144" s="13"/>
      <c r="Y144" s="13"/>
      <c r="Z144" s="13"/>
      <c r="AA144" s="13"/>
      <c r="AB144" s="13"/>
      <c r="AC144" s="13"/>
      <c r="AD144" s="13"/>
      <c r="AE144" s="13"/>
      <c r="AF144" s="242"/>
      <c r="AG144" s="242"/>
      <c r="AH144" s="242"/>
      <c r="AI144" s="242"/>
      <c r="AJ144" s="242"/>
      <c r="AK144" s="242"/>
      <c r="AL144" s="242"/>
      <c r="AM144" s="242"/>
      <c r="AN144" s="242"/>
      <c r="AO144" s="242"/>
      <c r="AP144" s="242"/>
    </row>
    <row r="145">
      <c r="A145" s="242"/>
      <c r="B145" s="242"/>
      <c r="C145" s="242"/>
      <c r="D145" s="242"/>
      <c r="E145" s="242"/>
      <c r="F145" s="242"/>
      <c r="G145" s="242"/>
      <c r="H145" s="242"/>
      <c r="I145" s="242"/>
      <c r="J145" s="242"/>
      <c r="K145" s="242"/>
      <c r="L145" s="242"/>
      <c r="M145" s="242"/>
      <c r="N145" s="242"/>
      <c r="O145" s="242"/>
      <c r="P145" s="13"/>
      <c r="Q145" s="13"/>
      <c r="R145" s="13"/>
      <c r="S145" s="13"/>
      <c r="T145" s="13"/>
      <c r="U145" s="13"/>
      <c r="V145" s="13"/>
      <c r="W145" s="13"/>
      <c r="X145" s="13"/>
      <c r="Y145" s="13"/>
      <c r="Z145" s="13"/>
      <c r="AA145" s="13"/>
      <c r="AB145" s="13"/>
      <c r="AC145" s="13"/>
      <c r="AD145" s="13"/>
      <c r="AE145" s="13"/>
      <c r="AF145" s="242"/>
      <c r="AG145" s="242"/>
      <c r="AH145" s="242"/>
      <c r="AI145" s="242"/>
      <c r="AJ145" s="242"/>
      <c r="AK145" s="242"/>
      <c r="AL145" s="242"/>
      <c r="AM145" s="242"/>
      <c r="AN145" s="242"/>
      <c r="AO145" s="242"/>
      <c r="AP145" s="242"/>
    </row>
    <row r="146">
      <c r="A146" s="242"/>
      <c r="B146" s="242"/>
      <c r="C146" s="242"/>
      <c r="D146" s="242"/>
      <c r="E146" s="242"/>
      <c r="F146" s="242"/>
      <c r="G146" s="242"/>
      <c r="H146" s="242"/>
      <c r="I146" s="242"/>
      <c r="J146" s="242"/>
      <c r="K146" s="242"/>
      <c r="L146" s="242"/>
      <c r="M146" s="242"/>
      <c r="N146" s="242"/>
      <c r="O146" s="242"/>
      <c r="P146" s="13"/>
      <c r="Q146" s="13"/>
      <c r="R146" s="13"/>
      <c r="S146" s="13"/>
      <c r="T146" s="13"/>
      <c r="U146" s="13"/>
      <c r="V146" s="13"/>
      <c r="W146" s="13"/>
      <c r="X146" s="13"/>
      <c r="Y146" s="13"/>
      <c r="Z146" s="13"/>
      <c r="AA146" s="13"/>
      <c r="AB146" s="13"/>
      <c r="AC146" s="13"/>
      <c r="AD146" s="13"/>
      <c r="AE146" s="13"/>
      <c r="AF146" s="242"/>
      <c r="AG146" s="242"/>
      <c r="AH146" s="242"/>
      <c r="AI146" s="242"/>
      <c r="AJ146" s="242"/>
      <c r="AK146" s="242"/>
      <c r="AL146" s="242"/>
      <c r="AM146" s="242"/>
      <c r="AN146" s="242"/>
      <c r="AO146" s="242"/>
      <c r="AP146" s="242"/>
    </row>
    <row r="147">
      <c r="A147" s="242"/>
      <c r="B147" s="242"/>
      <c r="C147" s="242"/>
      <c r="D147" s="242"/>
      <c r="E147" s="242"/>
      <c r="F147" s="242"/>
      <c r="G147" s="242"/>
      <c r="H147" s="242"/>
      <c r="I147" s="242"/>
      <c r="J147" s="242"/>
      <c r="K147" s="242"/>
      <c r="L147" s="242"/>
      <c r="M147" s="242"/>
      <c r="N147" s="242"/>
      <c r="O147" s="242"/>
      <c r="P147" s="13"/>
      <c r="Q147" s="13"/>
      <c r="R147" s="13"/>
      <c r="S147" s="13"/>
      <c r="T147" s="13"/>
      <c r="U147" s="13"/>
      <c r="V147" s="13"/>
      <c r="W147" s="13"/>
      <c r="X147" s="13"/>
      <c r="Y147" s="13"/>
      <c r="Z147" s="13"/>
      <c r="AA147" s="13"/>
      <c r="AB147" s="13"/>
      <c r="AC147" s="13"/>
      <c r="AD147" s="13"/>
      <c r="AE147" s="13"/>
      <c r="AF147" s="242"/>
      <c r="AG147" s="242"/>
      <c r="AH147" s="242"/>
      <c r="AI147" s="242"/>
      <c r="AJ147" s="242"/>
      <c r="AK147" s="242"/>
      <c r="AL147" s="242"/>
      <c r="AM147" s="242"/>
      <c r="AN147" s="242"/>
      <c r="AO147" s="242"/>
      <c r="AP147" s="242"/>
    </row>
    <row r="148">
      <c r="A148" s="242"/>
      <c r="B148" s="242"/>
      <c r="C148" s="242"/>
      <c r="D148" s="242"/>
      <c r="E148" s="242"/>
      <c r="F148" s="242"/>
      <c r="G148" s="242"/>
      <c r="H148" s="242"/>
      <c r="I148" s="242"/>
      <c r="J148" s="242"/>
      <c r="K148" s="242"/>
      <c r="L148" s="242"/>
      <c r="M148" s="242"/>
      <c r="N148" s="242"/>
      <c r="O148" s="242"/>
      <c r="P148" s="13"/>
      <c r="Q148" s="13"/>
      <c r="R148" s="13"/>
      <c r="S148" s="13"/>
      <c r="T148" s="13"/>
      <c r="U148" s="13"/>
      <c r="V148" s="13"/>
      <c r="W148" s="13"/>
      <c r="X148" s="13"/>
      <c r="Y148" s="13"/>
      <c r="Z148" s="13"/>
      <c r="AA148" s="13"/>
      <c r="AB148" s="13"/>
      <c r="AC148" s="13"/>
      <c r="AD148" s="13"/>
      <c r="AE148" s="13"/>
      <c r="AF148" s="242"/>
      <c r="AG148" s="242"/>
      <c r="AH148" s="242"/>
      <c r="AI148" s="242"/>
      <c r="AJ148" s="242"/>
      <c r="AK148" s="242"/>
      <c r="AL148" s="242"/>
      <c r="AM148" s="242"/>
      <c r="AN148" s="242"/>
      <c r="AO148" s="242"/>
      <c r="AP148" s="242"/>
    </row>
    <row r="149">
      <c r="A149" s="242"/>
      <c r="B149" s="242"/>
      <c r="C149" s="242"/>
      <c r="D149" s="242"/>
      <c r="E149" s="242"/>
      <c r="F149" s="242"/>
      <c r="G149" s="242"/>
      <c r="H149" s="242"/>
      <c r="I149" s="242"/>
      <c r="J149" s="242"/>
      <c r="K149" s="242"/>
      <c r="L149" s="242"/>
      <c r="M149" s="242"/>
      <c r="N149" s="242"/>
      <c r="O149" s="242"/>
      <c r="P149" s="13"/>
      <c r="Q149" s="13"/>
      <c r="R149" s="13"/>
      <c r="S149" s="13"/>
      <c r="T149" s="13"/>
      <c r="U149" s="13"/>
      <c r="V149" s="13"/>
      <c r="W149" s="13"/>
      <c r="X149" s="13"/>
      <c r="Y149" s="13"/>
      <c r="Z149" s="13"/>
      <c r="AA149" s="13"/>
      <c r="AB149" s="13"/>
      <c r="AC149" s="13"/>
      <c r="AD149" s="13"/>
      <c r="AE149" s="13"/>
      <c r="AF149" s="242"/>
      <c r="AG149" s="242"/>
      <c r="AH149" s="242"/>
      <c r="AI149" s="242"/>
      <c r="AJ149" s="242"/>
      <c r="AK149" s="242"/>
      <c r="AL149" s="242"/>
      <c r="AM149" s="242"/>
      <c r="AN149" s="242"/>
      <c r="AO149" s="242"/>
      <c r="AP149" s="242"/>
    </row>
    <row r="150">
      <c r="A150" s="242"/>
      <c r="B150" s="242"/>
      <c r="C150" s="242"/>
      <c r="D150" s="242"/>
      <c r="E150" s="242"/>
      <c r="F150" s="242"/>
      <c r="G150" s="242"/>
      <c r="H150" s="242"/>
      <c r="I150" s="242"/>
      <c r="J150" s="242"/>
      <c r="K150" s="242"/>
      <c r="L150" s="242"/>
      <c r="M150" s="242"/>
      <c r="N150" s="242"/>
      <c r="O150" s="242"/>
      <c r="P150" s="13"/>
      <c r="Q150" s="13"/>
      <c r="R150" s="13"/>
      <c r="S150" s="13"/>
      <c r="T150" s="13"/>
      <c r="U150" s="13"/>
      <c r="V150" s="13"/>
      <c r="W150" s="13"/>
      <c r="X150" s="13"/>
      <c r="Y150" s="13"/>
      <c r="Z150" s="13"/>
      <c r="AA150" s="13"/>
      <c r="AB150" s="13"/>
      <c r="AC150" s="13"/>
      <c r="AD150" s="13"/>
      <c r="AE150" s="13"/>
      <c r="AF150" s="242"/>
      <c r="AG150" s="242"/>
      <c r="AH150" s="242"/>
      <c r="AI150" s="242"/>
      <c r="AJ150" s="242"/>
      <c r="AK150" s="242"/>
      <c r="AL150" s="242"/>
      <c r="AM150" s="242"/>
      <c r="AN150" s="242"/>
      <c r="AO150" s="242"/>
      <c r="AP150" s="242"/>
    </row>
    <row r="151">
      <c r="A151" s="242"/>
      <c r="B151" s="242"/>
      <c r="C151" s="242"/>
      <c r="D151" s="242"/>
      <c r="E151" s="242"/>
      <c r="F151" s="242"/>
      <c r="G151" s="242"/>
      <c r="H151" s="242"/>
      <c r="I151" s="242"/>
      <c r="J151" s="242"/>
      <c r="K151" s="242"/>
      <c r="L151" s="242"/>
      <c r="M151" s="242"/>
      <c r="N151" s="242"/>
      <c r="O151" s="242"/>
      <c r="P151" s="13"/>
      <c r="Q151" s="13"/>
      <c r="R151" s="13"/>
      <c r="S151" s="13"/>
      <c r="T151" s="13"/>
      <c r="U151" s="13"/>
      <c r="V151" s="13"/>
      <c r="W151" s="13"/>
      <c r="X151" s="13"/>
      <c r="Y151" s="13"/>
      <c r="Z151" s="13"/>
      <c r="AA151" s="13"/>
      <c r="AB151" s="13"/>
      <c r="AC151" s="13"/>
      <c r="AD151" s="13"/>
      <c r="AE151" s="13"/>
      <c r="AF151" s="242"/>
      <c r="AG151" s="242"/>
      <c r="AH151" s="242"/>
      <c r="AI151" s="242"/>
      <c r="AJ151" s="242"/>
      <c r="AK151" s="242"/>
      <c r="AL151" s="242"/>
      <c r="AM151" s="242"/>
      <c r="AN151" s="242"/>
      <c r="AO151" s="242"/>
      <c r="AP151" s="242"/>
    </row>
    <row r="152">
      <c r="A152" s="242"/>
      <c r="B152" s="242"/>
      <c r="C152" s="242"/>
      <c r="D152" s="242"/>
      <c r="E152" s="242"/>
      <c r="F152" s="242"/>
      <c r="G152" s="242"/>
      <c r="H152" s="242"/>
      <c r="I152" s="242"/>
      <c r="J152" s="242"/>
      <c r="K152" s="242"/>
      <c r="L152" s="242"/>
      <c r="M152" s="242"/>
      <c r="N152" s="242"/>
      <c r="O152" s="242"/>
      <c r="P152" s="13"/>
      <c r="Q152" s="13"/>
      <c r="R152" s="13"/>
      <c r="S152" s="13"/>
      <c r="T152" s="13"/>
      <c r="U152" s="13"/>
      <c r="V152" s="13"/>
      <c r="W152" s="13"/>
      <c r="X152" s="13"/>
      <c r="Y152" s="13"/>
      <c r="Z152" s="13"/>
      <c r="AA152" s="13"/>
      <c r="AB152" s="13"/>
      <c r="AC152" s="13"/>
      <c r="AD152" s="13"/>
      <c r="AE152" s="13"/>
      <c r="AF152" s="242"/>
      <c r="AG152" s="242"/>
      <c r="AH152" s="242"/>
      <c r="AI152" s="242"/>
      <c r="AJ152" s="242"/>
      <c r="AK152" s="242"/>
      <c r="AL152" s="242"/>
      <c r="AM152" s="242"/>
      <c r="AN152" s="242"/>
      <c r="AO152" s="242"/>
      <c r="AP152" s="242"/>
    </row>
    <row r="153">
      <c r="A153" s="242"/>
      <c r="B153" s="242"/>
      <c r="C153" s="242"/>
      <c r="D153" s="242"/>
      <c r="E153" s="242"/>
      <c r="F153" s="242"/>
      <c r="G153" s="242"/>
      <c r="H153" s="242"/>
      <c r="I153" s="242"/>
      <c r="J153" s="242"/>
      <c r="K153" s="242"/>
      <c r="L153" s="242"/>
      <c r="M153" s="242"/>
      <c r="N153" s="242"/>
      <c r="O153" s="242"/>
      <c r="P153" s="13"/>
      <c r="Q153" s="13"/>
      <c r="R153" s="13"/>
      <c r="S153" s="13"/>
      <c r="T153" s="13"/>
      <c r="U153" s="13"/>
      <c r="V153" s="13"/>
      <c r="W153" s="13"/>
      <c r="X153" s="13"/>
      <c r="Y153" s="13"/>
      <c r="Z153" s="13"/>
      <c r="AA153" s="13"/>
      <c r="AB153" s="13"/>
      <c r="AC153" s="13"/>
      <c r="AD153" s="13"/>
      <c r="AE153" s="13"/>
      <c r="AF153" s="242"/>
      <c r="AG153" s="242"/>
      <c r="AH153" s="242"/>
      <c r="AI153" s="242"/>
      <c r="AJ153" s="242"/>
      <c r="AK153" s="242"/>
      <c r="AL153" s="242"/>
      <c r="AM153" s="242"/>
      <c r="AN153" s="242"/>
      <c r="AO153" s="242"/>
      <c r="AP153" s="242"/>
    </row>
    <row r="154">
      <c r="A154" s="242"/>
      <c r="B154" s="242"/>
      <c r="C154" s="242"/>
      <c r="D154" s="242"/>
      <c r="E154" s="242"/>
      <c r="F154" s="242"/>
      <c r="G154" s="242"/>
      <c r="H154" s="242"/>
      <c r="I154" s="242"/>
      <c r="J154" s="242"/>
      <c r="K154" s="242"/>
      <c r="L154" s="242"/>
      <c r="M154" s="242"/>
      <c r="N154" s="242"/>
      <c r="O154" s="242"/>
      <c r="P154" s="13"/>
      <c r="Q154" s="13"/>
      <c r="R154" s="13"/>
      <c r="S154" s="13"/>
      <c r="T154" s="13"/>
      <c r="U154" s="13"/>
      <c r="V154" s="13"/>
      <c r="W154" s="13"/>
      <c r="X154" s="13"/>
      <c r="Y154" s="13"/>
      <c r="Z154" s="13"/>
      <c r="AA154" s="13"/>
      <c r="AB154" s="13"/>
      <c r="AC154" s="13"/>
      <c r="AD154" s="13"/>
      <c r="AE154" s="13"/>
      <c r="AF154" s="242"/>
      <c r="AG154" s="242"/>
      <c r="AH154" s="242"/>
      <c r="AI154" s="242"/>
      <c r="AJ154" s="242"/>
      <c r="AK154" s="242"/>
      <c r="AL154" s="242"/>
      <c r="AM154" s="242"/>
      <c r="AN154" s="242"/>
      <c r="AO154" s="242"/>
      <c r="AP154" s="242"/>
    </row>
    <row r="155">
      <c r="A155" s="242"/>
      <c r="B155" s="242"/>
      <c r="C155" s="242"/>
      <c r="D155" s="242"/>
      <c r="E155" s="242"/>
      <c r="F155" s="242"/>
      <c r="G155" s="242"/>
      <c r="H155" s="242"/>
      <c r="I155" s="242"/>
      <c r="J155" s="242"/>
      <c r="K155" s="242"/>
      <c r="L155" s="242"/>
      <c r="M155" s="242"/>
      <c r="N155" s="242"/>
      <c r="O155" s="242"/>
      <c r="P155" s="13"/>
      <c r="Q155" s="13"/>
      <c r="R155" s="13"/>
      <c r="S155" s="13"/>
      <c r="T155" s="13"/>
      <c r="U155" s="13"/>
      <c r="V155" s="13"/>
      <c r="W155" s="13"/>
      <c r="X155" s="13"/>
      <c r="Y155" s="13"/>
      <c r="Z155" s="13"/>
      <c r="AA155" s="13"/>
      <c r="AB155" s="13"/>
      <c r="AC155" s="13"/>
      <c r="AD155" s="13"/>
      <c r="AE155" s="13"/>
      <c r="AF155" s="242"/>
      <c r="AG155" s="242"/>
      <c r="AH155" s="242"/>
      <c r="AI155" s="242"/>
      <c r="AJ155" s="242"/>
      <c r="AK155" s="242"/>
      <c r="AL155" s="242"/>
      <c r="AM155" s="242"/>
      <c r="AN155" s="242"/>
      <c r="AO155" s="242"/>
      <c r="AP155" s="242"/>
    </row>
    <row r="156">
      <c r="A156" s="242"/>
      <c r="B156" s="242"/>
      <c r="C156" s="242"/>
      <c r="D156" s="242"/>
      <c r="E156" s="242"/>
      <c r="F156" s="242"/>
      <c r="G156" s="242"/>
      <c r="H156" s="242"/>
      <c r="I156" s="242"/>
      <c r="J156" s="242"/>
      <c r="K156" s="242"/>
      <c r="L156" s="242"/>
      <c r="M156" s="242"/>
      <c r="N156" s="242"/>
      <c r="O156" s="242"/>
      <c r="P156" s="13"/>
      <c r="Q156" s="13"/>
      <c r="R156" s="13"/>
      <c r="S156" s="13"/>
      <c r="T156" s="13"/>
      <c r="U156" s="13"/>
      <c r="V156" s="13"/>
      <c r="W156" s="13"/>
      <c r="X156" s="13"/>
      <c r="Y156" s="13"/>
      <c r="Z156" s="13"/>
      <c r="AA156" s="13"/>
      <c r="AB156" s="13"/>
      <c r="AC156" s="13"/>
      <c r="AD156" s="13"/>
      <c r="AE156" s="13"/>
      <c r="AF156" s="242"/>
      <c r="AG156" s="242"/>
      <c r="AH156" s="242"/>
      <c r="AI156" s="242"/>
      <c r="AJ156" s="242"/>
      <c r="AK156" s="242"/>
      <c r="AL156" s="242"/>
      <c r="AM156" s="242"/>
      <c r="AN156" s="242"/>
      <c r="AO156" s="242"/>
      <c r="AP156" s="242"/>
    </row>
    <row r="157">
      <c r="A157" s="242"/>
      <c r="B157" s="242"/>
      <c r="C157" s="242"/>
      <c r="D157" s="242"/>
      <c r="E157" s="242"/>
      <c r="F157" s="242"/>
      <c r="G157" s="242"/>
      <c r="H157" s="242"/>
      <c r="I157" s="242"/>
      <c r="J157" s="242"/>
      <c r="K157" s="242"/>
      <c r="L157" s="242"/>
      <c r="M157" s="242"/>
      <c r="N157" s="242"/>
      <c r="O157" s="242"/>
      <c r="P157" s="13"/>
      <c r="Q157" s="13"/>
      <c r="R157" s="13"/>
      <c r="S157" s="13"/>
      <c r="T157" s="13"/>
      <c r="U157" s="13"/>
      <c r="V157" s="13"/>
      <c r="W157" s="13"/>
      <c r="X157" s="13"/>
      <c r="Y157" s="13"/>
      <c r="Z157" s="13"/>
      <c r="AA157" s="13"/>
      <c r="AB157" s="13"/>
      <c r="AC157" s="13"/>
      <c r="AD157" s="13"/>
      <c r="AE157" s="13"/>
      <c r="AF157" s="242"/>
      <c r="AG157" s="242"/>
      <c r="AH157" s="242"/>
      <c r="AI157" s="242"/>
      <c r="AJ157" s="242"/>
      <c r="AK157" s="242"/>
      <c r="AL157" s="242"/>
      <c r="AM157" s="242"/>
      <c r="AN157" s="242"/>
      <c r="AO157" s="242"/>
      <c r="AP157" s="242"/>
    </row>
    <row r="158">
      <c r="A158" s="242"/>
      <c r="B158" s="242"/>
      <c r="C158" s="242"/>
      <c r="D158" s="242"/>
      <c r="E158" s="242"/>
      <c r="F158" s="242"/>
      <c r="G158" s="242"/>
      <c r="H158" s="242"/>
      <c r="I158" s="242"/>
      <c r="J158" s="242"/>
      <c r="K158" s="242"/>
      <c r="L158" s="242"/>
      <c r="M158" s="242"/>
      <c r="N158" s="242"/>
      <c r="O158" s="242"/>
      <c r="P158" s="13"/>
      <c r="Q158" s="13"/>
      <c r="R158" s="13"/>
      <c r="S158" s="13"/>
      <c r="T158" s="13"/>
      <c r="U158" s="13"/>
      <c r="V158" s="13"/>
      <c r="W158" s="13"/>
      <c r="X158" s="13"/>
      <c r="Y158" s="13"/>
      <c r="Z158" s="13"/>
      <c r="AA158" s="13"/>
      <c r="AB158" s="13"/>
      <c r="AC158" s="13"/>
      <c r="AD158" s="13"/>
      <c r="AE158" s="13"/>
      <c r="AF158" s="242"/>
      <c r="AG158" s="242"/>
      <c r="AH158" s="242"/>
      <c r="AI158" s="242"/>
      <c r="AJ158" s="242"/>
      <c r="AK158" s="242"/>
      <c r="AL158" s="242"/>
      <c r="AM158" s="242"/>
      <c r="AN158" s="242"/>
      <c r="AO158" s="242"/>
      <c r="AP158" s="242"/>
    </row>
    <row r="159">
      <c r="A159" s="242"/>
      <c r="B159" s="242"/>
      <c r="C159" s="242"/>
      <c r="D159" s="242"/>
      <c r="E159" s="242"/>
      <c r="F159" s="242"/>
      <c r="G159" s="242"/>
      <c r="H159" s="242"/>
      <c r="I159" s="242"/>
      <c r="J159" s="242"/>
      <c r="K159" s="242"/>
      <c r="L159" s="242"/>
      <c r="M159" s="242"/>
      <c r="N159" s="242"/>
      <c r="O159" s="242"/>
      <c r="P159" s="13"/>
      <c r="Q159" s="13"/>
      <c r="R159" s="13"/>
      <c r="S159" s="13"/>
      <c r="T159" s="13"/>
      <c r="U159" s="13"/>
      <c r="V159" s="13"/>
      <c r="W159" s="13"/>
      <c r="X159" s="13"/>
      <c r="Y159" s="13"/>
      <c r="Z159" s="13"/>
      <c r="AA159" s="13"/>
      <c r="AB159" s="13"/>
      <c r="AC159" s="13"/>
      <c r="AD159" s="13"/>
      <c r="AE159" s="13"/>
      <c r="AF159" s="242"/>
      <c r="AG159" s="242"/>
      <c r="AH159" s="242"/>
      <c r="AI159" s="242"/>
      <c r="AJ159" s="242"/>
      <c r="AK159" s="242"/>
      <c r="AL159" s="242"/>
      <c r="AM159" s="242"/>
      <c r="AN159" s="242"/>
      <c r="AO159" s="242"/>
      <c r="AP159" s="242"/>
    </row>
    <row r="160">
      <c r="A160" s="242"/>
      <c r="B160" s="242"/>
      <c r="C160" s="242"/>
      <c r="D160" s="242"/>
      <c r="E160" s="242"/>
      <c r="F160" s="242"/>
      <c r="G160" s="242"/>
      <c r="H160" s="242"/>
      <c r="I160" s="242"/>
      <c r="J160" s="242"/>
      <c r="K160" s="242"/>
      <c r="L160" s="242"/>
      <c r="M160" s="242"/>
      <c r="N160" s="242"/>
      <c r="O160" s="242"/>
      <c r="P160" s="13"/>
      <c r="Q160" s="13"/>
      <c r="R160" s="13"/>
      <c r="S160" s="13"/>
      <c r="T160" s="13"/>
      <c r="U160" s="13"/>
      <c r="V160" s="13"/>
      <c r="W160" s="13"/>
      <c r="X160" s="13"/>
      <c r="Y160" s="13"/>
      <c r="Z160" s="13"/>
      <c r="AA160" s="13"/>
      <c r="AB160" s="13"/>
      <c r="AC160" s="13"/>
      <c r="AD160" s="13"/>
      <c r="AE160" s="13"/>
      <c r="AF160" s="242"/>
      <c r="AG160" s="242"/>
      <c r="AH160" s="242"/>
      <c r="AI160" s="242"/>
      <c r="AJ160" s="242"/>
      <c r="AK160" s="242"/>
      <c r="AL160" s="242"/>
      <c r="AM160" s="242"/>
      <c r="AN160" s="242"/>
      <c r="AO160" s="242"/>
      <c r="AP160" s="242"/>
    </row>
    <row r="161">
      <c r="A161" s="242"/>
      <c r="B161" s="242"/>
      <c r="C161" s="242"/>
      <c r="D161" s="242"/>
      <c r="E161" s="242"/>
      <c r="F161" s="242"/>
      <c r="G161" s="242"/>
      <c r="H161" s="242"/>
      <c r="I161" s="242"/>
      <c r="J161" s="242"/>
      <c r="K161" s="242"/>
      <c r="L161" s="242"/>
      <c r="M161" s="242"/>
      <c r="N161" s="242"/>
      <c r="O161" s="242"/>
      <c r="P161" s="13"/>
      <c r="Q161" s="13"/>
      <c r="R161" s="13"/>
      <c r="S161" s="13"/>
      <c r="T161" s="13"/>
      <c r="U161" s="13"/>
      <c r="V161" s="13"/>
      <c r="W161" s="13"/>
      <c r="X161" s="13"/>
      <c r="Y161" s="13"/>
      <c r="Z161" s="13"/>
      <c r="AA161" s="13"/>
      <c r="AB161" s="13"/>
      <c r="AC161" s="13"/>
      <c r="AD161" s="13"/>
      <c r="AE161" s="13"/>
      <c r="AF161" s="242"/>
      <c r="AG161" s="242"/>
      <c r="AH161" s="242"/>
      <c r="AI161" s="242"/>
      <c r="AJ161" s="242"/>
      <c r="AK161" s="242"/>
      <c r="AL161" s="242"/>
      <c r="AM161" s="242"/>
      <c r="AN161" s="242"/>
      <c r="AO161" s="242"/>
      <c r="AP161" s="242"/>
    </row>
    <row r="162">
      <c r="A162" s="242"/>
      <c r="B162" s="242"/>
      <c r="C162" s="242"/>
      <c r="D162" s="242"/>
      <c r="E162" s="242"/>
      <c r="F162" s="242"/>
      <c r="G162" s="242"/>
      <c r="H162" s="242"/>
      <c r="I162" s="242"/>
      <c r="J162" s="242"/>
      <c r="K162" s="242"/>
      <c r="L162" s="242"/>
      <c r="M162" s="242"/>
      <c r="N162" s="242"/>
      <c r="O162" s="242"/>
      <c r="P162" s="13"/>
      <c r="Q162" s="13"/>
      <c r="R162" s="13"/>
      <c r="S162" s="13"/>
      <c r="T162" s="13"/>
      <c r="U162" s="13"/>
      <c r="V162" s="13"/>
      <c r="W162" s="13"/>
      <c r="X162" s="13"/>
      <c r="Y162" s="13"/>
      <c r="Z162" s="13"/>
      <c r="AA162" s="13"/>
      <c r="AB162" s="13"/>
      <c r="AC162" s="13"/>
      <c r="AD162" s="13"/>
      <c r="AE162" s="13"/>
      <c r="AF162" s="242"/>
      <c r="AG162" s="242"/>
      <c r="AH162" s="242"/>
      <c r="AI162" s="242"/>
      <c r="AJ162" s="242"/>
      <c r="AK162" s="242"/>
      <c r="AL162" s="242"/>
      <c r="AM162" s="242"/>
      <c r="AN162" s="242"/>
      <c r="AO162" s="242"/>
      <c r="AP162" s="242"/>
    </row>
    <row r="163">
      <c r="A163" s="242"/>
      <c r="B163" s="242"/>
      <c r="C163" s="242"/>
      <c r="D163" s="242"/>
      <c r="E163" s="242"/>
      <c r="F163" s="242"/>
      <c r="G163" s="242"/>
      <c r="H163" s="242"/>
      <c r="I163" s="242"/>
      <c r="J163" s="242"/>
      <c r="K163" s="242"/>
      <c r="L163" s="242"/>
      <c r="M163" s="242"/>
      <c r="N163" s="242"/>
      <c r="O163" s="242"/>
      <c r="P163" s="13"/>
      <c r="Q163" s="13"/>
      <c r="R163" s="13"/>
      <c r="S163" s="13"/>
      <c r="T163" s="13"/>
      <c r="U163" s="13"/>
      <c r="V163" s="13"/>
      <c r="W163" s="13"/>
      <c r="X163" s="13"/>
      <c r="Y163" s="13"/>
      <c r="Z163" s="13"/>
      <c r="AA163" s="13"/>
      <c r="AB163" s="13"/>
      <c r="AC163" s="13"/>
      <c r="AD163" s="13"/>
      <c r="AE163" s="13"/>
      <c r="AF163" s="242"/>
      <c r="AG163" s="242"/>
      <c r="AH163" s="242"/>
      <c r="AI163" s="242"/>
      <c r="AJ163" s="242"/>
      <c r="AK163" s="242"/>
      <c r="AL163" s="242"/>
      <c r="AM163" s="242"/>
      <c r="AN163" s="242"/>
      <c r="AO163" s="242"/>
      <c r="AP163" s="242"/>
    </row>
    <row r="164">
      <c r="A164" s="242"/>
      <c r="B164" s="242"/>
      <c r="C164" s="242"/>
      <c r="D164" s="242"/>
      <c r="E164" s="242"/>
      <c r="F164" s="242"/>
      <c r="G164" s="242"/>
      <c r="H164" s="242"/>
      <c r="I164" s="242"/>
      <c r="J164" s="242"/>
      <c r="K164" s="242"/>
      <c r="L164" s="242"/>
      <c r="M164" s="242"/>
      <c r="N164" s="242"/>
      <c r="O164" s="242"/>
      <c r="P164" s="13"/>
      <c r="Q164" s="13"/>
      <c r="R164" s="13"/>
      <c r="S164" s="13"/>
      <c r="T164" s="13"/>
      <c r="U164" s="13"/>
      <c r="V164" s="13"/>
      <c r="W164" s="13"/>
      <c r="X164" s="13"/>
      <c r="Y164" s="13"/>
      <c r="Z164" s="13"/>
      <c r="AA164" s="13"/>
      <c r="AB164" s="13"/>
      <c r="AC164" s="13"/>
      <c r="AD164" s="13"/>
      <c r="AE164" s="13"/>
      <c r="AF164" s="242"/>
      <c r="AG164" s="242"/>
      <c r="AH164" s="242"/>
      <c r="AI164" s="242"/>
      <c r="AJ164" s="242"/>
      <c r="AK164" s="242"/>
      <c r="AL164" s="242"/>
      <c r="AM164" s="242"/>
      <c r="AN164" s="242"/>
      <c r="AO164" s="242"/>
      <c r="AP164" s="242"/>
    </row>
    <row r="165">
      <c r="A165" s="242"/>
      <c r="B165" s="242"/>
      <c r="C165" s="242"/>
      <c r="D165" s="242"/>
      <c r="E165" s="242"/>
      <c r="F165" s="242"/>
      <c r="G165" s="242"/>
      <c r="H165" s="242"/>
      <c r="I165" s="242"/>
      <c r="J165" s="242"/>
      <c r="K165" s="242"/>
      <c r="L165" s="242"/>
      <c r="M165" s="242"/>
      <c r="N165" s="242"/>
      <c r="O165" s="242"/>
      <c r="P165" s="13"/>
      <c r="Q165" s="13"/>
      <c r="R165" s="13"/>
      <c r="S165" s="13"/>
      <c r="T165" s="13"/>
      <c r="U165" s="13"/>
      <c r="V165" s="13"/>
      <c r="W165" s="13"/>
      <c r="X165" s="13"/>
      <c r="Y165" s="13"/>
      <c r="Z165" s="13"/>
      <c r="AA165" s="13"/>
      <c r="AB165" s="13"/>
      <c r="AC165" s="13"/>
      <c r="AD165" s="13"/>
      <c r="AE165" s="13"/>
      <c r="AF165" s="242"/>
      <c r="AG165" s="242"/>
      <c r="AH165" s="242"/>
      <c r="AI165" s="242"/>
      <c r="AJ165" s="242"/>
      <c r="AK165" s="242"/>
      <c r="AL165" s="242"/>
      <c r="AM165" s="242"/>
      <c r="AN165" s="242"/>
      <c r="AO165" s="242"/>
      <c r="AP165" s="242"/>
    </row>
    <row r="166">
      <c r="A166" s="242"/>
      <c r="B166" s="242"/>
      <c r="C166" s="242"/>
      <c r="D166" s="242"/>
      <c r="E166" s="242"/>
      <c r="F166" s="242"/>
      <c r="G166" s="242"/>
      <c r="H166" s="242"/>
      <c r="I166" s="242"/>
      <c r="J166" s="242"/>
      <c r="K166" s="242"/>
      <c r="L166" s="242"/>
      <c r="M166" s="242"/>
      <c r="N166" s="242"/>
      <c r="O166" s="242"/>
      <c r="P166" s="13"/>
      <c r="Q166" s="13"/>
      <c r="R166" s="13"/>
      <c r="S166" s="13"/>
      <c r="T166" s="13"/>
      <c r="U166" s="13"/>
      <c r="V166" s="13"/>
      <c r="W166" s="13"/>
      <c r="X166" s="13"/>
      <c r="Y166" s="13"/>
      <c r="Z166" s="13"/>
      <c r="AA166" s="13"/>
      <c r="AB166" s="13"/>
      <c r="AC166" s="13"/>
      <c r="AD166" s="13"/>
      <c r="AE166" s="13"/>
      <c r="AF166" s="242"/>
      <c r="AG166" s="242"/>
      <c r="AH166" s="242"/>
      <c r="AI166" s="242"/>
      <c r="AJ166" s="242"/>
      <c r="AK166" s="242"/>
      <c r="AL166" s="242"/>
      <c r="AM166" s="242"/>
      <c r="AN166" s="242"/>
      <c r="AO166" s="242"/>
      <c r="AP166" s="242"/>
    </row>
    <row r="167">
      <c r="A167" s="242"/>
      <c r="B167" s="242"/>
      <c r="C167" s="242"/>
      <c r="D167" s="242"/>
      <c r="E167" s="242"/>
      <c r="F167" s="242"/>
      <c r="G167" s="242"/>
      <c r="H167" s="242"/>
      <c r="I167" s="242"/>
      <c r="J167" s="242"/>
      <c r="K167" s="242"/>
      <c r="L167" s="242"/>
      <c r="M167" s="242"/>
      <c r="N167" s="242"/>
      <c r="O167" s="242"/>
      <c r="P167" s="13"/>
      <c r="Q167" s="13"/>
      <c r="R167" s="13"/>
      <c r="S167" s="13"/>
      <c r="T167" s="13"/>
      <c r="U167" s="13"/>
      <c r="V167" s="13"/>
      <c r="W167" s="13"/>
      <c r="X167" s="13"/>
      <c r="Y167" s="13"/>
      <c r="Z167" s="13"/>
      <c r="AA167" s="13"/>
      <c r="AB167" s="13"/>
      <c r="AC167" s="13"/>
      <c r="AD167" s="13"/>
      <c r="AE167" s="13"/>
      <c r="AF167" s="242"/>
      <c r="AG167" s="242"/>
      <c r="AH167" s="242"/>
      <c r="AI167" s="242"/>
      <c r="AJ167" s="242"/>
      <c r="AK167" s="242"/>
      <c r="AL167" s="242"/>
      <c r="AM167" s="242"/>
      <c r="AN167" s="242"/>
      <c r="AO167" s="242"/>
      <c r="AP167" s="242"/>
    </row>
    <row r="168">
      <c r="A168" s="242"/>
      <c r="B168" s="242"/>
      <c r="C168" s="242"/>
      <c r="D168" s="242"/>
      <c r="E168" s="242"/>
      <c r="F168" s="242"/>
      <c r="G168" s="242"/>
      <c r="H168" s="242"/>
      <c r="I168" s="242"/>
      <c r="J168" s="242"/>
      <c r="K168" s="242"/>
      <c r="L168" s="242"/>
      <c r="M168" s="242"/>
      <c r="N168" s="242"/>
      <c r="O168" s="242"/>
      <c r="P168" s="13"/>
      <c r="Q168" s="13"/>
      <c r="R168" s="13"/>
      <c r="S168" s="13"/>
      <c r="T168" s="13"/>
      <c r="U168" s="13"/>
      <c r="V168" s="13"/>
      <c r="W168" s="13"/>
      <c r="X168" s="13"/>
      <c r="Y168" s="13"/>
      <c r="Z168" s="13"/>
      <c r="AA168" s="13"/>
      <c r="AB168" s="13"/>
      <c r="AC168" s="13"/>
      <c r="AD168" s="13"/>
      <c r="AE168" s="13"/>
      <c r="AF168" s="242"/>
      <c r="AG168" s="242"/>
      <c r="AH168" s="242"/>
      <c r="AI168" s="242"/>
      <c r="AJ168" s="242"/>
      <c r="AK168" s="242"/>
      <c r="AL168" s="242"/>
      <c r="AM168" s="242"/>
      <c r="AN168" s="242"/>
      <c r="AO168" s="242"/>
      <c r="AP168" s="242"/>
    </row>
    <row r="169">
      <c r="A169" s="242"/>
      <c r="B169" s="242"/>
      <c r="C169" s="242"/>
      <c r="D169" s="242"/>
      <c r="E169" s="242"/>
      <c r="F169" s="242"/>
      <c r="G169" s="242"/>
      <c r="H169" s="242"/>
      <c r="I169" s="242"/>
      <c r="J169" s="242"/>
      <c r="K169" s="242"/>
      <c r="L169" s="242"/>
      <c r="M169" s="242"/>
      <c r="N169" s="242"/>
      <c r="O169" s="242"/>
      <c r="P169" s="13"/>
      <c r="Q169" s="13"/>
      <c r="R169" s="13"/>
      <c r="S169" s="13"/>
      <c r="T169" s="13"/>
      <c r="U169" s="13"/>
      <c r="V169" s="13"/>
      <c r="W169" s="13"/>
      <c r="X169" s="13"/>
      <c r="Y169" s="13"/>
      <c r="Z169" s="13"/>
      <c r="AA169" s="13"/>
      <c r="AB169" s="13"/>
      <c r="AC169" s="13"/>
      <c r="AD169" s="13"/>
      <c r="AE169" s="13"/>
      <c r="AF169" s="242"/>
      <c r="AG169" s="242"/>
      <c r="AH169" s="242"/>
      <c r="AI169" s="242"/>
      <c r="AJ169" s="242"/>
      <c r="AK169" s="242"/>
      <c r="AL169" s="242"/>
      <c r="AM169" s="242"/>
      <c r="AN169" s="242"/>
      <c r="AO169" s="242"/>
      <c r="AP169" s="242"/>
    </row>
    <row r="170">
      <c r="A170" s="242"/>
      <c r="B170" s="242"/>
      <c r="C170" s="242"/>
      <c r="D170" s="242"/>
      <c r="E170" s="242"/>
      <c r="F170" s="242"/>
      <c r="G170" s="242"/>
      <c r="H170" s="242"/>
      <c r="I170" s="242"/>
      <c r="J170" s="242"/>
      <c r="K170" s="242"/>
      <c r="L170" s="242"/>
      <c r="M170" s="242"/>
      <c r="N170" s="242"/>
      <c r="O170" s="242"/>
      <c r="P170" s="13"/>
      <c r="Q170" s="13"/>
      <c r="R170" s="13"/>
      <c r="S170" s="13"/>
      <c r="T170" s="13"/>
      <c r="U170" s="13"/>
      <c r="V170" s="13"/>
      <c r="W170" s="13"/>
      <c r="X170" s="13"/>
      <c r="Y170" s="13"/>
      <c r="Z170" s="13"/>
      <c r="AA170" s="13"/>
      <c r="AB170" s="13"/>
      <c r="AC170" s="13"/>
      <c r="AD170" s="13"/>
      <c r="AE170" s="13"/>
      <c r="AF170" s="242"/>
      <c r="AG170" s="242"/>
      <c r="AH170" s="242"/>
      <c r="AI170" s="242"/>
      <c r="AJ170" s="242"/>
      <c r="AK170" s="242"/>
      <c r="AL170" s="242"/>
      <c r="AM170" s="242"/>
      <c r="AN170" s="242"/>
      <c r="AO170" s="242"/>
      <c r="AP170" s="242"/>
    </row>
    <row r="171">
      <c r="A171" s="242"/>
      <c r="B171" s="242"/>
      <c r="C171" s="242"/>
      <c r="D171" s="242"/>
      <c r="E171" s="242"/>
      <c r="F171" s="242"/>
      <c r="G171" s="242"/>
      <c r="H171" s="242"/>
      <c r="I171" s="242"/>
      <c r="J171" s="242"/>
      <c r="K171" s="242"/>
      <c r="L171" s="242"/>
      <c r="M171" s="242"/>
      <c r="N171" s="242"/>
      <c r="O171" s="242"/>
      <c r="P171" s="13"/>
      <c r="Q171" s="13"/>
      <c r="R171" s="13"/>
      <c r="S171" s="13"/>
      <c r="T171" s="13"/>
      <c r="U171" s="13"/>
      <c r="V171" s="13"/>
      <c r="W171" s="13"/>
      <c r="X171" s="13"/>
      <c r="Y171" s="13"/>
      <c r="Z171" s="13"/>
      <c r="AA171" s="13"/>
      <c r="AB171" s="13"/>
      <c r="AC171" s="13"/>
      <c r="AD171" s="13"/>
      <c r="AE171" s="13"/>
      <c r="AF171" s="242"/>
      <c r="AG171" s="242"/>
      <c r="AH171" s="242"/>
      <c r="AI171" s="242"/>
      <c r="AJ171" s="242"/>
      <c r="AK171" s="242"/>
      <c r="AL171" s="242"/>
      <c r="AM171" s="242"/>
      <c r="AN171" s="242"/>
      <c r="AO171" s="242"/>
      <c r="AP171" s="242"/>
    </row>
    <row r="172">
      <c r="A172" s="242"/>
      <c r="B172" s="242"/>
      <c r="C172" s="242"/>
      <c r="D172" s="242"/>
      <c r="E172" s="242"/>
      <c r="F172" s="242"/>
      <c r="G172" s="242"/>
      <c r="H172" s="242"/>
      <c r="I172" s="242"/>
      <c r="J172" s="242"/>
      <c r="K172" s="242"/>
      <c r="L172" s="242"/>
      <c r="M172" s="242"/>
      <c r="N172" s="242"/>
      <c r="O172" s="242"/>
      <c r="P172" s="13"/>
      <c r="Q172" s="13"/>
      <c r="R172" s="13"/>
      <c r="S172" s="13"/>
      <c r="T172" s="13"/>
      <c r="U172" s="13"/>
      <c r="V172" s="13"/>
      <c r="W172" s="13"/>
      <c r="X172" s="13"/>
      <c r="Y172" s="13"/>
      <c r="Z172" s="13"/>
      <c r="AA172" s="13"/>
      <c r="AB172" s="13"/>
      <c r="AC172" s="13"/>
      <c r="AD172" s="13"/>
      <c r="AE172" s="13"/>
      <c r="AF172" s="242"/>
      <c r="AG172" s="242"/>
      <c r="AH172" s="242"/>
      <c r="AI172" s="242"/>
      <c r="AJ172" s="242"/>
      <c r="AK172" s="242"/>
      <c r="AL172" s="242"/>
      <c r="AM172" s="242"/>
      <c r="AN172" s="242"/>
      <c r="AO172" s="242"/>
      <c r="AP172" s="242"/>
    </row>
    <row r="173">
      <c r="A173" s="242"/>
      <c r="B173" s="242"/>
      <c r="C173" s="242"/>
      <c r="D173" s="242"/>
      <c r="E173" s="242"/>
      <c r="F173" s="242"/>
      <c r="G173" s="242"/>
      <c r="H173" s="242"/>
      <c r="I173" s="242"/>
      <c r="J173" s="242"/>
      <c r="K173" s="242"/>
      <c r="L173" s="242"/>
      <c r="M173" s="242"/>
      <c r="N173" s="242"/>
      <c r="O173" s="242"/>
      <c r="P173" s="13"/>
      <c r="Q173" s="13"/>
      <c r="R173" s="13"/>
      <c r="S173" s="13"/>
      <c r="T173" s="13"/>
      <c r="U173" s="13"/>
      <c r="V173" s="13"/>
      <c r="W173" s="13"/>
      <c r="X173" s="13"/>
      <c r="Y173" s="13"/>
      <c r="Z173" s="13"/>
      <c r="AA173" s="13"/>
      <c r="AB173" s="13"/>
      <c r="AC173" s="13"/>
      <c r="AD173" s="13"/>
      <c r="AE173" s="13"/>
      <c r="AF173" s="242"/>
      <c r="AG173" s="242"/>
      <c r="AH173" s="242"/>
      <c r="AI173" s="242"/>
      <c r="AJ173" s="242"/>
      <c r="AK173" s="242"/>
      <c r="AL173" s="242"/>
      <c r="AM173" s="242"/>
      <c r="AN173" s="242"/>
      <c r="AO173" s="242"/>
      <c r="AP173" s="242"/>
    </row>
    <row r="174">
      <c r="A174" s="242"/>
      <c r="B174" s="242"/>
      <c r="C174" s="242"/>
      <c r="D174" s="242"/>
      <c r="E174" s="242"/>
      <c r="F174" s="242"/>
      <c r="G174" s="242"/>
      <c r="H174" s="242"/>
      <c r="I174" s="242"/>
      <c r="J174" s="242"/>
      <c r="K174" s="242"/>
      <c r="L174" s="242"/>
      <c r="M174" s="242"/>
      <c r="N174" s="242"/>
      <c r="O174" s="242"/>
      <c r="P174" s="13"/>
      <c r="Q174" s="13"/>
      <c r="R174" s="13"/>
      <c r="S174" s="13"/>
      <c r="T174" s="13"/>
      <c r="U174" s="13"/>
      <c r="V174" s="13"/>
      <c r="W174" s="13"/>
      <c r="X174" s="13"/>
      <c r="Y174" s="13"/>
      <c r="Z174" s="13"/>
      <c r="AA174" s="13"/>
      <c r="AB174" s="13"/>
      <c r="AC174" s="13"/>
      <c r="AD174" s="13"/>
      <c r="AE174" s="13"/>
      <c r="AF174" s="242"/>
      <c r="AG174" s="242"/>
      <c r="AH174" s="242"/>
      <c r="AI174" s="242"/>
      <c r="AJ174" s="242"/>
      <c r="AK174" s="242"/>
      <c r="AL174" s="242"/>
      <c r="AM174" s="242"/>
      <c r="AN174" s="242"/>
      <c r="AO174" s="242"/>
      <c r="AP174" s="242"/>
    </row>
    <row r="175">
      <c r="A175" s="242"/>
      <c r="B175" s="242"/>
      <c r="C175" s="242"/>
      <c r="D175" s="242"/>
      <c r="E175" s="242"/>
      <c r="F175" s="242"/>
      <c r="G175" s="242"/>
      <c r="H175" s="242"/>
      <c r="I175" s="242"/>
      <c r="J175" s="242"/>
      <c r="K175" s="242"/>
      <c r="L175" s="242"/>
      <c r="M175" s="242"/>
      <c r="N175" s="242"/>
      <c r="O175" s="242"/>
      <c r="P175" s="13"/>
      <c r="Q175" s="13"/>
      <c r="R175" s="13"/>
      <c r="S175" s="13"/>
      <c r="T175" s="13"/>
      <c r="U175" s="13"/>
      <c r="V175" s="13"/>
      <c r="W175" s="13"/>
      <c r="X175" s="13"/>
      <c r="Y175" s="13"/>
      <c r="Z175" s="13"/>
      <c r="AA175" s="13"/>
      <c r="AB175" s="13"/>
      <c r="AC175" s="13"/>
      <c r="AD175" s="13"/>
      <c r="AE175" s="13"/>
      <c r="AF175" s="242"/>
      <c r="AG175" s="242"/>
      <c r="AH175" s="242"/>
      <c r="AI175" s="242"/>
      <c r="AJ175" s="242"/>
      <c r="AK175" s="242"/>
      <c r="AL175" s="242"/>
      <c r="AM175" s="242"/>
      <c r="AN175" s="242"/>
      <c r="AO175" s="242"/>
      <c r="AP175" s="242"/>
    </row>
    <row r="176">
      <c r="A176" s="242"/>
      <c r="B176" s="242"/>
      <c r="C176" s="242"/>
      <c r="D176" s="242"/>
      <c r="E176" s="242"/>
      <c r="F176" s="242"/>
      <c r="G176" s="242"/>
      <c r="H176" s="242"/>
      <c r="I176" s="242"/>
      <c r="J176" s="242"/>
      <c r="K176" s="242"/>
      <c r="L176" s="242"/>
      <c r="M176" s="242"/>
      <c r="N176" s="242"/>
      <c r="O176" s="242"/>
      <c r="P176" s="13"/>
      <c r="Q176" s="13"/>
      <c r="R176" s="13"/>
      <c r="S176" s="13"/>
      <c r="T176" s="13"/>
      <c r="U176" s="13"/>
      <c r="V176" s="13"/>
      <c r="W176" s="13"/>
      <c r="X176" s="13"/>
      <c r="Y176" s="13"/>
      <c r="Z176" s="13"/>
      <c r="AA176" s="13"/>
      <c r="AB176" s="13"/>
      <c r="AC176" s="13"/>
      <c r="AD176" s="13"/>
      <c r="AE176" s="13"/>
      <c r="AF176" s="242"/>
      <c r="AG176" s="242"/>
      <c r="AH176" s="242"/>
      <c r="AI176" s="242"/>
      <c r="AJ176" s="242"/>
      <c r="AK176" s="242"/>
      <c r="AL176" s="242"/>
      <c r="AM176" s="242"/>
      <c r="AN176" s="242"/>
      <c r="AO176" s="242"/>
      <c r="AP176" s="242"/>
    </row>
    <row r="177">
      <c r="A177" s="242"/>
      <c r="B177" s="242"/>
      <c r="C177" s="242"/>
      <c r="D177" s="242"/>
      <c r="E177" s="242"/>
      <c r="F177" s="242"/>
      <c r="G177" s="242"/>
      <c r="H177" s="242"/>
      <c r="I177" s="242"/>
      <c r="J177" s="242"/>
      <c r="K177" s="242"/>
      <c r="L177" s="242"/>
      <c r="M177" s="242"/>
      <c r="N177" s="242"/>
      <c r="O177" s="242"/>
      <c r="P177" s="13"/>
      <c r="Q177" s="13"/>
      <c r="R177" s="13"/>
      <c r="S177" s="13"/>
      <c r="T177" s="13"/>
      <c r="U177" s="13"/>
      <c r="V177" s="13"/>
      <c r="W177" s="13"/>
      <c r="X177" s="13"/>
      <c r="Y177" s="13"/>
      <c r="Z177" s="13"/>
      <c r="AA177" s="13"/>
      <c r="AB177" s="13"/>
      <c r="AC177" s="13"/>
      <c r="AD177" s="13"/>
      <c r="AE177" s="13"/>
      <c r="AF177" s="242"/>
      <c r="AG177" s="242"/>
      <c r="AH177" s="242"/>
      <c r="AI177" s="242"/>
      <c r="AJ177" s="242"/>
      <c r="AK177" s="242"/>
      <c r="AL177" s="242"/>
      <c r="AM177" s="242"/>
      <c r="AN177" s="242"/>
      <c r="AO177" s="242"/>
      <c r="AP177" s="242"/>
    </row>
    <row r="178">
      <c r="A178" s="242"/>
      <c r="B178" s="242"/>
      <c r="C178" s="242"/>
      <c r="D178" s="242"/>
      <c r="E178" s="242"/>
      <c r="F178" s="242"/>
      <c r="G178" s="242"/>
      <c r="H178" s="242"/>
      <c r="I178" s="242"/>
      <c r="J178" s="242"/>
      <c r="K178" s="242"/>
      <c r="L178" s="242"/>
      <c r="M178" s="242"/>
      <c r="N178" s="242"/>
      <c r="O178" s="242"/>
      <c r="P178" s="13"/>
      <c r="Q178" s="13"/>
      <c r="R178" s="13"/>
      <c r="S178" s="13"/>
      <c r="T178" s="13"/>
      <c r="U178" s="13"/>
      <c r="V178" s="13"/>
      <c r="W178" s="13"/>
      <c r="X178" s="13"/>
      <c r="Y178" s="13"/>
      <c r="Z178" s="13"/>
      <c r="AA178" s="13"/>
      <c r="AB178" s="13"/>
      <c r="AC178" s="13"/>
      <c r="AD178" s="13"/>
      <c r="AE178" s="13"/>
      <c r="AF178" s="242"/>
      <c r="AG178" s="242"/>
      <c r="AH178" s="242"/>
      <c r="AI178" s="242"/>
      <c r="AJ178" s="242"/>
      <c r="AK178" s="242"/>
      <c r="AL178" s="242"/>
      <c r="AM178" s="242"/>
      <c r="AN178" s="242"/>
      <c r="AO178" s="242"/>
      <c r="AP178" s="242"/>
    </row>
    <row r="179">
      <c r="A179" s="242"/>
      <c r="B179" s="242"/>
      <c r="C179" s="242"/>
      <c r="D179" s="242"/>
      <c r="E179" s="242"/>
      <c r="F179" s="242"/>
      <c r="G179" s="242"/>
      <c r="H179" s="242"/>
      <c r="I179" s="242"/>
      <c r="J179" s="242"/>
      <c r="K179" s="242"/>
      <c r="L179" s="242"/>
      <c r="M179" s="242"/>
      <c r="N179" s="242"/>
      <c r="O179" s="242"/>
      <c r="P179" s="13"/>
      <c r="Q179" s="13"/>
      <c r="R179" s="13"/>
      <c r="S179" s="13"/>
      <c r="T179" s="13"/>
      <c r="U179" s="13"/>
      <c r="V179" s="13"/>
      <c r="W179" s="13"/>
      <c r="X179" s="13"/>
      <c r="Y179" s="13"/>
      <c r="Z179" s="13"/>
      <c r="AA179" s="13"/>
      <c r="AB179" s="13"/>
      <c r="AC179" s="13"/>
      <c r="AD179" s="13"/>
      <c r="AE179" s="13"/>
      <c r="AF179" s="242"/>
      <c r="AG179" s="242"/>
      <c r="AH179" s="242"/>
      <c r="AI179" s="242"/>
      <c r="AJ179" s="242"/>
      <c r="AK179" s="242"/>
      <c r="AL179" s="242"/>
      <c r="AM179" s="242"/>
      <c r="AN179" s="242"/>
      <c r="AO179" s="242"/>
      <c r="AP179" s="242"/>
    </row>
    <row r="180">
      <c r="A180" s="242"/>
      <c r="B180" s="242"/>
      <c r="C180" s="242"/>
      <c r="D180" s="242"/>
      <c r="E180" s="242"/>
      <c r="F180" s="242"/>
      <c r="G180" s="242"/>
      <c r="H180" s="242"/>
      <c r="I180" s="242"/>
      <c r="J180" s="242"/>
      <c r="K180" s="242"/>
      <c r="L180" s="242"/>
      <c r="M180" s="242"/>
      <c r="N180" s="242"/>
      <c r="O180" s="242"/>
      <c r="P180" s="13"/>
      <c r="Q180" s="13"/>
      <c r="R180" s="13"/>
      <c r="S180" s="13"/>
      <c r="T180" s="13"/>
      <c r="U180" s="13"/>
      <c r="V180" s="13"/>
      <c r="W180" s="13"/>
      <c r="X180" s="13"/>
      <c r="Y180" s="13"/>
      <c r="Z180" s="13"/>
      <c r="AA180" s="13"/>
      <c r="AB180" s="13"/>
      <c r="AC180" s="13"/>
      <c r="AD180" s="13"/>
      <c r="AE180" s="13"/>
      <c r="AF180" s="242"/>
      <c r="AG180" s="242"/>
      <c r="AH180" s="242"/>
      <c r="AI180" s="242"/>
      <c r="AJ180" s="242"/>
      <c r="AK180" s="242"/>
      <c r="AL180" s="242"/>
      <c r="AM180" s="242"/>
      <c r="AN180" s="242"/>
      <c r="AO180" s="242"/>
      <c r="AP180" s="242"/>
    </row>
    <row r="181">
      <c r="A181" s="242"/>
      <c r="B181" s="242"/>
      <c r="C181" s="242"/>
      <c r="D181" s="242"/>
      <c r="E181" s="242"/>
      <c r="F181" s="242"/>
      <c r="G181" s="242"/>
      <c r="H181" s="242"/>
      <c r="I181" s="242"/>
      <c r="J181" s="242"/>
      <c r="K181" s="242"/>
      <c r="L181" s="242"/>
      <c r="M181" s="242"/>
      <c r="N181" s="242"/>
      <c r="O181" s="242"/>
      <c r="P181" s="13"/>
      <c r="Q181" s="13"/>
      <c r="R181" s="13"/>
      <c r="S181" s="13"/>
      <c r="T181" s="13"/>
      <c r="U181" s="13"/>
      <c r="V181" s="13"/>
      <c r="W181" s="13"/>
      <c r="X181" s="13"/>
      <c r="Y181" s="13"/>
      <c r="Z181" s="13"/>
      <c r="AA181" s="13"/>
      <c r="AB181" s="13"/>
      <c r="AC181" s="13"/>
      <c r="AD181" s="13"/>
      <c r="AE181" s="13"/>
      <c r="AF181" s="242"/>
      <c r="AG181" s="242"/>
      <c r="AH181" s="242"/>
      <c r="AI181" s="242"/>
      <c r="AJ181" s="242"/>
      <c r="AK181" s="242"/>
      <c r="AL181" s="242"/>
      <c r="AM181" s="242"/>
      <c r="AN181" s="242"/>
      <c r="AO181" s="242"/>
      <c r="AP181" s="242"/>
    </row>
    <row r="182">
      <c r="A182" s="242"/>
      <c r="B182" s="242"/>
      <c r="C182" s="242"/>
      <c r="D182" s="242"/>
      <c r="E182" s="242"/>
      <c r="F182" s="242"/>
      <c r="G182" s="242"/>
      <c r="H182" s="242"/>
      <c r="I182" s="242"/>
      <c r="J182" s="242"/>
      <c r="K182" s="242"/>
      <c r="L182" s="242"/>
      <c r="M182" s="242"/>
      <c r="N182" s="242"/>
      <c r="O182" s="242"/>
      <c r="P182" s="13"/>
      <c r="Q182" s="13"/>
      <c r="R182" s="13"/>
      <c r="S182" s="13"/>
      <c r="T182" s="13"/>
      <c r="U182" s="13"/>
      <c r="V182" s="13"/>
      <c r="W182" s="13"/>
      <c r="X182" s="13"/>
      <c r="Y182" s="13"/>
      <c r="Z182" s="13"/>
      <c r="AA182" s="13"/>
      <c r="AB182" s="13"/>
      <c r="AC182" s="13"/>
      <c r="AD182" s="13"/>
      <c r="AE182" s="13"/>
      <c r="AF182" s="242"/>
      <c r="AG182" s="242"/>
      <c r="AH182" s="242"/>
      <c r="AI182" s="242"/>
      <c r="AJ182" s="242"/>
      <c r="AK182" s="242"/>
      <c r="AL182" s="242"/>
      <c r="AM182" s="242"/>
      <c r="AN182" s="242"/>
      <c r="AO182" s="242"/>
      <c r="AP182" s="242"/>
    </row>
    <row r="183">
      <c r="A183" s="242"/>
      <c r="B183" s="242"/>
      <c r="C183" s="242"/>
      <c r="D183" s="242"/>
      <c r="E183" s="242"/>
      <c r="F183" s="242"/>
      <c r="G183" s="242"/>
      <c r="H183" s="242"/>
      <c r="I183" s="242"/>
      <c r="J183" s="242"/>
      <c r="K183" s="242"/>
      <c r="L183" s="242"/>
      <c r="M183" s="242"/>
      <c r="N183" s="242"/>
      <c r="O183" s="242"/>
      <c r="P183" s="13"/>
      <c r="Q183" s="13"/>
      <c r="R183" s="13"/>
      <c r="S183" s="13"/>
      <c r="T183" s="13"/>
      <c r="U183" s="13"/>
      <c r="V183" s="13"/>
      <c r="W183" s="13"/>
      <c r="X183" s="13"/>
      <c r="Y183" s="13"/>
      <c r="Z183" s="13"/>
      <c r="AA183" s="13"/>
      <c r="AB183" s="13"/>
      <c r="AC183" s="13"/>
      <c r="AD183" s="13"/>
      <c r="AE183" s="13"/>
      <c r="AF183" s="242"/>
      <c r="AG183" s="242"/>
      <c r="AH183" s="242"/>
      <c r="AI183" s="242"/>
      <c r="AJ183" s="242"/>
      <c r="AK183" s="242"/>
      <c r="AL183" s="242"/>
      <c r="AM183" s="242"/>
      <c r="AN183" s="242"/>
      <c r="AO183" s="242"/>
      <c r="AP183" s="242"/>
    </row>
    <row r="184">
      <c r="A184" s="242"/>
      <c r="B184" s="242"/>
      <c r="C184" s="242"/>
      <c r="D184" s="242"/>
      <c r="E184" s="242"/>
      <c r="F184" s="242"/>
      <c r="G184" s="242"/>
      <c r="H184" s="242"/>
      <c r="I184" s="242"/>
      <c r="J184" s="242"/>
      <c r="K184" s="242"/>
      <c r="L184" s="242"/>
      <c r="M184" s="242"/>
      <c r="N184" s="242"/>
      <c r="O184" s="242"/>
      <c r="P184" s="13"/>
      <c r="Q184" s="13"/>
      <c r="R184" s="13"/>
      <c r="S184" s="13"/>
      <c r="T184" s="13"/>
      <c r="U184" s="13"/>
      <c r="V184" s="13"/>
      <c r="W184" s="13"/>
      <c r="X184" s="13"/>
      <c r="Y184" s="13"/>
      <c r="Z184" s="13"/>
      <c r="AA184" s="13"/>
      <c r="AB184" s="13"/>
      <c r="AC184" s="13"/>
      <c r="AD184" s="13"/>
      <c r="AE184" s="13"/>
      <c r="AF184" s="242"/>
      <c r="AG184" s="242"/>
      <c r="AH184" s="242"/>
      <c r="AI184" s="242"/>
      <c r="AJ184" s="242"/>
      <c r="AK184" s="242"/>
      <c r="AL184" s="242"/>
      <c r="AM184" s="242"/>
      <c r="AN184" s="242"/>
      <c r="AO184" s="242"/>
      <c r="AP184" s="242"/>
    </row>
    <row r="185">
      <c r="A185" s="242"/>
      <c r="B185" s="242"/>
      <c r="C185" s="242"/>
      <c r="D185" s="242"/>
      <c r="E185" s="242"/>
      <c r="F185" s="242"/>
      <c r="G185" s="242"/>
      <c r="H185" s="242"/>
      <c r="I185" s="242"/>
      <c r="J185" s="242"/>
      <c r="K185" s="242"/>
      <c r="L185" s="242"/>
      <c r="M185" s="242"/>
      <c r="N185" s="242"/>
      <c r="O185" s="242"/>
      <c r="P185" s="13"/>
      <c r="Q185" s="13"/>
      <c r="R185" s="13"/>
      <c r="S185" s="13"/>
      <c r="T185" s="13"/>
      <c r="U185" s="13"/>
      <c r="V185" s="13"/>
      <c r="W185" s="13"/>
      <c r="X185" s="13"/>
      <c r="Y185" s="13"/>
      <c r="Z185" s="13"/>
      <c r="AA185" s="13"/>
      <c r="AB185" s="13"/>
      <c r="AC185" s="13"/>
      <c r="AD185" s="13"/>
      <c r="AE185" s="13"/>
      <c r="AF185" s="242"/>
      <c r="AG185" s="242"/>
      <c r="AH185" s="242"/>
      <c r="AI185" s="242"/>
      <c r="AJ185" s="242"/>
      <c r="AK185" s="242"/>
      <c r="AL185" s="242"/>
      <c r="AM185" s="242"/>
      <c r="AN185" s="242"/>
      <c r="AO185" s="242"/>
      <c r="AP185" s="242"/>
    </row>
    <row r="186">
      <c r="A186" s="242"/>
      <c r="B186" s="242"/>
      <c r="C186" s="242"/>
      <c r="D186" s="242"/>
      <c r="E186" s="242"/>
      <c r="F186" s="242"/>
      <c r="G186" s="242"/>
      <c r="H186" s="242"/>
      <c r="I186" s="242"/>
      <c r="J186" s="242"/>
      <c r="K186" s="242"/>
      <c r="L186" s="242"/>
      <c r="M186" s="242"/>
      <c r="N186" s="242"/>
      <c r="O186" s="242"/>
      <c r="P186" s="13"/>
      <c r="Q186" s="13"/>
      <c r="R186" s="13"/>
      <c r="S186" s="13"/>
      <c r="T186" s="13"/>
      <c r="U186" s="13"/>
      <c r="V186" s="13"/>
      <c r="W186" s="13"/>
      <c r="X186" s="13"/>
      <c r="Y186" s="13"/>
      <c r="Z186" s="13"/>
      <c r="AA186" s="13"/>
      <c r="AB186" s="13"/>
      <c r="AC186" s="13"/>
      <c r="AD186" s="13"/>
      <c r="AE186" s="13"/>
      <c r="AF186" s="242"/>
      <c r="AG186" s="242"/>
      <c r="AH186" s="242"/>
      <c r="AI186" s="242"/>
      <c r="AJ186" s="242"/>
      <c r="AK186" s="242"/>
      <c r="AL186" s="242"/>
      <c r="AM186" s="242"/>
      <c r="AN186" s="242"/>
      <c r="AO186" s="242"/>
      <c r="AP186" s="242"/>
    </row>
    <row r="187">
      <c r="A187" s="242"/>
      <c r="B187" s="242"/>
      <c r="C187" s="242"/>
      <c r="D187" s="242"/>
      <c r="E187" s="242"/>
      <c r="F187" s="242"/>
      <c r="G187" s="242"/>
      <c r="H187" s="242"/>
      <c r="I187" s="242"/>
      <c r="J187" s="242"/>
      <c r="K187" s="242"/>
      <c r="L187" s="242"/>
      <c r="M187" s="242"/>
      <c r="N187" s="242"/>
      <c r="O187" s="242"/>
      <c r="P187" s="13"/>
      <c r="Q187" s="13"/>
      <c r="R187" s="13"/>
      <c r="S187" s="13"/>
      <c r="T187" s="13"/>
      <c r="U187" s="13"/>
      <c r="V187" s="13"/>
      <c r="W187" s="13"/>
      <c r="X187" s="13"/>
      <c r="Y187" s="13"/>
      <c r="Z187" s="13"/>
      <c r="AA187" s="13"/>
      <c r="AB187" s="13"/>
      <c r="AC187" s="13"/>
      <c r="AD187" s="13"/>
      <c r="AE187" s="13"/>
      <c r="AF187" s="242"/>
      <c r="AG187" s="242"/>
      <c r="AH187" s="242"/>
      <c r="AI187" s="242"/>
      <c r="AJ187" s="242"/>
      <c r="AK187" s="242"/>
      <c r="AL187" s="242"/>
      <c r="AM187" s="242"/>
      <c r="AN187" s="242"/>
      <c r="AO187" s="242"/>
      <c r="AP187" s="242"/>
    </row>
    <row r="188">
      <c r="A188" s="242"/>
      <c r="B188" s="242"/>
      <c r="C188" s="242"/>
      <c r="D188" s="242"/>
      <c r="E188" s="242"/>
      <c r="F188" s="242"/>
      <c r="G188" s="242"/>
      <c r="H188" s="242"/>
      <c r="I188" s="242"/>
      <c r="J188" s="242"/>
      <c r="K188" s="242"/>
      <c r="L188" s="242"/>
      <c r="M188" s="242"/>
      <c r="N188" s="242"/>
      <c r="O188" s="242"/>
      <c r="P188" s="13"/>
      <c r="Q188" s="13"/>
      <c r="R188" s="13"/>
      <c r="S188" s="13"/>
      <c r="T188" s="13"/>
      <c r="U188" s="13"/>
      <c r="V188" s="13"/>
      <c r="W188" s="13"/>
      <c r="X188" s="13"/>
      <c r="Y188" s="13"/>
      <c r="Z188" s="13"/>
      <c r="AA188" s="13"/>
      <c r="AB188" s="13"/>
      <c r="AC188" s="13"/>
      <c r="AD188" s="13"/>
      <c r="AE188" s="13"/>
      <c r="AF188" s="242"/>
      <c r="AG188" s="242"/>
      <c r="AH188" s="242"/>
      <c r="AI188" s="242"/>
      <c r="AJ188" s="242"/>
      <c r="AK188" s="242"/>
      <c r="AL188" s="242"/>
      <c r="AM188" s="242"/>
      <c r="AN188" s="242"/>
      <c r="AO188" s="242"/>
      <c r="AP188" s="242"/>
    </row>
    <row r="189">
      <c r="A189" s="242"/>
      <c r="B189" s="242"/>
      <c r="C189" s="242"/>
      <c r="D189" s="242"/>
      <c r="E189" s="242"/>
      <c r="F189" s="242"/>
      <c r="G189" s="242"/>
      <c r="H189" s="242"/>
      <c r="I189" s="242"/>
      <c r="J189" s="242"/>
      <c r="K189" s="242"/>
      <c r="L189" s="242"/>
      <c r="M189" s="242"/>
      <c r="N189" s="242"/>
      <c r="O189" s="242"/>
      <c r="P189" s="13"/>
      <c r="Q189" s="13"/>
      <c r="R189" s="13"/>
      <c r="S189" s="13"/>
      <c r="T189" s="13"/>
      <c r="U189" s="13"/>
      <c r="V189" s="13"/>
      <c r="W189" s="13"/>
      <c r="X189" s="13"/>
      <c r="Y189" s="13"/>
      <c r="Z189" s="13"/>
      <c r="AA189" s="13"/>
      <c r="AB189" s="13"/>
      <c r="AC189" s="13"/>
      <c r="AD189" s="13"/>
      <c r="AE189" s="13"/>
      <c r="AF189" s="242"/>
      <c r="AG189" s="242"/>
      <c r="AH189" s="242"/>
      <c r="AI189" s="242"/>
      <c r="AJ189" s="242"/>
      <c r="AK189" s="242"/>
      <c r="AL189" s="242"/>
      <c r="AM189" s="242"/>
      <c r="AN189" s="242"/>
      <c r="AO189" s="242"/>
      <c r="AP189" s="242"/>
    </row>
    <row r="190">
      <c r="A190" s="242"/>
      <c r="B190" s="242"/>
      <c r="C190" s="242"/>
      <c r="D190" s="242"/>
      <c r="E190" s="242"/>
      <c r="F190" s="242"/>
      <c r="G190" s="242"/>
      <c r="H190" s="242"/>
      <c r="I190" s="242"/>
      <c r="J190" s="242"/>
      <c r="K190" s="242"/>
      <c r="L190" s="242"/>
      <c r="M190" s="242"/>
      <c r="N190" s="242"/>
      <c r="O190" s="242"/>
      <c r="P190" s="13"/>
      <c r="Q190" s="13"/>
      <c r="R190" s="13"/>
      <c r="S190" s="13"/>
      <c r="T190" s="13"/>
      <c r="U190" s="13"/>
      <c r="V190" s="13"/>
      <c r="W190" s="13"/>
      <c r="X190" s="13"/>
      <c r="Y190" s="13"/>
      <c r="Z190" s="13"/>
      <c r="AA190" s="13"/>
      <c r="AB190" s="13"/>
      <c r="AC190" s="13"/>
      <c r="AD190" s="13"/>
      <c r="AE190" s="13"/>
      <c r="AF190" s="242"/>
      <c r="AG190" s="242"/>
      <c r="AH190" s="242"/>
      <c r="AI190" s="242"/>
      <c r="AJ190" s="242"/>
      <c r="AK190" s="242"/>
      <c r="AL190" s="242"/>
      <c r="AM190" s="242"/>
      <c r="AN190" s="242"/>
      <c r="AO190" s="242"/>
      <c r="AP190" s="242"/>
    </row>
    <row r="191">
      <c r="A191" s="242"/>
      <c r="B191" s="242"/>
      <c r="C191" s="242"/>
      <c r="D191" s="242"/>
      <c r="E191" s="242"/>
      <c r="F191" s="242"/>
      <c r="G191" s="242"/>
      <c r="H191" s="242"/>
      <c r="I191" s="242"/>
      <c r="J191" s="242"/>
      <c r="K191" s="242"/>
      <c r="L191" s="242"/>
      <c r="M191" s="242"/>
      <c r="N191" s="242"/>
      <c r="O191" s="242"/>
      <c r="P191" s="13"/>
      <c r="Q191" s="13"/>
      <c r="R191" s="13"/>
      <c r="S191" s="13"/>
      <c r="T191" s="13"/>
      <c r="U191" s="13"/>
      <c r="V191" s="13"/>
      <c r="W191" s="13"/>
      <c r="X191" s="13"/>
      <c r="Y191" s="13"/>
      <c r="Z191" s="13"/>
      <c r="AA191" s="13"/>
      <c r="AB191" s="13"/>
      <c r="AC191" s="13"/>
      <c r="AD191" s="13"/>
      <c r="AE191" s="13"/>
      <c r="AF191" s="242"/>
      <c r="AG191" s="242"/>
      <c r="AH191" s="242"/>
      <c r="AI191" s="242"/>
      <c r="AJ191" s="242"/>
      <c r="AK191" s="242"/>
      <c r="AL191" s="242"/>
      <c r="AM191" s="242"/>
      <c r="AN191" s="242"/>
      <c r="AO191" s="242"/>
      <c r="AP191" s="242"/>
    </row>
    <row r="192">
      <c r="A192" s="242"/>
      <c r="B192" s="242"/>
      <c r="C192" s="242"/>
      <c r="D192" s="242"/>
      <c r="E192" s="242"/>
      <c r="F192" s="242"/>
      <c r="G192" s="242"/>
      <c r="H192" s="242"/>
      <c r="I192" s="242"/>
      <c r="J192" s="242"/>
      <c r="K192" s="242"/>
      <c r="L192" s="242"/>
      <c r="M192" s="242"/>
      <c r="N192" s="242"/>
      <c r="O192" s="242"/>
      <c r="P192" s="13"/>
      <c r="Q192" s="13"/>
      <c r="R192" s="13"/>
      <c r="S192" s="13"/>
      <c r="T192" s="13"/>
      <c r="U192" s="13"/>
      <c r="V192" s="13"/>
      <c r="W192" s="13"/>
      <c r="X192" s="13"/>
      <c r="Y192" s="13"/>
      <c r="Z192" s="13"/>
      <c r="AA192" s="13"/>
      <c r="AB192" s="13"/>
      <c r="AC192" s="13"/>
      <c r="AD192" s="13"/>
      <c r="AE192" s="13"/>
      <c r="AF192" s="242"/>
      <c r="AG192" s="242"/>
      <c r="AH192" s="242"/>
      <c r="AI192" s="242"/>
      <c r="AJ192" s="242"/>
      <c r="AK192" s="242"/>
      <c r="AL192" s="242"/>
      <c r="AM192" s="242"/>
      <c r="AN192" s="242"/>
      <c r="AO192" s="242"/>
      <c r="AP192" s="242"/>
    </row>
    <row r="193">
      <c r="A193" s="242"/>
      <c r="B193" s="242"/>
      <c r="C193" s="242"/>
      <c r="D193" s="242"/>
      <c r="E193" s="242"/>
      <c r="F193" s="242"/>
      <c r="G193" s="242"/>
      <c r="H193" s="242"/>
      <c r="I193" s="242"/>
      <c r="J193" s="242"/>
      <c r="K193" s="242"/>
      <c r="L193" s="242"/>
      <c r="M193" s="242"/>
      <c r="N193" s="242"/>
      <c r="O193" s="242"/>
      <c r="P193" s="13"/>
      <c r="Q193" s="13"/>
      <c r="R193" s="13"/>
      <c r="S193" s="13"/>
      <c r="T193" s="13"/>
      <c r="U193" s="13"/>
      <c r="V193" s="13"/>
      <c r="W193" s="13"/>
      <c r="X193" s="13"/>
      <c r="Y193" s="13"/>
      <c r="Z193" s="13"/>
      <c r="AA193" s="13"/>
      <c r="AB193" s="13"/>
      <c r="AC193" s="13"/>
      <c r="AD193" s="13"/>
      <c r="AE193" s="13"/>
      <c r="AF193" s="242"/>
      <c r="AG193" s="242"/>
      <c r="AH193" s="242"/>
      <c r="AI193" s="242"/>
      <c r="AJ193" s="242"/>
      <c r="AK193" s="242"/>
      <c r="AL193" s="242"/>
      <c r="AM193" s="242"/>
      <c r="AN193" s="242"/>
      <c r="AO193" s="242"/>
      <c r="AP193" s="242"/>
    </row>
    <row r="194">
      <c r="A194" s="242"/>
      <c r="B194" s="242"/>
      <c r="C194" s="242"/>
      <c r="D194" s="242"/>
      <c r="E194" s="242"/>
      <c r="F194" s="242"/>
      <c r="G194" s="242"/>
      <c r="H194" s="242"/>
      <c r="I194" s="242"/>
      <c r="J194" s="242"/>
      <c r="K194" s="242"/>
      <c r="L194" s="242"/>
      <c r="M194" s="242"/>
      <c r="N194" s="242"/>
      <c r="O194" s="242"/>
      <c r="P194" s="13"/>
      <c r="Q194" s="13"/>
      <c r="R194" s="13"/>
      <c r="S194" s="13"/>
      <c r="T194" s="13"/>
      <c r="U194" s="13"/>
      <c r="V194" s="13"/>
      <c r="W194" s="13"/>
      <c r="X194" s="13"/>
      <c r="Y194" s="13"/>
      <c r="Z194" s="13"/>
      <c r="AA194" s="13"/>
      <c r="AB194" s="13"/>
      <c r="AC194" s="13"/>
      <c r="AD194" s="13"/>
      <c r="AE194" s="13"/>
      <c r="AF194" s="242"/>
      <c r="AG194" s="242"/>
      <c r="AH194" s="242"/>
      <c r="AI194" s="242"/>
      <c r="AJ194" s="242"/>
      <c r="AK194" s="242"/>
      <c r="AL194" s="242"/>
      <c r="AM194" s="242"/>
      <c r="AN194" s="242"/>
      <c r="AO194" s="242"/>
      <c r="AP194" s="242"/>
    </row>
    <row r="195">
      <c r="A195" s="242"/>
      <c r="B195" s="242"/>
      <c r="C195" s="242"/>
      <c r="D195" s="242"/>
      <c r="E195" s="242"/>
      <c r="F195" s="242"/>
      <c r="G195" s="242"/>
      <c r="H195" s="242"/>
      <c r="I195" s="242"/>
      <c r="J195" s="242"/>
      <c r="K195" s="242"/>
      <c r="L195" s="242"/>
      <c r="M195" s="242"/>
      <c r="N195" s="242"/>
      <c r="O195" s="242"/>
      <c r="P195" s="13"/>
      <c r="Q195" s="13"/>
      <c r="R195" s="13"/>
      <c r="S195" s="13"/>
      <c r="T195" s="13"/>
      <c r="U195" s="13"/>
      <c r="V195" s="13"/>
      <c r="W195" s="13"/>
      <c r="X195" s="13"/>
      <c r="Y195" s="13"/>
      <c r="Z195" s="13"/>
      <c r="AA195" s="13"/>
      <c r="AB195" s="13"/>
      <c r="AC195" s="13"/>
      <c r="AD195" s="13"/>
      <c r="AE195" s="13"/>
      <c r="AF195" s="242"/>
      <c r="AG195" s="242"/>
      <c r="AH195" s="242"/>
      <c r="AI195" s="242"/>
      <c r="AJ195" s="242"/>
      <c r="AK195" s="242"/>
      <c r="AL195" s="242"/>
      <c r="AM195" s="242"/>
      <c r="AN195" s="242"/>
      <c r="AO195" s="242"/>
      <c r="AP195" s="242"/>
    </row>
    <row r="196">
      <c r="A196" s="242"/>
      <c r="B196" s="242"/>
      <c r="C196" s="242"/>
      <c r="D196" s="242"/>
      <c r="E196" s="242"/>
      <c r="F196" s="242"/>
      <c r="G196" s="242"/>
      <c r="H196" s="242"/>
      <c r="I196" s="242"/>
      <c r="J196" s="242"/>
      <c r="K196" s="242"/>
      <c r="L196" s="242"/>
      <c r="M196" s="242"/>
      <c r="N196" s="242"/>
      <c r="O196" s="242"/>
      <c r="P196" s="13"/>
      <c r="Q196" s="13"/>
      <c r="R196" s="13"/>
      <c r="S196" s="13"/>
      <c r="T196" s="13"/>
      <c r="U196" s="13"/>
      <c r="V196" s="13"/>
      <c r="W196" s="13"/>
      <c r="X196" s="13"/>
      <c r="Y196" s="13"/>
      <c r="Z196" s="13"/>
      <c r="AA196" s="13"/>
      <c r="AB196" s="13"/>
      <c r="AC196" s="13"/>
      <c r="AD196" s="13"/>
      <c r="AE196" s="13"/>
      <c r="AF196" s="242"/>
      <c r="AG196" s="242"/>
      <c r="AH196" s="242"/>
      <c r="AI196" s="242"/>
      <c r="AJ196" s="242"/>
      <c r="AK196" s="242"/>
      <c r="AL196" s="242"/>
      <c r="AM196" s="242"/>
      <c r="AN196" s="242"/>
      <c r="AO196" s="242"/>
      <c r="AP196" s="242"/>
    </row>
    <row r="197">
      <c r="A197" s="242"/>
      <c r="B197" s="242"/>
      <c r="C197" s="242"/>
      <c r="D197" s="242"/>
      <c r="E197" s="242"/>
      <c r="F197" s="242"/>
      <c r="G197" s="242"/>
      <c r="H197" s="242"/>
      <c r="I197" s="242"/>
      <c r="J197" s="242"/>
      <c r="K197" s="242"/>
      <c r="L197" s="242"/>
      <c r="M197" s="242"/>
      <c r="N197" s="242"/>
      <c r="O197" s="242"/>
      <c r="P197" s="13"/>
      <c r="Q197" s="13"/>
      <c r="R197" s="13"/>
      <c r="S197" s="13"/>
      <c r="T197" s="13"/>
      <c r="U197" s="13"/>
      <c r="V197" s="13"/>
      <c r="W197" s="13"/>
      <c r="X197" s="13"/>
      <c r="Y197" s="13"/>
      <c r="Z197" s="13"/>
      <c r="AA197" s="13"/>
      <c r="AB197" s="13"/>
      <c r="AC197" s="13"/>
      <c r="AD197" s="13"/>
      <c r="AE197" s="13"/>
      <c r="AF197" s="242"/>
      <c r="AG197" s="242"/>
      <c r="AH197" s="242"/>
      <c r="AI197" s="242"/>
      <c r="AJ197" s="242"/>
      <c r="AK197" s="242"/>
      <c r="AL197" s="242"/>
      <c r="AM197" s="242"/>
      <c r="AN197" s="242"/>
      <c r="AO197" s="242"/>
      <c r="AP197" s="242"/>
    </row>
    <row r="198">
      <c r="A198" s="242"/>
      <c r="B198" s="242"/>
      <c r="C198" s="242"/>
      <c r="D198" s="242"/>
      <c r="E198" s="242"/>
      <c r="F198" s="242"/>
      <c r="G198" s="242"/>
      <c r="H198" s="242"/>
      <c r="I198" s="242"/>
      <c r="J198" s="242"/>
      <c r="K198" s="242"/>
      <c r="L198" s="242"/>
      <c r="M198" s="242"/>
      <c r="N198" s="242"/>
      <c r="O198" s="242"/>
      <c r="P198" s="13"/>
      <c r="Q198" s="13"/>
      <c r="R198" s="13"/>
      <c r="S198" s="13"/>
      <c r="T198" s="13"/>
      <c r="U198" s="13"/>
      <c r="V198" s="13"/>
      <c r="W198" s="13"/>
      <c r="X198" s="13"/>
      <c r="Y198" s="13"/>
      <c r="Z198" s="13"/>
      <c r="AA198" s="13"/>
      <c r="AB198" s="13"/>
      <c r="AC198" s="13"/>
      <c r="AD198" s="13"/>
      <c r="AE198" s="13"/>
      <c r="AF198" s="242"/>
      <c r="AG198" s="242"/>
      <c r="AH198" s="242"/>
      <c r="AI198" s="242"/>
      <c r="AJ198" s="242"/>
      <c r="AK198" s="242"/>
      <c r="AL198" s="242"/>
      <c r="AM198" s="242"/>
      <c r="AN198" s="242"/>
      <c r="AO198" s="242"/>
      <c r="AP198" s="242"/>
    </row>
    <row r="199">
      <c r="A199" s="242"/>
      <c r="B199" s="242"/>
      <c r="C199" s="242"/>
      <c r="D199" s="242"/>
      <c r="E199" s="242"/>
      <c r="F199" s="242"/>
      <c r="G199" s="242"/>
      <c r="H199" s="242"/>
      <c r="I199" s="242"/>
      <c r="J199" s="242"/>
      <c r="K199" s="242"/>
      <c r="L199" s="242"/>
      <c r="M199" s="242"/>
      <c r="N199" s="242"/>
      <c r="O199" s="242"/>
      <c r="P199" s="13"/>
      <c r="Q199" s="13"/>
      <c r="R199" s="13"/>
      <c r="S199" s="13"/>
      <c r="T199" s="13"/>
      <c r="U199" s="13"/>
      <c r="V199" s="13"/>
      <c r="W199" s="13"/>
      <c r="X199" s="13"/>
      <c r="Y199" s="13"/>
      <c r="Z199" s="13"/>
      <c r="AA199" s="13"/>
      <c r="AB199" s="13"/>
      <c r="AC199" s="13"/>
      <c r="AD199" s="13"/>
      <c r="AE199" s="13"/>
      <c r="AF199" s="242"/>
      <c r="AG199" s="242"/>
      <c r="AH199" s="242"/>
      <c r="AI199" s="242"/>
      <c r="AJ199" s="242"/>
      <c r="AK199" s="242"/>
      <c r="AL199" s="242"/>
      <c r="AM199" s="242"/>
      <c r="AN199" s="242"/>
      <c r="AO199" s="242"/>
      <c r="AP199" s="242"/>
    </row>
    <row r="200">
      <c r="A200" s="242"/>
      <c r="B200" s="242"/>
      <c r="C200" s="242"/>
      <c r="D200" s="242"/>
      <c r="E200" s="242"/>
      <c r="F200" s="242"/>
      <c r="G200" s="242"/>
      <c r="H200" s="242"/>
      <c r="I200" s="242"/>
      <c r="J200" s="242"/>
      <c r="K200" s="242"/>
      <c r="L200" s="242"/>
      <c r="M200" s="242"/>
      <c r="N200" s="242"/>
      <c r="O200" s="242"/>
      <c r="P200" s="13"/>
      <c r="Q200" s="13"/>
      <c r="R200" s="13"/>
      <c r="S200" s="13"/>
      <c r="T200" s="13"/>
      <c r="U200" s="13"/>
      <c r="V200" s="13"/>
      <c r="W200" s="13"/>
      <c r="X200" s="13"/>
      <c r="Y200" s="13"/>
      <c r="Z200" s="13"/>
      <c r="AA200" s="13"/>
      <c r="AB200" s="13"/>
      <c r="AC200" s="13"/>
      <c r="AD200" s="13"/>
      <c r="AE200" s="13"/>
      <c r="AF200" s="242"/>
      <c r="AG200" s="242"/>
      <c r="AH200" s="242"/>
      <c r="AI200" s="242"/>
      <c r="AJ200" s="242"/>
      <c r="AK200" s="242"/>
      <c r="AL200" s="242"/>
      <c r="AM200" s="242"/>
      <c r="AN200" s="242"/>
      <c r="AO200" s="242"/>
      <c r="AP200" s="242"/>
    </row>
    <row r="201">
      <c r="A201" s="242"/>
      <c r="B201" s="242"/>
      <c r="C201" s="242"/>
      <c r="D201" s="242"/>
      <c r="E201" s="242"/>
      <c r="F201" s="242"/>
      <c r="G201" s="242"/>
      <c r="H201" s="242"/>
      <c r="I201" s="242"/>
      <c r="J201" s="242"/>
      <c r="K201" s="242"/>
      <c r="L201" s="242"/>
      <c r="M201" s="242"/>
      <c r="N201" s="242"/>
      <c r="O201" s="242"/>
      <c r="P201" s="13"/>
      <c r="Q201" s="13"/>
      <c r="R201" s="13"/>
      <c r="S201" s="13"/>
      <c r="T201" s="13"/>
      <c r="U201" s="13"/>
      <c r="V201" s="13"/>
      <c r="W201" s="13"/>
      <c r="X201" s="13"/>
      <c r="Y201" s="13"/>
      <c r="Z201" s="13"/>
      <c r="AA201" s="13"/>
      <c r="AB201" s="13"/>
      <c r="AC201" s="13"/>
      <c r="AD201" s="13"/>
      <c r="AE201" s="13"/>
      <c r="AF201" s="242"/>
      <c r="AG201" s="242"/>
      <c r="AH201" s="242"/>
      <c r="AI201" s="242"/>
      <c r="AJ201" s="242"/>
      <c r="AK201" s="242"/>
      <c r="AL201" s="242"/>
      <c r="AM201" s="242"/>
      <c r="AN201" s="242"/>
      <c r="AO201" s="242"/>
      <c r="AP201" s="242"/>
    </row>
    <row r="202">
      <c r="A202" s="242"/>
      <c r="B202" s="242"/>
      <c r="C202" s="242"/>
      <c r="D202" s="242"/>
      <c r="E202" s="242"/>
      <c r="F202" s="242"/>
      <c r="G202" s="242"/>
      <c r="H202" s="242"/>
      <c r="I202" s="242"/>
      <c r="J202" s="242"/>
      <c r="K202" s="242"/>
      <c r="L202" s="242"/>
      <c r="M202" s="242"/>
      <c r="N202" s="242"/>
      <c r="O202" s="242"/>
      <c r="P202" s="13"/>
      <c r="Q202" s="13"/>
      <c r="R202" s="13"/>
      <c r="S202" s="13"/>
      <c r="T202" s="13"/>
      <c r="U202" s="13"/>
      <c r="V202" s="13"/>
      <c r="W202" s="13"/>
      <c r="X202" s="13"/>
      <c r="Y202" s="13"/>
      <c r="Z202" s="13"/>
      <c r="AA202" s="13"/>
      <c r="AB202" s="13"/>
      <c r="AC202" s="13"/>
      <c r="AD202" s="13"/>
      <c r="AE202" s="13"/>
      <c r="AF202" s="242"/>
      <c r="AG202" s="242"/>
      <c r="AH202" s="242"/>
      <c r="AI202" s="242"/>
      <c r="AJ202" s="242"/>
      <c r="AK202" s="242"/>
      <c r="AL202" s="242"/>
      <c r="AM202" s="242"/>
      <c r="AN202" s="242"/>
      <c r="AO202" s="242"/>
      <c r="AP202" s="242"/>
    </row>
    <row r="203">
      <c r="A203" s="242"/>
      <c r="B203" s="242"/>
      <c r="C203" s="242"/>
      <c r="D203" s="242"/>
      <c r="E203" s="242"/>
      <c r="F203" s="242"/>
      <c r="G203" s="242"/>
      <c r="H203" s="242"/>
      <c r="I203" s="242"/>
      <c r="J203" s="242"/>
      <c r="K203" s="242"/>
      <c r="L203" s="242"/>
      <c r="M203" s="242"/>
      <c r="N203" s="242"/>
      <c r="O203" s="242"/>
      <c r="P203" s="13"/>
      <c r="Q203" s="13"/>
      <c r="R203" s="13"/>
      <c r="S203" s="13"/>
      <c r="T203" s="13"/>
      <c r="U203" s="13"/>
      <c r="V203" s="13"/>
      <c r="W203" s="13"/>
      <c r="X203" s="13"/>
      <c r="Y203" s="13"/>
      <c r="Z203" s="13"/>
      <c r="AA203" s="13"/>
      <c r="AB203" s="13"/>
      <c r="AC203" s="13"/>
      <c r="AD203" s="13"/>
      <c r="AE203" s="13"/>
      <c r="AF203" s="242"/>
      <c r="AG203" s="242"/>
      <c r="AH203" s="242"/>
      <c r="AI203" s="242"/>
      <c r="AJ203" s="242"/>
      <c r="AK203" s="242"/>
      <c r="AL203" s="242"/>
      <c r="AM203" s="242"/>
      <c r="AN203" s="242"/>
      <c r="AO203" s="242"/>
      <c r="AP203" s="242"/>
    </row>
    <row r="204">
      <c r="A204" s="242"/>
      <c r="B204" s="242"/>
      <c r="C204" s="242"/>
      <c r="D204" s="242"/>
      <c r="E204" s="242"/>
      <c r="F204" s="242"/>
      <c r="G204" s="242"/>
      <c r="H204" s="242"/>
      <c r="I204" s="242"/>
      <c r="J204" s="242"/>
      <c r="K204" s="242"/>
      <c r="L204" s="242"/>
      <c r="M204" s="242"/>
      <c r="N204" s="242"/>
      <c r="O204" s="242"/>
      <c r="P204" s="13"/>
      <c r="Q204" s="13"/>
      <c r="R204" s="13"/>
      <c r="S204" s="13"/>
      <c r="T204" s="13"/>
      <c r="U204" s="13"/>
      <c r="V204" s="13"/>
      <c r="W204" s="13"/>
      <c r="X204" s="13"/>
      <c r="Y204" s="13"/>
      <c r="Z204" s="13"/>
      <c r="AA204" s="13"/>
      <c r="AB204" s="13"/>
      <c r="AC204" s="13"/>
      <c r="AD204" s="13"/>
      <c r="AE204" s="13"/>
      <c r="AF204" s="242"/>
      <c r="AG204" s="242"/>
      <c r="AH204" s="242"/>
      <c r="AI204" s="242"/>
      <c r="AJ204" s="242"/>
      <c r="AK204" s="242"/>
      <c r="AL204" s="242"/>
      <c r="AM204" s="242"/>
      <c r="AN204" s="242"/>
      <c r="AO204" s="242"/>
      <c r="AP204" s="242"/>
    </row>
    <row r="205">
      <c r="A205" s="242"/>
      <c r="B205" s="242"/>
      <c r="C205" s="242"/>
      <c r="D205" s="242"/>
      <c r="E205" s="242"/>
      <c r="F205" s="242"/>
      <c r="G205" s="242"/>
      <c r="H205" s="242"/>
      <c r="I205" s="242"/>
      <c r="J205" s="242"/>
      <c r="K205" s="242"/>
      <c r="L205" s="242"/>
      <c r="M205" s="242"/>
      <c r="N205" s="242"/>
      <c r="O205" s="242"/>
      <c r="P205" s="13"/>
      <c r="Q205" s="13"/>
      <c r="R205" s="13"/>
      <c r="S205" s="13"/>
      <c r="T205" s="13"/>
      <c r="U205" s="13"/>
      <c r="V205" s="13"/>
      <c r="W205" s="13"/>
      <c r="X205" s="13"/>
      <c r="Y205" s="13"/>
      <c r="Z205" s="13"/>
      <c r="AA205" s="13"/>
      <c r="AB205" s="13"/>
      <c r="AC205" s="13"/>
      <c r="AD205" s="13"/>
      <c r="AE205" s="13"/>
      <c r="AF205" s="242"/>
      <c r="AG205" s="242"/>
      <c r="AH205" s="242"/>
      <c r="AI205" s="242"/>
      <c r="AJ205" s="242"/>
      <c r="AK205" s="242"/>
      <c r="AL205" s="242"/>
      <c r="AM205" s="242"/>
      <c r="AN205" s="242"/>
      <c r="AO205" s="242"/>
      <c r="AP205" s="242"/>
    </row>
    <row r="206">
      <c r="A206" s="242"/>
      <c r="B206" s="242"/>
      <c r="C206" s="242"/>
      <c r="D206" s="242"/>
      <c r="E206" s="242"/>
      <c r="F206" s="242"/>
      <c r="G206" s="242"/>
      <c r="H206" s="242"/>
      <c r="I206" s="242"/>
      <c r="J206" s="242"/>
      <c r="K206" s="242"/>
      <c r="L206" s="242"/>
      <c r="M206" s="242"/>
      <c r="N206" s="242"/>
      <c r="O206" s="242"/>
      <c r="P206" s="13"/>
      <c r="Q206" s="13"/>
      <c r="R206" s="13"/>
      <c r="S206" s="13"/>
      <c r="T206" s="13"/>
      <c r="U206" s="13"/>
      <c r="V206" s="13"/>
      <c r="W206" s="13"/>
      <c r="X206" s="13"/>
      <c r="Y206" s="13"/>
      <c r="Z206" s="13"/>
      <c r="AA206" s="13"/>
      <c r="AB206" s="13"/>
      <c r="AC206" s="13"/>
      <c r="AD206" s="13"/>
      <c r="AE206" s="13"/>
      <c r="AF206" s="242"/>
      <c r="AG206" s="242"/>
      <c r="AH206" s="242"/>
      <c r="AI206" s="242"/>
      <c r="AJ206" s="242"/>
      <c r="AK206" s="242"/>
      <c r="AL206" s="242"/>
      <c r="AM206" s="242"/>
      <c r="AN206" s="242"/>
      <c r="AO206" s="242"/>
      <c r="AP206" s="242"/>
    </row>
    <row r="207">
      <c r="A207" s="242"/>
      <c r="B207" s="242"/>
      <c r="C207" s="242"/>
      <c r="D207" s="242"/>
      <c r="E207" s="242"/>
      <c r="F207" s="242"/>
      <c r="G207" s="242"/>
      <c r="H207" s="242"/>
      <c r="I207" s="242"/>
      <c r="J207" s="242"/>
      <c r="K207" s="242"/>
      <c r="L207" s="242"/>
      <c r="M207" s="242"/>
      <c r="N207" s="242"/>
      <c r="O207" s="242"/>
      <c r="P207" s="13"/>
      <c r="Q207" s="13"/>
      <c r="R207" s="13"/>
      <c r="S207" s="13"/>
      <c r="T207" s="13"/>
      <c r="U207" s="13"/>
      <c r="V207" s="13"/>
      <c r="W207" s="13"/>
      <c r="X207" s="13"/>
      <c r="Y207" s="13"/>
      <c r="Z207" s="13"/>
      <c r="AA207" s="13"/>
      <c r="AB207" s="13"/>
      <c r="AC207" s="13"/>
      <c r="AD207" s="13"/>
      <c r="AE207" s="13"/>
      <c r="AF207" s="242"/>
      <c r="AG207" s="242"/>
      <c r="AH207" s="242"/>
      <c r="AI207" s="242"/>
      <c r="AJ207" s="242"/>
      <c r="AK207" s="242"/>
      <c r="AL207" s="242"/>
      <c r="AM207" s="242"/>
      <c r="AN207" s="242"/>
      <c r="AO207" s="242"/>
      <c r="AP207" s="242"/>
    </row>
    <row r="208">
      <c r="A208" s="242"/>
      <c r="B208" s="242"/>
      <c r="C208" s="242"/>
      <c r="D208" s="242"/>
      <c r="E208" s="242"/>
      <c r="F208" s="242"/>
      <c r="G208" s="242"/>
      <c r="H208" s="242"/>
      <c r="I208" s="242"/>
      <c r="J208" s="242"/>
      <c r="K208" s="242"/>
      <c r="L208" s="242"/>
      <c r="M208" s="242"/>
      <c r="N208" s="242"/>
      <c r="O208" s="242"/>
      <c r="P208" s="13"/>
      <c r="Q208" s="13"/>
      <c r="R208" s="13"/>
      <c r="S208" s="13"/>
      <c r="T208" s="13"/>
      <c r="U208" s="13"/>
      <c r="V208" s="13"/>
      <c r="W208" s="13"/>
      <c r="X208" s="13"/>
      <c r="Y208" s="13"/>
      <c r="Z208" s="13"/>
      <c r="AA208" s="13"/>
      <c r="AB208" s="13"/>
      <c r="AC208" s="13"/>
      <c r="AD208" s="13"/>
      <c r="AE208" s="13"/>
      <c r="AF208" s="242"/>
      <c r="AG208" s="242"/>
      <c r="AH208" s="242"/>
      <c r="AI208" s="242"/>
      <c r="AJ208" s="242"/>
      <c r="AK208" s="242"/>
      <c r="AL208" s="242"/>
      <c r="AM208" s="242"/>
      <c r="AN208" s="242"/>
      <c r="AO208" s="242"/>
      <c r="AP208" s="242"/>
    </row>
    <row r="209">
      <c r="A209" s="242"/>
      <c r="B209" s="242"/>
      <c r="C209" s="242"/>
      <c r="D209" s="242"/>
      <c r="E209" s="242"/>
      <c r="F209" s="242"/>
      <c r="G209" s="242"/>
      <c r="H209" s="242"/>
      <c r="I209" s="242"/>
      <c r="J209" s="242"/>
      <c r="K209" s="242"/>
      <c r="L209" s="242"/>
      <c r="M209" s="242"/>
      <c r="N209" s="242"/>
      <c r="O209" s="242"/>
      <c r="P209" s="13"/>
      <c r="Q209" s="13"/>
      <c r="R209" s="13"/>
      <c r="S209" s="13"/>
      <c r="T209" s="13"/>
      <c r="U209" s="13"/>
      <c r="V209" s="13"/>
      <c r="W209" s="13"/>
      <c r="X209" s="13"/>
      <c r="Y209" s="13"/>
      <c r="Z209" s="13"/>
      <c r="AA209" s="13"/>
      <c r="AB209" s="13"/>
      <c r="AC209" s="13"/>
      <c r="AD209" s="13"/>
      <c r="AE209" s="13"/>
      <c r="AF209" s="242"/>
      <c r="AG209" s="242"/>
      <c r="AH209" s="242"/>
      <c r="AI209" s="242"/>
      <c r="AJ209" s="242"/>
      <c r="AK209" s="242"/>
      <c r="AL209" s="242"/>
      <c r="AM209" s="242"/>
      <c r="AN209" s="242"/>
      <c r="AO209" s="242"/>
      <c r="AP209" s="242"/>
    </row>
    <row r="210">
      <c r="A210" s="242"/>
      <c r="B210" s="242"/>
      <c r="C210" s="242"/>
      <c r="D210" s="242"/>
      <c r="E210" s="242"/>
      <c r="F210" s="242"/>
      <c r="G210" s="242"/>
      <c r="H210" s="242"/>
      <c r="I210" s="242"/>
      <c r="J210" s="242"/>
      <c r="K210" s="242"/>
      <c r="L210" s="242"/>
      <c r="M210" s="242"/>
      <c r="N210" s="242"/>
      <c r="O210" s="242"/>
      <c r="P210" s="13"/>
      <c r="Q210" s="13"/>
      <c r="R210" s="13"/>
      <c r="S210" s="13"/>
      <c r="T210" s="13"/>
      <c r="U210" s="13"/>
      <c r="V210" s="13"/>
      <c r="W210" s="13"/>
      <c r="X210" s="13"/>
      <c r="Y210" s="13"/>
      <c r="Z210" s="13"/>
      <c r="AA210" s="13"/>
      <c r="AB210" s="13"/>
      <c r="AC210" s="13"/>
      <c r="AD210" s="13"/>
      <c r="AE210" s="13"/>
      <c r="AF210" s="242"/>
      <c r="AG210" s="242"/>
      <c r="AH210" s="242"/>
      <c r="AI210" s="242"/>
      <c r="AJ210" s="242"/>
      <c r="AK210" s="242"/>
      <c r="AL210" s="242"/>
      <c r="AM210" s="242"/>
      <c r="AN210" s="242"/>
      <c r="AO210" s="242"/>
      <c r="AP210" s="242"/>
    </row>
    <row r="211">
      <c r="A211" s="242"/>
      <c r="B211" s="242"/>
      <c r="C211" s="242"/>
      <c r="D211" s="242"/>
      <c r="E211" s="242"/>
      <c r="F211" s="242"/>
      <c r="G211" s="242"/>
      <c r="H211" s="242"/>
      <c r="I211" s="242"/>
      <c r="J211" s="242"/>
      <c r="K211" s="242"/>
      <c r="L211" s="242"/>
      <c r="M211" s="242"/>
      <c r="N211" s="242"/>
      <c r="O211" s="242"/>
      <c r="P211" s="13"/>
      <c r="Q211" s="13"/>
      <c r="R211" s="13"/>
      <c r="S211" s="13"/>
      <c r="T211" s="13"/>
      <c r="U211" s="13"/>
      <c r="V211" s="13"/>
      <c r="W211" s="13"/>
      <c r="X211" s="13"/>
      <c r="Y211" s="13"/>
      <c r="Z211" s="13"/>
      <c r="AA211" s="13"/>
      <c r="AB211" s="13"/>
      <c r="AC211" s="13"/>
      <c r="AD211" s="13"/>
      <c r="AE211" s="13"/>
      <c r="AF211" s="242"/>
      <c r="AG211" s="242"/>
      <c r="AH211" s="242"/>
      <c r="AI211" s="242"/>
      <c r="AJ211" s="242"/>
      <c r="AK211" s="242"/>
      <c r="AL211" s="242"/>
      <c r="AM211" s="242"/>
      <c r="AN211" s="242"/>
      <c r="AO211" s="242"/>
      <c r="AP211" s="242"/>
    </row>
    <row r="212">
      <c r="A212" s="242"/>
      <c r="B212" s="242"/>
      <c r="C212" s="242"/>
      <c r="D212" s="242"/>
      <c r="E212" s="242"/>
      <c r="F212" s="242"/>
      <c r="G212" s="242"/>
      <c r="H212" s="242"/>
      <c r="I212" s="242"/>
      <c r="J212" s="242"/>
      <c r="K212" s="242"/>
      <c r="L212" s="242"/>
      <c r="M212" s="242"/>
      <c r="N212" s="242"/>
      <c r="O212" s="242"/>
      <c r="P212" s="13"/>
      <c r="Q212" s="13"/>
      <c r="R212" s="13"/>
      <c r="S212" s="13"/>
      <c r="T212" s="13"/>
      <c r="U212" s="13"/>
      <c r="V212" s="13"/>
      <c r="W212" s="13"/>
      <c r="X212" s="13"/>
      <c r="Y212" s="13"/>
      <c r="Z212" s="13"/>
      <c r="AA212" s="13"/>
      <c r="AB212" s="13"/>
      <c r="AC212" s="13"/>
      <c r="AD212" s="13"/>
      <c r="AE212" s="13"/>
      <c r="AF212" s="242"/>
      <c r="AG212" s="242"/>
      <c r="AH212" s="242"/>
      <c r="AI212" s="242"/>
      <c r="AJ212" s="242"/>
      <c r="AK212" s="242"/>
      <c r="AL212" s="242"/>
      <c r="AM212" s="242"/>
      <c r="AN212" s="242"/>
      <c r="AO212" s="242"/>
      <c r="AP212" s="242"/>
    </row>
    <row r="213">
      <c r="A213" s="242"/>
      <c r="B213" s="242"/>
      <c r="C213" s="242"/>
      <c r="D213" s="242"/>
      <c r="E213" s="242"/>
      <c r="F213" s="242"/>
      <c r="G213" s="242"/>
      <c r="H213" s="242"/>
      <c r="I213" s="242"/>
      <c r="J213" s="242"/>
      <c r="K213" s="242"/>
      <c r="L213" s="242"/>
      <c r="M213" s="242"/>
      <c r="N213" s="242"/>
      <c r="O213" s="242"/>
      <c r="P213" s="13"/>
      <c r="Q213" s="13"/>
      <c r="R213" s="13"/>
      <c r="S213" s="13"/>
      <c r="T213" s="13"/>
      <c r="U213" s="13"/>
      <c r="V213" s="13"/>
      <c r="W213" s="13"/>
      <c r="X213" s="13"/>
      <c r="Y213" s="13"/>
      <c r="Z213" s="13"/>
      <c r="AA213" s="13"/>
      <c r="AB213" s="13"/>
      <c r="AC213" s="13"/>
      <c r="AD213" s="13"/>
      <c r="AE213" s="13"/>
      <c r="AF213" s="242"/>
      <c r="AG213" s="242"/>
      <c r="AH213" s="242"/>
      <c r="AI213" s="242"/>
      <c r="AJ213" s="242"/>
      <c r="AK213" s="242"/>
      <c r="AL213" s="242"/>
      <c r="AM213" s="242"/>
      <c r="AN213" s="242"/>
      <c r="AO213" s="242"/>
      <c r="AP213" s="242"/>
    </row>
    <row r="214">
      <c r="A214" s="242"/>
      <c r="B214" s="242"/>
      <c r="C214" s="242"/>
      <c r="D214" s="242"/>
      <c r="E214" s="242"/>
      <c r="F214" s="242"/>
      <c r="G214" s="242"/>
      <c r="H214" s="242"/>
      <c r="I214" s="242"/>
      <c r="J214" s="242"/>
      <c r="K214" s="242"/>
      <c r="L214" s="242"/>
      <c r="M214" s="242"/>
      <c r="N214" s="242"/>
      <c r="O214" s="242"/>
      <c r="P214" s="13"/>
      <c r="Q214" s="13"/>
      <c r="R214" s="13"/>
      <c r="S214" s="13"/>
      <c r="T214" s="13"/>
      <c r="U214" s="13"/>
      <c r="V214" s="13"/>
      <c r="W214" s="13"/>
      <c r="X214" s="13"/>
      <c r="Y214" s="13"/>
      <c r="Z214" s="13"/>
      <c r="AA214" s="13"/>
      <c r="AB214" s="13"/>
      <c r="AC214" s="13"/>
      <c r="AD214" s="13"/>
      <c r="AE214" s="13"/>
      <c r="AF214" s="242"/>
      <c r="AG214" s="242"/>
      <c r="AH214" s="242"/>
      <c r="AI214" s="242"/>
      <c r="AJ214" s="242"/>
      <c r="AK214" s="242"/>
      <c r="AL214" s="242"/>
      <c r="AM214" s="242"/>
      <c r="AN214" s="242"/>
      <c r="AO214" s="242"/>
      <c r="AP214" s="242"/>
    </row>
    <row r="215">
      <c r="A215" s="242"/>
      <c r="B215" s="242"/>
      <c r="C215" s="242"/>
      <c r="D215" s="242"/>
      <c r="E215" s="242"/>
      <c r="F215" s="242"/>
      <c r="G215" s="242"/>
      <c r="H215" s="242"/>
      <c r="I215" s="242"/>
      <c r="J215" s="242"/>
      <c r="K215" s="242"/>
      <c r="L215" s="242"/>
      <c r="M215" s="242"/>
      <c r="N215" s="242"/>
      <c r="O215" s="242"/>
      <c r="P215" s="13"/>
      <c r="Q215" s="13"/>
      <c r="R215" s="13"/>
      <c r="S215" s="13"/>
      <c r="T215" s="13"/>
      <c r="U215" s="13"/>
      <c r="V215" s="13"/>
      <c r="W215" s="13"/>
      <c r="X215" s="13"/>
      <c r="Y215" s="13"/>
      <c r="Z215" s="13"/>
      <c r="AA215" s="13"/>
      <c r="AB215" s="13"/>
      <c r="AC215" s="13"/>
      <c r="AD215" s="13"/>
      <c r="AE215" s="13"/>
      <c r="AF215" s="242"/>
      <c r="AG215" s="242"/>
      <c r="AH215" s="242"/>
      <c r="AI215" s="242"/>
      <c r="AJ215" s="242"/>
      <c r="AK215" s="242"/>
      <c r="AL215" s="242"/>
      <c r="AM215" s="242"/>
      <c r="AN215" s="242"/>
      <c r="AO215" s="242"/>
      <c r="AP215" s="242"/>
    </row>
    <row r="216">
      <c r="A216" s="242"/>
      <c r="B216" s="242"/>
      <c r="C216" s="242"/>
      <c r="D216" s="242"/>
      <c r="E216" s="242"/>
      <c r="F216" s="242"/>
      <c r="G216" s="242"/>
      <c r="H216" s="242"/>
      <c r="I216" s="242"/>
      <c r="J216" s="242"/>
      <c r="K216" s="242"/>
      <c r="L216" s="242"/>
      <c r="M216" s="242"/>
      <c r="N216" s="242"/>
      <c r="O216" s="242"/>
      <c r="P216" s="13"/>
      <c r="Q216" s="13"/>
      <c r="R216" s="13"/>
      <c r="S216" s="13"/>
      <c r="T216" s="13"/>
      <c r="U216" s="13"/>
      <c r="V216" s="13"/>
      <c r="W216" s="13"/>
      <c r="X216" s="13"/>
      <c r="Y216" s="13"/>
      <c r="Z216" s="13"/>
      <c r="AA216" s="13"/>
      <c r="AB216" s="13"/>
      <c r="AC216" s="13"/>
      <c r="AD216" s="13"/>
      <c r="AE216" s="13"/>
      <c r="AF216" s="242"/>
      <c r="AG216" s="242"/>
      <c r="AH216" s="242"/>
      <c r="AI216" s="242"/>
      <c r="AJ216" s="242"/>
      <c r="AK216" s="242"/>
      <c r="AL216" s="242"/>
      <c r="AM216" s="242"/>
      <c r="AN216" s="242"/>
      <c r="AO216" s="242"/>
      <c r="AP216" s="242"/>
    </row>
    <row r="217">
      <c r="A217" s="242"/>
      <c r="B217" s="242"/>
      <c r="C217" s="242"/>
      <c r="D217" s="242"/>
      <c r="E217" s="242"/>
      <c r="F217" s="242"/>
      <c r="G217" s="242"/>
      <c r="H217" s="242"/>
      <c r="I217" s="242"/>
      <c r="J217" s="242"/>
      <c r="K217" s="242"/>
      <c r="L217" s="242"/>
      <c r="M217" s="242"/>
      <c r="N217" s="242"/>
      <c r="O217" s="242"/>
      <c r="P217" s="13"/>
      <c r="Q217" s="13"/>
      <c r="R217" s="13"/>
      <c r="S217" s="13"/>
      <c r="T217" s="13"/>
      <c r="U217" s="13"/>
      <c r="V217" s="13"/>
      <c r="W217" s="13"/>
      <c r="X217" s="13"/>
      <c r="Y217" s="13"/>
      <c r="Z217" s="13"/>
      <c r="AA217" s="13"/>
      <c r="AB217" s="13"/>
      <c r="AC217" s="13"/>
      <c r="AD217" s="13"/>
      <c r="AE217" s="13"/>
      <c r="AF217" s="242"/>
      <c r="AG217" s="242"/>
      <c r="AH217" s="242"/>
      <c r="AI217" s="242"/>
      <c r="AJ217" s="242"/>
      <c r="AK217" s="242"/>
      <c r="AL217" s="242"/>
      <c r="AM217" s="242"/>
      <c r="AN217" s="242"/>
      <c r="AO217" s="242"/>
      <c r="AP217" s="242"/>
    </row>
    <row r="218">
      <c r="A218" s="242"/>
      <c r="B218" s="242"/>
      <c r="C218" s="242"/>
      <c r="D218" s="242"/>
      <c r="E218" s="242"/>
      <c r="F218" s="242"/>
      <c r="G218" s="242"/>
      <c r="H218" s="242"/>
      <c r="I218" s="242"/>
      <c r="J218" s="242"/>
      <c r="K218" s="242"/>
      <c r="L218" s="242"/>
      <c r="M218" s="242"/>
      <c r="N218" s="242"/>
      <c r="O218" s="242"/>
      <c r="P218" s="13"/>
      <c r="Q218" s="13"/>
      <c r="R218" s="13"/>
      <c r="S218" s="13"/>
      <c r="T218" s="13"/>
      <c r="U218" s="13"/>
      <c r="V218" s="13"/>
      <c r="W218" s="13"/>
      <c r="X218" s="13"/>
      <c r="Y218" s="13"/>
      <c r="Z218" s="13"/>
      <c r="AA218" s="13"/>
      <c r="AB218" s="13"/>
      <c r="AC218" s="13"/>
      <c r="AD218" s="13"/>
      <c r="AE218" s="13"/>
      <c r="AF218" s="242"/>
      <c r="AG218" s="242"/>
      <c r="AH218" s="242"/>
      <c r="AI218" s="242"/>
      <c r="AJ218" s="242"/>
      <c r="AK218" s="242"/>
      <c r="AL218" s="242"/>
      <c r="AM218" s="242"/>
      <c r="AN218" s="242"/>
      <c r="AO218" s="242"/>
      <c r="AP218" s="242"/>
    </row>
    <row r="219">
      <c r="A219" s="242"/>
      <c r="B219" s="242"/>
      <c r="C219" s="242"/>
      <c r="D219" s="242"/>
      <c r="E219" s="242"/>
      <c r="F219" s="242"/>
      <c r="G219" s="242"/>
      <c r="H219" s="242"/>
      <c r="I219" s="242"/>
      <c r="J219" s="242"/>
      <c r="K219" s="242"/>
      <c r="L219" s="242"/>
      <c r="M219" s="242"/>
      <c r="N219" s="242"/>
      <c r="O219" s="242"/>
      <c r="P219" s="13"/>
      <c r="Q219" s="13"/>
      <c r="R219" s="13"/>
      <c r="S219" s="13"/>
      <c r="T219" s="13"/>
      <c r="U219" s="13"/>
      <c r="V219" s="13"/>
      <c r="W219" s="13"/>
      <c r="X219" s="13"/>
      <c r="Y219" s="13"/>
      <c r="Z219" s="13"/>
      <c r="AA219" s="13"/>
      <c r="AB219" s="13"/>
      <c r="AC219" s="13"/>
      <c r="AD219" s="13"/>
      <c r="AE219" s="13"/>
      <c r="AF219" s="242"/>
      <c r="AG219" s="242"/>
      <c r="AH219" s="242"/>
      <c r="AI219" s="242"/>
      <c r="AJ219" s="242"/>
      <c r="AK219" s="242"/>
      <c r="AL219" s="242"/>
      <c r="AM219" s="242"/>
      <c r="AN219" s="242"/>
      <c r="AO219" s="242"/>
      <c r="AP219" s="242"/>
    </row>
    <row r="220">
      <c r="A220" s="242"/>
      <c r="B220" s="242"/>
      <c r="C220" s="242"/>
      <c r="D220" s="242"/>
      <c r="E220" s="242"/>
      <c r="F220" s="242"/>
      <c r="G220" s="242"/>
      <c r="H220" s="242"/>
      <c r="I220" s="242"/>
      <c r="J220" s="242"/>
      <c r="K220" s="242"/>
      <c r="L220" s="242"/>
      <c r="M220" s="242"/>
      <c r="N220" s="242"/>
      <c r="O220" s="242"/>
      <c r="P220" s="13"/>
      <c r="Q220" s="13"/>
      <c r="R220" s="13"/>
      <c r="S220" s="13"/>
      <c r="T220" s="13"/>
      <c r="U220" s="13"/>
      <c r="V220" s="13"/>
      <c r="W220" s="13"/>
      <c r="X220" s="13"/>
      <c r="Y220" s="13"/>
      <c r="Z220" s="13"/>
      <c r="AA220" s="13"/>
      <c r="AB220" s="13"/>
      <c r="AC220" s="13"/>
      <c r="AD220" s="13"/>
      <c r="AE220" s="13"/>
      <c r="AF220" s="242"/>
      <c r="AG220" s="242"/>
      <c r="AH220" s="242"/>
      <c r="AI220" s="242"/>
      <c r="AJ220" s="242"/>
      <c r="AK220" s="242"/>
      <c r="AL220" s="242"/>
      <c r="AM220" s="242"/>
      <c r="AN220" s="242"/>
      <c r="AO220" s="242"/>
      <c r="AP220" s="242"/>
    </row>
    <row r="221">
      <c r="A221" s="242"/>
      <c r="B221" s="242"/>
      <c r="C221" s="242"/>
      <c r="D221" s="242"/>
      <c r="E221" s="242"/>
      <c r="F221" s="242"/>
      <c r="G221" s="242"/>
      <c r="H221" s="242"/>
      <c r="I221" s="242"/>
      <c r="J221" s="242"/>
      <c r="K221" s="242"/>
      <c r="L221" s="242"/>
      <c r="M221" s="242"/>
      <c r="N221" s="242"/>
      <c r="O221" s="242"/>
      <c r="P221" s="13"/>
      <c r="Q221" s="13"/>
      <c r="R221" s="13"/>
      <c r="S221" s="13"/>
      <c r="T221" s="13"/>
      <c r="U221" s="13"/>
      <c r="V221" s="13"/>
      <c r="W221" s="13"/>
      <c r="X221" s="13"/>
      <c r="Y221" s="13"/>
      <c r="Z221" s="13"/>
      <c r="AA221" s="13"/>
      <c r="AB221" s="13"/>
      <c r="AC221" s="13"/>
      <c r="AD221" s="13"/>
      <c r="AE221" s="13"/>
      <c r="AF221" s="242"/>
      <c r="AG221" s="242"/>
      <c r="AH221" s="242"/>
      <c r="AI221" s="242"/>
      <c r="AJ221" s="242"/>
      <c r="AK221" s="242"/>
      <c r="AL221" s="242"/>
      <c r="AM221" s="242"/>
      <c r="AN221" s="242"/>
      <c r="AO221" s="242"/>
      <c r="AP221" s="242"/>
    </row>
    <row r="222">
      <c r="A222" s="242"/>
      <c r="B222" s="242"/>
      <c r="C222" s="242"/>
      <c r="D222" s="242"/>
      <c r="E222" s="242"/>
      <c r="F222" s="242"/>
      <c r="G222" s="242"/>
      <c r="H222" s="242"/>
      <c r="I222" s="242"/>
      <c r="J222" s="242"/>
      <c r="K222" s="242"/>
      <c r="L222" s="242"/>
      <c r="M222" s="242"/>
      <c r="N222" s="242"/>
      <c r="O222" s="242"/>
      <c r="P222" s="13"/>
      <c r="Q222" s="13"/>
      <c r="R222" s="13"/>
      <c r="S222" s="13"/>
      <c r="T222" s="13"/>
      <c r="U222" s="13"/>
      <c r="V222" s="13"/>
      <c r="W222" s="13"/>
      <c r="X222" s="13"/>
      <c r="Y222" s="13"/>
      <c r="Z222" s="13"/>
      <c r="AA222" s="13"/>
      <c r="AB222" s="13"/>
      <c r="AC222" s="13"/>
      <c r="AD222" s="13"/>
      <c r="AE222" s="13"/>
      <c r="AF222" s="242"/>
      <c r="AG222" s="242"/>
      <c r="AH222" s="242"/>
      <c r="AI222" s="242"/>
      <c r="AJ222" s="242"/>
      <c r="AK222" s="242"/>
      <c r="AL222" s="242"/>
      <c r="AM222" s="242"/>
      <c r="AN222" s="242"/>
      <c r="AO222" s="242"/>
      <c r="AP222" s="242"/>
    </row>
    <row r="223">
      <c r="A223" s="242"/>
      <c r="B223" s="242"/>
      <c r="C223" s="242"/>
      <c r="D223" s="242"/>
      <c r="E223" s="242"/>
      <c r="F223" s="242"/>
      <c r="G223" s="242"/>
      <c r="H223" s="242"/>
      <c r="I223" s="242"/>
      <c r="J223" s="242"/>
      <c r="K223" s="242"/>
      <c r="L223" s="242"/>
      <c r="M223" s="242"/>
      <c r="N223" s="242"/>
      <c r="O223" s="242"/>
      <c r="P223" s="13"/>
      <c r="Q223" s="13"/>
      <c r="R223" s="13"/>
      <c r="S223" s="13"/>
      <c r="T223" s="13"/>
      <c r="U223" s="13"/>
      <c r="V223" s="13"/>
      <c r="W223" s="13"/>
      <c r="X223" s="13"/>
      <c r="Y223" s="13"/>
      <c r="Z223" s="13"/>
      <c r="AA223" s="13"/>
      <c r="AB223" s="13"/>
      <c r="AC223" s="13"/>
      <c r="AD223" s="13"/>
      <c r="AE223" s="13"/>
      <c r="AF223" s="242"/>
      <c r="AG223" s="242"/>
      <c r="AH223" s="242"/>
      <c r="AI223" s="242"/>
      <c r="AJ223" s="242"/>
      <c r="AK223" s="242"/>
      <c r="AL223" s="242"/>
      <c r="AM223" s="242"/>
      <c r="AN223" s="242"/>
      <c r="AO223" s="242"/>
      <c r="AP223" s="242"/>
    </row>
    <row r="224">
      <c r="A224" s="242"/>
      <c r="B224" s="242"/>
      <c r="C224" s="242"/>
      <c r="D224" s="242"/>
      <c r="E224" s="242"/>
      <c r="F224" s="242"/>
      <c r="G224" s="242"/>
      <c r="H224" s="242"/>
      <c r="I224" s="242"/>
      <c r="J224" s="242"/>
      <c r="K224" s="242"/>
      <c r="L224" s="242"/>
      <c r="M224" s="242"/>
      <c r="N224" s="242"/>
      <c r="O224" s="242"/>
      <c r="P224" s="13"/>
      <c r="Q224" s="13"/>
      <c r="R224" s="13"/>
      <c r="S224" s="13"/>
      <c r="T224" s="13"/>
      <c r="U224" s="13"/>
      <c r="V224" s="13"/>
      <c r="W224" s="13"/>
      <c r="X224" s="13"/>
      <c r="Y224" s="13"/>
      <c r="Z224" s="13"/>
      <c r="AA224" s="13"/>
      <c r="AB224" s="13"/>
      <c r="AC224" s="13"/>
      <c r="AD224" s="13"/>
      <c r="AE224" s="13"/>
      <c r="AF224" s="242"/>
      <c r="AG224" s="242"/>
      <c r="AH224" s="242"/>
      <c r="AI224" s="242"/>
      <c r="AJ224" s="242"/>
      <c r="AK224" s="242"/>
      <c r="AL224" s="242"/>
      <c r="AM224" s="242"/>
      <c r="AN224" s="242"/>
      <c r="AO224" s="242"/>
      <c r="AP224" s="242"/>
    </row>
    <row r="225">
      <c r="A225" s="242"/>
      <c r="B225" s="242"/>
      <c r="C225" s="242"/>
      <c r="D225" s="242"/>
      <c r="E225" s="242"/>
      <c r="F225" s="242"/>
      <c r="G225" s="242"/>
      <c r="H225" s="242"/>
      <c r="I225" s="242"/>
      <c r="J225" s="242"/>
      <c r="K225" s="242"/>
      <c r="L225" s="242"/>
      <c r="M225" s="242"/>
      <c r="N225" s="242"/>
      <c r="O225" s="242"/>
      <c r="P225" s="13"/>
      <c r="Q225" s="13"/>
      <c r="R225" s="13"/>
      <c r="S225" s="13"/>
      <c r="T225" s="13"/>
      <c r="U225" s="13"/>
      <c r="V225" s="13"/>
      <c r="W225" s="13"/>
      <c r="X225" s="13"/>
      <c r="Y225" s="13"/>
      <c r="Z225" s="13"/>
      <c r="AA225" s="13"/>
      <c r="AB225" s="13"/>
      <c r="AC225" s="13"/>
      <c r="AD225" s="13"/>
      <c r="AE225" s="13"/>
      <c r="AF225" s="242"/>
      <c r="AG225" s="242"/>
      <c r="AH225" s="242"/>
      <c r="AI225" s="242"/>
      <c r="AJ225" s="242"/>
      <c r="AK225" s="242"/>
      <c r="AL225" s="242"/>
      <c r="AM225" s="242"/>
      <c r="AN225" s="242"/>
      <c r="AO225" s="242"/>
      <c r="AP225" s="242"/>
    </row>
    <row r="226">
      <c r="A226" s="242"/>
      <c r="B226" s="242"/>
      <c r="C226" s="242"/>
      <c r="D226" s="242"/>
      <c r="E226" s="242"/>
      <c r="F226" s="242"/>
      <c r="G226" s="242"/>
      <c r="H226" s="242"/>
      <c r="I226" s="242"/>
      <c r="J226" s="242"/>
      <c r="K226" s="242"/>
      <c r="L226" s="242"/>
      <c r="M226" s="242"/>
      <c r="N226" s="242"/>
      <c r="O226" s="242"/>
      <c r="P226" s="13"/>
      <c r="Q226" s="13"/>
      <c r="R226" s="13"/>
      <c r="S226" s="13"/>
      <c r="T226" s="13"/>
      <c r="U226" s="13"/>
      <c r="V226" s="13"/>
      <c r="W226" s="13"/>
      <c r="X226" s="13"/>
      <c r="Y226" s="13"/>
      <c r="Z226" s="13"/>
      <c r="AA226" s="13"/>
      <c r="AB226" s="13"/>
      <c r="AC226" s="13"/>
      <c r="AD226" s="13"/>
      <c r="AE226" s="13"/>
      <c r="AF226" s="242"/>
      <c r="AG226" s="242"/>
      <c r="AH226" s="242"/>
      <c r="AI226" s="242"/>
      <c r="AJ226" s="242"/>
      <c r="AK226" s="242"/>
      <c r="AL226" s="242"/>
      <c r="AM226" s="242"/>
      <c r="AN226" s="242"/>
      <c r="AO226" s="242"/>
      <c r="AP226" s="242"/>
    </row>
    <row r="227">
      <c r="A227" s="242"/>
      <c r="B227" s="242"/>
      <c r="C227" s="242"/>
      <c r="D227" s="242"/>
      <c r="E227" s="242"/>
      <c r="F227" s="242"/>
      <c r="G227" s="242"/>
      <c r="H227" s="242"/>
      <c r="I227" s="242"/>
      <c r="J227" s="242"/>
      <c r="K227" s="242"/>
      <c r="L227" s="242"/>
      <c r="M227" s="242"/>
      <c r="N227" s="242"/>
      <c r="O227" s="242"/>
      <c r="P227" s="13"/>
      <c r="Q227" s="13"/>
      <c r="R227" s="13"/>
      <c r="S227" s="13"/>
      <c r="T227" s="13"/>
      <c r="U227" s="13"/>
      <c r="V227" s="13"/>
      <c r="W227" s="13"/>
      <c r="X227" s="13"/>
      <c r="Y227" s="13"/>
      <c r="Z227" s="13"/>
      <c r="AA227" s="13"/>
      <c r="AB227" s="13"/>
      <c r="AC227" s="13"/>
      <c r="AD227" s="13"/>
      <c r="AE227" s="13"/>
      <c r="AF227" s="242"/>
      <c r="AG227" s="242"/>
      <c r="AH227" s="242"/>
      <c r="AI227" s="242"/>
      <c r="AJ227" s="242"/>
      <c r="AK227" s="242"/>
      <c r="AL227" s="242"/>
      <c r="AM227" s="242"/>
      <c r="AN227" s="242"/>
      <c r="AO227" s="242"/>
      <c r="AP227" s="242"/>
    </row>
    <row r="228">
      <c r="A228" s="242"/>
      <c r="B228" s="242"/>
      <c r="C228" s="242"/>
      <c r="D228" s="242"/>
      <c r="E228" s="242"/>
      <c r="F228" s="242"/>
      <c r="G228" s="242"/>
      <c r="H228" s="242"/>
      <c r="I228" s="242"/>
      <c r="J228" s="242"/>
      <c r="K228" s="242"/>
      <c r="L228" s="242"/>
      <c r="M228" s="242"/>
      <c r="N228" s="242"/>
      <c r="O228" s="242"/>
      <c r="P228" s="13"/>
      <c r="Q228" s="13"/>
      <c r="R228" s="13"/>
      <c r="S228" s="13"/>
      <c r="T228" s="13"/>
      <c r="U228" s="13"/>
      <c r="V228" s="13"/>
      <c r="W228" s="13"/>
      <c r="X228" s="13"/>
      <c r="Y228" s="13"/>
      <c r="Z228" s="13"/>
      <c r="AA228" s="13"/>
      <c r="AB228" s="13"/>
      <c r="AC228" s="13"/>
      <c r="AD228" s="13"/>
      <c r="AE228" s="13"/>
      <c r="AF228" s="242"/>
      <c r="AG228" s="242"/>
      <c r="AH228" s="242"/>
      <c r="AI228" s="242"/>
      <c r="AJ228" s="242"/>
      <c r="AK228" s="242"/>
      <c r="AL228" s="242"/>
      <c r="AM228" s="242"/>
      <c r="AN228" s="242"/>
      <c r="AO228" s="242"/>
      <c r="AP228" s="242"/>
    </row>
    <row r="229">
      <c r="A229" s="242"/>
      <c r="B229" s="242"/>
      <c r="C229" s="242"/>
      <c r="D229" s="242"/>
      <c r="E229" s="242"/>
      <c r="F229" s="242"/>
      <c r="G229" s="242"/>
      <c r="H229" s="242"/>
      <c r="I229" s="242"/>
      <c r="J229" s="242"/>
      <c r="K229" s="242"/>
      <c r="L229" s="242"/>
      <c r="M229" s="242"/>
      <c r="N229" s="242"/>
      <c r="O229" s="242"/>
      <c r="P229" s="13"/>
      <c r="Q229" s="13"/>
      <c r="R229" s="13"/>
      <c r="S229" s="13"/>
      <c r="T229" s="13"/>
      <c r="U229" s="13"/>
      <c r="V229" s="13"/>
      <c r="W229" s="13"/>
      <c r="X229" s="13"/>
      <c r="Y229" s="13"/>
      <c r="Z229" s="13"/>
      <c r="AA229" s="13"/>
      <c r="AB229" s="13"/>
      <c r="AC229" s="13"/>
      <c r="AD229" s="13"/>
      <c r="AE229" s="13"/>
      <c r="AF229" s="242"/>
      <c r="AG229" s="242"/>
      <c r="AH229" s="242"/>
      <c r="AI229" s="242"/>
      <c r="AJ229" s="242"/>
      <c r="AK229" s="242"/>
      <c r="AL229" s="242"/>
      <c r="AM229" s="242"/>
      <c r="AN229" s="242"/>
      <c r="AO229" s="242"/>
      <c r="AP229" s="242"/>
    </row>
    <row r="230">
      <c r="A230" s="242"/>
      <c r="B230" s="242"/>
      <c r="C230" s="242"/>
      <c r="D230" s="242"/>
      <c r="E230" s="242"/>
      <c r="F230" s="242"/>
      <c r="G230" s="242"/>
      <c r="H230" s="242"/>
      <c r="I230" s="242"/>
      <c r="J230" s="242"/>
      <c r="K230" s="242"/>
      <c r="L230" s="242"/>
      <c r="M230" s="242"/>
      <c r="N230" s="242"/>
      <c r="O230" s="242"/>
      <c r="P230" s="13"/>
      <c r="Q230" s="13"/>
      <c r="R230" s="13"/>
      <c r="S230" s="13"/>
      <c r="T230" s="13"/>
      <c r="U230" s="13"/>
      <c r="V230" s="13"/>
      <c r="W230" s="13"/>
      <c r="X230" s="13"/>
      <c r="Y230" s="13"/>
      <c r="Z230" s="13"/>
      <c r="AA230" s="13"/>
      <c r="AB230" s="13"/>
      <c r="AC230" s="13"/>
      <c r="AD230" s="13"/>
      <c r="AE230" s="13"/>
      <c r="AF230" s="242"/>
      <c r="AG230" s="242"/>
      <c r="AH230" s="242"/>
      <c r="AI230" s="242"/>
      <c r="AJ230" s="242"/>
      <c r="AK230" s="242"/>
      <c r="AL230" s="242"/>
      <c r="AM230" s="242"/>
      <c r="AN230" s="242"/>
      <c r="AO230" s="242"/>
      <c r="AP230" s="242"/>
    </row>
    <row r="231">
      <c r="A231" s="242"/>
      <c r="B231" s="242"/>
      <c r="C231" s="242"/>
      <c r="D231" s="242"/>
      <c r="E231" s="242"/>
      <c r="F231" s="242"/>
      <c r="G231" s="242"/>
      <c r="H231" s="242"/>
      <c r="I231" s="242"/>
      <c r="J231" s="242"/>
      <c r="K231" s="242"/>
      <c r="L231" s="242"/>
      <c r="M231" s="242"/>
      <c r="N231" s="242"/>
      <c r="O231" s="242"/>
      <c r="P231" s="13"/>
      <c r="Q231" s="13"/>
      <c r="R231" s="13"/>
      <c r="S231" s="13"/>
      <c r="T231" s="13"/>
      <c r="U231" s="13"/>
      <c r="V231" s="13"/>
      <c r="W231" s="13"/>
      <c r="X231" s="13"/>
      <c r="Y231" s="13"/>
      <c r="Z231" s="13"/>
      <c r="AA231" s="13"/>
      <c r="AB231" s="13"/>
      <c r="AC231" s="13"/>
      <c r="AD231" s="13"/>
      <c r="AE231" s="13"/>
      <c r="AF231" s="242"/>
      <c r="AG231" s="242"/>
      <c r="AH231" s="242"/>
      <c r="AI231" s="242"/>
      <c r="AJ231" s="242"/>
      <c r="AK231" s="242"/>
      <c r="AL231" s="242"/>
      <c r="AM231" s="242"/>
      <c r="AN231" s="242"/>
      <c r="AO231" s="242"/>
      <c r="AP231" s="242"/>
    </row>
    <row r="232">
      <c r="A232" s="242"/>
      <c r="B232" s="242"/>
      <c r="C232" s="242"/>
      <c r="D232" s="242"/>
      <c r="E232" s="242"/>
      <c r="F232" s="242"/>
      <c r="G232" s="242"/>
      <c r="H232" s="242"/>
      <c r="I232" s="242"/>
      <c r="J232" s="242"/>
      <c r="K232" s="242"/>
      <c r="L232" s="242"/>
      <c r="M232" s="242"/>
      <c r="N232" s="242"/>
      <c r="O232" s="242"/>
      <c r="P232" s="13"/>
      <c r="Q232" s="13"/>
      <c r="R232" s="13"/>
      <c r="S232" s="13"/>
      <c r="T232" s="13"/>
      <c r="U232" s="13"/>
      <c r="V232" s="13"/>
      <c r="W232" s="13"/>
      <c r="X232" s="13"/>
      <c r="Y232" s="13"/>
      <c r="Z232" s="13"/>
      <c r="AA232" s="13"/>
      <c r="AB232" s="13"/>
      <c r="AC232" s="13"/>
      <c r="AD232" s="13"/>
      <c r="AE232" s="13"/>
      <c r="AF232" s="242"/>
      <c r="AG232" s="242"/>
      <c r="AH232" s="242"/>
      <c r="AI232" s="242"/>
      <c r="AJ232" s="242"/>
      <c r="AK232" s="242"/>
      <c r="AL232" s="242"/>
      <c r="AM232" s="242"/>
      <c r="AN232" s="242"/>
      <c r="AO232" s="242"/>
      <c r="AP232" s="242"/>
    </row>
    <row r="233">
      <c r="A233" s="242"/>
      <c r="B233" s="242"/>
      <c r="C233" s="242"/>
      <c r="D233" s="242"/>
      <c r="E233" s="242"/>
      <c r="F233" s="242"/>
      <c r="G233" s="242"/>
      <c r="H233" s="242"/>
      <c r="I233" s="242"/>
      <c r="J233" s="242"/>
      <c r="K233" s="242"/>
      <c r="L233" s="242"/>
      <c r="M233" s="242"/>
      <c r="N233" s="242"/>
      <c r="O233" s="242"/>
      <c r="P233" s="13"/>
      <c r="Q233" s="13"/>
      <c r="R233" s="13"/>
      <c r="S233" s="13"/>
      <c r="T233" s="13"/>
      <c r="U233" s="13"/>
      <c r="V233" s="13"/>
      <c r="W233" s="13"/>
      <c r="X233" s="13"/>
      <c r="Y233" s="13"/>
      <c r="Z233" s="13"/>
      <c r="AA233" s="13"/>
      <c r="AB233" s="13"/>
      <c r="AC233" s="13"/>
      <c r="AD233" s="13"/>
      <c r="AE233" s="13"/>
      <c r="AF233" s="242"/>
      <c r="AG233" s="242"/>
      <c r="AH233" s="242"/>
      <c r="AI233" s="242"/>
      <c r="AJ233" s="242"/>
      <c r="AK233" s="242"/>
      <c r="AL233" s="242"/>
      <c r="AM233" s="242"/>
      <c r="AN233" s="242"/>
      <c r="AO233" s="242"/>
      <c r="AP233" s="242"/>
    </row>
    <row r="234">
      <c r="A234" s="242"/>
      <c r="B234" s="242"/>
      <c r="C234" s="242"/>
      <c r="D234" s="242"/>
      <c r="E234" s="242"/>
      <c r="F234" s="242"/>
      <c r="G234" s="242"/>
      <c r="H234" s="242"/>
      <c r="I234" s="242"/>
      <c r="J234" s="242"/>
      <c r="K234" s="242"/>
      <c r="L234" s="242"/>
      <c r="M234" s="242"/>
      <c r="N234" s="242"/>
      <c r="O234" s="242"/>
      <c r="P234" s="13"/>
      <c r="Q234" s="13"/>
      <c r="R234" s="13"/>
      <c r="S234" s="13"/>
      <c r="T234" s="13"/>
      <c r="U234" s="13"/>
      <c r="V234" s="13"/>
      <c r="W234" s="13"/>
      <c r="X234" s="13"/>
      <c r="Y234" s="13"/>
      <c r="Z234" s="13"/>
      <c r="AA234" s="13"/>
      <c r="AB234" s="13"/>
      <c r="AC234" s="13"/>
      <c r="AD234" s="13"/>
      <c r="AE234" s="13"/>
      <c r="AF234" s="242"/>
      <c r="AG234" s="242"/>
      <c r="AH234" s="242"/>
      <c r="AI234" s="242"/>
      <c r="AJ234" s="242"/>
      <c r="AK234" s="242"/>
      <c r="AL234" s="242"/>
      <c r="AM234" s="242"/>
      <c r="AN234" s="242"/>
      <c r="AO234" s="242"/>
      <c r="AP234" s="242"/>
    </row>
    <row r="235">
      <c r="A235" s="242"/>
      <c r="B235" s="242"/>
      <c r="C235" s="242"/>
      <c r="D235" s="242"/>
      <c r="E235" s="242"/>
      <c r="F235" s="242"/>
      <c r="G235" s="242"/>
      <c r="H235" s="242"/>
      <c r="I235" s="242"/>
      <c r="J235" s="242"/>
      <c r="K235" s="242"/>
      <c r="L235" s="242"/>
      <c r="M235" s="242"/>
      <c r="N235" s="242"/>
      <c r="O235" s="242"/>
      <c r="P235" s="13"/>
      <c r="Q235" s="13"/>
      <c r="R235" s="13"/>
      <c r="S235" s="13"/>
      <c r="T235" s="13"/>
      <c r="U235" s="13"/>
      <c r="V235" s="13"/>
      <c r="W235" s="13"/>
      <c r="X235" s="13"/>
      <c r="Y235" s="13"/>
      <c r="Z235" s="13"/>
      <c r="AA235" s="13"/>
      <c r="AB235" s="13"/>
      <c r="AC235" s="13"/>
      <c r="AD235" s="13"/>
      <c r="AE235" s="13"/>
      <c r="AF235" s="242"/>
      <c r="AG235" s="242"/>
      <c r="AH235" s="242"/>
      <c r="AI235" s="242"/>
      <c r="AJ235" s="242"/>
      <c r="AK235" s="242"/>
      <c r="AL235" s="242"/>
      <c r="AM235" s="242"/>
      <c r="AN235" s="242"/>
      <c r="AO235" s="242"/>
      <c r="AP235" s="242"/>
    </row>
    <row r="236">
      <c r="A236" s="242"/>
      <c r="B236" s="242"/>
      <c r="C236" s="242"/>
      <c r="D236" s="242"/>
      <c r="E236" s="242"/>
      <c r="F236" s="242"/>
      <c r="G236" s="242"/>
      <c r="H236" s="242"/>
      <c r="I236" s="242"/>
      <c r="J236" s="242"/>
      <c r="K236" s="242"/>
      <c r="L236" s="242"/>
      <c r="M236" s="242"/>
      <c r="N236" s="242"/>
      <c r="O236" s="242"/>
      <c r="P236" s="13"/>
      <c r="Q236" s="13"/>
      <c r="R236" s="13"/>
      <c r="S236" s="13"/>
      <c r="T236" s="13"/>
      <c r="U236" s="13"/>
      <c r="V236" s="13"/>
      <c r="W236" s="13"/>
      <c r="X236" s="13"/>
      <c r="Y236" s="13"/>
      <c r="Z236" s="13"/>
      <c r="AA236" s="13"/>
      <c r="AB236" s="13"/>
      <c r="AC236" s="13"/>
      <c r="AD236" s="13"/>
      <c r="AE236" s="13"/>
      <c r="AF236" s="242"/>
      <c r="AG236" s="242"/>
      <c r="AH236" s="242"/>
      <c r="AI236" s="242"/>
      <c r="AJ236" s="242"/>
      <c r="AK236" s="242"/>
      <c r="AL236" s="242"/>
      <c r="AM236" s="242"/>
      <c r="AN236" s="242"/>
      <c r="AO236" s="242"/>
      <c r="AP236" s="242"/>
    </row>
    <row r="237">
      <c r="A237" s="242"/>
      <c r="B237" s="242"/>
      <c r="C237" s="242"/>
      <c r="D237" s="242"/>
      <c r="E237" s="242"/>
      <c r="F237" s="242"/>
      <c r="G237" s="242"/>
      <c r="H237" s="242"/>
      <c r="I237" s="242"/>
      <c r="J237" s="242"/>
      <c r="K237" s="242"/>
      <c r="L237" s="242"/>
      <c r="M237" s="242"/>
      <c r="N237" s="242"/>
      <c r="O237" s="242"/>
      <c r="P237" s="13"/>
      <c r="Q237" s="13"/>
      <c r="R237" s="13"/>
      <c r="S237" s="13"/>
      <c r="T237" s="13"/>
      <c r="U237" s="13"/>
      <c r="V237" s="13"/>
      <c r="W237" s="13"/>
      <c r="X237" s="13"/>
      <c r="Y237" s="13"/>
      <c r="Z237" s="13"/>
      <c r="AA237" s="13"/>
      <c r="AB237" s="13"/>
      <c r="AC237" s="13"/>
      <c r="AD237" s="13"/>
      <c r="AE237" s="13"/>
      <c r="AF237" s="242"/>
      <c r="AG237" s="242"/>
      <c r="AH237" s="242"/>
      <c r="AI237" s="242"/>
      <c r="AJ237" s="242"/>
      <c r="AK237" s="242"/>
      <c r="AL237" s="242"/>
      <c r="AM237" s="242"/>
      <c r="AN237" s="242"/>
      <c r="AO237" s="242"/>
      <c r="AP237" s="242"/>
    </row>
    <row r="238">
      <c r="A238" s="242"/>
      <c r="B238" s="242"/>
      <c r="C238" s="242"/>
      <c r="D238" s="242"/>
      <c r="E238" s="242"/>
      <c r="F238" s="242"/>
      <c r="G238" s="242"/>
      <c r="H238" s="242"/>
      <c r="I238" s="242"/>
      <c r="J238" s="242"/>
      <c r="K238" s="242"/>
      <c r="L238" s="242"/>
      <c r="M238" s="242"/>
      <c r="N238" s="242"/>
      <c r="O238" s="242"/>
      <c r="P238" s="13"/>
      <c r="Q238" s="13"/>
      <c r="R238" s="13"/>
      <c r="S238" s="13"/>
      <c r="T238" s="13"/>
      <c r="U238" s="13"/>
      <c r="V238" s="13"/>
      <c r="W238" s="13"/>
      <c r="X238" s="13"/>
      <c r="Y238" s="13"/>
      <c r="Z238" s="13"/>
      <c r="AA238" s="13"/>
      <c r="AB238" s="13"/>
      <c r="AC238" s="13"/>
      <c r="AD238" s="13"/>
      <c r="AE238" s="13"/>
      <c r="AF238" s="242"/>
      <c r="AG238" s="242"/>
      <c r="AH238" s="242"/>
      <c r="AI238" s="242"/>
      <c r="AJ238" s="242"/>
      <c r="AK238" s="242"/>
      <c r="AL238" s="242"/>
      <c r="AM238" s="242"/>
      <c r="AN238" s="242"/>
      <c r="AO238" s="242"/>
      <c r="AP238" s="242"/>
    </row>
    <row r="239">
      <c r="A239" s="242"/>
      <c r="B239" s="242"/>
      <c r="C239" s="242"/>
      <c r="D239" s="242"/>
      <c r="E239" s="242"/>
      <c r="F239" s="242"/>
      <c r="G239" s="242"/>
      <c r="H239" s="242"/>
      <c r="I239" s="242"/>
      <c r="J239" s="242"/>
      <c r="K239" s="242"/>
      <c r="L239" s="242"/>
      <c r="M239" s="242"/>
      <c r="N239" s="242"/>
      <c r="O239" s="242"/>
      <c r="P239" s="13"/>
      <c r="Q239" s="13"/>
      <c r="R239" s="13"/>
      <c r="S239" s="13"/>
      <c r="T239" s="13"/>
      <c r="U239" s="13"/>
      <c r="V239" s="13"/>
      <c r="W239" s="13"/>
      <c r="X239" s="13"/>
      <c r="Y239" s="13"/>
      <c r="Z239" s="13"/>
      <c r="AA239" s="13"/>
      <c r="AB239" s="13"/>
      <c r="AC239" s="13"/>
      <c r="AD239" s="13"/>
      <c r="AE239" s="13"/>
      <c r="AF239" s="242"/>
      <c r="AG239" s="242"/>
      <c r="AH239" s="242"/>
      <c r="AI239" s="242"/>
      <c r="AJ239" s="242"/>
      <c r="AK239" s="242"/>
      <c r="AL239" s="242"/>
      <c r="AM239" s="242"/>
      <c r="AN239" s="242"/>
      <c r="AO239" s="242"/>
      <c r="AP239" s="242"/>
    </row>
    <row r="240">
      <c r="A240" s="242"/>
      <c r="B240" s="242"/>
      <c r="C240" s="242"/>
      <c r="D240" s="242"/>
      <c r="E240" s="242"/>
      <c r="F240" s="242"/>
      <c r="G240" s="242"/>
      <c r="H240" s="242"/>
      <c r="I240" s="242"/>
      <c r="J240" s="242"/>
      <c r="K240" s="242"/>
      <c r="L240" s="242"/>
      <c r="M240" s="242"/>
      <c r="N240" s="242"/>
      <c r="O240" s="242"/>
      <c r="P240" s="13"/>
      <c r="Q240" s="13"/>
      <c r="R240" s="13"/>
      <c r="S240" s="13"/>
      <c r="T240" s="13"/>
      <c r="U240" s="13"/>
      <c r="V240" s="13"/>
      <c r="W240" s="13"/>
      <c r="X240" s="13"/>
      <c r="Y240" s="13"/>
      <c r="Z240" s="13"/>
      <c r="AA240" s="13"/>
      <c r="AB240" s="13"/>
      <c r="AC240" s="13"/>
      <c r="AD240" s="13"/>
      <c r="AE240" s="13"/>
      <c r="AF240" s="242"/>
      <c r="AG240" s="242"/>
      <c r="AH240" s="242"/>
      <c r="AI240" s="242"/>
      <c r="AJ240" s="242"/>
      <c r="AK240" s="242"/>
      <c r="AL240" s="242"/>
      <c r="AM240" s="242"/>
      <c r="AN240" s="242"/>
      <c r="AO240" s="242"/>
      <c r="AP240" s="242"/>
    </row>
    <row r="241">
      <c r="A241" s="242"/>
      <c r="B241" s="242"/>
      <c r="C241" s="242"/>
      <c r="D241" s="242"/>
      <c r="E241" s="242"/>
      <c r="F241" s="242"/>
      <c r="G241" s="242"/>
      <c r="H241" s="242"/>
      <c r="I241" s="242"/>
      <c r="J241" s="242"/>
      <c r="K241" s="242"/>
      <c r="L241" s="242"/>
      <c r="M241" s="242"/>
      <c r="N241" s="242"/>
      <c r="O241" s="242"/>
      <c r="P241" s="13"/>
      <c r="Q241" s="13"/>
      <c r="R241" s="13"/>
      <c r="S241" s="13"/>
      <c r="T241" s="13"/>
      <c r="U241" s="13"/>
      <c r="V241" s="13"/>
      <c r="W241" s="13"/>
      <c r="X241" s="13"/>
      <c r="Y241" s="13"/>
      <c r="Z241" s="13"/>
      <c r="AA241" s="13"/>
      <c r="AB241" s="13"/>
      <c r="AC241" s="13"/>
      <c r="AD241" s="13"/>
      <c r="AE241" s="13"/>
      <c r="AF241" s="242"/>
      <c r="AG241" s="242"/>
      <c r="AH241" s="242"/>
      <c r="AI241" s="242"/>
      <c r="AJ241" s="242"/>
      <c r="AK241" s="242"/>
      <c r="AL241" s="242"/>
      <c r="AM241" s="242"/>
      <c r="AN241" s="242"/>
      <c r="AO241" s="242"/>
      <c r="AP241" s="242"/>
    </row>
    <row r="242">
      <c r="A242" s="242"/>
      <c r="B242" s="242"/>
      <c r="C242" s="242"/>
      <c r="D242" s="242"/>
      <c r="E242" s="242"/>
      <c r="F242" s="242"/>
      <c r="G242" s="242"/>
      <c r="H242" s="242"/>
      <c r="I242" s="242"/>
      <c r="J242" s="242"/>
      <c r="K242" s="242"/>
      <c r="L242" s="242"/>
      <c r="M242" s="242"/>
      <c r="N242" s="242"/>
      <c r="O242" s="242"/>
      <c r="P242" s="13"/>
      <c r="Q242" s="13"/>
      <c r="R242" s="13"/>
      <c r="S242" s="13"/>
      <c r="T242" s="13"/>
      <c r="U242" s="13"/>
      <c r="V242" s="13"/>
      <c r="W242" s="13"/>
      <c r="X242" s="13"/>
      <c r="Y242" s="13"/>
      <c r="Z242" s="13"/>
      <c r="AA242" s="13"/>
      <c r="AB242" s="13"/>
      <c r="AC242" s="13"/>
      <c r="AD242" s="13"/>
      <c r="AE242" s="13"/>
      <c r="AF242" s="242"/>
      <c r="AG242" s="242"/>
      <c r="AH242" s="242"/>
      <c r="AI242" s="242"/>
      <c r="AJ242" s="242"/>
      <c r="AK242" s="242"/>
      <c r="AL242" s="242"/>
      <c r="AM242" s="242"/>
      <c r="AN242" s="242"/>
      <c r="AO242" s="242"/>
      <c r="AP242" s="242"/>
    </row>
    <row r="243">
      <c r="A243" s="242"/>
      <c r="B243" s="242"/>
      <c r="C243" s="242"/>
      <c r="D243" s="242"/>
      <c r="E243" s="242"/>
      <c r="F243" s="242"/>
      <c r="G243" s="242"/>
      <c r="H243" s="242"/>
      <c r="I243" s="242"/>
      <c r="J243" s="242"/>
      <c r="K243" s="242"/>
      <c r="L243" s="242"/>
      <c r="M243" s="242"/>
      <c r="N243" s="242"/>
      <c r="O243" s="242"/>
      <c r="P243" s="13"/>
      <c r="Q243" s="13"/>
      <c r="R243" s="13"/>
      <c r="S243" s="13"/>
      <c r="T243" s="13"/>
      <c r="U243" s="13"/>
      <c r="V243" s="13"/>
      <c r="W243" s="13"/>
      <c r="X243" s="13"/>
      <c r="Y243" s="13"/>
      <c r="Z243" s="13"/>
      <c r="AA243" s="13"/>
      <c r="AB243" s="13"/>
      <c r="AC243" s="13"/>
      <c r="AD243" s="13"/>
      <c r="AE243" s="13"/>
      <c r="AF243" s="242"/>
      <c r="AG243" s="242"/>
      <c r="AH243" s="242"/>
      <c r="AI243" s="242"/>
      <c r="AJ243" s="242"/>
      <c r="AK243" s="242"/>
      <c r="AL243" s="242"/>
      <c r="AM243" s="242"/>
      <c r="AN243" s="242"/>
      <c r="AO243" s="242"/>
      <c r="AP243" s="242"/>
    </row>
    <row r="244">
      <c r="A244" s="242"/>
      <c r="B244" s="242"/>
      <c r="C244" s="242"/>
      <c r="D244" s="242"/>
      <c r="E244" s="242"/>
      <c r="F244" s="242"/>
      <c r="G244" s="242"/>
      <c r="H244" s="242"/>
      <c r="I244" s="242"/>
      <c r="J244" s="242"/>
      <c r="K244" s="242"/>
      <c r="L244" s="242"/>
      <c r="M244" s="242"/>
      <c r="N244" s="242"/>
      <c r="O244" s="242"/>
      <c r="P244" s="13"/>
      <c r="Q244" s="13"/>
      <c r="R244" s="13"/>
      <c r="S244" s="13"/>
      <c r="T244" s="13"/>
      <c r="U244" s="13"/>
      <c r="V244" s="13"/>
      <c r="W244" s="13"/>
      <c r="X244" s="13"/>
      <c r="Y244" s="13"/>
      <c r="Z244" s="13"/>
      <c r="AA244" s="13"/>
      <c r="AB244" s="13"/>
      <c r="AC244" s="13"/>
      <c r="AD244" s="13"/>
      <c r="AE244" s="13"/>
      <c r="AF244" s="242"/>
      <c r="AG244" s="242"/>
      <c r="AH244" s="242"/>
      <c r="AI244" s="242"/>
      <c r="AJ244" s="242"/>
      <c r="AK244" s="242"/>
      <c r="AL244" s="242"/>
      <c r="AM244" s="242"/>
      <c r="AN244" s="242"/>
      <c r="AO244" s="242"/>
      <c r="AP244" s="242"/>
    </row>
    <row r="245">
      <c r="A245" s="242"/>
      <c r="B245" s="242"/>
      <c r="C245" s="242"/>
      <c r="D245" s="242"/>
      <c r="E245" s="242"/>
      <c r="F245" s="242"/>
      <c r="G245" s="242"/>
      <c r="H245" s="242"/>
      <c r="I245" s="242"/>
      <c r="J245" s="242"/>
      <c r="K245" s="242"/>
      <c r="L245" s="242"/>
      <c r="M245" s="242"/>
      <c r="N245" s="242"/>
      <c r="O245" s="242"/>
      <c r="P245" s="13"/>
      <c r="Q245" s="13"/>
      <c r="R245" s="13"/>
      <c r="S245" s="13"/>
      <c r="T245" s="13"/>
      <c r="U245" s="13"/>
      <c r="V245" s="13"/>
      <c r="W245" s="13"/>
      <c r="X245" s="13"/>
      <c r="Y245" s="13"/>
      <c r="Z245" s="13"/>
      <c r="AA245" s="13"/>
      <c r="AB245" s="13"/>
      <c r="AC245" s="13"/>
      <c r="AD245" s="13"/>
      <c r="AE245" s="13"/>
      <c r="AF245" s="242"/>
      <c r="AG245" s="242"/>
      <c r="AH245" s="242"/>
      <c r="AI245" s="242"/>
      <c r="AJ245" s="242"/>
      <c r="AK245" s="242"/>
      <c r="AL245" s="242"/>
      <c r="AM245" s="242"/>
      <c r="AN245" s="242"/>
      <c r="AO245" s="242"/>
      <c r="AP245" s="242"/>
    </row>
    <row r="246">
      <c r="A246" s="242"/>
      <c r="B246" s="242"/>
      <c r="C246" s="242"/>
      <c r="D246" s="242"/>
      <c r="E246" s="242"/>
      <c r="F246" s="242"/>
      <c r="G246" s="242"/>
      <c r="H246" s="242"/>
      <c r="I246" s="242"/>
      <c r="J246" s="242"/>
      <c r="K246" s="242"/>
      <c r="L246" s="242"/>
      <c r="M246" s="242"/>
      <c r="N246" s="242"/>
      <c r="O246" s="242"/>
      <c r="P246" s="13"/>
      <c r="Q246" s="13"/>
      <c r="R246" s="13"/>
      <c r="S246" s="13"/>
      <c r="T246" s="13"/>
      <c r="U246" s="13"/>
      <c r="V246" s="13"/>
      <c r="W246" s="13"/>
      <c r="X246" s="13"/>
      <c r="Y246" s="13"/>
      <c r="Z246" s="13"/>
      <c r="AA246" s="13"/>
      <c r="AB246" s="13"/>
      <c r="AC246" s="13"/>
      <c r="AD246" s="13"/>
      <c r="AE246" s="13"/>
      <c r="AF246" s="242"/>
      <c r="AG246" s="242"/>
      <c r="AH246" s="242"/>
      <c r="AI246" s="242"/>
      <c r="AJ246" s="242"/>
      <c r="AK246" s="242"/>
      <c r="AL246" s="242"/>
      <c r="AM246" s="242"/>
      <c r="AN246" s="242"/>
      <c r="AO246" s="242"/>
      <c r="AP246" s="242"/>
    </row>
    <row r="247">
      <c r="A247" s="242"/>
      <c r="B247" s="242"/>
      <c r="C247" s="242"/>
      <c r="D247" s="242"/>
      <c r="E247" s="242"/>
      <c r="F247" s="242"/>
      <c r="G247" s="242"/>
      <c r="H247" s="242"/>
      <c r="I247" s="242"/>
      <c r="J247" s="242"/>
      <c r="K247" s="242"/>
      <c r="L247" s="242"/>
      <c r="M247" s="242"/>
      <c r="N247" s="242"/>
      <c r="O247" s="242"/>
      <c r="P247" s="13"/>
      <c r="Q247" s="13"/>
      <c r="R247" s="13"/>
      <c r="S247" s="13"/>
      <c r="T247" s="13"/>
      <c r="U247" s="13"/>
      <c r="V247" s="13"/>
      <c r="W247" s="13"/>
      <c r="X247" s="13"/>
      <c r="Y247" s="13"/>
      <c r="Z247" s="13"/>
      <c r="AA247" s="13"/>
      <c r="AB247" s="13"/>
      <c r="AC247" s="13"/>
      <c r="AD247" s="13"/>
      <c r="AE247" s="13"/>
      <c r="AF247" s="242"/>
      <c r="AG247" s="242"/>
      <c r="AH247" s="242"/>
      <c r="AI247" s="242"/>
      <c r="AJ247" s="242"/>
      <c r="AK247" s="242"/>
      <c r="AL247" s="242"/>
      <c r="AM247" s="242"/>
      <c r="AN247" s="242"/>
      <c r="AO247" s="242"/>
      <c r="AP247" s="242"/>
    </row>
    <row r="248">
      <c r="A248" s="242"/>
      <c r="B248" s="242"/>
      <c r="C248" s="242"/>
      <c r="D248" s="242"/>
      <c r="E248" s="242"/>
      <c r="F248" s="242"/>
      <c r="G248" s="242"/>
      <c r="H248" s="242"/>
      <c r="I248" s="242"/>
      <c r="J248" s="242"/>
      <c r="K248" s="242"/>
      <c r="L248" s="242"/>
      <c r="M248" s="242"/>
      <c r="N248" s="242"/>
      <c r="O248" s="242"/>
      <c r="P248" s="13"/>
      <c r="Q248" s="13"/>
      <c r="R248" s="13"/>
      <c r="S248" s="13"/>
      <c r="T248" s="13"/>
      <c r="U248" s="13"/>
      <c r="V248" s="13"/>
      <c r="W248" s="13"/>
      <c r="X248" s="13"/>
      <c r="Y248" s="13"/>
      <c r="Z248" s="13"/>
      <c r="AA248" s="13"/>
      <c r="AB248" s="13"/>
      <c r="AC248" s="13"/>
      <c r="AD248" s="13"/>
      <c r="AE248" s="13"/>
      <c r="AF248" s="242"/>
      <c r="AG248" s="242"/>
      <c r="AH248" s="242"/>
      <c r="AI248" s="242"/>
      <c r="AJ248" s="242"/>
      <c r="AK248" s="242"/>
      <c r="AL248" s="242"/>
      <c r="AM248" s="242"/>
      <c r="AN248" s="242"/>
      <c r="AO248" s="242"/>
      <c r="AP248" s="242"/>
    </row>
    <row r="249">
      <c r="A249" s="242"/>
      <c r="B249" s="242"/>
      <c r="C249" s="242"/>
      <c r="D249" s="242"/>
      <c r="E249" s="242"/>
      <c r="F249" s="242"/>
      <c r="G249" s="242"/>
      <c r="H249" s="242"/>
      <c r="I249" s="242"/>
      <c r="J249" s="242"/>
      <c r="K249" s="242"/>
      <c r="L249" s="242"/>
      <c r="M249" s="242"/>
      <c r="N249" s="242"/>
      <c r="O249" s="242"/>
      <c r="P249" s="13"/>
      <c r="Q249" s="13"/>
      <c r="R249" s="13"/>
      <c r="S249" s="13"/>
      <c r="T249" s="13"/>
      <c r="U249" s="13"/>
      <c r="V249" s="13"/>
      <c r="W249" s="13"/>
      <c r="X249" s="13"/>
      <c r="Y249" s="13"/>
      <c r="Z249" s="13"/>
      <c r="AA249" s="13"/>
      <c r="AB249" s="13"/>
      <c r="AC249" s="13"/>
      <c r="AD249" s="13"/>
      <c r="AE249" s="13"/>
      <c r="AF249" s="242"/>
      <c r="AG249" s="242"/>
      <c r="AH249" s="242"/>
      <c r="AI249" s="242"/>
      <c r="AJ249" s="242"/>
      <c r="AK249" s="242"/>
      <c r="AL249" s="242"/>
      <c r="AM249" s="242"/>
      <c r="AN249" s="242"/>
      <c r="AO249" s="242"/>
      <c r="AP249" s="242"/>
    </row>
    <row r="250">
      <c r="A250" s="242"/>
      <c r="B250" s="242"/>
      <c r="C250" s="242"/>
      <c r="D250" s="242"/>
      <c r="E250" s="242"/>
      <c r="F250" s="242"/>
      <c r="G250" s="242"/>
      <c r="H250" s="242"/>
      <c r="I250" s="242"/>
      <c r="J250" s="242"/>
      <c r="K250" s="242"/>
      <c r="L250" s="242"/>
      <c r="M250" s="242"/>
      <c r="N250" s="242"/>
      <c r="O250" s="242"/>
      <c r="P250" s="13"/>
      <c r="Q250" s="13"/>
      <c r="R250" s="13"/>
      <c r="S250" s="13"/>
      <c r="T250" s="13"/>
      <c r="U250" s="13"/>
      <c r="V250" s="13"/>
      <c r="W250" s="13"/>
      <c r="X250" s="13"/>
      <c r="Y250" s="13"/>
      <c r="Z250" s="13"/>
      <c r="AA250" s="13"/>
      <c r="AB250" s="13"/>
      <c r="AC250" s="13"/>
      <c r="AD250" s="13"/>
      <c r="AE250" s="13"/>
      <c r="AF250" s="242"/>
      <c r="AG250" s="242"/>
      <c r="AH250" s="242"/>
      <c r="AI250" s="242"/>
      <c r="AJ250" s="242"/>
      <c r="AK250" s="242"/>
      <c r="AL250" s="242"/>
      <c r="AM250" s="242"/>
      <c r="AN250" s="242"/>
      <c r="AO250" s="242"/>
      <c r="AP250" s="242"/>
    </row>
    <row r="251">
      <c r="A251" s="242"/>
      <c r="B251" s="242"/>
      <c r="C251" s="242"/>
      <c r="D251" s="242"/>
      <c r="E251" s="242"/>
      <c r="F251" s="242"/>
      <c r="G251" s="242"/>
      <c r="H251" s="242"/>
      <c r="I251" s="242"/>
      <c r="J251" s="242"/>
      <c r="K251" s="242"/>
      <c r="L251" s="242"/>
      <c r="M251" s="242"/>
      <c r="N251" s="242"/>
      <c r="O251" s="242"/>
      <c r="P251" s="13"/>
      <c r="Q251" s="13"/>
      <c r="R251" s="13"/>
      <c r="S251" s="13"/>
      <c r="T251" s="13"/>
      <c r="U251" s="13"/>
      <c r="V251" s="13"/>
      <c r="W251" s="13"/>
      <c r="X251" s="13"/>
      <c r="Y251" s="13"/>
      <c r="Z251" s="13"/>
      <c r="AA251" s="13"/>
      <c r="AB251" s="13"/>
      <c r="AC251" s="13"/>
      <c r="AD251" s="13"/>
      <c r="AE251" s="13"/>
      <c r="AF251" s="242"/>
      <c r="AG251" s="242"/>
      <c r="AH251" s="242"/>
      <c r="AI251" s="242"/>
      <c r="AJ251" s="242"/>
      <c r="AK251" s="242"/>
      <c r="AL251" s="242"/>
      <c r="AM251" s="242"/>
      <c r="AN251" s="242"/>
      <c r="AO251" s="242"/>
      <c r="AP251" s="242"/>
    </row>
    <row r="252">
      <c r="A252" s="242"/>
      <c r="B252" s="242"/>
      <c r="C252" s="242"/>
      <c r="D252" s="242"/>
      <c r="E252" s="242"/>
      <c r="F252" s="242"/>
      <c r="G252" s="242"/>
      <c r="H252" s="242"/>
      <c r="I252" s="242"/>
      <c r="J252" s="242"/>
      <c r="K252" s="242"/>
      <c r="L252" s="242"/>
      <c r="M252" s="242"/>
      <c r="N252" s="242"/>
      <c r="O252" s="242"/>
      <c r="P252" s="13"/>
      <c r="Q252" s="13"/>
      <c r="R252" s="13"/>
      <c r="S252" s="13"/>
      <c r="T252" s="13"/>
      <c r="U252" s="13"/>
      <c r="V252" s="13"/>
      <c r="W252" s="13"/>
      <c r="X252" s="13"/>
      <c r="Y252" s="13"/>
      <c r="Z252" s="13"/>
      <c r="AA252" s="13"/>
      <c r="AB252" s="13"/>
      <c r="AC252" s="13"/>
      <c r="AD252" s="13"/>
      <c r="AE252" s="13"/>
      <c r="AF252" s="242"/>
      <c r="AG252" s="242"/>
      <c r="AH252" s="242"/>
      <c r="AI252" s="242"/>
      <c r="AJ252" s="242"/>
      <c r="AK252" s="242"/>
      <c r="AL252" s="242"/>
      <c r="AM252" s="242"/>
      <c r="AN252" s="242"/>
      <c r="AO252" s="242"/>
      <c r="AP252" s="242"/>
    </row>
    <row r="253">
      <c r="A253" s="242"/>
      <c r="B253" s="242"/>
      <c r="C253" s="242"/>
      <c r="D253" s="242"/>
      <c r="E253" s="242"/>
      <c r="F253" s="242"/>
      <c r="G253" s="242"/>
      <c r="H253" s="242"/>
      <c r="I253" s="242"/>
      <c r="J253" s="242"/>
      <c r="K253" s="242"/>
      <c r="L253" s="242"/>
      <c r="M253" s="242"/>
      <c r="N253" s="242"/>
      <c r="O253" s="242"/>
      <c r="P253" s="13"/>
      <c r="Q253" s="13"/>
      <c r="R253" s="13"/>
      <c r="S253" s="13"/>
      <c r="T253" s="13"/>
      <c r="U253" s="13"/>
      <c r="V253" s="13"/>
      <c r="W253" s="13"/>
      <c r="X253" s="13"/>
      <c r="Y253" s="13"/>
      <c r="Z253" s="13"/>
      <c r="AA253" s="13"/>
      <c r="AB253" s="13"/>
      <c r="AC253" s="13"/>
      <c r="AD253" s="13"/>
      <c r="AE253" s="13"/>
      <c r="AF253" s="242"/>
      <c r="AG253" s="242"/>
      <c r="AH253" s="242"/>
      <c r="AI253" s="242"/>
      <c r="AJ253" s="242"/>
      <c r="AK253" s="242"/>
      <c r="AL253" s="242"/>
      <c r="AM253" s="242"/>
      <c r="AN253" s="242"/>
      <c r="AO253" s="242"/>
      <c r="AP253" s="242"/>
    </row>
    <row r="254">
      <c r="A254" s="242"/>
      <c r="B254" s="242"/>
      <c r="C254" s="242"/>
      <c r="D254" s="242"/>
      <c r="E254" s="242"/>
      <c r="F254" s="242"/>
      <c r="G254" s="242"/>
      <c r="H254" s="242"/>
      <c r="I254" s="242"/>
      <c r="J254" s="242"/>
      <c r="K254" s="242"/>
      <c r="L254" s="242"/>
      <c r="M254" s="242"/>
      <c r="N254" s="242"/>
      <c r="O254" s="242"/>
      <c r="P254" s="13"/>
      <c r="Q254" s="13"/>
      <c r="R254" s="13"/>
      <c r="S254" s="13"/>
      <c r="T254" s="13"/>
      <c r="U254" s="13"/>
      <c r="V254" s="13"/>
      <c r="W254" s="13"/>
      <c r="X254" s="13"/>
      <c r="Y254" s="13"/>
      <c r="Z254" s="13"/>
      <c r="AA254" s="13"/>
      <c r="AB254" s="13"/>
      <c r="AC254" s="13"/>
      <c r="AD254" s="13"/>
      <c r="AE254" s="13"/>
      <c r="AF254" s="242"/>
      <c r="AG254" s="242"/>
      <c r="AH254" s="242"/>
      <c r="AI254" s="242"/>
      <c r="AJ254" s="242"/>
      <c r="AK254" s="242"/>
      <c r="AL254" s="242"/>
      <c r="AM254" s="242"/>
      <c r="AN254" s="242"/>
      <c r="AO254" s="242"/>
      <c r="AP254" s="242"/>
    </row>
    <row r="255">
      <c r="A255" s="242"/>
      <c r="B255" s="242"/>
      <c r="C255" s="242"/>
      <c r="D255" s="242"/>
      <c r="E255" s="242"/>
      <c r="F255" s="242"/>
      <c r="G255" s="242"/>
      <c r="H255" s="242"/>
      <c r="I255" s="242"/>
      <c r="J255" s="242"/>
      <c r="K255" s="242"/>
      <c r="L255" s="242"/>
      <c r="M255" s="242"/>
      <c r="N255" s="242"/>
      <c r="O255" s="242"/>
      <c r="P255" s="13"/>
      <c r="Q255" s="13"/>
      <c r="R255" s="13"/>
      <c r="S255" s="13"/>
      <c r="T255" s="13"/>
      <c r="U255" s="13"/>
      <c r="V255" s="13"/>
      <c r="W255" s="13"/>
      <c r="X255" s="13"/>
      <c r="Y255" s="13"/>
      <c r="Z255" s="13"/>
      <c r="AA255" s="13"/>
      <c r="AB255" s="13"/>
      <c r="AC255" s="13"/>
      <c r="AD255" s="13"/>
      <c r="AE255" s="13"/>
      <c r="AF255" s="242"/>
      <c r="AG255" s="242"/>
      <c r="AH255" s="242"/>
      <c r="AI255" s="242"/>
      <c r="AJ255" s="242"/>
      <c r="AK255" s="242"/>
      <c r="AL255" s="242"/>
      <c r="AM255" s="242"/>
      <c r="AN255" s="242"/>
      <c r="AO255" s="242"/>
      <c r="AP255" s="242"/>
    </row>
    <row r="256">
      <c r="A256" s="242"/>
      <c r="B256" s="242"/>
      <c r="C256" s="242"/>
      <c r="D256" s="242"/>
      <c r="E256" s="242"/>
      <c r="F256" s="242"/>
      <c r="G256" s="242"/>
      <c r="H256" s="242"/>
      <c r="I256" s="242"/>
      <c r="J256" s="242"/>
      <c r="K256" s="242"/>
      <c r="L256" s="242"/>
      <c r="M256" s="242"/>
      <c r="N256" s="242"/>
      <c r="O256" s="242"/>
      <c r="P256" s="13"/>
      <c r="Q256" s="13"/>
      <c r="R256" s="13"/>
      <c r="S256" s="13"/>
      <c r="T256" s="13"/>
      <c r="U256" s="13"/>
      <c r="V256" s="13"/>
      <c r="W256" s="13"/>
      <c r="X256" s="13"/>
      <c r="Y256" s="13"/>
      <c r="Z256" s="13"/>
      <c r="AA256" s="13"/>
      <c r="AB256" s="13"/>
      <c r="AC256" s="13"/>
      <c r="AD256" s="13"/>
      <c r="AE256" s="13"/>
      <c r="AF256" s="242"/>
      <c r="AG256" s="242"/>
      <c r="AH256" s="242"/>
      <c r="AI256" s="242"/>
      <c r="AJ256" s="242"/>
      <c r="AK256" s="242"/>
      <c r="AL256" s="242"/>
      <c r="AM256" s="242"/>
      <c r="AN256" s="242"/>
      <c r="AO256" s="242"/>
      <c r="AP256" s="242"/>
    </row>
    <row r="257">
      <c r="A257" s="242"/>
      <c r="B257" s="242"/>
      <c r="C257" s="242"/>
      <c r="D257" s="242"/>
      <c r="E257" s="242"/>
      <c r="F257" s="242"/>
      <c r="G257" s="242"/>
      <c r="H257" s="242"/>
      <c r="I257" s="242"/>
      <c r="J257" s="242"/>
      <c r="K257" s="242"/>
      <c r="L257" s="242"/>
      <c r="M257" s="242"/>
      <c r="N257" s="242"/>
      <c r="O257" s="242"/>
      <c r="P257" s="13"/>
      <c r="Q257" s="13"/>
      <c r="R257" s="13"/>
      <c r="S257" s="13"/>
      <c r="T257" s="13"/>
      <c r="U257" s="13"/>
      <c r="V257" s="13"/>
      <c r="W257" s="13"/>
      <c r="X257" s="13"/>
      <c r="Y257" s="13"/>
      <c r="Z257" s="13"/>
      <c r="AA257" s="13"/>
      <c r="AB257" s="13"/>
      <c r="AC257" s="13"/>
      <c r="AD257" s="13"/>
      <c r="AE257" s="13"/>
      <c r="AF257" s="242"/>
      <c r="AG257" s="242"/>
      <c r="AH257" s="242"/>
      <c r="AI257" s="242"/>
      <c r="AJ257" s="242"/>
      <c r="AK257" s="242"/>
      <c r="AL257" s="242"/>
      <c r="AM257" s="242"/>
      <c r="AN257" s="242"/>
      <c r="AO257" s="242"/>
      <c r="AP257" s="242"/>
    </row>
    <row r="258">
      <c r="A258" s="242"/>
      <c r="B258" s="242"/>
      <c r="C258" s="242"/>
      <c r="D258" s="242"/>
      <c r="E258" s="242"/>
      <c r="F258" s="242"/>
      <c r="G258" s="242"/>
      <c r="H258" s="242"/>
      <c r="I258" s="242"/>
      <c r="J258" s="242"/>
      <c r="K258" s="242"/>
      <c r="L258" s="242"/>
      <c r="M258" s="242"/>
      <c r="N258" s="242"/>
      <c r="O258" s="242"/>
      <c r="P258" s="13"/>
      <c r="Q258" s="13"/>
      <c r="R258" s="13"/>
      <c r="S258" s="13"/>
      <c r="T258" s="13"/>
      <c r="U258" s="13"/>
      <c r="V258" s="13"/>
      <c r="W258" s="13"/>
      <c r="X258" s="13"/>
      <c r="Y258" s="13"/>
      <c r="Z258" s="13"/>
      <c r="AA258" s="13"/>
      <c r="AB258" s="13"/>
      <c r="AC258" s="13"/>
      <c r="AD258" s="13"/>
      <c r="AE258" s="13"/>
      <c r="AF258" s="242"/>
      <c r="AG258" s="242"/>
      <c r="AH258" s="242"/>
      <c r="AI258" s="242"/>
      <c r="AJ258" s="242"/>
      <c r="AK258" s="242"/>
      <c r="AL258" s="242"/>
      <c r="AM258" s="242"/>
      <c r="AN258" s="242"/>
      <c r="AO258" s="242"/>
      <c r="AP258" s="242"/>
    </row>
    <row r="259">
      <c r="A259" s="242"/>
      <c r="B259" s="242"/>
      <c r="C259" s="242"/>
      <c r="D259" s="242"/>
      <c r="E259" s="242"/>
      <c r="F259" s="242"/>
      <c r="G259" s="242"/>
      <c r="H259" s="242"/>
      <c r="I259" s="242"/>
      <c r="J259" s="242"/>
      <c r="K259" s="242"/>
      <c r="L259" s="242"/>
      <c r="M259" s="242"/>
      <c r="N259" s="242"/>
      <c r="O259" s="242"/>
      <c r="P259" s="13"/>
      <c r="Q259" s="13"/>
      <c r="R259" s="13"/>
      <c r="S259" s="13"/>
      <c r="T259" s="13"/>
      <c r="U259" s="13"/>
      <c r="V259" s="13"/>
      <c r="W259" s="13"/>
      <c r="X259" s="13"/>
      <c r="Y259" s="13"/>
      <c r="Z259" s="13"/>
      <c r="AA259" s="13"/>
      <c r="AB259" s="13"/>
      <c r="AC259" s="13"/>
      <c r="AD259" s="13"/>
      <c r="AE259" s="13"/>
      <c r="AF259" s="242"/>
      <c r="AG259" s="242"/>
      <c r="AH259" s="242"/>
      <c r="AI259" s="242"/>
      <c r="AJ259" s="242"/>
      <c r="AK259" s="242"/>
      <c r="AL259" s="242"/>
      <c r="AM259" s="242"/>
      <c r="AN259" s="242"/>
      <c r="AO259" s="242"/>
      <c r="AP259" s="242"/>
    </row>
    <row r="260">
      <c r="A260" s="242"/>
      <c r="B260" s="242"/>
      <c r="C260" s="242"/>
      <c r="D260" s="242"/>
      <c r="E260" s="242"/>
      <c r="F260" s="242"/>
      <c r="G260" s="242"/>
      <c r="H260" s="242"/>
      <c r="I260" s="242"/>
      <c r="J260" s="242"/>
      <c r="K260" s="242"/>
      <c r="L260" s="242"/>
      <c r="M260" s="242"/>
      <c r="N260" s="242"/>
      <c r="O260" s="242"/>
      <c r="P260" s="13"/>
      <c r="Q260" s="13"/>
      <c r="R260" s="13"/>
      <c r="S260" s="13"/>
      <c r="T260" s="13"/>
      <c r="U260" s="13"/>
      <c r="V260" s="13"/>
      <c r="W260" s="13"/>
      <c r="X260" s="13"/>
      <c r="Y260" s="13"/>
      <c r="Z260" s="13"/>
      <c r="AA260" s="13"/>
      <c r="AB260" s="13"/>
      <c r="AC260" s="13"/>
      <c r="AD260" s="13"/>
      <c r="AE260" s="13"/>
      <c r="AF260" s="242"/>
      <c r="AG260" s="242"/>
      <c r="AH260" s="242"/>
      <c r="AI260" s="242"/>
      <c r="AJ260" s="242"/>
      <c r="AK260" s="242"/>
      <c r="AL260" s="242"/>
      <c r="AM260" s="242"/>
      <c r="AN260" s="242"/>
      <c r="AO260" s="242"/>
      <c r="AP260" s="242"/>
    </row>
    <row r="261">
      <c r="A261" s="242"/>
      <c r="B261" s="242"/>
      <c r="C261" s="242"/>
      <c r="D261" s="242"/>
      <c r="E261" s="242"/>
      <c r="F261" s="242"/>
      <c r="G261" s="242"/>
      <c r="H261" s="242"/>
      <c r="I261" s="242"/>
      <c r="J261" s="242"/>
      <c r="K261" s="242"/>
      <c r="L261" s="242"/>
      <c r="M261" s="242"/>
      <c r="N261" s="242"/>
      <c r="O261" s="242"/>
      <c r="P261" s="13"/>
      <c r="Q261" s="13"/>
      <c r="R261" s="13"/>
      <c r="S261" s="13"/>
      <c r="T261" s="13"/>
      <c r="U261" s="13"/>
      <c r="V261" s="13"/>
      <c r="W261" s="13"/>
      <c r="X261" s="13"/>
      <c r="Y261" s="13"/>
      <c r="Z261" s="13"/>
      <c r="AA261" s="13"/>
      <c r="AB261" s="13"/>
      <c r="AC261" s="13"/>
      <c r="AD261" s="13"/>
      <c r="AE261" s="13"/>
      <c r="AF261" s="242"/>
      <c r="AG261" s="242"/>
      <c r="AH261" s="242"/>
      <c r="AI261" s="242"/>
      <c r="AJ261" s="242"/>
      <c r="AK261" s="242"/>
      <c r="AL261" s="242"/>
      <c r="AM261" s="242"/>
      <c r="AN261" s="242"/>
      <c r="AO261" s="242"/>
      <c r="AP261" s="242"/>
    </row>
    <row r="262">
      <c r="A262" s="242"/>
      <c r="B262" s="242"/>
      <c r="C262" s="242"/>
      <c r="D262" s="242"/>
      <c r="E262" s="242"/>
      <c r="F262" s="242"/>
      <c r="G262" s="242"/>
      <c r="H262" s="242"/>
      <c r="I262" s="242"/>
      <c r="J262" s="242"/>
      <c r="K262" s="242"/>
      <c r="L262" s="242"/>
      <c r="M262" s="242"/>
      <c r="N262" s="242"/>
      <c r="O262" s="242"/>
      <c r="P262" s="13"/>
      <c r="Q262" s="13"/>
      <c r="R262" s="13"/>
      <c r="S262" s="13"/>
      <c r="T262" s="13"/>
      <c r="U262" s="13"/>
      <c r="V262" s="13"/>
      <c r="W262" s="13"/>
      <c r="X262" s="13"/>
      <c r="Y262" s="13"/>
      <c r="Z262" s="13"/>
      <c r="AA262" s="13"/>
      <c r="AB262" s="13"/>
      <c r="AC262" s="13"/>
      <c r="AD262" s="13"/>
      <c r="AE262" s="13"/>
      <c r="AF262" s="242"/>
      <c r="AG262" s="242"/>
      <c r="AH262" s="242"/>
      <c r="AI262" s="242"/>
      <c r="AJ262" s="242"/>
      <c r="AK262" s="242"/>
      <c r="AL262" s="242"/>
      <c r="AM262" s="242"/>
      <c r="AN262" s="242"/>
      <c r="AO262" s="242"/>
      <c r="AP262" s="242"/>
    </row>
    <row r="263">
      <c r="A263" s="242"/>
      <c r="B263" s="242"/>
      <c r="C263" s="242"/>
      <c r="D263" s="242"/>
      <c r="E263" s="242"/>
      <c r="F263" s="242"/>
      <c r="G263" s="242"/>
      <c r="H263" s="242"/>
      <c r="I263" s="242"/>
      <c r="J263" s="242"/>
      <c r="K263" s="242"/>
      <c r="L263" s="242"/>
      <c r="M263" s="242"/>
      <c r="N263" s="242"/>
      <c r="O263" s="242"/>
      <c r="P263" s="13"/>
      <c r="Q263" s="13"/>
      <c r="R263" s="13"/>
      <c r="S263" s="13"/>
      <c r="T263" s="13"/>
      <c r="U263" s="13"/>
      <c r="V263" s="13"/>
      <c r="W263" s="13"/>
      <c r="X263" s="13"/>
      <c r="Y263" s="13"/>
      <c r="Z263" s="13"/>
      <c r="AA263" s="13"/>
      <c r="AB263" s="13"/>
      <c r="AC263" s="13"/>
      <c r="AD263" s="13"/>
      <c r="AE263" s="13"/>
      <c r="AF263" s="242"/>
      <c r="AG263" s="242"/>
      <c r="AH263" s="242"/>
      <c r="AI263" s="242"/>
      <c r="AJ263" s="242"/>
      <c r="AK263" s="242"/>
      <c r="AL263" s="242"/>
      <c r="AM263" s="242"/>
      <c r="AN263" s="242"/>
      <c r="AO263" s="242"/>
      <c r="AP263" s="242"/>
    </row>
    <row r="264">
      <c r="A264" s="242"/>
      <c r="B264" s="242"/>
      <c r="C264" s="242"/>
      <c r="D264" s="242"/>
      <c r="E264" s="242"/>
      <c r="F264" s="242"/>
      <c r="G264" s="242"/>
      <c r="H264" s="242"/>
      <c r="I264" s="242"/>
      <c r="J264" s="242"/>
      <c r="K264" s="242"/>
      <c r="L264" s="242"/>
      <c r="M264" s="242"/>
      <c r="N264" s="242"/>
      <c r="O264" s="242"/>
      <c r="P264" s="13"/>
      <c r="Q264" s="13"/>
      <c r="R264" s="13"/>
      <c r="S264" s="13"/>
      <c r="T264" s="13"/>
      <c r="U264" s="13"/>
      <c r="V264" s="13"/>
      <c r="W264" s="13"/>
      <c r="X264" s="13"/>
      <c r="Y264" s="13"/>
      <c r="Z264" s="13"/>
      <c r="AA264" s="13"/>
      <c r="AB264" s="13"/>
      <c r="AC264" s="13"/>
      <c r="AD264" s="13"/>
      <c r="AE264" s="13"/>
      <c r="AF264" s="242"/>
      <c r="AG264" s="242"/>
      <c r="AH264" s="242"/>
      <c r="AI264" s="242"/>
      <c r="AJ264" s="242"/>
      <c r="AK264" s="242"/>
      <c r="AL264" s="242"/>
      <c r="AM264" s="242"/>
      <c r="AN264" s="242"/>
      <c r="AO264" s="242"/>
      <c r="AP264" s="242"/>
    </row>
    <row r="265">
      <c r="A265" s="242"/>
      <c r="B265" s="242"/>
      <c r="C265" s="242"/>
      <c r="D265" s="242"/>
      <c r="E265" s="242"/>
      <c r="F265" s="242"/>
      <c r="G265" s="242"/>
      <c r="H265" s="242"/>
      <c r="I265" s="242"/>
      <c r="J265" s="242"/>
      <c r="K265" s="242"/>
      <c r="L265" s="242"/>
      <c r="M265" s="242"/>
      <c r="N265" s="242"/>
      <c r="O265" s="242"/>
      <c r="P265" s="13"/>
      <c r="Q265" s="13"/>
      <c r="R265" s="13"/>
      <c r="S265" s="13"/>
      <c r="T265" s="13"/>
      <c r="U265" s="13"/>
      <c r="V265" s="13"/>
      <c r="W265" s="13"/>
      <c r="X265" s="13"/>
      <c r="Y265" s="13"/>
      <c r="Z265" s="13"/>
      <c r="AA265" s="13"/>
      <c r="AB265" s="13"/>
      <c r="AC265" s="13"/>
      <c r="AD265" s="13"/>
      <c r="AE265" s="13"/>
      <c r="AF265" s="242"/>
      <c r="AG265" s="242"/>
      <c r="AH265" s="242"/>
      <c r="AI265" s="242"/>
      <c r="AJ265" s="242"/>
      <c r="AK265" s="242"/>
      <c r="AL265" s="242"/>
      <c r="AM265" s="242"/>
      <c r="AN265" s="242"/>
      <c r="AO265" s="242"/>
      <c r="AP265" s="242"/>
    </row>
    <row r="266">
      <c r="A266" s="242"/>
      <c r="B266" s="242"/>
      <c r="C266" s="242"/>
      <c r="D266" s="242"/>
      <c r="E266" s="242"/>
      <c r="F266" s="242"/>
      <c r="G266" s="242"/>
      <c r="H266" s="242"/>
      <c r="I266" s="242"/>
      <c r="J266" s="242"/>
      <c r="K266" s="242"/>
      <c r="L266" s="242"/>
      <c r="M266" s="242"/>
      <c r="N266" s="242"/>
      <c r="O266" s="242"/>
      <c r="P266" s="13"/>
      <c r="Q266" s="13"/>
      <c r="R266" s="13"/>
      <c r="S266" s="13"/>
      <c r="T266" s="13"/>
      <c r="U266" s="13"/>
      <c r="V266" s="13"/>
      <c r="W266" s="13"/>
      <c r="X266" s="13"/>
      <c r="Y266" s="13"/>
      <c r="Z266" s="13"/>
      <c r="AA266" s="13"/>
      <c r="AB266" s="13"/>
      <c r="AC266" s="13"/>
      <c r="AD266" s="13"/>
      <c r="AE266" s="13"/>
      <c r="AF266" s="242"/>
      <c r="AG266" s="242"/>
      <c r="AH266" s="242"/>
      <c r="AI266" s="242"/>
      <c r="AJ266" s="242"/>
      <c r="AK266" s="242"/>
      <c r="AL266" s="242"/>
      <c r="AM266" s="242"/>
      <c r="AN266" s="242"/>
      <c r="AO266" s="242"/>
      <c r="AP266" s="242"/>
    </row>
    <row r="267">
      <c r="A267" s="242"/>
      <c r="B267" s="242"/>
      <c r="C267" s="242"/>
      <c r="D267" s="242"/>
      <c r="E267" s="242"/>
      <c r="F267" s="242"/>
      <c r="G267" s="242"/>
      <c r="H267" s="242"/>
      <c r="I267" s="242"/>
      <c r="J267" s="242"/>
      <c r="K267" s="242"/>
      <c r="L267" s="242"/>
      <c r="M267" s="242"/>
      <c r="N267" s="242"/>
      <c r="O267" s="242"/>
      <c r="P267" s="13"/>
      <c r="Q267" s="13"/>
      <c r="R267" s="13"/>
      <c r="S267" s="13"/>
      <c r="T267" s="13"/>
      <c r="U267" s="13"/>
      <c r="V267" s="13"/>
      <c r="W267" s="13"/>
      <c r="X267" s="13"/>
      <c r="Y267" s="13"/>
      <c r="Z267" s="13"/>
      <c r="AA267" s="13"/>
      <c r="AB267" s="13"/>
      <c r="AC267" s="13"/>
      <c r="AD267" s="13"/>
      <c r="AE267" s="13"/>
      <c r="AF267" s="242"/>
      <c r="AG267" s="242"/>
      <c r="AH267" s="242"/>
      <c r="AI267" s="242"/>
      <c r="AJ267" s="242"/>
      <c r="AK267" s="242"/>
      <c r="AL267" s="242"/>
      <c r="AM267" s="242"/>
      <c r="AN267" s="242"/>
      <c r="AO267" s="242"/>
      <c r="AP267" s="242"/>
    </row>
    <row r="268">
      <c r="A268" s="242"/>
      <c r="B268" s="242"/>
      <c r="C268" s="242"/>
      <c r="D268" s="242"/>
      <c r="E268" s="242"/>
      <c r="F268" s="242"/>
      <c r="G268" s="242"/>
      <c r="H268" s="242"/>
      <c r="I268" s="242"/>
      <c r="J268" s="242"/>
      <c r="K268" s="242"/>
      <c r="L268" s="242"/>
      <c r="M268" s="242"/>
      <c r="N268" s="242"/>
      <c r="O268" s="242"/>
      <c r="P268" s="13"/>
      <c r="Q268" s="13"/>
      <c r="R268" s="13"/>
      <c r="S268" s="13"/>
      <c r="T268" s="13"/>
      <c r="U268" s="13"/>
      <c r="V268" s="13"/>
      <c r="W268" s="13"/>
      <c r="X268" s="13"/>
      <c r="Y268" s="13"/>
      <c r="Z268" s="13"/>
      <c r="AA268" s="13"/>
      <c r="AB268" s="13"/>
      <c r="AC268" s="13"/>
      <c r="AD268" s="13"/>
      <c r="AE268" s="13"/>
      <c r="AF268" s="242"/>
      <c r="AG268" s="242"/>
      <c r="AH268" s="242"/>
      <c r="AI268" s="242"/>
      <c r="AJ268" s="242"/>
      <c r="AK268" s="242"/>
      <c r="AL268" s="242"/>
      <c r="AM268" s="242"/>
      <c r="AN268" s="242"/>
      <c r="AO268" s="242"/>
      <c r="AP268" s="242"/>
    </row>
    <row r="269">
      <c r="A269" s="242"/>
      <c r="B269" s="242"/>
      <c r="C269" s="242"/>
      <c r="D269" s="242"/>
      <c r="E269" s="242"/>
      <c r="F269" s="242"/>
      <c r="G269" s="242"/>
      <c r="H269" s="242"/>
      <c r="I269" s="242"/>
      <c r="J269" s="242"/>
      <c r="K269" s="242"/>
      <c r="L269" s="242"/>
      <c r="M269" s="242"/>
      <c r="N269" s="242"/>
      <c r="O269" s="242"/>
      <c r="P269" s="13"/>
      <c r="Q269" s="13"/>
      <c r="R269" s="13"/>
      <c r="S269" s="13"/>
      <c r="T269" s="13"/>
      <c r="U269" s="13"/>
      <c r="V269" s="13"/>
      <c r="W269" s="13"/>
      <c r="X269" s="13"/>
      <c r="Y269" s="13"/>
      <c r="Z269" s="13"/>
      <c r="AA269" s="13"/>
      <c r="AB269" s="13"/>
      <c r="AC269" s="13"/>
      <c r="AD269" s="13"/>
      <c r="AE269" s="13"/>
      <c r="AF269" s="242"/>
      <c r="AG269" s="242"/>
      <c r="AH269" s="242"/>
      <c r="AI269" s="242"/>
      <c r="AJ269" s="242"/>
      <c r="AK269" s="242"/>
      <c r="AL269" s="242"/>
      <c r="AM269" s="242"/>
      <c r="AN269" s="242"/>
      <c r="AO269" s="242"/>
      <c r="AP269" s="242"/>
    </row>
    <row r="270">
      <c r="A270" s="242"/>
      <c r="B270" s="242"/>
      <c r="C270" s="242"/>
      <c r="D270" s="242"/>
      <c r="E270" s="242"/>
      <c r="F270" s="242"/>
      <c r="G270" s="242"/>
      <c r="H270" s="242"/>
      <c r="I270" s="242"/>
      <c r="J270" s="242"/>
      <c r="K270" s="242"/>
      <c r="L270" s="242"/>
      <c r="M270" s="242"/>
      <c r="N270" s="242"/>
      <c r="O270" s="242"/>
      <c r="P270" s="13"/>
      <c r="Q270" s="13"/>
      <c r="R270" s="13"/>
      <c r="S270" s="13"/>
      <c r="T270" s="13"/>
      <c r="U270" s="13"/>
      <c r="V270" s="13"/>
      <c r="W270" s="13"/>
      <c r="X270" s="13"/>
      <c r="Y270" s="13"/>
      <c r="Z270" s="13"/>
      <c r="AA270" s="13"/>
      <c r="AB270" s="13"/>
      <c r="AC270" s="13"/>
      <c r="AD270" s="13"/>
      <c r="AE270" s="13"/>
      <c r="AF270" s="242"/>
      <c r="AG270" s="242"/>
      <c r="AH270" s="242"/>
      <c r="AI270" s="242"/>
      <c r="AJ270" s="242"/>
      <c r="AK270" s="242"/>
      <c r="AL270" s="242"/>
      <c r="AM270" s="242"/>
      <c r="AN270" s="242"/>
      <c r="AO270" s="242"/>
      <c r="AP270" s="242"/>
    </row>
    <row r="271">
      <c r="A271" s="242"/>
      <c r="B271" s="242"/>
      <c r="C271" s="242"/>
      <c r="D271" s="242"/>
      <c r="E271" s="242"/>
      <c r="F271" s="242"/>
      <c r="G271" s="242"/>
      <c r="H271" s="242"/>
      <c r="I271" s="242"/>
      <c r="J271" s="242"/>
      <c r="K271" s="242"/>
      <c r="L271" s="242"/>
      <c r="M271" s="242"/>
      <c r="N271" s="242"/>
      <c r="O271" s="242"/>
      <c r="P271" s="13"/>
      <c r="Q271" s="13"/>
      <c r="R271" s="13"/>
      <c r="S271" s="13"/>
      <c r="T271" s="13"/>
      <c r="U271" s="13"/>
      <c r="V271" s="13"/>
      <c r="W271" s="13"/>
      <c r="X271" s="13"/>
      <c r="Y271" s="13"/>
      <c r="Z271" s="13"/>
      <c r="AA271" s="13"/>
      <c r="AB271" s="13"/>
      <c r="AC271" s="13"/>
      <c r="AD271" s="13"/>
      <c r="AE271" s="13"/>
      <c r="AF271" s="242"/>
      <c r="AG271" s="242"/>
      <c r="AH271" s="242"/>
      <c r="AI271" s="242"/>
      <c r="AJ271" s="242"/>
      <c r="AK271" s="242"/>
      <c r="AL271" s="242"/>
      <c r="AM271" s="242"/>
      <c r="AN271" s="242"/>
      <c r="AO271" s="242"/>
      <c r="AP271" s="242"/>
    </row>
    <row r="272">
      <c r="A272" s="242"/>
      <c r="B272" s="242"/>
      <c r="C272" s="242"/>
      <c r="D272" s="242"/>
      <c r="E272" s="242"/>
      <c r="F272" s="242"/>
      <c r="G272" s="242"/>
      <c r="H272" s="242"/>
      <c r="I272" s="242"/>
      <c r="J272" s="242"/>
      <c r="K272" s="242"/>
      <c r="L272" s="242"/>
      <c r="M272" s="242"/>
      <c r="N272" s="242"/>
      <c r="O272" s="242"/>
      <c r="P272" s="13"/>
      <c r="Q272" s="13"/>
      <c r="R272" s="13"/>
      <c r="S272" s="13"/>
      <c r="T272" s="13"/>
      <c r="U272" s="13"/>
      <c r="V272" s="13"/>
      <c r="W272" s="13"/>
      <c r="X272" s="13"/>
      <c r="Y272" s="13"/>
      <c r="Z272" s="13"/>
      <c r="AA272" s="13"/>
      <c r="AB272" s="13"/>
      <c r="AC272" s="13"/>
      <c r="AD272" s="13"/>
      <c r="AE272" s="13"/>
      <c r="AF272" s="242"/>
      <c r="AG272" s="242"/>
      <c r="AH272" s="242"/>
      <c r="AI272" s="242"/>
      <c r="AJ272" s="242"/>
      <c r="AK272" s="242"/>
      <c r="AL272" s="242"/>
      <c r="AM272" s="242"/>
      <c r="AN272" s="242"/>
      <c r="AO272" s="242"/>
      <c r="AP272" s="242"/>
    </row>
    <row r="273">
      <c r="A273" s="242"/>
      <c r="B273" s="242"/>
      <c r="C273" s="242"/>
      <c r="D273" s="242"/>
      <c r="E273" s="242"/>
      <c r="F273" s="242"/>
      <c r="G273" s="242"/>
      <c r="H273" s="242"/>
      <c r="I273" s="242"/>
      <c r="J273" s="242"/>
      <c r="K273" s="242"/>
      <c r="L273" s="242"/>
      <c r="M273" s="242"/>
      <c r="N273" s="242"/>
      <c r="O273" s="242"/>
      <c r="P273" s="13"/>
      <c r="Q273" s="13"/>
      <c r="R273" s="13"/>
      <c r="S273" s="13"/>
      <c r="T273" s="13"/>
      <c r="U273" s="13"/>
      <c r="V273" s="13"/>
      <c r="W273" s="13"/>
      <c r="X273" s="13"/>
      <c r="Y273" s="13"/>
      <c r="Z273" s="13"/>
      <c r="AA273" s="13"/>
      <c r="AB273" s="13"/>
      <c r="AC273" s="13"/>
      <c r="AD273" s="13"/>
      <c r="AE273" s="13"/>
      <c r="AF273" s="242"/>
      <c r="AG273" s="242"/>
      <c r="AH273" s="242"/>
      <c r="AI273" s="242"/>
      <c r="AJ273" s="242"/>
      <c r="AK273" s="242"/>
      <c r="AL273" s="242"/>
      <c r="AM273" s="242"/>
      <c r="AN273" s="242"/>
      <c r="AO273" s="242"/>
      <c r="AP273" s="242"/>
    </row>
    <row r="274">
      <c r="A274" s="242"/>
      <c r="B274" s="242"/>
      <c r="C274" s="242"/>
      <c r="D274" s="242"/>
      <c r="E274" s="242"/>
      <c r="F274" s="242"/>
      <c r="G274" s="242"/>
      <c r="H274" s="242"/>
      <c r="I274" s="242"/>
      <c r="J274" s="242"/>
      <c r="K274" s="242"/>
      <c r="L274" s="242"/>
      <c r="M274" s="242"/>
      <c r="N274" s="242"/>
      <c r="O274" s="242"/>
      <c r="P274" s="13"/>
      <c r="Q274" s="13"/>
      <c r="R274" s="13"/>
      <c r="S274" s="13"/>
      <c r="T274" s="13"/>
      <c r="U274" s="13"/>
      <c r="V274" s="13"/>
      <c r="W274" s="13"/>
      <c r="X274" s="13"/>
      <c r="Y274" s="13"/>
      <c r="Z274" s="13"/>
      <c r="AA274" s="13"/>
      <c r="AB274" s="13"/>
      <c r="AC274" s="13"/>
      <c r="AD274" s="13"/>
      <c r="AE274" s="13"/>
      <c r="AF274" s="242"/>
      <c r="AG274" s="242"/>
      <c r="AH274" s="242"/>
      <c r="AI274" s="242"/>
      <c r="AJ274" s="242"/>
      <c r="AK274" s="242"/>
      <c r="AL274" s="242"/>
      <c r="AM274" s="242"/>
      <c r="AN274" s="242"/>
      <c r="AO274" s="242"/>
      <c r="AP274" s="242"/>
    </row>
    <row r="275">
      <c r="A275" s="242"/>
      <c r="B275" s="242"/>
      <c r="C275" s="242"/>
      <c r="D275" s="242"/>
      <c r="E275" s="242"/>
      <c r="F275" s="242"/>
      <c r="G275" s="242"/>
      <c r="H275" s="242"/>
      <c r="I275" s="242"/>
      <c r="J275" s="242"/>
      <c r="K275" s="242"/>
      <c r="L275" s="242"/>
      <c r="M275" s="242"/>
      <c r="N275" s="242"/>
      <c r="O275" s="242"/>
      <c r="P275" s="13"/>
      <c r="Q275" s="13"/>
      <c r="R275" s="13"/>
      <c r="S275" s="13"/>
      <c r="T275" s="13"/>
      <c r="U275" s="13"/>
      <c r="V275" s="13"/>
      <c r="W275" s="13"/>
      <c r="X275" s="13"/>
      <c r="Y275" s="13"/>
      <c r="Z275" s="13"/>
      <c r="AA275" s="13"/>
      <c r="AB275" s="13"/>
      <c r="AC275" s="13"/>
      <c r="AD275" s="13"/>
      <c r="AE275" s="13"/>
      <c r="AF275" s="242"/>
      <c r="AG275" s="242"/>
      <c r="AH275" s="242"/>
      <c r="AI275" s="242"/>
      <c r="AJ275" s="242"/>
      <c r="AK275" s="242"/>
      <c r="AL275" s="242"/>
      <c r="AM275" s="242"/>
      <c r="AN275" s="242"/>
      <c r="AO275" s="242"/>
      <c r="AP275" s="242"/>
    </row>
    <row r="276">
      <c r="A276" s="242"/>
      <c r="B276" s="242"/>
      <c r="C276" s="242"/>
      <c r="D276" s="242"/>
      <c r="E276" s="242"/>
      <c r="F276" s="242"/>
      <c r="G276" s="242"/>
      <c r="H276" s="242"/>
      <c r="I276" s="242"/>
      <c r="J276" s="242"/>
      <c r="K276" s="242"/>
      <c r="L276" s="242"/>
      <c r="M276" s="242"/>
      <c r="N276" s="242"/>
      <c r="O276" s="242"/>
      <c r="P276" s="13"/>
      <c r="Q276" s="13"/>
      <c r="R276" s="13"/>
      <c r="S276" s="13"/>
      <c r="T276" s="13"/>
      <c r="U276" s="13"/>
      <c r="V276" s="13"/>
      <c r="W276" s="13"/>
      <c r="X276" s="13"/>
      <c r="Y276" s="13"/>
      <c r="Z276" s="13"/>
      <c r="AA276" s="13"/>
      <c r="AB276" s="13"/>
      <c r="AC276" s="13"/>
      <c r="AD276" s="13"/>
      <c r="AE276" s="13"/>
      <c r="AF276" s="242"/>
      <c r="AG276" s="242"/>
      <c r="AH276" s="242"/>
      <c r="AI276" s="242"/>
      <c r="AJ276" s="242"/>
      <c r="AK276" s="242"/>
      <c r="AL276" s="242"/>
      <c r="AM276" s="242"/>
      <c r="AN276" s="242"/>
      <c r="AO276" s="242"/>
      <c r="AP276" s="242"/>
    </row>
    <row r="277">
      <c r="A277" s="242"/>
      <c r="B277" s="242"/>
      <c r="C277" s="242"/>
      <c r="D277" s="242"/>
      <c r="E277" s="242"/>
      <c r="F277" s="242"/>
      <c r="G277" s="242"/>
      <c r="H277" s="242"/>
      <c r="I277" s="242"/>
      <c r="J277" s="242"/>
      <c r="K277" s="242"/>
      <c r="L277" s="242"/>
      <c r="M277" s="242"/>
      <c r="N277" s="242"/>
      <c r="O277" s="242"/>
      <c r="P277" s="13"/>
      <c r="Q277" s="13"/>
      <c r="R277" s="13"/>
      <c r="S277" s="13"/>
      <c r="T277" s="13"/>
      <c r="U277" s="13"/>
      <c r="V277" s="13"/>
      <c r="W277" s="13"/>
      <c r="X277" s="13"/>
      <c r="Y277" s="13"/>
      <c r="Z277" s="13"/>
      <c r="AA277" s="13"/>
      <c r="AB277" s="13"/>
      <c r="AC277" s="13"/>
      <c r="AD277" s="13"/>
      <c r="AE277" s="13"/>
      <c r="AF277" s="242"/>
      <c r="AG277" s="242"/>
      <c r="AH277" s="242"/>
      <c r="AI277" s="242"/>
      <c r="AJ277" s="242"/>
      <c r="AK277" s="242"/>
      <c r="AL277" s="242"/>
      <c r="AM277" s="242"/>
      <c r="AN277" s="242"/>
      <c r="AO277" s="242"/>
      <c r="AP277" s="242"/>
    </row>
    <row r="278">
      <c r="A278" s="242"/>
      <c r="B278" s="242"/>
      <c r="C278" s="242"/>
      <c r="D278" s="242"/>
      <c r="E278" s="242"/>
      <c r="F278" s="242"/>
      <c r="G278" s="242"/>
      <c r="H278" s="242"/>
      <c r="I278" s="242"/>
      <c r="J278" s="242"/>
      <c r="K278" s="242"/>
      <c r="L278" s="242"/>
      <c r="M278" s="242"/>
      <c r="N278" s="242"/>
      <c r="O278" s="242"/>
      <c r="P278" s="13"/>
      <c r="Q278" s="13"/>
      <c r="R278" s="13"/>
      <c r="S278" s="13"/>
      <c r="T278" s="13"/>
      <c r="U278" s="13"/>
      <c r="V278" s="13"/>
      <c r="W278" s="13"/>
      <c r="X278" s="13"/>
      <c r="Y278" s="13"/>
      <c r="Z278" s="13"/>
      <c r="AA278" s="13"/>
      <c r="AB278" s="13"/>
      <c r="AC278" s="13"/>
      <c r="AD278" s="13"/>
      <c r="AE278" s="13"/>
      <c r="AF278" s="242"/>
      <c r="AG278" s="242"/>
      <c r="AH278" s="242"/>
      <c r="AI278" s="242"/>
      <c r="AJ278" s="242"/>
      <c r="AK278" s="242"/>
      <c r="AL278" s="242"/>
      <c r="AM278" s="242"/>
      <c r="AN278" s="242"/>
      <c r="AO278" s="242"/>
      <c r="AP278" s="242"/>
    </row>
    <row r="279">
      <c r="A279" s="242"/>
      <c r="B279" s="242"/>
      <c r="C279" s="242"/>
      <c r="D279" s="242"/>
      <c r="E279" s="242"/>
      <c r="F279" s="242"/>
      <c r="G279" s="242"/>
      <c r="H279" s="242"/>
      <c r="I279" s="242"/>
      <c r="J279" s="242"/>
      <c r="K279" s="242"/>
      <c r="L279" s="242"/>
      <c r="M279" s="242"/>
      <c r="N279" s="242"/>
      <c r="O279" s="242"/>
      <c r="P279" s="13"/>
      <c r="Q279" s="13"/>
      <c r="R279" s="13"/>
      <c r="S279" s="13"/>
      <c r="T279" s="13"/>
      <c r="U279" s="13"/>
      <c r="V279" s="13"/>
      <c r="W279" s="13"/>
      <c r="X279" s="13"/>
      <c r="Y279" s="13"/>
      <c r="Z279" s="13"/>
      <c r="AA279" s="13"/>
      <c r="AB279" s="13"/>
      <c r="AC279" s="13"/>
      <c r="AD279" s="13"/>
      <c r="AE279" s="13"/>
      <c r="AF279" s="242"/>
      <c r="AG279" s="242"/>
      <c r="AH279" s="242"/>
      <c r="AI279" s="242"/>
      <c r="AJ279" s="242"/>
      <c r="AK279" s="242"/>
      <c r="AL279" s="242"/>
      <c r="AM279" s="242"/>
      <c r="AN279" s="242"/>
      <c r="AO279" s="242"/>
      <c r="AP279" s="242"/>
    </row>
    <row r="280">
      <c r="A280" s="242"/>
      <c r="B280" s="242"/>
      <c r="C280" s="242"/>
      <c r="D280" s="242"/>
      <c r="E280" s="242"/>
      <c r="F280" s="242"/>
      <c r="G280" s="242"/>
      <c r="H280" s="242"/>
      <c r="I280" s="242"/>
      <c r="J280" s="242"/>
      <c r="K280" s="242"/>
      <c r="L280" s="242"/>
      <c r="M280" s="242"/>
      <c r="N280" s="242"/>
      <c r="O280" s="242"/>
      <c r="P280" s="13"/>
      <c r="Q280" s="13"/>
      <c r="R280" s="13"/>
      <c r="S280" s="13"/>
      <c r="T280" s="13"/>
      <c r="U280" s="13"/>
      <c r="V280" s="13"/>
      <c r="W280" s="13"/>
      <c r="X280" s="13"/>
      <c r="Y280" s="13"/>
      <c r="Z280" s="13"/>
      <c r="AA280" s="13"/>
      <c r="AB280" s="13"/>
      <c r="AC280" s="13"/>
      <c r="AD280" s="13"/>
      <c r="AE280" s="13"/>
      <c r="AF280" s="242"/>
      <c r="AG280" s="242"/>
      <c r="AH280" s="242"/>
      <c r="AI280" s="242"/>
      <c r="AJ280" s="242"/>
      <c r="AK280" s="242"/>
      <c r="AL280" s="242"/>
      <c r="AM280" s="242"/>
      <c r="AN280" s="242"/>
      <c r="AO280" s="242"/>
      <c r="AP280" s="242"/>
    </row>
    <row r="281">
      <c r="A281" s="242"/>
      <c r="B281" s="242"/>
      <c r="C281" s="242"/>
      <c r="D281" s="242"/>
      <c r="E281" s="242"/>
      <c r="F281" s="242"/>
      <c r="G281" s="242"/>
      <c r="H281" s="242"/>
      <c r="I281" s="242"/>
      <c r="J281" s="242"/>
      <c r="K281" s="242"/>
      <c r="L281" s="242"/>
      <c r="M281" s="242"/>
      <c r="N281" s="242"/>
      <c r="O281" s="242"/>
      <c r="P281" s="13"/>
      <c r="Q281" s="13"/>
      <c r="R281" s="13"/>
      <c r="S281" s="13"/>
      <c r="T281" s="13"/>
      <c r="U281" s="13"/>
      <c r="V281" s="13"/>
      <c r="W281" s="13"/>
      <c r="X281" s="13"/>
      <c r="Y281" s="13"/>
      <c r="Z281" s="13"/>
      <c r="AA281" s="13"/>
      <c r="AB281" s="13"/>
      <c r="AC281" s="13"/>
      <c r="AD281" s="13"/>
      <c r="AE281" s="13"/>
      <c r="AF281" s="242"/>
      <c r="AG281" s="242"/>
      <c r="AH281" s="242"/>
      <c r="AI281" s="242"/>
      <c r="AJ281" s="242"/>
      <c r="AK281" s="242"/>
      <c r="AL281" s="242"/>
      <c r="AM281" s="242"/>
      <c r="AN281" s="242"/>
      <c r="AO281" s="242"/>
      <c r="AP281" s="242"/>
    </row>
    <row r="282">
      <c r="A282" s="242"/>
      <c r="B282" s="242"/>
      <c r="C282" s="242"/>
      <c r="D282" s="242"/>
      <c r="E282" s="242"/>
      <c r="F282" s="242"/>
      <c r="G282" s="242"/>
      <c r="H282" s="242"/>
      <c r="I282" s="242"/>
      <c r="J282" s="242"/>
      <c r="K282" s="242"/>
      <c r="L282" s="242"/>
      <c r="M282" s="242"/>
      <c r="N282" s="242"/>
      <c r="O282" s="242"/>
      <c r="P282" s="13"/>
      <c r="Q282" s="13"/>
      <c r="R282" s="13"/>
      <c r="S282" s="13"/>
      <c r="T282" s="13"/>
      <c r="U282" s="13"/>
      <c r="V282" s="13"/>
      <c r="W282" s="13"/>
      <c r="X282" s="13"/>
      <c r="Y282" s="13"/>
      <c r="Z282" s="13"/>
      <c r="AA282" s="13"/>
      <c r="AB282" s="13"/>
      <c r="AC282" s="13"/>
      <c r="AD282" s="13"/>
      <c r="AE282" s="13"/>
      <c r="AF282" s="242"/>
      <c r="AG282" s="242"/>
      <c r="AH282" s="242"/>
      <c r="AI282" s="242"/>
      <c r="AJ282" s="242"/>
      <c r="AK282" s="242"/>
      <c r="AL282" s="242"/>
      <c r="AM282" s="242"/>
      <c r="AN282" s="242"/>
      <c r="AO282" s="242"/>
      <c r="AP282" s="242"/>
    </row>
    <row r="283">
      <c r="A283" s="242"/>
      <c r="B283" s="242"/>
      <c r="C283" s="242"/>
      <c r="D283" s="242"/>
      <c r="E283" s="242"/>
      <c r="F283" s="242"/>
      <c r="G283" s="242"/>
      <c r="H283" s="242"/>
      <c r="I283" s="242"/>
      <c r="J283" s="242"/>
      <c r="K283" s="242"/>
      <c r="L283" s="242"/>
      <c r="M283" s="242"/>
      <c r="N283" s="242"/>
      <c r="O283" s="242"/>
      <c r="P283" s="13"/>
      <c r="Q283" s="13"/>
      <c r="R283" s="13"/>
      <c r="S283" s="13"/>
      <c r="T283" s="13"/>
      <c r="U283" s="13"/>
      <c r="V283" s="13"/>
      <c r="W283" s="13"/>
      <c r="X283" s="13"/>
      <c r="Y283" s="13"/>
      <c r="Z283" s="13"/>
      <c r="AA283" s="13"/>
      <c r="AB283" s="13"/>
      <c r="AC283" s="13"/>
      <c r="AD283" s="13"/>
      <c r="AE283" s="13"/>
      <c r="AF283" s="242"/>
      <c r="AG283" s="242"/>
      <c r="AH283" s="242"/>
      <c r="AI283" s="242"/>
      <c r="AJ283" s="242"/>
      <c r="AK283" s="242"/>
      <c r="AL283" s="242"/>
      <c r="AM283" s="242"/>
      <c r="AN283" s="242"/>
      <c r="AO283" s="242"/>
      <c r="AP283" s="242"/>
    </row>
    <row r="284">
      <c r="A284" s="242"/>
      <c r="B284" s="242"/>
      <c r="C284" s="242"/>
      <c r="D284" s="242"/>
      <c r="E284" s="242"/>
      <c r="F284" s="242"/>
      <c r="G284" s="242"/>
      <c r="H284" s="242"/>
      <c r="I284" s="242"/>
      <c r="J284" s="242"/>
      <c r="K284" s="242"/>
      <c r="L284" s="242"/>
      <c r="M284" s="242"/>
      <c r="N284" s="242"/>
      <c r="O284" s="242"/>
      <c r="P284" s="13"/>
      <c r="Q284" s="13"/>
      <c r="R284" s="13"/>
      <c r="S284" s="13"/>
      <c r="T284" s="13"/>
      <c r="U284" s="13"/>
      <c r="V284" s="13"/>
      <c r="W284" s="13"/>
      <c r="X284" s="13"/>
      <c r="Y284" s="13"/>
      <c r="Z284" s="13"/>
      <c r="AA284" s="13"/>
      <c r="AB284" s="13"/>
      <c r="AC284" s="13"/>
      <c r="AD284" s="13"/>
      <c r="AE284" s="13"/>
      <c r="AF284" s="242"/>
      <c r="AG284" s="242"/>
      <c r="AH284" s="242"/>
      <c r="AI284" s="242"/>
      <c r="AJ284" s="242"/>
      <c r="AK284" s="242"/>
      <c r="AL284" s="242"/>
      <c r="AM284" s="242"/>
      <c r="AN284" s="242"/>
      <c r="AO284" s="242"/>
      <c r="AP284" s="242"/>
    </row>
    <row r="285">
      <c r="A285" s="242"/>
      <c r="B285" s="242"/>
      <c r="C285" s="242"/>
      <c r="D285" s="242"/>
      <c r="E285" s="242"/>
      <c r="F285" s="242"/>
      <c r="G285" s="242"/>
      <c r="H285" s="242"/>
      <c r="I285" s="242"/>
      <c r="J285" s="242"/>
      <c r="K285" s="242"/>
      <c r="L285" s="242"/>
      <c r="M285" s="242"/>
      <c r="N285" s="242"/>
      <c r="O285" s="242"/>
      <c r="P285" s="13"/>
      <c r="Q285" s="13"/>
      <c r="R285" s="13"/>
      <c r="S285" s="13"/>
      <c r="T285" s="13"/>
      <c r="U285" s="13"/>
      <c r="V285" s="13"/>
      <c r="W285" s="13"/>
      <c r="X285" s="13"/>
      <c r="Y285" s="13"/>
      <c r="Z285" s="13"/>
      <c r="AA285" s="13"/>
      <c r="AB285" s="13"/>
      <c r="AC285" s="13"/>
      <c r="AD285" s="13"/>
      <c r="AE285" s="13"/>
      <c r="AF285" s="242"/>
      <c r="AG285" s="242"/>
      <c r="AH285" s="242"/>
      <c r="AI285" s="242"/>
      <c r="AJ285" s="242"/>
      <c r="AK285" s="242"/>
      <c r="AL285" s="242"/>
      <c r="AM285" s="242"/>
      <c r="AN285" s="242"/>
      <c r="AO285" s="242"/>
      <c r="AP285" s="242"/>
    </row>
    <row r="286">
      <c r="A286" s="242"/>
      <c r="B286" s="242"/>
      <c r="C286" s="242"/>
      <c r="D286" s="242"/>
      <c r="E286" s="242"/>
      <c r="F286" s="242"/>
      <c r="G286" s="242"/>
      <c r="H286" s="242"/>
      <c r="I286" s="242"/>
      <c r="J286" s="242"/>
      <c r="K286" s="242"/>
      <c r="L286" s="242"/>
      <c r="M286" s="242"/>
      <c r="N286" s="242"/>
      <c r="O286" s="242"/>
      <c r="P286" s="13"/>
      <c r="Q286" s="13"/>
      <c r="R286" s="13"/>
      <c r="S286" s="13"/>
      <c r="T286" s="13"/>
      <c r="U286" s="13"/>
      <c r="V286" s="13"/>
      <c r="W286" s="13"/>
      <c r="X286" s="13"/>
      <c r="Y286" s="13"/>
      <c r="Z286" s="13"/>
      <c r="AA286" s="13"/>
      <c r="AB286" s="13"/>
      <c r="AC286" s="13"/>
      <c r="AD286" s="13"/>
      <c r="AE286" s="13"/>
      <c r="AF286" s="242"/>
      <c r="AG286" s="242"/>
      <c r="AH286" s="242"/>
      <c r="AI286" s="242"/>
      <c r="AJ286" s="242"/>
      <c r="AK286" s="242"/>
      <c r="AL286" s="242"/>
      <c r="AM286" s="242"/>
      <c r="AN286" s="242"/>
      <c r="AO286" s="242"/>
      <c r="AP286" s="242"/>
    </row>
    <row r="287">
      <c r="A287" s="242"/>
      <c r="B287" s="242"/>
      <c r="C287" s="242"/>
      <c r="D287" s="242"/>
      <c r="E287" s="242"/>
      <c r="F287" s="242"/>
      <c r="G287" s="242"/>
      <c r="H287" s="242"/>
      <c r="I287" s="242"/>
      <c r="J287" s="242"/>
      <c r="K287" s="242"/>
      <c r="L287" s="242"/>
      <c r="M287" s="242"/>
      <c r="N287" s="242"/>
      <c r="O287" s="242"/>
      <c r="P287" s="13"/>
      <c r="Q287" s="13"/>
      <c r="R287" s="13"/>
      <c r="S287" s="13"/>
      <c r="T287" s="13"/>
      <c r="U287" s="13"/>
      <c r="V287" s="13"/>
      <c r="W287" s="13"/>
      <c r="X287" s="13"/>
      <c r="Y287" s="13"/>
      <c r="Z287" s="13"/>
      <c r="AA287" s="13"/>
      <c r="AB287" s="13"/>
      <c r="AC287" s="13"/>
      <c r="AD287" s="13"/>
      <c r="AE287" s="13"/>
      <c r="AF287" s="242"/>
      <c r="AG287" s="242"/>
      <c r="AH287" s="242"/>
      <c r="AI287" s="242"/>
      <c r="AJ287" s="242"/>
      <c r="AK287" s="242"/>
      <c r="AL287" s="242"/>
      <c r="AM287" s="242"/>
      <c r="AN287" s="242"/>
      <c r="AO287" s="242"/>
      <c r="AP287" s="242"/>
    </row>
    <row r="288">
      <c r="A288" s="242"/>
      <c r="B288" s="242"/>
      <c r="C288" s="242"/>
      <c r="D288" s="242"/>
      <c r="E288" s="242"/>
      <c r="F288" s="242"/>
      <c r="G288" s="242"/>
      <c r="H288" s="242"/>
      <c r="I288" s="242"/>
      <c r="J288" s="242"/>
      <c r="K288" s="242"/>
      <c r="L288" s="242"/>
      <c r="M288" s="242"/>
      <c r="N288" s="242"/>
      <c r="O288" s="242"/>
      <c r="P288" s="13"/>
      <c r="Q288" s="13"/>
      <c r="R288" s="13"/>
      <c r="S288" s="13"/>
      <c r="T288" s="13"/>
      <c r="U288" s="13"/>
      <c r="V288" s="13"/>
      <c r="W288" s="13"/>
      <c r="X288" s="13"/>
      <c r="Y288" s="13"/>
      <c r="Z288" s="13"/>
      <c r="AA288" s="13"/>
      <c r="AB288" s="13"/>
      <c r="AC288" s="13"/>
      <c r="AD288" s="13"/>
      <c r="AE288" s="13"/>
      <c r="AF288" s="242"/>
      <c r="AG288" s="242"/>
      <c r="AH288" s="242"/>
      <c r="AI288" s="242"/>
      <c r="AJ288" s="242"/>
      <c r="AK288" s="242"/>
      <c r="AL288" s="242"/>
      <c r="AM288" s="242"/>
      <c r="AN288" s="242"/>
      <c r="AO288" s="242"/>
      <c r="AP288" s="242"/>
    </row>
    <row r="289">
      <c r="A289" s="242"/>
      <c r="B289" s="242"/>
      <c r="C289" s="242"/>
      <c r="D289" s="242"/>
      <c r="E289" s="242"/>
      <c r="F289" s="242"/>
      <c r="G289" s="242"/>
      <c r="H289" s="242"/>
      <c r="I289" s="242"/>
      <c r="J289" s="242"/>
      <c r="K289" s="242"/>
      <c r="L289" s="242"/>
      <c r="M289" s="242"/>
      <c r="N289" s="242"/>
      <c r="O289" s="242"/>
      <c r="P289" s="13"/>
      <c r="Q289" s="13"/>
      <c r="R289" s="13"/>
      <c r="S289" s="13"/>
      <c r="T289" s="13"/>
      <c r="U289" s="13"/>
      <c r="V289" s="13"/>
      <c r="W289" s="13"/>
      <c r="X289" s="13"/>
      <c r="Y289" s="13"/>
      <c r="Z289" s="13"/>
      <c r="AA289" s="13"/>
      <c r="AB289" s="13"/>
      <c r="AC289" s="13"/>
      <c r="AD289" s="13"/>
      <c r="AE289" s="13"/>
      <c r="AF289" s="242"/>
      <c r="AG289" s="242"/>
      <c r="AH289" s="242"/>
      <c r="AI289" s="242"/>
      <c r="AJ289" s="242"/>
      <c r="AK289" s="242"/>
      <c r="AL289" s="242"/>
      <c r="AM289" s="242"/>
      <c r="AN289" s="242"/>
      <c r="AO289" s="242"/>
      <c r="AP289" s="242"/>
    </row>
    <row r="290">
      <c r="A290" s="242"/>
      <c r="B290" s="242"/>
      <c r="C290" s="242"/>
      <c r="D290" s="242"/>
      <c r="E290" s="242"/>
      <c r="F290" s="242"/>
      <c r="G290" s="242"/>
      <c r="H290" s="242"/>
      <c r="I290" s="242"/>
      <c r="J290" s="242"/>
      <c r="K290" s="242"/>
      <c r="L290" s="242"/>
      <c r="M290" s="242"/>
      <c r="N290" s="242"/>
      <c r="O290" s="242"/>
      <c r="P290" s="13"/>
      <c r="Q290" s="13"/>
      <c r="R290" s="13"/>
      <c r="S290" s="13"/>
      <c r="T290" s="13"/>
      <c r="U290" s="13"/>
      <c r="V290" s="13"/>
      <c r="W290" s="13"/>
      <c r="X290" s="13"/>
      <c r="Y290" s="13"/>
      <c r="Z290" s="13"/>
      <c r="AA290" s="13"/>
      <c r="AB290" s="13"/>
      <c r="AC290" s="13"/>
      <c r="AD290" s="13"/>
      <c r="AE290" s="13"/>
      <c r="AF290" s="242"/>
      <c r="AG290" s="242"/>
      <c r="AH290" s="242"/>
      <c r="AI290" s="242"/>
      <c r="AJ290" s="242"/>
      <c r="AK290" s="242"/>
      <c r="AL290" s="242"/>
      <c r="AM290" s="242"/>
      <c r="AN290" s="242"/>
      <c r="AO290" s="242"/>
      <c r="AP290" s="242"/>
    </row>
    <row r="291">
      <c r="A291" s="242"/>
      <c r="B291" s="242"/>
      <c r="C291" s="242"/>
      <c r="D291" s="242"/>
      <c r="E291" s="242"/>
      <c r="F291" s="242"/>
      <c r="G291" s="242"/>
      <c r="H291" s="242"/>
      <c r="I291" s="242"/>
      <c r="J291" s="242"/>
      <c r="K291" s="242"/>
      <c r="L291" s="242"/>
      <c r="M291" s="242"/>
      <c r="N291" s="242"/>
      <c r="O291" s="242"/>
      <c r="P291" s="13"/>
      <c r="Q291" s="13"/>
      <c r="R291" s="13"/>
      <c r="S291" s="13"/>
      <c r="T291" s="13"/>
      <c r="U291" s="13"/>
      <c r="V291" s="13"/>
      <c r="W291" s="13"/>
      <c r="X291" s="13"/>
      <c r="Y291" s="13"/>
      <c r="Z291" s="13"/>
      <c r="AA291" s="13"/>
      <c r="AB291" s="13"/>
      <c r="AC291" s="13"/>
      <c r="AD291" s="13"/>
      <c r="AE291" s="13"/>
      <c r="AF291" s="242"/>
      <c r="AG291" s="242"/>
      <c r="AH291" s="242"/>
      <c r="AI291" s="242"/>
      <c r="AJ291" s="242"/>
      <c r="AK291" s="242"/>
      <c r="AL291" s="242"/>
      <c r="AM291" s="242"/>
      <c r="AN291" s="242"/>
      <c r="AO291" s="242"/>
      <c r="AP291" s="242"/>
    </row>
    <row r="292">
      <c r="A292" s="242"/>
      <c r="B292" s="242"/>
      <c r="C292" s="242"/>
      <c r="D292" s="242"/>
      <c r="E292" s="242"/>
      <c r="F292" s="242"/>
      <c r="G292" s="242"/>
      <c r="H292" s="242"/>
      <c r="I292" s="242"/>
      <c r="J292" s="242"/>
      <c r="K292" s="242"/>
      <c r="L292" s="242"/>
      <c r="M292" s="242"/>
      <c r="N292" s="242"/>
      <c r="O292" s="242"/>
      <c r="P292" s="13"/>
      <c r="Q292" s="13"/>
      <c r="R292" s="13"/>
      <c r="S292" s="13"/>
      <c r="T292" s="13"/>
      <c r="U292" s="13"/>
      <c r="V292" s="13"/>
      <c r="W292" s="13"/>
      <c r="X292" s="13"/>
      <c r="Y292" s="13"/>
      <c r="Z292" s="13"/>
      <c r="AA292" s="13"/>
      <c r="AB292" s="13"/>
      <c r="AC292" s="13"/>
      <c r="AD292" s="13"/>
      <c r="AE292" s="13"/>
      <c r="AF292" s="242"/>
      <c r="AG292" s="242"/>
      <c r="AH292" s="242"/>
      <c r="AI292" s="242"/>
      <c r="AJ292" s="242"/>
      <c r="AK292" s="242"/>
      <c r="AL292" s="242"/>
      <c r="AM292" s="242"/>
      <c r="AN292" s="242"/>
      <c r="AO292" s="242"/>
      <c r="AP292" s="242"/>
    </row>
    <row r="293">
      <c r="A293" s="242"/>
      <c r="B293" s="242"/>
      <c r="C293" s="242"/>
      <c r="D293" s="242"/>
      <c r="E293" s="242"/>
      <c r="F293" s="242"/>
      <c r="G293" s="242"/>
      <c r="H293" s="242"/>
      <c r="I293" s="242"/>
      <c r="J293" s="242"/>
      <c r="K293" s="242"/>
      <c r="L293" s="242"/>
      <c r="M293" s="242"/>
      <c r="N293" s="242"/>
      <c r="O293" s="242"/>
      <c r="P293" s="13"/>
      <c r="Q293" s="13"/>
      <c r="R293" s="13"/>
      <c r="S293" s="13"/>
      <c r="T293" s="13"/>
      <c r="U293" s="13"/>
      <c r="V293" s="13"/>
      <c r="W293" s="13"/>
      <c r="X293" s="13"/>
      <c r="Y293" s="13"/>
      <c r="Z293" s="13"/>
      <c r="AA293" s="13"/>
      <c r="AB293" s="13"/>
      <c r="AC293" s="13"/>
      <c r="AD293" s="13"/>
      <c r="AE293" s="13"/>
      <c r="AF293" s="242"/>
      <c r="AG293" s="242"/>
      <c r="AH293" s="242"/>
      <c r="AI293" s="242"/>
      <c r="AJ293" s="242"/>
      <c r="AK293" s="242"/>
      <c r="AL293" s="242"/>
      <c r="AM293" s="242"/>
      <c r="AN293" s="242"/>
      <c r="AO293" s="242"/>
      <c r="AP293" s="242"/>
    </row>
    <row r="294">
      <c r="A294" s="242"/>
      <c r="B294" s="242"/>
      <c r="C294" s="242"/>
      <c r="D294" s="242"/>
      <c r="E294" s="242"/>
      <c r="F294" s="242"/>
      <c r="G294" s="242"/>
      <c r="H294" s="242"/>
      <c r="I294" s="242"/>
      <c r="J294" s="242"/>
      <c r="K294" s="242"/>
      <c r="L294" s="242"/>
      <c r="M294" s="242"/>
      <c r="N294" s="242"/>
      <c r="O294" s="242"/>
      <c r="P294" s="13"/>
      <c r="Q294" s="13"/>
      <c r="R294" s="13"/>
      <c r="S294" s="13"/>
      <c r="T294" s="13"/>
      <c r="U294" s="13"/>
      <c r="V294" s="13"/>
      <c r="W294" s="13"/>
      <c r="X294" s="13"/>
      <c r="Y294" s="13"/>
      <c r="Z294" s="13"/>
      <c r="AA294" s="13"/>
      <c r="AB294" s="13"/>
      <c r="AC294" s="13"/>
      <c r="AD294" s="13"/>
      <c r="AE294" s="13"/>
      <c r="AF294" s="242"/>
      <c r="AG294" s="242"/>
      <c r="AH294" s="242"/>
      <c r="AI294" s="242"/>
      <c r="AJ294" s="242"/>
      <c r="AK294" s="242"/>
      <c r="AL294" s="242"/>
      <c r="AM294" s="242"/>
      <c r="AN294" s="242"/>
      <c r="AO294" s="242"/>
      <c r="AP294" s="242"/>
    </row>
    <row r="295">
      <c r="A295" s="242"/>
      <c r="B295" s="242"/>
      <c r="C295" s="242"/>
      <c r="D295" s="242"/>
      <c r="E295" s="242"/>
      <c r="F295" s="242"/>
      <c r="G295" s="242"/>
      <c r="H295" s="242"/>
      <c r="I295" s="242"/>
      <c r="J295" s="242"/>
      <c r="K295" s="242"/>
      <c r="L295" s="242"/>
      <c r="M295" s="242"/>
      <c r="N295" s="242"/>
      <c r="O295" s="242"/>
      <c r="P295" s="13"/>
      <c r="Q295" s="13"/>
      <c r="R295" s="13"/>
      <c r="S295" s="13"/>
      <c r="T295" s="13"/>
      <c r="U295" s="13"/>
      <c r="V295" s="13"/>
      <c r="W295" s="13"/>
      <c r="X295" s="13"/>
      <c r="Y295" s="13"/>
      <c r="Z295" s="13"/>
      <c r="AA295" s="13"/>
      <c r="AB295" s="13"/>
      <c r="AC295" s="13"/>
      <c r="AD295" s="13"/>
      <c r="AE295" s="13"/>
      <c r="AF295" s="242"/>
      <c r="AG295" s="242"/>
      <c r="AH295" s="242"/>
      <c r="AI295" s="242"/>
      <c r="AJ295" s="242"/>
      <c r="AK295" s="242"/>
      <c r="AL295" s="242"/>
      <c r="AM295" s="242"/>
      <c r="AN295" s="242"/>
      <c r="AO295" s="242"/>
      <c r="AP295" s="242"/>
    </row>
    <row r="296">
      <c r="A296" s="242"/>
      <c r="B296" s="242"/>
      <c r="C296" s="242"/>
      <c r="D296" s="242"/>
      <c r="E296" s="242"/>
      <c r="F296" s="242"/>
      <c r="G296" s="242"/>
      <c r="H296" s="242"/>
      <c r="I296" s="242"/>
      <c r="J296" s="242"/>
      <c r="K296" s="242"/>
      <c r="L296" s="242"/>
      <c r="M296" s="242"/>
      <c r="N296" s="242"/>
      <c r="O296" s="242"/>
      <c r="P296" s="13"/>
      <c r="Q296" s="13"/>
      <c r="R296" s="13"/>
      <c r="S296" s="13"/>
      <c r="T296" s="13"/>
      <c r="U296" s="13"/>
      <c r="V296" s="13"/>
      <c r="W296" s="13"/>
      <c r="X296" s="13"/>
      <c r="Y296" s="13"/>
      <c r="Z296" s="13"/>
      <c r="AA296" s="13"/>
      <c r="AB296" s="13"/>
      <c r="AC296" s="13"/>
      <c r="AD296" s="13"/>
      <c r="AE296" s="13"/>
      <c r="AF296" s="242"/>
      <c r="AG296" s="242"/>
      <c r="AH296" s="242"/>
      <c r="AI296" s="242"/>
      <c r="AJ296" s="242"/>
      <c r="AK296" s="242"/>
      <c r="AL296" s="242"/>
      <c r="AM296" s="242"/>
      <c r="AN296" s="242"/>
      <c r="AO296" s="242"/>
      <c r="AP296" s="242"/>
    </row>
    <row r="297">
      <c r="A297" s="242"/>
      <c r="B297" s="242"/>
      <c r="C297" s="242"/>
      <c r="D297" s="242"/>
      <c r="E297" s="242"/>
      <c r="F297" s="242"/>
      <c r="G297" s="242"/>
      <c r="H297" s="242"/>
      <c r="I297" s="242"/>
      <c r="J297" s="242"/>
      <c r="K297" s="242"/>
      <c r="L297" s="242"/>
      <c r="M297" s="242"/>
      <c r="N297" s="242"/>
      <c r="O297" s="242"/>
      <c r="P297" s="13"/>
      <c r="Q297" s="13"/>
      <c r="R297" s="13"/>
      <c r="S297" s="13"/>
      <c r="T297" s="13"/>
      <c r="U297" s="13"/>
      <c r="V297" s="13"/>
      <c r="W297" s="13"/>
      <c r="X297" s="13"/>
      <c r="Y297" s="13"/>
      <c r="Z297" s="13"/>
      <c r="AA297" s="13"/>
      <c r="AB297" s="13"/>
      <c r="AC297" s="13"/>
      <c r="AD297" s="13"/>
      <c r="AE297" s="13"/>
      <c r="AF297" s="242"/>
      <c r="AG297" s="242"/>
      <c r="AH297" s="242"/>
      <c r="AI297" s="242"/>
      <c r="AJ297" s="242"/>
      <c r="AK297" s="242"/>
      <c r="AL297" s="242"/>
      <c r="AM297" s="242"/>
      <c r="AN297" s="242"/>
      <c r="AO297" s="242"/>
      <c r="AP297" s="242"/>
    </row>
    <row r="298">
      <c r="A298" s="242"/>
      <c r="B298" s="242"/>
      <c r="C298" s="242"/>
      <c r="D298" s="242"/>
      <c r="E298" s="242"/>
      <c r="F298" s="242"/>
      <c r="G298" s="242"/>
      <c r="H298" s="242"/>
      <c r="I298" s="242"/>
      <c r="J298" s="242"/>
      <c r="K298" s="242"/>
      <c r="L298" s="242"/>
      <c r="M298" s="242"/>
      <c r="N298" s="242"/>
      <c r="O298" s="242"/>
      <c r="P298" s="13"/>
      <c r="Q298" s="13"/>
      <c r="R298" s="13"/>
      <c r="S298" s="13"/>
      <c r="T298" s="13"/>
      <c r="U298" s="13"/>
      <c r="V298" s="13"/>
      <c r="W298" s="13"/>
      <c r="X298" s="13"/>
      <c r="Y298" s="13"/>
      <c r="Z298" s="13"/>
      <c r="AA298" s="13"/>
      <c r="AB298" s="13"/>
      <c r="AC298" s="13"/>
      <c r="AD298" s="13"/>
      <c r="AE298" s="13"/>
      <c r="AF298" s="242"/>
      <c r="AG298" s="242"/>
      <c r="AH298" s="242"/>
      <c r="AI298" s="242"/>
      <c r="AJ298" s="242"/>
      <c r="AK298" s="242"/>
      <c r="AL298" s="242"/>
      <c r="AM298" s="242"/>
      <c r="AN298" s="242"/>
      <c r="AO298" s="242"/>
      <c r="AP298" s="242"/>
    </row>
    <row r="299">
      <c r="A299" s="242"/>
      <c r="B299" s="242"/>
      <c r="C299" s="242"/>
      <c r="D299" s="242"/>
      <c r="E299" s="242"/>
      <c r="F299" s="242"/>
      <c r="G299" s="242"/>
      <c r="H299" s="242"/>
      <c r="I299" s="242"/>
      <c r="J299" s="242"/>
      <c r="K299" s="242"/>
      <c r="L299" s="242"/>
      <c r="M299" s="242"/>
      <c r="N299" s="242"/>
      <c r="O299" s="242"/>
      <c r="P299" s="13"/>
      <c r="Q299" s="13"/>
      <c r="R299" s="13"/>
      <c r="S299" s="13"/>
      <c r="T299" s="13"/>
      <c r="U299" s="13"/>
      <c r="V299" s="13"/>
      <c r="W299" s="13"/>
      <c r="X299" s="13"/>
      <c r="Y299" s="13"/>
      <c r="Z299" s="13"/>
      <c r="AA299" s="13"/>
      <c r="AB299" s="13"/>
      <c r="AC299" s="13"/>
      <c r="AD299" s="13"/>
      <c r="AE299" s="13"/>
      <c r="AF299" s="242"/>
      <c r="AG299" s="242"/>
      <c r="AH299" s="242"/>
      <c r="AI299" s="242"/>
      <c r="AJ299" s="242"/>
      <c r="AK299" s="242"/>
      <c r="AL299" s="242"/>
      <c r="AM299" s="242"/>
      <c r="AN299" s="242"/>
      <c r="AO299" s="242"/>
      <c r="AP299" s="242"/>
    </row>
    <row r="300">
      <c r="A300" s="242"/>
      <c r="B300" s="242"/>
      <c r="C300" s="242"/>
      <c r="D300" s="242"/>
      <c r="E300" s="242"/>
      <c r="F300" s="242"/>
      <c r="G300" s="242"/>
      <c r="H300" s="242"/>
      <c r="I300" s="242"/>
      <c r="J300" s="242"/>
      <c r="K300" s="242"/>
      <c r="L300" s="242"/>
      <c r="M300" s="242"/>
      <c r="N300" s="242"/>
      <c r="O300" s="242"/>
      <c r="P300" s="13"/>
      <c r="Q300" s="13"/>
      <c r="R300" s="13"/>
      <c r="S300" s="13"/>
      <c r="T300" s="13"/>
      <c r="U300" s="13"/>
      <c r="V300" s="13"/>
      <c r="W300" s="13"/>
      <c r="X300" s="13"/>
      <c r="Y300" s="13"/>
      <c r="Z300" s="13"/>
      <c r="AA300" s="13"/>
      <c r="AB300" s="13"/>
      <c r="AC300" s="13"/>
      <c r="AD300" s="13"/>
      <c r="AE300" s="13"/>
      <c r="AF300" s="242"/>
      <c r="AG300" s="242"/>
      <c r="AH300" s="242"/>
      <c r="AI300" s="242"/>
      <c r="AJ300" s="242"/>
      <c r="AK300" s="242"/>
      <c r="AL300" s="242"/>
      <c r="AM300" s="242"/>
      <c r="AN300" s="242"/>
      <c r="AO300" s="242"/>
      <c r="AP300" s="242"/>
    </row>
    <row r="301">
      <c r="A301" s="242"/>
      <c r="B301" s="242"/>
      <c r="C301" s="242"/>
      <c r="D301" s="242"/>
      <c r="E301" s="242"/>
      <c r="F301" s="242"/>
      <c r="G301" s="242"/>
      <c r="H301" s="242"/>
      <c r="I301" s="242"/>
      <c r="J301" s="242"/>
      <c r="K301" s="242"/>
      <c r="L301" s="242"/>
      <c r="M301" s="242"/>
      <c r="N301" s="242"/>
      <c r="O301" s="242"/>
      <c r="P301" s="13"/>
      <c r="Q301" s="13"/>
      <c r="R301" s="13"/>
      <c r="S301" s="13"/>
      <c r="T301" s="13"/>
      <c r="U301" s="13"/>
      <c r="V301" s="13"/>
      <c r="W301" s="13"/>
      <c r="X301" s="13"/>
      <c r="Y301" s="13"/>
      <c r="Z301" s="13"/>
      <c r="AA301" s="13"/>
      <c r="AB301" s="13"/>
      <c r="AC301" s="13"/>
      <c r="AD301" s="13"/>
      <c r="AE301" s="13"/>
      <c r="AF301" s="242"/>
      <c r="AG301" s="242"/>
      <c r="AH301" s="242"/>
      <c r="AI301" s="242"/>
      <c r="AJ301" s="242"/>
      <c r="AK301" s="242"/>
      <c r="AL301" s="242"/>
      <c r="AM301" s="242"/>
      <c r="AN301" s="242"/>
      <c r="AO301" s="242"/>
      <c r="AP301" s="242"/>
    </row>
    <row r="302">
      <c r="A302" s="242"/>
      <c r="B302" s="242"/>
      <c r="C302" s="242"/>
      <c r="D302" s="242"/>
      <c r="E302" s="242"/>
      <c r="F302" s="242"/>
      <c r="G302" s="242"/>
      <c r="H302" s="242"/>
      <c r="I302" s="242"/>
      <c r="J302" s="242"/>
      <c r="K302" s="242"/>
      <c r="L302" s="242"/>
      <c r="M302" s="242"/>
      <c r="N302" s="242"/>
      <c r="O302" s="242"/>
      <c r="P302" s="13"/>
      <c r="Q302" s="13"/>
      <c r="R302" s="13"/>
      <c r="S302" s="13"/>
      <c r="T302" s="13"/>
      <c r="U302" s="13"/>
      <c r="V302" s="13"/>
      <c r="W302" s="13"/>
      <c r="X302" s="13"/>
      <c r="Y302" s="13"/>
      <c r="Z302" s="13"/>
      <c r="AA302" s="13"/>
      <c r="AB302" s="13"/>
      <c r="AC302" s="13"/>
      <c r="AD302" s="13"/>
      <c r="AE302" s="13"/>
      <c r="AF302" s="242"/>
      <c r="AG302" s="242"/>
      <c r="AH302" s="242"/>
      <c r="AI302" s="242"/>
      <c r="AJ302" s="242"/>
      <c r="AK302" s="242"/>
      <c r="AL302" s="242"/>
      <c r="AM302" s="242"/>
      <c r="AN302" s="242"/>
      <c r="AO302" s="242"/>
      <c r="AP302" s="242"/>
    </row>
    <row r="303">
      <c r="A303" s="242"/>
      <c r="B303" s="242"/>
      <c r="C303" s="242"/>
      <c r="D303" s="242"/>
      <c r="E303" s="242"/>
      <c r="F303" s="242"/>
      <c r="G303" s="242"/>
      <c r="H303" s="242"/>
      <c r="I303" s="242"/>
      <c r="J303" s="242"/>
      <c r="K303" s="242"/>
      <c r="L303" s="242"/>
      <c r="M303" s="242"/>
      <c r="N303" s="242"/>
      <c r="O303" s="242"/>
      <c r="P303" s="13"/>
      <c r="Q303" s="13"/>
      <c r="R303" s="13"/>
      <c r="S303" s="13"/>
      <c r="T303" s="13"/>
      <c r="U303" s="13"/>
      <c r="V303" s="13"/>
      <c r="W303" s="13"/>
      <c r="X303" s="13"/>
      <c r="Y303" s="13"/>
      <c r="Z303" s="13"/>
      <c r="AA303" s="13"/>
      <c r="AB303" s="13"/>
      <c r="AC303" s="13"/>
      <c r="AD303" s="13"/>
      <c r="AE303" s="13"/>
      <c r="AF303" s="242"/>
      <c r="AG303" s="242"/>
      <c r="AH303" s="242"/>
      <c r="AI303" s="242"/>
      <c r="AJ303" s="242"/>
      <c r="AK303" s="242"/>
      <c r="AL303" s="242"/>
      <c r="AM303" s="242"/>
      <c r="AN303" s="242"/>
      <c r="AO303" s="242"/>
      <c r="AP303" s="242"/>
    </row>
    <row r="304">
      <c r="A304" s="242"/>
      <c r="B304" s="242"/>
      <c r="C304" s="242"/>
      <c r="D304" s="242"/>
      <c r="E304" s="242"/>
      <c r="F304" s="242"/>
      <c r="G304" s="242"/>
      <c r="H304" s="242"/>
      <c r="I304" s="242"/>
      <c r="J304" s="242"/>
      <c r="K304" s="242"/>
      <c r="L304" s="242"/>
      <c r="M304" s="242"/>
      <c r="N304" s="242"/>
      <c r="O304" s="242"/>
      <c r="P304" s="13"/>
      <c r="Q304" s="13"/>
      <c r="R304" s="13"/>
      <c r="S304" s="13"/>
      <c r="T304" s="13"/>
      <c r="U304" s="13"/>
      <c r="V304" s="13"/>
      <c r="W304" s="13"/>
      <c r="X304" s="13"/>
      <c r="Y304" s="13"/>
      <c r="Z304" s="13"/>
      <c r="AA304" s="13"/>
      <c r="AB304" s="13"/>
      <c r="AC304" s="13"/>
      <c r="AD304" s="13"/>
      <c r="AE304" s="13"/>
      <c r="AF304" s="242"/>
      <c r="AG304" s="242"/>
      <c r="AH304" s="242"/>
      <c r="AI304" s="242"/>
      <c r="AJ304" s="242"/>
      <c r="AK304" s="242"/>
      <c r="AL304" s="242"/>
      <c r="AM304" s="242"/>
      <c r="AN304" s="242"/>
      <c r="AO304" s="242"/>
      <c r="AP304" s="242"/>
    </row>
    <row r="305">
      <c r="A305" s="242"/>
      <c r="B305" s="242"/>
      <c r="C305" s="242"/>
      <c r="D305" s="242"/>
      <c r="E305" s="242"/>
      <c r="F305" s="242"/>
      <c r="G305" s="242"/>
      <c r="H305" s="242"/>
      <c r="I305" s="242"/>
      <c r="J305" s="242"/>
      <c r="K305" s="242"/>
      <c r="L305" s="242"/>
      <c r="M305" s="242"/>
      <c r="N305" s="242"/>
      <c r="O305" s="242"/>
      <c r="P305" s="13"/>
      <c r="Q305" s="13"/>
      <c r="R305" s="13"/>
      <c r="S305" s="13"/>
      <c r="T305" s="13"/>
      <c r="U305" s="13"/>
      <c r="V305" s="13"/>
      <c r="W305" s="13"/>
      <c r="X305" s="13"/>
      <c r="Y305" s="13"/>
      <c r="Z305" s="13"/>
      <c r="AA305" s="13"/>
      <c r="AB305" s="13"/>
      <c r="AC305" s="13"/>
      <c r="AD305" s="13"/>
      <c r="AE305" s="13"/>
      <c r="AF305" s="242"/>
      <c r="AG305" s="242"/>
      <c r="AH305" s="242"/>
      <c r="AI305" s="242"/>
      <c r="AJ305" s="242"/>
      <c r="AK305" s="242"/>
      <c r="AL305" s="242"/>
      <c r="AM305" s="242"/>
      <c r="AN305" s="242"/>
      <c r="AO305" s="242"/>
      <c r="AP305" s="242"/>
    </row>
    <row r="306">
      <c r="A306" s="242"/>
      <c r="B306" s="242"/>
      <c r="C306" s="242"/>
      <c r="D306" s="242"/>
      <c r="E306" s="242"/>
      <c r="F306" s="242"/>
      <c r="G306" s="242"/>
      <c r="H306" s="242"/>
      <c r="I306" s="242"/>
      <c r="J306" s="242"/>
      <c r="K306" s="242"/>
      <c r="L306" s="242"/>
      <c r="M306" s="242"/>
      <c r="N306" s="242"/>
      <c r="O306" s="242"/>
      <c r="P306" s="13"/>
      <c r="Q306" s="13"/>
      <c r="R306" s="13"/>
      <c r="S306" s="13"/>
      <c r="T306" s="13"/>
      <c r="U306" s="13"/>
      <c r="V306" s="13"/>
      <c r="W306" s="13"/>
      <c r="X306" s="13"/>
      <c r="Y306" s="13"/>
      <c r="Z306" s="13"/>
      <c r="AA306" s="13"/>
      <c r="AB306" s="13"/>
      <c r="AC306" s="13"/>
      <c r="AD306" s="13"/>
      <c r="AE306" s="13"/>
      <c r="AF306" s="242"/>
      <c r="AG306" s="242"/>
      <c r="AH306" s="242"/>
      <c r="AI306" s="242"/>
      <c r="AJ306" s="242"/>
      <c r="AK306" s="242"/>
      <c r="AL306" s="242"/>
      <c r="AM306" s="242"/>
      <c r="AN306" s="242"/>
      <c r="AO306" s="242"/>
      <c r="AP306" s="242"/>
    </row>
    <row r="307">
      <c r="A307" s="242"/>
      <c r="B307" s="242"/>
      <c r="C307" s="242"/>
      <c r="D307" s="242"/>
      <c r="E307" s="242"/>
      <c r="F307" s="242"/>
      <c r="G307" s="242"/>
      <c r="H307" s="242"/>
      <c r="I307" s="242"/>
      <c r="J307" s="242"/>
      <c r="K307" s="242"/>
      <c r="L307" s="242"/>
      <c r="M307" s="242"/>
      <c r="N307" s="242"/>
      <c r="O307" s="242"/>
      <c r="P307" s="13"/>
      <c r="Q307" s="13"/>
      <c r="R307" s="13"/>
      <c r="S307" s="13"/>
      <c r="T307" s="13"/>
      <c r="U307" s="13"/>
      <c r="V307" s="13"/>
      <c r="W307" s="13"/>
      <c r="X307" s="13"/>
      <c r="Y307" s="13"/>
      <c r="Z307" s="13"/>
      <c r="AA307" s="13"/>
      <c r="AB307" s="13"/>
      <c r="AC307" s="13"/>
      <c r="AD307" s="13"/>
      <c r="AE307" s="13"/>
      <c r="AF307" s="242"/>
      <c r="AG307" s="242"/>
      <c r="AH307" s="242"/>
      <c r="AI307" s="242"/>
      <c r="AJ307" s="242"/>
      <c r="AK307" s="242"/>
      <c r="AL307" s="242"/>
      <c r="AM307" s="242"/>
      <c r="AN307" s="242"/>
      <c r="AO307" s="242"/>
      <c r="AP307" s="242"/>
    </row>
    <row r="308">
      <c r="A308" s="242"/>
      <c r="B308" s="242"/>
      <c r="C308" s="242"/>
      <c r="D308" s="242"/>
      <c r="E308" s="242"/>
      <c r="F308" s="242"/>
      <c r="G308" s="242"/>
      <c r="H308" s="242"/>
      <c r="I308" s="242"/>
      <c r="J308" s="242"/>
      <c r="K308" s="242"/>
      <c r="L308" s="242"/>
      <c r="M308" s="242"/>
      <c r="N308" s="242"/>
      <c r="O308" s="242"/>
      <c r="P308" s="13"/>
      <c r="Q308" s="13"/>
      <c r="R308" s="13"/>
      <c r="S308" s="13"/>
      <c r="T308" s="13"/>
      <c r="U308" s="13"/>
      <c r="V308" s="13"/>
      <c r="W308" s="13"/>
      <c r="X308" s="13"/>
      <c r="Y308" s="13"/>
      <c r="Z308" s="13"/>
      <c r="AA308" s="13"/>
      <c r="AB308" s="13"/>
      <c r="AC308" s="13"/>
      <c r="AD308" s="13"/>
      <c r="AE308" s="13"/>
      <c r="AF308" s="242"/>
      <c r="AG308" s="242"/>
      <c r="AH308" s="242"/>
      <c r="AI308" s="242"/>
      <c r="AJ308" s="242"/>
      <c r="AK308" s="242"/>
      <c r="AL308" s="242"/>
      <c r="AM308" s="242"/>
      <c r="AN308" s="242"/>
      <c r="AO308" s="242"/>
      <c r="AP308" s="242"/>
    </row>
    <row r="309">
      <c r="A309" s="242"/>
      <c r="B309" s="242"/>
      <c r="C309" s="242"/>
      <c r="D309" s="242"/>
      <c r="E309" s="242"/>
      <c r="F309" s="242"/>
      <c r="G309" s="242"/>
      <c r="H309" s="242"/>
      <c r="I309" s="242"/>
      <c r="J309" s="242"/>
      <c r="K309" s="242"/>
      <c r="L309" s="242"/>
      <c r="M309" s="242"/>
      <c r="N309" s="242"/>
      <c r="O309" s="242"/>
      <c r="P309" s="13"/>
      <c r="Q309" s="13"/>
      <c r="R309" s="13"/>
      <c r="S309" s="13"/>
      <c r="T309" s="13"/>
      <c r="U309" s="13"/>
      <c r="V309" s="13"/>
      <c r="W309" s="13"/>
      <c r="X309" s="13"/>
      <c r="Y309" s="13"/>
      <c r="Z309" s="13"/>
      <c r="AA309" s="13"/>
      <c r="AB309" s="13"/>
      <c r="AC309" s="13"/>
      <c r="AD309" s="13"/>
      <c r="AE309" s="13"/>
      <c r="AF309" s="242"/>
      <c r="AG309" s="242"/>
      <c r="AH309" s="242"/>
      <c r="AI309" s="242"/>
      <c r="AJ309" s="242"/>
      <c r="AK309" s="242"/>
      <c r="AL309" s="242"/>
      <c r="AM309" s="242"/>
      <c r="AN309" s="242"/>
      <c r="AO309" s="242"/>
      <c r="AP309" s="242"/>
    </row>
    <row r="310">
      <c r="A310" s="242"/>
      <c r="B310" s="242"/>
      <c r="C310" s="242"/>
      <c r="D310" s="242"/>
      <c r="E310" s="242"/>
      <c r="F310" s="242"/>
      <c r="G310" s="242"/>
      <c r="H310" s="242"/>
      <c r="I310" s="242"/>
      <c r="J310" s="242"/>
      <c r="K310" s="242"/>
      <c r="L310" s="242"/>
      <c r="M310" s="242"/>
      <c r="N310" s="242"/>
      <c r="O310" s="242"/>
      <c r="P310" s="13"/>
      <c r="Q310" s="13"/>
      <c r="R310" s="13"/>
      <c r="S310" s="13"/>
      <c r="T310" s="13"/>
      <c r="U310" s="13"/>
      <c r="V310" s="13"/>
      <c r="W310" s="13"/>
      <c r="X310" s="13"/>
      <c r="Y310" s="13"/>
      <c r="Z310" s="13"/>
      <c r="AA310" s="13"/>
      <c r="AB310" s="13"/>
      <c r="AC310" s="13"/>
      <c r="AD310" s="13"/>
      <c r="AE310" s="13"/>
      <c r="AF310" s="242"/>
      <c r="AG310" s="242"/>
      <c r="AH310" s="242"/>
      <c r="AI310" s="242"/>
      <c r="AJ310" s="242"/>
      <c r="AK310" s="242"/>
      <c r="AL310" s="242"/>
      <c r="AM310" s="242"/>
      <c r="AN310" s="242"/>
      <c r="AO310" s="242"/>
      <c r="AP310" s="242"/>
    </row>
    <row r="311">
      <c r="A311" s="242"/>
      <c r="B311" s="242"/>
      <c r="C311" s="242"/>
      <c r="D311" s="242"/>
      <c r="E311" s="242"/>
      <c r="F311" s="242"/>
      <c r="G311" s="242"/>
      <c r="H311" s="242"/>
      <c r="I311" s="242"/>
      <c r="J311" s="242"/>
      <c r="K311" s="242"/>
      <c r="L311" s="242"/>
      <c r="M311" s="242"/>
      <c r="N311" s="242"/>
      <c r="O311" s="242"/>
      <c r="P311" s="13"/>
      <c r="Q311" s="13"/>
      <c r="R311" s="13"/>
      <c r="S311" s="13"/>
      <c r="T311" s="13"/>
      <c r="U311" s="13"/>
      <c r="V311" s="13"/>
      <c r="W311" s="13"/>
      <c r="X311" s="13"/>
      <c r="Y311" s="13"/>
      <c r="Z311" s="13"/>
      <c r="AA311" s="13"/>
      <c r="AB311" s="13"/>
      <c r="AC311" s="13"/>
      <c r="AD311" s="13"/>
      <c r="AE311" s="13"/>
      <c r="AF311" s="242"/>
      <c r="AG311" s="242"/>
      <c r="AH311" s="242"/>
      <c r="AI311" s="242"/>
      <c r="AJ311" s="242"/>
      <c r="AK311" s="242"/>
      <c r="AL311" s="242"/>
      <c r="AM311" s="242"/>
      <c r="AN311" s="242"/>
      <c r="AO311" s="242"/>
      <c r="AP311" s="242"/>
    </row>
    <row r="312">
      <c r="A312" s="242"/>
      <c r="B312" s="242"/>
      <c r="C312" s="242"/>
      <c r="D312" s="242"/>
      <c r="E312" s="242"/>
      <c r="F312" s="242"/>
      <c r="G312" s="242"/>
      <c r="H312" s="242"/>
      <c r="I312" s="242"/>
      <c r="J312" s="242"/>
      <c r="K312" s="242"/>
      <c r="L312" s="242"/>
      <c r="M312" s="242"/>
      <c r="N312" s="242"/>
      <c r="O312" s="242"/>
      <c r="P312" s="13"/>
      <c r="Q312" s="13"/>
      <c r="R312" s="13"/>
      <c r="S312" s="13"/>
      <c r="T312" s="13"/>
      <c r="U312" s="13"/>
      <c r="V312" s="13"/>
      <c r="W312" s="13"/>
      <c r="X312" s="13"/>
      <c r="Y312" s="13"/>
      <c r="Z312" s="13"/>
      <c r="AA312" s="13"/>
      <c r="AB312" s="13"/>
      <c r="AC312" s="13"/>
      <c r="AD312" s="13"/>
      <c r="AE312" s="13"/>
      <c r="AF312" s="242"/>
      <c r="AG312" s="242"/>
      <c r="AH312" s="242"/>
      <c r="AI312" s="242"/>
      <c r="AJ312" s="242"/>
      <c r="AK312" s="242"/>
      <c r="AL312" s="242"/>
      <c r="AM312" s="242"/>
      <c r="AN312" s="242"/>
      <c r="AO312" s="242"/>
      <c r="AP312" s="242"/>
    </row>
    <row r="313">
      <c r="A313" s="242"/>
      <c r="B313" s="242"/>
      <c r="C313" s="242"/>
      <c r="D313" s="242"/>
      <c r="E313" s="242"/>
      <c r="F313" s="242"/>
      <c r="G313" s="242"/>
      <c r="H313" s="242"/>
      <c r="I313" s="242"/>
      <c r="J313" s="242"/>
      <c r="K313" s="242"/>
      <c r="L313" s="242"/>
      <c r="M313" s="242"/>
      <c r="N313" s="242"/>
      <c r="O313" s="242"/>
      <c r="P313" s="13"/>
      <c r="Q313" s="13"/>
      <c r="R313" s="13"/>
      <c r="S313" s="13"/>
      <c r="T313" s="13"/>
      <c r="U313" s="13"/>
      <c r="V313" s="13"/>
      <c r="W313" s="13"/>
      <c r="X313" s="13"/>
      <c r="Y313" s="13"/>
      <c r="Z313" s="13"/>
      <c r="AA313" s="13"/>
      <c r="AB313" s="13"/>
      <c r="AC313" s="13"/>
      <c r="AD313" s="13"/>
      <c r="AE313" s="13"/>
      <c r="AF313" s="242"/>
      <c r="AG313" s="242"/>
      <c r="AH313" s="242"/>
      <c r="AI313" s="242"/>
      <c r="AJ313" s="242"/>
      <c r="AK313" s="242"/>
      <c r="AL313" s="242"/>
      <c r="AM313" s="242"/>
      <c r="AN313" s="242"/>
      <c r="AO313" s="242"/>
      <c r="AP313" s="242"/>
    </row>
    <row r="314">
      <c r="A314" s="242"/>
      <c r="B314" s="242"/>
      <c r="C314" s="242"/>
      <c r="D314" s="242"/>
      <c r="E314" s="242"/>
      <c r="F314" s="242"/>
      <c r="G314" s="242"/>
      <c r="H314" s="242"/>
      <c r="I314" s="242"/>
      <c r="J314" s="242"/>
      <c r="K314" s="242"/>
      <c r="L314" s="242"/>
      <c r="M314" s="242"/>
      <c r="N314" s="242"/>
      <c r="O314" s="242"/>
      <c r="P314" s="13"/>
      <c r="Q314" s="13"/>
      <c r="R314" s="13"/>
      <c r="S314" s="13"/>
      <c r="T314" s="13"/>
      <c r="U314" s="13"/>
      <c r="V314" s="13"/>
      <c r="W314" s="13"/>
      <c r="X314" s="13"/>
      <c r="Y314" s="13"/>
      <c r="Z314" s="13"/>
      <c r="AA314" s="13"/>
      <c r="AB314" s="13"/>
      <c r="AC314" s="13"/>
      <c r="AD314" s="13"/>
      <c r="AE314" s="13"/>
      <c r="AF314" s="242"/>
      <c r="AG314" s="242"/>
      <c r="AH314" s="242"/>
      <c r="AI314" s="242"/>
      <c r="AJ314" s="242"/>
      <c r="AK314" s="242"/>
      <c r="AL314" s="242"/>
      <c r="AM314" s="242"/>
      <c r="AN314" s="242"/>
      <c r="AO314" s="242"/>
      <c r="AP314" s="242"/>
    </row>
    <row r="315">
      <c r="A315" s="242"/>
      <c r="B315" s="242"/>
      <c r="C315" s="242"/>
      <c r="D315" s="242"/>
      <c r="E315" s="242"/>
      <c r="F315" s="242"/>
      <c r="G315" s="242"/>
      <c r="H315" s="242"/>
      <c r="I315" s="242"/>
      <c r="J315" s="242"/>
      <c r="K315" s="242"/>
      <c r="L315" s="242"/>
      <c r="M315" s="242"/>
      <c r="N315" s="242"/>
      <c r="O315" s="242"/>
      <c r="P315" s="13"/>
      <c r="Q315" s="13"/>
      <c r="R315" s="13"/>
      <c r="S315" s="13"/>
      <c r="T315" s="13"/>
      <c r="U315" s="13"/>
      <c r="V315" s="13"/>
      <c r="W315" s="13"/>
      <c r="X315" s="13"/>
      <c r="Y315" s="13"/>
      <c r="Z315" s="13"/>
      <c r="AA315" s="13"/>
      <c r="AB315" s="13"/>
      <c r="AC315" s="13"/>
      <c r="AD315" s="13"/>
      <c r="AE315" s="13"/>
      <c r="AF315" s="242"/>
      <c r="AG315" s="242"/>
      <c r="AH315" s="242"/>
      <c r="AI315" s="242"/>
      <c r="AJ315" s="242"/>
      <c r="AK315" s="242"/>
      <c r="AL315" s="242"/>
      <c r="AM315" s="242"/>
      <c r="AN315" s="242"/>
      <c r="AO315" s="242"/>
      <c r="AP315" s="242"/>
    </row>
    <row r="316">
      <c r="A316" s="242"/>
      <c r="B316" s="242"/>
      <c r="C316" s="242"/>
      <c r="D316" s="242"/>
      <c r="E316" s="242"/>
      <c r="F316" s="242"/>
      <c r="G316" s="242"/>
      <c r="H316" s="242"/>
      <c r="I316" s="242"/>
      <c r="J316" s="242"/>
      <c r="K316" s="242"/>
      <c r="L316" s="242"/>
      <c r="M316" s="242"/>
      <c r="N316" s="242"/>
      <c r="O316" s="242"/>
      <c r="P316" s="13"/>
      <c r="Q316" s="13"/>
      <c r="R316" s="13"/>
      <c r="S316" s="13"/>
      <c r="T316" s="13"/>
      <c r="U316" s="13"/>
      <c r="V316" s="13"/>
      <c r="W316" s="13"/>
      <c r="X316" s="13"/>
      <c r="Y316" s="13"/>
      <c r="Z316" s="13"/>
      <c r="AA316" s="13"/>
      <c r="AB316" s="13"/>
      <c r="AC316" s="13"/>
      <c r="AD316" s="13"/>
      <c r="AE316" s="13"/>
      <c r="AF316" s="242"/>
      <c r="AG316" s="242"/>
      <c r="AH316" s="242"/>
      <c r="AI316" s="242"/>
      <c r="AJ316" s="242"/>
      <c r="AK316" s="242"/>
      <c r="AL316" s="242"/>
      <c r="AM316" s="242"/>
      <c r="AN316" s="242"/>
      <c r="AO316" s="242"/>
      <c r="AP316" s="242"/>
    </row>
    <row r="317">
      <c r="A317" s="242"/>
      <c r="B317" s="242"/>
      <c r="C317" s="242"/>
      <c r="D317" s="242"/>
      <c r="E317" s="242"/>
      <c r="F317" s="242"/>
      <c r="G317" s="242"/>
      <c r="H317" s="242"/>
      <c r="I317" s="242"/>
      <c r="J317" s="242"/>
      <c r="K317" s="242"/>
      <c r="L317" s="242"/>
      <c r="M317" s="242"/>
      <c r="N317" s="242"/>
      <c r="O317" s="242"/>
      <c r="P317" s="13"/>
      <c r="Q317" s="13"/>
      <c r="R317" s="13"/>
      <c r="S317" s="13"/>
      <c r="T317" s="13"/>
      <c r="U317" s="13"/>
      <c r="V317" s="13"/>
      <c r="W317" s="13"/>
      <c r="X317" s="13"/>
      <c r="Y317" s="13"/>
      <c r="Z317" s="13"/>
      <c r="AA317" s="13"/>
      <c r="AB317" s="13"/>
      <c r="AC317" s="13"/>
      <c r="AD317" s="13"/>
      <c r="AE317" s="13"/>
      <c r="AF317" s="242"/>
      <c r="AG317" s="242"/>
      <c r="AH317" s="242"/>
      <c r="AI317" s="242"/>
      <c r="AJ317" s="242"/>
      <c r="AK317" s="242"/>
      <c r="AL317" s="242"/>
      <c r="AM317" s="242"/>
      <c r="AN317" s="242"/>
      <c r="AO317" s="242"/>
      <c r="AP317" s="242"/>
    </row>
    <row r="318">
      <c r="A318" s="242"/>
      <c r="B318" s="242"/>
      <c r="C318" s="242"/>
      <c r="D318" s="242"/>
      <c r="E318" s="242"/>
      <c r="F318" s="242"/>
      <c r="G318" s="242"/>
      <c r="H318" s="242"/>
      <c r="I318" s="242"/>
      <c r="J318" s="242"/>
      <c r="K318" s="242"/>
      <c r="L318" s="242"/>
      <c r="M318" s="242"/>
      <c r="N318" s="242"/>
      <c r="O318" s="242"/>
      <c r="P318" s="13"/>
      <c r="Q318" s="13"/>
      <c r="R318" s="13"/>
      <c r="S318" s="13"/>
      <c r="T318" s="13"/>
      <c r="U318" s="13"/>
      <c r="V318" s="13"/>
      <c r="W318" s="13"/>
      <c r="X318" s="13"/>
      <c r="Y318" s="13"/>
      <c r="Z318" s="13"/>
      <c r="AA318" s="13"/>
      <c r="AB318" s="13"/>
      <c r="AC318" s="13"/>
      <c r="AD318" s="13"/>
      <c r="AE318" s="13"/>
      <c r="AF318" s="242"/>
      <c r="AG318" s="242"/>
      <c r="AH318" s="242"/>
      <c r="AI318" s="242"/>
      <c r="AJ318" s="242"/>
      <c r="AK318" s="242"/>
      <c r="AL318" s="242"/>
      <c r="AM318" s="242"/>
      <c r="AN318" s="242"/>
      <c r="AO318" s="242"/>
      <c r="AP318" s="242"/>
    </row>
    <row r="319">
      <c r="A319" s="242"/>
      <c r="B319" s="242"/>
      <c r="C319" s="242"/>
      <c r="D319" s="242"/>
      <c r="E319" s="242"/>
      <c r="F319" s="242"/>
      <c r="G319" s="242"/>
      <c r="H319" s="242"/>
      <c r="I319" s="242"/>
      <c r="J319" s="242"/>
      <c r="K319" s="242"/>
      <c r="L319" s="242"/>
      <c r="M319" s="242"/>
      <c r="N319" s="242"/>
      <c r="O319" s="242"/>
      <c r="P319" s="13"/>
      <c r="Q319" s="13"/>
      <c r="R319" s="13"/>
      <c r="S319" s="13"/>
      <c r="T319" s="13"/>
      <c r="U319" s="13"/>
      <c r="V319" s="13"/>
      <c r="W319" s="13"/>
      <c r="X319" s="13"/>
      <c r="Y319" s="13"/>
      <c r="Z319" s="13"/>
      <c r="AA319" s="13"/>
      <c r="AB319" s="13"/>
      <c r="AC319" s="13"/>
      <c r="AD319" s="13"/>
      <c r="AE319" s="13"/>
      <c r="AF319" s="242"/>
      <c r="AG319" s="242"/>
      <c r="AH319" s="242"/>
      <c r="AI319" s="242"/>
      <c r="AJ319" s="242"/>
      <c r="AK319" s="242"/>
      <c r="AL319" s="242"/>
      <c r="AM319" s="242"/>
      <c r="AN319" s="242"/>
      <c r="AO319" s="242"/>
      <c r="AP319" s="242"/>
    </row>
    <row r="320">
      <c r="A320" s="242"/>
      <c r="B320" s="242"/>
      <c r="C320" s="242"/>
      <c r="D320" s="242"/>
      <c r="E320" s="242"/>
      <c r="F320" s="242"/>
      <c r="G320" s="242"/>
      <c r="H320" s="242"/>
      <c r="I320" s="242"/>
      <c r="J320" s="242"/>
      <c r="K320" s="242"/>
      <c r="L320" s="242"/>
      <c r="M320" s="242"/>
      <c r="N320" s="242"/>
      <c r="O320" s="242"/>
      <c r="P320" s="13"/>
      <c r="Q320" s="13"/>
      <c r="R320" s="13"/>
      <c r="S320" s="13"/>
      <c r="T320" s="13"/>
      <c r="U320" s="13"/>
      <c r="V320" s="13"/>
      <c r="W320" s="13"/>
      <c r="X320" s="13"/>
      <c r="Y320" s="13"/>
      <c r="Z320" s="13"/>
      <c r="AA320" s="13"/>
      <c r="AB320" s="13"/>
      <c r="AC320" s="13"/>
      <c r="AD320" s="13"/>
      <c r="AE320" s="13"/>
      <c r="AF320" s="242"/>
      <c r="AG320" s="242"/>
      <c r="AH320" s="242"/>
      <c r="AI320" s="242"/>
      <c r="AJ320" s="242"/>
      <c r="AK320" s="242"/>
      <c r="AL320" s="242"/>
      <c r="AM320" s="242"/>
      <c r="AN320" s="242"/>
      <c r="AO320" s="242"/>
      <c r="AP320" s="242"/>
    </row>
    <row r="321">
      <c r="A321" s="242"/>
      <c r="B321" s="242"/>
      <c r="C321" s="242"/>
      <c r="D321" s="242"/>
      <c r="E321" s="242"/>
      <c r="F321" s="242"/>
      <c r="G321" s="242"/>
      <c r="H321" s="242"/>
      <c r="I321" s="242"/>
      <c r="J321" s="242"/>
      <c r="K321" s="242"/>
      <c r="L321" s="242"/>
      <c r="M321" s="242"/>
      <c r="N321" s="242"/>
      <c r="O321" s="242"/>
      <c r="P321" s="13"/>
      <c r="Q321" s="13"/>
      <c r="R321" s="13"/>
      <c r="S321" s="13"/>
      <c r="T321" s="13"/>
      <c r="U321" s="13"/>
      <c r="V321" s="13"/>
      <c r="W321" s="13"/>
      <c r="X321" s="13"/>
      <c r="Y321" s="13"/>
      <c r="Z321" s="13"/>
      <c r="AA321" s="13"/>
      <c r="AB321" s="13"/>
      <c r="AC321" s="13"/>
      <c r="AD321" s="13"/>
      <c r="AE321" s="13"/>
      <c r="AF321" s="242"/>
      <c r="AG321" s="242"/>
      <c r="AH321" s="242"/>
      <c r="AI321" s="242"/>
      <c r="AJ321" s="242"/>
      <c r="AK321" s="242"/>
      <c r="AL321" s="242"/>
      <c r="AM321" s="242"/>
      <c r="AN321" s="242"/>
      <c r="AO321" s="242"/>
      <c r="AP321" s="242"/>
    </row>
    <row r="322">
      <c r="A322" s="242"/>
      <c r="B322" s="242"/>
      <c r="C322" s="242"/>
      <c r="D322" s="242"/>
      <c r="E322" s="242"/>
      <c r="F322" s="242"/>
      <c r="G322" s="242"/>
      <c r="H322" s="242"/>
      <c r="I322" s="242"/>
      <c r="J322" s="242"/>
      <c r="K322" s="242"/>
      <c r="L322" s="242"/>
      <c r="M322" s="242"/>
      <c r="N322" s="242"/>
      <c r="O322" s="242"/>
      <c r="P322" s="13"/>
      <c r="Q322" s="13"/>
      <c r="R322" s="13"/>
      <c r="S322" s="13"/>
      <c r="T322" s="13"/>
      <c r="U322" s="13"/>
      <c r="V322" s="13"/>
      <c r="W322" s="13"/>
      <c r="X322" s="13"/>
      <c r="Y322" s="13"/>
      <c r="Z322" s="13"/>
      <c r="AA322" s="13"/>
      <c r="AB322" s="13"/>
      <c r="AC322" s="13"/>
      <c r="AD322" s="13"/>
      <c r="AE322" s="13"/>
      <c r="AF322" s="242"/>
      <c r="AG322" s="242"/>
      <c r="AH322" s="242"/>
      <c r="AI322" s="242"/>
      <c r="AJ322" s="242"/>
      <c r="AK322" s="242"/>
      <c r="AL322" s="242"/>
      <c r="AM322" s="242"/>
      <c r="AN322" s="242"/>
      <c r="AO322" s="242"/>
      <c r="AP322" s="242"/>
    </row>
    <row r="323">
      <c r="A323" s="242"/>
      <c r="B323" s="242"/>
      <c r="C323" s="242"/>
      <c r="D323" s="242"/>
      <c r="E323" s="242"/>
      <c r="F323" s="242"/>
      <c r="G323" s="242"/>
      <c r="H323" s="242"/>
      <c r="I323" s="242"/>
      <c r="J323" s="242"/>
      <c r="K323" s="242"/>
      <c r="L323" s="242"/>
      <c r="M323" s="242"/>
      <c r="N323" s="242"/>
      <c r="O323" s="242"/>
      <c r="P323" s="13"/>
      <c r="Q323" s="13"/>
      <c r="R323" s="13"/>
      <c r="S323" s="13"/>
      <c r="T323" s="13"/>
      <c r="U323" s="13"/>
      <c r="V323" s="13"/>
      <c r="W323" s="13"/>
      <c r="X323" s="13"/>
      <c r="Y323" s="13"/>
      <c r="Z323" s="13"/>
      <c r="AA323" s="13"/>
      <c r="AB323" s="13"/>
      <c r="AC323" s="13"/>
      <c r="AD323" s="13"/>
      <c r="AE323" s="13"/>
      <c r="AF323" s="242"/>
      <c r="AG323" s="242"/>
      <c r="AH323" s="242"/>
      <c r="AI323" s="242"/>
      <c r="AJ323" s="242"/>
      <c r="AK323" s="242"/>
      <c r="AL323" s="242"/>
      <c r="AM323" s="242"/>
      <c r="AN323" s="242"/>
      <c r="AO323" s="242"/>
      <c r="AP323" s="242"/>
    </row>
    <row r="324">
      <c r="A324" s="242"/>
      <c r="B324" s="242"/>
      <c r="C324" s="242"/>
      <c r="D324" s="242"/>
      <c r="E324" s="242"/>
      <c r="F324" s="242"/>
      <c r="G324" s="242"/>
      <c r="H324" s="242"/>
      <c r="I324" s="242"/>
      <c r="J324" s="242"/>
      <c r="K324" s="242"/>
      <c r="L324" s="242"/>
      <c r="M324" s="242"/>
      <c r="N324" s="242"/>
      <c r="O324" s="242"/>
      <c r="P324" s="13"/>
      <c r="Q324" s="13"/>
      <c r="R324" s="13"/>
      <c r="S324" s="13"/>
      <c r="T324" s="13"/>
      <c r="U324" s="13"/>
      <c r="V324" s="13"/>
      <c r="W324" s="13"/>
      <c r="X324" s="13"/>
      <c r="Y324" s="13"/>
      <c r="Z324" s="13"/>
      <c r="AA324" s="13"/>
      <c r="AB324" s="13"/>
      <c r="AC324" s="13"/>
      <c r="AD324" s="13"/>
      <c r="AE324" s="13"/>
      <c r="AF324" s="242"/>
      <c r="AG324" s="242"/>
      <c r="AH324" s="242"/>
      <c r="AI324" s="242"/>
      <c r="AJ324" s="242"/>
      <c r="AK324" s="242"/>
      <c r="AL324" s="242"/>
      <c r="AM324" s="242"/>
      <c r="AN324" s="242"/>
      <c r="AO324" s="242"/>
      <c r="AP324" s="242"/>
    </row>
    <row r="325">
      <c r="A325" s="242"/>
      <c r="B325" s="242"/>
      <c r="C325" s="242"/>
      <c r="D325" s="242"/>
      <c r="E325" s="242"/>
      <c r="F325" s="242"/>
      <c r="G325" s="242"/>
      <c r="H325" s="242"/>
      <c r="I325" s="242"/>
      <c r="J325" s="242"/>
      <c r="K325" s="242"/>
      <c r="L325" s="242"/>
      <c r="M325" s="242"/>
      <c r="N325" s="242"/>
      <c r="O325" s="242"/>
      <c r="P325" s="13"/>
      <c r="Q325" s="13"/>
      <c r="R325" s="13"/>
      <c r="S325" s="13"/>
      <c r="T325" s="13"/>
      <c r="U325" s="13"/>
      <c r="V325" s="13"/>
      <c r="W325" s="13"/>
      <c r="X325" s="13"/>
      <c r="Y325" s="13"/>
      <c r="Z325" s="13"/>
      <c r="AA325" s="13"/>
      <c r="AB325" s="13"/>
      <c r="AC325" s="13"/>
      <c r="AD325" s="13"/>
      <c r="AE325" s="13"/>
      <c r="AF325" s="242"/>
      <c r="AG325" s="242"/>
      <c r="AH325" s="242"/>
      <c r="AI325" s="242"/>
      <c r="AJ325" s="242"/>
      <c r="AK325" s="242"/>
      <c r="AL325" s="242"/>
      <c r="AM325" s="242"/>
      <c r="AN325" s="242"/>
      <c r="AO325" s="242"/>
      <c r="AP325" s="242"/>
    </row>
    <row r="326">
      <c r="A326" s="242"/>
      <c r="B326" s="242"/>
      <c r="C326" s="242"/>
      <c r="D326" s="242"/>
      <c r="E326" s="242"/>
      <c r="F326" s="242"/>
      <c r="G326" s="242"/>
      <c r="H326" s="242"/>
      <c r="I326" s="242"/>
      <c r="J326" s="242"/>
      <c r="K326" s="242"/>
      <c r="L326" s="242"/>
      <c r="M326" s="242"/>
      <c r="N326" s="242"/>
      <c r="O326" s="242"/>
      <c r="P326" s="13"/>
      <c r="Q326" s="13"/>
      <c r="R326" s="13"/>
      <c r="S326" s="13"/>
      <c r="T326" s="13"/>
      <c r="U326" s="13"/>
      <c r="V326" s="13"/>
      <c r="W326" s="13"/>
      <c r="X326" s="13"/>
      <c r="Y326" s="13"/>
      <c r="Z326" s="13"/>
      <c r="AA326" s="13"/>
      <c r="AB326" s="13"/>
      <c r="AC326" s="13"/>
      <c r="AD326" s="13"/>
      <c r="AE326" s="13"/>
      <c r="AF326" s="242"/>
      <c r="AG326" s="242"/>
      <c r="AH326" s="242"/>
      <c r="AI326" s="242"/>
      <c r="AJ326" s="242"/>
      <c r="AK326" s="242"/>
      <c r="AL326" s="242"/>
      <c r="AM326" s="242"/>
      <c r="AN326" s="242"/>
      <c r="AO326" s="242"/>
      <c r="AP326" s="242"/>
    </row>
    <row r="327">
      <c r="A327" s="242"/>
      <c r="B327" s="242"/>
      <c r="C327" s="242"/>
      <c r="D327" s="242"/>
      <c r="E327" s="242"/>
      <c r="F327" s="242"/>
      <c r="G327" s="242"/>
      <c r="H327" s="242"/>
      <c r="I327" s="242"/>
      <c r="J327" s="242"/>
      <c r="K327" s="242"/>
      <c r="L327" s="242"/>
      <c r="M327" s="242"/>
      <c r="N327" s="242"/>
      <c r="O327" s="242"/>
      <c r="P327" s="13"/>
      <c r="Q327" s="13"/>
      <c r="R327" s="13"/>
      <c r="S327" s="13"/>
      <c r="T327" s="13"/>
      <c r="U327" s="13"/>
      <c r="V327" s="13"/>
      <c r="W327" s="13"/>
      <c r="X327" s="13"/>
      <c r="Y327" s="13"/>
      <c r="Z327" s="13"/>
      <c r="AA327" s="13"/>
      <c r="AB327" s="13"/>
      <c r="AC327" s="13"/>
      <c r="AD327" s="13"/>
      <c r="AE327" s="13"/>
      <c r="AF327" s="242"/>
      <c r="AG327" s="242"/>
      <c r="AH327" s="242"/>
      <c r="AI327" s="242"/>
      <c r="AJ327" s="242"/>
      <c r="AK327" s="242"/>
      <c r="AL327" s="242"/>
      <c r="AM327" s="242"/>
      <c r="AN327" s="242"/>
      <c r="AO327" s="242"/>
      <c r="AP327" s="242"/>
    </row>
    <row r="328">
      <c r="A328" s="242"/>
      <c r="B328" s="242"/>
      <c r="C328" s="242"/>
      <c r="D328" s="242"/>
      <c r="E328" s="242"/>
      <c r="F328" s="242"/>
      <c r="G328" s="242"/>
      <c r="H328" s="242"/>
      <c r="I328" s="242"/>
      <c r="J328" s="242"/>
      <c r="K328" s="242"/>
      <c r="L328" s="242"/>
      <c r="M328" s="242"/>
      <c r="N328" s="242"/>
      <c r="O328" s="242"/>
      <c r="P328" s="13"/>
      <c r="Q328" s="13"/>
      <c r="R328" s="13"/>
      <c r="S328" s="13"/>
      <c r="T328" s="13"/>
      <c r="U328" s="13"/>
      <c r="V328" s="13"/>
      <c r="W328" s="13"/>
      <c r="X328" s="13"/>
      <c r="Y328" s="13"/>
      <c r="Z328" s="13"/>
      <c r="AA328" s="13"/>
      <c r="AB328" s="13"/>
      <c r="AC328" s="13"/>
      <c r="AD328" s="13"/>
      <c r="AE328" s="13"/>
      <c r="AF328" s="242"/>
      <c r="AG328" s="242"/>
      <c r="AH328" s="242"/>
      <c r="AI328" s="242"/>
      <c r="AJ328" s="242"/>
      <c r="AK328" s="242"/>
      <c r="AL328" s="242"/>
      <c r="AM328" s="242"/>
      <c r="AN328" s="242"/>
      <c r="AO328" s="242"/>
      <c r="AP328" s="242"/>
    </row>
    <row r="329">
      <c r="A329" s="242"/>
      <c r="B329" s="242"/>
      <c r="C329" s="242"/>
      <c r="D329" s="242"/>
      <c r="E329" s="242"/>
      <c r="F329" s="242"/>
      <c r="G329" s="242"/>
      <c r="H329" s="242"/>
      <c r="I329" s="242"/>
      <c r="J329" s="242"/>
      <c r="K329" s="242"/>
      <c r="L329" s="242"/>
      <c r="M329" s="242"/>
      <c r="N329" s="242"/>
      <c r="O329" s="242"/>
      <c r="P329" s="13"/>
      <c r="Q329" s="13"/>
      <c r="R329" s="13"/>
      <c r="S329" s="13"/>
      <c r="T329" s="13"/>
      <c r="U329" s="13"/>
      <c r="V329" s="13"/>
      <c r="W329" s="13"/>
      <c r="X329" s="13"/>
      <c r="Y329" s="13"/>
      <c r="Z329" s="13"/>
      <c r="AA329" s="13"/>
      <c r="AB329" s="13"/>
      <c r="AC329" s="13"/>
      <c r="AD329" s="13"/>
      <c r="AE329" s="13"/>
      <c r="AF329" s="242"/>
      <c r="AG329" s="242"/>
      <c r="AH329" s="242"/>
      <c r="AI329" s="242"/>
      <c r="AJ329" s="242"/>
      <c r="AK329" s="242"/>
      <c r="AL329" s="242"/>
      <c r="AM329" s="242"/>
      <c r="AN329" s="242"/>
      <c r="AO329" s="242"/>
      <c r="AP329" s="242"/>
    </row>
    <row r="330">
      <c r="A330" s="242"/>
      <c r="B330" s="242"/>
      <c r="C330" s="242"/>
      <c r="D330" s="242"/>
      <c r="E330" s="242"/>
      <c r="F330" s="242"/>
      <c r="G330" s="242"/>
      <c r="H330" s="242"/>
      <c r="I330" s="242"/>
      <c r="J330" s="242"/>
      <c r="K330" s="242"/>
      <c r="L330" s="242"/>
      <c r="M330" s="242"/>
      <c r="N330" s="242"/>
      <c r="O330" s="242"/>
      <c r="P330" s="13"/>
      <c r="Q330" s="13"/>
      <c r="R330" s="13"/>
      <c r="S330" s="13"/>
      <c r="T330" s="13"/>
      <c r="U330" s="13"/>
      <c r="V330" s="13"/>
      <c r="W330" s="13"/>
      <c r="X330" s="13"/>
      <c r="Y330" s="13"/>
      <c r="Z330" s="13"/>
      <c r="AA330" s="13"/>
      <c r="AB330" s="13"/>
      <c r="AC330" s="13"/>
      <c r="AD330" s="13"/>
      <c r="AE330" s="13"/>
      <c r="AF330" s="242"/>
      <c r="AG330" s="242"/>
      <c r="AH330" s="242"/>
      <c r="AI330" s="242"/>
      <c r="AJ330" s="242"/>
      <c r="AK330" s="242"/>
      <c r="AL330" s="242"/>
      <c r="AM330" s="242"/>
      <c r="AN330" s="242"/>
      <c r="AO330" s="242"/>
      <c r="AP330" s="242"/>
    </row>
    <row r="331">
      <c r="A331" s="242"/>
      <c r="B331" s="242"/>
      <c r="C331" s="242"/>
      <c r="D331" s="242"/>
      <c r="E331" s="242"/>
      <c r="F331" s="242"/>
      <c r="G331" s="242"/>
      <c r="H331" s="242"/>
      <c r="I331" s="242"/>
      <c r="J331" s="242"/>
      <c r="K331" s="242"/>
      <c r="L331" s="242"/>
      <c r="M331" s="242"/>
      <c r="N331" s="242"/>
      <c r="O331" s="242"/>
      <c r="P331" s="13"/>
      <c r="Q331" s="13"/>
      <c r="R331" s="13"/>
      <c r="S331" s="13"/>
      <c r="T331" s="13"/>
      <c r="U331" s="13"/>
      <c r="V331" s="13"/>
      <c r="W331" s="13"/>
      <c r="X331" s="13"/>
      <c r="Y331" s="13"/>
      <c r="Z331" s="13"/>
      <c r="AA331" s="13"/>
      <c r="AB331" s="13"/>
      <c r="AC331" s="13"/>
      <c r="AD331" s="13"/>
      <c r="AE331" s="13"/>
      <c r="AF331" s="242"/>
      <c r="AG331" s="242"/>
      <c r="AH331" s="242"/>
      <c r="AI331" s="242"/>
      <c r="AJ331" s="242"/>
      <c r="AK331" s="242"/>
      <c r="AL331" s="242"/>
      <c r="AM331" s="242"/>
      <c r="AN331" s="242"/>
      <c r="AO331" s="242"/>
      <c r="AP331" s="242"/>
    </row>
    <row r="332">
      <c r="A332" s="242"/>
      <c r="B332" s="242"/>
      <c r="C332" s="242"/>
      <c r="D332" s="242"/>
      <c r="E332" s="242"/>
      <c r="F332" s="242"/>
      <c r="G332" s="242"/>
      <c r="H332" s="242"/>
      <c r="I332" s="242"/>
      <c r="J332" s="242"/>
      <c r="K332" s="242"/>
      <c r="L332" s="242"/>
      <c r="M332" s="242"/>
      <c r="N332" s="242"/>
      <c r="O332" s="242"/>
      <c r="P332" s="13"/>
      <c r="Q332" s="13"/>
      <c r="R332" s="13"/>
      <c r="S332" s="13"/>
      <c r="T332" s="13"/>
      <c r="U332" s="13"/>
      <c r="V332" s="13"/>
      <c r="W332" s="13"/>
      <c r="X332" s="13"/>
      <c r="Y332" s="13"/>
      <c r="Z332" s="13"/>
      <c r="AA332" s="13"/>
      <c r="AB332" s="13"/>
      <c r="AC332" s="13"/>
      <c r="AD332" s="13"/>
      <c r="AE332" s="13"/>
      <c r="AF332" s="242"/>
      <c r="AG332" s="242"/>
      <c r="AH332" s="242"/>
      <c r="AI332" s="242"/>
      <c r="AJ332" s="242"/>
      <c r="AK332" s="242"/>
      <c r="AL332" s="242"/>
      <c r="AM332" s="242"/>
      <c r="AN332" s="242"/>
      <c r="AO332" s="242"/>
      <c r="AP332" s="242"/>
    </row>
    <row r="333">
      <c r="A333" s="242"/>
      <c r="B333" s="242"/>
      <c r="C333" s="242"/>
      <c r="D333" s="242"/>
      <c r="E333" s="242"/>
      <c r="F333" s="242"/>
      <c r="G333" s="242"/>
      <c r="H333" s="242"/>
      <c r="I333" s="242"/>
      <c r="J333" s="242"/>
      <c r="K333" s="242"/>
      <c r="L333" s="242"/>
      <c r="M333" s="242"/>
      <c r="N333" s="242"/>
      <c r="O333" s="242"/>
      <c r="P333" s="13"/>
      <c r="Q333" s="13"/>
      <c r="R333" s="13"/>
      <c r="S333" s="13"/>
      <c r="T333" s="13"/>
      <c r="U333" s="13"/>
      <c r="V333" s="13"/>
      <c r="W333" s="13"/>
      <c r="X333" s="13"/>
      <c r="Y333" s="13"/>
      <c r="Z333" s="13"/>
      <c r="AA333" s="13"/>
      <c r="AB333" s="13"/>
      <c r="AC333" s="13"/>
      <c r="AD333" s="13"/>
      <c r="AE333" s="13"/>
      <c r="AF333" s="242"/>
      <c r="AG333" s="242"/>
      <c r="AH333" s="242"/>
      <c r="AI333" s="242"/>
      <c r="AJ333" s="242"/>
      <c r="AK333" s="242"/>
      <c r="AL333" s="242"/>
      <c r="AM333" s="242"/>
      <c r="AN333" s="242"/>
      <c r="AO333" s="242"/>
      <c r="AP333" s="242"/>
    </row>
    <row r="334">
      <c r="A334" s="242"/>
      <c r="B334" s="242"/>
      <c r="C334" s="242"/>
      <c r="D334" s="242"/>
      <c r="E334" s="242"/>
      <c r="F334" s="242"/>
      <c r="G334" s="242"/>
      <c r="H334" s="242"/>
      <c r="I334" s="242"/>
      <c r="J334" s="242"/>
      <c r="K334" s="242"/>
      <c r="L334" s="242"/>
      <c r="M334" s="242"/>
      <c r="N334" s="242"/>
      <c r="O334" s="242"/>
      <c r="P334" s="13"/>
      <c r="Q334" s="13"/>
      <c r="R334" s="13"/>
      <c r="S334" s="13"/>
      <c r="T334" s="13"/>
      <c r="U334" s="13"/>
      <c r="V334" s="13"/>
      <c r="W334" s="13"/>
      <c r="X334" s="13"/>
      <c r="Y334" s="13"/>
      <c r="Z334" s="13"/>
      <c r="AA334" s="13"/>
      <c r="AB334" s="13"/>
      <c r="AC334" s="13"/>
      <c r="AD334" s="13"/>
      <c r="AE334" s="13"/>
      <c r="AF334" s="242"/>
      <c r="AG334" s="242"/>
      <c r="AH334" s="242"/>
      <c r="AI334" s="242"/>
      <c r="AJ334" s="242"/>
      <c r="AK334" s="242"/>
      <c r="AL334" s="242"/>
      <c r="AM334" s="242"/>
      <c r="AN334" s="242"/>
      <c r="AO334" s="242"/>
      <c r="AP334" s="242"/>
    </row>
    <row r="335">
      <c r="A335" s="242"/>
      <c r="B335" s="242"/>
      <c r="C335" s="242"/>
      <c r="D335" s="242"/>
      <c r="E335" s="242"/>
      <c r="F335" s="242"/>
      <c r="G335" s="242"/>
      <c r="H335" s="242"/>
      <c r="I335" s="242"/>
      <c r="J335" s="242"/>
      <c r="K335" s="242"/>
      <c r="L335" s="242"/>
      <c r="M335" s="242"/>
      <c r="N335" s="242"/>
      <c r="O335" s="242"/>
      <c r="P335" s="13"/>
      <c r="Q335" s="13"/>
      <c r="R335" s="13"/>
      <c r="S335" s="13"/>
      <c r="T335" s="13"/>
      <c r="U335" s="13"/>
      <c r="V335" s="13"/>
      <c r="W335" s="13"/>
      <c r="X335" s="13"/>
      <c r="Y335" s="13"/>
      <c r="Z335" s="13"/>
      <c r="AA335" s="13"/>
      <c r="AB335" s="13"/>
      <c r="AC335" s="13"/>
      <c r="AD335" s="13"/>
      <c r="AE335" s="13"/>
      <c r="AF335" s="242"/>
      <c r="AG335" s="242"/>
      <c r="AH335" s="242"/>
      <c r="AI335" s="242"/>
      <c r="AJ335" s="242"/>
      <c r="AK335" s="242"/>
      <c r="AL335" s="242"/>
      <c r="AM335" s="242"/>
      <c r="AN335" s="242"/>
      <c r="AO335" s="242"/>
      <c r="AP335" s="242"/>
    </row>
    <row r="336">
      <c r="A336" s="242"/>
      <c r="B336" s="242"/>
      <c r="C336" s="242"/>
      <c r="D336" s="242"/>
      <c r="E336" s="242"/>
      <c r="F336" s="242"/>
      <c r="G336" s="242"/>
      <c r="H336" s="242"/>
      <c r="I336" s="242"/>
      <c r="J336" s="242"/>
      <c r="K336" s="242"/>
      <c r="L336" s="242"/>
      <c r="M336" s="242"/>
      <c r="N336" s="242"/>
      <c r="O336" s="242"/>
      <c r="P336" s="13"/>
      <c r="Q336" s="13"/>
      <c r="R336" s="13"/>
      <c r="S336" s="13"/>
      <c r="T336" s="13"/>
      <c r="U336" s="13"/>
      <c r="V336" s="13"/>
      <c r="W336" s="13"/>
      <c r="X336" s="13"/>
      <c r="Y336" s="13"/>
      <c r="Z336" s="13"/>
      <c r="AA336" s="13"/>
      <c r="AB336" s="13"/>
      <c r="AC336" s="13"/>
      <c r="AD336" s="13"/>
      <c r="AE336" s="13"/>
      <c r="AF336" s="242"/>
      <c r="AG336" s="242"/>
      <c r="AH336" s="242"/>
      <c r="AI336" s="242"/>
      <c r="AJ336" s="242"/>
      <c r="AK336" s="242"/>
      <c r="AL336" s="242"/>
      <c r="AM336" s="242"/>
      <c r="AN336" s="242"/>
      <c r="AO336" s="242"/>
      <c r="AP336" s="242"/>
    </row>
    <row r="337">
      <c r="A337" s="242"/>
      <c r="B337" s="242"/>
      <c r="C337" s="242"/>
      <c r="D337" s="242"/>
      <c r="E337" s="242"/>
      <c r="F337" s="242"/>
      <c r="G337" s="242"/>
      <c r="H337" s="242"/>
      <c r="I337" s="242"/>
      <c r="J337" s="242"/>
      <c r="K337" s="242"/>
      <c r="L337" s="242"/>
      <c r="M337" s="242"/>
      <c r="N337" s="242"/>
      <c r="O337" s="242"/>
      <c r="P337" s="13"/>
      <c r="Q337" s="13"/>
      <c r="R337" s="13"/>
      <c r="S337" s="13"/>
      <c r="T337" s="13"/>
      <c r="U337" s="13"/>
      <c r="V337" s="13"/>
      <c r="W337" s="13"/>
      <c r="X337" s="13"/>
      <c r="Y337" s="13"/>
      <c r="Z337" s="13"/>
      <c r="AA337" s="13"/>
      <c r="AB337" s="13"/>
      <c r="AC337" s="13"/>
      <c r="AD337" s="13"/>
      <c r="AE337" s="13"/>
      <c r="AF337" s="242"/>
      <c r="AG337" s="242"/>
      <c r="AH337" s="242"/>
      <c r="AI337" s="242"/>
      <c r="AJ337" s="242"/>
      <c r="AK337" s="242"/>
      <c r="AL337" s="242"/>
      <c r="AM337" s="242"/>
      <c r="AN337" s="242"/>
      <c r="AO337" s="242"/>
      <c r="AP337" s="242"/>
    </row>
    <row r="338">
      <c r="A338" s="242"/>
      <c r="B338" s="242"/>
      <c r="C338" s="242"/>
      <c r="D338" s="242"/>
      <c r="E338" s="242"/>
      <c r="F338" s="242"/>
      <c r="G338" s="242"/>
      <c r="H338" s="242"/>
      <c r="I338" s="242"/>
      <c r="J338" s="242"/>
      <c r="K338" s="242"/>
      <c r="L338" s="242"/>
      <c r="M338" s="242"/>
      <c r="N338" s="242"/>
      <c r="O338" s="242"/>
      <c r="P338" s="13"/>
      <c r="Q338" s="13"/>
      <c r="R338" s="13"/>
      <c r="S338" s="13"/>
      <c r="T338" s="13"/>
      <c r="U338" s="13"/>
      <c r="V338" s="13"/>
      <c r="W338" s="13"/>
      <c r="X338" s="13"/>
      <c r="Y338" s="13"/>
      <c r="Z338" s="13"/>
      <c r="AA338" s="13"/>
      <c r="AB338" s="13"/>
      <c r="AC338" s="13"/>
      <c r="AD338" s="13"/>
      <c r="AE338" s="13"/>
      <c r="AF338" s="242"/>
      <c r="AG338" s="242"/>
      <c r="AH338" s="242"/>
      <c r="AI338" s="242"/>
      <c r="AJ338" s="242"/>
      <c r="AK338" s="242"/>
      <c r="AL338" s="242"/>
      <c r="AM338" s="242"/>
      <c r="AN338" s="242"/>
      <c r="AO338" s="242"/>
      <c r="AP338" s="242"/>
    </row>
    <row r="339">
      <c r="A339" s="242"/>
      <c r="B339" s="242"/>
      <c r="C339" s="242"/>
      <c r="D339" s="242"/>
      <c r="E339" s="242"/>
      <c r="F339" s="242"/>
      <c r="G339" s="242"/>
      <c r="H339" s="242"/>
      <c r="I339" s="242"/>
      <c r="J339" s="242"/>
      <c r="K339" s="242"/>
      <c r="L339" s="242"/>
      <c r="M339" s="242"/>
      <c r="N339" s="242"/>
      <c r="O339" s="242"/>
      <c r="P339" s="13"/>
      <c r="Q339" s="13"/>
      <c r="R339" s="13"/>
      <c r="S339" s="13"/>
      <c r="T339" s="13"/>
      <c r="U339" s="13"/>
      <c r="V339" s="13"/>
      <c r="W339" s="13"/>
      <c r="X339" s="13"/>
      <c r="Y339" s="13"/>
      <c r="Z339" s="13"/>
      <c r="AA339" s="13"/>
      <c r="AB339" s="13"/>
      <c r="AC339" s="13"/>
      <c r="AD339" s="13"/>
      <c r="AE339" s="13"/>
      <c r="AF339" s="242"/>
      <c r="AG339" s="242"/>
      <c r="AH339" s="242"/>
      <c r="AI339" s="242"/>
      <c r="AJ339" s="242"/>
      <c r="AK339" s="242"/>
      <c r="AL339" s="242"/>
      <c r="AM339" s="242"/>
      <c r="AN339" s="242"/>
      <c r="AO339" s="242"/>
      <c r="AP339" s="242"/>
    </row>
    <row r="340">
      <c r="A340" s="242"/>
      <c r="B340" s="242"/>
      <c r="C340" s="242"/>
      <c r="D340" s="242"/>
      <c r="E340" s="242"/>
      <c r="F340" s="242"/>
      <c r="G340" s="242"/>
      <c r="H340" s="242"/>
      <c r="I340" s="242"/>
      <c r="J340" s="242"/>
      <c r="K340" s="242"/>
      <c r="L340" s="242"/>
      <c r="M340" s="242"/>
      <c r="N340" s="242"/>
      <c r="O340" s="242"/>
      <c r="P340" s="13"/>
      <c r="Q340" s="13"/>
      <c r="R340" s="13"/>
      <c r="S340" s="13"/>
      <c r="T340" s="13"/>
      <c r="U340" s="13"/>
      <c r="V340" s="13"/>
      <c r="W340" s="13"/>
      <c r="X340" s="13"/>
      <c r="Y340" s="13"/>
      <c r="Z340" s="13"/>
      <c r="AA340" s="13"/>
      <c r="AB340" s="13"/>
      <c r="AC340" s="13"/>
      <c r="AD340" s="13"/>
      <c r="AE340" s="13"/>
      <c r="AF340" s="242"/>
      <c r="AG340" s="242"/>
      <c r="AH340" s="242"/>
      <c r="AI340" s="242"/>
      <c r="AJ340" s="242"/>
      <c r="AK340" s="242"/>
      <c r="AL340" s="242"/>
      <c r="AM340" s="242"/>
      <c r="AN340" s="242"/>
      <c r="AO340" s="242"/>
      <c r="AP340" s="242"/>
    </row>
    <row r="341">
      <c r="A341" s="242"/>
      <c r="B341" s="242"/>
      <c r="C341" s="242"/>
      <c r="D341" s="242"/>
      <c r="E341" s="242"/>
      <c r="F341" s="242"/>
      <c r="G341" s="242"/>
      <c r="H341" s="242"/>
      <c r="I341" s="242"/>
      <c r="J341" s="242"/>
      <c r="K341" s="242"/>
      <c r="L341" s="242"/>
      <c r="M341" s="242"/>
      <c r="N341" s="242"/>
      <c r="O341" s="242"/>
      <c r="P341" s="13"/>
      <c r="Q341" s="13"/>
      <c r="R341" s="13"/>
      <c r="S341" s="13"/>
      <c r="T341" s="13"/>
      <c r="U341" s="13"/>
      <c r="V341" s="13"/>
      <c r="W341" s="13"/>
      <c r="X341" s="13"/>
      <c r="Y341" s="13"/>
      <c r="Z341" s="13"/>
      <c r="AA341" s="13"/>
      <c r="AB341" s="13"/>
      <c r="AC341" s="13"/>
      <c r="AD341" s="13"/>
      <c r="AE341" s="13"/>
      <c r="AF341" s="242"/>
      <c r="AG341" s="242"/>
      <c r="AH341" s="242"/>
      <c r="AI341" s="242"/>
      <c r="AJ341" s="242"/>
      <c r="AK341" s="242"/>
      <c r="AL341" s="242"/>
      <c r="AM341" s="242"/>
      <c r="AN341" s="242"/>
      <c r="AO341" s="242"/>
      <c r="AP341" s="242"/>
    </row>
    <row r="342">
      <c r="A342" s="242"/>
      <c r="B342" s="242"/>
      <c r="C342" s="242"/>
      <c r="D342" s="242"/>
      <c r="E342" s="242"/>
      <c r="F342" s="242"/>
      <c r="G342" s="242"/>
      <c r="H342" s="242"/>
      <c r="I342" s="242"/>
      <c r="J342" s="242"/>
      <c r="K342" s="242"/>
      <c r="L342" s="242"/>
      <c r="M342" s="242"/>
      <c r="N342" s="242"/>
      <c r="O342" s="242"/>
      <c r="P342" s="13"/>
      <c r="Q342" s="13"/>
      <c r="R342" s="13"/>
      <c r="S342" s="13"/>
      <c r="T342" s="13"/>
      <c r="U342" s="13"/>
      <c r="V342" s="13"/>
      <c r="W342" s="13"/>
      <c r="X342" s="13"/>
      <c r="Y342" s="13"/>
      <c r="Z342" s="13"/>
      <c r="AA342" s="13"/>
      <c r="AB342" s="13"/>
      <c r="AC342" s="13"/>
      <c r="AD342" s="13"/>
      <c r="AE342" s="13"/>
      <c r="AF342" s="242"/>
      <c r="AG342" s="242"/>
      <c r="AH342" s="242"/>
      <c r="AI342" s="242"/>
      <c r="AJ342" s="242"/>
      <c r="AK342" s="242"/>
      <c r="AL342" s="242"/>
      <c r="AM342" s="242"/>
      <c r="AN342" s="242"/>
      <c r="AO342" s="242"/>
      <c r="AP342" s="242"/>
    </row>
    <row r="343">
      <c r="A343" s="242"/>
      <c r="B343" s="242"/>
      <c r="C343" s="242"/>
      <c r="D343" s="242"/>
      <c r="E343" s="242"/>
      <c r="F343" s="242"/>
      <c r="G343" s="242"/>
      <c r="H343" s="242"/>
      <c r="I343" s="242"/>
      <c r="J343" s="242"/>
      <c r="K343" s="242"/>
      <c r="L343" s="242"/>
      <c r="M343" s="242"/>
      <c r="N343" s="242"/>
      <c r="O343" s="242"/>
      <c r="P343" s="13"/>
      <c r="Q343" s="13"/>
      <c r="R343" s="13"/>
      <c r="S343" s="13"/>
      <c r="T343" s="13"/>
      <c r="U343" s="13"/>
      <c r="V343" s="13"/>
      <c r="W343" s="13"/>
      <c r="X343" s="13"/>
      <c r="Y343" s="13"/>
      <c r="Z343" s="13"/>
      <c r="AA343" s="13"/>
      <c r="AB343" s="13"/>
      <c r="AC343" s="13"/>
      <c r="AD343" s="13"/>
      <c r="AE343" s="13"/>
      <c r="AF343" s="242"/>
      <c r="AG343" s="242"/>
      <c r="AH343" s="242"/>
      <c r="AI343" s="242"/>
      <c r="AJ343" s="242"/>
      <c r="AK343" s="242"/>
      <c r="AL343" s="242"/>
      <c r="AM343" s="242"/>
      <c r="AN343" s="242"/>
      <c r="AO343" s="242"/>
      <c r="AP343" s="242"/>
    </row>
    <row r="344">
      <c r="A344" s="242"/>
      <c r="B344" s="242"/>
      <c r="C344" s="242"/>
      <c r="D344" s="242"/>
      <c r="E344" s="242"/>
      <c r="F344" s="242"/>
      <c r="G344" s="242"/>
      <c r="H344" s="242"/>
      <c r="I344" s="242"/>
      <c r="J344" s="242"/>
      <c r="K344" s="242"/>
      <c r="L344" s="242"/>
      <c r="M344" s="242"/>
      <c r="N344" s="242"/>
      <c r="O344" s="242"/>
      <c r="P344" s="13"/>
      <c r="Q344" s="13"/>
      <c r="R344" s="13"/>
      <c r="S344" s="13"/>
      <c r="T344" s="13"/>
      <c r="U344" s="13"/>
      <c r="V344" s="13"/>
      <c r="W344" s="13"/>
      <c r="X344" s="13"/>
      <c r="Y344" s="13"/>
      <c r="Z344" s="13"/>
      <c r="AA344" s="13"/>
      <c r="AB344" s="13"/>
      <c r="AC344" s="13"/>
      <c r="AD344" s="13"/>
      <c r="AE344" s="13"/>
      <c r="AF344" s="242"/>
      <c r="AG344" s="242"/>
      <c r="AH344" s="242"/>
      <c r="AI344" s="242"/>
      <c r="AJ344" s="242"/>
      <c r="AK344" s="242"/>
      <c r="AL344" s="242"/>
      <c r="AM344" s="242"/>
      <c r="AN344" s="242"/>
      <c r="AO344" s="242"/>
      <c r="AP344" s="242"/>
    </row>
    <row r="345">
      <c r="A345" s="242"/>
      <c r="B345" s="242"/>
      <c r="C345" s="242"/>
      <c r="D345" s="242"/>
      <c r="E345" s="242"/>
      <c r="F345" s="242"/>
      <c r="G345" s="242"/>
      <c r="H345" s="242"/>
      <c r="I345" s="242"/>
      <c r="J345" s="242"/>
      <c r="K345" s="242"/>
      <c r="L345" s="242"/>
      <c r="M345" s="242"/>
      <c r="N345" s="242"/>
      <c r="O345" s="242"/>
      <c r="P345" s="13"/>
      <c r="Q345" s="13"/>
      <c r="R345" s="13"/>
      <c r="S345" s="13"/>
      <c r="T345" s="13"/>
      <c r="U345" s="13"/>
      <c r="V345" s="13"/>
      <c r="W345" s="13"/>
      <c r="X345" s="13"/>
      <c r="Y345" s="13"/>
      <c r="Z345" s="13"/>
      <c r="AA345" s="13"/>
      <c r="AB345" s="13"/>
      <c r="AC345" s="13"/>
      <c r="AD345" s="13"/>
      <c r="AE345" s="13"/>
      <c r="AF345" s="242"/>
      <c r="AG345" s="242"/>
      <c r="AH345" s="242"/>
      <c r="AI345" s="242"/>
      <c r="AJ345" s="242"/>
      <c r="AK345" s="242"/>
      <c r="AL345" s="242"/>
      <c r="AM345" s="242"/>
      <c r="AN345" s="242"/>
      <c r="AO345" s="242"/>
      <c r="AP345" s="242"/>
    </row>
    <row r="346">
      <c r="A346" s="242"/>
      <c r="B346" s="242"/>
      <c r="C346" s="242"/>
      <c r="D346" s="242"/>
      <c r="E346" s="242"/>
      <c r="F346" s="242"/>
      <c r="G346" s="242"/>
      <c r="H346" s="242"/>
      <c r="I346" s="242"/>
      <c r="J346" s="242"/>
      <c r="K346" s="242"/>
      <c r="L346" s="242"/>
      <c r="M346" s="242"/>
      <c r="N346" s="242"/>
      <c r="O346" s="242"/>
      <c r="P346" s="13"/>
      <c r="Q346" s="13"/>
      <c r="R346" s="13"/>
      <c r="S346" s="13"/>
      <c r="T346" s="13"/>
      <c r="U346" s="13"/>
      <c r="V346" s="13"/>
      <c r="W346" s="13"/>
      <c r="X346" s="13"/>
      <c r="Y346" s="13"/>
      <c r="Z346" s="13"/>
      <c r="AA346" s="13"/>
      <c r="AB346" s="13"/>
      <c r="AC346" s="13"/>
      <c r="AD346" s="13"/>
      <c r="AE346" s="13"/>
      <c r="AF346" s="242"/>
      <c r="AG346" s="242"/>
      <c r="AH346" s="242"/>
      <c r="AI346" s="242"/>
      <c r="AJ346" s="242"/>
      <c r="AK346" s="242"/>
      <c r="AL346" s="242"/>
      <c r="AM346" s="242"/>
      <c r="AN346" s="242"/>
      <c r="AO346" s="242"/>
      <c r="AP346" s="242"/>
    </row>
    <row r="347">
      <c r="A347" s="242"/>
      <c r="B347" s="242"/>
      <c r="C347" s="242"/>
      <c r="D347" s="242"/>
      <c r="E347" s="242"/>
      <c r="F347" s="242"/>
      <c r="G347" s="242"/>
      <c r="H347" s="242"/>
      <c r="I347" s="242"/>
      <c r="J347" s="242"/>
      <c r="K347" s="242"/>
      <c r="L347" s="242"/>
      <c r="M347" s="242"/>
      <c r="N347" s="242"/>
      <c r="O347" s="242"/>
      <c r="P347" s="13"/>
      <c r="Q347" s="13"/>
      <c r="R347" s="13"/>
      <c r="S347" s="13"/>
      <c r="T347" s="13"/>
      <c r="U347" s="13"/>
      <c r="V347" s="13"/>
      <c r="W347" s="13"/>
      <c r="X347" s="13"/>
      <c r="Y347" s="13"/>
      <c r="Z347" s="13"/>
      <c r="AA347" s="13"/>
      <c r="AB347" s="13"/>
      <c r="AC347" s="13"/>
      <c r="AD347" s="13"/>
      <c r="AE347" s="13"/>
      <c r="AF347" s="242"/>
      <c r="AG347" s="242"/>
      <c r="AH347" s="242"/>
      <c r="AI347" s="242"/>
      <c r="AJ347" s="242"/>
      <c r="AK347" s="242"/>
      <c r="AL347" s="242"/>
      <c r="AM347" s="242"/>
      <c r="AN347" s="242"/>
      <c r="AO347" s="242"/>
      <c r="AP347" s="242"/>
    </row>
    <row r="348">
      <c r="A348" s="242"/>
      <c r="B348" s="242"/>
      <c r="C348" s="242"/>
      <c r="D348" s="242"/>
      <c r="E348" s="242"/>
      <c r="F348" s="242"/>
      <c r="G348" s="242"/>
      <c r="H348" s="242"/>
      <c r="I348" s="242"/>
      <c r="J348" s="242"/>
      <c r="K348" s="242"/>
      <c r="L348" s="242"/>
      <c r="M348" s="242"/>
      <c r="N348" s="242"/>
      <c r="O348" s="242"/>
      <c r="P348" s="13"/>
      <c r="Q348" s="13"/>
      <c r="R348" s="13"/>
      <c r="S348" s="13"/>
      <c r="T348" s="13"/>
      <c r="U348" s="13"/>
      <c r="V348" s="13"/>
      <c r="W348" s="13"/>
      <c r="X348" s="13"/>
      <c r="Y348" s="13"/>
      <c r="Z348" s="13"/>
      <c r="AA348" s="13"/>
      <c r="AB348" s="13"/>
      <c r="AC348" s="13"/>
      <c r="AD348" s="13"/>
      <c r="AE348" s="13"/>
      <c r="AF348" s="242"/>
      <c r="AG348" s="242"/>
      <c r="AH348" s="242"/>
      <c r="AI348" s="242"/>
      <c r="AJ348" s="242"/>
      <c r="AK348" s="242"/>
      <c r="AL348" s="242"/>
      <c r="AM348" s="242"/>
      <c r="AN348" s="242"/>
      <c r="AO348" s="242"/>
      <c r="AP348" s="242"/>
    </row>
    <row r="349">
      <c r="A349" s="242"/>
      <c r="B349" s="242"/>
      <c r="C349" s="242"/>
      <c r="D349" s="242"/>
      <c r="E349" s="242"/>
      <c r="F349" s="242"/>
      <c r="G349" s="242"/>
      <c r="H349" s="242"/>
      <c r="I349" s="242"/>
      <c r="J349" s="242"/>
      <c r="K349" s="242"/>
      <c r="L349" s="242"/>
      <c r="M349" s="242"/>
      <c r="N349" s="242"/>
      <c r="O349" s="242"/>
      <c r="P349" s="13"/>
      <c r="Q349" s="13"/>
      <c r="R349" s="13"/>
      <c r="S349" s="13"/>
      <c r="T349" s="13"/>
      <c r="U349" s="13"/>
      <c r="V349" s="13"/>
      <c r="W349" s="13"/>
      <c r="X349" s="13"/>
      <c r="Y349" s="13"/>
      <c r="Z349" s="13"/>
      <c r="AA349" s="13"/>
      <c r="AB349" s="13"/>
      <c r="AC349" s="13"/>
      <c r="AD349" s="13"/>
      <c r="AE349" s="13"/>
      <c r="AF349" s="242"/>
      <c r="AG349" s="242"/>
      <c r="AH349" s="242"/>
      <c r="AI349" s="242"/>
      <c r="AJ349" s="242"/>
      <c r="AK349" s="242"/>
      <c r="AL349" s="242"/>
      <c r="AM349" s="242"/>
      <c r="AN349" s="242"/>
      <c r="AO349" s="242"/>
      <c r="AP349" s="242"/>
    </row>
    <row r="350">
      <c r="A350" s="242"/>
      <c r="B350" s="242"/>
      <c r="C350" s="242"/>
      <c r="D350" s="242"/>
      <c r="E350" s="242"/>
      <c r="F350" s="242"/>
      <c r="G350" s="242"/>
      <c r="H350" s="242"/>
      <c r="I350" s="242"/>
      <c r="J350" s="242"/>
      <c r="K350" s="242"/>
      <c r="L350" s="242"/>
      <c r="M350" s="242"/>
      <c r="N350" s="242"/>
      <c r="O350" s="242"/>
      <c r="P350" s="13"/>
      <c r="Q350" s="13"/>
      <c r="R350" s="13"/>
      <c r="S350" s="13"/>
      <c r="T350" s="13"/>
      <c r="U350" s="13"/>
      <c r="V350" s="13"/>
      <c r="W350" s="13"/>
      <c r="X350" s="13"/>
      <c r="Y350" s="13"/>
      <c r="Z350" s="13"/>
      <c r="AA350" s="13"/>
      <c r="AB350" s="13"/>
      <c r="AC350" s="13"/>
      <c r="AD350" s="13"/>
      <c r="AE350" s="13"/>
      <c r="AF350" s="242"/>
      <c r="AG350" s="242"/>
      <c r="AH350" s="242"/>
      <c r="AI350" s="242"/>
      <c r="AJ350" s="242"/>
      <c r="AK350" s="242"/>
      <c r="AL350" s="242"/>
      <c r="AM350" s="242"/>
      <c r="AN350" s="242"/>
      <c r="AO350" s="242"/>
      <c r="AP350" s="242"/>
    </row>
    <row r="351">
      <c r="A351" s="242"/>
      <c r="B351" s="242"/>
      <c r="C351" s="242"/>
      <c r="D351" s="242"/>
      <c r="E351" s="242"/>
      <c r="F351" s="242"/>
      <c r="G351" s="242"/>
      <c r="H351" s="242"/>
      <c r="I351" s="242"/>
      <c r="J351" s="242"/>
      <c r="K351" s="242"/>
      <c r="L351" s="242"/>
      <c r="M351" s="242"/>
      <c r="N351" s="242"/>
      <c r="O351" s="242"/>
      <c r="P351" s="13"/>
      <c r="Q351" s="13"/>
      <c r="R351" s="13"/>
      <c r="S351" s="13"/>
      <c r="T351" s="13"/>
      <c r="U351" s="13"/>
      <c r="V351" s="13"/>
      <c r="W351" s="13"/>
      <c r="X351" s="13"/>
      <c r="Y351" s="13"/>
      <c r="Z351" s="13"/>
      <c r="AA351" s="13"/>
      <c r="AB351" s="13"/>
      <c r="AC351" s="13"/>
      <c r="AD351" s="13"/>
      <c r="AE351" s="13"/>
      <c r="AF351" s="242"/>
      <c r="AG351" s="242"/>
      <c r="AH351" s="242"/>
      <c r="AI351" s="242"/>
      <c r="AJ351" s="242"/>
      <c r="AK351" s="242"/>
      <c r="AL351" s="242"/>
      <c r="AM351" s="242"/>
      <c r="AN351" s="242"/>
      <c r="AO351" s="242"/>
      <c r="AP351" s="242"/>
    </row>
    <row r="352">
      <c r="A352" s="242"/>
      <c r="B352" s="242"/>
      <c r="C352" s="242"/>
      <c r="D352" s="242"/>
      <c r="E352" s="242"/>
      <c r="F352" s="242"/>
      <c r="G352" s="242"/>
      <c r="H352" s="242"/>
      <c r="I352" s="242"/>
      <c r="J352" s="242"/>
      <c r="K352" s="242"/>
      <c r="L352" s="242"/>
      <c r="M352" s="242"/>
      <c r="N352" s="242"/>
      <c r="O352" s="242"/>
      <c r="P352" s="13"/>
      <c r="Q352" s="13"/>
      <c r="R352" s="13"/>
      <c r="S352" s="13"/>
      <c r="T352" s="13"/>
      <c r="U352" s="13"/>
      <c r="V352" s="13"/>
      <c r="W352" s="13"/>
      <c r="X352" s="13"/>
      <c r="Y352" s="13"/>
      <c r="Z352" s="13"/>
      <c r="AA352" s="13"/>
      <c r="AB352" s="13"/>
      <c r="AC352" s="13"/>
      <c r="AD352" s="13"/>
      <c r="AE352" s="13"/>
      <c r="AF352" s="242"/>
      <c r="AG352" s="242"/>
      <c r="AH352" s="242"/>
      <c r="AI352" s="242"/>
      <c r="AJ352" s="242"/>
      <c r="AK352" s="242"/>
      <c r="AL352" s="242"/>
      <c r="AM352" s="242"/>
      <c r="AN352" s="242"/>
      <c r="AO352" s="242"/>
      <c r="AP352" s="242"/>
    </row>
    <row r="353">
      <c r="A353" s="242"/>
      <c r="B353" s="242"/>
      <c r="C353" s="242"/>
      <c r="D353" s="242"/>
      <c r="E353" s="242"/>
      <c r="F353" s="242"/>
      <c r="G353" s="242"/>
      <c r="H353" s="242"/>
      <c r="I353" s="242"/>
      <c r="J353" s="242"/>
      <c r="K353" s="242"/>
      <c r="L353" s="242"/>
      <c r="M353" s="242"/>
      <c r="N353" s="242"/>
      <c r="O353" s="242"/>
      <c r="P353" s="13"/>
      <c r="Q353" s="13"/>
      <c r="R353" s="13"/>
      <c r="S353" s="13"/>
      <c r="T353" s="13"/>
      <c r="U353" s="13"/>
      <c r="V353" s="13"/>
      <c r="W353" s="13"/>
      <c r="X353" s="13"/>
      <c r="Y353" s="13"/>
      <c r="Z353" s="13"/>
      <c r="AA353" s="13"/>
      <c r="AB353" s="13"/>
      <c r="AC353" s="13"/>
      <c r="AD353" s="13"/>
      <c r="AE353" s="13"/>
      <c r="AF353" s="242"/>
      <c r="AG353" s="242"/>
      <c r="AH353" s="242"/>
      <c r="AI353" s="242"/>
      <c r="AJ353" s="242"/>
      <c r="AK353" s="242"/>
      <c r="AL353" s="242"/>
      <c r="AM353" s="242"/>
      <c r="AN353" s="242"/>
      <c r="AO353" s="242"/>
      <c r="AP353" s="242"/>
    </row>
    <row r="354">
      <c r="A354" s="242"/>
      <c r="B354" s="242"/>
      <c r="C354" s="242"/>
      <c r="D354" s="242"/>
      <c r="E354" s="242"/>
      <c r="F354" s="242"/>
      <c r="G354" s="242"/>
      <c r="H354" s="242"/>
      <c r="I354" s="242"/>
      <c r="J354" s="242"/>
      <c r="K354" s="242"/>
      <c r="L354" s="242"/>
      <c r="M354" s="242"/>
      <c r="N354" s="242"/>
      <c r="O354" s="242"/>
      <c r="P354" s="13"/>
      <c r="Q354" s="13"/>
      <c r="R354" s="13"/>
      <c r="S354" s="13"/>
      <c r="T354" s="13"/>
      <c r="U354" s="13"/>
      <c r="V354" s="13"/>
      <c r="W354" s="13"/>
      <c r="X354" s="13"/>
      <c r="Y354" s="13"/>
      <c r="Z354" s="13"/>
      <c r="AA354" s="13"/>
      <c r="AB354" s="13"/>
      <c r="AC354" s="13"/>
      <c r="AD354" s="13"/>
      <c r="AE354" s="13"/>
      <c r="AF354" s="242"/>
      <c r="AG354" s="242"/>
      <c r="AH354" s="242"/>
      <c r="AI354" s="242"/>
      <c r="AJ354" s="242"/>
      <c r="AK354" s="242"/>
      <c r="AL354" s="242"/>
      <c r="AM354" s="242"/>
      <c r="AN354" s="242"/>
      <c r="AO354" s="242"/>
      <c r="AP354" s="242"/>
    </row>
    <row r="355">
      <c r="A355" s="242"/>
      <c r="B355" s="242"/>
      <c r="C355" s="242"/>
      <c r="D355" s="242"/>
      <c r="E355" s="242"/>
      <c r="F355" s="242"/>
      <c r="G355" s="242"/>
      <c r="H355" s="242"/>
      <c r="I355" s="242"/>
      <c r="J355" s="242"/>
      <c r="K355" s="242"/>
      <c r="L355" s="242"/>
      <c r="M355" s="242"/>
      <c r="N355" s="242"/>
      <c r="O355" s="242"/>
      <c r="P355" s="13"/>
      <c r="Q355" s="13"/>
      <c r="R355" s="13"/>
      <c r="S355" s="13"/>
      <c r="T355" s="13"/>
      <c r="U355" s="13"/>
      <c r="V355" s="13"/>
      <c r="W355" s="13"/>
      <c r="X355" s="13"/>
      <c r="Y355" s="13"/>
      <c r="Z355" s="13"/>
      <c r="AA355" s="13"/>
      <c r="AB355" s="13"/>
      <c r="AC355" s="13"/>
      <c r="AD355" s="13"/>
      <c r="AE355" s="13"/>
      <c r="AF355" s="242"/>
      <c r="AG355" s="242"/>
      <c r="AH355" s="242"/>
      <c r="AI355" s="242"/>
      <c r="AJ355" s="242"/>
      <c r="AK355" s="242"/>
      <c r="AL355" s="242"/>
      <c r="AM355" s="242"/>
      <c r="AN355" s="242"/>
      <c r="AO355" s="242"/>
      <c r="AP355" s="242"/>
    </row>
    <row r="356">
      <c r="A356" s="242"/>
      <c r="B356" s="242"/>
      <c r="C356" s="242"/>
      <c r="D356" s="242"/>
      <c r="E356" s="242"/>
      <c r="F356" s="242"/>
      <c r="G356" s="242"/>
      <c r="H356" s="242"/>
      <c r="I356" s="242"/>
      <c r="J356" s="242"/>
      <c r="K356" s="242"/>
      <c r="L356" s="242"/>
      <c r="M356" s="242"/>
      <c r="N356" s="242"/>
      <c r="O356" s="242"/>
      <c r="P356" s="13"/>
      <c r="Q356" s="13"/>
      <c r="R356" s="13"/>
      <c r="S356" s="13"/>
      <c r="T356" s="13"/>
      <c r="U356" s="13"/>
      <c r="V356" s="13"/>
      <c r="W356" s="13"/>
      <c r="X356" s="13"/>
      <c r="Y356" s="13"/>
      <c r="Z356" s="13"/>
      <c r="AA356" s="13"/>
      <c r="AB356" s="13"/>
      <c r="AC356" s="13"/>
      <c r="AD356" s="13"/>
      <c r="AE356" s="13"/>
      <c r="AF356" s="242"/>
      <c r="AG356" s="242"/>
      <c r="AH356" s="242"/>
      <c r="AI356" s="242"/>
      <c r="AJ356" s="242"/>
      <c r="AK356" s="242"/>
      <c r="AL356" s="242"/>
      <c r="AM356" s="242"/>
      <c r="AN356" s="242"/>
      <c r="AO356" s="242"/>
      <c r="AP356" s="242"/>
    </row>
    <row r="357">
      <c r="A357" s="242"/>
      <c r="B357" s="242"/>
      <c r="C357" s="242"/>
      <c r="D357" s="242"/>
      <c r="E357" s="242"/>
      <c r="F357" s="242"/>
      <c r="G357" s="242"/>
      <c r="H357" s="242"/>
      <c r="I357" s="242"/>
      <c r="J357" s="242"/>
      <c r="K357" s="242"/>
      <c r="L357" s="242"/>
      <c r="M357" s="242"/>
      <c r="N357" s="242"/>
      <c r="O357" s="242"/>
      <c r="P357" s="13"/>
      <c r="Q357" s="13"/>
      <c r="R357" s="13"/>
      <c r="S357" s="13"/>
      <c r="T357" s="13"/>
      <c r="U357" s="13"/>
      <c r="V357" s="13"/>
      <c r="W357" s="13"/>
      <c r="X357" s="13"/>
      <c r="Y357" s="13"/>
      <c r="Z357" s="13"/>
      <c r="AA357" s="13"/>
      <c r="AB357" s="13"/>
      <c r="AC357" s="13"/>
      <c r="AD357" s="13"/>
      <c r="AE357" s="13"/>
      <c r="AF357" s="242"/>
      <c r="AG357" s="242"/>
      <c r="AH357" s="242"/>
      <c r="AI357" s="242"/>
      <c r="AJ357" s="242"/>
      <c r="AK357" s="242"/>
      <c r="AL357" s="242"/>
      <c r="AM357" s="242"/>
      <c r="AN357" s="242"/>
      <c r="AO357" s="242"/>
      <c r="AP357" s="242"/>
    </row>
    <row r="358">
      <c r="A358" s="242"/>
      <c r="B358" s="242"/>
      <c r="C358" s="242"/>
      <c r="D358" s="242"/>
      <c r="E358" s="242"/>
      <c r="F358" s="242"/>
      <c r="G358" s="242"/>
      <c r="H358" s="242"/>
      <c r="I358" s="242"/>
      <c r="J358" s="242"/>
      <c r="K358" s="242"/>
      <c r="L358" s="242"/>
      <c r="M358" s="242"/>
      <c r="N358" s="242"/>
      <c r="O358" s="242"/>
      <c r="P358" s="13"/>
      <c r="Q358" s="13"/>
      <c r="R358" s="13"/>
      <c r="S358" s="13"/>
      <c r="T358" s="13"/>
      <c r="U358" s="13"/>
      <c r="V358" s="13"/>
      <c r="W358" s="13"/>
      <c r="X358" s="13"/>
      <c r="Y358" s="13"/>
      <c r="Z358" s="13"/>
      <c r="AA358" s="13"/>
      <c r="AB358" s="13"/>
      <c r="AC358" s="13"/>
      <c r="AD358" s="13"/>
      <c r="AE358" s="13"/>
      <c r="AF358" s="242"/>
      <c r="AG358" s="242"/>
      <c r="AH358" s="242"/>
      <c r="AI358" s="242"/>
      <c r="AJ358" s="242"/>
      <c r="AK358" s="242"/>
      <c r="AL358" s="242"/>
      <c r="AM358" s="242"/>
      <c r="AN358" s="242"/>
      <c r="AO358" s="242"/>
      <c r="AP358" s="242"/>
    </row>
    <row r="359">
      <c r="A359" s="242"/>
      <c r="B359" s="242"/>
      <c r="C359" s="242"/>
      <c r="D359" s="242"/>
      <c r="E359" s="242"/>
      <c r="F359" s="242"/>
      <c r="G359" s="242"/>
      <c r="H359" s="242"/>
      <c r="I359" s="242"/>
      <c r="J359" s="242"/>
      <c r="K359" s="242"/>
      <c r="L359" s="242"/>
      <c r="M359" s="242"/>
      <c r="N359" s="242"/>
      <c r="O359" s="242"/>
      <c r="P359" s="13"/>
      <c r="Q359" s="13"/>
      <c r="R359" s="13"/>
      <c r="S359" s="13"/>
      <c r="T359" s="13"/>
      <c r="U359" s="13"/>
      <c r="V359" s="13"/>
      <c r="W359" s="13"/>
      <c r="X359" s="13"/>
      <c r="Y359" s="13"/>
      <c r="Z359" s="13"/>
      <c r="AA359" s="13"/>
      <c r="AB359" s="13"/>
      <c r="AC359" s="13"/>
      <c r="AD359" s="13"/>
      <c r="AE359" s="13"/>
      <c r="AF359" s="242"/>
      <c r="AG359" s="242"/>
      <c r="AH359" s="242"/>
      <c r="AI359" s="242"/>
      <c r="AJ359" s="242"/>
      <c r="AK359" s="242"/>
      <c r="AL359" s="242"/>
      <c r="AM359" s="242"/>
      <c r="AN359" s="242"/>
      <c r="AO359" s="242"/>
      <c r="AP359" s="242"/>
    </row>
    <row r="360">
      <c r="A360" s="242"/>
      <c r="B360" s="242"/>
      <c r="C360" s="242"/>
      <c r="D360" s="242"/>
      <c r="E360" s="242"/>
      <c r="F360" s="242"/>
      <c r="G360" s="242"/>
      <c r="H360" s="242"/>
      <c r="I360" s="242"/>
      <c r="J360" s="242"/>
      <c r="K360" s="242"/>
      <c r="L360" s="242"/>
      <c r="M360" s="242"/>
      <c r="N360" s="242"/>
      <c r="O360" s="242"/>
      <c r="P360" s="13"/>
      <c r="Q360" s="13"/>
      <c r="R360" s="13"/>
      <c r="S360" s="13"/>
      <c r="T360" s="13"/>
      <c r="U360" s="13"/>
      <c r="V360" s="13"/>
      <c r="W360" s="13"/>
      <c r="X360" s="13"/>
      <c r="Y360" s="13"/>
      <c r="Z360" s="13"/>
      <c r="AA360" s="13"/>
      <c r="AB360" s="13"/>
      <c r="AC360" s="13"/>
      <c r="AD360" s="13"/>
      <c r="AE360" s="13"/>
      <c r="AF360" s="242"/>
      <c r="AG360" s="242"/>
      <c r="AH360" s="242"/>
      <c r="AI360" s="242"/>
      <c r="AJ360" s="242"/>
      <c r="AK360" s="242"/>
      <c r="AL360" s="242"/>
      <c r="AM360" s="242"/>
      <c r="AN360" s="242"/>
      <c r="AO360" s="242"/>
      <c r="AP360" s="242"/>
    </row>
    <row r="361">
      <c r="A361" s="242"/>
      <c r="B361" s="242"/>
      <c r="C361" s="242"/>
      <c r="D361" s="242"/>
      <c r="E361" s="242"/>
      <c r="F361" s="242"/>
      <c r="G361" s="242"/>
      <c r="H361" s="242"/>
      <c r="I361" s="242"/>
      <c r="J361" s="242"/>
      <c r="K361" s="242"/>
      <c r="L361" s="242"/>
      <c r="M361" s="242"/>
      <c r="N361" s="242"/>
      <c r="O361" s="242"/>
      <c r="P361" s="13"/>
      <c r="Q361" s="13"/>
      <c r="R361" s="13"/>
      <c r="S361" s="13"/>
      <c r="T361" s="13"/>
      <c r="U361" s="13"/>
      <c r="V361" s="13"/>
      <c r="W361" s="13"/>
      <c r="X361" s="13"/>
      <c r="Y361" s="13"/>
      <c r="Z361" s="13"/>
      <c r="AA361" s="13"/>
      <c r="AB361" s="13"/>
      <c r="AC361" s="13"/>
      <c r="AD361" s="13"/>
      <c r="AE361" s="13"/>
      <c r="AF361" s="242"/>
      <c r="AG361" s="242"/>
      <c r="AH361" s="242"/>
      <c r="AI361" s="242"/>
      <c r="AJ361" s="242"/>
      <c r="AK361" s="242"/>
      <c r="AL361" s="242"/>
      <c r="AM361" s="242"/>
      <c r="AN361" s="242"/>
      <c r="AO361" s="242"/>
      <c r="AP361" s="242"/>
    </row>
    <row r="362">
      <c r="A362" s="242"/>
      <c r="B362" s="242"/>
      <c r="C362" s="242"/>
      <c r="D362" s="242"/>
      <c r="E362" s="242"/>
      <c r="F362" s="242"/>
      <c r="G362" s="242"/>
      <c r="H362" s="242"/>
      <c r="I362" s="242"/>
      <c r="J362" s="242"/>
      <c r="K362" s="242"/>
      <c r="L362" s="242"/>
      <c r="M362" s="242"/>
      <c r="N362" s="242"/>
      <c r="O362" s="242"/>
      <c r="P362" s="13"/>
      <c r="Q362" s="13"/>
      <c r="R362" s="13"/>
      <c r="S362" s="13"/>
      <c r="T362" s="13"/>
      <c r="U362" s="13"/>
      <c r="V362" s="13"/>
      <c r="W362" s="13"/>
      <c r="X362" s="13"/>
      <c r="Y362" s="13"/>
      <c r="Z362" s="13"/>
      <c r="AA362" s="13"/>
      <c r="AB362" s="13"/>
      <c r="AC362" s="13"/>
      <c r="AD362" s="13"/>
      <c r="AE362" s="13"/>
      <c r="AF362" s="242"/>
      <c r="AG362" s="242"/>
      <c r="AH362" s="242"/>
      <c r="AI362" s="242"/>
      <c r="AJ362" s="242"/>
      <c r="AK362" s="242"/>
      <c r="AL362" s="242"/>
      <c r="AM362" s="242"/>
      <c r="AN362" s="242"/>
      <c r="AO362" s="242"/>
      <c r="AP362" s="242"/>
    </row>
    <row r="363">
      <c r="A363" s="242"/>
      <c r="B363" s="242"/>
      <c r="C363" s="242"/>
      <c r="D363" s="242"/>
      <c r="E363" s="242"/>
      <c r="F363" s="242"/>
      <c r="G363" s="242"/>
      <c r="H363" s="242"/>
      <c r="I363" s="242"/>
      <c r="J363" s="242"/>
      <c r="K363" s="242"/>
      <c r="L363" s="242"/>
      <c r="M363" s="242"/>
      <c r="N363" s="242"/>
      <c r="O363" s="242"/>
      <c r="P363" s="13"/>
      <c r="Q363" s="13"/>
      <c r="R363" s="13"/>
      <c r="S363" s="13"/>
      <c r="T363" s="13"/>
      <c r="U363" s="13"/>
      <c r="V363" s="13"/>
      <c r="W363" s="13"/>
      <c r="X363" s="13"/>
      <c r="Y363" s="13"/>
      <c r="Z363" s="13"/>
      <c r="AA363" s="13"/>
      <c r="AB363" s="13"/>
      <c r="AC363" s="13"/>
      <c r="AD363" s="13"/>
      <c r="AE363" s="13"/>
      <c r="AF363" s="242"/>
      <c r="AG363" s="242"/>
      <c r="AH363" s="242"/>
      <c r="AI363" s="242"/>
      <c r="AJ363" s="242"/>
      <c r="AK363" s="242"/>
      <c r="AL363" s="242"/>
      <c r="AM363" s="242"/>
      <c r="AN363" s="242"/>
      <c r="AO363" s="242"/>
      <c r="AP363" s="242"/>
    </row>
    <row r="364">
      <c r="A364" s="242"/>
      <c r="B364" s="242"/>
      <c r="C364" s="242"/>
      <c r="D364" s="242"/>
      <c r="E364" s="242"/>
      <c r="F364" s="242"/>
      <c r="G364" s="242"/>
      <c r="H364" s="242"/>
      <c r="I364" s="242"/>
      <c r="J364" s="242"/>
      <c r="K364" s="242"/>
      <c r="L364" s="242"/>
      <c r="M364" s="242"/>
      <c r="N364" s="242"/>
      <c r="O364" s="242"/>
      <c r="P364" s="13"/>
      <c r="Q364" s="13"/>
      <c r="R364" s="13"/>
      <c r="S364" s="13"/>
      <c r="T364" s="13"/>
      <c r="U364" s="13"/>
      <c r="V364" s="13"/>
      <c r="W364" s="13"/>
      <c r="X364" s="13"/>
      <c r="Y364" s="13"/>
      <c r="Z364" s="13"/>
      <c r="AA364" s="13"/>
      <c r="AB364" s="13"/>
      <c r="AC364" s="13"/>
      <c r="AD364" s="13"/>
      <c r="AE364" s="13"/>
      <c r="AF364" s="242"/>
      <c r="AG364" s="242"/>
      <c r="AH364" s="242"/>
      <c r="AI364" s="242"/>
      <c r="AJ364" s="242"/>
      <c r="AK364" s="242"/>
      <c r="AL364" s="242"/>
      <c r="AM364" s="242"/>
      <c r="AN364" s="242"/>
      <c r="AO364" s="242"/>
      <c r="AP364" s="242"/>
    </row>
    <row r="365">
      <c r="A365" s="242"/>
      <c r="B365" s="242"/>
      <c r="C365" s="242"/>
      <c r="D365" s="242"/>
      <c r="E365" s="242"/>
      <c r="F365" s="242"/>
      <c r="G365" s="242"/>
      <c r="H365" s="242"/>
      <c r="I365" s="242"/>
      <c r="J365" s="242"/>
      <c r="K365" s="242"/>
      <c r="L365" s="242"/>
      <c r="M365" s="242"/>
      <c r="N365" s="242"/>
      <c r="O365" s="242"/>
      <c r="P365" s="13"/>
      <c r="Q365" s="13"/>
      <c r="R365" s="13"/>
      <c r="S365" s="13"/>
      <c r="T365" s="13"/>
      <c r="U365" s="13"/>
      <c r="V365" s="13"/>
      <c r="W365" s="13"/>
      <c r="X365" s="13"/>
      <c r="Y365" s="13"/>
      <c r="Z365" s="13"/>
      <c r="AA365" s="13"/>
      <c r="AB365" s="13"/>
      <c r="AC365" s="13"/>
      <c r="AD365" s="13"/>
      <c r="AE365" s="13"/>
      <c r="AF365" s="242"/>
      <c r="AG365" s="242"/>
      <c r="AH365" s="242"/>
      <c r="AI365" s="242"/>
      <c r="AJ365" s="242"/>
      <c r="AK365" s="242"/>
      <c r="AL365" s="242"/>
      <c r="AM365" s="242"/>
      <c r="AN365" s="242"/>
      <c r="AO365" s="242"/>
      <c r="AP365" s="242"/>
    </row>
    <row r="366">
      <c r="A366" s="242"/>
      <c r="B366" s="242"/>
      <c r="C366" s="242"/>
      <c r="D366" s="242"/>
      <c r="E366" s="242"/>
      <c r="F366" s="242"/>
      <c r="G366" s="242"/>
      <c r="H366" s="242"/>
      <c r="I366" s="242"/>
      <c r="J366" s="242"/>
      <c r="K366" s="242"/>
      <c r="L366" s="242"/>
      <c r="M366" s="242"/>
      <c r="N366" s="242"/>
      <c r="O366" s="242"/>
      <c r="P366" s="13"/>
      <c r="Q366" s="13"/>
      <c r="R366" s="13"/>
      <c r="S366" s="13"/>
      <c r="T366" s="13"/>
      <c r="U366" s="13"/>
      <c r="V366" s="13"/>
      <c r="W366" s="13"/>
      <c r="X366" s="13"/>
      <c r="Y366" s="13"/>
      <c r="Z366" s="13"/>
      <c r="AA366" s="13"/>
      <c r="AB366" s="13"/>
      <c r="AC366" s="13"/>
      <c r="AD366" s="13"/>
      <c r="AE366" s="13"/>
      <c r="AF366" s="242"/>
      <c r="AG366" s="242"/>
      <c r="AH366" s="242"/>
      <c r="AI366" s="242"/>
      <c r="AJ366" s="242"/>
      <c r="AK366" s="242"/>
      <c r="AL366" s="242"/>
      <c r="AM366" s="242"/>
      <c r="AN366" s="242"/>
      <c r="AO366" s="242"/>
      <c r="AP366" s="242"/>
    </row>
    <row r="367">
      <c r="A367" s="242"/>
      <c r="B367" s="242"/>
      <c r="C367" s="242"/>
      <c r="D367" s="242"/>
      <c r="E367" s="242"/>
      <c r="F367" s="242"/>
      <c r="G367" s="242"/>
      <c r="H367" s="242"/>
      <c r="I367" s="242"/>
      <c r="J367" s="242"/>
      <c r="K367" s="242"/>
      <c r="L367" s="242"/>
      <c r="M367" s="242"/>
      <c r="N367" s="242"/>
      <c r="O367" s="242"/>
      <c r="P367" s="13"/>
      <c r="Q367" s="13"/>
      <c r="R367" s="13"/>
      <c r="S367" s="13"/>
      <c r="T367" s="13"/>
      <c r="U367" s="13"/>
      <c r="V367" s="13"/>
      <c r="W367" s="13"/>
      <c r="X367" s="13"/>
      <c r="Y367" s="13"/>
      <c r="Z367" s="13"/>
      <c r="AA367" s="13"/>
      <c r="AB367" s="13"/>
      <c r="AC367" s="13"/>
      <c r="AD367" s="13"/>
      <c r="AE367" s="13"/>
      <c r="AF367" s="242"/>
      <c r="AG367" s="242"/>
      <c r="AH367" s="242"/>
      <c r="AI367" s="242"/>
      <c r="AJ367" s="242"/>
      <c r="AK367" s="242"/>
      <c r="AL367" s="242"/>
      <c r="AM367" s="242"/>
      <c r="AN367" s="242"/>
      <c r="AO367" s="242"/>
      <c r="AP367" s="242"/>
    </row>
    <row r="368">
      <c r="A368" s="242"/>
      <c r="B368" s="242"/>
      <c r="C368" s="242"/>
      <c r="D368" s="242"/>
      <c r="E368" s="242"/>
      <c r="F368" s="242"/>
      <c r="G368" s="242"/>
      <c r="H368" s="242"/>
      <c r="I368" s="242"/>
      <c r="J368" s="242"/>
      <c r="K368" s="242"/>
      <c r="L368" s="242"/>
      <c r="M368" s="242"/>
      <c r="N368" s="242"/>
      <c r="O368" s="242"/>
      <c r="P368" s="13"/>
      <c r="Q368" s="13"/>
      <c r="R368" s="13"/>
      <c r="S368" s="13"/>
      <c r="T368" s="13"/>
      <c r="U368" s="13"/>
      <c r="V368" s="13"/>
      <c r="W368" s="13"/>
      <c r="X368" s="13"/>
      <c r="Y368" s="13"/>
      <c r="Z368" s="13"/>
      <c r="AA368" s="13"/>
      <c r="AB368" s="13"/>
      <c r="AC368" s="13"/>
      <c r="AD368" s="13"/>
      <c r="AE368" s="13"/>
      <c r="AF368" s="242"/>
      <c r="AG368" s="242"/>
      <c r="AH368" s="242"/>
      <c r="AI368" s="242"/>
      <c r="AJ368" s="242"/>
      <c r="AK368" s="242"/>
      <c r="AL368" s="242"/>
      <c r="AM368" s="242"/>
      <c r="AN368" s="242"/>
      <c r="AO368" s="242"/>
      <c r="AP368" s="242"/>
    </row>
    <row r="369">
      <c r="A369" s="242"/>
      <c r="B369" s="242"/>
      <c r="C369" s="242"/>
      <c r="D369" s="242"/>
      <c r="E369" s="242"/>
      <c r="F369" s="242"/>
      <c r="G369" s="242"/>
      <c r="H369" s="242"/>
      <c r="I369" s="242"/>
      <c r="J369" s="242"/>
      <c r="K369" s="242"/>
      <c r="L369" s="242"/>
      <c r="M369" s="242"/>
      <c r="N369" s="242"/>
      <c r="O369" s="242"/>
      <c r="P369" s="13"/>
      <c r="Q369" s="13"/>
      <c r="R369" s="13"/>
      <c r="S369" s="13"/>
      <c r="T369" s="13"/>
      <c r="U369" s="13"/>
      <c r="V369" s="13"/>
      <c r="W369" s="13"/>
      <c r="X369" s="13"/>
      <c r="Y369" s="13"/>
      <c r="Z369" s="13"/>
      <c r="AA369" s="13"/>
      <c r="AB369" s="13"/>
      <c r="AC369" s="13"/>
      <c r="AD369" s="13"/>
      <c r="AE369" s="13"/>
      <c r="AF369" s="242"/>
      <c r="AG369" s="242"/>
      <c r="AH369" s="242"/>
      <c r="AI369" s="242"/>
      <c r="AJ369" s="242"/>
      <c r="AK369" s="242"/>
      <c r="AL369" s="242"/>
      <c r="AM369" s="242"/>
      <c r="AN369" s="242"/>
      <c r="AO369" s="242"/>
      <c r="AP369" s="242"/>
    </row>
    <row r="370">
      <c r="A370" s="242"/>
      <c r="B370" s="242"/>
      <c r="C370" s="242"/>
      <c r="D370" s="242"/>
      <c r="E370" s="242"/>
      <c r="F370" s="242"/>
      <c r="G370" s="242"/>
      <c r="H370" s="242"/>
      <c r="I370" s="242"/>
      <c r="J370" s="242"/>
      <c r="K370" s="242"/>
      <c r="L370" s="242"/>
      <c r="M370" s="242"/>
      <c r="N370" s="242"/>
      <c r="O370" s="242"/>
      <c r="P370" s="13"/>
      <c r="Q370" s="13"/>
      <c r="R370" s="13"/>
      <c r="S370" s="13"/>
      <c r="T370" s="13"/>
      <c r="U370" s="13"/>
      <c r="V370" s="13"/>
      <c r="W370" s="13"/>
      <c r="X370" s="13"/>
      <c r="Y370" s="13"/>
      <c r="Z370" s="13"/>
      <c r="AA370" s="13"/>
      <c r="AB370" s="13"/>
      <c r="AC370" s="13"/>
      <c r="AD370" s="13"/>
      <c r="AE370" s="13"/>
      <c r="AF370" s="242"/>
      <c r="AG370" s="242"/>
      <c r="AH370" s="242"/>
      <c r="AI370" s="242"/>
      <c r="AJ370" s="242"/>
      <c r="AK370" s="242"/>
      <c r="AL370" s="242"/>
      <c r="AM370" s="242"/>
      <c r="AN370" s="242"/>
      <c r="AO370" s="242"/>
      <c r="AP370" s="242"/>
    </row>
    <row r="371">
      <c r="A371" s="242"/>
      <c r="B371" s="242"/>
      <c r="C371" s="242"/>
      <c r="D371" s="242"/>
      <c r="E371" s="242"/>
      <c r="F371" s="242"/>
      <c r="G371" s="242"/>
      <c r="H371" s="242"/>
      <c r="I371" s="242"/>
      <c r="J371" s="242"/>
      <c r="K371" s="242"/>
      <c r="L371" s="242"/>
      <c r="M371" s="242"/>
      <c r="N371" s="242"/>
      <c r="O371" s="242"/>
      <c r="P371" s="13"/>
      <c r="Q371" s="13"/>
      <c r="R371" s="13"/>
      <c r="S371" s="13"/>
      <c r="T371" s="13"/>
      <c r="U371" s="13"/>
      <c r="V371" s="13"/>
      <c r="W371" s="13"/>
      <c r="X371" s="13"/>
      <c r="Y371" s="13"/>
      <c r="Z371" s="13"/>
      <c r="AA371" s="13"/>
      <c r="AB371" s="13"/>
      <c r="AC371" s="13"/>
      <c r="AD371" s="13"/>
      <c r="AE371" s="13"/>
      <c r="AF371" s="242"/>
      <c r="AG371" s="242"/>
      <c r="AH371" s="242"/>
      <c r="AI371" s="242"/>
      <c r="AJ371" s="242"/>
      <c r="AK371" s="242"/>
      <c r="AL371" s="242"/>
      <c r="AM371" s="242"/>
      <c r="AN371" s="242"/>
      <c r="AO371" s="242"/>
      <c r="AP371" s="242"/>
    </row>
    <row r="372">
      <c r="A372" s="242"/>
      <c r="B372" s="242"/>
      <c r="C372" s="242"/>
      <c r="D372" s="242"/>
      <c r="E372" s="242"/>
      <c r="F372" s="242"/>
      <c r="G372" s="242"/>
      <c r="H372" s="242"/>
      <c r="I372" s="242"/>
      <c r="J372" s="242"/>
      <c r="K372" s="242"/>
      <c r="L372" s="242"/>
      <c r="M372" s="242"/>
      <c r="N372" s="242"/>
      <c r="O372" s="242"/>
      <c r="P372" s="13"/>
      <c r="Q372" s="13"/>
      <c r="R372" s="13"/>
      <c r="S372" s="13"/>
      <c r="T372" s="13"/>
      <c r="U372" s="13"/>
      <c r="V372" s="13"/>
      <c r="W372" s="13"/>
      <c r="X372" s="13"/>
      <c r="Y372" s="13"/>
      <c r="Z372" s="13"/>
      <c r="AA372" s="13"/>
      <c r="AB372" s="13"/>
      <c r="AC372" s="13"/>
      <c r="AD372" s="13"/>
      <c r="AE372" s="13"/>
      <c r="AF372" s="242"/>
      <c r="AG372" s="242"/>
      <c r="AH372" s="242"/>
      <c r="AI372" s="242"/>
      <c r="AJ372" s="242"/>
      <c r="AK372" s="242"/>
      <c r="AL372" s="242"/>
      <c r="AM372" s="242"/>
      <c r="AN372" s="242"/>
      <c r="AO372" s="242"/>
      <c r="AP372" s="242"/>
    </row>
    <row r="373">
      <c r="A373" s="242"/>
      <c r="B373" s="242"/>
      <c r="C373" s="242"/>
      <c r="D373" s="242"/>
      <c r="E373" s="242"/>
      <c r="F373" s="242"/>
      <c r="G373" s="242"/>
      <c r="H373" s="242"/>
      <c r="I373" s="242"/>
      <c r="J373" s="242"/>
      <c r="K373" s="242"/>
      <c r="L373" s="242"/>
      <c r="M373" s="242"/>
      <c r="N373" s="242"/>
      <c r="O373" s="242"/>
      <c r="P373" s="13"/>
      <c r="Q373" s="13"/>
      <c r="R373" s="13"/>
      <c r="S373" s="13"/>
      <c r="T373" s="13"/>
      <c r="U373" s="13"/>
      <c r="V373" s="13"/>
      <c r="W373" s="13"/>
      <c r="X373" s="13"/>
      <c r="Y373" s="13"/>
      <c r="Z373" s="13"/>
      <c r="AA373" s="13"/>
      <c r="AB373" s="13"/>
      <c r="AC373" s="13"/>
      <c r="AD373" s="13"/>
      <c r="AE373" s="13"/>
      <c r="AF373" s="242"/>
      <c r="AG373" s="242"/>
      <c r="AH373" s="242"/>
      <c r="AI373" s="242"/>
      <c r="AJ373" s="242"/>
      <c r="AK373" s="242"/>
      <c r="AL373" s="242"/>
      <c r="AM373" s="242"/>
      <c r="AN373" s="242"/>
      <c r="AO373" s="242"/>
      <c r="AP373" s="242"/>
    </row>
    <row r="374">
      <c r="A374" s="242"/>
      <c r="B374" s="242"/>
      <c r="C374" s="242"/>
      <c r="D374" s="242"/>
      <c r="E374" s="242"/>
      <c r="F374" s="242"/>
      <c r="G374" s="242"/>
      <c r="H374" s="242"/>
      <c r="I374" s="242"/>
      <c r="J374" s="242"/>
      <c r="K374" s="242"/>
      <c r="L374" s="242"/>
      <c r="M374" s="242"/>
      <c r="N374" s="242"/>
      <c r="O374" s="242"/>
      <c r="P374" s="13"/>
      <c r="Q374" s="13"/>
      <c r="R374" s="13"/>
      <c r="S374" s="13"/>
      <c r="T374" s="13"/>
      <c r="U374" s="13"/>
      <c r="V374" s="13"/>
      <c r="W374" s="13"/>
      <c r="X374" s="13"/>
      <c r="Y374" s="13"/>
      <c r="Z374" s="13"/>
      <c r="AA374" s="13"/>
      <c r="AB374" s="13"/>
      <c r="AC374" s="13"/>
      <c r="AD374" s="13"/>
      <c r="AE374" s="13"/>
      <c r="AF374" s="242"/>
      <c r="AG374" s="242"/>
      <c r="AH374" s="242"/>
      <c r="AI374" s="242"/>
      <c r="AJ374" s="242"/>
      <c r="AK374" s="242"/>
      <c r="AL374" s="242"/>
      <c r="AM374" s="242"/>
      <c r="AN374" s="242"/>
      <c r="AO374" s="242"/>
      <c r="AP374" s="242"/>
    </row>
    <row r="375">
      <c r="A375" s="242"/>
      <c r="B375" s="242"/>
      <c r="C375" s="242"/>
      <c r="D375" s="242"/>
      <c r="E375" s="242"/>
      <c r="F375" s="242"/>
      <c r="G375" s="242"/>
      <c r="H375" s="242"/>
      <c r="I375" s="242"/>
      <c r="J375" s="242"/>
      <c r="K375" s="242"/>
      <c r="L375" s="242"/>
      <c r="M375" s="242"/>
      <c r="N375" s="242"/>
      <c r="O375" s="242"/>
      <c r="P375" s="13"/>
      <c r="Q375" s="13"/>
      <c r="R375" s="13"/>
      <c r="S375" s="13"/>
      <c r="T375" s="13"/>
      <c r="U375" s="13"/>
      <c r="V375" s="13"/>
      <c r="W375" s="13"/>
      <c r="X375" s="13"/>
      <c r="Y375" s="13"/>
      <c r="Z375" s="13"/>
      <c r="AA375" s="13"/>
      <c r="AB375" s="13"/>
      <c r="AC375" s="13"/>
      <c r="AD375" s="13"/>
      <c r="AE375" s="13"/>
      <c r="AF375" s="242"/>
      <c r="AG375" s="242"/>
      <c r="AH375" s="242"/>
      <c r="AI375" s="242"/>
      <c r="AJ375" s="242"/>
      <c r="AK375" s="242"/>
      <c r="AL375" s="242"/>
      <c r="AM375" s="242"/>
      <c r="AN375" s="242"/>
      <c r="AO375" s="242"/>
      <c r="AP375" s="242"/>
    </row>
    <row r="376">
      <c r="A376" s="242"/>
      <c r="B376" s="242"/>
      <c r="C376" s="242"/>
      <c r="D376" s="242"/>
      <c r="E376" s="242"/>
      <c r="F376" s="242"/>
      <c r="G376" s="242"/>
      <c r="H376" s="242"/>
      <c r="I376" s="242"/>
      <c r="J376" s="242"/>
      <c r="K376" s="242"/>
      <c r="L376" s="242"/>
      <c r="M376" s="242"/>
      <c r="N376" s="242"/>
      <c r="O376" s="242"/>
      <c r="P376" s="13"/>
      <c r="Q376" s="13"/>
      <c r="R376" s="13"/>
      <c r="S376" s="13"/>
      <c r="T376" s="13"/>
      <c r="U376" s="13"/>
      <c r="V376" s="13"/>
      <c r="W376" s="13"/>
      <c r="X376" s="13"/>
      <c r="Y376" s="13"/>
      <c r="Z376" s="13"/>
      <c r="AA376" s="13"/>
      <c r="AB376" s="13"/>
      <c r="AC376" s="13"/>
      <c r="AD376" s="13"/>
      <c r="AE376" s="13"/>
      <c r="AF376" s="242"/>
      <c r="AG376" s="242"/>
      <c r="AH376" s="242"/>
      <c r="AI376" s="242"/>
      <c r="AJ376" s="242"/>
      <c r="AK376" s="242"/>
      <c r="AL376" s="242"/>
      <c r="AM376" s="242"/>
      <c r="AN376" s="242"/>
      <c r="AO376" s="242"/>
      <c r="AP376" s="242"/>
    </row>
    <row r="377">
      <c r="A377" s="242"/>
      <c r="B377" s="242"/>
      <c r="C377" s="242"/>
      <c r="D377" s="242"/>
      <c r="E377" s="242"/>
      <c r="F377" s="242"/>
      <c r="G377" s="242"/>
      <c r="H377" s="242"/>
      <c r="I377" s="242"/>
      <c r="J377" s="242"/>
      <c r="K377" s="242"/>
      <c r="L377" s="242"/>
      <c r="M377" s="242"/>
      <c r="N377" s="242"/>
      <c r="O377" s="242"/>
      <c r="P377" s="13"/>
      <c r="Q377" s="13"/>
      <c r="R377" s="13"/>
      <c r="S377" s="13"/>
      <c r="T377" s="13"/>
      <c r="U377" s="13"/>
      <c r="V377" s="13"/>
      <c r="W377" s="13"/>
      <c r="X377" s="13"/>
      <c r="Y377" s="13"/>
      <c r="Z377" s="13"/>
      <c r="AA377" s="13"/>
      <c r="AB377" s="13"/>
      <c r="AC377" s="13"/>
      <c r="AD377" s="13"/>
      <c r="AE377" s="13"/>
      <c r="AF377" s="242"/>
      <c r="AG377" s="242"/>
      <c r="AH377" s="242"/>
      <c r="AI377" s="242"/>
      <c r="AJ377" s="242"/>
      <c r="AK377" s="242"/>
      <c r="AL377" s="242"/>
      <c r="AM377" s="242"/>
      <c r="AN377" s="242"/>
      <c r="AO377" s="242"/>
      <c r="AP377" s="242"/>
    </row>
    <row r="378">
      <c r="A378" s="242"/>
      <c r="B378" s="242"/>
      <c r="C378" s="242"/>
      <c r="D378" s="242"/>
      <c r="E378" s="242"/>
      <c r="F378" s="242"/>
      <c r="G378" s="242"/>
      <c r="H378" s="242"/>
      <c r="I378" s="242"/>
      <c r="J378" s="242"/>
      <c r="K378" s="242"/>
      <c r="L378" s="242"/>
      <c r="M378" s="242"/>
      <c r="N378" s="242"/>
      <c r="O378" s="242"/>
      <c r="P378" s="13"/>
      <c r="Q378" s="13"/>
      <c r="R378" s="13"/>
      <c r="S378" s="13"/>
      <c r="T378" s="13"/>
      <c r="U378" s="13"/>
      <c r="V378" s="13"/>
      <c r="W378" s="13"/>
      <c r="X378" s="13"/>
      <c r="Y378" s="13"/>
      <c r="Z378" s="13"/>
      <c r="AA378" s="13"/>
      <c r="AB378" s="13"/>
      <c r="AC378" s="13"/>
      <c r="AD378" s="13"/>
      <c r="AE378" s="13"/>
      <c r="AF378" s="242"/>
      <c r="AG378" s="242"/>
      <c r="AH378" s="242"/>
      <c r="AI378" s="242"/>
      <c r="AJ378" s="242"/>
      <c r="AK378" s="242"/>
      <c r="AL378" s="242"/>
      <c r="AM378" s="242"/>
      <c r="AN378" s="242"/>
      <c r="AO378" s="242"/>
      <c r="AP378" s="242"/>
    </row>
    <row r="379">
      <c r="A379" s="242"/>
      <c r="B379" s="242"/>
      <c r="C379" s="242"/>
      <c r="D379" s="242"/>
      <c r="E379" s="242"/>
      <c r="F379" s="242"/>
      <c r="G379" s="242"/>
      <c r="H379" s="242"/>
      <c r="I379" s="242"/>
      <c r="J379" s="242"/>
      <c r="K379" s="242"/>
      <c r="L379" s="242"/>
      <c r="M379" s="242"/>
      <c r="N379" s="242"/>
      <c r="O379" s="242"/>
      <c r="P379" s="13"/>
      <c r="Q379" s="13"/>
      <c r="R379" s="13"/>
      <c r="S379" s="13"/>
      <c r="T379" s="13"/>
      <c r="U379" s="13"/>
      <c r="V379" s="13"/>
      <c r="W379" s="13"/>
      <c r="X379" s="13"/>
      <c r="Y379" s="13"/>
      <c r="Z379" s="13"/>
      <c r="AA379" s="13"/>
      <c r="AB379" s="13"/>
      <c r="AC379" s="13"/>
      <c r="AD379" s="13"/>
      <c r="AE379" s="13"/>
      <c r="AF379" s="242"/>
      <c r="AG379" s="242"/>
      <c r="AH379" s="242"/>
      <c r="AI379" s="242"/>
      <c r="AJ379" s="242"/>
      <c r="AK379" s="242"/>
      <c r="AL379" s="242"/>
      <c r="AM379" s="242"/>
      <c r="AN379" s="242"/>
      <c r="AO379" s="242"/>
      <c r="AP379" s="242"/>
    </row>
    <row r="380">
      <c r="A380" s="242"/>
      <c r="B380" s="242"/>
      <c r="C380" s="242"/>
      <c r="D380" s="242"/>
      <c r="E380" s="242"/>
      <c r="F380" s="242"/>
      <c r="G380" s="242"/>
      <c r="H380" s="242"/>
      <c r="I380" s="242"/>
      <c r="J380" s="242"/>
      <c r="K380" s="242"/>
      <c r="L380" s="242"/>
      <c r="M380" s="242"/>
      <c r="N380" s="242"/>
      <c r="O380" s="242"/>
      <c r="P380" s="13"/>
      <c r="Q380" s="13"/>
      <c r="R380" s="13"/>
      <c r="S380" s="13"/>
      <c r="T380" s="13"/>
      <c r="U380" s="13"/>
      <c r="V380" s="13"/>
      <c r="W380" s="13"/>
      <c r="X380" s="13"/>
      <c r="Y380" s="13"/>
      <c r="Z380" s="13"/>
      <c r="AA380" s="13"/>
      <c r="AB380" s="13"/>
      <c r="AC380" s="13"/>
      <c r="AD380" s="13"/>
      <c r="AE380" s="13"/>
      <c r="AF380" s="242"/>
      <c r="AG380" s="242"/>
      <c r="AH380" s="242"/>
      <c r="AI380" s="242"/>
      <c r="AJ380" s="242"/>
      <c r="AK380" s="242"/>
      <c r="AL380" s="242"/>
      <c r="AM380" s="242"/>
      <c r="AN380" s="242"/>
      <c r="AO380" s="242"/>
      <c r="AP380" s="242"/>
    </row>
    <row r="381">
      <c r="A381" s="242"/>
      <c r="B381" s="242"/>
      <c r="C381" s="242"/>
      <c r="D381" s="242"/>
      <c r="E381" s="242"/>
      <c r="F381" s="242"/>
      <c r="G381" s="242"/>
      <c r="H381" s="242"/>
      <c r="I381" s="242"/>
      <c r="J381" s="242"/>
      <c r="K381" s="242"/>
      <c r="L381" s="242"/>
      <c r="M381" s="242"/>
      <c r="N381" s="242"/>
      <c r="O381" s="242"/>
      <c r="P381" s="13"/>
      <c r="Q381" s="13"/>
      <c r="R381" s="13"/>
      <c r="S381" s="13"/>
      <c r="T381" s="13"/>
      <c r="U381" s="13"/>
      <c r="V381" s="13"/>
      <c r="W381" s="13"/>
      <c r="X381" s="13"/>
      <c r="Y381" s="13"/>
      <c r="Z381" s="13"/>
      <c r="AA381" s="13"/>
      <c r="AB381" s="13"/>
      <c r="AC381" s="13"/>
      <c r="AD381" s="13"/>
      <c r="AE381" s="13"/>
      <c r="AF381" s="242"/>
      <c r="AG381" s="242"/>
      <c r="AH381" s="242"/>
      <c r="AI381" s="242"/>
      <c r="AJ381" s="242"/>
      <c r="AK381" s="242"/>
      <c r="AL381" s="242"/>
      <c r="AM381" s="242"/>
      <c r="AN381" s="242"/>
      <c r="AO381" s="242"/>
      <c r="AP381" s="242"/>
    </row>
    <row r="382">
      <c r="A382" s="242"/>
      <c r="B382" s="242"/>
      <c r="C382" s="242"/>
      <c r="D382" s="242"/>
      <c r="E382" s="242"/>
      <c r="F382" s="242"/>
      <c r="G382" s="242"/>
      <c r="H382" s="242"/>
      <c r="I382" s="242"/>
      <c r="J382" s="242"/>
      <c r="K382" s="242"/>
      <c r="L382" s="242"/>
      <c r="M382" s="242"/>
      <c r="N382" s="242"/>
      <c r="O382" s="242"/>
      <c r="P382" s="13"/>
      <c r="Q382" s="13"/>
      <c r="R382" s="13"/>
      <c r="S382" s="13"/>
      <c r="T382" s="13"/>
      <c r="U382" s="13"/>
      <c r="V382" s="13"/>
      <c r="W382" s="13"/>
      <c r="X382" s="13"/>
      <c r="Y382" s="13"/>
      <c r="Z382" s="13"/>
      <c r="AA382" s="13"/>
      <c r="AB382" s="13"/>
      <c r="AC382" s="13"/>
      <c r="AD382" s="13"/>
      <c r="AE382" s="13"/>
      <c r="AF382" s="242"/>
      <c r="AG382" s="242"/>
      <c r="AH382" s="242"/>
      <c r="AI382" s="242"/>
      <c r="AJ382" s="242"/>
      <c r="AK382" s="242"/>
      <c r="AL382" s="242"/>
      <c r="AM382" s="242"/>
      <c r="AN382" s="242"/>
      <c r="AO382" s="242"/>
      <c r="AP382" s="242"/>
    </row>
    <row r="383">
      <c r="A383" s="242"/>
      <c r="B383" s="242"/>
      <c r="C383" s="242"/>
      <c r="D383" s="242"/>
      <c r="E383" s="242"/>
      <c r="F383" s="242"/>
      <c r="G383" s="242"/>
      <c r="H383" s="242"/>
      <c r="I383" s="242"/>
      <c r="J383" s="242"/>
      <c r="K383" s="242"/>
      <c r="L383" s="242"/>
      <c r="M383" s="242"/>
      <c r="N383" s="242"/>
      <c r="O383" s="242"/>
      <c r="P383" s="13"/>
      <c r="Q383" s="13"/>
      <c r="R383" s="13"/>
      <c r="S383" s="13"/>
      <c r="T383" s="13"/>
      <c r="U383" s="13"/>
      <c r="V383" s="13"/>
      <c r="W383" s="13"/>
      <c r="X383" s="13"/>
      <c r="Y383" s="13"/>
      <c r="Z383" s="13"/>
      <c r="AA383" s="13"/>
      <c r="AB383" s="13"/>
      <c r="AC383" s="13"/>
      <c r="AD383" s="13"/>
      <c r="AE383" s="13"/>
      <c r="AF383" s="242"/>
      <c r="AG383" s="242"/>
      <c r="AH383" s="242"/>
      <c r="AI383" s="242"/>
      <c r="AJ383" s="242"/>
      <c r="AK383" s="242"/>
      <c r="AL383" s="242"/>
      <c r="AM383" s="242"/>
      <c r="AN383" s="242"/>
      <c r="AO383" s="242"/>
      <c r="AP383" s="242"/>
    </row>
    <row r="384">
      <c r="A384" s="242"/>
      <c r="B384" s="242"/>
      <c r="C384" s="242"/>
      <c r="D384" s="242"/>
      <c r="E384" s="242"/>
      <c r="F384" s="242"/>
      <c r="G384" s="242"/>
      <c r="H384" s="242"/>
      <c r="I384" s="242"/>
      <c r="J384" s="242"/>
      <c r="K384" s="242"/>
      <c r="L384" s="242"/>
      <c r="M384" s="242"/>
      <c r="N384" s="242"/>
      <c r="O384" s="242"/>
      <c r="P384" s="13"/>
      <c r="Q384" s="13"/>
      <c r="R384" s="13"/>
      <c r="S384" s="13"/>
      <c r="T384" s="13"/>
      <c r="U384" s="13"/>
      <c r="V384" s="13"/>
      <c r="W384" s="13"/>
      <c r="X384" s="13"/>
      <c r="Y384" s="13"/>
      <c r="Z384" s="13"/>
      <c r="AA384" s="13"/>
      <c r="AB384" s="13"/>
      <c r="AC384" s="13"/>
      <c r="AD384" s="13"/>
      <c r="AE384" s="13"/>
      <c r="AF384" s="242"/>
      <c r="AG384" s="242"/>
      <c r="AH384" s="242"/>
      <c r="AI384" s="242"/>
      <c r="AJ384" s="242"/>
      <c r="AK384" s="242"/>
      <c r="AL384" s="242"/>
      <c r="AM384" s="242"/>
      <c r="AN384" s="242"/>
      <c r="AO384" s="242"/>
      <c r="AP384" s="242"/>
    </row>
    <row r="385">
      <c r="A385" s="242"/>
      <c r="B385" s="242"/>
      <c r="C385" s="242"/>
      <c r="D385" s="242"/>
      <c r="E385" s="242"/>
      <c r="F385" s="242"/>
      <c r="G385" s="242"/>
      <c r="H385" s="242"/>
      <c r="I385" s="242"/>
      <c r="J385" s="242"/>
      <c r="K385" s="242"/>
      <c r="L385" s="242"/>
      <c r="M385" s="242"/>
      <c r="N385" s="242"/>
      <c r="O385" s="242"/>
      <c r="P385" s="13"/>
      <c r="Q385" s="13"/>
      <c r="R385" s="13"/>
      <c r="S385" s="13"/>
      <c r="T385" s="13"/>
      <c r="U385" s="13"/>
      <c r="V385" s="13"/>
      <c r="W385" s="13"/>
      <c r="X385" s="13"/>
      <c r="Y385" s="13"/>
      <c r="Z385" s="13"/>
      <c r="AA385" s="13"/>
      <c r="AB385" s="13"/>
      <c r="AC385" s="13"/>
      <c r="AD385" s="13"/>
      <c r="AE385" s="13"/>
      <c r="AF385" s="242"/>
      <c r="AG385" s="242"/>
      <c r="AH385" s="242"/>
      <c r="AI385" s="242"/>
      <c r="AJ385" s="242"/>
      <c r="AK385" s="242"/>
      <c r="AL385" s="242"/>
      <c r="AM385" s="242"/>
      <c r="AN385" s="242"/>
      <c r="AO385" s="242"/>
      <c r="AP385" s="242"/>
    </row>
    <row r="386">
      <c r="A386" s="242"/>
      <c r="B386" s="242"/>
      <c r="C386" s="242"/>
      <c r="D386" s="242"/>
      <c r="E386" s="242"/>
      <c r="F386" s="242"/>
      <c r="G386" s="242"/>
      <c r="H386" s="242"/>
      <c r="I386" s="242"/>
      <c r="J386" s="242"/>
      <c r="K386" s="242"/>
      <c r="L386" s="242"/>
      <c r="M386" s="242"/>
      <c r="N386" s="242"/>
      <c r="O386" s="242"/>
      <c r="P386" s="13"/>
      <c r="Q386" s="13"/>
      <c r="R386" s="13"/>
      <c r="S386" s="13"/>
      <c r="T386" s="13"/>
      <c r="U386" s="13"/>
      <c r="V386" s="13"/>
      <c r="W386" s="13"/>
      <c r="X386" s="13"/>
      <c r="Y386" s="13"/>
      <c r="Z386" s="13"/>
      <c r="AA386" s="13"/>
      <c r="AB386" s="13"/>
      <c r="AC386" s="13"/>
      <c r="AD386" s="13"/>
      <c r="AE386" s="13"/>
      <c r="AF386" s="242"/>
      <c r="AG386" s="242"/>
      <c r="AH386" s="242"/>
      <c r="AI386" s="242"/>
      <c r="AJ386" s="242"/>
      <c r="AK386" s="242"/>
      <c r="AL386" s="242"/>
      <c r="AM386" s="242"/>
      <c r="AN386" s="242"/>
      <c r="AO386" s="242"/>
      <c r="AP386" s="242"/>
    </row>
    <row r="387">
      <c r="A387" s="242"/>
      <c r="B387" s="242"/>
      <c r="C387" s="242"/>
      <c r="D387" s="242"/>
      <c r="E387" s="242"/>
      <c r="F387" s="242"/>
      <c r="G387" s="242"/>
      <c r="H387" s="242"/>
      <c r="I387" s="242"/>
      <c r="J387" s="242"/>
      <c r="K387" s="242"/>
      <c r="L387" s="242"/>
      <c r="M387" s="242"/>
      <c r="N387" s="242"/>
      <c r="O387" s="242"/>
      <c r="P387" s="13"/>
      <c r="Q387" s="13"/>
      <c r="R387" s="13"/>
      <c r="S387" s="13"/>
      <c r="T387" s="13"/>
      <c r="U387" s="13"/>
      <c r="V387" s="13"/>
      <c r="W387" s="13"/>
      <c r="X387" s="13"/>
      <c r="Y387" s="13"/>
      <c r="Z387" s="13"/>
      <c r="AA387" s="13"/>
      <c r="AB387" s="13"/>
      <c r="AC387" s="13"/>
      <c r="AD387" s="13"/>
      <c r="AE387" s="13"/>
      <c r="AF387" s="242"/>
      <c r="AG387" s="242"/>
      <c r="AH387" s="242"/>
      <c r="AI387" s="242"/>
      <c r="AJ387" s="242"/>
      <c r="AK387" s="242"/>
      <c r="AL387" s="242"/>
      <c r="AM387" s="242"/>
      <c r="AN387" s="242"/>
      <c r="AO387" s="242"/>
      <c r="AP387" s="242"/>
    </row>
    <row r="388">
      <c r="A388" s="242"/>
      <c r="B388" s="242"/>
      <c r="C388" s="242"/>
      <c r="D388" s="242"/>
      <c r="E388" s="242"/>
      <c r="F388" s="242"/>
      <c r="G388" s="242"/>
      <c r="H388" s="242"/>
      <c r="I388" s="242"/>
      <c r="J388" s="242"/>
      <c r="K388" s="242"/>
      <c r="L388" s="242"/>
      <c r="M388" s="242"/>
      <c r="N388" s="242"/>
      <c r="O388" s="242"/>
      <c r="P388" s="13"/>
      <c r="Q388" s="13"/>
      <c r="R388" s="13"/>
      <c r="S388" s="13"/>
      <c r="T388" s="13"/>
      <c r="U388" s="13"/>
      <c r="V388" s="13"/>
      <c r="W388" s="13"/>
      <c r="X388" s="13"/>
      <c r="Y388" s="13"/>
      <c r="Z388" s="13"/>
      <c r="AA388" s="13"/>
      <c r="AB388" s="13"/>
      <c r="AC388" s="13"/>
      <c r="AD388" s="13"/>
      <c r="AE388" s="13"/>
      <c r="AF388" s="242"/>
      <c r="AG388" s="242"/>
      <c r="AH388" s="242"/>
      <c r="AI388" s="242"/>
      <c r="AJ388" s="242"/>
      <c r="AK388" s="242"/>
      <c r="AL388" s="242"/>
      <c r="AM388" s="242"/>
      <c r="AN388" s="242"/>
      <c r="AO388" s="242"/>
      <c r="AP388" s="242"/>
    </row>
    <row r="389">
      <c r="A389" s="242"/>
      <c r="B389" s="242"/>
      <c r="C389" s="242"/>
      <c r="D389" s="242"/>
      <c r="E389" s="242"/>
      <c r="F389" s="242"/>
      <c r="G389" s="242"/>
      <c r="H389" s="242"/>
      <c r="I389" s="242"/>
      <c r="J389" s="242"/>
      <c r="K389" s="242"/>
      <c r="L389" s="242"/>
      <c r="M389" s="242"/>
      <c r="N389" s="242"/>
      <c r="O389" s="242"/>
      <c r="P389" s="13"/>
      <c r="Q389" s="13"/>
      <c r="R389" s="13"/>
      <c r="S389" s="13"/>
      <c r="T389" s="13"/>
      <c r="U389" s="13"/>
      <c r="V389" s="13"/>
      <c r="W389" s="13"/>
      <c r="X389" s="13"/>
      <c r="Y389" s="13"/>
      <c r="Z389" s="13"/>
      <c r="AA389" s="13"/>
      <c r="AB389" s="13"/>
      <c r="AC389" s="13"/>
      <c r="AD389" s="13"/>
      <c r="AE389" s="13"/>
      <c r="AF389" s="242"/>
      <c r="AG389" s="242"/>
      <c r="AH389" s="242"/>
      <c r="AI389" s="242"/>
      <c r="AJ389" s="242"/>
      <c r="AK389" s="242"/>
      <c r="AL389" s="242"/>
      <c r="AM389" s="242"/>
      <c r="AN389" s="242"/>
      <c r="AO389" s="242"/>
      <c r="AP389" s="242"/>
    </row>
    <row r="390">
      <c r="A390" s="242"/>
      <c r="B390" s="242"/>
      <c r="C390" s="242"/>
      <c r="D390" s="242"/>
      <c r="E390" s="242"/>
      <c r="F390" s="242"/>
      <c r="G390" s="242"/>
      <c r="H390" s="242"/>
      <c r="I390" s="242"/>
      <c r="J390" s="242"/>
      <c r="K390" s="242"/>
      <c r="L390" s="242"/>
      <c r="M390" s="242"/>
      <c r="N390" s="242"/>
      <c r="O390" s="242"/>
      <c r="P390" s="13"/>
      <c r="Q390" s="13"/>
      <c r="R390" s="13"/>
      <c r="S390" s="13"/>
      <c r="T390" s="13"/>
      <c r="U390" s="13"/>
      <c r="V390" s="13"/>
      <c r="W390" s="13"/>
      <c r="X390" s="13"/>
      <c r="Y390" s="13"/>
      <c r="Z390" s="13"/>
      <c r="AA390" s="13"/>
      <c r="AB390" s="13"/>
      <c r="AC390" s="13"/>
      <c r="AD390" s="13"/>
      <c r="AE390" s="13"/>
      <c r="AF390" s="242"/>
      <c r="AG390" s="242"/>
      <c r="AH390" s="242"/>
      <c r="AI390" s="242"/>
      <c r="AJ390" s="242"/>
      <c r="AK390" s="242"/>
      <c r="AL390" s="242"/>
      <c r="AM390" s="242"/>
      <c r="AN390" s="242"/>
      <c r="AO390" s="242"/>
      <c r="AP390" s="242"/>
    </row>
    <row r="391">
      <c r="A391" s="242"/>
      <c r="B391" s="242"/>
      <c r="C391" s="242"/>
      <c r="D391" s="242"/>
      <c r="E391" s="242"/>
      <c r="F391" s="242"/>
      <c r="G391" s="242"/>
      <c r="H391" s="242"/>
      <c r="I391" s="242"/>
      <c r="J391" s="242"/>
      <c r="K391" s="242"/>
      <c r="L391" s="242"/>
      <c r="M391" s="242"/>
      <c r="N391" s="242"/>
      <c r="O391" s="242"/>
      <c r="P391" s="13"/>
      <c r="Q391" s="13"/>
      <c r="R391" s="13"/>
      <c r="S391" s="13"/>
      <c r="T391" s="13"/>
      <c r="U391" s="13"/>
      <c r="V391" s="13"/>
      <c r="W391" s="13"/>
      <c r="X391" s="13"/>
      <c r="Y391" s="13"/>
      <c r="Z391" s="13"/>
      <c r="AA391" s="13"/>
      <c r="AB391" s="13"/>
      <c r="AC391" s="13"/>
      <c r="AD391" s="13"/>
      <c r="AE391" s="13"/>
      <c r="AF391" s="242"/>
      <c r="AG391" s="242"/>
      <c r="AH391" s="242"/>
      <c r="AI391" s="242"/>
      <c r="AJ391" s="242"/>
      <c r="AK391" s="242"/>
      <c r="AL391" s="242"/>
      <c r="AM391" s="242"/>
      <c r="AN391" s="242"/>
      <c r="AO391" s="242"/>
      <c r="AP391" s="242"/>
    </row>
    <row r="392">
      <c r="A392" s="242"/>
      <c r="B392" s="242"/>
      <c r="C392" s="242"/>
      <c r="D392" s="242"/>
      <c r="E392" s="242"/>
      <c r="F392" s="242"/>
      <c r="G392" s="242"/>
      <c r="H392" s="242"/>
      <c r="I392" s="242"/>
      <c r="J392" s="242"/>
      <c r="K392" s="242"/>
      <c r="L392" s="242"/>
      <c r="M392" s="242"/>
      <c r="N392" s="242"/>
      <c r="O392" s="242"/>
      <c r="P392" s="13"/>
      <c r="Q392" s="13"/>
      <c r="R392" s="13"/>
      <c r="S392" s="13"/>
      <c r="T392" s="13"/>
      <c r="U392" s="13"/>
      <c r="V392" s="13"/>
      <c r="W392" s="13"/>
      <c r="X392" s="13"/>
      <c r="Y392" s="13"/>
      <c r="Z392" s="13"/>
      <c r="AA392" s="13"/>
      <c r="AB392" s="13"/>
      <c r="AC392" s="13"/>
      <c r="AD392" s="13"/>
      <c r="AE392" s="13"/>
      <c r="AF392" s="242"/>
      <c r="AG392" s="242"/>
      <c r="AH392" s="242"/>
      <c r="AI392" s="242"/>
      <c r="AJ392" s="242"/>
      <c r="AK392" s="242"/>
      <c r="AL392" s="242"/>
      <c r="AM392" s="242"/>
      <c r="AN392" s="242"/>
      <c r="AO392" s="242"/>
      <c r="AP392" s="242"/>
    </row>
    <row r="393">
      <c r="A393" s="242"/>
      <c r="B393" s="242"/>
      <c r="C393" s="242"/>
      <c r="D393" s="242"/>
      <c r="E393" s="242"/>
      <c r="F393" s="242"/>
      <c r="G393" s="242"/>
      <c r="H393" s="242"/>
      <c r="I393" s="242"/>
      <c r="J393" s="242"/>
      <c r="K393" s="242"/>
      <c r="L393" s="242"/>
      <c r="M393" s="242"/>
      <c r="N393" s="242"/>
      <c r="O393" s="242"/>
      <c r="P393" s="13"/>
      <c r="Q393" s="13"/>
      <c r="R393" s="13"/>
      <c r="S393" s="13"/>
      <c r="T393" s="13"/>
      <c r="U393" s="13"/>
      <c r="V393" s="13"/>
      <c r="W393" s="13"/>
      <c r="X393" s="13"/>
      <c r="Y393" s="13"/>
      <c r="Z393" s="13"/>
      <c r="AA393" s="13"/>
      <c r="AB393" s="13"/>
      <c r="AC393" s="13"/>
      <c r="AD393" s="13"/>
      <c r="AE393" s="13"/>
      <c r="AF393" s="242"/>
      <c r="AG393" s="242"/>
      <c r="AH393" s="242"/>
      <c r="AI393" s="242"/>
      <c r="AJ393" s="242"/>
      <c r="AK393" s="242"/>
      <c r="AL393" s="242"/>
      <c r="AM393" s="242"/>
      <c r="AN393" s="242"/>
      <c r="AO393" s="242"/>
      <c r="AP393" s="242"/>
    </row>
    <row r="394">
      <c r="A394" s="242"/>
      <c r="B394" s="242"/>
      <c r="C394" s="242"/>
      <c r="D394" s="242"/>
      <c r="E394" s="242"/>
      <c r="F394" s="242"/>
      <c r="G394" s="242"/>
      <c r="H394" s="242"/>
      <c r="I394" s="242"/>
      <c r="J394" s="242"/>
      <c r="K394" s="242"/>
      <c r="L394" s="242"/>
      <c r="M394" s="242"/>
      <c r="N394" s="242"/>
      <c r="O394" s="242"/>
      <c r="P394" s="13"/>
      <c r="Q394" s="13"/>
      <c r="R394" s="13"/>
      <c r="S394" s="13"/>
      <c r="T394" s="13"/>
      <c r="U394" s="13"/>
      <c r="V394" s="13"/>
      <c r="W394" s="13"/>
      <c r="X394" s="13"/>
      <c r="Y394" s="13"/>
      <c r="Z394" s="13"/>
      <c r="AA394" s="13"/>
      <c r="AB394" s="13"/>
      <c r="AC394" s="13"/>
      <c r="AD394" s="13"/>
      <c r="AE394" s="13"/>
      <c r="AF394" s="242"/>
      <c r="AG394" s="242"/>
      <c r="AH394" s="242"/>
      <c r="AI394" s="242"/>
      <c r="AJ394" s="242"/>
      <c r="AK394" s="242"/>
      <c r="AL394" s="242"/>
      <c r="AM394" s="242"/>
      <c r="AN394" s="242"/>
      <c r="AO394" s="242"/>
      <c r="AP394" s="242"/>
    </row>
    <row r="395">
      <c r="A395" s="242"/>
      <c r="B395" s="242"/>
      <c r="C395" s="242"/>
      <c r="D395" s="242"/>
      <c r="E395" s="242"/>
      <c r="F395" s="242"/>
      <c r="G395" s="242"/>
      <c r="H395" s="242"/>
      <c r="I395" s="242"/>
      <c r="J395" s="242"/>
      <c r="K395" s="242"/>
      <c r="L395" s="242"/>
      <c r="M395" s="242"/>
      <c r="N395" s="242"/>
      <c r="O395" s="242"/>
      <c r="P395" s="13"/>
      <c r="Q395" s="13"/>
      <c r="R395" s="13"/>
      <c r="S395" s="13"/>
      <c r="T395" s="13"/>
      <c r="U395" s="13"/>
      <c r="V395" s="13"/>
      <c r="W395" s="13"/>
      <c r="X395" s="13"/>
      <c r="Y395" s="13"/>
      <c r="Z395" s="13"/>
      <c r="AA395" s="13"/>
      <c r="AB395" s="13"/>
      <c r="AC395" s="13"/>
      <c r="AD395" s="13"/>
      <c r="AE395" s="13"/>
      <c r="AF395" s="242"/>
      <c r="AG395" s="242"/>
      <c r="AH395" s="242"/>
      <c r="AI395" s="242"/>
      <c r="AJ395" s="242"/>
      <c r="AK395" s="242"/>
      <c r="AL395" s="242"/>
      <c r="AM395" s="242"/>
      <c r="AN395" s="242"/>
      <c r="AO395" s="242"/>
      <c r="AP395" s="242"/>
    </row>
    <row r="396">
      <c r="A396" s="242"/>
      <c r="B396" s="242"/>
      <c r="C396" s="242"/>
      <c r="D396" s="242"/>
      <c r="E396" s="242"/>
      <c r="F396" s="242"/>
      <c r="G396" s="242"/>
      <c r="H396" s="242"/>
      <c r="I396" s="242"/>
      <c r="J396" s="242"/>
      <c r="K396" s="242"/>
      <c r="L396" s="242"/>
      <c r="M396" s="242"/>
      <c r="N396" s="242"/>
      <c r="O396" s="242"/>
      <c r="P396" s="13"/>
      <c r="Q396" s="13"/>
      <c r="R396" s="13"/>
      <c r="S396" s="13"/>
      <c r="T396" s="13"/>
      <c r="U396" s="13"/>
      <c r="V396" s="13"/>
      <c r="W396" s="13"/>
      <c r="X396" s="13"/>
      <c r="Y396" s="13"/>
      <c r="Z396" s="13"/>
      <c r="AA396" s="13"/>
      <c r="AB396" s="13"/>
      <c r="AC396" s="13"/>
      <c r="AD396" s="13"/>
      <c r="AE396" s="13"/>
      <c r="AF396" s="242"/>
      <c r="AG396" s="242"/>
      <c r="AH396" s="242"/>
      <c r="AI396" s="242"/>
      <c r="AJ396" s="242"/>
      <c r="AK396" s="242"/>
      <c r="AL396" s="242"/>
      <c r="AM396" s="242"/>
      <c r="AN396" s="242"/>
      <c r="AO396" s="242"/>
      <c r="AP396" s="242"/>
    </row>
    <row r="397">
      <c r="A397" s="242"/>
      <c r="B397" s="242"/>
      <c r="C397" s="242"/>
      <c r="D397" s="242"/>
      <c r="E397" s="242"/>
      <c r="F397" s="242"/>
      <c r="G397" s="242"/>
      <c r="H397" s="242"/>
      <c r="I397" s="242"/>
      <c r="J397" s="242"/>
      <c r="K397" s="242"/>
      <c r="L397" s="242"/>
      <c r="M397" s="242"/>
      <c r="N397" s="242"/>
      <c r="O397" s="242"/>
      <c r="P397" s="13"/>
      <c r="Q397" s="13"/>
      <c r="R397" s="13"/>
      <c r="S397" s="13"/>
      <c r="T397" s="13"/>
      <c r="U397" s="13"/>
      <c r="V397" s="13"/>
      <c r="W397" s="13"/>
      <c r="X397" s="13"/>
      <c r="Y397" s="13"/>
      <c r="Z397" s="13"/>
      <c r="AA397" s="13"/>
      <c r="AB397" s="13"/>
      <c r="AC397" s="13"/>
      <c r="AD397" s="13"/>
      <c r="AE397" s="13"/>
      <c r="AF397" s="242"/>
      <c r="AG397" s="242"/>
      <c r="AH397" s="242"/>
      <c r="AI397" s="242"/>
      <c r="AJ397" s="242"/>
      <c r="AK397" s="242"/>
      <c r="AL397" s="242"/>
      <c r="AM397" s="242"/>
      <c r="AN397" s="242"/>
      <c r="AO397" s="242"/>
      <c r="AP397" s="242"/>
    </row>
    <row r="398">
      <c r="A398" s="242"/>
      <c r="B398" s="242"/>
      <c r="C398" s="242"/>
      <c r="D398" s="242"/>
      <c r="E398" s="242"/>
      <c r="F398" s="242"/>
      <c r="G398" s="242"/>
      <c r="H398" s="242"/>
      <c r="I398" s="242"/>
      <c r="J398" s="242"/>
      <c r="K398" s="242"/>
      <c r="L398" s="242"/>
      <c r="M398" s="242"/>
      <c r="N398" s="242"/>
      <c r="O398" s="242"/>
      <c r="P398" s="13"/>
      <c r="Q398" s="13"/>
      <c r="R398" s="13"/>
      <c r="S398" s="13"/>
      <c r="T398" s="13"/>
      <c r="U398" s="13"/>
      <c r="V398" s="13"/>
      <c r="W398" s="13"/>
      <c r="X398" s="13"/>
      <c r="Y398" s="13"/>
      <c r="Z398" s="13"/>
      <c r="AA398" s="13"/>
      <c r="AB398" s="13"/>
      <c r="AC398" s="13"/>
      <c r="AD398" s="13"/>
      <c r="AE398" s="13"/>
      <c r="AF398" s="242"/>
      <c r="AG398" s="242"/>
      <c r="AH398" s="242"/>
      <c r="AI398" s="242"/>
      <c r="AJ398" s="242"/>
      <c r="AK398" s="242"/>
      <c r="AL398" s="242"/>
      <c r="AM398" s="242"/>
      <c r="AN398" s="242"/>
      <c r="AO398" s="242"/>
      <c r="AP398" s="242"/>
    </row>
    <row r="399">
      <c r="A399" s="242"/>
      <c r="B399" s="242"/>
      <c r="C399" s="242"/>
      <c r="D399" s="242"/>
      <c r="E399" s="242"/>
      <c r="F399" s="242"/>
      <c r="G399" s="242"/>
      <c r="H399" s="242"/>
      <c r="I399" s="242"/>
      <c r="J399" s="242"/>
      <c r="K399" s="242"/>
      <c r="L399" s="242"/>
      <c r="M399" s="242"/>
      <c r="N399" s="242"/>
      <c r="O399" s="242"/>
      <c r="P399" s="13"/>
      <c r="Q399" s="13"/>
      <c r="R399" s="13"/>
      <c r="S399" s="13"/>
      <c r="T399" s="13"/>
      <c r="U399" s="13"/>
      <c r="V399" s="13"/>
      <c r="W399" s="13"/>
      <c r="X399" s="13"/>
      <c r="Y399" s="13"/>
      <c r="Z399" s="13"/>
      <c r="AA399" s="13"/>
      <c r="AB399" s="13"/>
      <c r="AC399" s="13"/>
      <c r="AD399" s="13"/>
      <c r="AE399" s="13"/>
      <c r="AF399" s="242"/>
      <c r="AG399" s="242"/>
      <c r="AH399" s="242"/>
      <c r="AI399" s="242"/>
      <c r="AJ399" s="242"/>
      <c r="AK399" s="242"/>
      <c r="AL399" s="242"/>
      <c r="AM399" s="242"/>
      <c r="AN399" s="242"/>
      <c r="AO399" s="242"/>
      <c r="AP399" s="242"/>
    </row>
    <row r="400">
      <c r="A400" s="242"/>
      <c r="B400" s="242"/>
      <c r="C400" s="242"/>
      <c r="D400" s="242"/>
      <c r="E400" s="242"/>
      <c r="F400" s="242"/>
      <c r="G400" s="242"/>
      <c r="H400" s="242"/>
      <c r="I400" s="242"/>
      <c r="J400" s="242"/>
      <c r="K400" s="242"/>
      <c r="L400" s="242"/>
      <c r="M400" s="242"/>
      <c r="N400" s="242"/>
      <c r="O400" s="242"/>
      <c r="P400" s="13"/>
      <c r="Q400" s="13"/>
      <c r="R400" s="13"/>
      <c r="S400" s="13"/>
      <c r="T400" s="13"/>
      <c r="U400" s="13"/>
      <c r="V400" s="13"/>
      <c r="W400" s="13"/>
      <c r="X400" s="13"/>
      <c r="Y400" s="13"/>
      <c r="Z400" s="13"/>
      <c r="AA400" s="13"/>
      <c r="AB400" s="13"/>
      <c r="AC400" s="13"/>
      <c r="AD400" s="13"/>
      <c r="AE400" s="13"/>
      <c r="AF400" s="242"/>
      <c r="AG400" s="242"/>
      <c r="AH400" s="242"/>
      <c r="AI400" s="242"/>
      <c r="AJ400" s="242"/>
      <c r="AK400" s="242"/>
      <c r="AL400" s="242"/>
      <c r="AM400" s="242"/>
      <c r="AN400" s="242"/>
      <c r="AO400" s="242"/>
      <c r="AP400" s="242"/>
    </row>
    <row r="401">
      <c r="A401" s="242"/>
      <c r="B401" s="242"/>
      <c r="C401" s="242"/>
      <c r="D401" s="242"/>
      <c r="E401" s="242"/>
      <c r="F401" s="242"/>
      <c r="G401" s="242"/>
      <c r="H401" s="242"/>
      <c r="I401" s="242"/>
      <c r="J401" s="242"/>
      <c r="K401" s="242"/>
      <c r="L401" s="242"/>
      <c r="M401" s="242"/>
      <c r="N401" s="242"/>
      <c r="O401" s="242"/>
      <c r="P401" s="13"/>
      <c r="Q401" s="13"/>
      <c r="R401" s="13"/>
      <c r="S401" s="13"/>
      <c r="T401" s="13"/>
      <c r="U401" s="13"/>
      <c r="V401" s="13"/>
      <c r="W401" s="13"/>
      <c r="X401" s="13"/>
      <c r="Y401" s="13"/>
      <c r="Z401" s="13"/>
      <c r="AA401" s="13"/>
      <c r="AB401" s="13"/>
      <c r="AC401" s="13"/>
      <c r="AD401" s="13"/>
      <c r="AE401" s="13"/>
      <c r="AF401" s="242"/>
      <c r="AG401" s="242"/>
      <c r="AH401" s="242"/>
      <c r="AI401" s="242"/>
      <c r="AJ401" s="242"/>
      <c r="AK401" s="242"/>
      <c r="AL401" s="242"/>
      <c r="AM401" s="242"/>
      <c r="AN401" s="242"/>
      <c r="AO401" s="242"/>
      <c r="AP401" s="242"/>
    </row>
    <row r="402">
      <c r="A402" s="242"/>
      <c r="B402" s="242"/>
      <c r="C402" s="242"/>
      <c r="D402" s="242"/>
      <c r="E402" s="242"/>
      <c r="F402" s="242"/>
      <c r="G402" s="242"/>
      <c r="H402" s="242"/>
      <c r="I402" s="242"/>
      <c r="J402" s="242"/>
      <c r="K402" s="242"/>
      <c r="L402" s="242"/>
      <c r="M402" s="242"/>
      <c r="N402" s="242"/>
      <c r="O402" s="242"/>
      <c r="P402" s="13"/>
      <c r="Q402" s="13"/>
      <c r="R402" s="13"/>
      <c r="S402" s="13"/>
      <c r="T402" s="13"/>
      <c r="U402" s="13"/>
      <c r="V402" s="13"/>
      <c r="W402" s="13"/>
      <c r="X402" s="13"/>
      <c r="Y402" s="13"/>
      <c r="Z402" s="13"/>
      <c r="AA402" s="13"/>
      <c r="AB402" s="13"/>
      <c r="AC402" s="13"/>
      <c r="AD402" s="13"/>
      <c r="AE402" s="13"/>
      <c r="AF402" s="242"/>
      <c r="AG402" s="242"/>
      <c r="AH402" s="242"/>
      <c r="AI402" s="242"/>
      <c r="AJ402" s="242"/>
      <c r="AK402" s="242"/>
      <c r="AL402" s="242"/>
      <c r="AM402" s="242"/>
      <c r="AN402" s="242"/>
      <c r="AO402" s="242"/>
      <c r="AP402" s="242"/>
    </row>
    <row r="403">
      <c r="A403" s="242"/>
      <c r="B403" s="242"/>
      <c r="C403" s="242"/>
      <c r="D403" s="242"/>
      <c r="E403" s="242"/>
      <c r="F403" s="242"/>
      <c r="G403" s="242"/>
      <c r="H403" s="242"/>
      <c r="I403" s="242"/>
      <c r="J403" s="242"/>
      <c r="K403" s="242"/>
      <c r="L403" s="242"/>
      <c r="M403" s="242"/>
      <c r="N403" s="242"/>
      <c r="O403" s="242"/>
      <c r="P403" s="13"/>
      <c r="Q403" s="13"/>
      <c r="R403" s="13"/>
      <c r="S403" s="13"/>
      <c r="T403" s="13"/>
      <c r="U403" s="13"/>
      <c r="V403" s="13"/>
      <c r="W403" s="13"/>
      <c r="X403" s="13"/>
      <c r="Y403" s="13"/>
      <c r="Z403" s="13"/>
      <c r="AA403" s="13"/>
      <c r="AB403" s="13"/>
      <c r="AC403" s="13"/>
      <c r="AD403" s="13"/>
      <c r="AE403" s="13"/>
      <c r="AF403" s="242"/>
      <c r="AG403" s="242"/>
      <c r="AH403" s="242"/>
      <c r="AI403" s="242"/>
      <c r="AJ403" s="242"/>
      <c r="AK403" s="242"/>
      <c r="AL403" s="242"/>
      <c r="AM403" s="242"/>
      <c r="AN403" s="242"/>
      <c r="AO403" s="242"/>
      <c r="AP403" s="242"/>
    </row>
    <row r="404">
      <c r="A404" s="242"/>
      <c r="B404" s="242"/>
      <c r="C404" s="242"/>
      <c r="D404" s="242"/>
      <c r="E404" s="242"/>
      <c r="F404" s="242"/>
      <c r="G404" s="242"/>
      <c r="H404" s="242"/>
      <c r="I404" s="242"/>
      <c r="J404" s="242"/>
      <c r="K404" s="242"/>
      <c r="L404" s="242"/>
      <c r="M404" s="242"/>
      <c r="N404" s="242"/>
      <c r="O404" s="242"/>
      <c r="P404" s="13"/>
      <c r="Q404" s="13"/>
      <c r="R404" s="13"/>
      <c r="S404" s="13"/>
      <c r="T404" s="13"/>
      <c r="U404" s="13"/>
      <c r="V404" s="13"/>
      <c r="W404" s="13"/>
      <c r="X404" s="13"/>
      <c r="Y404" s="13"/>
      <c r="Z404" s="13"/>
      <c r="AA404" s="13"/>
      <c r="AB404" s="13"/>
      <c r="AC404" s="13"/>
      <c r="AD404" s="13"/>
      <c r="AE404" s="13"/>
      <c r="AF404" s="242"/>
      <c r="AG404" s="242"/>
      <c r="AH404" s="242"/>
      <c r="AI404" s="242"/>
      <c r="AJ404" s="242"/>
      <c r="AK404" s="242"/>
      <c r="AL404" s="242"/>
      <c r="AM404" s="242"/>
      <c r="AN404" s="242"/>
      <c r="AO404" s="242"/>
      <c r="AP404" s="242"/>
    </row>
    <row r="405">
      <c r="A405" s="242"/>
      <c r="B405" s="242"/>
      <c r="C405" s="242"/>
      <c r="D405" s="242"/>
      <c r="E405" s="242"/>
      <c r="F405" s="242"/>
      <c r="G405" s="242"/>
      <c r="H405" s="242"/>
      <c r="I405" s="242"/>
      <c r="J405" s="242"/>
      <c r="K405" s="242"/>
      <c r="L405" s="242"/>
      <c r="M405" s="242"/>
      <c r="N405" s="242"/>
      <c r="O405" s="242"/>
      <c r="P405" s="13"/>
      <c r="Q405" s="13"/>
      <c r="R405" s="13"/>
      <c r="S405" s="13"/>
      <c r="T405" s="13"/>
      <c r="U405" s="13"/>
      <c r="V405" s="13"/>
      <c r="W405" s="13"/>
      <c r="X405" s="13"/>
      <c r="Y405" s="13"/>
      <c r="Z405" s="13"/>
      <c r="AA405" s="13"/>
      <c r="AB405" s="13"/>
      <c r="AC405" s="13"/>
      <c r="AD405" s="13"/>
      <c r="AE405" s="13"/>
      <c r="AF405" s="242"/>
      <c r="AG405" s="242"/>
      <c r="AH405" s="242"/>
      <c r="AI405" s="242"/>
      <c r="AJ405" s="242"/>
      <c r="AK405" s="242"/>
      <c r="AL405" s="242"/>
      <c r="AM405" s="242"/>
      <c r="AN405" s="242"/>
      <c r="AO405" s="242"/>
      <c r="AP405" s="242"/>
    </row>
    <row r="406">
      <c r="A406" s="242"/>
      <c r="B406" s="242"/>
      <c r="C406" s="242"/>
      <c r="D406" s="242"/>
      <c r="E406" s="242"/>
      <c r="F406" s="242"/>
      <c r="G406" s="242"/>
      <c r="H406" s="242"/>
      <c r="I406" s="242"/>
      <c r="J406" s="242"/>
      <c r="K406" s="242"/>
      <c r="L406" s="242"/>
      <c r="M406" s="242"/>
      <c r="N406" s="242"/>
      <c r="O406" s="242"/>
      <c r="P406" s="13"/>
      <c r="Q406" s="13"/>
      <c r="R406" s="13"/>
      <c r="S406" s="13"/>
      <c r="T406" s="13"/>
      <c r="U406" s="13"/>
      <c r="V406" s="13"/>
      <c r="W406" s="13"/>
      <c r="X406" s="13"/>
      <c r="Y406" s="13"/>
      <c r="Z406" s="13"/>
      <c r="AA406" s="13"/>
      <c r="AB406" s="13"/>
      <c r="AC406" s="13"/>
      <c r="AD406" s="13"/>
      <c r="AE406" s="13"/>
      <c r="AF406" s="242"/>
      <c r="AG406" s="242"/>
      <c r="AH406" s="242"/>
      <c r="AI406" s="242"/>
      <c r="AJ406" s="242"/>
      <c r="AK406" s="242"/>
      <c r="AL406" s="242"/>
      <c r="AM406" s="242"/>
      <c r="AN406" s="242"/>
      <c r="AO406" s="242"/>
      <c r="AP406" s="242"/>
    </row>
    <row r="407">
      <c r="A407" s="242"/>
      <c r="B407" s="242"/>
      <c r="C407" s="242"/>
      <c r="D407" s="242"/>
      <c r="E407" s="242"/>
      <c r="F407" s="242"/>
      <c r="G407" s="242"/>
      <c r="H407" s="242"/>
      <c r="I407" s="242"/>
      <c r="J407" s="242"/>
      <c r="K407" s="242"/>
      <c r="L407" s="242"/>
      <c r="M407" s="242"/>
      <c r="N407" s="242"/>
      <c r="O407" s="242"/>
      <c r="P407" s="13"/>
      <c r="Q407" s="13"/>
      <c r="R407" s="13"/>
      <c r="S407" s="13"/>
      <c r="T407" s="13"/>
      <c r="U407" s="13"/>
      <c r="V407" s="13"/>
      <c r="W407" s="13"/>
      <c r="X407" s="13"/>
      <c r="Y407" s="13"/>
      <c r="Z407" s="13"/>
      <c r="AA407" s="13"/>
      <c r="AB407" s="13"/>
      <c r="AC407" s="13"/>
      <c r="AD407" s="13"/>
      <c r="AE407" s="13"/>
      <c r="AF407" s="242"/>
      <c r="AG407" s="242"/>
      <c r="AH407" s="242"/>
      <c r="AI407" s="242"/>
      <c r="AJ407" s="242"/>
      <c r="AK407" s="242"/>
      <c r="AL407" s="242"/>
      <c r="AM407" s="242"/>
      <c r="AN407" s="242"/>
      <c r="AO407" s="242"/>
      <c r="AP407" s="242"/>
    </row>
    <row r="408">
      <c r="A408" s="242"/>
      <c r="B408" s="242"/>
      <c r="C408" s="242"/>
      <c r="D408" s="242"/>
      <c r="E408" s="242"/>
      <c r="F408" s="242"/>
      <c r="G408" s="242"/>
      <c r="H408" s="242"/>
      <c r="I408" s="242"/>
      <c r="J408" s="242"/>
      <c r="K408" s="242"/>
      <c r="L408" s="242"/>
      <c r="M408" s="242"/>
      <c r="N408" s="242"/>
      <c r="O408" s="242"/>
      <c r="P408" s="13"/>
      <c r="Q408" s="13"/>
      <c r="R408" s="13"/>
      <c r="S408" s="13"/>
      <c r="T408" s="13"/>
      <c r="U408" s="13"/>
      <c r="V408" s="13"/>
      <c r="W408" s="13"/>
      <c r="X408" s="13"/>
      <c r="Y408" s="13"/>
      <c r="Z408" s="13"/>
      <c r="AA408" s="13"/>
      <c r="AB408" s="13"/>
      <c r="AC408" s="13"/>
      <c r="AD408" s="13"/>
      <c r="AE408" s="13"/>
      <c r="AF408" s="242"/>
      <c r="AG408" s="242"/>
      <c r="AH408" s="242"/>
      <c r="AI408" s="242"/>
      <c r="AJ408" s="242"/>
      <c r="AK408" s="242"/>
      <c r="AL408" s="242"/>
      <c r="AM408" s="242"/>
      <c r="AN408" s="242"/>
      <c r="AO408" s="242"/>
      <c r="AP408" s="242"/>
    </row>
    <row r="409">
      <c r="A409" s="242"/>
      <c r="B409" s="242"/>
      <c r="C409" s="242"/>
      <c r="D409" s="242"/>
      <c r="E409" s="242"/>
      <c r="F409" s="242"/>
      <c r="G409" s="242"/>
      <c r="H409" s="242"/>
      <c r="I409" s="242"/>
      <c r="J409" s="242"/>
      <c r="K409" s="242"/>
      <c r="L409" s="242"/>
      <c r="M409" s="242"/>
      <c r="N409" s="242"/>
      <c r="O409" s="242"/>
      <c r="P409" s="13"/>
      <c r="Q409" s="13"/>
      <c r="R409" s="13"/>
      <c r="S409" s="13"/>
      <c r="T409" s="13"/>
      <c r="U409" s="13"/>
      <c r="V409" s="13"/>
      <c r="W409" s="13"/>
      <c r="X409" s="13"/>
      <c r="Y409" s="13"/>
      <c r="Z409" s="13"/>
      <c r="AA409" s="13"/>
      <c r="AB409" s="13"/>
      <c r="AC409" s="13"/>
      <c r="AD409" s="13"/>
      <c r="AE409" s="13"/>
      <c r="AF409" s="242"/>
      <c r="AG409" s="242"/>
      <c r="AH409" s="242"/>
      <c r="AI409" s="242"/>
      <c r="AJ409" s="242"/>
      <c r="AK409" s="242"/>
      <c r="AL409" s="242"/>
      <c r="AM409" s="242"/>
      <c r="AN409" s="242"/>
      <c r="AO409" s="242"/>
      <c r="AP409" s="242"/>
    </row>
    <row r="410">
      <c r="A410" s="242"/>
      <c r="B410" s="242"/>
      <c r="C410" s="242"/>
      <c r="D410" s="242"/>
      <c r="E410" s="242"/>
      <c r="F410" s="242"/>
      <c r="G410" s="242"/>
      <c r="H410" s="242"/>
      <c r="I410" s="242"/>
      <c r="J410" s="242"/>
      <c r="K410" s="242"/>
      <c r="L410" s="242"/>
      <c r="M410" s="242"/>
      <c r="N410" s="242"/>
      <c r="O410" s="242"/>
      <c r="P410" s="13"/>
      <c r="Q410" s="13"/>
      <c r="R410" s="13"/>
      <c r="S410" s="13"/>
      <c r="T410" s="13"/>
      <c r="U410" s="13"/>
      <c r="V410" s="13"/>
      <c r="W410" s="13"/>
      <c r="X410" s="13"/>
      <c r="Y410" s="13"/>
      <c r="Z410" s="13"/>
      <c r="AA410" s="13"/>
      <c r="AB410" s="13"/>
      <c r="AC410" s="13"/>
      <c r="AD410" s="13"/>
      <c r="AE410" s="13"/>
      <c r="AF410" s="242"/>
      <c r="AG410" s="242"/>
      <c r="AH410" s="242"/>
      <c r="AI410" s="242"/>
      <c r="AJ410" s="242"/>
      <c r="AK410" s="242"/>
      <c r="AL410" s="242"/>
      <c r="AM410" s="242"/>
      <c r="AN410" s="242"/>
      <c r="AO410" s="242"/>
      <c r="AP410" s="242"/>
    </row>
    <row r="411">
      <c r="A411" s="242"/>
      <c r="B411" s="242"/>
      <c r="C411" s="242"/>
      <c r="D411" s="242"/>
      <c r="E411" s="242"/>
      <c r="F411" s="242"/>
      <c r="G411" s="242"/>
      <c r="H411" s="242"/>
      <c r="I411" s="242"/>
      <c r="J411" s="242"/>
      <c r="K411" s="242"/>
      <c r="L411" s="242"/>
      <c r="M411" s="242"/>
      <c r="N411" s="242"/>
      <c r="O411" s="242"/>
      <c r="P411" s="13"/>
      <c r="Q411" s="13"/>
      <c r="R411" s="13"/>
      <c r="S411" s="13"/>
      <c r="T411" s="13"/>
      <c r="U411" s="13"/>
      <c r="V411" s="13"/>
      <c r="W411" s="13"/>
      <c r="X411" s="13"/>
      <c r="Y411" s="13"/>
      <c r="Z411" s="13"/>
      <c r="AA411" s="13"/>
      <c r="AB411" s="13"/>
      <c r="AC411" s="13"/>
      <c r="AD411" s="13"/>
      <c r="AE411" s="13"/>
      <c r="AF411" s="242"/>
      <c r="AG411" s="242"/>
      <c r="AH411" s="242"/>
      <c r="AI411" s="242"/>
      <c r="AJ411" s="242"/>
      <c r="AK411" s="242"/>
      <c r="AL411" s="242"/>
      <c r="AM411" s="242"/>
      <c r="AN411" s="242"/>
      <c r="AO411" s="242"/>
      <c r="AP411" s="242"/>
    </row>
    <row r="412">
      <c r="A412" s="242"/>
      <c r="B412" s="242"/>
      <c r="C412" s="242"/>
      <c r="D412" s="242"/>
      <c r="E412" s="242"/>
      <c r="F412" s="242"/>
      <c r="G412" s="242"/>
      <c r="H412" s="242"/>
      <c r="I412" s="242"/>
      <c r="J412" s="242"/>
      <c r="K412" s="242"/>
      <c r="L412" s="242"/>
      <c r="M412" s="242"/>
      <c r="N412" s="242"/>
      <c r="O412" s="242"/>
      <c r="P412" s="13"/>
      <c r="Q412" s="13"/>
      <c r="R412" s="13"/>
      <c r="S412" s="13"/>
      <c r="T412" s="13"/>
      <c r="U412" s="13"/>
      <c r="V412" s="13"/>
      <c r="W412" s="13"/>
      <c r="X412" s="13"/>
      <c r="Y412" s="13"/>
      <c r="Z412" s="13"/>
      <c r="AA412" s="13"/>
      <c r="AB412" s="13"/>
      <c r="AC412" s="13"/>
      <c r="AD412" s="13"/>
      <c r="AE412" s="13"/>
      <c r="AF412" s="242"/>
      <c r="AG412" s="242"/>
      <c r="AH412" s="242"/>
      <c r="AI412" s="242"/>
      <c r="AJ412" s="242"/>
      <c r="AK412" s="242"/>
      <c r="AL412" s="242"/>
      <c r="AM412" s="242"/>
      <c r="AN412" s="242"/>
      <c r="AO412" s="242"/>
      <c r="AP412" s="242"/>
    </row>
    <row r="413">
      <c r="A413" s="242"/>
      <c r="B413" s="242"/>
      <c r="C413" s="242"/>
      <c r="D413" s="242"/>
      <c r="E413" s="242"/>
      <c r="F413" s="242"/>
      <c r="G413" s="242"/>
      <c r="H413" s="242"/>
      <c r="I413" s="242"/>
      <c r="J413" s="242"/>
      <c r="K413" s="242"/>
      <c r="L413" s="242"/>
      <c r="M413" s="242"/>
      <c r="N413" s="242"/>
      <c r="O413" s="242"/>
      <c r="P413" s="13"/>
      <c r="Q413" s="13"/>
      <c r="R413" s="13"/>
      <c r="S413" s="13"/>
      <c r="T413" s="13"/>
      <c r="U413" s="13"/>
      <c r="V413" s="13"/>
      <c r="W413" s="13"/>
      <c r="X413" s="13"/>
      <c r="Y413" s="13"/>
      <c r="Z413" s="13"/>
      <c r="AA413" s="13"/>
      <c r="AB413" s="13"/>
      <c r="AC413" s="13"/>
      <c r="AD413" s="13"/>
      <c r="AE413" s="13"/>
      <c r="AF413" s="242"/>
      <c r="AG413" s="242"/>
      <c r="AH413" s="242"/>
      <c r="AI413" s="242"/>
      <c r="AJ413" s="242"/>
      <c r="AK413" s="242"/>
      <c r="AL413" s="242"/>
      <c r="AM413" s="242"/>
      <c r="AN413" s="242"/>
      <c r="AO413" s="242"/>
      <c r="AP413" s="242"/>
    </row>
    <row r="414">
      <c r="A414" s="242"/>
      <c r="B414" s="242"/>
      <c r="C414" s="242"/>
      <c r="D414" s="242"/>
      <c r="E414" s="242"/>
      <c r="F414" s="242"/>
      <c r="G414" s="242"/>
      <c r="H414" s="242"/>
      <c r="I414" s="242"/>
      <c r="J414" s="242"/>
      <c r="K414" s="242"/>
      <c r="L414" s="242"/>
      <c r="M414" s="242"/>
      <c r="N414" s="242"/>
      <c r="O414" s="242"/>
      <c r="P414" s="13"/>
      <c r="Q414" s="13"/>
      <c r="R414" s="13"/>
      <c r="S414" s="13"/>
      <c r="T414" s="13"/>
      <c r="U414" s="13"/>
      <c r="V414" s="13"/>
      <c r="W414" s="13"/>
      <c r="X414" s="13"/>
      <c r="Y414" s="13"/>
      <c r="Z414" s="13"/>
      <c r="AA414" s="13"/>
      <c r="AB414" s="13"/>
      <c r="AC414" s="13"/>
      <c r="AD414" s="13"/>
      <c r="AE414" s="13"/>
      <c r="AF414" s="242"/>
      <c r="AG414" s="242"/>
      <c r="AH414" s="242"/>
      <c r="AI414" s="242"/>
      <c r="AJ414" s="242"/>
      <c r="AK414" s="242"/>
      <c r="AL414" s="242"/>
      <c r="AM414" s="242"/>
      <c r="AN414" s="242"/>
      <c r="AO414" s="242"/>
      <c r="AP414" s="242"/>
    </row>
    <row r="415">
      <c r="A415" s="242"/>
      <c r="B415" s="242"/>
      <c r="C415" s="242"/>
      <c r="D415" s="242"/>
      <c r="E415" s="242"/>
      <c r="F415" s="242"/>
      <c r="G415" s="242"/>
      <c r="H415" s="242"/>
      <c r="I415" s="242"/>
      <c r="J415" s="242"/>
      <c r="K415" s="242"/>
      <c r="L415" s="242"/>
      <c r="M415" s="242"/>
      <c r="N415" s="242"/>
      <c r="O415" s="242"/>
      <c r="P415" s="13"/>
      <c r="Q415" s="13"/>
      <c r="R415" s="13"/>
      <c r="S415" s="13"/>
      <c r="T415" s="13"/>
      <c r="U415" s="13"/>
      <c r="V415" s="13"/>
      <c r="W415" s="13"/>
      <c r="X415" s="13"/>
      <c r="Y415" s="13"/>
      <c r="Z415" s="13"/>
      <c r="AA415" s="13"/>
      <c r="AB415" s="13"/>
      <c r="AC415" s="13"/>
      <c r="AD415" s="13"/>
      <c r="AE415" s="13"/>
      <c r="AF415" s="242"/>
      <c r="AG415" s="242"/>
      <c r="AH415" s="242"/>
      <c r="AI415" s="242"/>
      <c r="AJ415" s="242"/>
      <c r="AK415" s="242"/>
      <c r="AL415" s="242"/>
      <c r="AM415" s="242"/>
      <c r="AN415" s="242"/>
      <c r="AO415" s="242"/>
      <c r="AP415" s="242"/>
    </row>
    <row r="416">
      <c r="A416" s="242"/>
      <c r="B416" s="242"/>
      <c r="C416" s="242"/>
      <c r="D416" s="242"/>
      <c r="E416" s="242"/>
      <c r="F416" s="242"/>
      <c r="G416" s="242"/>
      <c r="H416" s="242"/>
      <c r="I416" s="242"/>
      <c r="J416" s="242"/>
      <c r="K416" s="242"/>
      <c r="L416" s="242"/>
      <c r="M416" s="242"/>
      <c r="N416" s="242"/>
      <c r="O416" s="242"/>
      <c r="P416" s="13"/>
      <c r="Q416" s="13"/>
      <c r="R416" s="13"/>
      <c r="S416" s="13"/>
      <c r="T416" s="13"/>
      <c r="U416" s="13"/>
      <c r="V416" s="13"/>
      <c r="W416" s="13"/>
      <c r="X416" s="13"/>
      <c r="Y416" s="13"/>
      <c r="Z416" s="13"/>
      <c r="AA416" s="13"/>
      <c r="AB416" s="13"/>
      <c r="AC416" s="13"/>
      <c r="AD416" s="13"/>
      <c r="AE416" s="13"/>
      <c r="AF416" s="242"/>
      <c r="AG416" s="242"/>
      <c r="AH416" s="242"/>
      <c r="AI416" s="242"/>
      <c r="AJ416" s="242"/>
      <c r="AK416" s="242"/>
      <c r="AL416" s="242"/>
      <c r="AM416" s="242"/>
      <c r="AN416" s="242"/>
      <c r="AO416" s="242"/>
      <c r="AP416" s="242"/>
    </row>
    <row r="417">
      <c r="A417" s="242"/>
      <c r="B417" s="242"/>
      <c r="C417" s="242"/>
      <c r="D417" s="242"/>
      <c r="E417" s="242"/>
      <c r="F417" s="242"/>
      <c r="G417" s="242"/>
      <c r="H417" s="242"/>
      <c r="I417" s="242"/>
      <c r="J417" s="242"/>
      <c r="K417" s="242"/>
      <c r="L417" s="242"/>
      <c r="M417" s="242"/>
      <c r="N417" s="242"/>
      <c r="O417" s="242"/>
      <c r="P417" s="13"/>
      <c r="Q417" s="13"/>
      <c r="R417" s="13"/>
      <c r="S417" s="13"/>
      <c r="T417" s="13"/>
      <c r="U417" s="13"/>
      <c r="V417" s="13"/>
      <c r="W417" s="13"/>
      <c r="X417" s="13"/>
      <c r="Y417" s="13"/>
      <c r="Z417" s="13"/>
      <c r="AA417" s="13"/>
      <c r="AB417" s="13"/>
      <c r="AC417" s="13"/>
      <c r="AD417" s="13"/>
      <c r="AE417" s="13"/>
      <c r="AF417" s="242"/>
      <c r="AG417" s="242"/>
      <c r="AH417" s="242"/>
      <c r="AI417" s="242"/>
      <c r="AJ417" s="242"/>
      <c r="AK417" s="242"/>
      <c r="AL417" s="242"/>
      <c r="AM417" s="242"/>
      <c r="AN417" s="242"/>
      <c r="AO417" s="242"/>
      <c r="AP417" s="242"/>
    </row>
    <row r="418">
      <c r="A418" s="242"/>
      <c r="B418" s="242"/>
      <c r="C418" s="242"/>
      <c r="D418" s="242"/>
      <c r="E418" s="242"/>
      <c r="F418" s="242"/>
      <c r="G418" s="242"/>
      <c r="H418" s="242"/>
      <c r="I418" s="242"/>
      <c r="J418" s="242"/>
      <c r="K418" s="242"/>
      <c r="L418" s="242"/>
      <c r="M418" s="242"/>
      <c r="N418" s="242"/>
      <c r="O418" s="242"/>
      <c r="P418" s="13"/>
      <c r="Q418" s="13"/>
      <c r="R418" s="13"/>
      <c r="S418" s="13"/>
      <c r="T418" s="13"/>
      <c r="U418" s="13"/>
      <c r="V418" s="13"/>
      <c r="W418" s="13"/>
      <c r="X418" s="13"/>
      <c r="Y418" s="13"/>
      <c r="Z418" s="13"/>
      <c r="AA418" s="13"/>
      <c r="AB418" s="13"/>
      <c r="AC418" s="13"/>
      <c r="AD418" s="13"/>
      <c r="AE418" s="13"/>
      <c r="AF418" s="242"/>
      <c r="AG418" s="242"/>
      <c r="AH418" s="242"/>
      <c r="AI418" s="242"/>
      <c r="AJ418" s="242"/>
      <c r="AK418" s="242"/>
      <c r="AL418" s="242"/>
      <c r="AM418" s="242"/>
      <c r="AN418" s="242"/>
      <c r="AO418" s="242"/>
      <c r="AP418" s="242"/>
    </row>
    <row r="419">
      <c r="A419" s="242"/>
      <c r="B419" s="242"/>
      <c r="C419" s="242"/>
      <c r="D419" s="242"/>
      <c r="E419" s="242"/>
      <c r="F419" s="242"/>
      <c r="G419" s="242"/>
      <c r="H419" s="242"/>
      <c r="I419" s="242"/>
      <c r="J419" s="242"/>
      <c r="K419" s="242"/>
      <c r="L419" s="242"/>
      <c r="M419" s="242"/>
      <c r="N419" s="242"/>
      <c r="O419" s="242"/>
      <c r="P419" s="13"/>
      <c r="Q419" s="13"/>
      <c r="R419" s="13"/>
      <c r="S419" s="13"/>
      <c r="T419" s="13"/>
      <c r="U419" s="13"/>
      <c r="V419" s="13"/>
      <c r="W419" s="13"/>
      <c r="X419" s="13"/>
      <c r="Y419" s="13"/>
      <c r="Z419" s="13"/>
      <c r="AA419" s="13"/>
      <c r="AB419" s="13"/>
      <c r="AC419" s="13"/>
      <c r="AD419" s="13"/>
      <c r="AE419" s="13"/>
      <c r="AF419" s="242"/>
      <c r="AG419" s="242"/>
      <c r="AH419" s="242"/>
      <c r="AI419" s="242"/>
      <c r="AJ419" s="242"/>
      <c r="AK419" s="242"/>
      <c r="AL419" s="242"/>
      <c r="AM419" s="242"/>
      <c r="AN419" s="242"/>
      <c r="AO419" s="242"/>
      <c r="AP419" s="242"/>
    </row>
    <row r="420">
      <c r="A420" s="242"/>
      <c r="B420" s="242"/>
      <c r="C420" s="242"/>
      <c r="D420" s="242"/>
      <c r="E420" s="242"/>
      <c r="F420" s="242"/>
      <c r="G420" s="242"/>
      <c r="H420" s="242"/>
      <c r="I420" s="242"/>
      <c r="J420" s="242"/>
      <c r="K420" s="242"/>
      <c r="L420" s="242"/>
      <c r="M420" s="242"/>
      <c r="N420" s="242"/>
      <c r="O420" s="242"/>
      <c r="P420" s="13"/>
      <c r="Q420" s="13"/>
      <c r="R420" s="13"/>
      <c r="S420" s="13"/>
      <c r="T420" s="13"/>
      <c r="U420" s="13"/>
      <c r="V420" s="13"/>
      <c r="W420" s="13"/>
      <c r="X420" s="13"/>
      <c r="Y420" s="13"/>
      <c r="Z420" s="13"/>
      <c r="AA420" s="13"/>
      <c r="AB420" s="13"/>
      <c r="AC420" s="13"/>
      <c r="AD420" s="13"/>
      <c r="AE420" s="13"/>
      <c r="AF420" s="242"/>
      <c r="AG420" s="242"/>
      <c r="AH420" s="242"/>
      <c r="AI420" s="242"/>
      <c r="AJ420" s="242"/>
      <c r="AK420" s="242"/>
      <c r="AL420" s="242"/>
      <c r="AM420" s="242"/>
      <c r="AN420" s="242"/>
      <c r="AO420" s="242"/>
      <c r="AP420" s="242"/>
    </row>
    <row r="421">
      <c r="A421" s="242"/>
      <c r="B421" s="242"/>
      <c r="C421" s="242"/>
      <c r="D421" s="242"/>
      <c r="E421" s="242"/>
      <c r="F421" s="242"/>
      <c r="G421" s="242"/>
      <c r="H421" s="242"/>
      <c r="I421" s="242"/>
      <c r="J421" s="242"/>
      <c r="K421" s="242"/>
      <c r="L421" s="242"/>
      <c r="M421" s="242"/>
      <c r="N421" s="242"/>
      <c r="O421" s="242"/>
      <c r="P421" s="13"/>
      <c r="Q421" s="13"/>
      <c r="R421" s="13"/>
      <c r="S421" s="13"/>
      <c r="T421" s="13"/>
      <c r="U421" s="13"/>
      <c r="V421" s="13"/>
      <c r="W421" s="13"/>
      <c r="X421" s="13"/>
      <c r="Y421" s="13"/>
      <c r="Z421" s="13"/>
      <c r="AA421" s="13"/>
      <c r="AB421" s="13"/>
      <c r="AC421" s="13"/>
      <c r="AD421" s="13"/>
      <c r="AE421" s="13"/>
      <c r="AF421" s="242"/>
      <c r="AG421" s="242"/>
      <c r="AH421" s="242"/>
      <c r="AI421" s="242"/>
      <c r="AJ421" s="242"/>
      <c r="AK421" s="242"/>
      <c r="AL421" s="242"/>
      <c r="AM421" s="242"/>
      <c r="AN421" s="242"/>
      <c r="AO421" s="242"/>
      <c r="AP421" s="242"/>
    </row>
    <row r="422">
      <c r="A422" s="242"/>
      <c r="B422" s="242"/>
      <c r="C422" s="242"/>
      <c r="D422" s="242"/>
      <c r="E422" s="242"/>
      <c r="F422" s="242"/>
      <c r="G422" s="242"/>
      <c r="H422" s="242"/>
      <c r="I422" s="242"/>
      <c r="J422" s="242"/>
      <c r="K422" s="242"/>
      <c r="L422" s="242"/>
      <c r="M422" s="242"/>
      <c r="N422" s="242"/>
      <c r="O422" s="242"/>
      <c r="P422" s="13"/>
      <c r="Q422" s="13"/>
      <c r="R422" s="13"/>
      <c r="S422" s="13"/>
      <c r="T422" s="13"/>
      <c r="U422" s="13"/>
      <c r="V422" s="13"/>
      <c r="W422" s="13"/>
      <c r="X422" s="13"/>
      <c r="Y422" s="13"/>
      <c r="Z422" s="13"/>
      <c r="AA422" s="13"/>
      <c r="AB422" s="13"/>
      <c r="AC422" s="13"/>
      <c r="AD422" s="13"/>
      <c r="AE422" s="13"/>
      <c r="AF422" s="242"/>
      <c r="AG422" s="242"/>
      <c r="AH422" s="242"/>
      <c r="AI422" s="242"/>
      <c r="AJ422" s="242"/>
      <c r="AK422" s="242"/>
      <c r="AL422" s="242"/>
      <c r="AM422" s="242"/>
      <c r="AN422" s="242"/>
      <c r="AO422" s="242"/>
      <c r="AP422" s="242"/>
    </row>
    <row r="423">
      <c r="A423" s="242"/>
      <c r="B423" s="242"/>
      <c r="C423" s="242"/>
      <c r="D423" s="242"/>
      <c r="E423" s="242"/>
      <c r="F423" s="242"/>
      <c r="G423" s="242"/>
      <c r="H423" s="242"/>
      <c r="I423" s="242"/>
      <c r="J423" s="242"/>
      <c r="K423" s="242"/>
      <c r="L423" s="242"/>
      <c r="M423" s="242"/>
      <c r="N423" s="242"/>
      <c r="O423" s="242"/>
      <c r="P423" s="13"/>
      <c r="Q423" s="13"/>
      <c r="R423" s="13"/>
      <c r="S423" s="13"/>
      <c r="T423" s="13"/>
      <c r="U423" s="13"/>
      <c r="V423" s="13"/>
      <c r="W423" s="13"/>
      <c r="X423" s="13"/>
      <c r="Y423" s="13"/>
      <c r="Z423" s="13"/>
      <c r="AA423" s="13"/>
      <c r="AB423" s="13"/>
      <c r="AC423" s="13"/>
      <c r="AD423" s="13"/>
      <c r="AE423" s="13"/>
      <c r="AF423" s="242"/>
      <c r="AG423" s="242"/>
      <c r="AH423" s="242"/>
      <c r="AI423" s="242"/>
      <c r="AJ423" s="242"/>
      <c r="AK423" s="242"/>
      <c r="AL423" s="242"/>
      <c r="AM423" s="242"/>
      <c r="AN423" s="242"/>
      <c r="AO423" s="242"/>
      <c r="AP423" s="242"/>
    </row>
    <row r="424">
      <c r="A424" s="242"/>
      <c r="B424" s="242"/>
      <c r="C424" s="242"/>
      <c r="D424" s="242"/>
      <c r="E424" s="242"/>
      <c r="F424" s="242"/>
      <c r="G424" s="242"/>
      <c r="H424" s="242"/>
      <c r="I424" s="242"/>
      <c r="J424" s="242"/>
      <c r="K424" s="242"/>
      <c r="L424" s="242"/>
      <c r="M424" s="242"/>
      <c r="N424" s="242"/>
      <c r="O424" s="242"/>
      <c r="P424" s="13"/>
      <c r="Q424" s="13"/>
      <c r="R424" s="13"/>
      <c r="S424" s="13"/>
      <c r="T424" s="13"/>
      <c r="U424" s="13"/>
      <c r="V424" s="13"/>
      <c r="W424" s="13"/>
      <c r="X424" s="13"/>
      <c r="Y424" s="13"/>
      <c r="Z424" s="13"/>
      <c r="AA424" s="13"/>
      <c r="AB424" s="13"/>
      <c r="AC424" s="13"/>
      <c r="AD424" s="13"/>
      <c r="AE424" s="13"/>
      <c r="AF424" s="242"/>
      <c r="AG424" s="242"/>
      <c r="AH424" s="242"/>
      <c r="AI424" s="242"/>
      <c r="AJ424" s="242"/>
      <c r="AK424" s="242"/>
      <c r="AL424" s="242"/>
      <c r="AM424" s="242"/>
      <c r="AN424" s="242"/>
      <c r="AO424" s="242"/>
      <c r="AP424" s="242"/>
    </row>
    <row r="425">
      <c r="A425" s="242"/>
      <c r="B425" s="242"/>
      <c r="C425" s="242"/>
      <c r="D425" s="242"/>
      <c r="E425" s="242"/>
      <c r="F425" s="242"/>
      <c r="G425" s="242"/>
      <c r="H425" s="242"/>
      <c r="I425" s="242"/>
      <c r="J425" s="242"/>
      <c r="K425" s="242"/>
      <c r="L425" s="242"/>
      <c r="M425" s="242"/>
      <c r="N425" s="242"/>
      <c r="O425" s="242"/>
      <c r="P425" s="13"/>
      <c r="Q425" s="13"/>
      <c r="R425" s="13"/>
      <c r="S425" s="13"/>
      <c r="T425" s="13"/>
      <c r="U425" s="13"/>
      <c r="V425" s="13"/>
      <c r="W425" s="13"/>
      <c r="X425" s="13"/>
      <c r="Y425" s="13"/>
      <c r="Z425" s="13"/>
      <c r="AA425" s="13"/>
      <c r="AB425" s="13"/>
      <c r="AC425" s="13"/>
      <c r="AD425" s="13"/>
      <c r="AE425" s="13"/>
      <c r="AF425" s="242"/>
      <c r="AG425" s="242"/>
      <c r="AH425" s="242"/>
      <c r="AI425" s="242"/>
      <c r="AJ425" s="242"/>
      <c r="AK425" s="242"/>
      <c r="AL425" s="242"/>
      <c r="AM425" s="242"/>
      <c r="AN425" s="242"/>
      <c r="AO425" s="242"/>
      <c r="AP425" s="242"/>
    </row>
    <row r="426">
      <c r="A426" s="242"/>
      <c r="B426" s="242"/>
      <c r="C426" s="242"/>
      <c r="D426" s="242"/>
      <c r="E426" s="242"/>
      <c r="F426" s="242"/>
      <c r="G426" s="242"/>
      <c r="H426" s="242"/>
      <c r="I426" s="242"/>
      <c r="J426" s="242"/>
      <c r="K426" s="242"/>
      <c r="L426" s="242"/>
      <c r="M426" s="242"/>
      <c r="N426" s="242"/>
      <c r="O426" s="242"/>
      <c r="P426" s="13"/>
      <c r="Q426" s="13"/>
      <c r="R426" s="13"/>
      <c r="S426" s="13"/>
      <c r="T426" s="13"/>
      <c r="U426" s="13"/>
      <c r="V426" s="13"/>
      <c r="W426" s="13"/>
      <c r="X426" s="13"/>
      <c r="Y426" s="13"/>
      <c r="Z426" s="13"/>
      <c r="AA426" s="13"/>
      <c r="AB426" s="13"/>
      <c r="AC426" s="13"/>
      <c r="AD426" s="13"/>
      <c r="AE426" s="13"/>
      <c r="AF426" s="242"/>
      <c r="AG426" s="242"/>
      <c r="AH426" s="242"/>
      <c r="AI426" s="242"/>
      <c r="AJ426" s="242"/>
      <c r="AK426" s="242"/>
      <c r="AL426" s="242"/>
      <c r="AM426" s="242"/>
      <c r="AN426" s="242"/>
      <c r="AO426" s="242"/>
      <c r="AP426" s="242"/>
    </row>
    <row r="427">
      <c r="A427" s="242"/>
      <c r="B427" s="242"/>
      <c r="C427" s="242"/>
      <c r="D427" s="242"/>
      <c r="E427" s="242"/>
      <c r="F427" s="242"/>
      <c r="G427" s="242"/>
      <c r="H427" s="242"/>
      <c r="I427" s="242"/>
      <c r="J427" s="242"/>
      <c r="K427" s="242"/>
      <c r="L427" s="242"/>
      <c r="M427" s="242"/>
      <c r="N427" s="242"/>
      <c r="O427" s="242"/>
      <c r="P427" s="13"/>
      <c r="Q427" s="13"/>
      <c r="R427" s="13"/>
      <c r="S427" s="13"/>
      <c r="T427" s="13"/>
      <c r="U427" s="13"/>
      <c r="V427" s="13"/>
      <c r="W427" s="13"/>
      <c r="X427" s="13"/>
      <c r="Y427" s="13"/>
      <c r="Z427" s="13"/>
      <c r="AA427" s="13"/>
      <c r="AB427" s="13"/>
      <c r="AC427" s="13"/>
      <c r="AD427" s="13"/>
      <c r="AE427" s="13"/>
      <c r="AF427" s="242"/>
      <c r="AG427" s="242"/>
      <c r="AH427" s="242"/>
      <c r="AI427" s="242"/>
      <c r="AJ427" s="242"/>
      <c r="AK427" s="242"/>
      <c r="AL427" s="242"/>
      <c r="AM427" s="242"/>
      <c r="AN427" s="242"/>
      <c r="AO427" s="242"/>
      <c r="AP427" s="242"/>
    </row>
    <row r="428">
      <c r="A428" s="242"/>
      <c r="B428" s="242"/>
      <c r="C428" s="242"/>
      <c r="D428" s="242"/>
      <c r="E428" s="242"/>
      <c r="F428" s="242"/>
      <c r="G428" s="242"/>
      <c r="H428" s="242"/>
      <c r="I428" s="242"/>
      <c r="J428" s="242"/>
      <c r="K428" s="242"/>
      <c r="L428" s="242"/>
      <c r="M428" s="242"/>
      <c r="N428" s="242"/>
      <c r="O428" s="242"/>
      <c r="P428" s="13"/>
      <c r="Q428" s="13"/>
      <c r="R428" s="13"/>
      <c r="S428" s="13"/>
      <c r="T428" s="13"/>
      <c r="U428" s="13"/>
      <c r="V428" s="13"/>
      <c r="W428" s="13"/>
      <c r="X428" s="13"/>
      <c r="Y428" s="13"/>
      <c r="Z428" s="13"/>
      <c r="AA428" s="13"/>
      <c r="AB428" s="13"/>
      <c r="AC428" s="13"/>
      <c r="AD428" s="13"/>
      <c r="AE428" s="13"/>
      <c r="AF428" s="242"/>
      <c r="AG428" s="242"/>
      <c r="AH428" s="242"/>
      <c r="AI428" s="242"/>
      <c r="AJ428" s="242"/>
      <c r="AK428" s="242"/>
      <c r="AL428" s="242"/>
      <c r="AM428" s="242"/>
      <c r="AN428" s="242"/>
      <c r="AO428" s="242"/>
      <c r="AP428" s="242"/>
    </row>
    <row r="429">
      <c r="A429" s="242"/>
      <c r="B429" s="242"/>
      <c r="C429" s="242"/>
      <c r="D429" s="242"/>
      <c r="E429" s="242"/>
      <c r="F429" s="242"/>
      <c r="G429" s="242"/>
      <c r="H429" s="242"/>
      <c r="I429" s="242"/>
      <c r="J429" s="242"/>
      <c r="K429" s="242"/>
      <c r="L429" s="242"/>
      <c r="M429" s="242"/>
      <c r="N429" s="242"/>
      <c r="O429" s="242"/>
      <c r="P429" s="13"/>
      <c r="Q429" s="13"/>
      <c r="R429" s="13"/>
      <c r="S429" s="13"/>
      <c r="T429" s="13"/>
      <c r="U429" s="13"/>
      <c r="V429" s="13"/>
      <c r="W429" s="13"/>
      <c r="X429" s="13"/>
      <c r="Y429" s="13"/>
      <c r="Z429" s="13"/>
      <c r="AA429" s="13"/>
      <c r="AB429" s="13"/>
      <c r="AC429" s="13"/>
      <c r="AD429" s="13"/>
      <c r="AE429" s="13"/>
      <c r="AF429" s="242"/>
      <c r="AG429" s="242"/>
      <c r="AH429" s="242"/>
      <c r="AI429" s="242"/>
      <c r="AJ429" s="242"/>
      <c r="AK429" s="242"/>
      <c r="AL429" s="242"/>
      <c r="AM429" s="242"/>
      <c r="AN429" s="242"/>
      <c r="AO429" s="242"/>
      <c r="AP429" s="242"/>
    </row>
    <row r="430">
      <c r="A430" s="242"/>
      <c r="B430" s="242"/>
      <c r="C430" s="242"/>
      <c r="D430" s="242"/>
      <c r="E430" s="242"/>
      <c r="F430" s="242"/>
      <c r="G430" s="242"/>
      <c r="H430" s="242"/>
      <c r="I430" s="242"/>
      <c r="J430" s="242"/>
      <c r="K430" s="242"/>
      <c r="L430" s="242"/>
      <c r="M430" s="242"/>
      <c r="N430" s="242"/>
      <c r="O430" s="242"/>
      <c r="P430" s="13"/>
      <c r="Q430" s="13"/>
      <c r="R430" s="13"/>
      <c r="S430" s="13"/>
      <c r="T430" s="13"/>
      <c r="U430" s="13"/>
      <c r="V430" s="13"/>
      <c r="W430" s="13"/>
      <c r="X430" s="13"/>
      <c r="Y430" s="13"/>
      <c r="Z430" s="13"/>
      <c r="AA430" s="13"/>
      <c r="AB430" s="13"/>
      <c r="AC430" s="13"/>
      <c r="AD430" s="13"/>
      <c r="AE430" s="13"/>
      <c r="AF430" s="242"/>
      <c r="AG430" s="242"/>
      <c r="AH430" s="242"/>
      <c r="AI430" s="242"/>
      <c r="AJ430" s="242"/>
      <c r="AK430" s="242"/>
      <c r="AL430" s="242"/>
      <c r="AM430" s="242"/>
      <c r="AN430" s="242"/>
      <c r="AO430" s="242"/>
      <c r="AP430" s="242"/>
    </row>
    <row r="431">
      <c r="A431" s="242"/>
      <c r="B431" s="242"/>
      <c r="C431" s="242"/>
      <c r="D431" s="242"/>
      <c r="E431" s="242"/>
      <c r="F431" s="242"/>
      <c r="G431" s="242"/>
      <c r="H431" s="242"/>
      <c r="I431" s="242"/>
      <c r="J431" s="242"/>
      <c r="K431" s="242"/>
      <c r="L431" s="242"/>
      <c r="M431" s="242"/>
      <c r="N431" s="242"/>
      <c r="O431" s="242"/>
      <c r="P431" s="13"/>
      <c r="Q431" s="13"/>
      <c r="R431" s="13"/>
      <c r="S431" s="13"/>
      <c r="T431" s="13"/>
      <c r="U431" s="13"/>
      <c r="V431" s="13"/>
      <c r="W431" s="13"/>
      <c r="X431" s="13"/>
      <c r="Y431" s="13"/>
      <c r="Z431" s="13"/>
      <c r="AA431" s="13"/>
      <c r="AB431" s="13"/>
      <c r="AC431" s="13"/>
      <c r="AD431" s="13"/>
      <c r="AE431" s="13"/>
      <c r="AF431" s="242"/>
      <c r="AG431" s="242"/>
      <c r="AH431" s="242"/>
      <c r="AI431" s="242"/>
      <c r="AJ431" s="242"/>
      <c r="AK431" s="242"/>
      <c r="AL431" s="242"/>
      <c r="AM431" s="242"/>
      <c r="AN431" s="242"/>
      <c r="AO431" s="242"/>
      <c r="AP431" s="242"/>
    </row>
    <row r="432">
      <c r="A432" s="242"/>
      <c r="B432" s="242"/>
      <c r="C432" s="242"/>
      <c r="D432" s="242"/>
      <c r="E432" s="242"/>
      <c r="F432" s="242"/>
      <c r="G432" s="242"/>
      <c r="H432" s="242"/>
      <c r="I432" s="242"/>
      <c r="J432" s="242"/>
      <c r="K432" s="242"/>
      <c r="L432" s="242"/>
      <c r="M432" s="242"/>
      <c r="N432" s="242"/>
      <c r="O432" s="242"/>
      <c r="P432" s="13"/>
      <c r="Q432" s="13"/>
      <c r="R432" s="13"/>
      <c r="S432" s="13"/>
      <c r="T432" s="13"/>
      <c r="U432" s="13"/>
      <c r="V432" s="13"/>
      <c r="W432" s="13"/>
      <c r="X432" s="13"/>
      <c r="Y432" s="13"/>
      <c r="Z432" s="13"/>
      <c r="AA432" s="13"/>
      <c r="AB432" s="13"/>
      <c r="AC432" s="13"/>
      <c r="AD432" s="13"/>
      <c r="AE432" s="13"/>
      <c r="AF432" s="242"/>
      <c r="AG432" s="242"/>
      <c r="AH432" s="242"/>
      <c r="AI432" s="242"/>
      <c r="AJ432" s="242"/>
      <c r="AK432" s="242"/>
      <c r="AL432" s="242"/>
      <c r="AM432" s="242"/>
      <c r="AN432" s="242"/>
      <c r="AO432" s="242"/>
      <c r="AP432" s="242"/>
    </row>
    <row r="433">
      <c r="A433" s="242"/>
      <c r="B433" s="242"/>
      <c r="C433" s="242"/>
      <c r="D433" s="242"/>
      <c r="E433" s="242"/>
      <c r="F433" s="242"/>
      <c r="G433" s="242"/>
      <c r="H433" s="242"/>
      <c r="I433" s="242"/>
      <c r="J433" s="242"/>
      <c r="K433" s="242"/>
      <c r="L433" s="242"/>
      <c r="M433" s="242"/>
      <c r="N433" s="242"/>
      <c r="O433" s="242"/>
      <c r="P433" s="13"/>
      <c r="Q433" s="13"/>
      <c r="R433" s="13"/>
      <c r="S433" s="13"/>
      <c r="T433" s="13"/>
      <c r="U433" s="13"/>
      <c r="V433" s="13"/>
      <c r="W433" s="13"/>
      <c r="X433" s="13"/>
      <c r="Y433" s="13"/>
      <c r="Z433" s="13"/>
      <c r="AA433" s="13"/>
      <c r="AB433" s="13"/>
      <c r="AC433" s="13"/>
      <c r="AD433" s="13"/>
      <c r="AE433" s="13"/>
      <c r="AF433" s="242"/>
      <c r="AG433" s="242"/>
      <c r="AH433" s="242"/>
      <c r="AI433" s="242"/>
      <c r="AJ433" s="242"/>
      <c r="AK433" s="242"/>
      <c r="AL433" s="242"/>
      <c r="AM433" s="242"/>
      <c r="AN433" s="242"/>
      <c r="AO433" s="242"/>
      <c r="AP433" s="242"/>
    </row>
    <row r="434">
      <c r="A434" s="242"/>
      <c r="B434" s="242"/>
      <c r="C434" s="242"/>
      <c r="D434" s="242"/>
      <c r="E434" s="242"/>
      <c r="F434" s="242"/>
      <c r="G434" s="242"/>
      <c r="H434" s="242"/>
      <c r="I434" s="242"/>
      <c r="J434" s="242"/>
      <c r="K434" s="242"/>
      <c r="L434" s="242"/>
      <c r="M434" s="242"/>
      <c r="N434" s="242"/>
      <c r="O434" s="242"/>
      <c r="P434" s="13"/>
      <c r="Q434" s="13"/>
      <c r="R434" s="13"/>
      <c r="S434" s="13"/>
      <c r="T434" s="13"/>
      <c r="U434" s="13"/>
      <c r="V434" s="13"/>
      <c r="W434" s="13"/>
      <c r="X434" s="13"/>
      <c r="Y434" s="13"/>
      <c r="Z434" s="13"/>
      <c r="AA434" s="13"/>
      <c r="AB434" s="13"/>
      <c r="AC434" s="13"/>
      <c r="AD434" s="13"/>
      <c r="AE434" s="13"/>
      <c r="AF434" s="242"/>
      <c r="AG434" s="242"/>
      <c r="AH434" s="242"/>
      <c r="AI434" s="242"/>
      <c r="AJ434" s="242"/>
      <c r="AK434" s="242"/>
      <c r="AL434" s="242"/>
      <c r="AM434" s="242"/>
      <c r="AN434" s="242"/>
      <c r="AO434" s="242"/>
      <c r="AP434" s="242"/>
    </row>
    <row r="435">
      <c r="A435" s="242"/>
      <c r="B435" s="242"/>
      <c r="C435" s="242"/>
      <c r="D435" s="242"/>
      <c r="E435" s="242"/>
      <c r="F435" s="242"/>
      <c r="G435" s="242"/>
      <c r="H435" s="242"/>
      <c r="I435" s="242"/>
      <c r="J435" s="242"/>
      <c r="K435" s="242"/>
      <c r="L435" s="242"/>
      <c r="M435" s="242"/>
      <c r="N435" s="242"/>
      <c r="O435" s="242"/>
      <c r="P435" s="13"/>
      <c r="Q435" s="13"/>
      <c r="R435" s="13"/>
      <c r="S435" s="13"/>
      <c r="T435" s="13"/>
      <c r="U435" s="13"/>
      <c r="V435" s="13"/>
      <c r="W435" s="13"/>
      <c r="X435" s="13"/>
      <c r="Y435" s="13"/>
      <c r="Z435" s="13"/>
      <c r="AA435" s="13"/>
      <c r="AB435" s="13"/>
      <c r="AC435" s="13"/>
      <c r="AD435" s="13"/>
      <c r="AE435" s="13"/>
      <c r="AF435" s="242"/>
      <c r="AG435" s="242"/>
      <c r="AH435" s="242"/>
      <c r="AI435" s="242"/>
      <c r="AJ435" s="242"/>
      <c r="AK435" s="242"/>
      <c r="AL435" s="242"/>
      <c r="AM435" s="242"/>
      <c r="AN435" s="242"/>
      <c r="AO435" s="242"/>
      <c r="AP435" s="242"/>
    </row>
    <row r="436">
      <c r="A436" s="242"/>
      <c r="B436" s="242"/>
      <c r="C436" s="242"/>
      <c r="D436" s="242"/>
      <c r="E436" s="242"/>
      <c r="F436" s="242"/>
      <c r="G436" s="242"/>
      <c r="H436" s="242"/>
      <c r="I436" s="242"/>
      <c r="J436" s="242"/>
      <c r="K436" s="242"/>
      <c r="L436" s="242"/>
      <c r="M436" s="242"/>
      <c r="N436" s="242"/>
      <c r="O436" s="242"/>
      <c r="P436" s="13"/>
      <c r="Q436" s="13"/>
      <c r="R436" s="13"/>
      <c r="S436" s="13"/>
      <c r="T436" s="13"/>
      <c r="U436" s="13"/>
      <c r="V436" s="13"/>
      <c r="W436" s="13"/>
      <c r="X436" s="13"/>
      <c r="Y436" s="13"/>
      <c r="Z436" s="13"/>
      <c r="AA436" s="13"/>
      <c r="AB436" s="13"/>
      <c r="AC436" s="13"/>
      <c r="AD436" s="13"/>
      <c r="AE436" s="13"/>
      <c r="AF436" s="242"/>
      <c r="AG436" s="242"/>
      <c r="AH436" s="242"/>
      <c r="AI436" s="242"/>
      <c r="AJ436" s="242"/>
      <c r="AK436" s="242"/>
      <c r="AL436" s="242"/>
      <c r="AM436" s="242"/>
      <c r="AN436" s="242"/>
      <c r="AO436" s="242"/>
      <c r="AP436" s="242"/>
    </row>
    <row r="437">
      <c r="A437" s="242"/>
      <c r="B437" s="242"/>
      <c r="C437" s="242"/>
      <c r="D437" s="242"/>
      <c r="E437" s="242"/>
      <c r="F437" s="242"/>
      <c r="G437" s="242"/>
      <c r="H437" s="242"/>
      <c r="I437" s="242"/>
      <c r="J437" s="242"/>
      <c r="K437" s="242"/>
      <c r="L437" s="242"/>
      <c r="M437" s="242"/>
      <c r="N437" s="242"/>
      <c r="O437" s="242"/>
      <c r="P437" s="13"/>
      <c r="Q437" s="13"/>
      <c r="R437" s="13"/>
      <c r="S437" s="13"/>
      <c r="T437" s="13"/>
      <c r="U437" s="13"/>
      <c r="V437" s="13"/>
      <c r="W437" s="13"/>
      <c r="X437" s="13"/>
      <c r="Y437" s="13"/>
      <c r="Z437" s="13"/>
      <c r="AA437" s="13"/>
      <c r="AB437" s="13"/>
      <c r="AC437" s="13"/>
      <c r="AD437" s="13"/>
      <c r="AE437" s="13"/>
      <c r="AF437" s="242"/>
      <c r="AG437" s="242"/>
      <c r="AH437" s="242"/>
      <c r="AI437" s="242"/>
      <c r="AJ437" s="242"/>
      <c r="AK437" s="242"/>
      <c r="AL437" s="242"/>
      <c r="AM437" s="242"/>
      <c r="AN437" s="242"/>
      <c r="AO437" s="242"/>
      <c r="AP437" s="242"/>
    </row>
    <row r="438">
      <c r="A438" s="242"/>
      <c r="B438" s="242"/>
      <c r="C438" s="242"/>
      <c r="D438" s="242"/>
      <c r="E438" s="242"/>
      <c r="F438" s="242"/>
      <c r="G438" s="242"/>
      <c r="H438" s="242"/>
      <c r="I438" s="242"/>
      <c r="J438" s="242"/>
      <c r="K438" s="242"/>
      <c r="L438" s="242"/>
      <c r="M438" s="242"/>
      <c r="N438" s="242"/>
      <c r="O438" s="242"/>
      <c r="P438" s="13"/>
      <c r="Q438" s="13"/>
      <c r="R438" s="13"/>
      <c r="S438" s="13"/>
      <c r="T438" s="13"/>
      <c r="U438" s="13"/>
      <c r="V438" s="13"/>
      <c r="W438" s="13"/>
      <c r="X438" s="13"/>
      <c r="Y438" s="13"/>
      <c r="Z438" s="13"/>
      <c r="AA438" s="13"/>
      <c r="AB438" s="13"/>
      <c r="AC438" s="13"/>
      <c r="AD438" s="13"/>
      <c r="AE438" s="13"/>
      <c r="AF438" s="242"/>
      <c r="AG438" s="242"/>
      <c r="AH438" s="242"/>
      <c r="AI438" s="242"/>
      <c r="AJ438" s="242"/>
      <c r="AK438" s="242"/>
      <c r="AL438" s="242"/>
      <c r="AM438" s="242"/>
      <c r="AN438" s="242"/>
      <c r="AO438" s="242"/>
      <c r="AP438" s="242"/>
    </row>
    <row r="439">
      <c r="A439" s="242"/>
      <c r="B439" s="242"/>
      <c r="C439" s="242"/>
      <c r="D439" s="242"/>
      <c r="E439" s="242"/>
      <c r="F439" s="242"/>
      <c r="G439" s="242"/>
      <c r="H439" s="242"/>
      <c r="I439" s="242"/>
      <c r="J439" s="242"/>
      <c r="K439" s="242"/>
      <c r="L439" s="242"/>
      <c r="M439" s="242"/>
      <c r="N439" s="242"/>
      <c r="O439" s="242"/>
      <c r="P439" s="13"/>
      <c r="Q439" s="13"/>
      <c r="R439" s="13"/>
      <c r="S439" s="13"/>
      <c r="T439" s="13"/>
      <c r="U439" s="13"/>
      <c r="V439" s="13"/>
      <c r="W439" s="13"/>
      <c r="X439" s="13"/>
      <c r="Y439" s="13"/>
      <c r="Z439" s="13"/>
      <c r="AA439" s="13"/>
      <c r="AB439" s="13"/>
      <c r="AC439" s="13"/>
      <c r="AD439" s="13"/>
      <c r="AE439" s="13"/>
      <c r="AF439" s="242"/>
      <c r="AG439" s="242"/>
      <c r="AH439" s="242"/>
      <c r="AI439" s="242"/>
      <c r="AJ439" s="242"/>
      <c r="AK439" s="242"/>
      <c r="AL439" s="242"/>
      <c r="AM439" s="242"/>
      <c r="AN439" s="242"/>
      <c r="AO439" s="242"/>
      <c r="AP439" s="242"/>
    </row>
    <row r="440">
      <c r="A440" s="242"/>
      <c r="B440" s="242"/>
      <c r="C440" s="242"/>
      <c r="D440" s="242"/>
      <c r="E440" s="242"/>
      <c r="F440" s="242"/>
      <c r="G440" s="242"/>
      <c r="H440" s="242"/>
      <c r="I440" s="242"/>
      <c r="J440" s="242"/>
      <c r="K440" s="242"/>
      <c r="L440" s="242"/>
      <c r="M440" s="242"/>
      <c r="N440" s="242"/>
      <c r="O440" s="242"/>
      <c r="P440" s="13"/>
      <c r="Q440" s="13"/>
      <c r="R440" s="13"/>
      <c r="S440" s="13"/>
      <c r="T440" s="13"/>
      <c r="U440" s="13"/>
      <c r="V440" s="13"/>
      <c r="W440" s="13"/>
      <c r="X440" s="13"/>
      <c r="Y440" s="13"/>
      <c r="Z440" s="13"/>
      <c r="AA440" s="13"/>
      <c r="AB440" s="13"/>
      <c r="AC440" s="13"/>
      <c r="AD440" s="13"/>
      <c r="AE440" s="13"/>
      <c r="AF440" s="242"/>
      <c r="AG440" s="242"/>
      <c r="AH440" s="242"/>
      <c r="AI440" s="242"/>
      <c r="AJ440" s="242"/>
      <c r="AK440" s="242"/>
      <c r="AL440" s="242"/>
      <c r="AM440" s="242"/>
      <c r="AN440" s="242"/>
      <c r="AO440" s="242"/>
      <c r="AP440" s="242"/>
    </row>
    <row r="441">
      <c r="A441" s="242"/>
      <c r="B441" s="242"/>
      <c r="C441" s="242"/>
      <c r="D441" s="242"/>
      <c r="E441" s="242"/>
      <c r="F441" s="242"/>
      <c r="G441" s="242"/>
      <c r="H441" s="242"/>
      <c r="I441" s="242"/>
      <c r="J441" s="242"/>
      <c r="K441" s="242"/>
      <c r="L441" s="242"/>
      <c r="M441" s="242"/>
      <c r="N441" s="242"/>
      <c r="O441" s="242"/>
      <c r="P441" s="13"/>
      <c r="Q441" s="13"/>
      <c r="R441" s="13"/>
      <c r="S441" s="13"/>
      <c r="T441" s="13"/>
      <c r="U441" s="13"/>
      <c r="V441" s="13"/>
      <c r="W441" s="13"/>
      <c r="X441" s="13"/>
      <c r="Y441" s="13"/>
      <c r="Z441" s="13"/>
      <c r="AA441" s="13"/>
      <c r="AB441" s="13"/>
      <c r="AC441" s="13"/>
      <c r="AD441" s="13"/>
      <c r="AE441" s="13"/>
      <c r="AF441" s="242"/>
      <c r="AG441" s="242"/>
      <c r="AH441" s="242"/>
      <c r="AI441" s="242"/>
      <c r="AJ441" s="242"/>
      <c r="AK441" s="242"/>
      <c r="AL441" s="242"/>
      <c r="AM441" s="242"/>
      <c r="AN441" s="242"/>
      <c r="AO441" s="242"/>
      <c r="AP441" s="242"/>
    </row>
    <row r="442">
      <c r="A442" s="242"/>
      <c r="B442" s="242"/>
      <c r="C442" s="242"/>
      <c r="D442" s="242"/>
      <c r="E442" s="242"/>
      <c r="F442" s="242"/>
      <c r="G442" s="242"/>
      <c r="H442" s="242"/>
      <c r="I442" s="242"/>
      <c r="J442" s="242"/>
      <c r="K442" s="242"/>
      <c r="L442" s="242"/>
      <c r="M442" s="242"/>
      <c r="N442" s="242"/>
      <c r="O442" s="242"/>
      <c r="P442" s="13"/>
      <c r="Q442" s="13"/>
      <c r="R442" s="13"/>
      <c r="S442" s="13"/>
      <c r="T442" s="13"/>
      <c r="U442" s="13"/>
      <c r="V442" s="13"/>
      <c r="W442" s="13"/>
      <c r="X442" s="13"/>
      <c r="Y442" s="13"/>
      <c r="Z442" s="13"/>
      <c r="AA442" s="13"/>
      <c r="AB442" s="13"/>
      <c r="AC442" s="13"/>
      <c r="AD442" s="13"/>
      <c r="AE442" s="13"/>
      <c r="AF442" s="242"/>
      <c r="AG442" s="242"/>
      <c r="AH442" s="242"/>
      <c r="AI442" s="242"/>
      <c r="AJ442" s="242"/>
      <c r="AK442" s="242"/>
      <c r="AL442" s="242"/>
      <c r="AM442" s="242"/>
      <c r="AN442" s="242"/>
      <c r="AO442" s="242"/>
      <c r="AP442" s="242"/>
    </row>
    <row r="443">
      <c r="A443" s="242"/>
      <c r="B443" s="242"/>
      <c r="C443" s="242"/>
      <c r="D443" s="242"/>
      <c r="E443" s="242"/>
      <c r="F443" s="242"/>
      <c r="G443" s="242"/>
      <c r="H443" s="242"/>
      <c r="I443" s="242"/>
      <c r="J443" s="242"/>
      <c r="K443" s="242"/>
      <c r="L443" s="242"/>
      <c r="M443" s="242"/>
      <c r="N443" s="242"/>
      <c r="O443" s="242"/>
      <c r="P443" s="13"/>
      <c r="Q443" s="13"/>
      <c r="R443" s="13"/>
      <c r="S443" s="13"/>
      <c r="T443" s="13"/>
      <c r="U443" s="13"/>
      <c r="V443" s="13"/>
      <c r="W443" s="13"/>
      <c r="X443" s="13"/>
      <c r="Y443" s="13"/>
      <c r="Z443" s="13"/>
      <c r="AA443" s="13"/>
      <c r="AB443" s="13"/>
      <c r="AC443" s="13"/>
      <c r="AD443" s="13"/>
      <c r="AE443" s="13"/>
      <c r="AF443" s="242"/>
      <c r="AG443" s="242"/>
      <c r="AH443" s="242"/>
      <c r="AI443" s="242"/>
      <c r="AJ443" s="242"/>
      <c r="AK443" s="242"/>
      <c r="AL443" s="242"/>
      <c r="AM443" s="242"/>
      <c r="AN443" s="242"/>
      <c r="AO443" s="242"/>
      <c r="AP443" s="242"/>
    </row>
    <row r="444">
      <c r="A444" s="242"/>
      <c r="B444" s="242"/>
      <c r="C444" s="242"/>
      <c r="D444" s="242"/>
      <c r="E444" s="242"/>
      <c r="F444" s="242"/>
      <c r="G444" s="242"/>
      <c r="H444" s="242"/>
      <c r="I444" s="242"/>
      <c r="J444" s="242"/>
      <c r="K444" s="242"/>
      <c r="L444" s="242"/>
      <c r="M444" s="242"/>
      <c r="N444" s="242"/>
      <c r="O444" s="242"/>
      <c r="P444" s="13"/>
      <c r="Q444" s="13"/>
      <c r="R444" s="13"/>
      <c r="S444" s="13"/>
      <c r="T444" s="13"/>
      <c r="U444" s="13"/>
      <c r="V444" s="13"/>
      <c r="W444" s="13"/>
      <c r="X444" s="13"/>
      <c r="Y444" s="13"/>
      <c r="Z444" s="13"/>
      <c r="AA444" s="13"/>
      <c r="AB444" s="13"/>
      <c r="AC444" s="13"/>
      <c r="AD444" s="13"/>
      <c r="AE444" s="13"/>
      <c r="AF444" s="242"/>
      <c r="AG444" s="242"/>
      <c r="AH444" s="242"/>
      <c r="AI444" s="242"/>
      <c r="AJ444" s="242"/>
      <c r="AK444" s="242"/>
      <c r="AL444" s="242"/>
      <c r="AM444" s="242"/>
      <c r="AN444" s="242"/>
      <c r="AO444" s="242"/>
      <c r="AP444" s="242"/>
    </row>
    <row r="445">
      <c r="A445" s="242"/>
      <c r="B445" s="242"/>
      <c r="C445" s="242"/>
      <c r="D445" s="242"/>
      <c r="E445" s="242"/>
      <c r="F445" s="242"/>
      <c r="G445" s="242"/>
      <c r="H445" s="242"/>
      <c r="I445" s="242"/>
      <c r="J445" s="242"/>
      <c r="K445" s="242"/>
      <c r="L445" s="242"/>
      <c r="M445" s="242"/>
      <c r="N445" s="242"/>
      <c r="O445" s="242"/>
      <c r="P445" s="13"/>
      <c r="Q445" s="13"/>
      <c r="R445" s="13"/>
      <c r="S445" s="13"/>
      <c r="T445" s="13"/>
      <c r="U445" s="13"/>
      <c r="V445" s="13"/>
      <c r="W445" s="13"/>
      <c r="X445" s="13"/>
      <c r="Y445" s="13"/>
      <c r="Z445" s="13"/>
      <c r="AA445" s="13"/>
      <c r="AB445" s="13"/>
      <c r="AC445" s="13"/>
      <c r="AD445" s="13"/>
      <c r="AE445" s="13"/>
      <c r="AF445" s="242"/>
      <c r="AG445" s="242"/>
      <c r="AH445" s="242"/>
      <c r="AI445" s="242"/>
      <c r="AJ445" s="242"/>
      <c r="AK445" s="242"/>
      <c r="AL445" s="242"/>
      <c r="AM445" s="242"/>
      <c r="AN445" s="242"/>
      <c r="AO445" s="242"/>
      <c r="AP445" s="242"/>
    </row>
    <row r="446">
      <c r="A446" s="242"/>
      <c r="B446" s="242"/>
      <c r="C446" s="242"/>
      <c r="D446" s="242"/>
      <c r="E446" s="242"/>
      <c r="F446" s="242"/>
      <c r="G446" s="242"/>
      <c r="H446" s="242"/>
      <c r="I446" s="242"/>
      <c r="J446" s="242"/>
      <c r="K446" s="242"/>
      <c r="L446" s="242"/>
      <c r="M446" s="242"/>
      <c r="N446" s="242"/>
      <c r="O446" s="242"/>
      <c r="P446" s="13"/>
      <c r="Q446" s="13"/>
      <c r="R446" s="13"/>
      <c r="S446" s="13"/>
      <c r="T446" s="13"/>
      <c r="U446" s="13"/>
      <c r="V446" s="13"/>
      <c r="W446" s="13"/>
      <c r="X446" s="13"/>
      <c r="Y446" s="13"/>
      <c r="Z446" s="13"/>
      <c r="AA446" s="13"/>
      <c r="AB446" s="13"/>
      <c r="AC446" s="13"/>
      <c r="AD446" s="13"/>
      <c r="AE446" s="13"/>
      <c r="AF446" s="242"/>
      <c r="AG446" s="242"/>
      <c r="AH446" s="242"/>
      <c r="AI446" s="242"/>
      <c r="AJ446" s="242"/>
      <c r="AK446" s="242"/>
      <c r="AL446" s="242"/>
      <c r="AM446" s="242"/>
      <c r="AN446" s="242"/>
      <c r="AO446" s="242"/>
      <c r="AP446" s="242"/>
    </row>
    <row r="447">
      <c r="A447" s="242"/>
      <c r="B447" s="242"/>
      <c r="C447" s="242"/>
      <c r="D447" s="242"/>
      <c r="E447" s="242"/>
      <c r="F447" s="242"/>
      <c r="G447" s="242"/>
      <c r="H447" s="242"/>
      <c r="I447" s="242"/>
      <c r="J447" s="242"/>
      <c r="K447" s="242"/>
      <c r="L447" s="242"/>
      <c r="M447" s="242"/>
      <c r="N447" s="242"/>
      <c r="O447" s="242"/>
      <c r="P447" s="13"/>
      <c r="Q447" s="13"/>
      <c r="R447" s="13"/>
      <c r="S447" s="13"/>
      <c r="T447" s="13"/>
      <c r="U447" s="13"/>
      <c r="V447" s="13"/>
      <c r="W447" s="13"/>
      <c r="X447" s="13"/>
      <c r="Y447" s="13"/>
      <c r="Z447" s="13"/>
      <c r="AA447" s="13"/>
      <c r="AB447" s="13"/>
      <c r="AC447" s="13"/>
      <c r="AD447" s="13"/>
      <c r="AE447" s="13"/>
      <c r="AF447" s="242"/>
      <c r="AG447" s="242"/>
      <c r="AH447" s="242"/>
      <c r="AI447" s="242"/>
      <c r="AJ447" s="242"/>
      <c r="AK447" s="242"/>
      <c r="AL447" s="242"/>
      <c r="AM447" s="242"/>
      <c r="AN447" s="242"/>
      <c r="AO447" s="242"/>
      <c r="AP447" s="242"/>
    </row>
    <row r="448">
      <c r="A448" s="242"/>
      <c r="B448" s="242"/>
      <c r="C448" s="242"/>
      <c r="D448" s="242"/>
      <c r="E448" s="242"/>
      <c r="F448" s="242"/>
      <c r="G448" s="242"/>
      <c r="H448" s="242"/>
      <c r="I448" s="242"/>
      <c r="J448" s="242"/>
      <c r="K448" s="242"/>
      <c r="L448" s="242"/>
      <c r="M448" s="242"/>
      <c r="N448" s="242"/>
      <c r="O448" s="242"/>
      <c r="P448" s="13"/>
      <c r="Q448" s="13"/>
      <c r="R448" s="13"/>
      <c r="S448" s="13"/>
      <c r="T448" s="13"/>
      <c r="U448" s="13"/>
      <c r="V448" s="13"/>
      <c r="W448" s="13"/>
      <c r="X448" s="13"/>
      <c r="Y448" s="13"/>
      <c r="Z448" s="13"/>
      <c r="AA448" s="13"/>
      <c r="AB448" s="13"/>
      <c r="AC448" s="13"/>
      <c r="AD448" s="13"/>
      <c r="AE448" s="13"/>
      <c r="AF448" s="242"/>
      <c r="AG448" s="242"/>
      <c r="AH448" s="242"/>
      <c r="AI448" s="242"/>
      <c r="AJ448" s="242"/>
      <c r="AK448" s="242"/>
      <c r="AL448" s="242"/>
      <c r="AM448" s="242"/>
      <c r="AN448" s="242"/>
      <c r="AO448" s="242"/>
      <c r="AP448" s="242"/>
    </row>
    <row r="449">
      <c r="A449" s="242"/>
      <c r="B449" s="242"/>
      <c r="C449" s="242"/>
      <c r="D449" s="242"/>
      <c r="E449" s="242"/>
      <c r="F449" s="242"/>
      <c r="G449" s="242"/>
      <c r="H449" s="242"/>
      <c r="I449" s="242"/>
      <c r="J449" s="242"/>
      <c r="K449" s="242"/>
      <c r="L449" s="242"/>
      <c r="M449" s="242"/>
      <c r="N449" s="242"/>
      <c r="O449" s="242"/>
      <c r="P449" s="13"/>
      <c r="Q449" s="13"/>
      <c r="R449" s="13"/>
      <c r="S449" s="13"/>
      <c r="T449" s="13"/>
      <c r="U449" s="13"/>
      <c r="V449" s="13"/>
      <c r="W449" s="13"/>
      <c r="X449" s="13"/>
      <c r="Y449" s="13"/>
      <c r="Z449" s="13"/>
      <c r="AA449" s="13"/>
      <c r="AB449" s="13"/>
      <c r="AC449" s="13"/>
      <c r="AD449" s="13"/>
      <c r="AE449" s="13"/>
      <c r="AF449" s="242"/>
      <c r="AG449" s="242"/>
      <c r="AH449" s="242"/>
      <c r="AI449" s="242"/>
      <c r="AJ449" s="242"/>
      <c r="AK449" s="242"/>
      <c r="AL449" s="242"/>
      <c r="AM449" s="242"/>
      <c r="AN449" s="242"/>
      <c r="AO449" s="242"/>
      <c r="AP449" s="242"/>
    </row>
    <row r="450">
      <c r="A450" s="242"/>
      <c r="B450" s="242"/>
      <c r="C450" s="242"/>
      <c r="D450" s="242"/>
      <c r="E450" s="242"/>
      <c r="F450" s="242"/>
      <c r="G450" s="242"/>
      <c r="H450" s="242"/>
      <c r="I450" s="242"/>
      <c r="J450" s="242"/>
      <c r="K450" s="242"/>
      <c r="L450" s="242"/>
      <c r="M450" s="242"/>
      <c r="N450" s="242"/>
      <c r="O450" s="242"/>
      <c r="P450" s="13"/>
      <c r="Q450" s="13"/>
      <c r="R450" s="13"/>
      <c r="S450" s="13"/>
      <c r="T450" s="13"/>
      <c r="U450" s="13"/>
      <c r="V450" s="13"/>
      <c r="W450" s="13"/>
      <c r="X450" s="13"/>
      <c r="Y450" s="13"/>
      <c r="Z450" s="13"/>
      <c r="AA450" s="13"/>
      <c r="AB450" s="13"/>
      <c r="AC450" s="13"/>
      <c r="AD450" s="13"/>
      <c r="AE450" s="13"/>
      <c r="AF450" s="242"/>
      <c r="AG450" s="242"/>
      <c r="AH450" s="242"/>
      <c r="AI450" s="242"/>
      <c r="AJ450" s="242"/>
      <c r="AK450" s="242"/>
      <c r="AL450" s="242"/>
      <c r="AM450" s="242"/>
      <c r="AN450" s="242"/>
      <c r="AO450" s="242"/>
      <c r="AP450" s="242"/>
    </row>
    <row r="451">
      <c r="A451" s="242"/>
      <c r="B451" s="242"/>
      <c r="C451" s="242"/>
      <c r="D451" s="242"/>
      <c r="E451" s="242"/>
      <c r="F451" s="242"/>
      <c r="G451" s="242"/>
      <c r="H451" s="242"/>
      <c r="I451" s="242"/>
      <c r="J451" s="242"/>
      <c r="K451" s="242"/>
      <c r="L451" s="242"/>
      <c r="M451" s="242"/>
      <c r="N451" s="242"/>
      <c r="O451" s="242"/>
      <c r="P451" s="13"/>
      <c r="Q451" s="13"/>
      <c r="R451" s="13"/>
      <c r="S451" s="13"/>
      <c r="T451" s="13"/>
      <c r="U451" s="13"/>
      <c r="V451" s="13"/>
      <c r="W451" s="13"/>
      <c r="X451" s="13"/>
      <c r="Y451" s="13"/>
      <c r="Z451" s="13"/>
      <c r="AA451" s="13"/>
      <c r="AB451" s="13"/>
      <c r="AC451" s="13"/>
      <c r="AD451" s="13"/>
      <c r="AE451" s="13"/>
      <c r="AF451" s="242"/>
      <c r="AG451" s="242"/>
      <c r="AH451" s="242"/>
      <c r="AI451" s="242"/>
      <c r="AJ451" s="242"/>
      <c r="AK451" s="242"/>
      <c r="AL451" s="242"/>
      <c r="AM451" s="242"/>
      <c r="AN451" s="242"/>
      <c r="AO451" s="242"/>
      <c r="AP451" s="242"/>
    </row>
    <row r="452">
      <c r="A452" s="242"/>
      <c r="B452" s="242"/>
      <c r="C452" s="242"/>
      <c r="D452" s="242"/>
      <c r="E452" s="242"/>
      <c r="F452" s="242"/>
      <c r="G452" s="242"/>
      <c r="H452" s="242"/>
      <c r="I452" s="242"/>
      <c r="J452" s="242"/>
      <c r="K452" s="242"/>
      <c r="L452" s="242"/>
      <c r="M452" s="242"/>
      <c r="N452" s="242"/>
      <c r="O452" s="242"/>
      <c r="P452" s="13"/>
      <c r="Q452" s="13"/>
      <c r="R452" s="13"/>
      <c r="S452" s="13"/>
      <c r="T452" s="13"/>
      <c r="U452" s="13"/>
      <c r="V452" s="13"/>
      <c r="W452" s="13"/>
      <c r="X452" s="13"/>
      <c r="Y452" s="13"/>
      <c r="Z452" s="13"/>
      <c r="AA452" s="13"/>
      <c r="AB452" s="13"/>
      <c r="AC452" s="13"/>
      <c r="AD452" s="13"/>
      <c r="AE452" s="13"/>
      <c r="AF452" s="242"/>
      <c r="AG452" s="242"/>
      <c r="AH452" s="242"/>
      <c r="AI452" s="242"/>
      <c r="AJ452" s="242"/>
      <c r="AK452" s="242"/>
      <c r="AL452" s="242"/>
      <c r="AM452" s="242"/>
      <c r="AN452" s="242"/>
      <c r="AO452" s="242"/>
      <c r="AP452" s="242"/>
    </row>
    <row r="453">
      <c r="A453" s="242"/>
      <c r="B453" s="242"/>
      <c r="C453" s="242"/>
      <c r="D453" s="242"/>
      <c r="E453" s="242"/>
      <c r="F453" s="242"/>
      <c r="G453" s="242"/>
      <c r="H453" s="242"/>
      <c r="I453" s="242"/>
      <c r="J453" s="242"/>
      <c r="K453" s="242"/>
      <c r="L453" s="242"/>
      <c r="M453" s="242"/>
      <c r="N453" s="242"/>
      <c r="O453" s="242"/>
      <c r="P453" s="13"/>
      <c r="Q453" s="13"/>
      <c r="R453" s="13"/>
      <c r="S453" s="13"/>
      <c r="T453" s="13"/>
      <c r="U453" s="13"/>
      <c r="V453" s="13"/>
      <c r="W453" s="13"/>
      <c r="X453" s="13"/>
      <c r="Y453" s="13"/>
      <c r="Z453" s="13"/>
      <c r="AA453" s="13"/>
      <c r="AB453" s="13"/>
      <c r="AC453" s="13"/>
      <c r="AD453" s="13"/>
      <c r="AE453" s="13"/>
      <c r="AF453" s="242"/>
      <c r="AG453" s="242"/>
      <c r="AH453" s="242"/>
      <c r="AI453" s="242"/>
      <c r="AJ453" s="242"/>
      <c r="AK453" s="242"/>
      <c r="AL453" s="242"/>
      <c r="AM453" s="242"/>
      <c r="AN453" s="242"/>
      <c r="AO453" s="242"/>
      <c r="AP453" s="242"/>
    </row>
    <row r="454">
      <c r="A454" s="242"/>
      <c r="B454" s="242"/>
      <c r="C454" s="242"/>
      <c r="D454" s="242"/>
      <c r="E454" s="242"/>
      <c r="F454" s="242"/>
      <c r="G454" s="242"/>
      <c r="H454" s="242"/>
      <c r="I454" s="242"/>
      <c r="J454" s="242"/>
      <c r="K454" s="242"/>
      <c r="L454" s="242"/>
      <c r="M454" s="242"/>
      <c r="N454" s="242"/>
      <c r="O454" s="242"/>
      <c r="P454" s="13"/>
      <c r="Q454" s="13"/>
      <c r="R454" s="13"/>
      <c r="S454" s="13"/>
      <c r="T454" s="13"/>
      <c r="U454" s="13"/>
      <c r="V454" s="13"/>
      <c r="W454" s="13"/>
      <c r="X454" s="13"/>
      <c r="Y454" s="13"/>
      <c r="Z454" s="13"/>
      <c r="AA454" s="13"/>
      <c r="AB454" s="13"/>
      <c r="AC454" s="13"/>
      <c r="AD454" s="13"/>
      <c r="AE454" s="13"/>
      <c r="AF454" s="242"/>
      <c r="AG454" s="242"/>
      <c r="AH454" s="242"/>
      <c r="AI454" s="242"/>
      <c r="AJ454" s="242"/>
      <c r="AK454" s="242"/>
      <c r="AL454" s="242"/>
      <c r="AM454" s="242"/>
      <c r="AN454" s="242"/>
      <c r="AO454" s="242"/>
      <c r="AP454" s="242"/>
    </row>
    <row r="455">
      <c r="A455" s="242"/>
      <c r="B455" s="242"/>
      <c r="C455" s="242"/>
      <c r="D455" s="242"/>
      <c r="E455" s="242"/>
      <c r="F455" s="242"/>
      <c r="G455" s="242"/>
      <c r="H455" s="242"/>
      <c r="I455" s="242"/>
      <c r="J455" s="242"/>
      <c r="K455" s="242"/>
      <c r="L455" s="242"/>
      <c r="M455" s="242"/>
      <c r="N455" s="242"/>
      <c r="O455" s="242"/>
      <c r="P455" s="13"/>
      <c r="Q455" s="13"/>
      <c r="R455" s="13"/>
      <c r="S455" s="13"/>
      <c r="T455" s="13"/>
      <c r="U455" s="13"/>
      <c r="V455" s="13"/>
      <c r="W455" s="13"/>
      <c r="X455" s="13"/>
      <c r="Y455" s="13"/>
      <c r="Z455" s="13"/>
      <c r="AA455" s="13"/>
      <c r="AB455" s="13"/>
      <c r="AC455" s="13"/>
      <c r="AD455" s="13"/>
      <c r="AE455" s="13"/>
      <c r="AF455" s="242"/>
      <c r="AG455" s="242"/>
      <c r="AH455" s="242"/>
      <c r="AI455" s="242"/>
      <c r="AJ455" s="242"/>
      <c r="AK455" s="242"/>
      <c r="AL455" s="242"/>
      <c r="AM455" s="242"/>
      <c r="AN455" s="242"/>
      <c r="AO455" s="242"/>
      <c r="AP455" s="242"/>
    </row>
    <row r="456">
      <c r="A456" s="242"/>
      <c r="B456" s="242"/>
      <c r="C456" s="242"/>
      <c r="D456" s="242"/>
      <c r="E456" s="242"/>
      <c r="F456" s="242"/>
      <c r="G456" s="242"/>
      <c r="H456" s="242"/>
      <c r="I456" s="242"/>
      <c r="J456" s="242"/>
      <c r="K456" s="242"/>
      <c r="L456" s="242"/>
      <c r="M456" s="242"/>
      <c r="N456" s="242"/>
      <c r="O456" s="242"/>
      <c r="P456" s="13"/>
      <c r="Q456" s="13"/>
      <c r="R456" s="13"/>
      <c r="S456" s="13"/>
      <c r="T456" s="13"/>
      <c r="U456" s="13"/>
      <c r="V456" s="13"/>
      <c r="W456" s="13"/>
      <c r="X456" s="13"/>
      <c r="Y456" s="13"/>
      <c r="Z456" s="13"/>
      <c r="AA456" s="13"/>
      <c r="AB456" s="13"/>
      <c r="AC456" s="13"/>
      <c r="AD456" s="13"/>
      <c r="AE456" s="13"/>
      <c r="AF456" s="242"/>
      <c r="AG456" s="242"/>
      <c r="AH456" s="242"/>
      <c r="AI456" s="242"/>
      <c r="AJ456" s="242"/>
      <c r="AK456" s="242"/>
      <c r="AL456" s="242"/>
      <c r="AM456" s="242"/>
      <c r="AN456" s="242"/>
      <c r="AO456" s="242"/>
      <c r="AP456" s="242"/>
    </row>
    <row r="457">
      <c r="A457" s="242"/>
      <c r="B457" s="242"/>
      <c r="C457" s="242"/>
      <c r="D457" s="242"/>
      <c r="E457" s="242"/>
      <c r="F457" s="242"/>
      <c r="G457" s="242"/>
      <c r="H457" s="242"/>
      <c r="I457" s="242"/>
      <c r="J457" s="242"/>
      <c r="K457" s="242"/>
      <c r="L457" s="242"/>
      <c r="M457" s="242"/>
      <c r="N457" s="242"/>
      <c r="O457" s="242"/>
      <c r="P457" s="13"/>
      <c r="Q457" s="13"/>
      <c r="R457" s="13"/>
      <c r="S457" s="13"/>
      <c r="T457" s="13"/>
      <c r="U457" s="13"/>
      <c r="V457" s="13"/>
      <c r="W457" s="13"/>
      <c r="X457" s="13"/>
      <c r="Y457" s="13"/>
      <c r="Z457" s="13"/>
      <c r="AA457" s="13"/>
      <c r="AB457" s="13"/>
      <c r="AC457" s="13"/>
      <c r="AD457" s="13"/>
      <c r="AE457" s="13"/>
      <c r="AF457" s="242"/>
      <c r="AG457" s="242"/>
      <c r="AH457" s="242"/>
      <c r="AI457" s="242"/>
      <c r="AJ457" s="242"/>
      <c r="AK457" s="242"/>
      <c r="AL457" s="242"/>
      <c r="AM457" s="242"/>
      <c r="AN457" s="242"/>
      <c r="AO457" s="242"/>
      <c r="AP457" s="242"/>
    </row>
    <row r="458">
      <c r="A458" s="242"/>
      <c r="B458" s="242"/>
      <c r="C458" s="242"/>
      <c r="D458" s="242"/>
      <c r="E458" s="242"/>
      <c r="F458" s="242"/>
      <c r="G458" s="242"/>
      <c r="H458" s="242"/>
      <c r="I458" s="242"/>
      <c r="J458" s="242"/>
      <c r="K458" s="242"/>
      <c r="L458" s="242"/>
      <c r="M458" s="242"/>
      <c r="N458" s="242"/>
      <c r="O458" s="242"/>
      <c r="P458" s="13"/>
      <c r="Q458" s="13"/>
      <c r="R458" s="13"/>
      <c r="S458" s="13"/>
      <c r="T458" s="13"/>
      <c r="U458" s="13"/>
      <c r="V458" s="13"/>
      <c r="W458" s="13"/>
      <c r="X458" s="13"/>
      <c r="Y458" s="13"/>
      <c r="Z458" s="13"/>
      <c r="AA458" s="13"/>
      <c r="AB458" s="13"/>
      <c r="AC458" s="13"/>
      <c r="AD458" s="13"/>
      <c r="AE458" s="13"/>
      <c r="AF458" s="242"/>
      <c r="AG458" s="242"/>
      <c r="AH458" s="242"/>
      <c r="AI458" s="242"/>
      <c r="AJ458" s="242"/>
      <c r="AK458" s="242"/>
      <c r="AL458" s="242"/>
      <c r="AM458" s="242"/>
      <c r="AN458" s="242"/>
      <c r="AO458" s="242"/>
      <c r="AP458" s="242"/>
    </row>
    <row r="459">
      <c r="A459" s="242"/>
      <c r="B459" s="242"/>
      <c r="C459" s="242"/>
      <c r="D459" s="242"/>
      <c r="E459" s="242"/>
      <c r="F459" s="242"/>
      <c r="G459" s="242"/>
      <c r="H459" s="242"/>
      <c r="I459" s="242"/>
      <c r="J459" s="242"/>
      <c r="K459" s="242"/>
      <c r="L459" s="242"/>
      <c r="M459" s="242"/>
      <c r="N459" s="242"/>
      <c r="O459" s="242"/>
      <c r="P459" s="13"/>
      <c r="Q459" s="13"/>
      <c r="R459" s="13"/>
      <c r="S459" s="13"/>
      <c r="T459" s="13"/>
      <c r="U459" s="13"/>
      <c r="V459" s="13"/>
      <c r="W459" s="13"/>
      <c r="X459" s="13"/>
      <c r="Y459" s="13"/>
      <c r="Z459" s="13"/>
      <c r="AA459" s="13"/>
      <c r="AB459" s="13"/>
      <c r="AC459" s="13"/>
      <c r="AD459" s="13"/>
      <c r="AE459" s="13"/>
      <c r="AF459" s="242"/>
      <c r="AG459" s="242"/>
      <c r="AH459" s="242"/>
      <c r="AI459" s="242"/>
      <c r="AJ459" s="242"/>
      <c r="AK459" s="242"/>
      <c r="AL459" s="242"/>
      <c r="AM459" s="242"/>
      <c r="AN459" s="242"/>
      <c r="AO459" s="242"/>
      <c r="AP459" s="242"/>
    </row>
    <row r="460">
      <c r="A460" s="242"/>
      <c r="B460" s="242"/>
      <c r="C460" s="242"/>
      <c r="D460" s="242"/>
      <c r="E460" s="242"/>
      <c r="F460" s="242"/>
      <c r="G460" s="242"/>
      <c r="H460" s="242"/>
      <c r="I460" s="242"/>
      <c r="J460" s="242"/>
      <c r="K460" s="242"/>
      <c r="L460" s="242"/>
      <c r="M460" s="242"/>
      <c r="N460" s="242"/>
      <c r="O460" s="242"/>
      <c r="P460" s="13"/>
      <c r="Q460" s="13"/>
      <c r="R460" s="13"/>
      <c r="S460" s="13"/>
      <c r="T460" s="13"/>
      <c r="U460" s="13"/>
      <c r="V460" s="13"/>
      <c r="W460" s="13"/>
      <c r="X460" s="13"/>
      <c r="Y460" s="13"/>
      <c r="Z460" s="13"/>
      <c r="AA460" s="13"/>
      <c r="AB460" s="13"/>
      <c r="AC460" s="13"/>
      <c r="AD460" s="13"/>
      <c r="AE460" s="13"/>
      <c r="AF460" s="242"/>
      <c r="AG460" s="242"/>
      <c r="AH460" s="242"/>
      <c r="AI460" s="242"/>
      <c r="AJ460" s="242"/>
      <c r="AK460" s="242"/>
      <c r="AL460" s="242"/>
      <c r="AM460" s="242"/>
      <c r="AN460" s="242"/>
      <c r="AO460" s="242"/>
      <c r="AP460" s="242"/>
    </row>
    <row r="461">
      <c r="A461" s="242"/>
      <c r="B461" s="242"/>
      <c r="C461" s="242"/>
      <c r="D461" s="242"/>
      <c r="E461" s="242"/>
      <c r="F461" s="242"/>
      <c r="G461" s="242"/>
      <c r="H461" s="242"/>
      <c r="I461" s="242"/>
      <c r="J461" s="242"/>
      <c r="K461" s="242"/>
      <c r="L461" s="242"/>
      <c r="M461" s="242"/>
      <c r="N461" s="242"/>
      <c r="O461" s="242"/>
      <c r="P461" s="13"/>
      <c r="Q461" s="13"/>
      <c r="R461" s="13"/>
      <c r="S461" s="13"/>
      <c r="T461" s="13"/>
      <c r="U461" s="13"/>
      <c r="V461" s="13"/>
      <c r="W461" s="13"/>
      <c r="X461" s="13"/>
      <c r="Y461" s="13"/>
      <c r="Z461" s="13"/>
      <c r="AA461" s="13"/>
      <c r="AB461" s="13"/>
      <c r="AC461" s="13"/>
      <c r="AD461" s="13"/>
      <c r="AE461" s="13"/>
      <c r="AF461" s="242"/>
      <c r="AG461" s="242"/>
      <c r="AH461" s="242"/>
      <c r="AI461" s="242"/>
      <c r="AJ461" s="242"/>
      <c r="AK461" s="242"/>
      <c r="AL461" s="242"/>
      <c r="AM461" s="242"/>
      <c r="AN461" s="242"/>
      <c r="AO461" s="242"/>
      <c r="AP461" s="242"/>
    </row>
    <row r="462">
      <c r="A462" s="242"/>
      <c r="B462" s="242"/>
      <c r="C462" s="242"/>
      <c r="D462" s="242"/>
      <c r="E462" s="242"/>
      <c r="F462" s="242"/>
      <c r="G462" s="242"/>
      <c r="H462" s="242"/>
      <c r="I462" s="242"/>
      <c r="J462" s="242"/>
      <c r="K462" s="242"/>
      <c r="L462" s="242"/>
      <c r="M462" s="242"/>
      <c r="N462" s="242"/>
      <c r="O462" s="242"/>
      <c r="P462" s="13"/>
      <c r="Q462" s="13"/>
      <c r="R462" s="13"/>
      <c r="S462" s="13"/>
      <c r="T462" s="13"/>
      <c r="U462" s="13"/>
      <c r="V462" s="13"/>
      <c r="W462" s="13"/>
      <c r="X462" s="13"/>
      <c r="Y462" s="13"/>
      <c r="Z462" s="13"/>
      <c r="AA462" s="13"/>
      <c r="AB462" s="13"/>
      <c r="AC462" s="13"/>
      <c r="AD462" s="13"/>
      <c r="AE462" s="13"/>
      <c r="AF462" s="242"/>
      <c r="AG462" s="242"/>
      <c r="AH462" s="242"/>
      <c r="AI462" s="242"/>
      <c r="AJ462" s="242"/>
      <c r="AK462" s="242"/>
      <c r="AL462" s="242"/>
      <c r="AM462" s="242"/>
      <c r="AN462" s="242"/>
      <c r="AO462" s="242"/>
      <c r="AP462" s="242"/>
    </row>
    <row r="463">
      <c r="A463" s="242"/>
      <c r="B463" s="242"/>
      <c r="C463" s="242"/>
      <c r="D463" s="242"/>
      <c r="E463" s="242"/>
      <c r="F463" s="242"/>
      <c r="G463" s="242"/>
      <c r="H463" s="242"/>
      <c r="I463" s="242"/>
      <c r="J463" s="242"/>
      <c r="K463" s="242"/>
      <c r="L463" s="242"/>
      <c r="M463" s="242"/>
      <c r="N463" s="242"/>
      <c r="O463" s="242"/>
      <c r="P463" s="13"/>
      <c r="Q463" s="13"/>
      <c r="R463" s="13"/>
      <c r="S463" s="13"/>
      <c r="T463" s="13"/>
      <c r="U463" s="13"/>
      <c r="V463" s="13"/>
      <c r="W463" s="13"/>
      <c r="X463" s="13"/>
      <c r="Y463" s="13"/>
      <c r="Z463" s="13"/>
      <c r="AA463" s="13"/>
      <c r="AB463" s="13"/>
      <c r="AC463" s="13"/>
      <c r="AD463" s="13"/>
      <c r="AE463" s="13"/>
      <c r="AF463" s="242"/>
      <c r="AG463" s="242"/>
      <c r="AH463" s="242"/>
      <c r="AI463" s="242"/>
      <c r="AJ463" s="242"/>
      <c r="AK463" s="242"/>
      <c r="AL463" s="242"/>
      <c r="AM463" s="242"/>
      <c r="AN463" s="242"/>
      <c r="AO463" s="242"/>
      <c r="AP463" s="242"/>
    </row>
    <row r="464">
      <c r="A464" s="242"/>
      <c r="B464" s="242"/>
      <c r="C464" s="242"/>
      <c r="D464" s="242"/>
      <c r="E464" s="242"/>
      <c r="F464" s="242"/>
      <c r="G464" s="242"/>
      <c r="H464" s="242"/>
      <c r="I464" s="242"/>
      <c r="J464" s="242"/>
      <c r="K464" s="242"/>
      <c r="L464" s="242"/>
      <c r="M464" s="242"/>
      <c r="N464" s="242"/>
      <c r="O464" s="242"/>
      <c r="P464" s="13"/>
      <c r="Q464" s="13"/>
      <c r="R464" s="13"/>
      <c r="S464" s="13"/>
      <c r="T464" s="13"/>
      <c r="U464" s="13"/>
      <c r="V464" s="13"/>
      <c r="W464" s="13"/>
      <c r="X464" s="13"/>
      <c r="Y464" s="13"/>
      <c r="Z464" s="13"/>
      <c r="AA464" s="13"/>
      <c r="AB464" s="13"/>
      <c r="AC464" s="13"/>
      <c r="AD464" s="13"/>
      <c r="AE464" s="13"/>
      <c r="AF464" s="242"/>
      <c r="AG464" s="242"/>
      <c r="AH464" s="242"/>
      <c r="AI464" s="242"/>
      <c r="AJ464" s="242"/>
      <c r="AK464" s="242"/>
      <c r="AL464" s="242"/>
      <c r="AM464" s="242"/>
      <c r="AN464" s="242"/>
      <c r="AO464" s="242"/>
      <c r="AP464" s="242"/>
    </row>
    <row r="465">
      <c r="A465" s="242"/>
      <c r="B465" s="242"/>
      <c r="C465" s="242"/>
      <c r="D465" s="242"/>
      <c r="E465" s="242"/>
      <c r="F465" s="242"/>
      <c r="G465" s="242"/>
      <c r="H465" s="242"/>
      <c r="I465" s="242"/>
      <c r="J465" s="242"/>
      <c r="K465" s="242"/>
      <c r="L465" s="242"/>
      <c r="M465" s="242"/>
      <c r="N465" s="242"/>
      <c r="O465" s="242"/>
      <c r="P465" s="13"/>
      <c r="Q465" s="13"/>
      <c r="R465" s="13"/>
      <c r="S465" s="13"/>
      <c r="T465" s="13"/>
      <c r="U465" s="13"/>
      <c r="V465" s="13"/>
      <c r="W465" s="13"/>
      <c r="X465" s="13"/>
      <c r="Y465" s="13"/>
      <c r="Z465" s="13"/>
      <c r="AA465" s="13"/>
      <c r="AB465" s="13"/>
      <c r="AC465" s="13"/>
      <c r="AD465" s="13"/>
      <c r="AE465" s="13"/>
      <c r="AF465" s="242"/>
      <c r="AG465" s="242"/>
      <c r="AH465" s="242"/>
      <c r="AI465" s="242"/>
      <c r="AJ465" s="242"/>
      <c r="AK465" s="242"/>
      <c r="AL465" s="242"/>
      <c r="AM465" s="242"/>
      <c r="AN465" s="242"/>
      <c r="AO465" s="242"/>
      <c r="AP465" s="242"/>
    </row>
    <row r="466">
      <c r="A466" s="242"/>
      <c r="B466" s="242"/>
      <c r="C466" s="242"/>
      <c r="D466" s="242"/>
      <c r="E466" s="242"/>
      <c r="F466" s="242"/>
      <c r="G466" s="242"/>
      <c r="H466" s="242"/>
      <c r="I466" s="242"/>
      <c r="J466" s="242"/>
      <c r="K466" s="242"/>
      <c r="L466" s="242"/>
      <c r="M466" s="242"/>
      <c r="N466" s="242"/>
      <c r="O466" s="242"/>
      <c r="P466" s="13"/>
      <c r="Q466" s="13"/>
      <c r="R466" s="13"/>
      <c r="S466" s="13"/>
      <c r="T466" s="13"/>
      <c r="U466" s="13"/>
      <c r="V466" s="13"/>
      <c r="W466" s="13"/>
      <c r="X466" s="13"/>
      <c r="Y466" s="13"/>
      <c r="Z466" s="13"/>
      <c r="AA466" s="13"/>
      <c r="AB466" s="13"/>
      <c r="AC466" s="13"/>
      <c r="AD466" s="13"/>
      <c r="AE466" s="13"/>
      <c r="AF466" s="242"/>
      <c r="AG466" s="242"/>
      <c r="AH466" s="242"/>
      <c r="AI466" s="242"/>
      <c r="AJ466" s="242"/>
      <c r="AK466" s="242"/>
      <c r="AL466" s="242"/>
      <c r="AM466" s="242"/>
      <c r="AN466" s="242"/>
      <c r="AO466" s="242"/>
      <c r="AP466" s="242"/>
    </row>
    <row r="467">
      <c r="A467" s="242"/>
      <c r="B467" s="242"/>
      <c r="C467" s="242"/>
      <c r="D467" s="242"/>
      <c r="E467" s="242"/>
      <c r="F467" s="242"/>
      <c r="G467" s="242"/>
      <c r="H467" s="242"/>
      <c r="I467" s="242"/>
      <c r="J467" s="242"/>
      <c r="K467" s="242"/>
      <c r="L467" s="242"/>
      <c r="M467" s="242"/>
      <c r="N467" s="242"/>
      <c r="O467" s="242"/>
      <c r="P467" s="13"/>
      <c r="Q467" s="13"/>
      <c r="R467" s="13"/>
      <c r="S467" s="13"/>
      <c r="T467" s="13"/>
      <c r="U467" s="13"/>
      <c r="V467" s="13"/>
      <c r="W467" s="13"/>
      <c r="X467" s="13"/>
      <c r="Y467" s="13"/>
      <c r="Z467" s="13"/>
      <c r="AA467" s="13"/>
      <c r="AB467" s="13"/>
      <c r="AC467" s="13"/>
      <c r="AD467" s="13"/>
      <c r="AE467" s="13"/>
      <c r="AF467" s="242"/>
      <c r="AG467" s="242"/>
      <c r="AH467" s="242"/>
      <c r="AI467" s="242"/>
      <c r="AJ467" s="242"/>
      <c r="AK467" s="242"/>
      <c r="AL467" s="242"/>
      <c r="AM467" s="242"/>
      <c r="AN467" s="242"/>
      <c r="AO467" s="242"/>
      <c r="AP467" s="242"/>
    </row>
    <row r="468">
      <c r="A468" s="242"/>
      <c r="B468" s="242"/>
      <c r="C468" s="242"/>
      <c r="D468" s="242"/>
      <c r="E468" s="242"/>
      <c r="F468" s="242"/>
      <c r="G468" s="242"/>
      <c r="H468" s="242"/>
      <c r="I468" s="242"/>
      <c r="J468" s="242"/>
      <c r="K468" s="242"/>
      <c r="L468" s="242"/>
      <c r="M468" s="242"/>
      <c r="N468" s="242"/>
      <c r="O468" s="242"/>
      <c r="P468" s="13"/>
      <c r="Q468" s="13"/>
      <c r="R468" s="13"/>
      <c r="S468" s="13"/>
      <c r="T468" s="13"/>
      <c r="U468" s="13"/>
      <c r="V468" s="13"/>
      <c r="W468" s="13"/>
      <c r="X468" s="13"/>
      <c r="Y468" s="13"/>
      <c r="Z468" s="13"/>
      <c r="AA468" s="13"/>
      <c r="AB468" s="13"/>
      <c r="AC468" s="13"/>
      <c r="AD468" s="13"/>
      <c r="AE468" s="13"/>
      <c r="AF468" s="242"/>
      <c r="AG468" s="242"/>
      <c r="AH468" s="242"/>
      <c r="AI468" s="242"/>
      <c r="AJ468" s="242"/>
      <c r="AK468" s="242"/>
      <c r="AL468" s="242"/>
      <c r="AM468" s="242"/>
      <c r="AN468" s="242"/>
      <c r="AO468" s="242"/>
      <c r="AP468" s="242"/>
    </row>
    <row r="469">
      <c r="A469" s="242"/>
      <c r="B469" s="242"/>
      <c r="C469" s="242"/>
      <c r="D469" s="242"/>
      <c r="E469" s="242"/>
      <c r="F469" s="242"/>
      <c r="G469" s="242"/>
      <c r="H469" s="242"/>
      <c r="I469" s="242"/>
      <c r="J469" s="242"/>
      <c r="K469" s="242"/>
      <c r="L469" s="242"/>
      <c r="M469" s="242"/>
      <c r="N469" s="242"/>
      <c r="O469" s="242"/>
      <c r="P469" s="13"/>
      <c r="Q469" s="13"/>
      <c r="R469" s="13"/>
      <c r="S469" s="13"/>
      <c r="T469" s="13"/>
      <c r="U469" s="13"/>
      <c r="V469" s="13"/>
      <c r="W469" s="13"/>
      <c r="X469" s="13"/>
      <c r="Y469" s="13"/>
      <c r="Z469" s="13"/>
      <c r="AA469" s="13"/>
      <c r="AB469" s="13"/>
      <c r="AC469" s="13"/>
      <c r="AD469" s="13"/>
      <c r="AE469" s="13"/>
      <c r="AF469" s="242"/>
      <c r="AG469" s="242"/>
      <c r="AH469" s="242"/>
      <c r="AI469" s="242"/>
      <c r="AJ469" s="242"/>
      <c r="AK469" s="242"/>
      <c r="AL469" s="242"/>
      <c r="AM469" s="242"/>
      <c r="AN469" s="242"/>
      <c r="AO469" s="242"/>
      <c r="AP469" s="242"/>
    </row>
    <row r="470">
      <c r="A470" s="242"/>
      <c r="B470" s="242"/>
      <c r="C470" s="242"/>
      <c r="D470" s="242"/>
      <c r="E470" s="242"/>
      <c r="F470" s="242"/>
      <c r="G470" s="242"/>
      <c r="H470" s="242"/>
      <c r="I470" s="242"/>
      <c r="J470" s="242"/>
      <c r="K470" s="242"/>
      <c r="L470" s="242"/>
      <c r="M470" s="242"/>
      <c r="N470" s="242"/>
      <c r="O470" s="242"/>
      <c r="P470" s="13"/>
      <c r="Q470" s="13"/>
      <c r="R470" s="13"/>
      <c r="S470" s="13"/>
      <c r="T470" s="13"/>
      <c r="U470" s="13"/>
      <c r="V470" s="13"/>
      <c r="W470" s="13"/>
      <c r="X470" s="13"/>
      <c r="Y470" s="13"/>
      <c r="Z470" s="13"/>
      <c r="AA470" s="13"/>
      <c r="AB470" s="13"/>
      <c r="AC470" s="13"/>
      <c r="AD470" s="13"/>
      <c r="AE470" s="13"/>
      <c r="AF470" s="242"/>
      <c r="AG470" s="242"/>
      <c r="AH470" s="242"/>
      <c r="AI470" s="242"/>
      <c r="AJ470" s="242"/>
      <c r="AK470" s="242"/>
      <c r="AL470" s="242"/>
      <c r="AM470" s="242"/>
      <c r="AN470" s="242"/>
      <c r="AO470" s="242"/>
      <c r="AP470" s="242"/>
    </row>
    <row r="471">
      <c r="A471" s="242"/>
      <c r="B471" s="242"/>
      <c r="C471" s="242"/>
      <c r="D471" s="242"/>
      <c r="E471" s="242"/>
      <c r="F471" s="242"/>
      <c r="G471" s="242"/>
      <c r="H471" s="242"/>
      <c r="I471" s="242"/>
      <c r="J471" s="242"/>
      <c r="K471" s="242"/>
      <c r="L471" s="242"/>
      <c r="M471" s="242"/>
      <c r="N471" s="242"/>
      <c r="O471" s="242"/>
      <c r="P471" s="13"/>
      <c r="Q471" s="13"/>
      <c r="R471" s="13"/>
      <c r="S471" s="13"/>
      <c r="T471" s="13"/>
      <c r="U471" s="13"/>
      <c r="V471" s="13"/>
      <c r="W471" s="13"/>
      <c r="X471" s="13"/>
      <c r="Y471" s="13"/>
      <c r="Z471" s="13"/>
      <c r="AA471" s="13"/>
      <c r="AB471" s="13"/>
      <c r="AC471" s="13"/>
      <c r="AD471" s="13"/>
      <c r="AE471" s="13"/>
      <c r="AF471" s="242"/>
      <c r="AG471" s="242"/>
      <c r="AH471" s="242"/>
      <c r="AI471" s="242"/>
      <c r="AJ471" s="242"/>
      <c r="AK471" s="242"/>
      <c r="AL471" s="242"/>
      <c r="AM471" s="242"/>
      <c r="AN471" s="242"/>
      <c r="AO471" s="242"/>
      <c r="AP471" s="242"/>
    </row>
    <row r="472">
      <c r="A472" s="242"/>
      <c r="B472" s="242"/>
      <c r="C472" s="242"/>
      <c r="D472" s="242"/>
      <c r="E472" s="242"/>
      <c r="F472" s="242"/>
      <c r="G472" s="242"/>
      <c r="H472" s="242"/>
      <c r="I472" s="242"/>
      <c r="J472" s="242"/>
      <c r="K472" s="242"/>
      <c r="L472" s="242"/>
      <c r="M472" s="242"/>
      <c r="N472" s="242"/>
      <c r="O472" s="242"/>
      <c r="P472" s="13"/>
      <c r="Q472" s="13"/>
      <c r="R472" s="13"/>
      <c r="S472" s="13"/>
      <c r="T472" s="13"/>
      <c r="U472" s="13"/>
      <c r="V472" s="13"/>
      <c r="W472" s="13"/>
      <c r="X472" s="13"/>
      <c r="Y472" s="13"/>
      <c r="Z472" s="13"/>
      <c r="AA472" s="13"/>
      <c r="AB472" s="13"/>
      <c r="AC472" s="13"/>
      <c r="AD472" s="13"/>
      <c r="AE472" s="13"/>
      <c r="AF472" s="242"/>
      <c r="AG472" s="242"/>
      <c r="AH472" s="242"/>
      <c r="AI472" s="242"/>
      <c r="AJ472" s="242"/>
      <c r="AK472" s="242"/>
      <c r="AL472" s="242"/>
      <c r="AM472" s="242"/>
      <c r="AN472" s="242"/>
      <c r="AO472" s="242"/>
      <c r="AP472" s="242"/>
    </row>
    <row r="473">
      <c r="A473" s="242"/>
      <c r="B473" s="242"/>
      <c r="C473" s="242"/>
      <c r="D473" s="242"/>
      <c r="E473" s="242"/>
      <c r="F473" s="242"/>
      <c r="G473" s="242"/>
      <c r="H473" s="242"/>
      <c r="I473" s="242"/>
      <c r="J473" s="242"/>
      <c r="K473" s="242"/>
      <c r="L473" s="242"/>
      <c r="M473" s="242"/>
      <c r="N473" s="242"/>
      <c r="O473" s="242"/>
      <c r="P473" s="13"/>
      <c r="Q473" s="13"/>
      <c r="R473" s="13"/>
      <c r="S473" s="13"/>
      <c r="T473" s="13"/>
      <c r="U473" s="13"/>
      <c r="V473" s="13"/>
      <c r="W473" s="13"/>
      <c r="X473" s="13"/>
      <c r="Y473" s="13"/>
      <c r="Z473" s="13"/>
      <c r="AA473" s="13"/>
      <c r="AB473" s="13"/>
      <c r="AC473" s="13"/>
      <c r="AD473" s="13"/>
      <c r="AE473" s="13"/>
      <c r="AF473" s="242"/>
      <c r="AG473" s="242"/>
      <c r="AH473" s="242"/>
      <c r="AI473" s="242"/>
      <c r="AJ473" s="242"/>
      <c r="AK473" s="242"/>
      <c r="AL473" s="242"/>
      <c r="AM473" s="242"/>
      <c r="AN473" s="242"/>
      <c r="AO473" s="242"/>
      <c r="AP473" s="242"/>
    </row>
    <row r="474">
      <c r="A474" s="242"/>
      <c r="B474" s="242"/>
      <c r="C474" s="242"/>
      <c r="D474" s="242"/>
      <c r="E474" s="242"/>
      <c r="F474" s="242"/>
      <c r="G474" s="242"/>
      <c r="H474" s="242"/>
      <c r="I474" s="242"/>
      <c r="J474" s="242"/>
      <c r="K474" s="242"/>
      <c r="L474" s="242"/>
      <c r="M474" s="242"/>
      <c r="N474" s="242"/>
      <c r="O474" s="242"/>
      <c r="P474" s="13"/>
      <c r="Q474" s="13"/>
      <c r="R474" s="13"/>
      <c r="S474" s="13"/>
      <c r="T474" s="13"/>
      <c r="U474" s="13"/>
      <c r="V474" s="13"/>
      <c r="W474" s="13"/>
      <c r="X474" s="13"/>
      <c r="Y474" s="13"/>
      <c r="Z474" s="13"/>
      <c r="AA474" s="13"/>
      <c r="AB474" s="13"/>
      <c r="AC474" s="13"/>
      <c r="AD474" s="13"/>
      <c r="AE474" s="13"/>
      <c r="AF474" s="242"/>
      <c r="AG474" s="242"/>
      <c r="AH474" s="242"/>
      <c r="AI474" s="242"/>
      <c r="AJ474" s="242"/>
      <c r="AK474" s="242"/>
      <c r="AL474" s="242"/>
      <c r="AM474" s="242"/>
      <c r="AN474" s="242"/>
      <c r="AO474" s="242"/>
      <c r="AP474" s="242"/>
    </row>
    <row r="475">
      <c r="A475" s="242"/>
      <c r="B475" s="242"/>
      <c r="C475" s="242"/>
      <c r="D475" s="242"/>
      <c r="E475" s="242"/>
      <c r="F475" s="242"/>
      <c r="G475" s="242"/>
      <c r="H475" s="242"/>
      <c r="I475" s="242"/>
      <c r="J475" s="242"/>
      <c r="K475" s="242"/>
      <c r="L475" s="242"/>
      <c r="M475" s="242"/>
      <c r="N475" s="242"/>
      <c r="O475" s="242"/>
      <c r="P475" s="13"/>
      <c r="Q475" s="13"/>
      <c r="R475" s="13"/>
      <c r="S475" s="13"/>
      <c r="T475" s="13"/>
      <c r="U475" s="13"/>
      <c r="V475" s="13"/>
      <c r="W475" s="13"/>
      <c r="X475" s="13"/>
      <c r="Y475" s="13"/>
      <c r="Z475" s="13"/>
      <c r="AA475" s="13"/>
      <c r="AB475" s="13"/>
      <c r="AC475" s="13"/>
      <c r="AD475" s="13"/>
      <c r="AE475" s="13"/>
      <c r="AF475" s="242"/>
      <c r="AG475" s="242"/>
      <c r="AH475" s="242"/>
      <c r="AI475" s="242"/>
      <c r="AJ475" s="242"/>
      <c r="AK475" s="242"/>
      <c r="AL475" s="242"/>
      <c r="AM475" s="242"/>
      <c r="AN475" s="242"/>
      <c r="AO475" s="242"/>
      <c r="AP475" s="242"/>
    </row>
    <row r="476">
      <c r="A476" s="242"/>
      <c r="B476" s="242"/>
      <c r="C476" s="242"/>
      <c r="D476" s="242"/>
      <c r="E476" s="242"/>
      <c r="F476" s="242"/>
      <c r="G476" s="242"/>
      <c r="H476" s="242"/>
      <c r="I476" s="242"/>
      <c r="J476" s="242"/>
      <c r="K476" s="242"/>
      <c r="L476" s="242"/>
      <c r="M476" s="242"/>
      <c r="N476" s="242"/>
      <c r="O476" s="242"/>
      <c r="P476" s="13"/>
      <c r="Q476" s="13"/>
      <c r="R476" s="13"/>
      <c r="S476" s="13"/>
      <c r="T476" s="13"/>
      <c r="U476" s="13"/>
      <c r="V476" s="13"/>
      <c r="W476" s="13"/>
      <c r="X476" s="13"/>
      <c r="Y476" s="13"/>
      <c r="Z476" s="13"/>
      <c r="AA476" s="13"/>
      <c r="AB476" s="13"/>
      <c r="AC476" s="13"/>
      <c r="AD476" s="13"/>
      <c r="AE476" s="13"/>
      <c r="AF476" s="242"/>
      <c r="AG476" s="242"/>
      <c r="AH476" s="242"/>
      <c r="AI476" s="242"/>
      <c r="AJ476" s="242"/>
      <c r="AK476" s="242"/>
      <c r="AL476" s="242"/>
      <c r="AM476" s="242"/>
      <c r="AN476" s="242"/>
      <c r="AO476" s="242"/>
      <c r="AP476" s="242"/>
    </row>
    <row r="477">
      <c r="A477" s="242"/>
      <c r="B477" s="242"/>
      <c r="C477" s="242"/>
      <c r="D477" s="242"/>
      <c r="E477" s="242"/>
      <c r="F477" s="242"/>
      <c r="G477" s="242"/>
      <c r="H477" s="242"/>
      <c r="I477" s="242"/>
      <c r="J477" s="242"/>
      <c r="K477" s="242"/>
      <c r="L477" s="242"/>
      <c r="M477" s="242"/>
      <c r="N477" s="242"/>
      <c r="O477" s="242"/>
      <c r="P477" s="13"/>
      <c r="Q477" s="13"/>
      <c r="R477" s="13"/>
      <c r="S477" s="13"/>
      <c r="T477" s="13"/>
      <c r="U477" s="13"/>
      <c r="V477" s="13"/>
      <c r="W477" s="13"/>
      <c r="X477" s="13"/>
      <c r="Y477" s="13"/>
      <c r="Z477" s="13"/>
      <c r="AA477" s="13"/>
      <c r="AB477" s="13"/>
      <c r="AC477" s="13"/>
      <c r="AD477" s="13"/>
      <c r="AE477" s="13"/>
      <c r="AF477" s="242"/>
      <c r="AG477" s="242"/>
      <c r="AH477" s="242"/>
      <c r="AI477" s="242"/>
      <c r="AJ477" s="242"/>
      <c r="AK477" s="242"/>
      <c r="AL477" s="242"/>
      <c r="AM477" s="242"/>
      <c r="AN477" s="242"/>
      <c r="AO477" s="242"/>
      <c r="AP477" s="242"/>
    </row>
    <row r="478">
      <c r="A478" s="242"/>
      <c r="B478" s="242"/>
      <c r="C478" s="242"/>
      <c r="D478" s="242"/>
      <c r="E478" s="242"/>
      <c r="F478" s="242"/>
      <c r="G478" s="242"/>
      <c r="H478" s="242"/>
      <c r="I478" s="242"/>
      <c r="J478" s="242"/>
      <c r="K478" s="242"/>
      <c r="L478" s="242"/>
      <c r="M478" s="242"/>
      <c r="N478" s="242"/>
      <c r="O478" s="242"/>
      <c r="P478" s="13"/>
      <c r="Q478" s="13"/>
      <c r="R478" s="13"/>
      <c r="S478" s="13"/>
      <c r="T478" s="13"/>
      <c r="U478" s="13"/>
      <c r="V478" s="13"/>
      <c r="W478" s="13"/>
      <c r="X478" s="13"/>
      <c r="Y478" s="13"/>
      <c r="Z478" s="13"/>
      <c r="AA478" s="13"/>
      <c r="AB478" s="13"/>
      <c r="AC478" s="13"/>
      <c r="AD478" s="13"/>
      <c r="AE478" s="13"/>
      <c r="AF478" s="242"/>
      <c r="AG478" s="242"/>
      <c r="AH478" s="242"/>
      <c r="AI478" s="242"/>
      <c r="AJ478" s="242"/>
      <c r="AK478" s="242"/>
      <c r="AL478" s="242"/>
      <c r="AM478" s="242"/>
      <c r="AN478" s="242"/>
      <c r="AO478" s="242"/>
      <c r="AP478" s="242"/>
    </row>
    <row r="479">
      <c r="A479" s="242"/>
      <c r="B479" s="242"/>
      <c r="C479" s="242"/>
      <c r="D479" s="242"/>
      <c r="E479" s="242"/>
      <c r="F479" s="242"/>
      <c r="G479" s="242"/>
      <c r="H479" s="242"/>
      <c r="I479" s="242"/>
      <c r="J479" s="242"/>
      <c r="K479" s="242"/>
      <c r="L479" s="242"/>
      <c r="M479" s="242"/>
      <c r="N479" s="242"/>
      <c r="O479" s="242"/>
      <c r="P479" s="13"/>
      <c r="Q479" s="13"/>
      <c r="R479" s="13"/>
      <c r="S479" s="13"/>
      <c r="T479" s="13"/>
      <c r="U479" s="13"/>
      <c r="V479" s="13"/>
      <c r="W479" s="13"/>
      <c r="X479" s="13"/>
      <c r="Y479" s="13"/>
      <c r="Z479" s="13"/>
      <c r="AA479" s="13"/>
      <c r="AB479" s="13"/>
      <c r="AC479" s="13"/>
      <c r="AD479" s="13"/>
      <c r="AE479" s="13"/>
      <c r="AF479" s="242"/>
      <c r="AG479" s="242"/>
      <c r="AH479" s="242"/>
      <c r="AI479" s="242"/>
      <c r="AJ479" s="242"/>
      <c r="AK479" s="242"/>
      <c r="AL479" s="242"/>
      <c r="AM479" s="242"/>
      <c r="AN479" s="242"/>
      <c r="AO479" s="242"/>
      <c r="AP479" s="242"/>
    </row>
    <row r="480">
      <c r="A480" s="242"/>
      <c r="B480" s="242"/>
      <c r="C480" s="242"/>
      <c r="D480" s="242"/>
      <c r="E480" s="242"/>
      <c r="F480" s="242"/>
      <c r="G480" s="242"/>
      <c r="H480" s="242"/>
      <c r="I480" s="242"/>
      <c r="J480" s="242"/>
      <c r="K480" s="242"/>
      <c r="L480" s="242"/>
      <c r="M480" s="242"/>
      <c r="N480" s="242"/>
      <c r="O480" s="242"/>
      <c r="P480" s="13"/>
      <c r="Q480" s="13"/>
      <c r="R480" s="13"/>
      <c r="S480" s="13"/>
      <c r="T480" s="13"/>
      <c r="U480" s="13"/>
      <c r="V480" s="13"/>
      <c r="W480" s="13"/>
      <c r="X480" s="13"/>
      <c r="Y480" s="13"/>
      <c r="Z480" s="13"/>
      <c r="AA480" s="13"/>
      <c r="AB480" s="13"/>
      <c r="AC480" s="13"/>
      <c r="AD480" s="13"/>
      <c r="AE480" s="13"/>
      <c r="AF480" s="242"/>
      <c r="AG480" s="242"/>
      <c r="AH480" s="242"/>
      <c r="AI480" s="242"/>
      <c r="AJ480" s="242"/>
      <c r="AK480" s="242"/>
      <c r="AL480" s="242"/>
      <c r="AM480" s="242"/>
      <c r="AN480" s="242"/>
      <c r="AO480" s="242"/>
      <c r="AP480" s="242"/>
    </row>
    <row r="481">
      <c r="A481" s="242"/>
      <c r="B481" s="242"/>
      <c r="C481" s="242"/>
      <c r="D481" s="242"/>
      <c r="E481" s="242"/>
      <c r="F481" s="242"/>
      <c r="G481" s="242"/>
      <c r="H481" s="242"/>
      <c r="I481" s="242"/>
      <c r="J481" s="242"/>
      <c r="K481" s="242"/>
      <c r="L481" s="242"/>
      <c r="M481" s="242"/>
      <c r="N481" s="242"/>
      <c r="O481" s="242"/>
      <c r="P481" s="13"/>
      <c r="Q481" s="13"/>
      <c r="R481" s="13"/>
      <c r="S481" s="13"/>
      <c r="T481" s="13"/>
      <c r="U481" s="13"/>
      <c r="V481" s="13"/>
      <c r="W481" s="13"/>
      <c r="X481" s="13"/>
      <c r="Y481" s="13"/>
      <c r="Z481" s="13"/>
      <c r="AA481" s="13"/>
      <c r="AB481" s="13"/>
      <c r="AC481" s="13"/>
      <c r="AD481" s="13"/>
      <c r="AE481" s="13"/>
      <c r="AF481" s="242"/>
      <c r="AG481" s="242"/>
      <c r="AH481" s="242"/>
      <c r="AI481" s="242"/>
      <c r="AJ481" s="242"/>
      <c r="AK481" s="242"/>
      <c r="AL481" s="242"/>
      <c r="AM481" s="242"/>
      <c r="AN481" s="242"/>
      <c r="AO481" s="242"/>
      <c r="AP481" s="242"/>
    </row>
    <row r="482">
      <c r="A482" s="242"/>
      <c r="B482" s="242"/>
      <c r="C482" s="242"/>
      <c r="D482" s="242"/>
      <c r="E482" s="242"/>
      <c r="F482" s="242"/>
      <c r="G482" s="242"/>
      <c r="H482" s="242"/>
      <c r="I482" s="242"/>
      <c r="J482" s="242"/>
      <c r="K482" s="242"/>
      <c r="L482" s="242"/>
      <c r="M482" s="242"/>
      <c r="N482" s="242"/>
      <c r="O482" s="242"/>
      <c r="P482" s="13"/>
      <c r="Q482" s="13"/>
      <c r="R482" s="13"/>
      <c r="S482" s="13"/>
      <c r="T482" s="13"/>
      <c r="U482" s="13"/>
      <c r="V482" s="13"/>
      <c r="W482" s="13"/>
      <c r="X482" s="13"/>
      <c r="Y482" s="13"/>
      <c r="Z482" s="13"/>
      <c r="AA482" s="13"/>
      <c r="AB482" s="13"/>
      <c r="AC482" s="13"/>
      <c r="AD482" s="13"/>
      <c r="AE482" s="13"/>
      <c r="AF482" s="242"/>
      <c r="AG482" s="242"/>
      <c r="AH482" s="242"/>
      <c r="AI482" s="242"/>
      <c r="AJ482" s="242"/>
      <c r="AK482" s="242"/>
      <c r="AL482" s="242"/>
      <c r="AM482" s="242"/>
      <c r="AN482" s="242"/>
      <c r="AO482" s="242"/>
      <c r="AP482" s="242"/>
    </row>
    <row r="483">
      <c r="A483" s="242"/>
      <c r="B483" s="242"/>
      <c r="C483" s="242"/>
      <c r="D483" s="242"/>
      <c r="E483" s="242"/>
      <c r="F483" s="242"/>
      <c r="G483" s="242"/>
      <c r="H483" s="242"/>
      <c r="I483" s="242"/>
      <c r="J483" s="242"/>
      <c r="K483" s="242"/>
      <c r="L483" s="242"/>
      <c r="M483" s="242"/>
      <c r="N483" s="242"/>
      <c r="O483" s="242"/>
      <c r="P483" s="13"/>
      <c r="Q483" s="13"/>
      <c r="R483" s="13"/>
      <c r="S483" s="13"/>
      <c r="T483" s="13"/>
      <c r="U483" s="13"/>
      <c r="V483" s="13"/>
      <c r="W483" s="13"/>
      <c r="X483" s="13"/>
      <c r="Y483" s="13"/>
      <c r="Z483" s="13"/>
      <c r="AA483" s="13"/>
      <c r="AB483" s="13"/>
      <c r="AC483" s="13"/>
      <c r="AD483" s="13"/>
      <c r="AE483" s="13"/>
      <c r="AF483" s="242"/>
      <c r="AG483" s="242"/>
      <c r="AH483" s="242"/>
      <c r="AI483" s="242"/>
      <c r="AJ483" s="242"/>
      <c r="AK483" s="242"/>
      <c r="AL483" s="242"/>
      <c r="AM483" s="242"/>
      <c r="AN483" s="242"/>
      <c r="AO483" s="242"/>
      <c r="AP483" s="242"/>
    </row>
    <row r="484">
      <c r="A484" s="242"/>
      <c r="B484" s="242"/>
      <c r="C484" s="242"/>
      <c r="D484" s="242"/>
      <c r="E484" s="242"/>
      <c r="F484" s="242"/>
      <c r="G484" s="242"/>
      <c r="H484" s="242"/>
      <c r="I484" s="242"/>
      <c r="J484" s="242"/>
      <c r="K484" s="242"/>
      <c r="L484" s="242"/>
      <c r="M484" s="242"/>
      <c r="N484" s="242"/>
      <c r="O484" s="242"/>
      <c r="P484" s="13"/>
      <c r="Q484" s="13"/>
      <c r="R484" s="13"/>
      <c r="S484" s="13"/>
      <c r="T484" s="13"/>
      <c r="U484" s="13"/>
      <c r="V484" s="13"/>
      <c r="W484" s="13"/>
      <c r="X484" s="13"/>
      <c r="Y484" s="13"/>
      <c r="Z484" s="13"/>
      <c r="AA484" s="13"/>
      <c r="AB484" s="13"/>
      <c r="AC484" s="13"/>
      <c r="AD484" s="13"/>
      <c r="AE484" s="13"/>
      <c r="AF484" s="242"/>
      <c r="AG484" s="242"/>
      <c r="AH484" s="242"/>
      <c r="AI484" s="242"/>
      <c r="AJ484" s="242"/>
      <c r="AK484" s="242"/>
      <c r="AL484" s="242"/>
      <c r="AM484" s="242"/>
      <c r="AN484" s="242"/>
      <c r="AO484" s="242"/>
      <c r="AP484" s="242"/>
    </row>
    <row r="485">
      <c r="A485" s="242"/>
      <c r="B485" s="242"/>
      <c r="C485" s="242"/>
      <c r="D485" s="242"/>
      <c r="E485" s="242"/>
      <c r="F485" s="242"/>
      <c r="G485" s="242"/>
      <c r="H485" s="242"/>
      <c r="I485" s="242"/>
      <c r="J485" s="242"/>
      <c r="K485" s="242"/>
      <c r="L485" s="242"/>
      <c r="M485" s="242"/>
      <c r="N485" s="242"/>
      <c r="O485" s="242"/>
      <c r="P485" s="13"/>
      <c r="Q485" s="13"/>
      <c r="R485" s="13"/>
      <c r="S485" s="13"/>
      <c r="T485" s="13"/>
      <c r="U485" s="13"/>
      <c r="V485" s="13"/>
      <c r="W485" s="13"/>
      <c r="X485" s="13"/>
      <c r="Y485" s="13"/>
      <c r="Z485" s="13"/>
      <c r="AA485" s="13"/>
      <c r="AB485" s="13"/>
      <c r="AC485" s="13"/>
      <c r="AD485" s="13"/>
      <c r="AE485" s="13"/>
      <c r="AF485" s="242"/>
      <c r="AG485" s="242"/>
      <c r="AH485" s="242"/>
      <c r="AI485" s="242"/>
      <c r="AJ485" s="242"/>
      <c r="AK485" s="242"/>
      <c r="AL485" s="242"/>
      <c r="AM485" s="242"/>
      <c r="AN485" s="242"/>
      <c r="AO485" s="242"/>
      <c r="AP485" s="242"/>
    </row>
    <row r="486">
      <c r="A486" s="242"/>
      <c r="B486" s="242"/>
      <c r="C486" s="242"/>
      <c r="D486" s="242"/>
      <c r="E486" s="242"/>
      <c r="F486" s="242"/>
      <c r="G486" s="242"/>
      <c r="H486" s="242"/>
      <c r="I486" s="242"/>
      <c r="J486" s="242"/>
      <c r="K486" s="242"/>
      <c r="L486" s="242"/>
      <c r="M486" s="242"/>
      <c r="N486" s="242"/>
      <c r="O486" s="242"/>
      <c r="P486" s="13"/>
      <c r="Q486" s="13"/>
      <c r="R486" s="13"/>
      <c r="S486" s="13"/>
      <c r="T486" s="13"/>
      <c r="U486" s="13"/>
      <c r="V486" s="13"/>
      <c r="W486" s="13"/>
      <c r="X486" s="13"/>
      <c r="Y486" s="13"/>
      <c r="Z486" s="13"/>
      <c r="AA486" s="13"/>
      <c r="AB486" s="13"/>
      <c r="AC486" s="13"/>
      <c r="AD486" s="13"/>
      <c r="AE486" s="13"/>
      <c r="AF486" s="242"/>
      <c r="AG486" s="242"/>
      <c r="AH486" s="242"/>
      <c r="AI486" s="242"/>
      <c r="AJ486" s="242"/>
      <c r="AK486" s="242"/>
      <c r="AL486" s="242"/>
      <c r="AM486" s="242"/>
      <c r="AN486" s="242"/>
      <c r="AO486" s="242"/>
      <c r="AP486" s="242"/>
    </row>
    <row r="487">
      <c r="A487" s="242"/>
      <c r="B487" s="242"/>
      <c r="C487" s="242"/>
      <c r="D487" s="242"/>
      <c r="E487" s="242"/>
      <c r="F487" s="242"/>
      <c r="G487" s="242"/>
      <c r="H487" s="242"/>
      <c r="I487" s="242"/>
      <c r="J487" s="242"/>
      <c r="K487" s="242"/>
      <c r="L487" s="242"/>
      <c r="M487" s="242"/>
      <c r="N487" s="242"/>
      <c r="O487" s="242"/>
      <c r="P487" s="13"/>
      <c r="Q487" s="13"/>
      <c r="R487" s="13"/>
      <c r="S487" s="13"/>
      <c r="T487" s="13"/>
      <c r="U487" s="13"/>
      <c r="V487" s="13"/>
      <c r="W487" s="13"/>
      <c r="X487" s="13"/>
      <c r="Y487" s="13"/>
      <c r="Z487" s="13"/>
      <c r="AA487" s="13"/>
      <c r="AB487" s="13"/>
      <c r="AC487" s="13"/>
      <c r="AD487" s="13"/>
      <c r="AE487" s="13"/>
      <c r="AF487" s="242"/>
      <c r="AG487" s="242"/>
      <c r="AH487" s="242"/>
      <c r="AI487" s="242"/>
      <c r="AJ487" s="242"/>
      <c r="AK487" s="242"/>
      <c r="AL487" s="242"/>
      <c r="AM487" s="242"/>
      <c r="AN487" s="242"/>
      <c r="AO487" s="242"/>
      <c r="AP487" s="242"/>
    </row>
    <row r="488">
      <c r="A488" s="242"/>
      <c r="B488" s="242"/>
      <c r="C488" s="242"/>
      <c r="D488" s="242"/>
      <c r="E488" s="242"/>
      <c r="F488" s="242"/>
      <c r="G488" s="242"/>
      <c r="H488" s="242"/>
      <c r="I488" s="242"/>
      <c r="J488" s="242"/>
      <c r="K488" s="242"/>
      <c r="L488" s="242"/>
      <c r="M488" s="242"/>
      <c r="N488" s="242"/>
      <c r="O488" s="242"/>
      <c r="P488" s="13"/>
      <c r="Q488" s="13"/>
      <c r="R488" s="13"/>
      <c r="S488" s="13"/>
      <c r="T488" s="13"/>
      <c r="U488" s="13"/>
      <c r="V488" s="13"/>
      <c r="W488" s="13"/>
      <c r="X488" s="13"/>
      <c r="Y488" s="13"/>
      <c r="Z488" s="13"/>
      <c r="AA488" s="13"/>
      <c r="AB488" s="13"/>
      <c r="AC488" s="13"/>
      <c r="AD488" s="13"/>
      <c r="AE488" s="13"/>
      <c r="AF488" s="242"/>
      <c r="AG488" s="242"/>
      <c r="AH488" s="242"/>
      <c r="AI488" s="242"/>
      <c r="AJ488" s="242"/>
      <c r="AK488" s="242"/>
      <c r="AL488" s="242"/>
      <c r="AM488" s="242"/>
      <c r="AN488" s="242"/>
      <c r="AO488" s="242"/>
      <c r="AP488" s="242"/>
    </row>
    <row r="489">
      <c r="A489" s="242"/>
      <c r="B489" s="242"/>
      <c r="C489" s="242"/>
      <c r="D489" s="242"/>
      <c r="E489" s="242"/>
      <c r="F489" s="242"/>
      <c r="G489" s="242"/>
      <c r="H489" s="242"/>
      <c r="I489" s="242"/>
      <c r="J489" s="242"/>
      <c r="K489" s="242"/>
      <c r="L489" s="242"/>
      <c r="M489" s="242"/>
      <c r="N489" s="242"/>
      <c r="O489" s="242"/>
      <c r="P489" s="13"/>
      <c r="Q489" s="13"/>
      <c r="R489" s="13"/>
      <c r="S489" s="13"/>
      <c r="T489" s="13"/>
      <c r="U489" s="13"/>
      <c r="V489" s="13"/>
      <c r="W489" s="13"/>
      <c r="X489" s="13"/>
      <c r="Y489" s="13"/>
      <c r="Z489" s="13"/>
      <c r="AA489" s="13"/>
      <c r="AB489" s="13"/>
      <c r="AC489" s="13"/>
      <c r="AD489" s="13"/>
      <c r="AE489" s="13"/>
      <c r="AF489" s="242"/>
      <c r="AG489" s="242"/>
      <c r="AH489" s="242"/>
      <c r="AI489" s="242"/>
      <c r="AJ489" s="242"/>
      <c r="AK489" s="242"/>
      <c r="AL489" s="242"/>
      <c r="AM489" s="242"/>
      <c r="AN489" s="242"/>
      <c r="AO489" s="242"/>
      <c r="AP489" s="242"/>
    </row>
    <row r="490">
      <c r="A490" s="242"/>
      <c r="B490" s="242"/>
      <c r="C490" s="242"/>
      <c r="D490" s="242"/>
      <c r="E490" s="242"/>
      <c r="F490" s="242"/>
      <c r="G490" s="242"/>
      <c r="H490" s="242"/>
      <c r="I490" s="242"/>
      <c r="J490" s="242"/>
      <c r="K490" s="242"/>
      <c r="L490" s="242"/>
      <c r="M490" s="242"/>
      <c r="N490" s="242"/>
      <c r="O490" s="242"/>
      <c r="P490" s="13"/>
      <c r="Q490" s="13"/>
      <c r="R490" s="13"/>
      <c r="S490" s="13"/>
      <c r="T490" s="13"/>
      <c r="U490" s="13"/>
      <c r="V490" s="13"/>
      <c r="W490" s="13"/>
      <c r="X490" s="13"/>
      <c r="Y490" s="13"/>
      <c r="Z490" s="13"/>
      <c r="AA490" s="13"/>
      <c r="AB490" s="13"/>
      <c r="AC490" s="13"/>
      <c r="AD490" s="13"/>
      <c r="AE490" s="13"/>
      <c r="AF490" s="242"/>
      <c r="AG490" s="242"/>
      <c r="AH490" s="242"/>
      <c r="AI490" s="242"/>
      <c r="AJ490" s="242"/>
      <c r="AK490" s="242"/>
      <c r="AL490" s="242"/>
      <c r="AM490" s="242"/>
      <c r="AN490" s="242"/>
      <c r="AO490" s="242"/>
      <c r="AP490" s="242"/>
    </row>
    <row r="491">
      <c r="A491" s="242"/>
      <c r="B491" s="242"/>
      <c r="C491" s="242"/>
      <c r="D491" s="242"/>
      <c r="E491" s="242"/>
      <c r="F491" s="242"/>
      <c r="G491" s="242"/>
      <c r="H491" s="242"/>
      <c r="I491" s="242"/>
      <c r="J491" s="242"/>
      <c r="K491" s="242"/>
      <c r="L491" s="242"/>
      <c r="M491" s="242"/>
      <c r="N491" s="242"/>
      <c r="O491" s="242"/>
      <c r="P491" s="13"/>
      <c r="Q491" s="13"/>
      <c r="R491" s="13"/>
      <c r="S491" s="13"/>
      <c r="T491" s="13"/>
      <c r="U491" s="13"/>
      <c r="V491" s="13"/>
      <c r="W491" s="13"/>
      <c r="X491" s="13"/>
      <c r="Y491" s="13"/>
      <c r="Z491" s="13"/>
      <c r="AA491" s="13"/>
      <c r="AB491" s="13"/>
      <c r="AC491" s="13"/>
      <c r="AD491" s="13"/>
      <c r="AE491" s="13"/>
      <c r="AF491" s="242"/>
      <c r="AG491" s="242"/>
      <c r="AH491" s="242"/>
      <c r="AI491" s="242"/>
      <c r="AJ491" s="242"/>
      <c r="AK491" s="242"/>
      <c r="AL491" s="242"/>
      <c r="AM491" s="242"/>
      <c r="AN491" s="242"/>
      <c r="AO491" s="242"/>
      <c r="AP491" s="242"/>
    </row>
    <row r="492">
      <c r="A492" s="242"/>
      <c r="B492" s="242"/>
      <c r="C492" s="242"/>
      <c r="D492" s="242"/>
      <c r="E492" s="242"/>
      <c r="F492" s="242"/>
      <c r="G492" s="242"/>
      <c r="H492" s="242"/>
      <c r="I492" s="242"/>
      <c r="J492" s="242"/>
      <c r="K492" s="242"/>
      <c r="L492" s="242"/>
      <c r="M492" s="242"/>
      <c r="N492" s="242"/>
      <c r="O492" s="242"/>
      <c r="P492" s="13"/>
      <c r="Q492" s="13"/>
      <c r="R492" s="13"/>
      <c r="S492" s="13"/>
      <c r="T492" s="13"/>
      <c r="U492" s="13"/>
      <c r="V492" s="13"/>
      <c r="W492" s="13"/>
      <c r="X492" s="13"/>
      <c r="Y492" s="13"/>
      <c r="Z492" s="13"/>
      <c r="AA492" s="13"/>
      <c r="AB492" s="13"/>
      <c r="AC492" s="13"/>
      <c r="AD492" s="13"/>
      <c r="AE492" s="13"/>
      <c r="AF492" s="242"/>
      <c r="AG492" s="242"/>
      <c r="AH492" s="242"/>
      <c r="AI492" s="242"/>
      <c r="AJ492" s="242"/>
      <c r="AK492" s="242"/>
      <c r="AL492" s="242"/>
      <c r="AM492" s="242"/>
      <c r="AN492" s="242"/>
      <c r="AO492" s="242"/>
      <c r="AP492" s="242"/>
    </row>
    <row r="493">
      <c r="A493" s="242"/>
      <c r="B493" s="242"/>
      <c r="C493" s="242"/>
      <c r="D493" s="242"/>
      <c r="E493" s="242"/>
      <c r="F493" s="242"/>
      <c r="G493" s="242"/>
      <c r="H493" s="242"/>
      <c r="I493" s="242"/>
      <c r="J493" s="242"/>
      <c r="K493" s="242"/>
      <c r="L493" s="242"/>
      <c r="M493" s="242"/>
      <c r="N493" s="242"/>
      <c r="O493" s="242"/>
      <c r="P493" s="13"/>
      <c r="Q493" s="13"/>
      <c r="R493" s="13"/>
      <c r="S493" s="13"/>
      <c r="T493" s="13"/>
      <c r="U493" s="13"/>
      <c r="V493" s="13"/>
      <c r="W493" s="13"/>
      <c r="X493" s="13"/>
      <c r="Y493" s="13"/>
      <c r="Z493" s="13"/>
      <c r="AA493" s="13"/>
      <c r="AB493" s="13"/>
      <c r="AC493" s="13"/>
      <c r="AD493" s="13"/>
      <c r="AE493" s="13"/>
      <c r="AF493" s="242"/>
      <c r="AG493" s="242"/>
      <c r="AH493" s="242"/>
      <c r="AI493" s="242"/>
      <c r="AJ493" s="242"/>
      <c r="AK493" s="242"/>
      <c r="AL493" s="242"/>
      <c r="AM493" s="242"/>
      <c r="AN493" s="242"/>
      <c r="AO493" s="242"/>
      <c r="AP493" s="242"/>
    </row>
    <row r="494">
      <c r="A494" s="242"/>
      <c r="B494" s="242"/>
      <c r="C494" s="242"/>
      <c r="D494" s="242"/>
      <c r="E494" s="242"/>
      <c r="F494" s="242"/>
      <c r="G494" s="242"/>
      <c r="H494" s="242"/>
      <c r="I494" s="242"/>
      <c r="J494" s="242"/>
      <c r="K494" s="242"/>
      <c r="L494" s="242"/>
      <c r="M494" s="242"/>
      <c r="N494" s="242"/>
      <c r="O494" s="242"/>
      <c r="P494" s="13"/>
      <c r="Q494" s="13"/>
      <c r="R494" s="13"/>
      <c r="S494" s="13"/>
      <c r="T494" s="13"/>
      <c r="U494" s="13"/>
      <c r="V494" s="13"/>
      <c r="W494" s="13"/>
      <c r="X494" s="13"/>
      <c r="Y494" s="13"/>
      <c r="Z494" s="13"/>
      <c r="AA494" s="13"/>
      <c r="AB494" s="13"/>
      <c r="AC494" s="13"/>
      <c r="AD494" s="13"/>
      <c r="AE494" s="13"/>
      <c r="AF494" s="242"/>
      <c r="AG494" s="242"/>
      <c r="AH494" s="242"/>
      <c r="AI494" s="242"/>
      <c r="AJ494" s="242"/>
      <c r="AK494" s="242"/>
      <c r="AL494" s="242"/>
      <c r="AM494" s="242"/>
      <c r="AN494" s="242"/>
      <c r="AO494" s="242"/>
      <c r="AP494" s="242"/>
    </row>
    <row r="495">
      <c r="A495" s="242"/>
      <c r="B495" s="242"/>
      <c r="C495" s="242"/>
      <c r="D495" s="242"/>
      <c r="E495" s="242"/>
      <c r="F495" s="242"/>
      <c r="G495" s="242"/>
      <c r="H495" s="242"/>
      <c r="I495" s="242"/>
      <c r="J495" s="242"/>
      <c r="K495" s="242"/>
      <c r="L495" s="242"/>
      <c r="M495" s="242"/>
      <c r="N495" s="242"/>
      <c r="O495" s="242"/>
      <c r="P495" s="13"/>
      <c r="Q495" s="13"/>
      <c r="R495" s="13"/>
      <c r="S495" s="13"/>
      <c r="T495" s="13"/>
      <c r="U495" s="13"/>
      <c r="V495" s="13"/>
      <c r="W495" s="13"/>
      <c r="X495" s="13"/>
      <c r="Y495" s="13"/>
      <c r="Z495" s="13"/>
      <c r="AA495" s="13"/>
      <c r="AB495" s="13"/>
      <c r="AC495" s="13"/>
      <c r="AD495" s="13"/>
      <c r="AE495" s="13"/>
      <c r="AF495" s="242"/>
      <c r="AG495" s="242"/>
      <c r="AH495" s="242"/>
      <c r="AI495" s="242"/>
      <c r="AJ495" s="242"/>
      <c r="AK495" s="242"/>
      <c r="AL495" s="242"/>
      <c r="AM495" s="242"/>
      <c r="AN495" s="242"/>
      <c r="AO495" s="242"/>
      <c r="AP495" s="242"/>
    </row>
    <row r="496">
      <c r="A496" s="242"/>
      <c r="B496" s="242"/>
      <c r="C496" s="242"/>
      <c r="D496" s="242"/>
      <c r="E496" s="242"/>
      <c r="F496" s="242"/>
      <c r="G496" s="242"/>
      <c r="H496" s="242"/>
      <c r="I496" s="242"/>
      <c r="J496" s="242"/>
      <c r="K496" s="242"/>
      <c r="L496" s="242"/>
      <c r="M496" s="242"/>
      <c r="N496" s="242"/>
      <c r="O496" s="242"/>
      <c r="P496" s="13"/>
      <c r="Q496" s="13"/>
      <c r="R496" s="13"/>
      <c r="S496" s="13"/>
      <c r="T496" s="13"/>
      <c r="U496" s="13"/>
      <c r="V496" s="13"/>
      <c r="W496" s="13"/>
      <c r="X496" s="13"/>
      <c r="Y496" s="13"/>
      <c r="Z496" s="13"/>
      <c r="AA496" s="13"/>
      <c r="AB496" s="13"/>
      <c r="AC496" s="13"/>
      <c r="AD496" s="13"/>
      <c r="AE496" s="13"/>
      <c r="AF496" s="242"/>
      <c r="AG496" s="242"/>
      <c r="AH496" s="242"/>
      <c r="AI496" s="242"/>
      <c r="AJ496" s="242"/>
      <c r="AK496" s="242"/>
      <c r="AL496" s="242"/>
      <c r="AM496" s="242"/>
      <c r="AN496" s="242"/>
      <c r="AO496" s="242"/>
      <c r="AP496" s="242"/>
    </row>
    <row r="497">
      <c r="A497" s="242"/>
      <c r="B497" s="242"/>
      <c r="C497" s="242"/>
      <c r="D497" s="242"/>
      <c r="E497" s="242"/>
      <c r="F497" s="242"/>
      <c r="G497" s="242"/>
      <c r="H497" s="242"/>
      <c r="I497" s="242"/>
      <c r="J497" s="242"/>
      <c r="K497" s="242"/>
      <c r="L497" s="242"/>
      <c r="M497" s="242"/>
      <c r="N497" s="242"/>
      <c r="O497" s="242"/>
      <c r="P497" s="13"/>
      <c r="Q497" s="13"/>
      <c r="R497" s="13"/>
      <c r="S497" s="13"/>
      <c r="T497" s="13"/>
      <c r="U497" s="13"/>
      <c r="V497" s="13"/>
      <c r="W497" s="13"/>
      <c r="X497" s="13"/>
      <c r="Y497" s="13"/>
      <c r="Z497" s="13"/>
      <c r="AA497" s="13"/>
      <c r="AB497" s="13"/>
      <c r="AC497" s="13"/>
      <c r="AD497" s="13"/>
      <c r="AE497" s="13"/>
      <c r="AF497" s="242"/>
      <c r="AG497" s="242"/>
      <c r="AH497" s="242"/>
      <c r="AI497" s="242"/>
      <c r="AJ497" s="242"/>
      <c r="AK497" s="242"/>
      <c r="AL497" s="242"/>
      <c r="AM497" s="242"/>
      <c r="AN497" s="242"/>
      <c r="AO497" s="242"/>
      <c r="AP497" s="242"/>
    </row>
    <row r="498">
      <c r="A498" s="242"/>
      <c r="B498" s="242"/>
      <c r="C498" s="242"/>
      <c r="D498" s="242"/>
      <c r="E498" s="242"/>
      <c r="F498" s="242"/>
      <c r="G498" s="242"/>
      <c r="H498" s="242"/>
      <c r="I498" s="242"/>
      <c r="J498" s="242"/>
      <c r="K498" s="242"/>
      <c r="L498" s="242"/>
      <c r="M498" s="242"/>
      <c r="N498" s="242"/>
      <c r="O498" s="242"/>
      <c r="P498" s="13"/>
      <c r="Q498" s="13"/>
      <c r="R498" s="13"/>
      <c r="S498" s="13"/>
      <c r="T498" s="13"/>
      <c r="U498" s="13"/>
      <c r="V498" s="13"/>
      <c r="W498" s="13"/>
      <c r="X498" s="13"/>
      <c r="Y498" s="13"/>
      <c r="Z498" s="13"/>
      <c r="AA498" s="13"/>
      <c r="AB498" s="13"/>
      <c r="AC498" s="13"/>
      <c r="AD498" s="13"/>
      <c r="AE498" s="13"/>
      <c r="AF498" s="242"/>
      <c r="AG498" s="242"/>
      <c r="AH498" s="242"/>
      <c r="AI498" s="242"/>
      <c r="AJ498" s="242"/>
      <c r="AK498" s="242"/>
      <c r="AL498" s="242"/>
      <c r="AM498" s="242"/>
      <c r="AN498" s="242"/>
      <c r="AO498" s="242"/>
      <c r="AP498" s="242"/>
    </row>
    <row r="499">
      <c r="A499" s="242"/>
      <c r="B499" s="242"/>
      <c r="C499" s="242"/>
      <c r="D499" s="242"/>
      <c r="E499" s="242"/>
      <c r="F499" s="242"/>
      <c r="G499" s="242"/>
      <c r="H499" s="242"/>
      <c r="I499" s="242"/>
      <c r="J499" s="242"/>
      <c r="K499" s="242"/>
      <c r="L499" s="242"/>
      <c r="M499" s="242"/>
      <c r="N499" s="242"/>
      <c r="O499" s="242"/>
      <c r="P499" s="13"/>
      <c r="Q499" s="13"/>
      <c r="R499" s="13"/>
      <c r="S499" s="13"/>
      <c r="T499" s="13"/>
      <c r="U499" s="13"/>
      <c r="V499" s="13"/>
      <c r="W499" s="13"/>
      <c r="X499" s="13"/>
      <c r="Y499" s="13"/>
      <c r="Z499" s="13"/>
      <c r="AA499" s="13"/>
      <c r="AB499" s="13"/>
      <c r="AC499" s="13"/>
      <c r="AD499" s="13"/>
      <c r="AE499" s="13"/>
      <c r="AF499" s="242"/>
      <c r="AG499" s="242"/>
      <c r="AH499" s="242"/>
      <c r="AI499" s="242"/>
      <c r="AJ499" s="242"/>
      <c r="AK499" s="242"/>
      <c r="AL499" s="242"/>
      <c r="AM499" s="242"/>
      <c r="AN499" s="242"/>
      <c r="AO499" s="242"/>
      <c r="AP499" s="242"/>
    </row>
    <row r="500">
      <c r="A500" s="242"/>
      <c r="B500" s="242"/>
      <c r="C500" s="242"/>
      <c r="D500" s="242"/>
      <c r="E500" s="242"/>
      <c r="F500" s="242"/>
      <c r="G500" s="242"/>
      <c r="H500" s="242"/>
      <c r="I500" s="242"/>
      <c r="J500" s="242"/>
      <c r="K500" s="242"/>
      <c r="L500" s="242"/>
      <c r="M500" s="242"/>
      <c r="N500" s="242"/>
      <c r="O500" s="242"/>
      <c r="P500" s="13"/>
      <c r="Q500" s="13"/>
      <c r="R500" s="13"/>
      <c r="S500" s="13"/>
      <c r="T500" s="13"/>
      <c r="U500" s="13"/>
      <c r="V500" s="13"/>
      <c r="W500" s="13"/>
      <c r="X500" s="13"/>
      <c r="Y500" s="13"/>
      <c r="Z500" s="13"/>
      <c r="AA500" s="13"/>
      <c r="AB500" s="13"/>
      <c r="AC500" s="13"/>
      <c r="AD500" s="13"/>
      <c r="AE500" s="13"/>
      <c r="AF500" s="242"/>
      <c r="AG500" s="242"/>
      <c r="AH500" s="242"/>
      <c r="AI500" s="242"/>
      <c r="AJ500" s="242"/>
      <c r="AK500" s="242"/>
      <c r="AL500" s="242"/>
      <c r="AM500" s="242"/>
      <c r="AN500" s="242"/>
      <c r="AO500" s="242"/>
      <c r="AP500" s="242"/>
    </row>
    <row r="501">
      <c r="A501" s="242"/>
      <c r="B501" s="242"/>
      <c r="C501" s="242"/>
      <c r="D501" s="242"/>
      <c r="E501" s="242"/>
      <c r="F501" s="242"/>
      <c r="G501" s="242"/>
      <c r="H501" s="242"/>
      <c r="I501" s="242"/>
      <c r="J501" s="242"/>
      <c r="K501" s="242"/>
      <c r="L501" s="242"/>
      <c r="M501" s="242"/>
      <c r="N501" s="242"/>
      <c r="O501" s="242"/>
      <c r="P501" s="13"/>
      <c r="Q501" s="13"/>
      <c r="R501" s="13"/>
      <c r="S501" s="13"/>
      <c r="T501" s="13"/>
      <c r="U501" s="13"/>
      <c r="V501" s="13"/>
      <c r="W501" s="13"/>
      <c r="X501" s="13"/>
      <c r="Y501" s="13"/>
      <c r="Z501" s="13"/>
      <c r="AA501" s="13"/>
      <c r="AB501" s="13"/>
      <c r="AC501" s="13"/>
      <c r="AD501" s="13"/>
      <c r="AE501" s="13"/>
      <c r="AF501" s="242"/>
      <c r="AG501" s="242"/>
      <c r="AH501" s="242"/>
      <c r="AI501" s="242"/>
      <c r="AJ501" s="242"/>
      <c r="AK501" s="242"/>
      <c r="AL501" s="242"/>
      <c r="AM501" s="242"/>
      <c r="AN501" s="242"/>
      <c r="AO501" s="242"/>
      <c r="AP501" s="242"/>
    </row>
    <row r="502">
      <c r="A502" s="242"/>
      <c r="B502" s="242"/>
      <c r="C502" s="242"/>
      <c r="D502" s="242"/>
      <c r="E502" s="242"/>
      <c r="F502" s="242"/>
      <c r="G502" s="242"/>
      <c r="H502" s="242"/>
      <c r="I502" s="242"/>
      <c r="J502" s="242"/>
      <c r="K502" s="242"/>
      <c r="L502" s="242"/>
      <c r="M502" s="242"/>
      <c r="N502" s="242"/>
      <c r="O502" s="242"/>
      <c r="P502" s="13"/>
      <c r="Q502" s="13"/>
      <c r="R502" s="13"/>
      <c r="S502" s="13"/>
      <c r="T502" s="13"/>
      <c r="U502" s="13"/>
      <c r="V502" s="13"/>
      <c r="W502" s="13"/>
      <c r="X502" s="13"/>
      <c r="Y502" s="13"/>
      <c r="Z502" s="13"/>
      <c r="AA502" s="13"/>
      <c r="AB502" s="13"/>
      <c r="AC502" s="13"/>
      <c r="AD502" s="13"/>
      <c r="AE502" s="13"/>
      <c r="AF502" s="242"/>
      <c r="AG502" s="242"/>
      <c r="AH502" s="242"/>
      <c r="AI502" s="242"/>
      <c r="AJ502" s="242"/>
      <c r="AK502" s="242"/>
      <c r="AL502" s="242"/>
      <c r="AM502" s="242"/>
      <c r="AN502" s="242"/>
      <c r="AO502" s="242"/>
      <c r="AP502" s="242"/>
    </row>
    <row r="503">
      <c r="A503" s="242"/>
      <c r="B503" s="242"/>
      <c r="C503" s="242"/>
      <c r="D503" s="242"/>
      <c r="E503" s="242"/>
      <c r="F503" s="242"/>
      <c r="G503" s="242"/>
      <c r="H503" s="242"/>
      <c r="I503" s="242"/>
      <c r="J503" s="242"/>
      <c r="K503" s="242"/>
      <c r="L503" s="242"/>
      <c r="M503" s="242"/>
      <c r="N503" s="242"/>
      <c r="O503" s="242"/>
      <c r="P503" s="13"/>
      <c r="Q503" s="13"/>
      <c r="R503" s="13"/>
      <c r="S503" s="13"/>
      <c r="T503" s="13"/>
      <c r="U503" s="13"/>
      <c r="V503" s="13"/>
      <c r="W503" s="13"/>
      <c r="X503" s="13"/>
      <c r="Y503" s="13"/>
      <c r="Z503" s="13"/>
      <c r="AA503" s="13"/>
      <c r="AB503" s="13"/>
      <c r="AC503" s="13"/>
      <c r="AD503" s="13"/>
      <c r="AE503" s="13"/>
      <c r="AF503" s="242"/>
      <c r="AG503" s="242"/>
      <c r="AH503" s="242"/>
      <c r="AI503" s="242"/>
      <c r="AJ503" s="242"/>
      <c r="AK503" s="242"/>
      <c r="AL503" s="242"/>
      <c r="AM503" s="242"/>
      <c r="AN503" s="242"/>
      <c r="AO503" s="242"/>
      <c r="AP503" s="242"/>
    </row>
    <row r="504">
      <c r="A504" s="242"/>
      <c r="B504" s="242"/>
      <c r="C504" s="242"/>
      <c r="D504" s="242"/>
      <c r="E504" s="242"/>
      <c r="F504" s="242"/>
      <c r="G504" s="242"/>
      <c r="H504" s="242"/>
      <c r="I504" s="242"/>
      <c r="J504" s="242"/>
      <c r="K504" s="242"/>
      <c r="L504" s="242"/>
      <c r="M504" s="242"/>
      <c r="N504" s="242"/>
      <c r="O504" s="242"/>
      <c r="P504" s="13"/>
      <c r="Q504" s="13"/>
      <c r="R504" s="13"/>
      <c r="S504" s="13"/>
      <c r="T504" s="13"/>
      <c r="U504" s="13"/>
      <c r="V504" s="13"/>
      <c r="W504" s="13"/>
      <c r="X504" s="13"/>
      <c r="Y504" s="13"/>
      <c r="Z504" s="13"/>
      <c r="AA504" s="13"/>
      <c r="AB504" s="13"/>
      <c r="AC504" s="13"/>
      <c r="AD504" s="13"/>
      <c r="AE504" s="13"/>
      <c r="AF504" s="242"/>
      <c r="AG504" s="242"/>
      <c r="AH504" s="242"/>
      <c r="AI504" s="242"/>
      <c r="AJ504" s="242"/>
      <c r="AK504" s="242"/>
      <c r="AL504" s="242"/>
      <c r="AM504" s="242"/>
      <c r="AN504" s="242"/>
      <c r="AO504" s="242"/>
      <c r="AP504" s="242"/>
    </row>
    <row r="505">
      <c r="A505" s="242"/>
      <c r="B505" s="242"/>
      <c r="C505" s="242"/>
      <c r="D505" s="242"/>
      <c r="E505" s="242"/>
      <c r="F505" s="242"/>
      <c r="G505" s="242"/>
      <c r="H505" s="242"/>
      <c r="I505" s="242"/>
      <c r="J505" s="242"/>
      <c r="K505" s="242"/>
      <c r="L505" s="242"/>
      <c r="M505" s="242"/>
      <c r="N505" s="242"/>
      <c r="O505" s="242"/>
      <c r="P505" s="13"/>
      <c r="Q505" s="13"/>
      <c r="R505" s="13"/>
      <c r="S505" s="13"/>
      <c r="T505" s="13"/>
      <c r="U505" s="13"/>
      <c r="V505" s="13"/>
      <c r="W505" s="13"/>
      <c r="X505" s="13"/>
      <c r="Y505" s="13"/>
      <c r="Z505" s="13"/>
      <c r="AA505" s="13"/>
      <c r="AB505" s="13"/>
      <c r="AC505" s="13"/>
      <c r="AD505" s="13"/>
      <c r="AE505" s="13"/>
      <c r="AF505" s="242"/>
      <c r="AG505" s="242"/>
      <c r="AH505" s="242"/>
      <c r="AI505" s="242"/>
      <c r="AJ505" s="242"/>
      <c r="AK505" s="242"/>
      <c r="AL505" s="242"/>
      <c r="AM505" s="242"/>
      <c r="AN505" s="242"/>
      <c r="AO505" s="242"/>
      <c r="AP505" s="242"/>
    </row>
    <row r="506">
      <c r="A506" s="242"/>
      <c r="B506" s="242"/>
      <c r="C506" s="242"/>
      <c r="D506" s="242"/>
      <c r="E506" s="242"/>
      <c r="F506" s="242"/>
      <c r="G506" s="242"/>
      <c r="H506" s="242"/>
      <c r="I506" s="242"/>
      <c r="J506" s="242"/>
      <c r="K506" s="242"/>
      <c r="L506" s="242"/>
      <c r="M506" s="242"/>
      <c r="N506" s="242"/>
      <c r="O506" s="242"/>
      <c r="P506" s="13"/>
      <c r="Q506" s="13"/>
      <c r="R506" s="13"/>
      <c r="S506" s="13"/>
      <c r="T506" s="13"/>
      <c r="U506" s="13"/>
      <c r="V506" s="13"/>
      <c r="W506" s="13"/>
      <c r="X506" s="13"/>
      <c r="Y506" s="13"/>
      <c r="Z506" s="13"/>
      <c r="AA506" s="13"/>
      <c r="AB506" s="13"/>
      <c r="AC506" s="13"/>
      <c r="AD506" s="13"/>
      <c r="AE506" s="13"/>
      <c r="AF506" s="242"/>
      <c r="AG506" s="242"/>
      <c r="AH506" s="242"/>
      <c r="AI506" s="242"/>
      <c r="AJ506" s="242"/>
      <c r="AK506" s="242"/>
      <c r="AL506" s="242"/>
      <c r="AM506" s="242"/>
      <c r="AN506" s="242"/>
      <c r="AO506" s="242"/>
      <c r="AP506" s="242"/>
    </row>
    <row r="507">
      <c r="A507" s="242"/>
      <c r="B507" s="242"/>
      <c r="C507" s="242"/>
      <c r="D507" s="242"/>
      <c r="E507" s="242"/>
      <c r="F507" s="242"/>
      <c r="G507" s="242"/>
      <c r="H507" s="242"/>
      <c r="I507" s="242"/>
      <c r="J507" s="242"/>
      <c r="K507" s="242"/>
      <c r="L507" s="242"/>
      <c r="M507" s="242"/>
      <c r="N507" s="242"/>
      <c r="O507" s="242"/>
      <c r="P507" s="13"/>
      <c r="Q507" s="13"/>
      <c r="R507" s="13"/>
      <c r="S507" s="13"/>
      <c r="T507" s="13"/>
      <c r="U507" s="13"/>
      <c r="V507" s="13"/>
      <c r="W507" s="13"/>
      <c r="X507" s="13"/>
      <c r="Y507" s="13"/>
      <c r="Z507" s="13"/>
      <c r="AA507" s="13"/>
      <c r="AB507" s="13"/>
      <c r="AC507" s="13"/>
      <c r="AD507" s="13"/>
      <c r="AE507" s="13"/>
      <c r="AF507" s="242"/>
      <c r="AG507" s="242"/>
      <c r="AH507" s="242"/>
      <c r="AI507" s="242"/>
      <c r="AJ507" s="242"/>
      <c r="AK507" s="242"/>
      <c r="AL507" s="242"/>
      <c r="AM507" s="242"/>
      <c r="AN507" s="242"/>
      <c r="AO507" s="242"/>
      <c r="AP507" s="242"/>
    </row>
    <row r="508">
      <c r="A508" s="242"/>
      <c r="B508" s="242"/>
      <c r="C508" s="242"/>
      <c r="D508" s="242"/>
      <c r="E508" s="242"/>
      <c r="F508" s="242"/>
      <c r="G508" s="242"/>
      <c r="H508" s="242"/>
      <c r="I508" s="242"/>
      <c r="J508" s="242"/>
      <c r="K508" s="242"/>
      <c r="L508" s="242"/>
      <c r="M508" s="242"/>
      <c r="N508" s="242"/>
      <c r="O508" s="242"/>
      <c r="P508" s="13"/>
      <c r="Q508" s="13"/>
      <c r="R508" s="13"/>
      <c r="S508" s="13"/>
      <c r="T508" s="13"/>
      <c r="U508" s="13"/>
      <c r="V508" s="13"/>
      <c r="W508" s="13"/>
      <c r="X508" s="13"/>
      <c r="Y508" s="13"/>
      <c r="Z508" s="13"/>
      <c r="AA508" s="13"/>
      <c r="AB508" s="13"/>
      <c r="AC508" s="13"/>
      <c r="AD508" s="13"/>
      <c r="AE508" s="13"/>
      <c r="AF508" s="242"/>
      <c r="AG508" s="242"/>
      <c r="AH508" s="242"/>
      <c r="AI508" s="242"/>
      <c r="AJ508" s="242"/>
      <c r="AK508" s="242"/>
      <c r="AL508" s="242"/>
      <c r="AM508" s="242"/>
      <c r="AN508" s="242"/>
      <c r="AO508" s="242"/>
      <c r="AP508" s="242"/>
    </row>
    <row r="509">
      <c r="A509" s="242"/>
      <c r="B509" s="242"/>
      <c r="C509" s="242"/>
      <c r="D509" s="242"/>
      <c r="E509" s="242"/>
      <c r="F509" s="242"/>
      <c r="G509" s="242"/>
      <c r="H509" s="242"/>
      <c r="I509" s="242"/>
      <c r="J509" s="242"/>
      <c r="K509" s="242"/>
      <c r="L509" s="242"/>
      <c r="M509" s="242"/>
      <c r="N509" s="242"/>
      <c r="O509" s="242"/>
      <c r="P509" s="13"/>
      <c r="Q509" s="13"/>
      <c r="R509" s="13"/>
      <c r="S509" s="13"/>
      <c r="T509" s="13"/>
      <c r="U509" s="13"/>
      <c r="V509" s="13"/>
      <c r="W509" s="13"/>
      <c r="X509" s="13"/>
      <c r="Y509" s="13"/>
      <c r="Z509" s="13"/>
      <c r="AA509" s="13"/>
      <c r="AB509" s="13"/>
      <c r="AC509" s="13"/>
      <c r="AD509" s="13"/>
      <c r="AE509" s="13"/>
      <c r="AF509" s="242"/>
      <c r="AG509" s="242"/>
      <c r="AH509" s="242"/>
      <c r="AI509" s="242"/>
      <c r="AJ509" s="242"/>
      <c r="AK509" s="242"/>
      <c r="AL509" s="242"/>
      <c r="AM509" s="242"/>
      <c r="AN509" s="242"/>
      <c r="AO509" s="242"/>
      <c r="AP509" s="242"/>
    </row>
    <row r="510">
      <c r="A510" s="242"/>
      <c r="B510" s="242"/>
      <c r="C510" s="242"/>
      <c r="D510" s="242"/>
      <c r="E510" s="242"/>
      <c r="F510" s="242"/>
      <c r="G510" s="242"/>
      <c r="H510" s="242"/>
      <c r="I510" s="242"/>
      <c r="J510" s="242"/>
      <c r="K510" s="242"/>
      <c r="L510" s="242"/>
      <c r="M510" s="242"/>
      <c r="N510" s="242"/>
      <c r="O510" s="242"/>
      <c r="P510" s="13"/>
      <c r="Q510" s="13"/>
      <c r="R510" s="13"/>
      <c r="S510" s="13"/>
      <c r="T510" s="13"/>
      <c r="U510" s="13"/>
      <c r="V510" s="13"/>
      <c r="W510" s="13"/>
      <c r="X510" s="13"/>
      <c r="Y510" s="13"/>
      <c r="Z510" s="13"/>
      <c r="AA510" s="13"/>
      <c r="AB510" s="13"/>
      <c r="AC510" s="13"/>
      <c r="AD510" s="13"/>
      <c r="AE510" s="13"/>
      <c r="AF510" s="242"/>
      <c r="AG510" s="242"/>
      <c r="AH510" s="242"/>
      <c r="AI510" s="242"/>
      <c r="AJ510" s="242"/>
      <c r="AK510" s="242"/>
      <c r="AL510" s="242"/>
      <c r="AM510" s="242"/>
      <c r="AN510" s="242"/>
      <c r="AO510" s="242"/>
      <c r="AP510" s="242"/>
    </row>
    <row r="511">
      <c r="A511" s="242"/>
      <c r="B511" s="242"/>
      <c r="C511" s="242"/>
      <c r="D511" s="242"/>
      <c r="E511" s="242"/>
      <c r="F511" s="242"/>
      <c r="G511" s="242"/>
      <c r="H511" s="242"/>
      <c r="I511" s="242"/>
      <c r="J511" s="242"/>
      <c r="K511" s="242"/>
      <c r="L511" s="242"/>
      <c r="M511" s="242"/>
      <c r="N511" s="242"/>
      <c r="O511" s="242"/>
      <c r="P511" s="13"/>
      <c r="Q511" s="13"/>
      <c r="R511" s="13"/>
      <c r="S511" s="13"/>
      <c r="T511" s="13"/>
      <c r="U511" s="13"/>
      <c r="V511" s="13"/>
      <c r="W511" s="13"/>
      <c r="X511" s="13"/>
      <c r="Y511" s="13"/>
      <c r="Z511" s="13"/>
      <c r="AA511" s="13"/>
      <c r="AB511" s="13"/>
      <c r="AC511" s="13"/>
      <c r="AD511" s="13"/>
      <c r="AE511" s="13"/>
      <c r="AF511" s="242"/>
      <c r="AG511" s="242"/>
      <c r="AH511" s="242"/>
      <c r="AI511" s="242"/>
      <c r="AJ511" s="242"/>
      <c r="AK511" s="242"/>
      <c r="AL511" s="242"/>
      <c r="AM511" s="242"/>
      <c r="AN511" s="242"/>
      <c r="AO511" s="242"/>
      <c r="AP511" s="242"/>
    </row>
    <row r="512">
      <c r="A512" s="242"/>
      <c r="B512" s="242"/>
      <c r="C512" s="242"/>
      <c r="D512" s="242"/>
      <c r="E512" s="242"/>
      <c r="F512" s="242"/>
      <c r="G512" s="242"/>
      <c r="H512" s="242"/>
      <c r="I512" s="242"/>
      <c r="J512" s="242"/>
      <c r="K512" s="242"/>
      <c r="L512" s="242"/>
      <c r="M512" s="242"/>
      <c r="N512" s="242"/>
      <c r="O512" s="242"/>
      <c r="P512" s="13"/>
      <c r="Q512" s="13"/>
      <c r="R512" s="13"/>
      <c r="S512" s="13"/>
      <c r="T512" s="13"/>
      <c r="U512" s="13"/>
      <c r="V512" s="13"/>
      <c r="W512" s="13"/>
      <c r="X512" s="13"/>
      <c r="Y512" s="13"/>
      <c r="Z512" s="13"/>
      <c r="AA512" s="13"/>
      <c r="AB512" s="13"/>
      <c r="AC512" s="13"/>
      <c r="AD512" s="13"/>
      <c r="AE512" s="13"/>
      <c r="AF512" s="242"/>
      <c r="AG512" s="242"/>
      <c r="AH512" s="242"/>
      <c r="AI512" s="242"/>
      <c r="AJ512" s="242"/>
      <c r="AK512" s="242"/>
      <c r="AL512" s="242"/>
      <c r="AM512" s="242"/>
      <c r="AN512" s="242"/>
      <c r="AO512" s="242"/>
      <c r="AP512" s="242"/>
    </row>
    <row r="513">
      <c r="A513" s="242"/>
      <c r="B513" s="242"/>
      <c r="C513" s="242"/>
      <c r="D513" s="242"/>
      <c r="E513" s="242"/>
      <c r="F513" s="242"/>
      <c r="G513" s="242"/>
      <c r="H513" s="242"/>
      <c r="I513" s="242"/>
      <c r="J513" s="242"/>
      <c r="K513" s="242"/>
      <c r="L513" s="242"/>
      <c r="M513" s="242"/>
      <c r="N513" s="242"/>
      <c r="O513" s="242"/>
      <c r="P513" s="13"/>
      <c r="Q513" s="13"/>
      <c r="R513" s="13"/>
      <c r="S513" s="13"/>
      <c r="T513" s="13"/>
      <c r="U513" s="13"/>
      <c r="V513" s="13"/>
      <c r="W513" s="13"/>
      <c r="X513" s="13"/>
      <c r="Y513" s="13"/>
      <c r="Z513" s="13"/>
      <c r="AA513" s="13"/>
      <c r="AB513" s="13"/>
      <c r="AC513" s="13"/>
      <c r="AD513" s="13"/>
      <c r="AE513" s="13"/>
      <c r="AF513" s="242"/>
      <c r="AG513" s="242"/>
      <c r="AH513" s="242"/>
      <c r="AI513" s="242"/>
      <c r="AJ513" s="242"/>
      <c r="AK513" s="242"/>
      <c r="AL513" s="242"/>
      <c r="AM513" s="242"/>
      <c r="AN513" s="242"/>
      <c r="AO513" s="242"/>
      <c r="AP513" s="242"/>
    </row>
    <row r="514">
      <c r="A514" s="242"/>
      <c r="B514" s="242"/>
      <c r="C514" s="242"/>
      <c r="D514" s="242"/>
      <c r="E514" s="242"/>
      <c r="F514" s="242"/>
      <c r="G514" s="242"/>
      <c r="H514" s="242"/>
      <c r="I514" s="242"/>
      <c r="J514" s="242"/>
      <c r="K514" s="242"/>
      <c r="L514" s="242"/>
      <c r="M514" s="242"/>
      <c r="N514" s="242"/>
      <c r="O514" s="242"/>
      <c r="P514" s="13"/>
      <c r="Q514" s="13"/>
      <c r="R514" s="13"/>
      <c r="S514" s="13"/>
      <c r="T514" s="13"/>
      <c r="U514" s="13"/>
      <c r="V514" s="13"/>
      <c r="W514" s="13"/>
      <c r="X514" s="13"/>
      <c r="Y514" s="13"/>
      <c r="Z514" s="13"/>
      <c r="AA514" s="13"/>
      <c r="AB514" s="13"/>
      <c r="AC514" s="13"/>
      <c r="AD514" s="13"/>
      <c r="AE514" s="13"/>
      <c r="AF514" s="242"/>
      <c r="AG514" s="242"/>
      <c r="AH514" s="242"/>
      <c r="AI514" s="242"/>
      <c r="AJ514" s="242"/>
      <c r="AK514" s="242"/>
      <c r="AL514" s="242"/>
      <c r="AM514" s="242"/>
      <c r="AN514" s="242"/>
      <c r="AO514" s="242"/>
      <c r="AP514" s="242"/>
    </row>
    <row r="515">
      <c r="A515" s="242"/>
      <c r="B515" s="242"/>
      <c r="C515" s="242"/>
      <c r="D515" s="242"/>
      <c r="E515" s="242"/>
      <c r="F515" s="242"/>
      <c r="G515" s="242"/>
      <c r="H515" s="242"/>
      <c r="I515" s="242"/>
      <c r="J515" s="242"/>
      <c r="K515" s="242"/>
      <c r="L515" s="242"/>
      <c r="M515" s="242"/>
      <c r="N515" s="242"/>
      <c r="O515" s="242"/>
      <c r="P515" s="13"/>
      <c r="Q515" s="13"/>
      <c r="R515" s="13"/>
      <c r="S515" s="13"/>
      <c r="T515" s="13"/>
      <c r="U515" s="13"/>
      <c r="V515" s="13"/>
      <c r="W515" s="13"/>
      <c r="X515" s="13"/>
      <c r="Y515" s="13"/>
      <c r="Z515" s="13"/>
      <c r="AA515" s="13"/>
      <c r="AB515" s="13"/>
      <c r="AC515" s="13"/>
      <c r="AD515" s="13"/>
      <c r="AE515" s="13"/>
      <c r="AF515" s="242"/>
      <c r="AG515" s="242"/>
      <c r="AH515" s="242"/>
      <c r="AI515" s="242"/>
      <c r="AJ515" s="242"/>
      <c r="AK515" s="242"/>
      <c r="AL515" s="242"/>
      <c r="AM515" s="242"/>
      <c r="AN515" s="242"/>
      <c r="AO515" s="242"/>
      <c r="AP515" s="242"/>
    </row>
    <row r="516">
      <c r="A516" s="242"/>
      <c r="B516" s="242"/>
      <c r="C516" s="242"/>
      <c r="D516" s="242"/>
      <c r="E516" s="242"/>
      <c r="F516" s="242"/>
      <c r="G516" s="242"/>
      <c r="H516" s="242"/>
      <c r="I516" s="242"/>
      <c r="J516" s="242"/>
      <c r="K516" s="242"/>
      <c r="L516" s="242"/>
      <c r="M516" s="242"/>
      <c r="N516" s="242"/>
      <c r="O516" s="242"/>
      <c r="P516" s="13"/>
      <c r="Q516" s="13"/>
      <c r="R516" s="13"/>
      <c r="S516" s="13"/>
      <c r="T516" s="13"/>
      <c r="U516" s="13"/>
      <c r="V516" s="13"/>
      <c r="W516" s="13"/>
      <c r="X516" s="13"/>
      <c r="Y516" s="13"/>
      <c r="Z516" s="13"/>
      <c r="AA516" s="13"/>
      <c r="AB516" s="13"/>
      <c r="AC516" s="13"/>
      <c r="AD516" s="13"/>
      <c r="AE516" s="13"/>
      <c r="AF516" s="242"/>
      <c r="AG516" s="242"/>
      <c r="AH516" s="242"/>
      <c r="AI516" s="242"/>
      <c r="AJ516" s="242"/>
      <c r="AK516" s="242"/>
      <c r="AL516" s="242"/>
      <c r="AM516" s="242"/>
      <c r="AN516" s="242"/>
      <c r="AO516" s="242"/>
      <c r="AP516" s="242"/>
    </row>
    <row r="517">
      <c r="A517" s="242"/>
      <c r="B517" s="242"/>
      <c r="C517" s="242"/>
      <c r="D517" s="242"/>
      <c r="E517" s="242"/>
      <c r="F517" s="242"/>
      <c r="G517" s="242"/>
      <c r="H517" s="242"/>
      <c r="I517" s="242"/>
      <c r="J517" s="242"/>
      <c r="K517" s="242"/>
      <c r="L517" s="242"/>
      <c r="M517" s="242"/>
      <c r="N517" s="242"/>
      <c r="O517" s="242"/>
      <c r="P517" s="13"/>
      <c r="Q517" s="13"/>
      <c r="R517" s="13"/>
      <c r="S517" s="13"/>
      <c r="T517" s="13"/>
      <c r="U517" s="13"/>
      <c r="V517" s="13"/>
      <c r="W517" s="13"/>
      <c r="X517" s="13"/>
      <c r="Y517" s="13"/>
      <c r="Z517" s="13"/>
      <c r="AA517" s="13"/>
      <c r="AB517" s="13"/>
      <c r="AC517" s="13"/>
      <c r="AD517" s="13"/>
      <c r="AE517" s="13"/>
      <c r="AF517" s="242"/>
      <c r="AG517" s="242"/>
      <c r="AH517" s="242"/>
      <c r="AI517" s="242"/>
      <c r="AJ517" s="242"/>
      <c r="AK517" s="242"/>
      <c r="AL517" s="242"/>
      <c r="AM517" s="242"/>
      <c r="AN517" s="242"/>
      <c r="AO517" s="242"/>
      <c r="AP517" s="242"/>
    </row>
    <row r="518">
      <c r="A518" s="242"/>
      <c r="B518" s="242"/>
      <c r="C518" s="242"/>
      <c r="D518" s="242"/>
      <c r="E518" s="242"/>
      <c r="F518" s="242"/>
      <c r="G518" s="242"/>
      <c r="H518" s="242"/>
      <c r="I518" s="242"/>
      <c r="J518" s="242"/>
      <c r="K518" s="242"/>
      <c r="L518" s="242"/>
      <c r="M518" s="242"/>
      <c r="N518" s="242"/>
      <c r="O518" s="242"/>
      <c r="P518" s="13"/>
      <c r="Q518" s="13"/>
      <c r="R518" s="13"/>
      <c r="S518" s="13"/>
      <c r="T518" s="13"/>
      <c r="U518" s="13"/>
      <c r="V518" s="13"/>
      <c r="W518" s="13"/>
      <c r="X518" s="13"/>
      <c r="Y518" s="13"/>
      <c r="Z518" s="13"/>
      <c r="AA518" s="13"/>
      <c r="AB518" s="13"/>
      <c r="AC518" s="13"/>
      <c r="AD518" s="13"/>
      <c r="AE518" s="13"/>
      <c r="AF518" s="242"/>
      <c r="AG518" s="242"/>
      <c r="AH518" s="242"/>
      <c r="AI518" s="242"/>
      <c r="AJ518" s="242"/>
      <c r="AK518" s="242"/>
      <c r="AL518" s="242"/>
      <c r="AM518" s="242"/>
      <c r="AN518" s="242"/>
      <c r="AO518" s="242"/>
      <c r="AP518" s="242"/>
    </row>
    <row r="519">
      <c r="A519" s="242"/>
      <c r="B519" s="242"/>
      <c r="C519" s="242"/>
      <c r="D519" s="242"/>
      <c r="E519" s="242"/>
      <c r="F519" s="242"/>
      <c r="G519" s="242"/>
      <c r="H519" s="242"/>
      <c r="I519" s="242"/>
      <c r="J519" s="242"/>
      <c r="K519" s="242"/>
      <c r="L519" s="242"/>
      <c r="M519" s="242"/>
      <c r="N519" s="242"/>
      <c r="O519" s="242"/>
      <c r="P519" s="13"/>
      <c r="Q519" s="13"/>
      <c r="R519" s="13"/>
      <c r="S519" s="13"/>
      <c r="T519" s="13"/>
      <c r="U519" s="13"/>
      <c r="V519" s="13"/>
      <c r="W519" s="13"/>
      <c r="X519" s="13"/>
      <c r="Y519" s="13"/>
      <c r="Z519" s="13"/>
      <c r="AA519" s="13"/>
      <c r="AB519" s="13"/>
      <c r="AC519" s="13"/>
      <c r="AD519" s="13"/>
      <c r="AE519" s="13"/>
      <c r="AF519" s="242"/>
      <c r="AG519" s="242"/>
      <c r="AH519" s="242"/>
      <c r="AI519" s="242"/>
      <c r="AJ519" s="242"/>
      <c r="AK519" s="242"/>
      <c r="AL519" s="242"/>
      <c r="AM519" s="242"/>
      <c r="AN519" s="242"/>
      <c r="AO519" s="242"/>
      <c r="AP519" s="242"/>
    </row>
    <row r="520">
      <c r="A520" s="242"/>
      <c r="B520" s="242"/>
      <c r="C520" s="242"/>
      <c r="D520" s="242"/>
      <c r="E520" s="242"/>
      <c r="F520" s="242"/>
      <c r="G520" s="242"/>
      <c r="H520" s="242"/>
      <c r="I520" s="242"/>
      <c r="J520" s="242"/>
      <c r="K520" s="242"/>
      <c r="L520" s="242"/>
      <c r="M520" s="242"/>
      <c r="N520" s="242"/>
      <c r="O520" s="242"/>
      <c r="P520" s="13"/>
      <c r="Q520" s="13"/>
      <c r="R520" s="13"/>
      <c r="S520" s="13"/>
      <c r="T520" s="13"/>
      <c r="U520" s="13"/>
      <c r="V520" s="13"/>
      <c r="W520" s="13"/>
      <c r="X520" s="13"/>
      <c r="Y520" s="13"/>
      <c r="Z520" s="13"/>
      <c r="AA520" s="13"/>
      <c r="AB520" s="13"/>
      <c r="AC520" s="13"/>
      <c r="AD520" s="13"/>
      <c r="AE520" s="13"/>
      <c r="AF520" s="242"/>
      <c r="AG520" s="242"/>
      <c r="AH520" s="242"/>
      <c r="AI520" s="242"/>
      <c r="AJ520" s="242"/>
      <c r="AK520" s="242"/>
      <c r="AL520" s="242"/>
      <c r="AM520" s="242"/>
      <c r="AN520" s="242"/>
      <c r="AO520" s="242"/>
      <c r="AP520" s="242"/>
    </row>
    <row r="521">
      <c r="A521" s="242"/>
      <c r="B521" s="242"/>
      <c r="C521" s="242"/>
      <c r="D521" s="242"/>
      <c r="E521" s="242"/>
      <c r="F521" s="242"/>
      <c r="G521" s="242"/>
      <c r="H521" s="242"/>
      <c r="I521" s="242"/>
      <c r="J521" s="242"/>
      <c r="K521" s="242"/>
      <c r="L521" s="242"/>
      <c r="M521" s="242"/>
      <c r="N521" s="242"/>
      <c r="O521" s="242"/>
      <c r="P521" s="13"/>
      <c r="Q521" s="13"/>
      <c r="R521" s="13"/>
      <c r="S521" s="13"/>
      <c r="T521" s="13"/>
      <c r="U521" s="13"/>
      <c r="V521" s="13"/>
      <c r="W521" s="13"/>
      <c r="X521" s="13"/>
      <c r="Y521" s="13"/>
      <c r="Z521" s="13"/>
      <c r="AA521" s="13"/>
      <c r="AB521" s="13"/>
      <c r="AC521" s="13"/>
      <c r="AD521" s="13"/>
      <c r="AE521" s="13"/>
      <c r="AF521" s="242"/>
      <c r="AG521" s="242"/>
      <c r="AH521" s="242"/>
      <c r="AI521" s="242"/>
      <c r="AJ521" s="242"/>
      <c r="AK521" s="242"/>
      <c r="AL521" s="242"/>
      <c r="AM521" s="242"/>
      <c r="AN521" s="242"/>
      <c r="AO521" s="242"/>
      <c r="AP521" s="242"/>
    </row>
    <row r="522">
      <c r="A522" s="242"/>
      <c r="B522" s="242"/>
      <c r="C522" s="242"/>
      <c r="D522" s="242"/>
      <c r="E522" s="242"/>
      <c r="F522" s="242"/>
      <c r="G522" s="242"/>
      <c r="H522" s="242"/>
      <c r="I522" s="242"/>
      <c r="J522" s="242"/>
      <c r="K522" s="242"/>
      <c r="L522" s="242"/>
      <c r="M522" s="242"/>
      <c r="N522" s="242"/>
      <c r="O522" s="242"/>
      <c r="P522" s="13"/>
      <c r="Q522" s="13"/>
      <c r="R522" s="13"/>
      <c r="S522" s="13"/>
      <c r="T522" s="13"/>
      <c r="U522" s="13"/>
      <c r="V522" s="13"/>
      <c r="W522" s="13"/>
      <c r="X522" s="13"/>
      <c r="Y522" s="13"/>
      <c r="Z522" s="13"/>
      <c r="AA522" s="13"/>
      <c r="AB522" s="13"/>
      <c r="AC522" s="13"/>
      <c r="AD522" s="13"/>
      <c r="AE522" s="13"/>
      <c r="AF522" s="242"/>
      <c r="AG522" s="242"/>
      <c r="AH522" s="242"/>
      <c r="AI522" s="242"/>
      <c r="AJ522" s="242"/>
      <c r="AK522" s="242"/>
      <c r="AL522" s="242"/>
      <c r="AM522" s="242"/>
      <c r="AN522" s="242"/>
      <c r="AO522" s="242"/>
      <c r="AP522" s="242"/>
    </row>
    <row r="523">
      <c r="A523" s="242"/>
      <c r="B523" s="242"/>
      <c r="C523" s="242"/>
      <c r="D523" s="242"/>
      <c r="E523" s="242"/>
      <c r="F523" s="242"/>
      <c r="G523" s="242"/>
      <c r="H523" s="242"/>
      <c r="I523" s="242"/>
      <c r="J523" s="242"/>
      <c r="K523" s="242"/>
      <c r="L523" s="242"/>
      <c r="M523" s="242"/>
      <c r="N523" s="242"/>
      <c r="O523" s="242"/>
      <c r="P523" s="13"/>
      <c r="Q523" s="13"/>
      <c r="R523" s="13"/>
      <c r="S523" s="13"/>
      <c r="T523" s="13"/>
      <c r="U523" s="13"/>
      <c r="V523" s="13"/>
      <c r="W523" s="13"/>
      <c r="X523" s="13"/>
      <c r="Y523" s="13"/>
      <c r="Z523" s="13"/>
      <c r="AA523" s="13"/>
      <c r="AB523" s="13"/>
      <c r="AC523" s="13"/>
      <c r="AD523" s="13"/>
      <c r="AE523" s="13"/>
      <c r="AF523" s="242"/>
      <c r="AG523" s="242"/>
      <c r="AH523" s="242"/>
      <c r="AI523" s="242"/>
      <c r="AJ523" s="242"/>
      <c r="AK523" s="242"/>
      <c r="AL523" s="242"/>
      <c r="AM523" s="242"/>
      <c r="AN523" s="242"/>
      <c r="AO523" s="242"/>
      <c r="AP523" s="242"/>
    </row>
    <row r="524">
      <c r="A524" s="242"/>
      <c r="B524" s="242"/>
      <c r="C524" s="242"/>
      <c r="D524" s="242"/>
      <c r="E524" s="242"/>
      <c r="F524" s="242"/>
      <c r="G524" s="242"/>
      <c r="H524" s="242"/>
      <c r="I524" s="242"/>
      <c r="J524" s="242"/>
      <c r="K524" s="242"/>
      <c r="L524" s="242"/>
      <c r="M524" s="242"/>
      <c r="N524" s="242"/>
      <c r="O524" s="242"/>
      <c r="P524" s="13"/>
      <c r="Q524" s="13"/>
      <c r="R524" s="13"/>
      <c r="S524" s="13"/>
      <c r="T524" s="13"/>
      <c r="U524" s="13"/>
      <c r="V524" s="13"/>
      <c r="W524" s="13"/>
      <c r="X524" s="13"/>
      <c r="Y524" s="13"/>
      <c r="Z524" s="13"/>
      <c r="AA524" s="13"/>
      <c r="AB524" s="13"/>
      <c r="AC524" s="13"/>
      <c r="AD524" s="13"/>
      <c r="AE524" s="13"/>
      <c r="AF524" s="242"/>
      <c r="AG524" s="242"/>
      <c r="AH524" s="242"/>
      <c r="AI524" s="242"/>
      <c r="AJ524" s="242"/>
      <c r="AK524" s="242"/>
      <c r="AL524" s="242"/>
      <c r="AM524" s="242"/>
      <c r="AN524" s="242"/>
      <c r="AO524" s="242"/>
      <c r="AP524" s="242"/>
    </row>
    <row r="525">
      <c r="A525" s="242"/>
      <c r="B525" s="242"/>
      <c r="C525" s="242"/>
      <c r="D525" s="242"/>
      <c r="E525" s="242"/>
      <c r="F525" s="242"/>
      <c r="G525" s="242"/>
      <c r="H525" s="242"/>
      <c r="I525" s="242"/>
      <c r="J525" s="242"/>
      <c r="K525" s="242"/>
      <c r="L525" s="242"/>
      <c r="M525" s="242"/>
      <c r="N525" s="242"/>
      <c r="O525" s="242"/>
      <c r="P525" s="13"/>
      <c r="Q525" s="13"/>
      <c r="R525" s="13"/>
      <c r="S525" s="13"/>
      <c r="T525" s="13"/>
      <c r="U525" s="13"/>
      <c r="V525" s="13"/>
      <c r="W525" s="13"/>
      <c r="X525" s="13"/>
      <c r="Y525" s="13"/>
      <c r="Z525" s="13"/>
      <c r="AA525" s="13"/>
      <c r="AB525" s="13"/>
      <c r="AC525" s="13"/>
      <c r="AD525" s="13"/>
      <c r="AE525" s="13"/>
      <c r="AF525" s="242"/>
      <c r="AG525" s="242"/>
      <c r="AH525" s="242"/>
      <c r="AI525" s="242"/>
      <c r="AJ525" s="242"/>
      <c r="AK525" s="242"/>
      <c r="AL525" s="242"/>
      <c r="AM525" s="242"/>
      <c r="AN525" s="242"/>
      <c r="AO525" s="242"/>
      <c r="AP525" s="242"/>
    </row>
    <row r="526">
      <c r="A526" s="242"/>
      <c r="B526" s="242"/>
      <c r="C526" s="242"/>
      <c r="D526" s="242"/>
      <c r="E526" s="242"/>
      <c r="F526" s="242"/>
      <c r="G526" s="242"/>
      <c r="H526" s="242"/>
      <c r="I526" s="242"/>
      <c r="J526" s="242"/>
      <c r="K526" s="242"/>
      <c r="L526" s="242"/>
      <c r="M526" s="242"/>
      <c r="N526" s="242"/>
      <c r="O526" s="242"/>
      <c r="P526" s="13"/>
      <c r="Q526" s="13"/>
      <c r="R526" s="13"/>
      <c r="S526" s="13"/>
      <c r="T526" s="13"/>
      <c r="U526" s="13"/>
      <c r="V526" s="13"/>
      <c r="W526" s="13"/>
      <c r="X526" s="13"/>
      <c r="Y526" s="13"/>
      <c r="Z526" s="13"/>
      <c r="AA526" s="13"/>
      <c r="AB526" s="13"/>
      <c r="AC526" s="13"/>
      <c r="AD526" s="13"/>
      <c r="AE526" s="13"/>
      <c r="AF526" s="242"/>
      <c r="AG526" s="242"/>
      <c r="AH526" s="242"/>
      <c r="AI526" s="242"/>
      <c r="AJ526" s="242"/>
      <c r="AK526" s="242"/>
      <c r="AL526" s="242"/>
      <c r="AM526" s="242"/>
      <c r="AN526" s="242"/>
      <c r="AO526" s="242"/>
      <c r="AP526" s="242"/>
    </row>
    <row r="527">
      <c r="A527" s="242"/>
      <c r="B527" s="242"/>
      <c r="C527" s="242"/>
      <c r="D527" s="242"/>
      <c r="E527" s="242"/>
      <c r="F527" s="242"/>
      <c r="G527" s="242"/>
      <c r="H527" s="242"/>
      <c r="I527" s="242"/>
      <c r="J527" s="242"/>
      <c r="K527" s="242"/>
      <c r="L527" s="242"/>
      <c r="M527" s="242"/>
      <c r="N527" s="242"/>
      <c r="O527" s="242"/>
      <c r="P527" s="13"/>
      <c r="Q527" s="13"/>
      <c r="R527" s="13"/>
      <c r="S527" s="13"/>
      <c r="T527" s="13"/>
      <c r="U527" s="13"/>
      <c r="V527" s="13"/>
      <c r="W527" s="13"/>
      <c r="X527" s="13"/>
      <c r="Y527" s="13"/>
      <c r="Z527" s="13"/>
      <c r="AA527" s="13"/>
      <c r="AB527" s="13"/>
      <c r="AC527" s="13"/>
      <c r="AD527" s="13"/>
      <c r="AE527" s="13"/>
      <c r="AF527" s="242"/>
      <c r="AG527" s="242"/>
      <c r="AH527" s="242"/>
      <c r="AI527" s="242"/>
      <c r="AJ527" s="242"/>
      <c r="AK527" s="242"/>
      <c r="AL527" s="242"/>
      <c r="AM527" s="242"/>
      <c r="AN527" s="242"/>
      <c r="AO527" s="242"/>
      <c r="AP527" s="242"/>
    </row>
    <row r="528">
      <c r="A528" s="242"/>
      <c r="B528" s="242"/>
      <c r="C528" s="242"/>
      <c r="D528" s="242"/>
      <c r="E528" s="242"/>
      <c r="F528" s="242"/>
      <c r="G528" s="242"/>
      <c r="H528" s="242"/>
      <c r="I528" s="242"/>
      <c r="J528" s="242"/>
      <c r="K528" s="242"/>
      <c r="L528" s="242"/>
      <c r="M528" s="242"/>
      <c r="N528" s="242"/>
      <c r="O528" s="242"/>
      <c r="P528" s="13"/>
      <c r="Q528" s="13"/>
      <c r="R528" s="13"/>
      <c r="S528" s="13"/>
      <c r="T528" s="13"/>
      <c r="U528" s="13"/>
      <c r="V528" s="13"/>
      <c r="W528" s="13"/>
      <c r="X528" s="13"/>
      <c r="Y528" s="13"/>
      <c r="Z528" s="13"/>
      <c r="AA528" s="13"/>
      <c r="AB528" s="13"/>
      <c r="AC528" s="13"/>
      <c r="AD528" s="13"/>
      <c r="AE528" s="13"/>
      <c r="AF528" s="242"/>
      <c r="AG528" s="242"/>
      <c r="AH528" s="242"/>
      <c r="AI528" s="242"/>
      <c r="AJ528" s="242"/>
      <c r="AK528" s="242"/>
      <c r="AL528" s="242"/>
      <c r="AM528" s="242"/>
      <c r="AN528" s="242"/>
      <c r="AO528" s="242"/>
      <c r="AP528" s="242"/>
    </row>
    <row r="529">
      <c r="A529" s="242"/>
      <c r="B529" s="242"/>
      <c r="C529" s="242"/>
      <c r="D529" s="242"/>
      <c r="E529" s="242"/>
      <c r="F529" s="242"/>
      <c r="G529" s="242"/>
      <c r="H529" s="242"/>
      <c r="I529" s="242"/>
      <c r="J529" s="242"/>
      <c r="K529" s="242"/>
      <c r="L529" s="242"/>
      <c r="M529" s="242"/>
      <c r="N529" s="242"/>
      <c r="O529" s="242"/>
      <c r="P529" s="13"/>
      <c r="Q529" s="13"/>
      <c r="R529" s="13"/>
      <c r="S529" s="13"/>
      <c r="T529" s="13"/>
      <c r="U529" s="13"/>
      <c r="V529" s="13"/>
      <c r="W529" s="13"/>
      <c r="X529" s="13"/>
      <c r="Y529" s="13"/>
      <c r="Z529" s="13"/>
      <c r="AA529" s="13"/>
      <c r="AB529" s="13"/>
      <c r="AC529" s="13"/>
      <c r="AD529" s="13"/>
      <c r="AE529" s="13"/>
      <c r="AF529" s="242"/>
      <c r="AG529" s="242"/>
      <c r="AH529" s="242"/>
      <c r="AI529" s="242"/>
      <c r="AJ529" s="242"/>
      <c r="AK529" s="242"/>
      <c r="AL529" s="242"/>
      <c r="AM529" s="242"/>
      <c r="AN529" s="242"/>
      <c r="AO529" s="242"/>
      <c r="AP529" s="242"/>
    </row>
    <row r="530">
      <c r="A530" s="242"/>
      <c r="B530" s="242"/>
      <c r="C530" s="242"/>
      <c r="D530" s="242"/>
      <c r="E530" s="242"/>
      <c r="F530" s="242"/>
      <c r="G530" s="242"/>
      <c r="H530" s="242"/>
      <c r="I530" s="242"/>
      <c r="J530" s="242"/>
      <c r="K530" s="242"/>
      <c r="L530" s="242"/>
      <c r="M530" s="242"/>
      <c r="N530" s="242"/>
      <c r="O530" s="242"/>
      <c r="P530" s="13"/>
      <c r="Q530" s="13"/>
      <c r="R530" s="13"/>
      <c r="S530" s="13"/>
      <c r="T530" s="13"/>
      <c r="U530" s="13"/>
      <c r="V530" s="13"/>
      <c r="W530" s="13"/>
      <c r="X530" s="13"/>
      <c r="Y530" s="13"/>
      <c r="Z530" s="13"/>
      <c r="AA530" s="13"/>
      <c r="AB530" s="13"/>
      <c r="AC530" s="13"/>
      <c r="AD530" s="13"/>
      <c r="AE530" s="13"/>
      <c r="AF530" s="242"/>
      <c r="AG530" s="242"/>
      <c r="AH530" s="242"/>
      <c r="AI530" s="242"/>
      <c r="AJ530" s="242"/>
      <c r="AK530" s="242"/>
      <c r="AL530" s="242"/>
      <c r="AM530" s="242"/>
      <c r="AN530" s="242"/>
      <c r="AO530" s="242"/>
      <c r="AP530" s="242"/>
    </row>
    <row r="531">
      <c r="A531" s="242"/>
      <c r="B531" s="242"/>
      <c r="C531" s="242"/>
      <c r="D531" s="242"/>
      <c r="E531" s="242"/>
      <c r="F531" s="242"/>
      <c r="G531" s="242"/>
      <c r="H531" s="242"/>
      <c r="I531" s="242"/>
      <c r="J531" s="242"/>
      <c r="K531" s="242"/>
      <c r="L531" s="242"/>
      <c r="M531" s="242"/>
      <c r="N531" s="242"/>
      <c r="O531" s="242"/>
      <c r="P531" s="13"/>
      <c r="Q531" s="13"/>
      <c r="R531" s="13"/>
      <c r="S531" s="13"/>
      <c r="T531" s="13"/>
      <c r="U531" s="13"/>
      <c r="V531" s="13"/>
      <c r="W531" s="13"/>
      <c r="X531" s="13"/>
      <c r="Y531" s="13"/>
      <c r="Z531" s="13"/>
      <c r="AA531" s="13"/>
      <c r="AB531" s="13"/>
      <c r="AC531" s="13"/>
      <c r="AD531" s="13"/>
      <c r="AE531" s="13"/>
      <c r="AF531" s="242"/>
      <c r="AG531" s="242"/>
      <c r="AH531" s="242"/>
      <c r="AI531" s="242"/>
      <c r="AJ531" s="242"/>
      <c r="AK531" s="242"/>
      <c r="AL531" s="242"/>
      <c r="AM531" s="242"/>
      <c r="AN531" s="242"/>
      <c r="AO531" s="242"/>
      <c r="AP531" s="242"/>
    </row>
    <row r="532">
      <c r="A532" s="242"/>
      <c r="B532" s="242"/>
      <c r="C532" s="242"/>
      <c r="D532" s="242"/>
      <c r="E532" s="242"/>
      <c r="F532" s="242"/>
      <c r="G532" s="242"/>
      <c r="H532" s="242"/>
      <c r="I532" s="242"/>
      <c r="J532" s="242"/>
      <c r="K532" s="242"/>
      <c r="L532" s="242"/>
      <c r="M532" s="242"/>
      <c r="N532" s="242"/>
      <c r="O532" s="242"/>
      <c r="P532" s="13"/>
      <c r="Q532" s="13"/>
      <c r="R532" s="13"/>
      <c r="S532" s="13"/>
      <c r="T532" s="13"/>
      <c r="U532" s="13"/>
      <c r="V532" s="13"/>
      <c r="W532" s="13"/>
      <c r="X532" s="13"/>
      <c r="Y532" s="13"/>
      <c r="Z532" s="13"/>
      <c r="AA532" s="13"/>
      <c r="AB532" s="13"/>
      <c r="AC532" s="13"/>
      <c r="AD532" s="13"/>
      <c r="AE532" s="13"/>
      <c r="AF532" s="242"/>
      <c r="AG532" s="242"/>
      <c r="AH532" s="242"/>
      <c r="AI532" s="242"/>
      <c r="AJ532" s="242"/>
      <c r="AK532" s="242"/>
      <c r="AL532" s="242"/>
      <c r="AM532" s="242"/>
      <c r="AN532" s="242"/>
      <c r="AO532" s="242"/>
      <c r="AP532" s="242"/>
    </row>
    <row r="533">
      <c r="A533" s="242"/>
      <c r="B533" s="242"/>
      <c r="C533" s="242"/>
      <c r="D533" s="242"/>
      <c r="E533" s="242"/>
      <c r="F533" s="242"/>
      <c r="G533" s="242"/>
      <c r="H533" s="242"/>
      <c r="I533" s="242"/>
      <c r="J533" s="242"/>
      <c r="K533" s="242"/>
      <c r="L533" s="242"/>
      <c r="M533" s="242"/>
      <c r="N533" s="242"/>
      <c r="O533" s="242"/>
      <c r="P533" s="13"/>
      <c r="Q533" s="13"/>
      <c r="R533" s="13"/>
      <c r="S533" s="13"/>
      <c r="T533" s="13"/>
      <c r="U533" s="13"/>
      <c r="V533" s="13"/>
      <c r="W533" s="13"/>
      <c r="X533" s="13"/>
      <c r="Y533" s="13"/>
      <c r="Z533" s="13"/>
      <c r="AA533" s="13"/>
      <c r="AB533" s="13"/>
      <c r="AC533" s="13"/>
      <c r="AD533" s="13"/>
      <c r="AE533" s="13"/>
      <c r="AF533" s="242"/>
      <c r="AG533" s="242"/>
      <c r="AH533" s="242"/>
      <c r="AI533" s="242"/>
      <c r="AJ533" s="242"/>
      <c r="AK533" s="242"/>
      <c r="AL533" s="242"/>
      <c r="AM533" s="242"/>
      <c r="AN533" s="242"/>
      <c r="AO533" s="242"/>
      <c r="AP533" s="242"/>
    </row>
    <row r="534">
      <c r="A534" s="242"/>
      <c r="B534" s="242"/>
      <c r="C534" s="242"/>
      <c r="D534" s="242"/>
      <c r="E534" s="242"/>
      <c r="F534" s="242"/>
      <c r="G534" s="242"/>
      <c r="H534" s="242"/>
      <c r="I534" s="242"/>
      <c r="J534" s="242"/>
      <c r="K534" s="242"/>
      <c r="L534" s="242"/>
      <c r="M534" s="242"/>
      <c r="N534" s="242"/>
      <c r="O534" s="242"/>
      <c r="P534" s="13"/>
      <c r="Q534" s="13"/>
      <c r="R534" s="13"/>
      <c r="S534" s="13"/>
      <c r="T534" s="13"/>
      <c r="U534" s="13"/>
      <c r="V534" s="13"/>
      <c r="W534" s="13"/>
      <c r="X534" s="13"/>
      <c r="Y534" s="13"/>
      <c r="Z534" s="13"/>
      <c r="AA534" s="13"/>
      <c r="AB534" s="13"/>
      <c r="AC534" s="13"/>
      <c r="AD534" s="13"/>
      <c r="AE534" s="13"/>
      <c r="AF534" s="242"/>
      <c r="AG534" s="242"/>
      <c r="AH534" s="242"/>
      <c r="AI534" s="242"/>
      <c r="AJ534" s="242"/>
      <c r="AK534" s="242"/>
      <c r="AL534" s="242"/>
      <c r="AM534" s="242"/>
      <c r="AN534" s="242"/>
      <c r="AO534" s="242"/>
      <c r="AP534" s="242"/>
    </row>
    <row r="535">
      <c r="A535" s="242"/>
      <c r="B535" s="242"/>
      <c r="C535" s="242"/>
      <c r="D535" s="242"/>
      <c r="E535" s="242"/>
      <c r="F535" s="242"/>
      <c r="G535" s="242"/>
      <c r="H535" s="242"/>
      <c r="I535" s="242"/>
      <c r="J535" s="242"/>
      <c r="K535" s="242"/>
      <c r="L535" s="242"/>
      <c r="M535" s="242"/>
      <c r="N535" s="242"/>
      <c r="O535" s="242"/>
      <c r="P535" s="13"/>
      <c r="Q535" s="13"/>
      <c r="R535" s="13"/>
      <c r="S535" s="13"/>
      <c r="T535" s="13"/>
      <c r="U535" s="13"/>
      <c r="V535" s="13"/>
      <c r="W535" s="13"/>
      <c r="X535" s="13"/>
      <c r="Y535" s="13"/>
      <c r="Z535" s="13"/>
      <c r="AA535" s="13"/>
      <c r="AB535" s="13"/>
      <c r="AC535" s="13"/>
      <c r="AD535" s="13"/>
      <c r="AE535" s="13"/>
      <c r="AF535" s="242"/>
      <c r="AG535" s="242"/>
      <c r="AH535" s="242"/>
      <c r="AI535" s="242"/>
      <c r="AJ535" s="242"/>
      <c r="AK535" s="242"/>
      <c r="AL535" s="242"/>
      <c r="AM535" s="242"/>
      <c r="AN535" s="242"/>
      <c r="AO535" s="242"/>
      <c r="AP535" s="242"/>
    </row>
    <row r="536">
      <c r="A536" s="242"/>
      <c r="B536" s="242"/>
      <c r="C536" s="242"/>
      <c r="D536" s="242"/>
      <c r="E536" s="242"/>
      <c r="F536" s="242"/>
      <c r="G536" s="242"/>
      <c r="H536" s="242"/>
      <c r="I536" s="242"/>
      <c r="J536" s="242"/>
      <c r="K536" s="242"/>
      <c r="L536" s="242"/>
      <c r="M536" s="242"/>
      <c r="N536" s="242"/>
      <c r="O536" s="242"/>
      <c r="P536" s="13"/>
      <c r="Q536" s="13"/>
      <c r="R536" s="13"/>
      <c r="S536" s="13"/>
      <c r="T536" s="13"/>
      <c r="U536" s="13"/>
      <c r="V536" s="13"/>
      <c r="W536" s="13"/>
      <c r="X536" s="13"/>
      <c r="Y536" s="13"/>
      <c r="Z536" s="13"/>
      <c r="AA536" s="13"/>
      <c r="AB536" s="13"/>
      <c r="AC536" s="13"/>
      <c r="AD536" s="13"/>
      <c r="AE536" s="13"/>
      <c r="AF536" s="242"/>
      <c r="AG536" s="242"/>
      <c r="AH536" s="242"/>
      <c r="AI536" s="242"/>
      <c r="AJ536" s="242"/>
      <c r="AK536" s="242"/>
      <c r="AL536" s="242"/>
      <c r="AM536" s="242"/>
      <c r="AN536" s="242"/>
      <c r="AO536" s="242"/>
      <c r="AP536" s="242"/>
    </row>
    <row r="537">
      <c r="A537" s="242"/>
      <c r="B537" s="242"/>
      <c r="C537" s="242"/>
      <c r="D537" s="242"/>
      <c r="E537" s="242"/>
      <c r="F537" s="242"/>
      <c r="G537" s="242"/>
      <c r="H537" s="242"/>
      <c r="I537" s="242"/>
      <c r="J537" s="242"/>
      <c r="K537" s="242"/>
      <c r="L537" s="242"/>
      <c r="M537" s="242"/>
      <c r="N537" s="242"/>
      <c r="O537" s="242"/>
      <c r="P537" s="13"/>
      <c r="Q537" s="13"/>
      <c r="R537" s="13"/>
      <c r="S537" s="13"/>
      <c r="T537" s="13"/>
      <c r="U537" s="13"/>
      <c r="V537" s="13"/>
      <c r="W537" s="13"/>
      <c r="X537" s="13"/>
      <c r="Y537" s="13"/>
      <c r="Z537" s="13"/>
      <c r="AA537" s="13"/>
      <c r="AB537" s="13"/>
      <c r="AC537" s="13"/>
      <c r="AD537" s="13"/>
      <c r="AE537" s="13"/>
      <c r="AF537" s="242"/>
      <c r="AG537" s="242"/>
      <c r="AH537" s="242"/>
      <c r="AI537" s="242"/>
      <c r="AJ537" s="242"/>
      <c r="AK537" s="242"/>
      <c r="AL537" s="242"/>
      <c r="AM537" s="242"/>
      <c r="AN537" s="242"/>
      <c r="AO537" s="242"/>
      <c r="AP537" s="242"/>
    </row>
    <row r="538">
      <c r="A538" s="242"/>
      <c r="B538" s="242"/>
      <c r="C538" s="242"/>
      <c r="D538" s="242"/>
      <c r="E538" s="242"/>
      <c r="F538" s="242"/>
      <c r="G538" s="242"/>
      <c r="H538" s="242"/>
      <c r="I538" s="242"/>
      <c r="J538" s="242"/>
      <c r="K538" s="242"/>
      <c r="L538" s="242"/>
      <c r="M538" s="242"/>
      <c r="N538" s="242"/>
      <c r="O538" s="242"/>
      <c r="P538" s="13"/>
      <c r="Q538" s="13"/>
      <c r="R538" s="13"/>
      <c r="S538" s="13"/>
      <c r="T538" s="13"/>
      <c r="U538" s="13"/>
      <c r="V538" s="13"/>
      <c r="W538" s="13"/>
      <c r="X538" s="13"/>
      <c r="Y538" s="13"/>
      <c r="Z538" s="13"/>
      <c r="AA538" s="13"/>
      <c r="AB538" s="13"/>
      <c r="AC538" s="13"/>
      <c r="AD538" s="13"/>
      <c r="AE538" s="13"/>
      <c r="AF538" s="242"/>
      <c r="AG538" s="242"/>
      <c r="AH538" s="242"/>
      <c r="AI538" s="242"/>
      <c r="AJ538" s="242"/>
      <c r="AK538" s="242"/>
      <c r="AL538" s="242"/>
      <c r="AM538" s="242"/>
      <c r="AN538" s="242"/>
      <c r="AO538" s="242"/>
      <c r="AP538" s="242"/>
    </row>
    <row r="539">
      <c r="A539" s="242"/>
      <c r="B539" s="242"/>
      <c r="C539" s="242"/>
      <c r="D539" s="242"/>
      <c r="E539" s="242"/>
      <c r="F539" s="242"/>
      <c r="G539" s="242"/>
      <c r="H539" s="242"/>
      <c r="I539" s="242"/>
      <c r="J539" s="242"/>
      <c r="K539" s="242"/>
      <c r="L539" s="242"/>
      <c r="M539" s="242"/>
      <c r="N539" s="242"/>
      <c r="O539" s="242"/>
      <c r="P539" s="13"/>
      <c r="Q539" s="13"/>
      <c r="R539" s="13"/>
      <c r="S539" s="13"/>
      <c r="T539" s="13"/>
      <c r="U539" s="13"/>
      <c r="V539" s="13"/>
      <c r="W539" s="13"/>
      <c r="X539" s="13"/>
      <c r="Y539" s="13"/>
      <c r="Z539" s="13"/>
      <c r="AA539" s="13"/>
      <c r="AB539" s="13"/>
      <c r="AC539" s="13"/>
      <c r="AD539" s="13"/>
      <c r="AE539" s="13"/>
      <c r="AF539" s="242"/>
      <c r="AG539" s="242"/>
      <c r="AH539" s="242"/>
      <c r="AI539" s="242"/>
      <c r="AJ539" s="242"/>
      <c r="AK539" s="242"/>
      <c r="AL539" s="242"/>
      <c r="AM539" s="242"/>
      <c r="AN539" s="242"/>
      <c r="AO539" s="242"/>
      <c r="AP539" s="242"/>
    </row>
    <row r="540">
      <c r="A540" s="242"/>
      <c r="B540" s="242"/>
      <c r="C540" s="242"/>
      <c r="D540" s="242"/>
      <c r="E540" s="242"/>
      <c r="F540" s="242"/>
      <c r="G540" s="242"/>
      <c r="H540" s="242"/>
      <c r="I540" s="242"/>
      <c r="J540" s="242"/>
      <c r="K540" s="242"/>
      <c r="L540" s="242"/>
      <c r="M540" s="242"/>
      <c r="N540" s="242"/>
      <c r="O540" s="242"/>
      <c r="P540" s="13"/>
      <c r="Q540" s="13"/>
      <c r="R540" s="13"/>
      <c r="S540" s="13"/>
      <c r="T540" s="13"/>
      <c r="U540" s="13"/>
      <c r="V540" s="13"/>
      <c r="W540" s="13"/>
      <c r="X540" s="13"/>
      <c r="Y540" s="13"/>
      <c r="Z540" s="13"/>
      <c r="AA540" s="13"/>
      <c r="AB540" s="13"/>
      <c r="AC540" s="13"/>
      <c r="AD540" s="13"/>
      <c r="AE540" s="13"/>
      <c r="AF540" s="242"/>
      <c r="AG540" s="242"/>
      <c r="AH540" s="242"/>
      <c r="AI540" s="242"/>
      <c r="AJ540" s="242"/>
      <c r="AK540" s="242"/>
      <c r="AL540" s="242"/>
      <c r="AM540" s="242"/>
      <c r="AN540" s="242"/>
      <c r="AO540" s="242"/>
      <c r="AP540" s="242"/>
    </row>
    <row r="541">
      <c r="A541" s="242"/>
      <c r="B541" s="242"/>
      <c r="C541" s="242"/>
      <c r="D541" s="242"/>
      <c r="E541" s="242"/>
      <c r="F541" s="242"/>
      <c r="G541" s="242"/>
      <c r="H541" s="242"/>
      <c r="I541" s="242"/>
      <c r="J541" s="242"/>
      <c r="K541" s="242"/>
      <c r="L541" s="242"/>
      <c r="M541" s="242"/>
      <c r="N541" s="242"/>
      <c r="O541" s="242"/>
      <c r="P541" s="13"/>
      <c r="Q541" s="13"/>
      <c r="R541" s="13"/>
      <c r="S541" s="13"/>
      <c r="T541" s="13"/>
      <c r="U541" s="13"/>
      <c r="V541" s="13"/>
      <c r="W541" s="13"/>
      <c r="X541" s="13"/>
      <c r="Y541" s="13"/>
      <c r="Z541" s="13"/>
      <c r="AA541" s="13"/>
      <c r="AB541" s="13"/>
      <c r="AC541" s="13"/>
      <c r="AD541" s="13"/>
      <c r="AE541" s="13"/>
      <c r="AF541" s="242"/>
      <c r="AG541" s="242"/>
      <c r="AH541" s="242"/>
      <c r="AI541" s="242"/>
      <c r="AJ541" s="242"/>
      <c r="AK541" s="242"/>
      <c r="AL541" s="242"/>
      <c r="AM541" s="242"/>
      <c r="AN541" s="242"/>
      <c r="AO541" s="242"/>
      <c r="AP541" s="242"/>
    </row>
    <row r="542">
      <c r="A542" s="242"/>
      <c r="B542" s="242"/>
      <c r="C542" s="242"/>
      <c r="D542" s="242"/>
      <c r="E542" s="242"/>
      <c r="F542" s="242"/>
      <c r="G542" s="242"/>
      <c r="H542" s="242"/>
      <c r="I542" s="242"/>
      <c r="J542" s="242"/>
      <c r="K542" s="242"/>
      <c r="L542" s="242"/>
      <c r="M542" s="242"/>
      <c r="N542" s="242"/>
      <c r="O542" s="242"/>
      <c r="P542" s="13"/>
      <c r="Q542" s="13"/>
      <c r="R542" s="13"/>
      <c r="S542" s="13"/>
      <c r="T542" s="13"/>
      <c r="U542" s="13"/>
      <c r="V542" s="13"/>
      <c r="W542" s="13"/>
      <c r="X542" s="13"/>
      <c r="Y542" s="13"/>
      <c r="Z542" s="13"/>
      <c r="AA542" s="13"/>
      <c r="AB542" s="13"/>
      <c r="AC542" s="13"/>
      <c r="AD542" s="13"/>
      <c r="AE542" s="13"/>
      <c r="AF542" s="242"/>
      <c r="AG542" s="242"/>
      <c r="AH542" s="242"/>
      <c r="AI542" s="242"/>
      <c r="AJ542" s="242"/>
      <c r="AK542" s="242"/>
      <c r="AL542" s="242"/>
      <c r="AM542" s="242"/>
      <c r="AN542" s="242"/>
      <c r="AO542" s="242"/>
      <c r="AP542" s="242"/>
    </row>
    <row r="543">
      <c r="A543" s="242"/>
      <c r="B543" s="242"/>
      <c r="C543" s="242"/>
      <c r="D543" s="242"/>
      <c r="E543" s="242"/>
      <c r="F543" s="242"/>
      <c r="G543" s="242"/>
      <c r="H543" s="242"/>
      <c r="I543" s="242"/>
      <c r="J543" s="242"/>
      <c r="K543" s="242"/>
      <c r="L543" s="242"/>
      <c r="M543" s="242"/>
      <c r="N543" s="242"/>
      <c r="O543" s="242"/>
      <c r="P543" s="13"/>
      <c r="Q543" s="13"/>
      <c r="R543" s="13"/>
      <c r="S543" s="13"/>
      <c r="T543" s="13"/>
      <c r="U543" s="13"/>
      <c r="V543" s="13"/>
      <c r="W543" s="13"/>
      <c r="X543" s="13"/>
      <c r="Y543" s="13"/>
      <c r="Z543" s="13"/>
      <c r="AA543" s="13"/>
      <c r="AB543" s="13"/>
      <c r="AC543" s="13"/>
      <c r="AD543" s="13"/>
      <c r="AE543" s="13"/>
      <c r="AF543" s="242"/>
      <c r="AG543" s="242"/>
      <c r="AH543" s="242"/>
      <c r="AI543" s="242"/>
      <c r="AJ543" s="242"/>
      <c r="AK543" s="242"/>
      <c r="AL543" s="242"/>
      <c r="AM543" s="242"/>
      <c r="AN543" s="242"/>
      <c r="AO543" s="242"/>
      <c r="AP543" s="242"/>
    </row>
    <row r="544">
      <c r="A544" s="242"/>
      <c r="B544" s="242"/>
      <c r="C544" s="242"/>
      <c r="D544" s="242"/>
      <c r="E544" s="242"/>
      <c r="F544" s="242"/>
      <c r="G544" s="242"/>
      <c r="H544" s="242"/>
      <c r="I544" s="242"/>
      <c r="J544" s="242"/>
      <c r="K544" s="242"/>
      <c r="L544" s="242"/>
      <c r="M544" s="242"/>
      <c r="N544" s="242"/>
      <c r="O544" s="242"/>
      <c r="P544" s="13"/>
      <c r="Q544" s="13"/>
      <c r="R544" s="13"/>
      <c r="S544" s="13"/>
      <c r="T544" s="13"/>
      <c r="U544" s="13"/>
      <c r="V544" s="13"/>
      <c r="W544" s="13"/>
      <c r="X544" s="13"/>
      <c r="Y544" s="13"/>
      <c r="Z544" s="13"/>
      <c r="AA544" s="13"/>
      <c r="AB544" s="13"/>
      <c r="AC544" s="13"/>
      <c r="AD544" s="13"/>
      <c r="AE544" s="13"/>
      <c r="AF544" s="242"/>
      <c r="AG544" s="242"/>
      <c r="AH544" s="242"/>
      <c r="AI544" s="242"/>
      <c r="AJ544" s="242"/>
      <c r="AK544" s="242"/>
      <c r="AL544" s="242"/>
      <c r="AM544" s="242"/>
      <c r="AN544" s="242"/>
      <c r="AO544" s="242"/>
      <c r="AP544" s="242"/>
    </row>
    <row r="545">
      <c r="A545" s="242"/>
      <c r="B545" s="242"/>
      <c r="C545" s="242"/>
      <c r="D545" s="242"/>
      <c r="E545" s="242"/>
      <c r="F545" s="242"/>
      <c r="G545" s="242"/>
      <c r="H545" s="242"/>
      <c r="I545" s="242"/>
      <c r="J545" s="242"/>
      <c r="K545" s="242"/>
      <c r="L545" s="242"/>
      <c r="M545" s="242"/>
      <c r="N545" s="242"/>
      <c r="O545" s="242"/>
      <c r="P545" s="13"/>
      <c r="Q545" s="13"/>
      <c r="R545" s="13"/>
      <c r="S545" s="13"/>
      <c r="T545" s="13"/>
      <c r="U545" s="13"/>
      <c r="V545" s="13"/>
      <c r="W545" s="13"/>
      <c r="X545" s="13"/>
      <c r="Y545" s="13"/>
      <c r="Z545" s="13"/>
      <c r="AA545" s="13"/>
      <c r="AB545" s="13"/>
      <c r="AC545" s="13"/>
      <c r="AD545" s="13"/>
      <c r="AE545" s="13"/>
      <c r="AF545" s="242"/>
      <c r="AG545" s="242"/>
      <c r="AH545" s="242"/>
      <c r="AI545" s="242"/>
      <c r="AJ545" s="242"/>
      <c r="AK545" s="242"/>
      <c r="AL545" s="242"/>
      <c r="AM545" s="242"/>
      <c r="AN545" s="242"/>
      <c r="AO545" s="242"/>
      <c r="AP545" s="242"/>
    </row>
    <row r="546">
      <c r="A546" s="242"/>
      <c r="B546" s="242"/>
      <c r="C546" s="242"/>
      <c r="D546" s="242"/>
      <c r="E546" s="242"/>
      <c r="F546" s="242"/>
      <c r="G546" s="242"/>
      <c r="H546" s="242"/>
      <c r="I546" s="242"/>
      <c r="J546" s="242"/>
      <c r="K546" s="242"/>
      <c r="L546" s="242"/>
      <c r="M546" s="242"/>
      <c r="N546" s="242"/>
      <c r="O546" s="242"/>
      <c r="P546" s="13"/>
      <c r="Q546" s="13"/>
      <c r="R546" s="13"/>
      <c r="S546" s="13"/>
      <c r="T546" s="13"/>
      <c r="U546" s="13"/>
      <c r="V546" s="13"/>
      <c r="W546" s="13"/>
      <c r="X546" s="13"/>
      <c r="Y546" s="13"/>
      <c r="Z546" s="13"/>
      <c r="AA546" s="13"/>
      <c r="AB546" s="13"/>
      <c r="AC546" s="13"/>
      <c r="AD546" s="13"/>
      <c r="AE546" s="13"/>
      <c r="AF546" s="242"/>
      <c r="AG546" s="242"/>
      <c r="AH546" s="242"/>
      <c r="AI546" s="242"/>
      <c r="AJ546" s="242"/>
      <c r="AK546" s="242"/>
      <c r="AL546" s="242"/>
      <c r="AM546" s="242"/>
      <c r="AN546" s="242"/>
      <c r="AO546" s="242"/>
      <c r="AP546" s="242"/>
    </row>
    <row r="547">
      <c r="A547" s="242"/>
      <c r="B547" s="242"/>
      <c r="C547" s="242"/>
      <c r="D547" s="242"/>
      <c r="E547" s="242"/>
      <c r="F547" s="242"/>
      <c r="G547" s="242"/>
      <c r="H547" s="242"/>
      <c r="I547" s="242"/>
      <c r="J547" s="242"/>
      <c r="K547" s="242"/>
      <c r="L547" s="242"/>
      <c r="M547" s="242"/>
      <c r="N547" s="242"/>
      <c r="O547" s="242"/>
      <c r="P547" s="13"/>
      <c r="Q547" s="13"/>
      <c r="R547" s="13"/>
      <c r="S547" s="13"/>
      <c r="T547" s="13"/>
      <c r="U547" s="13"/>
      <c r="V547" s="13"/>
      <c r="W547" s="13"/>
      <c r="X547" s="13"/>
      <c r="Y547" s="13"/>
      <c r="Z547" s="13"/>
      <c r="AA547" s="13"/>
      <c r="AB547" s="13"/>
      <c r="AC547" s="13"/>
      <c r="AD547" s="13"/>
      <c r="AE547" s="13"/>
      <c r="AF547" s="242"/>
      <c r="AG547" s="242"/>
      <c r="AH547" s="242"/>
      <c r="AI547" s="242"/>
      <c r="AJ547" s="242"/>
      <c r="AK547" s="242"/>
      <c r="AL547" s="242"/>
      <c r="AM547" s="242"/>
      <c r="AN547" s="242"/>
      <c r="AO547" s="242"/>
      <c r="AP547" s="242"/>
    </row>
    <row r="548">
      <c r="A548" s="242"/>
      <c r="B548" s="242"/>
      <c r="C548" s="242"/>
      <c r="D548" s="242"/>
      <c r="E548" s="242"/>
      <c r="F548" s="242"/>
      <c r="G548" s="242"/>
      <c r="H548" s="242"/>
      <c r="I548" s="242"/>
      <c r="J548" s="242"/>
      <c r="K548" s="242"/>
      <c r="L548" s="242"/>
      <c r="M548" s="242"/>
      <c r="N548" s="242"/>
      <c r="O548" s="242"/>
      <c r="P548" s="13"/>
      <c r="Q548" s="13"/>
      <c r="R548" s="13"/>
      <c r="S548" s="13"/>
      <c r="T548" s="13"/>
      <c r="U548" s="13"/>
      <c r="V548" s="13"/>
      <c r="W548" s="13"/>
      <c r="X548" s="13"/>
      <c r="Y548" s="13"/>
      <c r="Z548" s="13"/>
      <c r="AA548" s="13"/>
      <c r="AB548" s="13"/>
      <c r="AC548" s="13"/>
      <c r="AD548" s="13"/>
      <c r="AE548" s="13"/>
      <c r="AF548" s="242"/>
      <c r="AG548" s="242"/>
      <c r="AH548" s="242"/>
      <c r="AI548" s="242"/>
      <c r="AJ548" s="242"/>
      <c r="AK548" s="242"/>
      <c r="AL548" s="242"/>
      <c r="AM548" s="242"/>
      <c r="AN548" s="242"/>
      <c r="AO548" s="242"/>
      <c r="AP548" s="242"/>
    </row>
    <row r="549">
      <c r="A549" s="242"/>
      <c r="B549" s="242"/>
      <c r="C549" s="242"/>
      <c r="D549" s="242"/>
      <c r="E549" s="242"/>
      <c r="F549" s="242"/>
      <c r="G549" s="242"/>
      <c r="H549" s="242"/>
      <c r="I549" s="242"/>
      <c r="J549" s="242"/>
      <c r="K549" s="242"/>
      <c r="L549" s="242"/>
      <c r="M549" s="242"/>
      <c r="N549" s="242"/>
      <c r="O549" s="242"/>
      <c r="P549" s="13"/>
      <c r="Q549" s="13"/>
      <c r="R549" s="13"/>
      <c r="S549" s="13"/>
      <c r="T549" s="13"/>
      <c r="U549" s="13"/>
      <c r="V549" s="13"/>
      <c r="W549" s="13"/>
      <c r="X549" s="13"/>
      <c r="Y549" s="13"/>
      <c r="Z549" s="13"/>
      <c r="AA549" s="13"/>
      <c r="AB549" s="13"/>
      <c r="AC549" s="13"/>
      <c r="AD549" s="13"/>
      <c r="AE549" s="13"/>
      <c r="AF549" s="242"/>
      <c r="AG549" s="242"/>
      <c r="AH549" s="242"/>
      <c r="AI549" s="242"/>
      <c r="AJ549" s="242"/>
      <c r="AK549" s="242"/>
      <c r="AL549" s="242"/>
      <c r="AM549" s="242"/>
      <c r="AN549" s="242"/>
      <c r="AO549" s="242"/>
      <c r="AP549" s="242"/>
    </row>
    <row r="550">
      <c r="A550" s="242"/>
      <c r="B550" s="242"/>
      <c r="C550" s="242"/>
      <c r="D550" s="242"/>
      <c r="E550" s="242"/>
      <c r="F550" s="242"/>
      <c r="G550" s="242"/>
      <c r="H550" s="242"/>
      <c r="I550" s="242"/>
      <c r="J550" s="242"/>
      <c r="K550" s="242"/>
      <c r="L550" s="242"/>
      <c r="M550" s="242"/>
      <c r="N550" s="242"/>
      <c r="O550" s="242"/>
      <c r="P550" s="13"/>
      <c r="Q550" s="13"/>
      <c r="R550" s="13"/>
      <c r="S550" s="13"/>
      <c r="T550" s="13"/>
      <c r="U550" s="13"/>
      <c r="V550" s="13"/>
      <c r="W550" s="13"/>
      <c r="X550" s="13"/>
      <c r="Y550" s="13"/>
      <c r="Z550" s="13"/>
      <c r="AA550" s="13"/>
      <c r="AB550" s="13"/>
      <c r="AC550" s="13"/>
      <c r="AD550" s="13"/>
      <c r="AE550" s="13"/>
      <c r="AF550" s="242"/>
      <c r="AG550" s="242"/>
      <c r="AH550" s="242"/>
      <c r="AI550" s="242"/>
      <c r="AJ550" s="242"/>
      <c r="AK550" s="242"/>
      <c r="AL550" s="242"/>
      <c r="AM550" s="242"/>
      <c r="AN550" s="242"/>
      <c r="AO550" s="242"/>
      <c r="AP550" s="242"/>
    </row>
    <row r="551">
      <c r="A551" s="242"/>
      <c r="B551" s="242"/>
      <c r="C551" s="242"/>
      <c r="D551" s="242"/>
      <c r="E551" s="242"/>
      <c r="F551" s="242"/>
      <c r="G551" s="242"/>
      <c r="H551" s="242"/>
      <c r="I551" s="242"/>
      <c r="J551" s="242"/>
      <c r="K551" s="242"/>
      <c r="L551" s="242"/>
      <c r="M551" s="242"/>
      <c r="N551" s="242"/>
      <c r="O551" s="242"/>
      <c r="P551" s="13"/>
      <c r="Q551" s="13"/>
      <c r="R551" s="13"/>
      <c r="S551" s="13"/>
      <c r="T551" s="13"/>
      <c r="U551" s="13"/>
      <c r="V551" s="13"/>
      <c r="W551" s="13"/>
      <c r="X551" s="13"/>
      <c r="Y551" s="13"/>
      <c r="Z551" s="13"/>
      <c r="AA551" s="13"/>
      <c r="AB551" s="13"/>
      <c r="AC551" s="13"/>
      <c r="AD551" s="13"/>
      <c r="AE551" s="13"/>
      <c r="AF551" s="242"/>
      <c r="AG551" s="242"/>
      <c r="AH551" s="242"/>
      <c r="AI551" s="242"/>
      <c r="AJ551" s="242"/>
      <c r="AK551" s="242"/>
      <c r="AL551" s="242"/>
      <c r="AM551" s="242"/>
      <c r="AN551" s="242"/>
      <c r="AO551" s="242"/>
      <c r="AP551" s="242"/>
    </row>
    <row r="552">
      <c r="A552" s="242"/>
      <c r="B552" s="242"/>
      <c r="C552" s="242"/>
      <c r="D552" s="242"/>
      <c r="E552" s="242"/>
      <c r="F552" s="242"/>
      <c r="G552" s="242"/>
      <c r="H552" s="242"/>
      <c r="I552" s="242"/>
      <c r="J552" s="242"/>
      <c r="K552" s="242"/>
      <c r="L552" s="242"/>
      <c r="M552" s="242"/>
      <c r="N552" s="242"/>
      <c r="O552" s="242"/>
      <c r="P552" s="13"/>
      <c r="Q552" s="13"/>
      <c r="R552" s="13"/>
      <c r="S552" s="13"/>
      <c r="T552" s="13"/>
      <c r="U552" s="13"/>
      <c r="V552" s="13"/>
      <c r="W552" s="13"/>
      <c r="X552" s="13"/>
      <c r="Y552" s="13"/>
      <c r="Z552" s="13"/>
      <c r="AA552" s="13"/>
      <c r="AB552" s="13"/>
      <c r="AC552" s="13"/>
      <c r="AD552" s="13"/>
      <c r="AE552" s="13"/>
      <c r="AF552" s="242"/>
      <c r="AG552" s="242"/>
      <c r="AH552" s="242"/>
      <c r="AI552" s="242"/>
      <c r="AJ552" s="242"/>
      <c r="AK552" s="242"/>
      <c r="AL552" s="242"/>
      <c r="AM552" s="242"/>
      <c r="AN552" s="242"/>
      <c r="AO552" s="242"/>
      <c r="AP552" s="242"/>
    </row>
    <row r="553">
      <c r="A553" s="242"/>
      <c r="B553" s="242"/>
      <c r="C553" s="242"/>
      <c r="D553" s="242"/>
      <c r="E553" s="242"/>
      <c r="F553" s="242"/>
      <c r="G553" s="242"/>
      <c r="H553" s="242"/>
      <c r="I553" s="242"/>
      <c r="J553" s="242"/>
      <c r="K553" s="242"/>
      <c r="L553" s="242"/>
      <c r="M553" s="242"/>
      <c r="N553" s="242"/>
      <c r="O553" s="242"/>
      <c r="P553" s="13"/>
      <c r="Q553" s="13"/>
      <c r="R553" s="13"/>
      <c r="S553" s="13"/>
      <c r="T553" s="13"/>
      <c r="U553" s="13"/>
      <c r="V553" s="13"/>
      <c r="W553" s="13"/>
      <c r="X553" s="13"/>
      <c r="Y553" s="13"/>
      <c r="Z553" s="13"/>
      <c r="AA553" s="13"/>
      <c r="AB553" s="13"/>
      <c r="AC553" s="13"/>
      <c r="AD553" s="13"/>
      <c r="AE553" s="13"/>
      <c r="AF553" s="242"/>
      <c r="AG553" s="242"/>
      <c r="AH553" s="242"/>
      <c r="AI553" s="242"/>
      <c r="AJ553" s="242"/>
      <c r="AK553" s="242"/>
      <c r="AL553" s="242"/>
      <c r="AM553" s="242"/>
      <c r="AN553" s="242"/>
      <c r="AO553" s="242"/>
      <c r="AP553" s="242"/>
    </row>
    <row r="554">
      <c r="A554" s="242"/>
      <c r="B554" s="242"/>
      <c r="C554" s="242"/>
      <c r="D554" s="242"/>
      <c r="E554" s="242"/>
      <c r="F554" s="242"/>
      <c r="G554" s="242"/>
      <c r="H554" s="242"/>
      <c r="I554" s="242"/>
      <c r="J554" s="242"/>
      <c r="K554" s="242"/>
      <c r="L554" s="242"/>
      <c r="M554" s="242"/>
      <c r="N554" s="242"/>
      <c r="O554" s="242"/>
      <c r="P554" s="13"/>
      <c r="Q554" s="13"/>
      <c r="R554" s="13"/>
      <c r="S554" s="13"/>
      <c r="T554" s="13"/>
      <c r="U554" s="13"/>
      <c r="V554" s="13"/>
      <c r="W554" s="13"/>
      <c r="X554" s="13"/>
      <c r="Y554" s="13"/>
      <c r="Z554" s="13"/>
      <c r="AA554" s="13"/>
      <c r="AB554" s="13"/>
      <c r="AC554" s="13"/>
      <c r="AD554" s="13"/>
      <c r="AE554" s="13"/>
      <c r="AF554" s="242"/>
      <c r="AG554" s="242"/>
      <c r="AH554" s="242"/>
      <c r="AI554" s="242"/>
      <c r="AJ554" s="242"/>
      <c r="AK554" s="242"/>
      <c r="AL554" s="242"/>
      <c r="AM554" s="242"/>
      <c r="AN554" s="242"/>
      <c r="AO554" s="242"/>
      <c r="AP554" s="242"/>
    </row>
    <row r="555">
      <c r="A555" s="242"/>
      <c r="B555" s="242"/>
      <c r="C555" s="242"/>
      <c r="D555" s="242"/>
      <c r="E555" s="242"/>
      <c r="F555" s="242"/>
      <c r="G555" s="242"/>
      <c r="H555" s="242"/>
      <c r="I555" s="242"/>
      <c r="J555" s="242"/>
      <c r="K555" s="242"/>
      <c r="L555" s="242"/>
      <c r="M555" s="242"/>
      <c r="N555" s="242"/>
      <c r="O555" s="242"/>
      <c r="P555" s="13"/>
      <c r="Q555" s="13"/>
      <c r="R555" s="13"/>
      <c r="S555" s="13"/>
      <c r="T555" s="13"/>
      <c r="U555" s="13"/>
      <c r="V555" s="13"/>
      <c r="W555" s="13"/>
      <c r="X555" s="13"/>
      <c r="Y555" s="13"/>
      <c r="Z555" s="13"/>
      <c r="AA555" s="13"/>
      <c r="AB555" s="13"/>
      <c r="AC555" s="13"/>
      <c r="AD555" s="13"/>
      <c r="AE555" s="13"/>
      <c r="AF555" s="242"/>
      <c r="AG555" s="242"/>
      <c r="AH555" s="242"/>
      <c r="AI555" s="242"/>
      <c r="AJ555" s="242"/>
      <c r="AK555" s="242"/>
      <c r="AL555" s="242"/>
      <c r="AM555" s="242"/>
      <c r="AN555" s="242"/>
      <c r="AO555" s="242"/>
      <c r="AP555" s="242"/>
    </row>
    <row r="556">
      <c r="A556" s="242"/>
      <c r="B556" s="242"/>
      <c r="C556" s="242"/>
      <c r="D556" s="242"/>
      <c r="E556" s="242"/>
      <c r="F556" s="242"/>
      <c r="G556" s="242"/>
      <c r="H556" s="242"/>
      <c r="I556" s="242"/>
      <c r="J556" s="242"/>
      <c r="K556" s="242"/>
      <c r="L556" s="242"/>
      <c r="M556" s="242"/>
      <c r="N556" s="242"/>
      <c r="O556" s="242"/>
      <c r="P556" s="13"/>
      <c r="Q556" s="13"/>
      <c r="R556" s="13"/>
      <c r="S556" s="13"/>
      <c r="T556" s="13"/>
      <c r="U556" s="13"/>
      <c r="V556" s="13"/>
      <c r="W556" s="13"/>
      <c r="X556" s="13"/>
      <c r="Y556" s="13"/>
      <c r="Z556" s="13"/>
      <c r="AA556" s="13"/>
      <c r="AB556" s="13"/>
      <c r="AC556" s="13"/>
      <c r="AD556" s="13"/>
      <c r="AE556" s="13"/>
      <c r="AF556" s="242"/>
      <c r="AG556" s="242"/>
      <c r="AH556" s="242"/>
      <c r="AI556" s="242"/>
      <c r="AJ556" s="242"/>
      <c r="AK556" s="242"/>
      <c r="AL556" s="242"/>
      <c r="AM556" s="242"/>
      <c r="AN556" s="242"/>
      <c r="AO556" s="242"/>
      <c r="AP556" s="242"/>
    </row>
    <row r="557">
      <c r="A557" s="242"/>
      <c r="B557" s="242"/>
      <c r="C557" s="242"/>
      <c r="D557" s="242"/>
      <c r="E557" s="242"/>
      <c r="F557" s="242"/>
      <c r="G557" s="242"/>
      <c r="H557" s="242"/>
      <c r="I557" s="242"/>
      <c r="J557" s="242"/>
      <c r="K557" s="242"/>
      <c r="L557" s="242"/>
      <c r="M557" s="242"/>
      <c r="N557" s="242"/>
      <c r="O557" s="242"/>
      <c r="P557" s="13"/>
      <c r="Q557" s="13"/>
      <c r="R557" s="13"/>
      <c r="S557" s="13"/>
      <c r="T557" s="13"/>
      <c r="U557" s="13"/>
      <c r="V557" s="13"/>
      <c r="W557" s="13"/>
      <c r="X557" s="13"/>
      <c r="Y557" s="13"/>
      <c r="Z557" s="13"/>
      <c r="AA557" s="13"/>
      <c r="AB557" s="13"/>
      <c r="AC557" s="13"/>
      <c r="AD557" s="13"/>
      <c r="AE557" s="13"/>
      <c r="AF557" s="242"/>
      <c r="AG557" s="242"/>
      <c r="AH557" s="242"/>
      <c r="AI557" s="242"/>
      <c r="AJ557" s="242"/>
      <c r="AK557" s="242"/>
      <c r="AL557" s="242"/>
      <c r="AM557" s="242"/>
      <c r="AN557" s="242"/>
      <c r="AO557" s="242"/>
      <c r="AP557" s="242"/>
    </row>
    <row r="558">
      <c r="A558" s="242"/>
      <c r="B558" s="242"/>
      <c r="C558" s="242"/>
      <c r="D558" s="242"/>
      <c r="E558" s="242"/>
      <c r="F558" s="242"/>
      <c r="G558" s="242"/>
      <c r="H558" s="242"/>
      <c r="I558" s="242"/>
      <c r="J558" s="242"/>
      <c r="K558" s="242"/>
      <c r="L558" s="242"/>
      <c r="M558" s="242"/>
      <c r="N558" s="242"/>
      <c r="O558" s="242"/>
      <c r="P558" s="13"/>
      <c r="Q558" s="13"/>
      <c r="R558" s="13"/>
      <c r="S558" s="13"/>
      <c r="T558" s="13"/>
      <c r="U558" s="13"/>
      <c r="V558" s="13"/>
      <c r="W558" s="13"/>
      <c r="X558" s="13"/>
      <c r="Y558" s="13"/>
      <c r="Z558" s="13"/>
      <c r="AA558" s="13"/>
      <c r="AB558" s="13"/>
      <c r="AC558" s="13"/>
      <c r="AD558" s="13"/>
      <c r="AE558" s="13"/>
      <c r="AF558" s="242"/>
      <c r="AG558" s="242"/>
      <c r="AH558" s="242"/>
      <c r="AI558" s="242"/>
      <c r="AJ558" s="242"/>
      <c r="AK558" s="242"/>
      <c r="AL558" s="242"/>
      <c r="AM558" s="242"/>
      <c r="AN558" s="242"/>
      <c r="AO558" s="242"/>
      <c r="AP558" s="242"/>
    </row>
    <row r="559">
      <c r="A559" s="242"/>
      <c r="B559" s="242"/>
      <c r="C559" s="242"/>
      <c r="D559" s="242"/>
      <c r="E559" s="242"/>
      <c r="F559" s="242"/>
      <c r="G559" s="242"/>
      <c r="H559" s="242"/>
      <c r="I559" s="242"/>
      <c r="J559" s="242"/>
      <c r="K559" s="242"/>
      <c r="L559" s="242"/>
      <c r="M559" s="242"/>
      <c r="N559" s="242"/>
      <c r="O559" s="242"/>
      <c r="P559" s="13"/>
      <c r="Q559" s="13"/>
      <c r="R559" s="13"/>
      <c r="S559" s="13"/>
      <c r="T559" s="13"/>
      <c r="U559" s="13"/>
      <c r="V559" s="13"/>
      <c r="W559" s="13"/>
      <c r="X559" s="13"/>
      <c r="Y559" s="13"/>
      <c r="Z559" s="13"/>
      <c r="AA559" s="13"/>
      <c r="AB559" s="13"/>
      <c r="AC559" s="13"/>
      <c r="AD559" s="13"/>
      <c r="AE559" s="13"/>
      <c r="AF559" s="242"/>
      <c r="AG559" s="242"/>
      <c r="AH559" s="242"/>
      <c r="AI559" s="242"/>
      <c r="AJ559" s="242"/>
      <c r="AK559" s="242"/>
      <c r="AL559" s="242"/>
      <c r="AM559" s="242"/>
      <c r="AN559" s="242"/>
      <c r="AO559" s="242"/>
      <c r="AP559" s="242"/>
    </row>
    <row r="560">
      <c r="A560" s="242"/>
      <c r="B560" s="242"/>
      <c r="C560" s="242"/>
      <c r="D560" s="242"/>
      <c r="E560" s="242"/>
      <c r="F560" s="242"/>
      <c r="G560" s="242"/>
      <c r="H560" s="242"/>
      <c r="I560" s="242"/>
      <c r="J560" s="242"/>
      <c r="K560" s="242"/>
      <c r="L560" s="242"/>
      <c r="M560" s="242"/>
      <c r="N560" s="242"/>
      <c r="O560" s="242"/>
      <c r="P560" s="13"/>
      <c r="Q560" s="13"/>
      <c r="R560" s="13"/>
      <c r="S560" s="13"/>
      <c r="T560" s="13"/>
      <c r="U560" s="13"/>
      <c r="V560" s="13"/>
      <c r="W560" s="13"/>
      <c r="X560" s="13"/>
      <c r="Y560" s="13"/>
      <c r="Z560" s="13"/>
      <c r="AA560" s="13"/>
      <c r="AB560" s="13"/>
      <c r="AC560" s="13"/>
      <c r="AD560" s="13"/>
      <c r="AE560" s="13"/>
      <c r="AF560" s="242"/>
      <c r="AG560" s="242"/>
      <c r="AH560" s="242"/>
      <c r="AI560" s="242"/>
      <c r="AJ560" s="242"/>
      <c r="AK560" s="242"/>
      <c r="AL560" s="242"/>
      <c r="AM560" s="242"/>
      <c r="AN560" s="242"/>
      <c r="AO560" s="242"/>
      <c r="AP560" s="242"/>
    </row>
    <row r="561">
      <c r="A561" s="242"/>
      <c r="B561" s="242"/>
      <c r="C561" s="242"/>
      <c r="D561" s="242"/>
      <c r="E561" s="242"/>
      <c r="F561" s="242"/>
      <c r="G561" s="242"/>
      <c r="H561" s="242"/>
      <c r="I561" s="242"/>
      <c r="J561" s="242"/>
      <c r="K561" s="242"/>
      <c r="L561" s="242"/>
      <c r="M561" s="242"/>
      <c r="N561" s="242"/>
      <c r="O561" s="242"/>
      <c r="P561" s="13"/>
      <c r="Q561" s="13"/>
      <c r="R561" s="13"/>
      <c r="S561" s="13"/>
      <c r="T561" s="13"/>
      <c r="U561" s="13"/>
      <c r="V561" s="13"/>
      <c r="W561" s="13"/>
      <c r="X561" s="13"/>
      <c r="Y561" s="13"/>
      <c r="Z561" s="13"/>
      <c r="AA561" s="13"/>
      <c r="AB561" s="13"/>
      <c r="AC561" s="13"/>
      <c r="AD561" s="13"/>
      <c r="AE561" s="13"/>
      <c r="AF561" s="242"/>
      <c r="AG561" s="242"/>
      <c r="AH561" s="242"/>
      <c r="AI561" s="242"/>
      <c r="AJ561" s="242"/>
      <c r="AK561" s="242"/>
      <c r="AL561" s="242"/>
      <c r="AM561" s="242"/>
      <c r="AN561" s="242"/>
      <c r="AO561" s="242"/>
      <c r="AP561" s="242"/>
    </row>
    <row r="562">
      <c r="A562" s="242"/>
      <c r="B562" s="242"/>
      <c r="C562" s="242"/>
      <c r="D562" s="242"/>
      <c r="E562" s="242"/>
      <c r="F562" s="242"/>
      <c r="G562" s="242"/>
      <c r="H562" s="242"/>
      <c r="I562" s="242"/>
      <c r="J562" s="242"/>
      <c r="K562" s="242"/>
      <c r="L562" s="242"/>
      <c r="M562" s="242"/>
      <c r="N562" s="242"/>
      <c r="O562" s="242"/>
      <c r="P562" s="13"/>
      <c r="Q562" s="13"/>
      <c r="R562" s="13"/>
      <c r="S562" s="13"/>
      <c r="T562" s="13"/>
      <c r="U562" s="13"/>
      <c r="V562" s="13"/>
      <c r="W562" s="13"/>
      <c r="X562" s="13"/>
      <c r="Y562" s="13"/>
      <c r="Z562" s="13"/>
      <c r="AA562" s="13"/>
      <c r="AB562" s="13"/>
      <c r="AC562" s="13"/>
      <c r="AD562" s="13"/>
      <c r="AE562" s="13"/>
      <c r="AF562" s="242"/>
      <c r="AG562" s="242"/>
      <c r="AH562" s="242"/>
      <c r="AI562" s="242"/>
      <c r="AJ562" s="242"/>
      <c r="AK562" s="242"/>
      <c r="AL562" s="242"/>
      <c r="AM562" s="242"/>
      <c r="AN562" s="242"/>
      <c r="AO562" s="242"/>
      <c r="AP562" s="242"/>
    </row>
    <row r="563">
      <c r="A563" s="242"/>
      <c r="B563" s="242"/>
      <c r="C563" s="242"/>
      <c r="D563" s="242"/>
      <c r="E563" s="242"/>
      <c r="F563" s="242"/>
      <c r="G563" s="242"/>
      <c r="H563" s="242"/>
      <c r="I563" s="242"/>
      <c r="J563" s="242"/>
      <c r="K563" s="242"/>
      <c r="L563" s="242"/>
      <c r="M563" s="242"/>
      <c r="N563" s="242"/>
      <c r="O563" s="242"/>
      <c r="P563" s="13"/>
      <c r="Q563" s="13"/>
      <c r="R563" s="13"/>
      <c r="S563" s="13"/>
      <c r="T563" s="13"/>
      <c r="U563" s="13"/>
      <c r="V563" s="13"/>
      <c r="W563" s="13"/>
      <c r="X563" s="13"/>
      <c r="Y563" s="13"/>
      <c r="Z563" s="13"/>
      <c r="AA563" s="13"/>
      <c r="AB563" s="13"/>
      <c r="AC563" s="13"/>
      <c r="AD563" s="13"/>
      <c r="AE563" s="13"/>
      <c r="AF563" s="242"/>
      <c r="AG563" s="242"/>
      <c r="AH563" s="242"/>
      <c r="AI563" s="242"/>
      <c r="AJ563" s="242"/>
      <c r="AK563" s="242"/>
      <c r="AL563" s="242"/>
      <c r="AM563" s="242"/>
      <c r="AN563" s="242"/>
      <c r="AO563" s="242"/>
      <c r="AP563" s="242"/>
    </row>
    <row r="564">
      <c r="A564" s="242"/>
      <c r="B564" s="242"/>
      <c r="C564" s="242"/>
      <c r="D564" s="242"/>
      <c r="E564" s="242"/>
      <c r="F564" s="242"/>
      <c r="G564" s="242"/>
      <c r="H564" s="242"/>
      <c r="I564" s="242"/>
      <c r="J564" s="242"/>
      <c r="K564" s="242"/>
      <c r="L564" s="242"/>
      <c r="M564" s="242"/>
      <c r="N564" s="242"/>
      <c r="O564" s="242"/>
      <c r="P564" s="13"/>
      <c r="Q564" s="13"/>
      <c r="R564" s="13"/>
      <c r="S564" s="13"/>
      <c r="T564" s="13"/>
      <c r="U564" s="13"/>
      <c r="V564" s="13"/>
      <c r="W564" s="13"/>
      <c r="X564" s="13"/>
      <c r="Y564" s="13"/>
      <c r="Z564" s="13"/>
      <c r="AA564" s="13"/>
      <c r="AB564" s="13"/>
      <c r="AC564" s="13"/>
      <c r="AD564" s="13"/>
      <c r="AE564" s="13"/>
      <c r="AF564" s="242"/>
      <c r="AG564" s="242"/>
      <c r="AH564" s="242"/>
      <c r="AI564" s="242"/>
      <c r="AJ564" s="242"/>
      <c r="AK564" s="242"/>
      <c r="AL564" s="242"/>
      <c r="AM564" s="242"/>
      <c r="AN564" s="242"/>
      <c r="AO564" s="242"/>
      <c r="AP564" s="242"/>
    </row>
    <row r="565">
      <c r="A565" s="242"/>
      <c r="B565" s="242"/>
      <c r="C565" s="242"/>
      <c r="D565" s="242"/>
      <c r="E565" s="242"/>
      <c r="F565" s="242"/>
      <c r="G565" s="242"/>
      <c r="H565" s="242"/>
      <c r="I565" s="242"/>
      <c r="J565" s="242"/>
      <c r="K565" s="242"/>
      <c r="L565" s="242"/>
      <c r="M565" s="242"/>
      <c r="N565" s="242"/>
      <c r="O565" s="242"/>
      <c r="P565" s="13"/>
      <c r="Q565" s="13"/>
      <c r="R565" s="13"/>
      <c r="S565" s="13"/>
      <c r="T565" s="13"/>
      <c r="U565" s="13"/>
      <c r="V565" s="13"/>
      <c r="W565" s="13"/>
      <c r="X565" s="13"/>
      <c r="Y565" s="13"/>
      <c r="Z565" s="13"/>
      <c r="AA565" s="13"/>
      <c r="AB565" s="13"/>
      <c r="AC565" s="13"/>
      <c r="AD565" s="13"/>
      <c r="AE565" s="13"/>
      <c r="AF565" s="242"/>
      <c r="AG565" s="242"/>
      <c r="AH565" s="242"/>
      <c r="AI565" s="242"/>
      <c r="AJ565" s="242"/>
      <c r="AK565" s="242"/>
      <c r="AL565" s="242"/>
      <c r="AM565" s="242"/>
      <c r="AN565" s="242"/>
      <c r="AO565" s="242"/>
      <c r="AP565" s="242"/>
    </row>
    <row r="566">
      <c r="A566" s="242"/>
      <c r="B566" s="242"/>
      <c r="C566" s="242"/>
      <c r="D566" s="242"/>
      <c r="E566" s="242"/>
      <c r="F566" s="242"/>
      <c r="G566" s="242"/>
      <c r="H566" s="242"/>
      <c r="I566" s="242"/>
      <c r="J566" s="242"/>
      <c r="K566" s="242"/>
      <c r="L566" s="242"/>
      <c r="M566" s="242"/>
      <c r="N566" s="242"/>
      <c r="O566" s="242"/>
      <c r="P566" s="13"/>
      <c r="Q566" s="13"/>
      <c r="R566" s="13"/>
      <c r="S566" s="13"/>
      <c r="T566" s="13"/>
      <c r="U566" s="13"/>
      <c r="V566" s="13"/>
      <c r="W566" s="13"/>
      <c r="X566" s="13"/>
      <c r="Y566" s="13"/>
      <c r="Z566" s="13"/>
      <c r="AA566" s="13"/>
      <c r="AB566" s="13"/>
      <c r="AC566" s="13"/>
      <c r="AD566" s="13"/>
      <c r="AE566" s="13"/>
      <c r="AF566" s="242"/>
      <c r="AG566" s="242"/>
      <c r="AH566" s="242"/>
      <c r="AI566" s="242"/>
      <c r="AJ566" s="242"/>
      <c r="AK566" s="242"/>
      <c r="AL566" s="242"/>
      <c r="AM566" s="242"/>
      <c r="AN566" s="242"/>
      <c r="AO566" s="242"/>
      <c r="AP566" s="242"/>
    </row>
    <row r="567">
      <c r="A567" s="242"/>
      <c r="B567" s="242"/>
      <c r="C567" s="242"/>
      <c r="D567" s="242"/>
      <c r="E567" s="242"/>
      <c r="F567" s="242"/>
      <c r="G567" s="242"/>
      <c r="H567" s="242"/>
      <c r="I567" s="242"/>
      <c r="J567" s="242"/>
      <c r="K567" s="242"/>
      <c r="L567" s="242"/>
      <c r="M567" s="242"/>
      <c r="N567" s="242"/>
      <c r="O567" s="242"/>
      <c r="P567" s="13"/>
      <c r="Q567" s="13"/>
      <c r="R567" s="13"/>
      <c r="S567" s="13"/>
      <c r="T567" s="13"/>
      <c r="U567" s="13"/>
      <c r="V567" s="13"/>
      <c r="W567" s="13"/>
      <c r="X567" s="13"/>
      <c r="Y567" s="13"/>
      <c r="Z567" s="13"/>
      <c r="AA567" s="13"/>
      <c r="AB567" s="13"/>
      <c r="AC567" s="13"/>
      <c r="AD567" s="13"/>
      <c r="AE567" s="13"/>
      <c r="AF567" s="242"/>
      <c r="AG567" s="242"/>
      <c r="AH567" s="242"/>
      <c r="AI567" s="242"/>
      <c r="AJ567" s="242"/>
      <c r="AK567" s="242"/>
      <c r="AL567" s="242"/>
      <c r="AM567" s="242"/>
      <c r="AN567" s="242"/>
      <c r="AO567" s="242"/>
      <c r="AP567" s="242"/>
    </row>
    <row r="568">
      <c r="A568" s="242"/>
      <c r="B568" s="242"/>
      <c r="C568" s="242"/>
      <c r="D568" s="242"/>
      <c r="E568" s="242"/>
      <c r="F568" s="242"/>
      <c r="G568" s="242"/>
      <c r="H568" s="242"/>
      <c r="I568" s="242"/>
      <c r="J568" s="242"/>
      <c r="K568" s="242"/>
      <c r="L568" s="242"/>
      <c r="M568" s="242"/>
      <c r="N568" s="242"/>
      <c r="O568" s="242"/>
      <c r="P568" s="13"/>
      <c r="Q568" s="13"/>
      <c r="R568" s="13"/>
      <c r="S568" s="13"/>
      <c r="T568" s="13"/>
      <c r="U568" s="13"/>
      <c r="V568" s="13"/>
      <c r="W568" s="13"/>
      <c r="X568" s="13"/>
      <c r="Y568" s="13"/>
      <c r="Z568" s="13"/>
      <c r="AA568" s="13"/>
      <c r="AB568" s="13"/>
      <c r="AC568" s="13"/>
      <c r="AD568" s="13"/>
      <c r="AE568" s="13"/>
      <c r="AF568" s="242"/>
      <c r="AG568" s="242"/>
      <c r="AH568" s="242"/>
      <c r="AI568" s="242"/>
      <c r="AJ568" s="242"/>
      <c r="AK568" s="242"/>
      <c r="AL568" s="242"/>
      <c r="AM568" s="242"/>
      <c r="AN568" s="242"/>
      <c r="AO568" s="242"/>
      <c r="AP568" s="242"/>
    </row>
    <row r="569">
      <c r="A569" s="242"/>
      <c r="B569" s="242"/>
      <c r="C569" s="242"/>
      <c r="D569" s="242"/>
      <c r="E569" s="242"/>
      <c r="F569" s="242"/>
      <c r="G569" s="242"/>
      <c r="H569" s="242"/>
      <c r="I569" s="242"/>
      <c r="J569" s="242"/>
      <c r="K569" s="242"/>
      <c r="L569" s="242"/>
      <c r="M569" s="242"/>
      <c r="N569" s="242"/>
      <c r="O569" s="242"/>
      <c r="P569" s="13"/>
      <c r="Q569" s="13"/>
      <c r="R569" s="13"/>
      <c r="S569" s="13"/>
      <c r="T569" s="13"/>
      <c r="U569" s="13"/>
      <c r="V569" s="13"/>
      <c r="W569" s="13"/>
      <c r="X569" s="13"/>
      <c r="Y569" s="13"/>
      <c r="Z569" s="13"/>
      <c r="AA569" s="13"/>
      <c r="AB569" s="13"/>
      <c r="AC569" s="13"/>
      <c r="AD569" s="13"/>
      <c r="AE569" s="13"/>
      <c r="AF569" s="242"/>
      <c r="AG569" s="242"/>
      <c r="AH569" s="242"/>
      <c r="AI569" s="242"/>
      <c r="AJ569" s="242"/>
      <c r="AK569" s="242"/>
      <c r="AL569" s="242"/>
      <c r="AM569" s="242"/>
      <c r="AN569" s="242"/>
      <c r="AO569" s="242"/>
      <c r="AP569" s="242"/>
    </row>
    <row r="570">
      <c r="A570" s="242"/>
      <c r="B570" s="242"/>
      <c r="C570" s="242"/>
      <c r="D570" s="242"/>
      <c r="E570" s="242"/>
      <c r="F570" s="242"/>
      <c r="G570" s="242"/>
      <c r="H570" s="242"/>
      <c r="I570" s="242"/>
      <c r="J570" s="242"/>
      <c r="K570" s="242"/>
      <c r="L570" s="242"/>
      <c r="M570" s="242"/>
      <c r="N570" s="242"/>
      <c r="O570" s="242"/>
      <c r="P570" s="13"/>
      <c r="Q570" s="13"/>
      <c r="R570" s="13"/>
      <c r="S570" s="13"/>
      <c r="T570" s="13"/>
      <c r="U570" s="13"/>
      <c r="V570" s="13"/>
      <c r="W570" s="13"/>
      <c r="X570" s="13"/>
      <c r="Y570" s="13"/>
      <c r="Z570" s="13"/>
      <c r="AA570" s="13"/>
      <c r="AB570" s="13"/>
      <c r="AC570" s="13"/>
      <c r="AD570" s="13"/>
      <c r="AE570" s="13"/>
      <c r="AF570" s="242"/>
      <c r="AG570" s="242"/>
      <c r="AH570" s="242"/>
      <c r="AI570" s="242"/>
      <c r="AJ570" s="242"/>
      <c r="AK570" s="242"/>
      <c r="AL570" s="242"/>
      <c r="AM570" s="242"/>
      <c r="AN570" s="242"/>
      <c r="AO570" s="242"/>
      <c r="AP570" s="242"/>
    </row>
    <row r="571">
      <c r="A571" s="242"/>
      <c r="B571" s="242"/>
      <c r="C571" s="242"/>
      <c r="D571" s="242"/>
      <c r="E571" s="242"/>
      <c r="F571" s="242"/>
      <c r="G571" s="242"/>
      <c r="H571" s="242"/>
      <c r="I571" s="242"/>
      <c r="J571" s="242"/>
      <c r="K571" s="242"/>
      <c r="L571" s="242"/>
      <c r="M571" s="242"/>
      <c r="N571" s="242"/>
      <c r="O571" s="242"/>
      <c r="P571" s="13"/>
      <c r="Q571" s="13"/>
      <c r="R571" s="13"/>
      <c r="S571" s="13"/>
      <c r="T571" s="13"/>
      <c r="U571" s="13"/>
      <c r="V571" s="13"/>
      <c r="W571" s="13"/>
      <c r="X571" s="13"/>
      <c r="Y571" s="13"/>
      <c r="Z571" s="13"/>
      <c r="AA571" s="13"/>
      <c r="AB571" s="13"/>
      <c r="AC571" s="13"/>
      <c r="AD571" s="13"/>
      <c r="AE571" s="13"/>
      <c r="AF571" s="242"/>
      <c r="AG571" s="242"/>
      <c r="AH571" s="242"/>
      <c r="AI571" s="242"/>
      <c r="AJ571" s="242"/>
      <c r="AK571" s="242"/>
      <c r="AL571" s="242"/>
      <c r="AM571" s="242"/>
      <c r="AN571" s="242"/>
      <c r="AO571" s="242"/>
      <c r="AP571" s="242"/>
    </row>
    <row r="572">
      <c r="A572" s="242"/>
      <c r="B572" s="242"/>
      <c r="C572" s="242"/>
      <c r="D572" s="242"/>
      <c r="E572" s="242"/>
      <c r="F572" s="242"/>
      <c r="G572" s="242"/>
      <c r="H572" s="242"/>
      <c r="I572" s="242"/>
      <c r="J572" s="242"/>
      <c r="K572" s="242"/>
      <c r="L572" s="242"/>
      <c r="M572" s="242"/>
      <c r="N572" s="242"/>
      <c r="O572" s="242"/>
      <c r="P572" s="13"/>
      <c r="Q572" s="13"/>
      <c r="R572" s="13"/>
      <c r="S572" s="13"/>
      <c r="T572" s="13"/>
      <c r="U572" s="13"/>
      <c r="V572" s="13"/>
      <c r="W572" s="13"/>
      <c r="X572" s="13"/>
      <c r="Y572" s="13"/>
      <c r="Z572" s="13"/>
      <c r="AA572" s="13"/>
      <c r="AB572" s="13"/>
      <c r="AC572" s="13"/>
      <c r="AD572" s="13"/>
      <c r="AE572" s="13"/>
      <c r="AF572" s="242"/>
      <c r="AG572" s="242"/>
      <c r="AH572" s="242"/>
      <c r="AI572" s="242"/>
      <c r="AJ572" s="242"/>
      <c r="AK572" s="242"/>
      <c r="AL572" s="242"/>
      <c r="AM572" s="242"/>
      <c r="AN572" s="242"/>
      <c r="AO572" s="242"/>
      <c r="AP572" s="242"/>
    </row>
    <row r="573">
      <c r="A573" s="242"/>
      <c r="B573" s="242"/>
      <c r="C573" s="242"/>
      <c r="D573" s="242"/>
      <c r="E573" s="242"/>
      <c r="F573" s="242"/>
      <c r="G573" s="242"/>
      <c r="H573" s="242"/>
      <c r="I573" s="242"/>
      <c r="J573" s="242"/>
      <c r="K573" s="242"/>
      <c r="L573" s="242"/>
      <c r="M573" s="242"/>
      <c r="N573" s="242"/>
      <c r="O573" s="242"/>
      <c r="P573" s="13"/>
      <c r="Q573" s="13"/>
      <c r="R573" s="13"/>
      <c r="S573" s="13"/>
      <c r="T573" s="13"/>
      <c r="U573" s="13"/>
      <c r="V573" s="13"/>
      <c r="W573" s="13"/>
      <c r="X573" s="13"/>
      <c r="Y573" s="13"/>
      <c r="Z573" s="13"/>
      <c r="AA573" s="13"/>
      <c r="AB573" s="13"/>
      <c r="AC573" s="13"/>
      <c r="AD573" s="13"/>
      <c r="AE573" s="13"/>
      <c r="AF573" s="242"/>
      <c r="AG573" s="242"/>
      <c r="AH573" s="242"/>
      <c r="AI573" s="242"/>
      <c r="AJ573" s="242"/>
      <c r="AK573" s="242"/>
      <c r="AL573" s="242"/>
      <c r="AM573" s="242"/>
      <c r="AN573" s="242"/>
      <c r="AO573" s="242"/>
      <c r="AP573" s="242"/>
    </row>
    <row r="574">
      <c r="A574" s="242"/>
      <c r="B574" s="242"/>
      <c r="C574" s="242"/>
      <c r="D574" s="242"/>
      <c r="E574" s="242"/>
      <c r="F574" s="242"/>
      <c r="G574" s="242"/>
      <c r="H574" s="242"/>
      <c r="I574" s="242"/>
      <c r="J574" s="242"/>
      <c r="K574" s="242"/>
      <c r="L574" s="242"/>
      <c r="M574" s="242"/>
      <c r="N574" s="242"/>
      <c r="O574" s="242"/>
      <c r="P574" s="13"/>
      <c r="Q574" s="13"/>
      <c r="R574" s="13"/>
      <c r="S574" s="13"/>
      <c r="T574" s="13"/>
      <c r="U574" s="13"/>
      <c r="V574" s="13"/>
      <c r="W574" s="13"/>
      <c r="X574" s="13"/>
      <c r="Y574" s="13"/>
      <c r="Z574" s="13"/>
      <c r="AA574" s="13"/>
      <c r="AB574" s="13"/>
      <c r="AC574" s="13"/>
      <c r="AD574" s="13"/>
      <c r="AE574" s="13"/>
      <c r="AF574" s="242"/>
      <c r="AG574" s="242"/>
      <c r="AH574" s="242"/>
      <c r="AI574" s="242"/>
      <c r="AJ574" s="242"/>
      <c r="AK574" s="242"/>
      <c r="AL574" s="242"/>
      <c r="AM574" s="242"/>
      <c r="AN574" s="242"/>
      <c r="AO574" s="242"/>
      <c r="AP574" s="242"/>
    </row>
    <row r="575">
      <c r="A575" s="242"/>
      <c r="B575" s="242"/>
      <c r="C575" s="242"/>
      <c r="D575" s="242"/>
      <c r="E575" s="242"/>
      <c r="F575" s="242"/>
      <c r="G575" s="242"/>
      <c r="H575" s="242"/>
      <c r="I575" s="242"/>
      <c r="J575" s="242"/>
      <c r="K575" s="242"/>
      <c r="L575" s="242"/>
      <c r="M575" s="242"/>
      <c r="N575" s="242"/>
      <c r="O575" s="242"/>
      <c r="P575" s="13"/>
      <c r="Q575" s="13"/>
      <c r="R575" s="13"/>
      <c r="S575" s="13"/>
      <c r="T575" s="13"/>
      <c r="U575" s="13"/>
      <c r="V575" s="13"/>
      <c r="W575" s="13"/>
      <c r="X575" s="13"/>
      <c r="Y575" s="13"/>
      <c r="Z575" s="13"/>
      <c r="AA575" s="13"/>
      <c r="AB575" s="13"/>
      <c r="AC575" s="13"/>
      <c r="AD575" s="13"/>
      <c r="AE575" s="13"/>
      <c r="AF575" s="242"/>
      <c r="AG575" s="242"/>
      <c r="AH575" s="242"/>
      <c r="AI575" s="242"/>
      <c r="AJ575" s="242"/>
      <c r="AK575" s="242"/>
      <c r="AL575" s="242"/>
      <c r="AM575" s="242"/>
      <c r="AN575" s="242"/>
      <c r="AO575" s="242"/>
      <c r="AP575" s="242"/>
    </row>
    <row r="576">
      <c r="A576" s="242"/>
      <c r="B576" s="242"/>
      <c r="C576" s="242"/>
      <c r="D576" s="242"/>
      <c r="E576" s="242"/>
      <c r="F576" s="242"/>
      <c r="G576" s="242"/>
      <c r="H576" s="242"/>
      <c r="I576" s="242"/>
      <c r="J576" s="242"/>
      <c r="K576" s="242"/>
      <c r="L576" s="242"/>
      <c r="M576" s="242"/>
      <c r="N576" s="242"/>
      <c r="O576" s="242"/>
      <c r="P576" s="13"/>
      <c r="Q576" s="13"/>
      <c r="R576" s="13"/>
      <c r="S576" s="13"/>
      <c r="T576" s="13"/>
      <c r="U576" s="13"/>
      <c r="V576" s="13"/>
      <c r="W576" s="13"/>
      <c r="X576" s="13"/>
      <c r="Y576" s="13"/>
      <c r="Z576" s="13"/>
      <c r="AA576" s="13"/>
      <c r="AB576" s="13"/>
      <c r="AC576" s="13"/>
      <c r="AD576" s="13"/>
      <c r="AE576" s="13"/>
      <c r="AF576" s="242"/>
      <c r="AG576" s="242"/>
      <c r="AH576" s="242"/>
      <c r="AI576" s="242"/>
      <c r="AJ576" s="242"/>
      <c r="AK576" s="242"/>
      <c r="AL576" s="242"/>
      <c r="AM576" s="242"/>
      <c r="AN576" s="242"/>
      <c r="AO576" s="242"/>
      <c r="AP576" s="242"/>
    </row>
    <row r="577">
      <c r="A577" s="242"/>
      <c r="B577" s="242"/>
      <c r="C577" s="242"/>
      <c r="D577" s="242"/>
      <c r="E577" s="242"/>
      <c r="F577" s="242"/>
      <c r="G577" s="242"/>
      <c r="H577" s="242"/>
      <c r="I577" s="242"/>
      <c r="J577" s="242"/>
      <c r="K577" s="242"/>
      <c r="L577" s="242"/>
      <c r="M577" s="242"/>
      <c r="N577" s="242"/>
      <c r="O577" s="242"/>
      <c r="P577" s="13"/>
      <c r="Q577" s="13"/>
      <c r="R577" s="13"/>
      <c r="S577" s="13"/>
      <c r="T577" s="13"/>
      <c r="U577" s="13"/>
      <c r="V577" s="13"/>
      <c r="W577" s="13"/>
      <c r="X577" s="13"/>
      <c r="Y577" s="13"/>
      <c r="Z577" s="13"/>
      <c r="AA577" s="13"/>
      <c r="AB577" s="13"/>
      <c r="AC577" s="13"/>
      <c r="AD577" s="13"/>
      <c r="AE577" s="13"/>
      <c r="AF577" s="242"/>
      <c r="AG577" s="242"/>
      <c r="AH577" s="242"/>
      <c r="AI577" s="242"/>
      <c r="AJ577" s="242"/>
      <c r="AK577" s="242"/>
      <c r="AL577" s="242"/>
      <c r="AM577" s="242"/>
      <c r="AN577" s="242"/>
      <c r="AO577" s="242"/>
      <c r="AP577" s="242"/>
    </row>
    <row r="578">
      <c r="A578" s="242"/>
      <c r="B578" s="242"/>
      <c r="C578" s="242"/>
      <c r="D578" s="242"/>
      <c r="E578" s="242"/>
      <c r="F578" s="242"/>
      <c r="G578" s="242"/>
      <c r="H578" s="242"/>
      <c r="I578" s="242"/>
      <c r="J578" s="242"/>
      <c r="K578" s="242"/>
      <c r="L578" s="242"/>
      <c r="M578" s="242"/>
      <c r="N578" s="242"/>
      <c r="O578" s="242"/>
      <c r="P578" s="13"/>
      <c r="Q578" s="13"/>
      <c r="R578" s="13"/>
      <c r="S578" s="13"/>
      <c r="T578" s="13"/>
      <c r="U578" s="13"/>
      <c r="V578" s="13"/>
      <c r="W578" s="13"/>
      <c r="X578" s="13"/>
      <c r="Y578" s="13"/>
      <c r="Z578" s="13"/>
      <c r="AA578" s="13"/>
      <c r="AB578" s="13"/>
      <c r="AC578" s="13"/>
      <c r="AD578" s="13"/>
      <c r="AE578" s="13"/>
      <c r="AF578" s="242"/>
      <c r="AG578" s="242"/>
      <c r="AH578" s="242"/>
      <c r="AI578" s="242"/>
      <c r="AJ578" s="242"/>
      <c r="AK578" s="242"/>
      <c r="AL578" s="242"/>
      <c r="AM578" s="242"/>
      <c r="AN578" s="242"/>
      <c r="AO578" s="242"/>
      <c r="AP578" s="242"/>
    </row>
    <row r="579">
      <c r="A579" s="242"/>
      <c r="B579" s="242"/>
      <c r="C579" s="242"/>
      <c r="D579" s="242"/>
      <c r="E579" s="242"/>
      <c r="F579" s="242"/>
      <c r="G579" s="242"/>
      <c r="H579" s="242"/>
      <c r="I579" s="242"/>
      <c r="J579" s="242"/>
      <c r="K579" s="242"/>
      <c r="L579" s="242"/>
      <c r="M579" s="242"/>
      <c r="N579" s="242"/>
      <c r="O579" s="242"/>
      <c r="P579" s="13"/>
      <c r="Q579" s="13"/>
      <c r="R579" s="13"/>
      <c r="S579" s="13"/>
      <c r="T579" s="13"/>
      <c r="U579" s="13"/>
      <c r="V579" s="13"/>
      <c r="W579" s="13"/>
      <c r="X579" s="13"/>
      <c r="Y579" s="13"/>
      <c r="Z579" s="13"/>
      <c r="AA579" s="13"/>
      <c r="AB579" s="13"/>
      <c r="AC579" s="13"/>
      <c r="AD579" s="13"/>
      <c r="AE579" s="13"/>
      <c r="AF579" s="242"/>
      <c r="AG579" s="242"/>
      <c r="AH579" s="242"/>
      <c r="AI579" s="242"/>
      <c r="AJ579" s="242"/>
      <c r="AK579" s="242"/>
      <c r="AL579" s="242"/>
      <c r="AM579" s="242"/>
      <c r="AN579" s="242"/>
      <c r="AO579" s="242"/>
      <c r="AP579" s="242"/>
    </row>
    <row r="580">
      <c r="A580" s="242"/>
      <c r="B580" s="242"/>
      <c r="C580" s="242"/>
      <c r="D580" s="242"/>
      <c r="E580" s="242"/>
      <c r="F580" s="242"/>
      <c r="G580" s="242"/>
      <c r="H580" s="242"/>
      <c r="I580" s="242"/>
      <c r="J580" s="242"/>
      <c r="K580" s="242"/>
      <c r="L580" s="242"/>
      <c r="M580" s="242"/>
      <c r="N580" s="242"/>
      <c r="O580" s="242"/>
      <c r="P580" s="13"/>
      <c r="Q580" s="13"/>
      <c r="R580" s="13"/>
      <c r="S580" s="13"/>
      <c r="T580" s="13"/>
      <c r="U580" s="13"/>
      <c r="V580" s="13"/>
      <c r="W580" s="13"/>
      <c r="X580" s="13"/>
      <c r="Y580" s="13"/>
      <c r="Z580" s="13"/>
      <c r="AA580" s="13"/>
      <c r="AB580" s="13"/>
      <c r="AC580" s="13"/>
      <c r="AD580" s="13"/>
      <c r="AE580" s="13"/>
      <c r="AF580" s="242"/>
      <c r="AG580" s="242"/>
      <c r="AH580" s="242"/>
      <c r="AI580" s="242"/>
      <c r="AJ580" s="242"/>
      <c r="AK580" s="242"/>
      <c r="AL580" s="242"/>
      <c r="AM580" s="242"/>
      <c r="AN580" s="242"/>
      <c r="AO580" s="242"/>
      <c r="AP580" s="242"/>
    </row>
    <row r="581">
      <c r="A581" s="242"/>
      <c r="B581" s="242"/>
      <c r="C581" s="242"/>
      <c r="D581" s="242"/>
      <c r="E581" s="242"/>
      <c r="F581" s="242"/>
      <c r="G581" s="242"/>
      <c r="H581" s="242"/>
      <c r="I581" s="242"/>
      <c r="J581" s="242"/>
      <c r="K581" s="242"/>
      <c r="L581" s="242"/>
      <c r="M581" s="242"/>
      <c r="N581" s="242"/>
      <c r="O581" s="242"/>
      <c r="P581" s="13"/>
      <c r="Q581" s="13"/>
      <c r="R581" s="13"/>
      <c r="S581" s="13"/>
      <c r="T581" s="13"/>
      <c r="U581" s="13"/>
      <c r="V581" s="13"/>
      <c r="W581" s="13"/>
      <c r="X581" s="13"/>
      <c r="Y581" s="13"/>
      <c r="Z581" s="13"/>
      <c r="AA581" s="13"/>
      <c r="AB581" s="13"/>
      <c r="AC581" s="13"/>
      <c r="AD581" s="13"/>
      <c r="AE581" s="13"/>
      <c r="AF581" s="242"/>
      <c r="AG581" s="242"/>
      <c r="AH581" s="242"/>
      <c r="AI581" s="242"/>
      <c r="AJ581" s="242"/>
      <c r="AK581" s="242"/>
      <c r="AL581" s="242"/>
      <c r="AM581" s="242"/>
      <c r="AN581" s="242"/>
      <c r="AO581" s="242"/>
      <c r="AP581" s="242"/>
    </row>
    <row r="582">
      <c r="A582" s="242"/>
      <c r="B582" s="242"/>
      <c r="C582" s="242"/>
      <c r="D582" s="242"/>
      <c r="E582" s="242"/>
      <c r="F582" s="242"/>
      <c r="G582" s="242"/>
      <c r="H582" s="242"/>
      <c r="I582" s="242"/>
      <c r="J582" s="242"/>
      <c r="K582" s="242"/>
      <c r="L582" s="242"/>
      <c r="M582" s="242"/>
      <c r="N582" s="242"/>
      <c r="O582" s="242"/>
      <c r="P582" s="13"/>
      <c r="Q582" s="13"/>
      <c r="R582" s="13"/>
      <c r="S582" s="13"/>
      <c r="T582" s="13"/>
      <c r="U582" s="13"/>
      <c r="V582" s="13"/>
      <c r="W582" s="13"/>
      <c r="X582" s="13"/>
      <c r="Y582" s="13"/>
      <c r="Z582" s="13"/>
      <c r="AA582" s="13"/>
      <c r="AB582" s="13"/>
      <c r="AC582" s="13"/>
      <c r="AD582" s="13"/>
      <c r="AE582" s="13"/>
      <c r="AF582" s="242"/>
      <c r="AG582" s="242"/>
      <c r="AH582" s="242"/>
      <c r="AI582" s="242"/>
      <c r="AJ582" s="242"/>
      <c r="AK582" s="242"/>
      <c r="AL582" s="242"/>
      <c r="AM582" s="242"/>
      <c r="AN582" s="242"/>
      <c r="AO582" s="242"/>
      <c r="AP582" s="242"/>
    </row>
    <row r="583">
      <c r="A583" s="242"/>
      <c r="B583" s="242"/>
      <c r="C583" s="242"/>
      <c r="D583" s="242"/>
      <c r="E583" s="242"/>
      <c r="F583" s="242"/>
      <c r="G583" s="242"/>
      <c r="H583" s="242"/>
      <c r="I583" s="242"/>
      <c r="J583" s="242"/>
      <c r="K583" s="242"/>
      <c r="L583" s="242"/>
      <c r="M583" s="242"/>
      <c r="N583" s="242"/>
      <c r="O583" s="242"/>
      <c r="P583" s="13"/>
      <c r="Q583" s="13"/>
      <c r="R583" s="13"/>
      <c r="S583" s="13"/>
      <c r="T583" s="13"/>
      <c r="U583" s="13"/>
      <c r="V583" s="13"/>
      <c r="W583" s="13"/>
      <c r="X583" s="13"/>
      <c r="Y583" s="13"/>
      <c r="Z583" s="13"/>
      <c r="AA583" s="13"/>
      <c r="AB583" s="13"/>
      <c r="AC583" s="13"/>
      <c r="AD583" s="13"/>
      <c r="AE583" s="13"/>
      <c r="AF583" s="242"/>
      <c r="AG583" s="242"/>
      <c r="AH583" s="242"/>
      <c r="AI583" s="242"/>
      <c r="AJ583" s="242"/>
      <c r="AK583" s="242"/>
      <c r="AL583" s="242"/>
      <c r="AM583" s="242"/>
      <c r="AN583" s="242"/>
      <c r="AO583" s="242"/>
      <c r="AP583" s="242"/>
    </row>
    <row r="584">
      <c r="A584" s="242"/>
      <c r="B584" s="242"/>
      <c r="C584" s="242"/>
      <c r="D584" s="242"/>
      <c r="E584" s="242"/>
      <c r="F584" s="242"/>
      <c r="G584" s="242"/>
      <c r="H584" s="242"/>
      <c r="I584" s="242"/>
      <c r="J584" s="242"/>
      <c r="K584" s="242"/>
      <c r="L584" s="242"/>
      <c r="M584" s="242"/>
      <c r="N584" s="242"/>
      <c r="O584" s="242"/>
      <c r="P584" s="13"/>
      <c r="Q584" s="13"/>
      <c r="R584" s="13"/>
      <c r="S584" s="13"/>
      <c r="T584" s="13"/>
      <c r="U584" s="13"/>
      <c r="V584" s="13"/>
      <c r="W584" s="13"/>
      <c r="X584" s="13"/>
      <c r="Y584" s="13"/>
      <c r="Z584" s="13"/>
      <c r="AA584" s="13"/>
      <c r="AB584" s="13"/>
      <c r="AC584" s="13"/>
      <c r="AD584" s="13"/>
      <c r="AE584" s="13"/>
      <c r="AF584" s="242"/>
      <c r="AG584" s="242"/>
      <c r="AH584" s="242"/>
      <c r="AI584" s="242"/>
      <c r="AJ584" s="242"/>
      <c r="AK584" s="242"/>
      <c r="AL584" s="242"/>
      <c r="AM584" s="242"/>
      <c r="AN584" s="242"/>
      <c r="AO584" s="242"/>
      <c r="AP584" s="242"/>
    </row>
    <row r="585">
      <c r="A585" s="242"/>
      <c r="B585" s="242"/>
      <c r="C585" s="242"/>
      <c r="D585" s="242"/>
      <c r="E585" s="242"/>
      <c r="F585" s="242"/>
      <c r="G585" s="242"/>
      <c r="H585" s="242"/>
      <c r="I585" s="242"/>
      <c r="J585" s="242"/>
      <c r="K585" s="242"/>
      <c r="L585" s="242"/>
      <c r="M585" s="242"/>
      <c r="N585" s="242"/>
      <c r="O585" s="242"/>
      <c r="P585" s="13"/>
      <c r="Q585" s="13"/>
      <c r="R585" s="13"/>
      <c r="S585" s="13"/>
      <c r="T585" s="13"/>
      <c r="U585" s="13"/>
      <c r="V585" s="13"/>
      <c r="W585" s="13"/>
      <c r="X585" s="13"/>
      <c r="Y585" s="13"/>
      <c r="Z585" s="13"/>
      <c r="AA585" s="13"/>
      <c r="AB585" s="13"/>
      <c r="AC585" s="13"/>
      <c r="AD585" s="13"/>
      <c r="AE585" s="13"/>
      <c r="AF585" s="242"/>
      <c r="AG585" s="242"/>
      <c r="AH585" s="242"/>
      <c r="AI585" s="242"/>
      <c r="AJ585" s="242"/>
      <c r="AK585" s="242"/>
      <c r="AL585" s="242"/>
      <c r="AM585" s="242"/>
      <c r="AN585" s="242"/>
      <c r="AO585" s="242"/>
      <c r="AP585" s="242"/>
    </row>
    <row r="586">
      <c r="A586" s="242"/>
      <c r="B586" s="242"/>
      <c r="C586" s="242"/>
      <c r="D586" s="242"/>
      <c r="E586" s="242"/>
      <c r="F586" s="242"/>
      <c r="G586" s="242"/>
      <c r="H586" s="242"/>
      <c r="I586" s="242"/>
      <c r="J586" s="242"/>
      <c r="K586" s="242"/>
      <c r="L586" s="242"/>
      <c r="M586" s="242"/>
      <c r="N586" s="242"/>
      <c r="O586" s="242"/>
      <c r="P586" s="13"/>
      <c r="Q586" s="13"/>
      <c r="R586" s="13"/>
      <c r="S586" s="13"/>
      <c r="T586" s="13"/>
      <c r="U586" s="13"/>
      <c r="V586" s="13"/>
      <c r="W586" s="13"/>
      <c r="X586" s="13"/>
      <c r="Y586" s="13"/>
      <c r="Z586" s="13"/>
      <c r="AA586" s="13"/>
      <c r="AB586" s="13"/>
      <c r="AC586" s="13"/>
      <c r="AD586" s="13"/>
      <c r="AE586" s="13"/>
      <c r="AF586" s="242"/>
      <c r="AG586" s="242"/>
      <c r="AH586" s="242"/>
      <c r="AI586" s="242"/>
      <c r="AJ586" s="242"/>
      <c r="AK586" s="242"/>
      <c r="AL586" s="242"/>
      <c r="AM586" s="242"/>
      <c r="AN586" s="242"/>
      <c r="AO586" s="242"/>
      <c r="AP586" s="242"/>
    </row>
    <row r="587">
      <c r="A587" s="242"/>
      <c r="B587" s="242"/>
      <c r="C587" s="242"/>
      <c r="D587" s="242"/>
      <c r="E587" s="242"/>
      <c r="F587" s="242"/>
      <c r="G587" s="242"/>
      <c r="H587" s="242"/>
      <c r="I587" s="242"/>
      <c r="J587" s="242"/>
      <c r="K587" s="242"/>
      <c r="L587" s="242"/>
      <c r="M587" s="242"/>
      <c r="N587" s="242"/>
      <c r="O587" s="242"/>
      <c r="P587" s="13"/>
      <c r="Q587" s="13"/>
      <c r="R587" s="13"/>
      <c r="S587" s="13"/>
      <c r="T587" s="13"/>
      <c r="U587" s="13"/>
      <c r="V587" s="13"/>
      <c r="W587" s="13"/>
      <c r="X587" s="13"/>
      <c r="Y587" s="13"/>
      <c r="Z587" s="13"/>
      <c r="AA587" s="13"/>
      <c r="AB587" s="13"/>
      <c r="AC587" s="13"/>
      <c r="AD587" s="13"/>
      <c r="AE587" s="13"/>
      <c r="AF587" s="242"/>
      <c r="AG587" s="242"/>
      <c r="AH587" s="242"/>
      <c r="AI587" s="242"/>
      <c r="AJ587" s="242"/>
      <c r="AK587" s="242"/>
      <c r="AL587" s="242"/>
      <c r="AM587" s="242"/>
      <c r="AN587" s="242"/>
      <c r="AO587" s="242"/>
      <c r="AP587" s="242"/>
    </row>
    <row r="588">
      <c r="A588" s="242"/>
      <c r="B588" s="242"/>
      <c r="C588" s="242"/>
      <c r="D588" s="242"/>
      <c r="E588" s="242"/>
      <c r="F588" s="242"/>
      <c r="G588" s="242"/>
      <c r="H588" s="242"/>
      <c r="I588" s="242"/>
      <c r="J588" s="242"/>
      <c r="K588" s="242"/>
      <c r="L588" s="242"/>
      <c r="M588" s="242"/>
      <c r="N588" s="242"/>
      <c r="O588" s="242"/>
      <c r="P588" s="13"/>
      <c r="Q588" s="13"/>
      <c r="R588" s="13"/>
      <c r="S588" s="13"/>
      <c r="T588" s="13"/>
      <c r="U588" s="13"/>
      <c r="V588" s="13"/>
      <c r="W588" s="13"/>
      <c r="X588" s="13"/>
      <c r="Y588" s="13"/>
      <c r="Z588" s="13"/>
      <c r="AA588" s="13"/>
      <c r="AB588" s="13"/>
      <c r="AC588" s="13"/>
      <c r="AD588" s="13"/>
      <c r="AE588" s="13"/>
      <c r="AF588" s="242"/>
      <c r="AG588" s="242"/>
      <c r="AH588" s="242"/>
      <c r="AI588" s="242"/>
      <c r="AJ588" s="242"/>
      <c r="AK588" s="242"/>
      <c r="AL588" s="242"/>
      <c r="AM588" s="242"/>
      <c r="AN588" s="242"/>
      <c r="AO588" s="242"/>
      <c r="AP588" s="242"/>
    </row>
    <row r="589">
      <c r="A589" s="242"/>
      <c r="B589" s="242"/>
      <c r="C589" s="242"/>
      <c r="D589" s="242"/>
      <c r="E589" s="242"/>
      <c r="F589" s="242"/>
      <c r="G589" s="242"/>
      <c r="H589" s="242"/>
      <c r="I589" s="242"/>
      <c r="J589" s="242"/>
      <c r="K589" s="242"/>
      <c r="L589" s="242"/>
      <c r="M589" s="242"/>
      <c r="N589" s="242"/>
      <c r="O589" s="242"/>
      <c r="P589" s="13"/>
      <c r="Q589" s="13"/>
      <c r="R589" s="13"/>
      <c r="S589" s="13"/>
      <c r="T589" s="13"/>
      <c r="U589" s="13"/>
      <c r="V589" s="13"/>
      <c r="W589" s="13"/>
      <c r="X589" s="13"/>
      <c r="Y589" s="13"/>
      <c r="Z589" s="13"/>
      <c r="AA589" s="13"/>
      <c r="AB589" s="13"/>
      <c r="AC589" s="13"/>
      <c r="AD589" s="13"/>
      <c r="AE589" s="13"/>
      <c r="AF589" s="242"/>
      <c r="AG589" s="242"/>
      <c r="AH589" s="242"/>
      <c r="AI589" s="242"/>
      <c r="AJ589" s="242"/>
      <c r="AK589" s="242"/>
      <c r="AL589" s="242"/>
      <c r="AM589" s="242"/>
      <c r="AN589" s="242"/>
      <c r="AO589" s="242"/>
      <c r="AP589" s="242"/>
    </row>
    <row r="590">
      <c r="A590" s="242"/>
      <c r="B590" s="242"/>
      <c r="C590" s="242"/>
      <c r="D590" s="242"/>
      <c r="E590" s="242"/>
      <c r="F590" s="242"/>
      <c r="G590" s="242"/>
      <c r="H590" s="242"/>
      <c r="I590" s="242"/>
      <c r="J590" s="242"/>
      <c r="K590" s="242"/>
      <c r="L590" s="242"/>
      <c r="M590" s="242"/>
      <c r="N590" s="242"/>
      <c r="O590" s="242"/>
      <c r="P590" s="13"/>
      <c r="Q590" s="13"/>
      <c r="R590" s="13"/>
      <c r="S590" s="13"/>
      <c r="T590" s="13"/>
      <c r="U590" s="13"/>
      <c r="V590" s="13"/>
      <c r="W590" s="13"/>
      <c r="X590" s="13"/>
      <c r="Y590" s="13"/>
      <c r="Z590" s="13"/>
      <c r="AA590" s="13"/>
      <c r="AB590" s="13"/>
      <c r="AC590" s="13"/>
      <c r="AD590" s="13"/>
      <c r="AE590" s="13"/>
      <c r="AF590" s="242"/>
      <c r="AG590" s="242"/>
      <c r="AH590" s="242"/>
      <c r="AI590" s="242"/>
      <c r="AJ590" s="242"/>
      <c r="AK590" s="242"/>
      <c r="AL590" s="242"/>
      <c r="AM590" s="242"/>
      <c r="AN590" s="242"/>
      <c r="AO590" s="242"/>
      <c r="AP590" s="242"/>
    </row>
    <row r="591">
      <c r="A591" s="242"/>
      <c r="B591" s="242"/>
      <c r="C591" s="242"/>
      <c r="D591" s="242"/>
      <c r="E591" s="242"/>
      <c r="F591" s="242"/>
      <c r="G591" s="242"/>
      <c r="H591" s="242"/>
      <c r="I591" s="242"/>
      <c r="J591" s="242"/>
      <c r="K591" s="242"/>
      <c r="L591" s="242"/>
      <c r="M591" s="242"/>
      <c r="N591" s="242"/>
      <c r="O591" s="242"/>
      <c r="P591" s="13"/>
      <c r="Q591" s="13"/>
      <c r="R591" s="13"/>
      <c r="S591" s="13"/>
      <c r="T591" s="13"/>
      <c r="U591" s="13"/>
      <c r="V591" s="13"/>
      <c r="W591" s="13"/>
      <c r="X591" s="13"/>
      <c r="Y591" s="13"/>
      <c r="Z591" s="13"/>
      <c r="AA591" s="13"/>
      <c r="AB591" s="13"/>
      <c r="AC591" s="13"/>
      <c r="AD591" s="13"/>
      <c r="AE591" s="13"/>
      <c r="AF591" s="242"/>
      <c r="AG591" s="242"/>
      <c r="AH591" s="242"/>
      <c r="AI591" s="242"/>
      <c r="AJ591" s="242"/>
      <c r="AK591" s="242"/>
      <c r="AL591" s="242"/>
      <c r="AM591" s="242"/>
      <c r="AN591" s="242"/>
      <c r="AO591" s="242"/>
      <c r="AP591" s="242"/>
    </row>
    <row r="592">
      <c r="A592" s="242"/>
      <c r="B592" s="242"/>
      <c r="C592" s="242"/>
      <c r="D592" s="242"/>
      <c r="E592" s="242"/>
      <c r="F592" s="242"/>
      <c r="G592" s="242"/>
      <c r="H592" s="242"/>
      <c r="I592" s="242"/>
      <c r="J592" s="242"/>
      <c r="K592" s="242"/>
      <c r="L592" s="242"/>
      <c r="M592" s="242"/>
      <c r="N592" s="242"/>
      <c r="O592" s="242"/>
      <c r="P592" s="13"/>
      <c r="Q592" s="13"/>
      <c r="R592" s="13"/>
      <c r="S592" s="13"/>
      <c r="T592" s="13"/>
      <c r="U592" s="13"/>
      <c r="V592" s="13"/>
      <c r="W592" s="13"/>
      <c r="X592" s="13"/>
      <c r="Y592" s="13"/>
      <c r="Z592" s="13"/>
      <c r="AA592" s="13"/>
      <c r="AB592" s="13"/>
      <c r="AC592" s="13"/>
      <c r="AD592" s="13"/>
      <c r="AE592" s="13"/>
      <c r="AF592" s="242"/>
      <c r="AG592" s="242"/>
      <c r="AH592" s="242"/>
      <c r="AI592" s="242"/>
      <c r="AJ592" s="242"/>
      <c r="AK592" s="242"/>
      <c r="AL592" s="242"/>
      <c r="AM592" s="242"/>
      <c r="AN592" s="242"/>
      <c r="AO592" s="242"/>
      <c r="AP592" s="242"/>
    </row>
    <row r="593">
      <c r="A593" s="242"/>
      <c r="B593" s="242"/>
      <c r="C593" s="242"/>
      <c r="D593" s="242"/>
      <c r="E593" s="242"/>
      <c r="F593" s="242"/>
      <c r="G593" s="242"/>
      <c r="H593" s="242"/>
      <c r="I593" s="242"/>
      <c r="J593" s="242"/>
      <c r="K593" s="242"/>
      <c r="L593" s="242"/>
      <c r="M593" s="242"/>
      <c r="N593" s="242"/>
      <c r="O593" s="242"/>
      <c r="P593" s="13"/>
      <c r="Q593" s="13"/>
      <c r="R593" s="13"/>
      <c r="S593" s="13"/>
      <c r="T593" s="13"/>
      <c r="U593" s="13"/>
      <c r="V593" s="13"/>
      <c r="W593" s="13"/>
      <c r="X593" s="13"/>
      <c r="Y593" s="13"/>
      <c r="Z593" s="13"/>
      <c r="AA593" s="13"/>
      <c r="AB593" s="13"/>
      <c r="AC593" s="13"/>
      <c r="AD593" s="13"/>
      <c r="AE593" s="13"/>
      <c r="AF593" s="242"/>
      <c r="AG593" s="242"/>
      <c r="AH593" s="242"/>
      <c r="AI593" s="242"/>
      <c r="AJ593" s="242"/>
      <c r="AK593" s="242"/>
      <c r="AL593" s="242"/>
      <c r="AM593" s="242"/>
      <c r="AN593" s="242"/>
      <c r="AO593" s="242"/>
      <c r="AP593" s="242"/>
    </row>
    <row r="594">
      <c r="A594" s="242"/>
      <c r="B594" s="242"/>
      <c r="C594" s="242"/>
      <c r="D594" s="242"/>
      <c r="E594" s="242"/>
      <c r="F594" s="242"/>
      <c r="G594" s="242"/>
      <c r="H594" s="242"/>
      <c r="I594" s="242"/>
      <c r="J594" s="242"/>
      <c r="K594" s="242"/>
      <c r="L594" s="242"/>
      <c r="M594" s="242"/>
      <c r="N594" s="242"/>
      <c r="O594" s="242"/>
      <c r="P594" s="13"/>
      <c r="Q594" s="13"/>
      <c r="R594" s="13"/>
      <c r="S594" s="13"/>
      <c r="T594" s="13"/>
      <c r="U594" s="13"/>
      <c r="V594" s="13"/>
      <c r="W594" s="13"/>
      <c r="X594" s="13"/>
      <c r="Y594" s="13"/>
      <c r="Z594" s="13"/>
      <c r="AA594" s="13"/>
      <c r="AB594" s="13"/>
      <c r="AC594" s="13"/>
      <c r="AD594" s="13"/>
      <c r="AE594" s="13"/>
      <c r="AF594" s="242"/>
      <c r="AG594" s="242"/>
      <c r="AH594" s="242"/>
      <c r="AI594" s="242"/>
      <c r="AJ594" s="242"/>
      <c r="AK594" s="242"/>
      <c r="AL594" s="242"/>
      <c r="AM594" s="242"/>
      <c r="AN594" s="242"/>
      <c r="AO594" s="242"/>
      <c r="AP594" s="242"/>
    </row>
    <row r="595">
      <c r="A595" s="242"/>
      <c r="B595" s="242"/>
      <c r="C595" s="242"/>
      <c r="D595" s="242"/>
      <c r="E595" s="242"/>
      <c r="F595" s="242"/>
      <c r="G595" s="242"/>
      <c r="H595" s="242"/>
      <c r="I595" s="242"/>
      <c r="J595" s="242"/>
      <c r="K595" s="242"/>
      <c r="L595" s="242"/>
      <c r="M595" s="242"/>
      <c r="N595" s="242"/>
      <c r="O595" s="242"/>
      <c r="P595" s="13"/>
      <c r="Q595" s="13"/>
      <c r="R595" s="13"/>
      <c r="S595" s="13"/>
      <c r="T595" s="13"/>
      <c r="U595" s="13"/>
      <c r="V595" s="13"/>
      <c r="W595" s="13"/>
      <c r="X595" s="13"/>
      <c r="Y595" s="13"/>
      <c r="Z595" s="13"/>
      <c r="AA595" s="13"/>
      <c r="AB595" s="13"/>
      <c r="AC595" s="13"/>
      <c r="AD595" s="13"/>
      <c r="AE595" s="13"/>
      <c r="AF595" s="242"/>
      <c r="AG595" s="242"/>
      <c r="AH595" s="242"/>
      <c r="AI595" s="242"/>
      <c r="AJ595" s="242"/>
      <c r="AK595" s="242"/>
      <c r="AL595" s="242"/>
      <c r="AM595" s="242"/>
      <c r="AN595" s="242"/>
      <c r="AO595" s="242"/>
      <c r="AP595" s="242"/>
    </row>
    <row r="596">
      <c r="A596" s="242"/>
      <c r="B596" s="242"/>
      <c r="C596" s="242"/>
      <c r="D596" s="242"/>
      <c r="E596" s="242"/>
      <c r="F596" s="242"/>
      <c r="G596" s="242"/>
      <c r="H596" s="242"/>
      <c r="I596" s="242"/>
      <c r="J596" s="242"/>
      <c r="K596" s="242"/>
      <c r="L596" s="242"/>
      <c r="M596" s="242"/>
      <c r="N596" s="242"/>
      <c r="O596" s="242"/>
      <c r="P596" s="13"/>
      <c r="Q596" s="13"/>
      <c r="R596" s="13"/>
      <c r="S596" s="13"/>
      <c r="T596" s="13"/>
      <c r="U596" s="13"/>
      <c r="V596" s="13"/>
      <c r="W596" s="13"/>
      <c r="X596" s="13"/>
      <c r="Y596" s="13"/>
      <c r="Z596" s="13"/>
      <c r="AA596" s="13"/>
      <c r="AB596" s="13"/>
      <c r="AC596" s="13"/>
      <c r="AD596" s="13"/>
      <c r="AE596" s="13"/>
      <c r="AF596" s="242"/>
      <c r="AG596" s="242"/>
      <c r="AH596" s="242"/>
      <c r="AI596" s="242"/>
      <c r="AJ596" s="242"/>
      <c r="AK596" s="242"/>
      <c r="AL596" s="242"/>
      <c r="AM596" s="242"/>
      <c r="AN596" s="242"/>
      <c r="AO596" s="242"/>
      <c r="AP596" s="242"/>
    </row>
    <row r="597">
      <c r="A597" s="242"/>
      <c r="B597" s="242"/>
      <c r="C597" s="242"/>
      <c r="D597" s="242"/>
      <c r="E597" s="242"/>
      <c r="F597" s="242"/>
      <c r="G597" s="242"/>
      <c r="H597" s="242"/>
      <c r="I597" s="242"/>
      <c r="J597" s="242"/>
      <c r="K597" s="242"/>
      <c r="L597" s="242"/>
      <c r="M597" s="242"/>
      <c r="N597" s="242"/>
      <c r="O597" s="242"/>
      <c r="P597" s="13"/>
      <c r="Q597" s="13"/>
      <c r="R597" s="13"/>
      <c r="S597" s="13"/>
      <c r="T597" s="13"/>
      <c r="U597" s="13"/>
      <c r="V597" s="13"/>
      <c r="W597" s="13"/>
      <c r="X597" s="13"/>
      <c r="Y597" s="13"/>
      <c r="Z597" s="13"/>
      <c r="AA597" s="13"/>
      <c r="AB597" s="13"/>
      <c r="AC597" s="13"/>
      <c r="AD597" s="13"/>
      <c r="AE597" s="13"/>
      <c r="AF597" s="242"/>
      <c r="AG597" s="242"/>
      <c r="AH597" s="242"/>
      <c r="AI597" s="242"/>
      <c r="AJ597" s="242"/>
      <c r="AK597" s="242"/>
      <c r="AL597" s="242"/>
      <c r="AM597" s="242"/>
      <c r="AN597" s="242"/>
      <c r="AO597" s="242"/>
      <c r="AP597" s="242"/>
    </row>
    <row r="598">
      <c r="A598" s="242"/>
      <c r="B598" s="242"/>
      <c r="C598" s="242"/>
      <c r="D598" s="242"/>
      <c r="E598" s="242"/>
      <c r="F598" s="242"/>
      <c r="G598" s="242"/>
      <c r="H598" s="242"/>
      <c r="I598" s="242"/>
      <c r="J598" s="242"/>
      <c r="K598" s="242"/>
      <c r="L598" s="242"/>
      <c r="M598" s="242"/>
      <c r="N598" s="242"/>
      <c r="O598" s="242"/>
      <c r="P598" s="13"/>
      <c r="Q598" s="13"/>
      <c r="R598" s="13"/>
      <c r="S598" s="13"/>
      <c r="T598" s="13"/>
      <c r="U598" s="13"/>
      <c r="V598" s="13"/>
      <c r="W598" s="13"/>
      <c r="X598" s="13"/>
      <c r="Y598" s="13"/>
      <c r="Z598" s="13"/>
      <c r="AA598" s="13"/>
      <c r="AB598" s="13"/>
      <c r="AC598" s="13"/>
      <c r="AD598" s="13"/>
      <c r="AE598" s="13"/>
      <c r="AF598" s="242"/>
      <c r="AG598" s="242"/>
      <c r="AH598" s="242"/>
      <c r="AI598" s="242"/>
      <c r="AJ598" s="242"/>
      <c r="AK598" s="242"/>
      <c r="AL598" s="242"/>
      <c r="AM598" s="242"/>
      <c r="AN598" s="242"/>
      <c r="AO598" s="242"/>
      <c r="AP598" s="242"/>
    </row>
    <row r="599">
      <c r="A599" s="242"/>
      <c r="B599" s="242"/>
      <c r="C599" s="242"/>
      <c r="D599" s="242"/>
      <c r="E599" s="242"/>
      <c r="F599" s="242"/>
      <c r="G599" s="242"/>
      <c r="H599" s="242"/>
      <c r="I599" s="242"/>
      <c r="J599" s="242"/>
      <c r="K599" s="242"/>
      <c r="L599" s="242"/>
      <c r="M599" s="242"/>
      <c r="N599" s="242"/>
      <c r="O599" s="242"/>
      <c r="P599" s="13"/>
      <c r="Q599" s="13"/>
      <c r="R599" s="13"/>
      <c r="S599" s="13"/>
      <c r="T599" s="13"/>
      <c r="U599" s="13"/>
      <c r="V599" s="13"/>
      <c r="W599" s="13"/>
      <c r="X599" s="13"/>
      <c r="Y599" s="13"/>
      <c r="Z599" s="13"/>
      <c r="AA599" s="13"/>
      <c r="AB599" s="13"/>
      <c r="AC599" s="13"/>
      <c r="AD599" s="13"/>
      <c r="AE599" s="13"/>
      <c r="AF599" s="242"/>
      <c r="AG599" s="242"/>
      <c r="AH599" s="242"/>
      <c r="AI599" s="242"/>
      <c r="AJ599" s="242"/>
      <c r="AK599" s="242"/>
      <c r="AL599" s="242"/>
      <c r="AM599" s="242"/>
      <c r="AN599" s="242"/>
      <c r="AO599" s="242"/>
      <c r="AP599" s="242"/>
    </row>
    <row r="600">
      <c r="A600" s="242"/>
      <c r="B600" s="242"/>
      <c r="C600" s="242"/>
      <c r="D600" s="242"/>
      <c r="E600" s="242"/>
      <c r="F600" s="242"/>
      <c r="G600" s="242"/>
      <c r="H600" s="242"/>
      <c r="I600" s="242"/>
      <c r="J600" s="242"/>
      <c r="K600" s="242"/>
      <c r="L600" s="242"/>
      <c r="M600" s="242"/>
      <c r="N600" s="242"/>
      <c r="O600" s="242"/>
      <c r="P600" s="13"/>
      <c r="Q600" s="13"/>
      <c r="R600" s="13"/>
      <c r="S600" s="13"/>
      <c r="T600" s="13"/>
      <c r="U600" s="13"/>
      <c r="V600" s="13"/>
      <c r="W600" s="13"/>
      <c r="X600" s="13"/>
      <c r="Y600" s="13"/>
      <c r="Z600" s="13"/>
      <c r="AA600" s="13"/>
      <c r="AB600" s="13"/>
      <c r="AC600" s="13"/>
      <c r="AD600" s="13"/>
      <c r="AE600" s="13"/>
      <c r="AF600" s="242"/>
      <c r="AG600" s="242"/>
      <c r="AH600" s="242"/>
      <c r="AI600" s="242"/>
      <c r="AJ600" s="242"/>
      <c r="AK600" s="242"/>
      <c r="AL600" s="242"/>
      <c r="AM600" s="242"/>
      <c r="AN600" s="242"/>
      <c r="AO600" s="242"/>
      <c r="AP600" s="242"/>
    </row>
    <row r="601">
      <c r="A601" s="242"/>
      <c r="B601" s="242"/>
      <c r="C601" s="242"/>
      <c r="D601" s="242"/>
      <c r="E601" s="242"/>
      <c r="F601" s="242"/>
      <c r="G601" s="242"/>
      <c r="H601" s="242"/>
      <c r="I601" s="242"/>
      <c r="J601" s="242"/>
      <c r="K601" s="242"/>
      <c r="L601" s="242"/>
      <c r="M601" s="242"/>
      <c r="N601" s="242"/>
      <c r="O601" s="242"/>
      <c r="P601" s="13"/>
      <c r="Q601" s="13"/>
      <c r="R601" s="13"/>
      <c r="S601" s="13"/>
      <c r="T601" s="13"/>
      <c r="U601" s="13"/>
      <c r="V601" s="13"/>
      <c r="W601" s="13"/>
      <c r="X601" s="13"/>
      <c r="Y601" s="13"/>
      <c r="Z601" s="13"/>
      <c r="AA601" s="13"/>
      <c r="AB601" s="13"/>
      <c r="AC601" s="13"/>
      <c r="AD601" s="13"/>
      <c r="AE601" s="13"/>
      <c r="AF601" s="242"/>
      <c r="AG601" s="242"/>
      <c r="AH601" s="242"/>
      <c r="AI601" s="242"/>
      <c r="AJ601" s="242"/>
      <c r="AK601" s="242"/>
      <c r="AL601" s="242"/>
      <c r="AM601" s="242"/>
      <c r="AN601" s="242"/>
      <c r="AO601" s="242"/>
      <c r="AP601" s="242"/>
    </row>
    <row r="602">
      <c r="A602" s="242"/>
      <c r="B602" s="242"/>
      <c r="C602" s="242"/>
      <c r="D602" s="242"/>
      <c r="E602" s="242"/>
      <c r="F602" s="242"/>
      <c r="G602" s="242"/>
      <c r="H602" s="242"/>
      <c r="I602" s="242"/>
      <c r="J602" s="242"/>
      <c r="K602" s="242"/>
      <c r="L602" s="242"/>
      <c r="M602" s="242"/>
      <c r="N602" s="242"/>
      <c r="O602" s="242"/>
      <c r="P602" s="13"/>
      <c r="Q602" s="13"/>
      <c r="R602" s="13"/>
      <c r="S602" s="13"/>
      <c r="T602" s="13"/>
      <c r="U602" s="13"/>
      <c r="V602" s="13"/>
      <c r="W602" s="13"/>
      <c r="X602" s="13"/>
      <c r="Y602" s="13"/>
      <c r="Z602" s="13"/>
      <c r="AA602" s="13"/>
      <c r="AB602" s="13"/>
      <c r="AC602" s="13"/>
      <c r="AD602" s="13"/>
      <c r="AE602" s="13"/>
      <c r="AF602" s="242"/>
      <c r="AG602" s="242"/>
      <c r="AH602" s="242"/>
      <c r="AI602" s="242"/>
      <c r="AJ602" s="242"/>
      <c r="AK602" s="242"/>
      <c r="AL602" s="242"/>
      <c r="AM602" s="242"/>
      <c r="AN602" s="242"/>
      <c r="AO602" s="242"/>
      <c r="AP602" s="242"/>
    </row>
    <row r="603">
      <c r="A603" s="242"/>
      <c r="B603" s="242"/>
      <c r="C603" s="242"/>
      <c r="D603" s="242"/>
      <c r="E603" s="242"/>
      <c r="F603" s="242"/>
      <c r="G603" s="242"/>
      <c r="H603" s="242"/>
      <c r="I603" s="242"/>
      <c r="J603" s="242"/>
      <c r="K603" s="242"/>
      <c r="L603" s="242"/>
      <c r="M603" s="242"/>
      <c r="N603" s="242"/>
      <c r="O603" s="242"/>
      <c r="P603" s="13"/>
      <c r="Q603" s="13"/>
      <c r="R603" s="13"/>
      <c r="S603" s="13"/>
      <c r="T603" s="13"/>
      <c r="U603" s="13"/>
      <c r="V603" s="13"/>
      <c r="W603" s="13"/>
      <c r="X603" s="13"/>
      <c r="Y603" s="13"/>
      <c r="Z603" s="13"/>
      <c r="AA603" s="13"/>
      <c r="AB603" s="13"/>
      <c r="AC603" s="13"/>
      <c r="AD603" s="13"/>
      <c r="AE603" s="13"/>
      <c r="AF603" s="242"/>
      <c r="AG603" s="242"/>
      <c r="AH603" s="242"/>
      <c r="AI603" s="242"/>
      <c r="AJ603" s="242"/>
      <c r="AK603" s="242"/>
      <c r="AL603" s="242"/>
      <c r="AM603" s="242"/>
      <c r="AN603" s="242"/>
      <c r="AO603" s="242"/>
      <c r="AP603" s="242"/>
    </row>
    <row r="604">
      <c r="A604" s="242"/>
      <c r="B604" s="242"/>
      <c r="C604" s="242"/>
      <c r="D604" s="242"/>
      <c r="E604" s="242"/>
      <c r="F604" s="242"/>
      <c r="G604" s="242"/>
      <c r="H604" s="242"/>
      <c r="I604" s="242"/>
      <c r="J604" s="242"/>
      <c r="K604" s="242"/>
      <c r="L604" s="242"/>
      <c r="M604" s="242"/>
      <c r="N604" s="242"/>
      <c r="O604" s="242"/>
      <c r="P604" s="13"/>
      <c r="Q604" s="13"/>
      <c r="R604" s="13"/>
      <c r="S604" s="13"/>
      <c r="T604" s="13"/>
      <c r="U604" s="13"/>
      <c r="V604" s="13"/>
      <c r="W604" s="13"/>
      <c r="X604" s="13"/>
      <c r="Y604" s="13"/>
      <c r="Z604" s="13"/>
      <c r="AA604" s="13"/>
      <c r="AB604" s="13"/>
      <c r="AC604" s="13"/>
      <c r="AD604" s="13"/>
      <c r="AE604" s="13"/>
      <c r="AF604" s="242"/>
      <c r="AG604" s="242"/>
      <c r="AH604" s="242"/>
      <c r="AI604" s="242"/>
      <c r="AJ604" s="242"/>
      <c r="AK604" s="242"/>
      <c r="AL604" s="242"/>
      <c r="AM604" s="242"/>
      <c r="AN604" s="242"/>
      <c r="AO604" s="242"/>
      <c r="AP604" s="242"/>
    </row>
    <row r="605">
      <c r="A605" s="242"/>
      <c r="B605" s="242"/>
      <c r="C605" s="242"/>
      <c r="D605" s="242"/>
      <c r="E605" s="242"/>
      <c r="F605" s="242"/>
      <c r="G605" s="242"/>
      <c r="H605" s="242"/>
      <c r="I605" s="242"/>
      <c r="J605" s="242"/>
      <c r="K605" s="242"/>
      <c r="L605" s="242"/>
      <c r="M605" s="242"/>
      <c r="N605" s="242"/>
      <c r="O605" s="242"/>
      <c r="P605" s="13"/>
      <c r="Q605" s="13"/>
      <c r="R605" s="13"/>
      <c r="S605" s="13"/>
      <c r="T605" s="13"/>
      <c r="U605" s="13"/>
      <c r="V605" s="13"/>
      <c r="W605" s="13"/>
      <c r="X605" s="13"/>
      <c r="Y605" s="13"/>
      <c r="Z605" s="13"/>
      <c r="AA605" s="13"/>
      <c r="AB605" s="13"/>
      <c r="AC605" s="13"/>
      <c r="AD605" s="13"/>
      <c r="AE605" s="13"/>
      <c r="AF605" s="242"/>
      <c r="AG605" s="242"/>
      <c r="AH605" s="242"/>
      <c r="AI605" s="242"/>
      <c r="AJ605" s="242"/>
      <c r="AK605" s="242"/>
      <c r="AL605" s="242"/>
      <c r="AM605" s="242"/>
      <c r="AN605" s="242"/>
      <c r="AO605" s="242"/>
      <c r="AP605" s="242"/>
    </row>
    <row r="606">
      <c r="A606" s="242"/>
      <c r="B606" s="242"/>
      <c r="C606" s="242"/>
      <c r="D606" s="242"/>
      <c r="E606" s="242"/>
      <c r="F606" s="242"/>
      <c r="G606" s="242"/>
      <c r="H606" s="242"/>
      <c r="I606" s="242"/>
      <c r="J606" s="242"/>
      <c r="K606" s="242"/>
      <c r="L606" s="242"/>
      <c r="M606" s="242"/>
      <c r="N606" s="242"/>
      <c r="O606" s="242"/>
      <c r="P606" s="13"/>
      <c r="Q606" s="13"/>
      <c r="R606" s="13"/>
      <c r="S606" s="13"/>
      <c r="T606" s="13"/>
      <c r="U606" s="13"/>
      <c r="V606" s="13"/>
      <c r="W606" s="13"/>
      <c r="X606" s="13"/>
      <c r="Y606" s="13"/>
      <c r="Z606" s="13"/>
      <c r="AA606" s="13"/>
      <c r="AB606" s="13"/>
      <c r="AC606" s="13"/>
      <c r="AD606" s="13"/>
      <c r="AE606" s="13"/>
      <c r="AF606" s="242"/>
      <c r="AG606" s="242"/>
      <c r="AH606" s="242"/>
      <c r="AI606" s="242"/>
      <c r="AJ606" s="242"/>
      <c r="AK606" s="242"/>
      <c r="AL606" s="242"/>
      <c r="AM606" s="242"/>
      <c r="AN606" s="242"/>
      <c r="AO606" s="242"/>
      <c r="AP606" s="242"/>
    </row>
    <row r="607">
      <c r="A607" s="242"/>
      <c r="B607" s="242"/>
      <c r="C607" s="242"/>
      <c r="D607" s="242"/>
      <c r="E607" s="242"/>
      <c r="F607" s="242"/>
      <c r="G607" s="242"/>
      <c r="H607" s="242"/>
      <c r="I607" s="242"/>
      <c r="J607" s="242"/>
      <c r="K607" s="242"/>
      <c r="L607" s="242"/>
      <c r="M607" s="242"/>
      <c r="N607" s="242"/>
      <c r="O607" s="242"/>
      <c r="P607" s="13"/>
      <c r="Q607" s="13"/>
      <c r="R607" s="13"/>
      <c r="S607" s="13"/>
      <c r="T607" s="13"/>
      <c r="U607" s="13"/>
      <c r="V607" s="13"/>
      <c r="W607" s="13"/>
      <c r="X607" s="13"/>
      <c r="Y607" s="13"/>
      <c r="Z607" s="13"/>
      <c r="AA607" s="13"/>
      <c r="AB607" s="13"/>
      <c r="AC607" s="13"/>
      <c r="AD607" s="13"/>
      <c r="AE607" s="13"/>
      <c r="AF607" s="242"/>
      <c r="AG607" s="242"/>
      <c r="AH607" s="242"/>
      <c r="AI607" s="242"/>
      <c r="AJ607" s="242"/>
      <c r="AK607" s="242"/>
      <c r="AL607" s="242"/>
      <c r="AM607" s="242"/>
      <c r="AN607" s="242"/>
      <c r="AO607" s="242"/>
      <c r="AP607" s="242"/>
    </row>
    <row r="608">
      <c r="A608" s="242"/>
      <c r="B608" s="242"/>
      <c r="C608" s="242"/>
      <c r="D608" s="242"/>
      <c r="E608" s="242"/>
      <c r="F608" s="242"/>
      <c r="G608" s="242"/>
      <c r="H608" s="242"/>
      <c r="I608" s="242"/>
      <c r="J608" s="242"/>
      <c r="K608" s="242"/>
      <c r="L608" s="242"/>
      <c r="M608" s="242"/>
      <c r="N608" s="242"/>
      <c r="O608" s="242"/>
      <c r="P608" s="13"/>
      <c r="Q608" s="13"/>
      <c r="R608" s="13"/>
      <c r="S608" s="13"/>
      <c r="T608" s="13"/>
      <c r="U608" s="13"/>
      <c r="V608" s="13"/>
      <c r="W608" s="13"/>
      <c r="X608" s="13"/>
      <c r="Y608" s="13"/>
      <c r="Z608" s="13"/>
      <c r="AA608" s="13"/>
      <c r="AB608" s="13"/>
      <c r="AC608" s="13"/>
      <c r="AD608" s="13"/>
      <c r="AE608" s="13"/>
      <c r="AF608" s="242"/>
      <c r="AG608" s="242"/>
      <c r="AH608" s="242"/>
      <c r="AI608" s="242"/>
      <c r="AJ608" s="242"/>
      <c r="AK608" s="242"/>
      <c r="AL608" s="242"/>
      <c r="AM608" s="242"/>
      <c r="AN608" s="242"/>
      <c r="AO608" s="242"/>
      <c r="AP608" s="242"/>
    </row>
    <row r="609">
      <c r="A609" s="242"/>
      <c r="B609" s="242"/>
      <c r="C609" s="242"/>
      <c r="D609" s="242"/>
      <c r="E609" s="242"/>
      <c r="F609" s="242"/>
      <c r="G609" s="242"/>
      <c r="H609" s="242"/>
      <c r="I609" s="242"/>
      <c r="J609" s="242"/>
      <c r="K609" s="242"/>
      <c r="L609" s="242"/>
      <c r="M609" s="242"/>
      <c r="N609" s="242"/>
      <c r="O609" s="242"/>
      <c r="P609" s="13"/>
      <c r="Q609" s="13"/>
      <c r="R609" s="13"/>
      <c r="S609" s="13"/>
      <c r="T609" s="13"/>
      <c r="U609" s="13"/>
      <c r="V609" s="13"/>
      <c r="W609" s="13"/>
      <c r="X609" s="13"/>
      <c r="Y609" s="13"/>
      <c r="Z609" s="13"/>
      <c r="AA609" s="13"/>
      <c r="AB609" s="13"/>
      <c r="AC609" s="13"/>
      <c r="AD609" s="13"/>
      <c r="AE609" s="13"/>
      <c r="AF609" s="242"/>
      <c r="AG609" s="242"/>
      <c r="AH609" s="242"/>
      <c r="AI609" s="242"/>
      <c r="AJ609" s="242"/>
      <c r="AK609" s="242"/>
      <c r="AL609" s="242"/>
      <c r="AM609" s="242"/>
      <c r="AN609" s="242"/>
      <c r="AO609" s="242"/>
      <c r="AP609" s="242"/>
    </row>
    <row r="610">
      <c r="A610" s="242"/>
      <c r="B610" s="242"/>
      <c r="C610" s="242"/>
      <c r="D610" s="242"/>
      <c r="E610" s="242"/>
      <c r="F610" s="242"/>
      <c r="G610" s="242"/>
      <c r="H610" s="242"/>
      <c r="I610" s="242"/>
      <c r="J610" s="242"/>
      <c r="K610" s="242"/>
      <c r="L610" s="242"/>
      <c r="M610" s="242"/>
      <c r="N610" s="242"/>
      <c r="O610" s="242"/>
      <c r="P610" s="13"/>
      <c r="Q610" s="13"/>
      <c r="R610" s="13"/>
      <c r="S610" s="13"/>
      <c r="T610" s="13"/>
      <c r="U610" s="13"/>
      <c r="V610" s="13"/>
      <c r="W610" s="13"/>
      <c r="X610" s="13"/>
      <c r="Y610" s="13"/>
      <c r="Z610" s="13"/>
      <c r="AA610" s="13"/>
      <c r="AB610" s="13"/>
      <c r="AC610" s="13"/>
      <c r="AD610" s="13"/>
      <c r="AE610" s="13"/>
      <c r="AF610" s="242"/>
      <c r="AG610" s="242"/>
      <c r="AH610" s="242"/>
      <c r="AI610" s="242"/>
      <c r="AJ610" s="242"/>
      <c r="AK610" s="242"/>
      <c r="AL610" s="242"/>
      <c r="AM610" s="242"/>
      <c r="AN610" s="242"/>
      <c r="AO610" s="242"/>
      <c r="AP610" s="242"/>
    </row>
    <row r="611">
      <c r="A611" s="242"/>
      <c r="B611" s="242"/>
      <c r="C611" s="242"/>
      <c r="D611" s="242"/>
      <c r="E611" s="242"/>
      <c r="F611" s="242"/>
      <c r="G611" s="242"/>
      <c r="H611" s="242"/>
      <c r="I611" s="242"/>
      <c r="J611" s="242"/>
      <c r="K611" s="242"/>
      <c r="L611" s="242"/>
      <c r="M611" s="242"/>
      <c r="N611" s="242"/>
      <c r="O611" s="242"/>
      <c r="P611" s="13"/>
      <c r="Q611" s="13"/>
      <c r="R611" s="13"/>
      <c r="S611" s="13"/>
      <c r="T611" s="13"/>
      <c r="U611" s="13"/>
      <c r="V611" s="13"/>
      <c r="W611" s="13"/>
      <c r="X611" s="13"/>
      <c r="Y611" s="13"/>
      <c r="Z611" s="13"/>
      <c r="AA611" s="13"/>
      <c r="AB611" s="13"/>
      <c r="AC611" s="13"/>
      <c r="AD611" s="13"/>
      <c r="AE611" s="13"/>
      <c r="AF611" s="242"/>
      <c r="AG611" s="242"/>
      <c r="AH611" s="242"/>
      <c r="AI611" s="242"/>
      <c r="AJ611" s="242"/>
      <c r="AK611" s="242"/>
      <c r="AL611" s="242"/>
      <c r="AM611" s="242"/>
      <c r="AN611" s="242"/>
      <c r="AO611" s="242"/>
      <c r="AP611" s="242"/>
    </row>
    <row r="612">
      <c r="A612" s="242"/>
      <c r="B612" s="242"/>
      <c r="C612" s="242"/>
      <c r="D612" s="242"/>
      <c r="E612" s="242"/>
      <c r="F612" s="242"/>
      <c r="G612" s="242"/>
      <c r="H612" s="242"/>
      <c r="I612" s="242"/>
      <c r="J612" s="242"/>
      <c r="K612" s="242"/>
      <c r="L612" s="242"/>
      <c r="M612" s="242"/>
      <c r="N612" s="242"/>
      <c r="O612" s="242"/>
      <c r="P612" s="13"/>
      <c r="Q612" s="13"/>
      <c r="R612" s="13"/>
      <c r="S612" s="13"/>
      <c r="T612" s="13"/>
      <c r="U612" s="13"/>
      <c r="V612" s="13"/>
      <c r="W612" s="13"/>
      <c r="X612" s="13"/>
      <c r="Y612" s="13"/>
      <c r="Z612" s="13"/>
      <c r="AA612" s="13"/>
      <c r="AB612" s="13"/>
      <c r="AC612" s="13"/>
      <c r="AD612" s="13"/>
      <c r="AE612" s="13"/>
      <c r="AF612" s="242"/>
      <c r="AG612" s="242"/>
      <c r="AH612" s="242"/>
      <c r="AI612" s="242"/>
      <c r="AJ612" s="242"/>
      <c r="AK612" s="242"/>
      <c r="AL612" s="242"/>
      <c r="AM612" s="242"/>
      <c r="AN612" s="242"/>
      <c r="AO612" s="242"/>
      <c r="AP612" s="242"/>
    </row>
    <row r="613">
      <c r="A613" s="242"/>
      <c r="B613" s="242"/>
      <c r="C613" s="242"/>
      <c r="D613" s="242"/>
      <c r="E613" s="242"/>
      <c r="F613" s="242"/>
      <c r="G613" s="242"/>
      <c r="H613" s="242"/>
      <c r="I613" s="242"/>
      <c r="J613" s="242"/>
      <c r="K613" s="242"/>
      <c r="L613" s="242"/>
      <c r="M613" s="242"/>
      <c r="N613" s="242"/>
      <c r="O613" s="242"/>
      <c r="P613" s="13"/>
      <c r="Q613" s="13"/>
      <c r="R613" s="13"/>
      <c r="S613" s="13"/>
      <c r="T613" s="13"/>
      <c r="U613" s="13"/>
      <c r="V613" s="13"/>
      <c r="W613" s="13"/>
      <c r="X613" s="13"/>
      <c r="Y613" s="13"/>
      <c r="Z613" s="13"/>
      <c r="AA613" s="13"/>
      <c r="AB613" s="13"/>
      <c r="AC613" s="13"/>
      <c r="AD613" s="13"/>
      <c r="AE613" s="13"/>
      <c r="AF613" s="242"/>
      <c r="AG613" s="242"/>
      <c r="AH613" s="242"/>
      <c r="AI613" s="242"/>
      <c r="AJ613" s="242"/>
      <c r="AK613" s="242"/>
      <c r="AL613" s="242"/>
      <c r="AM613" s="242"/>
      <c r="AN613" s="242"/>
      <c r="AO613" s="242"/>
      <c r="AP613" s="242"/>
    </row>
    <row r="614">
      <c r="A614" s="242"/>
      <c r="B614" s="242"/>
      <c r="C614" s="242"/>
      <c r="D614" s="242"/>
      <c r="E614" s="242"/>
      <c r="F614" s="242"/>
      <c r="G614" s="242"/>
      <c r="H614" s="242"/>
      <c r="I614" s="242"/>
      <c r="J614" s="242"/>
      <c r="K614" s="242"/>
      <c r="L614" s="242"/>
      <c r="M614" s="242"/>
      <c r="N614" s="242"/>
      <c r="O614" s="242"/>
      <c r="P614" s="13"/>
      <c r="Q614" s="13"/>
      <c r="R614" s="13"/>
      <c r="S614" s="13"/>
      <c r="T614" s="13"/>
      <c r="U614" s="13"/>
      <c r="V614" s="13"/>
      <c r="W614" s="13"/>
      <c r="X614" s="13"/>
      <c r="Y614" s="13"/>
      <c r="Z614" s="13"/>
      <c r="AA614" s="13"/>
      <c r="AB614" s="13"/>
      <c r="AC614" s="13"/>
      <c r="AD614" s="13"/>
      <c r="AE614" s="13"/>
      <c r="AF614" s="242"/>
      <c r="AG614" s="242"/>
      <c r="AH614" s="242"/>
      <c r="AI614" s="242"/>
      <c r="AJ614" s="242"/>
      <c r="AK614" s="242"/>
      <c r="AL614" s="242"/>
      <c r="AM614" s="242"/>
      <c r="AN614" s="242"/>
      <c r="AO614" s="242"/>
      <c r="AP614" s="242"/>
    </row>
    <row r="615">
      <c r="A615" s="242"/>
      <c r="B615" s="242"/>
      <c r="C615" s="242"/>
      <c r="D615" s="242"/>
      <c r="E615" s="242"/>
      <c r="F615" s="242"/>
      <c r="G615" s="242"/>
      <c r="H615" s="242"/>
      <c r="I615" s="242"/>
      <c r="J615" s="242"/>
      <c r="K615" s="242"/>
      <c r="L615" s="242"/>
      <c r="M615" s="242"/>
      <c r="N615" s="242"/>
      <c r="O615" s="242"/>
      <c r="P615" s="13"/>
      <c r="Q615" s="13"/>
      <c r="R615" s="13"/>
      <c r="S615" s="13"/>
      <c r="T615" s="13"/>
      <c r="U615" s="13"/>
      <c r="V615" s="13"/>
      <c r="W615" s="13"/>
      <c r="X615" s="13"/>
      <c r="Y615" s="13"/>
      <c r="Z615" s="13"/>
      <c r="AA615" s="13"/>
      <c r="AB615" s="13"/>
      <c r="AC615" s="13"/>
      <c r="AD615" s="13"/>
      <c r="AE615" s="13"/>
      <c r="AF615" s="242"/>
      <c r="AG615" s="242"/>
      <c r="AH615" s="242"/>
      <c r="AI615" s="242"/>
      <c r="AJ615" s="242"/>
      <c r="AK615" s="242"/>
      <c r="AL615" s="242"/>
      <c r="AM615" s="242"/>
      <c r="AN615" s="242"/>
      <c r="AO615" s="242"/>
      <c r="AP615" s="242"/>
    </row>
    <row r="616">
      <c r="A616" s="242"/>
      <c r="B616" s="242"/>
      <c r="C616" s="242"/>
      <c r="D616" s="242"/>
      <c r="E616" s="242"/>
      <c r="F616" s="242"/>
      <c r="G616" s="242"/>
      <c r="H616" s="242"/>
      <c r="I616" s="242"/>
      <c r="J616" s="242"/>
      <c r="K616" s="242"/>
      <c r="L616" s="242"/>
      <c r="M616" s="242"/>
      <c r="N616" s="242"/>
      <c r="O616" s="242"/>
      <c r="P616" s="13"/>
      <c r="Q616" s="13"/>
      <c r="R616" s="13"/>
      <c r="S616" s="13"/>
      <c r="T616" s="13"/>
      <c r="U616" s="13"/>
      <c r="V616" s="13"/>
      <c r="W616" s="13"/>
      <c r="X616" s="13"/>
      <c r="Y616" s="13"/>
      <c r="Z616" s="13"/>
      <c r="AA616" s="13"/>
      <c r="AB616" s="13"/>
      <c r="AC616" s="13"/>
      <c r="AD616" s="13"/>
      <c r="AE616" s="13"/>
      <c r="AF616" s="242"/>
      <c r="AG616" s="242"/>
      <c r="AH616" s="242"/>
      <c r="AI616" s="242"/>
      <c r="AJ616" s="242"/>
      <c r="AK616" s="242"/>
      <c r="AL616" s="242"/>
      <c r="AM616" s="242"/>
      <c r="AN616" s="242"/>
      <c r="AO616" s="242"/>
      <c r="AP616" s="242"/>
    </row>
    <row r="617">
      <c r="A617" s="242"/>
      <c r="B617" s="242"/>
      <c r="C617" s="242"/>
      <c r="D617" s="242"/>
      <c r="E617" s="242"/>
      <c r="F617" s="242"/>
      <c r="G617" s="242"/>
      <c r="H617" s="242"/>
      <c r="I617" s="242"/>
      <c r="J617" s="242"/>
      <c r="K617" s="242"/>
      <c r="L617" s="242"/>
      <c r="M617" s="242"/>
      <c r="N617" s="242"/>
      <c r="O617" s="242"/>
      <c r="P617" s="13"/>
      <c r="Q617" s="13"/>
      <c r="R617" s="13"/>
      <c r="S617" s="13"/>
      <c r="T617" s="13"/>
      <c r="U617" s="13"/>
      <c r="V617" s="13"/>
      <c r="W617" s="13"/>
      <c r="X617" s="13"/>
      <c r="Y617" s="13"/>
      <c r="Z617" s="13"/>
      <c r="AA617" s="13"/>
      <c r="AB617" s="13"/>
      <c r="AC617" s="13"/>
      <c r="AD617" s="13"/>
      <c r="AE617" s="13"/>
      <c r="AF617" s="242"/>
      <c r="AG617" s="242"/>
      <c r="AH617" s="242"/>
      <c r="AI617" s="242"/>
      <c r="AJ617" s="242"/>
      <c r="AK617" s="242"/>
      <c r="AL617" s="242"/>
      <c r="AM617" s="242"/>
      <c r="AN617" s="242"/>
      <c r="AO617" s="242"/>
      <c r="AP617" s="242"/>
    </row>
    <row r="618">
      <c r="A618" s="242"/>
      <c r="B618" s="242"/>
      <c r="C618" s="242"/>
      <c r="D618" s="242"/>
      <c r="E618" s="242"/>
      <c r="F618" s="242"/>
      <c r="G618" s="242"/>
      <c r="H618" s="242"/>
      <c r="I618" s="242"/>
      <c r="J618" s="242"/>
      <c r="K618" s="242"/>
      <c r="L618" s="242"/>
      <c r="M618" s="242"/>
      <c r="N618" s="242"/>
      <c r="O618" s="242"/>
      <c r="P618" s="13"/>
      <c r="Q618" s="13"/>
      <c r="R618" s="13"/>
      <c r="S618" s="13"/>
      <c r="T618" s="13"/>
      <c r="U618" s="13"/>
      <c r="V618" s="13"/>
      <c r="W618" s="13"/>
      <c r="X618" s="13"/>
      <c r="Y618" s="13"/>
      <c r="Z618" s="13"/>
      <c r="AA618" s="13"/>
      <c r="AB618" s="13"/>
      <c r="AC618" s="13"/>
      <c r="AD618" s="13"/>
      <c r="AE618" s="13"/>
      <c r="AF618" s="242"/>
      <c r="AG618" s="242"/>
      <c r="AH618" s="242"/>
      <c r="AI618" s="242"/>
      <c r="AJ618" s="242"/>
      <c r="AK618" s="242"/>
      <c r="AL618" s="242"/>
      <c r="AM618" s="242"/>
      <c r="AN618" s="242"/>
      <c r="AO618" s="242"/>
      <c r="AP618" s="242"/>
    </row>
    <row r="619">
      <c r="A619" s="242"/>
      <c r="B619" s="242"/>
      <c r="C619" s="242"/>
      <c r="D619" s="242"/>
      <c r="E619" s="242"/>
      <c r="F619" s="242"/>
      <c r="G619" s="242"/>
      <c r="H619" s="242"/>
      <c r="I619" s="242"/>
      <c r="J619" s="242"/>
      <c r="K619" s="242"/>
      <c r="L619" s="242"/>
      <c r="M619" s="242"/>
      <c r="N619" s="242"/>
      <c r="O619" s="242"/>
      <c r="P619" s="13"/>
      <c r="Q619" s="13"/>
      <c r="R619" s="13"/>
      <c r="S619" s="13"/>
      <c r="T619" s="13"/>
      <c r="U619" s="13"/>
      <c r="V619" s="13"/>
      <c r="W619" s="13"/>
      <c r="X619" s="13"/>
      <c r="Y619" s="13"/>
      <c r="Z619" s="13"/>
      <c r="AA619" s="13"/>
      <c r="AB619" s="13"/>
      <c r="AC619" s="13"/>
      <c r="AD619" s="13"/>
      <c r="AE619" s="13"/>
      <c r="AF619" s="242"/>
      <c r="AG619" s="242"/>
      <c r="AH619" s="242"/>
      <c r="AI619" s="242"/>
      <c r="AJ619" s="242"/>
      <c r="AK619" s="242"/>
      <c r="AL619" s="242"/>
      <c r="AM619" s="242"/>
      <c r="AN619" s="242"/>
      <c r="AO619" s="242"/>
      <c r="AP619" s="242"/>
    </row>
    <row r="620">
      <c r="A620" s="242"/>
      <c r="B620" s="242"/>
      <c r="C620" s="242"/>
      <c r="D620" s="242"/>
      <c r="E620" s="242"/>
      <c r="F620" s="242"/>
      <c r="G620" s="242"/>
      <c r="H620" s="242"/>
      <c r="I620" s="242"/>
      <c r="J620" s="242"/>
      <c r="K620" s="242"/>
      <c r="L620" s="242"/>
      <c r="M620" s="242"/>
      <c r="N620" s="242"/>
      <c r="O620" s="242"/>
      <c r="P620" s="13"/>
      <c r="Q620" s="13"/>
      <c r="R620" s="13"/>
      <c r="S620" s="13"/>
      <c r="T620" s="13"/>
      <c r="U620" s="13"/>
      <c r="V620" s="13"/>
      <c r="W620" s="13"/>
      <c r="X620" s="13"/>
      <c r="Y620" s="13"/>
      <c r="Z620" s="13"/>
      <c r="AA620" s="13"/>
      <c r="AB620" s="13"/>
      <c r="AC620" s="13"/>
      <c r="AD620" s="13"/>
      <c r="AE620" s="13"/>
      <c r="AF620" s="242"/>
      <c r="AG620" s="242"/>
      <c r="AH620" s="242"/>
      <c r="AI620" s="242"/>
      <c r="AJ620" s="242"/>
      <c r="AK620" s="242"/>
      <c r="AL620" s="242"/>
      <c r="AM620" s="242"/>
      <c r="AN620" s="242"/>
      <c r="AO620" s="242"/>
      <c r="AP620" s="242"/>
    </row>
    <row r="621">
      <c r="A621" s="242"/>
      <c r="B621" s="242"/>
      <c r="C621" s="242"/>
      <c r="D621" s="242"/>
      <c r="E621" s="242"/>
      <c r="F621" s="242"/>
      <c r="G621" s="242"/>
      <c r="H621" s="242"/>
      <c r="I621" s="242"/>
      <c r="J621" s="242"/>
      <c r="K621" s="242"/>
      <c r="L621" s="242"/>
      <c r="M621" s="242"/>
      <c r="N621" s="242"/>
      <c r="O621" s="242"/>
      <c r="P621" s="13"/>
      <c r="Q621" s="13"/>
      <c r="R621" s="13"/>
      <c r="S621" s="13"/>
      <c r="T621" s="13"/>
      <c r="U621" s="13"/>
      <c r="V621" s="13"/>
      <c r="W621" s="13"/>
      <c r="X621" s="13"/>
      <c r="Y621" s="13"/>
      <c r="Z621" s="13"/>
      <c r="AA621" s="13"/>
      <c r="AB621" s="13"/>
      <c r="AC621" s="13"/>
      <c r="AD621" s="13"/>
      <c r="AE621" s="13"/>
      <c r="AF621" s="242"/>
      <c r="AG621" s="242"/>
      <c r="AH621" s="242"/>
      <c r="AI621" s="242"/>
      <c r="AJ621" s="242"/>
      <c r="AK621" s="242"/>
      <c r="AL621" s="242"/>
      <c r="AM621" s="242"/>
      <c r="AN621" s="242"/>
      <c r="AO621" s="242"/>
      <c r="AP621" s="242"/>
    </row>
    <row r="622">
      <c r="A622" s="242"/>
      <c r="B622" s="242"/>
      <c r="C622" s="242"/>
      <c r="D622" s="242"/>
      <c r="E622" s="242"/>
      <c r="F622" s="242"/>
      <c r="G622" s="242"/>
      <c r="H622" s="242"/>
      <c r="I622" s="242"/>
      <c r="J622" s="242"/>
      <c r="K622" s="242"/>
      <c r="L622" s="242"/>
      <c r="M622" s="242"/>
      <c r="N622" s="242"/>
      <c r="O622" s="242"/>
      <c r="P622" s="13"/>
      <c r="Q622" s="13"/>
      <c r="R622" s="13"/>
      <c r="S622" s="13"/>
      <c r="T622" s="13"/>
      <c r="U622" s="13"/>
      <c r="V622" s="13"/>
      <c r="W622" s="13"/>
      <c r="X622" s="13"/>
      <c r="Y622" s="13"/>
      <c r="Z622" s="13"/>
      <c r="AA622" s="13"/>
      <c r="AB622" s="13"/>
      <c r="AC622" s="13"/>
      <c r="AD622" s="13"/>
      <c r="AE622" s="13"/>
      <c r="AF622" s="242"/>
      <c r="AG622" s="242"/>
      <c r="AH622" s="242"/>
      <c r="AI622" s="242"/>
      <c r="AJ622" s="242"/>
      <c r="AK622" s="242"/>
      <c r="AL622" s="242"/>
      <c r="AM622" s="242"/>
      <c r="AN622" s="242"/>
      <c r="AO622" s="242"/>
      <c r="AP622" s="242"/>
    </row>
    <row r="623">
      <c r="A623" s="242"/>
      <c r="B623" s="242"/>
      <c r="C623" s="242"/>
      <c r="D623" s="242"/>
      <c r="E623" s="242"/>
      <c r="F623" s="242"/>
      <c r="G623" s="242"/>
      <c r="H623" s="242"/>
      <c r="I623" s="242"/>
      <c r="J623" s="242"/>
      <c r="K623" s="242"/>
      <c r="L623" s="242"/>
      <c r="M623" s="242"/>
      <c r="N623" s="242"/>
      <c r="O623" s="242"/>
      <c r="P623" s="13"/>
      <c r="Q623" s="13"/>
      <c r="R623" s="13"/>
      <c r="S623" s="13"/>
      <c r="T623" s="13"/>
      <c r="U623" s="13"/>
      <c r="V623" s="13"/>
      <c r="W623" s="13"/>
      <c r="X623" s="13"/>
      <c r="Y623" s="13"/>
      <c r="Z623" s="13"/>
      <c r="AA623" s="13"/>
      <c r="AB623" s="13"/>
      <c r="AC623" s="13"/>
      <c r="AD623" s="13"/>
      <c r="AE623" s="13"/>
      <c r="AF623" s="242"/>
      <c r="AG623" s="242"/>
      <c r="AH623" s="242"/>
      <c r="AI623" s="242"/>
      <c r="AJ623" s="242"/>
      <c r="AK623" s="242"/>
      <c r="AL623" s="242"/>
      <c r="AM623" s="242"/>
      <c r="AN623" s="242"/>
      <c r="AO623" s="242"/>
      <c r="AP623" s="242"/>
    </row>
    <row r="624">
      <c r="A624" s="242"/>
      <c r="B624" s="242"/>
      <c r="C624" s="242"/>
      <c r="D624" s="242"/>
      <c r="E624" s="242"/>
      <c r="F624" s="242"/>
      <c r="G624" s="242"/>
      <c r="H624" s="242"/>
      <c r="I624" s="242"/>
      <c r="J624" s="242"/>
      <c r="K624" s="242"/>
      <c r="L624" s="242"/>
      <c r="M624" s="242"/>
      <c r="N624" s="242"/>
      <c r="O624" s="242"/>
      <c r="P624" s="13"/>
      <c r="Q624" s="13"/>
      <c r="R624" s="13"/>
      <c r="S624" s="13"/>
      <c r="T624" s="13"/>
      <c r="U624" s="13"/>
      <c r="V624" s="13"/>
      <c r="W624" s="13"/>
      <c r="X624" s="13"/>
      <c r="Y624" s="13"/>
      <c r="Z624" s="13"/>
      <c r="AA624" s="13"/>
      <c r="AB624" s="13"/>
      <c r="AC624" s="13"/>
      <c r="AD624" s="13"/>
      <c r="AE624" s="13"/>
      <c r="AF624" s="242"/>
      <c r="AG624" s="242"/>
      <c r="AH624" s="242"/>
      <c r="AI624" s="242"/>
      <c r="AJ624" s="242"/>
      <c r="AK624" s="242"/>
      <c r="AL624" s="242"/>
      <c r="AM624" s="242"/>
      <c r="AN624" s="242"/>
      <c r="AO624" s="242"/>
      <c r="AP624" s="242"/>
    </row>
    <row r="625">
      <c r="A625" s="242"/>
      <c r="B625" s="242"/>
      <c r="C625" s="242"/>
      <c r="D625" s="242"/>
      <c r="E625" s="242"/>
      <c r="F625" s="242"/>
      <c r="G625" s="242"/>
      <c r="H625" s="242"/>
      <c r="I625" s="242"/>
      <c r="J625" s="242"/>
      <c r="K625" s="242"/>
      <c r="L625" s="242"/>
      <c r="M625" s="242"/>
      <c r="N625" s="242"/>
      <c r="O625" s="242"/>
      <c r="P625" s="13"/>
      <c r="Q625" s="13"/>
      <c r="R625" s="13"/>
      <c r="S625" s="13"/>
      <c r="T625" s="13"/>
      <c r="U625" s="13"/>
      <c r="V625" s="13"/>
      <c r="W625" s="13"/>
      <c r="X625" s="13"/>
      <c r="Y625" s="13"/>
      <c r="Z625" s="13"/>
      <c r="AA625" s="13"/>
      <c r="AB625" s="13"/>
      <c r="AC625" s="13"/>
      <c r="AD625" s="13"/>
      <c r="AE625" s="13"/>
      <c r="AF625" s="242"/>
      <c r="AG625" s="242"/>
      <c r="AH625" s="242"/>
      <c r="AI625" s="242"/>
      <c r="AJ625" s="242"/>
      <c r="AK625" s="242"/>
      <c r="AL625" s="242"/>
      <c r="AM625" s="242"/>
      <c r="AN625" s="242"/>
      <c r="AO625" s="242"/>
      <c r="AP625" s="242"/>
    </row>
    <row r="626">
      <c r="A626" s="242"/>
      <c r="B626" s="242"/>
      <c r="C626" s="242"/>
      <c r="D626" s="242"/>
      <c r="E626" s="242"/>
      <c r="F626" s="242"/>
      <c r="G626" s="242"/>
      <c r="H626" s="242"/>
      <c r="I626" s="242"/>
      <c r="J626" s="242"/>
      <c r="K626" s="242"/>
      <c r="L626" s="242"/>
      <c r="M626" s="242"/>
      <c r="N626" s="242"/>
      <c r="O626" s="242"/>
      <c r="P626" s="13"/>
      <c r="Q626" s="13"/>
      <c r="R626" s="13"/>
      <c r="S626" s="13"/>
      <c r="T626" s="13"/>
      <c r="U626" s="13"/>
      <c r="V626" s="13"/>
      <c r="W626" s="13"/>
      <c r="X626" s="13"/>
      <c r="Y626" s="13"/>
      <c r="Z626" s="13"/>
      <c r="AA626" s="13"/>
      <c r="AB626" s="13"/>
      <c r="AC626" s="13"/>
      <c r="AD626" s="13"/>
      <c r="AE626" s="13"/>
      <c r="AF626" s="242"/>
      <c r="AG626" s="242"/>
      <c r="AH626" s="242"/>
      <c r="AI626" s="242"/>
      <c r="AJ626" s="242"/>
      <c r="AK626" s="242"/>
      <c r="AL626" s="242"/>
      <c r="AM626" s="242"/>
      <c r="AN626" s="242"/>
      <c r="AO626" s="242"/>
      <c r="AP626" s="242"/>
    </row>
    <row r="627">
      <c r="A627" s="242"/>
      <c r="B627" s="242"/>
      <c r="C627" s="242"/>
      <c r="D627" s="242"/>
      <c r="E627" s="242"/>
      <c r="F627" s="242"/>
      <c r="G627" s="242"/>
      <c r="H627" s="242"/>
      <c r="I627" s="242"/>
      <c r="J627" s="242"/>
      <c r="K627" s="242"/>
      <c r="L627" s="242"/>
      <c r="M627" s="242"/>
      <c r="N627" s="242"/>
      <c r="O627" s="242"/>
      <c r="P627" s="13"/>
      <c r="Q627" s="13"/>
      <c r="R627" s="13"/>
      <c r="S627" s="13"/>
      <c r="T627" s="13"/>
      <c r="U627" s="13"/>
      <c r="V627" s="13"/>
      <c r="W627" s="13"/>
      <c r="X627" s="13"/>
      <c r="Y627" s="13"/>
      <c r="Z627" s="13"/>
      <c r="AA627" s="13"/>
      <c r="AB627" s="13"/>
      <c r="AC627" s="13"/>
      <c r="AD627" s="13"/>
      <c r="AE627" s="13"/>
      <c r="AF627" s="242"/>
      <c r="AG627" s="242"/>
      <c r="AH627" s="242"/>
      <c r="AI627" s="242"/>
      <c r="AJ627" s="242"/>
      <c r="AK627" s="242"/>
      <c r="AL627" s="242"/>
      <c r="AM627" s="242"/>
      <c r="AN627" s="242"/>
      <c r="AO627" s="242"/>
      <c r="AP627" s="242"/>
    </row>
    <row r="628">
      <c r="A628" s="242"/>
      <c r="B628" s="242"/>
      <c r="C628" s="242"/>
      <c r="D628" s="242"/>
      <c r="E628" s="242"/>
      <c r="F628" s="242"/>
      <c r="G628" s="242"/>
      <c r="H628" s="242"/>
      <c r="I628" s="242"/>
      <c r="J628" s="242"/>
      <c r="K628" s="242"/>
      <c r="L628" s="242"/>
      <c r="M628" s="242"/>
      <c r="N628" s="242"/>
      <c r="O628" s="242"/>
      <c r="P628" s="13"/>
      <c r="Q628" s="13"/>
      <c r="R628" s="13"/>
      <c r="S628" s="13"/>
      <c r="T628" s="13"/>
      <c r="U628" s="13"/>
      <c r="V628" s="13"/>
      <c r="W628" s="13"/>
      <c r="X628" s="13"/>
      <c r="Y628" s="13"/>
      <c r="Z628" s="13"/>
      <c r="AA628" s="13"/>
      <c r="AB628" s="13"/>
      <c r="AC628" s="13"/>
      <c r="AD628" s="13"/>
      <c r="AE628" s="13"/>
      <c r="AF628" s="242"/>
      <c r="AG628" s="242"/>
      <c r="AH628" s="242"/>
      <c r="AI628" s="242"/>
      <c r="AJ628" s="242"/>
      <c r="AK628" s="242"/>
      <c r="AL628" s="242"/>
      <c r="AM628" s="242"/>
      <c r="AN628" s="242"/>
      <c r="AO628" s="242"/>
      <c r="AP628" s="242"/>
    </row>
    <row r="629">
      <c r="A629" s="242"/>
      <c r="B629" s="242"/>
      <c r="C629" s="242"/>
      <c r="D629" s="242"/>
      <c r="E629" s="242"/>
      <c r="F629" s="242"/>
      <c r="G629" s="242"/>
      <c r="H629" s="242"/>
      <c r="I629" s="242"/>
      <c r="J629" s="242"/>
      <c r="K629" s="242"/>
      <c r="L629" s="242"/>
      <c r="M629" s="242"/>
      <c r="N629" s="242"/>
      <c r="O629" s="242"/>
      <c r="P629" s="13"/>
      <c r="Q629" s="13"/>
      <c r="R629" s="13"/>
      <c r="S629" s="13"/>
      <c r="T629" s="13"/>
      <c r="U629" s="13"/>
      <c r="V629" s="13"/>
      <c r="W629" s="13"/>
      <c r="X629" s="13"/>
      <c r="Y629" s="13"/>
      <c r="Z629" s="13"/>
      <c r="AA629" s="13"/>
      <c r="AB629" s="13"/>
      <c r="AC629" s="13"/>
      <c r="AD629" s="13"/>
      <c r="AE629" s="13"/>
      <c r="AF629" s="242"/>
      <c r="AG629" s="242"/>
      <c r="AH629" s="242"/>
      <c r="AI629" s="242"/>
      <c r="AJ629" s="242"/>
      <c r="AK629" s="242"/>
      <c r="AL629" s="242"/>
      <c r="AM629" s="242"/>
      <c r="AN629" s="242"/>
      <c r="AO629" s="242"/>
      <c r="AP629" s="242"/>
    </row>
    <row r="630">
      <c r="A630" s="242"/>
      <c r="B630" s="242"/>
      <c r="C630" s="242"/>
      <c r="D630" s="242"/>
      <c r="E630" s="242"/>
      <c r="F630" s="242"/>
      <c r="G630" s="242"/>
      <c r="H630" s="242"/>
      <c r="I630" s="242"/>
      <c r="J630" s="242"/>
      <c r="K630" s="242"/>
      <c r="L630" s="242"/>
      <c r="M630" s="242"/>
      <c r="N630" s="242"/>
      <c r="O630" s="242"/>
      <c r="P630" s="13"/>
      <c r="Q630" s="13"/>
      <c r="R630" s="13"/>
      <c r="S630" s="13"/>
      <c r="T630" s="13"/>
      <c r="U630" s="13"/>
      <c r="V630" s="13"/>
      <c r="W630" s="13"/>
      <c r="X630" s="13"/>
      <c r="Y630" s="13"/>
      <c r="Z630" s="13"/>
      <c r="AA630" s="13"/>
      <c r="AB630" s="13"/>
      <c r="AC630" s="13"/>
      <c r="AD630" s="13"/>
      <c r="AE630" s="13"/>
      <c r="AF630" s="242"/>
      <c r="AG630" s="242"/>
      <c r="AH630" s="242"/>
      <c r="AI630" s="242"/>
      <c r="AJ630" s="242"/>
      <c r="AK630" s="242"/>
      <c r="AL630" s="242"/>
      <c r="AM630" s="242"/>
      <c r="AN630" s="242"/>
      <c r="AO630" s="242"/>
      <c r="AP630" s="242"/>
    </row>
    <row r="631">
      <c r="A631" s="242"/>
      <c r="B631" s="242"/>
      <c r="C631" s="242"/>
      <c r="D631" s="242"/>
      <c r="E631" s="242"/>
      <c r="F631" s="242"/>
      <c r="G631" s="242"/>
      <c r="H631" s="242"/>
      <c r="I631" s="242"/>
      <c r="J631" s="242"/>
      <c r="K631" s="242"/>
      <c r="L631" s="242"/>
      <c r="M631" s="242"/>
      <c r="N631" s="242"/>
      <c r="O631" s="242"/>
      <c r="P631" s="13"/>
      <c r="Q631" s="13"/>
      <c r="R631" s="13"/>
      <c r="S631" s="13"/>
      <c r="T631" s="13"/>
      <c r="U631" s="13"/>
      <c r="V631" s="13"/>
      <c r="W631" s="13"/>
      <c r="X631" s="13"/>
      <c r="Y631" s="13"/>
      <c r="Z631" s="13"/>
      <c r="AA631" s="13"/>
      <c r="AB631" s="13"/>
      <c r="AC631" s="13"/>
      <c r="AD631" s="13"/>
      <c r="AE631" s="13"/>
      <c r="AF631" s="242"/>
      <c r="AG631" s="242"/>
      <c r="AH631" s="242"/>
      <c r="AI631" s="242"/>
      <c r="AJ631" s="242"/>
      <c r="AK631" s="242"/>
      <c r="AL631" s="242"/>
      <c r="AM631" s="242"/>
      <c r="AN631" s="242"/>
      <c r="AO631" s="242"/>
      <c r="AP631" s="242"/>
    </row>
    <row r="632">
      <c r="A632" s="242"/>
      <c r="B632" s="242"/>
      <c r="C632" s="242"/>
      <c r="D632" s="242"/>
      <c r="E632" s="242"/>
      <c r="F632" s="242"/>
      <c r="G632" s="242"/>
      <c r="H632" s="242"/>
      <c r="I632" s="242"/>
      <c r="J632" s="242"/>
      <c r="K632" s="242"/>
      <c r="L632" s="242"/>
      <c r="M632" s="242"/>
      <c r="N632" s="242"/>
      <c r="O632" s="242"/>
      <c r="P632" s="13"/>
      <c r="Q632" s="13"/>
      <c r="R632" s="13"/>
      <c r="S632" s="13"/>
      <c r="T632" s="13"/>
      <c r="U632" s="13"/>
      <c r="V632" s="13"/>
      <c r="W632" s="13"/>
      <c r="X632" s="13"/>
      <c r="Y632" s="13"/>
      <c r="Z632" s="13"/>
      <c r="AA632" s="13"/>
      <c r="AB632" s="13"/>
      <c r="AC632" s="13"/>
      <c r="AD632" s="13"/>
      <c r="AE632" s="13"/>
      <c r="AF632" s="242"/>
      <c r="AG632" s="242"/>
      <c r="AH632" s="242"/>
      <c r="AI632" s="242"/>
      <c r="AJ632" s="242"/>
      <c r="AK632" s="242"/>
      <c r="AL632" s="242"/>
      <c r="AM632" s="242"/>
      <c r="AN632" s="242"/>
      <c r="AO632" s="242"/>
      <c r="AP632" s="242"/>
    </row>
    <row r="633">
      <c r="A633" s="242"/>
      <c r="B633" s="242"/>
      <c r="C633" s="242"/>
      <c r="D633" s="242"/>
      <c r="E633" s="242"/>
      <c r="F633" s="242"/>
      <c r="G633" s="242"/>
      <c r="H633" s="242"/>
      <c r="I633" s="242"/>
      <c r="J633" s="242"/>
      <c r="K633" s="242"/>
      <c r="L633" s="242"/>
      <c r="M633" s="242"/>
      <c r="N633" s="242"/>
      <c r="O633" s="242"/>
      <c r="P633" s="13"/>
      <c r="Q633" s="13"/>
      <c r="R633" s="13"/>
      <c r="S633" s="13"/>
      <c r="T633" s="13"/>
      <c r="U633" s="13"/>
      <c r="V633" s="13"/>
      <c r="W633" s="13"/>
      <c r="X633" s="13"/>
      <c r="Y633" s="13"/>
      <c r="Z633" s="13"/>
      <c r="AA633" s="13"/>
      <c r="AB633" s="13"/>
      <c r="AC633" s="13"/>
      <c r="AD633" s="13"/>
      <c r="AE633" s="13"/>
      <c r="AF633" s="242"/>
      <c r="AG633" s="242"/>
      <c r="AH633" s="242"/>
      <c r="AI633" s="242"/>
      <c r="AJ633" s="242"/>
      <c r="AK633" s="242"/>
      <c r="AL633" s="242"/>
      <c r="AM633" s="242"/>
      <c r="AN633" s="242"/>
      <c r="AO633" s="242"/>
      <c r="AP633" s="242"/>
    </row>
    <row r="634">
      <c r="A634" s="242"/>
      <c r="B634" s="242"/>
      <c r="C634" s="242"/>
      <c r="D634" s="242"/>
      <c r="E634" s="242"/>
      <c r="F634" s="242"/>
      <c r="G634" s="242"/>
      <c r="H634" s="242"/>
      <c r="I634" s="242"/>
      <c r="J634" s="242"/>
      <c r="K634" s="242"/>
      <c r="L634" s="242"/>
      <c r="M634" s="242"/>
      <c r="N634" s="242"/>
      <c r="O634" s="242"/>
      <c r="P634" s="13"/>
      <c r="Q634" s="13"/>
      <c r="R634" s="13"/>
      <c r="S634" s="13"/>
      <c r="T634" s="13"/>
      <c r="U634" s="13"/>
      <c r="V634" s="13"/>
      <c r="W634" s="13"/>
      <c r="X634" s="13"/>
      <c r="Y634" s="13"/>
      <c r="Z634" s="13"/>
      <c r="AA634" s="13"/>
      <c r="AB634" s="13"/>
      <c r="AC634" s="13"/>
      <c r="AD634" s="13"/>
      <c r="AE634" s="13"/>
      <c r="AF634" s="242"/>
      <c r="AG634" s="242"/>
      <c r="AH634" s="242"/>
      <c r="AI634" s="242"/>
      <c r="AJ634" s="242"/>
      <c r="AK634" s="242"/>
      <c r="AL634" s="242"/>
      <c r="AM634" s="242"/>
      <c r="AN634" s="242"/>
      <c r="AO634" s="242"/>
      <c r="AP634" s="242"/>
    </row>
    <row r="635">
      <c r="A635" s="242"/>
      <c r="B635" s="242"/>
      <c r="C635" s="242"/>
      <c r="D635" s="242"/>
      <c r="E635" s="242"/>
      <c r="F635" s="242"/>
      <c r="G635" s="242"/>
      <c r="H635" s="242"/>
      <c r="I635" s="242"/>
      <c r="J635" s="242"/>
      <c r="K635" s="242"/>
      <c r="L635" s="242"/>
      <c r="M635" s="242"/>
      <c r="N635" s="242"/>
      <c r="O635" s="242"/>
      <c r="P635" s="13"/>
      <c r="Q635" s="13"/>
      <c r="R635" s="13"/>
      <c r="S635" s="13"/>
      <c r="T635" s="13"/>
      <c r="U635" s="13"/>
      <c r="V635" s="13"/>
      <c r="W635" s="13"/>
      <c r="X635" s="13"/>
      <c r="Y635" s="13"/>
      <c r="Z635" s="13"/>
      <c r="AA635" s="13"/>
      <c r="AB635" s="13"/>
      <c r="AC635" s="13"/>
      <c r="AD635" s="13"/>
      <c r="AE635" s="13"/>
      <c r="AF635" s="242"/>
      <c r="AG635" s="242"/>
      <c r="AH635" s="242"/>
      <c r="AI635" s="242"/>
      <c r="AJ635" s="242"/>
      <c r="AK635" s="242"/>
      <c r="AL635" s="242"/>
      <c r="AM635" s="242"/>
      <c r="AN635" s="242"/>
      <c r="AO635" s="242"/>
      <c r="AP635" s="242"/>
    </row>
    <row r="636">
      <c r="A636" s="242"/>
      <c r="B636" s="242"/>
      <c r="C636" s="242"/>
      <c r="D636" s="242"/>
      <c r="E636" s="242"/>
      <c r="F636" s="242"/>
      <c r="G636" s="242"/>
      <c r="H636" s="242"/>
      <c r="I636" s="242"/>
      <c r="J636" s="242"/>
      <c r="K636" s="242"/>
      <c r="L636" s="242"/>
      <c r="M636" s="242"/>
      <c r="N636" s="242"/>
      <c r="O636" s="242"/>
      <c r="P636" s="13"/>
      <c r="Q636" s="13"/>
      <c r="R636" s="13"/>
      <c r="S636" s="13"/>
      <c r="T636" s="13"/>
      <c r="U636" s="13"/>
      <c r="V636" s="13"/>
      <c r="W636" s="13"/>
      <c r="X636" s="13"/>
      <c r="Y636" s="13"/>
      <c r="Z636" s="13"/>
      <c r="AA636" s="13"/>
      <c r="AB636" s="13"/>
      <c r="AC636" s="13"/>
      <c r="AD636" s="13"/>
      <c r="AE636" s="13"/>
      <c r="AF636" s="242"/>
      <c r="AG636" s="242"/>
      <c r="AH636" s="242"/>
      <c r="AI636" s="242"/>
      <c r="AJ636" s="242"/>
      <c r="AK636" s="242"/>
      <c r="AL636" s="242"/>
      <c r="AM636" s="242"/>
      <c r="AN636" s="242"/>
      <c r="AO636" s="242"/>
      <c r="AP636" s="242"/>
    </row>
    <row r="637">
      <c r="A637" s="242"/>
      <c r="B637" s="242"/>
      <c r="C637" s="242"/>
      <c r="D637" s="242"/>
      <c r="E637" s="242"/>
      <c r="F637" s="242"/>
      <c r="G637" s="242"/>
      <c r="H637" s="242"/>
      <c r="I637" s="242"/>
      <c r="J637" s="242"/>
      <c r="K637" s="242"/>
      <c r="L637" s="242"/>
      <c r="M637" s="242"/>
      <c r="N637" s="242"/>
      <c r="O637" s="242"/>
      <c r="P637" s="13"/>
      <c r="Q637" s="13"/>
      <c r="R637" s="13"/>
      <c r="S637" s="13"/>
      <c r="T637" s="13"/>
      <c r="U637" s="13"/>
      <c r="V637" s="13"/>
      <c r="W637" s="13"/>
      <c r="X637" s="13"/>
      <c r="Y637" s="13"/>
      <c r="Z637" s="13"/>
      <c r="AA637" s="13"/>
      <c r="AB637" s="13"/>
      <c r="AC637" s="13"/>
      <c r="AD637" s="13"/>
      <c r="AE637" s="13"/>
      <c r="AF637" s="242"/>
      <c r="AG637" s="242"/>
      <c r="AH637" s="242"/>
      <c r="AI637" s="242"/>
      <c r="AJ637" s="242"/>
      <c r="AK637" s="242"/>
      <c r="AL637" s="242"/>
      <c r="AM637" s="242"/>
      <c r="AN637" s="242"/>
      <c r="AO637" s="242"/>
      <c r="AP637" s="242"/>
    </row>
    <row r="638">
      <c r="A638" s="242"/>
      <c r="B638" s="242"/>
      <c r="C638" s="242"/>
      <c r="D638" s="242"/>
      <c r="E638" s="242"/>
      <c r="F638" s="242"/>
      <c r="G638" s="242"/>
      <c r="H638" s="242"/>
      <c r="I638" s="242"/>
      <c r="J638" s="242"/>
      <c r="K638" s="242"/>
      <c r="L638" s="242"/>
      <c r="M638" s="242"/>
      <c r="N638" s="242"/>
      <c r="O638" s="242"/>
      <c r="P638" s="13"/>
      <c r="Q638" s="13"/>
      <c r="R638" s="13"/>
      <c r="S638" s="13"/>
      <c r="T638" s="13"/>
      <c r="U638" s="13"/>
      <c r="V638" s="13"/>
      <c r="W638" s="13"/>
      <c r="X638" s="13"/>
      <c r="Y638" s="13"/>
      <c r="Z638" s="13"/>
      <c r="AA638" s="13"/>
      <c r="AB638" s="13"/>
      <c r="AC638" s="13"/>
      <c r="AD638" s="13"/>
      <c r="AE638" s="13"/>
      <c r="AF638" s="242"/>
      <c r="AG638" s="242"/>
      <c r="AH638" s="242"/>
      <c r="AI638" s="242"/>
      <c r="AJ638" s="242"/>
      <c r="AK638" s="242"/>
      <c r="AL638" s="242"/>
      <c r="AM638" s="242"/>
      <c r="AN638" s="242"/>
      <c r="AO638" s="242"/>
      <c r="AP638" s="242"/>
    </row>
    <row r="639">
      <c r="A639" s="242"/>
      <c r="B639" s="242"/>
      <c r="C639" s="242"/>
      <c r="D639" s="242"/>
      <c r="E639" s="242"/>
      <c r="F639" s="242"/>
      <c r="G639" s="242"/>
      <c r="H639" s="242"/>
      <c r="I639" s="242"/>
      <c r="J639" s="242"/>
      <c r="K639" s="242"/>
      <c r="L639" s="242"/>
      <c r="M639" s="242"/>
      <c r="N639" s="242"/>
      <c r="O639" s="242"/>
      <c r="P639" s="13"/>
      <c r="Q639" s="13"/>
      <c r="R639" s="13"/>
      <c r="S639" s="13"/>
      <c r="T639" s="13"/>
      <c r="U639" s="13"/>
      <c r="V639" s="13"/>
      <c r="W639" s="13"/>
      <c r="X639" s="13"/>
      <c r="Y639" s="13"/>
      <c r="Z639" s="13"/>
      <c r="AA639" s="13"/>
      <c r="AB639" s="13"/>
      <c r="AC639" s="13"/>
      <c r="AD639" s="13"/>
      <c r="AE639" s="13"/>
      <c r="AF639" s="242"/>
      <c r="AG639" s="242"/>
      <c r="AH639" s="242"/>
      <c r="AI639" s="242"/>
      <c r="AJ639" s="242"/>
      <c r="AK639" s="242"/>
      <c r="AL639" s="242"/>
      <c r="AM639" s="242"/>
      <c r="AN639" s="242"/>
      <c r="AO639" s="242"/>
      <c r="AP639" s="242"/>
    </row>
    <row r="640">
      <c r="A640" s="242"/>
      <c r="B640" s="242"/>
      <c r="C640" s="242"/>
      <c r="D640" s="242"/>
      <c r="E640" s="242"/>
      <c r="F640" s="242"/>
      <c r="G640" s="242"/>
      <c r="H640" s="242"/>
      <c r="I640" s="242"/>
      <c r="J640" s="242"/>
      <c r="K640" s="242"/>
      <c r="L640" s="242"/>
      <c r="M640" s="242"/>
      <c r="N640" s="242"/>
      <c r="O640" s="242"/>
      <c r="P640" s="13"/>
      <c r="Q640" s="13"/>
      <c r="R640" s="13"/>
      <c r="S640" s="13"/>
      <c r="T640" s="13"/>
      <c r="U640" s="13"/>
      <c r="V640" s="13"/>
      <c r="W640" s="13"/>
      <c r="X640" s="13"/>
      <c r="Y640" s="13"/>
      <c r="Z640" s="13"/>
      <c r="AA640" s="13"/>
      <c r="AB640" s="13"/>
      <c r="AC640" s="13"/>
      <c r="AD640" s="13"/>
      <c r="AE640" s="13"/>
      <c r="AF640" s="242"/>
      <c r="AG640" s="242"/>
      <c r="AH640" s="242"/>
      <c r="AI640" s="242"/>
      <c r="AJ640" s="242"/>
      <c r="AK640" s="242"/>
      <c r="AL640" s="242"/>
      <c r="AM640" s="242"/>
      <c r="AN640" s="242"/>
      <c r="AO640" s="242"/>
      <c r="AP640" s="242"/>
    </row>
    <row r="641">
      <c r="A641" s="242"/>
      <c r="B641" s="242"/>
      <c r="C641" s="242"/>
      <c r="D641" s="242"/>
      <c r="E641" s="242"/>
      <c r="F641" s="242"/>
      <c r="G641" s="242"/>
      <c r="H641" s="242"/>
      <c r="I641" s="242"/>
      <c r="J641" s="242"/>
      <c r="K641" s="242"/>
      <c r="L641" s="242"/>
      <c r="M641" s="242"/>
      <c r="N641" s="242"/>
      <c r="O641" s="242"/>
      <c r="P641" s="13"/>
      <c r="Q641" s="13"/>
      <c r="R641" s="13"/>
      <c r="S641" s="13"/>
      <c r="T641" s="13"/>
      <c r="U641" s="13"/>
      <c r="V641" s="13"/>
      <c r="W641" s="13"/>
      <c r="X641" s="13"/>
      <c r="Y641" s="13"/>
      <c r="Z641" s="13"/>
      <c r="AA641" s="13"/>
      <c r="AB641" s="13"/>
      <c r="AC641" s="13"/>
      <c r="AD641" s="13"/>
      <c r="AE641" s="13"/>
      <c r="AF641" s="242"/>
      <c r="AG641" s="242"/>
      <c r="AH641" s="242"/>
      <c r="AI641" s="242"/>
      <c r="AJ641" s="242"/>
      <c r="AK641" s="242"/>
      <c r="AL641" s="242"/>
      <c r="AM641" s="242"/>
      <c r="AN641" s="242"/>
      <c r="AO641" s="242"/>
      <c r="AP641" s="242"/>
    </row>
    <row r="642">
      <c r="A642" s="242"/>
      <c r="B642" s="242"/>
      <c r="C642" s="242"/>
      <c r="D642" s="242"/>
      <c r="E642" s="242"/>
      <c r="F642" s="242"/>
      <c r="G642" s="242"/>
      <c r="H642" s="242"/>
      <c r="I642" s="242"/>
      <c r="J642" s="242"/>
      <c r="K642" s="242"/>
      <c r="L642" s="242"/>
      <c r="M642" s="242"/>
      <c r="N642" s="242"/>
      <c r="O642" s="242"/>
      <c r="P642" s="13"/>
      <c r="Q642" s="13"/>
      <c r="R642" s="13"/>
      <c r="S642" s="13"/>
      <c r="T642" s="13"/>
      <c r="U642" s="13"/>
      <c r="V642" s="13"/>
      <c r="W642" s="13"/>
      <c r="X642" s="13"/>
      <c r="Y642" s="13"/>
      <c r="Z642" s="13"/>
      <c r="AA642" s="13"/>
      <c r="AB642" s="13"/>
      <c r="AC642" s="13"/>
      <c r="AD642" s="13"/>
      <c r="AE642" s="13"/>
      <c r="AF642" s="242"/>
      <c r="AG642" s="242"/>
      <c r="AH642" s="242"/>
      <c r="AI642" s="242"/>
      <c r="AJ642" s="242"/>
      <c r="AK642" s="242"/>
      <c r="AL642" s="242"/>
      <c r="AM642" s="242"/>
      <c r="AN642" s="242"/>
      <c r="AO642" s="242"/>
      <c r="AP642" s="242"/>
    </row>
    <row r="643">
      <c r="A643" s="242"/>
      <c r="B643" s="242"/>
      <c r="C643" s="242"/>
      <c r="D643" s="242"/>
      <c r="E643" s="242"/>
      <c r="F643" s="242"/>
      <c r="G643" s="242"/>
      <c r="H643" s="242"/>
      <c r="I643" s="242"/>
      <c r="J643" s="242"/>
      <c r="K643" s="242"/>
      <c r="L643" s="242"/>
      <c r="M643" s="242"/>
      <c r="N643" s="242"/>
      <c r="O643" s="242"/>
      <c r="P643" s="13"/>
      <c r="Q643" s="13"/>
      <c r="R643" s="13"/>
      <c r="S643" s="13"/>
      <c r="T643" s="13"/>
      <c r="U643" s="13"/>
      <c r="V643" s="13"/>
      <c r="W643" s="13"/>
      <c r="X643" s="13"/>
      <c r="Y643" s="13"/>
      <c r="Z643" s="13"/>
      <c r="AA643" s="13"/>
      <c r="AB643" s="13"/>
      <c r="AC643" s="13"/>
      <c r="AD643" s="13"/>
      <c r="AE643" s="13"/>
      <c r="AF643" s="242"/>
      <c r="AG643" s="242"/>
      <c r="AH643" s="242"/>
      <c r="AI643" s="242"/>
      <c r="AJ643" s="242"/>
      <c r="AK643" s="242"/>
      <c r="AL643" s="242"/>
      <c r="AM643" s="242"/>
      <c r="AN643" s="242"/>
      <c r="AO643" s="242"/>
      <c r="AP643" s="242"/>
    </row>
    <row r="644">
      <c r="A644" s="242"/>
      <c r="B644" s="242"/>
      <c r="C644" s="242"/>
      <c r="D644" s="242"/>
      <c r="E644" s="242"/>
      <c r="F644" s="242"/>
      <c r="G644" s="242"/>
      <c r="H644" s="242"/>
      <c r="I644" s="242"/>
      <c r="J644" s="242"/>
      <c r="K644" s="242"/>
      <c r="L644" s="242"/>
      <c r="M644" s="242"/>
      <c r="N644" s="242"/>
      <c r="O644" s="242"/>
      <c r="P644" s="13"/>
      <c r="Q644" s="13"/>
      <c r="R644" s="13"/>
      <c r="S644" s="13"/>
      <c r="T644" s="13"/>
      <c r="U644" s="13"/>
      <c r="V644" s="13"/>
      <c r="W644" s="13"/>
      <c r="X644" s="13"/>
      <c r="Y644" s="13"/>
      <c r="Z644" s="13"/>
      <c r="AA644" s="13"/>
      <c r="AB644" s="13"/>
      <c r="AC644" s="13"/>
      <c r="AD644" s="13"/>
      <c r="AE644" s="13"/>
      <c r="AF644" s="242"/>
      <c r="AG644" s="242"/>
      <c r="AH644" s="242"/>
      <c r="AI644" s="242"/>
      <c r="AJ644" s="242"/>
      <c r="AK644" s="242"/>
      <c r="AL644" s="242"/>
      <c r="AM644" s="242"/>
      <c r="AN644" s="242"/>
      <c r="AO644" s="242"/>
      <c r="AP644" s="242"/>
    </row>
    <row r="645">
      <c r="A645" s="242"/>
      <c r="B645" s="242"/>
      <c r="C645" s="242"/>
      <c r="D645" s="242"/>
      <c r="E645" s="242"/>
      <c r="F645" s="242"/>
      <c r="G645" s="242"/>
      <c r="H645" s="242"/>
      <c r="I645" s="242"/>
      <c r="J645" s="242"/>
      <c r="K645" s="242"/>
      <c r="L645" s="242"/>
      <c r="M645" s="242"/>
      <c r="N645" s="242"/>
      <c r="O645" s="242"/>
      <c r="P645" s="13"/>
      <c r="Q645" s="13"/>
      <c r="R645" s="13"/>
      <c r="S645" s="13"/>
      <c r="T645" s="13"/>
      <c r="U645" s="13"/>
      <c r="V645" s="13"/>
      <c r="W645" s="13"/>
      <c r="X645" s="13"/>
      <c r="Y645" s="13"/>
      <c r="Z645" s="13"/>
      <c r="AA645" s="13"/>
      <c r="AB645" s="13"/>
      <c r="AC645" s="13"/>
      <c r="AD645" s="13"/>
      <c r="AE645" s="13"/>
      <c r="AF645" s="242"/>
      <c r="AG645" s="242"/>
      <c r="AH645" s="242"/>
      <c r="AI645" s="242"/>
      <c r="AJ645" s="242"/>
      <c r="AK645" s="242"/>
      <c r="AL645" s="242"/>
      <c r="AM645" s="242"/>
      <c r="AN645" s="242"/>
      <c r="AO645" s="242"/>
      <c r="AP645" s="242"/>
    </row>
    <row r="646">
      <c r="A646" s="242"/>
      <c r="B646" s="242"/>
      <c r="C646" s="242"/>
      <c r="D646" s="242"/>
      <c r="E646" s="242"/>
      <c r="F646" s="242"/>
      <c r="G646" s="242"/>
      <c r="H646" s="242"/>
      <c r="I646" s="242"/>
      <c r="J646" s="242"/>
      <c r="K646" s="242"/>
      <c r="L646" s="242"/>
      <c r="M646" s="242"/>
      <c r="N646" s="242"/>
      <c r="O646" s="242"/>
      <c r="P646" s="13"/>
      <c r="Q646" s="13"/>
      <c r="R646" s="13"/>
      <c r="S646" s="13"/>
      <c r="T646" s="13"/>
      <c r="U646" s="13"/>
      <c r="V646" s="13"/>
      <c r="W646" s="13"/>
      <c r="X646" s="13"/>
      <c r="Y646" s="13"/>
      <c r="Z646" s="13"/>
      <c r="AA646" s="13"/>
      <c r="AB646" s="13"/>
      <c r="AC646" s="13"/>
      <c r="AD646" s="13"/>
      <c r="AE646" s="13"/>
      <c r="AF646" s="242"/>
      <c r="AG646" s="242"/>
      <c r="AH646" s="242"/>
      <c r="AI646" s="242"/>
      <c r="AJ646" s="242"/>
      <c r="AK646" s="242"/>
      <c r="AL646" s="242"/>
      <c r="AM646" s="242"/>
      <c r="AN646" s="242"/>
      <c r="AO646" s="242"/>
      <c r="AP646" s="242"/>
    </row>
    <row r="647">
      <c r="A647" s="242"/>
      <c r="B647" s="242"/>
      <c r="C647" s="242"/>
      <c r="D647" s="242"/>
      <c r="E647" s="242"/>
      <c r="F647" s="242"/>
      <c r="G647" s="242"/>
      <c r="H647" s="242"/>
      <c r="I647" s="242"/>
      <c r="J647" s="242"/>
      <c r="K647" s="242"/>
      <c r="L647" s="242"/>
      <c r="M647" s="242"/>
      <c r="N647" s="242"/>
      <c r="O647" s="242"/>
      <c r="P647" s="13"/>
      <c r="Q647" s="13"/>
      <c r="R647" s="13"/>
      <c r="S647" s="13"/>
      <c r="T647" s="13"/>
      <c r="U647" s="13"/>
      <c r="V647" s="13"/>
      <c r="W647" s="13"/>
      <c r="X647" s="13"/>
      <c r="Y647" s="13"/>
      <c r="Z647" s="13"/>
      <c r="AA647" s="13"/>
      <c r="AB647" s="13"/>
      <c r="AC647" s="13"/>
      <c r="AD647" s="13"/>
      <c r="AE647" s="13"/>
      <c r="AF647" s="242"/>
      <c r="AG647" s="242"/>
      <c r="AH647" s="242"/>
      <c r="AI647" s="242"/>
      <c r="AJ647" s="242"/>
      <c r="AK647" s="242"/>
      <c r="AL647" s="242"/>
      <c r="AM647" s="242"/>
      <c r="AN647" s="242"/>
      <c r="AO647" s="242"/>
      <c r="AP647" s="242"/>
    </row>
    <row r="648">
      <c r="A648" s="242"/>
      <c r="B648" s="242"/>
      <c r="C648" s="242"/>
      <c r="D648" s="242"/>
      <c r="E648" s="242"/>
      <c r="F648" s="242"/>
      <c r="G648" s="242"/>
      <c r="H648" s="242"/>
      <c r="I648" s="242"/>
      <c r="J648" s="242"/>
      <c r="K648" s="242"/>
      <c r="L648" s="242"/>
      <c r="M648" s="242"/>
      <c r="N648" s="242"/>
      <c r="O648" s="242"/>
      <c r="P648" s="13"/>
      <c r="Q648" s="13"/>
      <c r="R648" s="13"/>
      <c r="S648" s="13"/>
      <c r="T648" s="13"/>
      <c r="U648" s="13"/>
      <c r="V648" s="13"/>
      <c r="W648" s="13"/>
      <c r="X648" s="13"/>
      <c r="Y648" s="13"/>
      <c r="Z648" s="13"/>
      <c r="AA648" s="13"/>
      <c r="AB648" s="13"/>
      <c r="AC648" s="13"/>
      <c r="AD648" s="13"/>
      <c r="AE648" s="13"/>
      <c r="AF648" s="242"/>
      <c r="AG648" s="242"/>
      <c r="AH648" s="242"/>
      <c r="AI648" s="242"/>
      <c r="AJ648" s="242"/>
      <c r="AK648" s="242"/>
      <c r="AL648" s="242"/>
      <c r="AM648" s="242"/>
      <c r="AN648" s="242"/>
      <c r="AO648" s="242"/>
      <c r="AP648" s="242"/>
    </row>
    <row r="649">
      <c r="A649" s="242"/>
      <c r="B649" s="242"/>
      <c r="C649" s="242"/>
      <c r="D649" s="242"/>
      <c r="E649" s="242"/>
      <c r="F649" s="242"/>
      <c r="G649" s="242"/>
      <c r="H649" s="242"/>
      <c r="I649" s="242"/>
      <c r="J649" s="242"/>
      <c r="K649" s="242"/>
      <c r="L649" s="242"/>
      <c r="M649" s="242"/>
      <c r="N649" s="242"/>
      <c r="O649" s="242"/>
      <c r="P649" s="13"/>
      <c r="Q649" s="13"/>
      <c r="R649" s="13"/>
      <c r="S649" s="13"/>
      <c r="T649" s="13"/>
      <c r="U649" s="13"/>
      <c r="V649" s="13"/>
      <c r="W649" s="13"/>
      <c r="X649" s="13"/>
      <c r="Y649" s="13"/>
      <c r="Z649" s="13"/>
      <c r="AA649" s="13"/>
      <c r="AB649" s="13"/>
      <c r="AC649" s="13"/>
      <c r="AD649" s="13"/>
      <c r="AE649" s="13"/>
      <c r="AF649" s="242"/>
      <c r="AG649" s="242"/>
      <c r="AH649" s="242"/>
      <c r="AI649" s="242"/>
      <c r="AJ649" s="242"/>
      <c r="AK649" s="242"/>
      <c r="AL649" s="242"/>
      <c r="AM649" s="242"/>
      <c r="AN649" s="242"/>
      <c r="AO649" s="242"/>
      <c r="AP649" s="242"/>
    </row>
    <row r="650">
      <c r="A650" s="242"/>
      <c r="B650" s="242"/>
      <c r="C650" s="242"/>
      <c r="D650" s="242"/>
      <c r="E650" s="242"/>
      <c r="F650" s="242"/>
      <c r="G650" s="242"/>
      <c r="H650" s="242"/>
      <c r="I650" s="242"/>
      <c r="J650" s="242"/>
      <c r="K650" s="242"/>
      <c r="L650" s="242"/>
      <c r="M650" s="242"/>
      <c r="N650" s="242"/>
      <c r="O650" s="242"/>
      <c r="P650" s="13"/>
      <c r="Q650" s="13"/>
      <c r="R650" s="13"/>
      <c r="S650" s="13"/>
      <c r="T650" s="13"/>
      <c r="U650" s="13"/>
      <c r="V650" s="13"/>
      <c r="W650" s="13"/>
      <c r="X650" s="13"/>
      <c r="Y650" s="13"/>
      <c r="Z650" s="13"/>
      <c r="AA650" s="13"/>
      <c r="AB650" s="13"/>
      <c r="AC650" s="13"/>
      <c r="AD650" s="13"/>
      <c r="AE650" s="13"/>
      <c r="AF650" s="242"/>
      <c r="AG650" s="242"/>
      <c r="AH650" s="242"/>
      <c r="AI650" s="242"/>
      <c r="AJ650" s="242"/>
      <c r="AK650" s="242"/>
      <c r="AL650" s="242"/>
      <c r="AM650" s="242"/>
      <c r="AN650" s="242"/>
      <c r="AO650" s="242"/>
      <c r="AP650" s="242"/>
    </row>
    <row r="651">
      <c r="A651" s="242"/>
      <c r="B651" s="242"/>
      <c r="C651" s="242"/>
      <c r="D651" s="242"/>
      <c r="E651" s="242"/>
      <c r="F651" s="242"/>
      <c r="G651" s="242"/>
      <c r="H651" s="242"/>
      <c r="I651" s="242"/>
      <c r="J651" s="242"/>
      <c r="K651" s="242"/>
      <c r="L651" s="242"/>
      <c r="M651" s="242"/>
      <c r="N651" s="242"/>
      <c r="O651" s="242"/>
      <c r="P651" s="13"/>
      <c r="Q651" s="13"/>
      <c r="R651" s="13"/>
      <c r="S651" s="13"/>
      <c r="T651" s="13"/>
      <c r="U651" s="13"/>
      <c r="V651" s="13"/>
      <c r="W651" s="13"/>
      <c r="X651" s="13"/>
      <c r="Y651" s="13"/>
      <c r="Z651" s="13"/>
      <c r="AA651" s="13"/>
      <c r="AB651" s="13"/>
      <c r="AC651" s="13"/>
      <c r="AD651" s="13"/>
      <c r="AE651" s="13"/>
      <c r="AF651" s="242"/>
      <c r="AG651" s="242"/>
      <c r="AH651" s="242"/>
      <c r="AI651" s="242"/>
      <c r="AJ651" s="242"/>
      <c r="AK651" s="242"/>
      <c r="AL651" s="242"/>
      <c r="AM651" s="242"/>
      <c r="AN651" s="242"/>
      <c r="AO651" s="242"/>
      <c r="AP651" s="242"/>
    </row>
    <row r="652">
      <c r="A652" s="242"/>
      <c r="B652" s="242"/>
      <c r="C652" s="242"/>
      <c r="D652" s="242"/>
      <c r="E652" s="242"/>
      <c r="F652" s="242"/>
      <c r="G652" s="242"/>
      <c r="H652" s="242"/>
      <c r="I652" s="242"/>
      <c r="J652" s="242"/>
      <c r="K652" s="242"/>
      <c r="L652" s="242"/>
      <c r="M652" s="242"/>
      <c r="N652" s="242"/>
      <c r="O652" s="242"/>
      <c r="P652" s="13"/>
      <c r="Q652" s="13"/>
      <c r="R652" s="13"/>
      <c r="S652" s="13"/>
      <c r="T652" s="13"/>
      <c r="U652" s="13"/>
      <c r="V652" s="13"/>
      <c r="W652" s="13"/>
      <c r="X652" s="13"/>
      <c r="Y652" s="13"/>
      <c r="Z652" s="13"/>
      <c r="AA652" s="13"/>
      <c r="AB652" s="13"/>
      <c r="AC652" s="13"/>
      <c r="AD652" s="13"/>
      <c r="AE652" s="13"/>
      <c r="AF652" s="242"/>
      <c r="AG652" s="242"/>
      <c r="AH652" s="242"/>
      <c r="AI652" s="242"/>
      <c r="AJ652" s="242"/>
      <c r="AK652" s="242"/>
      <c r="AL652" s="242"/>
      <c r="AM652" s="242"/>
      <c r="AN652" s="242"/>
      <c r="AO652" s="242"/>
      <c r="AP652" s="242"/>
    </row>
    <row r="653">
      <c r="A653" s="242"/>
      <c r="B653" s="242"/>
      <c r="C653" s="242"/>
      <c r="D653" s="242"/>
      <c r="E653" s="242"/>
      <c r="F653" s="242"/>
      <c r="G653" s="242"/>
      <c r="H653" s="242"/>
      <c r="I653" s="242"/>
      <c r="J653" s="242"/>
      <c r="K653" s="242"/>
      <c r="L653" s="242"/>
      <c r="M653" s="242"/>
      <c r="N653" s="242"/>
      <c r="O653" s="242"/>
      <c r="P653" s="13"/>
      <c r="Q653" s="13"/>
      <c r="R653" s="13"/>
      <c r="S653" s="13"/>
      <c r="T653" s="13"/>
      <c r="U653" s="13"/>
      <c r="V653" s="13"/>
      <c r="W653" s="13"/>
      <c r="X653" s="13"/>
      <c r="Y653" s="13"/>
      <c r="Z653" s="13"/>
      <c r="AA653" s="13"/>
      <c r="AB653" s="13"/>
      <c r="AC653" s="13"/>
      <c r="AD653" s="13"/>
      <c r="AE653" s="13"/>
      <c r="AF653" s="242"/>
      <c r="AG653" s="242"/>
      <c r="AH653" s="242"/>
      <c r="AI653" s="242"/>
      <c r="AJ653" s="242"/>
      <c r="AK653" s="242"/>
      <c r="AL653" s="242"/>
      <c r="AM653" s="242"/>
      <c r="AN653" s="242"/>
      <c r="AO653" s="242"/>
      <c r="AP653" s="242"/>
    </row>
    <row r="654">
      <c r="A654" s="242"/>
      <c r="B654" s="242"/>
      <c r="C654" s="242"/>
      <c r="D654" s="242"/>
      <c r="E654" s="242"/>
      <c r="F654" s="242"/>
      <c r="G654" s="242"/>
      <c r="H654" s="242"/>
      <c r="I654" s="242"/>
      <c r="J654" s="242"/>
      <c r="K654" s="242"/>
      <c r="L654" s="242"/>
      <c r="M654" s="242"/>
      <c r="N654" s="242"/>
      <c r="O654" s="242"/>
      <c r="P654" s="13"/>
      <c r="Q654" s="13"/>
      <c r="R654" s="13"/>
      <c r="S654" s="13"/>
      <c r="T654" s="13"/>
      <c r="U654" s="13"/>
      <c r="V654" s="13"/>
      <c r="W654" s="13"/>
      <c r="X654" s="13"/>
      <c r="Y654" s="13"/>
      <c r="Z654" s="13"/>
      <c r="AA654" s="13"/>
      <c r="AB654" s="13"/>
      <c r="AC654" s="13"/>
      <c r="AD654" s="13"/>
      <c r="AE654" s="13"/>
      <c r="AF654" s="242"/>
      <c r="AG654" s="242"/>
      <c r="AH654" s="242"/>
      <c r="AI654" s="242"/>
      <c r="AJ654" s="242"/>
      <c r="AK654" s="242"/>
      <c r="AL654" s="242"/>
      <c r="AM654" s="242"/>
      <c r="AN654" s="242"/>
      <c r="AO654" s="242"/>
      <c r="AP654" s="242"/>
    </row>
    <row r="655">
      <c r="A655" s="242"/>
      <c r="B655" s="242"/>
      <c r="C655" s="242"/>
      <c r="D655" s="242"/>
      <c r="E655" s="242"/>
      <c r="F655" s="242"/>
      <c r="G655" s="242"/>
      <c r="H655" s="242"/>
      <c r="I655" s="242"/>
      <c r="J655" s="242"/>
      <c r="K655" s="242"/>
      <c r="L655" s="242"/>
      <c r="M655" s="242"/>
      <c r="N655" s="242"/>
      <c r="O655" s="242"/>
      <c r="P655" s="13"/>
      <c r="Q655" s="13"/>
      <c r="R655" s="13"/>
      <c r="S655" s="13"/>
      <c r="T655" s="13"/>
      <c r="U655" s="13"/>
      <c r="V655" s="13"/>
      <c r="W655" s="13"/>
      <c r="X655" s="13"/>
      <c r="Y655" s="13"/>
      <c r="Z655" s="13"/>
      <c r="AA655" s="13"/>
      <c r="AB655" s="13"/>
      <c r="AC655" s="13"/>
      <c r="AD655" s="13"/>
      <c r="AE655" s="13"/>
      <c r="AF655" s="242"/>
      <c r="AG655" s="242"/>
      <c r="AH655" s="242"/>
      <c r="AI655" s="242"/>
      <c r="AJ655" s="242"/>
      <c r="AK655" s="242"/>
      <c r="AL655" s="242"/>
      <c r="AM655" s="242"/>
      <c r="AN655" s="242"/>
      <c r="AO655" s="242"/>
      <c r="AP655" s="242"/>
    </row>
    <row r="656">
      <c r="A656" s="242"/>
      <c r="B656" s="242"/>
      <c r="C656" s="242"/>
      <c r="D656" s="242"/>
      <c r="E656" s="242"/>
      <c r="F656" s="242"/>
      <c r="G656" s="242"/>
      <c r="H656" s="242"/>
      <c r="I656" s="242"/>
      <c r="J656" s="242"/>
      <c r="K656" s="242"/>
      <c r="L656" s="242"/>
      <c r="M656" s="242"/>
      <c r="N656" s="242"/>
      <c r="O656" s="242"/>
      <c r="P656" s="13"/>
      <c r="Q656" s="13"/>
      <c r="R656" s="13"/>
      <c r="S656" s="13"/>
      <c r="T656" s="13"/>
      <c r="U656" s="13"/>
      <c r="V656" s="13"/>
      <c r="W656" s="13"/>
      <c r="X656" s="13"/>
      <c r="Y656" s="13"/>
      <c r="Z656" s="13"/>
      <c r="AA656" s="13"/>
      <c r="AB656" s="13"/>
      <c r="AC656" s="13"/>
      <c r="AD656" s="13"/>
      <c r="AE656" s="13"/>
      <c r="AF656" s="242"/>
      <c r="AG656" s="242"/>
      <c r="AH656" s="242"/>
      <c r="AI656" s="242"/>
      <c r="AJ656" s="242"/>
      <c r="AK656" s="242"/>
      <c r="AL656" s="242"/>
      <c r="AM656" s="242"/>
      <c r="AN656" s="242"/>
      <c r="AO656" s="242"/>
      <c r="AP656" s="242"/>
    </row>
    <row r="657">
      <c r="A657" s="242"/>
      <c r="B657" s="242"/>
      <c r="C657" s="242"/>
      <c r="D657" s="242"/>
      <c r="E657" s="242"/>
      <c r="F657" s="242"/>
      <c r="G657" s="242"/>
      <c r="H657" s="242"/>
      <c r="I657" s="242"/>
      <c r="J657" s="242"/>
      <c r="K657" s="242"/>
      <c r="L657" s="242"/>
      <c r="M657" s="242"/>
      <c r="N657" s="242"/>
      <c r="O657" s="242"/>
      <c r="P657" s="13"/>
      <c r="Q657" s="13"/>
      <c r="R657" s="13"/>
      <c r="S657" s="13"/>
      <c r="T657" s="13"/>
      <c r="U657" s="13"/>
      <c r="V657" s="13"/>
      <c r="W657" s="13"/>
      <c r="X657" s="13"/>
      <c r="Y657" s="13"/>
      <c r="Z657" s="13"/>
      <c r="AA657" s="13"/>
      <c r="AB657" s="13"/>
      <c r="AC657" s="13"/>
      <c r="AD657" s="13"/>
      <c r="AE657" s="13"/>
      <c r="AF657" s="242"/>
      <c r="AG657" s="242"/>
      <c r="AH657" s="242"/>
      <c r="AI657" s="242"/>
      <c r="AJ657" s="242"/>
      <c r="AK657" s="242"/>
      <c r="AL657" s="242"/>
      <c r="AM657" s="242"/>
      <c r="AN657" s="242"/>
      <c r="AO657" s="242"/>
      <c r="AP657" s="242"/>
    </row>
    <row r="658">
      <c r="A658" s="242"/>
      <c r="B658" s="242"/>
      <c r="C658" s="242"/>
      <c r="D658" s="242"/>
      <c r="E658" s="242"/>
      <c r="F658" s="242"/>
      <c r="G658" s="242"/>
      <c r="H658" s="242"/>
      <c r="I658" s="242"/>
      <c r="J658" s="242"/>
      <c r="K658" s="242"/>
      <c r="L658" s="242"/>
      <c r="M658" s="242"/>
      <c r="N658" s="242"/>
      <c r="O658" s="242"/>
      <c r="P658" s="13"/>
      <c r="Q658" s="13"/>
      <c r="R658" s="13"/>
      <c r="S658" s="13"/>
      <c r="T658" s="13"/>
      <c r="U658" s="13"/>
      <c r="V658" s="13"/>
      <c r="W658" s="13"/>
      <c r="X658" s="13"/>
      <c r="Y658" s="13"/>
      <c r="Z658" s="13"/>
      <c r="AA658" s="13"/>
      <c r="AB658" s="13"/>
      <c r="AC658" s="13"/>
      <c r="AD658" s="13"/>
      <c r="AE658" s="13"/>
      <c r="AF658" s="242"/>
      <c r="AG658" s="242"/>
      <c r="AH658" s="242"/>
      <c r="AI658" s="242"/>
      <c r="AJ658" s="242"/>
      <c r="AK658" s="242"/>
      <c r="AL658" s="242"/>
      <c r="AM658" s="242"/>
      <c r="AN658" s="242"/>
      <c r="AO658" s="242"/>
      <c r="AP658" s="242"/>
    </row>
    <row r="659">
      <c r="A659" s="242"/>
      <c r="B659" s="242"/>
      <c r="C659" s="242"/>
      <c r="D659" s="242"/>
      <c r="E659" s="242"/>
      <c r="F659" s="242"/>
      <c r="G659" s="242"/>
      <c r="H659" s="242"/>
      <c r="I659" s="242"/>
      <c r="J659" s="242"/>
      <c r="K659" s="242"/>
      <c r="L659" s="242"/>
      <c r="M659" s="242"/>
      <c r="N659" s="242"/>
      <c r="O659" s="242"/>
      <c r="P659" s="13"/>
      <c r="Q659" s="13"/>
      <c r="R659" s="13"/>
      <c r="S659" s="13"/>
      <c r="T659" s="13"/>
      <c r="U659" s="13"/>
      <c r="V659" s="13"/>
      <c r="W659" s="13"/>
      <c r="X659" s="13"/>
      <c r="Y659" s="13"/>
      <c r="Z659" s="13"/>
      <c r="AA659" s="13"/>
      <c r="AB659" s="13"/>
      <c r="AC659" s="13"/>
      <c r="AD659" s="13"/>
      <c r="AE659" s="13"/>
      <c r="AF659" s="242"/>
      <c r="AG659" s="242"/>
      <c r="AH659" s="242"/>
      <c r="AI659" s="242"/>
      <c r="AJ659" s="242"/>
      <c r="AK659" s="242"/>
      <c r="AL659" s="242"/>
      <c r="AM659" s="242"/>
      <c r="AN659" s="242"/>
      <c r="AO659" s="242"/>
      <c r="AP659" s="242"/>
    </row>
    <row r="660">
      <c r="A660" s="242"/>
      <c r="B660" s="242"/>
      <c r="C660" s="242"/>
      <c r="D660" s="242"/>
      <c r="E660" s="242"/>
      <c r="F660" s="242"/>
      <c r="G660" s="242"/>
      <c r="H660" s="242"/>
      <c r="I660" s="242"/>
      <c r="J660" s="242"/>
      <c r="K660" s="242"/>
      <c r="L660" s="242"/>
      <c r="M660" s="242"/>
      <c r="N660" s="242"/>
      <c r="O660" s="242"/>
      <c r="P660" s="13"/>
      <c r="Q660" s="13"/>
      <c r="R660" s="13"/>
      <c r="S660" s="13"/>
      <c r="T660" s="13"/>
      <c r="U660" s="13"/>
      <c r="V660" s="13"/>
      <c r="W660" s="13"/>
      <c r="X660" s="13"/>
      <c r="Y660" s="13"/>
      <c r="Z660" s="13"/>
      <c r="AA660" s="13"/>
      <c r="AB660" s="13"/>
      <c r="AC660" s="13"/>
      <c r="AD660" s="13"/>
      <c r="AE660" s="13"/>
      <c r="AF660" s="242"/>
      <c r="AG660" s="242"/>
      <c r="AH660" s="242"/>
      <c r="AI660" s="242"/>
      <c r="AJ660" s="242"/>
      <c r="AK660" s="242"/>
      <c r="AL660" s="242"/>
      <c r="AM660" s="242"/>
      <c r="AN660" s="242"/>
      <c r="AO660" s="242"/>
      <c r="AP660" s="242"/>
    </row>
    <row r="661">
      <c r="A661" s="242"/>
      <c r="B661" s="242"/>
      <c r="C661" s="242"/>
      <c r="D661" s="242"/>
      <c r="E661" s="242"/>
      <c r="F661" s="242"/>
      <c r="G661" s="242"/>
      <c r="H661" s="242"/>
      <c r="I661" s="242"/>
      <c r="J661" s="242"/>
      <c r="K661" s="242"/>
      <c r="L661" s="242"/>
      <c r="M661" s="242"/>
      <c r="N661" s="242"/>
      <c r="O661" s="242"/>
      <c r="P661" s="13"/>
      <c r="Q661" s="13"/>
      <c r="R661" s="13"/>
      <c r="S661" s="13"/>
      <c r="T661" s="13"/>
      <c r="U661" s="13"/>
      <c r="V661" s="13"/>
      <c r="W661" s="13"/>
      <c r="X661" s="13"/>
      <c r="Y661" s="13"/>
      <c r="Z661" s="13"/>
      <c r="AA661" s="13"/>
      <c r="AB661" s="13"/>
      <c r="AC661" s="13"/>
      <c r="AD661" s="13"/>
      <c r="AE661" s="13"/>
      <c r="AF661" s="242"/>
      <c r="AG661" s="242"/>
      <c r="AH661" s="242"/>
      <c r="AI661" s="242"/>
      <c r="AJ661" s="242"/>
      <c r="AK661" s="242"/>
      <c r="AL661" s="242"/>
      <c r="AM661" s="242"/>
      <c r="AN661" s="242"/>
      <c r="AO661" s="242"/>
      <c r="AP661" s="242"/>
    </row>
    <row r="662">
      <c r="A662" s="242"/>
      <c r="B662" s="242"/>
      <c r="C662" s="242"/>
      <c r="D662" s="242"/>
      <c r="E662" s="242"/>
      <c r="F662" s="242"/>
      <c r="G662" s="242"/>
      <c r="H662" s="242"/>
      <c r="I662" s="242"/>
      <c r="J662" s="242"/>
      <c r="K662" s="242"/>
      <c r="L662" s="242"/>
      <c r="M662" s="242"/>
      <c r="N662" s="242"/>
      <c r="O662" s="242"/>
      <c r="P662" s="13"/>
      <c r="Q662" s="13"/>
      <c r="R662" s="13"/>
      <c r="S662" s="13"/>
      <c r="T662" s="13"/>
      <c r="U662" s="13"/>
      <c r="V662" s="13"/>
      <c r="W662" s="13"/>
      <c r="X662" s="13"/>
      <c r="Y662" s="13"/>
      <c r="Z662" s="13"/>
      <c r="AA662" s="13"/>
      <c r="AB662" s="13"/>
      <c r="AC662" s="13"/>
      <c r="AD662" s="13"/>
      <c r="AE662" s="13"/>
      <c r="AF662" s="242"/>
      <c r="AG662" s="242"/>
      <c r="AH662" s="242"/>
      <c r="AI662" s="242"/>
      <c r="AJ662" s="242"/>
      <c r="AK662" s="242"/>
      <c r="AL662" s="242"/>
      <c r="AM662" s="242"/>
      <c r="AN662" s="242"/>
      <c r="AO662" s="242"/>
      <c r="AP662" s="242"/>
    </row>
    <row r="663">
      <c r="A663" s="242"/>
      <c r="B663" s="242"/>
      <c r="C663" s="242"/>
      <c r="D663" s="242"/>
      <c r="E663" s="242"/>
      <c r="F663" s="242"/>
      <c r="G663" s="242"/>
      <c r="H663" s="242"/>
      <c r="I663" s="242"/>
      <c r="J663" s="242"/>
      <c r="K663" s="242"/>
      <c r="L663" s="242"/>
      <c r="M663" s="242"/>
      <c r="N663" s="242"/>
      <c r="O663" s="242"/>
      <c r="P663" s="13"/>
      <c r="Q663" s="13"/>
      <c r="R663" s="13"/>
      <c r="S663" s="13"/>
      <c r="T663" s="13"/>
      <c r="U663" s="13"/>
      <c r="V663" s="13"/>
      <c r="W663" s="13"/>
      <c r="X663" s="13"/>
      <c r="Y663" s="13"/>
      <c r="Z663" s="13"/>
      <c r="AA663" s="13"/>
      <c r="AB663" s="13"/>
      <c r="AC663" s="13"/>
      <c r="AD663" s="13"/>
      <c r="AE663" s="13"/>
      <c r="AF663" s="242"/>
      <c r="AG663" s="242"/>
      <c r="AH663" s="242"/>
      <c r="AI663" s="242"/>
      <c r="AJ663" s="242"/>
      <c r="AK663" s="242"/>
      <c r="AL663" s="242"/>
      <c r="AM663" s="242"/>
      <c r="AN663" s="242"/>
      <c r="AO663" s="242"/>
      <c r="AP663" s="242"/>
    </row>
    <row r="664">
      <c r="A664" s="242"/>
      <c r="B664" s="242"/>
      <c r="C664" s="242"/>
      <c r="D664" s="242"/>
      <c r="E664" s="242"/>
      <c r="F664" s="242"/>
      <c r="G664" s="242"/>
      <c r="H664" s="242"/>
      <c r="I664" s="242"/>
      <c r="J664" s="242"/>
      <c r="K664" s="242"/>
      <c r="L664" s="242"/>
      <c r="M664" s="242"/>
      <c r="N664" s="242"/>
      <c r="O664" s="242"/>
      <c r="P664" s="13"/>
      <c r="Q664" s="13"/>
      <c r="R664" s="13"/>
      <c r="S664" s="13"/>
      <c r="T664" s="13"/>
      <c r="U664" s="13"/>
      <c r="V664" s="13"/>
      <c r="W664" s="13"/>
      <c r="X664" s="13"/>
      <c r="Y664" s="13"/>
      <c r="Z664" s="13"/>
      <c r="AA664" s="13"/>
      <c r="AB664" s="13"/>
      <c r="AC664" s="13"/>
      <c r="AD664" s="13"/>
      <c r="AE664" s="13"/>
      <c r="AF664" s="242"/>
      <c r="AG664" s="242"/>
      <c r="AH664" s="242"/>
      <c r="AI664" s="242"/>
      <c r="AJ664" s="242"/>
      <c r="AK664" s="242"/>
      <c r="AL664" s="242"/>
      <c r="AM664" s="242"/>
      <c r="AN664" s="242"/>
      <c r="AO664" s="242"/>
      <c r="AP664" s="242"/>
    </row>
    <row r="665">
      <c r="A665" s="242"/>
      <c r="B665" s="242"/>
      <c r="C665" s="242"/>
      <c r="D665" s="242"/>
      <c r="E665" s="242"/>
      <c r="F665" s="242"/>
      <c r="G665" s="242"/>
      <c r="H665" s="242"/>
      <c r="I665" s="242"/>
      <c r="J665" s="242"/>
      <c r="K665" s="242"/>
      <c r="L665" s="242"/>
      <c r="M665" s="242"/>
      <c r="N665" s="242"/>
      <c r="O665" s="242"/>
      <c r="P665" s="13"/>
      <c r="Q665" s="13"/>
      <c r="R665" s="13"/>
      <c r="S665" s="13"/>
      <c r="T665" s="13"/>
      <c r="U665" s="13"/>
      <c r="V665" s="13"/>
      <c r="W665" s="13"/>
      <c r="X665" s="13"/>
      <c r="Y665" s="13"/>
      <c r="Z665" s="13"/>
      <c r="AA665" s="13"/>
      <c r="AB665" s="13"/>
      <c r="AC665" s="13"/>
      <c r="AD665" s="13"/>
      <c r="AE665" s="13"/>
      <c r="AF665" s="242"/>
      <c r="AG665" s="242"/>
      <c r="AH665" s="242"/>
      <c r="AI665" s="242"/>
      <c r="AJ665" s="242"/>
      <c r="AK665" s="242"/>
      <c r="AL665" s="242"/>
      <c r="AM665" s="242"/>
      <c r="AN665" s="242"/>
      <c r="AO665" s="242"/>
      <c r="AP665" s="242"/>
    </row>
    <row r="666">
      <c r="A666" s="242"/>
      <c r="B666" s="242"/>
      <c r="C666" s="242"/>
      <c r="D666" s="242"/>
      <c r="E666" s="242"/>
      <c r="F666" s="242"/>
      <c r="G666" s="242"/>
      <c r="H666" s="242"/>
      <c r="I666" s="242"/>
      <c r="J666" s="242"/>
      <c r="K666" s="242"/>
      <c r="L666" s="242"/>
      <c r="M666" s="242"/>
      <c r="N666" s="242"/>
      <c r="O666" s="242"/>
      <c r="P666" s="13"/>
      <c r="Q666" s="13"/>
      <c r="R666" s="13"/>
      <c r="S666" s="13"/>
      <c r="T666" s="13"/>
      <c r="U666" s="13"/>
      <c r="V666" s="13"/>
      <c r="W666" s="13"/>
      <c r="X666" s="13"/>
      <c r="Y666" s="13"/>
      <c r="Z666" s="13"/>
      <c r="AA666" s="13"/>
      <c r="AB666" s="13"/>
      <c r="AC666" s="13"/>
      <c r="AD666" s="13"/>
      <c r="AE666" s="13"/>
      <c r="AF666" s="242"/>
      <c r="AG666" s="242"/>
      <c r="AH666" s="242"/>
      <c r="AI666" s="242"/>
      <c r="AJ666" s="242"/>
      <c r="AK666" s="242"/>
      <c r="AL666" s="242"/>
      <c r="AM666" s="242"/>
      <c r="AN666" s="242"/>
      <c r="AO666" s="242"/>
      <c r="AP666" s="242"/>
    </row>
    <row r="667">
      <c r="A667" s="242"/>
      <c r="B667" s="242"/>
      <c r="C667" s="242"/>
      <c r="D667" s="242"/>
      <c r="E667" s="242"/>
      <c r="F667" s="242"/>
      <c r="G667" s="242"/>
      <c r="H667" s="242"/>
      <c r="I667" s="242"/>
      <c r="J667" s="242"/>
      <c r="K667" s="242"/>
      <c r="L667" s="242"/>
      <c r="M667" s="242"/>
      <c r="N667" s="242"/>
      <c r="O667" s="242"/>
      <c r="P667" s="13"/>
      <c r="Q667" s="13"/>
      <c r="R667" s="13"/>
      <c r="S667" s="13"/>
      <c r="T667" s="13"/>
      <c r="U667" s="13"/>
      <c r="V667" s="13"/>
      <c r="W667" s="13"/>
      <c r="X667" s="13"/>
      <c r="Y667" s="13"/>
      <c r="Z667" s="13"/>
      <c r="AA667" s="13"/>
      <c r="AB667" s="13"/>
      <c r="AC667" s="13"/>
      <c r="AD667" s="13"/>
      <c r="AE667" s="13"/>
      <c r="AF667" s="242"/>
      <c r="AG667" s="242"/>
      <c r="AH667" s="242"/>
      <c r="AI667" s="242"/>
      <c r="AJ667" s="242"/>
      <c r="AK667" s="242"/>
      <c r="AL667" s="242"/>
      <c r="AM667" s="242"/>
      <c r="AN667" s="242"/>
      <c r="AO667" s="242"/>
      <c r="AP667" s="242"/>
    </row>
    <row r="668">
      <c r="A668" s="242"/>
      <c r="B668" s="242"/>
      <c r="C668" s="242"/>
      <c r="D668" s="242"/>
      <c r="E668" s="242"/>
      <c r="F668" s="242"/>
      <c r="G668" s="242"/>
      <c r="H668" s="242"/>
      <c r="I668" s="242"/>
      <c r="J668" s="242"/>
      <c r="K668" s="242"/>
      <c r="L668" s="242"/>
      <c r="M668" s="242"/>
      <c r="N668" s="242"/>
      <c r="O668" s="242"/>
      <c r="P668" s="13"/>
      <c r="Q668" s="13"/>
      <c r="R668" s="13"/>
      <c r="S668" s="13"/>
      <c r="T668" s="13"/>
      <c r="U668" s="13"/>
      <c r="V668" s="13"/>
      <c r="W668" s="13"/>
      <c r="X668" s="13"/>
      <c r="Y668" s="13"/>
      <c r="Z668" s="13"/>
      <c r="AA668" s="13"/>
      <c r="AB668" s="13"/>
      <c r="AC668" s="13"/>
      <c r="AD668" s="13"/>
      <c r="AE668" s="13"/>
      <c r="AF668" s="242"/>
      <c r="AG668" s="242"/>
      <c r="AH668" s="242"/>
      <c r="AI668" s="242"/>
      <c r="AJ668" s="242"/>
      <c r="AK668" s="242"/>
      <c r="AL668" s="242"/>
      <c r="AM668" s="242"/>
      <c r="AN668" s="242"/>
      <c r="AO668" s="242"/>
      <c r="AP668" s="242"/>
    </row>
    <row r="669">
      <c r="A669" s="242"/>
      <c r="B669" s="242"/>
      <c r="C669" s="242"/>
      <c r="D669" s="242"/>
      <c r="E669" s="242"/>
      <c r="F669" s="242"/>
      <c r="G669" s="242"/>
      <c r="H669" s="242"/>
      <c r="I669" s="242"/>
      <c r="J669" s="242"/>
      <c r="K669" s="242"/>
      <c r="L669" s="242"/>
      <c r="M669" s="242"/>
      <c r="N669" s="242"/>
      <c r="O669" s="242"/>
      <c r="P669" s="13"/>
      <c r="Q669" s="13"/>
      <c r="R669" s="13"/>
      <c r="S669" s="13"/>
      <c r="T669" s="13"/>
      <c r="U669" s="13"/>
      <c r="V669" s="13"/>
      <c r="W669" s="13"/>
      <c r="X669" s="13"/>
      <c r="Y669" s="13"/>
      <c r="Z669" s="13"/>
      <c r="AA669" s="13"/>
      <c r="AB669" s="13"/>
      <c r="AC669" s="13"/>
      <c r="AD669" s="13"/>
      <c r="AE669" s="13"/>
      <c r="AF669" s="242"/>
      <c r="AG669" s="242"/>
      <c r="AH669" s="242"/>
      <c r="AI669" s="242"/>
      <c r="AJ669" s="242"/>
      <c r="AK669" s="242"/>
      <c r="AL669" s="242"/>
      <c r="AM669" s="242"/>
      <c r="AN669" s="242"/>
      <c r="AO669" s="242"/>
      <c r="AP669" s="242"/>
    </row>
    <row r="670">
      <c r="A670" s="242"/>
      <c r="B670" s="242"/>
      <c r="C670" s="242"/>
      <c r="D670" s="242"/>
      <c r="E670" s="242"/>
      <c r="F670" s="242"/>
      <c r="G670" s="242"/>
      <c r="H670" s="242"/>
      <c r="I670" s="242"/>
      <c r="J670" s="242"/>
      <c r="K670" s="242"/>
      <c r="L670" s="242"/>
      <c r="M670" s="242"/>
      <c r="N670" s="242"/>
      <c r="O670" s="242"/>
      <c r="P670" s="13"/>
      <c r="Q670" s="13"/>
      <c r="R670" s="13"/>
      <c r="S670" s="13"/>
      <c r="T670" s="13"/>
      <c r="U670" s="13"/>
      <c r="V670" s="13"/>
      <c r="W670" s="13"/>
      <c r="X670" s="13"/>
      <c r="Y670" s="13"/>
      <c r="Z670" s="13"/>
      <c r="AA670" s="13"/>
      <c r="AB670" s="13"/>
      <c r="AC670" s="13"/>
      <c r="AD670" s="13"/>
      <c r="AE670" s="13"/>
      <c r="AF670" s="242"/>
      <c r="AG670" s="242"/>
      <c r="AH670" s="242"/>
      <c r="AI670" s="242"/>
      <c r="AJ670" s="242"/>
      <c r="AK670" s="242"/>
      <c r="AL670" s="242"/>
      <c r="AM670" s="242"/>
      <c r="AN670" s="242"/>
      <c r="AO670" s="242"/>
      <c r="AP670" s="242"/>
    </row>
    <row r="671">
      <c r="A671" s="242"/>
      <c r="B671" s="242"/>
      <c r="C671" s="242"/>
      <c r="D671" s="242"/>
      <c r="E671" s="242"/>
      <c r="F671" s="242"/>
      <c r="G671" s="242"/>
      <c r="H671" s="242"/>
      <c r="I671" s="242"/>
      <c r="J671" s="242"/>
      <c r="K671" s="242"/>
      <c r="L671" s="242"/>
      <c r="M671" s="242"/>
      <c r="N671" s="242"/>
      <c r="O671" s="242"/>
      <c r="P671" s="13"/>
      <c r="Q671" s="13"/>
      <c r="R671" s="13"/>
      <c r="S671" s="13"/>
      <c r="T671" s="13"/>
      <c r="U671" s="13"/>
      <c r="V671" s="13"/>
      <c r="W671" s="13"/>
      <c r="X671" s="13"/>
      <c r="Y671" s="13"/>
      <c r="Z671" s="13"/>
      <c r="AA671" s="13"/>
      <c r="AB671" s="13"/>
      <c r="AC671" s="13"/>
      <c r="AD671" s="13"/>
      <c r="AE671" s="13"/>
      <c r="AF671" s="242"/>
      <c r="AG671" s="242"/>
      <c r="AH671" s="242"/>
      <c r="AI671" s="242"/>
      <c r="AJ671" s="242"/>
      <c r="AK671" s="242"/>
      <c r="AL671" s="242"/>
      <c r="AM671" s="242"/>
      <c r="AN671" s="242"/>
      <c r="AO671" s="242"/>
      <c r="AP671" s="242"/>
    </row>
    <row r="672">
      <c r="A672" s="242"/>
      <c r="B672" s="242"/>
      <c r="C672" s="242"/>
      <c r="D672" s="242"/>
      <c r="E672" s="242"/>
      <c r="F672" s="242"/>
      <c r="G672" s="242"/>
      <c r="H672" s="242"/>
      <c r="I672" s="242"/>
      <c r="J672" s="242"/>
      <c r="K672" s="242"/>
      <c r="L672" s="242"/>
      <c r="M672" s="242"/>
      <c r="N672" s="242"/>
      <c r="O672" s="242"/>
      <c r="P672" s="13"/>
      <c r="Q672" s="13"/>
      <c r="R672" s="13"/>
      <c r="S672" s="13"/>
      <c r="T672" s="13"/>
      <c r="U672" s="13"/>
      <c r="V672" s="13"/>
      <c r="W672" s="13"/>
      <c r="X672" s="13"/>
      <c r="Y672" s="13"/>
      <c r="Z672" s="13"/>
      <c r="AA672" s="13"/>
      <c r="AB672" s="13"/>
      <c r="AC672" s="13"/>
      <c r="AD672" s="13"/>
      <c r="AE672" s="13"/>
      <c r="AF672" s="242"/>
      <c r="AG672" s="242"/>
      <c r="AH672" s="242"/>
      <c r="AI672" s="242"/>
      <c r="AJ672" s="242"/>
      <c r="AK672" s="242"/>
      <c r="AL672" s="242"/>
      <c r="AM672" s="242"/>
      <c r="AN672" s="242"/>
      <c r="AO672" s="242"/>
      <c r="AP672" s="242"/>
    </row>
    <row r="673">
      <c r="A673" s="242"/>
      <c r="B673" s="242"/>
      <c r="C673" s="242"/>
      <c r="D673" s="242"/>
      <c r="E673" s="242"/>
      <c r="F673" s="242"/>
      <c r="G673" s="242"/>
      <c r="H673" s="242"/>
      <c r="I673" s="242"/>
      <c r="J673" s="242"/>
      <c r="K673" s="242"/>
      <c r="L673" s="242"/>
      <c r="M673" s="242"/>
      <c r="N673" s="242"/>
      <c r="O673" s="242"/>
      <c r="P673" s="13"/>
      <c r="Q673" s="13"/>
      <c r="R673" s="13"/>
      <c r="S673" s="13"/>
      <c r="T673" s="13"/>
      <c r="U673" s="13"/>
      <c r="V673" s="13"/>
      <c r="W673" s="13"/>
      <c r="X673" s="13"/>
      <c r="Y673" s="13"/>
      <c r="Z673" s="13"/>
      <c r="AA673" s="13"/>
      <c r="AB673" s="13"/>
      <c r="AC673" s="13"/>
      <c r="AD673" s="13"/>
      <c r="AE673" s="13"/>
      <c r="AF673" s="242"/>
      <c r="AG673" s="242"/>
      <c r="AH673" s="242"/>
      <c r="AI673" s="242"/>
      <c r="AJ673" s="242"/>
      <c r="AK673" s="242"/>
      <c r="AL673" s="242"/>
      <c r="AM673" s="242"/>
      <c r="AN673" s="242"/>
      <c r="AO673" s="242"/>
      <c r="AP673" s="242"/>
    </row>
    <row r="674">
      <c r="A674" s="242"/>
      <c r="B674" s="242"/>
      <c r="C674" s="242"/>
      <c r="D674" s="242"/>
      <c r="E674" s="242"/>
      <c r="F674" s="242"/>
      <c r="G674" s="242"/>
      <c r="H674" s="242"/>
      <c r="I674" s="242"/>
      <c r="J674" s="242"/>
      <c r="K674" s="242"/>
      <c r="L674" s="242"/>
      <c r="M674" s="242"/>
      <c r="N674" s="242"/>
      <c r="O674" s="242"/>
      <c r="P674" s="13"/>
      <c r="Q674" s="13"/>
      <c r="R674" s="13"/>
      <c r="S674" s="13"/>
      <c r="T674" s="13"/>
      <c r="U674" s="13"/>
      <c r="V674" s="13"/>
      <c r="W674" s="13"/>
      <c r="X674" s="13"/>
      <c r="Y674" s="13"/>
      <c r="Z674" s="13"/>
      <c r="AA674" s="13"/>
      <c r="AB674" s="13"/>
      <c r="AC674" s="13"/>
      <c r="AD674" s="13"/>
      <c r="AE674" s="13"/>
      <c r="AF674" s="242"/>
      <c r="AG674" s="242"/>
      <c r="AH674" s="242"/>
      <c r="AI674" s="242"/>
      <c r="AJ674" s="242"/>
      <c r="AK674" s="242"/>
      <c r="AL674" s="242"/>
      <c r="AM674" s="242"/>
      <c r="AN674" s="242"/>
      <c r="AO674" s="242"/>
      <c r="AP674" s="242"/>
    </row>
    <row r="675">
      <c r="A675" s="242"/>
      <c r="B675" s="242"/>
      <c r="C675" s="242"/>
      <c r="D675" s="242"/>
      <c r="E675" s="242"/>
      <c r="F675" s="242"/>
      <c r="G675" s="242"/>
      <c r="H675" s="242"/>
      <c r="I675" s="242"/>
      <c r="J675" s="242"/>
      <c r="K675" s="242"/>
      <c r="L675" s="242"/>
      <c r="M675" s="242"/>
      <c r="N675" s="242"/>
      <c r="O675" s="242"/>
      <c r="P675" s="13"/>
      <c r="Q675" s="13"/>
      <c r="R675" s="13"/>
      <c r="S675" s="13"/>
      <c r="T675" s="13"/>
      <c r="U675" s="13"/>
      <c r="V675" s="13"/>
      <c r="W675" s="13"/>
      <c r="X675" s="13"/>
      <c r="Y675" s="13"/>
      <c r="Z675" s="13"/>
      <c r="AA675" s="13"/>
      <c r="AB675" s="13"/>
      <c r="AC675" s="13"/>
      <c r="AD675" s="13"/>
      <c r="AE675" s="13"/>
      <c r="AF675" s="242"/>
      <c r="AG675" s="242"/>
      <c r="AH675" s="242"/>
      <c r="AI675" s="242"/>
      <c r="AJ675" s="242"/>
      <c r="AK675" s="242"/>
      <c r="AL675" s="242"/>
      <c r="AM675" s="242"/>
      <c r="AN675" s="242"/>
      <c r="AO675" s="242"/>
      <c r="AP675" s="242"/>
    </row>
    <row r="676">
      <c r="A676" s="242"/>
      <c r="B676" s="242"/>
      <c r="C676" s="242"/>
      <c r="D676" s="242"/>
      <c r="E676" s="242"/>
      <c r="F676" s="242"/>
      <c r="G676" s="242"/>
      <c r="H676" s="242"/>
      <c r="I676" s="242"/>
      <c r="J676" s="242"/>
      <c r="K676" s="242"/>
      <c r="L676" s="242"/>
      <c r="M676" s="242"/>
      <c r="N676" s="242"/>
      <c r="O676" s="242"/>
      <c r="P676" s="13"/>
      <c r="Q676" s="13"/>
      <c r="R676" s="13"/>
      <c r="S676" s="13"/>
      <c r="T676" s="13"/>
      <c r="U676" s="13"/>
      <c r="V676" s="13"/>
      <c r="W676" s="13"/>
      <c r="X676" s="13"/>
      <c r="Y676" s="13"/>
      <c r="Z676" s="13"/>
      <c r="AA676" s="13"/>
      <c r="AB676" s="13"/>
      <c r="AC676" s="13"/>
      <c r="AD676" s="13"/>
      <c r="AE676" s="13"/>
      <c r="AF676" s="242"/>
      <c r="AG676" s="242"/>
      <c r="AH676" s="242"/>
      <c r="AI676" s="242"/>
      <c r="AJ676" s="242"/>
      <c r="AK676" s="242"/>
      <c r="AL676" s="242"/>
      <c r="AM676" s="242"/>
      <c r="AN676" s="242"/>
      <c r="AO676" s="242"/>
      <c r="AP676" s="242"/>
    </row>
    <row r="677">
      <c r="A677" s="242"/>
      <c r="B677" s="242"/>
      <c r="C677" s="242"/>
      <c r="D677" s="242"/>
      <c r="E677" s="242"/>
      <c r="F677" s="242"/>
      <c r="G677" s="242"/>
      <c r="H677" s="242"/>
      <c r="I677" s="242"/>
      <c r="J677" s="242"/>
      <c r="K677" s="242"/>
      <c r="L677" s="242"/>
      <c r="M677" s="242"/>
      <c r="N677" s="242"/>
      <c r="O677" s="242"/>
      <c r="P677" s="13"/>
      <c r="Q677" s="13"/>
      <c r="R677" s="13"/>
      <c r="S677" s="13"/>
      <c r="T677" s="13"/>
      <c r="U677" s="13"/>
      <c r="V677" s="13"/>
      <c r="W677" s="13"/>
      <c r="X677" s="13"/>
      <c r="Y677" s="13"/>
      <c r="Z677" s="13"/>
      <c r="AA677" s="13"/>
      <c r="AB677" s="13"/>
      <c r="AC677" s="13"/>
      <c r="AD677" s="13"/>
      <c r="AE677" s="13"/>
      <c r="AF677" s="242"/>
      <c r="AG677" s="242"/>
      <c r="AH677" s="242"/>
      <c r="AI677" s="242"/>
      <c r="AJ677" s="242"/>
      <c r="AK677" s="242"/>
      <c r="AL677" s="242"/>
      <c r="AM677" s="242"/>
      <c r="AN677" s="242"/>
      <c r="AO677" s="242"/>
      <c r="AP677" s="242"/>
    </row>
    <row r="678">
      <c r="A678" s="242"/>
      <c r="B678" s="242"/>
      <c r="C678" s="242"/>
      <c r="D678" s="242"/>
      <c r="E678" s="242"/>
      <c r="F678" s="242"/>
      <c r="G678" s="242"/>
      <c r="H678" s="242"/>
      <c r="I678" s="242"/>
      <c r="J678" s="242"/>
      <c r="K678" s="242"/>
      <c r="L678" s="242"/>
      <c r="M678" s="242"/>
      <c r="N678" s="242"/>
      <c r="O678" s="242"/>
      <c r="P678" s="13"/>
      <c r="Q678" s="13"/>
      <c r="R678" s="13"/>
      <c r="S678" s="13"/>
      <c r="T678" s="13"/>
      <c r="U678" s="13"/>
      <c r="V678" s="13"/>
      <c r="W678" s="13"/>
      <c r="X678" s="13"/>
      <c r="Y678" s="13"/>
      <c r="Z678" s="13"/>
      <c r="AA678" s="13"/>
      <c r="AB678" s="13"/>
      <c r="AC678" s="13"/>
      <c r="AD678" s="13"/>
      <c r="AE678" s="13"/>
      <c r="AF678" s="242"/>
      <c r="AG678" s="242"/>
      <c r="AH678" s="242"/>
      <c r="AI678" s="242"/>
      <c r="AJ678" s="242"/>
      <c r="AK678" s="242"/>
      <c r="AL678" s="242"/>
      <c r="AM678" s="242"/>
      <c r="AN678" s="242"/>
      <c r="AO678" s="242"/>
      <c r="AP678" s="242"/>
    </row>
    <row r="679">
      <c r="A679" s="242"/>
      <c r="B679" s="242"/>
      <c r="C679" s="242"/>
      <c r="D679" s="242"/>
      <c r="E679" s="242"/>
      <c r="F679" s="242"/>
      <c r="G679" s="242"/>
      <c r="H679" s="242"/>
      <c r="I679" s="242"/>
      <c r="J679" s="242"/>
      <c r="K679" s="242"/>
      <c r="L679" s="242"/>
      <c r="M679" s="242"/>
      <c r="N679" s="242"/>
      <c r="O679" s="242"/>
      <c r="P679" s="13"/>
      <c r="Q679" s="13"/>
      <c r="R679" s="13"/>
      <c r="S679" s="13"/>
      <c r="T679" s="13"/>
      <c r="U679" s="13"/>
      <c r="V679" s="13"/>
      <c r="W679" s="13"/>
      <c r="X679" s="13"/>
      <c r="Y679" s="13"/>
      <c r="Z679" s="13"/>
      <c r="AA679" s="13"/>
      <c r="AB679" s="13"/>
      <c r="AC679" s="13"/>
      <c r="AD679" s="13"/>
      <c r="AE679" s="13"/>
      <c r="AF679" s="242"/>
      <c r="AG679" s="242"/>
      <c r="AH679" s="242"/>
      <c r="AI679" s="242"/>
      <c r="AJ679" s="242"/>
      <c r="AK679" s="242"/>
      <c r="AL679" s="242"/>
      <c r="AM679" s="242"/>
      <c r="AN679" s="242"/>
      <c r="AO679" s="242"/>
      <c r="AP679" s="242"/>
    </row>
    <row r="680">
      <c r="A680" s="242"/>
      <c r="B680" s="242"/>
      <c r="C680" s="242"/>
      <c r="D680" s="242"/>
      <c r="E680" s="242"/>
      <c r="F680" s="242"/>
      <c r="G680" s="242"/>
      <c r="H680" s="242"/>
      <c r="I680" s="242"/>
      <c r="J680" s="242"/>
      <c r="K680" s="242"/>
      <c r="L680" s="242"/>
      <c r="M680" s="242"/>
      <c r="N680" s="242"/>
      <c r="O680" s="242"/>
      <c r="P680" s="13"/>
      <c r="Q680" s="13"/>
      <c r="R680" s="13"/>
      <c r="S680" s="13"/>
      <c r="T680" s="13"/>
      <c r="U680" s="13"/>
      <c r="V680" s="13"/>
      <c r="W680" s="13"/>
      <c r="X680" s="13"/>
      <c r="Y680" s="13"/>
      <c r="Z680" s="13"/>
      <c r="AA680" s="13"/>
      <c r="AB680" s="13"/>
      <c r="AC680" s="13"/>
      <c r="AD680" s="13"/>
      <c r="AE680" s="13"/>
      <c r="AF680" s="242"/>
      <c r="AG680" s="242"/>
      <c r="AH680" s="242"/>
      <c r="AI680" s="242"/>
      <c r="AJ680" s="242"/>
      <c r="AK680" s="242"/>
      <c r="AL680" s="242"/>
      <c r="AM680" s="242"/>
      <c r="AN680" s="242"/>
      <c r="AO680" s="242"/>
      <c r="AP680" s="242"/>
    </row>
    <row r="681">
      <c r="A681" s="242"/>
      <c r="B681" s="242"/>
      <c r="C681" s="242"/>
      <c r="D681" s="242"/>
      <c r="E681" s="242"/>
      <c r="F681" s="242"/>
      <c r="G681" s="242"/>
      <c r="H681" s="242"/>
      <c r="I681" s="242"/>
      <c r="J681" s="242"/>
      <c r="K681" s="242"/>
      <c r="L681" s="242"/>
      <c r="M681" s="242"/>
      <c r="N681" s="242"/>
      <c r="O681" s="242"/>
      <c r="P681" s="13"/>
      <c r="Q681" s="13"/>
      <c r="R681" s="13"/>
      <c r="S681" s="13"/>
      <c r="T681" s="13"/>
      <c r="U681" s="13"/>
      <c r="V681" s="13"/>
      <c r="W681" s="13"/>
      <c r="X681" s="13"/>
      <c r="Y681" s="13"/>
      <c r="Z681" s="13"/>
      <c r="AA681" s="13"/>
      <c r="AB681" s="13"/>
      <c r="AC681" s="13"/>
      <c r="AD681" s="13"/>
      <c r="AE681" s="13"/>
      <c r="AF681" s="242"/>
      <c r="AG681" s="242"/>
      <c r="AH681" s="242"/>
      <c r="AI681" s="242"/>
      <c r="AJ681" s="242"/>
      <c r="AK681" s="242"/>
      <c r="AL681" s="242"/>
      <c r="AM681" s="242"/>
      <c r="AN681" s="242"/>
      <c r="AO681" s="242"/>
      <c r="AP681" s="242"/>
    </row>
    <row r="682">
      <c r="A682" s="242"/>
      <c r="B682" s="242"/>
      <c r="C682" s="242"/>
      <c r="D682" s="242"/>
      <c r="E682" s="242"/>
      <c r="F682" s="242"/>
      <c r="G682" s="242"/>
      <c r="H682" s="242"/>
      <c r="I682" s="242"/>
      <c r="J682" s="242"/>
      <c r="K682" s="242"/>
      <c r="L682" s="242"/>
      <c r="M682" s="242"/>
      <c r="N682" s="242"/>
      <c r="O682" s="242"/>
      <c r="P682" s="13"/>
      <c r="Q682" s="13"/>
      <c r="R682" s="13"/>
      <c r="S682" s="13"/>
      <c r="T682" s="13"/>
      <c r="U682" s="13"/>
      <c r="V682" s="13"/>
      <c r="W682" s="13"/>
      <c r="X682" s="13"/>
      <c r="Y682" s="13"/>
      <c r="Z682" s="13"/>
      <c r="AA682" s="13"/>
      <c r="AB682" s="13"/>
      <c r="AC682" s="13"/>
      <c r="AD682" s="13"/>
      <c r="AE682" s="13"/>
      <c r="AF682" s="242"/>
      <c r="AG682" s="242"/>
      <c r="AH682" s="242"/>
      <c r="AI682" s="242"/>
      <c r="AJ682" s="242"/>
      <c r="AK682" s="242"/>
      <c r="AL682" s="242"/>
      <c r="AM682" s="242"/>
      <c r="AN682" s="242"/>
      <c r="AO682" s="242"/>
      <c r="AP682" s="242"/>
    </row>
    <row r="683">
      <c r="A683" s="242"/>
      <c r="B683" s="242"/>
      <c r="C683" s="242"/>
      <c r="D683" s="242"/>
      <c r="E683" s="242"/>
      <c r="F683" s="242"/>
      <c r="G683" s="242"/>
      <c r="H683" s="242"/>
      <c r="I683" s="242"/>
      <c r="J683" s="242"/>
      <c r="K683" s="242"/>
      <c r="L683" s="242"/>
      <c r="M683" s="242"/>
      <c r="N683" s="242"/>
      <c r="O683" s="242"/>
      <c r="P683" s="13"/>
      <c r="Q683" s="13"/>
      <c r="R683" s="13"/>
      <c r="S683" s="13"/>
      <c r="T683" s="13"/>
      <c r="U683" s="13"/>
      <c r="V683" s="13"/>
      <c r="W683" s="13"/>
      <c r="X683" s="13"/>
      <c r="Y683" s="13"/>
      <c r="Z683" s="13"/>
      <c r="AA683" s="13"/>
      <c r="AB683" s="13"/>
      <c r="AC683" s="13"/>
      <c r="AD683" s="13"/>
      <c r="AE683" s="13"/>
      <c r="AF683" s="242"/>
      <c r="AG683" s="242"/>
      <c r="AH683" s="242"/>
      <c r="AI683" s="242"/>
      <c r="AJ683" s="242"/>
      <c r="AK683" s="242"/>
      <c r="AL683" s="242"/>
      <c r="AM683" s="242"/>
      <c r="AN683" s="242"/>
      <c r="AO683" s="242"/>
      <c r="AP683" s="242"/>
    </row>
    <row r="684">
      <c r="A684" s="242"/>
      <c r="B684" s="242"/>
      <c r="C684" s="242"/>
      <c r="D684" s="242"/>
      <c r="E684" s="242"/>
      <c r="F684" s="242"/>
      <c r="G684" s="242"/>
      <c r="H684" s="242"/>
      <c r="I684" s="242"/>
      <c r="J684" s="242"/>
      <c r="K684" s="242"/>
      <c r="L684" s="242"/>
      <c r="M684" s="242"/>
      <c r="N684" s="242"/>
      <c r="O684" s="242"/>
      <c r="P684" s="13"/>
      <c r="Q684" s="13"/>
      <c r="R684" s="13"/>
      <c r="S684" s="13"/>
      <c r="T684" s="13"/>
      <c r="U684" s="13"/>
      <c r="V684" s="13"/>
      <c r="W684" s="13"/>
      <c r="X684" s="13"/>
      <c r="Y684" s="13"/>
      <c r="Z684" s="13"/>
      <c r="AA684" s="13"/>
      <c r="AB684" s="13"/>
      <c r="AC684" s="13"/>
      <c r="AD684" s="13"/>
      <c r="AE684" s="13"/>
      <c r="AF684" s="242"/>
      <c r="AG684" s="242"/>
      <c r="AH684" s="242"/>
      <c r="AI684" s="242"/>
      <c r="AJ684" s="242"/>
      <c r="AK684" s="242"/>
      <c r="AL684" s="242"/>
      <c r="AM684" s="242"/>
      <c r="AN684" s="242"/>
      <c r="AO684" s="242"/>
      <c r="AP684" s="242"/>
    </row>
    <row r="685">
      <c r="A685" s="242"/>
      <c r="B685" s="242"/>
      <c r="C685" s="242"/>
      <c r="D685" s="242"/>
      <c r="E685" s="242"/>
      <c r="F685" s="242"/>
      <c r="G685" s="242"/>
      <c r="H685" s="242"/>
      <c r="I685" s="242"/>
      <c r="J685" s="242"/>
      <c r="K685" s="242"/>
      <c r="L685" s="242"/>
      <c r="M685" s="242"/>
      <c r="N685" s="242"/>
      <c r="O685" s="242"/>
      <c r="P685" s="13"/>
      <c r="Q685" s="13"/>
      <c r="R685" s="13"/>
      <c r="S685" s="13"/>
      <c r="T685" s="13"/>
      <c r="U685" s="13"/>
      <c r="V685" s="13"/>
      <c r="W685" s="13"/>
      <c r="X685" s="13"/>
      <c r="Y685" s="13"/>
      <c r="Z685" s="13"/>
      <c r="AA685" s="13"/>
      <c r="AB685" s="13"/>
      <c r="AC685" s="13"/>
      <c r="AD685" s="13"/>
      <c r="AE685" s="13"/>
      <c r="AF685" s="242"/>
      <c r="AG685" s="242"/>
      <c r="AH685" s="242"/>
      <c r="AI685" s="242"/>
      <c r="AJ685" s="242"/>
      <c r="AK685" s="242"/>
      <c r="AL685" s="242"/>
      <c r="AM685" s="242"/>
      <c r="AN685" s="242"/>
      <c r="AO685" s="242"/>
      <c r="AP685" s="242"/>
    </row>
    <row r="686">
      <c r="A686" s="242"/>
      <c r="B686" s="242"/>
      <c r="C686" s="242"/>
      <c r="D686" s="242"/>
      <c r="E686" s="242"/>
      <c r="F686" s="242"/>
      <c r="G686" s="242"/>
      <c r="H686" s="242"/>
      <c r="I686" s="242"/>
      <c r="J686" s="242"/>
      <c r="K686" s="242"/>
      <c r="L686" s="242"/>
      <c r="M686" s="242"/>
      <c r="N686" s="242"/>
      <c r="O686" s="242"/>
      <c r="P686" s="13"/>
      <c r="Q686" s="13"/>
      <c r="R686" s="13"/>
      <c r="S686" s="13"/>
      <c r="T686" s="13"/>
      <c r="U686" s="13"/>
      <c r="V686" s="13"/>
      <c r="W686" s="13"/>
      <c r="X686" s="13"/>
      <c r="Y686" s="13"/>
      <c r="Z686" s="13"/>
      <c r="AA686" s="13"/>
      <c r="AB686" s="13"/>
      <c r="AC686" s="13"/>
      <c r="AD686" s="13"/>
      <c r="AE686" s="13"/>
      <c r="AF686" s="242"/>
      <c r="AG686" s="242"/>
      <c r="AH686" s="242"/>
      <c r="AI686" s="242"/>
      <c r="AJ686" s="242"/>
      <c r="AK686" s="242"/>
      <c r="AL686" s="242"/>
      <c r="AM686" s="242"/>
      <c r="AN686" s="242"/>
      <c r="AO686" s="242"/>
      <c r="AP686" s="242"/>
    </row>
    <row r="687">
      <c r="A687" s="242"/>
      <c r="B687" s="242"/>
      <c r="C687" s="242"/>
      <c r="D687" s="242"/>
      <c r="E687" s="242"/>
      <c r="F687" s="242"/>
      <c r="G687" s="242"/>
      <c r="H687" s="242"/>
      <c r="I687" s="242"/>
      <c r="J687" s="242"/>
      <c r="K687" s="242"/>
      <c r="L687" s="242"/>
      <c r="M687" s="242"/>
      <c r="N687" s="242"/>
      <c r="O687" s="242"/>
      <c r="P687" s="13"/>
      <c r="Q687" s="13"/>
      <c r="R687" s="13"/>
      <c r="S687" s="13"/>
      <c r="T687" s="13"/>
      <c r="U687" s="13"/>
      <c r="V687" s="13"/>
      <c r="W687" s="13"/>
      <c r="X687" s="13"/>
      <c r="Y687" s="13"/>
      <c r="Z687" s="13"/>
      <c r="AA687" s="13"/>
      <c r="AB687" s="13"/>
      <c r="AC687" s="13"/>
      <c r="AD687" s="13"/>
      <c r="AE687" s="13"/>
      <c r="AF687" s="242"/>
      <c r="AG687" s="242"/>
      <c r="AH687" s="242"/>
      <c r="AI687" s="242"/>
      <c r="AJ687" s="242"/>
      <c r="AK687" s="242"/>
      <c r="AL687" s="242"/>
      <c r="AM687" s="242"/>
      <c r="AN687" s="242"/>
      <c r="AO687" s="242"/>
      <c r="AP687" s="242"/>
    </row>
    <row r="688">
      <c r="A688" s="242"/>
      <c r="B688" s="242"/>
      <c r="C688" s="242"/>
      <c r="D688" s="242"/>
      <c r="E688" s="242"/>
      <c r="F688" s="242"/>
      <c r="G688" s="242"/>
      <c r="H688" s="242"/>
      <c r="I688" s="242"/>
      <c r="J688" s="242"/>
      <c r="K688" s="242"/>
      <c r="L688" s="242"/>
      <c r="M688" s="242"/>
      <c r="N688" s="242"/>
      <c r="O688" s="242"/>
      <c r="P688" s="13"/>
      <c r="Q688" s="13"/>
      <c r="R688" s="13"/>
      <c r="S688" s="13"/>
      <c r="T688" s="13"/>
      <c r="U688" s="13"/>
      <c r="V688" s="13"/>
      <c r="W688" s="13"/>
      <c r="X688" s="13"/>
      <c r="Y688" s="13"/>
      <c r="Z688" s="13"/>
      <c r="AA688" s="13"/>
      <c r="AB688" s="13"/>
      <c r="AC688" s="13"/>
      <c r="AD688" s="13"/>
      <c r="AE688" s="13"/>
      <c r="AF688" s="242"/>
      <c r="AG688" s="242"/>
      <c r="AH688" s="242"/>
      <c r="AI688" s="242"/>
      <c r="AJ688" s="242"/>
      <c r="AK688" s="242"/>
      <c r="AL688" s="242"/>
      <c r="AM688" s="242"/>
      <c r="AN688" s="242"/>
      <c r="AO688" s="242"/>
      <c r="AP688" s="242"/>
    </row>
    <row r="689">
      <c r="A689" s="242"/>
      <c r="B689" s="242"/>
      <c r="C689" s="242"/>
      <c r="D689" s="242"/>
      <c r="E689" s="242"/>
      <c r="F689" s="242"/>
      <c r="G689" s="242"/>
      <c r="H689" s="242"/>
      <c r="I689" s="242"/>
      <c r="J689" s="242"/>
      <c r="K689" s="242"/>
      <c r="L689" s="242"/>
      <c r="M689" s="242"/>
      <c r="N689" s="242"/>
      <c r="O689" s="242"/>
      <c r="P689" s="13"/>
      <c r="Q689" s="13"/>
      <c r="R689" s="13"/>
      <c r="S689" s="13"/>
      <c r="T689" s="13"/>
      <c r="U689" s="13"/>
      <c r="V689" s="13"/>
      <c r="W689" s="13"/>
      <c r="X689" s="13"/>
      <c r="Y689" s="13"/>
      <c r="Z689" s="13"/>
      <c r="AA689" s="13"/>
      <c r="AB689" s="13"/>
      <c r="AC689" s="13"/>
      <c r="AD689" s="13"/>
      <c r="AE689" s="13"/>
      <c r="AF689" s="242"/>
      <c r="AG689" s="242"/>
      <c r="AH689" s="242"/>
      <c r="AI689" s="242"/>
      <c r="AJ689" s="242"/>
      <c r="AK689" s="242"/>
      <c r="AL689" s="242"/>
      <c r="AM689" s="242"/>
      <c r="AN689" s="242"/>
      <c r="AO689" s="242"/>
      <c r="AP689" s="242"/>
    </row>
    <row r="690">
      <c r="A690" s="242"/>
      <c r="B690" s="242"/>
      <c r="C690" s="242"/>
      <c r="D690" s="242"/>
      <c r="E690" s="242"/>
      <c r="F690" s="242"/>
      <c r="G690" s="242"/>
      <c r="H690" s="242"/>
      <c r="I690" s="242"/>
      <c r="J690" s="242"/>
      <c r="K690" s="242"/>
      <c r="L690" s="242"/>
      <c r="M690" s="242"/>
      <c r="N690" s="242"/>
      <c r="O690" s="242"/>
      <c r="P690" s="13"/>
      <c r="Q690" s="13"/>
      <c r="R690" s="13"/>
      <c r="S690" s="13"/>
      <c r="T690" s="13"/>
      <c r="U690" s="13"/>
      <c r="V690" s="13"/>
      <c r="W690" s="13"/>
      <c r="X690" s="13"/>
      <c r="Y690" s="13"/>
      <c r="Z690" s="13"/>
      <c r="AA690" s="13"/>
      <c r="AB690" s="13"/>
      <c r="AC690" s="13"/>
      <c r="AD690" s="13"/>
      <c r="AE690" s="13"/>
      <c r="AF690" s="242"/>
      <c r="AG690" s="242"/>
      <c r="AH690" s="242"/>
      <c r="AI690" s="242"/>
      <c r="AJ690" s="242"/>
      <c r="AK690" s="242"/>
      <c r="AL690" s="242"/>
      <c r="AM690" s="242"/>
      <c r="AN690" s="242"/>
      <c r="AO690" s="242"/>
      <c r="AP690" s="242"/>
    </row>
    <row r="691">
      <c r="A691" s="242"/>
      <c r="B691" s="242"/>
      <c r="C691" s="242"/>
      <c r="D691" s="242"/>
      <c r="E691" s="242"/>
      <c r="F691" s="242"/>
      <c r="G691" s="242"/>
      <c r="H691" s="242"/>
      <c r="I691" s="242"/>
      <c r="J691" s="242"/>
      <c r="K691" s="242"/>
      <c r="L691" s="242"/>
      <c r="M691" s="242"/>
      <c r="N691" s="242"/>
      <c r="O691" s="242"/>
      <c r="P691" s="13"/>
      <c r="Q691" s="13"/>
      <c r="R691" s="13"/>
      <c r="S691" s="13"/>
      <c r="T691" s="13"/>
      <c r="U691" s="13"/>
      <c r="V691" s="13"/>
      <c r="W691" s="13"/>
      <c r="X691" s="13"/>
      <c r="Y691" s="13"/>
      <c r="Z691" s="13"/>
      <c r="AA691" s="13"/>
      <c r="AB691" s="13"/>
      <c r="AC691" s="13"/>
      <c r="AD691" s="13"/>
      <c r="AE691" s="13"/>
      <c r="AF691" s="242"/>
      <c r="AG691" s="242"/>
      <c r="AH691" s="242"/>
      <c r="AI691" s="242"/>
      <c r="AJ691" s="242"/>
      <c r="AK691" s="242"/>
      <c r="AL691" s="242"/>
      <c r="AM691" s="242"/>
      <c r="AN691" s="242"/>
      <c r="AO691" s="242"/>
      <c r="AP691" s="242"/>
    </row>
    <row r="692">
      <c r="A692" s="242"/>
      <c r="B692" s="242"/>
      <c r="C692" s="242"/>
      <c r="D692" s="242"/>
      <c r="E692" s="242"/>
      <c r="F692" s="242"/>
      <c r="G692" s="242"/>
      <c r="H692" s="242"/>
      <c r="I692" s="242"/>
      <c r="J692" s="242"/>
      <c r="K692" s="242"/>
      <c r="L692" s="242"/>
      <c r="M692" s="242"/>
      <c r="N692" s="242"/>
      <c r="O692" s="242"/>
      <c r="P692" s="13"/>
      <c r="Q692" s="13"/>
      <c r="R692" s="13"/>
      <c r="S692" s="13"/>
      <c r="T692" s="13"/>
      <c r="U692" s="13"/>
      <c r="V692" s="13"/>
      <c r="W692" s="13"/>
      <c r="X692" s="13"/>
      <c r="Y692" s="13"/>
      <c r="Z692" s="13"/>
      <c r="AA692" s="13"/>
      <c r="AB692" s="13"/>
      <c r="AC692" s="13"/>
      <c r="AD692" s="13"/>
      <c r="AE692" s="13"/>
      <c r="AF692" s="242"/>
      <c r="AG692" s="242"/>
      <c r="AH692" s="242"/>
      <c r="AI692" s="242"/>
      <c r="AJ692" s="242"/>
      <c r="AK692" s="242"/>
      <c r="AL692" s="242"/>
      <c r="AM692" s="242"/>
      <c r="AN692" s="242"/>
      <c r="AO692" s="242"/>
      <c r="AP692" s="242"/>
    </row>
    <row r="693">
      <c r="A693" s="242"/>
      <c r="B693" s="242"/>
      <c r="C693" s="242"/>
      <c r="D693" s="242"/>
      <c r="E693" s="242"/>
      <c r="F693" s="242"/>
      <c r="G693" s="242"/>
      <c r="H693" s="242"/>
      <c r="I693" s="242"/>
      <c r="J693" s="242"/>
      <c r="K693" s="242"/>
      <c r="L693" s="242"/>
      <c r="M693" s="242"/>
      <c r="N693" s="242"/>
      <c r="O693" s="242"/>
      <c r="P693" s="13"/>
      <c r="Q693" s="13"/>
      <c r="R693" s="13"/>
      <c r="S693" s="13"/>
      <c r="T693" s="13"/>
      <c r="U693" s="13"/>
      <c r="V693" s="13"/>
      <c r="W693" s="13"/>
      <c r="X693" s="13"/>
      <c r="Y693" s="13"/>
      <c r="Z693" s="13"/>
      <c r="AA693" s="13"/>
      <c r="AB693" s="13"/>
      <c r="AC693" s="13"/>
      <c r="AD693" s="13"/>
      <c r="AE693" s="13"/>
      <c r="AF693" s="242"/>
      <c r="AG693" s="242"/>
      <c r="AH693" s="242"/>
      <c r="AI693" s="242"/>
      <c r="AJ693" s="242"/>
      <c r="AK693" s="242"/>
      <c r="AL693" s="242"/>
      <c r="AM693" s="242"/>
      <c r="AN693" s="242"/>
      <c r="AO693" s="242"/>
      <c r="AP693" s="242"/>
    </row>
    <row r="694">
      <c r="A694" s="242"/>
      <c r="B694" s="242"/>
      <c r="C694" s="242"/>
      <c r="D694" s="242"/>
      <c r="E694" s="242"/>
      <c r="F694" s="242"/>
      <c r="G694" s="242"/>
      <c r="H694" s="242"/>
      <c r="I694" s="242"/>
      <c r="J694" s="242"/>
      <c r="K694" s="242"/>
      <c r="L694" s="242"/>
      <c r="M694" s="242"/>
      <c r="N694" s="242"/>
      <c r="O694" s="242"/>
      <c r="P694" s="13"/>
      <c r="Q694" s="13"/>
      <c r="R694" s="13"/>
      <c r="S694" s="13"/>
      <c r="T694" s="13"/>
      <c r="U694" s="13"/>
      <c r="V694" s="13"/>
      <c r="W694" s="13"/>
      <c r="X694" s="13"/>
      <c r="Y694" s="13"/>
      <c r="Z694" s="13"/>
      <c r="AA694" s="13"/>
      <c r="AB694" s="13"/>
      <c r="AC694" s="13"/>
      <c r="AD694" s="13"/>
      <c r="AE694" s="13"/>
      <c r="AF694" s="242"/>
      <c r="AG694" s="242"/>
      <c r="AH694" s="242"/>
      <c r="AI694" s="242"/>
      <c r="AJ694" s="242"/>
      <c r="AK694" s="242"/>
      <c r="AL694" s="242"/>
      <c r="AM694" s="242"/>
      <c r="AN694" s="242"/>
      <c r="AO694" s="242"/>
      <c r="AP694" s="242"/>
    </row>
    <row r="695">
      <c r="A695" s="242"/>
      <c r="B695" s="242"/>
      <c r="C695" s="242"/>
      <c r="D695" s="242"/>
      <c r="E695" s="242"/>
      <c r="F695" s="242"/>
      <c r="G695" s="242"/>
      <c r="H695" s="242"/>
      <c r="I695" s="242"/>
      <c r="J695" s="242"/>
      <c r="K695" s="242"/>
      <c r="L695" s="242"/>
      <c r="M695" s="242"/>
      <c r="N695" s="242"/>
      <c r="O695" s="242"/>
      <c r="P695" s="13"/>
      <c r="Q695" s="13"/>
      <c r="R695" s="13"/>
      <c r="S695" s="13"/>
      <c r="T695" s="13"/>
      <c r="U695" s="13"/>
      <c r="V695" s="13"/>
      <c r="W695" s="13"/>
      <c r="X695" s="13"/>
      <c r="Y695" s="13"/>
      <c r="Z695" s="13"/>
      <c r="AA695" s="13"/>
      <c r="AB695" s="13"/>
      <c r="AC695" s="13"/>
      <c r="AD695" s="13"/>
      <c r="AE695" s="13"/>
      <c r="AF695" s="242"/>
      <c r="AG695" s="242"/>
      <c r="AH695" s="242"/>
      <c r="AI695" s="242"/>
      <c r="AJ695" s="242"/>
      <c r="AK695" s="242"/>
      <c r="AL695" s="242"/>
      <c r="AM695" s="242"/>
      <c r="AN695" s="242"/>
      <c r="AO695" s="242"/>
      <c r="AP695" s="242"/>
    </row>
    <row r="696">
      <c r="A696" s="242"/>
      <c r="B696" s="242"/>
      <c r="C696" s="242"/>
      <c r="D696" s="242"/>
      <c r="E696" s="242"/>
      <c r="F696" s="242"/>
      <c r="G696" s="242"/>
      <c r="H696" s="242"/>
      <c r="I696" s="242"/>
      <c r="J696" s="242"/>
      <c r="K696" s="242"/>
      <c r="L696" s="242"/>
      <c r="M696" s="242"/>
      <c r="N696" s="242"/>
      <c r="O696" s="242"/>
      <c r="P696" s="13"/>
      <c r="Q696" s="13"/>
      <c r="R696" s="13"/>
      <c r="S696" s="13"/>
      <c r="T696" s="13"/>
      <c r="U696" s="13"/>
      <c r="V696" s="13"/>
      <c r="W696" s="13"/>
      <c r="X696" s="13"/>
      <c r="Y696" s="13"/>
      <c r="Z696" s="13"/>
      <c r="AA696" s="13"/>
      <c r="AB696" s="13"/>
      <c r="AC696" s="13"/>
      <c r="AD696" s="13"/>
      <c r="AE696" s="13"/>
      <c r="AF696" s="242"/>
      <c r="AG696" s="242"/>
      <c r="AH696" s="242"/>
      <c r="AI696" s="242"/>
      <c r="AJ696" s="242"/>
      <c r="AK696" s="242"/>
      <c r="AL696" s="242"/>
      <c r="AM696" s="242"/>
      <c r="AN696" s="242"/>
      <c r="AO696" s="242"/>
      <c r="AP696" s="242"/>
    </row>
    <row r="697">
      <c r="A697" s="242"/>
      <c r="B697" s="242"/>
      <c r="C697" s="242"/>
      <c r="D697" s="242"/>
      <c r="E697" s="242"/>
      <c r="F697" s="242"/>
      <c r="G697" s="242"/>
      <c r="H697" s="242"/>
      <c r="I697" s="242"/>
      <c r="J697" s="242"/>
      <c r="K697" s="242"/>
      <c r="L697" s="242"/>
      <c r="M697" s="242"/>
      <c r="N697" s="242"/>
      <c r="O697" s="242"/>
      <c r="P697" s="13"/>
      <c r="Q697" s="13"/>
      <c r="R697" s="13"/>
      <c r="S697" s="13"/>
      <c r="T697" s="13"/>
      <c r="U697" s="13"/>
      <c r="V697" s="13"/>
      <c r="W697" s="13"/>
      <c r="X697" s="13"/>
      <c r="Y697" s="13"/>
      <c r="Z697" s="13"/>
      <c r="AA697" s="13"/>
      <c r="AB697" s="13"/>
      <c r="AC697" s="13"/>
      <c r="AD697" s="13"/>
      <c r="AE697" s="13"/>
      <c r="AF697" s="242"/>
      <c r="AG697" s="242"/>
      <c r="AH697" s="242"/>
      <c r="AI697" s="242"/>
      <c r="AJ697" s="242"/>
      <c r="AK697" s="242"/>
      <c r="AL697" s="242"/>
      <c r="AM697" s="242"/>
      <c r="AN697" s="242"/>
      <c r="AO697" s="242"/>
      <c r="AP697" s="242"/>
    </row>
    <row r="698">
      <c r="A698" s="242"/>
      <c r="B698" s="242"/>
      <c r="C698" s="242"/>
      <c r="D698" s="242"/>
      <c r="E698" s="242"/>
      <c r="F698" s="242"/>
      <c r="G698" s="242"/>
      <c r="H698" s="242"/>
      <c r="I698" s="242"/>
      <c r="J698" s="242"/>
      <c r="K698" s="242"/>
      <c r="L698" s="242"/>
      <c r="M698" s="242"/>
      <c r="N698" s="242"/>
      <c r="O698" s="242"/>
      <c r="P698" s="13"/>
      <c r="Q698" s="13"/>
      <c r="R698" s="13"/>
      <c r="S698" s="13"/>
      <c r="T698" s="13"/>
      <c r="U698" s="13"/>
      <c r="V698" s="13"/>
      <c r="W698" s="13"/>
      <c r="X698" s="13"/>
      <c r="Y698" s="13"/>
      <c r="Z698" s="13"/>
      <c r="AA698" s="13"/>
      <c r="AB698" s="13"/>
      <c r="AC698" s="13"/>
      <c r="AD698" s="13"/>
      <c r="AE698" s="13"/>
      <c r="AF698" s="242"/>
      <c r="AG698" s="242"/>
      <c r="AH698" s="242"/>
      <c r="AI698" s="242"/>
      <c r="AJ698" s="242"/>
      <c r="AK698" s="242"/>
      <c r="AL698" s="242"/>
      <c r="AM698" s="242"/>
      <c r="AN698" s="242"/>
      <c r="AO698" s="242"/>
      <c r="AP698" s="242"/>
    </row>
    <row r="699">
      <c r="A699" s="242"/>
      <c r="B699" s="242"/>
      <c r="C699" s="242"/>
      <c r="D699" s="242"/>
      <c r="E699" s="242"/>
      <c r="F699" s="242"/>
      <c r="G699" s="242"/>
      <c r="H699" s="242"/>
      <c r="I699" s="242"/>
      <c r="J699" s="242"/>
      <c r="K699" s="242"/>
      <c r="L699" s="242"/>
      <c r="M699" s="242"/>
      <c r="N699" s="242"/>
      <c r="O699" s="242"/>
      <c r="P699" s="13"/>
      <c r="Q699" s="13"/>
      <c r="R699" s="13"/>
      <c r="S699" s="13"/>
      <c r="T699" s="13"/>
      <c r="U699" s="13"/>
      <c r="V699" s="13"/>
      <c r="W699" s="13"/>
      <c r="X699" s="13"/>
      <c r="Y699" s="13"/>
      <c r="Z699" s="13"/>
      <c r="AA699" s="13"/>
      <c r="AB699" s="13"/>
      <c r="AC699" s="13"/>
      <c r="AD699" s="13"/>
      <c r="AE699" s="13"/>
      <c r="AF699" s="242"/>
      <c r="AG699" s="242"/>
      <c r="AH699" s="242"/>
      <c r="AI699" s="242"/>
      <c r="AJ699" s="242"/>
      <c r="AK699" s="242"/>
      <c r="AL699" s="242"/>
      <c r="AM699" s="242"/>
      <c r="AN699" s="242"/>
      <c r="AO699" s="242"/>
      <c r="AP699" s="242"/>
    </row>
    <row r="700">
      <c r="A700" s="242"/>
      <c r="B700" s="242"/>
      <c r="C700" s="242"/>
      <c r="D700" s="242"/>
      <c r="E700" s="242"/>
      <c r="F700" s="242"/>
      <c r="G700" s="242"/>
      <c r="H700" s="242"/>
      <c r="I700" s="242"/>
      <c r="J700" s="242"/>
      <c r="K700" s="242"/>
      <c r="L700" s="242"/>
      <c r="M700" s="242"/>
      <c r="N700" s="242"/>
      <c r="O700" s="242"/>
      <c r="P700" s="13"/>
      <c r="Q700" s="13"/>
      <c r="R700" s="13"/>
      <c r="S700" s="13"/>
      <c r="T700" s="13"/>
      <c r="U700" s="13"/>
      <c r="V700" s="13"/>
      <c r="W700" s="13"/>
      <c r="X700" s="13"/>
      <c r="Y700" s="13"/>
      <c r="Z700" s="13"/>
      <c r="AA700" s="13"/>
      <c r="AB700" s="13"/>
      <c r="AC700" s="13"/>
      <c r="AD700" s="13"/>
      <c r="AE700" s="13"/>
      <c r="AF700" s="242"/>
      <c r="AG700" s="242"/>
      <c r="AH700" s="242"/>
      <c r="AI700" s="242"/>
      <c r="AJ700" s="242"/>
      <c r="AK700" s="242"/>
      <c r="AL700" s="242"/>
      <c r="AM700" s="242"/>
      <c r="AN700" s="242"/>
      <c r="AO700" s="242"/>
      <c r="AP700" s="242"/>
    </row>
    <row r="701">
      <c r="A701" s="242"/>
      <c r="B701" s="242"/>
      <c r="C701" s="242"/>
      <c r="D701" s="242"/>
      <c r="E701" s="242"/>
      <c r="F701" s="242"/>
      <c r="G701" s="242"/>
      <c r="H701" s="242"/>
      <c r="I701" s="242"/>
      <c r="J701" s="242"/>
      <c r="K701" s="242"/>
      <c r="L701" s="242"/>
      <c r="M701" s="242"/>
      <c r="N701" s="242"/>
      <c r="O701" s="242"/>
      <c r="P701" s="13"/>
      <c r="Q701" s="13"/>
      <c r="R701" s="13"/>
      <c r="S701" s="13"/>
      <c r="T701" s="13"/>
      <c r="U701" s="13"/>
      <c r="V701" s="13"/>
      <c r="W701" s="13"/>
      <c r="X701" s="13"/>
      <c r="Y701" s="13"/>
      <c r="Z701" s="13"/>
      <c r="AA701" s="13"/>
      <c r="AB701" s="13"/>
      <c r="AC701" s="13"/>
      <c r="AD701" s="13"/>
      <c r="AE701" s="13"/>
      <c r="AF701" s="242"/>
      <c r="AG701" s="242"/>
      <c r="AH701" s="242"/>
      <c r="AI701" s="242"/>
      <c r="AJ701" s="242"/>
      <c r="AK701" s="242"/>
      <c r="AL701" s="242"/>
      <c r="AM701" s="242"/>
      <c r="AN701" s="242"/>
      <c r="AO701" s="242"/>
      <c r="AP701" s="242"/>
    </row>
    <row r="702">
      <c r="A702" s="242"/>
      <c r="B702" s="242"/>
      <c r="C702" s="242"/>
      <c r="D702" s="242"/>
      <c r="E702" s="242"/>
      <c r="F702" s="242"/>
      <c r="G702" s="242"/>
      <c r="H702" s="242"/>
      <c r="I702" s="242"/>
      <c r="J702" s="242"/>
      <c r="K702" s="242"/>
      <c r="L702" s="242"/>
      <c r="M702" s="242"/>
      <c r="N702" s="242"/>
      <c r="O702" s="242"/>
      <c r="P702" s="13"/>
      <c r="Q702" s="13"/>
      <c r="R702" s="13"/>
      <c r="S702" s="13"/>
      <c r="T702" s="13"/>
      <c r="U702" s="13"/>
      <c r="V702" s="13"/>
      <c r="W702" s="13"/>
      <c r="X702" s="13"/>
      <c r="Y702" s="13"/>
      <c r="Z702" s="13"/>
      <c r="AA702" s="13"/>
      <c r="AB702" s="13"/>
      <c r="AC702" s="13"/>
      <c r="AD702" s="13"/>
      <c r="AE702" s="13"/>
      <c r="AF702" s="242"/>
      <c r="AG702" s="242"/>
      <c r="AH702" s="242"/>
      <c r="AI702" s="242"/>
      <c r="AJ702" s="242"/>
      <c r="AK702" s="242"/>
      <c r="AL702" s="242"/>
      <c r="AM702" s="242"/>
      <c r="AN702" s="242"/>
      <c r="AO702" s="242"/>
      <c r="AP702" s="242"/>
    </row>
    <row r="703">
      <c r="A703" s="242"/>
      <c r="B703" s="242"/>
      <c r="C703" s="242"/>
      <c r="D703" s="242"/>
      <c r="E703" s="242"/>
      <c r="F703" s="242"/>
      <c r="G703" s="242"/>
      <c r="H703" s="242"/>
      <c r="I703" s="242"/>
      <c r="J703" s="242"/>
      <c r="K703" s="242"/>
      <c r="L703" s="242"/>
      <c r="M703" s="242"/>
      <c r="N703" s="242"/>
      <c r="O703" s="242"/>
      <c r="P703" s="13"/>
      <c r="Q703" s="13"/>
      <c r="R703" s="13"/>
      <c r="S703" s="13"/>
      <c r="T703" s="13"/>
      <c r="U703" s="13"/>
      <c r="V703" s="13"/>
      <c r="W703" s="13"/>
      <c r="X703" s="13"/>
      <c r="Y703" s="13"/>
      <c r="Z703" s="13"/>
      <c r="AA703" s="13"/>
      <c r="AB703" s="13"/>
      <c r="AC703" s="13"/>
      <c r="AD703" s="13"/>
      <c r="AE703" s="13"/>
      <c r="AF703" s="242"/>
      <c r="AG703" s="242"/>
      <c r="AH703" s="242"/>
      <c r="AI703" s="242"/>
      <c r="AJ703" s="242"/>
      <c r="AK703" s="242"/>
      <c r="AL703" s="242"/>
      <c r="AM703" s="242"/>
      <c r="AN703" s="242"/>
      <c r="AO703" s="242"/>
      <c r="AP703" s="242"/>
    </row>
    <row r="704">
      <c r="A704" s="242"/>
      <c r="B704" s="242"/>
      <c r="C704" s="242"/>
      <c r="D704" s="242"/>
      <c r="E704" s="242"/>
      <c r="F704" s="242"/>
      <c r="G704" s="242"/>
      <c r="H704" s="242"/>
      <c r="I704" s="242"/>
      <c r="J704" s="242"/>
      <c r="K704" s="242"/>
      <c r="L704" s="242"/>
      <c r="M704" s="242"/>
      <c r="N704" s="242"/>
      <c r="O704" s="242"/>
      <c r="P704" s="13"/>
      <c r="Q704" s="13"/>
      <c r="R704" s="13"/>
      <c r="S704" s="13"/>
      <c r="T704" s="13"/>
      <c r="U704" s="13"/>
      <c r="V704" s="13"/>
      <c r="W704" s="13"/>
      <c r="X704" s="13"/>
      <c r="Y704" s="13"/>
      <c r="Z704" s="13"/>
      <c r="AA704" s="13"/>
      <c r="AB704" s="13"/>
      <c r="AC704" s="13"/>
      <c r="AD704" s="13"/>
      <c r="AE704" s="13"/>
      <c r="AF704" s="242"/>
      <c r="AG704" s="242"/>
      <c r="AH704" s="242"/>
      <c r="AI704" s="242"/>
      <c r="AJ704" s="242"/>
      <c r="AK704" s="242"/>
      <c r="AL704" s="242"/>
      <c r="AM704" s="242"/>
      <c r="AN704" s="242"/>
      <c r="AO704" s="242"/>
      <c r="AP704" s="242"/>
    </row>
    <row r="705">
      <c r="A705" s="242"/>
      <c r="B705" s="242"/>
      <c r="C705" s="242"/>
      <c r="D705" s="242"/>
      <c r="E705" s="242"/>
      <c r="F705" s="242"/>
      <c r="G705" s="242"/>
      <c r="H705" s="242"/>
      <c r="I705" s="242"/>
      <c r="J705" s="242"/>
      <c r="K705" s="242"/>
      <c r="L705" s="242"/>
      <c r="M705" s="242"/>
      <c r="N705" s="242"/>
      <c r="O705" s="242"/>
      <c r="P705" s="13"/>
      <c r="Q705" s="13"/>
      <c r="R705" s="13"/>
      <c r="S705" s="13"/>
      <c r="T705" s="13"/>
      <c r="U705" s="13"/>
      <c r="V705" s="13"/>
      <c r="W705" s="13"/>
      <c r="X705" s="13"/>
      <c r="Y705" s="13"/>
      <c r="Z705" s="13"/>
      <c r="AA705" s="13"/>
      <c r="AB705" s="13"/>
      <c r="AC705" s="13"/>
      <c r="AD705" s="13"/>
      <c r="AE705" s="13"/>
      <c r="AF705" s="242"/>
      <c r="AG705" s="242"/>
      <c r="AH705" s="242"/>
      <c r="AI705" s="242"/>
      <c r="AJ705" s="242"/>
      <c r="AK705" s="242"/>
      <c r="AL705" s="242"/>
      <c r="AM705" s="242"/>
      <c r="AN705" s="242"/>
      <c r="AO705" s="242"/>
      <c r="AP705" s="242"/>
    </row>
    <row r="706">
      <c r="A706" s="242"/>
      <c r="B706" s="242"/>
      <c r="C706" s="242"/>
      <c r="D706" s="242"/>
      <c r="E706" s="242"/>
      <c r="F706" s="242"/>
      <c r="G706" s="242"/>
      <c r="H706" s="242"/>
      <c r="I706" s="242"/>
      <c r="J706" s="242"/>
      <c r="K706" s="242"/>
      <c r="L706" s="242"/>
      <c r="M706" s="242"/>
      <c r="N706" s="242"/>
      <c r="O706" s="242"/>
      <c r="P706" s="13"/>
      <c r="Q706" s="13"/>
      <c r="R706" s="13"/>
      <c r="S706" s="13"/>
      <c r="T706" s="13"/>
      <c r="U706" s="13"/>
      <c r="V706" s="13"/>
      <c r="W706" s="13"/>
      <c r="X706" s="13"/>
      <c r="Y706" s="13"/>
      <c r="Z706" s="13"/>
      <c r="AA706" s="13"/>
      <c r="AB706" s="13"/>
      <c r="AC706" s="13"/>
      <c r="AD706" s="13"/>
      <c r="AE706" s="13"/>
      <c r="AF706" s="242"/>
      <c r="AG706" s="242"/>
      <c r="AH706" s="242"/>
      <c r="AI706" s="242"/>
      <c r="AJ706" s="242"/>
      <c r="AK706" s="242"/>
      <c r="AL706" s="242"/>
      <c r="AM706" s="242"/>
      <c r="AN706" s="242"/>
      <c r="AO706" s="242"/>
      <c r="AP706" s="242"/>
    </row>
    <row r="707">
      <c r="A707" s="242"/>
      <c r="B707" s="242"/>
      <c r="C707" s="242"/>
      <c r="D707" s="242"/>
      <c r="E707" s="242"/>
      <c r="F707" s="242"/>
      <c r="G707" s="242"/>
      <c r="H707" s="242"/>
      <c r="I707" s="242"/>
      <c r="J707" s="242"/>
      <c r="K707" s="242"/>
      <c r="L707" s="242"/>
      <c r="M707" s="242"/>
      <c r="N707" s="242"/>
      <c r="O707" s="242"/>
      <c r="P707" s="13"/>
      <c r="Q707" s="13"/>
      <c r="R707" s="13"/>
      <c r="S707" s="13"/>
      <c r="T707" s="13"/>
      <c r="U707" s="13"/>
      <c r="V707" s="13"/>
      <c r="W707" s="13"/>
      <c r="X707" s="13"/>
      <c r="Y707" s="13"/>
      <c r="Z707" s="13"/>
      <c r="AA707" s="13"/>
      <c r="AB707" s="13"/>
      <c r="AC707" s="13"/>
      <c r="AD707" s="13"/>
      <c r="AE707" s="13"/>
      <c r="AF707" s="242"/>
      <c r="AG707" s="242"/>
      <c r="AH707" s="242"/>
      <c r="AI707" s="242"/>
      <c r="AJ707" s="242"/>
      <c r="AK707" s="242"/>
      <c r="AL707" s="242"/>
      <c r="AM707" s="242"/>
      <c r="AN707" s="242"/>
      <c r="AO707" s="242"/>
      <c r="AP707" s="242"/>
    </row>
    <row r="708">
      <c r="A708" s="242"/>
      <c r="B708" s="242"/>
      <c r="C708" s="242"/>
      <c r="D708" s="242"/>
      <c r="E708" s="242"/>
      <c r="F708" s="242"/>
      <c r="G708" s="242"/>
      <c r="H708" s="242"/>
      <c r="I708" s="242"/>
      <c r="J708" s="242"/>
      <c r="K708" s="242"/>
      <c r="L708" s="242"/>
      <c r="M708" s="242"/>
      <c r="N708" s="242"/>
      <c r="O708" s="242"/>
      <c r="P708" s="13"/>
      <c r="Q708" s="13"/>
      <c r="R708" s="13"/>
      <c r="S708" s="13"/>
      <c r="T708" s="13"/>
      <c r="U708" s="13"/>
      <c r="V708" s="13"/>
      <c r="W708" s="13"/>
      <c r="X708" s="13"/>
      <c r="Y708" s="13"/>
      <c r="Z708" s="13"/>
      <c r="AA708" s="13"/>
      <c r="AB708" s="13"/>
      <c r="AC708" s="13"/>
      <c r="AD708" s="13"/>
      <c r="AE708" s="13"/>
      <c r="AF708" s="242"/>
      <c r="AG708" s="242"/>
      <c r="AH708" s="242"/>
      <c r="AI708" s="242"/>
      <c r="AJ708" s="242"/>
      <c r="AK708" s="242"/>
      <c r="AL708" s="242"/>
      <c r="AM708" s="242"/>
      <c r="AN708" s="242"/>
      <c r="AO708" s="242"/>
      <c r="AP708" s="242"/>
    </row>
    <row r="709">
      <c r="A709" s="242"/>
      <c r="B709" s="242"/>
      <c r="C709" s="242"/>
      <c r="D709" s="242"/>
      <c r="E709" s="242"/>
      <c r="F709" s="242"/>
      <c r="G709" s="242"/>
      <c r="H709" s="242"/>
      <c r="I709" s="242"/>
      <c r="J709" s="242"/>
      <c r="K709" s="242"/>
      <c r="L709" s="242"/>
      <c r="M709" s="242"/>
      <c r="N709" s="242"/>
      <c r="O709" s="242"/>
      <c r="P709" s="13"/>
      <c r="Q709" s="13"/>
      <c r="R709" s="13"/>
      <c r="S709" s="13"/>
      <c r="T709" s="13"/>
      <c r="U709" s="13"/>
      <c r="V709" s="13"/>
      <c r="W709" s="13"/>
      <c r="X709" s="13"/>
      <c r="Y709" s="13"/>
      <c r="Z709" s="13"/>
      <c r="AA709" s="13"/>
      <c r="AB709" s="13"/>
      <c r="AC709" s="13"/>
      <c r="AD709" s="13"/>
      <c r="AE709" s="13"/>
      <c r="AF709" s="242"/>
      <c r="AG709" s="242"/>
      <c r="AH709" s="242"/>
      <c r="AI709" s="242"/>
      <c r="AJ709" s="242"/>
      <c r="AK709" s="242"/>
      <c r="AL709" s="242"/>
      <c r="AM709" s="242"/>
      <c r="AN709" s="242"/>
      <c r="AO709" s="242"/>
      <c r="AP709" s="242"/>
    </row>
    <row r="710">
      <c r="A710" s="242"/>
      <c r="B710" s="242"/>
      <c r="C710" s="242"/>
      <c r="D710" s="242"/>
      <c r="E710" s="242"/>
      <c r="F710" s="242"/>
      <c r="G710" s="242"/>
      <c r="H710" s="242"/>
      <c r="I710" s="242"/>
      <c r="J710" s="242"/>
      <c r="K710" s="242"/>
      <c r="L710" s="242"/>
      <c r="M710" s="242"/>
      <c r="N710" s="242"/>
      <c r="O710" s="242"/>
      <c r="P710" s="13"/>
      <c r="Q710" s="13"/>
      <c r="R710" s="13"/>
      <c r="S710" s="13"/>
      <c r="T710" s="13"/>
      <c r="U710" s="13"/>
      <c r="V710" s="13"/>
      <c r="W710" s="13"/>
      <c r="X710" s="13"/>
      <c r="Y710" s="13"/>
      <c r="Z710" s="13"/>
      <c r="AA710" s="13"/>
      <c r="AB710" s="13"/>
      <c r="AC710" s="13"/>
      <c r="AD710" s="13"/>
      <c r="AE710" s="13"/>
      <c r="AF710" s="242"/>
      <c r="AG710" s="242"/>
      <c r="AH710" s="242"/>
      <c r="AI710" s="242"/>
      <c r="AJ710" s="242"/>
      <c r="AK710" s="242"/>
      <c r="AL710" s="242"/>
      <c r="AM710" s="242"/>
      <c r="AN710" s="242"/>
      <c r="AO710" s="242"/>
      <c r="AP710" s="242"/>
    </row>
    <row r="711">
      <c r="A711" s="242"/>
      <c r="B711" s="242"/>
      <c r="C711" s="242"/>
      <c r="D711" s="242"/>
      <c r="E711" s="242"/>
      <c r="F711" s="242"/>
      <c r="G711" s="242"/>
      <c r="H711" s="242"/>
      <c r="I711" s="242"/>
      <c r="J711" s="242"/>
      <c r="K711" s="242"/>
      <c r="L711" s="242"/>
      <c r="M711" s="242"/>
      <c r="N711" s="242"/>
      <c r="O711" s="242"/>
      <c r="P711" s="13"/>
      <c r="Q711" s="13"/>
      <c r="R711" s="13"/>
      <c r="S711" s="13"/>
      <c r="T711" s="13"/>
      <c r="U711" s="13"/>
      <c r="V711" s="13"/>
      <c r="W711" s="13"/>
      <c r="X711" s="13"/>
      <c r="Y711" s="13"/>
      <c r="Z711" s="13"/>
      <c r="AA711" s="13"/>
      <c r="AB711" s="13"/>
      <c r="AC711" s="13"/>
      <c r="AD711" s="13"/>
      <c r="AE711" s="13"/>
      <c r="AF711" s="242"/>
      <c r="AG711" s="242"/>
      <c r="AH711" s="242"/>
      <c r="AI711" s="242"/>
      <c r="AJ711" s="242"/>
      <c r="AK711" s="242"/>
      <c r="AL711" s="242"/>
      <c r="AM711" s="242"/>
      <c r="AN711" s="242"/>
      <c r="AO711" s="242"/>
      <c r="AP711" s="242"/>
    </row>
    <row r="712">
      <c r="A712" s="242"/>
      <c r="B712" s="242"/>
      <c r="C712" s="242"/>
      <c r="D712" s="242"/>
      <c r="E712" s="242"/>
      <c r="F712" s="242"/>
      <c r="G712" s="242"/>
      <c r="H712" s="242"/>
      <c r="I712" s="242"/>
      <c r="J712" s="242"/>
      <c r="K712" s="242"/>
      <c r="L712" s="242"/>
      <c r="M712" s="242"/>
      <c r="N712" s="242"/>
      <c r="O712" s="242"/>
      <c r="P712" s="13"/>
      <c r="Q712" s="13"/>
      <c r="R712" s="13"/>
      <c r="S712" s="13"/>
      <c r="T712" s="13"/>
      <c r="U712" s="13"/>
      <c r="V712" s="13"/>
      <c r="W712" s="13"/>
      <c r="X712" s="13"/>
      <c r="Y712" s="13"/>
      <c r="Z712" s="13"/>
      <c r="AA712" s="13"/>
      <c r="AB712" s="13"/>
      <c r="AC712" s="13"/>
      <c r="AD712" s="13"/>
      <c r="AE712" s="13"/>
      <c r="AF712" s="242"/>
      <c r="AG712" s="242"/>
      <c r="AH712" s="242"/>
      <c r="AI712" s="242"/>
      <c r="AJ712" s="242"/>
      <c r="AK712" s="242"/>
      <c r="AL712" s="242"/>
      <c r="AM712" s="242"/>
      <c r="AN712" s="242"/>
      <c r="AO712" s="242"/>
      <c r="AP712" s="242"/>
    </row>
    <row r="713">
      <c r="A713" s="242"/>
      <c r="B713" s="242"/>
      <c r="C713" s="242"/>
      <c r="D713" s="242"/>
      <c r="E713" s="242"/>
      <c r="F713" s="242"/>
      <c r="G713" s="242"/>
      <c r="H713" s="242"/>
      <c r="I713" s="242"/>
      <c r="J713" s="242"/>
      <c r="K713" s="242"/>
      <c r="L713" s="242"/>
      <c r="M713" s="242"/>
      <c r="N713" s="242"/>
      <c r="O713" s="242"/>
      <c r="P713" s="13"/>
      <c r="Q713" s="13"/>
      <c r="R713" s="13"/>
      <c r="S713" s="13"/>
      <c r="T713" s="13"/>
      <c r="U713" s="13"/>
      <c r="V713" s="13"/>
      <c r="W713" s="13"/>
      <c r="X713" s="13"/>
      <c r="Y713" s="13"/>
      <c r="Z713" s="13"/>
      <c r="AA713" s="13"/>
      <c r="AB713" s="13"/>
      <c r="AC713" s="13"/>
      <c r="AD713" s="13"/>
      <c r="AE713" s="13"/>
      <c r="AF713" s="242"/>
      <c r="AG713" s="242"/>
      <c r="AH713" s="242"/>
      <c r="AI713" s="242"/>
      <c r="AJ713" s="242"/>
      <c r="AK713" s="242"/>
      <c r="AL713" s="242"/>
      <c r="AM713" s="242"/>
      <c r="AN713" s="242"/>
      <c r="AO713" s="242"/>
      <c r="AP713" s="242"/>
    </row>
    <row r="714">
      <c r="A714" s="242"/>
      <c r="B714" s="242"/>
      <c r="C714" s="242"/>
      <c r="D714" s="242"/>
      <c r="E714" s="242"/>
      <c r="F714" s="242"/>
      <c r="G714" s="242"/>
      <c r="H714" s="242"/>
      <c r="I714" s="242"/>
      <c r="J714" s="242"/>
      <c r="K714" s="242"/>
      <c r="L714" s="242"/>
      <c r="M714" s="242"/>
      <c r="N714" s="242"/>
      <c r="O714" s="242"/>
      <c r="P714" s="13"/>
      <c r="Q714" s="13"/>
      <c r="R714" s="13"/>
      <c r="S714" s="13"/>
      <c r="T714" s="13"/>
      <c r="U714" s="13"/>
      <c r="V714" s="13"/>
      <c r="W714" s="13"/>
      <c r="X714" s="13"/>
      <c r="Y714" s="13"/>
      <c r="Z714" s="13"/>
      <c r="AA714" s="13"/>
      <c r="AB714" s="13"/>
      <c r="AC714" s="13"/>
      <c r="AD714" s="13"/>
      <c r="AE714" s="13"/>
      <c r="AF714" s="242"/>
      <c r="AG714" s="242"/>
      <c r="AH714" s="242"/>
      <c r="AI714" s="242"/>
      <c r="AJ714" s="242"/>
      <c r="AK714" s="242"/>
      <c r="AL714" s="242"/>
      <c r="AM714" s="242"/>
      <c r="AN714" s="242"/>
      <c r="AO714" s="242"/>
      <c r="AP714" s="242"/>
    </row>
    <row r="715">
      <c r="A715" s="242"/>
      <c r="B715" s="242"/>
      <c r="C715" s="242"/>
      <c r="D715" s="242"/>
      <c r="E715" s="242"/>
      <c r="F715" s="242"/>
      <c r="G715" s="242"/>
      <c r="H715" s="242"/>
      <c r="I715" s="242"/>
      <c r="J715" s="242"/>
      <c r="K715" s="242"/>
      <c r="L715" s="242"/>
      <c r="M715" s="242"/>
      <c r="N715" s="242"/>
      <c r="O715" s="242"/>
      <c r="P715" s="13"/>
      <c r="Q715" s="13"/>
      <c r="R715" s="13"/>
      <c r="S715" s="13"/>
      <c r="T715" s="13"/>
      <c r="U715" s="13"/>
      <c r="V715" s="13"/>
      <c r="W715" s="13"/>
      <c r="X715" s="13"/>
      <c r="Y715" s="13"/>
      <c r="Z715" s="13"/>
      <c r="AA715" s="13"/>
      <c r="AB715" s="13"/>
      <c r="AC715" s="13"/>
      <c r="AD715" s="13"/>
      <c r="AE715" s="13"/>
      <c r="AF715" s="242"/>
      <c r="AG715" s="242"/>
      <c r="AH715" s="242"/>
      <c r="AI715" s="242"/>
      <c r="AJ715" s="242"/>
      <c r="AK715" s="242"/>
      <c r="AL715" s="242"/>
      <c r="AM715" s="242"/>
      <c r="AN715" s="242"/>
      <c r="AO715" s="242"/>
      <c r="AP715" s="242"/>
    </row>
    <row r="716">
      <c r="A716" s="242"/>
      <c r="B716" s="242"/>
      <c r="C716" s="242"/>
      <c r="D716" s="242"/>
      <c r="E716" s="242"/>
      <c r="F716" s="242"/>
      <c r="G716" s="242"/>
      <c r="H716" s="242"/>
      <c r="I716" s="242"/>
      <c r="J716" s="242"/>
      <c r="K716" s="242"/>
      <c r="L716" s="242"/>
      <c r="M716" s="242"/>
      <c r="N716" s="242"/>
      <c r="O716" s="242"/>
      <c r="P716" s="13"/>
      <c r="Q716" s="13"/>
      <c r="R716" s="13"/>
      <c r="S716" s="13"/>
      <c r="T716" s="13"/>
      <c r="U716" s="13"/>
      <c r="V716" s="13"/>
      <c r="W716" s="13"/>
      <c r="X716" s="13"/>
      <c r="Y716" s="13"/>
      <c r="Z716" s="13"/>
      <c r="AA716" s="13"/>
      <c r="AB716" s="13"/>
      <c r="AC716" s="13"/>
      <c r="AD716" s="13"/>
      <c r="AE716" s="13"/>
      <c r="AF716" s="242"/>
      <c r="AG716" s="242"/>
      <c r="AH716" s="242"/>
      <c r="AI716" s="242"/>
      <c r="AJ716" s="242"/>
      <c r="AK716" s="242"/>
      <c r="AL716" s="242"/>
      <c r="AM716" s="242"/>
      <c r="AN716" s="242"/>
      <c r="AO716" s="242"/>
      <c r="AP716" s="242"/>
    </row>
    <row r="717">
      <c r="A717" s="242"/>
      <c r="B717" s="242"/>
      <c r="C717" s="242"/>
      <c r="D717" s="242"/>
      <c r="E717" s="242"/>
      <c r="F717" s="242"/>
      <c r="G717" s="242"/>
      <c r="H717" s="242"/>
      <c r="I717" s="242"/>
      <c r="J717" s="242"/>
      <c r="K717" s="242"/>
      <c r="L717" s="242"/>
      <c r="M717" s="242"/>
      <c r="N717" s="242"/>
      <c r="O717" s="242"/>
      <c r="P717" s="13"/>
      <c r="Q717" s="13"/>
      <c r="R717" s="13"/>
      <c r="S717" s="13"/>
      <c r="T717" s="13"/>
      <c r="U717" s="13"/>
      <c r="V717" s="13"/>
      <c r="W717" s="13"/>
      <c r="X717" s="13"/>
      <c r="Y717" s="13"/>
      <c r="Z717" s="13"/>
      <c r="AA717" s="13"/>
      <c r="AB717" s="13"/>
      <c r="AC717" s="13"/>
      <c r="AD717" s="13"/>
      <c r="AE717" s="13"/>
      <c r="AF717" s="242"/>
      <c r="AG717" s="242"/>
      <c r="AH717" s="242"/>
      <c r="AI717" s="242"/>
      <c r="AJ717" s="242"/>
      <c r="AK717" s="242"/>
      <c r="AL717" s="242"/>
      <c r="AM717" s="242"/>
      <c r="AN717" s="242"/>
      <c r="AO717" s="242"/>
      <c r="AP717" s="242"/>
    </row>
    <row r="718">
      <c r="A718" s="242"/>
      <c r="B718" s="242"/>
      <c r="C718" s="242"/>
      <c r="D718" s="242"/>
      <c r="E718" s="242"/>
      <c r="F718" s="242"/>
      <c r="G718" s="242"/>
      <c r="H718" s="242"/>
      <c r="I718" s="242"/>
      <c r="J718" s="242"/>
      <c r="K718" s="242"/>
      <c r="L718" s="242"/>
      <c r="M718" s="242"/>
      <c r="N718" s="242"/>
      <c r="O718" s="242"/>
      <c r="P718" s="13"/>
      <c r="Q718" s="13"/>
      <c r="R718" s="13"/>
      <c r="S718" s="13"/>
      <c r="T718" s="13"/>
      <c r="U718" s="13"/>
      <c r="V718" s="13"/>
      <c r="W718" s="13"/>
      <c r="X718" s="13"/>
      <c r="Y718" s="13"/>
      <c r="Z718" s="13"/>
      <c r="AA718" s="13"/>
      <c r="AB718" s="13"/>
      <c r="AC718" s="13"/>
      <c r="AD718" s="13"/>
      <c r="AE718" s="13"/>
      <c r="AF718" s="242"/>
      <c r="AG718" s="242"/>
      <c r="AH718" s="242"/>
      <c r="AI718" s="242"/>
      <c r="AJ718" s="242"/>
      <c r="AK718" s="242"/>
      <c r="AL718" s="242"/>
      <c r="AM718" s="242"/>
      <c r="AN718" s="242"/>
      <c r="AO718" s="242"/>
      <c r="AP718" s="242"/>
    </row>
    <row r="719">
      <c r="A719" s="242"/>
      <c r="B719" s="242"/>
      <c r="C719" s="242"/>
      <c r="D719" s="242"/>
      <c r="E719" s="242"/>
      <c r="F719" s="242"/>
      <c r="G719" s="242"/>
      <c r="H719" s="242"/>
      <c r="I719" s="242"/>
      <c r="J719" s="242"/>
      <c r="K719" s="242"/>
      <c r="L719" s="242"/>
      <c r="M719" s="242"/>
      <c r="N719" s="242"/>
      <c r="O719" s="242"/>
      <c r="P719" s="13"/>
      <c r="Q719" s="13"/>
      <c r="R719" s="13"/>
      <c r="S719" s="13"/>
      <c r="T719" s="13"/>
      <c r="U719" s="13"/>
      <c r="V719" s="13"/>
      <c r="W719" s="13"/>
      <c r="X719" s="13"/>
      <c r="Y719" s="13"/>
      <c r="Z719" s="13"/>
      <c r="AA719" s="13"/>
      <c r="AB719" s="13"/>
      <c r="AC719" s="13"/>
      <c r="AD719" s="13"/>
      <c r="AE719" s="13"/>
      <c r="AF719" s="242"/>
      <c r="AG719" s="242"/>
      <c r="AH719" s="242"/>
      <c r="AI719" s="242"/>
      <c r="AJ719" s="242"/>
      <c r="AK719" s="242"/>
      <c r="AL719" s="242"/>
      <c r="AM719" s="242"/>
      <c r="AN719" s="242"/>
      <c r="AO719" s="242"/>
      <c r="AP719" s="242"/>
    </row>
    <row r="720">
      <c r="A720" s="242"/>
      <c r="B720" s="242"/>
      <c r="C720" s="242"/>
      <c r="D720" s="242"/>
      <c r="E720" s="242"/>
      <c r="F720" s="242"/>
      <c r="G720" s="242"/>
      <c r="H720" s="242"/>
      <c r="I720" s="242"/>
      <c r="J720" s="242"/>
      <c r="K720" s="242"/>
      <c r="L720" s="242"/>
      <c r="M720" s="242"/>
      <c r="N720" s="242"/>
      <c r="O720" s="242"/>
      <c r="P720" s="13"/>
      <c r="Q720" s="13"/>
      <c r="R720" s="13"/>
      <c r="S720" s="13"/>
      <c r="T720" s="13"/>
      <c r="U720" s="13"/>
      <c r="V720" s="13"/>
      <c r="W720" s="13"/>
      <c r="X720" s="13"/>
      <c r="Y720" s="13"/>
      <c r="Z720" s="13"/>
      <c r="AA720" s="13"/>
      <c r="AB720" s="13"/>
      <c r="AC720" s="13"/>
      <c r="AD720" s="13"/>
      <c r="AE720" s="13"/>
      <c r="AF720" s="242"/>
      <c r="AG720" s="242"/>
      <c r="AH720" s="242"/>
      <c r="AI720" s="242"/>
      <c r="AJ720" s="242"/>
      <c r="AK720" s="242"/>
      <c r="AL720" s="242"/>
      <c r="AM720" s="242"/>
      <c r="AN720" s="242"/>
      <c r="AO720" s="242"/>
      <c r="AP720" s="242"/>
    </row>
    <row r="721">
      <c r="A721" s="242"/>
      <c r="B721" s="242"/>
      <c r="C721" s="242"/>
      <c r="D721" s="242"/>
      <c r="E721" s="242"/>
      <c r="F721" s="242"/>
      <c r="G721" s="242"/>
      <c r="H721" s="242"/>
      <c r="I721" s="242"/>
      <c r="J721" s="242"/>
      <c r="K721" s="242"/>
      <c r="L721" s="242"/>
      <c r="M721" s="242"/>
      <c r="N721" s="242"/>
      <c r="O721" s="242"/>
      <c r="P721" s="13"/>
      <c r="Q721" s="13"/>
      <c r="R721" s="13"/>
      <c r="S721" s="13"/>
      <c r="T721" s="13"/>
      <c r="U721" s="13"/>
      <c r="V721" s="13"/>
      <c r="W721" s="13"/>
      <c r="X721" s="13"/>
      <c r="Y721" s="13"/>
      <c r="Z721" s="13"/>
      <c r="AA721" s="13"/>
      <c r="AB721" s="13"/>
      <c r="AC721" s="13"/>
      <c r="AD721" s="13"/>
      <c r="AE721" s="13"/>
      <c r="AF721" s="242"/>
      <c r="AG721" s="242"/>
      <c r="AH721" s="242"/>
      <c r="AI721" s="242"/>
      <c r="AJ721" s="242"/>
      <c r="AK721" s="242"/>
      <c r="AL721" s="242"/>
      <c r="AM721" s="242"/>
      <c r="AN721" s="242"/>
      <c r="AO721" s="242"/>
      <c r="AP721" s="242"/>
    </row>
    <row r="722">
      <c r="A722" s="242"/>
      <c r="B722" s="242"/>
      <c r="C722" s="242"/>
      <c r="D722" s="242"/>
      <c r="E722" s="242"/>
      <c r="F722" s="242"/>
      <c r="G722" s="242"/>
      <c r="H722" s="242"/>
      <c r="I722" s="242"/>
      <c r="J722" s="242"/>
      <c r="K722" s="242"/>
      <c r="L722" s="242"/>
      <c r="M722" s="242"/>
      <c r="N722" s="242"/>
      <c r="O722" s="242"/>
      <c r="P722" s="13"/>
      <c r="Q722" s="13"/>
      <c r="R722" s="13"/>
      <c r="S722" s="13"/>
      <c r="T722" s="13"/>
      <c r="U722" s="13"/>
      <c r="V722" s="13"/>
      <c r="W722" s="13"/>
      <c r="X722" s="13"/>
      <c r="Y722" s="13"/>
      <c r="Z722" s="13"/>
      <c r="AA722" s="13"/>
      <c r="AB722" s="13"/>
      <c r="AC722" s="13"/>
      <c r="AD722" s="13"/>
      <c r="AE722" s="13"/>
      <c r="AF722" s="242"/>
      <c r="AG722" s="242"/>
      <c r="AH722" s="242"/>
      <c r="AI722" s="242"/>
      <c r="AJ722" s="242"/>
      <c r="AK722" s="242"/>
      <c r="AL722" s="242"/>
      <c r="AM722" s="242"/>
      <c r="AN722" s="242"/>
      <c r="AO722" s="242"/>
      <c r="AP722" s="242"/>
    </row>
    <row r="723">
      <c r="A723" s="242"/>
      <c r="B723" s="242"/>
      <c r="C723" s="242"/>
      <c r="D723" s="242"/>
      <c r="E723" s="242"/>
      <c r="F723" s="242"/>
      <c r="G723" s="242"/>
      <c r="H723" s="242"/>
      <c r="I723" s="242"/>
      <c r="J723" s="242"/>
      <c r="K723" s="242"/>
      <c r="L723" s="242"/>
      <c r="M723" s="242"/>
      <c r="N723" s="242"/>
      <c r="O723" s="242"/>
      <c r="P723" s="13"/>
      <c r="Q723" s="13"/>
      <c r="R723" s="13"/>
      <c r="S723" s="13"/>
      <c r="T723" s="13"/>
      <c r="U723" s="13"/>
      <c r="V723" s="13"/>
      <c r="W723" s="13"/>
      <c r="X723" s="13"/>
      <c r="Y723" s="13"/>
      <c r="Z723" s="13"/>
      <c r="AA723" s="13"/>
      <c r="AB723" s="13"/>
      <c r="AC723" s="13"/>
      <c r="AD723" s="13"/>
      <c r="AE723" s="13"/>
      <c r="AF723" s="242"/>
      <c r="AG723" s="242"/>
      <c r="AH723" s="242"/>
      <c r="AI723" s="242"/>
      <c r="AJ723" s="242"/>
      <c r="AK723" s="242"/>
      <c r="AL723" s="242"/>
      <c r="AM723" s="242"/>
      <c r="AN723" s="242"/>
      <c r="AO723" s="242"/>
      <c r="AP723" s="242"/>
    </row>
    <row r="724">
      <c r="A724" s="242"/>
      <c r="B724" s="242"/>
      <c r="C724" s="242"/>
      <c r="D724" s="242"/>
      <c r="E724" s="242"/>
      <c r="F724" s="242"/>
      <c r="G724" s="242"/>
      <c r="H724" s="242"/>
      <c r="I724" s="242"/>
      <c r="J724" s="242"/>
      <c r="K724" s="242"/>
      <c r="L724" s="242"/>
      <c r="M724" s="242"/>
      <c r="N724" s="242"/>
      <c r="O724" s="242"/>
      <c r="P724" s="13"/>
      <c r="Q724" s="13"/>
      <c r="R724" s="13"/>
      <c r="S724" s="13"/>
      <c r="T724" s="13"/>
      <c r="U724" s="13"/>
      <c r="V724" s="13"/>
      <c r="W724" s="13"/>
      <c r="X724" s="13"/>
      <c r="Y724" s="13"/>
      <c r="Z724" s="13"/>
      <c r="AA724" s="13"/>
      <c r="AB724" s="13"/>
      <c r="AC724" s="13"/>
      <c r="AD724" s="13"/>
      <c r="AE724" s="13"/>
      <c r="AF724" s="242"/>
      <c r="AG724" s="242"/>
      <c r="AH724" s="242"/>
      <c r="AI724" s="242"/>
      <c r="AJ724" s="242"/>
      <c r="AK724" s="242"/>
      <c r="AL724" s="242"/>
      <c r="AM724" s="242"/>
      <c r="AN724" s="242"/>
      <c r="AO724" s="242"/>
      <c r="AP724" s="242"/>
    </row>
    <row r="725">
      <c r="A725" s="242"/>
      <c r="B725" s="242"/>
      <c r="C725" s="242"/>
      <c r="D725" s="242"/>
      <c r="E725" s="242"/>
      <c r="F725" s="242"/>
      <c r="G725" s="242"/>
      <c r="H725" s="242"/>
      <c r="I725" s="242"/>
      <c r="J725" s="242"/>
      <c r="K725" s="242"/>
      <c r="L725" s="242"/>
      <c r="M725" s="242"/>
      <c r="N725" s="242"/>
      <c r="O725" s="242"/>
      <c r="P725" s="13"/>
      <c r="Q725" s="13"/>
      <c r="R725" s="13"/>
      <c r="S725" s="13"/>
      <c r="T725" s="13"/>
      <c r="U725" s="13"/>
      <c r="V725" s="13"/>
      <c r="W725" s="13"/>
      <c r="X725" s="13"/>
      <c r="Y725" s="13"/>
      <c r="Z725" s="13"/>
      <c r="AA725" s="13"/>
      <c r="AB725" s="13"/>
      <c r="AC725" s="13"/>
      <c r="AD725" s="13"/>
      <c r="AE725" s="13"/>
      <c r="AF725" s="242"/>
      <c r="AG725" s="242"/>
      <c r="AH725" s="242"/>
      <c r="AI725" s="242"/>
      <c r="AJ725" s="242"/>
      <c r="AK725" s="242"/>
      <c r="AL725" s="242"/>
      <c r="AM725" s="242"/>
      <c r="AN725" s="242"/>
      <c r="AO725" s="242"/>
      <c r="AP725" s="242"/>
    </row>
    <row r="726">
      <c r="A726" s="242"/>
      <c r="B726" s="242"/>
      <c r="C726" s="242"/>
      <c r="D726" s="242"/>
      <c r="E726" s="242"/>
      <c r="F726" s="242"/>
      <c r="G726" s="242"/>
      <c r="H726" s="242"/>
      <c r="I726" s="242"/>
      <c r="J726" s="242"/>
      <c r="K726" s="242"/>
      <c r="L726" s="242"/>
      <c r="M726" s="242"/>
      <c r="N726" s="242"/>
      <c r="O726" s="242"/>
      <c r="P726" s="13"/>
      <c r="Q726" s="13"/>
      <c r="R726" s="13"/>
      <c r="S726" s="13"/>
      <c r="T726" s="13"/>
      <c r="U726" s="13"/>
      <c r="V726" s="13"/>
      <c r="W726" s="13"/>
      <c r="X726" s="13"/>
      <c r="Y726" s="13"/>
      <c r="Z726" s="13"/>
      <c r="AA726" s="13"/>
      <c r="AB726" s="13"/>
      <c r="AC726" s="13"/>
      <c r="AD726" s="13"/>
      <c r="AE726" s="13"/>
      <c r="AF726" s="242"/>
      <c r="AG726" s="242"/>
      <c r="AH726" s="242"/>
      <c r="AI726" s="242"/>
      <c r="AJ726" s="242"/>
      <c r="AK726" s="242"/>
      <c r="AL726" s="242"/>
      <c r="AM726" s="242"/>
      <c r="AN726" s="242"/>
      <c r="AO726" s="242"/>
      <c r="AP726" s="242"/>
    </row>
    <row r="727">
      <c r="A727" s="242"/>
      <c r="B727" s="242"/>
      <c r="C727" s="242"/>
      <c r="D727" s="242"/>
      <c r="E727" s="242"/>
      <c r="F727" s="242"/>
      <c r="G727" s="242"/>
      <c r="H727" s="242"/>
      <c r="I727" s="242"/>
      <c r="J727" s="242"/>
      <c r="K727" s="242"/>
      <c r="L727" s="242"/>
      <c r="M727" s="242"/>
      <c r="N727" s="242"/>
      <c r="O727" s="242"/>
      <c r="P727" s="13"/>
      <c r="Q727" s="13"/>
      <c r="R727" s="13"/>
      <c r="S727" s="13"/>
      <c r="T727" s="13"/>
      <c r="U727" s="13"/>
      <c r="V727" s="13"/>
      <c r="W727" s="13"/>
      <c r="X727" s="13"/>
      <c r="Y727" s="13"/>
      <c r="Z727" s="13"/>
      <c r="AA727" s="13"/>
      <c r="AB727" s="13"/>
      <c r="AC727" s="13"/>
      <c r="AD727" s="13"/>
      <c r="AE727" s="13"/>
      <c r="AF727" s="242"/>
      <c r="AG727" s="242"/>
      <c r="AH727" s="242"/>
      <c r="AI727" s="242"/>
      <c r="AJ727" s="242"/>
      <c r="AK727" s="242"/>
      <c r="AL727" s="242"/>
      <c r="AM727" s="242"/>
      <c r="AN727" s="242"/>
      <c r="AO727" s="242"/>
      <c r="AP727" s="242"/>
    </row>
    <row r="728">
      <c r="A728" s="242"/>
      <c r="B728" s="242"/>
      <c r="C728" s="242"/>
      <c r="D728" s="242"/>
      <c r="E728" s="242"/>
      <c r="F728" s="242"/>
      <c r="G728" s="242"/>
      <c r="H728" s="242"/>
      <c r="I728" s="242"/>
      <c r="J728" s="242"/>
      <c r="K728" s="242"/>
      <c r="L728" s="242"/>
      <c r="M728" s="242"/>
      <c r="N728" s="242"/>
      <c r="O728" s="242"/>
      <c r="P728" s="13"/>
      <c r="Q728" s="13"/>
      <c r="R728" s="13"/>
      <c r="S728" s="13"/>
      <c r="T728" s="13"/>
      <c r="U728" s="13"/>
      <c r="V728" s="13"/>
      <c r="W728" s="13"/>
      <c r="X728" s="13"/>
      <c r="Y728" s="13"/>
      <c r="Z728" s="13"/>
      <c r="AA728" s="13"/>
      <c r="AB728" s="13"/>
      <c r="AC728" s="13"/>
      <c r="AD728" s="13"/>
      <c r="AE728" s="13"/>
      <c r="AF728" s="242"/>
      <c r="AG728" s="242"/>
      <c r="AH728" s="242"/>
      <c r="AI728" s="242"/>
      <c r="AJ728" s="242"/>
      <c r="AK728" s="242"/>
      <c r="AL728" s="242"/>
      <c r="AM728" s="242"/>
      <c r="AN728" s="242"/>
      <c r="AO728" s="242"/>
      <c r="AP728" s="242"/>
    </row>
    <row r="729">
      <c r="A729" s="242"/>
      <c r="B729" s="242"/>
      <c r="C729" s="242"/>
      <c r="D729" s="242"/>
      <c r="E729" s="242"/>
      <c r="F729" s="242"/>
      <c r="G729" s="242"/>
      <c r="H729" s="242"/>
      <c r="I729" s="242"/>
      <c r="J729" s="242"/>
      <c r="K729" s="242"/>
      <c r="L729" s="242"/>
      <c r="M729" s="242"/>
      <c r="N729" s="242"/>
      <c r="O729" s="242"/>
      <c r="P729" s="13"/>
      <c r="Q729" s="13"/>
      <c r="R729" s="13"/>
      <c r="S729" s="13"/>
      <c r="T729" s="13"/>
      <c r="U729" s="13"/>
      <c r="V729" s="13"/>
      <c r="W729" s="13"/>
      <c r="X729" s="13"/>
      <c r="Y729" s="13"/>
      <c r="Z729" s="13"/>
      <c r="AA729" s="13"/>
      <c r="AB729" s="13"/>
      <c r="AC729" s="13"/>
      <c r="AD729" s="13"/>
      <c r="AE729" s="13"/>
      <c r="AF729" s="242"/>
      <c r="AG729" s="242"/>
      <c r="AH729" s="242"/>
      <c r="AI729" s="242"/>
      <c r="AJ729" s="242"/>
      <c r="AK729" s="242"/>
      <c r="AL729" s="242"/>
      <c r="AM729" s="242"/>
      <c r="AN729" s="242"/>
      <c r="AO729" s="242"/>
      <c r="AP729" s="242"/>
    </row>
    <row r="730">
      <c r="A730" s="242"/>
      <c r="B730" s="242"/>
      <c r="C730" s="242"/>
      <c r="D730" s="242"/>
      <c r="E730" s="242"/>
      <c r="F730" s="242"/>
      <c r="G730" s="242"/>
      <c r="H730" s="242"/>
      <c r="I730" s="242"/>
      <c r="J730" s="242"/>
      <c r="K730" s="242"/>
      <c r="L730" s="242"/>
      <c r="M730" s="242"/>
      <c r="N730" s="242"/>
      <c r="O730" s="242"/>
      <c r="P730" s="13"/>
      <c r="Q730" s="13"/>
      <c r="R730" s="13"/>
      <c r="S730" s="13"/>
      <c r="T730" s="13"/>
      <c r="U730" s="13"/>
      <c r="V730" s="13"/>
      <c r="W730" s="13"/>
      <c r="X730" s="13"/>
      <c r="Y730" s="13"/>
      <c r="Z730" s="13"/>
      <c r="AA730" s="13"/>
      <c r="AB730" s="13"/>
      <c r="AC730" s="13"/>
      <c r="AD730" s="13"/>
      <c r="AE730" s="13"/>
      <c r="AF730" s="242"/>
      <c r="AG730" s="242"/>
      <c r="AH730" s="242"/>
      <c r="AI730" s="242"/>
      <c r="AJ730" s="242"/>
      <c r="AK730" s="242"/>
      <c r="AL730" s="242"/>
      <c r="AM730" s="242"/>
      <c r="AN730" s="242"/>
      <c r="AO730" s="242"/>
      <c r="AP730" s="242"/>
    </row>
    <row r="731">
      <c r="A731" s="242"/>
      <c r="B731" s="242"/>
      <c r="C731" s="242"/>
      <c r="D731" s="242"/>
      <c r="E731" s="242"/>
      <c r="F731" s="242"/>
      <c r="G731" s="242"/>
      <c r="H731" s="242"/>
      <c r="I731" s="242"/>
      <c r="J731" s="242"/>
      <c r="K731" s="242"/>
      <c r="L731" s="242"/>
      <c r="M731" s="242"/>
      <c r="N731" s="242"/>
      <c r="O731" s="242"/>
      <c r="P731" s="13"/>
      <c r="Q731" s="13"/>
      <c r="R731" s="13"/>
      <c r="S731" s="13"/>
      <c r="T731" s="13"/>
      <c r="U731" s="13"/>
      <c r="V731" s="13"/>
      <c r="W731" s="13"/>
      <c r="X731" s="13"/>
      <c r="Y731" s="13"/>
      <c r="Z731" s="13"/>
      <c r="AA731" s="13"/>
      <c r="AB731" s="13"/>
      <c r="AC731" s="13"/>
      <c r="AD731" s="13"/>
      <c r="AE731" s="13"/>
      <c r="AF731" s="242"/>
      <c r="AG731" s="242"/>
      <c r="AH731" s="242"/>
      <c r="AI731" s="242"/>
      <c r="AJ731" s="242"/>
      <c r="AK731" s="242"/>
      <c r="AL731" s="242"/>
      <c r="AM731" s="242"/>
      <c r="AN731" s="242"/>
      <c r="AO731" s="242"/>
      <c r="AP731" s="242"/>
    </row>
    <row r="732">
      <c r="A732" s="242"/>
      <c r="B732" s="242"/>
      <c r="C732" s="242"/>
      <c r="D732" s="242"/>
      <c r="E732" s="242"/>
      <c r="F732" s="242"/>
      <c r="G732" s="242"/>
      <c r="H732" s="242"/>
      <c r="I732" s="242"/>
      <c r="J732" s="242"/>
      <c r="K732" s="242"/>
      <c r="L732" s="242"/>
      <c r="M732" s="242"/>
      <c r="N732" s="242"/>
      <c r="O732" s="242"/>
      <c r="P732" s="13"/>
      <c r="Q732" s="13"/>
      <c r="R732" s="13"/>
      <c r="S732" s="13"/>
      <c r="T732" s="13"/>
      <c r="U732" s="13"/>
      <c r="V732" s="13"/>
      <c r="W732" s="13"/>
      <c r="X732" s="13"/>
      <c r="Y732" s="13"/>
      <c r="Z732" s="13"/>
      <c r="AA732" s="13"/>
      <c r="AB732" s="13"/>
      <c r="AC732" s="13"/>
      <c r="AD732" s="13"/>
      <c r="AE732" s="13"/>
      <c r="AF732" s="242"/>
      <c r="AG732" s="242"/>
      <c r="AH732" s="242"/>
      <c r="AI732" s="242"/>
      <c r="AJ732" s="242"/>
      <c r="AK732" s="242"/>
      <c r="AL732" s="242"/>
      <c r="AM732" s="242"/>
      <c r="AN732" s="242"/>
      <c r="AO732" s="242"/>
      <c r="AP732" s="242"/>
    </row>
    <row r="733">
      <c r="A733" s="242"/>
      <c r="B733" s="242"/>
      <c r="C733" s="242"/>
      <c r="D733" s="242"/>
      <c r="E733" s="242"/>
      <c r="F733" s="242"/>
      <c r="G733" s="242"/>
      <c r="H733" s="242"/>
      <c r="I733" s="242"/>
      <c r="J733" s="242"/>
      <c r="K733" s="242"/>
      <c r="L733" s="242"/>
      <c r="M733" s="242"/>
      <c r="N733" s="242"/>
      <c r="O733" s="242"/>
      <c r="P733" s="13"/>
      <c r="Q733" s="13"/>
      <c r="R733" s="13"/>
      <c r="S733" s="13"/>
      <c r="T733" s="13"/>
      <c r="U733" s="13"/>
      <c r="V733" s="13"/>
      <c r="W733" s="13"/>
      <c r="X733" s="13"/>
      <c r="Y733" s="13"/>
      <c r="Z733" s="13"/>
      <c r="AA733" s="13"/>
      <c r="AB733" s="13"/>
      <c r="AC733" s="13"/>
      <c r="AD733" s="13"/>
      <c r="AE733" s="13"/>
      <c r="AF733" s="242"/>
      <c r="AG733" s="242"/>
      <c r="AH733" s="242"/>
      <c r="AI733" s="242"/>
      <c r="AJ733" s="242"/>
      <c r="AK733" s="242"/>
      <c r="AL733" s="242"/>
      <c r="AM733" s="242"/>
      <c r="AN733" s="242"/>
      <c r="AO733" s="242"/>
      <c r="AP733" s="242"/>
    </row>
    <row r="734">
      <c r="A734" s="242"/>
      <c r="B734" s="242"/>
      <c r="C734" s="242"/>
      <c r="D734" s="242"/>
      <c r="E734" s="242"/>
      <c r="F734" s="242"/>
      <c r="G734" s="242"/>
      <c r="H734" s="242"/>
      <c r="I734" s="242"/>
      <c r="J734" s="242"/>
      <c r="K734" s="242"/>
      <c r="L734" s="242"/>
      <c r="M734" s="242"/>
      <c r="N734" s="242"/>
      <c r="O734" s="242"/>
      <c r="P734" s="13"/>
      <c r="Q734" s="13"/>
      <c r="R734" s="13"/>
      <c r="S734" s="13"/>
      <c r="T734" s="13"/>
      <c r="U734" s="13"/>
      <c r="V734" s="13"/>
      <c r="W734" s="13"/>
      <c r="X734" s="13"/>
      <c r="Y734" s="13"/>
      <c r="Z734" s="13"/>
      <c r="AA734" s="13"/>
      <c r="AB734" s="13"/>
      <c r="AC734" s="13"/>
      <c r="AD734" s="13"/>
      <c r="AE734" s="13"/>
      <c r="AF734" s="242"/>
      <c r="AG734" s="242"/>
      <c r="AH734" s="242"/>
      <c r="AI734" s="242"/>
      <c r="AJ734" s="242"/>
      <c r="AK734" s="242"/>
      <c r="AL734" s="242"/>
      <c r="AM734" s="242"/>
      <c r="AN734" s="242"/>
      <c r="AO734" s="242"/>
      <c r="AP734" s="242"/>
    </row>
    <row r="735">
      <c r="A735" s="242"/>
      <c r="B735" s="242"/>
      <c r="C735" s="242"/>
      <c r="D735" s="242"/>
      <c r="E735" s="242"/>
      <c r="F735" s="242"/>
      <c r="G735" s="242"/>
      <c r="H735" s="242"/>
      <c r="I735" s="242"/>
      <c r="J735" s="242"/>
      <c r="K735" s="242"/>
      <c r="L735" s="242"/>
      <c r="M735" s="242"/>
      <c r="N735" s="242"/>
      <c r="O735" s="242"/>
      <c r="P735" s="13"/>
      <c r="Q735" s="13"/>
      <c r="R735" s="13"/>
      <c r="S735" s="13"/>
      <c r="T735" s="13"/>
      <c r="U735" s="13"/>
      <c r="V735" s="13"/>
      <c r="W735" s="13"/>
      <c r="X735" s="13"/>
      <c r="Y735" s="13"/>
      <c r="Z735" s="13"/>
      <c r="AA735" s="13"/>
      <c r="AB735" s="13"/>
      <c r="AC735" s="13"/>
      <c r="AD735" s="13"/>
      <c r="AE735" s="13"/>
      <c r="AF735" s="242"/>
      <c r="AG735" s="242"/>
      <c r="AH735" s="242"/>
      <c r="AI735" s="242"/>
      <c r="AJ735" s="242"/>
      <c r="AK735" s="242"/>
      <c r="AL735" s="242"/>
      <c r="AM735" s="242"/>
      <c r="AN735" s="242"/>
      <c r="AO735" s="242"/>
      <c r="AP735" s="242"/>
    </row>
    <row r="736">
      <c r="A736" s="242"/>
      <c r="B736" s="242"/>
      <c r="C736" s="242"/>
      <c r="D736" s="242"/>
      <c r="E736" s="242"/>
      <c r="F736" s="242"/>
      <c r="G736" s="242"/>
      <c r="H736" s="242"/>
      <c r="I736" s="242"/>
      <c r="J736" s="242"/>
      <c r="K736" s="242"/>
      <c r="L736" s="242"/>
      <c r="M736" s="242"/>
      <c r="N736" s="242"/>
      <c r="O736" s="242"/>
      <c r="P736" s="13"/>
      <c r="Q736" s="13"/>
      <c r="R736" s="13"/>
      <c r="S736" s="13"/>
      <c r="T736" s="13"/>
      <c r="U736" s="13"/>
      <c r="V736" s="13"/>
      <c r="W736" s="13"/>
      <c r="X736" s="13"/>
      <c r="Y736" s="13"/>
      <c r="Z736" s="13"/>
      <c r="AA736" s="13"/>
      <c r="AB736" s="13"/>
      <c r="AC736" s="13"/>
      <c r="AD736" s="13"/>
      <c r="AE736" s="13"/>
      <c r="AF736" s="242"/>
      <c r="AG736" s="242"/>
      <c r="AH736" s="242"/>
      <c r="AI736" s="242"/>
      <c r="AJ736" s="242"/>
      <c r="AK736" s="242"/>
      <c r="AL736" s="242"/>
      <c r="AM736" s="242"/>
      <c r="AN736" s="242"/>
      <c r="AO736" s="242"/>
      <c r="AP736" s="242"/>
    </row>
    <row r="737">
      <c r="A737" s="242"/>
      <c r="B737" s="242"/>
      <c r="C737" s="242"/>
      <c r="D737" s="242"/>
      <c r="E737" s="242"/>
      <c r="F737" s="242"/>
      <c r="G737" s="242"/>
      <c r="H737" s="242"/>
      <c r="I737" s="242"/>
      <c r="J737" s="242"/>
      <c r="K737" s="242"/>
      <c r="L737" s="242"/>
      <c r="M737" s="242"/>
      <c r="N737" s="242"/>
      <c r="O737" s="242"/>
      <c r="P737" s="13"/>
      <c r="Q737" s="13"/>
      <c r="R737" s="13"/>
      <c r="S737" s="13"/>
      <c r="T737" s="13"/>
      <c r="U737" s="13"/>
      <c r="V737" s="13"/>
      <c r="W737" s="13"/>
      <c r="X737" s="13"/>
      <c r="Y737" s="13"/>
      <c r="Z737" s="13"/>
      <c r="AA737" s="13"/>
      <c r="AB737" s="13"/>
      <c r="AC737" s="13"/>
      <c r="AD737" s="13"/>
      <c r="AE737" s="13"/>
      <c r="AF737" s="242"/>
      <c r="AG737" s="242"/>
      <c r="AH737" s="242"/>
      <c r="AI737" s="242"/>
      <c r="AJ737" s="242"/>
      <c r="AK737" s="242"/>
      <c r="AL737" s="242"/>
      <c r="AM737" s="242"/>
      <c r="AN737" s="242"/>
      <c r="AO737" s="242"/>
      <c r="AP737" s="242"/>
    </row>
    <row r="738">
      <c r="A738" s="242"/>
      <c r="B738" s="242"/>
      <c r="C738" s="242"/>
      <c r="D738" s="242"/>
      <c r="E738" s="242"/>
      <c r="F738" s="242"/>
      <c r="G738" s="242"/>
      <c r="H738" s="242"/>
      <c r="I738" s="242"/>
      <c r="J738" s="242"/>
      <c r="K738" s="242"/>
      <c r="L738" s="242"/>
      <c r="M738" s="242"/>
      <c r="N738" s="242"/>
      <c r="O738" s="242"/>
      <c r="P738" s="13"/>
      <c r="Q738" s="13"/>
      <c r="R738" s="13"/>
      <c r="S738" s="13"/>
      <c r="T738" s="13"/>
      <c r="U738" s="13"/>
      <c r="V738" s="13"/>
      <c r="W738" s="13"/>
      <c r="X738" s="13"/>
      <c r="Y738" s="13"/>
      <c r="Z738" s="13"/>
      <c r="AA738" s="13"/>
      <c r="AB738" s="13"/>
      <c r="AC738" s="13"/>
      <c r="AD738" s="13"/>
      <c r="AE738" s="13"/>
      <c r="AF738" s="242"/>
      <c r="AG738" s="242"/>
      <c r="AH738" s="242"/>
      <c r="AI738" s="242"/>
      <c r="AJ738" s="242"/>
      <c r="AK738" s="242"/>
      <c r="AL738" s="242"/>
      <c r="AM738" s="242"/>
      <c r="AN738" s="242"/>
      <c r="AO738" s="242"/>
      <c r="AP738" s="242"/>
    </row>
    <row r="739">
      <c r="A739" s="242"/>
      <c r="B739" s="242"/>
      <c r="C739" s="242"/>
      <c r="D739" s="242"/>
      <c r="E739" s="242"/>
      <c r="F739" s="242"/>
      <c r="G739" s="242"/>
      <c r="H739" s="242"/>
      <c r="I739" s="242"/>
      <c r="J739" s="242"/>
      <c r="K739" s="242"/>
      <c r="L739" s="242"/>
      <c r="M739" s="242"/>
      <c r="N739" s="242"/>
      <c r="O739" s="242"/>
      <c r="P739" s="13"/>
      <c r="Q739" s="13"/>
      <c r="R739" s="13"/>
      <c r="S739" s="13"/>
      <c r="T739" s="13"/>
      <c r="U739" s="13"/>
      <c r="V739" s="13"/>
      <c r="W739" s="13"/>
      <c r="X739" s="13"/>
      <c r="Y739" s="13"/>
      <c r="Z739" s="13"/>
      <c r="AA739" s="13"/>
      <c r="AB739" s="13"/>
      <c r="AC739" s="13"/>
      <c r="AD739" s="13"/>
      <c r="AE739" s="13"/>
      <c r="AF739" s="242"/>
      <c r="AG739" s="242"/>
      <c r="AH739" s="242"/>
      <c r="AI739" s="242"/>
      <c r="AJ739" s="242"/>
      <c r="AK739" s="242"/>
      <c r="AL739" s="242"/>
      <c r="AM739" s="242"/>
      <c r="AN739" s="242"/>
      <c r="AO739" s="242"/>
      <c r="AP739" s="242"/>
    </row>
    <row r="740">
      <c r="A740" s="242"/>
      <c r="B740" s="242"/>
      <c r="C740" s="242"/>
      <c r="D740" s="242"/>
      <c r="E740" s="242"/>
      <c r="F740" s="242"/>
      <c r="G740" s="242"/>
      <c r="H740" s="242"/>
      <c r="I740" s="242"/>
      <c r="J740" s="242"/>
      <c r="K740" s="242"/>
      <c r="L740" s="242"/>
      <c r="M740" s="242"/>
      <c r="N740" s="242"/>
      <c r="O740" s="242"/>
      <c r="P740" s="13"/>
      <c r="Q740" s="13"/>
      <c r="R740" s="13"/>
      <c r="S740" s="13"/>
      <c r="T740" s="13"/>
      <c r="U740" s="13"/>
      <c r="V740" s="13"/>
      <c r="W740" s="13"/>
      <c r="X740" s="13"/>
      <c r="Y740" s="13"/>
      <c r="Z740" s="13"/>
      <c r="AA740" s="13"/>
      <c r="AB740" s="13"/>
      <c r="AC740" s="13"/>
      <c r="AD740" s="13"/>
      <c r="AE740" s="13"/>
      <c r="AF740" s="242"/>
      <c r="AG740" s="242"/>
      <c r="AH740" s="242"/>
      <c r="AI740" s="242"/>
      <c r="AJ740" s="242"/>
      <c r="AK740" s="242"/>
      <c r="AL740" s="242"/>
      <c r="AM740" s="242"/>
      <c r="AN740" s="242"/>
      <c r="AO740" s="242"/>
      <c r="AP740" s="242"/>
    </row>
    <row r="741">
      <c r="A741" s="242"/>
      <c r="B741" s="242"/>
      <c r="C741" s="242"/>
      <c r="D741" s="242"/>
      <c r="E741" s="242"/>
      <c r="F741" s="242"/>
      <c r="G741" s="242"/>
      <c r="H741" s="242"/>
      <c r="I741" s="242"/>
      <c r="J741" s="242"/>
      <c r="K741" s="242"/>
      <c r="L741" s="242"/>
      <c r="M741" s="242"/>
      <c r="N741" s="242"/>
      <c r="O741" s="242"/>
      <c r="P741" s="13"/>
      <c r="Q741" s="13"/>
      <c r="R741" s="13"/>
      <c r="S741" s="13"/>
      <c r="T741" s="13"/>
      <c r="U741" s="13"/>
      <c r="V741" s="13"/>
      <c r="W741" s="13"/>
      <c r="X741" s="13"/>
      <c r="Y741" s="13"/>
      <c r="Z741" s="13"/>
      <c r="AA741" s="13"/>
      <c r="AB741" s="13"/>
      <c r="AC741" s="13"/>
      <c r="AD741" s="13"/>
      <c r="AE741" s="13"/>
      <c r="AF741" s="242"/>
      <c r="AG741" s="242"/>
      <c r="AH741" s="242"/>
      <c r="AI741" s="242"/>
      <c r="AJ741" s="242"/>
      <c r="AK741" s="242"/>
      <c r="AL741" s="242"/>
      <c r="AM741" s="242"/>
      <c r="AN741" s="242"/>
      <c r="AO741" s="242"/>
      <c r="AP741" s="242"/>
    </row>
    <row r="742">
      <c r="A742" s="242"/>
      <c r="B742" s="242"/>
      <c r="C742" s="242"/>
      <c r="D742" s="242"/>
      <c r="E742" s="242"/>
      <c r="F742" s="242"/>
      <c r="G742" s="242"/>
      <c r="H742" s="242"/>
      <c r="I742" s="242"/>
      <c r="J742" s="242"/>
      <c r="K742" s="242"/>
      <c r="L742" s="242"/>
      <c r="M742" s="242"/>
      <c r="N742" s="242"/>
      <c r="O742" s="242"/>
      <c r="P742" s="13"/>
      <c r="Q742" s="13"/>
      <c r="R742" s="13"/>
      <c r="S742" s="13"/>
      <c r="T742" s="13"/>
      <c r="U742" s="13"/>
      <c r="V742" s="13"/>
      <c r="W742" s="13"/>
      <c r="X742" s="13"/>
      <c r="Y742" s="13"/>
      <c r="Z742" s="13"/>
      <c r="AA742" s="13"/>
      <c r="AB742" s="13"/>
      <c r="AC742" s="13"/>
      <c r="AD742" s="13"/>
      <c r="AE742" s="13"/>
      <c r="AF742" s="242"/>
      <c r="AG742" s="242"/>
      <c r="AH742" s="242"/>
      <c r="AI742" s="242"/>
      <c r="AJ742" s="242"/>
      <c r="AK742" s="242"/>
      <c r="AL742" s="242"/>
      <c r="AM742" s="242"/>
      <c r="AN742" s="242"/>
      <c r="AO742" s="242"/>
      <c r="AP742" s="242"/>
    </row>
    <row r="743">
      <c r="A743" s="242"/>
      <c r="B743" s="242"/>
      <c r="C743" s="242"/>
      <c r="D743" s="242"/>
      <c r="E743" s="242"/>
      <c r="F743" s="242"/>
      <c r="G743" s="242"/>
      <c r="H743" s="242"/>
      <c r="I743" s="242"/>
      <c r="J743" s="242"/>
      <c r="K743" s="242"/>
      <c r="L743" s="242"/>
      <c r="M743" s="242"/>
      <c r="N743" s="242"/>
      <c r="O743" s="242"/>
      <c r="P743" s="13"/>
      <c r="Q743" s="13"/>
      <c r="R743" s="13"/>
      <c r="S743" s="13"/>
      <c r="T743" s="13"/>
      <c r="U743" s="13"/>
      <c r="V743" s="13"/>
      <c r="W743" s="13"/>
      <c r="X743" s="13"/>
      <c r="Y743" s="13"/>
      <c r="Z743" s="13"/>
      <c r="AA743" s="13"/>
      <c r="AB743" s="13"/>
      <c r="AC743" s="13"/>
      <c r="AD743" s="13"/>
      <c r="AE743" s="13"/>
      <c r="AF743" s="242"/>
      <c r="AG743" s="242"/>
      <c r="AH743" s="242"/>
      <c r="AI743" s="242"/>
      <c r="AJ743" s="242"/>
      <c r="AK743" s="242"/>
      <c r="AL743" s="242"/>
      <c r="AM743" s="242"/>
      <c r="AN743" s="242"/>
      <c r="AO743" s="242"/>
      <c r="AP743" s="242"/>
    </row>
    <row r="744">
      <c r="A744" s="242"/>
      <c r="B744" s="242"/>
      <c r="C744" s="242"/>
      <c r="D744" s="242"/>
      <c r="E744" s="242"/>
      <c r="F744" s="242"/>
      <c r="G744" s="242"/>
      <c r="H744" s="242"/>
      <c r="I744" s="242"/>
      <c r="J744" s="242"/>
      <c r="K744" s="242"/>
      <c r="L744" s="242"/>
      <c r="M744" s="242"/>
      <c r="N744" s="242"/>
      <c r="O744" s="242"/>
      <c r="P744" s="13"/>
      <c r="Q744" s="13"/>
      <c r="R744" s="13"/>
      <c r="S744" s="13"/>
      <c r="T744" s="13"/>
      <c r="U744" s="13"/>
      <c r="V744" s="13"/>
      <c r="W744" s="13"/>
      <c r="X744" s="13"/>
      <c r="Y744" s="13"/>
      <c r="Z744" s="13"/>
      <c r="AA744" s="13"/>
      <c r="AB744" s="13"/>
      <c r="AC744" s="13"/>
      <c r="AD744" s="13"/>
      <c r="AE744" s="13"/>
      <c r="AF744" s="242"/>
      <c r="AG744" s="242"/>
      <c r="AH744" s="242"/>
      <c r="AI744" s="242"/>
      <c r="AJ744" s="242"/>
      <c r="AK744" s="242"/>
      <c r="AL744" s="242"/>
      <c r="AM744" s="242"/>
      <c r="AN744" s="242"/>
      <c r="AO744" s="242"/>
      <c r="AP744" s="242"/>
    </row>
    <row r="745">
      <c r="A745" s="242"/>
      <c r="B745" s="242"/>
      <c r="C745" s="242"/>
      <c r="D745" s="242"/>
      <c r="E745" s="242"/>
      <c r="F745" s="242"/>
      <c r="G745" s="242"/>
      <c r="H745" s="242"/>
      <c r="I745" s="242"/>
      <c r="J745" s="242"/>
      <c r="K745" s="242"/>
      <c r="L745" s="242"/>
      <c r="M745" s="242"/>
      <c r="N745" s="242"/>
      <c r="O745" s="242"/>
      <c r="P745" s="13"/>
      <c r="Q745" s="13"/>
      <c r="R745" s="13"/>
      <c r="S745" s="13"/>
      <c r="T745" s="13"/>
      <c r="U745" s="13"/>
      <c r="V745" s="13"/>
      <c r="W745" s="13"/>
      <c r="X745" s="13"/>
      <c r="Y745" s="13"/>
      <c r="Z745" s="13"/>
      <c r="AA745" s="13"/>
      <c r="AB745" s="13"/>
      <c r="AC745" s="13"/>
      <c r="AD745" s="13"/>
      <c r="AE745" s="13"/>
      <c r="AF745" s="242"/>
      <c r="AG745" s="242"/>
      <c r="AH745" s="242"/>
      <c r="AI745" s="242"/>
      <c r="AJ745" s="242"/>
      <c r="AK745" s="242"/>
      <c r="AL745" s="242"/>
      <c r="AM745" s="242"/>
      <c r="AN745" s="242"/>
      <c r="AO745" s="242"/>
      <c r="AP745" s="242"/>
    </row>
    <row r="746">
      <c r="A746" s="242"/>
      <c r="B746" s="242"/>
      <c r="C746" s="242"/>
      <c r="D746" s="242"/>
      <c r="E746" s="242"/>
      <c r="F746" s="242"/>
      <c r="G746" s="242"/>
      <c r="H746" s="242"/>
      <c r="I746" s="242"/>
      <c r="J746" s="242"/>
      <c r="K746" s="242"/>
      <c r="L746" s="242"/>
      <c r="M746" s="242"/>
      <c r="N746" s="242"/>
      <c r="O746" s="242"/>
      <c r="P746" s="13"/>
      <c r="Q746" s="13"/>
      <c r="R746" s="13"/>
      <c r="S746" s="13"/>
      <c r="T746" s="13"/>
      <c r="U746" s="13"/>
      <c r="V746" s="13"/>
      <c r="W746" s="13"/>
      <c r="X746" s="13"/>
      <c r="Y746" s="13"/>
      <c r="Z746" s="13"/>
      <c r="AA746" s="13"/>
      <c r="AB746" s="13"/>
      <c r="AC746" s="13"/>
      <c r="AD746" s="13"/>
      <c r="AE746" s="13"/>
      <c r="AF746" s="242"/>
      <c r="AG746" s="242"/>
      <c r="AH746" s="242"/>
      <c r="AI746" s="242"/>
      <c r="AJ746" s="242"/>
      <c r="AK746" s="242"/>
      <c r="AL746" s="242"/>
      <c r="AM746" s="242"/>
      <c r="AN746" s="242"/>
      <c r="AO746" s="242"/>
      <c r="AP746" s="242"/>
    </row>
    <row r="747">
      <c r="A747" s="242"/>
      <c r="B747" s="242"/>
      <c r="C747" s="242"/>
      <c r="D747" s="242"/>
      <c r="E747" s="242"/>
      <c r="F747" s="242"/>
      <c r="G747" s="242"/>
      <c r="H747" s="242"/>
      <c r="I747" s="242"/>
      <c r="J747" s="242"/>
      <c r="K747" s="242"/>
      <c r="L747" s="242"/>
      <c r="M747" s="242"/>
      <c r="N747" s="242"/>
      <c r="O747" s="242"/>
      <c r="P747" s="13"/>
      <c r="Q747" s="13"/>
      <c r="R747" s="13"/>
      <c r="S747" s="13"/>
      <c r="T747" s="13"/>
      <c r="U747" s="13"/>
      <c r="V747" s="13"/>
      <c r="W747" s="13"/>
      <c r="X747" s="13"/>
      <c r="Y747" s="13"/>
      <c r="Z747" s="13"/>
      <c r="AA747" s="13"/>
      <c r="AB747" s="13"/>
      <c r="AC747" s="13"/>
      <c r="AD747" s="13"/>
      <c r="AE747" s="13"/>
      <c r="AF747" s="242"/>
      <c r="AG747" s="242"/>
      <c r="AH747" s="242"/>
      <c r="AI747" s="242"/>
      <c r="AJ747" s="242"/>
      <c r="AK747" s="242"/>
      <c r="AL747" s="242"/>
      <c r="AM747" s="242"/>
      <c r="AN747" s="242"/>
      <c r="AO747" s="242"/>
      <c r="AP747" s="242"/>
    </row>
    <row r="748">
      <c r="A748" s="242"/>
      <c r="B748" s="242"/>
      <c r="C748" s="242"/>
      <c r="D748" s="242"/>
      <c r="E748" s="242"/>
      <c r="F748" s="242"/>
      <c r="G748" s="242"/>
      <c r="H748" s="242"/>
      <c r="I748" s="242"/>
      <c r="J748" s="242"/>
      <c r="K748" s="242"/>
      <c r="L748" s="242"/>
      <c r="M748" s="242"/>
      <c r="N748" s="242"/>
      <c r="O748" s="242"/>
      <c r="P748" s="13"/>
      <c r="Q748" s="13"/>
      <c r="R748" s="13"/>
      <c r="S748" s="13"/>
      <c r="T748" s="13"/>
      <c r="U748" s="13"/>
      <c r="V748" s="13"/>
      <c r="W748" s="13"/>
      <c r="X748" s="13"/>
      <c r="Y748" s="13"/>
      <c r="Z748" s="13"/>
      <c r="AA748" s="13"/>
      <c r="AB748" s="13"/>
      <c r="AC748" s="13"/>
      <c r="AD748" s="13"/>
      <c r="AE748" s="13"/>
      <c r="AF748" s="242"/>
      <c r="AG748" s="242"/>
      <c r="AH748" s="242"/>
      <c r="AI748" s="242"/>
      <c r="AJ748" s="242"/>
      <c r="AK748" s="242"/>
      <c r="AL748" s="242"/>
      <c r="AM748" s="242"/>
      <c r="AN748" s="242"/>
      <c r="AO748" s="242"/>
      <c r="AP748" s="242"/>
    </row>
    <row r="749">
      <c r="A749" s="242"/>
      <c r="B749" s="242"/>
      <c r="C749" s="242"/>
      <c r="D749" s="242"/>
      <c r="E749" s="242"/>
      <c r="F749" s="242"/>
      <c r="G749" s="242"/>
      <c r="H749" s="242"/>
      <c r="I749" s="242"/>
      <c r="J749" s="242"/>
      <c r="K749" s="242"/>
      <c r="L749" s="242"/>
      <c r="M749" s="242"/>
      <c r="N749" s="242"/>
      <c r="O749" s="242"/>
      <c r="P749" s="13"/>
      <c r="Q749" s="13"/>
      <c r="R749" s="13"/>
      <c r="S749" s="13"/>
      <c r="T749" s="13"/>
      <c r="U749" s="13"/>
      <c r="V749" s="13"/>
      <c r="W749" s="13"/>
      <c r="X749" s="13"/>
      <c r="Y749" s="13"/>
      <c r="Z749" s="13"/>
      <c r="AA749" s="13"/>
      <c r="AB749" s="13"/>
      <c r="AC749" s="13"/>
      <c r="AD749" s="13"/>
      <c r="AE749" s="13"/>
      <c r="AF749" s="242"/>
      <c r="AG749" s="242"/>
      <c r="AH749" s="242"/>
      <c r="AI749" s="242"/>
      <c r="AJ749" s="242"/>
      <c r="AK749" s="242"/>
      <c r="AL749" s="242"/>
      <c r="AM749" s="242"/>
      <c r="AN749" s="242"/>
      <c r="AO749" s="242"/>
      <c r="AP749" s="242"/>
    </row>
    <row r="750">
      <c r="A750" s="242"/>
      <c r="B750" s="242"/>
      <c r="C750" s="242"/>
      <c r="D750" s="242"/>
      <c r="E750" s="242"/>
      <c r="F750" s="242"/>
      <c r="G750" s="242"/>
      <c r="H750" s="242"/>
      <c r="I750" s="242"/>
      <c r="J750" s="242"/>
      <c r="K750" s="242"/>
      <c r="L750" s="242"/>
      <c r="M750" s="242"/>
      <c r="N750" s="242"/>
      <c r="O750" s="242"/>
      <c r="P750" s="13"/>
      <c r="Q750" s="13"/>
      <c r="R750" s="13"/>
      <c r="S750" s="13"/>
      <c r="T750" s="13"/>
      <c r="U750" s="13"/>
      <c r="V750" s="13"/>
      <c r="W750" s="13"/>
      <c r="X750" s="13"/>
      <c r="Y750" s="13"/>
      <c r="Z750" s="13"/>
      <c r="AA750" s="13"/>
      <c r="AB750" s="13"/>
      <c r="AC750" s="13"/>
      <c r="AD750" s="13"/>
      <c r="AE750" s="13"/>
      <c r="AF750" s="242"/>
      <c r="AG750" s="242"/>
      <c r="AH750" s="242"/>
      <c r="AI750" s="242"/>
      <c r="AJ750" s="242"/>
      <c r="AK750" s="242"/>
      <c r="AL750" s="242"/>
      <c r="AM750" s="242"/>
      <c r="AN750" s="242"/>
      <c r="AO750" s="242"/>
      <c r="AP750" s="242"/>
    </row>
    <row r="751">
      <c r="A751" s="242"/>
      <c r="B751" s="242"/>
      <c r="C751" s="242"/>
      <c r="D751" s="242"/>
      <c r="E751" s="242"/>
      <c r="F751" s="242"/>
      <c r="G751" s="242"/>
      <c r="H751" s="242"/>
      <c r="I751" s="242"/>
      <c r="J751" s="242"/>
      <c r="K751" s="242"/>
      <c r="L751" s="242"/>
      <c r="M751" s="242"/>
      <c r="N751" s="242"/>
      <c r="O751" s="242"/>
      <c r="P751" s="13"/>
      <c r="Q751" s="13"/>
      <c r="R751" s="13"/>
      <c r="S751" s="13"/>
      <c r="T751" s="13"/>
      <c r="U751" s="13"/>
      <c r="V751" s="13"/>
      <c r="W751" s="13"/>
      <c r="X751" s="13"/>
      <c r="Y751" s="13"/>
      <c r="Z751" s="13"/>
      <c r="AA751" s="13"/>
      <c r="AB751" s="13"/>
      <c r="AC751" s="13"/>
      <c r="AD751" s="13"/>
      <c r="AE751" s="13"/>
      <c r="AF751" s="242"/>
      <c r="AG751" s="242"/>
      <c r="AH751" s="242"/>
      <c r="AI751" s="242"/>
      <c r="AJ751" s="242"/>
      <c r="AK751" s="242"/>
      <c r="AL751" s="242"/>
      <c r="AM751" s="242"/>
      <c r="AN751" s="242"/>
      <c r="AO751" s="242"/>
      <c r="AP751" s="242"/>
    </row>
    <row r="752">
      <c r="A752" s="242"/>
      <c r="B752" s="242"/>
      <c r="C752" s="242"/>
      <c r="D752" s="242"/>
      <c r="E752" s="242"/>
      <c r="F752" s="242"/>
      <c r="G752" s="242"/>
      <c r="H752" s="242"/>
      <c r="I752" s="242"/>
      <c r="J752" s="242"/>
      <c r="K752" s="242"/>
      <c r="L752" s="242"/>
      <c r="M752" s="242"/>
      <c r="N752" s="242"/>
      <c r="O752" s="242"/>
      <c r="P752" s="13"/>
      <c r="Q752" s="13"/>
      <c r="R752" s="13"/>
      <c r="S752" s="13"/>
      <c r="T752" s="13"/>
      <c r="U752" s="13"/>
      <c r="V752" s="13"/>
      <c r="W752" s="13"/>
      <c r="X752" s="13"/>
      <c r="Y752" s="13"/>
      <c r="Z752" s="13"/>
      <c r="AA752" s="13"/>
      <c r="AB752" s="13"/>
      <c r="AC752" s="13"/>
      <c r="AD752" s="13"/>
      <c r="AE752" s="13"/>
      <c r="AF752" s="242"/>
      <c r="AG752" s="242"/>
      <c r="AH752" s="242"/>
      <c r="AI752" s="242"/>
      <c r="AJ752" s="242"/>
      <c r="AK752" s="242"/>
      <c r="AL752" s="242"/>
      <c r="AM752" s="242"/>
      <c r="AN752" s="242"/>
      <c r="AO752" s="242"/>
      <c r="AP752" s="242"/>
    </row>
    <row r="753">
      <c r="A753" s="242"/>
      <c r="B753" s="242"/>
      <c r="C753" s="242"/>
      <c r="D753" s="242"/>
      <c r="E753" s="242"/>
      <c r="F753" s="242"/>
      <c r="G753" s="242"/>
      <c r="H753" s="242"/>
      <c r="I753" s="242"/>
      <c r="J753" s="242"/>
      <c r="K753" s="242"/>
      <c r="L753" s="242"/>
      <c r="M753" s="242"/>
      <c r="N753" s="242"/>
      <c r="O753" s="242"/>
      <c r="P753" s="13"/>
      <c r="Q753" s="13"/>
      <c r="R753" s="13"/>
      <c r="S753" s="13"/>
      <c r="T753" s="13"/>
      <c r="U753" s="13"/>
      <c r="V753" s="13"/>
      <c r="W753" s="13"/>
      <c r="X753" s="13"/>
      <c r="Y753" s="13"/>
      <c r="Z753" s="13"/>
      <c r="AA753" s="13"/>
      <c r="AB753" s="13"/>
      <c r="AC753" s="13"/>
      <c r="AD753" s="13"/>
      <c r="AE753" s="13"/>
      <c r="AF753" s="242"/>
      <c r="AG753" s="242"/>
      <c r="AH753" s="242"/>
      <c r="AI753" s="242"/>
      <c r="AJ753" s="242"/>
      <c r="AK753" s="242"/>
      <c r="AL753" s="242"/>
      <c r="AM753" s="242"/>
      <c r="AN753" s="242"/>
      <c r="AO753" s="242"/>
      <c r="AP753" s="242"/>
    </row>
    <row r="754">
      <c r="A754" s="242"/>
      <c r="B754" s="242"/>
      <c r="C754" s="242"/>
      <c r="D754" s="242"/>
      <c r="E754" s="242"/>
      <c r="F754" s="242"/>
      <c r="G754" s="242"/>
      <c r="H754" s="242"/>
      <c r="I754" s="242"/>
      <c r="J754" s="242"/>
      <c r="K754" s="242"/>
      <c r="L754" s="242"/>
      <c r="M754" s="242"/>
      <c r="N754" s="242"/>
      <c r="O754" s="242"/>
      <c r="P754" s="13"/>
      <c r="Q754" s="13"/>
      <c r="R754" s="13"/>
      <c r="S754" s="13"/>
      <c r="T754" s="13"/>
      <c r="U754" s="13"/>
      <c r="V754" s="13"/>
      <c r="W754" s="13"/>
      <c r="X754" s="13"/>
      <c r="Y754" s="13"/>
      <c r="Z754" s="13"/>
      <c r="AA754" s="13"/>
      <c r="AB754" s="13"/>
      <c r="AC754" s="13"/>
      <c r="AD754" s="13"/>
      <c r="AE754" s="13"/>
      <c r="AF754" s="242"/>
      <c r="AG754" s="242"/>
      <c r="AH754" s="242"/>
      <c r="AI754" s="242"/>
      <c r="AJ754" s="242"/>
      <c r="AK754" s="242"/>
      <c r="AL754" s="242"/>
      <c r="AM754" s="242"/>
      <c r="AN754" s="242"/>
      <c r="AO754" s="242"/>
      <c r="AP754" s="242"/>
    </row>
    <row r="755">
      <c r="A755" s="242"/>
      <c r="B755" s="242"/>
      <c r="C755" s="242"/>
      <c r="D755" s="242"/>
      <c r="E755" s="242"/>
      <c r="F755" s="242"/>
      <c r="G755" s="242"/>
      <c r="H755" s="242"/>
      <c r="I755" s="242"/>
      <c r="J755" s="242"/>
      <c r="K755" s="242"/>
      <c r="L755" s="242"/>
      <c r="M755" s="242"/>
      <c r="N755" s="242"/>
      <c r="O755" s="242"/>
      <c r="P755" s="13"/>
      <c r="Q755" s="13"/>
      <c r="R755" s="13"/>
      <c r="S755" s="13"/>
      <c r="T755" s="13"/>
      <c r="U755" s="13"/>
      <c r="V755" s="13"/>
      <c r="W755" s="13"/>
      <c r="X755" s="13"/>
      <c r="Y755" s="13"/>
      <c r="Z755" s="13"/>
      <c r="AA755" s="13"/>
      <c r="AB755" s="13"/>
      <c r="AC755" s="13"/>
      <c r="AD755" s="13"/>
      <c r="AE755" s="13"/>
      <c r="AF755" s="242"/>
      <c r="AG755" s="242"/>
      <c r="AH755" s="242"/>
      <c r="AI755" s="242"/>
      <c r="AJ755" s="242"/>
      <c r="AK755" s="242"/>
      <c r="AL755" s="242"/>
      <c r="AM755" s="242"/>
      <c r="AN755" s="242"/>
      <c r="AO755" s="242"/>
      <c r="AP755" s="242"/>
    </row>
    <row r="756">
      <c r="A756" s="242"/>
      <c r="B756" s="242"/>
      <c r="C756" s="242"/>
      <c r="D756" s="242"/>
      <c r="E756" s="242"/>
      <c r="F756" s="242"/>
      <c r="G756" s="242"/>
      <c r="H756" s="242"/>
      <c r="I756" s="242"/>
      <c r="J756" s="242"/>
      <c r="K756" s="242"/>
      <c r="L756" s="242"/>
      <c r="M756" s="242"/>
      <c r="N756" s="242"/>
      <c r="O756" s="242"/>
      <c r="P756" s="13"/>
      <c r="Q756" s="13"/>
      <c r="R756" s="13"/>
      <c r="S756" s="13"/>
      <c r="T756" s="13"/>
      <c r="U756" s="13"/>
      <c r="V756" s="13"/>
      <c r="W756" s="13"/>
      <c r="X756" s="13"/>
      <c r="Y756" s="13"/>
      <c r="Z756" s="13"/>
      <c r="AA756" s="13"/>
      <c r="AB756" s="13"/>
      <c r="AC756" s="13"/>
      <c r="AD756" s="13"/>
      <c r="AE756" s="13"/>
      <c r="AF756" s="242"/>
      <c r="AG756" s="242"/>
      <c r="AH756" s="242"/>
      <c r="AI756" s="242"/>
      <c r="AJ756" s="242"/>
      <c r="AK756" s="242"/>
      <c r="AL756" s="242"/>
      <c r="AM756" s="242"/>
      <c r="AN756" s="242"/>
      <c r="AO756" s="242"/>
      <c r="AP756" s="242"/>
    </row>
    <row r="757">
      <c r="A757" s="242"/>
      <c r="B757" s="242"/>
      <c r="C757" s="242"/>
      <c r="D757" s="242"/>
      <c r="E757" s="242"/>
      <c r="F757" s="242"/>
      <c r="G757" s="242"/>
      <c r="H757" s="242"/>
      <c r="I757" s="242"/>
      <c r="J757" s="242"/>
      <c r="K757" s="242"/>
      <c r="L757" s="242"/>
      <c r="M757" s="242"/>
      <c r="N757" s="242"/>
      <c r="O757" s="242"/>
      <c r="P757" s="13"/>
      <c r="Q757" s="13"/>
      <c r="R757" s="13"/>
      <c r="S757" s="13"/>
      <c r="T757" s="13"/>
      <c r="U757" s="13"/>
      <c r="V757" s="13"/>
      <c r="W757" s="13"/>
      <c r="X757" s="13"/>
      <c r="Y757" s="13"/>
      <c r="Z757" s="13"/>
      <c r="AA757" s="13"/>
      <c r="AB757" s="13"/>
      <c r="AC757" s="13"/>
      <c r="AD757" s="13"/>
      <c r="AE757" s="13"/>
      <c r="AF757" s="242"/>
      <c r="AG757" s="242"/>
      <c r="AH757" s="242"/>
      <c r="AI757" s="242"/>
      <c r="AJ757" s="242"/>
      <c r="AK757" s="242"/>
      <c r="AL757" s="242"/>
      <c r="AM757" s="242"/>
      <c r="AN757" s="242"/>
      <c r="AO757" s="242"/>
      <c r="AP757" s="242"/>
    </row>
    <row r="758">
      <c r="A758" s="242"/>
      <c r="B758" s="242"/>
      <c r="C758" s="242"/>
      <c r="D758" s="242"/>
      <c r="E758" s="242"/>
      <c r="F758" s="242"/>
      <c r="G758" s="242"/>
      <c r="H758" s="242"/>
      <c r="I758" s="242"/>
      <c r="J758" s="242"/>
      <c r="K758" s="242"/>
      <c r="L758" s="242"/>
      <c r="M758" s="242"/>
      <c r="N758" s="242"/>
      <c r="O758" s="242"/>
      <c r="P758" s="13"/>
      <c r="Q758" s="13"/>
      <c r="R758" s="13"/>
      <c r="S758" s="13"/>
      <c r="T758" s="13"/>
      <c r="U758" s="13"/>
      <c r="V758" s="13"/>
      <c r="W758" s="13"/>
      <c r="X758" s="13"/>
      <c r="Y758" s="13"/>
      <c r="Z758" s="13"/>
      <c r="AA758" s="13"/>
      <c r="AB758" s="13"/>
      <c r="AC758" s="13"/>
      <c r="AD758" s="13"/>
      <c r="AE758" s="13"/>
      <c r="AF758" s="242"/>
      <c r="AG758" s="242"/>
      <c r="AH758" s="242"/>
      <c r="AI758" s="242"/>
      <c r="AJ758" s="242"/>
      <c r="AK758" s="242"/>
      <c r="AL758" s="242"/>
      <c r="AM758" s="242"/>
      <c r="AN758" s="242"/>
      <c r="AO758" s="242"/>
      <c r="AP758" s="242"/>
    </row>
    <row r="759">
      <c r="A759" s="242"/>
      <c r="B759" s="242"/>
      <c r="C759" s="242"/>
      <c r="D759" s="242"/>
      <c r="E759" s="242"/>
      <c r="F759" s="242"/>
      <c r="G759" s="242"/>
      <c r="H759" s="242"/>
      <c r="I759" s="242"/>
      <c r="J759" s="242"/>
      <c r="K759" s="242"/>
      <c r="L759" s="242"/>
      <c r="M759" s="242"/>
      <c r="N759" s="242"/>
      <c r="O759" s="242"/>
      <c r="P759" s="13"/>
      <c r="Q759" s="13"/>
      <c r="R759" s="13"/>
      <c r="S759" s="13"/>
      <c r="T759" s="13"/>
      <c r="U759" s="13"/>
      <c r="V759" s="13"/>
      <c r="W759" s="13"/>
      <c r="X759" s="13"/>
      <c r="Y759" s="13"/>
      <c r="Z759" s="13"/>
      <c r="AA759" s="13"/>
      <c r="AB759" s="13"/>
      <c r="AC759" s="13"/>
      <c r="AD759" s="13"/>
      <c r="AE759" s="13"/>
      <c r="AF759" s="242"/>
      <c r="AG759" s="242"/>
      <c r="AH759" s="242"/>
      <c r="AI759" s="242"/>
      <c r="AJ759" s="242"/>
      <c r="AK759" s="242"/>
      <c r="AL759" s="242"/>
      <c r="AM759" s="242"/>
      <c r="AN759" s="242"/>
      <c r="AO759" s="242"/>
      <c r="AP759" s="242"/>
    </row>
    <row r="760">
      <c r="A760" s="242"/>
      <c r="B760" s="242"/>
      <c r="C760" s="242"/>
      <c r="D760" s="242"/>
      <c r="E760" s="242"/>
      <c r="F760" s="242"/>
      <c r="G760" s="242"/>
      <c r="H760" s="242"/>
      <c r="I760" s="242"/>
      <c r="J760" s="242"/>
      <c r="K760" s="242"/>
      <c r="L760" s="242"/>
      <c r="M760" s="242"/>
      <c r="N760" s="242"/>
      <c r="O760" s="242"/>
      <c r="P760" s="13"/>
      <c r="Q760" s="13"/>
      <c r="R760" s="13"/>
      <c r="S760" s="13"/>
      <c r="T760" s="13"/>
      <c r="U760" s="13"/>
      <c r="V760" s="13"/>
      <c r="W760" s="13"/>
      <c r="X760" s="13"/>
      <c r="Y760" s="13"/>
      <c r="Z760" s="13"/>
      <c r="AA760" s="13"/>
      <c r="AB760" s="13"/>
      <c r="AC760" s="13"/>
      <c r="AD760" s="13"/>
      <c r="AE760" s="13"/>
      <c r="AF760" s="242"/>
      <c r="AG760" s="242"/>
      <c r="AH760" s="242"/>
      <c r="AI760" s="242"/>
      <c r="AJ760" s="242"/>
      <c r="AK760" s="242"/>
      <c r="AL760" s="242"/>
      <c r="AM760" s="242"/>
      <c r="AN760" s="242"/>
      <c r="AO760" s="242"/>
      <c r="AP760" s="242"/>
    </row>
    <row r="761">
      <c r="A761" s="242"/>
      <c r="B761" s="242"/>
      <c r="C761" s="242"/>
      <c r="D761" s="242"/>
      <c r="E761" s="242"/>
      <c r="F761" s="242"/>
      <c r="G761" s="242"/>
      <c r="H761" s="242"/>
      <c r="I761" s="242"/>
      <c r="J761" s="242"/>
      <c r="K761" s="242"/>
      <c r="L761" s="242"/>
      <c r="M761" s="242"/>
      <c r="N761" s="242"/>
      <c r="O761" s="242"/>
      <c r="P761" s="13"/>
      <c r="Q761" s="13"/>
      <c r="R761" s="13"/>
      <c r="S761" s="13"/>
      <c r="T761" s="13"/>
      <c r="U761" s="13"/>
      <c r="V761" s="13"/>
      <c r="W761" s="13"/>
      <c r="X761" s="13"/>
      <c r="Y761" s="13"/>
      <c r="Z761" s="13"/>
      <c r="AA761" s="13"/>
      <c r="AB761" s="13"/>
      <c r="AC761" s="13"/>
      <c r="AD761" s="13"/>
      <c r="AE761" s="13"/>
      <c r="AF761" s="242"/>
      <c r="AG761" s="242"/>
      <c r="AH761" s="242"/>
      <c r="AI761" s="242"/>
      <c r="AJ761" s="242"/>
      <c r="AK761" s="242"/>
      <c r="AL761" s="242"/>
      <c r="AM761" s="242"/>
      <c r="AN761" s="242"/>
      <c r="AO761" s="242"/>
      <c r="AP761" s="242"/>
    </row>
    <row r="762">
      <c r="A762" s="242"/>
      <c r="B762" s="242"/>
      <c r="C762" s="242"/>
      <c r="D762" s="242"/>
      <c r="E762" s="242"/>
      <c r="F762" s="242"/>
      <c r="G762" s="242"/>
      <c r="H762" s="242"/>
      <c r="I762" s="242"/>
      <c r="J762" s="242"/>
      <c r="K762" s="242"/>
      <c r="L762" s="242"/>
      <c r="M762" s="242"/>
      <c r="N762" s="242"/>
      <c r="O762" s="242"/>
      <c r="P762" s="13"/>
      <c r="Q762" s="13"/>
      <c r="R762" s="13"/>
      <c r="S762" s="13"/>
      <c r="T762" s="13"/>
      <c r="U762" s="13"/>
      <c r="V762" s="13"/>
      <c r="W762" s="13"/>
      <c r="X762" s="13"/>
      <c r="Y762" s="13"/>
      <c r="Z762" s="13"/>
      <c r="AA762" s="13"/>
      <c r="AB762" s="13"/>
      <c r="AC762" s="13"/>
      <c r="AD762" s="13"/>
      <c r="AE762" s="13"/>
      <c r="AF762" s="242"/>
      <c r="AG762" s="242"/>
      <c r="AH762" s="242"/>
      <c r="AI762" s="242"/>
      <c r="AJ762" s="242"/>
      <c r="AK762" s="242"/>
      <c r="AL762" s="242"/>
      <c r="AM762" s="242"/>
      <c r="AN762" s="242"/>
      <c r="AO762" s="242"/>
      <c r="AP762" s="242"/>
    </row>
    <row r="763">
      <c r="A763" s="242"/>
      <c r="B763" s="242"/>
      <c r="C763" s="242"/>
      <c r="D763" s="242"/>
      <c r="E763" s="242"/>
      <c r="F763" s="242"/>
      <c r="G763" s="242"/>
      <c r="H763" s="242"/>
      <c r="I763" s="242"/>
      <c r="J763" s="242"/>
      <c r="K763" s="242"/>
      <c r="L763" s="242"/>
      <c r="M763" s="242"/>
      <c r="N763" s="242"/>
      <c r="O763" s="242"/>
      <c r="P763" s="13"/>
      <c r="Q763" s="13"/>
      <c r="R763" s="13"/>
      <c r="S763" s="13"/>
      <c r="T763" s="13"/>
      <c r="U763" s="13"/>
      <c r="V763" s="13"/>
      <c r="W763" s="13"/>
      <c r="X763" s="13"/>
      <c r="Y763" s="13"/>
      <c r="Z763" s="13"/>
      <c r="AA763" s="13"/>
      <c r="AB763" s="13"/>
      <c r="AC763" s="13"/>
      <c r="AD763" s="13"/>
      <c r="AE763" s="13"/>
      <c r="AF763" s="242"/>
      <c r="AG763" s="242"/>
      <c r="AH763" s="242"/>
      <c r="AI763" s="242"/>
      <c r="AJ763" s="242"/>
      <c r="AK763" s="242"/>
      <c r="AL763" s="242"/>
      <c r="AM763" s="242"/>
      <c r="AN763" s="242"/>
      <c r="AO763" s="242"/>
      <c r="AP763" s="242"/>
    </row>
    <row r="764">
      <c r="A764" s="242"/>
      <c r="B764" s="242"/>
      <c r="C764" s="242"/>
      <c r="D764" s="242"/>
      <c r="E764" s="242"/>
      <c r="F764" s="242"/>
      <c r="G764" s="242"/>
      <c r="H764" s="242"/>
      <c r="I764" s="242"/>
      <c r="J764" s="242"/>
      <c r="K764" s="242"/>
      <c r="L764" s="242"/>
      <c r="M764" s="242"/>
      <c r="N764" s="242"/>
      <c r="O764" s="242"/>
      <c r="P764" s="13"/>
      <c r="Q764" s="13"/>
      <c r="R764" s="13"/>
      <c r="S764" s="13"/>
      <c r="T764" s="13"/>
      <c r="U764" s="13"/>
      <c r="V764" s="13"/>
      <c r="W764" s="13"/>
      <c r="X764" s="13"/>
      <c r="Y764" s="13"/>
      <c r="Z764" s="13"/>
      <c r="AA764" s="13"/>
      <c r="AB764" s="13"/>
      <c r="AC764" s="13"/>
      <c r="AD764" s="13"/>
      <c r="AE764" s="13"/>
      <c r="AF764" s="242"/>
      <c r="AG764" s="242"/>
      <c r="AH764" s="242"/>
      <c r="AI764" s="242"/>
      <c r="AJ764" s="242"/>
      <c r="AK764" s="242"/>
      <c r="AL764" s="242"/>
      <c r="AM764" s="242"/>
      <c r="AN764" s="242"/>
      <c r="AO764" s="242"/>
      <c r="AP764" s="242"/>
    </row>
    <row r="765">
      <c r="A765" s="242"/>
      <c r="B765" s="242"/>
      <c r="C765" s="242"/>
      <c r="D765" s="242"/>
      <c r="E765" s="242"/>
      <c r="F765" s="242"/>
      <c r="G765" s="242"/>
      <c r="H765" s="242"/>
      <c r="I765" s="242"/>
      <c r="J765" s="242"/>
      <c r="K765" s="242"/>
      <c r="L765" s="242"/>
      <c r="M765" s="242"/>
      <c r="N765" s="242"/>
      <c r="O765" s="242"/>
      <c r="P765" s="13"/>
      <c r="Q765" s="13"/>
      <c r="R765" s="13"/>
      <c r="S765" s="13"/>
      <c r="T765" s="13"/>
      <c r="U765" s="13"/>
      <c r="V765" s="13"/>
      <c r="W765" s="13"/>
      <c r="X765" s="13"/>
      <c r="Y765" s="13"/>
      <c r="Z765" s="13"/>
      <c r="AA765" s="13"/>
      <c r="AB765" s="13"/>
      <c r="AC765" s="13"/>
      <c r="AD765" s="13"/>
      <c r="AE765" s="13"/>
      <c r="AF765" s="242"/>
      <c r="AG765" s="242"/>
      <c r="AH765" s="242"/>
      <c r="AI765" s="242"/>
      <c r="AJ765" s="242"/>
      <c r="AK765" s="242"/>
      <c r="AL765" s="242"/>
      <c r="AM765" s="242"/>
      <c r="AN765" s="242"/>
      <c r="AO765" s="242"/>
      <c r="AP765" s="242"/>
    </row>
    <row r="766">
      <c r="A766" s="242"/>
      <c r="B766" s="242"/>
      <c r="C766" s="242"/>
      <c r="D766" s="242"/>
      <c r="E766" s="242"/>
      <c r="F766" s="242"/>
      <c r="G766" s="242"/>
      <c r="H766" s="242"/>
      <c r="I766" s="242"/>
      <c r="J766" s="242"/>
      <c r="K766" s="242"/>
      <c r="L766" s="242"/>
      <c r="M766" s="242"/>
      <c r="N766" s="242"/>
      <c r="O766" s="242"/>
      <c r="P766" s="13"/>
      <c r="Q766" s="13"/>
      <c r="R766" s="13"/>
      <c r="S766" s="13"/>
      <c r="T766" s="13"/>
      <c r="U766" s="13"/>
      <c r="V766" s="13"/>
      <c r="W766" s="13"/>
      <c r="X766" s="13"/>
      <c r="Y766" s="13"/>
      <c r="Z766" s="13"/>
      <c r="AA766" s="13"/>
      <c r="AB766" s="13"/>
      <c r="AC766" s="13"/>
      <c r="AD766" s="13"/>
      <c r="AE766" s="13"/>
      <c r="AF766" s="242"/>
      <c r="AG766" s="242"/>
      <c r="AH766" s="242"/>
      <c r="AI766" s="242"/>
      <c r="AJ766" s="242"/>
      <c r="AK766" s="242"/>
      <c r="AL766" s="242"/>
      <c r="AM766" s="242"/>
      <c r="AN766" s="242"/>
      <c r="AO766" s="242"/>
      <c r="AP766" s="242"/>
    </row>
    <row r="767">
      <c r="A767" s="242"/>
      <c r="B767" s="242"/>
      <c r="C767" s="242"/>
      <c r="D767" s="242"/>
      <c r="E767" s="242"/>
      <c r="F767" s="242"/>
      <c r="G767" s="242"/>
      <c r="H767" s="242"/>
      <c r="I767" s="242"/>
      <c r="J767" s="242"/>
      <c r="K767" s="242"/>
      <c r="L767" s="242"/>
      <c r="M767" s="242"/>
      <c r="N767" s="242"/>
      <c r="O767" s="242"/>
      <c r="P767" s="13"/>
      <c r="Q767" s="13"/>
      <c r="R767" s="13"/>
      <c r="S767" s="13"/>
      <c r="T767" s="13"/>
      <c r="U767" s="13"/>
      <c r="V767" s="13"/>
      <c r="W767" s="13"/>
      <c r="X767" s="13"/>
      <c r="Y767" s="13"/>
      <c r="Z767" s="13"/>
      <c r="AA767" s="13"/>
      <c r="AB767" s="13"/>
      <c r="AC767" s="13"/>
      <c r="AD767" s="13"/>
      <c r="AE767" s="13"/>
      <c r="AF767" s="242"/>
      <c r="AG767" s="242"/>
      <c r="AH767" s="242"/>
      <c r="AI767" s="242"/>
      <c r="AJ767" s="242"/>
      <c r="AK767" s="242"/>
      <c r="AL767" s="242"/>
      <c r="AM767" s="242"/>
      <c r="AN767" s="242"/>
      <c r="AO767" s="242"/>
      <c r="AP767" s="242"/>
    </row>
    <row r="768">
      <c r="A768" s="242"/>
      <c r="B768" s="242"/>
      <c r="C768" s="242"/>
      <c r="D768" s="242"/>
      <c r="E768" s="242"/>
      <c r="F768" s="242"/>
      <c r="G768" s="242"/>
      <c r="H768" s="242"/>
      <c r="I768" s="242"/>
      <c r="J768" s="242"/>
      <c r="K768" s="242"/>
      <c r="L768" s="242"/>
      <c r="M768" s="242"/>
      <c r="N768" s="242"/>
      <c r="O768" s="242"/>
      <c r="P768" s="13"/>
      <c r="Q768" s="13"/>
      <c r="R768" s="13"/>
      <c r="S768" s="13"/>
      <c r="T768" s="13"/>
      <c r="U768" s="13"/>
      <c r="V768" s="13"/>
      <c r="W768" s="13"/>
      <c r="X768" s="13"/>
      <c r="Y768" s="13"/>
      <c r="Z768" s="13"/>
      <c r="AA768" s="13"/>
      <c r="AB768" s="13"/>
      <c r="AC768" s="13"/>
      <c r="AD768" s="13"/>
      <c r="AE768" s="13"/>
      <c r="AF768" s="242"/>
      <c r="AG768" s="242"/>
      <c r="AH768" s="242"/>
      <c r="AI768" s="242"/>
      <c r="AJ768" s="242"/>
      <c r="AK768" s="242"/>
      <c r="AL768" s="242"/>
      <c r="AM768" s="242"/>
      <c r="AN768" s="242"/>
      <c r="AO768" s="242"/>
      <c r="AP768" s="242"/>
    </row>
    <row r="769">
      <c r="A769" s="242"/>
      <c r="B769" s="242"/>
      <c r="C769" s="242"/>
      <c r="D769" s="242"/>
      <c r="E769" s="242"/>
      <c r="F769" s="242"/>
      <c r="G769" s="242"/>
      <c r="H769" s="242"/>
      <c r="I769" s="242"/>
      <c r="J769" s="242"/>
      <c r="K769" s="242"/>
      <c r="L769" s="242"/>
      <c r="M769" s="242"/>
      <c r="N769" s="242"/>
      <c r="O769" s="242"/>
      <c r="P769" s="13"/>
      <c r="Q769" s="13"/>
      <c r="R769" s="13"/>
      <c r="S769" s="13"/>
      <c r="T769" s="13"/>
      <c r="U769" s="13"/>
      <c r="V769" s="13"/>
      <c r="W769" s="13"/>
      <c r="X769" s="13"/>
      <c r="Y769" s="13"/>
      <c r="Z769" s="13"/>
      <c r="AA769" s="13"/>
      <c r="AB769" s="13"/>
      <c r="AC769" s="13"/>
      <c r="AD769" s="13"/>
      <c r="AE769" s="13"/>
      <c r="AF769" s="242"/>
      <c r="AG769" s="242"/>
      <c r="AH769" s="242"/>
      <c r="AI769" s="242"/>
      <c r="AJ769" s="242"/>
      <c r="AK769" s="242"/>
      <c r="AL769" s="242"/>
      <c r="AM769" s="242"/>
      <c r="AN769" s="242"/>
      <c r="AO769" s="242"/>
      <c r="AP769" s="242"/>
    </row>
    <row r="770">
      <c r="A770" s="242"/>
      <c r="B770" s="242"/>
      <c r="C770" s="242"/>
      <c r="D770" s="242"/>
      <c r="E770" s="242"/>
      <c r="F770" s="242"/>
      <c r="G770" s="242"/>
      <c r="H770" s="242"/>
      <c r="I770" s="242"/>
      <c r="J770" s="242"/>
      <c r="K770" s="242"/>
      <c r="L770" s="242"/>
      <c r="M770" s="242"/>
      <c r="N770" s="242"/>
      <c r="O770" s="242"/>
      <c r="P770" s="13"/>
      <c r="Q770" s="13"/>
      <c r="R770" s="13"/>
      <c r="S770" s="13"/>
      <c r="T770" s="13"/>
      <c r="U770" s="13"/>
      <c r="V770" s="13"/>
      <c r="W770" s="13"/>
      <c r="X770" s="13"/>
      <c r="Y770" s="13"/>
      <c r="Z770" s="13"/>
      <c r="AA770" s="13"/>
      <c r="AB770" s="13"/>
      <c r="AC770" s="13"/>
      <c r="AD770" s="13"/>
      <c r="AE770" s="13"/>
      <c r="AF770" s="242"/>
      <c r="AG770" s="242"/>
      <c r="AH770" s="242"/>
      <c r="AI770" s="242"/>
      <c r="AJ770" s="242"/>
      <c r="AK770" s="242"/>
      <c r="AL770" s="242"/>
      <c r="AM770" s="242"/>
      <c r="AN770" s="242"/>
      <c r="AO770" s="242"/>
      <c r="AP770" s="242"/>
    </row>
    <row r="771">
      <c r="A771" s="242"/>
      <c r="B771" s="242"/>
      <c r="C771" s="242"/>
      <c r="D771" s="242"/>
      <c r="E771" s="242"/>
      <c r="F771" s="242"/>
      <c r="G771" s="242"/>
      <c r="H771" s="242"/>
      <c r="I771" s="242"/>
      <c r="J771" s="242"/>
      <c r="K771" s="242"/>
      <c r="L771" s="242"/>
      <c r="M771" s="242"/>
      <c r="N771" s="242"/>
      <c r="O771" s="242"/>
      <c r="P771" s="13"/>
      <c r="Q771" s="13"/>
      <c r="R771" s="13"/>
      <c r="S771" s="13"/>
      <c r="T771" s="13"/>
      <c r="U771" s="13"/>
      <c r="V771" s="13"/>
      <c r="W771" s="13"/>
      <c r="X771" s="13"/>
      <c r="Y771" s="13"/>
      <c r="Z771" s="13"/>
      <c r="AA771" s="13"/>
      <c r="AB771" s="13"/>
      <c r="AC771" s="13"/>
      <c r="AD771" s="13"/>
      <c r="AE771" s="13"/>
      <c r="AF771" s="242"/>
      <c r="AG771" s="242"/>
      <c r="AH771" s="242"/>
      <c r="AI771" s="242"/>
      <c r="AJ771" s="242"/>
      <c r="AK771" s="242"/>
      <c r="AL771" s="242"/>
      <c r="AM771" s="242"/>
      <c r="AN771" s="242"/>
      <c r="AO771" s="242"/>
      <c r="AP771" s="242"/>
    </row>
    <row r="772">
      <c r="A772" s="242"/>
      <c r="B772" s="242"/>
      <c r="C772" s="242"/>
      <c r="D772" s="242"/>
      <c r="E772" s="242"/>
      <c r="F772" s="242"/>
      <c r="G772" s="242"/>
      <c r="H772" s="242"/>
      <c r="I772" s="242"/>
      <c r="J772" s="242"/>
      <c r="K772" s="242"/>
      <c r="L772" s="242"/>
      <c r="M772" s="242"/>
      <c r="N772" s="242"/>
      <c r="O772" s="242"/>
      <c r="P772" s="13"/>
      <c r="Q772" s="13"/>
      <c r="R772" s="13"/>
      <c r="S772" s="13"/>
      <c r="T772" s="13"/>
      <c r="U772" s="13"/>
      <c r="V772" s="13"/>
      <c r="W772" s="13"/>
      <c r="X772" s="13"/>
      <c r="Y772" s="13"/>
      <c r="Z772" s="13"/>
      <c r="AA772" s="13"/>
      <c r="AB772" s="13"/>
      <c r="AC772" s="13"/>
      <c r="AD772" s="13"/>
      <c r="AE772" s="13"/>
      <c r="AF772" s="242"/>
      <c r="AG772" s="242"/>
      <c r="AH772" s="242"/>
      <c r="AI772" s="242"/>
      <c r="AJ772" s="242"/>
      <c r="AK772" s="242"/>
      <c r="AL772" s="242"/>
      <c r="AM772" s="242"/>
      <c r="AN772" s="242"/>
      <c r="AO772" s="242"/>
      <c r="AP772" s="242"/>
    </row>
    <row r="773">
      <c r="A773" s="242"/>
      <c r="B773" s="242"/>
      <c r="C773" s="242"/>
      <c r="D773" s="242"/>
      <c r="E773" s="242"/>
      <c r="F773" s="242"/>
      <c r="G773" s="242"/>
      <c r="H773" s="242"/>
      <c r="I773" s="242"/>
      <c r="J773" s="242"/>
      <c r="K773" s="242"/>
      <c r="L773" s="242"/>
      <c r="M773" s="242"/>
      <c r="N773" s="242"/>
      <c r="O773" s="242"/>
      <c r="P773" s="13"/>
      <c r="Q773" s="13"/>
      <c r="R773" s="13"/>
      <c r="S773" s="13"/>
      <c r="T773" s="13"/>
      <c r="U773" s="13"/>
      <c r="V773" s="13"/>
      <c r="W773" s="13"/>
      <c r="X773" s="13"/>
      <c r="Y773" s="13"/>
      <c r="Z773" s="13"/>
      <c r="AA773" s="13"/>
      <c r="AB773" s="13"/>
      <c r="AC773" s="13"/>
      <c r="AD773" s="13"/>
      <c r="AE773" s="13"/>
      <c r="AF773" s="242"/>
      <c r="AG773" s="242"/>
      <c r="AH773" s="242"/>
      <c r="AI773" s="242"/>
      <c r="AJ773" s="242"/>
      <c r="AK773" s="242"/>
      <c r="AL773" s="242"/>
      <c r="AM773" s="242"/>
      <c r="AN773" s="242"/>
      <c r="AO773" s="242"/>
      <c r="AP773" s="242"/>
    </row>
    <row r="774">
      <c r="A774" s="242"/>
      <c r="B774" s="242"/>
      <c r="C774" s="242"/>
      <c r="D774" s="242"/>
      <c r="E774" s="242"/>
      <c r="F774" s="242"/>
      <c r="G774" s="242"/>
      <c r="H774" s="242"/>
      <c r="I774" s="242"/>
      <c r="J774" s="242"/>
      <c r="K774" s="242"/>
      <c r="L774" s="242"/>
      <c r="M774" s="242"/>
      <c r="N774" s="242"/>
      <c r="O774" s="242"/>
      <c r="P774" s="13"/>
      <c r="Q774" s="13"/>
      <c r="R774" s="13"/>
      <c r="S774" s="13"/>
      <c r="T774" s="13"/>
      <c r="U774" s="13"/>
      <c r="V774" s="13"/>
      <c r="W774" s="13"/>
      <c r="X774" s="13"/>
      <c r="Y774" s="13"/>
      <c r="Z774" s="13"/>
      <c r="AA774" s="13"/>
      <c r="AB774" s="13"/>
      <c r="AC774" s="13"/>
      <c r="AD774" s="13"/>
      <c r="AE774" s="13"/>
      <c r="AF774" s="242"/>
      <c r="AG774" s="242"/>
      <c r="AH774" s="242"/>
      <c r="AI774" s="242"/>
      <c r="AJ774" s="242"/>
      <c r="AK774" s="242"/>
      <c r="AL774" s="242"/>
      <c r="AM774" s="242"/>
      <c r="AN774" s="242"/>
      <c r="AO774" s="242"/>
      <c r="AP774" s="242"/>
    </row>
    <row r="775">
      <c r="A775" s="242"/>
      <c r="B775" s="242"/>
      <c r="C775" s="242"/>
      <c r="D775" s="242"/>
      <c r="E775" s="242"/>
      <c r="F775" s="242"/>
      <c r="G775" s="242"/>
      <c r="H775" s="242"/>
      <c r="I775" s="242"/>
      <c r="J775" s="242"/>
      <c r="K775" s="242"/>
      <c r="L775" s="242"/>
      <c r="M775" s="242"/>
      <c r="N775" s="242"/>
      <c r="O775" s="242"/>
      <c r="P775" s="13"/>
      <c r="Q775" s="13"/>
      <c r="R775" s="13"/>
      <c r="S775" s="13"/>
      <c r="T775" s="13"/>
      <c r="U775" s="13"/>
      <c r="V775" s="13"/>
      <c r="W775" s="13"/>
      <c r="X775" s="13"/>
      <c r="Y775" s="13"/>
      <c r="Z775" s="13"/>
      <c r="AA775" s="13"/>
      <c r="AB775" s="13"/>
      <c r="AC775" s="13"/>
      <c r="AD775" s="13"/>
      <c r="AE775" s="13"/>
      <c r="AF775" s="242"/>
      <c r="AG775" s="242"/>
      <c r="AH775" s="242"/>
      <c r="AI775" s="242"/>
      <c r="AJ775" s="242"/>
      <c r="AK775" s="242"/>
      <c r="AL775" s="242"/>
      <c r="AM775" s="242"/>
      <c r="AN775" s="242"/>
      <c r="AO775" s="242"/>
      <c r="AP775" s="242"/>
    </row>
    <row r="776">
      <c r="A776" s="242"/>
      <c r="B776" s="242"/>
      <c r="C776" s="242"/>
      <c r="D776" s="242"/>
      <c r="E776" s="242"/>
      <c r="F776" s="242"/>
      <c r="G776" s="242"/>
      <c r="H776" s="242"/>
      <c r="I776" s="242"/>
      <c r="J776" s="242"/>
      <c r="K776" s="242"/>
      <c r="L776" s="242"/>
      <c r="M776" s="242"/>
      <c r="N776" s="242"/>
      <c r="O776" s="242"/>
      <c r="P776" s="13"/>
      <c r="Q776" s="13"/>
      <c r="R776" s="13"/>
      <c r="S776" s="13"/>
      <c r="T776" s="13"/>
      <c r="U776" s="13"/>
      <c r="V776" s="13"/>
      <c r="W776" s="13"/>
      <c r="X776" s="13"/>
      <c r="Y776" s="13"/>
      <c r="Z776" s="13"/>
      <c r="AA776" s="13"/>
      <c r="AB776" s="13"/>
      <c r="AC776" s="13"/>
      <c r="AD776" s="13"/>
      <c r="AE776" s="13"/>
      <c r="AF776" s="242"/>
      <c r="AG776" s="242"/>
      <c r="AH776" s="242"/>
      <c r="AI776" s="242"/>
      <c r="AJ776" s="242"/>
      <c r="AK776" s="242"/>
      <c r="AL776" s="242"/>
      <c r="AM776" s="242"/>
      <c r="AN776" s="242"/>
      <c r="AO776" s="242"/>
      <c r="AP776" s="242"/>
    </row>
    <row r="777">
      <c r="A777" s="242"/>
      <c r="B777" s="242"/>
      <c r="C777" s="242"/>
      <c r="D777" s="242"/>
      <c r="E777" s="242"/>
      <c r="F777" s="242"/>
      <c r="G777" s="242"/>
      <c r="H777" s="242"/>
      <c r="I777" s="242"/>
      <c r="J777" s="242"/>
      <c r="K777" s="242"/>
      <c r="L777" s="242"/>
      <c r="M777" s="242"/>
      <c r="N777" s="242"/>
      <c r="O777" s="242"/>
      <c r="P777" s="13"/>
      <c r="Q777" s="13"/>
      <c r="R777" s="13"/>
      <c r="S777" s="13"/>
      <c r="T777" s="13"/>
      <c r="U777" s="13"/>
      <c r="V777" s="13"/>
      <c r="W777" s="13"/>
      <c r="X777" s="13"/>
      <c r="Y777" s="13"/>
      <c r="Z777" s="13"/>
      <c r="AA777" s="13"/>
      <c r="AB777" s="13"/>
      <c r="AC777" s="13"/>
      <c r="AD777" s="13"/>
      <c r="AE777" s="13"/>
      <c r="AF777" s="242"/>
      <c r="AG777" s="242"/>
      <c r="AH777" s="242"/>
      <c r="AI777" s="242"/>
      <c r="AJ777" s="242"/>
      <c r="AK777" s="242"/>
      <c r="AL777" s="242"/>
      <c r="AM777" s="242"/>
      <c r="AN777" s="242"/>
      <c r="AO777" s="242"/>
      <c r="AP777" s="242"/>
    </row>
    <row r="778">
      <c r="A778" s="242"/>
      <c r="B778" s="242"/>
      <c r="C778" s="242"/>
      <c r="D778" s="242"/>
      <c r="E778" s="242"/>
      <c r="F778" s="242"/>
      <c r="G778" s="242"/>
      <c r="H778" s="242"/>
      <c r="I778" s="242"/>
      <c r="J778" s="242"/>
      <c r="K778" s="242"/>
      <c r="L778" s="242"/>
      <c r="M778" s="242"/>
      <c r="N778" s="242"/>
      <c r="O778" s="242"/>
      <c r="P778" s="13"/>
      <c r="Q778" s="13"/>
      <c r="R778" s="13"/>
      <c r="S778" s="13"/>
      <c r="T778" s="13"/>
      <c r="U778" s="13"/>
      <c r="V778" s="13"/>
      <c r="W778" s="13"/>
      <c r="X778" s="13"/>
      <c r="Y778" s="13"/>
      <c r="Z778" s="13"/>
      <c r="AA778" s="13"/>
      <c r="AB778" s="13"/>
      <c r="AC778" s="13"/>
      <c r="AD778" s="13"/>
      <c r="AE778" s="13"/>
      <c r="AF778" s="242"/>
      <c r="AG778" s="242"/>
      <c r="AH778" s="242"/>
      <c r="AI778" s="242"/>
      <c r="AJ778" s="242"/>
      <c r="AK778" s="242"/>
      <c r="AL778" s="242"/>
      <c r="AM778" s="242"/>
      <c r="AN778" s="242"/>
      <c r="AO778" s="242"/>
      <c r="AP778" s="242"/>
    </row>
    <row r="779">
      <c r="A779" s="242"/>
      <c r="B779" s="242"/>
      <c r="C779" s="242"/>
      <c r="D779" s="242"/>
      <c r="E779" s="242"/>
      <c r="F779" s="242"/>
      <c r="G779" s="242"/>
      <c r="H779" s="242"/>
      <c r="I779" s="242"/>
      <c r="J779" s="242"/>
      <c r="K779" s="242"/>
      <c r="L779" s="242"/>
      <c r="M779" s="242"/>
      <c r="N779" s="242"/>
      <c r="O779" s="242"/>
      <c r="P779" s="13"/>
      <c r="Q779" s="13"/>
      <c r="R779" s="13"/>
      <c r="S779" s="13"/>
      <c r="T779" s="13"/>
      <c r="U779" s="13"/>
      <c r="V779" s="13"/>
      <c r="W779" s="13"/>
      <c r="X779" s="13"/>
      <c r="Y779" s="13"/>
      <c r="Z779" s="13"/>
      <c r="AA779" s="13"/>
      <c r="AB779" s="13"/>
      <c r="AC779" s="13"/>
      <c r="AD779" s="13"/>
      <c r="AE779" s="13"/>
      <c r="AF779" s="242"/>
      <c r="AG779" s="242"/>
      <c r="AH779" s="242"/>
      <c r="AI779" s="242"/>
      <c r="AJ779" s="242"/>
      <c r="AK779" s="242"/>
      <c r="AL779" s="242"/>
      <c r="AM779" s="242"/>
      <c r="AN779" s="242"/>
      <c r="AO779" s="242"/>
      <c r="AP779" s="242"/>
    </row>
    <row r="780">
      <c r="A780" s="242"/>
      <c r="B780" s="242"/>
      <c r="C780" s="242"/>
      <c r="D780" s="242"/>
      <c r="E780" s="242"/>
      <c r="F780" s="242"/>
      <c r="G780" s="242"/>
      <c r="H780" s="242"/>
      <c r="I780" s="242"/>
      <c r="J780" s="242"/>
      <c r="K780" s="242"/>
      <c r="L780" s="242"/>
      <c r="M780" s="242"/>
      <c r="N780" s="242"/>
      <c r="O780" s="242"/>
      <c r="P780" s="13"/>
      <c r="Q780" s="13"/>
      <c r="R780" s="13"/>
      <c r="S780" s="13"/>
      <c r="T780" s="13"/>
      <c r="U780" s="13"/>
      <c r="V780" s="13"/>
      <c r="W780" s="13"/>
      <c r="X780" s="13"/>
      <c r="Y780" s="13"/>
      <c r="Z780" s="13"/>
      <c r="AA780" s="13"/>
      <c r="AB780" s="13"/>
      <c r="AC780" s="13"/>
      <c r="AD780" s="13"/>
      <c r="AE780" s="13"/>
      <c r="AF780" s="242"/>
      <c r="AG780" s="242"/>
      <c r="AH780" s="242"/>
      <c r="AI780" s="242"/>
      <c r="AJ780" s="242"/>
      <c r="AK780" s="242"/>
      <c r="AL780" s="242"/>
      <c r="AM780" s="242"/>
      <c r="AN780" s="242"/>
      <c r="AO780" s="242"/>
      <c r="AP780" s="242"/>
    </row>
    <row r="781">
      <c r="A781" s="242"/>
      <c r="B781" s="242"/>
      <c r="C781" s="242"/>
      <c r="D781" s="242"/>
      <c r="E781" s="242"/>
      <c r="F781" s="242"/>
      <c r="G781" s="242"/>
      <c r="H781" s="242"/>
      <c r="I781" s="242"/>
      <c r="J781" s="242"/>
      <c r="K781" s="242"/>
      <c r="L781" s="242"/>
      <c r="M781" s="242"/>
      <c r="N781" s="242"/>
      <c r="O781" s="242"/>
      <c r="P781" s="13"/>
      <c r="Q781" s="13"/>
      <c r="R781" s="13"/>
      <c r="S781" s="13"/>
      <c r="T781" s="13"/>
      <c r="U781" s="13"/>
      <c r="V781" s="13"/>
      <c r="W781" s="13"/>
      <c r="X781" s="13"/>
      <c r="Y781" s="13"/>
      <c r="Z781" s="13"/>
      <c r="AA781" s="13"/>
      <c r="AB781" s="13"/>
      <c r="AC781" s="13"/>
      <c r="AD781" s="13"/>
      <c r="AE781" s="13"/>
      <c r="AF781" s="242"/>
      <c r="AG781" s="242"/>
      <c r="AH781" s="242"/>
      <c r="AI781" s="242"/>
      <c r="AJ781" s="242"/>
      <c r="AK781" s="242"/>
      <c r="AL781" s="242"/>
      <c r="AM781" s="242"/>
      <c r="AN781" s="242"/>
      <c r="AO781" s="242"/>
      <c r="AP781" s="242"/>
    </row>
    <row r="782">
      <c r="A782" s="242"/>
      <c r="B782" s="242"/>
      <c r="C782" s="242"/>
      <c r="D782" s="242"/>
      <c r="E782" s="242"/>
      <c r="F782" s="242"/>
      <c r="G782" s="242"/>
      <c r="H782" s="242"/>
      <c r="I782" s="242"/>
      <c r="J782" s="242"/>
      <c r="K782" s="242"/>
      <c r="L782" s="242"/>
      <c r="M782" s="242"/>
      <c r="N782" s="242"/>
      <c r="O782" s="242"/>
      <c r="P782" s="13"/>
      <c r="Q782" s="13"/>
      <c r="R782" s="13"/>
      <c r="S782" s="13"/>
      <c r="T782" s="13"/>
      <c r="U782" s="13"/>
      <c r="V782" s="13"/>
      <c r="W782" s="13"/>
      <c r="X782" s="13"/>
      <c r="Y782" s="13"/>
      <c r="Z782" s="13"/>
      <c r="AA782" s="13"/>
      <c r="AB782" s="13"/>
      <c r="AC782" s="13"/>
      <c r="AD782" s="13"/>
      <c r="AE782" s="13"/>
      <c r="AF782" s="242"/>
      <c r="AG782" s="242"/>
      <c r="AH782" s="242"/>
      <c r="AI782" s="242"/>
      <c r="AJ782" s="242"/>
      <c r="AK782" s="242"/>
      <c r="AL782" s="242"/>
      <c r="AM782" s="242"/>
      <c r="AN782" s="242"/>
      <c r="AO782" s="242"/>
      <c r="AP782" s="242"/>
    </row>
    <row r="783">
      <c r="A783" s="242"/>
      <c r="B783" s="242"/>
      <c r="C783" s="242"/>
      <c r="D783" s="242"/>
      <c r="E783" s="242"/>
      <c r="F783" s="242"/>
      <c r="G783" s="242"/>
      <c r="H783" s="242"/>
      <c r="I783" s="242"/>
      <c r="J783" s="242"/>
      <c r="K783" s="242"/>
      <c r="L783" s="242"/>
      <c r="M783" s="242"/>
      <c r="N783" s="242"/>
      <c r="O783" s="242"/>
      <c r="P783" s="13"/>
      <c r="Q783" s="13"/>
      <c r="R783" s="13"/>
      <c r="S783" s="13"/>
      <c r="T783" s="13"/>
      <c r="U783" s="13"/>
      <c r="V783" s="13"/>
      <c r="W783" s="13"/>
      <c r="X783" s="13"/>
      <c r="Y783" s="13"/>
      <c r="Z783" s="13"/>
      <c r="AA783" s="13"/>
      <c r="AB783" s="13"/>
      <c r="AC783" s="13"/>
      <c r="AD783" s="13"/>
      <c r="AE783" s="13"/>
      <c r="AF783" s="242"/>
      <c r="AG783" s="242"/>
      <c r="AH783" s="242"/>
      <c r="AI783" s="242"/>
      <c r="AJ783" s="242"/>
      <c r="AK783" s="242"/>
      <c r="AL783" s="242"/>
      <c r="AM783" s="242"/>
      <c r="AN783" s="242"/>
      <c r="AO783" s="242"/>
      <c r="AP783" s="242"/>
    </row>
    <row r="784">
      <c r="A784" s="242"/>
      <c r="B784" s="242"/>
      <c r="C784" s="242"/>
      <c r="D784" s="242"/>
      <c r="E784" s="242"/>
      <c r="F784" s="242"/>
      <c r="G784" s="242"/>
      <c r="H784" s="242"/>
      <c r="I784" s="242"/>
      <c r="J784" s="242"/>
      <c r="K784" s="242"/>
      <c r="L784" s="242"/>
      <c r="M784" s="242"/>
      <c r="N784" s="242"/>
      <c r="O784" s="242"/>
      <c r="P784" s="13"/>
      <c r="Q784" s="13"/>
      <c r="R784" s="13"/>
      <c r="S784" s="13"/>
      <c r="T784" s="13"/>
      <c r="U784" s="13"/>
      <c r="V784" s="13"/>
      <c r="W784" s="13"/>
      <c r="X784" s="13"/>
      <c r="Y784" s="13"/>
      <c r="Z784" s="13"/>
      <c r="AA784" s="13"/>
      <c r="AB784" s="13"/>
      <c r="AC784" s="13"/>
      <c r="AD784" s="13"/>
      <c r="AE784" s="13"/>
      <c r="AF784" s="242"/>
      <c r="AG784" s="242"/>
      <c r="AH784" s="242"/>
      <c r="AI784" s="242"/>
      <c r="AJ784" s="242"/>
      <c r="AK784" s="242"/>
      <c r="AL784" s="242"/>
      <c r="AM784" s="242"/>
      <c r="AN784" s="242"/>
      <c r="AO784" s="242"/>
      <c r="AP784" s="242"/>
    </row>
    <row r="785">
      <c r="A785" s="242"/>
      <c r="B785" s="242"/>
      <c r="C785" s="242"/>
      <c r="D785" s="242"/>
      <c r="E785" s="242"/>
      <c r="F785" s="242"/>
      <c r="G785" s="242"/>
      <c r="H785" s="242"/>
      <c r="I785" s="242"/>
      <c r="J785" s="242"/>
      <c r="K785" s="242"/>
      <c r="L785" s="242"/>
      <c r="M785" s="242"/>
      <c r="N785" s="242"/>
      <c r="O785" s="242"/>
      <c r="P785" s="13"/>
      <c r="Q785" s="13"/>
      <c r="R785" s="13"/>
      <c r="S785" s="13"/>
      <c r="T785" s="13"/>
      <c r="U785" s="13"/>
      <c r="V785" s="13"/>
      <c r="W785" s="13"/>
      <c r="X785" s="13"/>
      <c r="Y785" s="13"/>
      <c r="Z785" s="13"/>
      <c r="AA785" s="13"/>
      <c r="AB785" s="13"/>
      <c r="AC785" s="13"/>
      <c r="AD785" s="13"/>
      <c r="AE785" s="13"/>
      <c r="AF785" s="242"/>
      <c r="AG785" s="242"/>
      <c r="AH785" s="242"/>
      <c r="AI785" s="242"/>
      <c r="AJ785" s="242"/>
      <c r="AK785" s="242"/>
      <c r="AL785" s="242"/>
      <c r="AM785" s="242"/>
      <c r="AN785" s="242"/>
      <c r="AO785" s="242"/>
      <c r="AP785" s="242"/>
    </row>
    <row r="786">
      <c r="A786" s="242"/>
      <c r="B786" s="242"/>
      <c r="C786" s="242"/>
      <c r="D786" s="242"/>
      <c r="E786" s="242"/>
      <c r="F786" s="242"/>
      <c r="G786" s="242"/>
      <c r="H786" s="242"/>
      <c r="I786" s="242"/>
      <c r="J786" s="242"/>
      <c r="K786" s="242"/>
      <c r="L786" s="242"/>
      <c r="M786" s="242"/>
      <c r="N786" s="242"/>
      <c r="O786" s="242"/>
      <c r="P786" s="13"/>
      <c r="Q786" s="13"/>
      <c r="R786" s="13"/>
      <c r="S786" s="13"/>
      <c r="T786" s="13"/>
      <c r="U786" s="13"/>
      <c r="V786" s="13"/>
      <c r="W786" s="13"/>
      <c r="X786" s="13"/>
      <c r="Y786" s="13"/>
      <c r="Z786" s="13"/>
      <c r="AA786" s="13"/>
      <c r="AB786" s="13"/>
      <c r="AC786" s="13"/>
      <c r="AD786" s="13"/>
      <c r="AE786" s="13"/>
      <c r="AF786" s="242"/>
      <c r="AG786" s="242"/>
      <c r="AH786" s="242"/>
      <c r="AI786" s="242"/>
      <c r="AJ786" s="242"/>
      <c r="AK786" s="242"/>
      <c r="AL786" s="242"/>
      <c r="AM786" s="242"/>
      <c r="AN786" s="242"/>
      <c r="AO786" s="242"/>
      <c r="AP786" s="242"/>
    </row>
    <row r="787">
      <c r="A787" s="242"/>
      <c r="B787" s="242"/>
      <c r="C787" s="242"/>
      <c r="D787" s="242"/>
      <c r="E787" s="242"/>
      <c r="F787" s="242"/>
      <c r="G787" s="242"/>
      <c r="H787" s="242"/>
      <c r="I787" s="242"/>
      <c r="J787" s="242"/>
      <c r="K787" s="242"/>
      <c r="L787" s="242"/>
      <c r="M787" s="242"/>
      <c r="N787" s="242"/>
      <c r="O787" s="242"/>
      <c r="P787" s="13"/>
      <c r="Q787" s="13"/>
      <c r="R787" s="13"/>
      <c r="S787" s="13"/>
      <c r="T787" s="13"/>
      <c r="U787" s="13"/>
      <c r="V787" s="13"/>
      <c r="W787" s="13"/>
      <c r="X787" s="13"/>
      <c r="Y787" s="13"/>
      <c r="Z787" s="13"/>
      <c r="AA787" s="13"/>
      <c r="AB787" s="13"/>
      <c r="AC787" s="13"/>
      <c r="AD787" s="13"/>
      <c r="AE787" s="13"/>
      <c r="AF787" s="242"/>
      <c r="AG787" s="242"/>
      <c r="AH787" s="242"/>
      <c r="AI787" s="242"/>
      <c r="AJ787" s="242"/>
      <c r="AK787" s="242"/>
      <c r="AL787" s="242"/>
      <c r="AM787" s="242"/>
      <c r="AN787" s="242"/>
      <c r="AO787" s="242"/>
      <c r="AP787" s="242"/>
    </row>
    <row r="788">
      <c r="A788" s="242"/>
      <c r="B788" s="242"/>
      <c r="C788" s="242"/>
      <c r="D788" s="242"/>
      <c r="E788" s="242"/>
      <c r="F788" s="242"/>
      <c r="G788" s="242"/>
      <c r="H788" s="242"/>
      <c r="I788" s="242"/>
      <c r="J788" s="242"/>
      <c r="K788" s="242"/>
      <c r="L788" s="242"/>
      <c r="M788" s="242"/>
      <c r="N788" s="242"/>
      <c r="O788" s="242"/>
      <c r="P788" s="13"/>
      <c r="Q788" s="13"/>
      <c r="R788" s="13"/>
      <c r="S788" s="13"/>
      <c r="T788" s="13"/>
      <c r="U788" s="13"/>
      <c r="V788" s="13"/>
      <c r="W788" s="13"/>
      <c r="X788" s="13"/>
      <c r="Y788" s="13"/>
      <c r="Z788" s="13"/>
      <c r="AA788" s="13"/>
      <c r="AB788" s="13"/>
      <c r="AC788" s="13"/>
      <c r="AD788" s="13"/>
      <c r="AE788" s="13"/>
      <c r="AF788" s="242"/>
      <c r="AG788" s="242"/>
      <c r="AH788" s="242"/>
      <c r="AI788" s="242"/>
      <c r="AJ788" s="242"/>
      <c r="AK788" s="242"/>
      <c r="AL788" s="242"/>
      <c r="AM788" s="242"/>
      <c r="AN788" s="242"/>
      <c r="AO788" s="242"/>
      <c r="AP788" s="242"/>
    </row>
    <row r="789">
      <c r="A789" s="242"/>
      <c r="B789" s="242"/>
      <c r="C789" s="242"/>
      <c r="D789" s="242"/>
      <c r="E789" s="242"/>
      <c r="F789" s="242"/>
      <c r="G789" s="242"/>
      <c r="H789" s="242"/>
      <c r="I789" s="242"/>
      <c r="J789" s="242"/>
      <c r="K789" s="242"/>
      <c r="L789" s="242"/>
      <c r="M789" s="242"/>
      <c r="N789" s="242"/>
      <c r="O789" s="242"/>
      <c r="P789" s="13"/>
      <c r="Q789" s="13"/>
      <c r="R789" s="13"/>
      <c r="S789" s="13"/>
      <c r="T789" s="13"/>
      <c r="U789" s="13"/>
      <c r="V789" s="13"/>
      <c r="W789" s="13"/>
      <c r="X789" s="13"/>
      <c r="Y789" s="13"/>
      <c r="Z789" s="13"/>
      <c r="AA789" s="13"/>
      <c r="AB789" s="13"/>
      <c r="AC789" s="13"/>
      <c r="AD789" s="13"/>
      <c r="AE789" s="13"/>
      <c r="AF789" s="242"/>
      <c r="AG789" s="242"/>
      <c r="AH789" s="242"/>
      <c r="AI789" s="242"/>
      <c r="AJ789" s="242"/>
      <c r="AK789" s="242"/>
      <c r="AL789" s="242"/>
      <c r="AM789" s="242"/>
      <c r="AN789" s="242"/>
      <c r="AO789" s="242"/>
      <c r="AP789" s="242"/>
    </row>
    <row r="790">
      <c r="A790" s="242"/>
      <c r="B790" s="242"/>
      <c r="C790" s="242"/>
      <c r="D790" s="242"/>
      <c r="E790" s="242"/>
      <c r="F790" s="242"/>
      <c r="G790" s="242"/>
      <c r="H790" s="242"/>
      <c r="I790" s="242"/>
      <c r="J790" s="242"/>
      <c r="K790" s="242"/>
      <c r="L790" s="242"/>
      <c r="M790" s="242"/>
      <c r="N790" s="242"/>
      <c r="O790" s="242"/>
      <c r="P790" s="13"/>
      <c r="Q790" s="13"/>
      <c r="R790" s="13"/>
      <c r="S790" s="13"/>
      <c r="T790" s="13"/>
      <c r="U790" s="13"/>
      <c r="V790" s="13"/>
      <c r="W790" s="13"/>
      <c r="X790" s="13"/>
      <c r="Y790" s="13"/>
      <c r="Z790" s="13"/>
      <c r="AA790" s="13"/>
      <c r="AB790" s="13"/>
      <c r="AC790" s="13"/>
      <c r="AD790" s="13"/>
      <c r="AE790" s="13"/>
      <c r="AF790" s="242"/>
      <c r="AG790" s="242"/>
      <c r="AH790" s="242"/>
      <c r="AI790" s="242"/>
      <c r="AJ790" s="242"/>
      <c r="AK790" s="242"/>
      <c r="AL790" s="242"/>
      <c r="AM790" s="242"/>
      <c r="AN790" s="242"/>
      <c r="AO790" s="242"/>
      <c r="AP790" s="242"/>
    </row>
    <row r="791">
      <c r="A791" s="242"/>
      <c r="B791" s="242"/>
      <c r="C791" s="242"/>
      <c r="D791" s="242"/>
      <c r="E791" s="242"/>
      <c r="F791" s="242"/>
      <c r="G791" s="242"/>
      <c r="H791" s="242"/>
      <c r="I791" s="242"/>
      <c r="J791" s="242"/>
      <c r="K791" s="242"/>
      <c r="L791" s="242"/>
      <c r="M791" s="242"/>
      <c r="N791" s="242"/>
      <c r="O791" s="242"/>
      <c r="P791" s="13"/>
      <c r="Q791" s="13"/>
      <c r="R791" s="13"/>
      <c r="S791" s="13"/>
      <c r="T791" s="13"/>
      <c r="U791" s="13"/>
      <c r="V791" s="13"/>
      <c r="W791" s="13"/>
      <c r="X791" s="13"/>
      <c r="Y791" s="13"/>
      <c r="Z791" s="13"/>
      <c r="AA791" s="13"/>
      <c r="AB791" s="13"/>
      <c r="AC791" s="13"/>
      <c r="AD791" s="13"/>
      <c r="AE791" s="13"/>
      <c r="AF791" s="242"/>
      <c r="AG791" s="242"/>
      <c r="AH791" s="242"/>
      <c r="AI791" s="242"/>
      <c r="AJ791" s="242"/>
      <c r="AK791" s="242"/>
      <c r="AL791" s="242"/>
      <c r="AM791" s="242"/>
      <c r="AN791" s="242"/>
      <c r="AO791" s="242"/>
      <c r="AP791" s="242"/>
    </row>
    <row r="792">
      <c r="A792" s="242"/>
      <c r="B792" s="242"/>
      <c r="C792" s="242"/>
      <c r="D792" s="242"/>
      <c r="E792" s="242"/>
      <c r="F792" s="242"/>
      <c r="G792" s="242"/>
      <c r="H792" s="242"/>
      <c r="I792" s="242"/>
      <c r="J792" s="242"/>
      <c r="K792" s="242"/>
      <c r="L792" s="242"/>
      <c r="M792" s="242"/>
      <c r="N792" s="242"/>
      <c r="O792" s="242"/>
      <c r="P792" s="13"/>
      <c r="Q792" s="13"/>
      <c r="R792" s="13"/>
      <c r="S792" s="13"/>
      <c r="T792" s="13"/>
      <c r="U792" s="13"/>
      <c r="V792" s="13"/>
      <c r="W792" s="13"/>
      <c r="X792" s="13"/>
      <c r="Y792" s="13"/>
      <c r="Z792" s="13"/>
      <c r="AA792" s="13"/>
      <c r="AB792" s="13"/>
      <c r="AC792" s="13"/>
      <c r="AD792" s="13"/>
      <c r="AE792" s="13"/>
      <c r="AF792" s="242"/>
      <c r="AG792" s="242"/>
      <c r="AH792" s="242"/>
      <c r="AI792" s="242"/>
      <c r="AJ792" s="242"/>
      <c r="AK792" s="242"/>
      <c r="AL792" s="242"/>
      <c r="AM792" s="242"/>
      <c r="AN792" s="242"/>
      <c r="AO792" s="242"/>
      <c r="AP792" s="242"/>
    </row>
    <row r="793">
      <c r="A793" s="242"/>
      <c r="B793" s="242"/>
      <c r="C793" s="242"/>
      <c r="D793" s="242"/>
      <c r="E793" s="242"/>
      <c r="F793" s="242"/>
      <c r="G793" s="242"/>
      <c r="H793" s="242"/>
      <c r="I793" s="242"/>
      <c r="J793" s="242"/>
      <c r="K793" s="242"/>
      <c r="L793" s="242"/>
      <c r="M793" s="242"/>
      <c r="N793" s="242"/>
      <c r="O793" s="242"/>
      <c r="P793" s="13"/>
      <c r="Q793" s="13"/>
      <c r="R793" s="13"/>
      <c r="S793" s="13"/>
      <c r="T793" s="13"/>
      <c r="U793" s="13"/>
      <c r="V793" s="13"/>
      <c r="W793" s="13"/>
      <c r="X793" s="13"/>
      <c r="Y793" s="13"/>
      <c r="Z793" s="13"/>
      <c r="AA793" s="13"/>
      <c r="AB793" s="13"/>
      <c r="AC793" s="13"/>
      <c r="AD793" s="13"/>
      <c r="AE793" s="13"/>
      <c r="AF793" s="242"/>
      <c r="AG793" s="242"/>
      <c r="AH793" s="242"/>
      <c r="AI793" s="242"/>
      <c r="AJ793" s="242"/>
      <c r="AK793" s="242"/>
      <c r="AL793" s="242"/>
      <c r="AM793" s="242"/>
      <c r="AN793" s="242"/>
      <c r="AO793" s="242"/>
      <c r="AP793" s="242"/>
    </row>
    <row r="794">
      <c r="A794" s="242"/>
      <c r="B794" s="242"/>
      <c r="C794" s="242"/>
      <c r="D794" s="242"/>
      <c r="E794" s="242"/>
      <c r="F794" s="242"/>
      <c r="G794" s="242"/>
      <c r="H794" s="242"/>
      <c r="I794" s="242"/>
      <c r="J794" s="242"/>
      <c r="K794" s="242"/>
      <c r="L794" s="242"/>
      <c r="M794" s="242"/>
      <c r="N794" s="242"/>
      <c r="O794" s="242"/>
      <c r="P794" s="13"/>
      <c r="Q794" s="13"/>
      <c r="R794" s="13"/>
      <c r="S794" s="13"/>
      <c r="T794" s="13"/>
      <c r="U794" s="13"/>
      <c r="V794" s="13"/>
      <c r="W794" s="13"/>
      <c r="X794" s="13"/>
      <c r="Y794" s="13"/>
      <c r="Z794" s="13"/>
      <c r="AA794" s="13"/>
      <c r="AB794" s="13"/>
      <c r="AC794" s="13"/>
      <c r="AD794" s="13"/>
      <c r="AE794" s="13"/>
      <c r="AF794" s="242"/>
      <c r="AG794" s="242"/>
      <c r="AH794" s="242"/>
      <c r="AI794" s="242"/>
      <c r="AJ794" s="242"/>
      <c r="AK794" s="242"/>
      <c r="AL794" s="242"/>
      <c r="AM794" s="242"/>
      <c r="AN794" s="242"/>
      <c r="AO794" s="242"/>
      <c r="AP794" s="242"/>
    </row>
    <row r="795">
      <c r="A795" s="242"/>
      <c r="B795" s="242"/>
      <c r="C795" s="242"/>
      <c r="D795" s="242"/>
      <c r="E795" s="242"/>
      <c r="F795" s="242"/>
      <c r="G795" s="242"/>
      <c r="H795" s="242"/>
      <c r="I795" s="242"/>
      <c r="J795" s="242"/>
      <c r="K795" s="242"/>
      <c r="L795" s="242"/>
      <c r="M795" s="242"/>
      <c r="N795" s="242"/>
      <c r="O795" s="242"/>
      <c r="P795" s="13"/>
      <c r="Q795" s="13"/>
      <c r="R795" s="13"/>
      <c r="S795" s="13"/>
      <c r="T795" s="13"/>
      <c r="U795" s="13"/>
      <c r="V795" s="13"/>
      <c r="W795" s="13"/>
      <c r="X795" s="13"/>
      <c r="Y795" s="13"/>
      <c r="Z795" s="13"/>
      <c r="AA795" s="13"/>
      <c r="AB795" s="13"/>
      <c r="AC795" s="13"/>
      <c r="AD795" s="13"/>
      <c r="AE795" s="13"/>
      <c r="AF795" s="242"/>
      <c r="AG795" s="242"/>
      <c r="AH795" s="242"/>
      <c r="AI795" s="242"/>
      <c r="AJ795" s="242"/>
      <c r="AK795" s="242"/>
      <c r="AL795" s="242"/>
      <c r="AM795" s="242"/>
      <c r="AN795" s="242"/>
      <c r="AO795" s="242"/>
      <c r="AP795" s="242"/>
    </row>
    <row r="796">
      <c r="A796" s="242"/>
      <c r="B796" s="242"/>
      <c r="C796" s="242"/>
      <c r="D796" s="242"/>
      <c r="E796" s="242"/>
      <c r="F796" s="242"/>
      <c r="G796" s="242"/>
      <c r="H796" s="242"/>
      <c r="I796" s="242"/>
      <c r="J796" s="242"/>
      <c r="K796" s="242"/>
      <c r="L796" s="242"/>
      <c r="M796" s="242"/>
      <c r="N796" s="242"/>
      <c r="O796" s="242"/>
      <c r="P796" s="13"/>
      <c r="Q796" s="13"/>
      <c r="R796" s="13"/>
      <c r="S796" s="13"/>
      <c r="T796" s="13"/>
      <c r="U796" s="13"/>
      <c r="V796" s="13"/>
      <c r="W796" s="13"/>
      <c r="X796" s="13"/>
      <c r="Y796" s="13"/>
      <c r="Z796" s="13"/>
      <c r="AA796" s="13"/>
      <c r="AB796" s="13"/>
      <c r="AC796" s="13"/>
      <c r="AD796" s="13"/>
      <c r="AE796" s="13"/>
      <c r="AF796" s="242"/>
      <c r="AG796" s="242"/>
      <c r="AH796" s="242"/>
      <c r="AI796" s="242"/>
      <c r="AJ796" s="242"/>
      <c r="AK796" s="242"/>
      <c r="AL796" s="242"/>
      <c r="AM796" s="242"/>
      <c r="AN796" s="242"/>
      <c r="AO796" s="242"/>
      <c r="AP796" s="242"/>
    </row>
    <row r="797">
      <c r="A797" s="242"/>
      <c r="B797" s="242"/>
      <c r="C797" s="242"/>
      <c r="D797" s="242"/>
      <c r="E797" s="242"/>
      <c r="F797" s="242"/>
      <c r="G797" s="242"/>
      <c r="H797" s="242"/>
      <c r="I797" s="242"/>
      <c r="J797" s="242"/>
      <c r="K797" s="242"/>
      <c r="L797" s="242"/>
      <c r="M797" s="242"/>
      <c r="N797" s="242"/>
      <c r="O797" s="242"/>
      <c r="P797" s="13"/>
      <c r="Q797" s="13"/>
      <c r="R797" s="13"/>
      <c r="S797" s="13"/>
      <c r="T797" s="13"/>
      <c r="U797" s="13"/>
      <c r="V797" s="13"/>
      <c r="W797" s="13"/>
      <c r="X797" s="13"/>
      <c r="Y797" s="13"/>
      <c r="Z797" s="13"/>
      <c r="AA797" s="13"/>
      <c r="AB797" s="13"/>
      <c r="AC797" s="13"/>
      <c r="AD797" s="13"/>
      <c r="AE797" s="13"/>
      <c r="AF797" s="242"/>
      <c r="AG797" s="242"/>
      <c r="AH797" s="242"/>
      <c r="AI797" s="242"/>
      <c r="AJ797" s="242"/>
      <c r="AK797" s="242"/>
      <c r="AL797" s="242"/>
      <c r="AM797" s="242"/>
      <c r="AN797" s="242"/>
      <c r="AO797" s="242"/>
      <c r="AP797" s="242"/>
    </row>
    <row r="798">
      <c r="A798" s="242"/>
      <c r="B798" s="242"/>
      <c r="C798" s="242"/>
      <c r="D798" s="242"/>
      <c r="E798" s="242"/>
      <c r="F798" s="242"/>
      <c r="G798" s="242"/>
      <c r="H798" s="242"/>
      <c r="I798" s="242"/>
      <c r="J798" s="242"/>
      <c r="K798" s="242"/>
      <c r="L798" s="242"/>
      <c r="M798" s="242"/>
      <c r="N798" s="242"/>
      <c r="O798" s="242"/>
      <c r="P798" s="13"/>
      <c r="Q798" s="13"/>
      <c r="R798" s="13"/>
      <c r="S798" s="13"/>
      <c r="T798" s="13"/>
      <c r="U798" s="13"/>
      <c r="V798" s="13"/>
      <c r="W798" s="13"/>
      <c r="X798" s="13"/>
      <c r="Y798" s="13"/>
      <c r="Z798" s="13"/>
      <c r="AA798" s="13"/>
      <c r="AB798" s="13"/>
      <c r="AC798" s="13"/>
      <c r="AD798" s="13"/>
      <c r="AE798" s="13"/>
      <c r="AF798" s="242"/>
      <c r="AG798" s="242"/>
      <c r="AH798" s="242"/>
      <c r="AI798" s="242"/>
      <c r="AJ798" s="242"/>
      <c r="AK798" s="242"/>
      <c r="AL798" s="242"/>
      <c r="AM798" s="242"/>
      <c r="AN798" s="242"/>
      <c r="AO798" s="242"/>
      <c r="AP798" s="242"/>
    </row>
    <row r="799">
      <c r="A799" s="242"/>
      <c r="B799" s="242"/>
      <c r="C799" s="242"/>
      <c r="D799" s="242"/>
      <c r="E799" s="242"/>
      <c r="F799" s="242"/>
      <c r="G799" s="242"/>
      <c r="H799" s="242"/>
      <c r="I799" s="242"/>
      <c r="J799" s="242"/>
      <c r="K799" s="242"/>
      <c r="L799" s="242"/>
      <c r="M799" s="242"/>
      <c r="N799" s="242"/>
      <c r="O799" s="242"/>
      <c r="P799" s="13"/>
      <c r="Q799" s="13"/>
      <c r="R799" s="13"/>
      <c r="S799" s="13"/>
      <c r="T799" s="13"/>
      <c r="U799" s="13"/>
      <c r="V799" s="13"/>
      <c r="W799" s="13"/>
      <c r="X799" s="13"/>
      <c r="Y799" s="13"/>
      <c r="Z799" s="13"/>
      <c r="AA799" s="13"/>
      <c r="AB799" s="13"/>
      <c r="AC799" s="13"/>
      <c r="AD799" s="13"/>
      <c r="AE799" s="13"/>
      <c r="AF799" s="242"/>
      <c r="AG799" s="242"/>
      <c r="AH799" s="242"/>
      <c r="AI799" s="242"/>
      <c r="AJ799" s="242"/>
      <c r="AK799" s="242"/>
      <c r="AL799" s="242"/>
      <c r="AM799" s="242"/>
      <c r="AN799" s="242"/>
      <c r="AO799" s="242"/>
      <c r="AP799" s="242"/>
    </row>
    <row r="800">
      <c r="A800" s="242"/>
      <c r="B800" s="242"/>
      <c r="C800" s="242"/>
      <c r="D800" s="242"/>
      <c r="E800" s="242"/>
      <c r="F800" s="242"/>
      <c r="G800" s="242"/>
      <c r="H800" s="242"/>
      <c r="I800" s="242"/>
      <c r="J800" s="242"/>
      <c r="K800" s="242"/>
      <c r="L800" s="242"/>
      <c r="M800" s="242"/>
      <c r="N800" s="242"/>
      <c r="O800" s="242"/>
      <c r="P800" s="13"/>
      <c r="Q800" s="13"/>
      <c r="R800" s="13"/>
      <c r="S800" s="13"/>
      <c r="T800" s="13"/>
      <c r="U800" s="13"/>
      <c r="V800" s="13"/>
      <c r="W800" s="13"/>
      <c r="X800" s="13"/>
      <c r="Y800" s="13"/>
      <c r="Z800" s="13"/>
      <c r="AA800" s="13"/>
      <c r="AB800" s="13"/>
      <c r="AC800" s="13"/>
      <c r="AD800" s="13"/>
      <c r="AE800" s="13"/>
      <c r="AF800" s="242"/>
      <c r="AG800" s="242"/>
      <c r="AH800" s="242"/>
      <c r="AI800" s="242"/>
      <c r="AJ800" s="242"/>
      <c r="AK800" s="242"/>
      <c r="AL800" s="242"/>
      <c r="AM800" s="242"/>
      <c r="AN800" s="242"/>
      <c r="AO800" s="242"/>
      <c r="AP800" s="242"/>
    </row>
    <row r="801">
      <c r="A801" s="242"/>
      <c r="B801" s="242"/>
      <c r="C801" s="242"/>
      <c r="D801" s="242"/>
      <c r="E801" s="242"/>
      <c r="F801" s="242"/>
      <c r="G801" s="242"/>
      <c r="H801" s="242"/>
      <c r="I801" s="242"/>
      <c r="J801" s="242"/>
      <c r="K801" s="242"/>
      <c r="L801" s="242"/>
      <c r="M801" s="242"/>
      <c r="N801" s="242"/>
      <c r="O801" s="242"/>
      <c r="P801" s="13"/>
      <c r="Q801" s="13"/>
      <c r="R801" s="13"/>
      <c r="S801" s="13"/>
      <c r="T801" s="13"/>
      <c r="U801" s="13"/>
      <c r="V801" s="13"/>
      <c r="W801" s="13"/>
      <c r="X801" s="13"/>
      <c r="Y801" s="13"/>
      <c r="Z801" s="13"/>
      <c r="AA801" s="13"/>
      <c r="AB801" s="13"/>
      <c r="AC801" s="13"/>
      <c r="AD801" s="13"/>
      <c r="AE801" s="13"/>
      <c r="AF801" s="242"/>
      <c r="AG801" s="242"/>
      <c r="AH801" s="242"/>
      <c r="AI801" s="242"/>
      <c r="AJ801" s="242"/>
      <c r="AK801" s="242"/>
      <c r="AL801" s="242"/>
      <c r="AM801" s="242"/>
      <c r="AN801" s="242"/>
      <c r="AO801" s="242"/>
      <c r="AP801" s="242"/>
    </row>
    <row r="802">
      <c r="A802" s="242"/>
      <c r="B802" s="242"/>
      <c r="C802" s="242"/>
      <c r="D802" s="242"/>
      <c r="E802" s="242"/>
      <c r="F802" s="242"/>
      <c r="G802" s="242"/>
      <c r="H802" s="242"/>
      <c r="I802" s="242"/>
      <c r="J802" s="242"/>
      <c r="K802" s="242"/>
      <c r="L802" s="242"/>
      <c r="M802" s="242"/>
      <c r="N802" s="242"/>
      <c r="O802" s="242"/>
      <c r="P802" s="13"/>
      <c r="Q802" s="13"/>
      <c r="R802" s="13"/>
      <c r="S802" s="13"/>
      <c r="T802" s="13"/>
      <c r="U802" s="13"/>
      <c r="V802" s="13"/>
      <c r="W802" s="13"/>
      <c r="X802" s="13"/>
      <c r="Y802" s="13"/>
      <c r="Z802" s="13"/>
      <c r="AA802" s="13"/>
      <c r="AB802" s="13"/>
      <c r="AC802" s="13"/>
      <c r="AD802" s="13"/>
      <c r="AE802" s="13"/>
      <c r="AF802" s="242"/>
      <c r="AG802" s="242"/>
      <c r="AH802" s="242"/>
      <c r="AI802" s="242"/>
      <c r="AJ802" s="242"/>
      <c r="AK802" s="242"/>
      <c r="AL802" s="242"/>
      <c r="AM802" s="242"/>
      <c r="AN802" s="242"/>
      <c r="AO802" s="242"/>
      <c r="AP802" s="242"/>
    </row>
    <row r="803">
      <c r="A803" s="242"/>
      <c r="B803" s="242"/>
      <c r="C803" s="242"/>
      <c r="D803" s="242"/>
      <c r="E803" s="242"/>
      <c r="F803" s="242"/>
      <c r="G803" s="242"/>
      <c r="H803" s="242"/>
      <c r="I803" s="242"/>
      <c r="J803" s="242"/>
      <c r="K803" s="242"/>
      <c r="L803" s="242"/>
      <c r="M803" s="242"/>
      <c r="N803" s="242"/>
      <c r="O803" s="242"/>
      <c r="P803" s="13"/>
      <c r="Q803" s="13"/>
      <c r="R803" s="13"/>
      <c r="S803" s="13"/>
      <c r="T803" s="13"/>
      <c r="U803" s="13"/>
      <c r="V803" s="13"/>
      <c r="W803" s="13"/>
      <c r="X803" s="13"/>
      <c r="Y803" s="13"/>
      <c r="Z803" s="13"/>
      <c r="AA803" s="13"/>
      <c r="AB803" s="13"/>
      <c r="AC803" s="13"/>
      <c r="AD803" s="13"/>
      <c r="AE803" s="13"/>
      <c r="AF803" s="242"/>
      <c r="AG803" s="242"/>
      <c r="AH803" s="242"/>
      <c r="AI803" s="242"/>
      <c r="AJ803" s="242"/>
      <c r="AK803" s="242"/>
      <c r="AL803" s="242"/>
      <c r="AM803" s="242"/>
      <c r="AN803" s="242"/>
      <c r="AO803" s="242"/>
      <c r="AP803" s="242"/>
    </row>
    <row r="804">
      <c r="A804" s="242"/>
      <c r="B804" s="242"/>
      <c r="C804" s="242"/>
      <c r="D804" s="242"/>
      <c r="E804" s="242"/>
      <c r="F804" s="242"/>
      <c r="G804" s="242"/>
      <c r="H804" s="242"/>
      <c r="I804" s="242"/>
      <c r="J804" s="242"/>
      <c r="K804" s="242"/>
      <c r="L804" s="242"/>
      <c r="M804" s="242"/>
      <c r="N804" s="242"/>
      <c r="O804" s="242"/>
      <c r="P804" s="13"/>
      <c r="Q804" s="13"/>
      <c r="R804" s="13"/>
      <c r="S804" s="13"/>
      <c r="T804" s="13"/>
      <c r="U804" s="13"/>
      <c r="V804" s="13"/>
      <c r="W804" s="13"/>
      <c r="X804" s="13"/>
      <c r="Y804" s="13"/>
      <c r="Z804" s="13"/>
      <c r="AA804" s="13"/>
      <c r="AB804" s="13"/>
      <c r="AC804" s="13"/>
      <c r="AD804" s="13"/>
      <c r="AE804" s="13"/>
      <c r="AF804" s="242"/>
      <c r="AG804" s="242"/>
      <c r="AH804" s="242"/>
      <c r="AI804" s="242"/>
      <c r="AJ804" s="242"/>
      <c r="AK804" s="242"/>
      <c r="AL804" s="242"/>
      <c r="AM804" s="242"/>
      <c r="AN804" s="242"/>
      <c r="AO804" s="242"/>
      <c r="AP804" s="242"/>
    </row>
    <row r="805">
      <c r="A805" s="242"/>
      <c r="B805" s="242"/>
      <c r="C805" s="242"/>
      <c r="D805" s="242"/>
      <c r="E805" s="242"/>
      <c r="F805" s="242"/>
      <c r="G805" s="242"/>
      <c r="H805" s="242"/>
      <c r="I805" s="242"/>
      <c r="J805" s="242"/>
      <c r="K805" s="242"/>
      <c r="L805" s="242"/>
      <c r="M805" s="242"/>
      <c r="N805" s="242"/>
      <c r="O805" s="242"/>
      <c r="P805" s="13"/>
      <c r="Q805" s="13"/>
      <c r="R805" s="13"/>
      <c r="S805" s="13"/>
      <c r="T805" s="13"/>
      <c r="U805" s="13"/>
      <c r="V805" s="13"/>
      <c r="W805" s="13"/>
      <c r="X805" s="13"/>
      <c r="Y805" s="13"/>
      <c r="Z805" s="13"/>
      <c r="AA805" s="13"/>
      <c r="AB805" s="13"/>
      <c r="AC805" s="13"/>
      <c r="AD805" s="13"/>
      <c r="AE805" s="13"/>
      <c r="AF805" s="242"/>
      <c r="AG805" s="242"/>
      <c r="AH805" s="242"/>
      <c r="AI805" s="242"/>
      <c r="AJ805" s="242"/>
      <c r="AK805" s="242"/>
      <c r="AL805" s="242"/>
      <c r="AM805" s="242"/>
      <c r="AN805" s="242"/>
      <c r="AO805" s="242"/>
      <c r="AP805" s="242"/>
    </row>
    <row r="806">
      <c r="A806" s="242"/>
      <c r="B806" s="242"/>
      <c r="C806" s="242"/>
      <c r="D806" s="242"/>
      <c r="E806" s="242"/>
      <c r="F806" s="242"/>
      <c r="G806" s="242"/>
      <c r="H806" s="242"/>
      <c r="I806" s="242"/>
      <c r="J806" s="242"/>
      <c r="K806" s="242"/>
      <c r="L806" s="242"/>
      <c r="M806" s="242"/>
      <c r="N806" s="242"/>
      <c r="O806" s="242"/>
      <c r="P806" s="13"/>
      <c r="Q806" s="13"/>
      <c r="R806" s="13"/>
      <c r="S806" s="13"/>
      <c r="T806" s="13"/>
      <c r="U806" s="13"/>
      <c r="V806" s="13"/>
      <c r="W806" s="13"/>
      <c r="X806" s="13"/>
      <c r="Y806" s="13"/>
      <c r="Z806" s="13"/>
      <c r="AA806" s="13"/>
      <c r="AB806" s="13"/>
      <c r="AC806" s="13"/>
      <c r="AD806" s="13"/>
      <c r="AE806" s="13"/>
      <c r="AF806" s="242"/>
      <c r="AG806" s="242"/>
      <c r="AH806" s="242"/>
      <c r="AI806" s="242"/>
      <c r="AJ806" s="242"/>
      <c r="AK806" s="242"/>
      <c r="AL806" s="242"/>
      <c r="AM806" s="242"/>
      <c r="AN806" s="242"/>
      <c r="AO806" s="242"/>
      <c r="AP806" s="242"/>
    </row>
    <row r="807">
      <c r="A807" s="242"/>
      <c r="B807" s="242"/>
      <c r="C807" s="242"/>
      <c r="D807" s="242"/>
      <c r="E807" s="242"/>
      <c r="F807" s="242"/>
      <c r="G807" s="242"/>
      <c r="H807" s="242"/>
      <c r="I807" s="242"/>
      <c r="J807" s="242"/>
      <c r="K807" s="242"/>
      <c r="L807" s="242"/>
      <c r="M807" s="242"/>
      <c r="N807" s="242"/>
      <c r="O807" s="242"/>
      <c r="P807" s="13"/>
      <c r="Q807" s="13"/>
      <c r="R807" s="13"/>
      <c r="S807" s="13"/>
      <c r="T807" s="13"/>
      <c r="U807" s="13"/>
      <c r="V807" s="13"/>
      <c r="W807" s="13"/>
      <c r="X807" s="13"/>
      <c r="Y807" s="13"/>
      <c r="Z807" s="13"/>
      <c r="AA807" s="13"/>
      <c r="AB807" s="13"/>
      <c r="AC807" s="13"/>
      <c r="AD807" s="13"/>
      <c r="AE807" s="13"/>
      <c r="AF807" s="242"/>
      <c r="AG807" s="242"/>
      <c r="AH807" s="242"/>
      <c r="AI807" s="242"/>
      <c r="AJ807" s="242"/>
      <c r="AK807" s="242"/>
      <c r="AL807" s="242"/>
      <c r="AM807" s="242"/>
      <c r="AN807" s="242"/>
      <c r="AO807" s="242"/>
      <c r="AP807" s="242"/>
    </row>
    <row r="808">
      <c r="A808" s="242"/>
      <c r="B808" s="242"/>
      <c r="C808" s="242"/>
      <c r="D808" s="242"/>
      <c r="E808" s="242"/>
      <c r="F808" s="242"/>
      <c r="G808" s="242"/>
      <c r="H808" s="242"/>
      <c r="I808" s="242"/>
      <c r="J808" s="242"/>
      <c r="K808" s="242"/>
      <c r="L808" s="242"/>
      <c r="M808" s="242"/>
      <c r="N808" s="242"/>
      <c r="O808" s="242"/>
      <c r="P808" s="13"/>
      <c r="Q808" s="13"/>
      <c r="R808" s="13"/>
      <c r="S808" s="13"/>
      <c r="T808" s="13"/>
      <c r="U808" s="13"/>
      <c r="V808" s="13"/>
      <c r="W808" s="13"/>
      <c r="X808" s="13"/>
      <c r="Y808" s="13"/>
      <c r="Z808" s="13"/>
      <c r="AA808" s="13"/>
      <c r="AB808" s="13"/>
      <c r="AC808" s="13"/>
      <c r="AD808" s="13"/>
      <c r="AE808" s="13"/>
      <c r="AF808" s="242"/>
      <c r="AG808" s="242"/>
      <c r="AH808" s="242"/>
      <c r="AI808" s="242"/>
      <c r="AJ808" s="242"/>
      <c r="AK808" s="242"/>
      <c r="AL808" s="242"/>
      <c r="AM808" s="242"/>
      <c r="AN808" s="242"/>
      <c r="AO808" s="242"/>
      <c r="AP808" s="242"/>
    </row>
    <row r="809">
      <c r="A809" s="242"/>
      <c r="B809" s="242"/>
      <c r="C809" s="242"/>
      <c r="D809" s="242"/>
      <c r="E809" s="242"/>
      <c r="F809" s="242"/>
      <c r="G809" s="242"/>
      <c r="H809" s="242"/>
      <c r="I809" s="242"/>
      <c r="J809" s="242"/>
      <c r="K809" s="242"/>
      <c r="L809" s="242"/>
      <c r="M809" s="242"/>
      <c r="N809" s="242"/>
      <c r="O809" s="242"/>
      <c r="P809" s="13"/>
      <c r="Q809" s="13"/>
      <c r="R809" s="13"/>
      <c r="S809" s="13"/>
      <c r="T809" s="13"/>
      <c r="U809" s="13"/>
      <c r="V809" s="13"/>
      <c r="W809" s="13"/>
      <c r="X809" s="13"/>
      <c r="Y809" s="13"/>
      <c r="Z809" s="13"/>
      <c r="AA809" s="13"/>
      <c r="AB809" s="13"/>
      <c r="AC809" s="13"/>
      <c r="AD809" s="13"/>
      <c r="AE809" s="13"/>
      <c r="AF809" s="242"/>
      <c r="AG809" s="242"/>
      <c r="AH809" s="242"/>
      <c r="AI809" s="242"/>
      <c r="AJ809" s="242"/>
      <c r="AK809" s="242"/>
      <c r="AL809" s="242"/>
      <c r="AM809" s="242"/>
      <c r="AN809" s="242"/>
      <c r="AO809" s="242"/>
      <c r="AP809" s="242"/>
    </row>
    <row r="810">
      <c r="A810" s="242"/>
      <c r="B810" s="242"/>
      <c r="C810" s="242"/>
      <c r="D810" s="242"/>
      <c r="E810" s="242"/>
      <c r="F810" s="242"/>
      <c r="G810" s="242"/>
      <c r="H810" s="242"/>
      <c r="I810" s="242"/>
      <c r="J810" s="242"/>
      <c r="K810" s="242"/>
      <c r="L810" s="242"/>
      <c r="M810" s="242"/>
      <c r="N810" s="242"/>
      <c r="O810" s="242"/>
      <c r="P810" s="13"/>
      <c r="Q810" s="13"/>
      <c r="R810" s="13"/>
      <c r="S810" s="13"/>
      <c r="T810" s="13"/>
      <c r="U810" s="13"/>
      <c r="V810" s="13"/>
      <c r="W810" s="13"/>
      <c r="X810" s="13"/>
      <c r="Y810" s="13"/>
      <c r="Z810" s="13"/>
      <c r="AA810" s="13"/>
      <c r="AB810" s="13"/>
      <c r="AC810" s="13"/>
      <c r="AD810" s="13"/>
      <c r="AE810" s="13"/>
      <c r="AF810" s="242"/>
      <c r="AG810" s="242"/>
      <c r="AH810" s="242"/>
      <c r="AI810" s="242"/>
      <c r="AJ810" s="242"/>
      <c r="AK810" s="242"/>
      <c r="AL810" s="242"/>
      <c r="AM810" s="242"/>
      <c r="AN810" s="242"/>
      <c r="AO810" s="242"/>
      <c r="AP810" s="242"/>
    </row>
    <row r="811">
      <c r="A811" s="242"/>
      <c r="B811" s="242"/>
      <c r="C811" s="242"/>
      <c r="D811" s="242"/>
      <c r="E811" s="242"/>
      <c r="F811" s="242"/>
      <c r="G811" s="242"/>
      <c r="H811" s="242"/>
      <c r="I811" s="242"/>
      <c r="J811" s="242"/>
      <c r="K811" s="242"/>
      <c r="L811" s="242"/>
      <c r="M811" s="242"/>
      <c r="N811" s="242"/>
      <c r="O811" s="242"/>
      <c r="P811" s="13"/>
      <c r="Q811" s="13"/>
      <c r="R811" s="13"/>
      <c r="S811" s="13"/>
      <c r="T811" s="13"/>
      <c r="U811" s="13"/>
      <c r="V811" s="13"/>
      <c r="W811" s="13"/>
      <c r="X811" s="13"/>
      <c r="Y811" s="13"/>
      <c r="Z811" s="13"/>
      <c r="AA811" s="13"/>
      <c r="AB811" s="13"/>
      <c r="AC811" s="13"/>
      <c r="AD811" s="13"/>
      <c r="AE811" s="13"/>
      <c r="AF811" s="242"/>
      <c r="AG811" s="242"/>
      <c r="AH811" s="242"/>
      <c r="AI811" s="242"/>
      <c r="AJ811" s="242"/>
      <c r="AK811" s="242"/>
      <c r="AL811" s="242"/>
      <c r="AM811" s="242"/>
      <c r="AN811" s="242"/>
      <c r="AO811" s="242"/>
      <c r="AP811" s="242"/>
    </row>
    <row r="812">
      <c r="A812" s="242"/>
      <c r="B812" s="242"/>
      <c r="C812" s="242"/>
      <c r="D812" s="242"/>
      <c r="E812" s="242"/>
      <c r="F812" s="242"/>
      <c r="G812" s="242"/>
      <c r="H812" s="242"/>
      <c r="I812" s="242"/>
      <c r="J812" s="242"/>
      <c r="K812" s="242"/>
      <c r="L812" s="242"/>
      <c r="M812" s="242"/>
      <c r="N812" s="242"/>
      <c r="O812" s="242"/>
      <c r="P812" s="13"/>
      <c r="Q812" s="13"/>
      <c r="R812" s="13"/>
      <c r="S812" s="13"/>
      <c r="T812" s="13"/>
      <c r="U812" s="13"/>
      <c r="V812" s="13"/>
      <c r="W812" s="13"/>
      <c r="X812" s="13"/>
      <c r="Y812" s="13"/>
      <c r="Z812" s="13"/>
      <c r="AA812" s="13"/>
      <c r="AB812" s="13"/>
      <c r="AC812" s="13"/>
      <c r="AD812" s="13"/>
      <c r="AE812" s="13"/>
      <c r="AF812" s="242"/>
      <c r="AG812" s="242"/>
      <c r="AH812" s="242"/>
      <c r="AI812" s="242"/>
      <c r="AJ812" s="242"/>
      <c r="AK812" s="242"/>
      <c r="AL812" s="242"/>
      <c r="AM812" s="242"/>
      <c r="AN812" s="242"/>
      <c r="AO812" s="242"/>
      <c r="AP812" s="242"/>
    </row>
    <row r="813">
      <c r="A813" s="242"/>
      <c r="B813" s="242"/>
      <c r="C813" s="242"/>
      <c r="D813" s="242"/>
      <c r="E813" s="242"/>
      <c r="F813" s="242"/>
      <c r="G813" s="242"/>
      <c r="H813" s="242"/>
      <c r="I813" s="242"/>
      <c r="J813" s="242"/>
      <c r="K813" s="242"/>
      <c r="L813" s="242"/>
      <c r="M813" s="242"/>
      <c r="N813" s="242"/>
      <c r="O813" s="242"/>
      <c r="P813" s="13"/>
      <c r="Q813" s="13"/>
      <c r="R813" s="13"/>
      <c r="S813" s="13"/>
      <c r="T813" s="13"/>
      <c r="U813" s="13"/>
      <c r="V813" s="13"/>
      <c r="W813" s="13"/>
      <c r="X813" s="13"/>
      <c r="Y813" s="13"/>
      <c r="Z813" s="13"/>
      <c r="AA813" s="13"/>
      <c r="AB813" s="13"/>
      <c r="AC813" s="13"/>
      <c r="AD813" s="13"/>
      <c r="AE813" s="13"/>
      <c r="AF813" s="242"/>
      <c r="AG813" s="242"/>
      <c r="AH813" s="242"/>
      <c r="AI813" s="242"/>
      <c r="AJ813" s="242"/>
      <c r="AK813" s="242"/>
      <c r="AL813" s="242"/>
      <c r="AM813" s="242"/>
      <c r="AN813" s="242"/>
      <c r="AO813" s="242"/>
      <c r="AP813" s="242"/>
    </row>
    <row r="814">
      <c r="A814" s="242"/>
      <c r="B814" s="242"/>
      <c r="C814" s="242"/>
      <c r="D814" s="242"/>
      <c r="E814" s="242"/>
      <c r="F814" s="242"/>
      <c r="G814" s="242"/>
      <c r="H814" s="242"/>
      <c r="I814" s="242"/>
      <c r="J814" s="242"/>
      <c r="K814" s="242"/>
      <c r="L814" s="242"/>
      <c r="M814" s="242"/>
      <c r="N814" s="242"/>
      <c r="O814" s="242"/>
      <c r="P814" s="13"/>
      <c r="Q814" s="13"/>
      <c r="R814" s="13"/>
      <c r="S814" s="13"/>
      <c r="T814" s="13"/>
      <c r="U814" s="13"/>
      <c r="V814" s="13"/>
      <c r="W814" s="13"/>
      <c r="X814" s="13"/>
      <c r="Y814" s="13"/>
      <c r="Z814" s="13"/>
      <c r="AA814" s="13"/>
      <c r="AB814" s="13"/>
      <c r="AC814" s="13"/>
      <c r="AD814" s="13"/>
      <c r="AE814" s="13"/>
      <c r="AF814" s="242"/>
      <c r="AG814" s="242"/>
      <c r="AH814" s="242"/>
      <c r="AI814" s="242"/>
      <c r="AJ814" s="242"/>
      <c r="AK814" s="242"/>
      <c r="AL814" s="242"/>
      <c r="AM814" s="242"/>
      <c r="AN814" s="242"/>
      <c r="AO814" s="242"/>
      <c r="AP814" s="242"/>
    </row>
    <row r="815">
      <c r="A815" s="242"/>
      <c r="B815" s="242"/>
      <c r="C815" s="242"/>
      <c r="D815" s="242"/>
      <c r="E815" s="242"/>
      <c r="F815" s="242"/>
      <c r="G815" s="242"/>
      <c r="H815" s="242"/>
      <c r="I815" s="242"/>
      <c r="J815" s="242"/>
      <c r="K815" s="242"/>
      <c r="L815" s="242"/>
      <c r="M815" s="242"/>
      <c r="N815" s="242"/>
      <c r="O815" s="242"/>
      <c r="P815" s="13"/>
      <c r="Q815" s="13"/>
      <c r="R815" s="13"/>
      <c r="S815" s="13"/>
      <c r="T815" s="13"/>
      <c r="U815" s="13"/>
      <c r="V815" s="13"/>
      <c r="W815" s="13"/>
      <c r="X815" s="13"/>
      <c r="Y815" s="13"/>
      <c r="Z815" s="13"/>
      <c r="AA815" s="13"/>
      <c r="AB815" s="13"/>
      <c r="AC815" s="13"/>
      <c r="AD815" s="13"/>
      <c r="AE815" s="13"/>
      <c r="AF815" s="242"/>
      <c r="AG815" s="242"/>
      <c r="AH815" s="242"/>
      <c r="AI815" s="242"/>
      <c r="AJ815" s="242"/>
      <c r="AK815" s="242"/>
      <c r="AL815" s="242"/>
      <c r="AM815" s="242"/>
      <c r="AN815" s="242"/>
      <c r="AO815" s="242"/>
      <c r="AP815" s="242"/>
    </row>
    <row r="816">
      <c r="A816" s="242"/>
      <c r="B816" s="242"/>
      <c r="C816" s="242"/>
      <c r="D816" s="242"/>
      <c r="E816" s="242"/>
      <c r="F816" s="242"/>
      <c r="G816" s="242"/>
      <c r="H816" s="242"/>
      <c r="I816" s="242"/>
      <c r="J816" s="242"/>
      <c r="K816" s="242"/>
      <c r="L816" s="242"/>
      <c r="M816" s="242"/>
      <c r="N816" s="242"/>
      <c r="O816" s="242"/>
      <c r="P816" s="13"/>
      <c r="Q816" s="13"/>
      <c r="R816" s="13"/>
      <c r="S816" s="13"/>
      <c r="T816" s="13"/>
      <c r="U816" s="13"/>
      <c r="V816" s="13"/>
      <c r="W816" s="13"/>
      <c r="X816" s="13"/>
      <c r="Y816" s="13"/>
      <c r="Z816" s="13"/>
      <c r="AA816" s="13"/>
      <c r="AB816" s="13"/>
      <c r="AC816" s="13"/>
      <c r="AD816" s="13"/>
      <c r="AE816" s="13"/>
      <c r="AF816" s="242"/>
      <c r="AG816" s="242"/>
      <c r="AH816" s="242"/>
      <c r="AI816" s="242"/>
      <c r="AJ816" s="242"/>
      <c r="AK816" s="242"/>
      <c r="AL816" s="242"/>
      <c r="AM816" s="242"/>
      <c r="AN816" s="242"/>
      <c r="AO816" s="242"/>
      <c r="AP816" s="242"/>
    </row>
    <row r="817">
      <c r="A817" s="242"/>
      <c r="B817" s="242"/>
      <c r="C817" s="242"/>
      <c r="D817" s="242"/>
      <c r="E817" s="242"/>
      <c r="F817" s="242"/>
      <c r="G817" s="242"/>
      <c r="H817" s="242"/>
      <c r="I817" s="242"/>
      <c r="J817" s="242"/>
      <c r="K817" s="242"/>
      <c r="L817" s="242"/>
      <c r="M817" s="242"/>
      <c r="N817" s="242"/>
      <c r="O817" s="242"/>
      <c r="P817" s="13"/>
      <c r="Q817" s="13"/>
      <c r="R817" s="13"/>
      <c r="S817" s="13"/>
      <c r="T817" s="13"/>
      <c r="U817" s="13"/>
      <c r="V817" s="13"/>
      <c r="W817" s="13"/>
      <c r="X817" s="13"/>
      <c r="Y817" s="13"/>
      <c r="Z817" s="13"/>
      <c r="AA817" s="13"/>
      <c r="AB817" s="13"/>
      <c r="AC817" s="13"/>
      <c r="AD817" s="13"/>
      <c r="AE817" s="13"/>
      <c r="AF817" s="242"/>
      <c r="AG817" s="242"/>
      <c r="AH817" s="242"/>
      <c r="AI817" s="242"/>
      <c r="AJ817" s="242"/>
      <c r="AK817" s="242"/>
      <c r="AL817" s="242"/>
      <c r="AM817" s="242"/>
      <c r="AN817" s="242"/>
      <c r="AO817" s="242"/>
      <c r="AP817" s="242"/>
    </row>
    <row r="818">
      <c r="A818" s="242"/>
      <c r="B818" s="242"/>
      <c r="C818" s="242"/>
      <c r="D818" s="242"/>
      <c r="E818" s="242"/>
      <c r="F818" s="242"/>
      <c r="G818" s="242"/>
      <c r="H818" s="242"/>
      <c r="I818" s="242"/>
      <c r="J818" s="242"/>
      <c r="K818" s="242"/>
      <c r="L818" s="242"/>
      <c r="M818" s="242"/>
      <c r="N818" s="242"/>
      <c r="O818" s="242"/>
      <c r="P818" s="13"/>
      <c r="Q818" s="13"/>
      <c r="R818" s="13"/>
      <c r="S818" s="13"/>
      <c r="T818" s="13"/>
      <c r="U818" s="13"/>
      <c r="V818" s="13"/>
      <c r="W818" s="13"/>
      <c r="X818" s="13"/>
      <c r="Y818" s="13"/>
      <c r="Z818" s="13"/>
      <c r="AA818" s="13"/>
      <c r="AB818" s="13"/>
      <c r="AC818" s="13"/>
      <c r="AD818" s="13"/>
      <c r="AE818" s="13"/>
      <c r="AF818" s="242"/>
      <c r="AG818" s="242"/>
      <c r="AH818" s="242"/>
      <c r="AI818" s="242"/>
      <c r="AJ818" s="242"/>
      <c r="AK818" s="242"/>
      <c r="AL818" s="242"/>
      <c r="AM818" s="242"/>
      <c r="AN818" s="242"/>
      <c r="AO818" s="242"/>
      <c r="AP818" s="242"/>
    </row>
    <row r="819">
      <c r="A819" s="242"/>
      <c r="B819" s="242"/>
      <c r="C819" s="242"/>
      <c r="D819" s="242"/>
      <c r="E819" s="242"/>
      <c r="F819" s="242"/>
      <c r="G819" s="242"/>
      <c r="H819" s="242"/>
      <c r="I819" s="242"/>
      <c r="J819" s="242"/>
      <c r="K819" s="242"/>
      <c r="L819" s="242"/>
      <c r="M819" s="242"/>
      <c r="N819" s="242"/>
      <c r="O819" s="242"/>
      <c r="P819" s="13"/>
      <c r="Q819" s="13"/>
      <c r="R819" s="13"/>
      <c r="S819" s="13"/>
      <c r="T819" s="13"/>
      <c r="U819" s="13"/>
      <c r="V819" s="13"/>
      <c r="W819" s="13"/>
      <c r="X819" s="13"/>
      <c r="Y819" s="13"/>
      <c r="Z819" s="13"/>
      <c r="AA819" s="13"/>
      <c r="AB819" s="13"/>
      <c r="AC819" s="13"/>
      <c r="AD819" s="13"/>
      <c r="AE819" s="13"/>
      <c r="AF819" s="242"/>
      <c r="AG819" s="242"/>
      <c r="AH819" s="242"/>
      <c r="AI819" s="242"/>
      <c r="AJ819" s="242"/>
      <c r="AK819" s="242"/>
      <c r="AL819" s="242"/>
      <c r="AM819" s="242"/>
      <c r="AN819" s="242"/>
      <c r="AO819" s="242"/>
      <c r="AP819" s="242"/>
    </row>
    <row r="820">
      <c r="A820" s="242"/>
      <c r="B820" s="242"/>
      <c r="C820" s="242"/>
      <c r="D820" s="242"/>
      <c r="E820" s="242"/>
      <c r="F820" s="242"/>
      <c r="G820" s="242"/>
      <c r="H820" s="242"/>
      <c r="I820" s="242"/>
      <c r="J820" s="242"/>
      <c r="K820" s="242"/>
      <c r="L820" s="242"/>
      <c r="M820" s="242"/>
      <c r="N820" s="242"/>
      <c r="O820" s="242"/>
      <c r="P820" s="13"/>
      <c r="Q820" s="13"/>
      <c r="R820" s="13"/>
      <c r="S820" s="13"/>
      <c r="T820" s="13"/>
      <c r="U820" s="13"/>
      <c r="V820" s="13"/>
      <c r="W820" s="13"/>
      <c r="X820" s="13"/>
      <c r="Y820" s="13"/>
      <c r="Z820" s="13"/>
      <c r="AA820" s="13"/>
      <c r="AB820" s="13"/>
      <c r="AC820" s="13"/>
      <c r="AD820" s="13"/>
      <c r="AE820" s="13"/>
      <c r="AF820" s="242"/>
      <c r="AG820" s="242"/>
      <c r="AH820" s="242"/>
      <c r="AI820" s="242"/>
      <c r="AJ820" s="242"/>
      <c r="AK820" s="242"/>
      <c r="AL820" s="242"/>
      <c r="AM820" s="242"/>
      <c r="AN820" s="242"/>
      <c r="AO820" s="242"/>
      <c r="AP820" s="242"/>
    </row>
    <row r="821">
      <c r="A821" s="242"/>
      <c r="B821" s="242"/>
      <c r="C821" s="242"/>
      <c r="D821" s="242"/>
      <c r="E821" s="242"/>
      <c r="F821" s="242"/>
      <c r="G821" s="242"/>
      <c r="H821" s="242"/>
      <c r="I821" s="242"/>
      <c r="J821" s="242"/>
      <c r="K821" s="242"/>
      <c r="L821" s="242"/>
      <c r="M821" s="242"/>
      <c r="N821" s="242"/>
      <c r="O821" s="242"/>
      <c r="P821" s="13"/>
      <c r="Q821" s="13"/>
      <c r="R821" s="13"/>
      <c r="S821" s="13"/>
      <c r="T821" s="13"/>
      <c r="U821" s="13"/>
      <c r="V821" s="13"/>
      <c r="W821" s="13"/>
      <c r="X821" s="13"/>
      <c r="Y821" s="13"/>
      <c r="Z821" s="13"/>
      <c r="AA821" s="13"/>
      <c r="AB821" s="13"/>
      <c r="AC821" s="13"/>
      <c r="AD821" s="13"/>
      <c r="AE821" s="13"/>
      <c r="AF821" s="242"/>
      <c r="AG821" s="242"/>
      <c r="AH821" s="242"/>
      <c r="AI821" s="242"/>
      <c r="AJ821" s="242"/>
      <c r="AK821" s="242"/>
      <c r="AL821" s="242"/>
      <c r="AM821" s="242"/>
      <c r="AN821" s="242"/>
      <c r="AO821" s="242"/>
      <c r="AP821" s="242"/>
    </row>
    <row r="822">
      <c r="A822" s="242"/>
      <c r="B822" s="242"/>
      <c r="C822" s="242"/>
      <c r="D822" s="242"/>
      <c r="E822" s="242"/>
      <c r="F822" s="242"/>
      <c r="G822" s="242"/>
      <c r="H822" s="242"/>
      <c r="I822" s="242"/>
      <c r="J822" s="242"/>
      <c r="K822" s="242"/>
      <c r="L822" s="242"/>
      <c r="M822" s="242"/>
      <c r="N822" s="242"/>
      <c r="O822" s="242"/>
      <c r="P822" s="13"/>
      <c r="Q822" s="13"/>
      <c r="R822" s="13"/>
      <c r="S822" s="13"/>
      <c r="T822" s="13"/>
      <c r="U822" s="13"/>
      <c r="V822" s="13"/>
      <c r="W822" s="13"/>
      <c r="X822" s="13"/>
      <c r="Y822" s="13"/>
      <c r="Z822" s="13"/>
      <c r="AA822" s="13"/>
      <c r="AB822" s="13"/>
      <c r="AC822" s="13"/>
      <c r="AD822" s="13"/>
      <c r="AE822" s="13"/>
      <c r="AF822" s="242"/>
      <c r="AG822" s="242"/>
      <c r="AH822" s="242"/>
      <c r="AI822" s="242"/>
      <c r="AJ822" s="242"/>
      <c r="AK822" s="242"/>
      <c r="AL822" s="242"/>
      <c r="AM822" s="242"/>
      <c r="AN822" s="242"/>
      <c r="AO822" s="242"/>
      <c r="AP822" s="242"/>
    </row>
    <row r="823">
      <c r="A823" s="242"/>
      <c r="B823" s="242"/>
      <c r="C823" s="242"/>
      <c r="D823" s="242"/>
      <c r="E823" s="242"/>
      <c r="F823" s="242"/>
      <c r="G823" s="242"/>
      <c r="H823" s="242"/>
      <c r="I823" s="242"/>
      <c r="J823" s="242"/>
      <c r="K823" s="242"/>
      <c r="L823" s="242"/>
      <c r="M823" s="242"/>
      <c r="N823" s="242"/>
      <c r="O823" s="242"/>
      <c r="P823" s="13"/>
      <c r="Q823" s="13"/>
      <c r="R823" s="13"/>
      <c r="S823" s="13"/>
      <c r="T823" s="13"/>
      <c r="U823" s="13"/>
      <c r="V823" s="13"/>
      <c r="W823" s="13"/>
      <c r="X823" s="13"/>
      <c r="Y823" s="13"/>
      <c r="Z823" s="13"/>
      <c r="AA823" s="13"/>
      <c r="AB823" s="13"/>
      <c r="AC823" s="13"/>
      <c r="AD823" s="13"/>
      <c r="AE823" s="13"/>
      <c r="AF823" s="242"/>
      <c r="AG823" s="242"/>
      <c r="AH823" s="242"/>
      <c r="AI823" s="242"/>
      <c r="AJ823" s="242"/>
      <c r="AK823" s="242"/>
      <c r="AL823" s="242"/>
      <c r="AM823" s="242"/>
      <c r="AN823" s="242"/>
      <c r="AO823" s="242"/>
      <c r="AP823" s="242"/>
    </row>
    <row r="824">
      <c r="A824" s="242"/>
      <c r="B824" s="242"/>
      <c r="C824" s="242"/>
      <c r="D824" s="242"/>
      <c r="E824" s="242"/>
      <c r="F824" s="242"/>
      <c r="G824" s="242"/>
      <c r="H824" s="242"/>
      <c r="I824" s="242"/>
      <c r="J824" s="242"/>
      <c r="K824" s="242"/>
      <c r="L824" s="242"/>
      <c r="M824" s="242"/>
      <c r="N824" s="242"/>
      <c r="O824" s="242"/>
      <c r="P824" s="13"/>
      <c r="Q824" s="13"/>
      <c r="R824" s="13"/>
      <c r="S824" s="13"/>
      <c r="T824" s="13"/>
      <c r="U824" s="13"/>
      <c r="V824" s="13"/>
      <c r="W824" s="13"/>
      <c r="X824" s="13"/>
      <c r="Y824" s="13"/>
      <c r="Z824" s="13"/>
      <c r="AA824" s="13"/>
      <c r="AB824" s="13"/>
      <c r="AC824" s="13"/>
      <c r="AD824" s="13"/>
      <c r="AE824" s="13"/>
      <c r="AF824" s="242"/>
      <c r="AG824" s="242"/>
      <c r="AH824" s="242"/>
      <c r="AI824" s="242"/>
      <c r="AJ824" s="242"/>
      <c r="AK824" s="242"/>
      <c r="AL824" s="242"/>
      <c r="AM824" s="242"/>
      <c r="AN824" s="242"/>
      <c r="AO824" s="242"/>
      <c r="AP824" s="242"/>
    </row>
    <row r="825">
      <c r="A825" s="242"/>
      <c r="B825" s="242"/>
      <c r="C825" s="242"/>
      <c r="D825" s="242"/>
      <c r="E825" s="242"/>
      <c r="F825" s="242"/>
      <c r="G825" s="242"/>
      <c r="H825" s="242"/>
      <c r="I825" s="242"/>
      <c r="J825" s="242"/>
      <c r="K825" s="242"/>
      <c r="L825" s="242"/>
      <c r="M825" s="242"/>
      <c r="N825" s="242"/>
      <c r="O825" s="242"/>
      <c r="P825" s="13"/>
      <c r="Q825" s="13"/>
      <c r="R825" s="13"/>
      <c r="S825" s="13"/>
      <c r="T825" s="13"/>
      <c r="U825" s="13"/>
      <c r="V825" s="13"/>
      <c r="W825" s="13"/>
      <c r="X825" s="13"/>
      <c r="Y825" s="13"/>
      <c r="Z825" s="13"/>
      <c r="AA825" s="13"/>
      <c r="AB825" s="13"/>
      <c r="AC825" s="13"/>
      <c r="AD825" s="13"/>
      <c r="AE825" s="13"/>
      <c r="AF825" s="242"/>
      <c r="AG825" s="242"/>
      <c r="AH825" s="242"/>
      <c r="AI825" s="242"/>
      <c r="AJ825" s="242"/>
      <c r="AK825" s="242"/>
      <c r="AL825" s="242"/>
      <c r="AM825" s="242"/>
      <c r="AN825" s="242"/>
      <c r="AO825" s="242"/>
      <c r="AP825" s="242"/>
    </row>
    <row r="826">
      <c r="A826" s="242"/>
      <c r="B826" s="242"/>
      <c r="C826" s="242"/>
      <c r="D826" s="242"/>
      <c r="E826" s="242"/>
      <c r="F826" s="242"/>
      <c r="G826" s="242"/>
      <c r="H826" s="242"/>
      <c r="I826" s="242"/>
      <c r="J826" s="242"/>
      <c r="K826" s="242"/>
      <c r="L826" s="242"/>
      <c r="M826" s="242"/>
      <c r="N826" s="242"/>
      <c r="O826" s="242"/>
      <c r="P826" s="13"/>
      <c r="Q826" s="13"/>
      <c r="R826" s="13"/>
      <c r="S826" s="13"/>
      <c r="T826" s="13"/>
      <c r="U826" s="13"/>
      <c r="V826" s="13"/>
      <c r="W826" s="13"/>
      <c r="X826" s="13"/>
      <c r="Y826" s="13"/>
      <c r="Z826" s="13"/>
      <c r="AA826" s="13"/>
      <c r="AB826" s="13"/>
      <c r="AC826" s="13"/>
      <c r="AD826" s="13"/>
      <c r="AE826" s="13"/>
      <c r="AF826" s="242"/>
      <c r="AG826" s="242"/>
      <c r="AH826" s="242"/>
      <c r="AI826" s="242"/>
      <c r="AJ826" s="242"/>
      <c r="AK826" s="242"/>
      <c r="AL826" s="242"/>
      <c r="AM826" s="242"/>
      <c r="AN826" s="242"/>
      <c r="AO826" s="242"/>
      <c r="AP826" s="242"/>
    </row>
    <row r="827">
      <c r="A827" s="242"/>
      <c r="B827" s="242"/>
      <c r="C827" s="242"/>
      <c r="D827" s="242"/>
      <c r="E827" s="242"/>
      <c r="F827" s="242"/>
      <c r="G827" s="242"/>
      <c r="H827" s="242"/>
      <c r="I827" s="242"/>
      <c r="J827" s="242"/>
      <c r="K827" s="242"/>
      <c r="L827" s="242"/>
      <c r="M827" s="242"/>
      <c r="N827" s="242"/>
      <c r="O827" s="242"/>
      <c r="P827" s="13"/>
      <c r="Q827" s="13"/>
      <c r="R827" s="13"/>
      <c r="S827" s="13"/>
      <c r="T827" s="13"/>
      <c r="U827" s="13"/>
      <c r="V827" s="13"/>
      <c r="W827" s="13"/>
      <c r="X827" s="13"/>
      <c r="Y827" s="13"/>
      <c r="Z827" s="13"/>
      <c r="AA827" s="13"/>
      <c r="AB827" s="13"/>
      <c r="AC827" s="13"/>
      <c r="AD827" s="13"/>
      <c r="AE827" s="13"/>
      <c r="AF827" s="242"/>
      <c r="AG827" s="242"/>
      <c r="AH827" s="242"/>
      <c r="AI827" s="242"/>
      <c r="AJ827" s="242"/>
      <c r="AK827" s="242"/>
      <c r="AL827" s="242"/>
      <c r="AM827" s="242"/>
      <c r="AN827" s="242"/>
      <c r="AO827" s="242"/>
      <c r="AP827" s="242"/>
    </row>
    <row r="828">
      <c r="A828" s="242"/>
      <c r="B828" s="242"/>
      <c r="C828" s="242"/>
      <c r="D828" s="242"/>
      <c r="E828" s="242"/>
      <c r="F828" s="242"/>
      <c r="G828" s="242"/>
      <c r="H828" s="242"/>
      <c r="I828" s="242"/>
      <c r="J828" s="242"/>
      <c r="K828" s="242"/>
      <c r="L828" s="242"/>
      <c r="M828" s="242"/>
      <c r="N828" s="242"/>
      <c r="O828" s="242"/>
      <c r="P828" s="13"/>
      <c r="Q828" s="13"/>
      <c r="R828" s="13"/>
      <c r="S828" s="13"/>
      <c r="T828" s="13"/>
      <c r="U828" s="13"/>
      <c r="V828" s="13"/>
      <c r="W828" s="13"/>
      <c r="X828" s="13"/>
      <c r="Y828" s="13"/>
      <c r="Z828" s="13"/>
      <c r="AA828" s="13"/>
      <c r="AB828" s="13"/>
      <c r="AC828" s="13"/>
      <c r="AD828" s="13"/>
      <c r="AE828" s="13"/>
      <c r="AF828" s="242"/>
      <c r="AG828" s="242"/>
      <c r="AH828" s="242"/>
      <c r="AI828" s="242"/>
      <c r="AJ828" s="242"/>
      <c r="AK828" s="242"/>
      <c r="AL828" s="242"/>
      <c r="AM828" s="242"/>
      <c r="AN828" s="242"/>
      <c r="AO828" s="242"/>
      <c r="AP828" s="242"/>
    </row>
    <row r="829">
      <c r="A829" s="242"/>
      <c r="B829" s="242"/>
      <c r="C829" s="242"/>
      <c r="D829" s="242"/>
      <c r="E829" s="242"/>
      <c r="F829" s="242"/>
      <c r="G829" s="242"/>
      <c r="H829" s="242"/>
      <c r="I829" s="242"/>
      <c r="J829" s="242"/>
      <c r="K829" s="242"/>
      <c r="L829" s="242"/>
      <c r="M829" s="242"/>
      <c r="N829" s="242"/>
      <c r="O829" s="242"/>
      <c r="P829" s="13"/>
      <c r="Q829" s="13"/>
      <c r="R829" s="13"/>
      <c r="S829" s="13"/>
      <c r="T829" s="13"/>
      <c r="U829" s="13"/>
      <c r="V829" s="13"/>
      <c r="W829" s="13"/>
      <c r="X829" s="13"/>
      <c r="Y829" s="13"/>
      <c r="Z829" s="13"/>
      <c r="AA829" s="13"/>
      <c r="AB829" s="13"/>
      <c r="AC829" s="13"/>
      <c r="AD829" s="13"/>
      <c r="AE829" s="13"/>
      <c r="AF829" s="242"/>
      <c r="AG829" s="242"/>
      <c r="AH829" s="242"/>
      <c r="AI829" s="242"/>
      <c r="AJ829" s="242"/>
      <c r="AK829" s="242"/>
      <c r="AL829" s="242"/>
      <c r="AM829" s="242"/>
      <c r="AN829" s="242"/>
      <c r="AO829" s="242"/>
      <c r="AP829" s="242"/>
    </row>
    <row r="830">
      <c r="A830" s="242"/>
      <c r="B830" s="242"/>
      <c r="C830" s="242"/>
      <c r="D830" s="242"/>
      <c r="E830" s="242"/>
      <c r="F830" s="242"/>
      <c r="G830" s="242"/>
      <c r="H830" s="242"/>
      <c r="I830" s="242"/>
      <c r="J830" s="242"/>
      <c r="K830" s="242"/>
      <c r="L830" s="242"/>
      <c r="M830" s="242"/>
      <c r="N830" s="242"/>
      <c r="O830" s="242"/>
      <c r="P830" s="13"/>
      <c r="Q830" s="13"/>
      <c r="R830" s="13"/>
      <c r="S830" s="13"/>
      <c r="T830" s="13"/>
      <c r="U830" s="13"/>
      <c r="V830" s="13"/>
      <c r="W830" s="13"/>
      <c r="X830" s="13"/>
      <c r="Y830" s="13"/>
      <c r="Z830" s="13"/>
      <c r="AA830" s="13"/>
      <c r="AB830" s="13"/>
      <c r="AC830" s="13"/>
      <c r="AD830" s="13"/>
      <c r="AE830" s="13"/>
      <c r="AF830" s="242"/>
      <c r="AG830" s="242"/>
      <c r="AH830" s="242"/>
      <c r="AI830" s="242"/>
      <c r="AJ830" s="242"/>
      <c r="AK830" s="242"/>
      <c r="AL830" s="242"/>
      <c r="AM830" s="242"/>
      <c r="AN830" s="242"/>
      <c r="AO830" s="242"/>
      <c r="AP830" s="242"/>
    </row>
    <row r="831">
      <c r="A831" s="242"/>
      <c r="B831" s="242"/>
      <c r="C831" s="242"/>
      <c r="D831" s="242"/>
      <c r="E831" s="242"/>
      <c r="F831" s="242"/>
      <c r="G831" s="242"/>
      <c r="H831" s="242"/>
      <c r="I831" s="242"/>
      <c r="J831" s="242"/>
      <c r="K831" s="242"/>
      <c r="L831" s="242"/>
      <c r="M831" s="242"/>
      <c r="N831" s="242"/>
      <c r="O831" s="242"/>
      <c r="P831" s="13"/>
      <c r="Q831" s="13"/>
      <c r="R831" s="13"/>
      <c r="S831" s="13"/>
      <c r="T831" s="13"/>
      <c r="U831" s="13"/>
      <c r="V831" s="13"/>
      <c r="W831" s="13"/>
      <c r="X831" s="13"/>
      <c r="Y831" s="13"/>
      <c r="Z831" s="13"/>
      <c r="AA831" s="13"/>
      <c r="AB831" s="13"/>
      <c r="AC831" s="13"/>
      <c r="AD831" s="13"/>
      <c r="AE831" s="13"/>
      <c r="AF831" s="242"/>
      <c r="AG831" s="242"/>
      <c r="AH831" s="242"/>
      <c r="AI831" s="242"/>
      <c r="AJ831" s="242"/>
      <c r="AK831" s="242"/>
      <c r="AL831" s="242"/>
      <c r="AM831" s="242"/>
      <c r="AN831" s="242"/>
      <c r="AO831" s="242"/>
      <c r="AP831" s="242"/>
    </row>
    <row r="832">
      <c r="A832" s="242"/>
      <c r="B832" s="242"/>
      <c r="C832" s="242"/>
      <c r="D832" s="242"/>
      <c r="E832" s="242"/>
      <c r="F832" s="242"/>
      <c r="G832" s="242"/>
      <c r="H832" s="242"/>
      <c r="I832" s="242"/>
      <c r="J832" s="242"/>
      <c r="K832" s="242"/>
      <c r="L832" s="242"/>
      <c r="M832" s="242"/>
      <c r="N832" s="242"/>
      <c r="O832" s="242"/>
      <c r="P832" s="13"/>
      <c r="Q832" s="13"/>
      <c r="R832" s="13"/>
      <c r="S832" s="13"/>
      <c r="T832" s="13"/>
      <c r="U832" s="13"/>
      <c r="V832" s="13"/>
      <c r="W832" s="13"/>
      <c r="X832" s="13"/>
      <c r="Y832" s="13"/>
      <c r="Z832" s="13"/>
      <c r="AA832" s="13"/>
      <c r="AB832" s="13"/>
      <c r="AC832" s="13"/>
      <c r="AD832" s="13"/>
      <c r="AE832" s="13"/>
      <c r="AF832" s="242"/>
      <c r="AG832" s="242"/>
      <c r="AH832" s="242"/>
      <c r="AI832" s="242"/>
      <c r="AJ832" s="242"/>
      <c r="AK832" s="242"/>
      <c r="AL832" s="242"/>
      <c r="AM832" s="242"/>
      <c r="AN832" s="242"/>
      <c r="AO832" s="242"/>
      <c r="AP832" s="242"/>
    </row>
    <row r="833">
      <c r="A833" s="242"/>
      <c r="B833" s="242"/>
      <c r="C833" s="242"/>
      <c r="D833" s="242"/>
      <c r="E833" s="242"/>
      <c r="F833" s="242"/>
      <c r="G833" s="242"/>
      <c r="H833" s="242"/>
      <c r="I833" s="242"/>
      <c r="J833" s="242"/>
      <c r="K833" s="242"/>
      <c r="L833" s="242"/>
      <c r="M833" s="242"/>
      <c r="N833" s="242"/>
      <c r="O833" s="242"/>
      <c r="P833" s="13"/>
      <c r="Q833" s="13"/>
      <c r="R833" s="13"/>
      <c r="S833" s="13"/>
      <c r="T833" s="13"/>
      <c r="U833" s="13"/>
      <c r="V833" s="13"/>
      <c r="W833" s="13"/>
      <c r="X833" s="13"/>
      <c r="Y833" s="13"/>
      <c r="Z833" s="13"/>
      <c r="AA833" s="13"/>
      <c r="AB833" s="13"/>
      <c r="AC833" s="13"/>
      <c r="AD833" s="13"/>
      <c r="AE833" s="13"/>
      <c r="AF833" s="242"/>
      <c r="AG833" s="242"/>
      <c r="AH833" s="242"/>
      <c r="AI833" s="242"/>
      <c r="AJ833" s="242"/>
      <c r="AK833" s="242"/>
      <c r="AL833" s="242"/>
      <c r="AM833" s="242"/>
      <c r="AN833" s="242"/>
      <c r="AO833" s="242"/>
      <c r="AP833" s="242"/>
    </row>
    <row r="834">
      <c r="A834" s="242"/>
      <c r="B834" s="242"/>
      <c r="C834" s="242"/>
      <c r="D834" s="242"/>
      <c r="E834" s="242"/>
      <c r="F834" s="242"/>
      <c r="G834" s="242"/>
      <c r="H834" s="242"/>
      <c r="I834" s="242"/>
      <c r="J834" s="242"/>
      <c r="K834" s="242"/>
      <c r="L834" s="242"/>
      <c r="M834" s="242"/>
      <c r="N834" s="242"/>
      <c r="O834" s="242"/>
      <c r="P834" s="13"/>
      <c r="Q834" s="13"/>
      <c r="R834" s="13"/>
      <c r="S834" s="13"/>
      <c r="T834" s="13"/>
      <c r="U834" s="13"/>
      <c r="V834" s="13"/>
      <c r="W834" s="13"/>
      <c r="X834" s="13"/>
      <c r="Y834" s="13"/>
      <c r="Z834" s="13"/>
      <c r="AA834" s="13"/>
      <c r="AB834" s="13"/>
      <c r="AC834" s="13"/>
      <c r="AD834" s="13"/>
      <c r="AE834" s="13"/>
      <c r="AF834" s="242"/>
      <c r="AG834" s="242"/>
      <c r="AH834" s="242"/>
      <c r="AI834" s="242"/>
      <c r="AJ834" s="242"/>
      <c r="AK834" s="242"/>
      <c r="AL834" s="242"/>
      <c r="AM834" s="242"/>
      <c r="AN834" s="242"/>
      <c r="AO834" s="242"/>
      <c r="AP834" s="242"/>
    </row>
    <row r="835">
      <c r="A835" s="242"/>
      <c r="B835" s="242"/>
      <c r="C835" s="242"/>
      <c r="D835" s="242"/>
      <c r="E835" s="242"/>
      <c r="F835" s="242"/>
      <c r="G835" s="242"/>
      <c r="H835" s="242"/>
      <c r="I835" s="242"/>
      <c r="J835" s="242"/>
      <c r="K835" s="242"/>
      <c r="L835" s="242"/>
      <c r="M835" s="242"/>
      <c r="N835" s="242"/>
      <c r="O835" s="242"/>
      <c r="P835" s="13"/>
      <c r="Q835" s="13"/>
      <c r="R835" s="13"/>
      <c r="S835" s="13"/>
      <c r="T835" s="13"/>
      <c r="U835" s="13"/>
      <c r="V835" s="13"/>
      <c r="W835" s="13"/>
      <c r="X835" s="13"/>
      <c r="Y835" s="13"/>
      <c r="Z835" s="13"/>
      <c r="AA835" s="13"/>
      <c r="AB835" s="13"/>
      <c r="AC835" s="13"/>
      <c r="AD835" s="13"/>
      <c r="AE835" s="13"/>
      <c r="AF835" s="242"/>
      <c r="AG835" s="242"/>
      <c r="AH835" s="242"/>
      <c r="AI835" s="242"/>
      <c r="AJ835" s="242"/>
      <c r="AK835" s="242"/>
      <c r="AL835" s="242"/>
      <c r="AM835" s="242"/>
      <c r="AN835" s="242"/>
      <c r="AO835" s="242"/>
      <c r="AP835" s="242"/>
    </row>
    <row r="836">
      <c r="A836" s="242"/>
      <c r="B836" s="242"/>
      <c r="C836" s="242"/>
      <c r="D836" s="242"/>
      <c r="E836" s="242"/>
      <c r="F836" s="242"/>
      <c r="G836" s="242"/>
      <c r="H836" s="242"/>
      <c r="I836" s="242"/>
      <c r="J836" s="242"/>
      <c r="K836" s="242"/>
      <c r="L836" s="242"/>
      <c r="M836" s="242"/>
      <c r="N836" s="242"/>
      <c r="O836" s="242"/>
      <c r="P836" s="13"/>
      <c r="Q836" s="13"/>
      <c r="R836" s="13"/>
      <c r="S836" s="13"/>
      <c r="T836" s="13"/>
      <c r="U836" s="13"/>
      <c r="V836" s="13"/>
      <c r="W836" s="13"/>
      <c r="X836" s="13"/>
      <c r="Y836" s="13"/>
      <c r="Z836" s="13"/>
      <c r="AA836" s="13"/>
      <c r="AB836" s="13"/>
      <c r="AC836" s="13"/>
      <c r="AD836" s="13"/>
      <c r="AE836" s="13"/>
      <c r="AF836" s="242"/>
      <c r="AG836" s="242"/>
      <c r="AH836" s="242"/>
      <c r="AI836" s="242"/>
      <c r="AJ836" s="242"/>
      <c r="AK836" s="242"/>
      <c r="AL836" s="242"/>
      <c r="AM836" s="242"/>
      <c r="AN836" s="242"/>
      <c r="AO836" s="242"/>
      <c r="AP836" s="242"/>
    </row>
    <row r="837">
      <c r="A837" s="242"/>
      <c r="B837" s="242"/>
      <c r="C837" s="242"/>
      <c r="D837" s="242"/>
      <c r="E837" s="242"/>
      <c r="F837" s="242"/>
      <c r="G837" s="242"/>
      <c r="H837" s="242"/>
      <c r="I837" s="242"/>
      <c r="J837" s="242"/>
      <c r="K837" s="242"/>
      <c r="L837" s="242"/>
      <c r="M837" s="242"/>
      <c r="N837" s="242"/>
      <c r="O837" s="242"/>
      <c r="P837" s="13"/>
      <c r="Q837" s="13"/>
      <c r="R837" s="13"/>
      <c r="S837" s="13"/>
      <c r="T837" s="13"/>
      <c r="U837" s="13"/>
      <c r="V837" s="13"/>
      <c r="W837" s="13"/>
      <c r="X837" s="13"/>
      <c r="Y837" s="13"/>
      <c r="Z837" s="13"/>
      <c r="AA837" s="13"/>
      <c r="AB837" s="13"/>
      <c r="AC837" s="13"/>
      <c r="AD837" s="13"/>
      <c r="AE837" s="13"/>
      <c r="AF837" s="242"/>
      <c r="AG837" s="242"/>
      <c r="AH837" s="242"/>
      <c r="AI837" s="242"/>
      <c r="AJ837" s="242"/>
      <c r="AK837" s="242"/>
      <c r="AL837" s="242"/>
      <c r="AM837" s="242"/>
      <c r="AN837" s="242"/>
      <c r="AO837" s="242"/>
      <c r="AP837" s="242"/>
    </row>
    <row r="838">
      <c r="A838" s="242"/>
      <c r="B838" s="242"/>
      <c r="C838" s="242"/>
      <c r="D838" s="242"/>
      <c r="E838" s="242"/>
      <c r="F838" s="242"/>
      <c r="G838" s="242"/>
      <c r="H838" s="242"/>
      <c r="I838" s="242"/>
      <c r="J838" s="242"/>
      <c r="K838" s="242"/>
      <c r="L838" s="242"/>
      <c r="M838" s="242"/>
      <c r="N838" s="242"/>
      <c r="O838" s="242"/>
      <c r="P838" s="13"/>
      <c r="Q838" s="13"/>
      <c r="R838" s="13"/>
      <c r="S838" s="13"/>
      <c r="T838" s="13"/>
      <c r="U838" s="13"/>
      <c r="V838" s="13"/>
      <c r="W838" s="13"/>
      <c r="X838" s="13"/>
      <c r="Y838" s="13"/>
      <c r="Z838" s="13"/>
      <c r="AA838" s="13"/>
      <c r="AB838" s="13"/>
      <c r="AC838" s="13"/>
      <c r="AD838" s="13"/>
      <c r="AE838" s="13"/>
      <c r="AF838" s="242"/>
      <c r="AG838" s="242"/>
      <c r="AH838" s="242"/>
      <c r="AI838" s="242"/>
      <c r="AJ838" s="242"/>
      <c r="AK838" s="242"/>
      <c r="AL838" s="242"/>
      <c r="AM838" s="242"/>
      <c r="AN838" s="242"/>
      <c r="AO838" s="242"/>
      <c r="AP838" s="242"/>
    </row>
    <row r="839">
      <c r="A839" s="242"/>
      <c r="B839" s="242"/>
      <c r="C839" s="242"/>
      <c r="D839" s="242"/>
      <c r="E839" s="242"/>
      <c r="F839" s="242"/>
      <c r="G839" s="242"/>
      <c r="H839" s="242"/>
      <c r="I839" s="242"/>
      <c r="J839" s="242"/>
      <c r="K839" s="242"/>
      <c r="L839" s="242"/>
      <c r="M839" s="242"/>
      <c r="N839" s="242"/>
      <c r="O839" s="242"/>
      <c r="P839" s="13"/>
      <c r="Q839" s="13"/>
      <c r="R839" s="13"/>
      <c r="S839" s="13"/>
      <c r="T839" s="13"/>
      <c r="U839" s="13"/>
      <c r="V839" s="13"/>
      <c r="W839" s="13"/>
      <c r="X839" s="13"/>
      <c r="Y839" s="13"/>
      <c r="Z839" s="13"/>
      <c r="AA839" s="13"/>
      <c r="AB839" s="13"/>
      <c r="AC839" s="13"/>
      <c r="AD839" s="13"/>
      <c r="AE839" s="13"/>
      <c r="AF839" s="242"/>
      <c r="AG839" s="242"/>
      <c r="AH839" s="242"/>
      <c r="AI839" s="242"/>
      <c r="AJ839" s="242"/>
      <c r="AK839" s="242"/>
      <c r="AL839" s="242"/>
      <c r="AM839" s="242"/>
      <c r="AN839" s="242"/>
      <c r="AO839" s="242"/>
      <c r="AP839" s="242"/>
    </row>
    <row r="840">
      <c r="A840" s="242"/>
      <c r="B840" s="242"/>
      <c r="C840" s="242"/>
      <c r="D840" s="242"/>
      <c r="E840" s="242"/>
      <c r="F840" s="242"/>
      <c r="G840" s="242"/>
      <c r="H840" s="242"/>
      <c r="I840" s="242"/>
      <c r="J840" s="242"/>
      <c r="K840" s="242"/>
      <c r="L840" s="242"/>
      <c r="M840" s="242"/>
      <c r="N840" s="242"/>
      <c r="O840" s="242"/>
      <c r="P840" s="13"/>
      <c r="Q840" s="13"/>
      <c r="R840" s="13"/>
      <c r="S840" s="13"/>
      <c r="T840" s="13"/>
      <c r="U840" s="13"/>
      <c r="V840" s="13"/>
      <c r="W840" s="13"/>
      <c r="X840" s="13"/>
      <c r="Y840" s="13"/>
      <c r="Z840" s="13"/>
      <c r="AA840" s="13"/>
      <c r="AB840" s="13"/>
      <c r="AC840" s="13"/>
      <c r="AD840" s="13"/>
      <c r="AE840" s="13"/>
      <c r="AF840" s="242"/>
      <c r="AG840" s="242"/>
      <c r="AH840" s="242"/>
      <c r="AI840" s="242"/>
      <c r="AJ840" s="242"/>
      <c r="AK840" s="242"/>
      <c r="AL840" s="242"/>
      <c r="AM840" s="242"/>
      <c r="AN840" s="242"/>
      <c r="AO840" s="242"/>
      <c r="AP840" s="242"/>
    </row>
    <row r="841">
      <c r="A841" s="242"/>
      <c r="B841" s="242"/>
      <c r="C841" s="242"/>
      <c r="D841" s="242"/>
      <c r="E841" s="242"/>
      <c r="F841" s="242"/>
      <c r="G841" s="242"/>
      <c r="H841" s="242"/>
      <c r="I841" s="242"/>
      <c r="J841" s="242"/>
      <c r="K841" s="242"/>
      <c r="L841" s="242"/>
      <c r="M841" s="242"/>
      <c r="N841" s="242"/>
      <c r="O841" s="242"/>
      <c r="P841" s="13"/>
      <c r="Q841" s="13"/>
      <c r="R841" s="13"/>
      <c r="S841" s="13"/>
      <c r="T841" s="13"/>
      <c r="U841" s="13"/>
      <c r="V841" s="13"/>
      <c r="W841" s="13"/>
      <c r="X841" s="13"/>
      <c r="Y841" s="13"/>
      <c r="Z841" s="13"/>
      <c r="AA841" s="13"/>
      <c r="AB841" s="13"/>
      <c r="AC841" s="13"/>
      <c r="AD841" s="13"/>
      <c r="AE841" s="13"/>
      <c r="AF841" s="242"/>
      <c r="AG841" s="242"/>
      <c r="AH841" s="242"/>
      <c r="AI841" s="242"/>
      <c r="AJ841" s="242"/>
      <c r="AK841" s="242"/>
      <c r="AL841" s="242"/>
      <c r="AM841" s="242"/>
      <c r="AN841" s="242"/>
      <c r="AO841" s="242"/>
      <c r="AP841" s="242"/>
    </row>
    <row r="842">
      <c r="A842" s="242"/>
      <c r="B842" s="242"/>
      <c r="C842" s="242"/>
      <c r="D842" s="242"/>
      <c r="E842" s="242"/>
      <c r="F842" s="242"/>
      <c r="G842" s="242"/>
      <c r="H842" s="242"/>
      <c r="I842" s="242"/>
      <c r="J842" s="242"/>
      <c r="K842" s="242"/>
      <c r="L842" s="242"/>
      <c r="M842" s="242"/>
      <c r="N842" s="242"/>
      <c r="O842" s="242"/>
      <c r="P842" s="13"/>
      <c r="Q842" s="13"/>
      <c r="R842" s="13"/>
      <c r="S842" s="13"/>
      <c r="T842" s="13"/>
      <c r="U842" s="13"/>
      <c r="V842" s="13"/>
      <c r="W842" s="13"/>
      <c r="X842" s="13"/>
      <c r="Y842" s="13"/>
      <c r="Z842" s="13"/>
      <c r="AA842" s="13"/>
      <c r="AB842" s="13"/>
      <c r="AC842" s="13"/>
      <c r="AD842" s="13"/>
      <c r="AE842" s="13"/>
      <c r="AF842" s="242"/>
      <c r="AG842" s="242"/>
      <c r="AH842" s="242"/>
      <c r="AI842" s="242"/>
      <c r="AJ842" s="242"/>
      <c r="AK842" s="242"/>
      <c r="AL842" s="242"/>
      <c r="AM842" s="242"/>
      <c r="AN842" s="242"/>
      <c r="AO842" s="242"/>
      <c r="AP842" s="242"/>
    </row>
    <row r="843">
      <c r="A843" s="242"/>
      <c r="B843" s="242"/>
      <c r="C843" s="242"/>
      <c r="D843" s="242"/>
      <c r="E843" s="242"/>
      <c r="F843" s="242"/>
      <c r="G843" s="242"/>
      <c r="H843" s="242"/>
      <c r="I843" s="242"/>
      <c r="J843" s="242"/>
      <c r="K843" s="242"/>
      <c r="L843" s="242"/>
      <c r="M843" s="242"/>
      <c r="N843" s="242"/>
      <c r="O843" s="242"/>
      <c r="P843" s="13"/>
      <c r="Q843" s="13"/>
      <c r="R843" s="13"/>
      <c r="S843" s="13"/>
      <c r="T843" s="13"/>
      <c r="U843" s="13"/>
      <c r="V843" s="13"/>
      <c r="W843" s="13"/>
      <c r="X843" s="13"/>
      <c r="Y843" s="13"/>
      <c r="Z843" s="13"/>
      <c r="AA843" s="13"/>
      <c r="AB843" s="13"/>
      <c r="AC843" s="13"/>
      <c r="AD843" s="13"/>
      <c r="AE843" s="13"/>
      <c r="AF843" s="242"/>
      <c r="AG843" s="242"/>
      <c r="AH843" s="242"/>
      <c r="AI843" s="242"/>
      <c r="AJ843" s="242"/>
      <c r="AK843" s="242"/>
      <c r="AL843" s="242"/>
      <c r="AM843" s="242"/>
      <c r="AN843" s="242"/>
      <c r="AO843" s="242"/>
      <c r="AP843" s="242"/>
    </row>
    <row r="844">
      <c r="A844" s="242"/>
      <c r="B844" s="242"/>
      <c r="C844" s="242"/>
      <c r="D844" s="242"/>
      <c r="E844" s="242"/>
      <c r="F844" s="242"/>
      <c r="G844" s="242"/>
      <c r="H844" s="242"/>
      <c r="I844" s="242"/>
      <c r="J844" s="242"/>
      <c r="K844" s="242"/>
      <c r="L844" s="242"/>
      <c r="M844" s="242"/>
      <c r="N844" s="242"/>
      <c r="O844" s="242"/>
      <c r="P844" s="13"/>
      <c r="Q844" s="13"/>
      <c r="R844" s="13"/>
      <c r="S844" s="13"/>
      <c r="T844" s="13"/>
      <c r="U844" s="13"/>
      <c r="V844" s="13"/>
      <c r="W844" s="13"/>
      <c r="X844" s="13"/>
      <c r="Y844" s="13"/>
      <c r="Z844" s="13"/>
      <c r="AA844" s="13"/>
      <c r="AB844" s="13"/>
      <c r="AC844" s="13"/>
      <c r="AD844" s="13"/>
      <c r="AE844" s="13"/>
      <c r="AF844" s="242"/>
      <c r="AG844" s="242"/>
      <c r="AH844" s="242"/>
      <c r="AI844" s="242"/>
      <c r="AJ844" s="242"/>
      <c r="AK844" s="242"/>
      <c r="AL844" s="242"/>
      <c r="AM844" s="242"/>
      <c r="AN844" s="242"/>
      <c r="AO844" s="242"/>
      <c r="AP844" s="242"/>
    </row>
    <row r="845">
      <c r="A845" s="242"/>
      <c r="B845" s="242"/>
      <c r="C845" s="242"/>
      <c r="D845" s="242"/>
      <c r="E845" s="242"/>
      <c r="F845" s="242"/>
      <c r="G845" s="242"/>
      <c r="H845" s="242"/>
      <c r="I845" s="242"/>
      <c r="J845" s="242"/>
      <c r="K845" s="242"/>
      <c r="L845" s="242"/>
      <c r="M845" s="242"/>
      <c r="N845" s="242"/>
      <c r="O845" s="242"/>
      <c r="P845" s="13"/>
      <c r="Q845" s="13"/>
      <c r="R845" s="13"/>
      <c r="S845" s="13"/>
      <c r="T845" s="13"/>
      <c r="U845" s="13"/>
      <c r="V845" s="13"/>
      <c r="W845" s="13"/>
      <c r="X845" s="13"/>
      <c r="Y845" s="13"/>
      <c r="Z845" s="13"/>
      <c r="AA845" s="13"/>
      <c r="AB845" s="13"/>
      <c r="AC845" s="13"/>
      <c r="AD845" s="13"/>
      <c r="AE845" s="13"/>
      <c r="AF845" s="242"/>
      <c r="AG845" s="242"/>
      <c r="AH845" s="242"/>
      <c r="AI845" s="242"/>
      <c r="AJ845" s="242"/>
      <c r="AK845" s="242"/>
      <c r="AL845" s="242"/>
      <c r="AM845" s="242"/>
      <c r="AN845" s="242"/>
      <c r="AO845" s="242"/>
      <c r="AP845" s="242"/>
    </row>
    <row r="846">
      <c r="A846" s="242"/>
      <c r="B846" s="242"/>
      <c r="C846" s="242"/>
      <c r="D846" s="242"/>
      <c r="E846" s="242"/>
      <c r="F846" s="242"/>
      <c r="G846" s="242"/>
      <c r="H846" s="242"/>
      <c r="I846" s="242"/>
      <c r="J846" s="242"/>
      <c r="K846" s="242"/>
      <c r="L846" s="242"/>
      <c r="M846" s="242"/>
      <c r="N846" s="242"/>
      <c r="O846" s="242"/>
      <c r="P846" s="13"/>
      <c r="Q846" s="13"/>
      <c r="R846" s="13"/>
      <c r="S846" s="13"/>
      <c r="T846" s="13"/>
      <c r="U846" s="13"/>
      <c r="V846" s="13"/>
      <c r="W846" s="13"/>
      <c r="X846" s="13"/>
      <c r="Y846" s="13"/>
      <c r="Z846" s="13"/>
      <c r="AA846" s="13"/>
      <c r="AB846" s="13"/>
      <c r="AC846" s="13"/>
      <c r="AD846" s="13"/>
      <c r="AE846" s="13"/>
      <c r="AF846" s="242"/>
      <c r="AG846" s="242"/>
      <c r="AH846" s="242"/>
      <c r="AI846" s="242"/>
      <c r="AJ846" s="242"/>
      <c r="AK846" s="242"/>
      <c r="AL846" s="242"/>
      <c r="AM846" s="242"/>
      <c r="AN846" s="242"/>
      <c r="AO846" s="242"/>
      <c r="AP846" s="242"/>
    </row>
    <row r="847">
      <c r="A847" s="242"/>
      <c r="B847" s="242"/>
      <c r="C847" s="242"/>
      <c r="D847" s="242"/>
      <c r="E847" s="242"/>
      <c r="F847" s="242"/>
      <c r="G847" s="242"/>
      <c r="H847" s="242"/>
      <c r="I847" s="242"/>
      <c r="J847" s="242"/>
      <c r="K847" s="242"/>
      <c r="L847" s="242"/>
      <c r="M847" s="242"/>
      <c r="N847" s="242"/>
      <c r="O847" s="242"/>
      <c r="P847" s="13"/>
      <c r="Q847" s="13"/>
      <c r="R847" s="13"/>
      <c r="S847" s="13"/>
      <c r="T847" s="13"/>
      <c r="U847" s="13"/>
      <c r="V847" s="13"/>
      <c r="W847" s="13"/>
      <c r="X847" s="13"/>
      <c r="Y847" s="13"/>
      <c r="Z847" s="13"/>
      <c r="AA847" s="13"/>
      <c r="AB847" s="13"/>
      <c r="AC847" s="13"/>
      <c r="AD847" s="13"/>
      <c r="AE847" s="13"/>
      <c r="AF847" s="242"/>
      <c r="AG847" s="242"/>
      <c r="AH847" s="242"/>
      <c r="AI847" s="242"/>
      <c r="AJ847" s="242"/>
      <c r="AK847" s="242"/>
      <c r="AL847" s="242"/>
      <c r="AM847" s="242"/>
      <c r="AN847" s="242"/>
      <c r="AO847" s="242"/>
      <c r="AP847" s="242"/>
    </row>
    <row r="848">
      <c r="A848" s="242"/>
      <c r="B848" s="242"/>
      <c r="C848" s="242"/>
      <c r="D848" s="242"/>
      <c r="E848" s="242"/>
      <c r="F848" s="242"/>
      <c r="G848" s="242"/>
      <c r="H848" s="242"/>
      <c r="I848" s="242"/>
      <c r="J848" s="242"/>
      <c r="K848" s="242"/>
      <c r="L848" s="242"/>
      <c r="M848" s="242"/>
      <c r="N848" s="242"/>
      <c r="O848" s="242"/>
      <c r="P848" s="13"/>
      <c r="Q848" s="13"/>
      <c r="R848" s="13"/>
      <c r="S848" s="13"/>
      <c r="T848" s="13"/>
      <c r="U848" s="13"/>
      <c r="V848" s="13"/>
      <c r="W848" s="13"/>
      <c r="X848" s="13"/>
      <c r="Y848" s="13"/>
      <c r="Z848" s="13"/>
      <c r="AA848" s="13"/>
      <c r="AB848" s="13"/>
      <c r="AC848" s="13"/>
      <c r="AD848" s="13"/>
      <c r="AE848" s="13"/>
      <c r="AF848" s="242"/>
      <c r="AG848" s="242"/>
      <c r="AH848" s="242"/>
      <c r="AI848" s="242"/>
      <c r="AJ848" s="242"/>
      <c r="AK848" s="242"/>
      <c r="AL848" s="242"/>
      <c r="AM848" s="242"/>
      <c r="AN848" s="242"/>
      <c r="AO848" s="242"/>
      <c r="AP848" s="242"/>
    </row>
    <row r="849">
      <c r="A849" s="242"/>
      <c r="B849" s="242"/>
      <c r="C849" s="242"/>
      <c r="D849" s="242"/>
      <c r="E849" s="242"/>
      <c r="F849" s="242"/>
      <c r="G849" s="242"/>
      <c r="H849" s="242"/>
      <c r="I849" s="242"/>
      <c r="J849" s="242"/>
      <c r="K849" s="242"/>
      <c r="L849" s="242"/>
      <c r="M849" s="242"/>
      <c r="N849" s="242"/>
      <c r="O849" s="242"/>
      <c r="P849" s="13"/>
      <c r="Q849" s="13"/>
      <c r="R849" s="13"/>
      <c r="S849" s="13"/>
      <c r="T849" s="13"/>
      <c r="U849" s="13"/>
      <c r="V849" s="13"/>
      <c r="W849" s="13"/>
      <c r="X849" s="13"/>
      <c r="Y849" s="13"/>
      <c r="Z849" s="13"/>
      <c r="AA849" s="13"/>
      <c r="AB849" s="13"/>
      <c r="AC849" s="13"/>
      <c r="AD849" s="13"/>
      <c r="AE849" s="13"/>
      <c r="AF849" s="242"/>
      <c r="AG849" s="242"/>
      <c r="AH849" s="242"/>
      <c r="AI849" s="242"/>
      <c r="AJ849" s="242"/>
      <c r="AK849" s="242"/>
      <c r="AL849" s="242"/>
      <c r="AM849" s="242"/>
      <c r="AN849" s="242"/>
      <c r="AO849" s="242"/>
      <c r="AP849" s="242"/>
    </row>
    <row r="850">
      <c r="A850" s="242"/>
      <c r="B850" s="242"/>
      <c r="C850" s="242"/>
      <c r="D850" s="242"/>
      <c r="E850" s="242"/>
      <c r="F850" s="242"/>
      <c r="G850" s="242"/>
      <c r="H850" s="242"/>
      <c r="I850" s="242"/>
      <c r="J850" s="242"/>
      <c r="K850" s="242"/>
      <c r="L850" s="242"/>
      <c r="M850" s="242"/>
      <c r="N850" s="242"/>
      <c r="O850" s="242"/>
      <c r="P850" s="13"/>
      <c r="Q850" s="13"/>
      <c r="R850" s="13"/>
      <c r="S850" s="13"/>
      <c r="T850" s="13"/>
      <c r="U850" s="13"/>
      <c r="V850" s="13"/>
      <c r="W850" s="13"/>
      <c r="X850" s="13"/>
      <c r="Y850" s="13"/>
      <c r="Z850" s="13"/>
      <c r="AA850" s="13"/>
      <c r="AB850" s="13"/>
      <c r="AC850" s="13"/>
      <c r="AD850" s="13"/>
      <c r="AE850" s="13"/>
      <c r="AF850" s="242"/>
      <c r="AG850" s="242"/>
      <c r="AH850" s="242"/>
      <c r="AI850" s="242"/>
      <c r="AJ850" s="242"/>
      <c r="AK850" s="242"/>
      <c r="AL850" s="242"/>
      <c r="AM850" s="242"/>
      <c r="AN850" s="242"/>
      <c r="AO850" s="242"/>
      <c r="AP850" s="242"/>
    </row>
    <row r="851">
      <c r="A851" s="242"/>
      <c r="B851" s="242"/>
      <c r="C851" s="242"/>
      <c r="D851" s="242"/>
      <c r="E851" s="242"/>
      <c r="F851" s="242"/>
      <c r="G851" s="242"/>
      <c r="H851" s="242"/>
      <c r="I851" s="242"/>
      <c r="J851" s="242"/>
      <c r="K851" s="242"/>
      <c r="L851" s="242"/>
      <c r="M851" s="242"/>
      <c r="N851" s="242"/>
      <c r="O851" s="242"/>
      <c r="P851" s="13"/>
      <c r="Q851" s="13"/>
      <c r="R851" s="13"/>
      <c r="S851" s="13"/>
      <c r="T851" s="13"/>
      <c r="U851" s="13"/>
      <c r="V851" s="13"/>
      <c r="W851" s="13"/>
      <c r="X851" s="13"/>
      <c r="Y851" s="13"/>
      <c r="Z851" s="13"/>
      <c r="AA851" s="13"/>
      <c r="AB851" s="13"/>
      <c r="AC851" s="13"/>
      <c r="AD851" s="13"/>
      <c r="AE851" s="13"/>
      <c r="AF851" s="242"/>
      <c r="AG851" s="242"/>
      <c r="AH851" s="242"/>
      <c r="AI851" s="242"/>
      <c r="AJ851" s="242"/>
      <c r="AK851" s="242"/>
      <c r="AL851" s="242"/>
      <c r="AM851" s="242"/>
      <c r="AN851" s="242"/>
      <c r="AO851" s="242"/>
      <c r="AP851" s="242"/>
    </row>
    <row r="852">
      <c r="A852" s="242"/>
      <c r="B852" s="242"/>
      <c r="C852" s="242"/>
      <c r="D852" s="242"/>
      <c r="E852" s="242"/>
      <c r="F852" s="242"/>
      <c r="G852" s="242"/>
      <c r="H852" s="242"/>
      <c r="I852" s="242"/>
      <c r="J852" s="242"/>
      <c r="K852" s="242"/>
      <c r="L852" s="242"/>
      <c r="M852" s="242"/>
      <c r="N852" s="242"/>
      <c r="O852" s="242"/>
      <c r="P852" s="13"/>
      <c r="Q852" s="13"/>
      <c r="R852" s="13"/>
      <c r="S852" s="13"/>
      <c r="T852" s="13"/>
      <c r="U852" s="13"/>
      <c r="V852" s="13"/>
      <c r="W852" s="13"/>
      <c r="X852" s="13"/>
      <c r="Y852" s="13"/>
      <c r="Z852" s="13"/>
      <c r="AA852" s="13"/>
      <c r="AB852" s="13"/>
      <c r="AC852" s="13"/>
      <c r="AD852" s="13"/>
      <c r="AE852" s="13"/>
      <c r="AF852" s="242"/>
      <c r="AG852" s="242"/>
      <c r="AH852" s="242"/>
      <c r="AI852" s="242"/>
      <c r="AJ852" s="242"/>
      <c r="AK852" s="242"/>
      <c r="AL852" s="242"/>
      <c r="AM852" s="242"/>
      <c r="AN852" s="242"/>
      <c r="AO852" s="242"/>
      <c r="AP852" s="242"/>
    </row>
    <row r="853">
      <c r="A853" s="242"/>
      <c r="B853" s="242"/>
      <c r="C853" s="242"/>
      <c r="D853" s="242"/>
      <c r="E853" s="242"/>
      <c r="F853" s="242"/>
      <c r="G853" s="242"/>
      <c r="H853" s="242"/>
      <c r="I853" s="242"/>
      <c r="J853" s="242"/>
      <c r="K853" s="242"/>
      <c r="L853" s="242"/>
      <c r="M853" s="242"/>
      <c r="N853" s="242"/>
      <c r="O853" s="242"/>
      <c r="P853" s="13"/>
      <c r="Q853" s="13"/>
      <c r="R853" s="13"/>
      <c r="S853" s="13"/>
      <c r="T853" s="13"/>
      <c r="U853" s="13"/>
      <c r="V853" s="13"/>
      <c r="W853" s="13"/>
      <c r="X853" s="13"/>
      <c r="Y853" s="13"/>
      <c r="Z853" s="13"/>
      <c r="AA853" s="13"/>
      <c r="AB853" s="13"/>
      <c r="AC853" s="13"/>
      <c r="AD853" s="13"/>
      <c r="AE853" s="13"/>
      <c r="AF853" s="242"/>
      <c r="AG853" s="242"/>
      <c r="AH853" s="242"/>
      <c r="AI853" s="242"/>
      <c r="AJ853" s="242"/>
      <c r="AK853" s="242"/>
      <c r="AL853" s="242"/>
      <c r="AM853" s="242"/>
      <c r="AN853" s="242"/>
      <c r="AO853" s="242"/>
      <c r="AP853" s="242"/>
    </row>
    <row r="854">
      <c r="A854" s="242"/>
      <c r="B854" s="242"/>
      <c r="C854" s="242"/>
      <c r="D854" s="242"/>
      <c r="E854" s="242"/>
      <c r="F854" s="242"/>
      <c r="G854" s="242"/>
      <c r="H854" s="242"/>
      <c r="I854" s="242"/>
      <c r="J854" s="242"/>
      <c r="K854" s="242"/>
      <c r="L854" s="242"/>
      <c r="M854" s="242"/>
      <c r="N854" s="242"/>
      <c r="O854" s="242"/>
      <c r="P854" s="13"/>
      <c r="Q854" s="13"/>
      <c r="R854" s="13"/>
      <c r="S854" s="13"/>
      <c r="T854" s="13"/>
      <c r="U854" s="13"/>
      <c r="V854" s="13"/>
      <c r="W854" s="13"/>
      <c r="X854" s="13"/>
      <c r="Y854" s="13"/>
      <c r="Z854" s="13"/>
      <c r="AA854" s="13"/>
      <c r="AB854" s="13"/>
      <c r="AC854" s="13"/>
      <c r="AD854" s="13"/>
      <c r="AE854" s="13"/>
      <c r="AF854" s="242"/>
      <c r="AG854" s="242"/>
      <c r="AH854" s="242"/>
      <c r="AI854" s="242"/>
      <c r="AJ854" s="242"/>
      <c r="AK854" s="242"/>
      <c r="AL854" s="242"/>
      <c r="AM854" s="242"/>
      <c r="AN854" s="242"/>
      <c r="AO854" s="242"/>
      <c r="AP854" s="242"/>
    </row>
    <row r="855">
      <c r="A855" s="242"/>
      <c r="B855" s="242"/>
      <c r="C855" s="242"/>
      <c r="D855" s="242"/>
      <c r="E855" s="242"/>
      <c r="F855" s="242"/>
      <c r="G855" s="242"/>
      <c r="H855" s="242"/>
      <c r="I855" s="242"/>
      <c r="J855" s="242"/>
      <c r="K855" s="242"/>
      <c r="L855" s="242"/>
      <c r="M855" s="242"/>
      <c r="N855" s="242"/>
      <c r="O855" s="242"/>
      <c r="P855" s="13"/>
      <c r="Q855" s="13"/>
      <c r="R855" s="13"/>
      <c r="S855" s="13"/>
      <c r="T855" s="13"/>
      <c r="U855" s="13"/>
      <c r="V855" s="13"/>
      <c r="W855" s="13"/>
      <c r="X855" s="13"/>
      <c r="Y855" s="13"/>
      <c r="Z855" s="13"/>
      <c r="AA855" s="13"/>
      <c r="AB855" s="13"/>
      <c r="AC855" s="13"/>
      <c r="AD855" s="13"/>
      <c r="AE855" s="13"/>
      <c r="AF855" s="242"/>
      <c r="AG855" s="242"/>
      <c r="AH855" s="242"/>
      <c r="AI855" s="242"/>
      <c r="AJ855" s="242"/>
      <c r="AK855" s="242"/>
      <c r="AL855" s="242"/>
      <c r="AM855" s="242"/>
      <c r="AN855" s="242"/>
      <c r="AO855" s="242"/>
      <c r="AP855" s="242"/>
    </row>
    <row r="856">
      <c r="A856" s="242"/>
      <c r="B856" s="242"/>
      <c r="C856" s="242"/>
      <c r="D856" s="242"/>
      <c r="E856" s="242"/>
      <c r="F856" s="242"/>
      <c r="G856" s="242"/>
      <c r="H856" s="242"/>
      <c r="I856" s="242"/>
      <c r="J856" s="242"/>
      <c r="K856" s="242"/>
      <c r="L856" s="242"/>
      <c r="M856" s="242"/>
      <c r="N856" s="242"/>
      <c r="O856" s="242"/>
      <c r="P856" s="13"/>
      <c r="Q856" s="13"/>
      <c r="R856" s="13"/>
      <c r="S856" s="13"/>
      <c r="T856" s="13"/>
      <c r="U856" s="13"/>
      <c r="V856" s="13"/>
      <c r="W856" s="13"/>
      <c r="X856" s="13"/>
      <c r="Y856" s="13"/>
      <c r="Z856" s="13"/>
      <c r="AA856" s="13"/>
      <c r="AB856" s="13"/>
      <c r="AC856" s="13"/>
      <c r="AD856" s="13"/>
      <c r="AE856" s="13"/>
      <c r="AF856" s="242"/>
      <c r="AG856" s="242"/>
      <c r="AH856" s="242"/>
      <c r="AI856" s="242"/>
      <c r="AJ856" s="242"/>
      <c r="AK856" s="242"/>
      <c r="AL856" s="242"/>
      <c r="AM856" s="242"/>
      <c r="AN856" s="242"/>
      <c r="AO856" s="242"/>
      <c r="AP856" s="242"/>
    </row>
    <row r="857">
      <c r="A857" s="242"/>
      <c r="B857" s="242"/>
      <c r="C857" s="242"/>
      <c r="D857" s="242"/>
      <c r="E857" s="242"/>
      <c r="F857" s="242"/>
      <c r="G857" s="242"/>
      <c r="H857" s="242"/>
      <c r="I857" s="242"/>
      <c r="J857" s="242"/>
      <c r="K857" s="242"/>
      <c r="L857" s="242"/>
      <c r="M857" s="242"/>
      <c r="N857" s="242"/>
      <c r="O857" s="242"/>
      <c r="P857" s="13"/>
      <c r="Q857" s="13"/>
      <c r="R857" s="13"/>
      <c r="S857" s="13"/>
      <c r="T857" s="13"/>
      <c r="U857" s="13"/>
      <c r="V857" s="13"/>
      <c r="W857" s="13"/>
      <c r="X857" s="13"/>
      <c r="Y857" s="13"/>
      <c r="Z857" s="13"/>
      <c r="AA857" s="13"/>
      <c r="AB857" s="13"/>
      <c r="AC857" s="13"/>
      <c r="AD857" s="13"/>
      <c r="AE857" s="13"/>
      <c r="AF857" s="242"/>
      <c r="AG857" s="242"/>
      <c r="AH857" s="242"/>
      <c r="AI857" s="242"/>
      <c r="AJ857" s="242"/>
      <c r="AK857" s="242"/>
      <c r="AL857" s="242"/>
      <c r="AM857" s="242"/>
      <c r="AN857" s="242"/>
      <c r="AO857" s="242"/>
      <c r="AP857" s="242"/>
    </row>
    <row r="858">
      <c r="A858" s="242"/>
      <c r="B858" s="242"/>
      <c r="C858" s="242"/>
      <c r="D858" s="242"/>
      <c r="E858" s="242"/>
      <c r="F858" s="242"/>
      <c r="G858" s="242"/>
      <c r="H858" s="242"/>
      <c r="I858" s="242"/>
      <c r="J858" s="242"/>
      <c r="K858" s="242"/>
      <c r="L858" s="242"/>
      <c r="M858" s="242"/>
      <c r="N858" s="242"/>
      <c r="O858" s="242"/>
      <c r="P858" s="13"/>
      <c r="Q858" s="13"/>
      <c r="R858" s="13"/>
      <c r="S858" s="13"/>
      <c r="T858" s="13"/>
      <c r="U858" s="13"/>
      <c r="V858" s="13"/>
      <c r="W858" s="13"/>
      <c r="X858" s="13"/>
      <c r="Y858" s="13"/>
      <c r="Z858" s="13"/>
      <c r="AA858" s="13"/>
      <c r="AB858" s="13"/>
      <c r="AC858" s="13"/>
      <c r="AD858" s="13"/>
      <c r="AE858" s="13"/>
      <c r="AF858" s="242"/>
      <c r="AG858" s="242"/>
      <c r="AH858" s="242"/>
      <c r="AI858" s="242"/>
      <c r="AJ858" s="242"/>
      <c r="AK858" s="242"/>
      <c r="AL858" s="242"/>
      <c r="AM858" s="242"/>
      <c r="AN858" s="242"/>
      <c r="AO858" s="242"/>
      <c r="AP858" s="242"/>
    </row>
    <row r="859">
      <c r="A859" s="242"/>
      <c r="B859" s="242"/>
      <c r="C859" s="242"/>
      <c r="D859" s="242"/>
      <c r="E859" s="242"/>
      <c r="F859" s="242"/>
      <c r="G859" s="242"/>
      <c r="H859" s="242"/>
      <c r="I859" s="242"/>
      <c r="J859" s="242"/>
      <c r="K859" s="242"/>
      <c r="L859" s="242"/>
      <c r="M859" s="242"/>
      <c r="N859" s="242"/>
      <c r="O859" s="242"/>
      <c r="P859" s="13"/>
      <c r="Q859" s="13"/>
      <c r="R859" s="13"/>
      <c r="S859" s="13"/>
      <c r="T859" s="13"/>
      <c r="U859" s="13"/>
      <c r="V859" s="13"/>
      <c r="W859" s="13"/>
      <c r="X859" s="13"/>
      <c r="Y859" s="13"/>
      <c r="Z859" s="13"/>
      <c r="AA859" s="13"/>
      <c r="AB859" s="13"/>
      <c r="AC859" s="13"/>
      <c r="AD859" s="13"/>
      <c r="AE859" s="13"/>
      <c r="AF859" s="242"/>
      <c r="AG859" s="242"/>
      <c r="AH859" s="242"/>
      <c r="AI859" s="242"/>
      <c r="AJ859" s="242"/>
      <c r="AK859" s="242"/>
      <c r="AL859" s="242"/>
      <c r="AM859" s="242"/>
      <c r="AN859" s="242"/>
      <c r="AO859" s="242"/>
      <c r="AP859" s="242"/>
    </row>
    <row r="860">
      <c r="A860" s="242"/>
      <c r="B860" s="242"/>
      <c r="C860" s="242"/>
      <c r="D860" s="242"/>
      <c r="E860" s="242"/>
      <c r="F860" s="242"/>
      <c r="G860" s="242"/>
      <c r="H860" s="242"/>
      <c r="I860" s="242"/>
      <c r="J860" s="242"/>
      <c r="K860" s="242"/>
      <c r="L860" s="242"/>
      <c r="M860" s="242"/>
      <c r="N860" s="242"/>
      <c r="O860" s="242"/>
      <c r="P860" s="13"/>
      <c r="Q860" s="13"/>
      <c r="R860" s="13"/>
      <c r="S860" s="13"/>
      <c r="T860" s="13"/>
      <c r="U860" s="13"/>
      <c r="V860" s="13"/>
      <c r="W860" s="13"/>
      <c r="X860" s="13"/>
      <c r="Y860" s="13"/>
      <c r="Z860" s="13"/>
      <c r="AA860" s="13"/>
      <c r="AB860" s="13"/>
      <c r="AC860" s="13"/>
      <c r="AD860" s="13"/>
      <c r="AE860" s="13"/>
      <c r="AF860" s="242"/>
      <c r="AG860" s="242"/>
      <c r="AH860" s="242"/>
      <c r="AI860" s="242"/>
      <c r="AJ860" s="242"/>
      <c r="AK860" s="242"/>
      <c r="AL860" s="242"/>
      <c r="AM860" s="242"/>
      <c r="AN860" s="242"/>
      <c r="AO860" s="242"/>
      <c r="AP860" s="242"/>
    </row>
    <row r="861">
      <c r="A861" s="242"/>
      <c r="B861" s="242"/>
      <c r="C861" s="242"/>
      <c r="D861" s="242"/>
      <c r="E861" s="242"/>
      <c r="F861" s="242"/>
      <c r="G861" s="242"/>
      <c r="H861" s="242"/>
      <c r="I861" s="242"/>
      <c r="J861" s="242"/>
      <c r="K861" s="242"/>
      <c r="L861" s="242"/>
      <c r="M861" s="242"/>
      <c r="N861" s="242"/>
      <c r="O861" s="242"/>
      <c r="P861" s="13"/>
      <c r="Q861" s="13"/>
      <c r="R861" s="13"/>
      <c r="S861" s="13"/>
      <c r="T861" s="13"/>
      <c r="U861" s="13"/>
      <c r="V861" s="13"/>
      <c r="W861" s="13"/>
      <c r="X861" s="13"/>
      <c r="Y861" s="13"/>
      <c r="Z861" s="13"/>
      <c r="AA861" s="13"/>
      <c r="AB861" s="13"/>
      <c r="AC861" s="13"/>
      <c r="AD861" s="13"/>
      <c r="AE861" s="13"/>
      <c r="AF861" s="242"/>
      <c r="AG861" s="242"/>
      <c r="AH861" s="242"/>
      <c r="AI861" s="242"/>
      <c r="AJ861" s="242"/>
      <c r="AK861" s="242"/>
      <c r="AL861" s="242"/>
      <c r="AM861" s="242"/>
      <c r="AN861" s="242"/>
      <c r="AO861" s="242"/>
      <c r="AP861" s="242"/>
    </row>
    <row r="862">
      <c r="A862" s="242"/>
      <c r="B862" s="242"/>
      <c r="C862" s="242"/>
      <c r="D862" s="242"/>
      <c r="E862" s="242"/>
      <c r="F862" s="242"/>
      <c r="G862" s="242"/>
      <c r="H862" s="242"/>
      <c r="I862" s="242"/>
      <c r="J862" s="242"/>
      <c r="K862" s="242"/>
      <c r="L862" s="242"/>
      <c r="M862" s="242"/>
      <c r="N862" s="242"/>
      <c r="O862" s="242"/>
      <c r="P862" s="13"/>
      <c r="Q862" s="13"/>
      <c r="R862" s="13"/>
      <c r="S862" s="13"/>
      <c r="T862" s="13"/>
      <c r="U862" s="13"/>
      <c r="V862" s="13"/>
      <c r="W862" s="13"/>
      <c r="X862" s="13"/>
      <c r="Y862" s="13"/>
      <c r="Z862" s="13"/>
      <c r="AA862" s="13"/>
      <c r="AB862" s="13"/>
      <c r="AC862" s="13"/>
      <c r="AD862" s="13"/>
      <c r="AE862" s="13"/>
      <c r="AF862" s="242"/>
      <c r="AG862" s="242"/>
      <c r="AH862" s="242"/>
      <c r="AI862" s="242"/>
      <c r="AJ862" s="242"/>
      <c r="AK862" s="242"/>
      <c r="AL862" s="242"/>
      <c r="AM862" s="242"/>
      <c r="AN862" s="242"/>
      <c r="AO862" s="242"/>
      <c r="AP862" s="242"/>
    </row>
    <row r="863">
      <c r="A863" s="242"/>
      <c r="B863" s="242"/>
      <c r="C863" s="242"/>
      <c r="D863" s="242"/>
      <c r="E863" s="242"/>
      <c r="F863" s="242"/>
      <c r="G863" s="242"/>
      <c r="H863" s="242"/>
      <c r="I863" s="242"/>
      <c r="J863" s="242"/>
      <c r="K863" s="242"/>
      <c r="L863" s="242"/>
      <c r="M863" s="242"/>
      <c r="N863" s="242"/>
      <c r="O863" s="242"/>
      <c r="P863" s="13"/>
      <c r="Q863" s="13"/>
      <c r="R863" s="13"/>
      <c r="S863" s="13"/>
      <c r="T863" s="13"/>
      <c r="U863" s="13"/>
      <c r="V863" s="13"/>
      <c r="W863" s="13"/>
      <c r="X863" s="13"/>
      <c r="Y863" s="13"/>
      <c r="Z863" s="13"/>
      <c r="AA863" s="13"/>
      <c r="AB863" s="13"/>
      <c r="AC863" s="13"/>
      <c r="AD863" s="13"/>
      <c r="AE863" s="13"/>
      <c r="AF863" s="242"/>
      <c r="AG863" s="242"/>
      <c r="AH863" s="242"/>
      <c r="AI863" s="242"/>
      <c r="AJ863" s="242"/>
      <c r="AK863" s="242"/>
      <c r="AL863" s="242"/>
      <c r="AM863" s="242"/>
      <c r="AN863" s="242"/>
      <c r="AO863" s="242"/>
      <c r="AP863" s="242"/>
    </row>
    <row r="864">
      <c r="A864" s="242"/>
      <c r="B864" s="242"/>
      <c r="C864" s="242"/>
      <c r="D864" s="242"/>
      <c r="E864" s="242"/>
      <c r="F864" s="242"/>
      <c r="G864" s="242"/>
      <c r="H864" s="242"/>
      <c r="I864" s="242"/>
      <c r="J864" s="242"/>
      <c r="K864" s="242"/>
      <c r="L864" s="242"/>
      <c r="M864" s="242"/>
      <c r="N864" s="242"/>
      <c r="O864" s="242"/>
      <c r="P864" s="13"/>
      <c r="Q864" s="13"/>
      <c r="R864" s="13"/>
      <c r="S864" s="13"/>
      <c r="T864" s="13"/>
      <c r="U864" s="13"/>
      <c r="V864" s="13"/>
      <c r="W864" s="13"/>
      <c r="X864" s="13"/>
      <c r="Y864" s="13"/>
      <c r="Z864" s="13"/>
      <c r="AA864" s="13"/>
      <c r="AB864" s="13"/>
      <c r="AC864" s="13"/>
      <c r="AD864" s="13"/>
      <c r="AE864" s="13"/>
      <c r="AF864" s="242"/>
      <c r="AG864" s="242"/>
      <c r="AH864" s="242"/>
      <c r="AI864" s="242"/>
      <c r="AJ864" s="242"/>
      <c r="AK864" s="242"/>
      <c r="AL864" s="242"/>
      <c r="AM864" s="242"/>
      <c r="AN864" s="242"/>
      <c r="AO864" s="242"/>
      <c r="AP864" s="242"/>
    </row>
    <row r="865">
      <c r="A865" s="242"/>
      <c r="B865" s="242"/>
      <c r="C865" s="242"/>
      <c r="D865" s="242"/>
      <c r="E865" s="242"/>
      <c r="F865" s="242"/>
      <c r="G865" s="242"/>
      <c r="H865" s="242"/>
      <c r="I865" s="242"/>
      <c r="J865" s="242"/>
      <c r="K865" s="242"/>
      <c r="L865" s="242"/>
      <c r="M865" s="242"/>
      <c r="N865" s="242"/>
      <c r="O865" s="242"/>
      <c r="P865" s="13"/>
      <c r="Q865" s="13"/>
      <c r="R865" s="13"/>
      <c r="S865" s="13"/>
      <c r="T865" s="13"/>
      <c r="U865" s="13"/>
      <c r="V865" s="13"/>
      <c r="W865" s="13"/>
      <c r="X865" s="13"/>
      <c r="Y865" s="13"/>
      <c r="Z865" s="13"/>
      <c r="AA865" s="13"/>
      <c r="AB865" s="13"/>
      <c r="AC865" s="13"/>
      <c r="AD865" s="13"/>
      <c r="AE865" s="13"/>
      <c r="AF865" s="242"/>
      <c r="AG865" s="242"/>
      <c r="AH865" s="242"/>
      <c r="AI865" s="242"/>
      <c r="AJ865" s="242"/>
      <c r="AK865" s="242"/>
      <c r="AL865" s="242"/>
      <c r="AM865" s="242"/>
      <c r="AN865" s="242"/>
      <c r="AO865" s="242"/>
      <c r="AP865" s="242"/>
    </row>
    <row r="866">
      <c r="A866" s="242"/>
      <c r="B866" s="242"/>
      <c r="C866" s="242"/>
      <c r="D866" s="242"/>
      <c r="E866" s="242"/>
      <c r="F866" s="242"/>
      <c r="G866" s="242"/>
      <c r="H866" s="242"/>
      <c r="I866" s="242"/>
      <c r="J866" s="242"/>
      <c r="K866" s="242"/>
      <c r="L866" s="242"/>
      <c r="M866" s="242"/>
      <c r="N866" s="242"/>
      <c r="O866" s="242"/>
      <c r="P866" s="13"/>
      <c r="Q866" s="13"/>
      <c r="R866" s="13"/>
      <c r="S866" s="13"/>
      <c r="T866" s="13"/>
      <c r="U866" s="13"/>
      <c r="V866" s="13"/>
      <c r="W866" s="13"/>
      <c r="X866" s="13"/>
      <c r="Y866" s="13"/>
      <c r="Z866" s="13"/>
      <c r="AA866" s="13"/>
      <c r="AB866" s="13"/>
      <c r="AC866" s="13"/>
      <c r="AD866" s="13"/>
      <c r="AE866" s="13"/>
      <c r="AF866" s="242"/>
      <c r="AG866" s="242"/>
      <c r="AH866" s="242"/>
      <c r="AI866" s="242"/>
      <c r="AJ866" s="242"/>
      <c r="AK866" s="242"/>
      <c r="AL866" s="242"/>
      <c r="AM866" s="242"/>
      <c r="AN866" s="242"/>
      <c r="AO866" s="242"/>
      <c r="AP866" s="242"/>
    </row>
    <row r="867">
      <c r="A867" s="242"/>
      <c r="B867" s="242"/>
      <c r="C867" s="242"/>
      <c r="D867" s="242"/>
      <c r="E867" s="242"/>
      <c r="F867" s="242"/>
      <c r="G867" s="242"/>
      <c r="H867" s="242"/>
      <c r="I867" s="242"/>
      <c r="J867" s="242"/>
      <c r="K867" s="242"/>
      <c r="L867" s="242"/>
      <c r="M867" s="242"/>
      <c r="N867" s="242"/>
      <c r="O867" s="242"/>
      <c r="P867" s="13"/>
      <c r="Q867" s="13"/>
      <c r="R867" s="13"/>
      <c r="S867" s="13"/>
      <c r="T867" s="13"/>
      <c r="U867" s="13"/>
      <c r="V867" s="13"/>
      <c r="W867" s="13"/>
      <c r="X867" s="13"/>
      <c r="Y867" s="13"/>
      <c r="Z867" s="13"/>
      <c r="AA867" s="13"/>
      <c r="AB867" s="13"/>
      <c r="AC867" s="13"/>
      <c r="AD867" s="13"/>
      <c r="AE867" s="13"/>
      <c r="AF867" s="242"/>
      <c r="AG867" s="242"/>
      <c r="AH867" s="242"/>
      <c r="AI867" s="242"/>
      <c r="AJ867" s="242"/>
      <c r="AK867" s="242"/>
      <c r="AL867" s="242"/>
      <c r="AM867" s="242"/>
      <c r="AN867" s="242"/>
      <c r="AO867" s="242"/>
      <c r="AP867" s="242"/>
    </row>
    <row r="868">
      <c r="A868" s="242"/>
      <c r="B868" s="242"/>
      <c r="C868" s="242"/>
      <c r="D868" s="242"/>
      <c r="E868" s="242"/>
      <c r="F868" s="242"/>
      <c r="G868" s="242"/>
      <c r="H868" s="242"/>
      <c r="I868" s="242"/>
      <c r="J868" s="242"/>
      <c r="K868" s="242"/>
      <c r="L868" s="242"/>
      <c r="M868" s="242"/>
      <c r="N868" s="242"/>
      <c r="O868" s="242"/>
      <c r="P868" s="13"/>
      <c r="Q868" s="13"/>
      <c r="R868" s="13"/>
      <c r="S868" s="13"/>
      <c r="T868" s="13"/>
      <c r="U868" s="13"/>
      <c r="V868" s="13"/>
      <c r="W868" s="13"/>
      <c r="X868" s="13"/>
      <c r="Y868" s="13"/>
      <c r="Z868" s="13"/>
      <c r="AA868" s="13"/>
      <c r="AB868" s="13"/>
      <c r="AC868" s="13"/>
      <c r="AD868" s="13"/>
      <c r="AE868" s="13"/>
      <c r="AF868" s="242"/>
      <c r="AG868" s="242"/>
      <c r="AH868" s="242"/>
      <c r="AI868" s="242"/>
      <c r="AJ868" s="242"/>
      <c r="AK868" s="242"/>
      <c r="AL868" s="242"/>
      <c r="AM868" s="242"/>
      <c r="AN868" s="242"/>
      <c r="AO868" s="242"/>
      <c r="AP868" s="242"/>
    </row>
    <row r="869">
      <c r="A869" s="242"/>
      <c r="B869" s="242"/>
      <c r="C869" s="242"/>
      <c r="D869" s="242"/>
      <c r="E869" s="242"/>
      <c r="F869" s="242"/>
      <c r="G869" s="242"/>
      <c r="H869" s="242"/>
      <c r="I869" s="242"/>
      <c r="J869" s="242"/>
      <c r="K869" s="242"/>
      <c r="L869" s="242"/>
      <c r="M869" s="242"/>
      <c r="N869" s="242"/>
      <c r="O869" s="242"/>
      <c r="P869" s="13"/>
      <c r="Q869" s="13"/>
      <c r="R869" s="13"/>
      <c r="S869" s="13"/>
      <c r="T869" s="13"/>
      <c r="U869" s="13"/>
      <c r="V869" s="13"/>
      <c r="W869" s="13"/>
      <c r="X869" s="13"/>
      <c r="Y869" s="13"/>
      <c r="Z869" s="13"/>
      <c r="AA869" s="13"/>
      <c r="AB869" s="13"/>
      <c r="AC869" s="13"/>
      <c r="AD869" s="13"/>
      <c r="AE869" s="13"/>
      <c r="AF869" s="242"/>
      <c r="AG869" s="242"/>
      <c r="AH869" s="242"/>
      <c r="AI869" s="242"/>
      <c r="AJ869" s="242"/>
      <c r="AK869" s="242"/>
      <c r="AL869" s="242"/>
      <c r="AM869" s="242"/>
      <c r="AN869" s="242"/>
      <c r="AO869" s="242"/>
      <c r="AP869" s="242"/>
    </row>
    <row r="870">
      <c r="A870" s="242"/>
      <c r="B870" s="242"/>
      <c r="C870" s="242"/>
      <c r="D870" s="242"/>
      <c r="E870" s="242"/>
      <c r="F870" s="242"/>
      <c r="G870" s="242"/>
      <c r="H870" s="242"/>
      <c r="I870" s="242"/>
      <c r="J870" s="242"/>
      <c r="K870" s="242"/>
      <c r="L870" s="242"/>
      <c r="M870" s="242"/>
      <c r="N870" s="242"/>
      <c r="O870" s="242"/>
      <c r="P870" s="13"/>
      <c r="Q870" s="13"/>
      <c r="R870" s="13"/>
      <c r="S870" s="13"/>
      <c r="T870" s="13"/>
      <c r="U870" s="13"/>
      <c r="V870" s="13"/>
      <c r="W870" s="13"/>
      <c r="X870" s="13"/>
      <c r="Y870" s="13"/>
      <c r="Z870" s="13"/>
      <c r="AA870" s="13"/>
      <c r="AB870" s="13"/>
      <c r="AC870" s="13"/>
      <c r="AD870" s="13"/>
      <c r="AE870" s="13"/>
      <c r="AF870" s="242"/>
      <c r="AG870" s="242"/>
      <c r="AH870" s="242"/>
      <c r="AI870" s="242"/>
      <c r="AJ870" s="242"/>
      <c r="AK870" s="242"/>
      <c r="AL870" s="242"/>
      <c r="AM870" s="242"/>
      <c r="AN870" s="242"/>
      <c r="AO870" s="242"/>
      <c r="AP870" s="242"/>
    </row>
    <row r="871">
      <c r="A871" s="242"/>
      <c r="B871" s="242"/>
      <c r="C871" s="242"/>
      <c r="D871" s="242"/>
      <c r="E871" s="242"/>
      <c r="F871" s="242"/>
      <c r="G871" s="242"/>
      <c r="H871" s="242"/>
      <c r="I871" s="242"/>
      <c r="J871" s="242"/>
      <c r="K871" s="242"/>
      <c r="L871" s="242"/>
      <c r="M871" s="242"/>
      <c r="N871" s="242"/>
      <c r="O871" s="242"/>
      <c r="P871" s="13"/>
      <c r="Q871" s="13"/>
      <c r="R871" s="13"/>
      <c r="S871" s="13"/>
      <c r="T871" s="13"/>
      <c r="U871" s="13"/>
      <c r="V871" s="13"/>
      <c r="W871" s="13"/>
      <c r="X871" s="13"/>
      <c r="Y871" s="13"/>
      <c r="Z871" s="13"/>
      <c r="AA871" s="13"/>
      <c r="AB871" s="13"/>
      <c r="AC871" s="13"/>
      <c r="AD871" s="13"/>
      <c r="AE871" s="13"/>
      <c r="AF871" s="242"/>
      <c r="AG871" s="242"/>
      <c r="AH871" s="242"/>
      <c r="AI871" s="242"/>
      <c r="AJ871" s="242"/>
      <c r="AK871" s="242"/>
      <c r="AL871" s="242"/>
      <c r="AM871" s="242"/>
      <c r="AN871" s="242"/>
      <c r="AO871" s="242"/>
      <c r="AP871" s="242"/>
    </row>
    <row r="872">
      <c r="A872" s="242"/>
      <c r="B872" s="242"/>
      <c r="C872" s="242"/>
      <c r="D872" s="242"/>
      <c r="E872" s="242"/>
      <c r="F872" s="242"/>
      <c r="G872" s="242"/>
      <c r="H872" s="242"/>
      <c r="I872" s="242"/>
      <c r="J872" s="242"/>
      <c r="K872" s="242"/>
      <c r="L872" s="242"/>
      <c r="M872" s="242"/>
      <c r="N872" s="242"/>
      <c r="O872" s="242"/>
      <c r="P872" s="13"/>
      <c r="Q872" s="13"/>
      <c r="R872" s="13"/>
      <c r="S872" s="13"/>
      <c r="T872" s="13"/>
      <c r="U872" s="13"/>
      <c r="V872" s="13"/>
      <c r="W872" s="13"/>
      <c r="X872" s="13"/>
      <c r="Y872" s="13"/>
      <c r="Z872" s="13"/>
      <c r="AA872" s="13"/>
      <c r="AB872" s="13"/>
      <c r="AC872" s="13"/>
      <c r="AD872" s="13"/>
      <c r="AE872" s="13"/>
      <c r="AF872" s="242"/>
      <c r="AG872" s="242"/>
      <c r="AH872" s="242"/>
      <c r="AI872" s="242"/>
      <c r="AJ872" s="242"/>
      <c r="AK872" s="242"/>
      <c r="AL872" s="242"/>
      <c r="AM872" s="242"/>
      <c r="AN872" s="242"/>
      <c r="AO872" s="242"/>
      <c r="AP872" s="242"/>
    </row>
    <row r="873">
      <c r="A873" s="242"/>
      <c r="B873" s="242"/>
      <c r="C873" s="242"/>
      <c r="D873" s="242"/>
      <c r="E873" s="242"/>
      <c r="F873" s="242"/>
      <c r="G873" s="242"/>
      <c r="H873" s="242"/>
      <c r="I873" s="242"/>
      <c r="J873" s="242"/>
      <c r="K873" s="242"/>
      <c r="L873" s="242"/>
      <c r="M873" s="242"/>
      <c r="N873" s="242"/>
      <c r="O873" s="242"/>
      <c r="P873" s="13"/>
      <c r="Q873" s="13"/>
      <c r="R873" s="13"/>
      <c r="S873" s="13"/>
      <c r="T873" s="13"/>
      <c r="U873" s="13"/>
      <c r="V873" s="13"/>
      <c r="W873" s="13"/>
      <c r="X873" s="13"/>
      <c r="Y873" s="13"/>
      <c r="Z873" s="13"/>
      <c r="AA873" s="13"/>
      <c r="AB873" s="13"/>
      <c r="AC873" s="13"/>
      <c r="AD873" s="13"/>
      <c r="AE873" s="13"/>
      <c r="AF873" s="242"/>
      <c r="AG873" s="242"/>
      <c r="AH873" s="242"/>
      <c r="AI873" s="242"/>
      <c r="AJ873" s="242"/>
      <c r="AK873" s="242"/>
      <c r="AL873" s="242"/>
      <c r="AM873" s="242"/>
      <c r="AN873" s="242"/>
      <c r="AO873" s="242"/>
      <c r="AP873" s="242"/>
    </row>
    <row r="874">
      <c r="A874" s="242"/>
      <c r="B874" s="242"/>
      <c r="C874" s="242"/>
      <c r="D874" s="242"/>
      <c r="E874" s="242"/>
      <c r="F874" s="242"/>
      <c r="G874" s="242"/>
      <c r="H874" s="242"/>
      <c r="I874" s="242"/>
      <c r="J874" s="242"/>
      <c r="K874" s="242"/>
      <c r="L874" s="242"/>
      <c r="M874" s="242"/>
      <c r="N874" s="242"/>
      <c r="O874" s="242"/>
      <c r="P874" s="13"/>
      <c r="Q874" s="13"/>
      <c r="R874" s="13"/>
      <c r="S874" s="13"/>
      <c r="T874" s="13"/>
      <c r="U874" s="13"/>
      <c r="V874" s="13"/>
      <c r="W874" s="13"/>
      <c r="X874" s="13"/>
      <c r="Y874" s="13"/>
      <c r="Z874" s="13"/>
      <c r="AA874" s="13"/>
      <c r="AB874" s="13"/>
      <c r="AC874" s="13"/>
      <c r="AD874" s="13"/>
      <c r="AE874" s="13"/>
      <c r="AF874" s="242"/>
      <c r="AG874" s="242"/>
      <c r="AH874" s="242"/>
      <c r="AI874" s="242"/>
      <c r="AJ874" s="242"/>
      <c r="AK874" s="242"/>
      <c r="AL874" s="242"/>
      <c r="AM874" s="242"/>
      <c r="AN874" s="242"/>
      <c r="AO874" s="242"/>
      <c r="AP874" s="242"/>
    </row>
    <row r="875">
      <c r="A875" s="242"/>
      <c r="B875" s="242"/>
      <c r="C875" s="242"/>
      <c r="D875" s="242"/>
      <c r="E875" s="242"/>
      <c r="F875" s="242"/>
      <c r="G875" s="242"/>
      <c r="H875" s="242"/>
      <c r="I875" s="242"/>
      <c r="J875" s="242"/>
      <c r="K875" s="242"/>
      <c r="L875" s="242"/>
      <c r="M875" s="242"/>
      <c r="N875" s="242"/>
      <c r="O875" s="242"/>
      <c r="P875" s="13"/>
      <c r="Q875" s="13"/>
      <c r="R875" s="13"/>
      <c r="S875" s="13"/>
      <c r="T875" s="13"/>
      <c r="U875" s="13"/>
      <c r="V875" s="13"/>
      <c r="W875" s="13"/>
      <c r="X875" s="13"/>
      <c r="Y875" s="13"/>
      <c r="Z875" s="13"/>
      <c r="AA875" s="13"/>
      <c r="AB875" s="13"/>
      <c r="AC875" s="13"/>
      <c r="AD875" s="13"/>
      <c r="AE875" s="13"/>
      <c r="AF875" s="242"/>
      <c r="AG875" s="242"/>
      <c r="AH875" s="242"/>
      <c r="AI875" s="242"/>
      <c r="AJ875" s="242"/>
      <c r="AK875" s="242"/>
      <c r="AL875" s="242"/>
      <c r="AM875" s="242"/>
      <c r="AN875" s="242"/>
      <c r="AO875" s="242"/>
      <c r="AP875" s="242"/>
    </row>
    <row r="876">
      <c r="A876" s="242"/>
      <c r="B876" s="242"/>
      <c r="C876" s="242"/>
      <c r="D876" s="242"/>
      <c r="E876" s="242"/>
      <c r="F876" s="242"/>
      <c r="G876" s="242"/>
      <c r="H876" s="242"/>
      <c r="I876" s="242"/>
      <c r="J876" s="242"/>
      <c r="K876" s="242"/>
      <c r="L876" s="242"/>
      <c r="M876" s="242"/>
      <c r="N876" s="242"/>
      <c r="O876" s="242"/>
      <c r="P876" s="13"/>
      <c r="Q876" s="13"/>
      <c r="R876" s="13"/>
      <c r="S876" s="13"/>
      <c r="T876" s="13"/>
      <c r="U876" s="13"/>
      <c r="V876" s="13"/>
      <c r="W876" s="13"/>
      <c r="X876" s="13"/>
      <c r="Y876" s="13"/>
      <c r="Z876" s="13"/>
      <c r="AA876" s="13"/>
      <c r="AB876" s="13"/>
      <c r="AC876" s="13"/>
      <c r="AD876" s="13"/>
      <c r="AE876" s="13"/>
      <c r="AF876" s="242"/>
      <c r="AG876" s="242"/>
      <c r="AH876" s="242"/>
      <c r="AI876" s="242"/>
      <c r="AJ876" s="242"/>
      <c r="AK876" s="242"/>
      <c r="AL876" s="242"/>
      <c r="AM876" s="242"/>
      <c r="AN876" s="242"/>
      <c r="AO876" s="242"/>
      <c r="AP876" s="242"/>
    </row>
    <row r="877">
      <c r="A877" s="242"/>
      <c r="B877" s="242"/>
      <c r="C877" s="242"/>
      <c r="D877" s="242"/>
      <c r="E877" s="242"/>
      <c r="F877" s="242"/>
      <c r="G877" s="242"/>
      <c r="H877" s="242"/>
      <c r="I877" s="242"/>
      <c r="J877" s="242"/>
      <c r="K877" s="242"/>
      <c r="L877" s="242"/>
      <c r="M877" s="242"/>
      <c r="N877" s="242"/>
      <c r="O877" s="242"/>
      <c r="P877" s="13"/>
      <c r="Q877" s="13"/>
      <c r="R877" s="13"/>
      <c r="S877" s="13"/>
      <c r="T877" s="13"/>
      <c r="U877" s="13"/>
      <c r="V877" s="13"/>
      <c r="W877" s="13"/>
      <c r="X877" s="13"/>
      <c r="Y877" s="13"/>
      <c r="Z877" s="13"/>
      <c r="AA877" s="13"/>
      <c r="AB877" s="13"/>
      <c r="AC877" s="13"/>
      <c r="AD877" s="13"/>
      <c r="AE877" s="13"/>
      <c r="AF877" s="242"/>
      <c r="AG877" s="242"/>
      <c r="AH877" s="242"/>
      <c r="AI877" s="242"/>
      <c r="AJ877" s="242"/>
      <c r="AK877" s="242"/>
      <c r="AL877" s="242"/>
      <c r="AM877" s="242"/>
      <c r="AN877" s="242"/>
      <c r="AO877" s="242"/>
      <c r="AP877" s="242"/>
    </row>
    <row r="878">
      <c r="A878" s="242"/>
      <c r="B878" s="242"/>
      <c r="C878" s="242"/>
      <c r="D878" s="242"/>
      <c r="E878" s="242"/>
      <c r="F878" s="242"/>
      <c r="G878" s="242"/>
      <c r="H878" s="242"/>
      <c r="I878" s="242"/>
      <c r="J878" s="242"/>
      <c r="K878" s="242"/>
      <c r="L878" s="242"/>
      <c r="M878" s="242"/>
      <c r="N878" s="242"/>
      <c r="O878" s="242"/>
      <c r="P878" s="13"/>
      <c r="Q878" s="13"/>
      <c r="R878" s="13"/>
      <c r="S878" s="13"/>
      <c r="T878" s="13"/>
      <c r="U878" s="13"/>
      <c r="V878" s="13"/>
      <c r="W878" s="13"/>
      <c r="X878" s="13"/>
      <c r="Y878" s="13"/>
      <c r="Z878" s="13"/>
      <c r="AA878" s="13"/>
      <c r="AB878" s="13"/>
      <c r="AC878" s="13"/>
      <c r="AD878" s="13"/>
      <c r="AE878" s="13"/>
      <c r="AF878" s="242"/>
      <c r="AG878" s="242"/>
      <c r="AH878" s="242"/>
      <c r="AI878" s="242"/>
      <c r="AJ878" s="242"/>
      <c r="AK878" s="242"/>
      <c r="AL878" s="242"/>
      <c r="AM878" s="242"/>
      <c r="AN878" s="242"/>
      <c r="AO878" s="242"/>
      <c r="AP878" s="242"/>
    </row>
    <row r="879">
      <c r="A879" s="242"/>
      <c r="B879" s="242"/>
      <c r="C879" s="242"/>
      <c r="D879" s="242"/>
      <c r="E879" s="242"/>
      <c r="F879" s="242"/>
      <c r="G879" s="242"/>
      <c r="H879" s="242"/>
      <c r="I879" s="242"/>
      <c r="J879" s="242"/>
      <c r="K879" s="242"/>
      <c r="L879" s="242"/>
      <c r="M879" s="242"/>
      <c r="N879" s="242"/>
      <c r="O879" s="242"/>
      <c r="P879" s="13"/>
      <c r="Q879" s="13"/>
      <c r="R879" s="13"/>
      <c r="S879" s="13"/>
      <c r="T879" s="13"/>
      <c r="U879" s="13"/>
      <c r="V879" s="13"/>
      <c r="W879" s="13"/>
      <c r="X879" s="13"/>
      <c r="Y879" s="13"/>
      <c r="Z879" s="13"/>
      <c r="AA879" s="13"/>
      <c r="AB879" s="13"/>
      <c r="AC879" s="13"/>
      <c r="AD879" s="13"/>
      <c r="AE879" s="13"/>
      <c r="AF879" s="242"/>
      <c r="AG879" s="242"/>
      <c r="AH879" s="242"/>
      <c r="AI879" s="242"/>
      <c r="AJ879" s="242"/>
      <c r="AK879" s="242"/>
      <c r="AL879" s="242"/>
      <c r="AM879" s="242"/>
      <c r="AN879" s="242"/>
      <c r="AO879" s="242"/>
      <c r="AP879" s="242"/>
    </row>
    <row r="880">
      <c r="A880" s="242"/>
      <c r="B880" s="242"/>
      <c r="C880" s="242"/>
      <c r="D880" s="242"/>
      <c r="E880" s="242"/>
      <c r="F880" s="242"/>
      <c r="G880" s="242"/>
      <c r="H880" s="242"/>
      <c r="I880" s="242"/>
      <c r="J880" s="242"/>
      <c r="K880" s="242"/>
      <c r="L880" s="242"/>
      <c r="M880" s="242"/>
      <c r="N880" s="242"/>
      <c r="O880" s="242"/>
      <c r="P880" s="13"/>
      <c r="Q880" s="13"/>
      <c r="R880" s="13"/>
      <c r="S880" s="13"/>
      <c r="T880" s="13"/>
      <c r="U880" s="13"/>
      <c r="V880" s="13"/>
      <c r="W880" s="13"/>
      <c r="X880" s="13"/>
      <c r="Y880" s="13"/>
      <c r="Z880" s="13"/>
      <c r="AA880" s="13"/>
      <c r="AB880" s="13"/>
      <c r="AC880" s="13"/>
      <c r="AD880" s="13"/>
      <c r="AE880" s="13"/>
      <c r="AF880" s="242"/>
      <c r="AG880" s="242"/>
      <c r="AH880" s="242"/>
      <c r="AI880" s="242"/>
      <c r="AJ880" s="242"/>
      <c r="AK880" s="242"/>
      <c r="AL880" s="242"/>
      <c r="AM880" s="242"/>
      <c r="AN880" s="242"/>
      <c r="AO880" s="242"/>
      <c r="AP880" s="242"/>
    </row>
    <row r="881">
      <c r="A881" s="242"/>
      <c r="B881" s="242"/>
      <c r="C881" s="242"/>
      <c r="D881" s="242"/>
      <c r="E881" s="242"/>
      <c r="F881" s="242"/>
      <c r="G881" s="242"/>
      <c r="H881" s="242"/>
      <c r="I881" s="242"/>
      <c r="J881" s="242"/>
      <c r="K881" s="242"/>
      <c r="L881" s="242"/>
      <c r="M881" s="242"/>
      <c r="N881" s="242"/>
      <c r="O881" s="242"/>
      <c r="P881" s="13"/>
      <c r="Q881" s="13"/>
      <c r="R881" s="13"/>
      <c r="S881" s="13"/>
      <c r="T881" s="13"/>
      <c r="U881" s="13"/>
      <c r="V881" s="13"/>
      <c r="W881" s="13"/>
      <c r="X881" s="13"/>
      <c r="Y881" s="13"/>
      <c r="Z881" s="13"/>
      <c r="AA881" s="13"/>
      <c r="AB881" s="13"/>
      <c r="AC881" s="13"/>
      <c r="AD881" s="13"/>
      <c r="AE881" s="13"/>
      <c r="AF881" s="242"/>
      <c r="AG881" s="242"/>
      <c r="AH881" s="242"/>
      <c r="AI881" s="242"/>
      <c r="AJ881" s="242"/>
      <c r="AK881" s="242"/>
      <c r="AL881" s="242"/>
      <c r="AM881" s="242"/>
      <c r="AN881" s="242"/>
      <c r="AO881" s="242"/>
      <c r="AP881" s="242"/>
    </row>
    <row r="882">
      <c r="A882" s="242"/>
      <c r="B882" s="242"/>
      <c r="C882" s="242"/>
      <c r="D882" s="242"/>
      <c r="E882" s="242"/>
      <c r="F882" s="242"/>
      <c r="G882" s="242"/>
      <c r="H882" s="242"/>
      <c r="I882" s="242"/>
      <c r="J882" s="242"/>
      <c r="K882" s="242"/>
      <c r="L882" s="242"/>
      <c r="M882" s="242"/>
      <c r="N882" s="242"/>
      <c r="O882" s="242"/>
      <c r="P882" s="13"/>
      <c r="Q882" s="13"/>
      <c r="R882" s="13"/>
      <c r="S882" s="13"/>
      <c r="T882" s="13"/>
      <c r="U882" s="13"/>
      <c r="V882" s="13"/>
      <c r="W882" s="13"/>
      <c r="X882" s="13"/>
      <c r="Y882" s="13"/>
      <c r="Z882" s="13"/>
      <c r="AA882" s="13"/>
      <c r="AB882" s="13"/>
      <c r="AC882" s="13"/>
      <c r="AD882" s="13"/>
      <c r="AE882" s="13"/>
      <c r="AF882" s="242"/>
      <c r="AG882" s="242"/>
      <c r="AH882" s="242"/>
      <c r="AI882" s="242"/>
      <c r="AJ882" s="242"/>
      <c r="AK882" s="242"/>
      <c r="AL882" s="242"/>
      <c r="AM882" s="242"/>
      <c r="AN882" s="242"/>
      <c r="AO882" s="242"/>
      <c r="AP882" s="242"/>
    </row>
    <row r="883">
      <c r="A883" s="242"/>
      <c r="B883" s="242"/>
      <c r="C883" s="242"/>
      <c r="D883" s="242"/>
      <c r="E883" s="242"/>
      <c r="F883" s="242"/>
      <c r="G883" s="242"/>
      <c r="H883" s="242"/>
      <c r="I883" s="242"/>
      <c r="J883" s="242"/>
      <c r="K883" s="242"/>
      <c r="L883" s="242"/>
      <c r="M883" s="242"/>
      <c r="N883" s="242"/>
      <c r="O883" s="242"/>
      <c r="P883" s="13"/>
      <c r="Q883" s="13"/>
      <c r="R883" s="13"/>
      <c r="S883" s="13"/>
      <c r="T883" s="13"/>
      <c r="U883" s="13"/>
      <c r="V883" s="13"/>
      <c r="W883" s="13"/>
      <c r="X883" s="13"/>
      <c r="Y883" s="13"/>
      <c r="Z883" s="13"/>
      <c r="AA883" s="13"/>
      <c r="AB883" s="13"/>
      <c r="AC883" s="13"/>
      <c r="AD883" s="13"/>
      <c r="AE883" s="13"/>
      <c r="AF883" s="242"/>
      <c r="AG883" s="242"/>
      <c r="AH883" s="242"/>
      <c r="AI883" s="242"/>
      <c r="AJ883" s="242"/>
      <c r="AK883" s="242"/>
      <c r="AL883" s="242"/>
      <c r="AM883" s="242"/>
      <c r="AN883" s="242"/>
      <c r="AO883" s="242"/>
      <c r="AP883" s="242"/>
    </row>
    <row r="884">
      <c r="A884" s="242"/>
      <c r="B884" s="242"/>
      <c r="C884" s="242"/>
      <c r="D884" s="242"/>
      <c r="E884" s="242"/>
      <c r="F884" s="242"/>
      <c r="G884" s="242"/>
      <c r="H884" s="242"/>
      <c r="I884" s="242"/>
      <c r="J884" s="242"/>
      <c r="K884" s="242"/>
      <c r="L884" s="242"/>
      <c r="M884" s="242"/>
      <c r="N884" s="242"/>
      <c r="O884" s="242"/>
      <c r="P884" s="13"/>
      <c r="Q884" s="13"/>
      <c r="R884" s="13"/>
      <c r="S884" s="13"/>
      <c r="T884" s="13"/>
      <c r="U884" s="13"/>
      <c r="V884" s="13"/>
      <c r="W884" s="13"/>
      <c r="X884" s="13"/>
      <c r="Y884" s="13"/>
      <c r="Z884" s="13"/>
      <c r="AA884" s="13"/>
      <c r="AB884" s="13"/>
      <c r="AC884" s="13"/>
      <c r="AD884" s="13"/>
      <c r="AE884" s="13"/>
      <c r="AF884" s="242"/>
      <c r="AG884" s="242"/>
      <c r="AH884" s="242"/>
      <c r="AI884" s="242"/>
      <c r="AJ884" s="242"/>
      <c r="AK884" s="242"/>
      <c r="AL884" s="242"/>
      <c r="AM884" s="242"/>
      <c r="AN884" s="242"/>
      <c r="AO884" s="242"/>
      <c r="AP884" s="242"/>
    </row>
    <row r="885">
      <c r="A885" s="242"/>
      <c r="B885" s="242"/>
      <c r="C885" s="242"/>
      <c r="D885" s="242"/>
      <c r="E885" s="242"/>
      <c r="F885" s="242"/>
      <c r="G885" s="242"/>
      <c r="H885" s="242"/>
      <c r="I885" s="242"/>
      <c r="J885" s="242"/>
      <c r="K885" s="242"/>
      <c r="L885" s="242"/>
      <c r="M885" s="242"/>
      <c r="N885" s="242"/>
      <c r="O885" s="242"/>
      <c r="P885" s="13"/>
      <c r="Q885" s="13"/>
      <c r="R885" s="13"/>
      <c r="S885" s="13"/>
      <c r="T885" s="13"/>
      <c r="U885" s="13"/>
      <c r="V885" s="13"/>
      <c r="W885" s="13"/>
      <c r="X885" s="13"/>
      <c r="Y885" s="13"/>
      <c r="Z885" s="13"/>
      <c r="AA885" s="13"/>
      <c r="AB885" s="13"/>
      <c r="AC885" s="13"/>
      <c r="AD885" s="13"/>
      <c r="AE885" s="13"/>
      <c r="AF885" s="242"/>
      <c r="AG885" s="242"/>
      <c r="AH885" s="242"/>
      <c r="AI885" s="242"/>
      <c r="AJ885" s="242"/>
      <c r="AK885" s="242"/>
      <c r="AL885" s="242"/>
      <c r="AM885" s="242"/>
      <c r="AN885" s="242"/>
      <c r="AO885" s="242"/>
      <c r="AP885" s="242"/>
    </row>
    <row r="886">
      <c r="A886" s="242"/>
      <c r="B886" s="242"/>
      <c r="C886" s="242"/>
      <c r="D886" s="242"/>
      <c r="E886" s="242"/>
      <c r="F886" s="242"/>
      <c r="G886" s="242"/>
      <c r="H886" s="242"/>
      <c r="I886" s="242"/>
      <c r="J886" s="242"/>
      <c r="K886" s="242"/>
      <c r="L886" s="242"/>
      <c r="M886" s="242"/>
      <c r="N886" s="242"/>
      <c r="O886" s="242"/>
      <c r="P886" s="13"/>
      <c r="Q886" s="13"/>
      <c r="R886" s="13"/>
      <c r="S886" s="13"/>
      <c r="T886" s="13"/>
      <c r="U886" s="13"/>
      <c r="V886" s="13"/>
      <c r="W886" s="13"/>
      <c r="X886" s="13"/>
      <c r="Y886" s="13"/>
      <c r="Z886" s="13"/>
      <c r="AA886" s="13"/>
      <c r="AB886" s="13"/>
      <c r="AC886" s="13"/>
      <c r="AD886" s="13"/>
      <c r="AE886" s="13"/>
      <c r="AF886" s="242"/>
      <c r="AG886" s="242"/>
      <c r="AH886" s="242"/>
      <c r="AI886" s="242"/>
      <c r="AJ886" s="242"/>
      <c r="AK886" s="242"/>
      <c r="AL886" s="242"/>
      <c r="AM886" s="242"/>
      <c r="AN886" s="242"/>
      <c r="AO886" s="242"/>
      <c r="AP886" s="242"/>
    </row>
    <row r="887">
      <c r="A887" s="242"/>
      <c r="B887" s="242"/>
      <c r="C887" s="242"/>
      <c r="D887" s="242"/>
      <c r="E887" s="242"/>
      <c r="F887" s="242"/>
      <c r="G887" s="242"/>
      <c r="H887" s="242"/>
      <c r="I887" s="242"/>
      <c r="J887" s="242"/>
      <c r="K887" s="242"/>
      <c r="L887" s="242"/>
      <c r="M887" s="242"/>
      <c r="N887" s="242"/>
      <c r="O887" s="242"/>
      <c r="P887" s="13"/>
      <c r="Q887" s="13"/>
      <c r="R887" s="13"/>
      <c r="S887" s="13"/>
      <c r="T887" s="13"/>
      <c r="U887" s="13"/>
      <c r="V887" s="13"/>
      <c r="W887" s="13"/>
      <c r="X887" s="13"/>
      <c r="Y887" s="13"/>
      <c r="Z887" s="13"/>
      <c r="AA887" s="13"/>
      <c r="AB887" s="13"/>
      <c r="AC887" s="13"/>
      <c r="AD887" s="13"/>
      <c r="AE887" s="13"/>
      <c r="AF887" s="242"/>
      <c r="AG887" s="242"/>
      <c r="AH887" s="242"/>
      <c r="AI887" s="242"/>
      <c r="AJ887" s="242"/>
      <c r="AK887" s="242"/>
      <c r="AL887" s="242"/>
      <c r="AM887" s="242"/>
      <c r="AN887" s="242"/>
      <c r="AO887" s="242"/>
      <c r="AP887" s="242"/>
    </row>
    <row r="888">
      <c r="A888" s="242"/>
      <c r="B888" s="242"/>
      <c r="C888" s="242"/>
      <c r="D888" s="242"/>
      <c r="E888" s="242"/>
      <c r="F888" s="242"/>
      <c r="G888" s="242"/>
      <c r="H888" s="242"/>
      <c r="I888" s="242"/>
      <c r="J888" s="242"/>
      <c r="K888" s="242"/>
      <c r="L888" s="242"/>
      <c r="M888" s="242"/>
      <c r="N888" s="242"/>
      <c r="O888" s="242"/>
      <c r="P888" s="13"/>
      <c r="Q888" s="13"/>
      <c r="R888" s="13"/>
      <c r="S888" s="13"/>
      <c r="T888" s="13"/>
      <c r="U888" s="13"/>
      <c r="V888" s="13"/>
      <c r="W888" s="13"/>
      <c r="X888" s="13"/>
      <c r="Y888" s="13"/>
      <c r="Z888" s="13"/>
      <c r="AA888" s="13"/>
      <c r="AB888" s="13"/>
      <c r="AC888" s="13"/>
      <c r="AD888" s="13"/>
      <c r="AE888" s="13"/>
      <c r="AF888" s="242"/>
      <c r="AG888" s="242"/>
      <c r="AH888" s="242"/>
      <c r="AI888" s="242"/>
      <c r="AJ888" s="242"/>
      <c r="AK888" s="242"/>
      <c r="AL888" s="242"/>
      <c r="AM888" s="242"/>
      <c r="AN888" s="242"/>
      <c r="AO888" s="242"/>
      <c r="AP888" s="242"/>
    </row>
    <row r="889">
      <c r="A889" s="242"/>
      <c r="B889" s="242"/>
      <c r="C889" s="242"/>
      <c r="D889" s="242"/>
      <c r="E889" s="242"/>
      <c r="F889" s="242"/>
      <c r="G889" s="242"/>
      <c r="H889" s="242"/>
      <c r="I889" s="242"/>
      <c r="J889" s="242"/>
      <c r="K889" s="242"/>
      <c r="L889" s="242"/>
      <c r="M889" s="242"/>
      <c r="N889" s="242"/>
      <c r="O889" s="242"/>
      <c r="P889" s="13"/>
      <c r="Q889" s="13"/>
      <c r="R889" s="13"/>
      <c r="S889" s="13"/>
      <c r="T889" s="13"/>
      <c r="U889" s="13"/>
      <c r="V889" s="13"/>
      <c r="W889" s="13"/>
      <c r="X889" s="13"/>
      <c r="Y889" s="13"/>
      <c r="Z889" s="13"/>
      <c r="AA889" s="13"/>
      <c r="AB889" s="13"/>
      <c r="AC889" s="13"/>
      <c r="AD889" s="13"/>
      <c r="AE889" s="13"/>
      <c r="AF889" s="242"/>
      <c r="AG889" s="242"/>
      <c r="AH889" s="242"/>
      <c r="AI889" s="242"/>
      <c r="AJ889" s="242"/>
      <c r="AK889" s="242"/>
      <c r="AL889" s="242"/>
      <c r="AM889" s="242"/>
      <c r="AN889" s="242"/>
      <c r="AO889" s="242"/>
      <c r="AP889" s="242"/>
    </row>
    <row r="890">
      <c r="A890" s="242"/>
      <c r="B890" s="242"/>
      <c r="C890" s="242"/>
      <c r="D890" s="242"/>
      <c r="E890" s="242"/>
      <c r="F890" s="242"/>
      <c r="G890" s="242"/>
      <c r="H890" s="242"/>
      <c r="I890" s="242"/>
      <c r="J890" s="242"/>
      <c r="K890" s="242"/>
      <c r="L890" s="242"/>
      <c r="M890" s="242"/>
      <c r="N890" s="242"/>
      <c r="O890" s="242"/>
      <c r="P890" s="13"/>
      <c r="Q890" s="13"/>
      <c r="R890" s="13"/>
      <c r="S890" s="13"/>
      <c r="T890" s="13"/>
      <c r="U890" s="13"/>
      <c r="V890" s="13"/>
      <c r="W890" s="13"/>
      <c r="X890" s="13"/>
      <c r="Y890" s="13"/>
      <c r="Z890" s="13"/>
      <c r="AA890" s="13"/>
      <c r="AB890" s="13"/>
      <c r="AC890" s="13"/>
      <c r="AD890" s="13"/>
      <c r="AE890" s="13"/>
      <c r="AF890" s="242"/>
      <c r="AG890" s="242"/>
      <c r="AH890" s="242"/>
      <c r="AI890" s="242"/>
      <c r="AJ890" s="242"/>
      <c r="AK890" s="242"/>
      <c r="AL890" s="242"/>
      <c r="AM890" s="242"/>
      <c r="AN890" s="242"/>
      <c r="AO890" s="242"/>
      <c r="AP890" s="242"/>
    </row>
    <row r="891">
      <c r="A891" s="242"/>
      <c r="B891" s="242"/>
      <c r="C891" s="242"/>
      <c r="D891" s="242"/>
      <c r="E891" s="242"/>
      <c r="F891" s="242"/>
      <c r="G891" s="242"/>
      <c r="H891" s="242"/>
      <c r="I891" s="242"/>
      <c r="J891" s="242"/>
      <c r="K891" s="242"/>
      <c r="L891" s="242"/>
      <c r="M891" s="242"/>
      <c r="N891" s="242"/>
      <c r="O891" s="242"/>
      <c r="P891" s="13"/>
      <c r="Q891" s="13"/>
      <c r="R891" s="13"/>
      <c r="S891" s="13"/>
      <c r="T891" s="13"/>
      <c r="U891" s="13"/>
      <c r="V891" s="13"/>
      <c r="W891" s="13"/>
      <c r="X891" s="13"/>
      <c r="Y891" s="13"/>
      <c r="Z891" s="13"/>
      <c r="AA891" s="13"/>
      <c r="AB891" s="13"/>
      <c r="AC891" s="13"/>
      <c r="AD891" s="13"/>
      <c r="AE891" s="13"/>
      <c r="AF891" s="242"/>
      <c r="AG891" s="242"/>
      <c r="AH891" s="242"/>
      <c r="AI891" s="242"/>
      <c r="AJ891" s="242"/>
      <c r="AK891" s="242"/>
      <c r="AL891" s="242"/>
      <c r="AM891" s="242"/>
      <c r="AN891" s="242"/>
      <c r="AO891" s="242"/>
      <c r="AP891" s="242"/>
    </row>
    <row r="892">
      <c r="A892" s="242"/>
      <c r="B892" s="242"/>
      <c r="C892" s="242"/>
      <c r="D892" s="242"/>
      <c r="E892" s="242"/>
      <c r="F892" s="242"/>
      <c r="G892" s="242"/>
      <c r="H892" s="242"/>
      <c r="I892" s="242"/>
      <c r="J892" s="242"/>
      <c r="K892" s="242"/>
      <c r="L892" s="242"/>
      <c r="M892" s="242"/>
      <c r="N892" s="242"/>
      <c r="O892" s="242"/>
      <c r="P892" s="13"/>
      <c r="Q892" s="13"/>
      <c r="R892" s="13"/>
      <c r="S892" s="13"/>
      <c r="T892" s="13"/>
      <c r="U892" s="13"/>
      <c r="V892" s="13"/>
      <c r="W892" s="13"/>
      <c r="X892" s="13"/>
      <c r="Y892" s="13"/>
      <c r="Z892" s="13"/>
      <c r="AA892" s="13"/>
      <c r="AB892" s="13"/>
      <c r="AC892" s="13"/>
      <c r="AD892" s="13"/>
      <c r="AE892" s="13"/>
      <c r="AF892" s="242"/>
      <c r="AG892" s="242"/>
      <c r="AH892" s="242"/>
      <c r="AI892" s="242"/>
      <c r="AJ892" s="242"/>
      <c r="AK892" s="242"/>
      <c r="AL892" s="242"/>
      <c r="AM892" s="242"/>
      <c r="AN892" s="242"/>
      <c r="AO892" s="242"/>
      <c r="AP892" s="242"/>
    </row>
    <row r="893">
      <c r="A893" s="242"/>
      <c r="B893" s="242"/>
      <c r="C893" s="242"/>
      <c r="D893" s="242"/>
      <c r="E893" s="242"/>
      <c r="F893" s="242"/>
      <c r="G893" s="242"/>
      <c r="H893" s="242"/>
      <c r="I893" s="242"/>
      <c r="J893" s="242"/>
      <c r="K893" s="242"/>
      <c r="L893" s="242"/>
      <c r="M893" s="242"/>
      <c r="N893" s="242"/>
      <c r="O893" s="242"/>
      <c r="P893" s="13"/>
      <c r="Q893" s="13"/>
      <c r="R893" s="13"/>
      <c r="S893" s="13"/>
      <c r="T893" s="13"/>
      <c r="U893" s="13"/>
      <c r="V893" s="13"/>
      <c r="W893" s="13"/>
      <c r="X893" s="13"/>
      <c r="Y893" s="13"/>
      <c r="Z893" s="13"/>
      <c r="AA893" s="13"/>
      <c r="AB893" s="13"/>
      <c r="AC893" s="13"/>
      <c r="AD893" s="13"/>
      <c r="AE893" s="13"/>
      <c r="AF893" s="242"/>
      <c r="AG893" s="242"/>
      <c r="AH893" s="242"/>
      <c r="AI893" s="242"/>
      <c r="AJ893" s="242"/>
      <c r="AK893" s="242"/>
      <c r="AL893" s="242"/>
      <c r="AM893" s="242"/>
      <c r="AN893" s="242"/>
      <c r="AO893" s="242"/>
      <c r="AP893" s="242"/>
    </row>
    <row r="894">
      <c r="A894" s="242"/>
      <c r="B894" s="242"/>
      <c r="C894" s="242"/>
      <c r="D894" s="242"/>
      <c r="E894" s="242"/>
      <c r="F894" s="242"/>
      <c r="G894" s="242"/>
      <c r="H894" s="242"/>
      <c r="I894" s="242"/>
      <c r="J894" s="242"/>
      <c r="K894" s="242"/>
      <c r="L894" s="242"/>
      <c r="M894" s="242"/>
      <c r="N894" s="242"/>
      <c r="O894" s="242"/>
      <c r="P894" s="13"/>
      <c r="Q894" s="13"/>
      <c r="R894" s="13"/>
      <c r="S894" s="13"/>
      <c r="T894" s="13"/>
      <c r="U894" s="13"/>
      <c r="V894" s="13"/>
      <c r="W894" s="13"/>
      <c r="X894" s="13"/>
      <c r="Y894" s="13"/>
      <c r="Z894" s="13"/>
      <c r="AA894" s="13"/>
      <c r="AB894" s="13"/>
      <c r="AC894" s="13"/>
      <c r="AD894" s="13"/>
      <c r="AE894" s="13"/>
      <c r="AF894" s="242"/>
      <c r="AG894" s="242"/>
      <c r="AH894" s="242"/>
      <c r="AI894" s="242"/>
      <c r="AJ894" s="242"/>
      <c r="AK894" s="242"/>
      <c r="AL894" s="242"/>
      <c r="AM894" s="242"/>
      <c r="AN894" s="242"/>
      <c r="AO894" s="242"/>
      <c r="AP894" s="242"/>
    </row>
    <row r="895">
      <c r="A895" s="242"/>
      <c r="B895" s="242"/>
      <c r="C895" s="242"/>
      <c r="D895" s="242"/>
      <c r="E895" s="242"/>
      <c r="F895" s="242"/>
      <c r="G895" s="242"/>
      <c r="H895" s="242"/>
      <c r="I895" s="242"/>
      <c r="J895" s="242"/>
      <c r="K895" s="242"/>
      <c r="L895" s="242"/>
      <c r="M895" s="242"/>
      <c r="N895" s="242"/>
      <c r="O895" s="242"/>
      <c r="P895" s="13"/>
      <c r="Q895" s="13"/>
      <c r="R895" s="13"/>
      <c r="S895" s="13"/>
      <c r="T895" s="13"/>
      <c r="U895" s="13"/>
      <c r="V895" s="13"/>
      <c r="W895" s="13"/>
      <c r="X895" s="13"/>
      <c r="Y895" s="13"/>
      <c r="Z895" s="13"/>
      <c r="AA895" s="13"/>
      <c r="AB895" s="13"/>
      <c r="AC895" s="13"/>
      <c r="AD895" s="13"/>
      <c r="AE895" s="13"/>
      <c r="AF895" s="242"/>
      <c r="AG895" s="242"/>
      <c r="AH895" s="242"/>
      <c r="AI895" s="242"/>
      <c r="AJ895" s="242"/>
      <c r="AK895" s="242"/>
      <c r="AL895" s="242"/>
      <c r="AM895" s="242"/>
      <c r="AN895" s="242"/>
      <c r="AO895" s="242"/>
      <c r="AP895" s="242"/>
    </row>
    <row r="896">
      <c r="A896" s="242"/>
      <c r="B896" s="242"/>
      <c r="C896" s="242"/>
      <c r="D896" s="242"/>
      <c r="E896" s="242"/>
      <c r="F896" s="242"/>
      <c r="G896" s="242"/>
      <c r="H896" s="242"/>
      <c r="I896" s="242"/>
      <c r="J896" s="242"/>
      <c r="K896" s="242"/>
      <c r="L896" s="242"/>
      <c r="M896" s="242"/>
      <c r="N896" s="242"/>
      <c r="O896" s="242"/>
      <c r="P896" s="13"/>
      <c r="Q896" s="13"/>
      <c r="R896" s="13"/>
      <c r="S896" s="13"/>
      <c r="T896" s="13"/>
      <c r="U896" s="13"/>
      <c r="V896" s="13"/>
      <c r="W896" s="13"/>
      <c r="X896" s="13"/>
      <c r="Y896" s="13"/>
      <c r="Z896" s="13"/>
      <c r="AA896" s="13"/>
      <c r="AB896" s="13"/>
      <c r="AC896" s="13"/>
      <c r="AD896" s="13"/>
      <c r="AE896" s="13"/>
      <c r="AF896" s="242"/>
      <c r="AG896" s="242"/>
      <c r="AH896" s="242"/>
      <c r="AI896" s="242"/>
      <c r="AJ896" s="242"/>
      <c r="AK896" s="242"/>
      <c r="AL896" s="242"/>
      <c r="AM896" s="242"/>
      <c r="AN896" s="242"/>
      <c r="AO896" s="242"/>
      <c r="AP896" s="242"/>
    </row>
    <row r="897">
      <c r="A897" s="242"/>
      <c r="B897" s="242"/>
      <c r="C897" s="242"/>
      <c r="D897" s="242"/>
      <c r="E897" s="242"/>
      <c r="F897" s="242"/>
      <c r="G897" s="242"/>
      <c r="H897" s="242"/>
      <c r="I897" s="242"/>
      <c r="J897" s="242"/>
      <c r="K897" s="242"/>
      <c r="L897" s="242"/>
      <c r="M897" s="242"/>
      <c r="N897" s="242"/>
      <c r="O897" s="242"/>
      <c r="P897" s="13"/>
      <c r="Q897" s="13"/>
      <c r="R897" s="13"/>
      <c r="S897" s="13"/>
      <c r="T897" s="13"/>
      <c r="U897" s="13"/>
      <c r="V897" s="13"/>
      <c r="W897" s="13"/>
      <c r="X897" s="13"/>
      <c r="Y897" s="13"/>
      <c r="Z897" s="13"/>
      <c r="AA897" s="13"/>
      <c r="AB897" s="13"/>
      <c r="AC897" s="13"/>
      <c r="AD897" s="13"/>
      <c r="AE897" s="13"/>
      <c r="AF897" s="242"/>
      <c r="AG897" s="242"/>
      <c r="AH897" s="242"/>
      <c r="AI897" s="242"/>
      <c r="AJ897" s="242"/>
      <c r="AK897" s="242"/>
      <c r="AL897" s="242"/>
      <c r="AM897" s="242"/>
      <c r="AN897" s="242"/>
      <c r="AO897" s="242"/>
      <c r="AP897" s="242"/>
    </row>
    <row r="898">
      <c r="A898" s="242"/>
      <c r="B898" s="242"/>
      <c r="C898" s="242"/>
      <c r="D898" s="242"/>
      <c r="E898" s="242"/>
      <c r="F898" s="242"/>
      <c r="G898" s="242"/>
      <c r="H898" s="242"/>
      <c r="I898" s="242"/>
      <c r="J898" s="242"/>
      <c r="K898" s="242"/>
      <c r="L898" s="242"/>
      <c r="M898" s="242"/>
      <c r="N898" s="242"/>
      <c r="O898" s="242"/>
      <c r="P898" s="13"/>
      <c r="Q898" s="13"/>
      <c r="R898" s="13"/>
      <c r="S898" s="13"/>
      <c r="T898" s="13"/>
      <c r="U898" s="13"/>
      <c r="V898" s="13"/>
      <c r="W898" s="13"/>
      <c r="X898" s="13"/>
      <c r="Y898" s="13"/>
      <c r="Z898" s="13"/>
      <c r="AA898" s="13"/>
      <c r="AB898" s="13"/>
      <c r="AC898" s="13"/>
      <c r="AD898" s="13"/>
      <c r="AE898" s="13"/>
      <c r="AF898" s="242"/>
      <c r="AG898" s="242"/>
      <c r="AH898" s="242"/>
      <c r="AI898" s="242"/>
      <c r="AJ898" s="242"/>
      <c r="AK898" s="242"/>
      <c r="AL898" s="242"/>
      <c r="AM898" s="242"/>
      <c r="AN898" s="242"/>
      <c r="AO898" s="242"/>
      <c r="AP898" s="242"/>
    </row>
    <row r="899">
      <c r="A899" s="242"/>
      <c r="B899" s="242"/>
      <c r="C899" s="242"/>
      <c r="D899" s="242"/>
      <c r="E899" s="242"/>
      <c r="F899" s="242"/>
      <c r="G899" s="242"/>
      <c r="H899" s="242"/>
      <c r="I899" s="242"/>
      <c r="J899" s="242"/>
      <c r="K899" s="242"/>
      <c r="L899" s="242"/>
      <c r="M899" s="242"/>
      <c r="N899" s="242"/>
      <c r="O899" s="242"/>
      <c r="P899" s="13"/>
      <c r="Q899" s="13"/>
      <c r="R899" s="13"/>
      <c r="S899" s="13"/>
      <c r="T899" s="13"/>
      <c r="U899" s="13"/>
      <c r="V899" s="13"/>
      <c r="W899" s="13"/>
      <c r="X899" s="13"/>
      <c r="Y899" s="13"/>
      <c r="Z899" s="13"/>
      <c r="AA899" s="13"/>
      <c r="AB899" s="13"/>
      <c r="AC899" s="13"/>
      <c r="AD899" s="13"/>
      <c r="AE899" s="13"/>
      <c r="AF899" s="242"/>
      <c r="AG899" s="242"/>
      <c r="AH899" s="242"/>
      <c r="AI899" s="242"/>
      <c r="AJ899" s="242"/>
      <c r="AK899" s="242"/>
      <c r="AL899" s="242"/>
      <c r="AM899" s="242"/>
      <c r="AN899" s="242"/>
      <c r="AO899" s="242"/>
      <c r="AP899" s="242"/>
    </row>
    <row r="900">
      <c r="A900" s="242"/>
      <c r="B900" s="242"/>
      <c r="C900" s="242"/>
      <c r="D900" s="242"/>
      <c r="E900" s="242"/>
      <c r="F900" s="242"/>
      <c r="G900" s="242"/>
      <c r="H900" s="242"/>
      <c r="I900" s="242"/>
      <c r="J900" s="242"/>
      <c r="K900" s="242"/>
      <c r="L900" s="242"/>
      <c r="M900" s="242"/>
      <c r="N900" s="242"/>
      <c r="O900" s="242"/>
      <c r="P900" s="13"/>
      <c r="Q900" s="13"/>
      <c r="R900" s="13"/>
      <c r="S900" s="13"/>
      <c r="T900" s="13"/>
      <c r="U900" s="13"/>
      <c r="V900" s="13"/>
      <c r="W900" s="13"/>
      <c r="X900" s="13"/>
      <c r="Y900" s="13"/>
      <c r="Z900" s="13"/>
      <c r="AA900" s="13"/>
      <c r="AB900" s="13"/>
      <c r="AC900" s="13"/>
      <c r="AD900" s="13"/>
      <c r="AE900" s="13"/>
      <c r="AF900" s="242"/>
      <c r="AG900" s="242"/>
      <c r="AH900" s="242"/>
      <c r="AI900" s="242"/>
      <c r="AJ900" s="242"/>
      <c r="AK900" s="242"/>
      <c r="AL900" s="242"/>
      <c r="AM900" s="242"/>
      <c r="AN900" s="242"/>
      <c r="AO900" s="242"/>
      <c r="AP900" s="242"/>
    </row>
    <row r="901">
      <c r="A901" s="242"/>
      <c r="B901" s="242"/>
      <c r="C901" s="242"/>
      <c r="D901" s="242"/>
      <c r="E901" s="242"/>
      <c r="F901" s="242"/>
      <c r="G901" s="242"/>
      <c r="H901" s="242"/>
      <c r="I901" s="242"/>
      <c r="J901" s="242"/>
      <c r="K901" s="242"/>
      <c r="L901" s="242"/>
      <c r="M901" s="242"/>
      <c r="N901" s="242"/>
      <c r="O901" s="242"/>
      <c r="P901" s="13"/>
      <c r="Q901" s="13"/>
      <c r="R901" s="13"/>
      <c r="S901" s="13"/>
      <c r="T901" s="13"/>
      <c r="U901" s="13"/>
      <c r="V901" s="13"/>
      <c r="W901" s="13"/>
      <c r="X901" s="13"/>
      <c r="Y901" s="13"/>
      <c r="Z901" s="13"/>
      <c r="AA901" s="13"/>
      <c r="AB901" s="13"/>
      <c r="AC901" s="13"/>
      <c r="AD901" s="13"/>
      <c r="AE901" s="13"/>
      <c r="AF901" s="242"/>
      <c r="AG901" s="242"/>
      <c r="AH901" s="242"/>
      <c r="AI901" s="242"/>
      <c r="AJ901" s="242"/>
      <c r="AK901" s="242"/>
      <c r="AL901" s="242"/>
      <c r="AM901" s="242"/>
      <c r="AN901" s="242"/>
      <c r="AO901" s="242"/>
      <c r="AP901" s="242"/>
    </row>
    <row r="902">
      <c r="A902" s="242"/>
      <c r="B902" s="242"/>
      <c r="C902" s="242"/>
      <c r="D902" s="242"/>
      <c r="E902" s="242"/>
      <c r="F902" s="242"/>
      <c r="G902" s="242"/>
      <c r="H902" s="242"/>
      <c r="I902" s="242"/>
      <c r="J902" s="242"/>
      <c r="K902" s="242"/>
      <c r="L902" s="242"/>
      <c r="M902" s="242"/>
      <c r="N902" s="242"/>
      <c r="O902" s="242"/>
      <c r="P902" s="13"/>
      <c r="Q902" s="13"/>
      <c r="R902" s="13"/>
      <c r="S902" s="13"/>
      <c r="T902" s="13"/>
      <c r="U902" s="13"/>
      <c r="V902" s="13"/>
      <c r="W902" s="13"/>
      <c r="X902" s="13"/>
      <c r="Y902" s="13"/>
      <c r="Z902" s="13"/>
      <c r="AA902" s="13"/>
      <c r="AB902" s="13"/>
      <c r="AC902" s="13"/>
      <c r="AD902" s="13"/>
      <c r="AE902" s="13"/>
      <c r="AF902" s="242"/>
      <c r="AG902" s="242"/>
      <c r="AH902" s="242"/>
      <c r="AI902" s="242"/>
      <c r="AJ902" s="242"/>
      <c r="AK902" s="242"/>
      <c r="AL902" s="242"/>
      <c r="AM902" s="242"/>
      <c r="AN902" s="242"/>
      <c r="AO902" s="242"/>
      <c r="AP902" s="242"/>
    </row>
    <row r="903">
      <c r="A903" s="242"/>
      <c r="B903" s="242"/>
      <c r="C903" s="242"/>
      <c r="D903" s="242"/>
      <c r="E903" s="242"/>
      <c r="F903" s="242"/>
      <c r="G903" s="242"/>
      <c r="H903" s="242"/>
      <c r="I903" s="242"/>
      <c r="J903" s="242"/>
      <c r="K903" s="242"/>
      <c r="L903" s="242"/>
      <c r="M903" s="242"/>
      <c r="N903" s="242"/>
      <c r="O903" s="242"/>
      <c r="P903" s="13"/>
      <c r="Q903" s="13"/>
      <c r="R903" s="13"/>
      <c r="S903" s="13"/>
      <c r="T903" s="13"/>
      <c r="U903" s="13"/>
      <c r="V903" s="13"/>
      <c r="W903" s="13"/>
      <c r="X903" s="13"/>
      <c r="Y903" s="13"/>
      <c r="Z903" s="13"/>
      <c r="AA903" s="13"/>
      <c r="AB903" s="13"/>
      <c r="AC903" s="13"/>
      <c r="AD903" s="13"/>
      <c r="AE903" s="13"/>
      <c r="AF903" s="242"/>
      <c r="AG903" s="242"/>
      <c r="AH903" s="242"/>
      <c r="AI903" s="242"/>
      <c r="AJ903" s="242"/>
      <c r="AK903" s="242"/>
      <c r="AL903" s="242"/>
      <c r="AM903" s="242"/>
      <c r="AN903" s="242"/>
      <c r="AO903" s="242"/>
      <c r="AP903" s="242"/>
    </row>
    <row r="904">
      <c r="A904" s="242"/>
      <c r="B904" s="242"/>
      <c r="C904" s="242"/>
      <c r="D904" s="242"/>
      <c r="E904" s="242"/>
      <c r="F904" s="242"/>
      <c r="G904" s="242"/>
      <c r="H904" s="242"/>
      <c r="I904" s="242"/>
      <c r="J904" s="242"/>
      <c r="K904" s="242"/>
      <c r="L904" s="242"/>
      <c r="M904" s="242"/>
      <c r="N904" s="242"/>
      <c r="O904" s="242"/>
      <c r="P904" s="13"/>
      <c r="Q904" s="13"/>
      <c r="R904" s="13"/>
      <c r="S904" s="13"/>
      <c r="T904" s="13"/>
      <c r="U904" s="13"/>
      <c r="V904" s="13"/>
      <c r="W904" s="13"/>
      <c r="X904" s="13"/>
      <c r="Y904" s="13"/>
      <c r="Z904" s="13"/>
      <c r="AA904" s="13"/>
      <c r="AB904" s="13"/>
      <c r="AC904" s="13"/>
      <c r="AD904" s="13"/>
      <c r="AE904" s="13"/>
      <c r="AF904" s="242"/>
      <c r="AG904" s="242"/>
      <c r="AH904" s="242"/>
      <c r="AI904" s="242"/>
      <c r="AJ904" s="242"/>
      <c r="AK904" s="242"/>
      <c r="AL904" s="242"/>
      <c r="AM904" s="242"/>
      <c r="AN904" s="242"/>
      <c r="AO904" s="242"/>
      <c r="AP904" s="242"/>
    </row>
    <row r="905">
      <c r="A905" s="242"/>
      <c r="B905" s="242"/>
      <c r="C905" s="242"/>
      <c r="D905" s="242"/>
      <c r="E905" s="242"/>
      <c r="F905" s="242"/>
      <c r="G905" s="242"/>
      <c r="H905" s="242"/>
      <c r="I905" s="242"/>
      <c r="J905" s="242"/>
      <c r="K905" s="242"/>
      <c r="L905" s="242"/>
      <c r="M905" s="242"/>
      <c r="N905" s="242"/>
      <c r="O905" s="242"/>
      <c r="P905" s="13"/>
      <c r="Q905" s="13"/>
      <c r="R905" s="13"/>
      <c r="S905" s="13"/>
      <c r="T905" s="13"/>
      <c r="U905" s="13"/>
      <c r="V905" s="13"/>
      <c r="W905" s="13"/>
      <c r="X905" s="13"/>
      <c r="Y905" s="13"/>
      <c r="Z905" s="13"/>
      <c r="AA905" s="13"/>
      <c r="AB905" s="13"/>
      <c r="AC905" s="13"/>
      <c r="AD905" s="13"/>
      <c r="AE905" s="13"/>
      <c r="AF905" s="242"/>
      <c r="AG905" s="242"/>
      <c r="AH905" s="242"/>
      <c r="AI905" s="242"/>
      <c r="AJ905" s="242"/>
      <c r="AK905" s="242"/>
      <c r="AL905" s="242"/>
      <c r="AM905" s="242"/>
      <c r="AN905" s="242"/>
      <c r="AO905" s="242"/>
      <c r="AP905" s="242"/>
    </row>
    <row r="906">
      <c r="A906" s="242"/>
      <c r="B906" s="242"/>
      <c r="C906" s="242"/>
      <c r="D906" s="242"/>
      <c r="E906" s="242"/>
      <c r="F906" s="242"/>
      <c r="G906" s="242"/>
      <c r="H906" s="242"/>
      <c r="I906" s="242"/>
      <c r="J906" s="242"/>
      <c r="K906" s="242"/>
      <c r="L906" s="242"/>
      <c r="M906" s="242"/>
      <c r="N906" s="242"/>
      <c r="O906" s="242"/>
      <c r="P906" s="13"/>
      <c r="Q906" s="13"/>
      <c r="R906" s="13"/>
      <c r="S906" s="13"/>
      <c r="T906" s="13"/>
      <c r="U906" s="13"/>
      <c r="V906" s="13"/>
      <c r="W906" s="13"/>
      <c r="X906" s="13"/>
      <c r="Y906" s="13"/>
      <c r="Z906" s="13"/>
      <c r="AA906" s="13"/>
      <c r="AB906" s="13"/>
      <c r="AC906" s="13"/>
      <c r="AD906" s="13"/>
      <c r="AE906" s="13"/>
      <c r="AF906" s="242"/>
      <c r="AG906" s="242"/>
      <c r="AH906" s="242"/>
      <c r="AI906" s="242"/>
      <c r="AJ906" s="242"/>
      <c r="AK906" s="242"/>
      <c r="AL906" s="242"/>
      <c r="AM906" s="242"/>
      <c r="AN906" s="242"/>
      <c r="AO906" s="242"/>
      <c r="AP906" s="242"/>
    </row>
    <row r="907">
      <c r="A907" s="242"/>
      <c r="B907" s="242"/>
      <c r="C907" s="242"/>
      <c r="D907" s="242"/>
      <c r="E907" s="242"/>
      <c r="F907" s="242"/>
      <c r="G907" s="242"/>
      <c r="H907" s="242"/>
      <c r="I907" s="242"/>
      <c r="J907" s="242"/>
      <c r="K907" s="242"/>
      <c r="L907" s="242"/>
      <c r="M907" s="242"/>
      <c r="N907" s="242"/>
      <c r="O907" s="242"/>
      <c r="P907" s="13"/>
      <c r="Q907" s="13"/>
      <c r="R907" s="13"/>
      <c r="S907" s="13"/>
      <c r="T907" s="13"/>
      <c r="U907" s="13"/>
      <c r="V907" s="13"/>
      <c r="W907" s="13"/>
      <c r="X907" s="13"/>
      <c r="Y907" s="13"/>
      <c r="Z907" s="13"/>
      <c r="AA907" s="13"/>
      <c r="AB907" s="13"/>
      <c r="AC907" s="13"/>
      <c r="AD907" s="13"/>
      <c r="AE907" s="13"/>
      <c r="AF907" s="242"/>
      <c r="AG907" s="242"/>
      <c r="AH907" s="242"/>
      <c r="AI907" s="242"/>
      <c r="AJ907" s="242"/>
      <c r="AK907" s="242"/>
      <c r="AL907" s="242"/>
      <c r="AM907" s="242"/>
      <c r="AN907" s="242"/>
      <c r="AO907" s="242"/>
      <c r="AP907" s="242"/>
    </row>
    <row r="908">
      <c r="A908" s="242"/>
      <c r="B908" s="242"/>
      <c r="C908" s="242"/>
      <c r="D908" s="242"/>
      <c r="E908" s="242"/>
      <c r="F908" s="242"/>
      <c r="G908" s="242"/>
      <c r="H908" s="242"/>
      <c r="I908" s="242"/>
      <c r="J908" s="242"/>
      <c r="K908" s="242"/>
      <c r="L908" s="242"/>
      <c r="M908" s="242"/>
      <c r="N908" s="242"/>
      <c r="O908" s="242"/>
      <c r="P908" s="13"/>
      <c r="Q908" s="13"/>
      <c r="R908" s="13"/>
      <c r="S908" s="13"/>
      <c r="T908" s="13"/>
      <c r="U908" s="13"/>
      <c r="V908" s="13"/>
      <c r="W908" s="13"/>
      <c r="X908" s="13"/>
      <c r="Y908" s="13"/>
      <c r="Z908" s="13"/>
      <c r="AA908" s="13"/>
      <c r="AB908" s="13"/>
      <c r="AC908" s="13"/>
      <c r="AD908" s="13"/>
      <c r="AE908" s="13"/>
      <c r="AF908" s="242"/>
      <c r="AG908" s="242"/>
      <c r="AH908" s="242"/>
      <c r="AI908" s="242"/>
      <c r="AJ908" s="242"/>
      <c r="AK908" s="242"/>
      <c r="AL908" s="242"/>
      <c r="AM908" s="242"/>
      <c r="AN908" s="242"/>
      <c r="AO908" s="242"/>
      <c r="AP908" s="242"/>
    </row>
    <row r="909">
      <c r="A909" s="242"/>
      <c r="B909" s="242"/>
      <c r="C909" s="242"/>
      <c r="D909" s="242"/>
      <c r="E909" s="242"/>
      <c r="F909" s="242"/>
      <c r="G909" s="242"/>
      <c r="H909" s="242"/>
      <c r="I909" s="242"/>
      <c r="J909" s="242"/>
      <c r="K909" s="242"/>
      <c r="L909" s="242"/>
      <c r="M909" s="242"/>
      <c r="N909" s="242"/>
      <c r="O909" s="242"/>
      <c r="P909" s="13"/>
      <c r="Q909" s="13"/>
      <c r="R909" s="13"/>
      <c r="S909" s="13"/>
      <c r="T909" s="13"/>
      <c r="U909" s="13"/>
      <c r="V909" s="13"/>
      <c r="W909" s="13"/>
      <c r="X909" s="13"/>
      <c r="Y909" s="13"/>
      <c r="Z909" s="13"/>
      <c r="AA909" s="13"/>
      <c r="AB909" s="13"/>
      <c r="AC909" s="13"/>
      <c r="AD909" s="13"/>
      <c r="AE909" s="13"/>
      <c r="AF909" s="242"/>
      <c r="AG909" s="242"/>
      <c r="AH909" s="242"/>
      <c r="AI909" s="242"/>
      <c r="AJ909" s="242"/>
      <c r="AK909" s="242"/>
      <c r="AL909" s="242"/>
      <c r="AM909" s="242"/>
      <c r="AN909" s="242"/>
      <c r="AO909" s="242"/>
      <c r="AP909" s="242"/>
    </row>
    <row r="910">
      <c r="A910" s="242"/>
      <c r="B910" s="242"/>
      <c r="C910" s="242"/>
      <c r="D910" s="242"/>
      <c r="E910" s="242"/>
      <c r="F910" s="242"/>
      <c r="G910" s="242"/>
      <c r="H910" s="242"/>
      <c r="I910" s="242"/>
      <c r="J910" s="242"/>
      <c r="K910" s="242"/>
      <c r="L910" s="242"/>
      <c r="M910" s="242"/>
      <c r="N910" s="242"/>
      <c r="O910" s="242"/>
      <c r="P910" s="13"/>
      <c r="Q910" s="13"/>
      <c r="R910" s="13"/>
      <c r="S910" s="13"/>
      <c r="T910" s="13"/>
      <c r="U910" s="13"/>
      <c r="V910" s="13"/>
      <c r="W910" s="13"/>
      <c r="X910" s="13"/>
      <c r="Y910" s="13"/>
      <c r="Z910" s="13"/>
      <c r="AA910" s="13"/>
      <c r="AB910" s="13"/>
      <c r="AC910" s="13"/>
      <c r="AD910" s="13"/>
      <c r="AE910" s="13"/>
      <c r="AF910" s="242"/>
      <c r="AG910" s="242"/>
      <c r="AH910" s="242"/>
      <c r="AI910" s="242"/>
      <c r="AJ910" s="242"/>
      <c r="AK910" s="242"/>
      <c r="AL910" s="242"/>
      <c r="AM910" s="242"/>
      <c r="AN910" s="242"/>
      <c r="AO910" s="242"/>
      <c r="AP910" s="242"/>
    </row>
    <row r="911">
      <c r="A911" s="242"/>
      <c r="B911" s="242"/>
      <c r="C911" s="242"/>
      <c r="D911" s="242"/>
      <c r="E911" s="242"/>
      <c r="F911" s="242"/>
      <c r="G911" s="242"/>
      <c r="H911" s="242"/>
      <c r="I911" s="242"/>
      <c r="J911" s="242"/>
      <c r="K911" s="242"/>
      <c r="L911" s="242"/>
      <c r="M911" s="242"/>
      <c r="N911" s="242"/>
      <c r="O911" s="242"/>
      <c r="P911" s="13"/>
      <c r="Q911" s="13"/>
      <c r="R911" s="13"/>
      <c r="S911" s="13"/>
      <c r="T911" s="13"/>
      <c r="U911" s="13"/>
      <c r="V911" s="13"/>
      <c r="W911" s="13"/>
      <c r="X911" s="13"/>
      <c r="Y911" s="13"/>
      <c r="Z911" s="13"/>
      <c r="AA911" s="13"/>
      <c r="AB911" s="13"/>
      <c r="AC911" s="13"/>
      <c r="AD911" s="13"/>
      <c r="AE911" s="13"/>
      <c r="AF911" s="242"/>
      <c r="AG911" s="242"/>
      <c r="AH911" s="242"/>
      <c r="AI911" s="242"/>
      <c r="AJ911" s="242"/>
      <c r="AK911" s="242"/>
      <c r="AL911" s="242"/>
      <c r="AM911" s="242"/>
      <c r="AN911" s="242"/>
      <c r="AO911" s="242"/>
      <c r="AP911" s="242"/>
    </row>
    <row r="912">
      <c r="A912" s="242"/>
      <c r="B912" s="242"/>
      <c r="C912" s="242"/>
      <c r="D912" s="242"/>
      <c r="E912" s="242"/>
      <c r="F912" s="242"/>
      <c r="G912" s="242"/>
      <c r="H912" s="242"/>
      <c r="I912" s="242"/>
      <c r="J912" s="242"/>
      <c r="K912" s="242"/>
      <c r="L912" s="242"/>
      <c r="M912" s="242"/>
      <c r="N912" s="242"/>
      <c r="O912" s="242"/>
      <c r="P912" s="13"/>
      <c r="Q912" s="13"/>
      <c r="R912" s="13"/>
      <c r="S912" s="13"/>
      <c r="T912" s="13"/>
      <c r="U912" s="13"/>
      <c r="V912" s="13"/>
      <c r="W912" s="13"/>
      <c r="X912" s="13"/>
      <c r="Y912" s="13"/>
      <c r="Z912" s="13"/>
      <c r="AA912" s="13"/>
      <c r="AB912" s="13"/>
      <c r="AC912" s="13"/>
      <c r="AD912" s="13"/>
      <c r="AE912" s="13"/>
      <c r="AF912" s="242"/>
      <c r="AG912" s="242"/>
      <c r="AH912" s="242"/>
      <c r="AI912" s="242"/>
      <c r="AJ912" s="242"/>
      <c r="AK912" s="242"/>
      <c r="AL912" s="242"/>
      <c r="AM912" s="242"/>
      <c r="AN912" s="242"/>
      <c r="AO912" s="242"/>
      <c r="AP912" s="242"/>
    </row>
    <row r="913">
      <c r="A913" s="242"/>
      <c r="B913" s="242"/>
      <c r="C913" s="242"/>
      <c r="D913" s="242"/>
      <c r="E913" s="242"/>
      <c r="F913" s="242"/>
      <c r="G913" s="242"/>
      <c r="H913" s="242"/>
      <c r="I913" s="242"/>
      <c r="J913" s="242"/>
      <c r="K913" s="242"/>
      <c r="L913" s="242"/>
      <c r="M913" s="242"/>
      <c r="N913" s="242"/>
      <c r="O913" s="242"/>
      <c r="P913" s="13"/>
      <c r="Q913" s="13"/>
      <c r="R913" s="13"/>
      <c r="S913" s="13"/>
      <c r="T913" s="13"/>
      <c r="U913" s="13"/>
      <c r="V913" s="13"/>
      <c r="W913" s="13"/>
      <c r="X913" s="13"/>
      <c r="Y913" s="13"/>
      <c r="Z913" s="13"/>
      <c r="AA913" s="13"/>
      <c r="AB913" s="13"/>
      <c r="AC913" s="13"/>
      <c r="AD913" s="13"/>
      <c r="AE913" s="13"/>
      <c r="AF913" s="242"/>
      <c r="AG913" s="242"/>
      <c r="AH913" s="242"/>
      <c r="AI913" s="242"/>
      <c r="AJ913" s="242"/>
      <c r="AK913" s="242"/>
      <c r="AL913" s="242"/>
      <c r="AM913" s="242"/>
      <c r="AN913" s="242"/>
      <c r="AO913" s="242"/>
      <c r="AP913" s="242"/>
    </row>
    <row r="914">
      <c r="A914" s="242"/>
      <c r="B914" s="242"/>
      <c r="C914" s="242"/>
      <c r="D914" s="242"/>
      <c r="E914" s="242"/>
      <c r="F914" s="242"/>
      <c r="G914" s="242"/>
      <c r="H914" s="242"/>
      <c r="I914" s="242"/>
      <c r="J914" s="242"/>
      <c r="K914" s="242"/>
      <c r="L914" s="242"/>
      <c r="M914" s="242"/>
      <c r="N914" s="242"/>
      <c r="O914" s="242"/>
      <c r="P914" s="13"/>
      <c r="Q914" s="13"/>
      <c r="R914" s="13"/>
      <c r="S914" s="13"/>
      <c r="T914" s="13"/>
      <c r="U914" s="13"/>
      <c r="V914" s="13"/>
      <c r="W914" s="13"/>
      <c r="X914" s="13"/>
      <c r="Y914" s="13"/>
      <c r="Z914" s="13"/>
      <c r="AA914" s="13"/>
      <c r="AB914" s="13"/>
      <c r="AC914" s="13"/>
      <c r="AD914" s="13"/>
      <c r="AE914" s="13"/>
      <c r="AF914" s="242"/>
      <c r="AG914" s="242"/>
      <c r="AH914" s="242"/>
      <c r="AI914" s="242"/>
      <c r="AJ914" s="242"/>
      <c r="AK914" s="242"/>
      <c r="AL914" s="242"/>
      <c r="AM914" s="242"/>
      <c r="AN914" s="242"/>
      <c r="AO914" s="242"/>
      <c r="AP914" s="242"/>
    </row>
    <row r="915">
      <c r="A915" s="242"/>
      <c r="B915" s="242"/>
      <c r="C915" s="242"/>
      <c r="D915" s="242"/>
      <c r="E915" s="242"/>
      <c r="F915" s="242"/>
      <c r="G915" s="242"/>
      <c r="H915" s="242"/>
      <c r="I915" s="242"/>
      <c r="J915" s="242"/>
      <c r="K915" s="242"/>
      <c r="L915" s="242"/>
      <c r="M915" s="242"/>
      <c r="N915" s="242"/>
      <c r="O915" s="242"/>
      <c r="P915" s="13"/>
      <c r="Q915" s="13"/>
      <c r="R915" s="13"/>
      <c r="S915" s="13"/>
      <c r="T915" s="13"/>
      <c r="U915" s="13"/>
      <c r="V915" s="13"/>
      <c r="W915" s="13"/>
      <c r="X915" s="13"/>
      <c r="Y915" s="13"/>
      <c r="Z915" s="13"/>
      <c r="AA915" s="13"/>
      <c r="AB915" s="13"/>
      <c r="AC915" s="13"/>
      <c r="AD915" s="13"/>
      <c r="AE915" s="13"/>
      <c r="AF915" s="242"/>
      <c r="AG915" s="242"/>
      <c r="AH915" s="242"/>
      <c r="AI915" s="242"/>
      <c r="AJ915" s="242"/>
      <c r="AK915" s="242"/>
      <c r="AL915" s="242"/>
      <c r="AM915" s="242"/>
      <c r="AN915" s="242"/>
      <c r="AO915" s="242"/>
      <c r="AP915" s="242"/>
    </row>
    <row r="916">
      <c r="A916" s="242"/>
      <c r="B916" s="242"/>
      <c r="C916" s="242"/>
      <c r="D916" s="242"/>
      <c r="E916" s="242"/>
      <c r="F916" s="242"/>
      <c r="G916" s="242"/>
      <c r="H916" s="242"/>
      <c r="I916" s="242"/>
      <c r="J916" s="242"/>
      <c r="K916" s="242"/>
      <c r="L916" s="242"/>
      <c r="M916" s="242"/>
      <c r="N916" s="242"/>
      <c r="O916" s="242"/>
      <c r="P916" s="13"/>
      <c r="Q916" s="13"/>
      <c r="R916" s="13"/>
      <c r="S916" s="13"/>
      <c r="T916" s="13"/>
      <c r="U916" s="13"/>
      <c r="V916" s="13"/>
      <c r="W916" s="13"/>
      <c r="X916" s="13"/>
      <c r="Y916" s="13"/>
      <c r="Z916" s="13"/>
      <c r="AA916" s="13"/>
      <c r="AB916" s="13"/>
      <c r="AC916" s="13"/>
      <c r="AD916" s="13"/>
      <c r="AE916" s="13"/>
      <c r="AF916" s="242"/>
      <c r="AG916" s="242"/>
      <c r="AH916" s="242"/>
      <c r="AI916" s="242"/>
      <c r="AJ916" s="242"/>
      <c r="AK916" s="242"/>
      <c r="AL916" s="242"/>
      <c r="AM916" s="242"/>
      <c r="AN916" s="242"/>
      <c r="AO916" s="242"/>
      <c r="AP916" s="242"/>
    </row>
    <row r="917">
      <c r="A917" s="242"/>
      <c r="B917" s="242"/>
      <c r="C917" s="242"/>
      <c r="D917" s="242"/>
      <c r="E917" s="242"/>
      <c r="F917" s="242"/>
      <c r="G917" s="242"/>
      <c r="H917" s="242"/>
      <c r="I917" s="242"/>
      <c r="J917" s="242"/>
      <c r="K917" s="242"/>
      <c r="L917" s="242"/>
      <c r="M917" s="242"/>
      <c r="N917" s="242"/>
      <c r="O917" s="242"/>
      <c r="P917" s="13"/>
      <c r="Q917" s="13"/>
      <c r="R917" s="13"/>
      <c r="S917" s="13"/>
      <c r="T917" s="13"/>
      <c r="U917" s="13"/>
      <c r="V917" s="13"/>
      <c r="W917" s="13"/>
      <c r="X917" s="13"/>
      <c r="Y917" s="13"/>
      <c r="Z917" s="13"/>
      <c r="AA917" s="13"/>
      <c r="AB917" s="13"/>
      <c r="AC917" s="13"/>
      <c r="AD917" s="13"/>
      <c r="AE917" s="13"/>
      <c r="AF917" s="242"/>
      <c r="AG917" s="242"/>
      <c r="AH917" s="242"/>
      <c r="AI917" s="242"/>
      <c r="AJ917" s="242"/>
      <c r="AK917" s="242"/>
      <c r="AL917" s="242"/>
      <c r="AM917" s="242"/>
      <c r="AN917" s="242"/>
      <c r="AO917" s="242"/>
      <c r="AP917" s="242"/>
    </row>
    <row r="918">
      <c r="A918" s="242"/>
      <c r="B918" s="242"/>
      <c r="C918" s="242"/>
      <c r="D918" s="242"/>
      <c r="E918" s="242"/>
      <c r="F918" s="242"/>
      <c r="G918" s="242"/>
      <c r="H918" s="242"/>
      <c r="I918" s="242"/>
      <c r="J918" s="242"/>
      <c r="K918" s="242"/>
      <c r="L918" s="242"/>
      <c r="M918" s="242"/>
      <c r="N918" s="242"/>
      <c r="O918" s="242"/>
      <c r="P918" s="13"/>
      <c r="Q918" s="13"/>
      <c r="R918" s="13"/>
      <c r="S918" s="13"/>
      <c r="T918" s="13"/>
      <c r="U918" s="13"/>
      <c r="V918" s="13"/>
      <c r="W918" s="13"/>
      <c r="X918" s="13"/>
      <c r="Y918" s="13"/>
      <c r="Z918" s="13"/>
      <c r="AA918" s="13"/>
      <c r="AB918" s="13"/>
      <c r="AC918" s="13"/>
      <c r="AD918" s="13"/>
      <c r="AE918" s="13"/>
      <c r="AF918" s="242"/>
      <c r="AG918" s="242"/>
      <c r="AH918" s="242"/>
      <c r="AI918" s="242"/>
      <c r="AJ918" s="242"/>
      <c r="AK918" s="242"/>
      <c r="AL918" s="242"/>
      <c r="AM918" s="242"/>
      <c r="AN918" s="242"/>
      <c r="AO918" s="242"/>
      <c r="AP918" s="242"/>
    </row>
    <row r="919">
      <c r="A919" s="242"/>
      <c r="B919" s="242"/>
      <c r="C919" s="242"/>
      <c r="D919" s="242"/>
      <c r="E919" s="242"/>
      <c r="F919" s="242"/>
      <c r="G919" s="242"/>
      <c r="H919" s="242"/>
      <c r="I919" s="242"/>
      <c r="J919" s="242"/>
      <c r="K919" s="242"/>
      <c r="L919" s="242"/>
      <c r="M919" s="242"/>
      <c r="N919" s="242"/>
      <c r="O919" s="242"/>
      <c r="P919" s="13"/>
      <c r="Q919" s="13"/>
      <c r="R919" s="13"/>
      <c r="S919" s="13"/>
      <c r="T919" s="13"/>
      <c r="U919" s="13"/>
      <c r="V919" s="13"/>
      <c r="W919" s="13"/>
      <c r="X919" s="13"/>
      <c r="Y919" s="13"/>
      <c r="Z919" s="13"/>
      <c r="AA919" s="13"/>
      <c r="AB919" s="13"/>
      <c r="AC919" s="13"/>
      <c r="AD919" s="13"/>
      <c r="AE919" s="13"/>
      <c r="AF919" s="242"/>
      <c r="AG919" s="242"/>
      <c r="AH919" s="242"/>
      <c r="AI919" s="242"/>
      <c r="AJ919" s="242"/>
      <c r="AK919" s="242"/>
      <c r="AL919" s="242"/>
      <c r="AM919" s="242"/>
      <c r="AN919" s="242"/>
      <c r="AO919" s="242"/>
      <c r="AP919" s="242"/>
    </row>
    <row r="920">
      <c r="A920" s="242"/>
      <c r="B920" s="242"/>
      <c r="C920" s="242"/>
      <c r="D920" s="242"/>
      <c r="E920" s="242"/>
      <c r="F920" s="242"/>
      <c r="G920" s="242"/>
      <c r="H920" s="242"/>
      <c r="I920" s="242"/>
      <c r="J920" s="242"/>
      <c r="K920" s="242"/>
      <c r="L920" s="242"/>
      <c r="M920" s="242"/>
      <c r="N920" s="242"/>
      <c r="O920" s="242"/>
      <c r="P920" s="13"/>
      <c r="Q920" s="13"/>
      <c r="R920" s="13"/>
      <c r="S920" s="13"/>
      <c r="T920" s="13"/>
      <c r="U920" s="13"/>
      <c r="V920" s="13"/>
      <c r="W920" s="13"/>
      <c r="X920" s="13"/>
      <c r="Y920" s="13"/>
      <c r="Z920" s="13"/>
      <c r="AA920" s="13"/>
      <c r="AB920" s="13"/>
      <c r="AC920" s="13"/>
      <c r="AD920" s="13"/>
      <c r="AE920" s="13"/>
      <c r="AF920" s="242"/>
      <c r="AG920" s="242"/>
      <c r="AH920" s="242"/>
      <c r="AI920" s="242"/>
      <c r="AJ920" s="242"/>
      <c r="AK920" s="242"/>
      <c r="AL920" s="242"/>
      <c r="AM920" s="242"/>
      <c r="AN920" s="242"/>
      <c r="AO920" s="242"/>
      <c r="AP920" s="242"/>
    </row>
    <row r="921">
      <c r="A921" s="242"/>
      <c r="B921" s="242"/>
      <c r="C921" s="242"/>
      <c r="D921" s="242"/>
      <c r="E921" s="242"/>
      <c r="F921" s="242"/>
      <c r="G921" s="242"/>
      <c r="H921" s="242"/>
      <c r="I921" s="242"/>
      <c r="J921" s="242"/>
      <c r="K921" s="242"/>
      <c r="L921" s="242"/>
      <c r="M921" s="242"/>
      <c r="N921" s="242"/>
      <c r="O921" s="242"/>
      <c r="P921" s="13"/>
      <c r="Q921" s="13"/>
      <c r="R921" s="13"/>
      <c r="S921" s="13"/>
      <c r="T921" s="13"/>
      <c r="U921" s="13"/>
      <c r="V921" s="13"/>
      <c r="W921" s="13"/>
      <c r="X921" s="13"/>
      <c r="Y921" s="13"/>
      <c r="Z921" s="13"/>
      <c r="AA921" s="13"/>
      <c r="AB921" s="13"/>
      <c r="AC921" s="13"/>
      <c r="AD921" s="13"/>
      <c r="AE921" s="13"/>
      <c r="AF921" s="242"/>
      <c r="AG921" s="242"/>
      <c r="AH921" s="242"/>
      <c r="AI921" s="242"/>
      <c r="AJ921" s="242"/>
      <c r="AK921" s="242"/>
      <c r="AL921" s="242"/>
      <c r="AM921" s="242"/>
      <c r="AN921" s="242"/>
      <c r="AO921" s="242"/>
      <c r="AP921" s="242"/>
    </row>
    <row r="922">
      <c r="A922" s="242"/>
      <c r="B922" s="242"/>
      <c r="C922" s="242"/>
      <c r="D922" s="242"/>
      <c r="E922" s="242"/>
      <c r="F922" s="242"/>
      <c r="G922" s="242"/>
      <c r="H922" s="242"/>
      <c r="I922" s="242"/>
      <c r="J922" s="242"/>
      <c r="K922" s="242"/>
      <c r="L922" s="242"/>
      <c r="M922" s="242"/>
      <c r="N922" s="242"/>
      <c r="O922" s="242"/>
      <c r="P922" s="13"/>
      <c r="Q922" s="13"/>
      <c r="R922" s="13"/>
      <c r="S922" s="13"/>
      <c r="T922" s="13"/>
      <c r="U922" s="13"/>
      <c r="V922" s="13"/>
      <c r="W922" s="13"/>
      <c r="X922" s="13"/>
      <c r="Y922" s="13"/>
      <c r="Z922" s="13"/>
      <c r="AA922" s="13"/>
      <c r="AB922" s="13"/>
      <c r="AC922" s="13"/>
      <c r="AD922" s="13"/>
      <c r="AE922" s="13"/>
      <c r="AF922" s="242"/>
      <c r="AG922" s="242"/>
      <c r="AH922" s="242"/>
      <c r="AI922" s="242"/>
      <c r="AJ922" s="242"/>
      <c r="AK922" s="242"/>
      <c r="AL922" s="242"/>
      <c r="AM922" s="242"/>
      <c r="AN922" s="242"/>
      <c r="AO922" s="242"/>
      <c r="AP922" s="242"/>
    </row>
    <row r="923">
      <c r="A923" s="242"/>
      <c r="B923" s="242"/>
      <c r="C923" s="242"/>
      <c r="D923" s="242"/>
      <c r="E923" s="242"/>
      <c r="F923" s="242"/>
      <c r="G923" s="242"/>
      <c r="H923" s="242"/>
      <c r="I923" s="242"/>
      <c r="J923" s="242"/>
      <c r="K923" s="242"/>
      <c r="L923" s="242"/>
      <c r="M923" s="242"/>
      <c r="N923" s="242"/>
      <c r="O923" s="242"/>
      <c r="P923" s="13"/>
      <c r="Q923" s="13"/>
      <c r="R923" s="13"/>
      <c r="S923" s="13"/>
      <c r="T923" s="13"/>
      <c r="U923" s="13"/>
      <c r="V923" s="13"/>
      <c r="W923" s="13"/>
      <c r="X923" s="13"/>
      <c r="Y923" s="13"/>
      <c r="Z923" s="13"/>
      <c r="AA923" s="13"/>
      <c r="AB923" s="13"/>
      <c r="AC923" s="13"/>
      <c r="AD923" s="13"/>
      <c r="AE923" s="13"/>
      <c r="AF923" s="242"/>
      <c r="AG923" s="242"/>
      <c r="AH923" s="242"/>
      <c r="AI923" s="242"/>
      <c r="AJ923" s="242"/>
      <c r="AK923" s="242"/>
      <c r="AL923" s="242"/>
      <c r="AM923" s="242"/>
      <c r="AN923" s="242"/>
      <c r="AO923" s="242"/>
      <c r="AP923" s="242"/>
    </row>
    <row r="924">
      <c r="A924" s="242"/>
      <c r="B924" s="242"/>
      <c r="C924" s="242"/>
      <c r="D924" s="242"/>
      <c r="E924" s="242"/>
      <c r="F924" s="242"/>
      <c r="G924" s="242"/>
      <c r="H924" s="242"/>
      <c r="I924" s="242"/>
      <c r="J924" s="242"/>
      <c r="K924" s="242"/>
      <c r="L924" s="242"/>
      <c r="M924" s="242"/>
      <c r="N924" s="242"/>
      <c r="O924" s="242"/>
      <c r="P924" s="13"/>
      <c r="Q924" s="13"/>
      <c r="R924" s="13"/>
      <c r="S924" s="13"/>
      <c r="T924" s="13"/>
      <c r="U924" s="13"/>
      <c r="V924" s="13"/>
      <c r="W924" s="13"/>
      <c r="X924" s="13"/>
      <c r="Y924" s="13"/>
      <c r="Z924" s="13"/>
      <c r="AA924" s="13"/>
      <c r="AB924" s="13"/>
      <c r="AC924" s="13"/>
      <c r="AD924" s="13"/>
      <c r="AE924" s="13"/>
      <c r="AF924" s="242"/>
      <c r="AG924" s="242"/>
      <c r="AH924" s="242"/>
      <c r="AI924" s="242"/>
      <c r="AJ924" s="242"/>
      <c r="AK924" s="242"/>
      <c r="AL924" s="242"/>
      <c r="AM924" s="242"/>
      <c r="AN924" s="242"/>
      <c r="AO924" s="242"/>
      <c r="AP924" s="242"/>
    </row>
    <row r="925">
      <c r="A925" s="242"/>
      <c r="B925" s="242"/>
      <c r="C925" s="242"/>
      <c r="D925" s="242"/>
      <c r="E925" s="242"/>
      <c r="F925" s="242"/>
      <c r="G925" s="242"/>
      <c r="H925" s="242"/>
      <c r="I925" s="242"/>
      <c r="J925" s="242"/>
      <c r="K925" s="242"/>
      <c r="L925" s="242"/>
      <c r="M925" s="242"/>
      <c r="N925" s="242"/>
      <c r="O925" s="242"/>
      <c r="P925" s="13"/>
      <c r="Q925" s="13"/>
      <c r="R925" s="13"/>
      <c r="S925" s="13"/>
      <c r="T925" s="13"/>
      <c r="U925" s="13"/>
      <c r="V925" s="13"/>
      <c r="W925" s="13"/>
      <c r="X925" s="13"/>
      <c r="Y925" s="13"/>
      <c r="Z925" s="13"/>
      <c r="AA925" s="13"/>
      <c r="AB925" s="13"/>
      <c r="AC925" s="13"/>
      <c r="AD925" s="13"/>
      <c r="AE925" s="13"/>
      <c r="AF925" s="242"/>
      <c r="AG925" s="242"/>
      <c r="AH925" s="242"/>
      <c r="AI925" s="242"/>
      <c r="AJ925" s="242"/>
      <c r="AK925" s="242"/>
      <c r="AL925" s="242"/>
      <c r="AM925" s="242"/>
      <c r="AN925" s="242"/>
      <c r="AO925" s="242"/>
      <c r="AP925" s="242"/>
    </row>
    <row r="926">
      <c r="A926" s="242"/>
      <c r="B926" s="242"/>
      <c r="C926" s="242"/>
      <c r="D926" s="242"/>
      <c r="E926" s="242"/>
      <c r="F926" s="242"/>
      <c r="G926" s="242"/>
      <c r="H926" s="242"/>
      <c r="I926" s="242"/>
      <c r="J926" s="242"/>
      <c r="K926" s="242"/>
      <c r="L926" s="242"/>
      <c r="M926" s="242"/>
      <c r="N926" s="242"/>
      <c r="O926" s="242"/>
      <c r="P926" s="13"/>
      <c r="Q926" s="13"/>
      <c r="R926" s="13"/>
      <c r="S926" s="13"/>
      <c r="T926" s="13"/>
      <c r="U926" s="13"/>
      <c r="V926" s="13"/>
      <c r="W926" s="13"/>
      <c r="X926" s="13"/>
      <c r="Y926" s="13"/>
      <c r="Z926" s="13"/>
      <c r="AA926" s="13"/>
      <c r="AB926" s="13"/>
      <c r="AC926" s="13"/>
      <c r="AD926" s="13"/>
      <c r="AE926" s="13"/>
      <c r="AF926" s="242"/>
      <c r="AG926" s="242"/>
      <c r="AH926" s="242"/>
      <c r="AI926" s="242"/>
      <c r="AJ926" s="242"/>
      <c r="AK926" s="242"/>
      <c r="AL926" s="242"/>
      <c r="AM926" s="242"/>
      <c r="AN926" s="242"/>
      <c r="AO926" s="242"/>
      <c r="AP926" s="242"/>
    </row>
    <row r="927">
      <c r="A927" s="242"/>
      <c r="B927" s="242"/>
      <c r="C927" s="242"/>
      <c r="D927" s="242"/>
      <c r="E927" s="242"/>
      <c r="F927" s="242"/>
      <c r="G927" s="242"/>
      <c r="H927" s="242"/>
      <c r="I927" s="242"/>
      <c r="J927" s="242"/>
      <c r="K927" s="242"/>
      <c r="L927" s="242"/>
      <c r="M927" s="242"/>
      <c r="N927" s="242"/>
      <c r="O927" s="242"/>
      <c r="P927" s="13"/>
      <c r="Q927" s="13"/>
      <c r="R927" s="13"/>
      <c r="S927" s="13"/>
      <c r="T927" s="13"/>
      <c r="U927" s="13"/>
      <c r="V927" s="13"/>
      <c r="W927" s="13"/>
      <c r="X927" s="13"/>
      <c r="Y927" s="13"/>
      <c r="Z927" s="13"/>
      <c r="AA927" s="13"/>
      <c r="AB927" s="13"/>
      <c r="AC927" s="13"/>
      <c r="AD927" s="13"/>
      <c r="AE927" s="13"/>
      <c r="AF927" s="242"/>
      <c r="AG927" s="242"/>
      <c r="AH927" s="242"/>
      <c r="AI927" s="242"/>
      <c r="AJ927" s="242"/>
      <c r="AK927" s="242"/>
      <c r="AL927" s="242"/>
      <c r="AM927" s="242"/>
      <c r="AN927" s="242"/>
      <c r="AO927" s="242"/>
      <c r="AP927" s="242"/>
    </row>
    <row r="928">
      <c r="A928" s="242"/>
      <c r="B928" s="242"/>
      <c r="C928" s="242"/>
      <c r="D928" s="242"/>
      <c r="E928" s="242"/>
      <c r="F928" s="242"/>
      <c r="G928" s="242"/>
      <c r="H928" s="242"/>
      <c r="I928" s="242"/>
      <c r="J928" s="242"/>
      <c r="K928" s="242"/>
      <c r="L928" s="242"/>
      <c r="M928" s="242"/>
      <c r="N928" s="242"/>
      <c r="O928" s="242"/>
      <c r="P928" s="13"/>
      <c r="Q928" s="13"/>
      <c r="R928" s="13"/>
      <c r="S928" s="13"/>
      <c r="T928" s="13"/>
      <c r="U928" s="13"/>
      <c r="V928" s="13"/>
      <c r="W928" s="13"/>
      <c r="X928" s="13"/>
      <c r="Y928" s="13"/>
      <c r="Z928" s="13"/>
      <c r="AA928" s="13"/>
      <c r="AB928" s="13"/>
      <c r="AC928" s="13"/>
      <c r="AD928" s="13"/>
      <c r="AE928" s="13"/>
      <c r="AF928" s="242"/>
      <c r="AG928" s="242"/>
      <c r="AH928" s="242"/>
      <c r="AI928" s="242"/>
      <c r="AJ928" s="242"/>
      <c r="AK928" s="242"/>
      <c r="AL928" s="242"/>
      <c r="AM928" s="242"/>
      <c r="AN928" s="242"/>
      <c r="AO928" s="242"/>
      <c r="AP928" s="242"/>
    </row>
    <row r="929">
      <c r="A929" s="242"/>
      <c r="B929" s="242"/>
      <c r="C929" s="242"/>
      <c r="D929" s="242"/>
      <c r="E929" s="242"/>
      <c r="F929" s="242"/>
      <c r="G929" s="242"/>
      <c r="H929" s="242"/>
      <c r="I929" s="242"/>
      <c r="J929" s="242"/>
      <c r="K929" s="242"/>
      <c r="L929" s="242"/>
      <c r="M929" s="242"/>
      <c r="N929" s="242"/>
      <c r="O929" s="242"/>
      <c r="P929" s="13"/>
      <c r="Q929" s="13"/>
      <c r="R929" s="13"/>
      <c r="S929" s="13"/>
      <c r="T929" s="13"/>
      <c r="U929" s="13"/>
      <c r="V929" s="13"/>
      <c r="W929" s="13"/>
      <c r="X929" s="13"/>
      <c r="Y929" s="13"/>
      <c r="Z929" s="13"/>
      <c r="AA929" s="13"/>
      <c r="AB929" s="13"/>
      <c r="AC929" s="13"/>
      <c r="AD929" s="13"/>
      <c r="AE929" s="13"/>
      <c r="AF929" s="242"/>
      <c r="AG929" s="242"/>
      <c r="AH929" s="242"/>
      <c r="AI929" s="242"/>
      <c r="AJ929" s="242"/>
      <c r="AK929" s="242"/>
      <c r="AL929" s="242"/>
      <c r="AM929" s="242"/>
      <c r="AN929" s="242"/>
      <c r="AO929" s="242"/>
      <c r="AP929" s="242"/>
    </row>
    <row r="930">
      <c r="A930" s="242"/>
      <c r="B930" s="242"/>
      <c r="C930" s="242"/>
      <c r="D930" s="242"/>
      <c r="E930" s="242"/>
      <c r="F930" s="242"/>
      <c r="G930" s="242"/>
      <c r="H930" s="242"/>
      <c r="I930" s="242"/>
      <c r="J930" s="242"/>
      <c r="K930" s="242"/>
      <c r="L930" s="242"/>
      <c r="M930" s="242"/>
      <c r="N930" s="242"/>
      <c r="O930" s="242"/>
      <c r="P930" s="13"/>
      <c r="Q930" s="13"/>
      <c r="R930" s="13"/>
      <c r="S930" s="13"/>
      <c r="T930" s="13"/>
      <c r="U930" s="13"/>
      <c r="V930" s="13"/>
      <c r="W930" s="13"/>
      <c r="X930" s="13"/>
      <c r="Y930" s="13"/>
      <c r="Z930" s="13"/>
      <c r="AA930" s="13"/>
      <c r="AB930" s="13"/>
      <c r="AC930" s="13"/>
      <c r="AD930" s="13"/>
      <c r="AE930" s="13"/>
      <c r="AF930" s="242"/>
      <c r="AG930" s="242"/>
      <c r="AH930" s="242"/>
      <c r="AI930" s="242"/>
      <c r="AJ930" s="242"/>
      <c r="AK930" s="242"/>
      <c r="AL930" s="242"/>
      <c r="AM930" s="242"/>
      <c r="AN930" s="242"/>
      <c r="AO930" s="242"/>
      <c r="AP930" s="242"/>
    </row>
    <row r="931">
      <c r="A931" s="242"/>
      <c r="B931" s="242"/>
      <c r="C931" s="242"/>
      <c r="D931" s="242"/>
      <c r="E931" s="242"/>
      <c r="F931" s="242"/>
      <c r="G931" s="242"/>
      <c r="H931" s="242"/>
      <c r="I931" s="242"/>
      <c r="J931" s="242"/>
      <c r="K931" s="242"/>
      <c r="L931" s="242"/>
      <c r="M931" s="242"/>
      <c r="N931" s="242"/>
      <c r="O931" s="242"/>
      <c r="P931" s="13"/>
      <c r="Q931" s="13"/>
      <c r="R931" s="13"/>
      <c r="S931" s="13"/>
      <c r="T931" s="13"/>
      <c r="U931" s="13"/>
      <c r="V931" s="13"/>
      <c r="W931" s="13"/>
      <c r="X931" s="13"/>
      <c r="Y931" s="13"/>
      <c r="Z931" s="13"/>
      <c r="AA931" s="13"/>
      <c r="AB931" s="13"/>
      <c r="AC931" s="13"/>
      <c r="AD931" s="13"/>
      <c r="AE931" s="13"/>
      <c r="AF931" s="242"/>
      <c r="AG931" s="242"/>
      <c r="AH931" s="242"/>
      <c r="AI931" s="242"/>
      <c r="AJ931" s="242"/>
      <c r="AK931" s="242"/>
      <c r="AL931" s="242"/>
      <c r="AM931" s="242"/>
      <c r="AN931" s="242"/>
      <c r="AO931" s="242"/>
      <c r="AP931" s="242"/>
    </row>
    <row r="932">
      <c r="A932" s="242"/>
      <c r="B932" s="242"/>
      <c r="C932" s="242"/>
      <c r="D932" s="242"/>
      <c r="E932" s="242"/>
      <c r="F932" s="242"/>
      <c r="G932" s="242"/>
      <c r="H932" s="242"/>
      <c r="I932" s="242"/>
      <c r="J932" s="242"/>
      <c r="K932" s="242"/>
      <c r="L932" s="242"/>
      <c r="M932" s="242"/>
      <c r="N932" s="242"/>
      <c r="O932" s="242"/>
      <c r="P932" s="13"/>
      <c r="Q932" s="13"/>
      <c r="R932" s="13"/>
      <c r="S932" s="13"/>
      <c r="T932" s="13"/>
      <c r="U932" s="13"/>
      <c r="V932" s="13"/>
      <c r="W932" s="13"/>
      <c r="X932" s="13"/>
      <c r="Y932" s="13"/>
      <c r="Z932" s="13"/>
      <c r="AA932" s="13"/>
      <c r="AB932" s="13"/>
      <c r="AC932" s="13"/>
      <c r="AD932" s="13"/>
      <c r="AE932" s="13"/>
      <c r="AF932" s="242"/>
      <c r="AG932" s="242"/>
      <c r="AH932" s="242"/>
      <c r="AI932" s="242"/>
      <c r="AJ932" s="242"/>
      <c r="AK932" s="242"/>
      <c r="AL932" s="242"/>
      <c r="AM932" s="242"/>
      <c r="AN932" s="242"/>
      <c r="AO932" s="242"/>
      <c r="AP932" s="242"/>
    </row>
    <row r="933">
      <c r="A933" s="242"/>
      <c r="B933" s="242"/>
      <c r="C933" s="242"/>
      <c r="D933" s="242"/>
      <c r="E933" s="242"/>
      <c r="F933" s="242"/>
      <c r="G933" s="242"/>
      <c r="H933" s="242"/>
      <c r="I933" s="242"/>
      <c r="J933" s="242"/>
      <c r="K933" s="242"/>
      <c r="L933" s="242"/>
      <c r="M933" s="242"/>
      <c r="N933" s="242"/>
      <c r="O933" s="242"/>
      <c r="P933" s="13"/>
      <c r="Q933" s="13"/>
      <c r="R933" s="13"/>
      <c r="S933" s="13"/>
      <c r="T933" s="13"/>
      <c r="U933" s="13"/>
      <c r="V933" s="13"/>
      <c r="W933" s="13"/>
      <c r="X933" s="13"/>
      <c r="Y933" s="13"/>
      <c r="Z933" s="13"/>
      <c r="AA933" s="13"/>
      <c r="AB933" s="13"/>
      <c r="AC933" s="13"/>
      <c r="AD933" s="13"/>
      <c r="AE933" s="13"/>
      <c r="AF933" s="242"/>
      <c r="AG933" s="242"/>
      <c r="AH933" s="242"/>
      <c r="AI933" s="242"/>
      <c r="AJ933" s="242"/>
      <c r="AK933" s="242"/>
      <c r="AL933" s="242"/>
      <c r="AM933" s="242"/>
      <c r="AN933" s="242"/>
      <c r="AO933" s="242"/>
      <c r="AP933" s="242"/>
    </row>
    <row r="934">
      <c r="A934" s="242"/>
      <c r="B934" s="242"/>
      <c r="C934" s="242"/>
      <c r="D934" s="242"/>
      <c r="E934" s="242"/>
      <c r="F934" s="242"/>
      <c r="G934" s="242"/>
      <c r="H934" s="242"/>
      <c r="I934" s="242"/>
      <c r="J934" s="242"/>
      <c r="K934" s="242"/>
      <c r="L934" s="242"/>
      <c r="M934" s="242"/>
      <c r="N934" s="242"/>
      <c r="O934" s="242"/>
      <c r="P934" s="13"/>
      <c r="Q934" s="13"/>
      <c r="R934" s="13"/>
      <c r="S934" s="13"/>
      <c r="T934" s="13"/>
      <c r="U934" s="13"/>
      <c r="V934" s="13"/>
      <c r="W934" s="13"/>
      <c r="X934" s="13"/>
      <c r="Y934" s="13"/>
      <c r="Z934" s="13"/>
      <c r="AA934" s="13"/>
      <c r="AB934" s="13"/>
      <c r="AC934" s="13"/>
      <c r="AD934" s="13"/>
      <c r="AE934" s="13"/>
      <c r="AF934" s="242"/>
      <c r="AG934" s="242"/>
      <c r="AH934" s="242"/>
      <c r="AI934" s="242"/>
      <c r="AJ934" s="242"/>
      <c r="AK934" s="242"/>
      <c r="AL934" s="242"/>
      <c r="AM934" s="242"/>
      <c r="AN934" s="242"/>
      <c r="AO934" s="242"/>
      <c r="AP934" s="242"/>
    </row>
    <row r="935">
      <c r="A935" s="242"/>
      <c r="B935" s="242"/>
      <c r="C935" s="242"/>
      <c r="D935" s="242"/>
      <c r="E935" s="242"/>
      <c r="F935" s="242"/>
      <c r="G935" s="242"/>
      <c r="H935" s="242"/>
      <c r="I935" s="242"/>
      <c r="J935" s="242"/>
      <c r="K935" s="242"/>
      <c r="L935" s="242"/>
      <c r="M935" s="242"/>
      <c r="N935" s="242"/>
      <c r="O935" s="242"/>
      <c r="P935" s="13"/>
      <c r="Q935" s="13"/>
      <c r="R935" s="13"/>
      <c r="S935" s="13"/>
      <c r="T935" s="13"/>
      <c r="U935" s="13"/>
      <c r="V935" s="13"/>
      <c r="W935" s="13"/>
      <c r="X935" s="13"/>
      <c r="Y935" s="13"/>
      <c r="Z935" s="13"/>
      <c r="AA935" s="13"/>
      <c r="AB935" s="13"/>
      <c r="AC935" s="13"/>
      <c r="AD935" s="13"/>
      <c r="AE935" s="13"/>
      <c r="AF935" s="242"/>
      <c r="AG935" s="242"/>
      <c r="AH935" s="242"/>
      <c r="AI935" s="242"/>
      <c r="AJ935" s="242"/>
      <c r="AK935" s="242"/>
      <c r="AL935" s="242"/>
      <c r="AM935" s="242"/>
      <c r="AN935" s="242"/>
      <c r="AO935" s="242"/>
      <c r="AP935" s="242"/>
    </row>
    <row r="936">
      <c r="A936" s="242"/>
      <c r="B936" s="242"/>
      <c r="C936" s="242"/>
      <c r="D936" s="242"/>
      <c r="E936" s="242"/>
      <c r="F936" s="242"/>
      <c r="G936" s="242"/>
      <c r="H936" s="242"/>
      <c r="I936" s="242"/>
      <c r="J936" s="242"/>
      <c r="K936" s="242"/>
      <c r="L936" s="242"/>
      <c r="M936" s="242"/>
      <c r="N936" s="242"/>
      <c r="O936" s="242"/>
      <c r="P936" s="13"/>
      <c r="Q936" s="13"/>
      <c r="R936" s="13"/>
      <c r="S936" s="13"/>
      <c r="T936" s="13"/>
      <c r="U936" s="13"/>
      <c r="V936" s="13"/>
      <c r="W936" s="13"/>
      <c r="X936" s="13"/>
      <c r="Y936" s="13"/>
      <c r="Z936" s="13"/>
      <c r="AA936" s="13"/>
      <c r="AB936" s="13"/>
      <c r="AC936" s="13"/>
      <c r="AD936" s="13"/>
      <c r="AE936" s="13"/>
      <c r="AF936" s="242"/>
      <c r="AG936" s="242"/>
      <c r="AH936" s="242"/>
      <c r="AI936" s="242"/>
      <c r="AJ936" s="242"/>
      <c r="AK936" s="242"/>
      <c r="AL936" s="242"/>
      <c r="AM936" s="242"/>
      <c r="AN936" s="242"/>
      <c r="AO936" s="242"/>
      <c r="AP936" s="242"/>
    </row>
    <row r="937">
      <c r="A937" s="242"/>
      <c r="B937" s="242"/>
      <c r="C937" s="242"/>
      <c r="D937" s="242"/>
      <c r="E937" s="242"/>
      <c r="F937" s="242"/>
      <c r="G937" s="242"/>
      <c r="H937" s="242"/>
      <c r="I937" s="242"/>
      <c r="J937" s="242"/>
      <c r="K937" s="242"/>
      <c r="L937" s="242"/>
      <c r="M937" s="242"/>
      <c r="N937" s="242"/>
      <c r="O937" s="242"/>
      <c r="P937" s="13"/>
      <c r="Q937" s="13"/>
      <c r="R937" s="13"/>
      <c r="S937" s="13"/>
      <c r="T937" s="13"/>
      <c r="U937" s="13"/>
      <c r="V937" s="13"/>
      <c r="W937" s="13"/>
      <c r="X937" s="13"/>
      <c r="Y937" s="13"/>
      <c r="Z937" s="13"/>
      <c r="AA937" s="13"/>
      <c r="AB937" s="13"/>
      <c r="AC937" s="13"/>
      <c r="AD937" s="13"/>
      <c r="AE937" s="13"/>
      <c r="AF937" s="242"/>
      <c r="AG937" s="242"/>
      <c r="AH937" s="242"/>
      <c r="AI937" s="242"/>
      <c r="AJ937" s="242"/>
      <c r="AK937" s="242"/>
      <c r="AL937" s="242"/>
      <c r="AM937" s="242"/>
      <c r="AN937" s="242"/>
      <c r="AO937" s="242"/>
      <c r="AP937" s="242"/>
    </row>
    <row r="938">
      <c r="A938" s="242"/>
      <c r="B938" s="242"/>
      <c r="C938" s="242"/>
      <c r="D938" s="242"/>
      <c r="E938" s="242"/>
      <c r="F938" s="242"/>
      <c r="G938" s="242"/>
      <c r="H938" s="242"/>
      <c r="I938" s="242"/>
      <c r="J938" s="242"/>
      <c r="K938" s="242"/>
      <c r="L938" s="242"/>
      <c r="M938" s="242"/>
      <c r="N938" s="242"/>
      <c r="O938" s="242"/>
      <c r="P938" s="13"/>
      <c r="Q938" s="13"/>
      <c r="R938" s="13"/>
      <c r="S938" s="13"/>
      <c r="T938" s="13"/>
      <c r="U938" s="13"/>
      <c r="V938" s="13"/>
      <c r="W938" s="13"/>
      <c r="X938" s="13"/>
      <c r="Y938" s="13"/>
      <c r="Z938" s="13"/>
      <c r="AA938" s="13"/>
      <c r="AB938" s="13"/>
      <c r="AC938" s="13"/>
      <c r="AD938" s="13"/>
      <c r="AE938" s="13"/>
      <c r="AF938" s="242"/>
      <c r="AG938" s="242"/>
      <c r="AH938" s="242"/>
      <c r="AI938" s="242"/>
      <c r="AJ938" s="242"/>
      <c r="AK938" s="242"/>
      <c r="AL938" s="242"/>
      <c r="AM938" s="242"/>
      <c r="AN938" s="242"/>
      <c r="AO938" s="242"/>
      <c r="AP938" s="242"/>
    </row>
    <row r="939">
      <c r="A939" s="242"/>
      <c r="B939" s="242"/>
      <c r="C939" s="242"/>
      <c r="D939" s="242"/>
      <c r="E939" s="242"/>
      <c r="F939" s="242"/>
      <c r="G939" s="242"/>
      <c r="H939" s="242"/>
      <c r="I939" s="242"/>
      <c r="J939" s="242"/>
      <c r="K939" s="242"/>
      <c r="L939" s="242"/>
      <c r="M939" s="242"/>
      <c r="N939" s="242"/>
      <c r="O939" s="242"/>
      <c r="P939" s="13"/>
      <c r="Q939" s="13"/>
      <c r="R939" s="13"/>
      <c r="S939" s="13"/>
      <c r="T939" s="13"/>
      <c r="U939" s="13"/>
      <c r="V939" s="13"/>
      <c r="W939" s="13"/>
      <c r="X939" s="13"/>
      <c r="Y939" s="13"/>
      <c r="Z939" s="13"/>
      <c r="AA939" s="13"/>
      <c r="AB939" s="13"/>
      <c r="AC939" s="13"/>
      <c r="AD939" s="13"/>
      <c r="AE939" s="13"/>
      <c r="AF939" s="242"/>
      <c r="AG939" s="242"/>
      <c r="AH939" s="242"/>
      <c r="AI939" s="242"/>
      <c r="AJ939" s="242"/>
      <c r="AK939" s="242"/>
      <c r="AL939" s="242"/>
      <c r="AM939" s="242"/>
      <c r="AN939" s="242"/>
      <c r="AO939" s="242"/>
      <c r="AP939" s="242"/>
    </row>
    <row r="940">
      <c r="A940" s="242"/>
      <c r="B940" s="242"/>
      <c r="C940" s="242"/>
      <c r="D940" s="242"/>
      <c r="E940" s="242"/>
      <c r="F940" s="242"/>
      <c r="G940" s="242"/>
      <c r="H940" s="242"/>
      <c r="I940" s="242"/>
      <c r="J940" s="242"/>
      <c r="K940" s="242"/>
      <c r="L940" s="242"/>
      <c r="M940" s="242"/>
      <c r="N940" s="242"/>
      <c r="O940" s="242"/>
      <c r="P940" s="13"/>
      <c r="Q940" s="13"/>
      <c r="R940" s="13"/>
      <c r="S940" s="13"/>
      <c r="T940" s="13"/>
      <c r="U940" s="13"/>
      <c r="V940" s="13"/>
      <c r="W940" s="13"/>
      <c r="X940" s="13"/>
      <c r="Y940" s="13"/>
      <c r="Z940" s="13"/>
      <c r="AA940" s="13"/>
      <c r="AB940" s="13"/>
      <c r="AC940" s="13"/>
      <c r="AD940" s="13"/>
      <c r="AE940" s="13"/>
      <c r="AF940" s="242"/>
      <c r="AG940" s="242"/>
      <c r="AH940" s="242"/>
      <c r="AI940" s="242"/>
      <c r="AJ940" s="242"/>
      <c r="AK940" s="242"/>
      <c r="AL940" s="242"/>
      <c r="AM940" s="242"/>
      <c r="AN940" s="242"/>
      <c r="AO940" s="242"/>
      <c r="AP940" s="242"/>
    </row>
    <row r="941">
      <c r="A941" s="242"/>
      <c r="B941" s="242"/>
      <c r="C941" s="242"/>
      <c r="D941" s="242"/>
      <c r="E941" s="242"/>
      <c r="F941" s="242"/>
      <c r="G941" s="242"/>
      <c r="H941" s="242"/>
      <c r="I941" s="242"/>
      <c r="J941" s="242"/>
      <c r="K941" s="242"/>
      <c r="L941" s="242"/>
      <c r="M941" s="242"/>
      <c r="N941" s="242"/>
      <c r="O941" s="242"/>
      <c r="P941" s="13"/>
      <c r="Q941" s="13"/>
      <c r="R941" s="13"/>
      <c r="S941" s="13"/>
      <c r="T941" s="13"/>
      <c r="U941" s="13"/>
      <c r="V941" s="13"/>
      <c r="W941" s="13"/>
      <c r="X941" s="13"/>
      <c r="Y941" s="13"/>
      <c r="Z941" s="13"/>
      <c r="AA941" s="13"/>
      <c r="AB941" s="13"/>
      <c r="AC941" s="13"/>
      <c r="AD941" s="13"/>
      <c r="AE941" s="13"/>
      <c r="AF941" s="242"/>
      <c r="AG941" s="242"/>
      <c r="AH941" s="242"/>
      <c r="AI941" s="242"/>
      <c r="AJ941" s="242"/>
      <c r="AK941" s="242"/>
      <c r="AL941" s="242"/>
      <c r="AM941" s="242"/>
      <c r="AN941" s="242"/>
      <c r="AO941" s="242"/>
      <c r="AP941" s="242"/>
    </row>
    <row r="942">
      <c r="A942" s="242"/>
      <c r="B942" s="242"/>
      <c r="C942" s="242"/>
      <c r="D942" s="242"/>
      <c r="E942" s="242"/>
      <c r="F942" s="242"/>
      <c r="G942" s="242"/>
      <c r="H942" s="242"/>
      <c r="I942" s="242"/>
      <c r="J942" s="242"/>
      <c r="K942" s="242"/>
      <c r="L942" s="242"/>
      <c r="M942" s="242"/>
      <c r="N942" s="242"/>
      <c r="O942" s="242"/>
      <c r="P942" s="13"/>
      <c r="Q942" s="13"/>
      <c r="R942" s="13"/>
      <c r="S942" s="13"/>
      <c r="T942" s="13"/>
      <c r="U942" s="13"/>
      <c r="V942" s="13"/>
      <c r="W942" s="13"/>
      <c r="X942" s="13"/>
      <c r="Y942" s="13"/>
      <c r="Z942" s="13"/>
      <c r="AA942" s="13"/>
      <c r="AB942" s="13"/>
      <c r="AC942" s="13"/>
      <c r="AD942" s="13"/>
      <c r="AE942" s="13"/>
      <c r="AF942" s="242"/>
      <c r="AG942" s="242"/>
      <c r="AH942" s="242"/>
      <c r="AI942" s="242"/>
      <c r="AJ942" s="242"/>
      <c r="AK942" s="242"/>
      <c r="AL942" s="242"/>
      <c r="AM942" s="242"/>
      <c r="AN942" s="242"/>
      <c r="AO942" s="242"/>
      <c r="AP942" s="242"/>
    </row>
    <row r="943">
      <c r="A943" s="242"/>
      <c r="B943" s="242"/>
      <c r="C943" s="242"/>
      <c r="D943" s="242"/>
      <c r="E943" s="242"/>
      <c r="F943" s="242"/>
      <c r="G943" s="242"/>
      <c r="H943" s="242"/>
      <c r="I943" s="242"/>
      <c r="J943" s="242"/>
      <c r="K943" s="242"/>
      <c r="L943" s="242"/>
      <c r="M943" s="242"/>
      <c r="N943" s="242"/>
      <c r="O943" s="242"/>
      <c r="P943" s="13"/>
      <c r="Q943" s="13"/>
      <c r="R943" s="13"/>
      <c r="S943" s="13"/>
      <c r="T943" s="13"/>
      <c r="U943" s="13"/>
      <c r="V943" s="13"/>
      <c r="W943" s="13"/>
      <c r="X943" s="13"/>
      <c r="Y943" s="13"/>
      <c r="Z943" s="13"/>
      <c r="AA943" s="13"/>
      <c r="AB943" s="13"/>
      <c r="AC943" s="13"/>
      <c r="AD943" s="13"/>
      <c r="AE943" s="13"/>
      <c r="AF943" s="242"/>
      <c r="AG943" s="242"/>
      <c r="AH943" s="242"/>
      <c r="AI943" s="242"/>
      <c r="AJ943" s="242"/>
      <c r="AK943" s="242"/>
      <c r="AL943" s="242"/>
      <c r="AM943" s="242"/>
      <c r="AN943" s="242"/>
      <c r="AO943" s="242"/>
      <c r="AP943" s="242"/>
    </row>
    <row r="944">
      <c r="A944" s="242"/>
      <c r="B944" s="242"/>
      <c r="C944" s="242"/>
      <c r="D944" s="242"/>
      <c r="E944" s="242"/>
      <c r="F944" s="242"/>
      <c r="G944" s="242"/>
      <c r="H944" s="242"/>
      <c r="I944" s="242"/>
      <c r="J944" s="242"/>
      <c r="K944" s="242"/>
      <c r="L944" s="242"/>
      <c r="M944" s="242"/>
      <c r="N944" s="242"/>
      <c r="O944" s="242"/>
      <c r="P944" s="13"/>
      <c r="Q944" s="13"/>
      <c r="R944" s="13"/>
      <c r="S944" s="13"/>
      <c r="T944" s="13"/>
      <c r="U944" s="13"/>
      <c r="V944" s="13"/>
      <c r="W944" s="13"/>
      <c r="X944" s="13"/>
      <c r="Y944" s="13"/>
      <c r="Z944" s="13"/>
      <c r="AA944" s="13"/>
      <c r="AB944" s="13"/>
      <c r="AC944" s="13"/>
      <c r="AD944" s="13"/>
      <c r="AE944" s="13"/>
      <c r="AF944" s="242"/>
      <c r="AG944" s="242"/>
      <c r="AH944" s="242"/>
      <c r="AI944" s="242"/>
      <c r="AJ944" s="242"/>
      <c r="AK944" s="242"/>
      <c r="AL944" s="242"/>
      <c r="AM944" s="242"/>
      <c r="AN944" s="242"/>
      <c r="AO944" s="242"/>
      <c r="AP944" s="242"/>
    </row>
    <row r="945">
      <c r="A945" s="242"/>
      <c r="B945" s="242"/>
      <c r="C945" s="242"/>
      <c r="D945" s="242"/>
      <c r="E945" s="242"/>
      <c r="F945" s="242"/>
      <c r="G945" s="242"/>
      <c r="H945" s="242"/>
      <c r="I945" s="242"/>
      <c r="J945" s="242"/>
      <c r="K945" s="242"/>
      <c r="L945" s="242"/>
      <c r="M945" s="242"/>
      <c r="N945" s="242"/>
      <c r="O945" s="242"/>
      <c r="P945" s="13"/>
      <c r="Q945" s="13"/>
      <c r="R945" s="13"/>
      <c r="S945" s="13"/>
      <c r="T945" s="13"/>
      <c r="U945" s="13"/>
      <c r="V945" s="13"/>
      <c r="W945" s="13"/>
      <c r="X945" s="13"/>
      <c r="Y945" s="13"/>
      <c r="Z945" s="13"/>
      <c r="AA945" s="13"/>
      <c r="AB945" s="13"/>
      <c r="AC945" s="13"/>
      <c r="AD945" s="13"/>
      <c r="AE945" s="13"/>
      <c r="AF945" s="242"/>
      <c r="AG945" s="242"/>
      <c r="AH945" s="242"/>
      <c r="AI945" s="242"/>
      <c r="AJ945" s="242"/>
      <c r="AK945" s="242"/>
      <c r="AL945" s="242"/>
      <c r="AM945" s="242"/>
      <c r="AN945" s="242"/>
      <c r="AO945" s="242"/>
      <c r="AP945" s="242"/>
    </row>
    <row r="946">
      <c r="A946" s="242"/>
      <c r="B946" s="242"/>
      <c r="C946" s="242"/>
      <c r="D946" s="242"/>
      <c r="E946" s="242"/>
      <c r="F946" s="242"/>
      <c r="G946" s="242"/>
      <c r="H946" s="242"/>
      <c r="I946" s="242"/>
      <c r="J946" s="242"/>
      <c r="K946" s="242"/>
      <c r="L946" s="242"/>
      <c r="M946" s="242"/>
      <c r="N946" s="242"/>
      <c r="O946" s="242"/>
      <c r="P946" s="13"/>
      <c r="Q946" s="13"/>
      <c r="R946" s="13"/>
      <c r="S946" s="13"/>
      <c r="T946" s="13"/>
      <c r="U946" s="13"/>
      <c r="V946" s="13"/>
      <c r="W946" s="13"/>
      <c r="X946" s="13"/>
      <c r="Y946" s="13"/>
      <c r="Z946" s="13"/>
      <c r="AA946" s="13"/>
      <c r="AB946" s="13"/>
      <c r="AC946" s="13"/>
      <c r="AD946" s="13"/>
      <c r="AE946" s="13"/>
      <c r="AF946" s="242"/>
      <c r="AG946" s="242"/>
      <c r="AH946" s="242"/>
      <c r="AI946" s="242"/>
      <c r="AJ946" s="242"/>
      <c r="AK946" s="242"/>
      <c r="AL946" s="242"/>
      <c r="AM946" s="242"/>
      <c r="AN946" s="242"/>
      <c r="AO946" s="242"/>
      <c r="AP946" s="242"/>
    </row>
    <row r="947">
      <c r="A947" s="242"/>
      <c r="B947" s="242"/>
      <c r="C947" s="242"/>
      <c r="D947" s="242"/>
      <c r="E947" s="242"/>
      <c r="F947" s="242"/>
      <c r="G947" s="242"/>
      <c r="H947" s="242"/>
      <c r="I947" s="242"/>
      <c r="J947" s="242"/>
      <c r="K947" s="242"/>
      <c r="L947" s="242"/>
      <c r="M947" s="242"/>
      <c r="N947" s="242"/>
      <c r="O947" s="242"/>
      <c r="P947" s="13"/>
      <c r="Q947" s="13"/>
      <c r="R947" s="13"/>
      <c r="S947" s="13"/>
      <c r="T947" s="13"/>
      <c r="U947" s="13"/>
      <c r="V947" s="13"/>
      <c r="W947" s="13"/>
      <c r="X947" s="13"/>
      <c r="Y947" s="13"/>
      <c r="Z947" s="13"/>
      <c r="AA947" s="13"/>
      <c r="AB947" s="13"/>
      <c r="AC947" s="13"/>
      <c r="AD947" s="13"/>
      <c r="AE947" s="13"/>
      <c r="AF947" s="242"/>
      <c r="AG947" s="242"/>
      <c r="AH947" s="242"/>
      <c r="AI947" s="242"/>
      <c r="AJ947" s="242"/>
      <c r="AK947" s="242"/>
      <c r="AL947" s="242"/>
      <c r="AM947" s="242"/>
      <c r="AN947" s="242"/>
      <c r="AO947" s="242"/>
      <c r="AP947" s="242"/>
    </row>
    <row r="948">
      <c r="A948" s="242"/>
      <c r="B948" s="242"/>
      <c r="C948" s="242"/>
      <c r="D948" s="242"/>
      <c r="E948" s="242"/>
      <c r="F948" s="242"/>
      <c r="G948" s="242"/>
      <c r="H948" s="242"/>
      <c r="I948" s="242"/>
      <c r="J948" s="242"/>
      <c r="K948" s="242"/>
      <c r="L948" s="242"/>
      <c r="M948" s="242"/>
      <c r="N948" s="242"/>
      <c r="O948" s="242"/>
      <c r="P948" s="13"/>
      <c r="Q948" s="13"/>
      <c r="R948" s="13"/>
      <c r="S948" s="13"/>
      <c r="T948" s="13"/>
      <c r="U948" s="13"/>
      <c r="V948" s="13"/>
      <c r="W948" s="13"/>
      <c r="X948" s="13"/>
      <c r="Y948" s="13"/>
      <c r="Z948" s="13"/>
      <c r="AA948" s="13"/>
      <c r="AB948" s="13"/>
      <c r="AC948" s="13"/>
      <c r="AD948" s="13"/>
      <c r="AE948" s="13"/>
      <c r="AF948" s="242"/>
      <c r="AG948" s="242"/>
      <c r="AH948" s="242"/>
      <c r="AI948" s="242"/>
      <c r="AJ948" s="242"/>
      <c r="AK948" s="242"/>
      <c r="AL948" s="242"/>
      <c r="AM948" s="242"/>
      <c r="AN948" s="242"/>
      <c r="AO948" s="242"/>
      <c r="AP948" s="242"/>
    </row>
    <row r="949">
      <c r="A949" s="242"/>
      <c r="B949" s="242"/>
      <c r="C949" s="242"/>
      <c r="D949" s="242"/>
      <c r="E949" s="242"/>
      <c r="F949" s="242"/>
      <c r="G949" s="242"/>
      <c r="H949" s="242"/>
      <c r="I949" s="242"/>
      <c r="J949" s="242"/>
      <c r="K949" s="242"/>
      <c r="L949" s="242"/>
      <c r="M949" s="242"/>
      <c r="N949" s="242"/>
      <c r="O949" s="242"/>
      <c r="P949" s="13"/>
      <c r="Q949" s="13"/>
      <c r="R949" s="13"/>
      <c r="S949" s="13"/>
      <c r="T949" s="13"/>
      <c r="U949" s="13"/>
      <c r="V949" s="13"/>
      <c r="W949" s="13"/>
      <c r="X949" s="13"/>
      <c r="Y949" s="13"/>
      <c r="Z949" s="13"/>
      <c r="AA949" s="13"/>
      <c r="AB949" s="13"/>
      <c r="AC949" s="13"/>
      <c r="AD949" s="13"/>
      <c r="AE949" s="13"/>
      <c r="AF949" s="242"/>
      <c r="AG949" s="242"/>
      <c r="AH949" s="242"/>
      <c r="AI949" s="242"/>
      <c r="AJ949" s="242"/>
      <c r="AK949" s="242"/>
      <c r="AL949" s="242"/>
      <c r="AM949" s="242"/>
      <c r="AN949" s="242"/>
      <c r="AO949" s="242"/>
      <c r="AP949" s="242"/>
    </row>
    <row r="950">
      <c r="A950" s="242"/>
      <c r="B950" s="242"/>
      <c r="C950" s="242"/>
      <c r="D950" s="242"/>
      <c r="E950" s="242"/>
      <c r="F950" s="242"/>
      <c r="G950" s="242"/>
      <c r="H950" s="242"/>
      <c r="I950" s="242"/>
      <c r="J950" s="242"/>
      <c r="K950" s="242"/>
      <c r="L950" s="242"/>
      <c r="M950" s="242"/>
      <c r="N950" s="242"/>
      <c r="O950" s="242"/>
      <c r="P950" s="13"/>
      <c r="Q950" s="13"/>
      <c r="R950" s="13"/>
      <c r="S950" s="13"/>
      <c r="T950" s="13"/>
      <c r="U950" s="13"/>
      <c r="V950" s="13"/>
      <c r="W950" s="13"/>
      <c r="X950" s="13"/>
      <c r="Y950" s="13"/>
      <c r="Z950" s="13"/>
      <c r="AA950" s="13"/>
      <c r="AB950" s="13"/>
      <c r="AC950" s="13"/>
      <c r="AD950" s="13"/>
      <c r="AE950" s="13"/>
      <c r="AF950" s="242"/>
      <c r="AG950" s="242"/>
      <c r="AH950" s="242"/>
      <c r="AI950" s="242"/>
      <c r="AJ950" s="242"/>
      <c r="AK950" s="242"/>
      <c r="AL950" s="242"/>
      <c r="AM950" s="242"/>
      <c r="AN950" s="242"/>
      <c r="AO950" s="242"/>
      <c r="AP950" s="242"/>
    </row>
    <row r="951">
      <c r="A951" s="242"/>
      <c r="B951" s="242"/>
      <c r="C951" s="242"/>
      <c r="D951" s="242"/>
      <c r="E951" s="242"/>
      <c r="F951" s="242"/>
      <c r="G951" s="242"/>
      <c r="H951" s="242"/>
      <c r="I951" s="242"/>
      <c r="J951" s="242"/>
      <c r="K951" s="242"/>
      <c r="L951" s="242"/>
      <c r="M951" s="242"/>
      <c r="N951" s="242"/>
      <c r="O951" s="242"/>
      <c r="P951" s="13"/>
      <c r="Q951" s="13"/>
      <c r="R951" s="13"/>
      <c r="S951" s="13"/>
      <c r="T951" s="13"/>
      <c r="U951" s="13"/>
      <c r="V951" s="13"/>
      <c r="W951" s="13"/>
      <c r="X951" s="13"/>
      <c r="Y951" s="13"/>
      <c r="Z951" s="13"/>
      <c r="AA951" s="13"/>
      <c r="AB951" s="13"/>
      <c r="AC951" s="13"/>
      <c r="AD951" s="13"/>
      <c r="AE951" s="13"/>
      <c r="AF951" s="242"/>
      <c r="AG951" s="242"/>
      <c r="AH951" s="242"/>
      <c r="AI951" s="242"/>
      <c r="AJ951" s="242"/>
      <c r="AK951" s="242"/>
      <c r="AL951" s="242"/>
      <c r="AM951" s="242"/>
      <c r="AN951" s="242"/>
      <c r="AO951" s="242"/>
      <c r="AP951" s="242"/>
    </row>
    <row r="952">
      <c r="A952" s="242"/>
      <c r="B952" s="242"/>
      <c r="C952" s="242"/>
      <c r="D952" s="242"/>
      <c r="E952" s="242"/>
      <c r="F952" s="242"/>
      <c r="G952" s="242"/>
      <c r="H952" s="242"/>
      <c r="I952" s="242"/>
      <c r="J952" s="242"/>
      <c r="K952" s="242"/>
      <c r="L952" s="242"/>
      <c r="M952" s="242"/>
      <c r="N952" s="242"/>
      <c r="O952" s="242"/>
      <c r="P952" s="13"/>
      <c r="Q952" s="13"/>
      <c r="R952" s="13"/>
      <c r="S952" s="13"/>
      <c r="T952" s="13"/>
      <c r="U952" s="13"/>
      <c r="V952" s="13"/>
      <c r="W952" s="13"/>
      <c r="X952" s="13"/>
      <c r="Y952" s="13"/>
      <c r="Z952" s="13"/>
      <c r="AA952" s="13"/>
      <c r="AB952" s="13"/>
      <c r="AC952" s="13"/>
      <c r="AD952" s="13"/>
      <c r="AE952" s="13"/>
      <c r="AF952" s="242"/>
      <c r="AG952" s="242"/>
      <c r="AH952" s="242"/>
      <c r="AI952" s="242"/>
      <c r="AJ952" s="242"/>
      <c r="AK952" s="242"/>
      <c r="AL952" s="242"/>
      <c r="AM952" s="242"/>
      <c r="AN952" s="242"/>
      <c r="AO952" s="242"/>
      <c r="AP952" s="242"/>
    </row>
    <row r="953">
      <c r="A953" s="242"/>
      <c r="B953" s="242"/>
      <c r="C953" s="242"/>
      <c r="D953" s="242"/>
      <c r="E953" s="242"/>
      <c r="F953" s="242"/>
      <c r="G953" s="242"/>
      <c r="H953" s="242"/>
      <c r="I953" s="242"/>
      <c r="J953" s="242"/>
      <c r="K953" s="242"/>
      <c r="L953" s="242"/>
      <c r="M953" s="242"/>
      <c r="N953" s="242"/>
      <c r="O953" s="242"/>
      <c r="P953" s="13"/>
      <c r="Q953" s="13"/>
      <c r="R953" s="13"/>
      <c r="S953" s="13"/>
      <c r="T953" s="13"/>
      <c r="U953" s="13"/>
      <c r="V953" s="13"/>
      <c r="W953" s="13"/>
      <c r="X953" s="13"/>
      <c r="Y953" s="13"/>
      <c r="Z953" s="13"/>
      <c r="AA953" s="13"/>
      <c r="AB953" s="13"/>
      <c r="AC953" s="13"/>
      <c r="AD953" s="13"/>
      <c r="AE953" s="13"/>
      <c r="AF953" s="242"/>
      <c r="AG953" s="242"/>
      <c r="AH953" s="242"/>
      <c r="AI953" s="242"/>
      <c r="AJ953" s="242"/>
      <c r="AK953" s="242"/>
      <c r="AL953" s="242"/>
      <c r="AM953" s="242"/>
      <c r="AN953" s="242"/>
      <c r="AO953" s="242"/>
      <c r="AP953" s="242"/>
    </row>
    <row r="954">
      <c r="A954" s="242"/>
      <c r="B954" s="242"/>
      <c r="C954" s="242"/>
      <c r="D954" s="242"/>
      <c r="E954" s="242"/>
      <c r="F954" s="242"/>
      <c r="G954" s="242"/>
      <c r="H954" s="242"/>
      <c r="I954" s="242"/>
      <c r="J954" s="242"/>
      <c r="K954" s="242"/>
      <c r="L954" s="242"/>
      <c r="M954" s="242"/>
      <c r="N954" s="242"/>
      <c r="O954" s="242"/>
      <c r="P954" s="13"/>
      <c r="Q954" s="13"/>
      <c r="R954" s="13"/>
      <c r="S954" s="13"/>
      <c r="T954" s="13"/>
      <c r="U954" s="13"/>
      <c r="V954" s="13"/>
      <c r="W954" s="13"/>
      <c r="X954" s="13"/>
      <c r="Y954" s="13"/>
      <c r="Z954" s="13"/>
      <c r="AA954" s="13"/>
      <c r="AB954" s="13"/>
      <c r="AC954" s="13"/>
      <c r="AD954" s="13"/>
      <c r="AE954" s="13"/>
      <c r="AF954" s="242"/>
      <c r="AG954" s="242"/>
      <c r="AH954" s="242"/>
      <c r="AI954" s="242"/>
      <c r="AJ954" s="242"/>
      <c r="AK954" s="242"/>
      <c r="AL954" s="242"/>
      <c r="AM954" s="242"/>
      <c r="AN954" s="242"/>
      <c r="AO954" s="242"/>
      <c r="AP954" s="242"/>
    </row>
    <row r="955">
      <c r="A955" s="242"/>
      <c r="B955" s="242"/>
      <c r="C955" s="242"/>
      <c r="D955" s="242"/>
      <c r="E955" s="242"/>
      <c r="F955" s="242"/>
      <c r="G955" s="242"/>
      <c r="H955" s="242"/>
      <c r="I955" s="242"/>
      <c r="J955" s="242"/>
      <c r="K955" s="242"/>
      <c r="L955" s="242"/>
      <c r="M955" s="242"/>
      <c r="N955" s="242"/>
      <c r="O955" s="242"/>
      <c r="P955" s="13"/>
      <c r="Q955" s="13"/>
      <c r="R955" s="13"/>
      <c r="S955" s="13"/>
      <c r="T955" s="13"/>
      <c r="U955" s="13"/>
      <c r="V955" s="13"/>
      <c r="W955" s="13"/>
      <c r="X955" s="13"/>
      <c r="Y955" s="13"/>
      <c r="Z955" s="13"/>
      <c r="AA955" s="13"/>
      <c r="AB955" s="13"/>
      <c r="AC955" s="13"/>
      <c r="AD955" s="13"/>
      <c r="AE955" s="13"/>
      <c r="AF955" s="242"/>
      <c r="AG955" s="242"/>
      <c r="AH955" s="242"/>
      <c r="AI955" s="242"/>
      <c r="AJ955" s="242"/>
      <c r="AK955" s="242"/>
      <c r="AL955" s="242"/>
      <c r="AM955" s="242"/>
      <c r="AN955" s="242"/>
      <c r="AO955" s="242"/>
      <c r="AP955" s="242"/>
    </row>
    <row r="956">
      <c r="A956" s="242"/>
      <c r="B956" s="242"/>
      <c r="C956" s="242"/>
      <c r="D956" s="242"/>
      <c r="E956" s="242"/>
      <c r="F956" s="242"/>
      <c r="G956" s="242"/>
      <c r="H956" s="242"/>
      <c r="I956" s="242"/>
      <c r="J956" s="242"/>
      <c r="K956" s="242"/>
      <c r="L956" s="242"/>
      <c r="M956" s="242"/>
      <c r="N956" s="242"/>
      <c r="O956" s="242"/>
      <c r="P956" s="13"/>
      <c r="Q956" s="13"/>
      <c r="R956" s="13"/>
      <c r="S956" s="13"/>
      <c r="T956" s="13"/>
      <c r="U956" s="13"/>
      <c r="V956" s="13"/>
      <c r="W956" s="13"/>
      <c r="X956" s="13"/>
      <c r="Y956" s="13"/>
      <c r="Z956" s="13"/>
      <c r="AA956" s="13"/>
      <c r="AB956" s="13"/>
      <c r="AC956" s="13"/>
      <c r="AD956" s="13"/>
      <c r="AE956" s="13"/>
      <c r="AF956" s="242"/>
      <c r="AG956" s="242"/>
      <c r="AH956" s="242"/>
      <c r="AI956" s="242"/>
      <c r="AJ956" s="242"/>
      <c r="AK956" s="242"/>
      <c r="AL956" s="242"/>
      <c r="AM956" s="242"/>
      <c r="AN956" s="242"/>
      <c r="AO956" s="242"/>
      <c r="AP956" s="242"/>
    </row>
    <row r="957">
      <c r="A957" s="242"/>
      <c r="B957" s="242"/>
      <c r="C957" s="242"/>
      <c r="D957" s="242"/>
      <c r="E957" s="242"/>
      <c r="F957" s="242"/>
      <c r="G957" s="242"/>
      <c r="H957" s="242"/>
      <c r="I957" s="242"/>
      <c r="J957" s="242"/>
      <c r="K957" s="242"/>
      <c r="L957" s="242"/>
      <c r="M957" s="242"/>
      <c r="N957" s="242"/>
      <c r="O957" s="242"/>
      <c r="P957" s="13"/>
      <c r="Q957" s="13"/>
      <c r="R957" s="13"/>
      <c r="S957" s="13"/>
      <c r="T957" s="13"/>
      <c r="U957" s="13"/>
      <c r="V957" s="13"/>
      <c r="W957" s="13"/>
      <c r="X957" s="13"/>
      <c r="Y957" s="13"/>
      <c r="Z957" s="13"/>
      <c r="AA957" s="13"/>
      <c r="AB957" s="13"/>
      <c r="AC957" s="13"/>
      <c r="AD957" s="13"/>
      <c r="AE957" s="13"/>
      <c r="AF957" s="242"/>
      <c r="AG957" s="242"/>
      <c r="AH957" s="242"/>
      <c r="AI957" s="242"/>
      <c r="AJ957" s="242"/>
      <c r="AK957" s="242"/>
      <c r="AL957" s="242"/>
      <c r="AM957" s="242"/>
      <c r="AN957" s="242"/>
      <c r="AO957" s="242"/>
      <c r="AP957" s="242"/>
    </row>
    <row r="958">
      <c r="A958" s="242"/>
      <c r="B958" s="242"/>
      <c r="C958" s="242"/>
      <c r="D958" s="242"/>
      <c r="E958" s="242"/>
      <c r="F958" s="242"/>
      <c r="G958" s="242"/>
      <c r="H958" s="242"/>
      <c r="I958" s="242"/>
      <c r="J958" s="242"/>
      <c r="K958" s="242"/>
      <c r="L958" s="242"/>
      <c r="M958" s="242"/>
      <c r="N958" s="242"/>
      <c r="O958" s="242"/>
      <c r="P958" s="13"/>
      <c r="Q958" s="13"/>
      <c r="R958" s="13"/>
      <c r="S958" s="13"/>
      <c r="T958" s="13"/>
      <c r="U958" s="13"/>
      <c r="V958" s="13"/>
      <c r="W958" s="13"/>
      <c r="X958" s="13"/>
      <c r="Y958" s="13"/>
      <c r="Z958" s="13"/>
      <c r="AA958" s="13"/>
      <c r="AB958" s="13"/>
      <c r="AC958" s="13"/>
      <c r="AD958" s="13"/>
      <c r="AE958" s="13"/>
      <c r="AF958" s="242"/>
      <c r="AG958" s="242"/>
      <c r="AH958" s="242"/>
      <c r="AI958" s="242"/>
      <c r="AJ958" s="242"/>
      <c r="AK958" s="242"/>
      <c r="AL958" s="242"/>
      <c r="AM958" s="242"/>
      <c r="AN958" s="242"/>
      <c r="AO958" s="242"/>
      <c r="AP958" s="242"/>
    </row>
    <row r="959">
      <c r="A959" s="242"/>
      <c r="B959" s="242"/>
      <c r="C959" s="242"/>
      <c r="D959" s="242"/>
      <c r="E959" s="242"/>
      <c r="F959" s="242"/>
      <c r="G959" s="242"/>
      <c r="H959" s="242"/>
      <c r="I959" s="242"/>
      <c r="J959" s="242"/>
      <c r="K959" s="242"/>
      <c r="L959" s="242"/>
      <c r="M959" s="242"/>
      <c r="N959" s="242"/>
      <c r="O959" s="242"/>
      <c r="P959" s="13"/>
      <c r="Q959" s="13"/>
      <c r="R959" s="13"/>
      <c r="S959" s="13"/>
      <c r="T959" s="13"/>
      <c r="U959" s="13"/>
      <c r="V959" s="13"/>
      <c r="W959" s="13"/>
      <c r="X959" s="13"/>
      <c r="Y959" s="13"/>
      <c r="Z959" s="13"/>
      <c r="AA959" s="13"/>
      <c r="AB959" s="13"/>
      <c r="AC959" s="13"/>
      <c r="AD959" s="13"/>
      <c r="AE959" s="13"/>
      <c r="AF959" s="242"/>
      <c r="AG959" s="242"/>
      <c r="AH959" s="242"/>
      <c r="AI959" s="242"/>
      <c r="AJ959" s="242"/>
      <c r="AK959" s="242"/>
      <c r="AL959" s="242"/>
      <c r="AM959" s="242"/>
      <c r="AN959" s="242"/>
      <c r="AO959" s="242"/>
      <c r="AP959" s="242"/>
    </row>
    <row r="960">
      <c r="A960" s="242"/>
      <c r="B960" s="242"/>
      <c r="C960" s="242"/>
      <c r="D960" s="242"/>
      <c r="E960" s="242"/>
      <c r="F960" s="242"/>
      <c r="G960" s="242"/>
      <c r="H960" s="242"/>
      <c r="I960" s="242"/>
      <c r="J960" s="242"/>
      <c r="K960" s="242"/>
      <c r="L960" s="242"/>
      <c r="M960" s="242"/>
      <c r="N960" s="242"/>
      <c r="O960" s="242"/>
      <c r="P960" s="13"/>
      <c r="Q960" s="13"/>
      <c r="R960" s="13"/>
      <c r="S960" s="13"/>
      <c r="T960" s="13"/>
      <c r="U960" s="13"/>
      <c r="V960" s="13"/>
      <c r="W960" s="13"/>
      <c r="X960" s="13"/>
      <c r="Y960" s="13"/>
      <c r="Z960" s="13"/>
      <c r="AA960" s="13"/>
      <c r="AB960" s="13"/>
      <c r="AC960" s="13"/>
      <c r="AD960" s="13"/>
      <c r="AE960" s="13"/>
      <c r="AF960" s="242"/>
      <c r="AG960" s="242"/>
      <c r="AH960" s="242"/>
      <c r="AI960" s="242"/>
      <c r="AJ960" s="242"/>
      <c r="AK960" s="242"/>
      <c r="AL960" s="242"/>
      <c r="AM960" s="242"/>
      <c r="AN960" s="242"/>
      <c r="AO960" s="242"/>
      <c r="AP960" s="242"/>
    </row>
    <row r="961">
      <c r="A961" s="242"/>
      <c r="B961" s="242"/>
      <c r="C961" s="242"/>
      <c r="D961" s="242"/>
      <c r="E961" s="242"/>
      <c r="F961" s="242"/>
      <c r="G961" s="242"/>
      <c r="H961" s="242"/>
      <c r="I961" s="242"/>
      <c r="J961" s="242"/>
      <c r="K961" s="242"/>
      <c r="L961" s="242"/>
      <c r="M961" s="242"/>
      <c r="N961" s="242"/>
      <c r="O961" s="242"/>
      <c r="P961" s="13"/>
      <c r="Q961" s="13"/>
      <c r="R961" s="13"/>
      <c r="S961" s="13"/>
      <c r="T961" s="13"/>
      <c r="U961" s="13"/>
      <c r="V961" s="13"/>
      <c r="W961" s="13"/>
      <c r="X961" s="13"/>
      <c r="Y961" s="13"/>
      <c r="Z961" s="13"/>
      <c r="AA961" s="13"/>
      <c r="AB961" s="13"/>
      <c r="AC961" s="13"/>
      <c r="AD961" s="13"/>
      <c r="AE961" s="13"/>
      <c r="AF961" s="242"/>
      <c r="AG961" s="242"/>
      <c r="AH961" s="242"/>
      <c r="AI961" s="242"/>
      <c r="AJ961" s="242"/>
      <c r="AK961" s="242"/>
      <c r="AL961" s="242"/>
      <c r="AM961" s="242"/>
      <c r="AN961" s="242"/>
      <c r="AO961" s="242"/>
      <c r="AP961" s="242"/>
    </row>
    <row r="962">
      <c r="A962" s="242"/>
      <c r="B962" s="242"/>
      <c r="C962" s="242"/>
      <c r="D962" s="242"/>
      <c r="E962" s="242"/>
      <c r="F962" s="242"/>
      <c r="G962" s="242"/>
      <c r="H962" s="242"/>
      <c r="I962" s="242"/>
      <c r="J962" s="242"/>
      <c r="K962" s="242"/>
      <c r="L962" s="242"/>
      <c r="M962" s="242"/>
      <c r="N962" s="242"/>
      <c r="O962" s="242"/>
      <c r="P962" s="13"/>
      <c r="Q962" s="13"/>
      <c r="R962" s="13"/>
      <c r="S962" s="13"/>
      <c r="T962" s="13"/>
      <c r="U962" s="13"/>
      <c r="V962" s="13"/>
      <c r="W962" s="13"/>
      <c r="X962" s="13"/>
      <c r="Y962" s="13"/>
      <c r="Z962" s="13"/>
      <c r="AA962" s="13"/>
      <c r="AB962" s="13"/>
      <c r="AC962" s="13"/>
      <c r="AD962" s="13"/>
      <c r="AE962" s="13"/>
      <c r="AF962" s="242"/>
      <c r="AG962" s="242"/>
      <c r="AH962" s="242"/>
      <c r="AI962" s="242"/>
      <c r="AJ962" s="242"/>
      <c r="AK962" s="242"/>
      <c r="AL962" s="242"/>
      <c r="AM962" s="242"/>
      <c r="AN962" s="242"/>
      <c r="AO962" s="242"/>
      <c r="AP962" s="242"/>
    </row>
    <row r="963">
      <c r="A963" s="242"/>
      <c r="B963" s="242"/>
      <c r="C963" s="242"/>
      <c r="D963" s="242"/>
      <c r="E963" s="242"/>
      <c r="F963" s="242"/>
      <c r="G963" s="242"/>
      <c r="H963" s="242"/>
      <c r="I963" s="242"/>
      <c r="J963" s="242"/>
      <c r="K963" s="242"/>
      <c r="L963" s="242"/>
      <c r="M963" s="242"/>
      <c r="N963" s="242"/>
      <c r="O963" s="242"/>
      <c r="P963" s="13"/>
      <c r="Q963" s="13"/>
      <c r="R963" s="13"/>
      <c r="S963" s="13"/>
      <c r="T963" s="13"/>
      <c r="U963" s="13"/>
      <c r="V963" s="13"/>
      <c r="W963" s="13"/>
      <c r="X963" s="13"/>
      <c r="Y963" s="13"/>
      <c r="Z963" s="13"/>
      <c r="AA963" s="13"/>
      <c r="AB963" s="13"/>
      <c r="AC963" s="13"/>
      <c r="AD963" s="13"/>
      <c r="AE963" s="13"/>
      <c r="AF963" s="242"/>
      <c r="AG963" s="242"/>
      <c r="AH963" s="242"/>
      <c r="AI963" s="242"/>
      <c r="AJ963" s="242"/>
      <c r="AK963" s="242"/>
      <c r="AL963" s="242"/>
      <c r="AM963" s="242"/>
      <c r="AN963" s="242"/>
      <c r="AO963" s="242"/>
      <c r="AP963" s="242"/>
    </row>
    <row r="964">
      <c r="A964" s="242"/>
      <c r="B964" s="242"/>
      <c r="C964" s="242"/>
      <c r="D964" s="242"/>
      <c r="E964" s="242"/>
      <c r="F964" s="242"/>
      <c r="G964" s="242"/>
      <c r="H964" s="242"/>
      <c r="I964" s="242"/>
      <c r="J964" s="242"/>
      <c r="K964" s="242"/>
      <c r="L964" s="242"/>
      <c r="M964" s="242"/>
      <c r="N964" s="242"/>
      <c r="O964" s="242"/>
      <c r="P964" s="13"/>
      <c r="Q964" s="13"/>
      <c r="R964" s="13"/>
      <c r="S964" s="13"/>
      <c r="T964" s="13"/>
      <c r="U964" s="13"/>
      <c r="V964" s="13"/>
      <c r="W964" s="13"/>
      <c r="X964" s="13"/>
      <c r="Y964" s="13"/>
      <c r="Z964" s="13"/>
      <c r="AA964" s="13"/>
      <c r="AB964" s="13"/>
      <c r="AC964" s="13"/>
      <c r="AD964" s="13"/>
      <c r="AE964" s="13"/>
      <c r="AF964" s="242"/>
      <c r="AG964" s="242"/>
      <c r="AH964" s="242"/>
      <c r="AI964" s="242"/>
      <c r="AJ964" s="242"/>
      <c r="AK964" s="242"/>
      <c r="AL964" s="242"/>
      <c r="AM964" s="242"/>
      <c r="AN964" s="242"/>
      <c r="AO964" s="242"/>
      <c r="AP964" s="242"/>
    </row>
    <row r="965">
      <c r="A965" s="242"/>
      <c r="B965" s="242"/>
      <c r="C965" s="242"/>
      <c r="D965" s="242"/>
      <c r="E965" s="242"/>
      <c r="F965" s="242"/>
      <c r="G965" s="242"/>
      <c r="H965" s="242"/>
      <c r="I965" s="242"/>
      <c r="J965" s="242"/>
      <c r="K965" s="242"/>
      <c r="L965" s="242"/>
      <c r="M965" s="242"/>
      <c r="N965" s="242"/>
      <c r="O965" s="242"/>
      <c r="P965" s="13"/>
      <c r="Q965" s="13"/>
      <c r="R965" s="13"/>
      <c r="S965" s="13"/>
      <c r="T965" s="13"/>
      <c r="U965" s="13"/>
      <c r="V965" s="13"/>
      <c r="W965" s="13"/>
      <c r="X965" s="13"/>
      <c r="Y965" s="13"/>
      <c r="Z965" s="13"/>
      <c r="AA965" s="13"/>
      <c r="AB965" s="13"/>
      <c r="AC965" s="13"/>
      <c r="AD965" s="13"/>
      <c r="AE965" s="13"/>
      <c r="AF965" s="242"/>
      <c r="AG965" s="242"/>
      <c r="AH965" s="242"/>
      <c r="AI965" s="242"/>
      <c r="AJ965" s="242"/>
      <c r="AK965" s="242"/>
      <c r="AL965" s="242"/>
      <c r="AM965" s="242"/>
      <c r="AN965" s="242"/>
      <c r="AO965" s="242"/>
      <c r="AP965" s="242"/>
    </row>
    <row r="966">
      <c r="A966" s="242"/>
      <c r="B966" s="242"/>
      <c r="C966" s="242"/>
      <c r="D966" s="242"/>
      <c r="E966" s="242"/>
      <c r="F966" s="242"/>
      <c r="G966" s="242"/>
      <c r="H966" s="242"/>
      <c r="I966" s="242"/>
      <c r="J966" s="242"/>
      <c r="K966" s="242"/>
      <c r="L966" s="242"/>
      <c r="M966" s="242"/>
      <c r="N966" s="242"/>
      <c r="O966" s="242"/>
      <c r="P966" s="13"/>
      <c r="Q966" s="13"/>
      <c r="R966" s="13"/>
      <c r="S966" s="13"/>
      <c r="T966" s="13"/>
      <c r="U966" s="13"/>
      <c r="V966" s="13"/>
      <c r="W966" s="13"/>
      <c r="X966" s="13"/>
      <c r="Y966" s="13"/>
      <c r="Z966" s="13"/>
      <c r="AA966" s="13"/>
      <c r="AB966" s="13"/>
      <c r="AC966" s="13"/>
      <c r="AD966" s="13"/>
      <c r="AE966" s="13"/>
      <c r="AF966" s="242"/>
      <c r="AG966" s="242"/>
      <c r="AH966" s="242"/>
      <c r="AI966" s="242"/>
      <c r="AJ966" s="242"/>
      <c r="AK966" s="242"/>
      <c r="AL966" s="242"/>
      <c r="AM966" s="242"/>
      <c r="AN966" s="242"/>
      <c r="AO966" s="242"/>
      <c r="AP966" s="242"/>
    </row>
    <row r="967">
      <c r="A967" s="242"/>
      <c r="B967" s="242"/>
      <c r="C967" s="242"/>
      <c r="D967" s="242"/>
      <c r="E967" s="242"/>
      <c r="F967" s="242"/>
      <c r="G967" s="242"/>
      <c r="H967" s="242"/>
      <c r="I967" s="242"/>
      <c r="J967" s="242"/>
      <c r="K967" s="242"/>
      <c r="L967" s="242"/>
      <c r="M967" s="242"/>
      <c r="N967" s="242"/>
      <c r="O967" s="242"/>
      <c r="P967" s="13"/>
      <c r="Q967" s="13"/>
      <c r="R967" s="13"/>
      <c r="S967" s="13"/>
      <c r="T967" s="13"/>
      <c r="U967" s="13"/>
      <c r="V967" s="13"/>
      <c r="W967" s="13"/>
      <c r="X967" s="13"/>
      <c r="Y967" s="13"/>
      <c r="Z967" s="13"/>
      <c r="AA967" s="13"/>
      <c r="AB967" s="13"/>
      <c r="AC967" s="13"/>
      <c r="AD967" s="13"/>
      <c r="AE967" s="13"/>
      <c r="AF967" s="242"/>
      <c r="AG967" s="242"/>
      <c r="AH967" s="242"/>
      <c r="AI967" s="242"/>
      <c r="AJ967" s="242"/>
      <c r="AK967" s="242"/>
      <c r="AL967" s="242"/>
      <c r="AM967" s="242"/>
      <c r="AN967" s="242"/>
      <c r="AO967" s="242"/>
      <c r="AP967" s="242"/>
    </row>
    <row r="968">
      <c r="A968" s="242"/>
      <c r="B968" s="242"/>
      <c r="C968" s="242"/>
      <c r="D968" s="242"/>
      <c r="E968" s="242"/>
      <c r="F968" s="242"/>
      <c r="G968" s="242"/>
      <c r="H968" s="242"/>
      <c r="I968" s="242"/>
      <c r="J968" s="242"/>
      <c r="K968" s="242"/>
      <c r="L968" s="242"/>
      <c r="M968" s="242"/>
      <c r="N968" s="242"/>
      <c r="O968" s="242"/>
      <c r="P968" s="13"/>
      <c r="Q968" s="13"/>
      <c r="R968" s="13"/>
      <c r="S968" s="13"/>
      <c r="T968" s="13"/>
      <c r="U968" s="13"/>
      <c r="V968" s="13"/>
      <c r="W968" s="13"/>
      <c r="X968" s="13"/>
      <c r="Y968" s="13"/>
      <c r="Z968" s="13"/>
      <c r="AA968" s="13"/>
      <c r="AB968" s="13"/>
      <c r="AC968" s="13"/>
      <c r="AD968" s="13"/>
      <c r="AE968" s="13"/>
      <c r="AF968" s="242"/>
      <c r="AG968" s="242"/>
      <c r="AH968" s="242"/>
      <c r="AI968" s="242"/>
      <c r="AJ968" s="242"/>
      <c r="AK968" s="242"/>
      <c r="AL968" s="242"/>
      <c r="AM968" s="242"/>
      <c r="AN968" s="242"/>
      <c r="AO968" s="242"/>
      <c r="AP968" s="242"/>
    </row>
    <row r="969">
      <c r="A969" s="242"/>
      <c r="B969" s="242"/>
      <c r="C969" s="242"/>
      <c r="D969" s="242"/>
      <c r="E969" s="242"/>
      <c r="F969" s="242"/>
      <c r="G969" s="242"/>
      <c r="H969" s="242"/>
      <c r="I969" s="242"/>
      <c r="J969" s="242"/>
      <c r="K969" s="242"/>
      <c r="L969" s="242"/>
      <c r="M969" s="242"/>
      <c r="N969" s="242"/>
      <c r="O969" s="242"/>
      <c r="P969" s="13"/>
      <c r="Q969" s="13"/>
      <c r="R969" s="13"/>
      <c r="S969" s="13"/>
      <c r="T969" s="13"/>
      <c r="U969" s="13"/>
      <c r="V969" s="13"/>
      <c r="W969" s="13"/>
      <c r="X969" s="13"/>
      <c r="Y969" s="13"/>
      <c r="Z969" s="13"/>
      <c r="AA969" s="13"/>
      <c r="AB969" s="13"/>
      <c r="AC969" s="13"/>
      <c r="AD969" s="13"/>
      <c r="AE969" s="13"/>
      <c r="AF969" s="242"/>
      <c r="AG969" s="242"/>
      <c r="AH969" s="242"/>
      <c r="AI969" s="242"/>
      <c r="AJ969" s="242"/>
      <c r="AK969" s="242"/>
      <c r="AL969" s="242"/>
      <c r="AM969" s="242"/>
      <c r="AN969" s="242"/>
      <c r="AO969" s="242"/>
      <c r="AP969" s="242"/>
    </row>
    <row r="970">
      <c r="A970" s="242"/>
      <c r="B970" s="242"/>
      <c r="C970" s="242"/>
      <c r="D970" s="242"/>
      <c r="E970" s="242"/>
      <c r="F970" s="242"/>
      <c r="G970" s="242"/>
      <c r="H970" s="242"/>
      <c r="I970" s="242"/>
      <c r="J970" s="242"/>
      <c r="K970" s="242"/>
      <c r="L970" s="242"/>
      <c r="M970" s="242"/>
      <c r="N970" s="242"/>
      <c r="O970" s="242"/>
      <c r="P970" s="13"/>
      <c r="Q970" s="13"/>
      <c r="R970" s="13"/>
      <c r="S970" s="13"/>
      <c r="T970" s="13"/>
      <c r="U970" s="13"/>
      <c r="V970" s="13"/>
      <c r="W970" s="13"/>
      <c r="X970" s="13"/>
      <c r="Y970" s="13"/>
      <c r="Z970" s="13"/>
      <c r="AA970" s="13"/>
      <c r="AB970" s="13"/>
      <c r="AC970" s="13"/>
      <c r="AD970" s="13"/>
      <c r="AE970" s="13"/>
      <c r="AF970" s="242"/>
      <c r="AG970" s="242"/>
      <c r="AH970" s="242"/>
      <c r="AI970" s="242"/>
      <c r="AJ970" s="242"/>
      <c r="AK970" s="242"/>
      <c r="AL970" s="242"/>
      <c r="AM970" s="242"/>
      <c r="AN970" s="242"/>
      <c r="AO970" s="242"/>
      <c r="AP970" s="242"/>
    </row>
    <row r="971">
      <c r="A971" s="242"/>
      <c r="B971" s="242"/>
      <c r="C971" s="242"/>
      <c r="D971" s="242"/>
      <c r="E971" s="242"/>
      <c r="F971" s="242"/>
      <c r="G971" s="242"/>
      <c r="H971" s="242"/>
      <c r="I971" s="242"/>
      <c r="J971" s="242"/>
      <c r="K971" s="242"/>
      <c r="L971" s="242"/>
      <c r="M971" s="242"/>
      <c r="N971" s="242"/>
      <c r="O971" s="242"/>
      <c r="P971" s="13"/>
      <c r="Q971" s="13"/>
      <c r="R971" s="13"/>
      <c r="S971" s="13"/>
      <c r="T971" s="13"/>
      <c r="U971" s="13"/>
      <c r="V971" s="13"/>
      <c r="W971" s="13"/>
      <c r="X971" s="13"/>
      <c r="Y971" s="13"/>
      <c r="Z971" s="13"/>
      <c r="AA971" s="13"/>
      <c r="AB971" s="13"/>
      <c r="AC971" s="13"/>
      <c r="AD971" s="13"/>
      <c r="AE971" s="13"/>
      <c r="AF971" s="242"/>
      <c r="AG971" s="242"/>
      <c r="AH971" s="242"/>
      <c r="AI971" s="242"/>
      <c r="AJ971" s="242"/>
      <c r="AK971" s="242"/>
      <c r="AL971" s="242"/>
      <c r="AM971" s="242"/>
      <c r="AN971" s="242"/>
      <c r="AO971" s="242"/>
      <c r="AP971" s="242"/>
    </row>
    <row r="972">
      <c r="A972" s="242"/>
      <c r="B972" s="242"/>
      <c r="C972" s="242"/>
      <c r="D972" s="242"/>
      <c r="E972" s="242"/>
      <c r="F972" s="242"/>
      <c r="G972" s="242"/>
      <c r="H972" s="242"/>
      <c r="I972" s="242"/>
      <c r="J972" s="242"/>
      <c r="K972" s="242"/>
      <c r="L972" s="242"/>
      <c r="M972" s="242"/>
      <c r="N972" s="242"/>
      <c r="O972" s="242"/>
      <c r="P972" s="13"/>
      <c r="Q972" s="13"/>
      <c r="R972" s="13"/>
      <c r="S972" s="13"/>
      <c r="T972" s="13"/>
      <c r="U972" s="13"/>
      <c r="V972" s="13"/>
      <c r="W972" s="13"/>
      <c r="X972" s="13"/>
      <c r="Y972" s="13"/>
      <c r="Z972" s="13"/>
      <c r="AA972" s="13"/>
      <c r="AB972" s="13"/>
      <c r="AC972" s="13"/>
      <c r="AD972" s="13"/>
      <c r="AE972" s="13"/>
      <c r="AF972" s="242"/>
      <c r="AG972" s="242"/>
      <c r="AH972" s="242"/>
      <c r="AI972" s="242"/>
      <c r="AJ972" s="242"/>
      <c r="AK972" s="242"/>
      <c r="AL972" s="242"/>
      <c r="AM972" s="242"/>
      <c r="AN972" s="242"/>
      <c r="AO972" s="242"/>
      <c r="AP972" s="242"/>
    </row>
    <row r="973">
      <c r="A973" s="242"/>
      <c r="B973" s="242"/>
      <c r="C973" s="242"/>
      <c r="D973" s="242"/>
      <c r="E973" s="242"/>
      <c r="F973" s="242"/>
      <c r="G973" s="242"/>
      <c r="H973" s="242"/>
      <c r="I973" s="242"/>
      <c r="J973" s="242"/>
      <c r="K973" s="242"/>
      <c r="L973" s="242"/>
      <c r="M973" s="242"/>
      <c r="N973" s="242"/>
      <c r="O973" s="242"/>
      <c r="P973" s="13"/>
      <c r="Q973" s="13"/>
      <c r="R973" s="13"/>
      <c r="S973" s="13"/>
      <c r="T973" s="13"/>
      <c r="U973" s="13"/>
      <c r="V973" s="13"/>
      <c r="W973" s="13"/>
      <c r="X973" s="13"/>
      <c r="Y973" s="13"/>
      <c r="Z973" s="13"/>
      <c r="AA973" s="13"/>
      <c r="AB973" s="13"/>
      <c r="AC973" s="13"/>
      <c r="AD973" s="13"/>
      <c r="AE973" s="13"/>
      <c r="AF973" s="242"/>
      <c r="AG973" s="242"/>
      <c r="AH973" s="242"/>
      <c r="AI973" s="242"/>
      <c r="AJ973" s="242"/>
      <c r="AK973" s="242"/>
      <c r="AL973" s="242"/>
      <c r="AM973" s="242"/>
      <c r="AN973" s="242"/>
      <c r="AO973" s="242"/>
      <c r="AP973" s="242"/>
    </row>
    <row r="974">
      <c r="A974" s="242"/>
      <c r="B974" s="242"/>
      <c r="C974" s="242"/>
      <c r="D974" s="242"/>
      <c r="E974" s="242"/>
      <c r="F974" s="242"/>
      <c r="G974" s="242"/>
      <c r="H974" s="242"/>
      <c r="I974" s="242"/>
      <c r="J974" s="242"/>
      <c r="K974" s="242"/>
      <c r="L974" s="242"/>
      <c r="M974" s="242"/>
      <c r="N974" s="242"/>
      <c r="O974" s="242"/>
      <c r="P974" s="13"/>
      <c r="Q974" s="13"/>
      <c r="R974" s="13"/>
      <c r="S974" s="13"/>
      <c r="T974" s="13"/>
      <c r="U974" s="13"/>
      <c r="V974" s="13"/>
      <c r="W974" s="13"/>
      <c r="X974" s="13"/>
      <c r="Y974" s="13"/>
      <c r="Z974" s="13"/>
      <c r="AA974" s="13"/>
      <c r="AB974" s="13"/>
      <c r="AC974" s="13"/>
      <c r="AD974" s="13"/>
      <c r="AE974" s="13"/>
      <c r="AF974" s="242"/>
      <c r="AG974" s="242"/>
      <c r="AH974" s="242"/>
      <c r="AI974" s="242"/>
      <c r="AJ974" s="242"/>
      <c r="AK974" s="242"/>
      <c r="AL974" s="242"/>
      <c r="AM974" s="242"/>
      <c r="AN974" s="242"/>
      <c r="AO974" s="242"/>
      <c r="AP974" s="242"/>
    </row>
    <row r="975">
      <c r="A975" s="242"/>
      <c r="B975" s="242"/>
      <c r="C975" s="242"/>
      <c r="D975" s="242"/>
      <c r="E975" s="242"/>
      <c r="F975" s="242"/>
      <c r="G975" s="242"/>
      <c r="H975" s="242"/>
      <c r="I975" s="242"/>
      <c r="J975" s="242"/>
      <c r="K975" s="242"/>
      <c r="L975" s="242"/>
      <c r="M975" s="242"/>
      <c r="N975" s="242"/>
      <c r="O975" s="242"/>
      <c r="P975" s="13"/>
      <c r="Q975" s="13"/>
      <c r="R975" s="13"/>
      <c r="S975" s="13"/>
      <c r="T975" s="13"/>
      <c r="U975" s="13"/>
      <c r="V975" s="13"/>
      <c r="W975" s="13"/>
      <c r="X975" s="13"/>
      <c r="Y975" s="13"/>
      <c r="Z975" s="13"/>
      <c r="AA975" s="13"/>
      <c r="AB975" s="13"/>
      <c r="AC975" s="13"/>
      <c r="AD975" s="13"/>
      <c r="AE975" s="13"/>
      <c r="AF975" s="242"/>
      <c r="AG975" s="242"/>
      <c r="AH975" s="242"/>
      <c r="AI975" s="242"/>
      <c r="AJ975" s="242"/>
      <c r="AK975" s="242"/>
      <c r="AL975" s="242"/>
      <c r="AM975" s="242"/>
      <c r="AN975" s="242"/>
      <c r="AO975" s="242"/>
      <c r="AP975" s="242"/>
    </row>
    <row r="976">
      <c r="A976" s="242"/>
      <c r="B976" s="242"/>
      <c r="C976" s="242"/>
      <c r="D976" s="242"/>
      <c r="E976" s="242"/>
      <c r="F976" s="242"/>
      <c r="G976" s="242"/>
      <c r="H976" s="242"/>
      <c r="I976" s="242"/>
      <c r="J976" s="242"/>
      <c r="K976" s="242"/>
      <c r="L976" s="242"/>
      <c r="M976" s="242"/>
      <c r="N976" s="242"/>
      <c r="O976" s="242"/>
      <c r="P976" s="13"/>
      <c r="Q976" s="13"/>
      <c r="R976" s="13"/>
      <c r="S976" s="13"/>
      <c r="T976" s="13"/>
      <c r="U976" s="13"/>
      <c r="V976" s="13"/>
      <c r="W976" s="13"/>
      <c r="X976" s="13"/>
      <c r="Y976" s="13"/>
      <c r="Z976" s="13"/>
      <c r="AA976" s="13"/>
      <c r="AB976" s="13"/>
      <c r="AC976" s="13"/>
      <c r="AD976" s="13"/>
      <c r="AE976" s="13"/>
      <c r="AF976" s="242"/>
      <c r="AG976" s="242"/>
      <c r="AH976" s="242"/>
      <c r="AI976" s="242"/>
      <c r="AJ976" s="242"/>
      <c r="AK976" s="242"/>
      <c r="AL976" s="242"/>
      <c r="AM976" s="242"/>
      <c r="AN976" s="242"/>
      <c r="AO976" s="242"/>
      <c r="AP976" s="242"/>
    </row>
    <row r="977">
      <c r="A977" s="242"/>
      <c r="B977" s="242"/>
      <c r="C977" s="242"/>
      <c r="D977" s="242"/>
      <c r="E977" s="242"/>
      <c r="F977" s="242"/>
      <c r="G977" s="242"/>
      <c r="H977" s="242"/>
      <c r="I977" s="242"/>
      <c r="J977" s="242"/>
      <c r="K977" s="242"/>
      <c r="L977" s="242"/>
      <c r="M977" s="242"/>
      <c r="N977" s="242"/>
      <c r="O977" s="242"/>
      <c r="P977" s="13"/>
      <c r="Q977" s="13"/>
      <c r="R977" s="13"/>
      <c r="S977" s="13"/>
      <c r="T977" s="13"/>
      <c r="U977" s="13"/>
      <c r="V977" s="13"/>
      <c r="W977" s="13"/>
      <c r="X977" s="13"/>
      <c r="Y977" s="13"/>
      <c r="Z977" s="13"/>
      <c r="AA977" s="13"/>
      <c r="AB977" s="13"/>
      <c r="AC977" s="13"/>
      <c r="AD977" s="13"/>
      <c r="AE977" s="13"/>
      <c r="AF977" s="242"/>
      <c r="AG977" s="242"/>
      <c r="AH977" s="242"/>
      <c r="AI977" s="242"/>
      <c r="AJ977" s="242"/>
      <c r="AK977" s="242"/>
      <c r="AL977" s="242"/>
      <c r="AM977" s="242"/>
      <c r="AN977" s="242"/>
      <c r="AO977" s="242"/>
      <c r="AP977" s="242"/>
    </row>
    <row r="978">
      <c r="A978" s="242"/>
      <c r="B978" s="242"/>
      <c r="C978" s="242"/>
      <c r="D978" s="242"/>
      <c r="E978" s="242"/>
      <c r="F978" s="242"/>
      <c r="G978" s="242"/>
      <c r="H978" s="242"/>
      <c r="I978" s="242"/>
      <c r="J978" s="242"/>
      <c r="K978" s="242"/>
      <c r="L978" s="242"/>
      <c r="M978" s="242"/>
      <c r="N978" s="242"/>
      <c r="O978" s="242"/>
      <c r="P978" s="13"/>
      <c r="Q978" s="13"/>
      <c r="R978" s="13"/>
      <c r="S978" s="13"/>
      <c r="T978" s="13"/>
      <c r="U978" s="13"/>
      <c r="V978" s="13"/>
      <c r="W978" s="13"/>
      <c r="X978" s="13"/>
      <c r="Y978" s="13"/>
      <c r="Z978" s="13"/>
      <c r="AA978" s="13"/>
      <c r="AB978" s="13"/>
      <c r="AC978" s="13"/>
      <c r="AD978" s="13"/>
      <c r="AE978" s="13"/>
      <c r="AF978" s="242"/>
      <c r="AG978" s="242"/>
      <c r="AH978" s="242"/>
      <c r="AI978" s="242"/>
      <c r="AJ978" s="242"/>
      <c r="AK978" s="242"/>
      <c r="AL978" s="242"/>
      <c r="AM978" s="242"/>
      <c r="AN978" s="242"/>
      <c r="AO978" s="242"/>
      <c r="AP978" s="242"/>
    </row>
    <row r="979">
      <c r="A979" s="242"/>
      <c r="B979" s="242"/>
      <c r="C979" s="242"/>
      <c r="D979" s="242"/>
      <c r="E979" s="242"/>
      <c r="F979" s="242"/>
      <c r="G979" s="242"/>
      <c r="H979" s="242"/>
      <c r="I979" s="242"/>
      <c r="J979" s="242"/>
      <c r="K979" s="242"/>
      <c r="L979" s="242"/>
      <c r="M979" s="242"/>
      <c r="N979" s="242"/>
      <c r="O979" s="242"/>
      <c r="P979" s="13"/>
      <c r="Q979" s="13"/>
      <c r="R979" s="13"/>
      <c r="S979" s="13"/>
      <c r="T979" s="13"/>
      <c r="U979" s="13"/>
      <c r="V979" s="13"/>
      <c r="W979" s="13"/>
      <c r="X979" s="13"/>
      <c r="Y979" s="13"/>
      <c r="Z979" s="13"/>
      <c r="AA979" s="13"/>
      <c r="AB979" s="13"/>
      <c r="AC979" s="13"/>
      <c r="AD979" s="13"/>
      <c r="AE979" s="13"/>
      <c r="AF979" s="242"/>
      <c r="AG979" s="242"/>
      <c r="AH979" s="242"/>
      <c r="AI979" s="242"/>
      <c r="AJ979" s="242"/>
      <c r="AK979" s="242"/>
      <c r="AL979" s="242"/>
      <c r="AM979" s="242"/>
      <c r="AN979" s="242"/>
      <c r="AO979" s="242"/>
      <c r="AP979" s="242"/>
    </row>
    <row r="980">
      <c r="A980" s="242"/>
      <c r="B980" s="242"/>
      <c r="C980" s="242"/>
      <c r="D980" s="242"/>
      <c r="E980" s="242"/>
      <c r="F980" s="242"/>
      <c r="G980" s="242"/>
      <c r="H980" s="242"/>
      <c r="I980" s="242"/>
      <c r="J980" s="242"/>
      <c r="K980" s="242"/>
      <c r="L980" s="242"/>
      <c r="M980" s="242"/>
      <c r="N980" s="242"/>
      <c r="O980" s="242"/>
      <c r="P980" s="13"/>
      <c r="Q980" s="13"/>
      <c r="R980" s="13"/>
      <c r="S980" s="13"/>
      <c r="T980" s="13"/>
      <c r="U980" s="13"/>
      <c r="V980" s="13"/>
      <c r="W980" s="13"/>
      <c r="X980" s="13"/>
      <c r="Y980" s="13"/>
      <c r="Z980" s="13"/>
      <c r="AA980" s="13"/>
      <c r="AB980" s="13"/>
      <c r="AC980" s="13"/>
      <c r="AD980" s="13"/>
      <c r="AE980" s="13"/>
      <c r="AF980" s="242"/>
      <c r="AG980" s="242"/>
      <c r="AH980" s="242"/>
      <c r="AI980" s="242"/>
      <c r="AJ980" s="242"/>
      <c r="AK980" s="242"/>
      <c r="AL980" s="242"/>
      <c r="AM980" s="242"/>
      <c r="AN980" s="242"/>
      <c r="AO980" s="242"/>
      <c r="AP980" s="242"/>
    </row>
    <row r="981">
      <c r="A981" s="242"/>
      <c r="B981" s="242"/>
      <c r="C981" s="242"/>
      <c r="D981" s="242"/>
      <c r="E981" s="242"/>
      <c r="F981" s="242"/>
      <c r="G981" s="242"/>
      <c r="H981" s="242"/>
      <c r="I981" s="242"/>
      <c r="J981" s="242"/>
      <c r="K981" s="242"/>
      <c r="L981" s="242"/>
      <c r="M981" s="242"/>
      <c r="N981" s="242"/>
      <c r="O981" s="242"/>
      <c r="P981" s="13"/>
      <c r="Q981" s="13"/>
      <c r="R981" s="13"/>
      <c r="S981" s="13"/>
      <c r="T981" s="13"/>
      <c r="U981" s="13"/>
      <c r="V981" s="13"/>
      <c r="W981" s="13"/>
      <c r="X981" s="13"/>
      <c r="Y981" s="13"/>
      <c r="Z981" s="13"/>
      <c r="AA981" s="13"/>
      <c r="AB981" s="13"/>
      <c r="AC981" s="13"/>
      <c r="AD981" s="13"/>
      <c r="AE981" s="13"/>
      <c r="AF981" s="242"/>
      <c r="AG981" s="242"/>
      <c r="AH981" s="242"/>
      <c r="AI981" s="242"/>
      <c r="AJ981" s="242"/>
      <c r="AK981" s="242"/>
      <c r="AL981" s="242"/>
      <c r="AM981" s="242"/>
      <c r="AN981" s="242"/>
      <c r="AO981" s="242"/>
      <c r="AP981" s="242"/>
    </row>
    <row r="982">
      <c r="A982" s="242"/>
      <c r="B982" s="242"/>
      <c r="C982" s="242"/>
      <c r="D982" s="242"/>
      <c r="E982" s="242"/>
      <c r="F982" s="242"/>
      <c r="G982" s="242"/>
      <c r="H982" s="242"/>
      <c r="I982" s="242"/>
      <c r="J982" s="242"/>
      <c r="K982" s="242"/>
      <c r="L982" s="242"/>
      <c r="M982" s="242"/>
      <c r="N982" s="242"/>
      <c r="O982" s="242"/>
      <c r="P982" s="13"/>
      <c r="Q982" s="13"/>
      <c r="R982" s="13"/>
      <c r="S982" s="13"/>
      <c r="T982" s="13"/>
      <c r="U982" s="13"/>
      <c r="V982" s="13"/>
      <c r="W982" s="13"/>
      <c r="X982" s="13"/>
      <c r="Y982" s="13"/>
      <c r="Z982" s="13"/>
      <c r="AA982" s="13"/>
      <c r="AB982" s="13"/>
      <c r="AC982" s="13"/>
      <c r="AD982" s="13"/>
      <c r="AE982" s="13"/>
      <c r="AF982" s="242"/>
      <c r="AG982" s="242"/>
      <c r="AH982" s="242"/>
      <c r="AI982" s="242"/>
      <c r="AJ982" s="242"/>
      <c r="AK982" s="242"/>
      <c r="AL982" s="242"/>
      <c r="AM982" s="242"/>
      <c r="AN982" s="242"/>
      <c r="AO982" s="242"/>
      <c r="AP982" s="242"/>
    </row>
    <row r="983">
      <c r="A983" s="242"/>
      <c r="B983" s="242"/>
      <c r="C983" s="242"/>
      <c r="D983" s="242"/>
      <c r="E983" s="242"/>
      <c r="F983" s="242"/>
      <c r="G983" s="242"/>
      <c r="H983" s="242"/>
      <c r="I983" s="242"/>
      <c r="J983" s="242"/>
      <c r="K983" s="242"/>
      <c r="L983" s="242"/>
      <c r="M983" s="242"/>
      <c r="N983" s="242"/>
      <c r="O983" s="242"/>
      <c r="P983" s="13"/>
      <c r="Q983" s="13"/>
      <c r="R983" s="13"/>
      <c r="S983" s="13"/>
      <c r="T983" s="13"/>
      <c r="U983" s="13"/>
      <c r="V983" s="13"/>
      <c r="W983" s="13"/>
      <c r="X983" s="13"/>
      <c r="Y983" s="13"/>
      <c r="Z983" s="13"/>
      <c r="AA983" s="13"/>
      <c r="AB983" s="13"/>
      <c r="AC983" s="13"/>
      <c r="AD983" s="13"/>
      <c r="AE983" s="13"/>
      <c r="AF983" s="242"/>
      <c r="AG983" s="242"/>
      <c r="AH983" s="242"/>
      <c r="AI983" s="242"/>
      <c r="AJ983" s="242"/>
      <c r="AK983" s="242"/>
      <c r="AL983" s="242"/>
      <c r="AM983" s="242"/>
      <c r="AN983" s="242"/>
      <c r="AO983" s="242"/>
      <c r="AP983" s="242"/>
    </row>
    <row r="984">
      <c r="A984" s="242"/>
      <c r="B984" s="242"/>
      <c r="C984" s="242"/>
      <c r="D984" s="242"/>
      <c r="E984" s="242"/>
      <c r="F984" s="242"/>
      <c r="G984" s="242"/>
      <c r="H984" s="242"/>
      <c r="I984" s="242"/>
      <c r="J984" s="242"/>
      <c r="K984" s="242"/>
      <c r="L984" s="242"/>
      <c r="M984" s="242"/>
      <c r="N984" s="242"/>
      <c r="O984" s="242"/>
      <c r="P984" s="13"/>
      <c r="Q984" s="13"/>
      <c r="R984" s="13"/>
      <c r="S984" s="13"/>
      <c r="T984" s="13"/>
      <c r="U984" s="13"/>
      <c r="V984" s="13"/>
      <c r="W984" s="13"/>
      <c r="X984" s="13"/>
      <c r="Y984" s="13"/>
      <c r="Z984" s="13"/>
      <c r="AA984" s="13"/>
      <c r="AB984" s="13"/>
      <c r="AC984" s="13"/>
      <c r="AD984" s="13"/>
      <c r="AE984" s="13"/>
      <c r="AF984" s="242"/>
      <c r="AG984" s="242"/>
      <c r="AH984" s="242"/>
      <c r="AI984" s="242"/>
      <c r="AJ984" s="242"/>
      <c r="AK984" s="242"/>
      <c r="AL984" s="242"/>
      <c r="AM984" s="242"/>
      <c r="AN984" s="242"/>
      <c r="AO984" s="242"/>
      <c r="AP984" s="242"/>
    </row>
    <row r="985">
      <c r="A985" s="242"/>
      <c r="B985" s="242"/>
      <c r="C985" s="242"/>
      <c r="D985" s="242"/>
      <c r="E985" s="242"/>
      <c r="F985" s="242"/>
      <c r="G985" s="242"/>
      <c r="H985" s="242"/>
      <c r="I985" s="242"/>
      <c r="J985" s="242"/>
      <c r="K985" s="242"/>
      <c r="L985" s="242"/>
      <c r="M985" s="242"/>
      <c r="N985" s="242"/>
      <c r="O985" s="242"/>
      <c r="P985" s="13"/>
      <c r="Q985" s="13"/>
      <c r="R985" s="13"/>
      <c r="S985" s="13"/>
      <c r="T985" s="13"/>
      <c r="U985" s="13"/>
      <c r="V985" s="13"/>
      <c r="W985" s="13"/>
      <c r="X985" s="13"/>
      <c r="Y985" s="13"/>
      <c r="Z985" s="13"/>
      <c r="AA985" s="13"/>
      <c r="AB985" s="13"/>
      <c r="AC985" s="13"/>
      <c r="AD985" s="13"/>
      <c r="AE985" s="13"/>
      <c r="AF985" s="242"/>
      <c r="AG985" s="242"/>
      <c r="AH985" s="242"/>
      <c r="AI985" s="242"/>
      <c r="AJ985" s="242"/>
      <c r="AK985" s="242"/>
      <c r="AL985" s="242"/>
      <c r="AM985" s="242"/>
      <c r="AN985" s="242"/>
      <c r="AO985" s="242"/>
      <c r="AP985" s="242"/>
    </row>
    <row r="986">
      <c r="A986" s="242"/>
      <c r="B986" s="242"/>
      <c r="C986" s="242"/>
      <c r="D986" s="242"/>
      <c r="E986" s="242"/>
      <c r="F986" s="242"/>
      <c r="G986" s="242"/>
      <c r="H986" s="242"/>
      <c r="I986" s="242"/>
      <c r="J986" s="242"/>
      <c r="K986" s="242"/>
      <c r="L986" s="242"/>
      <c r="M986" s="242"/>
      <c r="N986" s="242"/>
      <c r="O986" s="242"/>
      <c r="P986" s="13"/>
      <c r="Q986" s="13"/>
      <c r="R986" s="13"/>
      <c r="S986" s="13"/>
      <c r="T986" s="13"/>
      <c r="U986" s="13"/>
      <c r="V986" s="13"/>
      <c r="W986" s="13"/>
      <c r="X986" s="13"/>
      <c r="Y986" s="13"/>
      <c r="Z986" s="13"/>
      <c r="AA986" s="13"/>
      <c r="AB986" s="13"/>
      <c r="AC986" s="13"/>
      <c r="AD986" s="13"/>
      <c r="AE986" s="13"/>
      <c r="AF986" s="242"/>
      <c r="AG986" s="242"/>
      <c r="AH986" s="242"/>
      <c r="AI986" s="242"/>
      <c r="AJ986" s="242"/>
      <c r="AK986" s="242"/>
      <c r="AL986" s="242"/>
      <c r="AM986" s="242"/>
      <c r="AN986" s="242"/>
      <c r="AO986" s="242"/>
      <c r="AP986" s="242"/>
    </row>
    <row r="987">
      <c r="A987" s="242"/>
      <c r="B987" s="242"/>
      <c r="C987" s="242"/>
      <c r="D987" s="242"/>
      <c r="E987" s="242"/>
      <c r="F987" s="242"/>
      <c r="G987" s="242"/>
      <c r="H987" s="242"/>
      <c r="I987" s="242"/>
      <c r="J987" s="242"/>
      <c r="K987" s="242"/>
      <c r="L987" s="242"/>
      <c r="M987" s="242"/>
      <c r="N987" s="242"/>
      <c r="O987" s="242"/>
      <c r="P987" s="13"/>
      <c r="Q987" s="13"/>
      <c r="R987" s="13"/>
      <c r="S987" s="13"/>
      <c r="T987" s="13"/>
      <c r="U987" s="13"/>
      <c r="V987" s="13"/>
      <c r="W987" s="13"/>
      <c r="X987" s="13"/>
      <c r="Y987" s="13"/>
      <c r="Z987" s="13"/>
      <c r="AA987" s="13"/>
      <c r="AB987" s="13"/>
      <c r="AC987" s="13"/>
      <c r="AD987" s="13"/>
      <c r="AE987" s="13"/>
      <c r="AF987" s="242"/>
      <c r="AG987" s="242"/>
      <c r="AH987" s="242"/>
      <c r="AI987" s="242"/>
      <c r="AJ987" s="242"/>
      <c r="AK987" s="242"/>
      <c r="AL987" s="242"/>
      <c r="AM987" s="242"/>
      <c r="AN987" s="242"/>
      <c r="AO987" s="242"/>
      <c r="AP987" s="242"/>
    </row>
    <row r="988">
      <c r="A988" s="242"/>
      <c r="B988" s="242"/>
      <c r="C988" s="242"/>
      <c r="D988" s="242"/>
      <c r="E988" s="242"/>
      <c r="F988" s="242"/>
      <c r="G988" s="242"/>
      <c r="H988" s="242"/>
      <c r="I988" s="242"/>
      <c r="J988" s="242"/>
      <c r="K988" s="242"/>
      <c r="L988" s="242"/>
      <c r="M988" s="242"/>
      <c r="N988" s="242"/>
      <c r="O988" s="242"/>
      <c r="P988" s="13"/>
      <c r="Q988" s="13"/>
      <c r="R988" s="13"/>
      <c r="S988" s="13"/>
      <c r="T988" s="13"/>
      <c r="U988" s="13"/>
      <c r="V988" s="13"/>
      <c r="W988" s="13"/>
      <c r="X988" s="13"/>
      <c r="Y988" s="13"/>
      <c r="Z988" s="13"/>
      <c r="AA988" s="13"/>
      <c r="AB988" s="13"/>
      <c r="AC988" s="13"/>
      <c r="AD988" s="13"/>
      <c r="AE988" s="13"/>
      <c r="AF988" s="242"/>
      <c r="AG988" s="242"/>
      <c r="AH988" s="242"/>
      <c r="AI988" s="242"/>
      <c r="AJ988" s="242"/>
      <c r="AK988" s="242"/>
      <c r="AL988" s="242"/>
      <c r="AM988" s="242"/>
      <c r="AN988" s="242"/>
      <c r="AO988" s="242"/>
      <c r="AP988" s="242"/>
    </row>
    <row r="989">
      <c r="A989" s="242"/>
      <c r="B989" s="242"/>
      <c r="C989" s="242"/>
      <c r="D989" s="242"/>
      <c r="E989" s="242"/>
      <c r="F989" s="242"/>
      <c r="G989" s="242"/>
      <c r="H989" s="242"/>
      <c r="I989" s="242"/>
      <c r="J989" s="242"/>
      <c r="K989" s="242"/>
      <c r="L989" s="242"/>
      <c r="M989" s="242"/>
      <c r="N989" s="242"/>
      <c r="O989" s="242"/>
      <c r="P989" s="13"/>
      <c r="Q989" s="13"/>
      <c r="R989" s="13"/>
      <c r="S989" s="13"/>
      <c r="T989" s="13"/>
      <c r="U989" s="13"/>
      <c r="V989" s="13"/>
      <c r="W989" s="13"/>
      <c r="X989" s="13"/>
      <c r="Y989" s="13"/>
      <c r="Z989" s="13"/>
      <c r="AA989" s="13"/>
      <c r="AB989" s="13"/>
      <c r="AC989" s="13"/>
      <c r="AD989" s="13"/>
      <c r="AE989" s="13"/>
      <c r="AF989" s="242"/>
      <c r="AG989" s="242"/>
      <c r="AH989" s="242"/>
      <c r="AI989" s="242"/>
      <c r="AJ989" s="242"/>
      <c r="AK989" s="242"/>
      <c r="AL989" s="242"/>
      <c r="AM989" s="242"/>
      <c r="AN989" s="242"/>
      <c r="AO989" s="242"/>
      <c r="AP989" s="242"/>
    </row>
    <row r="990">
      <c r="A990" s="242"/>
      <c r="B990" s="242"/>
      <c r="C990" s="242"/>
      <c r="D990" s="242"/>
      <c r="E990" s="242"/>
      <c r="F990" s="242"/>
      <c r="G990" s="242"/>
      <c r="H990" s="242"/>
      <c r="I990" s="242"/>
      <c r="J990" s="242"/>
      <c r="K990" s="242"/>
      <c r="L990" s="242"/>
      <c r="M990" s="242"/>
      <c r="N990" s="242"/>
      <c r="O990" s="242"/>
      <c r="P990" s="13"/>
      <c r="Q990" s="13"/>
      <c r="R990" s="13"/>
      <c r="S990" s="13"/>
      <c r="T990" s="13"/>
      <c r="U990" s="13"/>
      <c r="V990" s="13"/>
      <c r="W990" s="13"/>
      <c r="X990" s="13"/>
      <c r="Y990" s="13"/>
      <c r="Z990" s="13"/>
      <c r="AA990" s="13"/>
      <c r="AB990" s="13"/>
      <c r="AC990" s="13"/>
      <c r="AD990" s="13"/>
      <c r="AE990" s="13"/>
      <c r="AF990" s="242"/>
      <c r="AG990" s="242"/>
      <c r="AH990" s="242"/>
      <c r="AI990" s="242"/>
      <c r="AJ990" s="242"/>
      <c r="AK990" s="242"/>
      <c r="AL990" s="242"/>
      <c r="AM990" s="242"/>
      <c r="AN990" s="242"/>
      <c r="AO990" s="242"/>
      <c r="AP990" s="242"/>
    </row>
    <row r="991">
      <c r="A991" s="242"/>
      <c r="B991" s="242"/>
      <c r="C991" s="242"/>
      <c r="D991" s="242"/>
      <c r="E991" s="242"/>
      <c r="F991" s="242"/>
      <c r="G991" s="242"/>
      <c r="H991" s="242"/>
      <c r="I991" s="242"/>
      <c r="J991" s="242"/>
      <c r="K991" s="242"/>
      <c r="L991" s="242"/>
      <c r="M991" s="242"/>
      <c r="N991" s="242"/>
      <c r="O991" s="242"/>
      <c r="P991" s="13"/>
      <c r="Q991" s="13"/>
      <c r="R991" s="13"/>
      <c r="S991" s="13"/>
      <c r="T991" s="13"/>
      <c r="U991" s="13"/>
      <c r="V991" s="13"/>
      <c r="W991" s="13"/>
      <c r="X991" s="13"/>
      <c r="Y991" s="13"/>
      <c r="Z991" s="13"/>
      <c r="AA991" s="13"/>
      <c r="AB991" s="13"/>
      <c r="AC991" s="13"/>
      <c r="AD991" s="13"/>
      <c r="AE991" s="13"/>
      <c r="AF991" s="242"/>
      <c r="AG991" s="242"/>
      <c r="AH991" s="242"/>
      <c r="AI991" s="242"/>
      <c r="AJ991" s="242"/>
      <c r="AK991" s="242"/>
      <c r="AL991" s="242"/>
      <c r="AM991" s="242"/>
      <c r="AN991" s="242"/>
      <c r="AO991" s="242"/>
      <c r="AP991" s="242"/>
    </row>
    <row r="992">
      <c r="A992" s="242"/>
      <c r="B992" s="242"/>
      <c r="C992" s="242"/>
      <c r="D992" s="242"/>
      <c r="E992" s="242"/>
      <c r="F992" s="242"/>
      <c r="G992" s="242"/>
      <c r="H992" s="242"/>
      <c r="I992" s="242"/>
      <c r="J992" s="242"/>
      <c r="K992" s="242"/>
      <c r="L992" s="242"/>
      <c r="M992" s="242"/>
      <c r="N992" s="242"/>
      <c r="O992" s="242"/>
      <c r="P992" s="13"/>
      <c r="Q992" s="13"/>
      <c r="R992" s="13"/>
      <c r="S992" s="13"/>
      <c r="T992" s="13"/>
      <c r="U992" s="13"/>
      <c r="V992" s="13"/>
      <c r="W992" s="13"/>
      <c r="X992" s="13"/>
      <c r="Y992" s="13"/>
      <c r="Z992" s="13"/>
      <c r="AA992" s="13"/>
      <c r="AB992" s="13"/>
      <c r="AC992" s="13"/>
      <c r="AD992" s="13"/>
      <c r="AE992" s="13"/>
      <c r="AF992" s="242"/>
      <c r="AG992" s="242"/>
      <c r="AH992" s="242"/>
      <c r="AI992" s="242"/>
      <c r="AJ992" s="242"/>
      <c r="AK992" s="242"/>
      <c r="AL992" s="242"/>
      <c r="AM992" s="242"/>
      <c r="AN992" s="242"/>
      <c r="AO992" s="242"/>
      <c r="AP992" s="242"/>
    </row>
    <row r="993">
      <c r="A993" s="242"/>
      <c r="B993" s="242"/>
      <c r="C993" s="242"/>
      <c r="D993" s="242"/>
      <c r="E993" s="242"/>
      <c r="F993" s="242"/>
      <c r="G993" s="242"/>
      <c r="H993" s="242"/>
      <c r="I993" s="242"/>
      <c r="J993" s="242"/>
      <c r="K993" s="242"/>
      <c r="L993" s="242"/>
      <c r="M993" s="242"/>
      <c r="N993" s="242"/>
      <c r="O993" s="242"/>
      <c r="P993" s="13"/>
      <c r="Q993" s="13"/>
      <c r="R993" s="13"/>
      <c r="S993" s="13"/>
      <c r="T993" s="13"/>
      <c r="U993" s="13"/>
      <c r="V993" s="13"/>
      <c r="W993" s="13"/>
      <c r="X993" s="13"/>
      <c r="Y993" s="13"/>
      <c r="Z993" s="13"/>
      <c r="AA993" s="13"/>
      <c r="AB993" s="13"/>
      <c r="AC993" s="13"/>
      <c r="AD993" s="13"/>
      <c r="AE993" s="13"/>
      <c r="AF993" s="242"/>
      <c r="AG993" s="242"/>
      <c r="AH993" s="242"/>
      <c r="AI993" s="242"/>
      <c r="AJ993" s="242"/>
      <c r="AK993" s="242"/>
      <c r="AL993" s="242"/>
      <c r="AM993" s="242"/>
      <c r="AN993" s="242"/>
      <c r="AO993" s="242"/>
      <c r="AP993" s="242"/>
    </row>
    <row r="994">
      <c r="A994" s="242"/>
      <c r="B994" s="242"/>
      <c r="C994" s="242"/>
      <c r="D994" s="242"/>
      <c r="E994" s="242"/>
      <c r="F994" s="242"/>
      <c r="G994" s="242"/>
      <c r="H994" s="242"/>
      <c r="I994" s="242"/>
      <c r="J994" s="242"/>
      <c r="K994" s="242"/>
      <c r="L994" s="242"/>
      <c r="M994" s="242"/>
      <c r="N994" s="242"/>
      <c r="O994" s="242"/>
      <c r="P994" s="13"/>
      <c r="Q994" s="13"/>
      <c r="R994" s="13"/>
      <c r="S994" s="13"/>
      <c r="T994" s="13"/>
      <c r="U994" s="13"/>
      <c r="V994" s="13"/>
      <c r="W994" s="13"/>
      <c r="X994" s="13"/>
      <c r="Y994" s="13"/>
      <c r="Z994" s="13"/>
      <c r="AA994" s="13"/>
      <c r="AB994" s="13"/>
      <c r="AC994" s="13"/>
      <c r="AD994" s="13"/>
      <c r="AE994" s="13"/>
      <c r="AF994" s="242"/>
      <c r="AG994" s="242"/>
      <c r="AH994" s="242"/>
      <c r="AI994" s="242"/>
      <c r="AJ994" s="242"/>
      <c r="AK994" s="242"/>
      <c r="AL994" s="242"/>
      <c r="AM994" s="242"/>
      <c r="AN994" s="242"/>
      <c r="AO994" s="242"/>
      <c r="AP994" s="242"/>
    </row>
    <row r="995">
      <c r="A995" s="242"/>
      <c r="B995" s="242"/>
      <c r="C995" s="242"/>
      <c r="D995" s="242"/>
      <c r="E995" s="242"/>
      <c r="F995" s="242"/>
      <c r="G995" s="242"/>
      <c r="H995" s="242"/>
      <c r="I995" s="242"/>
      <c r="J995" s="242"/>
      <c r="K995" s="242"/>
      <c r="L995" s="242"/>
      <c r="M995" s="242"/>
      <c r="N995" s="242"/>
      <c r="O995" s="242"/>
      <c r="P995" s="13"/>
      <c r="Q995" s="13"/>
      <c r="R995" s="13"/>
      <c r="S995" s="13"/>
      <c r="T995" s="13"/>
      <c r="U995" s="13"/>
      <c r="V995" s="13"/>
      <c r="W995" s="13"/>
      <c r="X995" s="13"/>
      <c r="Y995" s="13"/>
      <c r="Z995" s="13"/>
      <c r="AA995" s="13"/>
      <c r="AB995" s="13"/>
      <c r="AC995" s="13"/>
      <c r="AD995" s="13"/>
      <c r="AE995" s="13"/>
      <c r="AF995" s="242"/>
      <c r="AG995" s="242"/>
      <c r="AH995" s="242"/>
      <c r="AI995" s="242"/>
      <c r="AJ995" s="242"/>
      <c r="AK995" s="242"/>
      <c r="AL995" s="242"/>
      <c r="AM995" s="242"/>
      <c r="AN995" s="242"/>
      <c r="AO995" s="242"/>
      <c r="AP995" s="242"/>
    </row>
    <row r="996">
      <c r="A996" s="242"/>
      <c r="B996" s="242"/>
      <c r="C996" s="242"/>
      <c r="D996" s="242"/>
      <c r="E996" s="242"/>
      <c r="F996" s="242"/>
      <c r="G996" s="242"/>
      <c r="H996" s="242"/>
      <c r="I996" s="242"/>
      <c r="J996" s="242"/>
      <c r="K996" s="242"/>
      <c r="L996" s="242"/>
      <c r="M996" s="242"/>
      <c r="N996" s="242"/>
      <c r="O996" s="242"/>
      <c r="P996" s="13"/>
      <c r="Q996" s="13"/>
      <c r="R996" s="13"/>
      <c r="S996" s="13"/>
      <c r="T996" s="13"/>
      <c r="U996" s="13"/>
      <c r="V996" s="13"/>
      <c r="W996" s="13"/>
      <c r="X996" s="13"/>
      <c r="Y996" s="13"/>
      <c r="Z996" s="13"/>
      <c r="AA996" s="13"/>
      <c r="AB996" s="13"/>
      <c r="AC996" s="13"/>
      <c r="AD996" s="13"/>
      <c r="AE996" s="13"/>
      <c r="AF996" s="242"/>
      <c r="AG996" s="242"/>
      <c r="AH996" s="242"/>
      <c r="AI996" s="242"/>
      <c r="AJ996" s="242"/>
      <c r="AK996" s="242"/>
      <c r="AL996" s="242"/>
      <c r="AM996" s="242"/>
      <c r="AN996" s="242"/>
      <c r="AO996" s="242"/>
      <c r="AP996" s="242"/>
    </row>
    <row r="997">
      <c r="A997" s="242"/>
      <c r="B997" s="242"/>
      <c r="C997" s="242"/>
      <c r="D997" s="242"/>
      <c r="E997" s="242"/>
      <c r="F997" s="242"/>
      <c r="G997" s="242"/>
      <c r="H997" s="242"/>
      <c r="I997" s="242"/>
      <c r="J997" s="242"/>
      <c r="K997" s="242"/>
      <c r="L997" s="242"/>
      <c r="M997" s="242"/>
      <c r="N997" s="242"/>
      <c r="O997" s="242"/>
      <c r="P997" s="13"/>
      <c r="Q997" s="13"/>
      <c r="R997" s="13"/>
      <c r="S997" s="13"/>
      <c r="T997" s="13"/>
      <c r="U997" s="13"/>
      <c r="V997" s="13"/>
      <c r="W997" s="13"/>
      <c r="X997" s="13"/>
      <c r="Y997" s="13"/>
      <c r="Z997" s="13"/>
      <c r="AA997" s="13"/>
      <c r="AB997" s="13"/>
      <c r="AC997" s="13"/>
      <c r="AD997" s="13"/>
      <c r="AE997" s="13"/>
      <c r="AF997" s="242"/>
      <c r="AG997" s="242"/>
      <c r="AH997" s="242"/>
      <c r="AI997" s="242"/>
      <c r="AJ997" s="242"/>
      <c r="AK997" s="242"/>
      <c r="AL997" s="242"/>
      <c r="AM997" s="242"/>
      <c r="AN997" s="242"/>
      <c r="AO997" s="242"/>
      <c r="AP997" s="242"/>
    </row>
    <row r="998">
      <c r="A998" s="242"/>
      <c r="B998" s="242"/>
      <c r="C998" s="242"/>
      <c r="D998" s="242"/>
      <c r="E998" s="242"/>
      <c r="F998" s="242"/>
      <c r="G998" s="242"/>
      <c r="H998" s="242"/>
      <c r="I998" s="242"/>
      <c r="J998" s="242"/>
      <c r="K998" s="242"/>
      <c r="L998" s="242"/>
      <c r="M998" s="242"/>
      <c r="N998" s="242"/>
      <c r="O998" s="242"/>
      <c r="P998" s="13"/>
      <c r="Q998" s="13"/>
      <c r="R998" s="13"/>
      <c r="S998" s="13"/>
      <c r="T998" s="13"/>
      <c r="U998" s="13"/>
      <c r="V998" s="13"/>
      <c r="W998" s="13"/>
      <c r="X998" s="13"/>
      <c r="Y998" s="13"/>
      <c r="Z998" s="13"/>
      <c r="AA998" s="13"/>
      <c r="AB998" s="13"/>
      <c r="AC998" s="13"/>
      <c r="AD998" s="13"/>
      <c r="AE998" s="13"/>
      <c r="AF998" s="242"/>
      <c r="AG998" s="242"/>
      <c r="AH998" s="242"/>
      <c r="AI998" s="242"/>
      <c r="AJ998" s="242"/>
      <c r="AK998" s="242"/>
      <c r="AL998" s="242"/>
      <c r="AM998" s="242"/>
      <c r="AN998" s="242"/>
      <c r="AO998" s="242"/>
      <c r="AP998" s="242"/>
    </row>
    <row r="999">
      <c r="A999" s="242"/>
      <c r="B999" s="242"/>
      <c r="C999" s="242"/>
      <c r="D999" s="242"/>
      <c r="E999" s="242"/>
      <c r="F999" s="242"/>
      <c r="G999" s="242"/>
      <c r="H999" s="242"/>
      <c r="I999" s="242"/>
      <c r="J999" s="242"/>
      <c r="K999" s="242"/>
      <c r="L999" s="242"/>
      <c r="M999" s="242"/>
      <c r="N999" s="242"/>
      <c r="O999" s="242"/>
      <c r="P999" s="13"/>
      <c r="Q999" s="13"/>
      <c r="R999" s="13"/>
      <c r="S999" s="13"/>
      <c r="T999" s="13"/>
      <c r="U999" s="13"/>
      <c r="V999" s="13"/>
      <c r="W999" s="13"/>
      <c r="X999" s="13"/>
      <c r="Y999" s="13"/>
      <c r="Z999" s="13"/>
      <c r="AA999" s="13"/>
      <c r="AB999" s="13"/>
      <c r="AC999" s="13"/>
      <c r="AD999" s="13"/>
      <c r="AE999" s="13"/>
      <c r="AF999" s="242"/>
      <c r="AG999" s="242"/>
      <c r="AH999" s="242"/>
      <c r="AI999" s="242"/>
      <c r="AJ999" s="242"/>
      <c r="AK999" s="242"/>
      <c r="AL999" s="242"/>
      <c r="AM999" s="242"/>
      <c r="AN999" s="242"/>
      <c r="AO999" s="242"/>
      <c r="AP999" s="242"/>
    </row>
    <row r="1000">
      <c r="A1000" s="242"/>
      <c r="B1000" s="242"/>
      <c r="C1000" s="242"/>
      <c r="D1000" s="242"/>
      <c r="E1000" s="242"/>
      <c r="F1000" s="242"/>
      <c r="G1000" s="242"/>
      <c r="H1000" s="242"/>
      <c r="I1000" s="242"/>
      <c r="J1000" s="242"/>
      <c r="K1000" s="242"/>
      <c r="L1000" s="242"/>
      <c r="M1000" s="242"/>
      <c r="N1000" s="242"/>
      <c r="O1000" s="242"/>
      <c r="P1000" s="13"/>
      <c r="Q1000" s="13"/>
      <c r="R1000" s="13"/>
      <c r="S1000" s="13"/>
      <c r="T1000" s="13"/>
      <c r="U1000" s="13"/>
      <c r="V1000" s="13"/>
      <c r="W1000" s="13"/>
      <c r="X1000" s="13"/>
      <c r="Y1000" s="13"/>
      <c r="Z1000" s="13"/>
      <c r="AA1000" s="13"/>
      <c r="AB1000" s="13"/>
      <c r="AC1000" s="13"/>
      <c r="AD1000" s="13"/>
      <c r="AE1000" s="13"/>
      <c r="AF1000" s="242"/>
      <c r="AG1000" s="242"/>
      <c r="AH1000" s="242"/>
      <c r="AI1000" s="242"/>
      <c r="AJ1000" s="242"/>
      <c r="AK1000" s="242"/>
      <c r="AL1000" s="242"/>
      <c r="AM1000" s="242"/>
      <c r="AN1000" s="242"/>
      <c r="AO1000" s="242"/>
      <c r="AP1000" s="242"/>
    </row>
    <row r="1001">
      <c r="A1001" s="242"/>
      <c r="B1001" s="242"/>
      <c r="C1001" s="242"/>
      <c r="D1001" s="242"/>
      <c r="E1001" s="242"/>
      <c r="F1001" s="242"/>
      <c r="G1001" s="242"/>
      <c r="H1001" s="242"/>
      <c r="I1001" s="242"/>
      <c r="J1001" s="242"/>
      <c r="K1001" s="242"/>
      <c r="L1001" s="242"/>
      <c r="M1001" s="242"/>
      <c r="N1001" s="242"/>
      <c r="O1001" s="242"/>
      <c r="P1001" s="13"/>
      <c r="Q1001" s="13"/>
      <c r="R1001" s="13"/>
      <c r="S1001" s="13"/>
      <c r="T1001" s="13"/>
      <c r="U1001" s="13"/>
      <c r="V1001" s="13"/>
      <c r="W1001" s="13"/>
      <c r="X1001" s="13"/>
      <c r="Y1001" s="13"/>
      <c r="Z1001" s="13"/>
      <c r="AA1001" s="13"/>
      <c r="AB1001" s="13"/>
      <c r="AC1001" s="13"/>
      <c r="AD1001" s="13"/>
      <c r="AE1001" s="13"/>
      <c r="AF1001" s="242"/>
      <c r="AG1001" s="242"/>
      <c r="AH1001" s="242"/>
      <c r="AI1001" s="242"/>
      <c r="AJ1001" s="242"/>
      <c r="AK1001" s="242"/>
      <c r="AL1001" s="242"/>
      <c r="AM1001" s="242"/>
      <c r="AN1001" s="242"/>
      <c r="AO1001" s="242"/>
      <c r="AP1001" s="242"/>
    </row>
  </sheetData>
  <mergeCells count="10">
    <mergeCell ref="X1:Z1"/>
    <mergeCell ref="X2:Z2"/>
    <mergeCell ref="P1:R1"/>
    <mergeCell ref="T1:V1"/>
    <mergeCell ref="AB1:AD1"/>
    <mergeCell ref="B2:D2"/>
    <mergeCell ref="F2:H2"/>
    <mergeCell ref="P2:R2"/>
    <mergeCell ref="T2:V2"/>
    <mergeCell ref="AB2:AD2"/>
  </mergeCells>
  <printOptions horizontalCentered="1"/>
  <pageMargins bottom="0.75" footer="0.0" header="0.0" left="0.25" right="0.25" top="0.75"/>
  <pageSetup fitToHeight="0" paperSize="9" cellComments="atEnd" orientation="landscape" pageOrder="overThenDown"/>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7.25"/>
    <col customWidth="1" min="3" max="3" width="37.63"/>
    <col customWidth="1" min="4" max="4" width="11.63"/>
    <col customWidth="1" min="5" max="5" width="11.75"/>
    <col customWidth="1" hidden="1" min="6" max="6" width="10.88"/>
    <col customWidth="1" min="7" max="7" width="11.0"/>
    <col customWidth="1" min="8" max="8" width="8.25"/>
    <col customWidth="1" min="9" max="9" width="9.38"/>
    <col customWidth="1" min="10" max="10" width="10.63"/>
    <col customWidth="1" min="11" max="12" width="13.88"/>
    <col customWidth="1" min="13" max="13" width="10.63"/>
    <col customWidth="1" min="14" max="15" width="13.88"/>
    <col customWidth="1" min="16" max="16" width="10.13"/>
    <col customWidth="1" min="17" max="17" width="10.0"/>
  </cols>
  <sheetData>
    <row r="1">
      <c r="A1" s="242"/>
      <c r="B1" s="242"/>
      <c r="C1" s="242"/>
      <c r="D1" s="242"/>
      <c r="E1" s="242"/>
      <c r="F1" s="242"/>
      <c r="G1" s="671"/>
      <c r="H1" s="671"/>
      <c r="I1" s="242"/>
      <c r="J1" s="242"/>
      <c r="K1" s="242"/>
      <c r="L1" s="389"/>
      <c r="M1" s="389"/>
      <c r="N1" s="242"/>
      <c r="O1" s="242"/>
      <c r="P1" s="13"/>
      <c r="Q1" s="242"/>
      <c r="R1" s="13"/>
      <c r="S1" s="13"/>
      <c r="T1" s="242"/>
      <c r="U1" s="242"/>
      <c r="V1" s="242"/>
      <c r="W1" s="242"/>
      <c r="X1" s="242"/>
      <c r="Y1" s="242"/>
    </row>
    <row r="2" ht="60.75" customHeight="1">
      <c r="A2" s="609"/>
      <c r="B2" s="610" t="s">
        <v>2511</v>
      </c>
      <c r="C2" s="672" t="s">
        <v>3134</v>
      </c>
      <c r="D2" s="612" t="s">
        <v>24</v>
      </c>
      <c r="E2" s="613" t="s">
        <v>2514</v>
      </c>
      <c r="F2" s="673" t="s">
        <v>4154</v>
      </c>
      <c r="G2" s="674" t="s">
        <v>4155</v>
      </c>
      <c r="H2" s="675" t="s">
        <v>3133</v>
      </c>
      <c r="I2" s="676" t="s">
        <v>2519</v>
      </c>
      <c r="J2" s="676" t="s">
        <v>4157</v>
      </c>
      <c r="K2" s="677" t="s">
        <v>4158</v>
      </c>
      <c r="L2" s="677" t="s">
        <v>16</v>
      </c>
      <c r="M2" s="676" t="s">
        <v>4157</v>
      </c>
      <c r="N2" s="678"/>
      <c r="O2" s="678" t="s">
        <v>290</v>
      </c>
      <c r="P2" s="614" t="s">
        <v>4160</v>
      </c>
      <c r="Q2" s="614" t="s">
        <v>4161</v>
      </c>
      <c r="R2" s="3"/>
      <c r="S2" s="3"/>
      <c r="T2" s="242"/>
      <c r="U2" s="242"/>
      <c r="V2" s="242"/>
      <c r="W2" s="242"/>
      <c r="X2" s="242"/>
      <c r="Y2" s="242"/>
    </row>
    <row r="3">
      <c r="A3" s="618"/>
      <c r="B3" s="425" t="s">
        <v>4162</v>
      </c>
      <c r="C3" s="45"/>
      <c r="D3" s="45"/>
      <c r="E3" s="45"/>
      <c r="F3" s="45"/>
      <c r="G3" s="45"/>
      <c r="H3" s="45"/>
      <c r="I3" s="45"/>
      <c r="J3" s="45"/>
      <c r="K3" s="45"/>
      <c r="L3" s="46"/>
      <c r="M3" s="679"/>
      <c r="N3" s="618"/>
      <c r="O3" s="618"/>
      <c r="P3" s="13"/>
      <c r="Q3" s="242"/>
      <c r="R3" s="13"/>
      <c r="S3" s="13"/>
      <c r="T3" s="242"/>
      <c r="U3" s="242"/>
      <c r="V3" s="242"/>
      <c r="W3" s="242"/>
      <c r="X3" s="242"/>
      <c r="Y3" s="242"/>
    </row>
    <row r="4">
      <c r="A4" s="621"/>
      <c r="B4" s="622">
        <v>1.0</v>
      </c>
      <c r="C4" s="680" t="s">
        <v>4164</v>
      </c>
      <c r="D4" s="624" t="s">
        <v>341</v>
      </c>
      <c r="E4" s="626" t="s">
        <v>3916</v>
      </c>
      <c r="F4" s="669"/>
      <c r="G4" s="681"/>
      <c r="H4" s="681">
        <v>0.04</v>
      </c>
      <c r="I4" s="669">
        <v>186.0</v>
      </c>
      <c r="J4" s="682">
        <f t="shared" ref="J4:J23" si="1">IFERROR(I4/H4,"")</f>
        <v>4650</v>
      </c>
      <c r="K4" s="682"/>
      <c r="L4" s="683"/>
      <c r="M4" s="683"/>
      <c r="N4" s="682"/>
      <c r="O4" s="682"/>
      <c r="P4" s="640">
        <v>189.0</v>
      </c>
      <c r="Q4" s="640">
        <v>189.0</v>
      </c>
      <c r="R4" s="13"/>
      <c r="S4" s="13"/>
      <c r="T4" s="242"/>
      <c r="U4" s="242"/>
      <c r="V4" s="242"/>
      <c r="W4" s="242"/>
      <c r="X4" s="242"/>
      <c r="Y4" s="242"/>
    </row>
    <row r="5">
      <c r="A5" s="120"/>
      <c r="B5" s="216">
        <v>2.0</v>
      </c>
      <c r="C5" s="176"/>
      <c r="D5" s="625" t="s">
        <v>346</v>
      </c>
      <c r="E5" s="626" t="s">
        <v>3918</v>
      </c>
      <c r="F5" s="669"/>
      <c r="G5" s="681"/>
      <c r="H5" s="681">
        <v>0.053</v>
      </c>
      <c r="I5" s="669">
        <v>256.0</v>
      </c>
      <c r="J5" s="682">
        <f t="shared" si="1"/>
        <v>4830.188679</v>
      </c>
      <c r="K5" s="682"/>
      <c r="L5" s="683"/>
      <c r="M5" s="683"/>
      <c r="N5" s="682"/>
      <c r="O5" s="682"/>
      <c r="P5" s="669">
        <v>259.0</v>
      </c>
      <c r="Q5" s="669">
        <v>259.0</v>
      </c>
      <c r="R5" s="13"/>
      <c r="S5" s="13"/>
      <c r="T5" s="242"/>
      <c r="U5" s="242"/>
      <c r="V5" s="242"/>
      <c r="W5" s="242"/>
      <c r="X5" s="242"/>
      <c r="Y5" s="242"/>
    </row>
    <row r="6">
      <c r="A6" s="120"/>
      <c r="B6" s="216">
        <v>3.0</v>
      </c>
      <c r="C6" s="176"/>
      <c r="D6" s="625" t="s">
        <v>356</v>
      </c>
      <c r="E6" s="626" t="s">
        <v>3919</v>
      </c>
      <c r="F6" s="669"/>
      <c r="G6" s="681"/>
      <c r="H6" s="681"/>
      <c r="I6" s="669">
        <v>346.0</v>
      </c>
      <c r="J6" s="682" t="str">
        <f t="shared" si="1"/>
        <v/>
      </c>
      <c r="K6" s="682"/>
      <c r="L6" s="683"/>
      <c r="M6" s="683"/>
      <c r="N6" s="682"/>
      <c r="O6" s="682"/>
      <c r="P6" s="669">
        <v>359.0</v>
      </c>
      <c r="Q6" s="669">
        <v>359.0</v>
      </c>
      <c r="R6" s="13"/>
      <c r="S6" s="13"/>
      <c r="T6" s="242"/>
      <c r="U6" s="242"/>
      <c r="V6" s="242"/>
      <c r="W6" s="242"/>
      <c r="X6" s="242"/>
      <c r="Y6" s="242"/>
    </row>
    <row r="7">
      <c r="A7" s="120"/>
      <c r="B7" s="216">
        <v>4.0</v>
      </c>
      <c r="C7" s="41"/>
      <c r="D7" s="625" t="s">
        <v>3549</v>
      </c>
      <c r="E7" s="626" t="s">
        <v>3920</v>
      </c>
      <c r="F7" s="669"/>
      <c r="G7" s="681"/>
      <c r="H7" s="681"/>
      <c r="I7" s="669">
        <v>526.0</v>
      </c>
      <c r="J7" s="682" t="str">
        <f t="shared" si="1"/>
        <v/>
      </c>
      <c r="K7" s="682"/>
      <c r="L7" s="683"/>
      <c r="M7" s="683"/>
      <c r="N7" s="682"/>
      <c r="O7" s="682"/>
      <c r="P7" s="669">
        <v>529.0</v>
      </c>
      <c r="Q7" s="669">
        <v>529.0</v>
      </c>
      <c r="R7" s="13"/>
      <c r="S7" s="13"/>
      <c r="T7" s="242"/>
      <c r="U7" s="242"/>
      <c r="V7" s="242"/>
      <c r="W7" s="242"/>
      <c r="X7" s="242"/>
      <c r="Y7" s="242"/>
    </row>
    <row r="8">
      <c r="A8" s="120"/>
      <c r="B8" s="216">
        <v>5.0</v>
      </c>
      <c r="C8" s="680" t="s">
        <v>4170</v>
      </c>
      <c r="D8" s="624" t="s">
        <v>341</v>
      </c>
      <c r="E8" s="626" t="s">
        <v>3921</v>
      </c>
      <c r="F8" s="627"/>
      <c r="G8" s="681"/>
      <c r="H8" s="681">
        <v>0.042</v>
      </c>
      <c r="I8" s="627">
        <v>184.0</v>
      </c>
      <c r="J8" s="682">
        <f t="shared" si="1"/>
        <v>4380.952381</v>
      </c>
      <c r="K8" s="684"/>
      <c r="L8" s="685"/>
      <c r="M8" s="685"/>
      <c r="N8" s="684"/>
      <c r="O8" s="684"/>
      <c r="P8" s="669">
        <v>199.0</v>
      </c>
      <c r="Q8" s="669">
        <v>199.0</v>
      </c>
      <c r="R8" s="686">
        <f t="shared" ref="R8:R18" si="2">IFERROR(Q8-P8,"")/P8</f>
        <v>0</v>
      </c>
      <c r="S8" s="13"/>
      <c r="T8" s="242"/>
      <c r="U8" s="242"/>
      <c r="V8" s="242"/>
      <c r="W8" s="242"/>
      <c r="X8" s="242"/>
      <c r="Y8" s="242"/>
    </row>
    <row r="9">
      <c r="A9" s="120"/>
      <c r="B9" s="216">
        <v>6.0</v>
      </c>
      <c r="C9" s="176"/>
      <c r="D9" s="625" t="s">
        <v>346</v>
      </c>
      <c r="E9" s="626" t="s">
        <v>3923</v>
      </c>
      <c r="F9" s="627"/>
      <c r="G9" s="681"/>
      <c r="H9" s="681">
        <v>0.056</v>
      </c>
      <c r="I9" s="627">
        <v>244.0</v>
      </c>
      <c r="J9" s="682">
        <f t="shared" si="1"/>
        <v>4357.142857</v>
      </c>
      <c r="K9" s="684"/>
      <c r="L9" s="685"/>
      <c r="M9" s="685"/>
      <c r="N9" s="684"/>
      <c r="O9" s="684"/>
      <c r="P9" s="669">
        <v>259.0</v>
      </c>
      <c r="Q9" s="669">
        <v>259.0</v>
      </c>
      <c r="R9" s="686">
        <f t="shared" si="2"/>
        <v>0</v>
      </c>
      <c r="S9" s="13"/>
      <c r="T9" s="242"/>
      <c r="U9" s="242"/>
      <c r="V9" s="242"/>
      <c r="W9" s="242"/>
      <c r="X9" s="242"/>
      <c r="Y9" s="242"/>
    </row>
    <row r="10">
      <c r="A10" s="120"/>
      <c r="B10" s="216">
        <v>7.0</v>
      </c>
      <c r="C10" s="176"/>
      <c r="D10" s="625" t="s">
        <v>356</v>
      </c>
      <c r="E10" s="626" t="s">
        <v>3924</v>
      </c>
      <c r="F10" s="627"/>
      <c r="G10" s="687"/>
      <c r="H10" s="687"/>
      <c r="I10" s="627">
        <v>344.0</v>
      </c>
      <c r="J10" s="682" t="str">
        <f t="shared" si="1"/>
        <v/>
      </c>
      <c r="K10" s="684"/>
      <c r="L10" s="685"/>
      <c r="M10" s="685"/>
      <c r="N10" s="684"/>
      <c r="O10" s="684"/>
      <c r="P10" s="669">
        <v>349.0</v>
      </c>
      <c r="Q10" s="669">
        <v>349.0</v>
      </c>
      <c r="R10" s="686">
        <f t="shared" si="2"/>
        <v>0</v>
      </c>
      <c r="S10" s="13"/>
      <c r="T10" s="242"/>
      <c r="U10" s="242"/>
      <c r="V10" s="242"/>
      <c r="W10" s="242"/>
      <c r="X10" s="242"/>
      <c r="Y10" s="242"/>
    </row>
    <row r="11">
      <c r="A11" s="120"/>
      <c r="B11" s="216">
        <v>8.0</v>
      </c>
      <c r="C11" s="41"/>
      <c r="D11" s="625" t="s">
        <v>3549</v>
      </c>
      <c r="E11" s="626" t="s">
        <v>3925</v>
      </c>
      <c r="F11" s="669"/>
      <c r="G11" s="681"/>
      <c r="H11" s="681">
        <v>0.152</v>
      </c>
      <c r="I11" s="669">
        <v>544.0</v>
      </c>
      <c r="J11" s="682">
        <f t="shared" si="1"/>
        <v>3578.947368</v>
      </c>
      <c r="K11" s="682"/>
      <c r="L11" s="683"/>
      <c r="M11" s="683"/>
      <c r="N11" s="682"/>
      <c r="O11" s="682"/>
      <c r="P11" s="669">
        <v>549.0</v>
      </c>
      <c r="Q11" s="669">
        <v>549.0</v>
      </c>
      <c r="R11" s="686">
        <f t="shared" si="2"/>
        <v>0</v>
      </c>
      <c r="S11" s="13"/>
      <c r="T11" s="242"/>
      <c r="U11" s="242"/>
      <c r="V11" s="242"/>
      <c r="W11" s="242"/>
      <c r="X11" s="242"/>
      <c r="Y11" s="242"/>
    </row>
    <row r="12">
      <c r="A12" s="120"/>
      <c r="B12" s="216">
        <v>9.0</v>
      </c>
      <c r="C12" s="680" t="s">
        <v>3691</v>
      </c>
      <c r="D12" s="624" t="s">
        <v>341</v>
      </c>
      <c r="E12" s="626" t="s">
        <v>3926</v>
      </c>
      <c r="F12" s="627"/>
      <c r="G12" s="681"/>
      <c r="H12" s="681">
        <v>0.062</v>
      </c>
      <c r="I12" s="627">
        <v>236.0</v>
      </c>
      <c r="J12" s="682">
        <f t="shared" si="1"/>
        <v>3806.451613</v>
      </c>
      <c r="K12" s="684"/>
      <c r="L12" s="685"/>
      <c r="M12" s="685"/>
      <c r="N12" s="684"/>
      <c r="O12" s="684"/>
      <c r="P12" s="669">
        <v>249.0</v>
      </c>
      <c r="Q12" s="669">
        <v>249.0</v>
      </c>
      <c r="R12" s="686">
        <f t="shared" si="2"/>
        <v>0</v>
      </c>
      <c r="S12" s="13"/>
      <c r="T12" s="242"/>
      <c r="U12" s="242"/>
      <c r="V12" s="242"/>
      <c r="W12" s="242"/>
      <c r="X12" s="242"/>
      <c r="Y12" s="242"/>
    </row>
    <row r="13">
      <c r="A13" s="120"/>
      <c r="B13" s="216">
        <v>10.0</v>
      </c>
      <c r="C13" s="176"/>
      <c r="D13" s="625" t="s">
        <v>346</v>
      </c>
      <c r="E13" s="626" t="s">
        <v>3928</v>
      </c>
      <c r="F13" s="627"/>
      <c r="G13" s="681"/>
      <c r="H13" s="681">
        <v>0.083</v>
      </c>
      <c r="I13" s="627">
        <v>316.0</v>
      </c>
      <c r="J13" s="682">
        <f t="shared" si="1"/>
        <v>3807.228916</v>
      </c>
      <c r="K13" s="684"/>
      <c r="L13" s="685"/>
      <c r="M13" s="685"/>
      <c r="N13" s="684"/>
      <c r="O13" s="684"/>
      <c r="P13" s="669">
        <v>329.0</v>
      </c>
      <c r="Q13" s="669">
        <v>329.0</v>
      </c>
      <c r="R13" s="686">
        <f t="shared" si="2"/>
        <v>0</v>
      </c>
      <c r="S13" s="13"/>
      <c r="T13" s="242"/>
      <c r="U13" s="242"/>
      <c r="V13" s="242"/>
      <c r="W13" s="242"/>
      <c r="X13" s="242"/>
      <c r="Y13" s="242"/>
    </row>
    <row r="14">
      <c r="A14" s="120"/>
      <c r="B14" s="216">
        <v>11.0</v>
      </c>
      <c r="C14" s="176"/>
      <c r="D14" s="625" t="s">
        <v>356</v>
      </c>
      <c r="E14" s="626" t="s">
        <v>3929</v>
      </c>
      <c r="F14" s="627"/>
      <c r="G14" s="687"/>
      <c r="H14" s="687"/>
      <c r="I14" s="627">
        <v>416.0</v>
      </c>
      <c r="J14" s="682" t="str">
        <f t="shared" si="1"/>
        <v/>
      </c>
      <c r="K14" s="684"/>
      <c r="L14" s="685"/>
      <c r="M14" s="685"/>
      <c r="N14" s="684"/>
      <c r="O14" s="684"/>
      <c r="P14" s="669">
        <v>439.0</v>
      </c>
      <c r="Q14" s="669">
        <v>439.0</v>
      </c>
      <c r="R14" s="686">
        <f t="shared" si="2"/>
        <v>0</v>
      </c>
      <c r="S14" s="13"/>
      <c r="T14" s="242"/>
      <c r="U14" s="242"/>
      <c r="V14" s="242"/>
      <c r="W14" s="242"/>
      <c r="X14" s="242"/>
      <c r="Y14" s="242"/>
    </row>
    <row r="15">
      <c r="A15" s="120"/>
      <c r="B15" s="216">
        <v>12.0</v>
      </c>
      <c r="C15" s="41"/>
      <c r="D15" s="625" t="s">
        <v>3549</v>
      </c>
      <c r="E15" s="626" t="s">
        <v>3930</v>
      </c>
      <c r="F15" s="669"/>
      <c r="G15" s="681"/>
      <c r="H15" s="681">
        <v>0.234</v>
      </c>
      <c r="I15" s="669">
        <v>696.0</v>
      </c>
      <c r="J15" s="682">
        <f t="shared" si="1"/>
        <v>2974.358974</v>
      </c>
      <c r="K15" s="682"/>
      <c r="L15" s="683"/>
      <c r="M15" s="683"/>
      <c r="N15" s="682"/>
      <c r="O15" s="682"/>
      <c r="P15" s="669">
        <v>709.0</v>
      </c>
      <c r="Q15" s="669">
        <v>709.0</v>
      </c>
      <c r="R15" s="686">
        <f t="shared" si="2"/>
        <v>0</v>
      </c>
      <c r="S15" s="13"/>
      <c r="T15" s="242"/>
      <c r="U15" s="242"/>
      <c r="V15" s="242"/>
      <c r="W15" s="242"/>
      <c r="X15" s="242"/>
      <c r="Y15" s="242"/>
    </row>
    <row r="16">
      <c r="A16" s="120"/>
      <c r="B16" s="216">
        <v>13.0</v>
      </c>
      <c r="C16" s="680" t="s">
        <v>4178</v>
      </c>
      <c r="D16" s="625" t="s">
        <v>3598</v>
      </c>
      <c r="E16" s="626" t="s">
        <v>3931</v>
      </c>
      <c r="F16" s="627"/>
      <c r="G16" s="681">
        <v>0.026</v>
      </c>
      <c r="H16" s="681">
        <v>0.053</v>
      </c>
      <c r="I16" s="627">
        <v>194.0</v>
      </c>
      <c r="J16" s="682">
        <f t="shared" si="1"/>
        <v>3660.377358</v>
      </c>
      <c r="K16" s="684"/>
      <c r="L16" s="685"/>
      <c r="M16" s="685"/>
      <c r="N16" s="684"/>
      <c r="O16" s="684"/>
      <c r="P16" s="669">
        <v>199.0</v>
      </c>
      <c r="Q16" s="669">
        <v>199.0</v>
      </c>
      <c r="R16" s="686">
        <f t="shared" si="2"/>
        <v>0</v>
      </c>
      <c r="S16" s="13"/>
      <c r="T16" s="242"/>
      <c r="U16" s="242"/>
      <c r="V16" s="242"/>
      <c r="W16" s="242"/>
      <c r="X16" s="242"/>
      <c r="Y16" s="242"/>
    </row>
    <row r="17">
      <c r="A17" s="120"/>
      <c r="B17" s="216">
        <v>14.0</v>
      </c>
      <c r="C17" s="41"/>
      <c r="D17" s="625" t="s">
        <v>3618</v>
      </c>
      <c r="E17" s="626" t="s">
        <v>3933</v>
      </c>
      <c r="F17" s="669"/>
      <c r="G17" s="681">
        <v>0.026</v>
      </c>
      <c r="H17" s="681">
        <v>0.061</v>
      </c>
      <c r="I17" s="669">
        <v>496.0</v>
      </c>
      <c r="J17" s="682">
        <f t="shared" si="1"/>
        <v>8131.147541</v>
      </c>
      <c r="K17" s="682"/>
      <c r="L17" s="683"/>
      <c r="M17" s="683"/>
      <c r="N17" s="682"/>
      <c r="O17" s="682"/>
      <c r="P17" s="669">
        <v>399.0</v>
      </c>
      <c r="Q17" s="669">
        <v>499.0</v>
      </c>
      <c r="R17" s="686">
        <f t="shared" si="2"/>
        <v>0.2506265664</v>
      </c>
      <c r="S17" s="13"/>
      <c r="T17" s="242"/>
      <c r="U17" s="242"/>
      <c r="V17" s="242"/>
      <c r="W17" s="242"/>
      <c r="X17" s="242"/>
      <c r="Y17" s="242"/>
    </row>
    <row r="18">
      <c r="A18" s="120"/>
      <c r="B18" s="216">
        <v>15.0</v>
      </c>
      <c r="C18" s="680" t="s">
        <v>4180</v>
      </c>
      <c r="D18" s="625" t="s">
        <v>3598</v>
      </c>
      <c r="E18" s="626" t="s">
        <v>3934</v>
      </c>
      <c r="F18" s="627"/>
      <c r="G18" s="687"/>
      <c r="H18" s="687"/>
      <c r="I18" s="627">
        <v>254.0</v>
      </c>
      <c r="J18" s="682" t="str">
        <f t="shared" si="1"/>
        <v/>
      </c>
      <c r="K18" s="684"/>
      <c r="L18" s="685"/>
      <c r="M18" s="685"/>
      <c r="N18" s="684"/>
      <c r="O18" s="684"/>
      <c r="P18" s="669">
        <v>269.0</v>
      </c>
      <c r="Q18" s="669">
        <v>269.0</v>
      </c>
      <c r="R18" s="686">
        <f t="shared" si="2"/>
        <v>0</v>
      </c>
      <c r="S18" s="13"/>
      <c r="T18" s="242"/>
      <c r="U18" s="242"/>
      <c r="V18" s="242"/>
      <c r="W18" s="242"/>
      <c r="X18" s="242"/>
      <c r="Y18" s="242"/>
    </row>
    <row r="19">
      <c r="A19" s="120"/>
      <c r="B19" s="216">
        <v>16.0</v>
      </c>
      <c r="C19" s="41"/>
      <c r="D19" s="625" t="s">
        <v>3618</v>
      </c>
      <c r="E19" s="626" t="s">
        <v>3936</v>
      </c>
      <c r="F19" s="669"/>
      <c r="G19" s="681"/>
      <c r="H19" s="681"/>
      <c r="I19" s="669">
        <v>288.0</v>
      </c>
      <c r="J19" s="682" t="str">
        <f t="shared" si="1"/>
        <v/>
      </c>
      <c r="K19" s="682"/>
      <c r="L19" s="683"/>
      <c r="M19" s="683"/>
      <c r="N19" s="682"/>
      <c r="O19" s="682"/>
      <c r="P19" s="669"/>
      <c r="Q19" s="669" t="s">
        <v>2214</v>
      </c>
      <c r="R19" s="13"/>
      <c r="S19" s="13"/>
      <c r="T19" s="242"/>
      <c r="U19" s="242"/>
      <c r="V19" s="242"/>
      <c r="W19" s="242"/>
      <c r="X19" s="242"/>
      <c r="Y19" s="242"/>
    </row>
    <row r="20">
      <c r="A20" s="120"/>
      <c r="B20" s="216">
        <v>17.0</v>
      </c>
      <c r="C20" s="680" t="s">
        <v>4184</v>
      </c>
      <c r="D20" s="625" t="s">
        <v>3598</v>
      </c>
      <c r="E20" s="626" t="s">
        <v>3937</v>
      </c>
      <c r="F20" s="627"/>
      <c r="G20" s="687"/>
      <c r="H20" s="687"/>
      <c r="I20" s="627">
        <v>184.0</v>
      </c>
      <c r="J20" s="682" t="str">
        <f t="shared" si="1"/>
        <v/>
      </c>
      <c r="K20" s="684"/>
      <c r="L20" s="685"/>
      <c r="M20" s="685"/>
      <c r="N20" s="684"/>
      <c r="O20" s="684"/>
      <c r="P20" s="669"/>
      <c r="Q20" s="669">
        <v>199.0</v>
      </c>
      <c r="R20" s="13"/>
      <c r="S20" s="13"/>
      <c r="T20" s="242"/>
      <c r="U20" s="242"/>
      <c r="V20" s="242"/>
      <c r="W20" s="242"/>
      <c r="X20" s="242"/>
      <c r="Y20" s="242"/>
    </row>
    <row r="21">
      <c r="A21" s="120"/>
      <c r="B21" s="216">
        <v>18.0</v>
      </c>
      <c r="C21" s="41"/>
      <c r="D21" s="625" t="s">
        <v>3618</v>
      </c>
      <c r="E21" s="626" t="s">
        <v>3939</v>
      </c>
      <c r="F21" s="627"/>
      <c r="G21" s="687"/>
      <c r="H21" s="687"/>
      <c r="I21" s="627">
        <v>194.0</v>
      </c>
      <c r="J21" s="682" t="str">
        <f t="shared" si="1"/>
        <v/>
      </c>
      <c r="K21" s="684"/>
      <c r="L21" s="685"/>
      <c r="M21" s="685"/>
      <c r="N21" s="684"/>
      <c r="O21" s="684"/>
      <c r="P21" s="669"/>
      <c r="Q21" s="669" t="s">
        <v>2214</v>
      </c>
      <c r="R21" s="13"/>
      <c r="S21" s="13"/>
      <c r="T21" s="242"/>
      <c r="U21" s="242"/>
      <c r="V21" s="242"/>
      <c r="W21" s="242"/>
      <c r="X21" s="242"/>
      <c r="Y21" s="242"/>
    </row>
    <row r="22">
      <c r="A22" s="120"/>
      <c r="B22" s="216">
        <v>19.0</v>
      </c>
      <c r="C22" s="680" t="s">
        <v>4186</v>
      </c>
      <c r="D22" s="625" t="s">
        <v>3598</v>
      </c>
      <c r="E22" s="626" t="s">
        <v>3940</v>
      </c>
      <c r="F22" s="669">
        <v>380.0</v>
      </c>
      <c r="G22" s="681">
        <v>0.087</v>
      </c>
      <c r="H22" s="681">
        <v>0.097</v>
      </c>
      <c r="I22" s="627">
        <v>194.0</v>
      </c>
      <c r="J22" s="682">
        <f t="shared" si="1"/>
        <v>2000</v>
      </c>
      <c r="K22" s="684"/>
      <c r="L22" s="685"/>
      <c r="M22" s="685"/>
      <c r="N22" s="684"/>
      <c r="O22" s="684"/>
      <c r="P22" s="669"/>
      <c r="Q22" s="669">
        <v>119.0</v>
      </c>
      <c r="R22" s="13"/>
      <c r="S22" s="13"/>
      <c r="T22" s="242"/>
      <c r="U22" s="242"/>
      <c r="V22" s="242"/>
      <c r="W22" s="242"/>
      <c r="X22" s="242"/>
      <c r="Y22" s="242"/>
    </row>
    <row r="23">
      <c r="A23" s="120"/>
      <c r="B23" s="216">
        <v>20.0</v>
      </c>
      <c r="C23" s="41"/>
      <c r="D23" s="625" t="s">
        <v>3618</v>
      </c>
      <c r="E23" s="626" t="s">
        <v>3942</v>
      </c>
      <c r="F23" s="669">
        <v>425.0</v>
      </c>
      <c r="G23" s="687"/>
      <c r="H23" s="687"/>
      <c r="I23" s="627">
        <v>294.0</v>
      </c>
      <c r="J23" s="682" t="str">
        <f t="shared" si="1"/>
        <v/>
      </c>
      <c r="K23" s="684"/>
      <c r="L23" s="685"/>
      <c r="M23" s="685"/>
      <c r="N23" s="684"/>
      <c r="O23" s="684"/>
      <c r="P23" s="669"/>
      <c r="Q23" s="669" t="s">
        <v>2214</v>
      </c>
      <c r="R23" s="13"/>
      <c r="S23" s="13"/>
      <c r="T23" s="242"/>
      <c r="U23" s="242"/>
      <c r="V23" s="242"/>
      <c r="W23" s="242"/>
      <c r="X23" s="242"/>
      <c r="Y23" s="242"/>
    </row>
    <row r="24">
      <c r="A24" s="242"/>
      <c r="B24" s="242"/>
      <c r="C24" s="242"/>
      <c r="D24" s="242"/>
      <c r="E24" s="242"/>
      <c r="F24" s="242"/>
      <c r="G24" s="671"/>
      <c r="H24" s="671"/>
      <c r="I24" s="242"/>
      <c r="J24" s="242"/>
      <c r="K24" s="242"/>
      <c r="L24" s="389"/>
      <c r="M24" s="389"/>
      <c r="N24" s="242"/>
      <c r="O24" s="242"/>
      <c r="P24" s="13"/>
      <c r="Q24" s="242"/>
      <c r="R24" s="13"/>
      <c r="S24" s="13"/>
      <c r="T24" s="242"/>
      <c r="U24" s="242"/>
      <c r="V24" s="242"/>
      <c r="W24" s="242"/>
      <c r="X24" s="242"/>
      <c r="Y24" s="242"/>
    </row>
    <row r="25">
      <c r="A25" s="618"/>
      <c r="B25" s="425" t="s">
        <v>4189</v>
      </c>
      <c r="C25" s="45"/>
      <c r="D25" s="45"/>
      <c r="E25" s="45"/>
      <c r="F25" s="45"/>
      <c r="G25" s="45"/>
      <c r="H25" s="45"/>
      <c r="I25" s="45"/>
      <c r="J25" s="45"/>
      <c r="K25" s="45"/>
      <c r="L25" s="46"/>
      <c r="M25" s="679"/>
      <c r="N25" s="618"/>
      <c r="O25" s="618"/>
      <c r="P25" s="13"/>
      <c r="Q25" s="242"/>
      <c r="R25" s="13"/>
      <c r="S25" s="13"/>
      <c r="T25" s="242"/>
      <c r="U25" s="242"/>
      <c r="V25" s="242"/>
      <c r="W25" s="242"/>
      <c r="X25" s="242"/>
      <c r="Y25" s="242"/>
    </row>
    <row r="26">
      <c r="A26" s="621"/>
      <c r="B26" s="622">
        <v>1.0</v>
      </c>
      <c r="C26" s="680" t="s">
        <v>4191</v>
      </c>
      <c r="D26" s="625" t="s">
        <v>4192</v>
      </c>
      <c r="E26" s="626" t="s">
        <v>3943</v>
      </c>
      <c r="F26" s="669">
        <v>155.54</v>
      </c>
      <c r="G26" s="681">
        <v>0.072</v>
      </c>
      <c r="H26" s="681">
        <v>0.121</v>
      </c>
      <c r="I26" s="669">
        <v>376.0</v>
      </c>
      <c r="J26" s="640">
        <f t="shared" ref="J26:J89" si="3">IFERROR(I26/H26,"")</f>
        <v>3107.438017</v>
      </c>
      <c r="K26" s="640">
        <v>165.71</v>
      </c>
      <c r="L26" s="688">
        <v>562.0</v>
      </c>
      <c r="M26" s="688">
        <f t="shared" ref="M26:M89" si="4">IFERROR(K26/H26,"")</f>
        <v>1369.504132</v>
      </c>
      <c r="N26" s="689">
        <f t="shared" ref="N26:N89" si="5">IFERROR(L26/K26,"")</f>
        <v>3.391467021</v>
      </c>
      <c r="O26" s="690">
        <f t="shared" ref="O26:O89" si="6">IFERROR(L26-I26,"")/I26</f>
        <v>0.4946808511</v>
      </c>
      <c r="P26" s="640"/>
      <c r="Q26" s="640">
        <v>389.0</v>
      </c>
      <c r="R26" s="13"/>
      <c r="S26" s="13"/>
      <c r="T26" s="242"/>
      <c r="U26" s="242"/>
      <c r="V26" s="242"/>
      <c r="W26" s="242"/>
      <c r="X26" s="242"/>
      <c r="Y26" s="242"/>
    </row>
    <row r="27">
      <c r="A27" s="120"/>
      <c r="B27" s="216">
        <v>2.0</v>
      </c>
      <c r="C27" s="176"/>
      <c r="D27" s="625" t="s">
        <v>4197</v>
      </c>
      <c r="E27" s="626" t="s">
        <v>3945</v>
      </c>
      <c r="F27" s="669">
        <v>237.75</v>
      </c>
      <c r="G27" s="681">
        <v>0.114</v>
      </c>
      <c r="H27" s="681">
        <v>0.188</v>
      </c>
      <c r="I27" s="669">
        <v>484.0</v>
      </c>
      <c r="J27" s="640">
        <f t="shared" si="3"/>
        <v>2574.468085</v>
      </c>
      <c r="K27" s="640">
        <v>253.54</v>
      </c>
      <c r="L27" s="688">
        <f>IFERROR(K27*3.4,"")</f>
        <v>862.036</v>
      </c>
      <c r="M27" s="688">
        <f t="shared" si="4"/>
        <v>1348.617021</v>
      </c>
      <c r="N27" s="689">
        <f t="shared" si="5"/>
        <v>3.4</v>
      </c>
      <c r="O27" s="690">
        <f t="shared" si="6"/>
        <v>0.7810661157</v>
      </c>
      <c r="P27" s="669"/>
      <c r="Q27" s="669">
        <v>499.0</v>
      </c>
      <c r="R27" s="13"/>
      <c r="S27" s="13"/>
      <c r="T27" s="242"/>
      <c r="U27" s="242"/>
      <c r="V27" s="242"/>
      <c r="W27" s="242"/>
      <c r="X27" s="242"/>
      <c r="Y27" s="242"/>
    </row>
    <row r="28">
      <c r="A28" s="120"/>
      <c r="B28" s="216">
        <v>3.0</v>
      </c>
      <c r="C28" s="176"/>
      <c r="D28" s="625" t="s">
        <v>155</v>
      </c>
      <c r="E28" s="626" t="s">
        <v>3946</v>
      </c>
      <c r="F28" s="669">
        <v>249.84</v>
      </c>
      <c r="G28" s="681">
        <v>0.12</v>
      </c>
      <c r="H28" s="681">
        <v>0.197</v>
      </c>
      <c r="I28" s="669">
        <v>502.0</v>
      </c>
      <c r="J28" s="640">
        <f t="shared" si="3"/>
        <v>2548.22335</v>
      </c>
      <c r="K28" s="640">
        <v>266.39</v>
      </c>
      <c r="L28" s="688">
        <v>896.0</v>
      </c>
      <c r="M28" s="688">
        <f t="shared" si="4"/>
        <v>1352.233503</v>
      </c>
      <c r="N28" s="689">
        <f t="shared" si="5"/>
        <v>3.36348962</v>
      </c>
      <c r="O28" s="690">
        <f t="shared" si="6"/>
        <v>0.7848605578</v>
      </c>
      <c r="P28" s="669"/>
      <c r="Q28" s="669">
        <v>519.0</v>
      </c>
      <c r="R28" s="13"/>
      <c r="S28" s="13"/>
      <c r="T28" s="242"/>
      <c r="U28" s="242"/>
      <c r="V28" s="242"/>
      <c r="W28" s="242"/>
      <c r="X28" s="242"/>
      <c r="Y28" s="242"/>
    </row>
    <row r="29">
      <c r="A29" s="120"/>
      <c r="B29" s="216">
        <v>4.0</v>
      </c>
      <c r="C29" s="176"/>
      <c r="D29" s="625" t="s">
        <v>304</v>
      </c>
      <c r="E29" s="626" t="s">
        <v>3947</v>
      </c>
      <c r="F29" s="669">
        <v>352.25</v>
      </c>
      <c r="G29" s="681">
        <v>0.166</v>
      </c>
      <c r="H29" s="681">
        <v>0.276</v>
      </c>
      <c r="I29" s="669">
        <v>658.0</v>
      </c>
      <c r="J29" s="640">
        <f t="shared" si="3"/>
        <v>2384.057971</v>
      </c>
      <c r="K29" s="640">
        <v>375.44</v>
      </c>
      <c r="L29" s="688">
        <f>IFERROR(K29*3.4,"")</f>
        <v>1276.496</v>
      </c>
      <c r="M29" s="688">
        <f t="shared" si="4"/>
        <v>1360.289855</v>
      </c>
      <c r="N29" s="689">
        <f t="shared" si="5"/>
        <v>3.4</v>
      </c>
      <c r="O29" s="690">
        <f t="shared" si="6"/>
        <v>0.9399635258</v>
      </c>
      <c r="P29" s="669"/>
      <c r="Q29" s="669">
        <v>679.0</v>
      </c>
      <c r="R29" s="13"/>
      <c r="S29" s="13"/>
      <c r="T29" s="242"/>
      <c r="U29" s="242"/>
      <c r="V29" s="242"/>
      <c r="W29" s="242"/>
      <c r="X29" s="242"/>
      <c r="Y29" s="242"/>
    </row>
    <row r="30">
      <c r="A30" s="621"/>
      <c r="B30" s="622">
        <v>5.0</v>
      </c>
      <c r="C30" s="41"/>
      <c r="D30" s="625" t="s">
        <v>307</v>
      </c>
      <c r="E30" s="626" t="s">
        <v>3948</v>
      </c>
      <c r="F30" s="669">
        <v>419.04</v>
      </c>
      <c r="G30" s="681">
        <v>0.195</v>
      </c>
      <c r="H30" s="681">
        <v>0.33</v>
      </c>
      <c r="I30" s="669">
        <v>804.0</v>
      </c>
      <c r="J30" s="640">
        <f t="shared" si="3"/>
        <v>2436.363636</v>
      </c>
      <c r="K30" s="640">
        <v>446.76</v>
      </c>
      <c r="L30" s="688">
        <v>1496.0</v>
      </c>
      <c r="M30" s="688">
        <f t="shared" si="4"/>
        <v>1353.818182</v>
      </c>
      <c r="N30" s="689">
        <f t="shared" si="5"/>
        <v>3.348554033</v>
      </c>
      <c r="O30" s="690">
        <f t="shared" si="6"/>
        <v>0.8606965174</v>
      </c>
      <c r="P30" s="669"/>
      <c r="Q30" s="669">
        <v>829.0</v>
      </c>
      <c r="R30" s="13"/>
      <c r="S30" s="13"/>
      <c r="T30" s="242"/>
      <c r="U30" s="242"/>
      <c r="V30" s="242"/>
      <c r="W30" s="242"/>
      <c r="X30" s="242"/>
      <c r="Y30" s="242"/>
    </row>
    <row r="31">
      <c r="A31" s="120"/>
      <c r="B31" s="622">
        <v>6.0</v>
      </c>
      <c r="C31" s="680" t="s">
        <v>4186</v>
      </c>
      <c r="D31" s="625" t="s">
        <v>4202</v>
      </c>
      <c r="E31" s="626" t="s">
        <v>3949</v>
      </c>
      <c r="F31" s="637">
        <v>105.29</v>
      </c>
      <c r="G31" s="681">
        <v>0.061</v>
      </c>
      <c r="H31" s="681">
        <v>0.084</v>
      </c>
      <c r="I31" s="669">
        <v>212.0</v>
      </c>
      <c r="J31" s="640">
        <f t="shared" si="3"/>
        <v>2523.809524</v>
      </c>
      <c r="K31" s="640">
        <v>112.34</v>
      </c>
      <c r="L31" s="688">
        <f>IFERROR(K31*3.4,"")</f>
        <v>381.956</v>
      </c>
      <c r="M31" s="688">
        <f t="shared" si="4"/>
        <v>1337.380952</v>
      </c>
      <c r="N31" s="689">
        <f t="shared" si="5"/>
        <v>3.4</v>
      </c>
      <c r="O31" s="690">
        <f t="shared" si="6"/>
        <v>0.8016792453</v>
      </c>
      <c r="P31" s="669">
        <v>159.0</v>
      </c>
      <c r="Q31" s="669">
        <v>219.0</v>
      </c>
      <c r="R31" s="686">
        <f t="shared" ref="R31:R36" si="7">IFERROR(Q31-P31,"")/P31</f>
        <v>0.3773584906</v>
      </c>
      <c r="S31" s="13"/>
      <c r="T31" s="242"/>
      <c r="U31" s="242"/>
      <c r="V31" s="242"/>
      <c r="W31" s="242"/>
      <c r="X31" s="242"/>
      <c r="Y31" s="242"/>
    </row>
    <row r="32">
      <c r="A32" s="120"/>
      <c r="B32" s="216">
        <v>7.0</v>
      </c>
      <c r="C32" s="176"/>
      <c r="D32" s="625" t="s">
        <v>3598</v>
      </c>
      <c r="E32" s="626" t="s">
        <v>3951</v>
      </c>
      <c r="F32" s="216">
        <v>120.93</v>
      </c>
      <c r="G32" s="681">
        <v>0.07</v>
      </c>
      <c r="H32" s="681">
        <v>0.096</v>
      </c>
      <c r="I32" s="669">
        <v>252.0</v>
      </c>
      <c r="J32" s="640">
        <f t="shared" si="3"/>
        <v>2625</v>
      </c>
      <c r="K32" s="640">
        <v>129.0</v>
      </c>
      <c r="L32" s="688">
        <v>440.0</v>
      </c>
      <c r="M32" s="688">
        <f t="shared" si="4"/>
        <v>1343.75</v>
      </c>
      <c r="N32" s="689">
        <f t="shared" si="5"/>
        <v>3.410852713</v>
      </c>
      <c r="O32" s="690">
        <f t="shared" si="6"/>
        <v>0.746031746</v>
      </c>
      <c r="P32" s="669">
        <v>229.0</v>
      </c>
      <c r="Q32" s="669">
        <v>259.0</v>
      </c>
      <c r="R32" s="686">
        <f t="shared" si="7"/>
        <v>0.1310043668</v>
      </c>
      <c r="S32" s="13"/>
      <c r="T32" s="242"/>
      <c r="U32" s="242"/>
      <c r="V32" s="242"/>
      <c r="W32" s="242"/>
      <c r="X32" s="242"/>
      <c r="Y32" s="242"/>
    </row>
    <row r="33">
      <c r="A33" s="120"/>
      <c r="B33" s="216">
        <v>8.0</v>
      </c>
      <c r="C33" s="176"/>
      <c r="D33" s="625" t="s">
        <v>4206</v>
      </c>
      <c r="E33" s="626" t="s">
        <v>3952</v>
      </c>
      <c r="F33" s="669">
        <v>141.09</v>
      </c>
      <c r="G33" s="681">
        <v>0.087</v>
      </c>
      <c r="H33" s="681">
        <v>0.113</v>
      </c>
      <c r="I33" s="669">
        <v>328.0</v>
      </c>
      <c r="J33" s="640">
        <f t="shared" si="3"/>
        <v>2902.654867</v>
      </c>
      <c r="K33" s="640">
        <v>150.59</v>
      </c>
      <c r="L33" s="688">
        <v>518.0</v>
      </c>
      <c r="M33" s="688">
        <f t="shared" si="4"/>
        <v>1332.654867</v>
      </c>
      <c r="N33" s="689">
        <f t="shared" si="5"/>
        <v>3.43980344</v>
      </c>
      <c r="O33" s="690">
        <f t="shared" si="6"/>
        <v>0.5792682927</v>
      </c>
      <c r="P33" s="669">
        <v>299.0</v>
      </c>
      <c r="Q33" s="669">
        <v>339.0</v>
      </c>
      <c r="R33" s="686">
        <f t="shared" si="7"/>
        <v>0.1337792642</v>
      </c>
      <c r="S33" s="13"/>
      <c r="T33" s="242"/>
      <c r="U33" s="242"/>
      <c r="V33" s="242"/>
      <c r="W33" s="242"/>
      <c r="X33" s="242"/>
      <c r="Y33" s="242"/>
    </row>
    <row r="34">
      <c r="A34" s="621"/>
      <c r="B34" s="216">
        <v>9.0</v>
      </c>
      <c r="C34" s="176"/>
      <c r="D34" s="625" t="s">
        <v>3618</v>
      </c>
      <c r="E34" s="626" t="s">
        <v>3953</v>
      </c>
      <c r="F34" s="640">
        <v>198.4</v>
      </c>
      <c r="G34" s="681">
        <v>0.108</v>
      </c>
      <c r="H34" s="681">
        <v>0.159</v>
      </c>
      <c r="I34" s="669">
        <v>358.0</v>
      </c>
      <c r="J34" s="640">
        <f t="shared" si="3"/>
        <v>2251.572327</v>
      </c>
      <c r="K34" s="640">
        <v>211.75</v>
      </c>
      <c r="L34" s="688">
        <v>722.0</v>
      </c>
      <c r="M34" s="688">
        <f t="shared" si="4"/>
        <v>1331.761006</v>
      </c>
      <c r="N34" s="689">
        <f t="shared" si="5"/>
        <v>3.409681228</v>
      </c>
      <c r="O34" s="690">
        <f t="shared" si="6"/>
        <v>1.016759777</v>
      </c>
      <c r="P34" s="669">
        <v>319.0</v>
      </c>
      <c r="Q34" s="669">
        <v>369.0</v>
      </c>
      <c r="R34" s="686">
        <f t="shared" si="7"/>
        <v>0.1567398119</v>
      </c>
      <c r="S34" s="13"/>
      <c r="T34" s="242"/>
      <c r="U34" s="242"/>
      <c r="V34" s="242"/>
      <c r="W34" s="242"/>
      <c r="X34" s="242"/>
      <c r="Y34" s="242"/>
    </row>
    <row r="35">
      <c r="A35" s="120"/>
      <c r="B35" s="622">
        <v>10.0</v>
      </c>
      <c r="C35" s="176"/>
      <c r="D35" s="625" t="s">
        <v>4209</v>
      </c>
      <c r="E35" s="626" t="s">
        <v>3954</v>
      </c>
      <c r="F35" s="669">
        <v>203.14</v>
      </c>
      <c r="G35" s="681">
        <v>0.112</v>
      </c>
      <c r="H35" s="681">
        <v>0.163</v>
      </c>
      <c r="I35" s="669">
        <v>454.0</v>
      </c>
      <c r="J35" s="640">
        <f t="shared" si="3"/>
        <v>2785.276074</v>
      </c>
      <c r="K35" s="640">
        <v>216.83</v>
      </c>
      <c r="L35" s="688">
        <v>738.0</v>
      </c>
      <c r="M35" s="688">
        <f t="shared" si="4"/>
        <v>1330.245399</v>
      </c>
      <c r="N35" s="689">
        <f t="shared" si="5"/>
        <v>3.403588064</v>
      </c>
      <c r="O35" s="690">
        <f t="shared" si="6"/>
        <v>0.6255506608</v>
      </c>
      <c r="P35" s="669">
        <v>409.0</v>
      </c>
      <c r="Q35" s="669">
        <v>469.0</v>
      </c>
      <c r="R35" s="686">
        <f t="shared" si="7"/>
        <v>0.1466992665</v>
      </c>
      <c r="S35" s="13"/>
      <c r="T35" s="242"/>
      <c r="U35" s="242"/>
      <c r="V35" s="242"/>
      <c r="W35" s="242"/>
      <c r="X35" s="242"/>
      <c r="Y35" s="242"/>
    </row>
    <row r="36">
      <c r="A36" s="120"/>
      <c r="B36" s="622">
        <v>11.0</v>
      </c>
      <c r="C36" s="176"/>
      <c r="D36" s="625" t="s">
        <v>4211</v>
      </c>
      <c r="E36" s="626" t="s">
        <v>3955</v>
      </c>
      <c r="F36" s="669">
        <v>217.37</v>
      </c>
      <c r="G36" s="681">
        <v>0.124</v>
      </c>
      <c r="H36" s="681">
        <v>0.175</v>
      </c>
      <c r="I36" s="669">
        <v>512.0</v>
      </c>
      <c r="J36" s="640">
        <f t="shared" si="3"/>
        <v>2925.714286</v>
      </c>
      <c r="K36" s="640">
        <v>232.07</v>
      </c>
      <c r="L36" s="688">
        <v>794.0</v>
      </c>
      <c r="M36" s="688">
        <f t="shared" si="4"/>
        <v>1326.114286</v>
      </c>
      <c r="N36" s="689">
        <f t="shared" si="5"/>
        <v>3.42138148</v>
      </c>
      <c r="O36" s="690">
        <f t="shared" si="6"/>
        <v>0.55078125</v>
      </c>
      <c r="P36" s="669">
        <v>459.0</v>
      </c>
      <c r="Q36" s="669">
        <v>529.0</v>
      </c>
      <c r="R36" s="686">
        <f t="shared" si="7"/>
        <v>0.1525054466</v>
      </c>
      <c r="S36" s="13"/>
      <c r="T36" s="242"/>
      <c r="U36" s="242"/>
      <c r="V36" s="242"/>
      <c r="W36" s="242"/>
      <c r="X36" s="242"/>
      <c r="Y36" s="242"/>
    </row>
    <row r="37">
      <c r="A37" s="120"/>
      <c r="B37" s="216">
        <v>12.0</v>
      </c>
      <c r="C37" s="176"/>
      <c r="D37" s="691" t="s">
        <v>4213</v>
      </c>
      <c r="E37" s="692" t="s">
        <v>3956</v>
      </c>
      <c r="F37" s="669">
        <v>309.11</v>
      </c>
      <c r="G37" s="681">
        <v>0.161</v>
      </c>
      <c r="H37" s="681">
        <v>0.245</v>
      </c>
      <c r="I37" s="669">
        <v>796.0</v>
      </c>
      <c r="J37" s="640">
        <f t="shared" si="3"/>
        <v>3248.979592</v>
      </c>
      <c r="K37" s="640">
        <v>329.69</v>
      </c>
      <c r="L37" s="688">
        <v>1124.0</v>
      </c>
      <c r="M37" s="688">
        <f t="shared" si="4"/>
        <v>1345.673469</v>
      </c>
      <c r="N37" s="689">
        <f t="shared" si="5"/>
        <v>3.409263247</v>
      </c>
      <c r="O37" s="690">
        <f t="shared" si="6"/>
        <v>0.4120603015</v>
      </c>
      <c r="P37" s="669"/>
      <c r="Q37" s="669"/>
      <c r="R37" s="686"/>
      <c r="S37" s="13"/>
      <c r="T37" s="242"/>
      <c r="U37" s="242"/>
      <c r="V37" s="242"/>
      <c r="W37" s="242"/>
      <c r="X37" s="242"/>
      <c r="Y37" s="242"/>
    </row>
    <row r="38">
      <c r="A38" s="120"/>
      <c r="B38" s="216">
        <v>13.0</v>
      </c>
      <c r="C38" s="176"/>
      <c r="D38" s="625" t="s">
        <v>3625</v>
      </c>
      <c r="E38" s="626" t="s">
        <v>3957</v>
      </c>
      <c r="F38" s="669">
        <v>323.34</v>
      </c>
      <c r="G38" s="681">
        <v>0.173</v>
      </c>
      <c r="H38" s="681">
        <v>0.257</v>
      </c>
      <c r="I38" s="669">
        <v>812.0</v>
      </c>
      <c r="J38" s="640">
        <f t="shared" si="3"/>
        <v>3159.533074</v>
      </c>
      <c r="K38" s="640">
        <v>344.93</v>
      </c>
      <c r="L38" s="688">
        <v>1174.0</v>
      </c>
      <c r="M38" s="688">
        <f t="shared" si="4"/>
        <v>1342.140078</v>
      </c>
      <c r="N38" s="689">
        <f t="shared" si="5"/>
        <v>3.403589134</v>
      </c>
      <c r="O38" s="690">
        <f t="shared" si="6"/>
        <v>0.4458128079</v>
      </c>
      <c r="P38" s="669">
        <v>729.0</v>
      </c>
      <c r="Q38" s="669">
        <v>839.0</v>
      </c>
      <c r="R38" s="686">
        <f t="shared" ref="R38:R45" si="8">IFERROR(Q38-P38,"")/P38</f>
        <v>0.1508916324</v>
      </c>
      <c r="S38" s="13"/>
      <c r="T38" s="242"/>
      <c r="U38" s="242"/>
      <c r="V38" s="242"/>
      <c r="W38" s="242"/>
      <c r="X38" s="242"/>
      <c r="Y38" s="242"/>
    </row>
    <row r="39">
      <c r="A39" s="621"/>
      <c r="B39" s="216">
        <v>14.0</v>
      </c>
      <c r="C39" s="41"/>
      <c r="D39" s="625" t="s">
        <v>4217</v>
      </c>
      <c r="E39" s="626" t="s">
        <v>3958</v>
      </c>
      <c r="F39" s="669">
        <v>360.1</v>
      </c>
      <c r="G39" s="681">
        <v>0.204</v>
      </c>
      <c r="H39" s="681">
        <v>0.288</v>
      </c>
      <c r="I39" s="669">
        <v>834.0</v>
      </c>
      <c r="J39" s="640">
        <f t="shared" si="3"/>
        <v>2895.833333</v>
      </c>
      <c r="K39" s="640">
        <v>384.3</v>
      </c>
      <c r="L39" s="688">
        <v>1296.0</v>
      </c>
      <c r="M39" s="688">
        <f t="shared" si="4"/>
        <v>1334.375</v>
      </c>
      <c r="N39" s="689">
        <f t="shared" si="5"/>
        <v>3.37236534</v>
      </c>
      <c r="O39" s="690">
        <f t="shared" si="6"/>
        <v>0.5539568345</v>
      </c>
      <c r="P39" s="669">
        <v>749.0</v>
      </c>
      <c r="Q39" s="669">
        <v>859.0</v>
      </c>
      <c r="R39" s="686">
        <f t="shared" si="8"/>
        <v>0.1468624833</v>
      </c>
      <c r="S39" s="13"/>
      <c r="T39" s="242"/>
      <c r="U39" s="242"/>
      <c r="V39" s="242"/>
      <c r="W39" s="242"/>
      <c r="X39" s="242"/>
      <c r="Y39" s="242"/>
    </row>
    <row r="40">
      <c r="A40" s="120"/>
      <c r="B40" s="622">
        <v>15.0</v>
      </c>
      <c r="C40" s="680" t="s">
        <v>4184</v>
      </c>
      <c r="D40" s="625" t="s">
        <v>4202</v>
      </c>
      <c r="E40" s="626" t="s">
        <v>3959</v>
      </c>
      <c r="F40" s="637">
        <v>101.73</v>
      </c>
      <c r="G40" s="681">
        <v>0.058</v>
      </c>
      <c r="H40" s="681">
        <v>0.081</v>
      </c>
      <c r="I40" s="669">
        <v>242.0</v>
      </c>
      <c r="J40" s="640">
        <f t="shared" si="3"/>
        <v>2987.654321</v>
      </c>
      <c r="K40" s="640">
        <v>108.53</v>
      </c>
      <c r="L40" s="688">
        <v>368.0</v>
      </c>
      <c r="M40" s="688">
        <f t="shared" si="4"/>
        <v>1339.876543</v>
      </c>
      <c r="N40" s="689">
        <f t="shared" si="5"/>
        <v>3.39076753</v>
      </c>
      <c r="O40" s="690">
        <f t="shared" si="6"/>
        <v>0.520661157</v>
      </c>
      <c r="P40" s="669">
        <v>169.0</v>
      </c>
      <c r="Q40" s="669">
        <v>249.0</v>
      </c>
      <c r="R40" s="686">
        <f t="shared" si="8"/>
        <v>0.4733727811</v>
      </c>
      <c r="S40" s="13"/>
      <c r="T40" s="242"/>
      <c r="U40" s="242"/>
      <c r="V40" s="242"/>
      <c r="W40" s="242"/>
      <c r="X40" s="242"/>
      <c r="Y40" s="242"/>
    </row>
    <row r="41">
      <c r="A41" s="120"/>
      <c r="B41" s="622">
        <v>16.0</v>
      </c>
      <c r="C41" s="176"/>
      <c r="D41" s="625" t="s">
        <v>3598</v>
      </c>
      <c r="E41" s="626" t="s">
        <v>3961</v>
      </c>
      <c r="F41" s="216">
        <v>112.63</v>
      </c>
      <c r="G41" s="681">
        <v>0.063</v>
      </c>
      <c r="H41" s="681">
        <v>0.089</v>
      </c>
      <c r="I41" s="669">
        <v>318.0</v>
      </c>
      <c r="J41" s="640">
        <f t="shared" si="3"/>
        <v>3573.033708</v>
      </c>
      <c r="K41" s="640">
        <v>120.11</v>
      </c>
      <c r="L41" s="688">
        <v>398.0</v>
      </c>
      <c r="M41" s="688">
        <f t="shared" si="4"/>
        <v>1349.550562</v>
      </c>
      <c r="N41" s="689">
        <f t="shared" si="5"/>
        <v>3.313629173</v>
      </c>
      <c r="O41" s="690">
        <f t="shared" si="6"/>
        <v>0.251572327</v>
      </c>
      <c r="P41" s="669">
        <v>289.0</v>
      </c>
      <c r="Q41" s="669">
        <v>329.0</v>
      </c>
      <c r="R41" s="686">
        <f t="shared" si="8"/>
        <v>0.1384083045</v>
      </c>
      <c r="S41" s="13"/>
      <c r="T41" s="242"/>
      <c r="U41" s="242"/>
      <c r="V41" s="242"/>
      <c r="W41" s="242"/>
      <c r="X41" s="242"/>
      <c r="Y41" s="242"/>
    </row>
    <row r="42">
      <c r="A42" s="120"/>
      <c r="B42" s="216">
        <v>17.0</v>
      </c>
      <c r="C42" s="176"/>
      <c r="D42" s="625" t="s">
        <v>4206</v>
      </c>
      <c r="E42" s="626" t="s">
        <v>3962</v>
      </c>
      <c r="F42" s="669">
        <v>120.93</v>
      </c>
      <c r="G42" s="681">
        <v>0.07</v>
      </c>
      <c r="H42" s="681">
        <v>0.096</v>
      </c>
      <c r="I42" s="669">
        <v>388.0</v>
      </c>
      <c r="J42" s="640">
        <f t="shared" si="3"/>
        <v>4041.666667</v>
      </c>
      <c r="K42" s="640">
        <v>129.0</v>
      </c>
      <c r="L42" s="688">
        <v>438.0</v>
      </c>
      <c r="M42" s="688">
        <f t="shared" si="4"/>
        <v>1343.75</v>
      </c>
      <c r="N42" s="689">
        <f t="shared" si="5"/>
        <v>3.395348837</v>
      </c>
      <c r="O42" s="690">
        <f t="shared" si="6"/>
        <v>0.1288659794</v>
      </c>
      <c r="P42" s="669">
        <v>349.0</v>
      </c>
      <c r="Q42" s="669">
        <v>399.0</v>
      </c>
      <c r="R42" s="686">
        <f t="shared" si="8"/>
        <v>0.1432664756</v>
      </c>
      <c r="S42" s="13"/>
      <c r="T42" s="242"/>
      <c r="U42" s="242"/>
      <c r="V42" s="242"/>
      <c r="W42" s="242"/>
      <c r="X42" s="242"/>
      <c r="Y42" s="242"/>
    </row>
    <row r="43">
      <c r="A43" s="621"/>
      <c r="B43" s="216">
        <v>18.0</v>
      </c>
      <c r="C43" s="176"/>
      <c r="D43" s="625" t="s">
        <v>3618</v>
      </c>
      <c r="E43" s="626" t="s">
        <v>3963</v>
      </c>
      <c r="F43" s="216">
        <v>190.1</v>
      </c>
      <c r="G43" s="681">
        <v>0.101</v>
      </c>
      <c r="H43" s="681">
        <v>0.152</v>
      </c>
      <c r="I43" s="669">
        <v>484.0</v>
      </c>
      <c r="J43" s="640">
        <f t="shared" si="3"/>
        <v>3184.210526</v>
      </c>
      <c r="K43" s="640">
        <v>202.86</v>
      </c>
      <c r="L43" s="688">
        <v>688.0</v>
      </c>
      <c r="M43" s="688">
        <f t="shared" si="4"/>
        <v>1334.605263</v>
      </c>
      <c r="N43" s="689">
        <f t="shared" si="5"/>
        <v>3.391501528</v>
      </c>
      <c r="O43" s="690">
        <f t="shared" si="6"/>
        <v>0.4214876033</v>
      </c>
      <c r="P43" s="669">
        <v>389.0</v>
      </c>
      <c r="Q43" s="669">
        <v>499.0</v>
      </c>
      <c r="R43" s="686">
        <f t="shared" si="8"/>
        <v>0.2827763496</v>
      </c>
      <c r="S43" s="13"/>
      <c r="T43" s="242"/>
      <c r="U43" s="242"/>
      <c r="V43" s="242"/>
      <c r="W43" s="242"/>
      <c r="X43" s="242"/>
      <c r="Y43" s="242"/>
    </row>
    <row r="44">
      <c r="A44" s="120"/>
      <c r="B44" s="216">
        <v>19.0</v>
      </c>
      <c r="C44" s="176"/>
      <c r="D44" s="625" t="s">
        <v>4209</v>
      </c>
      <c r="E44" s="626" t="s">
        <v>3964</v>
      </c>
      <c r="F44" s="669">
        <v>204.33</v>
      </c>
      <c r="G44" s="681">
        <v>0.113</v>
      </c>
      <c r="H44" s="681">
        <v>0.164</v>
      </c>
      <c r="I44" s="669">
        <v>494.0</v>
      </c>
      <c r="J44" s="640">
        <f t="shared" si="3"/>
        <v>3012.195122</v>
      </c>
      <c r="K44" s="640">
        <v>218.1</v>
      </c>
      <c r="L44" s="688">
        <f>IFERROR(K44*3.4,"")</f>
        <v>741.54</v>
      </c>
      <c r="M44" s="688">
        <f t="shared" si="4"/>
        <v>1329.878049</v>
      </c>
      <c r="N44" s="689">
        <f t="shared" si="5"/>
        <v>3.4</v>
      </c>
      <c r="O44" s="690">
        <f t="shared" si="6"/>
        <v>0.5010931174</v>
      </c>
      <c r="P44" s="669">
        <v>439.0</v>
      </c>
      <c r="Q44" s="669">
        <v>509.0</v>
      </c>
      <c r="R44" s="686">
        <f t="shared" si="8"/>
        <v>0.159453303</v>
      </c>
      <c r="S44" s="13"/>
      <c r="T44" s="242"/>
      <c r="U44" s="242"/>
      <c r="V44" s="242"/>
      <c r="W44" s="242"/>
      <c r="X44" s="242"/>
      <c r="Y44" s="242"/>
    </row>
    <row r="45">
      <c r="A45" s="120"/>
      <c r="B45" s="622">
        <v>20.0</v>
      </c>
      <c r="C45" s="176"/>
      <c r="D45" s="625" t="s">
        <v>4211</v>
      </c>
      <c r="E45" s="626" t="s">
        <v>3965</v>
      </c>
      <c r="F45" s="669">
        <v>269.56</v>
      </c>
      <c r="G45" s="681">
        <v>0.168</v>
      </c>
      <c r="H45" s="681">
        <v>0.219</v>
      </c>
      <c r="I45" s="669">
        <v>562.0</v>
      </c>
      <c r="J45" s="640">
        <f t="shared" si="3"/>
        <v>2566.210046</v>
      </c>
      <c r="K45" s="640">
        <v>287.95</v>
      </c>
      <c r="L45" s="688">
        <v>978.0</v>
      </c>
      <c r="M45" s="688">
        <f t="shared" si="4"/>
        <v>1314.840183</v>
      </c>
      <c r="N45" s="689">
        <f t="shared" si="5"/>
        <v>3.39642299</v>
      </c>
      <c r="O45" s="690">
        <f t="shared" si="6"/>
        <v>0.7402135231</v>
      </c>
      <c r="P45" s="669">
        <v>499.0</v>
      </c>
      <c r="Q45" s="669">
        <v>579.0</v>
      </c>
      <c r="R45" s="686">
        <f t="shared" si="8"/>
        <v>0.1603206413</v>
      </c>
      <c r="S45" s="13"/>
      <c r="T45" s="242"/>
      <c r="U45" s="242"/>
      <c r="V45" s="242"/>
      <c r="W45" s="242"/>
      <c r="X45" s="242"/>
      <c r="Y45" s="242"/>
    </row>
    <row r="46">
      <c r="A46" s="120"/>
      <c r="B46" s="622">
        <v>21.0</v>
      </c>
      <c r="C46" s="176"/>
      <c r="D46" s="691" t="s">
        <v>4213</v>
      </c>
      <c r="E46" s="692" t="s">
        <v>3966</v>
      </c>
      <c r="F46" s="669">
        <v>306.73</v>
      </c>
      <c r="G46" s="681">
        <v>0.159</v>
      </c>
      <c r="H46" s="681">
        <v>0.243</v>
      </c>
      <c r="I46" s="669">
        <v>786.0</v>
      </c>
      <c r="J46" s="640">
        <f t="shared" si="3"/>
        <v>3234.567901</v>
      </c>
      <c r="K46" s="640">
        <v>327.15</v>
      </c>
      <c r="L46" s="688">
        <v>1098.0</v>
      </c>
      <c r="M46" s="688">
        <f t="shared" si="4"/>
        <v>1346.296296</v>
      </c>
      <c r="N46" s="689">
        <f t="shared" si="5"/>
        <v>3.356258597</v>
      </c>
      <c r="O46" s="690">
        <f t="shared" si="6"/>
        <v>0.3969465649</v>
      </c>
      <c r="P46" s="669"/>
      <c r="Q46" s="669"/>
      <c r="R46" s="686"/>
      <c r="S46" s="13"/>
      <c r="T46" s="242"/>
      <c r="U46" s="242"/>
      <c r="V46" s="242"/>
      <c r="W46" s="242"/>
      <c r="X46" s="242"/>
      <c r="Y46" s="242"/>
    </row>
    <row r="47">
      <c r="A47" s="120"/>
      <c r="B47" s="216">
        <v>22.0</v>
      </c>
      <c r="C47" s="176"/>
      <c r="D47" s="625" t="s">
        <v>3625</v>
      </c>
      <c r="E47" s="626" t="s">
        <v>3967</v>
      </c>
      <c r="F47" s="669">
        <v>352.99</v>
      </c>
      <c r="G47" s="681">
        <v>0.198</v>
      </c>
      <c r="H47" s="681">
        <v>0.282</v>
      </c>
      <c r="I47" s="669">
        <v>814.0</v>
      </c>
      <c r="J47" s="640">
        <f t="shared" si="3"/>
        <v>2886.524823</v>
      </c>
      <c r="K47" s="640">
        <v>376.68</v>
      </c>
      <c r="L47" s="688">
        <v>1278.0</v>
      </c>
      <c r="M47" s="688">
        <f t="shared" si="4"/>
        <v>1335.744681</v>
      </c>
      <c r="N47" s="689">
        <f t="shared" si="5"/>
        <v>3.392800255</v>
      </c>
      <c r="O47" s="690">
        <f t="shared" si="6"/>
        <v>0.57002457</v>
      </c>
      <c r="P47" s="669">
        <v>729.0</v>
      </c>
      <c r="Q47" s="669">
        <v>839.0</v>
      </c>
      <c r="R47" s="686">
        <f t="shared" ref="R47:R48" si="9">IFERROR(Q47-P47,"")/P47</f>
        <v>0.1508916324</v>
      </c>
      <c r="S47" s="13"/>
      <c r="T47" s="242"/>
      <c r="U47" s="242"/>
      <c r="V47" s="242"/>
      <c r="W47" s="242"/>
      <c r="X47" s="242"/>
      <c r="Y47" s="242"/>
    </row>
    <row r="48">
      <c r="A48" s="621"/>
      <c r="B48" s="216">
        <v>23.0</v>
      </c>
      <c r="C48" s="41"/>
      <c r="D48" s="625" t="s">
        <v>4217</v>
      </c>
      <c r="E48" s="626" t="s">
        <v>3968</v>
      </c>
      <c r="F48" s="669">
        <v>436.01</v>
      </c>
      <c r="G48" s="681">
        <v>0.268</v>
      </c>
      <c r="H48" s="681">
        <v>0.352</v>
      </c>
      <c r="I48" s="669">
        <v>1026.0</v>
      </c>
      <c r="J48" s="640">
        <f t="shared" si="3"/>
        <v>2914.772727</v>
      </c>
      <c r="K48" s="640">
        <v>465.58</v>
      </c>
      <c r="L48" s="688">
        <v>1578.0</v>
      </c>
      <c r="M48" s="688">
        <f t="shared" si="4"/>
        <v>1322.670455</v>
      </c>
      <c r="N48" s="689">
        <f t="shared" si="5"/>
        <v>3.389320847</v>
      </c>
      <c r="O48" s="690">
        <f t="shared" si="6"/>
        <v>0.5380116959</v>
      </c>
      <c r="P48" s="669">
        <v>919.0</v>
      </c>
      <c r="Q48" s="669">
        <v>1059.0</v>
      </c>
      <c r="R48" s="686">
        <f t="shared" si="9"/>
        <v>0.1523394995</v>
      </c>
      <c r="S48" s="13"/>
      <c r="T48" s="242"/>
      <c r="U48" s="242"/>
      <c r="V48" s="242"/>
      <c r="W48" s="242"/>
      <c r="X48" s="242"/>
      <c r="Y48" s="242"/>
    </row>
    <row r="49">
      <c r="A49" s="120"/>
      <c r="B49" s="216">
        <v>24.0</v>
      </c>
      <c r="C49" s="680" t="s">
        <v>4225</v>
      </c>
      <c r="D49" s="625" t="s">
        <v>4226</v>
      </c>
      <c r="E49" s="626" t="s">
        <v>3969</v>
      </c>
      <c r="F49" s="669">
        <v>232.2</v>
      </c>
      <c r="G49" s="681">
        <v>0.101</v>
      </c>
      <c r="H49" s="681">
        <v>0.176</v>
      </c>
      <c r="I49" s="669">
        <v>562.0</v>
      </c>
      <c r="J49" s="640">
        <f t="shared" si="3"/>
        <v>3193.181818</v>
      </c>
      <c r="K49" s="640">
        <v>246.99</v>
      </c>
      <c r="L49" s="688">
        <v>838.0</v>
      </c>
      <c r="M49" s="688">
        <f t="shared" si="4"/>
        <v>1403.352273</v>
      </c>
      <c r="N49" s="689">
        <f t="shared" si="5"/>
        <v>3.392849913</v>
      </c>
      <c r="O49" s="690">
        <f t="shared" si="6"/>
        <v>0.4911032028</v>
      </c>
      <c r="P49" s="669"/>
      <c r="Q49" s="669">
        <v>579.0</v>
      </c>
      <c r="R49" s="13"/>
      <c r="S49" s="13"/>
      <c r="T49" s="242"/>
      <c r="U49" s="242"/>
      <c r="V49" s="242"/>
      <c r="W49" s="242"/>
      <c r="X49" s="242"/>
      <c r="Y49" s="242"/>
    </row>
    <row r="50">
      <c r="A50" s="120"/>
      <c r="B50" s="622">
        <v>25.0</v>
      </c>
      <c r="C50" s="176"/>
      <c r="D50" s="625" t="s">
        <v>4227</v>
      </c>
      <c r="E50" s="626" t="s">
        <v>3971</v>
      </c>
      <c r="F50" s="669">
        <v>374.89</v>
      </c>
      <c r="G50" s="681">
        <v>0.16</v>
      </c>
      <c r="H50" s="681">
        <v>0.288</v>
      </c>
      <c r="I50" s="669">
        <v>949.0</v>
      </c>
      <c r="J50" s="640">
        <f t="shared" si="3"/>
        <v>3295.138889</v>
      </c>
      <c r="K50" s="640">
        <v>399.08</v>
      </c>
      <c r="L50" s="688">
        <v>1348.0</v>
      </c>
      <c r="M50" s="688">
        <f t="shared" si="4"/>
        <v>1385.694444</v>
      </c>
      <c r="N50" s="689">
        <f t="shared" si="5"/>
        <v>3.377768868</v>
      </c>
      <c r="O50" s="690">
        <f t="shared" si="6"/>
        <v>0.4204425711</v>
      </c>
      <c r="P50" s="669"/>
      <c r="Q50" s="669">
        <v>979.0</v>
      </c>
      <c r="R50" s="13"/>
      <c r="S50" s="13"/>
      <c r="T50" s="242"/>
      <c r="U50" s="242"/>
      <c r="V50" s="242"/>
      <c r="W50" s="242"/>
      <c r="X50" s="242"/>
      <c r="Y50" s="242"/>
    </row>
    <row r="51">
      <c r="A51" s="120"/>
      <c r="B51" s="622">
        <v>26.0</v>
      </c>
      <c r="C51" s="176"/>
      <c r="D51" s="625" t="s">
        <v>4228</v>
      </c>
      <c r="E51" s="626" t="s">
        <v>3972</v>
      </c>
      <c r="F51" s="669">
        <v>564.53</v>
      </c>
      <c r="G51" s="681">
        <v>0.236</v>
      </c>
      <c r="H51" s="681">
        <v>0.43</v>
      </c>
      <c r="I51" s="669">
        <v>1162.0</v>
      </c>
      <c r="J51" s="640">
        <f t="shared" si="3"/>
        <v>2702.325581</v>
      </c>
      <c r="K51" s="640">
        <v>600.66</v>
      </c>
      <c r="L51" s="688">
        <v>1998.0</v>
      </c>
      <c r="M51" s="688">
        <f t="shared" si="4"/>
        <v>1396.883721</v>
      </c>
      <c r="N51" s="689">
        <f t="shared" si="5"/>
        <v>3.326341025</v>
      </c>
      <c r="O51" s="690">
        <f t="shared" si="6"/>
        <v>0.7194492255</v>
      </c>
      <c r="P51" s="669"/>
      <c r="Q51" s="669">
        <v>1199.0</v>
      </c>
      <c r="R51" s="13"/>
      <c r="S51" s="13"/>
      <c r="T51" s="242"/>
      <c r="U51" s="242"/>
      <c r="V51" s="242"/>
      <c r="W51" s="242"/>
      <c r="X51" s="242"/>
      <c r="Y51" s="242"/>
    </row>
    <row r="52">
      <c r="A52" s="621"/>
      <c r="B52" s="216">
        <v>27.0</v>
      </c>
      <c r="C52" s="41"/>
      <c r="D52" s="625" t="s">
        <v>4229</v>
      </c>
      <c r="E52" s="626" t="s">
        <v>3973</v>
      </c>
      <c r="F52" s="669">
        <v>621.65</v>
      </c>
      <c r="G52" s="681">
        <v>0.256</v>
      </c>
      <c r="H52" s="681">
        <v>0.475</v>
      </c>
      <c r="I52" s="669">
        <v>1549.0</v>
      </c>
      <c r="J52" s="640">
        <f t="shared" si="3"/>
        <v>3261.052632</v>
      </c>
      <c r="K52" s="640">
        <v>661.55</v>
      </c>
      <c r="L52" s="688">
        <v>2248.0</v>
      </c>
      <c r="M52" s="688">
        <f t="shared" si="4"/>
        <v>1392.736842</v>
      </c>
      <c r="N52" s="689">
        <f t="shared" si="5"/>
        <v>3.398080266</v>
      </c>
      <c r="O52" s="690">
        <f t="shared" si="6"/>
        <v>0.4512588767</v>
      </c>
      <c r="P52" s="669"/>
      <c r="Q52" s="669">
        <v>1599.0</v>
      </c>
      <c r="R52" s="13"/>
      <c r="S52" s="13"/>
      <c r="T52" s="242"/>
      <c r="U52" s="242"/>
      <c r="V52" s="242"/>
      <c r="W52" s="242"/>
      <c r="X52" s="242"/>
      <c r="Y52" s="242"/>
    </row>
    <row r="53">
      <c r="A53" s="120"/>
      <c r="B53" s="216">
        <v>28.0</v>
      </c>
      <c r="C53" s="693" t="s">
        <v>3722</v>
      </c>
      <c r="D53" s="625" t="s">
        <v>4202</v>
      </c>
      <c r="E53" s="626" t="s">
        <v>3974</v>
      </c>
      <c r="F53" s="669">
        <v>175.18</v>
      </c>
      <c r="G53" s="681">
        <v>0.089</v>
      </c>
      <c r="H53" s="681">
        <v>0.135</v>
      </c>
      <c r="I53" s="669">
        <v>416.0</v>
      </c>
      <c r="J53" s="640">
        <f t="shared" si="3"/>
        <v>3081.481481</v>
      </c>
      <c r="K53" s="640">
        <v>186.52</v>
      </c>
      <c r="L53" s="688">
        <f t="shared" ref="L53:L55" si="10">IFERROR(K53*3.4,"")</f>
        <v>634.168</v>
      </c>
      <c r="M53" s="688">
        <f t="shared" si="4"/>
        <v>1381.62963</v>
      </c>
      <c r="N53" s="689">
        <f t="shared" si="5"/>
        <v>3.4</v>
      </c>
      <c r="O53" s="690">
        <f t="shared" si="6"/>
        <v>0.5244423077</v>
      </c>
      <c r="P53" s="669">
        <v>309.0</v>
      </c>
      <c r="Q53" s="669">
        <v>429.0</v>
      </c>
      <c r="R53" s="686">
        <f t="shared" ref="R53:R55" si="11">IFERROR(Q53-P53,"")/P53</f>
        <v>0.3883495146</v>
      </c>
      <c r="S53" s="13"/>
      <c r="T53" s="242"/>
      <c r="U53" s="242"/>
      <c r="V53" s="242"/>
      <c r="W53" s="242"/>
      <c r="X53" s="242"/>
      <c r="Y53" s="242"/>
    </row>
    <row r="54">
      <c r="A54" s="120"/>
      <c r="B54" s="216">
        <v>29.0</v>
      </c>
      <c r="C54" s="176"/>
      <c r="D54" s="625" t="s">
        <v>3598</v>
      </c>
      <c r="E54" s="626" t="s">
        <v>3976</v>
      </c>
      <c r="F54" s="669">
        <v>211.08</v>
      </c>
      <c r="G54" s="681">
        <v>0.11</v>
      </c>
      <c r="H54" s="681">
        <v>0.162</v>
      </c>
      <c r="I54" s="669">
        <v>484.0</v>
      </c>
      <c r="J54" s="640">
        <f t="shared" si="3"/>
        <v>2987.654321</v>
      </c>
      <c r="K54" s="640">
        <v>224.7</v>
      </c>
      <c r="L54" s="688">
        <f t="shared" si="10"/>
        <v>763.98</v>
      </c>
      <c r="M54" s="688">
        <f t="shared" si="4"/>
        <v>1387.037037</v>
      </c>
      <c r="N54" s="689">
        <f t="shared" si="5"/>
        <v>3.4</v>
      </c>
      <c r="O54" s="690">
        <f t="shared" si="6"/>
        <v>0.5784710744</v>
      </c>
      <c r="P54" s="669">
        <v>439.0</v>
      </c>
      <c r="Q54" s="669">
        <v>499.0</v>
      </c>
      <c r="R54" s="686">
        <f t="shared" si="11"/>
        <v>0.1366742597</v>
      </c>
      <c r="S54" s="13"/>
      <c r="T54" s="242"/>
      <c r="U54" s="242"/>
      <c r="V54" s="242"/>
      <c r="W54" s="242"/>
      <c r="X54" s="242"/>
      <c r="Y54" s="242"/>
    </row>
    <row r="55">
      <c r="A55" s="120"/>
      <c r="B55" s="622">
        <v>30.0</v>
      </c>
      <c r="C55" s="176"/>
      <c r="D55" s="625" t="s">
        <v>3618</v>
      </c>
      <c r="E55" s="626" t="s">
        <v>3977</v>
      </c>
      <c r="F55" s="669">
        <v>340.15</v>
      </c>
      <c r="G55" s="681">
        <v>0.162</v>
      </c>
      <c r="H55" s="681">
        <v>0.264</v>
      </c>
      <c r="I55" s="669">
        <v>736.0</v>
      </c>
      <c r="J55" s="640">
        <f t="shared" si="3"/>
        <v>2787.878788</v>
      </c>
      <c r="K55" s="640">
        <v>362.32</v>
      </c>
      <c r="L55" s="688">
        <f t="shared" si="10"/>
        <v>1231.888</v>
      </c>
      <c r="M55" s="688">
        <f t="shared" si="4"/>
        <v>1372.424242</v>
      </c>
      <c r="N55" s="689">
        <f t="shared" si="5"/>
        <v>3.4</v>
      </c>
      <c r="O55" s="690">
        <f t="shared" si="6"/>
        <v>0.6737608696</v>
      </c>
      <c r="P55" s="669">
        <v>659.0</v>
      </c>
      <c r="Q55" s="669">
        <v>759.0</v>
      </c>
      <c r="R55" s="686">
        <f t="shared" si="11"/>
        <v>0.1517450683</v>
      </c>
      <c r="S55" s="13"/>
      <c r="T55" s="242"/>
      <c r="U55" s="242"/>
      <c r="V55" s="242"/>
      <c r="W55" s="242"/>
      <c r="X55" s="242"/>
      <c r="Y55" s="242"/>
    </row>
    <row r="56">
      <c r="A56" s="621"/>
      <c r="B56" s="622">
        <v>31.0</v>
      </c>
      <c r="C56" s="41"/>
      <c r="D56" s="625" t="s">
        <v>4211</v>
      </c>
      <c r="E56" s="626" t="s">
        <v>3978</v>
      </c>
      <c r="F56" s="669">
        <v>408.13</v>
      </c>
      <c r="G56" s="681">
        <v>0.217</v>
      </c>
      <c r="H56" s="681">
        <v>0.319</v>
      </c>
      <c r="I56" s="669">
        <v>1046.0</v>
      </c>
      <c r="J56" s="640">
        <f t="shared" si="3"/>
        <v>3278.996865</v>
      </c>
      <c r="K56" s="640">
        <v>434.92</v>
      </c>
      <c r="L56" s="688">
        <v>1478.0</v>
      </c>
      <c r="M56" s="688">
        <f t="shared" si="4"/>
        <v>1363.38558</v>
      </c>
      <c r="N56" s="689">
        <f t="shared" si="5"/>
        <v>3.398326129</v>
      </c>
      <c r="O56" s="690">
        <f t="shared" si="6"/>
        <v>0.413001912</v>
      </c>
      <c r="P56" s="669"/>
      <c r="Q56" s="669"/>
      <c r="R56" s="13"/>
      <c r="S56" s="13"/>
      <c r="T56" s="242"/>
      <c r="U56" s="242"/>
      <c r="V56" s="242"/>
      <c r="W56" s="242"/>
      <c r="X56" s="242"/>
      <c r="Y56" s="242"/>
    </row>
    <row r="57">
      <c r="A57" s="120"/>
      <c r="B57" s="216">
        <v>32.0</v>
      </c>
      <c r="C57" s="680" t="s">
        <v>3680</v>
      </c>
      <c r="D57" s="625" t="s">
        <v>4202</v>
      </c>
      <c r="E57" s="626" t="s">
        <v>3979</v>
      </c>
      <c r="F57" s="669">
        <v>129.35</v>
      </c>
      <c r="G57" s="681">
        <v>0.078</v>
      </c>
      <c r="H57" s="681">
        <v>0.101</v>
      </c>
      <c r="I57" s="669">
        <v>270.0</v>
      </c>
      <c r="J57" s="640">
        <f t="shared" si="3"/>
        <v>2673.267327</v>
      </c>
      <c r="K57" s="640">
        <v>137.83</v>
      </c>
      <c r="L57" s="688">
        <v>468.0</v>
      </c>
      <c r="M57" s="688">
        <f t="shared" si="4"/>
        <v>1364.653465</v>
      </c>
      <c r="N57" s="689">
        <f t="shared" si="5"/>
        <v>3.395487194</v>
      </c>
      <c r="O57" s="690">
        <f t="shared" si="6"/>
        <v>0.7333333333</v>
      </c>
      <c r="P57" s="669">
        <v>209.0</v>
      </c>
      <c r="Q57" s="669">
        <v>279.0</v>
      </c>
      <c r="R57" s="686">
        <f t="shared" ref="R57:R58" si="12">IFERROR(Q57-P57,"")/P57</f>
        <v>0.3349282297</v>
      </c>
      <c r="S57" s="13"/>
      <c r="T57" s="242"/>
      <c r="U57" s="242"/>
      <c r="V57" s="242"/>
      <c r="W57" s="242"/>
      <c r="X57" s="242"/>
      <c r="Y57" s="242"/>
    </row>
    <row r="58">
      <c r="A58" s="120"/>
      <c r="B58" s="216">
        <v>33.0</v>
      </c>
      <c r="C58" s="176"/>
      <c r="D58" s="625" t="s">
        <v>3598</v>
      </c>
      <c r="E58" s="626" t="s">
        <v>3981</v>
      </c>
      <c r="F58" s="669">
        <v>144.21</v>
      </c>
      <c r="G58" s="681">
        <v>0.086</v>
      </c>
      <c r="H58" s="681">
        <v>0.112</v>
      </c>
      <c r="I58" s="669">
        <v>416.0</v>
      </c>
      <c r="J58" s="640">
        <f t="shared" si="3"/>
        <v>3714.285714</v>
      </c>
      <c r="K58" s="640">
        <v>153.62</v>
      </c>
      <c r="L58" s="688">
        <f t="shared" ref="L58:L59" si="13">IFERROR(K58*3.4,"")</f>
        <v>522.308</v>
      </c>
      <c r="M58" s="688">
        <f t="shared" si="4"/>
        <v>1371.607143</v>
      </c>
      <c r="N58" s="689">
        <f t="shared" si="5"/>
        <v>3.4</v>
      </c>
      <c r="O58" s="690">
        <f t="shared" si="6"/>
        <v>0.2555480769</v>
      </c>
      <c r="P58" s="669">
        <v>379.0</v>
      </c>
      <c r="Q58" s="669">
        <v>429.0</v>
      </c>
      <c r="R58" s="686">
        <f t="shared" si="12"/>
        <v>0.1319261214</v>
      </c>
      <c r="S58" s="13"/>
      <c r="T58" s="242"/>
      <c r="U58" s="242"/>
      <c r="V58" s="242"/>
      <c r="W58" s="242"/>
      <c r="X58" s="242"/>
      <c r="Y58" s="242"/>
    </row>
    <row r="59">
      <c r="A59" s="120"/>
      <c r="B59" s="216">
        <v>34.0</v>
      </c>
      <c r="C59" s="176"/>
      <c r="D59" s="625" t="s">
        <v>4206</v>
      </c>
      <c r="E59" s="626" t="s">
        <v>3982</v>
      </c>
      <c r="F59" s="669">
        <v>154.09</v>
      </c>
      <c r="G59" s="681">
        <v>0.094</v>
      </c>
      <c r="H59" s="681">
        <v>0.12</v>
      </c>
      <c r="I59" s="669">
        <v>396.0</v>
      </c>
      <c r="J59" s="640">
        <f t="shared" si="3"/>
        <v>3300</v>
      </c>
      <c r="K59" s="640">
        <v>164.18</v>
      </c>
      <c r="L59" s="688">
        <f t="shared" si="13"/>
        <v>558.212</v>
      </c>
      <c r="M59" s="688">
        <f t="shared" si="4"/>
        <v>1368.166667</v>
      </c>
      <c r="N59" s="689">
        <f t="shared" si="5"/>
        <v>3.4</v>
      </c>
      <c r="O59" s="690">
        <f t="shared" si="6"/>
        <v>0.4096262626</v>
      </c>
      <c r="P59" s="669"/>
      <c r="Q59" s="669"/>
      <c r="R59" s="13"/>
      <c r="S59" s="13"/>
      <c r="T59" s="242"/>
      <c r="U59" s="242"/>
      <c r="V59" s="242"/>
      <c r="W59" s="242"/>
      <c r="X59" s="242"/>
      <c r="Y59" s="242"/>
    </row>
    <row r="60">
      <c r="A60" s="120"/>
      <c r="B60" s="622">
        <v>35.0</v>
      </c>
      <c r="C60" s="176"/>
      <c r="D60" s="625" t="s">
        <v>3618</v>
      </c>
      <c r="E60" s="626" t="s">
        <v>3983</v>
      </c>
      <c r="F60" s="669">
        <v>214.92</v>
      </c>
      <c r="G60" s="681">
        <v>0.117</v>
      </c>
      <c r="H60" s="681">
        <v>0.168</v>
      </c>
      <c r="I60" s="669">
        <v>532.0</v>
      </c>
      <c r="J60" s="640">
        <f t="shared" si="3"/>
        <v>3166.666667</v>
      </c>
      <c r="K60" s="640">
        <v>229.03</v>
      </c>
      <c r="L60" s="688">
        <v>778.0</v>
      </c>
      <c r="M60" s="688">
        <f t="shared" si="4"/>
        <v>1363.27381</v>
      </c>
      <c r="N60" s="689">
        <f t="shared" si="5"/>
        <v>3.396934899</v>
      </c>
      <c r="O60" s="690">
        <f t="shared" si="6"/>
        <v>0.462406015</v>
      </c>
      <c r="P60" s="669">
        <v>479.0</v>
      </c>
      <c r="Q60" s="669">
        <v>549.0</v>
      </c>
      <c r="R60" s="686">
        <f>IFERROR(Q60-P60,"")/P60</f>
        <v>0.1461377871</v>
      </c>
      <c r="S60" s="13"/>
      <c r="T60" s="242"/>
      <c r="U60" s="242"/>
      <c r="V60" s="242"/>
      <c r="W60" s="242"/>
      <c r="X60" s="242"/>
      <c r="Y60" s="242"/>
    </row>
    <row r="61">
      <c r="A61" s="621"/>
      <c r="B61" s="622">
        <v>36.0</v>
      </c>
      <c r="C61" s="176"/>
      <c r="D61" s="625" t="s">
        <v>4209</v>
      </c>
      <c r="E61" s="626" t="s">
        <v>3984</v>
      </c>
      <c r="F61" s="669">
        <v>234.7</v>
      </c>
      <c r="G61" s="681">
        <v>0.133</v>
      </c>
      <c r="H61" s="681">
        <v>0.184</v>
      </c>
      <c r="I61" s="669">
        <v>596.0</v>
      </c>
      <c r="J61" s="640">
        <f t="shared" si="3"/>
        <v>3239.130435</v>
      </c>
      <c r="K61" s="640">
        <v>250.15</v>
      </c>
      <c r="L61" s="688">
        <v>848.0</v>
      </c>
      <c r="M61" s="688">
        <f t="shared" si="4"/>
        <v>1359.51087</v>
      </c>
      <c r="N61" s="689">
        <f t="shared" si="5"/>
        <v>3.38996602</v>
      </c>
      <c r="O61" s="690">
        <f t="shared" si="6"/>
        <v>0.4228187919</v>
      </c>
      <c r="P61" s="669"/>
      <c r="Q61" s="669"/>
      <c r="R61" s="13"/>
      <c r="S61" s="13"/>
      <c r="T61" s="242"/>
      <c r="U61" s="242"/>
      <c r="V61" s="242"/>
      <c r="W61" s="242"/>
      <c r="X61" s="242"/>
      <c r="Y61" s="242"/>
    </row>
    <row r="62">
      <c r="A62" s="120"/>
      <c r="B62" s="216">
        <v>37.0</v>
      </c>
      <c r="C62" s="176"/>
      <c r="D62" s="625" t="s">
        <v>4243</v>
      </c>
      <c r="E62" s="626" t="s">
        <v>3985</v>
      </c>
      <c r="F62" s="669">
        <v>264.36</v>
      </c>
      <c r="G62" s="681">
        <v>0.157</v>
      </c>
      <c r="H62" s="681">
        <v>0.208</v>
      </c>
      <c r="I62" s="669">
        <v>674.0</v>
      </c>
      <c r="J62" s="640">
        <f t="shared" si="3"/>
        <v>3240.384615</v>
      </c>
      <c r="K62" s="640">
        <v>281.83</v>
      </c>
      <c r="L62" s="688">
        <f t="shared" ref="L62:L65" si="14">IFERROR(K62*3.4,"")</f>
        <v>958.222</v>
      </c>
      <c r="M62" s="688">
        <f t="shared" si="4"/>
        <v>1354.951923</v>
      </c>
      <c r="N62" s="689">
        <f t="shared" si="5"/>
        <v>3.4</v>
      </c>
      <c r="O62" s="690">
        <f t="shared" si="6"/>
        <v>0.421694362</v>
      </c>
      <c r="P62" s="669"/>
      <c r="Q62" s="669"/>
      <c r="R62" s="13"/>
      <c r="S62" s="13"/>
      <c r="T62" s="242"/>
      <c r="U62" s="242"/>
      <c r="V62" s="242"/>
      <c r="W62" s="242"/>
      <c r="X62" s="242"/>
      <c r="Y62" s="242"/>
    </row>
    <row r="63">
      <c r="A63" s="120"/>
      <c r="B63" s="216">
        <v>38.0</v>
      </c>
      <c r="C63" s="176"/>
      <c r="D63" s="625" t="s">
        <v>4246</v>
      </c>
      <c r="E63" s="626" t="s">
        <v>3986</v>
      </c>
      <c r="F63" s="669">
        <v>371.54</v>
      </c>
      <c r="G63" s="681">
        <v>0.205</v>
      </c>
      <c r="H63" s="681">
        <v>0.289</v>
      </c>
      <c r="I63" s="669">
        <v>948.0</v>
      </c>
      <c r="J63" s="640">
        <f t="shared" si="3"/>
        <v>3280.276817</v>
      </c>
      <c r="K63" s="640">
        <v>395.82</v>
      </c>
      <c r="L63" s="688">
        <f t="shared" si="14"/>
        <v>1345.788</v>
      </c>
      <c r="M63" s="688">
        <f t="shared" si="4"/>
        <v>1369.619377</v>
      </c>
      <c r="N63" s="689">
        <f t="shared" si="5"/>
        <v>3.4</v>
      </c>
      <c r="O63" s="690">
        <f t="shared" si="6"/>
        <v>0.4196075949</v>
      </c>
      <c r="P63" s="669"/>
      <c r="Q63" s="669"/>
      <c r="R63" s="13"/>
      <c r="S63" s="13"/>
      <c r="T63" s="242"/>
      <c r="U63" s="242"/>
      <c r="V63" s="242"/>
      <c r="W63" s="242"/>
      <c r="X63" s="242"/>
      <c r="Y63" s="242"/>
    </row>
    <row r="64">
      <c r="A64" s="120"/>
      <c r="B64" s="216">
        <v>39.0</v>
      </c>
      <c r="C64" s="41"/>
      <c r="D64" s="625" t="s">
        <v>4217</v>
      </c>
      <c r="E64" s="626" t="s">
        <v>3987</v>
      </c>
      <c r="F64" s="669">
        <v>437.05</v>
      </c>
      <c r="G64" s="681">
        <v>0.258</v>
      </c>
      <c r="H64" s="681">
        <v>0.342</v>
      </c>
      <c r="I64" s="669">
        <v>1162.0</v>
      </c>
      <c r="J64" s="640">
        <f t="shared" si="3"/>
        <v>3397.660819</v>
      </c>
      <c r="K64" s="640">
        <v>465.78</v>
      </c>
      <c r="L64" s="688">
        <f t="shared" si="14"/>
        <v>1583.652</v>
      </c>
      <c r="M64" s="688">
        <f t="shared" si="4"/>
        <v>1361.929825</v>
      </c>
      <c r="N64" s="689">
        <f t="shared" si="5"/>
        <v>3.4</v>
      </c>
      <c r="O64" s="690">
        <f t="shared" si="6"/>
        <v>0.3628674699</v>
      </c>
      <c r="P64" s="669">
        <v>1049.0</v>
      </c>
      <c r="Q64" s="669">
        <v>1199.0</v>
      </c>
      <c r="R64" s="686">
        <f t="shared" ref="R64:R69" si="15">IFERROR(Q64-P64,"")/P64</f>
        <v>0.142993327</v>
      </c>
      <c r="S64" s="13"/>
      <c r="T64" s="242"/>
      <c r="U64" s="242"/>
      <c r="V64" s="242"/>
      <c r="W64" s="242"/>
      <c r="X64" s="242"/>
      <c r="Y64" s="242"/>
    </row>
    <row r="65">
      <c r="A65" s="120"/>
      <c r="B65" s="622">
        <v>40.0</v>
      </c>
      <c r="C65" s="694" t="s">
        <v>3621</v>
      </c>
      <c r="D65" s="625" t="s">
        <v>3598</v>
      </c>
      <c r="E65" s="626" t="s">
        <v>3988</v>
      </c>
      <c r="F65" s="669">
        <v>132.55</v>
      </c>
      <c r="G65" s="681">
        <v>0.104</v>
      </c>
      <c r="H65" s="681">
        <v>0.13</v>
      </c>
      <c r="I65" s="669">
        <v>386.0</v>
      </c>
      <c r="J65" s="640">
        <f t="shared" si="3"/>
        <v>2969.230769</v>
      </c>
      <c r="K65" s="640">
        <v>134.74</v>
      </c>
      <c r="L65" s="688">
        <f t="shared" si="14"/>
        <v>458.116</v>
      </c>
      <c r="M65" s="688">
        <f t="shared" si="4"/>
        <v>1036.461538</v>
      </c>
      <c r="N65" s="689">
        <f t="shared" si="5"/>
        <v>3.4</v>
      </c>
      <c r="O65" s="690">
        <f t="shared" si="6"/>
        <v>0.1868290155</v>
      </c>
      <c r="P65" s="669">
        <v>359.0</v>
      </c>
      <c r="Q65" s="669">
        <v>399.0</v>
      </c>
      <c r="R65" s="686">
        <f t="shared" si="15"/>
        <v>0.1114206128</v>
      </c>
      <c r="S65" s="13"/>
      <c r="T65" s="242"/>
      <c r="U65" s="242"/>
      <c r="V65" s="242"/>
      <c r="W65" s="242"/>
      <c r="X65" s="242"/>
      <c r="Y65" s="242"/>
    </row>
    <row r="66">
      <c r="A66" s="120"/>
      <c r="B66" s="622">
        <v>41.0</v>
      </c>
      <c r="C66" s="680" t="s">
        <v>4170</v>
      </c>
      <c r="D66" s="625" t="s">
        <v>4256</v>
      </c>
      <c r="E66" s="626" t="s">
        <v>3990</v>
      </c>
      <c r="F66" s="669">
        <v>131.92</v>
      </c>
      <c r="G66" s="681">
        <v>0.054</v>
      </c>
      <c r="H66" s="681">
        <v>0.1</v>
      </c>
      <c r="I66" s="669">
        <v>318.0</v>
      </c>
      <c r="J66" s="640">
        <f t="shared" si="3"/>
        <v>3180</v>
      </c>
      <c r="K66" s="640">
        <v>140.32</v>
      </c>
      <c r="L66" s="688">
        <v>476.0</v>
      </c>
      <c r="M66" s="688">
        <f t="shared" si="4"/>
        <v>1403.2</v>
      </c>
      <c r="N66" s="689">
        <f t="shared" si="5"/>
        <v>3.392246294</v>
      </c>
      <c r="O66" s="690">
        <f t="shared" si="6"/>
        <v>0.4968553459</v>
      </c>
      <c r="P66" s="669">
        <v>219.0</v>
      </c>
      <c r="Q66" s="669">
        <v>329.0</v>
      </c>
      <c r="R66" s="686">
        <f t="shared" si="15"/>
        <v>0.502283105</v>
      </c>
      <c r="S66" s="13"/>
      <c r="T66" s="242"/>
      <c r="U66" s="242"/>
      <c r="V66" s="242"/>
      <c r="W66" s="242"/>
      <c r="X66" s="242"/>
      <c r="Y66" s="242"/>
    </row>
    <row r="67">
      <c r="A67" s="120"/>
      <c r="B67" s="216">
        <v>42.0</v>
      </c>
      <c r="C67" s="176"/>
      <c r="D67" s="625">
        <v>20.0</v>
      </c>
      <c r="E67" s="626" t="s">
        <v>3992</v>
      </c>
      <c r="F67" s="669">
        <v>171.53</v>
      </c>
      <c r="G67" s="681">
        <v>0.078</v>
      </c>
      <c r="H67" s="681">
        <v>0.13</v>
      </c>
      <c r="I67" s="669">
        <v>426.0</v>
      </c>
      <c r="J67" s="640">
        <f t="shared" si="3"/>
        <v>3276.923077</v>
      </c>
      <c r="K67" s="640">
        <v>182.46</v>
      </c>
      <c r="L67" s="688">
        <v>618.0</v>
      </c>
      <c r="M67" s="688">
        <f t="shared" si="4"/>
        <v>1403.538462</v>
      </c>
      <c r="N67" s="689">
        <f t="shared" si="5"/>
        <v>3.387043736</v>
      </c>
      <c r="O67" s="690">
        <f t="shared" si="6"/>
        <v>0.4507042254</v>
      </c>
      <c r="P67" s="669">
        <v>379.0</v>
      </c>
      <c r="Q67" s="669">
        <v>439.0</v>
      </c>
      <c r="R67" s="686">
        <f t="shared" si="15"/>
        <v>0.1583113456</v>
      </c>
      <c r="S67" s="13"/>
      <c r="T67" s="242"/>
      <c r="U67" s="242"/>
      <c r="V67" s="242"/>
      <c r="W67" s="242"/>
      <c r="X67" s="242"/>
      <c r="Y67" s="242"/>
    </row>
    <row r="68">
      <c r="A68" s="120"/>
      <c r="B68" s="216">
        <v>43.0</v>
      </c>
      <c r="C68" s="176"/>
      <c r="D68" s="625">
        <v>25.0</v>
      </c>
      <c r="E68" s="626" t="s">
        <v>3993</v>
      </c>
      <c r="F68" s="669">
        <v>304.31</v>
      </c>
      <c r="G68" s="681">
        <v>0.133</v>
      </c>
      <c r="H68" s="681">
        <v>0.235</v>
      </c>
      <c r="I68" s="669">
        <v>688.0</v>
      </c>
      <c r="J68" s="640">
        <f t="shared" si="3"/>
        <v>2927.659574</v>
      </c>
      <c r="K68" s="640">
        <v>324.04</v>
      </c>
      <c r="L68" s="688">
        <v>1096.0</v>
      </c>
      <c r="M68" s="688">
        <f t="shared" si="4"/>
        <v>1378.893617</v>
      </c>
      <c r="N68" s="689">
        <f t="shared" si="5"/>
        <v>3.382298482</v>
      </c>
      <c r="O68" s="690">
        <f t="shared" si="6"/>
        <v>0.5930232558</v>
      </c>
      <c r="P68" s="669">
        <v>619.0</v>
      </c>
      <c r="Q68" s="669">
        <v>709.0</v>
      </c>
      <c r="R68" s="686">
        <f t="shared" si="15"/>
        <v>0.1453957997</v>
      </c>
      <c r="S68" s="13"/>
      <c r="T68" s="242"/>
      <c r="U68" s="242"/>
      <c r="V68" s="242"/>
      <c r="W68" s="242"/>
      <c r="X68" s="242"/>
      <c r="Y68" s="242"/>
    </row>
    <row r="69">
      <c r="A69" s="120"/>
      <c r="B69" s="216">
        <v>44.0</v>
      </c>
      <c r="C69" s="176"/>
      <c r="D69" s="625">
        <v>32.0</v>
      </c>
      <c r="E69" s="626" t="s">
        <v>3994</v>
      </c>
      <c r="F69" s="669">
        <v>516.19</v>
      </c>
      <c r="G69" s="681">
        <v>0.227</v>
      </c>
      <c r="H69" s="681">
        <v>0.395</v>
      </c>
      <c r="I69" s="669">
        <v>969.0</v>
      </c>
      <c r="J69" s="640">
        <f t="shared" si="3"/>
        <v>2453.164557</v>
      </c>
      <c r="K69" s="640">
        <v>549.38</v>
      </c>
      <c r="L69" s="688">
        <f>IFERROR(K69*3.4,"")</f>
        <v>1867.892</v>
      </c>
      <c r="M69" s="688">
        <f t="shared" si="4"/>
        <v>1390.835443</v>
      </c>
      <c r="N69" s="689">
        <f t="shared" si="5"/>
        <v>3.4</v>
      </c>
      <c r="O69" s="690">
        <f t="shared" si="6"/>
        <v>0.9276491228</v>
      </c>
      <c r="P69" s="669">
        <v>879.0</v>
      </c>
      <c r="Q69" s="669">
        <v>999.0</v>
      </c>
      <c r="R69" s="686">
        <f t="shared" si="15"/>
        <v>0.1365187713</v>
      </c>
      <c r="S69" s="13"/>
      <c r="T69" s="242"/>
      <c r="U69" s="242"/>
      <c r="V69" s="242"/>
      <c r="W69" s="242"/>
      <c r="X69" s="242"/>
      <c r="Y69" s="242"/>
    </row>
    <row r="70">
      <c r="A70" s="120"/>
      <c r="B70" s="622">
        <v>45.0</v>
      </c>
      <c r="C70" s="176"/>
      <c r="D70" s="625" t="s">
        <v>3549</v>
      </c>
      <c r="E70" s="626" t="s">
        <v>3995</v>
      </c>
      <c r="F70" s="669"/>
      <c r="G70" s="681"/>
      <c r="H70" s="681"/>
      <c r="I70" s="669">
        <v>1744.0</v>
      </c>
      <c r="J70" s="640" t="str">
        <f t="shared" si="3"/>
        <v/>
      </c>
      <c r="K70" s="640"/>
      <c r="L70" s="688">
        <v>3440.0</v>
      </c>
      <c r="M70" s="688" t="str">
        <f t="shared" si="4"/>
        <v/>
      </c>
      <c r="N70" s="689" t="str">
        <f t="shared" si="5"/>
        <v/>
      </c>
      <c r="O70" s="690">
        <f t="shared" si="6"/>
        <v>0.9724770642</v>
      </c>
      <c r="P70" s="669"/>
      <c r="Q70" s="669">
        <v>1799.0</v>
      </c>
      <c r="R70" s="686"/>
      <c r="S70" s="13"/>
      <c r="T70" s="242"/>
      <c r="U70" s="242"/>
      <c r="V70" s="242"/>
      <c r="W70" s="242"/>
      <c r="X70" s="242"/>
      <c r="Y70" s="242"/>
    </row>
    <row r="71">
      <c r="A71" s="120"/>
      <c r="B71" s="622">
        <v>46.0</v>
      </c>
      <c r="C71" s="41"/>
      <c r="D71" s="625" t="s">
        <v>3552</v>
      </c>
      <c r="E71" s="626" t="s">
        <v>3996</v>
      </c>
      <c r="F71" s="669"/>
      <c r="G71" s="681"/>
      <c r="H71" s="681"/>
      <c r="I71" s="669">
        <v>3878.0</v>
      </c>
      <c r="J71" s="640" t="str">
        <f t="shared" si="3"/>
        <v/>
      </c>
      <c r="K71" s="640"/>
      <c r="L71" s="688">
        <v>6460.0</v>
      </c>
      <c r="M71" s="688" t="str">
        <f t="shared" si="4"/>
        <v/>
      </c>
      <c r="N71" s="689" t="str">
        <f t="shared" si="5"/>
        <v/>
      </c>
      <c r="O71" s="690">
        <f t="shared" si="6"/>
        <v>0.6658071171</v>
      </c>
      <c r="P71" s="669"/>
      <c r="Q71" s="669">
        <v>3999.0</v>
      </c>
      <c r="R71" s="686"/>
      <c r="S71" s="13"/>
      <c r="T71" s="242"/>
      <c r="U71" s="242"/>
      <c r="V71" s="242"/>
      <c r="W71" s="242"/>
      <c r="X71" s="242"/>
      <c r="Y71" s="242"/>
    </row>
    <row r="72">
      <c r="A72" s="120"/>
      <c r="B72" s="216">
        <v>47.0</v>
      </c>
      <c r="C72" s="680" t="s">
        <v>4260</v>
      </c>
      <c r="D72" s="625" t="s">
        <v>4192</v>
      </c>
      <c r="E72" s="626" t="s">
        <v>3981</v>
      </c>
      <c r="F72" s="669">
        <v>149.25</v>
      </c>
      <c r="G72" s="681">
        <v>0.064</v>
      </c>
      <c r="H72" s="681">
        <v>0.113</v>
      </c>
      <c r="I72" s="669">
        <v>512.0</v>
      </c>
      <c r="J72" s="640">
        <f t="shared" si="3"/>
        <v>4530.973451</v>
      </c>
      <c r="K72" s="640">
        <v>158.75</v>
      </c>
      <c r="L72" s="688">
        <f t="shared" ref="L72:L73" si="16">IFERROR(K72*3.4,"")</f>
        <v>539.75</v>
      </c>
      <c r="M72" s="688">
        <f t="shared" si="4"/>
        <v>1404.867257</v>
      </c>
      <c r="N72" s="689">
        <f t="shared" si="5"/>
        <v>3.4</v>
      </c>
      <c r="O72" s="690">
        <f t="shared" si="6"/>
        <v>0.05419921875</v>
      </c>
      <c r="P72" s="669"/>
      <c r="Q72" s="669">
        <v>529.0</v>
      </c>
      <c r="R72" s="13"/>
      <c r="S72" s="13"/>
      <c r="T72" s="242"/>
      <c r="U72" s="242"/>
      <c r="V72" s="242"/>
      <c r="W72" s="242"/>
      <c r="X72" s="242"/>
      <c r="Y72" s="242"/>
    </row>
    <row r="73">
      <c r="A73" s="120"/>
      <c r="B73" s="216">
        <v>48.0</v>
      </c>
      <c r="C73" s="176"/>
      <c r="D73" s="625" t="s">
        <v>155</v>
      </c>
      <c r="E73" s="626" t="s">
        <v>3983</v>
      </c>
      <c r="F73" s="669">
        <v>239.77</v>
      </c>
      <c r="G73" s="681">
        <v>0.107</v>
      </c>
      <c r="H73" s="681">
        <v>0.184</v>
      </c>
      <c r="I73" s="669">
        <v>532.0</v>
      </c>
      <c r="J73" s="640">
        <f t="shared" si="3"/>
        <v>2891.304348</v>
      </c>
      <c r="K73" s="640">
        <v>255.23</v>
      </c>
      <c r="L73" s="688">
        <f t="shared" si="16"/>
        <v>867.782</v>
      </c>
      <c r="M73" s="688">
        <f t="shared" si="4"/>
        <v>1387.119565</v>
      </c>
      <c r="N73" s="689">
        <f t="shared" si="5"/>
        <v>3.4</v>
      </c>
      <c r="O73" s="690">
        <f t="shared" si="6"/>
        <v>0.6311691729</v>
      </c>
      <c r="P73" s="669"/>
      <c r="Q73" s="669">
        <v>549.0</v>
      </c>
      <c r="R73" s="13"/>
      <c r="S73" s="13"/>
      <c r="T73" s="242"/>
      <c r="U73" s="242"/>
      <c r="V73" s="242"/>
      <c r="W73" s="242"/>
      <c r="X73" s="242"/>
      <c r="Y73" s="242"/>
    </row>
    <row r="74">
      <c r="A74" s="120"/>
      <c r="B74" s="216">
        <v>49.0</v>
      </c>
      <c r="C74" s="176"/>
      <c r="D74" s="625" t="s">
        <v>304</v>
      </c>
      <c r="E74" s="626" t="s">
        <v>3984</v>
      </c>
      <c r="F74" s="669">
        <v>360.55</v>
      </c>
      <c r="G74" s="681">
        <v>0.166</v>
      </c>
      <c r="H74" s="681">
        <v>0.276</v>
      </c>
      <c r="I74" s="669">
        <v>924.0</v>
      </c>
      <c r="J74" s="640">
        <f t="shared" si="3"/>
        <v>3347.826087</v>
      </c>
      <c r="K74" s="640">
        <v>383.74</v>
      </c>
      <c r="L74" s="688">
        <v>1296.0</v>
      </c>
      <c r="M74" s="688">
        <f t="shared" si="4"/>
        <v>1390.362319</v>
      </c>
      <c r="N74" s="689">
        <f t="shared" si="5"/>
        <v>3.377286705</v>
      </c>
      <c r="O74" s="690">
        <f t="shared" si="6"/>
        <v>0.4025974026</v>
      </c>
      <c r="P74" s="669"/>
      <c r="Q74" s="669"/>
      <c r="R74" s="13"/>
      <c r="S74" s="13"/>
      <c r="T74" s="242"/>
      <c r="U74" s="242"/>
      <c r="V74" s="242"/>
      <c r="W74" s="242"/>
      <c r="X74" s="242"/>
      <c r="Y74" s="242"/>
    </row>
    <row r="75">
      <c r="A75" s="120"/>
      <c r="B75" s="622">
        <v>50.0</v>
      </c>
      <c r="C75" s="41"/>
      <c r="D75" s="625" t="s">
        <v>307</v>
      </c>
      <c r="E75" s="626" t="s">
        <v>3985</v>
      </c>
      <c r="F75" s="669">
        <v>446.09</v>
      </c>
      <c r="G75" s="681">
        <v>0.209</v>
      </c>
      <c r="H75" s="681">
        <v>0.344</v>
      </c>
      <c r="I75" s="669">
        <v>1146.0</v>
      </c>
      <c r="J75" s="640">
        <f t="shared" si="3"/>
        <v>3331.395349</v>
      </c>
      <c r="K75" s="640">
        <v>474.99</v>
      </c>
      <c r="L75" s="688">
        <v>1596.0</v>
      </c>
      <c r="M75" s="688">
        <f t="shared" si="4"/>
        <v>1380.784884</v>
      </c>
      <c r="N75" s="689">
        <f t="shared" si="5"/>
        <v>3.360070738</v>
      </c>
      <c r="O75" s="690">
        <f t="shared" si="6"/>
        <v>0.3926701571</v>
      </c>
      <c r="P75" s="669"/>
      <c r="Q75" s="669"/>
      <c r="R75" s="13"/>
      <c r="S75" s="13"/>
      <c r="T75" s="242"/>
      <c r="U75" s="242"/>
      <c r="V75" s="242"/>
      <c r="W75" s="242"/>
      <c r="X75" s="242"/>
      <c r="Y75" s="242"/>
    </row>
    <row r="76">
      <c r="A76" s="120"/>
      <c r="B76" s="622">
        <v>51.0</v>
      </c>
      <c r="C76" s="680" t="s">
        <v>4164</v>
      </c>
      <c r="D76" s="625" t="s">
        <v>4256</v>
      </c>
      <c r="E76" s="626" t="s">
        <v>3997</v>
      </c>
      <c r="F76" s="669">
        <v>133.97</v>
      </c>
      <c r="G76" s="681">
        <v>0.058</v>
      </c>
      <c r="H76" s="681">
        <v>0.104</v>
      </c>
      <c r="I76" s="669">
        <v>249.0</v>
      </c>
      <c r="J76" s="640">
        <f t="shared" si="3"/>
        <v>2394.230769</v>
      </c>
      <c r="K76" s="640">
        <v>142.7</v>
      </c>
      <c r="L76" s="688">
        <v>484.0</v>
      </c>
      <c r="M76" s="688">
        <f t="shared" si="4"/>
        <v>1372.115385</v>
      </c>
      <c r="N76" s="689">
        <f t="shared" si="5"/>
        <v>3.391730904</v>
      </c>
      <c r="O76" s="690">
        <f t="shared" si="6"/>
        <v>0.9437751004</v>
      </c>
      <c r="P76" s="669"/>
      <c r="Q76" s="669">
        <v>259.0</v>
      </c>
      <c r="R76" s="13"/>
      <c r="S76" s="13"/>
      <c r="T76" s="242"/>
      <c r="U76" s="242"/>
      <c r="V76" s="242"/>
      <c r="W76" s="242"/>
      <c r="X76" s="242"/>
      <c r="Y76" s="242"/>
    </row>
    <row r="77">
      <c r="A77" s="120"/>
      <c r="B77" s="216">
        <v>52.0</v>
      </c>
      <c r="C77" s="176"/>
      <c r="D77" s="625" t="s">
        <v>341</v>
      </c>
      <c r="E77" s="626" t="s">
        <v>3999</v>
      </c>
      <c r="F77" s="669">
        <v>167.63</v>
      </c>
      <c r="G77" s="681">
        <v>0.78</v>
      </c>
      <c r="H77" s="681">
        <v>0.13</v>
      </c>
      <c r="I77" s="669">
        <v>386.0</v>
      </c>
      <c r="J77" s="640">
        <f t="shared" si="3"/>
        <v>2969.230769</v>
      </c>
      <c r="K77" s="640">
        <v>178.56</v>
      </c>
      <c r="L77" s="688">
        <v>596.0</v>
      </c>
      <c r="M77" s="688">
        <f t="shared" si="4"/>
        <v>1373.538462</v>
      </c>
      <c r="N77" s="689">
        <f t="shared" si="5"/>
        <v>3.33781362</v>
      </c>
      <c r="O77" s="690">
        <f t="shared" si="6"/>
        <v>0.5440414508</v>
      </c>
      <c r="P77" s="669"/>
      <c r="Q77" s="669">
        <v>399.0</v>
      </c>
      <c r="R77" s="13"/>
      <c r="S77" s="13"/>
      <c r="T77" s="242"/>
      <c r="U77" s="242"/>
      <c r="V77" s="242"/>
      <c r="W77" s="242"/>
      <c r="X77" s="242"/>
      <c r="Y77" s="242"/>
    </row>
    <row r="78">
      <c r="A78" s="120"/>
      <c r="B78" s="216">
        <v>53.0</v>
      </c>
      <c r="C78" s="176"/>
      <c r="D78" s="625" t="s">
        <v>346</v>
      </c>
      <c r="E78" s="626" t="s">
        <v>4000</v>
      </c>
      <c r="F78" s="669">
        <v>309.52</v>
      </c>
      <c r="G78" s="681">
        <v>0.143</v>
      </c>
      <c r="H78" s="681">
        <v>0.245</v>
      </c>
      <c r="I78" s="669">
        <v>579.0</v>
      </c>
      <c r="J78" s="640">
        <f t="shared" si="3"/>
        <v>2363.265306</v>
      </c>
      <c r="K78" s="640">
        <v>330.09</v>
      </c>
      <c r="L78" s="688">
        <f>IFERROR(K78*3.4,"")</f>
        <v>1122.306</v>
      </c>
      <c r="M78" s="688">
        <f t="shared" si="4"/>
        <v>1347.306122</v>
      </c>
      <c r="N78" s="689">
        <f t="shared" si="5"/>
        <v>3.4</v>
      </c>
      <c r="O78" s="690">
        <f t="shared" si="6"/>
        <v>0.9383523316</v>
      </c>
      <c r="P78" s="669"/>
      <c r="Q78" s="669">
        <v>599.0</v>
      </c>
      <c r="R78" s="13"/>
      <c r="S78" s="13"/>
      <c r="T78" s="242"/>
      <c r="U78" s="242"/>
      <c r="V78" s="242"/>
      <c r="W78" s="242"/>
      <c r="X78" s="242"/>
      <c r="Y78" s="242"/>
    </row>
    <row r="79">
      <c r="A79" s="120"/>
      <c r="B79" s="216">
        <v>54.0</v>
      </c>
      <c r="C79" s="176"/>
      <c r="D79" s="625" t="s">
        <v>356</v>
      </c>
      <c r="E79" s="626" t="s">
        <v>4001</v>
      </c>
      <c r="F79" s="669">
        <v>423.01</v>
      </c>
      <c r="G79" s="681">
        <v>0.158</v>
      </c>
      <c r="H79" s="681">
        <v>0.326</v>
      </c>
      <c r="I79" s="669">
        <v>479.0</v>
      </c>
      <c r="J79" s="640">
        <f t="shared" si="3"/>
        <v>1469.325153</v>
      </c>
      <c r="K79" s="640">
        <v>450.4</v>
      </c>
      <c r="L79" s="688">
        <v>1528.0</v>
      </c>
      <c r="M79" s="688">
        <f t="shared" si="4"/>
        <v>1381.595092</v>
      </c>
      <c r="N79" s="689">
        <f t="shared" si="5"/>
        <v>3.392539964</v>
      </c>
      <c r="O79" s="690">
        <f t="shared" si="6"/>
        <v>2.189979123</v>
      </c>
      <c r="P79" s="669"/>
      <c r="Q79" s="669">
        <v>494.0</v>
      </c>
      <c r="R79" s="13"/>
      <c r="S79" s="13"/>
      <c r="T79" s="242"/>
      <c r="U79" s="242"/>
      <c r="V79" s="242"/>
      <c r="W79" s="242"/>
      <c r="X79" s="242"/>
      <c r="Y79" s="242"/>
    </row>
    <row r="80">
      <c r="A80" s="120"/>
      <c r="B80" s="622">
        <v>55.0</v>
      </c>
      <c r="C80" s="176"/>
      <c r="D80" s="625" t="s">
        <v>3549</v>
      </c>
      <c r="E80" s="626" t="s">
        <v>4002</v>
      </c>
      <c r="F80" s="669"/>
      <c r="G80" s="681"/>
      <c r="H80" s="681"/>
      <c r="I80" s="669">
        <v>1549.0</v>
      </c>
      <c r="J80" s="640" t="str">
        <f t="shared" si="3"/>
        <v/>
      </c>
      <c r="K80" s="640"/>
      <c r="L80" s="688">
        <v>2640.0</v>
      </c>
      <c r="M80" s="688" t="str">
        <f t="shared" si="4"/>
        <v/>
      </c>
      <c r="N80" s="689" t="str">
        <f t="shared" si="5"/>
        <v/>
      </c>
      <c r="O80" s="690">
        <f t="shared" si="6"/>
        <v>0.7043253712</v>
      </c>
      <c r="P80" s="669"/>
      <c r="Q80" s="669">
        <v>1599.0</v>
      </c>
      <c r="R80" s="13"/>
      <c r="S80" s="13"/>
      <c r="T80" s="242"/>
      <c r="U80" s="242"/>
      <c r="V80" s="242"/>
      <c r="W80" s="242"/>
      <c r="X80" s="242"/>
      <c r="Y80" s="242"/>
    </row>
    <row r="81">
      <c r="A81" s="120"/>
      <c r="B81" s="622">
        <v>56.0</v>
      </c>
      <c r="C81" s="41"/>
      <c r="D81" s="625" t="s">
        <v>3552</v>
      </c>
      <c r="E81" s="626" t="s">
        <v>4003</v>
      </c>
      <c r="F81" s="669"/>
      <c r="G81" s="681"/>
      <c r="H81" s="681"/>
      <c r="I81" s="669">
        <v>3199.0</v>
      </c>
      <c r="J81" s="640" t="str">
        <f t="shared" si="3"/>
        <v/>
      </c>
      <c r="K81" s="640"/>
      <c r="L81" s="688">
        <v>4440.0</v>
      </c>
      <c r="M81" s="688" t="str">
        <f t="shared" si="4"/>
        <v/>
      </c>
      <c r="N81" s="689" t="str">
        <f t="shared" si="5"/>
        <v/>
      </c>
      <c r="O81" s="690">
        <f t="shared" si="6"/>
        <v>0.3879337293</v>
      </c>
      <c r="P81" s="669"/>
      <c r="Q81" s="669">
        <v>3299.0</v>
      </c>
      <c r="R81" s="13"/>
      <c r="S81" s="13"/>
      <c r="T81" s="242"/>
      <c r="U81" s="242"/>
      <c r="V81" s="242"/>
      <c r="W81" s="242"/>
      <c r="X81" s="242"/>
      <c r="Y81" s="242"/>
    </row>
    <row r="82">
      <c r="A82" s="120"/>
      <c r="B82" s="216">
        <v>57.0</v>
      </c>
      <c r="C82" s="680" t="s">
        <v>3691</v>
      </c>
      <c r="D82" s="625" t="s">
        <v>4256</v>
      </c>
      <c r="E82" s="626" t="s">
        <v>4004</v>
      </c>
      <c r="F82" s="640">
        <v>191.36</v>
      </c>
      <c r="G82" s="695">
        <v>0.076</v>
      </c>
      <c r="H82" s="695">
        <v>0.145</v>
      </c>
      <c r="I82" s="640">
        <v>406.0</v>
      </c>
      <c r="J82" s="640">
        <f t="shared" si="3"/>
        <v>2800</v>
      </c>
      <c r="K82" s="640">
        <v>203.53</v>
      </c>
      <c r="L82" s="688">
        <v>692.0</v>
      </c>
      <c r="M82" s="688">
        <f t="shared" si="4"/>
        <v>1403.655172</v>
      </c>
      <c r="N82" s="689">
        <f t="shared" si="5"/>
        <v>3.399990173</v>
      </c>
      <c r="O82" s="690">
        <f t="shared" si="6"/>
        <v>0.7044334975</v>
      </c>
      <c r="P82" s="669">
        <v>299.0</v>
      </c>
      <c r="Q82" s="669">
        <v>419.0</v>
      </c>
      <c r="R82" s="686">
        <f t="shared" ref="R82:R85" si="17">IFERROR(Q82-P82,"")/P82</f>
        <v>0.4013377926</v>
      </c>
      <c r="S82" s="13"/>
      <c r="T82" s="242"/>
      <c r="U82" s="242"/>
      <c r="V82" s="242"/>
      <c r="W82" s="242"/>
      <c r="X82" s="242"/>
      <c r="Y82" s="242"/>
    </row>
    <row r="83">
      <c r="A83" s="120"/>
      <c r="B83" s="216">
        <v>58.0</v>
      </c>
      <c r="C83" s="176"/>
      <c r="D83" s="625" t="s">
        <v>341</v>
      </c>
      <c r="E83" s="626" t="s">
        <v>4006</v>
      </c>
      <c r="F83" s="640">
        <v>245.82</v>
      </c>
      <c r="G83" s="695">
        <v>0.108</v>
      </c>
      <c r="H83" s="695">
        <v>0.186</v>
      </c>
      <c r="I83" s="640">
        <v>610.0</v>
      </c>
      <c r="J83" s="640">
        <f t="shared" si="3"/>
        <v>3279.569892</v>
      </c>
      <c r="K83" s="640">
        <v>261.46</v>
      </c>
      <c r="L83" s="688">
        <v>888.0</v>
      </c>
      <c r="M83" s="688">
        <f t="shared" si="4"/>
        <v>1405.698925</v>
      </c>
      <c r="N83" s="689">
        <f t="shared" si="5"/>
        <v>3.396313012</v>
      </c>
      <c r="O83" s="690">
        <f t="shared" si="6"/>
        <v>0.4557377049</v>
      </c>
      <c r="P83" s="669">
        <v>549.0</v>
      </c>
      <c r="Q83" s="669">
        <v>629.0</v>
      </c>
      <c r="R83" s="686">
        <f t="shared" si="17"/>
        <v>0.14571949</v>
      </c>
      <c r="S83" s="13"/>
      <c r="T83" s="242"/>
      <c r="U83" s="242"/>
      <c r="V83" s="242"/>
      <c r="W83" s="242"/>
      <c r="X83" s="242"/>
      <c r="Y83" s="242"/>
    </row>
    <row r="84">
      <c r="A84" s="120"/>
      <c r="B84" s="216">
        <v>59.0</v>
      </c>
      <c r="C84" s="176"/>
      <c r="D84" s="625" t="s">
        <v>346</v>
      </c>
      <c r="E84" s="626" t="s">
        <v>4007</v>
      </c>
      <c r="F84" s="640">
        <v>438.19</v>
      </c>
      <c r="G84" s="695">
        <v>0.185</v>
      </c>
      <c r="H84" s="695">
        <v>0.338</v>
      </c>
      <c r="I84" s="640">
        <v>959.0</v>
      </c>
      <c r="J84" s="640">
        <f t="shared" si="3"/>
        <v>2837.278107</v>
      </c>
      <c r="K84" s="640">
        <v>466.57</v>
      </c>
      <c r="L84" s="688">
        <f>IFERROR(K84*3.4,"")</f>
        <v>1586.338</v>
      </c>
      <c r="M84" s="688">
        <f t="shared" si="4"/>
        <v>1380.384615</v>
      </c>
      <c r="N84" s="689">
        <f t="shared" si="5"/>
        <v>3.4</v>
      </c>
      <c r="O84" s="690">
        <f t="shared" si="6"/>
        <v>0.6541584984</v>
      </c>
      <c r="P84" s="669">
        <v>859.0</v>
      </c>
      <c r="Q84" s="669">
        <v>989.0</v>
      </c>
      <c r="R84" s="686">
        <f t="shared" si="17"/>
        <v>0.151338766</v>
      </c>
      <c r="S84" s="13"/>
      <c r="T84" s="242"/>
      <c r="U84" s="242"/>
      <c r="V84" s="242"/>
      <c r="W84" s="242"/>
      <c r="X84" s="242"/>
      <c r="Y84" s="242"/>
    </row>
    <row r="85">
      <c r="A85" s="120"/>
      <c r="B85" s="622">
        <v>60.0</v>
      </c>
      <c r="C85" s="176"/>
      <c r="D85" s="625" t="s">
        <v>356</v>
      </c>
      <c r="E85" s="626" t="s">
        <v>4008</v>
      </c>
      <c r="F85" s="640">
        <v>723.88</v>
      </c>
      <c r="G85" s="695">
        <v>0.3</v>
      </c>
      <c r="H85" s="695">
        <v>0.552</v>
      </c>
      <c r="I85" s="640">
        <v>1549.0</v>
      </c>
      <c r="J85" s="640">
        <f t="shared" si="3"/>
        <v>2806.15942</v>
      </c>
      <c r="K85" s="640">
        <v>770.26</v>
      </c>
      <c r="L85" s="688">
        <v>2596.0</v>
      </c>
      <c r="M85" s="688">
        <f t="shared" si="4"/>
        <v>1395.398551</v>
      </c>
      <c r="N85" s="689">
        <f t="shared" si="5"/>
        <v>3.370290551</v>
      </c>
      <c r="O85" s="690">
        <f t="shared" si="6"/>
        <v>0.6759199484</v>
      </c>
      <c r="P85" s="640">
        <v>1399.0</v>
      </c>
      <c r="Q85" s="640">
        <v>1599.0</v>
      </c>
      <c r="R85" s="686">
        <f t="shared" si="17"/>
        <v>0.1429592566</v>
      </c>
      <c r="S85" s="13"/>
      <c r="T85" s="242"/>
      <c r="U85" s="242"/>
      <c r="V85" s="242"/>
      <c r="W85" s="242"/>
      <c r="X85" s="242"/>
      <c r="Y85" s="242"/>
    </row>
    <row r="86">
      <c r="A86" s="120"/>
      <c r="B86" s="622">
        <v>61.0</v>
      </c>
      <c r="C86" s="176"/>
      <c r="D86" s="625" t="s">
        <v>3549</v>
      </c>
      <c r="E86" s="626" t="s">
        <v>4009</v>
      </c>
      <c r="F86" s="640"/>
      <c r="G86" s="695"/>
      <c r="H86" s="695"/>
      <c r="I86" s="640">
        <v>2424.0</v>
      </c>
      <c r="J86" s="640" t="str">
        <f t="shared" si="3"/>
        <v/>
      </c>
      <c r="K86" s="640"/>
      <c r="L86" s="688">
        <v>4460.0</v>
      </c>
      <c r="M86" s="688" t="str">
        <f t="shared" si="4"/>
        <v/>
      </c>
      <c r="N86" s="689" t="str">
        <f t="shared" si="5"/>
        <v/>
      </c>
      <c r="O86" s="690">
        <f t="shared" si="6"/>
        <v>0.8399339934</v>
      </c>
      <c r="P86" s="640"/>
      <c r="Q86" s="640">
        <v>2499.0</v>
      </c>
      <c r="R86" s="686"/>
      <c r="S86" s="13"/>
      <c r="T86" s="242"/>
      <c r="U86" s="242"/>
      <c r="V86" s="242"/>
      <c r="W86" s="242"/>
      <c r="X86" s="242"/>
      <c r="Y86" s="242"/>
    </row>
    <row r="87">
      <c r="A87" s="120"/>
      <c r="B87" s="216">
        <v>62.0</v>
      </c>
      <c r="C87" s="41"/>
      <c r="D87" s="625" t="s">
        <v>3552</v>
      </c>
      <c r="E87" s="626" t="s">
        <v>4009</v>
      </c>
      <c r="F87" s="640"/>
      <c r="G87" s="695"/>
      <c r="H87" s="695"/>
      <c r="I87" s="640">
        <v>5624.0</v>
      </c>
      <c r="J87" s="640" t="str">
        <f t="shared" si="3"/>
        <v/>
      </c>
      <c r="K87" s="640"/>
      <c r="L87" s="688">
        <v>7860.0</v>
      </c>
      <c r="M87" s="688" t="str">
        <f t="shared" si="4"/>
        <v/>
      </c>
      <c r="N87" s="689" t="str">
        <f t="shared" si="5"/>
        <v/>
      </c>
      <c r="O87" s="690">
        <f t="shared" si="6"/>
        <v>0.3975817923</v>
      </c>
      <c r="P87" s="640"/>
      <c r="Q87" s="640">
        <v>5799.0</v>
      </c>
      <c r="R87" s="686"/>
      <c r="S87" s="13"/>
      <c r="T87" s="242"/>
      <c r="U87" s="242"/>
      <c r="V87" s="242"/>
      <c r="W87" s="242"/>
      <c r="X87" s="242"/>
      <c r="Y87" s="242"/>
    </row>
    <row r="88">
      <c r="A88" s="120"/>
      <c r="B88" s="216">
        <v>63.0</v>
      </c>
      <c r="C88" s="696" t="s">
        <v>4274</v>
      </c>
      <c r="D88" s="625" t="s">
        <v>4276</v>
      </c>
      <c r="E88" s="626" t="s">
        <v>4010</v>
      </c>
      <c r="F88" s="640">
        <v>280.69</v>
      </c>
      <c r="G88" s="695">
        <v>0.207</v>
      </c>
      <c r="H88" s="695">
        <v>0.207</v>
      </c>
      <c r="I88" s="640">
        <f>F88*4.2</f>
        <v>1178.898</v>
      </c>
      <c r="J88" s="640">
        <f t="shared" si="3"/>
        <v>5695.15942</v>
      </c>
      <c r="K88" s="640">
        <v>298.08</v>
      </c>
      <c r="L88" s="688">
        <v>996.0</v>
      </c>
      <c r="M88" s="688">
        <f t="shared" si="4"/>
        <v>1440</v>
      </c>
      <c r="N88" s="689">
        <f t="shared" si="5"/>
        <v>3.341384863</v>
      </c>
      <c r="O88" s="690">
        <f t="shared" si="6"/>
        <v>-0.155143193</v>
      </c>
      <c r="P88" s="582"/>
      <c r="Q88" s="514"/>
      <c r="R88" s="13"/>
      <c r="S88" s="13"/>
      <c r="T88" s="242"/>
      <c r="U88" s="242"/>
      <c r="V88" s="242"/>
      <c r="W88" s="242"/>
      <c r="X88" s="242"/>
      <c r="Y88" s="242"/>
    </row>
    <row r="89">
      <c r="A89" s="120"/>
      <c r="B89" s="216">
        <v>64.0</v>
      </c>
      <c r="C89" s="696" t="s">
        <v>4279</v>
      </c>
      <c r="D89" s="625" t="s">
        <v>4276</v>
      </c>
      <c r="E89" s="626" t="s">
        <v>4012</v>
      </c>
      <c r="F89" s="640">
        <v>400.02</v>
      </c>
      <c r="G89" s="695">
        <v>0.295</v>
      </c>
      <c r="H89" s="695">
        <v>0.295</v>
      </c>
      <c r="I89" s="640">
        <v>1679.9</v>
      </c>
      <c r="J89" s="640">
        <f t="shared" si="3"/>
        <v>5694.576271</v>
      </c>
      <c r="K89" s="640">
        <v>424.8</v>
      </c>
      <c r="L89" s="688">
        <f>IFERROR(K89*3.4,"")</f>
        <v>1444.32</v>
      </c>
      <c r="M89" s="688">
        <f t="shared" si="4"/>
        <v>1440</v>
      </c>
      <c r="N89" s="689">
        <f t="shared" si="5"/>
        <v>3.4</v>
      </c>
      <c r="O89" s="690">
        <f t="shared" si="6"/>
        <v>-0.1402345378</v>
      </c>
      <c r="P89" s="582"/>
      <c r="Q89" s="514"/>
      <c r="R89" s="13"/>
      <c r="S89" s="13"/>
      <c r="T89" s="242"/>
      <c r="U89" s="242"/>
      <c r="V89" s="242"/>
      <c r="W89" s="242"/>
      <c r="X89" s="242"/>
      <c r="Y89" s="242"/>
    </row>
    <row r="90">
      <c r="A90" s="242"/>
      <c r="B90" s="242"/>
      <c r="C90" s="242"/>
      <c r="D90" s="242"/>
      <c r="E90" s="242"/>
      <c r="F90" s="242"/>
      <c r="G90" s="671"/>
      <c r="H90" s="671"/>
      <c r="I90" s="242"/>
      <c r="J90" s="242"/>
      <c r="K90" s="242"/>
      <c r="L90" s="389"/>
      <c r="M90" s="389"/>
      <c r="N90" s="242"/>
      <c r="O90" s="242"/>
      <c r="P90" s="13"/>
      <c r="Q90" s="242"/>
      <c r="R90" s="13"/>
      <c r="S90" s="13"/>
      <c r="T90" s="242"/>
      <c r="U90" s="242"/>
      <c r="V90" s="242"/>
      <c r="W90" s="242"/>
      <c r="X90" s="242"/>
      <c r="Y90" s="242"/>
    </row>
    <row r="91">
      <c r="A91" s="242"/>
      <c r="B91" s="242"/>
      <c r="C91" s="242"/>
      <c r="D91" s="242"/>
      <c r="E91" s="242"/>
      <c r="F91" s="242"/>
      <c r="G91" s="671"/>
      <c r="H91" s="671"/>
      <c r="I91" s="242"/>
      <c r="J91" s="242"/>
      <c r="K91" s="242"/>
      <c r="L91" s="389"/>
      <c r="M91" s="389"/>
      <c r="N91" s="242"/>
      <c r="O91" s="242"/>
      <c r="P91" s="13"/>
      <c r="Q91" s="242"/>
      <c r="R91" s="13"/>
      <c r="S91" s="13"/>
      <c r="T91" s="242"/>
      <c r="U91" s="242"/>
      <c r="V91" s="242"/>
      <c r="W91" s="242"/>
      <c r="X91" s="242"/>
      <c r="Y91" s="242"/>
    </row>
    <row r="92">
      <c r="A92" s="242"/>
      <c r="B92" s="242"/>
      <c r="C92" s="242"/>
      <c r="D92" s="242"/>
      <c r="E92" s="242"/>
      <c r="F92" s="242"/>
      <c r="G92" s="671"/>
      <c r="H92" s="671"/>
      <c r="I92" s="242"/>
      <c r="J92" s="242"/>
      <c r="K92" s="242"/>
      <c r="L92" s="389"/>
      <c r="M92" s="389"/>
      <c r="N92" s="242"/>
      <c r="O92" s="242"/>
      <c r="P92" s="13"/>
      <c r="Q92" s="242"/>
      <c r="R92" s="13"/>
      <c r="S92" s="13"/>
      <c r="T92" s="242"/>
      <c r="U92" s="242"/>
      <c r="V92" s="242"/>
      <c r="W92" s="242"/>
      <c r="X92" s="242"/>
      <c r="Y92" s="242"/>
    </row>
    <row r="93">
      <c r="A93" s="242"/>
      <c r="B93" s="242"/>
      <c r="C93" s="242"/>
      <c r="D93" s="242"/>
      <c r="E93" s="242"/>
      <c r="F93" s="242"/>
      <c r="G93" s="671"/>
      <c r="H93" s="671"/>
      <c r="I93" s="242"/>
      <c r="J93" s="242"/>
      <c r="K93" s="242"/>
      <c r="L93" s="389"/>
      <c r="M93" s="389"/>
      <c r="N93" s="242"/>
      <c r="O93" s="242"/>
      <c r="P93" s="13"/>
      <c r="Q93" s="242"/>
      <c r="R93" s="13"/>
      <c r="S93" s="13"/>
      <c r="T93" s="242"/>
      <c r="U93" s="242"/>
      <c r="V93" s="242"/>
      <c r="W93" s="242"/>
      <c r="X93" s="242"/>
      <c r="Y93" s="242"/>
    </row>
    <row r="94">
      <c r="A94" s="242"/>
      <c r="B94" s="242"/>
      <c r="C94" s="242"/>
      <c r="D94" s="242"/>
      <c r="E94" s="242"/>
      <c r="F94" s="242"/>
      <c r="G94" s="671"/>
      <c r="H94" s="671"/>
      <c r="I94" s="242"/>
      <c r="J94" s="242"/>
      <c r="K94" s="242"/>
      <c r="L94" s="389"/>
      <c r="M94" s="389"/>
      <c r="N94" s="242"/>
      <c r="O94" s="242"/>
      <c r="P94" s="13"/>
      <c r="Q94" s="242"/>
      <c r="R94" s="13"/>
      <c r="S94" s="13"/>
      <c r="T94" s="242"/>
      <c r="U94" s="242"/>
      <c r="V94" s="242"/>
      <c r="W94" s="242"/>
      <c r="X94" s="242"/>
      <c r="Y94" s="242"/>
    </row>
    <row r="95">
      <c r="A95" s="242"/>
      <c r="B95" s="242"/>
      <c r="C95" s="242"/>
      <c r="D95" s="242"/>
      <c r="E95" s="242"/>
      <c r="F95" s="242"/>
      <c r="G95" s="671"/>
      <c r="H95" s="671"/>
      <c r="I95" s="242"/>
      <c r="J95" s="242"/>
      <c r="K95" s="242"/>
      <c r="L95" s="389"/>
      <c r="M95" s="389"/>
      <c r="N95" s="242"/>
      <c r="O95" s="242"/>
      <c r="P95" s="13"/>
      <c r="Q95" s="242"/>
      <c r="R95" s="13"/>
      <c r="S95" s="13"/>
      <c r="T95" s="242"/>
      <c r="U95" s="242"/>
      <c r="V95" s="242"/>
      <c r="W95" s="242"/>
      <c r="X95" s="242"/>
      <c r="Y95" s="242"/>
    </row>
    <row r="96">
      <c r="A96" s="242"/>
      <c r="B96" s="242"/>
      <c r="C96" s="242"/>
      <c r="D96" s="242"/>
      <c r="E96" s="242"/>
      <c r="F96" s="242"/>
      <c r="G96" s="671"/>
      <c r="H96" s="671"/>
      <c r="I96" s="242"/>
      <c r="J96" s="242"/>
      <c r="K96" s="242"/>
      <c r="L96" s="389"/>
      <c r="M96" s="389"/>
      <c r="N96" s="242"/>
      <c r="O96" s="242"/>
      <c r="P96" s="13"/>
      <c r="Q96" s="242"/>
      <c r="R96" s="13"/>
      <c r="S96" s="13"/>
      <c r="T96" s="242"/>
      <c r="U96" s="242"/>
      <c r="V96" s="242"/>
      <c r="W96" s="242"/>
      <c r="X96" s="242"/>
      <c r="Y96" s="242"/>
    </row>
    <row r="97">
      <c r="A97" s="242"/>
      <c r="B97" s="242"/>
      <c r="C97" s="242"/>
      <c r="D97" s="242"/>
      <c r="E97" s="242"/>
      <c r="F97" s="242"/>
      <c r="G97" s="671"/>
      <c r="H97" s="671"/>
      <c r="I97" s="242"/>
      <c r="J97" s="242"/>
      <c r="K97" s="242"/>
      <c r="L97" s="389"/>
      <c r="M97" s="389"/>
      <c r="N97" s="242"/>
      <c r="O97" s="242"/>
      <c r="P97" s="13"/>
      <c r="Q97" s="242"/>
      <c r="R97" s="13"/>
      <c r="S97" s="13"/>
      <c r="T97" s="242"/>
      <c r="U97" s="242"/>
      <c r="V97" s="242"/>
      <c r="W97" s="242"/>
      <c r="X97" s="242"/>
      <c r="Y97" s="242"/>
    </row>
    <row r="98">
      <c r="A98" s="242"/>
      <c r="B98" s="242"/>
      <c r="C98" s="242"/>
      <c r="D98" s="242"/>
      <c r="E98" s="242"/>
      <c r="F98" s="242"/>
      <c r="G98" s="671"/>
      <c r="H98" s="671"/>
      <c r="I98" s="242"/>
      <c r="J98" s="242"/>
      <c r="K98" s="242"/>
      <c r="L98" s="389"/>
      <c r="M98" s="389"/>
      <c r="N98" s="242"/>
      <c r="O98" s="242"/>
      <c r="P98" s="13"/>
      <c r="Q98" s="242"/>
      <c r="R98" s="13"/>
      <c r="S98" s="13"/>
      <c r="T98" s="242"/>
      <c r="U98" s="242"/>
      <c r="V98" s="242"/>
      <c r="W98" s="242"/>
      <c r="X98" s="242"/>
      <c r="Y98" s="242"/>
    </row>
    <row r="99">
      <c r="A99" s="242"/>
      <c r="B99" s="242"/>
      <c r="C99" s="242"/>
      <c r="D99" s="242"/>
      <c r="E99" s="242"/>
      <c r="F99" s="242"/>
      <c r="G99" s="671"/>
      <c r="H99" s="671"/>
      <c r="I99" s="242"/>
      <c r="J99" s="242"/>
      <c r="K99" s="242"/>
      <c r="L99" s="389"/>
      <c r="M99" s="389"/>
      <c r="N99" s="242"/>
      <c r="O99" s="242"/>
      <c r="P99" s="13"/>
      <c r="Q99" s="242"/>
      <c r="R99" s="13"/>
      <c r="S99" s="13"/>
      <c r="T99" s="242"/>
      <c r="U99" s="242"/>
      <c r="V99" s="242"/>
      <c r="W99" s="242"/>
      <c r="X99" s="242"/>
      <c r="Y99" s="242"/>
    </row>
    <row r="100">
      <c r="A100" s="242"/>
      <c r="B100" s="242"/>
      <c r="C100" s="242"/>
      <c r="D100" s="242"/>
      <c r="E100" s="242"/>
      <c r="F100" s="242"/>
      <c r="G100" s="671"/>
      <c r="H100" s="671"/>
      <c r="I100" s="242"/>
      <c r="J100" s="242"/>
      <c r="K100" s="242"/>
      <c r="L100" s="389"/>
      <c r="M100" s="389"/>
      <c r="N100" s="242"/>
      <c r="O100" s="242"/>
      <c r="P100" s="13"/>
      <c r="Q100" s="242"/>
      <c r="R100" s="13"/>
      <c r="S100" s="13"/>
      <c r="T100" s="242"/>
      <c r="U100" s="242"/>
      <c r="V100" s="242"/>
      <c r="W100" s="242"/>
      <c r="X100" s="242"/>
      <c r="Y100" s="242"/>
    </row>
    <row r="101">
      <c r="A101" s="242"/>
      <c r="B101" s="242"/>
      <c r="C101" s="242"/>
      <c r="D101" s="242"/>
      <c r="E101" s="242"/>
      <c r="F101" s="242"/>
      <c r="G101" s="671"/>
      <c r="H101" s="671"/>
      <c r="I101" s="242"/>
      <c r="J101" s="242"/>
      <c r="K101" s="242"/>
      <c r="L101" s="389"/>
      <c r="M101" s="389"/>
      <c r="N101" s="242"/>
      <c r="O101" s="242"/>
      <c r="P101" s="13"/>
      <c r="Q101" s="242"/>
      <c r="R101" s="13"/>
      <c r="S101" s="13"/>
      <c r="T101" s="242"/>
      <c r="U101" s="242"/>
      <c r="V101" s="242"/>
      <c r="W101" s="242"/>
      <c r="X101" s="242"/>
      <c r="Y101" s="242"/>
    </row>
    <row r="102">
      <c r="A102" s="242"/>
      <c r="B102" s="242"/>
      <c r="C102" s="242"/>
      <c r="D102" s="242"/>
      <c r="E102" s="242"/>
      <c r="F102" s="242"/>
      <c r="G102" s="671"/>
      <c r="H102" s="671"/>
      <c r="I102" s="242"/>
      <c r="J102" s="242"/>
      <c r="K102" s="242"/>
      <c r="L102" s="389"/>
      <c r="M102" s="389"/>
      <c r="N102" s="242"/>
      <c r="O102" s="242"/>
      <c r="P102" s="13"/>
      <c r="Q102" s="242"/>
      <c r="R102" s="13"/>
      <c r="S102" s="13"/>
      <c r="T102" s="242"/>
      <c r="U102" s="242"/>
      <c r="V102" s="242"/>
      <c r="W102" s="242"/>
      <c r="X102" s="242"/>
      <c r="Y102" s="242"/>
    </row>
    <row r="103">
      <c r="A103" s="242"/>
      <c r="B103" s="242"/>
      <c r="C103" s="242"/>
      <c r="D103" s="242"/>
      <c r="E103" s="242"/>
      <c r="F103" s="242"/>
      <c r="G103" s="671"/>
      <c r="H103" s="671"/>
      <c r="I103" s="242"/>
      <c r="J103" s="242"/>
      <c r="K103" s="242"/>
      <c r="L103" s="389"/>
      <c r="M103" s="389"/>
      <c r="N103" s="242"/>
      <c r="O103" s="242"/>
      <c r="P103" s="13"/>
      <c r="Q103" s="242"/>
      <c r="R103" s="13"/>
      <c r="S103" s="13"/>
      <c r="T103" s="242"/>
      <c r="U103" s="242"/>
      <c r="V103" s="242"/>
      <c r="W103" s="242"/>
      <c r="X103" s="242"/>
      <c r="Y103" s="242"/>
    </row>
    <row r="104">
      <c r="A104" s="242"/>
      <c r="B104" s="242"/>
      <c r="C104" s="242"/>
      <c r="D104" s="242"/>
      <c r="E104" s="242"/>
      <c r="F104" s="242"/>
      <c r="G104" s="671"/>
      <c r="H104" s="671"/>
      <c r="I104" s="242"/>
      <c r="J104" s="242"/>
      <c r="K104" s="242"/>
      <c r="L104" s="389"/>
      <c r="M104" s="389"/>
      <c r="N104" s="242"/>
      <c r="O104" s="242"/>
      <c r="P104" s="13"/>
      <c r="Q104" s="242"/>
      <c r="R104" s="13"/>
      <c r="S104" s="13"/>
      <c r="T104" s="242"/>
      <c r="U104" s="242"/>
      <c r="V104" s="242"/>
      <c r="W104" s="242"/>
      <c r="X104" s="242"/>
      <c r="Y104" s="242"/>
    </row>
    <row r="105">
      <c r="A105" s="242"/>
      <c r="B105" s="242"/>
      <c r="C105" s="242"/>
      <c r="D105" s="242"/>
      <c r="E105" s="242"/>
      <c r="F105" s="242"/>
      <c r="G105" s="671"/>
      <c r="H105" s="671"/>
      <c r="I105" s="242"/>
      <c r="J105" s="242"/>
      <c r="K105" s="242"/>
      <c r="L105" s="389"/>
      <c r="M105" s="389"/>
      <c r="N105" s="242"/>
      <c r="O105" s="242"/>
      <c r="P105" s="13"/>
      <c r="Q105" s="242"/>
      <c r="R105" s="13"/>
      <c r="S105" s="13"/>
      <c r="T105" s="242"/>
      <c r="U105" s="242"/>
      <c r="V105" s="242"/>
      <c r="W105" s="242"/>
      <c r="X105" s="242"/>
      <c r="Y105" s="242"/>
    </row>
    <row r="106">
      <c r="A106" s="242"/>
      <c r="B106" s="242"/>
      <c r="C106" s="242"/>
      <c r="D106" s="242"/>
      <c r="E106" s="242"/>
      <c r="F106" s="242"/>
      <c r="G106" s="671"/>
      <c r="H106" s="671"/>
      <c r="I106" s="242"/>
      <c r="J106" s="242"/>
      <c r="K106" s="242"/>
      <c r="L106" s="389"/>
      <c r="M106" s="389"/>
      <c r="N106" s="242"/>
      <c r="O106" s="242"/>
      <c r="P106" s="13"/>
      <c r="Q106" s="242"/>
      <c r="R106" s="13"/>
      <c r="S106" s="13"/>
      <c r="T106" s="242"/>
      <c r="U106" s="242"/>
      <c r="V106" s="242"/>
      <c r="W106" s="242"/>
      <c r="X106" s="242"/>
      <c r="Y106" s="242"/>
    </row>
    <row r="107">
      <c r="A107" s="242"/>
      <c r="B107" s="242"/>
      <c r="C107" s="242"/>
      <c r="D107" s="242"/>
      <c r="E107" s="242"/>
      <c r="F107" s="242"/>
      <c r="G107" s="671"/>
      <c r="H107" s="671"/>
      <c r="I107" s="242"/>
      <c r="J107" s="242"/>
      <c r="K107" s="242"/>
      <c r="L107" s="389"/>
      <c r="M107" s="389"/>
      <c r="N107" s="242"/>
      <c r="O107" s="242"/>
      <c r="P107" s="13"/>
      <c r="Q107" s="242"/>
      <c r="R107" s="13"/>
      <c r="S107" s="13"/>
      <c r="T107" s="242"/>
      <c r="U107" s="242"/>
      <c r="V107" s="242"/>
      <c r="W107" s="242"/>
      <c r="X107" s="242"/>
      <c r="Y107" s="242"/>
    </row>
    <row r="108">
      <c r="A108" s="242"/>
      <c r="B108" s="242"/>
      <c r="C108" s="242"/>
      <c r="D108" s="242"/>
      <c r="E108" s="242"/>
      <c r="F108" s="242"/>
      <c r="G108" s="671"/>
      <c r="H108" s="671"/>
      <c r="I108" s="242"/>
      <c r="J108" s="242"/>
      <c r="K108" s="242"/>
      <c r="L108" s="389"/>
      <c r="M108" s="389"/>
      <c r="N108" s="242"/>
      <c r="O108" s="242"/>
      <c r="P108" s="13"/>
      <c r="Q108" s="242"/>
      <c r="R108" s="13"/>
      <c r="S108" s="13"/>
      <c r="T108" s="242"/>
      <c r="U108" s="242"/>
      <c r="V108" s="242"/>
      <c r="W108" s="242"/>
      <c r="X108" s="242"/>
      <c r="Y108" s="242"/>
    </row>
    <row r="109">
      <c r="A109" s="242"/>
      <c r="B109" s="242"/>
      <c r="C109" s="242"/>
      <c r="D109" s="242"/>
      <c r="E109" s="242"/>
      <c r="F109" s="242"/>
      <c r="G109" s="671"/>
      <c r="H109" s="671"/>
      <c r="I109" s="242"/>
      <c r="J109" s="242"/>
      <c r="K109" s="242"/>
      <c r="L109" s="389"/>
      <c r="M109" s="389"/>
      <c r="N109" s="242"/>
      <c r="O109" s="242"/>
      <c r="P109" s="13"/>
      <c r="Q109" s="242"/>
      <c r="R109" s="13"/>
      <c r="S109" s="13"/>
      <c r="T109" s="242"/>
      <c r="U109" s="242"/>
      <c r="V109" s="242"/>
      <c r="W109" s="242"/>
      <c r="X109" s="242"/>
      <c r="Y109" s="242"/>
    </row>
    <row r="110">
      <c r="A110" s="242"/>
      <c r="B110" s="242"/>
      <c r="C110" s="242"/>
      <c r="D110" s="242"/>
      <c r="E110" s="242"/>
      <c r="F110" s="242"/>
      <c r="G110" s="671"/>
      <c r="H110" s="671"/>
      <c r="I110" s="242"/>
      <c r="J110" s="242"/>
      <c r="K110" s="242"/>
      <c r="L110" s="389"/>
      <c r="M110" s="389"/>
      <c r="N110" s="242"/>
      <c r="O110" s="242"/>
      <c r="P110" s="13"/>
      <c r="Q110" s="242"/>
      <c r="R110" s="13"/>
      <c r="S110" s="13"/>
      <c r="T110" s="242"/>
      <c r="U110" s="242"/>
      <c r="V110" s="242"/>
      <c r="W110" s="242"/>
      <c r="X110" s="242"/>
      <c r="Y110" s="242"/>
    </row>
    <row r="111">
      <c r="A111" s="242"/>
      <c r="B111" s="242"/>
      <c r="C111" s="242"/>
      <c r="D111" s="242"/>
      <c r="E111" s="242"/>
      <c r="F111" s="242"/>
      <c r="G111" s="671"/>
      <c r="H111" s="671"/>
      <c r="I111" s="242"/>
      <c r="J111" s="242"/>
      <c r="K111" s="242"/>
      <c r="L111" s="389"/>
      <c r="M111" s="389"/>
      <c r="N111" s="242"/>
      <c r="O111" s="242"/>
      <c r="P111" s="13"/>
      <c r="Q111" s="242"/>
      <c r="R111" s="13"/>
      <c r="S111" s="13"/>
      <c r="T111" s="242"/>
      <c r="U111" s="242"/>
      <c r="V111" s="242"/>
      <c r="W111" s="242"/>
      <c r="X111" s="242"/>
      <c r="Y111" s="242"/>
    </row>
    <row r="112">
      <c r="A112" s="242"/>
      <c r="B112" s="242"/>
      <c r="C112" s="242"/>
      <c r="D112" s="242"/>
      <c r="E112" s="242"/>
      <c r="F112" s="242"/>
      <c r="G112" s="671"/>
      <c r="H112" s="671"/>
      <c r="I112" s="242"/>
      <c r="J112" s="242"/>
      <c r="K112" s="242"/>
      <c r="L112" s="389"/>
      <c r="M112" s="389"/>
      <c r="N112" s="242"/>
      <c r="O112" s="242"/>
      <c r="P112" s="13"/>
      <c r="Q112" s="242"/>
      <c r="R112" s="13"/>
      <c r="S112" s="13"/>
      <c r="T112" s="242"/>
      <c r="U112" s="242"/>
      <c r="V112" s="242"/>
      <c r="W112" s="242"/>
      <c r="X112" s="242"/>
      <c r="Y112" s="242"/>
    </row>
    <row r="113">
      <c r="A113" s="242"/>
      <c r="B113" s="242"/>
      <c r="C113" s="242"/>
      <c r="D113" s="242"/>
      <c r="E113" s="242"/>
      <c r="F113" s="242"/>
      <c r="G113" s="671"/>
      <c r="H113" s="671"/>
      <c r="I113" s="242"/>
      <c r="J113" s="242"/>
      <c r="K113" s="242"/>
      <c r="L113" s="389"/>
      <c r="M113" s="389"/>
      <c r="N113" s="242"/>
      <c r="O113" s="242"/>
      <c r="P113" s="13"/>
      <c r="Q113" s="242"/>
      <c r="R113" s="13"/>
      <c r="S113" s="13"/>
      <c r="T113" s="242"/>
      <c r="U113" s="242"/>
      <c r="V113" s="242"/>
      <c r="W113" s="242"/>
      <c r="X113" s="242"/>
      <c r="Y113" s="242"/>
    </row>
    <row r="114">
      <c r="A114" s="242"/>
      <c r="B114" s="242"/>
      <c r="C114" s="242"/>
      <c r="D114" s="242"/>
      <c r="E114" s="242"/>
      <c r="F114" s="242"/>
      <c r="G114" s="671"/>
      <c r="H114" s="671"/>
      <c r="I114" s="242"/>
      <c r="J114" s="242"/>
      <c r="K114" s="242"/>
      <c r="L114" s="389"/>
      <c r="M114" s="389"/>
      <c r="N114" s="242"/>
      <c r="O114" s="242"/>
      <c r="P114" s="13"/>
      <c r="Q114" s="242"/>
      <c r="R114" s="13"/>
      <c r="S114" s="13"/>
      <c r="T114" s="242"/>
      <c r="U114" s="242"/>
      <c r="V114" s="242"/>
      <c r="W114" s="242"/>
      <c r="X114" s="242"/>
      <c r="Y114" s="242"/>
    </row>
    <row r="115">
      <c r="A115" s="242"/>
      <c r="B115" s="242"/>
      <c r="C115" s="242"/>
      <c r="D115" s="242"/>
      <c r="E115" s="242"/>
      <c r="F115" s="242"/>
      <c r="G115" s="671"/>
      <c r="H115" s="671"/>
      <c r="I115" s="242"/>
      <c r="J115" s="242"/>
      <c r="K115" s="242"/>
      <c r="L115" s="389"/>
      <c r="M115" s="389"/>
      <c r="N115" s="242"/>
      <c r="O115" s="242"/>
      <c r="P115" s="13"/>
      <c r="Q115" s="242"/>
      <c r="R115" s="13"/>
      <c r="S115" s="13"/>
      <c r="T115" s="242"/>
      <c r="U115" s="242"/>
      <c r="V115" s="242"/>
      <c r="W115" s="242"/>
      <c r="X115" s="242"/>
      <c r="Y115" s="242"/>
    </row>
    <row r="116">
      <c r="A116" s="242"/>
      <c r="B116" s="242"/>
      <c r="C116" s="242"/>
      <c r="D116" s="242"/>
      <c r="E116" s="242"/>
      <c r="F116" s="242"/>
      <c r="G116" s="671"/>
      <c r="H116" s="671"/>
      <c r="I116" s="242"/>
      <c r="J116" s="242"/>
      <c r="K116" s="242"/>
      <c r="L116" s="389"/>
      <c r="M116" s="389"/>
      <c r="N116" s="242"/>
      <c r="O116" s="242"/>
      <c r="P116" s="13"/>
      <c r="Q116" s="242"/>
      <c r="R116" s="13"/>
      <c r="S116" s="13"/>
      <c r="T116" s="242"/>
      <c r="U116" s="242"/>
      <c r="V116" s="242"/>
      <c r="W116" s="242"/>
      <c r="X116" s="242"/>
      <c r="Y116" s="242"/>
    </row>
    <row r="117">
      <c r="A117" s="242"/>
      <c r="B117" s="242"/>
      <c r="C117" s="242"/>
      <c r="D117" s="242"/>
      <c r="E117" s="242"/>
      <c r="F117" s="242"/>
      <c r="G117" s="671"/>
      <c r="H117" s="671"/>
      <c r="I117" s="242"/>
      <c r="J117" s="242"/>
      <c r="K117" s="242"/>
      <c r="L117" s="389"/>
      <c r="M117" s="389"/>
      <c r="N117" s="242"/>
      <c r="O117" s="242"/>
      <c r="P117" s="13"/>
      <c r="Q117" s="242"/>
      <c r="R117" s="13"/>
      <c r="S117" s="13"/>
      <c r="T117" s="242"/>
      <c r="U117" s="242"/>
      <c r="V117" s="242"/>
      <c r="W117" s="242"/>
      <c r="X117" s="242"/>
      <c r="Y117" s="242"/>
    </row>
    <row r="118">
      <c r="A118" s="242"/>
      <c r="B118" s="242"/>
      <c r="C118" s="242"/>
      <c r="D118" s="242"/>
      <c r="E118" s="242"/>
      <c r="F118" s="242"/>
      <c r="G118" s="671"/>
      <c r="H118" s="671"/>
      <c r="I118" s="242"/>
      <c r="J118" s="242"/>
      <c r="K118" s="242"/>
      <c r="L118" s="389"/>
      <c r="M118" s="389"/>
      <c r="N118" s="242"/>
      <c r="O118" s="242"/>
      <c r="P118" s="13"/>
      <c r="Q118" s="242"/>
      <c r="R118" s="13"/>
      <c r="S118" s="13"/>
      <c r="T118" s="242"/>
      <c r="U118" s="242"/>
      <c r="V118" s="242"/>
      <c r="W118" s="242"/>
      <c r="X118" s="242"/>
      <c r="Y118" s="242"/>
    </row>
    <row r="119">
      <c r="A119" s="242"/>
      <c r="B119" s="242"/>
      <c r="C119" s="242"/>
      <c r="D119" s="242"/>
      <c r="E119" s="242"/>
      <c r="F119" s="242"/>
      <c r="G119" s="671"/>
      <c r="H119" s="671"/>
      <c r="I119" s="242"/>
      <c r="J119" s="242"/>
      <c r="K119" s="242"/>
      <c r="L119" s="389"/>
      <c r="M119" s="389"/>
      <c r="N119" s="242"/>
      <c r="O119" s="242"/>
      <c r="P119" s="13"/>
      <c r="Q119" s="242"/>
      <c r="R119" s="13"/>
      <c r="S119" s="13"/>
      <c r="T119" s="242"/>
      <c r="U119" s="242"/>
      <c r="V119" s="242"/>
      <c r="W119" s="242"/>
      <c r="X119" s="242"/>
      <c r="Y119" s="242"/>
    </row>
    <row r="120">
      <c r="A120" s="242"/>
      <c r="B120" s="242"/>
      <c r="C120" s="242"/>
      <c r="D120" s="242"/>
      <c r="E120" s="242"/>
      <c r="F120" s="242"/>
      <c r="G120" s="671"/>
      <c r="H120" s="671"/>
      <c r="I120" s="242"/>
      <c r="J120" s="242"/>
      <c r="K120" s="242"/>
      <c r="L120" s="389"/>
      <c r="M120" s="389"/>
      <c r="N120" s="242"/>
      <c r="O120" s="242"/>
      <c r="P120" s="13"/>
      <c r="Q120" s="242"/>
      <c r="R120" s="13"/>
      <c r="S120" s="13"/>
      <c r="T120" s="242"/>
      <c r="U120" s="242"/>
      <c r="V120" s="242"/>
      <c r="W120" s="242"/>
      <c r="X120" s="242"/>
      <c r="Y120" s="242"/>
    </row>
    <row r="121">
      <c r="A121" s="242"/>
      <c r="B121" s="242"/>
      <c r="C121" s="242"/>
      <c r="D121" s="242"/>
      <c r="E121" s="242"/>
      <c r="F121" s="242"/>
      <c r="G121" s="671"/>
      <c r="H121" s="671"/>
      <c r="I121" s="242"/>
      <c r="J121" s="242"/>
      <c r="K121" s="242"/>
      <c r="L121" s="389"/>
      <c r="M121" s="389"/>
      <c r="N121" s="242"/>
      <c r="O121" s="242"/>
      <c r="P121" s="13"/>
      <c r="Q121" s="242"/>
      <c r="R121" s="13"/>
      <c r="S121" s="13"/>
      <c r="T121" s="242"/>
      <c r="U121" s="242"/>
      <c r="V121" s="242"/>
      <c r="W121" s="242"/>
      <c r="X121" s="242"/>
      <c r="Y121" s="242"/>
    </row>
    <row r="122">
      <c r="A122" s="242"/>
      <c r="B122" s="242"/>
      <c r="C122" s="242"/>
      <c r="D122" s="242"/>
      <c r="E122" s="242"/>
      <c r="F122" s="242"/>
      <c r="G122" s="671"/>
      <c r="H122" s="671"/>
      <c r="I122" s="242"/>
      <c r="J122" s="242"/>
      <c r="K122" s="242"/>
      <c r="L122" s="389"/>
      <c r="M122" s="389"/>
      <c r="N122" s="242"/>
      <c r="O122" s="242"/>
      <c r="P122" s="13"/>
      <c r="Q122" s="242"/>
      <c r="R122" s="13"/>
      <c r="S122" s="13"/>
      <c r="T122" s="242"/>
      <c r="U122" s="242"/>
      <c r="V122" s="242"/>
      <c r="W122" s="242"/>
      <c r="X122" s="242"/>
      <c r="Y122" s="242"/>
    </row>
    <row r="123">
      <c r="A123" s="242"/>
      <c r="B123" s="242"/>
      <c r="C123" s="242"/>
      <c r="D123" s="242"/>
      <c r="E123" s="242"/>
      <c r="F123" s="242"/>
      <c r="G123" s="671"/>
      <c r="H123" s="671"/>
      <c r="I123" s="242"/>
      <c r="J123" s="242"/>
      <c r="K123" s="242"/>
      <c r="L123" s="389"/>
      <c r="M123" s="389"/>
      <c r="N123" s="242"/>
      <c r="O123" s="242"/>
      <c r="P123" s="13"/>
      <c r="Q123" s="242"/>
      <c r="R123" s="13"/>
      <c r="S123" s="13"/>
      <c r="T123" s="242"/>
      <c r="U123" s="242"/>
      <c r="V123" s="242"/>
      <c r="W123" s="242"/>
      <c r="X123" s="242"/>
      <c r="Y123" s="242"/>
    </row>
    <row r="124">
      <c r="A124" s="242"/>
      <c r="B124" s="242"/>
      <c r="C124" s="242"/>
      <c r="D124" s="242"/>
      <c r="E124" s="242"/>
      <c r="F124" s="242"/>
      <c r="G124" s="671"/>
      <c r="H124" s="671"/>
      <c r="I124" s="242"/>
      <c r="J124" s="242"/>
      <c r="K124" s="242"/>
      <c r="L124" s="389"/>
      <c r="M124" s="389"/>
      <c r="N124" s="242"/>
      <c r="O124" s="242"/>
      <c r="P124" s="13"/>
      <c r="Q124" s="242"/>
      <c r="R124" s="13"/>
      <c r="S124" s="13"/>
      <c r="T124" s="242"/>
      <c r="U124" s="242"/>
      <c r="V124" s="242"/>
      <c r="W124" s="242"/>
      <c r="X124" s="242"/>
      <c r="Y124" s="242"/>
    </row>
    <row r="125">
      <c r="A125" s="242"/>
      <c r="B125" s="242"/>
      <c r="C125" s="242"/>
      <c r="D125" s="242"/>
      <c r="E125" s="242"/>
      <c r="F125" s="242"/>
      <c r="G125" s="671"/>
      <c r="H125" s="671"/>
      <c r="I125" s="242"/>
      <c r="J125" s="242"/>
      <c r="K125" s="242"/>
      <c r="L125" s="389"/>
      <c r="M125" s="389"/>
      <c r="N125" s="242"/>
      <c r="O125" s="242"/>
      <c r="P125" s="13"/>
      <c r="Q125" s="242"/>
      <c r="R125" s="13"/>
      <c r="S125" s="13"/>
      <c r="T125" s="242"/>
      <c r="U125" s="242"/>
      <c r="V125" s="242"/>
      <c r="W125" s="242"/>
      <c r="X125" s="242"/>
      <c r="Y125" s="242"/>
    </row>
    <row r="126">
      <c r="A126" s="242"/>
      <c r="B126" s="242"/>
      <c r="C126" s="242"/>
      <c r="D126" s="242"/>
      <c r="E126" s="242"/>
      <c r="F126" s="242"/>
      <c r="G126" s="671"/>
      <c r="H126" s="671"/>
      <c r="I126" s="242"/>
      <c r="J126" s="242"/>
      <c r="K126" s="242"/>
      <c r="L126" s="389"/>
      <c r="M126" s="389"/>
      <c r="N126" s="242"/>
      <c r="O126" s="242"/>
      <c r="P126" s="13"/>
      <c r="Q126" s="242"/>
      <c r="R126" s="13"/>
      <c r="S126" s="13"/>
      <c r="T126" s="242"/>
      <c r="U126" s="242"/>
      <c r="V126" s="242"/>
      <c r="W126" s="242"/>
      <c r="X126" s="242"/>
      <c r="Y126" s="242"/>
    </row>
    <row r="127">
      <c r="A127" s="242"/>
      <c r="B127" s="242"/>
      <c r="C127" s="242"/>
      <c r="D127" s="242"/>
      <c r="E127" s="242"/>
      <c r="F127" s="242"/>
      <c r="G127" s="671"/>
      <c r="H127" s="671"/>
      <c r="I127" s="242"/>
      <c r="J127" s="242"/>
      <c r="K127" s="242"/>
      <c r="L127" s="389"/>
      <c r="M127" s="389"/>
      <c r="N127" s="242"/>
      <c r="O127" s="242"/>
      <c r="P127" s="13"/>
      <c r="Q127" s="242"/>
      <c r="R127" s="13"/>
      <c r="S127" s="13"/>
      <c r="T127" s="242"/>
      <c r="U127" s="242"/>
      <c r="V127" s="242"/>
      <c r="W127" s="242"/>
      <c r="X127" s="242"/>
      <c r="Y127" s="242"/>
    </row>
    <row r="128">
      <c r="A128" s="242"/>
      <c r="B128" s="242"/>
      <c r="C128" s="242"/>
      <c r="D128" s="242"/>
      <c r="E128" s="242"/>
      <c r="F128" s="242"/>
      <c r="G128" s="671"/>
      <c r="H128" s="671"/>
      <c r="I128" s="242"/>
      <c r="J128" s="242"/>
      <c r="K128" s="242"/>
      <c r="L128" s="389"/>
      <c r="M128" s="389"/>
      <c r="N128" s="242"/>
      <c r="O128" s="242"/>
      <c r="P128" s="13"/>
      <c r="Q128" s="242"/>
      <c r="R128" s="13"/>
      <c r="S128" s="13"/>
      <c r="T128" s="242"/>
      <c r="U128" s="242"/>
      <c r="V128" s="242"/>
      <c r="W128" s="242"/>
      <c r="X128" s="242"/>
      <c r="Y128" s="242"/>
    </row>
    <row r="129">
      <c r="A129" s="242"/>
      <c r="B129" s="242"/>
      <c r="C129" s="242"/>
      <c r="D129" s="242"/>
      <c r="E129" s="242"/>
      <c r="F129" s="242"/>
      <c r="G129" s="671"/>
      <c r="H129" s="671"/>
      <c r="I129" s="242"/>
      <c r="J129" s="242"/>
      <c r="K129" s="242"/>
      <c r="L129" s="389"/>
      <c r="M129" s="389"/>
      <c r="N129" s="242"/>
      <c r="O129" s="242"/>
      <c r="P129" s="13"/>
      <c r="Q129" s="242"/>
      <c r="R129" s="13"/>
      <c r="S129" s="13"/>
      <c r="T129" s="242"/>
      <c r="U129" s="242"/>
      <c r="V129" s="242"/>
      <c r="W129" s="242"/>
      <c r="X129" s="242"/>
      <c r="Y129" s="242"/>
    </row>
    <row r="130">
      <c r="A130" s="242"/>
      <c r="B130" s="242"/>
      <c r="C130" s="242"/>
      <c r="D130" s="242"/>
      <c r="E130" s="242"/>
      <c r="F130" s="242"/>
      <c r="G130" s="671"/>
      <c r="H130" s="671"/>
      <c r="I130" s="242"/>
      <c r="J130" s="242"/>
      <c r="K130" s="242"/>
      <c r="L130" s="389"/>
      <c r="M130" s="389"/>
      <c r="N130" s="242"/>
      <c r="O130" s="242"/>
      <c r="P130" s="13"/>
      <c r="Q130" s="242"/>
      <c r="R130" s="13"/>
      <c r="S130" s="13"/>
      <c r="T130" s="242"/>
      <c r="U130" s="242"/>
      <c r="V130" s="242"/>
      <c r="W130" s="242"/>
      <c r="X130" s="242"/>
      <c r="Y130" s="242"/>
    </row>
    <row r="131">
      <c r="A131" s="242"/>
      <c r="B131" s="242"/>
      <c r="C131" s="242"/>
      <c r="D131" s="242"/>
      <c r="E131" s="242"/>
      <c r="F131" s="242"/>
      <c r="G131" s="671"/>
      <c r="H131" s="671"/>
      <c r="I131" s="242"/>
      <c r="J131" s="242"/>
      <c r="K131" s="242"/>
      <c r="L131" s="389"/>
      <c r="M131" s="389"/>
      <c r="N131" s="242"/>
      <c r="O131" s="242"/>
      <c r="P131" s="13"/>
      <c r="Q131" s="242"/>
      <c r="R131" s="13"/>
      <c r="S131" s="13"/>
      <c r="T131" s="242"/>
      <c r="U131" s="242"/>
      <c r="V131" s="242"/>
      <c r="W131" s="242"/>
      <c r="X131" s="242"/>
      <c r="Y131" s="242"/>
    </row>
    <row r="132">
      <c r="A132" s="242"/>
      <c r="B132" s="242"/>
      <c r="C132" s="242"/>
      <c r="D132" s="242"/>
      <c r="E132" s="242"/>
      <c r="F132" s="242"/>
      <c r="G132" s="671"/>
      <c r="H132" s="671"/>
      <c r="I132" s="242"/>
      <c r="J132" s="242"/>
      <c r="K132" s="242"/>
      <c r="L132" s="389"/>
      <c r="M132" s="389"/>
      <c r="N132" s="242"/>
      <c r="O132" s="242"/>
      <c r="P132" s="13"/>
      <c r="Q132" s="242"/>
      <c r="R132" s="13"/>
      <c r="S132" s="13"/>
      <c r="T132" s="242"/>
      <c r="U132" s="242"/>
      <c r="V132" s="242"/>
      <c r="W132" s="242"/>
      <c r="X132" s="242"/>
      <c r="Y132" s="242"/>
    </row>
    <row r="133">
      <c r="A133" s="242"/>
      <c r="B133" s="242"/>
      <c r="C133" s="242"/>
      <c r="D133" s="242"/>
      <c r="E133" s="242"/>
      <c r="F133" s="242"/>
      <c r="G133" s="671"/>
      <c r="H133" s="671"/>
      <c r="I133" s="242"/>
      <c r="J133" s="242"/>
      <c r="K133" s="242"/>
      <c r="L133" s="389"/>
      <c r="M133" s="389"/>
      <c r="N133" s="242"/>
      <c r="O133" s="242"/>
      <c r="P133" s="13"/>
      <c r="Q133" s="242"/>
      <c r="R133" s="13"/>
      <c r="S133" s="13"/>
      <c r="T133" s="242"/>
      <c r="U133" s="242"/>
      <c r="V133" s="242"/>
      <c r="W133" s="242"/>
      <c r="X133" s="242"/>
      <c r="Y133" s="242"/>
    </row>
    <row r="134">
      <c r="A134" s="242"/>
      <c r="B134" s="242"/>
      <c r="C134" s="242"/>
      <c r="D134" s="242"/>
      <c r="E134" s="242"/>
      <c r="F134" s="242"/>
      <c r="G134" s="671"/>
      <c r="H134" s="671"/>
      <c r="I134" s="242"/>
      <c r="J134" s="242"/>
      <c r="K134" s="242"/>
      <c r="L134" s="389"/>
      <c r="M134" s="389"/>
      <c r="N134" s="242"/>
      <c r="O134" s="242"/>
      <c r="P134" s="13"/>
      <c r="Q134" s="242"/>
      <c r="R134" s="13"/>
      <c r="S134" s="13"/>
      <c r="T134" s="242"/>
      <c r="U134" s="242"/>
      <c r="V134" s="242"/>
      <c r="W134" s="242"/>
      <c r="X134" s="242"/>
      <c r="Y134" s="242"/>
    </row>
    <row r="135">
      <c r="A135" s="242"/>
      <c r="B135" s="242"/>
      <c r="C135" s="242"/>
      <c r="D135" s="242"/>
      <c r="E135" s="242"/>
      <c r="F135" s="242"/>
      <c r="G135" s="671"/>
      <c r="H135" s="671"/>
      <c r="I135" s="242"/>
      <c r="J135" s="242"/>
      <c r="K135" s="242"/>
      <c r="L135" s="389"/>
      <c r="M135" s="389"/>
      <c r="N135" s="242"/>
      <c r="O135" s="242"/>
      <c r="P135" s="13"/>
      <c r="Q135" s="242"/>
      <c r="R135" s="13"/>
      <c r="S135" s="13"/>
      <c r="T135" s="242"/>
      <c r="U135" s="242"/>
      <c r="V135" s="242"/>
      <c r="W135" s="242"/>
      <c r="X135" s="242"/>
      <c r="Y135" s="242"/>
    </row>
    <row r="136">
      <c r="A136" s="242"/>
      <c r="B136" s="242"/>
      <c r="C136" s="242"/>
      <c r="D136" s="242"/>
      <c r="E136" s="242"/>
      <c r="F136" s="242"/>
      <c r="G136" s="671"/>
      <c r="H136" s="671"/>
      <c r="I136" s="242"/>
      <c r="J136" s="242"/>
      <c r="K136" s="242"/>
      <c r="L136" s="389"/>
      <c r="M136" s="389"/>
      <c r="N136" s="242"/>
      <c r="O136" s="242"/>
      <c r="P136" s="13"/>
      <c r="Q136" s="242"/>
      <c r="R136" s="13"/>
      <c r="S136" s="13"/>
      <c r="T136" s="242"/>
      <c r="U136" s="242"/>
      <c r="V136" s="242"/>
      <c r="W136" s="242"/>
      <c r="X136" s="242"/>
      <c r="Y136" s="242"/>
    </row>
    <row r="137">
      <c r="A137" s="242"/>
      <c r="B137" s="242"/>
      <c r="C137" s="242"/>
      <c r="D137" s="242"/>
      <c r="E137" s="242"/>
      <c r="F137" s="242"/>
      <c r="G137" s="671"/>
      <c r="H137" s="671"/>
      <c r="I137" s="242"/>
      <c r="J137" s="242"/>
      <c r="K137" s="242"/>
      <c r="L137" s="389"/>
      <c r="M137" s="389"/>
      <c r="N137" s="242"/>
      <c r="O137" s="242"/>
      <c r="P137" s="13"/>
      <c r="Q137" s="242"/>
      <c r="R137" s="13"/>
      <c r="S137" s="13"/>
      <c r="T137" s="242"/>
      <c r="U137" s="242"/>
      <c r="V137" s="242"/>
      <c r="W137" s="242"/>
      <c r="X137" s="242"/>
      <c r="Y137" s="242"/>
    </row>
    <row r="138">
      <c r="A138" s="242"/>
      <c r="B138" s="242"/>
      <c r="C138" s="242"/>
      <c r="D138" s="242"/>
      <c r="E138" s="242"/>
      <c r="F138" s="242"/>
      <c r="G138" s="671"/>
      <c r="H138" s="671"/>
      <c r="I138" s="242"/>
      <c r="J138" s="242"/>
      <c r="K138" s="242"/>
      <c r="L138" s="389"/>
      <c r="M138" s="389"/>
      <c r="N138" s="242"/>
      <c r="O138" s="242"/>
      <c r="P138" s="13"/>
      <c r="Q138" s="242"/>
      <c r="R138" s="13"/>
      <c r="S138" s="13"/>
      <c r="T138" s="242"/>
      <c r="U138" s="242"/>
      <c r="V138" s="242"/>
      <c r="W138" s="242"/>
      <c r="X138" s="242"/>
      <c r="Y138" s="242"/>
    </row>
    <row r="139">
      <c r="A139" s="242"/>
      <c r="B139" s="242"/>
      <c r="C139" s="242"/>
      <c r="D139" s="242"/>
      <c r="E139" s="242"/>
      <c r="F139" s="242"/>
      <c r="G139" s="671"/>
      <c r="H139" s="671"/>
      <c r="I139" s="242"/>
      <c r="J139" s="242"/>
      <c r="K139" s="242"/>
      <c r="L139" s="389"/>
      <c r="M139" s="389"/>
      <c r="N139" s="242"/>
      <c r="O139" s="242"/>
      <c r="P139" s="13"/>
      <c r="Q139" s="242"/>
      <c r="R139" s="13"/>
      <c r="S139" s="13"/>
      <c r="T139" s="242"/>
      <c r="U139" s="242"/>
      <c r="V139" s="242"/>
      <c r="W139" s="242"/>
      <c r="X139" s="242"/>
      <c r="Y139" s="242"/>
    </row>
    <row r="140">
      <c r="A140" s="242"/>
      <c r="B140" s="242"/>
      <c r="C140" s="242"/>
      <c r="D140" s="242"/>
      <c r="E140" s="242"/>
      <c r="F140" s="242"/>
      <c r="G140" s="671"/>
      <c r="H140" s="671"/>
      <c r="I140" s="242"/>
      <c r="J140" s="242"/>
      <c r="K140" s="242"/>
      <c r="L140" s="389"/>
      <c r="M140" s="389"/>
      <c r="N140" s="242"/>
      <c r="O140" s="242"/>
      <c r="P140" s="13"/>
      <c r="Q140" s="242"/>
      <c r="R140" s="13"/>
      <c r="S140" s="13"/>
      <c r="T140" s="242"/>
      <c r="U140" s="242"/>
      <c r="V140" s="242"/>
      <c r="W140" s="242"/>
      <c r="X140" s="242"/>
      <c r="Y140" s="242"/>
    </row>
    <row r="141">
      <c r="A141" s="242"/>
      <c r="B141" s="242"/>
      <c r="C141" s="242"/>
      <c r="D141" s="242"/>
      <c r="E141" s="242"/>
      <c r="F141" s="242"/>
      <c r="G141" s="671"/>
      <c r="H141" s="671"/>
      <c r="I141" s="242"/>
      <c r="J141" s="242"/>
      <c r="K141" s="242"/>
      <c r="L141" s="389"/>
      <c r="M141" s="389"/>
      <c r="N141" s="242"/>
      <c r="O141" s="242"/>
      <c r="P141" s="13"/>
      <c r="Q141" s="242"/>
      <c r="R141" s="13"/>
      <c r="S141" s="13"/>
      <c r="T141" s="242"/>
      <c r="U141" s="242"/>
      <c r="V141" s="242"/>
      <c r="W141" s="242"/>
      <c r="X141" s="242"/>
      <c r="Y141" s="242"/>
    </row>
    <row r="142">
      <c r="A142" s="242"/>
      <c r="B142" s="242"/>
      <c r="C142" s="242"/>
      <c r="D142" s="242"/>
      <c r="E142" s="242"/>
      <c r="F142" s="242"/>
      <c r="G142" s="671"/>
      <c r="H142" s="671"/>
      <c r="I142" s="242"/>
      <c r="J142" s="242"/>
      <c r="K142" s="242"/>
      <c r="L142" s="389"/>
      <c r="M142" s="389"/>
      <c r="N142" s="242"/>
      <c r="O142" s="242"/>
      <c r="P142" s="13"/>
      <c r="Q142" s="242"/>
      <c r="R142" s="13"/>
      <c r="S142" s="13"/>
      <c r="T142" s="242"/>
      <c r="U142" s="242"/>
      <c r="V142" s="242"/>
      <c r="W142" s="242"/>
      <c r="X142" s="242"/>
      <c r="Y142" s="242"/>
    </row>
    <row r="143">
      <c r="A143" s="242"/>
      <c r="B143" s="242"/>
      <c r="C143" s="242"/>
      <c r="D143" s="242"/>
      <c r="E143" s="242"/>
      <c r="F143" s="242"/>
      <c r="G143" s="671"/>
      <c r="H143" s="671"/>
      <c r="I143" s="242"/>
      <c r="J143" s="242"/>
      <c r="K143" s="242"/>
      <c r="L143" s="389"/>
      <c r="M143" s="389"/>
      <c r="N143" s="242"/>
      <c r="O143" s="242"/>
      <c r="P143" s="13"/>
      <c r="Q143" s="242"/>
      <c r="R143" s="13"/>
      <c r="S143" s="13"/>
      <c r="T143" s="242"/>
      <c r="U143" s="242"/>
      <c r="V143" s="242"/>
      <c r="W143" s="242"/>
      <c r="X143" s="242"/>
      <c r="Y143" s="242"/>
    </row>
    <row r="144">
      <c r="A144" s="242"/>
      <c r="B144" s="242"/>
      <c r="C144" s="242"/>
      <c r="D144" s="242"/>
      <c r="E144" s="242"/>
      <c r="F144" s="242"/>
      <c r="G144" s="671"/>
      <c r="H144" s="671"/>
      <c r="I144" s="242"/>
      <c r="J144" s="242"/>
      <c r="K144" s="242"/>
      <c r="L144" s="389"/>
      <c r="M144" s="389"/>
      <c r="N144" s="242"/>
      <c r="O144" s="242"/>
      <c r="P144" s="13"/>
      <c r="Q144" s="242"/>
      <c r="R144" s="13"/>
      <c r="S144" s="13"/>
      <c r="T144" s="242"/>
      <c r="U144" s="242"/>
      <c r="V144" s="242"/>
      <c r="W144" s="242"/>
      <c r="X144" s="242"/>
      <c r="Y144" s="242"/>
    </row>
    <row r="145">
      <c r="A145" s="242"/>
      <c r="B145" s="242"/>
      <c r="C145" s="242"/>
      <c r="D145" s="242"/>
      <c r="E145" s="242"/>
      <c r="F145" s="242"/>
      <c r="G145" s="671"/>
      <c r="H145" s="671"/>
      <c r="I145" s="242"/>
      <c r="J145" s="242"/>
      <c r="K145" s="242"/>
      <c r="L145" s="389"/>
      <c r="M145" s="389"/>
      <c r="N145" s="242"/>
      <c r="O145" s="242"/>
      <c r="P145" s="13"/>
      <c r="Q145" s="242"/>
      <c r="R145" s="13"/>
      <c r="S145" s="13"/>
      <c r="T145" s="242"/>
      <c r="U145" s="242"/>
      <c r="V145" s="242"/>
      <c r="W145" s="242"/>
      <c r="X145" s="242"/>
      <c r="Y145" s="242"/>
    </row>
    <row r="146">
      <c r="A146" s="242"/>
      <c r="B146" s="242"/>
      <c r="C146" s="242"/>
      <c r="D146" s="242"/>
      <c r="E146" s="242"/>
      <c r="F146" s="242"/>
      <c r="G146" s="671"/>
      <c r="H146" s="671"/>
      <c r="I146" s="242"/>
      <c r="J146" s="242"/>
      <c r="K146" s="242"/>
      <c r="L146" s="389"/>
      <c r="M146" s="389"/>
      <c r="N146" s="242"/>
      <c r="O146" s="242"/>
      <c r="P146" s="13"/>
      <c r="Q146" s="242"/>
      <c r="R146" s="13"/>
      <c r="S146" s="13"/>
      <c r="T146" s="242"/>
      <c r="U146" s="242"/>
      <c r="V146" s="242"/>
      <c r="W146" s="242"/>
      <c r="X146" s="242"/>
      <c r="Y146" s="242"/>
    </row>
    <row r="147">
      <c r="A147" s="242"/>
      <c r="B147" s="242"/>
      <c r="C147" s="242"/>
      <c r="D147" s="242"/>
      <c r="E147" s="242"/>
      <c r="F147" s="242"/>
      <c r="G147" s="671"/>
      <c r="H147" s="671"/>
      <c r="I147" s="242"/>
      <c r="J147" s="242"/>
      <c r="K147" s="242"/>
      <c r="L147" s="389"/>
      <c r="M147" s="389"/>
      <c r="N147" s="242"/>
      <c r="O147" s="242"/>
      <c r="P147" s="13"/>
      <c r="Q147" s="242"/>
      <c r="R147" s="13"/>
      <c r="S147" s="13"/>
      <c r="T147" s="242"/>
      <c r="U147" s="242"/>
      <c r="V147" s="242"/>
      <c r="W147" s="242"/>
      <c r="X147" s="242"/>
      <c r="Y147" s="242"/>
    </row>
    <row r="148">
      <c r="A148" s="242"/>
      <c r="B148" s="242"/>
      <c r="C148" s="242"/>
      <c r="D148" s="242"/>
      <c r="E148" s="242"/>
      <c r="F148" s="242"/>
      <c r="G148" s="671"/>
      <c r="H148" s="671"/>
      <c r="I148" s="242"/>
      <c r="J148" s="242"/>
      <c r="K148" s="242"/>
      <c r="L148" s="389"/>
      <c r="M148" s="389"/>
      <c r="N148" s="242"/>
      <c r="O148" s="242"/>
      <c r="P148" s="13"/>
      <c r="Q148" s="242"/>
      <c r="R148" s="13"/>
      <c r="S148" s="13"/>
      <c r="T148" s="242"/>
      <c r="U148" s="242"/>
      <c r="V148" s="242"/>
      <c r="W148" s="242"/>
      <c r="X148" s="242"/>
      <c r="Y148" s="242"/>
    </row>
    <row r="149">
      <c r="A149" s="242"/>
      <c r="B149" s="242"/>
      <c r="C149" s="242"/>
      <c r="D149" s="242"/>
      <c r="E149" s="242"/>
      <c r="F149" s="242"/>
      <c r="G149" s="671"/>
      <c r="H149" s="671"/>
      <c r="I149" s="242"/>
      <c r="J149" s="242"/>
      <c r="K149" s="242"/>
      <c r="L149" s="389"/>
      <c r="M149" s="389"/>
      <c r="N149" s="242"/>
      <c r="O149" s="242"/>
      <c r="P149" s="13"/>
      <c r="Q149" s="242"/>
      <c r="R149" s="13"/>
      <c r="S149" s="13"/>
      <c r="T149" s="242"/>
      <c r="U149" s="242"/>
      <c r="V149" s="242"/>
      <c r="W149" s="242"/>
      <c r="X149" s="242"/>
      <c r="Y149" s="242"/>
    </row>
    <row r="150">
      <c r="A150" s="242"/>
      <c r="B150" s="242"/>
      <c r="C150" s="242"/>
      <c r="D150" s="242"/>
      <c r="E150" s="242"/>
      <c r="F150" s="242"/>
      <c r="G150" s="671"/>
      <c r="H150" s="671"/>
      <c r="I150" s="242"/>
      <c r="J150" s="242"/>
      <c r="K150" s="242"/>
      <c r="L150" s="389"/>
      <c r="M150" s="389"/>
      <c r="N150" s="242"/>
      <c r="O150" s="242"/>
      <c r="P150" s="13"/>
      <c r="Q150" s="242"/>
      <c r="R150" s="13"/>
      <c r="S150" s="13"/>
      <c r="T150" s="242"/>
      <c r="U150" s="242"/>
      <c r="V150" s="242"/>
      <c r="W150" s="242"/>
      <c r="X150" s="242"/>
      <c r="Y150" s="242"/>
    </row>
    <row r="151">
      <c r="A151" s="242"/>
      <c r="B151" s="242"/>
      <c r="C151" s="242"/>
      <c r="D151" s="242"/>
      <c r="E151" s="242"/>
      <c r="F151" s="242"/>
      <c r="G151" s="671"/>
      <c r="H151" s="671"/>
      <c r="I151" s="242"/>
      <c r="J151" s="242"/>
      <c r="K151" s="242"/>
      <c r="L151" s="389"/>
      <c r="M151" s="389"/>
      <c r="N151" s="242"/>
      <c r="O151" s="242"/>
      <c r="P151" s="13"/>
      <c r="Q151" s="242"/>
      <c r="R151" s="13"/>
      <c r="S151" s="13"/>
      <c r="T151" s="242"/>
      <c r="U151" s="242"/>
      <c r="V151" s="242"/>
      <c r="W151" s="242"/>
      <c r="X151" s="242"/>
      <c r="Y151" s="242"/>
    </row>
    <row r="152">
      <c r="A152" s="242"/>
      <c r="B152" s="242"/>
      <c r="C152" s="242"/>
      <c r="D152" s="242"/>
      <c r="E152" s="242"/>
      <c r="F152" s="242"/>
      <c r="G152" s="671"/>
      <c r="H152" s="671"/>
      <c r="I152" s="242"/>
      <c r="J152" s="242"/>
      <c r="K152" s="242"/>
      <c r="L152" s="389"/>
      <c r="M152" s="389"/>
      <c r="N152" s="242"/>
      <c r="O152" s="242"/>
      <c r="P152" s="13"/>
      <c r="Q152" s="242"/>
      <c r="R152" s="13"/>
      <c r="S152" s="13"/>
      <c r="T152" s="242"/>
      <c r="U152" s="242"/>
      <c r="V152" s="242"/>
      <c r="W152" s="242"/>
      <c r="X152" s="242"/>
      <c r="Y152" s="242"/>
    </row>
    <row r="153">
      <c r="A153" s="242"/>
      <c r="B153" s="242"/>
      <c r="C153" s="242"/>
      <c r="D153" s="242"/>
      <c r="E153" s="242"/>
      <c r="F153" s="242"/>
      <c r="G153" s="671"/>
      <c r="H153" s="671"/>
      <c r="I153" s="242"/>
      <c r="J153" s="242"/>
      <c r="K153" s="242"/>
      <c r="L153" s="389"/>
      <c r="M153" s="389"/>
      <c r="N153" s="242"/>
      <c r="O153" s="242"/>
      <c r="P153" s="13"/>
      <c r="Q153" s="242"/>
      <c r="R153" s="13"/>
      <c r="S153" s="13"/>
      <c r="T153" s="242"/>
      <c r="U153" s="242"/>
      <c r="V153" s="242"/>
      <c r="W153" s="242"/>
      <c r="X153" s="242"/>
      <c r="Y153" s="242"/>
    </row>
    <row r="154">
      <c r="A154" s="242"/>
      <c r="B154" s="242"/>
      <c r="C154" s="242"/>
      <c r="D154" s="242"/>
      <c r="E154" s="242"/>
      <c r="F154" s="242"/>
      <c r="G154" s="671"/>
      <c r="H154" s="671"/>
      <c r="I154" s="242"/>
      <c r="J154" s="242"/>
      <c r="K154" s="242"/>
      <c r="L154" s="389"/>
      <c r="M154" s="389"/>
      <c r="N154" s="242"/>
      <c r="O154" s="242"/>
      <c r="P154" s="13"/>
      <c r="Q154" s="242"/>
      <c r="R154" s="13"/>
      <c r="S154" s="13"/>
      <c r="T154" s="242"/>
      <c r="U154" s="242"/>
      <c r="V154" s="242"/>
      <c r="W154" s="242"/>
      <c r="X154" s="242"/>
      <c r="Y154" s="242"/>
    </row>
    <row r="155">
      <c r="A155" s="242"/>
      <c r="B155" s="242"/>
      <c r="C155" s="242"/>
      <c r="D155" s="242"/>
      <c r="E155" s="242"/>
      <c r="F155" s="242"/>
      <c r="G155" s="671"/>
      <c r="H155" s="671"/>
      <c r="I155" s="242"/>
      <c r="J155" s="242"/>
      <c r="K155" s="242"/>
      <c r="L155" s="389"/>
      <c r="M155" s="389"/>
      <c r="N155" s="242"/>
      <c r="O155" s="242"/>
      <c r="P155" s="13"/>
      <c r="Q155" s="242"/>
      <c r="R155" s="13"/>
      <c r="S155" s="13"/>
      <c r="T155" s="242"/>
      <c r="U155" s="242"/>
      <c r="V155" s="242"/>
      <c r="W155" s="242"/>
      <c r="X155" s="242"/>
      <c r="Y155" s="242"/>
    </row>
    <row r="156">
      <c r="A156" s="242"/>
      <c r="B156" s="242"/>
      <c r="C156" s="242"/>
      <c r="D156" s="242"/>
      <c r="E156" s="242"/>
      <c r="F156" s="242"/>
      <c r="G156" s="671"/>
      <c r="H156" s="671"/>
      <c r="I156" s="242"/>
      <c r="J156" s="242"/>
      <c r="K156" s="242"/>
      <c r="L156" s="389"/>
      <c r="M156" s="389"/>
      <c r="N156" s="242"/>
      <c r="O156" s="242"/>
      <c r="P156" s="13"/>
      <c r="Q156" s="242"/>
      <c r="R156" s="13"/>
      <c r="S156" s="13"/>
      <c r="T156" s="242"/>
      <c r="U156" s="242"/>
      <c r="V156" s="242"/>
      <c r="W156" s="242"/>
      <c r="X156" s="242"/>
      <c r="Y156" s="242"/>
    </row>
    <row r="157">
      <c r="A157" s="242"/>
      <c r="B157" s="242"/>
      <c r="C157" s="242"/>
      <c r="D157" s="242"/>
      <c r="E157" s="242"/>
      <c r="F157" s="242"/>
      <c r="G157" s="671"/>
      <c r="H157" s="671"/>
      <c r="I157" s="242"/>
      <c r="J157" s="242"/>
      <c r="K157" s="242"/>
      <c r="L157" s="389"/>
      <c r="M157" s="389"/>
      <c r="N157" s="242"/>
      <c r="O157" s="242"/>
      <c r="P157" s="13"/>
      <c r="Q157" s="242"/>
      <c r="R157" s="13"/>
      <c r="S157" s="13"/>
      <c r="T157" s="242"/>
      <c r="U157" s="242"/>
      <c r="V157" s="242"/>
      <c r="W157" s="242"/>
      <c r="X157" s="242"/>
      <c r="Y157" s="242"/>
    </row>
    <row r="158">
      <c r="A158" s="242"/>
      <c r="B158" s="242"/>
      <c r="C158" s="242"/>
      <c r="D158" s="242"/>
      <c r="E158" s="242"/>
      <c r="F158" s="242"/>
      <c r="G158" s="671"/>
      <c r="H158" s="671"/>
      <c r="I158" s="242"/>
      <c r="J158" s="242"/>
      <c r="K158" s="242"/>
      <c r="L158" s="389"/>
      <c r="M158" s="389"/>
      <c r="N158" s="242"/>
      <c r="O158" s="242"/>
      <c r="P158" s="13"/>
      <c r="Q158" s="242"/>
      <c r="R158" s="13"/>
      <c r="S158" s="13"/>
      <c r="T158" s="242"/>
      <c r="U158" s="242"/>
      <c r="V158" s="242"/>
      <c r="W158" s="242"/>
      <c r="X158" s="242"/>
      <c r="Y158" s="242"/>
    </row>
    <row r="159">
      <c r="A159" s="242"/>
      <c r="B159" s="242"/>
      <c r="C159" s="242"/>
      <c r="D159" s="242"/>
      <c r="E159" s="242"/>
      <c r="F159" s="242"/>
      <c r="G159" s="671"/>
      <c r="H159" s="671"/>
      <c r="I159" s="242"/>
      <c r="J159" s="242"/>
      <c r="K159" s="242"/>
      <c r="L159" s="389"/>
      <c r="M159" s="389"/>
      <c r="N159" s="242"/>
      <c r="O159" s="242"/>
      <c r="P159" s="13"/>
      <c r="Q159" s="242"/>
      <c r="R159" s="13"/>
      <c r="S159" s="13"/>
      <c r="T159" s="242"/>
      <c r="U159" s="242"/>
      <c r="V159" s="242"/>
      <c r="W159" s="242"/>
      <c r="X159" s="242"/>
      <c r="Y159" s="242"/>
    </row>
    <row r="160">
      <c r="A160" s="242"/>
      <c r="B160" s="242"/>
      <c r="C160" s="242"/>
      <c r="D160" s="242"/>
      <c r="E160" s="242"/>
      <c r="F160" s="242"/>
      <c r="G160" s="671"/>
      <c r="H160" s="671"/>
      <c r="I160" s="242"/>
      <c r="J160" s="242"/>
      <c r="K160" s="242"/>
      <c r="L160" s="389"/>
      <c r="M160" s="389"/>
      <c r="N160" s="242"/>
      <c r="O160" s="242"/>
      <c r="P160" s="13"/>
      <c r="Q160" s="242"/>
      <c r="R160" s="13"/>
      <c r="S160" s="13"/>
      <c r="T160" s="242"/>
      <c r="U160" s="242"/>
      <c r="V160" s="242"/>
      <c r="W160" s="242"/>
      <c r="X160" s="242"/>
      <c r="Y160" s="242"/>
    </row>
    <row r="161">
      <c r="A161" s="242"/>
      <c r="B161" s="242"/>
      <c r="C161" s="242"/>
      <c r="D161" s="242"/>
      <c r="E161" s="242"/>
      <c r="F161" s="242"/>
      <c r="G161" s="671"/>
      <c r="H161" s="671"/>
      <c r="I161" s="242"/>
      <c r="J161" s="242"/>
      <c r="K161" s="242"/>
      <c r="L161" s="389"/>
      <c r="M161" s="389"/>
      <c r="N161" s="242"/>
      <c r="O161" s="242"/>
      <c r="P161" s="13"/>
      <c r="Q161" s="242"/>
      <c r="R161" s="13"/>
      <c r="S161" s="13"/>
      <c r="T161" s="242"/>
      <c r="U161" s="242"/>
      <c r="V161" s="242"/>
      <c r="W161" s="242"/>
      <c r="X161" s="242"/>
      <c r="Y161" s="242"/>
    </row>
    <row r="162">
      <c r="A162" s="242"/>
      <c r="B162" s="242"/>
      <c r="C162" s="242"/>
      <c r="D162" s="242"/>
      <c r="E162" s="242"/>
      <c r="F162" s="242"/>
      <c r="G162" s="671"/>
      <c r="H162" s="671"/>
      <c r="I162" s="242"/>
      <c r="J162" s="242"/>
      <c r="K162" s="242"/>
      <c r="L162" s="389"/>
      <c r="M162" s="389"/>
      <c r="N162" s="242"/>
      <c r="O162" s="242"/>
      <c r="P162" s="13"/>
      <c r="Q162" s="242"/>
      <c r="R162" s="13"/>
      <c r="S162" s="13"/>
      <c r="T162" s="242"/>
      <c r="U162" s="242"/>
      <c r="V162" s="242"/>
      <c r="W162" s="242"/>
      <c r="X162" s="242"/>
      <c r="Y162" s="242"/>
    </row>
    <row r="163">
      <c r="A163" s="242"/>
      <c r="B163" s="242"/>
      <c r="C163" s="242"/>
      <c r="D163" s="242"/>
      <c r="E163" s="242"/>
      <c r="F163" s="242"/>
      <c r="G163" s="671"/>
      <c r="H163" s="671"/>
      <c r="I163" s="242"/>
      <c r="J163" s="242"/>
      <c r="K163" s="242"/>
      <c r="L163" s="389"/>
      <c r="M163" s="389"/>
      <c r="N163" s="242"/>
      <c r="O163" s="242"/>
      <c r="P163" s="13"/>
      <c r="Q163" s="242"/>
      <c r="R163" s="13"/>
      <c r="S163" s="13"/>
      <c r="T163" s="242"/>
      <c r="U163" s="242"/>
      <c r="V163" s="242"/>
      <c r="W163" s="242"/>
      <c r="X163" s="242"/>
      <c r="Y163" s="242"/>
    </row>
    <row r="164">
      <c r="A164" s="242"/>
      <c r="B164" s="242"/>
      <c r="C164" s="242"/>
      <c r="D164" s="242"/>
      <c r="E164" s="242"/>
      <c r="F164" s="242"/>
      <c r="G164" s="671"/>
      <c r="H164" s="671"/>
      <c r="I164" s="242"/>
      <c r="J164" s="242"/>
      <c r="K164" s="242"/>
      <c r="L164" s="389"/>
      <c r="M164" s="389"/>
      <c r="N164" s="242"/>
      <c r="O164" s="242"/>
      <c r="P164" s="13"/>
      <c r="Q164" s="242"/>
      <c r="R164" s="13"/>
      <c r="S164" s="13"/>
      <c r="T164" s="242"/>
      <c r="U164" s="242"/>
      <c r="V164" s="242"/>
      <c r="W164" s="242"/>
      <c r="X164" s="242"/>
      <c r="Y164" s="242"/>
    </row>
    <row r="165">
      <c r="A165" s="242"/>
      <c r="B165" s="242"/>
      <c r="C165" s="242"/>
      <c r="D165" s="242"/>
      <c r="E165" s="242"/>
      <c r="F165" s="242"/>
      <c r="G165" s="671"/>
      <c r="H165" s="671"/>
      <c r="I165" s="242"/>
      <c r="J165" s="242"/>
      <c r="K165" s="242"/>
      <c r="L165" s="389"/>
      <c r="M165" s="389"/>
      <c r="N165" s="242"/>
      <c r="O165" s="242"/>
      <c r="P165" s="13"/>
      <c r="Q165" s="242"/>
      <c r="R165" s="13"/>
      <c r="S165" s="13"/>
      <c r="T165" s="242"/>
      <c r="U165" s="242"/>
      <c r="V165" s="242"/>
      <c r="W165" s="242"/>
      <c r="X165" s="242"/>
      <c r="Y165" s="242"/>
    </row>
    <row r="166">
      <c r="A166" s="242"/>
      <c r="B166" s="242"/>
      <c r="C166" s="242"/>
      <c r="D166" s="242"/>
      <c r="E166" s="242"/>
      <c r="F166" s="242"/>
      <c r="G166" s="671"/>
      <c r="H166" s="671"/>
      <c r="I166" s="242"/>
      <c r="J166" s="242"/>
      <c r="K166" s="242"/>
      <c r="L166" s="389"/>
      <c r="M166" s="389"/>
      <c r="N166" s="242"/>
      <c r="O166" s="242"/>
      <c r="P166" s="13"/>
      <c r="Q166" s="242"/>
      <c r="R166" s="13"/>
      <c r="S166" s="13"/>
      <c r="T166" s="242"/>
      <c r="U166" s="242"/>
      <c r="V166" s="242"/>
      <c r="W166" s="242"/>
      <c r="X166" s="242"/>
      <c r="Y166" s="242"/>
    </row>
    <row r="167">
      <c r="A167" s="242"/>
      <c r="B167" s="242"/>
      <c r="C167" s="242"/>
      <c r="D167" s="242"/>
      <c r="E167" s="242"/>
      <c r="F167" s="242"/>
      <c r="G167" s="671"/>
      <c r="H167" s="671"/>
      <c r="I167" s="242"/>
      <c r="J167" s="242"/>
      <c r="K167" s="242"/>
      <c r="L167" s="389"/>
      <c r="M167" s="389"/>
      <c r="N167" s="242"/>
      <c r="O167" s="242"/>
      <c r="P167" s="13"/>
      <c r="Q167" s="242"/>
      <c r="R167" s="13"/>
      <c r="S167" s="13"/>
      <c r="T167" s="242"/>
      <c r="U167" s="242"/>
      <c r="V167" s="242"/>
      <c r="W167" s="242"/>
      <c r="X167" s="242"/>
      <c r="Y167" s="242"/>
    </row>
    <row r="168">
      <c r="A168" s="242"/>
      <c r="B168" s="242"/>
      <c r="C168" s="242"/>
      <c r="D168" s="242"/>
      <c r="E168" s="242"/>
      <c r="F168" s="242"/>
      <c r="G168" s="671"/>
      <c r="H168" s="671"/>
      <c r="I168" s="242"/>
      <c r="J168" s="242"/>
      <c r="K168" s="242"/>
      <c r="L168" s="389"/>
      <c r="M168" s="389"/>
      <c r="N168" s="242"/>
      <c r="O168" s="242"/>
      <c r="P168" s="13"/>
      <c r="Q168" s="242"/>
      <c r="R168" s="13"/>
      <c r="S168" s="13"/>
      <c r="T168" s="242"/>
      <c r="U168" s="242"/>
      <c r="V168" s="242"/>
      <c r="W168" s="242"/>
      <c r="X168" s="242"/>
      <c r="Y168" s="242"/>
    </row>
    <row r="169">
      <c r="A169" s="242"/>
      <c r="B169" s="242"/>
      <c r="C169" s="242"/>
      <c r="D169" s="242"/>
      <c r="E169" s="242"/>
      <c r="F169" s="242"/>
      <c r="G169" s="671"/>
      <c r="H169" s="671"/>
      <c r="I169" s="242"/>
      <c r="J169" s="242"/>
      <c r="K169" s="242"/>
      <c r="L169" s="389"/>
      <c r="M169" s="389"/>
      <c r="N169" s="242"/>
      <c r="O169" s="242"/>
      <c r="P169" s="13"/>
      <c r="Q169" s="242"/>
      <c r="R169" s="13"/>
      <c r="S169" s="13"/>
      <c r="T169" s="242"/>
      <c r="U169" s="242"/>
      <c r="V169" s="242"/>
      <c r="W169" s="242"/>
      <c r="X169" s="242"/>
      <c r="Y169" s="242"/>
    </row>
    <row r="170">
      <c r="A170" s="242"/>
      <c r="B170" s="242"/>
      <c r="C170" s="242"/>
      <c r="D170" s="242"/>
      <c r="E170" s="242"/>
      <c r="F170" s="242"/>
      <c r="G170" s="671"/>
      <c r="H170" s="671"/>
      <c r="I170" s="242"/>
      <c r="J170" s="242"/>
      <c r="K170" s="242"/>
      <c r="L170" s="389"/>
      <c r="M170" s="389"/>
      <c r="N170" s="242"/>
      <c r="O170" s="242"/>
      <c r="P170" s="13"/>
      <c r="Q170" s="242"/>
      <c r="R170" s="13"/>
      <c r="S170" s="13"/>
      <c r="T170" s="242"/>
      <c r="U170" s="242"/>
      <c r="V170" s="242"/>
      <c r="W170" s="242"/>
      <c r="X170" s="242"/>
      <c r="Y170" s="242"/>
    </row>
    <row r="171">
      <c r="A171" s="242"/>
      <c r="B171" s="242"/>
      <c r="C171" s="242"/>
      <c r="D171" s="242"/>
      <c r="E171" s="242"/>
      <c r="F171" s="242"/>
      <c r="G171" s="671"/>
      <c r="H171" s="671"/>
      <c r="I171" s="242"/>
      <c r="J171" s="242"/>
      <c r="K171" s="242"/>
      <c r="L171" s="389"/>
      <c r="M171" s="389"/>
      <c r="N171" s="242"/>
      <c r="O171" s="242"/>
      <c r="P171" s="13"/>
      <c r="Q171" s="242"/>
      <c r="R171" s="13"/>
      <c r="S171" s="13"/>
      <c r="T171" s="242"/>
      <c r="U171" s="242"/>
      <c r="V171" s="242"/>
      <c r="W171" s="242"/>
      <c r="X171" s="242"/>
      <c r="Y171" s="242"/>
    </row>
    <row r="172">
      <c r="A172" s="242"/>
      <c r="B172" s="242"/>
      <c r="C172" s="242"/>
      <c r="D172" s="242"/>
      <c r="E172" s="242"/>
      <c r="F172" s="242"/>
      <c r="G172" s="671"/>
      <c r="H172" s="671"/>
      <c r="I172" s="242"/>
      <c r="J172" s="242"/>
      <c r="K172" s="242"/>
      <c r="L172" s="389"/>
      <c r="M172" s="389"/>
      <c r="N172" s="242"/>
      <c r="O172" s="242"/>
      <c r="P172" s="13"/>
      <c r="Q172" s="242"/>
      <c r="R172" s="13"/>
      <c r="S172" s="13"/>
      <c r="T172" s="242"/>
      <c r="U172" s="242"/>
      <c r="V172" s="242"/>
      <c r="W172" s="242"/>
      <c r="X172" s="242"/>
      <c r="Y172" s="242"/>
    </row>
    <row r="173">
      <c r="A173" s="242"/>
      <c r="B173" s="242"/>
      <c r="C173" s="242"/>
      <c r="D173" s="242"/>
      <c r="E173" s="242"/>
      <c r="F173" s="242"/>
      <c r="G173" s="671"/>
      <c r="H173" s="671"/>
      <c r="I173" s="242"/>
      <c r="J173" s="242"/>
      <c r="K173" s="242"/>
      <c r="L173" s="389"/>
      <c r="M173" s="389"/>
      <c r="N173" s="242"/>
      <c r="O173" s="242"/>
      <c r="P173" s="13"/>
      <c r="Q173" s="242"/>
      <c r="R173" s="13"/>
      <c r="S173" s="13"/>
      <c r="T173" s="242"/>
      <c r="U173" s="242"/>
      <c r="V173" s="242"/>
      <c r="W173" s="242"/>
      <c r="X173" s="242"/>
      <c r="Y173" s="242"/>
    </row>
    <row r="174">
      <c r="A174" s="242"/>
      <c r="B174" s="242"/>
      <c r="C174" s="242"/>
      <c r="D174" s="242"/>
      <c r="E174" s="242"/>
      <c r="F174" s="242"/>
      <c r="G174" s="671"/>
      <c r="H174" s="671"/>
      <c r="I174" s="242"/>
      <c r="J174" s="242"/>
      <c r="K174" s="242"/>
      <c r="L174" s="389"/>
      <c r="M174" s="389"/>
      <c r="N174" s="242"/>
      <c r="O174" s="242"/>
      <c r="P174" s="13"/>
      <c r="Q174" s="242"/>
      <c r="R174" s="13"/>
      <c r="S174" s="13"/>
      <c r="T174" s="242"/>
      <c r="U174" s="242"/>
      <c r="V174" s="242"/>
      <c r="W174" s="242"/>
      <c r="X174" s="242"/>
      <c r="Y174" s="242"/>
    </row>
    <row r="175">
      <c r="A175" s="242"/>
      <c r="B175" s="242"/>
      <c r="C175" s="242"/>
      <c r="D175" s="242"/>
      <c r="E175" s="242"/>
      <c r="F175" s="242"/>
      <c r="G175" s="671"/>
      <c r="H175" s="671"/>
      <c r="I175" s="242"/>
      <c r="J175" s="242"/>
      <c r="K175" s="242"/>
      <c r="L175" s="389"/>
      <c r="M175" s="389"/>
      <c r="N175" s="242"/>
      <c r="O175" s="242"/>
      <c r="P175" s="13"/>
      <c r="Q175" s="242"/>
      <c r="R175" s="13"/>
      <c r="S175" s="13"/>
      <c r="T175" s="242"/>
      <c r="U175" s="242"/>
      <c r="V175" s="242"/>
      <c r="W175" s="242"/>
      <c r="X175" s="242"/>
      <c r="Y175" s="242"/>
    </row>
    <row r="176">
      <c r="A176" s="242"/>
      <c r="B176" s="242"/>
      <c r="C176" s="242"/>
      <c r="D176" s="242"/>
      <c r="E176" s="242"/>
      <c r="F176" s="242"/>
      <c r="G176" s="671"/>
      <c r="H176" s="671"/>
      <c r="I176" s="242"/>
      <c r="J176" s="242"/>
      <c r="K176" s="242"/>
      <c r="L176" s="389"/>
      <c r="M176" s="389"/>
      <c r="N176" s="242"/>
      <c r="O176" s="242"/>
      <c r="P176" s="13"/>
      <c r="Q176" s="242"/>
      <c r="R176" s="13"/>
      <c r="S176" s="13"/>
      <c r="T176" s="242"/>
      <c r="U176" s="242"/>
      <c r="V176" s="242"/>
      <c r="W176" s="242"/>
      <c r="X176" s="242"/>
      <c r="Y176" s="242"/>
    </row>
    <row r="177">
      <c r="A177" s="242"/>
      <c r="B177" s="242"/>
      <c r="C177" s="242"/>
      <c r="D177" s="242"/>
      <c r="E177" s="242"/>
      <c r="F177" s="242"/>
      <c r="G177" s="671"/>
      <c r="H177" s="671"/>
      <c r="I177" s="242"/>
      <c r="J177" s="242"/>
      <c r="K177" s="242"/>
      <c r="L177" s="389"/>
      <c r="M177" s="389"/>
      <c r="N177" s="242"/>
      <c r="O177" s="242"/>
      <c r="P177" s="13"/>
      <c r="Q177" s="242"/>
      <c r="R177" s="13"/>
      <c r="S177" s="13"/>
      <c r="T177" s="242"/>
      <c r="U177" s="242"/>
      <c r="V177" s="242"/>
      <c r="W177" s="242"/>
      <c r="X177" s="242"/>
      <c r="Y177" s="242"/>
    </row>
    <row r="178">
      <c r="A178" s="242"/>
      <c r="B178" s="242"/>
      <c r="C178" s="242"/>
      <c r="D178" s="242"/>
      <c r="E178" s="242"/>
      <c r="F178" s="242"/>
      <c r="G178" s="671"/>
      <c r="H178" s="671"/>
      <c r="I178" s="242"/>
      <c r="J178" s="242"/>
      <c r="K178" s="242"/>
      <c r="L178" s="389"/>
      <c r="M178" s="389"/>
      <c r="N178" s="242"/>
      <c r="O178" s="242"/>
      <c r="P178" s="13"/>
      <c r="Q178" s="242"/>
      <c r="R178" s="13"/>
      <c r="S178" s="13"/>
      <c r="T178" s="242"/>
      <c r="U178" s="242"/>
      <c r="V178" s="242"/>
      <c r="W178" s="242"/>
      <c r="X178" s="242"/>
      <c r="Y178" s="242"/>
    </row>
    <row r="179">
      <c r="A179" s="242"/>
      <c r="B179" s="242"/>
      <c r="C179" s="242"/>
      <c r="D179" s="242"/>
      <c r="E179" s="242"/>
      <c r="F179" s="242"/>
      <c r="G179" s="671"/>
      <c r="H179" s="671"/>
      <c r="I179" s="242"/>
      <c r="J179" s="242"/>
      <c r="K179" s="242"/>
      <c r="L179" s="389"/>
      <c r="M179" s="389"/>
      <c r="N179" s="242"/>
      <c r="O179" s="242"/>
      <c r="P179" s="13"/>
      <c r="Q179" s="242"/>
      <c r="R179" s="13"/>
      <c r="S179" s="13"/>
      <c r="T179" s="242"/>
      <c r="U179" s="242"/>
      <c r="V179" s="242"/>
      <c r="W179" s="242"/>
      <c r="X179" s="242"/>
      <c r="Y179" s="242"/>
    </row>
    <row r="180">
      <c r="A180" s="242"/>
      <c r="B180" s="242"/>
      <c r="C180" s="242"/>
      <c r="D180" s="242"/>
      <c r="E180" s="242"/>
      <c r="F180" s="242"/>
      <c r="G180" s="671"/>
      <c r="H180" s="671"/>
      <c r="I180" s="242"/>
      <c r="J180" s="242"/>
      <c r="K180" s="242"/>
      <c r="L180" s="389"/>
      <c r="M180" s="389"/>
      <c r="N180" s="242"/>
      <c r="O180" s="242"/>
      <c r="P180" s="13"/>
      <c r="Q180" s="242"/>
      <c r="R180" s="13"/>
      <c r="S180" s="13"/>
      <c r="T180" s="242"/>
      <c r="U180" s="242"/>
      <c r="V180" s="242"/>
      <c r="W180" s="242"/>
      <c r="X180" s="242"/>
      <c r="Y180" s="242"/>
    </row>
    <row r="181">
      <c r="A181" s="242"/>
      <c r="B181" s="242"/>
      <c r="C181" s="242"/>
      <c r="D181" s="242"/>
      <c r="E181" s="242"/>
      <c r="F181" s="242"/>
      <c r="G181" s="671"/>
      <c r="H181" s="671"/>
      <c r="I181" s="242"/>
      <c r="J181" s="242"/>
      <c r="K181" s="242"/>
      <c r="L181" s="389"/>
      <c r="M181" s="389"/>
      <c r="N181" s="242"/>
      <c r="O181" s="242"/>
      <c r="P181" s="13"/>
      <c r="Q181" s="242"/>
      <c r="R181" s="13"/>
      <c r="S181" s="13"/>
      <c r="T181" s="242"/>
      <c r="U181" s="242"/>
      <c r="V181" s="242"/>
      <c r="W181" s="242"/>
      <c r="X181" s="242"/>
      <c r="Y181" s="242"/>
    </row>
    <row r="182">
      <c r="A182" s="242"/>
      <c r="B182" s="242"/>
      <c r="C182" s="242"/>
      <c r="D182" s="242"/>
      <c r="E182" s="242"/>
      <c r="F182" s="242"/>
      <c r="G182" s="671"/>
      <c r="H182" s="671"/>
      <c r="I182" s="242"/>
      <c r="J182" s="242"/>
      <c r="K182" s="242"/>
      <c r="L182" s="389"/>
      <c r="M182" s="389"/>
      <c r="N182" s="242"/>
      <c r="O182" s="242"/>
      <c r="P182" s="13"/>
      <c r="Q182" s="242"/>
      <c r="R182" s="13"/>
      <c r="S182" s="13"/>
      <c r="T182" s="242"/>
      <c r="U182" s="242"/>
      <c r="V182" s="242"/>
      <c r="W182" s="242"/>
      <c r="X182" s="242"/>
      <c r="Y182" s="242"/>
    </row>
    <row r="183">
      <c r="A183" s="242"/>
      <c r="B183" s="242"/>
      <c r="C183" s="242"/>
      <c r="D183" s="242"/>
      <c r="E183" s="242"/>
      <c r="F183" s="242"/>
      <c r="G183" s="671"/>
      <c r="H183" s="671"/>
      <c r="I183" s="242"/>
      <c r="J183" s="242"/>
      <c r="K183" s="242"/>
      <c r="L183" s="389"/>
      <c r="M183" s="389"/>
      <c r="N183" s="242"/>
      <c r="O183" s="242"/>
      <c r="P183" s="13"/>
      <c r="Q183" s="242"/>
      <c r="R183" s="13"/>
      <c r="S183" s="13"/>
      <c r="T183" s="242"/>
      <c r="U183" s="242"/>
      <c r="V183" s="242"/>
      <c r="W183" s="242"/>
      <c r="X183" s="242"/>
      <c r="Y183" s="242"/>
    </row>
    <row r="184">
      <c r="A184" s="242"/>
      <c r="B184" s="242"/>
      <c r="C184" s="242"/>
      <c r="D184" s="242"/>
      <c r="E184" s="242"/>
      <c r="F184" s="242"/>
      <c r="G184" s="671"/>
      <c r="H184" s="671"/>
      <c r="I184" s="242"/>
      <c r="J184" s="242"/>
      <c r="K184" s="242"/>
      <c r="L184" s="389"/>
      <c r="M184" s="389"/>
      <c r="N184" s="242"/>
      <c r="O184" s="242"/>
      <c r="P184" s="13"/>
      <c r="Q184" s="242"/>
      <c r="R184" s="13"/>
      <c r="S184" s="13"/>
      <c r="T184" s="242"/>
      <c r="U184" s="242"/>
      <c r="V184" s="242"/>
      <c r="W184" s="242"/>
      <c r="X184" s="242"/>
      <c r="Y184" s="242"/>
    </row>
    <row r="185">
      <c r="A185" s="242"/>
      <c r="B185" s="242"/>
      <c r="C185" s="242"/>
      <c r="D185" s="242"/>
      <c r="E185" s="242"/>
      <c r="F185" s="242"/>
      <c r="G185" s="671"/>
      <c r="H185" s="671"/>
      <c r="I185" s="242"/>
      <c r="J185" s="242"/>
      <c r="K185" s="242"/>
      <c r="L185" s="389"/>
      <c r="M185" s="389"/>
      <c r="N185" s="242"/>
      <c r="O185" s="242"/>
      <c r="P185" s="13"/>
      <c r="Q185" s="242"/>
      <c r="R185" s="13"/>
      <c r="S185" s="13"/>
      <c r="T185" s="242"/>
      <c r="U185" s="242"/>
      <c r="V185" s="242"/>
      <c r="W185" s="242"/>
      <c r="X185" s="242"/>
      <c r="Y185" s="242"/>
    </row>
    <row r="186">
      <c r="A186" s="242"/>
      <c r="B186" s="242"/>
      <c r="C186" s="242"/>
      <c r="D186" s="242"/>
      <c r="E186" s="242"/>
      <c r="F186" s="242"/>
      <c r="G186" s="671"/>
      <c r="H186" s="671"/>
      <c r="I186" s="242"/>
      <c r="J186" s="242"/>
      <c r="K186" s="242"/>
      <c r="L186" s="389"/>
      <c r="M186" s="389"/>
      <c r="N186" s="242"/>
      <c r="O186" s="242"/>
      <c r="P186" s="13"/>
      <c r="Q186" s="242"/>
      <c r="R186" s="13"/>
      <c r="S186" s="13"/>
      <c r="T186" s="242"/>
      <c r="U186" s="242"/>
      <c r="V186" s="242"/>
      <c r="W186" s="242"/>
      <c r="X186" s="242"/>
      <c r="Y186" s="242"/>
    </row>
    <row r="187">
      <c r="A187" s="242"/>
      <c r="B187" s="242"/>
      <c r="C187" s="242"/>
      <c r="D187" s="242"/>
      <c r="E187" s="242"/>
      <c r="F187" s="242"/>
      <c r="G187" s="671"/>
      <c r="H187" s="671"/>
      <c r="I187" s="242"/>
      <c r="J187" s="242"/>
      <c r="K187" s="242"/>
      <c r="L187" s="389"/>
      <c r="M187" s="389"/>
      <c r="N187" s="242"/>
      <c r="O187" s="242"/>
      <c r="P187" s="13"/>
      <c r="Q187" s="242"/>
      <c r="R187" s="13"/>
      <c r="S187" s="13"/>
      <c r="T187" s="242"/>
      <c r="U187" s="242"/>
      <c r="V187" s="242"/>
      <c r="W187" s="242"/>
      <c r="X187" s="242"/>
      <c r="Y187" s="242"/>
    </row>
    <row r="188">
      <c r="A188" s="242"/>
      <c r="B188" s="242"/>
      <c r="C188" s="242"/>
      <c r="D188" s="242"/>
      <c r="E188" s="242"/>
      <c r="F188" s="242"/>
      <c r="G188" s="671"/>
      <c r="H188" s="671"/>
      <c r="I188" s="242"/>
      <c r="J188" s="242"/>
      <c r="K188" s="242"/>
      <c r="L188" s="389"/>
      <c r="M188" s="389"/>
      <c r="N188" s="242"/>
      <c r="O188" s="242"/>
      <c r="P188" s="13"/>
      <c r="Q188" s="242"/>
      <c r="R188" s="13"/>
      <c r="S188" s="13"/>
      <c r="T188" s="242"/>
      <c r="U188" s="242"/>
      <c r="V188" s="242"/>
      <c r="W188" s="242"/>
      <c r="X188" s="242"/>
      <c r="Y188" s="242"/>
    </row>
    <row r="189">
      <c r="A189" s="242"/>
      <c r="B189" s="242"/>
      <c r="C189" s="242"/>
      <c r="D189" s="242"/>
      <c r="E189" s="242"/>
      <c r="F189" s="242"/>
      <c r="G189" s="671"/>
      <c r="H189" s="671"/>
      <c r="I189" s="242"/>
      <c r="J189" s="242"/>
      <c r="K189" s="242"/>
      <c r="L189" s="389"/>
      <c r="M189" s="389"/>
      <c r="N189" s="242"/>
      <c r="O189" s="242"/>
      <c r="P189" s="13"/>
      <c r="Q189" s="242"/>
      <c r="R189" s="13"/>
      <c r="S189" s="13"/>
      <c r="T189" s="242"/>
      <c r="U189" s="242"/>
      <c r="V189" s="242"/>
      <c r="W189" s="242"/>
      <c r="X189" s="242"/>
      <c r="Y189" s="242"/>
    </row>
    <row r="190">
      <c r="A190" s="242"/>
      <c r="B190" s="242"/>
      <c r="C190" s="242"/>
      <c r="D190" s="242"/>
      <c r="E190" s="242"/>
      <c r="F190" s="242"/>
      <c r="G190" s="671"/>
      <c r="H190" s="671"/>
      <c r="I190" s="242"/>
      <c r="J190" s="242"/>
      <c r="K190" s="242"/>
      <c r="L190" s="389"/>
      <c r="M190" s="389"/>
      <c r="N190" s="242"/>
      <c r="O190" s="242"/>
      <c r="P190" s="13"/>
      <c r="Q190" s="242"/>
      <c r="R190" s="13"/>
      <c r="S190" s="13"/>
      <c r="T190" s="242"/>
      <c r="U190" s="242"/>
      <c r="V190" s="242"/>
      <c r="W190" s="242"/>
      <c r="X190" s="242"/>
      <c r="Y190" s="242"/>
    </row>
    <row r="191">
      <c r="A191" s="242"/>
      <c r="B191" s="242"/>
      <c r="C191" s="242"/>
      <c r="D191" s="242"/>
      <c r="E191" s="242"/>
      <c r="F191" s="242"/>
      <c r="G191" s="671"/>
      <c r="H191" s="671"/>
      <c r="I191" s="242"/>
      <c r="J191" s="242"/>
      <c r="K191" s="242"/>
      <c r="L191" s="389"/>
      <c r="M191" s="389"/>
      <c r="N191" s="242"/>
      <c r="O191" s="242"/>
      <c r="P191" s="13"/>
      <c r="Q191" s="242"/>
      <c r="R191" s="13"/>
      <c r="S191" s="13"/>
      <c r="T191" s="242"/>
      <c r="U191" s="242"/>
      <c r="V191" s="242"/>
      <c r="W191" s="242"/>
      <c r="X191" s="242"/>
      <c r="Y191" s="242"/>
    </row>
    <row r="192">
      <c r="A192" s="242"/>
      <c r="B192" s="242"/>
      <c r="C192" s="242"/>
      <c r="D192" s="242"/>
      <c r="E192" s="242"/>
      <c r="F192" s="242"/>
      <c r="G192" s="671"/>
      <c r="H192" s="671"/>
      <c r="I192" s="242"/>
      <c r="J192" s="242"/>
      <c r="K192" s="242"/>
      <c r="L192" s="389"/>
      <c r="M192" s="389"/>
      <c r="N192" s="242"/>
      <c r="O192" s="242"/>
      <c r="P192" s="13"/>
      <c r="Q192" s="242"/>
      <c r="R192" s="13"/>
      <c r="S192" s="13"/>
      <c r="T192" s="242"/>
      <c r="U192" s="242"/>
      <c r="V192" s="242"/>
      <c r="W192" s="242"/>
      <c r="X192" s="242"/>
      <c r="Y192" s="242"/>
    </row>
    <row r="193">
      <c r="A193" s="242"/>
      <c r="B193" s="242"/>
      <c r="C193" s="242"/>
      <c r="D193" s="242"/>
      <c r="E193" s="242"/>
      <c r="F193" s="242"/>
      <c r="G193" s="671"/>
      <c r="H193" s="671"/>
      <c r="I193" s="242"/>
      <c r="J193" s="242"/>
      <c r="K193" s="242"/>
      <c r="L193" s="389"/>
      <c r="M193" s="389"/>
      <c r="N193" s="242"/>
      <c r="O193" s="242"/>
      <c r="P193" s="13"/>
      <c r="Q193" s="242"/>
      <c r="R193" s="13"/>
      <c r="S193" s="13"/>
      <c r="T193" s="242"/>
      <c r="U193" s="242"/>
      <c r="V193" s="242"/>
      <c r="W193" s="242"/>
      <c r="X193" s="242"/>
      <c r="Y193" s="242"/>
    </row>
    <row r="194">
      <c r="A194" s="242"/>
      <c r="B194" s="242"/>
      <c r="C194" s="242"/>
      <c r="D194" s="242"/>
      <c r="E194" s="242"/>
      <c r="F194" s="242"/>
      <c r="G194" s="671"/>
      <c r="H194" s="671"/>
      <c r="I194" s="242"/>
      <c r="J194" s="242"/>
      <c r="K194" s="242"/>
      <c r="L194" s="389"/>
      <c r="M194" s="389"/>
      <c r="N194" s="242"/>
      <c r="O194" s="242"/>
      <c r="P194" s="13"/>
      <c r="Q194" s="242"/>
      <c r="R194" s="13"/>
      <c r="S194" s="13"/>
      <c r="T194" s="242"/>
      <c r="U194" s="242"/>
      <c r="V194" s="242"/>
      <c r="W194" s="242"/>
      <c r="X194" s="242"/>
      <c r="Y194" s="242"/>
    </row>
    <row r="195">
      <c r="A195" s="242"/>
      <c r="B195" s="242"/>
      <c r="C195" s="242"/>
      <c r="D195" s="242"/>
      <c r="E195" s="242"/>
      <c r="F195" s="242"/>
      <c r="G195" s="671"/>
      <c r="H195" s="671"/>
      <c r="I195" s="242"/>
      <c r="J195" s="242"/>
      <c r="K195" s="242"/>
      <c r="L195" s="389"/>
      <c r="M195" s="389"/>
      <c r="N195" s="242"/>
      <c r="O195" s="242"/>
      <c r="P195" s="13"/>
      <c r="Q195" s="242"/>
      <c r="R195" s="13"/>
      <c r="S195" s="13"/>
      <c r="T195" s="242"/>
      <c r="U195" s="242"/>
      <c r="V195" s="242"/>
      <c r="W195" s="242"/>
      <c r="X195" s="242"/>
      <c r="Y195" s="242"/>
    </row>
    <row r="196">
      <c r="A196" s="242"/>
      <c r="B196" s="242"/>
      <c r="C196" s="242"/>
      <c r="D196" s="242"/>
      <c r="E196" s="242"/>
      <c r="F196" s="242"/>
      <c r="G196" s="671"/>
      <c r="H196" s="671"/>
      <c r="I196" s="242"/>
      <c r="J196" s="242"/>
      <c r="K196" s="242"/>
      <c r="L196" s="389"/>
      <c r="M196" s="389"/>
      <c r="N196" s="242"/>
      <c r="O196" s="242"/>
      <c r="P196" s="13"/>
      <c r="Q196" s="242"/>
      <c r="R196" s="13"/>
      <c r="S196" s="13"/>
      <c r="T196" s="242"/>
      <c r="U196" s="242"/>
      <c r="V196" s="242"/>
      <c r="W196" s="242"/>
      <c r="X196" s="242"/>
      <c r="Y196" s="242"/>
    </row>
    <row r="197">
      <c r="A197" s="242"/>
      <c r="B197" s="242"/>
      <c r="C197" s="242"/>
      <c r="D197" s="242"/>
      <c r="E197" s="242"/>
      <c r="F197" s="242"/>
      <c r="G197" s="671"/>
      <c r="H197" s="671"/>
      <c r="I197" s="242"/>
      <c r="J197" s="242"/>
      <c r="K197" s="242"/>
      <c r="L197" s="389"/>
      <c r="M197" s="389"/>
      <c r="N197" s="242"/>
      <c r="O197" s="242"/>
      <c r="P197" s="13"/>
      <c r="Q197" s="242"/>
      <c r="R197" s="13"/>
      <c r="S197" s="13"/>
      <c r="T197" s="242"/>
      <c r="U197" s="242"/>
      <c r="V197" s="242"/>
      <c r="W197" s="242"/>
      <c r="X197" s="242"/>
      <c r="Y197" s="242"/>
    </row>
    <row r="198">
      <c r="A198" s="242"/>
      <c r="B198" s="242"/>
      <c r="C198" s="242"/>
      <c r="D198" s="242"/>
      <c r="E198" s="242"/>
      <c r="F198" s="242"/>
      <c r="G198" s="671"/>
      <c r="H198" s="671"/>
      <c r="I198" s="242"/>
      <c r="J198" s="242"/>
      <c r="K198" s="242"/>
      <c r="L198" s="389"/>
      <c r="M198" s="389"/>
      <c r="N198" s="242"/>
      <c r="O198" s="242"/>
      <c r="P198" s="13"/>
      <c r="Q198" s="242"/>
      <c r="R198" s="13"/>
      <c r="S198" s="13"/>
      <c r="T198" s="242"/>
      <c r="U198" s="242"/>
      <c r="V198" s="242"/>
      <c r="W198" s="242"/>
      <c r="X198" s="242"/>
      <c r="Y198" s="242"/>
    </row>
    <row r="199">
      <c r="A199" s="242"/>
      <c r="B199" s="242"/>
      <c r="C199" s="242"/>
      <c r="D199" s="242"/>
      <c r="E199" s="242"/>
      <c r="F199" s="242"/>
      <c r="G199" s="671"/>
      <c r="H199" s="671"/>
      <c r="I199" s="242"/>
      <c r="J199" s="242"/>
      <c r="K199" s="242"/>
      <c r="L199" s="389"/>
      <c r="M199" s="389"/>
      <c r="N199" s="242"/>
      <c r="O199" s="242"/>
      <c r="P199" s="13"/>
      <c r="Q199" s="242"/>
      <c r="R199" s="13"/>
      <c r="S199" s="13"/>
      <c r="T199" s="242"/>
      <c r="U199" s="242"/>
      <c r="V199" s="242"/>
      <c r="W199" s="242"/>
      <c r="X199" s="242"/>
      <c r="Y199" s="242"/>
    </row>
    <row r="200">
      <c r="A200" s="242"/>
      <c r="B200" s="242"/>
      <c r="C200" s="242"/>
      <c r="D200" s="242"/>
      <c r="E200" s="242"/>
      <c r="F200" s="242"/>
      <c r="G200" s="671"/>
      <c r="H200" s="671"/>
      <c r="I200" s="242"/>
      <c r="J200" s="242"/>
      <c r="K200" s="242"/>
      <c r="L200" s="389"/>
      <c r="M200" s="389"/>
      <c r="N200" s="242"/>
      <c r="O200" s="242"/>
      <c r="P200" s="13"/>
      <c r="Q200" s="242"/>
      <c r="R200" s="13"/>
      <c r="S200" s="13"/>
      <c r="T200" s="242"/>
      <c r="U200" s="242"/>
      <c r="V200" s="242"/>
      <c r="W200" s="242"/>
      <c r="X200" s="242"/>
      <c r="Y200" s="242"/>
    </row>
    <row r="201">
      <c r="A201" s="242"/>
      <c r="B201" s="242"/>
      <c r="C201" s="242"/>
      <c r="D201" s="242"/>
      <c r="E201" s="242"/>
      <c r="F201" s="242"/>
      <c r="G201" s="671"/>
      <c r="H201" s="671"/>
      <c r="I201" s="242"/>
      <c r="J201" s="242"/>
      <c r="K201" s="242"/>
      <c r="L201" s="389"/>
      <c r="M201" s="389"/>
      <c r="N201" s="242"/>
      <c r="O201" s="242"/>
      <c r="P201" s="13"/>
      <c r="Q201" s="242"/>
      <c r="R201" s="13"/>
      <c r="S201" s="13"/>
      <c r="T201" s="242"/>
      <c r="U201" s="242"/>
      <c r="V201" s="242"/>
      <c r="W201" s="242"/>
      <c r="X201" s="242"/>
      <c r="Y201" s="242"/>
    </row>
    <row r="202">
      <c r="A202" s="242"/>
      <c r="B202" s="242"/>
      <c r="C202" s="242"/>
      <c r="D202" s="242"/>
      <c r="E202" s="242"/>
      <c r="F202" s="242"/>
      <c r="G202" s="671"/>
      <c r="H202" s="671"/>
      <c r="I202" s="242"/>
      <c r="J202" s="242"/>
      <c r="K202" s="242"/>
      <c r="L202" s="389"/>
      <c r="M202" s="389"/>
      <c r="N202" s="242"/>
      <c r="O202" s="242"/>
      <c r="P202" s="13"/>
      <c r="Q202" s="242"/>
      <c r="R202" s="13"/>
      <c r="S202" s="13"/>
      <c r="T202" s="242"/>
      <c r="U202" s="242"/>
      <c r="V202" s="242"/>
      <c r="W202" s="242"/>
      <c r="X202" s="242"/>
      <c r="Y202" s="242"/>
    </row>
    <row r="203">
      <c r="A203" s="242"/>
      <c r="B203" s="242"/>
      <c r="C203" s="242"/>
      <c r="D203" s="242"/>
      <c r="E203" s="242"/>
      <c r="F203" s="242"/>
      <c r="G203" s="671"/>
      <c r="H203" s="671"/>
      <c r="I203" s="242"/>
      <c r="J203" s="242"/>
      <c r="K203" s="242"/>
      <c r="L203" s="389"/>
      <c r="M203" s="389"/>
      <c r="N203" s="242"/>
      <c r="O203" s="242"/>
      <c r="P203" s="13"/>
      <c r="Q203" s="242"/>
      <c r="R203" s="13"/>
      <c r="S203" s="13"/>
      <c r="T203" s="242"/>
      <c r="U203" s="242"/>
      <c r="V203" s="242"/>
      <c r="W203" s="242"/>
      <c r="X203" s="242"/>
      <c r="Y203" s="242"/>
    </row>
    <row r="204">
      <c r="A204" s="242"/>
      <c r="B204" s="242"/>
      <c r="C204" s="242"/>
      <c r="D204" s="242"/>
      <c r="E204" s="242"/>
      <c r="F204" s="242"/>
      <c r="G204" s="671"/>
      <c r="H204" s="671"/>
      <c r="I204" s="242"/>
      <c r="J204" s="242"/>
      <c r="K204" s="242"/>
      <c r="L204" s="389"/>
      <c r="M204" s="389"/>
      <c r="N204" s="242"/>
      <c r="O204" s="242"/>
      <c r="P204" s="13"/>
      <c r="Q204" s="242"/>
      <c r="R204" s="13"/>
      <c r="S204" s="13"/>
      <c r="T204" s="242"/>
      <c r="U204" s="242"/>
      <c r="V204" s="242"/>
      <c r="W204" s="242"/>
      <c r="X204" s="242"/>
      <c r="Y204" s="242"/>
    </row>
    <row r="205">
      <c r="A205" s="242"/>
      <c r="B205" s="242"/>
      <c r="C205" s="242"/>
      <c r="D205" s="242"/>
      <c r="E205" s="242"/>
      <c r="F205" s="242"/>
      <c r="G205" s="671"/>
      <c r="H205" s="671"/>
      <c r="I205" s="242"/>
      <c r="J205" s="242"/>
      <c r="K205" s="242"/>
      <c r="L205" s="389"/>
      <c r="M205" s="389"/>
      <c r="N205" s="242"/>
      <c r="O205" s="242"/>
      <c r="P205" s="13"/>
      <c r="Q205" s="242"/>
      <c r="R205" s="13"/>
      <c r="S205" s="13"/>
      <c r="T205" s="242"/>
      <c r="U205" s="242"/>
      <c r="V205" s="242"/>
      <c r="W205" s="242"/>
      <c r="X205" s="242"/>
      <c r="Y205" s="242"/>
    </row>
    <row r="206">
      <c r="A206" s="242"/>
      <c r="B206" s="242"/>
      <c r="C206" s="242"/>
      <c r="D206" s="242"/>
      <c r="E206" s="242"/>
      <c r="F206" s="242"/>
      <c r="G206" s="671"/>
      <c r="H206" s="671"/>
      <c r="I206" s="242"/>
      <c r="J206" s="242"/>
      <c r="K206" s="242"/>
      <c r="L206" s="389"/>
      <c r="M206" s="389"/>
      <c r="N206" s="242"/>
      <c r="O206" s="242"/>
      <c r="P206" s="13"/>
      <c r="Q206" s="242"/>
      <c r="R206" s="13"/>
      <c r="S206" s="13"/>
      <c r="T206" s="242"/>
      <c r="U206" s="242"/>
      <c r="V206" s="242"/>
      <c r="W206" s="242"/>
      <c r="X206" s="242"/>
      <c r="Y206" s="242"/>
    </row>
    <row r="207">
      <c r="A207" s="242"/>
      <c r="B207" s="242"/>
      <c r="C207" s="242"/>
      <c r="D207" s="242"/>
      <c r="E207" s="242"/>
      <c r="F207" s="242"/>
      <c r="G207" s="671"/>
      <c r="H207" s="671"/>
      <c r="I207" s="242"/>
      <c r="J207" s="242"/>
      <c r="K207" s="242"/>
      <c r="L207" s="389"/>
      <c r="M207" s="389"/>
      <c r="N207" s="242"/>
      <c r="O207" s="242"/>
      <c r="P207" s="13"/>
      <c r="Q207" s="242"/>
      <c r="R207" s="13"/>
      <c r="S207" s="13"/>
      <c r="T207" s="242"/>
      <c r="U207" s="242"/>
      <c r="V207" s="242"/>
      <c r="W207" s="242"/>
      <c r="X207" s="242"/>
      <c r="Y207" s="242"/>
    </row>
    <row r="208">
      <c r="A208" s="242"/>
      <c r="B208" s="242"/>
      <c r="C208" s="242"/>
      <c r="D208" s="242"/>
      <c r="E208" s="242"/>
      <c r="F208" s="242"/>
      <c r="G208" s="671"/>
      <c r="H208" s="671"/>
      <c r="I208" s="242"/>
      <c r="J208" s="242"/>
      <c r="K208" s="242"/>
      <c r="L208" s="389"/>
      <c r="M208" s="389"/>
      <c r="N208" s="242"/>
      <c r="O208" s="242"/>
      <c r="P208" s="13"/>
      <c r="Q208" s="242"/>
      <c r="R208" s="13"/>
      <c r="S208" s="13"/>
      <c r="T208" s="242"/>
      <c r="U208" s="242"/>
      <c r="V208" s="242"/>
      <c r="W208" s="242"/>
      <c r="X208" s="242"/>
      <c r="Y208" s="242"/>
    </row>
    <row r="209">
      <c r="A209" s="242"/>
      <c r="B209" s="242"/>
      <c r="C209" s="242"/>
      <c r="D209" s="242"/>
      <c r="E209" s="242"/>
      <c r="F209" s="242"/>
      <c r="G209" s="671"/>
      <c r="H209" s="671"/>
      <c r="I209" s="242"/>
      <c r="J209" s="242"/>
      <c r="K209" s="242"/>
      <c r="L209" s="389"/>
      <c r="M209" s="389"/>
      <c r="N209" s="242"/>
      <c r="O209" s="242"/>
      <c r="P209" s="13"/>
      <c r="Q209" s="242"/>
      <c r="R209" s="13"/>
      <c r="S209" s="13"/>
      <c r="T209" s="242"/>
      <c r="U209" s="242"/>
      <c r="V209" s="242"/>
      <c r="W209" s="242"/>
      <c r="X209" s="242"/>
      <c r="Y209" s="242"/>
    </row>
    <row r="210">
      <c r="A210" s="242"/>
      <c r="B210" s="242"/>
      <c r="C210" s="242"/>
      <c r="D210" s="242"/>
      <c r="E210" s="242"/>
      <c r="F210" s="242"/>
      <c r="G210" s="671"/>
      <c r="H210" s="671"/>
      <c r="I210" s="242"/>
      <c r="J210" s="242"/>
      <c r="K210" s="242"/>
      <c r="L210" s="389"/>
      <c r="M210" s="389"/>
      <c r="N210" s="242"/>
      <c r="O210" s="242"/>
      <c r="P210" s="13"/>
      <c r="Q210" s="242"/>
      <c r="R210" s="13"/>
      <c r="S210" s="13"/>
      <c r="T210" s="242"/>
      <c r="U210" s="242"/>
      <c r="V210" s="242"/>
      <c r="W210" s="242"/>
      <c r="X210" s="242"/>
      <c r="Y210" s="242"/>
    </row>
    <row r="211">
      <c r="A211" s="242"/>
      <c r="B211" s="242"/>
      <c r="C211" s="242"/>
      <c r="D211" s="242"/>
      <c r="E211" s="242"/>
      <c r="F211" s="242"/>
      <c r="G211" s="671"/>
      <c r="H211" s="671"/>
      <c r="I211" s="242"/>
      <c r="J211" s="242"/>
      <c r="K211" s="242"/>
      <c r="L211" s="389"/>
      <c r="M211" s="389"/>
      <c r="N211" s="242"/>
      <c r="O211" s="242"/>
      <c r="P211" s="13"/>
      <c r="Q211" s="242"/>
      <c r="R211" s="13"/>
      <c r="S211" s="13"/>
      <c r="T211" s="242"/>
      <c r="U211" s="242"/>
      <c r="V211" s="242"/>
      <c r="W211" s="242"/>
      <c r="X211" s="242"/>
      <c r="Y211" s="242"/>
    </row>
    <row r="212">
      <c r="A212" s="242"/>
      <c r="B212" s="242"/>
      <c r="C212" s="242"/>
      <c r="D212" s="242"/>
      <c r="E212" s="242"/>
      <c r="F212" s="242"/>
      <c r="G212" s="671"/>
      <c r="H212" s="671"/>
      <c r="I212" s="242"/>
      <c r="J212" s="242"/>
      <c r="K212" s="242"/>
      <c r="L212" s="389"/>
      <c r="M212" s="389"/>
      <c r="N212" s="242"/>
      <c r="O212" s="242"/>
      <c r="P212" s="13"/>
      <c r="Q212" s="242"/>
      <c r="R212" s="13"/>
      <c r="S212" s="13"/>
      <c r="T212" s="242"/>
      <c r="U212" s="242"/>
      <c r="V212" s="242"/>
      <c r="W212" s="242"/>
      <c r="X212" s="242"/>
      <c r="Y212" s="242"/>
    </row>
    <row r="213">
      <c r="A213" s="242"/>
      <c r="B213" s="242"/>
      <c r="C213" s="242"/>
      <c r="D213" s="242"/>
      <c r="E213" s="242"/>
      <c r="F213" s="242"/>
      <c r="G213" s="671"/>
      <c r="H213" s="671"/>
      <c r="I213" s="242"/>
      <c r="J213" s="242"/>
      <c r="K213" s="242"/>
      <c r="L213" s="389"/>
      <c r="M213" s="389"/>
      <c r="N213" s="242"/>
      <c r="O213" s="242"/>
      <c r="P213" s="13"/>
      <c r="Q213" s="242"/>
      <c r="R213" s="13"/>
      <c r="S213" s="13"/>
      <c r="T213" s="242"/>
      <c r="U213" s="242"/>
      <c r="V213" s="242"/>
      <c r="W213" s="242"/>
      <c r="X213" s="242"/>
      <c r="Y213" s="242"/>
    </row>
    <row r="214">
      <c r="A214" s="242"/>
      <c r="B214" s="242"/>
      <c r="C214" s="242"/>
      <c r="D214" s="242"/>
      <c r="E214" s="242"/>
      <c r="F214" s="242"/>
      <c r="G214" s="671"/>
      <c r="H214" s="671"/>
      <c r="I214" s="242"/>
      <c r="J214" s="242"/>
      <c r="K214" s="242"/>
      <c r="L214" s="389"/>
      <c r="M214" s="389"/>
      <c r="N214" s="242"/>
      <c r="O214" s="242"/>
      <c r="P214" s="13"/>
      <c r="Q214" s="242"/>
      <c r="R214" s="13"/>
      <c r="S214" s="13"/>
      <c r="T214" s="242"/>
      <c r="U214" s="242"/>
      <c r="V214" s="242"/>
      <c r="W214" s="242"/>
      <c r="X214" s="242"/>
      <c r="Y214" s="242"/>
    </row>
    <row r="215">
      <c r="A215" s="242"/>
      <c r="B215" s="242"/>
      <c r="C215" s="242"/>
      <c r="D215" s="242"/>
      <c r="E215" s="242"/>
      <c r="F215" s="242"/>
      <c r="G215" s="671"/>
      <c r="H215" s="671"/>
      <c r="I215" s="242"/>
      <c r="J215" s="242"/>
      <c r="K215" s="242"/>
      <c r="L215" s="389"/>
      <c r="M215" s="389"/>
      <c r="N215" s="242"/>
      <c r="O215" s="242"/>
      <c r="P215" s="13"/>
      <c r="Q215" s="242"/>
      <c r="R215" s="13"/>
      <c r="S215" s="13"/>
      <c r="T215" s="242"/>
      <c r="U215" s="242"/>
      <c r="V215" s="242"/>
      <c r="W215" s="242"/>
      <c r="X215" s="242"/>
      <c r="Y215" s="242"/>
    </row>
    <row r="216">
      <c r="A216" s="242"/>
      <c r="B216" s="242"/>
      <c r="C216" s="242"/>
      <c r="D216" s="242"/>
      <c r="E216" s="242"/>
      <c r="F216" s="242"/>
      <c r="G216" s="671"/>
      <c r="H216" s="671"/>
      <c r="I216" s="242"/>
      <c r="J216" s="242"/>
      <c r="K216" s="242"/>
      <c r="L216" s="389"/>
      <c r="M216" s="389"/>
      <c r="N216" s="242"/>
      <c r="O216" s="242"/>
      <c r="P216" s="13"/>
      <c r="Q216" s="242"/>
      <c r="R216" s="13"/>
      <c r="S216" s="13"/>
      <c r="T216" s="242"/>
      <c r="U216" s="242"/>
      <c r="V216" s="242"/>
      <c r="W216" s="242"/>
      <c r="X216" s="242"/>
      <c r="Y216" s="242"/>
    </row>
    <row r="217">
      <c r="A217" s="242"/>
      <c r="B217" s="242"/>
      <c r="C217" s="242"/>
      <c r="D217" s="242"/>
      <c r="E217" s="242"/>
      <c r="F217" s="242"/>
      <c r="G217" s="671"/>
      <c r="H217" s="671"/>
      <c r="I217" s="242"/>
      <c r="J217" s="242"/>
      <c r="K217" s="242"/>
      <c r="L217" s="389"/>
      <c r="M217" s="389"/>
      <c r="N217" s="242"/>
      <c r="O217" s="242"/>
      <c r="P217" s="13"/>
      <c r="Q217" s="242"/>
      <c r="R217" s="13"/>
      <c r="S217" s="13"/>
      <c r="T217" s="242"/>
      <c r="U217" s="242"/>
      <c r="V217" s="242"/>
      <c r="W217" s="242"/>
      <c r="X217" s="242"/>
      <c r="Y217" s="242"/>
    </row>
    <row r="218">
      <c r="A218" s="242"/>
      <c r="B218" s="242"/>
      <c r="C218" s="242"/>
      <c r="D218" s="242"/>
      <c r="E218" s="242"/>
      <c r="F218" s="242"/>
      <c r="G218" s="671"/>
      <c r="H218" s="671"/>
      <c r="I218" s="242"/>
      <c r="J218" s="242"/>
      <c r="K218" s="242"/>
      <c r="L218" s="389"/>
      <c r="M218" s="389"/>
      <c r="N218" s="242"/>
      <c r="O218" s="242"/>
      <c r="P218" s="13"/>
      <c r="Q218" s="242"/>
      <c r="R218" s="13"/>
      <c r="S218" s="13"/>
      <c r="T218" s="242"/>
      <c r="U218" s="242"/>
      <c r="V218" s="242"/>
      <c r="W218" s="242"/>
      <c r="X218" s="242"/>
      <c r="Y218" s="242"/>
    </row>
    <row r="219">
      <c r="A219" s="242"/>
      <c r="B219" s="242"/>
      <c r="C219" s="242"/>
      <c r="D219" s="242"/>
      <c r="E219" s="242"/>
      <c r="F219" s="242"/>
      <c r="G219" s="671"/>
      <c r="H219" s="671"/>
      <c r="I219" s="242"/>
      <c r="J219" s="242"/>
      <c r="K219" s="242"/>
      <c r="L219" s="389"/>
      <c r="M219" s="389"/>
      <c r="N219" s="242"/>
      <c r="O219" s="242"/>
      <c r="P219" s="13"/>
      <c r="Q219" s="242"/>
      <c r="R219" s="13"/>
      <c r="S219" s="13"/>
      <c r="T219" s="242"/>
      <c r="U219" s="242"/>
      <c r="V219" s="242"/>
      <c r="W219" s="242"/>
      <c r="X219" s="242"/>
      <c r="Y219" s="242"/>
    </row>
    <row r="220">
      <c r="A220" s="242"/>
      <c r="B220" s="242"/>
      <c r="C220" s="242"/>
      <c r="D220" s="242"/>
      <c r="E220" s="242"/>
      <c r="F220" s="242"/>
      <c r="G220" s="671"/>
      <c r="H220" s="671"/>
      <c r="I220" s="242"/>
      <c r="J220" s="242"/>
      <c r="K220" s="242"/>
      <c r="L220" s="389"/>
      <c r="M220" s="389"/>
      <c r="N220" s="242"/>
      <c r="O220" s="242"/>
      <c r="P220" s="13"/>
      <c r="Q220" s="242"/>
      <c r="R220" s="13"/>
      <c r="S220" s="13"/>
      <c r="T220" s="242"/>
      <c r="U220" s="242"/>
      <c r="V220" s="242"/>
      <c r="W220" s="242"/>
      <c r="X220" s="242"/>
      <c r="Y220" s="242"/>
    </row>
    <row r="221">
      <c r="A221" s="242"/>
      <c r="B221" s="242"/>
      <c r="C221" s="242"/>
      <c r="D221" s="242"/>
      <c r="E221" s="242"/>
      <c r="F221" s="242"/>
      <c r="G221" s="671"/>
      <c r="H221" s="671"/>
      <c r="I221" s="242"/>
      <c r="J221" s="242"/>
      <c r="K221" s="242"/>
      <c r="L221" s="389"/>
      <c r="M221" s="389"/>
      <c r="N221" s="242"/>
      <c r="O221" s="242"/>
      <c r="P221" s="13"/>
      <c r="Q221" s="242"/>
      <c r="R221" s="13"/>
      <c r="S221" s="13"/>
      <c r="T221" s="242"/>
      <c r="U221" s="242"/>
      <c r="V221" s="242"/>
      <c r="W221" s="242"/>
      <c r="X221" s="242"/>
      <c r="Y221" s="242"/>
    </row>
    <row r="222">
      <c r="A222" s="242"/>
      <c r="B222" s="242"/>
      <c r="C222" s="242"/>
      <c r="D222" s="242"/>
      <c r="E222" s="242"/>
      <c r="F222" s="242"/>
      <c r="G222" s="671"/>
      <c r="H222" s="671"/>
      <c r="I222" s="242"/>
      <c r="J222" s="242"/>
      <c r="K222" s="242"/>
      <c r="L222" s="389"/>
      <c r="M222" s="389"/>
      <c r="N222" s="242"/>
      <c r="O222" s="242"/>
      <c r="P222" s="13"/>
      <c r="Q222" s="242"/>
      <c r="R222" s="13"/>
      <c r="S222" s="13"/>
      <c r="T222" s="242"/>
      <c r="U222" s="242"/>
      <c r="V222" s="242"/>
      <c r="W222" s="242"/>
      <c r="X222" s="242"/>
      <c r="Y222" s="242"/>
    </row>
    <row r="223">
      <c r="A223" s="242"/>
      <c r="B223" s="242"/>
      <c r="C223" s="242"/>
      <c r="D223" s="242"/>
      <c r="E223" s="242"/>
      <c r="F223" s="242"/>
      <c r="G223" s="671"/>
      <c r="H223" s="671"/>
      <c r="I223" s="242"/>
      <c r="J223" s="242"/>
      <c r="K223" s="242"/>
      <c r="L223" s="389"/>
      <c r="M223" s="389"/>
      <c r="N223" s="242"/>
      <c r="O223" s="242"/>
      <c r="P223" s="13"/>
      <c r="Q223" s="242"/>
      <c r="R223" s="13"/>
      <c r="S223" s="13"/>
      <c r="T223" s="242"/>
      <c r="U223" s="242"/>
      <c r="V223" s="242"/>
      <c r="W223" s="242"/>
      <c r="X223" s="242"/>
      <c r="Y223" s="242"/>
    </row>
    <row r="224">
      <c r="A224" s="242"/>
      <c r="B224" s="242"/>
      <c r="C224" s="242"/>
      <c r="D224" s="242"/>
      <c r="E224" s="242"/>
      <c r="F224" s="242"/>
      <c r="G224" s="671"/>
      <c r="H224" s="671"/>
      <c r="I224" s="242"/>
      <c r="J224" s="242"/>
      <c r="K224" s="242"/>
      <c r="L224" s="389"/>
      <c r="M224" s="389"/>
      <c r="N224" s="242"/>
      <c r="O224" s="242"/>
      <c r="P224" s="13"/>
      <c r="Q224" s="242"/>
      <c r="R224" s="13"/>
      <c r="S224" s="13"/>
      <c r="T224" s="242"/>
      <c r="U224" s="242"/>
      <c r="V224" s="242"/>
      <c r="W224" s="242"/>
      <c r="X224" s="242"/>
      <c r="Y224" s="242"/>
    </row>
    <row r="225">
      <c r="A225" s="242"/>
      <c r="B225" s="242"/>
      <c r="C225" s="242"/>
      <c r="D225" s="242"/>
      <c r="E225" s="242"/>
      <c r="F225" s="242"/>
      <c r="G225" s="671"/>
      <c r="H225" s="671"/>
      <c r="I225" s="242"/>
      <c r="J225" s="242"/>
      <c r="K225" s="242"/>
      <c r="L225" s="389"/>
      <c r="M225" s="389"/>
      <c r="N225" s="242"/>
      <c r="O225" s="242"/>
      <c r="P225" s="13"/>
      <c r="Q225" s="242"/>
      <c r="R225" s="13"/>
      <c r="S225" s="13"/>
      <c r="T225" s="242"/>
      <c r="U225" s="242"/>
      <c r="V225" s="242"/>
      <c r="W225" s="242"/>
      <c r="X225" s="242"/>
      <c r="Y225" s="242"/>
    </row>
    <row r="226">
      <c r="A226" s="242"/>
      <c r="B226" s="242"/>
      <c r="C226" s="242"/>
      <c r="D226" s="242"/>
      <c r="E226" s="242"/>
      <c r="F226" s="242"/>
      <c r="G226" s="671"/>
      <c r="H226" s="671"/>
      <c r="I226" s="242"/>
      <c r="J226" s="242"/>
      <c r="K226" s="242"/>
      <c r="L226" s="389"/>
      <c r="M226" s="389"/>
      <c r="N226" s="242"/>
      <c r="O226" s="242"/>
      <c r="P226" s="13"/>
      <c r="Q226" s="242"/>
      <c r="R226" s="13"/>
      <c r="S226" s="13"/>
      <c r="T226" s="242"/>
      <c r="U226" s="242"/>
      <c r="V226" s="242"/>
      <c r="W226" s="242"/>
      <c r="X226" s="242"/>
      <c r="Y226" s="242"/>
    </row>
    <row r="227">
      <c r="A227" s="242"/>
      <c r="B227" s="242"/>
      <c r="C227" s="242"/>
      <c r="D227" s="242"/>
      <c r="E227" s="242"/>
      <c r="F227" s="242"/>
      <c r="G227" s="671"/>
      <c r="H227" s="671"/>
      <c r="I227" s="242"/>
      <c r="J227" s="242"/>
      <c r="K227" s="242"/>
      <c r="L227" s="389"/>
      <c r="M227" s="389"/>
      <c r="N227" s="242"/>
      <c r="O227" s="242"/>
      <c r="P227" s="13"/>
      <c r="Q227" s="242"/>
      <c r="R227" s="13"/>
      <c r="S227" s="13"/>
      <c r="T227" s="242"/>
      <c r="U227" s="242"/>
      <c r="V227" s="242"/>
      <c r="W227" s="242"/>
      <c r="X227" s="242"/>
      <c r="Y227" s="242"/>
    </row>
    <row r="228">
      <c r="A228" s="242"/>
      <c r="B228" s="242"/>
      <c r="C228" s="242"/>
      <c r="D228" s="242"/>
      <c r="E228" s="242"/>
      <c r="F228" s="242"/>
      <c r="G228" s="671"/>
      <c r="H228" s="671"/>
      <c r="I228" s="242"/>
      <c r="J228" s="242"/>
      <c r="K228" s="242"/>
      <c r="L228" s="389"/>
      <c r="M228" s="389"/>
      <c r="N228" s="242"/>
      <c r="O228" s="242"/>
      <c r="P228" s="13"/>
      <c r="Q228" s="242"/>
      <c r="R228" s="13"/>
      <c r="S228" s="13"/>
      <c r="T228" s="242"/>
      <c r="U228" s="242"/>
      <c r="V228" s="242"/>
      <c r="W228" s="242"/>
      <c r="X228" s="242"/>
      <c r="Y228" s="242"/>
    </row>
    <row r="229">
      <c r="A229" s="242"/>
      <c r="B229" s="242"/>
      <c r="C229" s="242"/>
      <c r="D229" s="242"/>
      <c r="E229" s="242"/>
      <c r="F229" s="242"/>
      <c r="G229" s="671"/>
      <c r="H229" s="671"/>
      <c r="I229" s="242"/>
      <c r="J229" s="242"/>
      <c r="K229" s="242"/>
      <c r="L229" s="389"/>
      <c r="M229" s="389"/>
      <c r="N229" s="242"/>
      <c r="O229" s="242"/>
      <c r="P229" s="13"/>
      <c r="Q229" s="242"/>
      <c r="R229" s="13"/>
      <c r="S229" s="13"/>
      <c r="T229" s="242"/>
      <c r="U229" s="242"/>
      <c r="V229" s="242"/>
      <c r="W229" s="242"/>
      <c r="X229" s="242"/>
      <c r="Y229" s="242"/>
    </row>
    <row r="230">
      <c r="A230" s="242"/>
      <c r="B230" s="242"/>
      <c r="C230" s="242"/>
      <c r="D230" s="242"/>
      <c r="E230" s="242"/>
      <c r="F230" s="242"/>
      <c r="G230" s="671"/>
      <c r="H230" s="671"/>
      <c r="I230" s="242"/>
      <c r="J230" s="242"/>
      <c r="K230" s="242"/>
      <c r="L230" s="389"/>
      <c r="M230" s="389"/>
      <c r="N230" s="242"/>
      <c r="O230" s="242"/>
      <c r="P230" s="13"/>
      <c r="Q230" s="242"/>
      <c r="R230" s="13"/>
      <c r="S230" s="13"/>
      <c r="T230" s="242"/>
      <c r="U230" s="242"/>
      <c r="V230" s="242"/>
      <c r="W230" s="242"/>
      <c r="X230" s="242"/>
      <c r="Y230" s="242"/>
    </row>
    <row r="231">
      <c r="A231" s="242"/>
      <c r="B231" s="242"/>
      <c r="C231" s="242"/>
      <c r="D231" s="242"/>
      <c r="E231" s="242"/>
      <c r="F231" s="242"/>
      <c r="G231" s="671"/>
      <c r="H231" s="671"/>
      <c r="I231" s="242"/>
      <c r="J231" s="242"/>
      <c r="K231" s="242"/>
      <c r="L231" s="389"/>
      <c r="M231" s="389"/>
      <c r="N231" s="242"/>
      <c r="O231" s="242"/>
      <c r="P231" s="13"/>
      <c r="Q231" s="242"/>
      <c r="R231" s="13"/>
      <c r="S231" s="13"/>
      <c r="T231" s="242"/>
      <c r="U231" s="242"/>
      <c r="V231" s="242"/>
      <c r="W231" s="242"/>
      <c r="X231" s="242"/>
      <c r="Y231" s="242"/>
    </row>
    <row r="232">
      <c r="A232" s="242"/>
      <c r="B232" s="242"/>
      <c r="C232" s="242"/>
      <c r="D232" s="242"/>
      <c r="E232" s="242"/>
      <c r="F232" s="242"/>
      <c r="G232" s="671"/>
      <c r="H232" s="671"/>
      <c r="I232" s="242"/>
      <c r="J232" s="242"/>
      <c r="K232" s="242"/>
      <c r="L232" s="389"/>
      <c r="M232" s="389"/>
      <c r="N232" s="242"/>
      <c r="O232" s="242"/>
      <c r="P232" s="13"/>
      <c r="Q232" s="242"/>
      <c r="R232" s="13"/>
      <c r="S232" s="13"/>
      <c r="T232" s="242"/>
      <c r="U232" s="242"/>
      <c r="V232" s="242"/>
      <c r="W232" s="242"/>
      <c r="X232" s="242"/>
      <c r="Y232" s="242"/>
    </row>
    <row r="233">
      <c r="A233" s="242"/>
      <c r="B233" s="242"/>
      <c r="C233" s="242"/>
      <c r="D233" s="242"/>
      <c r="E233" s="242"/>
      <c r="F233" s="242"/>
      <c r="G233" s="671"/>
      <c r="H233" s="671"/>
      <c r="I233" s="242"/>
      <c r="J233" s="242"/>
      <c r="K233" s="242"/>
      <c r="L233" s="389"/>
      <c r="M233" s="389"/>
      <c r="N233" s="242"/>
      <c r="O233" s="242"/>
      <c r="P233" s="13"/>
      <c r="Q233" s="242"/>
      <c r="R233" s="13"/>
      <c r="S233" s="13"/>
      <c r="T233" s="242"/>
      <c r="U233" s="242"/>
      <c r="V233" s="242"/>
      <c r="W233" s="242"/>
      <c r="X233" s="242"/>
      <c r="Y233" s="242"/>
    </row>
    <row r="234">
      <c r="A234" s="242"/>
      <c r="B234" s="242"/>
      <c r="C234" s="242"/>
      <c r="D234" s="242"/>
      <c r="E234" s="242"/>
      <c r="F234" s="242"/>
      <c r="G234" s="671"/>
      <c r="H234" s="671"/>
      <c r="I234" s="242"/>
      <c r="J234" s="242"/>
      <c r="K234" s="242"/>
      <c r="L234" s="389"/>
      <c r="M234" s="389"/>
      <c r="N234" s="242"/>
      <c r="O234" s="242"/>
      <c r="P234" s="13"/>
      <c r="Q234" s="242"/>
      <c r="R234" s="13"/>
      <c r="S234" s="13"/>
      <c r="T234" s="242"/>
      <c r="U234" s="242"/>
      <c r="V234" s="242"/>
      <c r="W234" s="242"/>
      <c r="X234" s="242"/>
      <c r="Y234" s="242"/>
    </row>
    <row r="235">
      <c r="A235" s="242"/>
      <c r="B235" s="242"/>
      <c r="C235" s="242"/>
      <c r="D235" s="242"/>
      <c r="E235" s="242"/>
      <c r="F235" s="242"/>
      <c r="G235" s="671"/>
      <c r="H235" s="671"/>
      <c r="I235" s="242"/>
      <c r="J235" s="242"/>
      <c r="K235" s="242"/>
      <c r="L235" s="389"/>
      <c r="M235" s="389"/>
      <c r="N235" s="242"/>
      <c r="O235" s="242"/>
      <c r="P235" s="13"/>
      <c r="Q235" s="242"/>
      <c r="R235" s="13"/>
      <c r="S235" s="13"/>
      <c r="T235" s="242"/>
      <c r="U235" s="242"/>
      <c r="V235" s="242"/>
      <c r="W235" s="242"/>
      <c r="X235" s="242"/>
      <c r="Y235" s="242"/>
    </row>
    <row r="236">
      <c r="A236" s="242"/>
      <c r="B236" s="242"/>
      <c r="C236" s="242"/>
      <c r="D236" s="242"/>
      <c r="E236" s="242"/>
      <c r="F236" s="242"/>
      <c r="G236" s="671"/>
      <c r="H236" s="671"/>
      <c r="I236" s="242"/>
      <c r="J236" s="242"/>
      <c r="K236" s="242"/>
      <c r="L236" s="389"/>
      <c r="M236" s="389"/>
      <c r="N236" s="242"/>
      <c r="O236" s="242"/>
      <c r="P236" s="13"/>
      <c r="Q236" s="242"/>
      <c r="R236" s="13"/>
      <c r="S236" s="13"/>
      <c r="T236" s="242"/>
      <c r="U236" s="242"/>
      <c r="V236" s="242"/>
      <c r="W236" s="242"/>
      <c r="X236" s="242"/>
      <c r="Y236" s="242"/>
    </row>
    <row r="237">
      <c r="A237" s="242"/>
      <c r="B237" s="242"/>
      <c r="C237" s="242"/>
      <c r="D237" s="242"/>
      <c r="E237" s="242"/>
      <c r="F237" s="242"/>
      <c r="G237" s="671"/>
      <c r="H237" s="671"/>
      <c r="I237" s="242"/>
      <c r="J237" s="242"/>
      <c r="K237" s="242"/>
      <c r="L237" s="389"/>
      <c r="M237" s="389"/>
      <c r="N237" s="242"/>
      <c r="O237" s="242"/>
      <c r="P237" s="13"/>
      <c r="Q237" s="242"/>
      <c r="R237" s="13"/>
      <c r="S237" s="13"/>
      <c r="T237" s="242"/>
      <c r="U237" s="242"/>
      <c r="V237" s="242"/>
      <c r="W237" s="242"/>
      <c r="X237" s="242"/>
      <c r="Y237" s="242"/>
    </row>
    <row r="238">
      <c r="A238" s="242"/>
      <c r="B238" s="242"/>
      <c r="C238" s="242"/>
      <c r="D238" s="242"/>
      <c r="E238" s="242"/>
      <c r="F238" s="242"/>
      <c r="G238" s="671"/>
      <c r="H238" s="671"/>
      <c r="I238" s="242"/>
      <c r="J238" s="242"/>
      <c r="K238" s="242"/>
      <c r="L238" s="389"/>
      <c r="M238" s="389"/>
      <c r="N238" s="242"/>
      <c r="O238" s="242"/>
      <c r="P238" s="13"/>
      <c r="Q238" s="242"/>
      <c r="R238" s="13"/>
      <c r="S238" s="13"/>
      <c r="T238" s="242"/>
      <c r="U238" s="242"/>
      <c r="V238" s="242"/>
      <c r="W238" s="242"/>
      <c r="X238" s="242"/>
      <c r="Y238" s="242"/>
    </row>
    <row r="239">
      <c r="A239" s="242"/>
      <c r="B239" s="242"/>
      <c r="C239" s="242"/>
      <c r="D239" s="242"/>
      <c r="E239" s="242"/>
      <c r="F239" s="242"/>
      <c r="G239" s="671"/>
      <c r="H239" s="671"/>
      <c r="I239" s="242"/>
      <c r="J239" s="242"/>
      <c r="K239" s="242"/>
      <c r="L239" s="389"/>
      <c r="M239" s="389"/>
      <c r="N239" s="242"/>
      <c r="O239" s="242"/>
      <c r="P239" s="13"/>
      <c r="Q239" s="242"/>
      <c r="R239" s="13"/>
      <c r="S239" s="13"/>
      <c r="T239" s="242"/>
      <c r="U239" s="242"/>
      <c r="V239" s="242"/>
      <c r="W239" s="242"/>
      <c r="X239" s="242"/>
      <c r="Y239" s="242"/>
    </row>
    <row r="240">
      <c r="A240" s="242"/>
      <c r="B240" s="242"/>
      <c r="C240" s="242"/>
      <c r="D240" s="242"/>
      <c r="E240" s="242"/>
      <c r="F240" s="242"/>
      <c r="G240" s="671"/>
      <c r="H240" s="671"/>
      <c r="I240" s="242"/>
      <c r="J240" s="242"/>
      <c r="K240" s="242"/>
      <c r="L240" s="389"/>
      <c r="M240" s="389"/>
      <c r="N240" s="242"/>
      <c r="O240" s="242"/>
      <c r="P240" s="13"/>
      <c r="Q240" s="242"/>
      <c r="R240" s="13"/>
      <c r="S240" s="13"/>
      <c r="T240" s="242"/>
      <c r="U240" s="242"/>
      <c r="V240" s="242"/>
      <c r="W240" s="242"/>
      <c r="X240" s="242"/>
      <c r="Y240" s="242"/>
    </row>
    <row r="241">
      <c r="A241" s="242"/>
      <c r="B241" s="242"/>
      <c r="C241" s="242"/>
      <c r="D241" s="242"/>
      <c r="E241" s="242"/>
      <c r="F241" s="242"/>
      <c r="G241" s="671"/>
      <c r="H241" s="671"/>
      <c r="I241" s="242"/>
      <c r="J241" s="242"/>
      <c r="K241" s="242"/>
      <c r="L241" s="389"/>
      <c r="M241" s="389"/>
      <c r="N241" s="242"/>
      <c r="O241" s="242"/>
      <c r="P241" s="13"/>
      <c r="Q241" s="242"/>
      <c r="R241" s="13"/>
      <c r="S241" s="13"/>
      <c r="T241" s="242"/>
      <c r="U241" s="242"/>
      <c r="V241" s="242"/>
      <c r="W241" s="242"/>
      <c r="X241" s="242"/>
      <c r="Y241" s="242"/>
    </row>
    <row r="242">
      <c r="A242" s="242"/>
      <c r="B242" s="242"/>
      <c r="C242" s="242"/>
      <c r="D242" s="242"/>
      <c r="E242" s="242"/>
      <c r="F242" s="242"/>
      <c r="G242" s="671"/>
      <c r="H242" s="671"/>
      <c r="I242" s="242"/>
      <c r="J242" s="242"/>
      <c r="K242" s="242"/>
      <c r="L242" s="389"/>
      <c r="M242" s="389"/>
      <c r="N242" s="242"/>
      <c r="O242" s="242"/>
      <c r="P242" s="13"/>
      <c r="Q242" s="242"/>
      <c r="R242" s="13"/>
      <c r="S242" s="13"/>
      <c r="T242" s="242"/>
      <c r="U242" s="242"/>
      <c r="V242" s="242"/>
      <c r="W242" s="242"/>
      <c r="X242" s="242"/>
      <c r="Y242" s="242"/>
    </row>
    <row r="243">
      <c r="A243" s="242"/>
      <c r="B243" s="242"/>
      <c r="C243" s="242"/>
      <c r="D243" s="242"/>
      <c r="E243" s="242"/>
      <c r="F243" s="242"/>
      <c r="G243" s="671"/>
      <c r="H243" s="671"/>
      <c r="I243" s="242"/>
      <c r="J243" s="242"/>
      <c r="K243" s="242"/>
      <c r="L243" s="389"/>
      <c r="M243" s="389"/>
      <c r="N243" s="242"/>
      <c r="O243" s="242"/>
      <c r="P243" s="13"/>
      <c r="Q243" s="242"/>
      <c r="R243" s="13"/>
      <c r="S243" s="13"/>
      <c r="T243" s="242"/>
      <c r="U243" s="242"/>
      <c r="V243" s="242"/>
      <c r="W243" s="242"/>
      <c r="X243" s="242"/>
      <c r="Y243" s="242"/>
    </row>
    <row r="244">
      <c r="A244" s="242"/>
      <c r="B244" s="242"/>
      <c r="C244" s="242"/>
      <c r="D244" s="242"/>
      <c r="E244" s="242"/>
      <c r="F244" s="242"/>
      <c r="G244" s="671"/>
      <c r="H244" s="671"/>
      <c r="I244" s="242"/>
      <c r="J244" s="242"/>
      <c r="K244" s="242"/>
      <c r="L244" s="389"/>
      <c r="M244" s="389"/>
      <c r="N244" s="242"/>
      <c r="O244" s="242"/>
      <c r="P244" s="13"/>
      <c r="Q244" s="242"/>
      <c r="R244" s="13"/>
      <c r="S244" s="13"/>
      <c r="T244" s="242"/>
      <c r="U244" s="242"/>
      <c r="V244" s="242"/>
      <c r="W244" s="242"/>
      <c r="X244" s="242"/>
      <c r="Y244" s="242"/>
    </row>
    <row r="245">
      <c r="A245" s="242"/>
      <c r="B245" s="242"/>
      <c r="C245" s="242"/>
      <c r="D245" s="242"/>
      <c r="E245" s="242"/>
      <c r="F245" s="242"/>
      <c r="G245" s="671"/>
      <c r="H245" s="671"/>
      <c r="I245" s="242"/>
      <c r="J245" s="242"/>
      <c r="K245" s="242"/>
      <c r="L245" s="389"/>
      <c r="M245" s="389"/>
      <c r="N245" s="242"/>
      <c r="O245" s="242"/>
      <c r="P245" s="13"/>
      <c r="Q245" s="242"/>
      <c r="R245" s="13"/>
      <c r="S245" s="13"/>
      <c r="T245" s="242"/>
      <c r="U245" s="242"/>
      <c r="V245" s="242"/>
      <c r="W245" s="242"/>
      <c r="X245" s="242"/>
      <c r="Y245" s="242"/>
    </row>
    <row r="246">
      <c r="A246" s="242"/>
      <c r="B246" s="242"/>
      <c r="C246" s="242"/>
      <c r="D246" s="242"/>
      <c r="E246" s="242"/>
      <c r="F246" s="242"/>
      <c r="G246" s="671"/>
      <c r="H246" s="671"/>
      <c r="I246" s="242"/>
      <c r="J246" s="242"/>
      <c r="K246" s="242"/>
      <c r="L246" s="389"/>
      <c r="M246" s="389"/>
      <c r="N246" s="242"/>
      <c r="O246" s="242"/>
      <c r="P246" s="13"/>
      <c r="Q246" s="242"/>
      <c r="R246" s="13"/>
      <c r="S246" s="13"/>
      <c r="T246" s="242"/>
      <c r="U246" s="242"/>
      <c r="V246" s="242"/>
      <c r="W246" s="242"/>
      <c r="X246" s="242"/>
      <c r="Y246" s="242"/>
    </row>
    <row r="247">
      <c r="A247" s="242"/>
      <c r="B247" s="242"/>
      <c r="C247" s="242"/>
      <c r="D247" s="242"/>
      <c r="E247" s="242"/>
      <c r="F247" s="242"/>
      <c r="G247" s="671"/>
      <c r="H247" s="671"/>
      <c r="I247" s="242"/>
      <c r="J247" s="242"/>
      <c r="K247" s="242"/>
      <c r="L247" s="389"/>
      <c r="M247" s="389"/>
      <c r="N247" s="242"/>
      <c r="O247" s="242"/>
      <c r="P247" s="13"/>
      <c r="Q247" s="242"/>
      <c r="R247" s="13"/>
      <c r="S247" s="13"/>
      <c r="T247" s="242"/>
      <c r="U247" s="242"/>
      <c r="V247" s="242"/>
      <c r="W247" s="242"/>
      <c r="X247" s="242"/>
      <c r="Y247" s="242"/>
    </row>
    <row r="248">
      <c r="A248" s="242"/>
      <c r="B248" s="242"/>
      <c r="C248" s="242"/>
      <c r="D248" s="242"/>
      <c r="E248" s="242"/>
      <c r="F248" s="242"/>
      <c r="G248" s="671"/>
      <c r="H248" s="671"/>
      <c r="I248" s="242"/>
      <c r="J248" s="242"/>
      <c r="K248" s="242"/>
      <c r="L248" s="389"/>
      <c r="M248" s="389"/>
      <c r="N248" s="242"/>
      <c r="O248" s="242"/>
      <c r="P248" s="13"/>
      <c r="Q248" s="242"/>
      <c r="R248" s="13"/>
      <c r="S248" s="13"/>
      <c r="T248" s="242"/>
      <c r="U248" s="242"/>
      <c r="V248" s="242"/>
      <c r="W248" s="242"/>
      <c r="X248" s="242"/>
      <c r="Y248" s="242"/>
    </row>
    <row r="249">
      <c r="A249" s="242"/>
      <c r="B249" s="242"/>
      <c r="C249" s="242"/>
      <c r="D249" s="242"/>
      <c r="E249" s="242"/>
      <c r="F249" s="242"/>
      <c r="G249" s="671"/>
      <c r="H249" s="671"/>
      <c r="I249" s="242"/>
      <c r="J249" s="242"/>
      <c r="K249" s="242"/>
      <c r="L249" s="389"/>
      <c r="M249" s="389"/>
      <c r="N249" s="242"/>
      <c r="O249" s="242"/>
      <c r="P249" s="13"/>
      <c r="Q249" s="242"/>
      <c r="R249" s="13"/>
      <c r="S249" s="13"/>
      <c r="T249" s="242"/>
      <c r="U249" s="242"/>
      <c r="V249" s="242"/>
      <c r="W249" s="242"/>
      <c r="X249" s="242"/>
      <c r="Y249" s="242"/>
    </row>
    <row r="250">
      <c r="A250" s="242"/>
      <c r="B250" s="242"/>
      <c r="C250" s="242"/>
      <c r="D250" s="242"/>
      <c r="E250" s="242"/>
      <c r="F250" s="242"/>
      <c r="G250" s="671"/>
      <c r="H250" s="671"/>
      <c r="I250" s="242"/>
      <c r="J250" s="242"/>
      <c r="K250" s="242"/>
      <c r="L250" s="389"/>
      <c r="M250" s="389"/>
      <c r="N250" s="242"/>
      <c r="O250" s="242"/>
      <c r="P250" s="13"/>
      <c r="Q250" s="242"/>
      <c r="R250" s="13"/>
      <c r="S250" s="13"/>
      <c r="T250" s="242"/>
      <c r="U250" s="242"/>
      <c r="V250" s="242"/>
      <c r="W250" s="242"/>
      <c r="X250" s="242"/>
      <c r="Y250" s="242"/>
    </row>
    <row r="251">
      <c r="A251" s="242"/>
      <c r="B251" s="242"/>
      <c r="C251" s="242"/>
      <c r="D251" s="242"/>
      <c r="E251" s="242"/>
      <c r="F251" s="242"/>
      <c r="G251" s="671"/>
      <c r="H251" s="671"/>
      <c r="I251" s="242"/>
      <c r="J251" s="242"/>
      <c r="K251" s="242"/>
      <c r="L251" s="389"/>
      <c r="M251" s="389"/>
      <c r="N251" s="242"/>
      <c r="O251" s="242"/>
      <c r="P251" s="13"/>
      <c r="Q251" s="242"/>
      <c r="R251" s="13"/>
      <c r="S251" s="13"/>
      <c r="T251" s="242"/>
      <c r="U251" s="242"/>
      <c r="V251" s="242"/>
      <c r="W251" s="242"/>
      <c r="X251" s="242"/>
      <c r="Y251" s="242"/>
    </row>
    <row r="252">
      <c r="A252" s="242"/>
      <c r="B252" s="242"/>
      <c r="C252" s="242"/>
      <c r="D252" s="242"/>
      <c r="E252" s="242"/>
      <c r="F252" s="242"/>
      <c r="G252" s="671"/>
      <c r="H252" s="671"/>
      <c r="I252" s="242"/>
      <c r="J252" s="242"/>
      <c r="K252" s="242"/>
      <c r="L252" s="389"/>
      <c r="M252" s="389"/>
      <c r="N252" s="242"/>
      <c r="O252" s="242"/>
      <c r="P252" s="13"/>
      <c r="Q252" s="242"/>
      <c r="R252" s="13"/>
      <c r="S252" s="13"/>
      <c r="T252" s="242"/>
      <c r="U252" s="242"/>
      <c r="V252" s="242"/>
      <c r="W252" s="242"/>
      <c r="X252" s="242"/>
      <c r="Y252" s="242"/>
    </row>
    <row r="253">
      <c r="A253" s="242"/>
      <c r="B253" s="242"/>
      <c r="C253" s="242"/>
      <c r="D253" s="242"/>
      <c r="E253" s="242"/>
      <c r="F253" s="242"/>
      <c r="G253" s="671"/>
      <c r="H253" s="671"/>
      <c r="I253" s="242"/>
      <c r="J253" s="242"/>
      <c r="K253" s="242"/>
      <c r="L253" s="389"/>
      <c r="M253" s="389"/>
      <c r="N253" s="242"/>
      <c r="O253" s="242"/>
      <c r="P253" s="13"/>
      <c r="Q253" s="242"/>
      <c r="R253" s="13"/>
      <c r="S253" s="13"/>
      <c r="T253" s="242"/>
      <c r="U253" s="242"/>
      <c r="V253" s="242"/>
      <c r="W253" s="242"/>
      <c r="X253" s="242"/>
      <c r="Y253" s="242"/>
    </row>
    <row r="254">
      <c r="A254" s="242"/>
      <c r="B254" s="242"/>
      <c r="C254" s="242"/>
      <c r="D254" s="242"/>
      <c r="E254" s="242"/>
      <c r="F254" s="242"/>
      <c r="G254" s="671"/>
      <c r="H254" s="671"/>
      <c r="I254" s="242"/>
      <c r="J254" s="242"/>
      <c r="K254" s="242"/>
      <c r="L254" s="389"/>
      <c r="M254" s="389"/>
      <c r="N254" s="242"/>
      <c r="O254" s="242"/>
      <c r="P254" s="13"/>
      <c r="Q254" s="242"/>
      <c r="R254" s="13"/>
      <c r="S254" s="13"/>
      <c r="T254" s="242"/>
      <c r="U254" s="242"/>
      <c r="V254" s="242"/>
      <c r="W254" s="242"/>
      <c r="X254" s="242"/>
      <c r="Y254" s="242"/>
    </row>
    <row r="255">
      <c r="A255" s="242"/>
      <c r="B255" s="242"/>
      <c r="C255" s="242"/>
      <c r="D255" s="242"/>
      <c r="E255" s="242"/>
      <c r="F255" s="242"/>
      <c r="G255" s="671"/>
      <c r="H255" s="671"/>
      <c r="I255" s="242"/>
      <c r="J255" s="242"/>
      <c r="K255" s="242"/>
      <c r="L255" s="389"/>
      <c r="M255" s="389"/>
      <c r="N255" s="242"/>
      <c r="O255" s="242"/>
      <c r="P255" s="13"/>
      <c r="Q255" s="242"/>
      <c r="R255" s="13"/>
      <c r="S255" s="13"/>
      <c r="T255" s="242"/>
      <c r="U255" s="242"/>
      <c r="V255" s="242"/>
      <c r="W255" s="242"/>
      <c r="X255" s="242"/>
      <c r="Y255" s="242"/>
    </row>
    <row r="256">
      <c r="A256" s="242"/>
      <c r="B256" s="242"/>
      <c r="C256" s="242"/>
      <c r="D256" s="242"/>
      <c r="E256" s="242"/>
      <c r="F256" s="242"/>
      <c r="G256" s="671"/>
      <c r="H256" s="671"/>
      <c r="I256" s="242"/>
      <c r="J256" s="242"/>
      <c r="K256" s="242"/>
      <c r="L256" s="389"/>
      <c r="M256" s="389"/>
      <c r="N256" s="242"/>
      <c r="O256" s="242"/>
      <c r="P256" s="13"/>
      <c r="Q256" s="242"/>
      <c r="R256" s="13"/>
      <c r="S256" s="13"/>
      <c r="T256" s="242"/>
      <c r="U256" s="242"/>
      <c r="V256" s="242"/>
      <c r="W256" s="242"/>
      <c r="X256" s="242"/>
      <c r="Y256" s="242"/>
    </row>
    <row r="257">
      <c r="A257" s="242"/>
      <c r="B257" s="242"/>
      <c r="C257" s="242"/>
      <c r="D257" s="242"/>
      <c r="E257" s="242"/>
      <c r="F257" s="242"/>
      <c r="G257" s="671"/>
      <c r="H257" s="671"/>
      <c r="I257" s="242"/>
      <c r="J257" s="242"/>
      <c r="K257" s="242"/>
      <c r="L257" s="389"/>
      <c r="M257" s="389"/>
      <c r="N257" s="242"/>
      <c r="O257" s="242"/>
      <c r="P257" s="13"/>
      <c r="Q257" s="242"/>
      <c r="R257" s="13"/>
      <c r="S257" s="13"/>
      <c r="T257" s="242"/>
      <c r="U257" s="242"/>
      <c r="V257" s="242"/>
      <c r="W257" s="242"/>
      <c r="X257" s="242"/>
      <c r="Y257" s="242"/>
    </row>
    <row r="258">
      <c r="A258" s="242"/>
      <c r="B258" s="242"/>
      <c r="C258" s="242"/>
      <c r="D258" s="242"/>
      <c r="E258" s="242"/>
      <c r="F258" s="242"/>
      <c r="G258" s="671"/>
      <c r="H258" s="671"/>
      <c r="I258" s="242"/>
      <c r="J258" s="242"/>
      <c r="K258" s="242"/>
      <c r="L258" s="389"/>
      <c r="M258" s="389"/>
      <c r="N258" s="242"/>
      <c r="O258" s="242"/>
      <c r="P258" s="13"/>
      <c r="Q258" s="242"/>
      <c r="R258" s="13"/>
      <c r="S258" s="13"/>
      <c r="T258" s="242"/>
      <c r="U258" s="242"/>
      <c r="V258" s="242"/>
      <c r="W258" s="242"/>
      <c r="X258" s="242"/>
      <c r="Y258" s="242"/>
    </row>
    <row r="259">
      <c r="A259" s="242"/>
      <c r="B259" s="242"/>
      <c r="C259" s="242"/>
      <c r="D259" s="242"/>
      <c r="E259" s="242"/>
      <c r="F259" s="242"/>
      <c r="G259" s="671"/>
      <c r="H259" s="671"/>
      <c r="I259" s="242"/>
      <c r="J259" s="242"/>
      <c r="K259" s="242"/>
      <c r="L259" s="389"/>
      <c r="M259" s="389"/>
      <c r="N259" s="242"/>
      <c r="O259" s="242"/>
      <c r="P259" s="13"/>
      <c r="Q259" s="242"/>
      <c r="R259" s="13"/>
      <c r="S259" s="13"/>
      <c r="T259" s="242"/>
      <c r="U259" s="242"/>
      <c r="V259" s="242"/>
      <c r="W259" s="242"/>
      <c r="X259" s="242"/>
      <c r="Y259" s="242"/>
    </row>
    <row r="260">
      <c r="A260" s="242"/>
      <c r="B260" s="242"/>
      <c r="C260" s="242"/>
      <c r="D260" s="242"/>
      <c r="E260" s="242"/>
      <c r="F260" s="242"/>
      <c r="G260" s="671"/>
      <c r="H260" s="671"/>
      <c r="I260" s="242"/>
      <c r="J260" s="242"/>
      <c r="K260" s="242"/>
      <c r="L260" s="389"/>
      <c r="M260" s="389"/>
      <c r="N260" s="242"/>
      <c r="O260" s="242"/>
      <c r="P260" s="13"/>
      <c r="Q260" s="242"/>
      <c r="R260" s="13"/>
      <c r="S260" s="13"/>
      <c r="T260" s="242"/>
      <c r="U260" s="242"/>
      <c r="V260" s="242"/>
      <c r="W260" s="242"/>
      <c r="X260" s="242"/>
      <c r="Y260" s="242"/>
    </row>
    <row r="261">
      <c r="A261" s="242"/>
      <c r="B261" s="242"/>
      <c r="C261" s="242"/>
      <c r="D261" s="242"/>
      <c r="E261" s="242"/>
      <c r="F261" s="242"/>
      <c r="G261" s="671"/>
      <c r="H261" s="671"/>
      <c r="I261" s="242"/>
      <c r="J261" s="242"/>
      <c r="K261" s="242"/>
      <c r="L261" s="389"/>
      <c r="M261" s="389"/>
      <c r="N261" s="242"/>
      <c r="O261" s="242"/>
      <c r="P261" s="13"/>
      <c r="Q261" s="242"/>
      <c r="R261" s="13"/>
      <c r="S261" s="13"/>
      <c r="T261" s="242"/>
      <c r="U261" s="242"/>
      <c r="V261" s="242"/>
      <c r="W261" s="242"/>
      <c r="X261" s="242"/>
      <c r="Y261" s="242"/>
    </row>
    <row r="262">
      <c r="A262" s="242"/>
      <c r="B262" s="242"/>
      <c r="C262" s="242"/>
      <c r="D262" s="242"/>
      <c r="E262" s="242"/>
      <c r="F262" s="242"/>
      <c r="G262" s="671"/>
      <c r="H262" s="671"/>
      <c r="I262" s="242"/>
      <c r="J262" s="242"/>
      <c r="K262" s="242"/>
      <c r="L262" s="389"/>
      <c r="M262" s="389"/>
      <c r="N262" s="242"/>
      <c r="O262" s="242"/>
      <c r="P262" s="13"/>
      <c r="Q262" s="242"/>
      <c r="R262" s="13"/>
      <c r="S262" s="13"/>
      <c r="T262" s="242"/>
      <c r="U262" s="242"/>
      <c r="V262" s="242"/>
      <c r="W262" s="242"/>
      <c r="X262" s="242"/>
      <c r="Y262" s="242"/>
    </row>
    <row r="263">
      <c r="A263" s="242"/>
      <c r="B263" s="242"/>
      <c r="C263" s="242"/>
      <c r="D263" s="242"/>
      <c r="E263" s="242"/>
      <c r="F263" s="242"/>
      <c r="G263" s="671"/>
      <c r="H263" s="671"/>
      <c r="I263" s="242"/>
      <c r="J263" s="242"/>
      <c r="K263" s="242"/>
      <c r="L263" s="389"/>
      <c r="M263" s="389"/>
      <c r="N263" s="242"/>
      <c r="O263" s="242"/>
      <c r="P263" s="13"/>
      <c r="Q263" s="242"/>
      <c r="R263" s="13"/>
      <c r="S263" s="13"/>
      <c r="T263" s="242"/>
      <c r="U263" s="242"/>
      <c r="V263" s="242"/>
      <c r="W263" s="242"/>
      <c r="X263" s="242"/>
      <c r="Y263" s="242"/>
    </row>
    <row r="264">
      <c r="A264" s="242"/>
      <c r="B264" s="242"/>
      <c r="C264" s="242"/>
      <c r="D264" s="242"/>
      <c r="E264" s="242"/>
      <c r="F264" s="242"/>
      <c r="G264" s="671"/>
      <c r="H264" s="671"/>
      <c r="I264" s="242"/>
      <c r="J264" s="242"/>
      <c r="K264" s="242"/>
      <c r="L264" s="389"/>
      <c r="M264" s="389"/>
      <c r="N264" s="242"/>
      <c r="O264" s="242"/>
      <c r="P264" s="13"/>
      <c r="Q264" s="242"/>
      <c r="R264" s="13"/>
      <c r="S264" s="13"/>
      <c r="T264" s="242"/>
      <c r="U264" s="242"/>
      <c r="V264" s="242"/>
      <c r="W264" s="242"/>
      <c r="X264" s="242"/>
      <c r="Y264" s="242"/>
    </row>
    <row r="265">
      <c r="A265" s="242"/>
      <c r="B265" s="242"/>
      <c r="C265" s="242"/>
      <c r="D265" s="242"/>
      <c r="E265" s="242"/>
      <c r="F265" s="242"/>
      <c r="G265" s="671"/>
      <c r="H265" s="671"/>
      <c r="I265" s="242"/>
      <c r="J265" s="242"/>
      <c r="K265" s="242"/>
      <c r="L265" s="389"/>
      <c r="M265" s="389"/>
      <c r="N265" s="242"/>
      <c r="O265" s="242"/>
      <c r="P265" s="13"/>
      <c r="Q265" s="242"/>
      <c r="R265" s="13"/>
      <c r="S265" s="13"/>
      <c r="T265" s="242"/>
      <c r="U265" s="242"/>
      <c r="V265" s="242"/>
      <c r="W265" s="242"/>
      <c r="X265" s="242"/>
      <c r="Y265" s="242"/>
    </row>
    <row r="266">
      <c r="A266" s="242"/>
      <c r="B266" s="242"/>
      <c r="C266" s="242"/>
      <c r="D266" s="242"/>
      <c r="E266" s="242"/>
      <c r="F266" s="242"/>
      <c r="G266" s="671"/>
      <c r="H266" s="671"/>
      <c r="I266" s="242"/>
      <c r="J266" s="242"/>
      <c r="K266" s="242"/>
      <c r="L266" s="389"/>
      <c r="M266" s="389"/>
      <c r="N266" s="242"/>
      <c r="O266" s="242"/>
      <c r="P266" s="13"/>
      <c r="Q266" s="242"/>
      <c r="R266" s="13"/>
      <c r="S266" s="13"/>
      <c r="T266" s="242"/>
      <c r="U266" s="242"/>
      <c r="V266" s="242"/>
      <c r="W266" s="242"/>
      <c r="X266" s="242"/>
      <c r="Y266" s="242"/>
    </row>
    <row r="267">
      <c r="A267" s="242"/>
      <c r="B267" s="242"/>
      <c r="C267" s="242"/>
      <c r="D267" s="242"/>
      <c r="E267" s="242"/>
      <c r="F267" s="242"/>
      <c r="G267" s="671"/>
      <c r="H267" s="671"/>
      <c r="I267" s="242"/>
      <c r="J267" s="242"/>
      <c r="K267" s="242"/>
      <c r="L267" s="389"/>
      <c r="M267" s="389"/>
      <c r="N267" s="242"/>
      <c r="O267" s="242"/>
      <c r="P267" s="13"/>
      <c r="Q267" s="242"/>
      <c r="R267" s="13"/>
      <c r="S267" s="13"/>
      <c r="T267" s="242"/>
      <c r="U267" s="242"/>
      <c r="V267" s="242"/>
      <c r="W267" s="242"/>
      <c r="X267" s="242"/>
      <c r="Y267" s="242"/>
    </row>
    <row r="268">
      <c r="A268" s="242"/>
      <c r="B268" s="242"/>
      <c r="C268" s="242"/>
      <c r="D268" s="242"/>
      <c r="E268" s="242"/>
      <c r="F268" s="242"/>
      <c r="G268" s="671"/>
      <c r="H268" s="671"/>
      <c r="I268" s="242"/>
      <c r="J268" s="242"/>
      <c r="K268" s="242"/>
      <c r="L268" s="389"/>
      <c r="M268" s="389"/>
      <c r="N268" s="242"/>
      <c r="O268" s="242"/>
      <c r="P268" s="13"/>
      <c r="Q268" s="242"/>
      <c r="R268" s="13"/>
      <c r="S268" s="13"/>
      <c r="T268" s="242"/>
      <c r="U268" s="242"/>
      <c r="V268" s="242"/>
      <c r="W268" s="242"/>
      <c r="X268" s="242"/>
      <c r="Y268" s="242"/>
    </row>
    <row r="269">
      <c r="A269" s="242"/>
      <c r="B269" s="242"/>
      <c r="C269" s="242"/>
      <c r="D269" s="242"/>
      <c r="E269" s="242"/>
      <c r="F269" s="242"/>
      <c r="G269" s="671"/>
      <c r="H269" s="671"/>
      <c r="I269" s="242"/>
      <c r="J269" s="242"/>
      <c r="K269" s="242"/>
      <c r="L269" s="389"/>
      <c r="M269" s="389"/>
      <c r="N269" s="242"/>
      <c r="O269" s="242"/>
      <c r="P269" s="13"/>
      <c r="Q269" s="242"/>
      <c r="R269" s="13"/>
      <c r="S269" s="13"/>
      <c r="T269" s="242"/>
      <c r="U269" s="242"/>
      <c r="V269" s="242"/>
      <c r="W269" s="242"/>
      <c r="X269" s="242"/>
      <c r="Y269" s="242"/>
    </row>
    <row r="270">
      <c r="A270" s="242"/>
      <c r="B270" s="242"/>
      <c r="C270" s="242"/>
      <c r="D270" s="242"/>
      <c r="E270" s="242"/>
      <c r="F270" s="242"/>
      <c r="G270" s="671"/>
      <c r="H270" s="671"/>
      <c r="I270" s="242"/>
      <c r="J270" s="242"/>
      <c r="K270" s="242"/>
      <c r="L270" s="389"/>
      <c r="M270" s="389"/>
      <c r="N270" s="242"/>
      <c r="O270" s="242"/>
      <c r="P270" s="13"/>
      <c r="Q270" s="242"/>
      <c r="R270" s="13"/>
      <c r="S270" s="13"/>
      <c r="T270" s="242"/>
      <c r="U270" s="242"/>
      <c r="V270" s="242"/>
      <c r="W270" s="242"/>
      <c r="X270" s="242"/>
      <c r="Y270" s="242"/>
    </row>
    <row r="271">
      <c r="A271" s="242"/>
      <c r="B271" s="242"/>
      <c r="C271" s="242"/>
      <c r="D271" s="242"/>
      <c r="E271" s="242"/>
      <c r="F271" s="242"/>
      <c r="G271" s="671"/>
      <c r="H271" s="671"/>
      <c r="I271" s="242"/>
      <c r="J271" s="242"/>
      <c r="K271" s="242"/>
      <c r="L271" s="389"/>
      <c r="M271" s="389"/>
      <c r="N271" s="242"/>
      <c r="O271" s="242"/>
      <c r="P271" s="13"/>
      <c r="Q271" s="242"/>
      <c r="R271" s="13"/>
      <c r="S271" s="13"/>
      <c r="T271" s="242"/>
      <c r="U271" s="242"/>
      <c r="V271" s="242"/>
      <c r="W271" s="242"/>
      <c r="X271" s="242"/>
      <c r="Y271" s="242"/>
    </row>
    <row r="272">
      <c r="A272" s="242"/>
      <c r="B272" s="242"/>
      <c r="C272" s="242"/>
      <c r="D272" s="242"/>
      <c r="E272" s="242"/>
      <c r="F272" s="242"/>
      <c r="G272" s="671"/>
      <c r="H272" s="671"/>
      <c r="I272" s="242"/>
      <c r="J272" s="242"/>
      <c r="K272" s="242"/>
      <c r="L272" s="389"/>
      <c r="M272" s="389"/>
      <c r="N272" s="242"/>
      <c r="O272" s="242"/>
      <c r="P272" s="13"/>
      <c r="Q272" s="242"/>
      <c r="R272" s="13"/>
      <c r="S272" s="13"/>
      <c r="T272" s="242"/>
      <c r="U272" s="242"/>
      <c r="V272" s="242"/>
      <c r="W272" s="242"/>
      <c r="X272" s="242"/>
      <c r="Y272" s="242"/>
    </row>
    <row r="273">
      <c r="A273" s="242"/>
      <c r="B273" s="242"/>
      <c r="C273" s="242"/>
      <c r="D273" s="242"/>
      <c r="E273" s="242"/>
      <c r="F273" s="242"/>
      <c r="G273" s="671"/>
      <c r="H273" s="671"/>
      <c r="I273" s="242"/>
      <c r="J273" s="242"/>
      <c r="K273" s="242"/>
      <c r="L273" s="389"/>
      <c r="M273" s="389"/>
      <c r="N273" s="242"/>
      <c r="O273" s="242"/>
      <c r="P273" s="13"/>
      <c r="Q273" s="242"/>
      <c r="R273" s="13"/>
      <c r="S273" s="13"/>
      <c r="T273" s="242"/>
      <c r="U273" s="242"/>
      <c r="V273" s="242"/>
      <c r="W273" s="242"/>
      <c r="X273" s="242"/>
      <c r="Y273" s="242"/>
    </row>
    <row r="274">
      <c r="A274" s="242"/>
      <c r="B274" s="242"/>
      <c r="C274" s="242"/>
      <c r="D274" s="242"/>
      <c r="E274" s="242"/>
      <c r="F274" s="242"/>
      <c r="G274" s="671"/>
      <c r="H274" s="671"/>
      <c r="I274" s="242"/>
      <c r="J274" s="242"/>
      <c r="K274" s="242"/>
      <c r="L274" s="389"/>
      <c r="M274" s="389"/>
      <c r="N274" s="242"/>
      <c r="O274" s="242"/>
      <c r="P274" s="13"/>
      <c r="Q274" s="242"/>
      <c r="R274" s="13"/>
      <c r="S274" s="13"/>
      <c r="T274" s="242"/>
      <c r="U274" s="242"/>
      <c r="V274" s="242"/>
      <c r="W274" s="242"/>
      <c r="X274" s="242"/>
      <c r="Y274" s="242"/>
    </row>
    <row r="275">
      <c r="A275" s="242"/>
      <c r="B275" s="242"/>
      <c r="C275" s="242"/>
      <c r="D275" s="242"/>
      <c r="E275" s="242"/>
      <c r="F275" s="242"/>
      <c r="G275" s="671"/>
      <c r="H275" s="671"/>
      <c r="I275" s="242"/>
      <c r="J275" s="242"/>
      <c r="K275" s="242"/>
      <c r="L275" s="389"/>
      <c r="M275" s="389"/>
      <c r="N275" s="242"/>
      <c r="O275" s="242"/>
      <c r="P275" s="13"/>
      <c r="Q275" s="242"/>
      <c r="R275" s="13"/>
      <c r="S275" s="13"/>
      <c r="T275" s="242"/>
      <c r="U275" s="242"/>
      <c r="V275" s="242"/>
      <c r="W275" s="242"/>
      <c r="X275" s="242"/>
      <c r="Y275" s="242"/>
    </row>
    <row r="276">
      <c r="A276" s="242"/>
      <c r="B276" s="242"/>
      <c r="C276" s="242"/>
      <c r="D276" s="242"/>
      <c r="E276" s="242"/>
      <c r="F276" s="242"/>
      <c r="G276" s="671"/>
      <c r="H276" s="671"/>
      <c r="I276" s="242"/>
      <c r="J276" s="242"/>
      <c r="K276" s="242"/>
      <c r="L276" s="389"/>
      <c r="M276" s="389"/>
      <c r="N276" s="242"/>
      <c r="O276" s="242"/>
      <c r="P276" s="13"/>
      <c r="Q276" s="242"/>
      <c r="R276" s="13"/>
      <c r="S276" s="13"/>
      <c r="T276" s="242"/>
      <c r="U276" s="242"/>
      <c r="V276" s="242"/>
      <c r="W276" s="242"/>
      <c r="X276" s="242"/>
      <c r="Y276" s="242"/>
    </row>
    <row r="277">
      <c r="A277" s="242"/>
      <c r="B277" s="242"/>
      <c r="C277" s="242"/>
      <c r="D277" s="242"/>
      <c r="E277" s="242"/>
      <c r="F277" s="242"/>
      <c r="G277" s="671"/>
      <c r="H277" s="671"/>
      <c r="I277" s="242"/>
      <c r="J277" s="242"/>
      <c r="K277" s="242"/>
      <c r="L277" s="389"/>
      <c r="M277" s="389"/>
      <c r="N277" s="242"/>
      <c r="O277" s="242"/>
      <c r="P277" s="13"/>
      <c r="Q277" s="242"/>
      <c r="R277" s="13"/>
      <c r="S277" s="13"/>
      <c r="T277" s="242"/>
      <c r="U277" s="242"/>
      <c r="V277" s="242"/>
      <c r="W277" s="242"/>
      <c r="X277" s="242"/>
      <c r="Y277" s="242"/>
    </row>
    <row r="278">
      <c r="A278" s="242"/>
      <c r="B278" s="242"/>
      <c r="C278" s="242"/>
      <c r="D278" s="242"/>
      <c r="E278" s="242"/>
      <c r="F278" s="242"/>
      <c r="G278" s="671"/>
      <c r="H278" s="671"/>
      <c r="I278" s="242"/>
      <c r="J278" s="242"/>
      <c r="K278" s="242"/>
      <c r="L278" s="389"/>
      <c r="M278" s="389"/>
      <c r="N278" s="242"/>
      <c r="O278" s="242"/>
      <c r="P278" s="13"/>
      <c r="Q278" s="242"/>
      <c r="R278" s="13"/>
      <c r="S278" s="13"/>
      <c r="T278" s="242"/>
      <c r="U278" s="242"/>
      <c r="V278" s="242"/>
      <c r="W278" s="242"/>
      <c r="X278" s="242"/>
      <c r="Y278" s="242"/>
    </row>
    <row r="279">
      <c r="A279" s="242"/>
      <c r="B279" s="242"/>
      <c r="C279" s="242"/>
      <c r="D279" s="242"/>
      <c r="E279" s="242"/>
      <c r="F279" s="242"/>
      <c r="G279" s="671"/>
      <c r="H279" s="671"/>
      <c r="I279" s="242"/>
      <c r="J279" s="242"/>
      <c r="K279" s="242"/>
      <c r="L279" s="389"/>
      <c r="M279" s="389"/>
      <c r="N279" s="242"/>
      <c r="O279" s="242"/>
      <c r="P279" s="13"/>
      <c r="Q279" s="242"/>
      <c r="R279" s="13"/>
      <c r="S279" s="13"/>
      <c r="T279" s="242"/>
      <c r="U279" s="242"/>
      <c r="V279" s="242"/>
      <c r="W279" s="242"/>
      <c r="X279" s="242"/>
      <c r="Y279" s="242"/>
    </row>
    <row r="280">
      <c r="A280" s="242"/>
      <c r="B280" s="242"/>
      <c r="C280" s="242"/>
      <c r="D280" s="242"/>
      <c r="E280" s="242"/>
      <c r="F280" s="242"/>
      <c r="G280" s="671"/>
      <c r="H280" s="671"/>
      <c r="I280" s="242"/>
      <c r="J280" s="242"/>
      <c r="K280" s="242"/>
      <c r="L280" s="389"/>
      <c r="M280" s="389"/>
      <c r="N280" s="242"/>
      <c r="O280" s="242"/>
      <c r="P280" s="13"/>
      <c r="Q280" s="242"/>
      <c r="R280" s="13"/>
      <c r="S280" s="13"/>
      <c r="T280" s="242"/>
      <c r="U280" s="242"/>
      <c r="V280" s="242"/>
      <c r="W280" s="242"/>
      <c r="X280" s="242"/>
      <c r="Y280" s="242"/>
    </row>
    <row r="281">
      <c r="A281" s="242"/>
      <c r="B281" s="242"/>
      <c r="C281" s="242"/>
      <c r="D281" s="242"/>
      <c r="E281" s="242"/>
      <c r="F281" s="242"/>
      <c r="G281" s="671"/>
      <c r="H281" s="671"/>
      <c r="I281" s="242"/>
      <c r="J281" s="242"/>
      <c r="K281" s="242"/>
      <c r="L281" s="389"/>
      <c r="M281" s="389"/>
      <c r="N281" s="242"/>
      <c r="O281" s="242"/>
      <c r="P281" s="13"/>
      <c r="Q281" s="242"/>
      <c r="R281" s="13"/>
      <c r="S281" s="13"/>
      <c r="T281" s="242"/>
      <c r="U281" s="242"/>
      <c r="V281" s="242"/>
      <c r="W281" s="242"/>
      <c r="X281" s="242"/>
      <c r="Y281" s="242"/>
    </row>
    <row r="282">
      <c r="A282" s="242"/>
      <c r="B282" s="242"/>
      <c r="C282" s="242"/>
      <c r="D282" s="242"/>
      <c r="E282" s="242"/>
      <c r="F282" s="242"/>
      <c r="G282" s="671"/>
      <c r="H282" s="671"/>
      <c r="I282" s="242"/>
      <c r="J282" s="242"/>
      <c r="K282" s="242"/>
      <c r="L282" s="389"/>
      <c r="M282" s="389"/>
      <c r="N282" s="242"/>
      <c r="O282" s="242"/>
      <c r="P282" s="13"/>
      <c r="Q282" s="242"/>
      <c r="R282" s="13"/>
      <c r="S282" s="13"/>
      <c r="T282" s="242"/>
      <c r="U282" s="242"/>
      <c r="V282" s="242"/>
      <c r="W282" s="242"/>
      <c r="X282" s="242"/>
      <c r="Y282" s="242"/>
    </row>
    <row r="283">
      <c r="A283" s="242"/>
      <c r="B283" s="242"/>
      <c r="C283" s="242"/>
      <c r="D283" s="242"/>
      <c r="E283" s="242"/>
      <c r="F283" s="242"/>
      <c r="G283" s="671"/>
      <c r="H283" s="671"/>
      <c r="I283" s="242"/>
      <c r="J283" s="242"/>
      <c r="K283" s="242"/>
      <c r="L283" s="389"/>
      <c r="M283" s="389"/>
      <c r="N283" s="242"/>
      <c r="O283" s="242"/>
      <c r="P283" s="13"/>
      <c r="Q283" s="242"/>
      <c r="R283" s="13"/>
      <c r="S283" s="13"/>
      <c r="T283" s="242"/>
      <c r="U283" s="242"/>
      <c r="V283" s="242"/>
      <c r="W283" s="242"/>
      <c r="X283" s="242"/>
      <c r="Y283" s="242"/>
    </row>
    <row r="284">
      <c r="A284" s="242"/>
      <c r="B284" s="242"/>
      <c r="C284" s="242"/>
      <c r="D284" s="242"/>
      <c r="E284" s="242"/>
      <c r="F284" s="242"/>
      <c r="G284" s="671"/>
      <c r="H284" s="671"/>
      <c r="I284" s="242"/>
      <c r="J284" s="242"/>
      <c r="K284" s="242"/>
      <c r="L284" s="389"/>
      <c r="M284" s="389"/>
      <c r="N284" s="242"/>
      <c r="O284" s="242"/>
      <c r="P284" s="13"/>
      <c r="Q284" s="242"/>
      <c r="R284" s="13"/>
      <c r="S284" s="13"/>
      <c r="T284" s="242"/>
      <c r="U284" s="242"/>
      <c r="V284" s="242"/>
      <c r="W284" s="242"/>
      <c r="X284" s="242"/>
      <c r="Y284" s="242"/>
    </row>
    <row r="285">
      <c r="A285" s="242"/>
      <c r="B285" s="242"/>
      <c r="C285" s="242"/>
      <c r="D285" s="242"/>
      <c r="E285" s="242"/>
      <c r="F285" s="242"/>
      <c r="G285" s="671"/>
      <c r="H285" s="671"/>
      <c r="I285" s="242"/>
      <c r="J285" s="242"/>
      <c r="K285" s="242"/>
      <c r="L285" s="389"/>
      <c r="M285" s="389"/>
      <c r="N285" s="242"/>
      <c r="O285" s="242"/>
      <c r="P285" s="13"/>
      <c r="Q285" s="242"/>
      <c r="R285" s="13"/>
      <c r="S285" s="13"/>
      <c r="T285" s="242"/>
      <c r="U285" s="242"/>
      <c r="V285" s="242"/>
      <c r="W285" s="242"/>
      <c r="X285" s="242"/>
      <c r="Y285" s="242"/>
    </row>
    <row r="286">
      <c r="A286" s="242"/>
      <c r="B286" s="242"/>
      <c r="C286" s="242"/>
      <c r="D286" s="242"/>
      <c r="E286" s="242"/>
      <c r="F286" s="242"/>
      <c r="G286" s="671"/>
      <c r="H286" s="671"/>
      <c r="I286" s="242"/>
      <c r="J286" s="242"/>
      <c r="K286" s="242"/>
      <c r="L286" s="389"/>
      <c r="M286" s="389"/>
      <c r="N286" s="242"/>
      <c r="O286" s="242"/>
      <c r="P286" s="13"/>
      <c r="Q286" s="242"/>
      <c r="R286" s="13"/>
      <c r="S286" s="13"/>
      <c r="T286" s="242"/>
      <c r="U286" s="242"/>
      <c r="V286" s="242"/>
      <c r="W286" s="242"/>
      <c r="X286" s="242"/>
      <c r="Y286" s="242"/>
    </row>
    <row r="287">
      <c r="A287" s="242"/>
      <c r="B287" s="242"/>
      <c r="C287" s="242"/>
      <c r="D287" s="242"/>
      <c r="E287" s="242"/>
      <c r="F287" s="242"/>
      <c r="G287" s="671"/>
      <c r="H287" s="671"/>
      <c r="I287" s="242"/>
      <c r="J287" s="242"/>
      <c r="K287" s="242"/>
      <c r="L287" s="389"/>
      <c r="M287" s="389"/>
      <c r="N287" s="242"/>
      <c r="O287" s="242"/>
      <c r="P287" s="13"/>
      <c r="Q287" s="242"/>
      <c r="R287" s="13"/>
      <c r="S287" s="13"/>
      <c r="T287" s="242"/>
      <c r="U287" s="242"/>
      <c r="V287" s="242"/>
      <c r="W287" s="242"/>
      <c r="X287" s="242"/>
      <c r="Y287" s="242"/>
    </row>
    <row r="288">
      <c r="A288" s="242"/>
      <c r="B288" s="242"/>
      <c r="C288" s="242"/>
      <c r="D288" s="242"/>
      <c r="E288" s="242"/>
      <c r="F288" s="242"/>
      <c r="G288" s="671"/>
      <c r="H288" s="671"/>
      <c r="I288" s="242"/>
      <c r="J288" s="242"/>
      <c r="K288" s="242"/>
      <c r="L288" s="389"/>
      <c r="M288" s="389"/>
      <c r="N288" s="242"/>
      <c r="O288" s="242"/>
      <c r="P288" s="13"/>
      <c r="Q288" s="242"/>
      <c r="R288" s="13"/>
      <c r="S288" s="13"/>
      <c r="T288" s="242"/>
      <c r="U288" s="242"/>
      <c r="V288" s="242"/>
      <c r="W288" s="242"/>
      <c r="X288" s="242"/>
      <c r="Y288" s="242"/>
    </row>
    <row r="289">
      <c r="A289" s="242"/>
      <c r="B289" s="242"/>
      <c r="C289" s="242"/>
      <c r="D289" s="242"/>
      <c r="E289" s="242"/>
      <c r="F289" s="242"/>
      <c r="G289" s="671"/>
      <c r="H289" s="671"/>
      <c r="I289" s="242"/>
      <c r="J289" s="242"/>
      <c r="K289" s="242"/>
      <c r="L289" s="389"/>
      <c r="M289" s="389"/>
      <c r="N289" s="242"/>
      <c r="O289" s="242"/>
      <c r="P289" s="13"/>
      <c r="Q289" s="242"/>
      <c r="R289" s="13"/>
      <c r="S289" s="13"/>
      <c r="T289" s="242"/>
      <c r="U289" s="242"/>
      <c r="V289" s="242"/>
      <c r="W289" s="242"/>
      <c r="X289" s="242"/>
      <c r="Y289" s="242"/>
    </row>
    <row r="290">
      <c r="A290" s="242"/>
      <c r="B290" s="242"/>
      <c r="C290" s="242"/>
      <c r="D290" s="242"/>
      <c r="E290" s="242"/>
      <c r="F290" s="242"/>
      <c r="G290" s="671"/>
      <c r="H290" s="671"/>
      <c r="I290" s="242"/>
      <c r="J290" s="242"/>
      <c r="K290" s="242"/>
      <c r="L290" s="389"/>
      <c r="M290" s="389"/>
      <c r="N290" s="242"/>
      <c r="O290" s="242"/>
      <c r="P290" s="13"/>
      <c r="Q290" s="242"/>
      <c r="R290" s="13"/>
      <c r="S290" s="13"/>
      <c r="T290" s="242"/>
      <c r="U290" s="242"/>
      <c r="V290" s="242"/>
      <c r="W290" s="242"/>
      <c r="X290" s="242"/>
      <c r="Y290" s="242"/>
    </row>
    <row r="291">
      <c r="A291" s="242"/>
      <c r="B291" s="242"/>
      <c r="C291" s="242"/>
      <c r="D291" s="242"/>
      <c r="E291" s="242"/>
      <c r="F291" s="242"/>
      <c r="G291" s="671"/>
      <c r="H291" s="671"/>
      <c r="I291" s="242"/>
      <c r="J291" s="242"/>
      <c r="K291" s="242"/>
      <c r="L291" s="389"/>
      <c r="M291" s="389"/>
      <c r="N291" s="242"/>
      <c r="O291" s="242"/>
      <c r="P291" s="13"/>
      <c r="Q291" s="242"/>
      <c r="R291" s="13"/>
      <c r="S291" s="13"/>
      <c r="T291" s="242"/>
      <c r="U291" s="242"/>
      <c r="V291" s="242"/>
      <c r="W291" s="242"/>
      <c r="X291" s="242"/>
      <c r="Y291" s="242"/>
    </row>
    <row r="292">
      <c r="A292" s="242"/>
      <c r="B292" s="242"/>
      <c r="C292" s="242"/>
      <c r="D292" s="242"/>
      <c r="E292" s="242"/>
      <c r="F292" s="242"/>
      <c r="G292" s="671"/>
      <c r="H292" s="671"/>
      <c r="I292" s="242"/>
      <c r="J292" s="242"/>
      <c r="K292" s="242"/>
      <c r="L292" s="389"/>
      <c r="M292" s="389"/>
      <c r="N292" s="242"/>
      <c r="O292" s="242"/>
      <c r="P292" s="13"/>
      <c r="Q292" s="242"/>
      <c r="R292" s="13"/>
      <c r="S292" s="13"/>
      <c r="T292" s="242"/>
      <c r="U292" s="242"/>
      <c r="V292" s="242"/>
      <c r="W292" s="242"/>
      <c r="X292" s="242"/>
      <c r="Y292" s="242"/>
    </row>
    <row r="293">
      <c r="A293" s="242"/>
      <c r="B293" s="242"/>
      <c r="C293" s="242"/>
      <c r="D293" s="242"/>
      <c r="E293" s="242"/>
      <c r="F293" s="242"/>
      <c r="G293" s="671"/>
      <c r="H293" s="671"/>
      <c r="I293" s="242"/>
      <c r="J293" s="242"/>
      <c r="K293" s="242"/>
      <c r="L293" s="389"/>
      <c r="M293" s="389"/>
      <c r="N293" s="242"/>
      <c r="O293" s="242"/>
      <c r="P293" s="13"/>
      <c r="Q293" s="242"/>
      <c r="R293" s="13"/>
      <c r="S293" s="13"/>
      <c r="T293" s="242"/>
      <c r="U293" s="242"/>
      <c r="V293" s="242"/>
      <c r="W293" s="242"/>
      <c r="X293" s="242"/>
      <c r="Y293" s="242"/>
    </row>
    <row r="294">
      <c r="A294" s="242"/>
      <c r="B294" s="242"/>
      <c r="C294" s="242"/>
      <c r="D294" s="242"/>
      <c r="E294" s="242"/>
      <c r="F294" s="242"/>
      <c r="G294" s="671"/>
      <c r="H294" s="671"/>
      <c r="I294" s="242"/>
      <c r="J294" s="242"/>
      <c r="K294" s="242"/>
      <c r="L294" s="389"/>
      <c r="M294" s="389"/>
      <c r="N294" s="242"/>
      <c r="O294" s="242"/>
      <c r="P294" s="13"/>
      <c r="Q294" s="242"/>
      <c r="R294" s="13"/>
      <c r="S294" s="13"/>
      <c r="T294" s="242"/>
      <c r="U294" s="242"/>
      <c r="V294" s="242"/>
      <c r="W294" s="242"/>
      <c r="X294" s="242"/>
      <c r="Y294" s="242"/>
    </row>
    <row r="295">
      <c r="A295" s="242"/>
      <c r="B295" s="242"/>
      <c r="C295" s="242"/>
      <c r="D295" s="242"/>
      <c r="E295" s="242"/>
      <c r="F295" s="242"/>
      <c r="G295" s="671"/>
      <c r="H295" s="671"/>
      <c r="I295" s="242"/>
      <c r="J295" s="242"/>
      <c r="K295" s="242"/>
      <c r="L295" s="389"/>
      <c r="M295" s="389"/>
      <c r="N295" s="242"/>
      <c r="O295" s="242"/>
      <c r="P295" s="13"/>
      <c r="Q295" s="242"/>
      <c r="R295" s="13"/>
      <c r="S295" s="13"/>
      <c r="T295" s="242"/>
      <c r="U295" s="242"/>
      <c r="V295" s="242"/>
      <c r="W295" s="242"/>
      <c r="X295" s="242"/>
      <c r="Y295" s="242"/>
    </row>
    <row r="296">
      <c r="A296" s="242"/>
      <c r="B296" s="242"/>
      <c r="C296" s="242"/>
      <c r="D296" s="242"/>
      <c r="E296" s="242"/>
      <c r="F296" s="242"/>
      <c r="G296" s="671"/>
      <c r="H296" s="671"/>
      <c r="I296" s="242"/>
      <c r="J296" s="242"/>
      <c r="K296" s="242"/>
      <c r="L296" s="389"/>
      <c r="M296" s="389"/>
      <c r="N296" s="242"/>
      <c r="O296" s="242"/>
      <c r="P296" s="13"/>
      <c r="Q296" s="242"/>
      <c r="R296" s="13"/>
      <c r="S296" s="13"/>
      <c r="T296" s="242"/>
      <c r="U296" s="242"/>
      <c r="V296" s="242"/>
      <c r="W296" s="242"/>
      <c r="X296" s="242"/>
      <c r="Y296" s="242"/>
    </row>
    <row r="297">
      <c r="A297" s="242"/>
      <c r="B297" s="242"/>
      <c r="C297" s="242"/>
      <c r="D297" s="242"/>
      <c r="E297" s="242"/>
      <c r="F297" s="242"/>
      <c r="G297" s="671"/>
      <c r="H297" s="671"/>
      <c r="I297" s="242"/>
      <c r="J297" s="242"/>
      <c r="K297" s="242"/>
      <c r="L297" s="389"/>
      <c r="M297" s="389"/>
      <c r="N297" s="242"/>
      <c r="O297" s="242"/>
      <c r="P297" s="13"/>
      <c r="Q297" s="242"/>
      <c r="R297" s="13"/>
      <c r="S297" s="13"/>
      <c r="T297" s="242"/>
      <c r="U297" s="242"/>
      <c r="V297" s="242"/>
      <c r="W297" s="242"/>
      <c r="X297" s="242"/>
      <c r="Y297" s="242"/>
    </row>
    <row r="298">
      <c r="A298" s="242"/>
      <c r="B298" s="242"/>
      <c r="C298" s="242"/>
      <c r="D298" s="242"/>
      <c r="E298" s="242"/>
      <c r="F298" s="242"/>
      <c r="G298" s="671"/>
      <c r="H298" s="671"/>
      <c r="I298" s="242"/>
      <c r="J298" s="242"/>
      <c r="K298" s="242"/>
      <c r="L298" s="389"/>
      <c r="M298" s="389"/>
      <c r="N298" s="242"/>
      <c r="O298" s="242"/>
      <c r="P298" s="13"/>
      <c r="Q298" s="242"/>
      <c r="R298" s="13"/>
      <c r="S298" s="13"/>
      <c r="T298" s="242"/>
      <c r="U298" s="242"/>
      <c r="V298" s="242"/>
      <c r="W298" s="242"/>
      <c r="X298" s="242"/>
      <c r="Y298" s="242"/>
    </row>
    <row r="299">
      <c r="A299" s="242"/>
      <c r="B299" s="242"/>
      <c r="C299" s="242"/>
      <c r="D299" s="242"/>
      <c r="E299" s="242"/>
      <c r="F299" s="242"/>
      <c r="G299" s="671"/>
      <c r="H299" s="671"/>
      <c r="I299" s="242"/>
      <c r="J299" s="242"/>
      <c r="K299" s="242"/>
      <c r="L299" s="389"/>
      <c r="M299" s="389"/>
      <c r="N299" s="242"/>
      <c r="O299" s="242"/>
      <c r="P299" s="13"/>
      <c r="Q299" s="242"/>
      <c r="R299" s="13"/>
      <c r="S299" s="13"/>
      <c r="T299" s="242"/>
      <c r="U299" s="242"/>
      <c r="V299" s="242"/>
      <c r="W299" s="242"/>
      <c r="X299" s="242"/>
      <c r="Y299" s="242"/>
    </row>
    <row r="300">
      <c r="A300" s="242"/>
      <c r="B300" s="242"/>
      <c r="C300" s="242"/>
      <c r="D300" s="242"/>
      <c r="E300" s="242"/>
      <c r="F300" s="242"/>
      <c r="G300" s="671"/>
      <c r="H300" s="671"/>
      <c r="I300" s="242"/>
      <c r="J300" s="242"/>
      <c r="K300" s="242"/>
      <c r="L300" s="389"/>
      <c r="M300" s="389"/>
      <c r="N300" s="242"/>
      <c r="O300" s="242"/>
      <c r="P300" s="13"/>
      <c r="Q300" s="242"/>
      <c r="R300" s="13"/>
      <c r="S300" s="13"/>
      <c r="T300" s="242"/>
      <c r="U300" s="242"/>
      <c r="V300" s="242"/>
      <c r="W300" s="242"/>
      <c r="X300" s="242"/>
      <c r="Y300" s="242"/>
    </row>
    <row r="301">
      <c r="A301" s="242"/>
      <c r="B301" s="242"/>
      <c r="C301" s="242"/>
      <c r="D301" s="242"/>
      <c r="E301" s="242"/>
      <c r="F301" s="242"/>
      <c r="G301" s="671"/>
      <c r="H301" s="671"/>
      <c r="I301" s="242"/>
      <c r="J301" s="242"/>
      <c r="K301" s="242"/>
      <c r="L301" s="389"/>
      <c r="M301" s="389"/>
      <c r="N301" s="242"/>
      <c r="O301" s="242"/>
      <c r="P301" s="13"/>
      <c r="Q301" s="242"/>
      <c r="R301" s="13"/>
      <c r="S301" s="13"/>
      <c r="T301" s="242"/>
      <c r="U301" s="242"/>
      <c r="V301" s="242"/>
      <c r="W301" s="242"/>
      <c r="X301" s="242"/>
      <c r="Y301" s="242"/>
    </row>
    <row r="302">
      <c r="A302" s="242"/>
      <c r="B302" s="242"/>
      <c r="C302" s="242"/>
      <c r="D302" s="242"/>
      <c r="E302" s="242"/>
      <c r="F302" s="242"/>
      <c r="G302" s="671"/>
      <c r="H302" s="671"/>
      <c r="I302" s="242"/>
      <c r="J302" s="242"/>
      <c r="K302" s="242"/>
      <c r="L302" s="389"/>
      <c r="M302" s="389"/>
      <c r="N302" s="242"/>
      <c r="O302" s="242"/>
      <c r="P302" s="13"/>
      <c r="Q302" s="242"/>
      <c r="R302" s="13"/>
      <c r="S302" s="13"/>
      <c r="T302" s="242"/>
      <c r="U302" s="242"/>
      <c r="V302" s="242"/>
      <c r="W302" s="242"/>
      <c r="X302" s="242"/>
      <c r="Y302" s="242"/>
    </row>
    <row r="303">
      <c r="A303" s="242"/>
      <c r="B303" s="242"/>
      <c r="C303" s="242"/>
      <c r="D303" s="242"/>
      <c r="E303" s="242"/>
      <c r="F303" s="242"/>
      <c r="G303" s="671"/>
      <c r="H303" s="671"/>
      <c r="I303" s="242"/>
      <c r="J303" s="242"/>
      <c r="K303" s="242"/>
      <c r="L303" s="389"/>
      <c r="M303" s="389"/>
      <c r="N303" s="242"/>
      <c r="O303" s="242"/>
      <c r="P303" s="13"/>
      <c r="Q303" s="242"/>
      <c r="R303" s="13"/>
      <c r="S303" s="13"/>
      <c r="T303" s="242"/>
      <c r="U303" s="242"/>
      <c r="V303" s="242"/>
      <c r="W303" s="242"/>
      <c r="X303" s="242"/>
      <c r="Y303" s="242"/>
    </row>
    <row r="304">
      <c r="A304" s="242"/>
      <c r="B304" s="242"/>
      <c r="C304" s="242"/>
      <c r="D304" s="242"/>
      <c r="E304" s="242"/>
      <c r="F304" s="242"/>
      <c r="G304" s="671"/>
      <c r="H304" s="671"/>
      <c r="I304" s="242"/>
      <c r="J304" s="242"/>
      <c r="K304" s="242"/>
      <c r="L304" s="389"/>
      <c r="M304" s="389"/>
      <c r="N304" s="242"/>
      <c r="O304" s="242"/>
      <c r="P304" s="13"/>
      <c r="Q304" s="242"/>
      <c r="R304" s="13"/>
      <c r="S304" s="13"/>
      <c r="T304" s="242"/>
      <c r="U304" s="242"/>
      <c r="V304" s="242"/>
      <c r="W304" s="242"/>
      <c r="X304" s="242"/>
      <c r="Y304" s="242"/>
    </row>
    <row r="305">
      <c r="A305" s="242"/>
      <c r="B305" s="242"/>
      <c r="C305" s="242"/>
      <c r="D305" s="242"/>
      <c r="E305" s="242"/>
      <c r="F305" s="242"/>
      <c r="G305" s="671"/>
      <c r="H305" s="671"/>
      <c r="I305" s="242"/>
      <c r="J305" s="242"/>
      <c r="K305" s="242"/>
      <c r="L305" s="389"/>
      <c r="M305" s="389"/>
      <c r="N305" s="242"/>
      <c r="O305" s="242"/>
      <c r="P305" s="13"/>
      <c r="Q305" s="242"/>
      <c r="R305" s="13"/>
      <c r="S305" s="13"/>
      <c r="T305" s="242"/>
      <c r="U305" s="242"/>
      <c r="V305" s="242"/>
      <c r="W305" s="242"/>
      <c r="X305" s="242"/>
      <c r="Y305" s="242"/>
    </row>
    <row r="306">
      <c r="A306" s="242"/>
      <c r="B306" s="242"/>
      <c r="C306" s="242"/>
      <c r="D306" s="242"/>
      <c r="E306" s="242"/>
      <c r="F306" s="242"/>
      <c r="G306" s="671"/>
      <c r="H306" s="671"/>
      <c r="I306" s="242"/>
      <c r="J306" s="242"/>
      <c r="K306" s="242"/>
      <c r="L306" s="389"/>
      <c r="M306" s="389"/>
      <c r="N306" s="242"/>
      <c r="O306" s="242"/>
      <c r="P306" s="13"/>
      <c r="Q306" s="242"/>
      <c r="R306" s="13"/>
      <c r="S306" s="13"/>
      <c r="T306" s="242"/>
      <c r="U306" s="242"/>
      <c r="V306" s="242"/>
      <c r="W306" s="242"/>
      <c r="X306" s="242"/>
      <c r="Y306" s="242"/>
    </row>
    <row r="307">
      <c r="A307" s="242"/>
      <c r="B307" s="242"/>
      <c r="C307" s="242"/>
      <c r="D307" s="242"/>
      <c r="E307" s="242"/>
      <c r="F307" s="242"/>
      <c r="G307" s="671"/>
      <c r="H307" s="671"/>
      <c r="I307" s="242"/>
      <c r="J307" s="242"/>
      <c r="K307" s="242"/>
      <c r="L307" s="389"/>
      <c r="M307" s="389"/>
      <c r="N307" s="242"/>
      <c r="O307" s="242"/>
      <c r="P307" s="13"/>
      <c r="Q307" s="242"/>
      <c r="R307" s="13"/>
      <c r="S307" s="13"/>
      <c r="T307" s="242"/>
      <c r="U307" s="242"/>
      <c r="V307" s="242"/>
      <c r="W307" s="242"/>
      <c r="X307" s="242"/>
      <c r="Y307" s="242"/>
    </row>
    <row r="308">
      <c r="A308" s="242"/>
      <c r="B308" s="242"/>
      <c r="C308" s="242"/>
      <c r="D308" s="242"/>
      <c r="E308" s="242"/>
      <c r="F308" s="242"/>
      <c r="G308" s="671"/>
      <c r="H308" s="671"/>
      <c r="I308" s="242"/>
      <c r="J308" s="242"/>
      <c r="K308" s="242"/>
      <c r="L308" s="389"/>
      <c r="M308" s="389"/>
      <c r="N308" s="242"/>
      <c r="O308" s="242"/>
      <c r="P308" s="13"/>
      <c r="Q308" s="242"/>
      <c r="R308" s="13"/>
      <c r="S308" s="13"/>
      <c r="T308" s="242"/>
      <c r="U308" s="242"/>
      <c r="V308" s="242"/>
      <c r="W308" s="242"/>
      <c r="X308" s="242"/>
      <c r="Y308" s="242"/>
    </row>
    <row r="309">
      <c r="A309" s="242"/>
      <c r="B309" s="242"/>
      <c r="C309" s="242"/>
      <c r="D309" s="242"/>
      <c r="E309" s="242"/>
      <c r="F309" s="242"/>
      <c r="G309" s="671"/>
      <c r="H309" s="671"/>
      <c r="I309" s="242"/>
      <c r="J309" s="242"/>
      <c r="K309" s="242"/>
      <c r="L309" s="389"/>
      <c r="M309" s="389"/>
      <c r="N309" s="242"/>
      <c r="O309" s="242"/>
      <c r="P309" s="13"/>
      <c r="Q309" s="242"/>
      <c r="R309" s="13"/>
      <c r="S309" s="13"/>
      <c r="T309" s="242"/>
      <c r="U309" s="242"/>
      <c r="V309" s="242"/>
      <c r="W309" s="242"/>
      <c r="X309" s="242"/>
      <c r="Y309" s="242"/>
    </row>
    <row r="310">
      <c r="A310" s="242"/>
      <c r="B310" s="242"/>
      <c r="C310" s="242"/>
      <c r="D310" s="242"/>
      <c r="E310" s="242"/>
      <c r="F310" s="242"/>
      <c r="G310" s="671"/>
      <c r="H310" s="671"/>
      <c r="I310" s="242"/>
      <c r="J310" s="242"/>
      <c r="K310" s="242"/>
      <c r="L310" s="389"/>
      <c r="M310" s="389"/>
      <c r="N310" s="242"/>
      <c r="O310" s="242"/>
      <c r="P310" s="13"/>
      <c r="Q310" s="242"/>
      <c r="R310" s="13"/>
      <c r="S310" s="13"/>
      <c r="T310" s="242"/>
      <c r="U310" s="242"/>
      <c r="V310" s="242"/>
      <c r="W310" s="242"/>
      <c r="X310" s="242"/>
      <c r="Y310" s="242"/>
    </row>
    <row r="311">
      <c r="A311" s="242"/>
      <c r="B311" s="242"/>
      <c r="C311" s="242"/>
      <c r="D311" s="242"/>
      <c r="E311" s="242"/>
      <c r="F311" s="242"/>
      <c r="G311" s="671"/>
      <c r="H311" s="671"/>
      <c r="I311" s="242"/>
      <c r="J311" s="242"/>
      <c r="K311" s="242"/>
      <c r="L311" s="389"/>
      <c r="M311" s="389"/>
      <c r="N311" s="242"/>
      <c r="O311" s="242"/>
      <c r="P311" s="13"/>
      <c r="Q311" s="242"/>
      <c r="R311" s="13"/>
      <c r="S311" s="13"/>
      <c r="T311" s="242"/>
      <c r="U311" s="242"/>
      <c r="V311" s="242"/>
      <c r="W311" s="242"/>
      <c r="X311" s="242"/>
      <c r="Y311" s="242"/>
    </row>
    <row r="312">
      <c r="A312" s="242"/>
      <c r="B312" s="242"/>
      <c r="C312" s="242"/>
      <c r="D312" s="242"/>
      <c r="E312" s="242"/>
      <c r="F312" s="242"/>
      <c r="G312" s="671"/>
      <c r="H312" s="671"/>
      <c r="I312" s="242"/>
      <c r="J312" s="242"/>
      <c r="K312" s="242"/>
      <c r="L312" s="389"/>
      <c r="M312" s="389"/>
      <c r="N312" s="242"/>
      <c r="O312" s="242"/>
      <c r="P312" s="13"/>
      <c r="Q312" s="242"/>
      <c r="R312" s="13"/>
      <c r="S312" s="13"/>
      <c r="T312" s="242"/>
      <c r="U312" s="242"/>
      <c r="V312" s="242"/>
      <c r="W312" s="242"/>
      <c r="X312" s="242"/>
      <c r="Y312" s="242"/>
    </row>
    <row r="313">
      <c r="A313" s="242"/>
      <c r="B313" s="242"/>
      <c r="C313" s="242"/>
      <c r="D313" s="242"/>
      <c r="E313" s="242"/>
      <c r="F313" s="242"/>
      <c r="G313" s="671"/>
      <c r="H313" s="671"/>
      <c r="I313" s="242"/>
      <c r="J313" s="242"/>
      <c r="K313" s="242"/>
      <c r="L313" s="389"/>
      <c r="M313" s="389"/>
      <c r="N313" s="242"/>
      <c r="O313" s="242"/>
      <c r="P313" s="13"/>
      <c r="Q313" s="242"/>
      <c r="R313" s="13"/>
      <c r="S313" s="13"/>
      <c r="T313" s="242"/>
      <c r="U313" s="242"/>
      <c r="V313" s="242"/>
      <c r="W313" s="242"/>
      <c r="X313" s="242"/>
      <c r="Y313" s="242"/>
    </row>
    <row r="314">
      <c r="A314" s="242"/>
      <c r="B314" s="242"/>
      <c r="C314" s="242"/>
      <c r="D314" s="242"/>
      <c r="E314" s="242"/>
      <c r="F314" s="242"/>
      <c r="G314" s="671"/>
      <c r="H314" s="671"/>
      <c r="I314" s="242"/>
      <c r="J314" s="242"/>
      <c r="K314" s="242"/>
      <c r="L314" s="389"/>
      <c r="M314" s="389"/>
      <c r="N314" s="242"/>
      <c r="O314" s="242"/>
      <c r="P314" s="13"/>
      <c r="Q314" s="242"/>
      <c r="R314" s="13"/>
      <c r="S314" s="13"/>
      <c r="T314" s="242"/>
      <c r="U314" s="242"/>
      <c r="V314" s="242"/>
      <c r="W314" s="242"/>
      <c r="X314" s="242"/>
      <c r="Y314" s="242"/>
    </row>
    <row r="315">
      <c r="A315" s="242"/>
      <c r="B315" s="242"/>
      <c r="C315" s="242"/>
      <c r="D315" s="242"/>
      <c r="E315" s="242"/>
      <c r="F315" s="242"/>
      <c r="G315" s="671"/>
      <c r="H315" s="671"/>
      <c r="I315" s="242"/>
      <c r="J315" s="242"/>
      <c r="K315" s="242"/>
      <c r="L315" s="389"/>
      <c r="M315" s="389"/>
      <c r="N315" s="242"/>
      <c r="O315" s="242"/>
      <c r="P315" s="13"/>
      <c r="Q315" s="242"/>
      <c r="R315" s="13"/>
      <c r="S315" s="13"/>
      <c r="T315" s="242"/>
      <c r="U315" s="242"/>
      <c r="V315" s="242"/>
      <c r="W315" s="242"/>
      <c r="X315" s="242"/>
      <c r="Y315" s="242"/>
    </row>
    <row r="316">
      <c r="A316" s="242"/>
      <c r="B316" s="242"/>
      <c r="C316" s="242"/>
      <c r="D316" s="242"/>
      <c r="E316" s="242"/>
      <c r="F316" s="242"/>
      <c r="G316" s="671"/>
      <c r="H316" s="671"/>
      <c r="I316" s="242"/>
      <c r="J316" s="242"/>
      <c r="K316" s="242"/>
      <c r="L316" s="389"/>
      <c r="M316" s="389"/>
      <c r="N316" s="242"/>
      <c r="O316" s="242"/>
      <c r="P316" s="13"/>
      <c r="Q316" s="242"/>
      <c r="R316" s="13"/>
      <c r="S316" s="13"/>
      <c r="T316" s="242"/>
      <c r="U316" s="242"/>
      <c r="V316" s="242"/>
      <c r="W316" s="242"/>
      <c r="X316" s="242"/>
      <c r="Y316" s="242"/>
    </row>
    <row r="317">
      <c r="A317" s="242"/>
      <c r="B317" s="242"/>
      <c r="C317" s="242"/>
      <c r="D317" s="242"/>
      <c r="E317" s="242"/>
      <c r="F317" s="242"/>
      <c r="G317" s="671"/>
      <c r="H317" s="671"/>
      <c r="I317" s="242"/>
      <c r="J317" s="242"/>
      <c r="K317" s="242"/>
      <c r="L317" s="389"/>
      <c r="M317" s="389"/>
      <c r="N317" s="242"/>
      <c r="O317" s="242"/>
      <c r="P317" s="13"/>
      <c r="Q317" s="242"/>
      <c r="R317" s="13"/>
      <c r="S317" s="13"/>
      <c r="T317" s="242"/>
      <c r="U317" s="242"/>
      <c r="V317" s="242"/>
      <c r="W317" s="242"/>
      <c r="X317" s="242"/>
      <c r="Y317" s="242"/>
    </row>
    <row r="318">
      <c r="A318" s="242"/>
      <c r="B318" s="242"/>
      <c r="C318" s="242"/>
      <c r="D318" s="242"/>
      <c r="E318" s="242"/>
      <c r="F318" s="242"/>
      <c r="G318" s="671"/>
      <c r="H318" s="671"/>
      <c r="I318" s="242"/>
      <c r="J318" s="242"/>
      <c r="K318" s="242"/>
      <c r="L318" s="389"/>
      <c r="M318" s="389"/>
      <c r="N318" s="242"/>
      <c r="O318" s="242"/>
      <c r="P318" s="13"/>
      <c r="Q318" s="242"/>
      <c r="R318" s="13"/>
      <c r="S318" s="13"/>
      <c r="T318" s="242"/>
      <c r="U318" s="242"/>
      <c r="V318" s="242"/>
      <c r="W318" s="242"/>
      <c r="X318" s="242"/>
      <c r="Y318" s="242"/>
    </row>
    <row r="319">
      <c r="A319" s="242"/>
      <c r="B319" s="242"/>
      <c r="C319" s="242"/>
      <c r="D319" s="242"/>
      <c r="E319" s="242"/>
      <c r="F319" s="242"/>
      <c r="G319" s="671"/>
      <c r="H319" s="671"/>
      <c r="I319" s="242"/>
      <c r="J319" s="242"/>
      <c r="K319" s="242"/>
      <c r="L319" s="389"/>
      <c r="M319" s="389"/>
      <c r="N319" s="242"/>
      <c r="O319" s="242"/>
      <c r="P319" s="13"/>
      <c r="Q319" s="242"/>
      <c r="R319" s="13"/>
      <c r="S319" s="13"/>
      <c r="T319" s="242"/>
      <c r="U319" s="242"/>
      <c r="V319" s="242"/>
      <c r="W319" s="242"/>
      <c r="X319" s="242"/>
      <c r="Y319" s="242"/>
    </row>
    <row r="320">
      <c r="A320" s="242"/>
      <c r="B320" s="242"/>
      <c r="C320" s="242"/>
      <c r="D320" s="242"/>
      <c r="E320" s="242"/>
      <c r="F320" s="242"/>
      <c r="G320" s="671"/>
      <c r="H320" s="671"/>
      <c r="I320" s="242"/>
      <c r="J320" s="242"/>
      <c r="K320" s="242"/>
      <c r="L320" s="389"/>
      <c r="M320" s="389"/>
      <c r="N320" s="242"/>
      <c r="O320" s="242"/>
      <c r="P320" s="13"/>
      <c r="Q320" s="242"/>
      <c r="R320" s="13"/>
      <c r="S320" s="13"/>
      <c r="T320" s="242"/>
      <c r="U320" s="242"/>
      <c r="V320" s="242"/>
      <c r="W320" s="242"/>
      <c r="X320" s="242"/>
      <c r="Y320" s="242"/>
    </row>
    <row r="321">
      <c r="A321" s="242"/>
      <c r="B321" s="242"/>
      <c r="C321" s="242"/>
      <c r="D321" s="242"/>
      <c r="E321" s="242"/>
      <c r="F321" s="242"/>
      <c r="G321" s="671"/>
      <c r="H321" s="671"/>
      <c r="I321" s="242"/>
      <c r="J321" s="242"/>
      <c r="K321" s="242"/>
      <c r="L321" s="389"/>
      <c r="M321" s="389"/>
      <c r="N321" s="242"/>
      <c r="O321" s="242"/>
      <c r="P321" s="13"/>
      <c r="Q321" s="242"/>
      <c r="R321" s="13"/>
      <c r="S321" s="13"/>
      <c r="T321" s="242"/>
      <c r="U321" s="242"/>
      <c r="V321" s="242"/>
      <c r="W321" s="242"/>
      <c r="X321" s="242"/>
      <c r="Y321" s="242"/>
    </row>
    <row r="322">
      <c r="A322" s="242"/>
      <c r="B322" s="242"/>
      <c r="C322" s="242"/>
      <c r="D322" s="242"/>
      <c r="E322" s="242"/>
      <c r="F322" s="242"/>
      <c r="G322" s="671"/>
      <c r="H322" s="671"/>
      <c r="I322" s="242"/>
      <c r="J322" s="242"/>
      <c r="K322" s="242"/>
      <c r="L322" s="389"/>
      <c r="M322" s="389"/>
      <c r="N322" s="242"/>
      <c r="O322" s="242"/>
      <c r="P322" s="13"/>
      <c r="Q322" s="242"/>
      <c r="R322" s="13"/>
      <c r="S322" s="13"/>
      <c r="T322" s="242"/>
      <c r="U322" s="242"/>
      <c r="V322" s="242"/>
      <c r="W322" s="242"/>
      <c r="X322" s="242"/>
      <c r="Y322" s="242"/>
    </row>
    <row r="323">
      <c r="A323" s="242"/>
      <c r="B323" s="242"/>
      <c r="C323" s="242"/>
      <c r="D323" s="242"/>
      <c r="E323" s="242"/>
      <c r="F323" s="242"/>
      <c r="G323" s="671"/>
      <c r="H323" s="671"/>
      <c r="I323" s="242"/>
      <c r="J323" s="242"/>
      <c r="K323" s="242"/>
      <c r="L323" s="389"/>
      <c r="M323" s="389"/>
      <c r="N323" s="242"/>
      <c r="O323" s="242"/>
      <c r="P323" s="13"/>
      <c r="Q323" s="242"/>
      <c r="R323" s="13"/>
      <c r="S323" s="13"/>
      <c r="T323" s="242"/>
      <c r="U323" s="242"/>
      <c r="V323" s="242"/>
      <c r="W323" s="242"/>
      <c r="X323" s="242"/>
      <c r="Y323" s="242"/>
    </row>
    <row r="324">
      <c r="A324" s="242"/>
      <c r="B324" s="242"/>
      <c r="C324" s="242"/>
      <c r="D324" s="242"/>
      <c r="E324" s="242"/>
      <c r="F324" s="242"/>
      <c r="G324" s="671"/>
      <c r="H324" s="671"/>
      <c r="I324" s="242"/>
      <c r="J324" s="242"/>
      <c r="K324" s="242"/>
      <c r="L324" s="389"/>
      <c r="M324" s="389"/>
      <c r="N324" s="242"/>
      <c r="O324" s="242"/>
      <c r="P324" s="13"/>
      <c r="Q324" s="242"/>
      <c r="R324" s="13"/>
      <c r="S324" s="13"/>
      <c r="T324" s="242"/>
      <c r="U324" s="242"/>
      <c r="V324" s="242"/>
      <c r="W324" s="242"/>
      <c r="X324" s="242"/>
      <c r="Y324" s="242"/>
    </row>
    <row r="325">
      <c r="A325" s="242"/>
      <c r="B325" s="242"/>
      <c r="C325" s="242"/>
      <c r="D325" s="242"/>
      <c r="E325" s="242"/>
      <c r="F325" s="242"/>
      <c r="G325" s="671"/>
      <c r="H325" s="671"/>
      <c r="I325" s="242"/>
      <c r="J325" s="242"/>
      <c r="K325" s="242"/>
      <c r="L325" s="389"/>
      <c r="M325" s="389"/>
      <c r="N325" s="242"/>
      <c r="O325" s="242"/>
      <c r="P325" s="13"/>
      <c r="Q325" s="242"/>
      <c r="R325" s="13"/>
      <c r="S325" s="13"/>
      <c r="T325" s="242"/>
      <c r="U325" s="242"/>
      <c r="V325" s="242"/>
      <c r="W325" s="242"/>
      <c r="X325" s="242"/>
      <c r="Y325" s="242"/>
    </row>
    <row r="326">
      <c r="A326" s="242"/>
      <c r="B326" s="242"/>
      <c r="C326" s="242"/>
      <c r="D326" s="242"/>
      <c r="E326" s="242"/>
      <c r="F326" s="242"/>
      <c r="G326" s="671"/>
      <c r="H326" s="671"/>
      <c r="I326" s="242"/>
      <c r="J326" s="242"/>
      <c r="K326" s="242"/>
      <c r="L326" s="389"/>
      <c r="M326" s="389"/>
      <c r="N326" s="242"/>
      <c r="O326" s="242"/>
      <c r="P326" s="13"/>
      <c r="Q326" s="242"/>
      <c r="R326" s="13"/>
      <c r="S326" s="13"/>
      <c r="T326" s="242"/>
      <c r="U326" s="242"/>
      <c r="V326" s="242"/>
      <c r="W326" s="242"/>
      <c r="X326" s="242"/>
      <c r="Y326" s="242"/>
    </row>
    <row r="327">
      <c r="A327" s="242"/>
      <c r="B327" s="242"/>
      <c r="C327" s="242"/>
      <c r="D327" s="242"/>
      <c r="E327" s="242"/>
      <c r="F327" s="242"/>
      <c r="G327" s="671"/>
      <c r="H327" s="671"/>
      <c r="I327" s="242"/>
      <c r="J327" s="242"/>
      <c r="K327" s="242"/>
      <c r="L327" s="389"/>
      <c r="M327" s="389"/>
      <c r="N327" s="242"/>
      <c r="O327" s="242"/>
      <c r="P327" s="13"/>
      <c r="Q327" s="242"/>
      <c r="R327" s="13"/>
      <c r="S327" s="13"/>
      <c r="T327" s="242"/>
      <c r="U327" s="242"/>
      <c r="V327" s="242"/>
      <c r="W327" s="242"/>
      <c r="X327" s="242"/>
      <c r="Y327" s="242"/>
    </row>
    <row r="328">
      <c r="A328" s="242"/>
      <c r="B328" s="242"/>
      <c r="C328" s="242"/>
      <c r="D328" s="242"/>
      <c r="E328" s="242"/>
      <c r="F328" s="242"/>
      <c r="G328" s="671"/>
      <c r="H328" s="671"/>
      <c r="I328" s="242"/>
      <c r="J328" s="242"/>
      <c r="K328" s="242"/>
      <c r="L328" s="389"/>
      <c r="M328" s="389"/>
      <c r="N328" s="242"/>
      <c r="O328" s="242"/>
      <c r="P328" s="13"/>
      <c r="Q328" s="242"/>
      <c r="R328" s="13"/>
      <c r="S328" s="13"/>
      <c r="T328" s="242"/>
      <c r="U328" s="242"/>
      <c r="V328" s="242"/>
      <c r="W328" s="242"/>
      <c r="X328" s="242"/>
      <c r="Y328" s="242"/>
    </row>
    <row r="329">
      <c r="A329" s="242"/>
      <c r="B329" s="242"/>
      <c r="C329" s="242"/>
      <c r="D329" s="242"/>
      <c r="E329" s="242"/>
      <c r="F329" s="242"/>
      <c r="G329" s="671"/>
      <c r="H329" s="671"/>
      <c r="I329" s="242"/>
      <c r="J329" s="242"/>
      <c r="K329" s="242"/>
      <c r="L329" s="389"/>
      <c r="M329" s="389"/>
      <c r="N329" s="242"/>
      <c r="O329" s="242"/>
      <c r="P329" s="13"/>
      <c r="Q329" s="242"/>
      <c r="R329" s="13"/>
      <c r="S329" s="13"/>
      <c r="T329" s="242"/>
      <c r="U329" s="242"/>
      <c r="V329" s="242"/>
      <c r="W329" s="242"/>
      <c r="X329" s="242"/>
      <c r="Y329" s="242"/>
    </row>
    <row r="330">
      <c r="A330" s="242"/>
      <c r="B330" s="242"/>
      <c r="C330" s="242"/>
      <c r="D330" s="242"/>
      <c r="E330" s="242"/>
      <c r="F330" s="242"/>
      <c r="G330" s="671"/>
      <c r="H330" s="671"/>
      <c r="I330" s="242"/>
      <c r="J330" s="242"/>
      <c r="K330" s="242"/>
      <c r="L330" s="389"/>
      <c r="M330" s="389"/>
      <c r="N330" s="242"/>
      <c r="O330" s="242"/>
      <c r="P330" s="13"/>
      <c r="Q330" s="242"/>
      <c r="R330" s="13"/>
      <c r="S330" s="13"/>
      <c r="T330" s="242"/>
      <c r="U330" s="242"/>
      <c r="V330" s="242"/>
      <c r="W330" s="242"/>
      <c r="X330" s="242"/>
      <c r="Y330" s="242"/>
    </row>
    <row r="331">
      <c r="A331" s="242"/>
      <c r="B331" s="242"/>
      <c r="C331" s="242"/>
      <c r="D331" s="242"/>
      <c r="E331" s="242"/>
      <c r="F331" s="242"/>
      <c r="G331" s="671"/>
      <c r="H331" s="671"/>
      <c r="I331" s="242"/>
      <c r="J331" s="242"/>
      <c r="K331" s="242"/>
      <c r="L331" s="389"/>
      <c r="M331" s="389"/>
      <c r="N331" s="242"/>
      <c r="O331" s="242"/>
      <c r="P331" s="13"/>
      <c r="Q331" s="242"/>
      <c r="R331" s="13"/>
      <c r="S331" s="13"/>
      <c r="T331" s="242"/>
      <c r="U331" s="242"/>
      <c r="V331" s="242"/>
      <c r="W331" s="242"/>
      <c r="X331" s="242"/>
      <c r="Y331" s="242"/>
    </row>
    <row r="332">
      <c r="A332" s="242"/>
      <c r="B332" s="242"/>
      <c r="C332" s="242"/>
      <c r="D332" s="242"/>
      <c r="E332" s="242"/>
      <c r="F332" s="242"/>
      <c r="G332" s="671"/>
      <c r="H332" s="671"/>
      <c r="I332" s="242"/>
      <c r="J332" s="242"/>
      <c r="K332" s="242"/>
      <c r="L332" s="389"/>
      <c r="M332" s="389"/>
      <c r="N332" s="242"/>
      <c r="O332" s="242"/>
      <c r="P332" s="13"/>
      <c r="Q332" s="242"/>
      <c r="R332" s="13"/>
      <c r="S332" s="13"/>
      <c r="T332" s="242"/>
      <c r="U332" s="242"/>
      <c r="V332" s="242"/>
      <c r="W332" s="242"/>
      <c r="X332" s="242"/>
      <c r="Y332" s="242"/>
    </row>
    <row r="333">
      <c r="A333" s="242"/>
      <c r="B333" s="242"/>
      <c r="C333" s="242"/>
      <c r="D333" s="242"/>
      <c r="E333" s="242"/>
      <c r="F333" s="242"/>
      <c r="G333" s="671"/>
      <c r="H333" s="671"/>
      <c r="I333" s="242"/>
      <c r="J333" s="242"/>
      <c r="K333" s="242"/>
      <c r="L333" s="389"/>
      <c r="M333" s="389"/>
      <c r="N333" s="242"/>
      <c r="O333" s="242"/>
      <c r="P333" s="13"/>
      <c r="Q333" s="242"/>
      <c r="R333" s="13"/>
      <c r="S333" s="13"/>
      <c r="T333" s="242"/>
      <c r="U333" s="242"/>
      <c r="V333" s="242"/>
      <c r="W333" s="242"/>
      <c r="X333" s="242"/>
      <c r="Y333" s="242"/>
    </row>
    <row r="334">
      <c r="A334" s="242"/>
      <c r="B334" s="242"/>
      <c r="C334" s="242"/>
      <c r="D334" s="242"/>
      <c r="E334" s="242"/>
      <c r="F334" s="242"/>
      <c r="G334" s="671"/>
      <c r="H334" s="671"/>
      <c r="I334" s="242"/>
      <c r="J334" s="242"/>
      <c r="K334" s="242"/>
      <c r="L334" s="389"/>
      <c r="M334" s="389"/>
      <c r="N334" s="242"/>
      <c r="O334" s="242"/>
      <c r="P334" s="13"/>
      <c r="Q334" s="242"/>
      <c r="R334" s="13"/>
      <c r="S334" s="13"/>
      <c r="T334" s="242"/>
      <c r="U334" s="242"/>
      <c r="V334" s="242"/>
      <c r="W334" s="242"/>
      <c r="X334" s="242"/>
      <c r="Y334" s="242"/>
    </row>
    <row r="335">
      <c r="A335" s="242"/>
      <c r="B335" s="242"/>
      <c r="C335" s="242"/>
      <c r="D335" s="242"/>
      <c r="E335" s="242"/>
      <c r="F335" s="242"/>
      <c r="G335" s="671"/>
      <c r="H335" s="671"/>
      <c r="I335" s="242"/>
      <c r="J335" s="242"/>
      <c r="K335" s="242"/>
      <c r="L335" s="389"/>
      <c r="M335" s="389"/>
      <c r="N335" s="242"/>
      <c r="O335" s="242"/>
      <c r="P335" s="13"/>
      <c r="Q335" s="242"/>
      <c r="R335" s="13"/>
      <c r="S335" s="13"/>
      <c r="T335" s="242"/>
      <c r="U335" s="242"/>
      <c r="V335" s="242"/>
      <c r="W335" s="242"/>
      <c r="X335" s="242"/>
      <c r="Y335" s="242"/>
    </row>
    <row r="336">
      <c r="A336" s="242"/>
      <c r="B336" s="242"/>
      <c r="C336" s="242"/>
      <c r="D336" s="242"/>
      <c r="E336" s="242"/>
      <c r="F336" s="242"/>
      <c r="G336" s="671"/>
      <c r="H336" s="671"/>
      <c r="I336" s="242"/>
      <c r="J336" s="242"/>
      <c r="K336" s="242"/>
      <c r="L336" s="389"/>
      <c r="M336" s="389"/>
      <c r="N336" s="242"/>
      <c r="O336" s="242"/>
      <c r="P336" s="13"/>
      <c r="Q336" s="242"/>
      <c r="R336" s="13"/>
      <c r="S336" s="13"/>
      <c r="T336" s="242"/>
      <c r="U336" s="242"/>
      <c r="V336" s="242"/>
      <c r="W336" s="242"/>
      <c r="X336" s="242"/>
      <c r="Y336" s="242"/>
    </row>
    <row r="337">
      <c r="A337" s="242"/>
      <c r="B337" s="242"/>
      <c r="C337" s="242"/>
      <c r="D337" s="242"/>
      <c r="E337" s="242"/>
      <c r="F337" s="242"/>
      <c r="G337" s="671"/>
      <c r="H337" s="671"/>
      <c r="I337" s="242"/>
      <c r="J337" s="242"/>
      <c r="K337" s="242"/>
      <c r="L337" s="389"/>
      <c r="M337" s="389"/>
      <c r="N337" s="242"/>
      <c r="O337" s="242"/>
      <c r="P337" s="13"/>
      <c r="Q337" s="242"/>
      <c r="R337" s="13"/>
      <c r="S337" s="13"/>
      <c r="T337" s="242"/>
      <c r="U337" s="242"/>
      <c r="V337" s="242"/>
      <c r="W337" s="242"/>
      <c r="X337" s="242"/>
      <c r="Y337" s="242"/>
    </row>
    <row r="338">
      <c r="A338" s="242"/>
      <c r="B338" s="242"/>
      <c r="C338" s="242"/>
      <c r="D338" s="242"/>
      <c r="E338" s="242"/>
      <c r="F338" s="242"/>
      <c r="G338" s="671"/>
      <c r="H338" s="671"/>
      <c r="I338" s="242"/>
      <c r="J338" s="242"/>
      <c r="K338" s="242"/>
      <c r="L338" s="389"/>
      <c r="M338" s="389"/>
      <c r="N338" s="242"/>
      <c r="O338" s="242"/>
      <c r="P338" s="13"/>
      <c r="Q338" s="242"/>
      <c r="R338" s="13"/>
      <c r="S338" s="13"/>
      <c r="T338" s="242"/>
      <c r="U338" s="242"/>
      <c r="V338" s="242"/>
      <c r="W338" s="242"/>
      <c r="X338" s="242"/>
      <c r="Y338" s="242"/>
    </row>
    <row r="339">
      <c r="A339" s="242"/>
      <c r="B339" s="242"/>
      <c r="C339" s="242"/>
      <c r="D339" s="242"/>
      <c r="E339" s="242"/>
      <c r="F339" s="242"/>
      <c r="G339" s="671"/>
      <c r="H339" s="671"/>
      <c r="I339" s="242"/>
      <c r="J339" s="242"/>
      <c r="K339" s="242"/>
      <c r="L339" s="389"/>
      <c r="M339" s="389"/>
      <c r="N339" s="242"/>
      <c r="O339" s="242"/>
      <c r="P339" s="13"/>
      <c r="Q339" s="242"/>
      <c r="R339" s="13"/>
      <c r="S339" s="13"/>
      <c r="T339" s="242"/>
      <c r="U339" s="242"/>
      <c r="V339" s="242"/>
      <c r="W339" s="242"/>
      <c r="X339" s="242"/>
      <c r="Y339" s="242"/>
    </row>
    <row r="340">
      <c r="A340" s="242"/>
      <c r="B340" s="242"/>
      <c r="C340" s="242"/>
      <c r="D340" s="242"/>
      <c r="E340" s="242"/>
      <c r="F340" s="242"/>
      <c r="G340" s="671"/>
      <c r="H340" s="671"/>
      <c r="I340" s="242"/>
      <c r="J340" s="242"/>
      <c r="K340" s="242"/>
      <c r="L340" s="389"/>
      <c r="M340" s="389"/>
      <c r="N340" s="242"/>
      <c r="O340" s="242"/>
      <c r="P340" s="13"/>
      <c r="Q340" s="242"/>
      <c r="R340" s="13"/>
      <c r="S340" s="13"/>
      <c r="T340" s="242"/>
      <c r="U340" s="242"/>
      <c r="V340" s="242"/>
      <c r="W340" s="242"/>
      <c r="X340" s="242"/>
      <c r="Y340" s="242"/>
    </row>
    <row r="341">
      <c r="A341" s="242"/>
      <c r="B341" s="242"/>
      <c r="C341" s="242"/>
      <c r="D341" s="242"/>
      <c r="E341" s="242"/>
      <c r="F341" s="242"/>
      <c r="G341" s="671"/>
      <c r="H341" s="671"/>
      <c r="I341" s="242"/>
      <c r="J341" s="242"/>
      <c r="K341" s="242"/>
      <c r="L341" s="389"/>
      <c r="M341" s="389"/>
      <c r="N341" s="242"/>
      <c r="O341" s="242"/>
      <c r="P341" s="13"/>
      <c r="Q341" s="242"/>
      <c r="R341" s="13"/>
      <c r="S341" s="13"/>
      <c r="T341" s="242"/>
      <c r="U341" s="242"/>
      <c r="V341" s="242"/>
      <c r="W341" s="242"/>
      <c r="X341" s="242"/>
      <c r="Y341" s="242"/>
    </row>
    <row r="342">
      <c r="A342" s="242"/>
      <c r="B342" s="242"/>
      <c r="C342" s="242"/>
      <c r="D342" s="242"/>
      <c r="E342" s="242"/>
      <c r="F342" s="242"/>
      <c r="G342" s="671"/>
      <c r="H342" s="671"/>
      <c r="I342" s="242"/>
      <c r="J342" s="242"/>
      <c r="K342" s="242"/>
      <c r="L342" s="389"/>
      <c r="M342" s="389"/>
      <c r="N342" s="242"/>
      <c r="O342" s="242"/>
      <c r="P342" s="13"/>
      <c r="Q342" s="242"/>
      <c r="R342" s="13"/>
      <c r="S342" s="13"/>
      <c r="T342" s="242"/>
      <c r="U342" s="242"/>
      <c r="V342" s="242"/>
      <c r="W342" s="242"/>
      <c r="X342" s="242"/>
      <c r="Y342" s="242"/>
    </row>
    <row r="343">
      <c r="A343" s="242"/>
      <c r="B343" s="242"/>
      <c r="C343" s="242"/>
      <c r="D343" s="242"/>
      <c r="E343" s="242"/>
      <c r="F343" s="242"/>
      <c r="G343" s="671"/>
      <c r="H343" s="671"/>
      <c r="I343" s="242"/>
      <c r="J343" s="242"/>
      <c r="K343" s="242"/>
      <c r="L343" s="389"/>
      <c r="M343" s="389"/>
      <c r="N343" s="242"/>
      <c r="O343" s="242"/>
      <c r="P343" s="13"/>
      <c r="Q343" s="242"/>
      <c r="R343" s="13"/>
      <c r="S343" s="13"/>
      <c r="T343" s="242"/>
      <c r="U343" s="242"/>
      <c r="V343" s="242"/>
      <c r="W343" s="242"/>
      <c r="X343" s="242"/>
      <c r="Y343" s="242"/>
    </row>
    <row r="344">
      <c r="A344" s="242"/>
      <c r="B344" s="242"/>
      <c r="C344" s="242"/>
      <c r="D344" s="242"/>
      <c r="E344" s="242"/>
      <c r="F344" s="242"/>
      <c r="G344" s="671"/>
      <c r="H344" s="671"/>
      <c r="I344" s="242"/>
      <c r="J344" s="242"/>
      <c r="K344" s="242"/>
      <c r="L344" s="389"/>
      <c r="M344" s="389"/>
      <c r="N344" s="242"/>
      <c r="O344" s="242"/>
      <c r="P344" s="13"/>
      <c r="Q344" s="242"/>
      <c r="R344" s="13"/>
      <c r="S344" s="13"/>
      <c r="T344" s="242"/>
      <c r="U344" s="242"/>
      <c r="V344" s="242"/>
      <c r="W344" s="242"/>
      <c r="X344" s="242"/>
      <c r="Y344" s="242"/>
    </row>
    <row r="345">
      <c r="A345" s="242"/>
      <c r="B345" s="242"/>
      <c r="C345" s="242"/>
      <c r="D345" s="242"/>
      <c r="E345" s="242"/>
      <c r="F345" s="242"/>
      <c r="G345" s="671"/>
      <c r="H345" s="671"/>
      <c r="I345" s="242"/>
      <c r="J345" s="242"/>
      <c r="K345" s="242"/>
      <c r="L345" s="389"/>
      <c r="M345" s="389"/>
      <c r="N345" s="242"/>
      <c r="O345" s="242"/>
      <c r="P345" s="13"/>
      <c r="Q345" s="242"/>
      <c r="R345" s="13"/>
      <c r="S345" s="13"/>
      <c r="T345" s="242"/>
      <c r="U345" s="242"/>
      <c r="V345" s="242"/>
      <c r="W345" s="242"/>
      <c r="X345" s="242"/>
      <c r="Y345" s="242"/>
    </row>
    <row r="346">
      <c r="A346" s="242"/>
      <c r="B346" s="242"/>
      <c r="C346" s="242"/>
      <c r="D346" s="242"/>
      <c r="E346" s="242"/>
      <c r="F346" s="242"/>
      <c r="G346" s="671"/>
      <c r="H346" s="671"/>
      <c r="I346" s="242"/>
      <c r="J346" s="242"/>
      <c r="K346" s="242"/>
      <c r="L346" s="389"/>
      <c r="M346" s="389"/>
      <c r="N346" s="242"/>
      <c r="O346" s="242"/>
      <c r="P346" s="13"/>
      <c r="Q346" s="242"/>
      <c r="R346" s="13"/>
      <c r="S346" s="13"/>
      <c r="T346" s="242"/>
      <c r="U346" s="242"/>
      <c r="V346" s="242"/>
      <c r="W346" s="242"/>
      <c r="X346" s="242"/>
      <c r="Y346" s="242"/>
    </row>
    <row r="347">
      <c r="A347" s="242"/>
      <c r="B347" s="242"/>
      <c r="C347" s="242"/>
      <c r="D347" s="242"/>
      <c r="E347" s="242"/>
      <c r="F347" s="242"/>
      <c r="G347" s="671"/>
      <c r="H347" s="671"/>
      <c r="I347" s="242"/>
      <c r="J347" s="242"/>
      <c r="K347" s="242"/>
      <c r="L347" s="389"/>
      <c r="M347" s="389"/>
      <c r="N347" s="242"/>
      <c r="O347" s="242"/>
      <c r="P347" s="13"/>
      <c r="Q347" s="242"/>
      <c r="R347" s="13"/>
      <c r="S347" s="13"/>
      <c r="T347" s="242"/>
      <c r="U347" s="242"/>
      <c r="V347" s="242"/>
      <c r="W347" s="242"/>
      <c r="X347" s="242"/>
      <c r="Y347" s="242"/>
    </row>
    <row r="348">
      <c r="A348" s="242"/>
      <c r="B348" s="242"/>
      <c r="C348" s="242"/>
      <c r="D348" s="242"/>
      <c r="E348" s="242"/>
      <c r="F348" s="242"/>
      <c r="G348" s="671"/>
      <c r="H348" s="671"/>
      <c r="I348" s="242"/>
      <c r="J348" s="242"/>
      <c r="K348" s="242"/>
      <c r="L348" s="389"/>
      <c r="M348" s="389"/>
      <c r="N348" s="242"/>
      <c r="O348" s="242"/>
      <c r="P348" s="13"/>
      <c r="Q348" s="242"/>
      <c r="R348" s="13"/>
      <c r="S348" s="13"/>
      <c r="T348" s="242"/>
      <c r="U348" s="242"/>
      <c r="V348" s="242"/>
      <c r="W348" s="242"/>
      <c r="X348" s="242"/>
      <c r="Y348" s="242"/>
    </row>
    <row r="349">
      <c r="A349" s="242"/>
      <c r="B349" s="242"/>
      <c r="C349" s="242"/>
      <c r="D349" s="242"/>
      <c r="E349" s="242"/>
      <c r="F349" s="242"/>
      <c r="G349" s="671"/>
      <c r="H349" s="671"/>
      <c r="I349" s="242"/>
      <c r="J349" s="242"/>
      <c r="K349" s="242"/>
      <c r="L349" s="389"/>
      <c r="M349" s="389"/>
      <c r="N349" s="242"/>
      <c r="O349" s="242"/>
      <c r="P349" s="13"/>
      <c r="Q349" s="242"/>
      <c r="R349" s="13"/>
      <c r="S349" s="13"/>
      <c r="T349" s="242"/>
      <c r="U349" s="242"/>
      <c r="V349" s="242"/>
      <c r="W349" s="242"/>
      <c r="X349" s="242"/>
      <c r="Y349" s="242"/>
    </row>
    <row r="350">
      <c r="A350" s="242"/>
      <c r="B350" s="242"/>
      <c r="C350" s="242"/>
      <c r="D350" s="242"/>
      <c r="E350" s="242"/>
      <c r="F350" s="242"/>
      <c r="G350" s="671"/>
      <c r="H350" s="671"/>
      <c r="I350" s="242"/>
      <c r="J350" s="242"/>
      <c r="K350" s="242"/>
      <c r="L350" s="389"/>
      <c r="M350" s="389"/>
      <c r="N350" s="242"/>
      <c r="O350" s="242"/>
      <c r="P350" s="13"/>
      <c r="Q350" s="242"/>
      <c r="R350" s="13"/>
      <c r="S350" s="13"/>
      <c r="T350" s="242"/>
      <c r="U350" s="242"/>
      <c r="V350" s="242"/>
      <c r="W350" s="242"/>
      <c r="X350" s="242"/>
      <c r="Y350" s="242"/>
    </row>
    <row r="351">
      <c r="A351" s="242"/>
      <c r="B351" s="242"/>
      <c r="C351" s="242"/>
      <c r="D351" s="242"/>
      <c r="E351" s="242"/>
      <c r="F351" s="242"/>
      <c r="G351" s="671"/>
      <c r="H351" s="671"/>
      <c r="I351" s="242"/>
      <c r="J351" s="242"/>
      <c r="K351" s="242"/>
      <c r="L351" s="389"/>
      <c r="M351" s="389"/>
      <c r="N351" s="242"/>
      <c r="O351" s="242"/>
      <c r="P351" s="13"/>
      <c r="Q351" s="242"/>
      <c r="R351" s="13"/>
      <c r="S351" s="13"/>
      <c r="T351" s="242"/>
      <c r="U351" s="242"/>
      <c r="V351" s="242"/>
      <c r="W351" s="242"/>
      <c r="X351" s="242"/>
      <c r="Y351" s="242"/>
    </row>
    <row r="352">
      <c r="A352" s="242"/>
      <c r="B352" s="242"/>
      <c r="C352" s="242"/>
      <c r="D352" s="242"/>
      <c r="E352" s="242"/>
      <c r="F352" s="242"/>
      <c r="G352" s="671"/>
      <c r="H352" s="671"/>
      <c r="I352" s="242"/>
      <c r="J352" s="242"/>
      <c r="K352" s="242"/>
      <c r="L352" s="389"/>
      <c r="M352" s="389"/>
      <c r="N352" s="242"/>
      <c r="O352" s="242"/>
      <c r="P352" s="13"/>
      <c r="Q352" s="242"/>
      <c r="R352" s="13"/>
      <c r="S352" s="13"/>
      <c r="T352" s="242"/>
      <c r="U352" s="242"/>
      <c r="V352" s="242"/>
      <c r="W352" s="242"/>
      <c r="X352" s="242"/>
      <c r="Y352" s="242"/>
    </row>
    <row r="353">
      <c r="A353" s="242"/>
      <c r="B353" s="242"/>
      <c r="C353" s="242"/>
      <c r="D353" s="242"/>
      <c r="E353" s="242"/>
      <c r="F353" s="242"/>
      <c r="G353" s="671"/>
      <c r="H353" s="671"/>
      <c r="I353" s="242"/>
      <c r="J353" s="242"/>
      <c r="K353" s="242"/>
      <c r="L353" s="389"/>
      <c r="M353" s="389"/>
      <c r="N353" s="242"/>
      <c r="O353" s="242"/>
      <c r="P353" s="13"/>
      <c r="Q353" s="242"/>
      <c r="R353" s="13"/>
      <c r="S353" s="13"/>
      <c r="T353" s="242"/>
      <c r="U353" s="242"/>
      <c r="V353" s="242"/>
      <c r="W353" s="242"/>
      <c r="X353" s="242"/>
      <c r="Y353" s="242"/>
    </row>
    <row r="354">
      <c r="A354" s="242"/>
      <c r="B354" s="242"/>
      <c r="C354" s="242"/>
      <c r="D354" s="242"/>
      <c r="E354" s="242"/>
      <c r="F354" s="242"/>
      <c r="G354" s="671"/>
      <c r="H354" s="671"/>
      <c r="I354" s="242"/>
      <c r="J354" s="242"/>
      <c r="K354" s="242"/>
      <c r="L354" s="389"/>
      <c r="M354" s="389"/>
      <c r="N354" s="242"/>
      <c r="O354" s="242"/>
      <c r="P354" s="13"/>
      <c r="Q354" s="242"/>
      <c r="R354" s="13"/>
      <c r="S354" s="13"/>
      <c r="T354" s="242"/>
      <c r="U354" s="242"/>
      <c r="V354" s="242"/>
      <c r="W354" s="242"/>
      <c r="X354" s="242"/>
      <c r="Y354" s="242"/>
    </row>
    <row r="355">
      <c r="A355" s="242"/>
      <c r="B355" s="242"/>
      <c r="C355" s="242"/>
      <c r="D355" s="242"/>
      <c r="E355" s="242"/>
      <c r="F355" s="242"/>
      <c r="G355" s="671"/>
      <c r="H355" s="671"/>
      <c r="I355" s="242"/>
      <c r="J355" s="242"/>
      <c r="K355" s="242"/>
      <c r="L355" s="389"/>
      <c r="M355" s="389"/>
      <c r="N355" s="242"/>
      <c r="O355" s="242"/>
      <c r="P355" s="13"/>
      <c r="Q355" s="242"/>
      <c r="R355" s="13"/>
      <c r="S355" s="13"/>
      <c r="T355" s="242"/>
      <c r="U355" s="242"/>
      <c r="V355" s="242"/>
      <c r="W355" s="242"/>
      <c r="X355" s="242"/>
      <c r="Y355" s="242"/>
    </row>
    <row r="356">
      <c r="A356" s="242"/>
      <c r="B356" s="242"/>
      <c r="C356" s="242"/>
      <c r="D356" s="242"/>
      <c r="E356" s="242"/>
      <c r="F356" s="242"/>
      <c r="G356" s="671"/>
      <c r="H356" s="671"/>
      <c r="I356" s="242"/>
      <c r="J356" s="242"/>
      <c r="K356" s="242"/>
      <c r="L356" s="389"/>
      <c r="M356" s="389"/>
      <c r="N356" s="242"/>
      <c r="O356" s="242"/>
      <c r="P356" s="13"/>
      <c r="Q356" s="242"/>
      <c r="R356" s="13"/>
      <c r="S356" s="13"/>
      <c r="T356" s="242"/>
      <c r="U356" s="242"/>
      <c r="V356" s="242"/>
      <c r="W356" s="242"/>
      <c r="X356" s="242"/>
      <c r="Y356" s="242"/>
    </row>
    <row r="357">
      <c r="A357" s="242"/>
      <c r="B357" s="242"/>
      <c r="C357" s="242"/>
      <c r="D357" s="242"/>
      <c r="E357" s="242"/>
      <c r="F357" s="242"/>
      <c r="G357" s="671"/>
      <c r="H357" s="671"/>
      <c r="I357" s="242"/>
      <c r="J357" s="242"/>
      <c r="K357" s="242"/>
      <c r="L357" s="389"/>
      <c r="M357" s="389"/>
      <c r="N357" s="242"/>
      <c r="O357" s="242"/>
      <c r="P357" s="13"/>
      <c r="Q357" s="242"/>
      <c r="R357" s="13"/>
      <c r="S357" s="13"/>
      <c r="T357" s="242"/>
      <c r="U357" s="242"/>
      <c r="V357" s="242"/>
      <c r="W357" s="242"/>
      <c r="X357" s="242"/>
      <c r="Y357" s="242"/>
    </row>
    <row r="358">
      <c r="A358" s="242"/>
      <c r="B358" s="242"/>
      <c r="C358" s="242"/>
      <c r="D358" s="242"/>
      <c r="E358" s="242"/>
      <c r="F358" s="242"/>
      <c r="G358" s="671"/>
      <c r="H358" s="671"/>
      <c r="I358" s="242"/>
      <c r="J358" s="242"/>
      <c r="K358" s="242"/>
      <c r="L358" s="389"/>
      <c r="M358" s="389"/>
      <c r="N358" s="242"/>
      <c r="O358" s="242"/>
      <c r="P358" s="13"/>
      <c r="Q358" s="242"/>
      <c r="R358" s="13"/>
      <c r="S358" s="13"/>
      <c r="T358" s="242"/>
      <c r="U358" s="242"/>
      <c r="V358" s="242"/>
      <c r="W358" s="242"/>
      <c r="X358" s="242"/>
      <c r="Y358" s="242"/>
    </row>
    <row r="359">
      <c r="A359" s="242"/>
      <c r="B359" s="242"/>
      <c r="C359" s="242"/>
      <c r="D359" s="242"/>
      <c r="E359" s="242"/>
      <c r="F359" s="242"/>
      <c r="G359" s="671"/>
      <c r="H359" s="671"/>
      <c r="I359" s="242"/>
      <c r="J359" s="242"/>
      <c r="K359" s="242"/>
      <c r="L359" s="389"/>
      <c r="M359" s="389"/>
      <c r="N359" s="242"/>
      <c r="O359" s="242"/>
      <c r="P359" s="13"/>
      <c r="Q359" s="242"/>
      <c r="R359" s="13"/>
      <c r="S359" s="13"/>
      <c r="T359" s="242"/>
      <c r="U359" s="242"/>
      <c r="V359" s="242"/>
      <c r="W359" s="242"/>
      <c r="X359" s="242"/>
      <c r="Y359" s="242"/>
    </row>
    <row r="360">
      <c r="A360" s="242"/>
      <c r="B360" s="242"/>
      <c r="C360" s="242"/>
      <c r="D360" s="242"/>
      <c r="E360" s="242"/>
      <c r="F360" s="242"/>
      <c r="G360" s="671"/>
      <c r="H360" s="671"/>
      <c r="I360" s="242"/>
      <c r="J360" s="242"/>
      <c r="K360" s="242"/>
      <c r="L360" s="389"/>
      <c r="M360" s="389"/>
      <c r="N360" s="242"/>
      <c r="O360" s="242"/>
      <c r="P360" s="13"/>
      <c r="Q360" s="242"/>
      <c r="R360" s="13"/>
      <c r="S360" s="13"/>
      <c r="T360" s="242"/>
      <c r="U360" s="242"/>
      <c r="V360" s="242"/>
      <c r="W360" s="242"/>
      <c r="X360" s="242"/>
      <c r="Y360" s="242"/>
    </row>
    <row r="361">
      <c r="A361" s="242"/>
      <c r="B361" s="242"/>
      <c r="C361" s="242"/>
      <c r="D361" s="242"/>
      <c r="E361" s="242"/>
      <c r="F361" s="242"/>
      <c r="G361" s="671"/>
      <c r="H361" s="671"/>
      <c r="I361" s="242"/>
      <c r="J361" s="242"/>
      <c r="K361" s="242"/>
      <c r="L361" s="389"/>
      <c r="M361" s="389"/>
      <c r="N361" s="242"/>
      <c r="O361" s="242"/>
      <c r="P361" s="13"/>
      <c r="Q361" s="242"/>
      <c r="R361" s="13"/>
      <c r="S361" s="13"/>
      <c r="T361" s="242"/>
      <c r="U361" s="242"/>
      <c r="V361" s="242"/>
      <c r="W361" s="242"/>
      <c r="X361" s="242"/>
      <c r="Y361" s="242"/>
    </row>
    <row r="362">
      <c r="A362" s="242"/>
      <c r="B362" s="242"/>
      <c r="C362" s="242"/>
      <c r="D362" s="242"/>
      <c r="E362" s="242"/>
      <c r="F362" s="242"/>
      <c r="G362" s="671"/>
      <c r="H362" s="671"/>
      <c r="I362" s="242"/>
      <c r="J362" s="242"/>
      <c r="K362" s="242"/>
      <c r="L362" s="389"/>
      <c r="M362" s="389"/>
      <c r="N362" s="242"/>
      <c r="O362" s="242"/>
      <c r="P362" s="13"/>
      <c r="Q362" s="242"/>
      <c r="R362" s="13"/>
      <c r="S362" s="13"/>
      <c r="T362" s="242"/>
      <c r="U362" s="242"/>
      <c r="V362" s="242"/>
      <c r="W362" s="242"/>
      <c r="X362" s="242"/>
      <c r="Y362" s="242"/>
    </row>
    <row r="363">
      <c r="A363" s="242"/>
      <c r="B363" s="242"/>
      <c r="C363" s="242"/>
      <c r="D363" s="242"/>
      <c r="E363" s="242"/>
      <c r="F363" s="242"/>
      <c r="G363" s="671"/>
      <c r="H363" s="671"/>
      <c r="I363" s="242"/>
      <c r="J363" s="242"/>
      <c r="K363" s="242"/>
      <c r="L363" s="389"/>
      <c r="M363" s="389"/>
      <c r="N363" s="242"/>
      <c r="O363" s="242"/>
      <c r="P363" s="13"/>
      <c r="Q363" s="242"/>
      <c r="R363" s="13"/>
      <c r="S363" s="13"/>
      <c r="T363" s="242"/>
      <c r="U363" s="242"/>
      <c r="V363" s="242"/>
      <c r="W363" s="242"/>
      <c r="X363" s="242"/>
      <c r="Y363" s="242"/>
    </row>
    <row r="364">
      <c r="A364" s="242"/>
      <c r="B364" s="242"/>
      <c r="C364" s="242"/>
      <c r="D364" s="242"/>
      <c r="E364" s="242"/>
      <c r="F364" s="242"/>
      <c r="G364" s="671"/>
      <c r="H364" s="671"/>
      <c r="I364" s="242"/>
      <c r="J364" s="242"/>
      <c r="K364" s="242"/>
      <c r="L364" s="389"/>
      <c r="M364" s="389"/>
      <c r="N364" s="242"/>
      <c r="O364" s="242"/>
      <c r="P364" s="13"/>
      <c r="Q364" s="242"/>
      <c r="R364" s="13"/>
      <c r="S364" s="13"/>
      <c r="T364" s="242"/>
      <c r="U364" s="242"/>
      <c r="V364" s="242"/>
      <c r="W364" s="242"/>
      <c r="X364" s="242"/>
      <c r="Y364" s="242"/>
    </row>
    <row r="365">
      <c r="A365" s="242"/>
      <c r="B365" s="242"/>
      <c r="C365" s="242"/>
      <c r="D365" s="242"/>
      <c r="E365" s="242"/>
      <c r="F365" s="242"/>
      <c r="G365" s="671"/>
      <c r="H365" s="671"/>
      <c r="I365" s="242"/>
      <c r="J365" s="242"/>
      <c r="K365" s="242"/>
      <c r="L365" s="389"/>
      <c r="M365" s="389"/>
      <c r="N365" s="242"/>
      <c r="O365" s="242"/>
      <c r="P365" s="13"/>
      <c r="Q365" s="242"/>
      <c r="R365" s="13"/>
      <c r="S365" s="13"/>
      <c r="T365" s="242"/>
      <c r="U365" s="242"/>
      <c r="V365" s="242"/>
      <c r="W365" s="242"/>
      <c r="X365" s="242"/>
      <c r="Y365" s="242"/>
    </row>
    <row r="366">
      <c r="A366" s="242"/>
      <c r="B366" s="242"/>
      <c r="C366" s="242"/>
      <c r="D366" s="242"/>
      <c r="E366" s="242"/>
      <c r="F366" s="242"/>
      <c r="G366" s="671"/>
      <c r="H366" s="671"/>
      <c r="I366" s="242"/>
      <c r="J366" s="242"/>
      <c r="K366" s="242"/>
      <c r="L366" s="389"/>
      <c r="M366" s="389"/>
      <c r="N366" s="242"/>
      <c r="O366" s="242"/>
      <c r="P366" s="13"/>
      <c r="Q366" s="242"/>
      <c r="R366" s="13"/>
      <c r="S366" s="13"/>
      <c r="T366" s="242"/>
      <c r="U366" s="242"/>
      <c r="V366" s="242"/>
      <c r="W366" s="242"/>
      <c r="X366" s="242"/>
      <c r="Y366" s="242"/>
    </row>
    <row r="367">
      <c r="A367" s="242"/>
      <c r="B367" s="242"/>
      <c r="C367" s="242"/>
      <c r="D367" s="242"/>
      <c r="E367" s="242"/>
      <c r="F367" s="242"/>
      <c r="G367" s="671"/>
      <c r="H367" s="671"/>
      <c r="I367" s="242"/>
      <c r="J367" s="242"/>
      <c r="K367" s="242"/>
      <c r="L367" s="389"/>
      <c r="M367" s="389"/>
      <c r="N367" s="242"/>
      <c r="O367" s="242"/>
      <c r="P367" s="13"/>
      <c r="Q367" s="242"/>
      <c r="R367" s="13"/>
      <c r="S367" s="13"/>
      <c r="T367" s="242"/>
      <c r="U367" s="242"/>
      <c r="V367" s="242"/>
      <c r="W367" s="242"/>
      <c r="X367" s="242"/>
      <c r="Y367" s="242"/>
    </row>
    <row r="368">
      <c r="A368" s="242"/>
      <c r="B368" s="242"/>
      <c r="C368" s="242"/>
      <c r="D368" s="242"/>
      <c r="E368" s="242"/>
      <c r="F368" s="242"/>
      <c r="G368" s="671"/>
      <c r="H368" s="671"/>
      <c r="I368" s="242"/>
      <c r="J368" s="242"/>
      <c r="K368" s="242"/>
      <c r="L368" s="389"/>
      <c r="M368" s="389"/>
      <c r="N368" s="242"/>
      <c r="O368" s="242"/>
      <c r="P368" s="13"/>
      <c r="Q368" s="242"/>
      <c r="R368" s="13"/>
      <c r="S368" s="13"/>
      <c r="T368" s="242"/>
      <c r="U368" s="242"/>
      <c r="V368" s="242"/>
      <c r="W368" s="242"/>
      <c r="X368" s="242"/>
      <c r="Y368" s="242"/>
    </row>
    <row r="369">
      <c r="A369" s="242"/>
      <c r="B369" s="242"/>
      <c r="C369" s="242"/>
      <c r="D369" s="242"/>
      <c r="E369" s="242"/>
      <c r="F369" s="242"/>
      <c r="G369" s="671"/>
      <c r="H369" s="671"/>
      <c r="I369" s="242"/>
      <c r="J369" s="242"/>
      <c r="K369" s="242"/>
      <c r="L369" s="389"/>
      <c r="M369" s="389"/>
      <c r="N369" s="242"/>
      <c r="O369" s="242"/>
      <c r="P369" s="13"/>
      <c r="Q369" s="242"/>
      <c r="R369" s="13"/>
      <c r="S369" s="13"/>
      <c r="T369" s="242"/>
      <c r="U369" s="242"/>
      <c r="V369" s="242"/>
      <c r="W369" s="242"/>
      <c r="X369" s="242"/>
      <c r="Y369" s="242"/>
    </row>
    <row r="370">
      <c r="A370" s="242"/>
      <c r="B370" s="242"/>
      <c r="C370" s="242"/>
      <c r="D370" s="242"/>
      <c r="E370" s="242"/>
      <c r="F370" s="242"/>
      <c r="G370" s="671"/>
      <c r="H370" s="671"/>
      <c r="I370" s="242"/>
      <c r="J370" s="242"/>
      <c r="K370" s="242"/>
      <c r="L370" s="389"/>
      <c r="M370" s="389"/>
      <c r="N370" s="242"/>
      <c r="O370" s="242"/>
      <c r="P370" s="13"/>
      <c r="Q370" s="242"/>
      <c r="R370" s="13"/>
      <c r="S370" s="13"/>
      <c r="T370" s="242"/>
      <c r="U370" s="242"/>
      <c r="V370" s="242"/>
      <c r="W370" s="242"/>
      <c r="X370" s="242"/>
      <c r="Y370" s="242"/>
    </row>
    <row r="371">
      <c r="A371" s="242"/>
      <c r="B371" s="242"/>
      <c r="C371" s="242"/>
      <c r="D371" s="242"/>
      <c r="E371" s="242"/>
      <c r="F371" s="242"/>
      <c r="G371" s="671"/>
      <c r="H371" s="671"/>
      <c r="I371" s="242"/>
      <c r="J371" s="242"/>
      <c r="K371" s="242"/>
      <c r="L371" s="389"/>
      <c r="M371" s="389"/>
      <c r="N371" s="242"/>
      <c r="O371" s="242"/>
      <c r="P371" s="13"/>
      <c r="Q371" s="242"/>
      <c r="R371" s="13"/>
      <c r="S371" s="13"/>
      <c r="T371" s="242"/>
      <c r="U371" s="242"/>
      <c r="V371" s="242"/>
      <c r="W371" s="242"/>
      <c r="X371" s="242"/>
      <c r="Y371" s="242"/>
    </row>
    <row r="372">
      <c r="A372" s="242"/>
      <c r="B372" s="242"/>
      <c r="C372" s="242"/>
      <c r="D372" s="242"/>
      <c r="E372" s="242"/>
      <c r="F372" s="242"/>
      <c r="G372" s="671"/>
      <c r="H372" s="671"/>
      <c r="I372" s="242"/>
      <c r="J372" s="242"/>
      <c r="K372" s="242"/>
      <c r="L372" s="389"/>
      <c r="M372" s="389"/>
      <c r="N372" s="242"/>
      <c r="O372" s="242"/>
      <c r="P372" s="13"/>
      <c r="Q372" s="242"/>
      <c r="R372" s="13"/>
      <c r="S372" s="13"/>
      <c r="T372" s="242"/>
      <c r="U372" s="242"/>
      <c r="V372" s="242"/>
      <c r="W372" s="242"/>
      <c r="X372" s="242"/>
      <c r="Y372" s="242"/>
    </row>
    <row r="373">
      <c r="A373" s="242"/>
      <c r="B373" s="242"/>
      <c r="C373" s="242"/>
      <c r="D373" s="242"/>
      <c r="E373" s="242"/>
      <c r="F373" s="242"/>
      <c r="G373" s="671"/>
      <c r="H373" s="671"/>
      <c r="I373" s="242"/>
      <c r="J373" s="242"/>
      <c r="K373" s="242"/>
      <c r="L373" s="389"/>
      <c r="M373" s="389"/>
      <c r="N373" s="242"/>
      <c r="O373" s="242"/>
      <c r="P373" s="13"/>
      <c r="Q373" s="242"/>
      <c r="R373" s="13"/>
      <c r="S373" s="13"/>
      <c r="T373" s="242"/>
      <c r="U373" s="242"/>
      <c r="V373" s="242"/>
      <c r="W373" s="242"/>
      <c r="X373" s="242"/>
      <c r="Y373" s="242"/>
    </row>
    <row r="374">
      <c r="A374" s="242"/>
      <c r="B374" s="242"/>
      <c r="C374" s="242"/>
      <c r="D374" s="242"/>
      <c r="E374" s="242"/>
      <c r="F374" s="242"/>
      <c r="G374" s="671"/>
      <c r="H374" s="671"/>
      <c r="I374" s="242"/>
      <c r="J374" s="242"/>
      <c r="K374" s="242"/>
      <c r="L374" s="389"/>
      <c r="M374" s="389"/>
      <c r="N374" s="242"/>
      <c r="O374" s="242"/>
      <c r="P374" s="13"/>
      <c r="Q374" s="242"/>
      <c r="R374" s="13"/>
      <c r="S374" s="13"/>
      <c r="T374" s="242"/>
      <c r="U374" s="242"/>
      <c r="V374" s="242"/>
      <c r="W374" s="242"/>
      <c r="X374" s="242"/>
      <c r="Y374" s="242"/>
    </row>
    <row r="375">
      <c r="A375" s="242"/>
      <c r="B375" s="242"/>
      <c r="C375" s="242"/>
      <c r="D375" s="242"/>
      <c r="E375" s="242"/>
      <c r="F375" s="242"/>
      <c r="G375" s="671"/>
      <c r="H375" s="671"/>
      <c r="I375" s="242"/>
      <c r="J375" s="242"/>
      <c r="K375" s="242"/>
      <c r="L375" s="389"/>
      <c r="M375" s="389"/>
      <c r="N375" s="242"/>
      <c r="O375" s="242"/>
      <c r="P375" s="13"/>
      <c r="Q375" s="242"/>
      <c r="R375" s="13"/>
      <c r="S375" s="13"/>
      <c r="T375" s="242"/>
      <c r="U375" s="242"/>
      <c r="V375" s="242"/>
      <c r="W375" s="242"/>
      <c r="X375" s="242"/>
      <c r="Y375" s="242"/>
    </row>
    <row r="376">
      <c r="A376" s="242"/>
      <c r="B376" s="242"/>
      <c r="C376" s="242"/>
      <c r="D376" s="242"/>
      <c r="E376" s="242"/>
      <c r="F376" s="242"/>
      <c r="G376" s="671"/>
      <c r="H376" s="671"/>
      <c r="I376" s="242"/>
      <c r="J376" s="242"/>
      <c r="K376" s="242"/>
      <c r="L376" s="389"/>
      <c r="M376" s="389"/>
      <c r="N376" s="242"/>
      <c r="O376" s="242"/>
      <c r="P376" s="13"/>
      <c r="Q376" s="242"/>
      <c r="R376" s="13"/>
      <c r="S376" s="13"/>
      <c r="T376" s="242"/>
      <c r="U376" s="242"/>
      <c r="V376" s="242"/>
      <c r="W376" s="242"/>
      <c r="X376" s="242"/>
      <c r="Y376" s="242"/>
    </row>
    <row r="377">
      <c r="A377" s="242"/>
      <c r="B377" s="242"/>
      <c r="C377" s="242"/>
      <c r="D377" s="242"/>
      <c r="E377" s="242"/>
      <c r="F377" s="242"/>
      <c r="G377" s="671"/>
      <c r="H377" s="671"/>
      <c r="I377" s="242"/>
      <c r="J377" s="242"/>
      <c r="K377" s="242"/>
      <c r="L377" s="389"/>
      <c r="M377" s="389"/>
      <c r="N377" s="242"/>
      <c r="O377" s="242"/>
      <c r="P377" s="13"/>
      <c r="Q377" s="242"/>
      <c r="R377" s="13"/>
      <c r="S377" s="13"/>
      <c r="T377" s="242"/>
      <c r="U377" s="242"/>
      <c r="V377" s="242"/>
      <c r="W377" s="242"/>
      <c r="X377" s="242"/>
      <c r="Y377" s="242"/>
    </row>
    <row r="378">
      <c r="A378" s="242"/>
      <c r="B378" s="242"/>
      <c r="C378" s="242"/>
      <c r="D378" s="242"/>
      <c r="E378" s="242"/>
      <c r="F378" s="242"/>
      <c r="G378" s="671"/>
      <c r="H378" s="671"/>
      <c r="I378" s="242"/>
      <c r="J378" s="242"/>
      <c r="K378" s="242"/>
      <c r="L378" s="389"/>
      <c r="M378" s="389"/>
      <c r="N378" s="242"/>
      <c r="O378" s="242"/>
      <c r="P378" s="13"/>
      <c r="Q378" s="242"/>
      <c r="R378" s="13"/>
      <c r="S378" s="13"/>
      <c r="T378" s="242"/>
      <c r="U378" s="242"/>
      <c r="V378" s="242"/>
      <c r="W378" s="242"/>
      <c r="X378" s="242"/>
      <c r="Y378" s="242"/>
    </row>
    <row r="379">
      <c r="A379" s="242"/>
      <c r="B379" s="242"/>
      <c r="C379" s="242"/>
      <c r="D379" s="242"/>
      <c r="E379" s="242"/>
      <c r="F379" s="242"/>
      <c r="G379" s="671"/>
      <c r="H379" s="671"/>
      <c r="I379" s="242"/>
      <c r="J379" s="242"/>
      <c r="K379" s="242"/>
      <c r="L379" s="389"/>
      <c r="M379" s="389"/>
      <c r="N379" s="242"/>
      <c r="O379" s="242"/>
      <c r="P379" s="13"/>
      <c r="Q379" s="242"/>
      <c r="R379" s="13"/>
      <c r="S379" s="13"/>
      <c r="T379" s="242"/>
      <c r="U379" s="242"/>
      <c r="V379" s="242"/>
      <c r="W379" s="242"/>
      <c r="X379" s="242"/>
      <c r="Y379" s="242"/>
    </row>
    <row r="380">
      <c r="A380" s="242"/>
      <c r="B380" s="242"/>
      <c r="C380" s="242"/>
      <c r="D380" s="242"/>
      <c r="E380" s="242"/>
      <c r="F380" s="242"/>
      <c r="G380" s="671"/>
      <c r="H380" s="671"/>
      <c r="I380" s="242"/>
      <c r="J380" s="242"/>
      <c r="K380" s="242"/>
      <c r="L380" s="389"/>
      <c r="M380" s="389"/>
      <c r="N380" s="242"/>
      <c r="O380" s="242"/>
      <c r="P380" s="13"/>
      <c r="Q380" s="242"/>
      <c r="R380" s="13"/>
      <c r="S380" s="13"/>
      <c r="T380" s="242"/>
      <c r="U380" s="242"/>
      <c r="V380" s="242"/>
      <c r="W380" s="242"/>
      <c r="X380" s="242"/>
      <c r="Y380" s="242"/>
    </row>
    <row r="381">
      <c r="A381" s="242"/>
      <c r="B381" s="242"/>
      <c r="C381" s="242"/>
      <c r="D381" s="242"/>
      <c r="E381" s="242"/>
      <c r="F381" s="242"/>
      <c r="G381" s="671"/>
      <c r="H381" s="671"/>
      <c r="I381" s="242"/>
      <c r="J381" s="242"/>
      <c r="K381" s="242"/>
      <c r="L381" s="389"/>
      <c r="M381" s="389"/>
      <c r="N381" s="242"/>
      <c r="O381" s="242"/>
      <c r="P381" s="13"/>
      <c r="Q381" s="242"/>
      <c r="R381" s="13"/>
      <c r="S381" s="13"/>
      <c r="T381" s="242"/>
      <c r="U381" s="242"/>
      <c r="V381" s="242"/>
      <c r="W381" s="242"/>
      <c r="X381" s="242"/>
      <c r="Y381" s="242"/>
    </row>
    <row r="382">
      <c r="A382" s="242"/>
      <c r="B382" s="242"/>
      <c r="C382" s="242"/>
      <c r="D382" s="242"/>
      <c r="E382" s="242"/>
      <c r="F382" s="242"/>
      <c r="G382" s="671"/>
      <c r="H382" s="671"/>
      <c r="I382" s="242"/>
      <c r="J382" s="242"/>
      <c r="K382" s="242"/>
      <c r="L382" s="389"/>
      <c r="M382" s="389"/>
      <c r="N382" s="242"/>
      <c r="O382" s="242"/>
      <c r="P382" s="13"/>
      <c r="Q382" s="242"/>
      <c r="R382" s="13"/>
      <c r="S382" s="13"/>
      <c r="T382" s="242"/>
      <c r="U382" s="242"/>
      <c r="V382" s="242"/>
      <c r="W382" s="242"/>
      <c r="X382" s="242"/>
      <c r="Y382" s="242"/>
    </row>
    <row r="383">
      <c r="A383" s="242"/>
      <c r="B383" s="242"/>
      <c r="C383" s="242"/>
      <c r="D383" s="242"/>
      <c r="E383" s="242"/>
      <c r="F383" s="242"/>
      <c r="G383" s="671"/>
      <c r="H383" s="671"/>
      <c r="I383" s="242"/>
      <c r="J383" s="242"/>
      <c r="K383" s="242"/>
      <c r="L383" s="389"/>
      <c r="M383" s="389"/>
      <c r="N383" s="242"/>
      <c r="O383" s="242"/>
      <c r="P383" s="13"/>
      <c r="Q383" s="242"/>
      <c r="R383" s="13"/>
      <c r="S383" s="13"/>
      <c r="T383" s="242"/>
      <c r="U383" s="242"/>
      <c r="V383" s="242"/>
      <c r="W383" s="242"/>
      <c r="X383" s="242"/>
      <c r="Y383" s="242"/>
    </row>
    <row r="384">
      <c r="A384" s="242"/>
      <c r="B384" s="242"/>
      <c r="C384" s="242"/>
      <c r="D384" s="242"/>
      <c r="E384" s="242"/>
      <c r="F384" s="242"/>
      <c r="G384" s="671"/>
      <c r="H384" s="671"/>
      <c r="I384" s="242"/>
      <c r="J384" s="242"/>
      <c r="K384" s="242"/>
      <c r="L384" s="389"/>
      <c r="M384" s="389"/>
      <c r="N384" s="242"/>
      <c r="O384" s="242"/>
      <c r="P384" s="13"/>
      <c r="Q384" s="242"/>
      <c r="R384" s="13"/>
      <c r="S384" s="13"/>
      <c r="T384" s="242"/>
      <c r="U384" s="242"/>
      <c r="V384" s="242"/>
      <c r="W384" s="242"/>
      <c r="X384" s="242"/>
      <c r="Y384" s="242"/>
    </row>
    <row r="385">
      <c r="A385" s="242"/>
      <c r="B385" s="242"/>
      <c r="C385" s="242"/>
      <c r="D385" s="242"/>
      <c r="E385" s="242"/>
      <c r="F385" s="242"/>
      <c r="G385" s="671"/>
      <c r="H385" s="671"/>
      <c r="I385" s="242"/>
      <c r="J385" s="242"/>
      <c r="K385" s="242"/>
      <c r="L385" s="389"/>
      <c r="M385" s="389"/>
      <c r="N385" s="242"/>
      <c r="O385" s="242"/>
      <c r="P385" s="13"/>
      <c r="Q385" s="242"/>
      <c r="R385" s="13"/>
      <c r="S385" s="13"/>
      <c r="T385" s="242"/>
      <c r="U385" s="242"/>
      <c r="V385" s="242"/>
      <c r="W385" s="242"/>
      <c r="X385" s="242"/>
      <c r="Y385" s="242"/>
    </row>
    <row r="386">
      <c r="A386" s="242"/>
      <c r="B386" s="242"/>
      <c r="C386" s="242"/>
      <c r="D386" s="242"/>
      <c r="E386" s="242"/>
      <c r="F386" s="242"/>
      <c r="G386" s="671"/>
      <c r="H386" s="671"/>
      <c r="I386" s="242"/>
      <c r="J386" s="242"/>
      <c r="K386" s="242"/>
      <c r="L386" s="389"/>
      <c r="M386" s="389"/>
      <c r="N386" s="242"/>
      <c r="O386" s="242"/>
      <c r="P386" s="13"/>
      <c r="Q386" s="242"/>
      <c r="R386" s="13"/>
      <c r="S386" s="13"/>
      <c r="T386" s="242"/>
      <c r="U386" s="242"/>
      <c r="V386" s="242"/>
      <c r="W386" s="242"/>
      <c r="X386" s="242"/>
      <c r="Y386" s="242"/>
    </row>
    <row r="387">
      <c r="A387" s="242"/>
      <c r="B387" s="242"/>
      <c r="C387" s="242"/>
      <c r="D387" s="242"/>
      <c r="E387" s="242"/>
      <c r="F387" s="242"/>
      <c r="G387" s="671"/>
      <c r="H387" s="671"/>
      <c r="I387" s="242"/>
      <c r="J387" s="242"/>
      <c r="K387" s="242"/>
      <c r="L387" s="389"/>
      <c r="M387" s="389"/>
      <c r="N387" s="242"/>
      <c r="O387" s="242"/>
      <c r="P387" s="13"/>
      <c r="Q387" s="242"/>
      <c r="R387" s="13"/>
      <c r="S387" s="13"/>
      <c r="T387" s="242"/>
      <c r="U387" s="242"/>
      <c r="V387" s="242"/>
      <c r="W387" s="242"/>
      <c r="X387" s="242"/>
      <c r="Y387" s="242"/>
    </row>
    <row r="388">
      <c r="A388" s="242"/>
      <c r="B388" s="242"/>
      <c r="C388" s="242"/>
      <c r="D388" s="242"/>
      <c r="E388" s="242"/>
      <c r="F388" s="242"/>
      <c r="G388" s="671"/>
      <c r="H388" s="671"/>
      <c r="I388" s="242"/>
      <c r="J388" s="242"/>
      <c r="K388" s="242"/>
      <c r="L388" s="389"/>
      <c r="M388" s="389"/>
      <c r="N388" s="242"/>
      <c r="O388" s="242"/>
      <c r="P388" s="13"/>
      <c r="Q388" s="242"/>
      <c r="R388" s="13"/>
      <c r="S388" s="13"/>
      <c r="T388" s="242"/>
      <c r="U388" s="242"/>
      <c r="V388" s="242"/>
      <c r="W388" s="242"/>
      <c r="X388" s="242"/>
      <c r="Y388" s="242"/>
    </row>
    <row r="389">
      <c r="A389" s="242"/>
      <c r="B389" s="242"/>
      <c r="C389" s="242"/>
      <c r="D389" s="242"/>
      <c r="E389" s="242"/>
      <c r="F389" s="242"/>
      <c r="G389" s="671"/>
      <c r="H389" s="671"/>
      <c r="I389" s="242"/>
      <c r="J389" s="242"/>
      <c r="K389" s="242"/>
      <c r="L389" s="389"/>
      <c r="M389" s="389"/>
      <c r="N389" s="242"/>
      <c r="O389" s="242"/>
      <c r="P389" s="13"/>
      <c r="Q389" s="242"/>
      <c r="R389" s="13"/>
      <c r="S389" s="13"/>
      <c r="T389" s="242"/>
      <c r="U389" s="242"/>
      <c r="V389" s="242"/>
      <c r="W389" s="242"/>
      <c r="X389" s="242"/>
      <c r="Y389" s="242"/>
    </row>
    <row r="390">
      <c r="A390" s="242"/>
      <c r="B390" s="242"/>
      <c r="C390" s="242"/>
      <c r="D390" s="242"/>
      <c r="E390" s="242"/>
      <c r="F390" s="242"/>
      <c r="G390" s="671"/>
      <c r="H390" s="671"/>
      <c r="I390" s="242"/>
      <c r="J390" s="242"/>
      <c r="K390" s="242"/>
      <c r="L390" s="389"/>
      <c r="M390" s="389"/>
      <c r="N390" s="242"/>
      <c r="O390" s="242"/>
      <c r="P390" s="13"/>
      <c r="Q390" s="242"/>
      <c r="R390" s="13"/>
      <c r="S390" s="13"/>
      <c r="T390" s="242"/>
      <c r="U390" s="242"/>
      <c r="V390" s="242"/>
      <c r="W390" s="242"/>
      <c r="X390" s="242"/>
      <c r="Y390" s="242"/>
    </row>
    <row r="391">
      <c r="A391" s="242"/>
      <c r="B391" s="242"/>
      <c r="C391" s="242"/>
      <c r="D391" s="242"/>
      <c r="E391" s="242"/>
      <c r="F391" s="242"/>
      <c r="G391" s="671"/>
      <c r="H391" s="671"/>
      <c r="I391" s="242"/>
      <c r="J391" s="242"/>
      <c r="K391" s="242"/>
      <c r="L391" s="389"/>
      <c r="M391" s="389"/>
      <c r="N391" s="242"/>
      <c r="O391" s="242"/>
      <c r="P391" s="13"/>
      <c r="Q391" s="242"/>
      <c r="R391" s="13"/>
      <c r="S391" s="13"/>
      <c r="T391" s="242"/>
      <c r="U391" s="242"/>
      <c r="V391" s="242"/>
      <c r="W391" s="242"/>
      <c r="X391" s="242"/>
      <c r="Y391" s="242"/>
    </row>
    <row r="392">
      <c r="A392" s="242"/>
      <c r="B392" s="242"/>
      <c r="C392" s="242"/>
      <c r="D392" s="242"/>
      <c r="E392" s="242"/>
      <c r="F392" s="242"/>
      <c r="G392" s="671"/>
      <c r="H392" s="671"/>
      <c r="I392" s="242"/>
      <c r="J392" s="242"/>
      <c r="K392" s="242"/>
      <c r="L392" s="389"/>
      <c r="M392" s="389"/>
      <c r="N392" s="242"/>
      <c r="O392" s="242"/>
      <c r="P392" s="13"/>
      <c r="Q392" s="242"/>
      <c r="R392" s="13"/>
      <c r="S392" s="13"/>
      <c r="T392" s="242"/>
      <c r="U392" s="242"/>
      <c r="V392" s="242"/>
      <c r="W392" s="242"/>
      <c r="X392" s="242"/>
      <c r="Y392" s="242"/>
    </row>
    <row r="393">
      <c r="A393" s="242"/>
      <c r="B393" s="242"/>
      <c r="C393" s="242"/>
      <c r="D393" s="242"/>
      <c r="E393" s="242"/>
      <c r="F393" s="242"/>
      <c r="G393" s="671"/>
      <c r="H393" s="671"/>
      <c r="I393" s="242"/>
      <c r="J393" s="242"/>
      <c r="K393" s="242"/>
      <c r="L393" s="389"/>
      <c r="M393" s="389"/>
      <c r="N393" s="242"/>
      <c r="O393" s="242"/>
      <c r="P393" s="13"/>
      <c r="Q393" s="242"/>
      <c r="R393" s="13"/>
      <c r="S393" s="13"/>
      <c r="T393" s="242"/>
      <c r="U393" s="242"/>
      <c r="V393" s="242"/>
      <c r="W393" s="242"/>
      <c r="X393" s="242"/>
      <c r="Y393" s="242"/>
    </row>
    <row r="394">
      <c r="A394" s="242"/>
      <c r="B394" s="242"/>
      <c r="C394" s="242"/>
      <c r="D394" s="242"/>
      <c r="E394" s="242"/>
      <c r="F394" s="242"/>
      <c r="G394" s="671"/>
      <c r="H394" s="671"/>
      <c r="I394" s="242"/>
      <c r="J394" s="242"/>
      <c r="K394" s="242"/>
      <c r="L394" s="389"/>
      <c r="M394" s="389"/>
      <c r="N394" s="242"/>
      <c r="O394" s="242"/>
      <c r="P394" s="13"/>
      <c r="Q394" s="242"/>
      <c r="R394" s="13"/>
      <c r="S394" s="13"/>
      <c r="T394" s="242"/>
      <c r="U394" s="242"/>
      <c r="V394" s="242"/>
      <c r="W394" s="242"/>
      <c r="X394" s="242"/>
      <c r="Y394" s="242"/>
    </row>
    <row r="395">
      <c r="A395" s="242"/>
      <c r="B395" s="242"/>
      <c r="C395" s="242"/>
      <c r="D395" s="242"/>
      <c r="E395" s="242"/>
      <c r="F395" s="242"/>
      <c r="G395" s="671"/>
      <c r="H395" s="671"/>
      <c r="I395" s="242"/>
      <c r="J395" s="242"/>
      <c r="K395" s="242"/>
      <c r="L395" s="389"/>
      <c r="M395" s="389"/>
      <c r="N395" s="242"/>
      <c r="O395" s="242"/>
      <c r="P395" s="13"/>
      <c r="Q395" s="242"/>
      <c r="R395" s="13"/>
      <c r="S395" s="13"/>
      <c r="T395" s="242"/>
      <c r="U395" s="242"/>
      <c r="V395" s="242"/>
      <c r="W395" s="242"/>
      <c r="X395" s="242"/>
      <c r="Y395" s="242"/>
    </row>
    <row r="396">
      <c r="A396" s="242"/>
      <c r="B396" s="242"/>
      <c r="C396" s="242"/>
      <c r="D396" s="242"/>
      <c r="E396" s="242"/>
      <c r="F396" s="242"/>
      <c r="G396" s="671"/>
      <c r="H396" s="671"/>
      <c r="I396" s="242"/>
      <c r="J396" s="242"/>
      <c r="K396" s="242"/>
      <c r="L396" s="389"/>
      <c r="M396" s="389"/>
      <c r="N396" s="242"/>
      <c r="O396" s="242"/>
      <c r="P396" s="13"/>
      <c r="Q396" s="242"/>
      <c r="R396" s="13"/>
      <c r="S396" s="13"/>
      <c r="T396" s="242"/>
      <c r="U396" s="242"/>
      <c r="V396" s="242"/>
      <c r="W396" s="242"/>
      <c r="X396" s="242"/>
      <c r="Y396" s="242"/>
    </row>
    <row r="397">
      <c r="A397" s="242"/>
      <c r="B397" s="242"/>
      <c r="C397" s="242"/>
      <c r="D397" s="242"/>
      <c r="E397" s="242"/>
      <c r="F397" s="242"/>
      <c r="G397" s="671"/>
      <c r="H397" s="671"/>
      <c r="I397" s="242"/>
      <c r="J397" s="242"/>
      <c r="K397" s="242"/>
      <c r="L397" s="389"/>
      <c r="M397" s="389"/>
      <c r="N397" s="242"/>
      <c r="O397" s="242"/>
      <c r="P397" s="13"/>
      <c r="Q397" s="242"/>
      <c r="R397" s="13"/>
      <c r="S397" s="13"/>
      <c r="T397" s="242"/>
      <c r="U397" s="242"/>
      <c r="V397" s="242"/>
      <c r="W397" s="242"/>
      <c r="X397" s="242"/>
      <c r="Y397" s="242"/>
    </row>
    <row r="398">
      <c r="A398" s="242"/>
      <c r="B398" s="242"/>
      <c r="C398" s="242"/>
      <c r="D398" s="242"/>
      <c r="E398" s="242"/>
      <c r="F398" s="242"/>
      <c r="G398" s="671"/>
      <c r="H398" s="671"/>
      <c r="I398" s="242"/>
      <c r="J398" s="242"/>
      <c r="K398" s="242"/>
      <c r="L398" s="389"/>
      <c r="M398" s="389"/>
      <c r="N398" s="242"/>
      <c r="O398" s="242"/>
      <c r="P398" s="13"/>
      <c r="Q398" s="242"/>
      <c r="R398" s="13"/>
      <c r="S398" s="13"/>
      <c r="T398" s="242"/>
      <c r="U398" s="242"/>
      <c r="V398" s="242"/>
      <c r="W398" s="242"/>
      <c r="X398" s="242"/>
      <c r="Y398" s="242"/>
    </row>
    <row r="399">
      <c r="A399" s="242"/>
      <c r="B399" s="242"/>
      <c r="C399" s="242"/>
      <c r="D399" s="242"/>
      <c r="E399" s="242"/>
      <c r="F399" s="242"/>
      <c r="G399" s="671"/>
      <c r="H399" s="671"/>
      <c r="I399" s="242"/>
      <c r="J399" s="242"/>
      <c r="K399" s="242"/>
      <c r="L399" s="389"/>
      <c r="M399" s="389"/>
      <c r="N399" s="242"/>
      <c r="O399" s="242"/>
      <c r="P399" s="13"/>
      <c r="Q399" s="242"/>
      <c r="R399" s="13"/>
      <c r="S399" s="13"/>
      <c r="T399" s="242"/>
      <c r="U399" s="242"/>
      <c r="V399" s="242"/>
      <c r="W399" s="242"/>
      <c r="X399" s="242"/>
      <c r="Y399" s="242"/>
    </row>
    <row r="400">
      <c r="A400" s="242"/>
      <c r="B400" s="242"/>
      <c r="C400" s="242"/>
      <c r="D400" s="242"/>
      <c r="E400" s="242"/>
      <c r="F400" s="242"/>
      <c r="G400" s="671"/>
      <c r="H400" s="671"/>
      <c r="I400" s="242"/>
      <c r="J400" s="242"/>
      <c r="K400" s="242"/>
      <c r="L400" s="389"/>
      <c r="M400" s="389"/>
      <c r="N400" s="242"/>
      <c r="O400" s="242"/>
      <c r="P400" s="13"/>
      <c r="Q400" s="242"/>
      <c r="R400" s="13"/>
      <c r="S400" s="13"/>
      <c r="T400" s="242"/>
      <c r="U400" s="242"/>
      <c r="V400" s="242"/>
      <c r="W400" s="242"/>
      <c r="X400" s="242"/>
      <c r="Y400" s="242"/>
    </row>
    <row r="401">
      <c r="A401" s="242"/>
      <c r="B401" s="242"/>
      <c r="C401" s="242"/>
      <c r="D401" s="242"/>
      <c r="E401" s="242"/>
      <c r="F401" s="242"/>
      <c r="G401" s="671"/>
      <c r="H401" s="671"/>
      <c r="I401" s="242"/>
      <c r="J401" s="242"/>
      <c r="K401" s="242"/>
      <c r="L401" s="389"/>
      <c r="M401" s="389"/>
      <c r="N401" s="242"/>
      <c r="O401" s="242"/>
      <c r="P401" s="13"/>
      <c r="Q401" s="242"/>
      <c r="R401" s="13"/>
      <c r="S401" s="13"/>
      <c r="T401" s="242"/>
      <c r="U401" s="242"/>
      <c r="V401" s="242"/>
      <c r="W401" s="242"/>
      <c r="X401" s="242"/>
      <c r="Y401" s="242"/>
    </row>
    <row r="402">
      <c r="A402" s="242"/>
      <c r="B402" s="242"/>
      <c r="C402" s="242"/>
      <c r="D402" s="242"/>
      <c r="E402" s="242"/>
      <c r="F402" s="242"/>
      <c r="G402" s="671"/>
      <c r="H402" s="671"/>
      <c r="I402" s="242"/>
      <c r="J402" s="242"/>
      <c r="K402" s="242"/>
      <c r="L402" s="389"/>
      <c r="M402" s="389"/>
      <c r="N402" s="242"/>
      <c r="O402" s="242"/>
      <c r="P402" s="13"/>
      <c r="Q402" s="242"/>
      <c r="R402" s="13"/>
      <c r="S402" s="13"/>
      <c r="T402" s="242"/>
      <c r="U402" s="242"/>
      <c r="V402" s="242"/>
      <c r="W402" s="242"/>
      <c r="X402" s="242"/>
      <c r="Y402" s="242"/>
    </row>
    <row r="403">
      <c r="A403" s="242"/>
      <c r="B403" s="242"/>
      <c r="C403" s="242"/>
      <c r="D403" s="242"/>
      <c r="E403" s="242"/>
      <c r="F403" s="242"/>
      <c r="G403" s="671"/>
      <c r="H403" s="671"/>
      <c r="I403" s="242"/>
      <c r="J403" s="242"/>
      <c r="K403" s="242"/>
      <c r="L403" s="389"/>
      <c r="M403" s="389"/>
      <c r="N403" s="242"/>
      <c r="O403" s="242"/>
      <c r="P403" s="13"/>
      <c r="Q403" s="242"/>
      <c r="R403" s="13"/>
      <c r="S403" s="13"/>
      <c r="T403" s="242"/>
      <c r="U403" s="242"/>
      <c r="V403" s="242"/>
      <c r="W403" s="242"/>
      <c r="X403" s="242"/>
      <c r="Y403" s="242"/>
    </row>
    <row r="404">
      <c r="A404" s="242"/>
      <c r="B404" s="242"/>
      <c r="C404" s="242"/>
      <c r="D404" s="242"/>
      <c r="E404" s="242"/>
      <c r="F404" s="242"/>
      <c r="G404" s="671"/>
      <c r="H404" s="671"/>
      <c r="I404" s="242"/>
      <c r="J404" s="242"/>
      <c r="K404" s="242"/>
      <c r="L404" s="389"/>
      <c r="M404" s="389"/>
      <c r="N404" s="242"/>
      <c r="O404" s="242"/>
      <c r="P404" s="13"/>
      <c r="Q404" s="242"/>
      <c r="R404" s="13"/>
      <c r="S404" s="13"/>
      <c r="T404" s="242"/>
      <c r="U404" s="242"/>
      <c r="V404" s="242"/>
      <c r="W404" s="242"/>
      <c r="X404" s="242"/>
      <c r="Y404" s="242"/>
    </row>
    <row r="405">
      <c r="A405" s="242"/>
      <c r="B405" s="242"/>
      <c r="C405" s="242"/>
      <c r="D405" s="242"/>
      <c r="E405" s="242"/>
      <c r="F405" s="242"/>
      <c r="G405" s="671"/>
      <c r="H405" s="671"/>
      <c r="I405" s="242"/>
      <c r="J405" s="242"/>
      <c r="K405" s="242"/>
      <c r="L405" s="389"/>
      <c r="M405" s="389"/>
      <c r="N405" s="242"/>
      <c r="O405" s="242"/>
      <c r="P405" s="13"/>
      <c r="Q405" s="242"/>
      <c r="R405" s="13"/>
      <c r="S405" s="13"/>
      <c r="T405" s="242"/>
      <c r="U405" s="242"/>
      <c r="V405" s="242"/>
      <c r="W405" s="242"/>
      <c r="X405" s="242"/>
      <c r="Y405" s="242"/>
    </row>
    <row r="406">
      <c r="A406" s="242"/>
      <c r="B406" s="242"/>
      <c r="C406" s="242"/>
      <c r="D406" s="242"/>
      <c r="E406" s="242"/>
      <c r="F406" s="242"/>
      <c r="G406" s="671"/>
      <c r="H406" s="671"/>
      <c r="I406" s="242"/>
      <c r="J406" s="242"/>
      <c r="K406" s="242"/>
      <c r="L406" s="389"/>
      <c r="M406" s="389"/>
      <c r="N406" s="242"/>
      <c r="O406" s="242"/>
      <c r="P406" s="13"/>
      <c r="Q406" s="242"/>
      <c r="R406" s="13"/>
      <c r="S406" s="13"/>
      <c r="T406" s="242"/>
      <c r="U406" s="242"/>
      <c r="V406" s="242"/>
      <c r="W406" s="242"/>
      <c r="X406" s="242"/>
      <c r="Y406" s="242"/>
    </row>
    <row r="407">
      <c r="A407" s="242"/>
      <c r="B407" s="242"/>
      <c r="C407" s="242"/>
      <c r="D407" s="242"/>
      <c r="E407" s="242"/>
      <c r="F407" s="242"/>
      <c r="G407" s="671"/>
      <c r="H407" s="671"/>
      <c r="I407" s="242"/>
      <c r="J407" s="242"/>
      <c r="K407" s="242"/>
      <c r="L407" s="389"/>
      <c r="M407" s="389"/>
      <c r="N407" s="242"/>
      <c r="O407" s="242"/>
      <c r="P407" s="13"/>
      <c r="Q407" s="242"/>
      <c r="R407" s="13"/>
      <c r="S407" s="13"/>
      <c r="T407" s="242"/>
      <c r="U407" s="242"/>
      <c r="V407" s="242"/>
      <c r="W407" s="242"/>
      <c r="X407" s="242"/>
      <c r="Y407" s="242"/>
    </row>
    <row r="408">
      <c r="A408" s="242"/>
      <c r="B408" s="242"/>
      <c r="C408" s="242"/>
      <c r="D408" s="242"/>
      <c r="E408" s="242"/>
      <c r="F408" s="242"/>
      <c r="G408" s="671"/>
      <c r="H408" s="671"/>
      <c r="I408" s="242"/>
      <c r="J408" s="242"/>
      <c r="K408" s="242"/>
      <c r="L408" s="389"/>
      <c r="M408" s="389"/>
      <c r="N408" s="242"/>
      <c r="O408" s="242"/>
      <c r="P408" s="13"/>
      <c r="Q408" s="242"/>
      <c r="R408" s="13"/>
      <c r="S408" s="13"/>
      <c r="T408" s="242"/>
      <c r="U408" s="242"/>
      <c r="V408" s="242"/>
      <c r="W408" s="242"/>
      <c r="X408" s="242"/>
      <c r="Y408" s="242"/>
    </row>
    <row r="409">
      <c r="A409" s="242"/>
      <c r="B409" s="242"/>
      <c r="C409" s="242"/>
      <c r="D409" s="242"/>
      <c r="E409" s="242"/>
      <c r="F409" s="242"/>
      <c r="G409" s="671"/>
      <c r="H409" s="671"/>
      <c r="I409" s="242"/>
      <c r="J409" s="242"/>
      <c r="K409" s="242"/>
      <c r="L409" s="389"/>
      <c r="M409" s="389"/>
      <c r="N409" s="242"/>
      <c r="O409" s="242"/>
      <c r="P409" s="13"/>
      <c r="Q409" s="242"/>
      <c r="R409" s="13"/>
      <c r="S409" s="13"/>
      <c r="T409" s="242"/>
      <c r="U409" s="242"/>
      <c r="V409" s="242"/>
      <c r="W409" s="242"/>
      <c r="X409" s="242"/>
      <c r="Y409" s="242"/>
    </row>
    <row r="410">
      <c r="A410" s="242"/>
      <c r="B410" s="242"/>
      <c r="C410" s="242"/>
      <c r="D410" s="242"/>
      <c r="E410" s="242"/>
      <c r="F410" s="242"/>
      <c r="G410" s="671"/>
      <c r="H410" s="671"/>
      <c r="I410" s="242"/>
      <c r="J410" s="242"/>
      <c r="K410" s="242"/>
      <c r="L410" s="389"/>
      <c r="M410" s="389"/>
      <c r="N410" s="242"/>
      <c r="O410" s="242"/>
      <c r="P410" s="13"/>
      <c r="Q410" s="242"/>
      <c r="R410" s="13"/>
      <c r="S410" s="13"/>
      <c r="T410" s="242"/>
      <c r="U410" s="242"/>
      <c r="V410" s="242"/>
      <c r="W410" s="242"/>
      <c r="X410" s="242"/>
      <c r="Y410" s="242"/>
    </row>
    <row r="411">
      <c r="A411" s="242"/>
      <c r="B411" s="242"/>
      <c r="C411" s="242"/>
      <c r="D411" s="242"/>
      <c r="E411" s="242"/>
      <c r="F411" s="242"/>
      <c r="G411" s="671"/>
      <c r="H411" s="671"/>
      <c r="I411" s="242"/>
      <c r="J411" s="242"/>
      <c r="K411" s="242"/>
      <c r="L411" s="389"/>
      <c r="M411" s="389"/>
      <c r="N411" s="242"/>
      <c r="O411" s="242"/>
      <c r="P411" s="13"/>
      <c r="Q411" s="242"/>
      <c r="R411" s="13"/>
      <c r="S411" s="13"/>
      <c r="T411" s="242"/>
      <c r="U411" s="242"/>
      <c r="V411" s="242"/>
      <c r="W411" s="242"/>
      <c r="X411" s="242"/>
      <c r="Y411" s="242"/>
    </row>
    <row r="412">
      <c r="A412" s="242"/>
      <c r="B412" s="242"/>
      <c r="C412" s="242"/>
      <c r="D412" s="242"/>
      <c r="E412" s="242"/>
      <c r="F412" s="242"/>
      <c r="G412" s="671"/>
      <c r="H412" s="671"/>
      <c r="I412" s="242"/>
      <c r="J412" s="242"/>
      <c r="K412" s="242"/>
      <c r="L412" s="389"/>
      <c r="M412" s="389"/>
      <c r="N412" s="242"/>
      <c r="O412" s="242"/>
      <c r="P412" s="13"/>
      <c r="Q412" s="242"/>
      <c r="R412" s="13"/>
      <c r="S412" s="13"/>
      <c r="T412" s="242"/>
      <c r="U412" s="242"/>
      <c r="V412" s="242"/>
      <c r="W412" s="242"/>
      <c r="X412" s="242"/>
      <c r="Y412" s="242"/>
    </row>
    <row r="413">
      <c r="A413" s="242"/>
      <c r="B413" s="242"/>
      <c r="C413" s="242"/>
      <c r="D413" s="242"/>
      <c r="E413" s="242"/>
      <c r="F413" s="242"/>
      <c r="G413" s="671"/>
      <c r="H413" s="671"/>
      <c r="I413" s="242"/>
      <c r="J413" s="242"/>
      <c r="K413" s="242"/>
      <c r="L413" s="389"/>
      <c r="M413" s="389"/>
      <c r="N413" s="242"/>
      <c r="O413" s="242"/>
      <c r="P413" s="13"/>
      <c r="Q413" s="242"/>
      <c r="R413" s="13"/>
      <c r="S413" s="13"/>
      <c r="T413" s="242"/>
      <c r="U413" s="242"/>
      <c r="V413" s="242"/>
      <c r="W413" s="242"/>
      <c r="X413" s="242"/>
      <c r="Y413" s="242"/>
    </row>
    <row r="414">
      <c r="A414" s="242"/>
      <c r="B414" s="242"/>
      <c r="C414" s="242"/>
      <c r="D414" s="242"/>
      <c r="E414" s="242"/>
      <c r="F414" s="242"/>
      <c r="G414" s="671"/>
      <c r="H414" s="671"/>
      <c r="I414" s="242"/>
      <c r="J414" s="242"/>
      <c r="K414" s="242"/>
      <c r="L414" s="389"/>
      <c r="M414" s="389"/>
      <c r="N414" s="242"/>
      <c r="O414" s="242"/>
      <c r="P414" s="13"/>
      <c r="Q414" s="242"/>
      <c r="R414" s="13"/>
      <c r="S414" s="13"/>
      <c r="T414" s="242"/>
      <c r="U414" s="242"/>
      <c r="V414" s="242"/>
      <c r="W414" s="242"/>
      <c r="X414" s="242"/>
      <c r="Y414" s="242"/>
    </row>
    <row r="415">
      <c r="A415" s="242"/>
      <c r="B415" s="242"/>
      <c r="C415" s="242"/>
      <c r="D415" s="242"/>
      <c r="E415" s="242"/>
      <c r="F415" s="242"/>
      <c r="G415" s="671"/>
      <c r="H415" s="671"/>
      <c r="I415" s="242"/>
      <c r="J415" s="242"/>
      <c r="K415" s="242"/>
      <c r="L415" s="389"/>
      <c r="M415" s="389"/>
      <c r="N415" s="242"/>
      <c r="O415" s="242"/>
      <c r="P415" s="13"/>
      <c r="Q415" s="242"/>
      <c r="R415" s="13"/>
      <c r="S415" s="13"/>
      <c r="T415" s="242"/>
      <c r="U415" s="242"/>
      <c r="V415" s="242"/>
      <c r="W415" s="242"/>
      <c r="X415" s="242"/>
      <c r="Y415" s="242"/>
    </row>
    <row r="416">
      <c r="A416" s="242"/>
      <c r="B416" s="242"/>
      <c r="C416" s="242"/>
      <c r="D416" s="242"/>
      <c r="E416" s="242"/>
      <c r="F416" s="242"/>
      <c r="G416" s="671"/>
      <c r="H416" s="671"/>
      <c r="I416" s="242"/>
      <c r="J416" s="242"/>
      <c r="K416" s="242"/>
      <c r="L416" s="389"/>
      <c r="M416" s="389"/>
      <c r="N416" s="242"/>
      <c r="O416" s="242"/>
      <c r="P416" s="13"/>
      <c r="Q416" s="242"/>
      <c r="R416" s="13"/>
      <c r="S416" s="13"/>
      <c r="T416" s="242"/>
      <c r="U416" s="242"/>
      <c r="V416" s="242"/>
      <c r="W416" s="242"/>
      <c r="X416" s="242"/>
      <c r="Y416" s="242"/>
    </row>
    <row r="417">
      <c r="A417" s="242"/>
      <c r="B417" s="242"/>
      <c r="C417" s="242"/>
      <c r="D417" s="242"/>
      <c r="E417" s="242"/>
      <c r="F417" s="242"/>
      <c r="G417" s="671"/>
      <c r="H417" s="671"/>
      <c r="I417" s="242"/>
      <c r="J417" s="242"/>
      <c r="K417" s="242"/>
      <c r="L417" s="389"/>
      <c r="M417" s="389"/>
      <c r="N417" s="242"/>
      <c r="O417" s="242"/>
      <c r="P417" s="13"/>
      <c r="Q417" s="242"/>
      <c r="R417" s="13"/>
      <c r="S417" s="13"/>
      <c r="T417" s="242"/>
      <c r="U417" s="242"/>
      <c r="V417" s="242"/>
      <c r="W417" s="242"/>
      <c r="X417" s="242"/>
      <c r="Y417" s="242"/>
    </row>
    <row r="418">
      <c r="A418" s="242"/>
      <c r="B418" s="242"/>
      <c r="C418" s="242"/>
      <c r="D418" s="242"/>
      <c r="E418" s="242"/>
      <c r="F418" s="242"/>
      <c r="G418" s="671"/>
      <c r="H418" s="671"/>
      <c r="I418" s="242"/>
      <c r="J418" s="242"/>
      <c r="K418" s="242"/>
      <c r="L418" s="389"/>
      <c r="M418" s="389"/>
      <c r="N418" s="242"/>
      <c r="O418" s="242"/>
      <c r="P418" s="13"/>
      <c r="Q418" s="242"/>
      <c r="R418" s="13"/>
      <c r="S418" s="13"/>
      <c r="T418" s="242"/>
      <c r="U418" s="242"/>
      <c r="V418" s="242"/>
      <c r="W418" s="242"/>
      <c r="X418" s="242"/>
      <c r="Y418" s="242"/>
    </row>
    <row r="419">
      <c r="A419" s="242"/>
      <c r="B419" s="242"/>
      <c r="C419" s="242"/>
      <c r="D419" s="242"/>
      <c r="E419" s="242"/>
      <c r="F419" s="242"/>
      <c r="G419" s="671"/>
      <c r="H419" s="671"/>
      <c r="I419" s="242"/>
      <c r="J419" s="242"/>
      <c r="K419" s="242"/>
      <c r="L419" s="389"/>
      <c r="M419" s="389"/>
      <c r="N419" s="242"/>
      <c r="O419" s="242"/>
      <c r="P419" s="13"/>
      <c r="Q419" s="242"/>
      <c r="R419" s="13"/>
      <c r="S419" s="13"/>
      <c r="T419" s="242"/>
      <c r="U419" s="242"/>
      <c r="V419" s="242"/>
      <c r="W419" s="242"/>
      <c r="X419" s="242"/>
      <c r="Y419" s="242"/>
    </row>
    <row r="420">
      <c r="A420" s="242"/>
      <c r="B420" s="242"/>
      <c r="C420" s="242"/>
      <c r="D420" s="242"/>
      <c r="E420" s="242"/>
      <c r="F420" s="242"/>
      <c r="G420" s="671"/>
      <c r="H420" s="671"/>
      <c r="I420" s="242"/>
      <c r="J420" s="242"/>
      <c r="K420" s="242"/>
      <c r="L420" s="389"/>
      <c r="M420" s="389"/>
      <c r="N420" s="242"/>
      <c r="O420" s="242"/>
      <c r="P420" s="13"/>
      <c r="Q420" s="242"/>
      <c r="R420" s="13"/>
      <c r="S420" s="13"/>
      <c r="T420" s="242"/>
      <c r="U420" s="242"/>
      <c r="V420" s="242"/>
      <c r="W420" s="242"/>
      <c r="X420" s="242"/>
      <c r="Y420" s="242"/>
    </row>
    <row r="421">
      <c r="A421" s="242"/>
      <c r="B421" s="242"/>
      <c r="C421" s="242"/>
      <c r="D421" s="242"/>
      <c r="E421" s="242"/>
      <c r="F421" s="242"/>
      <c r="G421" s="671"/>
      <c r="H421" s="671"/>
      <c r="I421" s="242"/>
      <c r="J421" s="242"/>
      <c r="K421" s="242"/>
      <c r="L421" s="389"/>
      <c r="M421" s="389"/>
      <c r="N421" s="242"/>
      <c r="O421" s="242"/>
      <c r="P421" s="13"/>
      <c r="Q421" s="242"/>
      <c r="R421" s="13"/>
      <c r="S421" s="13"/>
      <c r="T421" s="242"/>
      <c r="U421" s="242"/>
      <c r="V421" s="242"/>
      <c r="W421" s="242"/>
      <c r="X421" s="242"/>
      <c r="Y421" s="242"/>
    </row>
    <row r="422">
      <c r="A422" s="242"/>
      <c r="B422" s="242"/>
      <c r="C422" s="242"/>
      <c r="D422" s="242"/>
      <c r="E422" s="242"/>
      <c r="F422" s="242"/>
      <c r="G422" s="671"/>
      <c r="H422" s="671"/>
      <c r="I422" s="242"/>
      <c r="J422" s="242"/>
      <c r="K422" s="242"/>
      <c r="L422" s="389"/>
      <c r="M422" s="389"/>
      <c r="N422" s="242"/>
      <c r="O422" s="242"/>
      <c r="P422" s="13"/>
      <c r="Q422" s="242"/>
      <c r="R422" s="13"/>
      <c r="S422" s="13"/>
      <c r="T422" s="242"/>
      <c r="U422" s="242"/>
      <c r="V422" s="242"/>
      <c r="W422" s="242"/>
      <c r="X422" s="242"/>
      <c r="Y422" s="242"/>
    </row>
    <row r="423">
      <c r="A423" s="242"/>
      <c r="B423" s="242"/>
      <c r="C423" s="242"/>
      <c r="D423" s="242"/>
      <c r="E423" s="242"/>
      <c r="F423" s="242"/>
      <c r="G423" s="671"/>
      <c r="H423" s="671"/>
      <c r="I423" s="242"/>
      <c r="J423" s="242"/>
      <c r="K423" s="242"/>
      <c r="L423" s="389"/>
      <c r="M423" s="389"/>
      <c r="N423" s="242"/>
      <c r="O423" s="242"/>
      <c r="P423" s="13"/>
      <c r="Q423" s="242"/>
      <c r="R423" s="13"/>
      <c r="S423" s="13"/>
      <c r="T423" s="242"/>
      <c r="U423" s="242"/>
      <c r="V423" s="242"/>
      <c r="W423" s="242"/>
      <c r="X423" s="242"/>
      <c r="Y423" s="242"/>
    </row>
    <row r="424">
      <c r="A424" s="242"/>
      <c r="B424" s="242"/>
      <c r="C424" s="242"/>
      <c r="D424" s="242"/>
      <c r="E424" s="242"/>
      <c r="F424" s="242"/>
      <c r="G424" s="671"/>
      <c r="H424" s="671"/>
      <c r="I424" s="242"/>
      <c r="J424" s="242"/>
      <c r="K424" s="242"/>
      <c r="L424" s="389"/>
      <c r="M424" s="389"/>
      <c r="N424" s="242"/>
      <c r="O424" s="242"/>
      <c r="P424" s="13"/>
      <c r="Q424" s="242"/>
      <c r="R424" s="13"/>
      <c r="S424" s="13"/>
      <c r="T424" s="242"/>
      <c r="U424" s="242"/>
      <c r="V424" s="242"/>
      <c r="W424" s="242"/>
      <c r="X424" s="242"/>
      <c r="Y424" s="242"/>
    </row>
    <row r="425">
      <c r="A425" s="242"/>
      <c r="B425" s="242"/>
      <c r="C425" s="242"/>
      <c r="D425" s="242"/>
      <c r="E425" s="242"/>
      <c r="F425" s="242"/>
      <c r="G425" s="671"/>
      <c r="H425" s="671"/>
      <c r="I425" s="242"/>
      <c r="J425" s="242"/>
      <c r="K425" s="242"/>
      <c r="L425" s="389"/>
      <c r="M425" s="389"/>
      <c r="N425" s="242"/>
      <c r="O425" s="242"/>
      <c r="P425" s="13"/>
      <c r="Q425" s="242"/>
      <c r="R425" s="13"/>
      <c r="S425" s="13"/>
      <c r="T425" s="242"/>
      <c r="U425" s="242"/>
      <c r="V425" s="242"/>
      <c r="W425" s="242"/>
      <c r="X425" s="242"/>
      <c r="Y425" s="242"/>
    </row>
    <row r="426">
      <c r="A426" s="242"/>
      <c r="B426" s="242"/>
      <c r="C426" s="242"/>
      <c r="D426" s="242"/>
      <c r="E426" s="242"/>
      <c r="F426" s="242"/>
      <c r="G426" s="671"/>
      <c r="H426" s="671"/>
      <c r="I426" s="242"/>
      <c r="J426" s="242"/>
      <c r="K426" s="242"/>
      <c r="L426" s="389"/>
      <c r="M426" s="389"/>
      <c r="N426" s="242"/>
      <c r="O426" s="242"/>
      <c r="P426" s="13"/>
      <c r="Q426" s="242"/>
      <c r="R426" s="13"/>
      <c r="S426" s="13"/>
      <c r="T426" s="242"/>
      <c r="U426" s="242"/>
      <c r="V426" s="242"/>
      <c r="W426" s="242"/>
      <c r="X426" s="242"/>
      <c r="Y426" s="242"/>
    </row>
    <row r="427">
      <c r="A427" s="242"/>
      <c r="B427" s="242"/>
      <c r="C427" s="242"/>
      <c r="D427" s="242"/>
      <c r="E427" s="242"/>
      <c r="F427" s="242"/>
      <c r="G427" s="671"/>
      <c r="H427" s="671"/>
      <c r="I427" s="242"/>
      <c r="J427" s="242"/>
      <c r="K427" s="242"/>
      <c r="L427" s="389"/>
      <c r="M427" s="389"/>
      <c r="N427" s="242"/>
      <c r="O427" s="242"/>
      <c r="P427" s="13"/>
      <c r="Q427" s="242"/>
      <c r="R427" s="13"/>
      <c r="S427" s="13"/>
      <c r="T427" s="242"/>
      <c r="U427" s="242"/>
      <c r="V427" s="242"/>
      <c r="W427" s="242"/>
      <c r="X427" s="242"/>
      <c r="Y427" s="242"/>
    </row>
    <row r="428">
      <c r="A428" s="242"/>
      <c r="B428" s="242"/>
      <c r="C428" s="242"/>
      <c r="D428" s="242"/>
      <c r="E428" s="242"/>
      <c r="F428" s="242"/>
      <c r="G428" s="671"/>
      <c r="H428" s="671"/>
      <c r="I428" s="242"/>
      <c r="J428" s="242"/>
      <c r="K428" s="242"/>
      <c r="L428" s="389"/>
      <c r="M428" s="389"/>
      <c r="N428" s="242"/>
      <c r="O428" s="242"/>
      <c r="P428" s="13"/>
      <c r="Q428" s="242"/>
      <c r="R428" s="13"/>
      <c r="S428" s="13"/>
      <c r="T428" s="242"/>
      <c r="U428" s="242"/>
      <c r="V428" s="242"/>
      <c r="W428" s="242"/>
      <c r="X428" s="242"/>
      <c r="Y428" s="242"/>
    </row>
    <row r="429">
      <c r="A429" s="242"/>
      <c r="B429" s="242"/>
      <c r="C429" s="242"/>
      <c r="D429" s="242"/>
      <c r="E429" s="242"/>
      <c r="F429" s="242"/>
      <c r="G429" s="671"/>
      <c r="H429" s="671"/>
      <c r="I429" s="242"/>
      <c r="J429" s="242"/>
      <c r="K429" s="242"/>
      <c r="L429" s="389"/>
      <c r="M429" s="389"/>
      <c r="N429" s="242"/>
      <c r="O429" s="242"/>
      <c r="P429" s="13"/>
      <c r="Q429" s="242"/>
      <c r="R429" s="13"/>
      <c r="S429" s="13"/>
      <c r="T429" s="242"/>
      <c r="U429" s="242"/>
      <c r="V429" s="242"/>
      <c r="W429" s="242"/>
      <c r="X429" s="242"/>
      <c r="Y429" s="242"/>
    </row>
    <row r="430">
      <c r="A430" s="242"/>
      <c r="B430" s="242"/>
      <c r="C430" s="242"/>
      <c r="D430" s="242"/>
      <c r="E430" s="242"/>
      <c r="F430" s="242"/>
      <c r="G430" s="671"/>
      <c r="H430" s="671"/>
      <c r="I430" s="242"/>
      <c r="J430" s="242"/>
      <c r="K430" s="242"/>
      <c r="L430" s="389"/>
      <c r="M430" s="389"/>
      <c r="N430" s="242"/>
      <c r="O430" s="242"/>
      <c r="P430" s="13"/>
      <c r="Q430" s="242"/>
      <c r="R430" s="13"/>
      <c r="S430" s="13"/>
      <c r="T430" s="242"/>
      <c r="U430" s="242"/>
      <c r="V430" s="242"/>
      <c r="W430" s="242"/>
      <c r="X430" s="242"/>
      <c r="Y430" s="242"/>
    </row>
    <row r="431">
      <c r="A431" s="242"/>
      <c r="B431" s="242"/>
      <c r="C431" s="242"/>
      <c r="D431" s="242"/>
      <c r="E431" s="242"/>
      <c r="F431" s="242"/>
      <c r="G431" s="671"/>
      <c r="H431" s="671"/>
      <c r="I431" s="242"/>
      <c r="J431" s="242"/>
      <c r="K431" s="242"/>
      <c r="L431" s="389"/>
      <c r="M431" s="389"/>
      <c r="N431" s="242"/>
      <c r="O431" s="242"/>
      <c r="P431" s="13"/>
      <c r="Q431" s="242"/>
      <c r="R431" s="13"/>
      <c r="S431" s="13"/>
      <c r="T431" s="242"/>
      <c r="U431" s="242"/>
      <c r="V431" s="242"/>
      <c r="W431" s="242"/>
      <c r="X431" s="242"/>
      <c r="Y431" s="242"/>
    </row>
    <row r="432">
      <c r="A432" s="242"/>
      <c r="B432" s="242"/>
      <c r="C432" s="242"/>
      <c r="D432" s="242"/>
      <c r="E432" s="242"/>
      <c r="F432" s="242"/>
      <c r="G432" s="671"/>
      <c r="H432" s="671"/>
      <c r="I432" s="242"/>
      <c r="J432" s="242"/>
      <c r="K432" s="242"/>
      <c r="L432" s="389"/>
      <c r="M432" s="389"/>
      <c r="N432" s="242"/>
      <c r="O432" s="242"/>
      <c r="P432" s="13"/>
      <c r="Q432" s="242"/>
      <c r="R432" s="13"/>
      <c r="S432" s="13"/>
      <c r="T432" s="242"/>
      <c r="U432" s="242"/>
      <c r="V432" s="242"/>
      <c r="W432" s="242"/>
      <c r="X432" s="242"/>
      <c r="Y432" s="242"/>
    </row>
    <row r="433">
      <c r="A433" s="242"/>
      <c r="B433" s="242"/>
      <c r="C433" s="242"/>
      <c r="D433" s="242"/>
      <c r="E433" s="242"/>
      <c r="F433" s="242"/>
      <c r="G433" s="671"/>
      <c r="H433" s="671"/>
      <c r="I433" s="242"/>
      <c r="J433" s="242"/>
      <c r="K433" s="242"/>
      <c r="L433" s="389"/>
      <c r="M433" s="389"/>
      <c r="N433" s="242"/>
      <c r="O433" s="242"/>
      <c r="P433" s="13"/>
      <c r="Q433" s="242"/>
      <c r="R433" s="13"/>
      <c r="S433" s="13"/>
      <c r="T433" s="242"/>
      <c r="U433" s="242"/>
      <c r="V433" s="242"/>
      <c r="W433" s="242"/>
      <c r="X433" s="242"/>
      <c r="Y433" s="242"/>
    </row>
    <row r="434">
      <c r="A434" s="242"/>
      <c r="B434" s="242"/>
      <c r="C434" s="242"/>
      <c r="D434" s="242"/>
      <c r="E434" s="242"/>
      <c r="F434" s="242"/>
      <c r="G434" s="671"/>
      <c r="H434" s="671"/>
      <c r="I434" s="242"/>
      <c r="J434" s="242"/>
      <c r="K434" s="242"/>
      <c r="L434" s="389"/>
      <c r="M434" s="389"/>
      <c r="N434" s="242"/>
      <c r="O434" s="242"/>
      <c r="P434" s="13"/>
      <c r="Q434" s="242"/>
      <c r="R434" s="13"/>
      <c r="S434" s="13"/>
      <c r="T434" s="242"/>
      <c r="U434" s="242"/>
      <c r="V434" s="242"/>
      <c r="W434" s="242"/>
      <c r="X434" s="242"/>
      <c r="Y434" s="242"/>
    </row>
    <row r="435">
      <c r="A435" s="242"/>
      <c r="B435" s="242"/>
      <c r="C435" s="242"/>
      <c r="D435" s="242"/>
      <c r="E435" s="242"/>
      <c r="F435" s="242"/>
      <c r="G435" s="671"/>
      <c r="H435" s="671"/>
      <c r="I435" s="242"/>
      <c r="J435" s="242"/>
      <c r="K435" s="242"/>
      <c r="L435" s="389"/>
      <c r="M435" s="389"/>
      <c r="N435" s="242"/>
      <c r="O435" s="242"/>
      <c r="P435" s="13"/>
      <c r="Q435" s="242"/>
      <c r="R435" s="13"/>
      <c r="S435" s="13"/>
      <c r="T435" s="242"/>
      <c r="U435" s="242"/>
      <c r="V435" s="242"/>
      <c r="W435" s="242"/>
      <c r="X435" s="242"/>
      <c r="Y435" s="242"/>
    </row>
    <row r="436">
      <c r="A436" s="242"/>
      <c r="B436" s="242"/>
      <c r="C436" s="242"/>
      <c r="D436" s="242"/>
      <c r="E436" s="242"/>
      <c r="F436" s="242"/>
      <c r="G436" s="671"/>
      <c r="H436" s="671"/>
      <c r="I436" s="242"/>
      <c r="J436" s="242"/>
      <c r="K436" s="242"/>
      <c r="L436" s="389"/>
      <c r="M436" s="389"/>
      <c r="N436" s="242"/>
      <c r="O436" s="242"/>
      <c r="P436" s="13"/>
      <c r="Q436" s="242"/>
      <c r="R436" s="13"/>
      <c r="S436" s="13"/>
      <c r="T436" s="242"/>
      <c r="U436" s="242"/>
      <c r="V436" s="242"/>
      <c r="W436" s="242"/>
      <c r="X436" s="242"/>
      <c r="Y436" s="242"/>
    </row>
    <row r="437">
      <c r="A437" s="242"/>
      <c r="B437" s="242"/>
      <c r="C437" s="242"/>
      <c r="D437" s="242"/>
      <c r="E437" s="242"/>
      <c r="F437" s="242"/>
      <c r="G437" s="671"/>
      <c r="H437" s="671"/>
      <c r="I437" s="242"/>
      <c r="J437" s="242"/>
      <c r="K437" s="242"/>
      <c r="L437" s="389"/>
      <c r="M437" s="389"/>
      <c r="N437" s="242"/>
      <c r="O437" s="242"/>
      <c r="P437" s="13"/>
      <c r="Q437" s="242"/>
      <c r="R437" s="13"/>
      <c r="S437" s="13"/>
      <c r="T437" s="242"/>
      <c r="U437" s="242"/>
      <c r="V437" s="242"/>
      <c r="W437" s="242"/>
      <c r="X437" s="242"/>
      <c r="Y437" s="242"/>
    </row>
    <row r="438">
      <c r="A438" s="242"/>
      <c r="B438" s="242"/>
      <c r="C438" s="242"/>
      <c r="D438" s="242"/>
      <c r="E438" s="242"/>
      <c r="F438" s="242"/>
      <c r="G438" s="671"/>
      <c r="H438" s="671"/>
      <c r="I438" s="242"/>
      <c r="J438" s="242"/>
      <c r="K438" s="242"/>
      <c r="L438" s="389"/>
      <c r="M438" s="389"/>
      <c r="N438" s="242"/>
      <c r="O438" s="242"/>
      <c r="P438" s="13"/>
      <c r="Q438" s="242"/>
      <c r="R438" s="13"/>
      <c r="S438" s="13"/>
      <c r="T438" s="242"/>
      <c r="U438" s="242"/>
      <c r="V438" s="242"/>
      <c r="W438" s="242"/>
      <c r="X438" s="242"/>
      <c r="Y438" s="242"/>
    </row>
    <row r="439">
      <c r="A439" s="242"/>
      <c r="B439" s="242"/>
      <c r="C439" s="242"/>
      <c r="D439" s="242"/>
      <c r="E439" s="242"/>
      <c r="F439" s="242"/>
      <c r="G439" s="671"/>
      <c r="H439" s="671"/>
      <c r="I439" s="242"/>
      <c r="J439" s="242"/>
      <c r="K439" s="242"/>
      <c r="L439" s="389"/>
      <c r="M439" s="389"/>
      <c r="N439" s="242"/>
      <c r="O439" s="242"/>
      <c r="P439" s="13"/>
      <c r="Q439" s="242"/>
      <c r="R439" s="13"/>
      <c r="S439" s="13"/>
      <c r="T439" s="242"/>
      <c r="U439" s="242"/>
      <c r="V439" s="242"/>
      <c r="W439" s="242"/>
      <c r="X439" s="242"/>
      <c r="Y439" s="242"/>
    </row>
    <row r="440">
      <c r="A440" s="242"/>
      <c r="B440" s="242"/>
      <c r="C440" s="242"/>
      <c r="D440" s="242"/>
      <c r="E440" s="242"/>
      <c r="F440" s="242"/>
      <c r="G440" s="671"/>
      <c r="H440" s="671"/>
      <c r="I440" s="242"/>
      <c r="J440" s="242"/>
      <c r="K440" s="242"/>
      <c r="L440" s="389"/>
      <c r="M440" s="389"/>
      <c r="N440" s="242"/>
      <c r="O440" s="242"/>
      <c r="P440" s="13"/>
      <c r="Q440" s="242"/>
      <c r="R440" s="13"/>
      <c r="S440" s="13"/>
      <c r="T440" s="242"/>
      <c r="U440" s="242"/>
      <c r="V440" s="242"/>
      <c r="W440" s="242"/>
      <c r="X440" s="242"/>
      <c r="Y440" s="242"/>
    </row>
    <row r="441">
      <c r="A441" s="242"/>
      <c r="B441" s="242"/>
      <c r="C441" s="242"/>
      <c r="D441" s="242"/>
      <c r="E441" s="242"/>
      <c r="F441" s="242"/>
      <c r="G441" s="671"/>
      <c r="H441" s="671"/>
      <c r="I441" s="242"/>
      <c r="J441" s="242"/>
      <c r="K441" s="242"/>
      <c r="L441" s="389"/>
      <c r="M441" s="389"/>
      <c r="N441" s="242"/>
      <c r="O441" s="242"/>
      <c r="P441" s="13"/>
      <c r="Q441" s="242"/>
      <c r="R441" s="13"/>
      <c r="S441" s="13"/>
      <c r="T441" s="242"/>
      <c r="U441" s="242"/>
      <c r="V441" s="242"/>
      <c r="W441" s="242"/>
      <c r="X441" s="242"/>
      <c r="Y441" s="242"/>
    </row>
    <row r="442">
      <c r="A442" s="242"/>
      <c r="B442" s="242"/>
      <c r="C442" s="242"/>
      <c r="D442" s="242"/>
      <c r="E442" s="242"/>
      <c r="F442" s="242"/>
      <c r="G442" s="671"/>
      <c r="H442" s="671"/>
      <c r="I442" s="242"/>
      <c r="J442" s="242"/>
      <c r="K442" s="242"/>
      <c r="L442" s="389"/>
      <c r="M442" s="389"/>
      <c r="N442" s="242"/>
      <c r="O442" s="242"/>
      <c r="P442" s="13"/>
      <c r="Q442" s="242"/>
      <c r="R442" s="13"/>
      <c r="S442" s="13"/>
      <c r="T442" s="242"/>
      <c r="U442" s="242"/>
      <c r="V442" s="242"/>
      <c r="W442" s="242"/>
      <c r="X442" s="242"/>
      <c r="Y442" s="242"/>
    </row>
    <row r="443">
      <c r="A443" s="242"/>
      <c r="B443" s="242"/>
      <c r="C443" s="242"/>
      <c r="D443" s="242"/>
      <c r="E443" s="242"/>
      <c r="F443" s="242"/>
      <c r="G443" s="671"/>
      <c r="H443" s="671"/>
      <c r="I443" s="242"/>
      <c r="J443" s="242"/>
      <c r="K443" s="242"/>
      <c r="L443" s="389"/>
      <c r="M443" s="389"/>
      <c r="N443" s="242"/>
      <c r="O443" s="242"/>
      <c r="P443" s="13"/>
      <c r="Q443" s="242"/>
      <c r="R443" s="13"/>
      <c r="S443" s="13"/>
      <c r="T443" s="242"/>
      <c r="U443" s="242"/>
      <c r="V443" s="242"/>
      <c r="W443" s="242"/>
      <c r="X443" s="242"/>
      <c r="Y443" s="242"/>
    </row>
    <row r="444">
      <c r="A444" s="242"/>
      <c r="B444" s="242"/>
      <c r="C444" s="242"/>
      <c r="D444" s="242"/>
      <c r="E444" s="242"/>
      <c r="F444" s="242"/>
      <c r="G444" s="671"/>
      <c r="H444" s="671"/>
      <c r="I444" s="242"/>
      <c r="J444" s="242"/>
      <c r="K444" s="242"/>
      <c r="L444" s="389"/>
      <c r="M444" s="389"/>
      <c r="N444" s="242"/>
      <c r="O444" s="242"/>
      <c r="P444" s="13"/>
      <c r="Q444" s="242"/>
      <c r="R444" s="13"/>
      <c r="S444" s="13"/>
      <c r="T444" s="242"/>
      <c r="U444" s="242"/>
      <c r="V444" s="242"/>
      <c r="W444" s="242"/>
      <c r="X444" s="242"/>
      <c r="Y444" s="242"/>
    </row>
    <row r="445">
      <c r="A445" s="242"/>
      <c r="B445" s="242"/>
      <c r="C445" s="242"/>
      <c r="D445" s="242"/>
      <c r="E445" s="242"/>
      <c r="F445" s="242"/>
      <c r="G445" s="671"/>
      <c r="H445" s="671"/>
      <c r="I445" s="242"/>
      <c r="J445" s="242"/>
      <c r="K445" s="242"/>
      <c r="L445" s="389"/>
      <c r="M445" s="389"/>
      <c r="N445" s="242"/>
      <c r="O445" s="242"/>
      <c r="P445" s="13"/>
      <c r="Q445" s="242"/>
      <c r="R445" s="13"/>
      <c r="S445" s="13"/>
      <c r="T445" s="242"/>
      <c r="U445" s="242"/>
      <c r="V445" s="242"/>
      <c r="W445" s="242"/>
      <c r="X445" s="242"/>
      <c r="Y445" s="242"/>
    </row>
    <row r="446">
      <c r="A446" s="242"/>
      <c r="B446" s="242"/>
      <c r="C446" s="242"/>
      <c r="D446" s="242"/>
      <c r="E446" s="242"/>
      <c r="F446" s="242"/>
      <c r="G446" s="671"/>
      <c r="H446" s="671"/>
      <c r="I446" s="242"/>
      <c r="J446" s="242"/>
      <c r="K446" s="242"/>
      <c r="L446" s="389"/>
      <c r="M446" s="389"/>
      <c r="N446" s="242"/>
      <c r="O446" s="242"/>
      <c r="P446" s="13"/>
      <c r="Q446" s="242"/>
      <c r="R446" s="13"/>
      <c r="S446" s="13"/>
      <c r="T446" s="242"/>
      <c r="U446" s="242"/>
      <c r="V446" s="242"/>
      <c r="W446" s="242"/>
      <c r="X446" s="242"/>
      <c r="Y446" s="242"/>
    </row>
    <row r="447">
      <c r="A447" s="242"/>
      <c r="B447" s="242"/>
      <c r="C447" s="242"/>
      <c r="D447" s="242"/>
      <c r="E447" s="242"/>
      <c r="F447" s="242"/>
      <c r="G447" s="671"/>
      <c r="H447" s="671"/>
      <c r="I447" s="242"/>
      <c r="J447" s="242"/>
      <c r="K447" s="242"/>
      <c r="L447" s="389"/>
      <c r="M447" s="389"/>
      <c r="N447" s="242"/>
      <c r="O447" s="242"/>
      <c r="P447" s="13"/>
      <c r="Q447" s="242"/>
      <c r="R447" s="13"/>
      <c r="S447" s="13"/>
      <c r="T447" s="242"/>
      <c r="U447" s="242"/>
      <c r="V447" s="242"/>
      <c r="W447" s="242"/>
      <c r="X447" s="242"/>
      <c r="Y447" s="242"/>
    </row>
    <row r="448">
      <c r="A448" s="242"/>
      <c r="B448" s="242"/>
      <c r="C448" s="242"/>
      <c r="D448" s="242"/>
      <c r="E448" s="242"/>
      <c r="F448" s="242"/>
      <c r="G448" s="671"/>
      <c r="H448" s="671"/>
      <c r="I448" s="242"/>
      <c r="J448" s="242"/>
      <c r="K448" s="242"/>
      <c r="L448" s="389"/>
      <c r="M448" s="389"/>
      <c r="N448" s="242"/>
      <c r="O448" s="242"/>
      <c r="P448" s="13"/>
      <c r="Q448" s="242"/>
      <c r="R448" s="13"/>
      <c r="S448" s="13"/>
      <c r="T448" s="242"/>
      <c r="U448" s="242"/>
      <c r="V448" s="242"/>
      <c r="W448" s="242"/>
      <c r="X448" s="242"/>
      <c r="Y448" s="242"/>
    </row>
    <row r="449">
      <c r="A449" s="242"/>
      <c r="B449" s="242"/>
      <c r="C449" s="242"/>
      <c r="D449" s="242"/>
      <c r="E449" s="242"/>
      <c r="F449" s="242"/>
      <c r="G449" s="671"/>
      <c r="H449" s="671"/>
      <c r="I449" s="242"/>
      <c r="J449" s="242"/>
      <c r="K449" s="242"/>
      <c r="L449" s="389"/>
      <c r="M449" s="389"/>
      <c r="N449" s="242"/>
      <c r="O449" s="242"/>
      <c r="P449" s="13"/>
      <c r="Q449" s="242"/>
      <c r="R449" s="13"/>
      <c r="S449" s="13"/>
      <c r="T449" s="242"/>
      <c r="U449" s="242"/>
      <c r="V449" s="242"/>
      <c r="W449" s="242"/>
      <c r="X449" s="242"/>
      <c r="Y449" s="242"/>
    </row>
    <row r="450">
      <c r="A450" s="242"/>
      <c r="B450" s="242"/>
      <c r="C450" s="242"/>
      <c r="D450" s="242"/>
      <c r="E450" s="242"/>
      <c r="F450" s="242"/>
      <c r="G450" s="671"/>
      <c r="H450" s="671"/>
      <c r="I450" s="242"/>
      <c r="J450" s="242"/>
      <c r="K450" s="242"/>
      <c r="L450" s="389"/>
      <c r="M450" s="389"/>
      <c r="N450" s="242"/>
      <c r="O450" s="242"/>
      <c r="P450" s="13"/>
      <c r="Q450" s="242"/>
      <c r="R450" s="13"/>
      <c r="S450" s="13"/>
      <c r="T450" s="242"/>
      <c r="U450" s="242"/>
      <c r="V450" s="242"/>
      <c r="W450" s="242"/>
      <c r="X450" s="242"/>
      <c r="Y450" s="242"/>
    </row>
    <row r="451">
      <c r="A451" s="242"/>
      <c r="B451" s="242"/>
      <c r="C451" s="242"/>
      <c r="D451" s="242"/>
      <c r="E451" s="242"/>
      <c r="F451" s="242"/>
      <c r="G451" s="671"/>
      <c r="H451" s="671"/>
      <c r="I451" s="242"/>
      <c r="J451" s="242"/>
      <c r="K451" s="242"/>
      <c r="L451" s="389"/>
      <c r="M451" s="389"/>
      <c r="N451" s="242"/>
      <c r="O451" s="242"/>
      <c r="P451" s="13"/>
      <c r="Q451" s="242"/>
      <c r="R451" s="13"/>
      <c r="S451" s="13"/>
      <c r="T451" s="242"/>
      <c r="U451" s="242"/>
      <c r="V451" s="242"/>
      <c r="W451" s="242"/>
      <c r="X451" s="242"/>
      <c r="Y451" s="242"/>
    </row>
    <row r="452">
      <c r="A452" s="242"/>
      <c r="B452" s="242"/>
      <c r="C452" s="242"/>
      <c r="D452" s="242"/>
      <c r="E452" s="242"/>
      <c r="F452" s="242"/>
      <c r="G452" s="671"/>
      <c r="H452" s="671"/>
      <c r="I452" s="242"/>
      <c r="J452" s="242"/>
      <c r="K452" s="242"/>
      <c r="L452" s="389"/>
      <c r="M452" s="389"/>
      <c r="N452" s="242"/>
      <c r="O452" s="242"/>
      <c r="P452" s="13"/>
      <c r="Q452" s="242"/>
      <c r="R452" s="13"/>
      <c r="S452" s="13"/>
      <c r="T452" s="242"/>
      <c r="U452" s="242"/>
      <c r="V452" s="242"/>
      <c r="W452" s="242"/>
      <c r="X452" s="242"/>
      <c r="Y452" s="242"/>
    </row>
    <row r="453">
      <c r="A453" s="242"/>
      <c r="B453" s="242"/>
      <c r="C453" s="242"/>
      <c r="D453" s="242"/>
      <c r="E453" s="242"/>
      <c r="F453" s="242"/>
      <c r="G453" s="671"/>
      <c r="H453" s="671"/>
      <c r="I453" s="242"/>
      <c r="J453" s="242"/>
      <c r="K453" s="242"/>
      <c r="L453" s="389"/>
      <c r="M453" s="389"/>
      <c r="N453" s="242"/>
      <c r="O453" s="242"/>
      <c r="P453" s="13"/>
      <c r="Q453" s="242"/>
      <c r="R453" s="13"/>
      <c r="S453" s="13"/>
      <c r="T453" s="242"/>
      <c r="U453" s="242"/>
      <c r="V453" s="242"/>
      <c r="W453" s="242"/>
      <c r="X453" s="242"/>
      <c r="Y453" s="242"/>
    </row>
    <row r="454">
      <c r="A454" s="242"/>
      <c r="B454" s="242"/>
      <c r="C454" s="242"/>
      <c r="D454" s="242"/>
      <c r="E454" s="242"/>
      <c r="F454" s="242"/>
      <c r="G454" s="671"/>
      <c r="H454" s="671"/>
      <c r="I454" s="242"/>
      <c r="J454" s="242"/>
      <c r="K454" s="242"/>
      <c r="L454" s="389"/>
      <c r="M454" s="389"/>
      <c r="N454" s="242"/>
      <c r="O454" s="242"/>
      <c r="P454" s="13"/>
      <c r="Q454" s="242"/>
      <c r="R454" s="13"/>
      <c r="S454" s="13"/>
      <c r="T454" s="242"/>
      <c r="U454" s="242"/>
      <c r="V454" s="242"/>
      <c r="W454" s="242"/>
      <c r="X454" s="242"/>
      <c r="Y454" s="242"/>
    </row>
    <row r="455">
      <c r="A455" s="242"/>
      <c r="B455" s="242"/>
      <c r="C455" s="242"/>
      <c r="D455" s="242"/>
      <c r="E455" s="242"/>
      <c r="F455" s="242"/>
      <c r="G455" s="671"/>
      <c r="H455" s="671"/>
      <c r="I455" s="242"/>
      <c r="J455" s="242"/>
      <c r="K455" s="242"/>
      <c r="L455" s="389"/>
      <c r="M455" s="389"/>
      <c r="N455" s="242"/>
      <c r="O455" s="242"/>
      <c r="P455" s="13"/>
      <c r="Q455" s="242"/>
      <c r="R455" s="13"/>
      <c r="S455" s="13"/>
      <c r="T455" s="242"/>
      <c r="U455" s="242"/>
      <c r="V455" s="242"/>
      <c r="W455" s="242"/>
      <c r="X455" s="242"/>
      <c r="Y455" s="242"/>
    </row>
    <row r="456">
      <c r="A456" s="242"/>
      <c r="B456" s="242"/>
      <c r="C456" s="242"/>
      <c r="D456" s="242"/>
      <c r="E456" s="242"/>
      <c r="F456" s="242"/>
      <c r="G456" s="671"/>
      <c r="H456" s="671"/>
      <c r="I456" s="242"/>
      <c r="J456" s="242"/>
      <c r="K456" s="242"/>
      <c r="L456" s="389"/>
      <c r="M456" s="389"/>
      <c r="N456" s="242"/>
      <c r="O456" s="242"/>
      <c r="P456" s="13"/>
      <c r="Q456" s="242"/>
      <c r="R456" s="13"/>
      <c r="S456" s="13"/>
      <c r="T456" s="242"/>
      <c r="U456" s="242"/>
      <c r="V456" s="242"/>
      <c r="W456" s="242"/>
      <c r="X456" s="242"/>
      <c r="Y456" s="242"/>
    </row>
    <row r="457">
      <c r="A457" s="242"/>
      <c r="B457" s="242"/>
      <c r="C457" s="242"/>
      <c r="D457" s="242"/>
      <c r="E457" s="242"/>
      <c r="F457" s="242"/>
      <c r="G457" s="671"/>
      <c r="H457" s="671"/>
      <c r="I457" s="242"/>
      <c r="J457" s="242"/>
      <c r="K457" s="242"/>
      <c r="L457" s="389"/>
      <c r="M457" s="389"/>
      <c r="N457" s="242"/>
      <c r="O457" s="242"/>
      <c r="P457" s="13"/>
      <c r="Q457" s="242"/>
      <c r="R457" s="13"/>
      <c r="S457" s="13"/>
      <c r="T457" s="242"/>
      <c r="U457" s="242"/>
      <c r="V457" s="242"/>
      <c r="W457" s="242"/>
      <c r="X457" s="242"/>
      <c r="Y457" s="242"/>
    </row>
    <row r="458">
      <c r="A458" s="242"/>
      <c r="B458" s="242"/>
      <c r="C458" s="242"/>
      <c r="D458" s="242"/>
      <c r="E458" s="242"/>
      <c r="F458" s="242"/>
      <c r="G458" s="671"/>
      <c r="H458" s="671"/>
      <c r="I458" s="242"/>
      <c r="J458" s="242"/>
      <c r="K458" s="242"/>
      <c r="L458" s="389"/>
      <c r="M458" s="389"/>
      <c r="N458" s="242"/>
      <c r="O458" s="242"/>
      <c r="P458" s="13"/>
      <c r="Q458" s="242"/>
      <c r="R458" s="13"/>
      <c r="S458" s="13"/>
      <c r="T458" s="242"/>
      <c r="U458" s="242"/>
      <c r="V458" s="242"/>
      <c r="W458" s="242"/>
      <c r="X458" s="242"/>
      <c r="Y458" s="242"/>
    </row>
    <row r="459">
      <c r="A459" s="242"/>
      <c r="B459" s="242"/>
      <c r="C459" s="242"/>
      <c r="D459" s="242"/>
      <c r="E459" s="242"/>
      <c r="F459" s="242"/>
      <c r="G459" s="671"/>
      <c r="H459" s="671"/>
      <c r="I459" s="242"/>
      <c r="J459" s="242"/>
      <c r="K459" s="242"/>
      <c r="L459" s="389"/>
      <c r="M459" s="389"/>
      <c r="N459" s="242"/>
      <c r="O459" s="242"/>
      <c r="P459" s="13"/>
      <c r="Q459" s="242"/>
      <c r="R459" s="13"/>
      <c r="S459" s="13"/>
      <c r="T459" s="242"/>
      <c r="U459" s="242"/>
      <c r="V459" s="242"/>
      <c r="W459" s="242"/>
      <c r="X459" s="242"/>
      <c r="Y459" s="242"/>
    </row>
    <row r="460">
      <c r="A460" s="242"/>
      <c r="B460" s="242"/>
      <c r="C460" s="242"/>
      <c r="D460" s="242"/>
      <c r="E460" s="242"/>
      <c r="F460" s="242"/>
      <c r="G460" s="671"/>
      <c r="H460" s="671"/>
      <c r="I460" s="242"/>
      <c r="J460" s="242"/>
      <c r="K460" s="242"/>
      <c r="L460" s="389"/>
      <c r="M460" s="389"/>
      <c r="N460" s="242"/>
      <c r="O460" s="242"/>
      <c r="P460" s="13"/>
      <c r="Q460" s="242"/>
      <c r="R460" s="13"/>
      <c r="S460" s="13"/>
      <c r="T460" s="242"/>
      <c r="U460" s="242"/>
      <c r="V460" s="242"/>
      <c r="W460" s="242"/>
      <c r="X460" s="242"/>
      <c r="Y460" s="242"/>
    </row>
    <row r="461">
      <c r="A461" s="242"/>
      <c r="B461" s="242"/>
      <c r="C461" s="242"/>
      <c r="D461" s="242"/>
      <c r="E461" s="242"/>
      <c r="F461" s="242"/>
      <c r="G461" s="671"/>
      <c r="H461" s="671"/>
      <c r="I461" s="242"/>
      <c r="J461" s="242"/>
      <c r="K461" s="242"/>
      <c r="L461" s="389"/>
      <c r="M461" s="389"/>
      <c r="N461" s="242"/>
      <c r="O461" s="242"/>
      <c r="P461" s="13"/>
      <c r="Q461" s="242"/>
      <c r="R461" s="13"/>
      <c r="S461" s="13"/>
      <c r="T461" s="242"/>
      <c r="U461" s="242"/>
      <c r="V461" s="242"/>
      <c r="W461" s="242"/>
      <c r="X461" s="242"/>
      <c r="Y461" s="242"/>
    </row>
    <row r="462">
      <c r="A462" s="242"/>
      <c r="B462" s="242"/>
      <c r="C462" s="242"/>
      <c r="D462" s="242"/>
      <c r="E462" s="242"/>
      <c r="F462" s="242"/>
      <c r="G462" s="671"/>
      <c r="H462" s="671"/>
      <c r="I462" s="242"/>
      <c r="J462" s="242"/>
      <c r="K462" s="242"/>
      <c r="L462" s="389"/>
      <c r="M462" s="389"/>
      <c r="N462" s="242"/>
      <c r="O462" s="242"/>
      <c r="P462" s="13"/>
      <c r="Q462" s="242"/>
      <c r="R462" s="13"/>
      <c r="S462" s="13"/>
      <c r="T462" s="242"/>
      <c r="U462" s="242"/>
      <c r="V462" s="242"/>
      <c r="W462" s="242"/>
      <c r="X462" s="242"/>
      <c r="Y462" s="242"/>
    </row>
    <row r="463">
      <c r="A463" s="242"/>
      <c r="B463" s="242"/>
      <c r="C463" s="242"/>
      <c r="D463" s="242"/>
      <c r="E463" s="242"/>
      <c r="F463" s="242"/>
      <c r="G463" s="671"/>
      <c r="H463" s="671"/>
      <c r="I463" s="242"/>
      <c r="J463" s="242"/>
      <c r="K463" s="242"/>
      <c r="L463" s="389"/>
      <c r="M463" s="389"/>
      <c r="N463" s="242"/>
      <c r="O463" s="242"/>
      <c r="P463" s="13"/>
      <c r="Q463" s="242"/>
      <c r="R463" s="13"/>
      <c r="S463" s="13"/>
      <c r="T463" s="242"/>
      <c r="U463" s="242"/>
      <c r="V463" s="242"/>
      <c r="W463" s="242"/>
      <c r="X463" s="242"/>
      <c r="Y463" s="242"/>
    </row>
    <row r="464">
      <c r="A464" s="242"/>
      <c r="B464" s="242"/>
      <c r="C464" s="242"/>
      <c r="D464" s="242"/>
      <c r="E464" s="242"/>
      <c r="F464" s="242"/>
      <c r="G464" s="671"/>
      <c r="H464" s="671"/>
      <c r="I464" s="242"/>
      <c r="J464" s="242"/>
      <c r="K464" s="242"/>
      <c r="L464" s="389"/>
      <c r="M464" s="389"/>
      <c r="N464" s="242"/>
      <c r="O464" s="242"/>
      <c r="P464" s="13"/>
      <c r="Q464" s="242"/>
      <c r="R464" s="13"/>
      <c r="S464" s="13"/>
      <c r="T464" s="242"/>
      <c r="U464" s="242"/>
      <c r="V464" s="242"/>
      <c r="W464" s="242"/>
      <c r="X464" s="242"/>
      <c r="Y464" s="242"/>
    </row>
    <row r="465">
      <c r="A465" s="242"/>
      <c r="B465" s="242"/>
      <c r="C465" s="242"/>
      <c r="D465" s="242"/>
      <c r="E465" s="242"/>
      <c r="F465" s="242"/>
      <c r="G465" s="671"/>
      <c r="H465" s="671"/>
      <c r="I465" s="242"/>
      <c r="J465" s="242"/>
      <c r="K465" s="242"/>
      <c r="L465" s="389"/>
      <c r="M465" s="389"/>
      <c r="N465" s="242"/>
      <c r="O465" s="242"/>
      <c r="P465" s="13"/>
      <c r="Q465" s="242"/>
      <c r="R465" s="13"/>
      <c r="S465" s="13"/>
      <c r="T465" s="242"/>
      <c r="U465" s="242"/>
      <c r="V465" s="242"/>
      <c r="W465" s="242"/>
      <c r="X465" s="242"/>
      <c r="Y465" s="242"/>
    </row>
    <row r="466">
      <c r="A466" s="242"/>
      <c r="B466" s="242"/>
      <c r="C466" s="242"/>
      <c r="D466" s="242"/>
      <c r="E466" s="242"/>
      <c r="F466" s="242"/>
      <c r="G466" s="671"/>
      <c r="H466" s="671"/>
      <c r="I466" s="242"/>
      <c r="J466" s="242"/>
      <c r="K466" s="242"/>
      <c r="L466" s="389"/>
      <c r="M466" s="389"/>
      <c r="N466" s="242"/>
      <c r="O466" s="242"/>
      <c r="P466" s="13"/>
      <c r="Q466" s="242"/>
      <c r="R466" s="13"/>
      <c r="S466" s="13"/>
      <c r="T466" s="242"/>
      <c r="U466" s="242"/>
      <c r="V466" s="242"/>
      <c r="W466" s="242"/>
      <c r="X466" s="242"/>
      <c r="Y466" s="242"/>
    </row>
    <row r="467">
      <c r="A467" s="242"/>
      <c r="B467" s="242"/>
      <c r="C467" s="242"/>
      <c r="D467" s="242"/>
      <c r="E467" s="242"/>
      <c r="F467" s="242"/>
      <c r="G467" s="671"/>
      <c r="H467" s="671"/>
      <c r="I467" s="242"/>
      <c r="J467" s="242"/>
      <c r="K467" s="242"/>
      <c r="L467" s="389"/>
      <c r="M467" s="389"/>
      <c r="N467" s="242"/>
      <c r="O467" s="242"/>
      <c r="P467" s="13"/>
      <c r="Q467" s="242"/>
      <c r="R467" s="13"/>
      <c r="S467" s="13"/>
      <c r="T467" s="242"/>
      <c r="U467" s="242"/>
      <c r="V467" s="242"/>
      <c r="W467" s="242"/>
      <c r="X467" s="242"/>
      <c r="Y467" s="242"/>
    </row>
    <row r="468">
      <c r="A468" s="242"/>
      <c r="B468" s="242"/>
      <c r="C468" s="242"/>
      <c r="D468" s="242"/>
      <c r="E468" s="242"/>
      <c r="F468" s="242"/>
      <c r="G468" s="671"/>
      <c r="H468" s="671"/>
      <c r="I468" s="242"/>
      <c r="J468" s="242"/>
      <c r="K468" s="242"/>
      <c r="L468" s="389"/>
      <c r="M468" s="389"/>
      <c r="N468" s="242"/>
      <c r="O468" s="242"/>
      <c r="P468" s="13"/>
      <c r="Q468" s="242"/>
      <c r="R468" s="13"/>
      <c r="S468" s="13"/>
      <c r="T468" s="242"/>
      <c r="U468" s="242"/>
      <c r="V468" s="242"/>
      <c r="W468" s="242"/>
      <c r="X468" s="242"/>
      <c r="Y468" s="242"/>
    </row>
    <row r="469">
      <c r="A469" s="242"/>
      <c r="B469" s="242"/>
      <c r="C469" s="242"/>
      <c r="D469" s="242"/>
      <c r="E469" s="242"/>
      <c r="F469" s="242"/>
      <c r="G469" s="671"/>
      <c r="H469" s="671"/>
      <c r="I469" s="242"/>
      <c r="J469" s="242"/>
      <c r="K469" s="242"/>
      <c r="L469" s="389"/>
      <c r="M469" s="389"/>
      <c r="N469" s="242"/>
      <c r="O469" s="242"/>
      <c r="P469" s="13"/>
      <c r="Q469" s="242"/>
      <c r="R469" s="13"/>
      <c r="S469" s="13"/>
      <c r="T469" s="242"/>
      <c r="U469" s="242"/>
      <c r="V469" s="242"/>
      <c r="W469" s="242"/>
      <c r="X469" s="242"/>
      <c r="Y469" s="242"/>
    </row>
    <row r="470">
      <c r="A470" s="242"/>
      <c r="B470" s="242"/>
      <c r="C470" s="242"/>
      <c r="D470" s="242"/>
      <c r="E470" s="242"/>
      <c r="F470" s="242"/>
      <c r="G470" s="671"/>
      <c r="H470" s="671"/>
      <c r="I470" s="242"/>
      <c r="J470" s="242"/>
      <c r="K470" s="242"/>
      <c r="L470" s="389"/>
      <c r="M470" s="389"/>
      <c r="N470" s="242"/>
      <c r="O470" s="242"/>
      <c r="P470" s="13"/>
      <c r="Q470" s="242"/>
      <c r="R470" s="13"/>
      <c r="S470" s="13"/>
      <c r="T470" s="242"/>
      <c r="U470" s="242"/>
      <c r="V470" s="242"/>
      <c r="W470" s="242"/>
      <c r="X470" s="242"/>
      <c r="Y470" s="242"/>
    </row>
    <row r="471">
      <c r="A471" s="242"/>
      <c r="B471" s="242"/>
      <c r="C471" s="242"/>
      <c r="D471" s="242"/>
      <c r="E471" s="242"/>
      <c r="F471" s="242"/>
      <c r="G471" s="671"/>
      <c r="H471" s="671"/>
      <c r="I471" s="242"/>
      <c r="J471" s="242"/>
      <c r="K471" s="242"/>
      <c r="L471" s="389"/>
      <c r="M471" s="389"/>
      <c r="N471" s="242"/>
      <c r="O471" s="242"/>
      <c r="P471" s="13"/>
      <c r="Q471" s="242"/>
      <c r="R471" s="13"/>
      <c r="S471" s="13"/>
      <c r="T471" s="242"/>
      <c r="U471" s="242"/>
      <c r="V471" s="242"/>
      <c r="W471" s="242"/>
      <c r="X471" s="242"/>
      <c r="Y471" s="242"/>
    </row>
    <row r="472">
      <c r="A472" s="242"/>
      <c r="B472" s="242"/>
      <c r="C472" s="242"/>
      <c r="D472" s="242"/>
      <c r="E472" s="242"/>
      <c r="F472" s="242"/>
      <c r="G472" s="671"/>
      <c r="H472" s="671"/>
      <c r="I472" s="242"/>
      <c r="J472" s="242"/>
      <c r="K472" s="242"/>
      <c r="L472" s="389"/>
      <c r="M472" s="389"/>
      <c r="N472" s="242"/>
      <c r="O472" s="242"/>
      <c r="P472" s="13"/>
      <c r="Q472" s="242"/>
      <c r="R472" s="13"/>
      <c r="S472" s="13"/>
      <c r="T472" s="242"/>
      <c r="U472" s="242"/>
      <c r="V472" s="242"/>
      <c r="W472" s="242"/>
      <c r="X472" s="242"/>
      <c r="Y472" s="242"/>
    </row>
    <row r="473">
      <c r="A473" s="242"/>
      <c r="B473" s="242"/>
      <c r="C473" s="242"/>
      <c r="D473" s="242"/>
      <c r="E473" s="242"/>
      <c r="F473" s="242"/>
      <c r="G473" s="671"/>
      <c r="H473" s="671"/>
      <c r="I473" s="242"/>
      <c r="J473" s="242"/>
      <c r="K473" s="242"/>
      <c r="L473" s="389"/>
      <c r="M473" s="389"/>
      <c r="N473" s="242"/>
      <c r="O473" s="242"/>
      <c r="P473" s="13"/>
      <c r="Q473" s="242"/>
      <c r="R473" s="13"/>
      <c r="S473" s="13"/>
      <c r="T473" s="242"/>
      <c r="U473" s="242"/>
      <c r="V473" s="242"/>
      <c r="W473" s="242"/>
      <c r="X473" s="242"/>
      <c r="Y473" s="242"/>
    </row>
    <row r="474">
      <c r="A474" s="242"/>
      <c r="B474" s="242"/>
      <c r="C474" s="242"/>
      <c r="D474" s="242"/>
      <c r="E474" s="242"/>
      <c r="F474" s="242"/>
      <c r="G474" s="671"/>
      <c r="H474" s="671"/>
      <c r="I474" s="242"/>
      <c r="J474" s="242"/>
      <c r="K474" s="242"/>
      <c r="L474" s="389"/>
      <c r="M474" s="389"/>
      <c r="N474" s="242"/>
      <c r="O474" s="242"/>
      <c r="P474" s="13"/>
      <c r="Q474" s="242"/>
      <c r="R474" s="13"/>
      <c r="S474" s="13"/>
      <c r="T474" s="242"/>
      <c r="U474" s="242"/>
      <c r="V474" s="242"/>
      <c r="W474" s="242"/>
      <c r="X474" s="242"/>
      <c r="Y474" s="242"/>
    </row>
    <row r="475">
      <c r="A475" s="242"/>
      <c r="B475" s="242"/>
      <c r="C475" s="242"/>
      <c r="D475" s="242"/>
      <c r="E475" s="242"/>
      <c r="F475" s="242"/>
      <c r="G475" s="671"/>
      <c r="H475" s="671"/>
      <c r="I475" s="242"/>
      <c r="J475" s="242"/>
      <c r="K475" s="242"/>
      <c r="L475" s="389"/>
      <c r="M475" s="389"/>
      <c r="N475" s="242"/>
      <c r="O475" s="242"/>
      <c r="P475" s="13"/>
      <c r="Q475" s="242"/>
      <c r="R475" s="13"/>
      <c r="S475" s="13"/>
      <c r="T475" s="242"/>
      <c r="U475" s="242"/>
      <c r="V475" s="242"/>
      <c r="W475" s="242"/>
      <c r="X475" s="242"/>
      <c r="Y475" s="242"/>
    </row>
    <row r="476">
      <c r="A476" s="242"/>
      <c r="B476" s="242"/>
      <c r="C476" s="242"/>
      <c r="D476" s="242"/>
      <c r="E476" s="242"/>
      <c r="F476" s="242"/>
      <c r="G476" s="671"/>
      <c r="H476" s="671"/>
      <c r="I476" s="242"/>
      <c r="J476" s="242"/>
      <c r="K476" s="242"/>
      <c r="L476" s="389"/>
      <c r="M476" s="389"/>
      <c r="N476" s="242"/>
      <c r="O476" s="242"/>
      <c r="P476" s="13"/>
      <c r="Q476" s="242"/>
      <c r="R476" s="13"/>
      <c r="S476" s="13"/>
      <c r="T476" s="242"/>
      <c r="U476" s="242"/>
      <c r="V476" s="242"/>
      <c r="W476" s="242"/>
      <c r="X476" s="242"/>
      <c r="Y476" s="242"/>
    </row>
    <row r="477">
      <c r="A477" s="242"/>
      <c r="B477" s="242"/>
      <c r="C477" s="242"/>
      <c r="D477" s="242"/>
      <c r="E477" s="242"/>
      <c r="F477" s="242"/>
      <c r="G477" s="671"/>
      <c r="H477" s="671"/>
      <c r="I477" s="242"/>
      <c r="J477" s="242"/>
      <c r="K477" s="242"/>
      <c r="L477" s="389"/>
      <c r="M477" s="389"/>
      <c r="N477" s="242"/>
      <c r="O477" s="242"/>
      <c r="P477" s="13"/>
      <c r="Q477" s="242"/>
      <c r="R477" s="13"/>
      <c r="S477" s="13"/>
      <c r="T477" s="242"/>
      <c r="U477" s="242"/>
      <c r="V477" s="242"/>
      <c r="W477" s="242"/>
      <c r="X477" s="242"/>
      <c r="Y477" s="242"/>
    </row>
    <row r="478">
      <c r="A478" s="242"/>
      <c r="B478" s="242"/>
      <c r="C478" s="242"/>
      <c r="D478" s="242"/>
      <c r="E478" s="242"/>
      <c r="F478" s="242"/>
      <c r="G478" s="671"/>
      <c r="H478" s="671"/>
      <c r="I478" s="242"/>
      <c r="J478" s="242"/>
      <c r="K478" s="242"/>
      <c r="L478" s="389"/>
      <c r="M478" s="389"/>
      <c r="N478" s="242"/>
      <c r="O478" s="242"/>
      <c r="P478" s="13"/>
      <c r="Q478" s="242"/>
      <c r="R478" s="13"/>
      <c r="S478" s="13"/>
      <c r="T478" s="242"/>
      <c r="U478" s="242"/>
      <c r="V478" s="242"/>
      <c r="W478" s="242"/>
      <c r="X478" s="242"/>
      <c r="Y478" s="242"/>
    </row>
    <row r="479">
      <c r="A479" s="242"/>
      <c r="B479" s="242"/>
      <c r="C479" s="242"/>
      <c r="D479" s="242"/>
      <c r="E479" s="242"/>
      <c r="F479" s="242"/>
      <c r="G479" s="671"/>
      <c r="H479" s="671"/>
      <c r="I479" s="242"/>
      <c r="J479" s="242"/>
      <c r="K479" s="242"/>
      <c r="L479" s="389"/>
      <c r="M479" s="389"/>
      <c r="N479" s="242"/>
      <c r="O479" s="242"/>
      <c r="P479" s="13"/>
      <c r="Q479" s="242"/>
      <c r="R479" s="13"/>
      <c r="S479" s="13"/>
      <c r="T479" s="242"/>
      <c r="U479" s="242"/>
      <c r="V479" s="242"/>
      <c r="W479" s="242"/>
      <c r="X479" s="242"/>
      <c r="Y479" s="242"/>
    </row>
    <row r="480">
      <c r="A480" s="242"/>
      <c r="B480" s="242"/>
      <c r="C480" s="242"/>
      <c r="D480" s="242"/>
      <c r="E480" s="242"/>
      <c r="F480" s="242"/>
      <c r="G480" s="671"/>
      <c r="H480" s="671"/>
      <c r="I480" s="242"/>
      <c r="J480" s="242"/>
      <c r="K480" s="242"/>
      <c r="L480" s="389"/>
      <c r="M480" s="389"/>
      <c r="N480" s="242"/>
      <c r="O480" s="242"/>
      <c r="P480" s="13"/>
      <c r="Q480" s="242"/>
      <c r="R480" s="13"/>
      <c r="S480" s="13"/>
      <c r="T480" s="242"/>
      <c r="U480" s="242"/>
      <c r="V480" s="242"/>
      <c r="W480" s="242"/>
      <c r="X480" s="242"/>
      <c r="Y480" s="242"/>
    </row>
    <row r="481">
      <c r="A481" s="242"/>
      <c r="B481" s="242"/>
      <c r="C481" s="242"/>
      <c r="D481" s="242"/>
      <c r="E481" s="242"/>
      <c r="F481" s="242"/>
      <c r="G481" s="671"/>
      <c r="H481" s="671"/>
      <c r="I481" s="242"/>
      <c r="J481" s="242"/>
      <c r="K481" s="242"/>
      <c r="L481" s="389"/>
      <c r="M481" s="389"/>
      <c r="N481" s="242"/>
      <c r="O481" s="242"/>
      <c r="P481" s="13"/>
      <c r="Q481" s="242"/>
      <c r="R481" s="13"/>
      <c r="S481" s="13"/>
      <c r="T481" s="242"/>
      <c r="U481" s="242"/>
      <c r="V481" s="242"/>
      <c r="W481" s="242"/>
      <c r="X481" s="242"/>
      <c r="Y481" s="242"/>
    </row>
    <row r="482">
      <c r="A482" s="242"/>
      <c r="B482" s="242"/>
      <c r="C482" s="242"/>
      <c r="D482" s="242"/>
      <c r="E482" s="242"/>
      <c r="F482" s="242"/>
      <c r="G482" s="671"/>
      <c r="H482" s="671"/>
      <c r="I482" s="242"/>
      <c r="J482" s="242"/>
      <c r="K482" s="242"/>
      <c r="L482" s="389"/>
      <c r="M482" s="389"/>
      <c r="N482" s="242"/>
      <c r="O482" s="242"/>
      <c r="P482" s="13"/>
      <c r="Q482" s="242"/>
      <c r="R482" s="13"/>
      <c r="S482" s="13"/>
      <c r="T482" s="242"/>
      <c r="U482" s="242"/>
      <c r="V482" s="242"/>
      <c r="W482" s="242"/>
      <c r="X482" s="242"/>
      <c r="Y482" s="242"/>
    </row>
    <row r="483">
      <c r="A483" s="242"/>
      <c r="B483" s="242"/>
      <c r="C483" s="242"/>
      <c r="D483" s="242"/>
      <c r="E483" s="242"/>
      <c r="F483" s="242"/>
      <c r="G483" s="671"/>
      <c r="H483" s="671"/>
      <c r="I483" s="242"/>
      <c r="J483" s="242"/>
      <c r="K483" s="242"/>
      <c r="L483" s="389"/>
      <c r="M483" s="389"/>
      <c r="N483" s="242"/>
      <c r="O483" s="242"/>
      <c r="P483" s="13"/>
      <c r="Q483" s="242"/>
      <c r="R483" s="13"/>
      <c r="S483" s="13"/>
      <c r="T483" s="242"/>
      <c r="U483" s="242"/>
      <c r="V483" s="242"/>
      <c r="W483" s="242"/>
      <c r="X483" s="242"/>
      <c r="Y483" s="242"/>
    </row>
    <row r="484">
      <c r="A484" s="242"/>
      <c r="B484" s="242"/>
      <c r="C484" s="242"/>
      <c r="D484" s="242"/>
      <c r="E484" s="242"/>
      <c r="F484" s="242"/>
      <c r="G484" s="671"/>
      <c r="H484" s="671"/>
      <c r="I484" s="242"/>
      <c r="J484" s="242"/>
      <c r="K484" s="242"/>
      <c r="L484" s="389"/>
      <c r="M484" s="389"/>
      <c r="N484" s="242"/>
      <c r="O484" s="242"/>
      <c r="P484" s="13"/>
      <c r="Q484" s="242"/>
      <c r="R484" s="13"/>
      <c r="S484" s="13"/>
      <c r="T484" s="242"/>
      <c r="U484" s="242"/>
      <c r="V484" s="242"/>
      <c r="W484" s="242"/>
      <c r="X484" s="242"/>
      <c r="Y484" s="242"/>
    </row>
    <row r="485">
      <c r="A485" s="242"/>
      <c r="B485" s="242"/>
      <c r="C485" s="242"/>
      <c r="D485" s="242"/>
      <c r="E485" s="242"/>
      <c r="F485" s="242"/>
      <c r="G485" s="671"/>
      <c r="H485" s="671"/>
      <c r="I485" s="242"/>
      <c r="J485" s="242"/>
      <c r="K485" s="242"/>
      <c r="L485" s="389"/>
      <c r="M485" s="389"/>
      <c r="N485" s="242"/>
      <c r="O485" s="242"/>
      <c r="P485" s="13"/>
      <c r="Q485" s="242"/>
      <c r="R485" s="13"/>
      <c r="S485" s="13"/>
      <c r="T485" s="242"/>
      <c r="U485" s="242"/>
      <c r="V485" s="242"/>
      <c r="W485" s="242"/>
      <c r="X485" s="242"/>
      <c r="Y485" s="242"/>
    </row>
    <row r="486">
      <c r="A486" s="242"/>
      <c r="B486" s="242"/>
      <c r="C486" s="242"/>
      <c r="D486" s="242"/>
      <c r="E486" s="242"/>
      <c r="F486" s="242"/>
      <c r="G486" s="671"/>
      <c r="H486" s="671"/>
      <c r="I486" s="242"/>
      <c r="J486" s="242"/>
      <c r="K486" s="242"/>
      <c r="L486" s="389"/>
      <c r="M486" s="389"/>
      <c r="N486" s="242"/>
      <c r="O486" s="242"/>
      <c r="P486" s="13"/>
      <c r="Q486" s="242"/>
      <c r="R486" s="13"/>
      <c r="S486" s="13"/>
      <c r="T486" s="242"/>
      <c r="U486" s="242"/>
      <c r="V486" s="242"/>
      <c r="W486" s="242"/>
      <c r="X486" s="242"/>
      <c r="Y486" s="242"/>
    </row>
    <row r="487">
      <c r="A487" s="242"/>
      <c r="B487" s="242"/>
      <c r="C487" s="242"/>
      <c r="D487" s="242"/>
      <c r="E487" s="242"/>
      <c r="F487" s="242"/>
      <c r="G487" s="671"/>
      <c r="H487" s="671"/>
      <c r="I487" s="242"/>
      <c r="J487" s="242"/>
      <c r="K487" s="242"/>
      <c r="L487" s="389"/>
      <c r="M487" s="389"/>
      <c r="N487" s="242"/>
      <c r="O487" s="242"/>
      <c r="P487" s="13"/>
      <c r="Q487" s="242"/>
      <c r="R487" s="13"/>
      <c r="S487" s="13"/>
      <c r="T487" s="242"/>
      <c r="U487" s="242"/>
      <c r="V487" s="242"/>
      <c r="W487" s="242"/>
      <c r="X487" s="242"/>
      <c r="Y487" s="242"/>
    </row>
    <row r="488">
      <c r="A488" s="242"/>
      <c r="B488" s="242"/>
      <c r="C488" s="242"/>
      <c r="D488" s="242"/>
      <c r="E488" s="242"/>
      <c r="F488" s="242"/>
      <c r="G488" s="671"/>
      <c r="H488" s="671"/>
      <c r="I488" s="242"/>
      <c r="J488" s="242"/>
      <c r="K488" s="242"/>
      <c r="L488" s="389"/>
      <c r="M488" s="389"/>
      <c r="N488" s="242"/>
      <c r="O488" s="242"/>
      <c r="P488" s="13"/>
      <c r="Q488" s="242"/>
      <c r="R488" s="13"/>
      <c r="S488" s="13"/>
      <c r="T488" s="242"/>
      <c r="U488" s="242"/>
      <c r="V488" s="242"/>
      <c r="W488" s="242"/>
      <c r="X488" s="242"/>
      <c r="Y488" s="242"/>
    </row>
    <row r="489">
      <c r="A489" s="242"/>
      <c r="B489" s="242"/>
      <c r="C489" s="242"/>
      <c r="D489" s="242"/>
      <c r="E489" s="242"/>
      <c r="F489" s="242"/>
      <c r="G489" s="671"/>
      <c r="H489" s="671"/>
      <c r="I489" s="242"/>
      <c r="J489" s="242"/>
      <c r="K489" s="242"/>
      <c r="L489" s="389"/>
      <c r="M489" s="389"/>
      <c r="N489" s="242"/>
      <c r="O489" s="242"/>
      <c r="P489" s="13"/>
      <c r="Q489" s="242"/>
      <c r="R489" s="13"/>
      <c r="S489" s="13"/>
      <c r="T489" s="242"/>
      <c r="U489" s="242"/>
      <c r="V489" s="242"/>
      <c r="W489" s="242"/>
      <c r="X489" s="242"/>
      <c r="Y489" s="242"/>
    </row>
    <row r="490">
      <c r="A490" s="242"/>
      <c r="B490" s="242"/>
      <c r="C490" s="242"/>
      <c r="D490" s="242"/>
      <c r="E490" s="242"/>
      <c r="F490" s="242"/>
      <c r="G490" s="671"/>
      <c r="H490" s="671"/>
      <c r="I490" s="242"/>
      <c r="J490" s="242"/>
      <c r="K490" s="242"/>
      <c r="L490" s="389"/>
      <c r="M490" s="389"/>
      <c r="N490" s="242"/>
      <c r="O490" s="242"/>
      <c r="P490" s="13"/>
      <c r="Q490" s="242"/>
      <c r="R490" s="13"/>
      <c r="S490" s="13"/>
      <c r="T490" s="242"/>
      <c r="U490" s="242"/>
      <c r="V490" s="242"/>
      <c r="W490" s="242"/>
      <c r="X490" s="242"/>
      <c r="Y490" s="242"/>
    </row>
    <row r="491">
      <c r="A491" s="242"/>
      <c r="B491" s="242"/>
      <c r="C491" s="242"/>
      <c r="D491" s="242"/>
      <c r="E491" s="242"/>
      <c r="F491" s="242"/>
      <c r="G491" s="671"/>
      <c r="H491" s="671"/>
      <c r="I491" s="242"/>
      <c r="J491" s="242"/>
      <c r="K491" s="242"/>
      <c r="L491" s="389"/>
      <c r="M491" s="389"/>
      <c r="N491" s="242"/>
      <c r="O491" s="242"/>
      <c r="P491" s="13"/>
      <c r="Q491" s="242"/>
      <c r="R491" s="13"/>
      <c r="S491" s="13"/>
      <c r="T491" s="242"/>
      <c r="U491" s="242"/>
      <c r="V491" s="242"/>
      <c r="W491" s="242"/>
      <c r="X491" s="242"/>
      <c r="Y491" s="242"/>
    </row>
    <row r="492">
      <c r="A492" s="242"/>
      <c r="B492" s="242"/>
      <c r="C492" s="242"/>
      <c r="D492" s="242"/>
      <c r="E492" s="242"/>
      <c r="F492" s="242"/>
      <c r="G492" s="671"/>
      <c r="H492" s="671"/>
      <c r="I492" s="242"/>
      <c r="J492" s="242"/>
      <c r="K492" s="242"/>
      <c r="L492" s="389"/>
      <c r="M492" s="389"/>
      <c r="N492" s="242"/>
      <c r="O492" s="242"/>
      <c r="P492" s="13"/>
      <c r="Q492" s="242"/>
      <c r="R492" s="13"/>
      <c r="S492" s="13"/>
      <c r="T492" s="242"/>
      <c r="U492" s="242"/>
      <c r="V492" s="242"/>
      <c r="W492" s="242"/>
      <c r="X492" s="242"/>
      <c r="Y492" s="242"/>
    </row>
    <row r="493">
      <c r="A493" s="242"/>
      <c r="B493" s="242"/>
      <c r="C493" s="242"/>
      <c r="D493" s="242"/>
      <c r="E493" s="242"/>
      <c r="F493" s="242"/>
      <c r="G493" s="671"/>
      <c r="H493" s="671"/>
      <c r="I493" s="242"/>
      <c r="J493" s="242"/>
      <c r="K493" s="242"/>
      <c r="L493" s="389"/>
      <c r="M493" s="389"/>
      <c r="N493" s="242"/>
      <c r="O493" s="242"/>
      <c r="P493" s="13"/>
      <c r="Q493" s="242"/>
      <c r="R493" s="13"/>
      <c r="S493" s="13"/>
      <c r="T493" s="242"/>
      <c r="U493" s="242"/>
      <c r="V493" s="242"/>
      <c r="W493" s="242"/>
      <c r="X493" s="242"/>
      <c r="Y493" s="242"/>
    </row>
    <row r="494">
      <c r="A494" s="242"/>
      <c r="B494" s="242"/>
      <c r="C494" s="242"/>
      <c r="D494" s="242"/>
      <c r="E494" s="242"/>
      <c r="F494" s="242"/>
      <c r="G494" s="671"/>
      <c r="H494" s="671"/>
      <c r="I494" s="242"/>
      <c r="J494" s="242"/>
      <c r="K494" s="242"/>
      <c r="L494" s="389"/>
      <c r="M494" s="389"/>
      <c r="N494" s="242"/>
      <c r="O494" s="242"/>
      <c r="P494" s="13"/>
      <c r="Q494" s="242"/>
      <c r="R494" s="13"/>
      <c r="S494" s="13"/>
      <c r="T494" s="242"/>
      <c r="U494" s="242"/>
      <c r="V494" s="242"/>
      <c r="W494" s="242"/>
      <c r="X494" s="242"/>
      <c r="Y494" s="242"/>
    </row>
    <row r="495">
      <c r="A495" s="242"/>
      <c r="B495" s="242"/>
      <c r="C495" s="242"/>
      <c r="D495" s="242"/>
      <c r="E495" s="242"/>
      <c r="F495" s="242"/>
      <c r="G495" s="671"/>
      <c r="H495" s="671"/>
      <c r="I495" s="242"/>
      <c r="J495" s="242"/>
      <c r="K495" s="242"/>
      <c r="L495" s="389"/>
      <c r="M495" s="389"/>
      <c r="N495" s="242"/>
      <c r="O495" s="242"/>
      <c r="P495" s="13"/>
      <c r="Q495" s="242"/>
      <c r="R495" s="13"/>
      <c r="S495" s="13"/>
      <c r="T495" s="242"/>
      <c r="U495" s="242"/>
      <c r="V495" s="242"/>
      <c r="W495" s="242"/>
      <c r="X495" s="242"/>
      <c r="Y495" s="242"/>
    </row>
    <row r="496">
      <c r="A496" s="242"/>
      <c r="B496" s="242"/>
      <c r="C496" s="242"/>
      <c r="D496" s="242"/>
      <c r="E496" s="242"/>
      <c r="F496" s="242"/>
      <c r="G496" s="671"/>
      <c r="H496" s="671"/>
      <c r="I496" s="242"/>
      <c r="J496" s="242"/>
      <c r="K496" s="242"/>
      <c r="L496" s="389"/>
      <c r="M496" s="389"/>
      <c r="N496" s="242"/>
      <c r="O496" s="242"/>
      <c r="P496" s="13"/>
      <c r="Q496" s="242"/>
      <c r="R496" s="13"/>
      <c r="S496" s="13"/>
      <c r="T496" s="242"/>
      <c r="U496" s="242"/>
      <c r="V496" s="242"/>
      <c r="W496" s="242"/>
      <c r="X496" s="242"/>
      <c r="Y496" s="242"/>
    </row>
    <row r="497">
      <c r="A497" s="242"/>
      <c r="B497" s="242"/>
      <c r="C497" s="242"/>
      <c r="D497" s="242"/>
      <c r="E497" s="242"/>
      <c r="F497" s="242"/>
      <c r="G497" s="671"/>
      <c r="H497" s="671"/>
      <c r="I497" s="242"/>
      <c r="J497" s="242"/>
      <c r="K497" s="242"/>
      <c r="L497" s="389"/>
      <c r="M497" s="389"/>
      <c r="N497" s="242"/>
      <c r="O497" s="242"/>
      <c r="P497" s="13"/>
      <c r="Q497" s="242"/>
      <c r="R497" s="13"/>
      <c r="S497" s="13"/>
      <c r="T497" s="242"/>
      <c r="U497" s="242"/>
      <c r="V497" s="242"/>
      <c r="W497" s="242"/>
      <c r="X497" s="242"/>
      <c r="Y497" s="242"/>
    </row>
    <row r="498">
      <c r="A498" s="242"/>
      <c r="B498" s="242"/>
      <c r="C498" s="242"/>
      <c r="D498" s="242"/>
      <c r="E498" s="242"/>
      <c r="F498" s="242"/>
      <c r="G498" s="671"/>
      <c r="H498" s="671"/>
      <c r="I498" s="242"/>
      <c r="J498" s="242"/>
      <c r="K498" s="242"/>
      <c r="L498" s="389"/>
      <c r="M498" s="389"/>
      <c r="N498" s="242"/>
      <c r="O498" s="242"/>
      <c r="P498" s="13"/>
      <c r="Q498" s="242"/>
      <c r="R498" s="13"/>
      <c r="S498" s="13"/>
      <c r="T498" s="242"/>
      <c r="U498" s="242"/>
      <c r="V498" s="242"/>
      <c r="W498" s="242"/>
      <c r="X498" s="242"/>
      <c r="Y498" s="242"/>
    </row>
    <row r="499">
      <c r="A499" s="242"/>
      <c r="B499" s="242"/>
      <c r="C499" s="242"/>
      <c r="D499" s="242"/>
      <c r="E499" s="242"/>
      <c r="F499" s="242"/>
      <c r="G499" s="671"/>
      <c r="H499" s="671"/>
      <c r="I499" s="242"/>
      <c r="J499" s="242"/>
      <c r="K499" s="242"/>
      <c r="L499" s="389"/>
      <c r="M499" s="389"/>
      <c r="N499" s="242"/>
      <c r="O499" s="242"/>
      <c r="P499" s="13"/>
      <c r="Q499" s="242"/>
      <c r="R499" s="13"/>
      <c r="S499" s="13"/>
      <c r="T499" s="242"/>
      <c r="U499" s="242"/>
      <c r="V499" s="242"/>
      <c r="W499" s="242"/>
      <c r="X499" s="242"/>
      <c r="Y499" s="242"/>
    </row>
    <row r="500">
      <c r="A500" s="242"/>
      <c r="B500" s="242"/>
      <c r="C500" s="242"/>
      <c r="D500" s="242"/>
      <c r="E500" s="242"/>
      <c r="F500" s="242"/>
      <c r="G500" s="671"/>
      <c r="H500" s="671"/>
      <c r="I500" s="242"/>
      <c r="J500" s="242"/>
      <c r="K500" s="242"/>
      <c r="L500" s="389"/>
      <c r="M500" s="389"/>
      <c r="N500" s="242"/>
      <c r="O500" s="242"/>
      <c r="P500" s="13"/>
      <c r="Q500" s="242"/>
      <c r="R500" s="13"/>
      <c r="S500" s="13"/>
      <c r="T500" s="242"/>
      <c r="U500" s="242"/>
      <c r="V500" s="242"/>
      <c r="W500" s="242"/>
      <c r="X500" s="242"/>
      <c r="Y500" s="242"/>
    </row>
    <row r="501">
      <c r="A501" s="242"/>
      <c r="B501" s="242"/>
      <c r="C501" s="242"/>
      <c r="D501" s="242"/>
      <c r="E501" s="242"/>
      <c r="F501" s="242"/>
      <c r="G501" s="671"/>
      <c r="H501" s="671"/>
      <c r="I501" s="242"/>
      <c r="J501" s="242"/>
      <c r="K501" s="242"/>
      <c r="L501" s="389"/>
      <c r="M501" s="389"/>
      <c r="N501" s="242"/>
      <c r="O501" s="242"/>
      <c r="P501" s="13"/>
      <c r="Q501" s="242"/>
      <c r="R501" s="13"/>
      <c r="S501" s="13"/>
      <c r="T501" s="242"/>
      <c r="U501" s="242"/>
      <c r="V501" s="242"/>
      <c r="W501" s="242"/>
      <c r="X501" s="242"/>
      <c r="Y501" s="242"/>
    </row>
    <row r="502">
      <c r="A502" s="242"/>
      <c r="B502" s="242"/>
      <c r="C502" s="242"/>
      <c r="D502" s="242"/>
      <c r="E502" s="242"/>
      <c r="F502" s="242"/>
      <c r="G502" s="671"/>
      <c r="H502" s="671"/>
      <c r="I502" s="242"/>
      <c r="J502" s="242"/>
      <c r="K502" s="242"/>
      <c r="L502" s="389"/>
      <c r="M502" s="389"/>
      <c r="N502" s="242"/>
      <c r="O502" s="242"/>
      <c r="P502" s="13"/>
      <c r="Q502" s="242"/>
      <c r="R502" s="13"/>
      <c r="S502" s="13"/>
      <c r="T502" s="242"/>
      <c r="U502" s="242"/>
      <c r="V502" s="242"/>
      <c r="W502" s="242"/>
      <c r="X502" s="242"/>
      <c r="Y502" s="242"/>
    </row>
    <row r="503">
      <c r="A503" s="242"/>
      <c r="B503" s="242"/>
      <c r="C503" s="242"/>
      <c r="D503" s="242"/>
      <c r="E503" s="242"/>
      <c r="F503" s="242"/>
      <c r="G503" s="671"/>
      <c r="H503" s="671"/>
      <c r="I503" s="242"/>
      <c r="J503" s="242"/>
      <c r="K503" s="242"/>
      <c r="L503" s="389"/>
      <c r="M503" s="389"/>
      <c r="N503" s="242"/>
      <c r="O503" s="242"/>
      <c r="P503" s="13"/>
      <c r="Q503" s="242"/>
      <c r="R503" s="13"/>
      <c r="S503" s="13"/>
      <c r="T503" s="242"/>
      <c r="U503" s="242"/>
      <c r="V503" s="242"/>
      <c r="W503" s="242"/>
      <c r="X503" s="242"/>
      <c r="Y503" s="242"/>
    </row>
    <row r="504">
      <c r="A504" s="242"/>
      <c r="B504" s="242"/>
      <c r="C504" s="242"/>
      <c r="D504" s="242"/>
      <c r="E504" s="242"/>
      <c r="F504" s="242"/>
      <c r="G504" s="671"/>
      <c r="H504" s="671"/>
      <c r="I504" s="242"/>
      <c r="J504" s="242"/>
      <c r="K504" s="242"/>
      <c r="L504" s="389"/>
      <c r="M504" s="389"/>
      <c r="N504" s="242"/>
      <c r="O504" s="242"/>
      <c r="P504" s="13"/>
      <c r="Q504" s="242"/>
      <c r="R504" s="13"/>
      <c r="S504" s="13"/>
      <c r="T504" s="242"/>
      <c r="U504" s="242"/>
      <c r="V504" s="242"/>
      <c r="W504" s="242"/>
      <c r="X504" s="242"/>
      <c r="Y504" s="242"/>
    </row>
    <row r="505">
      <c r="A505" s="242"/>
      <c r="B505" s="242"/>
      <c r="C505" s="242"/>
      <c r="D505" s="242"/>
      <c r="E505" s="242"/>
      <c r="F505" s="242"/>
      <c r="G505" s="671"/>
      <c r="H505" s="671"/>
      <c r="I505" s="242"/>
      <c r="J505" s="242"/>
      <c r="K505" s="242"/>
      <c r="L505" s="389"/>
      <c r="M505" s="389"/>
      <c r="N505" s="242"/>
      <c r="O505" s="242"/>
      <c r="P505" s="13"/>
      <c r="Q505" s="242"/>
      <c r="R505" s="13"/>
      <c r="S505" s="13"/>
      <c r="T505" s="242"/>
      <c r="U505" s="242"/>
      <c r="V505" s="242"/>
      <c r="W505" s="242"/>
      <c r="X505" s="242"/>
      <c r="Y505" s="242"/>
    </row>
    <row r="506">
      <c r="A506" s="242"/>
      <c r="B506" s="242"/>
      <c r="C506" s="242"/>
      <c r="D506" s="242"/>
      <c r="E506" s="242"/>
      <c r="F506" s="242"/>
      <c r="G506" s="671"/>
      <c r="H506" s="671"/>
      <c r="I506" s="242"/>
      <c r="J506" s="242"/>
      <c r="K506" s="242"/>
      <c r="L506" s="389"/>
      <c r="M506" s="389"/>
      <c r="N506" s="242"/>
      <c r="O506" s="242"/>
      <c r="P506" s="13"/>
      <c r="Q506" s="242"/>
      <c r="R506" s="13"/>
      <c r="S506" s="13"/>
      <c r="T506" s="242"/>
      <c r="U506" s="242"/>
      <c r="V506" s="242"/>
      <c r="W506" s="242"/>
      <c r="X506" s="242"/>
      <c r="Y506" s="242"/>
    </row>
    <row r="507">
      <c r="A507" s="242"/>
      <c r="B507" s="242"/>
      <c r="C507" s="242"/>
      <c r="D507" s="242"/>
      <c r="E507" s="242"/>
      <c r="F507" s="242"/>
      <c r="G507" s="671"/>
      <c r="H507" s="671"/>
      <c r="I507" s="242"/>
      <c r="J507" s="242"/>
      <c r="K507" s="242"/>
      <c r="L507" s="389"/>
      <c r="M507" s="389"/>
      <c r="N507" s="242"/>
      <c r="O507" s="242"/>
      <c r="P507" s="13"/>
      <c r="Q507" s="242"/>
      <c r="R507" s="13"/>
      <c r="S507" s="13"/>
      <c r="T507" s="242"/>
      <c r="U507" s="242"/>
      <c r="V507" s="242"/>
      <c r="W507" s="242"/>
      <c r="X507" s="242"/>
      <c r="Y507" s="242"/>
    </row>
    <row r="508">
      <c r="A508" s="242"/>
      <c r="B508" s="242"/>
      <c r="C508" s="242"/>
      <c r="D508" s="242"/>
      <c r="E508" s="242"/>
      <c r="F508" s="242"/>
      <c r="G508" s="671"/>
      <c r="H508" s="671"/>
      <c r="I508" s="242"/>
      <c r="J508" s="242"/>
      <c r="K508" s="242"/>
      <c r="L508" s="389"/>
      <c r="M508" s="389"/>
      <c r="N508" s="242"/>
      <c r="O508" s="242"/>
      <c r="P508" s="13"/>
      <c r="Q508" s="242"/>
      <c r="R508" s="13"/>
      <c r="S508" s="13"/>
      <c r="T508" s="242"/>
      <c r="U508" s="242"/>
      <c r="V508" s="242"/>
      <c r="W508" s="242"/>
      <c r="X508" s="242"/>
      <c r="Y508" s="242"/>
    </row>
    <row r="509">
      <c r="A509" s="242"/>
      <c r="B509" s="242"/>
      <c r="C509" s="242"/>
      <c r="D509" s="242"/>
      <c r="E509" s="242"/>
      <c r="F509" s="242"/>
      <c r="G509" s="671"/>
      <c r="H509" s="671"/>
      <c r="I509" s="242"/>
      <c r="J509" s="242"/>
      <c r="K509" s="242"/>
      <c r="L509" s="389"/>
      <c r="M509" s="389"/>
      <c r="N509" s="242"/>
      <c r="O509" s="242"/>
      <c r="P509" s="13"/>
      <c r="Q509" s="242"/>
      <c r="R509" s="13"/>
      <c r="S509" s="13"/>
      <c r="T509" s="242"/>
      <c r="U509" s="242"/>
      <c r="V509" s="242"/>
      <c r="W509" s="242"/>
      <c r="X509" s="242"/>
      <c r="Y509" s="242"/>
    </row>
    <row r="510">
      <c r="A510" s="242"/>
      <c r="B510" s="242"/>
      <c r="C510" s="242"/>
      <c r="D510" s="242"/>
      <c r="E510" s="242"/>
      <c r="F510" s="242"/>
      <c r="G510" s="671"/>
      <c r="H510" s="671"/>
      <c r="I510" s="242"/>
      <c r="J510" s="242"/>
      <c r="K510" s="242"/>
      <c r="L510" s="389"/>
      <c r="M510" s="389"/>
      <c r="N510" s="242"/>
      <c r="O510" s="242"/>
      <c r="P510" s="13"/>
      <c r="Q510" s="242"/>
      <c r="R510" s="13"/>
      <c r="S510" s="13"/>
      <c r="T510" s="242"/>
      <c r="U510" s="242"/>
      <c r="V510" s="242"/>
      <c r="W510" s="242"/>
      <c r="X510" s="242"/>
      <c r="Y510" s="242"/>
    </row>
    <row r="511">
      <c r="A511" s="242"/>
      <c r="B511" s="242"/>
      <c r="C511" s="242"/>
      <c r="D511" s="242"/>
      <c r="E511" s="242"/>
      <c r="F511" s="242"/>
      <c r="G511" s="671"/>
      <c r="H511" s="671"/>
      <c r="I511" s="242"/>
      <c r="J511" s="242"/>
      <c r="K511" s="242"/>
      <c r="L511" s="389"/>
      <c r="M511" s="389"/>
      <c r="N511" s="242"/>
      <c r="O511" s="242"/>
      <c r="P511" s="13"/>
      <c r="Q511" s="242"/>
      <c r="R511" s="13"/>
      <c r="S511" s="13"/>
      <c r="T511" s="242"/>
      <c r="U511" s="242"/>
      <c r="V511" s="242"/>
      <c r="W511" s="242"/>
      <c r="X511" s="242"/>
      <c r="Y511" s="242"/>
    </row>
    <row r="512">
      <c r="A512" s="242"/>
      <c r="B512" s="242"/>
      <c r="C512" s="242"/>
      <c r="D512" s="242"/>
      <c r="E512" s="242"/>
      <c r="F512" s="242"/>
      <c r="G512" s="671"/>
      <c r="H512" s="671"/>
      <c r="I512" s="242"/>
      <c r="J512" s="242"/>
      <c r="K512" s="242"/>
      <c r="L512" s="389"/>
      <c r="M512" s="389"/>
      <c r="N512" s="242"/>
      <c r="O512" s="242"/>
      <c r="P512" s="13"/>
      <c r="Q512" s="242"/>
      <c r="R512" s="13"/>
      <c r="S512" s="13"/>
      <c r="T512" s="242"/>
      <c r="U512" s="242"/>
      <c r="V512" s="242"/>
      <c r="W512" s="242"/>
      <c r="X512" s="242"/>
      <c r="Y512" s="242"/>
    </row>
    <row r="513">
      <c r="A513" s="242"/>
      <c r="B513" s="242"/>
      <c r="C513" s="242"/>
      <c r="D513" s="242"/>
      <c r="E513" s="242"/>
      <c r="F513" s="242"/>
      <c r="G513" s="671"/>
      <c r="H513" s="671"/>
      <c r="I513" s="242"/>
      <c r="J513" s="242"/>
      <c r="K513" s="242"/>
      <c r="L513" s="389"/>
      <c r="M513" s="389"/>
      <c r="N513" s="242"/>
      <c r="O513" s="242"/>
      <c r="P513" s="13"/>
      <c r="Q513" s="242"/>
      <c r="R513" s="13"/>
      <c r="S513" s="13"/>
      <c r="T513" s="242"/>
      <c r="U513" s="242"/>
      <c r="V513" s="242"/>
      <c r="W513" s="242"/>
      <c r="X513" s="242"/>
      <c r="Y513" s="242"/>
    </row>
    <row r="514">
      <c r="A514" s="242"/>
      <c r="B514" s="242"/>
      <c r="C514" s="242"/>
      <c r="D514" s="242"/>
      <c r="E514" s="242"/>
      <c r="F514" s="242"/>
      <c r="G514" s="671"/>
      <c r="H514" s="671"/>
      <c r="I514" s="242"/>
      <c r="J514" s="242"/>
      <c r="K514" s="242"/>
      <c r="L514" s="389"/>
      <c r="M514" s="389"/>
      <c r="N514" s="242"/>
      <c r="O514" s="242"/>
      <c r="P514" s="13"/>
      <c r="Q514" s="242"/>
      <c r="R514" s="13"/>
      <c r="S514" s="13"/>
      <c r="T514" s="242"/>
      <c r="U514" s="242"/>
      <c r="V514" s="242"/>
      <c r="W514" s="242"/>
      <c r="X514" s="242"/>
      <c r="Y514" s="242"/>
    </row>
    <row r="515">
      <c r="A515" s="242"/>
      <c r="B515" s="242"/>
      <c r="C515" s="242"/>
      <c r="D515" s="242"/>
      <c r="E515" s="242"/>
      <c r="F515" s="242"/>
      <c r="G515" s="671"/>
      <c r="H515" s="671"/>
      <c r="I515" s="242"/>
      <c r="J515" s="242"/>
      <c r="K515" s="242"/>
      <c r="L515" s="389"/>
      <c r="M515" s="389"/>
      <c r="N515" s="242"/>
      <c r="O515" s="242"/>
      <c r="P515" s="13"/>
      <c r="Q515" s="242"/>
      <c r="R515" s="13"/>
      <c r="S515" s="13"/>
      <c r="T515" s="242"/>
      <c r="U515" s="242"/>
      <c r="V515" s="242"/>
      <c r="W515" s="242"/>
      <c r="X515" s="242"/>
      <c r="Y515" s="242"/>
    </row>
    <row r="516">
      <c r="A516" s="242"/>
      <c r="B516" s="242"/>
      <c r="C516" s="242"/>
      <c r="D516" s="242"/>
      <c r="E516" s="242"/>
      <c r="F516" s="242"/>
      <c r="G516" s="671"/>
      <c r="H516" s="671"/>
      <c r="I516" s="242"/>
      <c r="J516" s="242"/>
      <c r="K516" s="242"/>
      <c r="L516" s="389"/>
      <c r="M516" s="389"/>
      <c r="N516" s="242"/>
      <c r="O516" s="242"/>
      <c r="P516" s="13"/>
      <c r="Q516" s="242"/>
      <c r="R516" s="13"/>
      <c r="S516" s="13"/>
      <c r="T516" s="242"/>
      <c r="U516" s="242"/>
      <c r="V516" s="242"/>
      <c r="W516" s="242"/>
      <c r="X516" s="242"/>
      <c r="Y516" s="242"/>
    </row>
    <row r="517">
      <c r="A517" s="242"/>
      <c r="B517" s="242"/>
      <c r="C517" s="242"/>
      <c r="D517" s="242"/>
      <c r="E517" s="242"/>
      <c r="F517" s="242"/>
      <c r="G517" s="671"/>
      <c r="H517" s="671"/>
      <c r="I517" s="242"/>
      <c r="J517" s="242"/>
      <c r="K517" s="242"/>
      <c r="L517" s="389"/>
      <c r="M517" s="389"/>
      <c r="N517" s="242"/>
      <c r="O517" s="242"/>
      <c r="P517" s="13"/>
      <c r="Q517" s="242"/>
      <c r="R517" s="13"/>
      <c r="S517" s="13"/>
      <c r="T517" s="242"/>
      <c r="U517" s="242"/>
      <c r="V517" s="242"/>
      <c r="W517" s="242"/>
      <c r="X517" s="242"/>
      <c r="Y517" s="242"/>
    </row>
    <row r="518">
      <c r="A518" s="242"/>
      <c r="B518" s="242"/>
      <c r="C518" s="242"/>
      <c r="D518" s="242"/>
      <c r="E518" s="242"/>
      <c r="F518" s="242"/>
      <c r="G518" s="671"/>
      <c r="H518" s="671"/>
      <c r="I518" s="242"/>
      <c r="J518" s="242"/>
      <c r="K518" s="242"/>
      <c r="L518" s="389"/>
      <c r="M518" s="389"/>
      <c r="N518" s="242"/>
      <c r="O518" s="242"/>
      <c r="P518" s="13"/>
      <c r="Q518" s="242"/>
      <c r="R518" s="13"/>
      <c r="S518" s="13"/>
      <c r="T518" s="242"/>
      <c r="U518" s="242"/>
      <c r="V518" s="242"/>
      <c r="W518" s="242"/>
      <c r="X518" s="242"/>
      <c r="Y518" s="242"/>
    </row>
    <row r="519">
      <c r="A519" s="242"/>
      <c r="B519" s="242"/>
      <c r="C519" s="242"/>
      <c r="D519" s="242"/>
      <c r="E519" s="242"/>
      <c r="F519" s="242"/>
      <c r="G519" s="671"/>
      <c r="H519" s="671"/>
      <c r="I519" s="242"/>
      <c r="J519" s="242"/>
      <c r="K519" s="242"/>
      <c r="L519" s="389"/>
      <c r="M519" s="389"/>
      <c r="N519" s="242"/>
      <c r="O519" s="242"/>
      <c r="P519" s="13"/>
      <c r="Q519" s="242"/>
      <c r="R519" s="13"/>
      <c r="S519" s="13"/>
      <c r="T519" s="242"/>
      <c r="U519" s="242"/>
      <c r="V519" s="242"/>
      <c r="W519" s="242"/>
      <c r="X519" s="242"/>
      <c r="Y519" s="242"/>
    </row>
    <row r="520">
      <c r="A520" s="242"/>
      <c r="B520" s="242"/>
      <c r="C520" s="242"/>
      <c r="D520" s="242"/>
      <c r="E520" s="242"/>
      <c r="F520" s="242"/>
      <c r="G520" s="671"/>
      <c r="H520" s="671"/>
      <c r="I520" s="242"/>
      <c r="J520" s="242"/>
      <c r="K520" s="242"/>
      <c r="L520" s="389"/>
      <c r="M520" s="389"/>
      <c r="N520" s="242"/>
      <c r="O520" s="242"/>
      <c r="P520" s="13"/>
      <c r="Q520" s="242"/>
      <c r="R520" s="13"/>
      <c r="S520" s="13"/>
      <c r="T520" s="242"/>
      <c r="U520" s="242"/>
      <c r="V520" s="242"/>
      <c r="W520" s="242"/>
      <c r="X520" s="242"/>
      <c r="Y520" s="242"/>
    </row>
    <row r="521">
      <c r="A521" s="242"/>
      <c r="B521" s="242"/>
      <c r="C521" s="242"/>
      <c r="D521" s="242"/>
      <c r="E521" s="242"/>
      <c r="F521" s="242"/>
      <c r="G521" s="671"/>
      <c r="H521" s="671"/>
      <c r="I521" s="242"/>
      <c r="J521" s="242"/>
      <c r="K521" s="242"/>
      <c r="L521" s="389"/>
      <c r="M521" s="389"/>
      <c r="N521" s="242"/>
      <c r="O521" s="242"/>
      <c r="P521" s="13"/>
      <c r="Q521" s="242"/>
      <c r="R521" s="13"/>
      <c r="S521" s="13"/>
      <c r="T521" s="242"/>
      <c r="U521" s="242"/>
      <c r="V521" s="242"/>
      <c r="W521" s="242"/>
      <c r="X521" s="242"/>
      <c r="Y521" s="242"/>
    </row>
    <row r="522">
      <c r="A522" s="242"/>
      <c r="B522" s="242"/>
      <c r="C522" s="242"/>
      <c r="D522" s="242"/>
      <c r="E522" s="242"/>
      <c r="F522" s="242"/>
      <c r="G522" s="671"/>
      <c r="H522" s="671"/>
      <c r="I522" s="242"/>
      <c r="J522" s="242"/>
      <c r="K522" s="242"/>
      <c r="L522" s="389"/>
      <c r="M522" s="389"/>
      <c r="N522" s="242"/>
      <c r="O522" s="242"/>
      <c r="P522" s="13"/>
      <c r="Q522" s="242"/>
      <c r="R522" s="13"/>
      <c r="S522" s="13"/>
      <c r="T522" s="242"/>
      <c r="U522" s="242"/>
      <c r="V522" s="242"/>
      <c r="W522" s="242"/>
      <c r="X522" s="242"/>
      <c r="Y522" s="242"/>
    </row>
    <row r="523">
      <c r="A523" s="242"/>
      <c r="B523" s="242"/>
      <c r="C523" s="242"/>
      <c r="D523" s="242"/>
      <c r="E523" s="242"/>
      <c r="F523" s="242"/>
      <c r="G523" s="671"/>
      <c r="H523" s="671"/>
      <c r="I523" s="242"/>
      <c r="J523" s="242"/>
      <c r="K523" s="242"/>
      <c r="L523" s="389"/>
      <c r="M523" s="389"/>
      <c r="N523" s="242"/>
      <c r="O523" s="242"/>
      <c r="P523" s="13"/>
      <c r="Q523" s="242"/>
      <c r="R523" s="13"/>
      <c r="S523" s="13"/>
      <c r="T523" s="242"/>
      <c r="U523" s="242"/>
      <c r="V523" s="242"/>
      <c r="W523" s="242"/>
      <c r="X523" s="242"/>
      <c r="Y523" s="242"/>
    </row>
    <row r="524">
      <c r="A524" s="242"/>
      <c r="B524" s="242"/>
      <c r="C524" s="242"/>
      <c r="D524" s="242"/>
      <c r="E524" s="242"/>
      <c r="F524" s="242"/>
      <c r="G524" s="671"/>
      <c r="H524" s="671"/>
      <c r="I524" s="242"/>
      <c r="J524" s="242"/>
      <c r="K524" s="242"/>
      <c r="L524" s="389"/>
      <c r="M524" s="389"/>
      <c r="N524" s="242"/>
      <c r="O524" s="242"/>
      <c r="P524" s="13"/>
      <c r="Q524" s="242"/>
      <c r="R524" s="13"/>
      <c r="S524" s="13"/>
      <c r="T524" s="242"/>
      <c r="U524" s="242"/>
      <c r="V524" s="242"/>
      <c r="W524" s="242"/>
      <c r="X524" s="242"/>
      <c r="Y524" s="242"/>
    </row>
    <row r="525">
      <c r="A525" s="242"/>
      <c r="B525" s="242"/>
      <c r="C525" s="242"/>
      <c r="D525" s="242"/>
      <c r="E525" s="242"/>
      <c r="F525" s="242"/>
      <c r="G525" s="671"/>
      <c r="H525" s="671"/>
      <c r="I525" s="242"/>
      <c r="J525" s="242"/>
      <c r="K525" s="242"/>
      <c r="L525" s="389"/>
      <c r="M525" s="389"/>
      <c r="N525" s="242"/>
      <c r="O525" s="242"/>
      <c r="P525" s="13"/>
      <c r="Q525" s="242"/>
      <c r="R525" s="13"/>
      <c r="S525" s="13"/>
      <c r="T525" s="242"/>
      <c r="U525" s="242"/>
      <c r="V525" s="242"/>
      <c r="W525" s="242"/>
      <c r="X525" s="242"/>
      <c r="Y525" s="242"/>
    </row>
    <row r="526">
      <c r="A526" s="242"/>
      <c r="B526" s="242"/>
      <c r="C526" s="242"/>
      <c r="D526" s="242"/>
      <c r="E526" s="242"/>
      <c r="F526" s="242"/>
      <c r="G526" s="671"/>
      <c r="H526" s="671"/>
      <c r="I526" s="242"/>
      <c r="J526" s="242"/>
      <c r="K526" s="242"/>
      <c r="L526" s="389"/>
      <c r="M526" s="389"/>
      <c r="N526" s="242"/>
      <c r="O526" s="242"/>
      <c r="P526" s="13"/>
      <c r="Q526" s="242"/>
      <c r="R526" s="13"/>
      <c r="S526" s="13"/>
      <c r="T526" s="242"/>
      <c r="U526" s="242"/>
      <c r="V526" s="242"/>
      <c r="W526" s="242"/>
      <c r="X526" s="242"/>
      <c r="Y526" s="242"/>
    </row>
    <row r="527">
      <c r="A527" s="242"/>
      <c r="B527" s="242"/>
      <c r="C527" s="242"/>
      <c r="D527" s="242"/>
      <c r="E527" s="242"/>
      <c r="F527" s="242"/>
      <c r="G527" s="671"/>
      <c r="H527" s="671"/>
      <c r="I527" s="242"/>
      <c r="J527" s="242"/>
      <c r="K527" s="242"/>
      <c r="L527" s="389"/>
      <c r="M527" s="389"/>
      <c r="N527" s="242"/>
      <c r="O527" s="242"/>
      <c r="P527" s="13"/>
      <c r="Q527" s="242"/>
      <c r="R527" s="13"/>
      <c r="S527" s="13"/>
      <c r="T527" s="242"/>
      <c r="U527" s="242"/>
      <c r="V527" s="242"/>
      <c r="W527" s="242"/>
      <c r="X527" s="242"/>
      <c r="Y527" s="242"/>
    </row>
    <row r="528">
      <c r="A528" s="242"/>
      <c r="B528" s="242"/>
      <c r="C528" s="242"/>
      <c r="D528" s="242"/>
      <c r="E528" s="242"/>
      <c r="F528" s="242"/>
      <c r="G528" s="671"/>
      <c r="H528" s="671"/>
      <c r="I528" s="242"/>
      <c r="J528" s="242"/>
      <c r="K528" s="242"/>
      <c r="L528" s="389"/>
      <c r="M528" s="389"/>
      <c r="N528" s="242"/>
      <c r="O528" s="242"/>
      <c r="P528" s="13"/>
      <c r="Q528" s="242"/>
      <c r="R528" s="13"/>
      <c r="S528" s="13"/>
      <c r="T528" s="242"/>
      <c r="U528" s="242"/>
      <c r="V528" s="242"/>
      <c r="W528" s="242"/>
      <c r="X528" s="242"/>
      <c r="Y528" s="242"/>
    </row>
    <row r="529">
      <c r="A529" s="242"/>
      <c r="B529" s="242"/>
      <c r="C529" s="242"/>
      <c r="D529" s="242"/>
      <c r="E529" s="242"/>
      <c r="F529" s="242"/>
      <c r="G529" s="671"/>
      <c r="H529" s="671"/>
      <c r="I529" s="242"/>
      <c r="J529" s="242"/>
      <c r="K529" s="242"/>
      <c r="L529" s="389"/>
      <c r="M529" s="389"/>
      <c r="N529" s="242"/>
      <c r="O529" s="242"/>
      <c r="P529" s="13"/>
      <c r="Q529" s="242"/>
      <c r="R529" s="13"/>
      <c r="S529" s="13"/>
      <c r="T529" s="242"/>
      <c r="U529" s="242"/>
      <c r="V529" s="242"/>
      <c r="W529" s="242"/>
      <c r="X529" s="242"/>
      <c r="Y529" s="242"/>
    </row>
    <row r="530">
      <c r="A530" s="242"/>
      <c r="B530" s="242"/>
      <c r="C530" s="242"/>
      <c r="D530" s="242"/>
      <c r="E530" s="242"/>
      <c r="F530" s="242"/>
      <c r="G530" s="671"/>
      <c r="H530" s="671"/>
      <c r="I530" s="242"/>
      <c r="J530" s="242"/>
      <c r="K530" s="242"/>
      <c r="L530" s="389"/>
      <c r="M530" s="389"/>
      <c r="N530" s="242"/>
      <c r="O530" s="242"/>
      <c r="P530" s="13"/>
      <c r="Q530" s="242"/>
      <c r="R530" s="13"/>
      <c r="S530" s="13"/>
      <c r="T530" s="242"/>
      <c r="U530" s="242"/>
      <c r="V530" s="242"/>
      <c r="W530" s="242"/>
      <c r="X530" s="242"/>
      <c r="Y530" s="242"/>
    </row>
    <row r="531">
      <c r="A531" s="242"/>
      <c r="B531" s="242"/>
      <c r="C531" s="242"/>
      <c r="D531" s="242"/>
      <c r="E531" s="242"/>
      <c r="F531" s="242"/>
      <c r="G531" s="671"/>
      <c r="H531" s="671"/>
      <c r="I531" s="242"/>
      <c r="J531" s="242"/>
      <c r="K531" s="242"/>
      <c r="L531" s="389"/>
      <c r="M531" s="389"/>
      <c r="N531" s="242"/>
      <c r="O531" s="242"/>
      <c r="P531" s="13"/>
      <c r="Q531" s="242"/>
      <c r="R531" s="13"/>
      <c r="S531" s="13"/>
      <c r="T531" s="242"/>
      <c r="U531" s="242"/>
      <c r="V531" s="242"/>
      <c r="W531" s="242"/>
      <c r="X531" s="242"/>
      <c r="Y531" s="242"/>
    </row>
    <row r="532">
      <c r="A532" s="242"/>
      <c r="B532" s="242"/>
      <c r="C532" s="242"/>
      <c r="D532" s="242"/>
      <c r="E532" s="242"/>
      <c r="F532" s="242"/>
      <c r="G532" s="671"/>
      <c r="H532" s="671"/>
      <c r="I532" s="242"/>
      <c r="J532" s="242"/>
      <c r="K532" s="242"/>
      <c r="L532" s="389"/>
      <c r="M532" s="389"/>
      <c r="N532" s="242"/>
      <c r="O532" s="242"/>
      <c r="P532" s="13"/>
      <c r="Q532" s="242"/>
      <c r="R532" s="13"/>
      <c r="S532" s="13"/>
      <c r="T532" s="242"/>
      <c r="U532" s="242"/>
      <c r="V532" s="242"/>
      <c r="W532" s="242"/>
      <c r="X532" s="242"/>
      <c r="Y532" s="242"/>
    </row>
    <row r="533">
      <c r="A533" s="242"/>
      <c r="B533" s="242"/>
      <c r="C533" s="242"/>
      <c r="D533" s="242"/>
      <c r="E533" s="242"/>
      <c r="F533" s="242"/>
      <c r="G533" s="671"/>
      <c r="H533" s="671"/>
      <c r="I533" s="242"/>
      <c r="J533" s="242"/>
      <c r="K533" s="242"/>
      <c r="L533" s="389"/>
      <c r="M533" s="389"/>
      <c r="N533" s="242"/>
      <c r="O533" s="242"/>
      <c r="P533" s="13"/>
      <c r="Q533" s="242"/>
      <c r="R533" s="13"/>
      <c r="S533" s="13"/>
      <c r="T533" s="242"/>
      <c r="U533" s="242"/>
      <c r="V533" s="242"/>
      <c r="W533" s="242"/>
      <c r="X533" s="242"/>
      <c r="Y533" s="242"/>
    </row>
    <row r="534">
      <c r="A534" s="242"/>
      <c r="B534" s="242"/>
      <c r="C534" s="242"/>
      <c r="D534" s="242"/>
      <c r="E534" s="242"/>
      <c r="F534" s="242"/>
      <c r="G534" s="671"/>
      <c r="H534" s="671"/>
      <c r="I534" s="242"/>
      <c r="J534" s="242"/>
      <c r="K534" s="242"/>
      <c r="L534" s="389"/>
      <c r="M534" s="389"/>
      <c r="N534" s="242"/>
      <c r="O534" s="242"/>
      <c r="P534" s="13"/>
      <c r="Q534" s="242"/>
      <c r="R534" s="13"/>
      <c r="S534" s="13"/>
      <c r="T534" s="242"/>
      <c r="U534" s="242"/>
      <c r="V534" s="242"/>
      <c r="W534" s="242"/>
      <c r="X534" s="242"/>
      <c r="Y534" s="242"/>
    </row>
    <row r="535">
      <c r="A535" s="242"/>
      <c r="B535" s="242"/>
      <c r="C535" s="242"/>
      <c r="D535" s="242"/>
      <c r="E535" s="242"/>
      <c r="F535" s="242"/>
      <c r="G535" s="671"/>
      <c r="H535" s="671"/>
      <c r="I535" s="242"/>
      <c r="J535" s="242"/>
      <c r="K535" s="242"/>
      <c r="L535" s="389"/>
      <c r="M535" s="389"/>
      <c r="N535" s="242"/>
      <c r="O535" s="242"/>
      <c r="P535" s="13"/>
      <c r="Q535" s="242"/>
      <c r="R535" s="13"/>
      <c r="S535" s="13"/>
      <c r="T535" s="242"/>
      <c r="U535" s="242"/>
      <c r="V535" s="242"/>
      <c r="W535" s="242"/>
      <c r="X535" s="242"/>
      <c r="Y535" s="242"/>
    </row>
    <row r="536">
      <c r="A536" s="242"/>
      <c r="B536" s="242"/>
      <c r="C536" s="242"/>
      <c r="D536" s="242"/>
      <c r="E536" s="242"/>
      <c r="F536" s="242"/>
      <c r="G536" s="671"/>
      <c r="H536" s="671"/>
      <c r="I536" s="242"/>
      <c r="J536" s="242"/>
      <c r="K536" s="242"/>
      <c r="L536" s="389"/>
      <c r="M536" s="389"/>
      <c r="N536" s="242"/>
      <c r="O536" s="242"/>
      <c r="P536" s="13"/>
      <c r="Q536" s="242"/>
      <c r="R536" s="13"/>
      <c r="S536" s="13"/>
      <c r="T536" s="242"/>
      <c r="U536" s="242"/>
      <c r="V536" s="242"/>
      <c r="W536" s="242"/>
      <c r="X536" s="242"/>
      <c r="Y536" s="242"/>
    </row>
    <row r="537">
      <c r="A537" s="242"/>
      <c r="B537" s="242"/>
      <c r="C537" s="242"/>
      <c r="D537" s="242"/>
      <c r="E537" s="242"/>
      <c r="F537" s="242"/>
      <c r="G537" s="671"/>
      <c r="H537" s="671"/>
      <c r="I537" s="242"/>
      <c r="J537" s="242"/>
      <c r="K537" s="242"/>
      <c r="L537" s="389"/>
      <c r="M537" s="389"/>
      <c r="N537" s="242"/>
      <c r="O537" s="242"/>
      <c r="P537" s="13"/>
      <c r="Q537" s="242"/>
      <c r="R537" s="13"/>
      <c r="S537" s="13"/>
      <c r="T537" s="242"/>
      <c r="U537" s="242"/>
      <c r="V537" s="242"/>
      <c r="W537" s="242"/>
      <c r="X537" s="242"/>
      <c r="Y537" s="242"/>
    </row>
    <row r="538">
      <c r="A538" s="242"/>
      <c r="B538" s="242"/>
      <c r="C538" s="242"/>
      <c r="D538" s="242"/>
      <c r="E538" s="242"/>
      <c r="F538" s="242"/>
      <c r="G538" s="671"/>
      <c r="H538" s="671"/>
      <c r="I538" s="242"/>
      <c r="J538" s="242"/>
      <c r="K538" s="242"/>
      <c r="L538" s="389"/>
      <c r="M538" s="389"/>
      <c r="N538" s="242"/>
      <c r="O538" s="242"/>
      <c r="P538" s="13"/>
      <c r="Q538" s="242"/>
      <c r="R538" s="13"/>
      <c r="S538" s="13"/>
      <c r="T538" s="242"/>
      <c r="U538" s="242"/>
      <c r="V538" s="242"/>
      <c r="W538" s="242"/>
      <c r="X538" s="242"/>
      <c r="Y538" s="242"/>
    </row>
    <row r="539">
      <c r="A539" s="242"/>
      <c r="B539" s="242"/>
      <c r="C539" s="242"/>
      <c r="D539" s="242"/>
      <c r="E539" s="242"/>
      <c r="F539" s="242"/>
      <c r="G539" s="671"/>
      <c r="H539" s="671"/>
      <c r="I539" s="242"/>
      <c r="J539" s="242"/>
      <c r="K539" s="242"/>
      <c r="L539" s="389"/>
      <c r="M539" s="389"/>
      <c r="N539" s="242"/>
      <c r="O539" s="242"/>
      <c r="P539" s="13"/>
      <c r="Q539" s="242"/>
      <c r="R539" s="13"/>
      <c r="S539" s="13"/>
      <c r="T539" s="242"/>
      <c r="U539" s="242"/>
      <c r="V539" s="242"/>
      <c r="W539" s="242"/>
      <c r="X539" s="242"/>
      <c r="Y539" s="242"/>
    </row>
    <row r="540">
      <c r="A540" s="242"/>
      <c r="B540" s="242"/>
      <c r="C540" s="242"/>
      <c r="D540" s="242"/>
      <c r="E540" s="242"/>
      <c r="F540" s="242"/>
      <c r="G540" s="671"/>
      <c r="H540" s="671"/>
      <c r="I540" s="242"/>
      <c r="J540" s="242"/>
      <c r="K540" s="242"/>
      <c r="L540" s="389"/>
      <c r="M540" s="389"/>
      <c r="N540" s="242"/>
      <c r="O540" s="242"/>
      <c r="P540" s="13"/>
      <c r="Q540" s="242"/>
      <c r="R540" s="13"/>
      <c r="S540" s="13"/>
      <c r="T540" s="242"/>
      <c r="U540" s="242"/>
      <c r="V540" s="242"/>
      <c r="W540" s="242"/>
      <c r="X540" s="242"/>
      <c r="Y540" s="242"/>
    </row>
    <row r="541">
      <c r="A541" s="242"/>
      <c r="B541" s="242"/>
      <c r="C541" s="242"/>
      <c r="D541" s="242"/>
      <c r="E541" s="242"/>
      <c r="F541" s="242"/>
      <c r="G541" s="671"/>
      <c r="H541" s="671"/>
      <c r="I541" s="242"/>
      <c r="J541" s="242"/>
      <c r="K541" s="242"/>
      <c r="L541" s="389"/>
      <c r="M541" s="389"/>
      <c r="N541" s="242"/>
      <c r="O541" s="242"/>
      <c r="P541" s="13"/>
      <c r="Q541" s="242"/>
      <c r="R541" s="13"/>
      <c r="S541" s="13"/>
      <c r="T541" s="242"/>
      <c r="U541" s="242"/>
      <c r="V541" s="242"/>
      <c r="W541" s="242"/>
      <c r="X541" s="242"/>
      <c r="Y541" s="242"/>
    </row>
    <row r="542">
      <c r="A542" s="242"/>
      <c r="B542" s="242"/>
      <c r="C542" s="242"/>
      <c r="D542" s="242"/>
      <c r="E542" s="242"/>
      <c r="F542" s="242"/>
      <c r="G542" s="671"/>
      <c r="H542" s="671"/>
      <c r="I542" s="242"/>
      <c r="J542" s="242"/>
      <c r="K542" s="242"/>
      <c r="L542" s="389"/>
      <c r="M542" s="389"/>
      <c r="N542" s="242"/>
      <c r="O542" s="242"/>
      <c r="P542" s="13"/>
      <c r="Q542" s="242"/>
      <c r="R542" s="13"/>
      <c r="S542" s="13"/>
      <c r="T542" s="242"/>
      <c r="U542" s="242"/>
      <c r="V542" s="242"/>
      <c r="W542" s="242"/>
      <c r="X542" s="242"/>
      <c r="Y542" s="242"/>
    </row>
    <row r="543">
      <c r="A543" s="242"/>
      <c r="B543" s="242"/>
      <c r="C543" s="242"/>
      <c r="D543" s="242"/>
      <c r="E543" s="242"/>
      <c r="F543" s="242"/>
      <c r="G543" s="671"/>
      <c r="H543" s="671"/>
      <c r="I543" s="242"/>
      <c r="J543" s="242"/>
      <c r="K543" s="242"/>
      <c r="L543" s="389"/>
      <c r="M543" s="389"/>
      <c r="N543" s="242"/>
      <c r="O543" s="242"/>
      <c r="P543" s="13"/>
      <c r="Q543" s="242"/>
      <c r="R543" s="13"/>
      <c r="S543" s="13"/>
      <c r="T543" s="242"/>
      <c r="U543" s="242"/>
      <c r="V543" s="242"/>
      <c r="W543" s="242"/>
      <c r="X543" s="242"/>
      <c r="Y543" s="242"/>
    </row>
    <row r="544">
      <c r="A544" s="242"/>
      <c r="B544" s="242"/>
      <c r="C544" s="242"/>
      <c r="D544" s="242"/>
      <c r="E544" s="242"/>
      <c r="F544" s="242"/>
      <c r="G544" s="671"/>
      <c r="H544" s="671"/>
      <c r="I544" s="242"/>
      <c r="J544" s="242"/>
      <c r="K544" s="242"/>
      <c r="L544" s="389"/>
      <c r="M544" s="389"/>
      <c r="N544" s="242"/>
      <c r="O544" s="242"/>
      <c r="P544" s="13"/>
      <c r="Q544" s="242"/>
      <c r="R544" s="13"/>
      <c r="S544" s="13"/>
      <c r="T544" s="242"/>
      <c r="U544" s="242"/>
      <c r="V544" s="242"/>
      <c r="W544" s="242"/>
      <c r="X544" s="242"/>
      <c r="Y544" s="242"/>
    </row>
    <row r="545">
      <c r="A545" s="242"/>
      <c r="B545" s="242"/>
      <c r="C545" s="242"/>
      <c r="D545" s="242"/>
      <c r="E545" s="242"/>
      <c r="F545" s="242"/>
      <c r="G545" s="671"/>
      <c r="H545" s="671"/>
      <c r="I545" s="242"/>
      <c r="J545" s="242"/>
      <c r="K545" s="242"/>
      <c r="L545" s="389"/>
      <c r="M545" s="389"/>
      <c r="N545" s="242"/>
      <c r="O545" s="242"/>
      <c r="P545" s="13"/>
      <c r="Q545" s="242"/>
      <c r="R545" s="13"/>
      <c r="S545" s="13"/>
      <c r="T545" s="242"/>
      <c r="U545" s="242"/>
      <c r="V545" s="242"/>
      <c r="W545" s="242"/>
      <c r="X545" s="242"/>
      <c r="Y545" s="242"/>
    </row>
    <row r="546">
      <c r="A546" s="242"/>
      <c r="B546" s="242"/>
      <c r="C546" s="242"/>
      <c r="D546" s="242"/>
      <c r="E546" s="242"/>
      <c r="F546" s="242"/>
      <c r="G546" s="671"/>
      <c r="H546" s="671"/>
      <c r="I546" s="242"/>
      <c r="J546" s="242"/>
      <c r="K546" s="242"/>
      <c r="L546" s="389"/>
      <c r="M546" s="389"/>
      <c r="N546" s="242"/>
      <c r="O546" s="242"/>
      <c r="P546" s="13"/>
      <c r="Q546" s="242"/>
      <c r="R546" s="13"/>
      <c r="S546" s="13"/>
      <c r="T546" s="242"/>
      <c r="U546" s="242"/>
      <c r="V546" s="242"/>
      <c r="W546" s="242"/>
      <c r="X546" s="242"/>
      <c r="Y546" s="242"/>
    </row>
    <row r="547">
      <c r="A547" s="242"/>
      <c r="B547" s="242"/>
      <c r="C547" s="242"/>
      <c r="D547" s="242"/>
      <c r="E547" s="242"/>
      <c r="F547" s="242"/>
      <c r="G547" s="671"/>
      <c r="H547" s="671"/>
      <c r="I547" s="242"/>
      <c r="J547" s="242"/>
      <c r="K547" s="242"/>
      <c r="L547" s="389"/>
      <c r="M547" s="389"/>
      <c r="N547" s="242"/>
      <c r="O547" s="242"/>
      <c r="P547" s="13"/>
      <c r="Q547" s="242"/>
      <c r="R547" s="13"/>
      <c r="S547" s="13"/>
      <c r="T547" s="242"/>
      <c r="U547" s="242"/>
      <c r="V547" s="242"/>
      <c r="W547" s="242"/>
      <c r="X547" s="242"/>
      <c r="Y547" s="242"/>
    </row>
    <row r="548">
      <c r="A548" s="242"/>
      <c r="B548" s="242"/>
      <c r="C548" s="242"/>
      <c r="D548" s="242"/>
      <c r="E548" s="242"/>
      <c r="F548" s="242"/>
      <c r="G548" s="671"/>
      <c r="H548" s="671"/>
      <c r="I548" s="242"/>
      <c r="J548" s="242"/>
      <c r="K548" s="242"/>
      <c r="L548" s="389"/>
      <c r="M548" s="389"/>
      <c r="N548" s="242"/>
      <c r="O548" s="242"/>
      <c r="P548" s="13"/>
      <c r="Q548" s="242"/>
      <c r="R548" s="13"/>
      <c r="S548" s="13"/>
      <c r="T548" s="242"/>
      <c r="U548" s="242"/>
      <c r="V548" s="242"/>
      <c r="W548" s="242"/>
      <c r="X548" s="242"/>
      <c r="Y548" s="242"/>
    </row>
    <row r="549">
      <c r="A549" s="242"/>
      <c r="B549" s="242"/>
      <c r="C549" s="242"/>
      <c r="D549" s="242"/>
      <c r="E549" s="242"/>
      <c r="F549" s="242"/>
      <c r="G549" s="671"/>
      <c r="H549" s="671"/>
      <c r="I549" s="242"/>
      <c r="J549" s="242"/>
      <c r="K549" s="242"/>
      <c r="L549" s="389"/>
      <c r="M549" s="389"/>
      <c r="N549" s="242"/>
      <c r="O549" s="242"/>
      <c r="P549" s="13"/>
      <c r="Q549" s="242"/>
      <c r="R549" s="13"/>
      <c r="S549" s="13"/>
      <c r="T549" s="242"/>
      <c r="U549" s="242"/>
      <c r="V549" s="242"/>
      <c r="W549" s="242"/>
      <c r="X549" s="242"/>
      <c r="Y549" s="242"/>
    </row>
    <row r="550">
      <c r="A550" s="242"/>
      <c r="B550" s="242"/>
      <c r="C550" s="242"/>
      <c r="D550" s="242"/>
      <c r="E550" s="242"/>
      <c r="F550" s="242"/>
      <c r="G550" s="671"/>
      <c r="H550" s="671"/>
      <c r="I550" s="242"/>
      <c r="J550" s="242"/>
      <c r="K550" s="242"/>
      <c r="L550" s="389"/>
      <c r="M550" s="389"/>
      <c r="N550" s="242"/>
      <c r="O550" s="242"/>
      <c r="P550" s="13"/>
      <c r="Q550" s="242"/>
      <c r="R550" s="13"/>
      <c r="S550" s="13"/>
      <c r="T550" s="242"/>
      <c r="U550" s="242"/>
      <c r="V550" s="242"/>
      <c r="W550" s="242"/>
      <c r="X550" s="242"/>
      <c r="Y550" s="242"/>
    </row>
    <row r="551">
      <c r="A551" s="242"/>
      <c r="B551" s="242"/>
      <c r="C551" s="242"/>
      <c r="D551" s="242"/>
      <c r="E551" s="242"/>
      <c r="F551" s="242"/>
      <c r="G551" s="671"/>
      <c r="H551" s="671"/>
      <c r="I551" s="242"/>
      <c r="J551" s="242"/>
      <c r="K551" s="242"/>
      <c r="L551" s="389"/>
      <c r="M551" s="389"/>
      <c r="N551" s="242"/>
      <c r="O551" s="242"/>
      <c r="P551" s="13"/>
      <c r="Q551" s="242"/>
      <c r="R551" s="13"/>
      <c r="S551" s="13"/>
      <c r="T551" s="242"/>
      <c r="U551" s="242"/>
      <c r="V551" s="242"/>
      <c r="W551" s="242"/>
      <c r="X551" s="242"/>
      <c r="Y551" s="242"/>
    </row>
    <row r="552">
      <c r="A552" s="242"/>
      <c r="B552" s="242"/>
      <c r="C552" s="242"/>
      <c r="D552" s="242"/>
      <c r="E552" s="242"/>
      <c r="F552" s="242"/>
      <c r="G552" s="671"/>
      <c r="H552" s="671"/>
      <c r="I552" s="242"/>
      <c r="J552" s="242"/>
      <c r="K552" s="242"/>
      <c r="L552" s="389"/>
      <c r="M552" s="389"/>
      <c r="N552" s="242"/>
      <c r="O552" s="242"/>
      <c r="P552" s="13"/>
      <c r="Q552" s="242"/>
      <c r="R552" s="13"/>
      <c r="S552" s="13"/>
      <c r="T552" s="242"/>
      <c r="U552" s="242"/>
      <c r="V552" s="242"/>
      <c r="W552" s="242"/>
      <c r="X552" s="242"/>
      <c r="Y552" s="242"/>
    </row>
    <row r="553">
      <c r="A553" s="242"/>
      <c r="B553" s="242"/>
      <c r="C553" s="242"/>
      <c r="D553" s="242"/>
      <c r="E553" s="242"/>
      <c r="F553" s="242"/>
      <c r="G553" s="671"/>
      <c r="H553" s="671"/>
      <c r="I553" s="242"/>
      <c r="J553" s="242"/>
      <c r="K553" s="242"/>
      <c r="L553" s="389"/>
      <c r="M553" s="389"/>
      <c r="N553" s="242"/>
      <c r="O553" s="242"/>
      <c r="P553" s="13"/>
      <c r="Q553" s="242"/>
      <c r="R553" s="13"/>
      <c r="S553" s="13"/>
      <c r="T553" s="242"/>
      <c r="U553" s="242"/>
      <c r="V553" s="242"/>
      <c r="W553" s="242"/>
      <c r="X553" s="242"/>
      <c r="Y553" s="242"/>
    </row>
    <row r="554">
      <c r="A554" s="242"/>
      <c r="B554" s="242"/>
      <c r="C554" s="242"/>
      <c r="D554" s="242"/>
      <c r="E554" s="242"/>
      <c r="F554" s="242"/>
      <c r="G554" s="671"/>
      <c r="H554" s="671"/>
      <c r="I554" s="242"/>
      <c r="J554" s="242"/>
      <c r="K554" s="242"/>
      <c r="L554" s="389"/>
      <c r="M554" s="389"/>
      <c r="N554" s="242"/>
      <c r="O554" s="242"/>
      <c r="P554" s="13"/>
      <c r="Q554" s="242"/>
      <c r="R554" s="13"/>
      <c r="S554" s="13"/>
      <c r="T554" s="242"/>
      <c r="U554" s="242"/>
      <c r="V554" s="242"/>
      <c r="W554" s="242"/>
      <c r="X554" s="242"/>
      <c r="Y554" s="242"/>
    </row>
    <row r="555">
      <c r="A555" s="242"/>
      <c r="B555" s="242"/>
      <c r="C555" s="242"/>
      <c r="D555" s="242"/>
      <c r="E555" s="242"/>
      <c r="F555" s="242"/>
      <c r="G555" s="671"/>
      <c r="H555" s="671"/>
      <c r="I555" s="242"/>
      <c r="J555" s="242"/>
      <c r="K555" s="242"/>
      <c r="L555" s="389"/>
      <c r="M555" s="389"/>
      <c r="N555" s="242"/>
      <c r="O555" s="242"/>
      <c r="P555" s="13"/>
      <c r="Q555" s="242"/>
      <c r="R555" s="13"/>
      <c r="S555" s="13"/>
      <c r="T555" s="242"/>
      <c r="U555" s="242"/>
      <c r="V555" s="242"/>
      <c r="W555" s="242"/>
      <c r="X555" s="242"/>
      <c r="Y555" s="242"/>
    </row>
    <row r="556">
      <c r="A556" s="242"/>
      <c r="B556" s="242"/>
      <c r="C556" s="242"/>
      <c r="D556" s="242"/>
      <c r="E556" s="242"/>
      <c r="F556" s="242"/>
      <c r="G556" s="671"/>
      <c r="H556" s="671"/>
      <c r="I556" s="242"/>
      <c r="J556" s="242"/>
      <c r="K556" s="242"/>
      <c r="L556" s="389"/>
      <c r="M556" s="389"/>
      <c r="N556" s="242"/>
      <c r="O556" s="242"/>
      <c r="P556" s="13"/>
      <c r="Q556" s="242"/>
      <c r="R556" s="13"/>
      <c r="S556" s="13"/>
      <c r="T556" s="242"/>
      <c r="U556" s="242"/>
      <c r="V556" s="242"/>
      <c r="W556" s="242"/>
      <c r="X556" s="242"/>
      <c r="Y556" s="242"/>
    </row>
    <row r="557">
      <c r="A557" s="242"/>
      <c r="B557" s="242"/>
      <c r="C557" s="242"/>
      <c r="D557" s="242"/>
      <c r="E557" s="242"/>
      <c r="F557" s="242"/>
      <c r="G557" s="671"/>
      <c r="H557" s="671"/>
      <c r="I557" s="242"/>
      <c r="J557" s="242"/>
      <c r="K557" s="242"/>
      <c r="L557" s="389"/>
      <c r="M557" s="389"/>
      <c r="N557" s="242"/>
      <c r="O557" s="242"/>
      <c r="P557" s="13"/>
      <c r="Q557" s="242"/>
      <c r="R557" s="13"/>
      <c r="S557" s="13"/>
      <c r="T557" s="242"/>
      <c r="U557" s="242"/>
      <c r="V557" s="242"/>
      <c r="W557" s="242"/>
      <c r="X557" s="242"/>
      <c r="Y557" s="242"/>
    </row>
    <row r="558">
      <c r="A558" s="242"/>
      <c r="B558" s="242"/>
      <c r="C558" s="242"/>
      <c r="D558" s="242"/>
      <c r="E558" s="242"/>
      <c r="F558" s="242"/>
      <c r="G558" s="671"/>
      <c r="H558" s="671"/>
      <c r="I558" s="242"/>
      <c r="J558" s="242"/>
      <c r="K558" s="242"/>
      <c r="L558" s="389"/>
      <c r="M558" s="389"/>
      <c r="N558" s="242"/>
      <c r="O558" s="242"/>
      <c r="P558" s="13"/>
      <c r="Q558" s="242"/>
      <c r="R558" s="13"/>
      <c r="S558" s="13"/>
      <c r="T558" s="242"/>
      <c r="U558" s="242"/>
      <c r="V558" s="242"/>
      <c r="W558" s="242"/>
      <c r="X558" s="242"/>
      <c r="Y558" s="242"/>
    </row>
    <row r="559">
      <c r="A559" s="242"/>
      <c r="B559" s="242"/>
      <c r="C559" s="242"/>
      <c r="D559" s="242"/>
      <c r="E559" s="242"/>
      <c r="F559" s="242"/>
      <c r="G559" s="671"/>
      <c r="H559" s="671"/>
      <c r="I559" s="242"/>
      <c r="J559" s="242"/>
      <c r="K559" s="242"/>
      <c r="L559" s="389"/>
      <c r="M559" s="389"/>
      <c r="N559" s="242"/>
      <c r="O559" s="242"/>
      <c r="P559" s="13"/>
      <c r="Q559" s="242"/>
      <c r="R559" s="13"/>
      <c r="S559" s="13"/>
      <c r="T559" s="242"/>
      <c r="U559" s="242"/>
      <c r="V559" s="242"/>
      <c r="W559" s="242"/>
      <c r="X559" s="242"/>
      <c r="Y559" s="242"/>
    </row>
    <row r="560">
      <c r="A560" s="242"/>
      <c r="B560" s="242"/>
      <c r="C560" s="242"/>
      <c r="D560" s="242"/>
      <c r="E560" s="242"/>
      <c r="F560" s="242"/>
      <c r="G560" s="671"/>
      <c r="H560" s="671"/>
      <c r="I560" s="242"/>
      <c r="J560" s="242"/>
      <c r="K560" s="242"/>
      <c r="L560" s="389"/>
      <c r="M560" s="389"/>
      <c r="N560" s="242"/>
      <c r="O560" s="242"/>
      <c r="P560" s="13"/>
      <c r="Q560" s="242"/>
      <c r="R560" s="13"/>
      <c r="S560" s="13"/>
      <c r="T560" s="242"/>
      <c r="U560" s="242"/>
      <c r="V560" s="242"/>
      <c r="W560" s="242"/>
      <c r="X560" s="242"/>
      <c r="Y560" s="242"/>
    </row>
    <row r="561">
      <c r="A561" s="242"/>
      <c r="B561" s="242"/>
      <c r="C561" s="242"/>
      <c r="D561" s="242"/>
      <c r="E561" s="242"/>
      <c r="F561" s="242"/>
      <c r="G561" s="671"/>
      <c r="H561" s="671"/>
      <c r="I561" s="242"/>
      <c r="J561" s="242"/>
      <c r="K561" s="242"/>
      <c r="L561" s="389"/>
      <c r="M561" s="389"/>
      <c r="N561" s="242"/>
      <c r="O561" s="242"/>
      <c r="P561" s="13"/>
      <c r="Q561" s="242"/>
      <c r="R561" s="13"/>
      <c r="S561" s="13"/>
      <c r="T561" s="242"/>
      <c r="U561" s="242"/>
      <c r="V561" s="242"/>
      <c r="W561" s="242"/>
      <c r="X561" s="242"/>
      <c r="Y561" s="242"/>
    </row>
    <row r="562">
      <c r="A562" s="242"/>
      <c r="B562" s="242"/>
      <c r="C562" s="242"/>
      <c r="D562" s="242"/>
      <c r="E562" s="242"/>
      <c r="F562" s="242"/>
      <c r="G562" s="671"/>
      <c r="H562" s="671"/>
      <c r="I562" s="242"/>
      <c r="J562" s="242"/>
      <c r="K562" s="242"/>
      <c r="L562" s="389"/>
      <c r="M562" s="389"/>
      <c r="N562" s="242"/>
      <c r="O562" s="242"/>
      <c r="P562" s="13"/>
      <c r="Q562" s="242"/>
      <c r="R562" s="13"/>
      <c r="S562" s="13"/>
      <c r="T562" s="242"/>
      <c r="U562" s="242"/>
      <c r="V562" s="242"/>
      <c r="W562" s="242"/>
      <c r="X562" s="242"/>
      <c r="Y562" s="242"/>
    </row>
    <row r="563">
      <c r="A563" s="242"/>
      <c r="B563" s="242"/>
      <c r="C563" s="242"/>
      <c r="D563" s="242"/>
      <c r="E563" s="242"/>
      <c r="F563" s="242"/>
      <c r="G563" s="671"/>
      <c r="H563" s="671"/>
      <c r="I563" s="242"/>
      <c r="J563" s="242"/>
      <c r="K563" s="242"/>
      <c r="L563" s="389"/>
      <c r="M563" s="389"/>
      <c r="N563" s="242"/>
      <c r="O563" s="242"/>
      <c r="P563" s="13"/>
      <c r="Q563" s="242"/>
      <c r="R563" s="13"/>
      <c r="S563" s="13"/>
      <c r="T563" s="242"/>
      <c r="U563" s="242"/>
      <c r="V563" s="242"/>
      <c r="W563" s="242"/>
      <c r="X563" s="242"/>
      <c r="Y563" s="242"/>
    </row>
    <row r="564">
      <c r="A564" s="242"/>
      <c r="B564" s="242"/>
      <c r="C564" s="242"/>
      <c r="D564" s="242"/>
      <c r="E564" s="242"/>
      <c r="F564" s="242"/>
      <c r="G564" s="671"/>
      <c r="H564" s="671"/>
      <c r="I564" s="242"/>
      <c r="J564" s="242"/>
      <c r="K564" s="242"/>
      <c r="L564" s="389"/>
      <c r="M564" s="389"/>
      <c r="N564" s="242"/>
      <c r="O564" s="242"/>
      <c r="P564" s="13"/>
      <c r="Q564" s="242"/>
      <c r="R564" s="13"/>
      <c r="S564" s="13"/>
      <c r="T564" s="242"/>
      <c r="U564" s="242"/>
      <c r="V564" s="242"/>
      <c r="W564" s="242"/>
      <c r="X564" s="242"/>
      <c r="Y564" s="242"/>
    </row>
    <row r="565">
      <c r="A565" s="242"/>
      <c r="B565" s="242"/>
      <c r="C565" s="242"/>
      <c r="D565" s="242"/>
      <c r="E565" s="242"/>
      <c r="F565" s="242"/>
      <c r="G565" s="671"/>
      <c r="H565" s="671"/>
      <c r="I565" s="242"/>
      <c r="J565" s="242"/>
      <c r="K565" s="242"/>
      <c r="L565" s="389"/>
      <c r="M565" s="389"/>
      <c r="N565" s="242"/>
      <c r="O565" s="242"/>
      <c r="P565" s="13"/>
      <c r="Q565" s="242"/>
      <c r="R565" s="13"/>
      <c r="S565" s="13"/>
      <c r="T565" s="242"/>
      <c r="U565" s="242"/>
      <c r="V565" s="242"/>
      <c r="W565" s="242"/>
      <c r="X565" s="242"/>
      <c r="Y565" s="242"/>
    </row>
    <row r="566">
      <c r="A566" s="242"/>
      <c r="B566" s="242"/>
      <c r="C566" s="242"/>
      <c r="D566" s="242"/>
      <c r="E566" s="242"/>
      <c r="F566" s="242"/>
      <c r="G566" s="671"/>
      <c r="H566" s="671"/>
      <c r="I566" s="242"/>
      <c r="J566" s="242"/>
      <c r="K566" s="242"/>
      <c r="L566" s="389"/>
      <c r="M566" s="389"/>
      <c r="N566" s="242"/>
      <c r="O566" s="242"/>
      <c r="P566" s="13"/>
      <c r="Q566" s="242"/>
      <c r="R566" s="13"/>
      <c r="S566" s="13"/>
      <c r="T566" s="242"/>
      <c r="U566" s="242"/>
      <c r="V566" s="242"/>
      <c r="W566" s="242"/>
      <c r="X566" s="242"/>
      <c r="Y566" s="242"/>
    </row>
    <row r="567">
      <c r="A567" s="242"/>
      <c r="B567" s="242"/>
      <c r="C567" s="242"/>
      <c r="D567" s="242"/>
      <c r="E567" s="242"/>
      <c r="F567" s="242"/>
      <c r="G567" s="671"/>
      <c r="H567" s="671"/>
      <c r="I567" s="242"/>
      <c r="J567" s="242"/>
      <c r="K567" s="242"/>
      <c r="L567" s="389"/>
      <c r="M567" s="389"/>
      <c r="N567" s="242"/>
      <c r="O567" s="242"/>
      <c r="P567" s="13"/>
      <c r="Q567" s="242"/>
      <c r="R567" s="13"/>
      <c r="S567" s="13"/>
      <c r="T567" s="242"/>
      <c r="U567" s="242"/>
      <c r="V567" s="242"/>
      <c r="W567" s="242"/>
      <c r="X567" s="242"/>
      <c r="Y567" s="242"/>
    </row>
    <row r="568">
      <c r="A568" s="242"/>
      <c r="B568" s="242"/>
      <c r="C568" s="242"/>
      <c r="D568" s="242"/>
      <c r="E568" s="242"/>
      <c r="F568" s="242"/>
      <c r="G568" s="671"/>
      <c r="H568" s="671"/>
      <c r="I568" s="242"/>
      <c r="J568" s="242"/>
      <c r="K568" s="242"/>
      <c r="L568" s="389"/>
      <c r="M568" s="389"/>
      <c r="N568" s="242"/>
      <c r="O568" s="242"/>
      <c r="P568" s="13"/>
      <c r="Q568" s="242"/>
      <c r="R568" s="13"/>
      <c r="S568" s="13"/>
      <c r="T568" s="242"/>
      <c r="U568" s="242"/>
      <c r="V568" s="242"/>
      <c r="W568" s="242"/>
      <c r="X568" s="242"/>
      <c r="Y568" s="242"/>
    </row>
    <row r="569">
      <c r="A569" s="242"/>
      <c r="B569" s="242"/>
      <c r="C569" s="242"/>
      <c r="D569" s="242"/>
      <c r="E569" s="242"/>
      <c r="F569" s="242"/>
      <c r="G569" s="671"/>
      <c r="H569" s="671"/>
      <c r="I569" s="242"/>
      <c r="J569" s="242"/>
      <c r="K569" s="242"/>
      <c r="L569" s="389"/>
      <c r="M569" s="389"/>
      <c r="N569" s="242"/>
      <c r="O569" s="242"/>
      <c r="P569" s="13"/>
      <c r="Q569" s="242"/>
      <c r="R569" s="13"/>
      <c r="S569" s="13"/>
      <c r="T569" s="242"/>
      <c r="U569" s="242"/>
      <c r="V569" s="242"/>
      <c r="W569" s="242"/>
      <c r="X569" s="242"/>
      <c r="Y569" s="242"/>
    </row>
    <row r="570">
      <c r="A570" s="242"/>
      <c r="B570" s="242"/>
      <c r="C570" s="242"/>
      <c r="D570" s="242"/>
      <c r="E570" s="242"/>
      <c r="F570" s="242"/>
      <c r="G570" s="671"/>
      <c r="H570" s="671"/>
      <c r="I570" s="242"/>
      <c r="J570" s="242"/>
      <c r="K570" s="242"/>
      <c r="L570" s="389"/>
      <c r="M570" s="389"/>
      <c r="N570" s="242"/>
      <c r="O570" s="242"/>
      <c r="P570" s="13"/>
      <c r="Q570" s="242"/>
      <c r="R570" s="13"/>
      <c r="S570" s="13"/>
      <c r="T570" s="242"/>
      <c r="U570" s="242"/>
      <c r="V570" s="242"/>
      <c r="W570" s="242"/>
      <c r="X570" s="242"/>
      <c r="Y570" s="242"/>
    </row>
    <row r="571">
      <c r="A571" s="242"/>
      <c r="B571" s="242"/>
      <c r="C571" s="242"/>
      <c r="D571" s="242"/>
      <c r="E571" s="242"/>
      <c r="F571" s="242"/>
      <c r="G571" s="671"/>
      <c r="H571" s="671"/>
      <c r="I571" s="242"/>
      <c r="J571" s="242"/>
      <c r="K571" s="242"/>
      <c r="L571" s="389"/>
      <c r="M571" s="389"/>
      <c r="N571" s="242"/>
      <c r="O571" s="242"/>
      <c r="P571" s="13"/>
      <c r="Q571" s="242"/>
      <c r="R571" s="13"/>
      <c r="S571" s="13"/>
      <c r="T571" s="242"/>
      <c r="U571" s="242"/>
      <c r="V571" s="242"/>
      <c r="W571" s="242"/>
      <c r="X571" s="242"/>
      <c r="Y571" s="242"/>
    </row>
    <row r="572">
      <c r="A572" s="242"/>
      <c r="B572" s="242"/>
      <c r="C572" s="242"/>
      <c r="D572" s="242"/>
      <c r="E572" s="242"/>
      <c r="F572" s="242"/>
      <c r="G572" s="671"/>
      <c r="H572" s="671"/>
      <c r="I572" s="242"/>
      <c r="J572" s="242"/>
      <c r="K572" s="242"/>
      <c r="L572" s="389"/>
      <c r="M572" s="389"/>
      <c r="N572" s="242"/>
      <c r="O572" s="242"/>
      <c r="P572" s="13"/>
      <c r="Q572" s="242"/>
      <c r="R572" s="13"/>
      <c r="S572" s="13"/>
      <c r="T572" s="242"/>
      <c r="U572" s="242"/>
      <c r="V572" s="242"/>
      <c r="W572" s="242"/>
      <c r="X572" s="242"/>
      <c r="Y572" s="242"/>
    </row>
    <row r="573">
      <c r="A573" s="242"/>
      <c r="B573" s="242"/>
      <c r="C573" s="242"/>
      <c r="D573" s="242"/>
      <c r="E573" s="242"/>
      <c r="F573" s="242"/>
      <c r="G573" s="671"/>
      <c r="H573" s="671"/>
      <c r="I573" s="242"/>
      <c r="J573" s="242"/>
      <c r="K573" s="242"/>
      <c r="L573" s="389"/>
      <c r="M573" s="389"/>
      <c r="N573" s="242"/>
      <c r="O573" s="242"/>
      <c r="P573" s="13"/>
      <c r="Q573" s="242"/>
      <c r="R573" s="13"/>
      <c r="S573" s="13"/>
      <c r="T573" s="242"/>
      <c r="U573" s="242"/>
      <c r="V573" s="242"/>
      <c r="W573" s="242"/>
      <c r="X573" s="242"/>
      <c r="Y573" s="242"/>
    </row>
    <row r="574">
      <c r="A574" s="242"/>
      <c r="B574" s="242"/>
      <c r="C574" s="242"/>
      <c r="D574" s="242"/>
      <c r="E574" s="242"/>
      <c r="F574" s="242"/>
      <c r="G574" s="671"/>
      <c r="H574" s="671"/>
      <c r="I574" s="242"/>
      <c r="J574" s="242"/>
      <c r="K574" s="242"/>
      <c r="L574" s="389"/>
      <c r="M574" s="389"/>
      <c r="N574" s="242"/>
      <c r="O574" s="242"/>
      <c r="P574" s="13"/>
      <c r="Q574" s="242"/>
      <c r="R574" s="13"/>
      <c r="S574" s="13"/>
      <c r="T574" s="242"/>
      <c r="U574" s="242"/>
      <c r="V574" s="242"/>
      <c r="W574" s="242"/>
      <c r="X574" s="242"/>
      <c r="Y574" s="242"/>
    </row>
    <row r="575">
      <c r="A575" s="242"/>
      <c r="B575" s="242"/>
      <c r="C575" s="242"/>
      <c r="D575" s="242"/>
      <c r="E575" s="242"/>
      <c r="F575" s="242"/>
      <c r="G575" s="671"/>
      <c r="H575" s="671"/>
      <c r="I575" s="242"/>
      <c r="J575" s="242"/>
      <c r="K575" s="242"/>
      <c r="L575" s="389"/>
      <c r="M575" s="389"/>
      <c r="N575" s="242"/>
      <c r="O575" s="242"/>
      <c r="P575" s="13"/>
      <c r="Q575" s="242"/>
      <c r="R575" s="13"/>
      <c r="S575" s="13"/>
      <c r="T575" s="242"/>
      <c r="U575" s="242"/>
      <c r="V575" s="242"/>
      <c r="W575" s="242"/>
      <c r="X575" s="242"/>
      <c r="Y575" s="242"/>
    </row>
    <row r="576">
      <c r="A576" s="242"/>
      <c r="B576" s="242"/>
      <c r="C576" s="242"/>
      <c r="D576" s="242"/>
      <c r="E576" s="242"/>
      <c r="F576" s="242"/>
      <c r="G576" s="671"/>
      <c r="H576" s="671"/>
      <c r="I576" s="242"/>
      <c r="J576" s="242"/>
      <c r="K576" s="242"/>
      <c r="L576" s="389"/>
      <c r="M576" s="389"/>
      <c r="N576" s="242"/>
      <c r="O576" s="242"/>
      <c r="P576" s="13"/>
      <c r="Q576" s="242"/>
      <c r="R576" s="13"/>
      <c r="S576" s="13"/>
      <c r="T576" s="242"/>
      <c r="U576" s="242"/>
      <c r="V576" s="242"/>
      <c r="W576" s="242"/>
      <c r="X576" s="242"/>
      <c r="Y576" s="242"/>
    </row>
    <row r="577">
      <c r="A577" s="242"/>
      <c r="B577" s="242"/>
      <c r="C577" s="242"/>
      <c r="D577" s="242"/>
      <c r="E577" s="242"/>
      <c r="F577" s="242"/>
      <c r="G577" s="671"/>
      <c r="H577" s="671"/>
      <c r="I577" s="242"/>
      <c r="J577" s="242"/>
      <c r="K577" s="242"/>
      <c r="L577" s="389"/>
      <c r="M577" s="389"/>
      <c r="N577" s="242"/>
      <c r="O577" s="242"/>
      <c r="P577" s="13"/>
      <c r="Q577" s="242"/>
      <c r="R577" s="13"/>
      <c r="S577" s="13"/>
      <c r="T577" s="242"/>
      <c r="U577" s="242"/>
      <c r="V577" s="242"/>
      <c r="W577" s="242"/>
      <c r="X577" s="242"/>
      <c r="Y577" s="242"/>
    </row>
    <row r="578">
      <c r="A578" s="242"/>
      <c r="B578" s="242"/>
      <c r="C578" s="242"/>
      <c r="D578" s="242"/>
      <c r="E578" s="242"/>
      <c r="F578" s="242"/>
      <c r="G578" s="671"/>
      <c r="H578" s="671"/>
      <c r="I578" s="242"/>
      <c r="J578" s="242"/>
      <c r="K578" s="242"/>
      <c r="L578" s="389"/>
      <c r="M578" s="389"/>
      <c r="N578" s="242"/>
      <c r="O578" s="242"/>
      <c r="P578" s="13"/>
      <c r="Q578" s="242"/>
      <c r="R578" s="13"/>
      <c r="S578" s="13"/>
      <c r="T578" s="242"/>
      <c r="U578" s="242"/>
      <c r="V578" s="242"/>
      <c r="W578" s="242"/>
      <c r="X578" s="242"/>
      <c r="Y578" s="242"/>
    </row>
    <row r="579">
      <c r="A579" s="242"/>
      <c r="B579" s="242"/>
      <c r="C579" s="242"/>
      <c r="D579" s="242"/>
      <c r="E579" s="242"/>
      <c r="F579" s="242"/>
      <c r="G579" s="671"/>
      <c r="H579" s="671"/>
      <c r="I579" s="242"/>
      <c r="J579" s="242"/>
      <c r="K579" s="242"/>
      <c r="L579" s="389"/>
      <c r="M579" s="389"/>
      <c r="N579" s="242"/>
      <c r="O579" s="242"/>
      <c r="P579" s="13"/>
      <c r="Q579" s="242"/>
      <c r="R579" s="13"/>
      <c r="S579" s="13"/>
      <c r="T579" s="242"/>
      <c r="U579" s="242"/>
      <c r="V579" s="242"/>
      <c r="W579" s="242"/>
      <c r="X579" s="242"/>
      <c r="Y579" s="242"/>
    </row>
    <row r="580">
      <c r="A580" s="242"/>
      <c r="B580" s="242"/>
      <c r="C580" s="242"/>
      <c r="D580" s="242"/>
      <c r="E580" s="242"/>
      <c r="F580" s="242"/>
      <c r="G580" s="671"/>
      <c r="H580" s="671"/>
      <c r="I580" s="242"/>
      <c r="J580" s="242"/>
      <c r="K580" s="242"/>
      <c r="L580" s="389"/>
      <c r="M580" s="389"/>
      <c r="N580" s="242"/>
      <c r="O580" s="242"/>
      <c r="P580" s="13"/>
      <c r="Q580" s="242"/>
      <c r="R580" s="13"/>
      <c r="S580" s="13"/>
      <c r="T580" s="242"/>
      <c r="U580" s="242"/>
      <c r="V580" s="242"/>
      <c r="W580" s="242"/>
      <c r="X580" s="242"/>
      <c r="Y580" s="242"/>
    </row>
    <row r="581">
      <c r="A581" s="242"/>
      <c r="B581" s="242"/>
      <c r="C581" s="242"/>
      <c r="D581" s="242"/>
      <c r="E581" s="242"/>
      <c r="F581" s="242"/>
      <c r="G581" s="671"/>
      <c r="H581" s="671"/>
      <c r="I581" s="242"/>
      <c r="J581" s="242"/>
      <c r="K581" s="242"/>
      <c r="L581" s="389"/>
      <c r="M581" s="389"/>
      <c r="N581" s="242"/>
      <c r="O581" s="242"/>
      <c r="P581" s="13"/>
      <c r="Q581" s="242"/>
      <c r="R581" s="13"/>
      <c r="S581" s="13"/>
      <c r="T581" s="242"/>
      <c r="U581" s="242"/>
      <c r="V581" s="242"/>
      <c r="W581" s="242"/>
      <c r="X581" s="242"/>
      <c r="Y581" s="242"/>
    </row>
    <row r="582">
      <c r="A582" s="242"/>
      <c r="B582" s="242"/>
      <c r="C582" s="242"/>
      <c r="D582" s="242"/>
      <c r="E582" s="242"/>
      <c r="F582" s="242"/>
      <c r="G582" s="671"/>
      <c r="H582" s="671"/>
      <c r="I582" s="242"/>
      <c r="J582" s="242"/>
      <c r="K582" s="242"/>
      <c r="L582" s="389"/>
      <c r="M582" s="389"/>
      <c r="N582" s="242"/>
      <c r="O582" s="242"/>
      <c r="P582" s="13"/>
      <c r="Q582" s="242"/>
      <c r="R582" s="13"/>
      <c r="S582" s="13"/>
      <c r="T582" s="242"/>
      <c r="U582" s="242"/>
      <c r="V582" s="242"/>
      <c r="W582" s="242"/>
      <c r="X582" s="242"/>
      <c r="Y582" s="242"/>
    </row>
    <row r="583">
      <c r="A583" s="242"/>
      <c r="B583" s="242"/>
      <c r="C583" s="242"/>
      <c r="D583" s="242"/>
      <c r="E583" s="242"/>
      <c r="F583" s="242"/>
      <c r="G583" s="671"/>
      <c r="H583" s="671"/>
      <c r="I583" s="242"/>
      <c r="J583" s="242"/>
      <c r="K583" s="242"/>
      <c r="L583" s="389"/>
      <c r="M583" s="389"/>
      <c r="N583" s="242"/>
      <c r="O583" s="242"/>
      <c r="P583" s="13"/>
      <c r="Q583" s="242"/>
      <c r="R583" s="13"/>
      <c r="S583" s="13"/>
      <c r="T583" s="242"/>
      <c r="U583" s="242"/>
      <c r="V583" s="242"/>
      <c r="W583" s="242"/>
      <c r="X583" s="242"/>
      <c r="Y583" s="242"/>
    </row>
    <row r="584">
      <c r="A584" s="242"/>
      <c r="B584" s="242"/>
      <c r="C584" s="242"/>
      <c r="D584" s="242"/>
      <c r="E584" s="242"/>
      <c r="F584" s="242"/>
      <c r="G584" s="671"/>
      <c r="H584" s="671"/>
      <c r="I584" s="242"/>
      <c r="J584" s="242"/>
      <c r="K584" s="242"/>
      <c r="L584" s="389"/>
      <c r="M584" s="389"/>
      <c r="N584" s="242"/>
      <c r="O584" s="242"/>
      <c r="P584" s="13"/>
      <c r="Q584" s="242"/>
      <c r="R584" s="13"/>
      <c r="S584" s="13"/>
      <c r="T584" s="242"/>
      <c r="U584" s="242"/>
      <c r="V584" s="242"/>
      <c r="W584" s="242"/>
      <c r="X584" s="242"/>
      <c r="Y584" s="242"/>
    </row>
    <row r="585">
      <c r="A585" s="242"/>
      <c r="B585" s="242"/>
      <c r="C585" s="242"/>
      <c r="D585" s="242"/>
      <c r="E585" s="242"/>
      <c r="F585" s="242"/>
      <c r="G585" s="671"/>
      <c r="H585" s="671"/>
      <c r="I585" s="242"/>
      <c r="J585" s="242"/>
      <c r="K585" s="242"/>
      <c r="L585" s="389"/>
      <c r="M585" s="389"/>
      <c r="N585" s="242"/>
      <c r="O585" s="242"/>
      <c r="P585" s="13"/>
      <c r="Q585" s="242"/>
      <c r="R585" s="13"/>
      <c r="S585" s="13"/>
      <c r="T585" s="242"/>
      <c r="U585" s="242"/>
      <c r="V585" s="242"/>
      <c r="W585" s="242"/>
      <c r="X585" s="242"/>
      <c r="Y585" s="242"/>
    </row>
    <row r="586">
      <c r="A586" s="242"/>
      <c r="B586" s="242"/>
      <c r="C586" s="242"/>
      <c r="D586" s="242"/>
      <c r="E586" s="242"/>
      <c r="F586" s="242"/>
      <c r="G586" s="671"/>
      <c r="H586" s="671"/>
      <c r="I586" s="242"/>
      <c r="J586" s="242"/>
      <c r="K586" s="242"/>
      <c r="L586" s="389"/>
      <c r="M586" s="389"/>
      <c r="N586" s="242"/>
      <c r="O586" s="242"/>
      <c r="P586" s="13"/>
      <c r="Q586" s="242"/>
      <c r="R586" s="13"/>
      <c r="S586" s="13"/>
      <c r="T586" s="242"/>
      <c r="U586" s="242"/>
      <c r="V586" s="242"/>
      <c r="W586" s="242"/>
      <c r="X586" s="242"/>
      <c r="Y586" s="242"/>
    </row>
    <row r="587">
      <c r="A587" s="242"/>
      <c r="B587" s="242"/>
      <c r="C587" s="242"/>
      <c r="D587" s="242"/>
      <c r="E587" s="242"/>
      <c r="F587" s="242"/>
      <c r="G587" s="671"/>
      <c r="H587" s="671"/>
      <c r="I587" s="242"/>
      <c r="J587" s="242"/>
      <c r="K587" s="242"/>
      <c r="L587" s="389"/>
      <c r="M587" s="389"/>
      <c r="N587" s="242"/>
      <c r="O587" s="242"/>
      <c r="P587" s="13"/>
      <c r="Q587" s="242"/>
      <c r="R587" s="13"/>
      <c r="S587" s="13"/>
      <c r="T587" s="242"/>
      <c r="U587" s="242"/>
      <c r="V587" s="242"/>
      <c r="W587" s="242"/>
      <c r="X587" s="242"/>
      <c r="Y587" s="242"/>
    </row>
    <row r="588">
      <c r="A588" s="242"/>
      <c r="B588" s="242"/>
      <c r="C588" s="242"/>
      <c r="D588" s="242"/>
      <c r="E588" s="242"/>
      <c r="F588" s="242"/>
      <c r="G588" s="671"/>
      <c r="H588" s="671"/>
      <c r="I588" s="242"/>
      <c r="J588" s="242"/>
      <c r="K588" s="242"/>
      <c r="L588" s="389"/>
      <c r="M588" s="389"/>
      <c r="N588" s="242"/>
      <c r="O588" s="242"/>
      <c r="P588" s="13"/>
      <c r="Q588" s="242"/>
      <c r="R588" s="13"/>
      <c r="S588" s="13"/>
      <c r="T588" s="242"/>
      <c r="U588" s="242"/>
      <c r="V588" s="242"/>
      <c r="W588" s="242"/>
      <c r="X588" s="242"/>
      <c r="Y588" s="242"/>
    </row>
    <row r="589">
      <c r="A589" s="242"/>
      <c r="B589" s="242"/>
      <c r="C589" s="242"/>
      <c r="D589" s="242"/>
      <c r="E589" s="242"/>
      <c r="F589" s="242"/>
      <c r="G589" s="671"/>
      <c r="H589" s="671"/>
      <c r="I589" s="242"/>
      <c r="J589" s="242"/>
      <c r="K589" s="242"/>
      <c r="L589" s="389"/>
      <c r="M589" s="389"/>
      <c r="N589" s="242"/>
      <c r="O589" s="242"/>
      <c r="P589" s="13"/>
      <c r="Q589" s="242"/>
      <c r="R589" s="13"/>
      <c r="S589" s="13"/>
      <c r="T589" s="242"/>
      <c r="U589" s="242"/>
      <c r="V589" s="242"/>
      <c r="W589" s="242"/>
      <c r="X589" s="242"/>
      <c r="Y589" s="242"/>
    </row>
    <row r="590">
      <c r="A590" s="242"/>
      <c r="B590" s="242"/>
      <c r="C590" s="242"/>
      <c r="D590" s="242"/>
      <c r="E590" s="242"/>
      <c r="F590" s="242"/>
      <c r="G590" s="671"/>
      <c r="H590" s="671"/>
      <c r="I590" s="242"/>
      <c r="J590" s="242"/>
      <c r="K590" s="242"/>
      <c r="L590" s="389"/>
      <c r="M590" s="389"/>
      <c r="N590" s="242"/>
      <c r="O590" s="242"/>
      <c r="P590" s="13"/>
      <c r="Q590" s="242"/>
      <c r="R590" s="13"/>
      <c r="S590" s="13"/>
      <c r="T590" s="242"/>
      <c r="U590" s="242"/>
      <c r="V590" s="242"/>
      <c r="W590" s="242"/>
      <c r="X590" s="242"/>
      <c r="Y590" s="242"/>
    </row>
    <row r="591">
      <c r="A591" s="242"/>
      <c r="B591" s="242"/>
      <c r="C591" s="242"/>
      <c r="D591" s="242"/>
      <c r="E591" s="242"/>
      <c r="F591" s="242"/>
      <c r="G591" s="671"/>
      <c r="H591" s="671"/>
      <c r="I591" s="242"/>
      <c r="J591" s="242"/>
      <c r="K591" s="242"/>
      <c r="L591" s="389"/>
      <c r="M591" s="389"/>
      <c r="N591" s="242"/>
      <c r="O591" s="242"/>
      <c r="P591" s="13"/>
      <c r="Q591" s="242"/>
      <c r="R591" s="13"/>
      <c r="S591" s="13"/>
      <c r="T591" s="242"/>
      <c r="U591" s="242"/>
      <c r="V591" s="242"/>
      <c r="W591" s="242"/>
      <c r="X591" s="242"/>
      <c r="Y591" s="242"/>
    </row>
    <row r="592">
      <c r="A592" s="242"/>
      <c r="B592" s="242"/>
      <c r="C592" s="242"/>
      <c r="D592" s="242"/>
      <c r="E592" s="242"/>
      <c r="F592" s="242"/>
      <c r="G592" s="671"/>
      <c r="H592" s="671"/>
      <c r="I592" s="242"/>
      <c r="J592" s="242"/>
      <c r="K592" s="242"/>
      <c r="L592" s="389"/>
      <c r="M592" s="389"/>
      <c r="N592" s="242"/>
      <c r="O592" s="242"/>
      <c r="P592" s="13"/>
      <c r="Q592" s="242"/>
      <c r="R592" s="13"/>
      <c r="S592" s="13"/>
      <c r="T592" s="242"/>
      <c r="U592" s="242"/>
      <c r="V592" s="242"/>
      <c r="W592" s="242"/>
      <c r="X592" s="242"/>
      <c r="Y592" s="242"/>
    </row>
    <row r="593">
      <c r="A593" s="242"/>
      <c r="B593" s="242"/>
      <c r="C593" s="242"/>
      <c r="D593" s="242"/>
      <c r="E593" s="242"/>
      <c r="F593" s="242"/>
      <c r="G593" s="671"/>
      <c r="H593" s="671"/>
      <c r="I593" s="242"/>
      <c r="J593" s="242"/>
      <c r="K593" s="242"/>
      <c r="L593" s="389"/>
      <c r="M593" s="389"/>
      <c r="N593" s="242"/>
      <c r="O593" s="242"/>
      <c r="P593" s="13"/>
      <c r="Q593" s="242"/>
      <c r="R593" s="13"/>
      <c r="S593" s="13"/>
      <c r="T593" s="242"/>
      <c r="U593" s="242"/>
      <c r="V593" s="242"/>
      <c r="W593" s="242"/>
      <c r="X593" s="242"/>
      <c r="Y593" s="242"/>
    </row>
    <row r="594">
      <c r="A594" s="242"/>
      <c r="B594" s="242"/>
      <c r="C594" s="242"/>
      <c r="D594" s="242"/>
      <c r="E594" s="242"/>
      <c r="F594" s="242"/>
      <c r="G594" s="671"/>
      <c r="H594" s="671"/>
      <c r="I594" s="242"/>
      <c r="J594" s="242"/>
      <c r="K594" s="242"/>
      <c r="L594" s="389"/>
      <c r="M594" s="389"/>
      <c r="N594" s="242"/>
      <c r="O594" s="242"/>
      <c r="P594" s="13"/>
      <c r="Q594" s="242"/>
      <c r="R594" s="13"/>
      <c r="S594" s="13"/>
      <c r="T594" s="242"/>
      <c r="U594" s="242"/>
      <c r="V594" s="242"/>
      <c r="W594" s="242"/>
      <c r="X594" s="242"/>
      <c r="Y594" s="242"/>
    </row>
    <row r="595">
      <c r="A595" s="242"/>
      <c r="B595" s="242"/>
      <c r="C595" s="242"/>
      <c r="D595" s="242"/>
      <c r="E595" s="242"/>
      <c r="F595" s="242"/>
      <c r="G595" s="671"/>
      <c r="H595" s="671"/>
      <c r="I595" s="242"/>
      <c r="J595" s="242"/>
      <c r="K595" s="242"/>
      <c r="L595" s="389"/>
      <c r="M595" s="389"/>
      <c r="N595" s="242"/>
      <c r="O595" s="242"/>
      <c r="P595" s="13"/>
      <c r="Q595" s="242"/>
      <c r="R595" s="13"/>
      <c r="S595" s="13"/>
      <c r="T595" s="242"/>
      <c r="U595" s="242"/>
      <c r="V595" s="242"/>
      <c r="W595" s="242"/>
      <c r="X595" s="242"/>
      <c r="Y595" s="242"/>
    </row>
    <row r="596">
      <c r="A596" s="242"/>
      <c r="B596" s="242"/>
      <c r="C596" s="242"/>
      <c r="D596" s="242"/>
      <c r="E596" s="242"/>
      <c r="F596" s="242"/>
      <c r="G596" s="671"/>
      <c r="H596" s="671"/>
      <c r="I596" s="242"/>
      <c r="J596" s="242"/>
      <c r="K596" s="242"/>
      <c r="L596" s="389"/>
      <c r="M596" s="389"/>
      <c r="N596" s="242"/>
      <c r="O596" s="242"/>
      <c r="P596" s="13"/>
      <c r="Q596" s="242"/>
      <c r="R596" s="13"/>
      <c r="S596" s="13"/>
      <c r="T596" s="242"/>
      <c r="U596" s="242"/>
      <c r="V596" s="242"/>
      <c r="W596" s="242"/>
      <c r="X596" s="242"/>
      <c r="Y596" s="242"/>
    </row>
    <row r="597">
      <c r="A597" s="242"/>
      <c r="B597" s="242"/>
      <c r="C597" s="242"/>
      <c r="D597" s="242"/>
      <c r="E597" s="242"/>
      <c r="F597" s="242"/>
      <c r="G597" s="671"/>
      <c r="H597" s="671"/>
      <c r="I597" s="242"/>
      <c r="J597" s="242"/>
      <c r="K597" s="242"/>
      <c r="L597" s="389"/>
      <c r="M597" s="389"/>
      <c r="N597" s="242"/>
      <c r="O597" s="242"/>
      <c r="P597" s="13"/>
      <c r="Q597" s="242"/>
      <c r="R597" s="13"/>
      <c r="S597" s="13"/>
      <c r="T597" s="242"/>
      <c r="U597" s="242"/>
      <c r="V597" s="242"/>
      <c r="W597" s="242"/>
      <c r="X597" s="242"/>
      <c r="Y597" s="242"/>
    </row>
    <row r="598">
      <c r="A598" s="242"/>
      <c r="B598" s="242"/>
      <c r="C598" s="242"/>
      <c r="D598" s="242"/>
      <c r="E598" s="242"/>
      <c r="F598" s="242"/>
      <c r="G598" s="671"/>
      <c r="H598" s="671"/>
      <c r="I598" s="242"/>
      <c r="J598" s="242"/>
      <c r="K598" s="242"/>
      <c r="L598" s="389"/>
      <c r="M598" s="389"/>
      <c r="N598" s="242"/>
      <c r="O598" s="242"/>
      <c r="P598" s="13"/>
      <c r="Q598" s="242"/>
      <c r="R598" s="13"/>
      <c r="S598" s="13"/>
      <c r="T598" s="242"/>
      <c r="U598" s="242"/>
      <c r="V598" s="242"/>
      <c r="W598" s="242"/>
      <c r="X598" s="242"/>
      <c r="Y598" s="242"/>
    </row>
    <row r="599">
      <c r="A599" s="242"/>
      <c r="B599" s="242"/>
      <c r="C599" s="242"/>
      <c r="D599" s="242"/>
      <c r="E599" s="242"/>
      <c r="F599" s="242"/>
      <c r="G599" s="671"/>
      <c r="H599" s="671"/>
      <c r="I599" s="242"/>
      <c r="J599" s="242"/>
      <c r="K599" s="242"/>
      <c r="L599" s="389"/>
      <c r="M599" s="389"/>
      <c r="N599" s="242"/>
      <c r="O599" s="242"/>
      <c r="P599" s="13"/>
      <c r="Q599" s="242"/>
      <c r="R599" s="13"/>
      <c r="S599" s="13"/>
      <c r="T599" s="242"/>
      <c r="U599" s="242"/>
      <c r="V599" s="242"/>
      <c r="W599" s="242"/>
      <c r="X599" s="242"/>
      <c r="Y599" s="242"/>
    </row>
    <row r="600">
      <c r="A600" s="242"/>
      <c r="B600" s="242"/>
      <c r="C600" s="242"/>
      <c r="D600" s="242"/>
      <c r="E600" s="242"/>
      <c r="F600" s="242"/>
      <c r="G600" s="671"/>
      <c r="H600" s="671"/>
      <c r="I600" s="242"/>
      <c r="J600" s="242"/>
      <c r="K600" s="242"/>
      <c r="L600" s="389"/>
      <c r="M600" s="389"/>
      <c r="N600" s="242"/>
      <c r="O600" s="242"/>
      <c r="P600" s="13"/>
      <c r="Q600" s="242"/>
      <c r="R600" s="13"/>
      <c r="S600" s="13"/>
      <c r="T600" s="242"/>
      <c r="U600" s="242"/>
      <c r="V600" s="242"/>
      <c r="W600" s="242"/>
      <c r="X600" s="242"/>
      <c r="Y600" s="242"/>
    </row>
    <row r="601">
      <c r="A601" s="242"/>
      <c r="B601" s="242"/>
      <c r="C601" s="242"/>
      <c r="D601" s="242"/>
      <c r="E601" s="242"/>
      <c r="F601" s="242"/>
      <c r="G601" s="671"/>
      <c r="H601" s="671"/>
      <c r="I601" s="242"/>
      <c r="J601" s="242"/>
      <c r="K601" s="242"/>
      <c r="L601" s="389"/>
      <c r="M601" s="389"/>
      <c r="N601" s="242"/>
      <c r="O601" s="242"/>
      <c r="P601" s="13"/>
      <c r="Q601" s="242"/>
      <c r="R601" s="13"/>
      <c r="S601" s="13"/>
      <c r="T601" s="242"/>
      <c r="U601" s="242"/>
      <c r="V601" s="242"/>
      <c r="W601" s="242"/>
      <c r="X601" s="242"/>
      <c r="Y601" s="242"/>
    </row>
    <row r="602">
      <c r="A602" s="242"/>
      <c r="B602" s="242"/>
      <c r="C602" s="242"/>
      <c r="D602" s="242"/>
      <c r="E602" s="242"/>
      <c r="F602" s="242"/>
      <c r="G602" s="671"/>
      <c r="H602" s="671"/>
      <c r="I602" s="242"/>
      <c r="J602" s="242"/>
      <c r="K602" s="242"/>
      <c r="L602" s="389"/>
      <c r="M602" s="389"/>
      <c r="N602" s="242"/>
      <c r="O602" s="242"/>
      <c r="P602" s="13"/>
      <c r="Q602" s="242"/>
      <c r="R602" s="13"/>
      <c r="S602" s="13"/>
      <c r="T602" s="242"/>
      <c r="U602" s="242"/>
      <c r="V602" s="242"/>
      <c r="W602" s="242"/>
      <c r="X602" s="242"/>
      <c r="Y602" s="242"/>
    </row>
    <row r="603">
      <c r="A603" s="242"/>
      <c r="B603" s="242"/>
      <c r="C603" s="242"/>
      <c r="D603" s="242"/>
      <c r="E603" s="242"/>
      <c r="F603" s="242"/>
      <c r="G603" s="671"/>
      <c r="H603" s="671"/>
      <c r="I603" s="242"/>
      <c r="J603" s="242"/>
      <c r="K603" s="242"/>
      <c r="L603" s="389"/>
      <c r="M603" s="389"/>
      <c r="N603" s="242"/>
      <c r="O603" s="242"/>
      <c r="P603" s="13"/>
      <c r="Q603" s="242"/>
      <c r="R603" s="13"/>
      <c r="S603" s="13"/>
      <c r="T603" s="242"/>
      <c r="U603" s="242"/>
      <c r="V603" s="242"/>
      <c r="W603" s="242"/>
      <c r="X603" s="242"/>
      <c r="Y603" s="242"/>
    </row>
    <row r="604">
      <c r="A604" s="242"/>
      <c r="B604" s="242"/>
      <c r="C604" s="242"/>
      <c r="D604" s="242"/>
      <c r="E604" s="242"/>
      <c r="F604" s="242"/>
      <c r="G604" s="671"/>
      <c r="H604" s="671"/>
      <c r="I604" s="242"/>
      <c r="J604" s="242"/>
      <c r="K604" s="242"/>
      <c r="L604" s="389"/>
      <c r="M604" s="389"/>
      <c r="N604" s="242"/>
      <c r="O604" s="242"/>
      <c r="P604" s="13"/>
      <c r="Q604" s="242"/>
      <c r="R604" s="13"/>
      <c r="S604" s="13"/>
      <c r="T604" s="242"/>
      <c r="U604" s="242"/>
      <c r="V604" s="242"/>
      <c r="W604" s="242"/>
      <c r="X604" s="242"/>
      <c r="Y604" s="242"/>
    </row>
    <row r="605">
      <c r="A605" s="242"/>
      <c r="B605" s="242"/>
      <c r="C605" s="242"/>
      <c r="D605" s="242"/>
      <c r="E605" s="242"/>
      <c r="F605" s="242"/>
      <c r="G605" s="671"/>
      <c r="H605" s="671"/>
      <c r="I605" s="242"/>
      <c r="J605" s="242"/>
      <c r="K605" s="242"/>
      <c r="L605" s="389"/>
      <c r="M605" s="389"/>
      <c r="N605" s="242"/>
      <c r="O605" s="242"/>
      <c r="P605" s="13"/>
      <c r="Q605" s="242"/>
      <c r="R605" s="13"/>
      <c r="S605" s="13"/>
      <c r="T605" s="242"/>
      <c r="U605" s="242"/>
      <c r="V605" s="242"/>
      <c r="W605" s="242"/>
      <c r="X605" s="242"/>
      <c r="Y605" s="242"/>
    </row>
    <row r="606">
      <c r="A606" s="242"/>
      <c r="B606" s="242"/>
      <c r="C606" s="242"/>
      <c r="D606" s="242"/>
      <c r="E606" s="242"/>
      <c r="F606" s="242"/>
      <c r="G606" s="671"/>
      <c r="H606" s="671"/>
      <c r="I606" s="242"/>
      <c r="J606" s="242"/>
      <c r="K606" s="242"/>
      <c r="L606" s="389"/>
      <c r="M606" s="389"/>
      <c r="N606" s="242"/>
      <c r="O606" s="242"/>
      <c r="P606" s="13"/>
      <c r="Q606" s="242"/>
      <c r="R606" s="13"/>
      <c r="S606" s="13"/>
      <c r="T606" s="242"/>
      <c r="U606" s="242"/>
      <c r="V606" s="242"/>
      <c r="W606" s="242"/>
      <c r="X606" s="242"/>
      <c r="Y606" s="242"/>
    </row>
    <row r="607">
      <c r="A607" s="242"/>
      <c r="B607" s="242"/>
      <c r="C607" s="242"/>
      <c r="D607" s="242"/>
      <c r="E607" s="242"/>
      <c r="F607" s="242"/>
      <c r="G607" s="671"/>
      <c r="H607" s="671"/>
      <c r="I607" s="242"/>
      <c r="J607" s="242"/>
      <c r="K607" s="242"/>
      <c r="L607" s="389"/>
      <c r="M607" s="389"/>
      <c r="N607" s="242"/>
      <c r="O607" s="242"/>
      <c r="P607" s="13"/>
      <c r="Q607" s="242"/>
      <c r="R607" s="13"/>
      <c r="S607" s="13"/>
      <c r="T607" s="242"/>
      <c r="U607" s="242"/>
      <c r="V607" s="242"/>
      <c r="W607" s="242"/>
      <c r="X607" s="242"/>
      <c r="Y607" s="242"/>
    </row>
    <row r="608">
      <c r="A608" s="242"/>
      <c r="B608" s="242"/>
      <c r="C608" s="242"/>
      <c r="D608" s="242"/>
      <c r="E608" s="242"/>
      <c r="F608" s="242"/>
      <c r="G608" s="671"/>
      <c r="H608" s="671"/>
      <c r="I608" s="242"/>
      <c r="J608" s="242"/>
      <c r="K608" s="242"/>
      <c r="L608" s="389"/>
      <c r="M608" s="389"/>
      <c r="N608" s="242"/>
      <c r="O608" s="242"/>
      <c r="P608" s="13"/>
      <c r="Q608" s="242"/>
      <c r="R608" s="13"/>
      <c r="S608" s="13"/>
      <c r="T608" s="242"/>
      <c r="U608" s="242"/>
      <c r="V608" s="242"/>
      <c r="W608" s="242"/>
      <c r="X608" s="242"/>
      <c r="Y608" s="242"/>
    </row>
    <row r="609">
      <c r="A609" s="242"/>
      <c r="B609" s="242"/>
      <c r="C609" s="242"/>
      <c r="D609" s="242"/>
      <c r="E609" s="242"/>
      <c r="F609" s="242"/>
      <c r="G609" s="671"/>
      <c r="H609" s="671"/>
      <c r="I609" s="242"/>
      <c r="J609" s="242"/>
      <c r="K609" s="242"/>
      <c r="L609" s="389"/>
      <c r="M609" s="389"/>
      <c r="N609" s="242"/>
      <c r="O609" s="242"/>
      <c r="P609" s="13"/>
      <c r="Q609" s="242"/>
      <c r="R609" s="13"/>
      <c r="S609" s="13"/>
      <c r="T609" s="242"/>
      <c r="U609" s="242"/>
      <c r="V609" s="242"/>
      <c r="W609" s="242"/>
      <c r="X609" s="242"/>
      <c r="Y609" s="242"/>
    </row>
    <row r="610">
      <c r="A610" s="242"/>
      <c r="B610" s="242"/>
      <c r="C610" s="242"/>
      <c r="D610" s="242"/>
      <c r="E610" s="242"/>
      <c r="F610" s="242"/>
      <c r="G610" s="671"/>
      <c r="H610" s="671"/>
      <c r="I610" s="242"/>
      <c r="J610" s="242"/>
      <c r="K610" s="242"/>
      <c r="L610" s="389"/>
      <c r="M610" s="389"/>
      <c r="N610" s="242"/>
      <c r="O610" s="242"/>
      <c r="P610" s="13"/>
      <c r="Q610" s="242"/>
      <c r="R610" s="13"/>
      <c r="S610" s="13"/>
      <c r="T610" s="242"/>
      <c r="U610" s="242"/>
      <c r="V610" s="242"/>
      <c r="W610" s="242"/>
      <c r="X610" s="242"/>
      <c r="Y610" s="242"/>
    </row>
    <row r="611">
      <c r="A611" s="242"/>
      <c r="B611" s="242"/>
      <c r="C611" s="242"/>
      <c r="D611" s="242"/>
      <c r="E611" s="242"/>
      <c r="F611" s="242"/>
      <c r="G611" s="671"/>
      <c r="H611" s="671"/>
      <c r="I611" s="242"/>
      <c r="J611" s="242"/>
      <c r="K611" s="242"/>
      <c r="L611" s="389"/>
      <c r="M611" s="389"/>
      <c r="N611" s="242"/>
      <c r="O611" s="242"/>
      <c r="P611" s="13"/>
      <c r="Q611" s="242"/>
      <c r="R611" s="13"/>
      <c r="S611" s="13"/>
      <c r="T611" s="242"/>
      <c r="U611" s="242"/>
      <c r="V611" s="242"/>
      <c r="W611" s="242"/>
      <c r="X611" s="242"/>
      <c r="Y611" s="242"/>
    </row>
    <row r="612">
      <c r="A612" s="242"/>
      <c r="B612" s="242"/>
      <c r="C612" s="242"/>
      <c r="D612" s="242"/>
      <c r="E612" s="242"/>
      <c r="F612" s="242"/>
      <c r="G612" s="671"/>
      <c r="H612" s="671"/>
      <c r="I612" s="242"/>
      <c r="J612" s="242"/>
      <c r="K612" s="242"/>
      <c r="L612" s="389"/>
      <c r="M612" s="389"/>
      <c r="N612" s="242"/>
      <c r="O612" s="242"/>
      <c r="P612" s="13"/>
      <c r="Q612" s="242"/>
      <c r="R612" s="13"/>
      <c r="S612" s="13"/>
      <c r="T612" s="242"/>
      <c r="U612" s="242"/>
      <c r="V612" s="242"/>
      <c r="W612" s="242"/>
      <c r="X612" s="242"/>
      <c r="Y612" s="242"/>
    </row>
    <row r="613">
      <c r="A613" s="242"/>
      <c r="B613" s="242"/>
      <c r="C613" s="242"/>
      <c r="D613" s="242"/>
      <c r="E613" s="242"/>
      <c r="F613" s="242"/>
      <c r="G613" s="671"/>
      <c r="H613" s="671"/>
      <c r="I613" s="242"/>
      <c r="J613" s="242"/>
      <c r="K613" s="242"/>
      <c r="L613" s="389"/>
      <c r="M613" s="389"/>
      <c r="N613" s="242"/>
      <c r="O613" s="242"/>
      <c r="P613" s="13"/>
      <c r="Q613" s="242"/>
      <c r="R613" s="13"/>
      <c r="S613" s="13"/>
      <c r="T613" s="242"/>
      <c r="U613" s="242"/>
      <c r="V613" s="242"/>
      <c r="W613" s="242"/>
      <c r="X613" s="242"/>
      <c r="Y613" s="242"/>
    </row>
    <row r="614">
      <c r="A614" s="242"/>
      <c r="B614" s="242"/>
      <c r="C614" s="242"/>
      <c r="D614" s="242"/>
      <c r="E614" s="242"/>
      <c r="F614" s="242"/>
      <c r="G614" s="671"/>
      <c r="H614" s="671"/>
      <c r="I614" s="242"/>
      <c r="J614" s="242"/>
      <c r="K614" s="242"/>
      <c r="L614" s="389"/>
      <c r="M614" s="389"/>
      <c r="N614" s="242"/>
      <c r="O614" s="242"/>
      <c r="P614" s="13"/>
      <c r="Q614" s="242"/>
      <c r="R614" s="13"/>
      <c r="S614" s="13"/>
      <c r="T614" s="242"/>
      <c r="U614" s="242"/>
      <c r="V614" s="242"/>
      <c r="W614" s="242"/>
      <c r="X614" s="242"/>
      <c r="Y614" s="242"/>
    </row>
    <row r="615">
      <c r="A615" s="242"/>
      <c r="B615" s="242"/>
      <c r="C615" s="242"/>
      <c r="D615" s="242"/>
      <c r="E615" s="242"/>
      <c r="F615" s="242"/>
      <c r="G615" s="671"/>
      <c r="H615" s="671"/>
      <c r="I615" s="242"/>
      <c r="J615" s="242"/>
      <c r="K615" s="242"/>
      <c r="L615" s="389"/>
      <c r="M615" s="389"/>
      <c r="N615" s="242"/>
      <c r="O615" s="242"/>
      <c r="P615" s="13"/>
      <c r="Q615" s="242"/>
      <c r="R615" s="13"/>
      <c r="S615" s="13"/>
      <c r="T615" s="242"/>
      <c r="U615" s="242"/>
      <c r="V615" s="242"/>
      <c r="W615" s="242"/>
      <c r="X615" s="242"/>
      <c r="Y615" s="242"/>
    </row>
    <row r="616">
      <c r="A616" s="242"/>
      <c r="B616" s="242"/>
      <c r="C616" s="242"/>
      <c r="D616" s="242"/>
      <c r="E616" s="242"/>
      <c r="F616" s="242"/>
      <c r="G616" s="671"/>
      <c r="H616" s="671"/>
      <c r="I616" s="242"/>
      <c r="J616" s="242"/>
      <c r="K616" s="242"/>
      <c r="L616" s="389"/>
      <c r="M616" s="389"/>
      <c r="N616" s="242"/>
      <c r="O616" s="242"/>
      <c r="P616" s="13"/>
      <c r="Q616" s="242"/>
      <c r="R616" s="13"/>
      <c r="S616" s="13"/>
      <c r="T616" s="242"/>
      <c r="U616" s="242"/>
      <c r="V616" s="242"/>
      <c r="W616" s="242"/>
      <c r="X616" s="242"/>
      <c r="Y616" s="242"/>
    </row>
    <row r="617">
      <c r="A617" s="242"/>
      <c r="B617" s="242"/>
      <c r="C617" s="242"/>
      <c r="D617" s="242"/>
      <c r="E617" s="242"/>
      <c r="F617" s="242"/>
      <c r="G617" s="671"/>
      <c r="H617" s="671"/>
      <c r="I617" s="242"/>
      <c r="J617" s="242"/>
      <c r="K617" s="242"/>
      <c r="L617" s="389"/>
      <c r="M617" s="389"/>
      <c r="N617" s="242"/>
      <c r="O617" s="242"/>
      <c r="P617" s="13"/>
      <c r="Q617" s="242"/>
      <c r="R617" s="13"/>
      <c r="S617" s="13"/>
      <c r="T617" s="242"/>
      <c r="U617" s="242"/>
      <c r="V617" s="242"/>
      <c r="W617" s="242"/>
      <c r="X617" s="242"/>
      <c r="Y617" s="242"/>
    </row>
    <row r="618">
      <c r="A618" s="242"/>
      <c r="B618" s="242"/>
      <c r="C618" s="242"/>
      <c r="D618" s="242"/>
      <c r="E618" s="242"/>
      <c r="F618" s="242"/>
      <c r="G618" s="671"/>
      <c r="H618" s="671"/>
      <c r="I618" s="242"/>
      <c r="J618" s="242"/>
      <c r="K618" s="242"/>
      <c r="L618" s="389"/>
      <c r="M618" s="389"/>
      <c r="N618" s="242"/>
      <c r="O618" s="242"/>
      <c r="P618" s="13"/>
      <c r="Q618" s="242"/>
      <c r="R618" s="13"/>
      <c r="S618" s="13"/>
      <c r="T618" s="242"/>
      <c r="U618" s="242"/>
      <c r="V618" s="242"/>
      <c r="W618" s="242"/>
      <c r="X618" s="242"/>
      <c r="Y618" s="242"/>
    </row>
    <row r="619">
      <c r="A619" s="242"/>
      <c r="B619" s="242"/>
      <c r="C619" s="242"/>
      <c r="D619" s="242"/>
      <c r="E619" s="242"/>
      <c r="F619" s="242"/>
      <c r="G619" s="671"/>
      <c r="H619" s="671"/>
      <c r="I619" s="242"/>
      <c r="J619" s="242"/>
      <c r="K619" s="242"/>
      <c r="L619" s="389"/>
      <c r="M619" s="389"/>
      <c r="N619" s="242"/>
      <c r="O619" s="242"/>
      <c r="P619" s="13"/>
      <c r="Q619" s="242"/>
      <c r="R619" s="13"/>
      <c r="S619" s="13"/>
      <c r="T619" s="242"/>
      <c r="U619" s="242"/>
      <c r="V619" s="242"/>
      <c r="W619" s="242"/>
      <c r="X619" s="242"/>
      <c r="Y619" s="242"/>
    </row>
    <row r="620">
      <c r="A620" s="242"/>
      <c r="B620" s="242"/>
      <c r="C620" s="242"/>
      <c r="D620" s="242"/>
      <c r="E620" s="242"/>
      <c r="F620" s="242"/>
      <c r="G620" s="671"/>
      <c r="H620" s="671"/>
      <c r="I620" s="242"/>
      <c r="J620" s="242"/>
      <c r="K620" s="242"/>
      <c r="L620" s="389"/>
      <c r="M620" s="389"/>
      <c r="N620" s="242"/>
      <c r="O620" s="242"/>
      <c r="P620" s="13"/>
      <c r="Q620" s="242"/>
      <c r="R620" s="13"/>
      <c r="S620" s="13"/>
      <c r="T620" s="242"/>
      <c r="U620" s="242"/>
      <c r="V620" s="242"/>
      <c r="W620" s="242"/>
      <c r="X620" s="242"/>
      <c r="Y620" s="242"/>
    </row>
    <row r="621">
      <c r="A621" s="242"/>
      <c r="B621" s="242"/>
      <c r="C621" s="242"/>
      <c r="D621" s="242"/>
      <c r="E621" s="242"/>
      <c r="F621" s="242"/>
      <c r="G621" s="671"/>
      <c r="H621" s="671"/>
      <c r="I621" s="242"/>
      <c r="J621" s="242"/>
      <c r="K621" s="242"/>
      <c r="L621" s="389"/>
      <c r="M621" s="389"/>
      <c r="N621" s="242"/>
      <c r="O621" s="242"/>
      <c r="P621" s="13"/>
      <c r="Q621" s="242"/>
      <c r="R621" s="13"/>
      <c r="S621" s="13"/>
      <c r="T621" s="242"/>
      <c r="U621" s="242"/>
      <c r="V621" s="242"/>
      <c r="W621" s="242"/>
      <c r="X621" s="242"/>
      <c r="Y621" s="242"/>
    </row>
    <row r="622">
      <c r="A622" s="242"/>
      <c r="B622" s="242"/>
      <c r="C622" s="242"/>
      <c r="D622" s="242"/>
      <c r="E622" s="242"/>
      <c r="F622" s="242"/>
      <c r="G622" s="671"/>
      <c r="H622" s="671"/>
      <c r="I622" s="242"/>
      <c r="J622" s="242"/>
      <c r="K622" s="242"/>
      <c r="L622" s="389"/>
      <c r="M622" s="389"/>
      <c r="N622" s="242"/>
      <c r="O622" s="242"/>
      <c r="P622" s="13"/>
      <c r="Q622" s="242"/>
      <c r="R622" s="13"/>
      <c r="S622" s="13"/>
      <c r="T622" s="242"/>
      <c r="U622" s="242"/>
      <c r="V622" s="242"/>
      <c r="W622" s="242"/>
      <c r="X622" s="242"/>
      <c r="Y622" s="242"/>
    </row>
    <row r="623">
      <c r="A623" s="242"/>
      <c r="B623" s="242"/>
      <c r="C623" s="242"/>
      <c r="D623" s="242"/>
      <c r="E623" s="242"/>
      <c r="F623" s="242"/>
      <c r="G623" s="671"/>
      <c r="H623" s="671"/>
      <c r="I623" s="242"/>
      <c r="J623" s="242"/>
      <c r="K623" s="242"/>
      <c r="L623" s="389"/>
      <c r="M623" s="389"/>
      <c r="N623" s="242"/>
      <c r="O623" s="242"/>
      <c r="P623" s="13"/>
      <c r="Q623" s="242"/>
      <c r="R623" s="13"/>
      <c r="S623" s="13"/>
      <c r="T623" s="242"/>
      <c r="U623" s="242"/>
      <c r="V623" s="242"/>
      <c r="W623" s="242"/>
      <c r="X623" s="242"/>
      <c r="Y623" s="242"/>
    </row>
    <row r="624">
      <c r="A624" s="242"/>
      <c r="B624" s="242"/>
      <c r="C624" s="242"/>
      <c r="D624" s="242"/>
      <c r="E624" s="242"/>
      <c r="F624" s="242"/>
      <c r="G624" s="671"/>
      <c r="H624" s="671"/>
      <c r="I624" s="242"/>
      <c r="J624" s="242"/>
      <c r="K624" s="242"/>
      <c r="L624" s="389"/>
      <c r="M624" s="389"/>
      <c r="N624" s="242"/>
      <c r="O624" s="242"/>
      <c r="P624" s="13"/>
      <c r="Q624" s="242"/>
      <c r="R624" s="13"/>
      <c r="S624" s="13"/>
      <c r="T624" s="242"/>
      <c r="U624" s="242"/>
      <c r="V624" s="242"/>
      <c r="W624" s="242"/>
      <c r="X624" s="242"/>
      <c r="Y624" s="242"/>
    </row>
    <row r="625">
      <c r="A625" s="242"/>
      <c r="B625" s="242"/>
      <c r="C625" s="242"/>
      <c r="D625" s="242"/>
      <c r="E625" s="242"/>
      <c r="F625" s="242"/>
      <c r="G625" s="671"/>
      <c r="H625" s="671"/>
      <c r="I625" s="242"/>
      <c r="J625" s="242"/>
      <c r="K625" s="242"/>
      <c r="L625" s="389"/>
      <c r="M625" s="389"/>
      <c r="N625" s="242"/>
      <c r="O625" s="242"/>
      <c r="P625" s="13"/>
      <c r="Q625" s="242"/>
      <c r="R625" s="13"/>
      <c r="S625" s="13"/>
      <c r="T625" s="242"/>
      <c r="U625" s="242"/>
      <c r="V625" s="242"/>
      <c r="W625" s="242"/>
      <c r="X625" s="242"/>
      <c r="Y625" s="242"/>
    </row>
    <row r="626">
      <c r="A626" s="242"/>
      <c r="B626" s="242"/>
      <c r="C626" s="242"/>
      <c r="D626" s="242"/>
      <c r="E626" s="242"/>
      <c r="F626" s="242"/>
      <c r="G626" s="671"/>
      <c r="H626" s="671"/>
      <c r="I626" s="242"/>
      <c r="J626" s="242"/>
      <c r="K626" s="242"/>
      <c r="L626" s="389"/>
      <c r="M626" s="389"/>
      <c r="N626" s="242"/>
      <c r="O626" s="242"/>
      <c r="P626" s="13"/>
      <c r="Q626" s="242"/>
      <c r="R626" s="13"/>
      <c r="S626" s="13"/>
      <c r="T626" s="242"/>
      <c r="U626" s="242"/>
      <c r="V626" s="242"/>
      <c r="W626" s="242"/>
      <c r="X626" s="242"/>
      <c r="Y626" s="242"/>
    </row>
    <row r="627">
      <c r="A627" s="242"/>
      <c r="B627" s="242"/>
      <c r="C627" s="242"/>
      <c r="D627" s="242"/>
      <c r="E627" s="242"/>
      <c r="F627" s="242"/>
      <c r="G627" s="671"/>
      <c r="H627" s="671"/>
      <c r="I627" s="242"/>
      <c r="J627" s="242"/>
      <c r="K627" s="242"/>
      <c r="L627" s="389"/>
      <c r="M627" s="389"/>
      <c r="N627" s="242"/>
      <c r="O627" s="242"/>
      <c r="P627" s="13"/>
      <c r="Q627" s="242"/>
      <c r="R627" s="13"/>
      <c r="S627" s="13"/>
      <c r="T627" s="242"/>
      <c r="U627" s="242"/>
      <c r="V627" s="242"/>
      <c r="W627" s="242"/>
      <c r="X627" s="242"/>
      <c r="Y627" s="242"/>
    </row>
    <row r="628">
      <c r="A628" s="242"/>
      <c r="B628" s="242"/>
      <c r="C628" s="242"/>
      <c r="D628" s="242"/>
      <c r="E628" s="242"/>
      <c r="F628" s="242"/>
      <c r="G628" s="671"/>
      <c r="H628" s="671"/>
      <c r="I628" s="242"/>
      <c r="J628" s="242"/>
      <c r="K628" s="242"/>
      <c r="L628" s="389"/>
      <c r="M628" s="389"/>
      <c r="N628" s="242"/>
      <c r="O628" s="242"/>
      <c r="P628" s="13"/>
      <c r="Q628" s="242"/>
      <c r="R628" s="13"/>
      <c r="S628" s="13"/>
      <c r="T628" s="242"/>
      <c r="U628" s="242"/>
      <c r="V628" s="242"/>
      <c r="W628" s="242"/>
      <c r="X628" s="242"/>
      <c r="Y628" s="242"/>
    </row>
    <row r="629">
      <c r="A629" s="242"/>
      <c r="B629" s="242"/>
      <c r="C629" s="242"/>
      <c r="D629" s="242"/>
      <c r="E629" s="242"/>
      <c r="F629" s="242"/>
      <c r="G629" s="671"/>
      <c r="H629" s="671"/>
      <c r="I629" s="242"/>
      <c r="J629" s="242"/>
      <c r="K629" s="242"/>
      <c r="L629" s="389"/>
      <c r="M629" s="389"/>
      <c r="N629" s="242"/>
      <c r="O629" s="242"/>
      <c r="P629" s="13"/>
      <c r="Q629" s="242"/>
      <c r="R629" s="13"/>
      <c r="S629" s="13"/>
      <c r="T629" s="242"/>
      <c r="U629" s="242"/>
      <c r="V629" s="242"/>
      <c r="W629" s="242"/>
      <c r="X629" s="242"/>
      <c r="Y629" s="242"/>
    </row>
    <row r="630">
      <c r="A630" s="242"/>
      <c r="B630" s="242"/>
      <c r="C630" s="242"/>
      <c r="D630" s="242"/>
      <c r="E630" s="242"/>
      <c r="F630" s="242"/>
      <c r="G630" s="671"/>
      <c r="H630" s="671"/>
      <c r="I630" s="242"/>
      <c r="J630" s="242"/>
      <c r="K630" s="242"/>
      <c r="L630" s="389"/>
      <c r="M630" s="389"/>
      <c r="N630" s="242"/>
      <c r="O630" s="242"/>
      <c r="P630" s="13"/>
      <c r="Q630" s="242"/>
      <c r="R630" s="13"/>
      <c r="S630" s="13"/>
      <c r="T630" s="242"/>
      <c r="U630" s="242"/>
      <c r="V630" s="242"/>
      <c r="W630" s="242"/>
      <c r="X630" s="242"/>
      <c r="Y630" s="242"/>
    </row>
    <row r="631">
      <c r="A631" s="242"/>
      <c r="B631" s="242"/>
      <c r="C631" s="242"/>
      <c r="D631" s="242"/>
      <c r="E631" s="242"/>
      <c r="F631" s="242"/>
      <c r="G631" s="671"/>
      <c r="H631" s="671"/>
      <c r="I631" s="242"/>
      <c r="J631" s="242"/>
      <c r="K631" s="242"/>
      <c r="L631" s="389"/>
      <c r="M631" s="389"/>
      <c r="N631" s="242"/>
      <c r="O631" s="242"/>
      <c r="P631" s="13"/>
      <c r="Q631" s="242"/>
      <c r="R631" s="13"/>
      <c r="S631" s="13"/>
      <c r="T631" s="242"/>
      <c r="U631" s="242"/>
      <c r="V631" s="242"/>
      <c r="W631" s="242"/>
      <c r="X631" s="242"/>
      <c r="Y631" s="242"/>
    </row>
    <row r="632">
      <c r="A632" s="242"/>
      <c r="B632" s="242"/>
      <c r="C632" s="242"/>
      <c r="D632" s="242"/>
      <c r="E632" s="242"/>
      <c r="F632" s="242"/>
      <c r="G632" s="671"/>
      <c r="H632" s="671"/>
      <c r="I632" s="242"/>
      <c r="J632" s="242"/>
      <c r="K632" s="242"/>
      <c r="L632" s="389"/>
      <c r="M632" s="389"/>
      <c r="N632" s="242"/>
      <c r="O632" s="242"/>
      <c r="P632" s="13"/>
      <c r="Q632" s="242"/>
      <c r="R632" s="13"/>
      <c r="S632" s="13"/>
      <c r="T632" s="242"/>
      <c r="U632" s="242"/>
      <c r="V632" s="242"/>
      <c r="W632" s="242"/>
      <c r="X632" s="242"/>
      <c r="Y632" s="242"/>
    </row>
    <row r="633">
      <c r="A633" s="242"/>
      <c r="B633" s="242"/>
      <c r="C633" s="242"/>
      <c r="D633" s="242"/>
      <c r="E633" s="242"/>
      <c r="F633" s="242"/>
      <c r="G633" s="671"/>
      <c r="H633" s="671"/>
      <c r="I633" s="242"/>
      <c r="J633" s="242"/>
      <c r="K633" s="242"/>
      <c r="L633" s="389"/>
      <c r="M633" s="389"/>
      <c r="N633" s="242"/>
      <c r="O633" s="242"/>
      <c r="P633" s="13"/>
      <c r="Q633" s="242"/>
      <c r="R633" s="13"/>
      <c r="S633" s="13"/>
      <c r="T633" s="242"/>
      <c r="U633" s="242"/>
      <c r="V633" s="242"/>
      <c r="W633" s="242"/>
      <c r="X633" s="242"/>
      <c r="Y633" s="242"/>
    </row>
    <row r="634">
      <c r="A634" s="242"/>
      <c r="B634" s="242"/>
      <c r="C634" s="242"/>
      <c r="D634" s="242"/>
      <c r="E634" s="242"/>
      <c r="F634" s="242"/>
      <c r="G634" s="671"/>
      <c r="H634" s="671"/>
      <c r="I634" s="242"/>
      <c r="J634" s="242"/>
      <c r="K634" s="242"/>
      <c r="L634" s="389"/>
      <c r="M634" s="389"/>
      <c r="N634" s="242"/>
      <c r="O634" s="242"/>
      <c r="P634" s="13"/>
      <c r="Q634" s="242"/>
      <c r="R634" s="13"/>
      <c r="S634" s="13"/>
      <c r="T634" s="242"/>
      <c r="U634" s="242"/>
      <c r="V634" s="242"/>
      <c r="W634" s="242"/>
      <c r="X634" s="242"/>
      <c r="Y634" s="242"/>
    </row>
    <row r="635">
      <c r="A635" s="242"/>
      <c r="B635" s="242"/>
      <c r="C635" s="242"/>
      <c r="D635" s="242"/>
      <c r="E635" s="242"/>
      <c r="F635" s="242"/>
      <c r="G635" s="671"/>
      <c r="H635" s="671"/>
      <c r="I635" s="242"/>
      <c r="J635" s="242"/>
      <c r="K635" s="242"/>
      <c r="L635" s="389"/>
      <c r="M635" s="389"/>
      <c r="N635" s="242"/>
      <c r="O635" s="242"/>
      <c r="P635" s="13"/>
      <c r="Q635" s="242"/>
      <c r="R635" s="13"/>
      <c r="S635" s="13"/>
      <c r="T635" s="242"/>
      <c r="U635" s="242"/>
      <c r="V635" s="242"/>
      <c r="W635" s="242"/>
      <c r="X635" s="242"/>
      <c r="Y635" s="242"/>
    </row>
    <row r="636">
      <c r="A636" s="242"/>
      <c r="B636" s="242"/>
      <c r="C636" s="242"/>
      <c r="D636" s="242"/>
      <c r="E636" s="242"/>
      <c r="F636" s="242"/>
      <c r="G636" s="671"/>
      <c r="H636" s="671"/>
      <c r="I636" s="242"/>
      <c r="J636" s="242"/>
      <c r="K636" s="242"/>
      <c r="L636" s="389"/>
      <c r="M636" s="389"/>
      <c r="N636" s="242"/>
      <c r="O636" s="242"/>
      <c r="P636" s="13"/>
      <c r="Q636" s="242"/>
      <c r="R636" s="13"/>
      <c r="S636" s="13"/>
      <c r="T636" s="242"/>
      <c r="U636" s="242"/>
      <c r="V636" s="242"/>
      <c r="W636" s="242"/>
      <c r="X636" s="242"/>
      <c r="Y636" s="242"/>
    </row>
    <row r="637">
      <c r="A637" s="242"/>
      <c r="B637" s="242"/>
      <c r="C637" s="242"/>
      <c r="D637" s="242"/>
      <c r="E637" s="242"/>
      <c r="F637" s="242"/>
      <c r="G637" s="671"/>
      <c r="H637" s="671"/>
      <c r="I637" s="242"/>
      <c r="J637" s="242"/>
      <c r="K637" s="242"/>
      <c r="L637" s="389"/>
      <c r="M637" s="389"/>
      <c r="N637" s="242"/>
      <c r="O637" s="242"/>
      <c r="P637" s="13"/>
      <c r="Q637" s="242"/>
      <c r="R637" s="13"/>
      <c r="S637" s="13"/>
      <c r="T637" s="242"/>
      <c r="U637" s="242"/>
      <c r="V637" s="242"/>
      <c r="W637" s="242"/>
      <c r="X637" s="242"/>
      <c r="Y637" s="242"/>
    </row>
    <row r="638">
      <c r="A638" s="242"/>
      <c r="B638" s="242"/>
      <c r="C638" s="242"/>
      <c r="D638" s="242"/>
      <c r="E638" s="242"/>
      <c r="F638" s="242"/>
      <c r="G638" s="671"/>
      <c r="H638" s="671"/>
      <c r="I638" s="242"/>
      <c r="J638" s="242"/>
      <c r="K638" s="242"/>
      <c r="L638" s="389"/>
      <c r="M638" s="389"/>
      <c r="N638" s="242"/>
      <c r="O638" s="242"/>
      <c r="P638" s="13"/>
      <c r="Q638" s="242"/>
      <c r="R638" s="13"/>
      <c r="S638" s="13"/>
      <c r="T638" s="242"/>
      <c r="U638" s="242"/>
      <c r="V638" s="242"/>
      <c r="W638" s="242"/>
      <c r="X638" s="242"/>
      <c r="Y638" s="242"/>
    </row>
    <row r="639">
      <c r="A639" s="242"/>
      <c r="B639" s="242"/>
      <c r="C639" s="242"/>
      <c r="D639" s="242"/>
      <c r="E639" s="242"/>
      <c r="F639" s="242"/>
      <c r="G639" s="671"/>
      <c r="H639" s="671"/>
      <c r="I639" s="242"/>
      <c r="J639" s="242"/>
      <c r="K639" s="242"/>
      <c r="L639" s="389"/>
      <c r="M639" s="389"/>
      <c r="N639" s="242"/>
      <c r="O639" s="242"/>
      <c r="P639" s="13"/>
      <c r="Q639" s="242"/>
      <c r="R639" s="13"/>
      <c r="S639" s="13"/>
      <c r="T639" s="242"/>
      <c r="U639" s="242"/>
      <c r="V639" s="242"/>
      <c r="W639" s="242"/>
      <c r="X639" s="242"/>
      <c r="Y639" s="242"/>
    </row>
    <row r="640">
      <c r="A640" s="242"/>
      <c r="B640" s="242"/>
      <c r="C640" s="242"/>
      <c r="D640" s="242"/>
      <c r="E640" s="242"/>
      <c r="F640" s="242"/>
      <c r="G640" s="671"/>
      <c r="H640" s="671"/>
      <c r="I640" s="242"/>
      <c r="J640" s="242"/>
      <c r="K640" s="242"/>
      <c r="L640" s="389"/>
      <c r="M640" s="389"/>
      <c r="N640" s="242"/>
      <c r="O640" s="242"/>
      <c r="P640" s="13"/>
      <c r="Q640" s="242"/>
      <c r="R640" s="13"/>
      <c r="S640" s="13"/>
      <c r="T640" s="242"/>
      <c r="U640" s="242"/>
      <c r="V640" s="242"/>
      <c r="W640" s="242"/>
      <c r="X640" s="242"/>
      <c r="Y640" s="242"/>
    </row>
    <row r="641">
      <c r="A641" s="242"/>
      <c r="B641" s="242"/>
      <c r="C641" s="242"/>
      <c r="D641" s="242"/>
      <c r="E641" s="242"/>
      <c r="F641" s="242"/>
      <c r="G641" s="671"/>
      <c r="H641" s="671"/>
      <c r="I641" s="242"/>
      <c r="J641" s="242"/>
      <c r="K641" s="242"/>
      <c r="L641" s="389"/>
      <c r="M641" s="389"/>
      <c r="N641" s="242"/>
      <c r="O641" s="242"/>
      <c r="P641" s="13"/>
      <c r="Q641" s="242"/>
      <c r="R641" s="13"/>
      <c r="S641" s="13"/>
      <c r="T641" s="242"/>
      <c r="U641" s="242"/>
      <c r="V641" s="242"/>
      <c r="W641" s="242"/>
      <c r="X641" s="242"/>
      <c r="Y641" s="242"/>
    </row>
    <row r="642">
      <c r="A642" s="242"/>
      <c r="B642" s="242"/>
      <c r="C642" s="242"/>
      <c r="D642" s="242"/>
      <c r="E642" s="242"/>
      <c r="F642" s="242"/>
      <c r="G642" s="671"/>
      <c r="H642" s="671"/>
      <c r="I642" s="242"/>
      <c r="J642" s="242"/>
      <c r="K642" s="242"/>
      <c r="L642" s="389"/>
      <c r="M642" s="389"/>
      <c r="N642" s="242"/>
      <c r="O642" s="242"/>
      <c r="P642" s="13"/>
      <c r="Q642" s="242"/>
      <c r="R642" s="13"/>
      <c r="S642" s="13"/>
      <c r="T642" s="242"/>
      <c r="U642" s="242"/>
      <c r="V642" s="242"/>
      <c r="W642" s="242"/>
      <c r="X642" s="242"/>
      <c r="Y642" s="242"/>
    </row>
    <row r="643">
      <c r="A643" s="242"/>
      <c r="B643" s="242"/>
      <c r="C643" s="242"/>
      <c r="D643" s="242"/>
      <c r="E643" s="242"/>
      <c r="F643" s="242"/>
      <c r="G643" s="671"/>
      <c r="H643" s="671"/>
      <c r="I643" s="242"/>
      <c r="J643" s="242"/>
      <c r="K643" s="242"/>
      <c r="L643" s="389"/>
      <c r="M643" s="389"/>
      <c r="N643" s="242"/>
      <c r="O643" s="242"/>
      <c r="P643" s="13"/>
      <c r="Q643" s="242"/>
      <c r="R643" s="13"/>
      <c r="S643" s="13"/>
      <c r="T643" s="242"/>
      <c r="U643" s="242"/>
      <c r="V643" s="242"/>
      <c r="W643" s="242"/>
      <c r="X643" s="242"/>
      <c r="Y643" s="242"/>
    </row>
    <row r="644">
      <c r="A644" s="242"/>
      <c r="B644" s="242"/>
      <c r="C644" s="242"/>
      <c r="D644" s="242"/>
      <c r="E644" s="242"/>
      <c r="F644" s="242"/>
      <c r="G644" s="671"/>
      <c r="H644" s="671"/>
      <c r="I644" s="242"/>
      <c r="J644" s="242"/>
      <c r="K644" s="242"/>
      <c r="L644" s="389"/>
      <c r="M644" s="389"/>
      <c r="N644" s="242"/>
      <c r="O644" s="242"/>
      <c r="P644" s="13"/>
      <c r="Q644" s="242"/>
      <c r="R644" s="13"/>
      <c r="S644" s="13"/>
      <c r="T644" s="242"/>
      <c r="U644" s="242"/>
      <c r="V644" s="242"/>
      <c r="W644" s="242"/>
      <c r="X644" s="242"/>
      <c r="Y644" s="242"/>
    </row>
    <row r="645">
      <c r="A645" s="242"/>
      <c r="B645" s="242"/>
      <c r="C645" s="242"/>
      <c r="D645" s="242"/>
      <c r="E645" s="242"/>
      <c r="F645" s="242"/>
      <c r="G645" s="671"/>
      <c r="H645" s="671"/>
      <c r="I645" s="242"/>
      <c r="J645" s="242"/>
      <c r="K645" s="242"/>
      <c r="L645" s="389"/>
      <c r="M645" s="389"/>
      <c r="N645" s="242"/>
      <c r="O645" s="242"/>
      <c r="P645" s="13"/>
      <c r="Q645" s="242"/>
      <c r="R645" s="13"/>
      <c r="S645" s="13"/>
      <c r="T645" s="242"/>
      <c r="U645" s="242"/>
      <c r="V645" s="242"/>
      <c r="W645" s="242"/>
      <c r="X645" s="242"/>
      <c r="Y645" s="242"/>
    </row>
    <row r="646">
      <c r="A646" s="242"/>
      <c r="B646" s="242"/>
      <c r="C646" s="242"/>
      <c r="D646" s="242"/>
      <c r="E646" s="242"/>
      <c r="F646" s="242"/>
      <c r="G646" s="671"/>
      <c r="H646" s="671"/>
      <c r="I646" s="242"/>
      <c r="J646" s="242"/>
      <c r="K646" s="242"/>
      <c r="L646" s="389"/>
      <c r="M646" s="389"/>
      <c r="N646" s="242"/>
      <c r="O646" s="242"/>
      <c r="P646" s="13"/>
      <c r="Q646" s="242"/>
      <c r="R646" s="13"/>
      <c r="S646" s="13"/>
      <c r="T646" s="242"/>
      <c r="U646" s="242"/>
      <c r="V646" s="242"/>
      <c r="W646" s="242"/>
      <c r="X646" s="242"/>
      <c r="Y646" s="242"/>
    </row>
    <row r="647">
      <c r="A647" s="242"/>
      <c r="B647" s="242"/>
      <c r="C647" s="242"/>
      <c r="D647" s="242"/>
      <c r="E647" s="242"/>
      <c r="F647" s="242"/>
      <c r="G647" s="671"/>
      <c r="H647" s="671"/>
      <c r="I647" s="242"/>
      <c r="J647" s="242"/>
      <c r="K647" s="242"/>
      <c r="L647" s="389"/>
      <c r="M647" s="389"/>
      <c r="N647" s="242"/>
      <c r="O647" s="242"/>
      <c r="P647" s="13"/>
      <c r="Q647" s="242"/>
      <c r="R647" s="13"/>
      <c r="S647" s="13"/>
      <c r="T647" s="242"/>
      <c r="U647" s="242"/>
      <c r="V647" s="242"/>
      <c r="W647" s="242"/>
      <c r="X647" s="242"/>
      <c r="Y647" s="242"/>
    </row>
    <row r="648">
      <c r="A648" s="242"/>
      <c r="B648" s="242"/>
      <c r="C648" s="242"/>
      <c r="D648" s="242"/>
      <c r="E648" s="242"/>
      <c r="F648" s="242"/>
      <c r="G648" s="671"/>
      <c r="H648" s="671"/>
      <c r="I648" s="242"/>
      <c r="J648" s="242"/>
      <c r="K648" s="242"/>
      <c r="L648" s="389"/>
      <c r="M648" s="389"/>
      <c r="N648" s="242"/>
      <c r="O648" s="242"/>
      <c r="P648" s="13"/>
      <c r="Q648" s="242"/>
      <c r="R648" s="13"/>
      <c r="S648" s="13"/>
      <c r="T648" s="242"/>
      <c r="U648" s="242"/>
      <c r="V648" s="242"/>
      <c r="W648" s="242"/>
      <c r="X648" s="242"/>
      <c r="Y648" s="242"/>
    </row>
    <row r="649">
      <c r="A649" s="242"/>
      <c r="B649" s="242"/>
      <c r="C649" s="242"/>
      <c r="D649" s="242"/>
      <c r="E649" s="242"/>
      <c r="F649" s="242"/>
      <c r="G649" s="671"/>
      <c r="H649" s="671"/>
      <c r="I649" s="242"/>
      <c r="J649" s="242"/>
      <c r="K649" s="242"/>
      <c r="L649" s="389"/>
      <c r="M649" s="389"/>
      <c r="N649" s="242"/>
      <c r="O649" s="242"/>
      <c r="P649" s="13"/>
      <c r="Q649" s="242"/>
      <c r="R649" s="13"/>
      <c r="S649" s="13"/>
      <c r="T649" s="242"/>
      <c r="U649" s="242"/>
      <c r="V649" s="242"/>
      <c r="W649" s="242"/>
      <c r="X649" s="242"/>
      <c r="Y649" s="242"/>
    </row>
    <row r="650">
      <c r="A650" s="242"/>
      <c r="B650" s="242"/>
      <c r="C650" s="242"/>
      <c r="D650" s="242"/>
      <c r="E650" s="242"/>
      <c r="F650" s="242"/>
      <c r="G650" s="671"/>
      <c r="H650" s="671"/>
      <c r="I650" s="242"/>
      <c r="J650" s="242"/>
      <c r="K650" s="242"/>
      <c r="L650" s="389"/>
      <c r="M650" s="389"/>
      <c r="N650" s="242"/>
      <c r="O650" s="242"/>
      <c r="P650" s="13"/>
      <c r="Q650" s="242"/>
      <c r="R650" s="13"/>
      <c r="S650" s="13"/>
      <c r="T650" s="242"/>
      <c r="U650" s="242"/>
      <c r="V650" s="242"/>
      <c r="W650" s="242"/>
      <c r="X650" s="242"/>
      <c r="Y650" s="242"/>
    </row>
    <row r="651">
      <c r="A651" s="242"/>
      <c r="B651" s="242"/>
      <c r="C651" s="242"/>
      <c r="D651" s="242"/>
      <c r="E651" s="242"/>
      <c r="F651" s="242"/>
      <c r="G651" s="671"/>
      <c r="H651" s="671"/>
      <c r="I651" s="242"/>
      <c r="J651" s="242"/>
      <c r="K651" s="242"/>
      <c r="L651" s="389"/>
      <c r="M651" s="389"/>
      <c r="N651" s="242"/>
      <c r="O651" s="242"/>
      <c r="P651" s="13"/>
      <c r="Q651" s="242"/>
      <c r="R651" s="13"/>
      <c r="S651" s="13"/>
      <c r="T651" s="242"/>
      <c r="U651" s="242"/>
      <c r="V651" s="242"/>
      <c r="W651" s="242"/>
      <c r="X651" s="242"/>
      <c r="Y651" s="242"/>
    </row>
    <row r="652">
      <c r="A652" s="242"/>
      <c r="B652" s="242"/>
      <c r="C652" s="242"/>
      <c r="D652" s="242"/>
      <c r="E652" s="242"/>
      <c r="F652" s="242"/>
      <c r="G652" s="671"/>
      <c r="H652" s="671"/>
      <c r="I652" s="242"/>
      <c r="J652" s="242"/>
      <c r="K652" s="242"/>
      <c r="L652" s="389"/>
      <c r="M652" s="389"/>
      <c r="N652" s="242"/>
      <c r="O652" s="242"/>
      <c r="P652" s="13"/>
      <c r="Q652" s="242"/>
      <c r="R652" s="13"/>
      <c r="S652" s="13"/>
      <c r="T652" s="242"/>
      <c r="U652" s="242"/>
      <c r="V652" s="242"/>
      <c r="W652" s="242"/>
      <c r="X652" s="242"/>
      <c r="Y652" s="242"/>
    </row>
    <row r="653">
      <c r="A653" s="242"/>
      <c r="B653" s="242"/>
      <c r="C653" s="242"/>
      <c r="D653" s="242"/>
      <c r="E653" s="242"/>
      <c r="F653" s="242"/>
      <c r="G653" s="671"/>
      <c r="H653" s="671"/>
      <c r="I653" s="242"/>
      <c r="J653" s="242"/>
      <c r="K653" s="242"/>
      <c r="L653" s="389"/>
      <c r="M653" s="389"/>
      <c r="N653" s="242"/>
      <c r="O653" s="242"/>
      <c r="P653" s="13"/>
      <c r="Q653" s="242"/>
      <c r="R653" s="13"/>
      <c r="S653" s="13"/>
      <c r="T653" s="242"/>
      <c r="U653" s="242"/>
      <c r="V653" s="242"/>
      <c r="W653" s="242"/>
      <c r="X653" s="242"/>
      <c r="Y653" s="242"/>
    </row>
    <row r="654">
      <c r="A654" s="242"/>
      <c r="B654" s="242"/>
      <c r="C654" s="242"/>
      <c r="D654" s="242"/>
      <c r="E654" s="242"/>
      <c r="F654" s="242"/>
      <c r="G654" s="671"/>
      <c r="H654" s="671"/>
      <c r="I654" s="242"/>
      <c r="J654" s="242"/>
      <c r="K654" s="242"/>
      <c r="L654" s="389"/>
      <c r="M654" s="389"/>
      <c r="N654" s="242"/>
      <c r="O654" s="242"/>
      <c r="P654" s="13"/>
      <c r="Q654" s="242"/>
      <c r="R654" s="13"/>
      <c r="S654" s="13"/>
      <c r="T654" s="242"/>
      <c r="U654" s="242"/>
      <c r="V654" s="242"/>
      <c r="W654" s="242"/>
      <c r="X654" s="242"/>
      <c r="Y654" s="242"/>
    </row>
    <row r="655">
      <c r="A655" s="242"/>
      <c r="B655" s="242"/>
      <c r="C655" s="242"/>
      <c r="D655" s="242"/>
      <c r="E655" s="242"/>
      <c r="F655" s="242"/>
      <c r="G655" s="671"/>
      <c r="H655" s="671"/>
      <c r="I655" s="242"/>
      <c r="J655" s="242"/>
      <c r="K655" s="242"/>
      <c r="L655" s="389"/>
      <c r="M655" s="389"/>
      <c r="N655" s="242"/>
      <c r="O655" s="242"/>
      <c r="P655" s="13"/>
      <c r="Q655" s="242"/>
      <c r="R655" s="13"/>
      <c r="S655" s="13"/>
      <c r="T655" s="242"/>
      <c r="U655" s="242"/>
      <c r="V655" s="242"/>
      <c r="W655" s="242"/>
      <c r="X655" s="242"/>
      <c r="Y655" s="242"/>
    </row>
    <row r="656">
      <c r="A656" s="242"/>
      <c r="B656" s="242"/>
      <c r="C656" s="242"/>
      <c r="D656" s="242"/>
      <c r="E656" s="242"/>
      <c r="F656" s="242"/>
      <c r="G656" s="671"/>
      <c r="H656" s="671"/>
      <c r="I656" s="242"/>
      <c r="J656" s="242"/>
      <c r="K656" s="242"/>
      <c r="L656" s="389"/>
      <c r="M656" s="389"/>
      <c r="N656" s="242"/>
      <c r="O656" s="242"/>
      <c r="P656" s="13"/>
      <c r="Q656" s="242"/>
      <c r="R656" s="13"/>
      <c r="S656" s="13"/>
      <c r="T656" s="242"/>
      <c r="U656" s="242"/>
      <c r="V656" s="242"/>
      <c r="W656" s="242"/>
      <c r="X656" s="242"/>
      <c r="Y656" s="242"/>
    </row>
    <row r="657">
      <c r="A657" s="242"/>
      <c r="B657" s="242"/>
      <c r="C657" s="242"/>
      <c r="D657" s="242"/>
      <c r="E657" s="242"/>
      <c r="F657" s="242"/>
      <c r="G657" s="671"/>
      <c r="H657" s="671"/>
      <c r="I657" s="242"/>
      <c r="J657" s="242"/>
      <c r="K657" s="242"/>
      <c r="L657" s="389"/>
      <c r="M657" s="389"/>
      <c r="N657" s="242"/>
      <c r="O657" s="242"/>
      <c r="P657" s="13"/>
      <c r="Q657" s="242"/>
      <c r="R657" s="13"/>
      <c r="S657" s="13"/>
      <c r="T657" s="242"/>
      <c r="U657" s="242"/>
      <c r="V657" s="242"/>
      <c r="W657" s="242"/>
      <c r="X657" s="242"/>
      <c r="Y657" s="242"/>
    </row>
    <row r="658">
      <c r="A658" s="242"/>
      <c r="B658" s="242"/>
      <c r="C658" s="242"/>
      <c r="D658" s="242"/>
      <c r="E658" s="242"/>
      <c r="F658" s="242"/>
      <c r="G658" s="671"/>
      <c r="H658" s="671"/>
      <c r="I658" s="242"/>
      <c r="J658" s="242"/>
      <c r="K658" s="242"/>
      <c r="L658" s="389"/>
      <c r="M658" s="389"/>
      <c r="N658" s="242"/>
      <c r="O658" s="242"/>
      <c r="P658" s="13"/>
      <c r="Q658" s="242"/>
      <c r="R658" s="13"/>
      <c r="S658" s="13"/>
      <c r="T658" s="242"/>
      <c r="U658" s="242"/>
      <c r="V658" s="242"/>
      <c r="W658" s="242"/>
      <c r="X658" s="242"/>
      <c r="Y658" s="242"/>
    </row>
    <row r="659">
      <c r="A659" s="242"/>
      <c r="B659" s="242"/>
      <c r="C659" s="242"/>
      <c r="D659" s="242"/>
      <c r="E659" s="242"/>
      <c r="F659" s="242"/>
      <c r="G659" s="671"/>
      <c r="H659" s="671"/>
      <c r="I659" s="242"/>
      <c r="J659" s="242"/>
      <c r="K659" s="242"/>
      <c r="L659" s="389"/>
      <c r="M659" s="389"/>
      <c r="N659" s="242"/>
      <c r="O659" s="242"/>
      <c r="P659" s="13"/>
      <c r="Q659" s="242"/>
      <c r="R659" s="13"/>
      <c r="S659" s="13"/>
      <c r="T659" s="242"/>
      <c r="U659" s="242"/>
      <c r="V659" s="242"/>
      <c r="W659" s="242"/>
      <c r="X659" s="242"/>
      <c r="Y659" s="242"/>
    </row>
    <row r="660">
      <c r="A660" s="242"/>
      <c r="B660" s="242"/>
      <c r="C660" s="242"/>
      <c r="D660" s="242"/>
      <c r="E660" s="242"/>
      <c r="F660" s="242"/>
      <c r="G660" s="671"/>
      <c r="H660" s="671"/>
      <c r="I660" s="242"/>
      <c r="J660" s="242"/>
      <c r="K660" s="242"/>
      <c r="L660" s="389"/>
      <c r="M660" s="389"/>
      <c r="N660" s="242"/>
      <c r="O660" s="242"/>
      <c r="P660" s="13"/>
      <c r="Q660" s="242"/>
      <c r="R660" s="13"/>
      <c r="S660" s="13"/>
      <c r="T660" s="242"/>
      <c r="U660" s="242"/>
      <c r="V660" s="242"/>
      <c r="W660" s="242"/>
      <c r="X660" s="242"/>
      <c r="Y660" s="242"/>
    </row>
    <row r="661">
      <c r="A661" s="242"/>
      <c r="B661" s="242"/>
      <c r="C661" s="242"/>
      <c r="D661" s="242"/>
      <c r="E661" s="242"/>
      <c r="F661" s="242"/>
      <c r="G661" s="671"/>
      <c r="H661" s="671"/>
      <c r="I661" s="242"/>
      <c r="J661" s="242"/>
      <c r="K661" s="242"/>
      <c r="L661" s="389"/>
      <c r="M661" s="389"/>
      <c r="N661" s="242"/>
      <c r="O661" s="242"/>
      <c r="P661" s="13"/>
      <c r="Q661" s="242"/>
      <c r="R661" s="13"/>
      <c r="S661" s="13"/>
      <c r="T661" s="242"/>
      <c r="U661" s="242"/>
      <c r="V661" s="242"/>
      <c r="W661" s="242"/>
      <c r="X661" s="242"/>
      <c r="Y661" s="242"/>
    </row>
    <row r="662">
      <c r="A662" s="242"/>
      <c r="B662" s="242"/>
      <c r="C662" s="242"/>
      <c r="D662" s="242"/>
      <c r="E662" s="242"/>
      <c r="F662" s="242"/>
      <c r="G662" s="671"/>
      <c r="H662" s="671"/>
      <c r="I662" s="242"/>
      <c r="J662" s="242"/>
      <c r="K662" s="242"/>
      <c r="L662" s="389"/>
      <c r="M662" s="389"/>
      <c r="N662" s="242"/>
      <c r="O662" s="242"/>
      <c r="P662" s="13"/>
      <c r="Q662" s="242"/>
      <c r="R662" s="13"/>
      <c r="S662" s="13"/>
      <c r="T662" s="242"/>
      <c r="U662" s="242"/>
      <c r="V662" s="242"/>
      <c r="W662" s="242"/>
      <c r="X662" s="242"/>
      <c r="Y662" s="242"/>
    </row>
    <row r="663">
      <c r="A663" s="242"/>
      <c r="B663" s="242"/>
      <c r="C663" s="242"/>
      <c r="D663" s="242"/>
      <c r="E663" s="242"/>
      <c r="F663" s="242"/>
      <c r="G663" s="671"/>
      <c r="H663" s="671"/>
      <c r="I663" s="242"/>
      <c r="J663" s="242"/>
      <c r="K663" s="242"/>
      <c r="L663" s="389"/>
      <c r="M663" s="389"/>
      <c r="N663" s="242"/>
      <c r="O663" s="242"/>
      <c r="P663" s="13"/>
      <c r="Q663" s="242"/>
      <c r="R663" s="13"/>
      <c r="S663" s="13"/>
      <c r="T663" s="242"/>
      <c r="U663" s="242"/>
      <c r="V663" s="242"/>
      <c r="W663" s="242"/>
      <c r="X663" s="242"/>
      <c r="Y663" s="242"/>
    </row>
    <row r="664">
      <c r="A664" s="242"/>
      <c r="B664" s="242"/>
      <c r="C664" s="242"/>
      <c r="D664" s="242"/>
      <c r="E664" s="242"/>
      <c r="F664" s="242"/>
      <c r="G664" s="671"/>
      <c r="H664" s="671"/>
      <c r="I664" s="242"/>
      <c r="J664" s="242"/>
      <c r="K664" s="242"/>
      <c r="L664" s="389"/>
      <c r="M664" s="389"/>
      <c r="N664" s="242"/>
      <c r="O664" s="242"/>
      <c r="P664" s="13"/>
      <c r="Q664" s="242"/>
      <c r="R664" s="13"/>
      <c r="S664" s="13"/>
      <c r="T664" s="242"/>
      <c r="U664" s="242"/>
      <c r="V664" s="242"/>
      <c r="W664" s="242"/>
      <c r="X664" s="242"/>
      <c r="Y664" s="242"/>
    </row>
    <row r="665">
      <c r="A665" s="242"/>
      <c r="B665" s="242"/>
      <c r="C665" s="242"/>
      <c r="D665" s="242"/>
      <c r="E665" s="242"/>
      <c r="F665" s="242"/>
      <c r="G665" s="671"/>
      <c r="H665" s="671"/>
      <c r="I665" s="242"/>
      <c r="J665" s="242"/>
      <c r="K665" s="242"/>
      <c r="L665" s="389"/>
      <c r="M665" s="389"/>
      <c r="N665" s="242"/>
      <c r="O665" s="242"/>
      <c r="P665" s="13"/>
      <c r="Q665" s="242"/>
      <c r="R665" s="13"/>
      <c r="S665" s="13"/>
      <c r="T665" s="242"/>
      <c r="U665" s="242"/>
      <c r="V665" s="242"/>
      <c r="W665" s="242"/>
      <c r="X665" s="242"/>
      <c r="Y665" s="242"/>
    </row>
    <row r="666">
      <c r="A666" s="242"/>
      <c r="B666" s="242"/>
      <c r="C666" s="242"/>
      <c r="D666" s="242"/>
      <c r="E666" s="242"/>
      <c r="F666" s="242"/>
      <c r="G666" s="671"/>
      <c r="H666" s="671"/>
      <c r="I666" s="242"/>
      <c r="J666" s="242"/>
      <c r="K666" s="242"/>
      <c r="L666" s="389"/>
      <c r="M666" s="389"/>
      <c r="N666" s="242"/>
      <c r="O666" s="242"/>
      <c r="P666" s="13"/>
      <c r="Q666" s="242"/>
      <c r="R666" s="13"/>
      <c r="S666" s="13"/>
      <c r="T666" s="242"/>
      <c r="U666" s="242"/>
      <c r="V666" s="242"/>
      <c r="W666" s="242"/>
      <c r="X666" s="242"/>
      <c r="Y666" s="242"/>
    </row>
    <row r="667">
      <c r="A667" s="242"/>
      <c r="B667" s="242"/>
      <c r="C667" s="242"/>
      <c r="D667" s="242"/>
      <c r="E667" s="242"/>
      <c r="F667" s="242"/>
      <c r="G667" s="671"/>
      <c r="H667" s="671"/>
      <c r="I667" s="242"/>
      <c r="J667" s="242"/>
      <c r="K667" s="242"/>
      <c r="L667" s="389"/>
      <c r="M667" s="389"/>
      <c r="N667" s="242"/>
      <c r="O667" s="242"/>
      <c r="P667" s="13"/>
      <c r="Q667" s="242"/>
      <c r="R667" s="13"/>
      <c r="S667" s="13"/>
      <c r="T667" s="242"/>
      <c r="U667" s="242"/>
      <c r="V667" s="242"/>
      <c r="W667" s="242"/>
      <c r="X667" s="242"/>
      <c r="Y667" s="242"/>
    </row>
    <row r="668">
      <c r="A668" s="242"/>
      <c r="B668" s="242"/>
      <c r="C668" s="242"/>
      <c r="D668" s="242"/>
      <c r="E668" s="242"/>
      <c r="F668" s="242"/>
      <c r="G668" s="671"/>
      <c r="H668" s="671"/>
      <c r="I668" s="242"/>
      <c r="J668" s="242"/>
      <c r="K668" s="242"/>
      <c r="L668" s="389"/>
      <c r="M668" s="389"/>
      <c r="N668" s="242"/>
      <c r="O668" s="242"/>
      <c r="P668" s="13"/>
      <c r="Q668" s="242"/>
      <c r="R668" s="13"/>
      <c r="S668" s="13"/>
      <c r="T668" s="242"/>
      <c r="U668" s="242"/>
      <c r="V668" s="242"/>
      <c r="W668" s="242"/>
      <c r="X668" s="242"/>
      <c r="Y668" s="242"/>
    </row>
    <row r="669">
      <c r="A669" s="242"/>
      <c r="B669" s="242"/>
      <c r="C669" s="242"/>
      <c r="D669" s="242"/>
      <c r="E669" s="242"/>
      <c r="F669" s="242"/>
      <c r="G669" s="671"/>
      <c r="H669" s="671"/>
      <c r="I669" s="242"/>
      <c r="J669" s="242"/>
      <c r="K669" s="242"/>
      <c r="L669" s="389"/>
      <c r="M669" s="389"/>
      <c r="N669" s="242"/>
      <c r="O669" s="242"/>
      <c r="P669" s="13"/>
      <c r="Q669" s="242"/>
      <c r="R669" s="13"/>
      <c r="S669" s="13"/>
      <c r="T669" s="242"/>
      <c r="U669" s="242"/>
      <c r="V669" s="242"/>
      <c r="W669" s="242"/>
      <c r="X669" s="242"/>
      <c r="Y669" s="242"/>
    </row>
    <row r="670">
      <c r="A670" s="242"/>
      <c r="B670" s="242"/>
      <c r="C670" s="242"/>
      <c r="D670" s="242"/>
      <c r="E670" s="242"/>
      <c r="F670" s="242"/>
      <c r="G670" s="671"/>
      <c r="H670" s="671"/>
      <c r="I670" s="242"/>
      <c r="J670" s="242"/>
      <c r="K670" s="242"/>
      <c r="L670" s="389"/>
      <c r="M670" s="389"/>
      <c r="N670" s="242"/>
      <c r="O670" s="242"/>
      <c r="P670" s="13"/>
      <c r="Q670" s="242"/>
      <c r="R670" s="13"/>
      <c r="S670" s="13"/>
      <c r="T670" s="242"/>
      <c r="U670" s="242"/>
      <c r="V670" s="242"/>
      <c r="W670" s="242"/>
      <c r="X670" s="242"/>
      <c r="Y670" s="242"/>
    </row>
    <row r="671">
      <c r="A671" s="242"/>
      <c r="B671" s="242"/>
      <c r="C671" s="242"/>
      <c r="D671" s="242"/>
      <c r="E671" s="242"/>
      <c r="F671" s="242"/>
      <c r="G671" s="671"/>
      <c r="H671" s="671"/>
      <c r="I671" s="242"/>
      <c r="J671" s="242"/>
      <c r="K671" s="242"/>
      <c r="L671" s="389"/>
      <c r="M671" s="389"/>
      <c r="N671" s="242"/>
      <c r="O671" s="242"/>
      <c r="P671" s="13"/>
      <c r="Q671" s="242"/>
      <c r="R671" s="13"/>
      <c r="S671" s="13"/>
      <c r="T671" s="242"/>
      <c r="U671" s="242"/>
      <c r="V671" s="242"/>
      <c r="W671" s="242"/>
      <c r="X671" s="242"/>
      <c r="Y671" s="242"/>
    </row>
    <row r="672">
      <c r="A672" s="242"/>
      <c r="B672" s="242"/>
      <c r="C672" s="242"/>
      <c r="D672" s="242"/>
      <c r="E672" s="242"/>
      <c r="F672" s="242"/>
      <c r="G672" s="671"/>
      <c r="H672" s="671"/>
      <c r="I672" s="242"/>
      <c r="J672" s="242"/>
      <c r="K672" s="242"/>
      <c r="L672" s="389"/>
      <c r="M672" s="389"/>
      <c r="N672" s="242"/>
      <c r="O672" s="242"/>
      <c r="P672" s="13"/>
      <c r="Q672" s="242"/>
      <c r="R672" s="13"/>
      <c r="S672" s="13"/>
      <c r="T672" s="242"/>
      <c r="U672" s="242"/>
      <c r="V672" s="242"/>
      <c r="W672" s="242"/>
      <c r="X672" s="242"/>
      <c r="Y672" s="242"/>
    </row>
    <row r="673">
      <c r="A673" s="242"/>
      <c r="B673" s="242"/>
      <c r="C673" s="242"/>
      <c r="D673" s="242"/>
      <c r="E673" s="242"/>
      <c r="F673" s="242"/>
      <c r="G673" s="671"/>
      <c r="H673" s="671"/>
      <c r="I673" s="242"/>
      <c r="J673" s="242"/>
      <c r="K673" s="242"/>
      <c r="L673" s="389"/>
      <c r="M673" s="389"/>
      <c r="N673" s="242"/>
      <c r="O673" s="242"/>
      <c r="P673" s="13"/>
      <c r="Q673" s="242"/>
      <c r="R673" s="13"/>
      <c r="S673" s="13"/>
      <c r="T673" s="242"/>
      <c r="U673" s="242"/>
      <c r="V673" s="242"/>
      <c r="W673" s="242"/>
      <c r="X673" s="242"/>
      <c r="Y673" s="242"/>
    </row>
    <row r="674">
      <c r="A674" s="242"/>
      <c r="B674" s="242"/>
      <c r="C674" s="242"/>
      <c r="D674" s="242"/>
      <c r="E674" s="242"/>
      <c r="F674" s="242"/>
      <c r="G674" s="671"/>
      <c r="H674" s="671"/>
      <c r="I674" s="242"/>
      <c r="J674" s="242"/>
      <c r="K674" s="242"/>
      <c r="L674" s="389"/>
      <c r="M674" s="389"/>
      <c r="N674" s="242"/>
      <c r="O674" s="242"/>
      <c r="P674" s="13"/>
      <c r="Q674" s="242"/>
      <c r="R674" s="13"/>
      <c r="S674" s="13"/>
      <c r="T674" s="242"/>
      <c r="U674" s="242"/>
      <c r="V674" s="242"/>
      <c r="W674" s="242"/>
      <c r="X674" s="242"/>
      <c r="Y674" s="242"/>
    </row>
    <row r="675">
      <c r="A675" s="242"/>
      <c r="B675" s="242"/>
      <c r="C675" s="242"/>
      <c r="D675" s="242"/>
      <c r="E675" s="242"/>
      <c r="F675" s="242"/>
      <c r="G675" s="671"/>
      <c r="H675" s="671"/>
      <c r="I675" s="242"/>
      <c r="J675" s="242"/>
      <c r="K675" s="242"/>
      <c r="L675" s="389"/>
      <c r="M675" s="389"/>
      <c r="N675" s="242"/>
      <c r="O675" s="242"/>
      <c r="P675" s="13"/>
      <c r="Q675" s="242"/>
      <c r="R675" s="13"/>
      <c r="S675" s="13"/>
      <c r="T675" s="242"/>
      <c r="U675" s="242"/>
      <c r="V675" s="242"/>
      <c r="W675" s="242"/>
      <c r="X675" s="242"/>
      <c r="Y675" s="242"/>
    </row>
    <row r="676">
      <c r="A676" s="242"/>
      <c r="B676" s="242"/>
      <c r="C676" s="242"/>
      <c r="D676" s="242"/>
      <c r="E676" s="242"/>
      <c r="F676" s="242"/>
      <c r="G676" s="671"/>
      <c r="H676" s="671"/>
      <c r="I676" s="242"/>
      <c r="J676" s="242"/>
      <c r="K676" s="242"/>
      <c r="L676" s="389"/>
      <c r="M676" s="389"/>
      <c r="N676" s="242"/>
      <c r="O676" s="242"/>
      <c r="P676" s="13"/>
      <c r="Q676" s="242"/>
      <c r="R676" s="13"/>
      <c r="S676" s="13"/>
      <c r="T676" s="242"/>
      <c r="U676" s="242"/>
      <c r="V676" s="242"/>
      <c r="W676" s="242"/>
      <c r="X676" s="242"/>
      <c r="Y676" s="242"/>
    </row>
    <row r="677">
      <c r="A677" s="242"/>
      <c r="B677" s="242"/>
      <c r="C677" s="242"/>
      <c r="D677" s="242"/>
      <c r="E677" s="242"/>
      <c r="F677" s="242"/>
      <c r="G677" s="671"/>
      <c r="H677" s="671"/>
      <c r="I677" s="242"/>
      <c r="J677" s="242"/>
      <c r="K677" s="242"/>
      <c r="L677" s="389"/>
      <c r="M677" s="389"/>
      <c r="N677" s="242"/>
      <c r="O677" s="242"/>
      <c r="P677" s="13"/>
      <c r="Q677" s="242"/>
      <c r="R677" s="13"/>
      <c r="S677" s="13"/>
      <c r="T677" s="242"/>
      <c r="U677" s="242"/>
      <c r="V677" s="242"/>
      <c r="W677" s="242"/>
      <c r="X677" s="242"/>
      <c r="Y677" s="242"/>
    </row>
    <row r="678">
      <c r="A678" s="242"/>
      <c r="B678" s="242"/>
      <c r="C678" s="242"/>
      <c r="D678" s="242"/>
      <c r="E678" s="242"/>
      <c r="F678" s="242"/>
      <c r="G678" s="671"/>
      <c r="H678" s="671"/>
      <c r="I678" s="242"/>
      <c r="J678" s="242"/>
      <c r="K678" s="242"/>
      <c r="L678" s="389"/>
      <c r="M678" s="389"/>
      <c r="N678" s="242"/>
      <c r="O678" s="242"/>
      <c r="P678" s="13"/>
      <c r="Q678" s="242"/>
      <c r="R678" s="13"/>
      <c r="S678" s="13"/>
      <c r="T678" s="242"/>
      <c r="U678" s="242"/>
      <c r="V678" s="242"/>
      <c r="W678" s="242"/>
      <c r="X678" s="242"/>
      <c r="Y678" s="242"/>
    </row>
    <row r="679">
      <c r="A679" s="242"/>
      <c r="B679" s="242"/>
      <c r="C679" s="242"/>
      <c r="D679" s="242"/>
      <c r="E679" s="242"/>
      <c r="F679" s="242"/>
      <c r="G679" s="671"/>
      <c r="H679" s="671"/>
      <c r="I679" s="242"/>
      <c r="J679" s="242"/>
      <c r="K679" s="242"/>
      <c r="L679" s="389"/>
      <c r="M679" s="389"/>
      <c r="N679" s="242"/>
      <c r="O679" s="242"/>
      <c r="P679" s="13"/>
      <c r="Q679" s="242"/>
      <c r="R679" s="13"/>
      <c r="S679" s="13"/>
      <c r="T679" s="242"/>
      <c r="U679" s="242"/>
      <c r="V679" s="242"/>
      <c r="W679" s="242"/>
      <c r="X679" s="242"/>
      <c r="Y679" s="242"/>
    </row>
    <row r="680">
      <c r="A680" s="242"/>
      <c r="B680" s="242"/>
      <c r="C680" s="242"/>
      <c r="D680" s="242"/>
      <c r="E680" s="242"/>
      <c r="F680" s="242"/>
      <c r="G680" s="671"/>
      <c r="H680" s="671"/>
      <c r="I680" s="242"/>
      <c r="J680" s="242"/>
      <c r="K680" s="242"/>
      <c r="L680" s="389"/>
      <c r="M680" s="389"/>
      <c r="N680" s="242"/>
      <c r="O680" s="242"/>
      <c r="P680" s="13"/>
      <c r="Q680" s="242"/>
      <c r="R680" s="13"/>
      <c r="S680" s="13"/>
      <c r="T680" s="242"/>
      <c r="U680" s="242"/>
      <c r="V680" s="242"/>
      <c r="W680" s="242"/>
      <c r="X680" s="242"/>
      <c r="Y680" s="242"/>
    </row>
    <row r="681">
      <c r="A681" s="242"/>
      <c r="B681" s="242"/>
      <c r="C681" s="242"/>
      <c r="D681" s="242"/>
      <c r="E681" s="242"/>
      <c r="F681" s="242"/>
      <c r="G681" s="671"/>
      <c r="H681" s="671"/>
      <c r="I681" s="242"/>
      <c r="J681" s="242"/>
      <c r="K681" s="242"/>
      <c r="L681" s="389"/>
      <c r="M681" s="389"/>
      <c r="N681" s="242"/>
      <c r="O681" s="242"/>
      <c r="P681" s="13"/>
      <c r="Q681" s="242"/>
      <c r="R681" s="13"/>
      <c r="S681" s="13"/>
      <c r="T681" s="242"/>
      <c r="U681" s="242"/>
      <c r="V681" s="242"/>
      <c r="W681" s="242"/>
      <c r="X681" s="242"/>
      <c r="Y681" s="242"/>
    </row>
    <row r="682">
      <c r="A682" s="242"/>
      <c r="B682" s="242"/>
      <c r="C682" s="242"/>
      <c r="D682" s="242"/>
      <c r="E682" s="242"/>
      <c r="F682" s="242"/>
      <c r="G682" s="671"/>
      <c r="H682" s="671"/>
      <c r="I682" s="242"/>
      <c r="J682" s="242"/>
      <c r="K682" s="242"/>
      <c r="L682" s="389"/>
      <c r="M682" s="389"/>
      <c r="N682" s="242"/>
      <c r="O682" s="242"/>
      <c r="P682" s="13"/>
      <c r="Q682" s="242"/>
      <c r="R682" s="13"/>
      <c r="S682" s="13"/>
      <c r="T682" s="242"/>
      <c r="U682" s="242"/>
      <c r="V682" s="242"/>
      <c r="W682" s="242"/>
      <c r="X682" s="242"/>
      <c r="Y682" s="242"/>
    </row>
    <row r="683">
      <c r="A683" s="242"/>
      <c r="B683" s="242"/>
      <c r="C683" s="242"/>
      <c r="D683" s="242"/>
      <c r="E683" s="242"/>
      <c r="F683" s="242"/>
      <c r="G683" s="671"/>
      <c r="H683" s="671"/>
      <c r="I683" s="242"/>
      <c r="J683" s="242"/>
      <c r="K683" s="242"/>
      <c r="L683" s="389"/>
      <c r="M683" s="389"/>
      <c r="N683" s="242"/>
      <c r="O683" s="242"/>
      <c r="P683" s="13"/>
      <c r="Q683" s="242"/>
      <c r="R683" s="13"/>
      <c r="S683" s="13"/>
      <c r="T683" s="242"/>
      <c r="U683" s="242"/>
      <c r="V683" s="242"/>
      <c r="W683" s="242"/>
      <c r="X683" s="242"/>
      <c r="Y683" s="242"/>
    </row>
    <row r="684">
      <c r="A684" s="242"/>
      <c r="B684" s="242"/>
      <c r="C684" s="242"/>
      <c r="D684" s="242"/>
      <c r="E684" s="242"/>
      <c r="F684" s="242"/>
      <c r="G684" s="671"/>
      <c r="H684" s="671"/>
      <c r="I684" s="242"/>
      <c r="J684" s="242"/>
      <c r="K684" s="242"/>
      <c r="L684" s="389"/>
      <c r="M684" s="389"/>
      <c r="N684" s="242"/>
      <c r="O684" s="242"/>
      <c r="P684" s="13"/>
      <c r="Q684" s="242"/>
      <c r="R684" s="13"/>
      <c r="S684" s="13"/>
      <c r="T684" s="242"/>
      <c r="U684" s="242"/>
      <c r="V684" s="242"/>
      <c r="W684" s="242"/>
      <c r="X684" s="242"/>
      <c r="Y684" s="242"/>
    </row>
    <row r="685">
      <c r="A685" s="242"/>
      <c r="B685" s="242"/>
      <c r="C685" s="242"/>
      <c r="D685" s="242"/>
      <c r="E685" s="242"/>
      <c r="F685" s="242"/>
      <c r="G685" s="671"/>
      <c r="H685" s="671"/>
      <c r="I685" s="242"/>
      <c r="J685" s="242"/>
      <c r="K685" s="242"/>
      <c r="L685" s="389"/>
      <c r="M685" s="389"/>
      <c r="N685" s="242"/>
      <c r="O685" s="242"/>
      <c r="P685" s="13"/>
      <c r="Q685" s="242"/>
      <c r="R685" s="13"/>
      <c r="S685" s="13"/>
      <c r="T685" s="242"/>
      <c r="U685" s="242"/>
      <c r="V685" s="242"/>
      <c r="W685" s="242"/>
      <c r="X685" s="242"/>
      <c r="Y685" s="242"/>
    </row>
    <row r="686">
      <c r="A686" s="242"/>
      <c r="B686" s="242"/>
      <c r="C686" s="242"/>
      <c r="D686" s="242"/>
      <c r="E686" s="242"/>
      <c r="F686" s="242"/>
      <c r="G686" s="671"/>
      <c r="H686" s="671"/>
      <c r="I686" s="242"/>
      <c r="J686" s="242"/>
      <c r="K686" s="242"/>
      <c r="L686" s="389"/>
      <c r="M686" s="389"/>
      <c r="N686" s="242"/>
      <c r="O686" s="242"/>
      <c r="P686" s="13"/>
      <c r="Q686" s="242"/>
      <c r="R686" s="13"/>
      <c r="S686" s="13"/>
      <c r="T686" s="242"/>
      <c r="U686" s="242"/>
      <c r="V686" s="242"/>
      <c r="W686" s="242"/>
      <c r="X686" s="242"/>
      <c r="Y686" s="242"/>
    </row>
    <row r="687">
      <c r="A687" s="242"/>
      <c r="B687" s="242"/>
      <c r="C687" s="242"/>
      <c r="D687" s="242"/>
      <c r="E687" s="242"/>
      <c r="F687" s="242"/>
      <c r="G687" s="671"/>
      <c r="H687" s="671"/>
      <c r="I687" s="242"/>
      <c r="J687" s="242"/>
      <c r="K687" s="242"/>
      <c r="L687" s="389"/>
      <c r="M687" s="389"/>
      <c r="N687" s="242"/>
      <c r="O687" s="242"/>
      <c r="P687" s="13"/>
      <c r="Q687" s="242"/>
      <c r="R687" s="13"/>
      <c r="S687" s="13"/>
      <c r="T687" s="242"/>
      <c r="U687" s="242"/>
      <c r="V687" s="242"/>
      <c r="W687" s="242"/>
      <c r="X687" s="242"/>
      <c r="Y687" s="242"/>
    </row>
    <row r="688">
      <c r="A688" s="242"/>
      <c r="B688" s="242"/>
      <c r="C688" s="242"/>
      <c r="D688" s="242"/>
      <c r="E688" s="242"/>
      <c r="F688" s="242"/>
      <c r="G688" s="671"/>
      <c r="H688" s="671"/>
      <c r="I688" s="242"/>
      <c r="J688" s="242"/>
      <c r="K688" s="242"/>
      <c r="L688" s="389"/>
      <c r="M688" s="389"/>
      <c r="N688" s="242"/>
      <c r="O688" s="242"/>
      <c r="P688" s="13"/>
      <c r="Q688" s="242"/>
      <c r="R688" s="13"/>
      <c r="S688" s="13"/>
      <c r="T688" s="242"/>
      <c r="U688" s="242"/>
      <c r="V688" s="242"/>
      <c r="W688" s="242"/>
      <c r="X688" s="242"/>
      <c r="Y688" s="242"/>
    </row>
    <row r="689">
      <c r="A689" s="242"/>
      <c r="B689" s="242"/>
      <c r="C689" s="242"/>
      <c r="D689" s="242"/>
      <c r="E689" s="242"/>
      <c r="F689" s="242"/>
      <c r="G689" s="671"/>
      <c r="H689" s="671"/>
      <c r="I689" s="242"/>
      <c r="J689" s="242"/>
      <c r="K689" s="242"/>
      <c r="L689" s="389"/>
      <c r="M689" s="389"/>
      <c r="N689" s="242"/>
      <c r="O689" s="242"/>
      <c r="P689" s="13"/>
      <c r="Q689" s="242"/>
      <c r="R689" s="13"/>
      <c r="S689" s="13"/>
      <c r="T689" s="242"/>
      <c r="U689" s="242"/>
      <c r="V689" s="242"/>
      <c r="W689" s="242"/>
      <c r="X689" s="242"/>
      <c r="Y689" s="242"/>
    </row>
    <row r="690">
      <c r="A690" s="242"/>
      <c r="B690" s="242"/>
      <c r="C690" s="242"/>
      <c r="D690" s="242"/>
      <c r="E690" s="242"/>
      <c r="F690" s="242"/>
      <c r="G690" s="671"/>
      <c r="H690" s="671"/>
      <c r="I690" s="242"/>
      <c r="J690" s="242"/>
      <c r="K690" s="242"/>
      <c r="L690" s="389"/>
      <c r="M690" s="389"/>
      <c r="N690" s="242"/>
      <c r="O690" s="242"/>
      <c r="P690" s="13"/>
      <c r="Q690" s="242"/>
      <c r="R690" s="13"/>
      <c r="S690" s="13"/>
      <c r="T690" s="242"/>
      <c r="U690" s="242"/>
      <c r="V690" s="242"/>
      <c r="W690" s="242"/>
      <c r="X690" s="242"/>
      <c r="Y690" s="242"/>
    </row>
    <row r="691">
      <c r="A691" s="242"/>
      <c r="B691" s="242"/>
      <c r="C691" s="242"/>
      <c r="D691" s="242"/>
      <c r="E691" s="242"/>
      <c r="F691" s="242"/>
      <c r="G691" s="671"/>
      <c r="H691" s="671"/>
      <c r="I691" s="242"/>
      <c r="J691" s="242"/>
      <c r="K691" s="242"/>
      <c r="L691" s="389"/>
      <c r="M691" s="389"/>
      <c r="N691" s="242"/>
      <c r="O691" s="242"/>
      <c r="P691" s="13"/>
      <c r="Q691" s="242"/>
      <c r="R691" s="13"/>
      <c r="S691" s="13"/>
      <c r="T691" s="242"/>
      <c r="U691" s="242"/>
      <c r="V691" s="242"/>
      <c r="W691" s="242"/>
      <c r="X691" s="242"/>
      <c r="Y691" s="242"/>
    </row>
    <row r="692">
      <c r="A692" s="242"/>
      <c r="B692" s="242"/>
      <c r="C692" s="242"/>
      <c r="D692" s="242"/>
      <c r="E692" s="242"/>
      <c r="F692" s="242"/>
      <c r="G692" s="671"/>
      <c r="H692" s="671"/>
      <c r="I692" s="242"/>
      <c r="J692" s="242"/>
      <c r="K692" s="242"/>
      <c r="L692" s="389"/>
      <c r="M692" s="389"/>
      <c r="N692" s="242"/>
      <c r="O692" s="242"/>
      <c r="P692" s="13"/>
      <c r="Q692" s="242"/>
      <c r="R692" s="13"/>
      <c r="S692" s="13"/>
      <c r="T692" s="242"/>
      <c r="U692" s="242"/>
      <c r="V692" s="242"/>
      <c r="W692" s="242"/>
      <c r="X692" s="242"/>
      <c r="Y692" s="242"/>
    </row>
    <row r="693">
      <c r="A693" s="242"/>
      <c r="B693" s="242"/>
      <c r="C693" s="242"/>
      <c r="D693" s="242"/>
      <c r="E693" s="242"/>
      <c r="F693" s="242"/>
      <c r="G693" s="671"/>
      <c r="H693" s="671"/>
      <c r="I693" s="242"/>
      <c r="J693" s="242"/>
      <c r="K693" s="242"/>
      <c r="L693" s="389"/>
      <c r="M693" s="389"/>
      <c r="N693" s="242"/>
      <c r="O693" s="242"/>
      <c r="P693" s="13"/>
      <c r="Q693" s="242"/>
      <c r="R693" s="13"/>
      <c r="S693" s="13"/>
      <c r="T693" s="242"/>
      <c r="U693" s="242"/>
      <c r="V693" s="242"/>
      <c r="W693" s="242"/>
      <c r="X693" s="242"/>
      <c r="Y693" s="242"/>
    </row>
    <row r="694">
      <c r="A694" s="242"/>
      <c r="B694" s="242"/>
      <c r="C694" s="242"/>
      <c r="D694" s="242"/>
      <c r="E694" s="242"/>
      <c r="F694" s="242"/>
      <c r="G694" s="671"/>
      <c r="H694" s="671"/>
      <c r="I694" s="242"/>
      <c r="J694" s="242"/>
      <c r="K694" s="242"/>
      <c r="L694" s="389"/>
      <c r="M694" s="389"/>
      <c r="N694" s="242"/>
      <c r="O694" s="242"/>
      <c r="P694" s="13"/>
      <c r="Q694" s="242"/>
      <c r="R694" s="13"/>
      <c r="S694" s="13"/>
      <c r="T694" s="242"/>
      <c r="U694" s="242"/>
      <c r="V694" s="242"/>
      <c r="W694" s="242"/>
      <c r="X694" s="242"/>
      <c r="Y694" s="242"/>
    </row>
    <row r="695">
      <c r="A695" s="242"/>
      <c r="B695" s="242"/>
      <c r="C695" s="242"/>
      <c r="D695" s="242"/>
      <c r="E695" s="242"/>
      <c r="F695" s="242"/>
      <c r="G695" s="671"/>
      <c r="H695" s="671"/>
      <c r="I695" s="242"/>
      <c r="J695" s="242"/>
      <c r="K695" s="242"/>
      <c r="L695" s="389"/>
      <c r="M695" s="389"/>
      <c r="N695" s="242"/>
      <c r="O695" s="242"/>
      <c r="P695" s="13"/>
      <c r="Q695" s="242"/>
      <c r="R695" s="13"/>
      <c r="S695" s="13"/>
      <c r="T695" s="242"/>
      <c r="U695" s="242"/>
      <c r="V695" s="242"/>
      <c r="W695" s="242"/>
      <c r="X695" s="242"/>
      <c r="Y695" s="242"/>
    </row>
    <row r="696">
      <c r="A696" s="242"/>
      <c r="B696" s="242"/>
      <c r="C696" s="242"/>
      <c r="D696" s="242"/>
      <c r="E696" s="242"/>
      <c r="F696" s="242"/>
      <c r="G696" s="671"/>
      <c r="H696" s="671"/>
      <c r="I696" s="242"/>
      <c r="J696" s="242"/>
      <c r="K696" s="242"/>
      <c r="L696" s="389"/>
      <c r="M696" s="389"/>
      <c r="N696" s="242"/>
      <c r="O696" s="242"/>
      <c r="P696" s="13"/>
      <c r="Q696" s="242"/>
      <c r="R696" s="13"/>
      <c r="S696" s="13"/>
      <c r="T696" s="242"/>
      <c r="U696" s="242"/>
      <c r="V696" s="242"/>
      <c r="W696" s="242"/>
      <c r="X696" s="242"/>
      <c r="Y696" s="242"/>
    </row>
    <row r="697">
      <c r="A697" s="242"/>
      <c r="B697" s="242"/>
      <c r="C697" s="242"/>
      <c r="D697" s="242"/>
      <c r="E697" s="242"/>
      <c r="F697" s="242"/>
      <c r="G697" s="671"/>
      <c r="H697" s="671"/>
      <c r="I697" s="242"/>
      <c r="J697" s="242"/>
      <c r="K697" s="242"/>
      <c r="L697" s="389"/>
      <c r="M697" s="389"/>
      <c r="N697" s="242"/>
      <c r="O697" s="242"/>
      <c r="P697" s="13"/>
      <c r="Q697" s="242"/>
      <c r="R697" s="13"/>
      <c r="S697" s="13"/>
      <c r="T697" s="242"/>
      <c r="U697" s="242"/>
      <c r="V697" s="242"/>
      <c r="W697" s="242"/>
      <c r="X697" s="242"/>
      <c r="Y697" s="242"/>
    </row>
    <row r="698">
      <c r="A698" s="242"/>
      <c r="B698" s="242"/>
      <c r="C698" s="242"/>
      <c r="D698" s="242"/>
      <c r="E698" s="242"/>
      <c r="F698" s="242"/>
      <c r="G698" s="671"/>
      <c r="H698" s="671"/>
      <c r="I698" s="242"/>
      <c r="J698" s="242"/>
      <c r="K698" s="242"/>
      <c r="L698" s="389"/>
      <c r="M698" s="389"/>
      <c r="N698" s="242"/>
      <c r="O698" s="242"/>
      <c r="P698" s="13"/>
      <c r="Q698" s="242"/>
      <c r="R698" s="13"/>
      <c r="S698" s="13"/>
      <c r="T698" s="242"/>
      <c r="U698" s="242"/>
      <c r="V698" s="242"/>
      <c r="W698" s="242"/>
      <c r="X698" s="242"/>
      <c r="Y698" s="242"/>
    </row>
    <row r="699">
      <c r="A699" s="242"/>
      <c r="B699" s="242"/>
      <c r="C699" s="242"/>
      <c r="D699" s="242"/>
      <c r="E699" s="242"/>
      <c r="F699" s="242"/>
      <c r="G699" s="671"/>
      <c r="H699" s="671"/>
      <c r="I699" s="242"/>
      <c r="J699" s="242"/>
      <c r="K699" s="242"/>
      <c r="L699" s="389"/>
      <c r="M699" s="389"/>
      <c r="N699" s="242"/>
      <c r="O699" s="242"/>
      <c r="P699" s="13"/>
      <c r="Q699" s="242"/>
      <c r="R699" s="13"/>
      <c r="S699" s="13"/>
      <c r="T699" s="242"/>
      <c r="U699" s="242"/>
      <c r="V699" s="242"/>
      <c r="W699" s="242"/>
      <c r="X699" s="242"/>
      <c r="Y699" s="242"/>
    </row>
    <row r="700">
      <c r="A700" s="242"/>
      <c r="B700" s="242"/>
      <c r="C700" s="242"/>
      <c r="D700" s="242"/>
      <c r="E700" s="242"/>
      <c r="F700" s="242"/>
      <c r="G700" s="671"/>
      <c r="H700" s="671"/>
      <c r="I700" s="242"/>
      <c r="J700" s="242"/>
      <c r="K700" s="242"/>
      <c r="L700" s="389"/>
      <c r="M700" s="389"/>
      <c r="N700" s="242"/>
      <c r="O700" s="242"/>
      <c r="P700" s="13"/>
      <c r="Q700" s="242"/>
      <c r="R700" s="13"/>
      <c r="S700" s="13"/>
      <c r="T700" s="242"/>
      <c r="U700" s="242"/>
      <c r="V700" s="242"/>
      <c r="W700" s="242"/>
      <c r="X700" s="242"/>
      <c r="Y700" s="242"/>
    </row>
    <row r="701">
      <c r="A701" s="242"/>
      <c r="B701" s="242"/>
      <c r="C701" s="242"/>
      <c r="D701" s="242"/>
      <c r="E701" s="242"/>
      <c r="F701" s="242"/>
      <c r="G701" s="671"/>
      <c r="H701" s="671"/>
      <c r="I701" s="242"/>
      <c r="J701" s="242"/>
      <c r="K701" s="242"/>
      <c r="L701" s="389"/>
      <c r="M701" s="389"/>
      <c r="N701" s="242"/>
      <c r="O701" s="242"/>
      <c r="P701" s="13"/>
      <c r="Q701" s="242"/>
      <c r="R701" s="13"/>
      <c r="S701" s="13"/>
      <c r="T701" s="242"/>
      <c r="U701" s="242"/>
      <c r="V701" s="242"/>
      <c r="W701" s="242"/>
      <c r="X701" s="242"/>
      <c r="Y701" s="242"/>
    </row>
    <row r="702">
      <c r="A702" s="242"/>
      <c r="B702" s="242"/>
      <c r="C702" s="242"/>
      <c r="D702" s="242"/>
      <c r="E702" s="242"/>
      <c r="F702" s="242"/>
      <c r="G702" s="671"/>
      <c r="H702" s="671"/>
      <c r="I702" s="242"/>
      <c r="J702" s="242"/>
      <c r="K702" s="242"/>
      <c r="L702" s="389"/>
      <c r="M702" s="389"/>
      <c r="N702" s="242"/>
      <c r="O702" s="242"/>
      <c r="P702" s="13"/>
      <c r="Q702" s="242"/>
      <c r="R702" s="13"/>
      <c r="S702" s="13"/>
      <c r="T702" s="242"/>
      <c r="U702" s="242"/>
      <c r="V702" s="242"/>
      <c r="W702" s="242"/>
      <c r="X702" s="242"/>
      <c r="Y702" s="242"/>
    </row>
    <row r="703">
      <c r="A703" s="242"/>
      <c r="B703" s="242"/>
      <c r="C703" s="242"/>
      <c r="D703" s="242"/>
      <c r="E703" s="242"/>
      <c r="F703" s="242"/>
      <c r="G703" s="671"/>
      <c r="H703" s="671"/>
      <c r="I703" s="242"/>
      <c r="J703" s="242"/>
      <c r="K703" s="242"/>
      <c r="L703" s="389"/>
      <c r="M703" s="389"/>
      <c r="N703" s="242"/>
      <c r="O703" s="242"/>
      <c r="P703" s="13"/>
      <c r="Q703" s="242"/>
      <c r="R703" s="13"/>
      <c r="S703" s="13"/>
      <c r="T703" s="242"/>
      <c r="U703" s="242"/>
      <c r="V703" s="242"/>
      <c r="W703" s="242"/>
      <c r="X703" s="242"/>
      <c r="Y703" s="242"/>
    </row>
    <row r="704">
      <c r="A704" s="242"/>
      <c r="B704" s="242"/>
      <c r="C704" s="242"/>
      <c r="D704" s="242"/>
      <c r="E704" s="242"/>
      <c r="F704" s="242"/>
      <c r="G704" s="671"/>
      <c r="H704" s="671"/>
      <c r="I704" s="242"/>
      <c r="J704" s="242"/>
      <c r="K704" s="242"/>
      <c r="L704" s="389"/>
      <c r="M704" s="389"/>
      <c r="N704" s="242"/>
      <c r="O704" s="242"/>
      <c r="P704" s="13"/>
      <c r="Q704" s="242"/>
      <c r="R704" s="13"/>
      <c r="S704" s="13"/>
      <c r="T704" s="242"/>
      <c r="U704" s="242"/>
      <c r="V704" s="242"/>
      <c r="W704" s="242"/>
      <c r="X704" s="242"/>
      <c r="Y704" s="242"/>
    </row>
    <row r="705">
      <c r="A705" s="242"/>
      <c r="B705" s="242"/>
      <c r="C705" s="242"/>
      <c r="D705" s="242"/>
      <c r="E705" s="242"/>
      <c r="F705" s="242"/>
      <c r="G705" s="671"/>
      <c r="H705" s="671"/>
      <c r="I705" s="242"/>
      <c r="J705" s="242"/>
      <c r="K705" s="242"/>
      <c r="L705" s="389"/>
      <c r="M705" s="389"/>
      <c r="N705" s="242"/>
      <c r="O705" s="242"/>
      <c r="P705" s="13"/>
      <c r="Q705" s="242"/>
      <c r="R705" s="13"/>
      <c r="S705" s="13"/>
      <c r="T705" s="242"/>
      <c r="U705" s="242"/>
      <c r="V705" s="242"/>
      <c r="W705" s="242"/>
      <c r="X705" s="242"/>
      <c r="Y705" s="242"/>
    </row>
    <row r="706">
      <c r="A706" s="242"/>
      <c r="B706" s="242"/>
      <c r="C706" s="242"/>
      <c r="D706" s="242"/>
      <c r="E706" s="242"/>
      <c r="F706" s="242"/>
      <c r="G706" s="671"/>
      <c r="H706" s="671"/>
      <c r="I706" s="242"/>
      <c r="J706" s="242"/>
      <c r="K706" s="242"/>
      <c r="L706" s="389"/>
      <c r="M706" s="389"/>
      <c r="N706" s="242"/>
      <c r="O706" s="242"/>
      <c r="P706" s="13"/>
      <c r="Q706" s="242"/>
      <c r="R706" s="13"/>
      <c r="S706" s="13"/>
      <c r="T706" s="242"/>
      <c r="U706" s="242"/>
      <c r="V706" s="242"/>
      <c r="W706" s="242"/>
      <c r="X706" s="242"/>
      <c r="Y706" s="242"/>
    </row>
    <row r="707">
      <c r="A707" s="242"/>
      <c r="B707" s="242"/>
      <c r="C707" s="242"/>
      <c r="D707" s="242"/>
      <c r="E707" s="242"/>
      <c r="F707" s="242"/>
      <c r="G707" s="671"/>
      <c r="H707" s="671"/>
      <c r="I707" s="242"/>
      <c r="J707" s="242"/>
      <c r="K707" s="242"/>
      <c r="L707" s="389"/>
      <c r="M707" s="389"/>
      <c r="N707" s="242"/>
      <c r="O707" s="242"/>
      <c r="P707" s="13"/>
      <c r="Q707" s="242"/>
      <c r="R707" s="13"/>
      <c r="S707" s="13"/>
      <c r="T707" s="242"/>
      <c r="U707" s="242"/>
      <c r="V707" s="242"/>
      <c r="W707" s="242"/>
      <c r="X707" s="242"/>
      <c r="Y707" s="242"/>
    </row>
    <row r="708">
      <c r="A708" s="242"/>
      <c r="B708" s="242"/>
      <c r="C708" s="242"/>
      <c r="D708" s="242"/>
      <c r="E708" s="242"/>
      <c r="F708" s="242"/>
      <c r="G708" s="671"/>
      <c r="H708" s="671"/>
      <c r="I708" s="242"/>
      <c r="J708" s="242"/>
      <c r="K708" s="242"/>
      <c r="L708" s="389"/>
      <c r="M708" s="389"/>
      <c r="N708" s="242"/>
      <c r="O708" s="242"/>
      <c r="P708" s="13"/>
      <c r="Q708" s="242"/>
      <c r="R708" s="13"/>
      <c r="S708" s="13"/>
      <c r="T708" s="242"/>
      <c r="U708" s="242"/>
      <c r="V708" s="242"/>
      <c r="W708" s="242"/>
      <c r="X708" s="242"/>
      <c r="Y708" s="242"/>
    </row>
    <row r="709">
      <c r="A709" s="242"/>
      <c r="B709" s="242"/>
      <c r="C709" s="242"/>
      <c r="D709" s="242"/>
      <c r="E709" s="242"/>
      <c r="F709" s="242"/>
      <c r="G709" s="671"/>
      <c r="H709" s="671"/>
      <c r="I709" s="242"/>
      <c r="J709" s="242"/>
      <c r="K709" s="242"/>
      <c r="L709" s="389"/>
      <c r="M709" s="389"/>
      <c r="N709" s="242"/>
      <c r="O709" s="242"/>
      <c r="P709" s="13"/>
      <c r="Q709" s="242"/>
      <c r="R709" s="13"/>
      <c r="S709" s="13"/>
      <c r="T709" s="242"/>
      <c r="U709" s="242"/>
      <c r="V709" s="242"/>
      <c r="W709" s="242"/>
      <c r="X709" s="242"/>
      <c r="Y709" s="242"/>
    </row>
    <row r="710">
      <c r="A710" s="242"/>
      <c r="B710" s="242"/>
      <c r="C710" s="242"/>
      <c r="D710" s="242"/>
      <c r="E710" s="242"/>
      <c r="F710" s="242"/>
      <c r="G710" s="671"/>
      <c r="H710" s="671"/>
      <c r="I710" s="242"/>
      <c r="J710" s="242"/>
      <c r="K710" s="242"/>
      <c r="L710" s="389"/>
      <c r="M710" s="389"/>
      <c r="N710" s="242"/>
      <c r="O710" s="242"/>
      <c r="P710" s="13"/>
      <c r="Q710" s="242"/>
      <c r="R710" s="13"/>
      <c r="S710" s="13"/>
      <c r="T710" s="242"/>
      <c r="U710" s="242"/>
      <c r="V710" s="242"/>
      <c r="W710" s="242"/>
      <c r="X710" s="242"/>
      <c r="Y710" s="242"/>
    </row>
    <row r="711">
      <c r="A711" s="242"/>
      <c r="B711" s="242"/>
      <c r="C711" s="242"/>
      <c r="D711" s="242"/>
      <c r="E711" s="242"/>
      <c r="F711" s="242"/>
      <c r="G711" s="671"/>
      <c r="H711" s="671"/>
      <c r="I711" s="242"/>
      <c r="J711" s="242"/>
      <c r="K711" s="242"/>
      <c r="L711" s="389"/>
      <c r="M711" s="389"/>
      <c r="N711" s="242"/>
      <c r="O711" s="242"/>
      <c r="P711" s="13"/>
      <c r="Q711" s="242"/>
      <c r="R711" s="13"/>
      <c r="S711" s="13"/>
      <c r="T711" s="242"/>
      <c r="U711" s="242"/>
      <c r="V711" s="242"/>
      <c r="W711" s="242"/>
      <c r="X711" s="242"/>
      <c r="Y711" s="242"/>
    </row>
    <row r="712">
      <c r="A712" s="242"/>
      <c r="B712" s="242"/>
      <c r="C712" s="242"/>
      <c r="D712" s="242"/>
      <c r="E712" s="242"/>
      <c r="F712" s="242"/>
      <c r="G712" s="671"/>
      <c r="H712" s="671"/>
      <c r="I712" s="242"/>
      <c r="J712" s="242"/>
      <c r="K712" s="242"/>
      <c r="L712" s="389"/>
      <c r="M712" s="389"/>
      <c r="N712" s="242"/>
      <c r="O712" s="242"/>
      <c r="P712" s="13"/>
      <c r="Q712" s="242"/>
      <c r="R712" s="13"/>
      <c r="S712" s="13"/>
      <c r="T712" s="242"/>
      <c r="U712" s="242"/>
      <c r="V712" s="242"/>
      <c r="W712" s="242"/>
      <c r="X712" s="242"/>
      <c r="Y712" s="242"/>
    </row>
    <row r="713">
      <c r="A713" s="242"/>
      <c r="B713" s="242"/>
      <c r="C713" s="242"/>
      <c r="D713" s="242"/>
      <c r="E713" s="242"/>
      <c r="F713" s="242"/>
      <c r="G713" s="671"/>
      <c r="H713" s="671"/>
      <c r="I713" s="242"/>
      <c r="J713" s="242"/>
      <c r="K713" s="242"/>
      <c r="L713" s="389"/>
      <c r="M713" s="389"/>
      <c r="N713" s="242"/>
      <c r="O713" s="242"/>
      <c r="P713" s="13"/>
      <c r="Q713" s="242"/>
      <c r="R713" s="13"/>
      <c r="S713" s="13"/>
      <c r="T713" s="242"/>
      <c r="U713" s="242"/>
      <c r="V713" s="242"/>
      <c r="W713" s="242"/>
      <c r="X713" s="242"/>
      <c r="Y713" s="242"/>
    </row>
    <row r="714">
      <c r="A714" s="242"/>
      <c r="B714" s="242"/>
      <c r="C714" s="242"/>
      <c r="D714" s="242"/>
      <c r="E714" s="242"/>
      <c r="F714" s="242"/>
      <c r="G714" s="671"/>
      <c r="H714" s="671"/>
      <c r="I714" s="242"/>
      <c r="J714" s="242"/>
      <c r="K714" s="242"/>
      <c r="L714" s="389"/>
      <c r="M714" s="389"/>
      <c r="N714" s="242"/>
      <c r="O714" s="242"/>
      <c r="P714" s="13"/>
      <c r="Q714" s="242"/>
      <c r="R714" s="13"/>
      <c r="S714" s="13"/>
      <c r="T714" s="242"/>
      <c r="U714" s="242"/>
      <c r="V714" s="242"/>
      <c r="W714" s="242"/>
      <c r="X714" s="242"/>
      <c r="Y714" s="242"/>
    </row>
    <row r="715">
      <c r="A715" s="242"/>
      <c r="B715" s="242"/>
      <c r="C715" s="242"/>
      <c r="D715" s="242"/>
      <c r="E715" s="242"/>
      <c r="F715" s="242"/>
      <c r="G715" s="671"/>
      <c r="H715" s="671"/>
      <c r="I715" s="242"/>
      <c r="J715" s="242"/>
      <c r="K715" s="242"/>
      <c r="L715" s="389"/>
      <c r="M715" s="389"/>
      <c r="N715" s="242"/>
      <c r="O715" s="242"/>
      <c r="P715" s="13"/>
      <c r="Q715" s="242"/>
      <c r="R715" s="13"/>
      <c r="S715" s="13"/>
      <c r="T715" s="242"/>
      <c r="U715" s="242"/>
      <c r="V715" s="242"/>
      <c r="W715" s="242"/>
      <c r="X715" s="242"/>
      <c r="Y715" s="242"/>
    </row>
    <row r="716">
      <c r="A716" s="242"/>
      <c r="B716" s="242"/>
      <c r="C716" s="242"/>
      <c r="D716" s="242"/>
      <c r="E716" s="242"/>
      <c r="F716" s="242"/>
      <c r="G716" s="671"/>
      <c r="H716" s="671"/>
      <c r="I716" s="242"/>
      <c r="J716" s="242"/>
      <c r="K716" s="242"/>
      <c r="L716" s="389"/>
      <c r="M716" s="389"/>
      <c r="N716" s="242"/>
      <c r="O716" s="242"/>
      <c r="P716" s="13"/>
      <c r="Q716" s="242"/>
      <c r="R716" s="13"/>
      <c r="S716" s="13"/>
      <c r="T716" s="242"/>
      <c r="U716" s="242"/>
      <c r="V716" s="242"/>
      <c r="W716" s="242"/>
      <c r="X716" s="242"/>
      <c r="Y716" s="242"/>
    </row>
    <row r="717">
      <c r="A717" s="242"/>
      <c r="B717" s="242"/>
      <c r="C717" s="242"/>
      <c r="D717" s="242"/>
      <c r="E717" s="242"/>
      <c r="F717" s="242"/>
      <c r="G717" s="671"/>
      <c r="H717" s="671"/>
      <c r="I717" s="242"/>
      <c r="J717" s="242"/>
      <c r="K717" s="242"/>
      <c r="L717" s="389"/>
      <c r="M717" s="389"/>
      <c r="N717" s="242"/>
      <c r="O717" s="242"/>
      <c r="P717" s="13"/>
      <c r="Q717" s="242"/>
      <c r="R717" s="13"/>
      <c r="S717" s="13"/>
      <c r="T717" s="242"/>
      <c r="U717" s="242"/>
      <c r="V717" s="242"/>
      <c r="W717" s="242"/>
      <c r="X717" s="242"/>
      <c r="Y717" s="242"/>
    </row>
    <row r="718">
      <c r="A718" s="242"/>
      <c r="B718" s="242"/>
      <c r="C718" s="242"/>
      <c r="D718" s="242"/>
      <c r="E718" s="242"/>
      <c r="F718" s="242"/>
      <c r="G718" s="671"/>
      <c r="H718" s="671"/>
      <c r="I718" s="242"/>
      <c r="J718" s="242"/>
      <c r="K718" s="242"/>
      <c r="L718" s="389"/>
      <c r="M718" s="389"/>
      <c r="N718" s="242"/>
      <c r="O718" s="242"/>
      <c r="P718" s="13"/>
      <c r="Q718" s="242"/>
      <c r="R718" s="13"/>
      <c r="S718" s="13"/>
      <c r="T718" s="242"/>
      <c r="U718" s="242"/>
      <c r="V718" s="242"/>
      <c r="W718" s="242"/>
      <c r="X718" s="242"/>
      <c r="Y718" s="242"/>
    </row>
    <row r="719">
      <c r="A719" s="242"/>
      <c r="B719" s="242"/>
      <c r="C719" s="242"/>
      <c r="D719" s="242"/>
      <c r="E719" s="242"/>
      <c r="F719" s="242"/>
      <c r="G719" s="671"/>
      <c r="H719" s="671"/>
      <c r="I719" s="242"/>
      <c r="J719" s="242"/>
      <c r="K719" s="242"/>
      <c r="L719" s="389"/>
      <c r="M719" s="389"/>
      <c r="N719" s="242"/>
      <c r="O719" s="242"/>
      <c r="P719" s="13"/>
      <c r="Q719" s="242"/>
      <c r="R719" s="13"/>
      <c r="S719" s="13"/>
      <c r="T719" s="242"/>
      <c r="U719" s="242"/>
      <c r="V719" s="242"/>
      <c r="W719" s="242"/>
      <c r="X719" s="242"/>
      <c r="Y719" s="242"/>
    </row>
    <row r="720">
      <c r="A720" s="242"/>
      <c r="B720" s="242"/>
      <c r="C720" s="242"/>
      <c r="D720" s="242"/>
      <c r="E720" s="242"/>
      <c r="F720" s="242"/>
      <c r="G720" s="671"/>
      <c r="H720" s="671"/>
      <c r="I720" s="242"/>
      <c r="J720" s="242"/>
      <c r="K720" s="242"/>
      <c r="L720" s="389"/>
      <c r="M720" s="389"/>
      <c r="N720" s="242"/>
      <c r="O720" s="242"/>
      <c r="P720" s="13"/>
      <c r="Q720" s="242"/>
      <c r="R720" s="13"/>
      <c r="S720" s="13"/>
      <c r="T720" s="242"/>
      <c r="U720" s="242"/>
      <c r="V720" s="242"/>
      <c r="W720" s="242"/>
      <c r="X720" s="242"/>
      <c r="Y720" s="242"/>
    </row>
    <row r="721">
      <c r="A721" s="242"/>
      <c r="B721" s="242"/>
      <c r="C721" s="242"/>
      <c r="D721" s="242"/>
      <c r="E721" s="242"/>
      <c r="F721" s="242"/>
      <c r="G721" s="671"/>
      <c r="H721" s="671"/>
      <c r="I721" s="242"/>
      <c r="J721" s="242"/>
      <c r="K721" s="242"/>
      <c r="L721" s="389"/>
      <c r="M721" s="389"/>
      <c r="N721" s="242"/>
      <c r="O721" s="242"/>
      <c r="P721" s="13"/>
      <c r="Q721" s="242"/>
      <c r="R721" s="13"/>
      <c r="S721" s="13"/>
      <c r="T721" s="242"/>
      <c r="U721" s="242"/>
      <c r="V721" s="242"/>
      <c r="W721" s="242"/>
      <c r="X721" s="242"/>
      <c r="Y721" s="242"/>
    </row>
    <row r="722">
      <c r="A722" s="242"/>
      <c r="B722" s="242"/>
      <c r="C722" s="242"/>
      <c r="D722" s="242"/>
      <c r="E722" s="242"/>
      <c r="F722" s="242"/>
      <c r="G722" s="671"/>
      <c r="H722" s="671"/>
      <c r="I722" s="242"/>
      <c r="J722" s="242"/>
      <c r="K722" s="242"/>
      <c r="L722" s="389"/>
      <c r="M722" s="389"/>
      <c r="N722" s="242"/>
      <c r="O722" s="242"/>
      <c r="P722" s="13"/>
      <c r="Q722" s="242"/>
      <c r="R722" s="13"/>
      <c r="S722" s="13"/>
      <c r="T722" s="242"/>
      <c r="U722" s="242"/>
      <c r="V722" s="242"/>
      <c r="W722" s="242"/>
      <c r="X722" s="242"/>
      <c r="Y722" s="242"/>
    </row>
    <row r="723">
      <c r="A723" s="242"/>
      <c r="B723" s="242"/>
      <c r="C723" s="242"/>
      <c r="D723" s="242"/>
      <c r="E723" s="242"/>
      <c r="F723" s="242"/>
      <c r="G723" s="671"/>
      <c r="H723" s="671"/>
      <c r="I723" s="242"/>
      <c r="J723" s="242"/>
      <c r="K723" s="242"/>
      <c r="L723" s="389"/>
      <c r="M723" s="389"/>
      <c r="N723" s="242"/>
      <c r="O723" s="242"/>
      <c r="P723" s="13"/>
      <c r="Q723" s="242"/>
      <c r="R723" s="13"/>
      <c r="S723" s="13"/>
      <c r="T723" s="242"/>
      <c r="U723" s="242"/>
      <c r="V723" s="242"/>
      <c r="W723" s="242"/>
      <c r="X723" s="242"/>
      <c r="Y723" s="242"/>
    </row>
    <row r="724">
      <c r="A724" s="242"/>
      <c r="B724" s="242"/>
      <c r="C724" s="242"/>
      <c r="D724" s="242"/>
      <c r="E724" s="242"/>
      <c r="F724" s="242"/>
      <c r="G724" s="671"/>
      <c r="H724" s="671"/>
      <c r="I724" s="242"/>
      <c r="J724" s="242"/>
      <c r="K724" s="242"/>
      <c r="L724" s="389"/>
      <c r="M724" s="389"/>
      <c r="N724" s="242"/>
      <c r="O724" s="242"/>
      <c r="P724" s="13"/>
      <c r="Q724" s="242"/>
      <c r="R724" s="13"/>
      <c r="S724" s="13"/>
      <c r="T724" s="242"/>
      <c r="U724" s="242"/>
      <c r="V724" s="242"/>
      <c r="W724" s="242"/>
      <c r="X724" s="242"/>
      <c r="Y724" s="242"/>
    </row>
    <row r="725">
      <c r="A725" s="242"/>
      <c r="B725" s="242"/>
      <c r="C725" s="242"/>
      <c r="D725" s="242"/>
      <c r="E725" s="242"/>
      <c r="F725" s="242"/>
      <c r="G725" s="671"/>
      <c r="H725" s="671"/>
      <c r="I725" s="242"/>
      <c r="J725" s="242"/>
      <c r="K725" s="242"/>
      <c r="L725" s="389"/>
      <c r="M725" s="389"/>
      <c r="N725" s="242"/>
      <c r="O725" s="242"/>
      <c r="P725" s="13"/>
      <c r="Q725" s="242"/>
      <c r="R725" s="13"/>
      <c r="S725" s="13"/>
      <c r="T725" s="242"/>
      <c r="U725" s="242"/>
      <c r="V725" s="242"/>
      <c r="W725" s="242"/>
      <c r="X725" s="242"/>
      <c r="Y725" s="242"/>
    </row>
    <row r="726">
      <c r="A726" s="242"/>
      <c r="B726" s="242"/>
      <c r="C726" s="242"/>
      <c r="D726" s="242"/>
      <c r="E726" s="242"/>
      <c r="F726" s="242"/>
      <c r="G726" s="671"/>
      <c r="H726" s="671"/>
      <c r="I726" s="242"/>
      <c r="J726" s="242"/>
      <c r="K726" s="242"/>
      <c r="L726" s="389"/>
      <c r="M726" s="389"/>
      <c r="N726" s="242"/>
      <c r="O726" s="242"/>
      <c r="P726" s="13"/>
      <c r="Q726" s="242"/>
      <c r="R726" s="13"/>
      <c r="S726" s="13"/>
      <c r="T726" s="242"/>
      <c r="U726" s="242"/>
      <c r="V726" s="242"/>
      <c r="W726" s="242"/>
      <c r="X726" s="242"/>
      <c r="Y726" s="242"/>
    </row>
    <row r="727">
      <c r="A727" s="242"/>
      <c r="B727" s="242"/>
      <c r="C727" s="242"/>
      <c r="D727" s="242"/>
      <c r="E727" s="242"/>
      <c r="F727" s="242"/>
      <c r="G727" s="671"/>
      <c r="H727" s="671"/>
      <c r="I727" s="242"/>
      <c r="J727" s="242"/>
      <c r="K727" s="242"/>
      <c r="L727" s="389"/>
      <c r="M727" s="389"/>
      <c r="N727" s="242"/>
      <c r="O727" s="242"/>
      <c r="P727" s="13"/>
      <c r="Q727" s="242"/>
      <c r="R727" s="13"/>
      <c r="S727" s="13"/>
      <c r="T727" s="242"/>
      <c r="U727" s="242"/>
      <c r="V727" s="242"/>
      <c r="W727" s="242"/>
      <c r="X727" s="242"/>
      <c r="Y727" s="242"/>
    </row>
    <row r="728">
      <c r="A728" s="242"/>
      <c r="B728" s="242"/>
      <c r="C728" s="242"/>
      <c r="D728" s="242"/>
      <c r="E728" s="242"/>
      <c r="F728" s="242"/>
      <c r="G728" s="671"/>
      <c r="H728" s="671"/>
      <c r="I728" s="242"/>
      <c r="J728" s="242"/>
      <c r="K728" s="242"/>
      <c r="L728" s="389"/>
      <c r="M728" s="389"/>
      <c r="N728" s="242"/>
      <c r="O728" s="242"/>
      <c r="P728" s="13"/>
      <c r="Q728" s="242"/>
      <c r="R728" s="13"/>
      <c r="S728" s="13"/>
      <c r="T728" s="242"/>
      <c r="U728" s="242"/>
      <c r="V728" s="242"/>
      <c r="W728" s="242"/>
      <c r="X728" s="242"/>
      <c r="Y728" s="242"/>
    </row>
    <row r="729">
      <c r="A729" s="242"/>
      <c r="B729" s="242"/>
      <c r="C729" s="242"/>
      <c r="D729" s="242"/>
      <c r="E729" s="242"/>
      <c r="F729" s="242"/>
      <c r="G729" s="671"/>
      <c r="H729" s="671"/>
      <c r="I729" s="242"/>
      <c r="J729" s="242"/>
      <c r="K729" s="242"/>
      <c r="L729" s="389"/>
      <c r="M729" s="389"/>
      <c r="N729" s="242"/>
      <c r="O729" s="242"/>
      <c r="P729" s="13"/>
      <c r="Q729" s="242"/>
      <c r="R729" s="13"/>
      <c r="S729" s="13"/>
      <c r="T729" s="242"/>
      <c r="U729" s="242"/>
      <c r="V729" s="242"/>
      <c r="W729" s="242"/>
      <c r="X729" s="242"/>
      <c r="Y729" s="242"/>
    </row>
    <row r="730">
      <c r="A730" s="242"/>
      <c r="B730" s="242"/>
      <c r="C730" s="242"/>
      <c r="D730" s="242"/>
      <c r="E730" s="242"/>
      <c r="F730" s="242"/>
      <c r="G730" s="671"/>
      <c r="H730" s="671"/>
      <c r="I730" s="242"/>
      <c r="J730" s="242"/>
      <c r="K730" s="242"/>
      <c r="L730" s="389"/>
      <c r="M730" s="389"/>
      <c r="N730" s="242"/>
      <c r="O730" s="242"/>
      <c r="P730" s="13"/>
      <c r="Q730" s="242"/>
      <c r="R730" s="13"/>
      <c r="S730" s="13"/>
      <c r="T730" s="242"/>
      <c r="U730" s="242"/>
      <c r="V730" s="242"/>
      <c r="W730" s="242"/>
      <c r="X730" s="242"/>
      <c r="Y730" s="242"/>
    </row>
    <row r="731">
      <c r="A731" s="242"/>
      <c r="B731" s="242"/>
      <c r="C731" s="242"/>
      <c r="D731" s="242"/>
      <c r="E731" s="242"/>
      <c r="F731" s="242"/>
      <c r="G731" s="671"/>
      <c r="H731" s="671"/>
      <c r="I731" s="242"/>
      <c r="J731" s="242"/>
      <c r="K731" s="242"/>
      <c r="L731" s="389"/>
      <c r="M731" s="389"/>
      <c r="N731" s="242"/>
      <c r="O731" s="242"/>
      <c r="P731" s="13"/>
      <c r="Q731" s="242"/>
      <c r="R731" s="13"/>
      <c r="S731" s="13"/>
      <c r="T731" s="242"/>
      <c r="U731" s="242"/>
      <c r="V731" s="242"/>
      <c r="W731" s="242"/>
      <c r="X731" s="242"/>
      <c r="Y731" s="242"/>
    </row>
    <row r="732">
      <c r="A732" s="242"/>
      <c r="B732" s="242"/>
      <c r="C732" s="242"/>
      <c r="D732" s="242"/>
      <c r="E732" s="242"/>
      <c r="F732" s="242"/>
      <c r="G732" s="671"/>
      <c r="H732" s="671"/>
      <c r="I732" s="242"/>
      <c r="J732" s="242"/>
      <c r="K732" s="242"/>
      <c r="L732" s="389"/>
      <c r="M732" s="389"/>
      <c r="N732" s="242"/>
      <c r="O732" s="242"/>
      <c r="P732" s="13"/>
      <c r="Q732" s="242"/>
      <c r="R732" s="13"/>
      <c r="S732" s="13"/>
      <c r="T732" s="242"/>
      <c r="U732" s="242"/>
      <c r="V732" s="242"/>
      <c r="W732" s="242"/>
      <c r="X732" s="242"/>
      <c r="Y732" s="242"/>
    </row>
    <row r="733">
      <c r="A733" s="242"/>
      <c r="B733" s="242"/>
      <c r="C733" s="242"/>
      <c r="D733" s="242"/>
      <c r="E733" s="242"/>
      <c r="F733" s="242"/>
      <c r="G733" s="671"/>
      <c r="H733" s="671"/>
      <c r="I733" s="242"/>
      <c r="J733" s="242"/>
      <c r="K733" s="242"/>
      <c r="L733" s="389"/>
      <c r="M733" s="389"/>
      <c r="N733" s="242"/>
      <c r="O733" s="242"/>
      <c r="P733" s="13"/>
      <c r="Q733" s="242"/>
      <c r="R733" s="13"/>
      <c r="S733" s="13"/>
      <c r="T733" s="242"/>
      <c r="U733" s="242"/>
      <c r="V733" s="242"/>
      <c r="W733" s="242"/>
      <c r="X733" s="242"/>
      <c r="Y733" s="242"/>
    </row>
    <row r="734">
      <c r="A734" s="242"/>
      <c r="B734" s="242"/>
      <c r="C734" s="242"/>
      <c r="D734" s="242"/>
      <c r="E734" s="242"/>
      <c r="F734" s="242"/>
      <c r="G734" s="671"/>
      <c r="H734" s="671"/>
      <c r="I734" s="242"/>
      <c r="J734" s="242"/>
      <c r="K734" s="242"/>
      <c r="L734" s="389"/>
      <c r="M734" s="389"/>
      <c r="N734" s="242"/>
      <c r="O734" s="242"/>
      <c r="P734" s="13"/>
      <c r="Q734" s="242"/>
      <c r="R734" s="13"/>
      <c r="S734" s="13"/>
      <c r="T734" s="242"/>
      <c r="U734" s="242"/>
      <c r="V734" s="242"/>
      <c r="W734" s="242"/>
      <c r="X734" s="242"/>
      <c r="Y734" s="242"/>
    </row>
    <row r="735">
      <c r="A735" s="242"/>
      <c r="B735" s="242"/>
      <c r="C735" s="242"/>
      <c r="D735" s="242"/>
      <c r="E735" s="242"/>
      <c r="F735" s="242"/>
      <c r="G735" s="671"/>
      <c r="H735" s="671"/>
      <c r="I735" s="242"/>
      <c r="J735" s="242"/>
      <c r="K735" s="242"/>
      <c r="L735" s="389"/>
      <c r="M735" s="389"/>
      <c r="N735" s="242"/>
      <c r="O735" s="242"/>
      <c r="P735" s="13"/>
      <c r="Q735" s="242"/>
      <c r="R735" s="13"/>
      <c r="S735" s="13"/>
      <c r="T735" s="242"/>
      <c r="U735" s="242"/>
      <c r="V735" s="242"/>
      <c r="W735" s="242"/>
      <c r="X735" s="242"/>
      <c r="Y735" s="242"/>
    </row>
    <row r="736">
      <c r="A736" s="242"/>
      <c r="B736" s="242"/>
      <c r="C736" s="242"/>
      <c r="D736" s="242"/>
      <c r="E736" s="242"/>
      <c r="F736" s="242"/>
      <c r="G736" s="671"/>
      <c r="H736" s="671"/>
      <c r="I736" s="242"/>
      <c r="J736" s="242"/>
      <c r="K736" s="242"/>
      <c r="L736" s="389"/>
      <c r="M736" s="389"/>
      <c r="N736" s="242"/>
      <c r="O736" s="242"/>
      <c r="P736" s="13"/>
      <c r="Q736" s="242"/>
      <c r="R736" s="13"/>
      <c r="S736" s="13"/>
      <c r="T736" s="242"/>
      <c r="U736" s="242"/>
      <c r="V736" s="242"/>
      <c r="W736" s="242"/>
      <c r="X736" s="242"/>
      <c r="Y736" s="242"/>
    </row>
    <row r="737">
      <c r="A737" s="242"/>
      <c r="B737" s="242"/>
      <c r="C737" s="242"/>
      <c r="D737" s="242"/>
      <c r="E737" s="242"/>
      <c r="F737" s="242"/>
      <c r="G737" s="671"/>
      <c r="H737" s="671"/>
      <c r="I737" s="242"/>
      <c r="J737" s="242"/>
      <c r="K737" s="242"/>
      <c r="L737" s="389"/>
      <c r="M737" s="389"/>
      <c r="N737" s="242"/>
      <c r="O737" s="242"/>
      <c r="P737" s="13"/>
      <c r="Q737" s="242"/>
      <c r="R737" s="13"/>
      <c r="S737" s="13"/>
      <c r="T737" s="242"/>
      <c r="U737" s="242"/>
      <c r="V737" s="242"/>
      <c r="W737" s="242"/>
      <c r="X737" s="242"/>
      <c r="Y737" s="242"/>
    </row>
    <row r="738">
      <c r="A738" s="242"/>
      <c r="B738" s="242"/>
      <c r="C738" s="242"/>
      <c r="D738" s="242"/>
      <c r="E738" s="242"/>
      <c r="F738" s="242"/>
      <c r="G738" s="671"/>
      <c r="H738" s="671"/>
      <c r="I738" s="242"/>
      <c r="J738" s="242"/>
      <c r="K738" s="242"/>
      <c r="L738" s="389"/>
      <c r="M738" s="389"/>
      <c r="N738" s="242"/>
      <c r="O738" s="242"/>
      <c r="P738" s="13"/>
      <c r="Q738" s="242"/>
      <c r="R738" s="13"/>
      <c r="S738" s="13"/>
      <c r="T738" s="242"/>
      <c r="U738" s="242"/>
      <c r="V738" s="242"/>
      <c r="W738" s="242"/>
      <c r="X738" s="242"/>
      <c r="Y738" s="242"/>
    </row>
    <row r="739">
      <c r="A739" s="242"/>
      <c r="B739" s="242"/>
      <c r="C739" s="242"/>
      <c r="D739" s="242"/>
      <c r="E739" s="242"/>
      <c r="F739" s="242"/>
      <c r="G739" s="671"/>
      <c r="H739" s="671"/>
      <c r="I739" s="242"/>
      <c r="J739" s="242"/>
      <c r="K739" s="242"/>
      <c r="L739" s="389"/>
      <c r="M739" s="389"/>
      <c r="N739" s="242"/>
      <c r="O739" s="242"/>
      <c r="P739" s="13"/>
      <c r="Q739" s="242"/>
      <c r="R739" s="13"/>
      <c r="S739" s="13"/>
      <c r="T739" s="242"/>
      <c r="U739" s="242"/>
      <c r="V739" s="242"/>
      <c r="W739" s="242"/>
      <c r="X739" s="242"/>
      <c r="Y739" s="242"/>
    </row>
    <row r="740">
      <c r="A740" s="242"/>
      <c r="B740" s="242"/>
      <c r="C740" s="242"/>
      <c r="D740" s="242"/>
      <c r="E740" s="242"/>
      <c r="F740" s="242"/>
      <c r="G740" s="671"/>
      <c r="H740" s="671"/>
      <c r="I740" s="242"/>
      <c r="J740" s="242"/>
      <c r="K740" s="242"/>
      <c r="L740" s="389"/>
      <c r="M740" s="389"/>
      <c r="N740" s="242"/>
      <c r="O740" s="242"/>
      <c r="P740" s="13"/>
      <c r="Q740" s="242"/>
      <c r="R740" s="13"/>
      <c r="S740" s="13"/>
      <c r="T740" s="242"/>
      <c r="U740" s="242"/>
      <c r="V740" s="242"/>
      <c r="W740" s="242"/>
      <c r="X740" s="242"/>
      <c r="Y740" s="242"/>
    </row>
    <row r="741">
      <c r="A741" s="242"/>
      <c r="B741" s="242"/>
      <c r="C741" s="242"/>
      <c r="D741" s="242"/>
      <c r="E741" s="242"/>
      <c r="F741" s="242"/>
      <c r="G741" s="671"/>
      <c r="H741" s="671"/>
      <c r="I741" s="242"/>
      <c r="J741" s="242"/>
      <c r="K741" s="242"/>
      <c r="L741" s="389"/>
      <c r="M741" s="389"/>
      <c r="N741" s="242"/>
      <c r="O741" s="242"/>
      <c r="P741" s="13"/>
      <c r="Q741" s="242"/>
      <c r="R741" s="13"/>
      <c r="S741" s="13"/>
      <c r="T741" s="242"/>
      <c r="U741" s="242"/>
      <c r="V741" s="242"/>
      <c r="W741" s="242"/>
      <c r="X741" s="242"/>
      <c r="Y741" s="242"/>
    </row>
    <row r="742">
      <c r="A742" s="242"/>
      <c r="B742" s="242"/>
      <c r="C742" s="242"/>
      <c r="D742" s="242"/>
      <c r="E742" s="242"/>
      <c r="F742" s="242"/>
      <c r="G742" s="671"/>
      <c r="H742" s="671"/>
      <c r="I742" s="242"/>
      <c r="J742" s="242"/>
      <c r="K742" s="242"/>
      <c r="L742" s="389"/>
      <c r="M742" s="389"/>
      <c r="N742" s="242"/>
      <c r="O742" s="242"/>
      <c r="P742" s="13"/>
      <c r="Q742" s="242"/>
      <c r="R742" s="13"/>
      <c r="S742" s="13"/>
      <c r="T742" s="242"/>
      <c r="U742" s="242"/>
      <c r="V742" s="242"/>
      <c r="W742" s="242"/>
      <c r="X742" s="242"/>
      <c r="Y742" s="242"/>
    </row>
    <row r="743">
      <c r="A743" s="242"/>
      <c r="B743" s="242"/>
      <c r="C743" s="242"/>
      <c r="D743" s="242"/>
      <c r="E743" s="242"/>
      <c r="F743" s="242"/>
      <c r="G743" s="671"/>
      <c r="H743" s="671"/>
      <c r="I743" s="242"/>
      <c r="J743" s="242"/>
      <c r="K743" s="242"/>
      <c r="L743" s="389"/>
      <c r="M743" s="389"/>
      <c r="N743" s="242"/>
      <c r="O743" s="242"/>
      <c r="P743" s="13"/>
      <c r="Q743" s="242"/>
      <c r="R743" s="13"/>
      <c r="S743" s="13"/>
      <c r="T743" s="242"/>
      <c r="U743" s="242"/>
      <c r="V743" s="242"/>
      <c r="W743" s="242"/>
      <c r="X743" s="242"/>
      <c r="Y743" s="242"/>
    </row>
    <row r="744">
      <c r="A744" s="242"/>
      <c r="B744" s="242"/>
      <c r="C744" s="242"/>
      <c r="D744" s="242"/>
      <c r="E744" s="242"/>
      <c r="F744" s="242"/>
      <c r="G744" s="671"/>
      <c r="H744" s="671"/>
      <c r="I744" s="242"/>
      <c r="J744" s="242"/>
      <c r="K744" s="242"/>
      <c r="L744" s="389"/>
      <c r="M744" s="389"/>
      <c r="N744" s="242"/>
      <c r="O744" s="242"/>
      <c r="P744" s="13"/>
      <c r="Q744" s="242"/>
      <c r="R744" s="13"/>
      <c r="S744" s="13"/>
      <c r="T744" s="242"/>
      <c r="U744" s="242"/>
      <c r="V744" s="242"/>
      <c r="W744" s="242"/>
      <c r="X744" s="242"/>
      <c r="Y744" s="242"/>
    </row>
    <row r="745">
      <c r="A745" s="242"/>
      <c r="B745" s="242"/>
      <c r="C745" s="242"/>
      <c r="D745" s="242"/>
      <c r="E745" s="242"/>
      <c r="F745" s="242"/>
      <c r="G745" s="671"/>
      <c r="H745" s="671"/>
      <c r="I745" s="242"/>
      <c r="J745" s="242"/>
      <c r="K745" s="242"/>
      <c r="L745" s="389"/>
      <c r="M745" s="389"/>
      <c r="N745" s="242"/>
      <c r="O745" s="242"/>
      <c r="P745" s="13"/>
      <c r="Q745" s="242"/>
      <c r="R745" s="13"/>
      <c r="S745" s="13"/>
      <c r="T745" s="242"/>
      <c r="U745" s="242"/>
      <c r="V745" s="242"/>
      <c r="W745" s="242"/>
      <c r="X745" s="242"/>
      <c r="Y745" s="242"/>
    </row>
    <row r="746">
      <c r="A746" s="242"/>
      <c r="B746" s="242"/>
      <c r="C746" s="242"/>
      <c r="D746" s="242"/>
      <c r="E746" s="242"/>
      <c r="F746" s="242"/>
      <c r="G746" s="671"/>
      <c r="H746" s="671"/>
      <c r="I746" s="242"/>
      <c r="J746" s="242"/>
      <c r="K746" s="242"/>
      <c r="L746" s="389"/>
      <c r="M746" s="389"/>
      <c r="N746" s="242"/>
      <c r="O746" s="242"/>
      <c r="P746" s="13"/>
      <c r="Q746" s="242"/>
      <c r="R746" s="13"/>
      <c r="S746" s="13"/>
      <c r="T746" s="242"/>
      <c r="U746" s="242"/>
      <c r="V746" s="242"/>
      <c r="W746" s="242"/>
      <c r="X746" s="242"/>
      <c r="Y746" s="242"/>
    </row>
    <row r="747">
      <c r="A747" s="242"/>
      <c r="B747" s="242"/>
      <c r="C747" s="242"/>
      <c r="D747" s="242"/>
      <c r="E747" s="242"/>
      <c r="F747" s="242"/>
      <c r="G747" s="671"/>
      <c r="H747" s="671"/>
      <c r="I747" s="242"/>
      <c r="J747" s="242"/>
      <c r="K747" s="242"/>
      <c r="L747" s="389"/>
      <c r="M747" s="389"/>
      <c r="N747" s="242"/>
      <c r="O747" s="242"/>
      <c r="P747" s="13"/>
      <c r="Q747" s="242"/>
      <c r="R747" s="13"/>
      <c r="S747" s="13"/>
      <c r="T747" s="242"/>
      <c r="U747" s="242"/>
      <c r="V747" s="242"/>
      <c r="W747" s="242"/>
      <c r="X747" s="242"/>
      <c r="Y747" s="242"/>
    </row>
    <row r="748">
      <c r="A748" s="242"/>
      <c r="B748" s="242"/>
      <c r="C748" s="242"/>
      <c r="D748" s="242"/>
      <c r="E748" s="242"/>
      <c r="F748" s="242"/>
      <c r="G748" s="671"/>
      <c r="H748" s="671"/>
      <c r="I748" s="242"/>
      <c r="J748" s="242"/>
      <c r="K748" s="242"/>
      <c r="L748" s="389"/>
      <c r="M748" s="389"/>
      <c r="N748" s="242"/>
      <c r="O748" s="242"/>
      <c r="P748" s="13"/>
      <c r="Q748" s="242"/>
      <c r="R748" s="13"/>
      <c r="S748" s="13"/>
      <c r="T748" s="242"/>
      <c r="U748" s="242"/>
      <c r="V748" s="242"/>
      <c r="W748" s="242"/>
      <c r="X748" s="242"/>
      <c r="Y748" s="242"/>
    </row>
    <row r="749">
      <c r="A749" s="242"/>
      <c r="B749" s="242"/>
      <c r="C749" s="242"/>
      <c r="D749" s="242"/>
      <c r="E749" s="242"/>
      <c r="F749" s="242"/>
      <c r="G749" s="671"/>
      <c r="H749" s="671"/>
      <c r="I749" s="242"/>
      <c r="J749" s="242"/>
      <c r="K749" s="242"/>
      <c r="L749" s="389"/>
      <c r="M749" s="389"/>
      <c r="N749" s="242"/>
      <c r="O749" s="242"/>
      <c r="P749" s="13"/>
      <c r="Q749" s="242"/>
      <c r="R749" s="13"/>
      <c r="S749" s="13"/>
      <c r="T749" s="242"/>
      <c r="U749" s="242"/>
      <c r="V749" s="242"/>
      <c r="W749" s="242"/>
      <c r="X749" s="242"/>
      <c r="Y749" s="242"/>
    </row>
    <row r="750">
      <c r="A750" s="242"/>
      <c r="B750" s="242"/>
      <c r="C750" s="242"/>
      <c r="D750" s="242"/>
      <c r="E750" s="242"/>
      <c r="F750" s="242"/>
      <c r="G750" s="671"/>
      <c r="H750" s="671"/>
      <c r="I750" s="242"/>
      <c r="J750" s="242"/>
      <c r="K750" s="242"/>
      <c r="L750" s="389"/>
      <c r="M750" s="389"/>
      <c r="N750" s="242"/>
      <c r="O750" s="242"/>
      <c r="P750" s="13"/>
      <c r="Q750" s="242"/>
      <c r="R750" s="13"/>
      <c r="S750" s="13"/>
      <c r="T750" s="242"/>
      <c r="U750" s="242"/>
      <c r="V750" s="242"/>
      <c r="W750" s="242"/>
      <c r="X750" s="242"/>
      <c r="Y750" s="242"/>
    </row>
    <row r="751">
      <c r="A751" s="242"/>
      <c r="B751" s="242"/>
      <c r="C751" s="242"/>
      <c r="D751" s="242"/>
      <c r="E751" s="242"/>
      <c r="F751" s="242"/>
      <c r="G751" s="671"/>
      <c r="H751" s="671"/>
      <c r="I751" s="242"/>
      <c r="J751" s="242"/>
      <c r="K751" s="242"/>
      <c r="L751" s="389"/>
      <c r="M751" s="389"/>
      <c r="N751" s="242"/>
      <c r="O751" s="242"/>
      <c r="P751" s="13"/>
      <c r="Q751" s="242"/>
      <c r="R751" s="13"/>
      <c r="S751" s="13"/>
      <c r="T751" s="242"/>
      <c r="U751" s="242"/>
      <c r="V751" s="242"/>
      <c r="W751" s="242"/>
      <c r="X751" s="242"/>
      <c r="Y751" s="242"/>
    </row>
    <row r="752">
      <c r="A752" s="242"/>
      <c r="B752" s="242"/>
      <c r="C752" s="242"/>
      <c r="D752" s="242"/>
      <c r="E752" s="242"/>
      <c r="F752" s="242"/>
      <c r="G752" s="671"/>
      <c r="H752" s="671"/>
      <c r="I752" s="242"/>
      <c r="J752" s="242"/>
      <c r="K752" s="242"/>
      <c r="L752" s="389"/>
      <c r="M752" s="389"/>
      <c r="N752" s="242"/>
      <c r="O752" s="242"/>
      <c r="P752" s="13"/>
      <c r="Q752" s="242"/>
      <c r="R752" s="13"/>
      <c r="S752" s="13"/>
      <c r="T752" s="242"/>
      <c r="U752" s="242"/>
      <c r="V752" s="242"/>
      <c r="W752" s="242"/>
      <c r="X752" s="242"/>
      <c r="Y752" s="242"/>
    </row>
    <row r="753">
      <c r="A753" s="242"/>
      <c r="B753" s="242"/>
      <c r="C753" s="242"/>
      <c r="D753" s="242"/>
      <c r="E753" s="242"/>
      <c r="F753" s="242"/>
      <c r="G753" s="671"/>
      <c r="H753" s="671"/>
      <c r="I753" s="242"/>
      <c r="J753" s="242"/>
      <c r="K753" s="242"/>
      <c r="L753" s="389"/>
      <c r="M753" s="389"/>
      <c r="N753" s="242"/>
      <c r="O753" s="242"/>
      <c r="P753" s="13"/>
      <c r="Q753" s="242"/>
      <c r="R753" s="13"/>
      <c r="S753" s="13"/>
      <c r="T753" s="242"/>
      <c r="U753" s="242"/>
      <c r="V753" s="242"/>
      <c r="W753" s="242"/>
      <c r="X753" s="242"/>
      <c r="Y753" s="242"/>
    </row>
    <row r="754">
      <c r="A754" s="242"/>
      <c r="B754" s="242"/>
      <c r="C754" s="242"/>
      <c r="D754" s="242"/>
      <c r="E754" s="242"/>
      <c r="F754" s="242"/>
      <c r="G754" s="671"/>
      <c r="H754" s="671"/>
      <c r="I754" s="242"/>
      <c r="J754" s="242"/>
      <c r="K754" s="242"/>
      <c r="L754" s="389"/>
      <c r="M754" s="389"/>
      <c r="N754" s="242"/>
      <c r="O754" s="242"/>
      <c r="P754" s="13"/>
      <c r="Q754" s="242"/>
      <c r="R754" s="13"/>
      <c r="S754" s="13"/>
      <c r="T754" s="242"/>
      <c r="U754" s="242"/>
      <c r="V754" s="242"/>
      <c r="W754" s="242"/>
      <c r="X754" s="242"/>
      <c r="Y754" s="242"/>
    </row>
    <row r="755">
      <c r="A755" s="242"/>
      <c r="B755" s="242"/>
      <c r="C755" s="242"/>
      <c r="D755" s="242"/>
      <c r="E755" s="242"/>
      <c r="F755" s="242"/>
      <c r="G755" s="671"/>
      <c r="H755" s="671"/>
      <c r="I755" s="242"/>
      <c r="J755" s="242"/>
      <c r="K755" s="242"/>
      <c r="L755" s="389"/>
      <c r="M755" s="389"/>
      <c r="N755" s="242"/>
      <c r="O755" s="242"/>
      <c r="P755" s="13"/>
      <c r="Q755" s="242"/>
      <c r="R755" s="13"/>
      <c r="S755" s="13"/>
      <c r="T755" s="242"/>
      <c r="U755" s="242"/>
      <c r="V755" s="242"/>
      <c r="W755" s="242"/>
      <c r="X755" s="242"/>
      <c r="Y755" s="242"/>
    </row>
    <row r="756">
      <c r="A756" s="242"/>
      <c r="B756" s="242"/>
      <c r="C756" s="242"/>
      <c r="D756" s="242"/>
      <c r="E756" s="242"/>
      <c r="F756" s="242"/>
      <c r="G756" s="671"/>
      <c r="H756" s="671"/>
      <c r="I756" s="242"/>
      <c r="J756" s="242"/>
      <c r="K756" s="242"/>
      <c r="L756" s="389"/>
      <c r="M756" s="389"/>
      <c r="N756" s="242"/>
      <c r="O756" s="242"/>
      <c r="P756" s="13"/>
      <c r="Q756" s="242"/>
      <c r="R756" s="13"/>
      <c r="S756" s="13"/>
      <c r="T756" s="242"/>
      <c r="U756" s="242"/>
      <c r="V756" s="242"/>
      <c r="W756" s="242"/>
      <c r="X756" s="242"/>
      <c r="Y756" s="242"/>
    </row>
    <row r="757">
      <c r="A757" s="242"/>
      <c r="B757" s="242"/>
      <c r="C757" s="242"/>
      <c r="D757" s="242"/>
      <c r="E757" s="242"/>
      <c r="F757" s="242"/>
      <c r="G757" s="671"/>
      <c r="H757" s="671"/>
      <c r="I757" s="242"/>
      <c r="J757" s="242"/>
      <c r="K757" s="242"/>
      <c r="L757" s="389"/>
      <c r="M757" s="389"/>
      <c r="N757" s="242"/>
      <c r="O757" s="242"/>
      <c r="P757" s="13"/>
      <c r="Q757" s="242"/>
      <c r="R757" s="13"/>
      <c r="S757" s="13"/>
      <c r="T757" s="242"/>
      <c r="U757" s="242"/>
      <c r="V757" s="242"/>
      <c r="W757" s="242"/>
      <c r="X757" s="242"/>
      <c r="Y757" s="242"/>
    </row>
    <row r="758">
      <c r="A758" s="242"/>
      <c r="B758" s="242"/>
      <c r="C758" s="242"/>
      <c r="D758" s="242"/>
      <c r="E758" s="242"/>
      <c r="F758" s="242"/>
      <c r="G758" s="671"/>
      <c r="H758" s="671"/>
      <c r="I758" s="242"/>
      <c r="J758" s="242"/>
      <c r="K758" s="242"/>
      <c r="L758" s="389"/>
      <c r="M758" s="389"/>
      <c r="N758" s="242"/>
      <c r="O758" s="242"/>
      <c r="P758" s="13"/>
      <c r="Q758" s="242"/>
      <c r="R758" s="13"/>
      <c r="S758" s="13"/>
      <c r="T758" s="242"/>
      <c r="U758" s="242"/>
      <c r="V758" s="242"/>
      <c r="W758" s="242"/>
      <c r="X758" s="242"/>
      <c r="Y758" s="242"/>
    </row>
    <row r="759">
      <c r="A759" s="242"/>
      <c r="B759" s="242"/>
      <c r="C759" s="242"/>
      <c r="D759" s="242"/>
      <c r="E759" s="242"/>
      <c r="F759" s="242"/>
      <c r="G759" s="671"/>
      <c r="H759" s="671"/>
      <c r="I759" s="242"/>
      <c r="J759" s="242"/>
      <c r="K759" s="242"/>
      <c r="L759" s="389"/>
      <c r="M759" s="389"/>
      <c r="N759" s="242"/>
      <c r="O759" s="242"/>
      <c r="P759" s="13"/>
      <c r="Q759" s="242"/>
      <c r="R759" s="13"/>
      <c r="S759" s="13"/>
      <c r="T759" s="242"/>
      <c r="U759" s="242"/>
      <c r="V759" s="242"/>
      <c r="W759" s="242"/>
      <c r="X759" s="242"/>
      <c r="Y759" s="242"/>
    </row>
    <row r="760">
      <c r="A760" s="242"/>
      <c r="B760" s="242"/>
      <c r="C760" s="242"/>
      <c r="D760" s="242"/>
      <c r="E760" s="242"/>
      <c r="F760" s="242"/>
      <c r="G760" s="671"/>
      <c r="H760" s="671"/>
      <c r="I760" s="242"/>
      <c r="J760" s="242"/>
      <c r="K760" s="242"/>
      <c r="L760" s="389"/>
      <c r="M760" s="389"/>
      <c r="N760" s="242"/>
      <c r="O760" s="242"/>
      <c r="P760" s="13"/>
      <c r="Q760" s="242"/>
      <c r="R760" s="13"/>
      <c r="S760" s="13"/>
      <c r="T760" s="242"/>
      <c r="U760" s="242"/>
      <c r="V760" s="242"/>
      <c r="W760" s="242"/>
      <c r="X760" s="242"/>
      <c r="Y760" s="242"/>
    </row>
    <row r="761">
      <c r="A761" s="242"/>
      <c r="B761" s="242"/>
      <c r="C761" s="242"/>
      <c r="D761" s="242"/>
      <c r="E761" s="242"/>
      <c r="F761" s="242"/>
      <c r="G761" s="671"/>
      <c r="H761" s="671"/>
      <c r="I761" s="242"/>
      <c r="J761" s="242"/>
      <c r="K761" s="242"/>
      <c r="L761" s="389"/>
      <c r="M761" s="389"/>
      <c r="N761" s="242"/>
      <c r="O761" s="242"/>
      <c r="P761" s="13"/>
      <c r="Q761" s="242"/>
      <c r="R761" s="13"/>
      <c r="S761" s="13"/>
      <c r="T761" s="242"/>
      <c r="U761" s="242"/>
      <c r="V761" s="242"/>
      <c r="W761" s="242"/>
      <c r="X761" s="242"/>
      <c r="Y761" s="242"/>
    </row>
    <row r="762">
      <c r="A762" s="242"/>
      <c r="B762" s="242"/>
      <c r="C762" s="242"/>
      <c r="D762" s="242"/>
      <c r="E762" s="242"/>
      <c r="F762" s="242"/>
      <c r="G762" s="671"/>
      <c r="H762" s="671"/>
      <c r="I762" s="242"/>
      <c r="J762" s="242"/>
      <c r="K762" s="242"/>
      <c r="L762" s="389"/>
      <c r="M762" s="389"/>
      <c r="N762" s="242"/>
      <c r="O762" s="242"/>
      <c r="P762" s="13"/>
      <c r="Q762" s="242"/>
      <c r="R762" s="13"/>
      <c r="S762" s="13"/>
      <c r="T762" s="242"/>
      <c r="U762" s="242"/>
      <c r="V762" s="242"/>
      <c r="W762" s="242"/>
      <c r="X762" s="242"/>
      <c r="Y762" s="242"/>
    </row>
    <row r="763">
      <c r="A763" s="242"/>
      <c r="B763" s="242"/>
      <c r="C763" s="242"/>
      <c r="D763" s="242"/>
      <c r="E763" s="242"/>
      <c r="F763" s="242"/>
      <c r="G763" s="671"/>
      <c r="H763" s="671"/>
      <c r="I763" s="242"/>
      <c r="J763" s="242"/>
      <c r="K763" s="242"/>
      <c r="L763" s="389"/>
      <c r="M763" s="389"/>
      <c r="N763" s="242"/>
      <c r="O763" s="242"/>
      <c r="P763" s="13"/>
      <c r="Q763" s="242"/>
      <c r="R763" s="13"/>
      <c r="S763" s="13"/>
      <c r="T763" s="242"/>
      <c r="U763" s="242"/>
      <c r="V763" s="242"/>
      <c r="W763" s="242"/>
      <c r="X763" s="242"/>
      <c r="Y763" s="242"/>
    </row>
    <row r="764">
      <c r="A764" s="242"/>
      <c r="B764" s="242"/>
      <c r="C764" s="242"/>
      <c r="D764" s="242"/>
      <c r="E764" s="242"/>
      <c r="F764" s="242"/>
      <c r="G764" s="671"/>
      <c r="H764" s="671"/>
      <c r="I764" s="242"/>
      <c r="J764" s="242"/>
      <c r="K764" s="242"/>
      <c r="L764" s="389"/>
      <c r="M764" s="389"/>
      <c r="N764" s="242"/>
      <c r="O764" s="242"/>
      <c r="P764" s="13"/>
      <c r="Q764" s="242"/>
      <c r="R764" s="13"/>
      <c r="S764" s="13"/>
      <c r="T764" s="242"/>
      <c r="U764" s="242"/>
      <c r="V764" s="242"/>
      <c r="W764" s="242"/>
      <c r="X764" s="242"/>
      <c r="Y764" s="242"/>
    </row>
    <row r="765">
      <c r="A765" s="242"/>
      <c r="B765" s="242"/>
      <c r="C765" s="242"/>
      <c r="D765" s="242"/>
      <c r="E765" s="242"/>
      <c r="F765" s="242"/>
      <c r="G765" s="671"/>
      <c r="H765" s="671"/>
      <c r="I765" s="242"/>
      <c r="J765" s="242"/>
      <c r="K765" s="242"/>
      <c r="L765" s="389"/>
      <c r="M765" s="389"/>
      <c r="N765" s="242"/>
      <c r="O765" s="242"/>
      <c r="P765" s="13"/>
      <c r="Q765" s="242"/>
      <c r="R765" s="13"/>
      <c r="S765" s="13"/>
      <c r="T765" s="242"/>
      <c r="U765" s="242"/>
      <c r="V765" s="242"/>
      <c r="W765" s="242"/>
      <c r="X765" s="242"/>
      <c r="Y765" s="242"/>
    </row>
    <row r="766">
      <c r="A766" s="242"/>
      <c r="B766" s="242"/>
      <c r="C766" s="242"/>
      <c r="D766" s="242"/>
      <c r="E766" s="242"/>
      <c r="F766" s="242"/>
      <c r="G766" s="671"/>
      <c r="H766" s="671"/>
      <c r="I766" s="242"/>
      <c r="J766" s="242"/>
      <c r="K766" s="242"/>
      <c r="L766" s="389"/>
      <c r="M766" s="389"/>
      <c r="N766" s="242"/>
      <c r="O766" s="242"/>
      <c r="P766" s="13"/>
      <c r="Q766" s="242"/>
      <c r="R766" s="13"/>
      <c r="S766" s="13"/>
      <c r="T766" s="242"/>
      <c r="U766" s="242"/>
      <c r="V766" s="242"/>
      <c r="W766" s="242"/>
      <c r="X766" s="242"/>
      <c r="Y766" s="242"/>
    </row>
    <row r="767">
      <c r="A767" s="242"/>
      <c r="B767" s="242"/>
      <c r="C767" s="242"/>
      <c r="D767" s="242"/>
      <c r="E767" s="242"/>
      <c r="F767" s="242"/>
      <c r="G767" s="671"/>
      <c r="H767" s="671"/>
      <c r="I767" s="242"/>
      <c r="J767" s="242"/>
      <c r="K767" s="242"/>
      <c r="L767" s="389"/>
      <c r="M767" s="389"/>
      <c r="N767" s="242"/>
      <c r="O767" s="242"/>
      <c r="P767" s="13"/>
      <c r="Q767" s="242"/>
      <c r="R767" s="13"/>
      <c r="S767" s="13"/>
      <c r="T767" s="242"/>
      <c r="U767" s="242"/>
      <c r="V767" s="242"/>
      <c r="W767" s="242"/>
      <c r="X767" s="242"/>
      <c r="Y767" s="242"/>
    </row>
    <row r="768">
      <c r="A768" s="242"/>
      <c r="B768" s="242"/>
      <c r="C768" s="242"/>
      <c r="D768" s="242"/>
      <c r="E768" s="242"/>
      <c r="F768" s="242"/>
      <c r="G768" s="671"/>
      <c r="H768" s="671"/>
      <c r="I768" s="242"/>
      <c r="J768" s="242"/>
      <c r="K768" s="242"/>
      <c r="L768" s="389"/>
      <c r="M768" s="389"/>
      <c r="N768" s="242"/>
      <c r="O768" s="242"/>
      <c r="P768" s="13"/>
      <c r="Q768" s="242"/>
      <c r="R768" s="13"/>
      <c r="S768" s="13"/>
      <c r="T768" s="242"/>
      <c r="U768" s="242"/>
      <c r="V768" s="242"/>
      <c r="W768" s="242"/>
      <c r="X768" s="242"/>
      <c r="Y768" s="242"/>
    </row>
    <row r="769">
      <c r="A769" s="242"/>
      <c r="B769" s="242"/>
      <c r="C769" s="242"/>
      <c r="D769" s="242"/>
      <c r="E769" s="242"/>
      <c r="F769" s="242"/>
      <c r="G769" s="671"/>
      <c r="H769" s="671"/>
      <c r="I769" s="242"/>
      <c r="J769" s="242"/>
      <c r="K769" s="242"/>
      <c r="L769" s="389"/>
      <c r="M769" s="389"/>
      <c r="N769" s="242"/>
      <c r="O769" s="242"/>
      <c r="P769" s="13"/>
      <c r="Q769" s="242"/>
      <c r="R769" s="13"/>
      <c r="S769" s="13"/>
      <c r="T769" s="242"/>
      <c r="U769" s="242"/>
      <c r="V769" s="242"/>
      <c r="W769" s="242"/>
      <c r="X769" s="242"/>
      <c r="Y769" s="242"/>
    </row>
    <row r="770">
      <c r="A770" s="242"/>
      <c r="B770" s="242"/>
      <c r="C770" s="242"/>
      <c r="D770" s="242"/>
      <c r="E770" s="242"/>
      <c r="F770" s="242"/>
      <c r="G770" s="671"/>
      <c r="H770" s="671"/>
      <c r="I770" s="242"/>
      <c r="J770" s="242"/>
      <c r="K770" s="242"/>
      <c r="L770" s="389"/>
      <c r="M770" s="389"/>
      <c r="N770" s="242"/>
      <c r="O770" s="242"/>
      <c r="P770" s="13"/>
      <c r="Q770" s="242"/>
      <c r="R770" s="13"/>
      <c r="S770" s="13"/>
      <c r="T770" s="242"/>
      <c r="U770" s="242"/>
      <c r="V770" s="242"/>
      <c r="W770" s="242"/>
      <c r="X770" s="242"/>
      <c r="Y770" s="242"/>
    </row>
    <row r="771">
      <c r="A771" s="242"/>
      <c r="B771" s="242"/>
      <c r="C771" s="242"/>
      <c r="D771" s="242"/>
      <c r="E771" s="242"/>
      <c r="F771" s="242"/>
      <c r="G771" s="671"/>
      <c r="H771" s="671"/>
      <c r="I771" s="242"/>
      <c r="J771" s="242"/>
      <c r="K771" s="242"/>
      <c r="L771" s="389"/>
      <c r="M771" s="389"/>
      <c r="N771" s="242"/>
      <c r="O771" s="242"/>
      <c r="P771" s="13"/>
      <c r="Q771" s="242"/>
      <c r="R771" s="13"/>
      <c r="S771" s="13"/>
      <c r="T771" s="242"/>
      <c r="U771" s="242"/>
      <c r="V771" s="242"/>
      <c r="W771" s="242"/>
      <c r="X771" s="242"/>
      <c r="Y771" s="242"/>
    </row>
    <row r="772">
      <c r="A772" s="242"/>
      <c r="B772" s="242"/>
      <c r="C772" s="242"/>
      <c r="D772" s="242"/>
      <c r="E772" s="242"/>
      <c r="F772" s="242"/>
      <c r="G772" s="671"/>
      <c r="H772" s="671"/>
      <c r="I772" s="242"/>
      <c r="J772" s="242"/>
      <c r="K772" s="242"/>
      <c r="L772" s="389"/>
      <c r="M772" s="389"/>
      <c r="N772" s="242"/>
      <c r="O772" s="242"/>
      <c r="P772" s="13"/>
      <c r="Q772" s="242"/>
      <c r="R772" s="13"/>
      <c r="S772" s="13"/>
      <c r="T772" s="242"/>
      <c r="U772" s="242"/>
      <c r="V772" s="242"/>
      <c r="W772" s="242"/>
      <c r="X772" s="242"/>
      <c r="Y772" s="242"/>
    </row>
    <row r="773">
      <c r="A773" s="242"/>
      <c r="B773" s="242"/>
      <c r="C773" s="242"/>
      <c r="D773" s="242"/>
      <c r="E773" s="242"/>
      <c r="F773" s="242"/>
      <c r="G773" s="671"/>
      <c r="H773" s="671"/>
      <c r="I773" s="242"/>
      <c r="J773" s="242"/>
      <c r="K773" s="242"/>
      <c r="L773" s="389"/>
      <c r="M773" s="389"/>
      <c r="N773" s="242"/>
      <c r="O773" s="242"/>
      <c r="P773" s="13"/>
      <c r="Q773" s="242"/>
      <c r="R773" s="13"/>
      <c r="S773" s="13"/>
      <c r="T773" s="242"/>
      <c r="U773" s="242"/>
      <c r="V773" s="242"/>
      <c r="W773" s="242"/>
      <c r="X773" s="242"/>
      <c r="Y773" s="242"/>
    </row>
    <row r="774">
      <c r="A774" s="242"/>
      <c r="B774" s="242"/>
      <c r="C774" s="242"/>
      <c r="D774" s="242"/>
      <c r="E774" s="242"/>
      <c r="F774" s="242"/>
      <c r="G774" s="671"/>
      <c r="H774" s="671"/>
      <c r="I774" s="242"/>
      <c r="J774" s="242"/>
      <c r="K774" s="242"/>
      <c r="L774" s="389"/>
      <c r="M774" s="389"/>
      <c r="N774" s="242"/>
      <c r="O774" s="242"/>
      <c r="P774" s="13"/>
      <c r="Q774" s="242"/>
      <c r="R774" s="13"/>
      <c r="S774" s="13"/>
      <c r="T774" s="242"/>
      <c r="U774" s="242"/>
      <c r="V774" s="242"/>
      <c r="W774" s="242"/>
      <c r="X774" s="242"/>
      <c r="Y774" s="242"/>
    </row>
    <row r="775">
      <c r="A775" s="242"/>
      <c r="B775" s="242"/>
      <c r="C775" s="242"/>
      <c r="D775" s="242"/>
      <c r="E775" s="242"/>
      <c r="F775" s="242"/>
      <c r="G775" s="671"/>
      <c r="H775" s="671"/>
      <c r="I775" s="242"/>
      <c r="J775" s="242"/>
      <c r="K775" s="242"/>
      <c r="L775" s="389"/>
      <c r="M775" s="389"/>
      <c r="N775" s="242"/>
      <c r="O775" s="242"/>
      <c r="P775" s="13"/>
      <c r="Q775" s="242"/>
      <c r="R775" s="13"/>
      <c r="S775" s="13"/>
      <c r="T775" s="242"/>
      <c r="U775" s="242"/>
      <c r="V775" s="242"/>
      <c r="W775" s="242"/>
      <c r="X775" s="242"/>
      <c r="Y775" s="242"/>
    </row>
    <row r="776">
      <c r="A776" s="242"/>
      <c r="B776" s="242"/>
      <c r="C776" s="242"/>
      <c r="D776" s="242"/>
      <c r="E776" s="242"/>
      <c r="F776" s="242"/>
      <c r="G776" s="671"/>
      <c r="H776" s="671"/>
      <c r="I776" s="242"/>
      <c r="J776" s="242"/>
      <c r="K776" s="242"/>
      <c r="L776" s="389"/>
      <c r="M776" s="389"/>
      <c r="N776" s="242"/>
      <c r="O776" s="242"/>
      <c r="P776" s="13"/>
      <c r="Q776" s="242"/>
      <c r="R776" s="13"/>
      <c r="S776" s="13"/>
      <c r="T776" s="242"/>
      <c r="U776" s="242"/>
      <c r="V776" s="242"/>
      <c r="W776" s="242"/>
      <c r="X776" s="242"/>
      <c r="Y776" s="242"/>
    </row>
    <row r="777">
      <c r="A777" s="242"/>
      <c r="B777" s="242"/>
      <c r="C777" s="242"/>
      <c r="D777" s="242"/>
      <c r="E777" s="242"/>
      <c r="F777" s="242"/>
      <c r="G777" s="671"/>
      <c r="H777" s="671"/>
      <c r="I777" s="242"/>
      <c r="J777" s="242"/>
      <c r="K777" s="242"/>
      <c r="L777" s="389"/>
      <c r="M777" s="389"/>
      <c r="N777" s="242"/>
      <c r="O777" s="242"/>
      <c r="P777" s="13"/>
      <c r="Q777" s="242"/>
      <c r="R777" s="13"/>
      <c r="S777" s="13"/>
      <c r="T777" s="242"/>
      <c r="U777" s="242"/>
      <c r="V777" s="242"/>
      <c r="W777" s="242"/>
      <c r="X777" s="242"/>
      <c r="Y777" s="242"/>
    </row>
    <row r="778">
      <c r="A778" s="242"/>
      <c r="B778" s="242"/>
      <c r="C778" s="242"/>
      <c r="D778" s="242"/>
      <c r="E778" s="242"/>
      <c r="F778" s="242"/>
      <c r="G778" s="671"/>
      <c r="H778" s="671"/>
      <c r="I778" s="242"/>
      <c r="J778" s="242"/>
      <c r="K778" s="242"/>
      <c r="L778" s="389"/>
      <c r="M778" s="389"/>
      <c r="N778" s="242"/>
      <c r="O778" s="242"/>
      <c r="P778" s="13"/>
      <c r="Q778" s="242"/>
      <c r="R778" s="13"/>
      <c r="S778" s="13"/>
      <c r="T778" s="242"/>
      <c r="U778" s="242"/>
      <c r="V778" s="242"/>
      <c r="W778" s="242"/>
      <c r="X778" s="242"/>
      <c r="Y778" s="242"/>
    </row>
    <row r="779">
      <c r="A779" s="242"/>
      <c r="B779" s="242"/>
      <c r="C779" s="242"/>
      <c r="D779" s="242"/>
      <c r="E779" s="242"/>
      <c r="F779" s="242"/>
      <c r="G779" s="671"/>
      <c r="H779" s="671"/>
      <c r="I779" s="242"/>
      <c r="J779" s="242"/>
      <c r="K779" s="242"/>
      <c r="L779" s="389"/>
      <c r="M779" s="389"/>
      <c r="N779" s="242"/>
      <c r="O779" s="242"/>
      <c r="P779" s="13"/>
      <c r="Q779" s="242"/>
      <c r="R779" s="13"/>
      <c r="S779" s="13"/>
      <c r="T779" s="242"/>
      <c r="U779" s="242"/>
      <c r="V779" s="242"/>
      <c r="W779" s="242"/>
      <c r="X779" s="242"/>
      <c r="Y779" s="242"/>
    </row>
    <row r="780">
      <c r="A780" s="242"/>
      <c r="B780" s="242"/>
      <c r="C780" s="242"/>
      <c r="D780" s="242"/>
      <c r="E780" s="242"/>
      <c r="F780" s="242"/>
      <c r="G780" s="671"/>
      <c r="H780" s="671"/>
      <c r="I780" s="242"/>
      <c r="J780" s="242"/>
      <c r="K780" s="242"/>
      <c r="L780" s="389"/>
      <c r="M780" s="389"/>
      <c r="N780" s="242"/>
      <c r="O780" s="242"/>
      <c r="P780" s="13"/>
      <c r="Q780" s="242"/>
      <c r="R780" s="13"/>
      <c r="S780" s="13"/>
      <c r="T780" s="242"/>
      <c r="U780" s="242"/>
      <c r="V780" s="242"/>
      <c r="W780" s="242"/>
      <c r="X780" s="242"/>
      <c r="Y780" s="242"/>
    </row>
    <row r="781">
      <c r="A781" s="242"/>
      <c r="B781" s="242"/>
      <c r="C781" s="242"/>
      <c r="D781" s="242"/>
      <c r="E781" s="242"/>
      <c r="F781" s="242"/>
      <c r="G781" s="671"/>
      <c r="H781" s="671"/>
      <c r="I781" s="242"/>
      <c r="J781" s="242"/>
      <c r="K781" s="242"/>
      <c r="L781" s="389"/>
      <c r="M781" s="389"/>
      <c r="N781" s="242"/>
      <c r="O781" s="242"/>
      <c r="P781" s="13"/>
      <c r="Q781" s="242"/>
      <c r="R781" s="13"/>
      <c r="S781" s="13"/>
      <c r="T781" s="242"/>
      <c r="U781" s="242"/>
      <c r="V781" s="242"/>
      <c r="W781" s="242"/>
      <c r="X781" s="242"/>
      <c r="Y781" s="242"/>
    </row>
    <row r="782">
      <c r="A782" s="242"/>
      <c r="B782" s="242"/>
      <c r="C782" s="242"/>
      <c r="D782" s="242"/>
      <c r="E782" s="242"/>
      <c r="F782" s="242"/>
      <c r="G782" s="671"/>
      <c r="H782" s="671"/>
      <c r="I782" s="242"/>
      <c r="J782" s="242"/>
      <c r="K782" s="242"/>
      <c r="L782" s="389"/>
      <c r="M782" s="389"/>
      <c r="N782" s="242"/>
      <c r="O782" s="242"/>
      <c r="P782" s="13"/>
      <c r="Q782" s="242"/>
      <c r="R782" s="13"/>
      <c r="S782" s="13"/>
      <c r="T782" s="242"/>
      <c r="U782" s="242"/>
      <c r="V782" s="242"/>
      <c r="W782" s="242"/>
      <c r="X782" s="242"/>
      <c r="Y782" s="242"/>
    </row>
    <row r="783">
      <c r="A783" s="242"/>
      <c r="B783" s="242"/>
      <c r="C783" s="242"/>
      <c r="D783" s="242"/>
      <c r="E783" s="242"/>
      <c r="F783" s="242"/>
      <c r="G783" s="671"/>
      <c r="H783" s="671"/>
      <c r="I783" s="242"/>
      <c r="J783" s="242"/>
      <c r="K783" s="242"/>
      <c r="L783" s="389"/>
      <c r="M783" s="389"/>
      <c r="N783" s="242"/>
      <c r="O783" s="242"/>
      <c r="P783" s="13"/>
      <c r="Q783" s="242"/>
      <c r="R783" s="13"/>
      <c r="S783" s="13"/>
      <c r="T783" s="242"/>
      <c r="U783" s="242"/>
      <c r="V783" s="242"/>
      <c r="W783" s="242"/>
      <c r="X783" s="242"/>
      <c r="Y783" s="242"/>
    </row>
    <row r="784">
      <c r="A784" s="242"/>
      <c r="B784" s="242"/>
      <c r="C784" s="242"/>
      <c r="D784" s="242"/>
      <c r="E784" s="242"/>
      <c r="F784" s="242"/>
      <c r="G784" s="671"/>
      <c r="H784" s="671"/>
      <c r="I784" s="242"/>
      <c r="J784" s="242"/>
      <c r="K784" s="242"/>
      <c r="L784" s="389"/>
      <c r="M784" s="389"/>
      <c r="N784" s="242"/>
      <c r="O784" s="242"/>
      <c r="P784" s="13"/>
      <c r="Q784" s="242"/>
      <c r="R784" s="13"/>
      <c r="S784" s="13"/>
      <c r="T784" s="242"/>
      <c r="U784" s="242"/>
      <c r="V784" s="242"/>
      <c r="W784" s="242"/>
      <c r="X784" s="242"/>
      <c r="Y784" s="242"/>
    </row>
    <row r="785">
      <c r="A785" s="242"/>
      <c r="B785" s="242"/>
      <c r="C785" s="242"/>
      <c r="D785" s="242"/>
      <c r="E785" s="242"/>
      <c r="F785" s="242"/>
      <c r="G785" s="671"/>
      <c r="H785" s="671"/>
      <c r="I785" s="242"/>
      <c r="J785" s="242"/>
      <c r="K785" s="242"/>
      <c r="L785" s="389"/>
      <c r="M785" s="389"/>
      <c r="N785" s="242"/>
      <c r="O785" s="242"/>
      <c r="P785" s="13"/>
      <c r="Q785" s="242"/>
      <c r="R785" s="13"/>
      <c r="S785" s="13"/>
      <c r="T785" s="242"/>
      <c r="U785" s="242"/>
      <c r="V785" s="242"/>
      <c r="W785" s="242"/>
      <c r="X785" s="242"/>
      <c r="Y785" s="242"/>
    </row>
    <row r="786">
      <c r="A786" s="242"/>
      <c r="B786" s="242"/>
      <c r="C786" s="242"/>
      <c r="D786" s="242"/>
      <c r="E786" s="242"/>
      <c r="F786" s="242"/>
      <c r="G786" s="671"/>
      <c r="H786" s="671"/>
      <c r="I786" s="242"/>
      <c r="J786" s="242"/>
      <c r="K786" s="242"/>
      <c r="L786" s="389"/>
      <c r="M786" s="389"/>
      <c r="N786" s="242"/>
      <c r="O786" s="242"/>
      <c r="P786" s="13"/>
      <c r="Q786" s="242"/>
      <c r="R786" s="13"/>
      <c r="S786" s="13"/>
      <c r="T786" s="242"/>
      <c r="U786" s="242"/>
      <c r="V786" s="242"/>
      <c r="W786" s="242"/>
      <c r="X786" s="242"/>
      <c r="Y786" s="242"/>
    </row>
    <row r="787">
      <c r="A787" s="242"/>
      <c r="B787" s="242"/>
      <c r="C787" s="242"/>
      <c r="D787" s="242"/>
      <c r="E787" s="242"/>
      <c r="F787" s="242"/>
      <c r="G787" s="671"/>
      <c r="H787" s="671"/>
      <c r="I787" s="242"/>
      <c r="J787" s="242"/>
      <c r="K787" s="242"/>
      <c r="L787" s="389"/>
      <c r="M787" s="389"/>
      <c r="N787" s="242"/>
      <c r="O787" s="242"/>
      <c r="P787" s="13"/>
      <c r="Q787" s="242"/>
      <c r="R787" s="13"/>
      <c r="S787" s="13"/>
      <c r="T787" s="242"/>
      <c r="U787" s="242"/>
      <c r="V787" s="242"/>
      <c r="W787" s="242"/>
      <c r="X787" s="242"/>
      <c r="Y787" s="242"/>
    </row>
    <row r="788">
      <c r="A788" s="242"/>
      <c r="B788" s="242"/>
      <c r="C788" s="242"/>
      <c r="D788" s="242"/>
      <c r="E788" s="242"/>
      <c r="F788" s="242"/>
      <c r="G788" s="671"/>
      <c r="H788" s="671"/>
      <c r="I788" s="242"/>
      <c r="J788" s="242"/>
      <c r="K788" s="242"/>
      <c r="L788" s="389"/>
      <c r="M788" s="389"/>
      <c r="N788" s="242"/>
      <c r="O788" s="242"/>
      <c r="P788" s="13"/>
      <c r="Q788" s="242"/>
      <c r="R788" s="13"/>
      <c r="S788" s="13"/>
      <c r="T788" s="242"/>
      <c r="U788" s="242"/>
      <c r="V788" s="242"/>
      <c r="W788" s="242"/>
      <c r="X788" s="242"/>
      <c r="Y788" s="242"/>
    </row>
    <row r="789">
      <c r="A789" s="242"/>
      <c r="B789" s="242"/>
      <c r="C789" s="242"/>
      <c r="D789" s="242"/>
      <c r="E789" s="242"/>
      <c r="F789" s="242"/>
      <c r="G789" s="671"/>
      <c r="H789" s="671"/>
      <c r="I789" s="242"/>
      <c r="J789" s="242"/>
      <c r="K789" s="242"/>
      <c r="L789" s="389"/>
      <c r="M789" s="389"/>
      <c r="N789" s="242"/>
      <c r="O789" s="242"/>
      <c r="P789" s="13"/>
      <c r="Q789" s="242"/>
      <c r="R789" s="13"/>
      <c r="S789" s="13"/>
      <c r="T789" s="242"/>
      <c r="U789" s="242"/>
      <c r="V789" s="242"/>
      <c r="W789" s="242"/>
      <c r="X789" s="242"/>
      <c r="Y789" s="242"/>
    </row>
    <row r="790">
      <c r="A790" s="242"/>
      <c r="B790" s="242"/>
      <c r="C790" s="242"/>
      <c r="D790" s="242"/>
      <c r="E790" s="242"/>
      <c r="F790" s="242"/>
      <c r="G790" s="671"/>
      <c r="H790" s="671"/>
      <c r="I790" s="242"/>
      <c r="J790" s="242"/>
      <c r="K790" s="242"/>
      <c r="L790" s="389"/>
      <c r="M790" s="389"/>
      <c r="N790" s="242"/>
      <c r="O790" s="242"/>
      <c r="P790" s="13"/>
      <c r="Q790" s="242"/>
      <c r="R790" s="13"/>
      <c r="S790" s="13"/>
      <c r="T790" s="242"/>
      <c r="U790" s="242"/>
      <c r="V790" s="242"/>
      <c r="W790" s="242"/>
      <c r="X790" s="242"/>
      <c r="Y790" s="242"/>
    </row>
    <row r="791">
      <c r="A791" s="242"/>
      <c r="B791" s="242"/>
      <c r="C791" s="242"/>
      <c r="D791" s="242"/>
      <c r="E791" s="242"/>
      <c r="F791" s="242"/>
      <c r="G791" s="671"/>
      <c r="H791" s="671"/>
      <c r="I791" s="242"/>
      <c r="J791" s="242"/>
      <c r="K791" s="242"/>
      <c r="L791" s="389"/>
      <c r="M791" s="389"/>
      <c r="N791" s="242"/>
      <c r="O791" s="242"/>
      <c r="P791" s="13"/>
      <c r="Q791" s="242"/>
      <c r="R791" s="13"/>
      <c r="S791" s="13"/>
      <c r="T791" s="242"/>
      <c r="U791" s="242"/>
      <c r="V791" s="242"/>
      <c r="W791" s="242"/>
      <c r="X791" s="242"/>
      <c r="Y791" s="242"/>
    </row>
    <row r="792">
      <c r="A792" s="242"/>
      <c r="B792" s="242"/>
      <c r="C792" s="242"/>
      <c r="D792" s="242"/>
      <c r="E792" s="242"/>
      <c r="F792" s="242"/>
      <c r="G792" s="671"/>
      <c r="H792" s="671"/>
      <c r="I792" s="242"/>
      <c r="J792" s="242"/>
      <c r="K792" s="242"/>
      <c r="L792" s="389"/>
      <c r="M792" s="389"/>
      <c r="N792" s="242"/>
      <c r="O792" s="242"/>
      <c r="P792" s="13"/>
      <c r="Q792" s="242"/>
      <c r="R792" s="13"/>
      <c r="S792" s="13"/>
      <c r="T792" s="242"/>
      <c r="U792" s="242"/>
      <c r="V792" s="242"/>
      <c r="W792" s="242"/>
      <c r="X792" s="242"/>
      <c r="Y792" s="242"/>
    </row>
    <row r="793">
      <c r="A793" s="242"/>
      <c r="B793" s="242"/>
      <c r="C793" s="242"/>
      <c r="D793" s="242"/>
      <c r="E793" s="242"/>
      <c r="F793" s="242"/>
      <c r="G793" s="671"/>
      <c r="H793" s="671"/>
      <c r="I793" s="242"/>
      <c r="J793" s="242"/>
      <c r="K793" s="242"/>
      <c r="L793" s="389"/>
      <c r="M793" s="389"/>
      <c r="N793" s="242"/>
      <c r="O793" s="242"/>
      <c r="P793" s="13"/>
      <c r="Q793" s="242"/>
      <c r="R793" s="13"/>
      <c r="S793" s="13"/>
      <c r="T793" s="242"/>
      <c r="U793" s="242"/>
      <c r="V793" s="242"/>
      <c r="W793" s="242"/>
      <c r="X793" s="242"/>
      <c r="Y793" s="242"/>
    </row>
    <row r="794">
      <c r="A794" s="242"/>
      <c r="B794" s="242"/>
      <c r="C794" s="242"/>
      <c r="D794" s="242"/>
      <c r="E794" s="242"/>
      <c r="F794" s="242"/>
      <c r="G794" s="671"/>
      <c r="H794" s="671"/>
      <c r="I794" s="242"/>
      <c r="J794" s="242"/>
      <c r="K794" s="242"/>
      <c r="L794" s="389"/>
      <c r="M794" s="389"/>
      <c r="N794" s="242"/>
      <c r="O794" s="242"/>
      <c r="P794" s="13"/>
      <c r="Q794" s="242"/>
      <c r="R794" s="13"/>
      <c r="S794" s="13"/>
      <c r="T794" s="242"/>
      <c r="U794" s="242"/>
      <c r="V794" s="242"/>
      <c r="W794" s="242"/>
      <c r="X794" s="242"/>
      <c r="Y794" s="242"/>
    </row>
    <row r="795">
      <c r="A795" s="242"/>
      <c r="B795" s="242"/>
      <c r="C795" s="242"/>
      <c r="D795" s="242"/>
      <c r="E795" s="242"/>
      <c r="F795" s="242"/>
      <c r="G795" s="671"/>
      <c r="H795" s="671"/>
      <c r="I795" s="242"/>
      <c r="J795" s="242"/>
      <c r="K795" s="242"/>
      <c r="L795" s="389"/>
      <c r="M795" s="389"/>
      <c r="N795" s="242"/>
      <c r="O795" s="242"/>
      <c r="P795" s="13"/>
      <c r="Q795" s="242"/>
      <c r="R795" s="13"/>
      <c r="S795" s="13"/>
      <c r="T795" s="242"/>
      <c r="U795" s="242"/>
      <c r="V795" s="242"/>
      <c r="W795" s="242"/>
      <c r="X795" s="242"/>
      <c r="Y795" s="242"/>
    </row>
    <row r="796">
      <c r="A796" s="242"/>
      <c r="B796" s="242"/>
      <c r="C796" s="242"/>
      <c r="D796" s="242"/>
      <c r="E796" s="242"/>
      <c r="F796" s="242"/>
      <c r="G796" s="671"/>
      <c r="H796" s="671"/>
      <c r="I796" s="242"/>
      <c r="J796" s="242"/>
      <c r="K796" s="242"/>
      <c r="L796" s="389"/>
      <c r="M796" s="389"/>
      <c r="N796" s="242"/>
      <c r="O796" s="242"/>
      <c r="P796" s="13"/>
      <c r="Q796" s="242"/>
      <c r="R796" s="13"/>
      <c r="S796" s="13"/>
      <c r="T796" s="242"/>
      <c r="U796" s="242"/>
      <c r="V796" s="242"/>
      <c r="W796" s="242"/>
      <c r="X796" s="242"/>
      <c r="Y796" s="242"/>
    </row>
    <row r="797">
      <c r="A797" s="242"/>
      <c r="B797" s="242"/>
      <c r="C797" s="242"/>
      <c r="D797" s="242"/>
      <c r="E797" s="242"/>
      <c r="F797" s="242"/>
      <c r="G797" s="671"/>
      <c r="H797" s="671"/>
      <c r="I797" s="242"/>
      <c r="J797" s="242"/>
      <c r="K797" s="242"/>
      <c r="L797" s="389"/>
      <c r="M797" s="389"/>
      <c r="N797" s="242"/>
      <c r="O797" s="242"/>
      <c r="P797" s="13"/>
      <c r="Q797" s="242"/>
      <c r="R797" s="13"/>
      <c r="S797" s="13"/>
      <c r="T797" s="242"/>
      <c r="U797" s="242"/>
      <c r="V797" s="242"/>
      <c r="W797" s="242"/>
      <c r="X797" s="242"/>
      <c r="Y797" s="242"/>
    </row>
    <row r="798">
      <c r="A798" s="242"/>
      <c r="B798" s="242"/>
      <c r="C798" s="242"/>
      <c r="D798" s="242"/>
      <c r="E798" s="242"/>
      <c r="F798" s="242"/>
      <c r="G798" s="671"/>
      <c r="H798" s="671"/>
      <c r="I798" s="242"/>
      <c r="J798" s="242"/>
      <c r="K798" s="242"/>
      <c r="L798" s="389"/>
      <c r="M798" s="389"/>
      <c r="N798" s="242"/>
      <c r="O798" s="242"/>
      <c r="P798" s="13"/>
      <c r="Q798" s="242"/>
      <c r="R798" s="13"/>
      <c r="S798" s="13"/>
      <c r="T798" s="242"/>
      <c r="U798" s="242"/>
      <c r="V798" s="242"/>
      <c r="W798" s="242"/>
      <c r="X798" s="242"/>
      <c r="Y798" s="242"/>
    </row>
    <row r="799">
      <c r="A799" s="242"/>
      <c r="B799" s="242"/>
      <c r="C799" s="242"/>
      <c r="D799" s="242"/>
      <c r="E799" s="242"/>
      <c r="F799" s="242"/>
      <c r="G799" s="671"/>
      <c r="H799" s="671"/>
      <c r="I799" s="242"/>
      <c r="J799" s="242"/>
      <c r="K799" s="242"/>
      <c r="L799" s="389"/>
      <c r="M799" s="389"/>
      <c r="N799" s="242"/>
      <c r="O799" s="242"/>
      <c r="P799" s="13"/>
      <c r="Q799" s="242"/>
      <c r="R799" s="13"/>
      <c r="S799" s="13"/>
      <c r="T799" s="242"/>
      <c r="U799" s="242"/>
      <c r="V799" s="242"/>
      <c r="W799" s="242"/>
      <c r="X799" s="242"/>
      <c r="Y799" s="242"/>
    </row>
    <row r="800">
      <c r="A800" s="242"/>
      <c r="B800" s="242"/>
      <c r="C800" s="242"/>
      <c r="D800" s="242"/>
      <c r="E800" s="242"/>
      <c r="F800" s="242"/>
      <c r="G800" s="671"/>
      <c r="H800" s="671"/>
      <c r="I800" s="242"/>
      <c r="J800" s="242"/>
      <c r="K800" s="242"/>
      <c r="L800" s="389"/>
      <c r="M800" s="389"/>
      <c r="N800" s="242"/>
      <c r="O800" s="242"/>
      <c r="P800" s="13"/>
      <c r="Q800" s="242"/>
      <c r="R800" s="13"/>
      <c r="S800" s="13"/>
      <c r="T800" s="242"/>
      <c r="U800" s="242"/>
      <c r="V800" s="242"/>
      <c r="W800" s="242"/>
      <c r="X800" s="242"/>
      <c r="Y800" s="242"/>
    </row>
    <row r="801">
      <c r="A801" s="242"/>
      <c r="B801" s="242"/>
      <c r="C801" s="242"/>
      <c r="D801" s="242"/>
      <c r="E801" s="242"/>
      <c r="F801" s="242"/>
      <c r="G801" s="671"/>
      <c r="H801" s="671"/>
      <c r="I801" s="242"/>
      <c r="J801" s="242"/>
      <c r="K801" s="242"/>
      <c r="L801" s="389"/>
      <c r="M801" s="389"/>
      <c r="N801" s="242"/>
      <c r="O801" s="242"/>
      <c r="P801" s="13"/>
      <c r="Q801" s="242"/>
      <c r="R801" s="13"/>
      <c r="S801" s="13"/>
      <c r="T801" s="242"/>
      <c r="U801" s="242"/>
      <c r="V801" s="242"/>
      <c r="W801" s="242"/>
      <c r="X801" s="242"/>
      <c r="Y801" s="242"/>
    </row>
    <row r="802">
      <c r="A802" s="242"/>
      <c r="B802" s="242"/>
      <c r="C802" s="242"/>
      <c r="D802" s="242"/>
      <c r="E802" s="242"/>
      <c r="F802" s="242"/>
      <c r="G802" s="671"/>
      <c r="H802" s="671"/>
      <c r="I802" s="242"/>
      <c r="J802" s="242"/>
      <c r="K802" s="242"/>
      <c r="L802" s="389"/>
      <c r="M802" s="389"/>
      <c r="N802" s="242"/>
      <c r="O802" s="242"/>
      <c r="P802" s="13"/>
      <c r="Q802" s="242"/>
      <c r="R802" s="13"/>
      <c r="S802" s="13"/>
      <c r="T802" s="242"/>
      <c r="U802" s="242"/>
      <c r="V802" s="242"/>
      <c r="W802" s="242"/>
      <c r="X802" s="242"/>
      <c r="Y802" s="242"/>
    </row>
    <row r="803">
      <c r="A803" s="242"/>
      <c r="B803" s="242"/>
      <c r="C803" s="242"/>
      <c r="D803" s="242"/>
      <c r="E803" s="242"/>
      <c r="F803" s="242"/>
      <c r="G803" s="671"/>
      <c r="H803" s="671"/>
      <c r="I803" s="242"/>
      <c r="J803" s="242"/>
      <c r="K803" s="242"/>
      <c r="L803" s="389"/>
      <c r="M803" s="389"/>
      <c r="N803" s="242"/>
      <c r="O803" s="242"/>
      <c r="P803" s="13"/>
      <c r="Q803" s="242"/>
      <c r="R803" s="13"/>
      <c r="S803" s="13"/>
      <c r="T803" s="242"/>
      <c r="U803" s="242"/>
      <c r="V803" s="242"/>
      <c r="W803" s="242"/>
      <c r="X803" s="242"/>
      <c r="Y803" s="242"/>
    </row>
    <row r="804">
      <c r="A804" s="242"/>
      <c r="B804" s="242"/>
      <c r="C804" s="242"/>
      <c r="D804" s="242"/>
      <c r="E804" s="242"/>
      <c r="F804" s="242"/>
      <c r="G804" s="671"/>
      <c r="H804" s="671"/>
      <c r="I804" s="242"/>
      <c r="J804" s="242"/>
      <c r="K804" s="242"/>
      <c r="L804" s="389"/>
      <c r="M804" s="389"/>
      <c r="N804" s="242"/>
      <c r="O804" s="242"/>
      <c r="P804" s="13"/>
      <c r="Q804" s="242"/>
      <c r="R804" s="13"/>
      <c r="S804" s="13"/>
      <c r="T804" s="242"/>
      <c r="U804" s="242"/>
      <c r="V804" s="242"/>
      <c r="W804" s="242"/>
      <c r="X804" s="242"/>
      <c r="Y804" s="242"/>
    </row>
    <row r="805">
      <c r="A805" s="242"/>
      <c r="B805" s="242"/>
      <c r="C805" s="242"/>
      <c r="D805" s="242"/>
      <c r="E805" s="242"/>
      <c r="F805" s="242"/>
      <c r="G805" s="671"/>
      <c r="H805" s="671"/>
      <c r="I805" s="242"/>
      <c r="J805" s="242"/>
      <c r="K805" s="242"/>
      <c r="L805" s="389"/>
      <c r="M805" s="389"/>
      <c r="N805" s="242"/>
      <c r="O805" s="242"/>
      <c r="P805" s="13"/>
      <c r="Q805" s="242"/>
      <c r="R805" s="13"/>
      <c r="S805" s="13"/>
      <c r="T805" s="242"/>
      <c r="U805" s="242"/>
      <c r="V805" s="242"/>
      <c r="W805" s="242"/>
      <c r="X805" s="242"/>
      <c r="Y805" s="242"/>
    </row>
    <row r="806">
      <c r="A806" s="242"/>
      <c r="B806" s="242"/>
      <c r="C806" s="242"/>
      <c r="D806" s="242"/>
      <c r="E806" s="242"/>
      <c r="F806" s="242"/>
      <c r="G806" s="671"/>
      <c r="H806" s="671"/>
      <c r="I806" s="242"/>
      <c r="J806" s="242"/>
      <c r="K806" s="242"/>
      <c r="L806" s="389"/>
      <c r="M806" s="389"/>
      <c r="N806" s="242"/>
      <c r="O806" s="242"/>
      <c r="P806" s="13"/>
      <c r="Q806" s="242"/>
      <c r="R806" s="13"/>
      <c r="S806" s="13"/>
      <c r="T806" s="242"/>
      <c r="U806" s="242"/>
      <c r="V806" s="242"/>
      <c r="W806" s="242"/>
      <c r="X806" s="242"/>
      <c r="Y806" s="242"/>
    </row>
    <row r="807">
      <c r="A807" s="242"/>
      <c r="B807" s="242"/>
      <c r="C807" s="242"/>
      <c r="D807" s="242"/>
      <c r="E807" s="242"/>
      <c r="F807" s="242"/>
      <c r="G807" s="671"/>
      <c r="H807" s="671"/>
      <c r="I807" s="242"/>
      <c r="J807" s="242"/>
      <c r="K807" s="242"/>
      <c r="L807" s="389"/>
      <c r="M807" s="389"/>
      <c r="N807" s="242"/>
      <c r="O807" s="242"/>
      <c r="P807" s="13"/>
      <c r="Q807" s="242"/>
      <c r="R807" s="13"/>
      <c r="S807" s="13"/>
      <c r="T807" s="242"/>
      <c r="U807" s="242"/>
      <c r="V807" s="242"/>
      <c r="W807" s="242"/>
      <c r="X807" s="242"/>
      <c r="Y807" s="242"/>
    </row>
    <row r="808">
      <c r="A808" s="242"/>
      <c r="B808" s="242"/>
      <c r="C808" s="242"/>
      <c r="D808" s="242"/>
      <c r="E808" s="242"/>
      <c r="F808" s="242"/>
      <c r="G808" s="671"/>
      <c r="H808" s="671"/>
      <c r="I808" s="242"/>
      <c r="J808" s="242"/>
      <c r="K808" s="242"/>
      <c r="L808" s="389"/>
      <c r="M808" s="389"/>
      <c r="N808" s="242"/>
      <c r="O808" s="242"/>
      <c r="P808" s="13"/>
      <c r="Q808" s="242"/>
      <c r="R808" s="13"/>
      <c r="S808" s="13"/>
      <c r="T808" s="242"/>
      <c r="U808" s="242"/>
      <c r="V808" s="242"/>
      <c r="W808" s="242"/>
      <c r="X808" s="242"/>
      <c r="Y808" s="242"/>
    </row>
    <row r="809">
      <c r="A809" s="242"/>
      <c r="B809" s="242"/>
      <c r="C809" s="242"/>
      <c r="D809" s="242"/>
      <c r="E809" s="242"/>
      <c r="F809" s="242"/>
      <c r="G809" s="671"/>
      <c r="H809" s="671"/>
      <c r="I809" s="242"/>
      <c r="J809" s="242"/>
      <c r="K809" s="242"/>
      <c r="L809" s="389"/>
      <c r="M809" s="389"/>
      <c r="N809" s="242"/>
      <c r="O809" s="242"/>
      <c r="P809" s="13"/>
      <c r="Q809" s="242"/>
      <c r="R809" s="13"/>
      <c r="S809" s="13"/>
      <c r="T809" s="242"/>
      <c r="U809" s="242"/>
      <c r="V809" s="242"/>
      <c r="W809" s="242"/>
      <c r="X809" s="242"/>
      <c r="Y809" s="242"/>
    </row>
    <row r="810">
      <c r="A810" s="242"/>
      <c r="B810" s="242"/>
      <c r="C810" s="242"/>
      <c r="D810" s="242"/>
      <c r="E810" s="242"/>
      <c r="F810" s="242"/>
      <c r="G810" s="671"/>
      <c r="H810" s="671"/>
      <c r="I810" s="242"/>
      <c r="J810" s="242"/>
      <c r="K810" s="242"/>
      <c r="L810" s="389"/>
      <c r="M810" s="389"/>
      <c r="N810" s="242"/>
      <c r="O810" s="242"/>
      <c r="P810" s="13"/>
      <c r="Q810" s="242"/>
      <c r="R810" s="13"/>
      <c r="S810" s="13"/>
      <c r="T810" s="242"/>
      <c r="U810" s="242"/>
      <c r="V810" s="242"/>
      <c r="W810" s="242"/>
      <c r="X810" s="242"/>
      <c r="Y810" s="242"/>
    </row>
    <row r="811">
      <c r="A811" s="242"/>
      <c r="B811" s="242"/>
      <c r="C811" s="242"/>
      <c r="D811" s="242"/>
      <c r="E811" s="242"/>
      <c r="F811" s="242"/>
      <c r="G811" s="671"/>
      <c r="H811" s="671"/>
      <c r="I811" s="242"/>
      <c r="J811" s="242"/>
      <c r="K811" s="242"/>
      <c r="L811" s="389"/>
      <c r="M811" s="389"/>
      <c r="N811" s="242"/>
      <c r="O811" s="242"/>
      <c r="P811" s="13"/>
      <c r="Q811" s="242"/>
      <c r="R811" s="13"/>
      <c r="S811" s="13"/>
      <c r="T811" s="242"/>
      <c r="U811" s="242"/>
      <c r="V811" s="242"/>
      <c r="W811" s="242"/>
      <c r="X811" s="242"/>
      <c r="Y811" s="242"/>
    </row>
    <row r="812">
      <c r="A812" s="242"/>
      <c r="B812" s="242"/>
      <c r="C812" s="242"/>
      <c r="D812" s="242"/>
      <c r="E812" s="242"/>
      <c r="F812" s="242"/>
      <c r="G812" s="671"/>
      <c r="H812" s="671"/>
      <c r="I812" s="242"/>
      <c r="J812" s="242"/>
      <c r="K812" s="242"/>
      <c r="L812" s="389"/>
      <c r="M812" s="389"/>
      <c r="N812" s="242"/>
      <c r="O812" s="242"/>
      <c r="P812" s="13"/>
      <c r="Q812" s="242"/>
      <c r="R812" s="13"/>
      <c r="S812" s="13"/>
      <c r="T812" s="242"/>
      <c r="U812" s="242"/>
      <c r="V812" s="242"/>
      <c r="W812" s="242"/>
      <c r="X812" s="242"/>
      <c r="Y812" s="242"/>
    </row>
    <row r="813">
      <c r="A813" s="242"/>
      <c r="B813" s="242"/>
      <c r="C813" s="242"/>
      <c r="D813" s="242"/>
      <c r="E813" s="242"/>
      <c r="F813" s="242"/>
      <c r="G813" s="671"/>
      <c r="H813" s="671"/>
      <c r="I813" s="242"/>
      <c r="J813" s="242"/>
      <c r="K813" s="242"/>
      <c r="L813" s="389"/>
      <c r="M813" s="389"/>
      <c r="N813" s="242"/>
      <c r="O813" s="242"/>
      <c r="P813" s="13"/>
      <c r="Q813" s="242"/>
      <c r="R813" s="13"/>
      <c r="S813" s="13"/>
      <c r="T813" s="242"/>
      <c r="U813" s="242"/>
      <c r="V813" s="242"/>
      <c r="W813" s="242"/>
      <c r="X813" s="242"/>
      <c r="Y813" s="242"/>
    </row>
    <row r="814">
      <c r="A814" s="242"/>
      <c r="B814" s="242"/>
      <c r="C814" s="242"/>
      <c r="D814" s="242"/>
      <c r="E814" s="242"/>
      <c r="F814" s="242"/>
      <c r="G814" s="671"/>
      <c r="H814" s="671"/>
      <c r="I814" s="242"/>
      <c r="J814" s="242"/>
      <c r="K814" s="242"/>
      <c r="L814" s="389"/>
      <c r="M814" s="389"/>
      <c r="N814" s="242"/>
      <c r="O814" s="242"/>
      <c r="P814" s="13"/>
      <c r="Q814" s="242"/>
      <c r="R814" s="13"/>
      <c r="S814" s="13"/>
      <c r="T814" s="242"/>
      <c r="U814" s="242"/>
      <c r="V814" s="242"/>
      <c r="W814" s="242"/>
      <c r="X814" s="242"/>
      <c r="Y814" s="242"/>
    </row>
    <row r="815">
      <c r="A815" s="242"/>
      <c r="B815" s="242"/>
      <c r="C815" s="242"/>
      <c r="D815" s="242"/>
      <c r="E815" s="242"/>
      <c r="F815" s="242"/>
      <c r="G815" s="671"/>
      <c r="H815" s="671"/>
      <c r="I815" s="242"/>
      <c r="J815" s="242"/>
      <c r="K815" s="242"/>
      <c r="L815" s="389"/>
      <c r="M815" s="389"/>
      <c r="N815" s="242"/>
      <c r="O815" s="242"/>
      <c r="P815" s="13"/>
      <c r="Q815" s="242"/>
      <c r="R815" s="13"/>
      <c r="S815" s="13"/>
      <c r="T815" s="242"/>
      <c r="U815" s="242"/>
      <c r="V815" s="242"/>
      <c r="W815" s="242"/>
      <c r="X815" s="242"/>
      <c r="Y815" s="242"/>
    </row>
    <row r="816">
      <c r="A816" s="242"/>
      <c r="B816" s="242"/>
      <c r="C816" s="242"/>
      <c r="D816" s="242"/>
      <c r="E816" s="242"/>
      <c r="F816" s="242"/>
      <c r="G816" s="671"/>
      <c r="H816" s="671"/>
      <c r="I816" s="242"/>
      <c r="J816" s="242"/>
      <c r="K816" s="242"/>
      <c r="L816" s="389"/>
      <c r="M816" s="389"/>
      <c r="N816" s="242"/>
      <c r="O816" s="242"/>
      <c r="P816" s="13"/>
      <c r="Q816" s="242"/>
      <c r="R816" s="13"/>
      <c r="S816" s="13"/>
      <c r="T816" s="242"/>
      <c r="U816" s="242"/>
      <c r="V816" s="242"/>
      <c r="W816" s="242"/>
      <c r="X816" s="242"/>
      <c r="Y816" s="242"/>
    </row>
    <row r="817">
      <c r="A817" s="242"/>
      <c r="B817" s="242"/>
      <c r="C817" s="242"/>
      <c r="D817" s="242"/>
      <c r="E817" s="242"/>
      <c r="F817" s="242"/>
      <c r="G817" s="671"/>
      <c r="H817" s="671"/>
      <c r="I817" s="242"/>
      <c r="J817" s="242"/>
      <c r="K817" s="242"/>
      <c r="L817" s="389"/>
      <c r="M817" s="389"/>
      <c r="N817" s="242"/>
      <c r="O817" s="242"/>
      <c r="P817" s="13"/>
      <c r="Q817" s="242"/>
      <c r="R817" s="13"/>
      <c r="S817" s="13"/>
      <c r="T817" s="242"/>
      <c r="U817" s="242"/>
      <c r="V817" s="242"/>
      <c r="W817" s="242"/>
      <c r="X817" s="242"/>
      <c r="Y817" s="242"/>
    </row>
    <row r="818">
      <c r="A818" s="242"/>
      <c r="B818" s="242"/>
      <c r="C818" s="242"/>
      <c r="D818" s="242"/>
      <c r="E818" s="242"/>
      <c r="F818" s="242"/>
      <c r="G818" s="671"/>
      <c r="H818" s="671"/>
      <c r="I818" s="242"/>
      <c r="J818" s="242"/>
      <c r="K818" s="242"/>
      <c r="L818" s="389"/>
      <c r="M818" s="389"/>
      <c r="N818" s="242"/>
      <c r="O818" s="242"/>
      <c r="P818" s="13"/>
      <c r="Q818" s="242"/>
      <c r="R818" s="13"/>
      <c r="S818" s="13"/>
      <c r="T818" s="242"/>
      <c r="U818" s="242"/>
      <c r="V818" s="242"/>
      <c r="W818" s="242"/>
      <c r="X818" s="242"/>
      <c r="Y818" s="242"/>
    </row>
    <row r="819">
      <c r="A819" s="242"/>
      <c r="B819" s="242"/>
      <c r="C819" s="242"/>
      <c r="D819" s="242"/>
      <c r="E819" s="242"/>
      <c r="F819" s="242"/>
      <c r="G819" s="671"/>
      <c r="H819" s="671"/>
      <c r="I819" s="242"/>
      <c r="J819" s="242"/>
      <c r="K819" s="242"/>
      <c r="L819" s="389"/>
      <c r="M819" s="389"/>
      <c r="N819" s="242"/>
      <c r="O819" s="242"/>
      <c r="P819" s="13"/>
      <c r="Q819" s="242"/>
      <c r="R819" s="13"/>
      <c r="S819" s="13"/>
      <c r="T819" s="242"/>
      <c r="U819" s="242"/>
      <c r="V819" s="242"/>
      <c r="W819" s="242"/>
      <c r="X819" s="242"/>
      <c r="Y819" s="242"/>
    </row>
    <row r="820">
      <c r="A820" s="242"/>
      <c r="B820" s="242"/>
      <c r="C820" s="242"/>
      <c r="D820" s="242"/>
      <c r="E820" s="242"/>
      <c r="F820" s="242"/>
      <c r="G820" s="671"/>
      <c r="H820" s="671"/>
      <c r="I820" s="242"/>
      <c r="J820" s="242"/>
      <c r="K820" s="242"/>
      <c r="L820" s="389"/>
      <c r="M820" s="389"/>
      <c r="N820" s="242"/>
      <c r="O820" s="242"/>
      <c r="P820" s="13"/>
      <c r="Q820" s="242"/>
      <c r="R820" s="13"/>
      <c r="S820" s="13"/>
      <c r="T820" s="242"/>
      <c r="U820" s="242"/>
      <c r="V820" s="242"/>
      <c r="W820" s="242"/>
      <c r="X820" s="242"/>
      <c r="Y820" s="242"/>
    </row>
    <row r="821">
      <c r="A821" s="242"/>
      <c r="B821" s="242"/>
      <c r="C821" s="242"/>
      <c r="D821" s="242"/>
      <c r="E821" s="242"/>
      <c r="F821" s="242"/>
      <c r="G821" s="671"/>
      <c r="H821" s="671"/>
      <c r="I821" s="242"/>
      <c r="J821" s="242"/>
      <c r="K821" s="242"/>
      <c r="L821" s="389"/>
      <c r="M821" s="389"/>
      <c r="N821" s="242"/>
      <c r="O821" s="242"/>
      <c r="P821" s="13"/>
      <c r="Q821" s="242"/>
      <c r="R821" s="13"/>
      <c r="S821" s="13"/>
      <c r="T821" s="242"/>
      <c r="U821" s="242"/>
      <c r="V821" s="242"/>
      <c r="W821" s="242"/>
      <c r="X821" s="242"/>
      <c r="Y821" s="242"/>
    </row>
    <row r="822">
      <c r="A822" s="242"/>
      <c r="B822" s="242"/>
      <c r="C822" s="242"/>
      <c r="D822" s="242"/>
      <c r="E822" s="242"/>
      <c r="F822" s="242"/>
      <c r="G822" s="671"/>
      <c r="H822" s="671"/>
      <c r="I822" s="242"/>
      <c r="J822" s="242"/>
      <c r="K822" s="242"/>
      <c r="L822" s="389"/>
      <c r="M822" s="389"/>
      <c r="N822" s="242"/>
      <c r="O822" s="242"/>
      <c r="P822" s="13"/>
      <c r="Q822" s="242"/>
      <c r="R822" s="13"/>
      <c r="S822" s="13"/>
      <c r="T822" s="242"/>
      <c r="U822" s="242"/>
      <c r="V822" s="242"/>
      <c r="W822" s="242"/>
      <c r="X822" s="242"/>
      <c r="Y822" s="242"/>
    </row>
    <row r="823">
      <c r="A823" s="242"/>
      <c r="B823" s="242"/>
      <c r="C823" s="242"/>
      <c r="D823" s="242"/>
      <c r="E823" s="242"/>
      <c r="F823" s="242"/>
      <c r="G823" s="671"/>
      <c r="H823" s="671"/>
      <c r="I823" s="242"/>
      <c r="J823" s="242"/>
      <c r="K823" s="242"/>
      <c r="L823" s="389"/>
      <c r="M823" s="389"/>
      <c r="N823" s="242"/>
      <c r="O823" s="242"/>
      <c r="P823" s="13"/>
      <c r="Q823" s="242"/>
      <c r="R823" s="13"/>
      <c r="S823" s="13"/>
      <c r="T823" s="242"/>
      <c r="U823" s="242"/>
      <c r="V823" s="242"/>
      <c r="W823" s="242"/>
      <c r="X823" s="242"/>
      <c r="Y823" s="242"/>
    </row>
    <row r="824">
      <c r="A824" s="242"/>
      <c r="B824" s="242"/>
      <c r="C824" s="242"/>
      <c r="D824" s="242"/>
      <c r="E824" s="242"/>
      <c r="F824" s="242"/>
      <c r="G824" s="671"/>
      <c r="H824" s="671"/>
      <c r="I824" s="242"/>
      <c r="J824" s="242"/>
      <c r="K824" s="242"/>
      <c r="L824" s="389"/>
      <c r="M824" s="389"/>
      <c r="N824" s="242"/>
      <c r="O824" s="242"/>
      <c r="P824" s="13"/>
      <c r="Q824" s="242"/>
      <c r="R824" s="13"/>
      <c r="S824" s="13"/>
      <c r="T824" s="242"/>
      <c r="U824" s="242"/>
      <c r="V824" s="242"/>
      <c r="W824" s="242"/>
      <c r="X824" s="242"/>
      <c r="Y824" s="242"/>
    </row>
    <row r="825">
      <c r="A825" s="242"/>
      <c r="B825" s="242"/>
      <c r="C825" s="242"/>
      <c r="D825" s="242"/>
      <c r="E825" s="242"/>
      <c r="F825" s="242"/>
      <c r="G825" s="671"/>
      <c r="H825" s="671"/>
      <c r="I825" s="242"/>
      <c r="J825" s="242"/>
      <c r="K825" s="242"/>
      <c r="L825" s="389"/>
      <c r="M825" s="389"/>
      <c r="N825" s="242"/>
      <c r="O825" s="242"/>
      <c r="P825" s="13"/>
      <c r="Q825" s="242"/>
      <c r="R825" s="13"/>
      <c r="S825" s="13"/>
      <c r="T825" s="242"/>
      <c r="U825" s="242"/>
      <c r="V825" s="242"/>
      <c r="W825" s="242"/>
      <c r="X825" s="242"/>
      <c r="Y825" s="242"/>
    </row>
    <row r="826">
      <c r="A826" s="242"/>
      <c r="B826" s="242"/>
      <c r="C826" s="242"/>
      <c r="D826" s="242"/>
      <c r="E826" s="242"/>
      <c r="F826" s="242"/>
      <c r="G826" s="671"/>
      <c r="H826" s="671"/>
      <c r="I826" s="242"/>
      <c r="J826" s="242"/>
      <c r="K826" s="242"/>
      <c r="L826" s="389"/>
      <c r="M826" s="389"/>
      <c r="N826" s="242"/>
      <c r="O826" s="242"/>
      <c r="P826" s="13"/>
      <c r="Q826" s="242"/>
      <c r="R826" s="13"/>
      <c r="S826" s="13"/>
      <c r="T826" s="242"/>
      <c r="U826" s="242"/>
      <c r="V826" s="242"/>
      <c r="W826" s="242"/>
      <c r="X826" s="242"/>
      <c r="Y826" s="242"/>
    </row>
    <row r="827">
      <c r="A827" s="242"/>
      <c r="B827" s="242"/>
      <c r="C827" s="242"/>
      <c r="D827" s="242"/>
      <c r="E827" s="242"/>
      <c r="F827" s="242"/>
      <c r="G827" s="671"/>
      <c r="H827" s="671"/>
      <c r="I827" s="242"/>
      <c r="J827" s="242"/>
      <c r="K827" s="242"/>
      <c r="L827" s="389"/>
      <c r="M827" s="389"/>
      <c r="N827" s="242"/>
      <c r="O827" s="242"/>
      <c r="P827" s="13"/>
      <c r="Q827" s="242"/>
      <c r="R827" s="13"/>
      <c r="S827" s="13"/>
      <c r="T827" s="242"/>
      <c r="U827" s="242"/>
      <c r="V827" s="242"/>
      <c r="W827" s="242"/>
      <c r="X827" s="242"/>
      <c r="Y827" s="242"/>
    </row>
    <row r="828">
      <c r="A828" s="242"/>
      <c r="B828" s="242"/>
      <c r="C828" s="242"/>
      <c r="D828" s="242"/>
      <c r="E828" s="242"/>
      <c r="F828" s="242"/>
      <c r="G828" s="671"/>
      <c r="H828" s="671"/>
      <c r="I828" s="242"/>
      <c r="J828" s="242"/>
      <c r="K828" s="242"/>
      <c r="L828" s="389"/>
      <c r="M828" s="389"/>
      <c r="N828" s="242"/>
      <c r="O828" s="242"/>
      <c r="P828" s="13"/>
      <c r="Q828" s="242"/>
      <c r="R828" s="13"/>
      <c r="S828" s="13"/>
      <c r="T828" s="242"/>
      <c r="U828" s="242"/>
      <c r="V828" s="242"/>
      <c r="W828" s="242"/>
      <c r="X828" s="242"/>
      <c r="Y828" s="242"/>
    </row>
    <row r="829">
      <c r="A829" s="242"/>
      <c r="B829" s="242"/>
      <c r="C829" s="242"/>
      <c r="D829" s="242"/>
      <c r="E829" s="242"/>
      <c r="F829" s="242"/>
      <c r="G829" s="671"/>
      <c r="H829" s="671"/>
      <c r="I829" s="242"/>
      <c r="J829" s="242"/>
      <c r="K829" s="242"/>
      <c r="L829" s="389"/>
      <c r="M829" s="389"/>
      <c r="N829" s="242"/>
      <c r="O829" s="242"/>
      <c r="P829" s="13"/>
      <c r="Q829" s="242"/>
      <c r="R829" s="13"/>
      <c r="S829" s="13"/>
      <c r="T829" s="242"/>
      <c r="U829" s="242"/>
      <c r="V829" s="242"/>
      <c r="W829" s="242"/>
      <c r="X829" s="242"/>
      <c r="Y829" s="242"/>
    </row>
    <row r="830">
      <c r="A830" s="242"/>
      <c r="B830" s="242"/>
      <c r="C830" s="242"/>
      <c r="D830" s="242"/>
      <c r="E830" s="242"/>
      <c r="F830" s="242"/>
      <c r="G830" s="671"/>
      <c r="H830" s="671"/>
      <c r="I830" s="242"/>
      <c r="J830" s="242"/>
      <c r="K830" s="242"/>
      <c r="L830" s="389"/>
      <c r="M830" s="389"/>
      <c r="N830" s="242"/>
      <c r="O830" s="242"/>
      <c r="P830" s="13"/>
      <c r="Q830" s="242"/>
      <c r="R830" s="13"/>
      <c r="S830" s="13"/>
      <c r="T830" s="242"/>
      <c r="U830" s="242"/>
      <c r="V830" s="242"/>
      <c r="W830" s="242"/>
      <c r="X830" s="242"/>
      <c r="Y830" s="242"/>
    </row>
    <row r="831">
      <c r="A831" s="242"/>
      <c r="B831" s="242"/>
      <c r="C831" s="242"/>
      <c r="D831" s="242"/>
      <c r="E831" s="242"/>
      <c r="F831" s="242"/>
      <c r="G831" s="671"/>
      <c r="H831" s="671"/>
      <c r="I831" s="242"/>
      <c r="J831" s="242"/>
      <c r="K831" s="242"/>
      <c r="L831" s="389"/>
      <c r="M831" s="389"/>
      <c r="N831" s="242"/>
      <c r="O831" s="242"/>
      <c r="P831" s="13"/>
      <c r="Q831" s="242"/>
      <c r="R831" s="13"/>
      <c r="S831" s="13"/>
      <c r="T831" s="242"/>
      <c r="U831" s="242"/>
      <c r="V831" s="242"/>
      <c r="W831" s="242"/>
      <c r="X831" s="242"/>
      <c r="Y831" s="242"/>
    </row>
    <row r="832">
      <c r="A832" s="242"/>
      <c r="B832" s="242"/>
      <c r="C832" s="242"/>
      <c r="D832" s="242"/>
      <c r="E832" s="242"/>
      <c r="F832" s="242"/>
      <c r="G832" s="671"/>
      <c r="H832" s="671"/>
      <c r="I832" s="242"/>
      <c r="J832" s="242"/>
      <c r="K832" s="242"/>
      <c r="L832" s="389"/>
      <c r="M832" s="389"/>
      <c r="N832" s="242"/>
      <c r="O832" s="242"/>
      <c r="P832" s="13"/>
      <c r="Q832" s="242"/>
      <c r="R832" s="13"/>
      <c r="S832" s="13"/>
      <c r="T832" s="242"/>
      <c r="U832" s="242"/>
      <c r="V832" s="242"/>
      <c r="W832" s="242"/>
      <c r="X832" s="242"/>
      <c r="Y832" s="242"/>
    </row>
    <row r="833">
      <c r="A833" s="242"/>
      <c r="B833" s="242"/>
      <c r="C833" s="242"/>
      <c r="D833" s="242"/>
      <c r="E833" s="242"/>
      <c r="F833" s="242"/>
      <c r="G833" s="671"/>
      <c r="H833" s="671"/>
      <c r="I833" s="242"/>
      <c r="J833" s="242"/>
      <c r="K833" s="242"/>
      <c r="L833" s="389"/>
      <c r="M833" s="389"/>
      <c r="N833" s="242"/>
      <c r="O833" s="242"/>
      <c r="P833" s="13"/>
      <c r="Q833" s="242"/>
      <c r="R833" s="13"/>
      <c r="S833" s="13"/>
      <c r="T833" s="242"/>
      <c r="U833" s="242"/>
      <c r="V833" s="242"/>
      <c r="W833" s="242"/>
      <c r="X833" s="242"/>
      <c r="Y833" s="242"/>
    </row>
    <row r="834">
      <c r="A834" s="242"/>
      <c r="B834" s="242"/>
      <c r="C834" s="242"/>
      <c r="D834" s="242"/>
      <c r="E834" s="242"/>
      <c r="F834" s="242"/>
      <c r="G834" s="671"/>
      <c r="H834" s="671"/>
      <c r="I834" s="242"/>
      <c r="J834" s="242"/>
      <c r="K834" s="242"/>
      <c r="L834" s="389"/>
      <c r="M834" s="389"/>
      <c r="N834" s="242"/>
      <c r="O834" s="242"/>
      <c r="P834" s="13"/>
      <c r="Q834" s="242"/>
      <c r="R834" s="13"/>
      <c r="S834" s="13"/>
      <c r="T834" s="242"/>
      <c r="U834" s="242"/>
      <c r="V834" s="242"/>
      <c r="W834" s="242"/>
      <c r="X834" s="242"/>
      <c r="Y834" s="242"/>
    </row>
    <row r="835">
      <c r="A835" s="242"/>
      <c r="B835" s="242"/>
      <c r="C835" s="242"/>
      <c r="D835" s="242"/>
      <c r="E835" s="242"/>
      <c r="F835" s="242"/>
      <c r="G835" s="671"/>
      <c r="H835" s="671"/>
      <c r="I835" s="242"/>
      <c r="J835" s="242"/>
      <c r="K835" s="242"/>
      <c r="L835" s="389"/>
      <c r="M835" s="389"/>
      <c r="N835" s="242"/>
      <c r="O835" s="242"/>
      <c r="P835" s="13"/>
      <c r="Q835" s="242"/>
      <c r="R835" s="13"/>
      <c r="S835" s="13"/>
      <c r="T835" s="242"/>
      <c r="U835" s="242"/>
      <c r="V835" s="242"/>
      <c r="W835" s="242"/>
      <c r="X835" s="242"/>
      <c r="Y835" s="242"/>
    </row>
    <row r="836">
      <c r="A836" s="242"/>
      <c r="B836" s="242"/>
      <c r="C836" s="242"/>
      <c r="D836" s="242"/>
      <c r="E836" s="242"/>
      <c r="F836" s="242"/>
      <c r="G836" s="671"/>
      <c r="H836" s="671"/>
      <c r="I836" s="242"/>
      <c r="J836" s="242"/>
      <c r="K836" s="242"/>
      <c r="L836" s="389"/>
      <c r="M836" s="389"/>
      <c r="N836" s="242"/>
      <c r="O836" s="242"/>
      <c r="P836" s="13"/>
      <c r="Q836" s="242"/>
      <c r="R836" s="13"/>
      <c r="S836" s="13"/>
      <c r="T836" s="242"/>
      <c r="U836" s="242"/>
      <c r="V836" s="242"/>
      <c r="W836" s="242"/>
      <c r="X836" s="242"/>
      <c r="Y836" s="242"/>
    </row>
    <row r="837">
      <c r="A837" s="242"/>
      <c r="B837" s="242"/>
      <c r="C837" s="242"/>
      <c r="D837" s="242"/>
      <c r="E837" s="242"/>
      <c r="F837" s="242"/>
      <c r="G837" s="671"/>
      <c r="H837" s="671"/>
      <c r="I837" s="242"/>
      <c r="J837" s="242"/>
      <c r="K837" s="242"/>
      <c r="L837" s="389"/>
      <c r="M837" s="389"/>
      <c r="N837" s="242"/>
      <c r="O837" s="242"/>
      <c r="P837" s="13"/>
      <c r="Q837" s="242"/>
      <c r="R837" s="13"/>
      <c r="S837" s="13"/>
      <c r="T837" s="242"/>
      <c r="U837" s="242"/>
      <c r="V837" s="242"/>
      <c r="W837" s="242"/>
      <c r="X837" s="242"/>
      <c r="Y837" s="242"/>
    </row>
    <row r="838">
      <c r="A838" s="242"/>
      <c r="B838" s="242"/>
      <c r="C838" s="242"/>
      <c r="D838" s="242"/>
      <c r="E838" s="242"/>
      <c r="F838" s="242"/>
      <c r="G838" s="671"/>
      <c r="H838" s="671"/>
      <c r="I838" s="242"/>
      <c r="J838" s="242"/>
      <c r="K838" s="242"/>
      <c r="L838" s="389"/>
      <c r="M838" s="389"/>
      <c r="N838" s="242"/>
      <c r="O838" s="242"/>
      <c r="P838" s="13"/>
      <c r="Q838" s="242"/>
      <c r="R838" s="13"/>
      <c r="S838" s="13"/>
      <c r="T838" s="242"/>
      <c r="U838" s="242"/>
      <c r="V838" s="242"/>
      <c r="W838" s="242"/>
      <c r="X838" s="242"/>
      <c r="Y838" s="242"/>
    </row>
    <row r="839">
      <c r="A839" s="242"/>
      <c r="B839" s="242"/>
      <c r="C839" s="242"/>
      <c r="D839" s="242"/>
      <c r="E839" s="242"/>
      <c r="F839" s="242"/>
      <c r="G839" s="671"/>
      <c r="H839" s="671"/>
      <c r="I839" s="242"/>
      <c r="J839" s="242"/>
      <c r="K839" s="242"/>
      <c r="L839" s="389"/>
      <c r="M839" s="389"/>
      <c r="N839" s="242"/>
      <c r="O839" s="242"/>
      <c r="P839" s="13"/>
      <c r="Q839" s="242"/>
      <c r="R839" s="13"/>
      <c r="S839" s="13"/>
      <c r="T839" s="242"/>
      <c r="U839" s="242"/>
      <c r="V839" s="242"/>
      <c r="W839" s="242"/>
      <c r="X839" s="242"/>
      <c r="Y839" s="242"/>
    </row>
    <row r="840">
      <c r="A840" s="242"/>
      <c r="B840" s="242"/>
      <c r="C840" s="242"/>
      <c r="D840" s="242"/>
      <c r="E840" s="242"/>
      <c r="F840" s="242"/>
      <c r="G840" s="671"/>
      <c r="H840" s="671"/>
      <c r="I840" s="242"/>
      <c r="J840" s="242"/>
      <c r="K840" s="242"/>
      <c r="L840" s="389"/>
      <c r="M840" s="389"/>
      <c r="N840" s="242"/>
      <c r="O840" s="242"/>
      <c r="P840" s="13"/>
      <c r="Q840" s="242"/>
      <c r="R840" s="13"/>
      <c r="S840" s="13"/>
      <c r="T840" s="242"/>
      <c r="U840" s="242"/>
      <c r="V840" s="242"/>
      <c r="W840" s="242"/>
      <c r="X840" s="242"/>
      <c r="Y840" s="242"/>
    </row>
    <row r="841">
      <c r="A841" s="242"/>
      <c r="B841" s="242"/>
      <c r="C841" s="242"/>
      <c r="D841" s="242"/>
      <c r="E841" s="242"/>
      <c r="F841" s="242"/>
      <c r="G841" s="671"/>
      <c r="H841" s="671"/>
      <c r="I841" s="242"/>
      <c r="J841" s="242"/>
      <c r="K841" s="242"/>
      <c r="L841" s="389"/>
      <c r="M841" s="389"/>
      <c r="N841" s="242"/>
      <c r="O841" s="242"/>
      <c r="P841" s="13"/>
      <c r="Q841" s="242"/>
      <c r="R841" s="13"/>
      <c r="S841" s="13"/>
      <c r="T841" s="242"/>
      <c r="U841" s="242"/>
      <c r="V841" s="242"/>
      <c r="W841" s="242"/>
      <c r="X841" s="242"/>
      <c r="Y841" s="242"/>
    </row>
    <row r="842">
      <c r="A842" s="242"/>
      <c r="B842" s="242"/>
      <c r="C842" s="242"/>
      <c r="D842" s="242"/>
      <c r="E842" s="242"/>
      <c r="F842" s="242"/>
      <c r="G842" s="671"/>
      <c r="H842" s="671"/>
      <c r="I842" s="242"/>
      <c r="J842" s="242"/>
      <c r="K842" s="242"/>
      <c r="L842" s="389"/>
      <c r="M842" s="389"/>
      <c r="N842" s="242"/>
      <c r="O842" s="242"/>
      <c r="P842" s="13"/>
      <c r="Q842" s="242"/>
      <c r="R842" s="13"/>
      <c r="S842" s="13"/>
      <c r="T842" s="242"/>
      <c r="U842" s="242"/>
      <c r="V842" s="242"/>
      <c r="W842" s="242"/>
      <c r="X842" s="242"/>
      <c r="Y842" s="242"/>
    </row>
    <row r="843">
      <c r="A843" s="242"/>
      <c r="B843" s="242"/>
      <c r="C843" s="242"/>
      <c r="D843" s="242"/>
      <c r="E843" s="242"/>
      <c r="F843" s="242"/>
      <c r="G843" s="671"/>
      <c r="H843" s="671"/>
      <c r="I843" s="242"/>
      <c r="J843" s="242"/>
      <c r="K843" s="242"/>
      <c r="L843" s="389"/>
      <c r="M843" s="389"/>
      <c r="N843" s="242"/>
      <c r="O843" s="242"/>
      <c r="P843" s="13"/>
      <c r="Q843" s="242"/>
      <c r="R843" s="13"/>
      <c r="S843" s="13"/>
      <c r="T843" s="242"/>
      <c r="U843" s="242"/>
      <c r="V843" s="242"/>
      <c r="W843" s="242"/>
      <c r="X843" s="242"/>
      <c r="Y843" s="242"/>
    </row>
    <row r="844">
      <c r="A844" s="242"/>
      <c r="B844" s="242"/>
      <c r="C844" s="242"/>
      <c r="D844" s="242"/>
      <c r="E844" s="242"/>
      <c r="F844" s="242"/>
      <c r="G844" s="671"/>
      <c r="H844" s="671"/>
      <c r="I844" s="242"/>
      <c r="J844" s="242"/>
      <c r="K844" s="242"/>
      <c r="L844" s="389"/>
      <c r="M844" s="389"/>
      <c r="N844" s="242"/>
      <c r="O844" s="242"/>
      <c r="P844" s="13"/>
      <c r="Q844" s="242"/>
      <c r="R844" s="13"/>
      <c r="S844" s="13"/>
      <c r="T844" s="242"/>
      <c r="U844" s="242"/>
      <c r="V844" s="242"/>
      <c r="W844" s="242"/>
      <c r="X844" s="242"/>
      <c r="Y844" s="242"/>
    </row>
    <row r="845">
      <c r="A845" s="242"/>
      <c r="B845" s="242"/>
      <c r="C845" s="242"/>
      <c r="D845" s="242"/>
      <c r="E845" s="242"/>
      <c r="F845" s="242"/>
      <c r="G845" s="671"/>
      <c r="H845" s="671"/>
      <c r="I845" s="242"/>
      <c r="J845" s="242"/>
      <c r="K845" s="242"/>
      <c r="L845" s="389"/>
      <c r="M845" s="389"/>
      <c r="N845" s="242"/>
      <c r="O845" s="242"/>
      <c r="P845" s="13"/>
      <c r="Q845" s="242"/>
      <c r="R845" s="13"/>
      <c r="S845" s="13"/>
      <c r="T845" s="242"/>
      <c r="U845" s="242"/>
      <c r="V845" s="242"/>
      <c r="W845" s="242"/>
      <c r="X845" s="242"/>
      <c r="Y845" s="242"/>
    </row>
    <row r="846">
      <c r="A846" s="242"/>
      <c r="B846" s="242"/>
      <c r="C846" s="242"/>
      <c r="D846" s="242"/>
      <c r="E846" s="242"/>
      <c r="F846" s="242"/>
      <c r="G846" s="671"/>
      <c r="H846" s="671"/>
      <c r="I846" s="242"/>
      <c r="J846" s="242"/>
      <c r="K846" s="242"/>
      <c r="L846" s="389"/>
      <c r="M846" s="389"/>
      <c r="N846" s="242"/>
      <c r="O846" s="242"/>
      <c r="P846" s="13"/>
      <c r="Q846" s="242"/>
      <c r="R846" s="13"/>
      <c r="S846" s="13"/>
      <c r="T846" s="242"/>
      <c r="U846" s="242"/>
      <c r="V846" s="242"/>
      <c r="W846" s="242"/>
      <c r="X846" s="242"/>
      <c r="Y846" s="242"/>
    </row>
    <row r="847">
      <c r="A847" s="242"/>
      <c r="B847" s="242"/>
      <c r="C847" s="242"/>
      <c r="D847" s="242"/>
      <c r="E847" s="242"/>
      <c r="F847" s="242"/>
      <c r="G847" s="671"/>
      <c r="H847" s="671"/>
      <c r="I847" s="242"/>
      <c r="J847" s="242"/>
      <c r="K847" s="242"/>
      <c r="L847" s="389"/>
      <c r="M847" s="389"/>
      <c r="N847" s="242"/>
      <c r="O847" s="242"/>
      <c r="P847" s="13"/>
      <c r="Q847" s="242"/>
      <c r="R847" s="13"/>
      <c r="S847" s="13"/>
      <c r="T847" s="242"/>
      <c r="U847" s="242"/>
      <c r="V847" s="242"/>
      <c r="W847" s="242"/>
      <c r="X847" s="242"/>
      <c r="Y847" s="242"/>
    </row>
    <row r="848">
      <c r="A848" s="242"/>
      <c r="B848" s="242"/>
      <c r="C848" s="242"/>
      <c r="D848" s="242"/>
      <c r="E848" s="242"/>
      <c r="F848" s="242"/>
      <c r="G848" s="671"/>
      <c r="H848" s="671"/>
      <c r="I848" s="242"/>
      <c r="J848" s="242"/>
      <c r="K848" s="242"/>
      <c r="L848" s="389"/>
      <c r="M848" s="389"/>
      <c r="N848" s="242"/>
      <c r="O848" s="242"/>
      <c r="P848" s="13"/>
      <c r="Q848" s="242"/>
      <c r="R848" s="13"/>
      <c r="S848" s="13"/>
      <c r="T848" s="242"/>
      <c r="U848" s="242"/>
      <c r="V848" s="242"/>
      <c r="W848" s="242"/>
      <c r="X848" s="242"/>
      <c r="Y848" s="242"/>
    </row>
    <row r="849">
      <c r="A849" s="242"/>
      <c r="B849" s="242"/>
      <c r="C849" s="242"/>
      <c r="D849" s="242"/>
      <c r="E849" s="242"/>
      <c r="F849" s="242"/>
      <c r="G849" s="671"/>
      <c r="H849" s="671"/>
      <c r="I849" s="242"/>
      <c r="J849" s="242"/>
      <c r="K849" s="242"/>
      <c r="L849" s="389"/>
      <c r="M849" s="389"/>
      <c r="N849" s="242"/>
      <c r="O849" s="242"/>
      <c r="P849" s="13"/>
      <c r="Q849" s="242"/>
      <c r="R849" s="13"/>
      <c r="S849" s="13"/>
      <c r="T849" s="242"/>
      <c r="U849" s="242"/>
      <c r="V849" s="242"/>
      <c r="W849" s="242"/>
      <c r="X849" s="242"/>
      <c r="Y849" s="242"/>
    </row>
    <row r="850">
      <c r="A850" s="242"/>
      <c r="B850" s="242"/>
      <c r="C850" s="242"/>
      <c r="D850" s="242"/>
      <c r="E850" s="242"/>
      <c r="F850" s="242"/>
      <c r="G850" s="671"/>
      <c r="H850" s="671"/>
      <c r="I850" s="242"/>
      <c r="J850" s="242"/>
      <c r="K850" s="242"/>
      <c r="L850" s="389"/>
      <c r="M850" s="389"/>
      <c r="N850" s="242"/>
      <c r="O850" s="242"/>
      <c r="P850" s="13"/>
      <c r="Q850" s="242"/>
      <c r="R850" s="13"/>
      <c r="S850" s="13"/>
      <c r="T850" s="242"/>
      <c r="U850" s="242"/>
      <c r="V850" s="242"/>
      <c r="W850" s="242"/>
      <c r="X850" s="242"/>
      <c r="Y850" s="242"/>
    </row>
    <row r="851">
      <c r="A851" s="242"/>
      <c r="B851" s="242"/>
      <c r="C851" s="242"/>
      <c r="D851" s="242"/>
      <c r="E851" s="242"/>
      <c r="F851" s="242"/>
      <c r="G851" s="671"/>
      <c r="H851" s="671"/>
      <c r="I851" s="242"/>
      <c r="J851" s="242"/>
      <c r="K851" s="242"/>
      <c r="L851" s="389"/>
      <c r="M851" s="389"/>
      <c r="N851" s="242"/>
      <c r="O851" s="242"/>
      <c r="P851" s="13"/>
      <c r="Q851" s="242"/>
      <c r="R851" s="13"/>
      <c r="S851" s="13"/>
      <c r="T851" s="242"/>
      <c r="U851" s="242"/>
      <c r="V851" s="242"/>
      <c r="W851" s="242"/>
      <c r="X851" s="242"/>
      <c r="Y851" s="242"/>
    </row>
    <row r="852">
      <c r="A852" s="242"/>
      <c r="B852" s="242"/>
      <c r="C852" s="242"/>
      <c r="D852" s="242"/>
      <c r="E852" s="242"/>
      <c r="F852" s="242"/>
      <c r="G852" s="671"/>
      <c r="H852" s="671"/>
      <c r="I852" s="242"/>
      <c r="J852" s="242"/>
      <c r="K852" s="242"/>
      <c r="L852" s="389"/>
      <c r="M852" s="389"/>
      <c r="N852" s="242"/>
      <c r="O852" s="242"/>
      <c r="P852" s="13"/>
      <c r="Q852" s="242"/>
      <c r="R852" s="13"/>
      <c r="S852" s="13"/>
      <c r="T852" s="242"/>
      <c r="U852" s="242"/>
      <c r="V852" s="242"/>
      <c r="W852" s="242"/>
      <c r="X852" s="242"/>
      <c r="Y852" s="242"/>
    </row>
    <row r="853">
      <c r="A853" s="242"/>
      <c r="B853" s="242"/>
      <c r="C853" s="242"/>
      <c r="D853" s="242"/>
      <c r="E853" s="242"/>
      <c r="F853" s="242"/>
      <c r="G853" s="671"/>
      <c r="H853" s="671"/>
      <c r="I853" s="242"/>
      <c r="J853" s="242"/>
      <c r="K853" s="242"/>
      <c r="L853" s="389"/>
      <c r="M853" s="389"/>
      <c r="N853" s="242"/>
      <c r="O853" s="242"/>
      <c r="P853" s="13"/>
      <c r="Q853" s="242"/>
      <c r="R853" s="13"/>
      <c r="S853" s="13"/>
      <c r="T853" s="242"/>
      <c r="U853" s="242"/>
      <c r="V853" s="242"/>
      <c r="W853" s="242"/>
      <c r="X853" s="242"/>
      <c r="Y853" s="242"/>
    </row>
    <row r="854">
      <c r="A854" s="242"/>
      <c r="B854" s="242"/>
      <c r="C854" s="242"/>
      <c r="D854" s="242"/>
      <c r="E854" s="242"/>
      <c r="F854" s="242"/>
      <c r="G854" s="671"/>
      <c r="H854" s="671"/>
      <c r="I854" s="242"/>
      <c r="J854" s="242"/>
      <c r="K854" s="242"/>
      <c r="L854" s="389"/>
      <c r="M854" s="389"/>
      <c r="N854" s="242"/>
      <c r="O854" s="242"/>
      <c r="P854" s="13"/>
      <c r="Q854" s="242"/>
      <c r="R854" s="13"/>
      <c r="S854" s="13"/>
      <c r="T854" s="242"/>
      <c r="U854" s="242"/>
      <c r="V854" s="242"/>
      <c r="W854" s="242"/>
      <c r="X854" s="242"/>
      <c r="Y854" s="242"/>
    </row>
    <row r="855">
      <c r="A855" s="242"/>
      <c r="B855" s="242"/>
      <c r="C855" s="242"/>
      <c r="D855" s="242"/>
      <c r="E855" s="242"/>
      <c r="F855" s="242"/>
      <c r="G855" s="671"/>
      <c r="H855" s="671"/>
      <c r="I855" s="242"/>
      <c r="J855" s="242"/>
      <c r="K855" s="242"/>
      <c r="L855" s="389"/>
      <c r="M855" s="389"/>
      <c r="N855" s="242"/>
      <c r="O855" s="242"/>
      <c r="P855" s="13"/>
      <c r="Q855" s="242"/>
      <c r="R855" s="13"/>
      <c r="S855" s="13"/>
      <c r="T855" s="242"/>
      <c r="U855" s="242"/>
      <c r="V855" s="242"/>
      <c r="W855" s="242"/>
      <c r="X855" s="242"/>
      <c r="Y855" s="242"/>
    </row>
    <row r="856">
      <c r="A856" s="242"/>
      <c r="B856" s="242"/>
      <c r="C856" s="242"/>
      <c r="D856" s="242"/>
      <c r="E856" s="242"/>
      <c r="F856" s="242"/>
      <c r="G856" s="671"/>
      <c r="H856" s="671"/>
      <c r="I856" s="242"/>
      <c r="J856" s="242"/>
      <c r="K856" s="242"/>
      <c r="L856" s="389"/>
      <c r="M856" s="389"/>
      <c r="N856" s="242"/>
      <c r="O856" s="242"/>
      <c r="P856" s="13"/>
      <c r="Q856" s="242"/>
      <c r="R856" s="13"/>
      <c r="S856" s="13"/>
      <c r="T856" s="242"/>
      <c r="U856" s="242"/>
      <c r="V856" s="242"/>
      <c r="W856" s="242"/>
      <c r="X856" s="242"/>
      <c r="Y856" s="242"/>
    </row>
    <row r="857">
      <c r="A857" s="242"/>
      <c r="B857" s="242"/>
      <c r="C857" s="242"/>
      <c r="D857" s="242"/>
      <c r="E857" s="242"/>
      <c r="F857" s="242"/>
      <c r="G857" s="671"/>
      <c r="H857" s="671"/>
      <c r="I857" s="242"/>
      <c r="J857" s="242"/>
      <c r="K857" s="242"/>
      <c r="L857" s="389"/>
      <c r="M857" s="389"/>
      <c r="N857" s="242"/>
      <c r="O857" s="242"/>
      <c r="P857" s="13"/>
      <c r="Q857" s="242"/>
      <c r="R857" s="13"/>
      <c r="S857" s="13"/>
      <c r="T857" s="242"/>
      <c r="U857" s="242"/>
      <c r="V857" s="242"/>
      <c r="W857" s="242"/>
      <c r="X857" s="242"/>
      <c r="Y857" s="242"/>
    </row>
    <row r="858">
      <c r="A858" s="242"/>
      <c r="B858" s="242"/>
      <c r="C858" s="242"/>
      <c r="D858" s="242"/>
      <c r="E858" s="242"/>
      <c r="F858" s="242"/>
      <c r="G858" s="671"/>
      <c r="H858" s="671"/>
      <c r="I858" s="242"/>
      <c r="J858" s="242"/>
      <c r="K858" s="242"/>
      <c r="L858" s="389"/>
      <c r="M858" s="389"/>
      <c r="N858" s="242"/>
      <c r="O858" s="242"/>
      <c r="P858" s="13"/>
      <c r="Q858" s="242"/>
      <c r="R858" s="13"/>
      <c r="S858" s="13"/>
      <c r="T858" s="242"/>
      <c r="U858" s="242"/>
      <c r="V858" s="242"/>
      <c r="W858" s="242"/>
      <c r="X858" s="242"/>
      <c r="Y858" s="242"/>
    </row>
    <row r="859">
      <c r="A859" s="242"/>
      <c r="B859" s="242"/>
      <c r="C859" s="242"/>
      <c r="D859" s="242"/>
      <c r="E859" s="242"/>
      <c r="F859" s="242"/>
      <c r="G859" s="671"/>
      <c r="H859" s="671"/>
      <c r="I859" s="242"/>
      <c r="J859" s="242"/>
      <c r="K859" s="242"/>
      <c r="L859" s="389"/>
      <c r="M859" s="389"/>
      <c r="N859" s="242"/>
      <c r="O859" s="242"/>
      <c r="P859" s="13"/>
      <c r="Q859" s="242"/>
      <c r="R859" s="13"/>
      <c r="S859" s="13"/>
      <c r="T859" s="242"/>
      <c r="U859" s="242"/>
      <c r="V859" s="242"/>
      <c r="W859" s="242"/>
      <c r="X859" s="242"/>
      <c r="Y859" s="242"/>
    </row>
    <row r="860">
      <c r="A860" s="242"/>
      <c r="B860" s="242"/>
      <c r="C860" s="242"/>
      <c r="D860" s="242"/>
      <c r="E860" s="242"/>
      <c r="F860" s="242"/>
      <c r="G860" s="671"/>
      <c r="H860" s="671"/>
      <c r="I860" s="242"/>
      <c r="J860" s="242"/>
      <c r="K860" s="242"/>
      <c r="L860" s="389"/>
      <c r="M860" s="389"/>
      <c r="N860" s="242"/>
      <c r="O860" s="242"/>
      <c r="P860" s="13"/>
      <c r="Q860" s="242"/>
      <c r="R860" s="13"/>
      <c r="S860" s="13"/>
      <c r="T860" s="242"/>
      <c r="U860" s="242"/>
      <c r="V860" s="242"/>
      <c r="W860" s="242"/>
      <c r="X860" s="242"/>
      <c r="Y860" s="242"/>
    </row>
    <row r="861">
      <c r="A861" s="242"/>
      <c r="B861" s="242"/>
      <c r="C861" s="242"/>
      <c r="D861" s="242"/>
      <c r="E861" s="242"/>
      <c r="F861" s="242"/>
      <c r="G861" s="671"/>
      <c r="H861" s="671"/>
      <c r="I861" s="242"/>
      <c r="J861" s="242"/>
      <c r="K861" s="242"/>
      <c r="L861" s="389"/>
      <c r="M861" s="389"/>
      <c r="N861" s="242"/>
      <c r="O861" s="242"/>
      <c r="P861" s="13"/>
      <c r="Q861" s="242"/>
      <c r="R861" s="13"/>
      <c r="S861" s="13"/>
      <c r="T861" s="242"/>
      <c r="U861" s="242"/>
      <c r="V861" s="242"/>
      <c r="W861" s="242"/>
      <c r="X861" s="242"/>
      <c r="Y861" s="242"/>
    </row>
    <row r="862">
      <c r="A862" s="242"/>
      <c r="B862" s="242"/>
      <c r="C862" s="242"/>
      <c r="D862" s="242"/>
      <c r="E862" s="242"/>
      <c r="F862" s="242"/>
      <c r="G862" s="671"/>
      <c r="H862" s="671"/>
      <c r="I862" s="242"/>
      <c r="J862" s="242"/>
      <c r="K862" s="242"/>
      <c r="L862" s="389"/>
      <c r="M862" s="389"/>
      <c r="N862" s="242"/>
      <c r="O862" s="242"/>
      <c r="P862" s="13"/>
      <c r="Q862" s="242"/>
      <c r="R862" s="13"/>
      <c r="S862" s="13"/>
      <c r="T862" s="242"/>
      <c r="U862" s="242"/>
      <c r="V862" s="242"/>
      <c r="W862" s="242"/>
      <c r="X862" s="242"/>
      <c r="Y862" s="242"/>
    </row>
    <row r="863">
      <c r="A863" s="242"/>
      <c r="B863" s="242"/>
      <c r="C863" s="242"/>
      <c r="D863" s="242"/>
      <c r="E863" s="242"/>
      <c r="F863" s="242"/>
      <c r="G863" s="671"/>
      <c r="H863" s="671"/>
      <c r="I863" s="242"/>
      <c r="J863" s="242"/>
      <c r="K863" s="242"/>
      <c r="L863" s="389"/>
      <c r="M863" s="389"/>
      <c r="N863" s="242"/>
      <c r="O863" s="242"/>
      <c r="P863" s="13"/>
      <c r="Q863" s="242"/>
      <c r="R863" s="13"/>
      <c r="S863" s="13"/>
      <c r="T863" s="242"/>
      <c r="U863" s="242"/>
      <c r="V863" s="242"/>
      <c r="W863" s="242"/>
      <c r="X863" s="242"/>
      <c r="Y863" s="242"/>
    </row>
    <row r="864">
      <c r="A864" s="242"/>
      <c r="B864" s="242"/>
      <c r="C864" s="242"/>
      <c r="D864" s="242"/>
      <c r="E864" s="242"/>
      <c r="F864" s="242"/>
      <c r="G864" s="671"/>
      <c r="H864" s="671"/>
      <c r="I864" s="242"/>
      <c r="J864" s="242"/>
      <c r="K864" s="242"/>
      <c r="L864" s="389"/>
      <c r="M864" s="389"/>
      <c r="N864" s="242"/>
      <c r="O864" s="242"/>
      <c r="P864" s="13"/>
      <c r="Q864" s="242"/>
      <c r="R864" s="13"/>
      <c r="S864" s="13"/>
      <c r="T864" s="242"/>
      <c r="U864" s="242"/>
      <c r="V864" s="242"/>
      <c r="W864" s="242"/>
      <c r="X864" s="242"/>
      <c r="Y864" s="242"/>
    </row>
    <row r="865">
      <c r="A865" s="242"/>
      <c r="B865" s="242"/>
      <c r="C865" s="242"/>
      <c r="D865" s="242"/>
      <c r="E865" s="242"/>
      <c r="F865" s="242"/>
      <c r="G865" s="671"/>
      <c r="H865" s="671"/>
      <c r="I865" s="242"/>
      <c r="J865" s="242"/>
      <c r="K865" s="242"/>
      <c r="L865" s="389"/>
      <c r="M865" s="389"/>
      <c r="N865" s="242"/>
      <c r="O865" s="242"/>
      <c r="P865" s="13"/>
      <c r="Q865" s="242"/>
      <c r="R865" s="13"/>
      <c r="S865" s="13"/>
      <c r="T865" s="242"/>
      <c r="U865" s="242"/>
      <c r="V865" s="242"/>
      <c r="W865" s="242"/>
      <c r="X865" s="242"/>
      <c r="Y865" s="242"/>
    </row>
    <row r="866">
      <c r="A866" s="242"/>
      <c r="B866" s="242"/>
      <c r="C866" s="242"/>
      <c r="D866" s="242"/>
      <c r="E866" s="242"/>
      <c r="F866" s="242"/>
      <c r="G866" s="671"/>
      <c r="H866" s="671"/>
      <c r="I866" s="242"/>
      <c r="J866" s="242"/>
      <c r="K866" s="242"/>
      <c r="L866" s="389"/>
      <c r="M866" s="389"/>
      <c r="N866" s="242"/>
      <c r="O866" s="242"/>
      <c r="P866" s="13"/>
      <c r="Q866" s="242"/>
      <c r="R866" s="13"/>
      <c r="S866" s="13"/>
      <c r="T866" s="242"/>
      <c r="U866" s="242"/>
      <c r="V866" s="242"/>
      <c r="W866" s="242"/>
      <c r="X866" s="242"/>
      <c r="Y866" s="242"/>
    </row>
    <row r="867">
      <c r="A867" s="242"/>
      <c r="B867" s="242"/>
      <c r="C867" s="242"/>
      <c r="D867" s="242"/>
      <c r="E867" s="242"/>
      <c r="F867" s="242"/>
      <c r="G867" s="671"/>
      <c r="H867" s="671"/>
      <c r="I867" s="242"/>
      <c r="J867" s="242"/>
      <c r="K867" s="242"/>
      <c r="L867" s="389"/>
      <c r="M867" s="389"/>
      <c r="N867" s="242"/>
      <c r="O867" s="242"/>
      <c r="P867" s="13"/>
      <c r="Q867" s="242"/>
      <c r="R867" s="13"/>
      <c r="S867" s="13"/>
      <c r="T867" s="242"/>
      <c r="U867" s="242"/>
      <c r="V867" s="242"/>
      <c r="W867" s="242"/>
      <c r="X867" s="242"/>
      <c r="Y867" s="242"/>
    </row>
    <row r="868">
      <c r="A868" s="242"/>
      <c r="B868" s="242"/>
      <c r="C868" s="242"/>
      <c r="D868" s="242"/>
      <c r="E868" s="242"/>
      <c r="F868" s="242"/>
      <c r="G868" s="671"/>
      <c r="H868" s="671"/>
      <c r="I868" s="242"/>
      <c r="J868" s="242"/>
      <c r="K868" s="242"/>
      <c r="L868" s="389"/>
      <c r="M868" s="389"/>
      <c r="N868" s="242"/>
      <c r="O868" s="242"/>
      <c r="P868" s="13"/>
      <c r="Q868" s="242"/>
      <c r="R868" s="13"/>
      <c r="S868" s="13"/>
      <c r="T868" s="242"/>
      <c r="U868" s="242"/>
      <c r="V868" s="242"/>
      <c r="W868" s="242"/>
      <c r="X868" s="242"/>
      <c r="Y868" s="242"/>
    </row>
    <row r="869">
      <c r="A869" s="242"/>
      <c r="B869" s="242"/>
      <c r="C869" s="242"/>
      <c r="D869" s="242"/>
      <c r="E869" s="242"/>
      <c r="F869" s="242"/>
      <c r="G869" s="671"/>
      <c r="H869" s="671"/>
      <c r="I869" s="242"/>
      <c r="J869" s="242"/>
      <c r="K869" s="242"/>
      <c r="L869" s="389"/>
      <c r="M869" s="389"/>
      <c r="N869" s="242"/>
      <c r="O869" s="242"/>
      <c r="P869" s="13"/>
      <c r="Q869" s="242"/>
      <c r="R869" s="13"/>
      <c r="S869" s="13"/>
      <c r="T869" s="242"/>
      <c r="U869" s="242"/>
      <c r="V869" s="242"/>
      <c r="W869" s="242"/>
      <c r="X869" s="242"/>
      <c r="Y869" s="242"/>
    </row>
    <row r="870">
      <c r="A870" s="242"/>
      <c r="B870" s="242"/>
      <c r="C870" s="242"/>
      <c r="D870" s="242"/>
      <c r="E870" s="242"/>
      <c r="F870" s="242"/>
      <c r="G870" s="671"/>
      <c r="H870" s="671"/>
      <c r="I870" s="242"/>
      <c r="J870" s="242"/>
      <c r="K870" s="242"/>
      <c r="L870" s="389"/>
      <c r="M870" s="389"/>
      <c r="N870" s="242"/>
      <c r="O870" s="242"/>
      <c r="P870" s="13"/>
      <c r="Q870" s="242"/>
      <c r="R870" s="13"/>
      <c r="S870" s="13"/>
      <c r="T870" s="242"/>
      <c r="U870" s="242"/>
      <c r="V870" s="242"/>
      <c r="W870" s="242"/>
      <c r="X870" s="242"/>
      <c r="Y870" s="242"/>
    </row>
    <row r="871">
      <c r="A871" s="242"/>
      <c r="B871" s="242"/>
      <c r="C871" s="242"/>
      <c r="D871" s="242"/>
      <c r="E871" s="242"/>
      <c r="F871" s="242"/>
      <c r="G871" s="671"/>
      <c r="H871" s="671"/>
      <c r="I871" s="242"/>
      <c r="J871" s="242"/>
      <c r="K871" s="242"/>
      <c r="L871" s="389"/>
      <c r="M871" s="389"/>
      <c r="N871" s="242"/>
      <c r="O871" s="242"/>
      <c r="P871" s="13"/>
      <c r="Q871" s="242"/>
      <c r="R871" s="13"/>
      <c r="S871" s="13"/>
      <c r="T871" s="242"/>
      <c r="U871" s="242"/>
      <c r="V871" s="242"/>
      <c r="W871" s="242"/>
      <c r="X871" s="242"/>
      <c r="Y871" s="242"/>
    </row>
    <row r="872">
      <c r="A872" s="242"/>
      <c r="B872" s="242"/>
      <c r="C872" s="242"/>
      <c r="D872" s="242"/>
      <c r="E872" s="242"/>
      <c r="F872" s="242"/>
      <c r="G872" s="671"/>
      <c r="H872" s="671"/>
      <c r="I872" s="242"/>
      <c r="J872" s="242"/>
      <c r="K872" s="242"/>
      <c r="L872" s="389"/>
      <c r="M872" s="389"/>
      <c r="N872" s="242"/>
      <c r="O872" s="242"/>
      <c r="P872" s="13"/>
      <c r="Q872" s="242"/>
      <c r="R872" s="13"/>
      <c r="S872" s="13"/>
      <c r="T872" s="242"/>
      <c r="U872" s="242"/>
      <c r="V872" s="242"/>
      <c r="W872" s="242"/>
      <c r="X872" s="242"/>
      <c r="Y872" s="242"/>
    </row>
    <row r="873">
      <c r="A873" s="242"/>
      <c r="B873" s="242"/>
      <c r="C873" s="242"/>
      <c r="D873" s="242"/>
      <c r="E873" s="242"/>
      <c r="F873" s="242"/>
      <c r="G873" s="671"/>
      <c r="H873" s="671"/>
      <c r="I873" s="242"/>
      <c r="J873" s="242"/>
      <c r="K873" s="242"/>
      <c r="L873" s="389"/>
      <c r="M873" s="389"/>
      <c r="N873" s="242"/>
      <c r="O873" s="242"/>
      <c r="P873" s="13"/>
      <c r="Q873" s="242"/>
      <c r="R873" s="13"/>
      <c r="S873" s="13"/>
      <c r="T873" s="242"/>
      <c r="U873" s="242"/>
      <c r="V873" s="242"/>
      <c r="W873" s="242"/>
      <c r="X873" s="242"/>
      <c r="Y873" s="242"/>
    </row>
    <row r="874">
      <c r="A874" s="242"/>
      <c r="B874" s="242"/>
      <c r="C874" s="242"/>
      <c r="D874" s="242"/>
      <c r="E874" s="242"/>
      <c r="F874" s="242"/>
      <c r="G874" s="671"/>
      <c r="H874" s="671"/>
      <c r="I874" s="242"/>
      <c r="J874" s="242"/>
      <c r="K874" s="242"/>
      <c r="L874" s="389"/>
      <c r="M874" s="389"/>
      <c r="N874" s="242"/>
      <c r="O874" s="242"/>
      <c r="P874" s="13"/>
      <c r="Q874" s="242"/>
      <c r="R874" s="13"/>
      <c r="S874" s="13"/>
      <c r="T874" s="242"/>
      <c r="U874" s="242"/>
      <c r="V874" s="242"/>
      <c r="W874" s="242"/>
      <c r="X874" s="242"/>
      <c r="Y874" s="242"/>
    </row>
    <row r="875">
      <c r="A875" s="242"/>
      <c r="B875" s="242"/>
      <c r="C875" s="242"/>
      <c r="D875" s="242"/>
      <c r="E875" s="242"/>
      <c r="F875" s="242"/>
      <c r="G875" s="671"/>
      <c r="H875" s="671"/>
      <c r="I875" s="242"/>
      <c r="J875" s="242"/>
      <c r="K875" s="242"/>
      <c r="L875" s="389"/>
      <c r="M875" s="389"/>
      <c r="N875" s="242"/>
      <c r="O875" s="242"/>
      <c r="P875" s="13"/>
      <c r="Q875" s="242"/>
      <c r="R875" s="13"/>
      <c r="S875" s="13"/>
      <c r="T875" s="242"/>
      <c r="U875" s="242"/>
      <c r="V875" s="242"/>
      <c r="W875" s="242"/>
      <c r="X875" s="242"/>
      <c r="Y875" s="242"/>
    </row>
    <row r="876">
      <c r="A876" s="242"/>
      <c r="B876" s="242"/>
      <c r="C876" s="242"/>
      <c r="D876" s="242"/>
      <c r="E876" s="242"/>
      <c r="F876" s="242"/>
      <c r="G876" s="671"/>
      <c r="H876" s="671"/>
      <c r="I876" s="242"/>
      <c r="J876" s="242"/>
      <c r="K876" s="242"/>
      <c r="L876" s="389"/>
      <c r="M876" s="389"/>
      <c r="N876" s="242"/>
      <c r="O876" s="242"/>
      <c r="P876" s="13"/>
      <c r="Q876" s="242"/>
      <c r="R876" s="13"/>
      <c r="S876" s="13"/>
      <c r="T876" s="242"/>
      <c r="U876" s="242"/>
      <c r="V876" s="242"/>
      <c r="W876" s="242"/>
      <c r="X876" s="242"/>
      <c r="Y876" s="242"/>
    </row>
    <row r="877">
      <c r="A877" s="242"/>
      <c r="B877" s="242"/>
      <c r="C877" s="242"/>
      <c r="D877" s="242"/>
      <c r="E877" s="242"/>
      <c r="F877" s="242"/>
      <c r="G877" s="671"/>
      <c r="H877" s="671"/>
      <c r="I877" s="242"/>
      <c r="J877" s="242"/>
      <c r="K877" s="242"/>
      <c r="L877" s="389"/>
      <c r="M877" s="389"/>
      <c r="N877" s="242"/>
      <c r="O877" s="242"/>
      <c r="P877" s="13"/>
      <c r="Q877" s="242"/>
      <c r="R877" s="13"/>
      <c r="S877" s="13"/>
      <c r="T877" s="242"/>
      <c r="U877" s="242"/>
      <c r="V877" s="242"/>
      <c r="W877" s="242"/>
      <c r="X877" s="242"/>
      <c r="Y877" s="242"/>
    </row>
    <row r="878">
      <c r="A878" s="242"/>
      <c r="B878" s="242"/>
      <c r="C878" s="242"/>
      <c r="D878" s="242"/>
      <c r="E878" s="242"/>
      <c r="F878" s="242"/>
      <c r="G878" s="671"/>
      <c r="H878" s="671"/>
      <c r="I878" s="242"/>
      <c r="J878" s="242"/>
      <c r="K878" s="242"/>
      <c r="L878" s="389"/>
      <c r="M878" s="389"/>
      <c r="N878" s="242"/>
      <c r="O878" s="242"/>
      <c r="P878" s="13"/>
      <c r="Q878" s="242"/>
      <c r="R878" s="13"/>
      <c r="S878" s="13"/>
      <c r="T878" s="242"/>
      <c r="U878" s="242"/>
      <c r="V878" s="242"/>
      <c r="W878" s="242"/>
      <c r="X878" s="242"/>
      <c r="Y878" s="242"/>
    </row>
    <row r="879">
      <c r="A879" s="242"/>
      <c r="B879" s="242"/>
      <c r="C879" s="242"/>
      <c r="D879" s="242"/>
      <c r="E879" s="242"/>
      <c r="F879" s="242"/>
      <c r="G879" s="671"/>
      <c r="H879" s="671"/>
      <c r="I879" s="242"/>
      <c r="J879" s="242"/>
      <c r="K879" s="242"/>
      <c r="L879" s="389"/>
      <c r="M879" s="389"/>
      <c r="N879" s="242"/>
      <c r="O879" s="242"/>
      <c r="P879" s="13"/>
      <c r="Q879" s="242"/>
      <c r="R879" s="13"/>
      <c r="S879" s="13"/>
      <c r="T879" s="242"/>
      <c r="U879" s="242"/>
      <c r="V879" s="242"/>
      <c r="W879" s="242"/>
      <c r="X879" s="242"/>
      <c r="Y879" s="242"/>
    </row>
    <row r="880">
      <c r="A880" s="242"/>
      <c r="B880" s="242"/>
      <c r="C880" s="242"/>
      <c r="D880" s="242"/>
      <c r="E880" s="242"/>
      <c r="F880" s="242"/>
      <c r="G880" s="671"/>
      <c r="H880" s="671"/>
      <c r="I880" s="242"/>
      <c r="J880" s="242"/>
      <c r="K880" s="242"/>
      <c r="L880" s="389"/>
      <c r="M880" s="389"/>
      <c r="N880" s="242"/>
      <c r="O880" s="242"/>
      <c r="P880" s="13"/>
      <c r="Q880" s="242"/>
      <c r="R880" s="13"/>
      <c r="S880" s="13"/>
      <c r="T880" s="242"/>
      <c r="U880" s="242"/>
      <c r="V880" s="242"/>
      <c r="W880" s="242"/>
      <c r="X880" s="242"/>
      <c r="Y880" s="242"/>
    </row>
    <row r="881">
      <c r="A881" s="242"/>
      <c r="B881" s="242"/>
      <c r="C881" s="242"/>
      <c r="D881" s="242"/>
      <c r="E881" s="242"/>
      <c r="F881" s="242"/>
      <c r="G881" s="671"/>
      <c r="H881" s="671"/>
      <c r="I881" s="242"/>
      <c r="J881" s="242"/>
      <c r="K881" s="242"/>
      <c r="L881" s="389"/>
      <c r="M881" s="389"/>
      <c r="N881" s="242"/>
      <c r="O881" s="242"/>
      <c r="P881" s="13"/>
      <c r="Q881" s="242"/>
      <c r="R881" s="13"/>
      <c r="S881" s="13"/>
      <c r="T881" s="242"/>
      <c r="U881" s="242"/>
      <c r="V881" s="242"/>
      <c r="W881" s="242"/>
      <c r="X881" s="242"/>
      <c r="Y881" s="242"/>
    </row>
    <row r="882">
      <c r="A882" s="242"/>
      <c r="B882" s="242"/>
      <c r="C882" s="242"/>
      <c r="D882" s="242"/>
      <c r="E882" s="242"/>
      <c r="F882" s="242"/>
      <c r="G882" s="671"/>
      <c r="H882" s="671"/>
      <c r="I882" s="242"/>
      <c r="J882" s="242"/>
      <c r="K882" s="242"/>
      <c r="L882" s="389"/>
      <c r="M882" s="389"/>
      <c r="N882" s="242"/>
      <c r="O882" s="242"/>
      <c r="P882" s="13"/>
      <c r="Q882" s="242"/>
      <c r="R882" s="13"/>
      <c r="S882" s="13"/>
      <c r="T882" s="242"/>
      <c r="U882" s="242"/>
      <c r="V882" s="242"/>
      <c r="W882" s="242"/>
      <c r="X882" s="242"/>
      <c r="Y882" s="242"/>
    </row>
    <row r="883">
      <c r="A883" s="242"/>
      <c r="B883" s="242"/>
      <c r="C883" s="242"/>
      <c r="D883" s="242"/>
      <c r="E883" s="242"/>
      <c r="F883" s="242"/>
      <c r="G883" s="671"/>
      <c r="H883" s="671"/>
      <c r="I883" s="242"/>
      <c r="J883" s="242"/>
      <c r="K883" s="242"/>
      <c r="L883" s="389"/>
      <c r="M883" s="389"/>
      <c r="N883" s="242"/>
      <c r="O883" s="242"/>
      <c r="P883" s="13"/>
      <c r="Q883" s="242"/>
      <c r="R883" s="13"/>
      <c r="S883" s="13"/>
      <c r="T883" s="242"/>
      <c r="U883" s="242"/>
      <c r="V883" s="242"/>
      <c r="W883" s="242"/>
      <c r="X883" s="242"/>
      <c r="Y883" s="242"/>
    </row>
    <row r="884">
      <c r="A884" s="242"/>
      <c r="B884" s="242"/>
      <c r="C884" s="242"/>
      <c r="D884" s="242"/>
      <c r="E884" s="242"/>
      <c r="F884" s="242"/>
      <c r="G884" s="671"/>
      <c r="H884" s="671"/>
      <c r="I884" s="242"/>
      <c r="J884" s="242"/>
      <c r="K884" s="242"/>
      <c r="L884" s="389"/>
      <c r="M884" s="389"/>
      <c r="N884" s="242"/>
      <c r="O884" s="242"/>
      <c r="P884" s="13"/>
      <c r="Q884" s="242"/>
      <c r="R884" s="13"/>
      <c r="S884" s="13"/>
      <c r="T884" s="242"/>
      <c r="U884" s="242"/>
      <c r="V884" s="242"/>
      <c r="W884" s="242"/>
      <c r="X884" s="242"/>
      <c r="Y884" s="242"/>
    </row>
    <row r="885">
      <c r="A885" s="242"/>
      <c r="B885" s="242"/>
      <c r="C885" s="242"/>
      <c r="D885" s="242"/>
      <c r="E885" s="242"/>
      <c r="F885" s="242"/>
      <c r="G885" s="671"/>
      <c r="H885" s="671"/>
      <c r="I885" s="242"/>
      <c r="J885" s="242"/>
      <c r="K885" s="242"/>
      <c r="L885" s="389"/>
      <c r="M885" s="389"/>
      <c r="N885" s="242"/>
      <c r="O885" s="242"/>
      <c r="P885" s="13"/>
      <c r="Q885" s="242"/>
      <c r="R885" s="13"/>
      <c r="S885" s="13"/>
      <c r="T885" s="242"/>
      <c r="U885" s="242"/>
      <c r="V885" s="242"/>
      <c r="W885" s="242"/>
      <c r="X885" s="242"/>
      <c r="Y885" s="242"/>
    </row>
    <row r="886">
      <c r="A886" s="242"/>
      <c r="B886" s="242"/>
      <c r="C886" s="242"/>
      <c r="D886" s="242"/>
      <c r="E886" s="242"/>
      <c r="F886" s="242"/>
      <c r="G886" s="671"/>
      <c r="H886" s="671"/>
      <c r="I886" s="242"/>
      <c r="J886" s="242"/>
      <c r="K886" s="242"/>
      <c r="L886" s="389"/>
      <c r="M886" s="389"/>
      <c r="N886" s="242"/>
      <c r="O886" s="242"/>
      <c r="P886" s="13"/>
      <c r="Q886" s="242"/>
      <c r="R886" s="13"/>
      <c r="S886" s="13"/>
      <c r="T886" s="242"/>
      <c r="U886" s="242"/>
      <c r="V886" s="242"/>
      <c r="W886" s="242"/>
      <c r="X886" s="242"/>
      <c r="Y886" s="242"/>
    </row>
    <row r="887">
      <c r="A887" s="242"/>
      <c r="B887" s="242"/>
      <c r="C887" s="242"/>
      <c r="D887" s="242"/>
      <c r="E887" s="242"/>
      <c r="F887" s="242"/>
      <c r="G887" s="671"/>
      <c r="H887" s="671"/>
      <c r="I887" s="242"/>
      <c r="J887" s="242"/>
      <c r="K887" s="242"/>
      <c r="L887" s="389"/>
      <c r="M887" s="389"/>
      <c r="N887" s="242"/>
      <c r="O887" s="242"/>
      <c r="P887" s="13"/>
      <c r="Q887" s="242"/>
      <c r="R887" s="13"/>
      <c r="S887" s="13"/>
      <c r="T887" s="242"/>
      <c r="U887" s="242"/>
      <c r="V887" s="242"/>
      <c r="W887" s="242"/>
      <c r="X887" s="242"/>
      <c r="Y887" s="242"/>
    </row>
    <row r="888">
      <c r="A888" s="242"/>
      <c r="B888" s="242"/>
      <c r="C888" s="242"/>
      <c r="D888" s="242"/>
      <c r="E888" s="242"/>
      <c r="F888" s="242"/>
      <c r="G888" s="671"/>
      <c r="H888" s="671"/>
      <c r="I888" s="242"/>
      <c r="J888" s="242"/>
      <c r="K888" s="242"/>
      <c r="L888" s="389"/>
      <c r="M888" s="389"/>
      <c r="N888" s="242"/>
      <c r="O888" s="242"/>
      <c r="P888" s="13"/>
      <c r="Q888" s="242"/>
      <c r="R888" s="13"/>
      <c r="S888" s="13"/>
      <c r="T888" s="242"/>
      <c r="U888" s="242"/>
      <c r="V888" s="242"/>
      <c r="W888" s="242"/>
      <c r="X888" s="242"/>
      <c r="Y888" s="242"/>
    </row>
    <row r="889">
      <c r="A889" s="242"/>
      <c r="B889" s="242"/>
      <c r="C889" s="242"/>
      <c r="D889" s="242"/>
      <c r="E889" s="242"/>
      <c r="F889" s="242"/>
      <c r="G889" s="671"/>
      <c r="H889" s="671"/>
      <c r="I889" s="242"/>
      <c r="J889" s="242"/>
      <c r="K889" s="242"/>
      <c r="L889" s="389"/>
      <c r="M889" s="389"/>
      <c r="N889" s="242"/>
      <c r="O889" s="242"/>
      <c r="P889" s="13"/>
      <c r="Q889" s="242"/>
      <c r="R889" s="13"/>
      <c r="S889" s="13"/>
      <c r="T889" s="242"/>
      <c r="U889" s="242"/>
      <c r="V889" s="242"/>
      <c r="W889" s="242"/>
      <c r="X889" s="242"/>
      <c r="Y889" s="242"/>
    </row>
    <row r="890">
      <c r="A890" s="242"/>
      <c r="B890" s="242"/>
      <c r="C890" s="242"/>
      <c r="D890" s="242"/>
      <c r="E890" s="242"/>
      <c r="F890" s="242"/>
      <c r="G890" s="671"/>
      <c r="H890" s="671"/>
      <c r="I890" s="242"/>
      <c r="J890" s="242"/>
      <c r="K890" s="242"/>
      <c r="L890" s="389"/>
      <c r="M890" s="389"/>
      <c r="N890" s="242"/>
      <c r="O890" s="242"/>
      <c r="P890" s="13"/>
      <c r="Q890" s="242"/>
      <c r="R890" s="13"/>
      <c r="S890" s="13"/>
      <c r="T890" s="242"/>
      <c r="U890" s="242"/>
      <c r="V890" s="242"/>
      <c r="W890" s="242"/>
      <c r="X890" s="242"/>
      <c r="Y890" s="242"/>
    </row>
    <row r="891">
      <c r="A891" s="242"/>
      <c r="B891" s="242"/>
      <c r="C891" s="242"/>
      <c r="D891" s="242"/>
      <c r="E891" s="242"/>
      <c r="F891" s="242"/>
      <c r="G891" s="671"/>
      <c r="H891" s="671"/>
      <c r="I891" s="242"/>
      <c r="J891" s="242"/>
      <c r="K891" s="242"/>
      <c r="L891" s="389"/>
      <c r="M891" s="389"/>
      <c r="N891" s="242"/>
      <c r="O891" s="242"/>
      <c r="P891" s="13"/>
      <c r="Q891" s="242"/>
      <c r="R891" s="13"/>
      <c r="S891" s="13"/>
      <c r="T891" s="242"/>
      <c r="U891" s="242"/>
      <c r="V891" s="242"/>
      <c r="W891" s="242"/>
      <c r="X891" s="242"/>
      <c r="Y891" s="242"/>
    </row>
    <row r="892">
      <c r="A892" s="242"/>
      <c r="B892" s="242"/>
      <c r="C892" s="242"/>
      <c r="D892" s="242"/>
      <c r="E892" s="242"/>
      <c r="F892" s="242"/>
      <c r="G892" s="671"/>
      <c r="H892" s="671"/>
      <c r="I892" s="242"/>
      <c r="J892" s="242"/>
      <c r="K892" s="242"/>
      <c r="L892" s="389"/>
      <c r="M892" s="389"/>
      <c r="N892" s="242"/>
      <c r="O892" s="242"/>
      <c r="P892" s="13"/>
      <c r="Q892" s="242"/>
      <c r="R892" s="13"/>
      <c r="S892" s="13"/>
      <c r="T892" s="242"/>
      <c r="U892" s="242"/>
      <c r="V892" s="242"/>
      <c r="W892" s="242"/>
      <c r="X892" s="242"/>
      <c r="Y892" s="242"/>
    </row>
    <row r="893">
      <c r="A893" s="242"/>
      <c r="B893" s="242"/>
      <c r="C893" s="242"/>
      <c r="D893" s="242"/>
      <c r="E893" s="242"/>
      <c r="F893" s="242"/>
      <c r="G893" s="671"/>
      <c r="H893" s="671"/>
      <c r="I893" s="242"/>
      <c r="J893" s="242"/>
      <c r="K893" s="242"/>
      <c r="L893" s="389"/>
      <c r="M893" s="389"/>
      <c r="N893" s="242"/>
      <c r="O893" s="242"/>
      <c r="P893" s="13"/>
      <c r="Q893" s="242"/>
      <c r="R893" s="13"/>
      <c r="S893" s="13"/>
      <c r="T893" s="242"/>
      <c r="U893" s="242"/>
      <c r="V893" s="242"/>
      <c r="W893" s="242"/>
      <c r="X893" s="242"/>
      <c r="Y893" s="242"/>
    </row>
    <row r="894">
      <c r="A894" s="242"/>
      <c r="B894" s="242"/>
      <c r="C894" s="242"/>
      <c r="D894" s="242"/>
      <c r="E894" s="242"/>
      <c r="F894" s="242"/>
      <c r="G894" s="671"/>
      <c r="H894" s="671"/>
      <c r="I894" s="242"/>
      <c r="J894" s="242"/>
      <c r="K894" s="242"/>
      <c r="L894" s="389"/>
      <c r="M894" s="389"/>
      <c r="N894" s="242"/>
      <c r="O894" s="242"/>
      <c r="P894" s="13"/>
      <c r="Q894" s="242"/>
      <c r="R894" s="13"/>
      <c r="S894" s="13"/>
      <c r="T894" s="242"/>
      <c r="U894" s="242"/>
      <c r="V894" s="242"/>
      <c r="W894" s="242"/>
      <c r="X894" s="242"/>
      <c r="Y894" s="242"/>
    </row>
    <row r="895">
      <c r="A895" s="242"/>
      <c r="B895" s="242"/>
      <c r="C895" s="242"/>
      <c r="D895" s="242"/>
      <c r="E895" s="242"/>
      <c r="F895" s="242"/>
      <c r="G895" s="671"/>
      <c r="H895" s="671"/>
      <c r="I895" s="242"/>
      <c r="J895" s="242"/>
      <c r="K895" s="242"/>
      <c r="L895" s="389"/>
      <c r="M895" s="389"/>
      <c r="N895" s="242"/>
      <c r="O895" s="242"/>
      <c r="P895" s="13"/>
      <c r="Q895" s="242"/>
      <c r="R895" s="13"/>
      <c r="S895" s="13"/>
      <c r="T895" s="242"/>
      <c r="U895" s="242"/>
      <c r="V895" s="242"/>
      <c r="W895" s="242"/>
      <c r="X895" s="242"/>
      <c r="Y895" s="242"/>
    </row>
    <row r="896">
      <c r="A896" s="242"/>
      <c r="B896" s="242"/>
      <c r="C896" s="242"/>
      <c r="D896" s="242"/>
      <c r="E896" s="242"/>
      <c r="F896" s="242"/>
      <c r="G896" s="671"/>
      <c r="H896" s="671"/>
      <c r="I896" s="242"/>
      <c r="J896" s="242"/>
      <c r="K896" s="242"/>
      <c r="L896" s="389"/>
      <c r="M896" s="389"/>
      <c r="N896" s="242"/>
      <c r="O896" s="242"/>
      <c r="P896" s="13"/>
      <c r="Q896" s="242"/>
      <c r="R896" s="13"/>
      <c r="S896" s="13"/>
      <c r="T896" s="242"/>
      <c r="U896" s="242"/>
      <c r="V896" s="242"/>
      <c r="W896" s="242"/>
      <c r="X896" s="242"/>
      <c r="Y896" s="242"/>
    </row>
    <row r="897">
      <c r="A897" s="242"/>
      <c r="B897" s="242"/>
      <c r="C897" s="242"/>
      <c r="D897" s="242"/>
      <c r="E897" s="242"/>
      <c r="F897" s="242"/>
      <c r="G897" s="671"/>
      <c r="H897" s="671"/>
      <c r="I897" s="242"/>
      <c r="J897" s="242"/>
      <c r="K897" s="242"/>
      <c r="L897" s="389"/>
      <c r="M897" s="389"/>
      <c r="N897" s="242"/>
      <c r="O897" s="242"/>
      <c r="P897" s="13"/>
      <c r="Q897" s="242"/>
      <c r="R897" s="13"/>
      <c r="S897" s="13"/>
      <c r="T897" s="242"/>
      <c r="U897" s="242"/>
      <c r="V897" s="242"/>
      <c r="W897" s="242"/>
      <c r="X897" s="242"/>
      <c r="Y897" s="242"/>
    </row>
    <row r="898">
      <c r="A898" s="242"/>
      <c r="B898" s="242"/>
      <c r="C898" s="242"/>
      <c r="D898" s="242"/>
      <c r="E898" s="242"/>
      <c r="F898" s="242"/>
      <c r="G898" s="671"/>
      <c r="H898" s="671"/>
      <c r="I898" s="242"/>
      <c r="J898" s="242"/>
      <c r="K898" s="242"/>
      <c r="L898" s="389"/>
      <c r="M898" s="389"/>
      <c r="N898" s="242"/>
      <c r="O898" s="242"/>
      <c r="P898" s="13"/>
      <c r="Q898" s="242"/>
      <c r="R898" s="13"/>
      <c r="S898" s="13"/>
      <c r="T898" s="242"/>
      <c r="U898" s="242"/>
      <c r="V898" s="242"/>
      <c r="W898" s="242"/>
      <c r="X898" s="242"/>
      <c r="Y898" s="242"/>
    </row>
    <row r="899">
      <c r="A899" s="242"/>
      <c r="B899" s="242"/>
      <c r="C899" s="242"/>
      <c r="D899" s="242"/>
      <c r="E899" s="242"/>
      <c r="F899" s="242"/>
      <c r="G899" s="671"/>
      <c r="H899" s="671"/>
      <c r="I899" s="242"/>
      <c r="J899" s="242"/>
      <c r="K899" s="242"/>
      <c r="L899" s="389"/>
      <c r="M899" s="389"/>
      <c r="N899" s="242"/>
      <c r="O899" s="242"/>
      <c r="P899" s="13"/>
      <c r="Q899" s="242"/>
      <c r="R899" s="13"/>
      <c r="S899" s="13"/>
      <c r="T899" s="242"/>
      <c r="U899" s="242"/>
      <c r="V899" s="242"/>
      <c r="W899" s="242"/>
      <c r="X899" s="242"/>
      <c r="Y899" s="242"/>
    </row>
    <row r="900">
      <c r="A900" s="242"/>
      <c r="B900" s="242"/>
      <c r="C900" s="242"/>
      <c r="D900" s="242"/>
      <c r="E900" s="242"/>
      <c r="F900" s="242"/>
      <c r="G900" s="671"/>
      <c r="H900" s="671"/>
      <c r="I900" s="242"/>
      <c r="J900" s="242"/>
      <c r="K900" s="242"/>
      <c r="L900" s="389"/>
      <c r="M900" s="389"/>
      <c r="N900" s="242"/>
      <c r="O900" s="242"/>
      <c r="P900" s="13"/>
      <c r="Q900" s="242"/>
      <c r="R900" s="13"/>
      <c r="S900" s="13"/>
      <c r="T900" s="242"/>
      <c r="U900" s="242"/>
      <c r="V900" s="242"/>
      <c r="W900" s="242"/>
      <c r="X900" s="242"/>
      <c r="Y900" s="242"/>
    </row>
    <row r="901">
      <c r="A901" s="242"/>
      <c r="B901" s="242"/>
      <c r="C901" s="242"/>
      <c r="D901" s="242"/>
      <c r="E901" s="242"/>
      <c r="F901" s="242"/>
      <c r="G901" s="671"/>
      <c r="H901" s="671"/>
      <c r="I901" s="242"/>
      <c r="J901" s="242"/>
      <c r="K901" s="242"/>
      <c r="L901" s="389"/>
      <c r="M901" s="389"/>
      <c r="N901" s="242"/>
      <c r="O901" s="242"/>
      <c r="P901" s="13"/>
      <c r="Q901" s="242"/>
      <c r="R901" s="13"/>
      <c r="S901" s="13"/>
      <c r="T901" s="242"/>
      <c r="U901" s="242"/>
      <c r="V901" s="242"/>
      <c r="W901" s="242"/>
      <c r="X901" s="242"/>
      <c r="Y901" s="242"/>
    </row>
    <row r="902">
      <c r="A902" s="242"/>
      <c r="B902" s="242"/>
      <c r="C902" s="242"/>
      <c r="D902" s="242"/>
      <c r="E902" s="242"/>
      <c r="F902" s="242"/>
      <c r="G902" s="671"/>
      <c r="H902" s="671"/>
      <c r="I902" s="242"/>
      <c r="J902" s="242"/>
      <c r="K902" s="242"/>
      <c r="L902" s="389"/>
      <c r="M902" s="389"/>
      <c r="N902" s="242"/>
      <c r="O902" s="242"/>
      <c r="P902" s="13"/>
      <c r="Q902" s="242"/>
      <c r="R902" s="13"/>
      <c r="S902" s="13"/>
      <c r="T902" s="242"/>
      <c r="U902" s="242"/>
      <c r="V902" s="242"/>
      <c r="W902" s="242"/>
      <c r="X902" s="242"/>
      <c r="Y902" s="242"/>
    </row>
    <row r="903">
      <c r="A903" s="242"/>
      <c r="B903" s="242"/>
      <c r="C903" s="242"/>
      <c r="D903" s="242"/>
      <c r="E903" s="242"/>
      <c r="F903" s="242"/>
      <c r="G903" s="671"/>
      <c r="H903" s="671"/>
      <c r="I903" s="242"/>
      <c r="J903" s="242"/>
      <c r="K903" s="242"/>
      <c r="L903" s="389"/>
      <c r="M903" s="389"/>
      <c r="N903" s="242"/>
      <c r="O903" s="242"/>
      <c r="P903" s="13"/>
      <c r="Q903" s="242"/>
      <c r="R903" s="13"/>
      <c r="S903" s="13"/>
      <c r="T903" s="242"/>
      <c r="U903" s="242"/>
      <c r="V903" s="242"/>
      <c r="W903" s="242"/>
      <c r="X903" s="242"/>
      <c r="Y903" s="242"/>
    </row>
    <row r="904">
      <c r="A904" s="242"/>
      <c r="B904" s="242"/>
      <c r="C904" s="242"/>
      <c r="D904" s="242"/>
      <c r="E904" s="242"/>
      <c r="F904" s="242"/>
      <c r="G904" s="671"/>
      <c r="H904" s="671"/>
      <c r="I904" s="242"/>
      <c r="J904" s="242"/>
      <c r="K904" s="242"/>
      <c r="L904" s="389"/>
      <c r="M904" s="389"/>
      <c r="N904" s="242"/>
      <c r="O904" s="242"/>
      <c r="P904" s="13"/>
      <c r="Q904" s="242"/>
      <c r="R904" s="13"/>
      <c r="S904" s="13"/>
      <c r="T904" s="242"/>
      <c r="U904" s="242"/>
      <c r="V904" s="242"/>
      <c r="W904" s="242"/>
      <c r="X904" s="242"/>
      <c r="Y904" s="242"/>
    </row>
    <row r="905">
      <c r="A905" s="242"/>
      <c r="B905" s="242"/>
      <c r="C905" s="242"/>
      <c r="D905" s="242"/>
      <c r="E905" s="242"/>
      <c r="F905" s="242"/>
      <c r="G905" s="671"/>
      <c r="H905" s="671"/>
      <c r="I905" s="242"/>
      <c r="J905" s="242"/>
      <c r="K905" s="242"/>
      <c r="L905" s="389"/>
      <c r="M905" s="389"/>
      <c r="N905" s="242"/>
      <c r="O905" s="242"/>
      <c r="P905" s="13"/>
      <c r="Q905" s="242"/>
      <c r="R905" s="13"/>
      <c r="S905" s="13"/>
      <c r="T905" s="242"/>
      <c r="U905" s="242"/>
      <c r="V905" s="242"/>
      <c r="W905" s="242"/>
      <c r="X905" s="242"/>
      <c r="Y905" s="242"/>
    </row>
    <row r="906">
      <c r="A906" s="242"/>
      <c r="B906" s="242"/>
      <c r="C906" s="242"/>
      <c r="D906" s="242"/>
      <c r="E906" s="242"/>
      <c r="F906" s="242"/>
      <c r="G906" s="671"/>
      <c r="H906" s="671"/>
      <c r="I906" s="242"/>
      <c r="J906" s="242"/>
      <c r="K906" s="242"/>
      <c r="L906" s="389"/>
      <c r="M906" s="389"/>
      <c r="N906" s="242"/>
      <c r="O906" s="242"/>
      <c r="P906" s="13"/>
      <c r="Q906" s="242"/>
      <c r="R906" s="13"/>
      <c r="S906" s="13"/>
      <c r="T906" s="242"/>
      <c r="U906" s="242"/>
      <c r="V906" s="242"/>
      <c r="W906" s="242"/>
      <c r="X906" s="242"/>
      <c r="Y906" s="242"/>
    </row>
    <row r="907">
      <c r="A907" s="242"/>
      <c r="B907" s="242"/>
      <c r="C907" s="242"/>
      <c r="D907" s="242"/>
      <c r="E907" s="242"/>
      <c r="F907" s="242"/>
      <c r="G907" s="671"/>
      <c r="H907" s="671"/>
      <c r="I907" s="242"/>
      <c r="J907" s="242"/>
      <c r="K907" s="242"/>
      <c r="L907" s="389"/>
      <c r="M907" s="389"/>
      <c r="N907" s="242"/>
      <c r="O907" s="242"/>
      <c r="P907" s="13"/>
      <c r="Q907" s="242"/>
      <c r="R907" s="13"/>
      <c r="S907" s="13"/>
      <c r="T907" s="242"/>
      <c r="U907" s="242"/>
      <c r="V907" s="242"/>
      <c r="W907" s="242"/>
      <c r="X907" s="242"/>
      <c r="Y907" s="242"/>
    </row>
    <row r="908">
      <c r="A908" s="242"/>
      <c r="B908" s="242"/>
      <c r="C908" s="242"/>
      <c r="D908" s="242"/>
      <c r="E908" s="242"/>
      <c r="F908" s="242"/>
      <c r="G908" s="671"/>
      <c r="H908" s="671"/>
      <c r="I908" s="242"/>
      <c r="J908" s="242"/>
      <c r="K908" s="242"/>
      <c r="L908" s="389"/>
      <c r="M908" s="389"/>
      <c r="N908" s="242"/>
      <c r="O908" s="242"/>
      <c r="P908" s="13"/>
      <c r="Q908" s="242"/>
      <c r="R908" s="13"/>
      <c r="S908" s="13"/>
      <c r="T908" s="242"/>
      <c r="U908" s="242"/>
      <c r="V908" s="242"/>
      <c r="W908" s="242"/>
      <c r="X908" s="242"/>
      <c r="Y908" s="242"/>
    </row>
    <row r="909">
      <c r="A909" s="242"/>
      <c r="B909" s="242"/>
      <c r="C909" s="242"/>
      <c r="D909" s="242"/>
      <c r="E909" s="242"/>
      <c r="F909" s="242"/>
      <c r="G909" s="671"/>
      <c r="H909" s="671"/>
      <c r="I909" s="242"/>
      <c r="J909" s="242"/>
      <c r="K909" s="242"/>
      <c r="L909" s="389"/>
      <c r="M909" s="389"/>
      <c r="N909" s="242"/>
      <c r="O909" s="242"/>
      <c r="P909" s="13"/>
      <c r="Q909" s="242"/>
      <c r="R909" s="13"/>
      <c r="S909" s="13"/>
      <c r="T909" s="242"/>
      <c r="U909" s="242"/>
      <c r="V909" s="242"/>
      <c r="W909" s="242"/>
      <c r="X909" s="242"/>
      <c r="Y909" s="242"/>
    </row>
    <row r="910">
      <c r="A910" s="242"/>
      <c r="B910" s="242"/>
      <c r="C910" s="242"/>
      <c r="D910" s="242"/>
      <c r="E910" s="242"/>
      <c r="F910" s="242"/>
      <c r="G910" s="671"/>
      <c r="H910" s="671"/>
      <c r="I910" s="242"/>
      <c r="J910" s="242"/>
      <c r="K910" s="242"/>
      <c r="L910" s="389"/>
      <c r="M910" s="389"/>
      <c r="N910" s="242"/>
      <c r="O910" s="242"/>
      <c r="P910" s="13"/>
      <c r="Q910" s="242"/>
      <c r="R910" s="13"/>
      <c r="S910" s="13"/>
      <c r="T910" s="242"/>
      <c r="U910" s="242"/>
      <c r="V910" s="242"/>
      <c r="W910" s="242"/>
      <c r="X910" s="242"/>
      <c r="Y910" s="242"/>
    </row>
    <row r="911">
      <c r="A911" s="242"/>
      <c r="B911" s="242"/>
      <c r="C911" s="242"/>
      <c r="D911" s="242"/>
      <c r="E911" s="242"/>
      <c r="F911" s="242"/>
      <c r="G911" s="671"/>
      <c r="H911" s="671"/>
      <c r="I911" s="242"/>
      <c r="J911" s="242"/>
      <c r="K911" s="242"/>
      <c r="L911" s="389"/>
      <c r="M911" s="389"/>
      <c r="N911" s="242"/>
      <c r="O911" s="242"/>
      <c r="P911" s="13"/>
      <c r="Q911" s="242"/>
      <c r="R911" s="13"/>
      <c r="S911" s="13"/>
      <c r="T911" s="242"/>
      <c r="U911" s="242"/>
      <c r="V911" s="242"/>
      <c r="W911" s="242"/>
      <c r="X911" s="242"/>
      <c r="Y911" s="242"/>
    </row>
    <row r="912">
      <c r="A912" s="242"/>
      <c r="B912" s="242"/>
      <c r="C912" s="242"/>
      <c r="D912" s="242"/>
      <c r="E912" s="242"/>
      <c r="F912" s="242"/>
      <c r="G912" s="671"/>
      <c r="H912" s="671"/>
      <c r="I912" s="242"/>
      <c r="J912" s="242"/>
      <c r="K912" s="242"/>
      <c r="L912" s="389"/>
      <c r="M912" s="389"/>
      <c r="N912" s="242"/>
      <c r="O912" s="242"/>
      <c r="P912" s="13"/>
      <c r="Q912" s="242"/>
      <c r="R912" s="13"/>
      <c r="S912" s="13"/>
      <c r="T912" s="242"/>
      <c r="U912" s="242"/>
      <c r="V912" s="242"/>
      <c r="W912" s="242"/>
      <c r="X912" s="242"/>
      <c r="Y912" s="242"/>
    </row>
    <row r="913">
      <c r="A913" s="242"/>
      <c r="B913" s="242"/>
      <c r="C913" s="242"/>
      <c r="D913" s="242"/>
      <c r="E913" s="242"/>
      <c r="F913" s="242"/>
      <c r="G913" s="671"/>
      <c r="H913" s="671"/>
      <c r="I913" s="242"/>
      <c r="J913" s="242"/>
      <c r="K913" s="242"/>
      <c r="L913" s="389"/>
      <c r="M913" s="389"/>
      <c r="N913" s="242"/>
      <c r="O913" s="242"/>
      <c r="P913" s="13"/>
      <c r="Q913" s="242"/>
      <c r="R913" s="13"/>
      <c r="S913" s="13"/>
      <c r="T913" s="242"/>
      <c r="U913" s="242"/>
      <c r="V913" s="242"/>
      <c r="W913" s="242"/>
      <c r="X913" s="242"/>
      <c r="Y913" s="242"/>
    </row>
    <row r="914">
      <c r="A914" s="242"/>
      <c r="B914" s="242"/>
      <c r="C914" s="242"/>
      <c r="D914" s="242"/>
      <c r="E914" s="242"/>
      <c r="F914" s="242"/>
      <c r="G914" s="671"/>
      <c r="H914" s="671"/>
      <c r="I914" s="242"/>
      <c r="J914" s="242"/>
      <c r="K914" s="242"/>
      <c r="L914" s="389"/>
      <c r="M914" s="389"/>
      <c r="N914" s="242"/>
      <c r="O914" s="242"/>
      <c r="P914" s="13"/>
      <c r="Q914" s="242"/>
      <c r="R914" s="13"/>
      <c r="S914" s="13"/>
      <c r="T914" s="242"/>
      <c r="U914" s="242"/>
      <c r="V914" s="242"/>
      <c r="W914" s="242"/>
      <c r="X914" s="242"/>
      <c r="Y914" s="242"/>
    </row>
    <row r="915">
      <c r="A915" s="242"/>
      <c r="B915" s="242"/>
      <c r="C915" s="242"/>
      <c r="D915" s="242"/>
      <c r="E915" s="242"/>
      <c r="F915" s="242"/>
      <c r="G915" s="671"/>
      <c r="H915" s="671"/>
      <c r="I915" s="242"/>
      <c r="J915" s="242"/>
      <c r="K915" s="242"/>
      <c r="L915" s="389"/>
      <c r="M915" s="389"/>
      <c r="N915" s="242"/>
      <c r="O915" s="242"/>
      <c r="P915" s="13"/>
      <c r="Q915" s="242"/>
      <c r="R915" s="13"/>
      <c r="S915" s="13"/>
      <c r="T915" s="242"/>
      <c r="U915" s="242"/>
      <c r="V915" s="242"/>
      <c r="W915" s="242"/>
      <c r="X915" s="242"/>
      <c r="Y915" s="242"/>
    </row>
    <row r="916">
      <c r="A916" s="242"/>
      <c r="B916" s="242"/>
      <c r="C916" s="242"/>
      <c r="D916" s="242"/>
      <c r="E916" s="242"/>
      <c r="F916" s="242"/>
      <c r="G916" s="671"/>
      <c r="H916" s="671"/>
      <c r="I916" s="242"/>
      <c r="J916" s="242"/>
      <c r="K916" s="242"/>
      <c r="L916" s="389"/>
      <c r="M916" s="389"/>
      <c r="N916" s="242"/>
      <c r="O916" s="242"/>
      <c r="P916" s="13"/>
      <c r="Q916" s="242"/>
      <c r="R916" s="13"/>
      <c r="S916" s="13"/>
      <c r="T916" s="242"/>
      <c r="U916" s="242"/>
      <c r="V916" s="242"/>
      <c r="W916" s="242"/>
      <c r="X916" s="242"/>
      <c r="Y916" s="242"/>
    </row>
    <row r="917">
      <c r="A917" s="242"/>
      <c r="B917" s="242"/>
      <c r="C917" s="242"/>
      <c r="D917" s="242"/>
      <c r="E917" s="242"/>
      <c r="F917" s="242"/>
      <c r="G917" s="671"/>
      <c r="H917" s="671"/>
      <c r="I917" s="242"/>
      <c r="J917" s="242"/>
      <c r="K917" s="242"/>
      <c r="L917" s="389"/>
      <c r="M917" s="389"/>
      <c r="N917" s="242"/>
      <c r="O917" s="242"/>
      <c r="P917" s="13"/>
      <c r="Q917" s="242"/>
      <c r="R917" s="13"/>
      <c r="S917" s="13"/>
      <c r="T917" s="242"/>
      <c r="U917" s="242"/>
      <c r="V917" s="242"/>
      <c r="W917" s="242"/>
      <c r="X917" s="242"/>
      <c r="Y917" s="242"/>
    </row>
    <row r="918">
      <c r="A918" s="242"/>
      <c r="B918" s="242"/>
      <c r="C918" s="242"/>
      <c r="D918" s="242"/>
      <c r="E918" s="242"/>
      <c r="F918" s="242"/>
      <c r="G918" s="671"/>
      <c r="H918" s="671"/>
      <c r="I918" s="242"/>
      <c r="J918" s="242"/>
      <c r="K918" s="242"/>
      <c r="L918" s="389"/>
      <c r="M918" s="389"/>
      <c r="N918" s="242"/>
      <c r="O918" s="242"/>
      <c r="P918" s="13"/>
      <c r="Q918" s="242"/>
      <c r="R918" s="13"/>
      <c r="S918" s="13"/>
      <c r="T918" s="242"/>
      <c r="U918" s="242"/>
      <c r="V918" s="242"/>
      <c r="W918" s="242"/>
      <c r="X918" s="242"/>
      <c r="Y918" s="242"/>
    </row>
    <row r="919">
      <c r="A919" s="242"/>
      <c r="B919" s="242"/>
      <c r="C919" s="242"/>
      <c r="D919" s="242"/>
      <c r="E919" s="242"/>
      <c r="F919" s="242"/>
      <c r="G919" s="671"/>
      <c r="H919" s="671"/>
      <c r="I919" s="242"/>
      <c r="J919" s="242"/>
      <c r="K919" s="242"/>
      <c r="L919" s="389"/>
      <c r="M919" s="389"/>
      <c r="N919" s="242"/>
      <c r="O919" s="242"/>
      <c r="P919" s="13"/>
      <c r="Q919" s="242"/>
      <c r="R919" s="13"/>
      <c r="S919" s="13"/>
      <c r="T919" s="242"/>
      <c r="U919" s="242"/>
      <c r="V919" s="242"/>
      <c r="W919" s="242"/>
      <c r="X919" s="242"/>
      <c r="Y919" s="242"/>
    </row>
    <row r="920">
      <c r="A920" s="242"/>
      <c r="B920" s="242"/>
      <c r="C920" s="242"/>
      <c r="D920" s="242"/>
      <c r="E920" s="242"/>
      <c r="F920" s="242"/>
      <c r="G920" s="671"/>
      <c r="H920" s="671"/>
      <c r="I920" s="242"/>
      <c r="J920" s="242"/>
      <c r="K920" s="242"/>
      <c r="L920" s="389"/>
      <c r="M920" s="389"/>
      <c r="N920" s="242"/>
      <c r="O920" s="242"/>
      <c r="P920" s="13"/>
      <c r="Q920" s="242"/>
      <c r="R920" s="13"/>
      <c r="S920" s="13"/>
      <c r="T920" s="242"/>
      <c r="U920" s="242"/>
      <c r="V920" s="242"/>
      <c r="W920" s="242"/>
      <c r="X920" s="242"/>
      <c r="Y920" s="242"/>
    </row>
    <row r="921">
      <c r="A921" s="242"/>
      <c r="B921" s="242"/>
      <c r="C921" s="242"/>
      <c r="D921" s="242"/>
      <c r="E921" s="242"/>
      <c r="F921" s="242"/>
      <c r="G921" s="671"/>
      <c r="H921" s="671"/>
      <c r="I921" s="242"/>
      <c r="J921" s="242"/>
      <c r="K921" s="242"/>
      <c r="L921" s="389"/>
      <c r="M921" s="389"/>
      <c r="N921" s="242"/>
      <c r="O921" s="242"/>
      <c r="P921" s="13"/>
      <c r="Q921" s="242"/>
      <c r="R921" s="13"/>
      <c r="S921" s="13"/>
      <c r="T921" s="242"/>
      <c r="U921" s="242"/>
      <c r="V921" s="242"/>
      <c r="W921" s="242"/>
      <c r="X921" s="242"/>
      <c r="Y921" s="242"/>
    </row>
    <row r="922">
      <c r="A922" s="242"/>
      <c r="B922" s="242"/>
      <c r="C922" s="242"/>
      <c r="D922" s="242"/>
      <c r="E922" s="242"/>
      <c r="F922" s="242"/>
      <c r="G922" s="671"/>
      <c r="H922" s="671"/>
      <c r="I922" s="242"/>
      <c r="J922" s="242"/>
      <c r="K922" s="242"/>
      <c r="L922" s="389"/>
      <c r="M922" s="389"/>
      <c r="N922" s="242"/>
      <c r="O922" s="242"/>
      <c r="P922" s="13"/>
      <c r="Q922" s="242"/>
      <c r="R922" s="13"/>
      <c r="S922" s="13"/>
      <c r="T922" s="242"/>
      <c r="U922" s="242"/>
      <c r="V922" s="242"/>
      <c r="W922" s="242"/>
      <c r="X922" s="242"/>
      <c r="Y922" s="242"/>
    </row>
    <row r="923">
      <c r="A923" s="242"/>
      <c r="B923" s="242"/>
      <c r="C923" s="242"/>
      <c r="D923" s="242"/>
      <c r="E923" s="242"/>
      <c r="F923" s="242"/>
      <c r="G923" s="671"/>
      <c r="H923" s="671"/>
      <c r="I923" s="242"/>
      <c r="J923" s="242"/>
      <c r="K923" s="242"/>
      <c r="L923" s="389"/>
      <c r="M923" s="389"/>
      <c r="N923" s="242"/>
      <c r="O923" s="242"/>
      <c r="P923" s="13"/>
      <c r="Q923" s="242"/>
      <c r="R923" s="13"/>
      <c r="S923" s="13"/>
      <c r="T923" s="242"/>
      <c r="U923" s="242"/>
      <c r="V923" s="242"/>
      <c r="W923" s="242"/>
      <c r="X923" s="242"/>
      <c r="Y923" s="242"/>
    </row>
    <row r="924">
      <c r="A924" s="242"/>
      <c r="B924" s="242"/>
      <c r="C924" s="242"/>
      <c r="D924" s="242"/>
      <c r="E924" s="242"/>
      <c r="F924" s="242"/>
      <c r="G924" s="671"/>
      <c r="H924" s="671"/>
      <c r="I924" s="242"/>
      <c r="J924" s="242"/>
      <c r="K924" s="242"/>
      <c r="L924" s="389"/>
      <c r="M924" s="389"/>
      <c r="N924" s="242"/>
      <c r="O924" s="242"/>
      <c r="P924" s="13"/>
      <c r="Q924" s="242"/>
      <c r="R924" s="13"/>
      <c r="S924" s="13"/>
      <c r="T924" s="242"/>
      <c r="U924" s="242"/>
      <c r="V924" s="242"/>
      <c r="W924" s="242"/>
      <c r="X924" s="242"/>
      <c r="Y924" s="242"/>
    </row>
    <row r="925">
      <c r="A925" s="242"/>
      <c r="B925" s="242"/>
      <c r="C925" s="242"/>
      <c r="D925" s="242"/>
      <c r="E925" s="242"/>
      <c r="F925" s="242"/>
      <c r="G925" s="671"/>
      <c r="H925" s="671"/>
      <c r="I925" s="242"/>
      <c r="J925" s="242"/>
      <c r="K925" s="242"/>
      <c r="L925" s="389"/>
      <c r="M925" s="389"/>
      <c r="N925" s="242"/>
      <c r="O925" s="242"/>
      <c r="P925" s="13"/>
      <c r="Q925" s="242"/>
      <c r="R925" s="13"/>
      <c r="S925" s="13"/>
      <c r="T925" s="242"/>
      <c r="U925" s="242"/>
      <c r="V925" s="242"/>
      <c r="W925" s="242"/>
      <c r="X925" s="242"/>
      <c r="Y925" s="242"/>
    </row>
    <row r="926">
      <c r="A926" s="242"/>
      <c r="B926" s="242"/>
      <c r="C926" s="242"/>
      <c r="D926" s="242"/>
      <c r="E926" s="242"/>
      <c r="F926" s="242"/>
      <c r="G926" s="671"/>
      <c r="H926" s="671"/>
      <c r="I926" s="242"/>
      <c r="J926" s="242"/>
      <c r="K926" s="242"/>
      <c r="L926" s="389"/>
      <c r="M926" s="389"/>
      <c r="N926" s="242"/>
      <c r="O926" s="242"/>
      <c r="P926" s="13"/>
      <c r="Q926" s="242"/>
      <c r="R926" s="13"/>
      <c r="S926" s="13"/>
      <c r="T926" s="242"/>
      <c r="U926" s="242"/>
      <c r="V926" s="242"/>
      <c r="W926" s="242"/>
      <c r="X926" s="242"/>
      <c r="Y926" s="242"/>
    </row>
    <row r="927">
      <c r="A927" s="242"/>
      <c r="B927" s="242"/>
      <c r="C927" s="242"/>
      <c r="D927" s="242"/>
      <c r="E927" s="242"/>
      <c r="F927" s="242"/>
      <c r="G927" s="671"/>
      <c r="H927" s="671"/>
      <c r="I927" s="242"/>
      <c r="J927" s="242"/>
      <c r="K927" s="242"/>
      <c r="L927" s="389"/>
      <c r="M927" s="389"/>
      <c r="N927" s="242"/>
      <c r="O927" s="242"/>
      <c r="P927" s="13"/>
      <c r="Q927" s="242"/>
      <c r="R927" s="13"/>
      <c r="S927" s="13"/>
      <c r="T927" s="242"/>
      <c r="U927" s="242"/>
      <c r="V927" s="242"/>
      <c r="W927" s="242"/>
      <c r="X927" s="242"/>
      <c r="Y927" s="242"/>
    </row>
    <row r="928">
      <c r="A928" s="242"/>
      <c r="B928" s="242"/>
      <c r="C928" s="242"/>
      <c r="D928" s="242"/>
      <c r="E928" s="242"/>
      <c r="F928" s="242"/>
      <c r="G928" s="671"/>
      <c r="H928" s="671"/>
      <c r="I928" s="242"/>
      <c r="J928" s="242"/>
      <c r="K928" s="242"/>
      <c r="L928" s="389"/>
      <c r="M928" s="389"/>
      <c r="N928" s="242"/>
      <c r="O928" s="242"/>
      <c r="P928" s="13"/>
      <c r="Q928" s="242"/>
      <c r="R928" s="13"/>
      <c r="S928" s="13"/>
      <c r="T928" s="242"/>
      <c r="U928" s="242"/>
      <c r="V928" s="242"/>
      <c r="W928" s="242"/>
      <c r="X928" s="242"/>
      <c r="Y928" s="242"/>
    </row>
    <row r="929">
      <c r="A929" s="242"/>
      <c r="B929" s="242"/>
      <c r="C929" s="242"/>
      <c r="D929" s="242"/>
      <c r="E929" s="242"/>
      <c r="F929" s="242"/>
      <c r="G929" s="671"/>
      <c r="H929" s="671"/>
      <c r="I929" s="242"/>
      <c r="J929" s="242"/>
      <c r="K929" s="242"/>
      <c r="L929" s="389"/>
      <c r="M929" s="389"/>
      <c r="N929" s="242"/>
      <c r="O929" s="242"/>
      <c r="P929" s="13"/>
      <c r="Q929" s="242"/>
      <c r="R929" s="13"/>
      <c r="S929" s="13"/>
      <c r="T929" s="242"/>
      <c r="U929" s="242"/>
      <c r="V929" s="242"/>
      <c r="W929" s="242"/>
      <c r="X929" s="242"/>
      <c r="Y929" s="242"/>
    </row>
    <row r="930">
      <c r="A930" s="242"/>
      <c r="B930" s="242"/>
      <c r="C930" s="242"/>
      <c r="D930" s="242"/>
      <c r="E930" s="242"/>
      <c r="F930" s="242"/>
      <c r="G930" s="671"/>
      <c r="H930" s="671"/>
      <c r="I930" s="242"/>
      <c r="J930" s="242"/>
      <c r="K930" s="242"/>
      <c r="L930" s="389"/>
      <c r="M930" s="389"/>
      <c r="N930" s="242"/>
      <c r="O930" s="242"/>
      <c r="P930" s="13"/>
      <c r="Q930" s="242"/>
      <c r="R930" s="13"/>
      <c r="S930" s="13"/>
      <c r="T930" s="242"/>
      <c r="U930" s="242"/>
      <c r="V930" s="242"/>
      <c r="W930" s="242"/>
      <c r="X930" s="242"/>
      <c r="Y930" s="242"/>
    </row>
    <row r="931">
      <c r="A931" s="242"/>
      <c r="B931" s="242"/>
      <c r="C931" s="242"/>
      <c r="D931" s="242"/>
      <c r="E931" s="242"/>
      <c r="F931" s="242"/>
      <c r="G931" s="671"/>
      <c r="H931" s="671"/>
      <c r="I931" s="242"/>
      <c r="J931" s="242"/>
      <c r="K931" s="242"/>
      <c r="L931" s="389"/>
      <c r="M931" s="389"/>
      <c r="N931" s="242"/>
      <c r="O931" s="242"/>
      <c r="P931" s="13"/>
      <c r="Q931" s="242"/>
      <c r="R931" s="13"/>
      <c r="S931" s="13"/>
      <c r="T931" s="242"/>
      <c r="U931" s="242"/>
      <c r="V931" s="242"/>
      <c r="W931" s="242"/>
      <c r="X931" s="242"/>
      <c r="Y931" s="242"/>
    </row>
    <row r="932">
      <c r="A932" s="242"/>
      <c r="B932" s="242"/>
      <c r="C932" s="242"/>
      <c r="D932" s="242"/>
      <c r="E932" s="242"/>
      <c r="F932" s="242"/>
      <c r="G932" s="671"/>
      <c r="H932" s="671"/>
      <c r="I932" s="242"/>
      <c r="J932" s="242"/>
      <c r="K932" s="242"/>
      <c r="L932" s="389"/>
      <c r="M932" s="389"/>
      <c r="N932" s="242"/>
      <c r="O932" s="242"/>
      <c r="P932" s="13"/>
      <c r="Q932" s="242"/>
      <c r="R932" s="13"/>
      <c r="S932" s="13"/>
      <c r="T932" s="242"/>
      <c r="U932" s="242"/>
      <c r="V932" s="242"/>
      <c r="W932" s="242"/>
      <c r="X932" s="242"/>
      <c r="Y932" s="242"/>
    </row>
    <row r="933">
      <c r="A933" s="242"/>
      <c r="B933" s="242"/>
      <c r="C933" s="242"/>
      <c r="D933" s="242"/>
      <c r="E933" s="242"/>
      <c r="F933" s="242"/>
      <c r="G933" s="671"/>
      <c r="H933" s="671"/>
      <c r="I933" s="242"/>
      <c r="J933" s="242"/>
      <c r="K933" s="242"/>
      <c r="L933" s="389"/>
      <c r="M933" s="389"/>
      <c r="N933" s="242"/>
      <c r="O933" s="242"/>
      <c r="P933" s="13"/>
      <c r="Q933" s="242"/>
      <c r="R933" s="13"/>
      <c r="S933" s="13"/>
      <c r="T933" s="242"/>
      <c r="U933" s="242"/>
      <c r="V933" s="242"/>
      <c r="W933" s="242"/>
      <c r="X933" s="242"/>
      <c r="Y933" s="242"/>
    </row>
    <row r="934">
      <c r="A934" s="242"/>
      <c r="B934" s="242"/>
      <c r="C934" s="242"/>
      <c r="D934" s="242"/>
      <c r="E934" s="242"/>
      <c r="F934" s="242"/>
      <c r="G934" s="671"/>
      <c r="H934" s="671"/>
      <c r="I934" s="242"/>
      <c r="J934" s="242"/>
      <c r="K934" s="242"/>
      <c r="L934" s="389"/>
      <c r="M934" s="389"/>
      <c r="N934" s="242"/>
      <c r="O934" s="242"/>
      <c r="P934" s="13"/>
      <c r="Q934" s="242"/>
      <c r="R934" s="13"/>
      <c r="S934" s="13"/>
      <c r="T934" s="242"/>
      <c r="U934" s="242"/>
      <c r="V934" s="242"/>
      <c r="W934" s="242"/>
      <c r="X934" s="242"/>
      <c r="Y934" s="242"/>
    </row>
    <row r="935">
      <c r="A935" s="242"/>
      <c r="B935" s="242"/>
      <c r="C935" s="242"/>
      <c r="D935" s="242"/>
      <c r="E935" s="242"/>
      <c r="F935" s="242"/>
      <c r="G935" s="671"/>
      <c r="H935" s="671"/>
      <c r="I935" s="242"/>
      <c r="J935" s="242"/>
      <c r="K935" s="242"/>
      <c r="L935" s="389"/>
      <c r="M935" s="389"/>
      <c r="N935" s="242"/>
      <c r="O935" s="242"/>
      <c r="P935" s="13"/>
      <c r="Q935" s="242"/>
      <c r="R935" s="13"/>
      <c r="S935" s="13"/>
      <c r="T935" s="242"/>
      <c r="U935" s="242"/>
      <c r="V935" s="242"/>
      <c r="W935" s="242"/>
      <c r="X935" s="242"/>
      <c r="Y935" s="242"/>
    </row>
    <row r="936">
      <c r="A936" s="242"/>
      <c r="B936" s="242"/>
      <c r="C936" s="242"/>
      <c r="D936" s="242"/>
      <c r="E936" s="242"/>
      <c r="F936" s="242"/>
      <c r="G936" s="671"/>
      <c r="H936" s="671"/>
      <c r="I936" s="242"/>
      <c r="J936" s="242"/>
      <c r="K936" s="242"/>
      <c r="L936" s="389"/>
      <c r="M936" s="389"/>
      <c r="N936" s="242"/>
      <c r="O936" s="242"/>
      <c r="P936" s="13"/>
      <c r="Q936" s="242"/>
      <c r="R936" s="13"/>
      <c r="S936" s="13"/>
      <c r="T936" s="242"/>
      <c r="U936" s="242"/>
      <c r="V936" s="242"/>
      <c r="W936" s="242"/>
      <c r="X936" s="242"/>
      <c r="Y936" s="242"/>
    </row>
    <row r="937">
      <c r="A937" s="242"/>
      <c r="B937" s="242"/>
      <c r="C937" s="242"/>
      <c r="D937" s="242"/>
      <c r="E937" s="242"/>
      <c r="F937" s="242"/>
      <c r="G937" s="671"/>
      <c r="H937" s="671"/>
      <c r="I937" s="242"/>
      <c r="J937" s="242"/>
      <c r="K937" s="242"/>
      <c r="L937" s="389"/>
      <c r="M937" s="389"/>
      <c r="N937" s="242"/>
      <c r="O937" s="242"/>
      <c r="P937" s="13"/>
      <c r="Q937" s="242"/>
      <c r="R937" s="13"/>
      <c r="S937" s="13"/>
      <c r="T937" s="242"/>
      <c r="U937" s="242"/>
      <c r="V937" s="242"/>
      <c r="W937" s="242"/>
      <c r="X937" s="242"/>
      <c r="Y937" s="242"/>
    </row>
    <row r="938">
      <c r="A938" s="242"/>
      <c r="B938" s="242"/>
      <c r="C938" s="242"/>
      <c r="D938" s="242"/>
      <c r="E938" s="242"/>
      <c r="F938" s="242"/>
      <c r="G938" s="671"/>
      <c r="H938" s="671"/>
      <c r="I938" s="242"/>
      <c r="J938" s="242"/>
      <c r="K938" s="242"/>
      <c r="L938" s="389"/>
      <c r="M938" s="389"/>
      <c r="N938" s="242"/>
      <c r="O938" s="242"/>
      <c r="P938" s="13"/>
      <c r="Q938" s="242"/>
      <c r="R938" s="13"/>
      <c r="S938" s="13"/>
      <c r="T938" s="242"/>
      <c r="U938" s="242"/>
      <c r="V938" s="242"/>
      <c r="W938" s="242"/>
      <c r="X938" s="242"/>
      <c r="Y938" s="242"/>
    </row>
    <row r="939">
      <c r="A939" s="242"/>
      <c r="B939" s="242"/>
      <c r="C939" s="242"/>
      <c r="D939" s="242"/>
      <c r="E939" s="242"/>
      <c r="F939" s="242"/>
      <c r="G939" s="671"/>
      <c r="H939" s="671"/>
      <c r="I939" s="242"/>
      <c r="J939" s="242"/>
      <c r="K939" s="242"/>
      <c r="L939" s="389"/>
      <c r="M939" s="389"/>
      <c r="N939" s="242"/>
      <c r="O939" s="242"/>
      <c r="P939" s="13"/>
      <c r="Q939" s="242"/>
      <c r="R939" s="13"/>
      <c r="S939" s="13"/>
      <c r="T939" s="242"/>
      <c r="U939" s="242"/>
      <c r="V939" s="242"/>
      <c r="W939" s="242"/>
      <c r="X939" s="242"/>
      <c r="Y939" s="242"/>
    </row>
    <row r="940">
      <c r="A940" s="242"/>
      <c r="B940" s="242"/>
      <c r="C940" s="242"/>
      <c r="D940" s="242"/>
      <c r="E940" s="242"/>
      <c r="F940" s="242"/>
      <c r="G940" s="671"/>
      <c r="H940" s="671"/>
      <c r="I940" s="242"/>
      <c r="J940" s="242"/>
      <c r="K940" s="242"/>
      <c r="L940" s="389"/>
      <c r="M940" s="389"/>
      <c r="N940" s="242"/>
      <c r="O940" s="242"/>
      <c r="P940" s="13"/>
      <c r="Q940" s="242"/>
      <c r="R940" s="13"/>
      <c r="S940" s="13"/>
      <c r="T940" s="242"/>
      <c r="U940" s="242"/>
      <c r="V940" s="242"/>
      <c r="W940" s="242"/>
      <c r="X940" s="242"/>
      <c r="Y940" s="242"/>
    </row>
    <row r="941">
      <c r="A941" s="242"/>
      <c r="B941" s="242"/>
      <c r="C941" s="242"/>
      <c r="D941" s="242"/>
      <c r="E941" s="242"/>
      <c r="F941" s="242"/>
      <c r="G941" s="671"/>
      <c r="H941" s="671"/>
      <c r="I941" s="242"/>
      <c r="J941" s="242"/>
      <c r="K941" s="242"/>
      <c r="L941" s="389"/>
      <c r="M941" s="389"/>
      <c r="N941" s="242"/>
      <c r="O941" s="242"/>
      <c r="P941" s="13"/>
      <c r="Q941" s="242"/>
      <c r="R941" s="13"/>
      <c r="S941" s="13"/>
      <c r="T941" s="242"/>
      <c r="U941" s="242"/>
      <c r="V941" s="242"/>
      <c r="W941" s="242"/>
      <c r="X941" s="242"/>
      <c r="Y941" s="242"/>
    </row>
    <row r="942">
      <c r="A942" s="242"/>
      <c r="B942" s="242"/>
      <c r="C942" s="242"/>
      <c r="D942" s="242"/>
      <c r="E942" s="242"/>
      <c r="F942" s="242"/>
      <c r="G942" s="671"/>
      <c r="H942" s="671"/>
      <c r="I942" s="242"/>
      <c r="J942" s="242"/>
      <c r="K942" s="242"/>
      <c r="L942" s="389"/>
      <c r="M942" s="389"/>
      <c r="N942" s="242"/>
      <c r="O942" s="242"/>
      <c r="P942" s="13"/>
      <c r="Q942" s="242"/>
      <c r="R942" s="13"/>
      <c r="S942" s="13"/>
      <c r="T942" s="242"/>
      <c r="U942" s="242"/>
      <c r="V942" s="242"/>
      <c r="W942" s="242"/>
      <c r="X942" s="242"/>
      <c r="Y942" s="242"/>
    </row>
    <row r="943">
      <c r="A943" s="242"/>
      <c r="B943" s="242"/>
      <c r="C943" s="242"/>
      <c r="D943" s="242"/>
      <c r="E943" s="242"/>
      <c r="F943" s="242"/>
      <c r="G943" s="671"/>
      <c r="H943" s="671"/>
      <c r="I943" s="242"/>
      <c r="J943" s="242"/>
      <c r="K943" s="242"/>
      <c r="L943" s="389"/>
      <c r="M943" s="389"/>
      <c r="N943" s="242"/>
      <c r="O943" s="242"/>
      <c r="P943" s="13"/>
      <c r="Q943" s="242"/>
      <c r="R943" s="13"/>
      <c r="S943" s="13"/>
      <c r="T943" s="242"/>
      <c r="U943" s="242"/>
      <c r="V943" s="242"/>
      <c r="W943" s="242"/>
      <c r="X943" s="242"/>
      <c r="Y943" s="242"/>
    </row>
    <row r="944">
      <c r="A944" s="242"/>
      <c r="B944" s="242"/>
      <c r="C944" s="242"/>
      <c r="D944" s="242"/>
      <c r="E944" s="242"/>
      <c r="F944" s="242"/>
      <c r="G944" s="671"/>
      <c r="H944" s="671"/>
      <c r="I944" s="242"/>
      <c r="J944" s="242"/>
      <c r="K944" s="242"/>
      <c r="L944" s="389"/>
      <c r="M944" s="389"/>
      <c r="N944" s="242"/>
      <c r="O944" s="242"/>
      <c r="P944" s="13"/>
      <c r="Q944" s="242"/>
      <c r="R944" s="13"/>
      <c r="S944" s="13"/>
      <c r="T944" s="242"/>
      <c r="U944" s="242"/>
      <c r="V944" s="242"/>
      <c r="W944" s="242"/>
      <c r="X944" s="242"/>
      <c r="Y944" s="242"/>
    </row>
    <row r="945">
      <c r="A945" s="242"/>
      <c r="B945" s="242"/>
      <c r="C945" s="242"/>
      <c r="D945" s="242"/>
      <c r="E945" s="242"/>
      <c r="F945" s="242"/>
      <c r="G945" s="671"/>
      <c r="H945" s="671"/>
      <c r="I945" s="242"/>
      <c r="J945" s="242"/>
      <c r="K945" s="242"/>
      <c r="L945" s="389"/>
      <c r="M945" s="389"/>
      <c r="N945" s="242"/>
      <c r="O945" s="242"/>
      <c r="P945" s="13"/>
      <c r="Q945" s="242"/>
      <c r="R945" s="13"/>
      <c r="S945" s="13"/>
      <c r="T945" s="242"/>
      <c r="U945" s="242"/>
      <c r="V945" s="242"/>
      <c r="W945" s="242"/>
      <c r="X945" s="242"/>
      <c r="Y945" s="242"/>
    </row>
    <row r="946">
      <c r="A946" s="242"/>
      <c r="B946" s="242"/>
      <c r="C946" s="242"/>
      <c r="D946" s="242"/>
      <c r="E946" s="242"/>
      <c r="F946" s="242"/>
      <c r="G946" s="671"/>
      <c r="H946" s="671"/>
      <c r="I946" s="242"/>
      <c r="J946" s="242"/>
      <c r="K946" s="242"/>
      <c r="L946" s="389"/>
      <c r="M946" s="389"/>
      <c r="N946" s="242"/>
      <c r="O946" s="242"/>
      <c r="P946" s="13"/>
      <c r="Q946" s="242"/>
      <c r="R946" s="13"/>
      <c r="S946" s="13"/>
      <c r="T946" s="242"/>
      <c r="U946" s="242"/>
      <c r="V946" s="242"/>
      <c r="W946" s="242"/>
      <c r="X946" s="242"/>
      <c r="Y946" s="242"/>
    </row>
    <row r="947">
      <c r="A947" s="242"/>
      <c r="B947" s="242"/>
      <c r="C947" s="242"/>
      <c r="D947" s="242"/>
      <c r="E947" s="242"/>
      <c r="F947" s="242"/>
      <c r="G947" s="671"/>
      <c r="H947" s="671"/>
      <c r="I947" s="242"/>
      <c r="J947" s="242"/>
      <c r="K947" s="242"/>
      <c r="L947" s="389"/>
      <c r="M947" s="389"/>
      <c r="N947" s="242"/>
      <c r="O947" s="242"/>
      <c r="P947" s="13"/>
      <c r="Q947" s="242"/>
      <c r="R947" s="13"/>
      <c r="S947" s="13"/>
      <c r="T947" s="242"/>
      <c r="U947" s="242"/>
      <c r="V947" s="242"/>
      <c r="W947" s="242"/>
      <c r="X947" s="242"/>
      <c r="Y947" s="242"/>
    </row>
    <row r="948">
      <c r="A948" s="242"/>
      <c r="B948" s="242"/>
      <c r="C948" s="242"/>
      <c r="D948" s="242"/>
      <c r="E948" s="242"/>
      <c r="F948" s="242"/>
      <c r="G948" s="671"/>
      <c r="H948" s="671"/>
      <c r="I948" s="242"/>
      <c r="J948" s="242"/>
      <c r="K948" s="242"/>
      <c r="L948" s="389"/>
      <c r="M948" s="389"/>
      <c r="N948" s="242"/>
      <c r="O948" s="242"/>
      <c r="P948" s="13"/>
      <c r="Q948" s="242"/>
      <c r="R948" s="13"/>
      <c r="S948" s="13"/>
      <c r="T948" s="242"/>
      <c r="U948" s="242"/>
      <c r="V948" s="242"/>
      <c r="W948" s="242"/>
      <c r="X948" s="242"/>
      <c r="Y948" s="242"/>
    </row>
    <row r="949">
      <c r="A949" s="242"/>
      <c r="B949" s="242"/>
      <c r="C949" s="242"/>
      <c r="D949" s="242"/>
      <c r="E949" s="242"/>
      <c r="F949" s="242"/>
      <c r="G949" s="671"/>
      <c r="H949" s="671"/>
      <c r="I949" s="242"/>
      <c r="J949" s="242"/>
      <c r="K949" s="242"/>
      <c r="L949" s="389"/>
      <c r="M949" s="389"/>
      <c r="N949" s="242"/>
      <c r="O949" s="242"/>
      <c r="P949" s="13"/>
      <c r="Q949" s="242"/>
      <c r="R949" s="13"/>
      <c r="S949" s="13"/>
      <c r="T949" s="242"/>
      <c r="U949" s="242"/>
      <c r="V949" s="242"/>
      <c r="W949" s="242"/>
      <c r="X949" s="242"/>
      <c r="Y949" s="242"/>
    </row>
    <row r="950">
      <c r="A950" s="242"/>
      <c r="B950" s="242"/>
      <c r="C950" s="242"/>
      <c r="D950" s="242"/>
      <c r="E950" s="242"/>
      <c r="F950" s="242"/>
      <c r="G950" s="671"/>
      <c r="H950" s="671"/>
      <c r="I950" s="242"/>
      <c r="J950" s="242"/>
      <c r="K950" s="242"/>
      <c r="L950" s="389"/>
      <c r="M950" s="389"/>
      <c r="N950" s="242"/>
      <c r="O950" s="242"/>
      <c r="P950" s="13"/>
      <c r="Q950" s="242"/>
      <c r="R950" s="13"/>
      <c r="S950" s="13"/>
      <c r="T950" s="242"/>
      <c r="U950" s="242"/>
      <c r="V950" s="242"/>
      <c r="W950" s="242"/>
      <c r="X950" s="242"/>
      <c r="Y950" s="242"/>
    </row>
    <row r="951">
      <c r="A951" s="242"/>
      <c r="B951" s="242"/>
      <c r="C951" s="242"/>
      <c r="D951" s="242"/>
      <c r="E951" s="242"/>
      <c r="F951" s="242"/>
      <c r="G951" s="671"/>
      <c r="H951" s="671"/>
      <c r="I951" s="242"/>
      <c r="J951" s="242"/>
      <c r="K951" s="242"/>
      <c r="L951" s="389"/>
      <c r="M951" s="389"/>
      <c r="N951" s="242"/>
      <c r="O951" s="242"/>
      <c r="P951" s="13"/>
      <c r="Q951" s="242"/>
      <c r="R951" s="13"/>
      <c r="S951" s="13"/>
      <c r="T951" s="242"/>
      <c r="U951" s="242"/>
      <c r="V951" s="242"/>
      <c r="W951" s="242"/>
      <c r="X951" s="242"/>
      <c r="Y951" s="242"/>
    </row>
    <row r="952">
      <c r="A952" s="242"/>
      <c r="B952" s="242"/>
      <c r="C952" s="242"/>
      <c r="D952" s="242"/>
      <c r="E952" s="242"/>
      <c r="F952" s="242"/>
      <c r="G952" s="671"/>
      <c r="H952" s="671"/>
      <c r="I952" s="242"/>
      <c r="J952" s="242"/>
      <c r="K952" s="242"/>
      <c r="L952" s="389"/>
      <c r="M952" s="389"/>
      <c r="N952" s="242"/>
      <c r="O952" s="242"/>
      <c r="P952" s="13"/>
      <c r="Q952" s="242"/>
      <c r="R952" s="13"/>
      <c r="S952" s="13"/>
      <c r="T952" s="242"/>
      <c r="U952" s="242"/>
      <c r="V952" s="242"/>
      <c r="W952" s="242"/>
      <c r="X952" s="242"/>
      <c r="Y952" s="242"/>
    </row>
    <row r="953">
      <c r="A953" s="242"/>
      <c r="B953" s="242"/>
      <c r="C953" s="242"/>
      <c r="D953" s="242"/>
      <c r="E953" s="242"/>
      <c r="F953" s="242"/>
      <c r="G953" s="671"/>
      <c r="H953" s="671"/>
      <c r="I953" s="242"/>
      <c r="J953" s="242"/>
      <c r="K953" s="242"/>
      <c r="L953" s="389"/>
      <c r="M953" s="389"/>
      <c r="N953" s="242"/>
      <c r="O953" s="242"/>
      <c r="P953" s="13"/>
      <c r="Q953" s="242"/>
      <c r="R953" s="13"/>
      <c r="S953" s="13"/>
      <c r="T953" s="242"/>
      <c r="U953" s="242"/>
      <c r="V953" s="242"/>
      <c r="W953" s="242"/>
      <c r="X953" s="242"/>
      <c r="Y953" s="242"/>
    </row>
    <row r="954">
      <c r="A954" s="242"/>
      <c r="B954" s="242"/>
      <c r="C954" s="242"/>
      <c r="D954" s="242"/>
      <c r="E954" s="242"/>
      <c r="F954" s="242"/>
      <c r="G954" s="671"/>
      <c r="H954" s="671"/>
      <c r="I954" s="242"/>
      <c r="J954" s="242"/>
      <c r="K954" s="242"/>
      <c r="L954" s="389"/>
      <c r="M954" s="389"/>
      <c r="N954" s="242"/>
      <c r="O954" s="242"/>
      <c r="P954" s="13"/>
      <c r="Q954" s="242"/>
      <c r="R954" s="13"/>
      <c r="S954" s="13"/>
      <c r="T954" s="242"/>
      <c r="U954" s="242"/>
      <c r="V954" s="242"/>
      <c r="W954" s="242"/>
      <c r="X954" s="242"/>
      <c r="Y954" s="242"/>
    </row>
    <row r="955">
      <c r="A955" s="242"/>
      <c r="B955" s="242"/>
      <c r="C955" s="242"/>
      <c r="D955" s="242"/>
      <c r="E955" s="242"/>
      <c r="F955" s="242"/>
      <c r="G955" s="671"/>
      <c r="H955" s="671"/>
      <c r="I955" s="242"/>
      <c r="J955" s="242"/>
      <c r="K955" s="242"/>
      <c r="L955" s="389"/>
      <c r="M955" s="389"/>
      <c r="N955" s="242"/>
      <c r="O955" s="242"/>
      <c r="P955" s="13"/>
      <c r="Q955" s="242"/>
      <c r="R955" s="13"/>
      <c r="S955" s="13"/>
      <c r="T955" s="242"/>
      <c r="U955" s="242"/>
      <c r="V955" s="242"/>
      <c r="W955" s="242"/>
      <c r="X955" s="242"/>
      <c r="Y955" s="242"/>
    </row>
    <row r="956">
      <c r="A956" s="242"/>
      <c r="B956" s="242"/>
      <c r="C956" s="242"/>
      <c r="D956" s="242"/>
      <c r="E956" s="242"/>
      <c r="F956" s="242"/>
      <c r="G956" s="671"/>
      <c r="H956" s="671"/>
      <c r="I956" s="242"/>
      <c r="J956" s="242"/>
      <c r="K956" s="242"/>
      <c r="L956" s="389"/>
      <c r="M956" s="389"/>
      <c r="N956" s="242"/>
      <c r="O956" s="242"/>
      <c r="P956" s="13"/>
      <c r="Q956" s="242"/>
      <c r="R956" s="13"/>
      <c r="S956" s="13"/>
      <c r="T956" s="242"/>
      <c r="U956" s="242"/>
      <c r="V956" s="242"/>
      <c r="W956" s="242"/>
      <c r="X956" s="242"/>
      <c r="Y956" s="242"/>
    </row>
    <row r="957">
      <c r="A957" s="242"/>
      <c r="B957" s="242"/>
      <c r="C957" s="242"/>
      <c r="D957" s="242"/>
      <c r="E957" s="242"/>
      <c r="F957" s="242"/>
      <c r="G957" s="671"/>
      <c r="H957" s="671"/>
      <c r="I957" s="242"/>
      <c r="J957" s="242"/>
      <c r="K957" s="242"/>
      <c r="L957" s="389"/>
      <c r="M957" s="389"/>
      <c r="N957" s="242"/>
      <c r="O957" s="242"/>
      <c r="P957" s="13"/>
      <c r="Q957" s="242"/>
      <c r="R957" s="13"/>
      <c r="S957" s="13"/>
      <c r="T957" s="242"/>
      <c r="U957" s="242"/>
      <c r="V957" s="242"/>
      <c r="W957" s="242"/>
      <c r="X957" s="242"/>
      <c r="Y957" s="242"/>
    </row>
    <row r="958">
      <c r="A958" s="242"/>
      <c r="B958" s="242"/>
      <c r="C958" s="242"/>
      <c r="D958" s="242"/>
      <c r="E958" s="242"/>
      <c r="F958" s="242"/>
      <c r="G958" s="671"/>
      <c r="H958" s="671"/>
      <c r="I958" s="242"/>
      <c r="J958" s="242"/>
      <c r="K958" s="242"/>
      <c r="L958" s="389"/>
      <c r="M958" s="389"/>
      <c r="N958" s="242"/>
      <c r="O958" s="242"/>
      <c r="P958" s="13"/>
      <c r="Q958" s="242"/>
      <c r="R958" s="13"/>
      <c r="S958" s="13"/>
      <c r="T958" s="242"/>
      <c r="U958" s="242"/>
      <c r="V958" s="242"/>
      <c r="W958" s="242"/>
      <c r="X958" s="242"/>
      <c r="Y958" s="242"/>
    </row>
    <row r="959">
      <c r="A959" s="242"/>
      <c r="B959" s="242"/>
      <c r="C959" s="242"/>
      <c r="D959" s="242"/>
      <c r="E959" s="242"/>
      <c r="F959" s="242"/>
      <c r="G959" s="671"/>
      <c r="H959" s="671"/>
      <c r="I959" s="242"/>
      <c r="J959" s="242"/>
      <c r="K959" s="242"/>
      <c r="L959" s="389"/>
      <c r="M959" s="389"/>
      <c r="N959" s="242"/>
      <c r="O959" s="242"/>
      <c r="P959" s="13"/>
      <c r="Q959" s="242"/>
      <c r="R959" s="13"/>
      <c r="S959" s="13"/>
      <c r="T959" s="242"/>
      <c r="U959" s="242"/>
      <c r="V959" s="242"/>
      <c r="W959" s="242"/>
      <c r="X959" s="242"/>
      <c r="Y959" s="242"/>
    </row>
    <row r="960">
      <c r="A960" s="242"/>
      <c r="B960" s="242"/>
      <c r="C960" s="242"/>
      <c r="D960" s="242"/>
      <c r="E960" s="242"/>
      <c r="F960" s="242"/>
      <c r="G960" s="671"/>
      <c r="H960" s="671"/>
      <c r="I960" s="242"/>
      <c r="J960" s="242"/>
      <c r="K960" s="242"/>
      <c r="L960" s="389"/>
      <c r="M960" s="389"/>
      <c r="N960" s="242"/>
      <c r="O960" s="242"/>
      <c r="P960" s="13"/>
      <c r="Q960" s="242"/>
      <c r="R960" s="13"/>
      <c r="S960" s="13"/>
      <c r="T960" s="242"/>
      <c r="U960" s="242"/>
      <c r="V960" s="242"/>
      <c r="W960" s="242"/>
      <c r="X960" s="242"/>
      <c r="Y960" s="242"/>
    </row>
    <row r="961">
      <c r="A961" s="242"/>
      <c r="B961" s="242"/>
      <c r="C961" s="242"/>
      <c r="D961" s="242"/>
      <c r="E961" s="242"/>
      <c r="F961" s="242"/>
      <c r="G961" s="671"/>
      <c r="H961" s="671"/>
      <c r="I961" s="242"/>
      <c r="J961" s="242"/>
      <c r="K961" s="242"/>
      <c r="L961" s="389"/>
      <c r="M961" s="389"/>
      <c r="N961" s="242"/>
      <c r="O961" s="242"/>
      <c r="P961" s="13"/>
      <c r="Q961" s="242"/>
      <c r="R961" s="13"/>
      <c r="S961" s="13"/>
      <c r="T961" s="242"/>
      <c r="U961" s="242"/>
      <c r="V961" s="242"/>
      <c r="W961" s="242"/>
      <c r="X961" s="242"/>
      <c r="Y961" s="242"/>
    </row>
    <row r="962">
      <c r="A962" s="242"/>
      <c r="B962" s="242"/>
      <c r="C962" s="242"/>
      <c r="D962" s="242"/>
      <c r="E962" s="242"/>
      <c r="F962" s="242"/>
      <c r="G962" s="671"/>
      <c r="H962" s="671"/>
      <c r="I962" s="242"/>
      <c r="J962" s="242"/>
      <c r="K962" s="242"/>
      <c r="L962" s="389"/>
      <c r="M962" s="389"/>
      <c r="N962" s="242"/>
      <c r="O962" s="242"/>
      <c r="P962" s="13"/>
      <c r="Q962" s="242"/>
      <c r="R962" s="13"/>
      <c r="S962" s="13"/>
      <c r="T962" s="242"/>
      <c r="U962" s="242"/>
      <c r="V962" s="242"/>
      <c r="W962" s="242"/>
      <c r="X962" s="242"/>
      <c r="Y962" s="242"/>
    </row>
    <row r="963">
      <c r="A963" s="242"/>
      <c r="B963" s="242"/>
      <c r="C963" s="242"/>
      <c r="D963" s="242"/>
      <c r="E963" s="242"/>
      <c r="F963" s="242"/>
      <c r="G963" s="671"/>
      <c r="H963" s="671"/>
      <c r="I963" s="242"/>
      <c r="J963" s="242"/>
      <c r="K963" s="242"/>
      <c r="L963" s="389"/>
      <c r="M963" s="389"/>
      <c r="N963" s="242"/>
      <c r="O963" s="242"/>
      <c r="P963" s="13"/>
      <c r="Q963" s="242"/>
      <c r="R963" s="13"/>
      <c r="S963" s="13"/>
      <c r="T963" s="242"/>
      <c r="U963" s="242"/>
      <c r="V963" s="242"/>
      <c r="W963" s="242"/>
      <c r="X963" s="242"/>
      <c r="Y963" s="242"/>
    </row>
    <row r="964">
      <c r="A964" s="242"/>
      <c r="B964" s="242"/>
      <c r="C964" s="242"/>
      <c r="D964" s="242"/>
      <c r="E964" s="242"/>
      <c r="F964" s="242"/>
      <c r="G964" s="671"/>
      <c r="H964" s="671"/>
      <c r="I964" s="242"/>
      <c r="J964" s="242"/>
      <c r="K964" s="242"/>
      <c r="L964" s="389"/>
      <c r="M964" s="389"/>
      <c r="N964" s="242"/>
      <c r="O964" s="242"/>
      <c r="P964" s="13"/>
      <c r="Q964" s="242"/>
      <c r="R964" s="13"/>
      <c r="S964" s="13"/>
      <c r="T964" s="242"/>
      <c r="U964" s="242"/>
      <c r="V964" s="242"/>
      <c r="W964" s="242"/>
      <c r="X964" s="242"/>
      <c r="Y964" s="242"/>
    </row>
    <row r="965">
      <c r="A965" s="242"/>
      <c r="B965" s="242"/>
      <c r="C965" s="242"/>
      <c r="D965" s="242"/>
      <c r="E965" s="242"/>
      <c r="F965" s="242"/>
      <c r="G965" s="671"/>
      <c r="H965" s="671"/>
      <c r="I965" s="242"/>
      <c r="J965" s="242"/>
      <c r="K965" s="242"/>
      <c r="L965" s="389"/>
      <c r="M965" s="389"/>
      <c r="N965" s="242"/>
      <c r="O965" s="242"/>
      <c r="P965" s="13"/>
      <c r="Q965" s="242"/>
      <c r="R965" s="13"/>
      <c r="S965" s="13"/>
      <c r="T965" s="242"/>
      <c r="U965" s="242"/>
      <c r="V965" s="242"/>
      <c r="W965" s="242"/>
      <c r="X965" s="242"/>
      <c r="Y965" s="242"/>
    </row>
    <row r="966">
      <c r="A966" s="242"/>
      <c r="B966" s="242"/>
      <c r="C966" s="242"/>
      <c r="D966" s="242"/>
      <c r="E966" s="242"/>
      <c r="F966" s="242"/>
      <c r="G966" s="671"/>
      <c r="H966" s="671"/>
      <c r="I966" s="242"/>
      <c r="J966" s="242"/>
      <c r="K966" s="242"/>
      <c r="L966" s="389"/>
      <c r="M966" s="389"/>
      <c r="N966" s="242"/>
      <c r="O966" s="242"/>
      <c r="P966" s="13"/>
      <c r="Q966" s="242"/>
      <c r="R966" s="13"/>
      <c r="S966" s="13"/>
      <c r="T966" s="242"/>
      <c r="U966" s="242"/>
      <c r="V966" s="242"/>
      <c r="W966" s="242"/>
      <c r="X966" s="242"/>
      <c r="Y966" s="242"/>
    </row>
    <row r="967">
      <c r="A967" s="242"/>
      <c r="B967" s="242"/>
      <c r="C967" s="242"/>
      <c r="D967" s="242"/>
      <c r="E967" s="242"/>
      <c r="F967" s="242"/>
      <c r="G967" s="671"/>
      <c r="H967" s="671"/>
      <c r="I967" s="242"/>
      <c r="J967" s="242"/>
      <c r="K967" s="242"/>
      <c r="L967" s="389"/>
      <c r="M967" s="389"/>
      <c r="N967" s="242"/>
      <c r="O967" s="242"/>
      <c r="P967" s="13"/>
      <c r="Q967" s="242"/>
      <c r="R967" s="13"/>
      <c r="S967" s="13"/>
      <c r="T967" s="242"/>
      <c r="U967" s="242"/>
      <c r="V967" s="242"/>
      <c r="W967" s="242"/>
      <c r="X967" s="242"/>
      <c r="Y967" s="242"/>
    </row>
    <row r="968">
      <c r="A968" s="242"/>
      <c r="B968" s="242"/>
      <c r="C968" s="242"/>
      <c r="D968" s="242"/>
      <c r="E968" s="242"/>
      <c r="F968" s="242"/>
      <c r="G968" s="671"/>
      <c r="H968" s="671"/>
      <c r="I968" s="242"/>
      <c r="J968" s="242"/>
      <c r="K968" s="242"/>
      <c r="L968" s="389"/>
      <c r="M968" s="389"/>
      <c r="N968" s="242"/>
      <c r="O968" s="242"/>
      <c r="P968" s="13"/>
      <c r="Q968" s="242"/>
      <c r="R968" s="13"/>
      <c r="S968" s="13"/>
      <c r="T968" s="242"/>
      <c r="U968" s="242"/>
      <c r="V968" s="242"/>
      <c r="W968" s="242"/>
      <c r="X968" s="242"/>
      <c r="Y968" s="242"/>
    </row>
    <row r="969">
      <c r="A969" s="242"/>
      <c r="B969" s="242"/>
      <c r="C969" s="242"/>
      <c r="D969" s="242"/>
      <c r="E969" s="242"/>
      <c r="F969" s="242"/>
      <c r="G969" s="671"/>
      <c r="H969" s="671"/>
      <c r="I969" s="242"/>
      <c r="J969" s="242"/>
      <c r="K969" s="242"/>
      <c r="L969" s="389"/>
      <c r="M969" s="389"/>
      <c r="N969" s="242"/>
      <c r="O969" s="242"/>
      <c r="P969" s="13"/>
      <c r="Q969" s="242"/>
      <c r="R969" s="13"/>
      <c r="S969" s="13"/>
      <c r="T969" s="242"/>
      <c r="U969" s="242"/>
      <c r="V969" s="242"/>
      <c r="W969" s="242"/>
      <c r="X969" s="242"/>
      <c r="Y969" s="242"/>
    </row>
    <row r="970">
      <c r="A970" s="242"/>
      <c r="B970" s="242"/>
      <c r="C970" s="242"/>
      <c r="D970" s="242"/>
      <c r="E970" s="242"/>
      <c r="F970" s="242"/>
      <c r="G970" s="671"/>
      <c r="H970" s="671"/>
      <c r="I970" s="242"/>
      <c r="J970" s="242"/>
      <c r="K970" s="242"/>
      <c r="L970" s="389"/>
      <c r="M970" s="389"/>
      <c r="N970" s="242"/>
      <c r="O970" s="242"/>
      <c r="P970" s="13"/>
      <c r="Q970" s="242"/>
      <c r="R970" s="13"/>
      <c r="S970" s="13"/>
      <c r="T970" s="242"/>
      <c r="U970" s="242"/>
      <c r="V970" s="242"/>
      <c r="W970" s="242"/>
      <c r="X970" s="242"/>
      <c r="Y970" s="242"/>
    </row>
    <row r="971">
      <c r="A971" s="242"/>
      <c r="B971" s="242"/>
      <c r="C971" s="242"/>
      <c r="D971" s="242"/>
      <c r="E971" s="242"/>
      <c r="F971" s="242"/>
      <c r="G971" s="671"/>
      <c r="H971" s="671"/>
      <c r="I971" s="242"/>
      <c r="J971" s="242"/>
      <c r="K971" s="242"/>
      <c r="L971" s="389"/>
      <c r="M971" s="389"/>
      <c r="N971" s="242"/>
      <c r="O971" s="242"/>
      <c r="P971" s="13"/>
      <c r="Q971" s="242"/>
      <c r="R971" s="13"/>
      <c r="S971" s="13"/>
      <c r="T971" s="242"/>
      <c r="U971" s="242"/>
      <c r="V971" s="242"/>
      <c r="W971" s="242"/>
      <c r="X971" s="242"/>
      <c r="Y971" s="242"/>
    </row>
    <row r="972">
      <c r="A972" s="242"/>
      <c r="B972" s="242"/>
      <c r="C972" s="242"/>
      <c r="D972" s="242"/>
      <c r="E972" s="242"/>
      <c r="F972" s="242"/>
      <c r="G972" s="671"/>
      <c r="H972" s="671"/>
      <c r="I972" s="242"/>
      <c r="J972" s="242"/>
      <c r="K972" s="242"/>
      <c r="L972" s="389"/>
      <c r="M972" s="389"/>
      <c r="N972" s="242"/>
      <c r="O972" s="242"/>
      <c r="P972" s="13"/>
      <c r="Q972" s="242"/>
      <c r="R972" s="13"/>
      <c r="S972" s="13"/>
      <c r="T972" s="242"/>
      <c r="U972" s="242"/>
      <c r="V972" s="242"/>
      <c r="W972" s="242"/>
      <c r="X972" s="242"/>
      <c r="Y972" s="242"/>
    </row>
    <row r="973">
      <c r="A973" s="242"/>
      <c r="B973" s="242"/>
      <c r="C973" s="242"/>
      <c r="D973" s="242"/>
      <c r="E973" s="242"/>
      <c r="F973" s="242"/>
      <c r="G973" s="671"/>
      <c r="H973" s="671"/>
      <c r="I973" s="242"/>
      <c r="J973" s="242"/>
      <c r="K973" s="242"/>
      <c r="L973" s="389"/>
      <c r="M973" s="389"/>
      <c r="N973" s="242"/>
      <c r="O973" s="242"/>
      <c r="P973" s="13"/>
      <c r="Q973" s="242"/>
      <c r="R973" s="13"/>
      <c r="S973" s="13"/>
      <c r="T973" s="242"/>
      <c r="U973" s="242"/>
      <c r="V973" s="242"/>
      <c r="W973" s="242"/>
      <c r="X973" s="242"/>
      <c r="Y973" s="242"/>
    </row>
    <row r="974">
      <c r="A974" s="242"/>
      <c r="B974" s="242"/>
      <c r="C974" s="242"/>
      <c r="D974" s="242"/>
      <c r="E974" s="242"/>
      <c r="F974" s="242"/>
      <c r="G974" s="671"/>
      <c r="H974" s="671"/>
      <c r="I974" s="242"/>
      <c r="J974" s="242"/>
      <c r="K974" s="242"/>
      <c r="L974" s="389"/>
      <c r="M974" s="389"/>
      <c r="N974" s="242"/>
      <c r="O974" s="242"/>
      <c r="P974" s="13"/>
      <c r="Q974" s="242"/>
      <c r="R974" s="13"/>
      <c r="S974" s="13"/>
      <c r="T974" s="242"/>
      <c r="U974" s="242"/>
      <c r="V974" s="242"/>
      <c r="W974" s="242"/>
      <c r="X974" s="242"/>
      <c r="Y974" s="242"/>
    </row>
    <row r="975">
      <c r="A975" s="242"/>
      <c r="B975" s="242"/>
      <c r="C975" s="242"/>
      <c r="D975" s="242"/>
      <c r="E975" s="242"/>
      <c r="F975" s="242"/>
      <c r="G975" s="671"/>
      <c r="H975" s="671"/>
      <c r="I975" s="242"/>
      <c r="J975" s="242"/>
      <c r="K975" s="242"/>
      <c r="L975" s="389"/>
      <c r="M975" s="389"/>
      <c r="N975" s="242"/>
      <c r="O975" s="242"/>
      <c r="P975" s="13"/>
      <c r="Q975" s="242"/>
      <c r="R975" s="13"/>
      <c r="S975" s="13"/>
      <c r="T975" s="242"/>
      <c r="U975" s="242"/>
      <c r="V975" s="242"/>
      <c r="W975" s="242"/>
      <c r="X975" s="242"/>
      <c r="Y975" s="242"/>
    </row>
    <row r="976">
      <c r="A976" s="242"/>
      <c r="B976" s="242"/>
      <c r="C976" s="242"/>
      <c r="D976" s="242"/>
      <c r="E976" s="242"/>
      <c r="F976" s="242"/>
      <c r="G976" s="671"/>
      <c r="H976" s="671"/>
      <c r="I976" s="242"/>
      <c r="J976" s="242"/>
      <c r="K976" s="242"/>
      <c r="L976" s="389"/>
      <c r="M976" s="389"/>
      <c r="N976" s="242"/>
      <c r="O976" s="242"/>
      <c r="P976" s="13"/>
      <c r="Q976" s="242"/>
      <c r="R976" s="13"/>
      <c r="S976" s="13"/>
      <c r="T976" s="242"/>
      <c r="U976" s="242"/>
      <c r="V976" s="242"/>
      <c r="W976" s="242"/>
      <c r="X976" s="242"/>
      <c r="Y976" s="242"/>
    </row>
    <row r="977">
      <c r="A977" s="242"/>
      <c r="B977" s="242"/>
      <c r="C977" s="242"/>
      <c r="D977" s="242"/>
      <c r="E977" s="242"/>
      <c r="F977" s="242"/>
      <c r="G977" s="671"/>
      <c r="H977" s="671"/>
      <c r="I977" s="242"/>
      <c r="J977" s="242"/>
      <c r="K977" s="242"/>
      <c r="L977" s="389"/>
      <c r="M977" s="389"/>
      <c r="N977" s="242"/>
      <c r="O977" s="242"/>
      <c r="P977" s="13"/>
      <c r="Q977" s="242"/>
      <c r="R977" s="13"/>
      <c r="S977" s="13"/>
      <c r="T977" s="242"/>
      <c r="U977" s="242"/>
      <c r="V977" s="242"/>
      <c r="W977" s="242"/>
      <c r="X977" s="242"/>
      <c r="Y977" s="242"/>
    </row>
    <row r="978">
      <c r="A978" s="242"/>
      <c r="B978" s="242"/>
      <c r="C978" s="242"/>
      <c r="D978" s="242"/>
      <c r="E978" s="242"/>
      <c r="F978" s="242"/>
      <c r="G978" s="671"/>
      <c r="H978" s="671"/>
      <c r="I978" s="242"/>
      <c r="J978" s="242"/>
      <c r="K978" s="242"/>
      <c r="L978" s="389"/>
      <c r="M978" s="389"/>
      <c r="N978" s="242"/>
      <c r="O978" s="242"/>
      <c r="P978" s="13"/>
      <c r="Q978" s="242"/>
      <c r="R978" s="13"/>
      <c r="S978" s="13"/>
      <c r="T978" s="242"/>
      <c r="U978" s="242"/>
      <c r="V978" s="242"/>
      <c r="W978" s="242"/>
      <c r="X978" s="242"/>
      <c r="Y978" s="242"/>
    </row>
    <row r="979">
      <c r="A979" s="242"/>
      <c r="B979" s="242"/>
      <c r="C979" s="242"/>
      <c r="D979" s="242"/>
      <c r="E979" s="242"/>
      <c r="F979" s="242"/>
      <c r="G979" s="671"/>
      <c r="H979" s="671"/>
      <c r="I979" s="242"/>
      <c r="J979" s="242"/>
      <c r="K979" s="242"/>
      <c r="L979" s="389"/>
      <c r="M979" s="389"/>
      <c r="N979" s="242"/>
      <c r="O979" s="242"/>
      <c r="P979" s="13"/>
      <c r="Q979" s="242"/>
      <c r="R979" s="13"/>
      <c r="S979" s="13"/>
      <c r="T979" s="242"/>
      <c r="U979" s="242"/>
      <c r="V979" s="242"/>
      <c r="W979" s="242"/>
      <c r="X979" s="242"/>
      <c r="Y979" s="242"/>
    </row>
    <row r="980">
      <c r="A980" s="242"/>
      <c r="B980" s="242"/>
      <c r="C980" s="242"/>
      <c r="D980" s="242"/>
      <c r="E980" s="242"/>
      <c r="F980" s="242"/>
      <c r="G980" s="671"/>
      <c r="H980" s="671"/>
      <c r="I980" s="242"/>
      <c r="J980" s="242"/>
      <c r="K980" s="242"/>
      <c r="L980" s="389"/>
      <c r="M980" s="389"/>
      <c r="N980" s="242"/>
      <c r="O980" s="242"/>
      <c r="P980" s="13"/>
      <c r="Q980" s="242"/>
      <c r="R980" s="13"/>
      <c r="S980" s="13"/>
      <c r="T980" s="242"/>
      <c r="U980" s="242"/>
      <c r="V980" s="242"/>
      <c r="W980" s="242"/>
      <c r="X980" s="242"/>
      <c r="Y980" s="242"/>
    </row>
    <row r="981">
      <c r="A981" s="242"/>
      <c r="B981" s="242"/>
      <c r="C981" s="242"/>
      <c r="D981" s="242"/>
      <c r="E981" s="242"/>
      <c r="F981" s="242"/>
      <c r="G981" s="671"/>
      <c r="H981" s="671"/>
      <c r="I981" s="242"/>
      <c r="J981" s="242"/>
      <c r="K981" s="242"/>
      <c r="L981" s="389"/>
      <c r="M981" s="389"/>
      <c r="N981" s="242"/>
      <c r="O981" s="242"/>
      <c r="P981" s="13"/>
      <c r="Q981" s="242"/>
      <c r="R981" s="13"/>
      <c r="S981" s="13"/>
      <c r="T981" s="242"/>
      <c r="U981" s="242"/>
      <c r="V981" s="242"/>
      <c r="W981" s="242"/>
      <c r="X981" s="242"/>
      <c r="Y981" s="242"/>
    </row>
    <row r="982">
      <c r="A982" s="242"/>
      <c r="B982" s="242"/>
      <c r="C982" s="242"/>
      <c r="D982" s="242"/>
      <c r="E982" s="242"/>
      <c r="F982" s="242"/>
      <c r="G982" s="671"/>
      <c r="H982" s="671"/>
      <c r="I982" s="242"/>
      <c r="J982" s="242"/>
      <c r="K982" s="242"/>
      <c r="L982" s="389"/>
      <c r="M982" s="389"/>
      <c r="N982" s="242"/>
      <c r="O982" s="242"/>
      <c r="P982" s="13"/>
      <c r="Q982" s="242"/>
      <c r="R982" s="13"/>
      <c r="S982" s="13"/>
      <c r="T982" s="242"/>
      <c r="U982" s="242"/>
      <c r="V982" s="242"/>
      <c r="W982" s="242"/>
      <c r="X982" s="242"/>
      <c r="Y982" s="242"/>
    </row>
    <row r="983">
      <c r="A983" s="242"/>
      <c r="B983" s="242"/>
      <c r="C983" s="242"/>
      <c r="D983" s="242"/>
      <c r="E983" s="242"/>
      <c r="F983" s="242"/>
      <c r="G983" s="671"/>
      <c r="H983" s="671"/>
      <c r="I983" s="242"/>
      <c r="J983" s="242"/>
      <c r="K983" s="242"/>
      <c r="L983" s="389"/>
      <c r="M983" s="389"/>
      <c r="N983" s="242"/>
      <c r="O983" s="242"/>
      <c r="P983" s="13"/>
      <c r="Q983" s="242"/>
      <c r="R983" s="13"/>
      <c r="S983" s="13"/>
      <c r="T983" s="242"/>
      <c r="U983" s="242"/>
      <c r="V983" s="242"/>
      <c r="W983" s="242"/>
      <c r="X983" s="242"/>
      <c r="Y983" s="242"/>
    </row>
    <row r="984">
      <c r="A984" s="242"/>
      <c r="B984" s="242"/>
      <c r="C984" s="242"/>
      <c r="D984" s="242"/>
      <c r="E984" s="242"/>
      <c r="F984" s="242"/>
      <c r="G984" s="671"/>
      <c r="H984" s="671"/>
      <c r="I984" s="242"/>
      <c r="J984" s="242"/>
      <c r="K984" s="242"/>
      <c r="L984" s="389"/>
      <c r="M984" s="389"/>
      <c r="N984" s="242"/>
      <c r="O984" s="242"/>
      <c r="P984" s="13"/>
      <c r="Q984" s="242"/>
      <c r="R984" s="13"/>
      <c r="S984" s="13"/>
      <c r="T984" s="242"/>
      <c r="U984" s="242"/>
      <c r="V984" s="242"/>
      <c r="W984" s="242"/>
      <c r="X984" s="242"/>
      <c r="Y984" s="242"/>
    </row>
    <row r="985">
      <c r="A985" s="242"/>
      <c r="B985" s="242"/>
      <c r="C985" s="242"/>
      <c r="D985" s="242"/>
      <c r="E985" s="242"/>
      <c r="F985" s="242"/>
      <c r="G985" s="671"/>
      <c r="H985" s="671"/>
      <c r="I985" s="242"/>
      <c r="J985" s="242"/>
      <c r="K985" s="242"/>
      <c r="L985" s="389"/>
      <c r="M985" s="389"/>
      <c r="N985" s="242"/>
      <c r="O985" s="242"/>
      <c r="P985" s="13"/>
      <c r="Q985" s="242"/>
      <c r="R985" s="13"/>
      <c r="S985" s="13"/>
      <c r="T985" s="242"/>
      <c r="U985" s="242"/>
      <c r="V985" s="242"/>
      <c r="W985" s="242"/>
      <c r="X985" s="242"/>
      <c r="Y985" s="242"/>
    </row>
    <row r="986">
      <c r="A986" s="242"/>
      <c r="B986" s="242"/>
      <c r="C986" s="242"/>
      <c r="D986" s="242"/>
      <c r="E986" s="242"/>
      <c r="F986" s="242"/>
      <c r="G986" s="671"/>
      <c r="H986" s="671"/>
      <c r="I986" s="242"/>
      <c r="J986" s="242"/>
      <c r="K986" s="242"/>
      <c r="L986" s="389"/>
      <c r="M986" s="389"/>
      <c r="N986" s="242"/>
      <c r="O986" s="242"/>
      <c r="P986" s="13"/>
      <c r="Q986" s="242"/>
      <c r="R986" s="13"/>
      <c r="S986" s="13"/>
      <c r="T986" s="242"/>
      <c r="U986" s="242"/>
      <c r="V986" s="242"/>
      <c r="W986" s="242"/>
      <c r="X986" s="242"/>
      <c r="Y986" s="242"/>
    </row>
    <row r="987">
      <c r="A987" s="242"/>
      <c r="B987" s="242"/>
      <c r="C987" s="242"/>
      <c r="D987" s="242"/>
      <c r="E987" s="242"/>
      <c r="F987" s="242"/>
      <c r="G987" s="671"/>
      <c r="H987" s="671"/>
      <c r="I987" s="242"/>
      <c r="J987" s="242"/>
      <c r="K987" s="242"/>
      <c r="L987" s="389"/>
      <c r="M987" s="389"/>
      <c r="N987" s="242"/>
      <c r="O987" s="242"/>
      <c r="P987" s="13"/>
      <c r="Q987" s="242"/>
      <c r="R987" s="13"/>
      <c r="S987" s="13"/>
      <c r="T987" s="242"/>
      <c r="U987" s="242"/>
      <c r="V987" s="242"/>
      <c r="W987" s="242"/>
      <c r="X987" s="242"/>
      <c r="Y987" s="242"/>
    </row>
    <row r="988">
      <c r="A988" s="242"/>
      <c r="B988" s="242"/>
      <c r="C988" s="242"/>
      <c r="D988" s="242"/>
      <c r="E988" s="242"/>
      <c r="F988" s="242"/>
      <c r="G988" s="671"/>
      <c r="H988" s="671"/>
      <c r="I988" s="242"/>
      <c r="J988" s="242"/>
      <c r="K988" s="242"/>
      <c r="L988" s="389"/>
      <c r="M988" s="389"/>
      <c r="N988" s="242"/>
      <c r="O988" s="242"/>
      <c r="P988" s="13"/>
      <c r="Q988" s="242"/>
      <c r="R988" s="13"/>
      <c r="S988" s="13"/>
      <c r="T988" s="242"/>
      <c r="U988" s="242"/>
      <c r="V988" s="242"/>
      <c r="W988" s="242"/>
      <c r="X988" s="242"/>
      <c r="Y988" s="242"/>
    </row>
    <row r="989">
      <c r="A989" s="242"/>
      <c r="B989" s="242"/>
      <c r="C989" s="242"/>
      <c r="D989" s="242"/>
      <c r="E989" s="242"/>
      <c r="F989" s="242"/>
      <c r="G989" s="671"/>
      <c r="H989" s="671"/>
      <c r="I989" s="242"/>
      <c r="J989" s="242"/>
      <c r="K989" s="242"/>
      <c r="L989" s="389"/>
      <c r="M989" s="389"/>
      <c r="N989" s="242"/>
      <c r="O989" s="242"/>
      <c r="P989" s="13"/>
      <c r="Q989" s="242"/>
      <c r="R989" s="13"/>
      <c r="S989" s="13"/>
      <c r="T989" s="242"/>
      <c r="U989" s="242"/>
      <c r="V989" s="242"/>
      <c r="W989" s="242"/>
      <c r="X989" s="242"/>
      <c r="Y989" s="242"/>
    </row>
    <row r="990">
      <c r="A990" s="242"/>
      <c r="B990" s="242"/>
      <c r="C990" s="242"/>
      <c r="D990" s="242"/>
      <c r="E990" s="242"/>
      <c r="F990" s="242"/>
      <c r="G990" s="671"/>
      <c r="H990" s="671"/>
      <c r="I990" s="242"/>
      <c r="J990" s="242"/>
      <c r="K990" s="242"/>
      <c r="L990" s="389"/>
      <c r="M990" s="389"/>
      <c r="N990" s="242"/>
      <c r="O990" s="242"/>
      <c r="P990" s="13"/>
      <c r="Q990" s="242"/>
      <c r="R990" s="13"/>
      <c r="S990" s="13"/>
      <c r="T990" s="242"/>
      <c r="U990" s="242"/>
      <c r="V990" s="242"/>
      <c r="W990" s="242"/>
      <c r="X990" s="242"/>
      <c r="Y990" s="242"/>
    </row>
    <row r="991">
      <c r="A991" s="242"/>
      <c r="B991" s="242"/>
      <c r="C991" s="242"/>
      <c r="D991" s="242"/>
      <c r="E991" s="242"/>
      <c r="F991" s="242"/>
      <c r="G991" s="671"/>
      <c r="H991" s="671"/>
      <c r="I991" s="242"/>
      <c r="J991" s="242"/>
      <c r="K991" s="242"/>
      <c r="L991" s="389"/>
      <c r="M991" s="389"/>
      <c r="N991" s="242"/>
      <c r="O991" s="242"/>
      <c r="P991" s="13"/>
      <c r="Q991" s="242"/>
      <c r="R991" s="13"/>
      <c r="S991" s="13"/>
      <c r="T991" s="242"/>
      <c r="U991" s="242"/>
      <c r="V991" s="242"/>
      <c r="W991" s="242"/>
      <c r="X991" s="242"/>
      <c r="Y991" s="242"/>
    </row>
    <row r="992">
      <c r="A992" s="242"/>
      <c r="B992" s="242"/>
      <c r="C992" s="242"/>
      <c r="D992" s="242"/>
      <c r="E992" s="242"/>
      <c r="F992" s="242"/>
      <c r="G992" s="671"/>
      <c r="H992" s="671"/>
      <c r="I992" s="242"/>
      <c r="J992" s="242"/>
      <c r="K992" s="242"/>
      <c r="L992" s="389"/>
      <c r="M992" s="389"/>
      <c r="N992" s="242"/>
      <c r="O992" s="242"/>
      <c r="P992" s="13"/>
      <c r="Q992" s="242"/>
      <c r="R992" s="13"/>
      <c r="S992" s="13"/>
      <c r="T992" s="242"/>
      <c r="U992" s="242"/>
      <c r="V992" s="242"/>
      <c r="W992" s="242"/>
      <c r="X992" s="242"/>
      <c r="Y992" s="242"/>
    </row>
    <row r="993">
      <c r="A993" s="242"/>
      <c r="B993" s="242"/>
      <c r="C993" s="242"/>
      <c r="D993" s="242"/>
      <c r="E993" s="242"/>
      <c r="F993" s="242"/>
      <c r="G993" s="671"/>
      <c r="H993" s="671"/>
      <c r="I993" s="242"/>
      <c r="J993" s="242"/>
      <c r="K993" s="242"/>
      <c r="L993" s="389"/>
      <c r="M993" s="389"/>
      <c r="N993" s="242"/>
      <c r="O993" s="242"/>
      <c r="P993" s="13"/>
      <c r="Q993" s="242"/>
      <c r="R993" s="13"/>
      <c r="S993" s="13"/>
      <c r="T993" s="242"/>
      <c r="U993" s="242"/>
      <c r="V993" s="242"/>
      <c r="W993" s="242"/>
      <c r="X993" s="242"/>
      <c r="Y993" s="242"/>
    </row>
    <row r="994">
      <c r="A994" s="242"/>
      <c r="B994" s="242"/>
      <c r="C994" s="242"/>
      <c r="D994" s="242"/>
      <c r="E994" s="242"/>
      <c r="F994" s="242"/>
      <c r="G994" s="671"/>
      <c r="H994" s="671"/>
      <c r="I994" s="242"/>
      <c r="J994" s="242"/>
      <c r="K994" s="242"/>
      <c r="L994" s="389"/>
      <c r="M994" s="389"/>
      <c r="N994" s="242"/>
      <c r="O994" s="242"/>
      <c r="P994" s="13"/>
      <c r="Q994" s="242"/>
      <c r="R994" s="13"/>
      <c r="S994" s="13"/>
      <c r="T994" s="242"/>
      <c r="U994" s="242"/>
      <c r="V994" s="242"/>
      <c r="W994" s="242"/>
      <c r="X994" s="242"/>
      <c r="Y994" s="242"/>
    </row>
    <row r="995">
      <c r="A995" s="242"/>
      <c r="B995" s="242"/>
      <c r="C995" s="242"/>
      <c r="D995" s="242"/>
      <c r="E995" s="242"/>
      <c r="F995" s="242"/>
      <c r="G995" s="671"/>
      <c r="H995" s="671"/>
      <c r="I995" s="242"/>
      <c r="J995" s="242"/>
      <c r="K995" s="242"/>
      <c r="L995" s="389"/>
      <c r="M995" s="389"/>
      <c r="N995" s="242"/>
      <c r="O995" s="242"/>
      <c r="P995" s="13"/>
      <c r="Q995" s="242"/>
      <c r="R995" s="13"/>
      <c r="S995" s="13"/>
      <c r="T995" s="242"/>
      <c r="U995" s="242"/>
      <c r="V995" s="242"/>
      <c r="W995" s="242"/>
      <c r="X995" s="242"/>
      <c r="Y995" s="242"/>
    </row>
    <row r="996">
      <c r="A996" s="242"/>
      <c r="B996" s="242"/>
      <c r="C996" s="242"/>
      <c r="D996" s="242"/>
      <c r="E996" s="242"/>
      <c r="F996" s="242"/>
      <c r="G996" s="671"/>
      <c r="H996" s="671"/>
      <c r="I996" s="242"/>
      <c r="J996" s="242"/>
      <c r="K996" s="242"/>
      <c r="L996" s="389"/>
      <c r="M996" s="389"/>
      <c r="N996" s="242"/>
      <c r="O996" s="242"/>
      <c r="P996" s="13"/>
      <c r="Q996" s="242"/>
      <c r="R996" s="13"/>
      <c r="S996" s="13"/>
      <c r="T996" s="242"/>
      <c r="U996" s="242"/>
      <c r="V996" s="242"/>
      <c r="W996" s="242"/>
      <c r="X996" s="242"/>
      <c r="Y996" s="242"/>
    </row>
    <row r="997">
      <c r="A997" s="242"/>
      <c r="B997" s="242"/>
      <c r="C997" s="242"/>
      <c r="D997" s="242"/>
      <c r="E997" s="242"/>
      <c r="F997" s="242"/>
      <c r="G997" s="671"/>
      <c r="H997" s="671"/>
      <c r="I997" s="242"/>
      <c r="J997" s="242"/>
      <c r="K997" s="242"/>
      <c r="L997" s="389"/>
      <c r="M997" s="389"/>
      <c r="N997" s="242"/>
      <c r="O997" s="242"/>
      <c r="P997" s="13"/>
      <c r="Q997" s="242"/>
      <c r="R997" s="13"/>
      <c r="S997" s="13"/>
      <c r="T997" s="242"/>
      <c r="U997" s="242"/>
      <c r="V997" s="242"/>
      <c r="W997" s="242"/>
      <c r="X997" s="242"/>
      <c r="Y997" s="242"/>
    </row>
    <row r="998">
      <c r="A998" s="242"/>
      <c r="B998" s="242"/>
      <c r="C998" s="242"/>
      <c r="D998" s="242"/>
      <c r="E998" s="242"/>
      <c r="F998" s="242"/>
      <c r="G998" s="671"/>
      <c r="H998" s="671"/>
      <c r="I998" s="242"/>
      <c r="J998" s="242"/>
      <c r="K998" s="242"/>
      <c r="L998" s="389"/>
      <c r="M998" s="389"/>
      <c r="N998" s="242"/>
      <c r="O998" s="242"/>
      <c r="P998" s="13"/>
      <c r="Q998" s="242"/>
      <c r="R998" s="13"/>
      <c r="S998" s="13"/>
      <c r="T998" s="242"/>
      <c r="U998" s="242"/>
      <c r="V998" s="242"/>
      <c r="W998" s="242"/>
      <c r="X998" s="242"/>
      <c r="Y998" s="242"/>
    </row>
    <row r="999">
      <c r="A999" s="242"/>
      <c r="B999" s="242"/>
      <c r="C999" s="242"/>
      <c r="D999" s="242"/>
      <c r="E999" s="242"/>
      <c r="F999" s="242"/>
      <c r="G999" s="671"/>
      <c r="H999" s="671"/>
      <c r="I999" s="242"/>
      <c r="J999" s="242"/>
      <c r="K999" s="242"/>
      <c r="L999" s="389"/>
      <c r="M999" s="389"/>
      <c r="N999" s="242"/>
      <c r="O999" s="242"/>
      <c r="P999" s="13"/>
      <c r="Q999" s="242"/>
      <c r="R999" s="13"/>
      <c r="S999" s="13"/>
      <c r="T999" s="242"/>
      <c r="U999" s="242"/>
      <c r="V999" s="242"/>
      <c r="W999" s="242"/>
      <c r="X999" s="242"/>
      <c r="Y999" s="242"/>
    </row>
    <row r="1000">
      <c r="A1000" s="242"/>
      <c r="B1000" s="242"/>
      <c r="C1000" s="242"/>
      <c r="D1000" s="242"/>
      <c r="E1000" s="242"/>
      <c r="F1000" s="242"/>
      <c r="G1000" s="671"/>
      <c r="H1000" s="671"/>
      <c r="I1000" s="242"/>
      <c r="J1000" s="242"/>
      <c r="K1000" s="242"/>
      <c r="L1000" s="389"/>
      <c r="M1000" s="389"/>
      <c r="N1000" s="242"/>
      <c r="O1000" s="242"/>
      <c r="P1000" s="13"/>
      <c r="Q1000" s="242"/>
      <c r="R1000" s="13"/>
      <c r="S1000" s="13"/>
      <c r="T1000" s="242"/>
      <c r="U1000" s="242"/>
      <c r="V1000" s="242"/>
      <c r="W1000" s="242"/>
      <c r="X1000" s="242"/>
      <c r="Y1000" s="242"/>
    </row>
    <row r="1001">
      <c r="A1001" s="242"/>
      <c r="B1001" s="242"/>
      <c r="C1001" s="242"/>
      <c r="D1001" s="242"/>
      <c r="E1001" s="242"/>
      <c r="F1001" s="242"/>
      <c r="G1001" s="671"/>
      <c r="H1001" s="671"/>
      <c r="I1001" s="242"/>
      <c r="J1001" s="242"/>
      <c r="K1001" s="242"/>
      <c r="L1001" s="389"/>
      <c r="M1001" s="389"/>
      <c r="N1001" s="242"/>
      <c r="O1001" s="242"/>
      <c r="P1001" s="13"/>
      <c r="Q1001" s="242"/>
      <c r="R1001" s="13"/>
      <c r="S1001" s="13"/>
      <c r="T1001" s="242"/>
      <c r="U1001" s="242"/>
      <c r="V1001" s="242"/>
      <c r="W1001" s="242"/>
      <c r="X1001" s="242"/>
      <c r="Y1001" s="242"/>
    </row>
    <row r="1002">
      <c r="A1002" s="242"/>
      <c r="B1002" s="242"/>
      <c r="C1002" s="242"/>
      <c r="D1002" s="242"/>
      <c r="E1002" s="242"/>
      <c r="F1002" s="242"/>
      <c r="G1002" s="671"/>
      <c r="H1002" s="671"/>
      <c r="I1002" s="242"/>
      <c r="J1002" s="242"/>
      <c r="K1002" s="242"/>
      <c r="L1002" s="389"/>
      <c r="M1002" s="389"/>
      <c r="N1002" s="242"/>
      <c r="O1002" s="242"/>
      <c r="P1002" s="13"/>
      <c r="Q1002" s="242"/>
      <c r="R1002" s="13"/>
      <c r="S1002" s="13"/>
      <c r="T1002" s="242"/>
      <c r="U1002" s="242"/>
      <c r="V1002" s="242"/>
      <c r="W1002" s="242"/>
      <c r="X1002" s="242"/>
      <c r="Y1002" s="242"/>
    </row>
    <row r="1003">
      <c r="A1003" s="242"/>
      <c r="B1003" s="242"/>
      <c r="C1003" s="242"/>
      <c r="D1003" s="242"/>
      <c r="E1003" s="242"/>
      <c r="F1003" s="242"/>
      <c r="G1003" s="671"/>
      <c r="H1003" s="671"/>
      <c r="I1003" s="242"/>
      <c r="J1003" s="242"/>
      <c r="K1003" s="242"/>
      <c r="L1003" s="389"/>
      <c r="M1003" s="389"/>
      <c r="N1003" s="242"/>
      <c r="O1003" s="242"/>
      <c r="P1003" s="13"/>
      <c r="Q1003" s="242"/>
      <c r="R1003" s="13"/>
      <c r="S1003" s="13"/>
      <c r="T1003" s="242"/>
      <c r="U1003" s="242"/>
      <c r="V1003" s="242"/>
      <c r="W1003" s="242"/>
      <c r="X1003" s="242"/>
      <c r="Y1003" s="242"/>
    </row>
    <row r="1004">
      <c r="A1004" s="242"/>
      <c r="B1004" s="242"/>
      <c r="C1004" s="242"/>
      <c r="D1004" s="242"/>
      <c r="E1004" s="242"/>
      <c r="F1004" s="242"/>
      <c r="G1004" s="671"/>
      <c r="H1004" s="671"/>
      <c r="I1004" s="242"/>
      <c r="J1004" s="242"/>
      <c r="K1004" s="242"/>
      <c r="L1004" s="389"/>
      <c r="M1004" s="389"/>
      <c r="N1004" s="242"/>
      <c r="O1004" s="242"/>
      <c r="P1004" s="13"/>
      <c r="Q1004" s="242"/>
      <c r="R1004" s="13"/>
      <c r="S1004" s="13"/>
      <c r="T1004" s="242"/>
      <c r="U1004" s="242"/>
      <c r="V1004" s="242"/>
      <c r="W1004" s="242"/>
      <c r="X1004" s="242"/>
      <c r="Y1004" s="242"/>
    </row>
    <row r="1005">
      <c r="A1005" s="242"/>
      <c r="B1005" s="242"/>
      <c r="C1005" s="242"/>
      <c r="D1005" s="242"/>
      <c r="E1005" s="242"/>
      <c r="F1005" s="242"/>
      <c r="G1005" s="671"/>
      <c r="H1005" s="671"/>
      <c r="I1005" s="242"/>
      <c r="J1005" s="242"/>
      <c r="K1005" s="242"/>
      <c r="L1005" s="389"/>
      <c r="M1005" s="389"/>
      <c r="N1005" s="242"/>
      <c r="O1005" s="242"/>
      <c r="P1005" s="13"/>
      <c r="Q1005" s="242"/>
      <c r="R1005" s="13"/>
      <c r="S1005" s="13"/>
      <c r="T1005" s="242"/>
      <c r="U1005" s="242"/>
      <c r="V1005" s="242"/>
      <c r="W1005" s="242"/>
      <c r="X1005" s="242"/>
      <c r="Y1005" s="242"/>
    </row>
  </sheetData>
  <mergeCells count="19">
    <mergeCell ref="B3:L3"/>
    <mergeCell ref="C4:C7"/>
    <mergeCell ref="C8:C11"/>
    <mergeCell ref="C12:C15"/>
    <mergeCell ref="C16:C17"/>
    <mergeCell ref="C18:C19"/>
    <mergeCell ref="C20:C21"/>
    <mergeCell ref="C57:C64"/>
    <mergeCell ref="C66:C71"/>
    <mergeCell ref="C72:C75"/>
    <mergeCell ref="C76:C81"/>
    <mergeCell ref="C82:C87"/>
    <mergeCell ref="C22:C23"/>
    <mergeCell ref="B25:L25"/>
    <mergeCell ref="C26:C30"/>
    <mergeCell ref="C31:C39"/>
    <mergeCell ref="C40:C48"/>
    <mergeCell ref="C49:C52"/>
    <mergeCell ref="C53:C56"/>
  </mergeCells>
  <printOptions horizontalCentered="1"/>
  <pageMargins bottom="0.0" footer="0.0" header="0.0" left="0.0" right="0.0" top="0.0"/>
  <pageSetup paperSize="9" cellComments="atEnd" orientation="portrait"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
    <col customWidth="1" min="2" max="2" width="7.25"/>
    <col customWidth="1" min="3" max="3" width="21.63"/>
  </cols>
  <sheetData>
    <row r="1">
      <c r="A1" s="242"/>
      <c r="B1" s="13"/>
      <c r="C1" s="242"/>
      <c r="D1" s="13"/>
      <c r="E1" s="13"/>
      <c r="F1" s="13"/>
      <c r="G1" s="13"/>
      <c r="H1" s="13"/>
      <c r="I1" s="242"/>
      <c r="J1" s="242"/>
      <c r="K1" s="242"/>
      <c r="L1" s="242"/>
      <c r="M1" s="242"/>
      <c r="N1" s="242"/>
      <c r="O1" s="242"/>
      <c r="P1" s="242"/>
      <c r="Q1" s="242"/>
      <c r="R1" s="242"/>
      <c r="S1" s="242"/>
      <c r="T1" s="242"/>
      <c r="U1" s="242"/>
      <c r="V1" s="242"/>
      <c r="W1" s="242"/>
      <c r="X1" s="242"/>
      <c r="Y1" s="242"/>
      <c r="Z1" s="242"/>
      <c r="AA1" s="242"/>
      <c r="AB1" s="242"/>
    </row>
    <row r="2" ht="33.75" customHeight="1">
      <c r="A2" s="242"/>
      <c r="B2" s="699" t="s">
        <v>2511</v>
      </c>
      <c r="C2" s="613" t="s">
        <v>2513</v>
      </c>
      <c r="D2" s="612" t="s">
        <v>24</v>
      </c>
      <c r="E2" s="699" t="s">
        <v>2514</v>
      </c>
      <c r="F2" s="676" t="s">
        <v>3133</v>
      </c>
      <c r="G2" s="676" t="s">
        <v>2656</v>
      </c>
      <c r="H2" s="701" t="s">
        <v>8</v>
      </c>
      <c r="I2" s="242"/>
      <c r="J2" s="242"/>
      <c r="K2" s="242"/>
      <c r="L2" s="242"/>
      <c r="M2" s="242"/>
      <c r="N2" s="242"/>
      <c r="O2" s="242"/>
      <c r="P2" s="242"/>
      <c r="Q2" s="242"/>
      <c r="R2" s="242"/>
      <c r="S2" s="242"/>
      <c r="T2" s="242"/>
      <c r="U2" s="242"/>
      <c r="V2" s="242"/>
      <c r="W2" s="242"/>
      <c r="X2" s="242"/>
      <c r="Y2" s="242"/>
      <c r="Z2" s="242"/>
      <c r="AA2" s="242"/>
      <c r="AB2" s="242"/>
    </row>
    <row r="3">
      <c r="A3" s="242"/>
      <c r="B3" s="547">
        <v>1.0</v>
      </c>
      <c r="C3" s="641" t="s">
        <v>4016</v>
      </c>
      <c r="D3" s="547">
        <v>16.0</v>
      </c>
      <c r="E3" s="547" t="s">
        <v>4015</v>
      </c>
      <c r="F3" s="542">
        <v>0.16</v>
      </c>
      <c r="G3" s="702">
        <v>74.0</v>
      </c>
      <c r="H3" s="702">
        <f t="shared" ref="H3:H18" si="1">G3*4.5</f>
        <v>333</v>
      </c>
      <c r="I3" s="242"/>
      <c r="J3" s="242"/>
      <c r="K3" s="242"/>
      <c r="L3" s="242"/>
      <c r="M3" s="242"/>
      <c r="N3" s="242"/>
      <c r="O3" s="242"/>
      <c r="P3" s="242"/>
      <c r="Q3" s="242"/>
      <c r="R3" s="242"/>
      <c r="S3" s="242"/>
      <c r="T3" s="242"/>
      <c r="U3" s="242"/>
      <c r="V3" s="242"/>
      <c r="W3" s="242"/>
      <c r="X3" s="242"/>
      <c r="Y3" s="242"/>
      <c r="Z3" s="242"/>
      <c r="AA3" s="242"/>
      <c r="AB3" s="242"/>
    </row>
    <row r="4">
      <c r="A4" s="242"/>
      <c r="B4" s="547">
        <v>2.0</v>
      </c>
      <c r="C4" s="176"/>
      <c r="D4" s="547">
        <v>20.0</v>
      </c>
      <c r="E4" s="547" t="s">
        <v>4017</v>
      </c>
      <c r="F4" s="542">
        <v>0.24</v>
      </c>
      <c r="G4" s="702">
        <v>99.0</v>
      </c>
      <c r="H4" s="702">
        <f t="shared" si="1"/>
        <v>445.5</v>
      </c>
      <c r="I4" s="242"/>
      <c r="J4" s="242"/>
      <c r="K4" s="242"/>
      <c r="L4" s="242"/>
      <c r="M4" s="242"/>
      <c r="N4" s="242"/>
      <c r="O4" s="242"/>
      <c r="P4" s="242"/>
      <c r="Q4" s="242"/>
      <c r="R4" s="242"/>
      <c r="S4" s="242"/>
      <c r="T4" s="242"/>
      <c r="U4" s="242"/>
      <c r="V4" s="242"/>
      <c r="W4" s="242"/>
      <c r="X4" s="242"/>
      <c r="Y4" s="242"/>
      <c r="Z4" s="242"/>
      <c r="AA4" s="242"/>
      <c r="AB4" s="242"/>
    </row>
    <row r="5">
      <c r="A5" s="242"/>
      <c r="B5" s="547">
        <v>3.0</v>
      </c>
      <c r="C5" s="176"/>
      <c r="D5" s="547">
        <v>25.0</v>
      </c>
      <c r="E5" s="547" t="s">
        <v>4018</v>
      </c>
      <c r="F5" s="542">
        <v>0.38</v>
      </c>
      <c r="G5" s="702">
        <v>140.0</v>
      </c>
      <c r="H5" s="702">
        <f t="shared" si="1"/>
        <v>630</v>
      </c>
      <c r="I5" s="242"/>
      <c r="J5" s="242"/>
      <c r="K5" s="242"/>
      <c r="L5" s="242"/>
      <c r="M5" s="242"/>
      <c r="N5" s="242"/>
      <c r="O5" s="242"/>
      <c r="P5" s="242"/>
      <c r="Q5" s="242"/>
      <c r="R5" s="242"/>
      <c r="S5" s="242"/>
      <c r="T5" s="242"/>
      <c r="U5" s="242"/>
      <c r="V5" s="242"/>
      <c r="W5" s="242"/>
      <c r="X5" s="242"/>
      <c r="Y5" s="242"/>
      <c r="Z5" s="242"/>
      <c r="AA5" s="242"/>
      <c r="AB5" s="242"/>
    </row>
    <row r="6">
      <c r="A6" s="242"/>
      <c r="B6" s="547">
        <v>4.0</v>
      </c>
      <c r="C6" s="41"/>
      <c r="D6" s="547">
        <v>32.0</v>
      </c>
      <c r="E6" s="547" t="s">
        <v>4019</v>
      </c>
      <c r="F6" s="542">
        <v>0.5</v>
      </c>
      <c r="G6" s="702">
        <v>182.0</v>
      </c>
      <c r="H6" s="702">
        <f t="shared" si="1"/>
        <v>819</v>
      </c>
      <c r="I6" s="242"/>
      <c r="J6" s="242"/>
      <c r="K6" s="242"/>
      <c r="L6" s="242"/>
      <c r="M6" s="242"/>
      <c r="N6" s="242"/>
      <c r="O6" s="242"/>
      <c r="P6" s="242"/>
      <c r="Q6" s="242"/>
      <c r="R6" s="242"/>
      <c r="S6" s="242"/>
      <c r="T6" s="242"/>
      <c r="U6" s="242"/>
      <c r="V6" s="242"/>
      <c r="W6" s="242"/>
      <c r="X6" s="242"/>
      <c r="Y6" s="242"/>
      <c r="Z6" s="242"/>
      <c r="AA6" s="242"/>
      <c r="AB6" s="242"/>
    </row>
    <row r="7">
      <c r="A7" s="242"/>
      <c r="B7" s="547">
        <v>5.0</v>
      </c>
      <c r="C7" s="641" t="s">
        <v>4021</v>
      </c>
      <c r="D7" s="547">
        <v>16.0</v>
      </c>
      <c r="E7" s="547" t="s">
        <v>4020</v>
      </c>
      <c r="F7" s="542">
        <v>0.063</v>
      </c>
      <c r="G7" s="702">
        <v>38.0</v>
      </c>
      <c r="H7" s="702">
        <f t="shared" si="1"/>
        <v>171</v>
      </c>
      <c r="I7" s="242"/>
      <c r="J7" s="242"/>
      <c r="K7" s="242"/>
      <c r="L7" s="242"/>
      <c r="M7" s="242"/>
      <c r="N7" s="242"/>
      <c r="O7" s="242"/>
      <c r="P7" s="242"/>
      <c r="Q7" s="242"/>
      <c r="R7" s="242"/>
      <c r="S7" s="242"/>
      <c r="T7" s="242"/>
      <c r="U7" s="242"/>
      <c r="V7" s="242"/>
      <c r="W7" s="242"/>
      <c r="X7" s="242"/>
      <c r="Y7" s="242"/>
      <c r="Z7" s="242"/>
      <c r="AA7" s="242"/>
      <c r="AB7" s="242"/>
    </row>
    <row r="8">
      <c r="A8" s="242"/>
      <c r="B8" s="547">
        <v>6.0</v>
      </c>
      <c r="C8" s="176"/>
      <c r="D8" s="547">
        <v>20.0</v>
      </c>
      <c r="E8" s="547" t="s">
        <v>4022</v>
      </c>
      <c r="F8" s="542">
        <v>0.1</v>
      </c>
      <c r="G8" s="702">
        <v>52.0</v>
      </c>
      <c r="H8" s="702">
        <f t="shared" si="1"/>
        <v>234</v>
      </c>
      <c r="I8" s="242"/>
      <c r="J8" s="242"/>
      <c r="K8" s="242"/>
      <c r="L8" s="242"/>
      <c r="M8" s="242"/>
      <c r="N8" s="242"/>
      <c r="O8" s="242"/>
      <c r="P8" s="242"/>
      <c r="Q8" s="242"/>
      <c r="R8" s="242"/>
      <c r="S8" s="242"/>
      <c r="T8" s="242"/>
      <c r="U8" s="242"/>
      <c r="V8" s="242"/>
      <c r="W8" s="242"/>
      <c r="X8" s="242"/>
      <c r="Y8" s="242"/>
      <c r="Z8" s="242"/>
      <c r="AA8" s="242"/>
      <c r="AB8" s="242"/>
    </row>
    <row r="9">
      <c r="A9" s="242"/>
      <c r="B9" s="547">
        <v>7.0</v>
      </c>
      <c r="C9" s="176"/>
      <c r="D9" s="547">
        <v>25.0</v>
      </c>
      <c r="E9" s="547" t="s">
        <v>4023</v>
      </c>
      <c r="F9" s="542">
        <v>0.125</v>
      </c>
      <c r="G9" s="702">
        <v>69.0</v>
      </c>
      <c r="H9" s="702">
        <f t="shared" si="1"/>
        <v>310.5</v>
      </c>
      <c r="I9" s="242"/>
      <c r="J9" s="242"/>
      <c r="K9" s="242"/>
      <c r="L9" s="242"/>
      <c r="M9" s="242"/>
      <c r="N9" s="242"/>
      <c r="O9" s="242"/>
      <c r="P9" s="242"/>
      <c r="Q9" s="242"/>
      <c r="R9" s="242"/>
      <c r="S9" s="242"/>
      <c r="T9" s="242"/>
      <c r="U9" s="242"/>
      <c r="V9" s="242"/>
      <c r="W9" s="242"/>
      <c r="X9" s="242"/>
      <c r="Y9" s="242"/>
      <c r="Z9" s="242"/>
      <c r="AA9" s="242"/>
      <c r="AB9" s="242"/>
    </row>
    <row r="10">
      <c r="A10" s="242"/>
      <c r="B10" s="547">
        <v>8.0</v>
      </c>
      <c r="C10" s="41"/>
      <c r="D10" s="547">
        <v>32.0</v>
      </c>
      <c r="E10" s="547" t="s">
        <v>4024</v>
      </c>
      <c r="F10" s="542">
        <v>0.22</v>
      </c>
      <c r="G10" s="702">
        <v>89.0</v>
      </c>
      <c r="H10" s="702">
        <f t="shared" si="1"/>
        <v>400.5</v>
      </c>
      <c r="I10" s="242"/>
      <c r="J10" s="242"/>
      <c r="K10" s="242"/>
      <c r="L10" s="242"/>
      <c r="M10" s="242"/>
      <c r="N10" s="242"/>
      <c r="O10" s="242"/>
      <c r="P10" s="242"/>
      <c r="Q10" s="242"/>
      <c r="R10" s="242"/>
      <c r="S10" s="242"/>
      <c r="T10" s="242"/>
      <c r="U10" s="242"/>
      <c r="V10" s="242"/>
      <c r="W10" s="242"/>
      <c r="X10" s="242"/>
      <c r="Y10" s="242"/>
      <c r="Z10" s="242"/>
      <c r="AA10" s="242"/>
      <c r="AB10" s="242"/>
    </row>
    <row r="11">
      <c r="A11" s="242"/>
      <c r="B11" s="547">
        <v>9.0</v>
      </c>
      <c r="C11" s="641" t="s">
        <v>4026</v>
      </c>
      <c r="D11" s="547" t="s">
        <v>4328</v>
      </c>
      <c r="E11" s="547" t="s">
        <v>4025</v>
      </c>
      <c r="F11" s="547">
        <v>0.068</v>
      </c>
      <c r="G11" s="702">
        <v>100.0</v>
      </c>
      <c r="H11" s="702">
        <f t="shared" si="1"/>
        <v>450</v>
      </c>
      <c r="I11" s="242"/>
      <c r="J11" s="242"/>
      <c r="K11" s="242"/>
      <c r="L11" s="242"/>
      <c r="M11" s="242"/>
      <c r="N11" s="242"/>
      <c r="O11" s="242"/>
      <c r="P11" s="242"/>
      <c r="Q11" s="242"/>
      <c r="R11" s="242"/>
      <c r="S11" s="242"/>
      <c r="T11" s="242"/>
      <c r="U11" s="242"/>
      <c r="V11" s="242"/>
      <c r="W11" s="242"/>
      <c r="X11" s="242"/>
      <c r="Y11" s="242"/>
      <c r="Z11" s="242"/>
      <c r="AA11" s="242"/>
      <c r="AB11" s="242"/>
    </row>
    <row r="12">
      <c r="A12" s="242"/>
      <c r="B12" s="547">
        <v>10.0</v>
      </c>
      <c r="C12" s="41"/>
      <c r="D12" s="547" t="s">
        <v>4330</v>
      </c>
      <c r="E12" s="547" t="s">
        <v>4027</v>
      </c>
      <c r="F12" s="542">
        <v>0.07</v>
      </c>
      <c r="G12" s="702">
        <v>100.0</v>
      </c>
      <c r="H12" s="702">
        <f t="shared" si="1"/>
        <v>450</v>
      </c>
      <c r="I12" s="242"/>
      <c r="J12" s="242"/>
      <c r="K12" s="242"/>
      <c r="L12" s="242"/>
      <c r="M12" s="242"/>
      <c r="N12" s="242"/>
      <c r="O12" s="242"/>
      <c r="P12" s="242"/>
      <c r="Q12" s="242"/>
      <c r="R12" s="242"/>
      <c r="S12" s="242"/>
      <c r="T12" s="242"/>
      <c r="U12" s="242"/>
      <c r="V12" s="242"/>
      <c r="W12" s="242"/>
      <c r="X12" s="242"/>
      <c r="Y12" s="242"/>
      <c r="Z12" s="242"/>
      <c r="AA12" s="242"/>
      <c r="AB12" s="242"/>
    </row>
    <row r="13">
      <c r="A13" s="242"/>
      <c r="B13" s="547">
        <v>11.0</v>
      </c>
      <c r="C13" s="548" t="s">
        <v>4029</v>
      </c>
      <c r="D13" s="547">
        <v>36.0</v>
      </c>
      <c r="E13" s="547" t="s">
        <v>4028</v>
      </c>
      <c r="F13" s="547">
        <v>0.095</v>
      </c>
      <c r="G13" s="702">
        <v>210.0</v>
      </c>
      <c r="H13" s="702">
        <f t="shared" si="1"/>
        <v>945</v>
      </c>
      <c r="I13" s="242"/>
      <c r="J13" s="242"/>
      <c r="K13" s="242"/>
      <c r="L13" s="242"/>
      <c r="M13" s="242"/>
      <c r="N13" s="242"/>
      <c r="O13" s="242"/>
      <c r="P13" s="242"/>
      <c r="Q13" s="242"/>
      <c r="R13" s="242"/>
      <c r="S13" s="242"/>
      <c r="T13" s="242"/>
      <c r="U13" s="242"/>
      <c r="V13" s="242"/>
      <c r="W13" s="242"/>
      <c r="X13" s="242"/>
      <c r="Y13" s="242"/>
      <c r="Z13" s="242"/>
      <c r="AA13" s="242"/>
      <c r="AB13" s="242"/>
    </row>
    <row r="14">
      <c r="A14" s="242"/>
      <c r="B14" s="547">
        <v>12.0</v>
      </c>
      <c r="C14" s="641" t="s">
        <v>4031</v>
      </c>
      <c r="D14" s="547">
        <v>16.0</v>
      </c>
      <c r="E14" s="547" t="s">
        <v>4030</v>
      </c>
      <c r="F14" s="542">
        <v>0.27</v>
      </c>
      <c r="G14" s="702">
        <v>2860.0</v>
      </c>
      <c r="H14" s="702">
        <f t="shared" si="1"/>
        <v>12870</v>
      </c>
      <c r="I14" s="242"/>
      <c r="J14" s="242"/>
      <c r="K14" s="242"/>
      <c r="L14" s="242"/>
      <c r="M14" s="242"/>
      <c r="N14" s="242"/>
      <c r="O14" s="242"/>
      <c r="P14" s="242"/>
      <c r="Q14" s="242"/>
      <c r="R14" s="242"/>
      <c r="S14" s="242"/>
      <c r="T14" s="242"/>
      <c r="U14" s="242"/>
      <c r="V14" s="242"/>
      <c r="W14" s="242"/>
      <c r="X14" s="242"/>
      <c r="Y14" s="242"/>
      <c r="Z14" s="242"/>
      <c r="AA14" s="242"/>
      <c r="AB14" s="242"/>
    </row>
    <row r="15">
      <c r="A15" s="242"/>
      <c r="B15" s="547">
        <v>13.0</v>
      </c>
      <c r="C15" s="176"/>
      <c r="D15" s="547">
        <v>20.0</v>
      </c>
      <c r="E15" s="547" t="s">
        <v>4032</v>
      </c>
      <c r="F15" s="542">
        <v>0.36</v>
      </c>
      <c r="G15" s="702">
        <v>3240.0</v>
      </c>
      <c r="H15" s="702">
        <f t="shared" si="1"/>
        <v>14580</v>
      </c>
      <c r="I15" s="242"/>
      <c r="J15" s="242"/>
      <c r="K15" s="242"/>
      <c r="L15" s="242"/>
      <c r="M15" s="242"/>
      <c r="N15" s="242"/>
      <c r="O15" s="242"/>
      <c r="P15" s="242"/>
      <c r="Q15" s="242"/>
      <c r="R15" s="242"/>
      <c r="S15" s="242"/>
      <c r="T15" s="242"/>
      <c r="U15" s="242"/>
      <c r="V15" s="242"/>
      <c r="W15" s="242"/>
      <c r="X15" s="242"/>
      <c r="Y15" s="242"/>
      <c r="Z15" s="242"/>
      <c r="AA15" s="242"/>
      <c r="AB15" s="242"/>
    </row>
    <row r="16">
      <c r="A16" s="242"/>
      <c r="B16" s="547">
        <v>14.0</v>
      </c>
      <c r="C16" s="41"/>
      <c r="D16" s="547">
        <v>26.0</v>
      </c>
      <c r="E16" s="547" t="s">
        <v>4033</v>
      </c>
      <c r="F16" s="542">
        <v>0.64</v>
      </c>
      <c r="G16" s="702">
        <v>3740.0</v>
      </c>
      <c r="H16" s="702">
        <f t="shared" si="1"/>
        <v>16830</v>
      </c>
      <c r="I16" s="242"/>
      <c r="J16" s="242"/>
      <c r="K16" s="242"/>
      <c r="L16" s="242"/>
      <c r="M16" s="242"/>
      <c r="N16" s="242"/>
      <c r="O16" s="242"/>
      <c r="P16" s="242"/>
      <c r="Q16" s="242"/>
      <c r="R16" s="242"/>
      <c r="S16" s="242"/>
      <c r="T16" s="242"/>
      <c r="U16" s="242"/>
      <c r="V16" s="242"/>
      <c r="W16" s="242"/>
      <c r="X16" s="242"/>
      <c r="Y16" s="242"/>
      <c r="Z16" s="242"/>
      <c r="AA16" s="242"/>
      <c r="AB16" s="242"/>
    </row>
    <row r="17">
      <c r="A17" s="242"/>
      <c r="B17" s="547">
        <v>15.0</v>
      </c>
      <c r="C17" s="548" t="s">
        <v>4035</v>
      </c>
      <c r="D17" s="547" t="s">
        <v>4338</v>
      </c>
      <c r="E17" s="547" t="s">
        <v>4034</v>
      </c>
      <c r="F17" s="542">
        <v>1.95</v>
      </c>
      <c r="G17" s="702">
        <v>4730.0</v>
      </c>
      <c r="H17" s="702">
        <f t="shared" si="1"/>
        <v>21285</v>
      </c>
      <c r="I17" s="242"/>
      <c r="J17" s="242"/>
      <c r="K17" s="242"/>
      <c r="L17" s="242"/>
      <c r="M17" s="242"/>
      <c r="N17" s="242"/>
      <c r="O17" s="242"/>
      <c r="P17" s="242"/>
      <c r="Q17" s="242"/>
      <c r="R17" s="242"/>
      <c r="S17" s="242"/>
      <c r="T17" s="242"/>
      <c r="U17" s="242"/>
      <c r="V17" s="242"/>
      <c r="W17" s="242"/>
      <c r="X17" s="242"/>
      <c r="Y17" s="242"/>
      <c r="Z17" s="242"/>
      <c r="AA17" s="242"/>
      <c r="AB17" s="242"/>
    </row>
    <row r="18">
      <c r="A18" s="242"/>
      <c r="B18" s="547">
        <v>16.0</v>
      </c>
      <c r="C18" s="548" t="s">
        <v>4037</v>
      </c>
      <c r="D18" s="547" t="s">
        <v>4340</v>
      </c>
      <c r="E18" s="547" t="s">
        <v>4036</v>
      </c>
      <c r="F18" s="542">
        <v>2.4</v>
      </c>
      <c r="G18" s="702">
        <v>2200.0</v>
      </c>
      <c r="H18" s="702">
        <f t="shared" si="1"/>
        <v>9900</v>
      </c>
      <c r="I18" s="242"/>
      <c r="J18" s="242"/>
      <c r="K18" s="242"/>
      <c r="L18" s="242"/>
      <c r="M18" s="242"/>
      <c r="N18" s="242"/>
      <c r="O18" s="242"/>
      <c r="P18" s="242"/>
      <c r="Q18" s="242"/>
      <c r="R18" s="242"/>
      <c r="S18" s="242"/>
      <c r="T18" s="242"/>
      <c r="U18" s="242"/>
      <c r="V18" s="242"/>
      <c r="W18" s="242"/>
      <c r="X18" s="242"/>
      <c r="Y18" s="242"/>
      <c r="Z18" s="242"/>
      <c r="AA18" s="242"/>
      <c r="AB18" s="242"/>
    </row>
    <row r="19">
      <c r="A19" s="242"/>
      <c r="B19" s="530"/>
      <c r="C19" s="534"/>
      <c r="D19" s="530"/>
      <c r="E19" s="530"/>
      <c r="F19" s="530"/>
      <c r="G19" s="530"/>
      <c r="H19" s="530"/>
      <c r="I19" s="242"/>
      <c r="J19" s="242"/>
      <c r="K19" s="242"/>
      <c r="L19" s="242"/>
      <c r="M19" s="242"/>
      <c r="N19" s="242"/>
      <c r="O19" s="242"/>
      <c r="P19" s="242"/>
      <c r="Q19" s="242"/>
      <c r="R19" s="242"/>
      <c r="S19" s="242"/>
      <c r="T19" s="242"/>
      <c r="U19" s="242"/>
      <c r="V19" s="242"/>
      <c r="W19" s="242"/>
      <c r="X19" s="242"/>
      <c r="Y19" s="242"/>
      <c r="Z19" s="242"/>
      <c r="AA19" s="242"/>
      <c r="AB19" s="242"/>
    </row>
    <row r="20">
      <c r="A20" s="242"/>
      <c r="B20" s="530"/>
      <c r="C20" s="534"/>
      <c r="D20" s="530"/>
      <c r="E20" s="530"/>
      <c r="F20" s="530"/>
      <c r="G20" s="530"/>
      <c r="H20" s="530"/>
      <c r="I20" s="242"/>
      <c r="J20" s="242"/>
      <c r="K20" s="242"/>
      <c r="L20" s="242"/>
      <c r="M20" s="242"/>
      <c r="N20" s="242"/>
      <c r="O20" s="242"/>
      <c r="P20" s="242"/>
      <c r="Q20" s="242"/>
      <c r="R20" s="242"/>
      <c r="S20" s="242"/>
      <c r="T20" s="242"/>
      <c r="U20" s="242"/>
      <c r="V20" s="242"/>
      <c r="W20" s="242"/>
      <c r="X20" s="242"/>
      <c r="Y20" s="242"/>
      <c r="Z20" s="242"/>
      <c r="AA20" s="242"/>
      <c r="AB20" s="242"/>
    </row>
    <row r="21">
      <c r="A21" s="242"/>
      <c r="B21" s="530"/>
      <c r="C21" s="534"/>
      <c r="D21" s="530"/>
      <c r="E21" s="530"/>
      <c r="F21" s="530"/>
      <c r="G21" s="530"/>
      <c r="H21" s="530"/>
      <c r="I21" s="242"/>
      <c r="J21" s="242"/>
      <c r="K21" s="242"/>
      <c r="L21" s="242"/>
      <c r="M21" s="242"/>
      <c r="N21" s="242"/>
      <c r="O21" s="242"/>
      <c r="P21" s="242"/>
      <c r="Q21" s="242"/>
      <c r="R21" s="242"/>
      <c r="S21" s="242"/>
      <c r="T21" s="242"/>
      <c r="U21" s="242"/>
      <c r="V21" s="242"/>
      <c r="W21" s="242"/>
      <c r="X21" s="242"/>
      <c r="Y21" s="242"/>
      <c r="Z21" s="242"/>
      <c r="AA21" s="242"/>
      <c r="AB21" s="242"/>
    </row>
    <row r="22">
      <c r="A22" s="242"/>
      <c r="B22" s="530"/>
      <c r="C22" s="534"/>
      <c r="D22" s="530"/>
      <c r="E22" s="530"/>
      <c r="F22" s="530"/>
      <c r="G22" s="530"/>
      <c r="H22" s="530"/>
      <c r="I22" s="242"/>
      <c r="J22" s="242"/>
      <c r="K22" s="242"/>
      <c r="L22" s="242"/>
      <c r="M22" s="242"/>
      <c r="N22" s="242"/>
      <c r="O22" s="242"/>
      <c r="P22" s="242"/>
      <c r="Q22" s="242"/>
      <c r="R22" s="242"/>
      <c r="S22" s="242"/>
      <c r="T22" s="242"/>
      <c r="U22" s="242"/>
      <c r="V22" s="242"/>
      <c r="W22" s="242"/>
      <c r="X22" s="242"/>
      <c r="Y22" s="242"/>
      <c r="Z22" s="242"/>
      <c r="AA22" s="242"/>
      <c r="AB22" s="242"/>
    </row>
    <row r="23">
      <c r="A23" s="242"/>
      <c r="B23" s="530"/>
      <c r="C23" s="534"/>
      <c r="D23" s="530"/>
      <c r="E23" s="530"/>
      <c r="F23" s="530"/>
      <c r="G23" s="530"/>
      <c r="H23" s="530"/>
      <c r="I23" s="242"/>
      <c r="J23" s="242"/>
      <c r="K23" s="242"/>
      <c r="L23" s="242"/>
      <c r="M23" s="242"/>
      <c r="N23" s="242"/>
      <c r="O23" s="242"/>
      <c r="P23" s="242"/>
      <c r="Q23" s="242"/>
      <c r="R23" s="242"/>
      <c r="S23" s="242"/>
      <c r="T23" s="242"/>
      <c r="U23" s="242"/>
      <c r="V23" s="242"/>
      <c r="W23" s="242"/>
      <c r="X23" s="242"/>
      <c r="Y23" s="242"/>
      <c r="Z23" s="242"/>
      <c r="AA23" s="242"/>
      <c r="AB23" s="242"/>
    </row>
    <row r="24">
      <c r="A24" s="242"/>
      <c r="B24" s="530"/>
      <c r="C24" s="534"/>
      <c r="D24" s="530"/>
      <c r="E24" s="530"/>
      <c r="F24" s="530"/>
      <c r="G24" s="530"/>
      <c r="H24" s="530"/>
      <c r="I24" s="242"/>
      <c r="J24" s="242"/>
      <c r="K24" s="242"/>
      <c r="L24" s="242"/>
      <c r="M24" s="242"/>
      <c r="N24" s="242"/>
      <c r="O24" s="242"/>
      <c r="P24" s="242"/>
      <c r="Q24" s="242"/>
      <c r="R24" s="242"/>
      <c r="S24" s="242"/>
      <c r="T24" s="242"/>
      <c r="U24" s="242"/>
      <c r="V24" s="242"/>
      <c r="W24" s="242"/>
      <c r="X24" s="242"/>
      <c r="Y24" s="242"/>
      <c r="Z24" s="242"/>
      <c r="AA24" s="242"/>
      <c r="AB24" s="242"/>
    </row>
    <row r="25">
      <c r="A25" s="242"/>
      <c r="B25" s="530"/>
      <c r="C25" s="534"/>
      <c r="D25" s="530"/>
      <c r="E25" s="530"/>
      <c r="F25" s="530"/>
      <c r="G25" s="530"/>
      <c r="H25" s="530"/>
      <c r="I25" s="242"/>
      <c r="J25" s="242"/>
      <c r="K25" s="242"/>
      <c r="L25" s="242"/>
      <c r="M25" s="242"/>
      <c r="N25" s="242"/>
      <c r="O25" s="242"/>
      <c r="P25" s="242"/>
      <c r="Q25" s="242"/>
      <c r="R25" s="242"/>
      <c r="S25" s="242"/>
      <c r="T25" s="242"/>
      <c r="U25" s="242"/>
      <c r="V25" s="242"/>
      <c r="W25" s="242"/>
      <c r="X25" s="242"/>
      <c r="Y25" s="242"/>
      <c r="Z25" s="242"/>
      <c r="AA25" s="242"/>
      <c r="AB25" s="242"/>
    </row>
    <row r="26">
      <c r="A26" s="242"/>
      <c r="B26" s="13"/>
      <c r="C26" s="242"/>
      <c r="D26" s="13"/>
      <c r="E26" s="13"/>
      <c r="F26" s="13"/>
      <c r="G26" s="13"/>
      <c r="H26" s="13"/>
      <c r="I26" s="242"/>
      <c r="J26" s="242"/>
      <c r="K26" s="242"/>
      <c r="L26" s="242"/>
      <c r="M26" s="242"/>
      <c r="N26" s="242"/>
      <c r="O26" s="242"/>
      <c r="P26" s="242"/>
      <c r="Q26" s="242"/>
      <c r="R26" s="242"/>
      <c r="S26" s="242"/>
      <c r="T26" s="242"/>
      <c r="U26" s="242"/>
      <c r="V26" s="242"/>
      <c r="W26" s="242"/>
      <c r="X26" s="242"/>
      <c r="Y26" s="242"/>
      <c r="Z26" s="242"/>
      <c r="AA26" s="242"/>
      <c r="AB26" s="242"/>
    </row>
    <row r="27">
      <c r="A27" s="242"/>
      <c r="B27" s="13"/>
      <c r="C27" s="242"/>
      <c r="D27" s="13"/>
      <c r="E27" s="13"/>
      <c r="F27" s="13"/>
      <c r="G27" s="13"/>
      <c r="H27" s="13"/>
      <c r="I27" s="242"/>
      <c r="J27" s="242"/>
      <c r="K27" s="242"/>
      <c r="L27" s="242"/>
      <c r="M27" s="242"/>
      <c r="N27" s="242"/>
      <c r="O27" s="242"/>
      <c r="P27" s="242"/>
      <c r="Q27" s="242"/>
      <c r="R27" s="242"/>
      <c r="S27" s="242"/>
      <c r="T27" s="242"/>
      <c r="U27" s="242"/>
      <c r="V27" s="242"/>
      <c r="W27" s="242"/>
      <c r="X27" s="242"/>
      <c r="Y27" s="242"/>
      <c r="Z27" s="242"/>
      <c r="AA27" s="242"/>
      <c r="AB27" s="242"/>
    </row>
    <row r="28">
      <c r="A28" s="242"/>
      <c r="B28" s="13"/>
      <c r="C28" s="242"/>
      <c r="D28" s="13"/>
      <c r="E28" s="13"/>
      <c r="F28" s="13"/>
      <c r="G28" s="13"/>
      <c r="H28" s="13"/>
      <c r="I28" s="242"/>
      <c r="J28" s="242"/>
      <c r="K28" s="242"/>
      <c r="L28" s="242"/>
      <c r="M28" s="242"/>
      <c r="N28" s="242"/>
      <c r="O28" s="242"/>
      <c r="P28" s="242"/>
      <c r="Q28" s="242"/>
      <c r="R28" s="242"/>
      <c r="S28" s="242"/>
      <c r="T28" s="242"/>
      <c r="U28" s="242"/>
      <c r="V28" s="242"/>
      <c r="W28" s="242"/>
      <c r="X28" s="242"/>
      <c r="Y28" s="242"/>
      <c r="Z28" s="242"/>
      <c r="AA28" s="242"/>
      <c r="AB28" s="242"/>
    </row>
    <row r="29">
      <c r="A29" s="242"/>
      <c r="B29" s="13"/>
      <c r="C29" s="242"/>
      <c r="D29" s="13"/>
      <c r="E29" s="13"/>
      <c r="F29" s="13"/>
      <c r="G29" s="13"/>
      <c r="H29" s="13"/>
      <c r="I29" s="242"/>
      <c r="J29" s="242"/>
      <c r="K29" s="242"/>
      <c r="L29" s="242"/>
      <c r="M29" s="242"/>
      <c r="N29" s="242"/>
      <c r="O29" s="242"/>
      <c r="P29" s="242"/>
      <c r="Q29" s="242"/>
      <c r="R29" s="242"/>
      <c r="S29" s="242"/>
      <c r="T29" s="242"/>
      <c r="U29" s="242"/>
      <c r="V29" s="242"/>
      <c r="W29" s="242"/>
      <c r="X29" s="242"/>
      <c r="Y29" s="242"/>
      <c r="Z29" s="242"/>
      <c r="AA29" s="242"/>
      <c r="AB29" s="242"/>
    </row>
    <row r="30">
      <c r="A30" s="242"/>
      <c r="B30" s="13"/>
      <c r="C30" s="242"/>
      <c r="D30" s="13"/>
      <c r="E30" s="13"/>
      <c r="F30" s="13"/>
      <c r="G30" s="13"/>
      <c r="H30" s="13"/>
      <c r="I30" s="242"/>
      <c r="J30" s="242"/>
      <c r="K30" s="242"/>
      <c r="L30" s="242"/>
      <c r="M30" s="242"/>
      <c r="N30" s="242"/>
      <c r="O30" s="242"/>
      <c r="P30" s="242"/>
      <c r="Q30" s="242"/>
      <c r="R30" s="242"/>
      <c r="S30" s="242"/>
      <c r="T30" s="242"/>
      <c r="U30" s="242"/>
      <c r="V30" s="242"/>
      <c r="W30" s="242"/>
      <c r="X30" s="242"/>
      <c r="Y30" s="242"/>
      <c r="Z30" s="242"/>
      <c r="AA30" s="242"/>
      <c r="AB30" s="242"/>
    </row>
    <row r="31">
      <c r="A31" s="242"/>
      <c r="B31" s="13"/>
      <c r="C31" s="242"/>
      <c r="D31" s="13"/>
      <c r="E31" s="13"/>
      <c r="F31" s="13"/>
      <c r="G31" s="13"/>
      <c r="H31" s="13"/>
      <c r="I31" s="242"/>
      <c r="J31" s="242"/>
      <c r="K31" s="242"/>
      <c r="L31" s="242"/>
      <c r="M31" s="242"/>
      <c r="N31" s="242"/>
      <c r="O31" s="242"/>
      <c r="P31" s="242"/>
      <c r="Q31" s="242"/>
      <c r="R31" s="242"/>
      <c r="S31" s="242"/>
      <c r="T31" s="242"/>
      <c r="U31" s="242"/>
      <c r="V31" s="242"/>
      <c r="W31" s="242"/>
      <c r="X31" s="242"/>
      <c r="Y31" s="242"/>
      <c r="Z31" s="242"/>
      <c r="AA31" s="242"/>
      <c r="AB31" s="242"/>
    </row>
    <row r="32">
      <c r="A32" s="242"/>
      <c r="B32" s="13"/>
      <c r="C32" s="242"/>
      <c r="D32" s="13"/>
      <c r="E32" s="13"/>
      <c r="F32" s="13"/>
      <c r="G32" s="13"/>
      <c r="H32" s="13"/>
      <c r="I32" s="242"/>
      <c r="J32" s="242"/>
      <c r="K32" s="242"/>
      <c r="L32" s="242"/>
      <c r="M32" s="242"/>
      <c r="N32" s="242"/>
      <c r="O32" s="242"/>
      <c r="P32" s="242"/>
      <c r="Q32" s="242"/>
      <c r="R32" s="242"/>
      <c r="S32" s="242"/>
      <c r="T32" s="242"/>
      <c r="U32" s="242"/>
      <c r="V32" s="242"/>
      <c r="W32" s="242"/>
      <c r="X32" s="242"/>
      <c r="Y32" s="242"/>
      <c r="Z32" s="242"/>
      <c r="AA32" s="242"/>
      <c r="AB32" s="242"/>
    </row>
    <row r="33">
      <c r="A33" s="242"/>
      <c r="B33" s="13"/>
      <c r="C33" s="242"/>
      <c r="D33" s="13"/>
      <c r="E33" s="13"/>
      <c r="F33" s="13"/>
      <c r="G33" s="13"/>
      <c r="H33" s="13"/>
      <c r="I33" s="242"/>
      <c r="J33" s="242"/>
      <c r="K33" s="242"/>
      <c r="L33" s="242"/>
      <c r="M33" s="242"/>
      <c r="N33" s="242"/>
      <c r="O33" s="242"/>
      <c r="P33" s="242"/>
      <c r="Q33" s="242"/>
      <c r="R33" s="242"/>
      <c r="S33" s="242"/>
      <c r="T33" s="242"/>
      <c r="U33" s="242"/>
      <c r="V33" s="242"/>
      <c r="W33" s="242"/>
      <c r="X33" s="242"/>
      <c r="Y33" s="242"/>
      <c r="Z33" s="242"/>
      <c r="AA33" s="242"/>
      <c r="AB33" s="242"/>
    </row>
    <row r="34">
      <c r="A34" s="242"/>
      <c r="B34" s="13"/>
      <c r="C34" s="242"/>
      <c r="D34" s="13"/>
      <c r="E34" s="13"/>
      <c r="F34" s="13"/>
      <c r="G34" s="13"/>
      <c r="H34" s="13"/>
      <c r="I34" s="242"/>
      <c r="J34" s="242"/>
      <c r="K34" s="242"/>
      <c r="L34" s="242"/>
      <c r="M34" s="242"/>
      <c r="N34" s="242"/>
      <c r="O34" s="242"/>
      <c r="P34" s="242"/>
      <c r="Q34" s="242"/>
      <c r="R34" s="242"/>
      <c r="S34" s="242"/>
      <c r="T34" s="242"/>
      <c r="U34" s="242"/>
      <c r="V34" s="242"/>
      <c r="W34" s="242"/>
      <c r="X34" s="242"/>
      <c r="Y34" s="242"/>
      <c r="Z34" s="242"/>
      <c r="AA34" s="242"/>
      <c r="AB34" s="242"/>
    </row>
    <row r="35">
      <c r="A35" s="242"/>
      <c r="B35" s="13"/>
      <c r="C35" s="242"/>
      <c r="D35" s="13"/>
      <c r="E35" s="13"/>
      <c r="F35" s="13"/>
      <c r="G35" s="13"/>
      <c r="H35" s="13"/>
      <c r="I35" s="242"/>
      <c r="J35" s="242"/>
      <c r="K35" s="242"/>
      <c r="L35" s="242"/>
      <c r="M35" s="242"/>
      <c r="N35" s="242"/>
      <c r="O35" s="242"/>
      <c r="P35" s="242"/>
      <c r="Q35" s="242"/>
      <c r="R35" s="242"/>
      <c r="S35" s="242"/>
      <c r="T35" s="242"/>
      <c r="U35" s="242"/>
      <c r="V35" s="242"/>
      <c r="W35" s="242"/>
      <c r="X35" s="242"/>
      <c r="Y35" s="242"/>
      <c r="Z35" s="242"/>
      <c r="AA35" s="242"/>
      <c r="AB35" s="242"/>
    </row>
    <row r="36">
      <c r="A36" s="242"/>
      <c r="B36" s="13"/>
      <c r="C36" s="242"/>
      <c r="D36" s="13"/>
      <c r="E36" s="13"/>
      <c r="F36" s="13"/>
      <c r="G36" s="13"/>
      <c r="H36" s="13"/>
      <c r="I36" s="242"/>
      <c r="J36" s="242"/>
      <c r="K36" s="242"/>
      <c r="L36" s="242"/>
      <c r="M36" s="242"/>
      <c r="N36" s="242"/>
      <c r="O36" s="242"/>
      <c r="P36" s="242"/>
      <c r="Q36" s="242"/>
      <c r="R36" s="242"/>
      <c r="S36" s="242"/>
      <c r="T36" s="242"/>
      <c r="U36" s="242"/>
      <c r="V36" s="242"/>
      <c r="W36" s="242"/>
      <c r="X36" s="242"/>
      <c r="Y36" s="242"/>
      <c r="Z36" s="242"/>
      <c r="AA36" s="242"/>
      <c r="AB36" s="242"/>
    </row>
    <row r="37">
      <c r="A37" s="242"/>
      <c r="B37" s="13"/>
      <c r="C37" s="242"/>
      <c r="D37" s="13"/>
      <c r="E37" s="13"/>
      <c r="F37" s="13"/>
      <c r="G37" s="13"/>
      <c r="H37" s="13"/>
      <c r="I37" s="242"/>
      <c r="J37" s="242"/>
      <c r="K37" s="242"/>
      <c r="L37" s="242"/>
      <c r="M37" s="242"/>
      <c r="N37" s="242"/>
      <c r="O37" s="242"/>
      <c r="P37" s="242"/>
      <c r="Q37" s="242"/>
      <c r="R37" s="242"/>
      <c r="S37" s="242"/>
      <c r="T37" s="242"/>
      <c r="U37" s="242"/>
      <c r="V37" s="242"/>
      <c r="W37" s="242"/>
      <c r="X37" s="242"/>
      <c r="Y37" s="242"/>
      <c r="Z37" s="242"/>
      <c r="AA37" s="242"/>
      <c r="AB37" s="242"/>
    </row>
    <row r="38">
      <c r="A38" s="242"/>
      <c r="B38" s="13"/>
      <c r="C38" s="242"/>
      <c r="D38" s="13"/>
      <c r="E38" s="13"/>
      <c r="F38" s="13"/>
      <c r="G38" s="13"/>
      <c r="H38" s="13"/>
      <c r="I38" s="242"/>
      <c r="J38" s="242"/>
      <c r="K38" s="242"/>
      <c r="L38" s="242"/>
      <c r="M38" s="242"/>
      <c r="N38" s="242"/>
      <c r="O38" s="242"/>
      <c r="P38" s="242"/>
      <c r="Q38" s="242"/>
      <c r="R38" s="242"/>
      <c r="S38" s="242"/>
      <c r="T38" s="242"/>
      <c r="U38" s="242"/>
      <c r="V38" s="242"/>
      <c r="W38" s="242"/>
      <c r="X38" s="242"/>
      <c r="Y38" s="242"/>
      <c r="Z38" s="242"/>
      <c r="AA38" s="242"/>
      <c r="AB38" s="242"/>
    </row>
    <row r="39">
      <c r="A39" s="242"/>
      <c r="B39" s="13"/>
      <c r="C39" s="242"/>
      <c r="D39" s="13"/>
      <c r="E39" s="13"/>
      <c r="F39" s="13"/>
      <c r="G39" s="13"/>
      <c r="H39" s="13"/>
      <c r="I39" s="242"/>
      <c r="J39" s="242"/>
      <c r="K39" s="242"/>
      <c r="L39" s="242"/>
      <c r="M39" s="242"/>
      <c r="N39" s="242"/>
      <c r="O39" s="242"/>
      <c r="P39" s="242"/>
      <c r="Q39" s="242"/>
      <c r="R39" s="242"/>
      <c r="S39" s="242"/>
      <c r="T39" s="242"/>
      <c r="U39" s="242"/>
      <c r="V39" s="242"/>
      <c r="W39" s="242"/>
      <c r="X39" s="242"/>
      <c r="Y39" s="242"/>
      <c r="Z39" s="242"/>
      <c r="AA39" s="242"/>
      <c r="AB39" s="242"/>
    </row>
    <row r="40">
      <c r="A40" s="242"/>
      <c r="B40" s="13"/>
      <c r="C40" s="242"/>
      <c r="D40" s="13"/>
      <c r="E40" s="13"/>
      <c r="F40" s="13"/>
      <c r="G40" s="13"/>
      <c r="H40" s="13"/>
      <c r="I40" s="242"/>
      <c r="J40" s="242"/>
      <c r="K40" s="242"/>
      <c r="L40" s="242"/>
      <c r="M40" s="242"/>
      <c r="N40" s="242"/>
      <c r="O40" s="242"/>
      <c r="P40" s="242"/>
      <c r="Q40" s="242"/>
      <c r="R40" s="242"/>
      <c r="S40" s="242"/>
      <c r="T40" s="242"/>
      <c r="U40" s="242"/>
      <c r="V40" s="242"/>
      <c r="W40" s="242"/>
      <c r="X40" s="242"/>
      <c r="Y40" s="242"/>
      <c r="Z40" s="242"/>
      <c r="AA40" s="242"/>
      <c r="AB40" s="242"/>
    </row>
    <row r="41">
      <c r="A41" s="242"/>
      <c r="B41" s="13"/>
      <c r="C41" s="242"/>
      <c r="D41" s="13"/>
      <c r="E41" s="13"/>
      <c r="F41" s="13"/>
      <c r="G41" s="13"/>
      <c r="H41" s="13"/>
      <c r="I41" s="242"/>
      <c r="J41" s="242"/>
      <c r="K41" s="242"/>
      <c r="L41" s="242"/>
      <c r="M41" s="242"/>
      <c r="N41" s="242"/>
      <c r="O41" s="242"/>
      <c r="P41" s="242"/>
      <c r="Q41" s="242"/>
      <c r="R41" s="242"/>
      <c r="S41" s="242"/>
      <c r="T41" s="242"/>
      <c r="U41" s="242"/>
      <c r="V41" s="242"/>
      <c r="W41" s="242"/>
      <c r="X41" s="242"/>
      <c r="Y41" s="242"/>
      <c r="Z41" s="242"/>
      <c r="AA41" s="242"/>
      <c r="AB41" s="242"/>
    </row>
    <row r="42">
      <c r="A42" s="242"/>
      <c r="B42" s="13"/>
      <c r="C42" s="242"/>
      <c r="D42" s="13"/>
      <c r="E42" s="13"/>
      <c r="F42" s="13"/>
      <c r="G42" s="13"/>
      <c r="H42" s="13"/>
      <c r="I42" s="242"/>
      <c r="J42" s="242"/>
      <c r="K42" s="242"/>
      <c r="L42" s="242"/>
      <c r="M42" s="242"/>
      <c r="N42" s="242"/>
      <c r="O42" s="242"/>
      <c r="P42" s="242"/>
      <c r="Q42" s="242"/>
      <c r="R42" s="242"/>
      <c r="S42" s="242"/>
      <c r="T42" s="242"/>
      <c r="U42" s="242"/>
      <c r="V42" s="242"/>
      <c r="W42" s="242"/>
      <c r="X42" s="242"/>
      <c r="Y42" s="242"/>
      <c r="Z42" s="242"/>
      <c r="AA42" s="242"/>
      <c r="AB42" s="242"/>
    </row>
    <row r="43">
      <c r="A43" s="242"/>
      <c r="B43" s="13"/>
      <c r="C43" s="242"/>
      <c r="D43" s="13"/>
      <c r="E43" s="13"/>
      <c r="F43" s="13"/>
      <c r="G43" s="13"/>
      <c r="H43" s="13"/>
      <c r="I43" s="242"/>
      <c r="J43" s="242"/>
      <c r="K43" s="242"/>
      <c r="L43" s="242"/>
      <c r="M43" s="242"/>
      <c r="N43" s="242"/>
      <c r="O43" s="242"/>
      <c r="P43" s="242"/>
      <c r="Q43" s="242"/>
      <c r="R43" s="242"/>
      <c r="S43" s="242"/>
      <c r="T43" s="242"/>
      <c r="U43" s="242"/>
      <c r="V43" s="242"/>
      <c r="W43" s="242"/>
      <c r="X43" s="242"/>
      <c r="Y43" s="242"/>
      <c r="Z43" s="242"/>
      <c r="AA43" s="242"/>
      <c r="AB43" s="242"/>
    </row>
    <row r="44">
      <c r="A44" s="242"/>
      <c r="B44" s="13"/>
      <c r="C44" s="242"/>
      <c r="D44" s="13"/>
      <c r="E44" s="13"/>
      <c r="F44" s="13"/>
      <c r="G44" s="13"/>
      <c r="H44" s="13"/>
      <c r="I44" s="242"/>
      <c r="J44" s="242"/>
      <c r="K44" s="242"/>
      <c r="L44" s="242"/>
      <c r="M44" s="242"/>
      <c r="N44" s="242"/>
      <c r="O44" s="242"/>
      <c r="P44" s="242"/>
      <c r="Q44" s="242"/>
      <c r="R44" s="242"/>
      <c r="S44" s="242"/>
      <c r="T44" s="242"/>
      <c r="U44" s="242"/>
      <c r="V44" s="242"/>
      <c r="W44" s="242"/>
      <c r="X44" s="242"/>
      <c r="Y44" s="242"/>
      <c r="Z44" s="242"/>
      <c r="AA44" s="242"/>
      <c r="AB44" s="242"/>
    </row>
    <row r="45">
      <c r="A45" s="242"/>
      <c r="B45" s="13"/>
      <c r="C45" s="242"/>
      <c r="D45" s="13"/>
      <c r="E45" s="13"/>
      <c r="F45" s="13"/>
      <c r="G45" s="13"/>
      <c r="H45" s="13"/>
      <c r="I45" s="242"/>
      <c r="J45" s="242"/>
      <c r="K45" s="242"/>
      <c r="L45" s="242"/>
      <c r="M45" s="242"/>
      <c r="N45" s="242"/>
      <c r="O45" s="242"/>
      <c r="P45" s="242"/>
      <c r="Q45" s="242"/>
      <c r="R45" s="242"/>
      <c r="S45" s="242"/>
      <c r="T45" s="242"/>
      <c r="U45" s="242"/>
      <c r="V45" s="242"/>
      <c r="W45" s="242"/>
      <c r="X45" s="242"/>
      <c r="Y45" s="242"/>
      <c r="Z45" s="242"/>
      <c r="AA45" s="242"/>
      <c r="AB45" s="242"/>
    </row>
    <row r="46">
      <c r="A46" s="242"/>
      <c r="B46" s="13"/>
      <c r="C46" s="242"/>
      <c r="D46" s="13"/>
      <c r="E46" s="13"/>
      <c r="F46" s="13"/>
      <c r="G46" s="13"/>
      <c r="H46" s="13"/>
      <c r="I46" s="242"/>
      <c r="J46" s="242"/>
      <c r="K46" s="242"/>
      <c r="L46" s="242"/>
      <c r="M46" s="242"/>
      <c r="N46" s="242"/>
      <c r="O46" s="242"/>
      <c r="P46" s="242"/>
      <c r="Q46" s="242"/>
      <c r="R46" s="242"/>
      <c r="S46" s="242"/>
      <c r="T46" s="242"/>
      <c r="U46" s="242"/>
      <c r="V46" s="242"/>
      <c r="W46" s="242"/>
      <c r="X46" s="242"/>
      <c r="Y46" s="242"/>
      <c r="Z46" s="242"/>
      <c r="AA46" s="242"/>
      <c r="AB46" s="242"/>
    </row>
    <row r="47">
      <c r="A47" s="242"/>
      <c r="B47" s="13"/>
      <c r="C47" s="242"/>
      <c r="D47" s="13"/>
      <c r="E47" s="13"/>
      <c r="F47" s="13"/>
      <c r="G47" s="13"/>
      <c r="H47" s="13"/>
      <c r="I47" s="242"/>
      <c r="J47" s="242"/>
      <c r="K47" s="242"/>
      <c r="L47" s="242"/>
      <c r="M47" s="242"/>
      <c r="N47" s="242"/>
      <c r="O47" s="242"/>
      <c r="P47" s="242"/>
      <c r="Q47" s="242"/>
      <c r="R47" s="242"/>
      <c r="S47" s="242"/>
      <c r="T47" s="242"/>
      <c r="U47" s="242"/>
      <c r="V47" s="242"/>
      <c r="W47" s="242"/>
      <c r="X47" s="242"/>
      <c r="Y47" s="242"/>
      <c r="Z47" s="242"/>
      <c r="AA47" s="242"/>
      <c r="AB47" s="242"/>
    </row>
    <row r="48">
      <c r="A48" s="242"/>
      <c r="B48" s="13"/>
      <c r="C48" s="242"/>
      <c r="D48" s="13"/>
      <c r="E48" s="13"/>
      <c r="F48" s="13"/>
      <c r="G48" s="13"/>
      <c r="H48" s="13"/>
      <c r="I48" s="242"/>
      <c r="J48" s="242"/>
      <c r="K48" s="242"/>
      <c r="L48" s="242"/>
      <c r="M48" s="242"/>
      <c r="N48" s="242"/>
      <c r="O48" s="242"/>
      <c r="P48" s="242"/>
      <c r="Q48" s="242"/>
      <c r="R48" s="242"/>
      <c r="S48" s="242"/>
      <c r="T48" s="242"/>
      <c r="U48" s="242"/>
      <c r="V48" s="242"/>
      <c r="W48" s="242"/>
      <c r="X48" s="242"/>
      <c r="Y48" s="242"/>
      <c r="Z48" s="242"/>
      <c r="AA48" s="242"/>
      <c r="AB48" s="242"/>
    </row>
    <row r="49">
      <c r="A49" s="242"/>
      <c r="B49" s="13"/>
      <c r="C49" s="242"/>
      <c r="D49" s="13"/>
      <c r="E49" s="13"/>
      <c r="F49" s="13"/>
      <c r="G49" s="13"/>
      <c r="H49" s="13"/>
      <c r="I49" s="242"/>
      <c r="J49" s="242"/>
      <c r="K49" s="242"/>
      <c r="L49" s="242"/>
      <c r="M49" s="242"/>
      <c r="N49" s="242"/>
      <c r="O49" s="242"/>
      <c r="P49" s="242"/>
      <c r="Q49" s="242"/>
      <c r="R49" s="242"/>
      <c r="S49" s="242"/>
      <c r="T49" s="242"/>
      <c r="U49" s="242"/>
      <c r="V49" s="242"/>
      <c r="W49" s="242"/>
      <c r="X49" s="242"/>
      <c r="Y49" s="242"/>
      <c r="Z49" s="242"/>
      <c r="AA49" s="242"/>
      <c r="AB49" s="242"/>
    </row>
    <row r="50">
      <c r="A50" s="242"/>
      <c r="B50" s="13"/>
      <c r="C50" s="242"/>
      <c r="D50" s="13"/>
      <c r="E50" s="13"/>
      <c r="F50" s="13"/>
      <c r="G50" s="13"/>
      <c r="H50" s="13"/>
      <c r="I50" s="242"/>
      <c r="J50" s="242"/>
      <c r="K50" s="242"/>
      <c r="L50" s="242"/>
      <c r="M50" s="242"/>
      <c r="N50" s="242"/>
      <c r="O50" s="242"/>
      <c r="P50" s="242"/>
      <c r="Q50" s="242"/>
      <c r="R50" s="242"/>
      <c r="S50" s="242"/>
      <c r="T50" s="242"/>
      <c r="U50" s="242"/>
      <c r="V50" s="242"/>
      <c r="W50" s="242"/>
      <c r="X50" s="242"/>
      <c r="Y50" s="242"/>
      <c r="Z50" s="242"/>
      <c r="AA50" s="242"/>
      <c r="AB50" s="242"/>
    </row>
    <row r="51">
      <c r="A51" s="242"/>
      <c r="B51" s="13"/>
      <c r="C51" s="242"/>
      <c r="D51" s="13"/>
      <c r="E51" s="13"/>
      <c r="F51" s="13"/>
      <c r="G51" s="13"/>
      <c r="H51" s="13"/>
      <c r="I51" s="242"/>
      <c r="J51" s="242"/>
      <c r="K51" s="242"/>
      <c r="L51" s="242"/>
      <c r="M51" s="242"/>
      <c r="N51" s="242"/>
      <c r="O51" s="242"/>
      <c r="P51" s="242"/>
      <c r="Q51" s="242"/>
      <c r="R51" s="242"/>
      <c r="S51" s="242"/>
      <c r="T51" s="242"/>
      <c r="U51" s="242"/>
      <c r="V51" s="242"/>
      <c r="W51" s="242"/>
      <c r="X51" s="242"/>
      <c r="Y51" s="242"/>
      <c r="Z51" s="242"/>
      <c r="AA51" s="242"/>
      <c r="AB51" s="242"/>
    </row>
    <row r="52">
      <c r="A52" s="242"/>
      <c r="B52" s="13"/>
      <c r="C52" s="242"/>
      <c r="D52" s="13"/>
      <c r="E52" s="13"/>
      <c r="F52" s="13"/>
      <c r="G52" s="13"/>
      <c r="H52" s="13"/>
      <c r="I52" s="242"/>
      <c r="J52" s="242"/>
      <c r="K52" s="242"/>
      <c r="L52" s="242"/>
      <c r="M52" s="242"/>
      <c r="N52" s="242"/>
      <c r="O52" s="242"/>
      <c r="P52" s="242"/>
      <c r="Q52" s="242"/>
      <c r="R52" s="242"/>
      <c r="S52" s="242"/>
      <c r="T52" s="242"/>
      <c r="U52" s="242"/>
      <c r="V52" s="242"/>
      <c r="W52" s="242"/>
      <c r="X52" s="242"/>
      <c r="Y52" s="242"/>
      <c r="Z52" s="242"/>
      <c r="AA52" s="242"/>
      <c r="AB52" s="242"/>
    </row>
    <row r="53">
      <c r="A53" s="242"/>
      <c r="B53" s="13"/>
      <c r="C53" s="242"/>
      <c r="D53" s="13"/>
      <c r="E53" s="13"/>
      <c r="F53" s="13"/>
      <c r="G53" s="13"/>
      <c r="H53" s="13"/>
      <c r="I53" s="242"/>
      <c r="J53" s="242"/>
      <c r="K53" s="242"/>
      <c r="L53" s="242"/>
      <c r="M53" s="242"/>
      <c r="N53" s="242"/>
      <c r="O53" s="242"/>
      <c r="P53" s="242"/>
      <c r="Q53" s="242"/>
      <c r="R53" s="242"/>
      <c r="S53" s="242"/>
      <c r="T53" s="242"/>
      <c r="U53" s="242"/>
      <c r="V53" s="242"/>
      <c r="W53" s="242"/>
      <c r="X53" s="242"/>
      <c r="Y53" s="242"/>
      <c r="Z53" s="242"/>
      <c r="AA53" s="242"/>
      <c r="AB53" s="242"/>
    </row>
    <row r="54">
      <c r="A54" s="242"/>
      <c r="B54" s="13"/>
      <c r="C54" s="242"/>
      <c r="D54" s="13"/>
      <c r="E54" s="13"/>
      <c r="F54" s="13"/>
      <c r="G54" s="13"/>
      <c r="H54" s="13"/>
      <c r="I54" s="242"/>
      <c r="J54" s="242"/>
      <c r="K54" s="242"/>
      <c r="L54" s="242"/>
      <c r="M54" s="242"/>
      <c r="N54" s="242"/>
      <c r="O54" s="242"/>
      <c r="P54" s="242"/>
      <c r="Q54" s="242"/>
      <c r="R54" s="242"/>
      <c r="S54" s="242"/>
      <c r="T54" s="242"/>
      <c r="U54" s="242"/>
      <c r="V54" s="242"/>
      <c r="W54" s="242"/>
      <c r="X54" s="242"/>
      <c r="Y54" s="242"/>
      <c r="Z54" s="242"/>
      <c r="AA54" s="242"/>
      <c r="AB54" s="242"/>
    </row>
    <row r="55">
      <c r="A55" s="242"/>
      <c r="B55" s="13"/>
      <c r="C55" s="242"/>
      <c r="D55" s="13"/>
      <c r="E55" s="13"/>
      <c r="F55" s="13"/>
      <c r="G55" s="13"/>
      <c r="H55" s="13"/>
      <c r="I55" s="242"/>
      <c r="J55" s="242"/>
      <c r="K55" s="242"/>
      <c r="L55" s="242"/>
      <c r="M55" s="242"/>
      <c r="N55" s="242"/>
      <c r="O55" s="242"/>
      <c r="P55" s="242"/>
      <c r="Q55" s="242"/>
      <c r="R55" s="242"/>
      <c r="S55" s="242"/>
      <c r="T55" s="242"/>
      <c r="U55" s="242"/>
      <c r="V55" s="242"/>
      <c r="W55" s="242"/>
      <c r="X55" s="242"/>
      <c r="Y55" s="242"/>
      <c r="Z55" s="242"/>
      <c r="AA55" s="242"/>
      <c r="AB55" s="242"/>
    </row>
    <row r="56">
      <c r="A56" s="242"/>
      <c r="B56" s="13"/>
      <c r="C56" s="242"/>
      <c r="D56" s="13"/>
      <c r="E56" s="13"/>
      <c r="F56" s="13"/>
      <c r="G56" s="13"/>
      <c r="H56" s="13"/>
      <c r="I56" s="242"/>
      <c r="J56" s="242"/>
      <c r="K56" s="242"/>
      <c r="L56" s="242"/>
      <c r="M56" s="242"/>
      <c r="N56" s="242"/>
      <c r="O56" s="242"/>
      <c r="P56" s="242"/>
      <c r="Q56" s="242"/>
      <c r="R56" s="242"/>
      <c r="S56" s="242"/>
      <c r="T56" s="242"/>
      <c r="U56" s="242"/>
      <c r="V56" s="242"/>
      <c r="W56" s="242"/>
      <c r="X56" s="242"/>
      <c r="Y56" s="242"/>
      <c r="Z56" s="242"/>
      <c r="AA56" s="242"/>
      <c r="AB56" s="242"/>
    </row>
    <row r="57">
      <c r="A57" s="242"/>
      <c r="B57" s="13"/>
      <c r="C57" s="242"/>
      <c r="D57" s="13"/>
      <c r="E57" s="13"/>
      <c r="F57" s="13"/>
      <c r="G57" s="13"/>
      <c r="H57" s="13"/>
      <c r="I57" s="242"/>
      <c r="J57" s="242"/>
      <c r="K57" s="242"/>
      <c r="L57" s="242"/>
      <c r="M57" s="242"/>
      <c r="N57" s="242"/>
      <c r="O57" s="242"/>
      <c r="P57" s="242"/>
      <c r="Q57" s="242"/>
      <c r="R57" s="242"/>
      <c r="S57" s="242"/>
      <c r="T57" s="242"/>
      <c r="U57" s="242"/>
      <c r="V57" s="242"/>
      <c r="W57" s="242"/>
      <c r="X57" s="242"/>
      <c r="Y57" s="242"/>
      <c r="Z57" s="242"/>
      <c r="AA57" s="242"/>
      <c r="AB57" s="242"/>
    </row>
    <row r="58">
      <c r="A58" s="242"/>
      <c r="B58" s="13"/>
      <c r="C58" s="242"/>
      <c r="D58" s="13"/>
      <c r="E58" s="13"/>
      <c r="F58" s="13"/>
      <c r="G58" s="13"/>
      <c r="H58" s="13"/>
      <c r="I58" s="242"/>
      <c r="J58" s="242"/>
      <c r="K58" s="242"/>
      <c r="L58" s="242"/>
      <c r="M58" s="242"/>
      <c r="N58" s="242"/>
      <c r="O58" s="242"/>
      <c r="P58" s="242"/>
      <c r="Q58" s="242"/>
      <c r="R58" s="242"/>
      <c r="S58" s="242"/>
      <c r="T58" s="242"/>
      <c r="U58" s="242"/>
      <c r="V58" s="242"/>
      <c r="W58" s="242"/>
      <c r="X58" s="242"/>
      <c r="Y58" s="242"/>
      <c r="Z58" s="242"/>
      <c r="AA58" s="242"/>
      <c r="AB58" s="242"/>
    </row>
    <row r="59">
      <c r="A59" s="242"/>
      <c r="B59" s="13"/>
      <c r="C59" s="242"/>
      <c r="D59" s="13"/>
      <c r="E59" s="13"/>
      <c r="F59" s="13"/>
      <c r="G59" s="13"/>
      <c r="H59" s="13"/>
      <c r="I59" s="242"/>
      <c r="J59" s="242"/>
      <c r="K59" s="242"/>
      <c r="L59" s="242"/>
      <c r="M59" s="242"/>
      <c r="N59" s="242"/>
      <c r="O59" s="242"/>
      <c r="P59" s="242"/>
      <c r="Q59" s="242"/>
      <c r="R59" s="242"/>
      <c r="S59" s="242"/>
      <c r="T59" s="242"/>
      <c r="U59" s="242"/>
      <c r="V59" s="242"/>
      <c r="W59" s="242"/>
      <c r="X59" s="242"/>
      <c r="Y59" s="242"/>
      <c r="Z59" s="242"/>
      <c r="AA59" s="242"/>
      <c r="AB59" s="242"/>
    </row>
    <row r="60">
      <c r="A60" s="242"/>
      <c r="B60" s="13"/>
      <c r="C60" s="242"/>
      <c r="D60" s="13"/>
      <c r="E60" s="13"/>
      <c r="F60" s="13"/>
      <c r="G60" s="13"/>
      <c r="H60" s="13"/>
      <c r="I60" s="242"/>
      <c r="J60" s="242"/>
      <c r="K60" s="242"/>
      <c r="L60" s="242"/>
      <c r="M60" s="242"/>
      <c r="N60" s="242"/>
      <c r="O60" s="242"/>
      <c r="P60" s="242"/>
      <c r="Q60" s="242"/>
      <c r="R60" s="242"/>
      <c r="S60" s="242"/>
      <c r="T60" s="242"/>
      <c r="U60" s="242"/>
      <c r="V60" s="242"/>
      <c r="W60" s="242"/>
      <c r="X60" s="242"/>
      <c r="Y60" s="242"/>
      <c r="Z60" s="242"/>
      <c r="AA60" s="242"/>
      <c r="AB60" s="242"/>
    </row>
    <row r="61">
      <c r="A61" s="242"/>
      <c r="B61" s="13"/>
      <c r="C61" s="242"/>
      <c r="D61" s="13"/>
      <c r="E61" s="13"/>
      <c r="F61" s="13"/>
      <c r="G61" s="13"/>
      <c r="H61" s="13"/>
      <c r="I61" s="242"/>
      <c r="J61" s="242"/>
      <c r="K61" s="242"/>
      <c r="L61" s="242"/>
      <c r="M61" s="242"/>
      <c r="N61" s="242"/>
      <c r="O61" s="242"/>
      <c r="P61" s="242"/>
      <c r="Q61" s="242"/>
      <c r="R61" s="242"/>
      <c r="S61" s="242"/>
      <c r="T61" s="242"/>
      <c r="U61" s="242"/>
      <c r="V61" s="242"/>
      <c r="W61" s="242"/>
      <c r="X61" s="242"/>
      <c r="Y61" s="242"/>
      <c r="Z61" s="242"/>
      <c r="AA61" s="242"/>
      <c r="AB61" s="242"/>
    </row>
    <row r="62">
      <c r="A62" s="242"/>
      <c r="B62" s="13"/>
      <c r="C62" s="242"/>
      <c r="D62" s="13"/>
      <c r="E62" s="13"/>
      <c r="F62" s="13"/>
      <c r="G62" s="13"/>
      <c r="H62" s="13"/>
      <c r="I62" s="242"/>
      <c r="J62" s="242"/>
      <c r="K62" s="242"/>
      <c r="L62" s="242"/>
      <c r="M62" s="242"/>
      <c r="N62" s="242"/>
      <c r="O62" s="242"/>
      <c r="P62" s="242"/>
      <c r="Q62" s="242"/>
      <c r="R62" s="242"/>
      <c r="S62" s="242"/>
      <c r="T62" s="242"/>
      <c r="U62" s="242"/>
      <c r="V62" s="242"/>
      <c r="W62" s="242"/>
      <c r="X62" s="242"/>
      <c r="Y62" s="242"/>
      <c r="Z62" s="242"/>
      <c r="AA62" s="242"/>
      <c r="AB62" s="242"/>
    </row>
    <row r="63">
      <c r="A63" s="242"/>
      <c r="B63" s="13"/>
      <c r="C63" s="242"/>
      <c r="D63" s="13"/>
      <c r="E63" s="13"/>
      <c r="F63" s="13"/>
      <c r="G63" s="13"/>
      <c r="H63" s="13"/>
      <c r="I63" s="242"/>
      <c r="J63" s="242"/>
      <c r="K63" s="242"/>
      <c r="L63" s="242"/>
      <c r="M63" s="242"/>
      <c r="N63" s="242"/>
      <c r="O63" s="242"/>
      <c r="P63" s="242"/>
      <c r="Q63" s="242"/>
      <c r="R63" s="242"/>
      <c r="S63" s="242"/>
      <c r="T63" s="242"/>
      <c r="U63" s="242"/>
      <c r="V63" s="242"/>
      <c r="W63" s="242"/>
      <c r="X63" s="242"/>
      <c r="Y63" s="242"/>
      <c r="Z63" s="242"/>
      <c r="AA63" s="242"/>
      <c r="AB63" s="242"/>
    </row>
    <row r="64">
      <c r="A64" s="242"/>
      <c r="B64" s="13"/>
      <c r="C64" s="242"/>
      <c r="D64" s="13"/>
      <c r="E64" s="13"/>
      <c r="F64" s="13"/>
      <c r="G64" s="13"/>
      <c r="H64" s="13"/>
      <c r="I64" s="242"/>
      <c r="J64" s="242"/>
      <c r="K64" s="242"/>
      <c r="L64" s="242"/>
      <c r="M64" s="242"/>
      <c r="N64" s="242"/>
      <c r="O64" s="242"/>
      <c r="P64" s="242"/>
      <c r="Q64" s="242"/>
      <c r="R64" s="242"/>
      <c r="S64" s="242"/>
      <c r="T64" s="242"/>
      <c r="U64" s="242"/>
      <c r="V64" s="242"/>
      <c r="W64" s="242"/>
      <c r="X64" s="242"/>
      <c r="Y64" s="242"/>
      <c r="Z64" s="242"/>
      <c r="AA64" s="242"/>
      <c r="AB64" s="242"/>
    </row>
    <row r="65">
      <c r="A65" s="242"/>
      <c r="B65" s="13"/>
      <c r="C65" s="242"/>
      <c r="D65" s="13"/>
      <c r="E65" s="13"/>
      <c r="F65" s="13"/>
      <c r="G65" s="13"/>
      <c r="H65" s="13"/>
      <c r="I65" s="242"/>
      <c r="J65" s="242"/>
      <c r="K65" s="242"/>
      <c r="L65" s="242"/>
      <c r="M65" s="242"/>
      <c r="N65" s="242"/>
      <c r="O65" s="242"/>
      <c r="P65" s="242"/>
      <c r="Q65" s="242"/>
      <c r="R65" s="242"/>
      <c r="S65" s="242"/>
      <c r="T65" s="242"/>
      <c r="U65" s="242"/>
      <c r="V65" s="242"/>
      <c r="W65" s="242"/>
      <c r="X65" s="242"/>
      <c r="Y65" s="242"/>
      <c r="Z65" s="242"/>
      <c r="AA65" s="242"/>
      <c r="AB65" s="242"/>
    </row>
    <row r="66">
      <c r="A66" s="242"/>
      <c r="B66" s="13"/>
      <c r="C66" s="242"/>
      <c r="D66" s="13"/>
      <c r="E66" s="13"/>
      <c r="F66" s="13"/>
      <c r="G66" s="13"/>
      <c r="H66" s="13"/>
      <c r="I66" s="242"/>
      <c r="J66" s="242"/>
      <c r="K66" s="242"/>
      <c r="L66" s="242"/>
      <c r="M66" s="242"/>
      <c r="N66" s="242"/>
      <c r="O66" s="242"/>
      <c r="P66" s="242"/>
      <c r="Q66" s="242"/>
      <c r="R66" s="242"/>
      <c r="S66" s="242"/>
      <c r="T66" s="242"/>
      <c r="U66" s="242"/>
      <c r="V66" s="242"/>
      <c r="W66" s="242"/>
      <c r="X66" s="242"/>
      <c r="Y66" s="242"/>
      <c r="Z66" s="242"/>
      <c r="AA66" s="242"/>
      <c r="AB66" s="242"/>
    </row>
    <row r="67">
      <c r="A67" s="242"/>
      <c r="B67" s="13"/>
      <c r="C67" s="242"/>
      <c r="D67" s="13"/>
      <c r="E67" s="13"/>
      <c r="F67" s="13"/>
      <c r="G67" s="13"/>
      <c r="H67" s="13"/>
      <c r="I67" s="242"/>
      <c r="J67" s="242"/>
      <c r="K67" s="242"/>
      <c r="L67" s="242"/>
      <c r="M67" s="242"/>
      <c r="N67" s="242"/>
      <c r="O67" s="242"/>
      <c r="P67" s="242"/>
      <c r="Q67" s="242"/>
      <c r="R67" s="242"/>
      <c r="S67" s="242"/>
      <c r="T67" s="242"/>
      <c r="U67" s="242"/>
      <c r="V67" s="242"/>
      <c r="W67" s="242"/>
      <c r="X67" s="242"/>
      <c r="Y67" s="242"/>
      <c r="Z67" s="242"/>
      <c r="AA67" s="242"/>
      <c r="AB67" s="242"/>
    </row>
    <row r="68">
      <c r="A68" s="242"/>
      <c r="B68" s="13"/>
      <c r="C68" s="242"/>
      <c r="D68" s="13"/>
      <c r="E68" s="13"/>
      <c r="F68" s="13"/>
      <c r="G68" s="13"/>
      <c r="H68" s="13"/>
      <c r="I68" s="242"/>
      <c r="J68" s="242"/>
      <c r="K68" s="242"/>
      <c r="L68" s="242"/>
      <c r="M68" s="242"/>
      <c r="N68" s="242"/>
      <c r="O68" s="242"/>
      <c r="P68" s="242"/>
      <c r="Q68" s="242"/>
      <c r="R68" s="242"/>
      <c r="S68" s="242"/>
      <c r="T68" s="242"/>
      <c r="U68" s="242"/>
      <c r="V68" s="242"/>
      <c r="W68" s="242"/>
      <c r="X68" s="242"/>
      <c r="Y68" s="242"/>
      <c r="Z68" s="242"/>
      <c r="AA68" s="242"/>
      <c r="AB68" s="242"/>
    </row>
    <row r="69">
      <c r="A69" s="242"/>
      <c r="B69" s="13"/>
      <c r="C69" s="242"/>
      <c r="D69" s="13"/>
      <c r="E69" s="13"/>
      <c r="F69" s="13"/>
      <c r="G69" s="13"/>
      <c r="H69" s="13"/>
      <c r="I69" s="242"/>
      <c r="J69" s="242"/>
      <c r="K69" s="242"/>
      <c r="L69" s="242"/>
      <c r="M69" s="242"/>
      <c r="N69" s="242"/>
      <c r="O69" s="242"/>
      <c r="P69" s="242"/>
      <c r="Q69" s="242"/>
      <c r="R69" s="242"/>
      <c r="S69" s="242"/>
      <c r="T69" s="242"/>
      <c r="U69" s="242"/>
      <c r="V69" s="242"/>
      <c r="W69" s="242"/>
      <c r="X69" s="242"/>
      <c r="Y69" s="242"/>
      <c r="Z69" s="242"/>
      <c r="AA69" s="242"/>
      <c r="AB69" s="242"/>
    </row>
    <row r="70">
      <c r="A70" s="242"/>
      <c r="B70" s="13"/>
      <c r="C70" s="242"/>
      <c r="D70" s="13"/>
      <c r="E70" s="13"/>
      <c r="F70" s="13"/>
      <c r="G70" s="13"/>
      <c r="H70" s="13"/>
      <c r="I70" s="242"/>
      <c r="J70" s="242"/>
      <c r="K70" s="242"/>
      <c r="L70" s="242"/>
      <c r="M70" s="242"/>
      <c r="N70" s="242"/>
      <c r="O70" s="242"/>
      <c r="P70" s="242"/>
      <c r="Q70" s="242"/>
      <c r="R70" s="242"/>
      <c r="S70" s="242"/>
      <c r="T70" s="242"/>
      <c r="U70" s="242"/>
      <c r="V70" s="242"/>
      <c r="W70" s="242"/>
      <c r="X70" s="242"/>
      <c r="Y70" s="242"/>
      <c r="Z70" s="242"/>
      <c r="AA70" s="242"/>
      <c r="AB70" s="242"/>
    </row>
    <row r="71">
      <c r="A71" s="242"/>
      <c r="B71" s="13"/>
      <c r="C71" s="242"/>
      <c r="D71" s="13"/>
      <c r="E71" s="13"/>
      <c r="F71" s="13"/>
      <c r="G71" s="13"/>
      <c r="H71" s="13"/>
      <c r="I71" s="242"/>
      <c r="J71" s="242"/>
      <c r="K71" s="242"/>
      <c r="L71" s="242"/>
      <c r="M71" s="242"/>
      <c r="N71" s="242"/>
      <c r="O71" s="242"/>
      <c r="P71" s="242"/>
      <c r="Q71" s="242"/>
      <c r="R71" s="242"/>
      <c r="S71" s="242"/>
      <c r="T71" s="242"/>
      <c r="U71" s="242"/>
      <c r="V71" s="242"/>
      <c r="W71" s="242"/>
      <c r="X71" s="242"/>
      <c r="Y71" s="242"/>
      <c r="Z71" s="242"/>
      <c r="AA71" s="242"/>
      <c r="AB71" s="242"/>
    </row>
    <row r="72">
      <c r="A72" s="242"/>
      <c r="B72" s="13"/>
      <c r="C72" s="242"/>
      <c r="D72" s="13"/>
      <c r="E72" s="13"/>
      <c r="F72" s="13"/>
      <c r="G72" s="13"/>
      <c r="H72" s="13"/>
      <c r="I72" s="242"/>
      <c r="J72" s="242"/>
      <c r="K72" s="242"/>
      <c r="L72" s="242"/>
      <c r="M72" s="242"/>
      <c r="N72" s="242"/>
      <c r="O72" s="242"/>
      <c r="P72" s="242"/>
      <c r="Q72" s="242"/>
      <c r="R72" s="242"/>
      <c r="S72" s="242"/>
      <c r="T72" s="242"/>
      <c r="U72" s="242"/>
      <c r="V72" s="242"/>
      <c r="W72" s="242"/>
      <c r="X72" s="242"/>
      <c r="Y72" s="242"/>
      <c r="Z72" s="242"/>
      <c r="AA72" s="242"/>
      <c r="AB72" s="242"/>
    </row>
    <row r="73">
      <c r="A73" s="242"/>
      <c r="B73" s="13"/>
      <c r="C73" s="242"/>
      <c r="D73" s="13"/>
      <c r="E73" s="13"/>
      <c r="F73" s="13"/>
      <c r="G73" s="13"/>
      <c r="H73" s="13"/>
      <c r="I73" s="242"/>
      <c r="J73" s="242"/>
      <c r="K73" s="242"/>
      <c r="L73" s="242"/>
      <c r="M73" s="242"/>
      <c r="N73" s="242"/>
      <c r="O73" s="242"/>
      <c r="P73" s="242"/>
      <c r="Q73" s="242"/>
      <c r="R73" s="242"/>
      <c r="S73" s="242"/>
      <c r="T73" s="242"/>
      <c r="U73" s="242"/>
      <c r="V73" s="242"/>
      <c r="W73" s="242"/>
      <c r="X73" s="242"/>
      <c r="Y73" s="242"/>
      <c r="Z73" s="242"/>
      <c r="AA73" s="242"/>
      <c r="AB73" s="242"/>
    </row>
    <row r="74">
      <c r="A74" s="242"/>
      <c r="B74" s="13"/>
      <c r="C74" s="242"/>
      <c r="D74" s="13"/>
      <c r="E74" s="13"/>
      <c r="F74" s="13"/>
      <c r="G74" s="13"/>
      <c r="H74" s="13"/>
      <c r="I74" s="242"/>
      <c r="J74" s="242"/>
      <c r="K74" s="242"/>
      <c r="L74" s="242"/>
      <c r="M74" s="242"/>
      <c r="N74" s="242"/>
      <c r="O74" s="242"/>
      <c r="P74" s="242"/>
      <c r="Q74" s="242"/>
      <c r="R74" s="242"/>
      <c r="S74" s="242"/>
      <c r="T74" s="242"/>
      <c r="U74" s="242"/>
      <c r="V74" s="242"/>
      <c r="W74" s="242"/>
      <c r="X74" s="242"/>
      <c r="Y74" s="242"/>
      <c r="Z74" s="242"/>
      <c r="AA74" s="242"/>
      <c r="AB74" s="242"/>
    </row>
    <row r="75">
      <c r="A75" s="242"/>
      <c r="B75" s="13"/>
      <c r="C75" s="242"/>
      <c r="D75" s="13"/>
      <c r="E75" s="13"/>
      <c r="F75" s="13"/>
      <c r="G75" s="13"/>
      <c r="H75" s="13"/>
      <c r="I75" s="242"/>
      <c r="J75" s="242"/>
      <c r="K75" s="242"/>
      <c r="L75" s="242"/>
      <c r="M75" s="242"/>
      <c r="N75" s="242"/>
      <c r="O75" s="242"/>
      <c r="P75" s="242"/>
      <c r="Q75" s="242"/>
      <c r="R75" s="242"/>
      <c r="S75" s="242"/>
      <c r="T75" s="242"/>
      <c r="U75" s="242"/>
      <c r="V75" s="242"/>
      <c r="W75" s="242"/>
      <c r="X75" s="242"/>
      <c r="Y75" s="242"/>
      <c r="Z75" s="242"/>
      <c r="AA75" s="242"/>
      <c r="AB75" s="242"/>
    </row>
    <row r="76">
      <c r="A76" s="242"/>
      <c r="B76" s="13"/>
      <c r="C76" s="242"/>
      <c r="D76" s="13"/>
      <c r="E76" s="13"/>
      <c r="F76" s="13"/>
      <c r="G76" s="13"/>
      <c r="H76" s="13"/>
      <c r="I76" s="242"/>
      <c r="J76" s="242"/>
      <c r="K76" s="242"/>
      <c r="L76" s="242"/>
      <c r="M76" s="242"/>
      <c r="N76" s="242"/>
      <c r="O76" s="242"/>
      <c r="P76" s="242"/>
      <c r="Q76" s="242"/>
      <c r="R76" s="242"/>
      <c r="S76" s="242"/>
      <c r="T76" s="242"/>
      <c r="U76" s="242"/>
      <c r="V76" s="242"/>
      <c r="W76" s="242"/>
      <c r="X76" s="242"/>
      <c r="Y76" s="242"/>
      <c r="Z76" s="242"/>
      <c r="AA76" s="242"/>
      <c r="AB76" s="242"/>
    </row>
    <row r="77">
      <c r="A77" s="242"/>
      <c r="B77" s="13"/>
      <c r="C77" s="242"/>
      <c r="D77" s="13"/>
      <c r="E77" s="13"/>
      <c r="F77" s="13"/>
      <c r="G77" s="13"/>
      <c r="H77" s="13"/>
      <c r="I77" s="242"/>
      <c r="J77" s="242"/>
      <c r="K77" s="242"/>
      <c r="L77" s="242"/>
      <c r="M77" s="242"/>
      <c r="N77" s="242"/>
      <c r="O77" s="242"/>
      <c r="P77" s="242"/>
      <c r="Q77" s="242"/>
      <c r="R77" s="242"/>
      <c r="S77" s="242"/>
      <c r="T77" s="242"/>
      <c r="U77" s="242"/>
      <c r="V77" s="242"/>
      <c r="W77" s="242"/>
      <c r="X77" s="242"/>
      <c r="Y77" s="242"/>
      <c r="Z77" s="242"/>
      <c r="AA77" s="242"/>
      <c r="AB77" s="242"/>
    </row>
    <row r="78">
      <c r="A78" s="242"/>
      <c r="B78" s="13"/>
      <c r="C78" s="242"/>
      <c r="D78" s="13"/>
      <c r="E78" s="13"/>
      <c r="F78" s="13"/>
      <c r="G78" s="13"/>
      <c r="H78" s="13"/>
      <c r="I78" s="242"/>
      <c r="J78" s="242"/>
      <c r="K78" s="242"/>
      <c r="L78" s="242"/>
      <c r="M78" s="242"/>
      <c r="N78" s="242"/>
      <c r="O78" s="242"/>
      <c r="P78" s="242"/>
      <c r="Q78" s="242"/>
      <c r="R78" s="242"/>
      <c r="S78" s="242"/>
      <c r="T78" s="242"/>
      <c r="U78" s="242"/>
      <c r="V78" s="242"/>
      <c r="W78" s="242"/>
      <c r="X78" s="242"/>
      <c r="Y78" s="242"/>
      <c r="Z78" s="242"/>
      <c r="AA78" s="242"/>
      <c r="AB78" s="242"/>
    </row>
    <row r="79">
      <c r="A79" s="242"/>
      <c r="B79" s="13"/>
      <c r="C79" s="242"/>
      <c r="D79" s="13"/>
      <c r="E79" s="13"/>
      <c r="F79" s="13"/>
      <c r="G79" s="13"/>
      <c r="H79" s="13"/>
      <c r="I79" s="242"/>
      <c r="J79" s="242"/>
      <c r="K79" s="242"/>
      <c r="L79" s="242"/>
      <c r="M79" s="242"/>
      <c r="N79" s="242"/>
      <c r="O79" s="242"/>
      <c r="P79" s="242"/>
      <c r="Q79" s="242"/>
      <c r="R79" s="242"/>
      <c r="S79" s="242"/>
      <c r="T79" s="242"/>
      <c r="U79" s="242"/>
      <c r="V79" s="242"/>
      <c r="W79" s="242"/>
      <c r="X79" s="242"/>
      <c r="Y79" s="242"/>
      <c r="Z79" s="242"/>
      <c r="AA79" s="242"/>
      <c r="AB79" s="242"/>
    </row>
    <row r="80">
      <c r="A80" s="242"/>
      <c r="B80" s="13"/>
      <c r="C80" s="242"/>
      <c r="D80" s="13"/>
      <c r="E80" s="13"/>
      <c r="F80" s="13"/>
      <c r="G80" s="13"/>
      <c r="H80" s="13"/>
      <c r="I80" s="242"/>
      <c r="J80" s="242"/>
      <c r="K80" s="242"/>
      <c r="L80" s="242"/>
      <c r="M80" s="242"/>
      <c r="N80" s="242"/>
      <c r="O80" s="242"/>
      <c r="P80" s="242"/>
      <c r="Q80" s="242"/>
      <c r="R80" s="242"/>
      <c r="S80" s="242"/>
      <c r="T80" s="242"/>
      <c r="U80" s="242"/>
      <c r="V80" s="242"/>
      <c r="W80" s="242"/>
      <c r="X80" s="242"/>
      <c r="Y80" s="242"/>
      <c r="Z80" s="242"/>
      <c r="AA80" s="242"/>
      <c r="AB80" s="242"/>
    </row>
    <row r="81">
      <c r="A81" s="242"/>
      <c r="B81" s="13"/>
      <c r="C81" s="242"/>
      <c r="D81" s="13"/>
      <c r="E81" s="13"/>
      <c r="F81" s="13"/>
      <c r="G81" s="13"/>
      <c r="H81" s="13"/>
      <c r="I81" s="242"/>
      <c r="J81" s="242"/>
      <c r="K81" s="242"/>
      <c r="L81" s="242"/>
      <c r="M81" s="242"/>
      <c r="N81" s="242"/>
      <c r="O81" s="242"/>
      <c r="P81" s="242"/>
      <c r="Q81" s="242"/>
      <c r="R81" s="242"/>
      <c r="S81" s="242"/>
      <c r="T81" s="242"/>
      <c r="U81" s="242"/>
      <c r="V81" s="242"/>
      <c r="W81" s="242"/>
      <c r="X81" s="242"/>
      <c r="Y81" s="242"/>
      <c r="Z81" s="242"/>
      <c r="AA81" s="242"/>
      <c r="AB81" s="242"/>
    </row>
    <row r="82">
      <c r="A82" s="242"/>
      <c r="B82" s="13"/>
      <c r="C82" s="242"/>
      <c r="D82" s="13"/>
      <c r="E82" s="13"/>
      <c r="F82" s="13"/>
      <c r="G82" s="13"/>
      <c r="H82" s="13"/>
      <c r="I82" s="242"/>
      <c r="J82" s="242"/>
      <c r="K82" s="242"/>
      <c r="L82" s="242"/>
      <c r="M82" s="242"/>
      <c r="N82" s="242"/>
      <c r="O82" s="242"/>
      <c r="P82" s="242"/>
      <c r="Q82" s="242"/>
      <c r="R82" s="242"/>
      <c r="S82" s="242"/>
      <c r="T82" s="242"/>
      <c r="U82" s="242"/>
      <c r="V82" s="242"/>
      <c r="W82" s="242"/>
      <c r="X82" s="242"/>
      <c r="Y82" s="242"/>
      <c r="Z82" s="242"/>
      <c r="AA82" s="242"/>
      <c r="AB82" s="242"/>
    </row>
    <row r="83">
      <c r="A83" s="242"/>
      <c r="B83" s="13"/>
      <c r="C83" s="242"/>
      <c r="D83" s="13"/>
      <c r="E83" s="13"/>
      <c r="F83" s="13"/>
      <c r="G83" s="13"/>
      <c r="H83" s="13"/>
      <c r="I83" s="242"/>
      <c r="J83" s="242"/>
      <c r="K83" s="242"/>
      <c r="L83" s="242"/>
      <c r="M83" s="242"/>
      <c r="N83" s="242"/>
      <c r="O83" s="242"/>
      <c r="P83" s="242"/>
      <c r="Q83" s="242"/>
      <c r="R83" s="242"/>
      <c r="S83" s="242"/>
      <c r="T83" s="242"/>
      <c r="U83" s="242"/>
      <c r="V83" s="242"/>
      <c r="W83" s="242"/>
      <c r="X83" s="242"/>
      <c r="Y83" s="242"/>
      <c r="Z83" s="242"/>
      <c r="AA83" s="242"/>
      <c r="AB83" s="242"/>
    </row>
    <row r="84">
      <c r="A84" s="242"/>
      <c r="B84" s="13"/>
      <c r="C84" s="242"/>
      <c r="D84" s="13"/>
      <c r="E84" s="13"/>
      <c r="F84" s="13"/>
      <c r="G84" s="13"/>
      <c r="H84" s="13"/>
      <c r="I84" s="242"/>
      <c r="J84" s="242"/>
      <c r="K84" s="242"/>
      <c r="L84" s="242"/>
      <c r="M84" s="242"/>
      <c r="N84" s="242"/>
      <c r="O84" s="242"/>
      <c r="P84" s="242"/>
      <c r="Q84" s="242"/>
      <c r="R84" s="242"/>
      <c r="S84" s="242"/>
      <c r="T84" s="242"/>
      <c r="U84" s="242"/>
      <c r="V84" s="242"/>
      <c r="W84" s="242"/>
      <c r="X84" s="242"/>
      <c r="Y84" s="242"/>
      <c r="Z84" s="242"/>
      <c r="AA84" s="242"/>
      <c r="AB84" s="242"/>
    </row>
    <row r="85">
      <c r="A85" s="242"/>
      <c r="B85" s="13"/>
      <c r="C85" s="242"/>
      <c r="D85" s="13"/>
      <c r="E85" s="13"/>
      <c r="F85" s="13"/>
      <c r="G85" s="13"/>
      <c r="H85" s="13"/>
      <c r="I85" s="242"/>
      <c r="J85" s="242"/>
      <c r="K85" s="242"/>
      <c r="L85" s="242"/>
      <c r="M85" s="242"/>
      <c r="N85" s="242"/>
      <c r="O85" s="242"/>
      <c r="P85" s="242"/>
      <c r="Q85" s="242"/>
      <c r="R85" s="242"/>
      <c r="S85" s="242"/>
      <c r="T85" s="242"/>
      <c r="U85" s="242"/>
      <c r="V85" s="242"/>
      <c r="W85" s="242"/>
      <c r="X85" s="242"/>
      <c r="Y85" s="242"/>
      <c r="Z85" s="242"/>
      <c r="AA85" s="242"/>
      <c r="AB85" s="242"/>
    </row>
    <row r="86">
      <c r="A86" s="242"/>
      <c r="B86" s="13"/>
      <c r="C86" s="242"/>
      <c r="D86" s="13"/>
      <c r="E86" s="13"/>
      <c r="F86" s="13"/>
      <c r="G86" s="13"/>
      <c r="H86" s="13"/>
      <c r="I86" s="242"/>
      <c r="J86" s="242"/>
      <c r="K86" s="242"/>
      <c r="L86" s="242"/>
      <c r="M86" s="242"/>
      <c r="N86" s="242"/>
      <c r="O86" s="242"/>
      <c r="P86" s="242"/>
      <c r="Q86" s="242"/>
      <c r="R86" s="242"/>
      <c r="S86" s="242"/>
      <c r="T86" s="242"/>
      <c r="U86" s="242"/>
      <c r="V86" s="242"/>
      <c r="W86" s="242"/>
      <c r="X86" s="242"/>
      <c r="Y86" s="242"/>
      <c r="Z86" s="242"/>
      <c r="AA86" s="242"/>
      <c r="AB86" s="242"/>
    </row>
    <row r="87">
      <c r="A87" s="242"/>
      <c r="B87" s="13"/>
      <c r="C87" s="242"/>
      <c r="D87" s="13"/>
      <c r="E87" s="13"/>
      <c r="F87" s="13"/>
      <c r="G87" s="13"/>
      <c r="H87" s="13"/>
      <c r="I87" s="242"/>
      <c r="J87" s="242"/>
      <c r="K87" s="242"/>
      <c r="L87" s="242"/>
      <c r="M87" s="242"/>
      <c r="N87" s="242"/>
      <c r="O87" s="242"/>
      <c r="P87" s="242"/>
      <c r="Q87" s="242"/>
      <c r="R87" s="242"/>
      <c r="S87" s="242"/>
      <c r="T87" s="242"/>
      <c r="U87" s="242"/>
      <c r="V87" s="242"/>
      <c r="W87" s="242"/>
      <c r="X87" s="242"/>
      <c r="Y87" s="242"/>
      <c r="Z87" s="242"/>
      <c r="AA87" s="242"/>
      <c r="AB87" s="242"/>
    </row>
    <row r="88">
      <c r="A88" s="242"/>
      <c r="B88" s="13"/>
      <c r="C88" s="242"/>
      <c r="D88" s="13"/>
      <c r="E88" s="13"/>
      <c r="F88" s="13"/>
      <c r="G88" s="13"/>
      <c r="H88" s="13"/>
      <c r="I88" s="242"/>
      <c r="J88" s="242"/>
      <c r="K88" s="242"/>
      <c r="L88" s="242"/>
      <c r="M88" s="242"/>
      <c r="N88" s="242"/>
      <c r="O88" s="242"/>
      <c r="P88" s="242"/>
      <c r="Q88" s="242"/>
      <c r="R88" s="242"/>
      <c r="S88" s="242"/>
      <c r="T88" s="242"/>
      <c r="U88" s="242"/>
      <c r="V88" s="242"/>
      <c r="W88" s="242"/>
      <c r="X88" s="242"/>
      <c r="Y88" s="242"/>
      <c r="Z88" s="242"/>
      <c r="AA88" s="242"/>
      <c r="AB88" s="242"/>
    </row>
    <row r="89">
      <c r="A89" s="242"/>
      <c r="B89" s="13"/>
      <c r="C89" s="242"/>
      <c r="D89" s="13"/>
      <c r="E89" s="13"/>
      <c r="F89" s="13"/>
      <c r="G89" s="13"/>
      <c r="H89" s="13"/>
      <c r="I89" s="242"/>
      <c r="J89" s="242"/>
      <c r="K89" s="242"/>
      <c r="L89" s="242"/>
      <c r="M89" s="242"/>
      <c r="N89" s="242"/>
      <c r="O89" s="242"/>
      <c r="P89" s="242"/>
      <c r="Q89" s="242"/>
      <c r="R89" s="242"/>
      <c r="S89" s="242"/>
      <c r="T89" s="242"/>
      <c r="U89" s="242"/>
      <c r="V89" s="242"/>
      <c r="W89" s="242"/>
      <c r="X89" s="242"/>
      <c r="Y89" s="242"/>
      <c r="Z89" s="242"/>
      <c r="AA89" s="242"/>
      <c r="AB89" s="242"/>
    </row>
    <row r="90">
      <c r="A90" s="242"/>
      <c r="B90" s="13"/>
      <c r="C90" s="242"/>
      <c r="D90" s="13"/>
      <c r="E90" s="13"/>
      <c r="F90" s="13"/>
      <c r="G90" s="13"/>
      <c r="H90" s="13"/>
      <c r="I90" s="242"/>
      <c r="J90" s="242"/>
      <c r="K90" s="242"/>
      <c r="L90" s="242"/>
      <c r="M90" s="242"/>
      <c r="N90" s="242"/>
      <c r="O90" s="242"/>
      <c r="P90" s="242"/>
      <c r="Q90" s="242"/>
      <c r="R90" s="242"/>
      <c r="S90" s="242"/>
      <c r="T90" s="242"/>
      <c r="U90" s="242"/>
      <c r="V90" s="242"/>
      <c r="W90" s="242"/>
      <c r="X90" s="242"/>
      <c r="Y90" s="242"/>
      <c r="Z90" s="242"/>
      <c r="AA90" s="242"/>
      <c r="AB90" s="242"/>
    </row>
    <row r="91">
      <c r="A91" s="242"/>
      <c r="B91" s="13"/>
      <c r="C91" s="242"/>
      <c r="D91" s="13"/>
      <c r="E91" s="13"/>
      <c r="F91" s="13"/>
      <c r="G91" s="13"/>
      <c r="H91" s="13"/>
      <c r="I91" s="242"/>
      <c r="J91" s="242"/>
      <c r="K91" s="242"/>
      <c r="L91" s="242"/>
      <c r="M91" s="242"/>
      <c r="N91" s="242"/>
      <c r="O91" s="242"/>
      <c r="P91" s="242"/>
      <c r="Q91" s="242"/>
      <c r="R91" s="242"/>
      <c r="S91" s="242"/>
      <c r="T91" s="242"/>
      <c r="U91" s="242"/>
      <c r="V91" s="242"/>
      <c r="W91" s="242"/>
      <c r="X91" s="242"/>
      <c r="Y91" s="242"/>
      <c r="Z91" s="242"/>
      <c r="AA91" s="242"/>
      <c r="AB91" s="242"/>
    </row>
    <row r="92">
      <c r="A92" s="242"/>
      <c r="B92" s="13"/>
      <c r="C92" s="242"/>
      <c r="D92" s="13"/>
      <c r="E92" s="13"/>
      <c r="F92" s="13"/>
      <c r="G92" s="13"/>
      <c r="H92" s="13"/>
      <c r="I92" s="242"/>
      <c r="J92" s="242"/>
      <c r="K92" s="242"/>
      <c r="L92" s="242"/>
      <c r="M92" s="242"/>
      <c r="N92" s="242"/>
      <c r="O92" s="242"/>
      <c r="P92" s="242"/>
      <c r="Q92" s="242"/>
      <c r="R92" s="242"/>
      <c r="S92" s="242"/>
      <c r="T92" s="242"/>
      <c r="U92" s="242"/>
      <c r="V92" s="242"/>
      <c r="W92" s="242"/>
      <c r="X92" s="242"/>
      <c r="Y92" s="242"/>
      <c r="Z92" s="242"/>
      <c r="AA92" s="242"/>
      <c r="AB92" s="242"/>
    </row>
    <row r="93">
      <c r="A93" s="242"/>
      <c r="B93" s="13"/>
      <c r="C93" s="242"/>
      <c r="D93" s="13"/>
      <c r="E93" s="13"/>
      <c r="F93" s="13"/>
      <c r="G93" s="13"/>
      <c r="H93" s="13"/>
      <c r="I93" s="242"/>
      <c r="J93" s="242"/>
      <c r="K93" s="242"/>
      <c r="L93" s="242"/>
      <c r="M93" s="242"/>
      <c r="N93" s="242"/>
      <c r="O93" s="242"/>
      <c r="P93" s="242"/>
      <c r="Q93" s="242"/>
      <c r="R93" s="242"/>
      <c r="S93" s="242"/>
      <c r="T93" s="242"/>
      <c r="U93" s="242"/>
      <c r="V93" s="242"/>
      <c r="W93" s="242"/>
      <c r="X93" s="242"/>
      <c r="Y93" s="242"/>
      <c r="Z93" s="242"/>
      <c r="AA93" s="242"/>
      <c r="AB93" s="242"/>
    </row>
    <row r="94">
      <c r="A94" s="242"/>
      <c r="B94" s="13"/>
      <c r="C94" s="242"/>
      <c r="D94" s="13"/>
      <c r="E94" s="13"/>
      <c r="F94" s="13"/>
      <c r="G94" s="13"/>
      <c r="H94" s="13"/>
      <c r="I94" s="242"/>
      <c r="J94" s="242"/>
      <c r="K94" s="242"/>
      <c r="L94" s="242"/>
      <c r="M94" s="242"/>
      <c r="N94" s="242"/>
      <c r="O94" s="242"/>
      <c r="P94" s="242"/>
      <c r="Q94" s="242"/>
      <c r="R94" s="242"/>
      <c r="S94" s="242"/>
      <c r="T94" s="242"/>
      <c r="U94" s="242"/>
      <c r="V94" s="242"/>
      <c r="W94" s="242"/>
      <c r="X94" s="242"/>
      <c r="Y94" s="242"/>
      <c r="Z94" s="242"/>
      <c r="AA94" s="242"/>
      <c r="AB94" s="242"/>
    </row>
    <row r="95">
      <c r="A95" s="242"/>
      <c r="B95" s="13"/>
      <c r="C95" s="242"/>
      <c r="D95" s="13"/>
      <c r="E95" s="13"/>
      <c r="F95" s="13"/>
      <c r="G95" s="13"/>
      <c r="H95" s="13"/>
      <c r="I95" s="242"/>
      <c r="J95" s="242"/>
      <c r="K95" s="242"/>
      <c r="L95" s="242"/>
      <c r="M95" s="242"/>
      <c r="N95" s="242"/>
      <c r="O95" s="242"/>
      <c r="P95" s="242"/>
      <c r="Q95" s="242"/>
      <c r="R95" s="242"/>
      <c r="S95" s="242"/>
      <c r="T95" s="242"/>
      <c r="U95" s="242"/>
      <c r="V95" s="242"/>
      <c r="W95" s="242"/>
      <c r="X95" s="242"/>
      <c r="Y95" s="242"/>
      <c r="Z95" s="242"/>
      <c r="AA95" s="242"/>
      <c r="AB95" s="242"/>
    </row>
    <row r="96">
      <c r="A96" s="242"/>
      <c r="B96" s="13"/>
      <c r="C96" s="242"/>
      <c r="D96" s="13"/>
      <c r="E96" s="13"/>
      <c r="F96" s="13"/>
      <c r="G96" s="13"/>
      <c r="H96" s="13"/>
      <c r="I96" s="242"/>
      <c r="J96" s="242"/>
      <c r="K96" s="242"/>
      <c r="L96" s="242"/>
      <c r="M96" s="242"/>
      <c r="N96" s="242"/>
      <c r="O96" s="242"/>
      <c r="P96" s="242"/>
      <c r="Q96" s="242"/>
      <c r="R96" s="242"/>
      <c r="S96" s="242"/>
      <c r="T96" s="242"/>
      <c r="U96" s="242"/>
      <c r="V96" s="242"/>
      <c r="W96" s="242"/>
      <c r="X96" s="242"/>
      <c r="Y96" s="242"/>
      <c r="Z96" s="242"/>
      <c r="AA96" s="242"/>
      <c r="AB96" s="242"/>
    </row>
    <row r="97">
      <c r="A97" s="242"/>
      <c r="B97" s="13"/>
      <c r="C97" s="242"/>
      <c r="D97" s="13"/>
      <c r="E97" s="13"/>
      <c r="F97" s="13"/>
      <c r="G97" s="13"/>
      <c r="H97" s="13"/>
      <c r="I97" s="242"/>
      <c r="J97" s="242"/>
      <c r="K97" s="242"/>
      <c r="L97" s="242"/>
      <c r="M97" s="242"/>
      <c r="N97" s="242"/>
      <c r="O97" s="242"/>
      <c r="P97" s="242"/>
      <c r="Q97" s="242"/>
      <c r="R97" s="242"/>
      <c r="S97" s="242"/>
      <c r="T97" s="242"/>
      <c r="U97" s="242"/>
      <c r="V97" s="242"/>
      <c r="W97" s="242"/>
      <c r="X97" s="242"/>
      <c r="Y97" s="242"/>
      <c r="Z97" s="242"/>
      <c r="AA97" s="242"/>
      <c r="AB97" s="242"/>
    </row>
    <row r="98">
      <c r="A98" s="242"/>
      <c r="B98" s="13"/>
      <c r="C98" s="242"/>
      <c r="D98" s="13"/>
      <c r="E98" s="13"/>
      <c r="F98" s="13"/>
      <c r="G98" s="13"/>
      <c r="H98" s="13"/>
      <c r="I98" s="242"/>
      <c r="J98" s="242"/>
      <c r="K98" s="242"/>
      <c r="L98" s="242"/>
      <c r="M98" s="242"/>
      <c r="N98" s="242"/>
      <c r="O98" s="242"/>
      <c r="P98" s="242"/>
      <c r="Q98" s="242"/>
      <c r="R98" s="242"/>
      <c r="S98" s="242"/>
      <c r="T98" s="242"/>
      <c r="U98" s="242"/>
      <c r="V98" s="242"/>
      <c r="W98" s="242"/>
      <c r="X98" s="242"/>
      <c r="Y98" s="242"/>
      <c r="Z98" s="242"/>
      <c r="AA98" s="242"/>
      <c r="AB98" s="242"/>
    </row>
    <row r="99">
      <c r="A99" s="242"/>
      <c r="B99" s="13"/>
      <c r="C99" s="242"/>
      <c r="D99" s="13"/>
      <c r="E99" s="13"/>
      <c r="F99" s="13"/>
      <c r="G99" s="13"/>
      <c r="H99" s="13"/>
      <c r="I99" s="242"/>
      <c r="J99" s="242"/>
      <c r="K99" s="242"/>
      <c r="L99" s="242"/>
      <c r="M99" s="242"/>
      <c r="N99" s="242"/>
      <c r="O99" s="242"/>
      <c r="P99" s="242"/>
      <c r="Q99" s="242"/>
      <c r="R99" s="242"/>
      <c r="S99" s="242"/>
      <c r="T99" s="242"/>
      <c r="U99" s="242"/>
      <c r="V99" s="242"/>
      <c r="W99" s="242"/>
      <c r="X99" s="242"/>
      <c r="Y99" s="242"/>
      <c r="Z99" s="242"/>
      <c r="AA99" s="242"/>
      <c r="AB99" s="242"/>
    </row>
    <row r="100">
      <c r="A100" s="242"/>
      <c r="B100" s="13"/>
      <c r="C100" s="242"/>
      <c r="D100" s="13"/>
      <c r="E100" s="13"/>
      <c r="F100" s="13"/>
      <c r="G100" s="13"/>
      <c r="H100" s="13"/>
      <c r="I100" s="242"/>
      <c r="J100" s="242"/>
      <c r="K100" s="242"/>
      <c r="L100" s="242"/>
      <c r="M100" s="242"/>
      <c r="N100" s="242"/>
      <c r="O100" s="242"/>
      <c r="P100" s="242"/>
      <c r="Q100" s="242"/>
      <c r="R100" s="242"/>
      <c r="S100" s="242"/>
      <c r="T100" s="242"/>
      <c r="U100" s="242"/>
      <c r="V100" s="242"/>
      <c r="W100" s="242"/>
      <c r="X100" s="242"/>
      <c r="Y100" s="242"/>
      <c r="Z100" s="242"/>
      <c r="AA100" s="242"/>
      <c r="AB100" s="242"/>
    </row>
    <row r="101">
      <c r="A101" s="242"/>
      <c r="B101" s="13"/>
      <c r="C101" s="242"/>
      <c r="D101" s="13"/>
      <c r="E101" s="13"/>
      <c r="F101" s="13"/>
      <c r="G101" s="13"/>
      <c r="H101" s="13"/>
      <c r="I101" s="242"/>
      <c r="J101" s="242"/>
      <c r="K101" s="242"/>
      <c r="L101" s="242"/>
      <c r="M101" s="242"/>
      <c r="N101" s="242"/>
      <c r="O101" s="242"/>
      <c r="P101" s="242"/>
      <c r="Q101" s="242"/>
      <c r="R101" s="242"/>
      <c r="S101" s="242"/>
      <c r="T101" s="242"/>
      <c r="U101" s="242"/>
      <c r="V101" s="242"/>
      <c r="W101" s="242"/>
      <c r="X101" s="242"/>
      <c r="Y101" s="242"/>
      <c r="Z101" s="242"/>
      <c r="AA101" s="242"/>
      <c r="AB101" s="242"/>
    </row>
    <row r="102">
      <c r="A102" s="242"/>
      <c r="B102" s="13"/>
      <c r="C102" s="242"/>
      <c r="D102" s="13"/>
      <c r="E102" s="13"/>
      <c r="F102" s="13"/>
      <c r="G102" s="13"/>
      <c r="H102" s="13"/>
      <c r="I102" s="242"/>
      <c r="J102" s="242"/>
      <c r="K102" s="242"/>
      <c r="L102" s="242"/>
      <c r="M102" s="242"/>
      <c r="N102" s="242"/>
      <c r="O102" s="242"/>
      <c r="P102" s="242"/>
      <c r="Q102" s="242"/>
      <c r="R102" s="242"/>
      <c r="S102" s="242"/>
      <c r="T102" s="242"/>
      <c r="U102" s="242"/>
      <c r="V102" s="242"/>
      <c r="W102" s="242"/>
      <c r="X102" s="242"/>
      <c r="Y102" s="242"/>
      <c r="Z102" s="242"/>
      <c r="AA102" s="242"/>
      <c r="AB102" s="242"/>
    </row>
    <row r="103">
      <c r="A103" s="242"/>
      <c r="B103" s="13"/>
      <c r="C103" s="242"/>
      <c r="D103" s="13"/>
      <c r="E103" s="13"/>
      <c r="F103" s="13"/>
      <c r="G103" s="13"/>
      <c r="H103" s="13"/>
      <c r="I103" s="242"/>
      <c r="J103" s="242"/>
      <c r="K103" s="242"/>
      <c r="L103" s="242"/>
      <c r="M103" s="242"/>
      <c r="N103" s="242"/>
      <c r="O103" s="242"/>
      <c r="P103" s="242"/>
      <c r="Q103" s="242"/>
      <c r="R103" s="242"/>
      <c r="S103" s="242"/>
      <c r="T103" s="242"/>
      <c r="U103" s="242"/>
      <c r="V103" s="242"/>
      <c r="W103" s="242"/>
      <c r="X103" s="242"/>
      <c r="Y103" s="242"/>
      <c r="Z103" s="242"/>
      <c r="AA103" s="242"/>
      <c r="AB103" s="242"/>
    </row>
    <row r="104">
      <c r="A104" s="242"/>
      <c r="B104" s="13"/>
      <c r="C104" s="242"/>
      <c r="D104" s="13"/>
      <c r="E104" s="13"/>
      <c r="F104" s="13"/>
      <c r="G104" s="13"/>
      <c r="H104" s="13"/>
      <c r="I104" s="242"/>
      <c r="J104" s="242"/>
      <c r="K104" s="242"/>
      <c r="L104" s="242"/>
      <c r="M104" s="242"/>
      <c r="N104" s="242"/>
      <c r="O104" s="242"/>
      <c r="P104" s="242"/>
      <c r="Q104" s="242"/>
      <c r="R104" s="242"/>
      <c r="S104" s="242"/>
      <c r="T104" s="242"/>
      <c r="U104" s="242"/>
      <c r="V104" s="242"/>
      <c r="W104" s="242"/>
      <c r="X104" s="242"/>
      <c r="Y104" s="242"/>
      <c r="Z104" s="242"/>
      <c r="AA104" s="242"/>
      <c r="AB104" s="242"/>
    </row>
    <row r="105">
      <c r="A105" s="242"/>
      <c r="B105" s="13"/>
      <c r="C105" s="242"/>
      <c r="D105" s="13"/>
      <c r="E105" s="13"/>
      <c r="F105" s="13"/>
      <c r="G105" s="13"/>
      <c r="H105" s="13"/>
      <c r="I105" s="242"/>
      <c r="J105" s="242"/>
      <c r="K105" s="242"/>
      <c r="L105" s="242"/>
      <c r="M105" s="242"/>
      <c r="N105" s="242"/>
      <c r="O105" s="242"/>
      <c r="P105" s="242"/>
      <c r="Q105" s="242"/>
      <c r="R105" s="242"/>
      <c r="S105" s="242"/>
      <c r="T105" s="242"/>
      <c r="U105" s="242"/>
      <c r="V105" s="242"/>
      <c r="W105" s="242"/>
      <c r="X105" s="242"/>
      <c r="Y105" s="242"/>
      <c r="Z105" s="242"/>
      <c r="AA105" s="242"/>
      <c r="AB105" s="242"/>
    </row>
    <row r="106">
      <c r="A106" s="242"/>
      <c r="B106" s="13"/>
      <c r="C106" s="242"/>
      <c r="D106" s="13"/>
      <c r="E106" s="13"/>
      <c r="F106" s="13"/>
      <c r="G106" s="13"/>
      <c r="H106" s="13"/>
      <c r="I106" s="242"/>
      <c r="J106" s="242"/>
      <c r="K106" s="242"/>
      <c r="L106" s="242"/>
      <c r="M106" s="242"/>
      <c r="N106" s="242"/>
      <c r="O106" s="242"/>
      <c r="P106" s="242"/>
      <c r="Q106" s="242"/>
      <c r="R106" s="242"/>
      <c r="S106" s="242"/>
      <c r="T106" s="242"/>
      <c r="U106" s="242"/>
      <c r="V106" s="242"/>
      <c r="W106" s="242"/>
      <c r="X106" s="242"/>
      <c r="Y106" s="242"/>
      <c r="Z106" s="242"/>
      <c r="AA106" s="242"/>
      <c r="AB106" s="242"/>
    </row>
    <row r="107">
      <c r="A107" s="242"/>
      <c r="B107" s="13"/>
      <c r="C107" s="242"/>
      <c r="D107" s="13"/>
      <c r="E107" s="13"/>
      <c r="F107" s="13"/>
      <c r="G107" s="13"/>
      <c r="H107" s="13"/>
      <c r="I107" s="242"/>
      <c r="J107" s="242"/>
      <c r="K107" s="242"/>
      <c r="L107" s="242"/>
      <c r="M107" s="242"/>
      <c r="N107" s="242"/>
      <c r="O107" s="242"/>
      <c r="P107" s="242"/>
      <c r="Q107" s="242"/>
      <c r="R107" s="242"/>
      <c r="S107" s="242"/>
      <c r="T107" s="242"/>
      <c r="U107" s="242"/>
      <c r="V107" s="242"/>
      <c r="W107" s="242"/>
      <c r="X107" s="242"/>
      <c r="Y107" s="242"/>
      <c r="Z107" s="242"/>
      <c r="AA107" s="242"/>
      <c r="AB107" s="242"/>
    </row>
    <row r="108">
      <c r="A108" s="242"/>
      <c r="B108" s="13"/>
      <c r="C108" s="242"/>
      <c r="D108" s="13"/>
      <c r="E108" s="13"/>
      <c r="F108" s="13"/>
      <c r="G108" s="13"/>
      <c r="H108" s="13"/>
      <c r="I108" s="242"/>
      <c r="J108" s="242"/>
      <c r="K108" s="242"/>
      <c r="L108" s="242"/>
      <c r="M108" s="242"/>
      <c r="N108" s="242"/>
      <c r="O108" s="242"/>
      <c r="P108" s="242"/>
      <c r="Q108" s="242"/>
      <c r="R108" s="242"/>
      <c r="S108" s="242"/>
      <c r="T108" s="242"/>
      <c r="U108" s="242"/>
      <c r="V108" s="242"/>
      <c r="W108" s="242"/>
      <c r="X108" s="242"/>
      <c r="Y108" s="242"/>
      <c r="Z108" s="242"/>
      <c r="AA108" s="242"/>
      <c r="AB108" s="242"/>
    </row>
    <row r="109">
      <c r="A109" s="242"/>
      <c r="B109" s="13"/>
      <c r="C109" s="242"/>
      <c r="D109" s="13"/>
      <c r="E109" s="13"/>
      <c r="F109" s="13"/>
      <c r="G109" s="13"/>
      <c r="H109" s="13"/>
      <c r="I109" s="242"/>
      <c r="J109" s="242"/>
      <c r="K109" s="242"/>
      <c r="L109" s="242"/>
      <c r="M109" s="242"/>
      <c r="N109" s="242"/>
      <c r="O109" s="242"/>
      <c r="P109" s="242"/>
      <c r="Q109" s="242"/>
      <c r="R109" s="242"/>
      <c r="S109" s="242"/>
      <c r="T109" s="242"/>
      <c r="U109" s="242"/>
      <c r="V109" s="242"/>
      <c r="W109" s="242"/>
      <c r="X109" s="242"/>
      <c r="Y109" s="242"/>
      <c r="Z109" s="242"/>
      <c r="AA109" s="242"/>
      <c r="AB109" s="242"/>
    </row>
    <row r="110">
      <c r="A110" s="242"/>
      <c r="B110" s="13"/>
      <c r="C110" s="242"/>
      <c r="D110" s="13"/>
      <c r="E110" s="13"/>
      <c r="F110" s="13"/>
      <c r="G110" s="13"/>
      <c r="H110" s="13"/>
      <c r="I110" s="242"/>
      <c r="J110" s="242"/>
      <c r="K110" s="242"/>
      <c r="L110" s="242"/>
      <c r="M110" s="242"/>
      <c r="N110" s="242"/>
      <c r="O110" s="242"/>
      <c r="P110" s="242"/>
      <c r="Q110" s="242"/>
      <c r="R110" s="242"/>
      <c r="S110" s="242"/>
      <c r="T110" s="242"/>
      <c r="U110" s="242"/>
      <c r="V110" s="242"/>
      <c r="W110" s="242"/>
      <c r="X110" s="242"/>
      <c r="Y110" s="242"/>
      <c r="Z110" s="242"/>
      <c r="AA110" s="242"/>
      <c r="AB110" s="242"/>
    </row>
    <row r="111">
      <c r="A111" s="242"/>
      <c r="B111" s="13"/>
      <c r="C111" s="242"/>
      <c r="D111" s="13"/>
      <c r="E111" s="13"/>
      <c r="F111" s="13"/>
      <c r="G111" s="13"/>
      <c r="H111" s="13"/>
      <c r="I111" s="242"/>
      <c r="J111" s="242"/>
      <c r="K111" s="242"/>
      <c r="L111" s="242"/>
      <c r="M111" s="242"/>
      <c r="N111" s="242"/>
      <c r="O111" s="242"/>
      <c r="P111" s="242"/>
      <c r="Q111" s="242"/>
      <c r="R111" s="242"/>
      <c r="S111" s="242"/>
      <c r="T111" s="242"/>
      <c r="U111" s="242"/>
      <c r="V111" s="242"/>
      <c r="W111" s="242"/>
      <c r="X111" s="242"/>
      <c r="Y111" s="242"/>
      <c r="Z111" s="242"/>
      <c r="AA111" s="242"/>
      <c r="AB111" s="242"/>
    </row>
    <row r="112">
      <c r="A112" s="242"/>
      <c r="B112" s="13"/>
      <c r="C112" s="242"/>
      <c r="D112" s="13"/>
      <c r="E112" s="13"/>
      <c r="F112" s="13"/>
      <c r="G112" s="13"/>
      <c r="H112" s="13"/>
      <c r="I112" s="242"/>
      <c r="J112" s="242"/>
      <c r="K112" s="242"/>
      <c r="L112" s="242"/>
      <c r="M112" s="242"/>
      <c r="N112" s="242"/>
      <c r="O112" s="242"/>
      <c r="P112" s="242"/>
      <c r="Q112" s="242"/>
      <c r="R112" s="242"/>
      <c r="S112" s="242"/>
      <c r="T112" s="242"/>
      <c r="U112" s="242"/>
      <c r="V112" s="242"/>
      <c r="W112" s="242"/>
      <c r="X112" s="242"/>
      <c r="Y112" s="242"/>
      <c r="Z112" s="242"/>
      <c r="AA112" s="242"/>
      <c r="AB112" s="242"/>
    </row>
    <row r="113">
      <c r="A113" s="242"/>
      <c r="B113" s="13"/>
      <c r="C113" s="242"/>
      <c r="D113" s="13"/>
      <c r="E113" s="13"/>
      <c r="F113" s="13"/>
      <c r="G113" s="13"/>
      <c r="H113" s="13"/>
      <c r="I113" s="242"/>
      <c r="J113" s="242"/>
      <c r="K113" s="242"/>
      <c r="L113" s="242"/>
      <c r="M113" s="242"/>
      <c r="N113" s="242"/>
      <c r="O113" s="242"/>
      <c r="P113" s="242"/>
      <c r="Q113" s="242"/>
      <c r="R113" s="242"/>
      <c r="S113" s="242"/>
      <c r="T113" s="242"/>
      <c r="U113" s="242"/>
      <c r="V113" s="242"/>
      <c r="W113" s="242"/>
      <c r="X113" s="242"/>
      <c r="Y113" s="242"/>
      <c r="Z113" s="242"/>
      <c r="AA113" s="242"/>
      <c r="AB113" s="242"/>
    </row>
    <row r="114">
      <c r="A114" s="242"/>
      <c r="B114" s="13"/>
      <c r="C114" s="242"/>
      <c r="D114" s="13"/>
      <c r="E114" s="13"/>
      <c r="F114" s="13"/>
      <c r="G114" s="13"/>
      <c r="H114" s="13"/>
      <c r="I114" s="242"/>
      <c r="J114" s="242"/>
      <c r="K114" s="242"/>
      <c r="L114" s="242"/>
      <c r="M114" s="242"/>
      <c r="N114" s="242"/>
      <c r="O114" s="242"/>
      <c r="P114" s="242"/>
      <c r="Q114" s="242"/>
      <c r="R114" s="242"/>
      <c r="S114" s="242"/>
      <c r="T114" s="242"/>
      <c r="U114" s="242"/>
      <c r="V114" s="242"/>
      <c r="W114" s="242"/>
      <c r="X114" s="242"/>
      <c r="Y114" s="242"/>
      <c r="Z114" s="242"/>
      <c r="AA114" s="242"/>
      <c r="AB114" s="242"/>
    </row>
    <row r="115">
      <c r="A115" s="242"/>
      <c r="B115" s="13"/>
      <c r="C115" s="242"/>
      <c r="D115" s="13"/>
      <c r="E115" s="13"/>
      <c r="F115" s="13"/>
      <c r="G115" s="13"/>
      <c r="H115" s="13"/>
      <c r="I115" s="242"/>
      <c r="J115" s="242"/>
      <c r="K115" s="242"/>
      <c r="L115" s="242"/>
      <c r="M115" s="242"/>
      <c r="N115" s="242"/>
      <c r="O115" s="242"/>
      <c r="P115" s="242"/>
      <c r="Q115" s="242"/>
      <c r="R115" s="242"/>
      <c r="S115" s="242"/>
      <c r="T115" s="242"/>
      <c r="U115" s="242"/>
      <c r="V115" s="242"/>
      <c r="W115" s="242"/>
      <c r="X115" s="242"/>
      <c r="Y115" s="242"/>
      <c r="Z115" s="242"/>
      <c r="AA115" s="242"/>
      <c r="AB115" s="242"/>
    </row>
    <row r="116">
      <c r="A116" s="242"/>
      <c r="B116" s="13"/>
      <c r="C116" s="242"/>
      <c r="D116" s="13"/>
      <c r="E116" s="13"/>
      <c r="F116" s="13"/>
      <c r="G116" s="13"/>
      <c r="H116" s="13"/>
      <c r="I116" s="242"/>
      <c r="J116" s="242"/>
      <c r="K116" s="242"/>
      <c r="L116" s="242"/>
      <c r="M116" s="242"/>
      <c r="N116" s="242"/>
      <c r="O116" s="242"/>
      <c r="P116" s="242"/>
      <c r="Q116" s="242"/>
      <c r="R116" s="242"/>
      <c r="S116" s="242"/>
      <c r="T116" s="242"/>
      <c r="U116" s="242"/>
      <c r="V116" s="242"/>
      <c r="W116" s="242"/>
      <c r="X116" s="242"/>
      <c r="Y116" s="242"/>
      <c r="Z116" s="242"/>
      <c r="AA116" s="242"/>
      <c r="AB116" s="242"/>
    </row>
    <row r="117">
      <c r="A117" s="242"/>
      <c r="B117" s="13"/>
      <c r="C117" s="242"/>
      <c r="D117" s="13"/>
      <c r="E117" s="13"/>
      <c r="F117" s="13"/>
      <c r="G117" s="13"/>
      <c r="H117" s="13"/>
      <c r="I117" s="242"/>
      <c r="J117" s="242"/>
      <c r="K117" s="242"/>
      <c r="L117" s="242"/>
      <c r="M117" s="242"/>
      <c r="N117" s="242"/>
      <c r="O117" s="242"/>
      <c r="P117" s="242"/>
      <c r="Q117" s="242"/>
      <c r="R117" s="242"/>
      <c r="S117" s="242"/>
      <c r="T117" s="242"/>
      <c r="U117" s="242"/>
      <c r="V117" s="242"/>
      <c r="W117" s="242"/>
      <c r="X117" s="242"/>
      <c r="Y117" s="242"/>
      <c r="Z117" s="242"/>
      <c r="AA117" s="242"/>
      <c r="AB117" s="242"/>
    </row>
    <row r="118">
      <c r="A118" s="242"/>
      <c r="B118" s="13"/>
      <c r="C118" s="242"/>
      <c r="D118" s="13"/>
      <c r="E118" s="13"/>
      <c r="F118" s="13"/>
      <c r="G118" s="13"/>
      <c r="H118" s="13"/>
      <c r="I118" s="242"/>
      <c r="J118" s="242"/>
      <c r="K118" s="242"/>
      <c r="L118" s="242"/>
      <c r="M118" s="242"/>
      <c r="N118" s="242"/>
      <c r="O118" s="242"/>
      <c r="P118" s="242"/>
      <c r="Q118" s="242"/>
      <c r="R118" s="242"/>
      <c r="S118" s="242"/>
      <c r="T118" s="242"/>
      <c r="U118" s="242"/>
      <c r="V118" s="242"/>
      <c r="W118" s="242"/>
      <c r="X118" s="242"/>
      <c r="Y118" s="242"/>
      <c r="Z118" s="242"/>
      <c r="AA118" s="242"/>
      <c r="AB118" s="242"/>
    </row>
    <row r="119">
      <c r="A119" s="242"/>
      <c r="B119" s="13"/>
      <c r="C119" s="242"/>
      <c r="D119" s="13"/>
      <c r="E119" s="13"/>
      <c r="F119" s="13"/>
      <c r="G119" s="13"/>
      <c r="H119" s="13"/>
      <c r="I119" s="242"/>
      <c r="J119" s="242"/>
      <c r="K119" s="242"/>
      <c r="L119" s="242"/>
      <c r="M119" s="242"/>
      <c r="N119" s="242"/>
      <c r="O119" s="242"/>
      <c r="P119" s="242"/>
      <c r="Q119" s="242"/>
      <c r="R119" s="242"/>
      <c r="S119" s="242"/>
      <c r="T119" s="242"/>
      <c r="U119" s="242"/>
      <c r="V119" s="242"/>
      <c r="W119" s="242"/>
      <c r="X119" s="242"/>
      <c r="Y119" s="242"/>
      <c r="Z119" s="242"/>
      <c r="AA119" s="242"/>
      <c r="AB119" s="242"/>
    </row>
    <row r="120">
      <c r="A120" s="242"/>
      <c r="B120" s="13"/>
      <c r="C120" s="242"/>
      <c r="D120" s="13"/>
      <c r="E120" s="13"/>
      <c r="F120" s="13"/>
      <c r="G120" s="13"/>
      <c r="H120" s="13"/>
      <c r="I120" s="242"/>
      <c r="J120" s="242"/>
      <c r="K120" s="242"/>
      <c r="L120" s="242"/>
      <c r="M120" s="242"/>
      <c r="N120" s="242"/>
      <c r="O120" s="242"/>
      <c r="P120" s="242"/>
      <c r="Q120" s="242"/>
      <c r="R120" s="242"/>
      <c r="S120" s="242"/>
      <c r="T120" s="242"/>
      <c r="U120" s="242"/>
      <c r="V120" s="242"/>
      <c r="W120" s="242"/>
      <c r="X120" s="242"/>
      <c r="Y120" s="242"/>
      <c r="Z120" s="242"/>
      <c r="AA120" s="242"/>
      <c r="AB120" s="242"/>
    </row>
    <row r="121">
      <c r="A121" s="242"/>
      <c r="B121" s="13"/>
      <c r="C121" s="242"/>
      <c r="D121" s="13"/>
      <c r="E121" s="13"/>
      <c r="F121" s="13"/>
      <c r="G121" s="13"/>
      <c r="H121" s="13"/>
      <c r="I121" s="242"/>
      <c r="J121" s="242"/>
      <c r="K121" s="242"/>
      <c r="L121" s="242"/>
      <c r="M121" s="242"/>
      <c r="N121" s="242"/>
      <c r="O121" s="242"/>
      <c r="P121" s="242"/>
      <c r="Q121" s="242"/>
      <c r="R121" s="242"/>
      <c r="S121" s="242"/>
      <c r="T121" s="242"/>
      <c r="U121" s="242"/>
      <c r="V121" s="242"/>
      <c r="W121" s="242"/>
      <c r="X121" s="242"/>
      <c r="Y121" s="242"/>
      <c r="Z121" s="242"/>
      <c r="AA121" s="242"/>
      <c r="AB121" s="242"/>
    </row>
    <row r="122">
      <c r="A122" s="242"/>
      <c r="B122" s="13"/>
      <c r="C122" s="242"/>
      <c r="D122" s="13"/>
      <c r="E122" s="13"/>
      <c r="F122" s="13"/>
      <c r="G122" s="13"/>
      <c r="H122" s="13"/>
      <c r="I122" s="242"/>
      <c r="J122" s="242"/>
      <c r="K122" s="242"/>
      <c r="L122" s="242"/>
      <c r="M122" s="242"/>
      <c r="N122" s="242"/>
      <c r="O122" s="242"/>
      <c r="P122" s="242"/>
      <c r="Q122" s="242"/>
      <c r="R122" s="242"/>
      <c r="S122" s="242"/>
      <c r="T122" s="242"/>
      <c r="U122" s="242"/>
      <c r="V122" s="242"/>
      <c r="W122" s="242"/>
      <c r="X122" s="242"/>
      <c r="Y122" s="242"/>
      <c r="Z122" s="242"/>
      <c r="AA122" s="242"/>
      <c r="AB122" s="242"/>
    </row>
    <row r="123">
      <c r="A123" s="242"/>
      <c r="B123" s="13"/>
      <c r="C123" s="242"/>
      <c r="D123" s="13"/>
      <c r="E123" s="13"/>
      <c r="F123" s="13"/>
      <c r="G123" s="13"/>
      <c r="H123" s="13"/>
      <c r="I123" s="242"/>
      <c r="J123" s="242"/>
      <c r="K123" s="242"/>
      <c r="L123" s="242"/>
      <c r="M123" s="242"/>
      <c r="N123" s="242"/>
      <c r="O123" s="242"/>
      <c r="P123" s="242"/>
      <c r="Q123" s="242"/>
      <c r="R123" s="242"/>
      <c r="S123" s="242"/>
      <c r="T123" s="242"/>
      <c r="U123" s="242"/>
      <c r="V123" s="242"/>
      <c r="W123" s="242"/>
      <c r="X123" s="242"/>
      <c r="Y123" s="242"/>
      <c r="Z123" s="242"/>
      <c r="AA123" s="242"/>
      <c r="AB123" s="242"/>
    </row>
    <row r="124">
      <c r="A124" s="242"/>
      <c r="B124" s="13"/>
      <c r="C124" s="242"/>
      <c r="D124" s="13"/>
      <c r="E124" s="13"/>
      <c r="F124" s="13"/>
      <c r="G124" s="13"/>
      <c r="H124" s="13"/>
      <c r="I124" s="242"/>
      <c r="J124" s="242"/>
      <c r="K124" s="242"/>
      <c r="L124" s="242"/>
      <c r="M124" s="242"/>
      <c r="N124" s="242"/>
      <c r="O124" s="242"/>
      <c r="P124" s="242"/>
      <c r="Q124" s="242"/>
      <c r="R124" s="242"/>
      <c r="S124" s="242"/>
      <c r="T124" s="242"/>
      <c r="U124" s="242"/>
      <c r="V124" s="242"/>
      <c r="W124" s="242"/>
      <c r="X124" s="242"/>
      <c r="Y124" s="242"/>
      <c r="Z124" s="242"/>
      <c r="AA124" s="242"/>
      <c r="AB124" s="242"/>
    </row>
    <row r="125">
      <c r="A125" s="242"/>
      <c r="B125" s="13"/>
      <c r="C125" s="242"/>
      <c r="D125" s="13"/>
      <c r="E125" s="13"/>
      <c r="F125" s="13"/>
      <c r="G125" s="13"/>
      <c r="H125" s="13"/>
      <c r="I125" s="242"/>
      <c r="J125" s="242"/>
      <c r="K125" s="242"/>
      <c r="L125" s="242"/>
      <c r="M125" s="242"/>
      <c r="N125" s="242"/>
      <c r="O125" s="242"/>
      <c r="P125" s="242"/>
      <c r="Q125" s="242"/>
      <c r="R125" s="242"/>
      <c r="S125" s="242"/>
      <c r="T125" s="242"/>
      <c r="U125" s="242"/>
      <c r="V125" s="242"/>
      <c r="W125" s="242"/>
      <c r="X125" s="242"/>
      <c r="Y125" s="242"/>
      <c r="Z125" s="242"/>
      <c r="AA125" s="242"/>
      <c r="AB125" s="242"/>
    </row>
    <row r="126">
      <c r="A126" s="242"/>
      <c r="B126" s="13"/>
      <c r="C126" s="242"/>
      <c r="D126" s="13"/>
      <c r="E126" s="13"/>
      <c r="F126" s="13"/>
      <c r="G126" s="13"/>
      <c r="H126" s="13"/>
      <c r="I126" s="242"/>
      <c r="J126" s="242"/>
      <c r="K126" s="242"/>
      <c r="L126" s="242"/>
      <c r="M126" s="242"/>
      <c r="N126" s="242"/>
      <c r="O126" s="242"/>
      <c r="P126" s="242"/>
      <c r="Q126" s="242"/>
      <c r="R126" s="242"/>
      <c r="S126" s="242"/>
      <c r="T126" s="242"/>
      <c r="U126" s="242"/>
      <c r="V126" s="242"/>
      <c r="W126" s="242"/>
      <c r="X126" s="242"/>
      <c r="Y126" s="242"/>
      <c r="Z126" s="242"/>
      <c r="AA126" s="242"/>
      <c r="AB126" s="242"/>
    </row>
    <row r="127">
      <c r="A127" s="242"/>
      <c r="B127" s="13"/>
      <c r="C127" s="242"/>
      <c r="D127" s="13"/>
      <c r="E127" s="13"/>
      <c r="F127" s="13"/>
      <c r="G127" s="13"/>
      <c r="H127" s="13"/>
      <c r="I127" s="242"/>
      <c r="J127" s="242"/>
      <c r="K127" s="242"/>
      <c r="L127" s="242"/>
      <c r="M127" s="242"/>
      <c r="N127" s="242"/>
      <c r="O127" s="242"/>
      <c r="P127" s="242"/>
      <c r="Q127" s="242"/>
      <c r="R127" s="242"/>
      <c r="S127" s="242"/>
      <c r="T127" s="242"/>
      <c r="U127" s="242"/>
      <c r="V127" s="242"/>
      <c r="W127" s="242"/>
      <c r="X127" s="242"/>
      <c r="Y127" s="242"/>
      <c r="Z127" s="242"/>
      <c r="AA127" s="242"/>
      <c r="AB127" s="242"/>
    </row>
    <row r="128">
      <c r="A128" s="242"/>
      <c r="B128" s="13"/>
      <c r="C128" s="242"/>
      <c r="D128" s="13"/>
      <c r="E128" s="13"/>
      <c r="F128" s="13"/>
      <c r="G128" s="13"/>
      <c r="H128" s="13"/>
      <c r="I128" s="242"/>
      <c r="J128" s="242"/>
      <c r="K128" s="242"/>
      <c r="L128" s="242"/>
      <c r="M128" s="242"/>
      <c r="N128" s="242"/>
      <c r="O128" s="242"/>
      <c r="P128" s="242"/>
      <c r="Q128" s="242"/>
      <c r="R128" s="242"/>
      <c r="S128" s="242"/>
      <c r="T128" s="242"/>
      <c r="U128" s="242"/>
      <c r="V128" s="242"/>
      <c r="W128" s="242"/>
      <c r="X128" s="242"/>
      <c r="Y128" s="242"/>
      <c r="Z128" s="242"/>
      <c r="AA128" s="242"/>
      <c r="AB128" s="242"/>
    </row>
    <row r="129">
      <c r="A129" s="242"/>
      <c r="B129" s="13"/>
      <c r="C129" s="242"/>
      <c r="D129" s="13"/>
      <c r="E129" s="13"/>
      <c r="F129" s="13"/>
      <c r="G129" s="13"/>
      <c r="H129" s="13"/>
      <c r="I129" s="242"/>
      <c r="J129" s="242"/>
      <c r="K129" s="242"/>
      <c r="L129" s="242"/>
      <c r="M129" s="242"/>
      <c r="N129" s="242"/>
      <c r="O129" s="242"/>
      <c r="P129" s="242"/>
      <c r="Q129" s="242"/>
      <c r="R129" s="242"/>
      <c r="S129" s="242"/>
      <c r="T129" s="242"/>
      <c r="U129" s="242"/>
      <c r="V129" s="242"/>
      <c r="W129" s="242"/>
      <c r="X129" s="242"/>
      <c r="Y129" s="242"/>
      <c r="Z129" s="242"/>
      <c r="AA129" s="242"/>
      <c r="AB129" s="242"/>
    </row>
    <row r="130">
      <c r="A130" s="242"/>
      <c r="B130" s="13"/>
      <c r="C130" s="242"/>
      <c r="D130" s="13"/>
      <c r="E130" s="13"/>
      <c r="F130" s="13"/>
      <c r="G130" s="13"/>
      <c r="H130" s="13"/>
      <c r="I130" s="242"/>
      <c r="J130" s="242"/>
      <c r="K130" s="242"/>
      <c r="L130" s="242"/>
      <c r="M130" s="242"/>
      <c r="N130" s="242"/>
      <c r="O130" s="242"/>
      <c r="P130" s="242"/>
      <c r="Q130" s="242"/>
      <c r="R130" s="242"/>
      <c r="S130" s="242"/>
      <c r="T130" s="242"/>
      <c r="U130" s="242"/>
      <c r="V130" s="242"/>
      <c r="W130" s="242"/>
      <c r="X130" s="242"/>
      <c r="Y130" s="242"/>
      <c r="Z130" s="242"/>
      <c r="AA130" s="242"/>
      <c r="AB130" s="242"/>
    </row>
    <row r="131">
      <c r="A131" s="242"/>
      <c r="B131" s="13"/>
      <c r="C131" s="242"/>
      <c r="D131" s="13"/>
      <c r="E131" s="13"/>
      <c r="F131" s="13"/>
      <c r="G131" s="13"/>
      <c r="H131" s="13"/>
      <c r="I131" s="242"/>
      <c r="J131" s="242"/>
      <c r="K131" s="242"/>
      <c r="L131" s="242"/>
      <c r="M131" s="242"/>
      <c r="N131" s="242"/>
      <c r="O131" s="242"/>
      <c r="P131" s="242"/>
      <c r="Q131" s="242"/>
      <c r="R131" s="242"/>
      <c r="S131" s="242"/>
      <c r="T131" s="242"/>
      <c r="U131" s="242"/>
      <c r="V131" s="242"/>
      <c r="W131" s="242"/>
      <c r="X131" s="242"/>
      <c r="Y131" s="242"/>
      <c r="Z131" s="242"/>
      <c r="AA131" s="242"/>
      <c r="AB131" s="242"/>
    </row>
    <row r="132">
      <c r="A132" s="242"/>
      <c r="B132" s="13"/>
      <c r="C132" s="242"/>
      <c r="D132" s="13"/>
      <c r="E132" s="13"/>
      <c r="F132" s="13"/>
      <c r="G132" s="13"/>
      <c r="H132" s="13"/>
      <c r="I132" s="242"/>
      <c r="J132" s="242"/>
      <c r="K132" s="242"/>
      <c r="L132" s="242"/>
      <c r="M132" s="242"/>
      <c r="N132" s="242"/>
      <c r="O132" s="242"/>
      <c r="P132" s="242"/>
      <c r="Q132" s="242"/>
      <c r="R132" s="242"/>
      <c r="S132" s="242"/>
      <c r="T132" s="242"/>
      <c r="U132" s="242"/>
      <c r="V132" s="242"/>
      <c r="W132" s="242"/>
      <c r="X132" s="242"/>
      <c r="Y132" s="242"/>
      <c r="Z132" s="242"/>
      <c r="AA132" s="242"/>
      <c r="AB132" s="242"/>
    </row>
    <row r="133">
      <c r="A133" s="242"/>
      <c r="B133" s="13"/>
      <c r="C133" s="242"/>
      <c r="D133" s="13"/>
      <c r="E133" s="13"/>
      <c r="F133" s="13"/>
      <c r="G133" s="13"/>
      <c r="H133" s="13"/>
      <c r="I133" s="242"/>
      <c r="J133" s="242"/>
      <c r="K133" s="242"/>
      <c r="L133" s="242"/>
      <c r="M133" s="242"/>
      <c r="N133" s="242"/>
      <c r="O133" s="242"/>
      <c r="P133" s="242"/>
      <c r="Q133" s="242"/>
      <c r="R133" s="242"/>
      <c r="S133" s="242"/>
      <c r="T133" s="242"/>
      <c r="U133" s="242"/>
      <c r="V133" s="242"/>
      <c r="W133" s="242"/>
      <c r="X133" s="242"/>
      <c r="Y133" s="242"/>
      <c r="Z133" s="242"/>
      <c r="AA133" s="242"/>
      <c r="AB133" s="242"/>
    </row>
    <row r="134">
      <c r="A134" s="242"/>
      <c r="B134" s="13"/>
      <c r="C134" s="242"/>
      <c r="D134" s="13"/>
      <c r="E134" s="13"/>
      <c r="F134" s="13"/>
      <c r="G134" s="13"/>
      <c r="H134" s="13"/>
      <c r="I134" s="242"/>
      <c r="J134" s="242"/>
      <c r="K134" s="242"/>
      <c r="L134" s="242"/>
      <c r="M134" s="242"/>
      <c r="N134" s="242"/>
      <c r="O134" s="242"/>
      <c r="P134" s="242"/>
      <c r="Q134" s="242"/>
      <c r="R134" s="242"/>
      <c r="S134" s="242"/>
      <c r="T134" s="242"/>
      <c r="U134" s="242"/>
      <c r="V134" s="242"/>
      <c r="W134" s="242"/>
      <c r="X134" s="242"/>
      <c r="Y134" s="242"/>
      <c r="Z134" s="242"/>
      <c r="AA134" s="242"/>
      <c r="AB134" s="242"/>
    </row>
    <row r="135">
      <c r="A135" s="242"/>
      <c r="B135" s="13"/>
      <c r="C135" s="242"/>
      <c r="D135" s="13"/>
      <c r="E135" s="13"/>
      <c r="F135" s="13"/>
      <c r="G135" s="13"/>
      <c r="H135" s="13"/>
      <c r="I135" s="242"/>
      <c r="J135" s="242"/>
      <c r="K135" s="242"/>
      <c r="L135" s="242"/>
      <c r="M135" s="242"/>
      <c r="N135" s="242"/>
      <c r="O135" s="242"/>
      <c r="P135" s="242"/>
      <c r="Q135" s="242"/>
      <c r="R135" s="242"/>
      <c r="S135" s="242"/>
      <c r="T135" s="242"/>
      <c r="U135" s="242"/>
      <c r="V135" s="242"/>
      <c r="W135" s="242"/>
      <c r="X135" s="242"/>
      <c r="Y135" s="242"/>
      <c r="Z135" s="242"/>
      <c r="AA135" s="242"/>
      <c r="AB135" s="242"/>
    </row>
    <row r="136">
      <c r="A136" s="242"/>
      <c r="B136" s="13"/>
      <c r="C136" s="242"/>
      <c r="D136" s="13"/>
      <c r="E136" s="13"/>
      <c r="F136" s="13"/>
      <c r="G136" s="13"/>
      <c r="H136" s="13"/>
      <c r="I136" s="242"/>
      <c r="J136" s="242"/>
      <c r="K136" s="242"/>
      <c r="L136" s="242"/>
      <c r="M136" s="242"/>
      <c r="N136" s="242"/>
      <c r="O136" s="242"/>
      <c r="P136" s="242"/>
      <c r="Q136" s="242"/>
      <c r="R136" s="242"/>
      <c r="S136" s="242"/>
      <c r="T136" s="242"/>
      <c r="U136" s="242"/>
      <c r="V136" s="242"/>
      <c r="W136" s="242"/>
      <c r="X136" s="242"/>
      <c r="Y136" s="242"/>
      <c r="Z136" s="242"/>
      <c r="AA136" s="242"/>
      <c r="AB136" s="242"/>
    </row>
    <row r="137">
      <c r="A137" s="242"/>
      <c r="B137" s="13"/>
      <c r="C137" s="242"/>
      <c r="D137" s="13"/>
      <c r="E137" s="13"/>
      <c r="F137" s="13"/>
      <c r="G137" s="13"/>
      <c r="H137" s="13"/>
      <c r="I137" s="242"/>
      <c r="J137" s="242"/>
      <c r="K137" s="242"/>
      <c r="L137" s="242"/>
      <c r="M137" s="242"/>
      <c r="N137" s="242"/>
      <c r="O137" s="242"/>
      <c r="P137" s="242"/>
      <c r="Q137" s="242"/>
      <c r="R137" s="242"/>
      <c r="S137" s="242"/>
      <c r="T137" s="242"/>
      <c r="U137" s="242"/>
      <c r="V137" s="242"/>
      <c r="W137" s="242"/>
      <c r="X137" s="242"/>
      <c r="Y137" s="242"/>
      <c r="Z137" s="242"/>
      <c r="AA137" s="242"/>
      <c r="AB137" s="242"/>
    </row>
    <row r="138">
      <c r="A138" s="242"/>
      <c r="B138" s="13"/>
      <c r="C138" s="242"/>
      <c r="D138" s="13"/>
      <c r="E138" s="13"/>
      <c r="F138" s="13"/>
      <c r="G138" s="13"/>
      <c r="H138" s="13"/>
      <c r="I138" s="242"/>
      <c r="J138" s="242"/>
      <c r="K138" s="242"/>
      <c r="L138" s="242"/>
      <c r="M138" s="242"/>
      <c r="N138" s="242"/>
      <c r="O138" s="242"/>
      <c r="P138" s="242"/>
      <c r="Q138" s="242"/>
      <c r="R138" s="242"/>
      <c r="S138" s="242"/>
      <c r="T138" s="242"/>
      <c r="U138" s="242"/>
      <c r="V138" s="242"/>
      <c r="W138" s="242"/>
      <c r="X138" s="242"/>
      <c r="Y138" s="242"/>
      <c r="Z138" s="242"/>
      <c r="AA138" s="242"/>
      <c r="AB138" s="242"/>
    </row>
    <row r="139">
      <c r="A139" s="242"/>
      <c r="B139" s="13"/>
      <c r="C139" s="242"/>
      <c r="D139" s="13"/>
      <c r="E139" s="13"/>
      <c r="F139" s="13"/>
      <c r="G139" s="13"/>
      <c r="H139" s="13"/>
      <c r="I139" s="242"/>
      <c r="J139" s="242"/>
      <c r="K139" s="242"/>
      <c r="L139" s="242"/>
      <c r="M139" s="242"/>
      <c r="N139" s="242"/>
      <c r="O139" s="242"/>
      <c r="P139" s="242"/>
      <c r="Q139" s="242"/>
      <c r="R139" s="242"/>
      <c r="S139" s="242"/>
      <c r="T139" s="242"/>
      <c r="U139" s="242"/>
      <c r="V139" s="242"/>
      <c r="W139" s="242"/>
      <c r="X139" s="242"/>
      <c r="Y139" s="242"/>
      <c r="Z139" s="242"/>
      <c r="AA139" s="242"/>
      <c r="AB139" s="242"/>
    </row>
    <row r="140">
      <c r="A140" s="242"/>
      <c r="B140" s="13"/>
      <c r="C140" s="242"/>
      <c r="D140" s="13"/>
      <c r="E140" s="13"/>
      <c r="F140" s="13"/>
      <c r="G140" s="13"/>
      <c r="H140" s="13"/>
      <c r="I140" s="242"/>
      <c r="J140" s="242"/>
      <c r="K140" s="242"/>
      <c r="L140" s="242"/>
      <c r="M140" s="242"/>
      <c r="N140" s="242"/>
      <c r="O140" s="242"/>
      <c r="P140" s="242"/>
      <c r="Q140" s="242"/>
      <c r="R140" s="242"/>
      <c r="S140" s="242"/>
      <c r="T140" s="242"/>
      <c r="U140" s="242"/>
      <c r="V140" s="242"/>
      <c r="W140" s="242"/>
      <c r="X140" s="242"/>
      <c r="Y140" s="242"/>
      <c r="Z140" s="242"/>
      <c r="AA140" s="242"/>
      <c r="AB140" s="242"/>
    </row>
    <row r="141">
      <c r="A141" s="242"/>
      <c r="B141" s="13"/>
      <c r="C141" s="242"/>
      <c r="D141" s="13"/>
      <c r="E141" s="13"/>
      <c r="F141" s="13"/>
      <c r="G141" s="13"/>
      <c r="H141" s="13"/>
      <c r="I141" s="242"/>
      <c r="J141" s="242"/>
      <c r="K141" s="242"/>
      <c r="L141" s="242"/>
      <c r="M141" s="242"/>
      <c r="N141" s="242"/>
      <c r="O141" s="242"/>
      <c r="P141" s="242"/>
      <c r="Q141" s="242"/>
      <c r="R141" s="242"/>
      <c r="S141" s="242"/>
      <c r="T141" s="242"/>
      <c r="U141" s="242"/>
      <c r="V141" s="242"/>
      <c r="W141" s="242"/>
      <c r="X141" s="242"/>
      <c r="Y141" s="242"/>
      <c r="Z141" s="242"/>
      <c r="AA141" s="242"/>
      <c r="AB141" s="242"/>
    </row>
    <row r="142">
      <c r="A142" s="242"/>
      <c r="B142" s="13"/>
      <c r="C142" s="242"/>
      <c r="D142" s="13"/>
      <c r="E142" s="13"/>
      <c r="F142" s="13"/>
      <c r="G142" s="13"/>
      <c r="H142" s="13"/>
      <c r="I142" s="242"/>
      <c r="J142" s="242"/>
      <c r="K142" s="242"/>
      <c r="L142" s="242"/>
      <c r="M142" s="242"/>
      <c r="N142" s="242"/>
      <c r="O142" s="242"/>
      <c r="P142" s="242"/>
      <c r="Q142" s="242"/>
      <c r="R142" s="242"/>
      <c r="S142" s="242"/>
      <c r="T142" s="242"/>
      <c r="U142" s="242"/>
      <c r="V142" s="242"/>
      <c r="W142" s="242"/>
      <c r="X142" s="242"/>
      <c r="Y142" s="242"/>
      <c r="Z142" s="242"/>
      <c r="AA142" s="242"/>
      <c r="AB142" s="242"/>
    </row>
    <row r="143">
      <c r="A143" s="242"/>
      <c r="B143" s="13"/>
      <c r="C143" s="242"/>
      <c r="D143" s="13"/>
      <c r="E143" s="13"/>
      <c r="F143" s="13"/>
      <c r="G143" s="13"/>
      <c r="H143" s="13"/>
      <c r="I143" s="242"/>
      <c r="J143" s="242"/>
      <c r="K143" s="242"/>
      <c r="L143" s="242"/>
      <c r="M143" s="242"/>
      <c r="N143" s="242"/>
      <c r="O143" s="242"/>
      <c r="P143" s="242"/>
      <c r="Q143" s="242"/>
      <c r="R143" s="242"/>
      <c r="S143" s="242"/>
      <c r="T143" s="242"/>
      <c r="U143" s="242"/>
      <c r="V143" s="242"/>
      <c r="W143" s="242"/>
      <c r="X143" s="242"/>
      <c r="Y143" s="242"/>
      <c r="Z143" s="242"/>
      <c r="AA143" s="242"/>
      <c r="AB143" s="242"/>
    </row>
    <row r="144">
      <c r="A144" s="242"/>
      <c r="B144" s="13"/>
      <c r="C144" s="242"/>
      <c r="D144" s="13"/>
      <c r="E144" s="13"/>
      <c r="F144" s="13"/>
      <c r="G144" s="13"/>
      <c r="H144" s="13"/>
      <c r="I144" s="242"/>
      <c r="J144" s="242"/>
      <c r="K144" s="242"/>
      <c r="L144" s="242"/>
      <c r="M144" s="242"/>
      <c r="N144" s="242"/>
      <c r="O144" s="242"/>
      <c r="P144" s="242"/>
      <c r="Q144" s="242"/>
      <c r="R144" s="242"/>
      <c r="S144" s="242"/>
      <c r="T144" s="242"/>
      <c r="U144" s="242"/>
      <c r="V144" s="242"/>
      <c r="W144" s="242"/>
      <c r="X144" s="242"/>
      <c r="Y144" s="242"/>
      <c r="Z144" s="242"/>
      <c r="AA144" s="242"/>
      <c r="AB144" s="242"/>
    </row>
    <row r="145">
      <c r="A145" s="242"/>
      <c r="B145" s="13"/>
      <c r="C145" s="242"/>
      <c r="D145" s="13"/>
      <c r="E145" s="13"/>
      <c r="F145" s="13"/>
      <c r="G145" s="13"/>
      <c r="H145" s="13"/>
      <c r="I145" s="242"/>
      <c r="J145" s="242"/>
      <c r="K145" s="242"/>
      <c r="L145" s="242"/>
      <c r="M145" s="242"/>
      <c r="N145" s="242"/>
      <c r="O145" s="242"/>
      <c r="P145" s="242"/>
      <c r="Q145" s="242"/>
      <c r="R145" s="242"/>
      <c r="S145" s="242"/>
      <c r="T145" s="242"/>
      <c r="U145" s="242"/>
      <c r="V145" s="242"/>
      <c r="W145" s="242"/>
      <c r="X145" s="242"/>
      <c r="Y145" s="242"/>
      <c r="Z145" s="242"/>
      <c r="AA145" s="242"/>
      <c r="AB145" s="242"/>
    </row>
    <row r="146">
      <c r="A146" s="242"/>
      <c r="B146" s="13"/>
      <c r="C146" s="242"/>
      <c r="D146" s="13"/>
      <c r="E146" s="13"/>
      <c r="F146" s="13"/>
      <c r="G146" s="13"/>
      <c r="H146" s="13"/>
      <c r="I146" s="242"/>
      <c r="J146" s="242"/>
      <c r="K146" s="242"/>
      <c r="L146" s="242"/>
      <c r="M146" s="242"/>
      <c r="N146" s="242"/>
      <c r="O146" s="242"/>
      <c r="P146" s="242"/>
      <c r="Q146" s="242"/>
      <c r="R146" s="242"/>
      <c r="S146" s="242"/>
      <c r="T146" s="242"/>
      <c r="U146" s="242"/>
      <c r="V146" s="242"/>
      <c r="W146" s="242"/>
      <c r="X146" s="242"/>
      <c r="Y146" s="242"/>
      <c r="Z146" s="242"/>
      <c r="AA146" s="242"/>
      <c r="AB146" s="242"/>
    </row>
    <row r="147">
      <c r="A147" s="242"/>
      <c r="B147" s="13"/>
      <c r="C147" s="242"/>
      <c r="D147" s="13"/>
      <c r="E147" s="13"/>
      <c r="F147" s="13"/>
      <c r="G147" s="13"/>
      <c r="H147" s="13"/>
      <c r="I147" s="242"/>
      <c r="J147" s="242"/>
      <c r="K147" s="242"/>
      <c r="L147" s="242"/>
      <c r="M147" s="242"/>
      <c r="N147" s="242"/>
      <c r="O147" s="242"/>
      <c r="P147" s="242"/>
      <c r="Q147" s="242"/>
      <c r="R147" s="242"/>
      <c r="S147" s="242"/>
      <c r="T147" s="242"/>
      <c r="U147" s="242"/>
      <c r="V147" s="242"/>
      <c r="W147" s="242"/>
      <c r="X147" s="242"/>
      <c r="Y147" s="242"/>
      <c r="Z147" s="242"/>
      <c r="AA147" s="242"/>
      <c r="AB147" s="242"/>
    </row>
    <row r="148">
      <c r="A148" s="242"/>
      <c r="B148" s="13"/>
      <c r="C148" s="242"/>
      <c r="D148" s="13"/>
      <c r="E148" s="13"/>
      <c r="F148" s="13"/>
      <c r="G148" s="13"/>
      <c r="H148" s="13"/>
      <c r="I148" s="242"/>
      <c r="J148" s="242"/>
      <c r="K148" s="242"/>
      <c r="L148" s="242"/>
      <c r="M148" s="242"/>
      <c r="N148" s="242"/>
      <c r="O148" s="242"/>
      <c r="P148" s="242"/>
      <c r="Q148" s="242"/>
      <c r="R148" s="242"/>
      <c r="S148" s="242"/>
      <c r="T148" s="242"/>
      <c r="U148" s="242"/>
      <c r="V148" s="242"/>
      <c r="W148" s="242"/>
      <c r="X148" s="242"/>
      <c r="Y148" s="242"/>
      <c r="Z148" s="242"/>
      <c r="AA148" s="242"/>
      <c r="AB148" s="242"/>
    </row>
    <row r="149">
      <c r="A149" s="242"/>
      <c r="B149" s="13"/>
      <c r="C149" s="242"/>
      <c r="D149" s="13"/>
      <c r="E149" s="13"/>
      <c r="F149" s="13"/>
      <c r="G149" s="13"/>
      <c r="H149" s="13"/>
      <c r="I149" s="242"/>
      <c r="J149" s="242"/>
      <c r="K149" s="242"/>
      <c r="L149" s="242"/>
      <c r="M149" s="242"/>
      <c r="N149" s="242"/>
      <c r="O149" s="242"/>
      <c r="P149" s="242"/>
      <c r="Q149" s="242"/>
      <c r="R149" s="242"/>
      <c r="S149" s="242"/>
      <c r="T149" s="242"/>
      <c r="U149" s="242"/>
      <c r="V149" s="242"/>
      <c r="W149" s="242"/>
      <c r="X149" s="242"/>
      <c r="Y149" s="242"/>
      <c r="Z149" s="242"/>
      <c r="AA149" s="242"/>
      <c r="AB149" s="242"/>
    </row>
    <row r="150">
      <c r="A150" s="242"/>
      <c r="B150" s="13"/>
      <c r="C150" s="242"/>
      <c r="D150" s="13"/>
      <c r="E150" s="13"/>
      <c r="F150" s="13"/>
      <c r="G150" s="13"/>
      <c r="H150" s="13"/>
      <c r="I150" s="242"/>
      <c r="J150" s="242"/>
      <c r="K150" s="242"/>
      <c r="L150" s="242"/>
      <c r="M150" s="242"/>
      <c r="N150" s="242"/>
      <c r="O150" s="242"/>
      <c r="P150" s="242"/>
      <c r="Q150" s="242"/>
      <c r="R150" s="242"/>
      <c r="S150" s="242"/>
      <c r="T150" s="242"/>
      <c r="U150" s="242"/>
      <c r="V150" s="242"/>
      <c r="W150" s="242"/>
      <c r="X150" s="242"/>
      <c r="Y150" s="242"/>
      <c r="Z150" s="242"/>
      <c r="AA150" s="242"/>
      <c r="AB150" s="242"/>
    </row>
    <row r="151">
      <c r="A151" s="242"/>
      <c r="B151" s="13"/>
      <c r="C151" s="242"/>
      <c r="D151" s="13"/>
      <c r="E151" s="13"/>
      <c r="F151" s="13"/>
      <c r="G151" s="13"/>
      <c r="H151" s="13"/>
      <c r="I151" s="242"/>
      <c r="J151" s="242"/>
      <c r="K151" s="242"/>
      <c r="L151" s="242"/>
      <c r="M151" s="242"/>
      <c r="N151" s="242"/>
      <c r="O151" s="242"/>
      <c r="P151" s="242"/>
      <c r="Q151" s="242"/>
      <c r="R151" s="242"/>
      <c r="S151" s="242"/>
      <c r="T151" s="242"/>
      <c r="U151" s="242"/>
      <c r="V151" s="242"/>
      <c r="W151" s="242"/>
      <c r="X151" s="242"/>
      <c r="Y151" s="242"/>
      <c r="Z151" s="242"/>
      <c r="AA151" s="242"/>
      <c r="AB151" s="242"/>
    </row>
    <row r="152">
      <c r="A152" s="242"/>
      <c r="B152" s="13"/>
      <c r="C152" s="242"/>
      <c r="D152" s="13"/>
      <c r="E152" s="13"/>
      <c r="F152" s="13"/>
      <c r="G152" s="13"/>
      <c r="H152" s="13"/>
      <c r="I152" s="242"/>
      <c r="J152" s="242"/>
      <c r="K152" s="242"/>
      <c r="L152" s="242"/>
      <c r="M152" s="242"/>
      <c r="N152" s="242"/>
      <c r="O152" s="242"/>
      <c r="P152" s="242"/>
      <c r="Q152" s="242"/>
      <c r="R152" s="242"/>
      <c r="S152" s="242"/>
      <c r="T152" s="242"/>
      <c r="U152" s="242"/>
      <c r="V152" s="242"/>
      <c r="W152" s="242"/>
      <c r="X152" s="242"/>
      <c r="Y152" s="242"/>
      <c r="Z152" s="242"/>
      <c r="AA152" s="242"/>
      <c r="AB152" s="242"/>
    </row>
    <row r="153">
      <c r="A153" s="242"/>
      <c r="B153" s="13"/>
      <c r="C153" s="242"/>
      <c r="D153" s="13"/>
      <c r="E153" s="13"/>
      <c r="F153" s="13"/>
      <c r="G153" s="13"/>
      <c r="H153" s="13"/>
      <c r="I153" s="242"/>
      <c r="J153" s="242"/>
      <c r="K153" s="242"/>
      <c r="L153" s="242"/>
      <c r="M153" s="242"/>
      <c r="N153" s="242"/>
      <c r="O153" s="242"/>
      <c r="P153" s="242"/>
      <c r="Q153" s="242"/>
      <c r="R153" s="242"/>
      <c r="S153" s="242"/>
      <c r="T153" s="242"/>
      <c r="U153" s="242"/>
      <c r="V153" s="242"/>
      <c r="W153" s="242"/>
      <c r="X153" s="242"/>
      <c r="Y153" s="242"/>
      <c r="Z153" s="242"/>
      <c r="AA153" s="242"/>
      <c r="AB153" s="242"/>
    </row>
    <row r="154">
      <c r="A154" s="242"/>
      <c r="B154" s="13"/>
      <c r="C154" s="242"/>
      <c r="D154" s="13"/>
      <c r="E154" s="13"/>
      <c r="F154" s="13"/>
      <c r="G154" s="13"/>
      <c r="H154" s="13"/>
      <c r="I154" s="242"/>
      <c r="J154" s="242"/>
      <c r="K154" s="242"/>
      <c r="L154" s="242"/>
      <c r="M154" s="242"/>
      <c r="N154" s="242"/>
      <c r="O154" s="242"/>
      <c r="P154" s="242"/>
      <c r="Q154" s="242"/>
      <c r="R154" s="242"/>
      <c r="S154" s="242"/>
      <c r="T154" s="242"/>
      <c r="U154" s="242"/>
      <c r="V154" s="242"/>
      <c r="W154" s="242"/>
      <c r="X154" s="242"/>
      <c r="Y154" s="242"/>
      <c r="Z154" s="242"/>
      <c r="AA154" s="242"/>
      <c r="AB154" s="242"/>
    </row>
    <row r="155">
      <c r="A155" s="242"/>
      <c r="B155" s="13"/>
      <c r="C155" s="242"/>
      <c r="D155" s="13"/>
      <c r="E155" s="13"/>
      <c r="F155" s="13"/>
      <c r="G155" s="13"/>
      <c r="H155" s="13"/>
      <c r="I155" s="242"/>
      <c r="J155" s="242"/>
      <c r="K155" s="242"/>
      <c r="L155" s="242"/>
      <c r="M155" s="242"/>
      <c r="N155" s="242"/>
      <c r="O155" s="242"/>
      <c r="P155" s="242"/>
      <c r="Q155" s="242"/>
      <c r="R155" s="242"/>
      <c r="S155" s="242"/>
      <c r="T155" s="242"/>
      <c r="U155" s="242"/>
      <c r="V155" s="242"/>
      <c r="W155" s="242"/>
      <c r="X155" s="242"/>
      <c r="Y155" s="242"/>
      <c r="Z155" s="242"/>
      <c r="AA155" s="242"/>
      <c r="AB155" s="242"/>
    </row>
    <row r="156">
      <c r="A156" s="242"/>
      <c r="B156" s="13"/>
      <c r="C156" s="242"/>
      <c r="D156" s="13"/>
      <c r="E156" s="13"/>
      <c r="F156" s="13"/>
      <c r="G156" s="13"/>
      <c r="H156" s="13"/>
      <c r="I156" s="242"/>
      <c r="J156" s="242"/>
      <c r="K156" s="242"/>
      <c r="L156" s="242"/>
      <c r="M156" s="242"/>
      <c r="N156" s="242"/>
      <c r="O156" s="242"/>
      <c r="P156" s="242"/>
      <c r="Q156" s="242"/>
      <c r="R156" s="242"/>
      <c r="S156" s="242"/>
      <c r="T156" s="242"/>
      <c r="U156" s="242"/>
      <c r="V156" s="242"/>
      <c r="W156" s="242"/>
      <c r="X156" s="242"/>
      <c r="Y156" s="242"/>
      <c r="Z156" s="242"/>
      <c r="AA156" s="242"/>
      <c r="AB156" s="242"/>
    </row>
    <row r="157">
      <c r="A157" s="242"/>
      <c r="B157" s="13"/>
      <c r="C157" s="242"/>
      <c r="D157" s="13"/>
      <c r="E157" s="13"/>
      <c r="F157" s="13"/>
      <c r="G157" s="13"/>
      <c r="H157" s="13"/>
      <c r="I157" s="242"/>
      <c r="J157" s="242"/>
      <c r="K157" s="242"/>
      <c r="L157" s="242"/>
      <c r="M157" s="242"/>
      <c r="N157" s="242"/>
      <c r="O157" s="242"/>
      <c r="P157" s="242"/>
      <c r="Q157" s="242"/>
      <c r="R157" s="242"/>
      <c r="S157" s="242"/>
      <c r="T157" s="242"/>
      <c r="U157" s="242"/>
      <c r="V157" s="242"/>
      <c r="W157" s="242"/>
      <c r="X157" s="242"/>
      <c r="Y157" s="242"/>
      <c r="Z157" s="242"/>
      <c r="AA157" s="242"/>
      <c r="AB157" s="242"/>
    </row>
    <row r="158">
      <c r="A158" s="242"/>
      <c r="B158" s="13"/>
      <c r="C158" s="242"/>
      <c r="D158" s="13"/>
      <c r="E158" s="13"/>
      <c r="F158" s="13"/>
      <c r="G158" s="13"/>
      <c r="H158" s="13"/>
      <c r="I158" s="242"/>
      <c r="J158" s="242"/>
      <c r="K158" s="242"/>
      <c r="L158" s="242"/>
      <c r="M158" s="242"/>
      <c r="N158" s="242"/>
      <c r="O158" s="242"/>
      <c r="P158" s="242"/>
      <c r="Q158" s="242"/>
      <c r="R158" s="242"/>
      <c r="S158" s="242"/>
      <c r="T158" s="242"/>
      <c r="U158" s="242"/>
      <c r="V158" s="242"/>
      <c r="W158" s="242"/>
      <c r="X158" s="242"/>
      <c r="Y158" s="242"/>
      <c r="Z158" s="242"/>
      <c r="AA158" s="242"/>
      <c r="AB158" s="242"/>
    </row>
    <row r="159">
      <c r="A159" s="242"/>
      <c r="B159" s="13"/>
      <c r="C159" s="242"/>
      <c r="D159" s="13"/>
      <c r="E159" s="13"/>
      <c r="F159" s="13"/>
      <c r="G159" s="13"/>
      <c r="H159" s="13"/>
      <c r="I159" s="242"/>
      <c r="J159" s="242"/>
      <c r="K159" s="242"/>
      <c r="L159" s="242"/>
      <c r="M159" s="242"/>
      <c r="N159" s="242"/>
      <c r="O159" s="242"/>
      <c r="P159" s="242"/>
      <c r="Q159" s="242"/>
      <c r="R159" s="242"/>
      <c r="S159" s="242"/>
      <c r="T159" s="242"/>
      <c r="U159" s="242"/>
      <c r="V159" s="242"/>
      <c r="W159" s="242"/>
      <c r="X159" s="242"/>
      <c r="Y159" s="242"/>
      <c r="Z159" s="242"/>
      <c r="AA159" s="242"/>
      <c r="AB159" s="242"/>
    </row>
    <row r="160">
      <c r="A160" s="242"/>
      <c r="B160" s="13"/>
      <c r="C160" s="242"/>
      <c r="D160" s="13"/>
      <c r="E160" s="13"/>
      <c r="F160" s="13"/>
      <c r="G160" s="13"/>
      <c r="H160" s="13"/>
      <c r="I160" s="242"/>
      <c r="J160" s="242"/>
      <c r="K160" s="242"/>
      <c r="L160" s="242"/>
      <c r="M160" s="242"/>
      <c r="N160" s="242"/>
      <c r="O160" s="242"/>
      <c r="P160" s="242"/>
      <c r="Q160" s="242"/>
      <c r="R160" s="242"/>
      <c r="S160" s="242"/>
      <c r="T160" s="242"/>
      <c r="U160" s="242"/>
      <c r="V160" s="242"/>
      <c r="W160" s="242"/>
      <c r="X160" s="242"/>
      <c r="Y160" s="242"/>
      <c r="Z160" s="242"/>
      <c r="AA160" s="242"/>
      <c r="AB160" s="242"/>
    </row>
    <row r="161">
      <c r="A161" s="242"/>
      <c r="B161" s="13"/>
      <c r="C161" s="242"/>
      <c r="D161" s="13"/>
      <c r="E161" s="13"/>
      <c r="F161" s="13"/>
      <c r="G161" s="13"/>
      <c r="H161" s="13"/>
      <c r="I161" s="242"/>
      <c r="J161" s="242"/>
      <c r="K161" s="242"/>
      <c r="L161" s="242"/>
      <c r="M161" s="242"/>
      <c r="N161" s="242"/>
      <c r="O161" s="242"/>
      <c r="P161" s="242"/>
      <c r="Q161" s="242"/>
      <c r="R161" s="242"/>
      <c r="S161" s="242"/>
      <c r="T161" s="242"/>
      <c r="U161" s="242"/>
      <c r="V161" s="242"/>
      <c r="W161" s="242"/>
      <c r="X161" s="242"/>
      <c r="Y161" s="242"/>
      <c r="Z161" s="242"/>
      <c r="AA161" s="242"/>
      <c r="AB161" s="242"/>
    </row>
    <row r="162">
      <c r="A162" s="242"/>
      <c r="B162" s="13"/>
      <c r="C162" s="242"/>
      <c r="D162" s="13"/>
      <c r="E162" s="13"/>
      <c r="F162" s="13"/>
      <c r="G162" s="13"/>
      <c r="H162" s="13"/>
      <c r="I162" s="242"/>
      <c r="J162" s="242"/>
      <c r="K162" s="242"/>
      <c r="L162" s="242"/>
      <c r="M162" s="242"/>
      <c r="N162" s="242"/>
      <c r="O162" s="242"/>
      <c r="P162" s="242"/>
      <c r="Q162" s="242"/>
      <c r="R162" s="242"/>
      <c r="S162" s="242"/>
      <c r="T162" s="242"/>
      <c r="U162" s="242"/>
      <c r="V162" s="242"/>
      <c r="W162" s="242"/>
      <c r="X162" s="242"/>
      <c r="Y162" s="242"/>
      <c r="Z162" s="242"/>
      <c r="AA162" s="242"/>
      <c r="AB162" s="242"/>
    </row>
    <row r="163">
      <c r="A163" s="242"/>
      <c r="B163" s="13"/>
      <c r="C163" s="242"/>
      <c r="D163" s="13"/>
      <c r="E163" s="13"/>
      <c r="F163" s="13"/>
      <c r="G163" s="13"/>
      <c r="H163" s="13"/>
      <c r="I163" s="242"/>
      <c r="J163" s="242"/>
      <c r="K163" s="242"/>
      <c r="L163" s="242"/>
      <c r="M163" s="242"/>
      <c r="N163" s="242"/>
      <c r="O163" s="242"/>
      <c r="P163" s="242"/>
      <c r="Q163" s="242"/>
      <c r="R163" s="242"/>
      <c r="S163" s="242"/>
      <c r="T163" s="242"/>
      <c r="U163" s="242"/>
      <c r="V163" s="242"/>
      <c r="W163" s="242"/>
      <c r="X163" s="242"/>
      <c r="Y163" s="242"/>
      <c r="Z163" s="242"/>
      <c r="AA163" s="242"/>
      <c r="AB163" s="242"/>
    </row>
    <row r="164">
      <c r="A164" s="242"/>
      <c r="B164" s="13"/>
      <c r="C164" s="242"/>
      <c r="D164" s="13"/>
      <c r="E164" s="13"/>
      <c r="F164" s="13"/>
      <c r="G164" s="13"/>
      <c r="H164" s="13"/>
      <c r="I164" s="242"/>
      <c r="J164" s="242"/>
      <c r="K164" s="242"/>
      <c r="L164" s="242"/>
      <c r="M164" s="242"/>
      <c r="N164" s="242"/>
      <c r="O164" s="242"/>
      <c r="P164" s="242"/>
      <c r="Q164" s="242"/>
      <c r="R164" s="242"/>
      <c r="S164" s="242"/>
      <c r="T164" s="242"/>
      <c r="U164" s="242"/>
      <c r="V164" s="242"/>
      <c r="W164" s="242"/>
      <c r="X164" s="242"/>
      <c r="Y164" s="242"/>
      <c r="Z164" s="242"/>
      <c r="AA164" s="242"/>
      <c r="AB164" s="242"/>
    </row>
    <row r="165">
      <c r="A165" s="242"/>
      <c r="B165" s="13"/>
      <c r="C165" s="242"/>
      <c r="D165" s="13"/>
      <c r="E165" s="13"/>
      <c r="F165" s="13"/>
      <c r="G165" s="13"/>
      <c r="H165" s="13"/>
      <c r="I165" s="242"/>
      <c r="J165" s="242"/>
      <c r="K165" s="242"/>
      <c r="L165" s="242"/>
      <c r="M165" s="242"/>
      <c r="N165" s="242"/>
      <c r="O165" s="242"/>
      <c r="P165" s="242"/>
      <c r="Q165" s="242"/>
      <c r="R165" s="242"/>
      <c r="S165" s="242"/>
      <c r="T165" s="242"/>
      <c r="U165" s="242"/>
      <c r="V165" s="242"/>
      <c r="W165" s="242"/>
      <c r="X165" s="242"/>
      <c r="Y165" s="242"/>
      <c r="Z165" s="242"/>
      <c r="AA165" s="242"/>
      <c r="AB165" s="242"/>
    </row>
    <row r="166">
      <c r="A166" s="242"/>
      <c r="B166" s="13"/>
      <c r="C166" s="242"/>
      <c r="D166" s="13"/>
      <c r="E166" s="13"/>
      <c r="F166" s="13"/>
      <c r="G166" s="13"/>
      <c r="H166" s="13"/>
      <c r="I166" s="242"/>
      <c r="J166" s="242"/>
      <c r="K166" s="242"/>
      <c r="L166" s="242"/>
      <c r="M166" s="242"/>
      <c r="N166" s="242"/>
      <c r="O166" s="242"/>
      <c r="P166" s="242"/>
      <c r="Q166" s="242"/>
      <c r="R166" s="242"/>
      <c r="S166" s="242"/>
      <c r="T166" s="242"/>
      <c r="U166" s="242"/>
      <c r="V166" s="242"/>
      <c r="W166" s="242"/>
      <c r="X166" s="242"/>
      <c r="Y166" s="242"/>
      <c r="Z166" s="242"/>
      <c r="AA166" s="242"/>
      <c r="AB166" s="242"/>
    </row>
    <row r="167">
      <c r="A167" s="242"/>
      <c r="B167" s="13"/>
      <c r="C167" s="242"/>
      <c r="D167" s="13"/>
      <c r="E167" s="13"/>
      <c r="F167" s="13"/>
      <c r="G167" s="13"/>
      <c r="H167" s="13"/>
      <c r="I167" s="242"/>
      <c r="J167" s="242"/>
      <c r="K167" s="242"/>
      <c r="L167" s="242"/>
      <c r="M167" s="242"/>
      <c r="N167" s="242"/>
      <c r="O167" s="242"/>
      <c r="P167" s="242"/>
      <c r="Q167" s="242"/>
      <c r="R167" s="242"/>
      <c r="S167" s="242"/>
      <c r="T167" s="242"/>
      <c r="U167" s="242"/>
      <c r="V167" s="242"/>
      <c r="W167" s="242"/>
      <c r="X167" s="242"/>
      <c r="Y167" s="242"/>
      <c r="Z167" s="242"/>
      <c r="AA167" s="242"/>
      <c r="AB167" s="242"/>
    </row>
    <row r="168">
      <c r="A168" s="242"/>
      <c r="B168" s="13"/>
      <c r="C168" s="242"/>
      <c r="D168" s="13"/>
      <c r="E168" s="13"/>
      <c r="F168" s="13"/>
      <c r="G168" s="13"/>
      <c r="H168" s="13"/>
      <c r="I168" s="242"/>
      <c r="J168" s="242"/>
      <c r="K168" s="242"/>
      <c r="L168" s="242"/>
      <c r="M168" s="242"/>
      <c r="N168" s="242"/>
      <c r="O168" s="242"/>
      <c r="P168" s="242"/>
      <c r="Q168" s="242"/>
      <c r="R168" s="242"/>
      <c r="S168" s="242"/>
      <c r="T168" s="242"/>
      <c r="U168" s="242"/>
      <c r="V168" s="242"/>
      <c r="W168" s="242"/>
      <c r="X168" s="242"/>
      <c r="Y168" s="242"/>
      <c r="Z168" s="242"/>
      <c r="AA168" s="242"/>
      <c r="AB168" s="242"/>
    </row>
    <row r="169">
      <c r="A169" s="242"/>
      <c r="B169" s="13"/>
      <c r="C169" s="242"/>
      <c r="D169" s="13"/>
      <c r="E169" s="13"/>
      <c r="F169" s="13"/>
      <c r="G169" s="13"/>
      <c r="H169" s="13"/>
      <c r="I169" s="242"/>
      <c r="J169" s="242"/>
      <c r="K169" s="242"/>
      <c r="L169" s="242"/>
      <c r="M169" s="242"/>
      <c r="N169" s="242"/>
      <c r="O169" s="242"/>
      <c r="P169" s="242"/>
      <c r="Q169" s="242"/>
      <c r="R169" s="242"/>
      <c r="S169" s="242"/>
      <c r="T169" s="242"/>
      <c r="U169" s="242"/>
      <c r="V169" s="242"/>
      <c r="W169" s="242"/>
      <c r="X169" s="242"/>
      <c r="Y169" s="242"/>
      <c r="Z169" s="242"/>
      <c r="AA169" s="242"/>
      <c r="AB169" s="242"/>
    </row>
    <row r="170">
      <c r="A170" s="242"/>
      <c r="B170" s="13"/>
      <c r="C170" s="242"/>
      <c r="D170" s="13"/>
      <c r="E170" s="13"/>
      <c r="F170" s="13"/>
      <c r="G170" s="13"/>
      <c r="H170" s="13"/>
      <c r="I170" s="242"/>
      <c r="J170" s="242"/>
      <c r="K170" s="242"/>
      <c r="L170" s="242"/>
      <c r="M170" s="242"/>
      <c r="N170" s="242"/>
      <c r="O170" s="242"/>
      <c r="P170" s="242"/>
      <c r="Q170" s="242"/>
      <c r="R170" s="242"/>
      <c r="S170" s="242"/>
      <c r="T170" s="242"/>
      <c r="U170" s="242"/>
      <c r="V170" s="242"/>
      <c r="W170" s="242"/>
      <c r="X170" s="242"/>
      <c r="Y170" s="242"/>
      <c r="Z170" s="242"/>
      <c r="AA170" s="242"/>
      <c r="AB170" s="242"/>
    </row>
    <row r="171">
      <c r="A171" s="242"/>
      <c r="B171" s="13"/>
      <c r="C171" s="242"/>
      <c r="D171" s="13"/>
      <c r="E171" s="13"/>
      <c r="F171" s="13"/>
      <c r="G171" s="13"/>
      <c r="H171" s="13"/>
      <c r="I171" s="242"/>
      <c r="J171" s="242"/>
      <c r="K171" s="242"/>
      <c r="L171" s="242"/>
      <c r="M171" s="242"/>
      <c r="N171" s="242"/>
      <c r="O171" s="242"/>
      <c r="P171" s="242"/>
      <c r="Q171" s="242"/>
      <c r="R171" s="242"/>
      <c r="S171" s="242"/>
      <c r="T171" s="242"/>
      <c r="U171" s="242"/>
      <c r="V171" s="242"/>
      <c r="W171" s="242"/>
      <c r="X171" s="242"/>
      <c r="Y171" s="242"/>
      <c r="Z171" s="242"/>
      <c r="AA171" s="242"/>
      <c r="AB171" s="242"/>
    </row>
    <row r="172">
      <c r="A172" s="242"/>
      <c r="B172" s="13"/>
      <c r="C172" s="242"/>
      <c r="D172" s="13"/>
      <c r="E172" s="13"/>
      <c r="F172" s="13"/>
      <c r="G172" s="13"/>
      <c r="H172" s="13"/>
      <c r="I172" s="242"/>
      <c r="J172" s="242"/>
      <c r="K172" s="242"/>
      <c r="L172" s="242"/>
      <c r="M172" s="242"/>
      <c r="N172" s="242"/>
      <c r="O172" s="242"/>
      <c r="P172" s="242"/>
      <c r="Q172" s="242"/>
      <c r="R172" s="242"/>
      <c r="S172" s="242"/>
      <c r="T172" s="242"/>
      <c r="U172" s="242"/>
      <c r="V172" s="242"/>
      <c r="W172" s="242"/>
      <c r="X172" s="242"/>
      <c r="Y172" s="242"/>
      <c r="Z172" s="242"/>
      <c r="AA172" s="242"/>
      <c r="AB172" s="242"/>
    </row>
    <row r="173">
      <c r="A173" s="242"/>
      <c r="B173" s="13"/>
      <c r="C173" s="242"/>
      <c r="D173" s="13"/>
      <c r="E173" s="13"/>
      <c r="F173" s="13"/>
      <c r="G173" s="13"/>
      <c r="H173" s="13"/>
      <c r="I173" s="242"/>
      <c r="J173" s="242"/>
      <c r="K173" s="242"/>
      <c r="L173" s="242"/>
      <c r="M173" s="242"/>
      <c r="N173" s="242"/>
      <c r="O173" s="242"/>
      <c r="P173" s="242"/>
      <c r="Q173" s="242"/>
      <c r="R173" s="242"/>
      <c r="S173" s="242"/>
      <c r="T173" s="242"/>
      <c r="U173" s="242"/>
      <c r="V173" s="242"/>
      <c r="W173" s="242"/>
      <c r="X173" s="242"/>
      <c r="Y173" s="242"/>
      <c r="Z173" s="242"/>
      <c r="AA173" s="242"/>
      <c r="AB173" s="242"/>
    </row>
    <row r="174">
      <c r="A174" s="242"/>
      <c r="B174" s="13"/>
      <c r="C174" s="242"/>
      <c r="D174" s="13"/>
      <c r="E174" s="13"/>
      <c r="F174" s="13"/>
      <c r="G174" s="13"/>
      <c r="H174" s="13"/>
      <c r="I174" s="242"/>
      <c r="J174" s="242"/>
      <c r="K174" s="242"/>
      <c r="L174" s="242"/>
      <c r="M174" s="242"/>
      <c r="N174" s="242"/>
      <c r="O174" s="242"/>
      <c r="P174" s="242"/>
      <c r="Q174" s="242"/>
      <c r="R174" s="242"/>
      <c r="S174" s="242"/>
      <c r="T174" s="242"/>
      <c r="U174" s="242"/>
      <c r="V174" s="242"/>
      <c r="W174" s="242"/>
      <c r="X174" s="242"/>
      <c r="Y174" s="242"/>
      <c r="Z174" s="242"/>
      <c r="AA174" s="242"/>
      <c r="AB174" s="242"/>
    </row>
    <row r="175">
      <c r="A175" s="242"/>
      <c r="B175" s="13"/>
      <c r="C175" s="242"/>
      <c r="D175" s="13"/>
      <c r="E175" s="13"/>
      <c r="F175" s="13"/>
      <c r="G175" s="13"/>
      <c r="H175" s="13"/>
      <c r="I175" s="242"/>
      <c r="J175" s="242"/>
      <c r="K175" s="242"/>
      <c r="L175" s="242"/>
      <c r="M175" s="242"/>
      <c r="N175" s="242"/>
      <c r="O175" s="242"/>
      <c r="P175" s="242"/>
      <c r="Q175" s="242"/>
      <c r="R175" s="242"/>
      <c r="S175" s="242"/>
      <c r="T175" s="242"/>
      <c r="U175" s="242"/>
      <c r="V175" s="242"/>
      <c r="W175" s="242"/>
      <c r="X175" s="242"/>
      <c r="Y175" s="242"/>
      <c r="Z175" s="242"/>
      <c r="AA175" s="242"/>
      <c r="AB175" s="242"/>
    </row>
    <row r="176">
      <c r="A176" s="242"/>
      <c r="B176" s="13"/>
      <c r="C176" s="242"/>
      <c r="D176" s="13"/>
      <c r="E176" s="13"/>
      <c r="F176" s="13"/>
      <c r="G176" s="13"/>
      <c r="H176" s="13"/>
      <c r="I176" s="242"/>
      <c r="J176" s="242"/>
      <c r="K176" s="242"/>
      <c r="L176" s="242"/>
      <c r="M176" s="242"/>
      <c r="N176" s="242"/>
      <c r="O176" s="242"/>
      <c r="P176" s="242"/>
      <c r="Q176" s="242"/>
      <c r="R176" s="242"/>
      <c r="S176" s="242"/>
      <c r="T176" s="242"/>
      <c r="U176" s="242"/>
      <c r="V176" s="242"/>
      <c r="W176" s="242"/>
      <c r="X176" s="242"/>
      <c r="Y176" s="242"/>
      <c r="Z176" s="242"/>
      <c r="AA176" s="242"/>
      <c r="AB176" s="242"/>
    </row>
    <row r="177">
      <c r="A177" s="242"/>
      <c r="B177" s="13"/>
      <c r="C177" s="242"/>
      <c r="D177" s="13"/>
      <c r="E177" s="13"/>
      <c r="F177" s="13"/>
      <c r="G177" s="13"/>
      <c r="H177" s="13"/>
      <c r="I177" s="242"/>
      <c r="J177" s="242"/>
      <c r="K177" s="242"/>
      <c r="L177" s="242"/>
      <c r="M177" s="242"/>
      <c r="N177" s="242"/>
      <c r="O177" s="242"/>
      <c r="P177" s="242"/>
      <c r="Q177" s="242"/>
      <c r="R177" s="242"/>
      <c r="S177" s="242"/>
      <c r="T177" s="242"/>
      <c r="U177" s="242"/>
      <c r="V177" s="242"/>
      <c r="W177" s="242"/>
      <c r="X177" s="242"/>
      <c r="Y177" s="242"/>
      <c r="Z177" s="242"/>
      <c r="AA177" s="242"/>
      <c r="AB177" s="242"/>
    </row>
    <row r="178">
      <c r="A178" s="242"/>
      <c r="B178" s="13"/>
      <c r="C178" s="242"/>
      <c r="D178" s="13"/>
      <c r="E178" s="13"/>
      <c r="F178" s="13"/>
      <c r="G178" s="13"/>
      <c r="H178" s="13"/>
      <c r="I178" s="242"/>
      <c r="J178" s="242"/>
      <c r="K178" s="242"/>
      <c r="L178" s="242"/>
      <c r="M178" s="242"/>
      <c r="N178" s="242"/>
      <c r="O178" s="242"/>
      <c r="P178" s="242"/>
      <c r="Q178" s="242"/>
      <c r="R178" s="242"/>
      <c r="S178" s="242"/>
      <c r="T178" s="242"/>
      <c r="U178" s="242"/>
      <c r="V178" s="242"/>
      <c r="W178" s="242"/>
      <c r="X178" s="242"/>
      <c r="Y178" s="242"/>
      <c r="Z178" s="242"/>
      <c r="AA178" s="242"/>
      <c r="AB178" s="242"/>
    </row>
    <row r="179">
      <c r="A179" s="242"/>
      <c r="B179" s="13"/>
      <c r="C179" s="242"/>
      <c r="D179" s="13"/>
      <c r="E179" s="13"/>
      <c r="F179" s="13"/>
      <c r="G179" s="13"/>
      <c r="H179" s="13"/>
      <c r="I179" s="242"/>
      <c r="J179" s="242"/>
      <c r="K179" s="242"/>
      <c r="L179" s="242"/>
      <c r="M179" s="242"/>
      <c r="N179" s="242"/>
      <c r="O179" s="242"/>
      <c r="P179" s="242"/>
      <c r="Q179" s="242"/>
      <c r="R179" s="242"/>
      <c r="S179" s="242"/>
      <c r="T179" s="242"/>
      <c r="U179" s="242"/>
      <c r="V179" s="242"/>
      <c r="W179" s="242"/>
      <c r="X179" s="242"/>
      <c r="Y179" s="242"/>
      <c r="Z179" s="242"/>
      <c r="AA179" s="242"/>
      <c r="AB179" s="242"/>
    </row>
    <row r="180">
      <c r="A180" s="242"/>
      <c r="B180" s="13"/>
      <c r="C180" s="242"/>
      <c r="D180" s="13"/>
      <c r="E180" s="13"/>
      <c r="F180" s="13"/>
      <c r="G180" s="13"/>
      <c r="H180" s="13"/>
      <c r="I180" s="242"/>
      <c r="J180" s="242"/>
      <c r="K180" s="242"/>
      <c r="L180" s="242"/>
      <c r="M180" s="242"/>
      <c r="N180" s="242"/>
      <c r="O180" s="242"/>
      <c r="P180" s="242"/>
      <c r="Q180" s="242"/>
      <c r="R180" s="242"/>
      <c r="S180" s="242"/>
      <c r="T180" s="242"/>
      <c r="U180" s="242"/>
      <c r="V180" s="242"/>
      <c r="W180" s="242"/>
      <c r="X180" s="242"/>
      <c r="Y180" s="242"/>
      <c r="Z180" s="242"/>
      <c r="AA180" s="242"/>
      <c r="AB180" s="242"/>
    </row>
    <row r="181">
      <c r="A181" s="242"/>
      <c r="B181" s="13"/>
      <c r="C181" s="242"/>
      <c r="D181" s="13"/>
      <c r="E181" s="13"/>
      <c r="F181" s="13"/>
      <c r="G181" s="13"/>
      <c r="H181" s="13"/>
      <c r="I181" s="242"/>
      <c r="J181" s="242"/>
      <c r="K181" s="242"/>
      <c r="L181" s="242"/>
      <c r="M181" s="242"/>
      <c r="N181" s="242"/>
      <c r="O181" s="242"/>
      <c r="P181" s="242"/>
      <c r="Q181" s="242"/>
      <c r="R181" s="242"/>
      <c r="S181" s="242"/>
      <c r="T181" s="242"/>
      <c r="U181" s="242"/>
      <c r="V181" s="242"/>
      <c r="W181" s="242"/>
      <c r="X181" s="242"/>
      <c r="Y181" s="242"/>
      <c r="Z181" s="242"/>
      <c r="AA181" s="242"/>
      <c r="AB181" s="242"/>
    </row>
    <row r="182">
      <c r="A182" s="242"/>
      <c r="B182" s="13"/>
      <c r="C182" s="242"/>
      <c r="D182" s="13"/>
      <c r="E182" s="13"/>
      <c r="F182" s="13"/>
      <c r="G182" s="13"/>
      <c r="H182" s="13"/>
      <c r="I182" s="242"/>
      <c r="J182" s="242"/>
      <c r="K182" s="242"/>
      <c r="L182" s="242"/>
      <c r="M182" s="242"/>
      <c r="N182" s="242"/>
      <c r="O182" s="242"/>
      <c r="P182" s="242"/>
      <c r="Q182" s="242"/>
      <c r="R182" s="242"/>
      <c r="S182" s="242"/>
      <c r="T182" s="242"/>
      <c r="U182" s="242"/>
      <c r="V182" s="242"/>
      <c r="W182" s="242"/>
      <c r="X182" s="242"/>
      <c r="Y182" s="242"/>
      <c r="Z182" s="242"/>
      <c r="AA182" s="242"/>
      <c r="AB182" s="242"/>
    </row>
    <row r="183">
      <c r="A183" s="242"/>
      <c r="B183" s="13"/>
      <c r="C183" s="242"/>
      <c r="D183" s="13"/>
      <c r="E183" s="13"/>
      <c r="F183" s="13"/>
      <c r="G183" s="13"/>
      <c r="H183" s="13"/>
      <c r="I183" s="242"/>
      <c r="J183" s="242"/>
      <c r="K183" s="242"/>
      <c r="L183" s="242"/>
      <c r="M183" s="242"/>
      <c r="N183" s="242"/>
      <c r="O183" s="242"/>
      <c r="P183" s="242"/>
      <c r="Q183" s="242"/>
      <c r="R183" s="242"/>
      <c r="S183" s="242"/>
      <c r="T183" s="242"/>
      <c r="U183" s="242"/>
      <c r="V183" s="242"/>
      <c r="W183" s="242"/>
      <c r="X183" s="242"/>
      <c r="Y183" s="242"/>
      <c r="Z183" s="242"/>
      <c r="AA183" s="242"/>
      <c r="AB183" s="242"/>
    </row>
    <row r="184">
      <c r="A184" s="242"/>
      <c r="B184" s="13"/>
      <c r="C184" s="242"/>
      <c r="D184" s="13"/>
      <c r="E184" s="13"/>
      <c r="F184" s="13"/>
      <c r="G184" s="13"/>
      <c r="H184" s="13"/>
      <c r="I184" s="242"/>
      <c r="J184" s="242"/>
      <c r="K184" s="242"/>
      <c r="L184" s="242"/>
      <c r="M184" s="242"/>
      <c r="N184" s="242"/>
      <c r="O184" s="242"/>
      <c r="P184" s="242"/>
      <c r="Q184" s="242"/>
      <c r="R184" s="242"/>
      <c r="S184" s="242"/>
      <c r="T184" s="242"/>
      <c r="U184" s="242"/>
      <c r="V184" s="242"/>
      <c r="W184" s="242"/>
      <c r="X184" s="242"/>
      <c r="Y184" s="242"/>
      <c r="Z184" s="242"/>
      <c r="AA184" s="242"/>
      <c r="AB184" s="242"/>
    </row>
    <row r="185">
      <c r="A185" s="242"/>
      <c r="B185" s="13"/>
      <c r="C185" s="242"/>
      <c r="D185" s="13"/>
      <c r="E185" s="13"/>
      <c r="F185" s="13"/>
      <c r="G185" s="13"/>
      <c r="H185" s="13"/>
      <c r="I185" s="242"/>
      <c r="J185" s="242"/>
      <c r="K185" s="242"/>
      <c r="L185" s="242"/>
      <c r="M185" s="242"/>
      <c r="N185" s="242"/>
      <c r="O185" s="242"/>
      <c r="P185" s="242"/>
      <c r="Q185" s="242"/>
      <c r="R185" s="242"/>
      <c r="S185" s="242"/>
      <c r="T185" s="242"/>
      <c r="U185" s="242"/>
      <c r="V185" s="242"/>
      <c r="W185" s="242"/>
      <c r="X185" s="242"/>
      <c r="Y185" s="242"/>
      <c r="Z185" s="242"/>
      <c r="AA185" s="242"/>
      <c r="AB185" s="242"/>
    </row>
    <row r="186">
      <c r="A186" s="242"/>
      <c r="B186" s="13"/>
      <c r="C186" s="242"/>
      <c r="D186" s="13"/>
      <c r="E186" s="13"/>
      <c r="F186" s="13"/>
      <c r="G186" s="13"/>
      <c r="H186" s="13"/>
      <c r="I186" s="242"/>
      <c r="J186" s="242"/>
      <c r="K186" s="242"/>
      <c r="L186" s="242"/>
      <c r="M186" s="242"/>
      <c r="N186" s="242"/>
      <c r="O186" s="242"/>
      <c r="P186" s="242"/>
      <c r="Q186" s="242"/>
      <c r="R186" s="242"/>
      <c r="S186" s="242"/>
      <c r="T186" s="242"/>
      <c r="U186" s="242"/>
      <c r="V186" s="242"/>
      <c r="W186" s="242"/>
      <c r="X186" s="242"/>
      <c r="Y186" s="242"/>
      <c r="Z186" s="242"/>
      <c r="AA186" s="242"/>
      <c r="AB186" s="242"/>
    </row>
    <row r="187">
      <c r="A187" s="242"/>
      <c r="B187" s="13"/>
      <c r="C187" s="242"/>
      <c r="D187" s="13"/>
      <c r="E187" s="13"/>
      <c r="F187" s="13"/>
      <c r="G187" s="13"/>
      <c r="H187" s="13"/>
      <c r="I187" s="242"/>
      <c r="J187" s="242"/>
      <c r="K187" s="242"/>
      <c r="L187" s="242"/>
      <c r="M187" s="242"/>
      <c r="N187" s="242"/>
      <c r="O187" s="242"/>
      <c r="P187" s="242"/>
      <c r="Q187" s="242"/>
      <c r="R187" s="242"/>
      <c r="S187" s="242"/>
      <c r="T187" s="242"/>
      <c r="U187" s="242"/>
      <c r="V187" s="242"/>
      <c r="W187" s="242"/>
      <c r="X187" s="242"/>
      <c r="Y187" s="242"/>
      <c r="Z187" s="242"/>
      <c r="AA187" s="242"/>
      <c r="AB187" s="242"/>
    </row>
    <row r="188">
      <c r="A188" s="242"/>
      <c r="B188" s="13"/>
      <c r="C188" s="242"/>
      <c r="D188" s="13"/>
      <c r="E188" s="13"/>
      <c r="F188" s="13"/>
      <c r="G188" s="13"/>
      <c r="H188" s="13"/>
      <c r="I188" s="242"/>
      <c r="J188" s="242"/>
      <c r="K188" s="242"/>
      <c r="L188" s="242"/>
      <c r="M188" s="242"/>
      <c r="N188" s="242"/>
      <c r="O188" s="242"/>
      <c r="P188" s="242"/>
      <c r="Q188" s="242"/>
      <c r="R188" s="242"/>
      <c r="S188" s="242"/>
      <c r="T188" s="242"/>
      <c r="U188" s="242"/>
      <c r="V188" s="242"/>
      <c r="W188" s="242"/>
      <c r="X188" s="242"/>
      <c r="Y188" s="242"/>
      <c r="Z188" s="242"/>
      <c r="AA188" s="242"/>
      <c r="AB188" s="242"/>
    </row>
    <row r="189">
      <c r="A189" s="242"/>
      <c r="B189" s="13"/>
      <c r="C189" s="242"/>
      <c r="D189" s="13"/>
      <c r="E189" s="13"/>
      <c r="F189" s="13"/>
      <c r="G189" s="13"/>
      <c r="H189" s="13"/>
      <c r="I189" s="242"/>
      <c r="J189" s="242"/>
      <c r="K189" s="242"/>
      <c r="L189" s="242"/>
      <c r="M189" s="242"/>
      <c r="N189" s="242"/>
      <c r="O189" s="242"/>
      <c r="P189" s="242"/>
      <c r="Q189" s="242"/>
      <c r="R189" s="242"/>
      <c r="S189" s="242"/>
      <c r="T189" s="242"/>
      <c r="U189" s="242"/>
      <c r="V189" s="242"/>
      <c r="W189" s="242"/>
      <c r="X189" s="242"/>
      <c r="Y189" s="242"/>
      <c r="Z189" s="242"/>
      <c r="AA189" s="242"/>
      <c r="AB189" s="242"/>
    </row>
    <row r="190">
      <c r="A190" s="242"/>
      <c r="B190" s="13"/>
      <c r="C190" s="242"/>
      <c r="D190" s="13"/>
      <c r="E190" s="13"/>
      <c r="F190" s="13"/>
      <c r="G190" s="13"/>
      <c r="H190" s="13"/>
      <c r="I190" s="242"/>
      <c r="J190" s="242"/>
      <c r="K190" s="242"/>
      <c r="L190" s="242"/>
      <c r="M190" s="242"/>
      <c r="N190" s="242"/>
      <c r="O190" s="242"/>
      <c r="P190" s="242"/>
      <c r="Q190" s="242"/>
      <c r="R190" s="242"/>
      <c r="S190" s="242"/>
      <c r="T190" s="242"/>
      <c r="U190" s="242"/>
      <c r="V190" s="242"/>
      <c r="W190" s="242"/>
      <c r="X190" s="242"/>
      <c r="Y190" s="242"/>
      <c r="Z190" s="242"/>
      <c r="AA190" s="242"/>
      <c r="AB190" s="242"/>
    </row>
    <row r="191">
      <c r="A191" s="242"/>
      <c r="B191" s="13"/>
      <c r="C191" s="242"/>
      <c r="D191" s="13"/>
      <c r="E191" s="13"/>
      <c r="F191" s="13"/>
      <c r="G191" s="13"/>
      <c r="H191" s="13"/>
      <c r="I191" s="242"/>
      <c r="J191" s="242"/>
      <c r="K191" s="242"/>
      <c r="L191" s="242"/>
      <c r="M191" s="242"/>
      <c r="N191" s="242"/>
      <c r="O191" s="242"/>
      <c r="P191" s="242"/>
      <c r="Q191" s="242"/>
      <c r="R191" s="242"/>
      <c r="S191" s="242"/>
      <c r="T191" s="242"/>
      <c r="U191" s="242"/>
      <c r="V191" s="242"/>
      <c r="W191" s="242"/>
      <c r="X191" s="242"/>
      <c r="Y191" s="242"/>
      <c r="Z191" s="242"/>
      <c r="AA191" s="242"/>
      <c r="AB191" s="242"/>
    </row>
    <row r="192">
      <c r="A192" s="242"/>
      <c r="B192" s="13"/>
      <c r="C192" s="242"/>
      <c r="D192" s="13"/>
      <c r="E192" s="13"/>
      <c r="F192" s="13"/>
      <c r="G192" s="13"/>
      <c r="H192" s="13"/>
      <c r="I192" s="242"/>
      <c r="J192" s="242"/>
      <c r="K192" s="242"/>
      <c r="L192" s="242"/>
      <c r="M192" s="242"/>
      <c r="N192" s="242"/>
      <c r="O192" s="242"/>
      <c r="P192" s="242"/>
      <c r="Q192" s="242"/>
      <c r="R192" s="242"/>
      <c r="S192" s="242"/>
      <c r="T192" s="242"/>
      <c r="U192" s="242"/>
      <c r="V192" s="242"/>
      <c r="W192" s="242"/>
      <c r="X192" s="242"/>
      <c r="Y192" s="242"/>
      <c r="Z192" s="242"/>
      <c r="AA192" s="242"/>
      <c r="AB192" s="242"/>
    </row>
    <row r="193">
      <c r="A193" s="242"/>
      <c r="B193" s="13"/>
      <c r="C193" s="242"/>
      <c r="D193" s="13"/>
      <c r="E193" s="13"/>
      <c r="F193" s="13"/>
      <c r="G193" s="13"/>
      <c r="H193" s="13"/>
      <c r="I193" s="242"/>
      <c r="J193" s="242"/>
      <c r="K193" s="242"/>
      <c r="L193" s="242"/>
      <c r="M193" s="242"/>
      <c r="N193" s="242"/>
      <c r="O193" s="242"/>
      <c r="P193" s="242"/>
      <c r="Q193" s="242"/>
      <c r="R193" s="242"/>
      <c r="S193" s="242"/>
      <c r="T193" s="242"/>
      <c r="U193" s="242"/>
      <c r="V193" s="242"/>
      <c r="W193" s="242"/>
      <c r="X193" s="242"/>
      <c r="Y193" s="242"/>
      <c r="Z193" s="242"/>
      <c r="AA193" s="242"/>
      <c r="AB193" s="242"/>
    </row>
    <row r="194">
      <c r="A194" s="242"/>
      <c r="B194" s="13"/>
      <c r="C194" s="242"/>
      <c r="D194" s="13"/>
      <c r="E194" s="13"/>
      <c r="F194" s="13"/>
      <c r="G194" s="13"/>
      <c r="H194" s="13"/>
      <c r="I194" s="242"/>
      <c r="J194" s="242"/>
      <c r="K194" s="242"/>
      <c r="L194" s="242"/>
      <c r="M194" s="242"/>
      <c r="N194" s="242"/>
      <c r="O194" s="242"/>
      <c r="P194" s="242"/>
      <c r="Q194" s="242"/>
      <c r="R194" s="242"/>
      <c r="S194" s="242"/>
      <c r="T194" s="242"/>
      <c r="U194" s="242"/>
      <c r="V194" s="242"/>
      <c r="W194" s="242"/>
      <c r="X194" s="242"/>
      <c r="Y194" s="242"/>
      <c r="Z194" s="242"/>
      <c r="AA194" s="242"/>
      <c r="AB194" s="242"/>
    </row>
    <row r="195">
      <c r="A195" s="242"/>
      <c r="B195" s="13"/>
      <c r="C195" s="242"/>
      <c r="D195" s="13"/>
      <c r="E195" s="13"/>
      <c r="F195" s="13"/>
      <c r="G195" s="13"/>
      <c r="H195" s="13"/>
      <c r="I195" s="242"/>
      <c r="J195" s="242"/>
      <c r="K195" s="242"/>
      <c r="L195" s="242"/>
      <c r="M195" s="242"/>
      <c r="N195" s="242"/>
      <c r="O195" s="242"/>
      <c r="P195" s="242"/>
      <c r="Q195" s="242"/>
      <c r="R195" s="242"/>
      <c r="S195" s="242"/>
      <c r="T195" s="242"/>
      <c r="U195" s="242"/>
      <c r="V195" s="242"/>
      <c r="W195" s="242"/>
      <c r="X195" s="242"/>
      <c r="Y195" s="242"/>
      <c r="Z195" s="242"/>
      <c r="AA195" s="242"/>
      <c r="AB195" s="242"/>
    </row>
    <row r="196">
      <c r="A196" s="242"/>
      <c r="B196" s="13"/>
      <c r="C196" s="242"/>
      <c r="D196" s="13"/>
      <c r="E196" s="13"/>
      <c r="F196" s="13"/>
      <c r="G196" s="13"/>
      <c r="H196" s="13"/>
      <c r="I196" s="242"/>
      <c r="J196" s="242"/>
      <c r="K196" s="242"/>
      <c r="L196" s="242"/>
      <c r="M196" s="242"/>
      <c r="N196" s="242"/>
      <c r="O196" s="242"/>
      <c r="P196" s="242"/>
      <c r="Q196" s="242"/>
      <c r="R196" s="242"/>
      <c r="S196" s="242"/>
      <c r="T196" s="242"/>
      <c r="U196" s="242"/>
      <c r="V196" s="242"/>
      <c r="W196" s="242"/>
      <c r="X196" s="242"/>
      <c r="Y196" s="242"/>
      <c r="Z196" s="242"/>
      <c r="AA196" s="242"/>
      <c r="AB196" s="242"/>
    </row>
    <row r="197">
      <c r="A197" s="242"/>
      <c r="B197" s="13"/>
      <c r="C197" s="242"/>
      <c r="D197" s="13"/>
      <c r="E197" s="13"/>
      <c r="F197" s="13"/>
      <c r="G197" s="13"/>
      <c r="H197" s="13"/>
      <c r="I197" s="242"/>
      <c r="J197" s="242"/>
      <c r="K197" s="242"/>
      <c r="L197" s="242"/>
      <c r="M197" s="242"/>
      <c r="N197" s="242"/>
      <c r="O197" s="242"/>
      <c r="P197" s="242"/>
      <c r="Q197" s="242"/>
      <c r="R197" s="242"/>
      <c r="S197" s="242"/>
      <c r="T197" s="242"/>
      <c r="U197" s="242"/>
      <c r="V197" s="242"/>
      <c r="W197" s="242"/>
      <c r="X197" s="242"/>
      <c r="Y197" s="242"/>
      <c r="Z197" s="242"/>
      <c r="AA197" s="242"/>
      <c r="AB197" s="242"/>
    </row>
    <row r="198">
      <c r="A198" s="242"/>
      <c r="B198" s="13"/>
      <c r="C198" s="242"/>
      <c r="D198" s="13"/>
      <c r="E198" s="13"/>
      <c r="F198" s="13"/>
      <c r="G198" s="13"/>
      <c r="H198" s="13"/>
      <c r="I198" s="242"/>
      <c r="J198" s="242"/>
      <c r="K198" s="242"/>
      <c r="L198" s="242"/>
      <c r="M198" s="242"/>
      <c r="N198" s="242"/>
      <c r="O198" s="242"/>
      <c r="P198" s="242"/>
      <c r="Q198" s="242"/>
      <c r="R198" s="242"/>
      <c r="S198" s="242"/>
      <c r="T198" s="242"/>
      <c r="U198" s="242"/>
      <c r="V198" s="242"/>
      <c r="W198" s="242"/>
      <c r="X198" s="242"/>
      <c r="Y198" s="242"/>
      <c r="Z198" s="242"/>
      <c r="AA198" s="242"/>
      <c r="AB198" s="242"/>
    </row>
    <row r="199">
      <c r="A199" s="242"/>
      <c r="B199" s="13"/>
      <c r="C199" s="242"/>
      <c r="D199" s="13"/>
      <c r="E199" s="13"/>
      <c r="F199" s="13"/>
      <c r="G199" s="13"/>
      <c r="H199" s="13"/>
      <c r="I199" s="242"/>
      <c r="J199" s="242"/>
      <c r="K199" s="242"/>
      <c r="L199" s="242"/>
      <c r="M199" s="242"/>
      <c r="N199" s="242"/>
      <c r="O199" s="242"/>
      <c r="P199" s="242"/>
      <c r="Q199" s="242"/>
      <c r="R199" s="242"/>
      <c r="S199" s="242"/>
      <c r="T199" s="242"/>
      <c r="U199" s="242"/>
      <c r="V199" s="242"/>
      <c r="W199" s="242"/>
      <c r="X199" s="242"/>
      <c r="Y199" s="242"/>
      <c r="Z199" s="242"/>
      <c r="AA199" s="242"/>
      <c r="AB199" s="242"/>
    </row>
    <row r="200">
      <c r="A200" s="242"/>
      <c r="B200" s="13"/>
      <c r="C200" s="242"/>
      <c r="D200" s="13"/>
      <c r="E200" s="13"/>
      <c r="F200" s="13"/>
      <c r="G200" s="13"/>
      <c r="H200" s="13"/>
      <c r="I200" s="242"/>
      <c r="J200" s="242"/>
      <c r="K200" s="242"/>
      <c r="L200" s="242"/>
      <c r="M200" s="242"/>
      <c r="N200" s="242"/>
      <c r="O200" s="242"/>
      <c r="P200" s="242"/>
      <c r="Q200" s="242"/>
      <c r="R200" s="242"/>
      <c r="S200" s="242"/>
      <c r="T200" s="242"/>
      <c r="U200" s="242"/>
      <c r="V200" s="242"/>
      <c r="W200" s="242"/>
      <c r="X200" s="242"/>
      <c r="Y200" s="242"/>
      <c r="Z200" s="242"/>
      <c r="AA200" s="242"/>
      <c r="AB200" s="242"/>
    </row>
    <row r="201">
      <c r="A201" s="242"/>
      <c r="B201" s="13"/>
      <c r="C201" s="242"/>
      <c r="D201" s="13"/>
      <c r="E201" s="13"/>
      <c r="F201" s="13"/>
      <c r="G201" s="13"/>
      <c r="H201" s="13"/>
      <c r="I201" s="242"/>
      <c r="J201" s="242"/>
      <c r="K201" s="242"/>
      <c r="L201" s="242"/>
      <c r="M201" s="242"/>
      <c r="N201" s="242"/>
      <c r="O201" s="242"/>
      <c r="P201" s="242"/>
      <c r="Q201" s="242"/>
      <c r="R201" s="242"/>
      <c r="S201" s="242"/>
      <c r="T201" s="242"/>
      <c r="U201" s="242"/>
      <c r="V201" s="242"/>
      <c r="W201" s="242"/>
      <c r="X201" s="242"/>
      <c r="Y201" s="242"/>
      <c r="Z201" s="242"/>
      <c r="AA201" s="242"/>
      <c r="AB201" s="242"/>
    </row>
    <row r="202">
      <c r="A202" s="242"/>
      <c r="B202" s="13"/>
      <c r="C202" s="242"/>
      <c r="D202" s="13"/>
      <c r="E202" s="13"/>
      <c r="F202" s="13"/>
      <c r="G202" s="13"/>
      <c r="H202" s="13"/>
      <c r="I202" s="242"/>
      <c r="J202" s="242"/>
      <c r="K202" s="242"/>
      <c r="L202" s="242"/>
      <c r="M202" s="242"/>
      <c r="N202" s="242"/>
      <c r="O202" s="242"/>
      <c r="P202" s="242"/>
      <c r="Q202" s="242"/>
      <c r="R202" s="242"/>
      <c r="S202" s="242"/>
      <c r="T202" s="242"/>
      <c r="U202" s="242"/>
      <c r="V202" s="242"/>
      <c r="W202" s="242"/>
      <c r="X202" s="242"/>
      <c r="Y202" s="242"/>
      <c r="Z202" s="242"/>
      <c r="AA202" s="242"/>
      <c r="AB202" s="242"/>
    </row>
    <row r="203">
      <c r="A203" s="242"/>
      <c r="B203" s="13"/>
      <c r="C203" s="242"/>
      <c r="D203" s="13"/>
      <c r="E203" s="13"/>
      <c r="F203" s="13"/>
      <c r="G203" s="13"/>
      <c r="H203" s="13"/>
      <c r="I203" s="242"/>
      <c r="J203" s="242"/>
      <c r="K203" s="242"/>
      <c r="L203" s="242"/>
      <c r="M203" s="242"/>
      <c r="N203" s="242"/>
      <c r="O203" s="242"/>
      <c r="P203" s="242"/>
      <c r="Q203" s="242"/>
      <c r="R203" s="242"/>
      <c r="S203" s="242"/>
      <c r="T203" s="242"/>
      <c r="U203" s="242"/>
      <c r="V203" s="242"/>
      <c r="W203" s="242"/>
      <c r="X203" s="242"/>
      <c r="Y203" s="242"/>
      <c r="Z203" s="242"/>
      <c r="AA203" s="242"/>
      <c r="AB203" s="242"/>
    </row>
    <row r="204">
      <c r="A204" s="242"/>
      <c r="B204" s="13"/>
      <c r="C204" s="242"/>
      <c r="D204" s="13"/>
      <c r="E204" s="13"/>
      <c r="F204" s="13"/>
      <c r="G204" s="13"/>
      <c r="H204" s="13"/>
      <c r="I204" s="242"/>
      <c r="J204" s="242"/>
      <c r="K204" s="242"/>
      <c r="L204" s="242"/>
      <c r="M204" s="242"/>
      <c r="N204" s="242"/>
      <c r="O204" s="242"/>
      <c r="P204" s="242"/>
      <c r="Q204" s="242"/>
      <c r="R204" s="242"/>
      <c r="S204" s="242"/>
      <c r="T204" s="242"/>
      <c r="U204" s="242"/>
      <c r="V204" s="242"/>
      <c r="W204" s="242"/>
      <c r="X204" s="242"/>
      <c r="Y204" s="242"/>
      <c r="Z204" s="242"/>
      <c r="AA204" s="242"/>
      <c r="AB204" s="242"/>
    </row>
    <row r="205">
      <c r="A205" s="242"/>
      <c r="B205" s="13"/>
      <c r="C205" s="242"/>
      <c r="D205" s="13"/>
      <c r="E205" s="13"/>
      <c r="F205" s="13"/>
      <c r="G205" s="13"/>
      <c r="H205" s="13"/>
      <c r="I205" s="242"/>
      <c r="J205" s="242"/>
      <c r="K205" s="242"/>
      <c r="L205" s="242"/>
      <c r="M205" s="242"/>
      <c r="N205" s="242"/>
      <c r="O205" s="242"/>
      <c r="P205" s="242"/>
      <c r="Q205" s="242"/>
      <c r="R205" s="242"/>
      <c r="S205" s="242"/>
      <c r="T205" s="242"/>
      <c r="U205" s="242"/>
      <c r="V205" s="242"/>
      <c r="W205" s="242"/>
      <c r="X205" s="242"/>
      <c r="Y205" s="242"/>
      <c r="Z205" s="242"/>
      <c r="AA205" s="242"/>
      <c r="AB205" s="242"/>
    </row>
    <row r="206">
      <c r="A206" s="242"/>
      <c r="B206" s="13"/>
      <c r="C206" s="242"/>
      <c r="D206" s="13"/>
      <c r="E206" s="13"/>
      <c r="F206" s="13"/>
      <c r="G206" s="13"/>
      <c r="H206" s="13"/>
      <c r="I206" s="242"/>
      <c r="J206" s="242"/>
      <c r="K206" s="242"/>
      <c r="L206" s="242"/>
      <c r="M206" s="242"/>
      <c r="N206" s="242"/>
      <c r="O206" s="242"/>
      <c r="P206" s="242"/>
      <c r="Q206" s="242"/>
      <c r="R206" s="242"/>
      <c r="S206" s="242"/>
      <c r="T206" s="242"/>
      <c r="U206" s="242"/>
      <c r="V206" s="242"/>
      <c r="W206" s="242"/>
      <c r="X206" s="242"/>
      <c r="Y206" s="242"/>
      <c r="Z206" s="242"/>
      <c r="AA206" s="242"/>
      <c r="AB206" s="242"/>
    </row>
    <row r="207">
      <c r="A207" s="242"/>
      <c r="B207" s="13"/>
      <c r="C207" s="242"/>
      <c r="D207" s="13"/>
      <c r="E207" s="13"/>
      <c r="F207" s="13"/>
      <c r="G207" s="13"/>
      <c r="H207" s="13"/>
      <c r="I207" s="242"/>
      <c r="J207" s="242"/>
      <c r="K207" s="242"/>
      <c r="L207" s="242"/>
      <c r="M207" s="242"/>
      <c r="N207" s="242"/>
      <c r="O207" s="242"/>
      <c r="P207" s="242"/>
      <c r="Q207" s="242"/>
      <c r="R207" s="242"/>
      <c r="S207" s="242"/>
      <c r="T207" s="242"/>
      <c r="U207" s="242"/>
      <c r="V207" s="242"/>
      <c r="W207" s="242"/>
      <c r="X207" s="242"/>
      <c r="Y207" s="242"/>
      <c r="Z207" s="242"/>
      <c r="AA207" s="242"/>
      <c r="AB207" s="242"/>
    </row>
    <row r="208">
      <c r="A208" s="242"/>
      <c r="B208" s="13"/>
      <c r="C208" s="242"/>
      <c r="D208" s="13"/>
      <c r="E208" s="13"/>
      <c r="F208" s="13"/>
      <c r="G208" s="13"/>
      <c r="H208" s="13"/>
      <c r="I208" s="242"/>
      <c r="J208" s="242"/>
      <c r="K208" s="242"/>
      <c r="L208" s="242"/>
      <c r="M208" s="242"/>
      <c r="N208" s="242"/>
      <c r="O208" s="242"/>
      <c r="P208" s="242"/>
      <c r="Q208" s="242"/>
      <c r="R208" s="242"/>
      <c r="S208" s="242"/>
      <c r="T208" s="242"/>
      <c r="U208" s="242"/>
      <c r="V208" s="242"/>
      <c r="W208" s="242"/>
      <c r="X208" s="242"/>
      <c r="Y208" s="242"/>
      <c r="Z208" s="242"/>
      <c r="AA208" s="242"/>
      <c r="AB208" s="242"/>
    </row>
    <row r="209">
      <c r="A209" s="242"/>
      <c r="B209" s="13"/>
      <c r="C209" s="242"/>
      <c r="D209" s="13"/>
      <c r="E209" s="13"/>
      <c r="F209" s="13"/>
      <c r="G209" s="13"/>
      <c r="H209" s="13"/>
      <c r="I209" s="242"/>
      <c r="J209" s="242"/>
      <c r="K209" s="242"/>
      <c r="L209" s="242"/>
      <c r="M209" s="242"/>
      <c r="N209" s="242"/>
      <c r="O209" s="242"/>
      <c r="P209" s="242"/>
      <c r="Q209" s="242"/>
      <c r="R209" s="242"/>
      <c r="S209" s="242"/>
      <c r="T209" s="242"/>
      <c r="U209" s="242"/>
      <c r="V209" s="242"/>
      <c r="W209" s="242"/>
      <c r="X209" s="242"/>
      <c r="Y209" s="242"/>
      <c r="Z209" s="242"/>
      <c r="AA209" s="242"/>
      <c r="AB209" s="242"/>
    </row>
    <row r="210">
      <c r="A210" s="242"/>
      <c r="B210" s="13"/>
      <c r="C210" s="242"/>
      <c r="D210" s="13"/>
      <c r="E210" s="13"/>
      <c r="F210" s="13"/>
      <c r="G210" s="13"/>
      <c r="H210" s="13"/>
      <c r="I210" s="242"/>
      <c r="J210" s="242"/>
      <c r="K210" s="242"/>
      <c r="L210" s="242"/>
      <c r="M210" s="242"/>
      <c r="N210" s="242"/>
      <c r="O210" s="242"/>
      <c r="P210" s="242"/>
      <c r="Q210" s="242"/>
      <c r="R210" s="242"/>
      <c r="S210" s="242"/>
      <c r="T210" s="242"/>
      <c r="U210" s="242"/>
      <c r="V210" s="242"/>
      <c r="W210" s="242"/>
      <c r="X210" s="242"/>
      <c r="Y210" s="242"/>
      <c r="Z210" s="242"/>
      <c r="AA210" s="242"/>
      <c r="AB210" s="242"/>
    </row>
    <row r="211">
      <c r="A211" s="242"/>
      <c r="B211" s="13"/>
      <c r="C211" s="242"/>
      <c r="D211" s="13"/>
      <c r="E211" s="13"/>
      <c r="F211" s="13"/>
      <c r="G211" s="13"/>
      <c r="H211" s="13"/>
      <c r="I211" s="242"/>
      <c r="J211" s="242"/>
      <c r="K211" s="242"/>
      <c r="L211" s="242"/>
      <c r="M211" s="242"/>
      <c r="N211" s="242"/>
      <c r="O211" s="242"/>
      <c r="P211" s="242"/>
      <c r="Q211" s="242"/>
      <c r="R211" s="242"/>
      <c r="S211" s="242"/>
      <c r="T211" s="242"/>
      <c r="U211" s="242"/>
      <c r="V211" s="242"/>
      <c r="W211" s="242"/>
      <c r="X211" s="242"/>
      <c r="Y211" s="242"/>
      <c r="Z211" s="242"/>
      <c r="AA211" s="242"/>
      <c r="AB211" s="242"/>
    </row>
    <row r="212">
      <c r="A212" s="242"/>
      <c r="B212" s="13"/>
      <c r="C212" s="242"/>
      <c r="D212" s="13"/>
      <c r="E212" s="13"/>
      <c r="F212" s="13"/>
      <c r="G212" s="13"/>
      <c r="H212" s="13"/>
      <c r="I212" s="242"/>
      <c r="J212" s="242"/>
      <c r="K212" s="242"/>
      <c r="L212" s="242"/>
      <c r="M212" s="242"/>
      <c r="N212" s="242"/>
      <c r="O212" s="242"/>
      <c r="P212" s="242"/>
      <c r="Q212" s="242"/>
      <c r="R212" s="242"/>
      <c r="S212" s="242"/>
      <c r="T212" s="242"/>
      <c r="U212" s="242"/>
      <c r="V212" s="242"/>
      <c r="W212" s="242"/>
      <c r="X212" s="242"/>
      <c r="Y212" s="242"/>
      <c r="Z212" s="242"/>
      <c r="AA212" s="242"/>
      <c r="AB212" s="242"/>
    </row>
    <row r="213">
      <c r="A213" s="242"/>
      <c r="B213" s="13"/>
      <c r="C213" s="242"/>
      <c r="D213" s="13"/>
      <c r="E213" s="13"/>
      <c r="F213" s="13"/>
      <c r="G213" s="13"/>
      <c r="H213" s="13"/>
      <c r="I213" s="242"/>
      <c r="J213" s="242"/>
      <c r="K213" s="242"/>
      <c r="L213" s="242"/>
      <c r="M213" s="242"/>
      <c r="N213" s="242"/>
      <c r="O213" s="242"/>
      <c r="P213" s="242"/>
      <c r="Q213" s="242"/>
      <c r="R213" s="242"/>
      <c r="S213" s="242"/>
      <c r="T213" s="242"/>
      <c r="U213" s="242"/>
      <c r="V213" s="242"/>
      <c r="W213" s="242"/>
      <c r="X213" s="242"/>
      <c r="Y213" s="242"/>
      <c r="Z213" s="242"/>
      <c r="AA213" s="242"/>
      <c r="AB213" s="242"/>
    </row>
    <row r="214">
      <c r="A214" s="242"/>
      <c r="B214" s="13"/>
      <c r="C214" s="242"/>
      <c r="D214" s="13"/>
      <c r="E214" s="13"/>
      <c r="F214" s="13"/>
      <c r="G214" s="13"/>
      <c r="H214" s="13"/>
      <c r="I214" s="242"/>
      <c r="J214" s="242"/>
      <c r="K214" s="242"/>
      <c r="L214" s="242"/>
      <c r="M214" s="242"/>
      <c r="N214" s="242"/>
      <c r="O214" s="242"/>
      <c r="P214" s="242"/>
      <c r="Q214" s="242"/>
      <c r="R214" s="242"/>
      <c r="S214" s="242"/>
      <c r="T214" s="242"/>
      <c r="U214" s="242"/>
      <c r="V214" s="242"/>
      <c r="W214" s="242"/>
      <c r="X214" s="242"/>
      <c r="Y214" s="242"/>
      <c r="Z214" s="242"/>
      <c r="AA214" s="242"/>
      <c r="AB214" s="242"/>
    </row>
    <row r="215">
      <c r="A215" s="242"/>
      <c r="B215" s="13"/>
      <c r="C215" s="242"/>
      <c r="D215" s="13"/>
      <c r="E215" s="13"/>
      <c r="F215" s="13"/>
      <c r="G215" s="13"/>
      <c r="H215" s="13"/>
      <c r="I215" s="242"/>
      <c r="J215" s="242"/>
      <c r="K215" s="242"/>
      <c r="L215" s="242"/>
      <c r="M215" s="242"/>
      <c r="N215" s="242"/>
      <c r="O215" s="242"/>
      <c r="P215" s="242"/>
      <c r="Q215" s="242"/>
      <c r="R215" s="242"/>
      <c r="S215" s="242"/>
      <c r="T215" s="242"/>
      <c r="U215" s="242"/>
      <c r="V215" s="242"/>
      <c r="W215" s="242"/>
      <c r="X215" s="242"/>
      <c r="Y215" s="242"/>
      <c r="Z215" s="242"/>
      <c r="AA215" s="242"/>
      <c r="AB215" s="242"/>
    </row>
    <row r="216">
      <c r="A216" s="242"/>
      <c r="B216" s="13"/>
      <c r="C216" s="242"/>
      <c r="D216" s="13"/>
      <c r="E216" s="13"/>
      <c r="F216" s="13"/>
      <c r="G216" s="13"/>
      <c r="H216" s="13"/>
      <c r="I216" s="242"/>
      <c r="J216" s="242"/>
      <c r="K216" s="242"/>
      <c r="L216" s="242"/>
      <c r="M216" s="242"/>
      <c r="N216" s="242"/>
      <c r="O216" s="242"/>
      <c r="P216" s="242"/>
      <c r="Q216" s="242"/>
      <c r="R216" s="242"/>
      <c r="S216" s="242"/>
      <c r="T216" s="242"/>
      <c r="U216" s="242"/>
      <c r="V216" s="242"/>
      <c r="W216" s="242"/>
      <c r="X216" s="242"/>
      <c r="Y216" s="242"/>
      <c r="Z216" s="242"/>
      <c r="AA216" s="242"/>
      <c r="AB216" s="242"/>
    </row>
    <row r="217">
      <c r="A217" s="242"/>
      <c r="B217" s="13"/>
      <c r="C217" s="242"/>
      <c r="D217" s="13"/>
      <c r="E217" s="13"/>
      <c r="F217" s="13"/>
      <c r="G217" s="13"/>
      <c r="H217" s="13"/>
      <c r="I217" s="242"/>
      <c r="J217" s="242"/>
      <c r="K217" s="242"/>
      <c r="L217" s="242"/>
      <c r="M217" s="242"/>
      <c r="N217" s="242"/>
      <c r="O217" s="242"/>
      <c r="P217" s="242"/>
      <c r="Q217" s="242"/>
      <c r="R217" s="242"/>
      <c r="S217" s="242"/>
      <c r="T217" s="242"/>
      <c r="U217" s="242"/>
      <c r="V217" s="242"/>
      <c r="W217" s="242"/>
      <c r="X217" s="242"/>
      <c r="Y217" s="242"/>
      <c r="Z217" s="242"/>
      <c r="AA217" s="242"/>
      <c r="AB217" s="242"/>
    </row>
    <row r="218">
      <c r="A218" s="242"/>
      <c r="B218" s="13"/>
      <c r="C218" s="242"/>
      <c r="D218" s="13"/>
      <c r="E218" s="13"/>
      <c r="F218" s="13"/>
      <c r="G218" s="13"/>
      <c r="H218" s="13"/>
      <c r="I218" s="242"/>
      <c r="J218" s="242"/>
      <c r="K218" s="242"/>
      <c r="L218" s="242"/>
      <c r="M218" s="242"/>
      <c r="N218" s="242"/>
      <c r="O218" s="242"/>
      <c r="P218" s="242"/>
      <c r="Q218" s="242"/>
      <c r="R218" s="242"/>
      <c r="S218" s="242"/>
      <c r="T218" s="242"/>
      <c r="U218" s="242"/>
      <c r="V218" s="242"/>
      <c r="W218" s="242"/>
      <c r="X218" s="242"/>
      <c r="Y218" s="242"/>
      <c r="Z218" s="242"/>
      <c r="AA218" s="242"/>
      <c r="AB218" s="242"/>
    </row>
    <row r="219">
      <c r="A219" s="242"/>
      <c r="B219" s="13"/>
      <c r="C219" s="242"/>
      <c r="D219" s="13"/>
      <c r="E219" s="13"/>
      <c r="F219" s="13"/>
      <c r="G219" s="13"/>
      <c r="H219" s="13"/>
      <c r="I219" s="242"/>
      <c r="J219" s="242"/>
      <c r="K219" s="242"/>
      <c r="L219" s="242"/>
      <c r="M219" s="242"/>
      <c r="N219" s="242"/>
      <c r="O219" s="242"/>
      <c r="P219" s="242"/>
      <c r="Q219" s="242"/>
      <c r="R219" s="242"/>
      <c r="S219" s="242"/>
      <c r="T219" s="242"/>
      <c r="U219" s="242"/>
      <c r="V219" s="242"/>
      <c r="W219" s="242"/>
      <c r="X219" s="242"/>
      <c r="Y219" s="242"/>
      <c r="Z219" s="242"/>
      <c r="AA219" s="242"/>
      <c r="AB219" s="242"/>
    </row>
    <row r="220">
      <c r="A220" s="242"/>
      <c r="B220" s="13"/>
      <c r="C220" s="242"/>
      <c r="D220" s="13"/>
      <c r="E220" s="13"/>
      <c r="F220" s="13"/>
      <c r="G220" s="13"/>
      <c r="H220" s="13"/>
      <c r="I220" s="242"/>
      <c r="J220" s="242"/>
      <c r="K220" s="242"/>
      <c r="L220" s="242"/>
      <c r="M220" s="242"/>
      <c r="N220" s="242"/>
      <c r="O220" s="242"/>
      <c r="P220" s="242"/>
      <c r="Q220" s="242"/>
      <c r="R220" s="242"/>
      <c r="S220" s="242"/>
      <c r="T220" s="242"/>
      <c r="U220" s="242"/>
      <c r="V220" s="242"/>
      <c r="W220" s="242"/>
      <c r="X220" s="242"/>
      <c r="Y220" s="242"/>
      <c r="Z220" s="242"/>
      <c r="AA220" s="242"/>
      <c r="AB220" s="242"/>
    </row>
    <row r="221">
      <c r="A221" s="242"/>
      <c r="B221" s="13"/>
      <c r="C221" s="242"/>
      <c r="D221" s="13"/>
      <c r="E221" s="13"/>
      <c r="F221" s="13"/>
      <c r="G221" s="13"/>
      <c r="H221" s="13"/>
      <c r="I221" s="242"/>
      <c r="J221" s="242"/>
      <c r="K221" s="242"/>
      <c r="L221" s="242"/>
      <c r="M221" s="242"/>
      <c r="N221" s="242"/>
      <c r="O221" s="242"/>
      <c r="P221" s="242"/>
      <c r="Q221" s="242"/>
      <c r="R221" s="242"/>
      <c r="S221" s="242"/>
      <c r="T221" s="242"/>
      <c r="U221" s="242"/>
      <c r="V221" s="242"/>
      <c r="W221" s="242"/>
      <c r="X221" s="242"/>
      <c r="Y221" s="242"/>
      <c r="Z221" s="242"/>
      <c r="AA221" s="242"/>
      <c r="AB221" s="242"/>
    </row>
    <row r="222">
      <c r="A222" s="242"/>
      <c r="B222" s="13"/>
      <c r="C222" s="242"/>
      <c r="D222" s="13"/>
      <c r="E222" s="13"/>
      <c r="F222" s="13"/>
      <c r="G222" s="13"/>
      <c r="H222" s="13"/>
      <c r="I222" s="242"/>
      <c r="J222" s="242"/>
      <c r="K222" s="242"/>
      <c r="L222" s="242"/>
      <c r="M222" s="242"/>
      <c r="N222" s="242"/>
      <c r="O222" s="242"/>
      <c r="P222" s="242"/>
      <c r="Q222" s="242"/>
      <c r="R222" s="242"/>
      <c r="S222" s="242"/>
      <c r="T222" s="242"/>
      <c r="U222" s="242"/>
      <c r="V222" s="242"/>
      <c r="W222" s="242"/>
      <c r="X222" s="242"/>
      <c r="Y222" s="242"/>
      <c r="Z222" s="242"/>
      <c r="AA222" s="242"/>
      <c r="AB222" s="242"/>
    </row>
    <row r="223">
      <c r="A223" s="242"/>
      <c r="B223" s="13"/>
      <c r="C223" s="242"/>
      <c r="D223" s="13"/>
      <c r="E223" s="13"/>
      <c r="F223" s="13"/>
      <c r="G223" s="13"/>
      <c r="H223" s="13"/>
      <c r="I223" s="242"/>
      <c r="J223" s="242"/>
      <c r="K223" s="242"/>
      <c r="L223" s="242"/>
      <c r="M223" s="242"/>
      <c r="N223" s="242"/>
      <c r="O223" s="242"/>
      <c r="P223" s="242"/>
      <c r="Q223" s="242"/>
      <c r="R223" s="242"/>
      <c r="S223" s="242"/>
      <c r="T223" s="242"/>
      <c r="U223" s="242"/>
      <c r="V223" s="242"/>
      <c r="W223" s="242"/>
      <c r="X223" s="242"/>
      <c r="Y223" s="242"/>
      <c r="Z223" s="242"/>
      <c r="AA223" s="242"/>
      <c r="AB223" s="242"/>
    </row>
    <row r="224">
      <c r="A224" s="242"/>
      <c r="B224" s="13"/>
      <c r="C224" s="242"/>
      <c r="D224" s="13"/>
      <c r="E224" s="13"/>
      <c r="F224" s="13"/>
      <c r="G224" s="13"/>
      <c r="H224" s="13"/>
      <c r="I224" s="242"/>
      <c r="J224" s="242"/>
      <c r="K224" s="242"/>
      <c r="L224" s="242"/>
      <c r="M224" s="242"/>
      <c r="N224" s="242"/>
      <c r="O224" s="242"/>
      <c r="P224" s="242"/>
      <c r="Q224" s="242"/>
      <c r="R224" s="242"/>
      <c r="S224" s="242"/>
      <c r="T224" s="242"/>
      <c r="U224" s="242"/>
      <c r="V224" s="242"/>
      <c r="W224" s="242"/>
      <c r="X224" s="242"/>
      <c r="Y224" s="242"/>
      <c r="Z224" s="242"/>
      <c r="AA224" s="242"/>
      <c r="AB224" s="242"/>
    </row>
    <row r="225">
      <c r="A225" s="242"/>
      <c r="B225" s="13"/>
      <c r="C225" s="242"/>
      <c r="D225" s="13"/>
      <c r="E225" s="13"/>
      <c r="F225" s="13"/>
      <c r="G225" s="13"/>
      <c r="H225" s="13"/>
      <c r="I225" s="242"/>
      <c r="J225" s="242"/>
      <c r="K225" s="242"/>
      <c r="L225" s="242"/>
      <c r="M225" s="242"/>
      <c r="N225" s="242"/>
      <c r="O225" s="242"/>
      <c r="P225" s="242"/>
      <c r="Q225" s="242"/>
      <c r="R225" s="242"/>
      <c r="S225" s="242"/>
      <c r="T225" s="242"/>
      <c r="U225" s="242"/>
      <c r="V225" s="242"/>
      <c r="W225" s="242"/>
      <c r="X225" s="242"/>
      <c r="Y225" s="242"/>
      <c r="Z225" s="242"/>
      <c r="AA225" s="242"/>
      <c r="AB225" s="242"/>
    </row>
    <row r="226">
      <c r="A226" s="242"/>
      <c r="B226" s="13"/>
      <c r="C226" s="242"/>
      <c r="D226" s="13"/>
      <c r="E226" s="13"/>
      <c r="F226" s="13"/>
      <c r="G226" s="13"/>
      <c r="H226" s="13"/>
      <c r="I226" s="242"/>
      <c r="J226" s="242"/>
      <c r="K226" s="242"/>
      <c r="L226" s="242"/>
      <c r="M226" s="242"/>
      <c r="N226" s="242"/>
      <c r="O226" s="242"/>
      <c r="P226" s="242"/>
      <c r="Q226" s="242"/>
      <c r="R226" s="242"/>
      <c r="S226" s="242"/>
      <c r="T226" s="242"/>
      <c r="U226" s="242"/>
      <c r="V226" s="242"/>
      <c r="W226" s="242"/>
      <c r="X226" s="242"/>
      <c r="Y226" s="242"/>
      <c r="Z226" s="242"/>
      <c r="AA226" s="242"/>
      <c r="AB226" s="242"/>
    </row>
    <row r="227">
      <c r="A227" s="242"/>
      <c r="B227" s="13"/>
      <c r="C227" s="242"/>
      <c r="D227" s="13"/>
      <c r="E227" s="13"/>
      <c r="F227" s="13"/>
      <c r="G227" s="13"/>
      <c r="H227" s="13"/>
      <c r="I227" s="242"/>
      <c r="J227" s="242"/>
      <c r="K227" s="242"/>
      <c r="L227" s="242"/>
      <c r="M227" s="242"/>
      <c r="N227" s="242"/>
      <c r="O227" s="242"/>
      <c r="P227" s="242"/>
      <c r="Q227" s="242"/>
      <c r="R227" s="242"/>
      <c r="S227" s="242"/>
      <c r="T227" s="242"/>
      <c r="U227" s="242"/>
      <c r="V227" s="242"/>
      <c r="W227" s="242"/>
      <c r="X227" s="242"/>
      <c r="Y227" s="242"/>
      <c r="Z227" s="242"/>
      <c r="AA227" s="242"/>
      <c r="AB227" s="242"/>
    </row>
    <row r="228">
      <c r="A228" s="242"/>
      <c r="B228" s="13"/>
      <c r="C228" s="242"/>
      <c r="D228" s="13"/>
      <c r="E228" s="13"/>
      <c r="F228" s="13"/>
      <c r="G228" s="13"/>
      <c r="H228" s="13"/>
      <c r="I228" s="242"/>
      <c r="J228" s="242"/>
      <c r="K228" s="242"/>
      <c r="L228" s="242"/>
      <c r="M228" s="242"/>
      <c r="N228" s="242"/>
      <c r="O228" s="242"/>
      <c r="P228" s="242"/>
      <c r="Q228" s="242"/>
      <c r="R228" s="242"/>
      <c r="S228" s="242"/>
      <c r="T228" s="242"/>
      <c r="U228" s="242"/>
      <c r="V228" s="242"/>
      <c r="W228" s="242"/>
      <c r="X228" s="242"/>
      <c r="Y228" s="242"/>
      <c r="Z228" s="242"/>
      <c r="AA228" s="242"/>
      <c r="AB228" s="242"/>
    </row>
    <row r="229">
      <c r="A229" s="242"/>
      <c r="B229" s="13"/>
      <c r="C229" s="242"/>
      <c r="D229" s="13"/>
      <c r="E229" s="13"/>
      <c r="F229" s="13"/>
      <c r="G229" s="13"/>
      <c r="H229" s="13"/>
      <c r="I229" s="242"/>
      <c r="J229" s="242"/>
      <c r="K229" s="242"/>
      <c r="L229" s="242"/>
      <c r="M229" s="242"/>
      <c r="N229" s="242"/>
      <c r="O229" s="242"/>
      <c r="P229" s="242"/>
      <c r="Q229" s="242"/>
      <c r="R229" s="242"/>
      <c r="S229" s="242"/>
      <c r="T229" s="242"/>
      <c r="U229" s="242"/>
      <c r="V229" s="242"/>
      <c r="W229" s="242"/>
      <c r="X229" s="242"/>
      <c r="Y229" s="242"/>
      <c r="Z229" s="242"/>
      <c r="AA229" s="242"/>
      <c r="AB229" s="242"/>
    </row>
    <row r="230">
      <c r="A230" s="242"/>
      <c r="B230" s="13"/>
      <c r="C230" s="242"/>
      <c r="D230" s="13"/>
      <c r="E230" s="13"/>
      <c r="F230" s="13"/>
      <c r="G230" s="13"/>
      <c r="H230" s="13"/>
      <c r="I230" s="242"/>
      <c r="J230" s="242"/>
      <c r="K230" s="242"/>
      <c r="L230" s="242"/>
      <c r="M230" s="242"/>
      <c r="N230" s="242"/>
      <c r="O230" s="242"/>
      <c r="P230" s="242"/>
      <c r="Q230" s="242"/>
      <c r="R230" s="242"/>
      <c r="S230" s="242"/>
      <c r="T230" s="242"/>
      <c r="U230" s="242"/>
      <c r="V230" s="242"/>
      <c r="W230" s="242"/>
      <c r="X230" s="242"/>
      <c r="Y230" s="242"/>
      <c r="Z230" s="242"/>
      <c r="AA230" s="242"/>
      <c r="AB230" s="242"/>
    </row>
    <row r="231">
      <c r="A231" s="242"/>
      <c r="B231" s="13"/>
      <c r="C231" s="242"/>
      <c r="D231" s="13"/>
      <c r="E231" s="13"/>
      <c r="F231" s="13"/>
      <c r="G231" s="13"/>
      <c r="H231" s="13"/>
      <c r="I231" s="242"/>
      <c r="J231" s="242"/>
      <c r="K231" s="242"/>
      <c r="L231" s="242"/>
      <c r="M231" s="242"/>
      <c r="N231" s="242"/>
      <c r="O231" s="242"/>
      <c r="P231" s="242"/>
      <c r="Q231" s="242"/>
      <c r="R231" s="242"/>
      <c r="S231" s="242"/>
      <c r="T231" s="242"/>
      <c r="U231" s="242"/>
      <c r="V231" s="242"/>
      <c r="W231" s="242"/>
      <c r="X231" s="242"/>
      <c r="Y231" s="242"/>
      <c r="Z231" s="242"/>
      <c r="AA231" s="242"/>
      <c r="AB231" s="242"/>
    </row>
    <row r="232">
      <c r="A232" s="242"/>
      <c r="B232" s="13"/>
      <c r="C232" s="242"/>
      <c r="D232" s="13"/>
      <c r="E232" s="13"/>
      <c r="F232" s="13"/>
      <c r="G232" s="13"/>
      <c r="H232" s="13"/>
      <c r="I232" s="242"/>
      <c r="J232" s="242"/>
      <c r="K232" s="242"/>
      <c r="L232" s="242"/>
      <c r="M232" s="242"/>
      <c r="N232" s="242"/>
      <c r="O232" s="242"/>
      <c r="P232" s="242"/>
      <c r="Q232" s="242"/>
      <c r="R232" s="242"/>
      <c r="S232" s="242"/>
      <c r="T232" s="242"/>
      <c r="U232" s="242"/>
      <c r="V232" s="242"/>
      <c r="W232" s="242"/>
      <c r="X232" s="242"/>
      <c r="Y232" s="242"/>
      <c r="Z232" s="242"/>
      <c r="AA232" s="242"/>
      <c r="AB232" s="242"/>
    </row>
    <row r="233">
      <c r="A233" s="242"/>
      <c r="B233" s="13"/>
      <c r="C233" s="242"/>
      <c r="D233" s="13"/>
      <c r="E233" s="13"/>
      <c r="F233" s="13"/>
      <c r="G233" s="13"/>
      <c r="H233" s="13"/>
      <c r="I233" s="242"/>
      <c r="J233" s="242"/>
      <c r="K233" s="242"/>
      <c r="L233" s="242"/>
      <c r="M233" s="242"/>
      <c r="N233" s="242"/>
      <c r="O233" s="242"/>
      <c r="P233" s="242"/>
      <c r="Q233" s="242"/>
      <c r="R233" s="242"/>
      <c r="S233" s="242"/>
      <c r="T233" s="242"/>
      <c r="U233" s="242"/>
      <c r="V233" s="242"/>
      <c r="W233" s="242"/>
      <c r="X233" s="242"/>
      <c r="Y233" s="242"/>
      <c r="Z233" s="242"/>
      <c r="AA233" s="242"/>
      <c r="AB233" s="242"/>
    </row>
    <row r="234">
      <c r="A234" s="242"/>
      <c r="B234" s="13"/>
      <c r="C234" s="242"/>
      <c r="D234" s="13"/>
      <c r="E234" s="13"/>
      <c r="F234" s="13"/>
      <c r="G234" s="13"/>
      <c r="H234" s="13"/>
      <c r="I234" s="242"/>
      <c r="J234" s="242"/>
      <c r="K234" s="242"/>
      <c r="L234" s="242"/>
      <c r="M234" s="242"/>
      <c r="N234" s="242"/>
      <c r="O234" s="242"/>
      <c r="P234" s="242"/>
      <c r="Q234" s="242"/>
      <c r="R234" s="242"/>
      <c r="S234" s="242"/>
      <c r="T234" s="242"/>
      <c r="U234" s="242"/>
      <c r="V234" s="242"/>
      <c r="W234" s="242"/>
      <c r="X234" s="242"/>
      <c r="Y234" s="242"/>
      <c r="Z234" s="242"/>
      <c r="AA234" s="242"/>
      <c r="AB234" s="242"/>
    </row>
    <row r="235">
      <c r="A235" s="242"/>
      <c r="B235" s="13"/>
      <c r="C235" s="242"/>
      <c r="D235" s="13"/>
      <c r="E235" s="13"/>
      <c r="F235" s="13"/>
      <c r="G235" s="13"/>
      <c r="H235" s="13"/>
      <c r="I235" s="242"/>
      <c r="J235" s="242"/>
      <c r="K235" s="242"/>
      <c r="L235" s="242"/>
      <c r="M235" s="242"/>
      <c r="N235" s="242"/>
      <c r="O235" s="242"/>
      <c r="P235" s="242"/>
      <c r="Q235" s="242"/>
      <c r="R235" s="242"/>
      <c r="S235" s="242"/>
      <c r="T235" s="242"/>
      <c r="U235" s="242"/>
      <c r="V235" s="242"/>
      <c r="W235" s="242"/>
      <c r="X235" s="242"/>
      <c r="Y235" s="242"/>
      <c r="Z235" s="242"/>
      <c r="AA235" s="242"/>
      <c r="AB235" s="242"/>
    </row>
    <row r="236">
      <c r="A236" s="242"/>
      <c r="B236" s="13"/>
      <c r="C236" s="242"/>
      <c r="D236" s="13"/>
      <c r="E236" s="13"/>
      <c r="F236" s="13"/>
      <c r="G236" s="13"/>
      <c r="H236" s="13"/>
      <c r="I236" s="242"/>
      <c r="J236" s="242"/>
      <c r="K236" s="242"/>
      <c r="L236" s="242"/>
      <c r="M236" s="242"/>
      <c r="N236" s="242"/>
      <c r="O236" s="242"/>
      <c r="P236" s="242"/>
      <c r="Q236" s="242"/>
      <c r="R236" s="242"/>
      <c r="S236" s="242"/>
      <c r="T236" s="242"/>
      <c r="U236" s="242"/>
      <c r="V236" s="242"/>
      <c r="W236" s="242"/>
      <c r="X236" s="242"/>
      <c r="Y236" s="242"/>
      <c r="Z236" s="242"/>
      <c r="AA236" s="242"/>
      <c r="AB236" s="242"/>
    </row>
    <row r="237">
      <c r="A237" s="242"/>
      <c r="B237" s="13"/>
      <c r="C237" s="242"/>
      <c r="D237" s="13"/>
      <c r="E237" s="13"/>
      <c r="F237" s="13"/>
      <c r="G237" s="13"/>
      <c r="H237" s="13"/>
      <c r="I237" s="242"/>
      <c r="J237" s="242"/>
      <c r="K237" s="242"/>
      <c r="L237" s="242"/>
      <c r="M237" s="242"/>
      <c r="N237" s="242"/>
      <c r="O237" s="242"/>
      <c r="P237" s="242"/>
      <c r="Q237" s="242"/>
      <c r="R237" s="242"/>
      <c r="S237" s="242"/>
      <c r="T237" s="242"/>
      <c r="U237" s="242"/>
      <c r="V237" s="242"/>
      <c r="W237" s="242"/>
      <c r="X237" s="242"/>
      <c r="Y237" s="242"/>
      <c r="Z237" s="242"/>
      <c r="AA237" s="242"/>
      <c r="AB237" s="242"/>
    </row>
    <row r="238">
      <c r="A238" s="242"/>
      <c r="B238" s="13"/>
      <c r="C238" s="242"/>
      <c r="D238" s="13"/>
      <c r="E238" s="13"/>
      <c r="F238" s="13"/>
      <c r="G238" s="13"/>
      <c r="H238" s="13"/>
      <c r="I238" s="242"/>
      <c r="J238" s="242"/>
      <c r="K238" s="242"/>
      <c r="L238" s="242"/>
      <c r="M238" s="242"/>
      <c r="N238" s="242"/>
      <c r="O238" s="242"/>
      <c r="P238" s="242"/>
      <c r="Q238" s="242"/>
      <c r="R238" s="242"/>
      <c r="S238" s="242"/>
      <c r="T238" s="242"/>
      <c r="U238" s="242"/>
      <c r="V238" s="242"/>
      <c r="W238" s="242"/>
      <c r="X238" s="242"/>
      <c r="Y238" s="242"/>
      <c r="Z238" s="242"/>
      <c r="AA238" s="242"/>
      <c r="AB238" s="242"/>
    </row>
    <row r="239">
      <c r="A239" s="242"/>
      <c r="B239" s="13"/>
      <c r="C239" s="242"/>
      <c r="D239" s="13"/>
      <c r="E239" s="13"/>
      <c r="F239" s="13"/>
      <c r="G239" s="13"/>
      <c r="H239" s="13"/>
      <c r="I239" s="242"/>
      <c r="J239" s="242"/>
      <c r="K239" s="242"/>
      <c r="L239" s="242"/>
      <c r="M239" s="242"/>
      <c r="N239" s="242"/>
      <c r="O239" s="242"/>
      <c r="P239" s="242"/>
      <c r="Q239" s="242"/>
      <c r="R239" s="242"/>
      <c r="S239" s="242"/>
      <c r="T239" s="242"/>
      <c r="U239" s="242"/>
      <c r="V239" s="242"/>
      <c r="W239" s="242"/>
      <c r="X239" s="242"/>
      <c r="Y239" s="242"/>
      <c r="Z239" s="242"/>
      <c r="AA239" s="242"/>
      <c r="AB239" s="242"/>
    </row>
    <row r="240">
      <c r="A240" s="242"/>
      <c r="B240" s="13"/>
      <c r="C240" s="242"/>
      <c r="D240" s="13"/>
      <c r="E240" s="13"/>
      <c r="F240" s="13"/>
      <c r="G240" s="13"/>
      <c r="H240" s="13"/>
      <c r="I240" s="242"/>
      <c r="J240" s="242"/>
      <c r="K240" s="242"/>
      <c r="L240" s="242"/>
      <c r="M240" s="242"/>
      <c r="N240" s="242"/>
      <c r="O240" s="242"/>
      <c r="P240" s="242"/>
      <c r="Q240" s="242"/>
      <c r="R240" s="242"/>
      <c r="S240" s="242"/>
      <c r="T240" s="242"/>
      <c r="U240" s="242"/>
      <c r="V240" s="242"/>
      <c r="W240" s="242"/>
      <c r="X240" s="242"/>
      <c r="Y240" s="242"/>
      <c r="Z240" s="242"/>
      <c r="AA240" s="242"/>
      <c r="AB240" s="242"/>
    </row>
    <row r="241">
      <c r="A241" s="242"/>
      <c r="B241" s="13"/>
      <c r="C241" s="242"/>
      <c r="D241" s="13"/>
      <c r="E241" s="13"/>
      <c r="F241" s="13"/>
      <c r="G241" s="13"/>
      <c r="H241" s="13"/>
      <c r="I241" s="242"/>
      <c r="J241" s="242"/>
      <c r="K241" s="242"/>
      <c r="L241" s="242"/>
      <c r="M241" s="242"/>
      <c r="N241" s="242"/>
      <c r="O241" s="242"/>
      <c r="P241" s="242"/>
      <c r="Q241" s="242"/>
      <c r="R241" s="242"/>
      <c r="S241" s="242"/>
      <c r="T241" s="242"/>
      <c r="U241" s="242"/>
      <c r="V241" s="242"/>
      <c r="W241" s="242"/>
      <c r="X241" s="242"/>
      <c r="Y241" s="242"/>
      <c r="Z241" s="242"/>
      <c r="AA241" s="242"/>
      <c r="AB241" s="242"/>
    </row>
    <row r="242">
      <c r="A242" s="242"/>
      <c r="B242" s="13"/>
      <c r="C242" s="242"/>
      <c r="D242" s="13"/>
      <c r="E242" s="13"/>
      <c r="F242" s="13"/>
      <c r="G242" s="13"/>
      <c r="H242" s="13"/>
      <c r="I242" s="242"/>
      <c r="J242" s="242"/>
      <c r="K242" s="242"/>
      <c r="L242" s="242"/>
      <c r="M242" s="242"/>
      <c r="N242" s="242"/>
      <c r="O242" s="242"/>
      <c r="P242" s="242"/>
      <c r="Q242" s="242"/>
      <c r="R242" s="242"/>
      <c r="S242" s="242"/>
      <c r="T242" s="242"/>
      <c r="U242" s="242"/>
      <c r="V242" s="242"/>
      <c r="W242" s="242"/>
      <c r="X242" s="242"/>
      <c r="Y242" s="242"/>
      <c r="Z242" s="242"/>
      <c r="AA242" s="242"/>
      <c r="AB242" s="242"/>
    </row>
    <row r="243">
      <c r="A243" s="242"/>
      <c r="B243" s="13"/>
      <c r="C243" s="242"/>
      <c r="D243" s="13"/>
      <c r="E243" s="13"/>
      <c r="F243" s="13"/>
      <c r="G243" s="13"/>
      <c r="H243" s="13"/>
      <c r="I243" s="242"/>
      <c r="J243" s="242"/>
      <c r="K243" s="242"/>
      <c r="L243" s="242"/>
      <c r="M243" s="242"/>
      <c r="N243" s="242"/>
      <c r="O243" s="242"/>
      <c r="P243" s="242"/>
      <c r="Q243" s="242"/>
      <c r="R243" s="242"/>
      <c r="S243" s="242"/>
      <c r="T243" s="242"/>
      <c r="U243" s="242"/>
      <c r="V243" s="242"/>
      <c r="W243" s="242"/>
      <c r="X243" s="242"/>
      <c r="Y243" s="242"/>
      <c r="Z243" s="242"/>
      <c r="AA243" s="242"/>
      <c r="AB243" s="242"/>
    </row>
    <row r="244">
      <c r="A244" s="242"/>
      <c r="B244" s="13"/>
      <c r="C244" s="242"/>
      <c r="D244" s="13"/>
      <c r="E244" s="13"/>
      <c r="F244" s="13"/>
      <c r="G244" s="13"/>
      <c r="H244" s="13"/>
      <c r="I244" s="242"/>
      <c r="J244" s="242"/>
      <c r="K244" s="242"/>
      <c r="L244" s="242"/>
      <c r="M244" s="242"/>
      <c r="N244" s="242"/>
      <c r="O244" s="242"/>
      <c r="P244" s="242"/>
      <c r="Q244" s="242"/>
      <c r="R244" s="242"/>
      <c r="S244" s="242"/>
      <c r="T244" s="242"/>
      <c r="U244" s="242"/>
      <c r="V244" s="242"/>
      <c r="W244" s="242"/>
      <c r="X244" s="242"/>
      <c r="Y244" s="242"/>
      <c r="Z244" s="242"/>
      <c r="AA244" s="242"/>
      <c r="AB244" s="242"/>
    </row>
    <row r="245">
      <c r="A245" s="242"/>
      <c r="B245" s="13"/>
      <c r="C245" s="242"/>
      <c r="D245" s="13"/>
      <c r="E245" s="13"/>
      <c r="F245" s="13"/>
      <c r="G245" s="13"/>
      <c r="H245" s="13"/>
      <c r="I245" s="242"/>
      <c r="J245" s="242"/>
      <c r="K245" s="242"/>
      <c r="L245" s="242"/>
      <c r="M245" s="242"/>
      <c r="N245" s="242"/>
      <c r="O245" s="242"/>
      <c r="P245" s="242"/>
      <c r="Q245" s="242"/>
      <c r="R245" s="242"/>
      <c r="S245" s="242"/>
      <c r="T245" s="242"/>
      <c r="U245" s="242"/>
      <c r="V245" s="242"/>
      <c r="W245" s="242"/>
      <c r="X245" s="242"/>
      <c r="Y245" s="242"/>
      <c r="Z245" s="242"/>
      <c r="AA245" s="242"/>
      <c r="AB245" s="242"/>
    </row>
    <row r="246">
      <c r="A246" s="242"/>
      <c r="B246" s="13"/>
      <c r="C246" s="242"/>
      <c r="D246" s="13"/>
      <c r="E246" s="13"/>
      <c r="F246" s="13"/>
      <c r="G246" s="13"/>
      <c r="H246" s="13"/>
      <c r="I246" s="242"/>
      <c r="J246" s="242"/>
      <c r="K246" s="242"/>
      <c r="L246" s="242"/>
      <c r="M246" s="242"/>
      <c r="N246" s="242"/>
      <c r="O246" s="242"/>
      <c r="P246" s="242"/>
      <c r="Q246" s="242"/>
      <c r="R246" s="242"/>
      <c r="S246" s="242"/>
      <c r="T246" s="242"/>
      <c r="U246" s="242"/>
      <c r="V246" s="242"/>
      <c r="W246" s="242"/>
      <c r="X246" s="242"/>
      <c r="Y246" s="242"/>
      <c r="Z246" s="242"/>
      <c r="AA246" s="242"/>
      <c r="AB246" s="242"/>
    </row>
    <row r="247">
      <c r="A247" s="242"/>
      <c r="B247" s="13"/>
      <c r="C247" s="242"/>
      <c r="D247" s="13"/>
      <c r="E247" s="13"/>
      <c r="F247" s="13"/>
      <c r="G247" s="13"/>
      <c r="H247" s="13"/>
      <c r="I247" s="242"/>
      <c r="J247" s="242"/>
      <c r="K247" s="242"/>
      <c r="L247" s="242"/>
      <c r="M247" s="242"/>
      <c r="N247" s="242"/>
      <c r="O247" s="242"/>
      <c r="P247" s="242"/>
      <c r="Q247" s="242"/>
      <c r="R247" s="242"/>
      <c r="S247" s="242"/>
      <c r="T247" s="242"/>
      <c r="U247" s="242"/>
      <c r="V247" s="242"/>
      <c r="W247" s="242"/>
      <c r="X247" s="242"/>
      <c r="Y247" s="242"/>
      <c r="Z247" s="242"/>
      <c r="AA247" s="242"/>
      <c r="AB247" s="242"/>
    </row>
    <row r="248">
      <c r="A248" s="242"/>
      <c r="B248" s="13"/>
      <c r="C248" s="242"/>
      <c r="D248" s="13"/>
      <c r="E248" s="13"/>
      <c r="F248" s="13"/>
      <c r="G248" s="13"/>
      <c r="H248" s="13"/>
      <c r="I248" s="242"/>
      <c r="J248" s="242"/>
      <c r="K248" s="242"/>
      <c r="L248" s="242"/>
      <c r="M248" s="242"/>
      <c r="N248" s="242"/>
      <c r="O248" s="242"/>
      <c r="P248" s="242"/>
      <c r="Q248" s="242"/>
      <c r="R248" s="242"/>
      <c r="S248" s="242"/>
      <c r="T248" s="242"/>
      <c r="U248" s="242"/>
      <c r="V248" s="242"/>
      <c r="W248" s="242"/>
      <c r="X248" s="242"/>
      <c r="Y248" s="242"/>
      <c r="Z248" s="242"/>
      <c r="AA248" s="242"/>
      <c r="AB248" s="242"/>
    </row>
    <row r="249">
      <c r="A249" s="242"/>
      <c r="B249" s="13"/>
      <c r="C249" s="242"/>
      <c r="D249" s="13"/>
      <c r="E249" s="13"/>
      <c r="F249" s="13"/>
      <c r="G249" s="13"/>
      <c r="H249" s="13"/>
      <c r="I249" s="242"/>
      <c r="J249" s="242"/>
      <c r="K249" s="242"/>
      <c r="L249" s="242"/>
      <c r="M249" s="242"/>
      <c r="N249" s="242"/>
      <c r="O249" s="242"/>
      <c r="P249" s="242"/>
      <c r="Q249" s="242"/>
      <c r="R249" s="242"/>
      <c r="S249" s="242"/>
      <c r="T249" s="242"/>
      <c r="U249" s="242"/>
      <c r="V249" s="242"/>
      <c r="W249" s="242"/>
      <c r="X249" s="242"/>
      <c r="Y249" s="242"/>
      <c r="Z249" s="242"/>
      <c r="AA249" s="242"/>
      <c r="AB249" s="242"/>
    </row>
    <row r="250">
      <c r="A250" s="242"/>
      <c r="B250" s="13"/>
      <c r="C250" s="242"/>
      <c r="D250" s="13"/>
      <c r="E250" s="13"/>
      <c r="F250" s="13"/>
      <c r="G250" s="13"/>
      <c r="H250" s="13"/>
      <c r="I250" s="242"/>
      <c r="J250" s="242"/>
      <c r="K250" s="242"/>
      <c r="L250" s="242"/>
      <c r="M250" s="242"/>
      <c r="N250" s="242"/>
      <c r="O250" s="242"/>
      <c r="P250" s="242"/>
      <c r="Q250" s="242"/>
      <c r="R250" s="242"/>
      <c r="S250" s="242"/>
      <c r="T250" s="242"/>
      <c r="U250" s="242"/>
      <c r="V250" s="242"/>
      <c r="W250" s="242"/>
      <c r="X250" s="242"/>
      <c r="Y250" s="242"/>
      <c r="Z250" s="242"/>
      <c r="AA250" s="242"/>
      <c r="AB250" s="242"/>
    </row>
    <row r="251">
      <c r="A251" s="242"/>
      <c r="B251" s="13"/>
      <c r="C251" s="242"/>
      <c r="D251" s="13"/>
      <c r="E251" s="13"/>
      <c r="F251" s="13"/>
      <c r="G251" s="13"/>
      <c r="H251" s="13"/>
      <c r="I251" s="242"/>
      <c r="J251" s="242"/>
      <c r="K251" s="242"/>
      <c r="L251" s="242"/>
      <c r="M251" s="242"/>
      <c r="N251" s="242"/>
      <c r="O251" s="242"/>
      <c r="P251" s="242"/>
      <c r="Q251" s="242"/>
      <c r="R251" s="242"/>
      <c r="S251" s="242"/>
      <c r="T251" s="242"/>
      <c r="U251" s="242"/>
      <c r="V251" s="242"/>
      <c r="W251" s="242"/>
      <c r="X251" s="242"/>
      <c r="Y251" s="242"/>
      <c r="Z251" s="242"/>
      <c r="AA251" s="242"/>
      <c r="AB251" s="242"/>
    </row>
    <row r="252">
      <c r="A252" s="242"/>
      <c r="B252" s="13"/>
      <c r="C252" s="242"/>
      <c r="D252" s="13"/>
      <c r="E252" s="13"/>
      <c r="F252" s="13"/>
      <c r="G252" s="13"/>
      <c r="H252" s="13"/>
      <c r="I252" s="242"/>
      <c r="J252" s="242"/>
      <c r="K252" s="242"/>
      <c r="L252" s="242"/>
      <c r="M252" s="242"/>
      <c r="N252" s="242"/>
      <c r="O252" s="242"/>
      <c r="P252" s="242"/>
      <c r="Q252" s="242"/>
      <c r="R252" s="242"/>
      <c r="S252" s="242"/>
      <c r="T252" s="242"/>
      <c r="U252" s="242"/>
      <c r="V252" s="242"/>
      <c r="W252" s="242"/>
      <c r="X252" s="242"/>
      <c r="Y252" s="242"/>
      <c r="Z252" s="242"/>
      <c r="AA252" s="242"/>
      <c r="AB252" s="242"/>
    </row>
    <row r="253">
      <c r="A253" s="242"/>
      <c r="B253" s="13"/>
      <c r="C253" s="242"/>
      <c r="D253" s="13"/>
      <c r="E253" s="13"/>
      <c r="F253" s="13"/>
      <c r="G253" s="13"/>
      <c r="H253" s="13"/>
      <c r="I253" s="242"/>
      <c r="J253" s="242"/>
      <c r="K253" s="242"/>
      <c r="L253" s="242"/>
      <c r="M253" s="242"/>
      <c r="N253" s="242"/>
      <c r="O253" s="242"/>
      <c r="P253" s="242"/>
      <c r="Q253" s="242"/>
      <c r="R253" s="242"/>
      <c r="S253" s="242"/>
      <c r="T253" s="242"/>
      <c r="U253" s="242"/>
      <c r="V253" s="242"/>
      <c r="W253" s="242"/>
      <c r="X253" s="242"/>
      <c r="Y253" s="242"/>
      <c r="Z253" s="242"/>
      <c r="AA253" s="242"/>
      <c r="AB253" s="242"/>
    </row>
    <row r="254">
      <c r="A254" s="242"/>
      <c r="B254" s="13"/>
      <c r="C254" s="242"/>
      <c r="D254" s="13"/>
      <c r="E254" s="13"/>
      <c r="F254" s="13"/>
      <c r="G254" s="13"/>
      <c r="H254" s="13"/>
      <c r="I254" s="242"/>
      <c r="J254" s="242"/>
      <c r="K254" s="242"/>
      <c r="L254" s="242"/>
      <c r="M254" s="242"/>
      <c r="N254" s="242"/>
      <c r="O254" s="242"/>
      <c r="P254" s="242"/>
      <c r="Q254" s="242"/>
      <c r="R254" s="242"/>
      <c r="S254" s="242"/>
      <c r="T254" s="242"/>
      <c r="U254" s="242"/>
      <c r="V254" s="242"/>
      <c r="W254" s="242"/>
      <c r="X254" s="242"/>
      <c r="Y254" s="242"/>
      <c r="Z254" s="242"/>
      <c r="AA254" s="242"/>
      <c r="AB254" s="242"/>
    </row>
    <row r="255">
      <c r="A255" s="242"/>
      <c r="B255" s="13"/>
      <c r="C255" s="242"/>
      <c r="D255" s="13"/>
      <c r="E255" s="13"/>
      <c r="F255" s="13"/>
      <c r="G255" s="13"/>
      <c r="H255" s="13"/>
      <c r="I255" s="242"/>
      <c r="J255" s="242"/>
      <c r="K255" s="242"/>
      <c r="L255" s="242"/>
      <c r="M255" s="242"/>
      <c r="N255" s="242"/>
      <c r="O255" s="242"/>
      <c r="P255" s="242"/>
      <c r="Q255" s="242"/>
      <c r="R255" s="242"/>
      <c r="S255" s="242"/>
      <c r="T255" s="242"/>
      <c r="U255" s="242"/>
      <c r="V255" s="242"/>
      <c r="W255" s="242"/>
      <c r="X255" s="242"/>
      <c r="Y255" s="242"/>
      <c r="Z255" s="242"/>
      <c r="AA255" s="242"/>
      <c r="AB255" s="242"/>
    </row>
    <row r="256">
      <c r="A256" s="242"/>
      <c r="B256" s="13"/>
      <c r="C256" s="242"/>
      <c r="D256" s="13"/>
      <c r="E256" s="13"/>
      <c r="F256" s="13"/>
      <c r="G256" s="13"/>
      <c r="H256" s="13"/>
      <c r="I256" s="242"/>
      <c r="J256" s="242"/>
      <c r="K256" s="242"/>
      <c r="L256" s="242"/>
      <c r="M256" s="242"/>
      <c r="N256" s="242"/>
      <c r="O256" s="242"/>
      <c r="P256" s="242"/>
      <c r="Q256" s="242"/>
      <c r="R256" s="242"/>
      <c r="S256" s="242"/>
      <c r="T256" s="242"/>
      <c r="U256" s="242"/>
      <c r="V256" s="242"/>
      <c r="W256" s="242"/>
      <c r="X256" s="242"/>
      <c r="Y256" s="242"/>
      <c r="Z256" s="242"/>
      <c r="AA256" s="242"/>
      <c r="AB256" s="242"/>
    </row>
    <row r="257">
      <c r="A257" s="242"/>
      <c r="B257" s="13"/>
      <c r="C257" s="242"/>
      <c r="D257" s="13"/>
      <c r="E257" s="13"/>
      <c r="F257" s="13"/>
      <c r="G257" s="13"/>
      <c r="H257" s="13"/>
      <c r="I257" s="242"/>
      <c r="J257" s="242"/>
      <c r="K257" s="242"/>
      <c r="L257" s="242"/>
      <c r="M257" s="242"/>
      <c r="N257" s="242"/>
      <c r="O257" s="242"/>
      <c r="P257" s="242"/>
      <c r="Q257" s="242"/>
      <c r="R257" s="242"/>
      <c r="S257" s="242"/>
      <c r="T257" s="242"/>
      <c r="U257" s="242"/>
      <c r="V257" s="242"/>
      <c r="W257" s="242"/>
      <c r="X257" s="242"/>
      <c r="Y257" s="242"/>
      <c r="Z257" s="242"/>
      <c r="AA257" s="242"/>
      <c r="AB257" s="242"/>
    </row>
    <row r="258">
      <c r="A258" s="242"/>
      <c r="B258" s="13"/>
      <c r="C258" s="242"/>
      <c r="D258" s="13"/>
      <c r="E258" s="13"/>
      <c r="F258" s="13"/>
      <c r="G258" s="13"/>
      <c r="H258" s="13"/>
      <c r="I258" s="242"/>
      <c r="J258" s="242"/>
      <c r="K258" s="242"/>
      <c r="L258" s="242"/>
      <c r="M258" s="242"/>
      <c r="N258" s="242"/>
      <c r="O258" s="242"/>
      <c r="P258" s="242"/>
      <c r="Q258" s="242"/>
      <c r="R258" s="242"/>
      <c r="S258" s="242"/>
      <c r="T258" s="242"/>
      <c r="U258" s="242"/>
      <c r="V258" s="242"/>
      <c r="W258" s="242"/>
      <c r="X258" s="242"/>
      <c r="Y258" s="242"/>
      <c r="Z258" s="242"/>
      <c r="AA258" s="242"/>
      <c r="AB258" s="242"/>
    </row>
    <row r="259">
      <c r="A259" s="242"/>
      <c r="B259" s="13"/>
      <c r="C259" s="242"/>
      <c r="D259" s="13"/>
      <c r="E259" s="13"/>
      <c r="F259" s="13"/>
      <c r="G259" s="13"/>
      <c r="H259" s="13"/>
      <c r="I259" s="242"/>
      <c r="J259" s="242"/>
      <c r="K259" s="242"/>
      <c r="L259" s="242"/>
      <c r="M259" s="242"/>
      <c r="N259" s="242"/>
      <c r="O259" s="242"/>
      <c r="P259" s="242"/>
      <c r="Q259" s="242"/>
      <c r="R259" s="242"/>
      <c r="S259" s="242"/>
      <c r="T259" s="242"/>
      <c r="U259" s="242"/>
      <c r="V259" s="242"/>
      <c r="W259" s="242"/>
      <c r="X259" s="242"/>
      <c r="Y259" s="242"/>
      <c r="Z259" s="242"/>
      <c r="AA259" s="242"/>
      <c r="AB259" s="242"/>
    </row>
    <row r="260">
      <c r="A260" s="242"/>
      <c r="B260" s="13"/>
      <c r="C260" s="242"/>
      <c r="D260" s="13"/>
      <c r="E260" s="13"/>
      <c r="F260" s="13"/>
      <c r="G260" s="13"/>
      <c r="H260" s="13"/>
      <c r="I260" s="242"/>
      <c r="J260" s="242"/>
      <c r="K260" s="242"/>
      <c r="L260" s="242"/>
      <c r="M260" s="242"/>
      <c r="N260" s="242"/>
      <c r="O260" s="242"/>
      <c r="P260" s="242"/>
      <c r="Q260" s="242"/>
      <c r="R260" s="242"/>
      <c r="S260" s="242"/>
      <c r="T260" s="242"/>
      <c r="U260" s="242"/>
      <c r="V260" s="242"/>
      <c r="W260" s="242"/>
      <c r="X260" s="242"/>
      <c r="Y260" s="242"/>
      <c r="Z260" s="242"/>
      <c r="AA260" s="242"/>
      <c r="AB260" s="242"/>
    </row>
    <row r="261">
      <c r="A261" s="242"/>
      <c r="B261" s="13"/>
      <c r="C261" s="242"/>
      <c r="D261" s="13"/>
      <c r="E261" s="13"/>
      <c r="F261" s="13"/>
      <c r="G261" s="13"/>
      <c r="H261" s="13"/>
      <c r="I261" s="242"/>
      <c r="J261" s="242"/>
      <c r="K261" s="242"/>
      <c r="L261" s="242"/>
      <c r="M261" s="242"/>
      <c r="N261" s="242"/>
      <c r="O261" s="242"/>
      <c r="P261" s="242"/>
      <c r="Q261" s="242"/>
      <c r="R261" s="242"/>
      <c r="S261" s="242"/>
      <c r="T261" s="242"/>
      <c r="U261" s="242"/>
      <c r="V261" s="242"/>
      <c r="W261" s="242"/>
      <c r="X261" s="242"/>
      <c r="Y261" s="242"/>
      <c r="Z261" s="242"/>
      <c r="AA261" s="242"/>
      <c r="AB261" s="242"/>
    </row>
    <row r="262">
      <c r="A262" s="242"/>
      <c r="B262" s="13"/>
      <c r="C262" s="242"/>
      <c r="D262" s="13"/>
      <c r="E262" s="13"/>
      <c r="F262" s="13"/>
      <c r="G262" s="13"/>
      <c r="H262" s="13"/>
      <c r="I262" s="242"/>
      <c r="J262" s="242"/>
      <c r="K262" s="242"/>
      <c r="L262" s="242"/>
      <c r="M262" s="242"/>
      <c r="N262" s="242"/>
      <c r="O262" s="242"/>
      <c r="P262" s="242"/>
      <c r="Q262" s="242"/>
      <c r="R262" s="242"/>
      <c r="S262" s="242"/>
      <c r="T262" s="242"/>
      <c r="U262" s="242"/>
      <c r="V262" s="242"/>
      <c r="W262" s="242"/>
      <c r="X262" s="242"/>
      <c r="Y262" s="242"/>
      <c r="Z262" s="242"/>
      <c r="AA262" s="242"/>
      <c r="AB262" s="242"/>
    </row>
    <row r="263">
      <c r="A263" s="242"/>
      <c r="B263" s="13"/>
      <c r="C263" s="242"/>
      <c r="D263" s="13"/>
      <c r="E263" s="13"/>
      <c r="F263" s="13"/>
      <c r="G263" s="13"/>
      <c r="H263" s="13"/>
      <c r="I263" s="242"/>
      <c r="J263" s="242"/>
      <c r="K263" s="242"/>
      <c r="L263" s="242"/>
      <c r="M263" s="242"/>
      <c r="N263" s="242"/>
      <c r="O263" s="242"/>
      <c r="P263" s="242"/>
      <c r="Q263" s="242"/>
      <c r="R263" s="242"/>
      <c r="S263" s="242"/>
      <c r="T263" s="242"/>
      <c r="U263" s="242"/>
      <c r="V263" s="242"/>
      <c r="W263" s="242"/>
      <c r="X263" s="242"/>
      <c r="Y263" s="242"/>
      <c r="Z263" s="242"/>
      <c r="AA263" s="242"/>
      <c r="AB263" s="242"/>
    </row>
    <row r="264">
      <c r="A264" s="242"/>
      <c r="B264" s="13"/>
      <c r="C264" s="242"/>
      <c r="D264" s="13"/>
      <c r="E264" s="13"/>
      <c r="F264" s="13"/>
      <c r="G264" s="13"/>
      <c r="H264" s="13"/>
      <c r="I264" s="242"/>
      <c r="J264" s="242"/>
      <c r="K264" s="242"/>
      <c r="L264" s="242"/>
      <c r="M264" s="242"/>
      <c r="N264" s="242"/>
      <c r="O264" s="242"/>
      <c r="P264" s="242"/>
      <c r="Q264" s="242"/>
      <c r="R264" s="242"/>
      <c r="S264" s="242"/>
      <c r="T264" s="242"/>
      <c r="U264" s="242"/>
      <c r="V264" s="242"/>
      <c r="W264" s="242"/>
      <c r="X264" s="242"/>
      <c r="Y264" s="242"/>
      <c r="Z264" s="242"/>
      <c r="AA264" s="242"/>
      <c r="AB264" s="242"/>
    </row>
    <row r="265">
      <c r="A265" s="242"/>
      <c r="B265" s="13"/>
      <c r="C265" s="242"/>
      <c r="D265" s="13"/>
      <c r="E265" s="13"/>
      <c r="F265" s="13"/>
      <c r="G265" s="13"/>
      <c r="H265" s="13"/>
      <c r="I265" s="242"/>
      <c r="J265" s="242"/>
      <c r="K265" s="242"/>
      <c r="L265" s="242"/>
      <c r="M265" s="242"/>
      <c r="N265" s="242"/>
      <c r="O265" s="242"/>
      <c r="P265" s="242"/>
      <c r="Q265" s="242"/>
      <c r="R265" s="242"/>
      <c r="S265" s="242"/>
      <c r="T265" s="242"/>
      <c r="U265" s="242"/>
      <c r="V265" s="242"/>
      <c r="W265" s="242"/>
      <c r="X265" s="242"/>
      <c r="Y265" s="242"/>
      <c r="Z265" s="242"/>
      <c r="AA265" s="242"/>
      <c r="AB265" s="242"/>
    </row>
    <row r="266">
      <c r="A266" s="242"/>
      <c r="B266" s="13"/>
      <c r="C266" s="242"/>
      <c r="D266" s="13"/>
      <c r="E266" s="13"/>
      <c r="F266" s="13"/>
      <c r="G266" s="13"/>
      <c r="H266" s="13"/>
      <c r="I266" s="242"/>
      <c r="J266" s="242"/>
      <c r="K266" s="242"/>
      <c r="L266" s="242"/>
      <c r="M266" s="242"/>
      <c r="N266" s="242"/>
      <c r="O266" s="242"/>
      <c r="P266" s="242"/>
      <c r="Q266" s="242"/>
      <c r="R266" s="242"/>
      <c r="S266" s="242"/>
      <c r="T266" s="242"/>
      <c r="U266" s="242"/>
      <c r="V266" s="242"/>
      <c r="W266" s="242"/>
      <c r="X266" s="242"/>
      <c r="Y266" s="242"/>
      <c r="Z266" s="242"/>
      <c r="AA266" s="242"/>
      <c r="AB266" s="242"/>
    </row>
    <row r="267">
      <c r="A267" s="242"/>
      <c r="B267" s="13"/>
      <c r="C267" s="242"/>
      <c r="D267" s="13"/>
      <c r="E267" s="13"/>
      <c r="F267" s="13"/>
      <c r="G267" s="13"/>
      <c r="H267" s="13"/>
      <c r="I267" s="242"/>
      <c r="J267" s="242"/>
      <c r="K267" s="242"/>
      <c r="L267" s="242"/>
      <c r="M267" s="242"/>
      <c r="N267" s="242"/>
      <c r="O267" s="242"/>
      <c r="P267" s="242"/>
      <c r="Q267" s="242"/>
      <c r="R267" s="242"/>
      <c r="S267" s="242"/>
      <c r="T267" s="242"/>
      <c r="U267" s="242"/>
      <c r="V267" s="242"/>
      <c r="W267" s="242"/>
      <c r="X267" s="242"/>
      <c r="Y267" s="242"/>
      <c r="Z267" s="242"/>
      <c r="AA267" s="242"/>
      <c r="AB267" s="242"/>
    </row>
    <row r="268">
      <c r="A268" s="242"/>
      <c r="B268" s="13"/>
      <c r="C268" s="242"/>
      <c r="D268" s="13"/>
      <c r="E268" s="13"/>
      <c r="F268" s="13"/>
      <c r="G268" s="13"/>
      <c r="H268" s="13"/>
      <c r="I268" s="242"/>
      <c r="J268" s="242"/>
      <c r="K268" s="242"/>
      <c r="L268" s="242"/>
      <c r="M268" s="242"/>
      <c r="N268" s="242"/>
      <c r="O268" s="242"/>
      <c r="P268" s="242"/>
      <c r="Q268" s="242"/>
      <c r="R268" s="242"/>
      <c r="S268" s="242"/>
      <c r="T268" s="242"/>
      <c r="U268" s="242"/>
      <c r="V268" s="242"/>
      <c r="W268" s="242"/>
      <c r="X268" s="242"/>
      <c r="Y268" s="242"/>
      <c r="Z268" s="242"/>
      <c r="AA268" s="242"/>
      <c r="AB268" s="242"/>
    </row>
    <row r="269">
      <c r="A269" s="242"/>
      <c r="B269" s="13"/>
      <c r="C269" s="242"/>
      <c r="D269" s="13"/>
      <c r="E269" s="13"/>
      <c r="F269" s="13"/>
      <c r="G269" s="13"/>
      <c r="H269" s="13"/>
      <c r="I269" s="242"/>
      <c r="J269" s="242"/>
      <c r="K269" s="242"/>
      <c r="L269" s="242"/>
      <c r="M269" s="242"/>
      <c r="N269" s="242"/>
      <c r="O269" s="242"/>
      <c r="P269" s="242"/>
      <c r="Q269" s="242"/>
      <c r="R269" s="242"/>
      <c r="S269" s="242"/>
      <c r="T269" s="242"/>
      <c r="U269" s="242"/>
      <c r="V269" s="242"/>
      <c r="W269" s="242"/>
      <c r="X269" s="242"/>
      <c r="Y269" s="242"/>
      <c r="Z269" s="242"/>
      <c r="AA269" s="242"/>
      <c r="AB269" s="242"/>
    </row>
    <row r="270">
      <c r="A270" s="242"/>
      <c r="B270" s="13"/>
      <c r="C270" s="242"/>
      <c r="D270" s="13"/>
      <c r="E270" s="13"/>
      <c r="F270" s="13"/>
      <c r="G270" s="13"/>
      <c r="H270" s="13"/>
      <c r="I270" s="242"/>
      <c r="J270" s="242"/>
      <c r="K270" s="242"/>
      <c r="L270" s="242"/>
      <c r="M270" s="242"/>
      <c r="N270" s="242"/>
      <c r="O270" s="242"/>
      <c r="P270" s="242"/>
      <c r="Q270" s="242"/>
      <c r="R270" s="242"/>
      <c r="S270" s="242"/>
      <c r="T270" s="242"/>
      <c r="U270" s="242"/>
      <c r="V270" s="242"/>
      <c r="W270" s="242"/>
      <c r="X270" s="242"/>
      <c r="Y270" s="242"/>
      <c r="Z270" s="242"/>
      <c r="AA270" s="242"/>
      <c r="AB270" s="242"/>
    </row>
    <row r="271">
      <c r="A271" s="242"/>
      <c r="B271" s="13"/>
      <c r="C271" s="242"/>
      <c r="D271" s="13"/>
      <c r="E271" s="13"/>
      <c r="F271" s="13"/>
      <c r="G271" s="13"/>
      <c r="H271" s="13"/>
      <c r="I271" s="242"/>
      <c r="J271" s="242"/>
      <c r="K271" s="242"/>
      <c r="L271" s="242"/>
      <c r="M271" s="242"/>
      <c r="N271" s="242"/>
      <c r="O271" s="242"/>
      <c r="P271" s="242"/>
      <c r="Q271" s="242"/>
      <c r="R271" s="242"/>
      <c r="S271" s="242"/>
      <c r="T271" s="242"/>
      <c r="U271" s="242"/>
      <c r="V271" s="242"/>
      <c r="W271" s="242"/>
      <c r="X271" s="242"/>
      <c r="Y271" s="242"/>
      <c r="Z271" s="242"/>
      <c r="AA271" s="242"/>
      <c r="AB271" s="242"/>
    </row>
    <row r="272">
      <c r="A272" s="242"/>
      <c r="B272" s="13"/>
      <c r="C272" s="242"/>
      <c r="D272" s="13"/>
      <c r="E272" s="13"/>
      <c r="F272" s="13"/>
      <c r="G272" s="13"/>
      <c r="H272" s="13"/>
      <c r="I272" s="242"/>
      <c r="J272" s="242"/>
      <c r="K272" s="242"/>
      <c r="L272" s="242"/>
      <c r="M272" s="242"/>
      <c r="N272" s="242"/>
      <c r="O272" s="242"/>
      <c r="P272" s="242"/>
      <c r="Q272" s="242"/>
      <c r="R272" s="242"/>
      <c r="S272" s="242"/>
      <c r="T272" s="242"/>
      <c r="U272" s="242"/>
      <c r="V272" s="242"/>
      <c r="W272" s="242"/>
      <c r="X272" s="242"/>
      <c r="Y272" s="242"/>
      <c r="Z272" s="242"/>
      <c r="AA272" s="242"/>
      <c r="AB272" s="242"/>
    </row>
    <row r="273">
      <c r="A273" s="242"/>
      <c r="B273" s="13"/>
      <c r="C273" s="242"/>
      <c r="D273" s="13"/>
      <c r="E273" s="13"/>
      <c r="F273" s="13"/>
      <c r="G273" s="13"/>
      <c r="H273" s="13"/>
      <c r="I273" s="242"/>
      <c r="J273" s="242"/>
      <c r="K273" s="242"/>
      <c r="L273" s="242"/>
      <c r="M273" s="242"/>
      <c r="N273" s="242"/>
      <c r="O273" s="242"/>
      <c r="P273" s="242"/>
      <c r="Q273" s="242"/>
      <c r="R273" s="242"/>
      <c r="S273" s="242"/>
      <c r="T273" s="242"/>
      <c r="U273" s="242"/>
      <c r="V273" s="242"/>
      <c r="W273" s="242"/>
      <c r="X273" s="242"/>
      <c r="Y273" s="242"/>
      <c r="Z273" s="242"/>
      <c r="AA273" s="242"/>
      <c r="AB273" s="242"/>
    </row>
    <row r="274">
      <c r="A274" s="242"/>
      <c r="B274" s="13"/>
      <c r="C274" s="242"/>
      <c r="D274" s="13"/>
      <c r="E274" s="13"/>
      <c r="F274" s="13"/>
      <c r="G274" s="13"/>
      <c r="H274" s="13"/>
      <c r="I274" s="242"/>
      <c r="J274" s="242"/>
      <c r="K274" s="242"/>
      <c r="L274" s="242"/>
      <c r="M274" s="242"/>
      <c r="N274" s="242"/>
      <c r="O274" s="242"/>
      <c r="P274" s="242"/>
      <c r="Q274" s="242"/>
      <c r="R274" s="242"/>
      <c r="S274" s="242"/>
      <c r="T274" s="242"/>
      <c r="U274" s="242"/>
      <c r="V274" s="242"/>
      <c r="W274" s="242"/>
      <c r="X274" s="242"/>
      <c r="Y274" s="242"/>
      <c r="Z274" s="242"/>
      <c r="AA274" s="242"/>
      <c r="AB274" s="242"/>
    </row>
    <row r="275">
      <c r="A275" s="242"/>
      <c r="B275" s="13"/>
      <c r="C275" s="242"/>
      <c r="D275" s="13"/>
      <c r="E275" s="13"/>
      <c r="F275" s="13"/>
      <c r="G275" s="13"/>
      <c r="H275" s="13"/>
      <c r="I275" s="242"/>
      <c r="J275" s="242"/>
      <c r="K275" s="242"/>
      <c r="L275" s="242"/>
      <c r="M275" s="242"/>
      <c r="N275" s="242"/>
      <c r="O275" s="242"/>
      <c r="P275" s="242"/>
      <c r="Q275" s="242"/>
      <c r="R275" s="242"/>
      <c r="S275" s="242"/>
      <c r="T275" s="242"/>
      <c r="U275" s="242"/>
      <c r="V275" s="242"/>
      <c r="W275" s="242"/>
      <c r="X275" s="242"/>
      <c r="Y275" s="242"/>
      <c r="Z275" s="242"/>
      <c r="AA275" s="242"/>
      <c r="AB275" s="242"/>
    </row>
    <row r="276">
      <c r="A276" s="242"/>
      <c r="B276" s="13"/>
      <c r="C276" s="242"/>
      <c r="D276" s="13"/>
      <c r="E276" s="13"/>
      <c r="F276" s="13"/>
      <c r="G276" s="13"/>
      <c r="H276" s="13"/>
      <c r="I276" s="242"/>
      <c r="J276" s="242"/>
      <c r="K276" s="242"/>
      <c r="L276" s="242"/>
      <c r="M276" s="242"/>
      <c r="N276" s="242"/>
      <c r="O276" s="242"/>
      <c r="P276" s="242"/>
      <c r="Q276" s="242"/>
      <c r="R276" s="242"/>
      <c r="S276" s="242"/>
      <c r="T276" s="242"/>
      <c r="U276" s="242"/>
      <c r="V276" s="242"/>
      <c r="W276" s="242"/>
      <c r="X276" s="242"/>
      <c r="Y276" s="242"/>
      <c r="Z276" s="242"/>
      <c r="AA276" s="242"/>
      <c r="AB276" s="242"/>
    </row>
    <row r="277">
      <c r="A277" s="242"/>
      <c r="B277" s="13"/>
      <c r="C277" s="242"/>
      <c r="D277" s="13"/>
      <c r="E277" s="13"/>
      <c r="F277" s="13"/>
      <c r="G277" s="13"/>
      <c r="H277" s="13"/>
      <c r="I277" s="242"/>
      <c r="J277" s="242"/>
      <c r="K277" s="242"/>
      <c r="L277" s="242"/>
      <c r="M277" s="242"/>
      <c r="N277" s="242"/>
      <c r="O277" s="242"/>
      <c r="P277" s="242"/>
      <c r="Q277" s="242"/>
      <c r="R277" s="242"/>
      <c r="S277" s="242"/>
      <c r="T277" s="242"/>
      <c r="U277" s="242"/>
      <c r="V277" s="242"/>
      <c r="W277" s="242"/>
      <c r="X277" s="242"/>
      <c r="Y277" s="242"/>
      <c r="Z277" s="242"/>
      <c r="AA277" s="242"/>
      <c r="AB277" s="242"/>
    </row>
    <row r="278">
      <c r="A278" s="242"/>
      <c r="B278" s="13"/>
      <c r="C278" s="242"/>
      <c r="D278" s="13"/>
      <c r="E278" s="13"/>
      <c r="F278" s="13"/>
      <c r="G278" s="13"/>
      <c r="H278" s="13"/>
      <c r="I278" s="242"/>
      <c r="J278" s="242"/>
      <c r="K278" s="242"/>
      <c r="L278" s="242"/>
      <c r="M278" s="242"/>
      <c r="N278" s="242"/>
      <c r="O278" s="242"/>
      <c r="P278" s="242"/>
      <c r="Q278" s="242"/>
      <c r="R278" s="242"/>
      <c r="S278" s="242"/>
      <c r="T278" s="242"/>
      <c r="U278" s="242"/>
      <c r="V278" s="242"/>
      <c r="W278" s="242"/>
      <c r="X278" s="242"/>
      <c r="Y278" s="242"/>
      <c r="Z278" s="242"/>
      <c r="AA278" s="242"/>
      <c r="AB278" s="242"/>
    </row>
    <row r="279">
      <c r="A279" s="242"/>
      <c r="B279" s="13"/>
      <c r="C279" s="242"/>
      <c r="D279" s="13"/>
      <c r="E279" s="13"/>
      <c r="F279" s="13"/>
      <c r="G279" s="13"/>
      <c r="H279" s="13"/>
      <c r="I279" s="242"/>
      <c r="J279" s="242"/>
      <c r="K279" s="242"/>
      <c r="L279" s="242"/>
      <c r="M279" s="242"/>
      <c r="N279" s="242"/>
      <c r="O279" s="242"/>
      <c r="P279" s="242"/>
      <c r="Q279" s="242"/>
      <c r="R279" s="242"/>
      <c r="S279" s="242"/>
      <c r="T279" s="242"/>
      <c r="U279" s="242"/>
      <c r="V279" s="242"/>
      <c r="W279" s="242"/>
      <c r="X279" s="242"/>
      <c r="Y279" s="242"/>
      <c r="Z279" s="242"/>
      <c r="AA279" s="242"/>
      <c r="AB279" s="242"/>
    </row>
    <row r="280">
      <c r="A280" s="242"/>
      <c r="B280" s="13"/>
      <c r="C280" s="242"/>
      <c r="D280" s="13"/>
      <c r="E280" s="13"/>
      <c r="F280" s="13"/>
      <c r="G280" s="13"/>
      <c r="H280" s="13"/>
      <c r="I280" s="242"/>
      <c r="J280" s="242"/>
      <c r="K280" s="242"/>
      <c r="L280" s="242"/>
      <c r="M280" s="242"/>
      <c r="N280" s="242"/>
      <c r="O280" s="242"/>
      <c r="P280" s="242"/>
      <c r="Q280" s="242"/>
      <c r="R280" s="242"/>
      <c r="S280" s="242"/>
      <c r="T280" s="242"/>
      <c r="U280" s="242"/>
      <c r="V280" s="242"/>
      <c r="W280" s="242"/>
      <c r="X280" s="242"/>
      <c r="Y280" s="242"/>
      <c r="Z280" s="242"/>
      <c r="AA280" s="242"/>
      <c r="AB280" s="242"/>
    </row>
    <row r="281">
      <c r="A281" s="242"/>
      <c r="B281" s="13"/>
      <c r="C281" s="242"/>
      <c r="D281" s="13"/>
      <c r="E281" s="13"/>
      <c r="F281" s="13"/>
      <c r="G281" s="13"/>
      <c r="H281" s="13"/>
      <c r="I281" s="242"/>
      <c r="J281" s="242"/>
      <c r="K281" s="242"/>
      <c r="L281" s="242"/>
      <c r="M281" s="242"/>
      <c r="N281" s="242"/>
      <c r="O281" s="242"/>
      <c r="P281" s="242"/>
      <c r="Q281" s="242"/>
      <c r="R281" s="242"/>
      <c r="S281" s="242"/>
      <c r="T281" s="242"/>
      <c r="U281" s="242"/>
      <c r="V281" s="242"/>
      <c r="W281" s="242"/>
      <c r="X281" s="242"/>
      <c r="Y281" s="242"/>
      <c r="Z281" s="242"/>
      <c r="AA281" s="242"/>
      <c r="AB281" s="242"/>
    </row>
    <row r="282">
      <c r="A282" s="242"/>
      <c r="B282" s="13"/>
      <c r="C282" s="242"/>
      <c r="D282" s="13"/>
      <c r="E282" s="13"/>
      <c r="F282" s="13"/>
      <c r="G282" s="13"/>
      <c r="H282" s="13"/>
      <c r="I282" s="242"/>
      <c r="J282" s="242"/>
      <c r="K282" s="242"/>
      <c r="L282" s="242"/>
      <c r="M282" s="242"/>
      <c r="N282" s="242"/>
      <c r="O282" s="242"/>
      <c r="P282" s="242"/>
      <c r="Q282" s="242"/>
      <c r="R282" s="242"/>
      <c r="S282" s="242"/>
      <c r="T282" s="242"/>
      <c r="U282" s="242"/>
      <c r="V282" s="242"/>
      <c r="W282" s="242"/>
      <c r="X282" s="242"/>
      <c r="Y282" s="242"/>
      <c r="Z282" s="242"/>
      <c r="AA282" s="242"/>
      <c r="AB282" s="242"/>
    </row>
    <row r="283">
      <c r="A283" s="242"/>
      <c r="B283" s="13"/>
      <c r="C283" s="242"/>
      <c r="D283" s="13"/>
      <c r="E283" s="13"/>
      <c r="F283" s="13"/>
      <c r="G283" s="13"/>
      <c r="H283" s="13"/>
      <c r="I283" s="242"/>
      <c r="J283" s="242"/>
      <c r="K283" s="242"/>
      <c r="L283" s="242"/>
      <c r="M283" s="242"/>
      <c r="N283" s="242"/>
      <c r="O283" s="242"/>
      <c r="P283" s="242"/>
      <c r="Q283" s="242"/>
      <c r="R283" s="242"/>
      <c r="S283" s="242"/>
      <c r="T283" s="242"/>
      <c r="U283" s="242"/>
      <c r="V283" s="242"/>
      <c r="W283" s="242"/>
      <c r="X283" s="242"/>
      <c r="Y283" s="242"/>
      <c r="Z283" s="242"/>
      <c r="AA283" s="242"/>
      <c r="AB283" s="242"/>
    </row>
    <row r="284">
      <c r="A284" s="242"/>
      <c r="B284" s="13"/>
      <c r="C284" s="242"/>
      <c r="D284" s="13"/>
      <c r="E284" s="13"/>
      <c r="F284" s="13"/>
      <c r="G284" s="13"/>
      <c r="H284" s="13"/>
      <c r="I284" s="242"/>
      <c r="J284" s="242"/>
      <c r="K284" s="242"/>
      <c r="L284" s="242"/>
      <c r="M284" s="242"/>
      <c r="N284" s="242"/>
      <c r="O284" s="242"/>
      <c r="P284" s="242"/>
      <c r="Q284" s="242"/>
      <c r="R284" s="242"/>
      <c r="S284" s="242"/>
      <c r="T284" s="242"/>
      <c r="U284" s="242"/>
      <c r="V284" s="242"/>
      <c r="W284" s="242"/>
      <c r="X284" s="242"/>
      <c r="Y284" s="242"/>
      <c r="Z284" s="242"/>
      <c r="AA284" s="242"/>
      <c r="AB284" s="242"/>
    </row>
    <row r="285">
      <c r="A285" s="242"/>
      <c r="B285" s="13"/>
      <c r="C285" s="242"/>
      <c r="D285" s="13"/>
      <c r="E285" s="13"/>
      <c r="F285" s="13"/>
      <c r="G285" s="13"/>
      <c r="H285" s="13"/>
      <c r="I285" s="242"/>
      <c r="J285" s="242"/>
      <c r="K285" s="242"/>
      <c r="L285" s="242"/>
      <c r="M285" s="242"/>
      <c r="N285" s="242"/>
      <c r="O285" s="242"/>
      <c r="P285" s="242"/>
      <c r="Q285" s="242"/>
      <c r="R285" s="242"/>
      <c r="S285" s="242"/>
      <c r="T285" s="242"/>
      <c r="U285" s="242"/>
      <c r="V285" s="242"/>
      <c r="W285" s="242"/>
      <c r="X285" s="242"/>
      <c r="Y285" s="242"/>
      <c r="Z285" s="242"/>
      <c r="AA285" s="242"/>
      <c r="AB285" s="242"/>
    </row>
    <row r="286">
      <c r="A286" s="242"/>
      <c r="B286" s="13"/>
      <c r="C286" s="242"/>
      <c r="D286" s="13"/>
      <c r="E286" s="13"/>
      <c r="F286" s="13"/>
      <c r="G286" s="13"/>
      <c r="H286" s="13"/>
      <c r="I286" s="242"/>
      <c r="J286" s="242"/>
      <c r="K286" s="242"/>
      <c r="L286" s="242"/>
      <c r="M286" s="242"/>
      <c r="N286" s="242"/>
      <c r="O286" s="242"/>
      <c r="P286" s="242"/>
      <c r="Q286" s="242"/>
      <c r="R286" s="242"/>
      <c r="S286" s="242"/>
      <c r="T286" s="242"/>
      <c r="U286" s="242"/>
      <c r="V286" s="242"/>
      <c r="W286" s="242"/>
      <c r="X286" s="242"/>
      <c r="Y286" s="242"/>
      <c r="Z286" s="242"/>
      <c r="AA286" s="242"/>
      <c r="AB286" s="242"/>
    </row>
    <row r="287">
      <c r="A287" s="242"/>
      <c r="B287" s="13"/>
      <c r="C287" s="242"/>
      <c r="D287" s="13"/>
      <c r="E287" s="13"/>
      <c r="F287" s="13"/>
      <c r="G287" s="13"/>
      <c r="H287" s="13"/>
      <c r="I287" s="242"/>
      <c r="J287" s="242"/>
      <c r="K287" s="242"/>
      <c r="L287" s="242"/>
      <c r="M287" s="242"/>
      <c r="N287" s="242"/>
      <c r="O287" s="242"/>
      <c r="P287" s="242"/>
      <c r="Q287" s="242"/>
      <c r="R287" s="242"/>
      <c r="S287" s="242"/>
      <c r="T287" s="242"/>
      <c r="U287" s="242"/>
      <c r="V287" s="242"/>
      <c r="W287" s="242"/>
      <c r="X287" s="242"/>
      <c r="Y287" s="242"/>
      <c r="Z287" s="242"/>
      <c r="AA287" s="242"/>
      <c r="AB287" s="242"/>
    </row>
    <row r="288">
      <c r="A288" s="242"/>
      <c r="B288" s="13"/>
      <c r="C288" s="242"/>
      <c r="D288" s="13"/>
      <c r="E288" s="13"/>
      <c r="F288" s="13"/>
      <c r="G288" s="13"/>
      <c r="H288" s="13"/>
      <c r="I288" s="242"/>
      <c r="J288" s="242"/>
      <c r="K288" s="242"/>
      <c r="L288" s="242"/>
      <c r="M288" s="242"/>
      <c r="N288" s="242"/>
      <c r="O288" s="242"/>
      <c r="P288" s="242"/>
      <c r="Q288" s="242"/>
      <c r="R288" s="242"/>
      <c r="S288" s="242"/>
      <c r="T288" s="242"/>
      <c r="U288" s="242"/>
      <c r="V288" s="242"/>
      <c r="W288" s="242"/>
      <c r="X288" s="242"/>
      <c r="Y288" s="242"/>
      <c r="Z288" s="242"/>
      <c r="AA288" s="242"/>
      <c r="AB288" s="242"/>
    </row>
    <row r="289">
      <c r="A289" s="242"/>
      <c r="B289" s="13"/>
      <c r="C289" s="242"/>
      <c r="D289" s="13"/>
      <c r="E289" s="13"/>
      <c r="F289" s="13"/>
      <c r="G289" s="13"/>
      <c r="H289" s="13"/>
      <c r="I289" s="242"/>
      <c r="J289" s="242"/>
      <c r="K289" s="242"/>
      <c r="L289" s="242"/>
      <c r="M289" s="242"/>
      <c r="N289" s="242"/>
      <c r="O289" s="242"/>
      <c r="P289" s="242"/>
      <c r="Q289" s="242"/>
      <c r="R289" s="242"/>
      <c r="S289" s="242"/>
      <c r="T289" s="242"/>
      <c r="U289" s="242"/>
      <c r="V289" s="242"/>
      <c r="W289" s="242"/>
      <c r="X289" s="242"/>
      <c r="Y289" s="242"/>
      <c r="Z289" s="242"/>
      <c r="AA289" s="242"/>
      <c r="AB289" s="242"/>
    </row>
    <row r="290">
      <c r="A290" s="242"/>
      <c r="B290" s="13"/>
      <c r="C290" s="242"/>
      <c r="D290" s="13"/>
      <c r="E290" s="13"/>
      <c r="F290" s="13"/>
      <c r="G290" s="13"/>
      <c r="H290" s="13"/>
      <c r="I290" s="242"/>
      <c r="J290" s="242"/>
      <c r="K290" s="242"/>
      <c r="L290" s="242"/>
      <c r="M290" s="242"/>
      <c r="N290" s="242"/>
      <c r="O290" s="242"/>
      <c r="P290" s="242"/>
      <c r="Q290" s="242"/>
      <c r="R290" s="242"/>
      <c r="S290" s="242"/>
      <c r="T290" s="242"/>
      <c r="U290" s="242"/>
      <c r="V290" s="242"/>
      <c r="W290" s="242"/>
      <c r="X290" s="242"/>
      <c r="Y290" s="242"/>
      <c r="Z290" s="242"/>
      <c r="AA290" s="242"/>
      <c r="AB290" s="242"/>
    </row>
    <row r="291">
      <c r="A291" s="242"/>
      <c r="B291" s="13"/>
      <c r="C291" s="242"/>
      <c r="D291" s="13"/>
      <c r="E291" s="13"/>
      <c r="F291" s="13"/>
      <c r="G291" s="13"/>
      <c r="H291" s="13"/>
      <c r="I291" s="242"/>
      <c r="J291" s="242"/>
      <c r="K291" s="242"/>
      <c r="L291" s="242"/>
      <c r="M291" s="242"/>
      <c r="N291" s="242"/>
      <c r="O291" s="242"/>
      <c r="P291" s="242"/>
      <c r="Q291" s="242"/>
      <c r="R291" s="242"/>
      <c r="S291" s="242"/>
      <c r="T291" s="242"/>
      <c r="U291" s="242"/>
      <c r="V291" s="242"/>
      <c r="W291" s="242"/>
      <c r="X291" s="242"/>
      <c r="Y291" s="242"/>
      <c r="Z291" s="242"/>
      <c r="AA291" s="242"/>
      <c r="AB291" s="242"/>
    </row>
    <row r="292">
      <c r="A292" s="242"/>
      <c r="B292" s="13"/>
      <c r="C292" s="242"/>
      <c r="D292" s="13"/>
      <c r="E292" s="13"/>
      <c r="F292" s="13"/>
      <c r="G292" s="13"/>
      <c r="H292" s="13"/>
      <c r="I292" s="242"/>
      <c r="J292" s="242"/>
      <c r="K292" s="242"/>
      <c r="L292" s="242"/>
      <c r="M292" s="242"/>
      <c r="N292" s="242"/>
      <c r="O292" s="242"/>
      <c r="P292" s="242"/>
      <c r="Q292" s="242"/>
      <c r="R292" s="242"/>
      <c r="S292" s="242"/>
      <c r="T292" s="242"/>
      <c r="U292" s="242"/>
      <c r="V292" s="242"/>
      <c r="W292" s="242"/>
      <c r="X292" s="242"/>
      <c r="Y292" s="242"/>
      <c r="Z292" s="242"/>
      <c r="AA292" s="242"/>
      <c r="AB292" s="242"/>
    </row>
    <row r="293">
      <c r="A293" s="242"/>
      <c r="B293" s="13"/>
      <c r="C293" s="242"/>
      <c r="D293" s="13"/>
      <c r="E293" s="13"/>
      <c r="F293" s="13"/>
      <c r="G293" s="13"/>
      <c r="H293" s="13"/>
      <c r="I293" s="242"/>
      <c r="J293" s="242"/>
      <c r="K293" s="242"/>
      <c r="L293" s="242"/>
      <c r="M293" s="242"/>
      <c r="N293" s="242"/>
      <c r="O293" s="242"/>
      <c r="P293" s="242"/>
      <c r="Q293" s="242"/>
      <c r="R293" s="242"/>
      <c r="S293" s="242"/>
      <c r="T293" s="242"/>
      <c r="U293" s="242"/>
      <c r="V293" s="242"/>
      <c r="W293" s="242"/>
      <c r="X293" s="242"/>
      <c r="Y293" s="242"/>
      <c r="Z293" s="242"/>
      <c r="AA293" s="242"/>
      <c r="AB293" s="242"/>
    </row>
    <row r="294">
      <c r="A294" s="242"/>
      <c r="B294" s="13"/>
      <c r="C294" s="242"/>
      <c r="D294" s="13"/>
      <c r="E294" s="13"/>
      <c r="F294" s="13"/>
      <c r="G294" s="13"/>
      <c r="H294" s="13"/>
      <c r="I294" s="242"/>
      <c r="J294" s="242"/>
      <c r="K294" s="242"/>
      <c r="L294" s="242"/>
      <c r="M294" s="242"/>
      <c r="N294" s="242"/>
      <c r="O294" s="242"/>
      <c r="P294" s="242"/>
      <c r="Q294" s="242"/>
      <c r="R294" s="242"/>
      <c r="S294" s="242"/>
      <c r="T294" s="242"/>
      <c r="U294" s="242"/>
      <c r="V294" s="242"/>
      <c r="W294" s="242"/>
      <c r="X294" s="242"/>
      <c r="Y294" s="242"/>
      <c r="Z294" s="242"/>
      <c r="AA294" s="242"/>
      <c r="AB294" s="242"/>
    </row>
    <row r="295">
      <c r="A295" s="242"/>
      <c r="B295" s="13"/>
      <c r="C295" s="242"/>
      <c r="D295" s="13"/>
      <c r="E295" s="13"/>
      <c r="F295" s="13"/>
      <c r="G295" s="13"/>
      <c r="H295" s="13"/>
      <c r="I295" s="242"/>
      <c r="J295" s="242"/>
      <c r="K295" s="242"/>
      <c r="L295" s="242"/>
      <c r="M295" s="242"/>
      <c r="N295" s="242"/>
      <c r="O295" s="242"/>
      <c r="P295" s="242"/>
      <c r="Q295" s="242"/>
      <c r="R295" s="242"/>
      <c r="S295" s="242"/>
      <c r="T295" s="242"/>
      <c r="U295" s="242"/>
      <c r="V295" s="242"/>
      <c r="W295" s="242"/>
      <c r="X295" s="242"/>
      <c r="Y295" s="242"/>
      <c r="Z295" s="242"/>
      <c r="AA295" s="242"/>
      <c r="AB295" s="242"/>
    </row>
    <row r="296">
      <c r="A296" s="242"/>
      <c r="B296" s="13"/>
      <c r="C296" s="242"/>
      <c r="D296" s="13"/>
      <c r="E296" s="13"/>
      <c r="F296" s="13"/>
      <c r="G296" s="13"/>
      <c r="H296" s="13"/>
      <c r="I296" s="242"/>
      <c r="J296" s="242"/>
      <c r="K296" s="242"/>
      <c r="L296" s="242"/>
      <c r="M296" s="242"/>
      <c r="N296" s="242"/>
      <c r="O296" s="242"/>
      <c r="P296" s="242"/>
      <c r="Q296" s="242"/>
      <c r="R296" s="242"/>
      <c r="S296" s="242"/>
      <c r="T296" s="242"/>
      <c r="U296" s="242"/>
      <c r="V296" s="242"/>
      <c r="W296" s="242"/>
      <c r="X296" s="242"/>
      <c r="Y296" s="242"/>
      <c r="Z296" s="242"/>
      <c r="AA296" s="242"/>
      <c r="AB296" s="242"/>
    </row>
    <row r="297">
      <c r="A297" s="242"/>
      <c r="B297" s="13"/>
      <c r="C297" s="242"/>
      <c r="D297" s="13"/>
      <c r="E297" s="13"/>
      <c r="F297" s="13"/>
      <c r="G297" s="13"/>
      <c r="H297" s="13"/>
      <c r="I297" s="242"/>
      <c r="J297" s="242"/>
      <c r="K297" s="242"/>
      <c r="L297" s="242"/>
      <c r="M297" s="242"/>
      <c r="N297" s="242"/>
      <c r="O297" s="242"/>
      <c r="P297" s="242"/>
      <c r="Q297" s="242"/>
      <c r="R297" s="242"/>
      <c r="S297" s="242"/>
      <c r="T297" s="242"/>
      <c r="U297" s="242"/>
      <c r="V297" s="242"/>
      <c r="W297" s="242"/>
      <c r="X297" s="242"/>
      <c r="Y297" s="242"/>
      <c r="Z297" s="242"/>
      <c r="AA297" s="242"/>
      <c r="AB297" s="242"/>
    </row>
    <row r="298">
      <c r="A298" s="242"/>
      <c r="B298" s="13"/>
      <c r="C298" s="242"/>
      <c r="D298" s="13"/>
      <c r="E298" s="13"/>
      <c r="F298" s="13"/>
      <c r="G298" s="13"/>
      <c r="H298" s="13"/>
      <c r="I298" s="242"/>
      <c r="J298" s="242"/>
      <c r="K298" s="242"/>
      <c r="L298" s="242"/>
      <c r="M298" s="242"/>
      <c r="N298" s="242"/>
      <c r="O298" s="242"/>
      <c r="P298" s="242"/>
      <c r="Q298" s="242"/>
      <c r="R298" s="242"/>
      <c r="S298" s="242"/>
      <c r="T298" s="242"/>
      <c r="U298" s="242"/>
      <c r="V298" s="242"/>
      <c r="W298" s="242"/>
      <c r="X298" s="242"/>
      <c r="Y298" s="242"/>
      <c r="Z298" s="242"/>
      <c r="AA298" s="242"/>
      <c r="AB298" s="242"/>
    </row>
    <row r="299">
      <c r="A299" s="242"/>
      <c r="B299" s="13"/>
      <c r="C299" s="242"/>
      <c r="D299" s="13"/>
      <c r="E299" s="13"/>
      <c r="F299" s="13"/>
      <c r="G299" s="13"/>
      <c r="H299" s="13"/>
      <c r="I299" s="242"/>
      <c r="J299" s="242"/>
      <c r="K299" s="242"/>
      <c r="L299" s="242"/>
      <c r="M299" s="242"/>
      <c r="N299" s="242"/>
      <c r="O299" s="242"/>
      <c r="P299" s="242"/>
      <c r="Q299" s="242"/>
      <c r="R299" s="242"/>
      <c r="S299" s="242"/>
      <c r="T299" s="242"/>
      <c r="U299" s="242"/>
      <c r="V299" s="242"/>
      <c r="W299" s="242"/>
      <c r="X299" s="242"/>
      <c r="Y299" s="242"/>
      <c r="Z299" s="242"/>
      <c r="AA299" s="242"/>
      <c r="AB299" s="242"/>
    </row>
    <row r="300">
      <c r="A300" s="242"/>
      <c r="B300" s="13"/>
      <c r="C300" s="242"/>
      <c r="D300" s="13"/>
      <c r="E300" s="13"/>
      <c r="F300" s="13"/>
      <c r="G300" s="13"/>
      <c r="H300" s="13"/>
      <c r="I300" s="242"/>
      <c r="J300" s="242"/>
      <c r="K300" s="242"/>
      <c r="L300" s="242"/>
      <c r="M300" s="242"/>
      <c r="N300" s="242"/>
      <c r="O300" s="242"/>
      <c r="P300" s="242"/>
      <c r="Q300" s="242"/>
      <c r="R300" s="242"/>
      <c r="S300" s="242"/>
      <c r="T300" s="242"/>
      <c r="U300" s="242"/>
      <c r="V300" s="242"/>
      <c r="W300" s="242"/>
      <c r="X300" s="242"/>
      <c r="Y300" s="242"/>
      <c r="Z300" s="242"/>
      <c r="AA300" s="242"/>
      <c r="AB300" s="242"/>
    </row>
    <row r="301">
      <c r="A301" s="242"/>
      <c r="B301" s="13"/>
      <c r="C301" s="242"/>
      <c r="D301" s="13"/>
      <c r="E301" s="13"/>
      <c r="F301" s="13"/>
      <c r="G301" s="13"/>
      <c r="H301" s="13"/>
      <c r="I301" s="242"/>
      <c r="J301" s="242"/>
      <c r="K301" s="242"/>
      <c r="L301" s="242"/>
      <c r="M301" s="242"/>
      <c r="N301" s="242"/>
      <c r="O301" s="242"/>
      <c r="P301" s="242"/>
      <c r="Q301" s="242"/>
      <c r="R301" s="242"/>
      <c r="S301" s="242"/>
      <c r="T301" s="242"/>
      <c r="U301" s="242"/>
      <c r="V301" s="242"/>
      <c r="W301" s="242"/>
      <c r="X301" s="242"/>
      <c r="Y301" s="242"/>
      <c r="Z301" s="242"/>
      <c r="AA301" s="242"/>
      <c r="AB301" s="242"/>
    </row>
    <row r="302">
      <c r="A302" s="242"/>
      <c r="B302" s="13"/>
      <c r="C302" s="242"/>
      <c r="D302" s="13"/>
      <c r="E302" s="13"/>
      <c r="F302" s="13"/>
      <c r="G302" s="13"/>
      <c r="H302" s="13"/>
      <c r="I302" s="242"/>
      <c r="J302" s="242"/>
      <c r="K302" s="242"/>
      <c r="L302" s="242"/>
      <c r="M302" s="242"/>
      <c r="N302" s="242"/>
      <c r="O302" s="242"/>
      <c r="P302" s="242"/>
      <c r="Q302" s="242"/>
      <c r="R302" s="242"/>
      <c r="S302" s="242"/>
      <c r="T302" s="242"/>
      <c r="U302" s="242"/>
      <c r="V302" s="242"/>
      <c r="W302" s="242"/>
      <c r="X302" s="242"/>
      <c r="Y302" s="242"/>
      <c r="Z302" s="242"/>
      <c r="AA302" s="242"/>
      <c r="AB302" s="242"/>
    </row>
    <row r="303">
      <c r="A303" s="242"/>
      <c r="B303" s="13"/>
      <c r="C303" s="242"/>
      <c r="D303" s="13"/>
      <c r="E303" s="13"/>
      <c r="F303" s="13"/>
      <c r="G303" s="13"/>
      <c r="H303" s="13"/>
      <c r="I303" s="242"/>
      <c r="J303" s="242"/>
      <c r="K303" s="242"/>
      <c r="L303" s="242"/>
      <c r="M303" s="242"/>
      <c r="N303" s="242"/>
      <c r="O303" s="242"/>
      <c r="P303" s="242"/>
      <c r="Q303" s="242"/>
      <c r="R303" s="242"/>
      <c r="S303" s="242"/>
      <c r="T303" s="242"/>
      <c r="U303" s="242"/>
      <c r="V303" s="242"/>
      <c r="W303" s="242"/>
      <c r="X303" s="242"/>
      <c r="Y303" s="242"/>
      <c r="Z303" s="242"/>
      <c r="AA303" s="242"/>
      <c r="AB303" s="242"/>
    </row>
    <row r="304">
      <c r="A304" s="242"/>
      <c r="B304" s="13"/>
      <c r="C304" s="242"/>
      <c r="D304" s="13"/>
      <c r="E304" s="13"/>
      <c r="F304" s="13"/>
      <c r="G304" s="13"/>
      <c r="H304" s="13"/>
      <c r="I304" s="242"/>
      <c r="J304" s="242"/>
      <c r="K304" s="242"/>
      <c r="L304" s="242"/>
      <c r="M304" s="242"/>
      <c r="N304" s="242"/>
      <c r="O304" s="242"/>
      <c r="P304" s="242"/>
      <c r="Q304" s="242"/>
      <c r="R304" s="242"/>
      <c r="S304" s="242"/>
      <c r="T304" s="242"/>
      <c r="U304" s="242"/>
      <c r="V304" s="242"/>
      <c r="W304" s="242"/>
      <c r="X304" s="242"/>
      <c r="Y304" s="242"/>
      <c r="Z304" s="242"/>
      <c r="AA304" s="242"/>
      <c r="AB304" s="242"/>
    </row>
    <row r="305">
      <c r="A305" s="242"/>
      <c r="B305" s="13"/>
      <c r="C305" s="242"/>
      <c r="D305" s="13"/>
      <c r="E305" s="13"/>
      <c r="F305" s="13"/>
      <c r="G305" s="13"/>
      <c r="H305" s="13"/>
      <c r="I305" s="242"/>
      <c r="J305" s="242"/>
      <c r="K305" s="242"/>
      <c r="L305" s="242"/>
      <c r="M305" s="242"/>
      <c r="N305" s="242"/>
      <c r="O305" s="242"/>
      <c r="P305" s="242"/>
      <c r="Q305" s="242"/>
      <c r="R305" s="242"/>
      <c r="S305" s="242"/>
      <c r="T305" s="242"/>
      <c r="U305" s="242"/>
      <c r="V305" s="242"/>
      <c r="W305" s="242"/>
      <c r="X305" s="242"/>
      <c r="Y305" s="242"/>
      <c r="Z305" s="242"/>
      <c r="AA305" s="242"/>
      <c r="AB305" s="242"/>
    </row>
    <row r="306">
      <c r="A306" s="242"/>
      <c r="B306" s="13"/>
      <c r="C306" s="242"/>
      <c r="D306" s="13"/>
      <c r="E306" s="13"/>
      <c r="F306" s="13"/>
      <c r="G306" s="13"/>
      <c r="H306" s="13"/>
      <c r="I306" s="242"/>
      <c r="J306" s="242"/>
      <c r="K306" s="242"/>
      <c r="L306" s="242"/>
      <c r="M306" s="242"/>
      <c r="N306" s="242"/>
      <c r="O306" s="242"/>
      <c r="P306" s="242"/>
      <c r="Q306" s="242"/>
      <c r="R306" s="242"/>
      <c r="S306" s="242"/>
      <c r="T306" s="242"/>
      <c r="U306" s="242"/>
      <c r="V306" s="242"/>
      <c r="W306" s="242"/>
      <c r="X306" s="242"/>
      <c r="Y306" s="242"/>
      <c r="Z306" s="242"/>
      <c r="AA306" s="242"/>
      <c r="AB306" s="242"/>
    </row>
    <row r="307">
      <c r="A307" s="242"/>
      <c r="B307" s="13"/>
      <c r="C307" s="242"/>
      <c r="D307" s="13"/>
      <c r="E307" s="13"/>
      <c r="F307" s="13"/>
      <c r="G307" s="13"/>
      <c r="H307" s="13"/>
      <c r="I307" s="242"/>
      <c r="J307" s="242"/>
      <c r="K307" s="242"/>
      <c r="L307" s="242"/>
      <c r="M307" s="242"/>
      <c r="N307" s="242"/>
      <c r="O307" s="242"/>
      <c r="P307" s="242"/>
      <c r="Q307" s="242"/>
      <c r="R307" s="242"/>
      <c r="S307" s="242"/>
      <c r="T307" s="242"/>
      <c r="U307" s="242"/>
      <c r="V307" s="242"/>
      <c r="W307" s="242"/>
      <c r="X307" s="242"/>
      <c r="Y307" s="242"/>
      <c r="Z307" s="242"/>
      <c r="AA307" s="242"/>
      <c r="AB307" s="242"/>
    </row>
    <row r="308">
      <c r="A308" s="242"/>
      <c r="B308" s="13"/>
      <c r="C308" s="242"/>
      <c r="D308" s="13"/>
      <c r="E308" s="13"/>
      <c r="F308" s="13"/>
      <c r="G308" s="13"/>
      <c r="H308" s="13"/>
      <c r="I308" s="242"/>
      <c r="J308" s="242"/>
      <c r="K308" s="242"/>
      <c r="L308" s="242"/>
      <c r="M308" s="242"/>
      <c r="N308" s="242"/>
      <c r="O308" s="242"/>
      <c r="P308" s="242"/>
      <c r="Q308" s="242"/>
      <c r="R308" s="242"/>
      <c r="S308" s="242"/>
      <c r="T308" s="242"/>
      <c r="U308" s="242"/>
      <c r="V308" s="242"/>
      <c r="W308" s="242"/>
      <c r="X308" s="242"/>
      <c r="Y308" s="242"/>
      <c r="Z308" s="242"/>
      <c r="AA308" s="242"/>
      <c r="AB308" s="242"/>
    </row>
    <row r="309">
      <c r="A309" s="242"/>
      <c r="B309" s="13"/>
      <c r="C309" s="242"/>
      <c r="D309" s="13"/>
      <c r="E309" s="13"/>
      <c r="F309" s="13"/>
      <c r="G309" s="13"/>
      <c r="H309" s="13"/>
      <c r="I309" s="242"/>
      <c r="J309" s="242"/>
      <c r="K309" s="242"/>
      <c r="L309" s="242"/>
      <c r="M309" s="242"/>
      <c r="N309" s="242"/>
      <c r="O309" s="242"/>
      <c r="P309" s="242"/>
      <c r="Q309" s="242"/>
      <c r="R309" s="242"/>
      <c r="S309" s="242"/>
      <c r="T309" s="242"/>
      <c r="U309" s="242"/>
      <c r="V309" s="242"/>
      <c r="W309" s="242"/>
      <c r="X309" s="242"/>
      <c r="Y309" s="242"/>
      <c r="Z309" s="242"/>
      <c r="AA309" s="242"/>
      <c r="AB309" s="242"/>
    </row>
    <row r="310">
      <c r="A310" s="242"/>
      <c r="B310" s="13"/>
      <c r="C310" s="242"/>
      <c r="D310" s="13"/>
      <c r="E310" s="13"/>
      <c r="F310" s="13"/>
      <c r="G310" s="13"/>
      <c r="H310" s="13"/>
      <c r="I310" s="242"/>
      <c r="J310" s="242"/>
      <c r="K310" s="242"/>
      <c r="L310" s="242"/>
      <c r="M310" s="242"/>
      <c r="N310" s="242"/>
      <c r="O310" s="242"/>
      <c r="P310" s="242"/>
      <c r="Q310" s="242"/>
      <c r="R310" s="242"/>
      <c r="S310" s="242"/>
      <c r="T310" s="242"/>
      <c r="U310" s="242"/>
      <c r="V310" s="242"/>
      <c r="W310" s="242"/>
      <c r="X310" s="242"/>
      <c r="Y310" s="242"/>
      <c r="Z310" s="242"/>
      <c r="AA310" s="242"/>
      <c r="AB310" s="242"/>
    </row>
    <row r="311">
      <c r="A311" s="242"/>
      <c r="B311" s="13"/>
      <c r="C311" s="242"/>
      <c r="D311" s="13"/>
      <c r="E311" s="13"/>
      <c r="F311" s="13"/>
      <c r="G311" s="13"/>
      <c r="H311" s="13"/>
      <c r="I311" s="242"/>
      <c r="J311" s="242"/>
      <c r="K311" s="242"/>
      <c r="L311" s="242"/>
      <c r="M311" s="242"/>
      <c r="N311" s="242"/>
      <c r="O311" s="242"/>
      <c r="P311" s="242"/>
      <c r="Q311" s="242"/>
      <c r="R311" s="242"/>
      <c r="S311" s="242"/>
      <c r="T311" s="242"/>
      <c r="U311" s="242"/>
      <c r="V311" s="242"/>
      <c r="W311" s="242"/>
      <c r="X311" s="242"/>
      <c r="Y311" s="242"/>
      <c r="Z311" s="242"/>
      <c r="AA311" s="242"/>
      <c r="AB311" s="242"/>
    </row>
    <row r="312">
      <c r="A312" s="242"/>
      <c r="B312" s="13"/>
      <c r="C312" s="242"/>
      <c r="D312" s="13"/>
      <c r="E312" s="13"/>
      <c r="F312" s="13"/>
      <c r="G312" s="13"/>
      <c r="H312" s="13"/>
      <c r="I312" s="242"/>
      <c r="J312" s="242"/>
      <c r="K312" s="242"/>
      <c r="L312" s="242"/>
      <c r="M312" s="242"/>
      <c r="N312" s="242"/>
      <c r="O312" s="242"/>
      <c r="P312" s="242"/>
      <c r="Q312" s="242"/>
      <c r="R312" s="242"/>
      <c r="S312" s="242"/>
      <c r="T312" s="242"/>
      <c r="U312" s="242"/>
      <c r="V312" s="242"/>
      <c r="W312" s="242"/>
      <c r="X312" s="242"/>
      <c r="Y312" s="242"/>
      <c r="Z312" s="242"/>
      <c r="AA312" s="242"/>
      <c r="AB312" s="242"/>
    </row>
    <row r="313">
      <c r="A313" s="242"/>
      <c r="B313" s="13"/>
      <c r="C313" s="242"/>
      <c r="D313" s="13"/>
      <c r="E313" s="13"/>
      <c r="F313" s="13"/>
      <c r="G313" s="13"/>
      <c r="H313" s="13"/>
      <c r="I313" s="242"/>
      <c r="J313" s="242"/>
      <c r="K313" s="242"/>
      <c r="L313" s="242"/>
      <c r="M313" s="242"/>
      <c r="N313" s="242"/>
      <c r="O313" s="242"/>
      <c r="P313" s="242"/>
      <c r="Q313" s="242"/>
      <c r="R313" s="242"/>
      <c r="S313" s="242"/>
      <c r="T313" s="242"/>
      <c r="U313" s="242"/>
      <c r="V313" s="242"/>
      <c r="W313" s="242"/>
      <c r="X313" s="242"/>
      <c r="Y313" s="242"/>
      <c r="Z313" s="242"/>
      <c r="AA313" s="242"/>
      <c r="AB313" s="242"/>
    </row>
    <row r="314">
      <c r="A314" s="242"/>
      <c r="B314" s="13"/>
      <c r="C314" s="242"/>
      <c r="D314" s="13"/>
      <c r="E314" s="13"/>
      <c r="F314" s="13"/>
      <c r="G314" s="13"/>
      <c r="H314" s="13"/>
      <c r="I314" s="242"/>
      <c r="J314" s="242"/>
      <c r="K314" s="242"/>
      <c r="L314" s="242"/>
      <c r="M314" s="242"/>
      <c r="N314" s="242"/>
      <c r="O314" s="242"/>
      <c r="P314" s="242"/>
      <c r="Q314" s="242"/>
      <c r="R314" s="242"/>
      <c r="S314" s="242"/>
      <c r="T314" s="242"/>
      <c r="U314" s="242"/>
      <c r="V314" s="242"/>
      <c r="W314" s="242"/>
      <c r="X314" s="242"/>
      <c r="Y314" s="242"/>
      <c r="Z314" s="242"/>
      <c r="AA314" s="242"/>
      <c r="AB314" s="242"/>
    </row>
    <row r="315">
      <c r="A315" s="242"/>
      <c r="B315" s="13"/>
      <c r="C315" s="242"/>
      <c r="D315" s="13"/>
      <c r="E315" s="13"/>
      <c r="F315" s="13"/>
      <c r="G315" s="13"/>
      <c r="H315" s="13"/>
      <c r="I315" s="242"/>
      <c r="J315" s="242"/>
      <c r="K315" s="242"/>
      <c r="L315" s="242"/>
      <c r="M315" s="242"/>
      <c r="N315" s="242"/>
      <c r="O315" s="242"/>
      <c r="P315" s="242"/>
      <c r="Q315" s="242"/>
      <c r="R315" s="242"/>
      <c r="S315" s="242"/>
      <c r="T315" s="242"/>
      <c r="U315" s="242"/>
      <c r="V315" s="242"/>
      <c r="W315" s="242"/>
      <c r="X315" s="242"/>
      <c r="Y315" s="242"/>
      <c r="Z315" s="242"/>
      <c r="AA315" s="242"/>
      <c r="AB315" s="242"/>
    </row>
    <row r="316">
      <c r="A316" s="242"/>
      <c r="B316" s="13"/>
      <c r="C316" s="242"/>
      <c r="D316" s="13"/>
      <c r="E316" s="13"/>
      <c r="F316" s="13"/>
      <c r="G316" s="13"/>
      <c r="H316" s="13"/>
      <c r="I316" s="242"/>
      <c r="J316" s="242"/>
      <c r="K316" s="242"/>
      <c r="L316" s="242"/>
      <c r="M316" s="242"/>
      <c r="N316" s="242"/>
      <c r="O316" s="242"/>
      <c r="P316" s="242"/>
      <c r="Q316" s="242"/>
      <c r="R316" s="242"/>
      <c r="S316" s="242"/>
      <c r="T316" s="242"/>
      <c r="U316" s="242"/>
      <c r="V316" s="242"/>
      <c r="W316" s="242"/>
      <c r="X316" s="242"/>
      <c r="Y316" s="242"/>
      <c r="Z316" s="242"/>
      <c r="AA316" s="242"/>
      <c r="AB316" s="242"/>
    </row>
    <row r="317">
      <c r="A317" s="242"/>
      <c r="B317" s="13"/>
      <c r="C317" s="242"/>
      <c r="D317" s="13"/>
      <c r="E317" s="13"/>
      <c r="F317" s="13"/>
      <c r="G317" s="13"/>
      <c r="H317" s="13"/>
      <c r="I317" s="242"/>
      <c r="J317" s="242"/>
      <c r="K317" s="242"/>
      <c r="L317" s="242"/>
      <c r="M317" s="242"/>
      <c r="N317" s="242"/>
      <c r="O317" s="242"/>
      <c r="P317" s="242"/>
      <c r="Q317" s="242"/>
      <c r="R317" s="242"/>
      <c r="S317" s="242"/>
      <c r="T317" s="242"/>
      <c r="U317" s="242"/>
      <c r="V317" s="242"/>
      <c r="W317" s="242"/>
      <c r="X317" s="242"/>
      <c r="Y317" s="242"/>
      <c r="Z317" s="242"/>
      <c r="AA317" s="242"/>
      <c r="AB317" s="242"/>
    </row>
    <row r="318">
      <c r="A318" s="242"/>
      <c r="B318" s="13"/>
      <c r="C318" s="242"/>
      <c r="D318" s="13"/>
      <c r="E318" s="13"/>
      <c r="F318" s="13"/>
      <c r="G318" s="13"/>
      <c r="H318" s="13"/>
      <c r="I318" s="242"/>
      <c r="J318" s="242"/>
      <c r="K318" s="242"/>
      <c r="L318" s="242"/>
      <c r="M318" s="242"/>
      <c r="N318" s="242"/>
      <c r="O318" s="242"/>
      <c r="P318" s="242"/>
      <c r="Q318" s="242"/>
      <c r="R318" s="242"/>
      <c r="S318" s="242"/>
      <c r="T318" s="242"/>
      <c r="U318" s="242"/>
      <c r="V318" s="242"/>
      <c r="W318" s="242"/>
      <c r="X318" s="242"/>
      <c r="Y318" s="242"/>
      <c r="Z318" s="242"/>
      <c r="AA318" s="242"/>
      <c r="AB318" s="242"/>
    </row>
    <row r="319">
      <c r="A319" s="242"/>
      <c r="B319" s="13"/>
      <c r="C319" s="242"/>
      <c r="D319" s="13"/>
      <c r="E319" s="13"/>
      <c r="F319" s="13"/>
      <c r="G319" s="13"/>
      <c r="H319" s="13"/>
      <c r="I319" s="242"/>
      <c r="J319" s="242"/>
      <c r="K319" s="242"/>
      <c r="L319" s="242"/>
      <c r="M319" s="242"/>
      <c r="N319" s="242"/>
      <c r="O319" s="242"/>
      <c r="P319" s="242"/>
      <c r="Q319" s="242"/>
      <c r="R319" s="242"/>
      <c r="S319" s="242"/>
      <c r="T319" s="242"/>
      <c r="U319" s="242"/>
      <c r="V319" s="242"/>
      <c r="W319" s="242"/>
      <c r="X319" s="242"/>
      <c r="Y319" s="242"/>
      <c r="Z319" s="242"/>
      <c r="AA319" s="242"/>
      <c r="AB319" s="242"/>
    </row>
    <row r="320">
      <c r="A320" s="242"/>
      <c r="B320" s="13"/>
      <c r="C320" s="242"/>
      <c r="D320" s="13"/>
      <c r="E320" s="13"/>
      <c r="F320" s="13"/>
      <c r="G320" s="13"/>
      <c r="H320" s="13"/>
      <c r="I320" s="242"/>
      <c r="J320" s="242"/>
      <c r="K320" s="242"/>
      <c r="L320" s="242"/>
      <c r="M320" s="242"/>
      <c r="N320" s="242"/>
      <c r="O320" s="242"/>
      <c r="P320" s="242"/>
      <c r="Q320" s="242"/>
      <c r="R320" s="242"/>
      <c r="S320" s="242"/>
      <c r="T320" s="242"/>
      <c r="U320" s="242"/>
      <c r="V320" s="242"/>
      <c r="W320" s="242"/>
      <c r="X320" s="242"/>
      <c r="Y320" s="242"/>
      <c r="Z320" s="242"/>
      <c r="AA320" s="242"/>
      <c r="AB320" s="242"/>
    </row>
    <row r="321">
      <c r="A321" s="242"/>
      <c r="B321" s="13"/>
      <c r="C321" s="242"/>
      <c r="D321" s="13"/>
      <c r="E321" s="13"/>
      <c r="F321" s="13"/>
      <c r="G321" s="13"/>
      <c r="H321" s="13"/>
      <c r="I321" s="242"/>
      <c r="J321" s="242"/>
      <c r="K321" s="242"/>
      <c r="L321" s="242"/>
      <c r="M321" s="242"/>
      <c r="N321" s="242"/>
      <c r="O321" s="242"/>
      <c r="P321" s="242"/>
      <c r="Q321" s="242"/>
      <c r="R321" s="242"/>
      <c r="S321" s="242"/>
      <c r="T321" s="242"/>
      <c r="U321" s="242"/>
      <c r="V321" s="242"/>
      <c r="W321" s="242"/>
      <c r="X321" s="242"/>
      <c r="Y321" s="242"/>
      <c r="Z321" s="242"/>
      <c r="AA321" s="242"/>
      <c r="AB321" s="242"/>
    </row>
    <row r="322">
      <c r="A322" s="242"/>
      <c r="B322" s="13"/>
      <c r="C322" s="242"/>
      <c r="D322" s="13"/>
      <c r="E322" s="13"/>
      <c r="F322" s="13"/>
      <c r="G322" s="13"/>
      <c r="H322" s="13"/>
      <c r="I322" s="242"/>
      <c r="J322" s="242"/>
      <c r="K322" s="242"/>
      <c r="L322" s="242"/>
      <c r="M322" s="242"/>
      <c r="N322" s="242"/>
      <c r="O322" s="242"/>
      <c r="P322" s="242"/>
      <c r="Q322" s="242"/>
      <c r="R322" s="242"/>
      <c r="S322" s="242"/>
      <c r="T322" s="242"/>
      <c r="U322" s="242"/>
      <c r="V322" s="242"/>
      <c r="W322" s="242"/>
      <c r="X322" s="242"/>
      <c r="Y322" s="242"/>
      <c r="Z322" s="242"/>
      <c r="AA322" s="242"/>
      <c r="AB322" s="242"/>
    </row>
    <row r="323">
      <c r="A323" s="242"/>
      <c r="B323" s="13"/>
      <c r="C323" s="242"/>
      <c r="D323" s="13"/>
      <c r="E323" s="13"/>
      <c r="F323" s="13"/>
      <c r="G323" s="13"/>
      <c r="H323" s="13"/>
      <c r="I323" s="242"/>
      <c r="J323" s="242"/>
      <c r="K323" s="242"/>
      <c r="L323" s="242"/>
      <c r="M323" s="242"/>
      <c r="N323" s="242"/>
      <c r="O323" s="242"/>
      <c r="P323" s="242"/>
      <c r="Q323" s="242"/>
      <c r="R323" s="242"/>
      <c r="S323" s="242"/>
      <c r="T323" s="242"/>
      <c r="U323" s="242"/>
      <c r="V323" s="242"/>
      <c r="W323" s="242"/>
      <c r="X323" s="242"/>
      <c r="Y323" s="242"/>
      <c r="Z323" s="242"/>
      <c r="AA323" s="242"/>
      <c r="AB323" s="242"/>
    </row>
    <row r="324">
      <c r="A324" s="242"/>
      <c r="B324" s="13"/>
      <c r="C324" s="242"/>
      <c r="D324" s="13"/>
      <c r="E324" s="13"/>
      <c r="F324" s="13"/>
      <c r="G324" s="13"/>
      <c r="H324" s="13"/>
      <c r="I324" s="242"/>
      <c r="J324" s="242"/>
      <c r="K324" s="242"/>
      <c r="L324" s="242"/>
      <c r="M324" s="242"/>
      <c r="N324" s="242"/>
      <c r="O324" s="242"/>
      <c r="P324" s="242"/>
      <c r="Q324" s="242"/>
      <c r="R324" s="242"/>
      <c r="S324" s="242"/>
      <c r="T324" s="242"/>
      <c r="U324" s="242"/>
      <c r="V324" s="242"/>
      <c r="W324" s="242"/>
      <c r="X324" s="242"/>
      <c r="Y324" s="242"/>
      <c r="Z324" s="242"/>
      <c r="AA324" s="242"/>
      <c r="AB324" s="242"/>
    </row>
    <row r="325">
      <c r="A325" s="242"/>
      <c r="B325" s="13"/>
      <c r="C325" s="242"/>
      <c r="D325" s="13"/>
      <c r="E325" s="13"/>
      <c r="F325" s="13"/>
      <c r="G325" s="13"/>
      <c r="H325" s="13"/>
      <c r="I325" s="242"/>
      <c r="J325" s="242"/>
      <c r="K325" s="242"/>
      <c r="L325" s="242"/>
      <c r="M325" s="242"/>
      <c r="N325" s="242"/>
      <c r="O325" s="242"/>
      <c r="P325" s="242"/>
      <c r="Q325" s="242"/>
      <c r="R325" s="242"/>
      <c r="S325" s="242"/>
      <c r="T325" s="242"/>
      <c r="U325" s="242"/>
      <c r="V325" s="242"/>
      <c r="W325" s="242"/>
      <c r="X325" s="242"/>
      <c r="Y325" s="242"/>
      <c r="Z325" s="242"/>
      <c r="AA325" s="242"/>
      <c r="AB325" s="242"/>
    </row>
    <row r="326">
      <c r="A326" s="242"/>
      <c r="B326" s="13"/>
      <c r="C326" s="242"/>
      <c r="D326" s="13"/>
      <c r="E326" s="13"/>
      <c r="F326" s="13"/>
      <c r="G326" s="13"/>
      <c r="H326" s="13"/>
      <c r="I326" s="242"/>
      <c r="J326" s="242"/>
      <c r="K326" s="242"/>
      <c r="L326" s="242"/>
      <c r="M326" s="242"/>
      <c r="N326" s="242"/>
      <c r="O326" s="242"/>
      <c r="P326" s="242"/>
      <c r="Q326" s="242"/>
      <c r="R326" s="242"/>
      <c r="S326" s="242"/>
      <c r="T326" s="242"/>
      <c r="U326" s="242"/>
      <c r="V326" s="242"/>
      <c r="W326" s="242"/>
      <c r="X326" s="242"/>
      <c r="Y326" s="242"/>
      <c r="Z326" s="242"/>
      <c r="AA326" s="242"/>
      <c r="AB326" s="242"/>
    </row>
    <row r="327">
      <c r="A327" s="242"/>
      <c r="B327" s="13"/>
      <c r="C327" s="242"/>
      <c r="D327" s="13"/>
      <c r="E327" s="13"/>
      <c r="F327" s="13"/>
      <c r="G327" s="13"/>
      <c r="H327" s="13"/>
      <c r="I327" s="242"/>
      <c r="J327" s="242"/>
      <c r="K327" s="242"/>
      <c r="L327" s="242"/>
      <c r="M327" s="242"/>
      <c r="N327" s="242"/>
      <c r="O327" s="242"/>
      <c r="P327" s="242"/>
      <c r="Q327" s="242"/>
      <c r="R327" s="242"/>
      <c r="S327" s="242"/>
      <c r="T327" s="242"/>
      <c r="U327" s="242"/>
      <c r="V327" s="242"/>
      <c r="W327" s="242"/>
      <c r="X327" s="242"/>
      <c r="Y327" s="242"/>
      <c r="Z327" s="242"/>
      <c r="AA327" s="242"/>
      <c r="AB327" s="242"/>
    </row>
    <row r="328">
      <c r="A328" s="242"/>
      <c r="B328" s="13"/>
      <c r="C328" s="242"/>
      <c r="D328" s="13"/>
      <c r="E328" s="13"/>
      <c r="F328" s="13"/>
      <c r="G328" s="13"/>
      <c r="H328" s="13"/>
      <c r="I328" s="242"/>
      <c r="J328" s="242"/>
      <c r="K328" s="242"/>
      <c r="L328" s="242"/>
      <c r="M328" s="242"/>
      <c r="N328" s="242"/>
      <c r="O328" s="242"/>
      <c r="P328" s="242"/>
      <c r="Q328" s="242"/>
      <c r="R328" s="242"/>
      <c r="S328" s="242"/>
      <c r="T328" s="242"/>
      <c r="U328" s="242"/>
      <c r="V328" s="242"/>
      <c r="W328" s="242"/>
      <c r="X328" s="242"/>
      <c r="Y328" s="242"/>
      <c r="Z328" s="242"/>
      <c r="AA328" s="242"/>
      <c r="AB328" s="242"/>
    </row>
    <row r="329">
      <c r="A329" s="242"/>
      <c r="B329" s="13"/>
      <c r="C329" s="242"/>
      <c r="D329" s="13"/>
      <c r="E329" s="13"/>
      <c r="F329" s="13"/>
      <c r="G329" s="13"/>
      <c r="H329" s="13"/>
      <c r="I329" s="242"/>
      <c r="J329" s="242"/>
      <c r="K329" s="242"/>
      <c r="L329" s="242"/>
      <c r="M329" s="242"/>
      <c r="N329" s="242"/>
      <c r="O329" s="242"/>
      <c r="P329" s="242"/>
      <c r="Q329" s="242"/>
      <c r="R329" s="242"/>
      <c r="S329" s="242"/>
      <c r="T329" s="242"/>
      <c r="U329" s="242"/>
      <c r="V329" s="242"/>
      <c r="W329" s="242"/>
      <c r="X329" s="242"/>
      <c r="Y329" s="242"/>
      <c r="Z329" s="242"/>
      <c r="AA329" s="242"/>
      <c r="AB329" s="242"/>
    </row>
    <row r="330">
      <c r="A330" s="242"/>
      <c r="B330" s="13"/>
      <c r="C330" s="242"/>
      <c r="D330" s="13"/>
      <c r="E330" s="13"/>
      <c r="F330" s="13"/>
      <c r="G330" s="13"/>
      <c r="H330" s="13"/>
      <c r="I330" s="242"/>
      <c r="J330" s="242"/>
      <c r="K330" s="242"/>
      <c r="L330" s="242"/>
      <c r="M330" s="242"/>
      <c r="N330" s="242"/>
      <c r="O330" s="242"/>
      <c r="P330" s="242"/>
      <c r="Q330" s="242"/>
      <c r="R330" s="242"/>
      <c r="S330" s="242"/>
      <c r="T330" s="242"/>
      <c r="U330" s="242"/>
      <c r="V330" s="242"/>
      <c r="W330" s="242"/>
      <c r="X330" s="242"/>
      <c r="Y330" s="242"/>
      <c r="Z330" s="242"/>
      <c r="AA330" s="242"/>
      <c r="AB330" s="242"/>
    </row>
    <row r="331">
      <c r="A331" s="242"/>
      <c r="B331" s="13"/>
      <c r="C331" s="242"/>
      <c r="D331" s="13"/>
      <c r="E331" s="13"/>
      <c r="F331" s="13"/>
      <c r="G331" s="13"/>
      <c r="H331" s="13"/>
      <c r="I331" s="242"/>
      <c r="J331" s="242"/>
      <c r="K331" s="242"/>
      <c r="L331" s="242"/>
      <c r="M331" s="242"/>
      <c r="N331" s="242"/>
      <c r="O331" s="242"/>
      <c r="P331" s="242"/>
      <c r="Q331" s="242"/>
      <c r="R331" s="242"/>
      <c r="S331" s="242"/>
      <c r="T331" s="242"/>
      <c r="U331" s="242"/>
      <c r="V331" s="242"/>
      <c r="W331" s="242"/>
      <c r="X331" s="242"/>
      <c r="Y331" s="242"/>
      <c r="Z331" s="242"/>
      <c r="AA331" s="242"/>
      <c r="AB331" s="242"/>
    </row>
    <row r="332">
      <c r="A332" s="242"/>
      <c r="B332" s="13"/>
      <c r="C332" s="242"/>
      <c r="D332" s="13"/>
      <c r="E332" s="13"/>
      <c r="F332" s="13"/>
      <c r="G332" s="13"/>
      <c r="H332" s="13"/>
      <c r="I332" s="242"/>
      <c r="J332" s="242"/>
      <c r="K332" s="242"/>
      <c r="L332" s="242"/>
      <c r="M332" s="242"/>
      <c r="N332" s="242"/>
      <c r="O332" s="242"/>
      <c r="P332" s="242"/>
      <c r="Q332" s="242"/>
      <c r="R332" s="242"/>
      <c r="S332" s="242"/>
      <c r="T332" s="242"/>
      <c r="U332" s="242"/>
      <c r="V332" s="242"/>
      <c r="W332" s="242"/>
      <c r="X332" s="242"/>
      <c r="Y332" s="242"/>
      <c r="Z332" s="242"/>
      <c r="AA332" s="242"/>
      <c r="AB332" s="242"/>
    </row>
    <row r="333">
      <c r="A333" s="242"/>
      <c r="B333" s="13"/>
      <c r="C333" s="242"/>
      <c r="D333" s="13"/>
      <c r="E333" s="13"/>
      <c r="F333" s="13"/>
      <c r="G333" s="13"/>
      <c r="H333" s="13"/>
      <c r="I333" s="242"/>
      <c r="J333" s="242"/>
      <c r="K333" s="242"/>
      <c r="L333" s="242"/>
      <c r="M333" s="242"/>
      <c r="N333" s="242"/>
      <c r="O333" s="242"/>
      <c r="P333" s="242"/>
      <c r="Q333" s="242"/>
      <c r="R333" s="242"/>
      <c r="S333" s="242"/>
      <c r="T333" s="242"/>
      <c r="U333" s="242"/>
      <c r="V333" s="242"/>
      <c r="W333" s="242"/>
      <c r="X333" s="242"/>
      <c r="Y333" s="242"/>
      <c r="Z333" s="242"/>
      <c r="AA333" s="242"/>
      <c r="AB333" s="242"/>
    </row>
    <row r="334">
      <c r="A334" s="242"/>
      <c r="B334" s="13"/>
      <c r="C334" s="242"/>
      <c r="D334" s="13"/>
      <c r="E334" s="13"/>
      <c r="F334" s="13"/>
      <c r="G334" s="13"/>
      <c r="H334" s="13"/>
      <c r="I334" s="242"/>
      <c r="J334" s="242"/>
      <c r="K334" s="242"/>
      <c r="L334" s="242"/>
      <c r="M334" s="242"/>
      <c r="N334" s="242"/>
      <c r="O334" s="242"/>
      <c r="P334" s="242"/>
      <c r="Q334" s="242"/>
      <c r="R334" s="242"/>
      <c r="S334" s="242"/>
      <c r="T334" s="242"/>
      <c r="U334" s="242"/>
      <c r="V334" s="242"/>
      <c r="W334" s="242"/>
      <c r="X334" s="242"/>
      <c r="Y334" s="242"/>
      <c r="Z334" s="242"/>
      <c r="AA334" s="242"/>
      <c r="AB334" s="242"/>
    </row>
    <row r="335">
      <c r="A335" s="242"/>
      <c r="B335" s="13"/>
      <c r="C335" s="242"/>
      <c r="D335" s="13"/>
      <c r="E335" s="13"/>
      <c r="F335" s="13"/>
      <c r="G335" s="13"/>
      <c r="H335" s="13"/>
      <c r="I335" s="242"/>
      <c r="J335" s="242"/>
      <c r="K335" s="242"/>
      <c r="L335" s="242"/>
      <c r="M335" s="242"/>
      <c r="N335" s="242"/>
      <c r="O335" s="242"/>
      <c r="P335" s="242"/>
      <c r="Q335" s="242"/>
      <c r="R335" s="242"/>
      <c r="S335" s="242"/>
      <c r="T335" s="242"/>
      <c r="U335" s="242"/>
      <c r="V335" s="242"/>
      <c r="W335" s="242"/>
      <c r="X335" s="242"/>
      <c r="Y335" s="242"/>
      <c r="Z335" s="242"/>
      <c r="AA335" s="242"/>
      <c r="AB335" s="242"/>
    </row>
    <row r="336">
      <c r="A336" s="242"/>
      <c r="B336" s="13"/>
      <c r="C336" s="242"/>
      <c r="D336" s="13"/>
      <c r="E336" s="13"/>
      <c r="F336" s="13"/>
      <c r="G336" s="13"/>
      <c r="H336" s="13"/>
      <c r="I336" s="242"/>
      <c r="J336" s="242"/>
      <c r="K336" s="242"/>
      <c r="L336" s="242"/>
      <c r="M336" s="242"/>
      <c r="N336" s="242"/>
      <c r="O336" s="242"/>
      <c r="P336" s="242"/>
      <c r="Q336" s="242"/>
      <c r="R336" s="242"/>
      <c r="S336" s="242"/>
      <c r="T336" s="242"/>
      <c r="U336" s="242"/>
      <c r="V336" s="242"/>
      <c r="W336" s="242"/>
      <c r="X336" s="242"/>
      <c r="Y336" s="242"/>
      <c r="Z336" s="242"/>
      <c r="AA336" s="242"/>
      <c r="AB336" s="242"/>
    </row>
    <row r="337">
      <c r="A337" s="242"/>
      <c r="B337" s="13"/>
      <c r="C337" s="242"/>
      <c r="D337" s="13"/>
      <c r="E337" s="13"/>
      <c r="F337" s="13"/>
      <c r="G337" s="13"/>
      <c r="H337" s="13"/>
      <c r="I337" s="242"/>
      <c r="J337" s="242"/>
      <c r="K337" s="242"/>
      <c r="L337" s="242"/>
      <c r="M337" s="242"/>
      <c r="N337" s="242"/>
      <c r="O337" s="242"/>
      <c r="P337" s="242"/>
      <c r="Q337" s="242"/>
      <c r="R337" s="242"/>
      <c r="S337" s="242"/>
      <c r="T337" s="242"/>
      <c r="U337" s="242"/>
      <c r="V337" s="242"/>
      <c r="W337" s="242"/>
      <c r="X337" s="242"/>
      <c r="Y337" s="242"/>
      <c r="Z337" s="242"/>
      <c r="AA337" s="242"/>
      <c r="AB337" s="242"/>
    </row>
    <row r="338">
      <c r="A338" s="242"/>
      <c r="B338" s="13"/>
      <c r="C338" s="242"/>
      <c r="D338" s="13"/>
      <c r="E338" s="13"/>
      <c r="F338" s="13"/>
      <c r="G338" s="13"/>
      <c r="H338" s="13"/>
      <c r="I338" s="242"/>
      <c r="J338" s="242"/>
      <c r="K338" s="242"/>
      <c r="L338" s="242"/>
      <c r="M338" s="242"/>
      <c r="N338" s="242"/>
      <c r="O338" s="242"/>
      <c r="P338" s="242"/>
      <c r="Q338" s="242"/>
      <c r="R338" s="242"/>
      <c r="S338" s="242"/>
      <c r="T338" s="242"/>
      <c r="U338" s="242"/>
      <c r="V338" s="242"/>
      <c r="W338" s="242"/>
      <c r="X338" s="242"/>
      <c r="Y338" s="242"/>
      <c r="Z338" s="242"/>
      <c r="AA338" s="242"/>
      <c r="AB338" s="242"/>
    </row>
    <row r="339">
      <c r="A339" s="242"/>
      <c r="B339" s="13"/>
      <c r="C339" s="242"/>
      <c r="D339" s="13"/>
      <c r="E339" s="13"/>
      <c r="F339" s="13"/>
      <c r="G339" s="13"/>
      <c r="H339" s="13"/>
      <c r="I339" s="242"/>
      <c r="J339" s="242"/>
      <c r="K339" s="242"/>
      <c r="L339" s="242"/>
      <c r="M339" s="242"/>
      <c r="N339" s="242"/>
      <c r="O339" s="242"/>
      <c r="P339" s="242"/>
      <c r="Q339" s="242"/>
      <c r="R339" s="242"/>
      <c r="S339" s="242"/>
      <c r="T339" s="242"/>
      <c r="U339" s="242"/>
      <c r="V339" s="242"/>
      <c r="W339" s="242"/>
      <c r="X339" s="242"/>
      <c r="Y339" s="242"/>
      <c r="Z339" s="242"/>
      <c r="AA339" s="242"/>
      <c r="AB339" s="242"/>
    </row>
    <row r="340">
      <c r="A340" s="242"/>
      <c r="B340" s="13"/>
      <c r="C340" s="242"/>
      <c r="D340" s="13"/>
      <c r="E340" s="13"/>
      <c r="F340" s="13"/>
      <c r="G340" s="13"/>
      <c r="H340" s="13"/>
      <c r="I340" s="242"/>
      <c r="J340" s="242"/>
      <c r="K340" s="242"/>
      <c r="L340" s="242"/>
      <c r="M340" s="242"/>
      <c r="N340" s="242"/>
      <c r="O340" s="242"/>
      <c r="P340" s="242"/>
      <c r="Q340" s="242"/>
      <c r="R340" s="242"/>
      <c r="S340" s="242"/>
      <c r="T340" s="242"/>
      <c r="U340" s="242"/>
      <c r="V340" s="242"/>
      <c r="W340" s="242"/>
      <c r="X340" s="242"/>
      <c r="Y340" s="242"/>
      <c r="Z340" s="242"/>
      <c r="AA340" s="242"/>
      <c r="AB340" s="242"/>
    </row>
    <row r="341">
      <c r="A341" s="242"/>
      <c r="B341" s="13"/>
      <c r="C341" s="242"/>
      <c r="D341" s="13"/>
      <c r="E341" s="13"/>
      <c r="F341" s="13"/>
      <c r="G341" s="13"/>
      <c r="H341" s="13"/>
      <c r="I341" s="242"/>
      <c r="J341" s="242"/>
      <c r="K341" s="242"/>
      <c r="L341" s="242"/>
      <c r="M341" s="242"/>
      <c r="N341" s="242"/>
      <c r="O341" s="242"/>
      <c r="P341" s="242"/>
      <c r="Q341" s="242"/>
      <c r="R341" s="242"/>
      <c r="S341" s="242"/>
      <c r="T341" s="242"/>
      <c r="U341" s="242"/>
      <c r="V341" s="242"/>
      <c r="W341" s="242"/>
      <c r="X341" s="242"/>
      <c r="Y341" s="242"/>
      <c r="Z341" s="242"/>
      <c r="AA341" s="242"/>
      <c r="AB341" s="242"/>
    </row>
    <row r="342">
      <c r="A342" s="242"/>
      <c r="B342" s="13"/>
      <c r="C342" s="242"/>
      <c r="D342" s="13"/>
      <c r="E342" s="13"/>
      <c r="F342" s="13"/>
      <c r="G342" s="13"/>
      <c r="H342" s="13"/>
      <c r="I342" s="242"/>
      <c r="J342" s="242"/>
      <c r="K342" s="242"/>
      <c r="L342" s="242"/>
      <c r="M342" s="242"/>
      <c r="N342" s="242"/>
      <c r="O342" s="242"/>
      <c r="P342" s="242"/>
      <c r="Q342" s="242"/>
      <c r="R342" s="242"/>
      <c r="S342" s="242"/>
      <c r="T342" s="242"/>
      <c r="U342" s="242"/>
      <c r="V342" s="242"/>
      <c r="W342" s="242"/>
      <c r="X342" s="242"/>
      <c r="Y342" s="242"/>
      <c r="Z342" s="242"/>
      <c r="AA342" s="242"/>
      <c r="AB342" s="242"/>
    </row>
    <row r="343">
      <c r="A343" s="242"/>
      <c r="B343" s="13"/>
      <c r="C343" s="242"/>
      <c r="D343" s="13"/>
      <c r="E343" s="13"/>
      <c r="F343" s="13"/>
      <c r="G343" s="13"/>
      <c r="H343" s="13"/>
      <c r="I343" s="242"/>
      <c r="J343" s="242"/>
      <c r="K343" s="242"/>
      <c r="L343" s="242"/>
      <c r="M343" s="242"/>
      <c r="N343" s="242"/>
      <c r="O343" s="242"/>
      <c r="P343" s="242"/>
      <c r="Q343" s="242"/>
      <c r="R343" s="242"/>
      <c r="S343" s="242"/>
      <c r="T343" s="242"/>
      <c r="U343" s="242"/>
      <c r="V343" s="242"/>
      <c r="W343" s="242"/>
      <c r="X343" s="242"/>
      <c r="Y343" s="242"/>
      <c r="Z343" s="242"/>
      <c r="AA343" s="242"/>
      <c r="AB343" s="242"/>
    </row>
    <row r="344">
      <c r="A344" s="242"/>
      <c r="B344" s="13"/>
      <c r="C344" s="242"/>
      <c r="D344" s="13"/>
      <c r="E344" s="13"/>
      <c r="F344" s="13"/>
      <c r="G344" s="13"/>
      <c r="H344" s="13"/>
      <c r="I344" s="242"/>
      <c r="J344" s="242"/>
      <c r="K344" s="242"/>
      <c r="L344" s="242"/>
      <c r="M344" s="242"/>
      <c r="N344" s="242"/>
      <c r="O344" s="242"/>
      <c r="P344" s="242"/>
      <c r="Q344" s="242"/>
      <c r="R344" s="242"/>
      <c r="S344" s="242"/>
      <c r="T344" s="242"/>
      <c r="U344" s="242"/>
      <c r="V344" s="242"/>
      <c r="W344" s="242"/>
      <c r="X344" s="242"/>
      <c r="Y344" s="242"/>
      <c r="Z344" s="242"/>
      <c r="AA344" s="242"/>
      <c r="AB344" s="242"/>
    </row>
    <row r="345">
      <c r="A345" s="242"/>
      <c r="B345" s="13"/>
      <c r="C345" s="242"/>
      <c r="D345" s="13"/>
      <c r="E345" s="13"/>
      <c r="F345" s="13"/>
      <c r="G345" s="13"/>
      <c r="H345" s="13"/>
      <c r="I345" s="242"/>
      <c r="J345" s="242"/>
      <c r="K345" s="242"/>
      <c r="L345" s="242"/>
      <c r="M345" s="242"/>
      <c r="N345" s="242"/>
      <c r="O345" s="242"/>
      <c r="P345" s="242"/>
      <c r="Q345" s="242"/>
      <c r="R345" s="242"/>
      <c r="S345" s="242"/>
      <c r="T345" s="242"/>
      <c r="U345" s="242"/>
      <c r="V345" s="242"/>
      <c r="W345" s="242"/>
      <c r="X345" s="242"/>
      <c r="Y345" s="242"/>
      <c r="Z345" s="242"/>
      <c r="AA345" s="242"/>
      <c r="AB345" s="242"/>
    </row>
    <row r="346">
      <c r="A346" s="242"/>
      <c r="B346" s="13"/>
      <c r="C346" s="242"/>
      <c r="D346" s="13"/>
      <c r="E346" s="13"/>
      <c r="F346" s="13"/>
      <c r="G346" s="13"/>
      <c r="H346" s="13"/>
      <c r="I346" s="242"/>
      <c r="J346" s="242"/>
      <c r="K346" s="242"/>
      <c r="L346" s="242"/>
      <c r="M346" s="242"/>
      <c r="N346" s="242"/>
      <c r="O346" s="242"/>
      <c r="P346" s="242"/>
      <c r="Q346" s="242"/>
      <c r="R346" s="242"/>
      <c r="S346" s="242"/>
      <c r="T346" s="242"/>
      <c r="U346" s="242"/>
      <c r="V346" s="242"/>
      <c r="W346" s="242"/>
      <c r="X346" s="242"/>
      <c r="Y346" s="242"/>
      <c r="Z346" s="242"/>
      <c r="AA346" s="242"/>
      <c r="AB346" s="242"/>
    </row>
    <row r="347">
      <c r="A347" s="242"/>
      <c r="B347" s="13"/>
      <c r="C347" s="242"/>
      <c r="D347" s="13"/>
      <c r="E347" s="13"/>
      <c r="F347" s="13"/>
      <c r="G347" s="13"/>
      <c r="H347" s="13"/>
      <c r="I347" s="242"/>
      <c r="J347" s="242"/>
      <c r="K347" s="242"/>
      <c r="L347" s="242"/>
      <c r="M347" s="242"/>
      <c r="N347" s="242"/>
      <c r="O347" s="242"/>
      <c r="P347" s="242"/>
      <c r="Q347" s="242"/>
      <c r="R347" s="242"/>
      <c r="S347" s="242"/>
      <c r="T347" s="242"/>
      <c r="U347" s="242"/>
      <c r="V347" s="242"/>
      <c r="W347" s="242"/>
      <c r="X347" s="242"/>
      <c r="Y347" s="242"/>
      <c r="Z347" s="242"/>
      <c r="AA347" s="242"/>
      <c r="AB347" s="242"/>
    </row>
    <row r="348">
      <c r="A348" s="242"/>
      <c r="B348" s="13"/>
      <c r="C348" s="242"/>
      <c r="D348" s="13"/>
      <c r="E348" s="13"/>
      <c r="F348" s="13"/>
      <c r="G348" s="13"/>
      <c r="H348" s="13"/>
      <c r="I348" s="242"/>
      <c r="J348" s="242"/>
      <c r="K348" s="242"/>
      <c r="L348" s="242"/>
      <c r="M348" s="242"/>
      <c r="N348" s="242"/>
      <c r="O348" s="242"/>
      <c r="P348" s="242"/>
      <c r="Q348" s="242"/>
      <c r="R348" s="242"/>
      <c r="S348" s="242"/>
      <c r="T348" s="242"/>
      <c r="U348" s="242"/>
      <c r="V348" s="242"/>
      <c r="W348" s="242"/>
      <c r="X348" s="242"/>
      <c r="Y348" s="242"/>
      <c r="Z348" s="242"/>
      <c r="AA348" s="242"/>
      <c r="AB348" s="242"/>
    </row>
    <row r="349">
      <c r="A349" s="242"/>
      <c r="B349" s="13"/>
      <c r="C349" s="242"/>
      <c r="D349" s="13"/>
      <c r="E349" s="13"/>
      <c r="F349" s="13"/>
      <c r="G349" s="13"/>
      <c r="H349" s="13"/>
      <c r="I349" s="242"/>
      <c r="J349" s="242"/>
      <c r="K349" s="242"/>
      <c r="L349" s="242"/>
      <c r="M349" s="242"/>
      <c r="N349" s="242"/>
      <c r="O349" s="242"/>
      <c r="P349" s="242"/>
      <c r="Q349" s="242"/>
      <c r="R349" s="242"/>
      <c r="S349" s="242"/>
      <c r="T349" s="242"/>
      <c r="U349" s="242"/>
      <c r="V349" s="242"/>
      <c r="W349" s="242"/>
      <c r="X349" s="242"/>
      <c r="Y349" s="242"/>
      <c r="Z349" s="242"/>
      <c r="AA349" s="242"/>
      <c r="AB349" s="242"/>
    </row>
    <row r="350">
      <c r="A350" s="242"/>
      <c r="B350" s="13"/>
      <c r="C350" s="242"/>
      <c r="D350" s="13"/>
      <c r="E350" s="13"/>
      <c r="F350" s="13"/>
      <c r="G350" s="13"/>
      <c r="H350" s="13"/>
      <c r="I350" s="242"/>
      <c r="J350" s="242"/>
      <c r="K350" s="242"/>
      <c r="L350" s="242"/>
      <c r="M350" s="242"/>
      <c r="N350" s="242"/>
      <c r="O350" s="242"/>
      <c r="P350" s="242"/>
      <c r="Q350" s="242"/>
      <c r="R350" s="242"/>
      <c r="S350" s="242"/>
      <c r="T350" s="242"/>
      <c r="U350" s="242"/>
      <c r="V350" s="242"/>
      <c r="W350" s="242"/>
      <c r="X350" s="242"/>
      <c r="Y350" s="242"/>
      <c r="Z350" s="242"/>
      <c r="AA350" s="242"/>
      <c r="AB350" s="242"/>
    </row>
    <row r="351">
      <c r="A351" s="242"/>
      <c r="B351" s="13"/>
      <c r="C351" s="242"/>
      <c r="D351" s="13"/>
      <c r="E351" s="13"/>
      <c r="F351" s="13"/>
      <c r="G351" s="13"/>
      <c r="H351" s="13"/>
      <c r="I351" s="242"/>
      <c r="J351" s="242"/>
      <c r="K351" s="242"/>
      <c r="L351" s="242"/>
      <c r="M351" s="242"/>
      <c r="N351" s="242"/>
      <c r="O351" s="242"/>
      <c r="P351" s="242"/>
      <c r="Q351" s="242"/>
      <c r="R351" s="242"/>
      <c r="S351" s="242"/>
      <c r="T351" s="242"/>
      <c r="U351" s="242"/>
      <c r="V351" s="242"/>
      <c r="W351" s="242"/>
      <c r="X351" s="242"/>
      <c r="Y351" s="242"/>
      <c r="Z351" s="242"/>
      <c r="AA351" s="242"/>
      <c r="AB351" s="242"/>
    </row>
    <row r="352">
      <c r="A352" s="242"/>
      <c r="B352" s="13"/>
      <c r="C352" s="242"/>
      <c r="D352" s="13"/>
      <c r="E352" s="13"/>
      <c r="F352" s="13"/>
      <c r="G352" s="13"/>
      <c r="H352" s="13"/>
      <c r="I352" s="242"/>
      <c r="J352" s="242"/>
      <c r="K352" s="242"/>
      <c r="L352" s="242"/>
      <c r="M352" s="242"/>
      <c r="N352" s="242"/>
      <c r="O352" s="242"/>
      <c r="P352" s="242"/>
      <c r="Q352" s="242"/>
      <c r="R352" s="242"/>
      <c r="S352" s="242"/>
      <c r="T352" s="242"/>
      <c r="U352" s="242"/>
      <c r="V352" s="242"/>
      <c r="W352" s="242"/>
      <c r="X352" s="242"/>
      <c r="Y352" s="242"/>
      <c r="Z352" s="242"/>
      <c r="AA352" s="242"/>
      <c r="AB352" s="242"/>
    </row>
    <row r="353">
      <c r="A353" s="242"/>
      <c r="B353" s="13"/>
      <c r="C353" s="242"/>
      <c r="D353" s="13"/>
      <c r="E353" s="13"/>
      <c r="F353" s="13"/>
      <c r="G353" s="13"/>
      <c r="H353" s="13"/>
      <c r="I353" s="242"/>
      <c r="J353" s="242"/>
      <c r="K353" s="242"/>
      <c r="L353" s="242"/>
      <c r="M353" s="242"/>
      <c r="N353" s="242"/>
      <c r="O353" s="242"/>
      <c r="P353" s="242"/>
      <c r="Q353" s="242"/>
      <c r="R353" s="242"/>
      <c r="S353" s="242"/>
      <c r="T353" s="242"/>
      <c r="U353" s="242"/>
      <c r="V353" s="242"/>
      <c r="W353" s="242"/>
      <c r="X353" s="242"/>
      <c r="Y353" s="242"/>
      <c r="Z353" s="242"/>
      <c r="AA353" s="242"/>
      <c r="AB353" s="242"/>
    </row>
    <row r="354">
      <c r="A354" s="242"/>
      <c r="B354" s="13"/>
      <c r="C354" s="242"/>
      <c r="D354" s="13"/>
      <c r="E354" s="13"/>
      <c r="F354" s="13"/>
      <c r="G354" s="13"/>
      <c r="H354" s="13"/>
      <c r="I354" s="242"/>
      <c r="J354" s="242"/>
      <c r="K354" s="242"/>
      <c r="L354" s="242"/>
      <c r="M354" s="242"/>
      <c r="N354" s="242"/>
      <c r="O354" s="242"/>
      <c r="P354" s="242"/>
      <c r="Q354" s="242"/>
      <c r="R354" s="242"/>
      <c r="S354" s="242"/>
      <c r="T354" s="242"/>
      <c r="U354" s="242"/>
      <c r="V354" s="242"/>
      <c r="W354" s="242"/>
      <c r="X354" s="242"/>
      <c r="Y354" s="242"/>
      <c r="Z354" s="242"/>
      <c r="AA354" s="242"/>
      <c r="AB354" s="242"/>
    </row>
    <row r="355">
      <c r="A355" s="242"/>
      <c r="B355" s="13"/>
      <c r="C355" s="242"/>
      <c r="D355" s="13"/>
      <c r="E355" s="13"/>
      <c r="F355" s="13"/>
      <c r="G355" s="13"/>
      <c r="H355" s="13"/>
      <c r="I355" s="242"/>
      <c r="J355" s="242"/>
      <c r="K355" s="242"/>
      <c r="L355" s="242"/>
      <c r="M355" s="242"/>
      <c r="N355" s="242"/>
      <c r="O355" s="242"/>
      <c r="P355" s="242"/>
      <c r="Q355" s="242"/>
      <c r="R355" s="242"/>
      <c r="S355" s="242"/>
      <c r="T355" s="242"/>
      <c r="U355" s="242"/>
      <c r="V355" s="242"/>
      <c r="W355" s="242"/>
      <c r="X355" s="242"/>
      <c r="Y355" s="242"/>
      <c r="Z355" s="242"/>
      <c r="AA355" s="242"/>
      <c r="AB355" s="242"/>
    </row>
    <row r="356">
      <c r="A356" s="242"/>
      <c r="B356" s="13"/>
      <c r="C356" s="242"/>
      <c r="D356" s="13"/>
      <c r="E356" s="13"/>
      <c r="F356" s="13"/>
      <c r="G356" s="13"/>
      <c r="H356" s="13"/>
      <c r="I356" s="242"/>
      <c r="J356" s="242"/>
      <c r="K356" s="242"/>
      <c r="L356" s="242"/>
      <c r="M356" s="242"/>
      <c r="N356" s="242"/>
      <c r="O356" s="242"/>
      <c r="P356" s="242"/>
      <c r="Q356" s="242"/>
      <c r="R356" s="242"/>
      <c r="S356" s="242"/>
      <c r="T356" s="242"/>
      <c r="U356" s="242"/>
      <c r="V356" s="242"/>
      <c r="W356" s="242"/>
      <c r="X356" s="242"/>
      <c r="Y356" s="242"/>
      <c r="Z356" s="242"/>
      <c r="AA356" s="242"/>
      <c r="AB356" s="242"/>
    </row>
    <row r="357">
      <c r="A357" s="242"/>
      <c r="B357" s="13"/>
      <c r="C357" s="242"/>
      <c r="D357" s="13"/>
      <c r="E357" s="13"/>
      <c r="F357" s="13"/>
      <c r="G357" s="13"/>
      <c r="H357" s="13"/>
      <c r="I357" s="242"/>
      <c r="J357" s="242"/>
      <c r="K357" s="242"/>
      <c r="L357" s="242"/>
      <c r="M357" s="242"/>
      <c r="N357" s="242"/>
      <c r="O357" s="242"/>
      <c r="P357" s="242"/>
      <c r="Q357" s="242"/>
      <c r="R357" s="242"/>
      <c r="S357" s="242"/>
      <c r="T357" s="242"/>
      <c r="U357" s="242"/>
      <c r="V357" s="242"/>
      <c r="W357" s="242"/>
      <c r="X357" s="242"/>
      <c r="Y357" s="242"/>
      <c r="Z357" s="242"/>
      <c r="AA357" s="242"/>
      <c r="AB357" s="242"/>
    </row>
    <row r="358">
      <c r="A358" s="242"/>
      <c r="B358" s="13"/>
      <c r="C358" s="242"/>
      <c r="D358" s="13"/>
      <c r="E358" s="13"/>
      <c r="F358" s="13"/>
      <c r="G358" s="13"/>
      <c r="H358" s="13"/>
      <c r="I358" s="242"/>
      <c r="J358" s="242"/>
      <c r="K358" s="242"/>
      <c r="L358" s="242"/>
      <c r="M358" s="242"/>
      <c r="N358" s="242"/>
      <c r="O358" s="242"/>
      <c r="P358" s="242"/>
      <c r="Q358" s="242"/>
      <c r="R358" s="242"/>
      <c r="S358" s="242"/>
      <c r="T358" s="242"/>
      <c r="U358" s="242"/>
      <c r="V358" s="242"/>
      <c r="W358" s="242"/>
      <c r="X358" s="242"/>
      <c r="Y358" s="242"/>
      <c r="Z358" s="242"/>
      <c r="AA358" s="242"/>
      <c r="AB358" s="242"/>
    </row>
    <row r="359">
      <c r="A359" s="242"/>
      <c r="B359" s="13"/>
      <c r="C359" s="242"/>
      <c r="D359" s="13"/>
      <c r="E359" s="13"/>
      <c r="F359" s="13"/>
      <c r="G359" s="13"/>
      <c r="H359" s="13"/>
      <c r="I359" s="242"/>
      <c r="J359" s="242"/>
      <c r="K359" s="242"/>
      <c r="L359" s="242"/>
      <c r="M359" s="242"/>
      <c r="N359" s="242"/>
      <c r="O359" s="242"/>
      <c r="P359" s="242"/>
      <c r="Q359" s="242"/>
      <c r="R359" s="242"/>
      <c r="S359" s="242"/>
      <c r="T359" s="242"/>
      <c r="U359" s="242"/>
      <c r="V359" s="242"/>
      <c r="W359" s="242"/>
      <c r="X359" s="242"/>
      <c r="Y359" s="242"/>
      <c r="Z359" s="242"/>
      <c r="AA359" s="242"/>
      <c r="AB359" s="242"/>
    </row>
    <row r="360">
      <c r="A360" s="242"/>
      <c r="B360" s="13"/>
      <c r="C360" s="242"/>
      <c r="D360" s="13"/>
      <c r="E360" s="13"/>
      <c r="F360" s="13"/>
      <c r="G360" s="13"/>
      <c r="H360" s="13"/>
      <c r="I360" s="242"/>
      <c r="J360" s="242"/>
      <c r="K360" s="242"/>
      <c r="L360" s="242"/>
      <c r="M360" s="242"/>
      <c r="N360" s="242"/>
      <c r="O360" s="242"/>
      <c r="P360" s="242"/>
      <c r="Q360" s="242"/>
      <c r="R360" s="242"/>
      <c r="S360" s="242"/>
      <c r="T360" s="242"/>
      <c r="U360" s="242"/>
      <c r="V360" s="242"/>
      <c r="W360" s="242"/>
      <c r="X360" s="242"/>
      <c r="Y360" s="242"/>
      <c r="Z360" s="242"/>
      <c r="AA360" s="242"/>
      <c r="AB360" s="242"/>
    </row>
    <row r="361">
      <c r="A361" s="242"/>
      <c r="B361" s="13"/>
      <c r="C361" s="242"/>
      <c r="D361" s="13"/>
      <c r="E361" s="13"/>
      <c r="F361" s="13"/>
      <c r="G361" s="13"/>
      <c r="H361" s="13"/>
      <c r="I361" s="242"/>
      <c r="J361" s="242"/>
      <c r="K361" s="242"/>
      <c r="L361" s="242"/>
      <c r="M361" s="242"/>
      <c r="N361" s="242"/>
      <c r="O361" s="242"/>
      <c r="P361" s="242"/>
      <c r="Q361" s="242"/>
      <c r="R361" s="242"/>
      <c r="S361" s="242"/>
      <c r="T361" s="242"/>
      <c r="U361" s="242"/>
      <c r="V361" s="242"/>
      <c r="W361" s="242"/>
      <c r="X361" s="242"/>
      <c r="Y361" s="242"/>
      <c r="Z361" s="242"/>
      <c r="AA361" s="242"/>
      <c r="AB361" s="242"/>
    </row>
    <row r="362">
      <c r="A362" s="242"/>
      <c r="B362" s="13"/>
      <c r="C362" s="242"/>
      <c r="D362" s="13"/>
      <c r="E362" s="13"/>
      <c r="F362" s="13"/>
      <c r="G362" s="13"/>
      <c r="H362" s="13"/>
      <c r="I362" s="242"/>
      <c r="J362" s="242"/>
      <c r="K362" s="242"/>
      <c r="L362" s="242"/>
      <c r="M362" s="242"/>
      <c r="N362" s="242"/>
      <c r="O362" s="242"/>
      <c r="P362" s="242"/>
      <c r="Q362" s="242"/>
      <c r="R362" s="242"/>
      <c r="S362" s="242"/>
      <c r="T362" s="242"/>
      <c r="U362" s="242"/>
      <c r="V362" s="242"/>
      <c r="W362" s="242"/>
      <c r="X362" s="242"/>
      <c r="Y362" s="242"/>
      <c r="Z362" s="242"/>
      <c r="AA362" s="242"/>
      <c r="AB362" s="242"/>
    </row>
    <row r="363">
      <c r="A363" s="242"/>
      <c r="B363" s="13"/>
      <c r="C363" s="242"/>
      <c r="D363" s="13"/>
      <c r="E363" s="13"/>
      <c r="F363" s="13"/>
      <c r="G363" s="13"/>
      <c r="H363" s="13"/>
      <c r="I363" s="242"/>
      <c r="J363" s="242"/>
      <c r="K363" s="242"/>
      <c r="L363" s="242"/>
      <c r="M363" s="242"/>
      <c r="N363" s="242"/>
      <c r="O363" s="242"/>
      <c r="P363" s="242"/>
      <c r="Q363" s="242"/>
      <c r="R363" s="242"/>
      <c r="S363" s="242"/>
      <c r="T363" s="242"/>
      <c r="U363" s="242"/>
      <c r="V363" s="242"/>
      <c r="W363" s="242"/>
      <c r="X363" s="242"/>
      <c r="Y363" s="242"/>
      <c r="Z363" s="242"/>
      <c r="AA363" s="242"/>
      <c r="AB363" s="242"/>
    </row>
    <row r="364">
      <c r="A364" s="242"/>
      <c r="B364" s="13"/>
      <c r="C364" s="242"/>
      <c r="D364" s="13"/>
      <c r="E364" s="13"/>
      <c r="F364" s="13"/>
      <c r="G364" s="13"/>
      <c r="H364" s="13"/>
      <c r="I364" s="242"/>
      <c r="J364" s="242"/>
      <c r="K364" s="242"/>
      <c r="L364" s="242"/>
      <c r="M364" s="242"/>
      <c r="N364" s="242"/>
      <c r="O364" s="242"/>
      <c r="P364" s="242"/>
      <c r="Q364" s="242"/>
      <c r="R364" s="242"/>
      <c r="S364" s="242"/>
      <c r="T364" s="242"/>
      <c r="U364" s="242"/>
      <c r="V364" s="242"/>
      <c r="W364" s="242"/>
      <c r="X364" s="242"/>
      <c r="Y364" s="242"/>
      <c r="Z364" s="242"/>
      <c r="AA364" s="242"/>
      <c r="AB364" s="242"/>
    </row>
    <row r="365">
      <c r="A365" s="242"/>
      <c r="B365" s="13"/>
      <c r="C365" s="242"/>
      <c r="D365" s="13"/>
      <c r="E365" s="13"/>
      <c r="F365" s="13"/>
      <c r="G365" s="13"/>
      <c r="H365" s="13"/>
      <c r="I365" s="242"/>
      <c r="J365" s="242"/>
      <c r="K365" s="242"/>
      <c r="L365" s="242"/>
      <c r="M365" s="242"/>
      <c r="N365" s="242"/>
      <c r="O365" s="242"/>
      <c r="P365" s="242"/>
      <c r="Q365" s="242"/>
      <c r="R365" s="242"/>
      <c r="S365" s="242"/>
      <c r="T365" s="242"/>
      <c r="U365" s="242"/>
      <c r="V365" s="242"/>
      <c r="W365" s="242"/>
      <c r="X365" s="242"/>
      <c r="Y365" s="242"/>
      <c r="Z365" s="242"/>
      <c r="AA365" s="242"/>
      <c r="AB365" s="242"/>
    </row>
    <row r="366">
      <c r="A366" s="242"/>
      <c r="B366" s="13"/>
      <c r="C366" s="242"/>
      <c r="D366" s="13"/>
      <c r="E366" s="13"/>
      <c r="F366" s="13"/>
      <c r="G366" s="13"/>
      <c r="H366" s="13"/>
      <c r="I366" s="242"/>
      <c r="J366" s="242"/>
      <c r="K366" s="242"/>
      <c r="L366" s="242"/>
      <c r="M366" s="242"/>
      <c r="N366" s="242"/>
      <c r="O366" s="242"/>
      <c r="P366" s="242"/>
      <c r="Q366" s="242"/>
      <c r="R366" s="242"/>
      <c r="S366" s="242"/>
      <c r="T366" s="242"/>
      <c r="U366" s="242"/>
      <c r="V366" s="242"/>
      <c r="W366" s="242"/>
      <c r="X366" s="242"/>
      <c r="Y366" s="242"/>
      <c r="Z366" s="242"/>
      <c r="AA366" s="242"/>
      <c r="AB366" s="242"/>
    </row>
    <row r="367">
      <c r="A367" s="242"/>
      <c r="B367" s="13"/>
      <c r="C367" s="242"/>
      <c r="D367" s="13"/>
      <c r="E367" s="13"/>
      <c r="F367" s="13"/>
      <c r="G367" s="13"/>
      <c r="H367" s="13"/>
      <c r="I367" s="242"/>
      <c r="J367" s="242"/>
      <c r="K367" s="242"/>
      <c r="L367" s="242"/>
      <c r="M367" s="242"/>
      <c r="N367" s="242"/>
      <c r="O367" s="242"/>
      <c r="P367" s="242"/>
      <c r="Q367" s="242"/>
      <c r="R367" s="242"/>
      <c r="S367" s="242"/>
      <c r="T367" s="242"/>
      <c r="U367" s="242"/>
      <c r="V367" s="242"/>
      <c r="W367" s="242"/>
      <c r="X367" s="242"/>
      <c r="Y367" s="242"/>
      <c r="Z367" s="242"/>
      <c r="AA367" s="242"/>
      <c r="AB367" s="242"/>
    </row>
    <row r="368">
      <c r="A368" s="242"/>
      <c r="B368" s="13"/>
      <c r="C368" s="242"/>
      <c r="D368" s="13"/>
      <c r="E368" s="13"/>
      <c r="F368" s="13"/>
      <c r="G368" s="13"/>
      <c r="H368" s="13"/>
      <c r="I368" s="242"/>
      <c r="J368" s="242"/>
      <c r="K368" s="242"/>
      <c r="L368" s="242"/>
      <c r="M368" s="242"/>
      <c r="N368" s="242"/>
      <c r="O368" s="242"/>
      <c r="P368" s="242"/>
      <c r="Q368" s="242"/>
      <c r="R368" s="242"/>
      <c r="S368" s="242"/>
      <c r="T368" s="242"/>
      <c r="U368" s="242"/>
      <c r="V368" s="242"/>
      <c r="W368" s="242"/>
      <c r="X368" s="242"/>
      <c r="Y368" s="242"/>
      <c r="Z368" s="242"/>
      <c r="AA368" s="242"/>
      <c r="AB368" s="242"/>
    </row>
    <row r="369">
      <c r="A369" s="242"/>
      <c r="B369" s="13"/>
      <c r="C369" s="242"/>
      <c r="D369" s="13"/>
      <c r="E369" s="13"/>
      <c r="F369" s="13"/>
      <c r="G369" s="13"/>
      <c r="H369" s="13"/>
      <c r="I369" s="242"/>
      <c r="J369" s="242"/>
      <c r="K369" s="242"/>
      <c r="L369" s="242"/>
      <c r="M369" s="242"/>
      <c r="N369" s="242"/>
      <c r="O369" s="242"/>
      <c r="P369" s="242"/>
      <c r="Q369" s="242"/>
      <c r="R369" s="242"/>
      <c r="S369" s="242"/>
      <c r="T369" s="242"/>
      <c r="U369" s="242"/>
      <c r="V369" s="242"/>
      <c r="W369" s="242"/>
      <c r="X369" s="242"/>
      <c r="Y369" s="242"/>
      <c r="Z369" s="242"/>
      <c r="AA369" s="242"/>
      <c r="AB369" s="242"/>
    </row>
    <row r="370">
      <c r="A370" s="242"/>
      <c r="B370" s="13"/>
      <c r="C370" s="242"/>
      <c r="D370" s="13"/>
      <c r="E370" s="13"/>
      <c r="F370" s="13"/>
      <c r="G370" s="13"/>
      <c r="H370" s="13"/>
      <c r="I370" s="242"/>
      <c r="J370" s="242"/>
      <c r="K370" s="242"/>
      <c r="L370" s="242"/>
      <c r="M370" s="242"/>
      <c r="N370" s="242"/>
      <c r="O370" s="242"/>
      <c r="P370" s="242"/>
      <c r="Q370" s="242"/>
      <c r="R370" s="242"/>
      <c r="S370" s="242"/>
      <c r="T370" s="242"/>
      <c r="U370" s="242"/>
      <c r="V370" s="242"/>
      <c r="W370" s="242"/>
      <c r="X370" s="242"/>
      <c r="Y370" s="242"/>
      <c r="Z370" s="242"/>
      <c r="AA370" s="242"/>
      <c r="AB370" s="242"/>
    </row>
    <row r="371">
      <c r="A371" s="242"/>
      <c r="B371" s="13"/>
      <c r="C371" s="242"/>
      <c r="D371" s="13"/>
      <c r="E371" s="13"/>
      <c r="F371" s="13"/>
      <c r="G371" s="13"/>
      <c r="H371" s="13"/>
      <c r="I371" s="242"/>
      <c r="J371" s="242"/>
      <c r="K371" s="242"/>
      <c r="L371" s="242"/>
      <c r="M371" s="242"/>
      <c r="N371" s="242"/>
      <c r="O371" s="242"/>
      <c r="P371" s="242"/>
      <c r="Q371" s="242"/>
      <c r="R371" s="242"/>
      <c r="S371" s="242"/>
      <c r="T371" s="242"/>
      <c r="U371" s="242"/>
      <c r="V371" s="242"/>
      <c r="W371" s="242"/>
      <c r="X371" s="242"/>
      <c r="Y371" s="242"/>
      <c r="Z371" s="242"/>
      <c r="AA371" s="242"/>
      <c r="AB371" s="242"/>
    </row>
    <row r="372">
      <c r="A372" s="242"/>
      <c r="B372" s="13"/>
      <c r="C372" s="242"/>
      <c r="D372" s="13"/>
      <c r="E372" s="13"/>
      <c r="F372" s="13"/>
      <c r="G372" s="13"/>
      <c r="H372" s="13"/>
      <c r="I372" s="242"/>
      <c r="J372" s="242"/>
      <c r="K372" s="242"/>
      <c r="L372" s="242"/>
      <c r="M372" s="242"/>
      <c r="N372" s="242"/>
      <c r="O372" s="242"/>
      <c r="P372" s="242"/>
      <c r="Q372" s="242"/>
      <c r="R372" s="242"/>
      <c r="S372" s="242"/>
      <c r="T372" s="242"/>
      <c r="U372" s="242"/>
      <c r="V372" s="242"/>
      <c r="W372" s="242"/>
      <c r="X372" s="242"/>
      <c r="Y372" s="242"/>
      <c r="Z372" s="242"/>
      <c r="AA372" s="242"/>
      <c r="AB372" s="242"/>
    </row>
    <row r="373">
      <c r="A373" s="242"/>
      <c r="B373" s="13"/>
      <c r="C373" s="242"/>
      <c r="D373" s="13"/>
      <c r="E373" s="13"/>
      <c r="F373" s="13"/>
      <c r="G373" s="13"/>
      <c r="H373" s="13"/>
      <c r="I373" s="242"/>
      <c r="J373" s="242"/>
      <c r="K373" s="242"/>
      <c r="L373" s="242"/>
      <c r="M373" s="242"/>
      <c r="N373" s="242"/>
      <c r="O373" s="242"/>
      <c r="P373" s="242"/>
      <c r="Q373" s="242"/>
      <c r="R373" s="242"/>
      <c r="S373" s="242"/>
      <c r="T373" s="242"/>
      <c r="U373" s="242"/>
      <c r="V373" s="242"/>
      <c r="W373" s="242"/>
      <c r="X373" s="242"/>
      <c r="Y373" s="242"/>
      <c r="Z373" s="242"/>
      <c r="AA373" s="242"/>
      <c r="AB373" s="242"/>
    </row>
    <row r="374">
      <c r="A374" s="242"/>
      <c r="B374" s="13"/>
      <c r="C374" s="242"/>
      <c r="D374" s="13"/>
      <c r="E374" s="13"/>
      <c r="F374" s="13"/>
      <c r="G374" s="13"/>
      <c r="H374" s="13"/>
      <c r="I374" s="242"/>
      <c r="J374" s="242"/>
      <c r="K374" s="242"/>
      <c r="L374" s="242"/>
      <c r="M374" s="242"/>
      <c r="N374" s="242"/>
      <c r="O374" s="242"/>
      <c r="P374" s="242"/>
      <c r="Q374" s="242"/>
      <c r="R374" s="242"/>
      <c r="S374" s="242"/>
      <c r="T374" s="242"/>
      <c r="U374" s="242"/>
      <c r="V374" s="242"/>
      <c r="W374" s="242"/>
      <c r="X374" s="242"/>
      <c r="Y374" s="242"/>
      <c r="Z374" s="242"/>
      <c r="AA374" s="242"/>
      <c r="AB374" s="242"/>
    </row>
    <row r="375">
      <c r="A375" s="242"/>
      <c r="B375" s="13"/>
      <c r="C375" s="242"/>
      <c r="D375" s="13"/>
      <c r="E375" s="13"/>
      <c r="F375" s="13"/>
      <c r="G375" s="13"/>
      <c r="H375" s="13"/>
      <c r="I375" s="242"/>
      <c r="J375" s="242"/>
      <c r="K375" s="242"/>
      <c r="L375" s="242"/>
      <c r="M375" s="242"/>
      <c r="N375" s="242"/>
      <c r="O375" s="242"/>
      <c r="P375" s="242"/>
      <c r="Q375" s="242"/>
      <c r="R375" s="242"/>
      <c r="S375" s="242"/>
      <c r="T375" s="242"/>
      <c r="U375" s="242"/>
      <c r="V375" s="242"/>
      <c r="W375" s="242"/>
      <c r="X375" s="242"/>
      <c r="Y375" s="242"/>
      <c r="Z375" s="242"/>
      <c r="AA375" s="242"/>
      <c r="AB375" s="242"/>
    </row>
    <row r="376">
      <c r="A376" s="242"/>
      <c r="B376" s="13"/>
      <c r="C376" s="242"/>
      <c r="D376" s="13"/>
      <c r="E376" s="13"/>
      <c r="F376" s="13"/>
      <c r="G376" s="13"/>
      <c r="H376" s="13"/>
      <c r="I376" s="242"/>
      <c r="J376" s="242"/>
      <c r="K376" s="242"/>
      <c r="L376" s="242"/>
      <c r="M376" s="242"/>
      <c r="N376" s="242"/>
      <c r="O376" s="242"/>
      <c r="P376" s="242"/>
      <c r="Q376" s="242"/>
      <c r="R376" s="242"/>
      <c r="S376" s="242"/>
      <c r="T376" s="242"/>
      <c r="U376" s="242"/>
      <c r="V376" s="242"/>
      <c r="W376" s="242"/>
      <c r="X376" s="242"/>
      <c r="Y376" s="242"/>
      <c r="Z376" s="242"/>
      <c r="AA376" s="242"/>
      <c r="AB376" s="242"/>
    </row>
    <row r="377">
      <c r="A377" s="242"/>
      <c r="B377" s="13"/>
      <c r="C377" s="242"/>
      <c r="D377" s="13"/>
      <c r="E377" s="13"/>
      <c r="F377" s="13"/>
      <c r="G377" s="13"/>
      <c r="H377" s="13"/>
      <c r="I377" s="242"/>
      <c r="J377" s="242"/>
      <c r="K377" s="242"/>
      <c r="L377" s="242"/>
      <c r="M377" s="242"/>
      <c r="N377" s="242"/>
      <c r="O377" s="242"/>
      <c r="P377" s="242"/>
      <c r="Q377" s="242"/>
      <c r="R377" s="242"/>
      <c r="S377" s="242"/>
      <c r="T377" s="242"/>
      <c r="U377" s="242"/>
      <c r="V377" s="242"/>
      <c r="W377" s="242"/>
      <c r="X377" s="242"/>
      <c r="Y377" s="242"/>
      <c r="Z377" s="242"/>
      <c r="AA377" s="242"/>
      <c r="AB377" s="242"/>
    </row>
    <row r="378">
      <c r="A378" s="242"/>
      <c r="B378" s="13"/>
      <c r="C378" s="242"/>
      <c r="D378" s="13"/>
      <c r="E378" s="13"/>
      <c r="F378" s="13"/>
      <c r="G378" s="13"/>
      <c r="H378" s="13"/>
      <c r="I378" s="242"/>
      <c r="J378" s="242"/>
      <c r="K378" s="242"/>
      <c r="L378" s="242"/>
      <c r="M378" s="242"/>
      <c r="N378" s="242"/>
      <c r="O378" s="242"/>
      <c r="P378" s="242"/>
      <c r="Q378" s="242"/>
      <c r="R378" s="242"/>
      <c r="S378" s="242"/>
      <c r="T378" s="242"/>
      <c r="U378" s="242"/>
      <c r="V378" s="242"/>
      <c r="W378" s="242"/>
      <c r="X378" s="242"/>
      <c r="Y378" s="242"/>
      <c r="Z378" s="242"/>
      <c r="AA378" s="242"/>
      <c r="AB378" s="242"/>
    </row>
    <row r="379">
      <c r="A379" s="242"/>
      <c r="B379" s="13"/>
      <c r="C379" s="242"/>
      <c r="D379" s="13"/>
      <c r="E379" s="13"/>
      <c r="F379" s="13"/>
      <c r="G379" s="13"/>
      <c r="H379" s="13"/>
      <c r="I379" s="242"/>
      <c r="J379" s="242"/>
      <c r="K379" s="242"/>
      <c r="L379" s="242"/>
      <c r="M379" s="242"/>
      <c r="N379" s="242"/>
      <c r="O379" s="242"/>
      <c r="P379" s="242"/>
      <c r="Q379" s="242"/>
      <c r="R379" s="242"/>
      <c r="S379" s="242"/>
      <c r="T379" s="242"/>
      <c r="U379" s="242"/>
      <c r="V379" s="242"/>
      <c r="W379" s="242"/>
      <c r="X379" s="242"/>
      <c r="Y379" s="242"/>
      <c r="Z379" s="242"/>
      <c r="AA379" s="242"/>
      <c r="AB379" s="242"/>
    </row>
    <row r="380">
      <c r="A380" s="242"/>
      <c r="B380" s="13"/>
      <c r="C380" s="242"/>
      <c r="D380" s="13"/>
      <c r="E380" s="13"/>
      <c r="F380" s="13"/>
      <c r="G380" s="13"/>
      <c r="H380" s="13"/>
      <c r="I380" s="242"/>
      <c r="J380" s="242"/>
      <c r="K380" s="242"/>
      <c r="L380" s="242"/>
      <c r="M380" s="242"/>
      <c r="N380" s="242"/>
      <c r="O380" s="242"/>
      <c r="P380" s="242"/>
      <c r="Q380" s="242"/>
      <c r="R380" s="242"/>
      <c r="S380" s="242"/>
      <c r="T380" s="242"/>
      <c r="U380" s="242"/>
      <c r="V380" s="242"/>
      <c r="W380" s="242"/>
      <c r="X380" s="242"/>
      <c r="Y380" s="242"/>
      <c r="Z380" s="242"/>
      <c r="AA380" s="242"/>
      <c r="AB380" s="242"/>
    </row>
    <row r="381">
      <c r="A381" s="242"/>
      <c r="B381" s="13"/>
      <c r="C381" s="242"/>
      <c r="D381" s="13"/>
      <c r="E381" s="13"/>
      <c r="F381" s="13"/>
      <c r="G381" s="13"/>
      <c r="H381" s="13"/>
      <c r="I381" s="242"/>
      <c r="J381" s="242"/>
      <c r="K381" s="242"/>
      <c r="L381" s="242"/>
      <c r="M381" s="242"/>
      <c r="N381" s="242"/>
      <c r="O381" s="242"/>
      <c r="P381" s="242"/>
      <c r="Q381" s="242"/>
      <c r="R381" s="242"/>
      <c r="S381" s="242"/>
      <c r="T381" s="242"/>
      <c r="U381" s="242"/>
      <c r="V381" s="242"/>
      <c r="W381" s="242"/>
      <c r="X381" s="242"/>
      <c r="Y381" s="242"/>
      <c r="Z381" s="242"/>
      <c r="AA381" s="242"/>
      <c r="AB381" s="242"/>
    </row>
    <row r="382">
      <c r="A382" s="242"/>
      <c r="B382" s="13"/>
      <c r="C382" s="242"/>
      <c r="D382" s="13"/>
      <c r="E382" s="13"/>
      <c r="F382" s="13"/>
      <c r="G382" s="13"/>
      <c r="H382" s="13"/>
      <c r="I382" s="242"/>
      <c r="J382" s="242"/>
      <c r="K382" s="242"/>
      <c r="L382" s="242"/>
      <c r="M382" s="242"/>
      <c r="N382" s="242"/>
      <c r="O382" s="242"/>
      <c r="P382" s="242"/>
      <c r="Q382" s="242"/>
      <c r="R382" s="242"/>
      <c r="S382" s="242"/>
      <c r="T382" s="242"/>
      <c r="U382" s="242"/>
      <c r="V382" s="242"/>
      <c r="W382" s="242"/>
      <c r="X382" s="242"/>
      <c r="Y382" s="242"/>
      <c r="Z382" s="242"/>
      <c r="AA382" s="242"/>
      <c r="AB382" s="242"/>
    </row>
    <row r="383">
      <c r="A383" s="242"/>
      <c r="B383" s="13"/>
      <c r="C383" s="242"/>
      <c r="D383" s="13"/>
      <c r="E383" s="13"/>
      <c r="F383" s="13"/>
      <c r="G383" s="13"/>
      <c r="H383" s="13"/>
      <c r="I383" s="242"/>
      <c r="J383" s="242"/>
      <c r="K383" s="242"/>
      <c r="L383" s="242"/>
      <c r="M383" s="242"/>
      <c r="N383" s="242"/>
      <c r="O383" s="242"/>
      <c r="P383" s="242"/>
      <c r="Q383" s="242"/>
      <c r="R383" s="242"/>
      <c r="S383" s="242"/>
      <c r="T383" s="242"/>
      <c r="U383" s="242"/>
      <c r="V383" s="242"/>
      <c r="W383" s="242"/>
      <c r="X383" s="242"/>
      <c r="Y383" s="242"/>
      <c r="Z383" s="242"/>
      <c r="AA383" s="242"/>
      <c r="AB383" s="242"/>
    </row>
    <row r="384">
      <c r="A384" s="242"/>
      <c r="B384" s="13"/>
      <c r="C384" s="242"/>
      <c r="D384" s="13"/>
      <c r="E384" s="13"/>
      <c r="F384" s="13"/>
      <c r="G384" s="13"/>
      <c r="H384" s="13"/>
      <c r="I384" s="242"/>
      <c r="J384" s="242"/>
      <c r="K384" s="242"/>
      <c r="L384" s="242"/>
      <c r="M384" s="242"/>
      <c r="N384" s="242"/>
      <c r="O384" s="242"/>
      <c r="P384" s="242"/>
      <c r="Q384" s="242"/>
      <c r="R384" s="242"/>
      <c r="S384" s="242"/>
      <c r="T384" s="242"/>
      <c r="U384" s="242"/>
      <c r="V384" s="242"/>
      <c r="W384" s="242"/>
      <c r="X384" s="242"/>
      <c r="Y384" s="242"/>
      <c r="Z384" s="242"/>
      <c r="AA384" s="242"/>
      <c r="AB384" s="242"/>
    </row>
    <row r="385">
      <c r="A385" s="242"/>
      <c r="B385" s="13"/>
      <c r="C385" s="242"/>
      <c r="D385" s="13"/>
      <c r="E385" s="13"/>
      <c r="F385" s="13"/>
      <c r="G385" s="13"/>
      <c r="H385" s="13"/>
      <c r="I385" s="242"/>
      <c r="J385" s="242"/>
      <c r="K385" s="242"/>
      <c r="L385" s="242"/>
      <c r="M385" s="242"/>
      <c r="N385" s="242"/>
      <c r="O385" s="242"/>
      <c r="P385" s="242"/>
      <c r="Q385" s="242"/>
      <c r="R385" s="242"/>
      <c r="S385" s="242"/>
      <c r="T385" s="242"/>
      <c r="U385" s="242"/>
      <c r="V385" s="242"/>
      <c r="W385" s="242"/>
      <c r="X385" s="242"/>
      <c r="Y385" s="242"/>
      <c r="Z385" s="242"/>
      <c r="AA385" s="242"/>
      <c r="AB385" s="242"/>
    </row>
    <row r="386">
      <c r="A386" s="242"/>
      <c r="B386" s="13"/>
      <c r="C386" s="242"/>
      <c r="D386" s="13"/>
      <c r="E386" s="13"/>
      <c r="F386" s="13"/>
      <c r="G386" s="13"/>
      <c r="H386" s="13"/>
      <c r="I386" s="242"/>
      <c r="J386" s="242"/>
      <c r="K386" s="242"/>
      <c r="L386" s="242"/>
      <c r="M386" s="242"/>
      <c r="N386" s="242"/>
      <c r="O386" s="242"/>
      <c r="P386" s="242"/>
      <c r="Q386" s="242"/>
      <c r="R386" s="242"/>
      <c r="S386" s="242"/>
      <c r="T386" s="242"/>
      <c r="U386" s="242"/>
      <c r="V386" s="242"/>
      <c r="W386" s="242"/>
      <c r="X386" s="242"/>
      <c r="Y386" s="242"/>
      <c r="Z386" s="242"/>
      <c r="AA386" s="242"/>
      <c r="AB386" s="242"/>
    </row>
    <row r="387">
      <c r="A387" s="242"/>
      <c r="B387" s="13"/>
      <c r="C387" s="242"/>
      <c r="D387" s="13"/>
      <c r="E387" s="13"/>
      <c r="F387" s="13"/>
      <c r="G387" s="13"/>
      <c r="H387" s="13"/>
      <c r="I387" s="242"/>
      <c r="J387" s="242"/>
      <c r="K387" s="242"/>
      <c r="L387" s="242"/>
      <c r="M387" s="242"/>
      <c r="N387" s="242"/>
      <c r="O387" s="242"/>
      <c r="P387" s="242"/>
      <c r="Q387" s="242"/>
      <c r="R387" s="242"/>
      <c r="S387" s="242"/>
      <c r="T387" s="242"/>
      <c r="U387" s="242"/>
      <c r="V387" s="242"/>
      <c r="W387" s="242"/>
      <c r="X387" s="242"/>
      <c r="Y387" s="242"/>
      <c r="Z387" s="242"/>
      <c r="AA387" s="242"/>
      <c r="AB387" s="242"/>
    </row>
    <row r="388">
      <c r="A388" s="242"/>
      <c r="B388" s="13"/>
      <c r="C388" s="242"/>
      <c r="D388" s="13"/>
      <c r="E388" s="13"/>
      <c r="F388" s="13"/>
      <c r="G388" s="13"/>
      <c r="H388" s="13"/>
      <c r="I388" s="242"/>
      <c r="J388" s="242"/>
      <c r="K388" s="242"/>
      <c r="L388" s="242"/>
      <c r="M388" s="242"/>
      <c r="N388" s="242"/>
      <c r="O388" s="242"/>
      <c r="P388" s="242"/>
      <c r="Q388" s="242"/>
      <c r="R388" s="242"/>
      <c r="S388" s="242"/>
      <c r="T388" s="242"/>
      <c r="U388" s="242"/>
      <c r="V388" s="242"/>
      <c r="W388" s="242"/>
      <c r="X388" s="242"/>
      <c r="Y388" s="242"/>
      <c r="Z388" s="242"/>
      <c r="AA388" s="242"/>
      <c r="AB388" s="242"/>
    </row>
    <row r="389">
      <c r="A389" s="242"/>
      <c r="B389" s="13"/>
      <c r="C389" s="242"/>
      <c r="D389" s="13"/>
      <c r="E389" s="13"/>
      <c r="F389" s="13"/>
      <c r="G389" s="13"/>
      <c r="H389" s="13"/>
      <c r="I389" s="242"/>
      <c r="J389" s="242"/>
      <c r="K389" s="242"/>
      <c r="L389" s="242"/>
      <c r="M389" s="242"/>
      <c r="N389" s="242"/>
      <c r="O389" s="242"/>
      <c r="P389" s="242"/>
      <c r="Q389" s="242"/>
      <c r="R389" s="242"/>
      <c r="S389" s="242"/>
      <c r="T389" s="242"/>
      <c r="U389" s="242"/>
      <c r="V389" s="242"/>
      <c r="W389" s="242"/>
      <c r="X389" s="242"/>
      <c r="Y389" s="242"/>
      <c r="Z389" s="242"/>
      <c r="AA389" s="242"/>
      <c r="AB389" s="242"/>
    </row>
    <row r="390">
      <c r="A390" s="242"/>
      <c r="B390" s="13"/>
      <c r="C390" s="242"/>
      <c r="D390" s="13"/>
      <c r="E390" s="13"/>
      <c r="F390" s="13"/>
      <c r="G390" s="13"/>
      <c r="H390" s="13"/>
      <c r="I390" s="242"/>
      <c r="J390" s="242"/>
      <c r="K390" s="242"/>
      <c r="L390" s="242"/>
      <c r="M390" s="242"/>
      <c r="N390" s="242"/>
      <c r="O390" s="242"/>
      <c r="P390" s="242"/>
      <c r="Q390" s="242"/>
      <c r="R390" s="242"/>
      <c r="S390" s="242"/>
      <c r="T390" s="242"/>
      <c r="U390" s="242"/>
      <c r="V390" s="242"/>
      <c r="W390" s="242"/>
      <c r="X390" s="242"/>
      <c r="Y390" s="242"/>
      <c r="Z390" s="242"/>
      <c r="AA390" s="242"/>
      <c r="AB390" s="242"/>
    </row>
    <row r="391">
      <c r="A391" s="242"/>
      <c r="B391" s="13"/>
      <c r="C391" s="242"/>
      <c r="D391" s="13"/>
      <c r="E391" s="13"/>
      <c r="F391" s="13"/>
      <c r="G391" s="13"/>
      <c r="H391" s="13"/>
      <c r="I391" s="242"/>
      <c r="J391" s="242"/>
      <c r="K391" s="242"/>
      <c r="L391" s="242"/>
      <c r="M391" s="242"/>
      <c r="N391" s="242"/>
      <c r="O391" s="242"/>
      <c r="P391" s="242"/>
      <c r="Q391" s="242"/>
      <c r="R391" s="242"/>
      <c r="S391" s="242"/>
      <c r="T391" s="242"/>
      <c r="U391" s="242"/>
      <c r="V391" s="242"/>
      <c r="W391" s="242"/>
      <c r="X391" s="242"/>
      <c r="Y391" s="242"/>
      <c r="Z391" s="242"/>
      <c r="AA391" s="242"/>
      <c r="AB391" s="242"/>
    </row>
    <row r="392">
      <c r="A392" s="242"/>
      <c r="B392" s="13"/>
      <c r="C392" s="242"/>
      <c r="D392" s="13"/>
      <c r="E392" s="13"/>
      <c r="F392" s="13"/>
      <c r="G392" s="13"/>
      <c r="H392" s="13"/>
      <c r="I392" s="242"/>
      <c r="J392" s="242"/>
      <c r="K392" s="242"/>
      <c r="L392" s="242"/>
      <c r="M392" s="242"/>
      <c r="N392" s="242"/>
      <c r="O392" s="242"/>
      <c r="P392" s="242"/>
      <c r="Q392" s="242"/>
      <c r="R392" s="242"/>
      <c r="S392" s="242"/>
      <c r="T392" s="242"/>
      <c r="U392" s="242"/>
      <c r="V392" s="242"/>
      <c r="W392" s="242"/>
      <c r="X392" s="242"/>
      <c r="Y392" s="242"/>
      <c r="Z392" s="242"/>
      <c r="AA392" s="242"/>
      <c r="AB392" s="242"/>
    </row>
    <row r="393">
      <c r="A393" s="242"/>
      <c r="B393" s="13"/>
      <c r="C393" s="242"/>
      <c r="D393" s="13"/>
      <c r="E393" s="13"/>
      <c r="F393" s="13"/>
      <c r="G393" s="13"/>
      <c r="H393" s="13"/>
      <c r="I393" s="242"/>
      <c r="J393" s="242"/>
      <c r="K393" s="242"/>
      <c r="L393" s="242"/>
      <c r="M393" s="242"/>
      <c r="N393" s="242"/>
      <c r="O393" s="242"/>
      <c r="P393" s="242"/>
      <c r="Q393" s="242"/>
      <c r="R393" s="242"/>
      <c r="S393" s="242"/>
      <c r="T393" s="242"/>
      <c r="U393" s="242"/>
      <c r="V393" s="242"/>
      <c r="W393" s="242"/>
      <c r="X393" s="242"/>
      <c r="Y393" s="242"/>
      <c r="Z393" s="242"/>
      <c r="AA393" s="242"/>
      <c r="AB393" s="242"/>
    </row>
    <row r="394">
      <c r="A394" s="242"/>
      <c r="B394" s="13"/>
      <c r="C394" s="242"/>
      <c r="D394" s="13"/>
      <c r="E394" s="13"/>
      <c r="F394" s="13"/>
      <c r="G394" s="13"/>
      <c r="H394" s="13"/>
      <c r="I394" s="242"/>
      <c r="J394" s="242"/>
      <c r="K394" s="242"/>
      <c r="L394" s="242"/>
      <c r="M394" s="242"/>
      <c r="N394" s="242"/>
      <c r="O394" s="242"/>
      <c r="P394" s="242"/>
      <c r="Q394" s="242"/>
      <c r="R394" s="242"/>
      <c r="S394" s="242"/>
      <c r="T394" s="242"/>
      <c r="U394" s="242"/>
      <c r="V394" s="242"/>
      <c r="W394" s="242"/>
      <c r="X394" s="242"/>
      <c r="Y394" s="242"/>
      <c r="Z394" s="242"/>
      <c r="AA394" s="242"/>
      <c r="AB394" s="242"/>
    </row>
    <row r="395">
      <c r="A395" s="242"/>
      <c r="B395" s="13"/>
      <c r="C395" s="242"/>
      <c r="D395" s="13"/>
      <c r="E395" s="13"/>
      <c r="F395" s="13"/>
      <c r="G395" s="13"/>
      <c r="H395" s="13"/>
      <c r="I395" s="242"/>
      <c r="J395" s="242"/>
      <c r="K395" s="242"/>
      <c r="L395" s="242"/>
      <c r="M395" s="242"/>
      <c r="N395" s="242"/>
      <c r="O395" s="242"/>
      <c r="P395" s="242"/>
      <c r="Q395" s="242"/>
      <c r="R395" s="242"/>
      <c r="S395" s="242"/>
      <c r="T395" s="242"/>
      <c r="U395" s="242"/>
      <c r="V395" s="242"/>
      <c r="W395" s="242"/>
      <c r="X395" s="242"/>
      <c r="Y395" s="242"/>
      <c r="Z395" s="242"/>
      <c r="AA395" s="242"/>
      <c r="AB395" s="242"/>
    </row>
    <row r="396">
      <c r="A396" s="242"/>
      <c r="B396" s="13"/>
      <c r="C396" s="242"/>
      <c r="D396" s="13"/>
      <c r="E396" s="13"/>
      <c r="F396" s="13"/>
      <c r="G396" s="13"/>
      <c r="H396" s="13"/>
      <c r="I396" s="242"/>
      <c r="J396" s="242"/>
      <c r="K396" s="242"/>
      <c r="L396" s="242"/>
      <c r="M396" s="242"/>
      <c r="N396" s="242"/>
      <c r="O396" s="242"/>
      <c r="P396" s="242"/>
      <c r="Q396" s="242"/>
      <c r="R396" s="242"/>
      <c r="S396" s="242"/>
      <c r="T396" s="242"/>
      <c r="U396" s="242"/>
      <c r="V396" s="242"/>
      <c r="W396" s="242"/>
      <c r="X396" s="242"/>
      <c r="Y396" s="242"/>
      <c r="Z396" s="242"/>
      <c r="AA396" s="242"/>
      <c r="AB396" s="242"/>
    </row>
    <row r="397">
      <c r="A397" s="242"/>
      <c r="B397" s="13"/>
      <c r="C397" s="242"/>
      <c r="D397" s="13"/>
      <c r="E397" s="13"/>
      <c r="F397" s="13"/>
      <c r="G397" s="13"/>
      <c r="H397" s="13"/>
      <c r="I397" s="242"/>
      <c r="J397" s="242"/>
      <c r="K397" s="242"/>
      <c r="L397" s="242"/>
      <c r="M397" s="242"/>
      <c r="N397" s="242"/>
      <c r="O397" s="242"/>
      <c r="P397" s="242"/>
      <c r="Q397" s="242"/>
      <c r="R397" s="242"/>
      <c r="S397" s="242"/>
      <c r="T397" s="242"/>
      <c r="U397" s="242"/>
      <c r="V397" s="242"/>
      <c r="W397" s="242"/>
      <c r="X397" s="242"/>
      <c r="Y397" s="242"/>
      <c r="Z397" s="242"/>
      <c r="AA397" s="242"/>
      <c r="AB397" s="242"/>
    </row>
    <row r="398">
      <c r="A398" s="242"/>
      <c r="B398" s="13"/>
      <c r="C398" s="242"/>
      <c r="D398" s="13"/>
      <c r="E398" s="13"/>
      <c r="F398" s="13"/>
      <c r="G398" s="13"/>
      <c r="H398" s="13"/>
      <c r="I398" s="242"/>
      <c r="J398" s="242"/>
      <c r="K398" s="242"/>
      <c r="L398" s="242"/>
      <c r="M398" s="242"/>
      <c r="N398" s="242"/>
      <c r="O398" s="242"/>
      <c r="P398" s="242"/>
      <c r="Q398" s="242"/>
      <c r="R398" s="242"/>
      <c r="S398" s="242"/>
      <c r="T398" s="242"/>
      <c r="U398" s="242"/>
      <c r="V398" s="242"/>
      <c r="W398" s="242"/>
      <c r="X398" s="242"/>
      <c r="Y398" s="242"/>
      <c r="Z398" s="242"/>
      <c r="AA398" s="242"/>
      <c r="AB398" s="242"/>
    </row>
    <row r="399">
      <c r="A399" s="242"/>
      <c r="B399" s="13"/>
      <c r="C399" s="242"/>
      <c r="D399" s="13"/>
      <c r="E399" s="13"/>
      <c r="F399" s="13"/>
      <c r="G399" s="13"/>
      <c r="H399" s="13"/>
      <c r="I399" s="242"/>
      <c r="J399" s="242"/>
      <c r="K399" s="242"/>
      <c r="L399" s="242"/>
      <c r="M399" s="242"/>
      <c r="N399" s="242"/>
      <c r="O399" s="242"/>
      <c r="P399" s="242"/>
      <c r="Q399" s="242"/>
      <c r="R399" s="242"/>
      <c r="S399" s="242"/>
      <c r="T399" s="242"/>
      <c r="U399" s="242"/>
      <c r="V399" s="242"/>
      <c r="W399" s="242"/>
      <c r="X399" s="242"/>
      <c r="Y399" s="242"/>
      <c r="Z399" s="242"/>
      <c r="AA399" s="242"/>
      <c r="AB399" s="242"/>
    </row>
    <row r="400">
      <c r="A400" s="242"/>
      <c r="B400" s="13"/>
      <c r="C400" s="242"/>
      <c r="D400" s="13"/>
      <c r="E400" s="13"/>
      <c r="F400" s="13"/>
      <c r="G400" s="13"/>
      <c r="H400" s="13"/>
      <c r="I400" s="242"/>
      <c r="J400" s="242"/>
      <c r="K400" s="242"/>
      <c r="L400" s="242"/>
      <c r="M400" s="242"/>
      <c r="N400" s="242"/>
      <c r="O400" s="242"/>
      <c r="P400" s="242"/>
      <c r="Q400" s="242"/>
      <c r="R400" s="242"/>
      <c r="S400" s="242"/>
      <c r="T400" s="242"/>
      <c r="U400" s="242"/>
      <c r="V400" s="242"/>
      <c r="W400" s="242"/>
      <c r="X400" s="242"/>
      <c r="Y400" s="242"/>
      <c r="Z400" s="242"/>
      <c r="AA400" s="242"/>
      <c r="AB400" s="242"/>
    </row>
    <row r="401">
      <c r="A401" s="242"/>
      <c r="B401" s="13"/>
      <c r="C401" s="242"/>
      <c r="D401" s="13"/>
      <c r="E401" s="13"/>
      <c r="F401" s="13"/>
      <c r="G401" s="13"/>
      <c r="H401" s="13"/>
      <c r="I401" s="242"/>
      <c r="J401" s="242"/>
      <c r="K401" s="242"/>
      <c r="L401" s="242"/>
      <c r="M401" s="242"/>
      <c r="N401" s="242"/>
      <c r="O401" s="242"/>
      <c r="P401" s="242"/>
      <c r="Q401" s="242"/>
      <c r="R401" s="242"/>
      <c r="S401" s="242"/>
      <c r="T401" s="242"/>
      <c r="U401" s="242"/>
      <c r="V401" s="242"/>
      <c r="W401" s="242"/>
      <c r="X401" s="242"/>
      <c r="Y401" s="242"/>
      <c r="Z401" s="242"/>
      <c r="AA401" s="242"/>
      <c r="AB401" s="242"/>
    </row>
    <row r="402">
      <c r="A402" s="242"/>
      <c r="B402" s="13"/>
      <c r="C402" s="242"/>
      <c r="D402" s="13"/>
      <c r="E402" s="13"/>
      <c r="F402" s="13"/>
      <c r="G402" s="13"/>
      <c r="H402" s="13"/>
      <c r="I402" s="242"/>
      <c r="J402" s="242"/>
      <c r="K402" s="242"/>
      <c r="L402" s="242"/>
      <c r="M402" s="242"/>
      <c r="N402" s="242"/>
      <c r="O402" s="242"/>
      <c r="P402" s="242"/>
      <c r="Q402" s="242"/>
      <c r="R402" s="242"/>
      <c r="S402" s="242"/>
      <c r="T402" s="242"/>
      <c r="U402" s="242"/>
      <c r="V402" s="242"/>
      <c r="W402" s="242"/>
      <c r="X402" s="242"/>
      <c r="Y402" s="242"/>
      <c r="Z402" s="242"/>
      <c r="AA402" s="242"/>
      <c r="AB402" s="242"/>
    </row>
    <row r="403">
      <c r="A403" s="242"/>
      <c r="B403" s="13"/>
      <c r="C403" s="242"/>
      <c r="D403" s="13"/>
      <c r="E403" s="13"/>
      <c r="F403" s="13"/>
      <c r="G403" s="13"/>
      <c r="H403" s="13"/>
      <c r="I403" s="242"/>
      <c r="J403" s="242"/>
      <c r="K403" s="242"/>
      <c r="L403" s="242"/>
      <c r="M403" s="242"/>
      <c r="N403" s="242"/>
      <c r="O403" s="242"/>
      <c r="P403" s="242"/>
      <c r="Q403" s="242"/>
      <c r="R403" s="242"/>
      <c r="S403" s="242"/>
      <c r="T403" s="242"/>
      <c r="U403" s="242"/>
      <c r="V403" s="242"/>
      <c r="W403" s="242"/>
      <c r="X403" s="242"/>
      <c r="Y403" s="242"/>
      <c r="Z403" s="242"/>
      <c r="AA403" s="242"/>
      <c r="AB403" s="242"/>
    </row>
    <row r="404">
      <c r="A404" s="242"/>
      <c r="B404" s="13"/>
      <c r="C404" s="242"/>
      <c r="D404" s="13"/>
      <c r="E404" s="13"/>
      <c r="F404" s="13"/>
      <c r="G404" s="13"/>
      <c r="H404" s="13"/>
      <c r="I404" s="242"/>
      <c r="J404" s="242"/>
      <c r="K404" s="242"/>
      <c r="L404" s="242"/>
      <c r="M404" s="242"/>
      <c r="N404" s="242"/>
      <c r="O404" s="242"/>
      <c r="P404" s="242"/>
      <c r="Q404" s="242"/>
      <c r="R404" s="242"/>
      <c r="S404" s="242"/>
      <c r="T404" s="242"/>
      <c r="U404" s="242"/>
      <c r="V404" s="242"/>
      <c r="W404" s="242"/>
      <c r="X404" s="242"/>
      <c r="Y404" s="242"/>
      <c r="Z404" s="242"/>
      <c r="AA404" s="242"/>
      <c r="AB404" s="242"/>
    </row>
    <row r="405">
      <c r="A405" s="242"/>
      <c r="B405" s="13"/>
      <c r="C405" s="242"/>
      <c r="D405" s="13"/>
      <c r="E405" s="13"/>
      <c r="F405" s="13"/>
      <c r="G405" s="13"/>
      <c r="H405" s="13"/>
      <c r="I405" s="242"/>
      <c r="J405" s="242"/>
      <c r="K405" s="242"/>
      <c r="L405" s="242"/>
      <c r="M405" s="242"/>
      <c r="N405" s="242"/>
      <c r="O405" s="242"/>
      <c r="P405" s="242"/>
      <c r="Q405" s="242"/>
      <c r="R405" s="242"/>
      <c r="S405" s="242"/>
      <c r="T405" s="242"/>
      <c r="U405" s="242"/>
      <c r="V405" s="242"/>
      <c r="W405" s="242"/>
      <c r="X405" s="242"/>
      <c r="Y405" s="242"/>
      <c r="Z405" s="242"/>
      <c r="AA405" s="242"/>
      <c r="AB405" s="242"/>
    </row>
    <row r="406">
      <c r="A406" s="242"/>
      <c r="B406" s="13"/>
      <c r="C406" s="242"/>
      <c r="D406" s="13"/>
      <c r="E406" s="13"/>
      <c r="F406" s="13"/>
      <c r="G406" s="13"/>
      <c r="H406" s="13"/>
      <c r="I406" s="242"/>
      <c r="J406" s="242"/>
      <c r="K406" s="242"/>
      <c r="L406" s="242"/>
      <c r="M406" s="242"/>
      <c r="N406" s="242"/>
      <c r="O406" s="242"/>
      <c r="P406" s="242"/>
      <c r="Q406" s="242"/>
      <c r="R406" s="242"/>
      <c r="S406" s="242"/>
      <c r="T406" s="242"/>
      <c r="U406" s="242"/>
      <c r="V406" s="242"/>
      <c r="W406" s="242"/>
      <c r="X406" s="242"/>
      <c r="Y406" s="242"/>
      <c r="Z406" s="242"/>
      <c r="AA406" s="242"/>
      <c r="AB406" s="242"/>
    </row>
    <row r="407">
      <c r="A407" s="242"/>
      <c r="B407" s="13"/>
      <c r="C407" s="242"/>
      <c r="D407" s="13"/>
      <c r="E407" s="13"/>
      <c r="F407" s="13"/>
      <c r="G407" s="13"/>
      <c r="H407" s="13"/>
      <c r="I407" s="242"/>
      <c r="J407" s="242"/>
      <c r="K407" s="242"/>
      <c r="L407" s="242"/>
      <c r="M407" s="242"/>
      <c r="N407" s="242"/>
      <c r="O407" s="242"/>
      <c r="P407" s="242"/>
      <c r="Q407" s="242"/>
      <c r="R407" s="242"/>
      <c r="S407" s="242"/>
      <c r="T407" s="242"/>
      <c r="U407" s="242"/>
      <c r="V407" s="242"/>
      <c r="W407" s="242"/>
      <c r="X407" s="242"/>
      <c r="Y407" s="242"/>
      <c r="Z407" s="242"/>
      <c r="AA407" s="242"/>
      <c r="AB407" s="242"/>
    </row>
    <row r="408">
      <c r="A408" s="242"/>
      <c r="B408" s="13"/>
      <c r="C408" s="242"/>
      <c r="D408" s="13"/>
      <c r="E408" s="13"/>
      <c r="F408" s="13"/>
      <c r="G408" s="13"/>
      <c r="H408" s="13"/>
      <c r="I408" s="242"/>
      <c r="J408" s="242"/>
      <c r="K408" s="242"/>
      <c r="L408" s="242"/>
      <c r="M408" s="242"/>
      <c r="N408" s="242"/>
      <c r="O408" s="242"/>
      <c r="P408" s="242"/>
      <c r="Q408" s="242"/>
      <c r="R408" s="242"/>
      <c r="S408" s="242"/>
      <c r="T408" s="242"/>
      <c r="U408" s="242"/>
      <c r="V408" s="242"/>
      <c r="W408" s="242"/>
      <c r="X408" s="242"/>
      <c r="Y408" s="242"/>
      <c r="Z408" s="242"/>
      <c r="AA408" s="242"/>
      <c r="AB408" s="242"/>
    </row>
    <row r="409">
      <c r="A409" s="242"/>
      <c r="B409" s="13"/>
      <c r="C409" s="242"/>
      <c r="D409" s="13"/>
      <c r="E409" s="13"/>
      <c r="F409" s="13"/>
      <c r="G409" s="13"/>
      <c r="H409" s="13"/>
      <c r="I409" s="242"/>
      <c r="J409" s="242"/>
      <c r="K409" s="242"/>
      <c r="L409" s="242"/>
      <c r="M409" s="242"/>
      <c r="N409" s="242"/>
      <c r="O409" s="242"/>
      <c r="P409" s="242"/>
      <c r="Q409" s="242"/>
      <c r="R409" s="242"/>
      <c r="S409" s="242"/>
      <c r="T409" s="242"/>
      <c r="U409" s="242"/>
      <c r="V409" s="242"/>
      <c r="W409" s="242"/>
      <c r="X409" s="242"/>
      <c r="Y409" s="242"/>
      <c r="Z409" s="242"/>
      <c r="AA409" s="242"/>
      <c r="AB409" s="242"/>
    </row>
    <row r="410">
      <c r="A410" s="242"/>
      <c r="B410" s="13"/>
      <c r="C410" s="242"/>
      <c r="D410" s="13"/>
      <c r="E410" s="13"/>
      <c r="F410" s="13"/>
      <c r="G410" s="13"/>
      <c r="H410" s="13"/>
      <c r="I410" s="242"/>
      <c r="J410" s="242"/>
      <c r="K410" s="242"/>
      <c r="L410" s="242"/>
      <c r="M410" s="242"/>
      <c r="N410" s="242"/>
      <c r="O410" s="242"/>
      <c r="P410" s="242"/>
      <c r="Q410" s="242"/>
      <c r="R410" s="242"/>
      <c r="S410" s="242"/>
      <c r="T410" s="242"/>
      <c r="U410" s="242"/>
      <c r="V410" s="242"/>
      <c r="W410" s="242"/>
      <c r="X410" s="242"/>
      <c r="Y410" s="242"/>
      <c r="Z410" s="242"/>
      <c r="AA410" s="242"/>
      <c r="AB410" s="242"/>
    </row>
    <row r="411">
      <c r="A411" s="242"/>
      <c r="B411" s="13"/>
      <c r="C411" s="242"/>
      <c r="D411" s="13"/>
      <c r="E411" s="13"/>
      <c r="F411" s="13"/>
      <c r="G411" s="13"/>
      <c r="H411" s="13"/>
      <c r="I411" s="242"/>
      <c r="J411" s="242"/>
      <c r="K411" s="242"/>
      <c r="L411" s="242"/>
      <c r="M411" s="242"/>
      <c r="N411" s="242"/>
      <c r="O411" s="242"/>
      <c r="P411" s="242"/>
      <c r="Q411" s="242"/>
      <c r="R411" s="242"/>
      <c r="S411" s="242"/>
      <c r="T411" s="242"/>
      <c r="U411" s="242"/>
      <c r="V411" s="242"/>
      <c r="W411" s="242"/>
      <c r="X411" s="242"/>
      <c r="Y411" s="242"/>
      <c r="Z411" s="242"/>
      <c r="AA411" s="242"/>
      <c r="AB411" s="242"/>
    </row>
    <row r="412">
      <c r="A412" s="242"/>
      <c r="B412" s="13"/>
      <c r="C412" s="242"/>
      <c r="D412" s="13"/>
      <c r="E412" s="13"/>
      <c r="F412" s="13"/>
      <c r="G412" s="13"/>
      <c r="H412" s="13"/>
      <c r="I412" s="242"/>
      <c r="J412" s="242"/>
      <c r="K412" s="242"/>
      <c r="L412" s="242"/>
      <c r="M412" s="242"/>
      <c r="N412" s="242"/>
      <c r="O412" s="242"/>
      <c r="P412" s="242"/>
      <c r="Q412" s="242"/>
      <c r="R412" s="242"/>
      <c r="S412" s="242"/>
      <c r="T412" s="242"/>
      <c r="U412" s="242"/>
      <c r="V412" s="242"/>
      <c r="W412" s="242"/>
      <c r="X412" s="242"/>
      <c r="Y412" s="242"/>
      <c r="Z412" s="242"/>
      <c r="AA412" s="242"/>
      <c r="AB412" s="242"/>
    </row>
    <row r="413">
      <c r="A413" s="242"/>
      <c r="B413" s="13"/>
      <c r="C413" s="242"/>
      <c r="D413" s="13"/>
      <c r="E413" s="13"/>
      <c r="F413" s="13"/>
      <c r="G413" s="13"/>
      <c r="H413" s="13"/>
      <c r="I413" s="242"/>
      <c r="J413" s="242"/>
      <c r="K413" s="242"/>
      <c r="L413" s="242"/>
      <c r="M413" s="242"/>
      <c r="N413" s="242"/>
      <c r="O413" s="242"/>
      <c r="P413" s="242"/>
      <c r="Q413" s="242"/>
      <c r="R413" s="242"/>
      <c r="S413" s="242"/>
      <c r="T413" s="242"/>
      <c r="U413" s="242"/>
      <c r="V413" s="242"/>
      <c r="W413" s="242"/>
      <c r="X413" s="242"/>
      <c r="Y413" s="242"/>
      <c r="Z413" s="242"/>
      <c r="AA413" s="242"/>
      <c r="AB413" s="242"/>
    </row>
    <row r="414">
      <c r="A414" s="242"/>
      <c r="B414" s="13"/>
      <c r="C414" s="242"/>
      <c r="D414" s="13"/>
      <c r="E414" s="13"/>
      <c r="F414" s="13"/>
      <c r="G414" s="13"/>
      <c r="H414" s="13"/>
      <c r="I414" s="242"/>
      <c r="J414" s="242"/>
      <c r="K414" s="242"/>
      <c r="L414" s="242"/>
      <c r="M414" s="242"/>
      <c r="N414" s="242"/>
      <c r="O414" s="242"/>
      <c r="P414" s="242"/>
      <c r="Q414" s="242"/>
      <c r="R414" s="242"/>
      <c r="S414" s="242"/>
      <c r="T414" s="242"/>
      <c r="U414" s="242"/>
      <c r="V414" s="242"/>
      <c r="W414" s="242"/>
      <c r="X414" s="242"/>
      <c r="Y414" s="242"/>
      <c r="Z414" s="242"/>
      <c r="AA414" s="242"/>
      <c r="AB414" s="242"/>
    </row>
    <row r="415">
      <c r="A415" s="242"/>
      <c r="B415" s="13"/>
      <c r="C415" s="242"/>
      <c r="D415" s="13"/>
      <c r="E415" s="13"/>
      <c r="F415" s="13"/>
      <c r="G415" s="13"/>
      <c r="H415" s="13"/>
      <c r="I415" s="242"/>
      <c r="J415" s="242"/>
      <c r="K415" s="242"/>
      <c r="L415" s="242"/>
      <c r="M415" s="242"/>
      <c r="N415" s="242"/>
      <c r="O415" s="242"/>
      <c r="P415" s="242"/>
      <c r="Q415" s="242"/>
      <c r="R415" s="242"/>
      <c r="S415" s="242"/>
      <c r="T415" s="242"/>
      <c r="U415" s="242"/>
      <c r="V415" s="242"/>
      <c r="W415" s="242"/>
      <c r="X415" s="242"/>
      <c r="Y415" s="242"/>
      <c r="Z415" s="242"/>
      <c r="AA415" s="242"/>
      <c r="AB415" s="242"/>
    </row>
    <row r="416">
      <c r="A416" s="242"/>
      <c r="B416" s="13"/>
      <c r="C416" s="242"/>
      <c r="D416" s="13"/>
      <c r="E416" s="13"/>
      <c r="F416" s="13"/>
      <c r="G416" s="13"/>
      <c r="H416" s="13"/>
      <c r="I416" s="242"/>
      <c r="J416" s="242"/>
      <c r="K416" s="242"/>
      <c r="L416" s="242"/>
      <c r="M416" s="242"/>
      <c r="N416" s="242"/>
      <c r="O416" s="242"/>
      <c r="P416" s="242"/>
      <c r="Q416" s="242"/>
      <c r="R416" s="242"/>
      <c r="S416" s="242"/>
      <c r="T416" s="242"/>
      <c r="U416" s="242"/>
      <c r="V416" s="242"/>
      <c r="W416" s="242"/>
      <c r="X416" s="242"/>
      <c r="Y416" s="242"/>
      <c r="Z416" s="242"/>
      <c r="AA416" s="242"/>
      <c r="AB416" s="242"/>
    </row>
    <row r="417">
      <c r="A417" s="242"/>
      <c r="B417" s="13"/>
      <c r="C417" s="242"/>
      <c r="D417" s="13"/>
      <c r="E417" s="13"/>
      <c r="F417" s="13"/>
      <c r="G417" s="13"/>
      <c r="H417" s="13"/>
      <c r="I417" s="242"/>
      <c r="J417" s="242"/>
      <c r="K417" s="242"/>
      <c r="L417" s="242"/>
      <c r="M417" s="242"/>
      <c r="N417" s="242"/>
      <c r="O417" s="242"/>
      <c r="P417" s="242"/>
      <c r="Q417" s="242"/>
      <c r="R417" s="242"/>
      <c r="S417" s="242"/>
      <c r="T417" s="242"/>
      <c r="U417" s="242"/>
      <c r="V417" s="242"/>
      <c r="W417" s="242"/>
      <c r="X417" s="242"/>
      <c r="Y417" s="242"/>
      <c r="Z417" s="242"/>
      <c r="AA417" s="242"/>
      <c r="AB417" s="242"/>
    </row>
    <row r="418">
      <c r="A418" s="242"/>
      <c r="B418" s="13"/>
      <c r="C418" s="242"/>
      <c r="D418" s="13"/>
      <c r="E418" s="13"/>
      <c r="F418" s="13"/>
      <c r="G418" s="13"/>
      <c r="H418" s="13"/>
      <c r="I418" s="242"/>
      <c r="J418" s="242"/>
      <c r="K418" s="242"/>
      <c r="L418" s="242"/>
      <c r="M418" s="242"/>
      <c r="N418" s="242"/>
      <c r="O418" s="242"/>
      <c r="P418" s="242"/>
      <c r="Q418" s="242"/>
      <c r="R418" s="242"/>
      <c r="S418" s="242"/>
      <c r="T418" s="242"/>
      <c r="U418" s="242"/>
      <c r="V418" s="242"/>
      <c r="W418" s="242"/>
      <c r="X418" s="242"/>
      <c r="Y418" s="242"/>
      <c r="Z418" s="242"/>
      <c r="AA418" s="242"/>
      <c r="AB418" s="242"/>
    </row>
    <row r="419">
      <c r="A419" s="242"/>
      <c r="B419" s="13"/>
      <c r="C419" s="242"/>
      <c r="D419" s="13"/>
      <c r="E419" s="13"/>
      <c r="F419" s="13"/>
      <c r="G419" s="13"/>
      <c r="H419" s="13"/>
      <c r="I419" s="242"/>
      <c r="J419" s="242"/>
      <c r="K419" s="242"/>
      <c r="L419" s="242"/>
      <c r="M419" s="242"/>
      <c r="N419" s="242"/>
      <c r="O419" s="242"/>
      <c r="P419" s="242"/>
      <c r="Q419" s="242"/>
      <c r="R419" s="242"/>
      <c r="S419" s="242"/>
      <c r="T419" s="242"/>
      <c r="U419" s="242"/>
      <c r="V419" s="242"/>
      <c r="W419" s="242"/>
      <c r="X419" s="242"/>
      <c r="Y419" s="242"/>
      <c r="Z419" s="242"/>
      <c r="AA419" s="242"/>
      <c r="AB419" s="242"/>
    </row>
    <row r="420">
      <c r="A420" s="242"/>
      <c r="B420" s="13"/>
      <c r="C420" s="242"/>
      <c r="D420" s="13"/>
      <c r="E420" s="13"/>
      <c r="F420" s="13"/>
      <c r="G420" s="13"/>
      <c r="H420" s="13"/>
      <c r="I420" s="242"/>
      <c r="J420" s="242"/>
      <c r="K420" s="242"/>
      <c r="L420" s="242"/>
      <c r="M420" s="242"/>
      <c r="N420" s="242"/>
      <c r="O420" s="242"/>
      <c r="P420" s="242"/>
      <c r="Q420" s="242"/>
      <c r="R420" s="242"/>
      <c r="S420" s="242"/>
      <c r="T420" s="242"/>
      <c r="U420" s="242"/>
      <c r="V420" s="242"/>
      <c r="W420" s="242"/>
      <c r="X420" s="242"/>
      <c r="Y420" s="242"/>
      <c r="Z420" s="242"/>
      <c r="AA420" s="242"/>
      <c r="AB420" s="242"/>
    </row>
    <row r="421">
      <c r="A421" s="242"/>
      <c r="B421" s="13"/>
      <c r="C421" s="242"/>
      <c r="D421" s="13"/>
      <c r="E421" s="13"/>
      <c r="F421" s="13"/>
      <c r="G421" s="13"/>
      <c r="H421" s="13"/>
      <c r="I421" s="242"/>
      <c r="J421" s="242"/>
      <c r="K421" s="242"/>
      <c r="L421" s="242"/>
      <c r="M421" s="242"/>
      <c r="N421" s="242"/>
      <c r="O421" s="242"/>
      <c r="P421" s="242"/>
      <c r="Q421" s="242"/>
      <c r="R421" s="242"/>
      <c r="S421" s="242"/>
      <c r="T421" s="242"/>
      <c r="U421" s="242"/>
      <c r="V421" s="242"/>
      <c r="W421" s="242"/>
      <c r="X421" s="242"/>
      <c r="Y421" s="242"/>
      <c r="Z421" s="242"/>
      <c r="AA421" s="242"/>
      <c r="AB421" s="242"/>
    </row>
    <row r="422">
      <c r="A422" s="242"/>
      <c r="B422" s="13"/>
      <c r="C422" s="242"/>
      <c r="D422" s="13"/>
      <c r="E422" s="13"/>
      <c r="F422" s="13"/>
      <c r="G422" s="13"/>
      <c r="H422" s="13"/>
      <c r="I422" s="242"/>
      <c r="J422" s="242"/>
      <c r="K422" s="242"/>
      <c r="L422" s="242"/>
      <c r="M422" s="242"/>
      <c r="N422" s="242"/>
      <c r="O422" s="242"/>
      <c r="P422" s="242"/>
      <c r="Q422" s="242"/>
      <c r="R422" s="242"/>
      <c r="S422" s="242"/>
      <c r="T422" s="242"/>
      <c r="U422" s="242"/>
      <c r="V422" s="242"/>
      <c r="W422" s="242"/>
      <c r="X422" s="242"/>
      <c r="Y422" s="242"/>
      <c r="Z422" s="242"/>
      <c r="AA422" s="242"/>
      <c r="AB422" s="242"/>
    </row>
    <row r="423">
      <c r="A423" s="242"/>
      <c r="B423" s="13"/>
      <c r="C423" s="242"/>
      <c r="D423" s="13"/>
      <c r="E423" s="13"/>
      <c r="F423" s="13"/>
      <c r="G423" s="13"/>
      <c r="H423" s="13"/>
      <c r="I423" s="242"/>
      <c r="J423" s="242"/>
      <c r="K423" s="242"/>
      <c r="L423" s="242"/>
      <c r="M423" s="242"/>
      <c r="N423" s="242"/>
      <c r="O423" s="242"/>
      <c r="P423" s="242"/>
      <c r="Q423" s="242"/>
      <c r="R423" s="242"/>
      <c r="S423" s="242"/>
      <c r="T423" s="242"/>
      <c r="U423" s="242"/>
      <c r="V423" s="242"/>
      <c r="W423" s="242"/>
      <c r="X423" s="242"/>
      <c r="Y423" s="242"/>
      <c r="Z423" s="242"/>
      <c r="AA423" s="242"/>
      <c r="AB423" s="242"/>
    </row>
    <row r="424">
      <c r="A424" s="242"/>
      <c r="B424" s="13"/>
      <c r="C424" s="242"/>
      <c r="D424" s="13"/>
      <c r="E424" s="13"/>
      <c r="F424" s="13"/>
      <c r="G424" s="13"/>
      <c r="H424" s="13"/>
      <c r="I424" s="242"/>
      <c r="J424" s="242"/>
      <c r="K424" s="242"/>
      <c r="L424" s="242"/>
      <c r="M424" s="242"/>
      <c r="N424" s="242"/>
      <c r="O424" s="242"/>
      <c r="P424" s="242"/>
      <c r="Q424" s="242"/>
      <c r="R424" s="242"/>
      <c r="S424" s="242"/>
      <c r="T424" s="242"/>
      <c r="U424" s="242"/>
      <c r="V424" s="242"/>
      <c r="W424" s="242"/>
      <c r="X424" s="242"/>
      <c r="Y424" s="242"/>
      <c r="Z424" s="242"/>
      <c r="AA424" s="242"/>
      <c r="AB424" s="242"/>
    </row>
    <row r="425">
      <c r="A425" s="242"/>
      <c r="B425" s="13"/>
      <c r="C425" s="242"/>
      <c r="D425" s="13"/>
      <c r="E425" s="13"/>
      <c r="F425" s="13"/>
      <c r="G425" s="13"/>
      <c r="H425" s="13"/>
      <c r="I425" s="242"/>
      <c r="J425" s="242"/>
      <c r="K425" s="242"/>
      <c r="L425" s="242"/>
      <c r="M425" s="242"/>
      <c r="N425" s="242"/>
      <c r="O425" s="242"/>
      <c r="P425" s="242"/>
      <c r="Q425" s="242"/>
      <c r="R425" s="242"/>
      <c r="S425" s="242"/>
      <c r="T425" s="242"/>
      <c r="U425" s="242"/>
      <c r="V425" s="242"/>
      <c r="W425" s="242"/>
      <c r="X425" s="242"/>
      <c r="Y425" s="242"/>
      <c r="Z425" s="242"/>
      <c r="AA425" s="242"/>
      <c r="AB425" s="242"/>
    </row>
    <row r="426">
      <c r="A426" s="242"/>
      <c r="B426" s="13"/>
      <c r="C426" s="242"/>
      <c r="D426" s="13"/>
      <c r="E426" s="13"/>
      <c r="F426" s="13"/>
      <c r="G426" s="13"/>
      <c r="H426" s="13"/>
      <c r="I426" s="242"/>
      <c r="J426" s="242"/>
      <c r="K426" s="242"/>
      <c r="L426" s="242"/>
      <c r="M426" s="242"/>
      <c r="N426" s="242"/>
      <c r="O426" s="242"/>
      <c r="P426" s="242"/>
      <c r="Q426" s="242"/>
      <c r="R426" s="242"/>
      <c r="S426" s="242"/>
      <c r="T426" s="242"/>
      <c r="U426" s="242"/>
      <c r="V426" s="242"/>
      <c r="W426" s="242"/>
      <c r="X426" s="242"/>
      <c r="Y426" s="242"/>
      <c r="Z426" s="242"/>
      <c r="AA426" s="242"/>
      <c r="AB426" s="242"/>
    </row>
    <row r="427">
      <c r="A427" s="242"/>
      <c r="B427" s="13"/>
      <c r="C427" s="242"/>
      <c r="D427" s="13"/>
      <c r="E427" s="13"/>
      <c r="F427" s="13"/>
      <c r="G427" s="13"/>
      <c r="H427" s="13"/>
      <c r="I427" s="242"/>
      <c r="J427" s="242"/>
      <c r="K427" s="242"/>
      <c r="L427" s="242"/>
      <c r="M427" s="242"/>
      <c r="N427" s="242"/>
      <c r="O427" s="242"/>
      <c r="P427" s="242"/>
      <c r="Q427" s="242"/>
      <c r="R427" s="242"/>
      <c r="S427" s="242"/>
      <c r="T427" s="242"/>
      <c r="U427" s="242"/>
      <c r="V427" s="242"/>
      <c r="W427" s="242"/>
      <c r="X427" s="242"/>
      <c r="Y427" s="242"/>
      <c r="Z427" s="242"/>
      <c r="AA427" s="242"/>
      <c r="AB427" s="242"/>
    </row>
    <row r="428">
      <c r="A428" s="242"/>
      <c r="B428" s="13"/>
      <c r="C428" s="242"/>
      <c r="D428" s="13"/>
      <c r="E428" s="13"/>
      <c r="F428" s="13"/>
      <c r="G428" s="13"/>
      <c r="H428" s="13"/>
      <c r="I428" s="242"/>
      <c r="J428" s="242"/>
      <c r="K428" s="242"/>
      <c r="L428" s="242"/>
      <c r="M428" s="242"/>
      <c r="N428" s="242"/>
      <c r="O428" s="242"/>
      <c r="P428" s="242"/>
      <c r="Q428" s="242"/>
      <c r="R428" s="242"/>
      <c r="S428" s="242"/>
      <c r="T428" s="242"/>
      <c r="U428" s="242"/>
      <c r="V428" s="242"/>
      <c r="W428" s="242"/>
      <c r="X428" s="242"/>
      <c r="Y428" s="242"/>
      <c r="Z428" s="242"/>
      <c r="AA428" s="242"/>
      <c r="AB428" s="242"/>
    </row>
    <row r="429">
      <c r="A429" s="242"/>
      <c r="B429" s="13"/>
      <c r="C429" s="242"/>
      <c r="D429" s="13"/>
      <c r="E429" s="13"/>
      <c r="F429" s="13"/>
      <c r="G429" s="13"/>
      <c r="H429" s="13"/>
      <c r="I429" s="242"/>
      <c r="J429" s="242"/>
      <c r="K429" s="242"/>
      <c r="L429" s="242"/>
      <c r="M429" s="242"/>
      <c r="N429" s="242"/>
      <c r="O429" s="242"/>
      <c r="P429" s="242"/>
      <c r="Q429" s="242"/>
      <c r="R429" s="242"/>
      <c r="S429" s="242"/>
      <c r="T429" s="242"/>
      <c r="U429" s="242"/>
      <c r="V429" s="242"/>
      <c r="W429" s="242"/>
      <c r="X429" s="242"/>
      <c r="Y429" s="242"/>
      <c r="Z429" s="242"/>
      <c r="AA429" s="242"/>
      <c r="AB429" s="242"/>
    </row>
    <row r="430">
      <c r="A430" s="242"/>
      <c r="B430" s="13"/>
      <c r="C430" s="242"/>
      <c r="D430" s="13"/>
      <c r="E430" s="13"/>
      <c r="F430" s="13"/>
      <c r="G430" s="13"/>
      <c r="H430" s="13"/>
      <c r="I430" s="242"/>
      <c r="J430" s="242"/>
      <c r="K430" s="242"/>
      <c r="L430" s="242"/>
      <c r="M430" s="242"/>
      <c r="N430" s="242"/>
      <c r="O430" s="242"/>
      <c r="P430" s="242"/>
      <c r="Q430" s="242"/>
      <c r="R430" s="242"/>
      <c r="S430" s="242"/>
      <c r="T430" s="242"/>
      <c r="U430" s="242"/>
      <c r="V430" s="242"/>
      <c r="W430" s="242"/>
      <c r="X430" s="242"/>
      <c r="Y430" s="242"/>
      <c r="Z430" s="242"/>
      <c r="AA430" s="242"/>
      <c r="AB430" s="242"/>
    </row>
    <row r="431">
      <c r="A431" s="242"/>
      <c r="B431" s="13"/>
      <c r="C431" s="242"/>
      <c r="D431" s="13"/>
      <c r="E431" s="13"/>
      <c r="F431" s="13"/>
      <c r="G431" s="13"/>
      <c r="H431" s="13"/>
      <c r="I431" s="242"/>
      <c r="J431" s="242"/>
      <c r="K431" s="242"/>
      <c r="L431" s="242"/>
      <c r="M431" s="242"/>
      <c r="N431" s="242"/>
      <c r="O431" s="242"/>
      <c r="P431" s="242"/>
      <c r="Q431" s="242"/>
      <c r="R431" s="242"/>
      <c r="S431" s="242"/>
      <c r="T431" s="242"/>
      <c r="U431" s="242"/>
      <c r="V431" s="242"/>
      <c r="W431" s="242"/>
      <c r="X431" s="242"/>
      <c r="Y431" s="242"/>
      <c r="Z431" s="242"/>
      <c r="AA431" s="242"/>
      <c r="AB431" s="242"/>
    </row>
    <row r="432">
      <c r="A432" s="242"/>
      <c r="B432" s="13"/>
      <c r="C432" s="242"/>
      <c r="D432" s="13"/>
      <c r="E432" s="13"/>
      <c r="F432" s="13"/>
      <c r="G432" s="13"/>
      <c r="H432" s="13"/>
      <c r="I432" s="242"/>
      <c r="J432" s="242"/>
      <c r="K432" s="242"/>
      <c r="L432" s="242"/>
      <c r="M432" s="242"/>
      <c r="N432" s="242"/>
      <c r="O432" s="242"/>
      <c r="P432" s="242"/>
      <c r="Q432" s="242"/>
      <c r="R432" s="242"/>
      <c r="S432" s="242"/>
      <c r="T432" s="242"/>
      <c r="U432" s="242"/>
      <c r="V432" s="242"/>
      <c r="W432" s="242"/>
      <c r="X432" s="242"/>
      <c r="Y432" s="242"/>
      <c r="Z432" s="242"/>
      <c r="AA432" s="242"/>
      <c r="AB432" s="242"/>
    </row>
    <row r="433">
      <c r="A433" s="242"/>
      <c r="B433" s="13"/>
      <c r="C433" s="242"/>
      <c r="D433" s="13"/>
      <c r="E433" s="13"/>
      <c r="F433" s="13"/>
      <c r="G433" s="13"/>
      <c r="H433" s="13"/>
      <c r="I433" s="242"/>
      <c r="J433" s="242"/>
      <c r="K433" s="242"/>
      <c r="L433" s="242"/>
      <c r="M433" s="242"/>
      <c r="N433" s="242"/>
      <c r="O433" s="242"/>
      <c r="P433" s="242"/>
      <c r="Q433" s="242"/>
      <c r="R433" s="242"/>
      <c r="S433" s="242"/>
      <c r="T433" s="242"/>
      <c r="U433" s="242"/>
      <c r="V433" s="242"/>
      <c r="W433" s="242"/>
      <c r="X433" s="242"/>
      <c r="Y433" s="242"/>
      <c r="Z433" s="242"/>
      <c r="AA433" s="242"/>
      <c r="AB433" s="242"/>
    </row>
    <row r="434">
      <c r="A434" s="242"/>
      <c r="B434" s="13"/>
      <c r="C434" s="242"/>
      <c r="D434" s="13"/>
      <c r="E434" s="13"/>
      <c r="F434" s="13"/>
      <c r="G434" s="13"/>
      <c r="H434" s="13"/>
      <c r="I434" s="242"/>
      <c r="J434" s="242"/>
      <c r="K434" s="242"/>
      <c r="L434" s="242"/>
      <c r="M434" s="242"/>
      <c r="N434" s="242"/>
      <c r="O434" s="242"/>
      <c r="P434" s="242"/>
      <c r="Q434" s="242"/>
      <c r="R434" s="242"/>
      <c r="S434" s="242"/>
      <c r="T434" s="242"/>
      <c r="U434" s="242"/>
      <c r="V434" s="242"/>
      <c r="W434" s="242"/>
      <c r="X434" s="242"/>
      <c r="Y434" s="242"/>
      <c r="Z434" s="242"/>
      <c r="AA434" s="242"/>
      <c r="AB434" s="242"/>
    </row>
    <row r="435">
      <c r="A435" s="242"/>
      <c r="B435" s="13"/>
      <c r="C435" s="242"/>
      <c r="D435" s="13"/>
      <c r="E435" s="13"/>
      <c r="F435" s="13"/>
      <c r="G435" s="13"/>
      <c r="H435" s="13"/>
      <c r="I435" s="242"/>
      <c r="J435" s="242"/>
      <c r="K435" s="242"/>
      <c r="L435" s="242"/>
      <c r="M435" s="242"/>
      <c r="N435" s="242"/>
      <c r="O435" s="242"/>
      <c r="P435" s="242"/>
      <c r="Q435" s="242"/>
      <c r="R435" s="242"/>
      <c r="S435" s="242"/>
      <c r="T435" s="242"/>
      <c r="U435" s="242"/>
      <c r="V435" s="242"/>
      <c r="W435" s="242"/>
      <c r="X435" s="242"/>
      <c r="Y435" s="242"/>
      <c r="Z435" s="242"/>
      <c r="AA435" s="242"/>
      <c r="AB435" s="242"/>
    </row>
    <row r="436">
      <c r="A436" s="242"/>
      <c r="B436" s="13"/>
      <c r="C436" s="242"/>
      <c r="D436" s="13"/>
      <c r="E436" s="13"/>
      <c r="F436" s="13"/>
      <c r="G436" s="13"/>
      <c r="H436" s="13"/>
      <c r="I436" s="242"/>
      <c r="J436" s="242"/>
      <c r="K436" s="242"/>
      <c r="L436" s="242"/>
      <c r="M436" s="242"/>
      <c r="N436" s="242"/>
      <c r="O436" s="242"/>
      <c r="P436" s="242"/>
      <c r="Q436" s="242"/>
      <c r="R436" s="242"/>
      <c r="S436" s="242"/>
      <c r="T436" s="242"/>
      <c r="U436" s="242"/>
      <c r="V436" s="242"/>
      <c r="W436" s="242"/>
      <c r="X436" s="242"/>
      <c r="Y436" s="242"/>
      <c r="Z436" s="242"/>
      <c r="AA436" s="242"/>
      <c r="AB436" s="242"/>
    </row>
    <row r="437">
      <c r="A437" s="242"/>
      <c r="B437" s="13"/>
      <c r="C437" s="242"/>
      <c r="D437" s="13"/>
      <c r="E437" s="13"/>
      <c r="F437" s="13"/>
      <c r="G437" s="13"/>
      <c r="H437" s="13"/>
      <c r="I437" s="242"/>
      <c r="J437" s="242"/>
      <c r="K437" s="242"/>
      <c r="L437" s="242"/>
      <c r="M437" s="242"/>
      <c r="N437" s="242"/>
      <c r="O437" s="242"/>
      <c r="P437" s="242"/>
      <c r="Q437" s="242"/>
      <c r="R437" s="242"/>
      <c r="S437" s="242"/>
      <c r="T437" s="242"/>
      <c r="U437" s="242"/>
      <c r="V437" s="242"/>
      <c r="W437" s="242"/>
      <c r="X437" s="242"/>
      <c r="Y437" s="242"/>
      <c r="Z437" s="242"/>
      <c r="AA437" s="242"/>
      <c r="AB437" s="242"/>
    </row>
    <row r="438">
      <c r="A438" s="242"/>
      <c r="B438" s="13"/>
      <c r="C438" s="242"/>
      <c r="D438" s="13"/>
      <c r="E438" s="13"/>
      <c r="F438" s="13"/>
      <c r="G438" s="13"/>
      <c r="H438" s="13"/>
      <c r="I438" s="242"/>
      <c r="J438" s="242"/>
      <c r="K438" s="242"/>
      <c r="L438" s="242"/>
      <c r="M438" s="242"/>
      <c r="N438" s="242"/>
      <c r="O438" s="242"/>
      <c r="P438" s="242"/>
      <c r="Q438" s="242"/>
      <c r="R438" s="242"/>
      <c r="S438" s="242"/>
      <c r="T438" s="242"/>
      <c r="U438" s="242"/>
      <c r="V438" s="242"/>
      <c r="W438" s="242"/>
      <c r="X438" s="242"/>
      <c r="Y438" s="242"/>
      <c r="Z438" s="242"/>
      <c r="AA438" s="242"/>
      <c r="AB438" s="242"/>
    </row>
    <row r="439">
      <c r="A439" s="242"/>
      <c r="B439" s="13"/>
      <c r="C439" s="242"/>
      <c r="D439" s="13"/>
      <c r="E439" s="13"/>
      <c r="F439" s="13"/>
      <c r="G439" s="13"/>
      <c r="H439" s="13"/>
      <c r="I439" s="242"/>
      <c r="J439" s="242"/>
      <c r="K439" s="242"/>
      <c r="L439" s="242"/>
      <c r="M439" s="242"/>
      <c r="N439" s="242"/>
      <c r="O439" s="242"/>
      <c r="P439" s="242"/>
      <c r="Q439" s="242"/>
      <c r="R439" s="242"/>
      <c r="S439" s="242"/>
      <c r="T439" s="242"/>
      <c r="U439" s="242"/>
      <c r="V439" s="242"/>
      <c r="W439" s="242"/>
      <c r="X439" s="242"/>
      <c r="Y439" s="242"/>
      <c r="Z439" s="242"/>
      <c r="AA439" s="242"/>
      <c r="AB439" s="242"/>
    </row>
    <row r="440">
      <c r="A440" s="242"/>
      <c r="B440" s="13"/>
      <c r="C440" s="242"/>
      <c r="D440" s="13"/>
      <c r="E440" s="13"/>
      <c r="F440" s="13"/>
      <c r="G440" s="13"/>
      <c r="H440" s="13"/>
      <c r="I440" s="242"/>
      <c r="J440" s="242"/>
      <c r="K440" s="242"/>
      <c r="L440" s="242"/>
      <c r="M440" s="242"/>
      <c r="N440" s="242"/>
      <c r="O440" s="242"/>
      <c r="P440" s="242"/>
      <c r="Q440" s="242"/>
      <c r="R440" s="242"/>
      <c r="S440" s="242"/>
      <c r="T440" s="242"/>
      <c r="U440" s="242"/>
      <c r="V440" s="242"/>
      <c r="W440" s="242"/>
      <c r="X440" s="242"/>
      <c r="Y440" s="242"/>
      <c r="Z440" s="242"/>
      <c r="AA440" s="242"/>
      <c r="AB440" s="242"/>
    </row>
    <row r="441">
      <c r="A441" s="242"/>
      <c r="B441" s="13"/>
      <c r="C441" s="242"/>
      <c r="D441" s="13"/>
      <c r="E441" s="13"/>
      <c r="F441" s="13"/>
      <c r="G441" s="13"/>
      <c r="H441" s="13"/>
      <c r="I441" s="242"/>
      <c r="J441" s="242"/>
      <c r="K441" s="242"/>
      <c r="L441" s="242"/>
      <c r="M441" s="242"/>
      <c r="N441" s="242"/>
      <c r="O441" s="242"/>
      <c r="P441" s="242"/>
      <c r="Q441" s="242"/>
      <c r="R441" s="242"/>
      <c r="S441" s="242"/>
      <c r="T441" s="242"/>
      <c r="U441" s="242"/>
      <c r="V441" s="242"/>
      <c r="W441" s="242"/>
      <c r="X441" s="242"/>
      <c r="Y441" s="242"/>
      <c r="Z441" s="242"/>
      <c r="AA441" s="242"/>
      <c r="AB441" s="242"/>
    </row>
    <row r="442">
      <c r="A442" s="242"/>
      <c r="B442" s="13"/>
      <c r="C442" s="242"/>
      <c r="D442" s="13"/>
      <c r="E442" s="13"/>
      <c r="F442" s="13"/>
      <c r="G442" s="13"/>
      <c r="H442" s="13"/>
      <c r="I442" s="242"/>
      <c r="J442" s="242"/>
      <c r="K442" s="242"/>
      <c r="L442" s="242"/>
      <c r="M442" s="242"/>
      <c r="N442" s="242"/>
      <c r="O442" s="242"/>
      <c r="P442" s="242"/>
      <c r="Q442" s="242"/>
      <c r="R442" s="242"/>
      <c r="S442" s="242"/>
      <c r="T442" s="242"/>
      <c r="U442" s="242"/>
      <c r="V442" s="242"/>
      <c r="W442" s="242"/>
      <c r="X442" s="242"/>
      <c r="Y442" s="242"/>
      <c r="Z442" s="242"/>
      <c r="AA442" s="242"/>
      <c r="AB442" s="242"/>
    </row>
    <row r="443">
      <c r="A443" s="242"/>
      <c r="B443" s="13"/>
      <c r="C443" s="242"/>
      <c r="D443" s="13"/>
      <c r="E443" s="13"/>
      <c r="F443" s="13"/>
      <c r="G443" s="13"/>
      <c r="H443" s="13"/>
      <c r="I443" s="242"/>
      <c r="J443" s="242"/>
      <c r="K443" s="242"/>
      <c r="L443" s="242"/>
      <c r="M443" s="242"/>
      <c r="N443" s="242"/>
      <c r="O443" s="242"/>
      <c r="P443" s="242"/>
      <c r="Q443" s="242"/>
      <c r="R443" s="242"/>
      <c r="S443" s="242"/>
      <c r="T443" s="242"/>
      <c r="U443" s="242"/>
      <c r="V443" s="242"/>
      <c r="W443" s="242"/>
      <c r="X443" s="242"/>
      <c r="Y443" s="242"/>
      <c r="Z443" s="242"/>
      <c r="AA443" s="242"/>
      <c r="AB443" s="242"/>
    </row>
    <row r="444">
      <c r="A444" s="242"/>
      <c r="B444" s="13"/>
      <c r="C444" s="242"/>
      <c r="D444" s="13"/>
      <c r="E444" s="13"/>
      <c r="F444" s="13"/>
      <c r="G444" s="13"/>
      <c r="H444" s="13"/>
      <c r="I444" s="242"/>
      <c r="J444" s="242"/>
      <c r="K444" s="242"/>
      <c r="L444" s="242"/>
      <c r="M444" s="242"/>
      <c r="N444" s="242"/>
      <c r="O444" s="242"/>
      <c r="P444" s="242"/>
      <c r="Q444" s="242"/>
      <c r="R444" s="242"/>
      <c r="S444" s="242"/>
      <c r="T444" s="242"/>
      <c r="U444" s="242"/>
      <c r="V444" s="242"/>
      <c r="W444" s="242"/>
      <c r="X444" s="242"/>
      <c r="Y444" s="242"/>
      <c r="Z444" s="242"/>
      <c r="AA444" s="242"/>
      <c r="AB444" s="242"/>
    </row>
    <row r="445">
      <c r="A445" s="242"/>
      <c r="B445" s="13"/>
      <c r="C445" s="242"/>
      <c r="D445" s="13"/>
      <c r="E445" s="13"/>
      <c r="F445" s="13"/>
      <c r="G445" s="13"/>
      <c r="H445" s="13"/>
      <c r="I445" s="242"/>
      <c r="J445" s="242"/>
      <c r="K445" s="242"/>
      <c r="L445" s="242"/>
      <c r="M445" s="242"/>
      <c r="N445" s="242"/>
      <c r="O445" s="242"/>
      <c r="P445" s="242"/>
      <c r="Q445" s="242"/>
      <c r="R445" s="242"/>
      <c r="S445" s="242"/>
      <c r="T445" s="242"/>
      <c r="U445" s="242"/>
      <c r="V445" s="242"/>
      <c r="W445" s="242"/>
      <c r="X445" s="242"/>
      <c r="Y445" s="242"/>
      <c r="Z445" s="242"/>
      <c r="AA445" s="242"/>
      <c r="AB445" s="242"/>
    </row>
    <row r="446">
      <c r="A446" s="242"/>
      <c r="B446" s="13"/>
      <c r="C446" s="242"/>
      <c r="D446" s="13"/>
      <c r="E446" s="13"/>
      <c r="F446" s="13"/>
      <c r="G446" s="13"/>
      <c r="H446" s="13"/>
      <c r="I446" s="242"/>
      <c r="J446" s="242"/>
      <c r="K446" s="242"/>
      <c r="L446" s="242"/>
      <c r="M446" s="242"/>
      <c r="N446" s="242"/>
      <c r="O446" s="242"/>
      <c r="P446" s="242"/>
      <c r="Q446" s="242"/>
      <c r="R446" s="242"/>
      <c r="S446" s="242"/>
      <c r="T446" s="242"/>
      <c r="U446" s="242"/>
      <c r="V446" s="242"/>
      <c r="W446" s="242"/>
      <c r="X446" s="242"/>
      <c r="Y446" s="242"/>
      <c r="Z446" s="242"/>
      <c r="AA446" s="242"/>
      <c r="AB446" s="242"/>
    </row>
    <row r="447">
      <c r="A447" s="242"/>
      <c r="B447" s="13"/>
      <c r="C447" s="242"/>
      <c r="D447" s="13"/>
      <c r="E447" s="13"/>
      <c r="F447" s="13"/>
      <c r="G447" s="13"/>
      <c r="H447" s="13"/>
      <c r="I447" s="242"/>
      <c r="J447" s="242"/>
      <c r="K447" s="242"/>
      <c r="L447" s="242"/>
      <c r="M447" s="242"/>
      <c r="N447" s="242"/>
      <c r="O447" s="242"/>
      <c r="P447" s="242"/>
      <c r="Q447" s="242"/>
      <c r="R447" s="242"/>
      <c r="S447" s="242"/>
      <c r="T447" s="242"/>
      <c r="U447" s="242"/>
      <c r="V447" s="242"/>
      <c r="W447" s="242"/>
      <c r="X447" s="242"/>
      <c r="Y447" s="242"/>
      <c r="Z447" s="242"/>
      <c r="AA447" s="242"/>
      <c r="AB447" s="242"/>
    </row>
    <row r="448">
      <c r="A448" s="242"/>
      <c r="B448" s="13"/>
      <c r="C448" s="242"/>
      <c r="D448" s="13"/>
      <c r="E448" s="13"/>
      <c r="F448" s="13"/>
      <c r="G448" s="13"/>
      <c r="H448" s="13"/>
      <c r="I448" s="242"/>
      <c r="J448" s="242"/>
      <c r="K448" s="242"/>
      <c r="L448" s="242"/>
      <c r="M448" s="242"/>
      <c r="N448" s="242"/>
      <c r="O448" s="242"/>
      <c r="P448" s="242"/>
      <c r="Q448" s="242"/>
      <c r="R448" s="242"/>
      <c r="S448" s="242"/>
      <c r="T448" s="242"/>
      <c r="U448" s="242"/>
      <c r="V448" s="242"/>
      <c r="W448" s="242"/>
      <c r="X448" s="242"/>
      <c r="Y448" s="242"/>
      <c r="Z448" s="242"/>
      <c r="AA448" s="242"/>
      <c r="AB448" s="242"/>
    </row>
    <row r="449">
      <c r="A449" s="242"/>
      <c r="B449" s="13"/>
      <c r="C449" s="242"/>
      <c r="D449" s="13"/>
      <c r="E449" s="13"/>
      <c r="F449" s="13"/>
      <c r="G449" s="13"/>
      <c r="H449" s="13"/>
      <c r="I449" s="242"/>
      <c r="J449" s="242"/>
      <c r="K449" s="242"/>
      <c r="L449" s="242"/>
      <c r="M449" s="242"/>
      <c r="N449" s="242"/>
      <c r="O449" s="242"/>
      <c r="P449" s="242"/>
      <c r="Q449" s="242"/>
      <c r="R449" s="242"/>
      <c r="S449" s="242"/>
      <c r="T449" s="242"/>
      <c r="U449" s="242"/>
      <c r="V449" s="242"/>
      <c r="W449" s="242"/>
      <c r="X449" s="242"/>
      <c r="Y449" s="242"/>
      <c r="Z449" s="242"/>
      <c r="AA449" s="242"/>
      <c r="AB449" s="242"/>
    </row>
    <row r="450">
      <c r="A450" s="242"/>
      <c r="B450" s="13"/>
      <c r="C450" s="242"/>
      <c r="D450" s="13"/>
      <c r="E450" s="13"/>
      <c r="F450" s="13"/>
      <c r="G450" s="13"/>
      <c r="H450" s="13"/>
      <c r="I450" s="242"/>
      <c r="J450" s="242"/>
      <c r="K450" s="242"/>
      <c r="L450" s="242"/>
      <c r="M450" s="242"/>
      <c r="N450" s="242"/>
      <c r="O450" s="242"/>
      <c r="P450" s="242"/>
      <c r="Q450" s="242"/>
      <c r="R450" s="242"/>
      <c r="S450" s="242"/>
      <c r="T450" s="242"/>
      <c r="U450" s="242"/>
      <c r="V450" s="242"/>
      <c r="W450" s="242"/>
      <c r="X450" s="242"/>
      <c r="Y450" s="242"/>
      <c r="Z450" s="242"/>
      <c r="AA450" s="242"/>
      <c r="AB450" s="242"/>
    </row>
    <row r="451">
      <c r="A451" s="242"/>
      <c r="B451" s="13"/>
      <c r="C451" s="242"/>
      <c r="D451" s="13"/>
      <c r="E451" s="13"/>
      <c r="F451" s="13"/>
      <c r="G451" s="13"/>
      <c r="H451" s="13"/>
      <c r="I451" s="242"/>
      <c r="J451" s="242"/>
      <c r="K451" s="242"/>
      <c r="L451" s="242"/>
      <c r="M451" s="242"/>
      <c r="N451" s="242"/>
      <c r="O451" s="242"/>
      <c r="P451" s="242"/>
      <c r="Q451" s="242"/>
      <c r="R451" s="242"/>
      <c r="S451" s="242"/>
      <c r="T451" s="242"/>
      <c r="U451" s="242"/>
      <c r="V451" s="242"/>
      <c r="W451" s="242"/>
      <c r="X451" s="242"/>
      <c r="Y451" s="242"/>
      <c r="Z451" s="242"/>
      <c r="AA451" s="242"/>
      <c r="AB451" s="242"/>
    </row>
    <row r="452">
      <c r="A452" s="242"/>
      <c r="B452" s="13"/>
      <c r="C452" s="242"/>
      <c r="D452" s="13"/>
      <c r="E452" s="13"/>
      <c r="F452" s="13"/>
      <c r="G452" s="13"/>
      <c r="H452" s="13"/>
      <c r="I452" s="242"/>
      <c r="J452" s="242"/>
      <c r="K452" s="242"/>
      <c r="L452" s="242"/>
      <c r="M452" s="242"/>
      <c r="N452" s="242"/>
      <c r="O452" s="242"/>
      <c r="P452" s="242"/>
      <c r="Q452" s="242"/>
      <c r="R452" s="242"/>
      <c r="S452" s="242"/>
      <c r="T452" s="242"/>
      <c r="U452" s="242"/>
      <c r="V452" s="242"/>
      <c r="W452" s="242"/>
      <c r="X452" s="242"/>
      <c r="Y452" s="242"/>
      <c r="Z452" s="242"/>
      <c r="AA452" s="242"/>
      <c r="AB452" s="242"/>
    </row>
    <row r="453">
      <c r="A453" s="242"/>
      <c r="B453" s="13"/>
      <c r="C453" s="242"/>
      <c r="D453" s="13"/>
      <c r="E453" s="13"/>
      <c r="F453" s="13"/>
      <c r="G453" s="13"/>
      <c r="H453" s="13"/>
      <c r="I453" s="242"/>
      <c r="J453" s="242"/>
      <c r="K453" s="242"/>
      <c r="L453" s="242"/>
      <c r="M453" s="242"/>
      <c r="N453" s="242"/>
      <c r="O453" s="242"/>
      <c r="P453" s="242"/>
      <c r="Q453" s="242"/>
      <c r="R453" s="242"/>
      <c r="S453" s="242"/>
      <c r="T453" s="242"/>
      <c r="U453" s="242"/>
      <c r="V453" s="242"/>
      <c r="W453" s="242"/>
      <c r="X453" s="242"/>
      <c r="Y453" s="242"/>
      <c r="Z453" s="242"/>
      <c r="AA453" s="242"/>
      <c r="AB453" s="242"/>
    </row>
    <row r="454">
      <c r="A454" s="242"/>
      <c r="B454" s="13"/>
      <c r="C454" s="242"/>
      <c r="D454" s="13"/>
      <c r="E454" s="13"/>
      <c r="F454" s="13"/>
      <c r="G454" s="13"/>
      <c r="H454" s="13"/>
      <c r="I454" s="242"/>
      <c r="J454" s="242"/>
      <c r="K454" s="242"/>
      <c r="L454" s="242"/>
      <c r="M454" s="242"/>
      <c r="N454" s="242"/>
      <c r="O454" s="242"/>
      <c r="P454" s="242"/>
      <c r="Q454" s="242"/>
      <c r="R454" s="242"/>
      <c r="S454" s="242"/>
      <c r="T454" s="242"/>
      <c r="U454" s="242"/>
      <c r="V454" s="242"/>
      <c r="W454" s="242"/>
      <c r="X454" s="242"/>
      <c r="Y454" s="242"/>
      <c r="Z454" s="242"/>
      <c r="AA454" s="242"/>
      <c r="AB454" s="242"/>
    </row>
    <row r="455">
      <c r="A455" s="242"/>
      <c r="B455" s="13"/>
      <c r="C455" s="242"/>
      <c r="D455" s="13"/>
      <c r="E455" s="13"/>
      <c r="F455" s="13"/>
      <c r="G455" s="13"/>
      <c r="H455" s="13"/>
      <c r="I455" s="242"/>
      <c r="J455" s="242"/>
      <c r="K455" s="242"/>
      <c r="L455" s="242"/>
      <c r="M455" s="242"/>
      <c r="N455" s="242"/>
      <c r="O455" s="242"/>
      <c r="P455" s="242"/>
      <c r="Q455" s="242"/>
      <c r="R455" s="242"/>
      <c r="S455" s="242"/>
      <c r="T455" s="242"/>
      <c r="U455" s="242"/>
      <c r="V455" s="242"/>
      <c r="W455" s="242"/>
      <c r="X455" s="242"/>
      <c r="Y455" s="242"/>
      <c r="Z455" s="242"/>
      <c r="AA455" s="242"/>
      <c r="AB455" s="242"/>
    </row>
    <row r="456">
      <c r="A456" s="242"/>
      <c r="B456" s="13"/>
      <c r="C456" s="242"/>
      <c r="D456" s="13"/>
      <c r="E456" s="13"/>
      <c r="F456" s="13"/>
      <c r="G456" s="13"/>
      <c r="H456" s="13"/>
      <c r="I456" s="242"/>
      <c r="J456" s="242"/>
      <c r="K456" s="242"/>
      <c r="L456" s="242"/>
      <c r="M456" s="242"/>
      <c r="N456" s="242"/>
      <c r="O456" s="242"/>
      <c r="P456" s="242"/>
      <c r="Q456" s="242"/>
      <c r="R456" s="242"/>
      <c r="S456" s="242"/>
      <c r="T456" s="242"/>
      <c r="U456" s="242"/>
      <c r="V456" s="242"/>
      <c r="W456" s="242"/>
      <c r="X456" s="242"/>
      <c r="Y456" s="242"/>
      <c r="Z456" s="242"/>
      <c r="AA456" s="242"/>
      <c r="AB456" s="242"/>
    </row>
    <row r="457">
      <c r="A457" s="242"/>
      <c r="B457" s="13"/>
      <c r="C457" s="242"/>
      <c r="D457" s="13"/>
      <c r="E457" s="13"/>
      <c r="F457" s="13"/>
      <c r="G457" s="13"/>
      <c r="H457" s="13"/>
      <c r="I457" s="242"/>
      <c r="J457" s="242"/>
      <c r="K457" s="242"/>
      <c r="L457" s="242"/>
      <c r="M457" s="242"/>
      <c r="N457" s="242"/>
      <c r="O457" s="242"/>
      <c r="P457" s="242"/>
      <c r="Q457" s="242"/>
      <c r="R457" s="242"/>
      <c r="S457" s="242"/>
      <c r="T457" s="242"/>
      <c r="U457" s="242"/>
      <c r="V457" s="242"/>
      <c r="W457" s="242"/>
      <c r="X457" s="242"/>
      <c r="Y457" s="242"/>
      <c r="Z457" s="242"/>
      <c r="AA457" s="242"/>
      <c r="AB457" s="242"/>
    </row>
    <row r="458">
      <c r="A458" s="242"/>
      <c r="B458" s="13"/>
      <c r="C458" s="242"/>
      <c r="D458" s="13"/>
      <c r="E458" s="13"/>
      <c r="F458" s="13"/>
      <c r="G458" s="13"/>
      <c r="H458" s="13"/>
      <c r="I458" s="242"/>
      <c r="J458" s="242"/>
      <c r="K458" s="242"/>
      <c r="L458" s="242"/>
      <c r="M458" s="242"/>
      <c r="N458" s="242"/>
      <c r="O458" s="242"/>
      <c r="P458" s="242"/>
      <c r="Q458" s="242"/>
      <c r="R458" s="242"/>
      <c r="S458" s="242"/>
      <c r="T458" s="242"/>
      <c r="U458" s="242"/>
      <c r="V458" s="242"/>
      <c r="W458" s="242"/>
      <c r="X458" s="242"/>
      <c r="Y458" s="242"/>
      <c r="Z458" s="242"/>
      <c r="AA458" s="242"/>
      <c r="AB458" s="242"/>
    </row>
    <row r="459">
      <c r="A459" s="242"/>
      <c r="B459" s="13"/>
      <c r="C459" s="242"/>
      <c r="D459" s="13"/>
      <c r="E459" s="13"/>
      <c r="F459" s="13"/>
      <c r="G459" s="13"/>
      <c r="H459" s="13"/>
      <c r="I459" s="242"/>
      <c r="J459" s="242"/>
      <c r="K459" s="242"/>
      <c r="L459" s="242"/>
      <c r="M459" s="242"/>
      <c r="N459" s="242"/>
      <c r="O459" s="242"/>
      <c r="P459" s="242"/>
      <c r="Q459" s="242"/>
      <c r="R459" s="242"/>
      <c r="S459" s="242"/>
      <c r="T459" s="242"/>
      <c r="U459" s="242"/>
      <c r="V459" s="242"/>
      <c r="W459" s="242"/>
      <c r="X459" s="242"/>
      <c r="Y459" s="242"/>
      <c r="Z459" s="242"/>
      <c r="AA459" s="242"/>
      <c r="AB459" s="242"/>
    </row>
    <row r="460">
      <c r="A460" s="242"/>
      <c r="B460" s="13"/>
      <c r="C460" s="242"/>
      <c r="D460" s="13"/>
      <c r="E460" s="13"/>
      <c r="F460" s="13"/>
      <c r="G460" s="13"/>
      <c r="H460" s="13"/>
      <c r="I460" s="242"/>
      <c r="J460" s="242"/>
      <c r="K460" s="242"/>
      <c r="L460" s="242"/>
      <c r="M460" s="242"/>
      <c r="N460" s="242"/>
      <c r="O460" s="242"/>
      <c r="P460" s="242"/>
      <c r="Q460" s="242"/>
      <c r="R460" s="242"/>
      <c r="S460" s="242"/>
      <c r="T460" s="242"/>
      <c r="U460" s="242"/>
      <c r="V460" s="242"/>
      <c r="W460" s="242"/>
      <c r="X460" s="242"/>
      <c r="Y460" s="242"/>
      <c r="Z460" s="242"/>
      <c r="AA460" s="242"/>
      <c r="AB460" s="242"/>
    </row>
    <row r="461">
      <c r="A461" s="242"/>
      <c r="B461" s="13"/>
      <c r="C461" s="242"/>
      <c r="D461" s="13"/>
      <c r="E461" s="13"/>
      <c r="F461" s="13"/>
      <c r="G461" s="13"/>
      <c r="H461" s="13"/>
      <c r="I461" s="242"/>
      <c r="J461" s="242"/>
      <c r="K461" s="242"/>
      <c r="L461" s="242"/>
      <c r="M461" s="242"/>
      <c r="N461" s="242"/>
      <c r="O461" s="242"/>
      <c r="P461" s="242"/>
      <c r="Q461" s="242"/>
      <c r="R461" s="242"/>
      <c r="S461" s="242"/>
      <c r="T461" s="242"/>
      <c r="U461" s="242"/>
      <c r="V461" s="242"/>
      <c r="W461" s="242"/>
      <c r="X461" s="242"/>
      <c r="Y461" s="242"/>
      <c r="Z461" s="242"/>
      <c r="AA461" s="242"/>
      <c r="AB461" s="242"/>
    </row>
    <row r="462">
      <c r="A462" s="242"/>
      <c r="B462" s="13"/>
      <c r="C462" s="242"/>
      <c r="D462" s="13"/>
      <c r="E462" s="13"/>
      <c r="F462" s="13"/>
      <c r="G462" s="13"/>
      <c r="H462" s="13"/>
      <c r="I462" s="242"/>
      <c r="J462" s="242"/>
      <c r="K462" s="242"/>
      <c r="L462" s="242"/>
      <c r="M462" s="242"/>
      <c r="N462" s="242"/>
      <c r="O462" s="242"/>
      <c r="P462" s="242"/>
      <c r="Q462" s="242"/>
      <c r="R462" s="242"/>
      <c r="S462" s="242"/>
      <c r="T462" s="242"/>
      <c r="U462" s="242"/>
      <c r="V462" s="242"/>
      <c r="W462" s="242"/>
      <c r="X462" s="242"/>
      <c r="Y462" s="242"/>
      <c r="Z462" s="242"/>
      <c r="AA462" s="242"/>
      <c r="AB462" s="242"/>
    </row>
    <row r="463">
      <c r="A463" s="242"/>
      <c r="B463" s="13"/>
      <c r="C463" s="242"/>
      <c r="D463" s="13"/>
      <c r="E463" s="13"/>
      <c r="F463" s="13"/>
      <c r="G463" s="13"/>
      <c r="H463" s="13"/>
      <c r="I463" s="242"/>
      <c r="J463" s="242"/>
      <c r="K463" s="242"/>
      <c r="L463" s="242"/>
      <c r="M463" s="242"/>
      <c r="N463" s="242"/>
      <c r="O463" s="242"/>
      <c r="P463" s="242"/>
      <c r="Q463" s="242"/>
      <c r="R463" s="242"/>
      <c r="S463" s="242"/>
      <c r="T463" s="242"/>
      <c r="U463" s="242"/>
      <c r="V463" s="242"/>
      <c r="W463" s="242"/>
      <c r="X463" s="242"/>
      <c r="Y463" s="242"/>
      <c r="Z463" s="242"/>
      <c r="AA463" s="242"/>
      <c r="AB463" s="242"/>
    </row>
    <row r="464">
      <c r="A464" s="242"/>
      <c r="B464" s="13"/>
      <c r="C464" s="242"/>
      <c r="D464" s="13"/>
      <c r="E464" s="13"/>
      <c r="F464" s="13"/>
      <c r="G464" s="13"/>
      <c r="H464" s="13"/>
      <c r="I464" s="242"/>
      <c r="J464" s="242"/>
      <c r="K464" s="242"/>
      <c r="L464" s="242"/>
      <c r="M464" s="242"/>
      <c r="N464" s="242"/>
      <c r="O464" s="242"/>
      <c r="P464" s="242"/>
      <c r="Q464" s="242"/>
      <c r="R464" s="242"/>
      <c r="S464" s="242"/>
      <c r="T464" s="242"/>
      <c r="U464" s="242"/>
      <c r="V464" s="242"/>
      <c r="W464" s="242"/>
      <c r="X464" s="242"/>
      <c r="Y464" s="242"/>
      <c r="Z464" s="242"/>
      <c r="AA464" s="242"/>
      <c r="AB464" s="242"/>
    </row>
    <row r="465">
      <c r="A465" s="242"/>
      <c r="B465" s="13"/>
      <c r="C465" s="242"/>
      <c r="D465" s="13"/>
      <c r="E465" s="13"/>
      <c r="F465" s="13"/>
      <c r="G465" s="13"/>
      <c r="H465" s="13"/>
      <c r="I465" s="242"/>
      <c r="J465" s="242"/>
      <c r="K465" s="242"/>
      <c r="L465" s="242"/>
      <c r="M465" s="242"/>
      <c r="N465" s="242"/>
      <c r="O465" s="242"/>
      <c r="P465" s="242"/>
      <c r="Q465" s="242"/>
      <c r="R465" s="242"/>
      <c r="S465" s="242"/>
      <c r="T465" s="242"/>
      <c r="U465" s="242"/>
      <c r="V465" s="242"/>
      <c r="W465" s="242"/>
      <c r="X465" s="242"/>
      <c r="Y465" s="242"/>
      <c r="Z465" s="242"/>
      <c r="AA465" s="242"/>
      <c r="AB465" s="242"/>
    </row>
    <row r="466">
      <c r="A466" s="242"/>
      <c r="B466" s="13"/>
      <c r="C466" s="242"/>
      <c r="D466" s="13"/>
      <c r="E466" s="13"/>
      <c r="F466" s="13"/>
      <c r="G466" s="13"/>
      <c r="H466" s="13"/>
      <c r="I466" s="242"/>
      <c r="J466" s="242"/>
      <c r="K466" s="242"/>
      <c r="L466" s="242"/>
      <c r="M466" s="242"/>
      <c r="N466" s="242"/>
      <c r="O466" s="242"/>
      <c r="P466" s="242"/>
      <c r="Q466" s="242"/>
      <c r="R466" s="242"/>
      <c r="S466" s="242"/>
      <c r="T466" s="242"/>
      <c r="U466" s="242"/>
      <c r="V466" s="242"/>
      <c r="W466" s="242"/>
      <c r="X466" s="242"/>
      <c r="Y466" s="242"/>
      <c r="Z466" s="242"/>
      <c r="AA466" s="242"/>
      <c r="AB466" s="242"/>
    </row>
    <row r="467">
      <c r="A467" s="242"/>
      <c r="B467" s="13"/>
      <c r="C467" s="242"/>
      <c r="D467" s="13"/>
      <c r="E467" s="13"/>
      <c r="F467" s="13"/>
      <c r="G467" s="13"/>
      <c r="H467" s="13"/>
      <c r="I467" s="242"/>
      <c r="J467" s="242"/>
      <c r="K467" s="242"/>
      <c r="L467" s="242"/>
      <c r="M467" s="242"/>
      <c r="N467" s="242"/>
      <c r="O467" s="242"/>
      <c r="P467" s="242"/>
      <c r="Q467" s="242"/>
      <c r="R467" s="242"/>
      <c r="S467" s="242"/>
      <c r="T467" s="242"/>
      <c r="U467" s="242"/>
      <c r="V467" s="242"/>
      <c r="W467" s="242"/>
      <c r="X467" s="242"/>
      <c r="Y467" s="242"/>
      <c r="Z467" s="242"/>
      <c r="AA467" s="242"/>
      <c r="AB467" s="242"/>
    </row>
    <row r="468">
      <c r="A468" s="242"/>
      <c r="B468" s="13"/>
      <c r="C468" s="242"/>
      <c r="D468" s="13"/>
      <c r="E468" s="13"/>
      <c r="F468" s="13"/>
      <c r="G468" s="13"/>
      <c r="H468" s="13"/>
      <c r="I468" s="242"/>
      <c r="J468" s="242"/>
      <c r="K468" s="242"/>
      <c r="L468" s="242"/>
      <c r="M468" s="242"/>
      <c r="N468" s="242"/>
      <c r="O468" s="242"/>
      <c r="P468" s="242"/>
      <c r="Q468" s="242"/>
      <c r="R468" s="242"/>
      <c r="S468" s="242"/>
      <c r="T468" s="242"/>
      <c r="U468" s="242"/>
      <c r="V468" s="242"/>
      <c r="W468" s="242"/>
      <c r="X468" s="242"/>
      <c r="Y468" s="242"/>
      <c r="Z468" s="242"/>
      <c r="AA468" s="242"/>
      <c r="AB468" s="242"/>
    </row>
    <row r="469">
      <c r="A469" s="242"/>
      <c r="B469" s="13"/>
      <c r="C469" s="242"/>
      <c r="D469" s="13"/>
      <c r="E469" s="13"/>
      <c r="F469" s="13"/>
      <c r="G469" s="13"/>
      <c r="H469" s="13"/>
      <c r="I469" s="242"/>
      <c r="J469" s="242"/>
      <c r="K469" s="242"/>
      <c r="L469" s="242"/>
      <c r="M469" s="242"/>
      <c r="N469" s="242"/>
      <c r="O469" s="242"/>
      <c r="P469" s="242"/>
      <c r="Q469" s="242"/>
      <c r="R469" s="242"/>
      <c r="S469" s="242"/>
      <c r="T469" s="242"/>
      <c r="U469" s="242"/>
      <c r="V469" s="242"/>
      <c r="W469" s="242"/>
      <c r="X469" s="242"/>
      <c r="Y469" s="242"/>
      <c r="Z469" s="242"/>
      <c r="AA469" s="242"/>
      <c r="AB469" s="242"/>
    </row>
    <row r="470">
      <c r="A470" s="242"/>
      <c r="B470" s="13"/>
      <c r="C470" s="242"/>
      <c r="D470" s="13"/>
      <c r="E470" s="13"/>
      <c r="F470" s="13"/>
      <c r="G470" s="13"/>
      <c r="H470" s="13"/>
      <c r="I470" s="242"/>
      <c r="J470" s="242"/>
      <c r="K470" s="242"/>
      <c r="L470" s="242"/>
      <c r="M470" s="242"/>
      <c r="N470" s="242"/>
      <c r="O470" s="242"/>
      <c r="P470" s="242"/>
      <c r="Q470" s="242"/>
      <c r="R470" s="242"/>
      <c r="S470" s="242"/>
      <c r="T470" s="242"/>
      <c r="U470" s="242"/>
      <c r="V470" s="242"/>
      <c r="W470" s="242"/>
      <c r="X470" s="242"/>
      <c r="Y470" s="242"/>
      <c r="Z470" s="242"/>
      <c r="AA470" s="242"/>
      <c r="AB470" s="242"/>
    </row>
    <row r="471">
      <c r="A471" s="242"/>
      <c r="B471" s="13"/>
      <c r="C471" s="242"/>
      <c r="D471" s="13"/>
      <c r="E471" s="13"/>
      <c r="F471" s="13"/>
      <c r="G471" s="13"/>
      <c r="H471" s="13"/>
      <c r="I471" s="242"/>
      <c r="J471" s="242"/>
      <c r="K471" s="242"/>
      <c r="L471" s="242"/>
      <c r="M471" s="242"/>
      <c r="N471" s="242"/>
      <c r="O471" s="242"/>
      <c r="P471" s="242"/>
      <c r="Q471" s="242"/>
      <c r="R471" s="242"/>
      <c r="S471" s="242"/>
      <c r="T471" s="242"/>
      <c r="U471" s="242"/>
      <c r="V471" s="242"/>
      <c r="W471" s="242"/>
      <c r="X471" s="242"/>
      <c r="Y471" s="242"/>
      <c r="Z471" s="242"/>
      <c r="AA471" s="242"/>
      <c r="AB471" s="242"/>
    </row>
    <row r="472">
      <c r="A472" s="242"/>
      <c r="B472" s="13"/>
      <c r="C472" s="242"/>
      <c r="D472" s="13"/>
      <c r="E472" s="13"/>
      <c r="F472" s="13"/>
      <c r="G472" s="13"/>
      <c r="H472" s="13"/>
      <c r="I472" s="242"/>
      <c r="J472" s="242"/>
      <c r="K472" s="242"/>
      <c r="L472" s="242"/>
      <c r="M472" s="242"/>
      <c r="N472" s="242"/>
      <c r="O472" s="242"/>
      <c r="P472" s="242"/>
      <c r="Q472" s="242"/>
      <c r="R472" s="242"/>
      <c r="S472" s="242"/>
      <c r="T472" s="242"/>
      <c r="U472" s="242"/>
      <c r="V472" s="242"/>
      <c r="W472" s="242"/>
      <c r="X472" s="242"/>
      <c r="Y472" s="242"/>
      <c r="Z472" s="242"/>
      <c r="AA472" s="242"/>
      <c r="AB472" s="242"/>
    </row>
    <row r="473">
      <c r="A473" s="242"/>
      <c r="B473" s="13"/>
      <c r="C473" s="242"/>
      <c r="D473" s="13"/>
      <c r="E473" s="13"/>
      <c r="F473" s="13"/>
      <c r="G473" s="13"/>
      <c r="H473" s="13"/>
      <c r="I473" s="242"/>
      <c r="J473" s="242"/>
      <c r="K473" s="242"/>
      <c r="L473" s="242"/>
      <c r="M473" s="242"/>
      <c r="N473" s="242"/>
      <c r="O473" s="242"/>
      <c r="P473" s="242"/>
      <c r="Q473" s="242"/>
      <c r="R473" s="242"/>
      <c r="S473" s="242"/>
      <c r="T473" s="242"/>
      <c r="U473" s="242"/>
      <c r="V473" s="242"/>
      <c r="W473" s="242"/>
      <c r="X473" s="242"/>
      <c r="Y473" s="242"/>
      <c r="Z473" s="242"/>
      <c r="AA473" s="242"/>
      <c r="AB473" s="242"/>
    </row>
    <row r="474">
      <c r="A474" s="242"/>
      <c r="B474" s="13"/>
      <c r="C474" s="242"/>
      <c r="D474" s="13"/>
      <c r="E474" s="13"/>
      <c r="F474" s="13"/>
      <c r="G474" s="13"/>
      <c r="H474" s="13"/>
      <c r="I474" s="242"/>
      <c r="J474" s="242"/>
      <c r="K474" s="242"/>
      <c r="L474" s="242"/>
      <c r="M474" s="242"/>
      <c r="N474" s="242"/>
      <c r="O474" s="242"/>
      <c r="P474" s="242"/>
      <c r="Q474" s="242"/>
      <c r="R474" s="242"/>
      <c r="S474" s="242"/>
      <c r="T474" s="242"/>
      <c r="U474" s="242"/>
      <c r="V474" s="242"/>
      <c r="W474" s="242"/>
      <c r="X474" s="242"/>
      <c r="Y474" s="242"/>
      <c r="Z474" s="242"/>
      <c r="AA474" s="242"/>
      <c r="AB474" s="242"/>
    </row>
    <row r="475">
      <c r="A475" s="242"/>
      <c r="B475" s="13"/>
      <c r="C475" s="242"/>
      <c r="D475" s="13"/>
      <c r="E475" s="13"/>
      <c r="F475" s="13"/>
      <c r="G475" s="13"/>
      <c r="H475" s="13"/>
      <c r="I475" s="242"/>
      <c r="J475" s="242"/>
      <c r="K475" s="242"/>
      <c r="L475" s="242"/>
      <c r="M475" s="242"/>
      <c r="N475" s="242"/>
      <c r="O475" s="242"/>
      <c r="P475" s="242"/>
      <c r="Q475" s="242"/>
      <c r="R475" s="242"/>
      <c r="S475" s="242"/>
      <c r="T475" s="242"/>
      <c r="U475" s="242"/>
      <c r="V475" s="242"/>
      <c r="W475" s="242"/>
      <c r="X475" s="242"/>
      <c r="Y475" s="242"/>
      <c r="Z475" s="242"/>
      <c r="AA475" s="242"/>
      <c r="AB475" s="242"/>
    </row>
    <row r="476">
      <c r="A476" s="242"/>
      <c r="B476" s="13"/>
      <c r="C476" s="242"/>
      <c r="D476" s="13"/>
      <c r="E476" s="13"/>
      <c r="F476" s="13"/>
      <c r="G476" s="13"/>
      <c r="H476" s="13"/>
      <c r="I476" s="242"/>
      <c r="J476" s="242"/>
      <c r="K476" s="242"/>
      <c r="L476" s="242"/>
      <c r="M476" s="242"/>
      <c r="N476" s="242"/>
      <c r="O476" s="242"/>
      <c r="P476" s="242"/>
      <c r="Q476" s="242"/>
      <c r="R476" s="242"/>
      <c r="S476" s="242"/>
      <c r="T476" s="242"/>
      <c r="U476" s="242"/>
      <c r="V476" s="242"/>
      <c r="W476" s="242"/>
      <c r="X476" s="242"/>
      <c r="Y476" s="242"/>
      <c r="Z476" s="242"/>
      <c r="AA476" s="242"/>
      <c r="AB476" s="242"/>
    </row>
    <row r="477">
      <c r="A477" s="242"/>
      <c r="B477" s="13"/>
      <c r="C477" s="242"/>
      <c r="D477" s="13"/>
      <c r="E477" s="13"/>
      <c r="F477" s="13"/>
      <c r="G477" s="13"/>
      <c r="H477" s="13"/>
      <c r="I477" s="242"/>
      <c r="J477" s="242"/>
      <c r="K477" s="242"/>
      <c r="L477" s="242"/>
      <c r="M477" s="242"/>
      <c r="N477" s="242"/>
      <c r="O477" s="242"/>
      <c r="P477" s="242"/>
      <c r="Q477" s="242"/>
      <c r="R477" s="242"/>
      <c r="S477" s="242"/>
      <c r="T477" s="242"/>
      <c r="U477" s="242"/>
      <c r="V477" s="242"/>
      <c r="W477" s="242"/>
      <c r="X477" s="242"/>
      <c r="Y477" s="242"/>
      <c r="Z477" s="242"/>
      <c r="AA477" s="242"/>
      <c r="AB477" s="242"/>
    </row>
    <row r="478">
      <c r="A478" s="242"/>
      <c r="B478" s="13"/>
      <c r="C478" s="242"/>
      <c r="D478" s="13"/>
      <c r="E478" s="13"/>
      <c r="F478" s="13"/>
      <c r="G478" s="13"/>
      <c r="H478" s="13"/>
      <c r="I478" s="242"/>
      <c r="J478" s="242"/>
      <c r="K478" s="242"/>
      <c r="L478" s="242"/>
      <c r="M478" s="242"/>
      <c r="N478" s="242"/>
      <c r="O478" s="242"/>
      <c r="P478" s="242"/>
      <c r="Q478" s="242"/>
      <c r="R478" s="242"/>
      <c r="S478" s="242"/>
      <c r="T478" s="242"/>
      <c r="U478" s="242"/>
      <c r="V478" s="242"/>
      <c r="W478" s="242"/>
      <c r="X478" s="242"/>
      <c r="Y478" s="242"/>
      <c r="Z478" s="242"/>
      <c r="AA478" s="242"/>
      <c r="AB478" s="242"/>
    </row>
    <row r="479">
      <c r="A479" s="242"/>
      <c r="B479" s="13"/>
      <c r="C479" s="242"/>
      <c r="D479" s="13"/>
      <c r="E479" s="13"/>
      <c r="F479" s="13"/>
      <c r="G479" s="13"/>
      <c r="H479" s="13"/>
      <c r="I479" s="242"/>
      <c r="J479" s="242"/>
      <c r="K479" s="242"/>
      <c r="L479" s="242"/>
      <c r="M479" s="242"/>
      <c r="N479" s="242"/>
      <c r="O479" s="242"/>
      <c r="P479" s="242"/>
      <c r="Q479" s="242"/>
      <c r="R479" s="242"/>
      <c r="S479" s="242"/>
      <c r="T479" s="242"/>
      <c r="U479" s="242"/>
      <c r="V479" s="242"/>
      <c r="W479" s="242"/>
      <c r="X479" s="242"/>
      <c r="Y479" s="242"/>
      <c r="Z479" s="242"/>
      <c r="AA479" s="242"/>
      <c r="AB479" s="242"/>
    </row>
    <row r="480">
      <c r="A480" s="242"/>
      <c r="B480" s="13"/>
      <c r="C480" s="242"/>
      <c r="D480" s="13"/>
      <c r="E480" s="13"/>
      <c r="F480" s="13"/>
      <c r="G480" s="13"/>
      <c r="H480" s="13"/>
      <c r="I480" s="242"/>
      <c r="J480" s="242"/>
      <c r="K480" s="242"/>
      <c r="L480" s="242"/>
      <c r="M480" s="242"/>
      <c r="N480" s="242"/>
      <c r="O480" s="242"/>
      <c r="P480" s="242"/>
      <c r="Q480" s="242"/>
      <c r="R480" s="242"/>
      <c r="S480" s="242"/>
      <c r="T480" s="242"/>
      <c r="U480" s="242"/>
      <c r="V480" s="242"/>
      <c r="W480" s="242"/>
      <c r="X480" s="242"/>
      <c r="Y480" s="242"/>
      <c r="Z480" s="242"/>
      <c r="AA480" s="242"/>
      <c r="AB480" s="242"/>
    </row>
    <row r="481">
      <c r="A481" s="242"/>
      <c r="B481" s="13"/>
      <c r="C481" s="242"/>
      <c r="D481" s="13"/>
      <c r="E481" s="13"/>
      <c r="F481" s="13"/>
      <c r="G481" s="13"/>
      <c r="H481" s="13"/>
      <c r="I481" s="242"/>
      <c r="J481" s="242"/>
      <c r="K481" s="242"/>
      <c r="L481" s="242"/>
      <c r="M481" s="242"/>
      <c r="N481" s="242"/>
      <c r="O481" s="242"/>
      <c r="P481" s="242"/>
      <c r="Q481" s="242"/>
      <c r="R481" s="242"/>
      <c r="S481" s="242"/>
      <c r="T481" s="242"/>
      <c r="U481" s="242"/>
      <c r="V481" s="242"/>
      <c r="W481" s="242"/>
      <c r="X481" s="242"/>
      <c r="Y481" s="242"/>
      <c r="Z481" s="242"/>
      <c r="AA481" s="242"/>
      <c r="AB481" s="242"/>
    </row>
    <row r="482">
      <c r="A482" s="242"/>
      <c r="B482" s="13"/>
      <c r="C482" s="242"/>
      <c r="D482" s="13"/>
      <c r="E482" s="13"/>
      <c r="F482" s="13"/>
      <c r="G482" s="13"/>
      <c r="H482" s="13"/>
      <c r="I482" s="242"/>
      <c r="J482" s="242"/>
      <c r="K482" s="242"/>
      <c r="L482" s="242"/>
      <c r="M482" s="242"/>
      <c r="N482" s="242"/>
      <c r="O482" s="242"/>
      <c r="P482" s="242"/>
      <c r="Q482" s="242"/>
      <c r="R482" s="242"/>
      <c r="S482" s="242"/>
      <c r="T482" s="242"/>
      <c r="U482" s="242"/>
      <c r="V482" s="242"/>
      <c r="W482" s="242"/>
      <c r="X482" s="242"/>
      <c r="Y482" s="242"/>
      <c r="Z482" s="242"/>
      <c r="AA482" s="242"/>
      <c r="AB482" s="242"/>
    </row>
    <row r="483">
      <c r="A483" s="242"/>
      <c r="B483" s="13"/>
      <c r="C483" s="242"/>
      <c r="D483" s="13"/>
      <c r="E483" s="13"/>
      <c r="F483" s="13"/>
      <c r="G483" s="13"/>
      <c r="H483" s="13"/>
      <c r="I483" s="242"/>
      <c r="J483" s="242"/>
      <c r="K483" s="242"/>
      <c r="L483" s="242"/>
      <c r="M483" s="242"/>
      <c r="N483" s="242"/>
      <c r="O483" s="242"/>
      <c r="P483" s="242"/>
      <c r="Q483" s="242"/>
      <c r="R483" s="242"/>
      <c r="S483" s="242"/>
      <c r="T483" s="242"/>
      <c r="U483" s="242"/>
      <c r="V483" s="242"/>
      <c r="W483" s="242"/>
      <c r="X483" s="242"/>
      <c r="Y483" s="242"/>
      <c r="Z483" s="242"/>
      <c r="AA483" s="242"/>
      <c r="AB483" s="242"/>
    </row>
    <row r="484">
      <c r="A484" s="242"/>
      <c r="B484" s="13"/>
      <c r="C484" s="242"/>
      <c r="D484" s="13"/>
      <c r="E484" s="13"/>
      <c r="F484" s="13"/>
      <c r="G484" s="13"/>
      <c r="H484" s="13"/>
      <c r="I484" s="242"/>
      <c r="J484" s="242"/>
      <c r="K484" s="242"/>
      <c r="L484" s="242"/>
      <c r="M484" s="242"/>
      <c r="N484" s="242"/>
      <c r="O484" s="242"/>
      <c r="P484" s="242"/>
      <c r="Q484" s="242"/>
      <c r="R484" s="242"/>
      <c r="S484" s="242"/>
      <c r="T484" s="242"/>
      <c r="U484" s="242"/>
      <c r="V484" s="242"/>
      <c r="W484" s="242"/>
      <c r="X484" s="242"/>
      <c r="Y484" s="242"/>
      <c r="Z484" s="242"/>
      <c r="AA484" s="242"/>
      <c r="AB484" s="242"/>
    </row>
    <row r="485">
      <c r="A485" s="242"/>
      <c r="B485" s="13"/>
      <c r="C485" s="242"/>
      <c r="D485" s="13"/>
      <c r="E485" s="13"/>
      <c r="F485" s="13"/>
      <c r="G485" s="13"/>
      <c r="H485" s="13"/>
      <c r="I485" s="242"/>
      <c r="J485" s="242"/>
      <c r="K485" s="242"/>
      <c r="L485" s="242"/>
      <c r="M485" s="242"/>
      <c r="N485" s="242"/>
      <c r="O485" s="242"/>
      <c r="P485" s="242"/>
      <c r="Q485" s="242"/>
      <c r="R485" s="242"/>
      <c r="S485" s="242"/>
      <c r="T485" s="242"/>
      <c r="U485" s="242"/>
      <c r="V485" s="242"/>
      <c r="W485" s="242"/>
      <c r="X485" s="242"/>
      <c r="Y485" s="242"/>
      <c r="Z485" s="242"/>
      <c r="AA485" s="242"/>
      <c r="AB485" s="242"/>
    </row>
    <row r="486">
      <c r="A486" s="242"/>
      <c r="B486" s="13"/>
      <c r="C486" s="242"/>
      <c r="D486" s="13"/>
      <c r="E486" s="13"/>
      <c r="F486" s="13"/>
      <c r="G486" s="13"/>
      <c r="H486" s="13"/>
      <c r="I486" s="242"/>
      <c r="J486" s="242"/>
      <c r="K486" s="242"/>
      <c r="L486" s="242"/>
      <c r="M486" s="242"/>
      <c r="N486" s="242"/>
      <c r="O486" s="242"/>
      <c r="P486" s="242"/>
      <c r="Q486" s="242"/>
      <c r="R486" s="242"/>
      <c r="S486" s="242"/>
      <c r="T486" s="242"/>
      <c r="U486" s="242"/>
      <c r="V486" s="242"/>
      <c r="W486" s="242"/>
      <c r="X486" s="242"/>
      <c r="Y486" s="242"/>
      <c r="Z486" s="242"/>
      <c r="AA486" s="242"/>
      <c r="AB486" s="242"/>
    </row>
    <row r="487">
      <c r="A487" s="242"/>
      <c r="B487" s="13"/>
      <c r="C487" s="242"/>
      <c r="D487" s="13"/>
      <c r="E487" s="13"/>
      <c r="F487" s="13"/>
      <c r="G487" s="13"/>
      <c r="H487" s="13"/>
      <c r="I487" s="242"/>
      <c r="J487" s="242"/>
      <c r="K487" s="242"/>
      <c r="L487" s="242"/>
      <c r="M487" s="242"/>
      <c r="N487" s="242"/>
      <c r="O487" s="242"/>
      <c r="P487" s="242"/>
      <c r="Q487" s="242"/>
      <c r="R487" s="242"/>
      <c r="S487" s="242"/>
      <c r="T487" s="242"/>
      <c r="U487" s="242"/>
      <c r="V487" s="242"/>
      <c r="W487" s="242"/>
      <c r="X487" s="242"/>
      <c r="Y487" s="242"/>
      <c r="Z487" s="242"/>
      <c r="AA487" s="242"/>
      <c r="AB487" s="242"/>
    </row>
    <row r="488">
      <c r="A488" s="242"/>
      <c r="B488" s="13"/>
      <c r="C488" s="242"/>
      <c r="D488" s="13"/>
      <c r="E488" s="13"/>
      <c r="F488" s="13"/>
      <c r="G488" s="13"/>
      <c r="H488" s="13"/>
      <c r="I488" s="242"/>
      <c r="J488" s="242"/>
      <c r="K488" s="242"/>
      <c r="L488" s="242"/>
      <c r="M488" s="242"/>
      <c r="N488" s="242"/>
      <c r="O488" s="242"/>
      <c r="P488" s="242"/>
      <c r="Q488" s="242"/>
      <c r="R488" s="242"/>
      <c r="S488" s="242"/>
      <c r="T488" s="242"/>
      <c r="U488" s="242"/>
      <c r="V488" s="242"/>
      <c r="W488" s="242"/>
      <c r="X488" s="242"/>
      <c r="Y488" s="242"/>
      <c r="Z488" s="242"/>
      <c r="AA488" s="242"/>
      <c r="AB488" s="242"/>
    </row>
    <row r="489">
      <c r="A489" s="242"/>
      <c r="B489" s="13"/>
      <c r="C489" s="242"/>
      <c r="D489" s="13"/>
      <c r="E489" s="13"/>
      <c r="F489" s="13"/>
      <c r="G489" s="13"/>
      <c r="H489" s="13"/>
      <c r="I489" s="242"/>
      <c r="J489" s="242"/>
      <c r="K489" s="242"/>
      <c r="L489" s="242"/>
      <c r="M489" s="242"/>
      <c r="N489" s="242"/>
      <c r="O489" s="242"/>
      <c r="P489" s="242"/>
      <c r="Q489" s="242"/>
      <c r="R489" s="242"/>
      <c r="S489" s="242"/>
      <c r="T489" s="242"/>
      <c r="U489" s="242"/>
      <c r="V489" s="242"/>
      <c r="W489" s="242"/>
      <c r="X489" s="242"/>
      <c r="Y489" s="242"/>
      <c r="Z489" s="242"/>
      <c r="AA489" s="242"/>
      <c r="AB489" s="242"/>
    </row>
    <row r="490">
      <c r="A490" s="242"/>
      <c r="B490" s="13"/>
      <c r="C490" s="242"/>
      <c r="D490" s="13"/>
      <c r="E490" s="13"/>
      <c r="F490" s="13"/>
      <c r="G490" s="13"/>
      <c r="H490" s="13"/>
      <c r="I490" s="242"/>
      <c r="J490" s="242"/>
      <c r="K490" s="242"/>
      <c r="L490" s="242"/>
      <c r="M490" s="242"/>
      <c r="N490" s="242"/>
      <c r="O490" s="242"/>
      <c r="P490" s="242"/>
      <c r="Q490" s="242"/>
      <c r="R490" s="242"/>
      <c r="S490" s="242"/>
      <c r="T490" s="242"/>
      <c r="U490" s="242"/>
      <c r="V490" s="242"/>
      <c r="W490" s="242"/>
      <c r="X490" s="242"/>
      <c r="Y490" s="242"/>
      <c r="Z490" s="242"/>
      <c r="AA490" s="242"/>
      <c r="AB490" s="242"/>
    </row>
    <row r="491">
      <c r="A491" s="242"/>
      <c r="B491" s="13"/>
      <c r="C491" s="242"/>
      <c r="D491" s="13"/>
      <c r="E491" s="13"/>
      <c r="F491" s="13"/>
      <c r="G491" s="13"/>
      <c r="H491" s="13"/>
      <c r="I491" s="242"/>
      <c r="J491" s="242"/>
      <c r="K491" s="242"/>
      <c r="L491" s="242"/>
      <c r="M491" s="242"/>
      <c r="N491" s="242"/>
      <c r="O491" s="242"/>
      <c r="P491" s="242"/>
      <c r="Q491" s="242"/>
      <c r="R491" s="242"/>
      <c r="S491" s="242"/>
      <c r="T491" s="242"/>
      <c r="U491" s="242"/>
      <c r="V491" s="242"/>
      <c r="W491" s="242"/>
      <c r="X491" s="242"/>
      <c r="Y491" s="242"/>
      <c r="Z491" s="242"/>
      <c r="AA491" s="242"/>
      <c r="AB491" s="242"/>
    </row>
    <row r="492">
      <c r="A492" s="242"/>
      <c r="B492" s="13"/>
      <c r="C492" s="242"/>
      <c r="D492" s="13"/>
      <c r="E492" s="13"/>
      <c r="F492" s="13"/>
      <c r="G492" s="13"/>
      <c r="H492" s="13"/>
      <c r="I492" s="242"/>
      <c r="J492" s="242"/>
      <c r="K492" s="242"/>
      <c r="L492" s="242"/>
      <c r="M492" s="242"/>
      <c r="N492" s="242"/>
      <c r="O492" s="242"/>
      <c r="P492" s="242"/>
      <c r="Q492" s="242"/>
      <c r="R492" s="242"/>
      <c r="S492" s="242"/>
      <c r="T492" s="242"/>
      <c r="U492" s="242"/>
      <c r="V492" s="242"/>
      <c r="W492" s="242"/>
      <c r="X492" s="242"/>
      <c r="Y492" s="242"/>
      <c r="Z492" s="242"/>
      <c r="AA492" s="242"/>
      <c r="AB492" s="242"/>
    </row>
    <row r="493">
      <c r="A493" s="242"/>
      <c r="B493" s="13"/>
      <c r="C493" s="242"/>
      <c r="D493" s="13"/>
      <c r="E493" s="13"/>
      <c r="F493" s="13"/>
      <c r="G493" s="13"/>
      <c r="H493" s="13"/>
      <c r="I493" s="242"/>
      <c r="J493" s="242"/>
      <c r="K493" s="242"/>
      <c r="L493" s="242"/>
      <c r="M493" s="242"/>
      <c r="N493" s="242"/>
      <c r="O493" s="242"/>
      <c r="P493" s="242"/>
      <c r="Q493" s="242"/>
      <c r="R493" s="242"/>
      <c r="S493" s="242"/>
      <c r="T493" s="242"/>
      <c r="U493" s="242"/>
      <c r="V493" s="242"/>
      <c r="W493" s="242"/>
      <c r="X493" s="242"/>
      <c r="Y493" s="242"/>
      <c r="Z493" s="242"/>
      <c r="AA493" s="242"/>
      <c r="AB493" s="242"/>
    </row>
    <row r="494">
      <c r="A494" s="242"/>
      <c r="B494" s="13"/>
      <c r="C494" s="242"/>
      <c r="D494" s="13"/>
      <c r="E494" s="13"/>
      <c r="F494" s="13"/>
      <c r="G494" s="13"/>
      <c r="H494" s="13"/>
      <c r="I494" s="242"/>
      <c r="J494" s="242"/>
      <c r="K494" s="242"/>
      <c r="L494" s="242"/>
      <c r="M494" s="242"/>
      <c r="N494" s="242"/>
      <c r="O494" s="242"/>
      <c r="P494" s="242"/>
      <c r="Q494" s="242"/>
      <c r="R494" s="242"/>
      <c r="S494" s="242"/>
      <c r="T494" s="242"/>
      <c r="U494" s="242"/>
      <c r="V494" s="242"/>
      <c r="W494" s="242"/>
      <c r="X494" s="242"/>
      <c r="Y494" s="242"/>
      <c r="Z494" s="242"/>
      <c r="AA494" s="242"/>
      <c r="AB494" s="242"/>
    </row>
    <row r="495">
      <c r="A495" s="242"/>
      <c r="B495" s="13"/>
      <c r="C495" s="242"/>
      <c r="D495" s="13"/>
      <c r="E495" s="13"/>
      <c r="F495" s="13"/>
      <c r="G495" s="13"/>
      <c r="H495" s="13"/>
      <c r="I495" s="242"/>
      <c r="J495" s="242"/>
      <c r="K495" s="242"/>
      <c r="L495" s="242"/>
      <c r="M495" s="242"/>
      <c r="N495" s="242"/>
      <c r="O495" s="242"/>
      <c r="P495" s="242"/>
      <c r="Q495" s="242"/>
      <c r="R495" s="242"/>
      <c r="S495" s="242"/>
      <c r="T495" s="242"/>
      <c r="U495" s="242"/>
      <c r="V495" s="242"/>
      <c r="W495" s="242"/>
      <c r="X495" s="242"/>
      <c r="Y495" s="242"/>
      <c r="Z495" s="242"/>
      <c r="AA495" s="242"/>
      <c r="AB495" s="242"/>
    </row>
    <row r="496">
      <c r="A496" s="242"/>
      <c r="B496" s="13"/>
      <c r="C496" s="242"/>
      <c r="D496" s="13"/>
      <c r="E496" s="13"/>
      <c r="F496" s="13"/>
      <c r="G496" s="13"/>
      <c r="H496" s="13"/>
      <c r="I496" s="242"/>
      <c r="J496" s="242"/>
      <c r="K496" s="242"/>
      <c r="L496" s="242"/>
      <c r="M496" s="242"/>
      <c r="N496" s="242"/>
      <c r="O496" s="242"/>
      <c r="P496" s="242"/>
      <c r="Q496" s="242"/>
      <c r="R496" s="242"/>
      <c r="S496" s="242"/>
      <c r="T496" s="242"/>
      <c r="U496" s="242"/>
      <c r="V496" s="242"/>
      <c r="W496" s="242"/>
      <c r="X496" s="242"/>
      <c r="Y496" s="242"/>
      <c r="Z496" s="242"/>
      <c r="AA496" s="242"/>
      <c r="AB496" s="242"/>
    </row>
    <row r="497">
      <c r="A497" s="242"/>
      <c r="B497" s="13"/>
      <c r="C497" s="242"/>
      <c r="D497" s="13"/>
      <c r="E497" s="13"/>
      <c r="F497" s="13"/>
      <c r="G497" s="13"/>
      <c r="H497" s="13"/>
      <c r="I497" s="242"/>
      <c r="J497" s="242"/>
      <c r="K497" s="242"/>
      <c r="L497" s="242"/>
      <c r="M497" s="242"/>
      <c r="N497" s="242"/>
      <c r="O497" s="242"/>
      <c r="P497" s="242"/>
      <c r="Q497" s="242"/>
      <c r="R497" s="242"/>
      <c r="S497" s="242"/>
      <c r="T497" s="242"/>
      <c r="U497" s="242"/>
      <c r="V497" s="242"/>
      <c r="W497" s="242"/>
      <c r="X497" s="242"/>
      <c r="Y497" s="242"/>
      <c r="Z497" s="242"/>
      <c r="AA497" s="242"/>
      <c r="AB497" s="242"/>
    </row>
    <row r="498">
      <c r="A498" s="242"/>
      <c r="B498" s="13"/>
      <c r="C498" s="242"/>
      <c r="D498" s="13"/>
      <c r="E498" s="13"/>
      <c r="F498" s="13"/>
      <c r="G498" s="13"/>
      <c r="H498" s="13"/>
      <c r="I498" s="242"/>
      <c r="J498" s="242"/>
      <c r="K498" s="242"/>
      <c r="L498" s="242"/>
      <c r="M498" s="242"/>
      <c r="N498" s="242"/>
      <c r="O498" s="242"/>
      <c r="P498" s="242"/>
      <c r="Q498" s="242"/>
      <c r="R498" s="242"/>
      <c r="S498" s="242"/>
      <c r="T498" s="242"/>
      <c r="U498" s="242"/>
      <c r="V498" s="242"/>
      <c r="W498" s="242"/>
      <c r="X498" s="242"/>
      <c r="Y498" s="242"/>
      <c r="Z498" s="242"/>
      <c r="AA498" s="242"/>
      <c r="AB498" s="242"/>
    </row>
    <row r="499">
      <c r="A499" s="242"/>
      <c r="B499" s="13"/>
      <c r="C499" s="242"/>
      <c r="D499" s="13"/>
      <c r="E499" s="13"/>
      <c r="F499" s="13"/>
      <c r="G499" s="13"/>
      <c r="H499" s="13"/>
      <c r="I499" s="242"/>
      <c r="J499" s="242"/>
      <c r="K499" s="242"/>
      <c r="L499" s="242"/>
      <c r="M499" s="242"/>
      <c r="N499" s="242"/>
      <c r="O499" s="242"/>
      <c r="P499" s="242"/>
      <c r="Q499" s="242"/>
      <c r="R499" s="242"/>
      <c r="S499" s="242"/>
      <c r="T499" s="242"/>
      <c r="U499" s="242"/>
      <c r="V499" s="242"/>
      <c r="W499" s="242"/>
      <c r="X499" s="242"/>
      <c r="Y499" s="242"/>
      <c r="Z499" s="242"/>
      <c r="AA499" s="242"/>
      <c r="AB499" s="242"/>
    </row>
    <row r="500">
      <c r="A500" s="242"/>
      <c r="B500" s="13"/>
      <c r="C500" s="242"/>
      <c r="D500" s="13"/>
      <c r="E500" s="13"/>
      <c r="F500" s="13"/>
      <c r="G500" s="13"/>
      <c r="H500" s="13"/>
      <c r="I500" s="242"/>
      <c r="J500" s="242"/>
      <c r="K500" s="242"/>
      <c r="L500" s="242"/>
      <c r="M500" s="242"/>
      <c r="N500" s="242"/>
      <c r="O500" s="242"/>
      <c r="P500" s="242"/>
      <c r="Q500" s="242"/>
      <c r="R500" s="242"/>
      <c r="S500" s="242"/>
      <c r="T500" s="242"/>
      <c r="U500" s="242"/>
      <c r="V500" s="242"/>
      <c r="W500" s="242"/>
      <c r="X500" s="242"/>
      <c r="Y500" s="242"/>
      <c r="Z500" s="242"/>
      <c r="AA500" s="242"/>
      <c r="AB500" s="242"/>
    </row>
    <row r="501">
      <c r="A501" s="242"/>
      <c r="B501" s="13"/>
      <c r="C501" s="242"/>
      <c r="D501" s="13"/>
      <c r="E501" s="13"/>
      <c r="F501" s="13"/>
      <c r="G501" s="13"/>
      <c r="H501" s="13"/>
      <c r="I501" s="242"/>
      <c r="J501" s="242"/>
      <c r="K501" s="242"/>
      <c r="L501" s="242"/>
      <c r="M501" s="242"/>
      <c r="N501" s="242"/>
      <c r="O501" s="242"/>
      <c r="P501" s="242"/>
      <c r="Q501" s="242"/>
      <c r="R501" s="242"/>
      <c r="S501" s="242"/>
      <c r="T501" s="242"/>
      <c r="U501" s="242"/>
      <c r="V501" s="242"/>
      <c r="W501" s="242"/>
      <c r="X501" s="242"/>
      <c r="Y501" s="242"/>
      <c r="Z501" s="242"/>
      <c r="AA501" s="242"/>
      <c r="AB501" s="242"/>
    </row>
    <row r="502">
      <c r="A502" s="242"/>
      <c r="B502" s="13"/>
      <c r="C502" s="242"/>
      <c r="D502" s="13"/>
      <c r="E502" s="13"/>
      <c r="F502" s="13"/>
      <c r="G502" s="13"/>
      <c r="H502" s="13"/>
      <c r="I502" s="242"/>
      <c r="J502" s="242"/>
      <c r="K502" s="242"/>
      <c r="L502" s="242"/>
      <c r="M502" s="242"/>
      <c r="N502" s="242"/>
      <c r="O502" s="242"/>
      <c r="P502" s="242"/>
      <c r="Q502" s="242"/>
      <c r="R502" s="242"/>
      <c r="S502" s="242"/>
      <c r="T502" s="242"/>
      <c r="U502" s="242"/>
      <c r="V502" s="242"/>
      <c r="W502" s="242"/>
      <c r="X502" s="242"/>
      <c r="Y502" s="242"/>
      <c r="Z502" s="242"/>
      <c r="AA502" s="242"/>
      <c r="AB502" s="242"/>
    </row>
    <row r="503">
      <c r="A503" s="242"/>
      <c r="B503" s="13"/>
      <c r="C503" s="242"/>
      <c r="D503" s="13"/>
      <c r="E503" s="13"/>
      <c r="F503" s="13"/>
      <c r="G503" s="13"/>
      <c r="H503" s="13"/>
      <c r="I503" s="242"/>
      <c r="J503" s="242"/>
      <c r="K503" s="242"/>
      <c r="L503" s="242"/>
      <c r="M503" s="242"/>
      <c r="N503" s="242"/>
      <c r="O503" s="242"/>
      <c r="P503" s="242"/>
      <c r="Q503" s="242"/>
      <c r="R503" s="242"/>
      <c r="S503" s="242"/>
      <c r="T503" s="242"/>
      <c r="U503" s="242"/>
      <c r="V503" s="242"/>
      <c r="W503" s="242"/>
      <c r="X503" s="242"/>
      <c r="Y503" s="242"/>
      <c r="Z503" s="242"/>
      <c r="AA503" s="242"/>
      <c r="AB503" s="242"/>
    </row>
    <row r="504">
      <c r="A504" s="242"/>
      <c r="B504" s="13"/>
      <c r="C504" s="242"/>
      <c r="D504" s="13"/>
      <c r="E504" s="13"/>
      <c r="F504" s="13"/>
      <c r="G504" s="13"/>
      <c r="H504" s="13"/>
      <c r="I504" s="242"/>
      <c r="J504" s="242"/>
      <c r="K504" s="242"/>
      <c r="L504" s="242"/>
      <c r="M504" s="242"/>
      <c r="N504" s="242"/>
      <c r="O504" s="242"/>
      <c r="P504" s="242"/>
      <c r="Q504" s="242"/>
      <c r="R504" s="242"/>
      <c r="S504" s="242"/>
      <c r="T504" s="242"/>
      <c r="U504" s="242"/>
      <c r="V504" s="242"/>
      <c r="W504" s="242"/>
      <c r="X504" s="242"/>
      <c r="Y504" s="242"/>
      <c r="Z504" s="242"/>
      <c r="AA504" s="242"/>
      <c r="AB504" s="242"/>
    </row>
    <row r="505">
      <c r="A505" s="242"/>
      <c r="B505" s="13"/>
      <c r="C505" s="242"/>
      <c r="D505" s="13"/>
      <c r="E505" s="13"/>
      <c r="F505" s="13"/>
      <c r="G505" s="13"/>
      <c r="H505" s="13"/>
      <c r="I505" s="242"/>
      <c r="J505" s="242"/>
      <c r="K505" s="242"/>
      <c r="L505" s="242"/>
      <c r="M505" s="242"/>
      <c r="N505" s="242"/>
      <c r="O505" s="242"/>
      <c r="P505" s="242"/>
      <c r="Q505" s="242"/>
      <c r="R505" s="242"/>
      <c r="S505" s="242"/>
      <c r="T505" s="242"/>
      <c r="U505" s="242"/>
      <c r="V505" s="242"/>
      <c r="W505" s="242"/>
      <c r="X505" s="242"/>
      <c r="Y505" s="242"/>
      <c r="Z505" s="242"/>
      <c r="AA505" s="242"/>
      <c r="AB505" s="242"/>
    </row>
    <row r="506">
      <c r="A506" s="242"/>
      <c r="B506" s="13"/>
      <c r="C506" s="242"/>
      <c r="D506" s="13"/>
      <c r="E506" s="13"/>
      <c r="F506" s="13"/>
      <c r="G506" s="13"/>
      <c r="H506" s="13"/>
      <c r="I506" s="242"/>
      <c r="J506" s="242"/>
      <c r="K506" s="242"/>
      <c r="L506" s="242"/>
      <c r="M506" s="242"/>
      <c r="N506" s="242"/>
      <c r="O506" s="242"/>
      <c r="P506" s="242"/>
      <c r="Q506" s="242"/>
      <c r="R506" s="242"/>
      <c r="S506" s="242"/>
      <c r="T506" s="242"/>
      <c r="U506" s="242"/>
      <c r="V506" s="242"/>
      <c r="W506" s="242"/>
      <c r="X506" s="242"/>
      <c r="Y506" s="242"/>
      <c r="Z506" s="242"/>
      <c r="AA506" s="242"/>
      <c r="AB506" s="242"/>
    </row>
    <row r="507">
      <c r="A507" s="242"/>
      <c r="B507" s="13"/>
      <c r="C507" s="242"/>
      <c r="D507" s="13"/>
      <c r="E507" s="13"/>
      <c r="F507" s="13"/>
      <c r="G507" s="13"/>
      <c r="H507" s="13"/>
      <c r="I507" s="242"/>
      <c r="J507" s="242"/>
      <c r="K507" s="242"/>
      <c r="L507" s="242"/>
      <c r="M507" s="242"/>
      <c r="N507" s="242"/>
      <c r="O507" s="242"/>
      <c r="P507" s="242"/>
      <c r="Q507" s="242"/>
      <c r="R507" s="242"/>
      <c r="S507" s="242"/>
      <c r="T507" s="242"/>
      <c r="U507" s="242"/>
      <c r="V507" s="242"/>
      <c r="W507" s="242"/>
      <c r="X507" s="242"/>
      <c r="Y507" s="242"/>
      <c r="Z507" s="242"/>
      <c r="AA507" s="242"/>
      <c r="AB507" s="242"/>
    </row>
    <row r="508">
      <c r="A508" s="242"/>
      <c r="B508" s="13"/>
      <c r="C508" s="242"/>
      <c r="D508" s="13"/>
      <c r="E508" s="13"/>
      <c r="F508" s="13"/>
      <c r="G508" s="13"/>
      <c r="H508" s="13"/>
      <c r="I508" s="242"/>
      <c r="J508" s="242"/>
      <c r="K508" s="242"/>
      <c r="L508" s="242"/>
      <c r="M508" s="242"/>
      <c r="N508" s="242"/>
      <c r="O508" s="242"/>
      <c r="P508" s="242"/>
      <c r="Q508" s="242"/>
      <c r="R508" s="242"/>
      <c r="S508" s="242"/>
      <c r="T508" s="242"/>
      <c r="U508" s="242"/>
      <c r="V508" s="242"/>
      <c r="W508" s="242"/>
      <c r="X508" s="242"/>
      <c r="Y508" s="242"/>
      <c r="Z508" s="242"/>
      <c r="AA508" s="242"/>
      <c r="AB508" s="242"/>
    </row>
    <row r="509">
      <c r="A509" s="242"/>
      <c r="B509" s="13"/>
      <c r="C509" s="242"/>
      <c r="D509" s="13"/>
      <c r="E509" s="13"/>
      <c r="F509" s="13"/>
      <c r="G509" s="13"/>
      <c r="H509" s="13"/>
      <c r="I509" s="242"/>
      <c r="J509" s="242"/>
      <c r="K509" s="242"/>
      <c r="L509" s="242"/>
      <c r="M509" s="242"/>
      <c r="N509" s="242"/>
      <c r="O509" s="242"/>
      <c r="P509" s="242"/>
      <c r="Q509" s="242"/>
      <c r="R509" s="242"/>
      <c r="S509" s="242"/>
      <c r="T509" s="242"/>
      <c r="U509" s="242"/>
      <c r="V509" s="242"/>
      <c r="W509" s="242"/>
      <c r="X509" s="242"/>
      <c r="Y509" s="242"/>
      <c r="Z509" s="242"/>
      <c r="AA509" s="242"/>
      <c r="AB509" s="242"/>
    </row>
    <row r="510">
      <c r="A510" s="242"/>
      <c r="B510" s="13"/>
      <c r="C510" s="242"/>
      <c r="D510" s="13"/>
      <c r="E510" s="13"/>
      <c r="F510" s="13"/>
      <c r="G510" s="13"/>
      <c r="H510" s="13"/>
      <c r="I510" s="242"/>
      <c r="J510" s="242"/>
      <c r="K510" s="242"/>
      <c r="L510" s="242"/>
      <c r="M510" s="242"/>
      <c r="N510" s="242"/>
      <c r="O510" s="242"/>
      <c r="P510" s="242"/>
      <c r="Q510" s="242"/>
      <c r="R510" s="242"/>
      <c r="S510" s="242"/>
      <c r="T510" s="242"/>
      <c r="U510" s="242"/>
      <c r="V510" s="242"/>
      <c r="W510" s="242"/>
      <c r="X510" s="242"/>
      <c r="Y510" s="242"/>
      <c r="Z510" s="242"/>
      <c r="AA510" s="242"/>
      <c r="AB510" s="242"/>
    </row>
    <row r="511">
      <c r="A511" s="242"/>
      <c r="B511" s="13"/>
      <c r="C511" s="242"/>
      <c r="D511" s="13"/>
      <c r="E511" s="13"/>
      <c r="F511" s="13"/>
      <c r="G511" s="13"/>
      <c r="H511" s="13"/>
      <c r="I511" s="242"/>
      <c r="J511" s="242"/>
      <c r="K511" s="242"/>
      <c r="L511" s="242"/>
      <c r="M511" s="242"/>
      <c r="N511" s="242"/>
      <c r="O511" s="242"/>
      <c r="P511" s="242"/>
      <c r="Q511" s="242"/>
      <c r="R511" s="242"/>
      <c r="S511" s="242"/>
      <c r="T511" s="242"/>
      <c r="U511" s="242"/>
      <c r="V511" s="242"/>
      <c r="W511" s="242"/>
      <c r="X511" s="242"/>
      <c r="Y511" s="242"/>
      <c r="Z511" s="242"/>
      <c r="AA511" s="242"/>
      <c r="AB511" s="242"/>
    </row>
    <row r="512">
      <c r="A512" s="242"/>
      <c r="B512" s="13"/>
      <c r="C512" s="242"/>
      <c r="D512" s="13"/>
      <c r="E512" s="13"/>
      <c r="F512" s="13"/>
      <c r="G512" s="13"/>
      <c r="H512" s="13"/>
      <c r="I512" s="242"/>
      <c r="J512" s="242"/>
      <c r="K512" s="242"/>
      <c r="L512" s="242"/>
      <c r="M512" s="242"/>
      <c r="N512" s="242"/>
      <c r="O512" s="242"/>
      <c r="P512" s="242"/>
      <c r="Q512" s="242"/>
      <c r="R512" s="242"/>
      <c r="S512" s="242"/>
      <c r="T512" s="242"/>
      <c r="U512" s="242"/>
      <c r="V512" s="242"/>
      <c r="W512" s="242"/>
      <c r="X512" s="242"/>
      <c r="Y512" s="242"/>
      <c r="Z512" s="242"/>
      <c r="AA512" s="242"/>
      <c r="AB512" s="242"/>
    </row>
    <row r="513">
      <c r="A513" s="242"/>
      <c r="B513" s="13"/>
      <c r="C513" s="242"/>
      <c r="D513" s="13"/>
      <c r="E513" s="13"/>
      <c r="F513" s="13"/>
      <c r="G513" s="13"/>
      <c r="H513" s="13"/>
      <c r="I513" s="242"/>
      <c r="J513" s="242"/>
      <c r="K513" s="242"/>
      <c r="L513" s="242"/>
      <c r="M513" s="242"/>
      <c r="N513" s="242"/>
      <c r="O513" s="242"/>
      <c r="P513" s="242"/>
      <c r="Q513" s="242"/>
      <c r="R513" s="242"/>
      <c r="S513" s="242"/>
      <c r="T513" s="242"/>
      <c r="U513" s="242"/>
      <c r="V513" s="242"/>
      <c r="W513" s="242"/>
      <c r="X513" s="242"/>
      <c r="Y513" s="242"/>
      <c r="Z513" s="242"/>
      <c r="AA513" s="242"/>
      <c r="AB513" s="242"/>
    </row>
    <row r="514">
      <c r="A514" s="242"/>
      <c r="B514" s="13"/>
      <c r="C514" s="242"/>
      <c r="D514" s="13"/>
      <c r="E514" s="13"/>
      <c r="F514" s="13"/>
      <c r="G514" s="13"/>
      <c r="H514" s="13"/>
      <c r="I514" s="242"/>
      <c r="J514" s="242"/>
      <c r="K514" s="242"/>
      <c r="L514" s="242"/>
      <c r="M514" s="242"/>
      <c r="N514" s="242"/>
      <c r="O514" s="242"/>
      <c r="P514" s="242"/>
      <c r="Q514" s="242"/>
      <c r="R514" s="242"/>
      <c r="S514" s="242"/>
      <c r="T514" s="242"/>
      <c r="U514" s="242"/>
      <c r="V514" s="242"/>
      <c r="W514" s="242"/>
      <c r="X514" s="242"/>
      <c r="Y514" s="242"/>
      <c r="Z514" s="242"/>
      <c r="AA514" s="242"/>
      <c r="AB514" s="242"/>
    </row>
    <row r="515">
      <c r="A515" s="242"/>
      <c r="B515" s="13"/>
      <c r="C515" s="242"/>
      <c r="D515" s="13"/>
      <c r="E515" s="13"/>
      <c r="F515" s="13"/>
      <c r="G515" s="13"/>
      <c r="H515" s="13"/>
      <c r="I515" s="242"/>
      <c r="J515" s="242"/>
      <c r="K515" s="242"/>
      <c r="L515" s="242"/>
      <c r="M515" s="242"/>
      <c r="N515" s="242"/>
      <c r="O515" s="242"/>
      <c r="P515" s="242"/>
      <c r="Q515" s="242"/>
      <c r="R515" s="242"/>
      <c r="S515" s="242"/>
      <c r="T515" s="242"/>
      <c r="U515" s="242"/>
      <c r="V515" s="242"/>
      <c r="W515" s="242"/>
      <c r="X515" s="242"/>
      <c r="Y515" s="242"/>
      <c r="Z515" s="242"/>
      <c r="AA515" s="242"/>
      <c r="AB515" s="242"/>
    </row>
    <row r="516">
      <c r="A516" s="242"/>
      <c r="B516" s="13"/>
      <c r="C516" s="242"/>
      <c r="D516" s="13"/>
      <c r="E516" s="13"/>
      <c r="F516" s="13"/>
      <c r="G516" s="13"/>
      <c r="H516" s="13"/>
      <c r="I516" s="242"/>
      <c r="J516" s="242"/>
      <c r="K516" s="242"/>
      <c r="L516" s="242"/>
      <c r="M516" s="242"/>
      <c r="N516" s="242"/>
      <c r="O516" s="242"/>
      <c r="P516" s="242"/>
      <c r="Q516" s="242"/>
      <c r="R516" s="242"/>
      <c r="S516" s="242"/>
      <c r="T516" s="242"/>
      <c r="U516" s="242"/>
      <c r="V516" s="242"/>
      <c r="W516" s="242"/>
      <c r="X516" s="242"/>
      <c r="Y516" s="242"/>
      <c r="Z516" s="242"/>
      <c r="AA516" s="242"/>
      <c r="AB516" s="242"/>
    </row>
    <row r="517">
      <c r="A517" s="242"/>
      <c r="B517" s="13"/>
      <c r="C517" s="242"/>
      <c r="D517" s="13"/>
      <c r="E517" s="13"/>
      <c r="F517" s="13"/>
      <c r="G517" s="13"/>
      <c r="H517" s="13"/>
      <c r="I517" s="242"/>
      <c r="J517" s="242"/>
      <c r="K517" s="242"/>
      <c r="L517" s="242"/>
      <c r="M517" s="242"/>
      <c r="N517" s="242"/>
      <c r="O517" s="242"/>
      <c r="P517" s="242"/>
      <c r="Q517" s="242"/>
      <c r="R517" s="242"/>
      <c r="S517" s="242"/>
      <c r="T517" s="242"/>
      <c r="U517" s="242"/>
      <c r="V517" s="242"/>
      <c r="W517" s="242"/>
      <c r="X517" s="242"/>
      <c r="Y517" s="242"/>
      <c r="Z517" s="242"/>
      <c r="AA517" s="242"/>
      <c r="AB517" s="242"/>
    </row>
    <row r="518">
      <c r="A518" s="242"/>
      <c r="B518" s="13"/>
      <c r="C518" s="242"/>
      <c r="D518" s="13"/>
      <c r="E518" s="13"/>
      <c r="F518" s="13"/>
      <c r="G518" s="13"/>
      <c r="H518" s="13"/>
      <c r="I518" s="242"/>
      <c r="J518" s="242"/>
      <c r="K518" s="242"/>
      <c r="L518" s="242"/>
      <c r="M518" s="242"/>
      <c r="N518" s="242"/>
      <c r="O518" s="242"/>
      <c r="P518" s="242"/>
      <c r="Q518" s="242"/>
      <c r="R518" s="242"/>
      <c r="S518" s="242"/>
      <c r="T518" s="242"/>
      <c r="U518" s="242"/>
      <c r="V518" s="242"/>
      <c r="W518" s="242"/>
      <c r="X518" s="242"/>
      <c r="Y518" s="242"/>
      <c r="Z518" s="242"/>
      <c r="AA518" s="242"/>
      <c r="AB518" s="242"/>
    </row>
    <row r="519">
      <c r="A519" s="242"/>
      <c r="B519" s="13"/>
      <c r="C519" s="242"/>
      <c r="D519" s="13"/>
      <c r="E519" s="13"/>
      <c r="F519" s="13"/>
      <c r="G519" s="13"/>
      <c r="H519" s="13"/>
      <c r="I519" s="242"/>
      <c r="J519" s="242"/>
      <c r="K519" s="242"/>
      <c r="L519" s="242"/>
      <c r="M519" s="242"/>
      <c r="N519" s="242"/>
      <c r="O519" s="242"/>
      <c r="P519" s="242"/>
      <c r="Q519" s="242"/>
      <c r="R519" s="242"/>
      <c r="S519" s="242"/>
      <c r="T519" s="242"/>
      <c r="U519" s="242"/>
      <c r="V519" s="242"/>
      <c r="W519" s="242"/>
      <c r="X519" s="242"/>
      <c r="Y519" s="242"/>
      <c r="Z519" s="242"/>
      <c r="AA519" s="242"/>
      <c r="AB519" s="242"/>
    </row>
    <row r="520">
      <c r="A520" s="242"/>
      <c r="B520" s="13"/>
      <c r="C520" s="242"/>
      <c r="D520" s="13"/>
      <c r="E520" s="13"/>
      <c r="F520" s="13"/>
      <c r="G520" s="13"/>
      <c r="H520" s="13"/>
      <c r="I520" s="242"/>
      <c r="J520" s="242"/>
      <c r="K520" s="242"/>
      <c r="L520" s="242"/>
      <c r="M520" s="242"/>
      <c r="N520" s="242"/>
      <c r="O520" s="242"/>
      <c r="P520" s="242"/>
      <c r="Q520" s="242"/>
      <c r="R520" s="242"/>
      <c r="S520" s="242"/>
      <c r="T520" s="242"/>
      <c r="U520" s="242"/>
      <c r="V520" s="242"/>
      <c r="W520" s="242"/>
      <c r="X520" s="242"/>
      <c r="Y520" s="242"/>
      <c r="Z520" s="242"/>
      <c r="AA520" s="242"/>
      <c r="AB520" s="242"/>
    </row>
    <row r="521">
      <c r="A521" s="242"/>
      <c r="B521" s="13"/>
      <c r="C521" s="242"/>
      <c r="D521" s="13"/>
      <c r="E521" s="13"/>
      <c r="F521" s="13"/>
      <c r="G521" s="13"/>
      <c r="H521" s="13"/>
      <c r="I521" s="242"/>
      <c r="J521" s="242"/>
      <c r="K521" s="242"/>
      <c r="L521" s="242"/>
      <c r="M521" s="242"/>
      <c r="N521" s="242"/>
      <c r="O521" s="242"/>
      <c r="P521" s="242"/>
      <c r="Q521" s="242"/>
      <c r="R521" s="242"/>
      <c r="S521" s="242"/>
      <c r="T521" s="242"/>
      <c r="U521" s="242"/>
      <c r="V521" s="242"/>
      <c r="W521" s="242"/>
      <c r="X521" s="242"/>
      <c r="Y521" s="242"/>
      <c r="Z521" s="242"/>
      <c r="AA521" s="242"/>
      <c r="AB521" s="242"/>
    </row>
    <row r="522">
      <c r="A522" s="242"/>
      <c r="B522" s="13"/>
      <c r="C522" s="242"/>
      <c r="D522" s="13"/>
      <c r="E522" s="13"/>
      <c r="F522" s="13"/>
      <c r="G522" s="13"/>
      <c r="H522" s="13"/>
      <c r="I522" s="242"/>
      <c r="J522" s="242"/>
      <c r="K522" s="242"/>
      <c r="L522" s="242"/>
      <c r="M522" s="242"/>
      <c r="N522" s="242"/>
      <c r="O522" s="242"/>
      <c r="P522" s="242"/>
      <c r="Q522" s="242"/>
      <c r="R522" s="242"/>
      <c r="S522" s="242"/>
      <c r="T522" s="242"/>
      <c r="U522" s="242"/>
      <c r="V522" s="242"/>
      <c r="W522" s="242"/>
      <c r="X522" s="242"/>
      <c r="Y522" s="242"/>
      <c r="Z522" s="242"/>
      <c r="AA522" s="242"/>
      <c r="AB522" s="242"/>
    </row>
    <row r="523">
      <c r="A523" s="242"/>
      <c r="B523" s="13"/>
      <c r="C523" s="242"/>
      <c r="D523" s="13"/>
      <c r="E523" s="13"/>
      <c r="F523" s="13"/>
      <c r="G523" s="13"/>
      <c r="H523" s="13"/>
      <c r="I523" s="242"/>
      <c r="J523" s="242"/>
      <c r="K523" s="242"/>
      <c r="L523" s="242"/>
      <c r="M523" s="242"/>
      <c r="N523" s="242"/>
      <c r="O523" s="242"/>
      <c r="P523" s="242"/>
      <c r="Q523" s="242"/>
      <c r="R523" s="242"/>
      <c r="S523" s="242"/>
      <c r="T523" s="242"/>
      <c r="U523" s="242"/>
      <c r="V523" s="242"/>
      <c r="W523" s="242"/>
      <c r="X523" s="242"/>
      <c r="Y523" s="242"/>
      <c r="Z523" s="242"/>
      <c r="AA523" s="242"/>
      <c r="AB523" s="242"/>
    </row>
    <row r="524">
      <c r="A524" s="242"/>
      <c r="B524" s="13"/>
      <c r="C524" s="242"/>
      <c r="D524" s="13"/>
      <c r="E524" s="13"/>
      <c r="F524" s="13"/>
      <c r="G524" s="13"/>
      <c r="H524" s="13"/>
      <c r="I524" s="242"/>
      <c r="J524" s="242"/>
      <c r="K524" s="242"/>
      <c r="L524" s="242"/>
      <c r="M524" s="242"/>
      <c r="N524" s="242"/>
      <c r="O524" s="242"/>
      <c r="P524" s="242"/>
      <c r="Q524" s="242"/>
      <c r="R524" s="242"/>
      <c r="S524" s="242"/>
      <c r="T524" s="242"/>
      <c r="U524" s="242"/>
      <c r="V524" s="242"/>
      <c r="W524" s="242"/>
      <c r="X524" s="242"/>
      <c r="Y524" s="242"/>
      <c r="Z524" s="242"/>
      <c r="AA524" s="242"/>
      <c r="AB524" s="242"/>
    </row>
    <row r="525">
      <c r="A525" s="242"/>
      <c r="B525" s="13"/>
      <c r="C525" s="242"/>
      <c r="D525" s="13"/>
      <c r="E525" s="13"/>
      <c r="F525" s="13"/>
      <c r="G525" s="13"/>
      <c r="H525" s="13"/>
      <c r="I525" s="242"/>
      <c r="J525" s="242"/>
      <c r="K525" s="242"/>
      <c r="L525" s="242"/>
      <c r="M525" s="242"/>
      <c r="N525" s="242"/>
      <c r="O525" s="242"/>
      <c r="P525" s="242"/>
      <c r="Q525" s="242"/>
      <c r="R525" s="242"/>
      <c r="S525" s="242"/>
      <c r="T525" s="242"/>
      <c r="U525" s="242"/>
      <c r="V525" s="242"/>
      <c r="W525" s="242"/>
      <c r="X525" s="242"/>
      <c r="Y525" s="242"/>
      <c r="Z525" s="242"/>
      <c r="AA525" s="242"/>
      <c r="AB525" s="242"/>
    </row>
    <row r="526">
      <c r="A526" s="242"/>
      <c r="B526" s="13"/>
      <c r="C526" s="242"/>
      <c r="D526" s="13"/>
      <c r="E526" s="13"/>
      <c r="F526" s="13"/>
      <c r="G526" s="13"/>
      <c r="H526" s="13"/>
      <c r="I526" s="242"/>
      <c r="J526" s="242"/>
      <c r="K526" s="242"/>
      <c r="L526" s="242"/>
      <c r="M526" s="242"/>
      <c r="N526" s="242"/>
      <c r="O526" s="242"/>
      <c r="P526" s="242"/>
      <c r="Q526" s="242"/>
      <c r="R526" s="242"/>
      <c r="S526" s="242"/>
      <c r="T526" s="242"/>
      <c r="U526" s="242"/>
      <c r="V526" s="242"/>
      <c r="W526" s="242"/>
      <c r="X526" s="242"/>
      <c r="Y526" s="242"/>
      <c r="Z526" s="242"/>
      <c r="AA526" s="242"/>
      <c r="AB526" s="242"/>
    </row>
    <row r="527">
      <c r="A527" s="242"/>
      <c r="B527" s="13"/>
      <c r="C527" s="242"/>
      <c r="D527" s="13"/>
      <c r="E527" s="13"/>
      <c r="F527" s="13"/>
      <c r="G527" s="13"/>
      <c r="H527" s="13"/>
      <c r="I527" s="242"/>
      <c r="J527" s="242"/>
      <c r="K527" s="242"/>
      <c r="L527" s="242"/>
      <c r="M527" s="242"/>
      <c r="N527" s="242"/>
      <c r="O527" s="242"/>
      <c r="P527" s="242"/>
      <c r="Q527" s="242"/>
      <c r="R527" s="242"/>
      <c r="S527" s="242"/>
      <c r="T527" s="242"/>
      <c r="U527" s="242"/>
      <c r="V527" s="242"/>
      <c r="W527" s="242"/>
      <c r="X527" s="242"/>
      <c r="Y527" s="242"/>
      <c r="Z527" s="242"/>
      <c r="AA527" s="242"/>
      <c r="AB527" s="242"/>
    </row>
    <row r="528">
      <c r="A528" s="242"/>
      <c r="B528" s="13"/>
      <c r="C528" s="242"/>
      <c r="D528" s="13"/>
      <c r="E528" s="13"/>
      <c r="F528" s="13"/>
      <c r="G528" s="13"/>
      <c r="H528" s="13"/>
      <c r="I528" s="242"/>
      <c r="J528" s="242"/>
      <c r="K528" s="242"/>
      <c r="L528" s="242"/>
      <c r="M528" s="242"/>
      <c r="N528" s="242"/>
      <c r="O528" s="242"/>
      <c r="P528" s="242"/>
      <c r="Q528" s="242"/>
      <c r="R528" s="242"/>
      <c r="S528" s="242"/>
      <c r="T528" s="242"/>
      <c r="U528" s="242"/>
      <c r="V528" s="242"/>
      <c r="W528" s="242"/>
      <c r="X528" s="242"/>
      <c r="Y528" s="242"/>
      <c r="Z528" s="242"/>
      <c r="AA528" s="242"/>
      <c r="AB528" s="242"/>
    </row>
    <row r="529">
      <c r="A529" s="242"/>
      <c r="B529" s="13"/>
      <c r="C529" s="242"/>
      <c r="D529" s="13"/>
      <c r="E529" s="13"/>
      <c r="F529" s="13"/>
      <c r="G529" s="13"/>
      <c r="H529" s="13"/>
      <c r="I529" s="242"/>
      <c r="J529" s="242"/>
      <c r="K529" s="242"/>
      <c r="L529" s="242"/>
      <c r="M529" s="242"/>
      <c r="N529" s="242"/>
      <c r="O529" s="242"/>
      <c r="P529" s="242"/>
      <c r="Q529" s="242"/>
      <c r="R529" s="242"/>
      <c r="S529" s="242"/>
      <c r="T529" s="242"/>
      <c r="U529" s="242"/>
      <c r="V529" s="242"/>
      <c r="W529" s="242"/>
      <c r="X529" s="242"/>
      <c r="Y529" s="242"/>
      <c r="Z529" s="242"/>
      <c r="AA529" s="242"/>
      <c r="AB529" s="242"/>
    </row>
    <row r="530">
      <c r="A530" s="242"/>
      <c r="B530" s="13"/>
      <c r="C530" s="242"/>
      <c r="D530" s="13"/>
      <c r="E530" s="13"/>
      <c r="F530" s="13"/>
      <c r="G530" s="13"/>
      <c r="H530" s="13"/>
      <c r="I530" s="242"/>
      <c r="J530" s="242"/>
      <c r="K530" s="242"/>
      <c r="L530" s="242"/>
      <c r="M530" s="242"/>
      <c r="N530" s="242"/>
      <c r="O530" s="242"/>
      <c r="P530" s="242"/>
      <c r="Q530" s="242"/>
      <c r="R530" s="242"/>
      <c r="S530" s="242"/>
      <c r="T530" s="242"/>
      <c r="U530" s="242"/>
      <c r="V530" s="242"/>
      <c r="W530" s="242"/>
      <c r="X530" s="242"/>
      <c r="Y530" s="242"/>
      <c r="Z530" s="242"/>
      <c r="AA530" s="242"/>
      <c r="AB530" s="242"/>
    </row>
    <row r="531">
      <c r="A531" s="242"/>
      <c r="B531" s="13"/>
      <c r="C531" s="242"/>
      <c r="D531" s="13"/>
      <c r="E531" s="13"/>
      <c r="F531" s="13"/>
      <c r="G531" s="13"/>
      <c r="H531" s="13"/>
      <c r="I531" s="242"/>
      <c r="J531" s="242"/>
      <c r="K531" s="242"/>
      <c r="L531" s="242"/>
      <c r="M531" s="242"/>
      <c r="N531" s="242"/>
      <c r="O531" s="242"/>
      <c r="P531" s="242"/>
      <c r="Q531" s="242"/>
      <c r="R531" s="242"/>
      <c r="S531" s="242"/>
      <c r="T531" s="242"/>
      <c r="U531" s="242"/>
      <c r="V531" s="242"/>
      <c r="W531" s="242"/>
      <c r="X531" s="242"/>
      <c r="Y531" s="242"/>
      <c r="Z531" s="242"/>
      <c r="AA531" s="242"/>
      <c r="AB531" s="242"/>
    </row>
    <row r="532">
      <c r="A532" s="242"/>
      <c r="B532" s="13"/>
      <c r="C532" s="242"/>
      <c r="D532" s="13"/>
      <c r="E532" s="13"/>
      <c r="F532" s="13"/>
      <c r="G532" s="13"/>
      <c r="H532" s="13"/>
      <c r="I532" s="242"/>
      <c r="J532" s="242"/>
      <c r="K532" s="242"/>
      <c r="L532" s="242"/>
      <c r="M532" s="242"/>
      <c r="N532" s="242"/>
      <c r="O532" s="242"/>
      <c r="P532" s="242"/>
      <c r="Q532" s="242"/>
      <c r="R532" s="242"/>
      <c r="S532" s="242"/>
      <c r="T532" s="242"/>
      <c r="U532" s="242"/>
      <c r="V532" s="242"/>
      <c r="W532" s="242"/>
      <c r="X532" s="242"/>
      <c r="Y532" s="242"/>
      <c r="Z532" s="242"/>
      <c r="AA532" s="242"/>
      <c r="AB532" s="242"/>
    </row>
    <row r="533">
      <c r="A533" s="242"/>
      <c r="B533" s="13"/>
      <c r="C533" s="242"/>
      <c r="D533" s="13"/>
      <c r="E533" s="13"/>
      <c r="F533" s="13"/>
      <c r="G533" s="13"/>
      <c r="H533" s="13"/>
      <c r="I533" s="242"/>
      <c r="J533" s="242"/>
      <c r="K533" s="242"/>
      <c r="L533" s="242"/>
      <c r="M533" s="242"/>
      <c r="N533" s="242"/>
      <c r="O533" s="242"/>
      <c r="P533" s="242"/>
      <c r="Q533" s="242"/>
      <c r="R533" s="242"/>
      <c r="S533" s="242"/>
      <c r="T533" s="242"/>
      <c r="U533" s="242"/>
      <c r="V533" s="242"/>
      <c r="W533" s="242"/>
      <c r="X533" s="242"/>
      <c r="Y533" s="242"/>
      <c r="Z533" s="242"/>
      <c r="AA533" s="242"/>
      <c r="AB533" s="242"/>
    </row>
    <row r="534">
      <c r="A534" s="242"/>
      <c r="B534" s="13"/>
      <c r="C534" s="242"/>
      <c r="D534" s="13"/>
      <c r="E534" s="13"/>
      <c r="F534" s="13"/>
      <c r="G534" s="13"/>
      <c r="H534" s="13"/>
      <c r="I534" s="242"/>
      <c r="J534" s="242"/>
      <c r="K534" s="242"/>
      <c r="L534" s="242"/>
      <c r="M534" s="242"/>
      <c r="N534" s="242"/>
      <c r="O534" s="242"/>
      <c r="P534" s="242"/>
      <c r="Q534" s="242"/>
      <c r="R534" s="242"/>
      <c r="S534" s="242"/>
      <c r="T534" s="242"/>
      <c r="U534" s="242"/>
      <c r="V534" s="242"/>
      <c r="W534" s="242"/>
      <c r="X534" s="242"/>
      <c r="Y534" s="242"/>
      <c r="Z534" s="242"/>
      <c r="AA534" s="242"/>
      <c r="AB534" s="242"/>
    </row>
    <row r="535">
      <c r="A535" s="242"/>
      <c r="B535" s="13"/>
      <c r="C535" s="242"/>
      <c r="D535" s="13"/>
      <c r="E535" s="13"/>
      <c r="F535" s="13"/>
      <c r="G535" s="13"/>
      <c r="H535" s="13"/>
      <c r="I535" s="242"/>
      <c r="J535" s="242"/>
      <c r="K535" s="242"/>
      <c r="L535" s="242"/>
      <c r="M535" s="242"/>
      <c r="N535" s="242"/>
      <c r="O535" s="242"/>
      <c r="P535" s="242"/>
      <c r="Q535" s="242"/>
      <c r="R535" s="242"/>
      <c r="S535" s="242"/>
      <c r="T535" s="242"/>
      <c r="U535" s="242"/>
      <c r="V535" s="242"/>
      <c r="W535" s="242"/>
      <c r="X535" s="242"/>
      <c r="Y535" s="242"/>
      <c r="Z535" s="242"/>
      <c r="AA535" s="242"/>
      <c r="AB535" s="242"/>
    </row>
    <row r="536">
      <c r="A536" s="242"/>
      <c r="B536" s="13"/>
      <c r="C536" s="242"/>
      <c r="D536" s="13"/>
      <c r="E536" s="13"/>
      <c r="F536" s="13"/>
      <c r="G536" s="13"/>
      <c r="H536" s="13"/>
      <c r="I536" s="242"/>
      <c r="J536" s="242"/>
      <c r="K536" s="242"/>
      <c r="L536" s="242"/>
      <c r="M536" s="242"/>
      <c r="N536" s="242"/>
      <c r="O536" s="242"/>
      <c r="P536" s="242"/>
      <c r="Q536" s="242"/>
      <c r="R536" s="242"/>
      <c r="S536" s="242"/>
      <c r="T536" s="242"/>
      <c r="U536" s="242"/>
      <c r="V536" s="242"/>
      <c r="W536" s="242"/>
      <c r="X536" s="242"/>
      <c r="Y536" s="242"/>
      <c r="Z536" s="242"/>
      <c r="AA536" s="242"/>
      <c r="AB536" s="242"/>
    </row>
    <row r="537">
      <c r="A537" s="242"/>
      <c r="B537" s="13"/>
      <c r="C537" s="242"/>
      <c r="D537" s="13"/>
      <c r="E537" s="13"/>
      <c r="F537" s="13"/>
      <c r="G537" s="13"/>
      <c r="H537" s="13"/>
      <c r="I537" s="242"/>
      <c r="J537" s="242"/>
      <c r="K537" s="242"/>
      <c r="L537" s="242"/>
      <c r="M537" s="242"/>
      <c r="N537" s="242"/>
      <c r="O537" s="242"/>
      <c r="P537" s="242"/>
      <c r="Q537" s="242"/>
      <c r="R537" s="242"/>
      <c r="S537" s="242"/>
      <c r="T537" s="242"/>
      <c r="U537" s="242"/>
      <c r="V537" s="242"/>
      <c r="W537" s="242"/>
      <c r="X537" s="242"/>
      <c r="Y537" s="242"/>
      <c r="Z537" s="242"/>
      <c r="AA537" s="242"/>
      <c r="AB537" s="242"/>
    </row>
    <row r="538">
      <c r="A538" s="242"/>
      <c r="B538" s="13"/>
      <c r="C538" s="242"/>
      <c r="D538" s="13"/>
      <c r="E538" s="13"/>
      <c r="F538" s="13"/>
      <c r="G538" s="13"/>
      <c r="H538" s="13"/>
      <c r="I538" s="242"/>
      <c r="J538" s="242"/>
      <c r="K538" s="242"/>
      <c r="L538" s="242"/>
      <c r="M538" s="242"/>
      <c r="N538" s="242"/>
      <c r="O538" s="242"/>
      <c r="P538" s="242"/>
      <c r="Q538" s="242"/>
      <c r="R538" s="242"/>
      <c r="S538" s="242"/>
      <c r="T538" s="242"/>
      <c r="U538" s="242"/>
      <c r="V538" s="242"/>
      <c r="W538" s="242"/>
      <c r="X538" s="242"/>
      <c r="Y538" s="242"/>
      <c r="Z538" s="242"/>
      <c r="AA538" s="242"/>
      <c r="AB538" s="242"/>
    </row>
    <row r="539">
      <c r="A539" s="242"/>
      <c r="B539" s="13"/>
      <c r="C539" s="242"/>
      <c r="D539" s="13"/>
      <c r="E539" s="13"/>
      <c r="F539" s="13"/>
      <c r="G539" s="13"/>
      <c r="H539" s="13"/>
      <c r="I539" s="242"/>
      <c r="J539" s="242"/>
      <c r="K539" s="242"/>
      <c r="L539" s="242"/>
      <c r="M539" s="242"/>
      <c r="N539" s="242"/>
      <c r="O539" s="242"/>
      <c r="P539" s="242"/>
      <c r="Q539" s="242"/>
      <c r="R539" s="242"/>
      <c r="S539" s="242"/>
      <c r="T539" s="242"/>
      <c r="U539" s="242"/>
      <c r="V539" s="242"/>
      <c r="W539" s="242"/>
      <c r="X539" s="242"/>
      <c r="Y539" s="242"/>
      <c r="Z539" s="242"/>
      <c r="AA539" s="242"/>
      <c r="AB539" s="242"/>
    </row>
    <row r="540">
      <c r="A540" s="242"/>
      <c r="B540" s="13"/>
      <c r="C540" s="242"/>
      <c r="D540" s="13"/>
      <c r="E540" s="13"/>
      <c r="F540" s="13"/>
      <c r="G540" s="13"/>
      <c r="H540" s="13"/>
      <c r="I540" s="242"/>
      <c r="J540" s="242"/>
      <c r="K540" s="242"/>
      <c r="L540" s="242"/>
      <c r="M540" s="242"/>
      <c r="N540" s="242"/>
      <c r="O540" s="242"/>
      <c r="P540" s="242"/>
      <c r="Q540" s="242"/>
      <c r="R540" s="242"/>
      <c r="S540" s="242"/>
      <c r="T540" s="242"/>
      <c r="U540" s="242"/>
      <c r="V540" s="242"/>
      <c r="W540" s="242"/>
      <c r="X540" s="242"/>
      <c r="Y540" s="242"/>
      <c r="Z540" s="242"/>
      <c r="AA540" s="242"/>
      <c r="AB540" s="242"/>
    </row>
    <row r="541">
      <c r="A541" s="242"/>
      <c r="B541" s="13"/>
      <c r="C541" s="242"/>
      <c r="D541" s="13"/>
      <c r="E541" s="13"/>
      <c r="F541" s="13"/>
      <c r="G541" s="13"/>
      <c r="H541" s="13"/>
      <c r="I541" s="242"/>
      <c r="J541" s="242"/>
      <c r="K541" s="242"/>
      <c r="L541" s="242"/>
      <c r="M541" s="242"/>
      <c r="N541" s="242"/>
      <c r="O541" s="242"/>
      <c r="P541" s="242"/>
      <c r="Q541" s="242"/>
      <c r="R541" s="242"/>
      <c r="S541" s="242"/>
      <c r="T541" s="242"/>
      <c r="U541" s="242"/>
      <c r="V541" s="242"/>
      <c r="W541" s="242"/>
      <c r="X541" s="242"/>
      <c r="Y541" s="242"/>
      <c r="Z541" s="242"/>
      <c r="AA541" s="242"/>
      <c r="AB541" s="242"/>
    </row>
    <row r="542">
      <c r="A542" s="242"/>
      <c r="B542" s="13"/>
      <c r="C542" s="242"/>
      <c r="D542" s="13"/>
      <c r="E542" s="13"/>
      <c r="F542" s="13"/>
      <c r="G542" s="13"/>
      <c r="H542" s="13"/>
      <c r="I542" s="242"/>
      <c r="J542" s="242"/>
      <c r="K542" s="242"/>
      <c r="L542" s="242"/>
      <c r="M542" s="242"/>
      <c r="N542" s="242"/>
      <c r="O542" s="242"/>
      <c r="P542" s="242"/>
      <c r="Q542" s="242"/>
      <c r="R542" s="242"/>
      <c r="S542" s="242"/>
      <c r="T542" s="242"/>
      <c r="U542" s="242"/>
      <c r="V542" s="242"/>
      <c r="W542" s="242"/>
      <c r="X542" s="242"/>
      <c r="Y542" s="242"/>
      <c r="Z542" s="242"/>
      <c r="AA542" s="242"/>
      <c r="AB542" s="242"/>
    </row>
    <row r="543">
      <c r="A543" s="242"/>
      <c r="B543" s="13"/>
      <c r="C543" s="242"/>
      <c r="D543" s="13"/>
      <c r="E543" s="13"/>
      <c r="F543" s="13"/>
      <c r="G543" s="13"/>
      <c r="H543" s="13"/>
      <c r="I543" s="242"/>
      <c r="J543" s="242"/>
      <c r="K543" s="242"/>
      <c r="L543" s="242"/>
      <c r="M543" s="242"/>
      <c r="N543" s="242"/>
      <c r="O543" s="242"/>
      <c r="P543" s="242"/>
      <c r="Q543" s="242"/>
      <c r="R543" s="242"/>
      <c r="S543" s="242"/>
      <c r="T543" s="242"/>
      <c r="U543" s="242"/>
      <c r="V543" s="242"/>
      <c r="W543" s="242"/>
      <c r="X543" s="242"/>
      <c r="Y543" s="242"/>
      <c r="Z543" s="242"/>
      <c r="AA543" s="242"/>
      <c r="AB543" s="242"/>
    </row>
    <row r="544">
      <c r="A544" s="242"/>
      <c r="B544" s="13"/>
      <c r="C544" s="242"/>
      <c r="D544" s="13"/>
      <c r="E544" s="13"/>
      <c r="F544" s="13"/>
      <c r="G544" s="13"/>
      <c r="H544" s="13"/>
      <c r="I544" s="242"/>
      <c r="J544" s="242"/>
      <c r="K544" s="242"/>
      <c r="L544" s="242"/>
      <c r="M544" s="242"/>
      <c r="N544" s="242"/>
      <c r="O544" s="242"/>
      <c r="P544" s="242"/>
      <c r="Q544" s="242"/>
      <c r="R544" s="242"/>
      <c r="S544" s="242"/>
      <c r="T544" s="242"/>
      <c r="U544" s="242"/>
      <c r="V544" s="242"/>
      <c r="W544" s="242"/>
      <c r="X544" s="242"/>
      <c r="Y544" s="242"/>
      <c r="Z544" s="242"/>
      <c r="AA544" s="242"/>
      <c r="AB544" s="242"/>
    </row>
    <row r="545">
      <c r="A545" s="242"/>
      <c r="B545" s="13"/>
      <c r="C545" s="242"/>
      <c r="D545" s="13"/>
      <c r="E545" s="13"/>
      <c r="F545" s="13"/>
      <c r="G545" s="13"/>
      <c r="H545" s="13"/>
      <c r="I545" s="242"/>
      <c r="J545" s="242"/>
      <c r="K545" s="242"/>
      <c r="L545" s="242"/>
      <c r="M545" s="242"/>
      <c r="N545" s="242"/>
      <c r="O545" s="242"/>
      <c r="P545" s="242"/>
      <c r="Q545" s="242"/>
      <c r="R545" s="242"/>
      <c r="S545" s="242"/>
      <c r="T545" s="242"/>
      <c r="U545" s="242"/>
      <c r="V545" s="242"/>
      <c r="W545" s="242"/>
      <c r="X545" s="242"/>
      <c r="Y545" s="242"/>
      <c r="Z545" s="242"/>
      <c r="AA545" s="242"/>
      <c r="AB545" s="242"/>
    </row>
    <row r="546">
      <c r="A546" s="242"/>
      <c r="B546" s="13"/>
      <c r="C546" s="242"/>
      <c r="D546" s="13"/>
      <c r="E546" s="13"/>
      <c r="F546" s="13"/>
      <c r="G546" s="13"/>
      <c r="H546" s="13"/>
      <c r="I546" s="242"/>
      <c r="J546" s="242"/>
      <c r="K546" s="242"/>
      <c r="L546" s="242"/>
      <c r="M546" s="242"/>
      <c r="N546" s="242"/>
      <c r="O546" s="242"/>
      <c r="P546" s="242"/>
      <c r="Q546" s="242"/>
      <c r="R546" s="242"/>
      <c r="S546" s="242"/>
      <c r="T546" s="242"/>
      <c r="U546" s="242"/>
      <c r="V546" s="242"/>
      <c r="W546" s="242"/>
      <c r="X546" s="242"/>
      <c r="Y546" s="242"/>
      <c r="Z546" s="242"/>
      <c r="AA546" s="242"/>
      <c r="AB546" s="242"/>
    </row>
    <row r="547">
      <c r="A547" s="242"/>
      <c r="B547" s="13"/>
      <c r="C547" s="242"/>
      <c r="D547" s="13"/>
      <c r="E547" s="13"/>
      <c r="F547" s="13"/>
      <c r="G547" s="13"/>
      <c r="H547" s="13"/>
      <c r="I547" s="242"/>
      <c r="J547" s="242"/>
      <c r="K547" s="242"/>
      <c r="L547" s="242"/>
      <c r="M547" s="242"/>
      <c r="N547" s="242"/>
      <c r="O547" s="242"/>
      <c r="P547" s="242"/>
      <c r="Q547" s="242"/>
      <c r="R547" s="242"/>
      <c r="S547" s="242"/>
      <c r="T547" s="242"/>
      <c r="U547" s="242"/>
      <c r="V547" s="242"/>
      <c r="W547" s="242"/>
      <c r="X547" s="242"/>
      <c r="Y547" s="242"/>
      <c r="Z547" s="242"/>
      <c r="AA547" s="242"/>
      <c r="AB547" s="242"/>
    </row>
    <row r="548">
      <c r="A548" s="242"/>
      <c r="B548" s="13"/>
      <c r="C548" s="242"/>
      <c r="D548" s="13"/>
      <c r="E548" s="13"/>
      <c r="F548" s="13"/>
      <c r="G548" s="13"/>
      <c r="H548" s="13"/>
      <c r="I548" s="242"/>
      <c r="J548" s="242"/>
      <c r="K548" s="242"/>
      <c r="L548" s="242"/>
      <c r="M548" s="242"/>
      <c r="N548" s="242"/>
      <c r="O548" s="242"/>
      <c r="P548" s="242"/>
      <c r="Q548" s="242"/>
      <c r="R548" s="242"/>
      <c r="S548" s="242"/>
      <c r="T548" s="242"/>
      <c r="U548" s="242"/>
      <c r="V548" s="242"/>
      <c r="W548" s="242"/>
      <c r="X548" s="242"/>
      <c r="Y548" s="242"/>
      <c r="Z548" s="242"/>
      <c r="AA548" s="242"/>
      <c r="AB548" s="242"/>
    </row>
    <row r="549">
      <c r="A549" s="242"/>
      <c r="B549" s="13"/>
      <c r="C549" s="242"/>
      <c r="D549" s="13"/>
      <c r="E549" s="13"/>
      <c r="F549" s="13"/>
      <c r="G549" s="13"/>
      <c r="H549" s="13"/>
      <c r="I549" s="242"/>
      <c r="J549" s="242"/>
      <c r="K549" s="242"/>
      <c r="L549" s="242"/>
      <c r="M549" s="242"/>
      <c r="N549" s="242"/>
      <c r="O549" s="242"/>
      <c r="P549" s="242"/>
      <c r="Q549" s="242"/>
      <c r="R549" s="242"/>
      <c r="S549" s="242"/>
      <c r="T549" s="242"/>
      <c r="U549" s="242"/>
      <c r="V549" s="242"/>
      <c r="W549" s="242"/>
      <c r="X549" s="242"/>
      <c r="Y549" s="242"/>
      <c r="Z549" s="242"/>
      <c r="AA549" s="242"/>
      <c r="AB549" s="242"/>
    </row>
    <row r="550">
      <c r="A550" s="242"/>
      <c r="B550" s="13"/>
      <c r="C550" s="242"/>
      <c r="D550" s="13"/>
      <c r="E550" s="13"/>
      <c r="F550" s="13"/>
      <c r="G550" s="13"/>
      <c r="H550" s="13"/>
      <c r="I550" s="242"/>
      <c r="J550" s="242"/>
      <c r="K550" s="242"/>
      <c r="L550" s="242"/>
      <c r="M550" s="242"/>
      <c r="N550" s="242"/>
      <c r="O550" s="242"/>
      <c r="P550" s="242"/>
      <c r="Q550" s="242"/>
      <c r="R550" s="242"/>
      <c r="S550" s="242"/>
      <c r="T550" s="242"/>
      <c r="U550" s="242"/>
      <c r="V550" s="242"/>
      <c r="W550" s="242"/>
      <c r="X550" s="242"/>
      <c r="Y550" s="242"/>
      <c r="Z550" s="242"/>
      <c r="AA550" s="242"/>
      <c r="AB550" s="242"/>
    </row>
    <row r="551">
      <c r="A551" s="242"/>
      <c r="B551" s="13"/>
      <c r="C551" s="242"/>
      <c r="D551" s="13"/>
      <c r="E551" s="13"/>
      <c r="F551" s="13"/>
      <c r="G551" s="13"/>
      <c r="H551" s="13"/>
      <c r="I551" s="242"/>
      <c r="J551" s="242"/>
      <c r="K551" s="242"/>
      <c r="L551" s="242"/>
      <c r="M551" s="242"/>
      <c r="N551" s="242"/>
      <c r="O551" s="242"/>
      <c r="P551" s="242"/>
      <c r="Q551" s="242"/>
      <c r="R551" s="242"/>
      <c r="S551" s="242"/>
      <c r="T551" s="242"/>
      <c r="U551" s="242"/>
      <c r="V551" s="242"/>
      <c r="W551" s="242"/>
      <c r="X551" s="242"/>
      <c r="Y551" s="242"/>
      <c r="Z551" s="242"/>
      <c r="AA551" s="242"/>
      <c r="AB551" s="242"/>
    </row>
    <row r="552">
      <c r="A552" s="242"/>
      <c r="B552" s="13"/>
      <c r="C552" s="242"/>
      <c r="D552" s="13"/>
      <c r="E552" s="13"/>
      <c r="F552" s="13"/>
      <c r="G552" s="13"/>
      <c r="H552" s="13"/>
      <c r="I552" s="242"/>
      <c r="J552" s="242"/>
      <c r="K552" s="242"/>
      <c r="L552" s="242"/>
      <c r="M552" s="242"/>
      <c r="N552" s="242"/>
      <c r="O552" s="242"/>
      <c r="P552" s="242"/>
      <c r="Q552" s="242"/>
      <c r="R552" s="242"/>
      <c r="S552" s="242"/>
      <c r="T552" s="242"/>
      <c r="U552" s="242"/>
      <c r="V552" s="242"/>
      <c r="W552" s="242"/>
      <c r="X552" s="242"/>
      <c r="Y552" s="242"/>
      <c r="Z552" s="242"/>
      <c r="AA552" s="242"/>
      <c r="AB552" s="242"/>
    </row>
    <row r="553">
      <c r="A553" s="242"/>
      <c r="B553" s="13"/>
      <c r="C553" s="242"/>
      <c r="D553" s="13"/>
      <c r="E553" s="13"/>
      <c r="F553" s="13"/>
      <c r="G553" s="13"/>
      <c r="H553" s="13"/>
      <c r="I553" s="242"/>
      <c r="J553" s="242"/>
      <c r="K553" s="242"/>
      <c r="L553" s="242"/>
      <c r="M553" s="242"/>
      <c r="N553" s="242"/>
      <c r="O553" s="242"/>
      <c r="P553" s="242"/>
      <c r="Q553" s="242"/>
      <c r="R553" s="242"/>
      <c r="S553" s="242"/>
      <c r="T553" s="242"/>
      <c r="U553" s="242"/>
      <c r="V553" s="242"/>
      <c r="W553" s="242"/>
      <c r="X553" s="242"/>
      <c r="Y553" s="242"/>
      <c r="Z553" s="242"/>
      <c r="AA553" s="242"/>
      <c r="AB553" s="242"/>
    </row>
    <row r="554">
      <c r="A554" s="242"/>
      <c r="B554" s="13"/>
      <c r="C554" s="242"/>
      <c r="D554" s="13"/>
      <c r="E554" s="13"/>
      <c r="F554" s="13"/>
      <c r="G554" s="13"/>
      <c r="H554" s="13"/>
      <c r="I554" s="242"/>
      <c r="J554" s="242"/>
      <c r="K554" s="242"/>
      <c r="L554" s="242"/>
      <c r="M554" s="242"/>
      <c r="N554" s="242"/>
      <c r="O554" s="242"/>
      <c r="P554" s="242"/>
      <c r="Q554" s="242"/>
      <c r="R554" s="242"/>
      <c r="S554" s="242"/>
      <c r="T554" s="242"/>
      <c r="U554" s="242"/>
      <c r="V554" s="242"/>
      <c r="W554" s="242"/>
      <c r="X554" s="242"/>
      <c r="Y554" s="242"/>
      <c r="Z554" s="242"/>
      <c r="AA554" s="242"/>
      <c r="AB554" s="242"/>
    </row>
    <row r="555">
      <c r="A555" s="242"/>
      <c r="B555" s="13"/>
      <c r="C555" s="242"/>
      <c r="D555" s="13"/>
      <c r="E555" s="13"/>
      <c r="F555" s="13"/>
      <c r="G555" s="13"/>
      <c r="H555" s="13"/>
      <c r="I555" s="242"/>
      <c r="J555" s="242"/>
      <c r="K555" s="242"/>
      <c r="L555" s="242"/>
      <c r="M555" s="242"/>
      <c r="N555" s="242"/>
      <c r="O555" s="242"/>
      <c r="P555" s="242"/>
      <c r="Q555" s="242"/>
      <c r="R555" s="242"/>
      <c r="S555" s="242"/>
      <c r="T555" s="242"/>
      <c r="U555" s="242"/>
      <c r="V555" s="242"/>
      <c r="W555" s="242"/>
      <c r="X555" s="242"/>
      <c r="Y555" s="242"/>
      <c r="Z555" s="242"/>
      <c r="AA555" s="242"/>
      <c r="AB555" s="242"/>
    </row>
    <row r="556">
      <c r="A556" s="242"/>
      <c r="B556" s="13"/>
      <c r="C556" s="242"/>
      <c r="D556" s="13"/>
      <c r="E556" s="13"/>
      <c r="F556" s="13"/>
      <c r="G556" s="13"/>
      <c r="H556" s="13"/>
      <c r="I556" s="242"/>
      <c r="J556" s="242"/>
      <c r="K556" s="242"/>
      <c r="L556" s="242"/>
      <c r="M556" s="242"/>
      <c r="N556" s="242"/>
      <c r="O556" s="242"/>
      <c r="P556" s="242"/>
      <c r="Q556" s="242"/>
      <c r="R556" s="242"/>
      <c r="S556" s="242"/>
      <c r="T556" s="242"/>
      <c r="U556" s="242"/>
      <c r="V556" s="242"/>
      <c r="W556" s="242"/>
      <c r="X556" s="242"/>
      <c r="Y556" s="242"/>
      <c r="Z556" s="242"/>
      <c r="AA556" s="242"/>
      <c r="AB556" s="242"/>
    </row>
    <row r="557">
      <c r="A557" s="242"/>
      <c r="B557" s="13"/>
      <c r="C557" s="242"/>
      <c r="D557" s="13"/>
      <c r="E557" s="13"/>
      <c r="F557" s="13"/>
      <c r="G557" s="13"/>
      <c r="H557" s="13"/>
      <c r="I557" s="242"/>
      <c r="J557" s="242"/>
      <c r="K557" s="242"/>
      <c r="L557" s="242"/>
      <c r="M557" s="242"/>
      <c r="N557" s="242"/>
      <c r="O557" s="242"/>
      <c r="P557" s="242"/>
      <c r="Q557" s="242"/>
      <c r="R557" s="242"/>
      <c r="S557" s="242"/>
      <c r="T557" s="242"/>
      <c r="U557" s="242"/>
      <c r="V557" s="242"/>
      <c r="W557" s="242"/>
      <c r="X557" s="242"/>
      <c r="Y557" s="242"/>
      <c r="Z557" s="242"/>
      <c r="AA557" s="242"/>
      <c r="AB557" s="242"/>
    </row>
    <row r="558">
      <c r="A558" s="242"/>
      <c r="B558" s="13"/>
      <c r="C558" s="242"/>
      <c r="D558" s="13"/>
      <c r="E558" s="13"/>
      <c r="F558" s="13"/>
      <c r="G558" s="13"/>
      <c r="H558" s="13"/>
      <c r="I558" s="242"/>
      <c r="J558" s="242"/>
      <c r="K558" s="242"/>
      <c r="L558" s="242"/>
      <c r="M558" s="242"/>
      <c r="N558" s="242"/>
      <c r="O558" s="242"/>
      <c r="P558" s="242"/>
      <c r="Q558" s="242"/>
      <c r="R558" s="242"/>
      <c r="S558" s="242"/>
      <c r="T558" s="242"/>
      <c r="U558" s="242"/>
      <c r="V558" s="242"/>
      <c r="W558" s="242"/>
      <c r="X558" s="242"/>
      <c r="Y558" s="242"/>
      <c r="Z558" s="242"/>
      <c r="AA558" s="242"/>
      <c r="AB558" s="242"/>
    </row>
    <row r="559">
      <c r="A559" s="242"/>
      <c r="B559" s="13"/>
      <c r="C559" s="242"/>
      <c r="D559" s="13"/>
      <c r="E559" s="13"/>
      <c r="F559" s="13"/>
      <c r="G559" s="13"/>
      <c r="H559" s="13"/>
      <c r="I559" s="242"/>
      <c r="J559" s="242"/>
      <c r="K559" s="242"/>
      <c r="L559" s="242"/>
      <c r="M559" s="242"/>
      <c r="N559" s="242"/>
      <c r="O559" s="242"/>
      <c r="P559" s="242"/>
      <c r="Q559" s="242"/>
      <c r="R559" s="242"/>
      <c r="S559" s="242"/>
      <c r="T559" s="242"/>
      <c r="U559" s="242"/>
      <c r="V559" s="242"/>
      <c r="W559" s="242"/>
      <c r="X559" s="242"/>
      <c r="Y559" s="242"/>
      <c r="Z559" s="242"/>
      <c r="AA559" s="242"/>
      <c r="AB559" s="242"/>
    </row>
    <row r="560">
      <c r="A560" s="242"/>
      <c r="B560" s="13"/>
      <c r="C560" s="242"/>
      <c r="D560" s="13"/>
      <c r="E560" s="13"/>
      <c r="F560" s="13"/>
      <c r="G560" s="13"/>
      <c r="H560" s="13"/>
      <c r="I560" s="242"/>
      <c r="J560" s="242"/>
      <c r="K560" s="242"/>
      <c r="L560" s="242"/>
      <c r="M560" s="242"/>
      <c r="N560" s="242"/>
      <c r="O560" s="242"/>
      <c r="P560" s="242"/>
      <c r="Q560" s="242"/>
      <c r="R560" s="242"/>
      <c r="S560" s="242"/>
      <c r="T560" s="242"/>
      <c r="U560" s="242"/>
      <c r="V560" s="242"/>
      <c r="W560" s="242"/>
      <c r="X560" s="242"/>
      <c r="Y560" s="242"/>
      <c r="Z560" s="242"/>
      <c r="AA560" s="242"/>
      <c r="AB560" s="242"/>
    </row>
    <row r="561">
      <c r="A561" s="242"/>
      <c r="B561" s="13"/>
      <c r="C561" s="242"/>
      <c r="D561" s="13"/>
      <c r="E561" s="13"/>
      <c r="F561" s="13"/>
      <c r="G561" s="13"/>
      <c r="H561" s="13"/>
      <c r="I561" s="242"/>
      <c r="J561" s="242"/>
      <c r="K561" s="242"/>
      <c r="L561" s="242"/>
      <c r="M561" s="242"/>
      <c r="N561" s="242"/>
      <c r="O561" s="242"/>
      <c r="P561" s="242"/>
      <c r="Q561" s="242"/>
      <c r="R561" s="242"/>
      <c r="S561" s="242"/>
      <c r="T561" s="242"/>
      <c r="U561" s="242"/>
      <c r="V561" s="242"/>
      <c r="W561" s="242"/>
      <c r="X561" s="242"/>
      <c r="Y561" s="242"/>
      <c r="Z561" s="242"/>
      <c r="AA561" s="242"/>
      <c r="AB561" s="242"/>
    </row>
    <row r="562">
      <c r="A562" s="242"/>
      <c r="B562" s="13"/>
      <c r="C562" s="242"/>
      <c r="D562" s="13"/>
      <c r="E562" s="13"/>
      <c r="F562" s="13"/>
      <c r="G562" s="13"/>
      <c r="H562" s="13"/>
      <c r="I562" s="242"/>
      <c r="J562" s="242"/>
      <c r="K562" s="242"/>
      <c r="L562" s="242"/>
      <c r="M562" s="242"/>
      <c r="N562" s="242"/>
      <c r="O562" s="242"/>
      <c r="P562" s="242"/>
      <c r="Q562" s="242"/>
      <c r="R562" s="242"/>
      <c r="S562" s="242"/>
      <c r="T562" s="242"/>
      <c r="U562" s="242"/>
      <c r="V562" s="242"/>
      <c r="W562" s="242"/>
      <c r="X562" s="242"/>
      <c r="Y562" s="242"/>
      <c r="Z562" s="242"/>
      <c r="AA562" s="242"/>
      <c r="AB562" s="242"/>
    </row>
    <row r="563">
      <c r="A563" s="242"/>
      <c r="B563" s="13"/>
      <c r="C563" s="242"/>
      <c r="D563" s="13"/>
      <c r="E563" s="13"/>
      <c r="F563" s="13"/>
      <c r="G563" s="13"/>
      <c r="H563" s="13"/>
      <c r="I563" s="242"/>
      <c r="J563" s="242"/>
      <c r="K563" s="242"/>
      <c r="L563" s="242"/>
      <c r="M563" s="242"/>
      <c r="N563" s="242"/>
      <c r="O563" s="242"/>
      <c r="P563" s="242"/>
      <c r="Q563" s="242"/>
      <c r="R563" s="242"/>
      <c r="S563" s="242"/>
      <c r="T563" s="242"/>
      <c r="U563" s="242"/>
      <c r="V563" s="242"/>
      <c r="W563" s="242"/>
      <c r="X563" s="242"/>
      <c r="Y563" s="242"/>
      <c r="Z563" s="242"/>
      <c r="AA563" s="242"/>
      <c r="AB563" s="242"/>
    </row>
    <row r="564">
      <c r="A564" s="242"/>
      <c r="B564" s="13"/>
      <c r="C564" s="242"/>
      <c r="D564" s="13"/>
      <c r="E564" s="13"/>
      <c r="F564" s="13"/>
      <c r="G564" s="13"/>
      <c r="H564" s="13"/>
      <c r="I564" s="242"/>
      <c r="J564" s="242"/>
      <c r="K564" s="242"/>
      <c r="L564" s="242"/>
      <c r="M564" s="242"/>
      <c r="N564" s="242"/>
      <c r="O564" s="242"/>
      <c r="P564" s="242"/>
      <c r="Q564" s="242"/>
      <c r="R564" s="242"/>
      <c r="S564" s="242"/>
      <c r="T564" s="242"/>
      <c r="U564" s="242"/>
      <c r="V564" s="242"/>
      <c r="W564" s="242"/>
      <c r="X564" s="242"/>
      <c r="Y564" s="242"/>
      <c r="Z564" s="242"/>
      <c r="AA564" s="242"/>
      <c r="AB564" s="242"/>
    </row>
    <row r="565">
      <c r="A565" s="242"/>
      <c r="B565" s="13"/>
      <c r="C565" s="242"/>
      <c r="D565" s="13"/>
      <c r="E565" s="13"/>
      <c r="F565" s="13"/>
      <c r="G565" s="13"/>
      <c r="H565" s="13"/>
      <c r="I565" s="242"/>
      <c r="J565" s="242"/>
      <c r="K565" s="242"/>
      <c r="L565" s="242"/>
      <c r="M565" s="242"/>
      <c r="N565" s="242"/>
      <c r="O565" s="242"/>
      <c r="P565" s="242"/>
      <c r="Q565" s="242"/>
      <c r="R565" s="242"/>
      <c r="S565" s="242"/>
      <c r="T565" s="242"/>
      <c r="U565" s="242"/>
      <c r="V565" s="242"/>
      <c r="W565" s="242"/>
      <c r="X565" s="242"/>
      <c r="Y565" s="242"/>
      <c r="Z565" s="242"/>
      <c r="AA565" s="242"/>
      <c r="AB565" s="242"/>
    </row>
    <row r="566">
      <c r="A566" s="242"/>
      <c r="B566" s="13"/>
      <c r="C566" s="242"/>
      <c r="D566" s="13"/>
      <c r="E566" s="13"/>
      <c r="F566" s="13"/>
      <c r="G566" s="13"/>
      <c r="H566" s="13"/>
      <c r="I566" s="242"/>
      <c r="J566" s="242"/>
      <c r="K566" s="242"/>
      <c r="L566" s="242"/>
      <c r="M566" s="242"/>
      <c r="N566" s="242"/>
      <c r="O566" s="242"/>
      <c r="P566" s="242"/>
      <c r="Q566" s="242"/>
      <c r="R566" s="242"/>
      <c r="S566" s="242"/>
      <c r="T566" s="242"/>
      <c r="U566" s="242"/>
      <c r="V566" s="242"/>
      <c r="W566" s="242"/>
      <c r="X566" s="242"/>
      <c r="Y566" s="242"/>
      <c r="Z566" s="242"/>
      <c r="AA566" s="242"/>
      <c r="AB566" s="242"/>
    </row>
    <row r="567">
      <c r="A567" s="242"/>
      <c r="B567" s="13"/>
      <c r="C567" s="242"/>
      <c r="D567" s="13"/>
      <c r="E567" s="13"/>
      <c r="F567" s="13"/>
      <c r="G567" s="13"/>
      <c r="H567" s="13"/>
      <c r="I567" s="242"/>
      <c r="J567" s="242"/>
      <c r="K567" s="242"/>
      <c r="L567" s="242"/>
      <c r="M567" s="242"/>
      <c r="N567" s="242"/>
      <c r="O567" s="242"/>
      <c r="P567" s="242"/>
      <c r="Q567" s="242"/>
      <c r="R567" s="242"/>
      <c r="S567" s="242"/>
      <c r="T567" s="242"/>
      <c r="U567" s="242"/>
      <c r="V567" s="242"/>
      <c r="W567" s="242"/>
      <c r="X567" s="242"/>
      <c r="Y567" s="242"/>
      <c r="Z567" s="242"/>
      <c r="AA567" s="242"/>
      <c r="AB567" s="242"/>
    </row>
    <row r="568">
      <c r="A568" s="242"/>
      <c r="B568" s="13"/>
      <c r="C568" s="242"/>
      <c r="D568" s="13"/>
      <c r="E568" s="13"/>
      <c r="F568" s="13"/>
      <c r="G568" s="13"/>
      <c r="H568" s="13"/>
      <c r="I568" s="242"/>
      <c r="J568" s="242"/>
      <c r="K568" s="242"/>
      <c r="L568" s="242"/>
      <c r="M568" s="242"/>
      <c r="N568" s="242"/>
      <c r="O568" s="242"/>
      <c r="P568" s="242"/>
      <c r="Q568" s="242"/>
      <c r="R568" s="242"/>
      <c r="S568" s="242"/>
      <c r="T568" s="242"/>
      <c r="U568" s="242"/>
      <c r="V568" s="242"/>
      <c r="W568" s="242"/>
      <c r="X568" s="242"/>
      <c r="Y568" s="242"/>
      <c r="Z568" s="242"/>
      <c r="AA568" s="242"/>
      <c r="AB568" s="242"/>
    </row>
    <row r="569">
      <c r="A569" s="242"/>
      <c r="B569" s="13"/>
      <c r="C569" s="242"/>
      <c r="D569" s="13"/>
      <c r="E569" s="13"/>
      <c r="F569" s="13"/>
      <c r="G569" s="13"/>
      <c r="H569" s="13"/>
      <c r="I569" s="242"/>
      <c r="J569" s="242"/>
      <c r="K569" s="242"/>
      <c r="L569" s="242"/>
      <c r="M569" s="242"/>
      <c r="N569" s="242"/>
      <c r="O569" s="242"/>
      <c r="P569" s="242"/>
      <c r="Q569" s="242"/>
      <c r="R569" s="242"/>
      <c r="S569" s="242"/>
      <c r="T569" s="242"/>
      <c r="U569" s="242"/>
      <c r="V569" s="242"/>
      <c r="W569" s="242"/>
      <c r="X569" s="242"/>
      <c r="Y569" s="242"/>
      <c r="Z569" s="242"/>
      <c r="AA569" s="242"/>
      <c r="AB569" s="242"/>
    </row>
    <row r="570">
      <c r="A570" s="242"/>
      <c r="B570" s="13"/>
      <c r="C570" s="242"/>
      <c r="D570" s="13"/>
      <c r="E570" s="13"/>
      <c r="F570" s="13"/>
      <c r="G570" s="13"/>
      <c r="H570" s="13"/>
      <c r="I570" s="242"/>
      <c r="J570" s="242"/>
      <c r="K570" s="242"/>
      <c r="L570" s="242"/>
      <c r="M570" s="242"/>
      <c r="N570" s="242"/>
      <c r="O570" s="242"/>
      <c r="P570" s="242"/>
      <c r="Q570" s="242"/>
      <c r="R570" s="242"/>
      <c r="S570" s="242"/>
      <c r="T570" s="242"/>
      <c r="U570" s="242"/>
      <c r="V570" s="242"/>
      <c r="W570" s="242"/>
      <c r="X570" s="242"/>
      <c r="Y570" s="242"/>
      <c r="Z570" s="242"/>
      <c r="AA570" s="242"/>
      <c r="AB570" s="242"/>
    </row>
    <row r="571">
      <c r="A571" s="242"/>
      <c r="B571" s="13"/>
      <c r="C571" s="242"/>
      <c r="D571" s="13"/>
      <c r="E571" s="13"/>
      <c r="F571" s="13"/>
      <c r="G571" s="13"/>
      <c r="H571" s="13"/>
      <c r="I571" s="242"/>
      <c r="J571" s="242"/>
      <c r="K571" s="242"/>
      <c r="L571" s="242"/>
      <c r="M571" s="242"/>
      <c r="N571" s="242"/>
      <c r="O571" s="242"/>
      <c r="P571" s="242"/>
      <c r="Q571" s="242"/>
      <c r="R571" s="242"/>
      <c r="S571" s="242"/>
      <c r="T571" s="242"/>
      <c r="U571" s="242"/>
      <c r="V571" s="242"/>
      <c r="W571" s="242"/>
      <c r="X571" s="242"/>
      <c r="Y571" s="242"/>
      <c r="Z571" s="242"/>
      <c r="AA571" s="242"/>
      <c r="AB571" s="242"/>
    </row>
    <row r="572">
      <c r="A572" s="242"/>
      <c r="B572" s="13"/>
      <c r="C572" s="242"/>
      <c r="D572" s="13"/>
      <c r="E572" s="13"/>
      <c r="F572" s="13"/>
      <c r="G572" s="13"/>
      <c r="H572" s="13"/>
      <c r="I572" s="242"/>
      <c r="J572" s="242"/>
      <c r="K572" s="242"/>
      <c r="L572" s="242"/>
      <c r="M572" s="242"/>
      <c r="N572" s="242"/>
      <c r="O572" s="242"/>
      <c r="P572" s="242"/>
      <c r="Q572" s="242"/>
      <c r="R572" s="242"/>
      <c r="S572" s="242"/>
      <c r="T572" s="242"/>
      <c r="U572" s="242"/>
      <c r="V572" s="242"/>
      <c r="W572" s="242"/>
      <c r="X572" s="242"/>
      <c r="Y572" s="242"/>
      <c r="Z572" s="242"/>
      <c r="AA572" s="242"/>
      <c r="AB572" s="242"/>
    </row>
    <row r="573">
      <c r="A573" s="242"/>
      <c r="B573" s="13"/>
      <c r="C573" s="242"/>
      <c r="D573" s="13"/>
      <c r="E573" s="13"/>
      <c r="F573" s="13"/>
      <c r="G573" s="13"/>
      <c r="H573" s="13"/>
      <c r="I573" s="242"/>
      <c r="J573" s="242"/>
      <c r="K573" s="242"/>
      <c r="L573" s="242"/>
      <c r="M573" s="242"/>
      <c r="N573" s="242"/>
      <c r="O573" s="242"/>
      <c r="P573" s="242"/>
      <c r="Q573" s="242"/>
      <c r="R573" s="242"/>
      <c r="S573" s="242"/>
      <c r="T573" s="242"/>
      <c r="U573" s="242"/>
      <c r="V573" s="242"/>
      <c r="W573" s="242"/>
      <c r="X573" s="242"/>
      <c r="Y573" s="242"/>
      <c r="Z573" s="242"/>
      <c r="AA573" s="242"/>
      <c r="AB573" s="242"/>
    </row>
    <row r="574">
      <c r="A574" s="242"/>
      <c r="B574" s="13"/>
      <c r="C574" s="242"/>
      <c r="D574" s="13"/>
      <c r="E574" s="13"/>
      <c r="F574" s="13"/>
      <c r="G574" s="13"/>
      <c r="H574" s="13"/>
      <c r="I574" s="242"/>
      <c r="J574" s="242"/>
      <c r="K574" s="242"/>
      <c r="L574" s="242"/>
      <c r="M574" s="242"/>
      <c r="N574" s="242"/>
      <c r="O574" s="242"/>
      <c r="P574" s="242"/>
      <c r="Q574" s="242"/>
      <c r="R574" s="242"/>
      <c r="S574" s="242"/>
      <c r="T574" s="242"/>
      <c r="U574" s="242"/>
      <c r="V574" s="242"/>
      <c r="W574" s="242"/>
      <c r="X574" s="242"/>
      <c r="Y574" s="242"/>
      <c r="Z574" s="242"/>
      <c r="AA574" s="242"/>
      <c r="AB574" s="242"/>
    </row>
    <row r="575">
      <c r="A575" s="242"/>
      <c r="B575" s="13"/>
      <c r="C575" s="242"/>
      <c r="D575" s="13"/>
      <c r="E575" s="13"/>
      <c r="F575" s="13"/>
      <c r="G575" s="13"/>
      <c r="H575" s="13"/>
      <c r="I575" s="242"/>
      <c r="J575" s="242"/>
      <c r="K575" s="242"/>
      <c r="L575" s="242"/>
      <c r="M575" s="242"/>
      <c r="N575" s="242"/>
      <c r="O575" s="242"/>
      <c r="P575" s="242"/>
      <c r="Q575" s="242"/>
      <c r="R575" s="242"/>
      <c r="S575" s="242"/>
      <c r="T575" s="242"/>
      <c r="U575" s="242"/>
      <c r="V575" s="242"/>
      <c r="W575" s="242"/>
      <c r="X575" s="242"/>
      <c r="Y575" s="242"/>
      <c r="Z575" s="242"/>
      <c r="AA575" s="242"/>
      <c r="AB575" s="242"/>
    </row>
    <row r="576">
      <c r="A576" s="242"/>
      <c r="B576" s="13"/>
      <c r="C576" s="242"/>
      <c r="D576" s="13"/>
      <c r="E576" s="13"/>
      <c r="F576" s="13"/>
      <c r="G576" s="13"/>
      <c r="H576" s="13"/>
      <c r="I576" s="242"/>
      <c r="J576" s="242"/>
      <c r="K576" s="242"/>
      <c r="L576" s="242"/>
      <c r="M576" s="242"/>
      <c r="N576" s="242"/>
      <c r="O576" s="242"/>
      <c r="P576" s="242"/>
      <c r="Q576" s="242"/>
      <c r="R576" s="242"/>
      <c r="S576" s="242"/>
      <c r="T576" s="242"/>
      <c r="U576" s="242"/>
      <c r="V576" s="242"/>
      <c r="W576" s="242"/>
      <c r="X576" s="242"/>
      <c r="Y576" s="242"/>
      <c r="Z576" s="242"/>
      <c r="AA576" s="242"/>
      <c r="AB576" s="242"/>
    </row>
    <row r="577">
      <c r="A577" s="242"/>
      <c r="B577" s="13"/>
      <c r="C577" s="242"/>
      <c r="D577" s="13"/>
      <c r="E577" s="13"/>
      <c r="F577" s="13"/>
      <c r="G577" s="13"/>
      <c r="H577" s="13"/>
      <c r="I577" s="242"/>
      <c r="J577" s="242"/>
      <c r="K577" s="242"/>
      <c r="L577" s="242"/>
      <c r="M577" s="242"/>
      <c r="N577" s="242"/>
      <c r="O577" s="242"/>
      <c r="P577" s="242"/>
      <c r="Q577" s="242"/>
      <c r="R577" s="242"/>
      <c r="S577" s="242"/>
      <c r="T577" s="242"/>
      <c r="U577" s="242"/>
      <c r="V577" s="242"/>
      <c r="W577" s="242"/>
      <c r="X577" s="242"/>
      <c r="Y577" s="242"/>
      <c r="Z577" s="242"/>
      <c r="AA577" s="242"/>
      <c r="AB577" s="242"/>
    </row>
    <row r="578">
      <c r="A578" s="242"/>
      <c r="B578" s="13"/>
      <c r="C578" s="242"/>
      <c r="D578" s="13"/>
      <c r="E578" s="13"/>
      <c r="F578" s="13"/>
      <c r="G578" s="13"/>
      <c r="H578" s="13"/>
      <c r="I578" s="242"/>
      <c r="J578" s="242"/>
      <c r="K578" s="242"/>
      <c r="L578" s="242"/>
      <c r="M578" s="242"/>
      <c r="N578" s="242"/>
      <c r="O578" s="242"/>
      <c r="P578" s="242"/>
      <c r="Q578" s="242"/>
      <c r="R578" s="242"/>
      <c r="S578" s="242"/>
      <c r="T578" s="242"/>
      <c r="U578" s="242"/>
      <c r="V578" s="242"/>
      <c r="W578" s="242"/>
      <c r="X578" s="242"/>
      <c r="Y578" s="242"/>
      <c r="Z578" s="242"/>
      <c r="AA578" s="242"/>
      <c r="AB578" s="242"/>
    </row>
    <row r="579">
      <c r="A579" s="242"/>
      <c r="B579" s="13"/>
      <c r="C579" s="242"/>
      <c r="D579" s="13"/>
      <c r="E579" s="13"/>
      <c r="F579" s="13"/>
      <c r="G579" s="13"/>
      <c r="H579" s="13"/>
      <c r="I579" s="242"/>
      <c r="J579" s="242"/>
      <c r="K579" s="242"/>
      <c r="L579" s="242"/>
      <c r="M579" s="242"/>
      <c r="N579" s="242"/>
      <c r="O579" s="242"/>
      <c r="P579" s="242"/>
      <c r="Q579" s="242"/>
      <c r="R579" s="242"/>
      <c r="S579" s="242"/>
      <c r="T579" s="242"/>
      <c r="U579" s="242"/>
      <c r="V579" s="242"/>
      <c r="W579" s="242"/>
      <c r="X579" s="242"/>
      <c r="Y579" s="242"/>
      <c r="Z579" s="242"/>
      <c r="AA579" s="242"/>
      <c r="AB579" s="242"/>
    </row>
    <row r="580">
      <c r="A580" s="242"/>
      <c r="B580" s="13"/>
      <c r="C580" s="242"/>
      <c r="D580" s="13"/>
      <c r="E580" s="13"/>
      <c r="F580" s="13"/>
      <c r="G580" s="13"/>
      <c r="H580" s="13"/>
      <c r="I580" s="242"/>
      <c r="J580" s="242"/>
      <c r="K580" s="242"/>
      <c r="L580" s="242"/>
      <c r="M580" s="242"/>
      <c r="N580" s="242"/>
      <c r="O580" s="242"/>
      <c r="P580" s="242"/>
      <c r="Q580" s="242"/>
      <c r="R580" s="242"/>
      <c r="S580" s="242"/>
      <c r="T580" s="242"/>
      <c r="U580" s="242"/>
      <c r="V580" s="242"/>
      <c r="W580" s="242"/>
      <c r="X580" s="242"/>
      <c r="Y580" s="242"/>
      <c r="Z580" s="242"/>
      <c r="AA580" s="242"/>
      <c r="AB580" s="242"/>
    </row>
    <row r="581">
      <c r="A581" s="242"/>
      <c r="B581" s="13"/>
      <c r="C581" s="242"/>
      <c r="D581" s="13"/>
      <c r="E581" s="13"/>
      <c r="F581" s="13"/>
      <c r="G581" s="13"/>
      <c r="H581" s="13"/>
      <c r="I581" s="242"/>
      <c r="J581" s="242"/>
      <c r="K581" s="242"/>
      <c r="L581" s="242"/>
      <c r="M581" s="242"/>
      <c r="N581" s="242"/>
      <c r="O581" s="242"/>
      <c r="P581" s="242"/>
      <c r="Q581" s="242"/>
      <c r="R581" s="242"/>
      <c r="S581" s="242"/>
      <c r="T581" s="242"/>
      <c r="U581" s="242"/>
      <c r="V581" s="242"/>
      <c r="W581" s="242"/>
      <c r="X581" s="242"/>
      <c r="Y581" s="242"/>
      <c r="Z581" s="242"/>
      <c r="AA581" s="242"/>
      <c r="AB581" s="242"/>
    </row>
    <row r="582">
      <c r="A582" s="242"/>
      <c r="B582" s="13"/>
      <c r="C582" s="242"/>
      <c r="D582" s="13"/>
      <c r="E582" s="13"/>
      <c r="F582" s="13"/>
      <c r="G582" s="13"/>
      <c r="H582" s="13"/>
      <c r="I582" s="242"/>
      <c r="J582" s="242"/>
      <c r="K582" s="242"/>
      <c r="L582" s="242"/>
      <c r="M582" s="242"/>
      <c r="N582" s="242"/>
      <c r="O582" s="242"/>
      <c r="P582" s="242"/>
      <c r="Q582" s="242"/>
      <c r="R582" s="242"/>
      <c r="S582" s="242"/>
      <c r="T582" s="242"/>
      <c r="U582" s="242"/>
      <c r="V582" s="242"/>
      <c r="W582" s="242"/>
      <c r="X582" s="242"/>
      <c r="Y582" s="242"/>
      <c r="Z582" s="242"/>
      <c r="AA582" s="242"/>
      <c r="AB582" s="242"/>
    </row>
    <row r="583">
      <c r="A583" s="242"/>
      <c r="B583" s="13"/>
      <c r="C583" s="242"/>
      <c r="D583" s="13"/>
      <c r="E583" s="13"/>
      <c r="F583" s="13"/>
      <c r="G583" s="13"/>
      <c r="H583" s="13"/>
      <c r="I583" s="242"/>
      <c r="J583" s="242"/>
      <c r="K583" s="242"/>
      <c r="L583" s="242"/>
      <c r="M583" s="242"/>
      <c r="N583" s="242"/>
      <c r="O583" s="242"/>
      <c r="P583" s="242"/>
      <c r="Q583" s="242"/>
      <c r="R583" s="242"/>
      <c r="S583" s="242"/>
      <c r="T583" s="242"/>
      <c r="U583" s="242"/>
      <c r="V583" s="242"/>
      <c r="W583" s="242"/>
      <c r="X583" s="242"/>
      <c r="Y583" s="242"/>
      <c r="Z583" s="242"/>
      <c r="AA583" s="242"/>
      <c r="AB583" s="242"/>
    </row>
    <row r="584">
      <c r="A584" s="242"/>
      <c r="B584" s="13"/>
      <c r="C584" s="242"/>
      <c r="D584" s="13"/>
      <c r="E584" s="13"/>
      <c r="F584" s="13"/>
      <c r="G584" s="13"/>
      <c r="H584" s="13"/>
      <c r="I584" s="242"/>
      <c r="J584" s="242"/>
      <c r="K584" s="242"/>
      <c r="L584" s="242"/>
      <c r="M584" s="242"/>
      <c r="N584" s="242"/>
      <c r="O584" s="242"/>
      <c r="P584" s="242"/>
      <c r="Q584" s="242"/>
      <c r="R584" s="242"/>
      <c r="S584" s="242"/>
      <c r="T584" s="242"/>
      <c r="U584" s="242"/>
      <c r="V584" s="242"/>
      <c r="W584" s="242"/>
      <c r="X584" s="242"/>
      <c r="Y584" s="242"/>
      <c r="Z584" s="242"/>
      <c r="AA584" s="242"/>
      <c r="AB584" s="242"/>
    </row>
    <row r="585">
      <c r="A585" s="242"/>
      <c r="B585" s="13"/>
      <c r="C585" s="242"/>
      <c r="D585" s="13"/>
      <c r="E585" s="13"/>
      <c r="F585" s="13"/>
      <c r="G585" s="13"/>
      <c r="H585" s="13"/>
      <c r="I585" s="242"/>
      <c r="J585" s="242"/>
      <c r="K585" s="242"/>
      <c r="L585" s="242"/>
      <c r="M585" s="242"/>
      <c r="N585" s="242"/>
      <c r="O585" s="242"/>
      <c r="P585" s="242"/>
      <c r="Q585" s="242"/>
      <c r="R585" s="242"/>
      <c r="S585" s="242"/>
      <c r="T585" s="242"/>
      <c r="U585" s="242"/>
      <c r="V585" s="242"/>
      <c r="W585" s="242"/>
      <c r="X585" s="242"/>
      <c r="Y585" s="242"/>
      <c r="Z585" s="242"/>
      <c r="AA585" s="242"/>
      <c r="AB585" s="242"/>
    </row>
    <row r="586">
      <c r="A586" s="242"/>
      <c r="B586" s="13"/>
      <c r="C586" s="242"/>
      <c r="D586" s="13"/>
      <c r="E586" s="13"/>
      <c r="F586" s="13"/>
      <c r="G586" s="13"/>
      <c r="H586" s="13"/>
      <c r="I586" s="242"/>
      <c r="J586" s="242"/>
      <c r="K586" s="242"/>
      <c r="L586" s="242"/>
      <c r="M586" s="242"/>
      <c r="N586" s="242"/>
      <c r="O586" s="242"/>
      <c r="P586" s="242"/>
      <c r="Q586" s="242"/>
      <c r="R586" s="242"/>
      <c r="S586" s="242"/>
      <c r="T586" s="242"/>
      <c r="U586" s="242"/>
      <c r="V586" s="242"/>
      <c r="W586" s="242"/>
      <c r="X586" s="242"/>
      <c r="Y586" s="242"/>
      <c r="Z586" s="242"/>
      <c r="AA586" s="242"/>
      <c r="AB586" s="242"/>
    </row>
    <row r="587">
      <c r="A587" s="242"/>
      <c r="B587" s="13"/>
      <c r="C587" s="242"/>
      <c r="D587" s="13"/>
      <c r="E587" s="13"/>
      <c r="F587" s="13"/>
      <c r="G587" s="13"/>
      <c r="H587" s="13"/>
      <c r="I587" s="242"/>
      <c r="J587" s="242"/>
      <c r="K587" s="242"/>
      <c r="L587" s="242"/>
      <c r="M587" s="242"/>
      <c r="N587" s="242"/>
      <c r="O587" s="242"/>
      <c r="P587" s="242"/>
      <c r="Q587" s="242"/>
      <c r="R587" s="242"/>
      <c r="S587" s="242"/>
      <c r="T587" s="242"/>
      <c r="U587" s="242"/>
      <c r="V587" s="242"/>
      <c r="W587" s="242"/>
      <c r="X587" s="242"/>
      <c r="Y587" s="242"/>
      <c r="Z587" s="242"/>
      <c r="AA587" s="242"/>
      <c r="AB587" s="242"/>
    </row>
    <row r="588">
      <c r="A588" s="242"/>
      <c r="B588" s="13"/>
      <c r="C588" s="242"/>
      <c r="D588" s="13"/>
      <c r="E588" s="13"/>
      <c r="F588" s="13"/>
      <c r="G588" s="13"/>
      <c r="H588" s="13"/>
      <c r="I588" s="242"/>
      <c r="J588" s="242"/>
      <c r="K588" s="242"/>
      <c r="L588" s="242"/>
      <c r="M588" s="242"/>
      <c r="N588" s="242"/>
      <c r="O588" s="242"/>
      <c r="P588" s="242"/>
      <c r="Q588" s="242"/>
      <c r="R588" s="242"/>
      <c r="S588" s="242"/>
      <c r="T588" s="242"/>
      <c r="U588" s="242"/>
      <c r="V588" s="242"/>
      <c r="W588" s="242"/>
      <c r="X588" s="242"/>
      <c r="Y588" s="242"/>
      <c r="Z588" s="242"/>
      <c r="AA588" s="242"/>
      <c r="AB588" s="242"/>
    </row>
    <row r="589">
      <c r="A589" s="242"/>
      <c r="B589" s="13"/>
      <c r="C589" s="242"/>
      <c r="D589" s="13"/>
      <c r="E589" s="13"/>
      <c r="F589" s="13"/>
      <c r="G589" s="13"/>
      <c r="H589" s="13"/>
      <c r="I589" s="242"/>
      <c r="J589" s="242"/>
      <c r="K589" s="242"/>
      <c r="L589" s="242"/>
      <c r="M589" s="242"/>
      <c r="N589" s="242"/>
      <c r="O589" s="242"/>
      <c r="P589" s="242"/>
      <c r="Q589" s="242"/>
      <c r="R589" s="242"/>
      <c r="S589" s="242"/>
      <c r="T589" s="242"/>
      <c r="U589" s="242"/>
      <c r="V589" s="242"/>
      <c r="W589" s="242"/>
      <c r="X589" s="242"/>
      <c r="Y589" s="242"/>
      <c r="Z589" s="242"/>
      <c r="AA589" s="242"/>
      <c r="AB589" s="242"/>
    </row>
    <row r="590">
      <c r="A590" s="242"/>
      <c r="B590" s="13"/>
      <c r="C590" s="242"/>
      <c r="D590" s="13"/>
      <c r="E590" s="13"/>
      <c r="F590" s="13"/>
      <c r="G590" s="13"/>
      <c r="H590" s="13"/>
      <c r="I590" s="242"/>
      <c r="J590" s="242"/>
      <c r="K590" s="242"/>
      <c r="L590" s="242"/>
      <c r="M590" s="242"/>
      <c r="N590" s="242"/>
      <c r="O590" s="242"/>
      <c r="P590" s="242"/>
      <c r="Q590" s="242"/>
      <c r="R590" s="242"/>
      <c r="S590" s="242"/>
      <c r="T590" s="242"/>
      <c r="U590" s="242"/>
      <c r="V590" s="242"/>
      <c r="W590" s="242"/>
      <c r="X590" s="242"/>
      <c r="Y590" s="242"/>
      <c r="Z590" s="242"/>
      <c r="AA590" s="242"/>
      <c r="AB590" s="242"/>
    </row>
    <row r="591">
      <c r="A591" s="242"/>
      <c r="B591" s="13"/>
      <c r="C591" s="242"/>
      <c r="D591" s="13"/>
      <c r="E591" s="13"/>
      <c r="F591" s="13"/>
      <c r="G591" s="13"/>
      <c r="H591" s="13"/>
      <c r="I591" s="242"/>
      <c r="J591" s="242"/>
      <c r="K591" s="242"/>
      <c r="L591" s="242"/>
      <c r="M591" s="242"/>
      <c r="N591" s="242"/>
      <c r="O591" s="242"/>
      <c r="P591" s="242"/>
      <c r="Q591" s="242"/>
      <c r="R591" s="242"/>
      <c r="S591" s="242"/>
      <c r="T591" s="242"/>
      <c r="U591" s="242"/>
      <c r="V591" s="242"/>
      <c r="W591" s="242"/>
      <c r="X591" s="242"/>
      <c r="Y591" s="242"/>
      <c r="Z591" s="242"/>
      <c r="AA591" s="242"/>
      <c r="AB591" s="242"/>
    </row>
    <row r="592">
      <c r="A592" s="242"/>
      <c r="B592" s="13"/>
      <c r="C592" s="242"/>
      <c r="D592" s="13"/>
      <c r="E592" s="13"/>
      <c r="F592" s="13"/>
      <c r="G592" s="13"/>
      <c r="H592" s="13"/>
      <c r="I592" s="242"/>
      <c r="J592" s="242"/>
      <c r="K592" s="242"/>
      <c r="L592" s="242"/>
      <c r="M592" s="242"/>
      <c r="N592" s="242"/>
      <c r="O592" s="242"/>
      <c r="P592" s="242"/>
      <c r="Q592" s="242"/>
      <c r="R592" s="242"/>
      <c r="S592" s="242"/>
      <c r="T592" s="242"/>
      <c r="U592" s="242"/>
      <c r="V592" s="242"/>
      <c r="W592" s="242"/>
      <c r="X592" s="242"/>
      <c r="Y592" s="242"/>
      <c r="Z592" s="242"/>
      <c r="AA592" s="242"/>
      <c r="AB592" s="242"/>
    </row>
    <row r="593">
      <c r="A593" s="242"/>
      <c r="B593" s="13"/>
      <c r="C593" s="242"/>
      <c r="D593" s="13"/>
      <c r="E593" s="13"/>
      <c r="F593" s="13"/>
      <c r="G593" s="13"/>
      <c r="H593" s="13"/>
      <c r="I593" s="242"/>
      <c r="J593" s="242"/>
      <c r="K593" s="242"/>
      <c r="L593" s="242"/>
      <c r="M593" s="242"/>
      <c r="N593" s="242"/>
      <c r="O593" s="242"/>
      <c r="P593" s="242"/>
      <c r="Q593" s="242"/>
      <c r="R593" s="242"/>
      <c r="S593" s="242"/>
      <c r="T593" s="242"/>
      <c r="U593" s="242"/>
      <c r="V593" s="242"/>
      <c r="W593" s="242"/>
      <c r="X593" s="242"/>
      <c r="Y593" s="242"/>
      <c r="Z593" s="242"/>
      <c r="AA593" s="242"/>
      <c r="AB593" s="242"/>
    </row>
    <row r="594">
      <c r="A594" s="242"/>
      <c r="B594" s="13"/>
      <c r="C594" s="242"/>
      <c r="D594" s="13"/>
      <c r="E594" s="13"/>
      <c r="F594" s="13"/>
      <c r="G594" s="13"/>
      <c r="H594" s="13"/>
      <c r="I594" s="242"/>
      <c r="J594" s="242"/>
      <c r="K594" s="242"/>
      <c r="L594" s="242"/>
      <c r="M594" s="242"/>
      <c r="N594" s="242"/>
      <c r="O594" s="242"/>
      <c r="P594" s="242"/>
      <c r="Q594" s="242"/>
      <c r="R594" s="242"/>
      <c r="S594" s="242"/>
      <c r="T594" s="242"/>
      <c r="U594" s="242"/>
      <c r="V594" s="242"/>
      <c r="W594" s="242"/>
      <c r="X594" s="242"/>
      <c r="Y594" s="242"/>
      <c r="Z594" s="242"/>
      <c r="AA594" s="242"/>
      <c r="AB594" s="242"/>
    </row>
    <row r="595">
      <c r="A595" s="242"/>
      <c r="B595" s="13"/>
      <c r="C595" s="242"/>
      <c r="D595" s="13"/>
      <c r="E595" s="13"/>
      <c r="F595" s="13"/>
      <c r="G595" s="13"/>
      <c r="H595" s="13"/>
      <c r="I595" s="242"/>
      <c r="J595" s="242"/>
      <c r="K595" s="242"/>
      <c r="L595" s="242"/>
      <c r="M595" s="242"/>
      <c r="N595" s="242"/>
      <c r="O595" s="242"/>
      <c r="P595" s="242"/>
      <c r="Q595" s="242"/>
      <c r="R595" s="242"/>
      <c r="S595" s="242"/>
      <c r="T595" s="242"/>
      <c r="U595" s="242"/>
      <c r="V595" s="242"/>
      <c r="W595" s="242"/>
      <c r="X595" s="242"/>
      <c r="Y595" s="242"/>
      <c r="Z595" s="242"/>
      <c r="AA595" s="242"/>
      <c r="AB595" s="242"/>
    </row>
    <row r="596">
      <c r="A596" s="242"/>
      <c r="B596" s="13"/>
      <c r="C596" s="242"/>
      <c r="D596" s="13"/>
      <c r="E596" s="13"/>
      <c r="F596" s="13"/>
      <c r="G596" s="13"/>
      <c r="H596" s="13"/>
      <c r="I596" s="242"/>
      <c r="J596" s="242"/>
      <c r="K596" s="242"/>
      <c r="L596" s="242"/>
      <c r="M596" s="242"/>
      <c r="N596" s="242"/>
      <c r="O596" s="242"/>
      <c r="P596" s="242"/>
      <c r="Q596" s="242"/>
      <c r="R596" s="242"/>
      <c r="S596" s="242"/>
      <c r="T596" s="242"/>
      <c r="U596" s="242"/>
      <c r="V596" s="242"/>
      <c r="W596" s="242"/>
      <c r="X596" s="242"/>
      <c r="Y596" s="242"/>
      <c r="Z596" s="242"/>
      <c r="AA596" s="242"/>
      <c r="AB596" s="242"/>
    </row>
    <row r="597">
      <c r="A597" s="242"/>
      <c r="B597" s="13"/>
      <c r="C597" s="242"/>
      <c r="D597" s="13"/>
      <c r="E597" s="13"/>
      <c r="F597" s="13"/>
      <c r="G597" s="13"/>
      <c r="H597" s="13"/>
      <c r="I597" s="242"/>
      <c r="J597" s="242"/>
      <c r="K597" s="242"/>
      <c r="L597" s="242"/>
      <c r="M597" s="242"/>
      <c r="N597" s="242"/>
      <c r="O597" s="242"/>
      <c r="P597" s="242"/>
      <c r="Q597" s="242"/>
      <c r="R597" s="242"/>
      <c r="S597" s="242"/>
      <c r="T597" s="242"/>
      <c r="U597" s="242"/>
      <c r="V597" s="242"/>
      <c r="W597" s="242"/>
      <c r="X597" s="242"/>
      <c r="Y597" s="242"/>
      <c r="Z597" s="242"/>
      <c r="AA597" s="242"/>
      <c r="AB597" s="242"/>
    </row>
    <row r="598">
      <c r="A598" s="242"/>
      <c r="B598" s="13"/>
      <c r="C598" s="242"/>
      <c r="D598" s="13"/>
      <c r="E598" s="13"/>
      <c r="F598" s="13"/>
      <c r="G598" s="13"/>
      <c r="H598" s="13"/>
      <c r="I598" s="242"/>
      <c r="J598" s="242"/>
      <c r="K598" s="242"/>
      <c r="L598" s="242"/>
      <c r="M598" s="242"/>
      <c r="N598" s="242"/>
      <c r="O598" s="242"/>
      <c r="P598" s="242"/>
      <c r="Q598" s="242"/>
      <c r="R598" s="242"/>
      <c r="S598" s="242"/>
      <c r="T598" s="242"/>
      <c r="U598" s="242"/>
      <c r="V598" s="242"/>
      <c r="W598" s="242"/>
      <c r="X598" s="242"/>
      <c r="Y598" s="242"/>
      <c r="Z598" s="242"/>
      <c r="AA598" s="242"/>
      <c r="AB598" s="242"/>
    </row>
    <row r="599">
      <c r="A599" s="242"/>
      <c r="B599" s="13"/>
      <c r="C599" s="242"/>
      <c r="D599" s="13"/>
      <c r="E599" s="13"/>
      <c r="F599" s="13"/>
      <c r="G599" s="13"/>
      <c r="H599" s="13"/>
      <c r="I599" s="242"/>
      <c r="J599" s="242"/>
      <c r="K599" s="242"/>
      <c r="L599" s="242"/>
      <c r="M599" s="242"/>
      <c r="N599" s="242"/>
      <c r="O599" s="242"/>
      <c r="P599" s="242"/>
      <c r="Q599" s="242"/>
      <c r="R599" s="242"/>
      <c r="S599" s="242"/>
      <c r="T599" s="242"/>
      <c r="U599" s="242"/>
      <c r="V599" s="242"/>
      <c r="W599" s="242"/>
      <c r="X599" s="242"/>
      <c r="Y599" s="242"/>
      <c r="Z599" s="242"/>
      <c r="AA599" s="242"/>
      <c r="AB599" s="242"/>
    </row>
    <row r="600">
      <c r="A600" s="242"/>
      <c r="B600" s="13"/>
      <c r="C600" s="242"/>
      <c r="D600" s="13"/>
      <c r="E600" s="13"/>
      <c r="F600" s="13"/>
      <c r="G600" s="13"/>
      <c r="H600" s="13"/>
      <c r="I600" s="242"/>
      <c r="J600" s="242"/>
      <c r="K600" s="242"/>
      <c r="L600" s="242"/>
      <c r="M600" s="242"/>
      <c r="N600" s="242"/>
      <c r="O600" s="242"/>
      <c r="P600" s="242"/>
      <c r="Q600" s="242"/>
      <c r="R600" s="242"/>
      <c r="S600" s="242"/>
      <c r="T600" s="242"/>
      <c r="U600" s="242"/>
      <c r="V600" s="242"/>
      <c r="W600" s="242"/>
      <c r="X600" s="242"/>
      <c r="Y600" s="242"/>
      <c r="Z600" s="242"/>
      <c r="AA600" s="242"/>
      <c r="AB600" s="242"/>
    </row>
    <row r="601">
      <c r="A601" s="242"/>
      <c r="B601" s="13"/>
      <c r="C601" s="242"/>
      <c r="D601" s="13"/>
      <c r="E601" s="13"/>
      <c r="F601" s="13"/>
      <c r="G601" s="13"/>
      <c r="H601" s="13"/>
      <c r="I601" s="242"/>
      <c r="J601" s="242"/>
      <c r="K601" s="242"/>
      <c r="L601" s="242"/>
      <c r="M601" s="242"/>
      <c r="N601" s="242"/>
      <c r="O601" s="242"/>
      <c r="P601" s="242"/>
      <c r="Q601" s="242"/>
      <c r="R601" s="242"/>
      <c r="S601" s="242"/>
      <c r="T601" s="242"/>
      <c r="U601" s="242"/>
      <c r="V601" s="242"/>
      <c r="W601" s="242"/>
      <c r="X601" s="242"/>
      <c r="Y601" s="242"/>
      <c r="Z601" s="242"/>
      <c r="AA601" s="242"/>
      <c r="AB601" s="242"/>
    </row>
    <row r="602">
      <c r="A602" s="242"/>
      <c r="B602" s="13"/>
      <c r="C602" s="242"/>
      <c r="D602" s="13"/>
      <c r="E602" s="13"/>
      <c r="F602" s="13"/>
      <c r="G602" s="13"/>
      <c r="H602" s="13"/>
      <c r="I602" s="242"/>
      <c r="J602" s="242"/>
      <c r="K602" s="242"/>
      <c r="L602" s="242"/>
      <c r="M602" s="242"/>
      <c r="N602" s="242"/>
      <c r="O602" s="242"/>
      <c r="P602" s="242"/>
      <c r="Q602" s="242"/>
      <c r="R602" s="242"/>
      <c r="S602" s="242"/>
      <c r="T602" s="242"/>
      <c r="U602" s="242"/>
      <c r="V602" s="242"/>
      <c r="W602" s="242"/>
      <c r="X602" s="242"/>
      <c r="Y602" s="242"/>
      <c r="Z602" s="242"/>
      <c r="AA602" s="242"/>
      <c r="AB602" s="242"/>
    </row>
    <row r="603">
      <c r="A603" s="242"/>
      <c r="B603" s="13"/>
      <c r="C603" s="242"/>
      <c r="D603" s="13"/>
      <c r="E603" s="13"/>
      <c r="F603" s="13"/>
      <c r="G603" s="13"/>
      <c r="H603" s="13"/>
      <c r="I603" s="242"/>
      <c r="J603" s="242"/>
      <c r="K603" s="242"/>
      <c r="L603" s="242"/>
      <c r="M603" s="242"/>
      <c r="N603" s="242"/>
      <c r="O603" s="242"/>
      <c r="P603" s="242"/>
      <c r="Q603" s="242"/>
      <c r="R603" s="242"/>
      <c r="S603" s="242"/>
      <c r="T603" s="242"/>
      <c r="U603" s="242"/>
      <c r="V603" s="242"/>
      <c r="W603" s="242"/>
      <c r="X603" s="242"/>
      <c r="Y603" s="242"/>
      <c r="Z603" s="242"/>
      <c r="AA603" s="242"/>
      <c r="AB603" s="242"/>
    </row>
    <row r="604">
      <c r="A604" s="242"/>
      <c r="B604" s="13"/>
      <c r="C604" s="242"/>
      <c r="D604" s="13"/>
      <c r="E604" s="13"/>
      <c r="F604" s="13"/>
      <c r="G604" s="13"/>
      <c r="H604" s="13"/>
      <c r="I604" s="242"/>
      <c r="J604" s="242"/>
      <c r="K604" s="242"/>
      <c r="L604" s="242"/>
      <c r="M604" s="242"/>
      <c r="N604" s="242"/>
      <c r="O604" s="242"/>
      <c r="P604" s="242"/>
      <c r="Q604" s="242"/>
      <c r="R604" s="242"/>
      <c r="S604" s="242"/>
      <c r="T604" s="242"/>
      <c r="U604" s="242"/>
      <c r="V604" s="242"/>
      <c r="W604" s="242"/>
      <c r="X604" s="242"/>
      <c r="Y604" s="242"/>
      <c r="Z604" s="242"/>
      <c r="AA604" s="242"/>
      <c r="AB604" s="242"/>
    </row>
    <row r="605">
      <c r="A605" s="242"/>
      <c r="B605" s="13"/>
      <c r="C605" s="242"/>
      <c r="D605" s="13"/>
      <c r="E605" s="13"/>
      <c r="F605" s="13"/>
      <c r="G605" s="13"/>
      <c r="H605" s="13"/>
      <c r="I605" s="242"/>
      <c r="J605" s="242"/>
      <c r="K605" s="242"/>
      <c r="L605" s="242"/>
      <c r="M605" s="242"/>
      <c r="N605" s="242"/>
      <c r="O605" s="242"/>
      <c r="P605" s="242"/>
      <c r="Q605" s="242"/>
      <c r="R605" s="242"/>
      <c r="S605" s="242"/>
      <c r="T605" s="242"/>
      <c r="U605" s="242"/>
      <c r="V605" s="242"/>
      <c r="W605" s="242"/>
      <c r="X605" s="242"/>
      <c r="Y605" s="242"/>
      <c r="Z605" s="242"/>
      <c r="AA605" s="242"/>
      <c r="AB605" s="242"/>
    </row>
    <row r="606">
      <c r="A606" s="242"/>
      <c r="B606" s="13"/>
      <c r="C606" s="242"/>
      <c r="D606" s="13"/>
      <c r="E606" s="13"/>
      <c r="F606" s="13"/>
      <c r="G606" s="13"/>
      <c r="H606" s="13"/>
      <c r="I606" s="242"/>
      <c r="J606" s="242"/>
      <c r="K606" s="242"/>
      <c r="L606" s="242"/>
      <c r="M606" s="242"/>
      <c r="N606" s="242"/>
      <c r="O606" s="242"/>
      <c r="P606" s="242"/>
      <c r="Q606" s="242"/>
      <c r="R606" s="242"/>
      <c r="S606" s="242"/>
      <c r="T606" s="242"/>
      <c r="U606" s="242"/>
      <c r="V606" s="242"/>
      <c r="W606" s="242"/>
      <c r="X606" s="242"/>
      <c r="Y606" s="242"/>
      <c r="Z606" s="242"/>
      <c r="AA606" s="242"/>
      <c r="AB606" s="242"/>
    </row>
    <row r="607">
      <c r="A607" s="242"/>
      <c r="B607" s="13"/>
      <c r="C607" s="242"/>
      <c r="D607" s="13"/>
      <c r="E607" s="13"/>
      <c r="F607" s="13"/>
      <c r="G607" s="13"/>
      <c r="H607" s="13"/>
      <c r="I607" s="242"/>
      <c r="J607" s="242"/>
      <c r="K607" s="242"/>
      <c r="L607" s="242"/>
      <c r="M607" s="242"/>
      <c r="N607" s="242"/>
      <c r="O607" s="242"/>
      <c r="P607" s="242"/>
      <c r="Q607" s="242"/>
      <c r="R607" s="242"/>
      <c r="S607" s="242"/>
      <c r="T607" s="242"/>
      <c r="U607" s="242"/>
      <c r="V607" s="242"/>
      <c r="W607" s="242"/>
      <c r="X607" s="242"/>
      <c r="Y607" s="242"/>
      <c r="Z607" s="242"/>
      <c r="AA607" s="242"/>
      <c r="AB607" s="242"/>
    </row>
    <row r="608">
      <c r="A608" s="242"/>
      <c r="B608" s="13"/>
      <c r="C608" s="242"/>
      <c r="D608" s="13"/>
      <c r="E608" s="13"/>
      <c r="F608" s="13"/>
      <c r="G608" s="13"/>
      <c r="H608" s="13"/>
      <c r="I608" s="242"/>
      <c r="J608" s="242"/>
      <c r="K608" s="242"/>
      <c r="L608" s="242"/>
      <c r="M608" s="242"/>
      <c r="N608" s="242"/>
      <c r="O608" s="242"/>
      <c r="P608" s="242"/>
      <c r="Q608" s="242"/>
      <c r="R608" s="242"/>
      <c r="S608" s="242"/>
      <c r="T608" s="242"/>
      <c r="U608" s="242"/>
      <c r="V608" s="242"/>
      <c r="W608" s="242"/>
      <c r="X608" s="242"/>
      <c r="Y608" s="242"/>
      <c r="Z608" s="242"/>
      <c r="AA608" s="242"/>
      <c r="AB608" s="242"/>
    </row>
    <row r="609">
      <c r="A609" s="242"/>
      <c r="B609" s="13"/>
      <c r="C609" s="242"/>
      <c r="D609" s="13"/>
      <c r="E609" s="13"/>
      <c r="F609" s="13"/>
      <c r="G609" s="13"/>
      <c r="H609" s="13"/>
      <c r="I609" s="242"/>
      <c r="J609" s="242"/>
      <c r="K609" s="242"/>
      <c r="L609" s="242"/>
      <c r="M609" s="242"/>
      <c r="N609" s="242"/>
      <c r="O609" s="242"/>
      <c r="P609" s="242"/>
      <c r="Q609" s="242"/>
      <c r="R609" s="242"/>
      <c r="S609" s="242"/>
      <c r="T609" s="242"/>
      <c r="U609" s="242"/>
      <c r="V609" s="242"/>
      <c r="W609" s="242"/>
      <c r="X609" s="242"/>
      <c r="Y609" s="242"/>
      <c r="Z609" s="242"/>
      <c r="AA609" s="242"/>
      <c r="AB609" s="242"/>
    </row>
    <row r="610">
      <c r="A610" s="242"/>
      <c r="B610" s="13"/>
      <c r="C610" s="242"/>
      <c r="D610" s="13"/>
      <c r="E610" s="13"/>
      <c r="F610" s="13"/>
      <c r="G610" s="13"/>
      <c r="H610" s="13"/>
      <c r="I610" s="242"/>
      <c r="J610" s="242"/>
      <c r="K610" s="242"/>
      <c r="L610" s="242"/>
      <c r="M610" s="242"/>
      <c r="N610" s="242"/>
      <c r="O610" s="242"/>
      <c r="P610" s="242"/>
      <c r="Q610" s="242"/>
      <c r="R610" s="242"/>
      <c r="S610" s="242"/>
      <c r="T610" s="242"/>
      <c r="U610" s="242"/>
      <c r="V610" s="242"/>
      <c r="W610" s="242"/>
      <c r="X610" s="242"/>
      <c r="Y610" s="242"/>
      <c r="Z610" s="242"/>
      <c r="AA610" s="242"/>
      <c r="AB610" s="242"/>
    </row>
    <row r="611">
      <c r="A611" s="242"/>
      <c r="B611" s="13"/>
      <c r="C611" s="242"/>
      <c r="D611" s="13"/>
      <c r="E611" s="13"/>
      <c r="F611" s="13"/>
      <c r="G611" s="13"/>
      <c r="H611" s="13"/>
      <c r="I611" s="242"/>
      <c r="J611" s="242"/>
      <c r="K611" s="242"/>
      <c r="L611" s="242"/>
      <c r="M611" s="242"/>
      <c r="N611" s="242"/>
      <c r="O611" s="242"/>
      <c r="P611" s="242"/>
      <c r="Q611" s="242"/>
      <c r="R611" s="242"/>
      <c r="S611" s="242"/>
      <c r="T611" s="242"/>
      <c r="U611" s="242"/>
      <c r="V611" s="242"/>
      <c r="W611" s="242"/>
      <c r="X611" s="242"/>
      <c r="Y611" s="242"/>
      <c r="Z611" s="242"/>
      <c r="AA611" s="242"/>
      <c r="AB611" s="242"/>
    </row>
    <row r="612">
      <c r="A612" s="242"/>
      <c r="B612" s="13"/>
      <c r="C612" s="242"/>
      <c r="D612" s="13"/>
      <c r="E612" s="13"/>
      <c r="F612" s="13"/>
      <c r="G612" s="13"/>
      <c r="H612" s="13"/>
      <c r="I612" s="242"/>
      <c r="J612" s="242"/>
      <c r="K612" s="242"/>
      <c r="L612" s="242"/>
      <c r="M612" s="242"/>
      <c r="N612" s="242"/>
      <c r="O612" s="242"/>
      <c r="P612" s="242"/>
      <c r="Q612" s="242"/>
      <c r="R612" s="242"/>
      <c r="S612" s="242"/>
      <c r="T612" s="242"/>
      <c r="U612" s="242"/>
      <c r="V612" s="242"/>
      <c r="W612" s="242"/>
      <c r="X612" s="242"/>
      <c r="Y612" s="242"/>
      <c r="Z612" s="242"/>
      <c r="AA612" s="242"/>
      <c r="AB612" s="242"/>
    </row>
    <row r="613">
      <c r="A613" s="242"/>
      <c r="B613" s="13"/>
      <c r="C613" s="242"/>
      <c r="D613" s="13"/>
      <c r="E613" s="13"/>
      <c r="F613" s="13"/>
      <c r="G613" s="13"/>
      <c r="H613" s="13"/>
      <c r="I613" s="242"/>
      <c r="J613" s="242"/>
      <c r="K613" s="242"/>
      <c r="L613" s="242"/>
      <c r="M613" s="242"/>
      <c r="N613" s="242"/>
      <c r="O613" s="242"/>
      <c r="P613" s="242"/>
      <c r="Q613" s="242"/>
      <c r="R613" s="242"/>
      <c r="S613" s="242"/>
      <c r="T613" s="242"/>
      <c r="U613" s="242"/>
      <c r="V613" s="242"/>
      <c r="W613" s="242"/>
      <c r="X613" s="242"/>
      <c r="Y613" s="242"/>
      <c r="Z613" s="242"/>
      <c r="AA613" s="242"/>
      <c r="AB613" s="242"/>
    </row>
    <row r="614">
      <c r="A614" s="242"/>
      <c r="B614" s="13"/>
      <c r="C614" s="242"/>
      <c r="D614" s="13"/>
      <c r="E614" s="13"/>
      <c r="F614" s="13"/>
      <c r="G614" s="13"/>
      <c r="H614" s="13"/>
      <c r="I614" s="242"/>
      <c r="J614" s="242"/>
      <c r="K614" s="242"/>
      <c r="L614" s="242"/>
      <c r="M614" s="242"/>
      <c r="N614" s="242"/>
      <c r="O614" s="242"/>
      <c r="P614" s="242"/>
      <c r="Q614" s="242"/>
      <c r="R614" s="242"/>
      <c r="S614" s="242"/>
      <c r="T614" s="242"/>
      <c r="U614" s="242"/>
      <c r="V614" s="242"/>
      <c r="W614" s="242"/>
      <c r="X614" s="242"/>
      <c r="Y614" s="242"/>
      <c r="Z614" s="242"/>
      <c r="AA614" s="242"/>
      <c r="AB614" s="242"/>
    </row>
    <row r="615">
      <c r="A615" s="242"/>
      <c r="B615" s="13"/>
      <c r="C615" s="242"/>
      <c r="D615" s="13"/>
      <c r="E615" s="13"/>
      <c r="F615" s="13"/>
      <c r="G615" s="13"/>
      <c r="H615" s="13"/>
      <c r="I615" s="242"/>
      <c r="J615" s="242"/>
      <c r="K615" s="242"/>
      <c r="L615" s="242"/>
      <c r="M615" s="242"/>
      <c r="N615" s="242"/>
      <c r="O615" s="242"/>
      <c r="P615" s="242"/>
      <c r="Q615" s="242"/>
      <c r="R615" s="242"/>
      <c r="S615" s="242"/>
      <c r="T615" s="242"/>
      <c r="U615" s="242"/>
      <c r="V615" s="242"/>
      <c r="W615" s="242"/>
      <c r="X615" s="242"/>
      <c r="Y615" s="242"/>
      <c r="Z615" s="242"/>
      <c r="AA615" s="242"/>
      <c r="AB615" s="242"/>
    </row>
    <row r="616">
      <c r="A616" s="242"/>
      <c r="B616" s="13"/>
      <c r="C616" s="242"/>
      <c r="D616" s="13"/>
      <c r="E616" s="13"/>
      <c r="F616" s="13"/>
      <c r="G616" s="13"/>
      <c r="H616" s="13"/>
      <c r="I616" s="242"/>
      <c r="J616" s="242"/>
      <c r="K616" s="242"/>
      <c r="L616" s="242"/>
      <c r="M616" s="242"/>
      <c r="N616" s="242"/>
      <c r="O616" s="242"/>
      <c r="P616" s="242"/>
      <c r="Q616" s="242"/>
      <c r="R616" s="242"/>
      <c r="S616" s="242"/>
      <c r="T616" s="242"/>
      <c r="U616" s="242"/>
      <c r="V616" s="242"/>
      <c r="W616" s="242"/>
      <c r="X616" s="242"/>
      <c r="Y616" s="242"/>
      <c r="Z616" s="242"/>
      <c r="AA616" s="242"/>
      <c r="AB616" s="242"/>
    </row>
    <row r="617">
      <c r="A617" s="242"/>
      <c r="B617" s="13"/>
      <c r="C617" s="242"/>
      <c r="D617" s="13"/>
      <c r="E617" s="13"/>
      <c r="F617" s="13"/>
      <c r="G617" s="13"/>
      <c r="H617" s="13"/>
      <c r="I617" s="242"/>
      <c r="J617" s="242"/>
      <c r="K617" s="242"/>
      <c r="L617" s="242"/>
      <c r="M617" s="242"/>
      <c r="N617" s="242"/>
      <c r="O617" s="242"/>
      <c r="P617" s="242"/>
      <c r="Q617" s="242"/>
      <c r="R617" s="242"/>
      <c r="S617" s="242"/>
      <c r="T617" s="242"/>
      <c r="U617" s="242"/>
      <c r="V617" s="242"/>
      <c r="W617" s="242"/>
      <c r="X617" s="242"/>
      <c r="Y617" s="242"/>
      <c r="Z617" s="242"/>
      <c r="AA617" s="242"/>
      <c r="AB617" s="242"/>
    </row>
    <row r="618">
      <c r="A618" s="242"/>
      <c r="B618" s="13"/>
      <c r="C618" s="242"/>
      <c r="D618" s="13"/>
      <c r="E618" s="13"/>
      <c r="F618" s="13"/>
      <c r="G618" s="13"/>
      <c r="H618" s="13"/>
      <c r="I618" s="242"/>
      <c r="J618" s="242"/>
      <c r="K618" s="242"/>
      <c r="L618" s="242"/>
      <c r="M618" s="242"/>
      <c r="N618" s="242"/>
      <c r="O618" s="242"/>
      <c r="P618" s="242"/>
      <c r="Q618" s="242"/>
      <c r="R618" s="242"/>
      <c r="S618" s="242"/>
      <c r="T618" s="242"/>
      <c r="U618" s="242"/>
      <c r="V618" s="242"/>
      <c r="W618" s="242"/>
      <c r="X618" s="242"/>
      <c r="Y618" s="242"/>
      <c r="Z618" s="242"/>
      <c r="AA618" s="242"/>
      <c r="AB618" s="242"/>
    </row>
    <row r="619">
      <c r="A619" s="242"/>
      <c r="B619" s="13"/>
      <c r="C619" s="242"/>
      <c r="D619" s="13"/>
      <c r="E619" s="13"/>
      <c r="F619" s="13"/>
      <c r="G619" s="13"/>
      <c r="H619" s="13"/>
      <c r="I619" s="242"/>
      <c r="J619" s="242"/>
      <c r="K619" s="242"/>
      <c r="L619" s="242"/>
      <c r="M619" s="242"/>
      <c r="N619" s="242"/>
      <c r="O619" s="242"/>
      <c r="P619" s="242"/>
      <c r="Q619" s="242"/>
      <c r="R619" s="242"/>
      <c r="S619" s="242"/>
      <c r="T619" s="242"/>
      <c r="U619" s="242"/>
      <c r="V619" s="242"/>
      <c r="W619" s="242"/>
      <c r="X619" s="242"/>
      <c r="Y619" s="242"/>
      <c r="Z619" s="242"/>
      <c r="AA619" s="242"/>
      <c r="AB619" s="242"/>
    </row>
    <row r="620">
      <c r="A620" s="242"/>
      <c r="B620" s="13"/>
      <c r="C620" s="242"/>
      <c r="D620" s="13"/>
      <c r="E620" s="13"/>
      <c r="F620" s="13"/>
      <c r="G620" s="13"/>
      <c r="H620" s="13"/>
      <c r="I620" s="242"/>
      <c r="J620" s="242"/>
      <c r="K620" s="242"/>
      <c r="L620" s="242"/>
      <c r="M620" s="242"/>
      <c r="N620" s="242"/>
      <c r="O620" s="242"/>
      <c r="P620" s="242"/>
      <c r="Q620" s="242"/>
      <c r="R620" s="242"/>
      <c r="S620" s="242"/>
      <c r="T620" s="242"/>
      <c r="U620" s="242"/>
      <c r="V620" s="242"/>
      <c r="W620" s="242"/>
      <c r="X620" s="242"/>
      <c r="Y620" s="242"/>
      <c r="Z620" s="242"/>
      <c r="AA620" s="242"/>
      <c r="AB620" s="242"/>
    </row>
    <row r="621">
      <c r="A621" s="242"/>
      <c r="B621" s="13"/>
      <c r="C621" s="242"/>
      <c r="D621" s="13"/>
      <c r="E621" s="13"/>
      <c r="F621" s="13"/>
      <c r="G621" s="13"/>
      <c r="H621" s="13"/>
      <c r="I621" s="242"/>
      <c r="J621" s="242"/>
      <c r="K621" s="242"/>
      <c r="L621" s="242"/>
      <c r="M621" s="242"/>
      <c r="N621" s="242"/>
      <c r="O621" s="242"/>
      <c r="P621" s="242"/>
      <c r="Q621" s="242"/>
      <c r="R621" s="242"/>
      <c r="S621" s="242"/>
      <c r="T621" s="242"/>
      <c r="U621" s="242"/>
      <c r="V621" s="242"/>
      <c r="W621" s="242"/>
      <c r="X621" s="242"/>
      <c r="Y621" s="242"/>
      <c r="Z621" s="242"/>
      <c r="AA621" s="242"/>
      <c r="AB621" s="242"/>
    </row>
    <row r="622">
      <c r="A622" s="242"/>
      <c r="B622" s="13"/>
      <c r="C622" s="242"/>
      <c r="D622" s="13"/>
      <c r="E622" s="13"/>
      <c r="F622" s="13"/>
      <c r="G622" s="13"/>
      <c r="H622" s="13"/>
      <c r="I622" s="242"/>
      <c r="J622" s="242"/>
      <c r="K622" s="242"/>
      <c r="L622" s="242"/>
      <c r="M622" s="242"/>
      <c r="N622" s="242"/>
      <c r="O622" s="242"/>
      <c r="P622" s="242"/>
      <c r="Q622" s="242"/>
      <c r="R622" s="242"/>
      <c r="S622" s="242"/>
      <c r="T622" s="242"/>
      <c r="U622" s="242"/>
      <c r="V622" s="242"/>
      <c r="W622" s="242"/>
      <c r="X622" s="242"/>
      <c r="Y622" s="242"/>
      <c r="Z622" s="242"/>
      <c r="AA622" s="242"/>
      <c r="AB622" s="242"/>
    </row>
    <row r="623">
      <c r="A623" s="242"/>
      <c r="B623" s="13"/>
      <c r="C623" s="242"/>
      <c r="D623" s="13"/>
      <c r="E623" s="13"/>
      <c r="F623" s="13"/>
      <c r="G623" s="13"/>
      <c r="H623" s="13"/>
      <c r="I623" s="242"/>
      <c r="J623" s="242"/>
      <c r="K623" s="242"/>
      <c r="L623" s="242"/>
      <c r="M623" s="242"/>
      <c r="N623" s="242"/>
      <c r="O623" s="242"/>
      <c r="P623" s="242"/>
      <c r="Q623" s="242"/>
      <c r="R623" s="242"/>
      <c r="S623" s="242"/>
      <c r="T623" s="242"/>
      <c r="U623" s="242"/>
      <c r="V623" s="242"/>
      <c r="W623" s="242"/>
      <c r="X623" s="242"/>
      <c r="Y623" s="242"/>
      <c r="Z623" s="242"/>
      <c r="AA623" s="242"/>
      <c r="AB623" s="242"/>
    </row>
    <row r="624">
      <c r="A624" s="242"/>
      <c r="B624" s="13"/>
      <c r="C624" s="242"/>
      <c r="D624" s="13"/>
      <c r="E624" s="13"/>
      <c r="F624" s="13"/>
      <c r="G624" s="13"/>
      <c r="H624" s="13"/>
      <c r="I624" s="242"/>
      <c r="J624" s="242"/>
      <c r="K624" s="242"/>
      <c r="L624" s="242"/>
      <c r="M624" s="242"/>
      <c r="N624" s="242"/>
      <c r="O624" s="242"/>
      <c r="P624" s="242"/>
      <c r="Q624" s="242"/>
      <c r="R624" s="242"/>
      <c r="S624" s="242"/>
      <c r="T624" s="242"/>
      <c r="U624" s="242"/>
      <c r="V624" s="242"/>
      <c r="W624" s="242"/>
      <c r="X624" s="242"/>
      <c r="Y624" s="242"/>
      <c r="Z624" s="242"/>
      <c r="AA624" s="242"/>
      <c r="AB624" s="242"/>
    </row>
    <row r="625">
      <c r="A625" s="242"/>
      <c r="B625" s="13"/>
      <c r="C625" s="242"/>
      <c r="D625" s="13"/>
      <c r="E625" s="13"/>
      <c r="F625" s="13"/>
      <c r="G625" s="13"/>
      <c r="H625" s="13"/>
      <c r="I625" s="242"/>
      <c r="J625" s="242"/>
      <c r="K625" s="242"/>
      <c r="L625" s="242"/>
      <c r="M625" s="242"/>
      <c r="N625" s="242"/>
      <c r="O625" s="242"/>
      <c r="P625" s="242"/>
      <c r="Q625" s="242"/>
      <c r="R625" s="242"/>
      <c r="S625" s="242"/>
      <c r="T625" s="242"/>
      <c r="U625" s="242"/>
      <c r="V625" s="242"/>
      <c r="W625" s="242"/>
      <c r="X625" s="242"/>
      <c r="Y625" s="242"/>
      <c r="Z625" s="242"/>
      <c r="AA625" s="242"/>
      <c r="AB625" s="242"/>
    </row>
    <row r="626">
      <c r="A626" s="242"/>
      <c r="B626" s="13"/>
      <c r="C626" s="242"/>
      <c r="D626" s="13"/>
      <c r="E626" s="13"/>
      <c r="F626" s="13"/>
      <c r="G626" s="13"/>
      <c r="H626" s="13"/>
      <c r="I626" s="242"/>
      <c r="J626" s="242"/>
      <c r="K626" s="242"/>
      <c r="L626" s="242"/>
      <c r="M626" s="242"/>
      <c r="N626" s="242"/>
      <c r="O626" s="242"/>
      <c r="P626" s="242"/>
      <c r="Q626" s="242"/>
      <c r="R626" s="242"/>
      <c r="S626" s="242"/>
      <c r="T626" s="242"/>
      <c r="U626" s="242"/>
      <c r="V626" s="242"/>
      <c r="W626" s="242"/>
      <c r="X626" s="242"/>
      <c r="Y626" s="242"/>
      <c r="Z626" s="242"/>
      <c r="AA626" s="242"/>
      <c r="AB626" s="242"/>
    </row>
    <row r="627">
      <c r="A627" s="242"/>
      <c r="B627" s="13"/>
      <c r="C627" s="242"/>
      <c r="D627" s="13"/>
      <c r="E627" s="13"/>
      <c r="F627" s="13"/>
      <c r="G627" s="13"/>
      <c r="H627" s="13"/>
      <c r="I627" s="242"/>
      <c r="J627" s="242"/>
      <c r="K627" s="242"/>
      <c r="L627" s="242"/>
      <c r="M627" s="242"/>
      <c r="N627" s="242"/>
      <c r="O627" s="242"/>
      <c r="P627" s="242"/>
      <c r="Q627" s="242"/>
      <c r="R627" s="242"/>
      <c r="S627" s="242"/>
      <c r="T627" s="242"/>
      <c r="U627" s="242"/>
      <c r="V627" s="242"/>
      <c r="W627" s="242"/>
      <c r="X627" s="242"/>
      <c r="Y627" s="242"/>
      <c r="Z627" s="242"/>
      <c r="AA627" s="242"/>
      <c r="AB627" s="242"/>
    </row>
    <row r="628">
      <c r="A628" s="242"/>
      <c r="B628" s="13"/>
      <c r="C628" s="242"/>
      <c r="D628" s="13"/>
      <c r="E628" s="13"/>
      <c r="F628" s="13"/>
      <c r="G628" s="13"/>
      <c r="H628" s="13"/>
      <c r="I628" s="242"/>
      <c r="J628" s="242"/>
      <c r="K628" s="242"/>
      <c r="L628" s="242"/>
      <c r="M628" s="242"/>
      <c r="N628" s="242"/>
      <c r="O628" s="242"/>
      <c r="P628" s="242"/>
      <c r="Q628" s="242"/>
      <c r="R628" s="242"/>
      <c r="S628" s="242"/>
      <c r="T628" s="242"/>
      <c r="U628" s="242"/>
      <c r="V628" s="242"/>
      <c r="W628" s="242"/>
      <c r="X628" s="242"/>
      <c r="Y628" s="242"/>
      <c r="Z628" s="242"/>
      <c r="AA628" s="242"/>
      <c r="AB628" s="242"/>
    </row>
    <row r="629">
      <c r="A629" s="242"/>
      <c r="B629" s="13"/>
      <c r="C629" s="242"/>
      <c r="D629" s="13"/>
      <c r="E629" s="13"/>
      <c r="F629" s="13"/>
      <c r="G629" s="13"/>
      <c r="H629" s="13"/>
      <c r="I629" s="242"/>
      <c r="J629" s="242"/>
      <c r="K629" s="242"/>
      <c r="L629" s="242"/>
      <c r="M629" s="242"/>
      <c r="N629" s="242"/>
      <c r="O629" s="242"/>
      <c r="P629" s="242"/>
      <c r="Q629" s="242"/>
      <c r="R629" s="242"/>
      <c r="S629" s="242"/>
      <c r="T629" s="242"/>
      <c r="U629" s="242"/>
      <c r="V629" s="242"/>
      <c r="W629" s="242"/>
      <c r="X629" s="242"/>
      <c r="Y629" s="242"/>
      <c r="Z629" s="242"/>
      <c r="AA629" s="242"/>
      <c r="AB629" s="242"/>
    </row>
    <row r="630">
      <c r="A630" s="242"/>
      <c r="B630" s="13"/>
      <c r="C630" s="242"/>
      <c r="D630" s="13"/>
      <c r="E630" s="13"/>
      <c r="F630" s="13"/>
      <c r="G630" s="13"/>
      <c r="H630" s="13"/>
      <c r="I630" s="242"/>
      <c r="J630" s="242"/>
      <c r="K630" s="242"/>
      <c r="L630" s="242"/>
      <c r="M630" s="242"/>
      <c r="N630" s="242"/>
      <c r="O630" s="242"/>
      <c r="P630" s="242"/>
      <c r="Q630" s="242"/>
      <c r="R630" s="242"/>
      <c r="S630" s="242"/>
      <c r="T630" s="242"/>
      <c r="U630" s="242"/>
      <c r="V630" s="242"/>
      <c r="W630" s="242"/>
      <c r="X630" s="242"/>
      <c r="Y630" s="242"/>
      <c r="Z630" s="242"/>
      <c r="AA630" s="242"/>
      <c r="AB630" s="242"/>
    </row>
    <row r="631">
      <c r="A631" s="242"/>
      <c r="B631" s="13"/>
      <c r="C631" s="242"/>
      <c r="D631" s="13"/>
      <c r="E631" s="13"/>
      <c r="F631" s="13"/>
      <c r="G631" s="13"/>
      <c r="H631" s="13"/>
      <c r="I631" s="242"/>
      <c r="J631" s="242"/>
      <c r="K631" s="242"/>
      <c r="L631" s="242"/>
      <c r="M631" s="242"/>
      <c r="N631" s="242"/>
      <c r="O631" s="242"/>
      <c r="P631" s="242"/>
      <c r="Q631" s="242"/>
      <c r="R631" s="242"/>
      <c r="S631" s="242"/>
      <c r="T631" s="242"/>
      <c r="U631" s="242"/>
      <c r="V631" s="242"/>
      <c r="W631" s="242"/>
      <c r="X631" s="242"/>
      <c r="Y631" s="242"/>
      <c r="Z631" s="242"/>
      <c r="AA631" s="242"/>
      <c r="AB631" s="242"/>
    </row>
    <row r="632">
      <c r="A632" s="242"/>
      <c r="B632" s="13"/>
      <c r="C632" s="242"/>
      <c r="D632" s="13"/>
      <c r="E632" s="13"/>
      <c r="F632" s="13"/>
      <c r="G632" s="13"/>
      <c r="H632" s="13"/>
      <c r="I632" s="242"/>
      <c r="J632" s="242"/>
      <c r="K632" s="242"/>
      <c r="L632" s="242"/>
      <c r="M632" s="242"/>
      <c r="N632" s="242"/>
      <c r="O632" s="242"/>
      <c r="P632" s="242"/>
      <c r="Q632" s="242"/>
      <c r="R632" s="242"/>
      <c r="S632" s="242"/>
      <c r="T632" s="242"/>
      <c r="U632" s="242"/>
      <c r="V632" s="242"/>
      <c r="W632" s="242"/>
      <c r="X632" s="242"/>
      <c r="Y632" s="242"/>
      <c r="Z632" s="242"/>
      <c r="AA632" s="242"/>
      <c r="AB632" s="242"/>
    </row>
    <row r="633">
      <c r="A633" s="242"/>
      <c r="B633" s="13"/>
      <c r="C633" s="242"/>
      <c r="D633" s="13"/>
      <c r="E633" s="13"/>
      <c r="F633" s="13"/>
      <c r="G633" s="13"/>
      <c r="H633" s="13"/>
      <c r="I633" s="242"/>
      <c r="J633" s="242"/>
      <c r="K633" s="242"/>
      <c r="L633" s="242"/>
      <c r="M633" s="242"/>
      <c r="N633" s="242"/>
      <c r="O633" s="242"/>
      <c r="P633" s="242"/>
      <c r="Q633" s="242"/>
      <c r="R633" s="242"/>
      <c r="S633" s="242"/>
      <c r="T633" s="242"/>
      <c r="U633" s="242"/>
      <c r="V633" s="242"/>
      <c r="W633" s="242"/>
      <c r="X633" s="242"/>
      <c r="Y633" s="242"/>
      <c r="Z633" s="242"/>
      <c r="AA633" s="242"/>
      <c r="AB633" s="242"/>
    </row>
    <row r="634">
      <c r="A634" s="242"/>
      <c r="B634" s="13"/>
      <c r="C634" s="242"/>
      <c r="D634" s="13"/>
      <c r="E634" s="13"/>
      <c r="F634" s="13"/>
      <c r="G634" s="13"/>
      <c r="H634" s="13"/>
      <c r="I634" s="242"/>
      <c r="J634" s="242"/>
      <c r="K634" s="242"/>
      <c r="L634" s="242"/>
      <c r="M634" s="242"/>
      <c r="N634" s="242"/>
      <c r="O634" s="242"/>
      <c r="P634" s="242"/>
      <c r="Q634" s="242"/>
      <c r="R634" s="242"/>
      <c r="S634" s="242"/>
      <c r="T634" s="242"/>
      <c r="U634" s="242"/>
      <c r="V634" s="242"/>
      <c r="W634" s="242"/>
      <c r="X634" s="242"/>
      <c r="Y634" s="242"/>
      <c r="Z634" s="242"/>
      <c r="AA634" s="242"/>
      <c r="AB634" s="242"/>
    </row>
    <row r="635">
      <c r="A635" s="242"/>
      <c r="B635" s="13"/>
      <c r="C635" s="242"/>
      <c r="D635" s="13"/>
      <c r="E635" s="13"/>
      <c r="F635" s="13"/>
      <c r="G635" s="13"/>
      <c r="H635" s="13"/>
      <c r="I635" s="242"/>
      <c r="J635" s="242"/>
      <c r="K635" s="242"/>
      <c r="L635" s="242"/>
      <c r="M635" s="242"/>
      <c r="N635" s="242"/>
      <c r="O635" s="242"/>
      <c r="P635" s="242"/>
      <c r="Q635" s="242"/>
      <c r="R635" s="242"/>
      <c r="S635" s="242"/>
      <c r="T635" s="242"/>
      <c r="U635" s="242"/>
      <c r="V635" s="242"/>
      <c r="W635" s="242"/>
      <c r="X635" s="242"/>
      <c r="Y635" s="242"/>
      <c r="Z635" s="242"/>
      <c r="AA635" s="242"/>
      <c r="AB635" s="242"/>
    </row>
    <row r="636">
      <c r="A636" s="242"/>
      <c r="B636" s="13"/>
      <c r="C636" s="242"/>
      <c r="D636" s="13"/>
      <c r="E636" s="13"/>
      <c r="F636" s="13"/>
      <c r="G636" s="13"/>
      <c r="H636" s="13"/>
      <c r="I636" s="242"/>
      <c r="J636" s="242"/>
      <c r="K636" s="242"/>
      <c r="L636" s="242"/>
      <c r="M636" s="242"/>
      <c r="N636" s="242"/>
      <c r="O636" s="242"/>
      <c r="P636" s="242"/>
      <c r="Q636" s="242"/>
      <c r="R636" s="242"/>
      <c r="S636" s="242"/>
      <c r="T636" s="242"/>
      <c r="U636" s="242"/>
      <c r="V636" s="242"/>
      <c r="W636" s="242"/>
      <c r="X636" s="242"/>
      <c r="Y636" s="242"/>
      <c r="Z636" s="242"/>
      <c r="AA636" s="242"/>
      <c r="AB636" s="242"/>
    </row>
    <row r="637">
      <c r="A637" s="242"/>
      <c r="B637" s="13"/>
      <c r="C637" s="242"/>
      <c r="D637" s="13"/>
      <c r="E637" s="13"/>
      <c r="F637" s="13"/>
      <c r="G637" s="13"/>
      <c r="H637" s="13"/>
      <c r="I637" s="242"/>
      <c r="J637" s="242"/>
      <c r="K637" s="242"/>
      <c r="L637" s="242"/>
      <c r="M637" s="242"/>
      <c r="N637" s="242"/>
      <c r="O637" s="242"/>
      <c r="P637" s="242"/>
      <c r="Q637" s="242"/>
      <c r="R637" s="242"/>
      <c r="S637" s="242"/>
      <c r="T637" s="242"/>
      <c r="U637" s="242"/>
      <c r="V637" s="242"/>
      <c r="W637" s="242"/>
      <c r="X637" s="242"/>
      <c r="Y637" s="242"/>
      <c r="Z637" s="242"/>
      <c r="AA637" s="242"/>
      <c r="AB637" s="242"/>
    </row>
    <row r="638">
      <c r="A638" s="242"/>
      <c r="B638" s="13"/>
      <c r="C638" s="242"/>
      <c r="D638" s="13"/>
      <c r="E638" s="13"/>
      <c r="F638" s="13"/>
      <c r="G638" s="13"/>
      <c r="H638" s="13"/>
      <c r="I638" s="242"/>
      <c r="J638" s="242"/>
      <c r="K638" s="242"/>
      <c r="L638" s="242"/>
      <c r="M638" s="242"/>
      <c r="N638" s="242"/>
      <c r="O638" s="242"/>
      <c r="P638" s="242"/>
      <c r="Q638" s="242"/>
      <c r="R638" s="242"/>
      <c r="S638" s="242"/>
      <c r="T638" s="242"/>
      <c r="U638" s="242"/>
      <c r="V638" s="242"/>
      <c r="W638" s="242"/>
      <c r="X638" s="242"/>
      <c r="Y638" s="242"/>
      <c r="Z638" s="242"/>
      <c r="AA638" s="242"/>
      <c r="AB638" s="242"/>
    </row>
    <row r="639">
      <c r="A639" s="242"/>
      <c r="B639" s="13"/>
      <c r="C639" s="242"/>
      <c r="D639" s="13"/>
      <c r="E639" s="13"/>
      <c r="F639" s="13"/>
      <c r="G639" s="13"/>
      <c r="H639" s="13"/>
      <c r="I639" s="242"/>
      <c r="J639" s="242"/>
      <c r="K639" s="242"/>
      <c r="L639" s="242"/>
      <c r="M639" s="242"/>
      <c r="N639" s="242"/>
      <c r="O639" s="242"/>
      <c r="P639" s="242"/>
      <c r="Q639" s="242"/>
      <c r="R639" s="242"/>
      <c r="S639" s="242"/>
      <c r="T639" s="242"/>
      <c r="U639" s="242"/>
      <c r="V639" s="242"/>
      <c r="W639" s="242"/>
      <c r="X639" s="242"/>
      <c r="Y639" s="242"/>
      <c r="Z639" s="242"/>
      <c r="AA639" s="242"/>
      <c r="AB639" s="242"/>
    </row>
    <row r="640">
      <c r="A640" s="242"/>
      <c r="B640" s="13"/>
      <c r="C640" s="242"/>
      <c r="D640" s="13"/>
      <c r="E640" s="13"/>
      <c r="F640" s="13"/>
      <c r="G640" s="13"/>
      <c r="H640" s="13"/>
      <c r="I640" s="242"/>
      <c r="J640" s="242"/>
      <c r="K640" s="242"/>
      <c r="L640" s="242"/>
      <c r="M640" s="242"/>
      <c r="N640" s="242"/>
      <c r="O640" s="242"/>
      <c r="P640" s="242"/>
      <c r="Q640" s="242"/>
      <c r="R640" s="242"/>
      <c r="S640" s="242"/>
      <c r="T640" s="242"/>
      <c r="U640" s="242"/>
      <c r="V640" s="242"/>
      <c r="W640" s="242"/>
      <c r="X640" s="242"/>
      <c r="Y640" s="242"/>
      <c r="Z640" s="242"/>
      <c r="AA640" s="242"/>
      <c r="AB640" s="242"/>
    </row>
    <row r="641">
      <c r="A641" s="242"/>
      <c r="B641" s="13"/>
      <c r="C641" s="242"/>
      <c r="D641" s="13"/>
      <c r="E641" s="13"/>
      <c r="F641" s="13"/>
      <c r="G641" s="13"/>
      <c r="H641" s="13"/>
      <c r="I641" s="242"/>
      <c r="J641" s="242"/>
      <c r="K641" s="242"/>
      <c r="L641" s="242"/>
      <c r="M641" s="242"/>
      <c r="N641" s="242"/>
      <c r="O641" s="242"/>
      <c r="P641" s="242"/>
      <c r="Q641" s="242"/>
      <c r="R641" s="242"/>
      <c r="S641" s="242"/>
      <c r="T641" s="242"/>
      <c r="U641" s="242"/>
      <c r="V641" s="242"/>
      <c r="W641" s="242"/>
      <c r="X641" s="242"/>
      <c r="Y641" s="242"/>
      <c r="Z641" s="242"/>
      <c r="AA641" s="242"/>
      <c r="AB641" s="242"/>
    </row>
    <row r="642">
      <c r="A642" s="242"/>
      <c r="B642" s="13"/>
      <c r="C642" s="242"/>
      <c r="D642" s="13"/>
      <c r="E642" s="13"/>
      <c r="F642" s="13"/>
      <c r="G642" s="13"/>
      <c r="H642" s="13"/>
      <c r="I642" s="242"/>
      <c r="J642" s="242"/>
      <c r="K642" s="242"/>
      <c r="L642" s="242"/>
      <c r="M642" s="242"/>
      <c r="N642" s="242"/>
      <c r="O642" s="242"/>
      <c r="P642" s="242"/>
      <c r="Q642" s="242"/>
      <c r="R642" s="242"/>
      <c r="S642" s="242"/>
      <c r="T642" s="242"/>
      <c r="U642" s="242"/>
      <c r="V642" s="242"/>
      <c r="W642" s="242"/>
      <c r="X642" s="242"/>
      <c r="Y642" s="242"/>
      <c r="Z642" s="242"/>
      <c r="AA642" s="242"/>
      <c r="AB642" s="242"/>
    </row>
    <row r="643">
      <c r="A643" s="242"/>
      <c r="B643" s="13"/>
      <c r="C643" s="242"/>
      <c r="D643" s="13"/>
      <c r="E643" s="13"/>
      <c r="F643" s="13"/>
      <c r="G643" s="13"/>
      <c r="H643" s="13"/>
      <c r="I643" s="242"/>
      <c r="J643" s="242"/>
      <c r="K643" s="242"/>
      <c r="L643" s="242"/>
      <c r="M643" s="242"/>
      <c r="N643" s="242"/>
      <c r="O643" s="242"/>
      <c r="P643" s="242"/>
      <c r="Q643" s="242"/>
      <c r="R643" s="242"/>
      <c r="S643" s="242"/>
      <c r="T643" s="242"/>
      <c r="U643" s="242"/>
      <c r="V643" s="242"/>
      <c r="W643" s="242"/>
      <c r="X643" s="242"/>
      <c r="Y643" s="242"/>
      <c r="Z643" s="242"/>
      <c r="AA643" s="242"/>
      <c r="AB643" s="242"/>
    </row>
    <row r="644">
      <c r="A644" s="242"/>
      <c r="B644" s="13"/>
      <c r="C644" s="242"/>
      <c r="D644" s="13"/>
      <c r="E644" s="13"/>
      <c r="F644" s="13"/>
      <c r="G644" s="13"/>
      <c r="H644" s="13"/>
      <c r="I644" s="242"/>
      <c r="J644" s="242"/>
      <c r="K644" s="242"/>
      <c r="L644" s="242"/>
      <c r="M644" s="242"/>
      <c r="N644" s="242"/>
      <c r="O644" s="242"/>
      <c r="P644" s="242"/>
      <c r="Q644" s="242"/>
      <c r="R644" s="242"/>
      <c r="S644" s="242"/>
      <c r="T644" s="242"/>
      <c r="U644" s="242"/>
      <c r="V644" s="242"/>
      <c r="W644" s="242"/>
      <c r="X644" s="242"/>
      <c r="Y644" s="242"/>
      <c r="Z644" s="242"/>
      <c r="AA644" s="242"/>
      <c r="AB644" s="242"/>
    </row>
    <row r="645">
      <c r="A645" s="242"/>
      <c r="B645" s="13"/>
      <c r="C645" s="242"/>
      <c r="D645" s="13"/>
      <c r="E645" s="13"/>
      <c r="F645" s="13"/>
      <c r="G645" s="13"/>
      <c r="H645" s="13"/>
      <c r="I645" s="242"/>
      <c r="J645" s="242"/>
      <c r="K645" s="242"/>
      <c r="L645" s="242"/>
      <c r="M645" s="242"/>
      <c r="N645" s="242"/>
      <c r="O645" s="242"/>
      <c r="P645" s="242"/>
      <c r="Q645" s="242"/>
      <c r="R645" s="242"/>
      <c r="S645" s="242"/>
      <c r="T645" s="242"/>
      <c r="U645" s="242"/>
      <c r="V645" s="242"/>
      <c r="W645" s="242"/>
      <c r="X645" s="242"/>
      <c r="Y645" s="242"/>
      <c r="Z645" s="242"/>
      <c r="AA645" s="242"/>
      <c r="AB645" s="242"/>
    </row>
    <row r="646">
      <c r="A646" s="242"/>
      <c r="B646" s="13"/>
      <c r="C646" s="242"/>
      <c r="D646" s="13"/>
      <c r="E646" s="13"/>
      <c r="F646" s="13"/>
      <c r="G646" s="13"/>
      <c r="H646" s="13"/>
      <c r="I646" s="242"/>
      <c r="J646" s="242"/>
      <c r="K646" s="242"/>
      <c r="L646" s="242"/>
      <c r="M646" s="242"/>
      <c r="N646" s="242"/>
      <c r="O646" s="242"/>
      <c r="P646" s="242"/>
      <c r="Q646" s="242"/>
      <c r="R646" s="242"/>
      <c r="S646" s="242"/>
      <c r="T646" s="242"/>
      <c r="U646" s="242"/>
      <c r="V646" s="242"/>
      <c r="W646" s="242"/>
      <c r="X646" s="242"/>
      <c r="Y646" s="242"/>
      <c r="Z646" s="242"/>
      <c r="AA646" s="242"/>
      <c r="AB646" s="242"/>
    </row>
    <row r="647">
      <c r="A647" s="242"/>
      <c r="B647" s="13"/>
      <c r="C647" s="242"/>
      <c r="D647" s="13"/>
      <c r="E647" s="13"/>
      <c r="F647" s="13"/>
      <c r="G647" s="13"/>
      <c r="H647" s="13"/>
      <c r="I647" s="242"/>
      <c r="J647" s="242"/>
      <c r="K647" s="242"/>
      <c r="L647" s="242"/>
      <c r="M647" s="242"/>
      <c r="N647" s="242"/>
      <c r="O647" s="242"/>
      <c r="P647" s="242"/>
      <c r="Q647" s="242"/>
      <c r="R647" s="242"/>
      <c r="S647" s="242"/>
      <c r="T647" s="242"/>
      <c r="U647" s="242"/>
      <c r="V647" s="242"/>
      <c r="W647" s="242"/>
      <c r="X647" s="242"/>
      <c r="Y647" s="242"/>
      <c r="Z647" s="242"/>
      <c r="AA647" s="242"/>
      <c r="AB647" s="242"/>
    </row>
    <row r="648">
      <c r="A648" s="242"/>
      <c r="B648" s="13"/>
      <c r="C648" s="242"/>
      <c r="D648" s="13"/>
      <c r="E648" s="13"/>
      <c r="F648" s="13"/>
      <c r="G648" s="13"/>
      <c r="H648" s="13"/>
      <c r="I648" s="242"/>
      <c r="J648" s="242"/>
      <c r="K648" s="242"/>
      <c r="L648" s="242"/>
      <c r="M648" s="242"/>
      <c r="N648" s="242"/>
      <c r="O648" s="242"/>
      <c r="P648" s="242"/>
      <c r="Q648" s="242"/>
      <c r="R648" s="242"/>
      <c r="S648" s="242"/>
      <c r="T648" s="242"/>
      <c r="U648" s="242"/>
      <c r="V648" s="242"/>
      <c r="W648" s="242"/>
      <c r="X648" s="242"/>
      <c r="Y648" s="242"/>
      <c r="Z648" s="242"/>
      <c r="AA648" s="242"/>
      <c r="AB648" s="242"/>
    </row>
    <row r="649">
      <c r="A649" s="242"/>
      <c r="B649" s="13"/>
      <c r="C649" s="242"/>
      <c r="D649" s="13"/>
      <c r="E649" s="13"/>
      <c r="F649" s="13"/>
      <c r="G649" s="13"/>
      <c r="H649" s="13"/>
      <c r="I649" s="242"/>
      <c r="J649" s="242"/>
      <c r="K649" s="242"/>
      <c r="L649" s="242"/>
      <c r="M649" s="242"/>
      <c r="N649" s="242"/>
      <c r="O649" s="242"/>
      <c r="P649" s="242"/>
      <c r="Q649" s="242"/>
      <c r="R649" s="242"/>
      <c r="S649" s="242"/>
      <c r="T649" s="242"/>
      <c r="U649" s="242"/>
      <c r="V649" s="242"/>
      <c r="W649" s="242"/>
      <c r="X649" s="242"/>
      <c r="Y649" s="242"/>
      <c r="Z649" s="242"/>
      <c r="AA649" s="242"/>
      <c r="AB649" s="242"/>
    </row>
    <row r="650">
      <c r="A650" s="242"/>
      <c r="B650" s="13"/>
      <c r="C650" s="242"/>
      <c r="D650" s="13"/>
      <c r="E650" s="13"/>
      <c r="F650" s="13"/>
      <c r="G650" s="13"/>
      <c r="H650" s="13"/>
      <c r="I650" s="242"/>
      <c r="J650" s="242"/>
      <c r="K650" s="242"/>
      <c r="L650" s="242"/>
      <c r="M650" s="242"/>
      <c r="N650" s="242"/>
      <c r="O650" s="242"/>
      <c r="P650" s="242"/>
      <c r="Q650" s="242"/>
      <c r="R650" s="242"/>
      <c r="S650" s="242"/>
      <c r="T650" s="242"/>
      <c r="U650" s="242"/>
      <c r="V650" s="242"/>
      <c r="W650" s="242"/>
      <c r="X650" s="242"/>
      <c r="Y650" s="242"/>
      <c r="Z650" s="242"/>
      <c r="AA650" s="242"/>
      <c r="AB650" s="242"/>
    </row>
    <row r="651">
      <c r="A651" s="242"/>
      <c r="B651" s="13"/>
      <c r="C651" s="242"/>
      <c r="D651" s="13"/>
      <c r="E651" s="13"/>
      <c r="F651" s="13"/>
      <c r="G651" s="13"/>
      <c r="H651" s="13"/>
      <c r="I651" s="242"/>
      <c r="J651" s="242"/>
      <c r="K651" s="242"/>
      <c r="L651" s="242"/>
      <c r="M651" s="242"/>
      <c r="N651" s="242"/>
      <c r="O651" s="242"/>
      <c r="P651" s="242"/>
      <c r="Q651" s="242"/>
      <c r="R651" s="242"/>
      <c r="S651" s="242"/>
      <c r="T651" s="242"/>
      <c r="U651" s="242"/>
      <c r="V651" s="242"/>
      <c r="W651" s="242"/>
      <c r="X651" s="242"/>
      <c r="Y651" s="242"/>
      <c r="Z651" s="242"/>
      <c r="AA651" s="242"/>
      <c r="AB651" s="242"/>
    </row>
    <row r="652">
      <c r="A652" s="242"/>
      <c r="B652" s="13"/>
      <c r="C652" s="242"/>
      <c r="D652" s="13"/>
      <c r="E652" s="13"/>
      <c r="F652" s="13"/>
      <c r="G652" s="13"/>
      <c r="H652" s="13"/>
      <c r="I652" s="242"/>
      <c r="J652" s="242"/>
      <c r="K652" s="242"/>
      <c r="L652" s="242"/>
      <c r="M652" s="242"/>
      <c r="N652" s="242"/>
      <c r="O652" s="242"/>
      <c r="P652" s="242"/>
      <c r="Q652" s="242"/>
      <c r="R652" s="242"/>
      <c r="S652" s="242"/>
      <c r="T652" s="242"/>
      <c r="U652" s="242"/>
      <c r="V652" s="242"/>
      <c r="W652" s="242"/>
      <c r="X652" s="242"/>
      <c r="Y652" s="242"/>
      <c r="Z652" s="242"/>
      <c r="AA652" s="242"/>
      <c r="AB652" s="242"/>
    </row>
    <row r="653">
      <c r="A653" s="242"/>
      <c r="B653" s="13"/>
      <c r="C653" s="242"/>
      <c r="D653" s="13"/>
      <c r="E653" s="13"/>
      <c r="F653" s="13"/>
      <c r="G653" s="13"/>
      <c r="H653" s="13"/>
      <c r="I653" s="242"/>
      <c r="J653" s="242"/>
      <c r="K653" s="242"/>
      <c r="L653" s="242"/>
      <c r="M653" s="242"/>
      <c r="N653" s="242"/>
      <c r="O653" s="242"/>
      <c r="P653" s="242"/>
      <c r="Q653" s="242"/>
      <c r="R653" s="242"/>
      <c r="S653" s="242"/>
      <c r="T653" s="242"/>
      <c r="U653" s="242"/>
      <c r="V653" s="242"/>
      <c r="W653" s="242"/>
      <c r="X653" s="242"/>
      <c r="Y653" s="242"/>
      <c r="Z653" s="242"/>
      <c r="AA653" s="242"/>
      <c r="AB653" s="242"/>
    </row>
    <row r="654">
      <c r="A654" s="242"/>
      <c r="B654" s="13"/>
      <c r="C654" s="242"/>
      <c r="D654" s="13"/>
      <c r="E654" s="13"/>
      <c r="F654" s="13"/>
      <c r="G654" s="13"/>
      <c r="H654" s="13"/>
      <c r="I654" s="242"/>
      <c r="J654" s="242"/>
      <c r="K654" s="242"/>
      <c r="L654" s="242"/>
      <c r="M654" s="242"/>
      <c r="N654" s="242"/>
      <c r="O654" s="242"/>
      <c r="P654" s="242"/>
      <c r="Q654" s="242"/>
      <c r="R654" s="242"/>
      <c r="S654" s="242"/>
      <c r="T654" s="242"/>
      <c r="U654" s="242"/>
      <c r="V654" s="242"/>
      <c r="W654" s="242"/>
      <c r="X654" s="242"/>
      <c r="Y654" s="242"/>
      <c r="Z654" s="242"/>
      <c r="AA654" s="242"/>
      <c r="AB654" s="242"/>
    </row>
    <row r="655">
      <c r="A655" s="242"/>
      <c r="B655" s="13"/>
      <c r="C655" s="242"/>
      <c r="D655" s="13"/>
      <c r="E655" s="13"/>
      <c r="F655" s="13"/>
      <c r="G655" s="13"/>
      <c r="H655" s="13"/>
      <c r="I655" s="242"/>
      <c r="J655" s="242"/>
      <c r="K655" s="242"/>
      <c r="L655" s="242"/>
      <c r="M655" s="242"/>
      <c r="N655" s="242"/>
      <c r="O655" s="242"/>
      <c r="P655" s="242"/>
      <c r="Q655" s="242"/>
      <c r="R655" s="242"/>
      <c r="S655" s="242"/>
      <c r="T655" s="242"/>
      <c r="U655" s="242"/>
      <c r="V655" s="242"/>
      <c r="W655" s="242"/>
      <c r="X655" s="242"/>
      <c r="Y655" s="242"/>
      <c r="Z655" s="242"/>
      <c r="AA655" s="242"/>
      <c r="AB655" s="242"/>
    </row>
    <row r="656">
      <c r="A656" s="242"/>
      <c r="B656" s="13"/>
      <c r="C656" s="242"/>
      <c r="D656" s="13"/>
      <c r="E656" s="13"/>
      <c r="F656" s="13"/>
      <c r="G656" s="13"/>
      <c r="H656" s="13"/>
      <c r="I656" s="242"/>
      <c r="J656" s="242"/>
      <c r="K656" s="242"/>
      <c r="L656" s="242"/>
      <c r="M656" s="242"/>
      <c r="N656" s="242"/>
      <c r="O656" s="242"/>
      <c r="P656" s="242"/>
      <c r="Q656" s="242"/>
      <c r="R656" s="242"/>
      <c r="S656" s="242"/>
      <c r="T656" s="242"/>
      <c r="U656" s="242"/>
      <c r="V656" s="242"/>
      <c r="W656" s="242"/>
      <c r="X656" s="242"/>
      <c r="Y656" s="242"/>
      <c r="Z656" s="242"/>
      <c r="AA656" s="242"/>
      <c r="AB656" s="242"/>
    </row>
    <row r="657">
      <c r="A657" s="242"/>
      <c r="B657" s="13"/>
      <c r="C657" s="242"/>
      <c r="D657" s="13"/>
      <c r="E657" s="13"/>
      <c r="F657" s="13"/>
      <c r="G657" s="13"/>
      <c r="H657" s="13"/>
      <c r="I657" s="242"/>
      <c r="J657" s="242"/>
      <c r="K657" s="242"/>
      <c r="L657" s="242"/>
      <c r="M657" s="242"/>
      <c r="N657" s="242"/>
      <c r="O657" s="242"/>
      <c r="P657" s="242"/>
      <c r="Q657" s="242"/>
      <c r="R657" s="242"/>
      <c r="S657" s="242"/>
      <c r="T657" s="242"/>
      <c r="U657" s="242"/>
      <c r="V657" s="242"/>
      <c r="W657" s="242"/>
      <c r="X657" s="242"/>
      <c r="Y657" s="242"/>
      <c r="Z657" s="242"/>
      <c r="AA657" s="242"/>
      <c r="AB657" s="242"/>
    </row>
    <row r="658">
      <c r="A658" s="242"/>
      <c r="B658" s="13"/>
      <c r="C658" s="242"/>
      <c r="D658" s="13"/>
      <c r="E658" s="13"/>
      <c r="F658" s="13"/>
      <c r="G658" s="13"/>
      <c r="H658" s="13"/>
      <c r="I658" s="242"/>
      <c r="J658" s="242"/>
      <c r="K658" s="242"/>
      <c r="L658" s="242"/>
      <c r="M658" s="242"/>
      <c r="N658" s="242"/>
      <c r="O658" s="242"/>
      <c r="P658" s="242"/>
      <c r="Q658" s="242"/>
      <c r="R658" s="242"/>
      <c r="S658" s="242"/>
      <c r="T658" s="242"/>
      <c r="U658" s="242"/>
      <c r="V658" s="242"/>
      <c r="W658" s="242"/>
      <c r="X658" s="242"/>
      <c r="Y658" s="242"/>
      <c r="Z658" s="242"/>
      <c r="AA658" s="242"/>
      <c r="AB658" s="242"/>
    </row>
    <row r="659">
      <c r="A659" s="242"/>
      <c r="B659" s="13"/>
      <c r="C659" s="242"/>
      <c r="D659" s="13"/>
      <c r="E659" s="13"/>
      <c r="F659" s="13"/>
      <c r="G659" s="13"/>
      <c r="H659" s="13"/>
      <c r="I659" s="242"/>
      <c r="J659" s="242"/>
      <c r="K659" s="242"/>
      <c r="L659" s="242"/>
      <c r="M659" s="242"/>
      <c r="N659" s="242"/>
      <c r="O659" s="242"/>
      <c r="P659" s="242"/>
      <c r="Q659" s="242"/>
      <c r="R659" s="242"/>
      <c r="S659" s="242"/>
      <c r="T659" s="242"/>
      <c r="U659" s="242"/>
      <c r="V659" s="242"/>
      <c r="W659" s="242"/>
      <c r="X659" s="242"/>
      <c r="Y659" s="242"/>
      <c r="Z659" s="242"/>
      <c r="AA659" s="242"/>
      <c r="AB659" s="242"/>
    </row>
    <row r="660">
      <c r="A660" s="242"/>
      <c r="B660" s="13"/>
      <c r="C660" s="242"/>
      <c r="D660" s="13"/>
      <c r="E660" s="13"/>
      <c r="F660" s="13"/>
      <c r="G660" s="13"/>
      <c r="H660" s="13"/>
      <c r="I660" s="242"/>
      <c r="J660" s="242"/>
      <c r="K660" s="242"/>
      <c r="L660" s="242"/>
      <c r="M660" s="242"/>
      <c r="N660" s="242"/>
      <c r="O660" s="242"/>
      <c r="P660" s="242"/>
      <c r="Q660" s="242"/>
      <c r="R660" s="242"/>
      <c r="S660" s="242"/>
      <c r="T660" s="242"/>
      <c r="U660" s="242"/>
      <c r="V660" s="242"/>
      <c r="W660" s="242"/>
      <c r="X660" s="242"/>
      <c r="Y660" s="242"/>
      <c r="Z660" s="242"/>
      <c r="AA660" s="242"/>
      <c r="AB660" s="242"/>
    </row>
    <row r="661">
      <c r="A661" s="242"/>
      <c r="B661" s="13"/>
      <c r="C661" s="242"/>
      <c r="D661" s="13"/>
      <c r="E661" s="13"/>
      <c r="F661" s="13"/>
      <c r="G661" s="13"/>
      <c r="H661" s="13"/>
      <c r="I661" s="242"/>
      <c r="J661" s="242"/>
      <c r="K661" s="242"/>
      <c r="L661" s="242"/>
      <c r="M661" s="242"/>
      <c r="N661" s="242"/>
      <c r="O661" s="242"/>
      <c r="P661" s="242"/>
      <c r="Q661" s="242"/>
      <c r="R661" s="242"/>
      <c r="S661" s="242"/>
      <c r="T661" s="242"/>
      <c r="U661" s="242"/>
      <c r="V661" s="242"/>
      <c r="W661" s="242"/>
      <c r="X661" s="242"/>
      <c r="Y661" s="242"/>
      <c r="Z661" s="242"/>
      <c r="AA661" s="242"/>
      <c r="AB661" s="242"/>
    </row>
    <row r="662">
      <c r="A662" s="242"/>
      <c r="B662" s="13"/>
      <c r="C662" s="242"/>
      <c r="D662" s="13"/>
      <c r="E662" s="13"/>
      <c r="F662" s="13"/>
      <c r="G662" s="13"/>
      <c r="H662" s="13"/>
      <c r="I662" s="242"/>
      <c r="J662" s="242"/>
      <c r="K662" s="242"/>
      <c r="L662" s="242"/>
      <c r="M662" s="242"/>
      <c r="N662" s="242"/>
      <c r="O662" s="242"/>
      <c r="P662" s="242"/>
      <c r="Q662" s="242"/>
      <c r="R662" s="242"/>
      <c r="S662" s="242"/>
      <c r="T662" s="242"/>
      <c r="U662" s="242"/>
      <c r="V662" s="242"/>
      <c r="W662" s="242"/>
      <c r="X662" s="242"/>
      <c r="Y662" s="242"/>
      <c r="Z662" s="242"/>
      <c r="AA662" s="242"/>
      <c r="AB662" s="242"/>
    </row>
    <row r="663">
      <c r="A663" s="242"/>
      <c r="B663" s="13"/>
      <c r="C663" s="242"/>
      <c r="D663" s="13"/>
      <c r="E663" s="13"/>
      <c r="F663" s="13"/>
      <c r="G663" s="13"/>
      <c r="H663" s="13"/>
      <c r="I663" s="242"/>
      <c r="J663" s="242"/>
      <c r="K663" s="242"/>
      <c r="L663" s="242"/>
      <c r="M663" s="242"/>
      <c r="N663" s="242"/>
      <c r="O663" s="242"/>
      <c r="P663" s="242"/>
      <c r="Q663" s="242"/>
      <c r="R663" s="242"/>
      <c r="S663" s="242"/>
      <c r="T663" s="242"/>
      <c r="U663" s="242"/>
      <c r="V663" s="242"/>
      <c r="W663" s="242"/>
      <c r="X663" s="242"/>
      <c r="Y663" s="242"/>
      <c r="Z663" s="242"/>
      <c r="AA663" s="242"/>
      <c r="AB663" s="242"/>
    </row>
    <row r="664">
      <c r="A664" s="242"/>
      <c r="B664" s="13"/>
      <c r="C664" s="242"/>
      <c r="D664" s="13"/>
      <c r="E664" s="13"/>
      <c r="F664" s="13"/>
      <c r="G664" s="13"/>
      <c r="H664" s="13"/>
      <c r="I664" s="242"/>
      <c r="J664" s="242"/>
      <c r="K664" s="242"/>
      <c r="L664" s="242"/>
      <c r="M664" s="242"/>
      <c r="N664" s="242"/>
      <c r="O664" s="242"/>
      <c r="P664" s="242"/>
      <c r="Q664" s="242"/>
      <c r="R664" s="242"/>
      <c r="S664" s="242"/>
      <c r="T664" s="242"/>
      <c r="U664" s="242"/>
      <c r="V664" s="242"/>
      <c r="W664" s="242"/>
      <c r="X664" s="242"/>
      <c r="Y664" s="242"/>
      <c r="Z664" s="242"/>
      <c r="AA664" s="242"/>
      <c r="AB664" s="242"/>
    </row>
    <row r="665">
      <c r="A665" s="242"/>
      <c r="B665" s="13"/>
      <c r="C665" s="242"/>
      <c r="D665" s="13"/>
      <c r="E665" s="13"/>
      <c r="F665" s="13"/>
      <c r="G665" s="13"/>
      <c r="H665" s="13"/>
      <c r="I665" s="242"/>
      <c r="J665" s="242"/>
      <c r="K665" s="242"/>
      <c r="L665" s="242"/>
      <c r="M665" s="242"/>
      <c r="N665" s="242"/>
      <c r="O665" s="242"/>
      <c r="P665" s="242"/>
      <c r="Q665" s="242"/>
      <c r="R665" s="242"/>
      <c r="S665" s="242"/>
      <c r="T665" s="242"/>
      <c r="U665" s="242"/>
      <c r="V665" s="242"/>
      <c r="W665" s="242"/>
      <c r="X665" s="242"/>
      <c r="Y665" s="242"/>
      <c r="Z665" s="242"/>
      <c r="AA665" s="242"/>
      <c r="AB665" s="242"/>
    </row>
    <row r="666">
      <c r="A666" s="242"/>
      <c r="B666" s="13"/>
      <c r="C666" s="242"/>
      <c r="D666" s="13"/>
      <c r="E666" s="13"/>
      <c r="F666" s="13"/>
      <c r="G666" s="13"/>
      <c r="H666" s="13"/>
      <c r="I666" s="242"/>
      <c r="J666" s="242"/>
      <c r="K666" s="242"/>
      <c r="L666" s="242"/>
      <c r="M666" s="242"/>
      <c r="N666" s="242"/>
      <c r="O666" s="242"/>
      <c r="P666" s="242"/>
      <c r="Q666" s="242"/>
      <c r="R666" s="242"/>
      <c r="S666" s="242"/>
      <c r="T666" s="242"/>
      <c r="U666" s="242"/>
      <c r="V666" s="242"/>
      <c r="W666" s="242"/>
      <c r="X666" s="242"/>
      <c r="Y666" s="242"/>
      <c r="Z666" s="242"/>
      <c r="AA666" s="242"/>
      <c r="AB666" s="242"/>
    </row>
    <row r="667">
      <c r="A667" s="242"/>
      <c r="B667" s="13"/>
      <c r="C667" s="242"/>
      <c r="D667" s="13"/>
      <c r="E667" s="13"/>
      <c r="F667" s="13"/>
      <c r="G667" s="13"/>
      <c r="H667" s="13"/>
      <c r="I667" s="242"/>
      <c r="J667" s="242"/>
      <c r="K667" s="242"/>
      <c r="L667" s="242"/>
      <c r="M667" s="242"/>
      <c r="N667" s="242"/>
      <c r="O667" s="242"/>
      <c r="P667" s="242"/>
      <c r="Q667" s="242"/>
      <c r="R667" s="242"/>
      <c r="S667" s="242"/>
      <c r="T667" s="242"/>
      <c r="U667" s="242"/>
      <c r="V667" s="242"/>
      <c r="W667" s="242"/>
      <c r="X667" s="242"/>
      <c r="Y667" s="242"/>
      <c r="Z667" s="242"/>
      <c r="AA667" s="242"/>
      <c r="AB667" s="242"/>
    </row>
    <row r="668">
      <c r="A668" s="242"/>
      <c r="B668" s="13"/>
      <c r="C668" s="242"/>
      <c r="D668" s="13"/>
      <c r="E668" s="13"/>
      <c r="F668" s="13"/>
      <c r="G668" s="13"/>
      <c r="H668" s="13"/>
      <c r="I668" s="242"/>
      <c r="J668" s="242"/>
      <c r="K668" s="242"/>
      <c r="L668" s="242"/>
      <c r="M668" s="242"/>
      <c r="N668" s="242"/>
      <c r="O668" s="242"/>
      <c r="P668" s="242"/>
      <c r="Q668" s="242"/>
      <c r="R668" s="242"/>
      <c r="S668" s="242"/>
      <c r="T668" s="242"/>
      <c r="U668" s="242"/>
      <c r="V668" s="242"/>
      <c r="W668" s="242"/>
      <c r="X668" s="242"/>
      <c r="Y668" s="242"/>
      <c r="Z668" s="242"/>
      <c r="AA668" s="242"/>
      <c r="AB668" s="242"/>
    </row>
    <row r="669">
      <c r="A669" s="242"/>
      <c r="B669" s="13"/>
      <c r="C669" s="242"/>
      <c r="D669" s="13"/>
      <c r="E669" s="13"/>
      <c r="F669" s="13"/>
      <c r="G669" s="13"/>
      <c r="H669" s="13"/>
      <c r="I669" s="242"/>
      <c r="J669" s="242"/>
      <c r="K669" s="242"/>
      <c r="L669" s="242"/>
      <c r="M669" s="242"/>
      <c r="N669" s="242"/>
      <c r="O669" s="242"/>
      <c r="P669" s="242"/>
      <c r="Q669" s="242"/>
      <c r="R669" s="242"/>
      <c r="S669" s="242"/>
      <c r="T669" s="242"/>
      <c r="U669" s="242"/>
      <c r="V669" s="242"/>
      <c r="W669" s="242"/>
      <c r="X669" s="242"/>
      <c r="Y669" s="242"/>
      <c r="Z669" s="242"/>
      <c r="AA669" s="242"/>
      <c r="AB669" s="242"/>
    </row>
    <row r="670">
      <c r="A670" s="242"/>
      <c r="B670" s="13"/>
      <c r="C670" s="242"/>
      <c r="D670" s="13"/>
      <c r="E670" s="13"/>
      <c r="F670" s="13"/>
      <c r="G670" s="13"/>
      <c r="H670" s="13"/>
      <c r="I670" s="242"/>
      <c r="J670" s="242"/>
      <c r="K670" s="242"/>
      <c r="L670" s="242"/>
      <c r="M670" s="242"/>
      <c r="N670" s="242"/>
      <c r="O670" s="242"/>
      <c r="P670" s="242"/>
      <c r="Q670" s="242"/>
      <c r="R670" s="242"/>
      <c r="S670" s="242"/>
      <c r="T670" s="242"/>
      <c r="U670" s="242"/>
      <c r="V670" s="242"/>
      <c r="W670" s="242"/>
      <c r="X670" s="242"/>
      <c r="Y670" s="242"/>
      <c r="Z670" s="242"/>
      <c r="AA670" s="242"/>
      <c r="AB670" s="242"/>
    </row>
    <row r="671">
      <c r="A671" s="242"/>
      <c r="B671" s="13"/>
      <c r="C671" s="242"/>
      <c r="D671" s="13"/>
      <c r="E671" s="13"/>
      <c r="F671" s="13"/>
      <c r="G671" s="13"/>
      <c r="H671" s="13"/>
      <c r="I671" s="242"/>
      <c r="J671" s="242"/>
      <c r="K671" s="242"/>
      <c r="L671" s="242"/>
      <c r="M671" s="242"/>
      <c r="N671" s="242"/>
      <c r="O671" s="242"/>
      <c r="P671" s="242"/>
      <c r="Q671" s="242"/>
      <c r="R671" s="242"/>
      <c r="S671" s="242"/>
      <c r="T671" s="242"/>
      <c r="U671" s="242"/>
      <c r="V671" s="242"/>
      <c r="W671" s="242"/>
      <c r="X671" s="242"/>
      <c r="Y671" s="242"/>
      <c r="Z671" s="242"/>
      <c r="AA671" s="242"/>
      <c r="AB671" s="242"/>
    </row>
    <row r="672">
      <c r="A672" s="242"/>
      <c r="B672" s="13"/>
      <c r="C672" s="242"/>
      <c r="D672" s="13"/>
      <c r="E672" s="13"/>
      <c r="F672" s="13"/>
      <c r="G672" s="13"/>
      <c r="H672" s="13"/>
      <c r="I672" s="242"/>
      <c r="J672" s="242"/>
      <c r="K672" s="242"/>
      <c r="L672" s="242"/>
      <c r="M672" s="242"/>
      <c r="N672" s="242"/>
      <c r="O672" s="242"/>
      <c r="P672" s="242"/>
      <c r="Q672" s="242"/>
      <c r="R672" s="242"/>
      <c r="S672" s="242"/>
      <c r="T672" s="242"/>
      <c r="U672" s="242"/>
      <c r="V672" s="242"/>
      <c r="W672" s="242"/>
      <c r="X672" s="242"/>
      <c r="Y672" s="242"/>
      <c r="Z672" s="242"/>
      <c r="AA672" s="242"/>
      <c r="AB672" s="242"/>
    </row>
    <row r="673">
      <c r="A673" s="242"/>
      <c r="B673" s="13"/>
      <c r="C673" s="242"/>
      <c r="D673" s="13"/>
      <c r="E673" s="13"/>
      <c r="F673" s="13"/>
      <c r="G673" s="13"/>
      <c r="H673" s="13"/>
      <c r="I673" s="242"/>
      <c r="J673" s="242"/>
      <c r="K673" s="242"/>
      <c r="L673" s="242"/>
      <c r="M673" s="242"/>
      <c r="N673" s="242"/>
      <c r="O673" s="242"/>
      <c r="P673" s="242"/>
      <c r="Q673" s="242"/>
      <c r="R673" s="242"/>
      <c r="S673" s="242"/>
      <c r="T673" s="242"/>
      <c r="U673" s="242"/>
      <c r="V673" s="242"/>
      <c r="W673" s="242"/>
      <c r="X673" s="242"/>
      <c r="Y673" s="242"/>
      <c r="Z673" s="242"/>
      <c r="AA673" s="242"/>
      <c r="AB673" s="242"/>
    </row>
    <row r="674">
      <c r="A674" s="242"/>
      <c r="B674" s="13"/>
      <c r="C674" s="242"/>
      <c r="D674" s="13"/>
      <c r="E674" s="13"/>
      <c r="F674" s="13"/>
      <c r="G674" s="13"/>
      <c r="H674" s="13"/>
      <c r="I674" s="242"/>
      <c r="J674" s="242"/>
      <c r="K674" s="242"/>
      <c r="L674" s="242"/>
      <c r="M674" s="242"/>
      <c r="N674" s="242"/>
      <c r="O674" s="242"/>
      <c r="P674" s="242"/>
      <c r="Q674" s="242"/>
      <c r="R674" s="242"/>
      <c r="S674" s="242"/>
      <c r="T674" s="242"/>
      <c r="U674" s="242"/>
      <c r="V674" s="242"/>
      <c r="W674" s="242"/>
      <c r="X674" s="242"/>
      <c r="Y674" s="242"/>
      <c r="Z674" s="242"/>
      <c r="AA674" s="242"/>
      <c r="AB674" s="242"/>
    </row>
    <row r="675">
      <c r="A675" s="242"/>
      <c r="B675" s="13"/>
      <c r="C675" s="242"/>
      <c r="D675" s="13"/>
      <c r="E675" s="13"/>
      <c r="F675" s="13"/>
      <c r="G675" s="13"/>
      <c r="H675" s="13"/>
      <c r="I675" s="242"/>
      <c r="J675" s="242"/>
      <c r="K675" s="242"/>
      <c r="L675" s="242"/>
      <c r="M675" s="242"/>
      <c r="N675" s="242"/>
      <c r="O675" s="242"/>
      <c r="P675" s="242"/>
      <c r="Q675" s="242"/>
      <c r="R675" s="242"/>
      <c r="S675" s="242"/>
      <c r="T675" s="242"/>
      <c r="U675" s="242"/>
      <c r="V675" s="242"/>
      <c r="W675" s="242"/>
      <c r="X675" s="242"/>
      <c r="Y675" s="242"/>
      <c r="Z675" s="242"/>
      <c r="AA675" s="242"/>
      <c r="AB675" s="242"/>
    </row>
    <row r="676">
      <c r="A676" s="242"/>
      <c r="B676" s="13"/>
      <c r="C676" s="242"/>
      <c r="D676" s="13"/>
      <c r="E676" s="13"/>
      <c r="F676" s="13"/>
      <c r="G676" s="13"/>
      <c r="H676" s="13"/>
      <c r="I676" s="242"/>
      <c r="J676" s="242"/>
      <c r="K676" s="242"/>
      <c r="L676" s="242"/>
      <c r="M676" s="242"/>
      <c r="N676" s="242"/>
      <c r="O676" s="242"/>
      <c r="P676" s="242"/>
      <c r="Q676" s="242"/>
      <c r="R676" s="242"/>
      <c r="S676" s="242"/>
      <c r="T676" s="242"/>
      <c r="U676" s="242"/>
      <c r="V676" s="242"/>
      <c r="W676" s="242"/>
      <c r="X676" s="242"/>
      <c r="Y676" s="242"/>
      <c r="Z676" s="242"/>
      <c r="AA676" s="242"/>
      <c r="AB676" s="242"/>
    </row>
    <row r="677">
      <c r="A677" s="242"/>
      <c r="B677" s="13"/>
      <c r="C677" s="242"/>
      <c r="D677" s="13"/>
      <c r="E677" s="13"/>
      <c r="F677" s="13"/>
      <c r="G677" s="13"/>
      <c r="H677" s="13"/>
      <c r="I677" s="242"/>
      <c r="J677" s="242"/>
      <c r="K677" s="242"/>
      <c r="L677" s="242"/>
      <c r="M677" s="242"/>
      <c r="N677" s="242"/>
      <c r="O677" s="242"/>
      <c r="P677" s="242"/>
      <c r="Q677" s="242"/>
      <c r="R677" s="242"/>
      <c r="S677" s="242"/>
      <c r="T677" s="242"/>
      <c r="U677" s="242"/>
      <c r="V677" s="242"/>
      <c r="W677" s="242"/>
      <c r="X677" s="242"/>
      <c r="Y677" s="242"/>
      <c r="Z677" s="242"/>
      <c r="AA677" s="242"/>
      <c r="AB677" s="242"/>
    </row>
    <row r="678">
      <c r="A678" s="242"/>
      <c r="B678" s="13"/>
      <c r="C678" s="242"/>
      <c r="D678" s="13"/>
      <c r="E678" s="13"/>
      <c r="F678" s="13"/>
      <c r="G678" s="13"/>
      <c r="H678" s="13"/>
      <c r="I678" s="242"/>
      <c r="J678" s="242"/>
      <c r="K678" s="242"/>
      <c r="L678" s="242"/>
      <c r="M678" s="242"/>
      <c r="N678" s="242"/>
      <c r="O678" s="242"/>
      <c r="P678" s="242"/>
      <c r="Q678" s="242"/>
      <c r="R678" s="242"/>
      <c r="S678" s="242"/>
      <c r="T678" s="242"/>
      <c r="U678" s="242"/>
      <c r="V678" s="242"/>
      <c r="W678" s="242"/>
      <c r="X678" s="242"/>
      <c r="Y678" s="242"/>
      <c r="Z678" s="242"/>
      <c r="AA678" s="242"/>
      <c r="AB678" s="242"/>
    </row>
    <row r="679">
      <c r="A679" s="242"/>
      <c r="B679" s="13"/>
      <c r="C679" s="242"/>
      <c r="D679" s="13"/>
      <c r="E679" s="13"/>
      <c r="F679" s="13"/>
      <c r="G679" s="13"/>
      <c r="H679" s="13"/>
      <c r="I679" s="242"/>
      <c r="J679" s="242"/>
      <c r="K679" s="242"/>
      <c r="L679" s="242"/>
      <c r="M679" s="242"/>
      <c r="N679" s="242"/>
      <c r="O679" s="242"/>
      <c r="P679" s="242"/>
      <c r="Q679" s="242"/>
      <c r="R679" s="242"/>
      <c r="S679" s="242"/>
      <c r="T679" s="242"/>
      <c r="U679" s="242"/>
      <c r="V679" s="242"/>
      <c r="W679" s="242"/>
      <c r="X679" s="242"/>
      <c r="Y679" s="242"/>
      <c r="Z679" s="242"/>
      <c r="AA679" s="242"/>
      <c r="AB679" s="242"/>
    </row>
    <row r="680">
      <c r="A680" s="242"/>
      <c r="B680" s="13"/>
      <c r="C680" s="242"/>
      <c r="D680" s="13"/>
      <c r="E680" s="13"/>
      <c r="F680" s="13"/>
      <c r="G680" s="13"/>
      <c r="H680" s="13"/>
      <c r="I680" s="242"/>
      <c r="J680" s="242"/>
      <c r="K680" s="242"/>
      <c r="L680" s="242"/>
      <c r="M680" s="242"/>
      <c r="N680" s="242"/>
      <c r="O680" s="242"/>
      <c r="P680" s="242"/>
      <c r="Q680" s="242"/>
      <c r="R680" s="242"/>
      <c r="S680" s="242"/>
      <c r="T680" s="242"/>
      <c r="U680" s="242"/>
      <c r="V680" s="242"/>
      <c r="W680" s="242"/>
      <c r="X680" s="242"/>
      <c r="Y680" s="242"/>
      <c r="Z680" s="242"/>
      <c r="AA680" s="242"/>
      <c r="AB680" s="242"/>
    </row>
    <row r="681">
      <c r="A681" s="242"/>
      <c r="B681" s="13"/>
      <c r="C681" s="242"/>
      <c r="D681" s="13"/>
      <c r="E681" s="13"/>
      <c r="F681" s="13"/>
      <c r="G681" s="13"/>
      <c r="H681" s="13"/>
      <c r="I681" s="242"/>
      <c r="J681" s="242"/>
      <c r="K681" s="242"/>
      <c r="L681" s="242"/>
      <c r="M681" s="242"/>
      <c r="N681" s="242"/>
      <c r="O681" s="242"/>
      <c r="P681" s="242"/>
      <c r="Q681" s="242"/>
      <c r="R681" s="242"/>
      <c r="S681" s="242"/>
      <c r="T681" s="242"/>
      <c r="U681" s="242"/>
      <c r="V681" s="242"/>
      <c r="W681" s="242"/>
      <c r="X681" s="242"/>
      <c r="Y681" s="242"/>
      <c r="Z681" s="242"/>
      <c r="AA681" s="242"/>
      <c r="AB681" s="242"/>
    </row>
    <row r="682">
      <c r="A682" s="242"/>
      <c r="B682" s="13"/>
      <c r="C682" s="242"/>
      <c r="D682" s="13"/>
      <c r="E682" s="13"/>
      <c r="F682" s="13"/>
      <c r="G682" s="13"/>
      <c r="H682" s="13"/>
      <c r="I682" s="242"/>
      <c r="J682" s="242"/>
      <c r="K682" s="242"/>
      <c r="L682" s="242"/>
      <c r="M682" s="242"/>
      <c r="N682" s="242"/>
      <c r="O682" s="242"/>
      <c r="P682" s="242"/>
      <c r="Q682" s="242"/>
      <c r="R682" s="242"/>
      <c r="S682" s="242"/>
      <c r="T682" s="242"/>
      <c r="U682" s="242"/>
      <c r="V682" s="242"/>
      <c r="W682" s="242"/>
      <c r="X682" s="242"/>
      <c r="Y682" s="242"/>
      <c r="Z682" s="242"/>
      <c r="AA682" s="242"/>
      <c r="AB682" s="242"/>
    </row>
    <row r="683">
      <c r="A683" s="242"/>
      <c r="B683" s="13"/>
      <c r="C683" s="242"/>
      <c r="D683" s="13"/>
      <c r="E683" s="13"/>
      <c r="F683" s="13"/>
      <c r="G683" s="13"/>
      <c r="H683" s="13"/>
      <c r="I683" s="242"/>
      <c r="J683" s="242"/>
      <c r="K683" s="242"/>
      <c r="L683" s="242"/>
      <c r="M683" s="242"/>
      <c r="N683" s="242"/>
      <c r="O683" s="242"/>
      <c r="P683" s="242"/>
      <c r="Q683" s="242"/>
      <c r="R683" s="242"/>
      <c r="S683" s="242"/>
      <c r="T683" s="242"/>
      <c r="U683" s="242"/>
      <c r="V683" s="242"/>
      <c r="W683" s="242"/>
      <c r="X683" s="242"/>
      <c r="Y683" s="242"/>
      <c r="Z683" s="242"/>
      <c r="AA683" s="242"/>
      <c r="AB683" s="242"/>
    </row>
    <row r="684">
      <c r="A684" s="242"/>
      <c r="B684" s="13"/>
      <c r="C684" s="242"/>
      <c r="D684" s="13"/>
      <c r="E684" s="13"/>
      <c r="F684" s="13"/>
      <c r="G684" s="13"/>
      <c r="H684" s="13"/>
      <c r="I684" s="242"/>
      <c r="J684" s="242"/>
      <c r="K684" s="242"/>
      <c r="L684" s="242"/>
      <c r="M684" s="242"/>
      <c r="N684" s="242"/>
      <c r="O684" s="242"/>
      <c r="P684" s="242"/>
      <c r="Q684" s="242"/>
      <c r="R684" s="242"/>
      <c r="S684" s="242"/>
      <c r="T684" s="242"/>
      <c r="U684" s="242"/>
      <c r="V684" s="242"/>
      <c r="W684" s="242"/>
      <c r="X684" s="242"/>
      <c r="Y684" s="242"/>
      <c r="Z684" s="242"/>
      <c r="AA684" s="242"/>
      <c r="AB684" s="242"/>
    </row>
    <row r="685">
      <c r="A685" s="242"/>
      <c r="B685" s="13"/>
      <c r="C685" s="242"/>
      <c r="D685" s="13"/>
      <c r="E685" s="13"/>
      <c r="F685" s="13"/>
      <c r="G685" s="13"/>
      <c r="H685" s="13"/>
      <c r="I685" s="242"/>
      <c r="J685" s="242"/>
      <c r="K685" s="242"/>
      <c r="L685" s="242"/>
      <c r="M685" s="242"/>
      <c r="N685" s="242"/>
      <c r="O685" s="242"/>
      <c r="P685" s="242"/>
      <c r="Q685" s="242"/>
      <c r="R685" s="242"/>
      <c r="S685" s="242"/>
      <c r="T685" s="242"/>
      <c r="U685" s="242"/>
      <c r="V685" s="242"/>
      <c r="W685" s="242"/>
      <c r="X685" s="242"/>
      <c r="Y685" s="242"/>
      <c r="Z685" s="242"/>
      <c r="AA685" s="242"/>
      <c r="AB685" s="242"/>
    </row>
    <row r="686">
      <c r="A686" s="242"/>
      <c r="B686" s="13"/>
      <c r="C686" s="242"/>
      <c r="D686" s="13"/>
      <c r="E686" s="13"/>
      <c r="F686" s="13"/>
      <c r="G686" s="13"/>
      <c r="H686" s="13"/>
      <c r="I686" s="242"/>
      <c r="J686" s="242"/>
      <c r="K686" s="242"/>
      <c r="L686" s="242"/>
      <c r="M686" s="242"/>
      <c r="N686" s="242"/>
      <c r="O686" s="242"/>
      <c r="P686" s="242"/>
      <c r="Q686" s="242"/>
      <c r="R686" s="242"/>
      <c r="S686" s="242"/>
      <c r="T686" s="242"/>
      <c r="U686" s="242"/>
      <c r="V686" s="242"/>
      <c r="W686" s="242"/>
      <c r="X686" s="242"/>
      <c r="Y686" s="242"/>
      <c r="Z686" s="242"/>
      <c r="AA686" s="242"/>
      <c r="AB686" s="242"/>
    </row>
    <row r="687">
      <c r="A687" s="242"/>
      <c r="B687" s="13"/>
      <c r="C687" s="242"/>
      <c r="D687" s="13"/>
      <c r="E687" s="13"/>
      <c r="F687" s="13"/>
      <c r="G687" s="13"/>
      <c r="H687" s="13"/>
      <c r="I687" s="242"/>
      <c r="J687" s="242"/>
      <c r="K687" s="242"/>
      <c r="L687" s="242"/>
      <c r="M687" s="242"/>
      <c r="N687" s="242"/>
      <c r="O687" s="242"/>
      <c r="P687" s="242"/>
      <c r="Q687" s="242"/>
      <c r="R687" s="242"/>
      <c r="S687" s="242"/>
      <c r="T687" s="242"/>
      <c r="U687" s="242"/>
      <c r="V687" s="242"/>
      <c r="W687" s="242"/>
      <c r="X687" s="242"/>
      <c r="Y687" s="242"/>
      <c r="Z687" s="242"/>
      <c r="AA687" s="242"/>
      <c r="AB687" s="242"/>
    </row>
    <row r="688">
      <c r="A688" s="242"/>
      <c r="B688" s="13"/>
      <c r="C688" s="242"/>
      <c r="D688" s="13"/>
      <c r="E688" s="13"/>
      <c r="F688" s="13"/>
      <c r="G688" s="13"/>
      <c r="H688" s="13"/>
      <c r="I688" s="242"/>
      <c r="J688" s="242"/>
      <c r="K688" s="242"/>
      <c r="L688" s="242"/>
      <c r="M688" s="242"/>
      <c r="N688" s="242"/>
      <c r="O688" s="242"/>
      <c r="P688" s="242"/>
      <c r="Q688" s="242"/>
      <c r="R688" s="242"/>
      <c r="S688" s="242"/>
      <c r="T688" s="242"/>
      <c r="U688" s="242"/>
      <c r="V688" s="242"/>
      <c r="W688" s="242"/>
      <c r="X688" s="242"/>
      <c r="Y688" s="242"/>
      <c r="Z688" s="242"/>
      <c r="AA688" s="242"/>
      <c r="AB688" s="242"/>
    </row>
    <row r="689">
      <c r="A689" s="242"/>
      <c r="B689" s="13"/>
      <c r="C689" s="242"/>
      <c r="D689" s="13"/>
      <c r="E689" s="13"/>
      <c r="F689" s="13"/>
      <c r="G689" s="13"/>
      <c r="H689" s="13"/>
      <c r="I689" s="242"/>
      <c r="J689" s="242"/>
      <c r="K689" s="242"/>
      <c r="L689" s="242"/>
      <c r="M689" s="242"/>
      <c r="N689" s="242"/>
      <c r="O689" s="242"/>
      <c r="P689" s="242"/>
      <c r="Q689" s="242"/>
      <c r="R689" s="242"/>
      <c r="S689" s="242"/>
      <c r="T689" s="242"/>
      <c r="U689" s="242"/>
      <c r="V689" s="242"/>
      <c r="W689" s="242"/>
      <c r="X689" s="242"/>
      <c r="Y689" s="242"/>
      <c r="Z689" s="242"/>
      <c r="AA689" s="242"/>
      <c r="AB689" s="242"/>
    </row>
    <row r="690">
      <c r="A690" s="242"/>
      <c r="B690" s="13"/>
      <c r="C690" s="242"/>
      <c r="D690" s="13"/>
      <c r="E690" s="13"/>
      <c r="F690" s="13"/>
      <c r="G690" s="13"/>
      <c r="H690" s="13"/>
      <c r="I690" s="242"/>
      <c r="J690" s="242"/>
      <c r="K690" s="242"/>
      <c r="L690" s="242"/>
      <c r="M690" s="242"/>
      <c r="N690" s="242"/>
      <c r="O690" s="242"/>
      <c r="P690" s="242"/>
      <c r="Q690" s="242"/>
      <c r="R690" s="242"/>
      <c r="S690" s="242"/>
      <c r="T690" s="242"/>
      <c r="U690" s="242"/>
      <c r="V690" s="242"/>
      <c r="W690" s="242"/>
      <c r="X690" s="242"/>
      <c r="Y690" s="242"/>
      <c r="Z690" s="242"/>
      <c r="AA690" s="242"/>
      <c r="AB690" s="242"/>
    </row>
    <row r="691">
      <c r="A691" s="242"/>
      <c r="B691" s="13"/>
      <c r="C691" s="242"/>
      <c r="D691" s="13"/>
      <c r="E691" s="13"/>
      <c r="F691" s="13"/>
      <c r="G691" s="13"/>
      <c r="H691" s="13"/>
      <c r="I691" s="242"/>
      <c r="J691" s="242"/>
      <c r="K691" s="242"/>
      <c r="L691" s="242"/>
      <c r="M691" s="242"/>
      <c r="N691" s="242"/>
      <c r="O691" s="242"/>
      <c r="P691" s="242"/>
      <c r="Q691" s="242"/>
      <c r="R691" s="242"/>
      <c r="S691" s="242"/>
      <c r="T691" s="242"/>
      <c r="U691" s="242"/>
      <c r="V691" s="242"/>
      <c r="W691" s="242"/>
      <c r="X691" s="242"/>
      <c r="Y691" s="242"/>
      <c r="Z691" s="242"/>
      <c r="AA691" s="242"/>
      <c r="AB691" s="242"/>
    </row>
    <row r="692">
      <c r="A692" s="242"/>
      <c r="B692" s="13"/>
      <c r="C692" s="242"/>
      <c r="D692" s="13"/>
      <c r="E692" s="13"/>
      <c r="F692" s="13"/>
      <c r="G692" s="13"/>
      <c r="H692" s="13"/>
      <c r="I692" s="242"/>
      <c r="J692" s="242"/>
      <c r="K692" s="242"/>
      <c r="L692" s="242"/>
      <c r="M692" s="242"/>
      <c r="N692" s="242"/>
      <c r="O692" s="242"/>
      <c r="P692" s="242"/>
      <c r="Q692" s="242"/>
      <c r="R692" s="242"/>
      <c r="S692" s="242"/>
      <c r="T692" s="242"/>
      <c r="U692" s="242"/>
      <c r="V692" s="242"/>
      <c r="W692" s="242"/>
      <c r="X692" s="242"/>
      <c r="Y692" s="242"/>
      <c r="Z692" s="242"/>
      <c r="AA692" s="242"/>
      <c r="AB692" s="242"/>
    </row>
    <row r="693">
      <c r="A693" s="242"/>
      <c r="B693" s="13"/>
      <c r="C693" s="242"/>
      <c r="D693" s="13"/>
      <c r="E693" s="13"/>
      <c r="F693" s="13"/>
      <c r="G693" s="13"/>
      <c r="H693" s="13"/>
      <c r="I693" s="242"/>
      <c r="J693" s="242"/>
      <c r="K693" s="242"/>
      <c r="L693" s="242"/>
      <c r="M693" s="242"/>
      <c r="N693" s="242"/>
      <c r="O693" s="242"/>
      <c r="P693" s="242"/>
      <c r="Q693" s="242"/>
      <c r="R693" s="242"/>
      <c r="S693" s="242"/>
      <c r="T693" s="242"/>
      <c r="U693" s="242"/>
      <c r="V693" s="242"/>
      <c r="W693" s="242"/>
      <c r="X693" s="242"/>
      <c r="Y693" s="242"/>
      <c r="Z693" s="242"/>
      <c r="AA693" s="242"/>
      <c r="AB693" s="242"/>
    </row>
    <row r="694">
      <c r="A694" s="242"/>
      <c r="B694" s="13"/>
      <c r="C694" s="242"/>
      <c r="D694" s="13"/>
      <c r="E694" s="13"/>
      <c r="F694" s="13"/>
      <c r="G694" s="13"/>
      <c r="H694" s="13"/>
      <c r="I694" s="242"/>
      <c r="J694" s="242"/>
      <c r="K694" s="242"/>
      <c r="L694" s="242"/>
      <c r="M694" s="242"/>
      <c r="N694" s="242"/>
      <c r="O694" s="242"/>
      <c r="P694" s="242"/>
      <c r="Q694" s="242"/>
      <c r="R694" s="242"/>
      <c r="S694" s="242"/>
      <c r="T694" s="242"/>
      <c r="U694" s="242"/>
      <c r="V694" s="242"/>
      <c r="W694" s="242"/>
      <c r="X694" s="242"/>
      <c r="Y694" s="242"/>
      <c r="Z694" s="242"/>
      <c r="AA694" s="242"/>
      <c r="AB694" s="242"/>
    </row>
    <row r="695">
      <c r="A695" s="242"/>
      <c r="B695" s="13"/>
      <c r="C695" s="242"/>
      <c r="D695" s="13"/>
      <c r="E695" s="13"/>
      <c r="F695" s="13"/>
      <c r="G695" s="13"/>
      <c r="H695" s="13"/>
      <c r="I695" s="242"/>
      <c r="J695" s="242"/>
      <c r="K695" s="242"/>
      <c r="L695" s="242"/>
      <c r="M695" s="242"/>
      <c r="N695" s="242"/>
      <c r="O695" s="242"/>
      <c r="P695" s="242"/>
      <c r="Q695" s="242"/>
      <c r="R695" s="242"/>
      <c r="S695" s="242"/>
      <c r="T695" s="242"/>
      <c r="U695" s="242"/>
      <c r="V695" s="242"/>
      <c r="W695" s="242"/>
      <c r="X695" s="242"/>
      <c r="Y695" s="242"/>
      <c r="Z695" s="242"/>
      <c r="AA695" s="242"/>
      <c r="AB695" s="242"/>
    </row>
    <row r="696">
      <c r="A696" s="242"/>
      <c r="B696" s="13"/>
      <c r="C696" s="242"/>
      <c r="D696" s="13"/>
      <c r="E696" s="13"/>
      <c r="F696" s="13"/>
      <c r="G696" s="13"/>
      <c r="H696" s="13"/>
      <c r="I696" s="242"/>
      <c r="J696" s="242"/>
      <c r="K696" s="242"/>
      <c r="L696" s="242"/>
      <c r="M696" s="242"/>
      <c r="N696" s="242"/>
      <c r="O696" s="242"/>
      <c r="P696" s="242"/>
      <c r="Q696" s="242"/>
      <c r="R696" s="242"/>
      <c r="S696" s="242"/>
      <c r="T696" s="242"/>
      <c r="U696" s="242"/>
      <c r="V696" s="242"/>
      <c r="W696" s="242"/>
      <c r="X696" s="242"/>
      <c r="Y696" s="242"/>
      <c r="Z696" s="242"/>
      <c r="AA696" s="242"/>
      <c r="AB696" s="242"/>
    </row>
    <row r="697">
      <c r="A697" s="242"/>
      <c r="B697" s="13"/>
      <c r="C697" s="242"/>
      <c r="D697" s="13"/>
      <c r="E697" s="13"/>
      <c r="F697" s="13"/>
      <c r="G697" s="13"/>
      <c r="H697" s="13"/>
      <c r="I697" s="242"/>
      <c r="J697" s="242"/>
      <c r="K697" s="242"/>
      <c r="L697" s="242"/>
      <c r="M697" s="242"/>
      <c r="N697" s="242"/>
      <c r="O697" s="242"/>
      <c r="P697" s="242"/>
      <c r="Q697" s="242"/>
      <c r="R697" s="242"/>
      <c r="S697" s="242"/>
      <c r="T697" s="242"/>
      <c r="U697" s="242"/>
      <c r="V697" s="242"/>
      <c r="W697" s="242"/>
      <c r="X697" s="242"/>
      <c r="Y697" s="242"/>
      <c r="Z697" s="242"/>
      <c r="AA697" s="242"/>
      <c r="AB697" s="242"/>
    </row>
    <row r="698">
      <c r="A698" s="242"/>
      <c r="B698" s="13"/>
      <c r="C698" s="242"/>
      <c r="D698" s="13"/>
      <c r="E698" s="13"/>
      <c r="F698" s="13"/>
      <c r="G698" s="13"/>
      <c r="H698" s="13"/>
      <c r="I698" s="242"/>
      <c r="J698" s="242"/>
      <c r="K698" s="242"/>
      <c r="L698" s="242"/>
      <c r="M698" s="242"/>
      <c r="N698" s="242"/>
      <c r="O698" s="242"/>
      <c r="P698" s="242"/>
      <c r="Q698" s="242"/>
      <c r="R698" s="242"/>
      <c r="S698" s="242"/>
      <c r="T698" s="242"/>
      <c r="U698" s="242"/>
      <c r="V698" s="242"/>
      <c r="W698" s="242"/>
      <c r="X698" s="242"/>
      <c r="Y698" s="242"/>
      <c r="Z698" s="242"/>
      <c r="AA698" s="242"/>
      <c r="AB698" s="242"/>
    </row>
    <row r="699">
      <c r="A699" s="242"/>
      <c r="B699" s="13"/>
      <c r="C699" s="242"/>
      <c r="D699" s="13"/>
      <c r="E699" s="13"/>
      <c r="F699" s="13"/>
      <c r="G699" s="13"/>
      <c r="H699" s="13"/>
      <c r="I699" s="242"/>
      <c r="J699" s="242"/>
      <c r="K699" s="242"/>
      <c r="L699" s="242"/>
      <c r="M699" s="242"/>
      <c r="N699" s="242"/>
      <c r="O699" s="242"/>
      <c r="P699" s="242"/>
      <c r="Q699" s="242"/>
      <c r="R699" s="242"/>
      <c r="S699" s="242"/>
      <c r="T699" s="242"/>
      <c r="U699" s="242"/>
      <c r="V699" s="242"/>
      <c r="W699" s="242"/>
      <c r="X699" s="242"/>
      <c r="Y699" s="242"/>
      <c r="Z699" s="242"/>
      <c r="AA699" s="242"/>
      <c r="AB699" s="242"/>
    </row>
    <row r="700">
      <c r="A700" s="242"/>
      <c r="B700" s="13"/>
      <c r="C700" s="242"/>
      <c r="D700" s="13"/>
      <c r="E700" s="13"/>
      <c r="F700" s="13"/>
      <c r="G700" s="13"/>
      <c r="H700" s="13"/>
      <c r="I700" s="242"/>
      <c r="J700" s="242"/>
      <c r="K700" s="242"/>
      <c r="L700" s="242"/>
      <c r="M700" s="242"/>
      <c r="N700" s="242"/>
      <c r="O700" s="242"/>
      <c r="P700" s="242"/>
      <c r="Q700" s="242"/>
      <c r="R700" s="242"/>
      <c r="S700" s="242"/>
      <c r="T700" s="242"/>
      <c r="U700" s="242"/>
      <c r="V700" s="242"/>
      <c r="W700" s="242"/>
      <c r="X700" s="242"/>
      <c r="Y700" s="242"/>
      <c r="Z700" s="242"/>
      <c r="AA700" s="242"/>
      <c r="AB700" s="242"/>
    </row>
    <row r="701">
      <c r="A701" s="242"/>
      <c r="B701" s="13"/>
      <c r="C701" s="242"/>
      <c r="D701" s="13"/>
      <c r="E701" s="13"/>
      <c r="F701" s="13"/>
      <c r="G701" s="13"/>
      <c r="H701" s="13"/>
      <c r="I701" s="242"/>
      <c r="J701" s="242"/>
      <c r="K701" s="242"/>
      <c r="L701" s="242"/>
      <c r="M701" s="242"/>
      <c r="N701" s="242"/>
      <c r="O701" s="242"/>
      <c r="P701" s="242"/>
      <c r="Q701" s="242"/>
      <c r="R701" s="242"/>
      <c r="S701" s="242"/>
      <c r="T701" s="242"/>
      <c r="U701" s="242"/>
      <c r="V701" s="242"/>
      <c r="W701" s="242"/>
      <c r="X701" s="242"/>
      <c r="Y701" s="242"/>
      <c r="Z701" s="242"/>
      <c r="AA701" s="242"/>
      <c r="AB701" s="242"/>
    </row>
    <row r="702">
      <c r="A702" s="242"/>
      <c r="B702" s="13"/>
      <c r="C702" s="242"/>
      <c r="D702" s="13"/>
      <c r="E702" s="13"/>
      <c r="F702" s="13"/>
      <c r="G702" s="13"/>
      <c r="H702" s="13"/>
      <c r="I702" s="242"/>
      <c r="J702" s="242"/>
      <c r="K702" s="242"/>
      <c r="L702" s="242"/>
      <c r="M702" s="242"/>
      <c r="N702" s="242"/>
      <c r="O702" s="242"/>
      <c r="P702" s="242"/>
      <c r="Q702" s="242"/>
      <c r="R702" s="242"/>
      <c r="S702" s="242"/>
      <c r="T702" s="242"/>
      <c r="U702" s="242"/>
      <c r="V702" s="242"/>
      <c r="W702" s="242"/>
      <c r="X702" s="242"/>
      <c r="Y702" s="242"/>
      <c r="Z702" s="242"/>
      <c r="AA702" s="242"/>
      <c r="AB702" s="242"/>
    </row>
    <row r="703">
      <c r="A703" s="242"/>
      <c r="B703" s="13"/>
      <c r="C703" s="242"/>
      <c r="D703" s="13"/>
      <c r="E703" s="13"/>
      <c r="F703" s="13"/>
      <c r="G703" s="13"/>
      <c r="H703" s="13"/>
      <c r="I703" s="242"/>
      <c r="J703" s="242"/>
      <c r="K703" s="242"/>
      <c r="L703" s="242"/>
      <c r="M703" s="242"/>
      <c r="N703" s="242"/>
      <c r="O703" s="242"/>
      <c r="P703" s="242"/>
      <c r="Q703" s="242"/>
      <c r="R703" s="242"/>
      <c r="S703" s="242"/>
      <c r="T703" s="242"/>
      <c r="U703" s="242"/>
      <c r="V703" s="242"/>
      <c r="W703" s="242"/>
      <c r="X703" s="242"/>
      <c r="Y703" s="242"/>
      <c r="Z703" s="242"/>
      <c r="AA703" s="242"/>
      <c r="AB703" s="242"/>
    </row>
    <row r="704">
      <c r="A704" s="242"/>
      <c r="B704" s="13"/>
      <c r="C704" s="242"/>
      <c r="D704" s="13"/>
      <c r="E704" s="13"/>
      <c r="F704" s="13"/>
      <c r="G704" s="13"/>
      <c r="H704" s="13"/>
      <c r="I704" s="242"/>
      <c r="J704" s="242"/>
      <c r="K704" s="242"/>
      <c r="L704" s="242"/>
      <c r="M704" s="242"/>
      <c r="N704" s="242"/>
      <c r="O704" s="242"/>
      <c r="P704" s="242"/>
      <c r="Q704" s="242"/>
      <c r="R704" s="242"/>
      <c r="S704" s="242"/>
      <c r="T704" s="242"/>
      <c r="U704" s="242"/>
      <c r="V704" s="242"/>
      <c r="W704" s="242"/>
      <c r="X704" s="242"/>
      <c r="Y704" s="242"/>
      <c r="Z704" s="242"/>
      <c r="AA704" s="242"/>
      <c r="AB704" s="242"/>
    </row>
    <row r="705">
      <c r="A705" s="242"/>
      <c r="B705" s="13"/>
      <c r="C705" s="242"/>
      <c r="D705" s="13"/>
      <c r="E705" s="13"/>
      <c r="F705" s="13"/>
      <c r="G705" s="13"/>
      <c r="H705" s="13"/>
      <c r="I705" s="242"/>
      <c r="J705" s="242"/>
      <c r="K705" s="242"/>
      <c r="L705" s="242"/>
      <c r="M705" s="242"/>
      <c r="N705" s="242"/>
      <c r="O705" s="242"/>
      <c r="P705" s="242"/>
      <c r="Q705" s="242"/>
      <c r="R705" s="242"/>
      <c r="S705" s="242"/>
      <c r="T705" s="242"/>
      <c r="U705" s="242"/>
      <c r="V705" s="242"/>
      <c r="W705" s="242"/>
      <c r="X705" s="242"/>
      <c r="Y705" s="242"/>
      <c r="Z705" s="242"/>
      <c r="AA705" s="242"/>
      <c r="AB705" s="242"/>
    </row>
    <row r="706">
      <c r="A706" s="242"/>
      <c r="B706" s="13"/>
      <c r="C706" s="242"/>
      <c r="D706" s="13"/>
      <c r="E706" s="13"/>
      <c r="F706" s="13"/>
      <c r="G706" s="13"/>
      <c r="H706" s="13"/>
      <c r="I706" s="242"/>
      <c r="J706" s="242"/>
      <c r="K706" s="242"/>
      <c r="L706" s="242"/>
      <c r="M706" s="242"/>
      <c r="N706" s="242"/>
      <c r="O706" s="242"/>
      <c r="P706" s="242"/>
      <c r="Q706" s="242"/>
      <c r="R706" s="242"/>
      <c r="S706" s="242"/>
      <c r="T706" s="242"/>
      <c r="U706" s="242"/>
      <c r="V706" s="242"/>
      <c r="W706" s="242"/>
      <c r="X706" s="242"/>
      <c r="Y706" s="242"/>
      <c r="Z706" s="242"/>
      <c r="AA706" s="242"/>
      <c r="AB706" s="242"/>
    </row>
    <row r="707">
      <c r="A707" s="242"/>
      <c r="B707" s="13"/>
      <c r="C707" s="242"/>
      <c r="D707" s="13"/>
      <c r="E707" s="13"/>
      <c r="F707" s="13"/>
      <c r="G707" s="13"/>
      <c r="H707" s="13"/>
      <c r="I707" s="242"/>
      <c r="J707" s="242"/>
      <c r="K707" s="242"/>
      <c r="L707" s="242"/>
      <c r="M707" s="242"/>
      <c r="N707" s="242"/>
      <c r="O707" s="242"/>
      <c r="P707" s="242"/>
      <c r="Q707" s="242"/>
      <c r="R707" s="242"/>
      <c r="S707" s="242"/>
      <c r="T707" s="242"/>
      <c r="U707" s="242"/>
      <c r="V707" s="242"/>
      <c r="W707" s="242"/>
      <c r="X707" s="242"/>
      <c r="Y707" s="242"/>
      <c r="Z707" s="242"/>
      <c r="AA707" s="242"/>
      <c r="AB707" s="242"/>
    </row>
    <row r="708">
      <c r="A708" s="242"/>
      <c r="B708" s="13"/>
      <c r="C708" s="242"/>
      <c r="D708" s="13"/>
      <c r="E708" s="13"/>
      <c r="F708" s="13"/>
      <c r="G708" s="13"/>
      <c r="H708" s="13"/>
      <c r="I708" s="242"/>
      <c r="J708" s="242"/>
      <c r="K708" s="242"/>
      <c r="L708" s="242"/>
      <c r="M708" s="242"/>
      <c r="N708" s="242"/>
      <c r="O708" s="242"/>
      <c r="P708" s="242"/>
      <c r="Q708" s="242"/>
      <c r="R708" s="242"/>
      <c r="S708" s="242"/>
      <c r="T708" s="242"/>
      <c r="U708" s="242"/>
      <c r="V708" s="242"/>
      <c r="W708" s="242"/>
      <c r="X708" s="242"/>
      <c r="Y708" s="242"/>
      <c r="Z708" s="242"/>
      <c r="AA708" s="242"/>
      <c r="AB708" s="242"/>
    </row>
    <row r="709">
      <c r="A709" s="242"/>
      <c r="B709" s="13"/>
      <c r="C709" s="242"/>
      <c r="D709" s="13"/>
      <c r="E709" s="13"/>
      <c r="F709" s="13"/>
      <c r="G709" s="13"/>
      <c r="H709" s="13"/>
      <c r="I709" s="242"/>
      <c r="J709" s="242"/>
      <c r="K709" s="242"/>
      <c r="L709" s="242"/>
      <c r="M709" s="242"/>
      <c r="N709" s="242"/>
      <c r="O709" s="242"/>
      <c r="P709" s="242"/>
      <c r="Q709" s="242"/>
      <c r="R709" s="242"/>
      <c r="S709" s="242"/>
      <c r="T709" s="242"/>
      <c r="U709" s="242"/>
      <c r="V709" s="242"/>
      <c r="W709" s="242"/>
      <c r="X709" s="242"/>
      <c r="Y709" s="242"/>
      <c r="Z709" s="242"/>
      <c r="AA709" s="242"/>
      <c r="AB709" s="242"/>
    </row>
    <row r="710">
      <c r="A710" s="242"/>
      <c r="B710" s="13"/>
      <c r="C710" s="242"/>
      <c r="D710" s="13"/>
      <c r="E710" s="13"/>
      <c r="F710" s="13"/>
      <c r="G710" s="13"/>
      <c r="H710" s="13"/>
      <c r="I710" s="242"/>
      <c r="J710" s="242"/>
      <c r="K710" s="242"/>
      <c r="L710" s="242"/>
      <c r="M710" s="242"/>
      <c r="N710" s="242"/>
      <c r="O710" s="242"/>
      <c r="P710" s="242"/>
      <c r="Q710" s="242"/>
      <c r="R710" s="242"/>
      <c r="S710" s="242"/>
      <c r="T710" s="242"/>
      <c r="U710" s="242"/>
      <c r="V710" s="242"/>
      <c r="W710" s="242"/>
      <c r="X710" s="242"/>
      <c r="Y710" s="242"/>
      <c r="Z710" s="242"/>
      <c r="AA710" s="242"/>
      <c r="AB710" s="242"/>
    </row>
    <row r="711">
      <c r="A711" s="242"/>
      <c r="B711" s="13"/>
      <c r="C711" s="242"/>
      <c r="D711" s="13"/>
      <c r="E711" s="13"/>
      <c r="F711" s="13"/>
      <c r="G711" s="13"/>
      <c r="H711" s="13"/>
      <c r="I711" s="242"/>
      <c r="J711" s="242"/>
      <c r="K711" s="242"/>
      <c r="L711" s="242"/>
      <c r="M711" s="242"/>
      <c r="N711" s="242"/>
      <c r="O711" s="242"/>
      <c r="P711" s="242"/>
      <c r="Q711" s="242"/>
      <c r="R711" s="242"/>
      <c r="S711" s="242"/>
      <c r="T711" s="242"/>
      <c r="U711" s="242"/>
      <c r="V711" s="242"/>
      <c r="W711" s="242"/>
      <c r="X711" s="242"/>
      <c r="Y711" s="242"/>
      <c r="Z711" s="242"/>
      <c r="AA711" s="242"/>
      <c r="AB711" s="242"/>
    </row>
    <row r="712">
      <c r="A712" s="242"/>
      <c r="B712" s="13"/>
      <c r="C712" s="242"/>
      <c r="D712" s="13"/>
      <c r="E712" s="13"/>
      <c r="F712" s="13"/>
      <c r="G712" s="13"/>
      <c r="H712" s="13"/>
      <c r="I712" s="242"/>
      <c r="J712" s="242"/>
      <c r="K712" s="242"/>
      <c r="L712" s="242"/>
      <c r="M712" s="242"/>
      <c r="N712" s="242"/>
      <c r="O712" s="242"/>
      <c r="P712" s="242"/>
      <c r="Q712" s="242"/>
      <c r="R712" s="242"/>
      <c r="S712" s="242"/>
      <c r="T712" s="242"/>
      <c r="U712" s="242"/>
      <c r="V712" s="242"/>
      <c r="W712" s="242"/>
      <c r="X712" s="242"/>
      <c r="Y712" s="242"/>
      <c r="Z712" s="242"/>
      <c r="AA712" s="242"/>
      <c r="AB712" s="242"/>
    </row>
    <row r="713">
      <c r="A713" s="242"/>
      <c r="B713" s="13"/>
      <c r="C713" s="242"/>
      <c r="D713" s="13"/>
      <c r="E713" s="13"/>
      <c r="F713" s="13"/>
      <c r="G713" s="13"/>
      <c r="H713" s="13"/>
      <c r="I713" s="242"/>
      <c r="J713" s="242"/>
      <c r="K713" s="242"/>
      <c r="L713" s="242"/>
      <c r="M713" s="242"/>
      <c r="N713" s="242"/>
      <c r="O713" s="242"/>
      <c r="P713" s="242"/>
      <c r="Q713" s="242"/>
      <c r="R713" s="242"/>
      <c r="S713" s="242"/>
      <c r="T713" s="242"/>
      <c r="U713" s="242"/>
      <c r="V713" s="242"/>
      <c r="W713" s="242"/>
      <c r="X713" s="242"/>
      <c r="Y713" s="242"/>
      <c r="Z713" s="242"/>
      <c r="AA713" s="242"/>
      <c r="AB713" s="242"/>
    </row>
    <row r="714">
      <c r="A714" s="242"/>
      <c r="B714" s="13"/>
      <c r="C714" s="242"/>
      <c r="D714" s="13"/>
      <c r="E714" s="13"/>
      <c r="F714" s="13"/>
      <c r="G714" s="13"/>
      <c r="H714" s="13"/>
      <c r="I714" s="242"/>
      <c r="J714" s="242"/>
      <c r="K714" s="242"/>
      <c r="L714" s="242"/>
      <c r="M714" s="242"/>
      <c r="N714" s="242"/>
      <c r="O714" s="242"/>
      <c r="P714" s="242"/>
      <c r="Q714" s="242"/>
      <c r="R714" s="242"/>
      <c r="S714" s="242"/>
      <c r="T714" s="242"/>
      <c r="U714" s="242"/>
      <c r="V714" s="242"/>
      <c r="W714" s="242"/>
      <c r="X714" s="242"/>
      <c r="Y714" s="242"/>
      <c r="Z714" s="242"/>
      <c r="AA714" s="242"/>
      <c r="AB714" s="242"/>
    </row>
    <row r="715">
      <c r="A715" s="242"/>
      <c r="B715" s="13"/>
      <c r="C715" s="242"/>
      <c r="D715" s="13"/>
      <c r="E715" s="13"/>
      <c r="F715" s="13"/>
      <c r="G715" s="13"/>
      <c r="H715" s="13"/>
      <c r="I715" s="242"/>
      <c r="J715" s="242"/>
      <c r="K715" s="242"/>
      <c r="L715" s="242"/>
      <c r="M715" s="242"/>
      <c r="N715" s="242"/>
      <c r="O715" s="242"/>
      <c r="P715" s="242"/>
      <c r="Q715" s="242"/>
      <c r="R715" s="242"/>
      <c r="S715" s="242"/>
      <c r="T715" s="242"/>
      <c r="U715" s="242"/>
      <c r="V715" s="242"/>
      <c r="W715" s="242"/>
      <c r="X715" s="242"/>
      <c r="Y715" s="242"/>
      <c r="Z715" s="242"/>
      <c r="AA715" s="242"/>
      <c r="AB715" s="242"/>
    </row>
    <row r="716">
      <c r="A716" s="242"/>
      <c r="B716" s="13"/>
      <c r="C716" s="242"/>
      <c r="D716" s="13"/>
      <c r="E716" s="13"/>
      <c r="F716" s="13"/>
      <c r="G716" s="13"/>
      <c r="H716" s="13"/>
      <c r="I716" s="242"/>
      <c r="J716" s="242"/>
      <c r="K716" s="242"/>
      <c r="L716" s="242"/>
      <c r="M716" s="242"/>
      <c r="N716" s="242"/>
      <c r="O716" s="242"/>
      <c r="P716" s="242"/>
      <c r="Q716" s="242"/>
      <c r="R716" s="242"/>
      <c r="S716" s="242"/>
      <c r="T716" s="242"/>
      <c r="U716" s="242"/>
      <c r="V716" s="242"/>
      <c r="W716" s="242"/>
      <c r="X716" s="242"/>
      <c r="Y716" s="242"/>
      <c r="Z716" s="242"/>
      <c r="AA716" s="242"/>
      <c r="AB716" s="242"/>
    </row>
    <row r="717">
      <c r="A717" s="242"/>
      <c r="B717" s="13"/>
      <c r="C717" s="242"/>
      <c r="D717" s="13"/>
      <c r="E717" s="13"/>
      <c r="F717" s="13"/>
      <c r="G717" s="13"/>
      <c r="H717" s="13"/>
      <c r="I717" s="242"/>
      <c r="J717" s="242"/>
      <c r="K717" s="242"/>
      <c r="L717" s="242"/>
      <c r="M717" s="242"/>
      <c r="N717" s="242"/>
      <c r="O717" s="242"/>
      <c r="P717" s="242"/>
      <c r="Q717" s="242"/>
      <c r="R717" s="242"/>
      <c r="S717" s="242"/>
      <c r="T717" s="242"/>
      <c r="U717" s="242"/>
      <c r="V717" s="242"/>
      <c r="W717" s="242"/>
      <c r="X717" s="242"/>
      <c r="Y717" s="242"/>
      <c r="Z717" s="242"/>
      <c r="AA717" s="242"/>
      <c r="AB717" s="242"/>
    </row>
    <row r="718">
      <c r="A718" s="242"/>
      <c r="B718" s="13"/>
      <c r="C718" s="242"/>
      <c r="D718" s="13"/>
      <c r="E718" s="13"/>
      <c r="F718" s="13"/>
      <c r="G718" s="13"/>
      <c r="H718" s="13"/>
      <c r="I718" s="242"/>
      <c r="J718" s="242"/>
      <c r="K718" s="242"/>
      <c r="L718" s="242"/>
      <c r="M718" s="242"/>
      <c r="N718" s="242"/>
      <c r="O718" s="242"/>
      <c r="P718" s="242"/>
      <c r="Q718" s="242"/>
      <c r="R718" s="242"/>
      <c r="S718" s="242"/>
      <c r="T718" s="242"/>
      <c r="U718" s="242"/>
      <c r="V718" s="242"/>
      <c r="W718" s="242"/>
      <c r="X718" s="242"/>
      <c r="Y718" s="242"/>
      <c r="Z718" s="242"/>
      <c r="AA718" s="242"/>
      <c r="AB718" s="242"/>
    </row>
    <row r="719">
      <c r="A719" s="242"/>
      <c r="B719" s="13"/>
      <c r="C719" s="242"/>
      <c r="D719" s="13"/>
      <c r="E719" s="13"/>
      <c r="F719" s="13"/>
      <c r="G719" s="13"/>
      <c r="H719" s="13"/>
      <c r="I719" s="242"/>
      <c r="J719" s="242"/>
      <c r="K719" s="242"/>
      <c r="L719" s="242"/>
      <c r="M719" s="242"/>
      <c r="N719" s="242"/>
      <c r="O719" s="242"/>
      <c r="P719" s="242"/>
      <c r="Q719" s="242"/>
      <c r="R719" s="242"/>
      <c r="S719" s="242"/>
      <c r="T719" s="242"/>
      <c r="U719" s="242"/>
      <c r="V719" s="242"/>
      <c r="W719" s="242"/>
      <c r="X719" s="242"/>
      <c r="Y719" s="242"/>
      <c r="Z719" s="242"/>
      <c r="AA719" s="242"/>
      <c r="AB719" s="242"/>
    </row>
    <row r="720">
      <c r="A720" s="242"/>
      <c r="B720" s="13"/>
      <c r="C720" s="242"/>
      <c r="D720" s="13"/>
      <c r="E720" s="13"/>
      <c r="F720" s="13"/>
      <c r="G720" s="13"/>
      <c r="H720" s="13"/>
      <c r="I720" s="242"/>
      <c r="J720" s="242"/>
      <c r="K720" s="242"/>
      <c r="L720" s="242"/>
      <c r="M720" s="242"/>
      <c r="N720" s="242"/>
      <c r="O720" s="242"/>
      <c r="P720" s="242"/>
      <c r="Q720" s="242"/>
      <c r="R720" s="242"/>
      <c r="S720" s="242"/>
      <c r="T720" s="242"/>
      <c r="U720" s="242"/>
      <c r="V720" s="242"/>
      <c r="W720" s="242"/>
      <c r="X720" s="242"/>
      <c r="Y720" s="242"/>
      <c r="Z720" s="242"/>
      <c r="AA720" s="242"/>
      <c r="AB720" s="242"/>
    </row>
    <row r="721">
      <c r="A721" s="242"/>
      <c r="B721" s="13"/>
      <c r="C721" s="242"/>
      <c r="D721" s="13"/>
      <c r="E721" s="13"/>
      <c r="F721" s="13"/>
      <c r="G721" s="13"/>
      <c r="H721" s="13"/>
      <c r="I721" s="242"/>
      <c r="J721" s="242"/>
      <c r="K721" s="242"/>
      <c r="L721" s="242"/>
      <c r="M721" s="242"/>
      <c r="N721" s="242"/>
      <c r="O721" s="242"/>
      <c r="P721" s="242"/>
      <c r="Q721" s="242"/>
      <c r="R721" s="242"/>
      <c r="S721" s="242"/>
      <c r="T721" s="242"/>
      <c r="U721" s="242"/>
      <c r="V721" s="242"/>
      <c r="W721" s="242"/>
      <c r="X721" s="242"/>
      <c r="Y721" s="242"/>
      <c r="Z721" s="242"/>
      <c r="AA721" s="242"/>
      <c r="AB721" s="242"/>
    </row>
    <row r="722">
      <c r="A722" s="242"/>
      <c r="B722" s="13"/>
      <c r="C722" s="242"/>
      <c r="D722" s="13"/>
      <c r="E722" s="13"/>
      <c r="F722" s="13"/>
      <c r="G722" s="13"/>
      <c r="H722" s="13"/>
      <c r="I722" s="242"/>
      <c r="J722" s="242"/>
      <c r="K722" s="242"/>
      <c r="L722" s="242"/>
      <c r="M722" s="242"/>
      <c r="N722" s="242"/>
      <c r="O722" s="242"/>
      <c r="P722" s="242"/>
      <c r="Q722" s="242"/>
      <c r="R722" s="242"/>
      <c r="S722" s="242"/>
      <c r="T722" s="242"/>
      <c r="U722" s="242"/>
      <c r="V722" s="242"/>
      <c r="W722" s="242"/>
      <c r="X722" s="242"/>
      <c r="Y722" s="242"/>
      <c r="Z722" s="242"/>
      <c r="AA722" s="242"/>
      <c r="AB722" s="242"/>
    </row>
    <row r="723">
      <c r="A723" s="242"/>
      <c r="B723" s="13"/>
      <c r="C723" s="242"/>
      <c r="D723" s="13"/>
      <c r="E723" s="13"/>
      <c r="F723" s="13"/>
      <c r="G723" s="13"/>
      <c r="H723" s="13"/>
      <c r="I723" s="242"/>
      <c r="J723" s="242"/>
      <c r="K723" s="242"/>
      <c r="L723" s="242"/>
      <c r="M723" s="242"/>
      <c r="N723" s="242"/>
      <c r="O723" s="242"/>
      <c r="P723" s="242"/>
      <c r="Q723" s="242"/>
      <c r="R723" s="242"/>
      <c r="S723" s="242"/>
      <c r="T723" s="242"/>
      <c r="U723" s="242"/>
      <c r="V723" s="242"/>
      <c r="W723" s="242"/>
      <c r="X723" s="242"/>
      <c r="Y723" s="242"/>
      <c r="Z723" s="242"/>
      <c r="AA723" s="242"/>
      <c r="AB723" s="242"/>
    </row>
    <row r="724">
      <c r="A724" s="242"/>
      <c r="B724" s="13"/>
      <c r="C724" s="242"/>
      <c r="D724" s="13"/>
      <c r="E724" s="13"/>
      <c r="F724" s="13"/>
      <c r="G724" s="13"/>
      <c r="H724" s="13"/>
      <c r="I724" s="242"/>
      <c r="J724" s="242"/>
      <c r="K724" s="242"/>
      <c r="L724" s="242"/>
      <c r="M724" s="242"/>
      <c r="N724" s="242"/>
      <c r="O724" s="242"/>
      <c r="P724" s="242"/>
      <c r="Q724" s="242"/>
      <c r="R724" s="242"/>
      <c r="S724" s="242"/>
      <c r="T724" s="242"/>
      <c r="U724" s="242"/>
      <c r="V724" s="242"/>
      <c r="W724" s="242"/>
      <c r="X724" s="242"/>
      <c r="Y724" s="242"/>
      <c r="Z724" s="242"/>
      <c r="AA724" s="242"/>
      <c r="AB724" s="242"/>
    </row>
    <row r="725">
      <c r="A725" s="242"/>
      <c r="B725" s="13"/>
      <c r="C725" s="242"/>
      <c r="D725" s="13"/>
      <c r="E725" s="13"/>
      <c r="F725" s="13"/>
      <c r="G725" s="13"/>
      <c r="H725" s="13"/>
      <c r="I725" s="242"/>
      <c r="J725" s="242"/>
      <c r="K725" s="242"/>
      <c r="L725" s="242"/>
      <c r="M725" s="242"/>
      <c r="N725" s="242"/>
      <c r="O725" s="242"/>
      <c r="P725" s="242"/>
      <c r="Q725" s="242"/>
      <c r="R725" s="242"/>
      <c r="S725" s="242"/>
      <c r="T725" s="242"/>
      <c r="U725" s="242"/>
      <c r="V725" s="242"/>
      <c r="W725" s="242"/>
      <c r="X725" s="242"/>
      <c r="Y725" s="242"/>
      <c r="Z725" s="242"/>
      <c r="AA725" s="242"/>
      <c r="AB725" s="242"/>
    </row>
    <row r="726">
      <c r="A726" s="242"/>
      <c r="B726" s="13"/>
      <c r="C726" s="242"/>
      <c r="D726" s="13"/>
      <c r="E726" s="13"/>
      <c r="F726" s="13"/>
      <c r="G726" s="13"/>
      <c r="H726" s="13"/>
      <c r="I726" s="242"/>
      <c r="J726" s="242"/>
      <c r="K726" s="242"/>
      <c r="L726" s="242"/>
      <c r="M726" s="242"/>
      <c r="N726" s="242"/>
      <c r="O726" s="242"/>
      <c r="P726" s="242"/>
      <c r="Q726" s="242"/>
      <c r="R726" s="242"/>
      <c r="S726" s="242"/>
      <c r="T726" s="242"/>
      <c r="U726" s="242"/>
      <c r="V726" s="242"/>
      <c r="W726" s="242"/>
      <c r="X726" s="242"/>
      <c r="Y726" s="242"/>
      <c r="Z726" s="242"/>
      <c r="AA726" s="242"/>
      <c r="AB726" s="242"/>
    </row>
    <row r="727">
      <c r="A727" s="242"/>
      <c r="B727" s="13"/>
      <c r="C727" s="242"/>
      <c r="D727" s="13"/>
      <c r="E727" s="13"/>
      <c r="F727" s="13"/>
      <c r="G727" s="13"/>
      <c r="H727" s="13"/>
      <c r="I727" s="242"/>
      <c r="J727" s="242"/>
      <c r="K727" s="242"/>
      <c r="L727" s="242"/>
      <c r="M727" s="242"/>
      <c r="N727" s="242"/>
      <c r="O727" s="242"/>
      <c r="P727" s="242"/>
      <c r="Q727" s="242"/>
      <c r="R727" s="242"/>
      <c r="S727" s="242"/>
      <c r="T727" s="242"/>
      <c r="U727" s="242"/>
      <c r="V727" s="242"/>
      <c r="W727" s="242"/>
      <c r="X727" s="242"/>
      <c r="Y727" s="242"/>
      <c r="Z727" s="242"/>
      <c r="AA727" s="242"/>
      <c r="AB727" s="242"/>
    </row>
    <row r="728">
      <c r="A728" s="242"/>
      <c r="B728" s="13"/>
      <c r="C728" s="242"/>
      <c r="D728" s="13"/>
      <c r="E728" s="13"/>
      <c r="F728" s="13"/>
      <c r="G728" s="13"/>
      <c r="H728" s="13"/>
      <c r="I728" s="242"/>
      <c r="J728" s="242"/>
      <c r="K728" s="242"/>
      <c r="L728" s="242"/>
      <c r="M728" s="242"/>
      <c r="N728" s="242"/>
      <c r="O728" s="242"/>
      <c r="P728" s="242"/>
      <c r="Q728" s="242"/>
      <c r="R728" s="242"/>
      <c r="S728" s="242"/>
      <c r="T728" s="242"/>
      <c r="U728" s="242"/>
      <c r="V728" s="242"/>
      <c r="W728" s="242"/>
      <c r="X728" s="242"/>
      <c r="Y728" s="242"/>
      <c r="Z728" s="242"/>
      <c r="AA728" s="242"/>
      <c r="AB728" s="242"/>
    </row>
    <row r="729">
      <c r="A729" s="242"/>
      <c r="B729" s="13"/>
      <c r="C729" s="242"/>
      <c r="D729" s="13"/>
      <c r="E729" s="13"/>
      <c r="F729" s="13"/>
      <c r="G729" s="13"/>
      <c r="H729" s="13"/>
      <c r="I729" s="242"/>
      <c r="J729" s="242"/>
      <c r="K729" s="242"/>
      <c r="L729" s="242"/>
      <c r="M729" s="242"/>
      <c r="N729" s="242"/>
      <c r="O729" s="242"/>
      <c r="P729" s="242"/>
      <c r="Q729" s="242"/>
      <c r="R729" s="242"/>
      <c r="S729" s="242"/>
      <c r="T729" s="242"/>
      <c r="U729" s="242"/>
      <c r="V729" s="242"/>
      <c r="W729" s="242"/>
      <c r="X729" s="242"/>
      <c r="Y729" s="242"/>
      <c r="Z729" s="242"/>
      <c r="AA729" s="242"/>
      <c r="AB729" s="242"/>
    </row>
    <row r="730">
      <c r="A730" s="242"/>
      <c r="B730" s="13"/>
      <c r="C730" s="242"/>
      <c r="D730" s="13"/>
      <c r="E730" s="13"/>
      <c r="F730" s="13"/>
      <c r="G730" s="13"/>
      <c r="H730" s="13"/>
      <c r="I730" s="242"/>
      <c r="J730" s="242"/>
      <c r="K730" s="242"/>
      <c r="L730" s="242"/>
      <c r="M730" s="242"/>
      <c r="N730" s="242"/>
      <c r="O730" s="242"/>
      <c r="P730" s="242"/>
      <c r="Q730" s="242"/>
      <c r="R730" s="242"/>
      <c r="S730" s="242"/>
      <c r="T730" s="242"/>
      <c r="U730" s="242"/>
      <c r="V730" s="242"/>
      <c r="W730" s="242"/>
      <c r="X730" s="242"/>
      <c r="Y730" s="242"/>
      <c r="Z730" s="242"/>
      <c r="AA730" s="242"/>
      <c r="AB730" s="242"/>
    </row>
    <row r="731">
      <c r="A731" s="242"/>
      <c r="B731" s="13"/>
      <c r="C731" s="242"/>
      <c r="D731" s="13"/>
      <c r="E731" s="13"/>
      <c r="F731" s="13"/>
      <c r="G731" s="13"/>
      <c r="H731" s="13"/>
      <c r="I731" s="242"/>
      <c r="J731" s="242"/>
      <c r="K731" s="242"/>
      <c r="L731" s="242"/>
      <c r="M731" s="242"/>
      <c r="N731" s="242"/>
      <c r="O731" s="242"/>
      <c r="P731" s="242"/>
      <c r="Q731" s="242"/>
      <c r="R731" s="242"/>
      <c r="S731" s="242"/>
      <c r="T731" s="242"/>
      <c r="U731" s="242"/>
      <c r="V731" s="242"/>
      <c r="W731" s="242"/>
      <c r="X731" s="242"/>
      <c r="Y731" s="242"/>
      <c r="Z731" s="242"/>
      <c r="AA731" s="242"/>
      <c r="AB731" s="242"/>
    </row>
    <row r="732">
      <c r="A732" s="242"/>
      <c r="B732" s="13"/>
      <c r="C732" s="242"/>
      <c r="D732" s="13"/>
      <c r="E732" s="13"/>
      <c r="F732" s="13"/>
      <c r="G732" s="13"/>
      <c r="H732" s="13"/>
      <c r="I732" s="242"/>
      <c r="J732" s="242"/>
      <c r="K732" s="242"/>
      <c r="L732" s="242"/>
      <c r="M732" s="242"/>
      <c r="N732" s="242"/>
      <c r="O732" s="242"/>
      <c r="P732" s="242"/>
      <c r="Q732" s="242"/>
      <c r="R732" s="242"/>
      <c r="S732" s="242"/>
      <c r="T732" s="242"/>
      <c r="U732" s="242"/>
      <c r="V732" s="242"/>
      <c r="W732" s="242"/>
      <c r="X732" s="242"/>
      <c r="Y732" s="242"/>
      <c r="Z732" s="242"/>
      <c r="AA732" s="242"/>
      <c r="AB732" s="242"/>
    </row>
    <row r="733">
      <c r="A733" s="242"/>
      <c r="B733" s="13"/>
      <c r="C733" s="242"/>
      <c r="D733" s="13"/>
      <c r="E733" s="13"/>
      <c r="F733" s="13"/>
      <c r="G733" s="13"/>
      <c r="H733" s="13"/>
      <c r="I733" s="242"/>
      <c r="J733" s="242"/>
      <c r="K733" s="242"/>
      <c r="L733" s="242"/>
      <c r="M733" s="242"/>
      <c r="N733" s="242"/>
      <c r="O733" s="242"/>
      <c r="P733" s="242"/>
      <c r="Q733" s="242"/>
      <c r="R733" s="242"/>
      <c r="S733" s="242"/>
      <c r="T733" s="242"/>
      <c r="U733" s="242"/>
      <c r="V733" s="242"/>
      <c r="W733" s="242"/>
      <c r="X733" s="242"/>
      <c r="Y733" s="242"/>
      <c r="Z733" s="242"/>
      <c r="AA733" s="242"/>
      <c r="AB733" s="242"/>
    </row>
    <row r="734">
      <c r="A734" s="242"/>
      <c r="B734" s="13"/>
      <c r="C734" s="242"/>
      <c r="D734" s="13"/>
      <c r="E734" s="13"/>
      <c r="F734" s="13"/>
      <c r="G734" s="13"/>
      <c r="H734" s="13"/>
      <c r="I734" s="242"/>
      <c r="J734" s="242"/>
      <c r="K734" s="242"/>
      <c r="L734" s="242"/>
      <c r="M734" s="242"/>
      <c r="N734" s="242"/>
      <c r="O734" s="242"/>
      <c r="P734" s="242"/>
      <c r="Q734" s="242"/>
      <c r="R734" s="242"/>
      <c r="S734" s="242"/>
      <c r="T734" s="242"/>
      <c r="U734" s="242"/>
      <c r="V734" s="242"/>
      <c r="W734" s="242"/>
      <c r="X734" s="242"/>
      <c r="Y734" s="242"/>
      <c r="Z734" s="242"/>
      <c r="AA734" s="242"/>
      <c r="AB734" s="242"/>
    </row>
    <row r="735">
      <c r="A735" s="242"/>
      <c r="B735" s="13"/>
      <c r="C735" s="242"/>
      <c r="D735" s="13"/>
      <c r="E735" s="13"/>
      <c r="F735" s="13"/>
      <c r="G735" s="13"/>
      <c r="H735" s="13"/>
      <c r="I735" s="242"/>
      <c r="J735" s="242"/>
      <c r="K735" s="242"/>
      <c r="L735" s="242"/>
      <c r="M735" s="242"/>
      <c r="N735" s="242"/>
      <c r="O735" s="242"/>
      <c r="P735" s="242"/>
      <c r="Q735" s="242"/>
      <c r="R735" s="242"/>
      <c r="S735" s="242"/>
      <c r="T735" s="242"/>
      <c r="U735" s="242"/>
      <c r="V735" s="242"/>
      <c r="W735" s="242"/>
      <c r="X735" s="242"/>
      <c r="Y735" s="242"/>
      <c r="Z735" s="242"/>
      <c r="AA735" s="242"/>
      <c r="AB735" s="242"/>
    </row>
    <row r="736">
      <c r="A736" s="242"/>
      <c r="B736" s="13"/>
      <c r="C736" s="242"/>
      <c r="D736" s="13"/>
      <c r="E736" s="13"/>
      <c r="F736" s="13"/>
      <c r="G736" s="13"/>
      <c r="H736" s="13"/>
      <c r="I736" s="242"/>
      <c r="J736" s="242"/>
      <c r="K736" s="242"/>
      <c r="L736" s="242"/>
      <c r="M736" s="242"/>
      <c r="N736" s="242"/>
      <c r="O736" s="242"/>
      <c r="P736" s="242"/>
      <c r="Q736" s="242"/>
      <c r="R736" s="242"/>
      <c r="S736" s="242"/>
      <c r="T736" s="242"/>
      <c r="U736" s="242"/>
      <c r="V736" s="242"/>
      <c r="W736" s="242"/>
      <c r="X736" s="242"/>
      <c r="Y736" s="242"/>
      <c r="Z736" s="242"/>
      <c r="AA736" s="242"/>
      <c r="AB736" s="242"/>
    </row>
    <row r="737">
      <c r="A737" s="242"/>
      <c r="B737" s="13"/>
      <c r="C737" s="242"/>
      <c r="D737" s="13"/>
      <c r="E737" s="13"/>
      <c r="F737" s="13"/>
      <c r="G737" s="13"/>
      <c r="H737" s="13"/>
      <c r="I737" s="242"/>
      <c r="J737" s="242"/>
      <c r="K737" s="242"/>
      <c r="L737" s="242"/>
      <c r="M737" s="242"/>
      <c r="N737" s="242"/>
      <c r="O737" s="242"/>
      <c r="P737" s="242"/>
      <c r="Q737" s="242"/>
      <c r="R737" s="242"/>
      <c r="S737" s="242"/>
      <c r="T737" s="242"/>
      <c r="U737" s="242"/>
      <c r="V737" s="242"/>
      <c r="W737" s="242"/>
      <c r="X737" s="242"/>
      <c r="Y737" s="242"/>
      <c r="Z737" s="242"/>
      <c r="AA737" s="242"/>
      <c r="AB737" s="242"/>
    </row>
    <row r="738">
      <c r="A738" s="242"/>
      <c r="B738" s="13"/>
      <c r="C738" s="242"/>
      <c r="D738" s="13"/>
      <c r="E738" s="13"/>
      <c r="F738" s="13"/>
      <c r="G738" s="13"/>
      <c r="H738" s="13"/>
      <c r="I738" s="242"/>
      <c r="J738" s="242"/>
      <c r="K738" s="242"/>
      <c r="L738" s="242"/>
      <c r="M738" s="242"/>
      <c r="N738" s="242"/>
      <c r="O738" s="242"/>
      <c r="P738" s="242"/>
      <c r="Q738" s="242"/>
      <c r="R738" s="242"/>
      <c r="S738" s="242"/>
      <c r="T738" s="242"/>
      <c r="U738" s="242"/>
      <c r="V738" s="242"/>
      <c r="W738" s="242"/>
      <c r="X738" s="242"/>
      <c r="Y738" s="242"/>
      <c r="Z738" s="242"/>
      <c r="AA738" s="242"/>
      <c r="AB738" s="242"/>
    </row>
    <row r="739">
      <c r="A739" s="242"/>
      <c r="B739" s="13"/>
      <c r="C739" s="242"/>
      <c r="D739" s="13"/>
      <c r="E739" s="13"/>
      <c r="F739" s="13"/>
      <c r="G739" s="13"/>
      <c r="H739" s="13"/>
      <c r="I739" s="242"/>
      <c r="J739" s="242"/>
      <c r="K739" s="242"/>
      <c r="L739" s="242"/>
      <c r="M739" s="242"/>
      <c r="N739" s="242"/>
      <c r="O739" s="242"/>
      <c r="P739" s="242"/>
      <c r="Q739" s="242"/>
      <c r="R739" s="242"/>
      <c r="S739" s="242"/>
      <c r="T739" s="242"/>
      <c r="U739" s="242"/>
      <c r="V739" s="242"/>
      <c r="W739" s="242"/>
      <c r="X739" s="242"/>
      <c r="Y739" s="242"/>
      <c r="Z739" s="242"/>
      <c r="AA739" s="242"/>
      <c r="AB739" s="242"/>
    </row>
    <row r="740">
      <c r="A740" s="242"/>
      <c r="B740" s="13"/>
      <c r="C740" s="242"/>
      <c r="D740" s="13"/>
      <c r="E740" s="13"/>
      <c r="F740" s="13"/>
      <c r="G740" s="13"/>
      <c r="H740" s="13"/>
      <c r="I740" s="242"/>
      <c r="J740" s="242"/>
      <c r="K740" s="242"/>
      <c r="L740" s="242"/>
      <c r="M740" s="242"/>
      <c r="N740" s="242"/>
      <c r="O740" s="242"/>
      <c r="P740" s="242"/>
      <c r="Q740" s="242"/>
      <c r="R740" s="242"/>
      <c r="S740" s="242"/>
      <c r="T740" s="242"/>
      <c r="U740" s="242"/>
      <c r="V740" s="242"/>
      <c r="W740" s="242"/>
      <c r="X740" s="242"/>
      <c r="Y740" s="242"/>
      <c r="Z740" s="242"/>
      <c r="AA740" s="242"/>
      <c r="AB740" s="242"/>
    </row>
    <row r="741">
      <c r="A741" s="242"/>
      <c r="B741" s="13"/>
      <c r="C741" s="242"/>
      <c r="D741" s="13"/>
      <c r="E741" s="13"/>
      <c r="F741" s="13"/>
      <c r="G741" s="13"/>
      <c r="H741" s="13"/>
      <c r="I741" s="242"/>
      <c r="J741" s="242"/>
      <c r="K741" s="242"/>
      <c r="L741" s="242"/>
      <c r="M741" s="242"/>
      <c r="N741" s="242"/>
      <c r="O741" s="242"/>
      <c r="P741" s="242"/>
      <c r="Q741" s="242"/>
      <c r="R741" s="242"/>
      <c r="S741" s="242"/>
      <c r="T741" s="242"/>
      <c r="U741" s="242"/>
      <c r="V741" s="242"/>
      <c r="W741" s="242"/>
      <c r="X741" s="242"/>
      <c r="Y741" s="242"/>
      <c r="Z741" s="242"/>
      <c r="AA741" s="242"/>
      <c r="AB741" s="242"/>
    </row>
    <row r="742">
      <c r="A742" s="242"/>
      <c r="B742" s="13"/>
      <c r="C742" s="242"/>
      <c r="D742" s="13"/>
      <c r="E742" s="13"/>
      <c r="F742" s="13"/>
      <c r="G742" s="13"/>
      <c r="H742" s="13"/>
      <c r="I742" s="242"/>
      <c r="J742" s="242"/>
      <c r="K742" s="242"/>
      <c r="L742" s="242"/>
      <c r="M742" s="242"/>
      <c r="N742" s="242"/>
      <c r="O742" s="242"/>
      <c r="P742" s="242"/>
      <c r="Q742" s="242"/>
      <c r="R742" s="242"/>
      <c r="S742" s="242"/>
      <c r="T742" s="242"/>
      <c r="U742" s="242"/>
      <c r="V742" s="242"/>
      <c r="W742" s="242"/>
      <c r="X742" s="242"/>
      <c r="Y742" s="242"/>
      <c r="Z742" s="242"/>
      <c r="AA742" s="242"/>
      <c r="AB742" s="242"/>
    </row>
    <row r="743">
      <c r="A743" s="242"/>
      <c r="B743" s="13"/>
      <c r="C743" s="242"/>
      <c r="D743" s="13"/>
      <c r="E743" s="13"/>
      <c r="F743" s="13"/>
      <c r="G743" s="13"/>
      <c r="H743" s="13"/>
      <c r="I743" s="242"/>
      <c r="J743" s="242"/>
      <c r="K743" s="242"/>
      <c r="L743" s="242"/>
      <c r="M743" s="242"/>
      <c r="N743" s="242"/>
      <c r="O743" s="242"/>
      <c r="P743" s="242"/>
      <c r="Q743" s="242"/>
      <c r="R743" s="242"/>
      <c r="S743" s="242"/>
      <c r="T743" s="242"/>
      <c r="U743" s="242"/>
      <c r="V743" s="242"/>
      <c r="W743" s="242"/>
      <c r="X743" s="242"/>
      <c r="Y743" s="242"/>
      <c r="Z743" s="242"/>
      <c r="AA743" s="242"/>
      <c r="AB743" s="242"/>
    </row>
    <row r="744">
      <c r="A744" s="242"/>
      <c r="B744" s="13"/>
      <c r="C744" s="242"/>
      <c r="D744" s="13"/>
      <c r="E744" s="13"/>
      <c r="F744" s="13"/>
      <c r="G744" s="13"/>
      <c r="H744" s="13"/>
      <c r="I744" s="242"/>
      <c r="J744" s="242"/>
      <c r="K744" s="242"/>
      <c r="L744" s="242"/>
      <c r="M744" s="242"/>
      <c r="N744" s="242"/>
      <c r="O744" s="242"/>
      <c r="P744" s="242"/>
      <c r="Q744" s="242"/>
      <c r="R744" s="242"/>
      <c r="S744" s="242"/>
      <c r="T744" s="242"/>
      <c r="U744" s="242"/>
      <c r="V744" s="242"/>
      <c r="W744" s="242"/>
      <c r="X744" s="242"/>
      <c r="Y744" s="242"/>
      <c r="Z744" s="242"/>
      <c r="AA744" s="242"/>
      <c r="AB744" s="242"/>
    </row>
    <row r="745">
      <c r="A745" s="242"/>
      <c r="B745" s="13"/>
      <c r="C745" s="242"/>
      <c r="D745" s="13"/>
      <c r="E745" s="13"/>
      <c r="F745" s="13"/>
      <c r="G745" s="13"/>
      <c r="H745" s="13"/>
      <c r="I745" s="242"/>
      <c r="J745" s="242"/>
      <c r="K745" s="242"/>
      <c r="L745" s="242"/>
      <c r="M745" s="242"/>
      <c r="N745" s="242"/>
      <c r="O745" s="242"/>
      <c r="P745" s="242"/>
      <c r="Q745" s="242"/>
      <c r="R745" s="242"/>
      <c r="S745" s="242"/>
      <c r="T745" s="242"/>
      <c r="U745" s="242"/>
      <c r="V745" s="242"/>
      <c r="W745" s="242"/>
      <c r="X745" s="242"/>
      <c r="Y745" s="242"/>
      <c r="Z745" s="242"/>
      <c r="AA745" s="242"/>
      <c r="AB745" s="242"/>
    </row>
    <row r="746">
      <c r="A746" s="242"/>
      <c r="B746" s="13"/>
      <c r="C746" s="242"/>
      <c r="D746" s="13"/>
      <c r="E746" s="13"/>
      <c r="F746" s="13"/>
      <c r="G746" s="13"/>
      <c r="H746" s="13"/>
      <c r="I746" s="242"/>
      <c r="J746" s="242"/>
      <c r="K746" s="242"/>
      <c r="L746" s="242"/>
      <c r="M746" s="242"/>
      <c r="N746" s="242"/>
      <c r="O746" s="242"/>
      <c r="P746" s="242"/>
      <c r="Q746" s="242"/>
      <c r="R746" s="242"/>
      <c r="S746" s="242"/>
      <c r="T746" s="242"/>
      <c r="U746" s="242"/>
      <c r="V746" s="242"/>
      <c r="W746" s="242"/>
      <c r="X746" s="242"/>
      <c r="Y746" s="242"/>
      <c r="Z746" s="242"/>
      <c r="AA746" s="242"/>
      <c r="AB746" s="242"/>
    </row>
    <row r="747">
      <c r="A747" s="242"/>
      <c r="B747" s="13"/>
      <c r="C747" s="242"/>
      <c r="D747" s="13"/>
      <c r="E747" s="13"/>
      <c r="F747" s="13"/>
      <c r="G747" s="13"/>
      <c r="H747" s="13"/>
      <c r="I747" s="242"/>
      <c r="J747" s="242"/>
      <c r="K747" s="242"/>
      <c r="L747" s="242"/>
      <c r="M747" s="242"/>
      <c r="N747" s="242"/>
      <c r="O747" s="242"/>
      <c r="P747" s="242"/>
      <c r="Q747" s="242"/>
      <c r="R747" s="242"/>
      <c r="S747" s="242"/>
      <c r="T747" s="242"/>
      <c r="U747" s="242"/>
      <c r="V747" s="242"/>
      <c r="W747" s="242"/>
      <c r="X747" s="242"/>
      <c r="Y747" s="242"/>
      <c r="Z747" s="242"/>
      <c r="AA747" s="242"/>
      <c r="AB747" s="242"/>
    </row>
    <row r="748">
      <c r="A748" s="242"/>
      <c r="B748" s="13"/>
      <c r="C748" s="242"/>
      <c r="D748" s="13"/>
      <c r="E748" s="13"/>
      <c r="F748" s="13"/>
      <c r="G748" s="13"/>
      <c r="H748" s="13"/>
      <c r="I748" s="242"/>
      <c r="J748" s="242"/>
      <c r="K748" s="242"/>
      <c r="L748" s="242"/>
      <c r="M748" s="242"/>
      <c r="N748" s="242"/>
      <c r="O748" s="242"/>
      <c r="P748" s="242"/>
      <c r="Q748" s="242"/>
      <c r="R748" s="242"/>
      <c r="S748" s="242"/>
      <c r="T748" s="242"/>
      <c r="U748" s="242"/>
      <c r="V748" s="242"/>
      <c r="W748" s="242"/>
      <c r="X748" s="242"/>
      <c r="Y748" s="242"/>
      <c r="Z748" s="242"/>
      <c r="AA748" s="242"/>
      <c r="AB748" s="242"/>
    </row>
    <row r="749">
      <c r="A749" s="242"/>
      <c r="B749" s="13"/>
      <c r="C749" s="242"/>
      <c r="D749" s="13"/>
      <c r="E749" s="13"/>
      <c r="F749" s="13"/>
      <c r="G749" s="13"/>
      <c r="H749" s="13"/>
      <c r="I749" s="242"/>
      <c r="J749" s="242"/>
      <c r="K749" s="242"/>
      <c r="L749" s="242"/>
      <c r="M749" s="242"/>
      <c r="N749" s="242"/>
      <c r="O749" s="242"/>
      <c r="P749" s="242"/>
      <c r="Q749" s="242"/>
      <c r="R749" s="242"/>
      <c r="S749" s="242"/>
      <c r="T749" s="242"/>
      <c r="U749" s="242"/>
      <c r="V749" s="242"/>
      <c r="W749" s="242"/>
      <c r="X749" s="242"/>
      <c r="Y749" s="242"/>
      <c r="Z749" s="242"/>
      <c r="AA749" s="242"/>
      <c r="AB749" s="242"/>
    </row>
    <row r="750">
      <c r="A750" s="242"/>
      <c r="B750" s="13"/>
      <c r="C750" s="242"/>
      <c r="D750" s="13"/>
      <c r="E750" s="13"/>
      <c r="F750" s="13"/>
      <c r="G750" s="13"/>
      <c r="H750" s="13"/>
      <c r="I750" s="242"/>
      <c r="J750" s="242"/>
      <c r="K750" s="242"/>
      <c r="L750" s="242"/>
      <c r="M750" s="242"/>
      <c r="N750" s="242"/>
      <c r="O750" s="242"/>
      <c r="P750" s="242"/>
      <c r="Q750" s="242"/>
      <c r="R750" s="242"/>
      <c r="S750" s="242"/>
      <c r="T750" s="242"/>
      <c r="U750" s="242"/>
      <c r="V750" s="242"/>
      <c r="W750" s="242"/>
      <c r="X750" s="242"/>
      <c r="Y750" s="242"/>
      <c r="Z750" s="242"/>
      <c r="AA750" s="242"/>
      <c r="AB750" s="242"/>
    </row>
    <row r="751">
      <c r="A751" s="242"/>
      <c r="B751" s="13"/>
      <c r="C751" s="242"/>
      <c r="D751" s="13"/>
      <c r="E751" s="13"/>
      <c r="F751" s="13"/>
      <c r="G751" s="13"/>
      <c r="H751" s="13"/>
      <c r="I751" s="242"/>
      <c r="J751" s="242"/>
      <c r="K751" s="242"/>
      <c r="L751" s="242"/>
      <c r="M751" s="242"/>
      <c r="N751" s="242"/>
      <c r="O751" s="242"/>
      <c r="P751" s="242"/>
      <c r="Q751" s="242"/>
      <c r="R751" s="242"/>
      <c r="S751" s="242"/>
      <c r="T751" s="242"/>
      <c r="U751" s="242"/>
      <c r="V751" s="242"/>
      <c r="W751" s="242"/>
      <c r="X751" s="242"/>
      <c r="Y751" s="242"/>
      <c r="Z751" s="242"/>
      <c r="AA751" s="242"/>
      <c r="AB751" s="242"/>
    </row>
    <row r="752">
      <c r="A752" s="242"/>
      <c r="B752" s="13"/>
      <c r="C752" s="242"/>
      <c r="D752" s="13"/>
      <c r="E752" s="13"/>
      <c r="F752" s="13"/>
      <c r="G752" s="13"/>
      <c r="H752" s="13"/>
      <c r="I752" s="242"/>
      <c r="J752" s="242"/>
      <c r="K752" s="242"/>
      <c r="L752" s="242"/>
      <c r="M752" s="242"/>
      <c r="N752" s="242"/>
      <c r="O752" s="242"/>
      <c r="P752" s="242"/>
      <c r="Q752" s="242"/>
      <c r="R752" s="242"/>
      <c r="S752" s="242"/>
      <c r="T752" s="242"/>
      <c r="U752" s="242"/>
      <c r="V752" s="242"/>
      <c r="W752" s="242"/>
      <c r="X752" s="242"/>
      <c r="Y752" s="242"/>
      <c r="Z752" s="242"/>
      <c r="AA752" s="242"/>
      <c r="AB752" s="242"/>
    </row>
    <row r="753">
      <c r="A753" s="242"/>
      <c r="B753" s="13"/>
      <c r="C753" s="242"/>
      <c r="D753" s="13"/>
      <c r="E753" s="13"/>
      <c r="F753" s="13"/>
      <c r="G753" s="13"/>
      <c r="H753" s="13"/>
      <c r="I753" s="242"/>
      <c r="J753" s="242"/>
      <c r="K753" s="242"/>
      <c r="L753" s="242"/>
      <c r="M753" s="242"/>
      <c r="N753" s="242"/>
      <c r="O753" s="242"/>
      <c r="P753" s="242"/>
      <c r="Q753" s="242"/>
      <c r="R753" s="242"/>
      <c r="S753" s="242"/>
      <c r="T753" s="242"/>
      <c r="U753" s="242"/>
      <c r="V753" s="242"/>
      <c r="W753" s="242"/>
      <c r="X753" s="242"/>
      <c r="Y753" s="242"/>
      <c r="Z753" s="242"/>
      <c r="AA753" s="242"/>
      <c r="AB753" s="242"/>
    </row>
    <row r="754">
      <c r="A754" s="242"/>
      <c r="B754" s="13"/>
      <c r="C754" s="242"/>
      <c r="D754" s="13"/>
      <c r="E754" s="13"/>
      <c r="F754" s="13"/>
      <c r="G754" s="13"/>
      <c r="H754" s="13"/>
      <c r="I754" s="242"/>
      <c r="J754" s="242"/>
      <c r="K754" s="242"/>
      <c r="L754" s="242"/>
      <c r="M754" s="242"/>
      <c r="N754" s="242"/>
      <c r="O754" s="242"/>
      <c r="P754" s="242"/>
      <c r="Q754" s="242"/>
      <c r="R754" s="242"/>
      <c r="S754" s="242"/>
      <c r="T754" s="242"/>
      <c r="U754" s="242"/>
      <c r="V754" s="242"/>
      <c r="W754" s="242"/>
      <c r="X754" s="242"/>
      <c r="Y754" s="242"/>
      <c r="Z754" s="242"/>
      <c r="AA754" s="242"/>
      <c r="AB754" s="242"/>
    </row>
    <row r="755">
      <c r="A755" s="242"/>
      <c r="B755" s="13"/>
      <c r="C755" s="242"/>
      <c r="D755" s="13"/>
      <c r="E755" s="13"/>
      <c r="F755" s="13"/>
      <c r="G755" s="13"/>
      <c r="H755" s="13"/>
      <c r="I755" s="242"/>
      <c r="J755" s="242"/>
      <c r="K755" s="242"/>
      <c r="L755" s="242"/>
      <c r="M755" s="242"/>
      <c r="N755" s="242"/>
      <c r="O755" s="242"/>
      <c r="P755" s="242"/>
      <c r="Q755" s="242"/>
      <c r="R755" s="242"/>
      <c r="S755" s="242"/>
      <c r="T755" s="242"/>
      <c r="U755" s="242"/>
      <c r="V755" s="242"/>
      <c r="W755" s="242"/>
      <c r="X755" s="242"/>
      <c r="Y755" s="242"/>
      <c r="Z755" s="242"/>
      <c r="AA755" s="242"/>
      <c r="AB755" s="242"/>
    </row>
    <row r="756">
      <c r="A756" s="242"/>
      <c r="B756" s="13"/>
      <c r="C756" s="242"/>
      <c r="D756" s="13"/>
      <c r="E756" s="13"/>
      <c r="F756" s="13"/>
      <c r="G756" s="13"/>
      <c r="H756" s="13"/>
      <c r="I756" s="242"/>
      <c r="J756" s="242"/>
      <c r="K756" s="242"/>
      <c r="L756" s="242"/>
      <c r="M756" s="242"/>
      <c r="N756" s="242"/>
      <c r="O756" s="242"/>
      <c r="P756" s="242"/>
      <c r="Q756" s="242"/>
      <c r="R756" s="242"/>
      <c r="S756" s="242"/>
      <c r="T756" s="242"/>
      <c r="U756" s="242"/>
      <c r="V756" s="242"/>
      <c r="W756" s="242"/>
      <c r="X756" s="242"/>
      <c r="Y756" s="242"/>
      <c r="Z756" s="242"/>
      <c r="AA756" s="242"/>
      <c r="AB756" s="242"/>
    </row>
    <row r="757">
      <c r="A757" s="242"/>
      <c r="B757" s="13"/>
      <c r="C757" s="242"/>
      <c r="D757" s="13"/>
      <c r="E757" s="13"/>
      <c r="F757" s="13"/>
      <c r="G757" s="13"/>
      <c r="H757" s="13"/>
      <c r="I757" s="242"/>
      <c r="J757" s="242"/>
      <c r="K757" s="242"/>
      <c r="L757" s="242"/>
      <c r="M757" s="242"/>
      <c r="N757" s="242"/>
      <c r="O757" s="242"/>
      <c r="P757" s="242"/>
      <c r="Q757" s="242"/>
      <c r="R757" s="242"/>
      <c r="S757" s="242"/>
      <c r="T757" s="242"/>
      <c r="U757" s="242"/>
      <c r="V757" s="242"/>
      <c r="W757" s="242"/>
      <c r="X757" s="242"/>
      <c r="Y757" s="242"/>
      <c r="Z757" s="242"/>
      <c r="AA757" s="242"/>
      <c r="AB757" s="242"/>
    </row>
    <row r="758">
      <c r="A758" s="242"/>
      <c r="B758" s="13"/>
      <c r="C758" s="242"/>
      <c r="D758" s="13"/>
      <c r="E758" s="13"/>
      <c r="F758" s="13"/>
      <c r="G758" s="13"/>
      <c r="H758" s="13"/>
      <c r="I758" s="242"/>
      <c r="J758" s="242"/>
      <c r="K758" s="242"/>
      <c r="L758" s="242"/>
      <c r="M758" s="242"/>
      <c r="N758" s="242"/>
      <c r="O758" s="242"/>
      <c r="P758" s="242"/>
      <c r="Q758" s="242"/>
      <c r="R758" s="242"/>
      <c r="S758" s="242"/>
      <c r="T758" s="242"/>
      <c r="U758" s="242"/>
      <c r="V758" s="242"/>
      <c r="W758" s="242"/>
      <c r="X758" s="242"/>
      <c r="Y758" s="242"/>
      <c r="Z758" s="242"/>
      <c r="AA758" s="242"/>
      <c r="AB758" s="242"/>
    </row>
    <row r="759">
      <c r="A759" s="242"/>
      <c r="B759" s="13"/>
      <c r="C759" s="242"/>
      <c r="D759" s="13"/>
      <c r="E759" s="13"/>
      <c r="F759" s="13"/>
      <c r="G759" s="13"/>
      <c r="H759" s="13"/>
      <c r="I759" s="242"/>
      <c r="J759" s="242"/>
      <c r="K759" s="242"/>
      <c r="L759" s="242"/>
      <c r="M759" s="242"/>
      <c r="N759" s="242"/>
      <c r="O759" s="242"/>
      <c r="P759" s="242"/>
      <c r="Q759" s="242"/>
      <c r="R759" s="242"/>
      <c r="S759" s="242"/>
      <c r="T759" s="242"/>
      <c r="U759" s="242"/>
      <c r="V759" s="242"/>
      <c r="W759" s="242"/>
      <c r="X759" s="242"/>
      <c r="Y759" s="242"/>
      <c r="Z759" s="242"/>
      <c r="AA759" s="242"/>
      <c r="AB759" s="242"/>
    </row>
    <row r="760">
      <c r="A760" s="242"/>
      <c r="B760" s="13"/>
      <c r="C760" s="242"/>
      <c r="D760" s="13"/>
      <c r="E760" s="13"/>
      <c r="F760" s="13"/>
      <c r="G760" s="13"/>
      <c r="H760" s="13"/>
      <c r="I760" s="242"/>
      <c r="J760" s="242"/>
      <c r="K760" s="242"/>
      <c r="L760" s="242"/>
      <c r="M760" s="242"/>
      <c r="N760" s="242"/>
      <c r="O760" s="242"/>
      <c r="P760" s="242"/>
      <c r="Q760" s="242"/>
      <c r="R760" s="242"/>
      <c r="S760" s="242"/>
      <c r="T760" s="242"/>
      <c r="U760" s="242"/>
      <c r="V760" s="242"/>
      <c r="W760" s="242"/>
      <c r="X760" s="242"/>
      <c r="Y760" s="242"/>
      <c r="Z760" s="242"/>
      <c r="AA760" s="242"/>
      <c r="AB760" s="242"/>
    </row>
    <row r="761">
      <c r="A761" s="242"/>
      <c r="B761" s="13"/>
      <c r="C761" s="242"/>
      <c r="D761" s="13"/>
      <c r="E761" s="13"/>
      <c r="F761" s="13"/>
      <c r="G761" s="13"/>
      <c r="H761" s="13"/>
      <c r="I761" s="242"/>
      <c r="J761" s="242"/>
      <c r="K761" s="242"/>
      <c r="L761" s="242"/>
      <c r="M761" s="242"/>
      <c r="N761" s="242"/>
      <c r="O761" s="242"/>
      <c r="P761" s="242"/>
      <c r="Q761" s="242"/>
      <c r="R761" s="242"/>
      <c r="S761" s="242"/>
      <c r="T761" s="242"/>
      <c r="U761" s="242"/>
      <c r="V761" s="242"/>
      <c r="W761" s="242"/>
      <c r="X761" s="242"/>
      <c r="Y761" s="242"/>
      <c r="Z761" s="242"/>
      <c r="AA761" s="242"/>
      <c r="AB761" s="242"/>
    </row>
    <row r="762">
      <c r="A762" s="242"/>
      <c r="B762" s="13"/>
      <c r="C762" s="242"/>
      <c r="D762" s="13"/>
      <c r="E762" s="13"/>
      <c r="F762" s="13"/>
      <c r="G762" s="13"/>
      <c r="H762" s="13"/>
      <c r="I762" s="242"/>
      <c r="J762" s="242"/>
      <c r="K762" s="242"/>
      <c r="L762" s="242"/>
      <c r="M762" s="242"/>
      <c r="N762" s="242"/>
      <c r="O762" s="242"/>
      <c r="P762" s="242"/>
      <c r="Q762" s="242"/>
      <c r="R762" s="242"/>
      <c r="S762" s="242"/>
      <c r="T762" s="242"/>
      <c r="U762" s="242"/>
      <c r="V762" s="242"/>
      <c r="W762" s="242"/>
      <c r="X762" s="242"/>
      <c r="Y762" s="242"/>
      <c r="Z762" s="242"/>
      <c r="AA762" s="242"/>
      <c r="AB762" s="242"/>
    </row>
    <row r="763">
      <c r="A763" s="242"/>
      <c r="B763" s="13"/>
      <c r="C763" s="242"/>
      <c r="D763" s="13"/>
      <c r="E763" s="13"/>
      <c r="F763" s="13"/>
      <c r="G763" s="13"/>
      <c r="H763" s="13"/>
      <c r="I763" s="242"/>
      <c r="J763" s="242"/>
      <c r="K763" s="242"/>
      <c r="L763" s="242"/>
      <c r="M763" s="242"/>
      <c r="N763" s="242"/>
      <c r="O763" s="242"/>
      <c r="P763" s="242"/>
      <c r="Q763" s="242"/>
      <c r="R763" s="242"/>
      <c r="S763" s="242"/>
      <c r="T763" s="242"/>
      <c r="U763" s="242"/>
      <c r="V763" s="242"/>
      <c r="W763" s="242"/>
      <c r="X763" s="242"/>
      <c r="Y763" s="242"/>
      <c r="Z763" s="242"/>
      <c r="AA763" s="242"/>
      <c r="AB763" s="242"/>
    </row>
    <row r="764">
      <c r="A764" s="242"/>
      <c r="B764" s="13"/>
      <c r="C764" s="242"/>
      <c r="D764" s="13"/>
      <c r="E764" s="13"/>
      <c r="F764" s="13"/>
      <c r="G764" s="13"/>
      <c r="H764" s="13"/>
      <c r="I764" s="242"/>
      <c r="J764" s="242"/>
      <c r="K764" s="242"/>
      <c r="L764" s="242"/>
      <c r="M764" s="242"/>
      <c r="N764" s="242"/>
      <c r="O764" s="242"/>
      <c r="P764" s="242"/>
      <c r="Q764" s="242"/>
      <c r="R764" s="242"/>
      <c r="S764" s="242"/>
      <c r="T764" s="242"/>
      <c r="U764" s="242"/>
      <c r="V764" s="242"/>
      <c r="W764" s="242"/>
      <c r="X764" s="242"/>
      <c r="Y764" s="242"/>
      <c r="Z764" s="242"/>
      <c r="AA764" s="242"/>
      <c r="AB764" s="242"/>
    </row>
    <row r="765">
      <c r="A765" s="242"/>
      <c r="B765" s="13"/>
      <c r="C765" s="242"/>
      <c r="D765" s="13"/>
      <c r="E765" s="13"/>
      <c r="F765" s="13"/>
      <c r="G765" s="13"/>
      <c r="H765" s="13"/>
      <c r="I765" s="242"/>
      <c r="J765" s="242"/>
      <c r="K765" s="242"/>
      <c r="L765" s="242"/>
      <c r="M765" s="242"/>
      <c r="N765" s="242"/>
      <c r="O765" s="242"/>
      <c r="P765" s="242"/>
      <c r="Q765" s="242"/>
      <c r="R765" s="242"/>
      <c r="S765" s="242"/>
      <c r="T765" s="242"/>
      <c r="U765" s="242"/>
      <c r="V765" s="242"/>
      <c r="W765" s="242"/>
      <c r="X765" s="242"/>
      <c r="Y765" s="242"/>
      <c r="Z765" s="242"/>
      <c r="AA765" s="242"/>
      <c r="AB765" s="242"/>
    </row>
    <row r="766">
      <c r="A766" s="242"/>
      <c r="B766" s="13"/>
      <c r="C766" s="242"/>
      <c r="D766" s="13"/>
      <c r="E766" s="13"/>
      <c r="F766" s="13"/>
      <c r="G766" s="13"/>
      <c r="H766" s="13"/>
      <c r="I766" s="242"/>
      <c r="J766" s="242"/>
      <c r="K766" s="242"/>
      <c r="L766" s="242"/>
      <c r="M766" s="242"/>
      <c r="N766" s="242"/>
      <c r="O766" s="242"/>
      <c r="P766" s="242"/>
      <c r="Q766" s="242"/>
      <c r="R766" s="242"/>
      <c r="S766" s="242"/>
      <c r="T766" s="242"/>
      <c r="U766" s="242"/>
      <c r="V766" s="242"/>
      <c r="W766" s="242"/>
      <c r="X766" s="242"/>
      <c r="Y766" s="242"/>
      <c r="Z766" s="242"/>
      <c r="AA766" s="242"/>
      <c r="AB766" s="242"/>
    </row>
    <row r="767">
      <c r="A767" s="242"/>
      <c r="B767" s="13"/>
      <c r="C767" s="242"/>
      <c r="D767" s="13"/>
      <c r="E767" s="13"/>
      <c r="F767" s="13"/>
      <c r="G767" s="13"/>
      <c r="H767" s="13"/>
      <c r="I767" s="242"/>
      <c r="J767" s="242"/>
      <c r="K767" s="242"/>
      <c r="L767" s="242"/>
      <c r="M767" s="242"/>
      <c r="N767" s="242"/>
      <c r="O767" s="242"/>
      <c r="P767" s="242"/>
      <c r="Q767" s="242"/>
      <c r="R767" s="242"/>
      <c r="S767" s="242"/>
      <c r="T767" s="242"/>
      <c r="U767" s="242"/>
      <c r="V767" s="242"/>
      <c r="W767" s="242"/>
      <c r="X767" s="242"/>
      <c r="Y767" s="242"/>
      <c r="Z767" s="242"/>
      <c r="AA767" s="242"/>
      <c r="AB767" s="242"/>
    </row>
    <row r="768">
      <c r="A768" s="242"/>
      <c r="B768" s="13"/>
      <c r="C768" s="242"/>
      <c r="D768" s="13"/>
      <c r="E768" s="13"/>
      <c r="F768" s="13"/>
      <c r="G768" s="13"/>
      <c r="H768" s="13"/>
      <c r="I768" s="242"/>
      <c r="J768" s="242"/>
      <c r="K768" s="242"/>
      <c r="L768" s="242"/>
      <c r="M768" s="242"/>
      <c r="N768" s="242"/>
      <c r="O768" s="242"/>
      <c r="P768" s="242"/>
      <c r="Q768" s="242"/>
      <c r="R768" s="242"/>
      <c r="S768" s="242"/>
      <c r="T768" s="242"/>
      <c r="U768" s="242"/>
      <c r="V768" s="242"/>
      <c r="W768" s="242"/>
      <c r="X768" s="242"/>
      <c r="Y768" s="242"/>
      <c r="Z768" s="242"/>
      <c r="AA768" s="242"/>
      <c r="AB768" s="242"/>
    </row>
    <row r="769">
      <c r="A769" s="242"/>
      <c r="B769" s="13"/>
      <c r="C769" s="242"/>
      <c r="D769" s="13"/>
      <c r="E769" s="13"/>
      <c r="F769" s="13"/>
      <c r="G769" s="13"/>
      <c r="H769" s="13"/>
      <c r="I769" s="242"/>
      <c r="J769" s="242"/>
      <c r="K769" s="242"/>
      <c r="L769" s="242"/>
      <c r="M769" s="242"/>
      <c r="N769" s="242"/>
      <c r="O769" s="242"/>
      <c r="P769" s="242"/>
      <c r="Q769" s="242"/>
      <c r="R769" s="242"/>
      <c r="S769" s="242"/>
      <c r="T769" s="242"/>
      <c r="U769" s="242"/>
      <c r="V769" s="242"/>
      <c r="W769" s="242"/>
      <c r="X769" s="242"/>
      <c r="Y769" s="242"/>
      <c r="Z769" s="242"/>
      <c r="AA769" s="242"/>
      <c r="AB769" s="242"/>
    </row>
    <row r="770">
      <c r="A770" s="242"/>
      <c r="B770" s="13"/>
      <c r="C770" s="242"/>
      <c r="D770" s="13"/>
      <c r="E770" s="13"/>
      <c r="F770" s="13"/>
      <c r="G770" s="13"/>
      <c r="H770" s="13"/>
      <c r="I770" s="242"/>
      <c r="J770" s="242"/>
      <c r="K770" s="242"/>
      <c r="L770" s="242"/>
      <c r="M770" s="242"/>
      <c r="N770" s="242"/>
      <c r="O770" s="242"/>
      <c r="P770" s="242"/>
      <c r="Q770" s="242"/>
      <c r="R770" s="242"/>
      <c r="S770" s="242"/>
      <c r="T770" s="242"/>
      <c r="U770" s="242"/>
      <c r="V770" s="242"/>
      <c r="W770" s="242"/>
      <c r="X770" s="242"/>
      <c r="Y770" s="242"/>
      <c r="Z770" s="242"/>
      <c r="AA770" s="242"/>
      <c r="AB770" s="242"/>
    </row>
    <row r="771">
      <c r="A771" s="242"/>
      <c r="B771" s="13"/>
      <c r="C771" s="242"/>
      <c r="D771" s="13"/>
      <c r="E771" s="13"/>
      <c r="F771" s="13"/>
      <c r="G771" s="13"/>
      <c r="H771" s="13"/>
      <c r="I771" s="242"/>
      <c r="J771" s="242"/>
      <c r="K771" s="242"/>
      <c r="L771" s="242"/>
      <c r="M771" s="242"/>
      <c r="N771" s="242"/>
      <c r="O771" s="242"/>
      <c r="P771" s="242"/>
      <c r="Q771" s="242"/>
      <c r="R771" s="242"/>
      <c r="S771" s="242"/>
      <c r="T771" s="242"/>
      <c r="U771" s="242"/>
      <c r="V771" s="242"/>
      <c r="W771" s="242"/>
      <c r="X771" s="242"/>
      <c r="Y771" s="242"/>
      <c r="Z771" s="242"/>
      <c r="AA771" s="242"/>
      <c r="AB771" s="242"/>
    </row>
    <row r="772">
      <c r="A772" s="242"/>
      <c r="B772" s="13"/>
      <c r="C772" s="242"/>
      <c r="D772" s="13"/>
      <c r="E772" s="13"/>
      <c r="F772" s="13"/>
      <c r="G772" s="13"/>
      <c r="H772" s="13"/>
      <c r="I772" s="242"/>
      <c r="J772" s="242"/>
      <c r="K772" s="242"/>
      <c r="L772" s="242"/>
      <c r="M772" s="242"/>
      <c r="N772" s="242"/>
      <c r="O772" s="242"/>
      <c r="P772" s="242"/>
      <c r="Q772" s="242"/>
      <c r="R772" s="242"/>
      <c r="S772" s="242"/>
      <c r="T772" s="242"/>
      <c r="U772" s="242"/>
      <c r="V772" s="242"/>
      <c r="W772" s="242"/>
      <c r="X772" s="242"/>
      <c r="Y772" s="242"/>
      <c r="Z772" s="242"/>
      <c r="AA772" s="242"/>
      <c r="AB772" s="242"/>
    </row>
    <row r="773">
      <c r="A773" s="242"/>
      <c r="B773" s="13"/>
      <c r="C773" s="242"/>
      <c r="D773" s="13"/>
      <c r="E773" s="13"/>
      <c r="F773" s="13"/>
      <c r="G773" s="13"/>
      <c r="H773" s="13"/>
      <c r="I773" s="242"/>
      <c r="J773" s="242"/>
      <c r="K773" s="242"/>
      <c r="L773" s="242"/>
      <c r="M773" s="242"/>
      <c r="N773" s="242"/>
      <c r="O773" s="242"/>
      <c r="P773" s="242"/>
      <c r="Q773" s="242"/>
      <c r="R773" s="242"/>
      <c r="S773" s="242"/>
      <c r="T773" s="242"/>
      <c r="U773" s="242"/>
      <c r="V773" s="242"/>
      <c r="W773" s="242"/>
      <c r="X773" s="242"/>
      <c r="Y773" s="242"/>
      <c r="Z773" s="242"/>
      <c r="AA773" s="242"/>
      <c r="AB773" s="242"/>
    </row>
    <row r="774">
      <c r="A774" s="242"/>
      <c r="B774" s="13"/>
      <c r="C774" s="242"/>
      <c r="D774" s="13"/>
      <c r="E774" s="13"/>
      <c r="F774" s="13"/>
      <c r="G774" s="13"/>
      <c r="H774" s="13"/>
      <c r="I774" s="242"/>
      <c r="J774" s="242"/>
      <c r="K774" s="242"/>
      <c r="L774" s="242"/>
      <c r="M774" s="242"/>
      <c r="N774" s="242"/>
      <c r="O774" s="242"/>
      <c r="P774" s="242"/>
      <c r="Q774" s="242"/>
      <c r="R774" s="242"/>
      <c r="S774" s="242"/>
      <c r="T774" s="242"/>
      <c r="U774" s="242"/>
      <c r="V774" s="242"/>
      <c r="W774" s="242"/>
      <c r="X774" s="242"/>
      <c r="Y774" s="242"/>
      <c r="Z774" s="242"/>
      <c r="AA774" s="242"/>
      <c r="AB774" s="242"/>
    </row>
    <row r="775">
      <c r="A775" s="242"/>
      <c r="B775" s="13"/>
      <c r="C775" s="242"/>
      <c r="D775" s="13"/>
      <c r="E775" s="13"/>
      <c r="F775" s="13"/>
      <c r="G775" s="13"/>
      <c r="H775" s="13"/>
      <c r="I775" s="242"/>
      <c r="J775" s="242"/>
      <c r="K775" s="242"/>
      <c r="L775" s="242"/>
      <c r="M775" s="242"/>
      <c r="N775" s="242"/>
      <c r="O775" s="242"/>
      <c r="P775" s="242"/>
      <c r="Q775" s="242"/>
      <c r="R775" s="242"/>
      <c r="S775" s="242"/>
      <c r="T775" s="242"/>
      <c r="U775" s="242"/>
      <c r="V775" s="242"/>
      <c r="W775" s="242"/>
      <c r="X775" s="242"/>
      <c r="Y775" s="242"/>
      <c r="Z775" s="242"/>
      <c r="AA775" s="242"/>
      <c r="AB775" s="242"/>
    </row>
    <row r="776">
      <c r="A776" s="242"/>
      <c r="B776" s="13"/>
      <c r="C776" s="242"/>
      <c r="D776" s="13"/>
      <c r="E776" s="13"/>
      <c r="F776" s="13"/>
      <c r="G776" s="13"/>
      <c r="H776" s="13"/>
      <c r="I776" s="242"/>
      <c r="J776" s="242"/>
      <c r="K776" s="242"/>
      <c r="L776" s="242"/>
      <c r="M776" s="242"/>
      <c r="N776" s="242"/>
      <c r="O776" s="242"/>
      <c r="P776" s="242"/>
      <c r="Q776" s="242"/>
      <c r="R776" s="242"/>
      <c r="S776" s="242"/>
      <c r="T776" s="242"/>
      <c r="U776" s="242"/>
      <c r="V776" s="242"/>
      <c r="W776" s="242"/>
      <c r="X776" s="242"/>
      <c r="Y776" s="242"/>
      <c r="Z776" s="242"/>
      <c r="AA776" s="242"/>
      <c r="AB776" s="242"/>
    </row>
    <row r="777">
      <c r="A777" s="242"/>
      <c r="B777" s="13"/>
      <c r="C777" s="242"/>
      <c r="D777" s="13"/>
      <c r="E777" s="13"/>
      <c r="F777" s="13"/>
      <c r="G777" s="13"/>
      <c r="H777" s="13"/>
      <c r="I777" s="242"/>
      <c r="J777" s="242"/>
      <c r="K777" s="242"/>
      <c r="L777" s="242"/>
      <c r="M777" s="242"/>
      <c r="N777" s="242"/>
      <c r="O777" s="242"/>
      <c r="P777" s="242"/>
      <c r="Q777" s="242"/>
      <c r="R777" s="242"/>
      <c r="S777" s="242"/>
      <c r="T777" s="242"/>
      <c r="U777" s="242"/>
      <c r="V777" s="242"/>
      <c r="W777" s="242"/>
      <c r="X777" s="242"/>
      <c r="Y777" s="242"/>
      <c r="Z777" s="242"/>
      <c r="AA777" s="242"/>
      <c r="AB777" s="242"/>
    </row>
    <row r="778">
      <c r="A778" s="242"/>
      <c r="B778" s="13"/>
      <c r="C778" s="242"/>
      <c r="D778" s="13"/>
      <c r="E778" s="13"/>
      <c r="F778" s="13"/>
      <c r="G778" s="13"/>
      <c r="H778" s="13"/>
      <c r="I778" s="242"/>
      <c r="J778" s="242"/>
      <c r="K778" s="242"/>
      <c r="L778" s="242"/>
      <c r="M778" s="242"/>
      <c r="N778" s="242"/>
      <c r="O778" s="242"/>
      <c r="P778" s="242"/>
      <c r="Q778" s="242"/>
      <c r="R778" s="242"/>
      <c r="S778" s="242"/>
      <c r="T778" s="242"/>
      <c r="U778" s="242"/>
      <c r="V778" s="242"/>
      <c r="W778" s="242"/>
      <c r="X778" s="242"/>
      <c r="Y778" s="242"/>
      <c r="Z778" s="242"/>
      <c r="AA778" s="242"/>
      <c r="AB778" s="242"/>
    </row>
    <row r="779">
      <c r="A779" s="242"/>
      <c r="B779" s="13"/>
      <c r="C779" s="242"/>
      <c r="D779" s="13"/>
      <c r="E779" s="13"/>
      <c r="F779" s="13"/>
      <c r="G779" s="13"/>
      <c r="H779" s="13"/>
      <c r="I779" s="242"/>
      <c r="J779" s="242"/>
      <c r="K779" s="242"/>
      <c r="L779" s="242"/>
      <c r="M779" s="242"/>
      <c r="N779" s="242"/>
      <c r="O779" s="242"/>
      <c r="P779" s="242"/>
      <c r="Q779" s="242"/>
      <c r="R779" s="242"/>
      <c r="S779" s="242"/>
      <c r="T779" s="242"/>
      <c r="U779" s="242"/>
      <c r="V779" s="242"/>
      <c r="W779" s="242"/>
      <c r="X779" s="242"/>
      <c r="Y779" s="242"/>
      <c r="Z779" s="242"/>
      <c r="AA779" s="242"/>
      <c r="AB779" s="242"/>
    </row>
    <row r="780">
      <c r="A780" s="242"/>
      <c r="B780" s="13"/>
      <c r="C780" s="242"/>
      <c r="D780" s="13"/>
      <c r="E780" s="13"/>
      <c r="F780" s="13"/>
      <c r="G780" s="13"/>
      <c r="H780" s="13"/>
      <c r="I780" s="242"/>
      <c r="J780" s="242"/>
      <c r="K780" s="242"/>
      <c r="L780" s="242"/>
      <c r="M780" s="242"/>
      <c r="N780" s="242"/>
      <c r="O780" s="242"/>
      <c r="P780" s="242"/>
      <c r="Q780" s="242"/>
      <c r="R780" s="242"/>
      <c r="S780" s="242"/>
      <c r="T780" s="242"/>
      <c r="U780" s="242"/>
      <c r="V780" s="242"/>
      <c r="W780" s="242"/>
      <c r="X780" s="242"/>
      <c r="Y780" s="242"/>
      <c r="Z780" s="242"/>
      <c r="AA780" s="242"/>
      <c r="AB780" s="242"/>
    </row>
    <row r="781">
      <c r="A781" s="242"/>
      <c r="B781" s="13"/>
      <c r="C781" s="242"/>
      <c r="D781" s="13"/>
      <c r="E781" s="13"/>
      <c r="F781" s="13"/>
      <c r="G781" s="13"/>
      <c r="H781" s="13"/>
      <c r="I781" s="242"/>
      <c r="J781" s="242"/>
      <c r="K781" s="242"/>
      <c r="L781" s="242"/>
      <c r="M781" s="242"/>
      <c r="N781" s="242"/>
      <c r="O781" s="242"/>
      <c r="P781" s="242"/>
      <c r="Q781" s="242"/>
      <c r="R781" s="242"/>
      <c r="S781" s="242"/>
      <c r="T781" s="242"/>
      <c r="U781" s="242"/>
      <c r="V781" s="242"/>
      <c r="W781" s="242"/>
      <c r="X781" s="242"/>
      <c r="Y781" s="242"/>
      <c r="Z781" s="242"/>
      <c r="AA781" s="242"/>
      <c r="AB781" s="242"/>
    </row>
    <row r="782">
      <c r="A782" s="242"/>
      <c r="B782" s="13"/>
      <c r="C782" s="242"/>
      <c r="D782" s="13"/>
      <c r="E782" s="13"/>
      <c r="F782" s="13"/>
      <c r="G782" s="13"/>
      <c r="H782" s="13"/>
      <c r="I782" s="242"/>
      <c r="J782" s="242"/>
      <c r="K782" s="242"/>
      <c r="L782" s="242"/>
      <c r="M782" s="242"/>
      <c r="N782" s="242"/>
      <c r="O782" s="242"/>
      <c r="P782" s="242"/>
      <c r="Q782" s="242"/>
      <c r="R782" s="242"/>
      <c r="S782" s="242"/>
      <c r="T782" s="242"/>
      <c r="U782" s="242"/>
      <c r="V782" s="242"/>
      <c r="W782" s="242"/>
      <c r="X782" s="242"/>
      <c r="Y782" s="242"/>
      <c r="Z782" s="242"/>
      <c r="AA782" s="242"/>
      <c r="AB782" s="242"/>
    </row>
    <row r="783">
      <c r="A783" s="242"/>
      <c r="B783" s="13"/>
      <c r="C783" s="242"/>
      <c r="D783" s="13"/>
      <c r="E783" s="13"/>
      <c r="F783" s="13"/>
      <c r="G783" s="13"/>
      <c r="H783" s="13"/>
      <c r="I783" s="242"/>
      <c r="J783" s="242"/>
      <c r="K783" s="242"/>
      <c r="L783" s="242"/>
      <c r="M783" s="242"/>
      <c r="N783" s="242"/>
      <c r="O783" s="242"/>
      <c r="P783" s="242"/>
      <c r="Q783" s="242"/>
      <c r="R783" s="242"/>
      <c r="S783" s="242"/>
      <c r="T783" s="242"/>
      <c r="U783" s="242"/>
      <c r="V783" s="242"/>
      <c r="W783" s="242"/>
      <c r="X783" s="242"/>
      <c r="Y783" s="242"/>
      <c r="Z783" s="242"/>
      <c r="AA783" s="242"/>
      <c r="AB783" s="242"/>
    </row>
    <row r="784">
      <c r="A784" s="242"/>
      <c r="B784" s="13"/>
      <c r="C784" s="242"/>
      <c r="D784" s="13"/>
      <c r="E784" s="13"/>
      <c r="F784" s="13"/>
      <c r="G784" s="13"/>
      <c r="H784" s="13"/>
      <c r="I784" s="242"/>
      <c r="J784" s="242"/>
      <c r="K784" s="242"/>
      <c r="L784" s="242"/>
      <c r="M784" s="242"/>
      <c r="N784" s="242"/>
      <c r="O784" s="242"/>
      <c r="P784" s="242"/>
      <c r="Q784" s="242"/>
      <c r="R784" s="242"/>
      <c r="S784" s="242"/>
      <c r="T784" s="242"/>
      <c r="U784" s="242"/>
      <c r="V784" s="242"/>
      <c r="W784" s="242"/>
      <c r="X784" s="242"/>
      <c r="Y784" s="242"/>
      <c r="Z784" s="242"/>
      <c r="AA784" s="242"/>
      <c r="AB784" s="242"/>
    </row>
    <row r="785">
      <c r="A785" s="242"/>
      <c r="B785" s="13"/>
      <c r="C785" s="242"/>
      <c r="D785" s="13"/>
      <c r="E785" s="13"/>
      <c r="F785" s="13"/>
      <c r="G785" s="13"/>
      <c r="H785" s="13"/>
      <c r="I785" s="242"/>
      <c r="J785" s="242"/>
      <c r="K785" s="242"/>
      <c r="L785" s="242"/>
      <c r="M785" s="242"/>
      <c r="N785" s="242"/>
      <c r="O785" s="242"/>
      <c r="P785" s="242"/>
      <c r="Q785" s="242"/>
      <c r="R785" s="242"/>
      <c r="S785" s="242"/>
      <c r="T785" s="242"/>
      <c r="U785" s="242"/>
      <c r="V785" s="242"/>
      <c r="W785" s="242"/>
      <c r="X785" s="242"/>
      <c r="Y785" s="242"/>
      <c r="Z785" s="242"/>
      <c r="AA785" s="242"/>
      <c r="AB785" s="242"/>
    </row>
    <row r="786">
      <c r="A786" s="242"/>
      <c r="B786" s="13"/>
      <c r="C786" s="242"/>
      <c r="D786" s="13"/>
      <c r="E786" s="13"/>
      <c r="F786" s="13"/>
      <c r="G786" s="13"/>
      <c r="H786" s="13"/>
      <c r="I786" s="242"/>
      <c r="J786" s="242"/>
      <c r="K786" s="242"/>
      <c r="L786" s="242"/>
      <c r="M786" s="242"/>
      <c r="N786" s="242"/>
      <c r="O786" s="242"/>
      <c r="P786" s="242"/>
      <c r="Q786" s="242"/>
      <c r="R786" s="242"/>
      <c r="S786" s="242"/>
      <c r="T786" s="242"/>
      <c r="U786" s="242"/>
      <c r="V786" s="242"/>
      <c r="W786" s="242"/>
      <c r="X786" s="242"/>
      <c r="Y786" s="242"/>
      <c r="Z786" s="242"/>
      <c r="AA786" s="242"/>
      <c r="AB786" s="242"/>
    </row>
    <row r="787">
      <c r="A787" s="242"/>
      <c r="B787" s="13"/>
      <c r="C787" s="242"/>
      <c r="D787" s="13"/>
      <c r="E787" s="13"/>
      <c r="F787" s="13"/>
      <c r="G787" s="13"/>
      <c r="H787" s="13"/>
      <c r="I787" s="242"/>
      <c r="J787" s="242"/>
      <c r="K787" s="242"/>
      <c r="L787" s="242"/>
      <c r="M787" s="242"/>
      <c r="N787" s="242"/>
      <c r="O787" s="242"/>
      <c r="P787" s="242"/>
      <c r="Q787" s="242"/>
      <c r="R787" s="242"/>
      <c r="S787" s="242"/>
      <c r="T787" s="242"/>
      <c r="U787" s="242"/>
      <c r="V787" s="242"/>
      <c r="W787" s="242"/>
      <c r="X787" s="242"/>
      <c r="Y787" s="242"/>
      <c r="Z787" s="242"/>
      <c r="AA787" s="242"/>
      <c r="AB787" s="242"/>
    </row>
    <row r="788">
      <c r="A788" s="242"/>
      <c r="B788" s="13"/>
      <c r="C788" s="242"/>
      <c r="D788" s="13"/>
      <c r="E788" s="13"/>
      <c r="F788" s="13"/>
      <c r="G788" s="13"/>
      <c r="H788" s="13"/>
      <c r="I788" s="242"/>
      <c r="J788" s="242"/>
      <c r="K788" s="242"/>
      <c r="L788" s="242"/>
      <c r="M788" s="242"/>
      <c r="N788" s="242"/>
      <c r="O788" s="242"/>
      <c r="P788" s="242"/>
      <c r="Q788" s="242"/>
      <c r="R788" s="242"/>
      <c r="S788" s="242"/>
      <c r="T788" s="242"/>
      <c r="U788" s="242"/>
      <c r="V788" s="242"/>
      <c r="W788" s="242"/>
      <c r="X788" s="242"/>
      <c r="Y788" s="242"/>
      <c r="Z788" s="242"/>
      <c r="AA788" s="242"/>
      <c r="AB788" s="242"/>
    </row>
    <row r="789">
      <c r="A789" s="242"/>
      <c r="B789" s="13"/>
      <c r="C789" s="242"/>
      <c r="D789" s="13"/>
      <c r="E789" s="13"/>
      <c r="F789" s="13"/>
      <c r="G789" s="13"/>
      <c r="H789" s="13"/>
      <c r="I789" s="242"/>
      <c r="J789" s="242"/>
      <c r="K789" s="242"/>
      <c r="L789" s="242"/>
      <c r="M789" s="242"/>
      <c r="N789" s="242"/>
      <c r="O789" s="242"/>
      <c r="P789" s="242"/>
      <c r="Q789" s="242"/>
      <c r="R789" s="242"/>
      <c r="S789" s="242"/>
      <c r="T789" s="242"/>
      <c r="U789" s="242"/>
      <c r="V789" s="242"/>
      <c r="W789" s="242"/>
      <c r="X789" s="242"/>
      <c r="Y789" s="242"/>
      <c r="Z789" s="242"/>
      <c r="AA789" s="242"/>
      <c r="AB789" s="242"/>
    </row>
    <row r="790">
      <c r="A790" s="242"/>
      <c r="B790" s="13"/>
      <c r="C790" s="242"/>
      <c r="D790" s="13"/>
      <c r="E790" s="13"/>
      <c r="F790" s="13"/>
      <c r="G790" s="13"/>
      <c r="H790" s="13"/>
      <c r="I790" s="242"/>
      <c r="J790" s="242"/>
      <c r="K790" s="242"/>
      <c r="L790" s="242"/>
      <c r="M790" s="242"/>
      <c r="N790" s="242"/>
      <c r="O790" s="242"/>
      <c r="P790" s="242"/>
      <c r="Q790" s="242"/>
      <c r="R790" s="242"/>
      <c r="S790" s="242"/>
      <c r="T790" s="242"/>
      <c r="U790" s="242"/>
      <c r="V790" s="242"/>
      <c r="W790" s="242"/>
      <c r="X790" s="242"/>
      <c r="Y790" s="242"/>
      <c r="Z790" s="242"/>
      <c r="AA790" s="242"/>
      <c r="AB790" s="242"/>
    </row>
    <row r="791">
      <c r="A791" s="242"/>
      <c r="B791" s="13"/>
      <c r="C791" s="242"/>
      <c r="D791" s="13"/>
      <c r="E791" s="13"/>
      <c r="F791" s="13"/>
      <c r="G791" s="13"/>
      <c r="H791" s="13"/>
      <c r="I791" s="242"/>
      <c r="J791" s="242"/>
      <c r="K791" s="242"/>
      <c r="L791" s="242"/>
      <c r="M791" s="242"/>
      <c r="N791" s="242"/>
      <c r="O791" s="242"/>
      <c r="P791" s="242"/>
      <c r="Q791" s="242"/>
      <c r="R791" s="242"/>
      <c r="S791" s="242"/>
      <c r="T791" s="242"/>
      <c r="U791" s="242"/>
      <c r="V791" s="242"/>
      <c r="W791" s="242"/>
      <c r="X791" s="242"/>
      <c r="Y791" s="242"/>
      <c r="Z791" s="242"/>
      <c r="AA791" s="242"/>
      <c r="AB791" s="242"/>
    </row>
    <row r="792">
      <c r="A792" s="242"/>
      <c r="B792" s="13"/>
      <c r="C792" s="242"/>
      <c r="D792" s="13"/>
      <c r="E792" s="13"/>
      <c r="F792" s="13"/>
      <c r="G792" s="13"/>
      <c r="H792" s="13"/>
      <c r="I792" s="242"/>
      <c r="J792" s="242"/>
      <c r="K792" s="242"/>
      <c r="L792" s="242"/>
      <c r="M792" s="242"/>
      <c r="N792" s="242"/>
      <c r="O792" s="242"/>
      <c r="P792" s="242"/>
      <c r="Q792" s="242"/>
      <c r="R792" s="242"/>
      <c r="S792" s="242"/>
      <c r="T792" s="242"/>
      <c r="U792" s="242"/>
      <c r="V792" s="242"/>
      <c r="W792" s="242"/>
      <c r="X792" s="242"/>
      <c r="Y792" s="242"/>
      <c r="Z792" s="242"/>
      <c r="AA792" s="242"/>
      <c r="AB792" s="242"/>
    </row>
    <row r="793">
      <c r="A793" s="242"/>
      <c r="B793" s="13"/>
      <c r="C793" s="242"/>
      <c r="D793" s="13"/>
      <c r="E793" s="13"/>
      <c r="F793" s="13"/>
      <c r="G793" s="13"/>
      <c r="H793" s="13"/>
      <c r="I793" s="242"/>
      <c r="J793" s="242"/>
      <c r="K793" s="242"/>
      <c r="L793" s="242"/>
      <c r="M793" s="242"/>
      <c r="N793" s="242"/>
      <c r="O793" s="242"/>
      <c r="P793" s="242"/>
      <c r="Q793" s="242"/>
      <c r="R793" s="242"/>
      <c r="S793" s="242"/>
      <c r="T793" s="242"/>
      <c r="U793" s="242"/>
      <c r="V793" s="242"/>
      <c r="W793" s="242"/>
      <c r="X793" s="242"/>
      <c r="Y793" s="242"/>
      <c r="Z793" s="242"/>
      <c r="AA793" s="242"/>
      <c r="AB793" s="242"/>
    </row>
    <row r="794">
      <c r="A794" s="242"/>
      <c r="B794" s="13"/>
      <c r="C794" s="242"/>
      <c r="D794" s="13"/>
      <c r="E794" s="13"/>
      <c r="F794" s="13"/>
      <c r="G794" s="13"/>
      <c r="H794" s="13"/>
      <c r="I794" s="242"/>
      <c r="J794" s="242"/>
      <c r="K794" s="242"/>
      <c r="L794" s="242"/>
      <c r="M794" s="242"/>
      <c r="N794" s="242"/>
      <c r="O794" s="242"/>
      <c r="P794" s="242"/>
      <c r="Q794" s="242"/>
      <c r="R794" s="242"/>
      <c r="S794" s="242"/>
      <c r="T794" s="242"/>
      <c r="U794" s="242"/>
      <c r="V794" s="242"/>
      <c r="W794" s="242"/>
      <c r="X794" s="242"/>
      <c r="Y794" s="242"/>
      <c r="Z794" s="242"/>
      <c r="AA794" s="242"/>
      <c r="AB794" s="242"/>
    </row>
    <row r="795">
      <c r="A795" s="242"/>
      <c r="B795" s="13"/>
      <c r="C795" s="242"/>
      <c r="D795" s="13"/>
      <c r="E795" s="13"/>
      <c r="F795" s="13"/>
      <c r="G795" s="13"/>
      <c r="H795" s="13"/>
      <c r="I795" s="242"/>
      <c r="J795" s="242"/>
      <c r="K795" s="242"/>
      <c r="L795" s="242"/>
      <c r="M795" s="242"/>
      <c r="N795" s="242"/>
      <c r="O795" s="242"/>
      <c r="P795" s="242"/>
      <c r="Q795" s="242"/>
      <c r="R795" s="242"/>
      <c r="S795" s="242"/>
      <c r="T795" s="242"/>
      <c r="U795" s="242"/>
      <c r="V795" s="242"/>
      <c r="W795" s="242"/>
      <c r="X795" s="242"/>
      <c r="Y795" s="242"/>
      <c r="Z795" s="242"/>
      <c r="AA795" s="242"/>
      <c r="AB795" s="242"/>
    </row>
    <row r="796">
      <c r="A796" s="242"/>
      <c r="B796" s="13"/>
      <c r="C796" s="242"/>
      <c r="D796" s="13"/>
      <c r="E796" s="13"/>
      <c r="F796" s="13"/>
      <c r="G796" s="13"/>
      <c r="H796" s="13"/>
      <c r="I796" s="242"/>
      <c r="J796" s="242"/>
      <c r="K796" s="242"/>
      <c r="L796" s="242"/>
      <c r="M796" s="242"/>
      <c r="N796" s="242"/>
      <c r="O796" s="242"/>
      <c r="P796" s="242"/>
      <c r="Q796" s="242"/>
      <c r="R796" s="242"/>
      <c r="S796" s="242"/>
      <c r="T796" s="242"/>
      <c r="U796" s="242"/>
      <c r="V796" s="242"/>
      <c r="W796" s="242"/>
      <c r="X796" s="242"/>
      <c r="Y796" s="242"/>
      <c r="Z796" s="242"/>
      <c r="AA796" s="242"/>
      <c r="AB796" s="242"/>
    </row>
    <row r="797">
      <c r="A797" s="242"/>
      <c r="B797" s="13"/>
      <c r="C797" s="242"/>
      <c r="D797" s="13"/>
      <c r="E797" s="13"/>
      <c r="F797" s="13"/>
      <c r="G797" s="13"/>
      <c r="H797" s="13"/>
      <c r="I797" s="242"/>
      <c r="J797" s="242"/>
      <c r="K797" s="242"/>
      <c r="L797" s="242"/>
      <c r="M797" s="242"/>
      <c r="N797" s="242"/>
      <c r="O797" s="242"/>
      <c r="P797" s="242"/>
      <c r="Q797" s="242"/>
      <c r="R797" s="242"/>
      <c r="S797" s="242"/>
      <c r="T797" s="242"/>
      <c r="U797" s="242"/>
      <c r="V797" s="242"/>
      <c r="W797" s="242"/>
      <c r="X797" s="242"/>
      <c r="Y797" s="242"/>
      <c r="Z797" s="242"/>
      <c r="AA797" s="242"/>
      <c r="AB797" s="242"/>
    </row>
    <row r="798">
      <c r="A798" s="242"/>
      <c r="B798" s="13"/>
      <c r="C798" s="242"/>
      <c r="D798" s="13"/>
      <c r="E798" s="13"/>
      <c r="F798" s="13"/>
      <c r="G798" s="13"/>
      <c r="H798" s="13"/>
      <c r="I798" s="242"/>
      <c r="J798" s="242"/>
      <c r="K798" s="242"/>
      <c r="L798" s="242"/>
      <c r="M798" s="242"/>
      <c r="N798" s="242"/>
      <c r="O798" s="242"/>
      <c r="P798" s="242"/>
      <c r="Q798" s="242"/>
      <c r="R798" s="242"/>
      <c r="S798" s="242"/>
      <c r="T798" s="242"/>
      <c r="U798" s="242"/>
      <c r="V798" s="242"/>
      <c r="W798" s="242"/>
      <c r="X798" s="242"/>
      <c r="Y798" s="242"/>
      <c r="Z798" s="242"/>
      <c r="AA798" s="242"/>
      <c r="AB798" s="242"/>
    </row>
    <row r="799">
      <c r="A799" s="242"/>
      <c r="B799" s="13"/>
      <c r="C799" s="242"/>
      <c r="D799" s="13"/>
      <c r="E799" s="13"/>
      <c r="F799" s="13"/>
      <c r="G799" s="13"/>
      <c r="H799" s="13"/>
      <c r="I799" s="242"/>
      <c r="J799" s="242"/>
      <c r="K799" s="242"/>
      <c r="L799" s="242"/>
      <c r="M799" s="242"/>
      <c r="N799" s="242"/>
      <c r="O799" s="242"/>
      <c r="P799" s="242"/>
      <c r="Q799" s="242"/>
      <c r="R799" s="242"/>
      <c r="S799" s="242"/>
      <c r="T799" s="242"/>
      <c r="U799" s="242"/>
      <c r="V799" s="242"/>
      <c r="W799" s="242"/>
      <c r="X799" s="242"/>
      <c r="Y799" s="242"/>
      <c r="Z799" s="242"/>
      <c r="AA799" s="242"/>
      <c r="AB799" s="242"/>
    </row>
    <row r="800">
      <c r="A800" s="242"/>
      <c r="B800" s="13"/>
      <c r="C800" s="242"/>
      <c r="D800" s="13"/>
      <c r="E800" s="13"/>
      <c r="F800" s="13"/>
      <c r="G800" s="13"/>
      <c r="H800" s="13"/>
      <c r="I800" s="242"/>
      <c r="J800" s="242"/>
      <c r="K800" s="242"/>
      <c r="L800" s="242"/>
      <c r="M800" s="242"/>
      <c r="N800" s="242"/>
      <c r="O800" s="242"/>
      <c r="P800" s="242"/>
      <c r="Q800" s="242"/>
      <c r="R800" s="242"/>
      <c r="S800" s="242"/>
      <c r="T800" s="242"/>
      <c r="U800" s="242"/>
      <c r="V800" s="242"/>
      <c r="W800" s="242"/>
      <c r="X800" s="242"/>
      <c r="Y800" s="242"/>
      <c r="Z800" s="242"/>
      <c r="AA800" s="242"/>
      <c r="AB800" s="242"/>
    </row>
    <row r="801">
      <c r="A801" s="242"/>
      <c r="B801" s="13"/>
      <c r="C801" s="242"/>
      <c r="D801" s="13"/>
      <c r="E801" s="13"/>
      <c r="F801" s="13"/>
      <c r="G801" s="13"/>
      <c r="H801" s="13"/>
      <c r="I801" s="242"/>
      <c r="J801" s="242"/>
      <c r="K801" s="242"/>
      <c r="L801" s="242"/>
      <c r="M801" s="242"/>
      <c r="N801" s="242"/>
      <c r="O801" s="242"/>
      <c r="P801" s="242"/>
      <c r="Q801" s="242"/>
      <c r="R801" s="242"/>
      <c r="S801" s="242"/>
      <c r="T801" s="242"/>
      <c r="U801" s="242"/>
      <c r="V801" s="242"/>
      <c r="W801" s="242"/>
      <c r="X801" s="242"/>
      <c r="Y801" s="242"/>
      <c r="Z801" s="242"/>
      <c r="AA801" s="242"/>
      <c r="AB801" s="242"/>
    </row>
    <row r="802">
      <c r="A802" s="242"/>
      <c r="B802" s="13"/>
      <c r="C802" s="242"/>
      <c r="D802" s="13"/>
      <c r="E802" s="13"/>
      <c r="F802" s="13"/>
      <c r="G802" s="13"/>
      <c r="H802" s="13"/>
      <c r="I802" s="242"/>
      <c r="J802" s="242"/>
      <c r="K802" s="242"/>
      <c r="L802" s="242"/>
      <c r="M802" s="242"/>
      <c r="N802" s="242"/>
      <c r="O802" s="242"/>
      <c r="P802" s="242"/>
      <c r="Q802" s="242"/>
      <c r="R802" s="242"/>
      <c r="S802" s="242"/>
      <c r="T802" s="242"/>
      <c r="U802" s="242"/>
      <c r="V802" s="242"/>
      <c r="W802" s="242"/>
      <c r="X802" s="242"/>
      <c r="Y802" s="242"/>
      <c r="Z802" s="242"/>
      <c r="AA802" s="242"/>
      <c r="AB802" s="242"/>
    </row>
    <row r="803">
      <c r="A803" s="242"/>
      <c r="B803" s="13"/>
      <c r="C803" s="242"/>
      <c r="D803" s="13"/>
      <c r="E803" s="13"/>
      <c r="F803" s="13"/>
      <c r="G803" s="13"/>
      <c r="H803" s="13"/>
      <c r="I803" s="242"/>
      <c r="J803" s="242"/>
      <c r="K803" s="242"/>
      <c r="L803" s="242"/>
      <c r="M803" s="242"/>
      <c r="N803" s="242"/>
      <c r="O803" s="242"/>
      <c r="P803" s="242"/>
      <c r="Q803" s="242"/>
      <c r="R803" s="242"/>
      <c r="S803" s="242"/>
      <c r="T803" s="242"/>
      <c r="U803" s="242"/>
      <c r="V803" s="242"/>
      <c r="W803" s="242"/>
      <c r="X803" s="242"/>
      <c r="Y803" s="242"/>
      <c r="Z803" s="242"/>
      <c r="AA803" s="242"/>
      <c r="AB803" s="242"/>
    </row>
    <row r="804">
      <c r="A804" s="242"/>
      <c r="B804" s="13"/>
      <c r="C804" s="242"/>
      <c r="D804" s="13"/>
      <c r="E804" s="13"/>
      <c r="F804" s="13"/>
      <c r="G804" s="13"/>
      <c r="H804" s="13"/>
      <c r="I804" s="242"/>
      <c r="J804" s="242"/>
      <c r="K804" s="242"/>
      <c r="L804" s="242"/>
      <c r="M804" s="242"/>
      <c r="N804" s="242"/>
      <c r="O804" s="242"/>
      <c r="P804" s="242"/>
      <c r="Q804" s="242"/>
      <c r="R804" s="242"/>
      <c r="S804" s="242"/>
      <c r="T804" s="242"/>
      <c r="U804" s="242"/>
      <c r="V804" s="242"/>
      <c r="W804" s="242"/>
      <c r="X804" s="242"/>
      <c r="Y804" s="242"/>
      <c r="Z804" s="242"/>
      <c r="AA804" s="242"/>
      <c r="AB804" s="242"/>
    </row>
    <row r="805">
      <c r="A805" s="242"/>
      <c r="B805" s="13"/>
      <c r="C805" s="242"/>
      <c r="D805" s="13"/>
      <c r="E805" s="13"/>
      <c r="F805" s="13"/>
      <c r="G805" s="13"/>
      <c r="H805" s="13"/>
      <c r="I805" s="242"/>
      <c r="J805" s="242"/>
      <c r="K805" s="242"/>
      <c r="L805" s="242"/>
      <c r="M805" s="242"/>
      <c r="N805" s="242"/>
      <c r="O805" s="242"/>
      <c r="P805" s="242"/>
      <c r="Q805" s="242"/>
      <c r="R805" s="242"/>
      <c r="S805" s="242"/>
      <c r="T805" s="242"/>
      <c r="U805" s="242"/>
      <c r="V805" s="242"/>
      <c r="W805" s="242"/>
      <c r="X805" s="242"/>
      <c r="Y805" s="242"/>
      <c r="Z805" s="242"/>
      <c r="AA805" s="242"/>
      <c r="AB805" s="242"/>
    </row>
    <row r="806">
      <c r="A806" s="242"/>
      <c r="B806" s="13"/>
      <c r="C806" s="242"/>
      <c r="D806" s="13"/>
      <c r="E806" s="13"/>
      <c r="F806" s="13"/>
      <c r="G806" s="13"/>
      <c r="H806" s="13"/>
      <c r="I806" s="242"/>
      <c r="J806" s="242"/>
      <c r="K806" s="242"/>
      <c r="L806" s="242"/>
      <c r="M806" s="242"/>
      <c r="N806" s="242"/>
      <c r="O806" s="242"/>
      <c r="P806" s="242"/>
      <c r="Q806" s="242"/>
      <c r="R806" s="242"/>
      <c r="S806" s="242"/>
      <c r="T806" s="242"/>
      <c r="U806" s="242"/>
      <c r="V806" s="242"/>
      <c r="W806" s="242"/>
      <c r="X806" s="242"/>
      <c r="Y806" s="242"/>
      <c r="Z806" s="242"/>
      <c r="AA806" s="242"/>
      <c r="AB806" s="242"/>
    </row>
    <row r="807">
      <c r="A807" s="242"/>
      <c r="B807" s="13"/>
      <c r="C807" s="242"/>
      <c r="D807" s="13"/>
      <c r="E807" s="13"/>
      <c r="F807" s="13"/>
      <c r="G807" s="13"/>
      <c r="H807" s="13"/>
      <c r="I807" s="242"/>
      <c r="J807" s="242"/>
      <c r="K807" s="242"/>
      <c r="L807" s="242"/>
      <c r="M807" s="242"/>
      <c r="N807" s="242"/>
      <c r="O807" s="242"/>
      <c r="P807" s="242"/>
      <c r="Q807" s="242"/>
      <c r="R807" s="242"/>
      <c r="S807" s="242"/>
      <c r="T807" s="242"/>
      <c r="U807" s="242"/>
      <c r="V807" s="242"/>
      <c r="W807" s="242"/>
      <c r="X807" s="242"/>
      <c r="Y807" s="242"/>
      <c r="Z807" s="242"/>
      <c r="AA807" s="242"/>
      <c r="AB807" s="242"/>
    </row>
    <row r="808">
      <c r="A808" s="242"/>
      <c r="B808" s="13"/>
      <c r="C808" s="242"/>
      <c r="D808" s="13"/>
      <c r="E808" s="13"/>
      <c r="F808" s="13"/>
      <c r="G808" s="13"/>
      <c r="H808" s="13"/>
      <c r="I808" s="242"/>
      <c r="J808" s="242"/>
      <c r="K808" s="242"/>
      <c r="L808" s="242"/>
      <c r="M808" s="242"/>
      <c r="N808" s="242"/>
      <c r="O808" s="242"/>
      <c r="P808" s="242"/>
      <c r="Q808" s="242"/>
      <c r="R808" s="242"/>
      <c r="S808" s="242"/>
      <c r="T808" s="242"/>
      <c r="U808" s="242"/>
      <c r="V808" s="242"/>
      <c r="W808" s="242"/>
      <c r="X808" s="242"/>
      <c r="Y808" s="242"/>
      <c r="Z808" s="242"/>
      <c r="AA808" s="242"/>
      <c r="AB808" s="242"/>
    </row>
    <row r="809">
      <c r="A809" s="242"/>
      <c r="B809" s="13"/>
      <c r="C809" s="242"/>
      <c r="D809" s="13"/>
      <c r="E809" s="13"/>
      <c r="F809" s="13"/>
      <c r="G809" s="13"/>
      <c r="H809" s="13"/>
      <c r="I809" s="242"/>
      <c r="J809" s="242"/>
      <c r="K809" s="242"/>
      <c r="L809" s="242"/>
      <c r="M809" s="242"/>
      <c r="N809" s="242"/>
      <c r="O809" s="242"/>
      <c r="P809" s="242"/>
      <c r="Q809" s="242"/>
      <c r="R809" s="242"/>
      <c r="S809" s="242"/>
      <c r="T809" s="242"/>
      <c r="U809" s="242"/>
      <c r="V809" s="242"/>
      <c r="W809" s="242"/>
      <c r="X809" s="242"/>
      <c r="Y809" s="242"/>
      <c r="Z809" s="242"/>
      <c r="AA809" s="242"/>
      <c r="AB809" s="242"/>
    </row>
    <row r="810">
      <c r="A810" s="242"/>
      <c r="B810" s="13"/>
      <c r="C810" s="242"/>
      <c r="D810" s="13"/>
      <c r="E810" s="13"/>
      <c r="F810" s="13"/>
      <c r="G810" s="13"/>
      <c r="H810" s="13"/>
      <c r="I810" s="242"/>
      <c r="J810" s="242"/>
      <c r="K810" s="242"/>
      <c r="L810" s="242"/>
      <c r="M810" s="242"/>
      <c r="N810" s="242"/>
      <c r="O810" s="242"/>
      <c r="P810" s="242"/>
      <c r="Q810" s="242"/>
      <c r="R810" s="242"/>
      <c r="S810" s="242"/>
      <c r="T810" s="242"/>
      <c r="U810" s="242"/>
      <c r="V810" s="242"/>
      <c r="W810" s="242"/>
      <c r="X810" s="242"/>
      <c r="Y810" s="242"/>
      <c r="Z810" s="242"/>
      <c r="AA810" s="242"/>
      <c r="AB810" s="242"/>
    </row>
    <row r="811">
      <c r="A811" s="242"/>
      <c r="B811" s="13"/>
      <c r="C811" s="242"/>
      <c r="D811" s="13"/>
      <c r="E811" s="13"/>
      <c r="F811" s="13"/>
      <c r="G811" s="13"/>
      <c r="H811" s="13"/>
      <c r="I811" s="242"/>
      <c r="J811" s="242"/>
      <c r="K811" s="242"/>
      <c r="L811" s="242"/>
      <c r="M811" s="242"/>
      <c r="N811" s="242"/>
      <c r="O811" s="242"/>
      <c r="P811" s="242"/>
      <c r="Q811" s="242"/>
      <c r="R811" s="242"/>
      <c r="S811" s="242"/>
      <c r="T811" s="242"/>
      <c r="U811" s="242"/>
      <c r="V811" s="242"/>
      <c r="W811" s="242"/>
      <c r="X811" s="242"/>
      <c r="Y811" s="242"/>
      <c r="Z811" s="242"/>
      <c r="AA811" s="242"/>
      <c r="AB811" s="242"/>
    </row>
    <row r="812">
      <c r="A812" s="242"/>
      <c r="B812" s="13"/>
      <c r="C812" s="242"/>
      <c r="D812" s="13"/>
      <c r="E812" s="13"/>
      <c r="F812" s="13"/>
      <c r="G812" s="13"/>
      <c r="H812" s="13"/>
      <c r="I812" s="242"/>
      <c r="J812" s="242"/>
      <c r="K812" s="242"/>
      <c r="L812" s="242"/>
      <c r="M812" s="242"/>
      <c r="N812" s="242"/>
      <c r="O812" s="242"/>
      <c r="P812" s="242"/>
      <c r="Q812" s="242"/>
      <c r="R812" s="242"/>
      <c r="S812" s="242"/>
      <c r="T812" s="242"/>
      <c r="U812" s="242"/>
      <c r="V812" s="242"/>
      <c r="W812" s="242"/>
      <c r="X812" s="242"/>
      <c r="Y812" s="242"/>
      <c r="Z812" s="242"/>
      <c r="AA812" s="242"/>
      <c r="AB812" s="242"/>
    </row>
    <row r="813">
      <c r="A813" s="242"/>
      <c r="B813" s="13"/>
      <c r="C813" s="242"/>
      <c r="D813" s="13"/>
      <c r="E813" s="13"/>
      <c r="F813" s="13"/>
      <c r="G813" s="13"/>
      <c r="H813" s="13"/>
      <c r="I813" s="242"/>
      <c r="J813" s="242"/>
      <c r="K813" s="242"/>
      <c r="L813" s="242"/>
      <c r="M813" s="242"/>
      <c r="N813" s="242"/>
      <c r="O813" s="242"/>
      <c r="P813" s="242"/>
      <c r="Q813" s="242"/>
      <c r="R813" s="242"/>
      <c r="S813" s="242"/>
      <c r="T813" s="242"/>
      <c r="U813" s="242"/>
      <c r="V813" s="242"/>
      <c r="W813" s="242"/>
      <c r="X813" s="242"/>
      <c r="Y813" s="242"/>
      <c r="Z813" s="242"/>
      <c r="AA813" s="242"/>
      <c r="AB813" s="242"/>
    </row>
    <row r="814">
      <c r="A814" s="242"/>
      <c r="B814" s="13"/>
      <c r="C814" s="242"/>
      <c r="D814" s="13"/>
      <c r="E814" s="13"/>
      <c r="F814" s="13"/>
      <c r="G814" s="13"/>
      <c r="H814" s="13"/>
      <c r="I814" s="242"/>
      <c r="J814" s="242"/>
      <c r="K814" s="242"/>
      <c r="L814" s="242"/>
      <c r="M814" s="242"/>
      <c r="N814" s="242"/>
      <c r="O814" s="242"/>
      <c r="P814" s="242"/>
      <c r="Q814" s="242"/>
      <c r="R814" s="242"/>
      <c r="S814" s="242"/>
      <c r="T814" s="242"/>
      <c r="U814" s="242"/>
      <c r="V814" s="242"/>
      <c r="W814" s="242"/>
      <c r="X814" s="242"/>
      <c r="Y814" s="242"/>
      <c r="Z814" s="242"/>
      <c r="AA814" s="242"/>
      <c r="AB814" s="242"/>
    </row>
    <row r="815">
      <c r="A815" s="242"/>
      <c r="B815" s="13"/>
      <c r="C815" s="242"/>
      <c r="D815" s="13"/>
      <c r="E815" s="13"/>
      <c r="F815" s="13"/>
      <c r="G815" s="13"/>
      <c r="H815" s="13"/>
      <c r="I815" s="242"/>
      <c r="J815" s="242"/>
      <c r="K815" s="242"/>
      <c r="L815" s="242"/>
      <c r="M815" s="242"/>
      <c r="N815" s="242"/>
      <c r="O815" s="242"/>
      <c r="P815" s="242"/>
      <c r="Q815" s="242"/>
      <c r="R815" s="242"/>
      <c r="S815" s="242"/>
      <c r="T815" s="242"/>
      <c r="U815" s="242"/>
      <c r="V815" s="242"/>
      <c r="W815" s="242"/>
      <c r="X815" s="242"/>
      <c r="Y815" s="242"/>
      <c r="Z815" s="242"/>
      <c r="AA815" s="242"/>
      <c r="AB815" s="242"/>
    </row>
    <row r="816">
      <c r="A816" s="242"/>
      <c r="B816" s="13"/>
      <c r="C816" s="242"/>
      <c r="D816" s="13"/>
      <c r="E816" s="13"/>
      <c r="F816" s="13"/>
      <c r="G816" s="13"/>
      <c r="H816" s="13"/>
      <c r="I816" s="242"/>
      <c r="J816" s="242"/>
      <c r="K816" s="242"/>
      <c r="L816" s="242"/>
      <c r="M816" s="242"/>
      <c r="N816" s="242"/>
      <c r="O816" s="242"/>
      <c r="P816" s="242"/>
      <c r="Q816" s="242"/>
      <c r="R816" s="242"/>
      <c r="S816" s="242"/>
      <c r="T816" s="242"/>
      <c r="U816" s="242"/>
      <c r="V816" s="242"/>
      <c r="W816" s="242"/>
      <c r="X816" s="242"/>
      <c r="Y816" s="242"/>
      <c r="Z816" s="242"/>
      <c r="AA816" s="242"/>
      <c r="AB816" s="242"/>
    </row>
    <row r="817">
      <c r="A817" s="242"/>
      <c r="B817" s="13"/>
      <c r="C817" s="242"/>
      <c r="D817" s="13"/>
      <c r="E817" s="13"/>
      <c r="F817" s="13"/>
      <c r="G817" s="13"/>
      <c r="H817" s="13"/>
      <c r="I817" s="242"/>
      <c r="J817" s="242"/>
      <c r="K817" s="242"/>
      <c r="L817" s="242"/>
      <c r="M817" s="242"/>
      <c r="N817" s="242"/>
      <c r="O817" s="242"/>
      <c r="P817" s="242"/>
      <c r="Q817" s="242"/>
      <c r="R817" s="242"/>
      <c r="S817" s="242"/>
      <c r="T817" s="242"/>
      <c r="U817" s="242"/>
      <c r="V817" s="242"/>
      <c r="W817" s="242"/>
      <c r="X817" s="242"/>
      <c r="Y817" s="242"/>
      <c r="Z817" s="242"/>
      <c r="AA817" s="242"/>
      <c r="AB817" s="242"/>
    </row>
    <row r="818">
      <c r="A818" s="242"/>
      <c r="B818" s="13"/>
      <c r="C818" s="242"/>
      <c r="D818" s="13"/>
      <c r="E818" s="13"/>
      <c r="F818" s="13"/>
      <c r="G818" s="13"/>
      <c r="H818" s="13"/>
      <c r="I818" s="242"/>
      <c r="J818" s="242"/>
      <c r="K818" s="242"/>
      <c r="L818" s="242"/>
      <c r="M818" s="242"/>
      <c r="N818" s="242"/>
      <c r="O818" s="242"/>
      <c r="P818" s="242"/>
      <c r="Q818" s="242"/>
      <c r="R818" s="242"/>
      <c r="S818" s="242"/>
      <c r="T818" s="242"/>
      <c r="U818" s="242"/>
      <c r="V818" s="242"/>
      <c r="W818" s="242"/>
      <c r="X818" s="242"/>
      <c r="Y818" s="242"/>
      <c r="Z818" s="242"/>
      <c r="AA818" s="242"/>
      <c r="AB818" s="242"/>
    </row>
    <row r="819">
      <c r="A819" s="242"/>
      <c r="B819" s="13"/>
      <c r="C819" s="242"/>
      <c r="D819" s="13"/>
      <c r="E819" s="13"/>
      <c r="F819" s="13"/>
      <c r="G819" s="13"/>
      <c r="H819" s="13"/>
      <c r="I819" s="242"/>
      <c r="J819" s="242"/>
      <c r="K819" s="242"/>
      <c r="L819" s="242"/>
      <c r="M819" s="242"/>
      <c r="N819" s="242"/>
      <c r="O819" s="242"/>
      <c r="P819" s="242"/>
      <c r="Q819" s="242"/>
      <c r="R819" s="242"/>
      <c r="S819" s="242"/>
      <c r="T819" s="242"/>
      <c r="U819" s="242"/>
      <c r="V819" s="242"/>
      <c r="W819" s="242"/>
      <c r="X819" s="242"/>
      <c r="Y819" s="242"/>
      <c r="Z819" s="242"/>
      <c r="AA819" s="242"/>
      <c r="AB819" s="242"/>
    </row>
    <row r="820">
      <c r="A820" s="242"/>
      <c r="B820" s="13"/>
      <c r="C820" s="242"/>
      <c r="D820" s="13"/>
      <c r="E820" s="13"/>
      <c r="F820" s="13"/>
      <c r="G820" s="13"/>
      <c r="H820" s="13"/>
      <c r="I820" s="242"/>
      <c r="J820" s="242"/>
      <c r="K820" s="242"/>
      <c r="L820" s="242"/>
      <c r="M820" s="242"/>
      <c r="N820" s="242"/>
      <c r="O820" s="242"/>
      <c r="P820" s="242"/>
      <c r="Q820" s="242"/>
      <c r="R820" s="242"/>
      <c r="S820" s="242"/>
      <c r="T820" s="242"/>
      <c r="U820" s="242"/>
      <c r="V820" s="242"/>
      <c r="W820" s="242"/>
      <c r="X820" s="242"/>
      <c r="Y820" s="242"/>
      <c r="Z820" s="242"/>
      <c r="AA820" s="242"/>
      <c r="AB820" s="242"/>
    </row>
    <row r="821">
      <c r="A821" s="242"/>
      <c r="B821" s="13"/>
      <c r="C821" s="242"/>
      <c r="D821" s="13"/>
      <c r="E821" s="13"/>
      <c r="F821" s="13"/>
      <c r="G821" s="13"/>
      <c r="H821" s="13"/>
      <c r="I821" s="242"/>
      <c r="J821" s="242"/>
      <c r="K821" s="242"/>
      <c r="L821" s="242"/>
      <c r="M821" s="242"/>
      <c r="N821" s="242"/>
      <c r="O821" s="242"/>
      <c r="P821" s="242"/>
      <c r="Q821" s="242"/>
      <c r="R821" s="242"/>
      <c r="S821" s="242"/>
      <c r="T821" s="242"/>
      <c r="U821" s="242"/>
      <c r="V821" s="242"/>
      <c r="W821" s="242"/>
      <c r="X821" s="242"/>
      <c r="Y821" s="242"/>
      <c r="Z821" s="242"/>
      <c r="AA821" s="242"/>
      <c r="AB821" s="242"/>
    </row>
    <row r="822">
      <c r="A822" s="242"/>
      <c r="B822" s="13"/>
      <c r="C822" s="242"/>
      <c r="D822" s="13"/>
      <c r="E822" s="13"/>
      <c r="F822" s="13"/>
      <c r="G822" s="13"/>
      <c r="H822" s="13"/>
      <c r="I822" s="242"/>
      <c r="J822" s="242"/>
      <c r="K822" s="242"/>
      <c r="L822" s="242"/>
      <c r="M822" s="242"/>
      <c r="N822" s="242"/>
      <c r="O822" s="242"/>
      <c r="P822" s="242"/>
      <c r="Q822" s="242"/>
      <c r="R822" s="242"/>
      <c r="S822" s="242"/>
      <c r="T822" s="242"/>
      <c r="U822" s="242"/>
      <c r="V822" s="242"/>
      <c r="W822" s="242"/>
      <c r="X822" s="242"/>
      <c r="Y822" s="242"/>
      <c r="Z822" s="242"/>
      <c r="AA822" s="242"/>
      <c r="AB822" s="242"/>
    </row>
    <row r="823">
      <c r="A823" s="242"/>
      <c r="B823" s="13"/>
      <c r="C823" s="242"/>
      <c r="D823" s="13"/>
      <c r="E823" s="13"/>
      <c r="F823" s="13"/>
      <c r="G823" s="13"/>
      <c r="H823" s="13"/>
      <c r="I823" s="242"/>
      <c r="J823" s="242"/>
      <c r="K823" s="242"/>
      <c r="L823" s="242"/>
      <c r="M823" s="242"/>
      <c r="N823" s="242"/>
      <c r="O823" s="242"/>
      <c r="P823" s="242"/>
      <c r="Q823" s="242"/>
      <c r="R823" s="242"/>
      <c r="S823" s="242"/>
      <c r="T823" s="242"/>
      <c r="U823" s="242"/>
      <c r="V823" s="242"/>
      <c r="W823" s="242"/>
      <c r="X823" s="242"/>
      <c r="Y823" s="242"/>
      <c r="Z823" s="242"/>
      <c r="AA823" s="242"/>
      <c r="AB823" s="242"/>
    </row>
    <row r="824">
      <c r="A824" s="242"/>
      <c r="B824" s="13"/>
      <c r="C824" s="242"/>
      <c r="D824" s="13"/>
      <c r="E824" s="13"/>
      <c r="F824" s="13"/>
      <c r="G824" s="13"/>
      <c r="H824" s="13"/>
      <c r="I824" s="242"/>
      <c r="J824" s="242"/>
      <c r="K824" s="242"/>
      <c r="L824" s="242"/>
      <c r="M824" s="242"/>
      <c r="N824" s="242"/>
      <c r="O824" s="242"/>
      <c r="P824" s="242"/>
      <c r="Q824" s="242"/>
      <c r="R824" s="242"/>
      <c r="S824" s="242"/>
      <c r="T824" s="242"/>
      <c r="U824" s="242"/>
      <c r="V824" s="242"/>
      <c r="W824" s="242"/>
      <c r="X824" s="242"/>
      <c r="Y824" s="242"/>
      <c r="Z824" s="242"/>
      <c r="AA824" s="242"/>
      <c r="AB824" s="242"/>
    </row>
    <row r="825">
      <c r="A825" s="242"/>
      <c r="B825" s="13"/>
      <c r="C825" s="242"/>
      <c r="D825" s="13"/>
      <c r="E825" s="13"/>
      <c r="F825" s="13"/>
      <c r="G825" s="13"/>
      <c r="H825" s="13"/>
      <c r="I825" s="242"/>
      <c r="J825" s="242"/>
      <c r="K825" s="242"/>
      <c r="L825" s="242"/>
      <c r="M825" s="242"/>
      <c r="N825" s="242"/>
      <c r="O825" s="242"/>
      <c r="P825" s="242"/>
      <c r="Q825" s="242"/>
      <c r="R825" s="242"/>
      <c r="S825" s="242"/>
      <c r="T825" s="242"/>
      <c r="U825" s="242"/>
      <c r="V825" s="242"/>
      <c r="W825" s="242"/>
      <c r="X825" s="242"/>
      <c r="Y825" s="242"/>
      <c r="Z825" s="242"/>
      <c r="AA825" s="242"/>
      <c r="AB825" s="242"/>
    </row>
    <row r="826">
      <c r="A826" s="242"/>
      <c r="B826" s="13"/>
      <c r="C826" s="242"/>
      <c r="D826" s="13"/>
      <c r="E826" s="13"/>
      <c r="F826" s="13"/>
      <c r="G826" s="13"/>
      <c r="H826" s="13"/>
      <c r="I826" s="242"/>
      <c r="J826" s="242"/>
      <c r="K826" s="242"/>
      <c r="L826" s="242"/>
      <c r="M826" s="242"/>
      <c r="N826" s="242"/>
      <c r="O826" s="242"/>
      <c r="P826" s="242"/>
      <c r="Q826" s="242"/>
      <c r="R826" s="242"/>
      <c r="S826" s="242"/>
      <c r="T826" s="242"/>
      <c r="U826" s="242"/>
      <c r="V826" s="242"/>
      <c r="W826" s="242"/>
      <c r="X826" s="242"/>
      <c r="Y826" s="242"/>
      <c r="Z826" s="242"/>
      <c r="AA826" s="242"/>
      <c r="AB826" s="242"/>
    </row>
    <row r="827">
      <c r="A827" s="242"/>
      <c r="B827" s="13"/>
      <c r="C827" s="242"/>
      <c r="D827" s="13"/>
      <c r="E827" s="13"/>
      <c r="F827" s="13"/>
      <c r="G827" s="13"/>
      <c r="H827" s="13"/>
      <c r="I827" s="242"/>
      <c r="J827" s="242"/>
      <c r="K827" s="242"/>
      <c r="L827" s="242"/>
      <c r="M827" s="242"/>
      <c r="N827" s="242"/>
      <c r="O827" s="242"/>
      <c r="P827" s="242"/>
      <c r="Q827" s="242"/>
      <c r="R827" s="242"/>
      <c r="S827" s="242"/>
      <c r="T827" s="242"/>
      <c r="U827" s="242"/>
      <c r="V827" s="242"/>
      <c r="W827" s="242"/>
      <c r="X827" s="242"/>
      <c r="Y827" s="242"/>
      <c r="Z827" s="242"/>
      <c r="AA827" s="242"/>
      <c r="AB827" s="242"/>
    </row>
    <row r="828">
      <c r="A828" s="242"/>
      <c r="B828" s="13"/>
      <c r="C828" s="242"/>
      <c r="D828" s="13"/>
      <c r="E828" s="13"/>
      <c r="F828" s="13"/>
      <c r="G828" s="13"/>
      <c r="H828" s="13"/>
      <c r="I828" s="242"/>
      <c r="J828" s="242"/>
      <c r="K828" s="242"/>
      <c r="L828" s="242"/>
      <c r="M828" s="242"/>
      <c r="N828" s="242"/>
      <c r="O828" s="242"/>
      <c r="P828" s="242"/>
      <c r="Q828" s="242"/>
      <c r="R828" s="242"/>
      <c r="S828" s="242"/>
      <c r="T828" s="242"/>
      <c r="U828" s="242"/>
      <c r="V828" s="242"/>
      <c r="W828" s="242"/>
      <c r="X828" s="242"/>
      <c r="Y828" s="242"/>
      <c r="Z828" s="242"/>
      <c r="AA828" s="242"/>
      <c r="AB828" s="242"/>
    </row>
    <row r="829">
      <c r="A829" s="242"/>
      <c r="B829" s="13"/>
      <c r="C829" s="242"/>
      <c r="D829" s="13"/>
      <c r="E829" s="13"/>
      <c r="F829" s="13"/>
      <c r="G829" s="13"/>
      <c r="H829" s="13"/>
      <c r="I829" s="242"/>
      <c r="J829" s="242"/>
      <c r="K829" s="242"/>
      <c r="L829" s="242"/>
      <c r="M829" s="242"/>
      <c r="N829" s="242"/>
      <c r="O829" s="242"/>
      <c r="P829" s="242"/>
      <c r="Q829" s="242"/>
      <c r="R829" s="242"/>
      <c r="S829" s="242"/>
      <c r="T829" s="242"/>
      <c r="U829" s="242"/>
      <c r="V829" s="242"/>
      <c r="W829" s="242"/>
      <c r="X829" s="242"/>
      <c r="Y829" s="242"/>
      <c r="Z829" s="242"/>
      <c r="AA829" s="242"/>
      <c r="AB829" s="242"/>
    </row>
    <row r="830">
      <c r="A830" s="242"/>
      <c r="B830" s="13"/>
      <c r="C830" s="242"/>
      <c r="D830" s="13"/>
      <c r="E830" s="13"/>
      <c r="F830" s="13"/>
      <c r="G830" s="13"/>
      <c r="H830" s="13"/>
      <c r="I830" s="242"/>
      <c r="J830" s="242"/>
      <c r="K830" s="242"/>
      <c r="L830" s="242"/>
      <c r="M830" s="242"/>
      <c r="N830" s="242"/>
      <c r="O830" s="242"/>
      <c r="P830" s="242"/>
      <c r="Q830" s="242"/>
      <c r="R830" s="242"/>
      <c r="S830" s="242"/>
      <c r="T830" s="242"/>
      <c r="U830" s="242"/>
      <c r="V830" s="242"/>
      <c r="W830" s="242"/>
      <c r="X830" s="242"/>
      <c r="Y830" s="242"/>
      <c r="Z830" s="242"/>
      <c r="AA830" s="242"/>
      <c r="AB830" s="242"/>
    </row>
    <row r="831">
      <c r="A831" s="242"/>
      <c r="B831" s="13"/>
      <c r="C831" s="242"/>
      <c r="D831" s="13"/>
      <c r="E831" s="13"/>
      <c r="F831" s="13"/>
      <c r="G831" s="13"/>
      <c r="H831" s="13"/>
      <c r="I831" s="242"/>
      <c r="J831" s="242"/>
      <c r="K831" s="242"/>
      <c r="L831" s="242"/>
      <c r="M831" s="242"/>
      <c r="N831" s="242"/>
      <c r="O831" s="242"/>
      <c r="P831" s="242"/>
      <c r="Q831" s="242"/>
      <c r="R831" s="242"/>
      <c r="S831" s="242"/>
      <c r="T831" s="242"/>
      <c r="U831" s="242"/>
      <c r="V831" s="242"/>
      <c r="W831" s="242"/>
      <c r="X831" s="242"/>
      <c r="Y831" s="242"/>
      <c r="Z831" s="242"/>
      <c r="AA831" s="242"/>
      <c r="AB831" s="242"/>
    </row>
    <row r="832">
      <c r="A832" s="242"/>
      <c r="B832" s="13"/>
      <c r="C832" s="242"/>
      <c r="D832" s="13"/>
      <c r="E832" s="13"/>
      <c r="F832" s="13"/>
      <c r="G832" s="13"/>
      <c r="H832" s="13"/>
      <c r="I832" s="242"/>
      <c r="J832" s="242"/>
      <c r="K832" s="242"/>
      <c r="L832" s="242"/>
      <c r="M832" s="242"/>
      <c r="N832" s="242"/>
      <c r="O832" s="242"/>
      <c r="P832" s="242"/>
      <c r="Q832" s="242"/>
      <c r="R832" s="242"/>
      <c r="S832" s="242"/>
      <c r="T832" s="242"/>
      <c r="U832" s="242"/>
      <c r="V832" s="242"/>
      <c r="W832" s="242"/>
      <c r="X832" s="242"/>
      <c r="Y832" s="242"/>
      <c r="Z832" s="242"/>
      <c r="AA832" s="242"/>
      <c r="AB832" s="242"/>
    </row>
    <row r="833">
      <c r="A833" s="242"/>
      <c r="B833" s="13"/>
      <c r="C833" s="242"/>
      <c r="D833" s="13"/>
      <c r="E833" s="13"/>
      <c r="F833" s="13"/>
      <c r="G833" s="13"/>
      <c r="H833" s="13"/>
      <c r="I833" s="242"/>
      <c r="J833" s="242"/>
      <c r="K833" s="242"/>
      <c r="L833" s="242"/>
      <c r="M833" s="242"/>
      <c r="N833" s="242"/>
      <c r="O833" s="242"/>
      <c r="P833" s="242"/>
      <c r="Q833" s="242"/>
      <c r="R833" s="242"/>
      <c r="S833" s="242"/>
      <c r="T833" s="242"/>
      <c r="U833" s="242"/>
      <c r="V833" s="242"/>
      <c r="W833" s="242"/>
      <c r="X833" s="242"/>
      <c r="Y833" s="242"/>
      <c r="Z833" s="242"/>
      <c r="AA833" s="242"/>
      <c r="AB833" s="242"/>
    </row>
    <row r="834">
      <c r="A834" s="242"/>
      <c r="B834" s="13"/>
      <c r="C834" s="242"/>
      <c r="D834" s="13"/>
      <c r="E834" s="13"/>
      <c r="F834" s="13"/>
      <c r="G834" s="13"/>
      <c r="H834" s="13"/>
      <c r="I834" s="242"/>
      <c r="J834" s="242"/>
      <c r="K834" s="242"/>
      <c r="L834" s="242"/>
      <c r="M834" s="242"/>
      <c r="N834" s="242"/>
      <c r="O834" s="242"/>
      <c r="P834" s="242"/>
      <c r="Q834" s="242"/>
      <c r="R834" s="242"/>
      <c r="S834" s="242"/>
      <c r="T834" s="242"/>
      <c r="U834" s="242"/>
      <c r="V834" s="242"/>
      <c r="W834" s="242"/>
      <c r="X834" s="242"/>
      <c r="Y834" s="242"/>
      <c r="Z834" s="242"/>
      <c r="AA834" s="242"/>
      <c r="AB834" s="242"/>
    </row>
    <row r="835">
      <c r="A835" s="242"/>
      <c r="B835" s="13"/>
      <c r="C835" s="242"/>
      <c r="D835" s="13"/>
      <c r="E835" s="13"/>
      <c r="F835" s="13"/>
      <c r="G835" s="13"/>
      <c r="H835" s="13"/>
      <c r="I835" s="242"/>
      <c r="J835" s="242"/>
      <c r="K835" s="242"/>
      <c r="L835" s="242"/>
      <c r="M835" s="242"/>
      <c r="N835" s="242"/>
      <c r="O835" s="242"/>
      <c r="P835" s="242"/>
      <c r="Q835" s="242"/>
      <c r="R835" s="242"/>
      <c r="S835" s="242"/>
      <c r="T835" s="242"/>
      <c r="U835" s="242"/>
      <c r="V835" s="242"/>
      <c r="W835" s="242"/>
      <c r="X835" s="242"/>
      <c r="Y835" s="242"/>
      <c r="Z835" s="242"/>
      <c r="AA835" s="242"/>
      <c r="AB835" s="242"/>
    </row>
    <row r="836">
      <c r="A836" s="242"/>
      <c r="B836" s="13"/>
      <c r="C836" s="242"/>
      <c r="D836" s="13"/>
      <c r="E836" s="13"/>
      <c r="F836" s="13"/>
      <c r="G836" s="13"/>
      <c r="H836" s="13"/>
      <c r="I836" s="242"/>
      <c r="J836" s="242"/>
      <c r="K836" s="242"/>
      <c r="L836" s="242"/>
      <c r="M836" s="242"/>
      <c r="N836" s="242"/>
      <c r="O836" s="242"/>
      <c r="P836" s="242"/>
      <c r="Q836" s="242"/>
      <c r="R836" s="242"/>
      <c r="S836" s="242"/>
      <c r="T836" s="242"/>
      <c r="U836" s="242"/>
      <c r="V836" s="242"/>
      <c r="W836" s="242"/>
      <c r="X836" s="242"/>
      <c r="Y836" s="242"/>
      <c r="Z836" s="242"/>
      <c r="AA836" s="242"/>
      <c r="AB836" s="242"/>
    </row>
    <row r="837">
      <c r="A837" s="242"/>
      <c r="B837" s="13"/>
      <c r="C837" s="242"/>
      <c r="D837" s="13"/>
      <c r="E837" s="13"/>
      <c r="F837" s="13"/>
      <c r="G837" s="13"/>
      <c r="H837" s="13"/>
      <c r="I837" s="242"/>
      <c r="J837" s="242"/>
      <c r="K837" s="242"/>
      <c r="L837" s="242"/>
      <c r="M837" s="242"/>
      <c r="N837" s="242"/>
      <c r="O837" s="242"/>
      <c r="P837" s="242"/>
      <c r="Q837" s="242"/>
      <c r="R837" s="242"/>
      <c r="S837" s="242"/>
      <c r="T837" s="242"/>
      <c r="U837" s="242"/>
      <c r="V837" s="242"/>
      <c r="W837" s="242"/>
      <c r="X837" s="242"/>
      <c r="Y837" s="242"/>
      <c r="Z837" s="242"/>
      <c r="AA837" s="242"/>
      <c r="AB837" s="242"/>
    </row>
    <row r="838">
      <c r="A838" s="242"/>
      <c r="B838" s="13"/>
      <c r="C838" s="242"/>
      <c r="D838" s="13"/>
      <c r="E838" s="13"/>
      <c r="F838" s="13"/>
      <c r="G838" s="13"/>
      <c r="H838" s="13"/>
      <c r="I838" s="242"/>
      <c r="J838" s="242"/>
      <c r="K838" s="242"/>
      <c r="L838" s="242"/>
      <c r="M838" s="242"/>
      <c r="N838" s="242"/>
      <c r="O838" s="242"/>
      <c r="P838" s="242"/>
      <c r="Q838" s="242"/>
      <c r="R838" s="242"/>
      <c r="S838" s="242"/>
      <c r="T838" s="242"/>
      <c r="U838" s="242"/>
      <c r="V838" s="242"/>
      <c r="W838" s="242"/>
      <c r="X838" s="242"/>
      <c r="Y838" s="242"/>
      <c r="Z838" s="242"/>
      <c r="AA838" s="242"/>
      <c r="AB838" s="242"/>
    </row>
    <row r="839">
      <c r="A839" s="242"/>
      <c r="B839" s="13"/>
      <c r="C839" s="242"/>
      <c r="D839" s="13"/>
      <c r="E839" s="13"/>
      <c r="F839" s="13"/>
      <c r="G839" s="13"/>
      <c r="H839" s="13"/>
      <c r="I839" s="242"/>
      <c r="J839" s="242"/>
      <c r="K839" s="242"/>
      <c r="L839" s="242"/>
      <c r="M839" s="242"/>
      <c r="N839" s="242"/>
      <c r="O839" s="242"/>
      <c r="P839" s="242"/>
      <c r="Q839" s="242"/>
      <c r="R839" s="242"/>
      <c r="S839" s="242"/>
      <c r="T839" s="242"/>
      <c r="U839" s="242"/>
      <c r="V839" s="242"/>
      <c r="W839" s="242"/>
      <c r="X839" s="242"/>
      <c r="Y839" s="242"/>
      <c r="Z839" s="242"/>
      <c r="AA839" s="242"/>
      <c r="AB839" s="242"/>
    </row>
    <row r="840">
      <c r="A840" s="242"/>
      <c r="B840" s="13"/>
      <c r="C840" s="242"/>
      <c r="D840" s="13"/>
      <c r="E840" s="13"/>
      <c r="F840" s="13"/>
      <c r="G840" s="13"/>
      <c r="H840" s="13"/>
      <c r="I840" s="242"/>
      <c r="J840" s="242"/>
      <c r="K840" s="242"/>
      <c r="L840" s="242"/>
      <c r="M840" s="242"/>
      <c r="N840" s="242"/>
      <c r="O840" s="242"/>
      <c r="P840" s="242"/>
      <c r="Q840" s="242"/>
      <c r="R840" s="242"/>
      <c r="S840" s="242"/>
      <c r="T840" s="242"/>
      <c r="U840" s="242"/>
      <c r="V840" s="242"/>
      <c r="W840" s="242"/>
      <c r="X840" s="242"/>
      <c r="Y840" s="242"/>
      <c r="Z840" s="242"/>
      <c r="AA840" s="242"/>
      <c r="AB840" s="242"/>
    </row>
    <row r="841">
      <c r="A841" s="242"/>
      <c r="B841" s="13"/>
      <c r="C841" s="242"/>
      <c r="D841" s="13"/>
      <c r="E841" s="13"/>
      <c r="F841" s="13"/>
      <c r="G841" s="13"/>
      <c r="H841" s="13"/>
      <c r="I841" s="242"/>
      <c r="J841" s="242"/>
      <c r="K841" s="242"/>
      <c r="L841" s="242"/>
      <c r="M841" s="242"/>
      <c r="N841" s="242"/>
      <c r="O841" s="242"/>
      <c r="P841" s="242"/>
      <c r="Q841" s="242"/>
      <c r="R841" s="242"/>
      <c r="S841" s="242"/>
      <c r="T841" s="242"/>
      <c r="U841" s="242"/>
      <c r="V841" s="242"/>
      <c r="W841" s="242"/>
      <c r="X841" s="242"/>
      <c r="Y841" s="242"/>
      <c r="Z841" s="242"/>
      <c r="AA841" s="242"/>
      <c r="AB841" s="242"/>
    </row>
    <row r="842">
      <c r="A842" s="242"/>
      <c r="B842" s="13"/>
      <c r="C842" s="242"/>
      <c r="D842" s="13"/>
      <c r="E842" s="13"/>
      <c r="F842" s="13"/>
      <c r="G842" s="13"/>
      <c r="H842" s="13"/>
      <c r="I842" s="242"/>
      <c r="J842" s="242"/>
      <c r="K842" s="242"/>
      <c r="L842" s="242"/>
      <c r="M842" s="242"/>
      <c r="N842" s="242"/>
      <c r="O842" s="242"/>
      <c r="P842" s="242"/>
      <c r="Q842" s="242"/>
      <c r="R842" s="242"/>
      <c r="S842" s="242"/>
      <c r="T842" s="242"/>
      <c r="U842" s="242"/>
      <c r="V842" s="242"/>
      <c r="W842" s="242"/>
      <c r="X842" s="242"/>
      <c r="Y842" s="242"/>
      <c r="Z842" s="242"/>
      <c r="AA842" s="242"/>
      <c r="AB842" s="242"/>
    </row>
    <row r="843">
      <c r="A843" s="242"/>
      <c r="B843" s="13"/>
      <c r="C843" s="242"/>
      <c r="D843" s="13"/>
      <c r="E843" s="13"/>
      <c r="F843" s="13"/>
      <c r="G843" s="13"/>
      <c r="H843" s="13"/>
      <c r="I843" s="242"/>
      <c r="J843" s="242"/>
      <c r="K843" s="242"/>
      <c r="L843" s="242"/>
      <c r="M843" s="242"/>
      <c r="N843" s="242"/>
      <c r="O843" s="242"/>
      <c r="P843" s="242"/>
      <c r="Q843" s="242"/>
      <c r="R843" s="242"/>
      <c r="S843" s="242"/>
      <c r="T843" s="242"/>
      <c r="U843" s="242"/>
      <c r="V843" s="242"/>
      <c r="W843" s="242"/>
      <c r="X843" s="242"/>
      <c r="Y843" s="242"/>
      <c r="Z843" s="242"/>
      <c r="AA843" s="242"/>
      <c r="AB843" s="242"/>
    </row>
    <row r="844">
      <c r="A844" s="242"/>
      <c r="B844" s="13"/>
      <c r="C844" s="242"/>
      <c r="D844" s="13"/>
      <c r="E844" s="13"/>
      <c r="F844" s="13"/>
      <c r="G844" s="13"/>
      <c r="H844" s="13"/>
      <c r="I844" s="242"/>
      <c r="J844" s="242"/>
      <c r="K844" s="242"/>
      <c r="L844" s="242"/>
      <c r="M844" s="242"/>
      <c r="N844" s="242"/>
      <c r="O844" s="242"/>
      <c r="P844" s="242"/>
      <c r="Q844" s="242"/>
      <c r="R844" s="242"/>
      <c r="S844" s="242"/>
      <c r="T844" s="242"/>
      <c r="U844" s="242"/>
      <c r="V844" s="242"/>
      <c r="W844" s="242"/>
      <c r="X844" s="242"/>
      <c r="Y844" s="242"/>
      <c r="Z844" s="242"/>
      <c r="AA844" s="242"/>
      <c r="AB844" s="242"/>
    </row>
    <row r="845">
      <c r="A845" s="242"/>
      <c r="B845" s="13"/>
      <c r="C845" s="242"/>
      <c r="D845" s="13"/>
      <c r="E845" s="13"/>
      <c r="F845" s="13"/>
      <c r="G845" s="13"/>
      <c r="H845" s="13"/>
      <c r="I845" s="242"/>
      <c r="J845" s="242"/>
      <c r="K845" s="242"/>
      <c r="L845" s="242"/>
      <c r="M845" s="242"/>
      <c r="N845" s="242"/>
      <c r="O845" s="242"/>
      <c r="P845" s="242"/>
      <c r="Q845" s="242"/>
      <c r="R845" s="242"/>
      <c r="S845" s="242"/>
      <c r="T845" s="242"/>
      <c r="U845" s="242"/>
      <c r="V845" s="242"/>
      <c r="W845" s="242"/>
      <c r="X845" s="242"/>
      <c r="Y845" s="242"/>
      <c r="Z845" s="242"/>
      <c r="AA845" s="242"/>
      <c r="AB845" s="242"/>
    </row>
    <row r="846">
      <c r="A846" s="242"/>
      <c r="B846" s="13"/>
      <c r="C846" s="242"/>
      <c r="D846" s="13"/>
      <c r="E846" s="13"/>
      <c r="F846" s="13"/>
      <c r="G846" s="13"/>
      <c r="H846" s="13"/>
      <c r="I846" s="242"/>
      <c r="J846" s="242"/>
      <c r="K846" s="242"/>
      <c r="L846" s="242"/>
      <c r="M846" s="242"/>
      <c r="N846" s="242"/>
      <c r="O846" s="242"/>
      <c r="P846" s="242"/>
      <c r="Q846" s="242"/>
      <c r="R846" s="242"/>
      <c r="S846" s="242"/>
      <c r="T846" s="242"/>
      <c r="U846" s="242"/>
      <c r="V846" s="242"/>
      <c r="W846" s="242"/>
      <c r="X846" s="242"/>
      <c r="Y846" s="242"/>
      <c r="Z846" s="242"/>
      <c r="AA846" s="242"/>
      <c r="AB846" s="242"/>
    </row>
    <row r="847">
      <c r="A847" s="242"/>
      <c r="B847" s="13"/>
      <c r="C847" s="242"/>
      <c r="D847" s="13"/>
      <c r="E847" s="13"/>
      <c r="F847" s="13"/>
      <c r="G847" s="13"/>
      <c r="H847" s="13"/>
      <c r="I847" s="242"/>
      <c r="J847" s="242"/>
      <c r="K847" s="242"/>
      <c r="L847" s="242"/>
      <c r="M847" s="242"/>
      <c r="N847" s="242"/>
      <c r="O847" s="242"/>
      <c r="P847" s="242"/>
      <c r="Q847" s="242"/>
      <c r="R847" s="242"/>
      <c r="S847" s="242"/>
      <c r="T847" s="242"/>
      <c r="U847" s="242"/>
      <c r="V847" s="242"/>
      <c r="W847" s="242"/>
      <c r="X847" s="242"/>
      <c r="Y847" s="242"/>
      <c r="Z847" s="242"/>
      <c r="AA847" s="242"/>
      <c r="AB847" s="242"/>
    </row>
    <row r="848">
      <c r="A848" s="242"/>
      <c r="B848" s="13"/>
      <c r="C848" s="242"/>
      <c r="D848" s="13"/>
      <c r="E848" s="13"/>
      <c r="F848" s="13"/>
      <c r="G848" s="13"/>
      <c r="H848" s="13"/>
      <c r="I848" s="242"/>
      <c r="J848" s="242"/>
      <c r="K848" s="242"/>
      <c r="L848" s="242"/>
      <c r="M848" s="242"/>
      <c r="N848" s="242"/>
      <c r="O848" s="242"/>
      <c r="P848" s="242"/>
      <c r="Q848" s="242"/>
      <c r="R848" s="242"/>
      <c r="S848" s="242"/>
      <c r="T848" s="242"/>
      <c r="U848" s="242"/>
      <c r="V848" s="242"/>
      <c r="W848" s="242"/>
      <c r="X848" s="242"/>
      <c r="Y848" s="242"/>
      <c r="Z848" s="242"/>
      <c r="AA848" s="242"/>
      <c r="AB848" s="242"/>
    </row>
    <row r="849">
      <c r="A849" s="242"/>
      <c r="B849" s="13"/>
      <c r="C849" s="242"/>
      <c r="D849" s="13"/>
      <c r="E849" s="13"/>
      <c r="F849" s="13"/>
      <c r="G849" s="13"/>
      <c r="H849" s="13"/>
      <c r="I849" s="242"/>
      <c r="J849" s="242"/>
      <c r="K849" s="242"/>
      <c r="L849" s="242"/>
      <c r="M849" s="242"/>
      <c r="N849" s="242"/>
      <c r="O849" s="242"/>
      <c r="P849" s="242"/>
      <c r="Q849" s="242"/>
      <c r="R849" s="242"/>
      <c r="S849" s="242"/>
      <c r="T849" s="242"/>
      <c r="U849" s="242"/>
      <c r="V849" s="242"/>
      <c r="W849" s="242"/>
      <c r="X849" s="242"/>
      <c r="Y849" s="242"/>
      <c r="Z849" s="242"/>
      <c r="AA849" s="242"/>
      <c r="AB849" s="242"/>
    </row>
    <row r="850">
      <c r="A850" s="242"/>
      <c r="B850" s="13"/>
      <c r="C850" s="242"/>
      <c r="D850" s="13"/>
      <c r="E850" s="13"/>
      <c r="F850" s="13"/>
      <c r="G850" s="13"/>
      <c r="H850" s="13"/>
      <c r="I850" s="242"/>
      <c r="J850" s="242"/>
      <c r="K850" s="242"/>
      <c r="L850" s="242"/>
      <c r="M850" s="242"/>
      <c r="N850" s="242"/>
      <c r="O850" s="242"/>
      <c r="P850" s="242"/>
      <c r="Q850" s="242"/>
      <c r="R850" s="242"/>
      <c r="S850" s="242"/>
      <c r="T850" s="242"/>
      <c r="U850" s="242"/>
      <c r="V850" s="242"/>
      <c r="W850" s="242"/>
      <c r="X850" s="242"/>
      <c r="Y850" s="242"/>
      <c r="Z850" s="242"/>
      <c r="AA850" s="242"/>
      <c r="AB850" s="242"/>
    </row>
    <row r="851">
      <c r="A851" s="242"/>
      <c r="B851" s="13"/>
      <c r="C851" s="242"/>
      <c r="D851" s="13"/>
      <c r="E851" s="13"/>
      <c r="F851" s="13"/>
      <c r="G851" s="13"/>
      <c r="H851" s="13"/>
      <c r="I851" s="242"/>
      <c r="J851" s="242"/>
      <c r="K851" s="242"/>
      <c r="L851" s="242"/>
      <c r="M851" s="242"/>
      <c r="N851" s="242"/>
      <c r="O851" s="242"/>
      <c r="P851" s="242"/>
      <c r="Q851" s="242"/>
      <c r="R851" s="242"/>
      <c r="S851" s="242"/>
      <c r="T851" s="242"/>
      <c r="U851" s="242"/>
      <c r="V851" s="242"/>
      <c r="W851" s="242"/>
      <c r="X851" s="242"/>
      <c r="Y851" s="242"/>
      <c r="Z851" s="242"/>
      <c r="AA851" s="242"/>
      <c r="AB851" s="242"/>
    </row>
    <row r="852">
      <c r="A852" s="242"/>
      <c r="B852" s="13"/>
      <c r="C852" s="242"/>
      <c r="D852" s="13"/>
      <c r="E852" s="13"/>
      <c r="F852" s="13"/>
      <c r="G852" s="13"/>
      <c r="H852" s="13"/>
      <c r="I852" s="242"/>
      <c r="J852" s="242"/>
      <c r="K852" s="242"/>
      <c r="L852" s="242"/>
      <c r="M852" s="242"/>
      <c r="N852" s="242"/>
      <c r="O852" s="242"/>
      <c r="P852" s="242"/>
      <c r="Q852" s="242"/>
      <c r="R852" s="242"/>
      <c r="S852" s="242"/>
      <c r="T852" s="242"/>
      <c r="U852" s="242"/>
      <c r="V852" s="242"/>
      <c r="W852" s="242"/>
      <c r="X852" s="242"/>
      <c r="Y852" s="242"/>
      <c r="Z852" s="242"/>
      <c r="AA852" s="242"/>
      <c r="AB852" s="242"/>
    </row>
    <row r="853">
      <c r="A853" s="242"/>
      <c r="B853" s="13"/>
      <c r="C853" s="242"/>
      <c r="D853" s="13"/>
      <c r="E853" s="13"/>
      <c r="F853" s="13"/>
      <c r="G853" s="13"/>
      <c r="H853" s="13"/>
      <c r="I853" s="242"/>
      <c r="J853" s="242"/>
      <c r="K853" s="242"/>
      <c r="L853" s="242"/>
      <c r="M853" s="242"/>
      <c r="N853" s="242"/>
      <c r="O853" s="242"/>
      <c r="P853" s="242"/>
      <c r="Q853" s="242"/>
      <c r="R853" s="242"/>
      <c r="S853" s="242"/>
      <c r="T853" s="242"/>
      <c r="U853" s="242"/>
      <c r="V853" s="242"/>
      <c r="W853" s="242"/>
      <c r="X853" s="242"/>
      <c r="Y853" s="242"/>
      <c r="Z853" s="242"/>
      <c r="AA853" s="242"/>
      <c r="AB853" s="242"/>
    </row>
    <row r="854">
      <c r="A854" s="242"/>
      <c r="B854" s="13"/>
      <c r="C854" s="242"/>
      <c r="D854" s="13"/>
      <c r="E854" s="13"/>
      <c r="F854" s="13"/>
      <c r="G854" s="13"/>
      <c r="H854" s="13"/>
      <c r="I854" s="242"/>
      <c r="J854" s="242"/>
      <c r="K854" s="242"/>
      <c r="L854" s="242"/>
      <c r="M854" s="242"/>
      <c r="N854" s="242"/>
      <c r="O854" s="242"/>
      <c r="P854" s="242"/>
      <c r="Q854" s="242"/>
      <c r="R854" s="242"/>
      <c r="S854" s="242"/>
      <c r="T854" s="242"/>
      <c r="U854" s="242"/>
      <c r="V854" s="242"/>
      <c r="W854" s="242"/>
      <c r="X854" s="242"/>
      <c r="Y854" s="242"/>
      <c r="Z854" s="242"/>
      <c r="AA854" s="242"/>
      <c r="AB854" s="242"/>
    </row>
    <row r="855">
      <c r="A855" s="242"/>
      <c r="B855" s="13"/>
      <c r="C855" s="242"/>
      <c r="D855" s="13"/>
      <c r="E855" s="13"/>
      <c r="F855" s="13"/>
      <c r="G855" s="13"/>
      <c r="H855" s="13"/>
      <c r="I855" s="242"/>
      <c r="J855" s="242"/>
      <c r="K855" s="242"/>
      <c r="L855" s="242"/>
      <c r="M855" s="242"/>
      <c r="N855" s="242"/>
      <c r="O855" s="242"/>
      <c r="P855" s="242"/>
      <c r="Q855" s="242"/>
      <c r="R855" s="242"/>
      <c r="S855" s="242"/>
      <c r="T855" s="242"/>
      <c r="U855" s="242"/>
      <c r="V855" s="242"/>
      <c r="W855" s="242"/>
      <c r="X855" s="242"/>
      <c r="Y855" s="242"/>
      <c r="Z855" s="242"/>
      <c r="AA855" s="242"/>
      <c r="AB855" s="242"/>
    </row>
    <row r="856">
      <c r="A856" s="242"/>
      <c r="B856" s="13"/>
      <c r="C856" s="242"/>
      <c r="D856" s="13"/>
      <c r="E856" s="13"/>
      <c r="F856" s="13"/>
      <c r="G856" s="13"/>
      <c r="H856" s="13"/>
      <c r="I856" s="242"/>
      <c r="J856" s="242"/>
      <c r="K856" s="242"/>
      <c r="L856" s="242"/>
      <c r="M856" s="242"/>
      <c r="N856" s="242"/>
      <c r="O856" s="242"/>
      <c r="P856" s="242"/>
      <c r="Q856" s="242"/>
      <c r="R856" s="242"/>
      <c r="S856" s="242"/>
      <c r="T856" s="242"/>
      <c r="U856" s="242"/>
      <c r="V856" s="242"/>
      <c r="W856" s="242"/>
      <c r="X856" s="242"/>
      <c r="Y856" s="242"/>
      <c r="Z856" s="242"/>
      <c r="AA856" s="242"/>
      <c r="AB856" s="242"/>
    </row>
    <row r="857">
      <c r="A857" s="242"/>
      <c r="B857" s="13"/>
      <c r="C857" s="242"/>
      <c r="D857" s="13"/>
      <c r="E857" s="13"/>
      <c r="F857" s="13"/>
      <c r="G857" s="13"/>
      <c r="H857" s="13"/>
      <c r="I857" s="242"/>
      <c r="J857" s="242"/>
      <c r="K857" s="242"/>
      <c r="L857" s="242"/>
      <c r="M857" s="242"/>
      <c r="N857" s="242"/>
      <c r="O857" s="242"/>
      <c r="P857" s="242"/>
      <c r="Q857" s="242"/>
      <c r="R857" s="242"/>
      <c r="S857" s="242"/>
      <c r="T857" s="242"/>
      <c r="U857" s="242"/>
      <c r="V857" s="242"/>
      <c r="W857" s="242"/>
      <c r="X857" s="242"/>
      <c r="Y857" s="242"/>
      <c r="Z857" s="242"/>
      <c r="AA857" s="242"/>
      <c r="AB857" s="242"/>
    </row>
    <row r="858">
      <c r="A858" s="242"/>
      <c r="B858" s="13"/>
      <c r="C858" s="242"/>
      <c r="D858" s="13"/>
      <c r="E858" s="13"/>
      <c r="F858" s="13"/>
      <c r="G858" s="13"/>
      <c r="H858" s="13"/>
      <c r="I858" s="242"/>
      <c r="J858" s="242"/>
      <c r="K858" s="242"/>
      <c r="L858" s="242"/>
      <c r="M858" s="242"/>
      <c r="N858" s="242"/>
      <c r="O858" s="242"/>
      <c r="P858" s="242"/>
      <c r="Q858" s="242"/>
      <c r="R858" s="242"/>
      <c r="S858" s="242"/>
      <c r="T858" s="242"/>
      <c r="U858" s="242"/>
      <c r="V858" s="242"/>
      <c r="W858" s="242"/>
      <c r="X858" s="242"/>
      <c r="Y858" s="242"/>
      <c r="Z858" s="242"/>
      <c r="AA858" s="242"/>
      <c r="AB858" s="242"/>
    </row>
    <row r="859">
      <c r="A859" s="242"/>
      <c r="B859" s="13"/>
      <c r="C859" s="242"/>
      <c r="D859" s="13"/>
      <c r="E859" s="13"/>
      <c r="F859" s="13"/>
      <c r="G859" s="13"/>
      <c r="H859" s="13"/>
      <c r="I859" s="242"/>
      <c r="J859" s="242"/>
      <c r="K859" s="242"/>
      <c r="L859" s="242"/>
      <c r="M859" s="242"/>
      <c r="N859" s="242"/>
      <c r="O859" s="242"/>
      <c r="P859" s="242"/>
      <c r="Q859" s="242"/>
      <c r="R859" s="242"/>
      <c r="S859" s="242"/>
      <c r="T859" s="242"/>
      <c r="U859" s="242"/>
      <c r="V859" s="242"/>
      <c r="W859" s="242"/>
      <c r="X859" s="242"/>
      <c r="Y859" s="242"/>
      <c r="Z859" s="242"/>
      <c r="AA859" s="242"/>
      <c r="AB859" s="242"/>
    </row>
    <row r="860">
      <c r="A860" s="242"/>
      <c r="B860" s="13"/>
      <c r="C860" s="242"/>
      <c r="D860" s="13"/>
      <c r="E860" s="13"/>
      <c r="F860" s="13"/>
      <c r="G860" s="13"/>
      <c r="H860" s="13"/>
      <c r="I860" s="242"/>
      <c r="J860" s="242"/>
      <c r="K860" s="242"/>
      <c r="L860" s="242"/>
      <c r="M860" s="242"/>
      <c r="N860" s="242"/>
      <c r="O860" s="242"/>
      <c r="P860" s="242"/>
      <c r="Q860" s="242"/>
      <c r="R860" s="242"/>
      <c r="S860" s="242"/>
      <c r="T860" s="242"/>
      <c r="U860" s="242"/>
      <c r="V860" s="242"/>
      <c r="W860" s="242"/>
      <c r="X860" s="242"/>
      <c r="Y860" s="242"/>
      <c r="Z860" s="242"/>
      <c r="AA860" s="242"/>
      <c r="AB860" s="242"/>
    </row>
    <row r="861">
      <c r="A861" s="242"/>
      <c r="B861" s="13"/>
      <c r="C861" s="242"/>
      <c r="D861" s="13"/>
      <c r="E861" s="13"/>
      <c r="F861" s="13"/>
      <c r="G861" s="13"/>
      <c r="H861" s="13"/>
      <c r="I861" s="242"/>
      <c r="J861" s="242"/>
      <c r="K861" s="242"/>
      <c r="L861" s="242"/>
      <c r="M861" s="242"/>
      <c r="N861" s="242"/>
      <c r="O861" s="242"/>
      <c r="P861" s="242"/>
      <c r="Q861" s="242"/>
      <c r="R861" s="242"/>
      <c r="S861" s="242"/>
      <c r="T861" s="242"/>
      <c r="U861" s="242"/>
      <c r="V861" s="242"/>
      <c r="W861" s="242"/>
      <c r="X861" s="242"/>
      <c r="Y861" s="242"/>
      <c r="Z861" s="242"/>
      <c r="AA861" s="242"/>
      <c r="AB861" s="242"/>
    </row>
    <row r="862">
      <c r="A862" s="242"/>
      <c r="B862" s="13"/>
      <c r="C862" s="242"/>
      <c r="D862" s="13"/>
      <c r="E862" s="13"/>
      <c r="F862" s="13"/>
      <c r="G862" s="13"/>
      <c r="H862" s="13"/>
      <c r="I862" s="242"/>
      <c r="J862" s="242"/>
      <c r="K862" s="242"/>
      <c r="L862" s="242"/>
      <c r="M862" s="242"/>
      <c r="N862" s="242"/>
      <c r="O862" s="242"/>
      <c r="P862" s="242"/>
      <c r="Q862" s="242"/>
      <c r="R862" s="242"/>
      <c r="S862" s="242"/>
      <c r="T862" s="242"/>
      <c r="U862" s="242"/>
      <c r="V862" s="242"/>
      <c r="W862" s="242"/>
      <c r="X862" s="242"/>
      <c r="Y862" s="242"/>
      <c r="Z862" s="242"/>
      <c r="AA862" s="242"/>
      <c r="AB862" s="242"/>
    </row>
    <row r="863">
      <c r="A863" s="242"/>
      <c r="B863" s="13"/>
      <c r="C863" s="242"/>
      <c r="D863" s="13"/>
      <c r="E863" s="13"/>
      <c r="F863" s="13"/>
      <c r="G863" s="13"/>
      <c r="H863" s="13"/>
      <c r="I863" s="242"/>
      <c r="J863" s="242"/>
      <c r="K863" s="242"/>
      <c r="L863" s="242"/>
      <c r="M863" s="242"/>
      <c r="N863" s="242"/>
      <c r="O863" s="242"/>
      <c r="P863" s="242"/>
      <c r="Q863" s="242"/>
      <c r="R863" s="242"/>
      <c r="S863" s="242"/>
      <c r="T863" s="242"/>
      <c r="U863" s="242"/>
      <c r="V863" s="242"/>
      <c r="W863" s="242"/>
      <c r="X863" s="242"/>
      <c r="Y863" s="242"/>
      <c r="Z863" s="242"/>
      <c r="AA863" s="242"/>
      <c r="AB863" s="242"/>
    </row>
    <row r="864">
      <c r="A864" s="242"/>
      <c r="B864" s="13"/>
      <c r="C864" s="242"/>
      <c r="D864" s="13"/>
      <c r="E864" s="13"/>
      <c r="F864" s="13"/>
      <c r="G864" s="13"/>
      <c r="H864" s="13"/>
      <c r="I864" s="242"/>
      <c r="J864" s="242"/>
      <c r="K864" s="242"/>
      <c r="L864" s="242"/>
      <c r="M864" s="242"/>
      <c r="N864" s="242"/>
      <c r="O864" s="242"/>
      <c r="P864" s="242"/>
      <c r="Q864" s="242"/>
      <c r="R864" s="242"/>
      <c r="S864" s="242"/>
      <c r="T864" s="242"/>
      <c r="U864" s="242"/>
      <c r="V864" s="242"/>
      <c r="W864" s="242"/>
      <c r="X864" s="242"/>
      <c r="Y864" s="242"/>
      <c r="Z864" s="242"/>
      <c r="AA864" s="242"/>
      <c r="AB864" s="242"/>
    </row>
    <row r="865">
      <c r="A865" s="242"/>
      <c r="B865" s="13"/>
      <c r="C865" s="242"/>
      <c r="D865" s="13"/>
      <c r="E865" s="13"/>
      <c r="F865" s="13"/>
      <c r="G865" s="13"/>
      <c r="H865" s="13"/>
      <c r="I865" s="242"/>
      <c r="J865" s="242"/>
      <c r="K865" s="242"/>
      <c r="L865" s="242"/>
      <c r="M865" s="242"/>
      <c r="N865" s="242"/>
      <c r="O865" s="242"/>
      <c r="P865" s="242"/>
      <c r="Q865" s="242"/>
      <c r="R865" s="242"/>
      <c r="S865" s="242"/>
      <c r="T865" s="242"/>
      <c r="U865" s="242"/>
      <c r="V865" s="242"/>
      <c r="W865" s="242"/>
      <c r="X865" s="242"/>
      <c r="Y865" s="242"/>
      <c r="Z865" s="242"/>
      <c r="AA865" s="242"/>
      <c r="AB865" s="242"/>
    </row>
    <row r="866">
      <c r="A866" s="242"/>
      <c r="B866" s="13"/>
      <c r="C866" s="242"/>
      <c r="D866" s="13"/>
      <c r="E866" s="13"/>
      <c r="F866" s="13"/>
      <c r="G866" s="13"/>
      <c r="H866" s="13"/>
      <c r="I866" s="242"/>
      <c r="J866" s="242"/>
      <c r="K866" s="242"/>
      <c r="L866" s="242"/>
      <c r="M866" s="242"/>
      <c r="N866" s="242"/>
      <c r="O866" s="242"/>
      <c r="P866" s="242"/>
      <c r="Q866" s="242"/>
      <c r="R866" s="242"/>
      <c r="S866" s="242"/>
      <c r="T866" s="242"/>
      <c r="U866" s="242"/>
      <c r="V866" s="242"/>
      <c r="W866" s="242"/>
      <c r="X866" s="242"/>
      <c r="Y866" s="242"/>
      <c r="Z866" s="242"/>
      <c r="AA866" s="242"/>
      <c r="AB866" s="242"/>
    </row>
    <row r="867">
      <c r="A867" s="242"/>
      <c r="B867" s="13"/>
      <c r="C867" s="242"/>
      <c r="D867" s="13"/>
      <c r="E867" s="13"/>
      <c r="F867" s="13"/>
      <c r="G867" s="13"/>
      <c r="H867" s="13"/>
      <c r="I867" s="242"/>
      <c r="J867" s="242"/>
      <c r="K867" s="242"/>
      <c r="L867" s="242"/>
      <c r="M867" s="242"/>
      <c r="N867" s="242"/>
      <c r="O867" s="242"/>
      <c r="P867" s="242"/>
      <c r="Q867" s="242"/>
      <c r="R867" s="242"/>
      <c r="S867" s="242"/>
      <c r="T867" s="242"/>
      <c r="U867" s="242"/>
      <c r="V867" s="242"/>
      <c r="W867" s="242"/>
      <c r="X867" s="242"/>
      <c r="Y867" s="242"/>
      <c r="Z867" s="242"/>
      <c r="AA867" s="242"/>
      <c r="AB867" s="242"/>
    </row>
    <row r="868">
      <c r="A868" s="242"/>
      <c r="B868" s="13"/>
      <c r="C868" s="242"/>
      <c r="D868" s="13"/>
      <c r="E868" s="13"/>
      <c r="F868" s="13"/>
      <c r="G868" s="13"/>
      <c r="H868" s="13"/>
      <c r="I868" s="242"/>
      <c r="J868" s="242"/>
      <c r="K868" s="242"/>
      <c r="L868" s="242"/>
      <c r="M868" s="242"/>
      <c r="N868" s="242"/>
      <c r="O868" s="242"/>
      <c r="P868" s="242"/>
      <c r="Q868" s="242"/>
      <c r="R868" s="242"/>
      <c r="S868" s="242"/>
      <c r="T868" s="242"/>
      <c r="U868" s="242"/>
      <c r="V868" s="242"/>
      <c r="W868" s="242"/>
      <c r="X868" s="242"/>
      <c r="Y868" s="242"/>
      <c r="Z868" s="242"/>
      <c r="AA868" s="242"/>
      <c r="AB868" s="242"/>
    </row>
    <row r="869">
      <c r="A869" s="242"/>
      <c r="B869" s="13"/>
      <c r="C869" s="242"/>
      <c r="D869" s="13"/>
      <c r="E869" s="13"/>
      <c r="F869" s="13"/>
      <c r="G869" s="13"/>
      <c r="H869" s="13"/>
      <c r="I869" s="242"/>
      <c r="J869" s="242"/>
      <c r="K869" s="242"/>
      <c r="L869" s="242"/>
      <c r="M869" s="242"/>
      <c r="N869" s="242"/>
      <c r="O869" s="242"/>
      <c r="P869" s="242"/>
      <c r="Q869" s="242"/>
      <c r="R869" s="242"/>
      <c r="S869" s="242"/>
      <c r="T869" s="242"/>
      <c r="U869" s="242"/>
      <c r="V869" s="242"/>
      <c r="W869" s="242"/>
      <c r="X869" s="242"/>
      <c r="Y869" s="242"/>
      <c r="Z869" s="242"/>
      <c r="AA869" s="242"/>
      <c r="AB869" s="242"/>
    </row>
    <row r="870">
      <c r="A870" s="242"/>
      <c r="B870" s="13"/>
      <c r="C870" s="242"/>
      <c r="D870" s="13"/>
      <c r="E870" s="13"/>
      <c r="F870" s="13"/>
      <c r="G870" s="13"/>
      <c r="H870" s="13"/>
      <c r="I870" s="242"/>
      <c r="J870" s="242"/>
      <c r="K870" s="242"/>
      <c r="L870" s="242"/>
      <c r="M870" s="242"/>
      <c r="N870" s="242"/>
      <c r="O870" s="242"/>
      <c r="P870" s="242"/>
      <c r="Q870" s="242"/>
      <c r="R870" s="242"/>
      <c r="S870" s="242"/>
      <c r="T870" s="242"/>
      <c r="U870" s="242"/>
      <c r="V870" s="242"/>
      <c r="W870" s="242"/>
      <c r="X870" s="242"/>
      <c r="Y870" s="242"/>
      <c r="Z870" s="242"/>
      <c r="AA870" s="242"/>
      <c r="AB870" s="242"/>
    </row>
    <row r="871">
      <c r="A871" s="242"/>
      <c r="B871" s="13"/>
      <c r="C871" s="242"/>
      <c r="D871" s="13"/>
      <c r="E871" s="13"/>
      <c r="F871" s="13"/>
      <c r="G871" s="13"/>
      <c r="H871" s="13"/>
      <c r="I871" s="242"/>
      <c r="J871" s="242"/>
      <c r="K871" s="242"/>
      <c r="L871" s="242"/>
      <c r="M871" s="242"/>
      <c r="N871" s="242"/>
      <c r="O871" s="242"/>
      <c r="P871" s="242"/>
      <c r="Q871" s="242"/>
      <c r="R871" s="242"/>
      <c r="S871" s="242"/>
      <c r="T871" s="242"/>
      <c r="U871" s="242"/>
      <c r="V871" s="242"/>
      <c r="W871" s="242"/>
      <c r="X871" s="242"/>
      <c r="Y871" s="242"/>
      <c r="Z871" s="242"/>
      <c r="AA871" s="242"/>
      <c r="AB871" s="242"/>
    </row>
    <row r="872">
      <c r="A872" s="242"/>
      <c r="B872" s="13"/>
      <c r="C872" s="242"/>
      <c r="D872" s="13"/>
      <c r="E872" s="13"/>
      <c r="F872" s="13"/>
      <c r="G872" s="13"/>
      <c r="H872" s="13"/>
      <c r="I872" s="242"/>
      <c r="J872" s="242"/>
      <c r="K872" s="242"/>
      <c r="L872" s="242"/>
      <c r="M872" s="242"/>
      <c r="N872" s="242"/>
      <c r="O872" s="242"/>
      <c r="P872" s="242"/>
      <c r="Q872" s="242"/>
      <c r="R872" s="242"/>
      <c r="S872" s="242"/>
      <c r="T872" s="242"/>
      <c r="U872" s="242"/>
      <c r="V872" s="242"/>
      <c r="W872" s="242"/>
      <c r="X872" s="242"/>
      <c r="Y872" s="242"/>
      <c r="Z872" s="242"/>
      <c r="AA872" s="242"/>
      <c r="AB872" s="242"/>
    </row>
    <row r="873">
      <c r="A873" s="242"/>
      <c r="B873" s="13"/>
      <c r="C873" s="242"/>
      <c r="D873" s="13"/>
      <c r="E873" s="13"/>
      <c r="F873" s="13"/>
      <c r="G873" s="13"/>
      <c r="H873" s="13"/>
      <c r="I873" s="242"/>
      <c r="J873" s="242"/>
      <c r="K873" s="242"/>
      <c r="L873" s="242"/>
      <c r="M873" s="242"/>
      <c r="N873" s="242"/>
      <c r="O873" s="242"/>
      <c r="P873" s="242"/>
      <c r="Q873" s="242"/>
      <c r="R873" s="242"/>
      <c r="S873" s="242"/>
      <c r="T873" s="242"/>
      <c r="U873" s="242"/>
      <c r="V873" s="242"/>
      <c r="W873" s="242"/>
      <c r="X873" s="242"/>
      <c r="Y873" s="242"/>
      <c r="Z873" s="242"/>
      <c r="AA873" s="242"/>
      <c r="AB873" s="242"/>
    </row>
    <row r="874">
      <c r="A874" s="242"/>
      <c r="B874" s="13"/>
      <c r="C874" s="242"/>
      <c r="D874" s="13"/>
      <c r="E874" s="13"/>
      <c r="F874" s="13"/>
      <c r="G874" s="13"/>
      <c r="H874" s="13"/>
      <c r="I874" s="242"/>
      <c r="J874" s="242"/>
      <c r="K874" s="242"/>
      <c r="L874" s="242"/>
      <c r="M874" s="242"/>
      <c r="N874" s="242"/>
      <c r="O874" s="242"/>
      <c r="P874" s="242"/>
      <c r="Q874" s="242"/>
      <c r="R874" s="242"/>
      <c r="S874" s="242"/>
      <c r="T874" s="242"/>
      <c r="U874" s="242"/>
      <c r="V874" s="242"/>
      <c r="W874" s="242"/>
      <c r="X874" s="242"/>
      <c r="Y874" s="242"/>
      <c r="Z874" s="242"/>
      <c r="AA874" s="242"/>
      <c r="AB874" s="242"/>
    </row>
    <row r="875">
      <c r="A875" s="242"/>
      <c r="B875" s="13"/>
      <c r="C875" s="242"/>
      <c r="D875" s="13"/>
      <c r="E875" s="13"/>
      <c r="F875" s="13"/>
      <c r="G875" s="13"/>
      <c r="H875" s="13"/>
      <c r="I875" s="242"/>
      <c r="J875" s="242"/>
      <c r="K875" s="242"/>
      <c r="L875" s="242"/>
      <c r="M875" s="242"/>
      <c r="N875" s="242"/>
      <c r="O875" s="242"/>
      <c r="P875" s="242"/>
      <c r="Q875" s="242"/>
      <c r="R875" s="242"/>
      <c r="S875" s="242"/>
      <c r="T875" s="242"/>
      <c r="U875" s="242"/>
      <c r="V875" s="242"/>
      <c r="W875" s="242"/>
      <c r="X875" s="242"/>
      <c r="Y875" s="242"/>
      <c r="Z875" s="242"/>
      <c r="AA875" s="242"/>
      <c r="AB875" s="242"/>
    </row>
    <row r="876">
      <c r="A876" s="242"/>
      <c r="B876" s="13"/>
      <c r="C876" s="242"/>
      <c r="D876" s="13"/>
      <c r="E876" s="13"/>
      <c r="F876" s="13"/>
      <c r="G876" s="13"/>
      <c r="H876" s="13"/>
      <c r="I876" s="242"/>
      <c r="J876" s="242"/>
      <c r="K876" s="242"/>
      <c r="L876" s="242"/>
      <c r="M876" s="242"/>
      <c r="N876" s="242"/>
      <c r="O876" s="242"/>
      <c r="P876" s="242"/>
      <c r="Q876" s="242"/>
      <c r="R876" s="242"/>
      <c r="S876" s="242"/>
      <c r="T876" s="242"/>
      <c r="U876" s="242"/>
      <c r="V876" s="242"/>
      <c r="W876" s="242"/>
      <c r="X876" s="242"/>
      <c r="Y876" s="242"/>
      <c r="Z876" s="242"/>
      <c r="AA876" s="242"/>
      <c r="AB876" s="242"/>
    </row>
    <row r="877">
      <c r="A877" s="242"/>
      <c r="B877" s="13"/>
      <c r="C877" s="242"/>
      <c r="D877" s="13"/>
      <c r="E877" s="13"/>
      <c r="F877" s="13"/>
      <c r="G877" s="13"/>
      <c r="H877" s="13"/>
      <c r="I877" s="242"/>
      <c r="J877" s="242"/>
      <c r="K877" s="242"/>
      <c r="L877" s="242"/>
      <c r="M877" s="242"/>
      <c r="N877" s="242"/>
      <c r="O877" s="242"/>
      <c r="P877" s="242"/>
      <c r="Q877" s="242"/>
      <c r="R877" s="242"/>
      <c r="S877" s="242"/>
      <c r="T877" s="242"/>
      <c r="U877" s="242"/>
      <c r="V877" s="242"/>
      <c r="W877" s="242"/>
      <c r="X877" s="242"/>
      <c r="Y877" s="242"/>
      <c r="Z877" s="242"/>
      <c r="AA877" s="242"/>
      <c r="AB877" s="242"/>
    </row>
    <row r="878">
      <c r="A878" s="242"/>
      <c r="B878" s="13"/>
      <c r="C878" s="242"/>
      <c r="D878" s="13"/>
      <c r="E878" s="13"/>
      <c r="F878" s="13"/>
      <c r="G878" s="13"/>
      <c r="H878" s="13"/>
      <c r="I878" s="242"/>
      <c r="J878" s="242"/>
      <c r="K878" s="242"/>
      <c r="L878" s="242"/>
      <c r="M878" s="242"/>
      <c r="N878" s="242"/>
      <c r="O878" s="242"/>
      <c r="P878" s="242"/>
      <c r="Q878" s="242"/>
      <c r="R878" s="242"/>
      <c r="S878" s="242"/>
      <c r="T878" s="242"/>
      <c r="U878" s="242"/>
      <c r="V878" s="242"/>
      <c r="W878" s="242"/>
      <c r="X878" s="242"/>
      <c r="Y878" s="242"/>
      <c r="Z878" s="242"/>
      <c r="AA878" s="242"/>
      <c r="AB878" s="242"/>
    </row>
    <row r="879">
      <c r="A879" s="242"/>
      <c r="B879" s="13"/>
      <c r="C879" s="242"/>
      <c r="D879" s="13"/>
      <c r="E879" s="13"/>
      <c r="F879" s="13"/>
      <c r="G879" s="13"/>
      <c r="H879" s="13"/>
      <c r="I879" s="242"/>
      <c r="J879" s="242"/>
      <c r="K879" s="242"/>
      <c r="L879" s="242"/>
      <c r="M879" s="242"/>
      <c r="N879" s="242"/>
      <c r="O879" s="242"/>
      <c r="P879" s="242"/>
      <c r="Q879" s="242"/>
      <c r="R879" s="242"/>
      <c r="S879" s="242"/>
      <c r="T879" s="242"/>
      <c r="U879" s="242"/>
      <c r="V879" s="242"/>
      <c r="W879" s="242"/>
      <c r="X879" s="242"/>
      <c r="Y879" s="242"/>
      <c r="Z879" s="242"/>
      <c r="AA879" s="242"/>
      <c r="AB879" s="242"/>
    </row>
    <row r="880">
      <c r="A880" s="242"/>
      <c r="B880" s="13"/>
      <c r="C880" s="242"/>
      <c r="D880" s="13"/>
      <c r="E880" s="13"/>
      <c r="F880" s="13"/>
      <c r="G880" s="13"/>
      <c r="H880" s="13"/>
      <c r="I880" s="242"/>
      <c r="J880" s="242"/>
      <c r="K880" s="242"/>
      <c r="L880" s="242"/>
      <c r="M880" s="242"/>
      <c r="N880" s="242"/>
      <c r="O880" s="242"/>
      <c r="P880" s="242"/>
      <c r="Q880" s="242"/>
      <c r="R880" s="242"/>
      <c r="S880" s="242"/>
      <c r="T880" s="242"/>
      <c r="U880" s="242"/>
      <c r="V880" s="242"/>
      <c r="W880" s="242"/>
      <c r="X880" s="242"/>
      <c r="Y880" s="242"/>
      <c r="Z880" s="242"/>
      <c r="AA880" s="242"/>
      <c r="AB880" s="242"/>
    </row>
    <row r="881">
      <c r="A881" s="242"/>
      <c r="B881" s="13"/>
      <c r="C881" s="242"/>
      <c r="D881" s="13"/>
      <c r="E881" s="13"/>
      <c r="F881" s="13"/>
      <c r="G881" s="13"/>
      <c r="H881" s="13"/>
      <c r="I881" s="242"/>
      <c r="J881" s="242"/>
      <c r="K881" s="242"/>
      <c r="L881" s="242"/>
      <c r="M881" s="242"/>
      <c r="N881" s="242"/>
      <c r="O881" s="242"/>
      <c r="P881" s="242"/>
      <c r="Q881" s="242"/>
      <c r="R881" s="242"/>
      <c r="S881" s="242"/>
      <c r="T881" s="242"/>
      <c r="U881" s="242"/>
      <c r="V881" s="242"/>
      <c r="W881" s="242"/>
      <c r="X881" s="242"/>
      <c r="Y881" s="242"/>
      <c r="Z881" s="242"/>
      <c r="AA881" s="242"/>
      <c r="AB881" s="242"/>
    </row>
    <row r="882">
      <c r="A882" s="242"/>
      <c r="B882" s="13"/>
      <c r="C882" s="242"/>
      <c r="D882" s="13"/>
      <c r="E882" s="13"/>
      <c r="F882" s="13"/>
      <c r="G882" s="13"/>
      <c r="H882" s="13"/>
      <c r="I882" s="242"/>
      <c r="J882" s="242"/>
      <c r="K882" s="242"/>
      <c r="L882" s="242"/>
      <c r="M882" s="242"/>
      <c r="N882" s="242"/>
      <c r="O882" s="242"/>
      <c r="P882" s="242"/>
      <c r="Q882" s="242"/>
      <c r="R882" s="242"/>
      <c r="S882" s="242"/>
      <c r="T882" s="242"/>
      <c r="U882" s="242"/>
      <c r="V882" s="242"/>
      <c r="W882" s="242"/>
      <c r="X882" s="242"/>
      <c r="Y882" s="242"/>
      <c r="Z882" s="242"/>
      <c r="AA882" s="242"/>
      <c r="AB882" s="242"/>
    </row>
    <row r="883">
      <c r="A883" s="242"/>
      <c r="B883" s="13"/>
      <c r="C883" s="242"/>
      <c r="D883" s="13"/>
      <c r="E883" s="13"/>
      <c r="F883" s="13"/>
      <c r="G883" s="13"/>
      <c r="H883" s="13"/>
      <c r="I883" s="242"/>
      <c r="J883" s="242"/>
      <c r="K883" s="242"/>
      <c r="L883" s="242"/>
      <c r="M883" s="242"/>
      <c r="N883" s="242"/>
      <c r="O883" s="242"/>
      <c r="P883" s="242"/>
      <c r="Q883" s="242"/>
      <c r="R883" s="242"/>
      <c r="S883" s="242"/>
      <c r="T883" s="242"/>
      <c r="U883" s="242"/>
      <c r="V883" s="242"/>
      <c r="W883" s="242"/>
      <c r="X883" s="242"/>
      <c r="Y883" s="242"/>
      <c r="Z883" s="242"/>
      <c r="AA883" s="242"/>
      <c r="AB883" s="242"/>
    </row>
    <row r="884">
      <c r="A884" s="242"/>
      <c r="B884" s="13"/>
      <c r="C884" s="242"/>
      <c r="D884" s="13"/>
      <c r="E884" s="13"/>
      <c r="F884" s="13"/>
      <c r="G884" s="13"/>
      <c r="H884" s="13"/>
      <c r="I884" s="242"/>
      <c r="J884" s="242"/>
      <c r="K884" s="242"/>
      <c r="L884" s="242"/>
      <c r="M884" s="242"/>
      <c r="N884" s="242"/>
      <c r="O884" s="242"/>
      <c r="P884" s="242"/>
      <c r="Q884" s="242"/>
      <c r="R884" s="242"/>
      <c r="S884" s="242"/>
      <c r="T884" s="242"/>
      <c r="U884" s="242"/>
      <c r="V884" s="242"/>
      <c r="W884" s="242"/>
      <c r="X884" s="242"/>
      <c r="Y884" s="242"/>
      <c r="Z884" s="242"/>
      <c r="AA884" s="242"/>
      <c r="AB884" s="242"/>
    </row>
    <row r="885">
      <c r="A885" s="242"/>
      <c r="B885" s="13"/>
      <c r="C885" s="242"/>
      <c r="D885" s="13"/>
      <c r="E885" s="13"/>
      <c r="F885" s="13"/>
      <c r="G885" s="13"/>
      <c r="H885" s="13"/>
      <c r="I885" s="242"/>
      <c r="J885" s="242"/>
      <c r="K885" s="242"/>
      <c r="L885" s="242"/>
      <c r="M885" s="242"/>
      <c r="N885" s="242"/>
      <c r="O885" s="242"/>
      <c r="P885" s="242"/>
      <c r="Q885" s="242"/>
      <c r="R885" s="242"/>
      <c r="S885" s="242"/>
      <c r="T885" s="242"/>
      <c r="U885" s="242"/>
      <c r="V885" s="242"/>
      <c r="W885" s="242"/>
      <c r="X885" s="242"/>
      <c r="Y885" s="242"/>
      <c r="Z885" s="242"/>
      <c r="AA885" s="242"/>
      <c r="AB885" s="242"/>
    </row>
    <row r="886">
      <c r="A886" s="242"/>
      <c r="B886" s="13"/>
      <c r="C886" s="242"/>
      <c r="D886" s="13"/>
      <c r="E886" s="13"/>
      <c r="F886" s="13"/>
      <c r="G886" s="13"/>
      <c r="H886" s="13"/>
      <c r="I886" s="242"/>
      <c r="J886" s="242"/>
      <c r="K886" s="242"/>
      <c r="L886" s="242"/>
      <c r="M886" s="242"/>
      <c r="N886" s="242"/>
      <c r="O886" s="242"/>
      <c r="P886" s="242"/>
      <c r="Q886" s="242"/>
      <c r="R886" s="242"/>
      <c r="S886" s="242"/>
      <c r="T886" s="242"/>
      <c r="U886" s="242"/>
      <c r="V886" s="242"/>
      <c r="W886" s="242"/>
      <c r="X886" s="242"/>
      <c r="Y886" s="242"/>
      <c r="Z886" s="242"/>
      <c r="AA886" s="242"/>
      <c r="AB886" s="242"/>
    </row>
    <row r="887">
      <c r="A887" s="242"/>
      <c r="B887" s="13"/>
      <c r="C887" s="242"/>
      <c r="D887" s="13"/>
      <c r="E887" s="13"/>
      <c r="F887" s="13"/>
      <c r="G887" s="13"/>
      <c r="H887" s="13"/>
      <c r="I887" s="242"/>
      <c r="J887" s="242"/>
      <c r="K887" s="242"/>
      <c r="L887" s="242"/>
      <c r="M887" s="242"/>
      <c r="N887" s="242"/>
      <c r="O887" s="242"/>
      <c r="P887" s="242"/>
      <c r="Q887" s="242"/>
      <c r="R887" s="242"/>
      <c r="S887" s="242"/>
      <c r="T887" s="242"/>
      <c r="U887" s="242"/>
      <c r="V887" s="242"/>
      <c r="W887" s="242"/>
      <c r="X887" s="242"/>
      <c r="Y887" s="242"/>
      <c r="Z887" s="242"/>
      <c r="AA887" s="242"/>
      <c r="AB887" s="242"/>
    </row>
    <row r="888">
      <c r="A888" s="242"/>
      <c r="B888" s="13"/>
      <c r="C888" s="242"/>
      <c r="D888" s="13"/>
      <c r="E888" s="13"/>
      <c r="F888" s="13"/>
      <c r="G888" s="13"/>
      <c r="H888" s="13"/>
      <c r="I888" s="242"/>
      <c r="J888" s="242"/>
      <c r="K888" s="242"/>
      <c r="L888" s="242"/>
      <c r="M888" s="242"/>
      <c r="N888" s="242"/>
      <c r="O888" s="242"/>
      <c r="P888" s="242"/>
      <c r="Q888" s="242"/>
      <c r="R888" s="242"/>
      <c r="S888" s="242"/>
      <c r="T888" s="242"/>
      <c r="U888" s="242"/>
      <c r="V888" s="242"/>
      <c r="W888" s="242"/>
      <c r="X888" s="242"/>
      <c r="Y888" s="242"/>
      <c r="Z888" s="242"/>
      <c r="AA888" s="242"/>
      <c r="AB888" s="242"/>
    </row>
    <row r="889">
      <c r="A889" s="242"/>
      <c r="B889" s="13"/>
      <c r="C889" s="242"/>
      <c r="D889" s="13"/>
      <c r="E889" s="13"/>
      <c r="F889" s="13"/>
      <c r="G889" s="13"/>
      <c r="H889" s="13"/>
      <c r="I889" s="242"/>
      <c r="J889" s="242"/>
      <c r="K889" s="242"/>
      <c r="L889" s="242"/>
      <c r="M889" s="242"/>
      <c r="N889" s="242"/>
      <c r="O889" s="242"/>
      <c r="P889" s="242"/>
      <c r="Q889" s="242"/>
      <c r="R889" s="242"/>
      <c r="S889" s="242"/>
      <c r="T889" s="242"/>
      <c r="U889" s="242"/>
      <c r="V889" s="242"/>
      <c r="W889" s="242"/>
      <c r="X889" s="242"/>
      <c r="Y889" s="242"/>
      <c r="Z889" s="242"/>
      <c r="AA889" s="242"/>
      <c r="AB889" s="242"/>
    </row>
    <row r="890">
      <c r="A890" s="242"/>
      <c r="B890" s="13"/>
      <c r="C890" s="242"/>
      <c r="D890" s="13"/>
      <c r="E890" s="13"/>
      <c r="F890" s="13"/>
      <c r="G890" s="13"/>
      <c r="H890" s="13"/>
      <c r="I890" s="242"/>
      <c r="J890" s="242"/>
      <c r="K890" s="242"/>
      <c r="L890" s="242"/>
      <c r="M890" s="242"/>
      <c r="N890" s="242"/>
      <c r="O890" s="242"/>
      <c r="P890" s="242"/>
      <c r="Q890" s="242"/>
      <c r="R890" s="242"/>
      <c r="S890" s="242"/>
      <c r="T890" s="242"/>
      <c r="U890" s="242"/>
      <c r="V890" s="242"/>
      <c r="W890" s="242"/>
      <c r="X890" s="242"/>
      <c r="Y890" s="242"/>
      <c r="Z890" s="242"/>
      <c r="AA890" s="242"/>
      <c r="AB890" s="242"/>
    </row>
    <row r="891">
      <c r="A891" s="242"/>
      <c r="B891" s="13"/>
      <c r="C891" s="242"/>
      <c r="D891" s="13"/>
      <c r="E891" s="13"/>
      <c r="F891" s="13"/>
      <c r="G891" s="13"/>
      <c r="H891" s="13"/>
      <c r="I891" s="242"/>
      <c r="J891" s="242"/>
      <c r="K891" s="242"/>
      <c r="L891" s="242"/>
      <c r="M891" s="242"/>
      <c r="N891" s="242"/>
      <c r="O891" s="242"/>
      <c r="P891" s="242"/>
      <c r="Q891" s="242"/>
      <c r="R891" s="242"/>
      <c r="S891" s="242"/>
      <c r="T891" s="242"/>
      <c r="U891" s="242"/>
      <c r="V891" s="242"/>
      <c r="W891" s="242"/>
      <c r="X891" s="242"/>
      <c r="Y891" s="242"/>
      <c r="Z891" s="242"/>
      <c r="AA891" s="242"/>
      <c r="AB891" s="242"/>
    </row>
    <row r="892">
      <c r="A892" s="242"/>
      <c r="B892" s="13"/>
      <c r="C892" s="242"/>
      <c r="D892" s="13"/>
      <c r="E892" s="13"/>
      <c r="F892" s="13"/>
      <c r="G892" s="13"/>
      <c r="H892" s="13"/>
      <c r="I892" s="242"/>
      <c r="J892" s="242"/>
      <c r="K892" s="242"/>
      <c r="L892" s="242"/>
      <c r="M892" s="242"/>
      <c r="N892" s="242"/>
      <c r="O892" s="242"/>
      <c r="P892" s="242"/>
      <c r="Q892" s="242"/>
      <c r="R892" s="242"/>
      <c r="S892" s="242"/>
      <c r="T892" s="242"/>
      <c r="U892" s="242"/>
      <c r="V892" s="242"/>
      <c r="W892" s="242"/>
      <c r="X892" s="242"/>
      <c r="Y892" s="242"/>
      <c r="Z892" s="242"/>
      <c r="AA892" s="242"/>
      <c r="AB892" s="242"/>
    </row>
    <row r="893">
      <c r="A893" s="242"/>
      <c r="B893" s="13"/>
      <c r="C893" s="242"/>
      <c r="D893" s="13"/>
      <c r="E893" s="13"/>
      <c r="F893" s="13"/>
      <c r="G893" s="13"/>
      <c r="H893" s="13"/>
      <c r="I893" s="242"/>
      <c r="J893" s="242"/>
      <c r="K893" s="242"/>
      <c r="L893" s="242"/>
      <c r="M893" s="242"/>
      <c r="N893" s="242"/>
      <c r="O893" s="242"/>
      <c r="P893" s="242"/>
      <c r="Q893" s="242"/>
      <c r="R893" s="242"/>
      <c r="S893" s="242"/>
      <c r="T893" s="242"/>
      <c r="U893" s="242"/>
      <c r="V893" s="242"/>
      <c r="W893" s="242"/>
      <c r="X893" s="242"/>
      <c r="Y893" s="242"/>
      <c r="Z893" s="242"/>
      <c r="AA893" s="242"/>
      <c r="AB893" s="242"/>
    </row>
    <row r="894">
      <c r="A894" s="242"/>
      <c r="B894" s="13"/>
      <c r="C894" s="242"/>
      <c r="D894" s="13"/>
      <c r="E894" s="13"/>
      <c r="F894" s="13"/>
      <c r="G894" s="13"/>
      <c r="H894" s="13"/>
      <c r="I894" s="242"/>
      <c r="J894" s="242"/>
      <c r="K894" s="242"/>
      <c r="L894" s="242"/>
      <c r="M894" s="242"/>
      <c r="N894" s="242"/>
      <c r="O894" s="242"/>
      <c r="P894" s="242"/>
      <c r="Q894" s="242"/>
      <c r="R894" s="242"/>
      <c r="S894" s="242"/>
      <c r="T894" s="242"/>
      <c r="U894" s="242"/>
      <c r="V894" s="242"/>
      <c r="W894" s="242"/>
      <c r="X894" s="242"/>
      <c r="Y894" s="242"/>
      <c r="Z894" s="242"/>
      <c r="AA894" s="242"/>
      <c r="AB894" s="242"/>
    </row>
    <row r="895">
      <c r="A895" s="242"/>
      <c r="B895" s="13"/>
      <c r="C895" s="242"/>
      <c r="D895" s="13"/>
      <c r="E895" s="13"/>
      <c r="F895" s="13"/>
      <c r="G895" s="13"/>
      <c r="H895" s="13"/>
      <c r="I895" s="242"/>
      <c r="J895" s="242"/>
      <c r="K895" s="242"/>
      <c r="L895" s="242"/>
      <c r="M895" s="242"/>
      <c r="N895" s="242"/>
      <c r="O895" s="242"/>
      <c r="P895" s="242"/>
      <c r="Q895" s="242"/>
      <c r="R895" s="242"/>
      <c r="S895" s="242"/>
      <c r="T895" s="242"/>
      <c r="U895" s="242"/>
      <c r="V895" s="242"/>
      <c r="W895" s="242"/>
      <c r="X895" s="242"/>
      <c r="Y895" s="242"/>
      <c r="Z895" s="242"/>
      <c r="AA895" s="242"/>
      <c r="AB895" s="242"/>
    </row>
    <row r="896">
      <c r="A896" s="242"/>
      <c r="B896" s="13"/>
      <c r="C896" s="242"/>
      <c r="D896" s="13"/>
      <c r="E896" s="13"/>
      <c r="F896" s="13"/>
      <c r="G896" s="13"/>
      <c r="H896" s="13"/>
      <c r="I896" s="242"/>
      <c r="J896" s="242"/>
      <c r="K896" s="242"/>
      <c r="L896" s="242"/>
      <c r="M896" s="242"/>
      <c r="N896" s="242"/>
      <c r="O896" s="242"/>
      <c r="P896" s="242"/>
      <c r="Q896" s="242"/>
      <c r="R896" s="242"/>
      <c r="S896" s="242"/>
      <c r="T896" s="242"/>
      <c r="U896" s="242"/>
      <c r="V896" s="242"/>
      <c r="W896" s="242"/>
      <c r="X896" s="242"/>
      <c r="Y896" s="242"/>
      <c r="Z896" s="242"/>
      <c r="AA896" s="242"/>
      <c r="AB896" s="242"/>
    </row>
    <row r="897">
      <c r="A897" s="242"/>
      <c r="B897" s="13"/>
      <c r="C897" s="242"/>
      <c r="D897" s="13"/>
      <c r="E897" s="13"/>
      <c r="F897" s="13"/>
      <c r="G897" s="13"/>
      <c r="H897" s="13"/>
      <c r="I897" s="242"/>
      <c r="J897" s="242"/>
      <c r="K897" s="242"/>
      <c r="L897" s="242"/>
      <c r="M897" s="242"/>
      <c r="N897" s="242"/>
      <c r="O897" s="242"/>
      <c r="P897" s="242"/>
      <c r="Q897" s="242"/>
      <c r="R897" s="242"/>
      <c r="S897" s="242"/>
      <c r="T897" s="242"/>
      <c r="U897" s="242"/>
      <c r="V897" s="242"/>
      <c r="W897" s="242"/>
      <c r="X897" s="242"/>
      <c r="Y897" s="242"/>
      <c r="Z897" s="242"/>
      <c r="AA897" s="242"/>
      <c r="AB897" s="242"/>
    </row>
    <row r="898">
      <c r="A898" s="242"/>
      <c r="B898" s="13"/>
      <c r="C898" s="242"/>
      <c r="D898" s="13"/>
      <c r="E898" s="13"/>
      <c r="F898" s="13"/>
      <c r="G898" s="13"/>
      <c r="H898" s="13"/>
      <c r="I898" s="242"/>
      <c r="J898" s="242"/>
      <c r="K898" s="242"/>
      <c r="L898" s="242"/>
      <c r="M898" s="242"/>
      <c r="N898" s="242"/>
      <c r="O898" s="242"/>
      <c r="P898" s="242"/>
      <c r="Q898" s="242"/>
      <c r="R898" s="242"/>
      <c r="S898" s="242"/>
      <c r="T898" s="242"/>
      <c r="U898" s="242"/>
      <c r="V898" s="242"/>
      <c r="W898" s="242"/>
      <c r="X898" s="242"/>
      <c r="Y898" s="242"/>
      <c r="Z898" s="242"/>
      <c r="AA898" s="242"/>
      <c r="AB898" s="242"/>
    </row>
    <row r="899">
      <c r="A899" s="242"/>
      <c r="B899" s="13"/>
      <c r="C899" s="242"/>
      <c r="D899" s="13"/>
      <c r="E899" s="13"/>
      <c r="F899" s="13"/>
      <c r="G899" s="13"/>
      <c r="H899" s="13"/>
      <c r="I899" s="242"/>
      <c r="J899" s="242"/>
      <c r="K899" s="242"/>
      <c r="L899" s="242"/>
      <c r="M899" s="242"/>
      <c r="N899" s="242"/>
      <c r="O899" s="242"/>
      <c r="P899" s="242"/>
      <c r="Q899" s="242"/>
      <c r="R899" s="242"/>
      <c r="S899" s="242"/>
      <c r="T899" s="242"/>
      <c r="U899" s="242"/>
      <c r="V899" s="242"/>
      <c r="W899" s="242"/>
      <c r="X899" s="242"/>
      <c r="Y899" s="242"/>
      <c r="Z899" s="242"/>
      <c r="AA899" s="242"/>
      <c r="AB899" s="242"/>
    </row>
    <row r="900">
      <c r="A900" s="242"/>
      <c r="B900" s="13"/>
      <c r="C900" s="242"/>
      <c r="D900" s="13"/>
      <c r="E900" s="13"/>
      <c r="F900" s="13"/>
      <c r="G900" s="13"/>
      <c r="H900" s="13"/>
      <c r="I900" s="242"/>
      <c r="J900" s="242"/>
      <c r="K900" s="242"/>
      <c r="L900" s="242"/>
      <c r="M900" s="242"/>
      <c r="N900" s="242"/>
      <c r="O900" s="242"/>
      <c r="P900" s="242"/>
      <c r="Q900" s="242"/>
      <c r="R900" s="242"/>
      <c r="S900" s="242"/>
      <c r="T900" s="242"/>
      <c r="U900" s="242"/>
      <c r="V900" s="242"/>
      <c r="W900" s="242"/>
      <c r="X900" s="242"/>
      <c r="Y900" s="242"/>
      <c r="Z900" s="242"/>
      <c r="AA900" s="242"/>
      <c r="AB900" s="242"/>
    </row>
    <row r="901">
      <c r="A901" s="242"/>
      <c r="B901" s="13"/>
      <c r="C901" s="242"/>
      <c r="D901" s="13"/>
      <c r="E901" s="13"/>
      <c r="F901" s="13"/>
      <c r="G901" s="13"/>
      <c r="H901" s="13"/>
      <c r="I901" s="242"/>
      <c r="J901" s="242"/>
      <c r="K901" s="242"/>
      <c r="L901" s="242"/>
      <c r="M901" s="242"/>
      <c r="N901" s="242"/>
      <c r="O901" s="242"/>
      <c r="P901" s="242"/>
      <c r="Q901" s="242"/>
      <c r="R901" s="242"/>
      <c r="S901" s="242"/>
      <c r="T901" s="242"/>
      <c r="U901" s="242"/>
      <c r="V901" s="242"/>
      <c r="W901" s="242"/>
      <c r="X901" s="242"/>
      <c r="Y901" s="242"/>
      <c r="Z901" s="242"/>
      <c r="AA901" s="242"/>
      <c r="AB901" s="242"/>
    </row>
    <row r="902">
      <c r="A902" s="242"/>
      <c r="B902" s="13"/>
      <c r="C902" s="242"/>
      <c r="D902" s="13"/>
      <c r="E902" s="13"/>
      <c r="F902" s="13"/>
      <c r="G902" s="13"/>
      <c r="H902" s="13"/>
      <c r="I902" s="242"/>
      <c r="J902" s="242"/>
      <c r="K902" s="242"/>
      <c r="L902" s="242"/>
      <c r="M902" s="242"/>
      <c r="N902" s="242"/>
      <c r="O902" s="242"/>
      <c r="P902" s="242"/>
      <c r="Q902" s="242"/>
      <c r="R902" s="242"/>
      <c r="S902" s="242"/>
      <c r="T902" s="242"/>
      <c r="U902" s="242"/>
      <c r="V902" s="242"/>
      <c r="W902" s="242"/>
      <c r="X902" s="242"/>
      <c r="Y902" s="242"/>
      <c r="Z902" s="242"/>
      <c r="AA902" s="242"/>
      <c r="AB902" s="242"/>
    </row>
    <row r="903">
      <c r="A903" s="242"/>
      <c r="B903" s="13"/>
      <c r="C903" s="242"/>
      <c r="D903" s="13"/>
      <c r="E903" s="13"/>
      <c r="F903" s="13"/>
      <c r="G903" s="13"/>
      <c r="H903" s="13"/>
      <c r="I903" s="242"/>
      <c r="J903" s="242"/>
      <c r="K903" s="242"/>
      <c r="L903" s="242"/>
      <c r="M903" s="242"/>
      <c r="N903" s="242"/>
      <c r="O903" s="242"/>
      <c r="P903" s="242"/>
      <c r="Q903" s="242"/>
      <c r="R903" s="242"/>
      <c r="S903" s="242"/>
      <c r="T903" s="242"/>
      <c r="U903" s="242"/>
      <c r="V903" s="242"/>
      <c r="W903" s="242"/>
      <c r="X903" s="242"/>
      <c r="Y903" s="242"/>
      <c r="Z903" s="242"/>
      <c r="AA903" s="242"/>
      <c r="AB903" s="242"/>
    </row>
    <row r="904">
      <c r="A904" s="242"/>
      <c r="B904" s="13"/>
      <c r="C904" s="242"/>
      <c r="D904" s="13"/>
      <c r="E904" s="13"/>
      <c r="F904" s="13"/>
      <c r="G904" s="13"/>
      <c r="H904" s="13"/>
      <c r="I904" s="242"/>
      <c r="J904" s="242"/>
      <c r="K904" s="242"/>
      <c r="L904" s="242"/>
      <c r="M904" s="242"/>
      <c r="N904" s="242"/>
      <c r="O904" s="242"/>
      <c r="P904" s="242"/>
      <c r="Q904" s="242"/>
      <c r="R904" s="242"/>
      <c r="S904" s="242"/>
      <c r="T904" s="242"/>
      <c r="U904" s="242"/>
      <c r="V904" s="242"/>
      <c r="W904" s="242"/>
      <c r="X904" s="242"/>
      <c r="Y904" s="242"/>
      <c r="Z904" s="242"/>
      <c r="AA904" s="242"/>
      <c r="AB904" s="242"/>
    </row>
    <row r="905">
      <c r="A905" s="242"/>
      <c r="B905" s="13"/>
      <c r="C905" s="242"/>
      <c r="D905" s="13"/>
      <c r="E905" s="13"/>
      <c r="F905" s="13"/>
      <c r="G905" s="13"/>
      <c r="H905" s="13"/>
      <c r="I905" s="242"/>
      <c r="J905" s="242"/>
      <c r="K905" s="242"/>
      <c r="L905" s="242"/>
      <c r="M905" s="242"/>
      <c r="N905" s="242"/>
      <c r="O905" s="242"/>
      <c r="P905" s="242"/>
      <c r="Q905" s="242"/>
      <c r="R905" s="242"/>
      <c r="S905" s="242"/>
      <c r="T905" s="242"/>
      <c r="U905" s="242"/>
      <c r="V905" s="242"/>
      <c r="W905" s="242"/>
      <c r="X905" s="242"/>
      <c r="Y905" s="242"/>
      <c r="Z905" s="242"/>
      <c r="AA905" s="242"/>
      <c r="AB905" s="242"/>
    </row>
    <row r="906">
      <c r="A906" s="242"/>
      <c r="B906" s="13"/>
      <c r="C906" s="242"/>
      <c r="D906" s="13"/>
      <c r="E906" s="13"/>
      <c r="F906" s="13"/>
      <c r="G906" s="13"/>
      <c r="H906" s="13"/>
      <c r="I906" s="242"/>
      <c r="J906" s="242"/>
      <c r="K906" s="242"/>
      <c r="L906" s="242"/>
      <c r="M906" s="242"/>
      <c r="N906" s="242"/>
      <c r="O906" s="242"/>
      <c r="P906" s="242"/>
      <c r="Q906" s="242"/>
      <c r="R906" s="242"/>
      <c r="S906" s="242"/>
      <c r="T906" s="242"/>
      <c r="U906" s="242"/>
      <c r="V906" s="242"/>
      <c r="W906" s="242"/>
      <c r="X906" s="242"/>
      <c r="Y906" s="242"/>
      <c r="Z906" s="242"/>
      <c r="AA906" s="242"/>
      <c r="AB906" s="242"/>
    </row>
    <row r="907">
      <c r="A907" s="242"/>
      <c r="B907" s="13"/>
      <c r="C907" s="242"/>
      <c r="D907" s="13"/>
      <c r="E907" s="13"/>
      <c r="F907" s="13"/>
      <c r="G907" s="13"/>
      <c r="H907" s="13"/>
      <c r="I907" s="242"/>
      <c r="J907" s="242"/>
      <c r="K907" s="242"/>
      <c r="L907" s="242"/>
      <c r="M907" s="242"/>
      <c r="N907" s="242"/>
      <c r="O907" s="242"/>
      <c r="P907" s="242"/>
      <c r="Q907" s="242"/>
      <c r="R907" s="242"/>
      <c r="S907" s="242"/>
      <c r="T907" s="242"/>
      <c r="U907" s="242"/>
      <c r="V907" s="242"/>
      <c r="W907" s="242"/>
      <c r="X907" s="242"/>
      <c r="Y907" s="242"/>
      <c r="Z907" s="242"/>
      <c r="AA907" s="242"/>
      <c r="AB907" s="242"/>
    </row>
    <row r="908">
      <c r="A908" s="242"/>
      <c r="B908" s="13"/>
      <c r="C908" s="242"/>
      <c r="D908" s="13"/>
      <c r="E908" s="13"/>
      <c r="F908" s="13"/>
      <c r="G908" s="13"/>
      <c r="H908" s="13"/>
      <c r="I908" s="242"/>
      <c r="J908" s="242"/>
      <c r="K908" s="242"/>
      <c r="L908" s="242"/>
      <c r="M908" s="242"/>
      <c r="N908" s="242"/>
      <c r="O908" s="242"/>
      <c r="P908" s="242"/>
      <c r="Q908" s="242"/>
      <c r="R908" s="242"/>
      <c r="S908" s="242"/>
      <c r="T908" s="242"/>
      <c r="U908" s="242"/>
      <c r="V908" s="242"/>
      <c r="W908" s="242"/>
      <c r="X908" s="242"/>
      <c r="Y908" s="242"/>
      <c r="Z908" s="242"/>
      <c r="AA908" s="242"/>
      <c r="AB908" s="242"/>
    </row>
    <row r="909">
      <c r="A909" s="242"/>
      <c r="B909" s="13"/>
      <c r="C909" s="242"/>
      <c r="D909" s="13"/>
      <c r="E909" s="13"/>
      <c r="F909" s="13"/>
      <c r="G909" s="13"/>
      <c r="H909" s="13"/>
      <c r="I909" s="242"/>
      <c r="J909" s="242"/>
      <c r="K909" s="242"/>
      <c r="L909" s="242"/>
      <c r="M909" s="242"/>
      <c r="N909" s="242"/>
      <c r="O909" s="242"/>
      <c r="P909" s="242"/>
      <c r="Q909" s="242"/>
      <c r="R909" s="242"/>
      <c r="S909" s="242"/>
      <c r="T909" s="242"/>
      <c r="U909" s="242"/>
      <c r="V909" s="242"/>
      <c r="W909" s="242"/>
      <c r="X909" s="242"/>
      <c r="Y909" s="242"/>
      <c r="Z909" s="242"/>
      <c r="AA909" s="242"/>
      <c r="AB909" s="242"/>
    </row>
    <row r="910">
      <c r="A910" s="242"/>
      <c r="B910" s="13"/>
      <c r="C910" s="242"/>
      <c r="D910" s="13"/>
      <c r="E910" s="13"/>
      <c r="F910" s="13"/>
      <c r="G910" s="13"/>
      <c r="H910" s="13"/>
      <c r="I910" s="242"/>
      <c r="J910" s="242"/>
      <c r="K910" s="242"/>
      <c r="L910" s="242"/>
      <c r="M910" s="242"/>
      <c r="N910" s="242"/>
      <c r="O910" s="242"/>
      <c r="P910" s="242"/>
      <c r="Q910" s="242"/>
      <c r="R910" s="242"/>
      <c r="S910" s="242"/>
      <c r="T910" s="242"/>
      <c r="U910" s="242"/>
      <c r="V910" s="242"/>
      <c r="W910" s="242"/>
      <c r="X910" s="242"/>
      <c r="Y910" s="242"/>
      <c r="Z910" s="242"/>
      <c r="AA910" s="242"/>
      <c r="AB910" s="242"/>
    </row>
    <row r="911">
      <c r="A911" s="242"/>
      <c r="B911" s="13"/>
      <c r="C911" s="242"/>
      <c r="D911" s="13"/>
      <c r="E911" s="13"/>
      <c r="F911" s="13"/>
      <c r="G911" s="13"/>
      <c r="H911" s="13"/>
      <c r="I911" s="242"/>
      <c r="J911" s="242"/>
      <c r="K911" s="242"/>
      <c r="L911" s="242"/>
      <c r="M911" s="242"/>
      <c r="N911" s="242"/>
      <c r="O911" s="242"/>
      <c r="P911" s="242"/>
      <c r="Q911" s="242"/>
      <c r="R911" s="242"/>
      <c r="S911" s="242"/>
      <c r="T911" s="242"/>
      <c r="U911" s="242"/>
      <c r="V911" s="242"/>
      <c r="W911" s="242"/>
      <c r="X911" s="242"/>
      <c r="Y911" s="242"/>
      <c r="Z911" s="242"/>
      <c r="AA911" s="242"/>
      <c r="AB911" s="242"/>
    </row>
    <row r="912">
      <c r="A912" s="242"/>
      <c r="B912" s="13"/>
      <c r="C912" s="242"/>
      <c r="D912" s="13"/>
      <c r="E912" s="13"/>
      <c r="F912" s="13"/>
      <c r="G912" s="13"/>
      <c r="H912" s="13"/>
      <c r="I912" s="242"/>
      <c r="J912" s="242"/>
      <c r="K912" s="242"/>
      <c r="L912" s="242"/>
      <c r="M912" s="242"/>
      <c r="N912" s="242"/>
      <c r="O912" s="242"/>
      <c r="P912" s="242"/>
      <c r="Q912" s="242"/>
      <c r="R912" s="242"/>
      <c r="S912" s="242"/>
      <c r="T912" s="242"/>
      <c r="U912" s="242"/>
      <c r="V912" s="242"/>
      <c r="W912" s="242"/>
      <c r="X912" s="242"/>
      <c r="Y912" s="242"/>
      <c r="Z912" s="242"/>
      <c r="AA912" s="242"/>
      <c r="AB912" s="242"/>
    </row>
    <row r="913">
      <c r="A913" s="242"/>
      <c r="B913" s="13"/>
      <c r="C913" s="242"/>
      <c r="D913" s="13"/>
      <c r="E913" s="13"/>
      <c r="F913" s="13"/>
      <c r="G913" s="13"/>
      <c r="H913" s="13"/>
      <c r="I913" s="242"/>
      <c r="J913" s="242"/>
      <c r="K913" s="242"/>
      <c r="L913" s="242"/>
      <c r="M913" s="242"/>
      <c r="N913" s="242"/>
      <c r="O913" s="242"/>
      <c r="P913" s="242"/>
      <c r="Q913" s="242"/>
      <c r="R913" s="242"/>
      <c r="S913" s="242"/>
      <c r="T913" s="242"/>
      <c r="U913" s="242"/>
      <c r="V913" s="242"/>
      <c r="W913" s="242"/>
      <c r="X913" s="242"/>
      <c r="Y913" s="242"/>
      <c r="Z913" s="242"/>
      <c r="AA913" s="242"/>
      <c r="AB913" s="242"/>
    </row>
    <row r="914">
      <c r="A914" s="242"/>
      <c r="B914" s="13"/>
      <c r="C914" s="242"/>
      <c r="D914" s="13"/>
      <c r="E914" s="13"/>
      <c r="F914" s="13"/>
      <c r="G914" s="13"/>
      <c r="H914" s="13"/>
      <c r="I914" s="242"/>
      <c r="J914" s="242"/>
      <c r="K914" s="242"/>
      <c r="L914" s="242"/>
      <c r="M914" s="242"/>
      <c r="N914" s="242"/>
      <c r="O914" s="242"/>
      <c r="P914" s="242"/>
      <c r="Q914" s="242"/>
      <c r="R914" s="242"/>
      <c r="S914" s="242"/>
      <c r="T914" s="242"/>
      <c r="U914" s="242"/>
      <c r="V914" s="242"/>
      <c r="W914" s="242"/>
      <c r="X914" s="242"/>
      <c r="Y914" s="242"/>
      <c r="Z914" s="242"/>
      <c r="AA914" s="242"/>
      <c r="AB914" s="242"/>
    </row>
    <row r="915">
      <c r="A915" s="242"/>
      <c r="B915" s="13"/>
      <c r="C915" s="242"/>
      <c r="D915" s="13"/>
      <c r="E915" s="13"/>
      <c r="F915" s="13"/>
      <c r="G915" s="13"/>
      <c r="H915" s="13"/>
      <c r="I915" s="242"/>
      <c r="J915" s="242"/>
      <c r="K915" s="242"/>
      <c r="L915" s="242"/>
      <c r="M915" s="242"/>
      <c r="N915" s="242"/>
      <c r="O915" s="242"/>
      <c r="P915" s="242"/>
      <c r="Q915" s="242"/>
      <c r="R915" s="242"/>
      <c r="S915" s="242"/>
      <c r="T915" s="242"/>
      <c r="U915" s="242"/>
      <c r="V915" s="242"/>
      <c r="W915" s="242"/>
      <c r="X915" s="242"/>
      <c r="Y915" s="242"/>
      <c r="Z915" s="242"/>
      <c r="AA915" s="242"/>
      <c r="AB915" s="242"/>
    </row>
    <row r="916">
      <c r="A916" s="242"/>
      <c r="B916" s="13"/>
      <c r="C916" s="242"/>
      <c r="D916" s="13"/>
      <c r="E916" s="13"/>
      <c r="F916" s="13"/>
      <c r="G916" s="13"/>
      <c r="H916" s="13"/>
      <c r="I916" s="242"/>
      <c r="J916" s="242"/>
      <c r="K916" s="242"/>
      <c r="L916" s="242"/>
      <c r="M916" s="242"/>
      <c r="N916" s="242"/>
      <c r="O916" s="242"/>
      <c r="P916" s="242"/>
      <c r="Q916" s="242"/>
      <c r="R916" s="242"/>
      <c r="S916" s="242"/>
      <c r="T916" s="242"/>
      <c r="U916" s="242"/>
      <c r="V916" s="242"/>
      <c r="W916" s="242"/>
      <c r="X916" s="242"/>
      <c r="Y916" s="242"/>
      <c r="Z916" s="242"/>
      <c r="AA916" s="242"/>
      <c r="AB916" s="242"/>
    </row>
    <row r="917">
      <c r="A917" s="242"/>
      <c r="B917" s="13"/>
      <c r="C917" s="242"/>
      <c r="D917" s="13"/>
      <c r="E917" s="13"/>
      <c r="F917" s="13"/>
      <c r="G917" s="13"/>
      <c r="H917" s="13"/>
      <c r="I917" s="242"/>
      <c r="J917" s="242"/>
      <c r="K917" s="242"/>
      <c r="L917" s="242"/>
      <c r="M917" s="242"/>
      <c r="N917" s="242"/>
      <c r="O917" s="242"/>
      <c r="P917" s="242"/>
      <c r="Q917" s="242"/>
      <c r="R917" s="242"/>
      <c r="S917" s="242"/>
      <c r="T917" s="242"/>
      <c r="U917" s="242"/>
      <c r="V917" s="242"/>
      <c r="W917" s="242"/>
      <c r="X917" s="242"/>
      <c r="Y917" s="242"/>
      <c r="Z917" s="242"/>
      <c r="AA917" s="242"/>
      <c r="AB917" s="242"/>
    </row>
    <row r="918">
      <c r="A918" s="242"/>
      <c r="B918" s="13"/>
      <c r="C918" s="242"/>
      <c r="D918" s="13"/>
      <c r="E918" s="13"/>
      <c r="F918" s="13"/>
      <c r="G918" s="13"/>
      <c r="H918" s="13"/>
      <c r="I918" s="242"/>
      <c r="J918" s="242"/>
      <c r="K918" s="242"/>
      <c r="L918" s="242"/>
      <c r="M918" s="242"/>
      <c r="N918" s="242"/>
      <c r="O918" s="242"/>
      <c r="P918" s="242"/>
      <c r="Q918" s="242"/>
      <c r="R918" s="242"/>
      <c r="S918" s="242"/>
      <c r="T918" s="242"/>
      <c r="U918" s="242"/>
      <c r="V918" s="242"/>
      <c r="W918" s="242"/>
      <c r="X918" s="242"/>
      <c r="Y918" s="242"/>
      <c r="Z918" s="242"/>
      <c r="AA918" s="242"/>
      <c r="AB918" s="242"/>
    </row>
    <row r="919">
      <c r="A919" s="242"/>
      <c r="B919" s="13"/>
      <c r="C919" s="242"/>
      <c r="D919" s="13"/>
      <c r="E919" s="13"/>
      <c r="F919" s="13"/>
      <c r="G919" s="13"/>
      <c r="H919" s="13"/>
      <c r="I919" s="242"/>
      <c r="J919" s="242"/>
      <c r="K919" s="242"/>
      <c r="L919" s="242"/>
      <c r="M919" s="242"/>
      <c r="N919" s="242"/>
      <c r="O919" s="242"/>
      <c r="P919" s="242"/>
      <c r="Q919" s="242"/>
      <c r="R919" s="242"/>
      <c r="S919" s="242"/>
      <c r="T919" s="242"/>
      <c r="U919" s="242"/>
      <c r="V919" s="242"/>
      <c r="W919" s="242"/>
      <c r="X919" s="242"/>
      <c r="Y919" s="242"/>
      <c r="Z919" s="242"/>
      <c r="AA919" s="242"/>
      <c r="AB919" s="242"/>
    </row>
    <row r="920">
      <c r="A920" s="242"/>
      <c r="B920" s="13"/>
      <c r="C920" s="242"/>
      <c r="D920" s="13"/>
      <c r="E920" s="13"/>
      <c r="F920" s="13"/>
      <c r="G920" s="13"/>
      <c r="H920" s="13"/>
      <c r="I920" s="242"/>
      <c r="J920" s="242"/>
      <c r="K920" s="242"/>
      <c r="L920" s="242"/>
      <c r="M920" s="242"/>
      <c r="N920" s="242"/>
      <c r="O920" s="242"/>
      <c r="P920" s="242"/>
      <c r="Q920" s="242"/>
      <c r="R920" s="242"/>
      <c r="S920" s="242"/>
      <c r="T920" s="242"/>
      <c r="U920" s="242"/>
      <c r="V920" s="242"/>
      <c r="W920" s="242"/>
      <c r="X920" s="242"/>
      <c r="Y920" s="242"/>
      <c r="Z920" s="242"/>
      <c r="AA920" s="242"/>
      <c r="AB920" s="242"/>
    </row>
    <row r="921">
      <c r="A921" s="242"/>
      <c r="B921" s="13"/>
      <c r="C921" s="242"/>
      <c r="D921" s="13"/>
      <c r="E921" s="13"/>
      <c r="F921" s="13"/>
      <c r="G921" s="13"/>
      <c r="H921" s="13"/>
      <c r="I921" s="242"/>
      <c r="J921" s="242"/>
      <c r="K921" s="242"/>
      <c r="L921" s="242"/>
      <c r="M921" s="242"/>
      <c r="N921" s="242"/>
      <c r="O921" s="242"/>
      <c r="P921" s="242"/>
      <c r="Q921" s="242"/>
      <c r="R921" s="242"/>
      <c r="S921" s="242"/>
      <c r="T921" s="242"/>
      <c r="U921" s="242"/>
      <c r="V921" s="242"/>
      <c r="W921" s="242"/>
      <c r="X921" s="242"/>
      <c r="Y921" s="242"/>
      <c r="Z921" s="242"/>
      <c r="AA921" s="242"/>
      <c r="AB921" s="242"/>
    </row>
    <row r="922">
      <c r="A922" s="242"/>
      <c r="B922" s="13"/>
      <c r="C922" s="242"/>
      <c r="D922" s="13"/>
      <c r="E922" s="13"/>
      <c r="F922" s="13"/>
      <c r="G922" s="13"/>
      <c r="H922" s="13"/>
      <c r="I922" s="242"/>
      <c r="J922" s="242"/>
      <c r="K922" s="242"/>
      <c r="L922" s="242"/>
      <c r="M922" s="242"/>
      <c r="N922" s="242"/>
      <c r="O922" s="242"/>
      <c r="P922" s="242"/>
      <c r="Q922" s="242"/>
      <c r="R922" s="242"/>
      <c r="S922" s="242"/>
      <c r="T922" s="242"/>
      <c r="U922" s="242"/>
      <c r="V922" s="242"/>
      <c r="W922" s="242"/>
      <c r="X922" s="242"/>
      <c r="Y922" s="242"/>
      <c r="Z922" s="242"/>
      <c r="AA922" s="242"/>
      <c r="AB922" s="242"/>
    </row>
    <row r="923">
      <c r="A923" s="242"/>
      <c r="B923" s="13"/>
      <c r="C923" s="242"/>
      <c r="D923" s="13"/>
      <c r="E923" s="13"/>
      <c r="F923" s="13"/>
      <c r="G923" s="13"/>
      <c r="H923" s="13"/>
      <c r="I923" s="242"/>
      <c r="J923" s="242"/>
      <c r="K923" s="242"/>
      <c r="L923" s="242"/>
      <c r="M923" s="242"/>
      <c r="N923" s="242"/>
      <c r="O923" s="242"/>
      <c r="P923" s="242"/>
      <c r="Q923" s="242"/>
      <c r="R923" s="242"/>
      <c r="S923" s="242"/>
      <c r="T923" s="242"/>
      <c r="U923" s="242"/>
      <c r="V923" s="242"/>
      <c r="W923" s="242"/>
      <c r="X923" s="242"/>
      <c r="Y923" s="242"/>
      <c r="Z923" s="242"/>
      <c r="AA923" s="242"/>
      <c r="AB923" s="242"/>
    </row>
    <row r="924">
      <c r="A924" s="242"/>
      <c r="B924" s="13"/>
      <c r="C924" s="242"/>
      <c r="D924" s="13"/>
      <c r="E924" s="13"/>
      <c r="F924" s="13"/>
      <c r="G924" s="13"/>
      <c r="H924" s="13"/>
      <c r="I924" s="242"/>
      <c r="J924" s="242"/>
      <c r="K924" s="242"/>
      <c r="L924" s="242"/>
      <c r="M924" s="242"/>
      <c r="N924" s="242"/>
      <c r="O924" s="242"/>
      <c r="P924" s="242"/>
      <c r="Q924" s="242"/>
      <c r="R924" s="242"/>
      <c r="S924" s="242"/>
      <c r="T924" s="242"/>
      <c r="U924" s="242"/>
      <c r="V924" s="242"/>
      <c r="W924" s="242"/>
      <c r="X924" s="242"/>
      <c r="Y924" s="242"/>
      <c r="Z924" s="242"/>
      <c r="AA924" s="242"/>
      <c r="AB924" s="242"/>
    </row>
    <row r="925">
      <c r="A925" s="242"/>
      <c r="B925" s="13"/>
      <c r="C925" s="242"/>
      <c r="D925" s="13"/>
      <c r="E925" s="13"/>
      <c r="F925" s="13"/>
      <c r="G925" s="13"/>
      <c r="H925" s="13"/>
      <c r="I925" s="242"/>
      <c r="J925" s="242"/>
      <c r="K925" s="242"/>
      <c r="L925" s="242"/>
      <c r="M925" s="242"/>
      <c r="N925" s="242"/>
      <c r="O925" s="242"/>
      <c r="P925" s="242"/>
      <c r="Q925" s="242"/>
      <c r="R925" s="242"/>
      <c r="S925" s="242"/>
      <c r="T925" s="242"/>
      <c r="U925" s="242"/>
      <c r="V925" s="242"/>
      <c r="W925" s="242"/>
      <c r="X925" s="242"/>
      <c r="Y925" s="242"/>
      <c r="Z925" s="242"/>
      <c r="AA925" s="242"/>
      <c r="AB925" s="242"/>
    </row>
    <row r="926">
      <c r="A926" s="242"/>
      <c r="B926" s="13"/>
      <c r="C926" s="242"/>
      <c r="D926" s="13"/>
      <c r="E926" s="13"/>
      <c r="F926" s="13"/>
      <c r="G926" s="13"/>
      <c r="H926" s="13"/>
      <c r="I926" s="242"/>
      <c r="J926" s="242"/>
      <c r="K926" s="242"/>
      <c r="L926" s="242"/>
      <c r="M926" s="242"/>
      <c r="N926" s="242"/>
      <c r="O926" s="242"/>
      <c r="P926" s="242"/>
      <c r="Q926" s="242"/>
      <c r="R926" s="242"/>
      <c r="S926" s="242"/>
      <c r="T926" s="242"/>
      <c r="U926" s="242"/>
      <c r="V926" s="242"/>
      <c r="W926" s="242"/>
      <c r="X926" s="242"/>
      <c r="Y926" s="242"/>
      <c r="Z926" s="242"/>
      <c r="AA926" s="242"/>
      <c r="AB926" s="242"/>
    </row>
    <row r="927">
      <c r="A927" s="242"/>
      <c r="B927" s="13"/>
      <c r="C927" s="242"/>
      <c r="D927" s="13"/>
      <c r="E927" s="13"/>
      <c r="F927" s="13"/>
      <c r="G927" s="13"/>
      <c r="H927" s="13"/>
      <c r="I927" s="242"/>
      <c r="J927" s="242"/>
      <c r="K927" s="242"/>
      <c r="L927" s="242"/>
      <c r="M927" s="242"/>
      <c r="N927" s="242"/>
      <c r="O927" s="242"/>
      <c r="P927" s="242"/>
      <c r="Q927" s="242"/>
      <c r="R927" s="242"/>
      <c r="S927" s="242"/>
      <c r="T927" s="242"/>
      <c r="U927" s="242"/>
      <c r="V927" s="242"/>
      <c r="W927" s="242"/>
      <c r="X927" s="242"/>
      <c r="Y927" s="242"/>
      <c r="Z927" s="242"/>
      <c r="AA927" s="242"/>
      <c r="AB927" s="242"/>
    </row>
    <row r="928">
      <c r="A928" s="242"/>
      <c r="B928" s="13"/>
      <c r="C928" s="242"/>
      <c r="D928" s="13"/>
      <c r="E928" s="13"/>
      <c r="F928" s="13"/>
      <c r="G928" s="13"/>
      <c r="H928" s="13"/>
      <c r="I928" s="242"/>
      <c r="J928" s="242"/>
      <c r="K928" s="242"/>
      <c r="L928" s="242"/>
      <c r="M928" s="242"/>
      <c r="N928" s="242"/>
      <c r="O928" s="242"/>
      <c r="P928" s="242"/>
      <c r="Q928" s="242"/>
      <c r="R928" s="242"/>
      <c r="S928" s="242"/>
      <c r="T928" s="242"/>
      <c r="U928" s="242"/>
      <c r="V928" s="242"/>
      <c r="W928" s="242"/>
      <c r="X928" s="242"/>
      <c r="Y928" s="242"/>
      <c r="Z928" s="242"/>
      <c r="AA928" s="242"/>
      <c r="AB928" s="242"/>
    </row>
    <row r="929">
      <c r="A929" s="242"/>
      <c r="B929" s="13"/>
      <c r="C929" s="242"/>
      <c r="D929" s="13"/>
      <c r="E929" s="13"/>
      <c r="F929" s="13"/>
      <c r="G929" s="13"/>
      <c r="H929" s="13"/>
      <c r="I929" s="242"/>
      <c r="J929" s="242"/>
      <c r="K929" s="242"/>
      <c r="L929" s="242"/>
      <c r="M929" s="242"/>
      <c r="N929" s="242"/>
      <c r="O929" s="242"/>
      <c r="P929" s="242"/>
      <c r="Q929" s="242"/>
      <c r="R929" s="242"/>
      <c r="S929" s="242"/>
      <c r="T929" s="242"/>
      <c r="U929" s="242"/>
      <c r="V929" s="242"/>
      <c r="W929" s="242"/>
      <c r="X929" s="242"/>
      <c r="Y929" s="242"/>
      <c r="Z929" s="242"/>
      <c r="AA929" s="242"/>
      <c r="AB929" s="242"/>
    </row>
    <row r="930">
      <c r="A930" s="242"/>
      <c r="B930" s="13"/>
      <c r="C930" s="242"/>
      <c r="D930" s="13"/>
      <c r="E930" s="13"/>
      <c r="F930" s="13"/>
      <c r="G930" s="13"/>
      <c r="H930" s="13"/>
      <c r="I930" s="242"/>
      <c r="J930" s="242"/>
      <c r="K930" s="242"/>
      <c r="L930" s="242"/>
      <c r="M930" s="242"/>
      <c r="N930" s="242"/>
      <c r="O930" s="242"/>
      <c r="P930" s="242"/>
      <c r="Q930" s="242"/>
      <c r="R930" s="242"/>
      <c r="S930" s="242"/>
      <c r="T930" s="242"/>
      <c r="U930" s="242"/>
      <c r="V930" s="242"/>
      <c r="W930" s="242"/>
      <c r="X930" s="242"/>
      <c r="Y930" s="242"/>
      <c r="Z930" s="242"/>
      <c r="AA930" s="242"/>
      <c r="AB930" s="242"/>
    </row>
    <row r="931">
      <c r="A931" s="242"/>
      <c r="B931" s="13"/>
      <c r="C931" s="242"/>
      <c r="D931" s="13"/>
      <c r="E931" s="13"/>
      <c r="F931" s="13"/>
      <c r="G931" s="13"/>
      <c r="H931" s="13"/>
      <c r="I931" s="242"/>
      <c r="J931" s="242"/>
      <c r="K931" s="242"/>
      <c r="L931" s="242"/>
      <c r="M931" s="242"/>
      <c r="N931" s="242"/>
      <c r="O931" s="242"/>
      <c r="P931" s="242"/>
      <c r="Q931" s="242"/>
      <c r="R931" s="242"/>
      <c r="S931" s="242"/>
      <c r="T931" s="242"/>
      <c r="U931" s="242"/>
      <c r="V931" s="242"/>
      <c r="W931" s="242"/>
      <c r="X931" s="242"/>
      <c r="Y931" s="242"/>
      <c r="Z931" s="242"/>
      <c r="AA931" s="242"/>
      <c r="AB931" s="242"/>
    </row>
    <row r="932">
      <c r="A932" s="242"/>
      <c r="B932" s="13"/>
      <c r="C932" s="242"/>
      <c r="D932" s="13"/>
      <c r="E932" s="13"/>
      <c r="F932" s="13"/>
      <c r="G932" s="13"/>
      <c r="H932" s="13"/>
      <c r="I932" s="242"/>
      <c r="J932" s="242"/>
      <c r="K932" s="242"/>
      <c r="L932" s="242"/>
      <c r="M932" s="242"/>
      <c r="N932" s="242"/>
      <c r="O932" s="242"/>
      <c r="P932" s="242"/>
      <c r="Q932" s="242"/>
      <c r="R932" s="242"/>
      <c r="S932" s="242"/>
      <c r="T932" s="242"/>
      <c r="U932" s="242"/>
      <c r="V932" s="242"/>
      <c r="W932" s="242"/>
      <c r="X932" s="242"/>
      <c r="Y932" s="242"/>
      <c r="Z932" s="242"/>
      <c r="AA932" s="242"/>
      <c r="AB932" s="242"/>
    </row>
    <row r="933">
      <c r="A933" s="242"/>
      <c r="B933" s="13"/>
      <c r="C933" s="242"/>
      <c r="D933" s="13"/>
      <c r="E933" s="13"/>
      <c r="F933" s="13"/>
      <c r="G933" s="13"/>
      <c r="H933" s="13"/>
      <c r="I933" s="242"/>
      <c r="J933" s="242"/>
      <c r="K933" s="242"/>
      <c r="L933" s="242"/>
      <c r="M933" s="242"/>
      <c r="N933" s="242"/>
      <c r="O933" s="242"/>
      <c r="P933" s="242"/>
      <c r="Q933" s="242"/>
      <c r="R933" s="242"/>
      <c r="S933" s="242"/>
      <c r="T933" s="242"/>
      <c r="U933" s="242"/>
      <c r="V933" s="242"/>
      <c r="W933" s="242"/>
      <c r="X933" s="242"/>
      <c r="Y933" s="242"/>
      <c r="Z933" s="242"/>
      <c r="AA933" s="242"/>
      <c r="AB933" s="242"/>
    </row>
    <row r="934">
      <c r="A934" s="242"/>
      <c r="B934" s="13"/>
      <c r="C934" s="242"/>
      <c r="D934" s="13"/>
      <c r="E934" s="13"/>
      <c r="F934" s="13"/>
      <c r="G934" s="13"/>
      <c r="H934" s="13"/>
      <c r="I934" s="242"/>
      <c r="J934" s="242"/>
      <c r="K934" s="242"/>
      <c r="L934" s="242"/>
      <c r="M934" s="242"/>
      <c r="N934" s="242"/>
      <c r="O934" s="242"/>
      <c r="P934" s="242"/>
      <c r="Q934" s="242"/>
      <c r="R934" s="242"/>
      <c r="S934" s="242"/>
      <c r="T934" s="242"/>
      <c r="U934" s="242"/>
      <c r="V934" s="242"/>
      <c r="W934" s="242"/>
      <c r="X934" s="242"/>
      <c r="Y934" s="242"/>
      <c r="Z934" s="242"/>
      <c r="AA934" s="242"/>
      <c r="AB934" s="242"/>
    </row>
    <row r="935">
      <c r="A935" s="242"/>
      <c r="B935" s="13"/>
      <c r="C935" s="242"/>
      <c r="D935" s="13"/>
      <c r="E935" s="13"/>
      <c r="F935" s="13"/>
      <c r="G935" s="13"/>
      <c r="H935" s="13"/>
      <c r="I935" s="242"/>
      <c r="J935" s="242"/>
      <c r="K935" s="242"/>
      <c r="L935" s="242"/>
      <c r="M935" s="242"/>
      <c r="N935" s="242"/>
      <c r="O935" s="242"/>
      <c r="P935" s="242"/>
      <c r="Q935" s="242"/>
      <c r="R935" s="242"/>
      <c r="S935" s="242"/>
      <c r="T935" s="242"/>
      <c r="U935" s="242"/>
      <c r="V935" s="242"/>
      <c r="W935" s="242"/>
      <c r="X935" s="242"/>
      <c r="Y935" s="242"/>
      <c r="Z935" s="242"/>
      <c r="AA935" s="242"/>
      <c r="AB935" s="242"/>
    </row>
    <row r="936">
      <c r="A936" s="242"/>
      <c r="B936" s="13"/>
      <c r="C936" s="242"/>
      <c r="D936" s="13"/>
      <c r="E936" s="13"/>
      <c r="F936" s="13"/>
      <c r="G936" s="13"/>
      <c r="H936" s="13"/>
      <c r="I936" s="242"/>
      <c r="J936" s="242"/>
      <c r="K936" s="242"/>
      <c r="L936" s="242"/>
      <c r="M936" s="242"/>
      <c r="N936" s="242"/>
      <c r="O936" s="242"/>
      <c r="P936" s="242"/>
      <c r="Q936" s="242"/>
      <c r="R936" s="242"/>
      <c r="S936" s="242"/>
      <c r="T936" s="242"/>
      <c r="U936" s="242"/>
      <c r="V936" s="242"/>
      <c r="W936" s="242"/>
      <c r="X936" s="242"/>
      <c r="Y936" s="242"/>
      <c r="Z936" s="242"/>
      <c r="AA936" s="242"/>
      <c r="AB936" s="242"/>
    </row>
    <row r="937">
      <c r="A937" s="242"/>
      <c r="B937" s="13"/>
      <c r="C937" s="242"/>
      <c r="D937" s="13"/>
      <c r="E937" s="13"/>
      <c r="F937" s="13"/>
      <c r="G937" s="13"/>
      <c r="H937" s="13"/>
      <c r="I937" s="242"/>
      <c r="J937" s="242"/>
      <c r="K937" s="242"/>
      <c r="L937" s="242"/>
      <c r="M937" s="242"/>
      <c r="N937" s="242"/>
      <c r="O937" s="242"/>
      <c r="P937" s="242"/>
      <c r="Q937" s="242"/>
      <c r="R937" s="242"/>
      <c r="S937" s="242"/>
      <c r="T937" s="242"/>
      <c r="U937" s="242"/>
      <c r="V937" s="242"/>
      <c r="W937" s="242"/>
      <c r="X937" s="242"/>
      <c r="Y937" s="242"/>
      <c r="Z937" s="242"/>
      <c r="AA937" s="242"/>
      <c r="AB937" s="242"/>
    </row>
    <row r="938">
      <c r="A938" s="242"/>
      <c r="B938" s="13"/>
      <c r="C938" s="242"/>
      <c r="D938" s="13"/>
      <c r="E938" s="13"/>
      <c r="F938" s="13"/>
      <c r="G938" s="13"/>
      <c r="H938" s="13"/>
      <c r="I938" s="242"/>
      <c r="J938" s="242"/>
      <c r="K938" s="242"/>
      <c r="L938" s="242"/>
      <c r="M938" s="242"/>
      <c r="N938" s="242"/>
      <c r="O938" s="242"/>
      <c r="P938" s="242"/>
      <c r="Q938" s="242"/>
      <c r="R938" s="242"/>
      <c r="S938" s="242"/>
      <c r="T938" s="242"/>
      <c r="U938" s="242"/>
      <c r="V938" s="242"/>
      <c r="W938" s="242"/>
      <c r="X938" s="242"/>
      <c r="Y938" s="242"/>
      <c r="Z938" s="242"/>
      <c r="AA938" s="242"/>
      <c r="AB938" s="242"/>
    </row>
    <row r="939">
      <c r="A939" s="242"/>
      <c r="B939" s="13"/>
      <c r="C939" s="242"/>
      <c r="D939" s="13"/>
      <c r="E939" s="13"/>
      <c r="F939" s="13"/>
      <c r="G939" s="13"/>
      <c r="H939" s="13"/>
      <c r="I939" s="242"/>
      <c r="J939" s="242"/>
      <c r="K939" s="242"/>
      <c r="L939" s="242"/>
      <c r="M939" s="242"/>
      <c r="N939" s="242"/>
      <c r="O939" s="242"/>
      <c r="P939" s="242"/>
      <c r="Q939" s="242"/>
      <c r="R939" s="242"/>
      <c r="S939" s="242"/>
      <c r="T939" s="242"/>
      <c r="U939" s="242"/>
      <c r="V939" s="242"/>
      <c r="W939" s="242"/>
      <c r="X939" s="242"/>
      <c r="Y939" s="242"/>
      <c r="Z939" s="242"/>
      <c r="AA939" s="242"/>
      <c r="AB939" s="242"/>
    </row>
    <row r="940">
      <c r="A940" s="242"/>
      <c r="B940" s="13"/>
      <c r="C940" s="242"/>
      <c r="D940" s="13"/>
      <c r="E940" s="13"/>
      <c r="F940" s="13"/>
      <c r="G940" s="13"/>
      <c r="H940" s="13"/>
      <c r="I940" s="242"/>
      <c r="J940" s="242"/>
      <c r="K940" s="242"/>
      <c r="L940" s="242"/>
      <c r="M940" s="242"/>
      <c r="N940" s="242"/>
      <c r="O940" s="242"/>
      <c r="P940" s="242"/>
      <c r="Q940" s="242"/>
      <c r="R940" s="242"/>
      <c r="S940" s="242"/>
      <c r="T940" s="242"/>
      <c r="U940" s="242"/>
      <c r="V940" s="242"/>
      <c r="W940" s="242"/>
      <c r="X940" s="242"/>
      <c r="Y940" s="242"/>
      <c r="Z940" s="242"/>
      <c r="AA940" s="242"/>
      <c r="AB940" s="242"/>
    </row>
    <row r="941">
      <c r="A941" s="242"/>
      <c r="B941" s="13"/>
      <c r="C941" s="242"/>
      <c r="D941" s="13"/>
      <c r="E941" s="13"/>
      <c r="F941" s="13"/>
      <c r="G941" s="13"/>
      <c r="H941" s="13"/>
      <c r="I941" s="242"/>
      <c r="J941" s="242"/>
      <c r="K941" s="242"/>
      <c r="L941" s="242"/>
      <c r="M941" s="242"/>
      <c r="N941" s="242"/>
      <c r="O941" s="242"/>
      <c r="P941" s="242"/>
      <c r="Q941" s="242"/>
      <c r="R941" s="242"/>
      <c r="S941" s="242"/>
      <c r="T941" s="242"/>
      <c r="U941" s="242"/>
      <c r="V941" s="242"/>
      <c r="W941" s="242"/>
      <c r="X941" s="242"/>
      <c r="Y941" s="242"/>
      <c r="Z941" s="242"/>
      <c r="AA941" s="242"/>
      <c r="AB941" s="242"/>
    </row>
    <row r="942">
      <c r="A942" s="242"/>
      <c r="B942" s="13"/>
      <c r="C942" s="242"/>
      <c r="D942" s="13"/>
      <c r="E942" s="13"/>
      <c r="F942" s="13"/>
      <c r="G942" s="13"/>
      <c r="H942" s="13"/>
      <c r="I942" s="242"/>
      <c r="J942" s="242"/>
      <c r="K942" s="242"/>
      <c r="L942" s="242"/>
      <c r="M942" s="242"/>
      <c r="N942" s="242"/>
      <c r="O942" s="242"/>
      <c r="P942" s="242"/>
      <c r="Q942" s="242"/>
      <c r="R942" s="242"/>
      <c r="S942" s="242"/>
      <c r="T942" s="242"/>
      <c r="U942" s="242"/>
      <c r="V942" s="242"/>
      <c r="W942" s="242"/>
      <c r="X942" s="242"/>
      <c r="Y942" s="242"/>
      <c r="Z942" s="242"/>
      <c r="AA942" s="242"/>
      <c r="AB942" s="242"/>
    </row>
    <row r="943">
      <c r="A943" s="242"/>
      <c r="B943" s="13"/>
      <c r="C943" s="242"/>
      <c r="D943" s="13"/>
      <c r="E943" s="13"/>
      <c r="F943" s="13"/>
      <c r="G943" s="13"/>
      <c r="H943" s="13"/>
      <c r="I943" s="242"/>
      <c r="J943" s="242"/>
      <c r="K943" s="242"/>
      <c r="L943" s="242"/>
      <c r="M943" s="242"/>
      <c r="N943" s="242"/>
      <c r="O943" s="242"/>
      <c r="P943" s="242"/>
      <c r="Q943" s="242"/>
      <c r="R943" s="242"/>
      <c r="S943" s="242"/>
      <c r="T943" s="242"/>
      <c r="U943" s="242"/>
      <c r="V943" s="242"/>
      <c r="W943" s="242"/>
      <c r="X943" s="242"/>
      <c r="Y943" s="242"/>
      <c r="Z943" s="242"/>
      <c r="AA943" s="242"/>
      <c r="AB943" s="242"/>
    </row>
    <row r="944">
      <c r="A944" s="242"/>
      <c r="B944" s="13"/>
      <c r="C944" s="242"/>
      <c r="D944" s="13"/>
      <c r="E944" s="13"/>
      <c r="F944" s="13"/>
      <c r="G944" s="13"/>
      <c r="H944" s="13"/>
      <c r="I944" s="242"/>
      <c r="J944" s="242"/>
      <c r="K944" s="242"/>
      <c r="L944" s="242"/>
      <c r="M944" s="242"/>
      <c r="N944" s="242"/>
      <c r="O944" s="242"/>
      <c r="P944" s="242"/>
      <c r="Q944" s="242"/>
      <c r="R944" s="242"/>
      <c r="S944" s="242"/>
      <c r="T944" s="242"/>
      <c r="U944" s="242"/>
      <c r="V944" s="242"/>
      <c r="W944" s="242"/>
      <c r="X944" s="242"/>
      <c r="Y944" s="242"/>
      <c r="Z944" s="242"/>
      <c r="AA944" s="242"/>
      <c r="AB944" s="242"/>
    </row>
    <row r="945">
      <c r="A945" s="242"/>
      <c r="B945" s="13"/>
      <c r="C945" s="242"/>
      <c r="D945" s="13"/>
      <c r="E945" s="13"/>
      <c r="F945" s="13"/>
      <c r="G945" s="13"/>
      <c r="H945" s="13"/>
      <c r="I945" s="242"/>
      <c r="J945" s="242"/>
      <c r="K945" s="242"/>
      <c r="L945" s="242"/>
      <c r="M945" s="242"/>
      <c r="N945" s="242"/>
      <c r="O945" s="242"/>
      <c r="P945" s="242"/>
      <c r="Q945" s="242"/>
      <c r="R945" s="242"/>
      <c r="S945" s="242"/>
      <c r="T945" s="242"/>
      <c r="U945" s="242"/>
      <c r="V945" s="242"/>
      <c r="W945" s="242"/>
      <c r="X945" s="242"/>
      <c r="Y945" s="242"/>
      <c r="Z945" s="242"/>
      <c r="AA945" s="242"/>
      <c r="AB945" s="242"/>
    </row>
    <row r="946">
      <c r="A946" s="242"/>
      <c r="B946" s="13"/>
      <c r="C946" s="242"/>
      <c r="D946" s="13"/>
      <c r="E946" s="13"/>
      <c r="F946" s="13"/>
      <c r="G946" s="13"/>
      <c r="H946" s="13"/>
      <c r="I946" s="242"/>
      <c r="J946" s="242"/>
      <c r="K946" s="242"/>
      <c r="L946" s="242"/>
      <c r="M946" s="242"/>
      <c r="N946" s="242"/>
      <c r="O946" s="242"/>
      <c r="P946" s="242"/>
      <c r="Q946" s="242"/>
      <c r="R946" s="242"/>
      <c r="S946" s="242"/>
      <c r="T946" s="242"/>
      <c r="U946" s="242"/>
      <c r="V946" s="242"/>
      <c r="W946" s="242"/>
      <c r="X946" s="242"/>
      <c r="Y946" s="242"/>
      <c r="Z946" s="242"/>
      <c r="AA946" s="242"/>
      <c r="AB946" s="242"/>
    </row>
    <row r="947">
      <c r="A947" s="242"/>
      <c r="B947" s="13"/>
      <c r="C947" s="242"/>
      <c r="D947" s="13"/>
      <c r="E947" s="13"/>
      <c r="F947" s="13"/>
      <c r="G947" s="13"/>
      <c r="H947" s="13"/>
      <c r="I947" s="242"/>
      <c r="J947" s="242"/>
      <c r="K947" s="242"/>
      <c r="L947" s="242"/>
      <c r="M947" s="242"/>
      <c r="N947" s="242"/>
      <c r="O947" s="242"/>
      <c r="P947" s="242"/>
      <c r="Q947" s="242"/>
      <c r="R947" s="242"/>
      <c r="S947" s="242"/>
      <c r="T947" s="242"/>
      <c r="U947" s="242"/>
      <c r="V947" s="242"/>
      <c r="W947" s="242"/>
      <c r="X947" s="242"/>
      <c r="Y947" s="242"/>
      <c r="Z947" s="242"/>
      <c r="AA947" s="242"/>
      <c r="AB947" s="242"/>
    </row>
    <row r="948">
      <c r="A948" s="242"/>
      <c r="B948" s="13"/>
      <c r="C948" s="242"/>
      <c r="D948" s="13"/>
      <c r="E948" s="13"/>
      <c r="F948" s="13"/>
      <c r="G948" s="13"/>
      <c r="H948" s="13"/>
      <c r="I948" s="242"/>
      <c r="J948" s="242"/>
      <c r="K948" s="242"/>
      <c r="L948" s="242"/>
      <c r="M948" s="242"/>
      <c r="N948" s="242"/>
      <c r="O948" s="242"/>
      <c r="P948" s="242"/>
      <c r="Q948" s="242"/>
      <c r="R948" s="242"/>
      <c r="S948" s="242"/>
      <c r="T948" s="242"/>
      <c r="U948" s="242"/>
      <c r="V948" s="242"/>
      <c r="W948" s="242"/>
      <c r="X948" s="242"/>
      <c r="Y948" s="242"/>
      <c r="Z948" s="242"/>
      <c r="AA948" s="242"/>
      <c r="AB948" s="242"/>
    </row>
    <row r="949">
      <c r="A949" s="242"/>
      <c r="B949" s="13"/>
      <c r="C949" s="242"/>
      <c r="D949" s="13"/>
      <c r="E949" s="13"/>
      <c r="F949" s="13"/>
      <c r="G949" s="13"/>
      <c r="H949" s="13"/>
      <c r="I949" s="242"/>
      <c r="J949" s="242"/>
      <c r="K949" s="242"/>
      <c r="L949" s="242"/>
      <c r="M949" s="242"/>
      <c r="N949" s="242"/>
      <c r="O949" s="242"/>
      <c r="P949" s="242"/>
      <c r="Q949" s="242"/>
      <c r="R949" s="242"/>
      <c r="S949" s="242"/>
      <c r="T949" s="242"/>
      <c r="U949" s="242"/>
      <c r="V949" s="242"/>
      <c r="W949" s="242"/>
      <c r="X949" s="242"/>
      <c r="Y949" s="242"/>
      <c r="Z949" s="242"/>
      <c r="AA949" s="242"/>
      <c r="AB949" s="242"/>
    </row>
    <row r="950">
      <c r="A950" s="242"/>
      <c r="B950" s="13"/>
      <c r="C950" s="242"/>
      <c r="D950" s="13"/>
      <c r="E950" s="13"/>
      <c r="F950" s="13"/>
      <c r="G950" s="13"/>
      <c r="H950" s="13"/>
      <c r="I950" s="242"/>
      <c r="J950" s="242"/>
      <c r="K950" s="242"/>
      <c r="L950" s="242"/>
      <c r="M950" s="242"/>
      <c r="N950" s="242"/>
      <c r="O950" s="242"/>
      <c r="P950" s="242"/>
      <c r="Q950" s="242"/>
      <c r="R950" s="242"/>
      <c r="S950" s="242"/>
      <c r="T950" s="242"/>
      <c r="U950" s="242"/>
      <c r="V950" s="242"/>
      <c r="W950" s="242"/>
      <c r="X950" s="242"/>
      <c r="Y950" s="242"/>
      <c r="Z950" s="242"/>
      <c r="AA950" s="242"/>
      <c r="AB950" s="242"/>
    </row>
    <row r="951">
      <c r="A951" s="242"/>
      <c r="B951" s="13"/>
      <c r="C951" s="242"/>
      <c r="D951" s="13"/>
      <c r="E951" s="13"/>
      <c r="F951" s="13"/>
      <c r="G951" s="13"/>
      <c r="H951" s="13"/>
      <c r="I951" s="242"/>
      <c r="J951" s="242"/>
      <c r="K951" s="242"/>
      <c r="L951" s="242"/>
      <c r="M951" s="242"/>
      <c r="N951" s="242"/>
      <c r="O951" s="242"/>
      <c r="P951" s="242"/>
      <c r="Q951" s="242"/>
      <c r="R951" s="242"/>
      <c r="S951" s="242"/>
      <c r="T951" s="242"/>
      <c r="U951" s="242"/>
      <c r="V951" s="242"/>
      <c r="W951" s="242"/>
      <c r="X951" s="242"/>
      <c r="Y951" s="242"/>
      <c r="Z951" s="242"/>
      <c r="AA951" s="242"/>
      <c r="AB951" s="242"/>
    </row>
    <row r="952">
      <c r="A952" s="242"/>
      <c r="B952" s="13"/>
      <c r="C952" s="242"/>
      <c r="D952" s="13"/>
      <c r="E952" s="13"/>
      <c r="F952" s="13"/>
      <c r="G952" s="13"/>
      <c r="H952" s="13"/>
      <c r="I952" s="242"/>
      <c r="J952" s="242"/>
      <c r="K952" s="242"/>
      <c r="L952" s="242"/>
      <c r="M952" s="242"/>
      <c r="N952" s="242"/>
      <c r="O952" s="242"/>
      <c r="P952" s="242"/>
      <c r="Q952" s="242"/>
      <c r="R952" s="242"/>
      <c r="S952" s="242"/>
      <c r="T952" s="242"/>
      <c r="U952" s="242"/>
      <c r="V952" s="242"/>
      <c r="W952" s="242"/>
      <c r="X952" s="242"/>
      <c r="Y952" s="242"/>
      <c r="Z952" s="242"/>
      <c r="AA952" s="242"/>
      <c r="AB952" s="242"/>
    </row>
    <row r="953">
      <c r="A953" s="242"/>
      <c r="B953" s="13"/>
      <c r="C953" s="242"/>
      <c r="D953" s="13"/>
      <c r="E953" s="13"/>
      <c r="F953" s="13"/>
      <c r="G953" s="13"/>
      <c r="H953" s="13"/>
      <c r="I953" s="242"/>
      <c r="J953" s="242"/>
      <c r="K953" s="242"/>
      <c r="L953" s="242"/>
      <c r="M953" s="242"/>
      <c r="N953" s="242"/>
      <c r="O953" s="242"/>
      <c r="P953" s="242"/>
      <c r="Q953" s="242"/>
      <c r="R953" s="242"/>
      <c r="S953" s="242"/>
      <c r="T953" s="242"/>
      <c r="U953" s="242"/>
      <c r="V953" s="242"/>
      <c r="W953" s="242"/>
      <c r="X953" s="242"/>
      <c r="Y953" s="242"/>
      <c r="Z953" s="242"/>
      <c r="AA953" s="242"/>
      <c r="AB953" s="242"/>
    </row>
    <row r="954">
      <c r="A954" s="242"/>
      <c r="B954" s="13"/>
      <c r="C954" s="242"/>
      <c r="D954" s="13"/>
      <c r="E954" s="13"/>
      <c r="F954" s="13"/>
      <c r="G954" s="13"/>
      <c r="H954" s="13"/>
      <c r="I954" s="242"/>
      <c r="J954" s="242"/>
      <c r="K954" s="242"/>
      <c r="L954" s="242"/>
      <c r="M954" s="242"/>
      <c r="N954" s="242"/>
      <c r="O954" s="242"/>
      <c r="P954" s="242"/>
      <c r="Q954" s="242"/>
      <c r="R954" s="242"/>
      <c r="S954" s="242"/>
      <c r="T954" s="242"/>
      <c r="U954" s="242"/>
      <c r="V954" s="242"/>
      <c r="W954" s="242"/>
      <c r="X954" s="242"/>
      <c r="Y954" s="242"/>
      <c r="Z954" s="242"/>
      <c r="AA954" s="242"/>
      <c r="AB954" s="242"/>
    </row>
    <row r="955">
      <c r="A955" s="242"/>
      <c r="B955" s="13"/>
      <c r="C955" s="242"/>
      <c r="D955" s="13"/>
      <c r="E955" s="13"/>
      <c r="F955" s="13"/>
      <c r="G955" s="13"/>
      <c r="H955" s="13"/>
      <c r="I955" s="242"/>
      <c r="J955" s="242"/>
      <c r="K955" s="242"/>
      <c r="L955" s="242"/>
      <c r="M955" s="242"/>
      <c r="N955" s="242"/>
      <c r="O955" s="242"/>
      <c r="P955" s="242"/>
      <c r="Q955" s="242"/>
      <c r="R955" s="242"/>
      <c r="S955" s="242"/>
      <c r="T955" s="242"/>
      <c r="U955" s="242"/>
      <c r="V955" s="242"/>
      <c r="W955" s="242"/>
      <c r="X955" s="242"/>
      <c r="Y955" s="242"/>
      <c r="Z955" s="242"/>
      <c r="AA955" s="242"/>
      <c r="AB955" s="242"/>
    </row>
    <row r="956">
      <c r="A956" s="242"/>
      <c r="B956" s="13"/>
      <c r="C956" s="242"/>
      <c r="D956" s="13"/>
      <c r="E956" s="13"/>
      <c r="F956" s="13"/>
      <c r="G956" s="13"/>
      <c r="H956" s="13"/>
      <c r="I956" s="242"/>
      <c r="J956" s="242"/>
      <c r="K956" s="242"/>
      <c r="L956" s="242"/>
      <c r="M956" s="242"/>
      <c r="N956" s="242"/>
      <c r="O956" s="242"/>
      <c r="P956" s="242"/>
      <c r="Q956" s="242"/>
      <c r="R956" s="242"/>
      <c r="S956" s="242"/>
      <c r="T956" s="242"/>
      <c r="U956" s="242"/>
      <c r="V956" s="242"/>
      <c r="W956" s="242"/>
      <c r="X956" s="242"/>
      <c r="Y956" s="242"/>
      <c r="Z956" s="242"/>
      <c r="AA956" s="242"/>
      <c r="AB956" s="242"/>
    </row>
    <row r="957">
      <c r="A957" s="242"/>
      <c r="B957" s="13"/>
      <c r="C957" s="242"/>
      <c r="D957" s="13"/>
      <c r="E957" s="13"/>
      <c r="F957" s="13"/>
      <c r="G957" s="13"/>
      <c r="H957" s="13"/>
      <c r="I957" s="242"/>
      <c r="J957" s="242"/>
      <c r="K957" s="242"/>
      <c r="L957" s="242"/>
      <c r="M957" s="242"/>
      <c r="N957" s="242"/>
      <c r="O957" s="242"/>
      <c r="P957" s="242"/>
      <c r="Q957" s="242"/>
      <c r="R957" s="242"/>
      <c r="S957" s="242"/>
      <c r="T957" s="242"/>
      <c r="U957" s="242"/>
      <c r="V957" s="242"/>
      <c r="W957" s="242"/>
      <c r="X957" s="242"/>
      <c r="Y957" s="242"/>
      <c r="Z957" s="242"/>
      <c r="AA957" s="242"/>
      <c r="AB957" s="242"/>
    </row>
    <row r="958">
      <c r="A958" s="242"/>
      <c r="B958" s="13"/>
      <c r="C958" s="242"/>
      <c r="D958" s="13"/>
      <c r="E958" s="13"/>
      <c r="F958" s="13"/>
      <c r="G958" s="13"/>
      <c r="H958" s="13"/>
      <c r="I958" s="242"/>
      <c r="J958" s="242"/>
      <c r="K958" s="242"/>
      <c r="L958" s="242"/>
      <c r="M958" s="242"/>
      <c r="N958" s="242"/>
      <c r="O958" s="242"/>
      <c r="P958" s="242"/>
      <c r="Q958" s="242"/>
      <c r="R958" s="242"/>
      <c r="S958" s="242"/>
      <c r="T958" s="242"/>
      <c r="U958" s="242"/>
      <c r="V958" s="242"/>
      <c r="W958" s="242"/>
      <c r="X958" s="242"/>
      <c r="Y958" s="242"/>
      <c r="Z958" s="242"/>
      <c r="AA958" s="242"/>
      <c r="AB958" s="242"/>
    </row>
    <row r="959">
      <c r="A959" s="242"/>
      <c r="B959" s="13"/>
      <c r="C959" s="242"/>
      <c r="D959" s="13"/>
      <c r="E959" s="13"/>
      <c r="F959" s="13"/>
      <c r="G959" s="13"/>
      <c r="H959" s="13"/>
      <c r="I959" s="242"/>
      <c r="J959" s="242"/>
      <c r="K959" s="242"/>
      <c r="L959" s="242"/>
      <c r="M959" s="242"/>
      <c r="N959" s="242"/>
      <c r="O959" s="242"/>
      <c r="P959" s="242"/>
      <c r="Q959" s="242"/>
      <c r="R959" s="242"/>
      <c r="S959" s="242"/>
      <c r="T959" s="242"/>
      <c r="U959" s="242"/>
      <c r="V959" s="242"/>
      <c r="W959" s="242"/>
      <c r="X959" s="242"/>
      <c r="Y959" s="242"/>
      <c r="Z959" s="242"/>
      <c r="AA959" s="242"/>
      <c r="AB959" s="242"/>
    </row>
    <row r="960">
      <c r="A960" s="242"/>
      <c r="B960" s="13"/>
      <c r="C960" s="242"/>
      <c r="D960" s="13"/>
      <c r="E960" s="13"/>
      <c r="F960" s="13"/>
      <c r="G960" s="13"/>
      <c r="H960" s="13"/>
      <c r="I960" s="242"/>
      <c r="J960" s="242"/>
      <c r="K960" s="242"/>
      <c r="L960" s="242"/>
      <c r="M960" s="242"/>
      <c r="N960" s="242"/>
      <c r="O960" s="242"/>
      <c r="P960" s="242"/>
      <c r="Q960" s="242"/>
      <c r="R960" s="242"/>
      <c r="S960" s="242"/>
      <c r="T960" s="242"/>
      <c r="U960" s="242"/>
      <c r="V960" s="242"/>
      <c r="W960" s="242"/>
      <c r="X960" s="242"/>
      <c r="Y960" s="242"/>
      <c r="Z960" s="242"/>
      <c r="AA960" s="242"/>
      <c r="AB960" s="242"/>
    </row>
    <row r="961">
      <c r="A961" s="242"/>
      <c r="B961" s="13"/>
      <c r="C961" s="242"/>
      <c r="D961" s="13"/>
      <c r="E961" s="13"/>
      <c r="F961" s="13"/>
      <c r="G961" s="13"/>
      <c r="H961" s="13"/>
      <c r="I961" s="242"/>
      <c r="J961" s="242"/>
      <c r="K961" s="242"/>
      <c r="L961" s="242"/>
      <c r="M961" s="242"/>
      <c r="N961" s="242"/>
      <c r="O961" s="242"/>
      <c r="P961" s="242"/>
      <c r="Q961" s="242"/>
      <c r="R961" s="242"/>
      <c r="S961" s="242"/>
      <c r="T961" s="242"/>
      <c r="U961" s="242"/>
      <c r="V961" s="242"/>
      <c r="W961" s="242"/>
      <c r="X961" s="242"/>
      <c r="Y961" s="242"/>
      <c r="Z961" s="242"/>
      <c r="AA961" s="242"/>
      <c r="AB961" s="242"/>
    </row>
    <row r="962">
      <c r="A962" s="242"/>
      <c r="B962" s="13"/>
      <c r="C962" s="242"/>
      <c r="D962" s="13"/>
      <c r="E962" s="13"/>
      <c r="F962" s="13"/>
      <c r="G962" s="13"/>
      <c r="H962" s="13"/>
      <c r="I962" s="242"/>
      <c r="J962" s="242"/>
      <c r="K962" s="242"/>
      <c r="L962" s="242"/>
      <c r="M962" s="242"/>
      <c r="N962" s="242"/>
      <c r="O962" s="242"/>
      <c r="P962" s="242"/>
      <c r="Q962" s="242"/>
      <c r="R962" s="242"/>
      <c r="S962" s="242"/>
      <c r="T962" s="242"/>
      <c r="U962" s="242"/>
      <c r="V962" s="242"/>
      <c r="W962" s="242"/>
      <c r="X962" s="242"/>
      <c r="Y962" s="242"/>
      <c r="Z962" s="242"/>
      <c r="AA962" s="242"/>
      <c r="AB962" s="242"/>
    </row>
    <row r="963">
      <c r="A963" s="242"/>
      <c r="B963" s="13"/>
      <c r="C963" s="242"/>
      <c r="D963" s="13"/>
      <c r="E963" s="13"/>
      <c r="F963" s="13"/>
      <c r="G963" s="13"/>
      <c r="H963" s="13"/>
      <c r="I963" s="242"/>
      <c r="J963" s="242"/>
      <c r="K963" s="242"/>
      <c r="L963" s="242"/>
      <c r="M963" s="242"/>
      <c r="N963" s="242"/>
      <c r="O963" s="242"/>
      <c r="P963" s="242"/>
      <c r="Q963" s="242"/>
      <c r="R963" s="242"/>
      <c r="S963" s="242"/>
      <c r="T963" s="242"/>
      <c r="U963" s="242"/>
      <c r="V963" s="242"/>
      <c r="W963" s="242"/>
      <c r="X963" s="242"/>
      <c r="Y963" s="242"/>
      <c r="Z963" s="242"/>
      <c r="AA963" s="242"/>
      <c r="AB963" s="242"/>
    </row>
    <row r="964">
      <c r="A964" s="242"/>
      <c r="B964" s="13"/>
      <c r="C964" s="242"/>
      <c r="D964" s="13"/>
      <c r="E964" s="13"/>
      <c r="F964" s="13"/>
      <c r="G964" s="13"/>
      <c r="H964" s="13"/>
      <c r="I964" s="242"/>
      <c r="J964" s="242"/>
      <c r="K964" s="242"/>
      <c r="L964" s="242"/>
      <c r="M964" s="242"/>
      <c r="N964" s="242"/>
      <c r="O964" s="242"/>
      <c r="P964" s="242"/>
      <c r="Q964" s="242"/>
      <c r="R964" s="242"/>
      <c r="S964" s="242"/>
      <c r="T964" s="242"/>
      <c r="U964" s="242"/>
      <c r="V964" s="242"/>
      <c r="W964" s="242"/>
      <c r="X964" s="242"/>
      <c r="Y964" s="242"/>
      <c r="Z964" s="242"/>
      <c r="AA964" s="242"/>
      <c r="AB964" s="242"/>
    </row>
    <row r="965">
      <c r="A965" s="242"/>
      <c r="B965" s="13"/>
      <c r="C965" s="242"/>
      <c r="D965" s="13"/>
      <c r="E965" s="13"/>
      <c r="F965" s="13"/>
      <c r="G965" s="13"/>
      <c r="H965" s="13"/>
      <c r="I965" s="242"/>
      <c r="J965" s="242"/>
      <c r="K965" s="242"/>
      <c r="L965" s="242"/>
      <c r="M965" s="242"/>
      <c r="N965" s="242"/>
      <c r="O965" s="242"/>
      <c r="P965" s="242"/>
      <c r="Q965" s="242"/>
      <c r="R965" s="242"/>
      <c r="S965" s="242"/>
      <c r="T965" s="242"/>
      <c r="U965" s="242"/>
      <c r="V965" s="242"/>
      <c r="W965" s="242"/>
      <c r="X965" s="242"/>
      <c r="Y965" s="242"/>
      <c r="Z965" s="242"/>
      <c r="AA965" s="242"/>
      <c r="AB965" s="242"/>
    </row>
    <row r="966">
      <c r="A966" s="242"/>
      <c r="B966" s="13"/>
      <c r="C966" s="242"/>
      <c r="D966" s="13"/>
      <c r="E966" s="13"/>
      <c r="F966" s="13"/>
      <c r="G966" s="13"/>
      <c r="H966" s="13"/>
      <c r="I966" s="242"/>
      <c r="J966" s="242"/>
      <c r="K966" s="242"/>
      <c r="L966" s="242"/>
      <c r="M966" s="242"/>
      <c r="N966" s="242"/>
      <c r="O966" s="242"/>
      <c r="P966" s="242"/>
      <c r="Q966" s="242"/>
      <c r="R966" s="242"/>
      <c r="S966" s="242"/>
      <c r="T966" s="242"/>
      <c r="U966" s="242"/>
      <c r="V966" s="242"/>
      <c r="W966" s="242"/>
      <c r="X966" s="242"/>
      <c r="Y966" s="242"/>
      <c r="Z966" s="242"/>
      <c r="AA966" s="242"/>
      <c r="AB966" s="242"/>
    </row>
    <row r="967">
      <c r="A967" s="242"/>
      <c r="B967" s="13"/>
      <c r="C967" s="242"/>
      <c r="D967" s="13"/>
      <c r="E967" s="13"/>
      <c r="F967" s="13"/>
      <c r="G967" s="13"/>
      <c r="H967" s="13"/>
      <c r="I967" s="242"/>
      <c r="J967" s="242"/>
      <c r="K967" s="242"/>
      <c r="L967" s="242"/>
      <c r="M967" s="242"/>
      <c r="N967" s="242"/>
      <c r="O967" s="242"/>
      <c r="P967" s="242"/>
      <c r="Q967" s="242"/>
      <c r="R967" s="242"/>
      <c r="S967" s="242"/>
      <c r="T967" s="242"/>
      <c r="U967" s="242"/>
      <c r="V967" s="242"/>
      <c r="W967" s="242"/>
      <c r="X967" s="242"/>
      <c r="Y967" s="242"/>
      <c r="Z967" s="242"/>
      <c r="AA967" s="242"/>
      <c r="AB967" s="242"/>
    </row>
    <row r="968">
      <c r="A968" s="242"/>
      <c r="B968" s="13"/>
      <c r="C968" s="242"/>
      <c r="D968" s="13"/>
      <c r="E968" s="13"/>
      <c r="F968" s="13"/>
      <c r="G968" s="13"/>
      <c r="H968" s="13"/>
      <c r="I968" s="242"/>
      <c r="J968" s="242"/>
      <c r="K968" s="242"/>
      <c r="L968" s="242"/>
      <c r="M968" s="242"/>
      <c r="N968" s="242"/>
      <c r="O968" s="242"/>
      <c r="P968" s="242"/>
      <c r="Q968" s="242"/>
      <c r="R968" s="242"/>
      <c r="S968" s="242"/>
      <c r="T968" s="242"/>
      <c r="U968" s="242"/>
      <c r="V968" s="242"/>
      <c r="W968" s="242"/>
      <c r="X968" s="242"/>
      <c r="Y968" s="242"/>
      <c r="Z968" s="242"/>
      <c r="AA968" s="242"/>
      <c r="AB968" s="242"/>
    </row>
    <row r="969">
      <c r="A969" s="242"/>
      <c r="B969" s="13"/>
      <c r="C969" s="242"/>
      <c r="D969" s="13"/>
      <c r="E969" s="13"/>
      <c r="F969" s="13"/>
      <c r="G969" s="13"/>
      <c r="H969" s="13"/>
      <c r="I969" s="242"/>
      <c r="J969" s="242"/>
      <c r="K969" s="242"/>
      <c r="L969" s="242"/>
      <c r="M969" s="242"/>
      <c r="N969" s="242"/>
      <c r="O969" s="242"/>
      <c r="P969" s="242"/>
      <c r="Q969" s="242"/>
      <c r="R969" s="242"/>
      <c r="S969" s="242"/>
      <c r="T969" s="242"/>
      <c r="U969" s="242"/>
      <c r="V969" s="242"/>
      <c r="W969" s="242"/>
      <c r="X969" s="242"/>
      <c r="Y969" s="242"/>
      <c r="Z969" s="242"/>
      <c r="AA969" s="242"/>
      <c r="AB969" s="242"/>
    </row>
    <row r="970">
      <c r="A970" s="242"/>
      <c r="B970" s="13"/>
      <c r="C970" s="242"/>
      <c r="D970" s="13"/>
      <c r="E970" s="13"/>
      <c r="F970" s="13"/>
      <c r="G970" s="13"/>
      <c r="H970" s="13"/>
      <c r="I970" s="242"/>
      <c r="J970" s="242"/>
      <c r="K970" s="242"/>
      <c r="L970" s="242"/>
      <c r="M970" s="242"/>
      <c r="N970" s="242"/>
      <c r="O970" s="242"/>
      <c r="P970" s="242"/>
      <c r="Q970" s="242"/>
      <c r="R970" s="242"/>
      <c r="S970" s="242"/>
      <c r="T970" s="242"/>
      <c r="U970" s="242"/>
      <c r="V970" s="242"/>
      <c r="W970" s="242"/>
      <c r="X970" s="242"/>
      <c r="Y970" s="242"/>
      <c r="Z970" s="242"/>
      <c r="AA970" s="242"/>
      <c r="AB970" s="242"/>
    </row>
    <row r="971">
      <c r="A971" s="242"/>
      <c r="B971" s="13"/>
      <c r="C971" s="242"/>
      <c r="D971" s="13"/>
      <c r="E971" s="13"/>
      <c r="F971" s="13"/>
      <c r="G971" s="13"/>
      <c r="H971" s="13"/>
      <c r="I971" s="242"/>
      <c r="J971" s="242"/>
      <c r="K971" s="242"/>
      <c r="L971" s="242"/>
      <c r="M971" s="242"/>
      <c r="N971" s="242"/>
      <c r="O971" s="242"/>
      <c r="P971" s="242"/>
      <c r="Q971" s="242"/>
      <c r="R971" s="242"/>
      <c r="S971" s="242"/>
      <c r="T971" s="242"/>
      <c r="U971" s="242"/>
      <c r="V971" s="242"/>
      <c r="W971" s="242"/>
      <c r="X971" s="242"/>
      <c r="Y971" s="242"/>
      <c r="Z971" s="242"/>
      <c r="AA971" s="242"/>
      <c r="AB971" s="242"/>
    </row>
    <row r="972">
      <c r="A972" s="242"/>
      <c r="B972" s="13"/>
      <c r="C972" s="242"/>
      <c r="D972" s="13"/>
      <c r="E972" s="13"/>
      <c r="F972" s="13"/>
      <c r="G972" s="13"/>
      <c r="H972" s="13"/>
      <c r="I972" s="242"/>
      <c r="J972" s="242"/>
      <c r="K972" s="242"/>
      <c r="L972" s="242"/>
      <c r="M972" s="242"/>
      <c r="N972" s="242"/>
      <c r="O972" s="242"/>
      <c r="P972" s="242"/>
      <c r="Q972" s="242"/>
      <c r="R972" s="242"/>
      <c r="S972" s="242"/>
      <c r="T972" s="242"/>
      <c r="U972" s="242"/>
      <c r="V972" s="242"/>
      <c r="W972" s="242"/>
      <c r="X972" s="242"/>
      <c r="Y972" s="242"/>
      <c r="Z972" s="242"/>
      <c r="AA972" s="242"/>
      <c r="AB972" s="242"/>
    </row>
    <row r="973">
      <c r="A973" s="242"/>
      <c r="B973" s="13"/>
      <c r="C973" s="242"/>
      <c r="D973" s="13"/>
      <c r="E973" s="13"/>
      <c r="F973" s="13"/>
      <c r="G973" s="13"/>
      <c r="H973" s="13"/>
      <c r="I973" s="242"/>
      <c r="J973" s="242"/>
      <c r="K973" s="242"/>
      <c r="L973" s="242"/>
      <c r="M973" s="242"/>
      <c r="N973" s="242"/>
      <c r="O973" s="242"/>
      <c r="P973" s="242"/>
      <c r="Q973" s="242"/>
      <c r="R973" s="242"/>
      <c r="S973" s="242"/>
      <c r="T973" s="242"/>
      <c r="U973" s="242"/>
      <c r="V973" s="242"/>
      <c r="W973" s="242"/>
      <c r="X973" s="242"/>
      <c r="Y973" s="242"/>
      <c r="Z973" s="242"/>
      <c r="AA973" s="242"/>
      <c r="AB973" s="242"/>
    </row>
    <row r="974">
      <c r="A974" s="242"/>
      <c r="B974" s="13"/>
      <c r="C974" s="242"/>
      <c r="D974" s="13"/>
      <c r="E974" s="13"/>
      <c r="F974" s="13"/>
      <c r="G974" s="13"/>
      <c r="H974" s="13"/>
      <c r="I974" s="242"/>
      <c r="J974" s="242"/>
      <c r="K974" s="242"/>
      <c r="L974" s="242"/>
      <c r="M974" s="242"/>
      <c r="N974" s="242"/>
      <c r="O974" s="242"/>
      <c r="P974" s="242"/>
      <c r="Q974" s="242"/>
      <c r="R974" s="242"/>
      <c r="S974" s="242"/>
      <c r="T974" s="242"/>
      <c r="U974" s="242"/>
      <c r="V974" s="242"/>
      <c r="W974" s="242"/>
      <c r="X974" s="242"/>
      <c r="Y974" s="242"/>
      <c r="Z974" s="242"/>
      <c r="AA974" s="242"/>
      <c r="AB974" s="242"/>
    </row>
    <row r="975">
      <c r="A975" s="242"/>
      <c r="B975" s="13"/>
      <c r="C975" s="242"/>
      <c r="D975" s="13"/>
      <c r="E975" s="13"/>
      <c r="F975" s="13"/>
      <c r="G975" s="13"/>
      <c r="H975" s="13"/>
      <c r="I975" s="242"/>
      <c r="J975" s="242"/>
      <c r="K975" s="242"/>
      <c r="L975" s="242"/>
      <c r="M975" s="242"/>
      <c r="N975" s="242"/>
      <c r="O975" s="242"/>
      <c r="P975" s="242"/>
      <c r="Q975" s="242"/>
      <c r="R975" s="242"/>
      <c r="S975" s="242"/>
      <c r="T975" s="242"/>
      <c r="U975" s="242"/>
      <c r="V975" s="242"/>
      <c r="W975" s="242"/>
      <c r="X975" s="242"/>
      <c r="Y975" s="242"/>
      <c r="Z975" s="242"/>
      <c r="AA975" s="242"/>
      <c r="AB975" s="242"/>
    </row>
    <row r="976">
      <c r="A976" s="242"/>
      <c r="B976" s="13"/>
      <c r="C976" s="242"/>
      <c r="D976" s="13"/>
      <c r="E976" s="13"/>
      <c r="F976" s="13"/>
      <c r="G976" s="13"/>
      <c r="H976" s="13"/>
      <c r="I976" s="242"/>
      <c r="J976" s="242"/>
      <c r="K976" s="242"/>
      <c r="L976" s="242"/>
      <c r="M976" s="242"/>
      <c r="N976" s="242"/>
      <c r="O976" s="242"/>
      <c r="P976" s="242"/>
      <c r="Q976" s="242"/>
      <c r="R976" s="242"/>
      <c r="S976" s="242"/>
      <c r="T976" s="242"/>
      <c r="U976" s="242"/>
      <c r="V976" s="242"/>
      <c r="W976" s="242"/>
      <c r="X976" s="242"/>
      <c r="Y976" s="242"/>
      <c r="Z976" s="242"/>
      <c r="AA976" s="242"/>
      <c r="AB976" s="242"/>
    </row>
    <row r="977">
      <c r="A977" s="242"/>
      <c r="B977" s="13"/>
      <c r="C977" s="242"/>
      <c r="D977" s="13"/>
      <c r="E977" s="13"/>
      <c r="F977" s="13"/>
      <c r="G977" s="13"/>
      <c r="H977" s="13"/>
      <c r="I977" s="242"/>
      <c r="J977" s="242"/>
      <c r="K977" s="242"/>
      <c r="L977" s="242"/>
      <c r="M977" s="242"/>
      <c r="N977" s="242"/>
      <c r="O977" s="242"/>
      <c r="P977" s="242"/>
      <c r="Q977" s="242"/>
      <c r="R977" s="242"/>
      <c r="S977" s="242"/>
      <c r="T977" s="242"/>
      <c r="U977" s="242"/>
      <c r="V977" s="242"/>
      <c r="W977" s="242"/>
      <c r="X977" s="242"/>
      <c r="Y977" s="242"/>
      <c r="Z977" s="242"/>
      <c r="AA977" s="242"/>
      <c r="AB977" s="242"/>
    </row>
    <row r="978">
      <c r="A978" s="242"/>
      <c r="B978" s="13"/>
      <c r="C978" s="242"/>
      <c r="D978" s="13"/>
      <c r="E978" s="13"/>
      <c r="F978" s="13"/>
      <c r="G978" s="13"/>
      <c r="H978" s="13"/>
      <c r="I978" s="242"/>
      <c r="J978" s="242"/>
      <c r="K978" s="242"/>
      <c r="L978" s="242"/>
      <c r="M978" s="242"/>
      <c r="N978" s="242"/>
      <c r="O978" s="242"/>
      <c r="P978" s="242"/>
      <c r="Q978" s="242"/>
      <c r="R978" s="242"/>
      <c r="S978" s="242"/>
      <c r="T978" s="242"/>
      <c r="U978" s="242"/>
      <c r="V978" s="242"/>
      <c r="W978" s="242"/>
      <c r="X978" s="242"/>
      <c r="Y978" s="242"/>
      <c r="Z978" s="242"/>
      <c r="AA978" s="242"/>
      <c r="AB978" s="242"/>
    </row>
    <row r="979">
      <c r="A979" s="242"/>
      <c r="B979" s="13"/>
      <c r="C979" s="242"/>
      <c r="D979" s="13"/>
      <c r="E979" s="13"/>
      <c r="F979" s="13"/>
      <c r="G979" s="13"/>
      <c r="H979" s="13"/>
      <c r="I979" s="242"/>
      <c r="J979" s="242"/>
      <c r="K979" s="242"/>
      <c r="L979" s="242"/>
      <c r="M979" s="242"/>
      <c r="N979" s="242"/>
      <c r="O979" s="242"/>
      <c r="P979" s="242"/>
      <c r="Q979" s="242"/>
      <c r="R979" s="242"/>
      <c r="S979" s="242"/>
      <c r="T979" s="242"/>
      <c r="U979" s="242"/>
      <c r="V979" s="242"/>
      <c r="W979" s="242"/>
      <c r="X979" s="242"/>
      <c r="Y979" s="242"/>
      <c r="Z979" s="242"/>
      <c r="AA979" s="242"/>
      <c r="AB979" s="242"/>
    </row>
    <row r="980">
      <c r="A980" s="242"/>
      <c r="B980" s="13"/>
      <c r="C980" s="242"/>
      <c r="D980" s="13"/>
      <c r="E980" s="13"/>
      <c r="F980" s="13"/>
      <c r="G980" s="13"/>
      <c r="H980" s="13"/>
      <c r="I980" s="242"/>
      <c r="J980" s="242"/>
      <c r="K980" s="242"/>
      <c r="L980" s="242"/>
      <c r="M980" s="242"/>
      <c r="N980" s="242"/>
      <c r="O980" s="242"/>
      <c r="P980" s="242"/>
      <c r="Q980" s="242"/>
      <c r="R980" s="242"/>
      <c r="S980" s="242"/>
      <c r="T980" s="242"/>
      <c r="U980" s="242"/>
      <c r="V980" s="242"/>
      <c r="W980" s="242"/>
      <c r="X980" s="242"/>
      <c r="Y980" s="242"/>
      <c r="Z980" s="242"/>
      <c r="AA980" s="242"/>
      <c r="AB980" s="242"/>
    </row>
    <row r="981">
      <c r="A981" s="242"/>
      <c r="B981" s="13"/>
      <c r="C981" s="242"/>
      <c r="D981" s="13"/>
      <c r="E981" s="13"/>
      <c r="F981" s="13"/>
      <c r="G981" s="13"/>
      <c r="H981" s="13"/>
      <c r="I981" s="242"/>
      <c r="J981" s="242"/>
      <c r="K981" s="242"/>
      <c r="L981" s="242"/>
      <c r="M981" s="242"/>
      <c r="N981" s="242"/>
      <c r="O981" s="242"/>
      <c r="P981" s="242"/>
      <c r="Q981" s="242"/>
      <c r="R981" s="242"/>
      <c r="S981" s="242"/>
      <c r="T981" s="242"/>
      <c r="U981" s="242"/>
      <c r="V981" s="242"/>
      <c r="W981" s="242"/>
      <c r="X981" s="242"/>
      <c r="Y981" s="242"/>
      <c r="Z981" s="242"/>
      <c r="AA981" s="242"/>
      <c r="AB981" s="242"/>
    </row>
    <row r="982">
      <c r="A982" s="242"/>
      <c r="B982" s="13"/>
      <c r="C982" s="242"/>
      <c r="D982" s="13"/>
      <c r="E982" s="13"/>
      <c r="F982" s="13"/>
      <c r="G982" s="13"/>
      <c r="H982" s="13"/>
      <c r="I982" s="242"/>
      <c r="J982" s="242"/>
      <c r="K982" s="242"/>
      <c r="L982" s="242"/>
      <c r="M982" s="242"/>
      <c r="N982" s="242"/>
      <c r="O982" s="242"/>
      <c r="P982" s="242"/>
      <c r="Q982" s="242"/>
      <c r="R982" s="242"/>
      <c r="S982" s="242"/>
      <c r="T982" s="242"/>
      <c r="U982" s="242"/>
      <c r="V982" s="242"/>
      <c r="W982" s="242"/>
      <c r="X982" s="242"/>
      <c r="Y982" s="242"/>
      <c r="Z982" s="242"/>
      <c r="AA982" s="242"/>
      <c r="AB982" s="242"/>
    </row>
    <row r="983">
      <c r="A983" s="242"/>
      <c r="B983" s="13"/>
      <c r="C983" s="242"/>
      <c r="D983" s="13"/>
      <c r="E983" s="13"/>
      <c r="F983" s="13"/>
      <c r="G983" s="13"/>
      <c r="H983" s="13"/>
      <c r="I983" s="242"/>
      <c r="J983" s="242"/>
      <c r="K983" s="242"/>
      <c r="L983" s="242"/>
      <c r="M983" s="242"/>
      <c r="N983" s="242"/>
      <c r="O983" s="242"/>
      <c r="P983" s="242"/>
      <c r="Q983" s="242"/>
      <c r="R983" s="242"/>
      <c r="S983" s="242"/>
      <c r="T983" s="242"/>
      <c r="U983" s="242"/>
      <c r="V983" s="242"/>
      <c r="W983" s="242"/>
      <c r="X983" s="242"/>
      <c r="Y983" s="242"/>
      <c r="Z983" s="242"/>
      <c r="AA983" s="242"/>
      <c r="AB983" s="242"/>
    </row>
    <row r="984">
      <c r="A984" s="242"/>
      <c r="B984" s="13"/>
      <c r="C984" s="242"/>
      <c r="D984" s="13"/>
      <c r="E984" s="13"/>
      <c r="F984" s="13"/>
      <c r="G984" s="13"/>
      <c r="H984" s="13"/>
      <c r="I984" s="242"/>
      <c r="J984" s="242"/>
      <c r="K984" s="242"/>
      <c r="L984" s="242"/>
      <c r="M984" s="242"/>
      <c r="N984" s="242"/>
      <c r="O984" s="242"/>
      <c r="P984" s="242"/>
      <c r="Q984" s="242"/>
      <c r="R984" s="242"/>
      <c r="S984" s="242"/>
      <c r="T984" s="242"/>
      <c r="U984" s="242"/>
      <c r="V984" s="242"/>
      <c r="W984" s="242"/>
      <c r="X984" s="242"/>
      <c r="Y984" s="242"/>
      <c r="Z984" s="242"/>
      <c r="AA984" s="242"/>
      <c r="AB984" s="242"/>
    </row>
    <row r="985">
      <c r="A985" s="242"/>
      <c r="B985" s="13"/>
      <c r="C985" s="242"/>
      <c r="D985" s="13"/>
      <c r="E985" s="13"/>
      <c r="F985" s="13"/>
      <c r="G985" s="13"/>
      <c r="H985" s="13"/>
      <c r="I985" s="242"/>
      <c r="J985" s="242"/>
      <c r="K985" s="242"/>
      <c r="L985" s="242"/>
      <c r="M985" s="242"/>
      <c r="N985" s="242"/>
      <c r="O985" s="242"/>
      <c r="P985" s="242"/>
      <c r="Q985" s="242"/>
      <c r="R985" s="242"/>
      <c r="S985" s="242"/>
      <c r="T985" s="242"/>
      <c r="U985" s="242"/>
      <c r="V985" s="242"/>
      <c r="W985" s="242"/>
      <c r="X985" s="242"/>
      <c r="Y985" s="242"/>
      <c r="Z985" s="242"/>
      <c r="AA985" s="242"/>
      <c r="AB985" s="242"/>
    </row>
    <row r="986">
      <c r="A986" s="242"/>
      <c r="B986" s="13"/>
      <c r="C986" s="242"/>
      <c r="D986" s="13"/>
      <c r="E986" s="13"/>
      <c r="F986" s="13"/>
      <c r="G986" s="13"/>
      <c r="H986" s="13"/>
      <c r="I986" s="242"/>
      <c r="J986" s="242"/>
      <c r="K986" s="242"/>
      <c r="L986" s="242"/>
      <c r="M986" s="242"/>
      <c r="N986" s="242"/>
      <c r="O986" s="242"/>
      <c r="P986" s="242"/>
      <c r="Q986" s="242"/>
      <c r="R986" s="242"/>
      <c r="S986" s="242"/>
      <c r="T986" s="242"/>
      <c r="U986" s="242"/>
      <c r="V986" s="242"/>
      <c r="W986" s="242"/>
      <c r="X986" s="242"/>
      <c r="Y986" s="242"/>
      <c r="Z986" s="242"/>
      <c r="AA986" s="242"/>
      <c r="AB986" s="242"/>
    </row>
    <row r="987">
      <c r="A987" s="242"/>
      <c r="B987" s="13"/>
      <c r="C987" s="242"/>
      <c r="D987" s="13"/>
      <c r="E987" s="13"/>
      <c r="F987" s="13"/>
      <c r="G987" s="13"/>
      <c r="H987" s="13"/>
      <c r="I987" s="242"/>
      <c r="J987" s="242"/>
      <c r="K987" s="242"/>
      <c r="L987" s="242"/>
      <c r="M987" s="242"/>
      <c r="N987" s="242"/>
      <c r="O987" s="242"/>
      <c r="P987" s="242"/>
      <c r="Q987" s="242"/>
      <c r="R987" s="242"/>
      <c r="S987" s="242"/>
      <c r="T987" s="242"/>
      <c r="U987" s="242"/>
      <c r="V987" s="242"/>
      <c r="W987" s="242"/>
      <c r="X987" s="242"/>
      <c r="Y987" s="242"/>
      <c r="Z987" s="242"/>
      <c r="AA987" s="242"/>
      <c r="AB987" s="242"/>
    </row>
    <row r="988">
      <c r="A988" s="242"/>
      <c r="B988" s="13"/>
      <c r="C988" s="242"/>
      <c r="D988" s="13"/>
      <c r="E988" s="13"/>
      <c r="F988" s="13"/>
      <c r="G988" s="13"/>
      <c r="H988" s="13"/>
      <c r="I988" s="242"/>
      <c r="J988" s="242"/>
      <c r="K988" s="242"/>
      <c r="L988" s="242"/>
      <c r="M988" s="242"/>
      <c r="N988" s="242"/>
      <c r="O988" s="242"/>
      <c r="P988" s="242"/>
      <c r="Q988" s="242"/>
      <c r="R988" s="242"/>
      <c r="S988" s="242"/>
      <c r="T988" s="242"/>
      <c r="U988" s="242"/>
      <c r="V988" s="242"/>
      <c r="W988" s="242"/>
      <c r="X988" s="242"/>
      <c r="Y988" s="242"/>
      <c r="Z988" s="242"/>
      <c r="AA988" s="242"/>
      <c r="AB988" s="242"/>
    </row>
    <row r="989">
      <c r="A989" s="242"/>
      <c r="B989" s="13"/>
      <c r="C989" s="242"/>
      <c r="D989" s="13"/>
      <c r="E989" s="13"/>
      <c r="F989" s="13"/>
      <c r="G989" s="13"/>
      <c r="H989" s="13"/>
      <c r="I989" s="242"/>
      <c r="J989" s="242"/>
      <c r="K989" s="242"/>
      <c r="L989" s="242"/>
      <c r="M989" s="242"/>
      <c r="N989" s="242"/>
      <c r="O989" s="242"/>
      <c r="P989" s="242"/>
      <c r="Q989" s="242"/>
      <c r="R989" s="242"/>
      <c r="S989" s="242"/>
      <c r="T989" s="242"/>
      <c r="U989" s="242"/>
      <c r="V989" s="242"/>
      <c r="W989" s="242"/>
      <c r="X989" s="242"/>
      <c r="Y989" s="242"/>
      <c r="Z989" s="242"/>
      <c r="AA989" s="242"/>
      <c r="AB989" s="242"/>
    </row>
    <row r="990">
      <c r="A990" s="242"/>
      <c r="B990" s="13"/>
      <c r="C990" s="242"/>
      <c r="D990" s="13"/>
      <c r="E990" s="13"/>
      <c r="F990" s="13"/>
      <c r="G990" s="13"/>
      <c r="H990" s="13"/>
      <c r="I990" s="242"/>
      <c r="J990" s="242"/>
      <c r="K990" s="242"/>
      <c r="L990" s="242"/>
      <c r="M990" s="242"/>
      <c r="N990" s="242"/>
      <c r="O990" s="242"/>
      <c r="P990" s="242"/>
      <c r="Q990" s="242"/>
      <c r="R990" s="242"/>
      <c r="S990" s="242"/>
      <c r="T990" s="242"/>
      <c r="U990" s="242"/>
      <c r="V990" s="242"/>
      <c r="W990" s="242"/>
      <c r="X990" s="242"/>
      <c r="Y990" s="242"/>
      <c r="Z990" s="242"/>
      <c r="AA990" s="242"/>
      <c r="AB990" s="242"/>
    </row>
    <row r="991">
      <c r="A991" s="242"/>
      <c r="B991" s="13"/>
      <c r="C991" s="242"/>
      <c r="D991" s="13"/>
      <c r="E991" s="13"/>
      <c r="F991" s="13"/>
      <c r="G991" s="13"/>
      <c r="H991" s="13"/>
      <c r="I991" s="242"/>
      <c r="J991" s="242"/>
      <c r="K991" s="242"/>
      <c r="L991" s="242"/>
      <c r="M991" s="242"/>
      <c r="N991" s="242"/>
      <c r="O991" s="242"/>
      <c r="P991" s="242"/>
      <c r="Q991" s="242"/>
      <c r="R991" s="242"/>
      <c r="S991" s="242"/>
      <c r="T991" s="242"/>
      <c r="U991" s="242"/>
      <c r="V991" s="242"/>
      <c r="W991" s="242"/>
      <c r="X991" s="242"/>
      <c r="Y991" s="242"/>
      <c r="Z991" s="242"/>
      <c r="AA991" s="242"/>
      <c r="AB991" s="242"/>
    </row>
    <row r="992">
      <c r="A992" s="242"/>
      <c r="B992" s="13"/>
      <c r="C992" s="242"/>
      <c r="D992" s="13"/>
      <c r="E992" s="13"/>
      <c r="F992" s="13"/>
      <c r="G992" s="13"/>
      <c r="H992" s="13"/>
      <c r="I992" s="242"/>
      <c r="J992" s="242"/>
      <c r="K992" s="242"/>
      <c r="L992" s="242"/>
      <c r="M992" s="242"/>
      <c r="N992" s="242"/>
      <c r="O992" s="242"/>
      <c r="P992" s="242"/>
      <c r="Q992" s="242"/>
      <c r="R992" s="242"/>
      <c r="S992" s="242"/>
      <c r="T992" s="242"/>
      <c r="U992" s="242"/>
      <c r="V992" s="242"/>
      <c r="W992" s="242"/>
      <c r="X992" s="242"/>
      <c r="Y992" s="242"/>
      <c r="Z992" s="242"/>
      <c r="AA992" s="242"/>
      <c r="AB992" s="242"/>
    </row>
    <row r="993">
      <c r="A993" s="242"/>
      <c r="B993" s="13"/>
      <c r="C993" s="242"/>
      <c r="D993" s="13"/>
      <c r="E993" s="13"/>
      <c r="F993" s="13"/>
      <c r="G993" s="13"/>
      <c r="H993" s="13"/>
      <c r="I993" s="242"/>
      <c r="J993" s="242"/>
      <c r="K993" s="242"/>
      <c r="L993" s="242"/>
      <c r="M993" s="242"/>
      <c r="N993" s="242"/>
      <c r="O993" s="242"/>
      <c r="P993" s="242"/>
      <c r="Q993" s="242"/>
      <c r="R993" s="242"/>
      <c r="S993" s="242"/>
      <c r="T993" s="242"/>
      <c r="U993" s="242"/>
      <c r="V993" s="242"/>
      <c r="W993" s="242"/>
      <c r="X993" s="242"/>
      <c r="Y993" s="242"/>
      <c r="Z993" s="242"/>
      <c r="AA993" s="242"/>
      <c r="AB993" s="242"/>
    </row>
    <row r="994">
      <c r="A994" s="242"/>
      <c r="B994" s="13"/>
      <c r="C994" s="242"/>
      <c r="D994" s="13"/>
      <c r="E994" s="13"/>
      <c r="F994" s="13"/>
      <c r="G994" s="13"/>
      <c r="H994" s="13"/>
      <c r="I994" s="242"/>
      <c r="J994" s="242"/>
      <c r="K994" s="242"/>
      <c r="L994" s="242"/>
      <c r="M994" s="242"/>
      <c r="N994" s="242"/>
      <c r="O994" s="242"/>
      <c r="P994" s="242"/>
      <c r="Q994" s="242"/>
      <c r="R994" s="242"/>
      <c r="S994" s="242"/>
      <c r="T994" s="242"/>
      <c r="U994" s="242"/>
      <c r="V994" s="242"/>
      <c r="W994" s="242"/>
      <c r="X994" s="242"/>
      <c r="Y994" s="242"/>
      <c r="Z994" s="242"/>
      <c r="AA994" s="242"/>
      <c r="AB994" s="242"/>
    </row>
    <row r="995">
      <c r="A995" s="242"/>
      <c r="B995" s="13"/>
      <c r="C995" s="242"/>
      <c r="D995" s="13"/>
      <c r="E995" s="13"/>
      <c r="F995" s="13"/>
      <c r="G995" s="13"/>
      <c r="H995" s="13"/>
      <c r="I995" s="242"/>
      <c r="J995" s="242"/>
      <c r="K995" s="242"/>
      <c r="L995" s="242"/>
      <c r="M995" s="242"/>
      <c r="N995" s="242"/>
      <c r="O995" s="242"/>
      <c r="P995" s="242"/>
      <c r="Q995" s="242"/>
      <c r="R995" s="242"/>
      <c r="S995" s="242"/>
      <c r="T995" s="242"/>
      <c r="U995" s="242"/>
      <c r="V995" s="242"/>
      <c r="W995" s="242"/>
      <c r="X995" s="242"/>
      <c r="Y995" s="242"/>
      <c r="Z995" s="242"/>
      <c r="AA995" s="242"/>
      <c r="AB995" s="242"/>
    </row>
    <row r="996">
      <c r="A996" s="242"/>
      <c r="B996" s="13"/>
      <c r="C996" s="242"/>
      <c r="D996" s="13"/>
      <c r="E996" s="13"/>
      <c r="F996" s="13"/>
      <c r="G996" s="13"/>
      <c r="H996" s="13"/>
      <c r="I996" s="242"/>
      <c r="J996" s="242"/>
      <c r="K996" s="242"/>
      <c r="L996" s="242"/>
      <c r="M996" s="242"/>
      <c r="N996" s="242"/>
      <c r="O996" s="242"/>
      <c r="P996" s="242"/>
      <c r="Q996" s="242"/>
      <c r="R996" s="242"/>
      <c r="S996" s="242"/>
      <c r="T996" s="242"/>
      <c r="U996" s="242"/>
      <c r="V996" s="242"/>
      <c r="W996" s="242"/>
      <c r="X996" s="242"/>
      <c r="Y996" s="242"/>
      <c r="Z996" s="242"/>
      <c r="AA996" s="242"/>
      <c r="AB996" s="242"/>
    </row>
    <row r="997">
      <c r="A997" s="242"/>
      <c r="B997" s="13"/>
      <c r="C997" s="242"/>
      <c r="D997" s="13"/>
      <c r="E997" s="13"/>
      <c r="F997" s="13"/>
      <c r="G997" s="13"/>
      <c r="H997" s="13"/>
      <c r="I997" s="242"/>
      <c r="J997" s="242"/>
      <c r="K997" s="242"/>
      <c r="L997" s="242"/>
      <c r="M997" s="242"/>
      <c r="N997" s="242"/>
      <c r="O997" s="242"/>
      <c r="P997" s="242"/>
      <c r="Q997" s="242"/>
      <c r="R997" s="242"/>
      <c r="S997" s="242"/>
      <c r="T997" s="242"/>
      <c r="U997" s="242"/>
      <c r="V997" s="242"/>
      <c r="W997" s="242"/>
      <c r="X997" s="242"/>
      <c r="Y997" s="242"/>
      <c r="Z997" s="242"/>
      <c r="AA997" s="242"/>
      <c r="AB997" s="242"/>
    </row>
    <row r="998">
      <c r="A998" s="242"/>
      <c r="B998" s="13"/>
      <c r="C998" s="242"/>
      <c r="D998" s="13"/>
      <c r="E998" s="13"/>
      <c r="F998" s="13"/>
      <c r="G998" s="13"/>
      <c r="H998" s="13"/>
      <c r="I998" s="242"/>
      <c r="J998" s="242"/>
      <c r="K998" s="242"/>
      <c r="L998" s="242"/>
      <c r="M998" s="242"/>
      <c r="N998" s="242"/>
      <c r="O998" s="242"/>
      <c r="P998" s="242"/>
      <c r="Q998" s="242"/>
      <c r="R998" s="242"/>
      <c r="S998" s="242"/>
      <c r="T998" s="242"/>
      <c r="U998" s="242"/>
      <c r="V998" s="242"/>
      <c r="W998" s="242"/>
      <c r="X998" s="242"/>
      <c r="Y998" s="242"/>
      <c r="Z998" s="242"/>
      <c r="AA998" s="242"/>
      <c r="AB998" s="242"/>
    </row>
    <row r="999">
      <c r="A999" s="242"/>
      <c r="B999" s="13"/>
      <c r="C999" s="242"/>
      <c r="D999" s="13"/>
      <c r="E999" s="13"/>
      <c r="F999" s="13"/>
      <c r="G999" s="13"/>
      <c r="H999" s="13"/>
      <c r="I999" s="242"/>
      <c r="J999" s="242"/>
      <c r="K999" s="242"/>
      <c r="L999" s="242"/>
      <c r="M999" s="242"/>
      <c r="N999" s="242"/>
      <c r="O999" s="242"/>
      <c r="P999" s="242"/>
      <c r="Q999" s="242"/>
      <c r="R999" s="242"/>
      <c r="S999" s="242"/>
      <c r="T999" s="242"/>
      <c r="U999" s="242"/>
      <c r="V999" s="242"/>
      <c r="W999" s="242"/>
      <c r="X999" s="242"/>
      <c r="Y999" s="242"/>
      <c r="Z999" s="242"/>
      <c r="AA999" s="242"/>
      <c r="AB999" s="242"/>
    </row>
    <row r="1000">
      <c r="A1000" s="242"/>
      <c r="B1000" s="13"/>
      <c r="C1000" s="242"/>
      <c r="D1000" s="13"/>
      <c r="E1000" s="13"/>
      <c r="F1000" s="13"/>
      <c r="G1000" s="13"/>
      <c r="H1000" s="13"/>
      <c r="I1000" s="242"/>
      <c r="J1000" s="242"/>
      <c r="K1000" s="242"/>
      <c r="L1000" s="242"/>
      <c r="M1000" s="242"/>
      <c r="N1000" s="242"/>
      <c r="O1000" s="242"/>
      <c r="P1000" s="242"/>
      <c r="Q1000" s="242"/>
      <c r="R1000" s="242"/>
      <c r="S1000" s="242"/>
      <c r="T1000" s="242"/>
      <c r="U1000" s="242"/>
      <c r="V1000" s="242"/>
      <c r="W1000" s="242"/>
      <c r="X1000" s="242"/>
      <c r="Y1000" s="242"/>
      <c r="Z1000" s="242"/>
      <c r="AA1000" s="242"/>
      <c r="AB1000" s="242"/>
    </row>
  </sheetData>
  <mergeCells count="4">
    <mergeCell ref="C3:C6"/>
    <mergeCell ref="C7:C10"/>
    <mergeCell ref="C11:C12"/>
    <mergeCell ref="C14:C1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3.0"/>
    <col customWidth="1" min="2" max="2" width="5.63"/>
    <col customWidth="1" min="3" max="3" width="5.0"/>
    <col customWidth="1" min="4" max="4" width="7.75"/>
    <col customWidth="1" min="5" max="5" width="7.5"/>
    <col customWidth="1" min="6" max="6" width="5.13"/>
    <col customWidth="1" min="7" max="7" width="7.75"/>
    <col customWidth="1" min="8" max="8" width="7.5"/>
    <col customWidth="1" min="9" max="9" width="6.0"/>
    <col customWidth="1" min="10" max="10" width="7.75"/>
    <col customWidth="1" min="11" max="11" width="7.5"/>
    <col customWidth="1" min="12" max="12" width="12.25"/>
    <col customWidth="1" min="13" max="14" width="7.75"/>
    <col customWidth="1" min="15" max="15" width="10.75"/>
    <col customWidth="1" min="16" max="17" width="7.75"/>
    <col customWidth="1" min="18" max="18" width="10.63"/>
    <col customWidth="1" min="19" max="20" width="7.75"/>
    <col customWidth="1" min="21" max="21" width="10.63"/>
    <col customWidth="1" min="22" max="23" width="7.75"/>
    <col customWidth="1" min="24" max="24" width="9.75"/>
    <col customWidth="1" min="25" max="25" width="10.5"/>
    <col customWidth="1" min="26" max="26" width="10.63"/>
    <col customWidth="1" min="27" max="27" width="5.5"/>
    <col customWidth="1" min="28" max="28" width="10.38"/>
    <col customWidth="1" min="29" max="29" width="6.25"/>
    <col customWidth="1" min="30" max="30" width="9.75"/>
    <col customWidth="1" min="31" max="31" width="8.5"/>
    <col customWidth="1" min="32" max="32" width="5.5"/>
    <col customWidth="1" min="33" max="33" width="11.63"/>
    <col customWidth="1" min="34" max="34" width="11.5"/>
  </cols>
  <sheetData>
    <row r="1">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row>
    <row r="2">
      <c r="A2" s="242"/>
      <c r="B2" s="697"/>
      <c r="C2" s="698" t="s">
        <v>4298</v>
      </c>
      <c r="D2" s="45"/>
      <c r="E2" s="46"/>
      <c r="F2" s="700" t="s">
        <v>2083</v>
      </c>
      <c r="G2" s="45"/>
      <c r="H2" s="46"/>
      <c r="I2" s="700" t="s">
        <v>4302</v>
      </c>
      <c r="J2" s="45"/>
      <c r="K2" s="46"/>
      <c r="L2" s="700" t="s">
        <v>4305</v>
      </c>
      <c r="M2" s="45"/>
      <c r="N2" s="46"/>
      <c r="O2" s="700" t="s">
        <v>4306</v>
      </c>
      <c r="P2" s="45"/>
      <c r="Q2" s="46"/>
      <c r="R2" s="700" t="s">
        <v>472</v>
      </c>
      <c r="S2" s="45"/>
      <c r="T2" s="46"/>
      <c r="U2" s="700" t="s">
        <v>4307</v>
      </c>
      <c r="V2" s="45"/>
      <c r="W2" s="46"/>
      <c r="X2" s="700" t="s">
        <v>4308</v>
      </c>
      <c r="Y2" s="46"/>
      <c r="Z2" s="644" t="s">
        <v>4309</v>
      </c>
      <c r="AA2" s="46"/>
      <c r="AB2" s="700" t="s">
        <v>4311</v>
      </c>
      <c r="AC2" s="46"/>
      <c r="AD2" s="449" t="s">
        <v>4312</v>
      </c>
      <c r="AE2" s="597" t="s">
        <v>4313</v>
      </c>
      <c r="AF2" s="46"/>
      <c r="AG2" s="474" t="s">
        <v>4314</v>
      </c>
      <c r="AH2" s="474" t="s">
        <v>4315</v>
      </c>
    </row>
    <row r="3">
      <c r="A3" s="242"/>
      <c r="B3" s="647" t="s">
        <v>3450</v>
      </c>
      <c r="C3" s="449" t="s">
        <v>2808</v>
      </c>
      <c r="D3" s="449" t="s">
        <v>4317</v>
      </c>
      <c r="E3" s="449" t="s">
        <v>4318</v>
      </c>
      <c r="F3" s="449" t="s">
        <v>2808</v>
      </c>
      <c r="G3" s="449" t="s">
        <v>4317</v>
      </c>
      <c r="H3" s="449" t="s">
        <v>4318</v>
      </c>
      <c r="I3" s="449" t="s">
        <v>2808</v>
      </c>
      <c r="J3" s="449" t="s">
        <v>4317</v>
      </c>
      <c r="K3" s="449" t="s">
        <v>4318</v>
      </c>
      <c r="L3" s="703" t="s">
        <v>3450</v>
      </c>
      <c r="M3" s="449" t="s">
        <v>4320</v>
      </c>
      <c r="N3" s="449" t="s">
        <v>4321</v>
      </c>
      <c r="O3" s="704" t="s">
        <v>3450</v>
      </c>
      <c r="P3" s="449" t="s">
        <v>4320</v>
      </c>
      <c r="Q3" s="449" t="s">
        <v>4321</v>
      </c>
      <c r="R3" s="704" t="s">
        <v>3450</v>
      </c>
      <c r="S3" s="449" t="s">
        <v>4320</v>
      </c>
      <c r="T3" s="449" t="s">
        <v>4321</v>
      </c>
      <c r="U3" s="704" t="s">
        <v>3450</v>
      </c>
      <c r="V3" s="449" t="s">
        <v>4320</v>
      </c>
      <c r="W3" s="449" t="s">
        <v>4321</v>
      </c>
      <c r="X3" s="449" t="s">
        <v>4325</v>
      </c>
      <c r="Y3" s="449" t="s">
        <v>4326</v>
      </c>
      <c r="Z3" s="704" t="s">
        <v>3450</v>
      </c>
      <c r="AA3" s="449" t="s">
        <v>2519</v>
      </c>
      <c r="AB3" s="704" t="s">
        <v>3450</v>
      </c>
      <c r="AC3" s="449" t="s">
        <v>2519</v>
      </c>
      <c r="AD3" s="478"/>
      <c r="AE3" s="704" t="s">
        <v>2808</v>
      </c>
      <c r="AF3" s="449" t="s">
        <v>2519</v>
      </c>
      <c r="AG3" s="554"/>
      <c r="AH3" s="554"/>
    </row>
    <row r="4">
      <c r="A4" s="243"/>
      <c r="B4" s="622">
        <v>16.0</v>
      </c>
      <c r="C4" s="705"/>
      <c r="D4" s="706">
        <v>196.0</v>
      </c>
      <c r="E4" s="706">
        <v>126.0</v>
      </c>
      <c r="F4" s="705"/>
      <c r="G4" s="706">
        <v>286.0</v>
      </c>
      <c r="H4" s="706">
        <v>196.0</v>
      </c>
      <c r="I4" s="705"/>
      <c r="J4" s="706">
        <v>214.0</v>
      </c>
      <c r="K4" s="706">
        <v>124.0</v>
      </c>
      <c r="L4" s="622" t="s">
        <v>4331</v>
      </c>
      <c r="M4" s="622">
        <v>296.0</v>
      </c>
      <c r="N4" s="622">
        <v>224.0</v>
      </c>
      <c r="O4" s="622" t="s">
        <v>4332</v>
      </c>
      <c r="P4" s="622">
        <v>206.0</v>
      </c>
      <c r="Q4" s="622">
        <v>184.0</v>
      </c>
      <c r="R4" s="622" t="s">
        <v>4332</v>
      </c>
      <c r="S4" s="622">
        <v>154.0</v>
      </c>
      <c r="T4" s="622" t="s">
        <v>2214</v>
      </c>
      <c r="U4" s="622" t="s">
        <v>4332</v>
      </c>
      <c r="V4" s="622">
        <v>164.0</v>
      </c>
      <c r="W4" s="622" t="s">
        <v>2214</v>
      </c>
      <c r="X4" s="706">
        <v>450.0</v>
      </c>
      <c r="Y4" s="707">
        <v>750.0</v>
      </c>
      <c r="Z4" s="706" t="s">
        <v>4334</v>
      </c>
      <c r="AA4" s="707">
        <v>160.0</v>
      </c>
      <c r="AB4" s="706" t="str">
        <f t="shared" ref="AB4:AB5" si="1">CONCATENATE(LEFT(O4,FIND("/",O4) - 2),LEFT(O4,2))</f>
        <v>16X16</v>
      </c>
      <c r="AC4" s="707">
        <v>896.0</v>
      </c>
      <c r="AD4" s="705"/>
      <c r="AE4" s="708"/>
      <c r="AF4" s="707"/>
      <c r="AG4" s="709" t="s">
        <v>4339</v>
      </c>
      <c r="AH4" s="709" t="s">
        <v>4341</v>
      </c>
    </row>
    <row r="5">
      <c r="A5" s="243"/>
      <c r="B5" s="622">
        <v>20.0</v>
      </c>
      <c r="C5" s="705"/>
      <c r="D5" s="706">
        <v>326.0</v>
      </c>
      <c r="E5" s="706">
        <v>186.0</v>
      </c>
      <c r="F5" s="705"/>
      <c r="G5" s="706">
        <v>536.0</v>
      </c>
      <c r="H5" s="706">
        <v>236.0</v>
      </c>
      <c r="I5" s="705"/>
      <c r="J5" s="706">
        <v>364.0</v>
      </c>
      <c r="K5" s="706">
        <v>184.0</v>
      </c>
      <c r="L5" s="622" t="s">
        <v>4342</v>
      </c>
      <c r="M5" s="622">
        <v>424.0</v>
      </c>
      <c r="N5" s="622">
        <v>254.0</v>
      </c>
      <c r="O5" s="622" t="s">
        <v>4343</v>
      </c>
      <c r="P5" s="622">
        <v>366.0</v>
      </c>
      <c r="Q5" s="622">
        <v>194.0</v>
      </c>
      <c r="R5" s="622" t="s">
        <v>4343</v>
      </c>
      <c r="S5" s="622">
        <v>224.0</v>
      </c>
      <c r="T5" s="622">
        <v>194.0</v>
      </c>
      <c r="U5" s="622" t="s">
        <v>4343</v>
      </c>
      <c r="V5" s="622">
        <v>284.0</v>
      </c>
      <c r="W5" s="622">
        <v>184.0</v>
      </c>
      <c r="X5" s="705"/>
      <c r="Y5" s="707"/>
      <c r="Z5" s="706" t="s">
        <v>4344</v>
      </c>
      <c r="AA5" s="707">
        <v>190.0</v>
      </c>
      <c r="AB5" s="706" t="str">
        <f t="shared" si="1"/>
        <v>20X20</v>
      </c>
      <c r="AC5" s="707">
        <v>1096.0</v>
      </c>
      <c r="AD5" s="705"/>
      <c r="AE5" s="622">
        <v>20.0</v>
      </c>
      <c r="AF5" s="707">
        <v>184.0</v>
      </c>
      <c r="AG5" s="709" t="s">
        <v>4345</v>
      </c>
      <c r="AH5" s="709" t="s">
        <v>4346</v>
      </c>
    </row>
    <row r="6">
      <c r="A6" s="243"/>
      <c r="B6" s="622"/>
      <c r="C6" s="705"/>
      <c r="D6" s="706"/>
      <c r="E6" s="706"/>
      <c r="F6" s="705"/>
      <c r="G6" s="706"/>
      <c r="H6" s="706"/>
      <c r="I6" s="705"/>
      <c r="J6" s="706"/>
      <c r="K6" s="706"/>
      <c r="L6" s="622"/>
      <c r="M6" s="622"/>
      <c r="N6" s="622"/>
      <c r="O6" s="622"/>
      <c r="P6" s="622"/>
      <c r="Q6" s="622"/>
      <c r="R6" s="621" t="s">
        <v>4347</v>
      </c>
      <c r="S6" s="622"/>
      <c r="T6" s="622"/>
      <c r="U6" s="621" t="s">
        <v>4347</v>
      </c>
      <c r="V6" s="622"/>
      <c r="W6" s="622"/>
      <c r="X6" s="705"/>
      <c r="Y6" s="707"/>
      <c r="Z6" s="706"/>
      <c r="AA6" s="707"/>
      <c r="AB6" s="706"/>
      <c r="AC6" s="707"/>
      <c r="AD6" s="705"/>
      <c r="AE6" s="622"/>
      <c r="AF6" s="707"/>
      <c r="AG6" s="709"/>
      <c r="AH6" s="709"/>
    </row>
    <row r="7">
      <c r="A7" s="243"/>
      <c r="B7" s="622">
        <v>25.0</v>
      </c>
      <c r="C7" s="705"/>
      <c r="D7" s="706">
        <v>516.0</v>
      </c>
      <c r="E7" s="706">
        <v>256.0</v>
      </c>
      <c r="F7" s="705"/>
      <c r="G7" s="706">
        <v>836.0</v>
      </c>
      <c r="H7" s="706">
        <v>316.0</v>
      </c>
      <c r="I7" s="705"/>
      <c r="J7" s="706">
        <v>594.0</v>
      </c>
      <c r="K7" s="706">
        <v>244.0</v>
      </c>
      <c r="L7" s="705"/>
      <c r="M7" s="705"/>
      <c r="N7" s="705"/>
      <c r="O7" s="622" t="s">
        <v>4348</v>
      </c>
      <c r="P7" s="622">
        <v>466.0</v>
      </c>
      <c r="Q7" s="705"/>
      <c r="R7" s="622" t="s">
        <v>4348</v>
      </c>
      <c r="S7" s="622">
        <v>304.0</v>
      </c>
      <c r="T7" s="710">
        <v>294.0</v>
      </c>
      <c r="U7" s="622" t="s">
        <v>4348</v>
      </c>
      <c r="V7" s="622">
        <v>384.0</v>
      </c>
      <c r="W7" s="710">
        <v>194.0</v>
      </c>
      <c r="X7" s="705"/>
      <c r="Y7" s="707"/>
      <c r="Z7" s="706" t="s">
        <v>4349</v>
      </c>
      <c r="AA7" s="707">
        <v>184.0</v>
      </c>
      <c r="AB7" s="706" t="str">
        <f>CONCATENATE(LEFT(O7,FIND("/",O7) - 2),LEFT(O7,2))</f>
        <v>25X25</v>
      </c>
      <c r="AC7" s="707">
        <v>1296.0</v>
      </c>
      <c r="AD7" s="705"/>
      <c r="AE7" s="622">
        <v>25.0</v>
      </c>
      <c r="AF7" s="707">
        <v>216.0</v>
      </c>
      <c r="AG7" s="709" t="s">
        <v>4350</v>
      </c>
      <c r="AH7" s="709" t="s">
        <v>4351</v>
      </c>
    </row>
    <row r="8">
      <c r="A8" s="243"/>
      <c r="B8" s="622">
        <v>32.0</v>
      </c>
      <c r="C8" s="705"/>
      <c r="D8" s="706">
        <v>816.0</v>
      </c>
      <c r="E8" s="706">
        <v>346.0</v>
      </c>
      <c r="F8" s="705"/>
      <c r="G8" s="706">
        <v>1966.0</v>
      </c>
      <c r="H8" s="706">
        <v>416.0</v>
      </c>
      <c r="I8" s="705"/>
      <c r="J8" s="706">
        <v>854.0</v>
      </c>
      <c r="K8" s="706">
        <v>344.0</v>
      </c>
      <c r="L8" s="705"/>
      <c r="M8" s="705"/>
      <c r="N8" s="705"/>
      <c r="O8" s="705"/>
      <c r="P8" s="705"/>
      <c r="Q8" s="705"/>
      <c r="R8" s="622" t="s">
        <v>4352</v>
      </c>
      <c r="S8" s="622">
        <v>774.0</v>
      </c>
      <c r="T8" s="622" t="s">
        <v>2214</v>
      </c>
      <c r="U8" s="622" t="s">
        <v>4352</v>
      </c>
      <c r="V8" s="622">
        <v>934.0</v>
      </c>
      <c r="W8" s="622" t="s">
        <v>2214</v>
      </c>
      <c r="X8" s="705"/>
      <c r="Y8" s="707"/>
      <c r="Z8" s="705"/>
      <c r="AA8" s="707"/>
      <c r="AB8" s="706" t="s">
        <v>4353</v>
      </c>
      <c r="AC8" s="707">
        <v>1896.0</v>
      </c>
      <c r="AD8" s="705"/>
      <c r="AE8" s="622">
        <v>32.0</v>
      </c>
      <c r="AF8" s="707">
        <v>326.0</v>
      </c>
      <c r="AG8" s="709" t="s">
        <v>4354</v>
      </c>
      <c r="AH8" s="709" t="s">
        <v>4355</v>
      </c>
    </row>
    <row r="9">
      <c r="A9" s="243"/>
      <c r="B9" s="622">
        <v>40.0</v>
      </c>
      <c r="C9" s="705"/>
      <c r="D9" s="706">
        <v>1356.0</v>
      </c>
      <c r="E9" s="705"/>
      <c r="F9" s="705"/>
      <c r="G9" s="706">
        <v>2166.0</v>
      </c>
      <c r="H9" s="705"/>
      <c r="I9" s="705"/>
      <c r="J9" s="706">
        <v>1524.0</v>
      </c>
      <c r="K9" s="705"/>
      <c r="L9" s="705"/>
      <c r="M9" s="705"/>
      <c r="N9" s="705"/>
      <c r="O9" s="705"/>
      <c r="P9" s="705"/>
      <c r="Q9" s="705"/>
      <c r="R9" s="705"/>
      <c r="S9" s="705"/>
      <c r="T9" s="705"/>
      <c r="U9" s="705"/>
      <c r="V9" s="705"/>
      <c r="W9" s="705"/>
      <c r="X9" s="705"/>
      <c r="Y9" s="707"/>
      <c r="Z9" s="705"/>
      <c r="AA9" s="707"/>
      <c r="AB9" s="706" t="s">
        <v>4343</v>
      </c>
      <c r="AC9" s="707">
        <v>946.0</v>
      </c>
      <c r="AD9" s="705"/>
      <c r="AE9" s="705"/>
      <c r="AF9" s="707"/>
      <c r="AG9" s="299"/>
      <c r="AH9" s="299"/>
    </row>
    <row r="10">
      <c r="A10" s="404"/>
      <c r="B10" s="622">
        <v>50.0</v>
      </c>
      <c r="C10" s="705"/>
      <c r="D10" s="706">
        <v>2796.0</v>
      </c>
      <c r="E10" s="705"/>
      <c r="F10" s="705"/>
      <c r="G10" s="706">
        <v>4796.0</v>
      </c>
      <c r="H10" s="705"/>
      <c r="I10" s="705"/>
      <c r="J10" s="706">
        <v>3394.0</v>
      </c>
      <c r="K10" s="705"/>
      <c r="L10" s="705"/>
      <c r="M10" s="705"/>
      <c r="N10" s="705"/>
      <c r="O10" s="705"/>
      <c r="P10" s="705"/>
      <c r="Q10" s="705"/>
      <c r="R10" s="705"/>
      <c r="S10" s="705"/>
      <c r="T10" s="705"/>
      <c r="U10" s="705"/>
      <c r="V10" s="705"/>
      <c r="W10" s="705"/>
      <c r="X10" s="705"/>
      <c r="Y10" s="711"/>
      <c r="Z10" s="705"/>
      <c r="AA10" s="711"/>
      <c r="AB10" s="705"/>
      <c r="AC10" s="711"/>
      <c r="AD10" s="705"/>
      <c r="AE10" s="705"/>
      <c r="AF10" s="711"/>
      <c r="AG10" s="299"/>
      <c r="AH10" s="299"/>
    </row>
    <row r="11">
      <c r="A11" s="243"/>
      <c r="B11" s="299"/>
      <c r="C11" s="299"/>
      <c r="D11" s="299"/>
      <c r="E11" s="299"/>
      <c r="F11" s="299"/>
      <c r="G11" s="299"/>
      <c r="H11" s="299"/>
      <c r="I11" s="299"/>
      <c r="J11" s="299"/>
      <c r="K11" s="299"/>
      <c r="L11" s="299"/>
      <c r="M11" s="299"/>
      <c r="N11" s="299"/>
      <c r="O11" s="299"/>
      <c r="P11" s="299"/>
      <c r="Q11" s="299"/>
      <c r="R11" s="621"/>
      <c r="S11" s="299"/>
      <c r="T11" s="299"/>
      <c r="U11" s="621"/>
      <c r="V11" s="299"/>
      <c r="W11" s="299"/>
      <c r="X11" s="299"/>
      <c r="Y11" s="299"/>
      <c r="Z11" s="299"/>
      <c r="AA11" s="299"/>
      <c r="AB11" s="299"/>
      <c r="AC11" s="299"/>
      <c r="AD11" s="299"/>
      <c r="AE11" s="299"/>
      <c r="AF11" s="299"/>
      <c r="AG11" s="299"/>
      <c r="AH11" s="299"/>
    </row>
    <row r="12">
      <c r="A12" s="242"/>
      <c r="B12" s="242"/>
      <c r="C12" s="242"/>
      <c r="D12" s="242"/>
      <c r="E12" s="242"/>
      <c r="F12" s="242"/>
      <c r="G12" s="242"/>
      <c r="H12" s="242"/>
      <c r="I12" s="242"/>
      <c r="J12" s="242"/>
      <c r="K12" s="242"/>
      <c r="L12" s="242"/>
      <c r="M12" s="242"/>
      <c r="N12" s="242"/>
      <c r="O12" s="242"/>
      <c r="P12" s="242"/>
      <c r="Q12" s="242"/>
      <c r="R12" s="242"/>
      <c r="S12" s="242"/>
      <c r="T12" s="242"/>
      <c r="U12" s="242"/>
      <c r="V12" s="242"/>
      <c r="W12" s="242"/>
      <c r="X12" s="242"/>
      <c r="Y12" s="242"/>
      <c r="Z12" s="242"/>
      <c r="AA12" s="242"/>
      <c r="AB12" s="242"/>
      <c r="AC12" s="242"/>
      <c r="AD12" s="242"/>
      <c r="AE12" s="242"/>
      <c r="AF12" s="242"/>
      <c r="AG12" s="242"/>
      <c r="AH12" s="242"/>
    </row>
    <row r="13">
      <c r="A13" s="242"/>
      <c r="B13" s="242"/>
      <c r="C13" s="242"/>
      <c r="D13" s="242"/>
      <c r="E13" s="242"/>
      <c r="F13" s="242"/>
      <c r="G13" s="242"/>
      <c r="H13" s="242"/>
      <c r="I13" s="242"/>
      <c r="J13" s="242"/>
      <c r="K13" s="242"/>
      <c r="L13" s="242"/>
      <c r="M13" s="242"/>
      <c r="N13" s="242"/>
      <c r="O13" s="242"/>
      <c r="P13" s="242"/>
      <c r="Q13" s="242"/>
      <c r="R13" s="242"/>
      <c r="S13" s="242"/>
      <c r="T13" s="242"/>
      <c r="U13" s="242"/>
      <c r="V13" s="242"/>
      <c r="W13" s="242"/>
      <c r="X13" s="242"/>
      <c r="Y13" s="242"/>
      <c r="Z13" s="242"/>
      <c r="AA13" s="242"/>
      <c r="AB13" s="242"/>
      <c r="AC13" s="242"/>
      <c r="AD13" s="242"/>
      <c r="AE13" s="242"/>
      <c r="AF13" s="242"/>
      <c r="AG13" s="242"/>
      <c r="AH13" s="242"/>
    </row>
    <row r="14">
      <c r="A14" s="242"/>
      <c r="B14" s="242"/>
      <c r="C14" s="2" t="s">
        <v>4356</v>
      </c>
      <c r="D14" s="242"/>
      <c r="E14" s="242"/>
      <c r="F14" s="242"/>
      <c r="G14" s="242"/>
      <c r="H14" s="242"/>
      <c r="I14" s="242"/>
      <c r="J14" s="242"/>
      <c r="K14" s="242"/>
      <c r="L14" s="242"/>
      <c r="M14" s="242"/>
      <c r="N14" s="242"/>
      <c r="O14" s="242"/>
      <c r="P14" s="242"/>
      <c r="Q14" s="242"/>
      <c r="R14" s="242"/>
      <c r="S14" s="242"/>
      <c r="T14" s="242"/>
      <c r="U14" s="242"/>
      <c r="V14" s="242"/>
      <c r="W14" s="242"/>
      <c r="X14" s="242"/>
      <c r="Y14" s="242"/>
      <c r="Z14" s="242"/>
      <c r="AA14" s="242"/>
      <c r="AB14" s="242"/>
      <c r="AC14" s="242"/>
      <c r="AD14" s="242"/>
      <c r="AE14" s="242"/>
      <c r="AF14" s="242"/>
      <c r="AG14" s="242"/>
      <c r="AH14" s="242"/>
    </row>
    <row r="15">
      <c r="A15" s="242"/>
      <c r="B15" s="242"/>
      <c r="C15" s="2" t="s">
        <v>4357</v>
      </c>
      <c r="D15" s="242"/>
      <c r="E15" s="242"/>
      <c r="F15" s="242"/>
      <c r="G15" s="242"/>
      <c r="H15" s="242"/>
      <c r="I15" s="242"/>
      <c r="J15" s="242"/>
      <c r="K15" s="242"/>
      <c r="L15" s="242"/>
      <c r="M15" s="242"/>
      <c r="N15" s="242"/>
      <c r="O15" s="242"/>
      <c r="P15" s="242"/>
      <c r="Q15" s="242"/>
      <c r="R15" s="242"/>
      <c r="S15" s="242"/>
      <c r="T15" s="242"/>
      <c r="U15" s="242"/>
      <c r="V15" s="242"/>
      <c r="W15" s="242"/>
      <c r="X15" s="242"/>
      <c r="Y15" s="242"/>
      <c r="Z15" s="242"/>
      <c r="AA15" s="242"/>
      <c r="AB15" s="242"/>
      <c r="AC15" s="242"/>
      <c r="AD15" s="242"/>
      <c r="AE15" s="242"/>
      <c r="AF15" s="242"/>
      <c r="AG15" s="242"/>
      <c r="AH15" s="242"/>
    </row>
    <row r="16">
      <c r="A16" s="242"/>
      <c r="B16" s="242"/>
      <c r="C16" s="242"/>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2"/>
      <c r="AE16" s="242"/>
      <c r="AF16" s="242"/>
      <c r="AG16" s="242"/>
      <c r="AH16" s="242"/>
    </row>
    <row r="17">
      <c r="A17" s="242"/>
      <c r="B17" s="242"/>
      <c r="C17" s="242"/>
      <c r="D17" s="242"/>
      <c r="E17" s="242"/>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row>
    <row r="18">
      <c r="A18" s="242"/>
      <c r="B18" s="242"/>
      <c r="C18" s="242"/>
      <c r="D18" s="242"/>
      <c r="E18" s="242"/>
      <c r="F18" s="242"/>
      <c r="G18" s="242"/>
      <c r="H18" s="242"/>
      <c r="I18" s="242"/>
      <c r="J18" s="242"/>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c r="AH18" s="242"/>
    </row>
    <row r="19">
      <c r="A19" s="242"/>
      <c r="B19" s="242"/>
      <c r="C19" s="242"/>
      <c r="D19" s="242"/>
      <c r="E19" s="242"/>
      <c r="F19" s="242"/>
      <c r="G19" s="242"/>
      <c r="H19" s="242"/>
      <c r="I19" s="242"/>
      <c r="J19" s="242"/>
      <c r="K19" s="242"/>
      <c r="L19" s="242"/>
      <c r="M19" s="242"/>
      <c r="N19" s="242"/>
      <c r="O19" s="242"/>
      <c r="P19" s="242"/>
      <c r="Q19" s="242"/>
      <c r="R19" s="242"/>
      <c r="S19" s="242"/>
      <c r="T19" s="242"/>
      <c r="U19" s="242"/>
      <c r="V19" s="242"/>
      <c r="W19" s="242"/>
      <c r="X19" s="242"/>
      <c r="Y19" s="242"/>
      <c r="Z19" s="242"/>
      <c r="AA19" s="242"/>
      <c r="AB19" s="242"/>
      <c r="AC19" s="242"/>
      <c r="AD19" s="242"/>
      <c r="AE19" s="242"/>
      <c r="AF19" s="242"/>
      <c r="AG19" s="242"/>
      <c r="AH19" s="242"/>
    </row>
    <row r="20">
      <c r="A20" s="242"/>
      <c r="B20" s="242"/>
      <c r="C20" s="242"/>
      <c r="D20" s="242"/>
      <c r="E20" s="242"/>
      <c r="F20" s="242"/>
      <c r="G20" s="242"/>
      <c r="H20" s="242"/>
      <c r="I20" s="242"/>
      <c r="J20" s="242"/>
      <c r="K20" s="242"/>
      <c r="L20" s="242"/>
      <c r="M20" s="242"/>
      <c r="N20" s="242"/>
      <c r="O20" s="242"/>
      <c r="P20" s="242"/>
      <c r="Q20" s="242"/>
      <c r="R20" s="242"/>
      <c r="S20" s="242"/>
      <c r="T20" s="242"/>
      <c r="U20" s="242"/>
      <c r="V20" s="242"/>
      <c r="W20" s="242"/>
      <c r="X20" s="242"/>
      <c r="Y20" s="242"/>
      <c r="Z20" s="242"/>
      <c r="AA20" s="242"/>
      <c r="AB20" s="242"/>
      <c r="AC20" s="242"/>
      <c r="AD20" s="242"/>
      <c r="AE20" s="242"/>
      <c r="AF20" s="242"/>
      <c r="AG20" s="242"/>
      <c r="AH20" s="242"/>
    </row>
    <row r="21">
      <c r="A21" s="242"/>
      <c r="B21" s="242"/>
      <c r="C21" s="242"/>
      <c r="D21" s="242"/>
      <c r="E21" s="242"/>
      <c r="F21" s="242"/>
      <c r="G21" s="242"/>
      <c r="H21" s="242"/>
      <c r="I21" s="242"/>
      <c r="J21" s="242"/>
      <c r="K21" s="242"/>
      <c r="L21" s="242"/>
      <c r="M21" s="242"/>
      <c r="N21" s="242"/>
      <c r="O21" s="242"/>
      <c r="P21" s="242"/>
      <c r="Q21" s="242"/>
      <c r="R21" s="242"/>
      <c r="S21" s="242"/>
      <c r="T21" s="242"/>
      <c r="U21" s="242"/>
      <c r="V21" s="242"/>
      <c r="W21" s="242"/>
      <c r="X21" s="242"/>
      <c r="Y21" s="242"/>
      <c r="Z21" s="242"/>
      <c r="AA21" s="242"/>
      <c r="AB21" s="242"/>
      <c r="AC21" s="242"/>
      <c r="AD21" s="242"/>
      <c r="AE21" s="242"/>
      <c r="AF21" s="242"/>
      <c r="AG21" s="242"/>
      <c r="AH21" s="242"/>
    </row>
    <row r="22">
      <c r="A22" s="242"/>
      <c r="B22" s="242"/>
      <c r="C22" s="242"/>
      <c r="D22" s="242"/>
      <c r="E22" s="242"/>
      <c r="F22" s="242"/>
      <c r="G22" s="242"/>
      <c r="H22" s="242"/>
      <c r="I22" s="242"/>
      <c r="J22" s="242"/>
      <c r="K22" s="242"/>
      <c r="L22" s="242"/>
      <c r="M22" s="242"/>
      <c r="N22" s="242"/>
      <c r="O22" s="242"/>
      <c r="P22" s="242"/>
      <c r="Q22" s="242"/>
      <c r="R22" s="242"/>
      <c r="S22" s="242"/>
      <c r="T22" s="242"/>
      <c r="U22" s="242"/>
      <c r="V22" s="242"/>
      <c r="W22" s="242"/>
      <c r="X22" s="242"/>
      <c r="Y22" s="242"/>
      <c r="Z22" s="242"/>
      <c r="AA22" s="242"/>
      <c r="AB22" s="242"/>
      <c r="AC22" s="242"/>
      <c r="AD22" s="242"/>
      <c r="AE22" s="242"/>
      <c r="AF22" s="242"/>
      <c r="AG22" s="242"/>
      <c r="AH22" s="242"/>
    </row>
    <row r="23">
      <c r="A23" s="242"/>
      <c r="B23" s="242"/>
      <c r="C23" s="242"/>
      <c r="D23" s="242"/>
      <c r="E23" s="242"/>
      <c r="F23" s="242"/>
      <c r="G23" s="242"/>
      <c r="H23" s="242"/>
      <c r="I23" s="242"/>
      <c r="J23" s="242"/>
      <c r="K23" s="242"/>
      <c r="L23" s="242"/>
      <c r="M23" s="242"/>
      <c r="N23" s="242"/>
      <c r="O23" s="242"/>
      <c r="P23" s="242"/>
      <c r="Q23" s="242"/>
      <c r="R23" s="242"/>
      <c r="S23" s="242"/>
      <c r="T23" s="242"/>
      <c r="U23" s="242"/>
      <c r="V23" s="242"/>
      <c r="W23" s="242"/>
      <c r="X23" s="242"/>
      <c r="Y23" s="242"/>
      <c r="Z23" s="242"/>
      <c r="AA23" s="242"/>
      <c r="AB23" s="242"/>
      <c r="AC23" s="242"/>
      <c r="AD23" s="242"/>
      <c r="AE23" s="242"/>
      <c r="AF23" s="242"/>
      <c r="AG23" s="242"/>
      <c r="AH23" s="242"/>
    </row>
    <row r="24">
      <c r="A24" s="242"/>
      <c r="B24" s="242"/>
      <c r="C24" s="242"/>
      <c r="D24" s="242"/>
      <c r="E24" s="242"/>
      <c r="F24" s="242"/>
      <c r="G24" s="242"/>
      <c r="H24" s="242"/>
      <c r="I24" s="242"/>
      <c r="J24" s="242"/>
      <c r="K24" s="242"/>
      <c r="L24" s="242"/>
      <c r="M24" s="242"/>
      <c r="N24" s="242"/>
      <c r="O24" s="242"/>
      <c r="P24" s="242"/>
      <c r="Q24" s="242"/>
      <c r="R24" s="242"/>
      <c r="S24" s="242"/>
      <c r="T24" s="242"/>
      <c r="U24" s="242"/>
      <c r="V24" s="242"/>
      <c r="W24" s="242"/>
      <c r="X24" s="242"/>
      <c r="Y24" s="242"/>
      <c r="Z24" s="242"/>
      <c r="AA24" s="242"/>
      <c r="AB24" s="242"/>
      <c r="AC24" s="242"/>
      <c r="AD24" s="242"/>
      <c r="AE24" s="242"/>
      <c r="AF24" s="242"/>
      <c r="AG24" s="242"/>
      <c r="AH24" s="242"/>
    </row>
    <row r="25">
      <c r="A25" s="242"/>
      <c r="B25" s="242"/>
      <c r="C25" s="242"/>
      <c r="D25" s="242"/>
      <c r="E25" s="242"/>
      <c r="F25" s="242"/>
      <c r="G25" s="242"/>
      <c r="H25" s="242"/>
      <c r="I25" s="242"/>
      <c r="J25" s="242"/>
      <c r="K25" s="242"/>
      <c r="L25" s="242"/>
      <c r="M25" s="242"/>
      <c r="N25" s="242"/>
      <c r="O25" s="242"/>
      <c r="P25" s="242"/>
      <c r="Q25" s="242"/>
      <c r="R25" s="242"/>
      <c r="S25" s="242"/>
      <c r="T25" s="242"/>
      <c r="U25" s="242"/>
      <c r="V25" s="242"/>
      <c r="W25" s="242"/>
      <c r="X25" s="242"/>
      <c r="Y25" s="242"/>
      <c r="Z25" s="242"/>
      <c r="AA25" s="242"/>
      <c r="AB25" s="242"/>
      <c r="AC25" s="242"/>
      <c r="AD25" s="242"/>
      <c r="AE25" s="242"/>
      <c r="AF25" s="242"/>
      <c r="AG25" s="242"/>
      <c r="AH25" s="242"/>
    </row>
    <row r="26">
      <c r="A26" s="242"/>
      <c r="B26" s="242"/>
      <c r="C26" s="242"/>
      <c r="D26" s="242"/>
      <c r="E26" s="242"/>
      <c r="F26" s="242"/>
      <c r="G26" s="242"/>
      <c r="H26" s="242"/>
      <c r="I26" s="242"/>
      <c r="J26" s="242"/>
      <c r="K26" s="242"/>
      <c r="L26" s="242"/>
      <c r="M26" s="242"/>
      <c r="N26" s="242"/>
      <c r="O26" s="242"/>
      <c r="P26" s="242"/>
      <c r="Q26" s="242"/>
      <c r="R26" s="242"/>
      <c r="S26" s="242"/>
      <c r="T26" s="242"/>
      <c r="U26" s="242"/>
      <c r="V26" s="242"/>
      <c r="W26" s="242"/>
      <c r="X26" s="242"/>
      <c r="Y26" s="242"/>
      <c r="Z26" s="242"/>
      <c r="AA26" s="242"/>
      <c r="AB26" s="242"/>
      <c r="AC26" s="242"/>
      <c r="AD26" s="242"/>
      <c r="AE26" s="242"/>
      <c r="AF26" s="242"/>
      <c r="AG26" s="242"/>
      <c r="AH26" s="242"/>
    </row>
    <row r="27">
      <c r="A27" s="242"/>
      <c r="B27" s="242"/>
      <c r="C27" s="242"/>
      <c r="D27" s="242"/>
      <c r="E27" s="242"/>
      <c r="F27" s="242"/>
      <c r="G27" s="242"/>
      <c r="H27" s="242"/>
      <c r="I27" s="242"/>
      <c r="J27" s="242"/>
      <c r="K27" s="242"/>
      <c r="L27" s="242"/>
      <c r="M27" s="242"/>
      <c r="N27" s="242"/>
      <c r="O27" s="242"/>
      <c r="P27" s="242"/>
      <c r="Q27" s="242"/>
      <c r="R27" s="242"/>
      <c r="S27" s="242"/>
      <c r="T27" s="242"/>
      <c r="U27" s="242"/>
      <c r="V27" s="242"/>
      <c r="W27" s="242"/>
      <c r="X27" s="242"/>
      <c r="Y27" s="242"/>
      <c r="Z27" s="242"/>
      <c r="AA27" s="242"/>
      <c r="AB27" s="242"/>
      <c r="AC27" s="242"/>
      <c r="AD27" s="242"/>
      <c r="AE27" s="242"/>
      <c r="AF27" s="242"/>
      <c r="AG27" s="242"/>
      <c r="AH27" s="242"/>
    </row>
    <row r="28">
      <c r="A28" s="242"/>
      <c r="B28" s="242"/>
      <c r="C28" s="242"/>
      <c r="D28" s="242"/>
      <c r="E28" s="242"/>
      <c r="F28" s="242"/>
      <c r="G28" s="242"/>
      <c r="H28" s="242"/>
      <c r="I28" s="242"/>
      <c r="J28" s="242"/>
      <c r="K28" s="242"/>
      <c r="L28" s="242"/>
      <c r="M28" s="242"/>
      <c r="N28" s="242"/>
      <c r="O28" s="242"/>
      <c r="P28" s="242"/>
      <c r="Q28" s="242"/>
      <c r="R28" s="242"/>
      <c r="S28" s="242"/>
      <c r="T28" s="242"/>
      <c r="U28" s="242"/>
      <c r="V28" s="242"/>
      <c r="W28" s="242"/>
      <c r="X28" s="242"/>
      <c r="Y28" s="242"/>
      <c r="Z28" s="242"/>
      <c r="AA28" s="242"/>
      <c r="AB28" s="242"/>
      <c r="AC28" s="242"/>
      <c r="AD28" s="242"/>
      <c r="AE28" s="242"/>
      <c r="AF28" s="242"/>
      <c r="AG28" s="242"/>
      <c r="AH28" s="242"/>
    </row>
    <row r="29">
      <c r="A29" s="242"/>
      <c r="B29" s="242"/>
      <c r="C29" s="242"/>
      <c r="D29" s="242"/>
      <c r="E29" s="242"/>
      <c r="F29" s="242"/>
      <c r="G29" s="242"/>
      <c r="H29" s="242"/>
      <c r="I29" s="242"/>
      <c r="J29" s="242"/>
      <c r="K29" s="242"/>
      <c r="L29" s="242"/>
      <c r="M29" s="242"/>
      <c r="N29" s="242"/>
      <c r="O29" s="242"/>
      <c r="P29" s="242"/>
      <c r="Q29" s="242"/>
      <c r="R29" s="242"/>
      <c r="S29" s="242"/>
      <c r="T29" s="242"/>
      <c r="U29" s="242"/>
      <c r="V29" s="242"/>
      <c r="W29" s="242"/>
      <c r="X29" s="242"/>
      <c r="Y29" s="242"/>
      <c r="Z29" s="242"/>
      <c r="AA29" s="242"/>
      <c r="AB29" s="242"/>
      <c r="AC29" s="242"/>
      <c r="AD29" s="242"/>
      <c r="AE29" s="242"/>
      <c r="AF29" s="242"/>
      <c r="AG29" s="242"/>
      <c r="AH29" s="242"/>
    </row>
    <row r="30">
      <c r="A30" s="242"/>
      <c r="B30" s="242"/>
      <c r="C30" s="242"/>
      <c r="D30" s="242"/>
      <c r="E30" s="242"/>
      <c r="F30" s="242"/>
      <c r="G30" s="242"/>
      <c r="H30" s="242"/>
      <c r="I30" s="242"/>
      <c r="J30" s="242"/>
      <c r="K30" s="242"/>
      <c r="L30" s="242"/>
      <c r="M30" s="242"/>
      <c r="N30" s="242"/>
      <c r="O30" s="242"/>
      <c r="P30" s="242"/>
      <c r="Q30" s="242"/>
      <c r="R30" s="242"/>
      <c r="S30" s="242"/>
      <c r="T30" s="242"/>
      <c r="U30" s="242"/>
      <c r="V30" s="242"/>
      <c r="W30" s="242"/>
      <c r="X30" s="242"/>
      <c r="Y30" s="242"/>
      <c r="Z30" s="242"/>
      <c r="AA30" s="242"/>
      <c r="AB30" s="242"/>
      <c r="AC30" s="242"/>
      <c r="AD30" s="242"/>
      <c r="AE30" s="242"/>
      <c r="AF30" s="242"/>
      <c r="AG30" s="242"/>
      <c r="AH30" s="242"/>
    </row>
    <row r="31">
      <c r="A31" s="242"/>
      <c r="B31" s="242"/>
      <c r="C31" s="242"/>
      <c r="D31" s="242"/>
      <c r="E31" s="242"/>
      <c r="F31" s="242"/>
      <c r="G31" s="242"/>
      <c r="H31" s="242"/>
      <c r="I31" s="242"/>
      <c r="J31" s="242"/>
      <c r="K31" s="242"/>
      <c r="L31" s="242"/>
      <c r="M31" s="242"/>
      <c r="N31" s="242"/>
      <c r="O31" s="242"/>
      <c r="P31" s="242"/>
      <c r="Q31" s="242"/>
      <c r="R31" s="242"/>
      <c r="S31" s="242"/>
      <c r="T31" s="242"/>
      <c r="U31" s="242"/>
      <c r="V31" s="242"/>
      <c r="W31" s="242"/>
      <c r="X31" s="242"/>
      <c r="Y31" s="242"/>
      <c r="Z31" s="242"/>
      <c r="AA31" s="242"/>
      <c r="AB31" s="242"/>
      <c r="AC31" s="242"/>
      <c r="AD31" s="242"/>
      <c r="AE31" s="242"/>
      <c r="AF31" s="242"/>
      <c r="AG31" s="242"/>
      <c r="AH31" s="242"/>
    </row>
    <row r="32">
      <c r="A32" s="242"/>
      <c r="B32" s="242"/>
      <c r="C32" s="242"/>
      <c r="D32" s="242"/>
      <c r="E32" s="242"/>
      <c r="F32" s="242"/>
      <c r="G32" s="242"/>
      <c r="H32" s="242"/>
      <c r="I32" s="242"/>
      <c r="J32" s="242"/>
      <c r="K32" s="242"/>
      <c r="L32" s="242"/>
      <c r="M32" s="242"/>
      <c r="N32" s="242"/>
      <c r="O32" s="242"/>
      <c r="P32" s="242"/>
      <c r="Q32" s="242"/>
      <c r="R32" s="242"/>
      <c r="S32" s="242"/>
      <c r="T32" s="242"/>
      <c r="U32" s="242"/>
      <c r="V32" s="242"/>
      <c r="W32" s="242"/>
      <c r="X32" s="242"/>
      <c r="Y32" s="242"/>
      <c r="Z32" s="242"/>
      <c r="AA32" s="242"/>
      <c r="AB32" s="242"/>
      <c r="AC32" s="242"/>
      <c r="AD32" s="242"/>
      <c r="AE32" s="242"/>
      <c r="AF32" s="242"/>
      <c r="AG32" s="242"/>
      <c r="AH32" s="242"/>
    </row>
    <row r="33">
      <c r="A33" s="242"/>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c r="AD33" s="242"/>
      <c r="AE33" s="242"/>
      <c r="AF33" s="242"/>
      <c r="AG33" s="242"/>
      <c r="AH33" s="242"/>
    </row>
    <row r="34">
      <c r="A34" s="242"/>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c r="AA34" s="242"/>
      <c r="AB34" s="242"/>
      <c r="AC34" s="242"/>
      <c r="AD34" s="242"/>
      <c r="AE34" s="242"/>
      <c r="AF34" s="242"/>
      <c r="AG34" s="242"/>
      <c r="AH34" s="242"/>
    </row>
    <row r="35">
      <c r="A35" s="242"/>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c r="AA35" s="242"/>
      <c r="AB35" s="242"/>
      <c r="AC35" s="242"/>
      <c r="AD35" s="242"/>
      <c r="AE35" s="242"/>
      <c r="AF35" s="242"/>
      <c r="AG35" s="242"/>
      <c r="AH35" s="242"/>
    </row>
    <row r="36">
      <c r="A36" s="242"/>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c r="AA36" s="242"/>
      <c r="AB36" s="242"/>
      <c r="AC36" s="242"/>
      <c r="AD36" s="242"/>
      <c r="AE36" s="242"/>
      <c r="AF36" s="242"/>
      <c r="AG36" s="242"/>
      <c r="AH36" s="242"/>
    </row>
    <row r="37">
      <c r="A37" s="242"/>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c r="AA37" s="242"/>
      <c r="AB37" s="242"/>
      <c r="AC37" s="242"/>
      <c r="AD37" s="242"/>
      <c r="AE37" s="242"/>
      <c r="AF37" s="242"/>
      <c r="AG37" s="242"/>
      <c r="AH37" s="242"/>
    </row>
    <row r="38">
      <c r="A38" s="242"/>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c r="AA38" s="242"/>
      <c r="AB38" s="242"/>
      <c r="AC38" s="242"/>
      <c r="AD38" s="242"/>
      <c r="AE38" s="242"/>
      <c r="AF38" s="242"/>
      <c r="AG38" s="242"/>
      <c r="AH38" s="242"/>
    </row>
    <row r="39">
      <c r="A39" s="242"/>
      <c r="B39" s="242"/>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c r="AA39" s="242"/>
      <c r="AB39" s="242"/>
      <c r="AC39" s="242"/>
      <c r="AD39" s="242"/>
      <c r="AE39" s="242"/>
      <c r="AF39" s="242"/>
      <c r="AG39" s="242"/>
      <c r="AH39" s="242"/>
    </row>
    <row r="40">
      <c r="A40" s="242"/>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c r="Z40" s="242"/>
      <c r="AA40" s="242"/>
      <c r="AB40" s="242"/>
      <c r="AC40" s="242"/>
      <c r="AD40" s="242"/>
      <c r="AE40" s="242"/>
      <c r="AF40" s="242"/>
      <c r="AG40" s="242"/>
      <c r="AH40" s="242"/>
    </row>
    <row r="41">
      <c r="A41" s="242"/>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c r="Z41" s="242"/>
      <c r="AA41" s="242"/>
      <c r="AB41" s="242"/>
      <c r="AC41" s="242"/>
      <c r="AD41" s="242"/>
      <c r="AE41" s="242"/>
      <c r="AF41" s="242"/>
      <c r="AG41" s="242"/>
      <c r="AH41" s="242"/>
    </row>
    <row r="42">
      <c r="A42" s="242"/>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c r="AA42" s="242"/>
      <c r="AB42" s="242"/>
      <c r="AC42" s="242"/>
      <c r="AD42" s="242"/>
      <c r="AE42" s="242"/>
      <c r="AF42" s="242"/>
      <c r="AG42" s="242"/>
      <c r="AH42" s="242"/>
    </row>
    <row r="43">
      <c r="A43" s="242"/>
      <c r="B43" s="242"/>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c r="AA43" s="242"/>
      <c r="AB43" s="242"/>
      <c r="AC43" s="242"/>
      <c r="AD43" s="242"/>
      <c r="AE43" s="242"/>
      <c r="AF43" s="242"/>
      <c r="AG43" s="242"/>
      <c r="AH43" s="242"/>
    </row>
    <row r="44">
      <c r="A44" s="242"/>
      <c r="B44" s="242"/>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c r="AA44" s="242"/>
      <c r="AB44" s="242"/>
      <c r="AC44" s="242"/>
      <c r="AD44" s="242"/>
      <c r="AE44" s="242"/>
      <c r="AF44" s="242"/>
      <c r="AG44" s="242"/>
      <c r="AH44" s="242"/>
    </row>
    <row r="45">
      <c r="A45" s="242"/>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c r="AA45" s="242"/>
      <c r="AB45" s="242"/>
      <c r="AC45" s="242"/>
      <c r="AD45" s="242"/>
      <c r="AE45" s="242"/>
      <c r="AF45" s="242"/>
      <c r="AG45" s="242"/>
      <c r="AH45" s="242"/>
    </row>
    <row r="46">
      <c r="A46" s="242"/>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c r="Z46" s="242"/>
      <c r="AA46" s="242"/>
      <c r="AB46" s="242"/>
      <c r="AC46" s="242"/>
      <c r="AD46" s="242"/>
      <c r="AE46" s="242"/>
      <c r="AF46" s="242"/>
      <c r="AG46" s="242"/>
      <c r="AH46" s="242"/>
    </row>
    <row r="47">
      <c r="A47" s="242"/>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c r="AA47" s="242"/>
      <c r="AB47" s="242"/>
      <c r="AC47" s="242"/>
      <c r="AD47" s="242"/>
      <c r="AE47" s="242"/>
      <c r="AF47" s="242"/>
      <c r="AG47" s="242"/>
      <c r="AH47" s="242"/>
    </row>
    <row r="48">
      <c r="A48" s="242"/>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row>
    <row r="49">
      <c r="A49" s="242"/>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c r="AA49" s="242"/>
      <c r="AB49" s="242"/>
      <c r="AC49" s="242"/>
      <c r="AD49" s="242"/>
      <c r="AE49" s="242"/>
      <c r="AF49" s="242"/>
      <c r="AG49" s="242"/>
      <c r="AH49" s="242"/>
    </row>
    <row r="50">
      <c r="A50" s="242"/>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c r="AA50" s="242"/>
      <c r="AB50" s="242"/>
      <c r="AC50" s="242"/>
      <c r="AD50" s="242"/>
      <c r="AE50" s="242"/>
      <c r="AF50" s="242"/>
      <c r="AG50" s="242"/>
      <c r="AH50" s="242"/>
    </row>
    <row r="51">
      <c r="A51" s="242"/>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c r="Z51" s="242"/>
      <c r="AA51" s="242"/>
      <c r="AB51" s="242"/>
      <c r="AC51" s="242"/>
      <c r="AD51" s="242"/>
      <c r="AE51" s="242"/>
      <c r="AF51" s="242"/>
      <c r="AG51" s="242"/>
      <c r="AH51" s="242"/>
    </row>
    <row r="52">
      <c r="A52" s="242"/>
      <c r="B52" s="242"/>
      <c r="C52" s="242"/>
      <c r="D52" s="242"/>
      <c r="E52" s="242"/>
      <c r="F52" s="242"/>
      <c r="G52" s="242"/>
      <c r="H52" s="242"/>
      <c r="I52" s="242"/>
      <c r="J52" s="242"/>
      <c r="K52" s="242"/>
      <c r="L52" s="242"/>
      <c r="M52" s="242"/>
      <c r="N52" s="242"/>
      <c r="O52" s="242"/>
      <c r="P52" s="242"/>
      <c r="Q52" s="242"/>
      <c r="R52" s="242"/>
      <c r="S52" s="242"/>
      <c r="T52" s="242"/>
      <c r="U52" s="242"/>
      <c r="V52" s="242"/>
      <c r="W52" s="242"/>
      <c r="X52" s="242"/>
      <c r="Y52" s="242"/>
      <c r="Z52" s="242"/>
      <c r="AA52" s="242"/>
      <c r="AB52" s="242"/>
      <c r="AC52" s="242"/>
      <c r="AD52" s="242"/>
      <c r="AE52" s="242"/>
      <c r="AF52" s="242"/>
      <c r="AG52" s="242"/>
      <c r="AH52" s="242"/>
    </row>
    <row r="53">
      <c r="A53" s="242"/>
      <c r="B53" s="242"/>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c r="AA53" s="242"/>
      <c r="AB53" s="242"/>
      <c r="AC53" s="242"/>
      <c r="AD53" s="242"/>
      <c r="AE53" s="242"/>
      <c r="AF53" s="242"/>
      <c r="AG53" s="242"/>
      <c r="AH53" s="242"/>
    </row>
    <row r="54">
      <c r="A54" s="242"/>
      <c r="B54" s="242"/>
      <c r="C54" s="242"/>
      <c r="D54" s="242"/>
      <c r="E54" s="242"/>
      <c r="F54" s="242"/>
      <c r="G54" s="242"/>
      <c r="H54" s="242"/>
      <c r="I54" s="242"/>
      <c r="J54" s="242"/>
      <c r="K54" s="242"/>
      <c r="L54" s="242"/>
      <c r="M54" s="242"/>
      <c r="N54" s="242"/>
      <c r="O54" s="242"/>
      <c r="P54" s="242"/>
      <c r="Q54" s="242"/>
      <c r="R54" s="242"/>
      <c r="S54" s="242"/>
      <c r="T54" s="242"/>
      <c r="U54" s="242"/>
      <c r="V54" s="242"/>
      <c r="W54" s="242"/>
      <c r="X54" s="242"/>
      <c r="Y54" s="242"/>
      <c r="Z54" s="242"/>
      <c r="AA54" s="242"/>
      <c r="AB54" s="242"/>
      <c r="AC54" s="242"/>
      <c r="AD54" s="242"/>
      <c r="AE54" s="242"/>
      <c r="AF54" s="242"/>
      <c r="AG54" s="242"/>
      <c r="AH54" s="242"/>
    </row>
    <row r="55">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c r="AA55" s="242"/>
      <c r="AB55" s="242"/>
      <c r="AC55" s="242"/>
      <c r="AD55" s="242"/>
      <c r="AE55" s="242"/>
      <c r="AF55" s="242"/>
      <c r="AG55" s="242"/>
      <c r="AH55" s="242"/>
    </row>
    <row r="56">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c r="AA56" s="242"/>
      <c r="AB56" s="242"/>
      <c r="AC56" s="242"/>
      <c r="AD56" s="242"/>
      <c r="AE56" s="242"/>
      <c r="AF56" s="242"/>
      <c r="AG56" s="242"/>
      <c r="AH56" s="242"/>
    </row>
    <row r="57">
      <c r="A57" s="242"/>
      <c r="B57" s="242"/>
      <c r="C57" s="242"/>
      <c r="D57" s="242"/>
      <c r="E57" s="242"/>
      <c r="F57" s="242"/>
      <c r="G57" s="242"/>
      <c r="H57" s="242"/>
      <c r="I57" s="242"/>
      <c r="J57" s="242"/>
      <c r="K57" s="242"/>
      <c r="L57" s="242"/>
      <c r="M57" s="242"/>
      <c r="N57" s="242"/>
      <c r="O57" s="242"/>
      <c r="P57" s="242"/>
      <c r="Q57" s="242"/>
      <c r="R57" s="242"/>
      <c r="S57" s="242"/>
      <c r="T57" s="242"/>
      <c r="U57" s="242"/>
      <c r="V57" s="242"/>
      <c r="W57" s="242"/>
      <c r="X57" s="242"/>
      <c r="Y57" s="242"/>
      <c r="Z57" s="242"/>
      <c r="AA57" s="242"/>
      <c r="AB57" s="242"/>
      <c r="AC57" s="242"/>
      <c r="AD57" s="242"/>
      <c r="AE57" s="242"/>
      <c r="AF57" s="242"/>
      <c r="AG57" s="242"/>
      <c r="AH57" s="242"/>
    </row>
    <row r="58">
      <c r="A58" s="242"/>
      <c r="B58" s="242"/>
      <c r="C58" s="242"/>
      <c r="D58" s="242"/>
      <c r="E58" s="242"/>
      <c r="F58" s="242"/>
      <c r="G58" s="242"/>
      <c r="H58" s="242"/>
      <c r="I58" s="242"/>
      <c r="J58" s="242"/>
      <c r="K58" s="242"/>
      <c r="L58" s="242"/>
      <c r="M58" s="242"/>
      <c r="N58" s="242"/>
      <c r="O58" s="242"/>
      <c r="P58" s="242"/>
      <c r="Q58" s="242"/>
      <c r="R58" s="242"/>
      <c r="S58" s="242"/>
      <c r="T58" s="242"/>
      <c r="U58" s="242"/>
      <c r="V58" s="242"/>
      <c r="W58" s="242"/>
      <c r="X58" s="242"/>
      <c r="Y58" s="242"/>
      <c r="Z58" s="242"/>
      <c r="AA58" s="242"/>
      <c r="AB58" s="242"/>
      <c r="AC58" s="242"/>
      <c r="AD58" s="242"/>
      <c r="AE58" s="242"/>
      <c r="AF58" s="242"/>
      <c r="AG58" s="242"/>
      <c r="AH58" s="242"/>
    </row>
    <row r="59">
      <c r="A59" s="242"/>
      <c r="B59" s="242"/>
      <c r="C59" s="242"/>
      <c r="D59" s="242"/>
      <c r="E59" s="242"/>
      <c r="F59" s="242"/>
      <c r="G59" s="242"/>
      <c r="H59" s="242"/>
      <c r="I59" s="242"/>
      <c r="J59" s="242"/>
      <c r="K59" s="242"/>
      <c r="L59" s="242"/>
      <c r="M59" s="242"/>
      <c r="N59" s="242"/>
      <c r="O59" s="242"/>
      <c r="P59" s="242"/>
      <c r="Q59" s="242"/>
      <c r="R59" s="242"/>
      <c r="S59" s="242"/>
      <c r="T59" s="242"/>
      <c r="U59" s="242"/>
      <c r="V59" s="242"/>
      <c r="W59" s="242"/>
      <c r="X59" s="242"/>
      <c r="Y59" s="242"/>
      <c r="Z59" s="242"/>
      <c r="AA59" s="242"/>
      <c r="AB59" s="242"/>
      <c r="AC59" s="242"/>
      <c r="AD59" s="242"/>
      <c r="AE59" s="242"/>
      <c r="AF59" s="242"/>
      <c r="AG59" s="242"/>
      <c r="AH59" s="242"/>
    </row>
    <row r="60">
      <c r="A60" s="242"/>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c r="AA60" s="242"/>
      <c r="AB60" s="242"/>
      <c r="AC60" s="242"/>
      <c r="AD60" s="242"/>
      <c r="AE60" s="242"/>
      <c r="AF60" s="242"/>
      <c r="AG60" s="242"/>
      <c r="AH60" s="242"/>
    </row>
    <row r="61">
      <c r="A61" s="242"/>
      <c r="B61" s="242"/>
      <c r="C61" s="242"/>
      <c r="D61" s="242"/>
      <c r="E61" s="242"/>
      <c r="F61" s="242"/>
      <c r="G61" s="242"/>
      <c r="H61" s="242"/>
      <c r="I61" s="242"/>
      <c r="J61" s="242"/>
      <c r="K61" s="242"/>
      <c r="L61" s="242"/>
      <c r="M61" s="242"/>
      <c r="N61" s="242"/>
      <c r="O61" s="242"/>
      <c r="P61" s="242"/>
      <c r="Q61" s="242"/>
      <c r="R61" s="242"/>
      <c r="S61" s="242"/>
      <c r="T61" s="242"/>
      <c r="U61" s="242"/>
      <c r="V61" s="242"/>
      <c r="W61" s="242"/>
      <c r="X61" s="242"/>
      <c r="Y61" s="242"/>
      <c r="Z61" s="242"/>
      <c r="AA61" s="242"/>
      <c r="AB61" s="242"/>
      <c r="AC61" s="242"/>
      <c r="AD61" s="242"/>
      <c r="AE61" s="242"/>
      <c r="AF61" s="242"/>
      <c r="AG61" s="242"/>
      <c r="AH61" s="242"/>
    </row>
    <row r="62">
      <c r="A62" s="242"/>
      <c r="B62" s="242"/>
      <c r="C62" s="242"/>
      <c r="D62" s="242"/>
      <c r="E62" s="242"/>
      <c r="F62" s="242"/>
      <c r="G62" s="242"/>
      <c r="H62" s="242"/>
      <c r="I62" s="242"/>
      <c r="J62" s="242"/>
      <c r="K62" s="242"/>
      <c r="L62" s="242"/>
      <c r="M62" s="242"/>
      <c r="N62" s="242"/>
      <c r="O62" s="242"/>
      <c r="P62" s="242"/>
      <c r="Q62" s="242"/>
      <c r="R62" s="242"/>
      <c r="S62" s="242"/>
      <c r="T62" s="242"/>
      <c r="U62" s="242"/>
      <c r="V62" s="242"/>
      <c r="W62" s="242"/>
      <c r="X62" s="242"/>
      <c r="Y62" s="242"/>
      <c r="Z62" s="242"/>
      <c r="AA62" s="242"/>
      <c r="AB62" s="242"/>
      <c r="AC62" s="242"/>
      <c r="AD62" s="242"/>
      <c r="AE62" s="242"/>
      <c r="AF62" s="242"/>
      <c r="AG62" s="242"/>
      <c r="AH62" s="242"/>
    </row>
    <row r="63">
      <c r="A63" s="242"/>
      <c r="B63" s="242"/>
      <c r="C63" s="242"/>
      <c r="D63" s="242"/>
      <c r="E63" s="242"/>
      <c r="F63" s="242"/>
      <c r="G63" s="242"/>
      <c r="H63" s="242"/>
      <c r="I63" s="242"/>
      <c r="J63" s="242"/>
      <c r="K63" s="242"/>
      <c r="L63" s="242"/>
      <c r="M63" s="242"/>
      <c r="N63" s="242"/>
      <c r="O63" s="242"/>
      <c r="P63" s="242"/>
      <c r="Q63" s="242"/>
      <c r="R63" s="242"/>
      <c r="S63" s="242"/>
      <c r="T63" s="242"/>
      <c r="U63" s="242"/>
      <c r="V63" s="242"/>
      <c r="W63" s="242"/>
      <c r="X63" s="242"/>
      <c r="Y63" s="242"/>
      <c r="Z63" s="242"/>
      <c r="AA63" s="242"/>
      <c r="AB63" s="242"/>
      <c r="AC63" s="242"/>
      <c r="AD63" s="242"/>
      <c r="AE63" s="242"/>
      <c r="AF63" s="242"/>
      <c r="AG63" s="242"/>
      <c r="AH63" s="242"/>
    </row>
    <row r="64">
      <c r="A64" s="242"/>
      <c r="B64" s="242"/>
      <c r="C64" s="242"/>
      <c r="D64" s="242"/>
      <c r="E64" s="242"/>
      <c r="F64" s="242"/>
      <c r="G64" s="242"/>
      <c r="H64" s="242"/>
      <c r="I64" s="242"/>
      <c r="J64" s="242"/>
      <c r="K64" s="242"/>
      <c r="L64" s="242"/>
      <c r="M64" s="242"/>
      <c r="N64" s="242"/>
      <c r="O64" s="242"/>
      <c r="P64" s="242"/>
      <c r="Q64" s="242"/>
      <c r="R64" s="242"/>
      <c r="S64" s="242"/>
      <c r="T64" s="242"/>
      <c r="U64" s="242"/>
      <c r="V64" s="242"/>
      <c r="W64" s="242"/>
      <c r="X64" s="242"/>
      <c r="Y64" s="242"/>
      <c r="Z64" s="242"/>
      <c r="AA64" s="242"/>
      <c r="AB64" s="242"/>
      <c r="AC64" s="242"/>
      <c r="AD64" s="242"/>
      <c r="AE64" s="242"/>
      <c r="AF64" s="242"/>
      <c r="AG64" s="242"/>
      <c r="AH64" s="242"/>
    </row>
    <row r="65">
      <c r="A65" s="242"/>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c r="AA65" s="242"/>
      <c r="AB65" s="242"/>
      <c r="AC65" s="242"/>
      <c r="AD65" s="242"/>
      <c r="AE65" s="242"/>
      <c r="AF65" s="242"/>
      <c r="AG65" s="242"/>
      <c r="AH65" s="242"/>
    </row>
    <row r="66">
      <c r="A66" s="242"/>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c r="AA66" s="242"/>
      <c r="AB66" s="242"/>
      <c r="AC66" s="242"/>
      <c r="AD66" s="242"/>
      <c r="AE66" s="242"/>
      <c r="AF66" s="242"/>
      <c r="AG66" s="242"/>
      <c r="AH66" s="242"/>
    </row>
    <row r="67">
      <c r="A67" s="242"/>
      <c r="B67" s="242"/>
      <c r="C67" s="242"/>
      <c r="D67" s="242"/>
      <c r="E67" s="242"/>
      <c r="F67" s="242"/>
      <c r="G67" s="242"/>
      <c r="H67" s="242"/>
      <c r="I67" s="242"/>
      <c r="J67" s="242"/>
      <c r="K67" s="242"/>
      <c r="L67" s="242"/>
      <c r="M67" s="242"/>
      <c r="N67" s="242"/>
      <c r="O67" s="242"/>
      <c r="P67" s="242"/>
      <c r="Q67" s="242"/>
      <c r="R67" s="242"/>
      <c r="S67" s="242"/>
      <c r="T67" s="242"/>
      <c r="U67" s="242"/>
      <c r="V67" s="242"/>
      <c r="W67" s="242"/>
      <c r="X67" s="242"/>
      <c r="Y67" s="242"/>
      <c r="Z67" s="242"/>
      <c r="AA67" s="242"/>
      <c r="AB67" s="242"/>
      <c r="AC67" s="242"/>
      <c r="AD67" s="242"/>
      <c r="AE67" s="242"/>
      <c r="AF67" s="242"/>
      <c r="AG67" s="242"/>
      <c r="AH67" s="242"/>
    </row>
    <row r="68">
      <c r="A68" s="242"/>
      <c r="B68" s="242"/>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c r="AA68" s="242"/>
      <c r="AB68" s="242"/>
      <c r="AC68" s="242"/>
      <c r="AD68" s="242"/>
      <c r="AE68" s="242"/>
      <c r="AF68" s="242"/>
      <c r="AG68" s="242"/>
      <c r="AH68" s="242"/>
    </row>
    <row r="69">
      <c r="A69" s="242"/>
      <c r="B69" s="242"/>
      <c r="C69" s="242"/>
      <c r="D69" s="242"/>
      <c r="E69" s="242"/>
      <c r="F69" s="242"/>
      <c r="G69" s="242"/>
      <c r="H69" s="242"/>
      <c r="I69" s="242"/>
      <c r="J69" s="242"/>
      <c r="K69" s="242"/>
      <c r="L69" s="242"/>
      <c r="M69" s="242"/>
      <c r="N69" s="242"/>
      <c r="O69" s="242"/>
      <c r="P69" s="242"/>
      <c r="Q69" s="242"/>
      <c r="R69" s="242"/>
      <c r="S69" s="242"/>
      <c r="T69" s="242"/>
      <c r="U69" s="242"/>
      <c r="V69" s="242"/>
      <c r="W69" s="242"/>
      <c r="X69" s="242"/>
      <c r="Y69" s="242"/>
      <c r="Z69" s="242"/>
      <c r="AA69" s="242"/>
      <c r="AB69" s="242"/>
      <c r="AC69" s="242"/>
      <c r="AD69" s="242"/>
      <c r="AE69" s="242"/>
      <c r="AF69" s="242"/>
      <c r="AG69" s="242"/>
      <c r="AH69" s="242"/>
    </row>
    <row r="70">
      <c r="A70" s="242"/>
      <c r="B70" s="242"/>
      <c r="C70" s="242"/>
      <c r="D70" s="242"/>
      <c r="E70" s="242"/>
      <c r="F70" s="242"/>
      <c r="G70" s="242"/>
      <c r="H70" s="242"/>
      <c r="I70" s="242"/>
      <c r="J70" s="242"/>
      <c r="K70" s="242"/>
      <c r="L70" s="242"/>
      <c r="M70" s="242"/>
      <c r="N70" s="242"/>
      <c r="O70" s="242"/>
      <c r="P70" s="242"/>
      <c r="Q70" s="242"/>
      <c r="R70" s="242"/>
      <c r="S70" s="242"/>
      <c r="T70" s="242"/>
      <c r="U70" s="242"/>
      <c r="V70" s="242"/>
      <c r="W70" s="242"/>
      <c r="X70" s="242"/>
      <c r="Y70" s="242"/>
      <c r="Z70" s="242"/>
      <c r="AA70" s="242"/>
      <c r="AB70" s="242"/>
      <c r="AC70" s="242"/>
      <c r="AD70" s="242"/>
      <c r="AE70" s="242"/>
      <c r="AF70" s="242"/>
      <c r="AG70" s="242"/>
      <c r="AH70" s="242"/>
    </row>
    <row r="71">
      <c r="A71" s="242"/>
      <c r="B71" s="242"/>
      <c r="C71" s="242"/>
      <c r="D71" s="242"/>
      <c r="E71" s="242"/>
      <c r="F71" s="242"/>
      <c r="G71" s="242"/>
      <c r="H71" s="242"/>
      <c r="I71" s="242"/>
      <c r="J71" s="242"/>
      <c r="K71" s="242"/>
      <c r="L71" s="242"/>
      <c r="M71" s="242"/>
      <c r="N71" s="242"/>
      <c r="O71" s="242"/>
      <c r="P71" s="242"/>
      <c r="Q71" s="242"/>
      <c r="R71" s="242"/>
      <c r="S71" s="242"/>
      <c r="T71" s="242"/>
      <c r="U71" s="242"/>
      <c r="V71" s="242"/>
      <c r="W71" s="242"/>
      <c r="X71" s="242"/>
      <c r="Y71" s="242"/>
      <c r="Z71" s="242"/>
      <c r="AA71" s="242"/>
      <c r="AB71" s="242"/>
      <c r="AC71" s="242"/>
      <c r="AD71" s="242"/>
      <c r="AE71" s="242"/>
      <c r="AF71" s="242"/>
      <c r="AG71" s="242"/>
      <c r="AH71" s="242"/>
    </row>
    <row r="72">
      <c r="A72" s="242"/>
      <c r="B72" s="242"/>
      <c r="C72" s="242"/>
      <c r="D72" s="242"/>
      <c r="E72" s="242"/>
      <c r="F72" s="242"/>
      <c r="G72" s="242"/>
      <c r="H72" s="242"/>
      <c r="I72" s="242"/>
      <c r="J72" s="242"/>
      <c r="K72" s="242"/>
      <c r="L72" s="242"/>
      <c r="M72" s="242"/>
      <c r="N72" s="242"/>
      <c r="O72" s="242"/>
      <c r="P72" s="242"/>
      <c r="Q72" s="242"/>
      <c r="R72" s="242"/>
      <c r="S72" s="242"/>
      <c r="T72" s="242"/>
      <c r="U72" s="242"/>
      <c r="V72" s="242"/>
      <c r="W72" s="242"/>
      <c r="X72" s="242"/>
      <c r="Y72" s="242"/>
      <c r="Z72" s="242"/>
      <c r="AA72" s="242"/>
      <c r="AB72" s="242"/>
      <c r="AC72" s="242"/>
      <c r="AD72" s="242"/>
      <c r="AE72" s="242"/>
      <c r="AF72" s="242"/>
      <c r="AG72" s="242"/>
      <c r="AH72" s="242"/>
    </row>
    <row r="73">
      <c r="A73" s="242"/>
      <c r="B73" s="242"/>
      <c r="C73" s="242"/>
      <c r="D73" s="242"/>
      <c r="E73" s="242"/>
      <c r="F73" s="242"/>
      <c r="G73" s="242"/>
      <c r="H73" s="242"/>
      <c r="I73" s="242"/>
      <c r="J73" s="242"/>
      <c r="K73" s="242"/>
      <c r="L73" s="242"/>
      <c r="M73" s="242"/>
      <c r="N73" s="242"/>
      <c r="O73" s="242"/>
      <c r="P73" s="242"/>
      <c r="Q73" s="242"/>
      <c r="R73" s="242"/>
      <c r="S73" s="242"/>
      <c r="T73" s="242"/>
      <c r="U73" s="242"/>
      <c r="V73" s="242"/>
      <c r="W73" s="242"/>
      <c r="X73" s="242"/>
      <c r="Y73" s="242"/>
      <c r="Z73" s="242"/>
      <c r="AA73" s="242"/>
      <c r="AB73" s="242"/>
      <c r="AC73" s="242"/>
      <c r="AD73" s="242"/>
      <c r="AE73" s="242"/>
      <c r="AF73" s="242"/>
      <c r="AG73" s="242"/>
      <c r="AH73" s="242"/>
    </row>
    <row r="74">
      <c r="A74" s="242"/>
      <c r="B74" s="242"/>
      <c r="C74" s="242"/>
      <c r="D74" s="242"/>
      <c r="E74" s="242"/>
      <c r="F74" s="242"/>
      <c r="G74" s="242"/>
      <c r="H74" s="242"/>
      <c r="I74" s="242"/>
      <c r="J74" s="242"/>
      <c r="K74" s="242"/>
      <c r="L74" s="242"/>
      <c r="M74" s="242"/>
      <c r="N74" s="242"/>
      <c r="O74" s="242"/>
      <c r="P74" s="242"/>
      <c r="Q74" s="242"/>
      <c r="R74" s="242"/>
      <c r="S74" s="242"/>
      <c r="T74" s="242"/>
      <c r="U74" s="242"/>
      <c r="V74" s="242"/>
      <c r="W74" s="242"/>
      <c r="X74" s="242"/>
      <c r="Y74" s="242"/>
      <c r="Z74" s="242"/>
      <c r="AA74" s="242"/>
      <c r="AB74" s="242"/>
      <c r="AC74" s="242"/>
      <c r="AD74" s="242"/>
      <c r="AE74" s="242"/>
      <c r="AF74" s="242"/>
      <c r="AG74" s="242"/>
      <c r="AH74" s="242"/>
    </row>
    <row r="75">
      <c r="A75" s="242"/>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c r="AA75" s="242"/>
      <c r="AB75" s="242"/>
      <c r="AC75" s="242"/>
      <c r="AD75" s="242"/>
      <c r="AE75" s="242"/>
      <c r="AF75" s="242"/>
      <c r="AG75" s="242"/>
      <c r="AH75" s="242"/>
    </row>
    <row r="76">
      <c r="A76" s="242"/>
      <c r="B76" s="242"/>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c r="AA76" s="242"/>
      <c r="AB76" s="242"/>
      <c r="AC76" s="242"/>
      <c r="AD76" s="242"/>
      <c r="AE76" s="242"/>
      <c r="AF76" s="242"/>
      <c r="AG76" s="242"/>
      <c r="AH76" s="242"/>
    </row>
    <row r="77">
      <c r="A77" s="242"/>
      <c r="B77" s="242"/>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c r="AA77" s="242"/>
      <c r="AB77" s="242"/>
      <c r="AC77" s="242"/>
      <c r="AD77" s="242"/>
      <c r="AE77" s="242"/>
      <c r="AF77" s="242"/>
      <c r="AG77" s="242"/>
      <c r="AH77" s="242"/>
    </row>
    <row r="78">
      <c r="A78" s="242"/>
      <c r="B78" s="242"/>
      <c r="C78" s="242"/>
      <c r="D78" s="242"/>
      <c r="E78" s="242"/>
      <c r="F78" s="242"/>
      <c r="G78" s="242"/>
      <c r="H78" s="242"/>
      <c r="I78" s="242"/>
      <c r="J78" s="242"/>
      <c r="K78" s="242"/>
      <c r="L78" s="242"/>
      <c r="M78" s="242"/>
      <c r="N78" s="242"/>
      <c r="O78" s="242"/>
      <c r="P78" s="242"/>
      <c r="Q78" s="242"/>
      <c r="R78" s="242"/>
      <c r="S78" s="242"/>
      <c r="T78" s="242"/>
      <c r="U78" s="242"/>
      <c r="V78" s="242"/>
      <c r="W78" s="242"/>
      <c r="X78" s="242"/>
      <c r="Y78" s="242"/>
      <c r="Z78" s="242"/>
      <c r="AA78" s="242"/>
      <c r="AB78" s="242"/>
      <c r="AC78" s="242"/>
      <c r="AD78" s="242"/>
      <c r="AE78" s="242"/>
      <c r="AF78" s="242"/>
      <c r="AG78" s="242"/>
      <c r="AH78" s="242"/>
    </row>
    <row r="79">
      <c r="A79" s="242"/>
      <c r="B79" s="242"/>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c r="AA79" s="242"/>
      <c r="AB79" s="242"/>
      <c r="AC79" s="242"/>
      <c r="AD79" s="242"/>
      <c r="AE79" s="242"/>
      <c r="AF79" s="242"/>
      <c r="AG79" s="242"/>
      <c r="AH79" s="242"/>
    </row>
    <row r="80">
      <c r="A80" s="242"/>
      <c r="B80" s="242"/>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c r="AA80" s="242"/>
      <c r="AB80" s="242"/>
      <c r="AC80" s="242"/>
      <c r="AD80" s="242"/>
      <c r="AE80" s="242"/>
      <c r="AF80" s="242"/>
      <c r="AG80" s="242"/>
      <c r="AH80" s="242"/>
    </row>
    <row r="81">
      <c r="A81" s="242"/>
      <c r="B81" s="242"/>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c r="AA81" s="242"/>
      <c r="AB81" s="242"/>
      <c r="AC81" s="242"/>
      <c r="AD81" s="242"/>
      <c r="AE81" s="242"/>
      <c r="AF81" s="242"/>
      <c r="AG81" s="242"/>
      <c r="AH81" s="242"/>
    </row>
    <row r="82">
      <c r="A82" s="242"/>
      <c r="B82" s="242"/>
      <c r="C82" s="242"/>
      <c r="D82" s="242"/>
      <c r="E82" s="242"/>
      <c r="F82" s="242"/>
      <c r="G82" s="242"/>
      <c r="H82" s="242"/>
      <c r="I82" s="242"/>
      <c r="J82" s="242"/>
      <c r="K82" s="242"/>
      <c r="L82" s="242"/>
      <c r="M82" s="242"/>
      <c r="N82" s="242"/>
      <c r="O82" s="242"/>
      <c r="P82" s="242"/>
      <c r="Q82" s="242"/>
      <c r="R82" s="242"/>
      <c r="S82" s="242"/>
      <c r="T82" s="242"/>
      <c r="U82" s="242"/>
      <c r="V82" s="242"/>
      <c r="W82" s="242"/>
      <c r="X82" s="242"/>
      <c r="Y82" s="242"/>
      <c r="Z82" s="242"/>
      <c r="AA82" s="242"/>
      <c r="AB82" s="242"/>
      <c r="AC82" s="242"/>
      <c r="AD82" s="242"/>
      <c r="AE82" s="242"/>
      <c r="AF82" s="242"/>
      <c r="AG82" s="242"/>
      <c r="AH82" s="242"/>
    </row>
    <row r="83">
      <c r="A83" s="242"/>
      <c r="B83" s="242"/>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c r="AA83" s="242"/>
      <c r="AB83" s="242"/>
      <c r="AC83" s="242"/>
      <c r="AD83" s="242"/>
      <c r="AE83" s="242"/>
      <c r="AF83" s="242"/>
      <c r="AG83" s="242"/>
      <c r="AH83" s="242"/>
    </row>
    <row r="84">
      <c r="A84" s="242"/>
      <c r="B84" s="242"/>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c r="AA84" s="242"/>
      <c r="AB84" s="242"/>
      <c r="AC84" s="242"/>
      <c r="AD84" s="242"/>
      <c r="AE84" s="242"/>
      <c r="AF84" s="242"/>
      <c r="AG84" s="242"/>
      <c r="AH84" s="242"/>
    </row>
    <row r="85">
      <c r="A85" s="242"/>
      <c r="B85" s="242"/>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c r="AA85" s="242"/>
      <c r="AB85" s="242"/>
      <c r="AC85" s="242"/>
      <c r="AD85" s="242"/>
      <c r="AE85" s="242"/>
      <c r="AF85" s="242"/>
      <c r="AG85" s="242"/>
      <c r="AH85" s="242"/>
    </row>
    <row r="86">
      <c r="A86" s="242"/>
      <c r="B86" s="242"/>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c r="AA86" s="242"/>
      <c r="AB86" s="242"/>
      <c r="AC86" s="242"/>
      <c r="AD86" s="242"/>
      <c r="AE86" s="242"/>
      <c r="AF86" s="242"/>
      <c r="AG86" s="242"/>
      <c r="AH86" s="242"/>
    </row>
    <row r="87">
      <c r="A87" s="242"/>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c r="AA87" s="242"/>
      <c r="AB87" s="242"/>
      <c r="AC87" s="242"/>
      <c r="AD87" s="242"/>
      <c r="AE87" s="242"/>
      <c r="AF87" s="242"/>
      <c r="AG87" s="242"/>
      <c r="AH87" s="242"/>
    </row>
    <row r="88">
      <c r="A88" s="242"/>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c r="AA88" s="242"/>
      <c r="AB88" s="242"/>
      <c r="AC88" s="242"/>
      <c r="AD88" s="242"/>
      <c r="AE88" s="242"/>
      <c r="AF88" s="242"/>
      <c r="AG88" s="242"/>
      <c r="AH88" s="242"/>
    </row>
    <row r="89">
      <c r="A89" s="242"/>
      <c r="B89" s="242"/>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c r="AA89" s="242"/>
      <c r="AB89" s="242"/>
      <c r="AC89" s="242"/>
      <c r="AD89" s="242"/>
      <c r="AE89" s="242"/>
      <c r="AF89" s="242"/>
      <c r="AG89" s="242"/>
      <c r="AH89" s="242"/>
    </row>
    <row r="90">
      <c r="A90" s="242"/>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c r="AA90" s="242"/>
      <c r="AB90" s="242"/>
      <c r="AC90" s="242"/>
      <c r="AD90" s="242"/>
      <c r="AE90" s="242"/>
      <c r="AF90" s="242"/>
      <c r="AG90" s="242"/>
      <c r="AH90" s="242"/>
    </row>
    <row r="91">
      <c r="A91" s="242"/>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42"/>
      <c r="AG91" s="242"/>
      <c r="AH91" s="242"/>
    </row>
    <row r="92">
      <c r="A92" s="242"/>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c r="AA92" s="242"/>
      <c r="AB92" s="242"/>
      <c r="AC92" s="242"/>
      <c r="AD92" s="242"/>
      <c r="AE92" s="242"/>
      <c r="AF92" s="242"/>
      <c r="AG92" s="242"/>
      <c r="AH92" s="242"/>
    </row>
    <row r="93">
      <c r="A93" s="242"/>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c r="AA93" s="242"/>
      <c r="AB93" s="242"/>
      <c r="AC93" s="242"/>
      <c r="AD93" s="242"/>
      <c r="AE93" s="242"/>
      <c r="AF93" s="242"/>
      <c r="AG93" s="242"/>
      <c r="AH93" s="242"/>
    </row>
    <row r="94">
      <c r="A94" s="242"/>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c r="AA94" s="242"/>
      <c r="AB94" s="242"/>
      <c r="AC94" s="242"/>
      <c r="AD94" s="242"/>
      <c r="AE94" s="242"/>
      <c r="AF94" s="242"/>
      <c r="AG94" s="242"/>
      <c r="AH94" s="242"/>
    </row>
    <row r="95">
      <c r="A95" s="242"/>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242"/>
      <c r="AH95" s="242"/>
    </row>
    <row r="96">
      <c r="A96" s="242"/>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c r="AC96" s="242"/>
      <c r="AD96" s="242"/>
      <c r="AE96" s="242"/>
      <c r="AF96" s="242"/>
      <c r="AG96" s="242"/>
      <c r="AH96" s="242"/>
    </row>
    <row r="97">
      <c r="A97" s="242"/>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c r="AA97" s="242"/>
      <c r="AB97" s="242"/>
      <c r="AC97" s="242"/>
      <c r="AD97" s="242"/>
      <c r="AE97" s="242"/>
      <c r="AF97" s="242"/>
      <c r="AG97" s="242"/>
      <c r="AH97" s="242"/>
    </row>
    <row r="98">
      <c r="A98" s="242"/>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c r="AA98" s="242"/>
      <c r="AB98" s="242"/>
      <c r="AC98" s="242"/>
      <c r="AD98" s="242"/>
      <c r="AE98" s="242"/>
      <c r="AF98" s="242"/>
      <c r="AG98" s="242"/>
      <c r="AH98" s="242"/>
    </row>
    <row r="99">
      <c r="A99" s="242"/>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c r="AA99" s="242"/>
      <c r="AB99" s="242"/>
      <c r="AC99" s="242"/>
      <c r="AD99" s="242"/>
      <c r="AE99" s="242"/>
      <c r="AF99" s="242"/>
      <c r="AG99" s="242"/>
      <c r="AH99" s="242"/>
    </row>
    <row r="100">
      <c r="A100" s="242"/>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c r="AA100" s="242"/>
      <c r="AB100" s="242"/>
      <c r="AC100" s="242"/>
      <c r="AD100" s="242"/>
      <c r="AE100" s="242"/>
      <c r="AF100" s="242"/>
      <c r="AG100" s="242"/>
      <c r="AH100" s="242"/>
    </row>
    <row r="101">
      <c r="A101" s="242"/>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c r="AA101" s="242"/>
      <c r="AB101" s="242"/>
      <c r="AC101" s="242"/>
      <c r="AD101" s="242"/>
      <c r="AE101" s="242"/>
      <c r="AF101" s="242"/>
      <c r="AG101" s="242"/>
      <c r="AH101" s="242"/>
    </row>
    <row r="102">
      <c r="A102" s="242"/>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c r="AA102" s="242"/>
      <c r="AB102" s="242"/>
      <c r="AC102" s="242"/>
      <c r="AD102" s="242"/>
      <c r="AE102" s="242"/>
      <c r="AF102" s="242"/>
      <c r="AG102" s="242"/>
      <c r="AH102" s="242"/>
    </row>
    <row r="103">
      <c r="A103" s="242"/>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c r="AA103" s="242"/>
      <c r="AB103" s="242"/>
      <c r="AC103" s="242"/>
      <c r="AD103" s="242"/>
      <c r="AE103" s="242"/>
      <c r="AF103" s="242"/>
      <c r="AG103" s="242"/>
      <c r="AH103" s="242"/>
    </row>
    <row r="104">
      <c r="A104" s="242"/>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c r="AA104" s="242"/>
      <c r="AB104" s="242"/>
      <c r="AC104" s="242"/>
      <c r="AD104" s="242"/>
      <c r="AE104" s="242"/>
      <c r="AF104" s="242"/>
      <c r="AG104" s="242"/>
      <c r="AH104" s="242"/>
    </row>
    <row r="105">
      <c r="A105" s="242"/>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c r="AA105" s="242"/>
      <c r="AB105" s="242"/>
      <c r="AC105" s="242"/>
      <c r="AD105" s="242"/>
      <c r="AE105" s="242"/>
      <c r="AF105" s="242"/>
      <c r="AG105" s="242"/>
      <c r="AH105" s="242"/>
    </row>
    <row r="106">
      <c r="A106" s="242"/>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c r="AA106" s="242"/>
      <c r="AB106" s="242"/>
      <c r="AC106" s="242"/>
      <c r="AD106" s="242"/>
      <c r="AE106" s="242"/>
      <c r="AF106" s="242"/>
      <c r="AG106" s="242"/>
      <c r="AH106" s="242"/>
    </row>
    <row r="107">
      <c r="A107" s="242"/>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c r="AA107" s="242"/>
      <c r="AB107" s="242"/>
      <c r="AC107" s="242"/>
      <c r="AD107" s="242"/>
      <c r="AE107" s="242"/>
      <c r="AF107" s="242"/>
      <c r="AG107" s="242"/>
      <c r="AH107" s="242"/>
    </row>
    <row r="108">
      <c r="A108" s="242"/>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c r="AA108" s="242"/>
      <c r="AB108" s="242"/>
      <c r="AC108" s="242"/>
      <c r="AD108" s="242"/>
      <c r="AE108" s="242"/>
      <c r="AF108" s="242"/>
      <c r="AG108" s="242"/>
      <c r="AH108" s="242"/>
    </row>
    <row r="109">
      <c r="A109" s="242"/>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c r="AA109" s="242"/>
      <c r="AB109" s="242"/>
      <c r="AC109" s="242"/>
      <c r="AD109" s="242"/>
      <c r="AE109" s="242"/>
      <c r="AF109" s="242"/>
      <c r="AG109" s="242"/>
      <c r="AH109" s="242"/>
    </row>
    <row r="110">
      <c r="A110" s="242"/>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c r="AA110" s="242"/>
      <c r="AB110" s="242"/>
      <c r="AC110" s="242"/>
      <c r="AD110" s="242"/>
      <c r="AE110" s="242"/>
      <c r="AF110" s="242"/>
      <c r="AG110" s="242"/>
      <c r="AH110" s="242"/>
    </row>
    <row r="111">
      <c r="A111" s="242"/>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c r="AA111" s="242"/>
      <c r="AB111" s="242"/>
      <c r="AC111" s="242"/>
      <c r="AD111" s="242"/>
      <c r="AE111" s="242"/>
      <c r="AF111" s="242"/>
      <c r="AG111" s="242"/>
      <c r="AH111" s="242"/>
    </row>
    <row r="112">
      <c r="A112" s="242"/>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c r="AA112" s="242"/>
      <c r="AB112" s="242"/>
      <c r="AC112" s="242"/>
      <c r="AD112" s="242"/>
      <c r="AE112" s="242"/>
      <c r="AF112" s="242"/>
      <c r="AG112" s="242"/>
      <c r="AH112" s="242"/>
    </row>
    <row r="113">
      <c r="A113" s="242"/>
      <c r="B113" s="242"/>
      <c r="C113" s="242"/>
      <c r="D113" s="242"/>
      <c r="E113" s="242"/>
      <c r="F113" s="242"/>
      <c r="G113" s="242"/>
      <c r="H113" s="242"/>
      <c r="I113" s="242"/>
      <c r="J113" s="242"/>
      <c r="K113" s="242"/>
      <c r="L113" s="242"/>
      <c r="M113" s="242"/>
      <c r="N113" s="242"/>
      <c r="O113" s="242"/>
      <c r="P113" s="242"/>
      <c r="Q113" s="242"/>
      <c r="R113" s="242"/>
      <c r="S113" s="242"/>
      <c r="T113" s="242"/>
      <c r="U113" s="242"/>
      <c r="V113" s="242"/>
      <c r="W113" s="242"/>
      <c r="X113" s="242"/>
      <c r="Y113" s="242"/>
      <c r="Z113" s="242"/>
      <c r="AA113" s="242"/>
      <c r="AB113" s="242"/>
      <c r="AC113" s="242"/>
      <c r="AD113" s="242"/>
      <c r="AE113" s="242"/>
      <c r="AF113" s="242"/>
      <c r="AG113" s="242"/>
      <c r="AH113" s="242"/>
    </row>
    <row r="114">
      <c r="A114" s="242"/>
      <c r="B114" s="242"/>
      <c r="C114" s="242"/>
      <c r="D114" s="242"/>
      <c r="E114" s="242"/>
      <c r="F114" s="242"/>
      <c r="G114" s="242"/>
      <c r="H114" s="242"/>
      <c r="I114" s="242"/>
      <c r="J114" s="242"/>
      <c r="K114" s="242"/>
      <c r="L114" s="242"/>
      <c r="M114" s="242"/>
      <c r="N114" s="242"/>
      <c r="O114" s="242"/>
      <c r="P114" s="242"/>
      <c r="Q114" s="242"/>
      <c r="R114" s="242"/>
      <c r="S114" s="242"/>
      <c r="T114" s="242"/>
      <c r="U114" s="242"/>
      <c r="V114" s="242"/>
      <c r="W114" s="242"/>
      <c r="X114" s="242"/>
      <c r="Y114" s="242"/>
      <c r="Z114" s="242"/>
      <c r="AA114" s="242"/>
      <c r="AB114" s="242"/>
      <c r="AC114" s="242"/>
      <c r="AD114" s="242"/>
      <c r="AE114" s="242"/>
      <c r="AF114" s="242"/>
      <c r="AG114" s="242"/>
      <c r="AH114" s="242"/>
    </row>
    <row r="115">
      <c r="A115" s="242"/>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c r="AA115" s="242"/>
      <c r="AB115" s="242"/>
      <c r="AC115" s="242"/>
      <c r="AD115" s="242"/>
      <c r="AE115" s="242"/>
      <c r="AF115" s="242"/>
      <c r="AG115" s="242"/>
      <c r="AH115" s="242"/>
    </row>
    <row r="116">
      <c r="A116" s="242"/>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c r="AA116" s="242"/>
      <c r="AB116" s="242"/>
      <c r="AC116" s="242"/>
      <c r="AD116" s="242"/>
      <c r="AE116" s="242"/>
      <c r="AF116" s="242"/>
      <c r="AG116" s="242"/>
      <c r="AH116" s="242"/>
    </row>
    <row r="117">
      <c r="A117" s="242"/>
      <c r="B117" s="242"/>
      <c r="C117" s="242"/>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c r="AA117" s="242"/>
      <c r="AB117" s="242"/>
      <c r="AC117" s="242"/>
      <c r="AD117" s="242"/>
      <c r="AE117" s="242"/>
      <c r="AF117" s="242"/>
      <c r="AG117" s="242"/>
      <c r="AH117" s="242"/>
    </row>
    <row r="118">
      <c r="A118" s="242"/>
      <c r="B118" s="242"/>
      <c r="C118" s="242"/>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c r="AA118" s="242"/>
      <c r="AB118" s="242"/>
      <c r="AC118" s="242"/>
      <c r="AD118" s="242"/>
      <c r="AE118" s="242"/>
      <c r="AF118" s="242"/>
      <c r="AG118" s="242"/>
      <c r="AH118" s="242"/>
    </row>
    <row r="119">
      <c r="A119" s="242"/>
      <c r="B119" s="242"/>
      <c r="C119" s="242"/>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c r="AA119" s="242"/>
      <c r="AB119" s="242"/>
      <c r="AC119" s="242"/>
      <c r="AD119" s="242"/>
      <c r="AE119" s="242"/>
      <c r="AF119" s="242"/>
      <c r="AG119" s="242"/>
      <c r="AH119" s="242"/>
    </row>
    <row r="120">
      <c r="A120" s="242"/>
      <c r="B120" s="242"/>
      <c r="C120" s="242"/>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c r="AA120" s="242"/>
      <c r="AB120" s="242"/>
      <c r="AC120" s="242"/>
      <c r="AD120" s="242"/>
      <c r="AE120" s="242"/>
      <c r="AF120" s="242"/>
      <c r="AG120" s="242"/>
      <c r="AH120" s="242"/>
    </row>
    <row r="121">
      <c r="A121" s="242"/>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c r="AA121" s="242"/>
      <c r="AB121" s="242"/>
      <c r="AC121" s="242"/>
      <c r="AD121" s="242"/>
      <c r="AE121" s="242"/>
      <c r="AF121" s="242"/>
      <c r="AG121" s="242"/>
      <c r="AH121" s="242"/>
    </row>
    <row r="122">
      <c r="A122" s="242"/>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c r="AA122" s="242"/>
      <c r="AB122" s="242"/>
      <c r="AC122" s="242"/>
      <c r="AD122" s="242"/>
      <c r="AE122" s="242"/>
      <c r="AF122" s="242"/>
      <c r="AG122" s="242"/>
      <c r="AH122" s="242"/>
    </row>
    <row r="123">
      <c r="A123" s="242"/>
      <c r="B123" s="242"/>
      <c r="C123" s="242"/>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c r="AA123" s="242"/>
      <c r="AB123" s="242"/>
      <c r="AC123" s="242"/>
      <c r="AD123" s="242"/>
      <c r="AE123" s="242"/>
      <c r="AF123" s="242"/>
      <c r="AG123" s="242"/>
      <c r="AH123" s="242"/>
    </row>
    <row r="124">
      <c r="A124" s="242"/>
      <c r="B124" s="242"/>
      <c r="C124" s="242"/>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c r="AA124" s="242"/>
      <c r="AB124" s="242"/>
      <c r="AC124" s="242"/>
      <c r="AD124" s="242"/>
      <c r="AE124" s="242"/>
      <c r="AF124" s="242"/>
      <c r="AG124" s="242"/>
      <c r="AH124" s="242"/>
    </row>
    <row r="125">
      <c r="A125" s="242"/>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c r="AA125" s="242"/>
      <c r="AB125" s="242"/>
      <c r="AC125" s="242"/>
      <c r="AD125" s="242"/>
      <c r="AE125" s="242"/>
      <c r="AF125" s="242"/>
      <c r="AG125" s="242"/>
      <c r="AH125" s="242"/>
    </row>
    <row r="126">
      <c r="A126" s="242"/>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c r="AA126" s="242"/>
      <c r="AB126" s="242"/>
      <c r="AC126" s="242"/>
      <c r="AD126" s="242"/>
      <c r="AE126" s="242"/>
      <c r="AF126" s="242"/>
      <c r="AG126" s="242"/>
      <c r="AH126" s="242"/>
    </row>
    <row r="127">
      <c r="A127" s="242"/>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c r="AA127" s="242"/>
      <c r="AB127" s="242"/>
      <c r="AC127" s="242"/>
      <c r="AD127" s="242"/>
      <c r="AE127" s="242"/>
      <c r="AF127" s="242"/>
      <c r="AG127" s="242"/>
      <c r="AH127" s="242"/>
    </row>
    <row r="128">
      <c r="A128" s="242"/>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c r="AA128" s="242"/>
      <c r="AB128" s="242"/>
      <c r="AC128" s="242"/>
      <c r="AD128" s="242"/>
      <c r="AE128" s="242"/>
      <c r="AF128" s="242"/>
      <c r="AG128" s="242"/>
      <c r="AH128" s="242"/>
    </row>
    <row r="129">
      <c r="A129" s="242"/>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c r="AA129" s="242"/>
      <c r="AB129" s="242"/>
      <c r="AC129" s="242"/>
      <c r="AD129" s="242"/>
      <c r="AE129" s="242"/>
      <c r="AF129" s="242"/>
      <c r="AG129" s="242"/>
      <c r="AH129" s="242"/>
    </row>
    <row r="130">
      <c r="A130" s="242"/>
      <c r="B130" s="242"/>
      <c r="C130" s="242"/>
      <c r="D130" s="242"/>
      <c r="E130" s="242"/>
      <c r="F130" s="242"/>
      <c r="G130" s="242"/>
      <c r="H130" s="242"/>
      <c r="I130" s="242"/>
      <c r="J130" s="242"/>
      <c r="K130" s="242"/>
      <c r="L130" s="242"/>
      <c r="M130" s="242"/>
      <c r="N130" s="242"/>
      <c r="O130" s="242"/>
      <c r="P130" s="242"/>
      <c r="Q130" s="242"/>
      <c r="R130" s="242"/>
      <c r="S130" s="242"/>
      <c r="T130" s="242"/>
      <c r="U130" s="242"/>
      <c r="V130" s="242"/>
      <c r="W130" s="242"/>
      <c r="X130" s="242"/>
      <c r="Y130" s="242"/>
      <c r="Z130" s="242"/>
      <c r="AA130" s="242"/>
      <c r="AB130" s="242"/>
      <c r="AC130" s="242"/>
      <c r="AD130" s="242"/>
      <c r="AE130" s="242"/>
      <c r="AF130" s="242"/>
      <c r="AG130" s="242"/>
      <c r="AH130" s="242"/>
    </row>
    <row r="131">
      <c r="A131" s="242"/>
      <c r="B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c r="AA131" s="242"/>
      <c r="AB131" s="242"/>
      <c r="AC131" s="242"/>
      <c r="AD131" s="242"/>
      <c r="AE131" s="242"/>
      <c r="AF131" s="242"/>
      <c r="AG131" s="242"/>
      <c r="AH131" s="242"/>
    </row>
    <row r="132">
      <c r="A132" s="242"/>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c r="AA132" s="242"/>
      <c r="AB132" s="242"/>
      <c r="AC132" s="242"/>
      <c r="AD132" s="242"/>
      <c r="AE132" s="242"/>
      <c r="AF132" s="242"/>
      <c r="AG132" s="242"/>
      <c r="AH132" s="242"/>
    </row>
    <row r="133">
      <c r="A133" s="242"/>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c r="AA133" s="242"/>
      <c r="AB133" s="242"/>
      <c r="AC133" s="242"/>
      <c r="AD133" s="242"/>
      <c r="AE133" s="242"/>
      <c r="AF133" s="242"/>
      <c r="AG133" s="242"/>
      <c r="AH133" s="242"/>
    </row>
    <row r="134">
      <c r="A134" s="242"/>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c r="AA134" s="242"/>
      <c r="AB134" s="242"/>
      <c r="AC134" s="242"/>
      <c r="AD134" s="242"/>
      <c r="AE134" s="242"/>
      <c r="AF134" s="242"/>
      <c r="AG134" s="242"/>
      <c r="AH134" s="242"/>
    </row>
    <row r="135">
      <c r="A135" s="242"/>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c r="AA135" s="242"/>
      <c r="AB135" s="242"/>
      <c r="AC135" s="242"/>
      <c r="AD135" s="242"/>
      <c r="AE135" s="242"/>
      <c r="AF135" s="242"/>
      <c r="AG135" s="242"/>
      <c r="AH135" s="242"/>
    </row>
    <row r="136">
      <c r="A136" s="242"/>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c r="AA136" s="242"/>
      <c r="AB136" s="242"/>
      <c r="AC136" s="242"/>
      <c r="AD136" s="242"/>
      <c r="AE136" s="242"/>
      <c r="AF136" s="242"/>
      <c r="AG136" s="242"/>
      <c r="AH136" s="242"/>
    </row>
    <row r="137">
      <c r="A137" s="242"/>
      <c r="B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c r="AA137" s="242"/>
      <c r="AB137" s="242"/>
      <c r="AC137" s="242"/>
      <c r="AD137" s="242"/>
      <c r="AE137" s="242"/>
      <c r="AF137" s="242"/>
      <c r="AG137" s="242"/>
      <c r="AH137" s="242"/>
    </row>
    <row r="138">
      <c r="A138" s="242"/>
      <c r="B138" s="242"/>
      <c r="C138" s="242"/>
      <c r="D138" s="242"/>
      <c r="E138" s="242"/>
      <c r="F138" s="242"/>
      <c r="G138" s="242"/>
      <c r="H138" s="242"/>
      <c r="I138" s="242"/>
      <c r="J138" s="242"/>
      <c r="K138" s="242"/>
      <c r="L138" s="242"/>
      <c r="M138" s="242"/>
      <c r="N138" s="242"/>
      <c r="O138" s="242"/>
      <c r="P138" s="242"/>
      <c r="Q138" s="242"/>
      <c r="R138" s="242"/>
      <c r="S138" s="242"/>
      <c r="T138" s="242"/>
      <c r="U138" s="242"/>
      <c r="V138" s="242"/>
      <c r="W138" s="242"/>
      <c r="X138" s="242"/>
      <c r="Y138" s="242"/>
      <c r="Z138" s="242"/>
      <c r="AA138" s="242"/>
      <c r="AB138" s="242"/>
      <c r="AC138" s="242"/>
      <c r="AD138" s="242"/>
      <c r="AE138" s="242"/>
      <c r="AF138" s="242"/>
      <c r="AG138" s="242"/>
      <c r="AH138" s="242"/>
    </row>
    <row r="139">
      <c r="A139" s="242"/>
      <c r="B139" s="242"/>
      <c r="C139" s="242"/>
      <c r="D139" s="242"/>
      <c r="E139" s="242"/>
      <c r="F139" s="242"/>
      <c r="G139" s="242"/>
      <c r="H139" s="242"/>
      <c r="I139" s="242"/>
      <c r="J139" s="242"/>
      <c r="K139" s="242"/>
      <c r="L139" s="242"/>
      <c r="M139" s="242"/>
      <c r="N139" s="242"/>
      <c r="O139" s="242"/>
      <c r="P139" s="242"/>
      <c r="Q139" s="242"/>
      <c r="R139" s="242"/>
      <c r="S139" s="242"/>
      <c r="T139" s="242"/>
      <c r="U139" s="242"/>
      <c r="V139" s="242"/>
      <c r="W139" s="242"/>
      <c r="X139" s="242"/>
      <c r="Y139" s="242"/>
      <c r="Z139" s="242"/>
      <c r="AA139" s="242"/>
      <c r="AB139" s="242"/>
      <c r="AC139" s="242"/>
      <c r="AD139" s="242"/>
      <c r="AE139" s="242"/>
      <c r="AF139" s="242"/>
      <c r="AG139" s="242"/>
      <c r="AH139" s="242"/>
    </row>
    <row r="140">
      <c r="A140" s="242"/>
      <c r="B140" s="242"/>
      <c r="C140" s="242"/>
      <c r="D140" s="242"/>
      <c r="E140" s="242"/>
      <c r="F140" s="242"/>
      <c r="G140" s="242"/>
      <c r="H140" s="242"/>
      <c r="I140" s="242"/>
      <c r="J140" s="242"/>
      <c r="K140" s="242"/>
      <c r="L140" s="242"/>
      <c r="M140" s="242"/>
      <c r="N140" s="242"/>
      <c r="O140" s="242"/>
      <c r="P140" s="242"/>
      <c r="Q140" s="242"/>
      <c r="R140" s="242"/>
      <c r="S140" s="242"/>
      <c r="T140" s="242"/>
      <c r="U140" s="242"/>
      <c r="V140" s="242"/>
      <c r="W140" s="242"/>
      <c r="X140" s="242"/>
      <c r="Y140" s="242"/>
      <c r="Z140" s="242"/>
      <c r="AA140" s="242"/>
      <c r="AB140" s="242"/>
      <c r="AC140" s="242"/>
      <c r="AD140" s="242"/>
      <c r="AE140" s="242"/>
      <c r="AF140" s="242"/>
      <c r="AG140" s="242"/>
      <c r="AH140" s="242"/>
    </row>
    <row r="141">
      <c r="A141" s="242"/>
      <c r="B141" s="242"/>
      <c r="C141" s="242"/>
      <c r="D141" s="242"/>
      <c r="E141" s="242"/>
      <c r="F141" s="242"/>
      <c r="G141" s="242"/>
      <c r="H141" s="242"/>
      <c r="I141" s="242"/>
      <c r="J141" s="242"/>
      <c r="K141" s="242"/>
      <c r="L141" s="242"/>
      <c r="M141" s="242"/>
      <c r="N141" s="242"/>
      <c r="O141" s="242"/>
      <c r="P141" s="242"/>
      <c r="Q141" s="242"/>
      <c r="R141" s="242"/>
      <c r="S141" s="242"/>
      <c r="T141" s="242"/>
      <c r="U141" s="242"/>
      <c r="V141" s="242"/>
      <c r="W141" s="242"/>
      <c r="X141" s="242"/>
      <c r="Y141" s="242"/>
      <c r="Z141" s="242"/>
      <c r="AA141" s="242"/>
      <c r="AB141" s="242"/>
      <c r="AC141" s="242"/>
      <c r="AD141" s="242"/>
      <c r="AE141" s="242"/>
      <c r="AF141" s="242"/>
      <c r="AG141" s="242"/>
      <c r="AH141" s="242"/>
    </row>
    <row r="142">
      <c r="A142" s="242"/>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c r="AA142" s="242"/>
      <c r="AB142" s="242"/>
      <c r="AC142" s="242"/>
      <c r="AD142" s="242"/>
      <c r="AE142" s="242"/>
      <c r="AF142" s="242"/>
      <c r="AG142" s="242"/>
      <c r="AH142" s="242"/>
    </row>
    <row r="143">
      <c r="A143" s="242"/>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c r="AA143" s="242"/>
      <c r="AB143" s="242"/>
      <c r="AC143" s="242"/>
      <c r="AD143" s="242"/>
      <c r="AE143" s="242"/>
      <c r="AF143" s="242"/>
      <c r="AG143" s="242"/>
      <c r="AH143" s="242"/>
    </row>
    <row r="144">
      <c r="A144" s="242"/>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c r="AA144" s="242"/>
      <c r="AB144" s="242"/>
      <c r="AC144" s="242"/>
      <c r="AD144" s="242"/>
      <c r="AE144" s="242"/>
      <c r="AF144" s="242"/>
      <c r="AG144" s="242"/>
      <c r="AH144" s="242"/>
    </row>
    <row r="145">
      <c r="A145" s="242"/>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c r="AA145" s="242"/>
      <c r="AB145" s="242"/>
      <c r="AC145" s="242"/>
      <c r="AD145" s="242"/>
      <c r="AE145" s="242"/>
      <c r="AF145" s="242"/>
      <c r="AG145" s="242"/>
      <c r="AH145" s="242"/>
    </row>
    <row r="146">
      <c r="A146" s="242"/>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c r="AA146" s="242"/>
      <c r="AB146" s="242"/>
      <c r="AC146" s="242"/>
      <c r="AD146" s="242"/>
      <c r="AE146" s="242"/>
      <c r="AF146" s="242"/>
      <c r="AG146" s="242"/>
      <c r="AH146" s="242"/>
    </row>
    <row r="147">
      <c r="A147" s="2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c r="AA147" s="242"/>
      <c r="AB147" s="242"/>
      <c r="AC147" s="242"/>
      <c r="AD147" s="242"/>
      <c r="AE147" s="242"/>
      <c r="AF147" s="242"/>
      <c r="AG147" s="242"/>
      <c r="AH147" s="242"/>
    </row>
    <row r="148">
      <c r="A148" s="242"/>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c r="AA148" s="242"/>
      <c r="AB148" s="242"/>
      <c r="AC148" s="242"/>
      <c r="AD148" s="242"/>
      <c r="AE148" s="242"/>
      <c r="AF148" s="242"/>
      <c r="AG148" s="242"/>
      <c r="AH148" s="242"/>
    </row>
    <row r="149">
      <c r="A149" s="242"/>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c r="AA149" s="242"/>
      <c r="AB149" s="242"/>
      <c r="AC149" s="242"/>
      <c r="AD149" s="242"/>
      <c r="AE149" s="242"/>
      <c r="AF149" s="242"/>
      <c r="AG149" s="242"/>
      <c r="AH149" s="242"/>
    </row>
    <row r="150">
      <c r="A150" s="242"/>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c r="AA150" s="242"/>
      <c r="AB150" s="242"/>
      <c r="AC150" s="242"/>
      <c r="AD150" s="242"/>
      <c r="AE150" s="242"/>
      <c r="AF150" s="242"/>
      <c r="AG150" s="242"/>
      <c r="AH150" s="242"/>
    </row>
    <row r="151">
      <c r="A151" s="242"/>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c r="AA151" s="242"/>
      <c r="AB151" s="242"/>
      <c r="AC151" s="242"/>
      <c r="AD151" s="242"/>
      <c r="AE151" s="242"/>
      <c r="AF151" s="242"/>
      <c r="AG151" s="242"/>
      <c r="AH151" s="242"/>
    </row>
    <row r="152">
      <c r="A152" s="2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c r="AA152" s="242"/>
      <c r="AB152" s="242"/>
      <c r="AC152" s="242"/>
      <c r="AD152" s="242"/>
      <c r="AE152" s="242"/>
      <c r="AF152" s="242"/>
      <c r="AG152" s="242"/>
      <c r="AH152" s="242"/>
    </row>
    <row r="153">
      <c r="A153" s="2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c r="AA153" s="242"/>
      <c r="AB153" s="242"/>
      <c r="AC153" s="242"/>
      <c r="AD153" s="242"/>
      <c r="AE153" s="242"/>
      <c r="AF153" s="242"/>
      <c r="AG153" s="242"/>
      <c r="AH153" s="242"/>
    </row>
    <row r="154">
      <c r="A154" s="242"/>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c r="AA154" s="242"/>
      <c r="AB154" s="242"/>
      <c r="AC154" s="242"/>
      <c r="AD154" s="242"/>
      <c r="AE154" s="242"/>
      <c r="AF154" s="242"/>
      <c r="AG154" s="242"/>
      <c r="AH154" s="242"/>
    </row>
    <row r="155">
      <c r="A155" s="242"/>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c r="AA155" s="242"/>
      <c r="AB155" s="242"/>
      <c r="AC155" s="242"/>
      <c r="AD155" s="242"/>
      <c r="AE155" s="242"/>
      <c r="AF155" s="242"/>
      <c r="AG155" s="242"/>
      <c r="AH155" s="242"/>
    </row>
    <row r="156">
      <c r="A156" s="242"/>
      <c r="B156" s="242"/>
      <c r="C156" s="242"/>
      <c r="D156" s="242"/>
      <c r="E156" s="242"/>
      <c r="F156" s="242"/>
      <c r="G156" s="242"/>
      <c r="H156" s="242"/>
      <c r="I156" s="242"/>
      <c r="J156" s="242"/>
      <c r="K156" s="242"/>
      <c r="L156" s="242"/>
      <c r="M156" s="242"/>
      <c r="N156" s="242"/>
      <c r="O156" s="242"/>
      <c r="P156" s="242"/>
      <c r="Q156" s="242"/>
      <c r="R156" s="242"/>
      <c r="S156" s="242"/>
      <c r="T156" s="242"/>
      <c r="U156" s="242"/>
      <c r="V156" s="242"/>
      <c r="W156" s="242"/>
      <c r="X156" s="242"/>
      <c r="Y156" s="242"/>
      <c r="Z156" s="242"/>
      <c r="AA156" s="242"/>
      <c r="AB156" s="242"/>
      <c r="AC156" s="242"/>
      <c r="AD156" s="242"/>
      <c r="AE156" s="242"/>
      <c r="AF156" s="242"/>
      <c r="AG156" s="242"/>
      <c r="AH156" s="242"/>
    </row>
    <row r="157">
      <c r="A157" s="242"/>
      <c r="B157" s="242"/>
      <c r="C157" s="242"/>
      <c r="D157" s="242"/>
      <c r="E157" s="242"/>
      <c r="F157" s="242"/>
      <c r="G157" s="242"/>
      <c r="H157" s="242"/>
      <c r="I157" s="242"/>
      <c r="J157" s="242"/>
      <c r="K157" s="242"/>
      <c r="L157" s="242"/>
      <c r="M157" s="242"/>
      <c r="N157" s="242"/>
      <c r="O157" s="242"/>
      <c r="P157" s="242"/>
      <c r="Q157" s="242"/>
      <c r="R157" s="242"/>
      <c r="S157" s="242"/>
      <c r="T157" s="242"/>
      <c r="U157" s="242"/>
      <c r="V157" s="242"/>
      <c r="W157" s="242"/>
      <c r="X157" s="242"/>
      <c r="Y157" s="242"/>
      <c r="Z157" s="242"/>
      <c r="AA157" s="242"/>
      <c r="AB157" s="242"/>
      <c r="AC157" s="242"/>
      <c r="AD157" s="242"/>
      <c r="AE157" s="242"/>
      <c r="AF157" s="242"/>
      <c r="AG157" s="242"/>
      <c r="AH157" s="242"/>
    </row>
    <row r="158">
      <c r="A158" s="242"/>
      <c r="B158" s="242"/>
      <c r="C158" s="242"/>
      <c r="D158" s="242"/>
      <c r="E158" s="242"/>
      <c r="F158" s="242"/>
      <c r="G158" s="242"/>
      <c r="H158" s="242"/>
      <c r="I158" s="242"/>
      <c r="J158" s="242"/>
      <c r="K158" s="242"/>
      <c r="L158" s="242"/>
      <c r="M158" s="242"/>
      <c r="N158" s="242"/>
      <c r="O158" s="242"/>
      <c r="P158" s="242"/>
      <c r="Q158" s="242"/>
      <c r="R158" s="242"/>
      <c r="S158" s="242"/>
      <c r="T158" s="242"/>
      <c r="U158" s="242"/>
      <c r="V158" s="242"/>
      <c r="W158" s="242"/>
      <c r="X158" s="242"/>
      <c r="Y158" s="242"/>
      <c r="Z158" s="242"/>
      <c r="AA158" s="242"/>
      <c r="AB158" s="242"/>
      <c r="AC158" s="242"/>
      <c r="AD158" s="242"/>
      <c r="AE158" s="242"/>
      <c r="AF158" s="242"/>
      <c r="AG158" s="242"/>
      <c r="AH158" s="242"/>
    </row>
    <row r="159">
      <c r="A159" s="242"/>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c r="AA159" s="242"/>
      <c r="AB159" s="242"/>
      <c r="AC159" s="242"/>
      <c r="AD159" s="242"/>
      <c r="AE159" s="242"/>
      <c r="AF159" s="242"/>
      <c r="AG159" s="242"/>
      <c r="AH159" s="242"/>
    </row>
    <row r="160">
      <c r="A160" s="242"/>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c r="Z160" s="242"/>
      <c r="AA160" s="242"/>
      <c r="AB160" s="242"/>
      <c r="AC160" s="242"/>
      <c r="AD160" s="242"/>
      <c r="AE160" s="242"/>
      <c r="AF160" s="242"/>
      <c r="AG160" s="242"/>
      <c r="AH160" s="242"/>
    </row>
    <row r="161">
      <c r="A161" s="242"/>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c r="Z161" s="242"/>
      <c r="AA161" s="242"/>
      <c r="AB161" s="242"/>
      <c r="AC161" s="242"/>
      <c r="AD161" s="242"/>
      <c r="AE161" s="242"/>
      <c r="AF161" s="242"/>
      <c r="AG161" s="242"/>
      <c r="AH161" s="242"/>
    </row>
    <row r="162">
      <c r="A162" s="242"/>
      <c r="B162" s="242"/>
      <c r="C162" s="242"/>
      <c r="D162" s="242"/>
      <c r="E162" s="242"/>
      <c r="F162" s="242"/>
      <c r="G162" s="242"/>
      <c r="H162" s="242"/>
      <c r="I162" s="242"/>
      <c r="J162" s="242"/>
      <c r="K162" s="242"/>
      <c r="L162" s="242"/>
      <c r="M162" s="242"/>
      <c r="N162" s="242"/>
      <c r="O162" s="242"/>
      <c r="P162" s="242"/>
      <c r="Q162" s="242"/>
      <c r="R162" s="242"/>
      <c r="S162" s="242"/>
      <c r="T162" s="242"/>
      <c r="U162" s="242"/>
      <c r="V162" s="242"/>
      <c r="W162" s="242"/>
      <c r="X162" s="242"/>
      <c r="Y162" s="242"/>
      <c r="Z162" s="242"/>
      <c r="AA162" s="242"/>
      <c r="AB162" s="242"/>
      <c r="AC162" s="242"/>
      <c r="AD162" s="242"/>
      <c r="AE162" s="242"/>
      <c r="AF162" s="242"/>
      <c r="AG162" s="242"/>
      <c r="AH162" s="242"/>
    </row>
    <row r="163">
      <c r="A163" s="242"/>
      <c r="B163" s="242"/>
      <c r="C163" s="242"/>
      <c r="D163" s="242"/>
      <c r="E163" s="242"/>
      <c r="F163" s="242"/>
      <c r="G163" s="242"/>
      <c r="H163" s="242"/>
      <c r="I163" s="242"/>
      <c r="J163" s="242"/>
      <c r="K163" s="242"/>
      <c r="L163" s="242"/>
      <c r="M163" s="242"/>
      <c r="N163" s="242"/>
      <c r="O163" s="242"/>
      <c r="P163" s="242"/>
      <c r="Q163" s="242"/>
      <c r="R163" s="242"/>
      <c r="S163" s="242"/>
      <c r="T163" s="242"/>
      <c r="U163" s="242"/>
      <c r="V163" s="242"/>
      <c r="W163" s="242"/>
      <c r="X163" s="242"/>
      <c r="Y163" s="242"/>
      <c r="Z163" s="242"/>
      <c r="AA163" s="242"/>
      <c r="AB163" s="242"/>
      <c r="AC163" s="242"/>
      <c r="AD163" s="242"/>
      <c r="AE163" s="242"/>
      <c r="AF163" s="242"/>
      <c r="AG163" s="242"/>
      <c r="AH163" s="242"/>
    </row>
    <row r="164">
      <c r="A164" s="242"/>
      <c r="B164" s="242"/>
      <c r="C164" s="242"/>
      <c r="D164" s="242"/>
      <c r="E164" s="242"/>
      <c r="F164" s="242"/>
      <c r="G164" s="242"/>
      <c r="H164" s="242"/>
      <c r="I164" s="242"/>
      <c r="J164" s="242"/>
      <c r="K164" s="242"/>
      <c r="L164" s="242"/>
      <c r="M164" s="242"/>
      <c r="N164" s="242"/>
      <c r="O164" s="242"/>
      <c r="P164" s="242"/>
      <c r="Q164" s="242"/>
      <c r="R164" s="242"/>
      <c r="S164" s="242"/>
      <c r="T164" s="242"/>
      <c r="U164" s="242"/>
      <c r="V164" s="242"/>
      <c r="W164" s="242"/>
      <c r="X164" s="242"/>
      <c r="Y164" s="242"/>
      <c r="Z164" s="242"/>
      <c r="AA164" s="242"/>
      <c r="AB164" s="242"/>
      <c r="AC164" s="242"/>
      <c r="AD164" s="242"/>
      <c r="AE164" s="242"/>
      <c r="AF164" s="242"/>
      <c r="AG164" s="242"/>
      <c r="AH164" s="242"/>
    </row>
    <row r="165">
      <c r="A165" s="242"/>
      <c r="B165" s="242"/>
      <c r="C165" s="242"/>
      <c r="D165" s="242"/>
      <c r="E165" s="242"/>
      <c r="F165" s="242"/>
      <c r="G165" s="242"/>
      <c r="H165" s="242"/>
      <c r="I165" s="242"/>
      <c r="J165" s="242"/>
      <c r="K165" s="242"/>
      <c r="L165" s="242"/>
      <c r="M165" s="242"/>
      <c r="N165" s="242"/>
      <c r="O165" s="242"/>
      <c r="P165" s="242"/>
      <c r="Q165" s="242"/>
      <c r="R165" s="242"/>
      <c r="S165" s="242"/>
      <c r="T165" s="242"/>
      <c r="U165" s="242"/>
      <c r="V165" s="242"/>
      <c r="W165" s="242"/>
      <c r="X165" s="242"/>
      <c r="Y165" s="242"/>
      <c r="Z165" s="242"/>
      <c r="AA165" s="242"/>
      <c r="AB165" s="242"/>
      <c r="AC165" s="242"/>
      <c r="AD165" s="242"/>
      <c r="AE165" s="242"/>
      <c r="AF165" s="242"/>
      <c r="AG165" s="242"/>
      <c r="AH165" s="242"/>
    </row>
    <row r="166">
      <c r="A166" s="242"/>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c r="Z166" s="242"/>
      <c r="AA166" s="242"/>
      <c r="AB166" s="242"/>
      <c r="AC166" s="242"/>
      <c r="AD166" s="242"/>
      <c r="AE166" s="242"/>
      <c r="AF166" s="242"/>
      <c r="AG166" s="242"/>
      <c r="AH166" s="242"/>
    </row>
    <row r="167">
      <c r="A167" s="242"/>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c r="Z167" s="242"/>
      <c r="AA167" s="242"/>
      <c r="AB167" s="242"/>
      <c r="AC167" s="242"/>
      <c r="AD167" s="242"/>
      <c r="AE167" s="242"/>
      <c r="AF167" s="242"/>
      <c r="AG167" s="242"/>
      <c r="AH167" s="242"/>
    </row>
    <row r="168">
      <c r="A168" s="242"/>
      <c r="B168" s="242"/>
      <c r="C168" s="242"/>
      <c r="D168" s="242"/>
      <c r="E168" s="242"/>
      <c r="F168" s="242"/>
      <c r="G168" s="242"/>
      <c r="H168" s="242"/>
      <c r="I168" s="242"/>
      <c r="J168" s="242"/>
      <c r="K168" s="242"/>
      <c r="L168" s="242"/>
      <c r="M168" s="242"/>
      <c r="N168" s="242"/>
      <c r="O168" s="242"/>
      <c r="P168" s="242"/>
      <c r="Q168" s="242"/>
      <c r="R168" s="242"/>
      <c r="S168" s="242"/>
      <c r="T168" s="242"/>
      <c r="U168" s="242"/>
      <c r="V168" s="242"/>
      <c r="W168" s="242"/>
      <c r="X168" s="242"/>
      <c r="Y168" s="242"/>
      <c r="Z168" s="242"/>
      <c r="AA168" s="242"/>
      <c r="AB168" s="242"/>
      <c r="AC168" s="242"/>
      <c r="AD168" s="242"/>
      <c r="AE168" s="242"/>
      <c r="AF168" s="242"/>
      <c r="AG168" s="242"/>
      <c r="AH168" s="242"/>
    </row>
    <row r="169">
      <c r="A169" s="242"/>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c r="AA169" s="242"/>
      <c r="AB169" s="242"/>
      <c r="AC169" s="242"/>
      <c r="AD169" s="242"/>
      <c r="AE169" s="242"/>
      <c r="AF169" s="242"/>
      <c r="AG169" s="242"/>
      <c r="AH169" s="242"/>
    </row>
    <row r="170">
      <c r="A170" s="242"/>
      <c r="B170" s="242"/>
      <c r="C170" s="242"/>
      <c r="D170" s="242"/>
      <c r="E170" s="242"/>
      <c r="F170" s="242"/>
      <c r="G170" s="242"/>
      <c r="H170" s="242"/>
      <c r="I170" s="242"/>
      <c r="J170" s="242"/>
      <c r="K170" s="242"/>
      <c r="L170" s="242"/>
      <c r="M170" s="242"/>
      <c r="N170" s="242"/>
      <c r="O170" s="242"/>
      <c r="P170" s="242"/>
      <c r="Q170" s="242"/>
      <c r="R170" s="242"/>
      <c r="S170" s="242"/>
      <c r="T170" s="242"/>
      <c r="U170" s="242"/>
      <c r="V170" s="242"/>
      <c r="W170" s="242"/>
      <c r="X170" s="242"/>
      <c r="Y170" s="242"/>
      <c r="Z170" s="242"/>
      <c r="AA170" s="242"/>
      <c r="AB170" s="242"/>
      <c r="AC170" s="242"/>
      <c r="AD170" s="242"/>
      <c r="AE170" s="242"/>
      <c r="AF170" s="242"/>
      <c r="AG170" s="242"/>
      <c r="AH170" s="242"/>
    </row>
    <row r="171">
      <c r="A171" s="242"/>
      <c r="B171" s="242"/>
      <c r="C171" s="242"/>
      <c r="D171" s="242"/>
      <c r="E171" s="242"/>
      <c r="F171" s="242"/>
      <c r="G171" s="242"/>
      <c r="H171" s="242"/>
      <c r="I171" s="242"/>
      <c r="J171" s="242"/>
      <c r="K171" s="242"/>
      <c r="L171" s="242"/>
      <c r="M171" s="242"/>
      <c r="N171" s="242"/>
      <c r="O171" s="242"/>
      <c r="P171" s="242"/>
      <c r="Q171" s="242"/>
      <c r="R171" s="242"/>
      <c r="S171" s="242"/>
      <c r="T171" s="242"/>
      <c r="U171" s="242"/>
      <c r="V171" s="242"/>
      <c r="W171" s="242"/>
      <c r="X171" s="242"/>
      <c r="Y171" s="242"/>
      <c r="Z171" s="242"/>
      <c r="AA171" s="242"/>
      <c r="AB171" s="242"/>
      <c r="AC171" s="242"/>
      <c r="AD171" s="242"/>
      <c r="AE171" s="242"/>
      <c r="AF171" s="242"/>
      <c r="AG171" s="242"/>
      <c r="AH171" s="242"/>
    </row>
    <row r="172">
      <c r="A172" s="242"/>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c r="Z172" s="242"/>
      <c r="AA172" s="242"/>
      <c r="AB172" s="242"/>
      <c r="AC172" s="242"/>
      <c r="AD172" s="242"/>
      <c r="AE172" s="242"/>
      <c r="AF172" s="242"/>
      <c r="AG172" s="242"/>
      <c r="AH172" s="242"/>
    </row>
    <row r="173">
      <c r="A173" s="242"/>
      <c r="B173" s="242"/>
      <c r="C173" s="242"/>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c r="Z173" s="242"/>
      <c r="AA173" s="242"/>
      <c r="AB173" s="242"/>
      <c r="AC173" s="242"/>
      <c r="AD173" s="242"/>
      <c r="AE173" s="242"/>
      <c r="AF173" s="242"/>
      <c r="AG173" s="242"/>
      <c r="AH173" s="242"/>
    </row>
    <row r="174">
      <c r="A174" s="242"/>
      <c r="B174" s="242"/>
      <c r="C174" s="242"/>
      <c r="D174" s="242"/>
      <c r="E174" s="242"/>
      <c r="F174" s="242"/>
      <c r="G174" s="242"/>
      <c r="H174" s="242"/>
      <c r="I174" s="242"/>
      <c r="J174" s="242"/>
      <c r="K174" s="242"/>
      <c r="L174" s="242"/>
      <c r="M174" s="242"/>
      <c r="N174" s="242"/>
      <c r="O174" s="242"/>
      <c r="P174" s="242"/>
      <c r="Q174" s="242"/>
      <c r="R174" s="242"/>
      <c r="S174" s="242"/>
      <c r="T174" s="242"/>
      <c r="U174" s="242"/>
      <c r="V174" s="242"/>
      <c r="W174" s="242"/>
      <c r="X174" s="242"/>
      <c r="Y174" s="242"/>
      <c r="Z174" s="242"/>
      <c r="AA174" s="242"/>
      <c r="AB174" s="242"/>
      <c r="AC174" s="242"/>
      <c r="AD174" s="242"/>
      <c r="AE174" s="242"/>
      <c r="AF174" s="242"/>
      <c r="AG174" s="242"/>
      <c r="AH174" s="242"/>
    </row>
    <row r="175">
      <c r="A175" s="242"/>
      <c r="B175" s="242"/>
      <c r="C175" s="242"/>
      <c r="D175" s="242"/>
      <c r="E175" s="242"/>
      <c r="F175" s="242"/>
      <c r="G175" s="242"/>
      <c r="H175" s="242"/>
      <c r="I175" s="242"/>
      <c r="J175" s="242"/>
      <c r="K175" s="242"/>
      <c r="L175" s="242"/>
      <c r="M175" s="242"/>
      <c r="N175" s="242"/>
      <c r="O175" s="242"/>
      <c r="P175" s="242"/>
      <c r="Q175" s="242"/>
      <c r="R175" s="242"/>
      <c r="S175" s="242"/>
      <c r="T175" s="242"/>
      <c r="U175" s="242"/>
      <c r="V175" s="242"/>
      <c r="W175" s="242"/>
      <c r="X175" s="242"/>
      <c r="Y175" s="242"/>
      <c r="Z175" s="242"/>
      <c r="AA175" s="242"/>
      <c r="AB175" s="242"/>
      <c r="AC175" s="242"/>
      <c r="AD175" s="242"/>
      <c r="AE175" s="242"/>
      <c r="AF175" s="242"/>
      <c r="AG175" s="242"/>
      <c r="AH175" s="242"/>
    </row>
    <row r="176">
      <c r="A176" s="242"/>
      <c r="B176" s="242"/>
      <c r="C176" s="242"/>
      <c r="D176" s="242"/>
      <c r="E176" s="242"/>
      <c r="F176" s="242"/>
      <c r="G176" s="242"/>
      <c r="H176" s="242"/>
      <c r="I176" s="242"/>
      <c r="J176" s="242"/>
      <c r="K176" s="242"/>
      <c r="L176" s="242"/>
      <c r="M176" s="242"/>
      <c r="N176" s="242"/>
      <c r="O176" s="242"/>
      <c r="P176" s="242"/>
      <c r="Q176" s="242"/>
      <c r="R176" s="242"/>
      <c r="S176" s="242"/>
      <c r="T176" s="242"/>
      <c r="U176" s="242"/>
      <c r="V176" s="242"/>
      <c r="W176" s="242"/>
      <c r="X176" s="242"/>
      <c r="Y176" s="242"/>
      <c r="Z176" s="242"/>
      <c r="AA176" s="242"/>
      <c r="AB176" s="242"/>
      <c r="AC176" s="242"/>
      <c r="AD176" s="242"/>
      <c r="AE176" s="242"/>
      <c r="AF176" s="242"/>
      <c r="AG176" s="242"/>
      <c r="AH176" s="242"/>
    </row>
    <row r="177">
      <c r="A177" s="242"/>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c r="AA177" s="242"/>
      <c r="AB177" s="242"/>
      <c r="AC177" s="242"/>
      <c r="AD177" s="242"/>
      <c r="AE177" s="242"/>
      <c r="AF177" s="242"/>
      <c r="AG177" s="242"/>
      <c r="AH177" s="242"/>
    </row>
    <row r="178">
      <c r="A178" s="242"/>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c r="AA178" s="242"/>
      <c r="AB178" s="242"/>
      <c r="AC178" s="242"/>
      <c r="AD178" s="242"/>
      <c r="AE178" s="242"/>
      <c r="AF178" s="242"/>
      <c r="AG178" s="242"/>
      <c r="AH178" s="242"/>
    </row>
    <row r="179">
      <c r="A179" s="242"/>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c r="AA179" s="242"/>
      <c r="AB179" s="242"/>
      <c r="AC179" s="242"/>
      <c r="AD179" s="242"/>
      <c r="AE179" s="242"/>
      <c r="AF179" s="242"/>
      <c r="AG179" s="242"/>
      <c r="AH179" s="242"/>
    </row>
    <row r="180">
      <c r="A180" s="242"/>
      <c r="B180" s="242"/>
      <c r="C180" s="242"/>
      <c r="D180" s="242"/>
      <c r="E180" s="242"/>
      <c r="F180" s="242"/>
      <c r="G180" s="242"/>
      <c r="H180" s="242"/>
      <c r="I180" s="242"/>
      <c r="J180" s="242"/>
      <c r="K180" s="242"/>
      <c r="L180" s="242"/>
      <c r="M180" s="242"/>
      <c r="N180" s="242"/>
      <c r="O180" s="242"/>
      <c r="P180" s="242"/>
      <c r="Q180" s="242"/>
      <c r="R180" s="242"/>
      <c r="S180" s="242"/>
      <c r="T180" s="242"/>
      <c r="U180" s="242"/>
      <c r="V180" s="242"/>
      <c r="W180" s="242"/>
      <c r="X180" s="242"/>
      <c r="Y180" s="242"/>
      <c r="Z180" s="242"/>
      <c r="AA180" s="242"/>
      <c r="AB180" s="242"/>
      <c r="AC180" s="242"/>
      <c r="AD180" s="242"/>
      <c r="AE180" s="242"/>
      <c r="AF180" s="242"/>
      <c r="AG180" s="242"/>
      <c r="AH180" s="242"/>
    </row>
    <row r="181">
      <c r="A181" s="242"/>
      <c r="B181" s="242"/>
      <c r="C181" s="242"/>
      <c r="D181" s="242"/>
      <c r="E181" s="242"/>
      <c r="F181" s="242"/>
      <c r="G181" s="242"/>
      <c r="H181" s="242"/>
      <c r="I181" s="242"/>
      <c r="J181" s="242"/>
      <c r="K181" s="242"/>
      <c r="L181" s="242"/>
      <c r="M181" s="242"/>
      <c r="N181" s="242"/>
      <c r="O181" s="242"/>
      <c r="P181" s="242"/>
      <c r="Q181" s="242"/>
      <c r="R181" s="242"/>
      <c r="S181" s="242"/>
      <c r="T181" s="242"/>
      <c r="U181" s="242"/>
      <c r="V181" s="242"/>
      <c r="W181" s="242"/>
      <c r="X181" s="242"/>
      <c r="Y181" s="242"/>
      <c r="Z181" s="242"/>
      <c r="AA181" s="242"/>
      <c r="AB181" s="242"/>
      <c r="AC181" s="242"/>
      <c r="AD181" s="242"/>
      <c r="AE181" s="242"/>
      <c r="AF181" s="242"/>
      <c r="AG181" s="242"/>
      <c r="AH181" s="242"/>
    </row>
    <row r="182">
      <c r="A182" s="242"/>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c r="AA182" s="242"/>
      <c r="AB182" s="242"/>
      <c r="AC182" s="242"/>
      <c r="AD182" s="242"/>
      <c r="AE182" s="242"/>
      <c r="AF182" s="242"/>
      <c r="AG182" s="242"/>
      <c r="AH182" s="242"/>
    </row>
    <row r="183">
      <c r="A183" s="242"/>
      <c r="B183" s="242"/>
      <c r="C183" s="242"/>
      <c r="D183" s="242"/>
      <c r="E183" s="242"/>
      <c r="F183" s="242"/>
      <c r="G183" s="242"/>
      <c r="H183" s="242"/>
      <c r="I183" s="242"/>
      <c r="J183" s="242"/>
      <c r="K183" s="242"/>
      <c r="L183" s="242"/>
      <c r="M183" s="242"/>
      <c r="N183" s="242"/>
      <c r="O183" s="242"/>
      <c r="P183" s="242"/>
      <c r="Q183" s="242"/>
      <c r="R183" s="242"/>
      <c r="S183" s="242"/>
      <c r="T183" s="242"/>
      <c r="U183" s="242"/>
      <c r="V183" s="242"/>
      <c r="W183" s="242"/>
      <c r="X183" s="242"/>
      <c r="Y183" s="242"/>
      <c r="Z183" s="242"/>
      <c r="AA183" s="242"/>
      <c r="AB183" s="242"/>
      <c r="AC183" s="242"/>
      <c r="AD183" s="242"/>
      <c r="AE183" s="242"/>
      <c r="AF183" s="242"/>
      <c r="AG183" s="242"/>
      <c r="AH183" s="242"/>
    </row>
    <row r="184">
      <c r="A184" s="242"/>
      <c r="B184" s="242"/>
      <c r="C184" s="242"/>
      <c r="D184" s="242"/>
      <c r="E184" s="242"/>
      <c r="F184" s="242"/>
      <c r="G184" s="242"/>
      <c r="H184" s="242"/>
      <c r="I184" s="242"/>
      <c r="J184" s="242"/>
      <c r="K184" s="242"/>
      <c r="L184" s="242"/>
      <c r="M184" s="242"/>
      <c r="N184" s="242"/>
      <c r="O184" s="242"/>
      <c r="P184" s="242"/>
      <c r="Q184" s="242"/>
      <c r="R184" s="242"/>
      <c r="S184" s="242"/>
      <c r="T184" s="242"/>
      <c r="U184" s="242"/>
      <c r="V184" s="242"/>
      <c r="W184" s="242"/>
      <c r="X184" s="242"/>
      <c r="Y184" s="242"/>
      <c r="Z184" s="242"/>
      <c r="AA184" s="242"/>
      <c r="AB184" s="242"/>
      <c r="AC184" s="242"/>
      <c r="AD184" s="242"/>
      <c r="AE184" s="242"/>
      <c r="AF184" s="242"/>
      <c r="AG184" s="242"/>
      <c r="AH184" s="242"/>
    </row>
    <row r="185">
      <c r="A185" s="242"/>
      <c r="B185" s="242"/>
      <c r="C185" s="242"/>
      <c r="D185" s="242"/>
      <c r="E185" s="242"/>
      <c r="F185" s="242"/>
      <c r="G185" s="242"/>
      <c r="H185" s="242"/>
      <c r="I185" s="242"/>
      <c r="J185" s="242"/>
      <c r="K185" s="242"/>
      <c r="L185" s="242"/>
      <c r="M185" s="242"/>
      <c r="N185" s="242"/>
      <c r="O185" s="242"/>
      <c r="P185" s="242"/>
      <c r="Q185" s="242"/>
      <c r="R185" s="242"/>
      <c r="S185" s="242"/>
      <c r="T185" s="242"/>
      <c r="U185" s="242"/>
      <c r="V185" s="242"/>
      <c r="W185" s="242"/>
      <c r="X185" s="242"/>
      <c r="Y185" s="242"/>
      <c r="Z185" s="242"/>
      <c r="AA185" s="242"/>
      <c r="AB185" s="242"/>
      <c r="AC185" s="242"/>
      <c r="AD185" s="242"/>
      <c r="AE185" s="242"/>
      <c r="AF185" s="242"/>
      <c r="AG185" s="242"/>
      <c r="AH185" s="242"/>
    </row>
    <row r="186">
      <c r="A186" s="242"/>
      <c r="B186" s="242"/>
      <c r="C186" s="242"/>
      <c r="D186" s="242"/>
      <c r="E186" s="242"/>
      <c r="F186" s="242"/>
      <c r="G186" s="242"/>
      <c r="H186" s="242"/>
      <c r="I186" s="242"/>
      <c r="J186" s="242"/>
      <c r="K186" s="242"/>
      <c r="L186" s="242"/>
      <c r="M186" s="242"/>
      <c r="N186" s="242"/>
      <c r="O186" s="242"/>
      <c r="P186" s="242"/>
      <c r="Q186" s="242"/>
      <c r="R186" s="242"/>
      <c r="S186" s="242"/>
      <c r="T186" s="242"/>
      <c r="U186" s="242"/>
      <c r="V186" s="242"/>
      <c r="W186" s="242"/>
      <c r="X186" s="242"/>
      <c r="Y186" s="242"/>
      <c r="Z186" s="242"/>
      <c r="AA186" s="242"/>
      <c r="AB186" s="242"/>
      <c r="AC186" s="242"/>
      <c r="AD186" s="242"/>
      <c r="AE186" s="242"/>
      <c r="AF186" s="242"/>
      <c r="AG186" s="242"/>
      <c r="AH186" s="242"/>
    </row>
    <row r="187">
      <c r="A187" s="242"/>
      <c r="B187" s="242"/>
      <c r="C187" s="242"/>
      <c r="D187" s="242"/>
      <c r="E187" s="242"/>
      <c r="F187" s="242"/>
      <c r="G187" s="242"/>
      <c r="H187" s="242"/>
      <c r="I187" s="242"/>
      <c r="J187" s="242"/>
      <c r="K187" s="242"/>
      <c r="L187" s="242"/>
      <c r="M187" s="242"/>
      <c r="N187" s="242"/>
      <c r="O187" s="242"/>
      <c r="P187" s="242"/>
      <c r="Q187" s="242"/>
      <c r="R187" s="242"/>
      <c r="S187" s="242"/>
      <c r="T187" s="242"/>
      <c r="U187" s="242"/>
      <c r="V187" s="242"/>
      <c r="W187" s="242"/>
      <c r="X187" s="242"/>
      <c r="Y187" s="242"/>
      <c r="Z187" s="242"/>
      <c r="AA187" s="242"/>
      <c r="AB187" s="242"/>
      <c r="AC187" s="242"/>
      <c r="AD187" s="242"/>
      <c r="AE187" s="242"/>
      <c r="AF187" s="242"/>
      <c r="AG187" s="242"/>
      <c r="AH187" s="242"/>
    </row>
    <row r="188">
      <c r="A188" s="242"/>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c r="AA188" s="242"/>
      <c r="AB188" s="242"/>
      <c r="AC188" s="242"/>
      <c r="AD188" s="242"/>
      <c r="AE188" s="242"/>
      <c r="AF188" s="242"/>
      <c r="AG188" s="242"/>
      <c r="AH188" s="242"/>
    </row>
    <row r="189">
      <c r="A189" s="242"/>
      <c r="B189" s="242"/>
      <c r="C189" s="242"/>
      <c r="D189" s="242"/>
      <c r="E189" s="242"/>
      <c r="F189" s="242"/>
      <c r="G189" s="242"/>
      <c r="H189" s="242"/>
      <c r="I189" s="242"/>
      <c r="J189" s="242"/>
      <c r="K189" s="242"/>
      <c r="L189" s="242"/>
      <c r="M189" s="242"/>
      <c r="N189" s="242"/>
      <c r="O189" s="242"/>
      <c r="P189" s="242"/>
      <c r="Q189" s="242"/>
      <c r="R189" s="242"/>
      <c r="S189" s="242"/>
      <c r="T189" s="242"/>
      <c r="U189" s="242"/>
      <c r="V189" s="242"/>
      <c r="W189" s="242"/>
      <c r="X189" s="242"/>
      <c r="Y189" s="242"/>
      <c r="Z189" s="242"/>
      <c r="AA189" s="242"/>
      <c r="AB189" s="242"/>
      <c r="AC189" s="242"/>
      <c r="AD189" s="242"/>
      <c r="AE189" s="242"/>
      <c r="AF189" s="242"/>
      <c r="AG189" s="242"/>
      <c r="AH189" s="242"/>
    </row>
    <row r="190">
      <c r="A190" s="242"/>
      <c r="B190" s="242"/>
      <c r="C190" s="242"/>
      <c r="D190" s="242"/>
      <c r="E190" s="242"/>
      <c r="F190" s="242"/>
      <c r="G190" s="242"/>
      <c r="H190" s="242"/>
      <c r="I190" s="242"/>
      <c r="J190" s="242"/>
      <c r="K190" s="242"/>
      <c r="L190" s="242"/>
      <c r="M190" s="242"/>
      <c r="N190" s="242"/>
      <c r="O190" s="242"/>
      <c r="P190" s="242"/>
      <c r="Q190" s="242"/>
      <c r="R190" s="242"/>
      <c r="S190" s="242"/>
      <c r="T190" s="242"/>
      <c r="U190" s="242"/>
      <c r="V190" s="242"/>
      <c r="W190" s="242"/>
      <c r="X190" s="242"/>
      <c r="Y190" s="242"/>
      <c r="Z190" s="242"/>
      <c r="AA190" s="242"/>
      <c r="AB190" s="242"/>
      <c r="AC190" s="242"/>
      <c r="AD190" s="242"/>
      <c r="AE190" s="242"/>
      <c r="AF190" s="242"/>
      <c r="AG190" s="242"/>
      <c r="AH190" s="242"/>
    </row>
    <row r="191">
      <c r="A191" s="242"/>
      <c r="B191" s="242"/>
      <c r="C191" s="242"/>
      <c r="D191" s="242"/>
      <c r="E191" s="242"/>
      <c r="F191" s="242"/>
      <c r="G191" s="242"/>
      <c r="H191" s="242"/>
      <c r="I191" s="242"/>
      <c r="J191" s="242"/>
      <c r="K191" s="242"/>
      <c r="L191" s="242"/>
      <c r="M191" s="242"/>
      <c r="N191" s="242"/>
      <c r="O191" s="242"/>
      <c r="P191" s="242"/>
      <c r="Q191" s="242"/>
      <c r="R191" s="242"/>
      <c r="S191" s="242"/>
      <c r="T191" s="242"/>
      <c r="U191" s="242"/>
      <c r="V191" s="242"/>
      <c r="W191" s="242"/>
      <c r="X191" s="242"/>
      <c r="Y191" s="242"/>
      <c r="Z191" s="242"/>
      <c r="AA191" s="242"/>
      <c r="AB191" s="242"/>
      <c r="AC191" s="242"/>
      <c r="AD191" s="242"/>
      <c r="AE191" s="242"/>
      <c r="AF191" s="242"/>
      <c r="AG191" s="242"/>
      <c r="AH191" s="242"/>
    </row>
    <row r="192">
      <c r="A192" s="242"/>
      <c r="B192" s="242"/>
      <c r="C192" s="242"/>
      <c r="D192" s="242"/>
      <c r="E192" s="242"/>
      <c r="F192" s="242"/>
      <c r="G192" s="242"/>
      <c r="H192" s="242"/>
      <c r="I192" s="242"/>
      <c r="J192" s="242"/>
      <c r="K192" s="242"/>
      <c r="L192" s="242"/>
      <c r="M192" s="242"/>
      <c r="N192" s="242"/>
      <c r="O192" s="242"/>
      <c r="P192" s="242"/>
      <c r="Q192" s="242"/>
      <c r="R192" s="242"/>
      <c r="S192" s="242"/>
      <c r="T192" s="242"/>
      <c r="U192" s="242"/>
      <c r="V192" s="242"/>
      <c r="W192" s="242"/>
      <c r="X192" s="242"/>
      <c r="Y192" s="242"/>
      <c r="Z192" s="242"/>
      <c r="AA192" s="242"/>
      <c r="AB192" s="242"/>
      <c r="AC192" s="242"/>
      <c r="AD192" s="242"/>
      <c r="AE192" s="242"/>
      <c r="AF192" s="242"/>
      <c r="AG192" s="242"/>
      <c r="AH192" s="242"/>
    </row>
    <row r="193">
      <c r="A193" s="242"/>
      <c r="B193" s="242"/>
      <c r="C193" s="242"/>
      <c r="D193" s="242"/>
      <c r="E193" s="242"/>
      <c r="F193" s="242"/>
      <c r="G193" s="242"/>
      <c r="H193" s="242"/>
      <c r="I193" s="242"/>
      <c r="J193" s="242"/>
      <c r="K193" s="242"/>
      <c r="L193" s="242"/>
      <c r="M193" s="242"/>
      <c r="N193" s="242"/>
      <c r="O193" s="242"/>
      <c r="P193" s="242"/>
      <c r="Q193" s="242"/>
      <c r="R193" s="242"/>
      <c r="S193" s="242"/>
      <c r="T193" s="242"/>
      <c r="U193" s="242"/>
      <c r="V193" s="242"/>
      <c r="W193" s="242"/>
      <c r="X193" s="242"/>
      <c r="Y193" s="242"/>
      <c r="Z193" s="242"/>
      <c r="AA193" s="242"/>
      <c r="AB193" s="242"/>
      <c r="AC193" s="242"/>
      <c r="AD193" s="242"/>
      <c r="AE193" s="242"/>
      <c r="AF193" s="242"/>
      <c r="AG193" s="242"/>
      <c r="AH193" s="242"/>
    </row>
    <row r="194">
      <c r="A194" s="242"/>
      <c r="B194" s="242"/>
      <c r="C194" s="242"/>
      <c r="D194" s="242"/>
      <c r="E194" s="242"/>
      <c r="F194" s="242"/>
      <c r="G194" s="242"/>
      <c r="H194" s="242"/>
      <c r="I194" s="242"/>
      <c r="J194" s="242"/>
      <c r="K194" s="242"/>
      <c r="L194" s="242"/>
      <c r="M194" s="242"/>
      <c r="N194" s="242"/>
      <c r="O194" s="242"/>
      <c r="P194" s="242"/>
      <c r="Q194" s="242"/>
      <c r="R194" s="242"/>
      <c r="S194" s="242"/>
      <c r="T194" s="242"/>
      <c r="U194" s="242"/>
      <c r="V194" s="242"/>
      <c r="W194" s="242"/>
      <c r="X194" s="242"/>
      <c r="Y194" s="242"/>
      <c r="Z194" s="242"/>
      <c r="AA194" s="242"/>
      <c r="AB194" s="242"/>
      <c r="AC194" s="242"/>
      <c r="AD194" s="242"/>
      <c r="AE194" s="242"/>
      <c r="AF194" s="242"/>
      <c r="AG194" s="242"/>
      <c r="AH194" s="242"/>
    </row>
    <row r="195">
      <c r="A195" s="242"/>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c r="AA195" s="242"/>
      <c r="AB195" s="242"/>
      <c r="AC195" s="242"/>
      <c r="AD195" s="242"/>
      <c r="AE195" s="242"/>
      <c r="AF195" s="242"/>
      <c r="AG195" s="242"/>
      <c r="AH195" s="242"/>
    </row>
    <row r="196">
      <c r="A196" s="242"/>
      <c r="B196" s="242"/>
      <c r="C196" s="242"/>
      <c r="D196" s="242"/>
      <c r="E196" s="242"/>
      <c r="F196" s="242"/>
      <c r="G196" s="242"/>
      <c r="H196" s="242"/>
      <c r="I196" s="242"/>
      <c r="J196" s="242"/>
      <c r="K196" s="242"/>
      <c r="L196" s="242"/>
      <c r="M196" s="242"/>
      <c r="N196" s="242"/>
      <c r="O196" s="242"/>
      <c r="P196" s="242"/>
      <c r="Q196" s="242"/>
      <c r="R196" s="242"/>
      <c r="S196" s="242"/>
      <c r="T196" s="242"/>
      <c r="U196" s="242"/>
      <c r="V196" s="242"/>
      <c r="W196" s="242"/>
      <c r="X196" s="242"/>
      <c r="Y196" s="242"/>
      <c r="Z196" s="242"/>
      <c r="AA196" s="242"/>
      <c r="AB196" s="242"/>
      <c r="AC196" s="242"/>
      <c r="AD196" s="242"/>
      <c r="AE196" s="242"/>
      <c r="AF196" s="242"/>
      <c r="AG196" s="242"/>
      <c r="AH196" s="242"/>
    </row>
    <row r="197">
      <c r="A197" s="242"/>
      <c r="B197" s="242"/>
      <c r="C197" s="242"/>
      <c r="D197" s="242"/>
      <c r="E197" s="242"/>
      <c r="F197" s="242"/>
      <c r="G197" s="242"/>
      <c r="H197" s="242"/>
      <c r="I197" s="242"/>
      <c r="J197" s="242"/>
      <c r="K197" s="242"/>
      <c r="L197" s="242"/>
      <c r="M197" s="242"/>
      <c r="N197" s="242"/>
      <c r="O197" s="242"/>
      <c r="P197" s="242"/>
      <c r="Q197" s="242"/>
      <c r="R197" s="242"/>
      <c r="S197" s="242"/>
      <c r="T197" s="242"/>
      <c r="U197" s="242"/>
      <c r="V197" s="242"/>
      <c r="W197" s="242"/>
      <c r="X197" s="242"/>
      <c r="Y197" s="242"/>
      <c r="Z197" s="242"/>
      <c r="AA197" s="242"/>
      <c r="AB197" s="242"/>
      <c r="AC197" s="242"/>
      <c r="AD197" s="242"/>
      <c r="AE197" s="242"/>
      <c r="AF197" s="242"/>
      <c r="AG197" s="242"/>
      <c r="AH197" s="242"/>
    </row>
    <row r="198">
      <c r="A198" s="242"/>
      <c r="B198" s="242"/>
      <c r="C198" s="242"/>
      <c r="D198" s="242"/>
      <c r="E198" s="242"/>
      <c r="F198" s="242"/>
      <c r="G198" s="242"/>
      <c r="H198" s="242"/>
      <c r="I198" s="242"/>
      <c r="J198" s="242"/>
      <c r="K198" s="242"/>
      <c r="L198" s="242"/>
      <c r="M198" s="242"/>
      <c r="N198" s="242"/>
      <c r="O198" s="242"/>
      <c r="P198" s="242"/>
      <c r="Q198" s="242"/>
      <c r="R198" s="242"/>
      <c r="S198" s="242"/>
      <c r="T198" s="242"/>
      <c r="U198" s="242"/>
      <c r="V198" s="242"/>
      <c r="W198" s="242"/>
      <c r="X198" s="242"/>
      <c r="Y198" s="242"/>
      <c r="Z198" s="242"/>
      <c r="AA198" s="242"/>
      <c r="AB198" s="242"/>
      <c r="AC198" s="242"/>
      <c r="AD198" s="242"/>
      <c r="AE198" s="242"/>
      <c r="AF198" s="242"/>
      <c r="AG198" s="242"/>
      <c r="AH198" s="242"/>
    </row>
    <row r="199">
      <c r="A199" s="242"/>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c r="AA199" s="242"/>
      <c r="AB199" s="242"/>
      <c r="AC199" s="242"/>
      <c r="AD199" s="242"/>
      <c r="AE199" s="242"/>
      <c r="AF199" s="242"/>
      <c r="AG199" s="242"/>
      <c r="AH199" s="242"/>
    </row>
    <row r="200">
      <c r="A200" s="242"/>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c r="AA200" s="242"/>
      <c r="AB200" s="242"/>
      <c r="AC200" s="242"/>
      <c r="AD200" s="242"/>
      <c r="AE200" s="242"/>
      <c r="AF200" s="242"/>
      <c r="AG200" s="242"/>
      <c r="AH200" s="242"/>
    </row>
    <row r="201">
      <c r="A201" s="242"/>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c r="AA201" s="242"/>
      <c r="AB201" s="242"/>
      <c r="AC201" s="242"/>
      <c r="AD201" s="242"/>
      <c r="AE201" s="242"/>
      <c r="AF201" s="242"/>
      <c r="AG201" s="242"/>
      <c r="AH201" s="242"/>
    </row>
    <row r="202">
      <c r="A202" s="242"/>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c r="AA202" s="242"/>
      <c r="AB202" s="242"/>
      <c r="AC202" s="242"/>
      <c r="AD202" s="242"/>
      <c r="AE202" s="242"/>
      <c r="AF202" s="242"/>
      <c r="AG202" s="242"/>
      <c r="AH202" s="242"/>
    </row>
    <row r="203">
      <c r="A203" s="242"/>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c r="AA203" s="242"/>
      <c r="AB203" s="242"/>
      <c r="AC203" s="242"/>
      <c r="AD203" s="242"/>
      <c r="AE203" s="242"/>
      <c r="AF203" s="242"/>
      <c r="AG203" s="242"/>
      <c r="AH203" s="242"/>
    </row>
    <row r="204">
      <c r="A204" s="242"/>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c r="AA204" s="242"/>
      <c r="AB204" s="242"/>
      <c r="AC204" s="242"/>
      <c r="AD204" s="242"/>
      <c r="AE204" s="242"/>
      <c r="AF204" s="242"/>
      <c r="AG204" s="242"/>
      <c r="AH204" s="242"/>
    </row>
    <row r="205">
      <c r="A205" s="242"/>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c r="AA205" s="242"/>
      <c r="AB205" s="242"/>
      <c r="AC205" s="242"/>
      <c r="AD205" s="242"/>
      <c r="AE205" s="242"/>
      <c r="AF205" s="242"/>
      <c r="AG205" s="242"/>
      <c r="AH205" s="242"/>
    </row>
    <row r="206">
      <c r="A206" s="242"/>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c r="AA206" s="242"/>
      <c r="AB206" s="242"/>
      <c r="AC206" s="242"/>
      <c r="AD206" s="242"/>
      <c r="AE206" s="242"/>
      <c r="AF206" s="242"/>
      <c r="AG206" s="242"/>
      <c r="AH206" s="242"/>
    </row>
    <row r="207">
      <c r="A207" s="242"/>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c r="AA207" s="242"/>
      <c r="AB207" s="242"/>
      <c r="AC207" s="242"/>
      <c r="AD207" s="242"/>
      <c r="AE207" s="242"/>
      <c r="AF207" s="242"/>
      <c r="AG207" s="242"/>
      <c r="AH207" s="242"/>
    </row>
    <row r="208">
      <c r="A208" s="242"/>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c r="AA208" s="242"/>
      <c r="AB208" s="242"/>
      <c r="AC208" s="242"/>
      <c r="AD208" s="242"/>
      <c r="AE208" s="242"/>
      <c r="AF208" s="242"/>
      <c r="AG208" s="242"/>
      <c r="AH208" s="242"/>
    </row>
    <row r="209">
      <c r="A209" s="242"/>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c r="AA209" s="242"/>
      <c r="AB209" s="242"/>
      <c r="AC209" s="242"/>
      <c r="AD209" s="242"/>
      <c r="AE209" s="242"/>
      <c r="AF209" s="242"/>
      <c r="AG209" s="242"/>
      <c r="AH209" s="242"/>
    </row>
    <row r="210">
      <c r="A210" s="242"/>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c r="AA210" s="242"/>
      <c r="AB210" s="242"/>
      <c r="AC210" s="242"/>
      <c r="AD210" s="242"/>
      <c r="AE210" s="242"/>
      <c r="AF210" s="242"/>
      <c r="AG210" s="242"/>
      <c r="AH210" s="242"/>
    </row>
    <row r="211">
      <c r="A211" s="242"/>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c r="AA211" s="242"/>
      <c r="AB211" s="242"/>
      <c r="AC211" s="242"/>
      <c r="AD211" s="242"/>
      <c r="AE211" s="242"/>
      <c r="AF211" s="242"/>
      <c r="AG211" s="242"/>
      <c r="AH211" s="242"/>
    </row>
    <row r="212">
      <c r="A212" s="242"/>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c r="AA212" s="242"/>
      <c r="AB212" s="242"/>
      <c r="AC212" s="242"/>
      <c r="AD212" s="242"/>
      <c r="AE212" s="242"/>
      <c r="AF212" s="242"/>
      <c r="AG212" s="242"/>
      <c r="AH212" s="242"/>
    </row>
    <row r="213">
      <c r="A213" s="242"/>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c r="AA213" s="242"/>
      <c r="AB213" s="242"/>
      <c r="AC213" s="242"/>
      <c r="AD213" s="242"/>
      <c r="AE213" s="242"/>
      <c r="AF213" s="242"/>
      <c r="AG213" s="242"/>
      <c r="AH213" s="242"/>
    </row>
    <row r="214">
      <c r="A214" s="242"/>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c r="AA214" s="242"/>
      <c r="AB214" s="242"/>
      <c r="AC214" s="242"/>
      <c r="AD214" s="242"/>
      <c r="AE214" s="242"/>
      <c r="AF214" s="242"/>
      <c r="AG214" s="242"/>
      <c r="AH214" s="242"/>
    </row>
    <row r="215">
      <c r="A215" s="242"/>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c r="AA215" s="242"/>
      <c r="AB215" s="242"/>
      <c r="AC215" s="242"/>
      <c r="AD215" s="242"/>
      <c r="AE215" s="242"/>
      <c r="AF215" s="242"/>
      <c r="AG215" s="242"/>
      <c r="AH215" s="242"/>
    </row>
    <row r="216">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c r="AA216" s="242"/>
      <c r="AB216" s="242"/>
      <c r="AC216" s="242"/>
      <c r="AD216" s="242"/>
      <c r="AE216" s="242"/>
      <c r="AF216" s="242"/>
      <c r="AG216" s="242"/>
      <c r="AH216" s="242"/>
    </row>
    <row r="217">
      <c r="A217" s="242"/>
      <c r="B217" s="242"/>
      <c r="C217" s="242"/>
      <c r="D217" s="242"/>
      <c r="E217" s="242"/>
      <c r="F217" s="242"/>
      <c r="G217" s="242"/>
      <c r="H217" s="242"/>
      <c r="I217" s="242"/>
      <c r="J217" s="242"/>
      <c r="K217" s="242"/>
      <c r="L217" s="242"/>
      <c r="M217" s="242"/>
      <c r="N217" s="242"/>
      <c r="O217" s="242"/>
      <c r="P217" s="242"/>
      <c r="Q217" s="242"/>
      <c r="R217" s="242"/>
      <c r="S217" s="242"/>
      <c r="T217" s="242"/>
      <c r="U217" s="242"/>
      <c r="V217" s="242"/>
      <c r="W217" s="242"/>
      <c r="X217" s="242"/>
      <c r="Y217" s="242"/>
      <c r="Z217" s="242"/>
      <c r="AA217" s="242"/>
      <c r="AB217" s="242"/>
      <c r="AC217" s="242"/>
      <c r="AD217" s="242"/>
      <c r="AE217" s="242"/>
      <c r="AF217" s="242"/>
      <c r="AG217" s="242"/>
      <c r="AH217" s="242"/>
    </row>
    <row r="218">
      <c r="A218" s="242"/>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c r="AA218" s="242"/>
      <c r="AB218" s="242"/>
      <c r="AC218" s="242"/>
      <c r="AD218" s="242"/>
      <c r="AE218" s="242"/>
      <c r="AF218" s="242"/>
      <c r="AG218" s="242"/>
      <c r="AH218" s="242"/>
    </row>
    <row r="219">
      <c r="A219" s="242"/>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c r="AA219" s="242"/>
      <c r="AB219" s="242"/>
      <c r="AC219" s="242"/>
      <c r="AD219" s="242"/>
      <c r="AE219" s="242"/>
      <c r="AF219" s="242"/>
      <c r="AG219" s="242"/>
      <c r="AH219" s="242"/>
    </row>
    <row r="220">
      <c r="A220" s="242"/>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c r="AA220" s="242"/>
      <c r="AB220" s="242"/>
      <c r="AC220" s="242"/>
      <c r="AD220" s="242"/>
      <c r="AE220" s="242"/>
      <c r="AF220" s="242"/>
      <c r="AG220" s="242"/>
      <c r="AH220" s="242"/>
    </row>
    <row r="221">
      <c r="A221" s="242"/>
      <c r="B221" s="242"/>
      <c r="C221" s="242"/>
      <c r="D221" s="242"/>
      <c r="E221" s="242"/>
      <c r="F221" s="242"/>
      <c r="G221" s="242"/>
      <c r="H221" s="242"/>
      <c r="I221" s="242"/>
      <c r="J221" s="242"/>
      <c r="K221" s="242"/>
      <c r="L221" s="242"/>
      <c r="M221" s="242"/>
      <c r="N221" s="242"/>
      <c r="O221" s="242"/>
      <c r="P221" s="242"/>
      <c r="Q221" s="242"/>
      <c r="R221" s="242"/>
      <c r="S221" s="242"/>
      <c r="T221" s="242"/>
      <c r="U221" s="242"/>
      <c r="V221" s="242"/>
      <c r="W221" s="242"/>
      <c r="X221" s="242"/>
      <c r="Y221" s="242"/>
      <c r="Z221" s="242"/>
      <c r="AA221" s="242"/>
      <c r="AB221" s="242"/>
      <c r="AC221" s="242"/>
      <c r="AD221" s="242"/>
      <c r="AE221" s="242"/>
      <c r="AF221" s="242"/>
      <c r="AG221" s="242"/>
      <c r="AH221" s="242"/>
    </row>
    <row r="222">
      <c r="A222" s="242"/>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c r="AA222" s="242"/>
      <c r="AB222" s="242"/>
      <c r="AC222" s="242"/>
      <c r="AD222" s="242"/>
      <c r="AE222" s="242"/>
      <c r="AF222" s="242"/>
      <c r="AG222" s="242"/>
      <c r="AH222" s="242"/>
    </row>
    <row r="223">
      <c r="A223" s="242"/>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c r="AA223" s="242"/>
      <c r="AB223" s="242"/>
      <c r="AC223" s="242"/>
      <c r="AD223" s="242"/>
      <c r="AE223" s="242"/>
      <c r="AF223" s="242"/>
      <c r="AG223" s="242"/>
      <c r="AH223" s="242"/>
    </row>
    <row r="224">
      <c r="A224" s="242"/>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c r="AA224" s="242"/>
      <c r="AB224" s="242"/>
      <c r="AC224" s="242"/>
      <c r="AD224" s="242"/>
      <c r="AE224" s="242"/>
      <c r="AF224" s="242"/>
      <c r="AG224" s="242"/>
      <c r="AH224" s="242"/>
    </row>
    <row r="225">
      <c r="A225" s="242"/>
      <c r="B225" s="242"/>
      <c r="C225" s="242"/>
      <c r="D225" s="242"/>
      <c r="E225" s="242"/>
      <c r="F225" s="242"/>
      <c r="G225" s="242"/>
      <c r="H225" s="242"/>
      <c r="I225" s="242"/>
      <c r="J225" s="242"/>
      <c r="K225" s="242"/>
      <c r="L225" s="242"/>
      <c r="M225" s="242"/>
      <c r="N225" s="242"/>
      <c r="O225" s="242"/>
      <c r="P225" s="242"/>
      <c r="Q225" s="242"/>
      <c r="R225" s="242"/>
      <c r="S225" s="242"/>
      <c r="T225" s="242"/>
      <c r="U225" s="242"/>
      <c r="V225" s="242"/>
      <c r="W225" s="242"/>
      <c r="X225" s="242"/>
      <c r="Y225" s="242"/>
      <c r="Z225" s="242"/>
      <c r="AA225" s="242"/>
      <c r="AB225" s="242"/>
      <c r="AC225" s="242"/>
      <c r="AD225" s="242"/>
      <c r="AE225" s="242"/>
      <c r="AF225" s="242"/>
      <c r="AG225" s="242"/>
      <c r="AH225" s="242"/>
    </row>
    <row r="226">
      <c r="A226" s="242"/>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c r="AA226" s="242"/>
      <c r="AB226" s="242"/>
      <c r="AC226" s="242"/>
      <c r="AD226" s="242"/>
      <c r="AE226" s="242"/>
      <c r="AF226" s="242"/>
      <c r="AG226" s="242"/>
      <c r="AH226" s="242"/>
    </row>
    <row r="227">
      <c r="A227" s="242"/>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c r="AA227" s="242"/>
      <c r="AB227" s="242"/>
      <c r="AC227" s="242"/>
      <c r="AD227" s="242"/>
      <c r="AE227" s="242"/>
      <c r="AF227" s="242"/>
      <c r="AG227" s="242"/>
      <c r="AH227" s="242"/>
    </row>
    <row r="228">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c r="AA228" s="242"/>
      <c r="AB228" s="242"/>
      <c r="AC228" s="242"/>
      <c r="AD228" s="242"/>
      <c r="AE228" s="242"/>
      <c r="AF228" s="242"/>
      <c r="AG228" s="242"/>
      <c r="AH228" s="242"/>
    </row>
    <row r="229">
      <c r="A229" s="242"/>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c r="AA229" s="242"/>
      <c r="AB229" s="242"/>
      <c r="AC229" s="242"/>
      <c r="AD229" s="242"/>
      <c r="AE229" s="242"/>
      <c r="AF229" s="242"/>
      <c r="AG229" s="242"/>
      <c r="AH229" s="242"/>
    </row>
    <row r="230">
      <c r="A230" s="242"/>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c r="AA230" s="242"/>
      <c r="AB230" s="242"/>
      <c r="AC230" s="242"/>
      <c r="AD230" s="242"/>
      <c r="AE230" s="242"/>
      <c r="AF230" s="242"/>
      <c r="AG230" s="242"/>
      <c r="AH230" s="242"/>
    </row>
    <row r="231">
      <c r="A231" s="242"/>
      <c r="B231" s="242"/>
      <c r="C231" s="242"/>
      <c r="D231" s="242"/>
      <c r="E231" s="242"/>
      <c r="F231" s="242"/>
      <c r="G231" s="242"/>
      <c r="H231" s="242"/>
      <c r="I231" s="242"/>
      <c r="J231" s="242"/>
      <c r="K231" s="242"/>
      <c r="L231" s="242"/>
      <c r="M231" s="242"/>
      <c r="N231" s="242"/>
      <c r="O231" s="242"/>
      <c r="P231" s="242"/>
      <c r="Q231" s="242"/>
      <c r="R231" s="242"/>
      <c r="S231" s="242"/>
      <c r="T231" s="242"/>
      <c r="U231" s="242"/>
      <c r="V231" s="242"/>
      <c r="W231" s="242"/>
      <c r="X231" s="242"/>
      <c r="Y231" s="242"/>
      <c r="Z231" s="242"/>
      <c r="AA231" s="242"/>
      <c r="AB231" s="242"/>
      <c r="AC231" s="242"/>
      <c r="AD231" s="242"/>
      <c r="AE231" s="242"/>
      <c r="AF231" s="242"/>
      <c r="AG231" s="242"/>
      <c r="AH231" s="242"/>
    </row>
    <row r="232">
      <c r="A232" s="242"/>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c r="AA232" s="242"/>
      <c r="AB232" s="242"/>
      <c r="AC232" s="242"/>
      <c r="AD232" s="242"/>
      <c r="AE232" s="242"/>
      <c r="AF232" s="242"/>
      <c r="AG232" s="242"/>
      <c r="AH232" s="242"/>
    </row>
    <row r="233">
      <c r="A233" s="242"/>
      <c r="B233" s="242"/>
      <c r="C233" s="242"/>
      <c r="D233" s="242"/>
      <c r="E233" s="242"/>
      <c r="F233" s="242"/>
      <c r="G233" s="242"/>
      <c r="H233" s="242"/>
      <c r="I233" s="242"/>
      <c r="J233" s="242"/>
      <c r="K233" s="242"/>
      <c r="L233" s="242"/>
      <c r="M233" s="242"/>
      <c r="N233" s="242"/>
      <c r="O233" s="242"/>
      <c r="P233" s="242"/>
      <c r="Q233" s="242"/>
      <c r="R233" s="242"/>
      <c r="S233" s="242"/>
      <c r="T233" s="242"/>
      <c r="U233" s="242"/>
      <c r="V233" s="242"/>
      <c r="W233" s="242"/>
      <c r="X233" s="242"/>
      <c r="Y233" s="242"/>
      <c r="Z233" s="242"/>
      <c r="AA233" s="242"/>
      <c r="AB233" s="242"/>
      <c r="AC233" s="242"/>
      <c r="AD233" s="242"/>
      <c r="AE233" s="242"/>
      <c r="AF233" s="242"/>
      <c r="AG233" s="242"/>
      <c r="AH233" s="242"/>
    </row>
    <row r="234">
      <c r="A234" s="242"/>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c r="AA234" s="242"/>
      <c r="AB234" s="242"/>
      <c r="AC234" s="242"/>
      <c r="AD234" s="242"/>
      <c r="AE234" s="242"/>
      <c r="AF234" s="242"/>
      <c r="AG234" s="242"/>
      <c r="AH234" s="242"/>
    </row>
    <row r="235">
      <c r="A235" s="242"/>
      <c r="B235" s="242"/>
      <c r="C235" s="242"/>
      <c r="D235" s="242"/>
      <c r="E235" s="242"/>
      <c r="F235" s="242"/>
      <c r="G235" s="242"/>
      <c r="H235" s="242"/>
      <c r="I235" s="242"/>
      <c r="J235" s="242"/>
      <c r="K235" s="242"/>
      <c r="L235" s="242"/>
      <c r="M235" s="242"/>
      <c r="N235" s="242"/>
      <c r="O235" s="242"/>
      <c r="P235" s="242"/>
      <c r="Q235" s="242"/>
      <c r="R235" s="242"/>
      <c r="S235" s="242"/>
      <c r="T235" s="242"/>
      <c r="U235" s="242"/>
      <c r="V235" s="242"/>
      <c r="W235" s="242"/>
      <c r="X235" s="242"/>
      <c r="Y235" s="242"/>
      <c r="Z235" s="242"/>
      <c r="AA235" s="242"/>
      <c r="AB235" s="242"/>
      <c r="AC235" s="242"/>
      <c r="AD235" s="242"/>
      <c r="AE235" s="242"/>
      <c r="AF235" s="242"/>
      <c r="AG235" s="242"/>
      <c r="AH235" s="242"/>
    </row>
    <row r="236">
      <c r="A236" s="242"/>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c r="AA236" s="242"/>
      <c r="AB236" s="242"/>
      <c r="AC236" s="242"/>
      <c r="AD236" s="242"/>
      <c r="AE236" s="242"/>
      <c r="AF236" s="242"/>
      <c r="AG236" s="242"/>
      <c r="AH236" s="242"/>
    </row>
    <row r="237">
      <c r="A237" s="242"/>
      <c r="B237" s="242"/>
      <c r="C237" s="242"/>
      <c r="D237" s="242"/>
      <c r="E237" s="242"/>
      <c r="F237" s="242"/>
      <c r="G237" s="242"/>
      <c r="H237" s="242"/>
      <c r="I237" s="242"/>
      <c r="J237" s="242"/>
      <c r="K237" s="242"/>
      <c r="L237" s="242"/>
      <c r="M237" s="242"/>
      <c r="N237" s="242"/>
      <c r="O237" s="242"/>
      <c r="P237" s="242"/>
      <c r="Q237" s="242"/>
      <c r="R237" s="242"/>
      <c r="S237" s="242"/>
      <c r="T237" s="242"/>
      <c r="U237" s="242"/>
      <c r="V237" s="242"/>
      <c r="W237" s="242"/>
      <c r="X237" s="242"/>
      <c r="Y237" s="242"/>
      <c r="Z237" s="242"/>
      <c r="AA237" s="242"/>
      <c r="AB237" s="242"/>
      <c r="AC237" s="242"/>
      <c r="AD237" s="242"/>
      <c r="AE237" s="242"/>
      <c r="AF237" s="242"/>
      <c r="AG237" s="242"/>
      <c r="AH237" s="242"/>
    </row>
    <row r="238">
      <c r="A238" s="242"/>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c r="AA238" s="242"/>
      <c r="AB238" s="242"/>
      <c r="AC238" s="242"/>
      <c r="AD238" s="242"/>
      <c r="AE238" s="242"/>
      <c r="AF238" s="242"/>
      <c r="AG238" s="242"/>
      <c r="AH238" s="242"/>
    </row>
    <row r="239">
      <c r="A239" s="242"/>
      <c r="B239" s="242"/>
      <c r="C239" s="242"/>
      <c r="D239" s="242"/>
      <c r="E239" s="242"/>
      <c r="F239" s="242"/>
      <c r="G239" s="242"/>
      <c r="H239" s="242"/>
      <c r="I239" s="242"/>
      <c r="J239" s="242"/>
      <c r="K239" s="242"/>
      <c r="L239" s="242"/>
      <c r="M239" s="242"/>
      <c r="N239" s="242"/>
      <c r="O239" s="242"/>
      <c r="P239" s="242"/>
      <c r="Q239" s="242"/>
      <c r="R239" s="242"/>
      <c r="S239" s="242"/>
      <c r="T239" s="242"/>
      <c r="U239" s="242"/>
      <c r="V239" s="242"/>
      <c r="W239" s="242"/>
      <c r="X239" s="242"/>
      <c r="Y239" s="242"/>
      <c r="Z239" s="242"/>
      <c r="AA239" s="242"/>
      <c r="AB239" s="242"/>
      <c r="AC239" s="242"/>
      <c r="AD239" s="242"/>
      <c r="AE239" s="242"/>
      <c r="AF239" s="242"/>
      <c r="AG239" s="242"/>
      <c r="AH239" s="242"/>
    </row>
    <row r="240">
      <c r="A240" s="242"/>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c r="AA240" s="242"/>
      <c r="AB240" s="242"/>
      <c r="AC240" s="242"/>
      <c r="AD240" s="242"/>
      <c r="AE240" s="242"/>
      <c r="AF240" s="242"/>
      <c r="AG240" s="242"/>
      <c r="AH240" s="242"/>
    </row>
    <row r="241">
      <c r="A241" s="242"/>
      <c r="B241" s="242"/>
      <c r="C241" s="242"/>
      <c r="D241" s="242"/>
      <c r="E241" s="242"/>
      <c r="F241" s="242"/>
      <c r="G241" s="242"/>
      <c r="H241" s="242"/>
      <c r="I241" s="242"/>
      <c r="J241" s="242"/>
      <c r="K241" s="242"/>
      <c r="L241" s="242"/>
      <c r="M241" s="242"/>
      <c r="N241" s="242"/>
      <c r="O241" s="242"/>
      <c r="P241" s="242"/>
      <c r="Q241" s="242"/>
      <c r="R241" s="242"/>
      <c r="S241" s="242"/>
      <c r="T241" s="242"/>
      <c r="U241" s="242"/>
      <c r="V241" s="242"/>
      <c r="W241" s="242"/>
      <c r="X241" s="242"/>
      <c r="Y241" s="242"/>
      <c r="Z241" s="242"/>
      <c r="AA241" s="242"/>
      <c r="AB241" s="242"/>
      <c r="AC241" s="242"/>
      <c r="AD241" s="242"/>
      <c r="AE241" s="242"/>
      <c r="AF241" s="242"/>
      <c r="AG241" s="242"/>
      <c r="AH241" s="242"/>
    </row>
    <row r="242">
      <c r="A242" s="242"/>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c r="AA242" s="242"/>
      <c r="AB242" s="242"/>
      <c r="AC242" s="242"/>
      <c r="AD242" s="242"/>
      <c r="AE242" s="242"/>
      <c r="AF242" s="242"/>
      <c r="AG242" s="242"/>
      <c r="AH242" s="242"/>
    </row>
    <row r="243">
      <c r="A243" s="242"/>
      <c r="B243" s="242"/>
      <c r="C243" s="242"/>
      <c r="D243" s="242"/>
      <c r="E243" s="242"/>
      <c r="F243" s="242"/>
      <c r="G243" s="242"/>
      <c r="H243" s="242"/>
      <c r="I243" s="242"/>
      <c r="J243" s="242"/>
      <c r="K243" s="242"/>
      <c r="L243" s="242"/>
      <c r="M243" s="242"/>
      <c r="N243" s="242"/>
      <c r="O243" s="242"/>
      <c r="P243" s="242"/>
      <c r="Q243" s="242"/>
      <c r="R243" s="242"/>
      <c r="S243" s="242"/>
      <c r="T243" s="242"/>
      <c r="U243" s="242"/>
      <c r="V243" s="242"/>
      <c r="W243" s="242"/>
      <c r="X243" s="242"/>
      <c r="Y243" s="242"/>
      <c r="Z243" s="242"/>
      <c r="AA243" s="242"/>
      <c r="AB243" s="242"/>
      <c r="AC243" s="242"/>
      <c r="AD243" s="242"/>
      <c r="AE243" s="242"/>
      <c r="AF243" s="242"/>
      <c r="AG243" s="242"/>
      <c r="AH243" s="242"/>
    </row>
    <row r="244">
      <c r="A244" s="242"/>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c r="AA244" s="242"/>
      <c r="AB244" s="242"/>
      <c r="AC244" s="242"/>
      <c r="AD244" s="242"/>
      <c r="AE244" s="242"/>
      <c r="AF244" s="242"/>
      <c r="AG244" s="242"/>
      <c r="AH244" s="242"/>
    </row>
    <row r="245">
      <c r="A245" s="242"/>
      <c r="B245" s="242"/>
      <c r="C245" s="242"/>
      <c r="D245" s="242"/>
      <c r="E245" s="242"/>
      <c r="F245" s="242"/>
      <c r="G245" s="242"/>
      <c r="H245" s="242"/>
      <c r="I245" s="242"/>
      <c r="J245" s="242"/>
      <c r="K245" s="242"/>
      <c r="L245" s="242"/>
      <c r="M245" s="242"/>
      <c r="N245" s="242"/>
      <c r="O245" s="242"/>
      <c r="P245" s="242"/>
      <c r="Q245" s="242"/>
      <c r="R245" s="242"/>
      <c r="S245" s="242"/>
      <c r="T245" s="242"/>
      <c r="U245" s="242"/>
      <c r="V245" s="242"/>
      <c r="W245" s="242"/>
      <c r="X245" s="242"/>
      <c r="Y245" s="242"/>
      <c r="Z245" s="242"/>
      <c r="AA245" s="242"/>
      <c r="AB245" s="242"/>
      <c r="AC245" s="242"/>
      <c r="AD245" s="242"/>
      <c r="AE245" s="242"/>
      <c r="AF245" s="242"/>
      <c r="AG245" s="242"/>
      <c r="AH245" s="242"/>
    </row>
    <row r="246">
      <c r="A246" s="242"/>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c r="AA246" s="242"/>
      <c r="AB246" s="242"/>
      <c r="AC246" s="242"/>
      <c r="AD246" s="242"/>
      <c r="AE246" s="242"/>
      <c r="AF246" s="242"/>
      <c r="AG246" s="242"/>
      <c r="AH246" s="242"/>
    </row>
    <row r="247">
      <c r="A247" s="242"/>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c r="AA247" s="242"/>
      <c r="AB247" s="242"/>
      <c r="AC247" s="242"/>
      <c r="AD247" s="242"/>
      <c r="AE247" s="242"/>
      <c r="AF247" s="242"/>
      <c r="AG247" s="242"/>
      <c r="AH247" s="242"/>
    </row>
    <row r="248">
      <c r="A248" s="242"/>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c r="AA248" s="242"/>
      <c r="AB248" s="242"/>
      <c r="AC248" s="242"/>
      <c r="AD248" s="242"/>
      <c r="AE248" s="242"/>
      <c r="AF248" s="242"/>
      <c r="AG248" s="242"/>
      <c r="AH248" s="242"/>
    </row>
    <row r="249">
      <c r="A249" s="242"/>
      <c r="B249" s="242"/>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c r="AA249" s="242"/>
      <c r="AB249" s="242"/>
      <c r="AC249" s="242"/>
      <c r="AD249" s="242"/>
      <c r="AE249" s="242"/>
      <c r="AF249" s="242"/>
      <c r="AG249" s="242"/>
      <c r="AH249" s="242"/>
    </row>
    <row r="250">
      <c r="A250" s="242"/>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c r="AA250" s="242"/>
      <c r="AB250" s="242"/>
      <c r="AC250" s="242"/>
      <c r="AD250" s="242"/>
      <c r="AE250" s="242"/>
      <c r="AF250" s="242"/>
      <c r="AG250" s="242"/>
      <c r="AH250" s="242"/>
    </row>
    <row r="251">
      <c r="A251" s="242"/>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c r="AA251" s="242"/>
      <c r="AB251" s="242"/>
      <c r="AC251" s="242"/>
      <c r="AD251" s="242"/>
      <c r="AE251" s="242"/>
      <c r="AF251" s="242"/>
      <c r="AG251" s="242"/>
      <c r="AH251" s="242"/>
    </row>
    <row r="252">
      <c r="A252" s="242"/>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c r="AA252" s="242"/>
      <c r="AB252" s="242"/>
      <c r="AC252" s="242"/>
      <c r="AD252" s="242"/>
      <c r="AE252" s="242"/>
      <c r="AF252" s="242"/>
      <c r="AG252" s="242"/>
      <c r="AH252" s="242"/>
    </row>
    <row r="253">
      <c r="A253" s="242"/>
      <c r="B253" s="242"/>
      <c r="C253" s="242"/>
      <c r="D253" s="242"/>
      <c r="E253" s="242"/>
      <c r="F253" s="242"/>
      <c r="G253" s="242"/>
      <c r="H253" s="242"/>
      <c r="I253" s="242"/>
      <c r="J253" s="242"/>
      <c r="K253" s="242"/>
      <c r="L253" s="242"/>
      <c r="M253" s="242"/>
      <c r="N253" s="242"/>
      <c r="O253" s="242"/>
      <c r="P253" s="242"/>
      <c r="Q253" s="242"/>
      <c r="R253" s="242"/>
      <c r="S253" s="242"/>
      <c r="T253" s="242"/>
      <c r="U253" s="242"/>
      <c r="V253" s="242"/>
      <c r="W253" s="242"/>
      <c r="X253" s="242"/>
      <c r="Y253" s="242"/>
      <c r="Z253" s="242"/>
      <c r="AA253" s="242"/>
      <c r="AB253" s="242"/>
      <c r="AC253" s="242"/>
      <c r="AD253" s="242"/>
      <c r="AE253" s="242"/>
      <c r="AF253" s="242"/>
      <c r="AG253" s="242"/>
      <c r="AH253" s="242"/>
    </row>
    <row r="254">
      <c r="A254" s="242"/>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c r="AA254" s="242"/>
      <c r="AB254" s="242"/>
      <c r="AC254" s="242"/>
      <c r="AD254" s="242"/>
      <c r="AE254" s="242"/>
      <c r="AF254" s="242"/>
      <c r="AG254" s="242"/>
      <c r="AH254" s="242"/>
    </row>
    <row r="255">
      <c r="A255" s="242"/>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c r="AA255" s="242"/>
      <c r="AB255" s="242"/>
      <c r="AC255" s="242"/>
      <c r="AD255" s="242"/>
      <c r="AE255" s="242"/>
      <c r="AF255" s="242"/>
      <c r="AG255" s="242"/>
      <c r="AH255" s="242"/>
    </row>
    <row r="256">
      <c r="A256" s="242"/>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c r="AA256" s="242"/>
      <c r="AB256" s="242"/>
      <c r="AC256" s="242"/>
      <c r="AD256" s="242"/>
      <c r="AE256" s="242"/>
      <c r="AF256" s="242"/>
      <c r="AG256" s="242"/>
      <c r="AH256" s="242"/>
    </row>
    <row r="257">
      <c r="A257" s="242"/>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c r="AA257" s="242"/>
      <c r="AB257" s="242"/>
      <c r="AC257" s="242"/>
      <c r="AD257" s="242"/>
      <c r="AE257" s="242"/>
      <c r="AF257" s="242"/>
      <c r="AG257" s="242"/>
      <c r="AH257" s="242"/>
    </row>
    <row r="258">
      <c r="A258" s="242"/>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c r="AA258" s="242"/>
      <c r="AB258" s="242"/>
      <c r="AC258" s="242"/>
      <c r="AD258" s="242"/>
      <c r="AE258" s="242"/>
      <c r="AF258" s="242"/>
      <c r="AG258" s="242"/>
      <c r="AH258" s="242"/>
    </row>
    <row r="259">
      <c r="A259" s="242"/>
      <c r="B259" s="242"/>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c r="AA259" s="242"/>
      <c r="AB259" s="242"/>
      <c r="AC259" s="242"/>
      <c r="AD259" s="242"/>
      <c r="AE259" s="242"/>
      <c r="AF259" s="242"/>
      <c r="AG259" s="242"/>
      <c r="AH259" s="242"/>
    </row>
    <row r="260">
      <c r="A260" s="242"/>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c r="AA260" s="242"/>
      <c r="AB260" s="242"/>
      <c r="AC260" s="242"/>
      <c r="AD260" s="242"/>
      <c r="AE260" s="242"/>
      <c r="AF260" s="242"/>
      <c r="AG260" s="242"/>
      <c r="AH260" s="242"/>
    </row>
    <row r="261">
      <c r="A261" s="242"/>
      <c r="B261" s="242"/>
      <c r="C261" s="242"/>
      <c r="D261" s="242"/>
      <c r="E261" s="242"/>
      <c r="F261" s="242"/>
      <c r="G261" s="242"/>
      <c r="H261" s="242"/>
      <c r="I261" s="242"/>
      <c r="J261" s="242"/>
      <c r="K261" s="242"/>
      <c r="L261" s="242"/>
      <c r="M261" s="242"/>
      <c r="N261" s="242"/>
      <c r="O261" s="242"/>
      <c r="P261" s="242"/>
      <c r="Q261" s="242"/>
      <c r="R261" s="242"/>
      <c r="S261" s="242"/>
      <c r="T261" s="242"/>
      <c r="U261" s="242"/>
      <c r="V261" s="242"/>
      <c r="W261" s="242"/>
      <c r="X261" s="242"/>
      <c r="Y261" s="242"/>
      <c r="Z261" s="242"/>
      <c r="AA261" s="242"/>
      <c r="AB261" s="242"/>
      <c r="AC261" s="242"/>
      <c r="AD261" s="242"/>
      <c r="AE261" s="242"/>
      <c r="AF261" s="242"/>
      <c r="AG261" s="242"/>
      <c r="AH261" s="242"/>
    </row>
    <row r="262">
      <c r="A262" s="242"/>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c r="AA262" s="242"/>
      <c r="AB262" s="242"/>
      <c r="AC262" s="242"/>
      <c r="AD262" s="242"/>
      <c r="AE262" s="242"/>
      <c r="AF262" s="242"/>
      <c r="AG262" s="242"/>
      <c r="AH262" s="242"/>
    </row>
    <row r="263">
      <c r="A263" s="242"/>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c r="AA263" s="242"/>
      <c r="AB263" s="242"/>
      <c r="AC263" s="242"/>
      <c r="AD263" s="242"/>
      <c r="AE263" s="242"/>
      <c r="AF263" s="242"/>
      <c r="AG263" s="242"/>
      <c r="AH263" s="242"/>
    </row>
    <row r="264">
      <c r="A264" s="242"/>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c r="AA264" s="242"/>
      <c r="AB264" s="242"/>
      <c r="AC264" s="242"/>
      <c r="AD264" s="242"/>
      <c r="AE264" s="242"/>
      <c r="AF264" s="242"/>
      <c r="AG264" s="242"/>
      <c r="AH264" s="242"/>
    </row>
    <row r="265">
      <c r="A265" s="242"/>
      <c r="B265" s="242"/>
      <c r="C265" s="242"/>
      <c r="D265" s="242"/>
      <c r="E265" s="242"/>
      <c r="F265" s="242"/>
      <c r="G265" s="242"/>
      <c r="H265" s="242"/>
      <c r="I265" s="242"/>
      <c r="J265" s="242"/>
      <c r="K265" s="242"/>
      <c r="L265" s="242"/>
      <c r="M265" s="242"/>
      <c r="N265" s="242"/>
      <c r="O265" s="242"/>
      <c r="P265" s="242"/>
      <c r="Q265" s="242"/>
      <c r="R265" s="242"/>
      <c r="S265" s="242"/>
      <c r="T265" s="242"/>
      <c r="U265" s="242"/>
      <c r="V265" s="242"/>
      <c r="W265" s="242"/>
      <c r="X265" s="242"/>
      <c r="Y265" s="242"/>
      <c r="Z265" s="242"/>
      <c r="AA265" s="242"/>
      <c r="AB265" s="242"/>
      <c r="AC265" s="242"/>
      <c r="AD265" s="242"/>
      <c r="AE265" s="242"/>
      <c r="AF265" s="242"/>
      <c r="AG265" s="242"/>
      <c r="AH265" s="242"/>
    </row>
    <row r="266">
      <c r="A266" s="242"/>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c r="AA266" s="242"/>
      <c r="AB266" s="242"/>
      <c r="AC266" s="242"/>
      <c r="AD266" s="242"/>
      <c r="AE266" s="242"/>
      <c r="AF266" s="242"/>
      <c r="AG266" s="242"/>
      <c r="AH266" s="242"/>
    </row>
    <row r="267">
      <c r="A267" s="242"/>
      <c r="B267" s="242"/>
      <c r="C267" s="242"/>
      <c r="D267" s="242"/>
      <c r="E267" s="242"/>
      <c r="F267" s="242"/>
      <c r="G267" s="242"/>
      <c r="H267" s="242"/>
      <c r="I267" s="242"/>
      <c r="J267" s="242"/>
      <c r="K267" s="242"/>
      <c r="L267" s="242"/>
      <c r="M267" s="242"/>
      <c r="N267" s="242"/>
      <c r="O267" s="242"/>
      <c r="P267" s="242"/>
      <c r="Q267" s="242"/>
      <c r="R267" s="242"/>
      <c r="S267" s="242"/>
      <c r="T267" s="242"/>
      <c r="U267" s="242"/>
      <c r="V267" s="242"/>
      <c r="W267" s="242"/>
      <c r="X267" s="242"/>
      <c r="Y267" s="242"/>
      <c r="Z267" s="242"/>
      <c r="AA267" s="242"/>
      <c r="AB267" s="242"/>
      <c r="AC267" s="242"/>
      <c r="AD267" s="242"/>
      <c r="AE267" s="242"/>
      <c r="AF267" s="242"/>
      <c r="AG267" s="242"/>
      <c r="AH267" s="242"/>
    </row>
    <row r="268">
      <c r="A268" s="242"/>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c r="AA268" s="242"/>
      <c r="AB268" s="242"/>
      <c r="AC268" s="242"/>
      <c r="AD268" s="242"/>
      <c r="AE268" s="242"/>
      <c r="AF268" s="242"/>
      <c r="AG268" s="242"/>
      <c r="AH268" s="242"/>
    </row>
    <row r="269">
      <c r="A269" s="242"/>
      <c r="B269" s="242"/>
      <c r="C269" s="242"/>
      <c r="D269" s="242"/>
      <c r="E269" s="242"/>
      <c r="F269" s="242"/>
      <c r="G269" s="242"/>
      <c r="H269" s="242"/>
      <c r="I269" s="242"/>
      <c r="J269" s="242"/>
      <c r="K269" s="242"/>
      <c r="L269" s="242"/>
      <c r="M269" s="242"/>
      <c r="N269" s="242"/>
      <c r="O269" s="242"/>
      <c r="P269" s="242"/>
      <c r="Q269" s="242"/>
      <c r="R269" s="242"/>
      <c r="S269" s="242"/>
      <c r="T269" s="242"/>
      <c r="U269" s="242"/>
      <c r="V269" s="242"/>
      <c r="W269" s="242"/>
      <c r="X269" s="242"/>
      <c r="Y269" s="242"/>
      <c r="Z269" s="242"/>
      <c r="AA269" s="242"/>
      <c r="AB269" s="242"/>
      <c r="AC269" s="242"/>
      <c r="AD269" s="242"/>
      <c r="AE269" s="242"/>
      <c r="AF269" s="242"/>
      <c r="AG269" s="242"/>
      <c r="AH269" s="242"/>
    </row>
    <row r="270">
      <c r="A270" s="242"/>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c r="AA270" s="242"/>
      <c r="AB270" s="242"/>
      <c r="AC270" s="242"/>
      <c r="AD270" s="242"/>
      <c r="AE270" s="242"/>
      <c r="AF270" s="242"/>
      <c r="AG270" s="242"/>
      <c r="AH270" s="242"/>
    </row>
    <row r="271">
      <c r="A271" s="242"/>
      <c r="B271" s="242"/>
      <c r="C271" s="242"/>
      <c r="D271" s="242"/>
      <c r="E271" s="242"/>
      <c r="F271" s="242"/>
      <c r="G271" s="242"/>
      <c r="H271" s="242"/>
      <c r="I271" s="242"/>
      <c r="J271" s="242"/>
      <c r="K271" s="242"/>
      <c r="L271" s="242"/>
      <c r="M271" s="242"/>
      <c r="N271" s="242"/>
      <c r="O271" s="242"/>
      <c r="P271" s="242"/>
      <c r="Q271" s="242"/>
      <c r="R271" s="242"/>
      <c r="S271" s="242"/>
      <c r="T271" s="242"/>
      <c r="U271" s="242"/>
      <c r="V271" s="242"/>
      <c r="W271" s="242"/>
      <c r="X271" s="242"/>
      <c r="Y271" s="242"/>
      <c r="Z271" s="242"/>
      <c r="AA271" s="242"/>
      <c r="AB271" s="242"/>
      <c r="AC271" s="242"/>
      <c r="AD271" s="242"/>
      <c r="AE271" s="242"/>
      <c r="AF271" s="242"/>
      <c r="AG271" s="242"/>
      <c r="AH271" s="242"/>
    </row>
    <row r="272">
      <c r="A272" s="242"/>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c r="AA272" s="242"/>
      <c r="AB272" s="242"/>
      <c r="AC272" s="242"/>
      <c r="AD272" s="242"/>
      <c r="AE272" s="242"/>
      <c r="AF272" s="242"/>
      <c r="AG272" s="242"/>
      <c r="AH272" s="242"/>
    </row>
    <row r="273">
      <c r="A273" s="242"/>
      <c r="B273" s="242"/>
      <c r="C273" s="242"/>
      <c r="D273" s="242"/>
      <c r="E273" s="242"/>
      <c r="F273" s="242"/>
      <c r="G273" s="242"/>
      <c r="H273" s="242"/>
      <c r="I273" s="242"/>
      <c r="J273" s="242"/>
      <c r="K273" s="242"/>
      <c r="L273" s="242"/>
      <c r="M273" s="242"/>
      <c r="N273" s="242"/>
      <c r="O273" s="242"/>
      <c r="P273" s="242"/>
      <c r="Q273" s="242"/>
      <c r="R273" s="242"/>
      <c r="S273" s="242"/>
      <c r="T273" s="242"/>
      <c r="U273" s="242"/>
      <c r="V273" s="242"/>
      <c r="W273" s="242"/>
      <c r="X273" s="242"/>
      <c r="Y273" s="242"/>
      <c r="Z273" s="242"/>
      <c r="AA273" s="242"/>
      <c r="AB273" s="242"/>
      <c r="AC273" s="242"/>
      <c r="AD273" s="242"/>
      <c r="AE273" s="242"/>
      <c r="AF273" s="242"/>
      <c r="AG273" s="242"/>
      <c r="AH273" s="242"/>
    </row>
    <row r="274">
      <c r="A274" s="242"/>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c r="AA274" s="242"/>
      <c r="AB274" s="242"/>
      <c r="AC274" s="242"/>
      <c r="AD274" s="242"/>
      <c r="AE274" s="242"/>
      <c r="AF274" s="242"/>
      <c r="AG274" s="242"/>
      <c r="AH274" s="242"/>
    </row>
    <row r="275">
      <c r="A275" s="242"/>
      <c r="B275" s="242"/>
      <c r="C275" s="242"/>
      <c r="D275" s="242"/>
      <c r="E275" s="242"/>
      <c r="F275" s="242"/>
      <c r="G275" s="242"/>
      <c r="H275" s="242"/>
      <c r="I275" s="242"/>
      <c r="J275" s="242"/>
      <c r="K275" s="242"/>
      <c r="L275" s="242"/>
      <c r="M275" s="242"/>
      <c r="N275" s="242"/>
      <c r="O275" s="242"/>
      <c r="P275" s="242"/>
      <c r="Q275" s="242"/>
      <c r="R275" s="242"/>
      <c r="S275" s="242"/>
      <c r="T275" s="242"/>
      <c r="U275" s="242"/>
      <c r="V275" s="242"/>
      <c r="W275" s="242"/>
      <c r="X275" s="242"/>
      <c r="Y275" s="242"/>
      <c r="Z275" s="242"/>
      <c r="AA275" s="242"/>
      <c r="AB275" s="242"/>
      <c r="AC275" s="242"/>
      <c r="AD275" s="242"/>
      <c r="AE275" s="242"/>
      <c r="AF275" s="242"/>
      <c r="AG275" s="242"/>
      <c r="AH275" s="242"/>
    </row>
    <row r="276">
      <c r="A276" s="2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c r="AA276" s="242"/>
      <c r="AB276" s="242"/>
      <c r="AC276" s="242"/>
      <c r="AD276" s="242"/>
      <c r="AE276" s="242"/>
      <c r="AF276" s="242"/>
      <c r="AG276" s="242"/>
      <c r="AH276" s="242"/>
    </row>
    <row r="277">
      <c r="A277" s="242"/>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c r="AA277" s="242"/>
      <c r="AB277" s="242"/>
      <c r="AC277" s="242"/>
      <c r="AD277" s="242"/>
      <c r="AE277" s="242"/>
      <c r="AF277" s="242"/>
      <c r="AG277" s="242"/>
      <c r="AH277" s="242"/>
    </row>
    <row r="278">
      <c r="A278" s="242"/>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c r="AA278" s="242"/>
      <c r="AB278" s="242"/>
      <c r="AC278" s="242"/>
      <c r="AD278" s="242"/>
      <c r="AE278" s="242"/>
      <c r="AF278" s="242"/>
      <c r="AG278" s="242"/>
      <c r="AH278" s="242"/>
    </row>
    <row r="279">
      <c r="A279" s="242"/>
      <c r="B279" s="242"/>
      <c r="C279" s="242"/>
      <c r="D279" s="242"/>
      <c r="E279" s="242"/>
      <c r="F279" s="242"/>
      <c r="G279" s="242"/>
      <c r="H279" s="242"/>
      <c r="I279" s="242"/>
      <c r="J279" s="242"/>
      <c r="K279" s="242"/>
      <c r="L279" s="242"/>
      <c r="M279" s="242"/>
      <c r="N279" s="242"/>
      <c r="O279" s="242"/>
      <c r="P279" s="242"/>
      <c r="Q279" s="242"/>
      <c r="R279" s="242"/>
      <c r="S279" s="242"/>
      <c r="T279" s="242"/>
      <c r="U279" s="242"/>
      <c r="V279" s="242"/>
      <c r="W279" s="242"/>
      <c r="X279" s="242"/>
      <c r="Y279" s="242"/>
      <c r="Z279" s="242"/>
      <c r="AA279" s="242"/>
      <c r="AB279" s="242"/>
      <c r="AC279" s="242"/>
      <c r="AD279" s="242"/>
      <c r="AE279" s="242"/>
      <c r="AF279" s="242"/>
      <c r="AG279" s="242"/>
      <c r="AH279" s="242"/>
    </row>
    <row r="280">
      <c r="A280" s="242"/>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c r="AA280" s="242"/>
      <c r="AB280" s="242"/>
      <c r="AC280" s="242"/>
      <c r="AD280" s="242"/>
      <c r="AE280" s="242"/>
      <c r="AF280" s="242"/>
      <c r="AG280" s="242"/>
      <c r="AH280" s="242"/>
    </row>
    <row r="281">
      <c r="A281" s="242"/>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c r="AA281" s="242"/>
      <c r="AB281" s="242"/>
      <c r="AC281" s="242"/>
      <c r="AD281" s="242"/>
      <c r="AE281" s="242"/>
      <c r="AF281" s="242"/>
      <c r="AG281" s="242"/>
      <c r="AH281" s="242"/>
    </row>
    <row r="282">
      <c r="A282" s="242"/>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c r="AA282" s="242"/>
      <c r="AB282" s="242"/>
      <c r="AC282" s="242"/>
      <c r="AD282" s="242"/>
      <c r="AE282" s="242"/>
      <c r="AF282" s="242"/>
      <c r="AG282" s="242"/>
      <c r="AH282" s="242"/>
    </row>
    <row r="283">
      <c r="A283" s="242"/>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c r="AA283" s="242"/>
      <c r="AB283" s="242"/>
      <c r="AC283" s="242"/>
      <c r="AD283" s="242"/>
      <c r="AE283" s="242"/>
      <c r="AF283" s="242"/>
      <c r="AG283" s="242"/>
      <c r="AH283" s="242"/>
    </row>
    <row r="284">
      <c r="A284" s="242"/>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c r="AA284" s="242"/>
      <c r="AB284" s="242"/>
      <c r="AC284" s="242"/>
      <c r="AD284" s="242"/>
      <c r="AE284" s="242"/>
      <c r="AF284" s="242"/>
      <c r="AG284" s="242"/>
      <c r="AH284" s="242"/>
    </row>
    <row r="285">
      <c r="A285" s="242"/>
      <c r="B285" s="242"/>
      <c r="C285" s="242"/>
      <c r="D285" s="242"/>
      <c r="E285" s="242"/>
      <c r="F285" s="242"/>
      <c r="G285" s="242"/>
      <c r="H285" s="242"/>
      <c r="I285" s="242"/>
      <c r="J285" s="242"/>
      <c r="K285" s="242"/>
      <c r="L285" s="242"/>
      <c r="M285" s="242"/>
      <c r="N285" s="242"/>
      <c r="O285" s="242"/>
      <c r="P285" s="242"/>
      <c r="Q285" s="242"/>
      <c r="R285" s="242"/>
      <c r="S285" s="242"/>
      <c r="T285" s="242"/>
      <c r="U285" s="242"/>
      <c r="V285" s="242"/>
      <c r="W285" s="242"/>
      <c r="X285" s="242"/>
      <c r="Y285" s="242"/>
      <c r="Z285" s="242"/>
      <c r="AA285" s="242"/>
      <c r="AB285" s="242"/>
      <c r="AC285" s="242"/>
      <c r="AD285" s="242"/>
      <c r="AE285" s="242"/>
      <c r="AF285" s="242"/>
      <c r="AG285" s="242"/>
      <c r="AH285" s="242"/>
    </row>
    <row r="286">
      <c r="A286" s="2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c r="AA286" s="242"/>
      <c r="AB286" s="242"/>
      <c r="AC286" s="242"/>
      <c r="AD286" s="242"/>
      <c r="AE286" s="242"/>
      <c r="AF286" s="242"/>
      <c r="AG286" s="242"/>
      <c r="AH286" s="242"/>
    </row>
    <row r="287">
      <c r="A287" s="242"/>
      <c r="B287" s="242"/>
      <c r="C287" s="242"/>
      <c r="D287" s="242"/>
      <c r="E287" s="242"/>
      <c r="F287" s="242"/>
      <c r="G287" s="242"/>
      <c r="H287" s="242"/>
      <c r="I287" s="242"/>
      <c r="J287" s="242"/>
      <c r="K287" s="242"/>
      <c r="L287" s="242"/>
      <c r="M287" s="242"/>
      <c r="N287" s="242"/>
      <c r="O287" s="242"/>
      <c r="P287" s="242"/>
      <c r="Q287" s="242"/>
      <c r="R287" s="242"/>
      <c r="S287" s="242"/>
      <c r="T287" s="242"/>
      <c r="U287" s="242"/>
      <c r="V287" s="242"/>
      <c r="W287" s="242"/>
      <c r="X287" s="242"/>
      <c r="Y287" s="242"/>
      <c r="Z287" s="242"/>
      <c r="AA287" s="242"/>
      <c r="AB287" s="242"/>
      <c r="AC287" s="242"/>
      <c r="AD287" s="242"/>
      <c r="AE287" s="242"/>
      <c r="AF287" s="242"/>
      <c r="AG287" s="242"/>
      <c r="AH287" s="242"/>
    </row>
    <row r="288">
      <c r="A288" s="242"/>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c r="AA288" s="242"/>
      <c r="AB288" s="242"/>
      <c r="AC288" s="242"/>
      <c r="AD288" s="242"/>
      <c r="AE288" s="242"/>
      <c r="AF288" s="242"/>
      <c r="AG288" s="242"/>
      <c r="AH288" s="242"/>
    </row>
    <row r="289">
      <c r="A289" s="242"/>
      <c r="B289" s="242"/>
      <c r="C289" s="242"/>
      <c r="D289" s="242"/>
      <c r="E289" s="242"/>
      <c r="F289" s="242"/>
      <c r="G289" s="242"/>
      <c r="H289" s="242"/>
      <c r="I289" s="242"/>
      <c r="J289" s="242"/>
      <c r="K289" s="242"/>
      <c r="L289" s="242"/>
      <c r="M289" s="242"/>
      <c r="N289" s="242"/>
      <c r="O289" s="242"/>
      <c r="P289" s="242"/>
      <c r="Q289" s="242"/>
      <c r="R289" s="242"/>
      <c r="S289" s="242"/>
      <c r="T289" s="242"/>
      <c r="U289" s="242"/>
      <c r="V289" s="242"/>
      <c r="W289" s="242"/>
      <c r="X289" s="242"/>
      <c r="Y289" s="242"/>
      <c r="Z289" s="242"/>
      <c r="AA289" s="242"/>
      <c r="AB289" s="242"/>
      <c r="AC289" s="242"/>
      <c r="AD289" s="242"/>
      <c r="AE289" s="242"/>
      <c r="AF289" s="242"/>
      <c r="AG289" s="242"/>
      <c r="AH289" s="242"/>
    </row>
    <row r="290">
      <c r="A290" s="2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c r="AA290" s="242"/>
      <c r="AB290" s="242"/>
      <c r="AC290" s="242"/>
      <c r="AD290" s="242"/>
      <c r="AE290" s="242"/>
      <c r="AF290" s="242"/>
      <c r="AG290" s="242"/>
      <c r="AH290" s="242"/>
    </row>
    <row r="291">
      <c r="A291" s="242"/>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c r="AA291" s="242"/>
      <c r="AB291" s="242"/>
      <c r="AC291" s="242"/>
      <c r="AD291" s="242"/>
      <c r="AE291" s="242"/>
      <c r="AF291" s="242"/>
      <c r="AG291" s="242"/>
      <c r="AH291" s="242"/>
    </row>
    <row r="292">
      <c r="A292" s="242"/>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c r="AA292" s="242"/>
      <c r="AB292" s="242"/>
      <c r="AC292" s="242"/>
      <c r="AD292" s="242"/>
      <c r="AE292" s="242"/>
      <c r="AF292" s="242"/>
      <c r="AG292" s="242"/>
      <c r="AH292" s="242"/>
    </row>
    <row r="293">
      <c r="A293" s="242"/>
      <c r="B293" s="242"/>
      <c r="C293" s="242"/>
      <c r="D293" s="242"/>
      <c r="E293" s="242"/>
      <c r="F293" s="242"/>
      <c r="G293" s="242"/>
      <c r="H293" s="242"/>
      <c r="I293" s="242"/>
      <c r="J293" s="242"/>
      <c r="K293" s="242"/>
      <c r="L293" s="242"/>
      <c r="M293" s="242"/>
      <c r="N293" s="242"/>
      <c r="O293" s="242"/>
      <c r="P293" s="242"/>
      <c r="Q293" s="242"/>
      <c r="R293" s="242"/>
      <c r="S293" s="242"/>
      <c r="T293" s="242"/>
      <c r="U293" s="242"/>
      <c r="V293" s="242"/>
      <c r="W293" s="242"/>
      <c r="X293" s="242"/>
      <c r="Y293" s="242"/>
      <c r="Z293" s="242"/>
      <c r="AA293" s="242"/>
      <c r="AB293" s="242"/>
      <c r="AC293" s="242"/>
      <c r="AD293" s="242"/>
      <c r="AE293" s="242"/>
      <c r="AF293" s="242"/>
      <c r="AG293" s="242"/>
      <c r="AH293" s="242"/>
    </row>
    <row r="294">
      <c r="A294" s="2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c r="AA294" s="242"/>
      <c r="AB294" s="242"/>
      <c r="AC294" s="242"/>
      <c r="AD294" s="242"/>
      <c r="AE294" s="242"/>
      <c r="AF294" s="242"/>
      <c r="AG294" s="242"/>
      <c r="AH294" s="242"/>
    </row>
    <row r="295">
      <c r="A295" s="242"/>
      <c r="B295" s="242"/>
      <c r="C295" s="242"/>
      <c r="D295" s="242"/>
      <c r="E295" s="242"/>
      <c r="F295" s="242"/>
      <c r="G295" s="242"/>
      <c r="H295" s="242"/>
      <c r="I295" s="242"/>
      <c r="J295" s="242"/>
      <c r="K295" s="242"/>
      <c r="L295" s="242"/>
      <c r="M295" s="242"/>
      <c r="N295" s="242"/>
      <c r="O295" s="242"/>
      <c r="P295" s="242"/>
      <c r="Q295" s="242"/>
      <c r="R295" s="242"/>
      <c r="S295" s="242"/>
      <c r="T295" s="242"/>
      <c r="U295" s="242"/>
      <c r="V295" s="242"/>
      <c r="W295" s="242"/>
      <c r="X295" s="242"/>
      <c r="Y295" s="242"/>
      <c r="Z295" s="242"/>
      <c r="AA295" s="242"/>
      <c r="AB295" s="242"/>
      <c r="AC295" s="242"/>
      <c r="AD295" s="242"/>
      <c r="AE295" s="242"/>
      <c r="AF295" s="242"/>
      <c r="AG295" s="242"/>
      <c r="AH295" s="242"/>
    </row>
    <row r="296">
      <c r="A296" s="242"/>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c r="AA296" s="242"/>
      <c r="AB296" s="242"/>
      <c r="AC296" s="242"/>
      <c r="AD296" s="242"/>
      <c r="AE296" s="242"/>
      <c r="AF296" s="242"/>
      <c r="AG296" s="242"/>
      <c r="AH296" s="242"/>
    </row>
    <row r="297">
      <c r="A297" s="242"/>
      <c r="B297" s="242"/>
      <c r="C297" s="242"/>
      <c r="D297" s="242"/>
      <c r="E297" s="242"/>
      <c r="F297" s="242"/>
      <c r="G297" s="242"/>
      <c r="H297" s="242"/>
      <c r="I297" s="242"/>
      <c r="J297" s="242"/>
      <c r="K297" s="242"/>
      <c r="L297" s="242"/>
      <c r="M297" s="242"/>
      <c r="N297" s="242"/>
      <c r="O297" s="242"/>
      <c r="P297" s="242"/>
      <c r="Q297" s="242"/>
      <c r="R297" s="242"/>
      <c r="S297" s="242"/>
      <c r="T297" s="242"/>
      <c r="U297" s="242"/>
      <c r="V297" s="242"/>
      <c r="W297" s="242"/>
      <c r="X297" s="242"/>
      <c r="Y297" s="242"/>
      <c r="Z297" s="242"/>
      <c r="AA297" s="242"/>
      <c r="AB297" s="242"/>
      <c r="AC297" s="242"/>
      <c r="AD297" s="242"/>
      <c r="AE297" s="242"/>
      <c r="AF297" s="242"/>
      <c r="AG297" s="242"/>
      <c r="AH297" s="242"/>
    </row>
    <row r="298">
      <c r="A298" s="242"/>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c r="AA298" s="242"/>
      <c r="AB298" s="242"/>
      <c r="AC298" s="242"/>
      <c r="AD298" s="242"/>
      <c r="AE298" s="242"/>
      <c r="AF298" s="242"/>
      <c r="AG298" s="242"/>
      <c r="AH298" s="242"/>
    </row>
    <row r="299">
      <c r="A299" s="242"/>
      <c r="B299" s="242"/>
      <c r="C299" s="242"/>
      <c r="D299" s="242"/>
      <c r="E299" s="242"/>
      <c r="F299" s="242"/>
      <c r="G299" s="242"/>
      <c r="H299" s="242"/>
      <c r="I299" s="242"/>
      <c r="J299" s="242"/>
      <c r="K299" s="242"/>
      <c r="L299" s="242"/>
      <c r="M299" s="242"/>
      <c r="N299" s="242"/>
      <c r="O299" s="242"/>
      <c r="P299" s="242"/>
      <c r="Q299" s="242"/>
      <c r="R299" s="242"/>
      <c r="S299" s="242"/>
      <c r="T299" s="242"/>
      <c r="U299" s="242"/>
      <c r="V299" s="242"/>
      <c r="W299" s="242"/>
      <c r="X299" s="242"/>
      <c r="Y299" s="242"/>
      <c r="Z299" s="242"/>
      <c r="AA299" s="242"/>
      <c r="AB299" s="242"/>
      <c r="AC299" s="242"/>
      <c r="AD299" s="242"/>
      <c r="AE299" s="242"/>
      <c r="AF299" s="242"/>
      <c r="AG299" s="242"/>
      <c r="AH299" s="242"/>
    </row>
    <row r="300">
      <c r="A300" s="242"/>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c r="AA300" s="242"/>
      <c r="AB300" s="242"/>
      <c r="AC300" s="242"/>
      <c r="AD300" s="242"/>
      <c r="AE300" s="242"/>
      <c r="AF300" s="242"/>
      <c r="AG300" s="242"/>
      <c r="AH300" s="242"/>
    </row>
    <row r="301">
      <c r="A301" s="242"/>
      <c r="B301" s="242"/>
      <c r="C301" s="242"/>
      <c r="D301" s="242"/>
      <c r="E301" s="242"/>
      <c r="F301" s="242"/>
      <c r="G301" s="242"/>
      <c r="H301" s="242"/>
      <c r="I301" s="242"/>
      <c r="J301" s="242"/>
      <c r="K301" s="242"/>
      <c r="L301" s="242"/>
      <c r="M301" s="242"/>
      <c r="N301" s="242"/>
      <c r="O301" s="242"/>
      <c r="P301" s="242"/>
      <c r="Q301" s="242"/>
      <c r="R301" s="242"/>
      <c r="S301" s="242"/>
      <c r="T301" s="242"/>
      <c r="U301" s="242"/>
      <c r="V301" s="242"/>
      <c r="W301" s="242"/>
      <c r="X301" s="242"/>
      <c r="Y301" s="242"/>
      <c r="Z301" s="242"/>
      <c r="AA301" s="242"/>
      <c r="AB301" s="242"/>
      <c r="AC301" s="242"/>
      <c r="AD301" s="242"/>
      <c r="AE301" s="242"/>
      <c r="AF301" s="242"/>
      <c r="AG301" s="242"/>
      <c r="AH301" s="242"/>
    </row>
    <row r="302">
      <c r="A302" s="242"/>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c r="AA302" s="242"/>
      <c r="AB302" s="242"/>
      <c r="AC302" s="242"/>
      <c r="AD302" s="242"/>
      <c r="AE302" s="242"/>
      <c r="AF302" s="242"/>
      <c r="AG302" s="242"/>
      <c r="AH302" s="242"/>
    </row>
    <row r="303">
      <c r="A303" s="242"/>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c r="AA303" s="242"/>
      <c r="AB303" s="242"/>
      <c r="AC303" s="242"/>
      <c r="AD303" s="242"/>
      <c r="AE303" s="242"/>
      <c r="AF303" s="242"/>
      <c r="AG303" s="242"/>
      <c r="AH303" s="242"/>
    </row>
    <row r="304">
      <c r="A304" s="242"/>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c r="AA304" s="242"/>
      <c r="AB304" s="242"/>
      <c r="AC304" s="242"/>
      <c r="AD304" s="242"/>
      <c r="AE304" s="242"/>
      <c r="AF304" s="242"/>
      <c r="AG304" s="242"/>
      <c r="AH304" s="242"/>
    </row>
    <row r="305">
      <c r="A305" s="242"/>
      <c r="B305" s="242"/>
      <c r="C305" s="242"/>
      <c r="D305" s="242"/>
      <c r="E305" s="242"/>
      <c r="F305" s="242"/>
      <c r="G305" s="242"/>
      <c r="H305" s="242"/>
      <c r="I305" s="242"/>
      <c r="J305" s="242"/>
      <c r="K305" s="242"/>
      <c r="L305" s="242"/>
      <c r="M305" s="242"/>
      <c r="N305" s="242"/>
      <c r="O305" s="242"/>
      <c r="P305" s="242"/>
      <c r="Q305" s="242"/>
      <c r="R305" s="242"/>
      <c r="S305" s="242"/>
      <c r="T305" s="242"/>
      <c r="U305" s="242"/>
      <c r="V305" s="242"/>
      <c r="W305" s="242"/>
      <c r="X305" s="242"/>
      <c r="Y305" s="242"/>
      <c r="Z305" s="242"/>
      <c r="AA305" s="242"/>
      <c r="AB305" s="242"/>
      <c r="AC305" s="242"/>
      <c r="AD305" s="242"/>
      <c r="AE305" s="242"/>
      <c r="AF305" s="242"/>
      <c r="AG305" s="242"/>
      <c r="AH305" s="242"/>
    </row>
    <row r="306">
      <c r="A306" s="242"/>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c r="AA306" s="242"/>
      <c r="AB306" s="242"/>
      <c r="AC306" s="242"/>
      <c r="AD306" s="242"/>
      <c r="AE306" s="242"/>
      <c r="AF306" s="242"/>
      <c r="AG306" s="242"/>
      <c r="AH306" s="242"/>
    </row>
    <row r="307">
      <c r="A307" s="242"/>
      <c r="B307" s="242"/>
      <c r="C307" s="242"/>
      <c r="D307" s="242"/>
      <c r="E307" s="242"/>
      <c r="F307" s="242"/>
      <c r="G307" s="242"/>
      <c r="H307" s="242"/>
      <c r="I307" s="242"/>
      <c r="J307" s="242"/>
      <c r="K307" s="242"/>
      <c r="L307" s="242"/>
      <c r="M307" s="242"/>
      <c r="N307" s="242"/>
      <c r="O307" s="242"/>
      <c r="P307" s="242"/>
      <c r="Q307" s="242"/>
      <c r="R307" s="242"/>
      <c r="S307" s="242"/>
      <c r="T307" s="242"/>
      <c r="U307" s="242"/>
      <c r="V307" s="242"/>
      <c r="W307" s="242"/>
      <c r="X307" s="242"/>
      <c r="Y307" s="242"/>
      <c r="Z307" s="242"/>
      <c r="AA307" s="242"/>
      <c r="AB307" s="242"/>
      <c r="AC307" s="242"/>
      <c r="AD307" s="242"/>
      <c r="AE307" s="242"/>
      <c r="AF307" s="242"/>
      <c r="AG307" s="242"/>
      <c r="AH307" s="242"/>
    </row>
    <row r="308">
      <c r="A308" s="24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c r="AA308" s="242"/>
      <c r="AB308" s="242"/>
      <c r="AC308" s="242"/>
      <c r="AD308" s="242"/>
      <c r="AE308" s="242"/>
      <c r="AF308" s="242"/>
      <c r="AG308" s="242"/>
      <c r="AH308" s="242"/>
    </row>
    <row r="309">
      <c r="A309" s="242"/>
      <c r="B309" s="242"/>
      <c r="C309" s="242"/>
      <c r="D309" s="242"/>
      <c r="E309" s="242"/>
      <c r="F309" s="242"/>
      <c r="G309" s="242"/>
      <c r="H309" s="242"/>
      <c r="I309" s="242"/>
      <c r="J309" s="242"/>
      <c r="K309" s="242"/>
      <c r="L309" s="242"/>
      <c r="M309" s="242"/>
      <c r="N309" s="242"/>
      <c r="O309" s="242"/>
      <c r="P309" s="242"/>
      <c r="Q309" s="242"/>
      <c r="R309" s="242"/>
      <c r="S309" s="242"/>
      <c r="T309" s="242"/>
      <c r="U309" s="242"/>
      <c r="V309" s="242"/>
      <c r="W309" s="242"/>
      <c r="X309" s="242"/>
      <c r="Y309" s="242"/>
      <c r="Z309" s="242"/>
      <c r="AA309" s="242"/>
      <c r="AB309" s="242"/>
      <c r="AC309" s="242"/>
      <c r="AD309" s="242"/>
      <c r="AE309" s="242"/>
      <c r="AF309" s="242"/>
      <c r="AG309" s="242"/>
      <c r="AH309" s="242"/>
    </row>
    <row r="310">
      <c r="A310" s="242"/>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c r="AA310" s="242"/>
      <c r="AB310" s="242"/>
      <c r="AC310" s="242"/>
      <c r="AD310" s="242"/>
      <c r="AE310" s="242"/>
      <c r="AF310" s="242"/>
      <c r="AG310" s="242"/>
      <c r="AH310" s="242"/>
    </row>
    <row r="311">
      <c r="A311" s="242"/>
      <c r="B311" s="242"/>
      <c r="C311" s="242"/>
      <c r="D311" s="242"/>
      <c r="E311" s="242"/>
      <c r="F311" s="242"/>
      <c r="G311" s="242"/>
      <c r="H311" s="242"/>
      <c r="I311" s="242"/>
      <c r="J311" s="242"/>
      <c r="K311" s="242"/>
      <c r="L311" s="242"/>
      <c r="M311" s="242"/>
      <c r="N311" s="242"/>
      <c r="O311" s="242"/>
      <c r="P311" s="242"/>
      <c r="Q311" s="242"/>
      <c r="R311" s="242"/>
      <c r="S311" s="242"/>
      <c r="T311" s="242"/>
      <c r="U311" s="242"/>
      <c r="V311" s="242"/>
      <c r="W311" s="242"/>
      <c r="X311" s="242"/>
      <c r="Y311" s="242"/>
      <c r="Z311" s="242"/>
      <c r="AA311" s="242"/>
      <c r="AB311" s="242"/>
      <c r="AC311" s="242"/>
      <c r="AD311" s="242"/>
      <c r="AE311" s="242"/>
      <c r="AF311" s="242"/>
      <c r="AG311" s="242"/>
      <c r="AH311" s="242"/>
    </row>
    <row r="312">
      <c r="A312" s="242"/>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c r="AA312" s="242"/>
      <c r="AB312" s="242"/>
      <c r="AC312" s="242"/>
      <c r="AD312" s="242"/>
      <c r="AE312" s="242"/>
      <c r="AF312" s="242"/>
      <c r="AG312" s="242"/>
      <c r="AH312" s="242"/>
    </row>
    <row r="313">
      <c r="A313" s="242"/>
      <c r="B313" s="242"/>
      <c r="C313" s="242"/>
      <c r="D313" s="242"/>
      <c r="E313" s="242"/>
      <c r="F313" s="242"/>
      <c r="G313" s="242"/>
      <c r="H313" s="242"/>
      <c r="I313" s="242"/>
      <c r="J313" s="242"/>
      <c r="K313" s="242"/>
      <c r="L313" s="242"/>
      <c r="M313" s="242"/>
      <c r="N313" s="242"/>
      <c r="O313" s="242"/>
      <c r="P313" s="242"/>
      <c r="Q313" s="242"/>
      <c r="R313" s="242"/>
      <c r="S313" s="242"/>
      <c r="T313" s="242"/>
      <c r="U313" s="242"/>
      <c r="V313" s="242"/>
      <c r="W313" s="242"/>
      <c r="X313" s="242"/>
      <c r="Y313" s="242"/>
      <c r="Z313" s="242"/>
      <c r="AA313" s="242"/>
      <c r="AB313" s="242"/>
      <c r="AC313" s="242"/>
      <c r="AD313" s="242"/>
      <c r="AE313" s="242"/>
      <c r="AF313" s="242"/>
      <c r="AG313" s="242"/>
      <c r="AH313" s="242"/>
    </row>
    <row r="314">
      <c r="A314" s="242"/>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c r="AA314" s="242"/>
      <c r="AB314" s="242"/>
      <c r="AC314" s="242"/>
      <c r="AD314" s="242"/>
      <c r="AE314" s="242"/>
      <c r="AF314" s="242"/>
      <c r="AG314" s="242"/>
      <c r="AH314" s="242"/>
    </row>
    <row r="315">
      <c r="A315" s="242"/>
      <c r="B315" s="242"/>
      <c r="C315" s="242"/>
      <c r="D315" s="242"/>
      <c r="E315" s="242"/>
      <c r="F315" s="242"/>
      <c r="G315" s="242"/>
      <c r="H315" s="242"/>
      <c r="I315" s="242"/>
      <c r="J315" s="242"/>
      <c r="K315" s="242"/>
      <c r="L315" s="242"/>
      <c r="M315" s="242"/>
      <c r="N315" s="242"/>
      <c r="O315" s="242"/>
      <c r="P315" s="242"/>
      <c r="Q315" s="242"/>
      <c r="R315" s="242"/>
      <c r="S315" s="242"/>
      <c r="T315" s="242"/>
      <c r="U315" s="242"/>
      <c r="V315" s="242"/>
      <c r="W315" s="242"/>
      <c r="X315" s="242"/>
      <c r="Y315" s="242"/>
      <c r="Z315" s="242"/>
      <c r="AA315" s="242"/>
      <c r="AB315" s="242"/>
      <c r="AC315" s="242"/>
      <c r="AD315" s="242"/>
      <c r="AE315" s="242"/>
      <c r="AF315" s="242"/>
      <c r="AG315" s="242"/>
      <c r="AH315" s="242"/>
    </row>
    <row r="316">
      <c r="A316" s="242"/>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c r="AA316" s="242"/>
      <c r="AB316" s="242"/>
      <c r="AC316" s="242"/>
      <c r="AD316" s="242"/>
      <c r="AE316" s="242"/>
      <c r="AF316" s="242"/>
      <c r="AG316" s="242"/>
      <c r="AH316" s="242"/>
    </row>
    <row r="317">
      <c r="A317" s="242"/>
      <c r="B317" s="242"/>
      <c r="C317" s="242"/>
      <c r="D317" s="242"/>
      <c r="E317" s="242"/>
      <c r="F317" s="242"/>
      <c r="G317" s="242"/>
      <c r="H317" s="242"/>
      <c r="I317" s="242"/>
      <c r="J317" s="242"/>
      <c r="K317" s="242"/>
      <c r="L317" s="242"/>
      <c r="M317" s="242"/>
      <c r="N317" s="242"/>
      <c r="O317" s="242"/>
      <c r="P317" s="242"/>
      <c r="Q317" s="242"/>
      <c r="R317" s="242"/>
      <c r="S317" s="242"/>
      <c r="T317" s="242"/>
      <c r="U317" s="242"/>
      <c r="V317" s="242"/>
      <c r="W317" s="242"/>
      <c r="X317" s="242"/>
      <c r="Y317" s="242"/>
      <c r="Z317" s="242"/>
      <c r="AA317" s="242"/>
      <c r="AB317" s="242"/>
      <c r="AC317" s="242"/>
      <c r="AD317" s="242"/>
      <c r="AE317" s="242"/>
      <c r="AF317" s="242"/>
      <c r="AG317" s="242"/>
      <c r="AH317" s="242"/>
    </row>
    <row r="318">
      <c r="A318" s="242"/>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c r="AA318" s="242"/>
      <c r="AB318" s="242"/>
      <c r="AC318" s="242"/>
      <c r="AD318" s="242"/>
      <c r="AE318" s="242"/>
      <c r="AF318" s="242"/>
      <c r="AG318" s="242"/>
      <c r="AH318" s="242"/>
    </row>
    <row r="319">
      <c r="A319" s="242"/>
      <c r="B319" s="242"/>
      <c r="C319" s="242"/>
      <c r="D319" s="242"/>
      <c r="E319" s="242"/>
      <c r="F319" s="242"/>
      <c r="G319" s="242"/>
      <c r="H319" s="242"/>
      <c r="I319" s="242"/>
      <c r="J319" s="242"/>
      <c r="K319" s="242"/>
      <c r="L319" s="242"/>
      <c r="M319" s="242"/>
      <c r="N319" s="242"/>
      <c r="O319" s="242"/>
      <c r="P319" s="242"/>
      <c r="Q319" s="242"/>
      <c r="R319" s="242"/>
      <c r="S319" s="242"/>
      <c r="T319" s="242"/>
      <c r="U319" s="242"/>
      <c r="V319" s="242"/>
      <c r="W319" s="242"/>
      <c r="X319" s="242"/>
      <c r="Y319" s="242"/>
      <c r="Z319" s="242"/>
      <c r="AA319" s="242"/>
      <c r="AB319" s="242"/>
      <c r="AC319" s="242"/>
      <c r="AD319" s="242"/>
      <c r="AE319" s="242"/>
      <c r="AF319" s="242"/>
      <c r="AG319" s="242"/>
      <c r="AH319" s="242"/>
    </row>
    <row r="320">
      <c r="A320" s="242"/>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c r="AA320" s="242"/>
      <c r="AB320" s="242"/>
      <c r="AC320" s="242"/>
      <c r="AD320" s="242"/>
      <c r="AE320" s="242"/>
      <c r="AF320" s="242"/>
      <c r="AG320" s="242"/>
      <c r="AH320" s="242"/>
    </row>
    <row r="321">
      <c r="A321" s="242"/>
      <c r="B321" s="242"/>
      <c r="C321" s="242"/>
      <c r="D321" s="242"/>
      <c r="E321" s="242"/>
      <c r="F321" s="242"/>
      <c r="G321" s="242"/>
      <c r="H321" s="242"/>
      <c r="I321" s="242"/>
      <c r="J321" s="242"/>
      <c r="K321" s="242"/>
      <c r="L321" s="242"/>
      <c r="M321" s="242"/>
      <c r="N321" s="242"/>
      <c r="O321" s="242"/>
      <c r="P321" s="242"/>
      <c r="Q321" s="242"/>
      <c r="R321" s="242"/>
      <c r="S321" s="242"/>
      <c r="T321" s="242"/>
      <c r="U321" s="242"/>
      <c r="V321" s="242"/>
      <c r="W321" s="242"/>
      <c r="X321" s="242"/>
      <c r="Y321" s="242"/>
      <c r="Z321" s="242"/>
      <c r="AA321" s="242"/>
      <c r="AB321" s="242"/>
      <c r="AC321" s="242"/>
      <c r="AD321" s="242"/>
      <c r="AE321" s="242"/>
      <c r="AF321" s="242"/>
      <c r="AG321" s="242"/>
      <c r="AH321" s="242"/>
    </row>
    <row r="322">
      <c r="A322" s="242"/>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c r="AA322" s="242"/>
      <c r="AB322" s="242"/>
      <c r="AC322" s="242"/>
      <c r="AD322" s="242"/>
      <c r="AE322" s="242"/>
      <c r="AF322" s="242"/>
      <c r="AG322" s="242"/>
      <c r="AH322" s="242"/>
    </row>
    <row r="323">
      <c r="A323" s="242"/>
      <c r="B323" s="242"/>
      <c r="C323" s="242"/>
      <c r="D323" s="242"/>
      <c r="E323" s="242"/>
      <c r="F323" s="242"/>
      <c r="G323" s="242"/>
      <c r="H323" s="242"/>
      <c r="I323" s="242"/>
      <c r="J323" s="242"/>
      <c r="K323" s="242"/>
      <c r="L323" s="242"/>
      <c r="M323" s="242"/>
      <c r="N323" s="242"/>
      <c r="O323" s="242"/>
      <c r="P323" s="242"/>
      <c r="Q323" s="242"/>
      <c r="R323" s="242"/>
      <c r="S323" s="242"/>
      <c r="T323" s="242"/>
      <c r="U323" s="242"/>
      <c r="V323" s="242"/>
      <c r="W323" s="242"/>
      <c r="X323" s="242"/>
      <c r="Y323" s="242"/>
      <c r="Z323" s="242"/>
      <c r="AA323" s="242"/>
      <c r="AB323" s="242"/>
      <c r="AC323" s="242"/>
      <c r="AD323" s="242"/>
      <c r="AE323" s="242"/>
      <c r="AF323" s="242"/>
      <c r="AG323" s="242"/>
      <c r="AH323" s="242"/>
    </row>
    <row r="324">
      <c r="A324" s="242"/>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c r="AA324" s="242"/>
      <c r="AB324" s="242"/>
      <c r="AC324" s="242"/>
      <c r="AD324" s="242"/>
      <c r="AE324" s="242"/>
      <c r="AF324" s="242"/>
      <c r="AG324" s="242"/>
      <c r="AH324" s="242"/>
    </row>
    <row r="325">
      <c r="A325" s="242"/>
      <c r="B325" s="242"/>
      <c r="C325" s="242"/>
      <c r="D325" s="242"/>
      <c r="E325" s="242"/>
      <c r="F325" s="242"/>
      <c r="G325" s="242"/>
      <c r="H325" s="242"/>
      <c r="I325" s="242"/>
      <c r="J325" s="242"/>
      <c r="K325" s="242"/>
      <c r="L325" s="242"/>
      <c r="M325" s="242"/>
      <c r="N325" s="242"/>
      <c r="O325" s="242"/>
      <c r="P325" s="242"/>
      <c r="Q325" s="242"/>
      <c r="R325" s="242"/>
      <c r="S325" s="242"/>
      <c r="T325" s="242"/>
      <c r="U325" s="242"/>
      <c r="V325" s="242"/>
      <c r="W325" s="242"/>
      <c r="X325" s="242"/>
      <c r="Y325" s="242"/>
      <c r="Z325" s="242"/>
      <c r="AA325" s="242"/>
      <c r="AB325" s="242"/>
      <c r="AC325" s="242"/>
      <c r="AD325" s="242"/>
      <c r="AE325" s="242"/>
      <c r="AF325" s="242"/>
      <c r="AG325" s="242"/>
      <c r="AH325" s="242"/>
    </row>
    <row r="326">
      <c r="A326" s="242"/>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c r="AA326" s="242"/>
      <c r="AB326" s="242"/>
      <c r="AC326" s="242"/>
      <c r="AD326" s="242"/>
      <c r="AE326" s="242"/>
      <c r="AF326" s="242"/>
      <c r="AG326" s="242"/>
      <c r="AH326" s="242"/>
    </row>
    <row r="327">
      <c r="A327" s="242"/>
      <c r="B327" s="242"/>
      <c r="C327" s="242"/>
      <c r="D327" s="242"/>
      <c r="E327" s="242"/>
      <c r="F327" s="242"/>
      <c r="G327" s="242"/>
      <c r="H327" s="242"/>
      <c r="I327" s="242"/>
      <c r="J327" s="242"/>
      <c r="K327" s="242"/>
      <c r="L327" s="242"/>
      <c r="M327" s="242"/>
      <c r="N327" s="242"/>
      <c r="O327" s="242"/>
      <c r="P327" s="242"/>
      <c r="Q327" s="242"/>
      <c r="R327" s="242"/>
      <c r="S327" s="242"/>
      <c r="T327" s="242"/>
      <c r="U327" s="242"/>
      <c r="V327" s="242"/>
      <c r="W327" s="242"/>
      <c r="X327" s="242"/>
      <c r="Y327" s="242"/>
      <c r="Z327" s="242"/>
      <c r="AA327" s="242"/>
      <c r="AB327" s="242"/>
      <c r="AC327" s="242"/>
      <c r="AD327" s="242"/>
      <c r="AE327" s="242"/>
      <c r="AF327" s="242"/>
      <c r="AG327" s="242"/>
      <c r="AH327" s="242"/>
    </row>
    <row r="328">
      <c r="A328" s="242"/>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c r="AA328" s="242"/>
      <c r="AB328" s="242"/>
      <c r="AC328" s="242"/>
      <c r="AD328" s="242"/>
      <c r="AE328" s="242"/>
      <c r="AF328" s="242"/>
      <c r="AG328" s="242"/>
      <c r="AH328" s="242"/>
    </row>
    <row r="329">
      <c r="A329" s="242"/>
      <c r="B329" s="242"/>
      <c r="C329" s="242"/>
      <c r="D329" s="242"/>
      <c r="E329" s="242"/>
      <c r="F329" s="242"/>
      <c r="G329" s="242"/>
      <c r="H329" s="242"/>
      <c r="I329" s="242"/>
      <c r="J329" s="242"/>
      <c r="K329" s="242"/>
      <c r="L329" s="242"/>
      <c r="M329" s="242"/>
      <c r="N329" s="242"/>
      <c r="O329" s="242"/>
      <c r="P329" s="242"/>
      <c r="Q329" s="242"/>
      <c r="R329" s="242"/>
      <c r="S329" s="242"/>
      <c r="T329" s="242"/>
      <c r="U329" s="242"/>
      <c r="V329" s="242"/>
      <c r="W329" s="242"/>
      <c r="X329" s="242"/>
      <c r="Y329" s="242"/>
      <c r="Z329" s="242"/>
      <c r="AA329" s="242"/>
      <c r="AB329" s="242"/>
      <c r="AC329" s="242"/>
      <c r="AD329" s="242"/>
      <c r="AE329" s="242"/>
      <c r="AF329" s="242"/>
      <c r="AG329" s="242"/>
      <c r="AH329" s="242"/>
    </row>
    <row r="330">
      <c r="A330" s="242"/>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c r="AA330" s="242"/>
      <c r="AB330" s="242"/>
      <c r="AC330" s="242"/>
      <c r="AD330" s="242"/>
      <c r="AE330" s="242"/>
      <c r="AF330" s="242"/>
      <c r="AG330" s="242"/>
      <c r="AH330" s="242"/>
    </row>
    <row r="331">
      <c r="A331" s="242"/>
      <c r="B331" s="242"/>
      <c r="C331" s="242"/>
      <c r="D331" s="242"/>
      <c r="E331" s="242"/>
      <c r="F331" s="242"/>
      <c r="G331" s="242"/>
      <c r="H331" s="242"/>
      <c r="I331" s="242"/>
      <c r="J331" s="242"/>
      <c r="K331" s="242"/>
      <c r="L331" s="242"/>
      <c r="M331" s="242"/>
      <c r="N331" s="242"/>
      <c r="O331" s="242"/>
      <c r="P331" s="242"/>
      <c r="Q331" s="242"/>
      <c r="R331" s="242"/>
      <c r="S331" s="242"/>
      <c r="T331" s="242"/>
      <c r="U331" s="242"/>
      <c r="V331" s="242"/>
      <c r="W331" s="242"/>
      <c r="X331" s="242"/>
      <c r="Y331" s="242"/>
      <c r="Z331" s="242"/>
      <c r="AA331" s="242"/>
      <c r="AB331" s="242"/>
      <c r="AC331" s="242"/>
      <c r="AD331" s="242"/>
      <c r="AE331" s="242"/>
      <c r="AF331" s="242"/>
      <c r="AG331" s="242"/>
      <c r="AH331" s="242"/>
    </row>
    <row r="332">
      <c r="A332" s="242"/>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c r="AA332" s="242"/>
      <c r="AB332" s="242"/>
      <c r="AC332" s="242"/>
      <c r="AD332" s="242"/>
      <c r="AE332" s="242"/>
      <c r="AF332" s="242"/>
      <c r="AG332" s="242"/>
      <c r="AH332" s="242"/>
    </row>
    <row r="333">
      <c r="A333" s="242"/>
      <c r="B333" s="242"/>
      <c r="C333" s="242"/>
      <c r="D333" s="242"/>
      <c r="E333" s="242"/>
      <c r="F333" s="242"/>
      <c r="G333" s="242"/>
      <c r="H333" s="242"/>
      <c r="I333" s="242"/>
      <c r="J333" s="242"/>
      <c r="K333" s="242"/>
      <c r="L333" s="242"/>
      <c r="M333" s="242"/>
      <c r="N333" s="242"/>
      <c r="O333" s="242"/>
      <c r="P333" s="242"/>
      <c r="Q333" s="242"/>
      <c r="R333" s="242"/>
      <c r="S333" s="242"/>
      <c r="T333" s="242"/>
      <c r="U333" s="242"/>
      <c r="V333" s="242"/>
      <c r="W333" s="242"/>
      <c r="X333" s="242"/>
      <c r="Y333" s="242"/>
      <c r="Z333" s="242"/>
      <c r="AA333" s="242"/>
      <c r="AB333" s="242"/>
      <c r="AC333" s="242"/>
      <c r="AD333" s="242"/>
      <c r="AE333" s="242"/>
      <c r="AF333" s="242"/>
      <c r="AG333" s="242"/>
      <c r="AH333" s="242"/>
    </row>
    <row r="334">
      <c r="A334" s="242"/>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c r="AA334" s="242"/>
      <c r="AB334" s="242"/>
      <c r="AC334" s="242"/>
      <c r="AD334" s="242"/>
      <c r="AE334" s="242"/>
      <c r="AF334" s="242"/>
      <c r="AG334" s="242"/>
      <c r="AH334" s="242"/>
    </row>
    <row r="335">
      <c r="A335" s="242"/>
      <c r="B335" s="242"/>
      <c r="C335" s="242"/>
      <c r="D335" s="242"/>
      <c r="E335" s="242"/>
      <c r="F335" s="242"/>
      <c r="G335" s="242"/>
      <c r="H335" s="242"/>
      <c r="I335" s="242"/>
      <c r="J335" s="242"/>
      <c r="K335" s="242"/>
      <c r="L335" s="242"/>
      <c r="M335" s="242"/>
      <c r="N335" s="242"/>
      <c r="O335" s="242"/>
      <c r="P335" s="242"/>
      <c r="Q335" s="242"/>
      <c r="R335" s="242"/>
      <c r="S335" s="242"/>
      <c r="T335" s="242"/>
      <c r="U335" s="242"/>
      <c r="V335" s="242"/>
      <c r="W335" s="242"/>
      <c r="X335" s="242"/>
      <c r="Y335" s="242"/>
      <c r="Z335" s="242"/>
      <c r="AA335" s="242"/>
      <c r="AB335" s="242"/>
      <c r="AC335" s="242"/>
      <c r="AD335" s="242"/>
      <c r="AE335" s="242"/>
      <c r="AF335" s="242"/>
      <c r="AG335" s="242"/>
      <c r="AH335" s="242"/>
    </row>
    <row r="336">
      <c r="A336" s="242"/>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c r="AA336" s="242"/>
      <c r="AB336" s="242"/>
      <c r="AC336" s="242"/>
      <c r="AD336" s="242"/>
      <c r="AE336" s="242"/>
      <c r="AF336" s="242"/>
      <c r="AG336" s="242"/>
      <c r="AH336" s="242"/>
    </row>
    <row r="337">
      <c r="A337" s="242"/>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c r="AA337" s="242"/>
      <c r="AB337" s="242"/>
      <c r="AC337" s="242"/>
      <c r="AD337" s="242"/>
      <c r="AE337" s="242"/>
      <c r="AF337" s="242"/>
      <c r="AG337" s="242"/>
      <c r="AH337" s="242"/>
    </row>
    <row r="338">
      <c r="A338" s="242"/>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c r="AA338" s="242"/>
      <c r="AB338" s="242"/>
      <c r="AC338" s="242"/>
      <c r="AD338" s="242"/>
      <c r="AE338" s="242"/>
      <c r="AF338" s="242"/>
      <c r="AG338" s="242"/>
      <c r="AH338" s="242"/>
    </row>
    <row r="339">
      <c r="A339" s="242"/>
      <c r="B339" s="242"/>
      <c r="C339" s="242"/>
      <c r="D339" s="242"/>
      <c r="E339" s="242"/>
      <c r="F339" s="242"/>
      <c r="G339" s="242"/>
      <c r="H339" s="242"/>
      <c r="I339" s="242"/>
      <c r="J339" s="242"/>
      <c r="K339" s="242"/>
      <c r="L339" s="242"/>
      <c r="M339" s="242"/>
      <c r="N339" s="242"/>
      <c r="O339" s="242"/>
      <c r="P339" s="242"/>
      <c r="Q339" s="242"/>
      <c r="R339" s="242"/>
      <c r="S339" s="242"/>
      <c r="T339" s="242"/>
      <c r="U339" s="242"/>
      <c r="V339" s="242"/>
      <c r="W339" s="242"/>
      <c r="X339" s="242"/>
      <c r="Y339" s="242"/>
      <c r="Z339" s="242"/>
      <c r="AA339" s="242"/>
      <c r="AB339" s="242"/>
      <c r="AC339" s="242"/>
      <c r="AD339" s="242"/>
      <c r="AE339" s="242"/>
      <c r="AF339" s="242"/>
      <c r="AG339" s="242"/>
      <c r="AH339" s="242"/>
    </row>
    <row r="340">
      <c r="A340" s="242"/>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c r="AA340" s="242"/>
      <c r="AB340" s="242"/>
      <c r="AC340" s="242"/>
      <c r="AD340" s="242"/>
      <c r="AE340" s="242"/>
      <c r="AF340" s="242"/>
      <c r="AG340" s="242"/>
      <c r="AH340" s="242"/>
    </row>
    <row r="341">
      <c r="A341" s="242"/>
      <c r="B341" s="242"/>
      <c r="C341" s="242"/>
      <c r="D341" s="242"/>
      <c r="E341" s="242"/>
      <c r="F341" s="242"/>
      <c r="G341" s="242"/>
      <c r="H341" s="242"/>
      <c r="I341" s="242"/>
      <c r="J341" s="242"/>
      <c r="K341" s="242"/>
      <c r="L341" s="242"/>
      <c r="M341" s="242"/>
      <c r="N341" s="242"/>
      <c r="O341" s="242"/>
      <c r="P341" s="242"/>
      <c r="Q341" s="242"/>
      <c r="R341" s="242"/>
      <c r="S341" s="242"/>
      <c r="T341" s="242"/>
      <c r="U341" s="242"/>
      <c r="V341" s="242"/>
      <c r="W341" s="242"/>
      <c r="X341" s="242"/>
      <c r="Y341" s="242"/>
      <c r="Z341" s="242"/>
      <c r="AA341" s="242"/>
      <c r="AB341" s="242"/>
      <c r="AC341" s="242"/>
      <c r="AD341" s="242"/>
      <c r="AE341" s="242"/>
      <c r="AF341" s="242"/>
      <c r="AG341" s="242"/>
      <c r="AH341" s="242"/>
    </row>
    <row r="342">
      <c r="A342" s="242"/>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c r="AA342" s="242"/>
      <c r="AB342" s="242"/>
      <c r="AC342" s="242"/>
      <c r="AD342" s="242"/>
      <c r="AE342" s="242"/>
      <c r="AF342" s="242"/>
      <c r="AG342" s="242"/>
      <c r="AH342" s="242"/>
    </row>
    <row r="343">
      <c r="A343" s="242"/>
      <c r="B343" s="242"/>
      <c r="C343" s="242"/>
      <c r="D343" s="242"/>
      <c r="E343" s="242"/>
      <c r="F343" s="242"/>
      <c r="G343" s="242"/>
      <c r="H343" s="242"/>
      <c r="I343" s="242"/>
      <c r="J343" s="242"/>
      <c r="K343" s="242"/>
      <c r="L343" s="242"/>
      <c r="M343" s="242"/>
      <c r="N343" s="242"/>
      <c r="O343" s="242"/>
      <c r="P343" s="242"/>
      <c r="Q343" s="242"/>
      <c r="R343" s="242"/>
      <c r="S343" s="242"/>
      <c r="T343" s="242"/>
      <c r="U343" s="242"/>
      <c r="V343" s="242"/>
      <c r="W343" s="242"/>
      <c r="X343" s="242"/>
      <c r="Y343" s="242"/>
      <c r="Z343" s="242"/>
      <c r="AA343" s="242"/>
      <c r="AB343" s="242"/>
      <c r="AC343" s="242"/>
      <c r="AD343" s="242"/>
      <c r="AE343" s="242"/>
      <c r="AF343" s="242"/>
      <c r="AG343" s="242"/>
      <c r="AH343" s="242"/>
    </row>
    <row r="344">
      <c r="A344" s="242"/>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c r="AA344" s="242"/>
      <c r="AB344" s="242"/>
      <c r="AC344" s="242"/>
      <c r="AD344" s="242"/>
      <c r="AE344" s="242"/>
      <c r="AF344" s="242"/>
      <c r="AG344" s="242"/>
      <c r="AH344" s="242"/>
    </row>
    <row r="345">
      <c r="A345" s="242"/>
      <c r="B345" s="242"/>
      <c r="C345" s="242"/>
      <c r="D345" s="242"/>
      <c r="E345" s="242"/>
      <c r="F345" s="242"/>
      <c r="G345" s="242"/>
      <c r="H345" s="242"/>
      <c r="I345" s="242"/>
      <c r="J345" s="242"/>
      <c r="K345" s="242"/>
      <c r="L345" s="242"/>
      <c r="M345" s="242"/>
      <c r="N345" s="242"/>
      <c r="O345" s="242"/>
      <c r="P345" s="242"/>
      <c r="Q345" s="242"/>
      <c r="R345" s="242"/>
      <c r="S345" s="242"/>
      <c r="T345" s="242"/>
      <c r="U345" s="242"/>
      <c r="V345" s="242"/>
      <c r="W345" s="242"/>
      <c r="X345" s="242"/>
      <c r="Y345" s="242"/>
      <c r="Z345" s="242"/>
      <c r="AA345" s="242"/>
      <c r="AB345" s="242"/>
      <c r="AC345" s="242"/>
      <c r="AD345" s="242"/>
      <c r="AE345" s="242"/>
      <c r="AF345" s="242"/>
      <c r="AG345" s="242"/>
      <c r="AH345" s="242"/>
    </row>
    <row r="346">
      <c r="A346" s="242"/>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c r="AA346" s="242"/>
      <c r="AB346" s="242"/>
      <c r="AC346" s="242"/>
      <c r="AD346" s="242"/>
      <c r="AE346" s="242"/>
      <c r="AF346" s="242"/>
      <c r="AG346" s="242"/>
      <c r="AH346" s="242"/>
    </row>
    <row r="347">
      <c r="A347" s="242"/>
      <c r="B347" s="242"/>
      <c r="C347" s="242"/>
      <c r="D347" s="242"/>
      <c r="E347" s="242"/>
      <c r="F347" s="242"/>
      <c r="G347" s="242"/>
      <c r="H347" s="242"/>
      <c r="I347" s="242"/>
      <c r="J347" s="242"/>
      <c r="K347" s="242"/>
      <c r="L347" s="242"/>
      <c r="M347" s="242"/>
      <c r="N347" s="242"/>
      <c r="O347" s="242"/>
      <c r="P347" s="242"/>
      <c r="Q347" s="242"/>
      <c r="R347" s="242"/>
      <c r="S347" s="242"/>
      <c r="T347" s="242"/>
      <c r="U347" s="242"/>
      <c r="V347" s="242"/>
      <c r="W347" s="242"/>
      <c r="X347" s="242"/>
      <c r="Y347" s="242"/>
      <c r="Z347" s="242"/>
      <c r="AA347" s="242"/>
      <c r="AB347" s="242"/>
      <c r="AC347" s="242"/>
      <c r="AD347" s="242"/>
      <c r="AE347" s="242"/>
      <c r="AF347" s="242"/>
      <c r="AG347" s="242"/>
      <c r="AH347" s="242"/>
    </row>
    <row r="348">
      <c r="A348" s="242"/>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c r="AA348" s="242"/>
      <c r="AB348" s="242"/>
      <c r="AC348" s="242"/>
      <c r="AD348" s="242"/>
      <c r="AE348" s="242"/>
      <c r="AF348" s="242"/>
      <c r="AG348" s="242"/>
      <c r="AH348" s="242"/>
    </row>
    <row r="349">
      <c r="A349" s="242"/>
      <c r="B349" s="242"/>
      <c r="C349" s="242"/>
      <c r="D349" s="242"/>
      <c r="E349" s="242"/>
      <c r="F349" s="242"/>
      <c r="G349" s="242"/>
      <c r="H349" s="242"/>
      <c r="I349" s="242"/>
      <c r="J349" s="242"/>
      <c r="K349" s="242"/>
      <c r="L349" s="242"/>
      <c r="M349" s="242"/>
      <c r="N349" s="242"/>
      <c r="O349" s="242"/>
      <c r="P349" s="242"/>
      <c r="Q349" s="242"/>
      <c r="R349" s="242"/>
      <c r="S349" s="242"/>
      <c r="T349" s="242"/>
      <c r="U349" s="242"/>
      <c r="V349" s="242"/>
      <c r="W349" s="242"/>
      <c r="X349" s="242"/>
      <c r="Y349" s="242"/>
      <c r="Z349" s="242"/>
      <c r="AA349" s="242"/>
      <c r="AB349" s="242"/>
      <c r="AC349" s="242"/>
      <c r="AD349" s="242"/>
      <c r="AE349" s="242"/>
      <c r="AF349" s="242"/>
      <c r="AG349" s="242"/>
      <c r="AH349" s="242"/>
    </row>
    <row r="350">
      <c r="A350" s="242"/>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c r="AA350" s="242"/>
      <c r="AB350" s="242"/>
      <c r="AC350" s="242"/>
      <c r="AD350" s="242"/>
      <c r="AE350" s="242"/>
      <c r="AF350" s="242"/>
      <c r="AG350" s="242"/>
      <c r="AH350" s="242"/>
    </row>
    <row r="351">
      <c r="A351" s="242"/>
      <c r="B351" s="242"/>
      <c r="C351" s="242"/>
      <c r="D351" s="242"/>
      <c r="E351" s="242"/>
      <c r="F351" s="242"/>
      <c r="G351" s="242"/>
      <c r="H351" s="242"/>
      <c r="I351" s="242"/>
      <c r="J351" s="242"/>
      <c r="K351" s="242"/>
      <c r="L351" s="242"/>
      <c r="M351" s="242"/>
      <c r="N351" s="242"/>
      <c r="O351" s="242"/>
      <c r="P351" s="242"/>
      <c r="Q351" s="242"/>
      <c r="R351" s="242"/>
      <c r="S351" s="242"/>
      <c r="T351" s="242"/>
      <c r="U351" s="242"/>
      <c r="V351" s="242"/>
      <c r="W351" s="242"/>
      <c r="X351" s="242"/>
      <c r="Y351" s="242"/>
      <c r="Z351" s="242"/>
      <c r="AA351" s="242"/>
      <c r="AB351" s="242"/>
      <c r="AC351" s="242"/>
      <c r="AD351" s="242"/>
      <c r="AE351" s="242"/>
      <c r="AF351" s="242"/>
      <c r="AG351" s="242"/>
      <c r="AH351" s="242"/>
    </row>
    <row r="352">
      <c r="A352" s="242"/>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c r="AA352" s="242"/>
      <c r="AB352" s="242"/>
      <c r="AC352" s="242"/>
      <c r="AD352" s="242"/>
      <c r="AE352" s="242"/>
      <c r="AF352" s="242"/>
      <c r="AG352" s="242"/>
      <c r="AH352" s="242"/>
    </row>
    <row r="353">
      <c r="A353" s="242"/>
      <c r="B353" s="242"/>
      <c r="C353" s="242"/>
      <c r="D353" s="242"/>
      <c r="E353" s="242"/>
      <c r="F353" s="242"/>
      <c r="G353" s="242"/>
      <c r="H353" s="242"/>
      <c r="I353" s="242"/>
      <c r="J353" s="242"/>
      <c r="K353" s="242"/>
      <c r="L353" s="242"/>
      <c r="M353" s="242"/>
      <c r="N353" s="242"/>
      <c r="O353" s="242"/>
      <c r="P353" s="242"/>
      <c r="Q353" s="242"/>
      <c r="R353" s="242"/>
      <c r="S353" s="242"/>
      <c r="T353" s="242"/>
      <c r="U353" s="242"/>
      <c r="V353" s="242"/>
      <c r="W353" s="242"/>
      <c r="X353" s="242"/>
      <c r="Y353" s="242"/>
      <c r="Z353" s="242"/>
      <c r="AA353" s="242"/>
      <c r="AB353" s="242"/>
      <c r="AC353" s="242"/>
      <c r="AD353" s="242"/>
      <c r="AE353" s="242"/>
      <c r="AF353" s="242"/>
      <c r="AG353" s="242"/>
      <c r="AH353" s="242"/>
    </row>
    <row r="354">
      <c r="A354" s="242"/>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c r="AA354" s="242"/>
      <c r="AB354" s="242"/>
      <c r="AC354" s="242"/>
      <c r="AD354" s="242"/>
      <c r="AE354" s="242"/>
      <c r="AF354" s="242"/>
      <c r="AG354" s="242"/>
      <c r="AH354" s="242"/>
    </row>
    <row r="355">
      <c r="A355" s="242"/>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c r="AA355" s="242"/>
      <c r="AB355" s="242"/>
      <c r="AC355" s="242"/>
      <c r="AD355" s="242"/>
      <c r="AE355" s="242"/>
      <c r="AF355" s="242"/>
      <c r="AG355" s="242"/>
      <c r="AH355" s="242"/>
    </row>
    <row r="356">
      <c r="A356" s="242"/>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c r="AA356" s="242"/>
      <c r="AB356" s="242"/>
      <c r="AC356" s="242"/>
      <c r="AD356" s="242"/>
      <c r="AE356" s="242"/>
      <c r="AF356" s="242"/>
      <c r="AG356" s="242"/>
      <c r="AH356" s="242"/>
    </row>
    <row r="357">
      <c r="A357" s="242"/>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c r="AA357" s="242"/>
      <c r="AB357" s="242"/>
      <c r="AC357" s="242"/>
      <c r="AD357" s="242"/>
      <c r="AE357" s="242"/>
      <c r="AF357" s="242"/>
      <c r="AG357" s="242"/>
      <c r="AH357" s="242"/>
    </row>
    <row r="358">
      <c r="A358" s="242"/>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c r="AA358" s="242"/>
      <c r="AB358" s="242"/>
      <c r="AC358" s="242"/>
      <c r="AD358" s="242"/>
      <c r="AE358" s="242"/>
      <c r="AF358" s="242"/>
      <c r="AG358" s="242"/>
      <c r="AH358" s="242"/>
    </row>
    <row r="359">
      <c r="A359" s="242"/>
      <c r="B359" s="242"/>
      <c r="C359" s="242"/>
      <c r="D359" s="242"/>
      <c r="E359" s="242"/>
      <c r="F359" s="242"/>
      <c r="G359" s="242"/>
      <c r="H359" s="242"/>
      <c r="I359" s="242"/>
      <c r="J359" s="242"/>
      <c r="K359" s="242"/>
      <c r="L359" s="242"/>
      <c r="M359" s="242"/>
      <c r="N359" s="242"/>
      <c r="O359" s="242"/>
      <c r="P359" s="242"/>
      <c r="Q359" s="242"/>
      <c r="R359" s="242"/>
      <c r="S359" s="242"/>
      <c r="T359" s="242"/>
      <c r="U359" s="242"/>
      <c r="V359" s="242"/>
      <c r="W359" s="242"/>
      <c r="X359" s="242"/>
      <c r="Y359" s="242"/>
      <c r="Z359" s="242"/>
      <c r="AA359" s="242"/>
      <c r="AB359" s="242"/>
      <c r="AC359" s="242"/>
      <c r="AD359" s="242"/>
      <c r="AE359" s="242"/>
      <c r="AF359" s="242"/>
      <c r="AG359" s="242"/>
      <c r="AH359" s="242"/>
    </row>
    <row r="360">
      <c r="A360" s="242"/>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c r="AA360" s="242"/>
      <c r="AB360" s="242"/>
      <c r="AC360" s="242"/>
      <c r="AD360" s="242"/>
      <c r="AE360" s="242"/>
      <c r="AF360" s="242"/>
      <c r="AG360" s="242"/>
      <c r="AH360" s="242"/>
    </row>
    <row r="361">
      <c r="A361" s="242"/>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c r="AA361" s="242"/>
      <c r="AB361" s="242"/>
      <c r="AC361" s="242"/>
      <c r="AD361" s="242"/>
      <c r="AE361" s="242"/>
      <c r="AF361" s="242"/>
      <c r="AG361" s="242"/>
      <c r="AH361" s="242"/>
    </row>
    <row r="362">
      <c r="A362" s="242"/>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c r="AA362" s="242"/>
      <c r="AB362" s="242"/>
      <c r="AC362" s="242"/>
      <c r="AD362" s="242"/>
      <c r="AE362" s="242"/>
      <c r="AF362" s="242"/>
      <c r="AG362" s="242"/>
      <c r="AH362" s="242"/>
    </row>
    <row r="363">
      <c r="A363" s="242"/>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c r="AA363" s="242"/>
      <c r="AB363" s="242"/>
      <c r="AC363" s="242"/>
      <c r="AD363" s="242"/>
      <c r="AE363" s="242"/>
      <c r="AF363" s="242"/>
      <c r="AG363" s="242"/>
      <c r="AH363" s="242"/>
    </row>
    <row r="364">
      <c r="A364" s="242"/>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c r="AA364" s="242"/>
      <c r="AB364" s="242"/>
      <c r="AC364" s="242"/>
      <c r="AD364" s="242"/>
      <c r="AE364" s="242"/>
      <c r="AF364" s="242"/>
      <c r="AG364" s="242"/>
      <c r="AH364" s="242"/>
    </row>
    <row r="365">
      <c r="A365" s="242"/>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c r="AA365" s="242"/>
      <c r="AB365" s="242"/>
      <c r="AC365" s="242"/>
      <c r="AD365" s="242"/>
      <c r="AE365" s="242"/>
      <c r="AF365" s="242"/>
      <c r="AG365" s="242"/>
      <c r="AH365" s="242"/>
    </row>
    <row r="366">
      <c r="A366" s="242"/>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c r="AA366" s="242"/>
      <c r="AB366" s="242"/>
      <c r="AC366" s="242"/>
      <c r="AD366" s="242"/>
      <c r="AE366" s="242"/>
      <c r="AF366" s="242"/>
      <c r="AG366" s="242"/>
      <c r="AH366" s="242"/>
    </row>
    <row r="367">
      <c r="A367" s="242"/>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c r="AA367" s="242"/>
      <c r="AB367" s="242"/>
      <c r="AC367" s="242"/>
      <c r="AD367" s="242"/>
      <c r="AE367" s="242"/>
      <c r="AF367" s="242"/>
      <c r="AG367" s="242"/>
      <c r="AH367" s="242"/>
    </row>
    <row r="368">
      <c r="A368" s="242"/>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c r="AA368" s="242"/>
      <c r="AB368" s="242"/>
      <c r="AC368" s="242"/>
      <c r="AD368" s="242"/>
      <c r="AE368" s="242"/>
      <c r="AF368" s="242"/>
      <c r="AG368" s="242"/>
      <c r="AH368" s="242"/>
    </row>
    <row r="369">
      <c r="A369" s="242"/>
      <c r="B369" s="242"/>
      <c r="C369" s="242"/>
      <c r="D369" s="242"/>
      <c r="E369" s="242"/>
      <c r="F369" s="242"/>
      <c r="G369" s="242"/>
      <c r="H369" s="242"/>
      <c r="I369" s="242"/>
      <c r="J369" s="242"/>
      <c r="K369" s="242"/>
      <c r="L369" s="242"/>
      <c r="M369" s="242"/>
      <c r="N369" s="242"/>
      <c r="O369" s="242"/>
      <c r="P369" s="242"/>
      <c r="Q369" s="242"/>
      <c r="R369" s="242"/>
      <c r="S369" s="242"/>
      <c r="T369" s="242"/>
      <c r="U369" s="242"/>
      <c r="V369" s="242"/>
      <c r="W369" s="242"/>
      <c r="X369" s="242"/>
      <c r="Y369" s="242"/>
      <c r="Z369" s="242"/>
      <c r="AA369" s="242"/>
      <c r="AB369" s="242"/>
      <c r="AC369" s="242"/>
      <c r="AD369" s="242"/>
      <c r="AE369" s="242"/>
      <c r="AF369" s="242"/>
      <c r="AG369" s="242"/>
      <c r="AH369" s="242"/>
    </row>
    <row r="370">
      <c r="A370" s="242"/>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c r="AA370" s="242"/>
      <c r="AB370" s="242"/>
      <c r="AC370" s="242"/>
      <c r="AD370" s="242"/>
      <c r="AE370" s="242"/>
      <c r="AF370" s="242"/>
      <c r="AG370" s="242"/>
      <c r="AH370" s="242"/>
    </row>
    <row r="371">
      <c r="A371" s="242"/>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c r="AA371" s="242"/>
      <c r="AB371" s="242"/>
      <c r="AC371" s="242"/>
      <c r="AD371" s="242"/>
      <c r="AE371" s="242"/>
      <c r="AF371" s="242"/>
      <c r="AG371" s="242"/>
      <c r="AH371" s="242"/>
    </row>
    <row r="372">
      <c r="A372" s="242"/>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c r="AA372" s="242"/>
      <c r="AB372" s="242"/>
      <c r="AC372" s="242"/>
      <c r="AD372" s="242"/>
      <c r="AE372" s="242"/>
      <c r="AF372" s="242"/>
      <c r="AG372" s="242"/>
      <c r="AH372" s="242"/>
    </row>
    <row r="373">
      <c r="A373" s="242"/>
      <c r="B373" s="242"/>
      <c r="C373" s="242"/>
      <c r="D373" s="242"/>
      <c r="E373" s="242"/>
      <c r="F373" s="242"/>
      <c r="G373" s="242"/>
      <c r="H373" s="242"/>
      <c r="I373" s="242"/>
      <c r="J373" s="242"/>
      <c r="K373" s="242"/>
      <c r="L373" s="242"/>
      <c r="M373" s="242"/>
      <c r="N373" s="242"/>
      <c r="O373" s="242"/>
      <c r="P373" s="242"/>
      <c r="Q373" s="242"/>
      <c r="R373" s="242"/>
      <c r="S373" s="242"/>
      <c r="T373" s="242"/>
      <c r="U373" s="242"/>
      <c r="V373" s="242"/>
      <c r="W373" s="242"/>
      <c r="X373" s="242"/>
      <c r="Y373" s="242"/>
      <c r="Z373" s="242"/>
      <c r="AA373" s="242"/>
      <c r="AB373" s="242"/>
      <c r="AC373" s="242"/>
      <c r="AD373" s="242"/>
      <c r="AE373" s="242"/>
      <c r="AF373" s="242"/>
      <c r="AG373" s="242"/>
      <c r="AH373" s="242"/>
    </row>
    <row r="374">
      <c r="A374" s="242"/>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c r="AA374" s="242"/>
      <c r="AB374" s="242"/>
      <c r="AC374" s="242"/>
      <c r="AD374" s="242"/>
      <c r="AE374" s="242"/>
      <c r="AF374" s="242"/>
      <c r="AG374" s="242"/>
      <c r="AH374" s="242"/>
    </row>
    <row r="375">
      <c r="A375" s="242"/>
      <c r="B375" s="242"/>
      <c r="C375" s="242"/>
      <c r="D375" s="242"/>
      <c r="E375" s="242"/>
      <c r="F375" s="242"/>
      <c r="G375" s="242"/>
      <c r="H375" s="242"/>
      <c r="I375" s="242"/>
      <c r="J375" s="242"/>
      <c r="K375" s="242"/>
      <c r="L375" s="242"/>
      <c r="M375" s="242"/>
      <c r="N375" s="242"/>
      <c r="O375" s="242"/>
      <c r="P375" s="242"/>
      <c r="Q375" s="242"/>
      <c r="R375" s="242"/>
      <c r="S375" s="242"/>
      <c r="T375" s="242"/>
      <c r="U375" s="242"/>
      <c r="V375" s="242"/>
      <c r="W375" s="242"/>
      <c r="X375" s="242"/>
      <c r="Y375" s="242"/>
      <c r="Z375" s="242"/>
      <c r="AA375" s="242"/>
      <c r="AB375" s="242"/>
      <c r="AC375" s="242"/>
      <c r="AD375" s="242"/>
      <c r="AE375" s="242"/>
      <c r="AF375" s="242"/>
      <c r="AG375" s="242"/>
      <c r="AH375" s="242"/>
    </row>
    <row r="376">
      <c r="A376" s="242"/>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c r="AA376" s="242"/>
      <c r="AB376" s="242"/>
      <c r="AC376" s="242"/>
      <c r="AD376" s="242"/>
      <c r="AE376" s="242"/>
      <c r="AF376" s="242"/>
      <c r="AG376" s="242"/>
      <c r="AH376" s="242"/>
    </row>
    <row r="377">
      <c r="A377" s="242"/>
      <c r="B377" s="242"/>
      <c r="C377" s="242"/>
      <c r="D377" s="242"/>
      <c r="E377" s="242"/>
      <c r="F377" s="242"/>
      <c r="G377" s="242"/>
      <c r="H377" s="242"/>
      <c r="I377" s="242"/>
      <c r="J377" s="242"/>
      <c r="K377" s="242"/>
      <c r="L377" s="242"/>
      <c r="M377" s="242"/>
      <c r="N377" s="242"/>
      <c r="O377" s="242"/>
      <c r="P377" s="242"/>
      <c r="Q377" s="242"/>
      <c r="R377" s="242"/>
      <c r="S377" s="242"/>
      <c r="T377" s="242"/>
      <c r="U377" s="242"/>
      <c r="V377" s="242"/>
      <c r="W377" s="242"/>
      <c r="X377" s="242"/>
      <c r="Y377" s="242"/>
      <c r="Z377" s="242"/>
      <c r="AA377" s="242"/>
      <c r="AB377" s="242"/>
      <c r="AC377" s="242"/>
      <c r="AD377" s="242"/>
      <c r="AE377" s="242"/>
      <c r="AF377" s="242"/>
      <c r="AG377" s="242"/>
      <c r="AH377" s="242"/>
    </row>
    <row r="378">
      <c r="A378" s="242"/>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c r="AA378" s="242"/>
      <c r="AB378" s="242"/>
      <c r="AC378" s="242"/>
      <c r="AD378" s="242"/>
      <c r="AE378" s="242"/>
      <c r="AF378" s="242"/>
      <c r="AG378" s="242"/>
      <c r="AH378" s="242"/>
    </row>
    <row r="379">
      <c r="A379" s="242"/>
      <c r="B379" s="242"/>
      <c r="C379" s="242"/>
      <c r="D379" s="242"/>
      <c r="E379" s="242"/>
      <c r="F379" s="242"/>
      <c r="G379" s="242"/>
      <c r="H379" s="242"/>
      <c r="I379" s="242"/>
      <c r="J379" s="242"/>
      <c r="K379" s="242"/>
      <c r="L379" s="242"/>
      <c r="M379" s="242"/>
      <c r="N379" s="242"/>
      <c r="O379" s="242"/>
      <c r="P379" s="242"/>
      <c r="Q379" s="242"/>
      <c r="R379" s="242"/>
      <c r="S379" s="242"/>
      <c r="T379" s="242"/>
      <c r="U379" s="242"/>
      <c r="V379" s="242"/>
      <c r="W379" s="242"/>
      <c r="X379" s="242"/>
      <c r="Y379" s="242"/>
      <c r="Z379" s="242"/>
      <c r="AA379" s="242"/>
      <c r="AB379" s="242"/>
      <c r="AC379" s="242"/>
      <c r="AD379" s="242"/>
      <c r="AE379" s="242"/>
      <c r="AF379" s="242"/>
      <c r="AG379" s="242"/>
      <c r="AH379" s="242"/>
    </row>
    <row r="380">
      <c r="A380" s="242"/>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c r="AA380" s="242"/>
      <c r="AB380" s="242"/>
      <c r="AC380" s="242"/>
      <c r="AD380" s="242"/>
      <c r="AE380" s="242"/>
      <c r="AF380" s="242"/>
      <c r="AG380" s="242"/>
      <c r="AH380" s="242"/>
    </row>
    <row r="381">
      <c r="A381" s="242"/>
      <c r="B381" s="242"/>
      <c r="C381" s="242"/>
      <c r="D381" s="242"/>
      <c r="E381" s="242"/>
      <c r="F381" s="242"/>
      <c r="G381" s="242"/>
      <c r="H381" s="242"/>
      <c r="I381" s="242"/>
      <c r="J381" s="242"/>
      <c r="K381" s="242"/>
      <c r="L381" s="242"/>
      <c r="M381" s="242"/>
      <c r="N381" s="242"/>
      <c r="O381" s="242"/>
      <c r="P381" s="242"/>
      <c r="Q381" s="242"/>
      <c r="R381" s="242"/>
      <c r="S381" s="242"/>
      <c r="T381" s="242"/>
      <c r="U381" s="242"/>
      <c r="V381" s="242"/>
      <c r="W381" s="242"/>
      <c r="X381" s="242"/>
      <c r="Y381" s="242"/>
      <c r="Z381" s="242"/>
      <c r="AA381" s="242"/>
      <c r="AB381" s="242"/>
      <c r="AC381" s="242"/>
      <c r="AD381" s="242"/>
      <c r="AE381" s="242"/>
      <c r="AF381" s="242"/>
      <c r="AG381" s="242"/>
      <c r="AH381" s="242"/>
    </row>
    <row r="382">
      <c r="A382" s="242"/>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c r="AA382" s="242"/>
      <c r="AB382" s="242"/>
      <c r="AC382" s="242"/>
      <c r="AD382" s="242"/>
      <c r="AE382" s="242"/>
      <c r="AF382" s="242"/>
      <c r="AG382" s="242"/>
      <c r="AH382" s="242"/>
    </row>
    <row r="383">
      <c r="A383" s="242"/>
      <c r="B383" s="242"/>
      <c r="C383" s="242"/>
      <c r="D383" s="242"/>
      <c r="E383" s="242"/>
      <c r="F383" s="242"/>
      <c r="G383" s="242"/>
      <c r="H383" s="242"/>
      <c r="I383" s="242"/>
      <c r="J383" s="242"/>
      <c r="K383" s="242"/>
      <c r="L383" s="242"/>
      <c r="M383" s="242"/>
      <c r="N383" s="242"/>
      <c r="O383" s="242"/>
      <c r="P383" s="242"/>
      <c r="Q383" s="242"/>
      <c r="R383" s="242"/>
      <c r="S383" s="242"/>
      <c r="T383" s="242"/>
      <c r="U383" s="242"/>
      <c r="V383" s="242"/>
      <c r="W383" s="242"/>
      <c r="X383" s="242"/>
      <c r="Y383" s="242"/>
      <c r="Z383" s="242"/>
      <c r="AA383" s="242"/>
      <c r="AB383" s="242"/>
      <c r="AC383" s="242"/>
      <c r="AD383" s="242"/>
      <c r="AE383" s="242"/>
      <c r="AF383" s="242"/>
      <c r="AG383" s="242"/>
      <c r="AH383" s="242"/>
    </row>
    <row r="384">
      <c r="A384" s="242"/>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c r="AA384" s="242"/>
      <c r="AB384" s="242"/>
      <c r="AC384" s="242"/>
      <c r="AD384" s="242"/>
      <c r="AE384" s="242"/>
      <c r="AF384" s="242"/>
      <c r="AG384" s="242"/>
      <c r="AH384" s="242"/>
    </row>
    <row r="385">
      <c r="A385" s="242"/>
      <c r="B385" s="242"/>
      <c r="C385" s="242"/>
      <c r="D385" s="242"/>
      <c r="E385" s="242"/>
      <c r="F385" s="242"/>
      <c r="G385" s="242"/>
      <c r="H385" s="242"/>
      <c r="I385" s="242"/>
      <c r="J385" s="242"/>
      <c r="K385" s="242"/>
      <c r="L385" s="242"/>
      <c r="M385" s="242"/>
      <c r="N385" s="242"/>
      <c r="O385" s="242"/>
      <c r="P385" s="242"/>
      <c r="Q385" s="242"/>
      <c r="R385" s="242"/>
      <c r="S385" s="242"/>
      <c r="T385" s="242"/>
      <c r="U385" s="242"/>
      <c r="V385" s="242"/>
      <c r="W385" s="242"/>
      <c r="X385" s="242"/>
      <c r="Y385" s="242"/>
      <c r="Z385" s="242"/>
      <c r="AA385" s="242"/>
      <c r="AB385" s="242"/>
      <c r="AC385" s="242"/>
      <c r="AD385" s="242"/>
      <c r="AE385" s="242"/>
      <c r="AF385" s="242"/>
      <c r="AG385" s="242"/>
      <c r="AH385" s="242"/>
    </row>
    <row r="386">
      <c r="A386" s="242"/>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c r="AA386" s="242"/>
      <c r="AB386" s="242"/>
      <c r="AC386" s="242"/>
      <c r="AD386" s="242"/>
      <c r="AE386" s="242"/>
      <c r="AF386" s="242"/>
      <c r="AG386" s="242"/>
      <c r="AH386" s="242"/>
    </row>
    <row r="387">
      <c r="A387" s="242"/>
      <c r="B387" s="242"/>
      <c r="C387" s="242"/>
      <c r="D387" s="242"/>
      <c r="E387" s="242"/>
      <c r="F387" s="242"/>
      <c r="G387" s="242"/>
      <c r="H387" s="242"/>
      <c r="I387" s="242"/>
      <c r="J387" s="242"/>
      <c r="K387" s="242"/>
      <c r="L387" s="242"/>
      <c r="M387" s="242"/>
      <c r="N387" s="242"/>
      <c r="O387" s="242"/>
      <c r="P387" s="242"/>
      <c r="Q387" s="242"/>
      <c r="R387" s="242"/>
      <c r="S387" s="242"/>
      <c r="T387" s="242"/>
      <c r="U387" s="242"/>
      <c r="V387" s="242"/>
      <c r="W387" s="242"/>
      <c r="X387" s="242"/>
      <c r="Y387" s="242"/>
      <c r="Z387" s="242"/>
      <c r="AA387" s="242"/>
      <c r="AB387" s="242"/>
      <c r="AC387" s="242"/>
      <c r="AD387" s="242"/>
      <c r="AE387" s="242"/>
      <c r="AF387" s="242"/>
      <c r="AG387" s="242"/>
      <c r="AH387" s="242"/>
    </row>
    <row r="388">
      <c r="A388" s="242"/>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c r="AA388" s="242"/>
      <c r="AB388" s="242"/>
      <c r="AC388" s="242"/>
      <c r="AD388" s="242"/>
      <c r="AE388" s="242"/>
      <c r="AF388" s="242"/>
      <c r="AG388" s="242"/>
      <c r="AH388" s="242"/>
    </row>
    <row r="389">
      <c r="A389" s="242"/>
      <c r="B389" s="242"/>
      <c r="C389" s="242"/>
      <c r="D389" s="242"/>
      <c r="E389" s="242"/>
      <c r="F389" s="242"/>
      <c r="G389" s="242"/>
      <c r="H389" s="242"/>
      <c r="I389" s="242"/>
      <c r="J389" s="242"/>
      <c r="K389" s="242"/>
      <c r="L389" s="242"/>
      <c r="M389" s="242"/>
      <c r="N389" s="242"/>
      <c r="O389" s="242"/>
      <c r="P389" s="242"/>
      <c r="Q389" s="242"/>
      <c r="R389" s="242"/>
      <c r="S389" s="242"/>
      <c r="T389" s="242"/>
      <c r="U389" s="242"/>
      <c r="V389" s="242"/>
      <c r="W389" s="242"/>
      <c r="X389" s="242"/>
      <c r="Y389" s="242"/>
      <c r="Z389" s="242"/>
      <c r="AA389" s="242"/>
      <c r="AB389" s="242"/>
      <c r="AC389" s="242"/>
      <c r="AD389" s="242"/>
      <c r="AE389" s="242"/>
      <c r="AF389" s="242"/>
      <c r="AG389" s="242"/>
      <c r="AH389" s="242"/>
    </row>
    <row r="390">
      <c r="A390" s="242"/>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c r="AA390" s="242"/>
      <c r="AB390" s="242"/>
      <c r="AC390" s="242"/>
      <c r="AD390" s="242"/>
      <c r="AE390" s="242"/>
      <c r="AF390" s="242"/>
      <c r="AG390" s="242"/>
      <c r="AH390" s="242"/>
    </row>
    <row r="391">
      <c r="A391" s="242"/>
      <c r="B391" s="242"/>
      <c r="C391" s="242"/>
      <c r="D391" s="242"/>
      <c r="E391" s="242"/>
      <c r="F391" s="242"/>
      <c r="G391" s="242"/>
      <c r="H391" s="242"/>
      <c r="I391" s="242"/>
      <c r="J391" s="242"/>
      <c r="K391" s="242"/>
      <c r="L391" s="242"/>
      <c r="M391" s="242"/>
      <c r="N391" s="242"/>
      <c r="O391" s="242"/>
      <c r="P391" s="242"/>
      <c r="Q391" s="242"/>
      <c r="R391" s="242"/>
      <c r="S391" s="242"/>
      <c r="T391" s="242"/>
      <c r="U391" s="242"/>
      <c r="V391" s="242"/>
      <c r="W391" s="242"/>
      <c r="X391" s="242"/>
      <c r="Y391" s="242"/>
      <c r="Z391" s="242"/>
      <c r="AA391" s="242"/>
      <c r="AB391" s="242"/>
      <c r="AC391" s="242"/>
      <c r="AD391" s="242"/>
      <c r="AE391" s="242"/>
      <c r="AF391" s="242"/>
      <c r="AG391" s="242"/>
      <c r="AH391" s="242"/>
    </row>
    <row r="392">
      <c r="A392" s="242"/>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c r="AA392" s="242"/>
      <c r="AB392" s="242"/>
      <c r="AC392" s="242"/>
      <c r="AD392" s="242"/>
      <c r="AE392" s="242"/>
      <c r="AF392" s="242"/>
      <c r="AG392" s="242"/>
      <c r="AH392" s="242"/>
    </row>
    <row r="393">
      <c r="A393" s="242"/>
      <c r="B393" s="242"/>
      <c r="C393" s="242"/>
      <c r="D393" s="242"/>
      <c r="E393" s="242"/>
      <c r="F393" s="242"/>
      <c r="G393" s="242"/>
      <c r="H393" s="242"/>
      <c r="I393" s="242"/>
      <c r="J393" s="242"/>
      <c r="K393" s="242"/>
      <c r="L393" s="242"/>
      <c r="M393" s="242"/>
      <c r="N393" s="242"/>
      <c r="O393" s="242"/>
      <c r="P393" s="242"/>
      <c r="Q393" s="242"/>
      <c r="R393" s="242"/>
      <c r="S393" s="242"/>
      <c r="T393" s="242"/>
      <c r="U393" s="242"/>
      <c r="V393" s="242"/>
      <c r="W393" s="242"/>
      <c r="X393" s="242"/>
      <c r="Y393" s="242"/>
      <c r="Z393" s="242"/>
      <c r="AA393" s="242"/>
      <c r="AB393" s="242"/>
      <c r="AC393" s="242"/>
      <c r="AD393" s="242"/>
      <c r="AE393" s="242"/>
      <c r="AF393" s="242"/>
      <c r="AG393" s="242"/>
      <c r="AH393" s="242"/>
    </row>
    <row r="394">
      <c r="A394" s="242"/>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c r="AA394" s="242"/>
      <c r="AB394" s="242"/>
      <c r="AC394" s="242"/>
      <c r="AD394" s="242"/>
      <c r="AE394" s="242"/>
      <c r="AF394" s="242"/>
      <c r="AG394" s="242"/>
      <c r="AH394" s="242"/>
    </row>
    <row r="395">
      <c r="A395" s="242"/>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c r="AA395" s="242"/>
      <c r="AB395" s="242"/>
      <c r="AC395" s="242"/>
      <c r="AD395" s="242"/>
      <c r="AE395" s="242"/>
      <c r="AF395" s="242"/>
      <c r="AG395" s="242"/>
      <c r="AH395" s="242"/>
    </row>
    <row r="396">
      <c r="A396" s="242"/>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c r="AA396" s="242"/>
      <c r="AB396" s="242"/>
      <c r="AC396" s="242"/>
      <c r="AD396" s="242"/>
      <c r="AE396" s="242"/>
      <c r="AF396" s="242"/>
      <c r="AG396" s="242"/>
      <c r="AH396" s="242"/>
    </row>
    <row r="397">
      <c r="A397" s="242"/>
      <c r="B397" s="242"/>
      <c r="C397" s="242"/>
      <c r="D397" s="242"/>
      <c r="E397" s="242"/>
      <c r="F397" s="242"/>
      <c r="G397" s="242"/>
      <c r="H397" s="242"/>
      <c r="I397" s="242"/>
      <c r="J397" s="242"/>
      <c r="K397" s="242"/>
      <c r="L397" s="242"/>
      <c r="M397" s="242"/>
      <c r="N397" s="242"/>
      <c r="O397" s="242"/>
      <c r="P397" s="242"/>
      <c r="Q397" s="242"/>
      <c r="R397" s="242"/>
      <c r="S397" s="242"/>
      <c r="T397" s="242"/>
      <c r="U397" s="242"/>
      <c r="V397" s="242"/>
      <c r="W397" s="242"/>
      <c r="X397" s="242"/>
      <c r="Y397" s="242"/>
      <c r="Z397" s="242"/>
      <c r="AA397" s="242"/>
      <c r="AB397" s="242"/>
      <c r="AC397" s="242"/>
      <c r="AD397" s="242"/>
      <c r="AE397" s="242"/>
      <c r="AF397" s="242"/>
      <c r="AG397" s="242"/>
      <c r="AH397" s="242"/>
    </row>
    <row r="398">
      <c r="A398" s="242"/>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c r="AA398" s="242"/>
      <c r="AB398" s="242"/>
      <c r="AC398" s="242"/>
      <c r="AD398" s="242"/>
      <c r="AE398" s="242"/>
      <c r="AF398" s="242"/>
      <c r="AG398" s="242"/>
      <c r="AH398" s="242"/>
    </row>
    <row r="399">
      <c r="A399" s="242"/>
      <c r="B399" s="242"/>
      <c r="C399" s="242"/>
      <c r="D399" s="242"/>
      <c r="E399" s="242"/>
      <c r="F399" s="242"/>
      <c r="G399" s="242"/>
      <c r="H399" s="242"/>
      <c r="I399" s="242"/>
      <c r="J399" s="242"/>
      <c r="K399" s="242"/>
      <c r="L399" s="242"/>
      <c r="M399" s="242"/>
      <c r="N399" s="242"/>
      <c r="O399" s="242"/>
      <c r="P399" s="242"/>
      <c r="Q399" s="242"/>
      <c r="R399" s="242"/>
      <c r="S399" s="242"/>
      <c r="T399" s="242"/>
      <c r="U399" s="242"/>
      <c r="V399" s="242"/>
      <c r="W399" s="242"/>
      <c r="X399" s="242"/>
      <c r="Y399" s="242"/>
      <c r="Z399" s="242"/>
      <c r="AA399" s="242"/>
      <c r="AB399" s="242"/>
      <c r="AC399" s="242"/>
      <c r="AD399" s="242"/>
      <c r="AE399" s="242"/>
      <c r="AF399" s="242"/>
      <c r="AG399" s="242"/>
      <c r="AH399" s="242"/>
    </row>
    <row r="400">
      <c r="A400" s="242"/>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c r="AA400" s="242"/>
      <c r="AB400" s="242"/>
      <c r="AC400" s="242"/>
      <c r="AD400" s="242"/>
      <c r="AE400" s="242"/>
      <c r="AF400" s="242"/>
      <c r="AG400" s="242"/>
      <c r="AH400" s="242"/>
    </row>
    <row r="401">
      <c r="A401" s="242"/>
      <c r="B401" s="242"/>
      <c r="C401" s="242"/>
      <c r="D401" s="242"/>
      <c r="E401" s="242"/>
      <c r="F401" s="242"/>
      <c r="G401" s="242"/>
      <c r="H401" s="242"/>
      <c r="I401" s="242"/>
      <c r="J401" s="242"/>
      <c r="K401" s="242"/>
      <c r="L401" s="242"/>
      <c r="M401" s="242"/>
      <c r="N401" s="242"/>
      <c r="O401" s="242"/>
      <c r="P401" s="242"/>
      <c r="Q401" s="242"/>
      <c r="R401" s="242"/>
      <c r="S401" s="242"/>
      <c r="T401" s="242"/>
      <c r="U401" s="242"/>
      <c r="V401" s="242"/>
      <c r="W401" s="242"/>
      <c r="X401" s="242"/>
      <c r="Y401" s="242"/>
      <c r="Z401" s="242"/>
      <c r="AA401" s="242"/>
      <c r="AB401" s="242"/>
      <c r="AC401" s="242"/>
      <c r="AD401" s="242"/>
      <c r="AE401" s="242"/>
      <c r="AF401" s="242"/>
      <c r="AG401" s="242"/>
      <c r="AH401" s="242"/>
    </row>
    <row r="402">
      <c r="A402" s="242"/>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c r="AA402" s="242"/>
      <c r="AB402" s="242"/>
      <c r="AC402" s="242"/>
      <c r="AD402" s="242"/>
      <c r="AE402" s="242"/>
      <c r="AF402" s="242"/>
      <c r="AG402" s="242"/>
      <c r="AH402" s="242"/>
    </row>
    <row r="403">
      <c r="A403" s="242"/>
      <c r="B403" s="242"/>
      <c r="C403" s="242"/>
      <c r="D403" s="242"/>
      <c r="E403" s="242"/>
      <c r="F403" s="242"/>
      <c r="G403" s="242"/>
      <c r="H403" s="242"/>
      <c r="I403" s="242"/>
      <c r="J403" s="242"/>
      <c r="K403" s="242"/>
      <c r="L403" s="242"/>
      <c r="M403" s="242"/>
      <c r="N403" s="242"/>
      <c r="O403" s="242"/>
      <c r="P403" s="242"/>
      <c r="Q403" s="242"/>
      <c r="R403" s="242"/>
      <c r="S403" s="242"/>
      <c r="T403" s="242"/>
      <c r="U403" s="242"/>
      <c r="V403" s="242"/>
      <c r="W403" s="242"/>
      <c r="X403" s="242"/>
      <c r="Y403" s="242"/>
      <c r="Z403" s="242"/>
      <c r="AA403" s="242"/>
      <c r="AB403" s="242"/>
      <c r="AC403" s="242"/>
      <c r="AD403" s="242"/>
      <c r="AE403" s="242"/>
      <c r="AF403" s="242"/>
      <c r="AG403" s="242"/>
      <c r="AH403" s="242"/>
    </row>
    <row r="404">
      <c r="A404" s="242"/>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c r="AA404" s="242"/>
      <c r="AB404" s="242"/>
      <c r="AC404" s="242"/>
      <c r="AD404" s="242"/>
      <c r="AE404" s="242"/>
      <c r="AF404" s="242"/>
      <c r="AG404" s="242"/>
      <c r="AH404" s="242"/>
    </row>
    <row r="405">
      <c r="A405" s="242"/>
      <c r="B405" s="242"/>
      <c r="C405" s="242"/>
      <c r="D405" s="242"/>
      <c r="E405" s="242"/>
      <c r="F405" s="242"/>
      <c r="G405" s="242"/>
      <c r="H405" s="242"/>
      <c r="I405" s="242"/>
      <c r="J405" s="242"/>
      <c r="K405" s="242"/>
      <c r="L405" s="242"/>
      <c r="M405" s="242"/>
      <c r="N405" s="242"/>
      <c r="O405" s="242"/>
      <c r="P405" s="242"/>
      <c r="Q405" s="242"/>
      <c r="R405" s="242"/>
      <c r="S405" s="242"/>
      <c r="T405" s="242"/>
      <c r="U405" s="242"/>
      <c r="V405" s="242"/>
      <c r="W405" s="242"/>
      <c r="X405" s="242"/>
      <c r="Y405" s="242"/>
      <c r="Z405" s="242"/>
      <c r="AA405" s="242"/>
      <c r="AB405" s="242"/>
      <c r="AC405" s="242"/>
      <c r="AD405" s="242"/>
      <c r="AE405" s="242"/>
      <c r="AF405" s="242"/>
      <c r="AG405" s="242"/>
      <c r="AH405" s="242"/>
    </row>
    <row r="406">
      <c r="A406" s="242"/>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c r="AA406" s="242"/>
      <c r="AB406" s="242"/>
      <c r="AC406" s="242"/>
      <c r="AD406" s="242"/>
      <c r="AE406" s="242"/>
      <c r="AF406" s="242"/>
      <c r="AG406" s="242"/>
      <c r="AH406" s="242"/>
    </row>
    <row r="407">
      <c r="A407" s="242"/>
      <c r="B407" s="242"/>
      <c r="C407" s="242"/>
      <c r="D407" s="242"/>
      <c r="E407" s="242"/>
      <c r="F407" s="242"/>
      <c r="G407" s="242"/>
      <c r="H407" s="242"/>
      <c r="I407" s="242"/>
      <c r="J407" s="242"/>
      <c r="K407" s="242"/>
      <c r="L407" s="242"/>
      <c r="M407" s="242"/>
      <c r="N407" s="242"/>
      <c r="O407" s="242"/>
      <c r="P407" s="242"/>
      <c r="Q407" s="242"/>
      <c r="R407" s="242"/>
      <c r="S407" s="242"/>
      <c r="T407" s="242"/>
      <c r="U407" s="242"/>
      <c r="V407" s="242"/>
      <c r="W407" s="242"/>
      <c r="X407" s="242"/>
      <c r="Y407" s="242"/>
      <c r="Z407" s="242"/>
      <c r="AA407" s="242"/>
      <c r="AB407" s="242"/>
      <c r="AC407" s="242"/>
      <c r="AD407" s="242"/>
      <c r="AE407" s="242"/>
      <c r="AF407" s="242"/>
      <c r="AG407" s="242"/>
      <c r="AH407" s="242"/>
    </row>
    <row r="408">
      <c r="A408" s="242"/>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c r="AA408" s="242"/>
      <c r="AB408" s="242"/>
      <c r="AC408" s="242"/>
      <c r="AD408" s="242"/>
      <c r="AE408" s="242"/>
      <c r="AF408" s="242"/>
      <c r="AG408" s="242"/>
      <c r="AH408" s="242"/>
    </row>
    <row r="409">
      <c r="A409" s="242"/>
      <c r="B409" s="242"/>
      <c r="C409" s="242"/>
      <c r="D409" s="242"/>
      <c r="E409" s="242"/>
      <c r="F409" s="242"/>
      <c r="G409" s="242"/>
      <c r="H409" s="242"/>
      <c r="I409" s="242"/>
      <c r="J409" s="242"/>
      <c r="K409" s="242"/>
      <c r="L409" s="242"/>
      <c r="M409" s="242"/>
      <c r="N409" s="242"/>
      <c r="O409" s="242"/>
      <c r="P409" s="242"/>
      <c r="Q409" s="242"/>
      <c r="R409" s="242"/>
      <c r="S409" s="242"/>
      <c r="T409" s="242"/>
      <c r="U409" s="242"/>
      <c r="V409" s="242"/>
      <c r="W409" s="242"/>
      <c r="X409" s="242"/>
      <c r="Y409" s="242"/>
      <c r="Z409" s="242"/>
      <c r="AA409" s="242"/>
      <c r="AB409" s="242"/>
      <c r="AC409" s="242"/>
      <c r="AD409" s="242"/>
      <c r="AE409" s="242"/>
      <c r="AF409" s="242"/>
      <c r="AG409" s="242"/>
      <c r="AH409" s="242"/>
    </row>
    <row r="410">
      <c r="A410" s="242"/>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c r="AA410" s="242"/>
      <c r="AB410" s="242"/>
      <c r="AC410" s="242"/>
      <c r="AD410" s="242"/>
      <c r="AE410" s="242"/>
      <c r="AF410" s="242"/>
      <c r="AG410" s="242"/>
      <c r="AH410" s="242"/>
    </row>
    <row r="411">
      <c r="A411" s="242"/>
      <c r="B411" s="242"/>
      <c r="C411" s="242"/>
      <c r="D411" s="242"/>
      <c r="E411" s="242"/>
      <c r="F411" s="242"/>
      <c r="G411" s="242"/>
      <c r="H411" s="242"/>
      <c r="I411" s="242"/>
      <c r="J411" s="242"/>
      <c r="K411" s="242"/>
      <c r="L411" s="242"/>
      <c r="M411" s="242"/>
      <c r="N411" s="242"/>
      <c r="O411" s="242"/>
      <c r="P411" s="242"/>
      <c r="Q411" s="242"/>
      <c r="R411" s="242"/>
      <c r="S411" s="242"/>
      <c r="T411" s="242"/>
      <c r="U411" s="242"/>
      <c r="V411" s="242"/>
      <c r="W411" s="242"/>
      <c r="X411" s="242"/>
      <c r="Y411" s="242"/>
      <c r="Z411" s="242"/>
      <c r="AA411" s="242"/>
      <c r="AB411" s="242"/>
      <c r="AC411" s="242"/>
      <c r="AD411" s="242"/>
      <c r="AE411" s="242"/>
      <c r="AF411" s="242"/>
      <c r="AG411" s="242"/>
      <c r="AH411" s="242"/>
    </row>
    <row r="412">
      <c r="A412" s="242"/>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c r="AA412" s="242"/>
      <c r="AB412" s="242"/>
      <c r="AC412" s="242"/>
      <c r="AD412" s="242"/>
      <c r="AE412" s="242"/>
      <c r="AF412" s="242"/>
      <c r="AG412" s="242"/>
      <c r="AH412" s="242"/>
    </row>
    <row r="413">
      <c r="A413" s="242"/>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c r="AA413" s="242"/>
      <c r="AB413" s="242"/>
      <c r="AC413" s="242"/>
      <c r="AD413" s="242"/>
      <c r="AE413" s="242"/>
      <c r="AF413" s="242"/>
      <c r="AG413" s="242"/>
      <c r="AH413" s="242"/>
    </row>
    <row r="414">
      <c r="A414" s="242"/>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c r="AA414" s="242"/>
      <c r="AB414" s="242"/>
      <c r="AC414" s="242"/>
      <c r="AD414" s="242"/>
      <c r="AE414" s="242"/>
      <c r="AF414" s="242"/>
      <c r="AG414" s="242"/>
      <c r="AH414" s="242"/>
    </row>
    <row r="415">
      <c r="A415" s="242"/>
      <c r="B415" s="242"/>
      <c r="C415" s="242"/>
      <c r="D415" s="242"/>
      <c r="E415" s="242"/>
      <c r="F415" s="242"/>
      <c r="G415" s="242"/>
      <c r="H415" s="242"/>
      <c r="I415" s="242"/>
      <c r="J415" s="242"/>
      <c r="K415" s="242"/>
      <c r="L415" s="242"/>
      <c r="M415" s="242"/>
      <c r="N415" s="242"/>
      <c r="O415" s="242"/>
      <c r="P415" s="242"/>
      <c r="Q415" s="242"/>
      <c r="R415" s="242"/>
      <c r="S415" s="242"/>
      <c r="T415" s="242"/>
      <c r="U415" s="242"/>
      <c r="V415" s="242"/>
      <c r="W415" s="242"/>
      <c r="X415" s="242"/>
      <c r="Y415" s="242"/>
      <c r="Z415" s="242"/>
      <c r="AA415" s="242"/>
      <c r="AB415" s="242"/>
      <c r="AC415" s="242"/>
      <c r="AD415" s="242"/>
      <c r="AE415" s="242"/>
      <c r="AF415" s="242"/>
      <c r="AG415" s="242"/>
      <c r="AH415" s="242"/>
    </row>
    <row r="416">
      <c r="A416" s="242"/>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c r="AA416" s="242"/>
      <c r="AB416" s="242"/>
      <c r="AC416" s="242"/>
      <c r="AD416" s="242"/>
      <c r="AE416" s="242"/>
      <c r="AF416" s="242"/>
      <c r="AG416" s="242"/>
      <c r="AH416" s="242"/>
    </row>
    <row r="417">
      <c r="A417" s="242"/>
      <c r="B417" s="242"/>
      <c r="C417" s="242"/>
      <c r="D417" s="242"/>
      <c r="E417" s="242"/>
      <c r="F417" s="242"/>
      <c r="G417" s="242"/>
      <c r="H417" s="242"/>
      <c r="I417" s="242"/>
      <c r="J417" s="242"/>
      <c r="K417" s="242"/>
      <c r="L417" s="242"/>
      <c r="M417" s="242"/>
      <c r="N417" s="242"/>
      <c r="O417" s="242"/>
      <c r="P417" s="242"/>
      <c r="Q417" s="242"/>
      <c r="R417" s="242"/>
      <c r="S417" s="242"/>
      <c r="T417" s="242"/>
      <c r="U417" s="242"/>
      <c r="V417" s="242"/>
      <c r="W417" s="242"/>
      <c r="X417" s="242"/>
      <c r="Y417" s="242"/>
      <c r="Z417" s="242"/>
      <c r="AA417" s="242"/>
      <c r="AB417" s="242"/>
      <c r="AC417" s="242"/>
      <c r="AD417" s="242"/>
      <c r="AE417" s="242"/>
      <c r="AF417" s="242"/>
      <c r="AG417" s="242"/>
      <c r="AH417" s="242"/>
    </row>
    <row r="418">
      <c r="A418" s="242"/>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c r="AA418" s="242"/>
      <c r="AB418" s="242"/>
      <c r="AC418" s="242"/>
      <c r="AD418" s="242"/>
      <c r="AE418" s="242"/>
      <c r="AF418" s="242"/>
      <c r="AG418" s="242"/>
      <c r="AH418" s="242"/>
    </row>
    <row r="419">
      <c r="A419" s="242"/>
      <c r="B419" s="242"/>
      <c r="C419" s="242"/>
      <c r="D419" s="242"/>
      <c r="E419" s="242"/>
      <c r="F419" s="242"/>
      <c r="G419" s="242"/>
      <c r="H419" s="242"/>
      <c r="I419" s="242"/>
      <c r="J419" s="242"/>
      <c r="K419" s="242"/>
      <c r="L419" s="242"/>
      <c r="M419" s="242"/>
      <c r="N419" s="242"/>
      <c r="O419" s="242"/>
      <c r="P419" s="242"/>
      <c r="Q419" s="242"/>
      <c r="R419" s="242"/>
      <c r="S419" s="242"/>
      <c r="T419" s="242"/>
      <c r="U419" s="242"/>
      <c r="V419" s="242"/>
      <c r="W419" s="242"/>
      <c r="X419" s="242"/>
      <c r="Y419" s="242"/>
      <c r="Z419" s="242"/>
      <c r="AA419" s="242"/>
      <c r="AB419" s="242"/>
      <c r="AC419" s="242"/>
      <c r="AD419" s="242"/>
      <c r="AE419" s="242"/>
      <c r="AF419" s="242"/>
      <c r="AG419" s="242"/>
      <c r="AH419" s="242"/>
    </row>
    <row r="420">
      <c r="A420" s="242"/>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c r="AA420" s="242"/>
      <c r="AB420" s="242"/>
      <c r="AC420" s="242"/>
      <c r="AD420" s="242"/>
      <c r="AE420" s="242"/>
      <c r="AF420" s="242"/>
      <c r="AG420" s="242"/>
      <c r="AH420" s="242"/>
    </row>
    <row r="421">
      <c r="A421" s="242"/>
      <c r="B421" s="242"/>
      <c r="C421" s="242"/>
      <c r="D421" s="242"/>
      <c r="E421" s="242"/>
      <c r="F421" s="242"/>
      <c r="G421" s="242"/>
      <c r="H421" s="242"/>
      <c r="I421" s="242"/>
      <c r="J421" s="242"/>
      <c r="K421" s="242"/>
      <c r="L421" s="242"/>
      <c r="M421" s="242"/>
      <c r="N421" s="242"/>
      <c r="O421" s="242"/>
      <c r="P421" s="242"/>
      <c r="Q421" s="242"/>
      <c r="R421" s="242"/>
      <c r="S421" s="242"/>
      <c r="T421" s="242"/>
      <c r="U421" s="242"/>
      <c r="V421" s="242"/>
      <c r="W421" s="242"/>
      <c r="X421" s="242"/>
      <c r="Y421" s="242"/>
      <c r="Z421" s="242"/>
      <c r="AA421" s="242"/>
      <c r="AB421" s="242"/>
      <c r="AC421" s="242"/>
      <c r="AD421" s="242"/>
      <c r="AE421" s="242"/>
      <c r="AF421" s="242"/>
      <c r="AG421" s="242"/>
      <c r="AH421" s="242"/>
    </row>
    <row r="422">
      <c r="A422" s="242"/>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c r="AA422" s="242"/>
      <c r="AB422" s="242"/>
      <c r="AC422" s="242"/>
      <c r="AD422" s="242"/>
      <c r="AE422" s="242"/>
      <c r="AF422" s="242"/>
      <c r="AG422" s="242"/>
      <c r="AH422" s="242"/>
    </row>
    <row r="423">
      <c r="A423" s="242"/>
      <c r="B423" s="242"/>
      <c r="C423" s="242"/>
      <c r="D423" s="242"/>
      <c r="E423" s="242"/>
      <c r="F423" s="242"/>
      <c r="G423" s="242"/>
      <c r="H423" s="242"/>
      <c r="I423" s="242"/>
      <c r="J423" s="242"/>
      <c r="K423" s="242"/>
      <c r="L423" s="242"/>
      <c r="M423" s="242"/>
      <c r="N423" s="242"/>
      <c r="O423" s="242"/>
      <c r="P423" s="242"/>
      <c r="Q423" s="242"/>
      <c r="R423" s="242"/>
      <c r="S423" s="242"/>
      <c r="T423" s="242"/>
      <c r="U423" s="242"/>
      <c r="V423" s="242"/>
      <c r="W423" s="242"/>
      <c r="X423" s="242"/>
      <c r="Y423" s="242"/>
      <c r="Z423" s="242"/>
      <c r="AA423" s="242"/>
      <c r="AB423" s="242"/>
      <c r="AC423" s="242"/>
      <c r="AD423" s="242"/>
      <c r="AE423" s="242"/>
      <c r="AF423" s="242"/>
      <c r="AG423" s="242"/>
      <c r="AH423" s="242"/>
    </row>
    <row r="424">
      <c r="A424" s="242"/>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c r="AA424" s="242"/>
      <c r="AB424" s="242"/>
      <c r="AC424" s="242"/>
      <c r="AD424" s="242"/>
      <c r="AE424" s="242"/>
      <c r="AF424" s="242"/>
      <c r="AG424" s="242"/>
      <c r="AH424" s="242"/>
    </row>
    <row r="425">
      <c r="A425" s="242"/>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c r="AA425" s="242"/>
      <c r="AB425" s="242"/>
      <c r="AC425" s="242"/>
      <c r="AD425" s="242"/>
      <c r="AE425" s="242"/>
      <c r="AF425" s="242"/>
      <c r="AG425" s="242"/>
      <c r="AH425" s="242"/>
    </row>
    <row r="426">
      <c r="A426" s="242"/>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c r="AA426" s="242"/>
      <c r="AB426" s="242"/>
      <c r="AC426" s="242"/>
      <c r="AD426" s="242"/>
      <c r="AE426" s="242"/>
      <c r="AF426" s="242"/>
      <c r="AG426" s="242"/>
      <c r="AH426" s="242"/>
    </row>
    <row r="427">
      <c r="A427" s="242"/>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c r="AA427" s="242"/>
      <c r="AB427" s="242"/>
      <c r="AC427" s="242"/>
      <c r="AD427" s="242"/>
      <c r="AE427" s="242"/>
      <c r="AF427" s="242"/>
      <c r="AG427" s="242"/>
      <c r="AH427" s="242"/>
    </row>
    <row r="428">
      <c r="A428" s="242"/>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c r="AA428" s="242"/>
      <c r="AB428" s="242"/>
      <c r="AC428" s="242"/>
      <c r="AD428" s="242"/>
      <c r="AE428" s="242"/>
      <c r="AF428" s="242"/>
      <c r="AG428" s="242"/>
      <c r="AH428" s="242"/>
    </row>
    <row r="429">
      <c r="A429" s="242"/>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c r="AA429" s="242"/>
      <c r="AB429" s="242"/>
      <c r="AC429" s="242"/>
      <c r="AD429" s="242"/>
      <c r="AE429" s="242"/>
      <c r="AF429" s="242"/>
      <c r="AG429" s="242"/>
      <c r="AH429" s="242"/>
    </row>
    <row r="430">
      <c r="A430" s="242"/>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c r="AA430" s="242"/>
      <c r="AB430" s="242"/>
      <c r="AC430" s="242"/>
      <c r="AD430" s="242"/>
      <c r="AE430" s="242"/>
      <c r="AF430" s="242"/>
      <c r="AG430" s="242"/>
      <c r="AH430" s="242"/>
    </row>
    <row r="431">
      <c r="A431" s="242"/>
      <c r="B431" s="242"/>
      <c r="C431" s="242"/>
      <c r="D431" s="242"/>
      <c r="E431" s="242"/>
      <c r="F431" s="242"/>
      <c r="G431" s="242"/>
      <c r="H431" s="242"/>
      <c r="I431" s="242"/>
      <c r="J431" s="242"/>
      <c r="K431" s="242"/>
      <c r="L431" s="242"/>
      <c r="M431" s="242"/>
      <c r="N431" s="242"/>
      <c r="O431" s="242"/>
      <c r="P431" s="242"/>
      <c r="Q431" s="242"/>
      <c r="R431" s="242"/>
      <c r="S431" s="242"/>
      <c r="T431" s="242"/>
      <c r="U431" s="242"/>
      <c r="V431" s="242"/>
      <c r="W431" s="242"/>
      <c r="X431" s="242"/>
      <c r="Y431" s="242"/>
      <c r="Z431" s="242"/>
      <c r="AA431" s="242"/>
      <c r="AB431" s="242"/>
      <c r="AC431" s="242"/>
      <c r="AD431" s="242"/>
      <c r="AE431" s="242"/>
      <c r="AF431" s="242"/>
      <c r="AG431" s="242"/>
      <c r="AH431" s="242"/>
    </row>
    <row r="432">
      <c r="A432" s="242"/>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c r="AA432" s="242"/>
      <c r="AB432" s="242"/>
      <c r="AC432" s="242"/>
      <c r="AD432" s="242"/>
      <c r="AE432" s="242"/>
      <c r="AF432" s="242"/>
      <c r="AG432" s="242"/>
      <c r="AH432" s="242"/>
    </row>
    <row r="433">
      <c r="A433" s="242"/>
      <c r="B433" s="242"/>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c r="AA433" s="242"/>
      <c r="AB433" s="242"/>
      <c r="AC433" s="242"/>
      <c r="AD433" s="242"/>
      <c r="AE433" s="242"/>
      <c r="AF433" s="242"/>
      <c r="AG433" s="242"/>
      <c r="AH433" s="242"/>
    </row>
    <row r="434">
      <c r="A434" s="242"/>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c r="AA434" s="242"/>
      <c r="AB434" s="242"/>
      <c r="AC434" s="242"/>
      <c r="AD434" s="242"/>
      <c r="AE434" s="242"/>
      <c r="AF434" s="242"/>
      <c r="AG434" s="242"/>
      <c r="AH434" s="242"/>
    </row>
    <row r="435">
      <c r="A435" s="242"/>
      <c r="B435" s="242"/>
      <c r="C435" s="242"/>
      <c r="D435" s="242"/>
      <c r="E435" s="242"/>
      <c r="F435" s="242"/>
      <c r="G435" s="242"/>
      <c r="H435" s="242"/>
      <c r="I435" s="242"/>
      <c r="J435" s="242"/>
      <c r="K435" s="242"/>
      <c r="L435" s="242"/>
      <c r="M435" s="242"/>
      <c r="N435" s="242"/>
      <c r="O435" s="242"/>
      <c r="P435" s="242"/>
      <c r="Q435" s="242"/>
      <c r="R435" s="242"/>
      <c r="S435" s="242"/>
      <c r="T435" s="242"/>
      <c r="U435" s="242"/>
      <c r="V435" s="242"/>
      <c r="W435" s="242"/>
      <c r="X435" s="242"/>
      <c r="Y435" s="242"/>
      <c r="Z435" s="242"/>
      <c r="AA435" s="242"/>
      <c r="AB435" s="242"/>
      <c r="AC435" s="242"/>
      <c r="AD435" s="242"/>
      <c r="AE435" s="242"/>
      <c r="AF435" s="242"/>
      <c r="AG435" s="242"/>
      <c r="AH435" s="242"/>
    </row>
    <row r="436">
      <c r="A436" s="242"/>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c r="AA436" s="242"/>
      <c r="AB436" s="242"/>
      <c r="AC436" s="242"/>
      <c r="AD436" s="242"/>
      <c r="AE436" s="242"/>
      <c r="AF436" s="242"/>
      <c r="AG436" s="242"/>
      <c r="AH436" s="242"/>
    </row>
    <row r="437">
      <c r="A437" s="242"/>
      <c r="B437" s="242"/>
      <c r="C437" s="242"/>
      <c r="D437" s="242"/>
      <c r="E437" s="242"/>
      <c r="F437" s="242"/>
      <c r="G437" s="242"/>
      <c r="H437" s="242"/>
      <c r="I437" s="242"/>
      <c r="J437" s="242"/>
      <c r="K437" s="242"/>
      <c r="L437" s="242"/>
      <c r="M437" s="242"/>
      <c r="N437" s="242"/>
      <c r="O437" s="242"/>
      <c r="P437" s="242"/>
      <c r="Q437" s="242"/>
      <c r="R437" s="242"/>
      <c r="S437" s="242"/>
      <c r="T437" s="242"/>
      <c r="U437" s="242"/>
      <c r="V437" s="242"/>
      <c r="W437" s="242"/>
      <c r="X437" s="242"/>
      <c r="Y437" s="242"/>
      <c r="Z437" s="242"/>
      <c r="AA437" s="242"/>
      <c r="AB437" s="242"/>
      <c r="AC437" s="242"/>
      <c r="AD437" s="242"/>
      <c r="AE437" s="242"/>
      <c r="AF437" s="242"/>
      <c r="AG437" s="242"/>
      <c r="AH437" s="242"/>
    </row>
    <row r="438">
      <c r="A438" s="242"/>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c r="AA438" s="242"/>
      <c r="AB438" s="242"/>
      <c r="AC438" s="242"/>
      <c r="AD438" s="242"/>
      <c r="AE438" s="242"/>
      <c r="AF438" s="242"/>
      <c r="AG438" s="242"/>
      <c r="AH438" s="242"/>
    </row>
    <row r="439">
      <c r="A439" s="242"/>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c r="AA439" s="242"/>
      <c r="AB439" s="242"/>
      <c r="AC439" s="242"/>
      <c r="AD439" s="242"/>
      <c r="AE439" s="242"/>
      <c r="AF439" s="242"/>
      <c r="AG439" s="242"/>
      <c r="AH439" s="242"/>
    </row>
    <row r="440">
      <c r="A440" s="242"/>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c r="AA440" s="242"/>
      <c r="AB440" s="242"/>
      <c r="AC440" s="242"/>
      <c r="AD440" s="242"/>
      <c r="AE440" s="242"/>
      <c r="AF440" s="242"/>
      <c r="AG440" s="242"/>
      <c r="AH440" s="242"/>
    </row>
    <row r="441">
      <c r="A441" s="242"/>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c r="AA441" s="242"/>
      <c r="AB441" s="242"/>
      <c r="AC441" s="242"/>
      <c r="AD441" s="242"/>
      <c r="AE441" s="242"/>
      <c r="AF441" s="242"/>
      <c r="AG441" s="242"/>
      <c r="AH441" s="242"/>
    </row>
    <row r="442">
      <c r="A442" s="242"/>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c r="AA442" s="242"/>
      <c r="AB442" s="242"/>
      <c r="AC442" s="242"/>
      <c r="AD442" s="242"/>
      <c r="AE442" s="242"/>
      <c r="AF442" s="242"/>
      <c r="AG442" s="242"/>
      <c r="AH442" s="242"/>
    </row>
    <row r="443">
      <c r="A443" s="242"/>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c r="AA443" s="242"/>
      <c r="AB443" s="242"/>
      <c r="AC443" s="242"/>
      <c r="AD443" s="242"/>
      <c r="AE443" s="242"/>
      <c r="AF443" s="242"/>
      <c r="AG443" s="242"/>
      <c r="AH443" s="242"/>
    </row>
    <row r="444">
      <c r="A444" s="242"/>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c r="AA444" s="242"/>
      <c r="AB444" s="242"/>
      <c r="AC444" s="242"/>
      <c r="AD444" s="242"/>
      <c r="AE444" s="242"/>
      <c r="AF444" s="242"/>
      <c r="AG444" s="242"/>
      <c r="AH444" s="242"/>
    </row>
    <row r="445">
      <c r="A445" s="242"/>
      <c r="B445" s="242"/>
      <c r="C445" s="242"/>
      <c r="D445" s="242"/>
      <c r="E445" s="242"/>
      <c r="F445" s="242"/>
      <c r="G445" s="242"/>
      <c r="H445" s="242"/>
      <c r="I445" s="242"/>
      <c r="J445" s="242"/>
      <c r="K445" s="242"/>
      <c r="L445" s="242"/>
      <c r="M445" s="242"/>
      <c r="N445" s="242"/>
      <c r="O445" s="242"/>
      <c r="P445" s="242"/>
      <c r="Q445" s="242"/>
      <c r="R445" s="242"/>
      <c r="S445" s="242"/>
      <c r="T445" s="242"/>
      <c r="U445" s="242"/>
      <c r="V445" s="242"/>
      <c r="W445" s="242"/>
      <c r="X445" s="242"/>
      <c r="Y445" s="242"/>
      <c r="Z445" s="242"/>
      <c r="AA445" s="242"/>
      <c r="AB445" s="242"/>
      <c r="AC445" s="242"/>
      <c r="AD445" s="242"/>
      <c r="AE445" s="242"/>
      <c r="AF445" s="242"/>
      <c r="AG445" s="242"/>
      <c r="AH445" s="242"/>
    </row>
    <row r="446">
      <c r="A446" s="242"/>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c r="AA446" s="242"/>
      <c r="AB446" s="242"/>
      <c r="AC446" s="242"/>
      <c r="AD446" s="242"/>
      <c r="AE446" s="242"/>
      <c r="AF446" s="242"/>
      <c r="AG446" s="242"/>
      <c r="AH446" s="242"/>
    </row>
    <row r="447">
      <c r="A447" s="242"/>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c r="AA447" s="242"/>
      <c r="AB447" s="242"/>
      <c r="AC447" s="242"/>
      <c r="AD447" s="242"/>
      <c r="AE447" s="242"/>
      <c r="AF447" s="242"/>
      <c r="AG447" s="242"/>
      <c r="AH447" s="242"/>
    </row>
    <row r="448">
      <c r="A448" s="242"/>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c r="AA448" s="242"/>
      <c r="AB448" s="242"/>
      <c r="AC448" s="242"/>
      <c r="AD448" s="242"/>
      <c r="AE448" s="242"/>
      <c r="AF448" s="242"/>
      <c r="AG448" s="242"/>
      <c r="AH448" s="242"/>
    </row>
    <row r="449">
      <c r="A449" s="242"/>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c r="AA449" s="242"/>
      <c r="AB449" s="242"/>
      <c r="AC449" s="242"/>
      <c r="AD449" s="242"/>
      <c r="AE449" s="242"/>
      <c r="AF449" s="242"/>
      <c r="AG449" s="242"/>
      <c r="AH449" s="242"/>
    </row>
    <row r="450">
      <c r="A450" s="242"/>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c r="AA450" s="242"/>
      <c r="AB450" s="242"/>
      <c r="AC450" s="242"/>
      <c r="AD450" s="242"/>
      <c r="AE450" s="242"/>
      <c r="AF450" s="242"/>
      <c r="AG450" s="242"/>
      <c r="AH450" s="242"/>
    </row>
    <row r="451">
      <c r="A451" s="242"/>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c r="AA451" s="242"/>
      <c r="AB451" s="242"/>
      <c r="AC451" s="242"/>
      <c r="AD451" s="242"/>
      <c r="AE451" s="242"/>
      <c r="AF451" s="242"/>
      <c r="AG451" s="242"/>
      <c r="AH451" s="242"/>
    </row>
    <row r="452">
      <c r="A452" s="242"/>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c r="AA452" s="242"/>
      <c r="AB452" s="242"/>
      <c r="AC452" s="242"/>
      <c r="AD452" s="242"/>
      <c r="AE452" s="242"/>
      <c r="AF452" s="242"/>
      <c r="AG452" s="242"/>
      <c r="AH452" s="242"/>
    </row>
    <row r="453">
      <c r="A453" s="242"/>
      <c r="B453" s="242"/>
      <c r="C453" s="242"/>
      <c r="D453" s="242"/>
      <c r="E453" s="242"/>
      <c r="F453" s="242"/>
      <c r="G453" s="242"/>
      <c r="H453" s="242"/>
      <c r="I453" s="242"/>
      <c r="J453" s="242"/>
      <c r="K453" s="242"/>
      <c r="L453" s="242"/>
      <c r="M453" s="242"/>
      <c r="N453" s="242"/>
      <c r="O453" s="242"/>
      <c r="P453" s="242"/>
      <c r="Q453" s="242"/>
      <c r="R453" s="242"/>
      <c r="S453" s="242"/>
      <c r="T453" s="242"/>
      <c r="U453" s="242"/>
      <c r="V453" s="242"/>
      <c r="W453" s="242"/>
      <c r="X453" s="242"/>
      <c r="Y453" s="242"/>
      <c r="Z453" s="242"/>
      <c r="AA453" s="242"/>
      <c r="AB453" s="242"/>
      <c r="AC453" s="242"/>
      <c r="AD453" s="242"/>
      <c r="AE453" s="242"/>
      <c r="AF453" s="242"/>
      <c r="AG453" s="242"/>
      <c r="AH453" s="242"/>
    </row>
    <row r="454">
      <c r="A454" s="242"/>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c r="AA454" s="242"/>
      <c r="AB454" s="242"/>
      <c r="AC454" s="242"/>
      <c r="AD454" s="242"/>
      <c r="AE454" s="242"/>
      <c r="AF454" s="242"/>
      <c r="AG454" s="242"/>
      <c r="AH454" s="242"/>
    </row>
    <row r="455">
      <c r="A455" s="242"/>
      <c r="B455" s="242"/>
      <c r="C455" s="242"/>
      <c r="D455" s="242"/>
      <c r="E455" s="242"/>
      <c r="F455" s="242"/>
      <c r="G455" s="242"/>
      <c r="H455" s="242"/>
      <c r="I455" s="242"/>
      <c r="J455" s="242"/>
      <c r="K455" s="242"/>
      <c r="L455" s="242"/>
      <c r="M455" s="242"/>
      <c r="N455" s="242"/>
      <c r="O455" s="242"/>
      <c r="P455" s="242"/>
      <c r="Q455" s="242"/>
      <c r="R455" s="242"/>
      <c r="S455" s="242"/>
      <c r="T455" s="242"/>
      <c r="U455" s="242"/>
      <c r="V455" s="242"/>
      <c r="W455" s="242"/>
      <c r="X455" s="242"/>
      <c r="Y455" s="242"/>
      <c r="Z455" s="242"/>
      <c r="AA455" s="242"/>
      <c r="AB455" s="242"/>
      <c r="AC455" s="242"/>
      <c r="AD455" s="242"/>
      <c r="AE455" s="242"/>
      <c r="AF455" s="242"/>
      <c r="AG455" s="242"/>
      <c r="AH455" s="242"/>
    </row>
    <row r="456">
      <c r="A456" s="242"/>
      <c r="B456" s="242"/>
      <c r="C456" s="242"/>
      <c r="D456" s="242"/>
      <c r="E456" s="242"/>
      <c r="F456" s="242"/>
      <c r="G456" s="242"/>
      <c r="H456" s="242"/>
      <c r="I456" s="242"/>
      <c r="J456" s="242"/>
      <c r="K456" s="242"/>
      <c r="L456" s="242"/>
      <c r="M456" s="242"/>
      <c r="N456" s="242"/>
      <c r="O456" s="242"/>
      <c r="P456" s="242"/>
      <c r="Q456" s="242"/>
      <c r="R456" s="242"/>
      <c r="S456" s="242"/>
      <c r="T456" s="242"/>
      <c r="U456" s="242"/>
      <c r="V456" s="242"/>
      <c r="W456" s="242"/>
      <c r="X456" s="242"/>
      <c r="Y456" s="242"/>
      <c r="Z456" s="242"/>
      <c r="AA456" s="242"/>
      <c r="AB456" s="242"/>
      <c r="AC456" s="242"/>
      <c r="AD456" s="242"/>
      <c r="AE456" s="242"/>
      <c r="AF456" s="242"/>
      <c r="AG456" s="242"/>
      <c r="AH456" s="242"/>
    </row>
    <row r="457">
      <c r="A457" s="242"/>
      <c r="B457" s="242"/>
      <c r="C457" s="242"/>
      <c r="D457" s="242"/>
      <c r="E457" s="242"/>
      <c r="F457" s="242"/>
      <c r="G457" s="242"/>
      <c r="H457" s="242"/>
      <c r="I457" s="242"/>
      <c r="J457" s="242"/>
      <c r="K457" s="242"/>
      <c r="L457" s="242"/>
      <c r="M457" s="242"/>
      <c r="N457" s="242"/>
      <c r="O457" s="242"/>
      <c r="P457" s="242"/>
      <c r="Q457" s="242"/>
      <c r="R457" s="242"/>
      <c r="S457" s="242"/>
      <c r="T457" s="242"/>
      <c r="U457" s="242"/>
      <c r="V457" s="242"/>
      <c r="W457" s="242"/>
      <c r="X457" s="242"/>
      <c r="Y457" s="242"/>
      <c r="Z457" s="242"/>
      <c r="AA457" s="242"/>
      <c r="AB457" s="242"/>
      <c r="AC457" s="242"/>
      <c r="AD457" s="242"/>
      <c r="AE457" s="242"/>
      <c r="AF457" s="242"/>
      <c r="AG457" s="242"/>
      <c r="AH457" s="242"/>
    </row>
    <row r="458">
      <c r="A458" s="242"/>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c r="AA458" s="242"/>
      <c r="AB458" s="242"/>
      <c r="AC458" s="242"/>
      <c r="AD458" s="242"/>
      <c r="AE458" s="242"/>
      <c r="AF458" s="242"/>
      <c r="AG458" s="242"/>
      <c r="AH458" s="242"/>
    </row>
    <row r="459">
      <c r="A459" s="242"/>
      <c r="B459" s="242"/>
      <c r="C459" s="242"/>
      <c r="D459" s="242"/>
      <c r="E459" s="242"/>
      <c r="F459" s="242"/>
      <c r="G459" s="242"/>
      <c r="H459" s="242"/>
      <c r="I459" s="242"/>
      <c r="J459" s="242"/>
      <c r="K459" s="242"/>
      <c r="L459" s="242"/>
      <c r="M459" s="242"/>
      <c r="N459" s="242"/>
      <c r="O459" s="242"/>
      <c r="P459" s="242"/>
      <c r="Q459" s="242"/>
      <c r="R459" s="242"/>
      <c r="S459" s="242"/>
      <c r="T459" s="242"/>
      <c r="U459" s="242"/>
      <c r="V459" s="242"/>
      <c r="W459" s="242"/>
      <c r="X459" s="242"/>
      <c r="Y459" s="242"/>
      <c r="Z459" s="242"/>
      <c r="AA459" s="242"/>
      <c r="AB459" s="242"/>
      <c r="AC459" s="242"/>
      <c r="AD459" s="242"/>
      <c r="AE459" s="242"/>
      <c r="AF459" s="242"/>
      <c r="AG459" s="242"/>
      <c r="AH459" s="242"/>
    </row>
    <row r="460">
      <c r="A460" s="242"/>
      <c r="B460" s="242"/>
      <c r="C460" s="242"/>
      <c r="D460" s="242"/>
      <c r="E460" s="242"/>
      <c r="F460" s="242"/>
      <c r="G460" s="242"/>
      <c r="H460" s="242"/>
      <c r="I460" s="242"/>
      <c r="J460" s="242"/>
      <c r="K460" s="242"/>
      <c r="L460" s="242"/>
      <c r="M460" s="242"/>
      <c r="N460" s="242"/>
      <c r="O460" s="242"/>
      <c r="P460" s="242"/>
      <c r="Q460" s="242"/>
      <c r="R460" s="242"/>
      <c r="S460" s="242"/>
      <c r="T460" s="242"/>
      <c r="U460" s="242"/>
      <c r="V460" s="242"/>
      <c r="W460" s="242"/>
      <c r="X460" s="242"/>
      <c r="Y460" s="242"/>
      <c r="Z460" s="242"/>
      <c r="AA460" s="242"/>
      <c r="AB460" s="242"/>
      <c r="AC460" s="242"/>
      <c r="AD460" s="242"/>
      <c r="AE460" s="242"/>
      <c r="AF460" s="242"/>
      <c r="AG460" s="242"/>
      <c r="AH460" s="242"/>
    </row>
    <row r="461">
      <c r="A461" s="242"/>
      <c r="B461" s="242"/>
      <c r="C461" s="242"/>
      <c r="D461" s="242"/>
      <c r="E461" s="242"/>
      <c r="F461" s="242"/>
      <c r="G461" s="242"/>
      <c r="H461" s="242"/>
      <c r="I461" s="242"/>
      <c r="J461" s="242"/>
      <c r="K461" s="242"/>
      <c r="L461" s="242"/>
      <c r="M461" s="242"/>
      <c r="N461" s="242"/>
      <c r="O461" s="242"/>
      <c r="P461" s="242"/>
      <c r="Q461" s="242"/>
      <c r="R461" s="242"/>
      <c r="S461" s="242"/>
      <c r="T461" s="242"/>
      <c r="U461" s="242"/>
      <c r="V461" s="242"/>
      <c r="W461" s="242"/>
      <c r="X461" s="242"/>
      <c r="Y461" s="242"/>
      <c r="Z461" s="242"/>
      <c r="AA461" s="242"/>
      <c r="AB461" s="242"/>
      <c r="AC461" s="242"/>
      <c r="AD461" s="242"/>
      <c r="AE461" s="242"/>
      <c r="AF461" s="242"/>
      <c r="AG461" s="242"/>
      <c r="AH461" s="242"/>
    </row>
    <row r="462">
      <c r="A462" s="242"/>
      <c r="B462" s="242"/>
      <c r="C462" s="242"/>
      <c r="D462" s="242"/>
      <c r="E462" s="242"/>
      <c r="F462" s="242"/>
      <c r="G462" s="242"/>
      <c r="H462" s="242"/>
      <c r="I462" s="242"/>
      <c r="J462" s="242"/>
      <c r="K462" s="242"/>
      <c r="L462" s="242"/>
      <c r="M462" s="242"/>
      <c r="N462" s="242"/>
      <c r="O462" s="242"/>
      <c r="P462" s="242"/>
      <c r="Q462" s="242"/>
      <c r="R462" s="242"/>
      <c r="S462" s="242"/>
      <c r="T462" s="242"/>
      <c r="U462" s="242"/>
      <c r="V462" s="242"/>
      <c r="W462" s="242"/>
      <c r="X462" s="242"/>
      <c r="Y462" s="242"/>
      <c r="Z462" s="242"/>
      <c r="AA462" s="242"/>
      <c r="AB462" s="242"/>
      <c r="AC462" s="242"/>
      <c r="AD462" s="242"/>
      <c r="AE462" s="242"/>
      <c r="AF462" s="242"/>
      <c r="AG462" s="242"/>
      <c r="AH462" s="242"/>
    </row>
    <row r="463">
      <c r="A463" s="242"/>
      <c r="B463" s="242"/>
      <c r="C463" s="242"/>
      <c r="D463" s="242"/>
      <c r="E463" s="242"/>
      <c r="F463" s="242"/>
      <c r="G463" s="242"/>
      <c r="H463" s="242"/>
      <c r="I463" s="242"/>
      <c r="J463" s="242"/>
      <c r="K463" s="242"/>
      <c r="L463" s="242"/>
      <c r="M463" s="242"/>
      <c r="N463" s="242"/>
      <c r="O463" s="242"/>
      <c r="P463" s="242"/>
      <c r="Q463" s="242"/>
      <c r="R463" s="242"/>
      <c r="S463" s="242"/>
      <c r="T463" s="242"/>
      <c r="U463" s="242"/>
      <c r="V463" s="242"/>
      <c r="W463" s="242"/>
      <c r="X463" s="242"/>
      <c r="Y463" s="242"/>
      <c r="Z463" s="242"/>
      <c r="AA463" s="242"/>
      <c r="AB463" s="242"/>
      <c r="AC463" s="242"/>
      <c r="AD463" s="242"/>
      <c r="AE463" s="242"/>
      <c r="AF463" s="242"/>
      <c r="AG463" s="242"/>
      <c r="AH463" s="242"/>
    </row>
    <row r="464">
      <c r="A464" s="242"/>
      <c r="B464" s="242"/>
      <c r="C464" s="242"/>
      <c r="D464" s="242"/>
      <c r="E464" s="242"/>
      <c r="F464" s="242"/>
      <c r="G464" s="242"/>
      <c r="H464" s="242"/>
      <c r="I464" s="242"/>
      <c r="J464" s="242"/>
      <c r="K464" s="242"/>
      <c r="L464" s="242"/>
      <c r="M464" s="242"/>
      <c r="N464" s="242"/>
      <c r="O464" s="242"/>
      <c r="P464" s="242"/>
      <c r="Q464" s="242"/>
      <c r="R464" s="242"/>
      <c r="S464" s="242"/>
      <c r="T464" s="242"/>
      <c r="U464" s="242"/>
      <c r="V464" s="242"/>
      <c r="W464" s="242"/>
      <c r="X464" s="242"/>
      <c r="Y464" s="242"/>
      <c r="Z464" s="242"/>
      <c r="AA464" s="242"/>
      <c r="AB464" s="242"/>
      <c r="AC464" s="242"/>
      <c r="AD464" s="242"/>
      <c r="AE464" s="242"/>
      <c r="AF464" s="242"/>
      <c r="AG464" s="242"/>
      <c r="AH464" s="242"/>
    </row>
    <row r="465">
      <c r="A465" s="242"/>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c r="AA465" s="242"/>
      <c r="AB465" s="242"/>
      <c r="AC465" s="242"/>
      <c r="AD465" s="242"/>
      <c r="AE465" s="242"/>
      <c r="AF465" s="242"/>
      <c r="AG465" s="242"/>
      <c r="AH465" s="242"/>
    </row>
    <row r="466">
      <c r="A466" s="242"/>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c r="AA466" s="242"/>
      <c r="AB466" s="242"/>
      <c r="AC466" s="242"/>
      <c r="AD466" s="242"/>
      <c r="AE466" s="242"/>
      <c r="AF466" s="242"/>
      <c r="AG466" s="242"/>
      <c r="AH466" s="242"/>
    </row>
    <row r="467">
      <c r="A467" s="242"/>
      <c r="B467" s="242"/>
      <c r="C467" s="242"/>
      <c r="D467" s="242"/>
      <c r="E467" s="242"/>
      <c r="F467" s="242"/>
      <c r="G467" s="242"/>
      <c r="H467" s="242"/>
      <c r="I467" s="242"/>
      <c r="J467" s="242"/>
      <c r="K467" s="242"/>
      <c r="L467" s="242"/>
      <c r="M467" s="242"/>
      <c r="N467" s="242"/>
      <c r="O467" s="242"/>
      <c r="P467" s="242"/>
      <c r="Q467" s="242"/>
      <c r="R467" s="242"/>
      <c r="S467" s="242"/>
      <c r="T467" s="242"/>
      <c r="U467" s="242"/>
      <c r="V467" s="242"/>
      <c r="W467" s="242"/>
      <c r="X467" s="242"/>
      <c r="Y467" s="242"/>
      <c r="Z467" s="242"/>
      <c r="AA467" s="242"/>
      <c r="AB467" s="242"/>
      <c r="AC467" s="242"/>
      <c r="AD467" s="242"/>
      <c r="AE467" s="242"/>
      <c r="AF467" s="242"/>
      <c r="AG467" s="242"/>
      <c r="AH467" s="242"/>
    </row>
    <row r="468">
      <c r="A468" s="242"/>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c r="AA468" s="242"/>
      <c r="AB468" s="242"/>
      <c r="AC468" s="242"/>
      <c r="AD468" s="242"/>
      <c r="AE468" s="242"/>
      <c r="AF468" s="242"/>
      <c r="AG468" s="242"/>
      <c r="AH468" s="242"/>
    </row>
    <row r="469">
      <c r="A469" s="242"/>
      <c r="B469" s="242"/>
      <c r="C469" s="242"/>
      <c r="D469" s="242"/>
      <c r="E469" s="242"/>
      <c r="F469" s="242"/>
      <c r="G469" s="242"/>
      <c r="H469" s="242"/>
      <c r="I469" s="242"/>
      <c r="J469" s="242"/>
      <c r="K469" s="242"/>
      <c r="L469" s="242"/>
      <c r="M469" s="242"/>
      <c r="N469" s="242"/>
      <c r="O469" s="242"/>
      <c r="P469" s="242"/>
      <c r="Q469" s="242"/>
      <c r="R469" s="242"/>
      <c r="S469" s="242"/>
      <c r="T469" s="242"/>
      <c r="U469" s="242"/>
      <c r="V469" s="242"/>
      <c r="W469" s="242"/>
      <c r="X469" s="242"/>
      <c r="Y469" s="242"/>
      <c r="Z469" s="242"/>
      <c r="AA469" s="242"/>
      <c r="AB469" s="242"/>
      <c r="AC469" s="242"/>
      <c r="AD469" s="242"/>
      <c r="AE469" s="242"/>
      <c r="AF469" s="242"/>
      <c r="AG469" s="242"/>
      <c r="AH469" s="242"/>
    </row>
    <row r="470">
      <c r="A470" s="242"/>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c r="AA470" s="242"/>
      <c r="AB470" s="242"/>
      <c r="AC470" s="242"/>
      <c r="AD470" s="242"/>
      <c r="AE470" s="242"/>
      <c r="AF470" s="242"/>
      <c r="AG470" s="242"/>
      <c r="AH470" s="242"/>
    </row>
    <row r="471">
      <c r="A471" s="242"/>
      <c r="B471" s="242"/>
      <c r="C471" s="242"/>
      <c r="D471" s="242"/>
      <c r="E471" s="242"/>
      <c r="F471" s="242"/>
      <c r="G471" s="242"/>
      <c r="H471" s="242"/>
      <c r="I471" s="242"/>
      <c r="J471" s="242"/>
      <c r="K471" s="242"/>
      <c r="L471" s="242"/>
      <c r="M471" s="242"/>
      <c r="N471" s="242"/>
      <c r="O471" s="242"/>
      <c r="P471" s="242"/>
      <c r="Q471" s="242"/>
      <c r="R471" s="242"/>
      <c r="S471" s="242"/>
      <c r="T471" s="242"/>
      <c r="U471" s="242"/>
      <c r="V471" s="242"/>
      <c r="W471" s="242"/>
      <c r="X471" s="242"/>
      <c r="Y471" s="242"/>
      <c r="Z471" s="242"/>
      <c r="AA471" s="242"/>
      <c r="AB471" s="242"/>
      <c r="AC471" s="242"/>
      <c r="AD471" s="242"/>
      <c r="AE471" s="242"/>
      <c r="AF471" s="242"/>
      <c r="AG471" s="242"/>
      <c r="AH471" s="242"/>
    </row>
    <row r="472">
      <c r="A472" s="242"/>
      <c r="B472" s="242"/>
      <c r="C472" s="242"/>
      <c r="D472" s="242"/>
      <c r="E472" s="242"/>
      <c r="F472" s="242"/>
      <c r="G472" s="242"/>
      <c r="H472" s="242"/>
      <c r="I472" s="242"/>
      <c r="J472" s="242"/>
      <c r="K472" s="242"/>
      <c r="L472" s="242"/>
      <c r="M472" s="242"/>
      <c r="N472" s="242"/>
      <c r="O472" s="242"/>
      <c r="P472" s="242"/>
      <c r="Q472" s="242"/>
      <c r="R472" s="242"/>
      <c r="S472" s="242"/>
      <c r="T472" s="242"/>
      <c r="U472" s="242"/>
      <c r="V472" s="242"/>
      <c r="W472" s="242"/>
      <c r="X472" s="242"/>
      <c r="Y472" s="242"/>
      <c r="Z472" s="242"/>
      <c r="AA472" s="242"/>
      <c r="AB472" s="242"/>
      <c r="AC472" s="242"/>
      <c r="AD472" s="242"/>
      <c r="AE472" s="242"/>
      <c r="AF472" s="242"/>
      <c r="AG472" s="242"/>
      <c r="AH472" s="242"/>
    </row>
    <row r="473">
      <c r="A473" s="242"/>
      <c r="B473" s="242"/>
      <c r="C473" s="242"/>
      <c r="D473" s="242"/>
      <c r="E473" s="242"/>
      <c r="F473" s="242"/>
      <c r="G473" s="242"/>
      <c r="H473" s="242"/>
      <c r="I473" s="242"/>
      <c r="J473" s="242"/>
      <c r="K473" s="242"/>
      <c r="L473" s="242"/>
      <c r="M473" s="242"/>
      <c r="N473" s="242"/>
      <c r="O473" s="242"/>
      <c r="P473" s="242"/>
      <c r="Q473" s="242"/>
      <c r="R473" s="242"/>
      <c r="S473" s="242"/>
      <c r="T473" s="242"/>
      <c r="U473" s="242"/>
      <c r="V473" s="242"/>
      <c r="W473" s="242"/>
      <c r="X473" s="242"/>
      <c r="Y473" s="242"/>
      <c r="Z473" s="242"/>
      <c r="AA473" s="242"/>
      <c r="AB473" s="242"/>
      <c r="AC473" s="242"/>
      <c r="AD473" s="242"/>
      <c r="AE473" s="242"/>
      <c r="AF473" s="242"/>
      <c r="AG473" s="242"/>
      <c r="AH473" s="242"/>
    </row>
    <row r="474">
      <c r="A474" s="242"/>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c r="AA474" s="242"/>
      <c r="AB474" s="242"/>
      <c r="AC474" s="242"/>
      <c r="AD474" s="242"/>
      <c r="AE474" s="242"/>
      <c r="AF474" s="242"/>
      <c r="AG474" s="242"/>
      <c r="AH474" s="242"/>
    </row>
    <row r="475">
      <c r="A475" s="242"/>
      <c r="B475" s="242"/>
      <c r="C475" s="242"/>
      <c r="D475" s="242"/>
      <c r="E475" s="242"/>
      <c r="F475" s="242"/>
      <c r="G475" s="242"/>
      <c r="H475" s="242"/>
      <c r="I475" s="242"/>
      <c r="J475" s="242"/>
      <c r="K475" s="242"/>
      <c r="L475" s="242"/>
      <c r="M475" s="242"/>
      <c r="N475" s="242"/>
      <c r="O475" s="242"/>
      <c r="P475" s="242"/>
      <c r="Q475" s="242"/>
      <c r="R475" s="242"/>
      <c r="S475" s="242"/>
      <c r="T475" s="242"/>
      <c r="U475" s="242"/>
      <c r="V475" s="242"/>
      <c r="W475" s="242"/>
      <c r="X475" s="242"/>
      <c r="Y475" s="242"/>
      <c r="Z475" s="242"/>
      <c r="AA475" s="242"/>
      <c r="AB475" s="242"/>
      <c r="AC475" s="242"/>
      <c r="AD475" s="242"/>
      <c r="AE475" s="242"/>
      <c r="AF475" s="242"/>
      <c r="AG475" s="242"/>
      <c r="AH475" s="242"/>
    </row>
    <row r="476">
      <c r="A476" s="242"/>
      <c r="B476" s="242"/>
      <c r="C476" s="242"/>
      <c r="D476" s="242"/>
      <c r="E476" s="242"/>
      <c r="F476" s="242"/>
      <c r="G476" s="242"/>
      <c r="H476" s="242"/>
      <c r="I476" s="242"/>
      <c r="J476" s="242"/>
      <c r="K476" s="242"/>
      <c r="L476" s="242"/>
      <c r="M476" s="242"/>
      <c r="N476" s="242"/>
      <c r="O476" s="242"/>
      <c r="P476" s="242"/>
      <c r="Q476" s="242"/>
      <c r="R476" s="242"/>
      <c r="S476" s="242"/>
      <c r="T476" s="242"/>
      <c r="U476" s="242"/>
      <c r="V476" s="242"/>
      <c r="W476" s="242"/>
      <c r="X476" s="242"/>
      <c r="Y476" s="242"/>
      <c r="Z476" s="242"/>
      <c r="AA476" s="242"/>
      <c r="AB476" s="242"/>
      <c r="AC476" s="242"/>
      <c r="AD476" s="242"/>
      <c r="AE476" s="242"/>
      <c r="AF476" s="242"/>
      <c r="AG476" s="242"/>
      <c r="AH476" s="242"/>
    </row>
    <row r="477">
      <c r="A477" s="242"/>
      <c r="B477" s="242"/>
      <c r="C477" s="242"/>
      <c r="D477" s="242"/>
      <c r="E477" s="242"/>
      <c r="F477" s="242"/>
      <c r="G477" s="242"/>
      <c r="H477" s="242"/>
      <c r="I477" s="242"/>
      <c r="J477" s="242"/>
      <c r="K477" s="242"/>
      <c r="L477" s="242"/>
      <c r="M477" s="242"/>
      <c r="N477" s="242"/>
      <c r="O477" s="242"/>
      <c r="P477" s="242"/>
      <c r="Q477" s="242"/>
      <c r="R477" s="242"/>
      <c r="S477" s="242"/>
      <c r="T477" s="242"/>
      <c r="U477" s="242"/>
      <c r="V477" s="242"/>
      <c r="W477" s="242"/>
      <c r="X477" s="242"/>
      <c r="Y477" s="242"/>
      <c r="Z477" s="242"/>
      <c r="AA477" s="242"/>
      <c r="AB477" s="242"/>
      <c r="AC477" s="242"/>
      <c r="AD477" s="242"/>
      <c r="AE477" s="242"/>
      <c r="AF477" s="242"/>
      <c r="AG477" s="242"/>
      <c r="AH477" s="242"/>
    </row>
    <row r="478">
      <c r="A478" s="242"/>
      <c r="B478" s="242"/>
      <c r="C478" s="242"/>
      <c r="D478" s="242"/>
      <c r="E478" s="242"/>
      <c r="F478" s="242"/>
      <c r="G478" s="242"/>
      <c r="H478" s="242"/>
      <c r="I478" s="242"/>
      <c r="J478" s="242"/>
      <c r="K478" s="242"/>
      <c r="L478" s="242"/>
      <c r="M478" s="242"/>
      <c r="N478" s="242"/>
      <c r="O478" s="242"/>
      <c r="P478" s="242"/>
      <c r="Q478" s="242"/>
      <c r="R478" s="242"/>
      <c r="S478" s="242"/>
      <c r="T478" s="242"/>
      <c r="U478" s="242"/>
      <c r="V478" s="242"/>
      <c r="W478" s="242"/>
      <c r="X478" s="242"/>
      <c r="Y478" s="242"/>
      <c r="Z478" s="242"/>
      <c r="AA478" s="242"/>
      <c r="AB478" s="242"/>
      <c r="AC478" s="242"/>
      <c r="AD478" s="242"/>
      <c r="AE478" s="242"/>
      <c r="AF478" s="242"/>
      <c r="AG478" s="242"/>
      <c r="AH478" s="242"/>
    </row>
    <row r="479">
      <c r="A479" s="242"/>
      <c r="B479" s="242"/>
      <c r="C479" s="242"/>
      <c r="D479" s="242"/>
      <c r="E479" s="242"/>
      <c r="F479" s="242"/>
      <c r="G479" s="242"/>
      <c r="H479" s="242"/>
      <c r="I479" s="242"/>
      <c r="J479" s="242"/>
      <c r="K479" s="242"/>
      <c r="L479" s="242"/>
      <c r="M479" s="242"/>
      <c r="N479" s="242"/>
      <c r="O479" s="242"/>
      <c r="P479" s="242"/>
      <c r="Q479" s="242"/>
      <c r="R479" s="242"/>
      <c r="S479" s="242"/>
      <c r="T479" s="242"/>
      <c r="U479" s="242"/>
      <c r="V479" s="242"/>
      <c r="W479" s="242"/>
      <c r="X479" s="242"/>
      <c r="Y479" s="242"/>
      <c r="Z479" s="242"/>
      <c r="AA479" s="242"/>
      <c r="AB479" s="242"/>
      <c r="AC479" s="242"/>
      <c r="AD479" s="242"/>
      <c r="AE479" s="242"/>
      <c r="AF479" s="242"/>
      <c r="AG479" s="242"/>
      <c r="AH479" s="242"/>
    </row>
    <row r="480">
      <c r="A480" s="242"/>
      <c r="B480" s="242"/>
      <c r="C480" s="242"/>
      <c r="D480" s="242"/>
      <c r="E480" s="242"/>
      <c r="F480" s="242"/>
      <c r="G480" s="242"/>
      <c r="H480" s="242"/>
      <c r="I480" s="242"/>
      <c r="J480" s="242"/>
      <c r="K480" s="242"/>
      <c r="L480" s="242"/>
      <c r="M480" s="242"/>
      <c r="N480" s="242"/>
      <c r="O480" s="242"/>
      <c r="P480" s="242"/>
      <c r="Q480" s="242"/>
      <c r="R480" s="242"/>
      <c r="S480" s="242"/>
      <c r="T480" s="242"/>
      <c r="U480" s="242"/>
      <c r="V480" s="242"/>
      <c r="W480" s="242"/>
      <c r="X480" s="242"/>
      <c r="Y480" s="242"/>
      <c r="Z480" s="242"/>
      <c r="AA480" s="242"/>
      <c r="AB480" s="242"/>
      <c r="AC480" s="242"/>
      <c r="AD480" s="242"/>
      <c r="AE480" s="242"/>
      <c r="AF480" s="242"/>
      <c r="AG480" s="242"/>
      <c r="AH480" s="242"/>
    </row>
    <row r="481">
      <c r="A481" s="242"/>
      <c r="B481" s="242"/>
      <c r="C481" s="242"/>
      <c r="D481" s="242"/>
      <c r="E481" s="242"/>
      <c r="F481" s="242"/>
      <c r="G481" s="242"/>
      <c r="H481" s="242"/>
      <c r="I481" s="242"/>
      <c r="J481" s="242"/>
      <c r="K481" s="242"/>
      <c r="L481" s="242"/>
      <c r="M481" s="242"/>
      <c r="N481" s="242"/>
      <c r="O481" s="242"/>
      <c r="P481" s="242"/>
      <c r="Q481" s="242"/>
      <c r="R481" s="242"/>
      <c r="S481" s="242"/>
      <c r="T481" s="242"/>
      <c r="U481" s="242"/>
      <c r="V481" s="242"/>
      <c r="W481" s="242"/>
      <c r="X481" s="242"/>
      <c r="Y481" s="242"/>
      <c r="Z481" s="242"/>
      <c r="AA481" s="242"/>
      <c r="AB481" s="242"/>
      <c r="AC481" s="242"/>
      <c r="AD481" s="242"/>
      <c r="AE481" s="242"/>
      <c r="AF481" s="242"/>
      <c r="AG481" s="242"/>
      <c r="AH481" s="242"/>
    </row>
    <row r="482">
      <c r="A482" s="242"/>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c r="AA482" s="242"/>
      <c r="AB482" s="242"/>
      <c r="AC482" s="242"/>
      <c r="AD482" s="242"/>
      <c r="AE482" s="242"/>
      <c r="AF482" s="242"/>
      <c r="AG482" s="242"/>
      <c r="AH482" s="242"/>
    </row>
    <row r="483">
      <c r="A483" s="242"/>
      <c r="B483" s="242"/>
      <c r="C483" s="242"/>
      <c r="D483" s="242"/>
      <c r="E483" s="242"/>
      <c r="F483" s="242"/>
      <c r="G483" s="242"/>
      <c r="H483" s="242"/>
      <c r="I483" s="242"/>
      <c r="J483" s="242"/>
      <c r="K483" s="242"/>
      <c r="L483" s="242"/>
      <c r="M483" s="242"/>
      <c r="N483" s="242"/>
      <c r="O483" s="242"/>
      <c r="P483" s="242"/>
      <c r="Q483" s="242"/>
      <c r="R483" s="242"/>
      <c r="S483" s="242"/>
      <c r="T483" s="242"/>
      <c r="U483" s="242"/>
      <c r="V483" s="242"/>
      <c r="W483" s="242"/>
      <c r="X483" s="242"/>
      <c r="Y483" s="242"/>
      <c r="Z483" s="242"/>
      <c r="AA483" s="242"/>
      <c r="AB483" s="242"/>
      <c r="AC483" s="242"/>
      <c r="AD483" s="242"/>
      <c r="AE483" s="242"/>
      <c r="AF483" s="242"/>
      <c r="AG483" s="242"/>
      <c r="AH483" s="242"/>
    </row>
    <row r="484">
      <c r="A484" s="242"/>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c r="AA484" s="242"/>
      <c r="AB484" s="242"/>
      <c r="AC484" s="242"/>
      <c r="AD484" s="242"/>
      <c r="AE484" s="242"/>
      <c r="AF484" s="242"/>
      <c r="AG484" s="242"/>
      <c r="AH484" s="242"/>
    </row>
    <row r="485">
      <c r="A485" s="242"/>
      <c r="B485" s="242"/>
      <c r="C485" s="242"/>
      <c r="D485" s="242"/>
      <c r="E485" s="242"/>
      <c r="F485" s="242"/>
      <c r="G485" s="242"/>
      <c r="H485" s="242"/>
      <c r="I485" s="242"/>
      <c r="J485" s="242"/>
      <c r="K485" s="242"/>
      <c r="L485" s="242"/>
      <c r="M485" s="242"/>
      <c r="N485" s="242"/>
      <c r="O485" s="242"/>
      <c r="P485" s="242"/>
      <c r="Q485" s="242"/>
      <c r="R485" s="242"/>
      <c r="S485" s="242"/>
      <c r="T485" s="242"/>
      <c r="U485" s="242"/>
      <c r="V485" s="242"/>
      <c r="W485" s="242"/>
      <c r="X485" s="242"/>
      <c r="Y485" s="242"/>
      <c r="Z485" s="242"/>
      <c r="AA485" s="242"/>
      <c r="AB485" s="242"/>
      <c r="AC485" s="242"/>
      <c r="AD485" s="242"/>
      <c r="AE485" s="242"/>
      <c r="AF485" s="242"/>
      <c r="AG485" s="242"/>
      <c r="AH485" s="242"/>
    </row>
    <row r="486">
      <c r="A486" s="242"/>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c r="AA486" s="242"/>
      <c r="AB486" s="242"/>
      <c r="AC486" s="242"/>
      <c r="AD486" s="242"/>
      <c r="AE486" s="242"/>
      <c r="AF486" s="242"/>
      <c r="AG486" s="242"/>
      <c r="AH486" s="242"/>
    </row>
    <row r="487">
      <c r="A487" s="242"/>
      <c r="B487" s="242"/>
      <c r="C487" s="242"/>
      <c r="D487" s="242"/>
      <c r="E487" s="242"/>
      <c r="F487" s="242"/>
      <c r="G487" s="242"/>
      <c r="H487" s="242"/>
      <c r="I487" s="242"/>
      <c r="J487" s="242"/>
      <c r="K487" s="242"/>
      <c r="L487" s="242"/>
      <c r="M487" s="242"/>
      <c r="N487" s="242"/>
      <c r="O487" s="242"/>
      <c r="P487" s="242"/>
      <c r="Q487" s="242"/>
      <c r="R487" s="242"/>
      <c r="S487" s="242"/>
      <c r="T487" s="242"/>
      <c r="U487" s="242"/>
      <c r="V487" s="242"/>
      <c r="W487" s="242"/>
      <c r="X487" s="242"/>
      <c r="Y487" s="242"/>
      <c r="Z487" s="242"/>
      <c r="AA487" s="242"/>
      <c r="AB487" s="242"/>
      <c r="AC487" s="242"/>
      <c r="AD487" s="242"/>
      <c r="AE487" s="242"/>
      <c r="AF487" s="242"/>
      <c r="AG487" s="242"/>
      <c r="AH487" s="242"/>
    </row>
    <row r="488">
      <c r="A488" s="242"/>
      <c r="B488" s="242"/>
      <c r="C488" s="242"/>
      <c r="D488" s="242"/>
      <c r="E488" s="242"/>
      <c r="F488" s="242"/>
      <c r="G488" s="242"/>
      <c r="H488" s="242"/>
      <c r="I488" s="242"/>
      <c r="J488" s="242"/>
      <c r="K488" s="242"/>
      <c r="L488" s="242"/>
      <c r="M488" s="242"/>
      <c r="N488" s="242"/>
      <c r="O488" s="242"/>
      <c r="P488" s="242"/>
      <c r="Q488" s="242"/>
      <c r="R488" s="242"/>
      <c r="S488" s="242"/>
      <c r="T488" s="242"/>
      <c r="U488" s="242"/>
      <c r="V488" s="242"/>
      <c r="W488" s="242"/>
      <c r="X488" s="242"/>
      <c r="Y488" s="242"/>
      <c r="Z488" s="242"/>
      <c r="AA488" s="242"/>
      <c r="AB488" s="242"/>
      <c r="AC488" s="242"/>
      <c r="AD488" s="242"/>
      <c r="AE488" s="242"/>
      <c r="AF488" s="242"/>
      <c r="AG488" s="242"/>
      <c r="AH488" s="242"/>
    </row>
    <row r="489">
      <c r="A489" s="242"/>
      <c r="B489" s="242"/>
      <c r="C489" s="242"/>
      <c r="D489" s="242"/>
      <c r="E489" s="242"/>
      <c r="F489" s="242"/>
      <c r="G489" s="242"/>
      <c r="H489" s="242"/>
      <c r="I489" s="242"/>
      <c r="J489" s="242"/>
      <c r="K489" s="242"/>
      <c r="L489" s="242"/>
      <c r="M489" s="242"/>
      <c r="N489" s="242"/>
      <c r="O489" s="242"/>
      <c r="P489" s="242"/>
      <c r="Q489" s="242"/>
      <c r="R489" s="242"/>
      <c r="S489" s="242"/>
      <c r="T489" s="242"/>
      <c r="U489" s="242"/>
      <c r="V489" s="242"/>
      <c r="W489" s="242"/>
      <c r="X489" s="242"/>
      <c r="Y489" s="242"/>
      <c r="Z489" s="242"/>
      <c r="AA489" s="242"/>
      <c r="AB489" s="242"/>
      <c r="AC489" s="242"/>
      <c r="AD489" s="242"/>
      <c r="AE489" s="242"/>
      <c r="AF489" s="242"/>
      <c r="AG489" s="242"/>
      <c r="AH489" s="242"/>
    </row>
    <row r="490">
      <c r="A490" s="242"/>
      <c r="B490" s="242"/>
      <c r="C490" s="242"/>
      <c r="D490" s="242"/>
      <c r="E490" s="242"/>
      <c r="F490" s="242"/>
      <c r="G490" s="242"/>
      <c r="H490" s="242"/>
      <c r="I490" s="242"/>
      <c r="J490" s="242"/>
      <c r="K490" s="242"/>
      <c r="L490" s="242"/>
      <c r="M490" s="242"/>
      <c r="N490" s="242"/>
      <c r="O490" s="242"/>
      <c r="P490" s="242"/>
      <c r="Q490" s="242"/>
      <c r="R490" s="242"/>
      <c r="S490" s="242"/>
      <c r="T490" s="242"/>
      <c r="U490" s="242"/>
      <c r="V490" s="242"/>
      <c r="W490" s="242"/>
      <c r="X490" s="242"/>
      <c r="Y490" s="242"/>
      <c r="Z490" s="242"/>
      <c r="AA490" s="242"/>
      <c r="AB490" s="242"/>
      <c r="AC490" s="242"/>
      <c r="AD490" s="242"/>
      <c r="AE490" s="242"/>
      <c r="AF490" s="242"/>
      <c r="AG490" s="242"/>
      <c r="AH490" s="242"/>
    </row>
    <row r="491">
      <c r="A491" s="242"/>
      <c r="B491" s="242"/>
      <c r="C491" s="242"/>
      <c r="D491" s="242"/>
      <c r="E491" s="242"/>
      <c r="F491" s="242"/>
      <c r="G491" s="242"/>
      <c r="H491" s="242"/>
      <c r="I491" s="242"/>
      <c r="J491" s="242"/>
      <c r="K491" s="242"/>
      <c r="L491" s="242"/>
      <c r="M491" s="242"/>
      <c r="N491" s="242"/>
      <c r="O491" s="242"/>
      <c r="P491" s="242"/>
      <c r="Q491" s="242"/>
      <c r="R491" s="242"/>
      <c r="S491" s="242"/>
      <c r="T491" s="242"/>
      <c r="U491" s="242"/>
      <c r="V491" s="242"/>
      <c r="W491" s="242"/>
      <c r="X491" s="242"/>
      <c r="Y491" s="242"/>
      <c r="Z491" s="242"/>
      <c r="AA491" s="242"/>
      <c r="AB491" s="242"/>
      <c r="AC491" s="242"/>
      <c r="AD491" s="242"/>
      <c r="AE491" s="242"/>
      <c r="AF491" s="242"/>
      <c r="AG491" s="242"/>
      <c r="AH491" s="242"/>
    </row>
    <row r="492">
      <c r="A492" s="242"/>
      <c r="B492" s="242"/>
      <c r="C492" s="242"/>
      <c r="D492" s="242"/>
      <c r="E492" s="242"/>
      <c r="F492" s="242"/>
      <c r="G492" s="242"/>
      <c r="H492" s="242"/>
      <c r="I492" s="242"/>
      <c r="J492" s="242"/>
      <c r="K492" s="242"/>
      <c r="L492" s="242"/>
      <c r="M492" s="242"/>
      <c r="N492" s="242"/>
      <c r="O492" s="242"/>
      <c r="P492" s="242"/>
      <c r="Q492" s="242"/>
      <c r="R492" s="242"/>
      <c r="S492" s="242"/>
      <c r="T492" s="242"/>
      <c r="U492" s="242"/>
      <c r="V492" s="242"/>
      <c r="W492" s="242"/>
      <c r="X492" s="242"/>
      <c r="Y492" s="242"/>
      <c r="Z492" s="242"/>
      <c r="AA492" s="242"/>
      <c r="AB492" s="242"/>
      <c r="AC492" s="242"/>
      <c r="AD492" s="242"/>
      <c r="AE492" s="242"/>
      <c r="AF492" s="242"/>
      <c r="AG492" s="242"/>
      <c r="AH492" s="242"/>
    </row>
    <row r="493">
      <c r="A493" s="242"/>
      <c r="B493" s="242"/>
      <c r="C493" s="242"/>
      <c r="D493" s="242"/>
      <c r="E493" s="242"/>
      <c r="F493" s="242"/>
      <c r="G493" s="242"/>
      <c r="H493" s="242"/>
      <c r="I493" s="242"/>
      <c r="J493" s="242"/>
      <c r="K493" s="242"/>
      <c r="L493" s="242"/>
      <c r="M493" s="242"/>
      <c r="N493" s="242"/>
      <c r="O493" s="242"/>
      <c r="P493" s="242"/>
      <c r="Q493" s="242"/>
      <c r="R493" s="242"/>
      <c r="S493" s="242"/>
      <c r="T493" s="242"/>
      <c r="U493" s="242"/>
      <c r="V493" s="242"/>
      <c r="W493" s="242"/>
      <c r="X493" s="242"/>
      <c r="Y493" s="242"/>
      <c r="Z493" s="242"/>
      <c r="AA493" s="242"/>
      <c r="AB493" s="242"/>
      <c r="AC493" s="242"/>
      <c r="AD493" s="242"/>
      <c r="AE493" s="242"/>
      <c r="AF493" s="242"/>
      <c r="AG493" s="242"/>
      <c r="AH493" s="242"/>
    </row>
    <row r="494">
      <c r="A494" s="242"/>
      <c r="B494" s="242"/>
      <c r="C494" s="242"/>
      <c r="D494" s="242"/>
      <c r="E494" s="242"/>
      <c r="F494" s="242"/>
      <c r="G494" s="242"/>
      <c r="H494" s="242"/>
      <c r="I494" s="242"/>
      <c r="J494" s="242"/>
      <c r="K494" s="242"/>
      <c r="L494" s="242"/>
      <c r="M494" s="242"/>
      <c r="N494" s="242"/>
      <c r="O494" s="242"/>
      <c r="P494" s="242"/>
      <c r="Q494" s="242"/>
      <c r="R494" s="242"/>
      <c r="S494" s="242"/>
      <c r="T494" s="242"/>
      <c r="U494" s="242"/>
      <c r="V494" s="242"/>
      <c r="W494" s="242"/>
      <c r="X494" s="242"/>
      <c r="Y494" s="242"/>
      <c r="Z494" s="242"/>
      <c r="AA494" s="242"/>
      <c r="AB494" s="242"/>
      <c r="AC494" s="242"/>
      <c r="AD494" s="242"/>
      <c r="AE494" s="242"/>
      <c r="AF494" s="242"/>
      <c r="AG494" s="242"/>
      <c r="AH494" s="242"/>
    </row>
    <row r="495">
      <c r="A495" s="242"/>
      <c r="B495" s="242"/>
      <c r="C495" s="242"/>
      <c r="D495" s="242"/>
      <c r="E495" s="242"/>
      <c r="F495" s="242"/>
      <c r="G495" s="242"/>
      <c r="H495" s="242"/>
      <c r="I495" s="242"/>
      <c r="J495" s="242"/>
      <c r="K495" s="242"/>
      <c r="L495" s="242"/>
      <c r="M495" s="242"/>
      <c r="N495" s="242"/>
      <c r="O495" s="242"/>
      <c r="P495" s="242"/>
      <c r="Q495" s="242"/>
      <c r="R495" s="242"/>
      <c r="S495" s="242"/>
      <c r="T495" s="242"/>
      <c r="U495" s="242"/>
      <c r="V495" s="242"/>
      <c r="W495" s="242"/>
      <c r="X495" s="242"/>
      <c r="Y495" s="242"/>
      <c r="Z495" s="242"/>
      <c r="AA495" s="242"/>
      <c r="AB495" s="242"/>
      <c r="AC495" s="242"/>
      <c r="AD495" s="242"/>
      <c r="AE495" s="242"/>
      <c r="AF495" s="242"/>
      <c r="AG495" s="242"/>
      <c r="AH495" s="242"/>
    </row>
    <row r="496">
      <c r="A496" s="242"/>
      <c r="B496" s="242"/>
      <c r="C496" s="242"/>
      <c r="D496" s="242"/>
      <c r="E496" s="242"/>
      <c r="F496" s="242"/>
      <c r="G496" s="242"/>
      <c r="H496" s="242"/>
      <c r="I496" s="242"/>
      <c r="J496" s="242"/>
      <c r="K496" s="242"/>
      <c r="L496" s="242"/>
      <c r="M496" s="242"/>
      <c r="N496" s="242"/>
      <c r="O496" s="242"/>
      <c r="P496" s="242"/>
      <c r="Q496" s="242"/>
      <c r="R496" s="242"/>
      <c r="S496" s="242"/>
      <c r="T496" s="242"/>
      <c r="U496" s="242"/>
      <c r="V496" s="242"/>
      <c r="W496" s="242"/>
      <c r="X496" s="242"/>
      <c r="Y496" s="242"/>
      <c r="Z496" s="242"/>
      <c r="AA496" s="242"/>
      <c r="AB496" s="242"/>
      <c r="AC496" s="242"/>
      <c r="AD496" s="242"/>
      <c r="AE496" s="242"/>
      <c r="AF496" s="242"/>
      <c r="AG496" s="242"/>
      <c r="AH496" s="242"/>
    </row>
    <row r="497">
      <c r="A497" s="242"/>
      <c r="B497" s="242"/>
      <c r="C497" s="242"/>
      <c r="D497" s="242"/>
      <c r="E497" s="242"/>
      <c r="F497" s="242"/>
      <c r="G497" s="242"/>
      <c r="H497" s="242"/>
      <c r="I497" s="242"/>
      <c r="J497" s="242"/>
      <c r="K497" s="242"/>
      <c r="L497" s="242"/>
      <c r="M497" s="242"/>
      <c r="N497" s="242"/>
      <c r="O497" s="242"/>
      <c r="P497" s="242"/>
      <c r="Q497" s="242"/>
      <c r="R497" s="242"/>
      <c r="S497" s="242"/>
      <c r="T497" s="242"/>
      <c r="U497" s="242"/>
      <c r="V497" s="242"/>
      <c r="W497" s="242"/>
      <c r="X497" s="242"/>
      <c r="Y497" s="242"/>
      <c r="Z497" s="242"/>
      <c r="AA497" s="242"/>
      <c r="AB497" s="242"/>
      <c r="AC497" s="242"/>
      <c r="AD497" s="242"/>
      <c r="AE497" s="242"/>
      <c r="AF497" s="242"/>
      <c r="AG497" s="242"/>
      <c r="AH497" s="242"/>
    </row>
    <row r="498">
      <c r="A498" s="242"/>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c r="AA498" s="242"/>
      <c r="AB498" s="242"/>
      <c r="AC498" s="242"/>
      <c r="AD498" s="242"/>
      <c r="AE498" s="242"/>
      <c r="AF498" s="242"/>
      <c r="AG498" s="242"/>
      <c r="AH498" s="242"/>
    </row>
    <row r="499">
      <c r="A499" s="242"/>
      <c r="B499" s="242"/>
      <c r="C499" s="242"/>
      <c r="D499" s="242"/>
      <c r="E499" s="242"/>
      <c r="F499" s="242"/>
      <c r="G499" s="242"/>
      <c r="H499" s="242"/>
      <c r="I499" s="242"/>
      <c r="J499" s="242"/>
      <c r="K499" s="242"/>
      <c r="L499" s="242"/>
      <c r="M499" s="242"/>
      <c r="N499" s="242"/>
      <c r="O499" s="242"/>
      <c r="P499" s="242"/>
      <c r="Q499" s="242"/>
      <c r="R499" s="242"/>
      <c r="S499" s="242"/>
      <c r="T499" s="242"/>
      <c r="U499" s="242"/>
      <c r="V499" s="242"/>
      <c r="W499" s="242"/>
      <c r="X499" s="242"/>
      <c r="Y499" s="242"/>
      <c r="Z499" s="242"/>
      <c r="AA499" s="242"/>
      <c r="AB499" s="242"/>
      <c r="AC499" s="242"/>
      <c r="AD499" s="242"/>
      <c r="AE499" s="242"/>
      <c r="AF499" s="242"/>
      <c r="AG499" s="242"/>
      <c r="AH499" s="242"/>
    </row>
    <row r="500">
      <c r="A500" s="242"/>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c r="AA500" s="242"/>
      <c r="AB500" s="242"/>
      <c r="AC500" s="242"/>
      <c r="AD500" s="242"/>
      <c r="AE500" s="242"/>
      <c r="AF500" s="242"/>
      <c r="AG500" s="242"/>
      <c r="AH500" s="242"/>
    </row>
    <row r="501">
      <c r="A501" s="242"/>
      <c r="B501" s="242"/>
      <c r="C501" s="242"/>
      <c r="D501" s="242"/>
      <c r="E501" s="242"/>
      <c r="F501" s="242"/>
      <c r="G501" s="242"/>
      <c r="H501" s="242"/>
      <c r="I501" s="242"/>
      <c r="J501" s="242"/>
      <c r="K501" s="242"/>
      <c r="L501" s="242"/>
      <c r="M501" s="242"/>
      <c r="N501" s="242"/>
      <c r="O501" s="242"/>
      <c r="P501" s="242"/>
      <c r="Q501" s="242"/>
      <c r="R501" s="242"/>
      <c r="S501" s="242"/>
      <c r="T501" s="242"/>
      <c r="U501" s="242"/>
      <c r="V501" s="242"/>
      <c r="W501" s="242"/>
      <c r="X501" s="242"/>
      <c r="Y501" s="242"/>
      <c r="Z501" s="242"/>
      <c r="AA501" s="242"/>
      <c r="AB501" s="242"/>
      <c r="AC501" s="242"/>
      <c r="AD501" s="242"/>
      <c r="AE501" s="242"/>
      <c r="AF501" s="242"/>
      <c r="AG501" s="242"/>
      <c r="AH501" s="242"/>
    </row>
    <row r="502">
      <c r="A502" s="242"/>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c r="AA502" s="242"/>
      <c r="AB502" s="242"/>
      <c r="AC502" s="242"/>
      <c r="AD502" s="242"/>
      <c r="AE502" s="242"/>
      <c r="AF502" s="242"/>
      <c r="AG502" s="242"/>
      <c r="AH502" s="242"/>
    </row>
    <row r="503">
      <c r="A503" s="242"/>
      <c r="B503" s="242"/>
      <c r="C503" s="242"/>
      <c r="D503" s="242"/>
      <c r="E503" s="242"/>
      <c r="F503" s="242"/>
      <c r="G503" s="242"/>
      <c r="H503" s="242"/>
      <c r="I503" s="242"/>
      <c r="J503" s="242"/>
      <c r="K503" s="242"/>
      <c r="L503" s="242"/>
      <c r="M503" s="242"/>
      <c r="N503" s="242"/>
      <c r="O503" s="242"/>
      <c r="P503" s="242"/>
      <c r="Q503" s="242"/>
      <c r="R503" s="242"/>
      <c r="S503" s="242"/>
      <c r="T503" s="242"/>
      <c r="U503" s="242"/>
      <c r="V503" s="242"/>
      <c r="W503" s="242"/>
      <c r="X503" s="242"/>
      <c r="Y503" s="242"/>
      <c r="Z503" s="242"/>
      <c r="AA503" s="242"/>
      <c r="AB503" s="242"/>
      <c r="AC503" s="242"/>
      <c r="AD503" s="242"/>
      <c r="AE503" s="242"/>
      <c r="AF503" s="242"/>
      <c r="AG503" s="242"/>
      <c r="AH503" s="242"/>
    </row>
    <row r="504">
      <c r="A504" s="242"/>
      <c r="B504" s="242"/>
      <c r="C504" s="242"/>
      <c r="D504" s="242"/>
      <c r="E504" s="242"/>
      <c r="F504" s="242"/>
      <c r="G504" s="242"/>
      <c r="H504" s="242"/>
      <c r="I504" s="242"/>
      <c r="J504" s="242"/>
      <c r="K504" s="242"/>
      <c r="L504" s="242"/>
      <c r="M504" s="242"/>
      <c r="N504" s="242"/>
      <c r="O504" s="242"/>
      <c r="P504" s="242"/>
      <c r="Q504" s="242"/>
      <c r="R504" s="242"/>
      <c r="S504" s="242"/>
      <c r="T504" s="242"/>
      <c r="U504" s="242"/>
      <c r="V504" s="242"/>
      <c r="W504" s="242"/>
      <c r="X504" s="242"/>
      <c r="Y504" s="242"/>
      <c r="Z504" s="242"/>
      <c r="AA504" s="242"/>
      <c r="AB504" s="242"/>
      <c r="AC504" s="242"/>
      <c r="AD504" s="242"/>
      <c r="AE504" s="242"/>
      <c r="AF504" s="242"/>
      <c r="AG504" s="242"/>
      <c r="AH504" s="242"/>
    </row>
    <row r="505">
      <c r="A505" s="242"/>
      <c r="B505" s="242"/>
      <c r="C505" s="242"/>
      <c r="D505" s="242"/>
      <c r="E505" s="242"/>
      <c r="F505" s="242"/>
      <c r="G505" s="242"/>
      <c r="H505" s="242"/>
      <c r="I505" s="242"/>
      <c r="J505" s="242"/>
      <c r="K505" s="242"/>
      <c r="L505" s="242"/>
      <c r="M505" s="242"/>
      <c r="N505" s="242"/>
      <c r="O505" s="242"/>
      <c r="P505" s="242"/>
      <c r="Q505" s="242"/>
      <c r="R505" s="242"/>
      <c r="S505" s="242"/>
      <c r="T505" s="242"/>
      <c r="U505" s="242"/>
      <c r="V505" s="242"/>
      <c r="W505" s="242"/>
      <c r="X505" s="242"/>
      <c r="Y505" s="242"/>
      <c r="Z505" s="242"/>
      <c r="AA505" s="242"/>
      <c r="AB505" s="242"/>
      <c r="AC505" s="242"/>
      <c r="AD505" s="242"/>
      <c r="AE505" s="242"/>
      <c r="AF505" s="242"/>
      <c r="AG505" s="242"/>
      <c r="AH505" s="242"/>
    </row>
    <row r="506">
      <c r="A506" s="242"/>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c r="AA506" s="242"/>
      <c r="AB506" s="242"/>
      <c r="AC506" s="242"/>
      <c r="AD506" s="242"/>
      <c r="AE506" s="242"/>
      <c r="AF506" s="242"/>
      <c r="AG506" s="242"/>
      <c r="AH506" s="242"/>
    </row>
    <row r="507">
      <c r="A507" s="242"/>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c r="AA507" s="242"/>
      <c r="AB507" s="242"/>
      <c r="AC507" s="242"/>
      <c r="AD507" s="242"/>
      <c r="AE507" s="242"/>
      <c r="AF507" s="242"/>
      <c r="AG507" s="242"/>
      <c r="AH507" s="242"/>
    </row>
    <row r="508">
      <c r="A508" s="242"/>
      <c r="B508" s="242"/>
      <c r="C508" s="242"/>
      <c r="D508" s="242"/>
      <c r="E508" s="242"/>
      <c r="F508" s="242"/>
      <c r="G508" s="242"/>
      <c r="H508" s="242"/>
      <c r="I508" s="242"/>
      <c r="J508" s="242"/>
      <c r="K508" s="242"/>
      <c r="L508" s="242"/>
      <c r="M508" s="242"/>
      <c r="N508" s="242"/>
      <c r="O508" s="242"/>
      <c r="P508" s="242"/>
      <c r="Q508" s="242"/>
      <c r="R508" s="242"/>
      <c r="S508" s="242"/>
      <c r="T508" s="242"/>
      <c r="U508" s="242"/>
      <c r="V508" s="242"/>
      <c r="W508" s="242"/>
      <c r="X508" s="242"/>
      <c r="Y508" s="242"/>
      <c r="Z508" s="242"/>
      <c r="AA508" s="242"/>
      <c r="AB508" s="242"/>
      <c r="AC508" s="242"/>
      <c r="AD508" s="242"/>
      <c r="AE508" s="242"/>
      <c r="AF508" s="242"/>
      <c r="AG508" s="242"/>
      <c r="AH508" s="242"/>
    </row>
    <row r="509">
      <c r="A509" s="242"/>
      <c r="B509" s="242"/>
      <c r="C509" s="242"/>
      <c r="D509" s="242"/>
      <c r="E509" s="242"/>
      <c r="F509" s="242"/>
      <c r="G509" s="242"/>
      <c r="H509" s="242"/>
      <c r="I509" s="242"/>
      <c r="J509" s="242"/>
      <c r="K509" s="242"/>
      <c r="L509" s="242"/>
      <c r="M509" s="242"/>
      <c r="N509" s="242"/>
      <c r="O509" s="242"/>
      <c r="P509" s="242"/>
      <c r="Q509" s="242"/>
      <c r="R509" s="242"/>
      <c r="S509" s="242"/>
      <c r="T509" s="242"/>
      <c r="U509" s="242"/>
      <c r="V509" s="242"/>
      <c r="W509" s="242"/>
      <c r="X509" s="242"/>
      <c r="Y509" s="242"/>
      <c r="Z509" s="242"/>
      <c r="AA509" s="242"/>
      <c r="AB509" s="242"/>
      <c r="AC509" s="242"/>
      <c r="AD509" s="242"/>
      <c r="AE509" s="242"/>
      <c r="AF509" s="242"/>
      <c r="AG509" s="242"/>
      <c r="AH509" s="242"/>
    </row>
    <row r="510">
      <c r="A510" s="242"/>
      <c r="B510" s="242"/>
      <c r="C510" s="242"/>
      <c r="D510" s="242"/>
      <c r="E510" s="242"/>
      <c r="F510" s="242"/>
      <c r="G510" s="242"/>
      <c r="H510" s="242"/>
      <c r="I510" s="242"/>
      <c r="J510" s="242"/>
      <c r="K510" s="242"/>
      <c r="L510" s="242"/>
      <c r="M510" s="242"/>
      <c r="N510" s="242"/>
      <c r="O510" s="242"/>
      <c r="P510" s="242"/>
      <c r="Q510" s="242"/>
      <c r="R510" s="242"/>
      <c r="S510" s="242"/>
      <c r="T510" s="242"/>
      <c r="U510" s="242"/>
      <c r="V510" s="242"/>
      <c r="W510" s="242"/>
      <c r="X510" s="242"/>
      <c r="Y510" s="242"/>
      <c r="Z510" s="242"/>
      <c r="AA510" s="242"/>
      <c r="AB510" s="242"/>
      <c r="AC510" s="242"/>
      <c r="AD510" s="242"/>
      <c r="AE510" s="242"/>
      <c r="AF510" s="242"/>
      <c r="AG510" s="242"/>
      <c r="AH510" s="242"/>
    </row>
    <row r="511">
      <c r="A511" s="242"/>
      <c r="B511" s="242"/>
      <c r="C511" s="242"/>
      <c r="D511" s="242"/>
      <c r="E511" s="242"/>
      <c r="F511" s="242"/>
      <c r="G511" s="242"/>
      <c r="H511" s="242"/>
      <c r="I511" s="242"/>
      <c r="J511" s="242"/>
      <c r="K511" s="242"/>
      <c r="L511" s="242"/>
      <c r="M511" s="242"/>
      <c r="N511" s="242"/>
      <c r="O511" s="242"/>
      <c r="P511" s="242"/>
      <c r="Q511" s="242"/>
      <c r="R511" s="242"/>
      <c r="S511" s="242"/>
      <c r="T511" s="242"/>
      <c r="U511" s="242"/>
      <c r="V511" s="242"/>
      <c r="W511" s="242"/>
      <c r="X511" s="242"/>
      <c r="Y511" s="242"/>
      <c r="Z511" s="242"/>
      <c r="AA511" s="242"/>
      <c r="AB511" s="242"/>
      <c r="AC511" s="242"/>
      <c r="AD511" s="242"/>
      <c r="AE511" s="242"/>
      <c r="AF511" s="242"/>
      <c r="AG511" s="242"/>
      <c r="AH511" s="242"/>
    </row>
    <row r="512">
      <c r="A512" s="242"/>
      <c r="B512" s="242"/>
      <c r="C512" s="242"/>
      <c r="D512" s="242"/>
      <c r="E512" s="242"/>
      <c r="F512" s="242"/>
      <c r="G512" s="242"/>
      <c r="H512" s="242"/>
      <c r="I512" s="242"/>
      <c r="J512" s="242"/>
      <c r="K512" s="242"/>
      <c r="L512" s="242"/>
      <c r="M512" s="242"/>
      <c r="N512" s="242"/>
      <c r="O512" s="242"/>
      <c r="P512" s="242"/>
      <c r="Q512" s="242"/>
      <c r="R512" s="242"/>
      <c r="S512" s="242"/>
      <c r="T512" s="242"/>
      <c r="U512" s="242"/>
      <c r="V512" s="242"/>
      <c r="W512" s="242"/>
      <c r="X512" s="242"/>
      <c r="Y512" s="242"/>
      <c r="Z512" s="242"/>
      <c r="AA512" s="242"/>
      <c r="AB512" s="242"/>
      <c r="AC512" s="242"/>
      <c r="AD512" s="242"/>
      <c r="AE512" s="242"/>
      <c r="AF512" s="242"/>
      <c r="AG512" s="242"/>
      <c r="AH512" s="242"/>
    </row>
    <row r="513">
      <c r="A513" s="242"/>
      <c r="B513" s="242"/>
      <c r="C513" s="242"/>
      <c r="D513" s="242"/>
      <c r="E513" s="242"/>
      <c r="F513" s="242"/>
      <c r="G513" s="242"/>
      <c r="H513" s="242"/>
      <c r="I513" s="242"/>
      <c r="J513" s="242"/>
      <c r="K513" s="242"/>
      <c r="L513" s="242"/>
      <c r="M513" s="242"/>
      <c r="N513" s="242"/>
      <c r="O513" s="242"/>
      <c r="P513" s="242"/>
      <c r="Q513" s="242"/>
      <c r="R513" s="242"/>
      <c r="S513" s="242"/>
      <c r="T513" s="242"/>
      <c r="U513" s="242"/>
      <c r="V513" s="242"/>
      <c r="W513" s="242"/>
      <c r="X513" s="242"/>
      <c r="Y513" s="242"/>
      <c r="Z513" s="242"/>
      <c r="AA513" s="242"/>
      <c r="AB513" s="242"/>
      <c r="AC513" s="242"/>
      <c r="AD513" s="242"/>
      <c r="AE513" s="242"/>
      <c r="AF513" s="242"/>
      <c r="AG513" s="242"/>
      <c r="AH513" s="242"/>
    </row>
    <row r="514">
      <c r="A514" s="242"/>
      <c r="B514" s="242"/>
      <c r="C514" s="242"/>
      <c r="D514" s="242"/>
      <c r="E514" s="242"/>
      <c r="F514" s="242"/>
      <c r="G514" s="242"/>
      <c r="H514" s="242"/>
      <c r="I514" s="242"/>
      <c r="J514" s="242"/>
      <c r="K514" s="242"/>
      <c r="L514" s="242"/>
      <c r="M514" s="242"/>
      <c r="N514" s="242"/>
      <c r="O514" s="242"/>
      <c r="P514" s="242"/>
      <c r="Q514" s="242"/>
      <c r="R514" s="242"/>
      <c r="S514" s="242"/>
      <c r="T514" s="242"/>
      <c r="U514" s="242"/>
      <c r="V514" s="242"/>
      <c r="W514" s="242"/>
      <c r="X514" s="242"/>
      <c r="Y514" s="242"/>
      <c r="Z514" s="242"/>
      <c r="AA514" s="242"/>
      <c r="AB514" s="242"/>
      <c r="AC514" s="242"/>
      <c r="AD514" s="242"/>
      <c r="AE514" s="242"/>
      <c r="AF514" s="242"/>
      <c r="AG514" s="242"/>
      <c r="AH514" s="242"/>
    </row>
    <row r="515">
      <c r="A515" s="242"/>
      <c r="B515" s="242"/>
      <c r="C515" s="242"/>
      <c r="D515" s="242"/>
      <c r="E515" s="242"/>
      <c r="F515" s="242"/>
      <c r="G515" s="242"/>
      <c r="H515" s="242"/>
      <c r="I515" s="242"/>
      <c r="J515" s="242"/>
      <c r="K515" s="242"/>
      <c r="L515" s="242"/>
      <c r="M515" s="242"/>
      <c r="N515" s="242"/>
      <c r="O515" s="242"/>
      <c r="P515" s="242"/>
      <c r="Q515" s="242"/>
      <c r="R515" s="242"/>
      <c r="S515" s="242"/>
      <c r="T515" s="242"/>
      <c r="U515" s="242"/>
      <c r="V515" s="242"/>
      <c r="W515" s="242"/>
      <c r="X515" s="242"/>
      <c r="Y515" s="242"/>
      <c r="Z515" s="242"/>
      <c r="AA515" s="242"/>
      <c r="AB515" s="242"/>
      <c r="AC515" s="242"/>
      <c r="AD515" s="242"/>
      <c r="AE515" s="242"/>
      <c r="AF515" s="242"/>
      <c r="AG515" s="242"/>
      <c r="AH515" s="242"/>
    </row>
    <row r="516">
      <c r="A516" s="242"/>
      <c r="B516" s="242"/>
      <c r="C516" s="242"/>
      <c r="D516" s="242"/>
      <c r="E516" s="242"/>
      <c r="F516" s="242"/>
      <c r="G516" s="242"/>
      <c r="H516" s="242"/>
      <c r="I516" s="242"/>
      <c r="J516" s="242"/>
      <c r="K516" s="242"/>
      <c r="L516" s="242"/>
      <c r="M516" s="242"/>
      <c r="N516" s="242"/>
      <c r="O516" s="242"/>
      <c r="P516" s="242"/>
      <c r="Q516" s="242"/>
      <c r="R516" s="242"/>
      <c r="S516" s="242"/>
      <c r="T516" s="242"/>
      <c r="U516" s="242"/>
      <c r="V516" s="242"/>
      <c r="W516" s="242"/>
      <c r="X516" s="242"/>
      <c r="Y516" s="242"/>
      <c r="Z516" s="242"/>
      <c r="AA516" s="242"/>
      <c r="AB516" s="242"/>
      <c r="AC516" s="242"/>
      <c r="AD516" s="242"/>
      <c r="AE516" s="242"/>
      <c r="AF516" s="242"/>
      <c r="AG516" s="242"/>
      <c r="AH516" s="242"/>
    </row>
    <row r="517">
      <c r="A517" s="242"/>
      <c r="B517" s="242"/>
      <c r="C517" s="242"/>
      <c r="D517" s="242"/>
      <c r="E517" s="242"/>
      <c r="F517" s="242"/>
      <c r="G517" s="242"/>
      <c r="H517" s="242"/>
      <c r="I517" s="242"/>
      <c r="J517" s="242"/>
      <c r="K517" s="242"/>
      <c r="L517" s="242"/>
      <c r="M517" s="242"/>
      <c r="N517" s="242"/>
      <c r="O517" s="242"/>
      <c r="P517" s="242"/>
      <c r="Q517" s="242"/>
      <c r="R517" s="242"/>
      <c r="S517" s="242"/>
      <c r="T517" s="242"/>
      <c r="U517" s="242"/>
      <c r="V517" s="242"/>
      <c r="W517" s="242"/>
      <c r="X517" s="242"/>
      <c r="Y517" s="242"/>
      <c r="Z517" s="242"/>
      <c r="AA517" s="242"/>
      <c r="AB517" s="242"/>
      <c r="AC517" s="242"/>
      <c r="AD517" s="242"/>
      <c r="AE517" s="242"/>
      <c r="AF517" s="242"/>
      <c r="AG517" s="242"/>
      <c r="AH517" s="242"/>
    </row>
    <row r="518">
      <c r="A518" s="242"/>
      <c r="B518" s="242"/>
      <c r="C518" s="242"/>
      <c r="D518" s="242"/>
      <c r="E518" s="242"/>
      <c r="F518" s="242"/>
      <c r="G518" s="242"/>
      <c r="H518" s="242"/>
      <c r="I518" s="242"/>
      <c r="J518" s="242"/>
      <c r="K518" s="242"/>
      <c r="L518" s="242"/>
      <c r="M518" s="242"/>
      <c r="N518" s="242"/>
      <c r="O518" s="242"/>
      <c r="P518" s="242"/>
      <c r="Q518" s="242"/>
      <c r="R518" s="242"/>
      <c r="S518" s="242"/>
      <c r="T518" s="242"/>
      <c r="U518" s="242"/>
      <c r="V518" s="242"/>
      <c r="W518" s="242"/>
      <c r="X518" s="242"/>
      <c r="Y518" s="242"/>
      <c r="Z518" s="242"/>
      <c r="AA518" s="242"/>
      <c r="AB518" s="242"/>
      <c r="AC518" s="242"/>
      <c r="AD518" s="242"/>
      <c r="AE518" s="242"/>
      <c r="AF518" s="242"/>
      <c r="AG518" s="242"/>
      <c r="AH518" s="242"/>
    </row>
    <row r="519">
      <c r="A519" s="242"/>
      <c r="B519" s="242"/>
      <c r="C519" s="242"/>
      <c r="D519" s="242"/>
      <c r="E519" s="242"/>
      <c r="F519" s="242"/>
      <c r="G519" s="242"/>
      <c r="H519" s="242"/>
      <c r="I519" s="242"/>
      <c r="J519" s="242"/>
      <c r="K519" s="242"/>
      <c r="L519" s="242"/>
      <c r="M519" s="242"/>
      <c r="N519" s="242"/>
      <c r="O519" s="242"/>
      <c r="P519" s="242"/>
      <c r="Q519" s="242"/>
      <c r="R519" s="242"/>
      <c r="S519" s="242"/>
      <c r="T519" s="242"/>
      <c r="U519" s="242"/>
      <c r="V519" s="242"/>
      <c r="W519" s="242"/>
      <c r="X519" s="242"/>
      <c r="Y519" s="242"/>
      <c r="Z519" s="242"/>
      <c r="AA519" s="242"/>
      <c r="AB519" s="242"/>
      <c r="AC519" s="242"/>
      <c r="AD519" s="242"/>
      <c r="AE519" s="242"/>
      <c r="AF519" s="242"/>
      <c r="AG519" s="242"/>
      <c r="AH519" s="242"/>
    </row>
    <row r="520">
      <c r="A520" s="242"/>
      <c r="B520" s="242"/>
      <c r="C520" s="242"/>
      <c r="D520" s="242"/>
      <c r="E520" s="242"/>
      <c r="F520" s="242"/>
      <c r="G520" s="242"/>
      <c r="H520" s="242"/>
      <c r="I520" s="242"/>
      <c r="J520" s="242"/>
      <c r="K520" s="242"/>
      <c r="L520" s="242"/>
      <c r="M520" s="242"/>
      <c r="N520" s="242"/>
      <c r="O520" s="242"/>
      <c r="P520" s="242"/>
      <c r="Q520" s="242"/>
      <c r="R520" s="242"/>
      <c r="S520" s="242"/>
      <c r="T520" s="242"/>
      <c r="U520" s="242"/>
      <c r="V520" s="242"/>
      <c r="W520" s="242"/>
      <c r="X520" s="242"/>
      <c r="Y520" s="242"/>
      <c r="Z520" s="242"/>
      <c r="AA520" s="242"/>
      <c r="AB520" s="242"/>
      <c r="AC520" s="242"/>
      <c r="AD520" s="242"/>
      <c r="AE520" s="242"/>
      <c r="AF520" s="242"/>
      <c r="AG520" s="242"/>
      <c r="AH520" s="242"/>
    </row>
    <row r="521">
      <c r="A521" s="242"/>
      <c r="B521" s="242"/>
      <c r="C521" s="242"/>
      <c r="D521" s="242"/>
      <c r="E521" s="242"/>
      <c r="F521" s="242"/>
      <c r="G521" s="242"/>
      <c r="H521" s="242"/>
      <c r="I521" s="242"/>
      <c r="J521" s="242"/>
      <c r="K521" s="242"/>
      <c r="L521" s="242"/>
      <c r="M521" s="242"/>
      <c r="N521" s="242"/>
      <c r="O521" s="242"/>
      <c r="P521" s="242"/>
      <c r="Q521" s="242"/>
      <c r="R521" s="242"/>
      <c r="S521" s="242"/>
      <c r="T521" s="242"/>
      <c r="U521" s="242"/>
      <c r="V521" s="242"/>
      <c r="W521" s="242"/>
      <c r="X521" s="242"/>
      <c r="Y521" s="242"/>
      <c r="Z521" s="242"/>
      <c r="AA521" s="242"/>
      <c r="AB521" s="242"/>
      <c r="AC521" s="242"/>
      <c r="AD521" s="242"/>
      <c r="AE521" s="242"/>
      <c r="AF521" s="242"/>
      <c r="AG521" s="242"/>
      <c r="AH521" s="242"/>
    </row>
    <row r="522">
      <c r="A522" s="242"/>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c r="AA522" s="242"/>
      <c r="AB522" s="242"/>
      <c r="AC522" s="242"/>
      <c r="AD522" s="242"/>
      <c r="AE522" s="242"/>
      <c r="AF522" s="242"/>
      <c r="AG522" s="242"/>
      <c r="AH522" s="242"/>
    </row>
    <row r="523">
      <c r="A523" s="242"/>
      <c r="B523" s="242"/>
      <c r="C523" s="242"/>
      <c r="D523" s="242"/>
      <c r="E523" s="242"/>
      <c r="F523" s="242"/>
      <c r="G523" s="242"/>
      <c r="H523" s="242"/>
      <c r="I523" s="242"/>
      <c r="J523" s="242"/>
      <c r="K523" s="242"/>
      <c r="L523" s="242"/>
      <c r="M523" s="242"/>
      <c r="N523" s="242"/>
      <c r="O523" s="242"/>
      <c r="P523" s="242"/>
      <c r="Q523" s="242"/>
      <c r="R523" s="242"/>
      <c r="S523" s="242"/>
      <c r="T523" s="242"/>
      <c r="U523" s="242"/>
      <c r="V523" s="242"/>
      <c r="W523" s="242"/>
      <c r="X523" s="242"/>
      <c r="Y523" s="242"/>
      <c r="Z523" s="242"/>
      <c r="AA523" s="242"/>
      <c r="AB523" s="242"/>
      <c r="AC523" s="242"/>
      <c r="AD523" s="242"/>
      <c r="AE523" s="242"/>
      <c r="AF523" s="242"/>
      <c r="AG523" s="242"/>
      <c r="AH523" s="242"/>
    </row>
    <row r="524">
      <c r="A524" s="242"/>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c r="AA524" s="242"/>
      <c r="AB524" s="242"/>
      <c r="AC524" s="242"/>
      <c r="AD524" s="242"/>
      <c r="AE524" s="242"/>
      <c r="AF524" s="242"/>
      <c r="AG524" s="242"/>
      <c r="AH524" s="242"/>
    </row>
    <row r="525">
      <c r="A525" s="242"/>
      <c r="B525" s="242"/>
      <c r="C525" s="242"/>
      <c r="D525" s="242"/>
      <c r="E525" s="242"/>
      <c r="F525" s="242"/>
      <c r="G525" s="242"/>
      <c r="H525" s="242"/>
      <c r="I525" s="242"/>
      <c r="J525" s="242"/>
      <c r="K525" s="242"/>
      <c r="L525" s="242"/>
      <c r="M525" s="242"/>
      <c r="N525" s="242"/>
      <c r="O525" s="242"/>
      <c r="P525" s="242"/>
      <c r="Q525" s="242"/>
      <c r="R525" s="242"/>
      <c r="S525" s="242"/>
      <c r="T525" s="242"/>
      <c r="U525" s="242"/>
      <c r="V525" s="242"/>
      <c r="W525" s="242"/>
      <c r="X525" s="242"/>
      <c r="Y525" s="242"/>
      <c r="Z525" s="242"/>
      <c r="AA525" s="242"/>
      <c r="AB525" s="242"/>
      <c r="AC525" s="242"/>
      <c r="AD525" s="242"/>
      <c r="AE525" s="242"/>
      <c r="AF525" s="242"/>
      <c r="AG525" s="242"/>
      <c r="AH525" s="242"/>
    </row>
    <row r="526">
      <c r="A526" s="242"/>
      <c r="B526" s="242"/>
      <c r="C526" s="242"/>
      <c r="D526" s="242"/>
      <c r="E526" s="242"/>
      <c r="F526" s="242"/>
      <c r="G526" s="242"/>
      <c r="H526" s="242"/>
      <c r="I526" s="242"/>
      <c r="J526" s="242"/>
      <c r="K526" s="242"/>
      <c r="L526" s="242"/>
      <c r="M526" s="242"/>
      <c r="N526" s="242"/>
      <c r="O526" s="242"/>
      <c r="P526" s="242"/>
      <c r="Q526" s="242"/>
      <c r="R526" s="242"/>
      <c r="S526" s="242"/>
      <c r="T526" s="242"/>
      <c r="U526" s="242"/>
      <c r="V526" s="242"/>
      <c r="W526" s="242"/>
      <c r="X526" s="242"/>
      <c r="Y526" s="242"/>
      <c r="Z526" s="242"/>
      <c r="AA526" s="242"/>
      <c r="AB526" s="242"/>
      <c r="AC526" s="242"/>
      <c r="AD526" s="242"/>
      <c r="AE526" s="242"/>
      <c r="AF526" s="242"/>
      <c r="AG526" s="242"/>
      <c r="AH526" s="242"/>
    </row>
    <row r="527">
      <c r="A527" s="242"/>
      <c r="B527" s="242"/>
      <c r="C527" s="242"/>
      <c r="D527" s="242"/>
      <c r="E527" s="242"/>
      <c r="F527" s="242"/>
      <c r="G527" s="242"/>
      <c r="H527" s="242"/>
      <c r="I527" s="242"/>
      <c r="J527" s="242"/>
      <c r="K527" s="242"/>
      <c r="L527" s="242"/>
      <c r="M527" s="242"/>
      <c r="N527" s="242"/>
      <c r="O527" s="242"/>
      <c r="P527" s="242"/>
      <c r="Q527" s="242"/>
      <c r="R527" s="242"/>
      <c r="S527" s="242"/>
      <c r="T527" s="242"/>
      <c r="U527" s="242"/>
      <c r="V527" s="242"/>
      <c r="W527" s="242"/>
      <c r="X527" s="242"/>
      <c r="Y527" s="242"/>
      <c r="Z527" s="242"/>
      <c r="AA527" s="242"/>
      <c r="AB527" s="242"/>
      <c r="AC527" s="242"/>
      <c r="AD527" s="242"/>
      <c r="AE527" s="242"/>
      <c r="AF527" s="242"/>
      <c r="AG527" s="242"/>
      <c r="AH527" s="242"/>
    </row>
    <row r="528">
      <c r="A528" s="242"/>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c r="AA528" s="242"/>
      <c r="AB528" s="242"/>
      <c r="AC528" s="242"/>
      <c r="AD528" s="242"/>
      <c r="AE528" s="242"/>
      <c r="AF528" s="242"/>
      <c r="AG528" s="242"/>
      <c r="AH528" s="242"/>
    </row>
    <row r="529">
      <c r="A529" s="242"/>
      <c r="B529" s="242"/>
      <c r="C529" s="242"/>
      <c r="D529" s="242"/>
      <c r="E529" s="242"/>
      <c r="F529" s="242"/>
      <c r="G529" s="242"/>
      <c r="H529" s="242"/>
      <c r="I529" s="242"/>
      <c r="J529" s="242"/>
      <c r="K529" s="242"/>
      <c r="L529" s="242"/>
      <c r="M529" s="242"/>
      <c r="N529" s="242"/>
      <c r="O529" s="242"/>
      <c r="P529" s="242"/>
      <c r="Q529" s="242"/>
      <c r="R529" s="242"/>
      <c r="S529" s="242"/>
      <c r="T529" s="242"/>
      <c r="U529" s="242"/>
      <c r="V529" s="242"/>
      <c r="W529" s="242"/>
      <c r="X529" s="242"/>
      <c r="Y529" s="242"/>
      <c r="Z529" s="242"/>
      <c r="AA529" s="242"/>
      <c r="AB529" s="242"/>
      <c r="AC529" s="242"/>
      <c r="AD529" s="242"/>
      <c r="AE529" s="242"/>
      <c r="AF529" s="242"/>
      <c r="AG529" s="242"/>
      <c r="AH529" s="242"/>
    </row>
    <row r="530">
      <c r="A530" s="242"/>
      <c r="B530" s="242"/>
      <c r="C530" s="242"/>
      <c r="D530" s="242"/>
      <c r="E530" s="242"/>
      <c r="F530" s="242"/>
      <c r="G530" s="242"/>
      <c r="H530" s="242"/>
      <c r="I530" s="242"/>
      <c r="J530" s="242"/>
      <c r="K530" s="242"/>
      <c r="L530" s="242"/>
      <c r="M530" s="242"/>
      <c r="N530" s="242"/>
      <c r="O530" s="242"/>
      <c r="P530" s="242"/>
      <c r="Q530" s="242"/>
      <c r="R530" s="242"/>
      <c r="S530" s="242"/>
      <c r="T530" s="242"/>
      <c r="U530" s="242"/>
      <c r="V530" s="242"/>
      <c r="W530" s="242"/>
      <c r="X530" s="242"/>
      <c r="Y530" s="242"/>
      <c r="Z530" s="242"/>
      <c r="AA530" s="242"/>
      <c r="AB530" s="242"/>
      <c r="AC530" s="242"/>
      <c r="AD530" s="242"/>
      <c r="AE530" s="242"/>
      <c r="AF530" s="242"/>
      <c r="AG530" s="242"/>
      <c r="AH530" s="242"/>
    </row>
    <row r="531">
      <c r="A531" s="242"/>
      <c r="B531" s="242"/>
      <c r="C531" s="242"/>
      <c r="D531" s="242"/>
      <c r="E531" s="242"/>
      <c r="F531" s="242"/>
      <c r="G531" s="242"/>
      <c r="H531" s="242"/>
      <c r="I531" s="242"/>
      <c r="J531" s="242"/>
      <c r="K531" s="242"/>
      <c r="L531" s="242"/>
      <c r="M531" s="242"/>
      <c r="N531" s="242"/>
      <c r="O531" s="242"/>
      <c r="P531" s="242"/>
      <c r="Q531" s="242"/>
      <c r="R531" s="242"/>
      <c r="S531" s="242"/>
      <c r="T531" s="242"/>
      <c r="U531" s="242"/>
      <c r="V531" s="242"/>
      <c r="W531" s="242"/>
      <c r="X531" s="242"/>
      <c r="Y531" s="242"/>
      <c r="Z531" s="242"/>
      <c r="AA531" s="242"/>
      <c r="AB531" s="242"/>
      <c r="AC531" s="242"/>
      <c r="AD531" s="242"/>
      <c r="AE531" s="242"/>
      <c r="AF531" s="242"/>
      <c r="AG531" s="242"/>
      <c r="AH531" s="242"/>
    </row>
    <row r="532">
      <c r="A532" s="242"/>
      <c r="B532" s="242"/>
      <c r="C532" s="242"/>
      <c r="D532" s="242"/>
      <c r="E532" s="242"/>
      <c r="F532" s="242"/>
      <c r="G532" s="242"/>
      <c r="H532" s="242"/>
      <c r="I532" s="242"/>
      <c r="J532" s="242"/>
      <c r="K532" s="242"/>
      <c r="L532" s="242"/>
      <c r="M532" s="242"/>
      <c r="N532" s="242"/>
      <c r="O532" s="242"/>
      <c r="P532" s="242"/>
      <c r="Q532" s="242"/>
      <c r="R532" s="242"/>
      <c r="S532" s="242"/>
      <c r="T532" s="242"/>
      <c r="U532" s="242"/>
      <c r="V532" s="242"/>
      <c r="W532" s="242"/>
      <c r="X532" s="242"/>
      <c r="Y532" s="242"/>
      <c r="Z532" s="242"/>
      <c r="AA532" s="242"/>
      <c r="AB532" s="242"/>
      <c r="AC532" s="242"/>
      <c r="AD532" s="242"/>
      <c r="AE532" s="242"/>
      <c r="AF532" s="242"/>
      <c r="AG532" s="242"/>
      <c r="AH532" s="242"/>
    </row>
    <row r="533">
      <c r="A533" s="242"/>
      <c r="B533" s="242"/>
      <c r="C533" s="242"/>
      <c r="D533" s="242"/>
      <c r="E533" s="242"/>
      <c r="F533" s="242"/>
      <c r="G533" s="242"/>
      <c r="H533" s="242"/>
      <c r="I533" s="242"/>
      <c r="J533" s="242"/>
      <c r="K533" s="242"/>
      <c r="L533" s="242"/>
      <c r="M533" s="242"/>
      <c r="N533" s="242"/>
      <c r="O533" s="242"/>
      <c r="P533" s="242"/>
      <c r="Q533" s="242"/>
      <c r="R533" s="242"/>
      <c r="S533" s="242"/>
      <c r="T533" s="242"/>
      <c r="U533" s="242"/>
      <c r="V533" s="242"/>
      <c r="W533" s="242"/>
      <c r="X533" s="242"/>
      <c r="Y533" s="242"/>
      <c r="Z533" s="242"/>
      <c r="AA533" s="242"/>
      <c r="AB533" s="242"/>
      <c r="AC533" s="242"/>
      <c r="AD533" s="242"/>
      <c r="AE533" s="242"/>
      <c r="AF533" s="242"/>
      <c r="AG533" s="242"/>
      <c r="AH533" s="242"/>
    </row>
    <row r="534">
      <c r="A534" s="242"/>
      <c r="B534" s="242"/>
      <c r="C534" s="242"/>
      <c r="D534" s="242"/>
      <c r="E534" s="242"/>
      <c r="F534" s="242"/>
      <c r="G534" s="242"/>
      <c r="H534" s="242"/>
      <c r="I534" s="242"/>
      <c r="J534" s="242"/>
      <c r="K534" s="242"/>
      <c r="L534" s="242"/>
      <c r="M534" s="242"/>
      <c r="N534" s="242"/>
      <c r="O534" s="242"/>
      <c r="P534" s="242"/>
      <c r="Q534" s="242"/>
      <c r="R534" s="242"/>
      <c r="S534" s="242"/>
      <c r="T534" s="242"/>
      <c r="U534" s="242"/>
      <c r="V534" s="242"/>
      <c r="W534" s="242"/>
      <c r="X534" s="242"/>
      <c r="Y534" s="242"/>
      <c r="Z534" s="242"/>
      <c r="AA534" s="242"/>
      <c r="AB534" s="242"/>
      <c r="AC534" s="242"/>
      <c r="AD534" s="242"/>
      <c r="AE534" s="242"/>
      <c r="AF534" s="242"/>
      <c r="AG534" s="242"/>
      <c r="AH534" s="242"/>
    </row>
    <row r="535">
      <c r="A535" s="242"/>
      <c r="B535" s="242"/>
      <c r="C535" s="242"/>
      <c r="D535" s="242"/>
      <c r="E535" s="242"/>
      <c r="F535" s="242"/>
      <c r="G535" s="242"/>
      <c r="H535" s="242"/>
      <c r="I535" s="242"/>
      <c r="J535" s="242"/>
      <c r="K535" s="242"/>
      <c r="L535" s="242"/>
      <c r="M535" s="242"/>
      <c r="N535" s="242"/>
      <c r="O535" s="242"/>
      <c r="P535" s="242"/>
      <c r="Q535" s="242"/>
      <c r="R535" s="242"/>
      <c r="S535" s="242"/>
      <c r="T535" s="242"/>
      <c r="U535" s="242"/>
      <c r="V535" s="242"/>
      <c r="W535" s="242"/>
      <c r="X535" s="242"/>
      <c r="Y535" s="242"/>
      <c r="Z535" s="242"/>
      <c r="AA535" s="242"/>
      <c r="AB535" s="242"/>
      <c r="AC535" s="242"/>
      <c r="AD535" s="242"/>
      <c r="AE535" s="242"/>
      <c r="AF535" s="242"/>
      <c r="AG535" s="242"/>
      <c r="AH535" s="242"/>
    </row>
    <row r="536">
      <c r="A536" s="242"/>
      <c r="B536" s="242"/>
      <c r="C536" s="242"/>
      <c r="D536" s="242"/>
      <c r="E536" s="242"/>
      <c r="F536" s="242"/>
      <c r="G536" s="242"/>
      <c r="H536" s="242"/>
      <c r="I536" s="242"/>
      <c r="J536" s="242"/>
      <c r="K536" s="242"/>
      <c r="L536" s="242"/>
      <c r="M536" s="242"/>
      <c r="N536" s="242"/>
      <c r="O536" s="242"/>
      <c r="P536" s="242"/>
      <c r="Q536" s="242"/>
      <c r="R536" s="242"/>
      <c r="S536" s="242"/>
      <c r="T536" s="242"/>
      <c r="U536" s="242"/>
      <c r="V536" s="242"/>
      <c r="W536" s="242"/>
      <c r="X536" s="242"/>
      <c r="Y536" s="242"/>
      <c r="Z536" s="242"/>
      <c r="AA536" s="242"/>
      <c r="AB536" s="242"/>
      <c r="AC536" s="242"/>
      <c r="AD536" s="242"/>
      <c r="AE536" s="242"/>
      <c r="AF536" s="242"/>
      <c r="AG536" s="242"/>
      <c r="AH536" s="242"/>
    </row>
    <row r="537">
      <c r="A537" s="242"/>
      <c r="B537" s="242"/>
      <c r="C537" s="242"/>
      <c r="D537" s="242"/>
      <c r="E537" s="242"/>
      <c r="F537" s="242"/>
      <c r="G537" s="242"/>
      <c r="H537" s="242"/>
      <c r="I537" s="242"/>
      <c r="J537" s="242"/>
      <c r="K537" s="242"/>
      <c r="L537" s="242"/>
      <c r="M537" s="242"/>
      <c r="N537" s="242"/>
      <c r="O537" s="242"/>
      <c r="P537" s="242"/>
      <c r="Q537" s="242"/>
      <c r="R537" s="242"/>
      <c r="S537" s="242"/>
      <c r="T537" s="242"/>
      <c r="U537" s="242"/>
      <c r="V537" s="242"/>
      <c r="W537" s="242"/>
      <c r="X537" s="242"/>
      <c r="Y537" s="242"/>
      <c r="Z537" s="242"/>
      <c r="AA537" s="242"/>
      <c r="AB537" s="242"/>
      <c r="AC537" s="242"/>
      <c r="AD537" s="242"/>
      <c r="AE537" s="242"/>
      <c r="AF537" s="242"/>
      <c r="AG537" s="242"/>
      <c r="AH537" s="242"/>
    </row>
    <row r="538">
      <c r="A538" s="242"/>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c r="AA538" s="242"/>
      <c r="AB538" s="242"/>
      <c r="AC538" s="242"/>
      <c r="AD538" s="242"/>
      <c r="AE538" s="242"/>
      <c r="AF538" s="242"/>
      <c r="AG538" s="242"/>
      <c r="AH538" s="242"/>
    </row>
    <row r="539">
      <c r="A539" s="242"/>
      <c r="B539" s="242"/>
      <c r="C539" s="242"/>
      <c r="D539" s="242"/>
      <c r="E539" s="242"/>
      <c r="F539" s="242"/>
      <c r="G539" s="242"/>
      <c r="H539" s="242"/>
      <c r="I539" s="242"/>
      <c r="J539" s="242"/>
      <c r="K539" s="242"/>
      <c r="L539" s="242"/>
      <c r="M539" s="242"/>
      <c r="N539" s="242"/>
      <c r="O539" s="242"/>
      <c r="P539" s="242"/>
      <c r="Q539" s="242"/>
      <c r="R539" s="242"/>
      <c r="S539" s="242"/>
      <c r="T539" s="242"/>
      <c r="U539" s="242"/>
      <c r="V539" s="242"/>
      <c r="W539" s="242"/>
      <c r="X539" s="242"/>
      <c r="Y539" s="242"/>
      <c r="Z539" s="242"/>
      <c r="AA539" s="242"/>
      <c r="AB539" s="242"/>
      <c r="AC539" s="242"/>
      <c r="AD539" s="242"/>
      <c r="AE539" s="242"/>
      <c r="AF539" s="242"/>
      <c r="AG539" s="242"/>
      <c r="AH539" s="242"/>
    </row>
    <row r="540">
      <c r="A540" s="242"/>
      <c r="B540" s="242"/>
      <c r="C540" s="242"/>
      <c r="D540" s="242"/>
      <c r="E540" s="242"/>
      <c r="F540" s="242"/>
      <c r="G540" s="242"/>
      <c r="H540" s="242"/>
      <c r="I540" s="242"/>
      <c r="J540" s="242"/>
      <c r="K540" s="242"/>
      <c r="L540" s="242"/>
      <c r="M540" s="242"/>
      <c r="N540" s="242"/>
      <c r="O540" s="242"/>
      <c r="P540" s="242"/>
      <c r="Q540" s="242"/>
      <c r="R540" s="242"/>
      <c r="S540" s="242"/>
      <c r="T540" s="242"/>
      <c r="U540" s="242"/>
      <c r="V540" s="242"/>
      <c r="W540" s="242"/>
      <c r="X540" s="242"/>
      <c r="Y540" s="242"/>
      <c r="Z540" s="242"/>
      <c r="AA540" s="242"/>
      <c r="AB540" s="242"/>
      <c r="AC540" s="242"/>
      <c r="AD540" s="242"/>
      <c r="AE540" s="242"/>
      <c r="AF540" s="242"/>
      <c r="AG540" s="242"/>
      <c r="AH540" s="242"/>
    </row>
    <row r="541">
      <c r="A541" s="242"/>
      <c r="B541" s="242"/>
      <c r="C541" s="242"/>
      <c r="D541" s="242"/>
      <c r="E541" s="242"/>
      <c r="F541" s="242"/>
      <c r="G541" s="242"/>
      <c r="H541" s="242"/>
      <c r="I541" s="242"/>
      <c r="J541" s="242"/>
      <c r="K541" s="242"/>
      <c r="L541" s="242"/>
      <c r="M541" s="242"/>
      <c r="N541" s="242"/>
      <c r="O541" s="242"/>
      <c r="P541" s="242"/>
      <c r="Q541" s="242"/>
      <c r="R541" s="242"/>
      <c r="S541" s="242"/>
      <c r="T541" s="242"/>
      <c r="U541" s="242"/>
      <c r="V541" s="242"/>
      <c r="W541" s="242"/>
      <c r="X541" s="242"/>
      <c r="Y541" s="242"/>
      <c r="Z541" s="242"/>
      <c r="AA541" s="242"/>
      <c r="AB541" s="242"/>
      <c r="AC541" s="242"/>
      <c r="AD541" s="242"/>
      <c r="AE541" s="242"/>
      <c r="AF541" s="242"/>
      <c r="AG541" s="242"/>
      <c r="AH541" s="242"/>
    </row>
    <row r="542">
      <c r="A542" s="242"/>
      <c r="B542" s="242"/>
      <c r="C542" s="242"/>
      <c r="D542" s="242"/>
      <c r="E542" s="242"/>
      <c r="F542" s="242"/>
      <c r="G542" s="242"/>
      <c r="H542" s="242"/>
      <c r="I542" s="242"/>
      <c r="J542" s="242"/>
      <c r="K542" s="242"/>
      <c r="L542" s="242"/>
      <c r="M542" s="242"/>
      <c r="N542" s="242"/>
      <c r="O542" s="242"/>
      <c r="P542" s="242"/>
      <c r="Q542" s="242"/>
      <c r="R542" s="242"/>
      <c r="S542" s="242"/>
      <c r="T542" s="242"/>
      <c r="U542" s="242"/>
      <c r="V542" s="242"/>
      <c r="W542" s="242"/>
      <c r="X542" s="242"/>
      <c r="Y542" s="242"/>
      <c r="Z542" s="242"/>
      <c r="AA542" s="242"/>
      <c r="AB542" s="242"/>
      <c r="AC542" s="242"/>
      <c r="AD542" s="242"/>
      <c r="AE542" s="242"/>
      <c r="AF542" s="242"/>
      <c r="AG542" s="242"/>
      <c r="AH542" s="242"/>
    </row>
    <row r="543">
      <c r="A543" s="242"/>
      <c r="B543" s="242"/>
      <c r="C543" s="242"/>
      <c r="D543" s="242"/>
      <c r="E543" s="242"/>
      <c r="F543" s="242"/>
      <c r="G543" s="242"/>
      <c r="H543" s="242"/>
      <c r="I543" s="242"/>
      <c r="J543" s="242"/>
      <c r="K543" s="242"/>
      <c r="L543" s="242"/>
      <c r="M543" s="242"/>
      <c r="N543" s="242"/>
      <c r="O543" s="242"/>
      <c r="P543" s="242"/>
      <c r="Q543" s="242"/>
      <c r="R543" s="242"/>
      <c r="S543" s="242"/>
      <c r="T543" s="242"/>
      <c r="U543" s="242"/>
      <c r="V543" s="242"/>
      <c r="W543" s="242"/>
      <c r="X543" s="242"/>
      <c r="Y543" s="242"/>
      <c r="Z543" s="242"/>
      <c r="AA543" s="242"/>
      <c r="AB543" s="242"/>
      <c r="AC543" s="242"/>
      <c r="AD543" s="242"/>
      <c r="AE543" s="242"/>
      <c r="AF543" s="242"/>
      <c r="AG543" s="242"/>
      <c r="AH543" s="242"/>
    </row>
    <row r="544">
      <c r="A544" s="242"/>
      <c r="B544" s="242"/>
      <c r="C544" s="242"/>
      <c r="D544" s="242"/>
      <c r="E544" s="242"/>
      <c r="F544" s="242"/>
      <c r="G544" s="242"/>
      <c r="H544" s="242"/>
      <c r="I544" s="242"/>
      <c r="J544" s="242"/>
      <c r="K544" s="242"/>
      <c r="L544" s="242"/>
      <c r="M544" s="242"/>
      <c r="N544" s="242"/>
      <c r="O544" s="242"/>
      <c r="P544" s="242"/>
      <c r="Q544" s="242"/>
      <c r="R544" s="242"/>
      <c r="S544" s="242"/>
      <c r="T544" s="242"/>
      <c r="U544" s="242"/>
      <c r="V544" s="242"/>
      <c r="W544" s="242"/>
      <c r="X544" s="242"/>
      <c r="Y544" s="242"/>
      <c r="Z544" s="242"/>
      <c r="AA544" s="242"/>
      <c r="AB544" s="242"/>
      <c r="AC544" s="242"/>
      <c r="AD544" s="242"/>
      <c r="AE544" s="242"/>
      <c r="AF544" s="242"/>
      <c r="AG544" s="242"/>
      <c r="AH544" s="242"/>
    </row>
    <row r="545">
      <c r="A545" s="242"/>
      <c r="B545" s="242"/>
      <c r="C545" s="242"/>
      <c r="D545" s="242"/>
      <c r="E545" s="242"/>
      <c r="F545" s="242"/>
      <c r="G545" s="242"/>
      <c r="H545" s="242"/>
      <c r="I545" s="242"/>
      <c r="J545" s="242"/>
      <c r="K545" s="242"/>
      <c r="L545" s="242"/>
      <c r="M545" s="242"/>
      <c r="N545" s="242"/>
      <c r="O545" s="242"/>
      <c r="P545" s="242"/>
      <c r="Q545" s="242"/>
      <c r="R545" s="242"/>
      <c r="S545" s="242"/>
      <c r="T545" s="242"/>
      <c r="U545" s="242"/>
      <c r="V545" s="242"/>
      <c r="W545" s="242"/>
      <c r="X545" s="242"/>
      <c r="Y545" s="242"/>
      <c r="Z545" s="242"/>
      <c r="AA545" s="242"/>
      <c r="AB545" s="242"/>
      <c r="AC545" s="242"/>
      <c r="AD545" s="242"/>
      <c r="AE545" s="242"/>
      <c r="AF545" s="242"/>
      <c r="AG545" s="242"/>
      <c r="AH545" s="242"/>
    </row>
    <row r="546">
      <c r="A546" s="242"/>
      <c r="B546" s="242"/>
      <c r="C546" s="242"/>
      <c r="D546" s="242"/>
      <c r="E546" s="242"/>
      <c r="F546" s="242"/>
      <c r="G546" s="242"/>
      <c r="H546" s="242"/>
      <c r="I546" s="242"/>
      <c r="J546" s="242"/>
      <c r="K546" s="242"/>
      <c r="L546" s="242"/>
      <c r="M546" s="242"/>
      <c r="N546" s="242"/>
      <c r="O546" s="242"/>
      <c r="P546" s="242"/>
      <c r="Q546" s="242"/>
      <c r="R546" s="242"/>
      <c r="S546" s="242"/>
      <c r="T546" s="242"/>
      <c r="U546" s="242"/>
      <c r="V546" s="242"/>
      <c r="W546" s="242"/>
      <c r="X546" s="242"/>
      <c r="Y546" s="242"/>
      <c r="Z546" s="242"/>
      <c r="AA546" s="242"/>
      <c r="AB546" s="242"/>
      <c r="AC546" s="242"/>
      <c r="AD546" s="242"/>
      <c r="AE546" s="242"/>
      <c r="AF546" s="242"/>
      <c r="AG546" s="242"/>
      <c r="AH546" s="242"/>
    </row>
    <row r="547">
      <c r="A547" s="242"/>
      <c r="B547" s="242"/>
      <c r="C547" s="242"/>
      <c r="D547" s="242"/>
      <c r="E547" s="242"/>
      <c r="F547" s="242"/>
      <c r="G547" s="242"/>
      <c r="H547" s="242"/>
      <c r="I547" s="242"/>
      <c r="J547" s="242"/>
      <c r="K547" s="242"/>
      <c r="L547" s="242"/>
      <c r="M547" s="242"/>
      <c r="N547" s="242"/>
      <c r="O547" s="242"/>
      <c r="P547" s="242"/>
      <c r="Q547" s="242"/>
      <c r="R547" s="242"/>
      <c r="S547" s="242"/>
      <c r="T547" s="242"/>
      <c r="U547" s="242"/>
      <c r="V547" s="242"/>
      <c r="W547" s="242"/>
      <c r="X547" s="242"/>
      <c r="Y547" s="242"/>
      <c r="Z547" s="242"/>
      <c r="AA547" s="242"/>
      <c r="AB547" s="242"/>
      <c r="AC547" s="242"/>
      <c r="AD547" s="242"/>
      <c r="AE547" s="242"/>
      <c r="AF547" s="242"/>
      <c r="AG547" s="242"/>
      <c r="AH547" s="242"/>
    </row>
    <row r="548">
      <c r="A548" s="242"/>
      <c r="B548" s="242"/>
      <c r="C548" s="242"/>
      <c r="D548" s="242"/>
      <c r="E548" s="242"/>
      <c r="F548" s="242"/>
      <c r="G548" s="242"/>
      <c r="H548" s="242"/>
      <c r="I548" s="242"/>
      <c r="J548" s="242"/>
      <c r="K548" s="242"/>
      <c r="L548" s="242"/>
      <c r="M548" s="242"/>
      <c r="N548" s="242"/>
      <c r="O548" s="242"/>
      <c r="P548" s="242"/>
      <c r="Q548" s="242"/>
      <c r="R548" s="242"/>
      <c r="S548" s="242"/>
      <c r="T548" s="242"/>
      <c r="U548" s="242"/>
      <c r="V548" s="242"/>
      <c r="W548" s="242"/>
      <c r="X548" s="242"/>
      <c r="Y548" s="242"/>
      <c r="Z548" s="242"/>
      <c r="AA548" s="242"/>
      <c r="AB548" s="242"/>
      <c r="AC548" s="242"/>
      <c r="AD548" s="242"/>
      <c r="AE548" s="242"/>
      <c r="AF548" s="242"/>
      <c r="AG548" s="242"/>
      <c r="AH548" s="242"/>
    </row>
    <row r="549">
      <c r="A549" s="242"/>
      <c r="B549" s="242"/>
      <c r="C549" s="242"/>
      <c r="D549" s="242"/>
      <c r="E549" s="242"/>
      <c r="F549" s="242"/>
      <c r="G549" s="242"/>
      <c r="H549" s="242"/>
      <c r="I549" s="242"/>
      <c r="J549" s="242"/>
      <c r="K549" s="242"/>
      <c r="L549" s="242"/>
      <c r="M549" s="242"/>
      <c r="N549" s="242"/>
      <c r="O549" s="242"/>
      <c r="P549" s="242"/>
      <c r="Q549" s="242"/>
      <c r="R549" s="242"/>
      <c r="S549" s="242"/>
      <c r="T549" s="242"/>
      <c r="U549" s="242"/>
      <c r="V549" s="242"/>
      <c r="W549" s="242"/>
      <c r="X549" s="242"/>
      <c r="Y549" s="242"/>
      <c r="Z549" s="242"/>
      <c r="AA549" s="242"/>
      <c r="AB549" s="242"/>
      <c r="AC549" s="242"/>
      <c r="AD549" s="242"/>
      <c r="AE549" s="242"/>
      <c r="AF549" s="242"/>
      <c r="AG549" s="242"/>
      <c r="AH549" s="242"/>
    </row>
    <row r="550">
      <c r="A550" s="242"/>
      <c r="B550" s="242"/>
      <c r="C550" s="242"/>
      <c r="D550" s="242"/>
      <c r="E550" s="242"/>
      <c r="F550" s="242"/>
      <c r="G550" s="242"/>
      <c r="H550" s="242"/>
      <c r="I550" s="242"/>
      <c r="J550" s="242"/>
      <c r="K550" s="242"/>
      <c r="L550" s="242"/>
      <c r="M550" s="242"/>
      <c r="N550" s="242"/>
      <c r="O550" s="242"/>
      <c r="P550" s="242"/>
      <c r="Q550" s="242"/>
      <c r="R550" s="242"/>
      <c r="S550" s="242"/>
      <c r="T550" s="242"/>
      <c r="U550" s="242"/>
      <c r="V550" s="242"/>
      <c r="W550" s="242"/>
      <c r="X550" s="242"/>
      <c r="Y550" s="242"/>
      <c r="Z550" s="242"/>
      <c r="AA550" s="242"/>
      <c r="AB550" s="242"/>
      <c r="AC550" s="242"/>
      <c r="AD550" s="242"/>
      <c r="AE550" s="242"/>
      <c r="AF550" s="242"/>
      <c r="AG550" s="242"/>
      <c r="AH550" s="242"/>
    </row>
    <row r="551">
      <c r="A551" s="242"/>
      <c r="B551" s="242"/>
      <c r="C551" s="242"/>
      <c r="D551" s="242"/>
      <c r="E551" s="242"/>
      <c r="F551" s="242"/>
      <c r="G551" s="242"/>
      <c r="H551" s="242"/>
      <c r="I551" s="242"/>
      <c r="J551" s="242"/>
      <c r="K551" s="242"/>
      <c r="L551" s="242"/>
      <c r="M551" s="242"/>
      <c r="N551" s="242"/>
      <c r="O551" s="242"/>
      <c r="P551" s="242"/>
      <c r="Q551" s="242"/>
      <c r="R551" s="242"/>
      <c r="S551" s="242"/>
      <c r="T551" s="242"/>
      <c r="U551" s="242"/>
      <c r="V551" s="242"/>
      <c r="W551" s="242"/>
      <c r="X551" s="242"/>
      <c r="Y551" s="242"/>
      <c r="Z551" s="242"/>
      <c r="AA551" s="242"/>
      <c r="AB551" s="242"/>
      <c r="AC551" s="242"/>
      <c r="AD551" s="242"/>
      <c r="AE551" s="242"/>
      <c r="AF551" s="242"/>
      <c r="AG551" s="242"/>
      <c r="AH551" s="242"/>
    </row>
    <row r="552">
      <c r="A552" s="242"/>
      <c r="B552" s="242"/>
      <c r="C552" s="242"/>
      <c r="D552" s="242"/>
      <c r="E552" s="242"/>
      <c r="F552" s="242"/>
      <c r="G552" s="242"/>
      <c r="H552" s="242"/>
      <c r="I552" s="242"/>
      <c r="J552" s="242"/>
      <c r="K552" s="242"/>
      <c r="L552" s="242"/>
      <c r="M552" s="242"/>
      <c r="N552" s="242"/>
      <c r="O552" s="242"/>
      <c r="P552" s="242"/>
      <c r="Q552" s="242"/>
      <c r="R552" s="242"/>
      <c r="S552" s="242"/>
      <c r="T552" s="242"/>
      <c r="U552" s="242"/>
      <c r="V552" s="242"/>
      <c r="W552" s="242"/>
      <c r="X552" s="242"/>
      <c r="Y552" s="242"/>
      <c r="Z552" s="242"/>
      <c r="AA552" s="242"/>
      <c r="AB552" s="242"/>
      <c r="AC552" s="242"/>
      <c r="AD552" s="242"/>
      <c r="AE552" s="242"/>
      <c r="AF552" s="242"/>
      <c r="AG552" s="242"/>
      <c r="AH552" s="242"/>
    </row>
    <row r="553">
      <c r="A553" s="242"/>
      <c r="B553" s="242"/>
      <c r="C553" s="242"/>
      <c r="D553" s="242"/>
      <c r="E553" s="242"/>
      <c r="F553" s="242"/>
      <c r="G553" s="242"/>
      <c r="H553" s="242"/>
      <c r="I553" s="242"/>
      <c r="J553" s="242"/>
      <c r="K553" s="242"/>
      <c r="L553" s="242"/>
      <c r="M553" s="242"/>
      <c r="N553" s="242"/>
      <c r="O553" s="242"/>
      <c r="P553" s="242"/>
      <c r="Q553" s="242"/>
      <c r="R553" s="242"/>
      <c r="S553" s="242"/>
      <c r="T553" s="242"/>
      <c r="U553" s="242"/>
      <c r="V553" s="242"/>
      <c r="W553" s="242"/>
      <c r="X553" s="242"/>
      <c r="Y553" s="242"/>
      <c r="Z553" s="242"/>
      <c r="AA553" s="242"/>
      <c r="AB553" s="242"/>
      <c r="AC553" s="242"/>
      <c r="AD553" s="242"/>
      <c r="AE553" s="242"/>
      <c r="AF553" s="242"/>
      <c r="AG553" s="242"/>
      <c r="AH553" s="242"/>
    </row>
    <row r="554">
      <c r="A554" s="242"/>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c r="AA554" s="242"/>
      <c r="AB554" s="242"/>
      <c r="AC554" s="242"/>
      <c r="AD554" s="242"/>
      <c r="AE554" s="242"/>
      <c r="AF554" s="242"/>
      <c r="AG554" s="242"/>
      <c r="AH554" s="242"/>
    </row>
    <row r="555">
      <c r="A555" s="242"/>
      <c r="B555" s="242"/>
      <c r="C555" s="242"/>
      <c r="D555" s="242"/>
      <c r="E555" s="242"/>
      <c r="F555" s="242"/>
      <c r="G555" s="242"/>
      <c r="H555" s="242"/>
      <c r="I555" s="242"/>
      <c r="J555" s="242"/>
      <c r="K555" s="242"/>
      <c r="L555" s="242"/>
      <c r="M555" s="242"/>
      <c r="N555" s="242"/>
      <c r="O555" s="242"/>
      <c r="P555" s="242"/>
      <c r="Q555" s="242"/>
      <c r="R555" s="242"/>
      <c r="S555" s="242"/>
      <c r="T555" s="242"/>
      <c r="U555" s="242"/>
      <c r="V555" s="242"/>
      <c r="W555" s="242"/>
      <c r="X555" s="242"/>
      <c r="Y555" s="242"/>
      <c r="Z555" s="242"/>
      <c r="AA555" s="242"/>
      <c r="AB555" s="242"/>
      <c r="AC555" s="242"/>
      <c r="AD555" s="242"/>
      <c r="AE555" s="242"/>
      <c r="AF555" s="242"/>
      <c r="AG555" s="242"/>
      <c r="AH555" s="242"/>
    </row>
    <row r="556">
      <c r="A556" s="242"/>
      <c r="B556" s="242"/>
      <c r="C556" s="242"/>
      <c r="D556" s="242"/>
      <c r="E556" s="242"/>
      <c r="F556" s="242"/>
      <c r="G556" s="242"/>
      <c r="H556" s="242"/>
      <c r="I556" s="242"/>
      <c r="J556" s="242"/>
      <c r="K556" s="242"/>
      <c r="L556" s="242"/>
      <c r="M556" s="242"/>
      <c r="N556" s="242"/>
      <c r="O556" s="242"/>
      <c r="P556" s="242"/>
      <c r="Q556" s="242"/>
      <c r="R556" s="242"/>
      <c r="S556" s="242"/>
      <c r="T556" s="242"/>
      <c r="U556" s="242"/>
      <c r="V556" s="242"/>
      <c r="W556" s="242"/>
      <c r="X556" s="242"/>
      <c r="Y556" s="242"/>
      <c r="Z556" s="242"/>
      <c r="AA556" s="242"/>
      <c r="AB556" s="242"/>
      <c r="AC556" s="242"/>
      <c r="AD556" s="242"/>
      <c r="AE556" s="242"/>
      <c r="AF556" s="242"/>
      <c r="AG556" s="242"/>
      <c r="AH556" s="242"/>
    </row>
    <row r="557">
      <c r="A557" s="242"/>
      <c r="B557" s="242"/>
      <c r="C557" s="242"/>
      <c r="D557" s="242"/>
      <c r="E557" s="242"/>
      <c r="F557" s="242"/>
      <c r="G557" s="242"/>
      <c r="H557" s="242"/>
      <c r="I557" s="242"/>
      <c r="J557" s="242"/>
      <c r="K557" s="242"/>
      <c r="L557" s="242"/>
      <c r="M557" s="242"/>
      <c r="N557" s="242"/>
      <c r="O557" s="242"/>
      <c r="P557" s="242"/>
      <c r="Q557" s="242"/>
      <c r="R557" s="242"/>
      <c r="S557" s="242"/>
      <c r="T557" s="242"/>
      <c r="U557" s="242"/>
      <c r="V557" s="242"/>
      <c r="W557" s="242"/>
      <c r="X557" s="242"/>
      <c r="Y557" s="242"/>
      <c r="Z557" s="242"/>
      <c r="AA557" s="242"/>
      <c r="AB557" s="242"/>
      <c r="AC557" s="242"/>
      <c r="AD557" s="242"/>
      <c r="AE557" s="242"/>
      <c r="AF557" s="242"/>
      <c r="AG557" s="242"/>
      <c r="AH557" s="242"/>
    </row>
    <row r="558">
      <c r="A558" s="242"/>
      <c r="B558" s="242"/>
      <c r="C558" s="242"/>
      <c r="D558" s="242"/>
      <c r="E558" s="242"/>
      <c r="F558" s="242"/>
      <c r="G558" s="242"/>
      <c r="H558" s="242"/>
      <c r="I558" s="242"/>
      <c r="J558" s="242"/>
      <c r="K558" s="242"/>
      <c r="L558" s="242"/>
      <c r="M558" s="242"/>
      <c r="N558" s="242"/>
      <c r="O558" s="242"/>
      <c r="P558" s="242"/>
      <c r="Q558" s="242"/>
      <c r="R558" s="242"/>
      <c r="S558" s="242"/>
      <c r="T558" s="242"/>
      <c r="U558" s="242"/>
      <c r="V558" s="242"/>
      <c r="W558" s="242"/>
      <c r="X558" s="242"/>
      <c r="Y558" s="242"/>
      <c r="Z558" s="242"/>
      <c r="AA558" s="242"/>
      <c r="AB558" s="242"/>
      <c r="AC558" s="242"/>
      <c r="AD558" s="242"/>
      <c r="AE558" s="242"/>
      <c r="AF558" s="242"/>
      <c r="AG558" s="242"/>
      <c r="AH558" s="242"/>
    </row>
    <row r="559">
      <c r="A559" s="242"/>
      <c r="B559" s="242"/>
      <c r="C559" s="242"/>
      <c r="D559" s="242"/>
      <c r="E559" s="242"/>
      <c r="F559" s="242"/>
      <c r="G559" s="242"/>
      <c r="H559" s="242"/>
      <c r="I559" s="242"/>
      <c r="J559" s="242"/>
      <c r="K559" s="242"/>
      <c r="L559" s="242"/>
      <c r="M559" s="242"/>
      <c r="N559" s="242"/>
      <c r="O559" s="242"/>
      <c r="P559" s="242"/>
      <c r="Q559" s="242"/>
      <c r="R559" s="242"/>
      <c r="S559" s="242"/>
      <c r="T559" s="242"/>
      <c r="U559" s="242"/>
      <c r="V559" s="242"/>
      <c r="W559" s="242"/>
      <c r="X559" s="242"/>
      <c r="Y559" s="242"/>
      <c r="Z559" s="242"/>
      <c r="AA559" s="242"/>
      <c r="AB559" s="242"/>
      <c r="AC559" s="242"/>
      <c r="AD559" s="242"/>
      <c r="AE559" s="242"/>
      <c r="AF559" s="242"/>
      <c r="AG559" s="242"/>
      <c r="AH559" s="242"/>
    </row>
    <row r="560">
      <c r="A560" s="242"/>
      <c r="B560" s="242"/>
      <c r="C560" s="242"/>
      <c r="D560" s="242"/>
      <c r="E560" s="242"/>
      <c r="F560" s="242"/>
      <c r="G560" s="242"/>
      <c r="H560" s="242"/>
      <c r="I560" s="242"/>
      <c r="J560" s="242"/>
      <c r="K560" s="242"/>
      <c r="L560" s="242"/>
      <c r="M560" s="242"/>
      <c r="N560" s="242"/>
      <c r="O560" s="242"/>
      <c r="P560" s="242"/>
      <c r="Q560" s="242"/>
      <c r="R560" s="242"/>
      <c r="S560" s="242"/>
      <c r="T560" s="242"/>
      <c r="U560" s="242"/>
      <c r="V560" s="242"/>
      <c r="W560" s="242"/>
      <c r="X560" s="242"/>
      <c r="Y560" s="242"/>
      <c r="Z560" s="242"/>
      <c r="AA560" s="242"/>
      <c r="AB560" s="242"/>
      <c r="AC560" s="242"/>
      <c r="AD560" s="242"/>
      <c r="AE560" s="242"/>
      <c r="AF560" s="242"/>
      <c r="AG560" s="242"/>
      <c r="AH560" s="242"/>
    </row>
    <row r="561">
      <c r="A561" s="242"/>
      <c r="B561" s="242"/>
      <c r="C561" s="242"/>
      <c r="D561" s="242"/>
      <c r="E561" s="242"/>
      <c r="F561" s="242"/>
      <c r="G561" s="242"/>
      <c r="H561" s="242"/>
      <c r="I561" s="242"/>
      <c r="J561" s="242"/>
      <c r="K561" s="242"/>
      <c r="L561" s="242"/>
      <c r="M561" s="242"/>
      <c r="N561" s="242"/>
      <c r="O561" s="242"/>
      <c r="P561" s="242"/>
      <c r="Q561" s="242"/>
      <c r="R561" s="242"/>
      <c r="S561" s="242"/>
      <c r="T561" s="242"/>
      <c r="U561" s="242"/>
      <c r="V561" s="242"/>
      <c r="W561" s="242"/>
      <c r="X561" s="242"/>
      <c r="Y561" s="242"/>
      <c r="Z561" s="242"/>
      <c r="AA561" s="242"/>
      <c r="AB561" s="242"/>
      <c r="AC561" s="242"/>
      <c r="AD561" s="242"/>
      <c r="AE561" s="242"/>
      <c r="AF561" s="242"/>
      <c r="AG561" s="242"/>
      <c r="AH561" s="242"/>
    </row>
    <row r="562">
      <c r="A562" s="242"/>
      <c r="B562" s="242"/>
      <c r="C562" s="242"/>
      <c r="D562" s="242"/>
      <c r="E562" s="242"/>
      <c r="F562" s="242"/>
      <c r="G562" s="242"/>
      <c r="H562" s="242"/>
      <c r="I562" s="242"/>
      <c r="J562" s="242"/>
      <c r="K562" s="242"/>
      <c r="L562" s="242"/>
      <c r="M562" s="242"/>
      <c r="N562" s="242"/>
      <c r="O562" s="242"/>
      <c r="P562" s="242"/>
      <c r="Q562" s="242"/>
      <c r="R562" s="242"/>
      <c r="S562" s="242"/>
      <c r="T562" s="242"/>
      <c r="U562" s="242"/>
      <c r="V562" s="242"/>
      <c r="W562" s="242"/>
      <c r="X562" s="242"/>
      <c r="Y562" s="242"/>
      <c r="Z562" s="242"/>
      <c r="AA562" s="242"/>
      <c r="AB562" s="242"/>
      <c r="AC562" s="242"/>
      <c r="AD562" s="242"/>
      <c r="AE562" s="242"/>
      <c r="AF562" s="242"/>
      <c r="AG562" s="242"/>
      <c r="AH562" s="242"/>
    </row>
    <row r="563">
      <c r="A563" s="242"/>
      <c r="B563" s="242"/>
      <c r="C563" s="242"/>
      <c r="D563" s="242"/>
      <c r="E563" s="242"/>
      <c r="F563" s="242"/>
      <c r="G563" s="242"/>
      <c r="H563" s="242"/>
      <c r="I563" s="242"/>
      <c r="J563" s="242"/>
      <c r="K563" s="242"/>
      <c r="L563" s="242"/>
      <c r="M563" s="242"/>
      <c r="N563" s="242"/>
      <c r="O563" s="242"/>
      <c r="P563" s="242"/>
      <c r="Q563" s="242"/>
      <c r="R563" s="242"/>
      <c r="S563" s="242"/>
      <c r="T563" s="242"/>
      <c r="U563" s="242"/>
      <c r="V563" s="242"/>
      <c r="W563" s="242"/>
      <c r="X563" s="242"/>
      <c r="Y563" s="242"/>
      <c r="Z563" s="242"/>
      <c r="AA563" s="242"/>
      <c r="AB563" s="242"/>
      <c r="AC563" s="242"/>
      <c r="AD563" s="242"/>
      <c r="AE563" s="242"/>
      <c r="AF563" s="242"/>
      <c r="AG563" s="242"/>
      <c r="AH563" s="242"/>
    </row>
    <row r="564">
      <c r="A564" s="242"/>
      <c r="B564" s="242"/>
      <c r="C564" s="242"/>
      <c r="D564" s="242"/>
      <c r="E564" s="242"/>
      <c r="F564" s="242"/>
      <c r="G564" s="242"/>
      <c r="H564" s="242"/>
      <c r="I564" s="242"/>
      <c r="J564" s="242"/>
      <c r="K564" s="242"/>
      <c r="L564" s="242"/>
      <c r="M564" s="242"/>
      <c r="N564" s="242"/>
      <c r="O564" s="242"/>
      <c r="P564" s="242"/>
      <c r="Q564" s="242"/>
      <c r="R564" s="242"/>
      <c r="S564" s="242"/>
      <c r="T564" s="242"/>
      <c r="U564" s="242"/>
      <c r="V564" s="242"/>
      <c r="W564" s="242"/>
      <c r="X564" s="242"/>
      <c r="Y564" s="242"/>
      <c r="Z564" s="242"/>
      <c r="AA564" s="242"/>
      <c r="AB564" s="242"/>
      <c r="AC564" s="242"/>
      <c r="AD564" s="242"/>
      <c r="AE564" s="242"/>
      <c r="AF564" s="242"/>
      <c r="AG564" s="242"/>
      <c r="AH564" s="242"/>
    </row>
    <row r="565">
      <c r="A565" s="242"/>
      <c r="B565" s="242"/>
      <c r="C565" s="242"/>
      <c r="D565" s="242"/>
      <c r="E565" s="242"/>
      <c r="F565" s="242"/>
      <c r="G565" s="242"/>
      <c r="H565" s="242"/>
      <c r="I565" s="242"/>
      <c r="J565" s="242"/>
      <c r="K565" s="242"/>
      <c r="L565" s="242"/>
      <c r="M565" s="242"/>
      <c r="N565" s="242"/>
      <c r="O565" s="242"/>
      <c r="P565" s="242"/>
      <c r="Q565" s="242"/>
      <c r="R565" s="242"/>
      <c r="S565" s="242"/>
      <c r="T565" s="242"/>
      <c r="U565" s="242"/>
      <c r="V565" s="242"/>
      <c r="W565" s="242"/>
      <c r="X565" s="242"/>
      <c r="Y565" s="242"/>
      <c r="Z565" s="242"/>
      <c r="AA565" s="242"/>
      <c r="AB565" s="242"/>
      <c r="AC565" s="242"/>
      <c r="AD565" s="242"/>
      <c r="AE565" s="242"/>
      <c r="AF565" s="242"/>
      <c r="AG565" s="242"/>
      <c r="AH565" s="242"/>
    </row>
    <row r="566">
      <c r="A566" s="242"/>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c r="AA566" s="242"/>
      <c r="AB566" s="242"/>
      <c r="AC566" s="242"/>
      <c r="AD566" s="242"/>
      <c r="AE566" s="242"/>
      <c r="AF566" s="242"/>
      <c r="AG566" s="242"/>
      <c r="AH566" s="242"/>
    </row>
    <row r="567">
      <c r="A567" s="242"/>
      <c r="B567" s="242"/>
      <c r="C567" s="242"/>
      <c r="D567" s="242"/>
      <c r="E567" s="242"/>
      <c r="F567" s="242"/>
      <c r="G567" s="242"/>
      <c r="H567" s="242"/>
      <c r="I567" s="242"/>
      <c r="J567" s="242"/>
      <c r="K567" s="242"/>
      <c r="L567" s="242"/>
      <c r="M567" s="242"/>
      <c r="N567" s="242"/>
      <c r="O567" s="242"/>
      <c r="P567" s="242"/>
      <c r="Q567" s="242"/>
      <c r="R567" s="242"/>
      <c r="S567" s="242"/>
      <c r="T567" s="242"/>
      <c r="U567" s="242"/>
      <c r="V567" s="242"/>
      <c r="W567" s="242"/>
      <c r="X567" s="242"/>
      <c r="Y567" s="242"/>
      <c r="Z567" s="242"/>
      <c r="AA567" s="242"/>
      <c r="AB567" s="242"/>
      <c r="AC567" s="242"/>
      <c r="AD567" s="242"/>
      <c r="AE567" s="242"/>
      <c r="AF567" s="242"/>
      <c r="AG567" s="242"/>
      <c r="AH567" s="242"/>
    </row>
    <row r="568">
      <c r="A568" s="242"/>
      <c r="B568" s="242"/>
      <c r="C568" s="242"/>
      <c r="D568" s="242"/>
      <c r="E568" s="242"/>
      <c r="F568" s="242"/>
      <c r="G568" s="242"/>
      <c r="H568" s="242"/>
      <c r="I568" s="242"/>
      <c r="J568" s="242"/>
      <c r="K568" s="242"/>
      <c r="L568" s="242"/>
      <c r="M568" s="242"/>
      <c r="N568" s="242"/>
      <c r="O568" s="242"/>
      <c r="P568" s="242"/>
      <c r="Q568" s="242"/>
      <c r="R568" s="242"/>
      <c r="S568" s="242"/>
      <c r="T568" s="242"/>
      <c r="U568" s="242"/>
      <c r="V568" s="242"/>
      <c r="W568" s="242"/>
      <c r="X568" s="242"/>
      <c r="Y568" s="242"/>
      <c r="Z568" s="242"/>
      <c r="AA568" s="242"/>
      <c r="AB568" s="242"/>
      <c r="AC568" s="242"/>
      <c r="AD568" s="242"/>
      <c r="AE568" s="242"/>
      <c r="AF568" s="242"/>
      <c r="AG568" s="242"/>
      <c r="AH568" s="242"/>
    </row>
    <row r="569">
      <c r="A569" s="242"/>
      <c r="B569" s="242"/>
      <c r="C569" s="242"/>
      <c r="D569" s="242"/>
      <c r="E569" s="242"/>
      <c r="F569" s="242"/>
      <c r="G569" s="242"/>
      <c r="H569" s="242"/>
      <c r="I569" s="242"/>
      <c r="J569" s="242"/>
      <c r="K569" s="242"/>
      <c r="L569" s="242"/>
      <c r="M569" s="242"/>
      <c r="N569" s="242"/>
      <c r="O569" s="242"/>
      <c r="P569" s="242"/>
      <c r="Q569" s="242"/>
      <c r="R569" s="242"/>
      <c r="S569" s="242"/>
      <c r="T569" s="242"/>
      <c r="U569" s="242"/>
      <c r="V569" s="242"/>
      <c r="W569" s="242"/>
      <c r="X569" s="242"/>
      <c r="Y569" s="242"/>
      <c r="Z569" s="242"/>
      <c r="AA569" s="242"/>
      <c r="AB569" s="242"/>
      <c r="AC569" s="242"/>
      <c r="AD569" s="242"/>
      <c r="AE569" s="242"/>
      <c r="AF569" s="242"/>
      <c r="AG569" s="242"/>
      <c r="AH569" s="242"/>
    </row>
    <row r="570">
      <c r="A570" s="242"/>
      <c r="B570" s="242"/>
      <c r="C570" s="242"/>
      <c r="D570" s="242"/>
      <c r="E570" s="242"/>
      <c r="F570" s="242"/>
      <c r="G570" s="242"/>
      <c r="H570" s="242"/>
      <c r="I570" s="242"/>
      <c r="J570" s="242"/>
      <c r="K570" s="242"/>
      <c r="L570" s="242"/>
      <c r="M570" s="242"/>
      <c r="N570" s="242"/>
      <c r="O570" s="242"/>
      <c r="P570" s="242"/>
      <c r="Q570" s="242"/>
      <c r="R570" s="242"/>
      <c r="S570" s="242"/>
      <c r="T570" s="242"/>
      <c r="U570" s="242"/>
      <c r="V570" s="242"/>
      <c r="W570" s="242"/>
      <c r="X570" s="242"/>
      <c r="Y570" s="242"/>
      <c r="Z570" s="242"/>
      <c r="AA570" s="242"/>
      <c r="AB570" s="242"/>
      <c r="AC570" s="242"/>
      <c r="AD570" s="242"/>
      <c r="AE570" s="242"/>
      <c r="AF570" s="242"/>
      <c r="AG570" s="242"/>
      <c r="AH570" s="242"/>
    </row>
    <row r="571">
      <c r="A571" s="242"/>
      <c r="B571" s="242"/>
      <c r="C571" s="242"/>
      <c r="D571" s="242"/>
      <c r="E571" s="242"/>
      <c r="F571" s="242"/>
      <c r="G571" s="242"/>
      <c r="H571" s="242"/>
      <c r="I571" s="242"/>
      <c r="J571" s="242"/>
      <c r="K571" s="242"/>
      <c r="L571" s="242"/>
      <c r="M571" s="242"/>
      <c r="N571" s="242"/>
      <c r="O571" s="242"/>
      <c r="P571" s="242"/>
      <c r="Q571" s="242"/>
      <c r="R571" s="242"/>
      <c r="S571" s="242"/>
      <c r="T571" s="242"/>
      <c r="U571" s="242"/>
      <c r="V571" s="242"/>
      <c r="W571" s="242"/>
      <c r="X571" s="242"/>
      <c r="Y571" s="242"/>
      <c r="Z571" s="242"/>
      <c r="AA571" s="242"/>
      <c r="AB571" s="242"/>
      <c r="AC571" s="242"/>
      <c r="AD571" s="242"/>
      <c r="AE571" s="242"/>
      <c r="AF571" s="242"/>
      <c r="AG571" s="242"/>
      <c r="AH571" s="242"/>
    </row>
    <row r="572">
      <c r="A572" s="242"/>
      <c r="B572" s="242"/>
      <c r="C572" s="242"/>
      <c r="D572" s="242"/>
      <c r="E572" s="242"/>
      <c r="F572" s="242"/>
      <c r="G572" s="242"/>
      <c r="H572" s="242"/>
      <c r="I572" s="242"/>
      <c r="J572" s="242"/>
      <c r="K572" s="242"/>
      <c r="L572" s="242"/>
      <c r="M572" s="242"/>
      <c r="N572" s="242"/>
      <c r="O572" s="242"/>
      <c r="P572" s="242"/>
      <c r="Q572" s="242"/>
      <c r="R572" s="242"/>
      <c r="S572" s="242"/>
      <c r="T572" s="242"/>
      <c r="U572" s="242"/>
      <c r="V572" s="242"/>
      <c r="W572" s="242"/>
      <c r="X572" s="242"/>
      <c r="Y572" s="242"/>
      <c r="Z572" s="242"/>
      <c r="AA572" s="242"/>
      <c r="AB572" s="242"/>
      <c r="AC572" s="242"/>
      <c r="AD572" s="242"/>
      <c r="AE572" s="242"/>
      <c r="AF572" s="242"/>
      <c r="AG572" s="242"/>
      <c r="AH572" s="242"/>
    </row>
    <row r="573">
      <c r="A573" s="242"/>
      <c r="B573" s="242"/>
      <c r="C573" s="242"/>
      <c r="D573" s="242"/>
      <c r="E573" s="242"/>
      <c r="F573" s="242"/>
      <c r="G573" s="242"/>
      <c r="H573" s="242"/>
      <c r="I573" s="242"/>
      <c r="J573" s="242"/>
      <c r="K573" s="242"/>
      <c r="L573" s="242"/>
      <c r="M573" s="242"/>
      <c r="N573" s="242"/>
      <c r="O573" s="242"/>
      <c r="P573" s="242"/>
      <c r="Q573" s="242"/>
      <c r="R573" s="242"/>
      <c r="S573" s="242"/>
      <c r="T573" s="242"/>
      <c r="U573" s="242"/>
      <c r="V573" s="242"/>
      <c r="W573" s="242"/>
      <c r="X573" s="242"/>
      <c r="Y573" s="242"/>
      <c r="Z573" s="242"/>
      <c r="AA573" s="242"/>
      <c r="AB573" s="242"/>
      <c r="AC573" s="242"/>
      <c r="AD573" s="242"/>
      <c r="AE573" s="242"/>
      <c r="AF573" s="242"/>
      <c r="AG573" s="242"/>
      <c r="AH573" s="242"/>
    </row>
    <row r="574">
      <c r="A574" s="242"/>
      <c r="B574" s="242"/>
      <c r="C574" s="242"/>
      <c r="D574" s="242"/>
      <c r="E574" s="242"/>
      <c r="F574" s="242"/>
      <c r="G574" s="242"/>
      <c r="H574" s="242"/>
      <c r="I574" s="242"/>
      <c r="J574" s="242"/>
      <c r="K574" s="242"/>
      <c r="L574" s="242"/>
      <c r="M574" s="242"/>
      <c r="N574" s="242"/>
      <c r="O574" s="242"/>
      <c r="P574" s="242"/>
      <c r="Q574" s="242"/>
      <c r="R574" s="242"/>
      <c r="S574" s="242"/>
      <c r="T574" s="242"/>
      <c r="U574" s="242"/>
      <c r="V574" s="242"/>
      <c r="W574" s="242"/>
      <c r="X574" s="242"/>
      <c r="Y574" s="242"/>
      <c r="Z574" s="242"/>
      <c r="AA574" s="242"/>
      <c r="AB574" s="242"/>
      <c r="AC574" s="242"/>
      <c r="AD574" s="242"/>
      <c r="AE574" s="242"/>
      <c r="AF574" s="242"/>
      <c r="AG574" s="242"/>
      <c r="AH574" s="242"/>
    </row>
    <row r="575">
      <c r="A575" s="242"/>
      <c r="B575" s="242"/>
      <c r="C575" s="242"/>
      <c r="D575" s="242"/>
      <c r="E575" s="242"/>
      <c r="F575" s="242"/>
      <c r="G575" s="242"/>
      <c r="H575" s="242"/>
      <c r="I575" s="242"/>
      <c r="J575" s="242"/>
      <c r="K575" s="242"/>
      <c r="L575" s="242"/>
      <c r="M575" s="242"/>
      <c r="N575" s="242"/>
      <c r="O575" s="242"/>
      <c r="P575" s="242"/>
      <c r="Q575" s="242"/>
      <c r="R575" s="242"/>
      <c r="S575" s="242"/>
      <c r="T575" s="242"/>
      <c r="U575" s="242"/>
      <c r="V575" s="242"/>
      <c r="W575" s="242"/>
      <c r="X575" s="242"/>
      <c r="Y575" s="242"/>
      <c r="Z575" s="242"/>
      <c r="AA575" s="242"/>
      <c r="AB575" s="242"/>
      <c r="AC575" s="242"/>
      <c r="AD575" s="242"/>
      <c r="AE575" s="242"/>
      <c r="AF575" s="242"/>
      <c r="AG575" s="242"/>
      <c r="AH575" s="242"/>
    </row>
    <row r="576">
      <c r="A576" s="242"/>
      <c r="B576" s="242"/>
      <c r="C576" s="242"/>
      <c r="D576" s="242"/>
      <c r="E576" s="242"/>
      <c r="F576" s="242"/>
      <c r="G576" s="242"/>
      <c r="H576" s="242"/>
      <c r="I576" s="242"/>
      <c r="J576" s="242"/>
      <c r="K576" s="242"/>
      <c r="L576" s="242"/>
      <c r="M576" s="242"/>
      <c r="N576" s="242"/>
      <c r="O576" s="242"/>
      <c r="P576" s="242"/>
      <c r="Q576" s="242"/>
      <c r="R576" s="242"/>
      <c r="S576" s="242"/>
      <c r="T576" s="242"/>
      <c r="U576" s="242"/>
      <c r="V576" s="242"/>
      <c r="W576" s="242"/>
      <c r="X576" s="242"/>
      <c r="Y576" s="242"/>
      <c r="Z576" s="242"/>
      <c r="AA576" s="242"/>
      <c r="AB576" s="242"/>
      <c r="AC576" s="242"/>
      <c r="AD576" s="242"/>
      <c r="AE576" s="242"/>
      <c r="AF576" s="242"/>
      <c r="AG576" s="242"/>
      <c r="AH576" s="242"/>
    </row>
    <row r="577">
      <c r="A577" s="242"/>
      <c r="B577" s="242"/>
      <c r="C577" s="242"/>
      <c r="D577" s="242"/>
      <c r="E577" s="242"/>
      <c r="F577" s="242"/>
      <c r="G577" s="242"/>
      <c r="H577" s="242"/>
      <c r="I577" s="242"/>
      <c r="J577" s="242"/>
      <c r="K577" s="242"/>
      <c r="L577" s="242"/>
      <c r="M577" s="242"/>
      <c r="N577" s="242"/>
      <c r="O577" s="242"/>
      <c r="P577" s="242"/>
      <c r="Q577" s="242"/>
      <c r="R577" s="242"/>
      <c r="S577" s="242"/>
      <c r="T577" s="242"/>
      <c r="U577" s="242"/>
      <c r="V577" s="242"/>
      <c r="W577" s="242"/>
      <c r="X577" s="242"/>
      <c r="Y577" s="242"/>
      <c r="Z577" s="242"/>
      <c r="AA577" s="242"/>
      <c r="AB577" s="242"/>
      <c r="AC577" s="242"/>
      <c r="AD577" s="242"/>
      <c r="AE577" s="242"/>
      <c r="AF577" s="242"/>
      <c r="AG577" s="242"/>
      <c r="AH577" s="242"/>
    </row>
    <row r="578">
      <c r="A578" s="242"/>
      <c r="B578" s="242"/>
      <c r="C578" s="242"/>
      <c r="D578" s="242"/>
      <c r="E578" s="242"/>
      <c r="F578" s="242"/>
      <c r="G578" s="242"/>
      <c r="H578" s="242"/>
      <c r="I578" s="242"/>
      <c r="J578" s="242"/>
      <c r="K578" s="242"/>
      <c r="L578" s="242"/>
      <c r="M578" s="242"/>
      <c r="N578" s="242"/>
      <c r="O578" s="242"/>
      <c r="P578" s="242"/>
      <c r="Q578" s="242"/>
      <c r="R578" s="242"/>
      <c r="S578" s="242"/>
      <c r="T578" s="242"/>
      <c r="U578" s="242"/>
      <c r="V578" s="242"/>
      <c r="W578" s="242"/>
      <c r="X578" s="242"/>
      <c r="Y578" s="242"/>
      <c r="Z578" s="242"/>
      <c r="AA578" s="242"/>
      <c r="AB578" s="242"/>
      <c r="AC578" s="242"/>
      <c r="AD578" s="242"/>
      <c r="AE578" s="242"/>
      <c r="AF578" s="242"/>
      <c r="AG578" s="242"/>
      <c r="AH578" s="242"/>
    </row>
    <row r="579">
      <c r="A579" s="242"/>
      <c r="B579" s="242"/>
      <c r="C579" s="242"/>
      <c r="D579" s="242"/>
      <c r="E579" s="242"/>
      <c r="F579" s="242"/>
      <c r="G579" s="242"/>
      <c r="H579" s="242"/>
      <c r="I579" s="242"/>
      <c r="J579" s="242"/>
      <c r="K579" s="242"/>
      <c r="L579" s="242"/>
      <c r="M579" s="242"/>
      <c r="N579" s="242"/>
      <c r="O579" s="242"/>
      <c r="P579" s="242"/>
      <c r="Q579" s="242"/>
      <c r="R579" s="242"/>
      <c r="S579" s="242"/>
      <c r="T579" s="242"/>
      <c r="U579" s="242"/>
      <c r="V579" s="242"/>
      <c r="W579" s="242"/>
      <c r="X579" s="242"/>
      <c r="Y579" s="242"/>
      <c r="Z579" s="242"/>
      <c r="AA579" s="242"/>
      <c r="AB579" s="242"/>
      <c r="AC579" s="242"/>
      <c r="AD579" s="242"/>
      <c r="AE579" s="242"/>
      <c r="AF579" s="242"/>
      <c r="AG579" s="242"/>
      <c r="AH579" s="242"/>
    </row>
    <row r="580">
      <c r="A580" s="242"/>
      <c r="B580" s="242"/>
      <c r="C580" s="242"/>
      <c r="D580" s="242"/>
      <c r="E580" s="242"/>
      <c r="F580" s="242"/>
      <c r="G580" s="242"/>
      <c r="H580" s="242"/>
      <c r="I580" s="242"/>
      <c r="J580" s="242"/>
      <c r="K580" s="242"/>
      <c r="L580" s="242"/>
      <c r="M580" s="242"/>
      <c r="N580" s="242"/>
      <c r="O580" s="242"/>
      <c r="P580" s="242"/>
      <c r="Q580" s="242"/>
      <c r="R580" s="242"/>
      <c r="S580" s="242"/>
      <c r="T580" s="242"/>
      <c r="U580" s="242"/>
      <c r="V580" s="242"/>
      <c r="W580" s="242"/>
      <c r="X580" s="242"/>
      <c r="Y580" s="242"/>
      <c r="Z580" s="242"/>
      <c r="AA580" s="242"/>
      <c r="AB580" s="242"/>
      <c r="AC580" s="242"/>
      <c r="AD580" s="242"/>
      <c r="AE580" s="242"/>
      <c r="AF580" s="242"/>
      <c r="AG580" s="242"/>
      <c r="AH580" s="242"/>
    </row>
    <row r="581">
      <c r="A581" s="242"/>
      <c r="B581" s="242"/>
      <c r="C581" s="242"/>
      <c r="D581" s="242"/>
      <c r="E581" s="242"/>
      <c r="F581" s="242"/>
      <c r="G581" s="242"/>
      <c r="H581" s="242"/>
      <c r="I581" s="242"/>
      <c r="J581" s="242"/>
      <c r="K581" s="242"/>
      <c r="L581" s="242"/>
      <c r="M581" s="242"/>
      <c r="N581" s="242"/>
      <c r="O581" s="242"/>
      <c r="P581" s="242"/>
      <c r="Q581" s="242"/>
      <c r="R581" s="242"/>
      <c r="S581" s="242"/>
      <c r="T581" s="242"/>
      <c r="U581" s="242"/>
      <c r="V581" s="242"/>
      <c r="W581" s="242"/>
      <c r="X581" s="242"/>
      <c r="Y581" s="242"/>
      <c r="Z581" s="242"/>
      <c r="AA581" s="242"/>
      <c r="AB581" s="242"/>
      <c r="AC581" s="242"/>
      <c r="AD581" s="242"/>
      <c r="AE581" s="242"/>
      <c r="AF581" s="242"/>
      <c r="AG581" s="242"/>
      <c r="AH581" s="242"/>
    </row>
    <row r="582">
      <c r="A582" s="242"/>
      <c r="B582" s="242"/>
      <c r="C582" s="242"/>
      <c r="D582" s="242"/>
      <c r="E582" s="242"/>
      <c r="F582" s="242"/>
      <c r="G582" s="242"/>
      <c r="H582" s="242"/>
      <c r="I582" s="242"/>
      <c r="J582" s="242"/>
      <c r="K582" s="242"/>
      <c r="L582" s="242"/>
      <c r="M582" s="242"/>
      <c r="N582" s="242"/>
      <c r="O582" s="242"/>
      <c r="P582" s="242"/>
      <c r="Q582" s="242"/>
      <c r="R582" s="242"/>
      <c r="S582" s="242"/>
      <c r="T582" s="242"/>
      <c r="U582" s="242"/>
      <c r="V582" s="242"/>
      <c r="W582" s="242"/>
      <c r="X582" s="242"/>
      <c r="Y582" s="242"/>
      <c r="Z582" s="242"/>
      <c r="AA582" s="242"/>
      <c r="AB582" s="242"/>
      <c r="AC582" s="242"/>
      <c r="AD582" s="242"/>
      <c r="AE582" s="242"/>
      <c r="AF582" s="242"/>
      <c r="AG582" s="242"/>
      <c r="AH582" s="242"/>
    </row>
    <row r="583">
      <c r="A583" s="242"/>
      <c r="B583" s="242"/>
      <c r="C583" s="242"/>
      <c r="D583" s="242"/>
      <c r="E583" s="242"/>
      <c r="F583" s="242"/>
      <c r="G583" s="242"/>
      <c r="H583" s="242"/>
      <c r="I583" s="242"/>
      <c r="J583" s="242"/>
      <c r="K583" s="242"/>
      <c r="L583" s="242"/>
      <c r="M583" s="242"/>
      <c r="N583" s="242"/>
      <c r="O583" s="242"/>
      <c r="P583" s="242"/>
      <c r="Q583" s="242"/>
      <c r="R583" s="242"/>
      <c r="S583" s="242"/>
      <c r="T583" s="242"/>
      <c r="U583" s="242"/>
      <c r="V583" s="242"/>
      <c r="W583" s="242"/>
      <c r="X583" s="242"/>
      <c r="Y583" s="242"/>
      <c r="Z583" s="242"/>
      <c r="AA583" s="242"/>
      <c r="AB583" s="242"/>
      <c r="AC583" s="242"/>
      <c r="AD583" s="242"/>
      <c r="AE583" s="242"/>
      <c r="AF583" s="242"/>
      <c r="AG583" s="242"/>
      <c r="AH583" s="242"/>
    </row>
    <row r="584">
      <c r="A584" s="242"/>
      <c r="B584" s="242"/>
      <c r="C584" s="242"/>
      <c r="D584" s="242"/>
      <c r="E584" s="242"/>
      <c r="F584" s="242"/>
      <c r="G584" s="242"/>
      <c r="H584" s="242"/>
      <c r="I584" s="242"/>
      <c r="J584" s="242"/>
      <c r="K584" s="242"/>
      <c r="L584" s="242"/>
      <c r="M584" s="242"/>
      <c r="N584" s="242"/>
      <c r="O584" s="242"/>
      <c r="P584" s="242"/>
      <c r="Q584" s="242"/>
      <c r="R584" s="242"/>
      <c r="S584" s="242"/>
      <c r="T584" s="242"/>
      <c r="U584" s="242"/>
      <c r="V584" s="242"/>
      <c r="W584" s="242"/>
      <c r="X584" s="242"/>
      <c r="Y584" s="242"/>
      <c r="Z584" s="242"/>
      <c r="AA584" s="242"/>
      <c r="AB584" s="242"/>
      <c r="AC584" s="242"/>
      <c r="AD584" s="242"/>
      <c r="AE584" s="242"/>
      <c r="AF584" s="242"/>
      <c r="AG584" s="242"/>
      <c r="AH584" s="242"/>
    </row>
    <row r="585">
      <c r="A585" s="242"/>
      <c r="B585" s="242"/>
      <c r="C585" s="242"/>
      <c r="D585" s="242"/>
      <c r="E585" s="242"/>
      <c r="F585" s="242"/>
      <c r="G585" s="242"/>
      <c r="H585" s="242"/>
      <c r="I585" s="242"/>
      <c r="J585" s="242"/>
      <c r="K585" s="242"/>
      <c r="L585" s="242"/>
      <c r="M585" s="242"/>
      <c r="N585" s="242"/>
      <c r="O585" s="242"/>
      <c r="P585" s="242"/>
      <c r="Q585" s="242"/>
      <c r="R585" s="242"/>
      <c r="S585" s="242"/>
      <c r="T585" s="242"/>
      <c r="U585" s="242"/>
      <c r="V585" s="242"/>
      <c r="W585" s="242"/>
      <c r="X585" s="242"/>
      <c r="Y585" s="242"/>
      <c r="Z585" s="242"/>
      <c r="AA585" s="242"/>
      <c r="AB585" s="242"/>
      <c r="AC585" s="242"/>
      <c r="AD585" s="242"/>
      <c r="AE585" s="242"/>
      <c r="AF585" s="242"/>
      <c r="AG585" s="242"/>
      <c r="AH585" s="242"/>
    </row>
    <row r="586">
      <c r="A586" s="242"/>
      <c r="B586" s="242"/>
      <c r="C586" s="242"/>
      <c r="D586" s="242"/>
      <c r="E586" s="242"/>
      <c r="F586" s="242"/>
      <c r="G586" s="242"/>
      <c r="H586" s="242"/>
      <c r="I586" s="242"/>
      <c r="J586" s="242"/>
      <c r="K586" s="242"/>
      <c r="L586" s="242"/>
      <c r="M586" s="242"/>
      <c r="N586" s="242"/>
      <c r="O586" s="242"/>
      <c r="P586" s="242"/>
      <c r="Q586" s="242"/>
      <c r="R586" s="242"/>
      <c r="S586" s="242"/>
      <c r="T586" s="242"/>
      <c r="U586" s="242"/>
      <c r="V586" s="242"/>
      <c r="W586" s="242"/>
      <c r="X586" s="242"/>
      <c r="Y586" s="242"/>
      <c r="Z586" s="242"/>
      <c r="AA586" s="242"/>
      <c r="AB586" s="242"/>
      <c r="AC586" s="242"/>
      <c r="AD586" s="242"/>
      <c r="AE586" s="242"/>
      <c r="AF586" s="242"/>
      <c r="AG586" s="242"/>
      <c r="AH586" s="242"/>
    </row>
    <row r="587">
      <c r="A587" s="242"/>
      <c r="B587" s="242"/>
      <c r="C587" s="242"/>
      <c r="D587" s="242"/>
      <c r="E587" s="242"/>
      <c r="F587" s="242"/>
      <c r="G587" s="242"/>
      <c r="H587" s="242"/>
      <c r="I587" s="242"/>
      <c r="J587" s="242"/>
      <c r="K587" s="242"/>
      <c r="L587" s="242"/>
      <c r="M587" s="242"/>
      <c r="N587" s="242"/>
      <c r="O587" s="242"/>
      <c r="P587" s="242"/>
      <c r="Q587" s="242"/>
      <c r="R587" s="242"/>
      <c r="S587" s="242"/>
      <c r="T587" s="242"/>
      <c r="U587" s="242"/>
      <c r="V587" s="242"/>
      <c r="W587" s="242"/>
      <c r="X587" s="242"/>
      <c r="Y587" s="242"/>
      <c r="Z587" s="242"/>
      <c r="AA587" s="242"/>
      <c r="AB587" s="242"/>
      <c r="AC587" s="242"/>
      <c r="AD587" s="242"/>
      <c r="AE587" s="242"/>
      <c r="AF587" s="242"/>
      <c r="AG587" s="242"/>
      <c r="AH587" s="242"/>
    </row>
    <row r="588">
      <c r="A588" s="242"/>
      <c r="B588" s="242"/>
      <c r="C588" s="242"/>
      <c r="D588" s="242"/>
      <c r="E588" s="242"/>
      <c r="F588" s="242"/>
      <c r="G588" s="242"/>
      <c r="H588" s="242"/>
      <c r="I588" s="242"/>
      <c r="J588" s="242"/>
      <c r="K588" s="242"/>
      <c r="L588" s="242"/>
      <c r="M588" s="242"/>
      <c r="N588" s="242"/>
      <c r="O588" s="242"/>
      <c r="P588" s="242"/>
      <c r="Q588" s="242"/>
      <c r="R588" s="242"/>
      <c r="S588" s="242"/>
      <c r="T588" s="242"/>
      <c r="U588" s="242"/>
      <c r="V588" s="242"/>
      <c r="W588" s="242"/>
      <c r="X588" s="242"/>
      <c r="Y588" s="242"/>
      <c r="Z588" s="242"/>
      <c r="AA588" s="242"/>
      <c r="AB588" s="242"/>
      <c r="AC588" s="242"/>
      <c r="AD588" s="242"/>
      <c r="AE588" s="242"/>
      <c r="AF588" s="242"/>
      <c r="AG588" s="242"/>
      <c r="AH588" s="242"/>
    </row>
    <row r="589">
      <c r="A589" s="242"/>
      <c r="B589" s="242"/>
      <c r="C589" s="242"/>
      <c r="D589" s="242"/>
      <c r="E589" s="242"/>
      <c r="F589" s="242"/>
      <c r="G589" s="242"/>
      <c r="H589" s="242"/>
      <c r="I589" s="242"/>
      <c r="J589" s="242"/>
      <c r="K589" s="242"/>
      <c r="L589" s="242"/>
      <c r="M589" s="242"/>
      <c r="N589" s="242"/>
      <c r="O589" s="242"/>
      <c r="P589" s="242"/>
      <c r="Q589" s="242"/>
      <c r="R589" s="242"/>
      <c r="S589" s="242"/>
      <c r="T589" s="242"/>
      <c r="U589" s="242"/>
      <c r="V589" s="242"/>
      <c r="W589" s="242"/>
      <c r="X589" s="242"/>
      <c r="Y589" s="242"/>
      <c r="Z589" s="242"/>
      <c r="AA589" s="242"/>
      <c r="AB589" s="242"/>
      <c r="AC589" s="242"/>
      <c r="AD589" s="242"/>
      <c r="AE589" s="242"/>
      <c r="AF589" s="242"/>
      <c r="AG589" s="242"/>
      <c r="AH589" s="242"/>
    </row>
    <row r="590">
      <c r="A590" s="242"/>
      <c r="B590" s="242"/>
      <c r="C590" s="242"/>
      <c r="D590" s="242"/>
      <c r="E590" s="242"/>
      <c r="F590" s="242"/>
      <c r="G590" s="242"/>
      <c r="H590" s="242"/>
      <c r="I590" s="242"/>
      <c r="J590" s="242"/>
      <c r="K590" s="242"/>
      <c r="L590" s="242"/>
      <c r="M590" s="242"/>
      <c r="N590" s="242"/>
      <c r="O590" s="242"/>
      <c r="P590" s="242"/>
      <c r="Q590" s="242"/>
      <c r="R590" s="242"/>
      <c r="S590" s="242"/>
      <c r="T590" s="242"/>
      <c r="U590" s="242"/>
      <c r="V590" s="242"/>
      <c r="W590" s="242"/>
      <c r="X590" s="242"/>
      <c r="Y590" s="242"/>
      <c r="Z590" s="242"/>
      <c r="AA590" s="242"/>
      <c r="AB590" s="242"/>
      <c r="AC590" s="242"/>
      <c r="AD590" s="242"/>
      <c r="AE590" s="242"/>
      <c r="AF590" s="242"/>
      <c r="AG590" s="242"/>
      <c r="AH590" s="242"/>
    </row>
    <row r="591">
      <c r="A591" s="242"/>
      <c r="B591" s="242"/>
      <c r="C591" s="242"/>
      <c r="D591" s="242"/>
      <c r="E591" s="242"/>
      <c r="F591" s="242"/>
      <c r="G591" s="242"/>
      <c r="H591" s="242"/>
      <c r="I591" s="242"/>
      <c r="J591" s="242"/>
      <c r="K591" s="242"/>
      <c r="L591" s="242"/>
      <c r="M591" s="242"/>
      <c r="N591" s="242"/>
      <c r="O591" s="242"/>
      <c r="P591" s="242"/>
      <c r="Q591" s="242"/>
      <c r="R591" s="242"/>
      <c r="S591" s="242"/>
      <c r="T591" s="242"/>
      <c r="U591" s="242"/>
      <c r="V591" s="242"/>
      <c r="W591" s="242"/>
      <c r="X591" s="242"/>
      <c r="Y591" s="242"/>
      <c r="Z591" s="242"/>
      <c r="AA591" s="242"/>
      <c r="AB591" s="242"/>
      <c r="AC591" s="242"/>
      <c r="AD591" s="242"/>
      <c r="AE591" s="242"/>
      <c r="AF591" s="242"/>
      <c r="AG591" s="242"/>
      <c r="AH591" s="242"/>
    </row>
    <row r="592">
      <c r="A592" s="242"/>
      <c r="B592" s="242"/>
      <c r="C592" s="242"/>
      <c r="D592" s="242"/>
      <c r="E592" s="242"/>
      <c r="F592" s="242"/>
      <c r="G592" s="242"/>
      <c r="H592" s="242"/>
      <c r="I592" s="242"/>
      <c r="J592" s="242"/>
      <c r="K592" s="242"/>
      <c r="L592" s="242"/>
      <c r="M592" s="242"/>
      <c r="N592" s="242"/>
      <c r="O592" s="242"/>
      <c r="P592" s="242"/>
      <c r="Q592" s="242"/>
      <c r="R592" s="242"/>
      <c r="S592" s="242"/>
      <c r="T592" s="242"/>
      <c r="U592" s="242"/>
      <c r="V592" s="242"/>
      <c r="W592" s="242"/>
      <c r="X592" s="242"/>
      <c r="Y592" s="242"/>
      <c r="Z592" s="242"/>
      <c r="AA592" s="242"/>
      <c r="AB592" s="242"/>
      <c r="AC592" s="242"/>
      <c r="AD592" s="242"/>
      <c r="AE592" s="242"/>
      <c r="AF592" s="242"/>
      <c r="AG592" s="242"/>
      <c r="AH592" s="242"/>
    </row>
    <row r="593">
      <c r="A593" s="242"/>
      <c r="B593" s="242"/>
      <c r="C593" s="242"/>
      <c r="D593" s="242"/>
      <c r="E593" s="242"/>
      <c r="F593" s="242"/>
      <c r="G593" s="242"/>
      <c r="H593" s="242"/>
      <c r="I593" s="242"/>
      <c r="J593" s="242"/>
      <c r="K593" s="242"/>
      <c r="L593" s="242"/>
      <c r="M593" s="242"/>
      <c r="N593" s="242"/>
      <c r="O593" s="242"/>
      <c r="P593" s="242"/>
      <c r="Q593" s="242"/>
      <c r="R593" s="242"/>
      <c r="S593" s="242"/>
      <c r="T593" s="242"/>
      <c r="U593" s="242"/>
      <c r="V593" s="242"/>
      <c r="W593" s="242"/>
      <c r="X593" s="242"/>
      <c r="Y593" s="242"/>
      <c r="Z593" s="242"/>
      <c r="AA593" s="242"/>
      <c r="AB593" s="242"/>
      <c r="AC593" s="242"/>
      <c r="AD593" s="242"/>
      <c r="AE593" s="242"/>
      <c r="AF593" s="242"/>
      <c r="AG593" s="242"/>
      <c r="AH593" s="242"/>
    </row>
    <row r="594">
      <c r="A594" s="242"/>
      <c r="B594" s="242"/>
      <c r="C594" s="242"/>
      <c r="D594" s="242"/>
      <c r="E594" s="242"/>
      <c r="F594" s="242"/>
      <c r="G594" s="242"/>
      <c r="H594" s="242"/>
      <c r="I594" s="242"/>
      <c r="J594" s="242"/>
      <c r="K594" s="242"/>
      <c r="L594" s="242"/>
      <c r="M594" s="242"/>
      <c r="N594" s="242"/>
      <c r="O594" s="242"/>
      <c r="P594" s="242"/>
      <c r="Q594" s="242"/>
      <c r="R594" s="242"/>
      <c r="S594" s="242"/>
      <c r="T594" s="242"/>
      <c r="U594" s="242"/>
      <c r="V594" s="242"/>
      <c r="W594" s="242"/>
      <c r="X594" s="242"/>
      <c r="Y594" s="242"/>
      <c r="Z594" s="242"/>
      <c r="AA594" s="242"/>
      <c r="AB594" s="242"/>
      <c r="AC594" s="242"/>
      <c r="AD594" s="242"/>
      <c r="AE594" s="242"/>
      <c r="AF594" s="242"/>
      <c r="AG594" s="242"/>
      <c r="AH594" s="242"/>
    </row>
    <row r="595">
      <c r="A595" s="242"/>
      <c r="B595" s="242"/>
      <c r="C595" s="242"/>
      <c r="D595" s="242"/>
      <c r="E595" s="242"/>
      <c r="F595" s="242"/>
      <c r="G595" s="242"/>
      <c r="H595" s="242"/>
      <c r="I595" s="242"/>
      <c r="J595" s="242"/>
      <c r="K595" s="242"/>
      <c r="L595" s="242"/>
      <c r="M595" s="242"/>
      <c r="N595" s="242"/>
      <c r="O595" s="242"/>
      <c r="P595" s="242"/>
      <c r="Q595" s="242"/>
      <c r="R595" s="242"/>
      <c r="S595" s="242"/>
      <c r="T595" s="242"/>
      <c r="U595" s="242"/>
      <c r="V595" s="242"/>
      <c r="W595" s="242"/>
      <c r="X595" s="242"/>
      <c r="Y595" s="242"/>
      <c r="Z595" s="242"/>
      <c r="AA595" s="242"/>
      <c r="AB595" s="242"/>
      <c r="AC595" s="242"/>
      <c r="AD595" s="242"/>
      <c r="AE595" s="242"/>
      <c r="AF595" s="242"/>
      <c r="AG595" s="242"/>
      <c r="AH595" s="242"/>
    </row>
    <row r="596">
      <c r="A596" s="242"/>
      <c r="B596" s="242"/>
      <c r="C596" s="242"/>
      <c r="D596" s="242"/>
      <c r="E596" s="242"/>
      <c r="F596" s="242"/>
      <c r="G596" s="242"/>
      <c r="H596" s="242"/>
      <c r="I596" s="242"/>
      <c r="J596" s="242"/>
      <c r="K596" s="242"/>
      <c r="L596" s="242"/>
      <c r="M596" s="242"/>
      <c r="N596" s="242"/>
      <c r="O596" s="242"/>
      <c r="P596" s="242"/>
      <c r="Q596" s="242"/>
      <c r="R596" s="242"/>
      <c r="S596" s="242"/>
      <c r="T596" s="242"/>
      <c r="U596" s="242"/>
      <c r="V596" s="242"/>
      <c r="W596" s="242"/>
      <c r="X596" s="242"/>
      <c r="Y596" s="242"/>
      <c r="Z596" s="242"/>
      <c r="AA596" s="242"/>
      <c r="AB596" s="242"/>
      <c r="AC596" s="242"/>
      <c r="AD596" s="242"/>
      <c r="AE596" s="242"/>
      <c r="AF596" s="242"/>
      <c r="AG596" s="242"/>
      <c r="AH596" s="242"/>
    </row>
    <row r="597">
      <c r="A597" s="242"/>
      <c r="B597" s="242"/>
      <c r="C597" s="242"/>
      <c r="D597" s="242"/>
      <c r="E597" s="242"/>
      <c r="F597" s="242"/>
      <c r="G597" s="242"/>
      <c r="H597" s="242"/>
      <c r="I597" s="242"/>
      <c r="J597" s="242"/>
      <c r="K597" s="242"/>
      <c r="L597" s="242"/>
      <c r="M597" s="242"/>
      <c r="N597" s="242"/>
      <c r="O597" s="242"/>
      <c r="P597" s="242"/>
      <c r="Q597" s="242"/>
      <c r="R597" s="242"/>
      <c r="S597" s="242"/>
      <c r="T597" s="242"/>
      <c r="U597" s="242"/>
      <c r="V597" s="242"/>
      <c r="W597" s="242"/>
      <c r="X597" s="242"/>
      <c r="Y597" s="242"/>
      <c r="Z597" s="242"/>
      <c r="AA597" s="242"/>
      <c r="AB597" s="242"/>
      <c r="AC597" s="242"/>
      <c r="AD597" s="242"/>
      <c r="AE597" s="242"/>
      <c r="AF597" s="242"/>
      <c r="AG597" s="242"/>
      <c r="AH597" s="242"/>
    </row>
    <row r="598">
      <c r="A598" s="242"/>
      <c r="B598" s="242"/>
      <c r="C598" s="242"/>
      <c r="D598" s="242"/>
      <c r="E598" s="242"/>
      <c r="F598" s="242"/>
      <c r="G598" s="242"/>
      <c r="H598" s="242"/>
      <c r="I598" s="242"/>
      <c r="J598" s="242"/>
      <c r="K598" s="242"/>
      <c r="L598" s="242"/>
      <c r="M598" s="242"/>
      <c r="N598" s="242"/>
      <c r="O598" s="242"/>
      <c r="P598" s="242"/>
      <c r="Q598" s="242"/>
      <c r="R598" s="242"/>
      <c r="S598" s="242"/>
      <c r="T598" s="242"/>
      <c r="U598" s="242"/>
      <c r="V598" s="242"/>
      <c r="W598" s="242"/>
      <c r="X598" s="242"/>
      <c r="Y598" s="242"/>
      <c r="Z598" s="242"/>
      <c r="AA598" s="242"/>
      <c r="AB598" s="242"/>
      <c r="AC598" s="242"/>
      <c r="AD598" s="242"/>
      <c r="AE598" s="242"/>
      <c r="AF598" s="242"/>
      <c r="AG598" s="242"/>
      <c r="AH598" s="242"/>
    </row>
    <row r="599">
      <c r="A599" s="242"/>
      <c r="B599" s="242"/>
      <c r="C599" s="242"/>
      <c r="D599" s="242"/>
      <c r="E599" s="242"/>
      <c r="F599" s="242"/>
      <c r="G599" s="242"/>
      <c r="H599" s="242"/>
      <c r="I599" s="242"/>
      <c r="J599" s="242"/>
      <c r="K599" s="242"/>
      <c r="L599" s="242"/>
      <c r="M599" s="242"/>
      <c r="N599" s="242"/>
      <c r="O599" s="242"/>
      <c r="P599" s="242"/>
      <c r="Q599" s="242"/>
      <c r="R599" s="242"/>
      <c r="S599" s="242"/>
      <c r="T599" s="242"/>
      <c r="U599" s="242"/>
      <c r="V599" s="242"/>
      <c r="W599" s="242"/>
      <c r="X599" s="242"/>
      <c r="Y599" s="242"/>
      <c r="Z599" s="242"/>
      <c r="AA599" s="242"/>
      <c r="AB599" s="242"/>
      <c r="AC599" s="242"/>
      <c r="AD599" s="242"/>
      <c r="AE599" s="242"/>
      <c r="AF599" s="242"/>
      <c r="AG599" s="242"/>
      <c r="AH599" s="242"/>
    </row>
    <row r="600">
      <c r="A600" s="242"/>
      <c r="B600" s="242"/>
      <c r="C600" s="242"/>
      <c r="D600" s="242"/>
      <c r="E600" s="242"/>
      <c r="F600" s="242"/>
      <c r="G600" s="242"/>
      <c r="H600" s="242"/>
      <c r="I600" s="242"/>
      <c r="J600" s="242"/>
      <c r="K600" s="242"/>
      <c r="L600" s="242"/>
      <c r="M600" s="242"/>
      <c r="N600" s="242"/>
      <c r="O600" s="242"/>
      <c r="P600" s="242"/>
      <c r="Q600" s="242"/>
      <c r="R600" s="242"/>
      <c r="S600" s="242"/>
      <c r="T600" s="242"/>
      <c r="U600" s="242"/>
      <c r="V600" s="242"/>
      <c r="W600" s="242"/>
      <c r="X600" s="242"/>
      <c r="Y600" s="242"/>
      <c r="Z600" s="242"/>
      <c r="AA600" s="242"/>
      <c r="AB600" s="242"/>
      <c r="AC600" s="242"/>
      <c r="AD600" s="242"/>
      <c r="AE600" s="242"/>
      <c r="AF600" s="242"/>
      <c r="AG600" s="242"/>
      <c r="AH600" s="242"/>
    </row>
    <row r="601">
      <c r="A601" s="242"/>
      <c r="B601" s="242"/>
      <c r="C601" s="242"/>
      <c r="D601" s="242"/>
      <c r="E601" s="242"/>
      <c r="F601" s="242"/>
      <c r="G601" s="242"/>
      <c r="H601" s="242"/>
      <c r="I601" s="242"/>
      <c r="J601" s="242"/>
      <c r="K601" s="242"/>
      <c r="L601" s="242"/>
      <c r="M601" s="242"/>
      <c r="N601" s="242"/>
      <c r="O601" s="242"/>
      <c r="P601" s="242"/>
      <c r="Q601" s="242"/>
      <c r="R601" s="242"/>
      <c r="S601" s="242"/>
      <c r="T601" s="242"/>
      <c r="U601" s="242"/>
      <c r="V601" s="242"/>
      <c r="W601" s="242"/>
      <c r="X601" s="242"/>
      <c r="Y601" s="242"/>
      <c r="Z601" s="242"/>
      <c r="AA601" s="242"/>
      <c r="AB601" s="242"/>
      <c r="AC601" s="242"/>
      <c r="AD601" s="242"/>
      <c r="AE601" s="242"/>
      <c r="AF601" s="242"/>
      <c r="AG601" s="242"/>
      <c r="AH601" s="242"/>
    </row>
    <row r="602">
      <c r="A602" s="242"/>
      <c r="B602" s="242"/>
      <c r="C602" s="242"/>
      <c r="D602" s="242"/>
      <c r="E602" s="242"/>
      <c r="F602" s="242"/>
      <c r="G602" s="242"/>
      <c r="H602" s="242"/>
      <c r="I602" s="242"/>
      <c r="J602" s="242"/>
      <c r="K602" s="242"/>
      <c r="L602" s="242"/>
      <c r="M602" s="242"/>
      <c r="N602" s="242"/>
      <c r="O602" s="242"/>
      <c r="P602" s="242"/>
      <c r="Q602" s="242"/>
      <c r="R602" s="242"/>
      <c r="S602" s="242"/>
      <c r="T602" s="242"/>
      <c r="U602" s="242"/>
      <c r="V602" s="242"/>
      <c r="W602" s="242"/>
      <c r="X602" s="242"/>
      <c r="Y602" s="242"/>
      <c r="Z602" s="242"/>
      <c r="AA602" s="242"/>
      <c r="AB602" s="242"/>
      <c r="AC602" s="242"/>
      <c r="AD602" s="242"/>
      <c r="AE602" s="242"/>
      <c r="AF602" s="242"/>
      <c r="AG602" s="242"/>
      <c r="AH602" s="242"/>
    </row>
    <row r="603">
      <c r="A603" s="242"/>
      <c r="B603" s="242"/>
      <c r="C603" s="242"/>
      <c r="D603" s="242"/>
      <c r="E603" s="242"/>
      <c r="F603" s="242"/>
      <c r="G603" s="242"/>
      <c r="H603" s="242"/>
      <c r="I603" s="242"/>
      <c r="J603" s="242"/>
      <c r="K603" s="242"/>
      <c r="L603" s="242"/>
      <c r="M603" s="242"/>
      <c r="N603" s="242"/>
      <c r="O603" s="242"/>
      <c r="P603" s="242"/>
      <c r="Q603" s="242"/>
      <c r="R603" s="242"/>
      <c r="S603" s="242"/>
      <c r="T603" s="242"/>
      <c r="U603" s="242"/>
      <c r="V603" s="242"/>
      <c r="W603" s="242"/>
      <c r="X603" s="242"/>
      <c r="Y603" s="242"/>
      <c r="Z603" s="242"/>
      <c r="AA603" s="242"/>
      <c r="AB603" s="242"/>
      <c r="AC603" s="242"/>
      <c r="AD603" s="242"/>
      <c r="AE603" s="242"/>
      <c r="AF603" s="242"/>
      <c r="AG603" s="242"/>
      <c r="AH603" s="242"/>
    </row>
    <row r="604">
      <c r="A604" s="242"/>
      <c r="B604" s="242"/>
      <c r="C604" s="242"/>
      <c r="D604" s="242"/>
      <c r="E604" s="242"/>
      <c r="F604" s="242"/>
      <c r="G604" s="242"/>
      <c r="H604" s="242"/>
      <c r="I604" s="242"/>
      <c r="J604" s="242"/>
      <c r="K604" s="242"/>
      <c r="L604" s="242"/>
      <c r="M604" s="242"/>
      <c r="N604" s="242"/>
      <c r="O604" s="242"/>
      <c r="P604" s="242"/>
      <c r="Q604" s="242"/>
      <c r="R604" s="242"/>
      <c r="S604" s="242"/>
      <c r="T604" s="242"/>
      <c r="U604" s="242"/>
      <c r="V604" s="242"/>
      <c r="W604" s="242"/>
      <c r="X604" s="242"/>
      <c r="Y604" s="242"/>
      <c r="Z604" s="242"/>
      <c r="AA604" s="242"/>
      <c r="AB604" s="242"/>
      <c r="AC604" s="242"/>
      <c r="AD604" s="242"/>
      <c r="AE604" s="242"/>
      <c r="AF604" s="242"/>
      <c r="AG604" s="242"/>
      <c r="AH604" s="242"/>
    </row>
    <row r="605">
      <c r="A605" s="242"/>
      <c r="B605" s="242"/>
      <c r="C605" s="242"/>
      <c r="D605" s="242"/>
      <c r="E605" s="242"/>
      <c r="F605" s="242"/>
      <c r="G605" s="242"/>
      <c r="H605" s="242"/>
      <c r="I605" s="242"/>
      <c r="J605" s="242"/>
      <c r="K605" s="242"/>
      <c r="L605" s="242"/>
      <c r="M605" s="242"/>
      <c r="N605" s="242"/>
      <c r="O605" s="242"/>
      <c r="P605" s="242"/>
      <c r="Q605" s="242"/>
      <c r="R605" s="242"/>
      <c r="S605" s="242"/>
      <c r="T605" s="242"/>
      <c r="U605" s="242"/>
      <c r="V605" s="242"/>
      <c r="W605" s="242"/>
      <c r="X605" s="242"/>
      <c r="Y605" s="242"/>
      <c r="Z605" s="242"/>
      <c r="AA605" s="242"/>
      <c r="AB605" s="242"/>
      <c r="AC605" s="242"/>
      <c r="AD605" s="242"/>
      <c r="AE605" s="242"/>
      <c r="AF605" s="242"/>
      <c r="AG605" s="242"/>
      <c r="AH605" s="242"/>
    </row>
    <row r="606">
      <c r="A606" s="242"/>
      <c r="B606" s="242"/>
      <c r="C606" s="242"/>
      <c r="D606" s="242"/>
      <c r="E606" s="242"/>
      <c r="F606" s="242"/>
      <c r="G606" s="242"/>
      <c r="H606" s="242"/>
      <c r="I606" s="242"/>
      <c r="J606" s="242"/>
      <c r="K606" s="242"/>
      <c r="L606" s="242"/>
      <c r="M606" s="242"/>
      <c r="N606" s="242"/>
      <c r="O606" s="242"/>
      <c r="P606" s="242"/>
      <c r="Q606" s="242"/>
      <c r="R606" s="242"/>
      <c r="S606" s="242"/>
      <c r="T606" s="242"/>
      <c r="U606" s="242"/>
      <c r="V606" s="242"/>
      <c r="W606" s="242"/>
      <c r="X606" s="242"/>
      <c r="Y606" s="242"/>
      <c r="Z606" s="242"/>
      <c r="AA606" s="242"/>
      <c r="AB606" s="242"/>
      <c r="AC606" s="242"/>
      <c r="AD606" s="242"/>
      <c r="AE606" s="242"/>
      <c r="AF606" s="242"/>
      <c r="AG606" s="242"/>
      <c r="AH606" s="242"/>
    </row>
    <row r="607">
      <c r="A607" s="242"/>
      <c r="B607" s="242"/>
      <c r="C607" s="242"/>
      <c r="D607" s="242"/>
      <c r="E607" s="242"/>
      <c r="F607" s="242"/>
      <c r="G607" s="242"/>
      <c r="H607" s="242"/>
      <c r="I607" s="242"/>
      <c r="J607" s="242"/>
      <c r="K607" s="242"/>
      <c r="L607" s="242"/>
      <c r="M607" s="242"/>
      <c r="N607" s="242"/>
      <c r="O607" s="242"/>
      <c r="P607" s="242"/>
      <c r="Q607" s="242"/>
      <c r="R607" s="242"/>
      <c r="S607" s="242"/>
      <c r="T607" s="242"/>
      <c r="U607" s="242"/>
      <c r="V607" s="242"/>
      <c r="W607" s="242"/>
      <c r="X607" s="242"/>
      <c r="Y607" s="242"/>
      <c r="Z607" s="242"/>
      <c r="AA607" s="242"/>
      <c r="AB607" s="242"/>
      <c r="AC607" s="242"/>
      <c r="AD607" s="242"/>
      <c r="AE607" s="242"/>
      <c r="AF607" s="242"/>
      <c r="AG607" s="242"/>
      <c r="AH607" s="242"/>
    </row>
    <row r="608">
      <c r="A608" s="242"/>
      <c r="B608" s="242"/>
      <c r="C608" s="242"/>
      <c r="D608" s="242"/>
      <c r="E608" s="242"/>
      <c r="F608" s="242"/>
      <c r="G608" s="242"/>
      <c r="H608" s="242"/>
      <c r="I608" s="242"/>
      <c r="J608" s="242"/>
      <c r="K608" s="242"/>
      <c r="L608" s="242"/>
      <c r="M608" s="242"/>
      <c r="N608" s="242"/>
      <c r="O608" s="242"/>
      <c r="P608" s="242"/>
      <c r="Q608" s="242"/>
      <c r="R608" s="242"/>
      <c r="S608" s="242"/>
      <c r="T608" s="242"/>
      <c r="U608" s="242"/>
      <c r="V608" s="242"/>
      <c r="W608" s="242"/>
      <c r="X608" s="242"/>
      <c r="Y608" s="242"/>
      <c r="Z608" s="242"/>
      <c r="AA608" s="242"/>
      <c r="AB608" s="242"/>
      <c r="AC608" s="242"/>
      <c r="AD608" s="242"/>
      <c r="AE608" s="242"/>
      <c r="AF608" s="242"/>
      <c r="AG608" s="242"/>
      <c r="AH608" s="242"/>
    </row>
    <row r="609">
      <c r="A609" s="242"/>
      <c r="B609" s="242"/>
      <c r="C609" s="242"/>
      <c r="D609" s="242"/>
      <c r="E609" s="242"/>
      <c r="F609" s="242"/>
      <c r="G609" s="242"/>
      <c r="H609" s="242"/>
      <c r="I609" s="242"/>
      <c r="J609" s="242"/>
      <c r="K609" s="242"/>
      <c r="L609" s="242"/>
      <c r="M609" s="242"/>
      <c r="N609" s="242"/>
      <c r="O609" s="242"/>
      <c r="P609" s="242"/>
      <c r="Q609" s="242"/>
      <c r="R609" s="242"/>
      <c r="S609" s="242"/>
      <c r="T609" s="242"/>
      <c r="U609" s="242"/>
      <c r="V609" s="242"/>
      <c r="W609" s="242"/>
      <c r="X609" s="242"/>
      <c r="Y609" s="242"/>
      <c r="Z609" s="242"/>
      <c r="AA609" s="242"/>
      <c r="AB609" s="242"/>
      <c r="AC609" s="242"/>
      <c r="AD609" s="242"/>
      <c r="AE609" s="242"/>
      <c r="AF609" s="242"/>
      <c r="AG609" s="242"/>
      <c r="AH609" s="242"/>
    </row>
    <row r="610">
      <c r="A610" s="242"/>
      <c r="B610" s="242"/>
      <c r="C610" s="242"/>
      <c r="D610" s="242"/>
      <c r="E610" s="242"/>
      <c r="F610" s="242"/>
      <c r="G610" s="242"/>
      <c r="H610" s="242"/>
      <c r="I610" s="242"/>
      <c r="J610" s="242"/>
      <c r="K610" s="242"/>
      <c r="L610" s="242"/>
      <c r="M610" s="242"/>
      <c r="N610" s="242"/>
      <c r="O610" s="242"/>
      <c r="P610" s="242"/>
      <c r="Q610" s="242"/>
      <c r="R610" s="242"/>
      <c r="S610" s="242"/>
      <c r="T610" s="242"/>
      <c r="U610" s="242"/>
      <c r="V610" s="242"/>
      <c r="W610" s="242"/>
      <c r="X610" s="242"/>
      <c r="Y610" s="242"/>
      <c r="Z610" s="242"/>
      <c r="AA610" s="242"/>
      <c r="AB610" s="242"/>
      <c r="AC610" s="242"/>
      <c r="AD610" s="242"/>
      <c r="AE610" s="242"/>
      <c r="AF610" s="242"/>
      <c r="AG610" s="242"/>
      <c r="AH610" s="242"/>
    </row>
    <row r="611">
      <c r="A611" s="242"/>
      <c r="B611" s="242"/>
      <c r="C611" s="242"/>
      <c r="D611" s="242"/>
      <c r="E611" s="242"/>
      <c r="F611" s="242"/>
      <c r="G611" s="242"/>
      <c r="H611" s="242"/>
      <c r="I611" s="242"/>
      <c r="J611" s="242"/>
      <c r="K611" s="242"/>
      <c r="L611" s="242"/>
      <c r="M611" s="242"/>
      <c r="N611" s="242"/>
      <c r="O611" s="242"/>
      <c r="P611" s="242"/>
      <c r="Q611" s="242"/>
      <c r="R611" s="242"/>
      <c r="S611" s="242"/>
      <c r="T611" s="242"/>
      <c r="U611" s="242"/>
      <c r="V611" s="242"/>
      <c r="W611" s="242"/>
      <c r="X611" s="242"/>
      <c r="Y611" s="242"/>
      <c r="Z611" s="242"/>
      <c r="AA611" s="242"/>
      <c r="AB611" s="242"/>
      <c r="AC611" s="242"/>
      <c r="AD611" s="242"/>
      <c r="AE611" s="242"/>
      <c r="AF611" s="242"/>
      <c r="AG611" s="242"/>
      <c r="AH611" s="242"/>
    </row>
    <row r="612">
      <c r="A612" s="242"/>
      <c r="B612" s="242"/>
      <c r="C612" s="242"/>
      <c r="D612" s="242"/>
      <c r="E612" s="242"/>
      <c r="F612" s="242"/>
      <c r="G612" s="242"/>
      <c r="H612" s="242"/>
      <c r="I612" s="242"/>
      <c r="J612" s="242"/>
      <c r="K612" s="242"/>
      <c r="L612" s="242"/>
      <c r="M612" s="242"/>
      <c r="N612" s="242"/>
      <c r="O612" s="242"/>
      <c r="P612" s="242"/>
      <c r="Q612" s="242"/>
      <c r="R612" s="242"/>
      <c r="S612" s="242"/>
      <c r="T612" s="242"/>
      <c r="U612" s="242"/>
      <c r="V612" s="242"/>
      <c r="W612" s="242"/>
      <c r="X612" s="242"/>
      <c r="Y612" s="242"/>
      <c r="Z612" s="242"/>
      <c r="AA612" s="242"/>
      <c r="AB612" s="242"/>
      <c r="AC612" s="242"/>
      <c r="AD612" s="242"/>
      <c r="AE612" s="242"/>
      <c r="AF612" s="242"/>
      <c r="AG612" s="242"/>
      <c r="AH612" s="242"/>
    </row>
    <row r="613">
      <c r="A613" s="242"/>
      <c r="B613" s="242"/>
      <c r="C613" s="242"/>
      <c r="D613" s="242"/>
      <c r="E613" s="242"/>
      <c r="F613" s="242"/>
      <c r="G613" s="242"/>
      <c r="H613" s="242"/>
      <c r="I613" s="242"/>
      <c r="J613" s="242"/>
      <c r="K613" s="242"/>
      <c r="L613" s="242"/>
      <c r="M613" s="242"/>
      <c r="N613" s="242"/>
      <c r="O613" s="242"/>
      <c r="P613" s="242"/>
      <c r="Q613" s="242"/>
      <c r="R613" s="242"/>
      <c r="S613" s="242"/>
      <c r="T613" s="242"/>
      <c r="U613" s="242"/>
      <c r="V613" s="242"/>
      <c r="W613" s="242"/>
      <c r="X613" s="242"/>
      <c r="Y613" s="242"/>
      <c r="Z613" s="242"/>
      <c r="AA613" s="242"/>
      <c r="AB613" s="242"/>
      <c r="AC613" s="242"/>
      <c r="AD613" s="242"/>
      <c r="AE613" s="242"/>
      <c r="AF613" s="242"/>
      <c r="AG613" s="242"/>
      <c r="AH613" s="242"/>
    </row>
    <row r="614">
      <c r="A614" s="242"/>
      <c r="B614" s="242"/>
      <c r="C614" s="242"/>
      <c r="D614" s="242"/>
      <c r="E614" s="242"/>
      <c r="F614" s="242"/>
      <c r="G614" s="242"/>
      <c r="H614" s="242"/>
      <c r="I614" s="242"/>
      <c r="J614" s="242"/>
      <c r="K614" s="242"/>
      <c r="L614" s="242"/>
      <c r="M614" s="242"/>
      <c r="N614" s="242"/>
      <c r="O614" s="242"/>
      <c r="P614" s="242"/>
      <c r="Q614" s="242"/>
      <c r="R614" s="242"/>
      <c r="S614" s="242"/>
      <c r="T614" s="242"/>
      <c r="U614" s="242"/>
      <c r="V614" s="242"/>
      <c r="W614" s="242"/>
      <c r="X614" s="242"/>
      <c r="Y614" s="242"/>
      <c r="Z614" s="242"/>
      <c r="AA614" s="242"/>
      <c r="AB614" s="242"/>
      <c r="AC614" s="242"/>
      <c r="AD614" s="242"/>
      <c r="AE614" s="242"/>
      <c r="AF614" s="242"/>
      <c r="AG614" s="242"/>
      <c r="AH614" s="242"/>
    </row>
    <row r="615">
      <c r="A615" s="242"/>
      <c r="B615" s="242"/>
      <c r="C615" s="242"/>
      <c r="D615" s="242"/>
      <c r="E615" s="242"/>
      <c r="F615" s="242"/>
      <c r="G615" s="242"/>
      <c r="H615" s="242"/>
      <c r="I615" s="242"/>
      <c r="J615" s="242"/>
      <c r="K615" s="242"/>
      <c r="L615" s="242"/>
      <c r="M615" s="242"/>
      <c r="N615" s="242"/>
      <c r="O615" s="242"/>
      <c r="P615" s="242"/>
      <c r="Q615" s="242"/>
      <c r="R615" s="242"/>
      <c r="S615" s="242"/>
      <c r="T615" s="242"/>
      <c r="U615" s="242"/>
      <c r="V615" s="242"/>
      <c r="W615" s="242"/>
      <c r="X615" s="242"/>
      <c r="Y615" s="242"/>
      <c r="Z615" s="242"/>
      <c r="AA615" s="242"/>
      <c r="AB615" s="242"/>
      <c r="AC615" s="242"/>
      <c r="AD615" s="242"/>
      <c r="AE615" s="242"/>
      <c r="AF615" s="242"/>
      <c r="AG615" s="242"/>
      <c r="AH615" s="242"/>
    </row>
    <row r="616">
      <c r="A616" s="242"/>
      <c r="B616" s="242"/>
      <c r="C616" s="242"/>
      <c r="D616" s="242"/>
      <c r="E616" s="242"/>
      <c r="F616" s="242"/>
      <c r="G616" s="242"/>
      <c r="H616" s="242"/>
      <c r="I616" s="242"/>
      <c r="J616" s="242"/>
      <c r="K616" s="242"/>
      <c r="L616" s="242"/>
      <c r="M616" s="242"/>
      <c r="N616" s="242"/>
      <c r="O616" s="242"/>
      <c r="P616" s="242"/>
      <c r="Q616" s="242"/>
      <c r="R616" s="242"/>
      <c r="S616" s="242"/>
      <c r="T616" s="242"/>
      <c r="U616" s="242"/>
      <c r="V616" s="242"/>
      <c r="W616" s="242"/>
      <c r="X616" s="242"/>
      <c r="Y616" s="242"/>
      <c r="Z616" s="242"/>
      <c r="AA616" s="242"/>
      <c r="AB616" s="242"/>
      <c r="AC616" s="242"/>
      <c r="AD616" s="242"/>
      <c r="AE616" s="242"/>
      <c r="AF616" s="242"/>
      <c r="AG616" s="242"/>
      <c r="AH616" s="242"/>
    </row>
    <row r="617">
      <c r="A617" s="242"/>
      <c r="B617" s="242"/>
      <c r="C617" s="242"/>
      <c r="D617" s="242"/>
      <c r="E617" s="242"/>
      <c r="F617" s="242"/>
      <c r="G617" s="242"/>
      <c r="H617" s="242"/>
      <c r="I617" s="242"/>
      <c r="J617" s="242"/>
      <c r="K617" s="242"/>
      <c r="L617" s="242"/>
      <c r="M617" s="242"/>
      <c r="N617" s="242"/>
      <c r="O617" s="242"/>
      <c r="P617" s="242"/>
      <c r="Q617" s="242"/>
      <c r="R617" s="242"/>
      <c r="S617" s="242"/>
      <c r="T617" s="242"/>
      <c r="U617" s="242"/>
      <c r="V617" s="242"/>
      <c r="W617" s="242"/>
      <c r="X617" s="242"/>
      <c r="Y617" s="242"/>
      <c r="Z617" s="242"/>
      <c r="AA617" s="242"/>
      <c r="AB617" s="242"/>
      <c r="AC617" s="242"/>
      <c r="AD617" s="242"/>
      <c r="AE617" s="242"/>
      <c r="AF617" s="242"/>
      <c r="AG617" s="242"/>
      <c r="AH617" s="242"/>
    </row>
    <row r="618">
      <c r="A618" s="242"/>
      <c r="B618" s="242"/>
      <c r="C618" s="242"/>
      <c r="D618" s="242"/>
      <c r="E618" s="242"/>
      <c r="F618" s="242"/>
      <c r="G618" s="242"/>
      <c r="H618" s="242"/>
      <c r="I618" s="242"/>
      <c r="J618" s="242"/>
      <c r="K618" s="242"/>
      <c r="L618" s="242"/>
      <c r="M618" s="242"/>
      <c r="N618" s="242"/>
      <c r="O618" s="242"/>
      <c r="P618" s="242"/>
      <c r="Q618" s="242"/>
      <c r="R618" s="242"/>
      <c r="S618" s="242"/>
      <c r="T618" s="242"/>
      <c r="U618" s="242"/>
      <c r="V618" s="242"/>
      <c r="W618" s="242"/>
      <c r="X618" s="242"/>
      <c r="Y618" s="242"/>
      <c r="Z618" s="242"/>
      <c r="AA618" s="242"/>
      <c r="AB618" s="242"/>
      <c r="AC618" s="242"/>
      <c r="AD618" s="242"/>
      <c r="AE618" s="242"/>
      <c r="AF618" s="242"/>
      <c r="AG618" s="242"/>
      <c r="AH618" s="242"/>
    </row>
    <row r="619">
      <c r="A619" s="242"/>
      <c r="B619" s="242"/>
      <c r="C619" s="242"/>
      <c r="D619" s="242"/>
      <c r="E619" s="242"/>
      <c r="F619" s="242"/>
      <c r="G619" s="242"/>
      <c r="H619" s="242"/>
      <c r="I619" s="242"/>
      <c r="J619" s="242"/>
      <c r="K619" s="242"/>
      <c r="L619" s="242"/>
      <c r="M619" s="242"/>
      <c r="N619" s="242"/>
      <c r="O619" s="242"/>
      <c r="P619" s="242"/>
      <c r="Q619" s="242"/>
      <c r="R619" s="242"/>
      <c r="S619" s="242"/>
      <c r="T619" s="242"/>
      <c r="U619" s="242"/>
      <c r="V619" s="242"/>
      <c r="W619" s="242"/>
      <c r="X619" s="242"/>
      <c r="Y619" s="242"/>
      <c r="Z619" s="242"/>
      <c r="AA619" s="242"/>
      <c r="AB619" s="242"/>
      <c r="AC619" s="242"/>
      <c r="AD619" s="242"/>
      <c r="AE619" s="242"/>
      <c r="AF619" s="242"/>
      <c r="AG619" s="242"/>
      <c r="AH619" s="242"/>
    </row>
    <row r="620">
      <c r="A620" s="242"/>
      <c r="B620" s="242"/>
      <c r="C620" s="242"/>
      <c r="D620" s="242"/>
      <c r="E620" s="242"/>
      <c r="F620" s="242"/>
      <c r="G620" s="242"/>
      <c r="H620" s="242"/>
      <c r="I620" s="242"/>
      <c r="J620" s="242"/>
      <c r="K620" s="242"/>
      <c r="L620" s="242"/>
      <c r="M620" s="242"/>
      <c r="N620" s="242"/>
      <c r="O620" s="242"/>
      <c r="P620" s="242"/>
      <c r="Q620" s="242"/>
      <c r="R620" s="242"/>
      <c r="S620" s="242"/>
      <c r="T620" s="242"/>
      <c r="U620" s="242"/>
      <c r="V620" s="242"/>
      <c r="W620" s="242"/>
      <c r="X620" s="242"/>
      <c r="Y620" s="242"/>
      <c r="Z620" s="242"/>
      <c r="AA620" s="242"/>
      <c r="AB620" s="242"/>
      <c r="AC620" s="242"/>
      <c r="AD620" s="242"/>
      <c r="AE620" s="242"/>
      <c r="AF620" s="242"/>
      <c r="AG620" s="242"/>
      <c r="AH620" s="242"/>
    </row>
    <row r="621">
      <c r="A621" s="242"/>
      <c r="B621" s="242"/>
      <c r="C621" s="242"/>
      <c r="D621" s="242"/>
      <c r="E621" s="242"/>
      <c r="F621" s="242"/>
      <c r="G621" s="242"/>
      <c r="H621" s="242"/>
      <c r="I621" s="242"/>
      <c r="J621" s="242"/>
      <c r="K621" s="242"/>
      <c r="L621" s="242"/>
      <c r="M621" s="242"/>
      <c r="N621" s="242"/>
      <c r="O621" s="242"/>
      <c r="P621" s="242"/>
      <c r="Q621" s="242"/>
      <c r="R621" s="242"/>
      <c r="S621" s="242"/>
      <c r="T621" s="242"/>
      <c r="U621" s="242"/>
      <c r="V621" s="242"/>
      <c r="W621" s="242"/>
      <c r="X621" s="242"/>
      <c r="Y621" s="242"/>
      <c r="Z621" s="242"/>
      <c r="AA621" s="242"/>
      <c r="AB621" s="242"/>
      <c r="AC621" s="242"/>
      <c r="AD621" s="242"/>
      <c r="AE621" s="242"/>
      <c r="AF621" s="242"/>
      <c r="AG621" s="242"/>
      <c r="AH621" s="242"/>
    </row>
    <row r="622">
      <c r="A622" s="242"/>
      <c r="B622" s="242"/>
      <c r="C622" s="242"/>
      <c r="D622" s="242"/>
      <c r="E622" s="242"/>
      <c r="F622" s="242"/>
      <c r="G622" s="242"/>
      <c r="H622" s="242"/>
      <c r="I622" s="242"/>
      <c r="J622" s="242"/>
      <c r="K622" s="242"/>
      <c r="L622" s="242"/>
      <c r="M622" s="242"/>
      <c r="N622" s="242"/>
      <c r="O622" s="242"/>
      <c r="P622" s="242"/>
      <c r="Q622" s="242"/>
      <c r="R622" s="242"/>
      <c r="S622" s="242"/>
      <c r="T622" s="242"/>
      <c r="U622" s="242"/>
      <c r="V622" s="242"/>
      <c r="W622" s="242"/>
      <c r="X622" s="242"/>
      <c r="Y622" s="242"/>
      <c r="Z622" s="242"/>
      <c r="AA622" s="242"/>
      <c r="AB622" s="242"/>
      <c r="AC622" s="242"/>
      <c r="AD622" s="242"/>
      <c r="AE622" s="242"/>
      <c r="AF622" s="242"/>
      <c r="AG622" s="242"/>
      <c r="AH622" s="242"/>
    </row>
    <row r="623">
      <c r="A623" s="242"/>
      <c r="B623" s="242"/>
      <c r="C623" s="242"/>
      <c r="D623" s="242"/>
      <c r="E623" s="242"/>
      <c r="F623" s="242"/>
      <c r="G623" s="242"/>
      <c r="H623" s="242"/>
      <c r="I623" s="242"/>
      <c r="J623" s="242"/>
      <c r="K623" s="242"/>
      <c r="L623" s="242"/>
      <c r="M623" s="242"/>
      <c r="N623" s="242"/>
      <c r="O623" s="242"/>
      <c r="P623" s="242"/>
      <c r="Q623" s="242"/>
      <c r="R623" s="242"/>
      <c r="S623" s="242"/>
      <c r="T623" s="242"/>
      <c r="U623" s="242"/>
      <c r="V623" s="242"/>
      <c r="W623" s="242"/>
      <c r="X623" s="242"/>
      <c r="Y623" s="242"/>
      <c r="Z623" s="242"/>
      <c r="AA623" s="242"/>
      <c r="AB623" s="242"/>
      <c r="AC623" s="242"/>
      <c r="AD623" s="242"/>
      <c r="AE623" s="242"/>
      <c r="AF623" s="242"/>
      <c r="AG623" s="242"/>
      <c r="AH623" s="242"/>
    </row>
    <row r="624">
      <c r="A624" s="242"/>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c r="AA624" s="242"/>
      <c r="AB624" s="242"/>
      <c r="AC624" s="242"/>
      <c r="AD624" s="242"/>
      <c r="AE624" s="242"/>
      <c r="AF624" s="242"/>
      <c r="AG624" s="242"/>
      <c r="AH624" s="242"/>
    </row>
    <row r="625">
      <c r="A625" s="242"/>
      <c r="B625" s="242"/>
      <c r="C625" s="242"/>
      <c r="D625" s="242"/>
      <c r="E625" s="242"/>
      <c r="F625" s="242"/>
      <c r="G625" s="242"/>
      <c r="H625" s="242"/>
      <c r="I625" s="242"/>
      <c r="J625" s="242"/>
      <c r="K625" s="242"/>
      <c r="L625" s="242"/>
      <c r="M625" s="242"/>
      <c r="N625" s="242"/>
      <c r="O625" s="242"/>
      <c r="P625" s="242"/>
      <c r="Q625" s="242"/>
      <c r="R625" s="242"/>
      <c r="S625" s="242"/>
      <c r="T625" s="242"/>
      <c r="U625" s="242"/>
      <c r="V625" s="242"/>
      <c r="W625" s="242"/>
      <c r="X625" s="242"/>
      <c r="Y625" s="242"/>
      <c r="Z625" s="242"/>
      <c r="AA625" s="242"/>
      <c r="AB625" s="242"/>
      <c r="AC625" s="242"/>
      <c r="AD625" s="242"/>
      <c r="AE625" s="242"/>
      <c r="AF625" s="242"/>
      <c r="AG625" s="242"/>
      <c r="AH625" s="242"/>
    </row>
    <row r="626">
      <c r="A626" s="242"/>
      <c r="B626" s="242"/>
      <c r="C626" s="242"/>
      <c r="D626" s="242"/>
      <c r="E626" s="242"/>
      <c r="F626" s="242"/>
      <c r="G626" s="242"/>
      <c r="H626" s="242"/>
      <c r="I626" s="242"/>
      <c r="J626" s="242"/>
      <c r="K626" s="242"/>
      <c r="L626" s="242"/>
      <c r="M626" s="242"/>
      <c r="N626" s="242"/>
      <c r="O626" s="242"/>
      <c r="P626" s="242"/>
      <c r="Q626" s="242"/>
      <c r="R626" s="242"/>
      <c r="S626" s="242"/>
      <c r="T626" s="242"/>
      <c r="U626" s="242"/>
      <c r="V626" s="242"/>
      <c r="W626" s="242"/>
      <c r="X626" s="242"/>
      <c r="Y626" s="242"/>
      <c r="Z626" s="242"/>
      <c r="AA626" s="242"/>
      <c r="AB626" s="242"/>
      <c r="AC626" s="242"/>
      <c r="AD626" s="242"/>
      <c r="AE626" s="242"/>
      <c r="AF626" s="242"/>
      <c r="AG626" s="242"/>
      <c r="AH626" s="242"/>
    </row>
    <row r="627">
      <c r="A627" s="242"/>
      <c r="B627" s="242"/>
      <c r="C627" s="242"/>
      <c r="D627" s="242"/>
      <c r="E627" s="242"/>
      <c r="F627" s="242"/>
      <c r="G627" s="242"/>
      <c r="H627" s="242"/>
      <c r="I627" s="242"/>
      <c r="J627" s="242"/>
      <c r="K627" s="242"/>
      <c r="L627" s="242"/>
      <c r="M627" s="242"/>
      <c r="N627" s="242"/>
      <c r="O627" s="242"/>
      <c r="P627" s="242"/>
      <c r="Q627" s="242"/>
      <c r="R627" s="242"/>
      <c r="S627" s="242"/>
      <c r="T627" s="242"/>
      <c r="U627" s="242"/>
      <c r="V627" s="242"/>
      <c r="W627" s="242"/>
      <c r="X627" s="242"/>
      <c r="Y627" s="242"/>
      <c r="Z627" s="242"/>
      <c r="AA627" s="242"/>
      <c r="AB627" s="242"/>
      <c r="AC627" s="242"/>
      <c r="AD627" s="242"/>
      <c r="AE627" s="242"/>
      <c r="AF627" s="242"/>
      <c r="AG627" s="242"/>
      <c r="AH627" s="242"/>
    </row>
    <row r="628">
      <c r="A628" s="242"/>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c r="AA628" s="242"/>
      <c r="AB628" s="242"/>
      <c r="AC628" s="242"/>
      <c r="AD628" s="242"/>
      <c r="AE628" s="242"/>
      <c r="AF628" s="242"/>
      <c r="AG628" s="242"/>
      <c r="AH628" s="242"/>
    </row>
    <row r="629">
      <c r="A629" s="242"/>
      <c r="B629" s="242"/>
      <c r="C629" s="242"/>
      <c r="D629" s="242"/>
      <c r="E629" s="242"/>
      <c r="F629" s="242"/>
      <c r="G629" s="242"/>
      <c r="H629" s="242"/>
      <c r="I629" s="242"/>
      <c r="J629" s="242"/>
      <c r="K629" s="242"/>
      <c r="L629" s="242"/>
      <c r="M629" s="242"/>
      <c r="N629" s="242"/>
      <c r="O629" s="242"/>
      <c r="P629" s="242"/>
      <c r="Q629" s="242"/>
      <c r="R629" s="242"/>
      <c r="S629" s="242"/>
      <c r="T629" s="242"/>
      <c r="U629" s="242"/>
      <c r="V629" s="242"/>
      <c r="W629" s="242"/>
      <c r="X629" s="242"/>
      <c r="Y629" s="242"/>
      <c r="Z629" s="242"/>
      <c r="AA629" s="242"/>
      <c r="AB629" s="242"/>
      <c r="AC629" s="242"/>
      <c r="AD629" s="242"/>
      <c r="AE629" s="242"/>
      <c r="AF629" s="242"/>
      <c r="AG629" s="242"/>
      <c r="AH629" s="242"/>
    </row>
    <row r="630">
      <c r="A630" s="242"/>
      <c r="B630" s="242"/>
      <c r="C630" s="242"/>
      <c r="D630" s="242"/>
      <c r="E630" s="242"/>
      <c r="F630" s="242"/>
      <c r="G630" s="242"/>
      <c r="H630" s="242"/>
      <c r="I630" s="242"/>
      <c r="J630" s="242"/>
      <c r="K630" s="242"/>
      <c r="L630" s="242"/>
      <c r="M630" s="242"/>
      <c r="N630" s="242"/>
      <c r="O630" s="242"/>
      <c r="P630" s="242"/>
      <c r="Q630" s="242"/>
      <c r="R630" s="242"/>
      <c r="S630" s="242"/>
      <c r="T630" s="242"/>
      <c r="U630" s="242"/>
      <c r="V630" s="242"/>
      <c r="W630" s="242"/>
      <c r="X630" s="242"/>
      <c r="Y630" s="242"/>
      <c r="Z630" s="242"/>
      <c r="AA630" s="242"/>
      <c r="AB630" s="242"/>
      <c r="AC630" s="242"/>
      <c r="AD630" s="242"/>
      <c r="AE630" s="242"/>
      <c r="AF630" s="242"/>
      <c r="AG630" s="242"/>
      <c r="AH630" s="242"/>
    </row>
    <row r="631">
      <c r="A631" s="242"/>
      <c r="B631" s="242"/>
      <c r="C631" s="242"/>
      <c r="D631" s="242"/>
      <c r="E631" s="242"/>
      <c r="F631" s="242"/>
      <c r="G631" s="242"/>
      <c r="H631" s="242"/>
      <c r="I631" s="242"/>
      <c r="J631" s="242"/>
      <c r="K631" s="242"/>
      <c r="L631" s="242"/>
      <c r="M631" s="242"/>
      <c r="N631" s="242"/>
      <c r="O631" s="242"/>
      <c r="P631" s="242"/>
      <c r="Q631" s="242"/>
      <c r="R631" s="242"/>
      <c r="S631" s="242"/>
      <c r="T631" s="242"/>
      <c r="U631" s="242"/>
      <c r="V631" s="242"/>
      <c r="W631" s="242"/>
      <c r="X631" s="242"/>
      <c r="Y631" s="242"/>
      <c r="Z631" s="242"/>
      <c r="AA631" s="242"/>
      <c r="AB631" s="242"/>
      <c r="AC631" s="242"/>
      <c r="AD631" s="242"/>
      <c r="AE631" s="242"/>
      <c r="AF631" s="242"/>
      <c r="AG631" s="242"/>
      <c r="AH631" s="242"/>
    </row>
    <row r="632">
      <c r="A632" s="242"/>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c r="AA632" s="242"/>
      <c r="AB632" s="242"/>
      <c r="AC632" s="242"/>
      <c r="AD632" s="242"/>
      <c r="AE632" s="242"/>
      <c r="AF632" s="242"/>
      <c r="AG632" s="242"/>
      <c r="AH632" s="242"/>
    </row>
    <row r="633">
      <c r="A633" s="242"/>
      <c r="B633" s="242"/>
      <c r="C633" s="242"/>
      <c r="D633" s="242"/>
      <c r="E633" s="242"/>
      <c r="F633" s="242"/>
      <c r="G633" s="242"/>
      <c r="H633" s="242"/>
      <c r="I633" s="242"/>
      <c r="J633" s="242"/>
      <c r="K633" s="242"/>
      <c r="L633" s="242"/>
      <c r="M633" s="242"/>
      <c r="N633" s="242"/>
      <c r="O633" s="242"/>
      <c r="P633" s="242"/>
      <c r="Q633" s="242"/>
      <c r="R633" s="242"/>
      <c r="S633" s="242"/>
      <c r="T633" s="242"/>
      <c r="U633" s="242"/>
      <c r="V633" s="242"/>
      <c r="W633" s="242"/>
      <c r="X633" s="242"/>
      <c r="Y633" s="242"/>
      <c r="Z633" s="242"/>
      <c r="AA633" s="242"/>
      <c r="AB633" s="242"/>
      <c r="AC633" s="242"/>
      <c r="AD633" s="242"/>
      <c r="AE633" s="242"/>
      <c r="AF633" s="242"/>
      <c r="AG633" s="242"/>
      <c r="AH633" s="242"/>
    </row>
    <row r="634">
      <c r="A634" s="242"/>
      <c r="B634" s="242"/>
      <c r="C634" s="242"/>
      <c r="D634" s="242"/>
      <c r="E634" s="242"/>
      <c r="F634" s="242"/>
      <c r="G634" s="242"/>
      <c r="H634" s="242"/>
      <c r="I634" s="242"/>
      <c r="J634" s="242"/>
      <c r="K634" s="242"/>
      <c r="L634" s="242"/>
      <c r="M634" s="242"/>
      <c r="N634" s="242"/>
      <c r="O634" s="242"/>
      <c r="P634" s="242"/>
      <c r="Q634" s="242"/>
      <c r="R634" s="242"/>
      <c r="S634" s="242"/>
      <c r="T634" s="242"/>
      <c r="U634" s="242"/>
      <c r="V634" s="242"/>
      <c r="W634" s="242"/>
      <c r="X634" s="242"/>
      <c r="Y634" s="242"/>
      <c r="Z634" s="242"/>
      <c r="AA634" s="242"/>
      <c r="AB634" s="242"/>
      <c r="AC634" s="242"/>
      <c r="AD634" s="242"/>
      <c r="AE634" s="242"/>
      <c r="AF634" s="242"/>
      <c r="AG634" s="242"/>
      <c r="AH634" s="242"/>
    </row>
    <row r="635">
      <c r="A635" s="242"/>
      <c r="B635" s="242"/>
      <c r="C635" s="242"/>
      <c r="D635" s="242"/>
      <c r="E635" s="242"/>
      <c r="F635" s="242"/>
      <c r="G635" s="242"/>
      <c r="H635" s="242"/>
      <c r="I635" s="242"/>
      <c r="J635" s="242"/>
      <c r="K635" s="242"/>
      <c r="L635" s="242"/>
      <c r="M635" s="242"/>
      <c r="N635" s="242"/>
      <c r="O635" s="242"/>
      <c r="P635" s="242"/>
      <c r="Q635" s="242"/>
      <c r="R635" s="242"/>
      <c r="S635" s="242"/>
      <c r="T635" s="242"/>
      <c r="U635" s="242"/>
      <c r="V635" s="242"/>
      <c r="W635" s="242"/>
      <c r="X635" s="242"/>
      <c r="Y635" s="242"/>
      <c r="Z635" s="242"/>
      <c r="AA635" s="242"/>
      <c r="AB635" s="242"/>
      <c r="AC635" s="242"/>
      <c r="AD635" s="242"/>
      <c r="AE635" s="242"/>
      <c r="AF635" s="242"/>
      <c r="AG635" s="242"/>
      <c r="AH635" s="242"/>
    </row>
    <row r="636">
      <c r="A636" s="242"/>
      <c r="B636" s="242"/>
      <c r="C636" s="242"/>
      <c r="D636" s="242"/>
      <c r="E636" s="242"/>
      <c r="F636" s="242"/>
      <c r="G636" s="242"/>
      <c r="H636" s="242"/>
      <c r="I636" s="242"/>
      <c r="J636" s="242"/>
      <c r="K636" s="242"/>
      <c r="L636" s="242"/>
      <c r="M636" s="242"/>
      <c r="N636" s="242"/>
      <c r="O636" s="242"/>
      <c r="P636" s="242"/>
      <c r="Q636" s="242"/>
      <c r="R636" s="242"/>
      <c r="S636" s="242"/>
      <c r="T636" s="242"/>
      <c r="U636" s="242"/>
      <c r="V636" s="242"/>
      <c r="W636" s="242"/>
      <c r="X636" s="242"/>
      <c r="Y636" s="242"/>
      <c r="Z636" s="242"/>
      <c r="AA636" s="242"/>
      <c r="AB636" s="242"/>
      <c r="AC636" s="242"/>
      <c r="AD636" s="242"/>
      <c r="AE636" s="242"/>
      <c r="AF636" s="242"/>
      <c r="AG636" s="242"/>
      <c r="AH636" s="242"/>
    </row>
    <row r="637">
      <c r="A637" s="242"/>
      <c r="B637" s="242"/>
      <c r="C637" s="242"/>
      <c r="D637" s="242"/>
      <c r="E637" s="242"/>
      <c r="F637" s="242"/>
      <c r="G637" s="242"/>
      <c r="H637" s="242"/>
      <c r="I637" s="242"/>
      <c r="J637" s="242"/>
      <c r="K637" s="242"/>
      <c r="L637" s="242"/>
      <c r="M637" s="242"/>
      <c r="N637" s="242"/>
      <c r="O637" s="242"/>
      <c r="P637" s="242"/>
      <c r="Q637" s="242"/>
      <c r="R637" s="242"/>
      <c r="S637" s="242"/>
      <c r="T637" s="242"/>
      <c r="U637" s="242"/>
      <c r="V637" s="242"/>
      <c r="W637" s="242"/>
      <c r="X637" s="242"/>
      <c r="Y637" s="242"/>
      <c r="Z637" s="242"/>
      <c r="AA637" s="242"/>
      <c r="AB637" s="242"/>
      <c r="AC637" s="242"/>
      <c r="AD637" s="242"/>
      <c r="AE637" s="242"/>
      <c r="AF637" s="242"/>
      <c r="AG637" s="242"/>
      <c r="AH637" s="242"/>
    </row>
    <row r="638">
      <c r="A638" s="242"/>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c r="AA638" s="242"/>
      <c r="AB638" s="242"/>
      <c r="AC638" s="242"/>
      <c r="AD638" s="242"/>
      <c r="AE638" s="242"/>
      <c r="AF638" s="242"/>
      <c r="AG638" s="242"/>
      <c r="AH638" s="242"/>
    </row>
    <row r="639">
      <c r="A639" s="242"/>
      <c r="B639" s="242"/>
      <c r="C639" s="242"/>
      <c r="D639" s="242"/>
      <c r="E639" s="242"/>
      <c r="F639" s="242"/>
      <c r="G639" s="242"/>
      <c r="H639" s="242"/>
      <c r="I639" s="242"/>
      <c r="J639" s="242"/>
      <c r="K639" s="242"/>
      <c r="L639" s="242"/>
      <c r="M639" s="242"/>
      <c r="N639" s="242"/>
      <c r="O639" s="242"/>
      <c r="P639" s="242"/>
      <c r="Q639" s="242"/>
      <c r="R639" s="242"/>
      <c r="S639" s="242"/>
      <c r="T639" s="242"/>
      <c r="U639" s="242"/>
      <c r="V639" s="242"/>
      <c r="W639" s="242"/>
      <c r="X639" s="242"/>
      <c r="Y639" s="242"/>
      <c r="Z639" s="242"/>
      <c r="AA639" s="242"/>
      <c r="AB639" s="242"/>
      <c r="AC639" s="242"/>
      <c r="AD639" s="242"/>
      <c r="AE639" s="242"/>
      <c r="AF639" s="242"/>
      <c r="AG639" s="242"/>
      <c r="AH639" s="242"/>
    </row>
    <row r="640">
      <c r="A640" s="242"/>
      <c r="B640" s="242"/>
      <c r="C640" s="242"/>
      <c r="D640" s="242"/>
      <c r="E640" s="242"/>
      <c r="F640" s="242"/>
      <c r="G640" s="242"/>
      <c r="H640" s="242"/>
      <c r="I640" s="242"/>
      <c r="J640" s="242"/>
      <c r="K640" s="242"/>
      <c r="L640" s="242"/>
      <c r="M640" s="242"/>
      <c r="N640" s="242"/>
      <c r="O640" s="242"/>
      <c r="P640" s="242"/>
      <c r="Q640" s="242"/>
      <c r="R640" s="242"/>
      <c r="S640" s="242"/>
      <c r="T640" s="242"/>
      <c r="U640" s="242"/>
      <c r="V640" s="242"/>
      <c r="W640" s="242"/>
      <c r="X640" s="242"/>
      <c r="Y640" s="242"/>
      <c r="Z640" s="242"/>
      <c r="AA640" s="242"/>
      <c r="AB640" s="242"/>
      <c r="AC640" s="242"/>
      <c r="AD640" s="242"/>
      <c r="AE640" s="242"/>
      <c r="AF640" s="242"/>
      <c r="AG640" s="242"/>
      <c r="AH640" s="242"/>
    </row>
    <row r="641">
      <c r="A641" s="242"/>
      <c r="B641" s="242"/>
      <c r="C641" s="242"/>
      <c r="D641" s="242"/>
      <c r="E641" s="242"/>
      <c r="F641" s="242"/>
      <c r="G641" s="242"/>
      <c r="H641" s="242"/>
      <c r="I641" s="242"/>
      <c r="J641" s="242"/>
      <c r="K641" s="242"/>
      <c r="L641" s="242"/>
      <c r="M641" s="242"/>
      <c r="N641" s="242"/>
      <c r="O641" s="242"/>
      <c r="P641" s="242"/>
      <c r="Q641" s="242"/>
      <c r="R641" s="242"/>
      <c r="S641" s="242"/>
      <c r="T641" s="242"/>
      <c r="U641" s="242"/>
      <c r="V641" s="242"/>
      <c r="W641" s="242"/>
      <c r="X641" s="242"/>
      <c r="Y641" s="242"/>
      <c r="Z641" s="242"/>
      <c r="AA641" s="242"/>
      <c r="AB641" s="242"/>
      <c r="AC641" s="242"/>
      <c r="AD641" s="242"/>
      <c r="AE641" s="242"/>
      <c r="AF641" s="242"/>
      <c r="AG641" s="242"/>
      <c r="AH641" s="242"/>
    </row>
    <row r="642">
      <c r="A642" s="242"/>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c r="AA642" s="242"/>
      <c r="AB642" s="242"/>
      <c r="AC642" s="242"/>
      <c r="AD642" s="242"/>
      <c r="AE642" s="242"/>
      <c r="AF642" s="242"/>
      <c r="AG642" s="242"/>
      <c r="AH642" s="242"/>
    </row>
    <row r="643">
      <c r="A643" s="242"/>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c r="AA643" s="242"/>
      <c r="AB643" s="242"/>
      <c r="AC643" s="242"/>
      <c r="AD643" s="242"/>
      <c r="AE643" s="242"/>
      <c r="AF643" s="242"/>
      <c r="AG643" s="242"/>
      <c r="AH643" s="242"/>
    </row>
    <row r="644">
      <c r="A644" s="242"/>
      <c r="B644" s="242"/>
      <c r="C644" s="242"/>
      <c r="D644" s="242"/>
      <c r="E644" s="242"/>
      <c r="F644" s="242"/>
      <c r="G644" s="242"/>
      <c r="H644" s="242"/>
      <c r="I644" s="242"/>
      <c r="J644" s="242"/>
      <c r="K644" s="242"/>
      <c r="L644" s="242"/>
      <c r="M644" s="242"/>
      <c r="N644" s="242"/>
      <c r="O644" s="242"/>
      <c r="P644" s="242"/>
      <c r="Q644" s="242"/>
      <c r="R644" s="242"/>
      <c r="S644" s="242"/>
      <c r="T644" s="242"/>
      <c r="U644" s="242"/>
      <c r="V644" s="242"/>
      <c r="W644" s="242"/>
      <c r="X644" s="242"/>
      <c r="Y644" s="242"/>
      <c r="Z644" s="242"/>
      <c r="AA644" s="242"/>
      <c r="AB644" s="242"/>
      <c r="AC644" s="242"/>
      <c r="AD644" s="242"/>
      <c r="AE644" s="242"/>
      <c r="AF644" s="242"/>
      <c r="AG644" s="242"/>
      <c r="AH644" s="242"/>
    </row>
    <row r="645">
      <c r="A645" s="242"/>
      <c r="B645" s="242"/>
      <c r="C645" s="242"/>
      <c r="D645" s="242"/>
      <c r="E645" s="242"/>
      <c r="F645" s="242"/>
      <c r="G645" s="242"/>
      <c r="H645" s="242"/>
      <c r="I645" s="242"/>
      <c r="J645" s="242"/>
      <c r="K645" s="242"/>
      <c r="L645" s="242"/>
      <c r="M645" s="242"/>
      <c r="N645" s="242"/>
      <c r="O645" s="242"/>
      <c r="P645" s="242"/>
      <c r="Q645" s="242"/>
      <c r="R645" s="242"/>
      <c r="S645" s="242"/>
      <c r="T645" s="242"/>
      <c r="U645" s="242"/>
      <c r="V645" s="242"/>
      <c r="W645" s="242"/>
      <c r="X645" s="242"/>
      <c r="Y645" s="242"/>
      <c r="Z645" s="242"/>
      <c r="AA645" s="242"/>
      <c r="AB645" s="242"/>
      <c r="AC645" s="242"/>
      <c r="AD645" s="242"/>
      <c r="AE645" s="242"/>
      <c r="AF645" s="242"/>
      <c r="AG645" s="242"/>
      <c r="AH645" s="242"/>
    </row>
    <row r="646">
      <c r="A646" s="242"/>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c r="AA646" s="242"/>
      <c r="AB646" s="242"/>
      <c r="AC646" s="242"/>
      <c r="AD646" s="242"/>
      <c r="AE646" s="242"/>
      <c r="AF646" s="242"/>
      <c r="AG646" s="242"/>
      <c r="AH646" s="242"/>
    </row>
    <row r="647">
      <c r="A647" s="242"/>
      <c r="B647" s="242"/>
      <c r="C647" s="242"/>
      <c r="D647" s="242"/>
      <c r="E647" s="242"/>
      <c r="F647" s="242"/>
      <c r="G647" s="242"/>
      <c r="H647" s="242"/>
      <c r="I647" s="242"/>
      <c r="J647" s="242"/>
      <c r="K647" s="242"/>
      <c r="L647" s="242"/>
      <c r="M647" s="242"/>
      <c r="N647" s="242"/>
      <c r="O647" s="242"/>
      <c r="P647" s="242"/>
      <c r="Q647" s="242"/>
      <c r="R647" s="242"/>
      <c r="S647" s="242"/>
      <c r="T647" s="242"/>
      <c r="U647" s="242"/>
      <c r="V647" s="242"/>
      <c r="W647" s="242"/>
      <c r="X647" s="242"/>
      <c r="Y647" s="242"/>
      <c r="Z647" s="242"/>
      <c r="AA647" s="242"/>
      <c r="AB647" s="242"/>
      <c r="AC647" s="242"/>
      <c r="AD647" s="242"/>
      <c r="AE647" s="242"/>
      <c r="AF647" s="242"/>
      <c r="AG647" s="242"/>
      <c r="AH647" s="242"/>
    </row>
    <row r="648">
      <c r="A648" s="242"/>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c r="AA648" s="242"/>
      <c r="AB648" s="242"/>
      <c r="AC648" s="242"/>
      <c r="AD648" s="242"/>
      <c r="AE648" s="242"/>
      <c r="AF648" s="242"/>
      <c r="AG648" s="242"/>
      <c r="AH648" s="242"/>
    </row>
    <row r="649">
      <c r="A649" s="242"/>
      <c r="B649" s="242"/>
      <c r="C649" s="242"/>
      <c r="D649" s="242"/>
      <c r="E649" s="242"/>
      <c r="F649" s="242"/>
      <c r="G649" s="242"/>
      <c r="H649" s="242"/>
      <c r="I649" s="242"/>
      <c r="J649" s="242"/>
      <c r="K649" s="242"/>
      <c r="L649" s="242"/>
      <c r="M649" s="242"/>
      <c r="N649" s="242"/>
      <c r="O649" s="242"/>
      <c r="P649" s="242"/>
      <c r="Q649" s="242"/>
      <c r="R649" s="242"/>
      <c r="S649" s="242"/>
      <c r="T649" s="242"/>
      <c r="U649" s="242"/>
      <c r="V649" s="242"/>
      <c r="W649" s="242"/>
      <c r="X649" s="242"/>
      <c r="Y649" s="242"/>
      <c r="Z649" s="242"/>
      <c r="AA649" s="242"/>
      <c r="AB649" s="242"/>
      <c r="AC649" s="242"/>
      <c r="AD649" s="242"/>
      <c r="AE649" s="242"/>
      <c r="AF649" s="242"/>
      <c r="AG649" s="242"/>
      <c r="AH649" s="242"/>
    </row>
    <row r="650">
      <c r="A650" s="242"/>
      <c r="B650" s="242"/>
      <c r="C650" s="242"/>
      <c r="D650" s="242"/>
      <c r="E650" s="242"/>
      <c r="F650" s="242"/>
      <c r="G650" s="242"/>
      <c r="H650" s="242"/>
      <c r="I650" s="242"/>
      <c r="J650" s="242"/>
      <c r="K650" s="242"/>
      <c r="L650" s="242"/>
      <c r="M650" s="242"/>
      <c r="N650" s="242"/>
      <c r="O650" s="242"/>
      <c r="P650" s="242"/>
      <c r="Q650" s="242"/>
      <c r="R650" s="242"/>
      <c r="S650" s="242"/>
      <c r="T650" s="242"/>
      <c r="U650" s="242"/>
      <c r="V650" s="242"/>
      <c r="W650" s="242"/>
      <c r="X650" s="242"/>
      <c r="Y650" s="242"/>
      <c r="Z650" s="242"/>
      <c r="AA650" s="242"/>
      <c r="AB650" s="242"/>
      <c r="AC650" s="242"/>
      <c r="AD650" s="242"/>
      <c r="AE650" s="242"/>
      <c r="AF650" s="242"/>
      <c r="AG650" s="242"/>
      <c r="AH650" s="242"/>
    </row>
    <row r="651">
      <c r="A651" s="242"/>
      <c r="B651" s="242"/>
      <c r="C651" s="242"/>
      <c r="D651" s="242"/>
      <c r="E651" s="242"/>
      <c r="F651" s="242"/>
      <c r="G651" s="242"/>
      <c r="H651" s="242"/>
      <c r="I651" s="242"/>
      <c r="J651" s="242"/>
      <c r="K651" s="242"/>
      <c r="L651" s="242"/>
      <c r="M651" s="242"/>
      <c r="N651" s="242"/>
      <c r="O651" s="242"/>
      <c r="P651" s="242"/>
      <c r="Q651" s="242"/>
      <c r="R651" s="242"/>
      <c r="S651" s="242"/>
      <c r="T651" s="242"/>
      <c r="U651" s="242"/>
      <c r="V651" s="242"/>
      <c r="W651" s="242"/>
      <c r="X651" s="242"/>
      <c r="Y651" s="242"/>
      <c r="Z651" s="242"/>
      <c r="AA651" s="242"/>
      <c r="AB651" s="242"/>
      <c r="AC651" s="242"/>
      <c r="AD651" s="242"/>
      <c r="AE651" s="242"/>
      <c r="AF651" s="242"/>
      <c r="AG651" s="242"/>
      <c r="AH651" s="242"/>
    </row>
    <row r="652">
      <c r="A652" s="242"/>
      <c r="B652" s="242"/>
      <c r="C652" s="242"/>
      <c r="D652" s="242"/>
      <c r="E652" s="242"/>
      <c r="F652" s="242"/>
      <c r="G652" s="242"/>
      <c r="H652" s="242"/>
      <c r="I652" s="242"/>
      <c r="J652" s="242"/>
      <c r="K652" s="242"/>
      <c r="L652" s="242"/>
      <c r="M652" s="242"/>
      <c r="N652" s="242"/>
      <c r="O652" s="242"/>
      <c r="P652" s="242"/>
      <c r="Q652" s="242"/>
      <c r="R652" s="242"/>
      <c r="S652" s="242"/>
      <c r="T652" s="242"/>
      <c r="U652" s="242"/>
      <c r="V652" s="242"/>
      <c r="W652" s="242"/>
      <c r="X652" s="242"/>
      <c r="Y652" s="242"/>
      <c r="Z652" s="242"/>
      <c r="AA652" s="242"/>
      <c r="AB652" s="242"/>
      <c r="AC652" s="242"/>
      <c r="AD652" s="242"/>
      <c r="AE652" s="242"/>
      <c r="AF652" s="242"/>
      <c r="AG652" s="242"/>
      <c r="AH652" s="242"/>
    </row>
    <row r="653">
      <c r="A653" s="242"/>
      <c r="B653" s="242"/>
      <c r="C653" s="242"/>
      <c r="D653" s="242"/>
      <c r="E653" s="242"/>
      <c r="F653" s="242"/>
      <c r="G653" s="242"/>
      <c r="H653" s="242"/>
      <c r="I653" s="242"/>
      <c r="J653" s="242"/>
      <c r="K653" s="242"/>
      <c r="L653" s="242"/>
      <c r="M653" s="242"/>
      <c r="N653" s="242"/>
      <c r="O653" s="242"/>
      <c r="P653" s="242"/>
      <c r="Q653" s="242"/>
      <c r="R653" s="242"/>
      <c r="S653" s="242"/>
      <c r="T653" s="242"/>
      <c r="U653" s="242"/>
      <c r="V653" s="242"/>
      <c r="W653" s="242"/>
      <c r="X653" s="242"/>
      <c r="Y653" s="242"/>
      <c r="Z653" s="242"/>
      <c r="AA653" s="242"/>
      <c r="AB653" s="242"/>
      <c r="AC653" s="242"/>
      <c r="AD653" s="242"/>
      <c r="AE653" s="242"/>
      <c r="AF653" s="242"/>
      <c r="AG653" s="242"/>
      <c r="AH653" s="242"/>
    </row>
    <row r="654">
      <c r="A654" s="242"/>
      <c r="B654" s="242"/>
      <c r="C654" s="242"/>
      <c r="D654" s="242"/>
      <c r="E654" s="242"/>
      <c r="F654" s="242"/>
      <c r="G654" s="242"/>
      <c r="H654" s="242"/>
      <c r="I654" s="242"/>
      <c r="J654" s="242"/>
      <c r="K654" s="242"/>
      <c r="L654" s="242"/>
      <c r="M654" s="242"/>
      <c r="N654" s="242"/>
      <c r="O654" s="242"/>
      <c r="P654" s="242"/>
      <c r="Q654" s="242"/>
      <c r="R654" s="242"/>
      <c r="S654" s="242"/>
      <c r="T654" s="242"/>
      <c r="U654" s="242"/>
      <c r="V654" s="242"/>
      <c r="W654" s="242"/>
      <c r="X654" s="242"/>
      <c r="Y654" s="242"/>
      <c r="Z654" s="242"/>
      <c r="AA654" s="242"/>
      <c r="AB654" s="242"/>
      <c r="AC654" s="242"/>
      <c r="AD654" s="242"/>
      <c r="AE654" s="242"/>
      <c r="AF654" s="242"/>
      <c r="AG654" s="242"/>
      <c r="AH654" s="242"/>
    </row>
    <row r="655">
      <c r="A655" s="242"/>
      <c r="B655" s="242"/>
      <c r="C655" s="242"/>
      <c r="D655" s="242"/>
      <c r="E655" s="242"/>
      <c r="F655" s="242"/>
      <c r="G655" s="242"/>
      <c r="H655" s="242"/>
      <c r="I655" s="242"/>
      <c r="J655" s="242"/>
      <c r="K655" s="242"/>
      <c r="L655" s="242"/>
      <c r="M655" s="242"/>
      <c r="N655" s="242"/>
      <c r="O655" s="242"/>
      <c r="P655" s="242"/>
      <c r="Q655" s="242"/>
      <c r="R655" s="242"/>
      <c r="S655" s="242"/>
      <c r="T655" s="242"/>
      <c r="U655" s="242"/>
      <c r="V655" s="242"/>
      <c r="W655" s="242"/>
      <c r="X655" s="242"/>
      <c r="Y655" s="242"/>
      <c r="Z655" s="242"/>
      <c r="AA655" s="242"/>
      <c r="AB655" s="242"/>
      <c r="AC655" s="242"/>
      <c r="AD655" s="242"/>
      <c r="AE655" s="242"/>
      <c r="AF655" s="242"/>
      <c r="AG655" s="242"/>
      <c r="AH655" s="242"/>
    </row>
    <row r="656">
      <c r="A656" s="242"/>
      <c r="B656" s="242"/>
      <c r="C656" s="242"/>
      <c r="D656" s="242"/>
      <c r="E656" s="242"/>
      <c r="F656" s="242"/>
      <c r="G656" s="242"/>
      <c r="H656" s="242"/>
      <c r="I656" s="242"/>
      <c r="J656" s="242"/>
      <c r="K656" s="242"/>
      <c r="L656" s="242"/>
      <c r="M656" s="242"/>
      <c r="N656" s="242"/>
      <c r="O656" s="242"/>
      <c r="P656" s="242"/>
      <c r="Q656" s="242"/>
      <c r="R656" s="242"/>
      <c r="S656" s="242"/>
      <c r="T656" s="242"/>
      <c r="U656" s="242"/>
      <c r="V656" s="242"/>
      <c r="W656" s="242"/>
      <c r="X656" s="242"/>
      <c r="Y656" s="242"/>
      <c r="Z656" s="242"/>
      <c r="AA656" s="242"/>
      <c r="AB656" s="242"/>
      <c r="AC656" s="242"/>
      <c r="AD656" s="242"/>
      <c r="AE656" s="242"/>
      <c r="AF656" s="242"/>
      <c r="AG656" s="242"/>
      <c r="AH656" s="242"/>
    </row>
    <row r="657">
      <c r="A657" s="242"/>
      <c r="B657" s="242"/>
      <c r="C657" s="242"/>
      <c r="D657" s="242"/>
      <c r="E657" s="242"/>
      <c r="F657" s="242"/>
      <c r="G657" s="242"/>
      <c r="H657" s="242"/>
      <c r="I657" s="242"/>
      <c r="J657" s="242"/>
      <c r="K657" s="242"/>
      <c r="L657" s="242"/>
      <c r="M657" s="242"/>
      <c r="N657" s="242"/>
      <c r="O657" s="242"/>
      <c r="P657" s="242"/>
      <c r="Q657" s="242"/>
      <c r="R657" s="242"/>
      <c r="S657" s="242"/>
      <c r="T657" s="242"/>
      <c r="U657" s="242"/>
      <c r="V657" s="242"/>
      <c r="W657" s="242"/>
      <c r="X657" s="242"/>
      <c r="Y657" s="242"/>
      <c r="Z657" s="242"/>
      <c r="AA657" s="242"/>
      <c r="AB657" s="242"/>
      <c r="AC657" s="242"/>
      <c r="AD657" s="242"/>
      <c r="AE657" s="242"/>
      <c r="AF657" s="242"/>
      <c r="AG657" s="242"/>
      <c r="AH657" s="242"/>
    </row>
    <row r="658">
      <c r="A658" s="242"/>
      <c r="B658" s="242"/>
      <c r="C658" s="242"/>
      <c r="D658" s="242"/>
      <c r="E658" s="242"/>
      <c r="F658" s="242"/>
      <c r="G658" s="242"/>
      <c r="H658" s="242"/>
      <c r="I658" s="242"/>
      <c r="J658" s="242"/>
      <c r="K658" s="242"/>
      <c r="L658" s="242"/>
      <c r="M658" s="242"/>
      <c r="N658" s="242"/>
      <c r="O658" s="242"/>
      <c r="P658" s="242"/>
      <c r="Q658" s="242"/>
      <c r="R658" s="242"/>
      <c r="S658" s="242"/>
      <c r="T658" s="242"/>
      <c r="U658" s="242"/>
      <c r="V658" s="242"/>
      <c r="W658" s="242"/>
      <c r="X658" s="242"/>
      <c r="Y658" s="242"/>
      <c r="Z658" s="242"/>
      <c r="AA658" s="242"/>
      <c r="AB658" s="242"/>
      <c r="AC658" s="242"/>
      <c r="AD658" s="242"/>
      <c r="AE658" s="242"/>
      <c r="AF658" s="242"/>
      <c r="AG658" s="242"/>
      <c r="AH658" s="242"/>
    </row>
    <row r="659">
      <c r="A659" s="242"/>
      <c r="B659" s="242"/>
      <c r="C659" s="242"/>
      <c r="D659" s="242"/>
      <c r="E659" s="242"/>
      <c r="F659" s="242"/>
      <c r="G659" s="242"/>
      <c r="H659" s="242"/>
      <c r="I659" s="242"/>
      <c r="J659" s="242"/>
      <c r="K659" s="242"/>
      <c r="L659" s="242"/>
      <c r="M659" s="242"/>
      <c r="N659" s="242"/>
      <c r="O659" s="242"/>
      <c r="P659" s="242"/>
      <c r="Q659" s="242"/>
      <c r="R659" s="242"/>
      <c r="S659" s="242"/>
      <c r="T659" s="242"/>
      <c r="U659" s="242"/>
      <c r="V659" s="242"/>
      <c r="W659" s="242"/>
      <c r="X659" s="242"/>
      <c r="Y659" s="242"/>
      <c r="Z659" s="242"/>
      <c r="AA659" s="242"/>
      <c r="AB659" s="242"/>
      <c r="AC659" s="242"/>
      <c r="AD659" s="242"/>
      <c r="AE659" s="242"/>
      <c r="AF659" s="242"/>
      <c r="AG659" s="242"/>
      <c r="AH659" s="242"/>
    </row>
    <row r="660">
      <c r="A660" s="242"/>
      <c r="B660" s="242"/>
      <c r="C660" s="242"/>
      <c r="D660" s="242"/>
      <c r="E660" s="242"/>
      <c r="F660" s="242"/>
      <c r="G660" s="242"/>
      <c r="H660" s="242"/>
      <c r="I660" s="242"/>
      <c r="J660" s="242"/>
      <c r="K660" s="242"/>
      <c r="L660" s="242"/>
      <c r="M660" s="242"/>
      <c r="N660" s="242"/>
      <c r="O660" s="242"/>
      <c r="P660" s="242"/>
      <c r="Q660" s="242"/>
      <c r="R660" s="242"/>
      <c r="S660" s="242"/>
      <c r="T660" s="242"/>
      <c r="U660" s="242"/>
      <c r="V660" s="242"/>
      <c r="W660" s="242"/>
      <c r="X660" s="242"/>
      <c r="Y660" s="242"/>
      <c r="Z660" s="242"/>
      <c r="AA660" s="242"/>
      <c r="AB660" s="242"/>
      <c r="AC660" s="242"/>
      <c r="AD660" s="242"/>
      <c r="AE660" s="242"/>
      <c r="AF660" s="242"/>
      <c r="AG660" s="242"/>
      <c r="AH660" s="242"/>
    </row>
    <row r="661">
      <c r="A661" s="242"/>
      <c r="B661" s="242"/>
      <c r="C661" s="242"/>
      <c r="D661" s="242"/>
      <c r="E661" s="242"/>
      <c r="F661" s="242"/>
      <c r="G661" s="242"/>
      <c r="H661" s="242"/>
      <c r="I661" s="242"/>
      <c r="J661" s="242"/>
      <c r="K661" s="242"/>
      <c r="L661" s="242"/>
      <c r="M661" s="242"/>
      <c r="N661" s="242"/>
      <c r="O661" s="242"/>
      <c r="P661" s="242"/>
      <c r="Q661" s="242"/>
      <c r="R661" s="242"/>
      <c r="S661" s="242"/>
      <c r="T661" s="242"/>
      <c r="U661" s="242"/>
      <c r="V661" s="242"/>
      <c r="W661" s="242"/>
      <c r="X661" s="242"/>
      <c r="Y661" s="242"/>
      <c r="Z661" s="242"/>
      <c r="AA661" s="242"/>
      <c r="AB661" s="242"/>
      <c r="AC661" s="242"/>
      <c r="AD661" s="242"/>
      <c r="AE661" s="242"/>
      <c r="AF661" s="242"/>
      <c r="AG661" s="242"/>
      <c r="AH661" s="242"/>
    </row>
    <row r="662">
      <c r="A662" s="242"/>
      <c r="B662" s="242"/>
      <c r="C662" s="242"/>
      <c r="D662" s="242"/>
      <c r="E662" s="242"/>
      <c r="F662" s="242"/>
      <c r="G662" s="242"/>
      <c r="H662" s="242"/>
      <c r="I662" s="242"/>
      <c r="J662" s="242"/>
      <c r="K662" s="242"/>
      <c r="L662" s="242"/>
      <c r="M662" s="242"/>
      <c r="N662" s="242"/>
      <c r="O662" s="242"/>
      <c r="P662" s="242"/>
      <c r="Q662" s="242"/>
      <c r="R662" s="242"/>
      <c r="S662" s="242"/>
      <c r="T662" s="242"/>
      <c r="U662" s="242"/>
      <c r="V662" s="242"/>
      <c r="W662" s="242"/>
      <c r="X662" s="242"/>
      <c r="Y662" s="242"/>
      <c r="Z662" s="242"/>
      <c r="AA662" s="242"/>
      <c r="AB662" s="242"/>
      <c r="AC662" s="242"/>
      <c r="AD662" s="242"/>
      <c r="AE662" s="242"/>
      <c r="AF662" s="242"/>
      <c r="AG662" s="242"/>
      <c r="AH662" s="242"/>
    </row>
    <row r="663">
      <c r="A663" s="242"/>
      <c r="B663" s="242"/>
      <c r="C663" s="242"/>
      <c r="D663" s="242"/>
      <c r="E663" s="242"/>
      <c r="F663" s="242"/>
      <c r="G663" s="242"/>
      <c r="H663" s="242"/>
      <c r="I663" s="242"/>
      <c r="J663" s="242"/>
      <c r="K663" s="242"/>
      <c r="L663" s="242"/>
      <c r="M663" s="242"/>
      <c r="N663" s="242"/>
      <c r="O663" s="242"/>
      <c r="P663" s="242"/>
      <c r="Q663" s="242"/>
      <c r="R663" s="242"/>
      <c r="S663" s="242"/>
      <c r="T663" s="242"/>
      <c r="U663" s="242"/>
      <c r="V663" s="242"/>
      <c r="W663" s="242"/>
      <c r="X663" s="242"/>
      <c r="Y663" s="242"/>
      <c r="Z663" s="242"/>
      <c r="AA663" s="242"/>
      <c r="AB663" s="242"/>
      <c r="AC663" s="242"/>
      <c r="AD663" s="242"/>
      <c r="AE663" s="242"/>
      <c r="AF663" s="242"/>
      <c r="AG663" s="242"/>
      <c r="AH663" s="242"/>
    </row>
    <row r="664">
      <c r="A664" s="242"/>
      <c r="B664" s="242"/>
      <c r="C664" s="242"/>
      <c r="D664" s="242"/>
      <c r="E664" s="242"/>
      <c r="F664" s="242"/>
      <c r="G664" s="242"/>
      <c r="H664" s="242"/>
      <c r="I664" s="242"/>
      <c r="J664" s="242"/>
      <c r="K664" s="242"/>
      <c r="L664" s="242"/>
      <c r="M664" s="242"/>
      <c r="N664" s="242"/>
      <c r="O664" s="242"/>
      <c r="P664" s="242"/>
      <c r="Q664" s="242"/>
      <c r="R664" s="242"/>
      <c r="S664" s="242"/>
      <c r="T664" s="242"/>
      <c r="U664" s="242"/>
      <c r="V664" s="242"/>
      <c r="W664" s="242"/>
      <c r="X664" s="242"/>
      <c r="Y664" s="242"/>
      <c r="Z664" s="242"/>
      <c r="AA664" s="242"/>
      <c r="AB664" s="242"/>
      <c r="AC664" s="242"/>
      <c r="AD664" s="242"/>
      <c r="AE664" s="242"/>
      <c r="AF664" s="242"/>
      <c r="AG664" s="242"/>
      <c r="AH664" s="242"/>
    </row>
    <row r="665">
      <c r="A665" s="242"/>
      <c r="B665" s="242"/>
      <c r="C665" s="242"/>
      <c r="D665" s="242"/>
      <c r="E665" s="242"/>
      <c r="F665" s="242"/>
      <c r="G665" s="242"/>
      <c r="H665" s="242"/>
      <c r="I665" s="242"/>
      <c r="J665" s="242"/>
      <c r="K665" s="242"/>
      <c r="L665" s="242"/>
      <c r="M665" s="242"/>
      <c r="N665" s="242"/>
      <c r="O665" s="242"/>
      <c r="P665" s="242"/>
      <c r="Q665" s="242"/>
      <c r="R665" s="242"/>
      <c r="S665" s="242"/>
      <c r="T665" s="242"/>
      <c r="U665" s="242"/>
      <c r="V665" s="242"/>
      <c r="W665" s="242"/>
      <c r="X665" s="242"/>
      <c r="Y665" s="242"/>
      <c r="Z665" s="242"/>
      <c r="AA665" s="242"/>
      <c r="AB665" s="242"/>
      <c r="AC665" s="242"/>
      <c r="AD665" s="242"/>
      <c r="AE665" s="242"/>
      <c r="AF665" s="242"/>
      <c r="AG665" s="242"/>
      <c r="AH665" s="242"/>
    </row>
    <row r="666">
      <c r="A666" s="242"/>
      <c r="B666" s="242"/>
      <c r="C666" s="242"/>
      <c r="D666" s="242"/>
      <c r="E666" s="242"/>
      <c r="F666" s="242"/>
      <c r="G666" s="242"/>
      <c r="H666" s="242"/>
      <c r="I666" s="242"/>
      <c r="J666" s="242"/>
      <c r="K666" s="242"/>
      <c r="L666" s="242"/>
      <c r="M666" s="242"/>
      <c r="N666" s="242"/>
      <c r="O666" s="242"/>
      <c r="P666" s="242"/>
      <c r="Q666" s="242"/>
      <c r="R666" s="242"/>
      <c r="S666" s="242"/>
      <c r="T666" s="242"/>
      <c r="U666" s="242"/>
      <c r="V666" s="242"/>
      <c r="W666" s="242"/>
      <c r="X666" s="242"/>
      <c r="Y666" s="242"/>
      <c r="Z666" s="242"/>
      <c r="AA666" s="242"/>
      <c r="AB666" s="242"/>
      <c r="AC666" s="242"/>
      <c r="AD666" s="242"/>
      <c r="AE666" s="242"/>
      <c r="AF666" s="242"/>
      <c r="AG666" s="242"/>
      <c r="AH666" s="242"/>
    </row>
    <row r="667">
      <c r="A667" s="242"/>
      <c r="B667" s="242"/>
      <c r="C667" s="242"/>
      <c r="D667" s="242"/>
      <c r="E667" s="242"/>
      <c r="F667" s="242"/>
      <c r="G667" s="242"/>
      <c r="H667" s="242"/>
      <c r="I667" s="242"/>
      <c r="J667" s="242"/>
      <c r="K667" s="242"/>
      <c r="L667" s="242"/>
      <c r="M667" s="242"/>
      <c r="N667" s="242"/>
      <c r="O667" s="242"/>
      <c r="P667" s="242"/>
      <c r="Q667" s="242"/>
      <c r="R667" s="242"/>
      <c r="S667" s="242"/>
      <c r="T667" s="242"/>
      <c r="U667" s="242"/>
      <c r="V667" s="242"/>
      <c r="W667" s="242"/>
      <c r="X667" s="242"/>
      <c r="Y667" s="242"/>
      <c r="Z667" s="242"/>
      <c r="AA667" s="242"/>
      <c r="AB667" s="242"/>
      <c r="AC667" s="242"/>
      <c r="AD667" s="242"/>
      <c r="AE667" s="242"/>
      <c r="AF667" s="242"/>
      <c r="AG667" s="242"/>
      <c r="AH667" s="242"/>
    </row>
    <row r="668">
      <c r="A668" s="242"/>
      <c r="B668" s="242"/>
      <c r="C668" s="242"/>
      <c r="D668" s="242"/>
      <c r="E668" s="242"/>
      <c r="F668" s="242"/>
      <c r="G668" s="242"/>
      <c r="H668" s="242"/>
      <c r="I668" s="242"/>
      <c r="J668" s="242"/>
      <c r="K668" s="242"/>
      <c r="L668" s="242"/>
      <c r="M668" s="242"/>
      <c r="N668" s="242"/>
      <c r="O668" s="242"/>
      <c r="P668" s="242"/>
      <c r="Q668" s="242"/>
      <c r="R668" s="242"/>
      <c r="S668" s="242"/>
      <c r="T668" s="242"/>
      <c r="U668" s="242"/>
      <c r="V668" s="242"/>
      <c r="W668" s="242"/>
      <c r="X668" s="242"/>
      <c r="Y668" s="242"/>
      <c r="Z668" s="242"/>
      <c r="AA668" s="242"/>
      <c r="AB668" s="242"/>
      <c r="AC668" s="242"/>
      <c r="AD668" s="242"/>
      <c r="AE668" s="242"/>
      <c r="AF668" s="242"/>
      <c r="AG668" s="242"/>
      <c r="AH668" s="242"/>
    </row>
    <row r="669">
      <c r="A669" s="242"/>
      <c r="B669" s="242"/>
      <c r="C669" s="242"/>
      <c r="D669" s="242"/>
      <c r="E669" s="242"/>
      <c r="F669" s="242"/>
      <c r="G669" s="242"/>
      <c r="H669" s="242"/>
      <c r="I669" s="242"/>
      <c r="J669" s="242"/>
      <c r="K669" s="242"/>
      <c r="L669" s="242"/>
      <c r="M669" s="242"/>
      <c r="N669" s="242"/>
      <c r="O669" s="242"/>
      <c r="P669" s="242"/>
      <c r="Q669" s="242"/>
      <c r="R669" s="242"/>
      <c r="S669" s="242"/>
      <c r="T669" s="242"/>
      <c r="U669" s="242"/>
      <c r="V669" s="242"/>
      <c r="W669" s="242"/>
      <c r="X669" s="242"/>
      <c r="Y669" s="242"/>
      <c r="Z669" s="242"/>
      <c r="AA669" s="242"/>
      <c r="AB669" s="242"/>
      <c r="AC669" s="242"/>
      <c r="AD669" s="242"/>
      <c r="AE669" s="242"/>
      <c r="AF669" s="242"/>
      <c r="AG669" s="242"/>
      <c r="AH669" s="242"/>
    </row>
    <row r="670">
      <c r="A670" s="242"/>
      <c r="B670" s="242"/>
      <c r="C670" s="242"/>
      <c r="D670" s="242"/>
      <c r="E670" s="242"/>
      <c r="F670" s="242"/>
      <c r="G670" s="242"/>
      <c r="H670" s="242"/>
      <c r="I670" s="242"/>
      <c r="J670" s="242"/>
      <c r="K670" s="242"/>
      <c r="L670" s="242"/>
      <c r="M670" s="242"/>
      <c r="N670" s="242"/>
      <c r="O670" s="242"/>
      <c r="P670" s="242"/>
      <c r="Q670" s="242"/>
      <c r="R670" s="242"/>
      <c r="S670" s="242"/>
      <c r="T670" s="242"/>
      <c r="U670" s="242"/>
      <c r="V670" s="242"/>
      <c r="W670" s="242"/>
      <c r="X670" s="242"/>
      <c r="Y670" s="242"/>
      <c r="Z670" s="242"/>
      <c r="AA670" s="242"/>
      <c r="AB670" s="242"/>
      <c r="AC670" s="242"/>
      <c r="AD670" s="242"/>
      <c r="AE670" s="242"/>
      <c r="AF670" s="242"/>
      <c r="AG670" s="242"/>
      <c r="AH670" s="242"/>
    </row>
    <row r="671">
      <c r="A671" s="242"/>
      <c r="B671" s="242"/>
      <c r="C671" s="242"/>
      <c r="D671" s="242"/>
      <c r="E671" s="242"/>
      <c r="F671" s="242"/>
      <c r="G671" s="242"/>
      <c r="H671" s="242"/>
      <c r="I671" s="242"/>
      <c r="J671" s="242"/>
      <c r="K671" s="242"/>
      <c r="L671" s="242"/>
      <c r="M671" s="242"/>
      <c r="N671" s="242"/>
      <c r="O671" s="242"/>
      <c r="P671" s="242"/>
      <c r="Q671" s="242"/>
      <c r="R671" s="242"/>
      <c r="S671" s="242"/>
      <c r="T671" s="242"/>
      <c r="U671" s="242"/>
      <c r="V671" s="242"/>
      <c r="W671" s="242"/>
      <c r="X671" s="242"/>
      <c r="Y671" s="242"/>
      <c r="Z671" s="242"/>
      <c r="AA671" s="242"/>
      <c r="AB671" s="242"/>
      <c r="AC671" s="242"/>
      <c r="AD671" s="242"/>
      <c r="AE671" s="242"/>
      <c r="AF671" s="242"/>
      <c r="AG671" s="242"/>
      <c r="AH671" s="242"/>
    </row>
    <row r="672">
      <c r="A672" s="242"/>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c r="AA672" s="242"/>
      <c r="AB672" s="242"/>
      <c r="AC672" s="242"/>
      <c r="AD672" s="242"/>
      <c r="AE672" s="242"/>
      <c r="AF672" s="242"/>
      <c r="AG672" s="242"/>
      <c r="AH672" s="242"/>
    </row>
    <row r="673">
      <c r="A673" s="242"/>
      <c r="B673" s="242"/>
      <c r="C673" s="242"/>
      <c r="D673" s="242"/>
      <c r="E673" s="242"/>
      <c r="F673" s="242"/>
      <c r="G673" s="242"/>
      <c r="H673" s="242"/>
      <c r="I673" s="242"/>
      <c r="J673" s="242"/>
      <c r="K673" s="242"/>
      <c r="L673" s="242"/>
      <c r="M673" s="242"/>
      <c r="N673" s="242"/>
      <c r="O673" s="242"/>
      <c r="P673" s="242"/>
      <c r="Q673" s="242"/>
      <c r="R673" s="242"/>
      <c r="S673" s="242"/>
      <c r="T673" s="242"/>
      <c r="U673" s="242"/>
      <c r="V673" s="242"/>
      <c r="W673" s="242"/>
      <c r="X673" s="242"/>
      <c r="Y673" s="242"/>
      <c r="Z673" s="242"/>
      <c r="AA673" s="242"/>
      <c r="AB673" s="242"/>
      <c r="AC673" s="242"/>
      <c r="AD673" s="242"/>
      <c r="AE673" s="242"/>
      <c r="AF673" s="242"/>
      <c r="AG673" s="242"/>
      <c r="AH673" s="242"/>
    </row>
    <row r="674">
      <c r="A674" s="242"/>
      <c r="B674" s="242"/>
      <c r="C674" s="242"/>
      <c r="D674" s="242"/>
      <c r="E674" s="242"/>
      <c r="F674" s="242"/>
      <c r="G674" s="242"/>
      <c r="H674" s="242"/>
      <c r="I674" s="242"/>
      <c r="J674" s="242"/>
      <c r="K674" s="242"/>
      <c r="L674" s="242"/>
      <c r="M674" s="242"/>
      <c r="N674" s="242"/>
      <c r="O674" s="242"/>
      <c r="P674" s="242"/>
      <c r="Q674" s="242"/>
      <c r="R674" s="242"/>
      <c r="S674" s="242"/>
      <c r="T674" s="242"/>
      <c r="U674" s="242"/>
      <c r="V674" s="242"/>
      <c r="W674" s="242"/>
      <c r="X674" s="242"/>
      <c r="Y674" s="242"/>
      <c r="Z674" s="242"/>
      <c r="AA674" s="242"/>
      <c r="AB674" s="242"/>
      <c r="AC674" s="242"/>
      <c r="AD674" s="242"/>
      <c r="AE674" s="242"/>
      <c r="AF674" s="242"/>
      <c r="AG674" s="242"/>
      <c r="AH674" s="242"/>
    </row>
    <row r="675">
      <c r="A675" s="242"/>
      <c r="B675" s="242"/>
      <c r="C675" s="242"/>
      <c r="D675" s="242"/>
      <c r="E675" s="242"/>
      <c r="F675" s="242"/>
      <c r="G675" s="242"/>
      <c r="H675" s="242"/>
      <c r="I675" s="242"/>
      <c r="J675" s="242"/>
      <c r="K675" s="242"/>
      <c r="L675" s="242"/>
      <c r="M675" s="242"/>
      <c r="N675" s="242"/>
      <c r="O675" s="242"/>
      <c r="P675" s="242"/>
      <c r="Q675" s="242"/>
      <c r="R675" s="242"/>
      <c r="S675" s="242"/>
      <c r="T675" s="242"/>
      <c r="U675" s="242"/>
      <c r="V675" s="242"/>
      <c r="W675" s="242"/>
      <c r="X675" s="242"/>
      <c r="Y675" s="242"/>
      <c r="Z675" s="242"/>
      <c r="AA675" s="242"/>
      <c r="AB675" s="242"/>
      <c r="AC675" s="242"/>
      <c r="AD675" s="242"/>
      <c r="AE675" s="242"/>
      <c r="AF675" s="242"/>
      <c r="AG675" s="242"/>
      <c r="AH675" s="242"/>
    </row>
    <row r="676">
      <c r="A676" s="242"/>
      <c r="B676" s="242"/>
      <c r="C676" s="242"/>
      <c r="D676" s="242"/>
      <c r="E676" s="242"/>
      <c r="F676" s="242"/>
      <c r="G676" s="242"/>
      <c r="H676" s="242"/>
      <c r="I676" s="242"/>
      <c r="J676" s="242"/>
      <c r="K676" s="242"/>
      <c r="L676" s="242"/>
      <c r="M676" s="242"/>
      <c r="N676" s="242"/>
      <c r="O676" s="242"/>
      <c r="P676" s="242"/>
      <c r="Q676" s="242"/>
      <c r="R676" s="242"/>
      <c r="S676" s="242"/>
      <c r="T676" s="242"/>
      <c r="U676" s="242"/>
      <c r="V676" s="242"/>
      <c r="W676" s="242"/>
      <c r="X676" s="242"/>
      <c r="Y676" s="242"/>
      <c r="Z676" s="242"/>
      <c r="AA676" s="242"/>
      <c r="AB676" s="242"/>
      <c r="AC676" s="242"/>
      <c r="AD676" s="242"/>
      <c r="AE676" s="242"/>
      <c r="AF676" s="242"/>
      <c r="AG676" s="242"/>
      <c r="AH676" s="242"/>
    </row>
    <row r="677">
      <c r="A677" s="242"/>
      <c r="B677" s="242"/>
      <c r="C677" s="242"/>
      <c r="D677" s="242"/>
      <c r="E677" s="242"/>
      <c r="F677" s="242"/>
      <c r="G677" s="242"/>
      <c r="H677" s="242"/>
      <c r="I677" s="242"/>
      <c r="J677" s="242"/>
      <c r="K677" s="242"/>
      <c r="L677" s="242"/>
      <c r="M677" s="242"/>
      <c r="N677" s="242"/>
      <c r="O677" s="242"/>
      <c r="P677" s="242"/>
      <c r="Q677" s="242"/>
      <c r="R677" s="242"/>
      <c r="S677" s="242"/>
      <c r="T677" s="242"/>
      <c r="U677" s="242"/>
      <c r="V677" s="242"/>
      <c r="W677" s="242"/>
      <c r="X677" s="242"/>
      <c r="Y677" s="242"/>
      <c r="Z677" s="242"/>
      <c r="AA677" s="242"/>
      <c r="AB677" s="242"/>
      <c r="AC677" s="242"/>
      <c r="AD677" s="242"/>
      <c r="AE677" s="242"/>
      <c r="AF677" s="242"/>
      <c r="AG677" s="242"/>
      <c r="AH677" s="242"/>
    </row>
    <row r="678">
      <c r="A678" s="242"/>
      <c r="B678" s="242"/>
      <c r="C678" s="242"/>
      <c r="D678" s="242"/>
      <c r="E678" s="242"/>
      <c r="F678" s="242"/>
      <c r="G678" s="242"/>
      <c r="H678" s="242"/>
      <c r="I678" s="242"/>
      <c r="J678" s="242"/>
      <c r="K678" s="242"/>
      <c r="L678" s="242"/>
      <c r="M678" s="242"/>
      <c r="N678" s="242"/>
      <c r="O678" s="242"/>
      <c r="P678" s="242"/>
      <c r="Q678" s="242"/>
      <c r="R678" s="242"/>
      <c r="S678" s="242"/>
      <c r="T678" s="242"/>
      <c r="U678" s="242"/>
      <c r="V678" s="242"/>
      <c r="W678" s="242"/>
      <c r="X678" s="242"/>
      <c r="Y678" s="242"/>
      <c r="Z678" s="242"/>
      <c r="AA678" s="242"/>
      <c r="AB678" s="242"/>
      <c r="AC678" s="242"/>
      <c r="AD678" s="242"/>
      <c r="AE678" s="242"/>
      <c r="AF678" s="242"/>
      <c r="AG678" s="242"/>
      <c r="AH678" s="242"/>
    </row>
    <row r="679">
      <c r="A679" s="242"/>
      <c r="B679" s="242"/>
      <c r="C679" s="242"/>
      <c r="D679" s="242"/>
      <c r="E679" s="242"/>
      <c r="F679" s="242"/>
      <c r="G679" s="242"/>
      <c r="H679" s="242"/>
      <c r="I679" s="242"/>
      <c r="J679" s="242"/>
      <c r="K679" s="242"/>
      <c r="L679" s="242"/>
      <c r="M679" s="242"/>
      <c r="N679" s="242"/>
      <c r="O679" s="242"/>
      <c r="P679" s="242"/>
      <c r="Q679" s="242"/>
      <c r="R679" s="242"/>
      <c r="S679" s="242"/>
      <c r="T679" s="242"/>
      <c r="U679" s="242"/>
      <c r="V679" s="242"/>
      <c r="W679" s="242"/>
      <c r="X679" s="242"/>
      <c r="Y679" s="242"/>
      <c r="Z679" s="242"/>
      <c r="AA679" s="242"/>
      <c r="AB679" s="242"/>
      <c r="AC679" s="242"/>
      <c r="AD679" s="242"/>
      <c r="AE679" s="242"/>
      <c r="AF679" s="242"/>
      <c r="AG679" s="242"/>
      <c r="AH679" s="242"/>
    </row>
    <row r="680">
      <c r="A680" s="242"/>
      <c r="B680" s="242"/>
      <c r="C680" s="242"/>
      <c r="D680" s="242"/>
      <c r="E680" s="242"/>
      <c r="F680" s="242"/>
      <c r="G680" s="242"/>
      <c r="H680" s="242"/>
      <c r="I680" s="242"/>
      <c r="J680" s="242"/>
      <c r="K680" s="242"/>
      <c r="L680" s="242"/>
      <c r="M680" s="242"/>
      <c r="N680" s="242"/>
      <c r="O680" s="242"/>
      <c r="P680" s="242"/>
      <c r="Q680" s="242"/>
      <c r="R680" s="242"/>
      <c r="S680" s="242"/>
      <c r="T680" s="242"/>
      <c r="U680" s="242"/>
      <c r="V680" s="242"/>
      <c r="W680" s="242"/>
      <c r="X680" s="242"/>
      <c r="Y680" s="242"/>
      <c r="Z680" s="242"/>
      <c r="AA680" s="242"/>
      <c r="AB680" s="242"/>
      <c r="AC680" s="242"/>
      <c r="AD680" s="242"/>
      <c r="AE680" s="242"/>
      <c r="AF680" s="242"/>
      <c r="AG680" s="242"/>
      <c r="AH680" s="242"/>
    </row>
    <row r="681">
      <c r="A681" s="242"/>
      <c r="B681" s="242"/>
      <c r="C681" s="242"/>
      <c r="D681" s="242"/>
      <c r="E681" s="242"/>
      <c r="F681" s="242"/>
      <c r="G681" s="242"/>
      <c r="H681" s="242"/>
      <c r="I681" s="242"/>
      <c r="J681" s="242"/>
      <c r="K681" s="242"/>
      <c r="L681" s="242"/>
      <c r="M681" s="242"/>
      <c r="N681" s="242"/>
      <c r="O681" s="242"/>
      <c r="P681" s="242"/>
      <c r="Q681" s="242"/>
      <c r="R681" s="242"/>
      <c r="S681" s="242"/>
      <c r="T681" s="242"/>
      <c r="U681" s="242"/>
      <c r="V681" s="242"/>
      <c r="W681" s="242"/>
      <c r="X681" s="242"/>
      <c r="Y681" s="242"/>
      <c r="Z681" s="242"/>
      <c r="AA681" s="242"/>
      <c r="AB681" s="242"/>
      <c r="AC681" s="242"/>
      <c r="AD681" s="242"/>
      <c r="AE681" s="242"/>
      <c r="AF681" s="242"/>
      <c r="AG681" s="242"/>
      <c r="AH681" s="242"/>
    </row>
    <row r="682">
      <c r="A682" s="242"/>
      <c r="B682" s="242"/>
      <c r="C682" s="242"/>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c r="AA682" s="242"/>
      <c r="AB682" s="242"/>
      <c r="AC682" s="242"/>
      <c r="AD682" s="242"/>
      <c r="AE682" s="242"/>
      <c r="AF682" s="242"/>
      <c r="AG682" s="242"/>
      <c r="AH682" s="242"/>
    </row>
    <row r="683">
      <c r="A683" s="242"/>
      <c r="B683" s="242"/>
      <c r="C683" s="242"/>
      <c r="D683" s="242"/>
      <c r="E683" s="242"/>
      <c r="F683" s="242"/>
      <c r="G683" s="242"/>
      <c r="H683" s="242"/>
      <c r="I683" s="242"/>
      <c r="J683" s="242"/>
      <c r="K683" s="242"/>
      <c r="L683" s="242"/>
      <c r="M683" s="242"/>
      <c r="N683" s="242"/>
      <c r="O683" s="242"/>
      <c r="P683" s="242"/>
      <c r="Q683" s="242"/>
      <c r="R683" s="242"/>
      <c r="S683" s="242"/>
      <c r="T683" s="242"/>
      <c r="U683" s="242"/>
      <c r="V683" s="242"/>
      <c r="W683" s="242"/>
      <c r="X683" s="242"/>
      <c r="Y683" s="242"/>
      <c r="Z683" s="242"/>
      <c r="AA683" s="242"/>
      <c r="AB683" s="242"/>
      <c r="AC683" s="242"/>
      <c r="AD683" s="242"/>
      <c r="AE683" s="242"/>
      <c r="AF683" s="242"/>
      <c r="AG683" s="242"/>
      <c r="AH683" s="242"/>
    </row>
    <row r="684">
      <c r="A684" s="242"/>
      <c r="B684" s="242"/>
      <c r="C684" s="242"/>
      <c r="D684" s="242"/>
      <c r="E684" s="242"/>
      <c r="F684" s="242"/>
      <c r="G684" s="242"/>
      <c r="H684" s="242"/>
      <c r="I684" s="242"/>
      <c r="J684" s="242"/>
      <c r="K684" s="242"/>
      <c r="L684" s="242"/>
      <c r="M684" s="242"/>
      <c r="N684" s="242"/>
      <c r="O684" s="242"/>
      <c r="P684" s="242"/>
      <c r="Q684" s="242"/>
      <c r="R684" s="242"/>
      <c r="S684" s="242"/>
      <c r="T684" s="242"/>
      <c r="U684" s="242"/>
      <c r="V684" s="242"/>
      <c r="W684" s="242"/>
      <c r="X684" s="242"/>
      <c r="Y684" s="242"/>
      <c r="Z684" s="242"/>
      <c r="AA684" s="242"/>
      <c r="AB684" s="242"/>
      <c r="AC684" s="242"/>
      <c r="AD684" s="242"/>
      <c r="AE684" s="242"/>
      <c r="AF684" s="242"/>
      <c r="AG684" s="242"/>
      <c r="AH684" s="242"/>
    </row>
    <row r="685">
      <c r="A685" s="242"/>
      <c r="B685" s="242"/>
      <c r="C685" s="242"/>
      <c r="D685" s="242"/>
      <c r="E685" s="242"/>
      <c r="F685" s="242"/>
      <c r="G685" s="242"/>
      <c r="H685" s="242"/>
      <c r="I685" s="242"/>
      <c r="J685" s="242"/>
      <c r="K685" s="242"/>
      <c r="L685" s="242"/>
      <c r="M685" s="242"/>
      <c r="N685" s="242"/>
      <c r="O685" s="242"/>
      <c r="P685" s="242"/>
      <c r="Q685" s="242"/>
      <c r="R685" s="242"/>
      <c r="S685" s="242"/>
      <c r="T685" s="242"/>
      <c r="U685" s="242"/>
      <c r="V685" s="242"/>
      <c r="W685" s="242"/>
      <c r="X685" s="242"/>
      <c r="Y685" s="242"/>
      <c r="Z685" s="242"/>
      <c r="AA685" s="242"/>
      <c r="AB685" s="242"/>
      <c r="AC685" s="242"/>
      <c r="AD685" s="242"/>
      <c r="AE685" s="242"/>
      <c r="AF685" s="242"/>
      <c r="AG685" s="242"/>
      <c r="AH685" s="242"/>
    </row>
    <row r="686">
      <c r="A686" s="242"/>
      <c r="B686" s="242"/>
      <c r="C686" s="242"/>
      <c r="D686" s="242"/>
      <c r="E686" s="242"/>
      <c r="F686" s="242"/>
      <c r="G686" s="242"/>
      <c r="H686" s="242"/>
      <c r="I686" s="242"/>
      <c r="J686" s="242"/>
      <c r="K686" s="242"/>
      <c r="L686" s="242"/>
      <c r="M686" s="242"/>
      <c r="N686" s="242"/>
      <c r="O686" s="242"/>
      <c r="P686" s="242"/>
      <c r="Q686" s="242"/>
      <c r="R686" s="242"/>
      <c r="S686" s="242"/>
      <c r="T686" s="242"/>
      <c r="U686" s="242"/>
      <c r="V686" s="242"/>
      <c r="W686" s="242"/>
      <c r="X686" s="242"/>
      <c r="Y686" s="242"/>
      <c r="Z686" s="242"/>
      <c r="AA686" s="242"/>
      <c r="AB686" s="242"/>
      <c r="AC686" s="242"/>
      <c r="AD686" s="242"/>
      <c r="AE686" s="242"/>
      <c r="AF686" s="242"/>
      <c r="AG686" s="242"/>
      <c r="AH686" s="242"/>
    </row>
    <row r="687">
      <c r="A687" s="242"/>
      <c r="B687" s="242"/>
      <c r="C687" s="242"/>
      <c r="D687" s="242"/>
      <c r="E687" s="242"/>
      <c r="F687" s="242"/>
      <c r="G687" s="242"/>
      <c r="H687" s="242"/>
      <c r="I687" s="242"/>
      <c r="J687" s="242"/>
      <c r="K687" s="242"/>
      <c r="L687" s="242"/>
      <c r="M687" s="242"/>
      <c r="N687" s="242"/>
      <c r="O687" s="242"/>
      <c r="P687" s="242"/>
      <c r="Q687" s="242"/>
      <c r="R687" s="242"/>
      <c r="S687" s="242"/>
      <c r="T687" s="242"/>
      <c r="U687" s="242"/>
      <c r="V687" s="242"/>
      <c r="W687" s="242"/>
      <c r="X687" s="242"/>
      <c r="Y687" s="242"/>
      <c r="Z687" s="242"/>
      <c r="AA687" s="242"/>
      <c r="AB687" s="242"/>
      <c r="AC687" s="242"/>
      <c r="AD687" s="242"/>
      <c r="AE687" s="242"/>
      <c r="AF687" s="242"/>
      <c r="AG687" s="242"/>
      <c r="AH687" s="242"/>
    </row>
    <row r="688">
      <c r="A688" s="242"/>
      <c r="B688" s="242"/>
      <c r="C688" s="242"/>
      <c r="D688" s="242"/>
      <c r="E688" s="242"/>
      <c r="F688" s="242"/>
      <c r="G688" s="242"/>
      <c r="H688" s="242"/>
      <c r="I688" s="242"/>
      <c r="J688" s="242"/>
      <c r="K688" s="242"/>
      <c r="L688" s="242"/>
      <c r="M688" s="242"/>
      <c r="N688" s="242"/>
      <c r="O688" s="242"/>
      <c r="P688" s="242"/>
      <c r="Q688" s="242"/>
      <c r="R688" s="242"/>
      <c r="S688" s="242"/>
      <c r="T688" s="242"/>
      <c r="U688" s="242"/>
      <c r="V688" s="242"/>
      <c r="W688" s="242"/>
      <c r="X688" s="242"/>
      <c r="Y688" s="242"/>
      <c r="Z688" s="242"/>
      <c r="AA688" s="242"/>
      <c r="AB688" s="242"/>
      <c r="AC688" s="242"/>
      <c r="AD688" s="242"/>
      <c r="AE688" s="242"/>
      <c r="AF688" s="242"/>
      <c r="AG688" s="242"/>
      <c r="AH688" s="242"/>
    </row>
    <row r="689">
      <c r="A689" s="242"/>
      <c r="B689" s="242"/>
      <c r="C689" s="242"/>
      <c r="D689" s="242"/>
      <c r="E689" s="242"/>
      <c r="F689" s="242"/>
      <c r="G689" s="242"/>
      <c r="H689" s="242"/>
      <c r="I689" s="242"/>
      <c r="J689" s="242"/>
      <c r="K689" s="242"/>
      <c r="L689" s="242"/>
      <c r="M689" s="242"/>
      <c r="N689" s="242"/>
      <c r="O689" s="242"/>
      <c r="P689" s="242"/>
      <c r="Q689" s="242"/>
      <c r="R689" s="242"/>
      <c r="S689" s="242"/>
      <c r="T689" s="242"/>
      <c r="U689" s="242"/>
      <c r="V689" s="242"/>
      <c r="W689" s="242"/>
      <c r="X689" s="242"/>
      <c r="Y689" s="242"/>
      <c r="Z689" s="242"/>
      <c r="AA689" s="242"/>
      <c r="AB689" s="242"/>
      <c r="AC689" s="242"/>
      <c r="AD689" s="242"/>
      <c r="AE689" s="242"/>
      <c r="AF689" s="242"/>
      <c r="AG689" s="242"/>
      <c r="AH689" s="242"/>
    </row>
    <row r="690">
      <c r="A690" s="242"/>
      <c r="B690" s="242"/>
      <c r="C690" s="242"/>
      <c r="D690" s="242"/>
      <c r="E690" s="242"/>
      <c r="F690" s="242"/>
      <c r="G690" s="242"/>
      <c r="H690" s="242"/>
      <c r="I690" s="242"/>
      <c r="J690" s="242"/>
      <c r="K690" s="242"/>
      <c r="L690" s="242"/>
      <c r="M690" s="242"/>
      <c r="N690" s="242"/>
      <c r="O690" s="242"/>
      <c r="P690" s="242"/>
      <c r="Q690" s="242"/>
      <c r="R690" s="242"/>
      <c r="S690" s="242"/>
      <c r="T690" s="242"/>
      <c r="U690" s="242"/>
      <c r="V690" s="242"/>
      <c r="W690" s="242"/>
      <c r="X690" s="242"/>
      <c r="Y690" s="242"/>
      <c r="Z690" s="242"/>
      <c r="AA690" s="242"/>
      <c r="AB690" s="242"/>
      <c r="AC690" s="242"/>
      <c r="AD690" s="242"/>
      <c r="AE690" s="242"/>
      <c r="AF690" s="242"/>
      <c r="AG690" s="242"/>
      <c r="AH690" s="242"/>
    </row>
    <row r="691">
      <c r="A691" s="242"/>
      <c r="B691" s="242"/>
      <c r="C691" s="242"/>
      <c r="D691" s="242"/>
      <c r="E691" s="242"/>
      <c r="F691" s="242"/>
      <c r="G691" s="242"/>
      <c r="H691" s="242"/>
      <c r="I691" s="242"/>
      <c r="J691" s="242"/>
      <c r="K691" s="242"/>
      <c r="L691" s="242"/>
      <c r="M691" s="242"/>
      <c r="N691" s="242"/>
      <c r="O691" s="242"/>
      <c r="P691" s="242"/>
      <c r="Q691" s="242"/>
      <c r="R691" s="242"/>
      <c r="S691" s="242"/>
      <c r="T691" s="242"/>
      <c r="U691" s="242"/>
      <c r="V691" s="242"/>
      <c r="W691" s="242"/>
      <c r="X691" s="242"/>
      <c r="Y691" s="242"/>
      <c r="Z691" s="242"/>
      <c r="AA691" s="242"/>
      <c r="AB691" s="242"/>
      <c r="AC691" s="242"/>
      <c r="AD691" s="242"/>
      <c r="AE691" s="242"/>
      <c r="AF691" s="242"/>
      <c r="AG691" s="242"/>
      <c r="AH691" s="242"/>
    </row>
    <row r="692">
      <c r="A692" s="242"/>
      <c r="B692" s="242"/>
      <c r="C692" s="242"/>
      <c r="D692" s="242"/>
      <c r="E692" s="242"/>
      <c r="F692" s="242"/>
      <c r="G692" s="242"/>
      <c r="H692" s="242"/>
      <c r="I692" s="242"/>
      <c r="J692" s="242"/>
      <c r="K692" s="242"/>
      <c r="L692" s="242"/>
      <c r="M692" s="242"/>
      <c r="N692" s="242"/>
      <c r="O692" s="242"/>
      <c r="P692" s="242"/>
      <c r="Q692" s="242"/>
      <c r="R692" s="242"/>
      <c r="S692" s="242"/>
      <c r="T692" s="242"/>
      <c r="U692" s="242"/>
      <c r="V692" s="242"/>
      <c r="W692" s="242"/>
      <c r="X692" s="242"/>
      <c r="Y692" s="242"/>
      <c r="Z692" s="242"/>
      <c r="AA692" s="242"/>
      <c r="AB692" s="242"/>
      <c r="AC692" s="242"/>
      <c r="AD692" s="242"/>
      <c r="AE692" s="242"/>
      <c r="AF692" s="242"/>
      <c r="AG692" s="242"/>
      <c r="AH692" s="242"/>
    </row>
    <row r="693">
      <c r="A693" s="242"/>
      <c r="B693" s="242"/>
      <c r="C693" s="242"/>
      <c r="D693" s="242"/>
      <c r="E693" s="242"/>
      <c r="F693" s="242"/>
      <c r="G693" s="242"/>
      <c r="H693" s="242"/>
      <c r="I693" s="242"/>
      <c r="J693" s="242"/>
      <c r="K693" s="242"/>
      <c r="L693" s="242"/>
      <c r="M693" s="242"/>
      <c r="N693" s="242"/>
      <c r="O693" s="242"/>
      <c r="P693" s="242"/>
      <c r="Q693" s="242"/>
      <c r="R693" s="242"/>
      <c r="S693" s="242"/>
      <c r="T693" s="242"/>
      <c r="U693" s="242"/>
      <c r="V693" s="242"/>
      <c r="W693" s="242"/>
      <c r="X693" s="242"/>
      <c r="Y693" s="242"/>
      <c r="Z693" s="242"/>
      <c r="AA693" s="242"/>
      <c r="AB693" s="242"/>
      <c r="AC693" s="242"/>
      <c r="AD693" s="242"/>
      <c r="AE693" s="242"/>
      <c r="AF693" s="242"/>
      <c r="AG693" s="242"/>
      <c r="AH693" s="242"/>
    </row>
    <row r="694">
      <c r="A694" s="242"/>
      <c r="B694" s="242"/>
      <c r="C694" s="242"/>
      <c r="D694" s="242"/>
      <c r="E694" s="242"/>
      <c r="F694" s="242"/>
      <c r="G694" s="242"/>
      <c r="H694" s="242"/>
      <c r="I694" s="242"/>
      <c r="J694" s="242"/>
      <c r="K694" s="242"/>
      <c r="L694" s="242"/>
      <c r="M694" s="242"/>
      <c r="N694" s="242"/>
      <c r="O694" s="242"/>
      <c r="P694" s="242"/>
      <c r="Q694" s="242"/>
      <c r="R694" s="242"/>
      <c r="S694" s="242"/>
      <c r="T694" s="242"/>
      <c r="U694" s="242"/>
      <c r="V694" s="242"/>
      <c r="W694" s="242"/>
      <c r="X694" s="242"/>
      <c r="Y694" s="242"/>
      <c r="Z694" s="242"/>
      <c r="AA694" s="242"/>
      <c r="AB694" s="242"/>
      <c r="AC694" s="242"/>
      <c r="AD694" s="242"/>
      <c r="AE694" s="242"/>
      <c r="AF694" s="242"/>
      <c r="AG694" s="242"/>
      <c r="AH694" s="242"/>
    </row>
    <row r="695">
      <c r="A695" s="242"/>
      <c r="B695" s="242"/>
      <c r="C695" s="242"/>
      <c r="D695" s="242"/>
      <c r="E695" s="242"/>
      <c r="F695" s="242"/>
      <c r="G695" s="242"/>
      <c r="H695" s="242"/>
      <c r="I695" s="242"/>
      <c r="J695" s="242"/>
      <c r="K695" s="242"/>
      <c r="L695" s="242"/>
      <c r="M695" s="242"/>
      <c r="N695" s="242"/>
      <c r="O695" s="242"/>
      <c r="P695" s="242"/>
      <c r="Q695" s="242"/>
      <c r="R695" s="242"/>
      <c r="S695" s="242"/>
      <c r="T695" s="242"/>
      <c r="U695" s="242"/>
      <c r="V695" s="242"/>
      <c r="W695" s="242"/>
      <c r="X695" s="242"/>
      <c r="Y695" s="242"/>
      <c r="Z695" s="242"/>
      <c r="AA695" s="242"/>
      <c r="AB695" s="242"/>
      <c r="AC695" s="242"/>
      <c r="AD695" s="242"/>
      <c r="AE695" s="242"/>
      <c r="AF695" s="242"/>
      <c r="AG695" s="242"/>
      <c r="AH695" s="242"/>
    </row>
    <row r="696">
      <c r="A696" s="242"/>
      <c r="B696" s="242"/>
      <c r="C696" s="242"/>
      <c r="D696" s="242"/>
      <c r="E696" s="242"/>
      <c r="F696" s="242"/>
      <c r="G696" s="242"/>
      <c r="H696" s="242"/>
      <c r="I696" s="242"/>
      <c r="J696" s="242"/>
      <c r="K696" s="242"/>
      <c r="L696" s="242"/>
      <c r="M696" s="242"/>
      <c r="N696" s="242"/>
      <c r="O696" s="242"/>
      <c r="P696" s="242"/>
      <c r="Q696" s="242"/>
      <c r="R696" s="242"/>
      <c r="S696" s="242"/>
      <c r="T696" s="242"/>
      <c r="U696" s="242"/>
      <c r="V696" s="242"/>
      <c r="W696" s="242"/>
      <c r="X696" s="242"/>
      <c r="Y696" s="242"/>
      <c r="Z696" s="242"/>
      <c r="AA696" s="242"/>
      <c r="AB696" s="242"/>
      <c r="AC696" s="242"/>
      <c r="AD696" s="242"/>
      <c r="AE696" s="242"/>
      <c r="AF696" s="242"/>
      <c r="AG696" s="242"/>
      <c r="AH696" s="242"/>
    </row>
    <row r="697">
      <c r="A697" s="242"/>
      <c r="B697" s="242"/>
      <c r="C697" s="242"/>
      <c r="D697" s="242"/>
      <c r="E697" s="242"/>
      <c r="F697" s="242"/>
      <c r="G697" s="242"/>
      <c r="H697" s="242"/>
      <c r="I697" s="242"/>
      <c r="J697" s="242"/>
      <c r="K697" s="242"/>
      <c r="L697" s="242"/>
      <c r="M697" s="242"/>
      <c r="N697" s="242"/>
      <c r="O697" s="242"/>
      <c r="P697" s="242"/>
      <c r="Q697" s="242"/>
      <c r="R697" s="242"/>
      <c r="S697" s="242"/>
      <c r="T697" s="242"/>
      <c r="U697" s="242"/>
      <c r="V697" s="242"/>
      <c r="W697" s="242"/>
      <c r="X697" s="242"/>
      <c r="Y697" s="242"/>
      <c r="Z697" s="242"/>
      <c r="AA697" s="242"/>
      <c r="AB697" s="242"/>
      <c r="AC697" s="242"/>
      <c r="AD697" s="242"/>
      <c r="AE697" s="242"/>
      <c r="AF697" s="242"/>
      <c r="AG697" s="242"/>
      <c r="AH697" s="242"/>
    </row>
    <row r="698">
      <c r="A698" s="242"/>
      <c r="B698" s="242"/>
      <c r="C698" s="242"/>
      <c r="D698" s="242"/>
      <c r="E698" s="242"/>
      <c r="F698" s="242"/>
      <c r="G698" s="242"/>
      <c r="H698" s="242"/>
      <c r="I698" s="242"/>
      <c r="J698" s="242"/>
      <c r="K698" s="242"/>
      <c r="L698" s="242"/>
      <c r="M698" s="242"/>
      <c r="N698" s="242"/>
      <c r="O698" s="242"/>
      <c r="P698" s="242"/>
      <c r="Q698" s="242"/>
      <c r="R698" s="242"/>
      <c r="S698" s="242"/>
      <c r="T698" s="242"/>
      <c r="U698" s="242"/>
      <c r="V698" s="242"/>
      <c r="W698" s="242"/>
      <c r="X698" s="242"/>
      <c r="Y698" s="242"/>
      <c r="Z698" s="242"/>
      <c r="AA698" s="242"/>
      <c r="AB698" s="242"/>
      <c r="AC698" s="242"/>
      <c r="AD698" s="242"/>
      <c r="AE698" s="242"/>
      <c r="AF698" s="242"/>
      <c r="AG698" s="242"/>
      <c r="AH698" s="242"/>
    </row>
    <row r="699">
      <c r="A699" s="242"/>
      <c r="B699" s="242"/>
      <c r="C699" s="242"/>
      <c r="D699" s="242"/>
      <c r="E699" s="242"/>
      <c r="F699" s="242"/>
      <c r="G699" s="242"/>
      <c r="H699" s="242"/>
      <c r="I699" s="242"/>
      <c r="J699" s="242"/>
      <c r="K699" s="242"/>
      <c r="L699" s="242"/>
      <c r="M699" s="242"/>
      <c r="N699" s="242"/>
      <c r="O699" s="242"/>
      <c r="P699" s="242"/>
      <c r="Q699" s="242"/>
      <c r="R699" s="242"/>
      <c r="S699" s="242"/>
      <c r="T699" s="242"/>
      <c r="U699" s="242"/>
      <c r="V699" s="242"/>
      <c r="W699" s="242"/>
      <c r="X699" s="242"/>
      <c r="Y699" s="242"/>
      <c r="Z699" s="242"/>
      <c r="AA699" s="242"/>
      <c r="AB699" s="242"/>
      <c r="AC699" s="242"/>
      <c r="AD699" s="242"/>
      <c r="AE699" s="242"/>
      <c r="AF699" s="242"/>
      <c r="AG699" s="242"/>
      <c r="AH699" s="242"/>
    </row>
    <row r="700">
      <c r="A700" s="242"/>
      <c r="B700" s="242"/>
      <c r="C700" s="242"/>
      <c r="D700" s="242"/>
      <c r="E700" s="242"/>
      <c r="F700" s="242"/>
      <c r="G700" s="242"/>
      <c r="H700" s="242"/>
      <c r="I700" s="242"/>
      <c r="J700" s="242"/>
      <c r="K700" s="242"/>
      <c r="L700" s="242"/>
      <c r="M700" s="242"/>
      <c r="N700" s="242"/>
      <c r="O700" s="242"/>
      <c r="P700" s="242"/>
      <c r="Q700" s="242"/>
      <c r="R700" s="242"/>
      <c r="S700" s="242"/>
      <c r="T700" s="242"/>
      <c r="U700" s="242"/>
      <c r="V700" s="242"/>
      <c r="W700" s="242"/>
      <c r="X700" s="242"/>
      <c r="Y700" s="242"/>
      <c r="Z700" s="242"/>
      <c r="AA700" s="242"/>
      <c r="AB700" s="242"/>
      <c r="AC700" s="242"/>
      <c r="AD700" s="242"/>
      <c r="AE700" s="242"/>
      <c r="AF700" s="242"/>
      <c r="AG700" s="242"/>
      <c r="AH700" s="242"/>
    </row>
    <row r="701">
      <c r="A701" s="242"/>
      <c r="B701" s="242"/>
      <c r="C701" s="242"/>
      <c r="D701" s="242"/>
      <c r="E701" s="242"/>
      <c r="F701" s="242"/>
      <c r="G701" s="242"/>
      <c r="H701" s="242"/>
      <c r="I701" s="242"/>
      <c r="J701" s="242"/>
      <c r="K701" s="242"/>
      <c r="L701" s="242"/>
      <c r="M701" s="242"/>
      <c r="N701" s="242"/>
      <c r="O701" s="242"/>
      <c r="P701" s="242"/>
      <c r="Q701" s="242"/>
      <c r="R701" s="242"/>
      <c r="S701" s="242"/>
      <c r="T701" s="242"/>
      <c r="U701" s="242"/>
      <c r="V701" s="242"/>
      <c r="W701" s="242"/>
      <c r="X701" s="242"/>
      <c r="Y701" s="242"/>
      <c r="Z701" s="242"/>
      <c r="AA701" s="242"/>
      <c r="AB701" s="242"/>
      <c r="AC701" s="242"/>
      <c r="AD701" s="242"/>
      <c r="AE701" s="242"/>
      <c r="AF701" s="242"/>
      <c r="AG701" s="242"/>
      <c r="AH701" s="242"/>
    </row>
    <row r="702">
      <c r="A702" s="242"/>
      <c r="B702" s="242"/>
      <c r="C702" s="242"/>
      <c r="D702" s="242"/>
      <c r="E702" s="242"/>
      <c r="F702" s="242"/>
      <c r="G702" s="242"/>
      <c r="H702" s="242"/>
      <c r="I702" s="242"/>
      <c r="J702" s="242"/>
      <c r="K702" s="242"/>
      <c r="L702" s="242"/>
      <c r="M702" s="242"/>
      <c r="N702" s="242"/>
      <c r="O702" s="242"/>
      <c r="P702" s="242"/>
      <c r="Q702" s="242"/>
      <c r="R702" s="242"/>
      <c r="S702" s="242"/>
      <c r="T702" s="242"/>
      <c r="U702" s="242"/>
      <c r="V702" s="242"/>
      <c r="W702" s="242"/>
      <c r="X702" s="242"/>
      <c r="Y702" s="242"/>
      <c r="Z702" s="242"/>
      <c r="AA702" s="242"/>
      <c r="AB702" s="242"/>
      <c r="AC702" s="242"/>
      <c r="AD702" s="242"/>
      <c r="AE702" s="242"/>
      <c r="AF702" s="242"/>
      <c r="AG702" s="242"/>
      <c r="AH702" s="242"/>
    </row>
    <row r="703">
      <c r="A703" s="242"/>
      <c r="B703" s="242"/>
      <c r="C703" s="242"/>
      <c r="D703" s="242"/>
      <c r="E703" s="242"/>
      <c r="F703" s="242"/>
      <c r="G703" s="242"/>
      <c r="H703" s="242"/>
      <c r="I703" s="242"/>
      <c r="J703" s="242"/>
      <c r="K703" s="242"/>
      <c r="L703" s="242"/>
      <c r="M703" s="242"/>
      <c r="N703" s="242"/>
      <c r="O703" s="242"/>
      <c r="P703" s="242"/>
      <c r="Q703" s="242"/>
      <c r="R703" s="242"/>
      <c r="S703" s="242"/>
      <c r="T703" s="242"/>
      <c r="U703" s="242"/>
      <c r="V703" s="242"/>
      <c r="W703" s="242"/>
      <c r="X703" s="242"/>
      <c r="Y703" s="242"/>
      <c r="Z703" s="242"/>
      <c r="AA703" s="242"/>
      <c r="AB703" s="242"/>
      <c r="AC703" s="242"/>
      <c r="AD703" s="242"/>
      <c r="AE703" s="242"/>
      <c r="AF703" s="242"/>
      <c r="AG703" s="242"/>
      <c r="AH703" s="242"/>
    </row>
    <row r="704">
      <c r="A704" s="242"/>
      <c r="B704" s="242"/>
      <c r="C704" s="242"/>
      <c r="D704" s="242"/>
      <c r="E704" s="242"/>
      <c r="F704" s="242"/>
      <c r="G704" s="242"/>
      <c r="H704" s="242"/>
      <c r="I704" s="242"/>
      <c r="J704" s="242"/>
      <c r="K704" s="242"/>
      <c r="L704" s="242"/>
      <c r="M704" s="242"/>
      <c r="N704" s="242"/>
      <c r="O704" s="242"/>
      <c r="P704" s="242"/>
      <c r="Q704" s="242"/>
      <c r="R704" s="242"/>
      <c r="S704" s="242"/>
      <c r="T704" s="242"/>
      <c r="U704" s="242"/>
      <c r="V704" s="242"/>
      <c r="W704" s="242"/>
      <c r="X704" s="242"/>
      <c r="Y704" s="242"/>
      <c r="Z704" s="242"/>
      <c r="AA704" s="242"/>
      <c r="AB704" s="242"/>
      <c r="AC704" s="242"/>
      <c r="AD704" s="242"/>
      <c r="AE704" s="242"/>
      <c r="AF704" s="242"/>
      <c r="AG704" s="242"/>
      <c r="AH704" s="242"/>
    </row>
    <row r="705">
      <c r="A705" s="242"/>
      <c r="B705" s="242"/>
      <c r="C705" s="242"/>
      <c r="D705" s="242"/>
      <c r="E705" s="242"/>
      <c r="F705" s="242"/>
      <c r="G705" s="242"/>
      <c r="H705" s="242"/>
      <c r="I705" s="242"/>
      <c r="J705" s="242"/>
      <c r="K705" s="242"/>
      <c r="L705" s="242"/>
      <c r="M705" s="242"/>
      <c r="N705" s="242"/>
      <c r="O705" s="242"/>
      <c r="P705" s="242"/>
      <c r="Q705" s="242"/>
      <c r="R705" s="242"/>
      <c r="S705" s="242"/>
      <c r="T705" s="242"/>
      <c r="U705" s="242"/>
      <c r="V705" s="242"/>
      <c r="W705" s="242"/>
      <c r="X705" s="242"/>
      <c r="Y705" s="242"/>
      <c r="Z705" s="242"/>
      <c r="AA705" s="242"/>
      <c r="AB705" s="242"/>
      <c r="AC705" s="242"/>
      <c r="AD705" s="242"/>
      <c r="AE705" s="242"/>
      <c r="AF705" s="242"/>
      <c r="AG705" s="242"/>
      <c r="AH705" s="242"/>
    </row>
    <row r="706">
      <c r="A706" s="242"/>
      <c r="B706" s="242"/>
      <c r="C706" s="242"/>
      <c r="D706" s="242"/>
      <c r="E706" s="242"/>
      <c r="F706" s="242"/>
      <c r="G706" s="242"/>
      <c r="H706" s="242"/>
      <c r="I706" s="242"/>
      <c r="J706" s="242"/>
      <c r="K706" s="242"/>
      <c r="L706" s="242"/>
      <c r="M706" s="242"/>
      <c r="N706" s="242"/>
      <c r="O706" s="242"/>
      <c r="P706" s="242"/>
      <c r="Q706" s="242"/>
      <c r="R706" s="242"/>
      <c r="S706" s="242"/>
      <c r="T706" s="242"/>
      <c r="U706" s="242"/>
      <c r="V706" s="242"/>
      <c r="W706" s="242"/>
      <c r="X706" s="242"/>
      <c r="Y706" s="242"/>
      <c r="Z706" s="242"/>
      <c r="AA706" s="242"/>
      <c r="AB706" s="242"/>
      <c r="AC706" s="242"/>
      <c r="AD706" s="242"/>
      <c r="AE706" s="242"/>
      <c r="AF706" s="242"/>
      <c r="AG706" s="242"/>
      <c r="AH706" s="242"/>
    </row>
    <row r="707">
      <c r="A707" s="242"/>
      <c r="B707" s="242"/>
      <c r="C707" s="242"/>
      <c r="D707" s="242"/>
      <c r="E707" s="242"/>
      <c r="F707" s="242"/>
      <c r="G707" s="242"/>
      <c r="H707" s="242"/>
      <c r="I707" s="242"/>
      <c r="J707" s="242"/>
      <c r="K707" s="242"/>
      <c r="L707" s="242"/>
      <c r="M707" s="242"/>
      <c r="N707" s="242"/>
      <c r="O707" s="242"/>
      <c r="P707" s="242"/>
      <c r="Q707" s="242"/>
      <c r="R707" s="242"/>
      <c r="S707" s="242"/>
      <c r="T707" s="242"/>
      <c r="U707" s="242"/>
      <c r="V707" s="242"/>
      <c r="W707" s="242"/>
      <c r="X707" s="242"/>
      <c r="Y707" s="242"/>
      <c r="Z707" s="242"/>
      <c r="AA707" s="242"/>
      <c r="AB707" s="242"/>
      <c r="AC707" s="242"/>
      <c r="AD707" s="242"/>
      <c r="AE707" s="242"/>
      <c r="AF707" s="242"/>
      <c r="AG707" s="242"/>
      <c r="AH707" s="242"/>
    </row>
    <row r="708">
      <c r="A708" s="242"/>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c r="AA708" s="242"/>
      <c r="AB708" s="242"/>
      <c r="AC708" s="242"/>
      <c r="AD708" s="242"/>
      <c r="AE708" s="242"/>
      <c r="AF708" s="242"/>
      <c r="AG708" s="242"/>
      <c r="AH708" s="242"/>
    </row>
    <row r="709">
      <c r="A709" s="242"/>
      <c r="B709" s="242"/>
      <c r="C709" s="242"/>
      <c r="D709" s="242"/>
      <c r="E709" s="242"/>
      <c r="F709" s="242"/>
      <c r="G709" s="242"/>
      <c r="H709" s="242"/>
      <c r="I709" s="242"/>
      <c r="J709" s="242"/>
      <c r="K709" s="242"/>
      <c r="L709" s="242"/>
      <c r="M709" s="242"/>
      <c r="N709" s="242"/>
      <c r="O709" s="242"/>
      <c r="P709" s="242"/>
      <c r="Q709" s="242"/>
      <c r="R709" s="242"/>
      <c r="S709" s="242"/>
      <c r="T709" s="242"/>
      <c r="U709" s="242"/>
      <c r="V709" s="242"/>
      <c r="W709" s="242"/>
      <c r="X709" s="242"/>
      <c r="Y709" s="242"/>
      <c r="Z709" s="242"/>
      <c r="AA709" s="242"/>
      <c r="AB709" s="242"/>
      <c r="AC709" s="242"/>
      <c r="AD709" s="242"/>
      <c r="AE709" s="242"/>
      <c r="AF709" s="242"/>
      <c r="AG709" s="242"/>
      <c r="AH709" s="242"/>
    </row>
    <row r="710">
      <c r="A710" s="242"/>
      <c r="B710" s="242"/>
      <c r="C710" s="242"/>
      <c r="D710" s="242"/>
      <c r="E710" s="242"/>
      <c r="F710" s="242"/>
      <c r="G710" s="242"/>
      <c r="H710" s="242"/>
      <c r="I710" s="242"/>
      <c r="J710" s="242"/>
      <c r="K710" s="242"/>
      <c r="L710" s="242"/>
      <c r="M710" s="242"/>
      <c r="N710" s="242"/>
      <c r="O710" s="242"/>
      <c r="P710" s="242"/>
      <c r="Q710" s="242"/>
      <c r="R710" s="242"/>
      <c r="S710" s="242"/>
      <c r="T710" s="242"/>
      <c r="U710" s="242"/>
      <c r="V710" s="242"/>
      <c r="W710" s="242"/>
      <c r="X710" s="242"/>
      <c r="Y710" s="242"/>
      <c r="Z710" s="242"/>
      <c r="AA710" s="242"/>
      <c r="AB710" s="242"/>
      <c r="AC710" s="242"/>
      <c r="AD710" s="242"/>
      <c r="AE710" s="242"/>
      <c r="AF710" s="242"/>
      <c r="AG710" s="242"/>
      <c r="AH710" s="242"/>
    </row>
    <row r="711">
      <c r="A711" s="242"/>
      <c r="B711" s="242"/>
      <c r="C711" s="242"/>
      <c r="D711" s="242"/>
      <c r="E711" s="242"/>
      <c r="F711" s="242"/>
      <c r="G711" s="242"/>
      <c r="H711" s="242"/>
      <c r="I711" s="242"/>
      <c r="J711" s="242"/>
      <c r="K711" s="242"/>
      <c r="L711" s="242"/>
      <c r="M711" s="242"/>
      <c r="N711" s="242"/>
      <c r="O711" s="242"/>
      <c r="P711" s="242"/>
      <c r="Q711" s="242"/>
      <c r="R711" s="242"/>
      <c r="S711" s="242"/>
      <c r="T711" s="242"/>
      <c r="U711" s="242"/>
      <c r="V711" s="242"/>
      <c r="W711" s="242"/>
      <c r="X711" s="242"/>
      <c r="Y711" s="242"/>
      <c r="Z711" s="242"/>
      <c r="AA711" s="242"/>
      <c r="AB711" s="242"/>
      <c r="AC711" s="242"/>
      <c r="AD711" s="242"/>
      <c r="AE711" s="242"/>
      <c r="AF711" s="242"/>
      <c r="AG711" s="242"/>
      <c r="AH711" s="242"/>
    </row>
    <row r="712">
      <c r="A712" s="24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c r="AA712" s="242"/>
      <c r="AB712" s="242"/>
      <c r="AC712" s="242"/>
      <c r="AD712" s="242"/>
      <c r="AE712" s="242"/>
      <c r="AF712" s="242"/>
      <c r="AG712" s="242"/>
      <c r="AH712" s="242"/>
    </row>
    <row r="713">
      <c r="A713" s="242"/>
      <c r="B713" s="242"/>
      <c r="C713" s="242"/>
      <c r="D713" s="242"/>
      <c r="E713" s="242"/>
      <c r="F713" s="242"/>
      <c r="G713" s="242"/>
      <c r="H713" s="242"/>
      <c r="I713" s="242"/>
      <c r="J713" s="242"/>
      <c r="K713" s="242"/>
      <c r="L713" s="242"/>
      <c r="M713" s="242"/>
      <c r="N713" s="242"/>
      <c r="O713" s="242"/>
      <c r="P713" s="242"/>
      <c r="Q713" s="242"/>
      <c r="R713" s="242"/>
      <c r="S713" s="242"/>
      <c r="T713" s="242"/>
      <c r="U713" s="242"/>
      <c r="V713" s="242"/>
      <c r="W713" s="242"/>
      <c r="X713" s="242"/>
      <c r="Y713" s="242"/>
      <c r="Z713" s="242"/>
      <c r="AA713" s="242"/>
      <c r="AB713" s="242"/>
      <c r="AC713" s="242"/>
      <c r="AD713" s="242"/>
      <c r="AE713" s="242"/>
      <c r="AF713" s="242"/>
      <c r="AG713" s="242"/>
      <c r="AH713" s="242"/>
    </row>
    <row r="714">
      <c r="A714" s="242"/>
      <c r="B714" s="242"/>
      <c r="C714" s="242"/>
      <c r="D714" s="242"/>
      <c r="E714" s="242"/>
      <c r="F714" s="242"/>
      <c r="G714" s="242"/>
      <c r="H714" s="242"/>
      <c r="I714" s="242"/>
      <c r="J714" s="242"/>
      <c r="K714" s="242"/>
      <c r="L714" s="242"/>
      <c r="M714" s="242"/>
      <c r="N714" s="242"/>
      <c r="O714" s="242"/>
      <c r="P714" s="242"/>
      <c r="Q714" s="242"/>
      <c r="R714" s="242"/>
      <c r="S714" s="242"/>
      <c r="T714" s="242"/>
      <c r="U714" s="242"/>
      <c r="V714" s="242"/>
      <c r="W714" s="242"/>
      <c r="X714" s="242"/>
      <c r="Y714" s="242"/>
      <c r="Z714" s="242"/>
      <c r="AA714" s="242"/>
      <c r="AB714" s="242"/>
      <c r="AC714" s="242"/>
      <c r="AD714" s="242"/>
      <c r="AE714" s="242"/>
      <c r="AF714" s="242"/>
      <c r="AG714" s="242"/>
      <c r="AH714" s="242"/>
    </row>
    <row r="715">
      <c r="A715" s="242"/>
      <c r="B715" s="242"/>
      <c r="C715" s="242"/>
      <c r="D715" s="242"/>
      <c r="E715" s="242"/>
      <c r="F715" s="242"/>
      <c r="G715" s="242"/>
      <c r="H715" s="242"/>
      <c r="I715" s="242"/>
      <c r="J715" s="242"/>
      <c r="K715" s="242"/>
      <c r="L715" s="242"/>
      <c r="M715" s="242"/>
      <c r="N715" s="242"/>
      <c r="O715" s="242"/>
      <c r="P715" s="242"/>
      <c r="Q715" s="242"/>
      <c r="R715" s="242"/>
      <c r="S715" s="242"/>
      <c r="T715" s="242"/>
      <c r="U715" s="242"/>
      <c r="V715" s="242"/>
      <c r="W715" s="242"/>
      <c r="X715" s="242"/>
      <c r="Y715" s="242"/>
      <c r="Z715" s="242"/>
      <c r="AA715" s="242"/>
      <c r="AB715" s="242"/>
      <c r="AC715" s="242"/>
      <c r="AD715" s="242"/>
      <c r="AE715" s="242"/>
      <c r="AF715" s="242"/>
      <c r="AG715" s="242"/>
      <c r="AH715" s="242"/>
    </row>
    <row r="716">
      <c r="A716" s="242"/>
      <c r="B716" s="242"/>
      <c r="C716" s="242"/>
      <c r="D716" s="242"/>
      <c r="E716" s="242"/>
      <c r="F716" s="242"/>
      <c r="G716" s="242"/>
      <c r="H716" s="242"/>
      <c r="I716" s="242"/>
      <c r="J716" s="242"/>
      <c r="K716" s="242"/>
      <c r="L716" s="242"/>
      <c r="M716" s="242"/>
      <c r="N716" s="242"/>
      <c r="O716" s="242"/>
      <c r="P716" s="242"/>
      <c r="Q716" s="242"/>
      <c r="R716" s="242"/>
      <c r="S716" s="242"/>
      <c r="T716" s="242"/>
      <c r="U716" s="242"/>
      <c r="V716" s="242"/>
      <c r="W716" s="242"/>
      <c r="X716" s="242"/>
      <c r="Y716" s="242"/>
      <c r="Z716" s="242"/>
      <c r="AA716" s="242"/>
      <c r="AB716" s="242"/>
      <c r="AC716" s="242"/>
      <c r="AD716" s="242"/>
      <c r="AE716" s="242"/>
      <c r="AF716" s="242"/>
      <c r="AG716" s="242"/>
      <c r="AH716" s="242"/>
    </row>
    <row r="717">
      <c r="A717" s="242"/>
      <c r="B717" s="242"/>
      <c r="C717" s="242"/>
      <c r="D717" s="242"/>
      <c r="E717" s="242"/>
      <c r="F717" s="242"/>
      <c r="G717" s="242"/>
      <c r="H717" s="242"/>
      <c r="I717" s="242"/>
      <c r="J717" s="242"/>
      <c r="K717" s="242"/>
      <c r="L717" s="242"/>
      <c r="M717" s="242"/>
      <c r="N717" s="242"/>
      <c r="O717" s="242"/>
      <c r="P717" s="242"/>
      <c r="Q717" s="242"/>
      <c r="R717" s="242"/>
      <c r="S717" s="242"/>
      <c r="T717" s="242"/>
      <c r="U717" s="242"/>
      <c r="V717" s="242"/>
      <c r="W717" s="242"/>
      <c r="X717" s="242"/>
      <c r="Y717" s="242"/>
      <c r="Z717" s="242"/>
      <c r="AA717" s="242"/>
      <c r="AB717" s="242"/>
      <c r="AC717" s="242"/>
      <c r="AD717" s="242"/>
      <c r="AE717" s="242"/>
      <c r="AF717" s="242"/>
      <c r="AG717" s="242"/>
      <c r="AH717" s="242"/>
    </row>
    <row r="718">
      <c r="A718" s="242"/>
      <c r="B718" s="242"/>
      <c r="C718" s="242"/>
      <c r="D718" s="242"/>
      <c r="E718" s="242"/>
      <c r="F718" s="242"/>
      <c r="G718" s="242"/>
      <c r="H718" s="242"/>
      <c r="I718" s="242"/>
      <c r="J718" s="242"/>
      <c r="K718" s="242"/>
      <c r="L718" s="242"/>
      <c r="M718" s="242"/>
      <c r="N718" s="242"/>
      <c r="O718" s="242"/>
      <c r="P718" s="242"/>
      <c r="Q718" s="242"/>
      <c r="R718" s="242"/>
      <c r="S718" s="242"/>
      <c r="T718" s="242"/>
      <c r="U718" s="242"/>
      <c r="V718" s="242"/>
      <c r="W718" s="242"/>
      <c r="X718" s="242"/>
      <c r="Y718" s="242"/>
      <c r="Z718" s="242"/>
      <c r="AA718" s="242"/>
      <c r="AB718" s="242"/>
      <c r="AC718" s="242"/>
      <c r="AD718" s="242"/>
      <c r="AE718" s="242"/>
      <c r="AF718" s="242"/>
      <c r="AG718" s="242"/>
      <c r="AH718" s="242"/>
    </row>
    <row r="719">
      <c r="A719" s="242"/>
      <c r="B719" s="242"/>
      <c r="C719" s="242"/>
      <c r="D719" s="242"/>
      <c r="E719" s="242"/>
      <c r="F719" s="242"/>
      <c r="G719" s="242"/>
      <c r="H719" s="242"/>
      <c r="I719" s="242"/>
      <c r="J719" s="242"/>
      <c r="K719" s="242"/>
      <c r="L719" s="242"/>
      <c r="M719" s="242"/>
      <c r="N719" s="242"/>
      <c r="O719" s="242"/>
      <c r="P719" s="242"/>
      <c r="Q719" s="242"/>
      <c r="R719" s="242"/>
      <c r="S719" s="242"/>
      <c r="T719" s="242"/>
      <c r="U719" s="242"/>
      <c r="V719" s="242"/>
      <c r="W719" s="242"/>
      <c r="X719" s="242"/>
      <c r="Y719" s="242"/>
      <c r="Z719" s="242"/>
      <c r="AA719" s="242"/>
      <c r="AB719" s="242"/>
      <c r="AC719" s="242"/>
      <c r="AD719" s="242"/>
      <c r="AE719" s="242"/>
      <c r="AF719" s="242"/>
      <c r="AG719" s="242"/>
      <c r="AH719" s="242"/>
    </row>
    <row r="720">
      <c r="A720" s="242"/>
      <c r="B720" s="242"/>
      <c r="C720" s="242"/>
      <c r="D720" s="242"/>
      <c r="E720" s="242"/>
      <c r="F720" s="242"/>
      <c r="G720" s="242"/>
      <c r="H720" s="242"/>
      <c r="I720" s="242"/>
      <c r="J720" s="242"/>
      <c r="K720" s="242"/>
      <c r="L720" s="242"/>
      <c r="M720" s="242"/>
      <c r="N720" s="242"/>
      <c r="O720" s="242"/>
      <c r="P720" s="242"/>
      <c r="Q720" s="242"/>
      <c r="R720" s="242"/>
      <c r="S720" s="242"/>
      <c r="T720" s="242"/>
      <c r="U720" s="242"/>
      <c r="V720" s="242"/>
      <c r="W720" s="242"/>
      <c r="X720" s="242"/>
      <c r="Y720" s="242"/>
      <c r="Z720" s="242"/>
      <c r="AA720" s="242"/>
      <c r="AB720" s="242"/>
      <c r="AC720" s="242"/>
      <c r="AD720" s="242"/>
      <c r="AE720" s="242"/>
      <c r="AF720" s="242"/>
      <c r="AG720" s="242"/>
      <c r="AH720" s="242"/>
    </row>
    <row r="721">
      <c r="A721" s="242"/>
      <c r="B721" s="242"/>
      <c r="C721" s="242"/>
      <c r="D721" s="242"/>
      <c r="E721" s="242"/>
      <c r="F721" s="242"/>
      <c r="G721" s="242"/>
      <c r="H721" s="242"/>
      <c r="I721" s="242"/>
      <c r="J721" s="242"/>
      <c r="K721" s="242"/>
      <c r="L721" s="242"/>
      <c r="M721" s="242"/>
      <c r="N721" s="242"/>
      <c r="O721" s="242"/>
      <c r="P721" s="242"/>
      <c r="Q721" s="242"/>
      <c r="R721" s="242"/>
      <c r="S721" s="242"/>
      <c r="T721" s="242"/>
      <c r="U721" s="242"/>
      <c r="V721" s="242"/>
      <c r="W721" s="242"/>
      <c r="X721" s="242"/>
      <c r="Y721" s="242"/>
      <c r="Z721" s="242"/>
      <c r="AA721" s="242"/>
      <c r="AB721" s="242"/>
      <c r="AC721" s="242"/>
      <c r="AD721" s="242"/>
      <c r="AE721" s="242"/>
      <c r="AF721" s="242"/>
      <c r="AG721" s="242"/>
      <c r="AH721" s="242"/>
    </row>
    <row r="722">
      <c r="A722" s="242"/>
      <c r="B722" s="242"/>
      <c r="C722" s="242"/>
      <c r="D722" s="242"/>
      <c r="E722" s="242"/>
      <c r="F722" s="242"/>
      <c r="G722" s="242"/>
      <c r="H722" s="242"/>
      <c r="I722" s="242"/>
      <c r="J722" s="242"/>
      <c r="K722" s="242"/>
      <c r="L722" s="242"/>
      <c r="M722" s="242"/>
      <c r="N722" s="242"/>
      <c r="O722" s="242"/>
      <c r="P722" s="242"/>
      <c r="Q722" s="242"/>
      <c r="R722" s="242"/>
      <c r="S722" s="242"/>
      <c r="T722" s="242"/>
      <c r="U722" s="242"/>
      <c r="V722" s="242"/>
      <c r="W722" s="242"/>
      <c r="X722" s="242"/>
      <c r="Y722" s="242"/>
      <c r="Z722" s="242"/>
      <c r="AA722" s="242"/>
      <c r="AB722" s="242"/>
      <c r="AC722" s="242"/>
      <c r="AD722" s="242"/>
      <c r="AE722" s="242"/>
      <c r="AF722" s="242"/>
      <c r="AG722" s="242"/>
      <c r="AH722" s="242"/>
    </row>
    <row r="723">
      <c r="A723" s="242"/>
      <c r="B723" s="242"/>
      <c r="C723" s="242"/>
      <c r="D723" s="242"/>
      <c r="E723" s="242"/>
      <c r="F723" s="242"/>
      <c r="G723" s="242"/>
      <c r="H723" s="242"/>
      <c r="I723" s="242"/>
      <c r="J723" s="242"/>
      <c r="K723" s="242"/>
      <c r="L723" s="242"/>
      <c r="M723" s="242"/>
      <c r="N723" s="242"/>
      <c r="O723" s="242"/>
      <c r="P723" s="242"/>
      <c r="Q723" s="242"/>
      <c r="R723" s="242"/>
      <c r="S723" s="242"/>
      <c r="T723" s="242"/>
      <c r="U723" s="242"/>
      <c r="V723" s="242"/>
      <c r="W723" s="242"/>
      <c r="X723" s="242"/>
      <c r="Y723" s="242"/>
      <c r="Z723" s="242"/>
      <c r="AA723" s="242"/>
      <c r="AB723" s="242"/>
      <c r="AC723" s="242"/>
      <c r="AD723" s="242"/>
      <c r="AE723" s="242"/>
      <c r="AF723" s="242"/>
      <c r="AG723" s="242"/>
      <c r="AH723" s="242"/>
    </row>
    <row r="724">
      <c r="A724" s="242"/>
      <c r="B724" s="242"/>
      <c r="C724" s="242"/>
      <c r="D724" s="242"/>
      <c r="E724" s="242"/>
      <c r="F724" s="242"/>
      <c r="G724" s="242"/>
      <c r="H724" s="242"/>
      <c r="I724" s="242"/>
      <c r="J724" s="242"/>
      <c r="K724" s="242"/>
      <c r="L724" s="242"/>
      <c r="M724" s="242"/>
      <c r="N724" s="242"/>
      <c r="O724" s="242"/>
      <c r="P724" s="242"/>
      <c r="Q724" s="242"/>
      <c r="R724" s="242"/>
      <c r="S724" s="242"/>
      <c r="T724" s="242"/>
      <c r="U724" s="242"/>
      <c r="V724" s="242"/>
      <c r="W724" s="242"/>
      <c r="X724" s="242"/>
      <c r="Y724" s="242"/>
      <c r="Z724" s="242"/>
      <c r="AA724" s="242"/>
      <c r="AB724" s="242"/>
      <c r="AC724" s="242"/>
      <c r="AD724" s="242"/>
      <c r="AE724" s="242"/>
      <c r="AF724" s="242"/>
      <c r="AG724" s="242"/>
      <c r="AH724" s="242"/>
    </row>
    <row r="725">
      <c r="A725" s="242"/>
      <c r="B725" s="242"/>
      <c r="C725" s="242"/>
      <c r="D725" s="242"/>
      <c r="E725" s="242"/>
      <c r="F725" s="242"/>
      <c r="G725" s="242"/>
      <c r="H725" s="242"/>
      <c r="I725" s="242"/>
      <c r="J725" s="242"/>
      <c r="K725" s="242"/>
      <c r="L725" s="242"/>
      <c r="M725" s="242"/>
      <c r="N725" s="242"/>
      <c r="O725" s="242"/>
      <c r="P725" s="242"/>
      <c r="Q725" s="242"/>
      <c r="R725" s="242"/>
      <c r="S725" s="242"/>
      <c r="T725" s="242"/>
      <c r="U725" s="242"/>
      <c r="V725" s="242"/>
      <c r="W725" s="242"/>
      <c r="X725" s="242"/>
      <c r="Y725" s="242"/>
      <c r="Z725" s="242"/>
      <c r="AA725" s="242"/>
      <c r="AB725" s="242"/>
      <c r="AC725" s="242"/>
      <c r="AD725" s="242"/>
      <c r="AE725" s="242"/>
      <c r="AF725" s="242"/>
      <c r="AG725" s="242"/>
      <c r="AH725" s="242"/>
    </row>
    <row r="726">
      <c r="A726" s="242"/>
      <c r="B726" s="242"/>
      <c r="C726" s="242"/>
      <c r="D726" s="242"/>
      <c r="E726" s="242"/>
      <c r="F726" s="242"/>
      <c r="G726" s="242"/>
      <c r="H726" s="242"/>
      <c r="I726" s="242"/>
      <c r="J726" s="242"/>
      <c r="K726" s="242"/>
      <c r="L726" s="242"/>
      <c r="M726" s="242"/>
      <c r="N726" s="242"/>
      <c r="O726" s="242"/>
      <c r="P726" s="242"/>
      <c r="Q726" s="242"/>
      <c r="R726" s="242"/>
      <c r="S726" s="242"/>
      <c r="T726" s="242"/>
      <c r="U726" s="242"/>
      <c r="V726" s="242"/>
      <c r="W726" s="242"/>
      <c r="X726" s="242"/>
      <c r="Y726" s="242"/>
      <c r="Z726" s="242"/>
      <c r="AA726" s="242"/>
      <c r="AB726" s="242"/>
      <c r="AC726" s="242"/>
      <c r="AD726" s="242"/>
      <c r="AE726" s="242"/>
      <c r="AF726" s="242"/>
      <c r="AG726" s="242"/>
      <c r="AH726" s="242"/>
    </row>
    <row r="727">
      <c r="A727" s="242"/>
      <c r="B727" s="242"/>
      <c r="C727" s="242"/>
      <c r="D727" s="242"/>
      <c r="E727" s="242"/>
      <c r="F727" s="242"/>
      <c r="G727" s="242"/>
      <c r="H727" s="242"/>
      <c r="I727" s="242"/>
      <c r="J727" s="242"/>
      <c r="K727" s="242"/>
      <c r="L727" s="242"/>
      <c r="M727" s="242"/>
      <c r="N727" s="242"/>
      <c r="O727" s="242"/>
      <c r="P727" s="242"/>
      <c r="Q727" s="242"/>
      <c r="R727" s="242"/>
      <c r="S727" s="242"/>
      <c r="T727" s="242"/>
      <c r="U727" s="242"/>
      <c r="V727" s="242"/>
      <c r="W727" s="242"/>
      <c r="X727" s="242"/>
      <c r="Y727" s="242"/>
      <c r="Z727" s="242"/>
      <c r="AA727" s="242"/>
      <c r="AB727" s="242"/>
      <c r="AC727" s="242"/>
      <c r="AD727" s="242"/>
      <c r="AE727" s="242"/>
      <c r="AF727" s="242"/>
      <c r="AG727" s="242"/>
      <c r="AH727" s="242"/>
    </row>
    <row r="728">
      <c r="A728" s="242"/>
      <c r="B728" s="242"/>
      <c r="C728" s="242"/>
      <c r="D728" s="242"/>
      <c r="E728" s="242"/>
      <c r="F728" s="242"/>
      <c r="G728" s="242"/>
      <c r="H728" s="242"/>
      <c r="I728" s="242"/>
      <c r="J728" s="242"/>
      <c r="K728" s="242"/>
      <c r="L728" s="242"/>
      <c r="M728" s="242"/>
      <c r="N728" s="242"/>
      <c r="O728" s="242"/>
      <c r="P728" s="242"/>
      <c r="Q728" s="242"/>
      <c r="R728" s="242"/>
      <c r="S728" s="242"/>
      <c r="T728" s="242"/>
      <c r="U728" s="242"/>
      <c r="V728" s="242"/>
      <c r="W728" s="242"/>
      <c r="X728" s="242"/>
      <c r="Y728" s="242"/>
      <c r="Z728" s="242"/>
      <c r="AA728" s="242"/>
      <c r="AB728" s="242"/>
      <c r="AC728" s="242"/>
      <c r="AD728" s="242"/>
      <c r="AE728" s="242"/>
      <c r="AF728" s="242"/>
      <c r="AG728" s="242"/>
      <c r="AH728" s="242"/>
    </row>
    <row r="729">
      <c r="A729" s="242"/>
      <c r="B729" s="242"/>
      <c r="C729" s="242"/>
      <c r="D729" s="242"/>
      <c r="E729" s="242"/>
      <c r="F729" s="242"/>
      <c r="G729" s="242"/>
      <c r="H729" s="242"/>
      <c r="I729" s="242"/>
      <c r="J729" s="242"/>
      <c r="K729" s="242"/>
      <c r="L729" s="242"/>
      <c r="M729" s="242"/>
      <c r="N729" s="242"/>
      <c r="O729" s="242"/>
      <c r="P729" s="242"/>
      <c r="Q729" s="242"/>
      <c r="R729" s="242"/>
      <c r="S729" s="242"/>
      <c r="T729" s="242"/>
      <c r="U729" s="242"/>
      <c r="V729" s="242"/>
      <c r="W729" s="242"/>
      <c r="X729" s="242"/>
      <c r="Y729" s="242"/>
      <c r="Z729" s="242"/>
      <c r="AA729" s="242"/>
      <c r="AB729" s="242"/>
      <c r="AC729" s="242"/>
      <c r="AD729" s="242"/>
      <c r="AE729" s="242"/>
      <c r="AF729" s="242"/>
      <c r="AG729" s="242"/>
      <c r="AH729" s="242"/>
    </row>
    <row r="730">
      <c r="A730" s="242"/>
      <c r="B730" s="242"/>
      <c r="C730" s="242"/>
      <c r="D730" s="242"/>
      <c r="E730" s="242"/>
      <c r="F730" s="242"/>
      <c r="G730" s="242"/>
      <c r="H730" s="242"/>
      <c r="I730" s="242"/>
      <c r="J730" s="242"/>
      <c r="K730" s="242"/>
      <c r="L730" s="242"/>
      <c r="M730" s="242"/>
      <c r="N730" s="242"/>
      <c r="O730" s="242"/>
      <c r="P730" s="242"/>
      <c r="Q730" s="242"/>
      <c r="R730" s="242"/>
      <c r="S730" s="242"/>
      <c r="T730" s="242"/>
      <c r="U730" s="242"/>
      <c r="V730" s="242"/>
      <c r="W730" s="242"/>
      <c r="X730" s="242"/>
      <c r="Y730" s="242"/>
      <c r="Z730" s="242"/>
      <c r="AA730" s="242"/>
      <c r="AB730" s="242"/>
      <c r="AC730" s="242"/>
      <c r="AD730" s="242"/>
      <c r="AE730" s="242"/>
      <c r="AF730" s="242"/>
      <c r="AG730" s="242"/>
      <c r="AH730" s="242"/>
    </row>
    <row r="731">
      <c r="A731" s="242"/>
      <c r="B731" s="242"/>
      <c r="C731" s="242"/>
      <c r="D731" s="242"/>
      <c r="E731" s="242"/>
      <c r="F731" s="242"/>
      <c r="G731" s="242"/>
      <c r="H731" s="242"/>
      <c r="I731" s="242"/>
      <c r="J731" s="242"/>
      <c r="K731" s="242"/>
      <c r="L731" s="242"/>
      <c r="M731" s="242"/>
      <c r="N731" s="242"/>
      <c r="O731" s="242"/>
      <c r="P731" s="242"/>
      <c r="Q731" s="242"/>
      <c r="R731" s="242"/>
      <c r="S731" s="242"/>
      <c r="T731" s="242"/>
      <c r="U731" s="242"/>
      <c r="V731" s="242"/>
      <c r="W731" s="242"/>
      <c r="X731" s="242"/>
      <c r="Y731" s="242"/>
      <c r="Z731" s="242"/>
      <c r="AA731" s="242"/>
      <c r="AB731" s="242"/>
      <c r="AC731" s="242"/>
      <c r="AD731" s="242"/>
      <c r="AE731" s="242"/>
      <c r="AF731" s="242"/>
      <c r="AG731" s="242"/>
      <c r="AH731" s="242"/>
    </row>
    <row r="732">
      <c r="A732" s="242"/>
      <c r="B732" s="242"/>
      <c r="C732" s="242"/>
      <c r="D732" s="242"/>
      <c r="E732" s="242"/>
      <c r="F732" s="242"/>
      <c r="G732" s="242"/>
      <c r="H732" s="242"/>
      <c r="I732" s="242"/>
      <c r="J732" s="242"/>
      <c r="K732" s="242"/>
      <c r="L732" s="242"/>
      <c r="M732" s="242"/>
      <c r="N732" s="242"/>
      <c r="O732" s="242"/>
      <c r="P732" s="242"/>
      <c r="Q732" s="242"/>
      <c r="R732" s="242"/>
      <c r="S732" s="242"/>
      <c r="T732" s="242"/>
      <c r="U732" s="242"/>
      <c r="V732" s="242"/>
      <c r="W732" s="242"/>
      <c r="X732" s="242"/>
      <c r="Y732" s="242"/>
      <c r="Z732" s="242"/>
      <c r="AA732" s="242"/>
      <c r="AB732" s="242"/>
      <c r="AC732" s="242"/>
      <c r="AD732" s="242"/>
      <c r="AE732" s="242"/>
      <c r="AF732" s="242"/>
      <c r="AG732" s="242"/>
      <c r="AH732" s="242"/>
    </row>
    <row r="733">
      <c r="A733" s="242"/>
      <c r="B733" s="242"/>
      <c r="C733" s="242"/>
      <c r="D733" s="242"/>
      <c r="E733" s="242"/>
      <c r="F733" s="242"/>
      <c r="G733" s="242"/>
      <c r="H733" s="242"/>
      <c r="I733" s="242"/>
      <c r="J733" s="242"/>
      <c r="K733" s="242"/>
      <c r="L733" s="242"/>
      <c r="M733" s="242"/>
      <c r="N733" s="242"/>
      <c r="O733" s="242"/>
      <c r="P733" s="242"/>
      <c r="Q733" s="242"/>
      <c r="R733" s="242"/>
      <c r="S733" s="242"/>
      <c r="T733" s="242"/>
      <c r="U733" s="242"/>
      <c r="V733" s="242"/>
      <c r="W733" s="242"/>
      <c r="X733" s="242"/>
      <c r="Y733" s="242"/>
      <c r="Z733" s="242"/>
      <c r="AA733" s="242"/>
      <c r="AB733" s="242"/>
      <c r="AC733" s="242"/>
      <c r="AD733" s="242"/>
      <c r="AE733" s="242"/>
      <c r="AF733" s="242"/>
      <c r="AG733" s="242"/>
      <c r="AH733" s="242"/>
    </row>
    <row r="734">
      <c r="A734" s="242"/>
      <c r="B734" s="242"/>
      <c r="C734" s="242"/>
      <c r="D734" s="242"/>
      <c r="E734" s="242"/>
      <c r="F734" s="242"/>
      <c r="G734" s="242"/>
      <c r="H734" s="242"/>
      <c r="I734" s="242"/>
      <c r="J734" s="242"/>
      <c r="K734" s="242"/>
      <c r="L734" s="242"/>
      <c r="M734" s="242"/>
      <c r="N734" s="242"/>
      <c r="O734" s="242"/>
      <c r="P734" s="242"/>
      <c r="Q734" s="242"/>
      <c r="R734" s="242"/>
      <c r="S734" s="242"/>
      <c r="T734" s="242"/>
      <c r="U734" s="242"/>
      <c r="V734" s="242"/>
      <c r="W734" s="242"/>
      <c r="X734" s="242"/>
      <c r="Y734" s="242"/>
      <c r="Z734" s="242"/>
      <c r="AA734" s="242"/>
      <c r="AB734" s="242"/>
      <c r="AC734" s="242"/>
      <c r="AD734" s="242"/>
      <c r="AE734" s="242"/>
      <c r="AF734" s="242"/>
      <c r="AG734" s="242"/>
      <c r="AH734" s="242"/>
    </row>
    <row r="735">
      <c r="A735" s="242"/>
      <c r="B735" s="242"/>
      <c r="C735" s="242"/>
      <c r="D735" s="242"/>
      <c r="E735" s="242"/>
      <c r="F735" s="242"/>
      <c r="G735" s="242"/>
      <c r="H735" s="242"/>
      <c r="I735" s="242"/>
      <c r="J735" s="242"/>
      <c r="K735" s="242"/>
      <c r="L735" s="242"/>
      <c r="M735" s="242"/>
      <c r="N735" s="242"/>
      <c r="O735" s="242"/>
      <c r="P735" s="242"/>
      <c r="Q735" s="242"/>
      <c r="R735" s="242"/>
      <c r="S735" s="242"/>
      <c r="T735" s="242"/>
      <c r="U735" s="242"/>
      <c r="V735" s="242"/>
      <c r="W735" s="242"/>
      <c r="X735" s="242"/>
      <c r="Y735" s="242"/>
      <c r="Z735" s="242"/>
      <c r="AA735" s="242"/>
      <c r="AB735" s="242"/>
      <c r="AC735" s="242"/>
      <c r="AD735" s="242"/>
      <c r="AE735" s="242"/>
      <c r="AF735" s="242"/>
      <c r="AG735" s="242"/>
      <c r="AH735" s="242"/>
    </row>
    <row r="736">
      <c r="A736" s="242"/>
      <c r="B736" s="242"/>
      <c r="C736" s="242"/>
      <c r="D736" s="242"/>
      <c r="E736" s="242"/>
      <c r="F736" s="242"/>
      <c r="G736" s="242"/>
      <c r="H736" s="242"/>
      <c r="I736" s="242"/>
      <c r="J736" s="242"/>
      <c r="K736" s="242"/>
      <c r="L736" s="242"/>
      <c r="M736" s="242"/>
      <c r="N736" s="242"/>
      <c r="O736" s="242"/>
      <c r="P736" s="242"/>
      <c r="Q736" s="242"/>
      <c r="R736" s="242"/>
      <c r="S736" s="242"/>
      <c r="T736" s="242"/>
      <c r="U736" s="242"/>
      <c r="V736" s="242"/>
      <c r="W736" s="242"/>
      <c r="X736" s="242"/>
      <c r="Y736" s="242"/>
      <c r="Z736" s="242"/>
      <c r="AA736" s="242"/>
      <c r="AB736" s="242"/>
      <c r="AC736" s="242"/>
      <c r="AD736" s="242"/>
      <c r="AE736" s="242"/>
      <c r="AF736" s="242"/>
      <c r="AG736" s="242"/>
      <c r="AH736" s="242"/>
    </row>
    <row r="737">
      <c r="A737" s="242"/>
      <c r="B737" s="242"/>
      <c r="C737" s="242"/>
      <c r="D737" s="242"/>
      <c r="E737" s="242"/>
      <c r="F737" s="242"/>
      <c r="G737" s="242"/>
      <c r="H737" s="242"/>
      <c r="I737" s="242"/>
      <c r="J737" s="242"/>
      <c r="K737" s="242"/>
      <c r="L737" s="242"/>
      <c r="M737" s="242"/>
      <c r="N737" s="242"/>
      <c r="O737" s="242"/>
      <c r="P737" s="242"/>
      <c r="Q737" s="242"/>
      <c r="R737" s="242"/>
      <c r="S737" s="242"/>
      <c r="T737" s="242"/>
      <c r="U737" s="242"/>
      <c r="V737" s="242"/>
      <c r="W737" s="242"/>
      <c r="X737" s="242"/>
      <c r="Y737" s="242"/>
      <c r="Z737" s="242"/>
      <c r="AA737" s="242"/>
      <c r="AB737" s="242"/>
      <c r="AC737" s="242"/>
      <c r="AD737" s="242"/>
      <c r="AE737" s="242"/>
      <c r="AF737" s="242"/>
      <c r="AG737" s="242"/>
      <c r="AH737" s="242"/>
    </row>
    <row r="738">
      <c r="A738" s="242"/>
      <c r="B738" s="242"/>
      <c r="C738" s="242"/>
      <c r="D738" s="242"/>
      <c r="E738" s="242"/>
      <c r="F738" s="242"/>
      <c r="G738" s="242"/>
      <c r="H738" s="242"/>
      <c r="I738" s="242"/>
      <c r="J738" s="242"/>
      <c r="K738" s="242"/>
      <c r="L738" s="242"/>
      <c r="M738" s="242"/>
      <c r="N738" s="242"/>
      <c r="O738" s="242"/>
      <c r="P738" s="242"/>
      <c r="Q738" s="242"/>
      <c r="R738" s="242"/>
      <c r="S738" s="242"/>
      <c r="T738" s="242"/>
      <c r="U738" s="242"/>
      <c r="V738" s="242"/>
      <c r="W738" s="242"/>
      <c r="X738" s="242"/>
      <c r="Y738" s="242"/>
      <c r="Z738" s="242"/>
      <c r="AA738" s="242"/>
      <c r="AB738" s="242"/>
      <c r="AC738" s="242"/>
      <c r="AD738" s="242"/>
      <c r="AE738" s="242"/>
      <c r="AF738" s="242"/>
      <c r="AG738" s="242"/>
      <c r="AH738" s="242"/>
    </row>
    <row r="739">
      <c r="A739" s="242"/>
      <c r="B739" s="242"/>
      <c r="C739" s="242"/>
      <c r="D739" s="242"/>
      <c r="E739" s="242"/>
      <c r="F739" s="242"/>
      <c r="G739" s="242"/>
      <c r="H739" s="242"/>
      <c r="I739" s="242"/>
      <c r="J739" s="242"/>
      <c r="K739" s="242"/>
      <c r="L739" s="242"/>
      <c r="M739" s="242"/>
      <c r="N739" s="242"/>
      <c r="O739" s="242"/>
      <c r="P739" s="242"/>
      <c r="Q739" s="242"/>
      <c r="R739" s="242"/>
      <c r="S739" s="242"/>
      <c r="T739" s="242"/>
      <c r="U739" s="242"/>
      <c r="V739" s="242"/>
      <c r="W739" s="242"/>
      <c r="X739" s="242"/>
      <c r="Y739" s="242"/>
      <c r="Z739" s="242"/>
      <c r="AA739" s="242"/>
      <c r="AB739" s="242"/>
      <c r="AC739" s="242"/>
      <c r="AD739" s="242"/>
      <c r="AE739" s="242"/>
      <c r="AF739" s="242"/>
      <c r="AG739" s="242"/>
      <c r="AH739" s="242"/>
    </row>
    <row r="740">
      <c r="A740" s="242"/>
      <c r="B740" s="242"/>
      <c r="C740" s="242"/>
      <c r="D740" s="242"/>
      <c r="E740" s="242"/>
      <c r="F740" s="242"/>
      <c r="G740" s="242"/>
      <c r="H740" s="242"/>
      <c r="I740" s="242"/>
      <c r="J740" s="242"/>
      <c r="K740" s="242"/>
      <c r="L740" s="242"/>
      <c r="M740" s="242"/>
      <c r="N740" s="242"/>
      <c r="O740" s="242"/>
      <c r="P740" s="242"/>
      <c r="Q740" s="242"/>
      <c r="R740" s="242"/>
      <c r="S740" s="242"/>
      <c r="T740" s="242"/>
      <c r="U740" s="242"/>
      <c r="V740" s="242"/>
      <c r="W740" s="242"/>
      <c r="X740" s="242"/>
      <c r="Y740" s="242"/>
      <c r="Z740" s="242"/>
      <c r="AA740" s="242"/>
      <c r="AB740" s="242"/>
      <c r="AC740" s="242"/>
      <c r="AD740" s="242"/>
      <c r="AE740" s="242"/>
      <c r="AF740" s="242"/>
      <c r="AG740" s="242"/>
      <c r="AH740" s="242"/>
    </row>
    <row r="741">
      <c r="A741" s="242"/>
      <c r="B741" s="242"/>
      <c r="C741" s="242"/>
      <c r="D741" s="242"/>
      <c r="E741" s="242"/>
      <c r="F741" s="242"/>
      <c r="G741" s="242"/>
      <c r="H741" s="242"/>
      <c r="I741" s="242"/>
      <c r="J741" s="242"/>
      <c r="K741" s="242"/>
      <c r="L741" s="242"/>
      <c r="M741" s="242"/>
      <c r="N741" s="242"/>
      <c r="O741" s="242"/>
      <c r="P741" s="242"/>
      <c r="Q741" s="242"/>
      <c r="R741" s="242"/>
      <c r="S741" s="242"/>
      <c r="T741" s="242"/>
      <c r="U741" s="242"/>
      <c r="V741" s="242"/>
      <c r="W741" s="242"/>
      <c r="X741" s="242"/>
      <c r="Y741" s="242"/>
      <c r="Z741" s="242"/>
      <c r="AA741" s="242"/>
      <c r="AB741" s="242"/>
      <c r="AC741" s="242"/>
      <c r="AD741" s="242"/>
      <c r="AE741" s="242"/>
      <c r="AF741" s="242"/>
      <c r="AG741" s="242"/>
      <c r="AH741" s="242"/>
    </row>
    <row r="742">
      <c r="A742" s="242"/>
      <c r="B742" s="242"/>
      <c r="C742" s="242"/>
      <c r="D742" s="242"/>
      <c r="E742" s="242"/>
      <c r="F742" s="242"/>
      <c r="G742" s="242"/>
      <c r="H742" s="242"/>
      <c r="I742" s="242"/>
      <c r="J742" s="242"/>
      <c r="K742" s="242"/>
      <c r="L742" s="242"/>
      <c r="M742" s="242"/>
      <c r="N742" s="242"/>
      <c r="O742" s="242"/>
      <c r="P742" s="242"/>
      <c r="Q742" s="242"/>
      <c r="R742" s="242"/>
      <c r="S742" s="242"/>
      <c r="T742" s="242"/>
      <c r="U742" s="242"/>
      <c r="V742" s="242"/>
      <c r="W742" s="242"/>
      <c r="X742" s="242"/>
      <c r="Y742" s="242"/>
      <c r="Z742" s="242"/>
      <c r="AA742" s="242"/>
      <c r="AB742" s="242"/>
      <c r="AC742" s="242"/>
      <c r="AD742" s="242"/>
      <c r="AE742" s="242"/>
      <c r="AF742" s="242"/>
      <c r="AG742" s="242"/>
      <c r="AH742" s="242"/>
    </row>
    <row r="743">
      <c r="A743" s="242"/>
      <c r="B743" s="242"/>
      <c r="C743" s="242"/>
      <c r="D743" s="242"/>
      <c r="E743" s="242"/>
      <c r="F743" s="242"/>
      <c r="G743" s="242"/>
      <c r="H743" s="242"/>
      <c r="I743" s="242"/>
      <c r="J743" s="242"/>
      <c r="K743" s="242"/>
      <c r="L743" s="242"/>
      <c r="M743" s="242"/>
      <c r="N743" s="242"/>
      <c r="O743" s="242"/>
      <c r="P743" s="242"/>
      <c r="Q743" s="242"/>
      <c r="R743" s="242"/>
      <c r="S743" s="242"/>
      <c r="T743" s="242"/>
      <c r="U743" s="242"/>
      <c r="V743" s="242"/>
      <c r="W743" s="242"/>
      <c r="X743" s="242"/>
      <c r="Y743" s="242"/>
      <c r="Z743" s="242"/>
      <c r="AA743" s="242"/>
      <c r="AB743" s="242"/>
      <c r="AC743" s="242"/>
      <c r="AD743" s="242"/>
      <c r="AE743" s="242"/>
      <c r="AF743" s="242"/>
      <c r="AG743" s="242"/>
      <c r="AH743" s="242"/>
    </row>
    <row r="744">
      <c r="A744" s="242"/>
      <c r="B744" s="242"/>
      <c r="C744" s="242"/>
      <c r="D744" s="242"/>
      <c r="E744" s="242"/>
      <c r="F744" s="242"/>
      <c r="G744" s="242"/>
      <c r="H744" s="242"/>
      <c r="I744" s="242"/>
      <c r="J744" s="242"/>
      <c r="K744" s="242"/>
      <c r="L744" s="242"/>
      <c r="M744" s="242"/>
      <c r="N744" s="242"/>
      <c r="O744" s="242"/>
      <c r="P744" s="242"/>
      <c r="Q744" s="242"/>
      <c r="R744" s="242"/>
      <c r="S744" s="242"/>
      <c r="T744" s="242"/>
      <c r="U744" s="242"/>
      <c r="V744" s="242"/>
      <c r="W744" s="242"/>
      <c r="X744" s="242"/>
      <c r="Y744" s="242"/>
      <c r="Z744" s="242"/>
      <c r="AA744" s="242"/>
      <c r="AB744" s="242"/>
      <c r="AC744" s="242"/>
      <c r="AD744" s="242"/>
      <c r="AE744" s="242"/>
      <c r="AF744" s="242"/>
      <c r="AG744" s="242"/>
      <c r="AH744" s="242"/>
    </row>
    <row r="745">
      <c r="A745" s="242"/>
      <c r="B745" s="242"/>
      <c r="C745" s="242"/>
      <c r="D745" s="242"/>
      <c r="E745" s="242"/>
      <c r="F745" s="242"/>
      <c r="G745" s="242"/>
      <c r="H745" s="242"/>
      <c r="I745" s="242"/>
      <c r="J745" s="242"/>
      <c r="K745" s="242"/>
      <c r="L745" s="242"/>
      <c r="M745" s="242"/>
      <c r="N745" s="242"/>
      <c r="O745" s="242"/>
      <c r="P745" s="242"/>
      <c r="Q745" s="242"/>
      <c r="R745" s="242"/>
      <c r="S745" s="242"/>
      <c r="T745" s="242"/>
      <c r="U745" s="242"/>
      <c r="V745" s="242"/>
      <c r="W745" s="242"/>
      <c r="X745" s="242"/>
      <c r="Y745" s="242"/>
      <c r="Z745" s="242"/>
      <c r="AA745" s="242"/>
      <c r="AB745" s="242"/>
      <c r="AC745" s="242"/>
      <c r="AD745" s="242"/>
      <c r="AE745" s="242"/>
      <c r="AF745" s="242"/>
      <c r="AG745" s="242"/>
      <c r="AH745" s="242"/>
    </row>
    <row r="746">
      <c r="A746" s="242"/>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c r="AA746" s="242"/>
      <c r="AB746" s="242"/>
      <c r="AC746" s="242"/>
      <c r="AD746" s="242"/>
      <c r="AE746" s="242"/>
      <c r="AF746" s="242"/>
      <c r="AG746" s="242"/>
      <c r="AH746" s="242"/>
    </row>
    <row r="747">
      <c r="A747" s="242"/>
      <c r="B747" s="242"/>
      <c r="C747" s="242"/>
      <c r="D747" s="242"/>
      <c r="E747" s="242"/>
      <c r="F747" s="242"/>
      <c r="G747" s="242"/>
      <c r="H747" s="242"/>
      <c r="I747" s="242"/>
      <c r="J747" s="242"/>
      <c r="K747" s="242"/>
      <c r="L747" s="242"/>
      <c r="M747" s="242"/>
      <c r="N747" s="242"/>
      <c r="O747" s="242"/>
      <c r="P747" s="242"/>
      <c r="Q747" s="242"/>
      <c r="R747" s="242"/>
      <c r="S747" s="242"/>
      <c r="T747" s="242"/>
      <c r="U747" s="242"/>
      <c r="V747" s="242"/>
      <c r="W747" s="242"/>
      <c r="X747" s="242"/>
      <c r="Y747" s="242"/>
      <c r="Z747" s="242"/>
      <c r="AA747" s="242"/>
      <c r="AB747" s="242"/>
      <c r="AC747" s="242"/>
      <c r="AD747" s="242"/>
      <c r="AE747" s="242"/>
      <c r="AF747" s="242"/>
      <c r="AG747" s="242"/>
      <c r="AH747" s="242"/>
    </row>
    <row r="748">
      <c r="A748" s="242"/>
      <c r="B748" s="242"/>
      <c r="C748" s="242"/>
      <c r="D748" s="242"/>
      <c r="E748" s="242"/>
      <c r="F748" s="242"/>
      <c r="G748" s="242"/>
      <c r="H748" s="242"/>
      <c r="I748" s="242"/>
      <c r="J748" s="242"/>
      <c r="K748" s="242"/>
      <c r="L748" s="242"/>
      <c r="M748" s="242"/>
      <c r="N748" s="242"/>
      <c r="O748" s="242"/>
      <c r="P748" s="242"/>
      <c r="Q748" s="242"/>
      <c r="R748" s="242"/>
      <c r="S748" s="242"/>
      <c r="T748" s="242"/>
      <c r="U748" s="242"/>
      <c r="V748" s="242"/>
      <c r="W748" s="242"/>
      <c r="X748" s="242"/>
      <c r="Y748" s="242"/>
      <c r="Z748" s="242"/>
      <c r="AA748" s="242"/>
      <c r="AB748" s="242"/>
      <c r="AC748" s="242"/>
      <c r="AD748" s="242"/>
      <c r="AE748" s="242"/>
      <c r="AF748" s="242"/>
      <c r="AG748" s="242"/>
      <c r="AH748" s="242"/>
    </row>
    <row r="749">
      <c r="A749" s="242"/>
      <c r="B749" s="242"/>
      <c r="C749" s="242"/>
      <c r="D749" s="242"/>
      <c r="E749" s="242"/>
      <c r="F749" s="242"/>
      <c r="G749" s="242"/>
      <c r="H749" s="242"/>
      <c r="I749" s="242"/>
      <c r="J749" s="242"/>
      <c r="K749" s="242"/>
      <c r="L749" s="242"/>
      <c r="M749" s="242"/>
      <c r="N749" s="242"/>
      <c r="O749" s="242"/>
      <c r="P749" s="242"/>
      <c r="Q749" s="242"/>
      <c r="R749" s="242"/>
      <c r="S749" s="242"/>
      <c r="T749" s="242"/>
      <c r="U749" s="242"/>
      <c r="V749" s="242"/>
      <c r="W749" s="242"/>
      <c r="X749" s="242"/>
      <c r="Y749" s="242"/>
      <c r="Z749" s="242"/>
      <c r="AA749" s="242"/>
      <c r="AB749" s="242"/>
      <c r="AC749" s="242"/>
      <c r="AD749" s="242"/>
      <c r="AE749" s="242"/>
      <c r="AF749" s="242"/>
      <c r="AG749" s="242"/>
      <c r="AH749" s="242"/>
    </row>
    <row r="750">
      <c r="A750" s="242"/>
      <c r="B750" s="242"/>
      <c r="C750" s="242"/>
      <c r="D750" s="242"/>
      <c r="E750" s="242"/>
      <c r="F750" s="242"/>
      <c r="G750" s="242"/>
      <c r="H750" s="242"/>
      <c r="I750" s="242"/>
      <c r="J750" s="242"/>
      <c r="K750" s="242"/>
      <c r="L750" s="242"/>
      <c r="M750" s="242"/>
      <c r="N750" s="242"/>
      <c r="O750" s="242"/>
      <c r="P750" s="242"/>
      <c r="Q750" s="242"/>
      <c r="R750" s="242"/>
      <c r="S750" s="242"/>
      <c r="T750" s="242"/>
      <c r="U750" s="242"/>
      <c r="V750" s="242"/>
      <c r="W750" s="242"/>
      <c r="X750" s="242"/>
      <c r="Y750" s="242"/>
      <c r="Z750" s="242"/>
      <c r="AA750" s="242"/>
      <c r="AB750" s="242"/>
      <c r="AC750" s="242"/>
      <c r="AD750" s="242"/>
      <c r="AE750" s="242"/>
      <c r="AF750" s="242"/>
      <c r="AG750" s="242"/>
      <c r="AH750" s="242"/>
    </row>
    <row r="751">
      <c r="A751" s="242"/>
      <c r="B751" s="242"/>
      <c r="C751" s="242"/>
      <c r="D751" s="242"/>
      <c r="E751" s="242"/>
      <c r="F751" s="242"/>
      <c r="G751" s="242"/>
      <c r="H751" s="242"/>
      <c r="I751" s="242"/>
      <c r="J751" s="242"/>
      <c r="K751" s="242"/>
      <c r="L751" s="242"/>
      <c r="M751" s="242"/>
      <c r="N751" s="242"/>
      <c r="O751" s="242"/>
      <c r="P751" s="242"/>
      <c r="Q751" s="242"/>
      <c r="R751" s="242"/>
      <c r="S751" s="242"/>
      <c r="T751" s="242"/>
      <c r="U751" s="242"/>
      <c r="V751" s="242"/>
      <c r="W751" s="242"/>
      <c r="X751" s="242"/>
      <c r="Y751" s="242"/>
      <c r="Z751" s="242"/>
      <c r="AA751" s="242"/>
      <c r="AB751" s="242"/>
      <c r="AC751" s="242"/>
      <c r="AD751" s="242"/>
      <c r="AE751" s="242"/>
      <c r="AF751" s="242"/>
      <c r="AG751" s="242"/>
      <c r="AH751" s="242"/>
    </row>
    <row r="752">
      <c r="A752" s="242"/>
      <c r="B752" s="242"/>
      <c r="C752" s="242"/>
      <c r="D752" s="242"/>
      <c r="E752" s="242"/>
      <c r="F752" s="242"/>
      <c r="G752" s="242"/>
      <c r="H752" s="242"/>
      <c r="I752" s="242"/>
      <c r="J752" s="242"/>
      <c r="K752" s="242"/>
      <c r="L752" s="242"/>
      <c r="M752" s="242"/>
      <c r="N752" s="242"/>
      <c r="O752" s="242"/>
      <c r="P752" s="242"/>
      <c r="Q752" s="242"/>
      <c r="R752" s="242"/>
      <c r="S752" s="242"/>
      <c r="T752" s="242"/>
      <c r="U752" s="242"/>
      <c r="V752" s="242"/>
      <c r="W752" s="242"/>
      <c r="X752" s="242"/>
      <c r="Y752" s="242"/>
      <c r="Z752" s="242"/>
      <c r="AA752" s="242"/>
      <c r="AB752" s="242"/>
      <c r="AC752" s="242"/>
      <c r="AD752" s="242"/>
      <c r="AE752" s="242"/>
      <c r="AF752" s="242"/>
      <c r="AG752" s="242"/>
      <c r="AH752" s="242"/>
    </row>
    <row r="753">
      <c r="A753" s="242"/>
      <c r="B753" s="242"/>
      <c r="C753" s="242"/>
      <c r="D753" s="242"/>
      <c r="E753" s="242"/>
      <c r="F753" s="242"/>
      <c r="G753" s="242"/>
      <c r="H753" s="242"/>
      <c r="I753" s="242"/>
      <c r="J753" s="242"/>
      <c r="K753" s="242"/>
      <c r="L753" s="242"/>
      <c r="M753" s="242"/>
      <c r="N753" s="242"/>
      <c r="O753" s="242"/>
      <c r="P753" s="242"/>
      <c r="Q753" s="242"/>
      <c r="R753" s="242"/>
      <c r="S753" s="242"/>
      <c r="T753" s="242"/>
      <c r="U753" s="242"/>
      <c r="V753" s="242"/>
      <c r="W753" s="242"/>
      <c r="X753" s="242"/>
      <c r="Y753" s="242"/>
      <c r="Z753" s="242"/>
      <c r="AA753" s="242"/>
      <c r="AB753" s="242"/>
      <c r="AC753" s="242"/>
      <c r="AD753" s="242"/>
      <c r="AE753" s="242"/>
      <c r="AF753" s="242"/>
      <c r="AG753" s="242"/>
      <c r="AH753" s="242"/>
    </row>
    <row r="754">
      <c r="A754" s="242"/>
      <c r="B754" s="242"/>
      <c r="C754" s="242"/>
      <c r="D754" s="242"/>
      <c r="E754" s="242"/>
      <c r="F754" s="242"/>
      <c r="G754" s="242"/>
      <c r="H754" s="242"/>
      <c r="I754" s="242"/>
      <c r="J754" s="242"/>
      <c r="K754" s="242"/>
      <c r="L754" s="242"/>
      <c r="M754" s="242"/>
      <c r="N754" s="242"/>
      <c r="O754" s="242"/>
      <c r="P754" s="242"/>
      <c r="Q754" s="242"/>
      <c r="R754" s="242"/>
      <c r="S754" s="242"/>
      <c r="T754" s="242"/>
      <c r="U754" s="242"/>
      <c r="V754" s="242"/>
      <c r="W754" s="242"/>
      <c r="X754" s="242"/>
      <c r="Y754" s="242"/>
      <c r="Z754" s="242"/>
      <c r="AA754" s="242"/>
      <c r="AB754" s="242"/>
      <c r="AC754" s="242"/>
      <c r="AD754" s="242"/>
      <c r="AE754" s="242"/>
      <c r="AF754" s="242"/>
      <c r="AG754" s="242"/>
      <c r="AH754" s="242"/>
    </row>
    <row r="755">
      <c r="A755" s="242"/>
      <c r="B755" s="242"/>
      <c r="C755" s="242"/>
      <c r="D755" s="242"/>
      <c r="E755" s="242"/>
      <c r="F755" s="242"/>
      <c r="G755" s="242"/>
      <c r="H755" s="242"/>
      <c r="I755" s="242"/>
      <c r="J755" s="242"/>
      <c r="K755" s="242"/>
      <c r="L755" s="242"/>
      <c r="M755" s="242"/>
      <c r="N755" s="242"/>
      <c r="O755" s="242"/>
      <c r="P755" s="242"/>
      <c r="Q755" s="242"/>
      <c r="R755" s="242"/>
      <c r="S755" s="242"/>
      <c r="T755" s="242"/>
      <c r="U755" s="242"/>
      <c r="V755" s="242"/>
      <c r="W755" s="242"/>
      <c r="X755" s="242"/>
      <c r="Y755" s="242"/>
      <c r="Z755" s="242"/>
      <c r="AA755" s="242"/>
      <c r="AB755" s="242"/>
      <c r="AC755" s="242"/>
      <c r="AD755" s="242"/>
      <c r="AE755" s="242"/>
      <c r="AF755" s="242"/>
      <c r="AG755" s="242"/>
      <c r="AH755" s="242"/>
    </row>
    <row r="756">
      <c r="A756" s="242"/>
      <c r="B756" s="242"/>
      <c r="C756" s="242"/>
      <c r="D756" s="242"/>
      <c r="E756" s="242"/>
      <c r="F756" s="242"/>
      <c r="G756" s="242"/>
      <c r="H756" s="242"/>
      <c r="I756" s="242"/>
      <c r="J756" s="242"/>
      <c r="K756" s="242"/>
      <c r="L756" s="242"/>
      <c r="M756" s="242"/>
      <c r="N756" s="242"/>
      <c r="O756" s="242"/>
      <c r="P756" s="242"/>
      <c r="Q756" s="242"/>
      <c r="R756" s="242"/>
      <c r="S756" s="242"/>
      <c r="T756" s="242"/>
      <c r="U756" s="242"/>
      <c r="V756" s="242"/>
      <c r="W756" s="242"/>
      <c r="X756" s="242"/>
      <c r="Y756" s="242"/>
      <c r="Z756" s="242"/>
      <c r="AA756" s="242"/>
      <c r="AB756" s="242"/>
      <c r="AC756" s="242"/>
      <c r="AD756" s="242"/>
      <c r="AE756" s="242"/>
      <c r="AF756" s="242"/>
      <c r="AG756" s="242"/>
      <c r="AH756" s="242"/>
    </row>
    <row r="757">
      <c r="A757" s="242"/>
      <c r="B757" s="242"/>
      <c r="C757" s="242"/>
      <c r="D757" s="242"/>
      <c r="E757" s="242"/>
      <c r="F757" s="242"/>
      <c r="G757" s="242"/>
      <c r="H757" s="242"/>
      <c r="I757" s="242"/>
      <c r="J757" s="242"/>
      <c r="K757" s="242"/>
      <c r="L757" s="242"/>
      <c r="M757" s="242"/>
      <c r="N757" s="242"/>
      <c r="O757" s="242"/>
      <c r="P757" s="242"/>
      <c r="Q757" s="242"/>
      <c r="R757" s="242"/>
      <c r="S757" s="242"/>
      <c r="T757" s="242"/>
      <c r="U757" s="242"/>
      <c r="V757" s="242"/>
      <c r="W757" s="242"/>
      <c r="X757" s="242"/>
      <c r="Y757" s="242"/>
      <c r="Z757" s="242"/>
      <c r="AA757" s="242"/>
      <c r="AB757" s="242"/>
      <c r="AC757" s="242"/>
      <c r="AD757" s="242"/>
      <c r="AE757" s="242"/>
      <c r="AF757" s="242"/>
      <c r="AG757" s="242"/>
      <c r="AH757" s="242"/>
    </row>
    <row r="758">
      <c r="A758" s="242"/>
      <c r="B758" s="242"/>
      <c r="C758" s="242"/>
      <c r="D758" s="242"/>
      <c r="E758" s="242"/>
      <c r="F758" s="242"/>
      <c r="G758" s="242"/>
      <c r="H758" s="242"/>
      <c r="I758" s="242"/>
      <c r="J758" s="242"/>
      <c r="K758" s="242"/>
      <c r="L758" s="242"/>
      <c r="M758" s="242"/>
      <c r="N758" s="242"/>
      <c r="O758" s="242"/>
      <c r="P758" s="242"/>
      <c r="Q758" s="242"/>
      <c r="R758" s="242"/>
      <c r="S758" s="242"/>
      <c r="T758" s="242"/>
      <c r="U758" s="242"/>
      <c r="V758" s="242"/>
      <c r="W758" s="242"/>
      <c r="X758" s="242"/>
      <c r="Y758" s="242"/>
      <c r="Z758" s="242"/>
      <c r="AA758" s="242"/>
      <c r="AB758" s="242"/>
      <c r="AC758" s="242"/>
      <c r="AD758" s="242"/>
      <c r="AE758" s="242"/>
      <c r="AF758" s="242"/>
      <c r="AG758" s="242"/>
      <c r="AH758" s="242"/>
    </row>
    <row r="759">
      <c r="A759" s="242"/>
      <c r="B759" s="242"/>
      <c r="C759" s="242"/>
      <c r="D759" s="242"/>
      <c r="E759" s="242"/>
      <c r="F759" s="242"/>
      <c r="G759" s="242"/>
      <c r="H759" s="242"/>
      <c r="I759" s="242"/>
      <c r="J759" s="242"/>
      <c r="K759" s="242"/>
      <c r="L759" s="242"/>
      <c r="M759" s="242"/>
      <c r="N759" s="242"/>
      <c r="O759" s="242"/>
      <c r="P759" s="242"/>
      <c r="Q759" s="242"/>
      <c r="R759" s="242"/>
      <c r="S759" s="242"/>
      <c r="T759" s="242"/>
      <c r="U759" s="242"/>
      <c r="V759" s="242"/>
      <c r="W759" s="242"/>
      <c r="X759" s="242"/>
      <c r="Y759" s="242"/>
      <c r="Z759" s="242"/>
      <c r="AA759" s="242"/>
      <c r="AB759" s="242"/>
      <c r="AC759" s="242"/>
      <c r="AD759" s="242"/>
      <c r="AE759" s="242"/>
      <c r="AF759" s="242"/>
      <c r="AG759" s="242"/>
      <c r="AH759" s="242"/>
    </row>
    <row r="760">
      <c r="A760" s="242"/>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c r="AA760" s="242"/>
      <c r="AB760" s="242"/>
      <c r="AC760" s="242"/>
      <c r="AD760" s="242"/>
      <c r="AE760" s="242"/>
      <c r="AF760" s="242"/>
      <c r="AG760" s="242"/>
      <c r="AH760" s="242"/>
    </row>
    <row r="761">
      <c r="A761" s="242"/>
      <c r="B761" s="242"/>
      <c r="C761" s="242"/>
      <c r="D761" s="242"/>
      <c r="E761" s="242"/>
      <c r="F761" s="242"/>
      <c r="G761" s="242"/>
      <c r="H761" s="242"/>
      <c r="I761" s="242"/>
      <c r="J761" s="242"/>
      <c r="K761" s="242"/>
      <c r="L761" s="242"/>
      <c r="M761" s="242"/>
      <c r="N761" s="242"/>
      <c r="O761" s="242"/>
      <c r="P761" s="242"/>
      <c r="Q761" s="242"/>
      <c r="R761" s="242"/>
      <c r="S761" s="242"/>
      <c r="T761" s="242"/>
      <c r="U761" s="242"/>
      <c r="V761" s="242"/>
      <c r="W761" s="242"/>
      <c r="X761" s="242"/>
      <c r="Y761" s="242"/>
      <c r="Z761" s="242"/>
      <c r="AA761" s="242"/>
      <c r="AB761" s="242"/>
      <c r="AC761" s="242"/>
      <c r="AD761" s="242"/>
      <c r="AE761" s="242"/>
      <c r="AF761" s="242"/>
      <c r="AG761" s="242"/>
      <c r="AH761" s="242"/>
    </row>
    <row r="762">
      <c r="A762" s="242"/>
      <c r="B762" s="242"/>
      <c r="C762" s="242"/>
      <c r="D762" s="242"/>
      <c r="E762" s="242"/>
      <c r="F762" s="242"/>
      <c r="G762" s="242"/>
      <c r="H762" s="242"/>
      <c r="I762" s="242"/>
      <c r="J762" s="242"/>
      <c r="K762" s="242"/>
      <c r="L762" s="242"/>
      <c r="M762" s="242"/>
      <c r="N762" s="242"/>
      <c r="O762" s="242"/>
      <c r="P762" s="242"/>
      <c r="Q762" s="242"/>
      <c r="R762" s="242"/>
      <c r="S762" s="242"/>
      <c r="T762" s="242"/>
      <c r="U762" s="242"/>
      <c r="V762" s="242"/>
      <c r="W762" s="242"/>
      <c r="X762" s="242"/>
      <c r="Y762" s="242"/>
      <c r="Z762" s="242"/>
      <c r="AA762" s="242"/>
      <c r="AB762" s="242"/>
      <c r="AC762" s="242"/>
      <c r="AD762" s="242"/>
      <c r="AE762" s="242"/>
      <c r="AF762" s="242"/>
      <c r="AG762" s="242"/>
      <c r="AH762" s="242"/>
    </row>
    <row r="763">
      <c r="A763" s="242"/>
      <c r="B763" s="242"/>
      <c r="C763" s="242"/>
      <c r="D763" s="242"/>
      <c r="E763" s="242"/>
      <c r="F763" s="242"/>
      <c r="G763" s="242"/>
      <c r="H763" s="242"/>
      <c r="I763" s="242"/>
      <c r="J763" s="242"/>
      <c r="K763" s="242"/>
      <c r="L763" s="242"/>
      <c r="M763" s="242"/>
      <c r="N763" s="242"/>
      <c r="O763" s="242"/>
      <c r="P763" s="242"/>
      <c r="Q763" s="242"/>
      <c r="R763" s="242"/>
      <c r="S763" s="242"/>
      <c r="T763" s="242"/>
      <c r="U763" s="242"/>
      <c r="V763" s="242"/>
      <c r="W763" s="242"/>
      <c r="X763" s="242"/>
      <c r="Y763" s="242"/>
      <c r="Z763" s="242"/>
      <c r="AA763" s="242"/>
      <c r="AB763" s="242"/>
      <c r="AC763" s="242"/>
      <c r="AD763" s="242"/>
      <c r="AE763" s="242"/>
      <c r="AF763" s="242"/>
      <c r="AG763" s="242"/>
      <c r="AH763" s="242"/>
    </row>
    <row r="764">
      <c r="A764" s="242"/>
      <c r="B764" s="242"/>
      <c r="C764" s="242"/>
      <c r="D764" s="242"/>
      <c r="E764" s="242"/>
      <c r="F764" s="242"/>
      <c r="G764" s="242"/>
      <c r="H764" s="242"/>
      <c r="I764" s="242"/>
      <c r="J764" s="242"/>
      <c r="K764" s="242"/>
      <c r="L764" s="242"/>
      <c r="M764" s="242"/>
      <c r="N764" s="242"/>
      <c r="O764" s="242"/>
      <c r="P764" s="242"/>
      <c r="Q764" s="242"/>
      <c r="R764" s="242"/>
      <c r="S764" s="242"/>
      <c r="T764" s="242"/>
      <c r="U764" s="242"/>
      <c r="V764" s="242"/>
      <c r="W764" s="242"/>
      <c r="X764" s="242"/>
      <c r="Y764" s="242"/>
      <c r="Z764" s="242"/>
      <c r="AA764" s="242"/>
      <c r="AB764" s="242"/>
      <c r="AC764" s="242"/>
      <c r="AD764" s="242"/>
      <c r="AE764" s="242"/>
      <c r="AF764" s="242"/>
      <c r="AG764" s="242"/>
      <c r="AH764" s="242"/>
    </row>
    <row r="765">
      <c r="A765" s="242"/>
      <c r="B765" s="242"/>
      <c r="C765" s="242"/>
      <c r="D765" s="242"/>
      <c r="E765" s="242"/>
      <c r="F765" s="242"/>
      <c r="G765" s="242"/>
      <c r="H765" s="242"/>
      <c r="I765" s="242"/>
      <c r="J765" s="242"/>
      <c r="K765" s="242"/>
      <c r="L765" s="242"/>
      <c r="M765" s="242"/>
      <c r="N765" s="242"/>
      <c r="O765" s="242"/>
      <c r="P765" s="242"/>
      <c r="Q765" s="242"/>
      <c r="R765" s="242"/>
      <c r="S765" s="242"/>
      <c r="T765" s="242"/>
      <c r="U765" s="242"/>
      <c r="V765" s="242"/>
      <c r="W765" s="242"/>
      <c r="X765" s="242"/>
      <c r="Y765" s="242"/>
      <c r="Z765" s="242"/>
      <c r="AA765" s="242"/>
      <c r="AB765" s="242"/>
      <c r="AC765" s="242"/>
      <c r="AD765" s="242"/>
      <c r="AE765" s="242"/>
      <c r="AF765" s="242"/>
      <c r="AG765" s="242"/>
      <c r="AH765" s="242"/>
    </row>
    <row r="766">
      <c r="A766" s="242"/>
      <c r="B766" s="242"/>
      <c r="C766" s="242"/>
      <c r="D766" s="242"/>
      <c r="E766" s="242"/>
      <c r="F766" s="242"/>
      <c r="G766" s="242"/>
      <c r="H766" s="242"/>
      <c r="I766" s="242"/>
      <c r="J766" s="242"/>
      <c r="K766" s="242"/>
      <c r="L766" s="242"/>
      <c r="M766" s="242"/>
      <c r="N766" s="242"/>
      <c r="O766" s="242"/>
      <c r="P766" s="242"/>
      <c r="Q766" s="242"/>
      <c r="R766" s="242"/>
      <c r="S766" s="242"/>
      <c r="T766" s="242"/>
      <c r="U766" s="242"/>
      <c r="V766" s="242"/>
      <c r="W766" s="242"/>
      <c r="X766" s="242"/>
      <c r="Y766" s="242"/>
      <c r="Z766" s="242"/>
      <c r="AA766" s="242"/>
      <c r="AB766" s="242"/>
      <c r="AC766" s="242"/>
      <c r="AD766" s="242"/>
      <c r="AE766" s="242"/>
      <c r="AF766" s="242"/>
      <c r="AG766" s="242"/>
      <c r="AH766" s="242"/>
    </row>
    <row r="767">
      <c r="A767" s="242"/>
      <c r="B767" s="242"/>
      <c r="C767" s="242"/>
      <c r="D767" s="242"/>
      <c r="E767" s="242"/>
      <c r="F767" s="242"/>
      <c r="G767" s="242"/>
      <c r="H767" s="242"/>
      <c r="I767" s="242"/>
      <c r="J767" s="242"/>
      <c r="K767" s="242"/>
      <c r="L767" s="242"/>
      <c r="M767" s="242"/>
      <c r="N767" s="242"/>
      <c r="O767" s="242"/>
      <c r="P767" s="242"/>
      <c r="Q767" s="242"/>
      <c r="R767" s="242"/>
      <c r="S767" s="242"/>
      <c r="T767" s="242"/>
      <c r="U767" s="242"/>
      <c r="V767" s="242"/>
      <c r="W767" s="242"/>
      <c r="X767" s="242"/>
      <c r="Y767" s="242"/>
      <c r="Z767" s="242"/>
      <c r="AA767" s="242"/>
      <c r="AB767" s="242"/>
      <c r="AC767" s="242"/>
      <c r="AD767" s="242"/>
      <c r="AE767" s="242"/>
      <c r="AF767" s="242"/>
      <c r="AG767" s="242"/>
      <c r="AH767" s="242"/>
    </row>
    <row r="768">
      <c r="A768" s="242"/>
      <c r="B768" s="242"/>
      <c r="C768" s="242"/>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c r="AA768" s="242"/>
      <c r="AB768" s="242"/>
      <c r="AC768" s="242"/>
      <c r="AD768" s="242"/>
      <c r="AE768" s="242"/>
      <c r="AF768" s="242"/>
      <c r="AG768" s="242"/>
      <c r="AH768" s="242"/>
    </row>
    <row r="769">
      <c r="A769" s="242"/>
      <c r="B769" s="242"/>
      <c r="C769" s="242"/>
      <c r="D769" s="242"/>
      <c r="E769" s="242"/>
      <c r="F769" s="242"/>
      <c r="G769" s="242"/>
      <c r="H769" s="242"/>
      <c r="I769" s="242"/>
      <c r="J769" s="242"/>
      <c r="K769" s="242"/>
      <c r="L769" s="242"/>
      <c r="M769" s="242"/>
      <c r="N769" s="242"/>
      <c r="O769" s="242"/>
      <c r="P769" s="242"/>
      <c r="Q769" s="242"/>
      <c r="R769" s="242"/>
      <c r="S769" s="242"/>
      <c r="T769" s="242"/>
      <c r="U769" s="242"/>
      <c r="V769" s="242"/>
      <c r="W769" s="242"/>
      <c r="X769" s="242"/>
      <c r="Y769" s="242"/>
      <c r="Z769" s="242"/>
      <c r="AA769" s="242"/>
      <c r="AB769" s="242"/>
      <c r="AC769" s="242"/>
      <c r="AD769" s="242"/>
      <c r="AE769" s="242"/>
      <c r="AF769" s="242"/>
      <c r="AG769" s="242"/>
      <c r="AH769" s="242"/>
    </row>
    <row r="770">
      <c r="A770" s="242"/>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c r="AA770" s="242"/>
      <c r="AB770" s="242"/>
      <c r="AC770" s="242"/>
      <c r="AD770" s="242"/>
      <c r="AE770" s="242"/>
      <c r="AF770" s="242"/>
      <c r="AG770" s="242"/>
      <c r="AH770" s="242"/>
    </row>
    <row r="771">
      <c r="A771" s="242"/>
      <c r="B771" s="242"/>
      <c r="C771" s="242"/>
      <c r="D771" s="242"/>
      <c r="E771" s="242"/>
      <c r="F771" s="242"/>
      <c r="G771" s="242"/>
      <c r="H771" s="242"/>
      <c r="I771" s="242"/>
      <c r="J771" s="242"/>
      <c r="K771" s="242"/>
      <c r="L771" s="242"/>
      <c r="M771" s="242"/>
      <c r="N771" s="242"/>
      <c r="O771" s="242"/>
      <c r="P771" s="242"/>
      <c r="Q771" s="242"/>
      <c r="R771" s="242"/>
      <c r="S771" s="242"/>
      <c r="T771" s="242"/>
      <c r="U771" s="242"/>
      <c r="V771" s="242"/>
      <c r="W771" s="242"/>
      <c r="X771" s="242"/>
      <c r="Y771" s="242"/>
      <c r="Z771" s="242"/>
      <c r="AA771" s="242"/>
      <c r="AB771" s="242"/>
      <c r="AC771" s="242"/>
      <c r="AD771" s="242"/>
      <c r="AE771" s="242"/>
      <c r="AF771" s="242"/>
      <c r="AG771" s="242"/>
      <c r="AH771" s="242"/>
    </row>
    <row r="772">
      <c r="A772" s="242"/>
      <c r="B772" s="242"/>
      <c r="C772" s="242"/>
      <c r="D772" s="242"/>
      <c r="E772" s="242"/>
      <c r="F772" s="242"/>
      <c r="G772" s="242"/>
      <c r="H772" s="242"/>
      <c r="I772" s="242"/>
      <c r="J772" s="242"/>
      <c r="K772" s="242"/>
      <c r="L772" s="242"/>
      <c r="M772" s="242"/>
      <c r="N772" s="242"/>
      <c r="O772" s="242"/>
      <c r="P772" s="242"/>
      <c r="Q772" s="242"/>
      <c r="R772" s="242"/>
      <c r="S772" s="242"/>
      <c r="T772" s="242"/>
      <c r="U772" s="242"/>
      <c r="V772" s="242"/>
      <c r="W772" s="242"/>
      <c r="X772" s="242"/>
      <c r="Y772" s="242"/>
      <c r="Z772" s="242"/>
      <c r="AA772" s="242"/>
      <c r="AB772" s="242"/>
      <c r="AC772" s="242"/>
      <c r="AD772" s="242"/>
      <c r="AE772" s="242"/>
      <c r="AF772" s="242"/>
      <c r="AG772" s="242"/>
      <c r="AH772" s="242"/>
    </row>
    <row r="773">
      <c r="A773" s="242"/>
      <c r="B773" s="242"/>
      <c r="C773" s="242"/>
      <c r="D773" s="242"/>
      <c r="E773" s="242"/>
      <c r="F773" s="242"/>
      <c r="G773" s="242"/>
      <c r="H773" s="242"/>
      <c r="I773" s="242"/>
      <c r="J773" s="242"/>
      <c r="K773" s="242"/>
      <c r="L773" s="242"/>
      <c r="M773" s="242"/>
      <c r="N773" s="242"/>
      <c r="O773" s="242"/>
      <c r="P773" s="242"/>
      <c r="Q773" s="242"/>
      <c r="R773" s="242"/>
      <c r="S773" s="242"/>
      <c r="T773" s="242"/>
      <c r="U773" s="242"/>
      <c r="V773" s="242"/>
      <c r="W773" s="242"/>
      <c r="X773" s="242"/>
      <c r="Y773" s="242"/>
      <c r="Z773" s="242"/>
      <c r="AA773" s="242"/>
      <c r="AB773" s="242"/>
      <c r="AC773" s="242"/>
      <c r="AD773" s="242"/>
      <c r="AE773" s="242"/>
      <c r="AF773" s="242"/>
      <c r="AG773" s="242"/>
      <c r="AH773" s="242"/>
    </row>
    <row r="774">
      <c r="A774" s="242"/>
      <c r="B774" s="242"/>
      <c r="C774" s="242"/>
      <c r="D774" s="242"/>
      <c r="E774" s="242"/>
      <c r="F774" s="242"/>
      <c r="G774" s="242"/>
      <c r="H774" s="242"/>
      <c r="I774" s="242"/>
      <c r="J774" s="242"/>
      <c r="K774" s="242"/>
      <c r="L774" s="242"/>
      <c r="M774" s="242"/>
      <c r="N774" s="242"/>
      <c r="O774" s="242"/>
      <c r="P774" s="242"/>
      <c r="Q774" s="242"/>
      <c r="R774" s="242"/>
      <c r="S774" s="242"/>
      <c r="T774" s="242"/>
      <c r="U774" s="242"/>
      <c r="V774" s="242"/>
      <c r="W774" s="242"/>
      <c r="X774" s="242"/>
      <c r="Y774" s="242"/>
      <c r="Z774" s="242"/>
      <c r="AA774" s="242"/>
      <c r="AB774" s="242"/>
      <c r="AC774" s="242"/>
      <c r="AD774" s="242"/>
      <c r="AE774" s="242"/>
      <c r="AF774" s="242"/>
      <c r="AG774" s="242"/>
      <c r="AH774" s="242"/>
    </row>
    <row r="775">
      <c r="A775" s="242"/>
      <c r="B775" s="242"/>
      <c r="C775" s="242"/>
      <c r="D775" s="242"/>
      <c r="E775" s="242"/>
      <c r="F775" s="242"/>
      <c r="G775" s="242"/>
      <c r="H775" s="242"/>
      <c r="I775" s="242"/>
      <c r="J775" s="242"/>
      <c r="K775" s="242"/>
      <c r="L775" s="242"/>
      <c r="M775" s="242"/>
      <c r="N775" s="242"/>
      <c r="O775" s="242"/>
      <c r="P775" s="242"/>
      <c r="Q775" s="242"/>
      <c r="R775" s="242"/>
      <c r="S775" s="242"/>
      <c r="T775" s="242"/>
      <c r="U775" s="242"/>
      <c r="V775" s="242"/>
      <c r="W775" s="242"/>
      <c r="X775" s="242"/>
      <c r="Y775" s="242"/>
      <c r="Z775" s="242"/>
      <c r="AA775" s="242"/>
      <c r="AB775" s="242"/>
      <c r="AC775" s="242"/>
      <c r="AD775" s="242"/>
      <c r="AE775" s="242"/>
      <c r="AF775" s="242"/>
      <c r="AG775" s="242"/>
      <c r="AH775" s="242"/>
    </row>
    <row r="776">
      <c r="A776" s="242"/>
      <c r="B776" s="242"/>
      <c r="C776" s="242"/>
      <c r="D776" s="242"/>
      <c r="E776" s="242"/>
      <c r="F776" s="242"/>
      <c r="G776" s="242"/>
      <c r="H776" s="242"/>
      <c r="I776" s="242"/>
      <c r="J776" s="242"/>
      <c r="K776" s="242"/>
      <c r="L776" s="242"/>
      <c r="M776" s="242"/>
      <c r="N776" s="242"/>
      <c r="O776" s="242"/>
      <c r="P776" s="242"/>
      <c r="Q776" s="242"/>
      <c r="R776" s="242"/>
      <c r="S776" s="242"/>
      <c r="T776" s="242"/>
      <c r="U776" s="242"/>
      <c r="V776" s="242"/>
      <c r="W776" s="242"/>
      <c r="X776" s="242"/>
      <c r="Y776" s="242"/>
      <c r="Z776" s="242"/>
      <c r="AA776" s="242"/>
      <c r="AB776" s="242"/>
      <c r="AC776" s="242"/>
      <c r="AD776" s="242"/>
      <c r="AE776" s="242"/>
      <c r="AF776" s="242"/>
      <c r="AG776" s="242"/>
      <c r="AH776" s="242"/>
    </row>
    <row r="777">
      <c r="A777" s="242"/>
      <c r="B777" s="242"/>
      <c r="C777" s="242"/>
      <c r="D777" s="242"/>
      <c r="E777" s="242"/>
      <c r="F777" s="242"/>
      <c r="G777" s="242"/>
      <c r="H777" s="242"/>
      <c r="I777" s="242"/>
      <c r="J777" s="242"/>
      <c r="K777" s="242"/>
      <c r="L777" s="242"/>
      <c r="M777" s="242"/>
      <c r="N777" s="242"/>
      <c r="O777" s="242"/>
      <c r="P777" s="242"/>
      <c r="Q777" s="242"/>
      <c r="R777" s="242"/>
      <c r="S777" s="242"/>
      <c r="T777" s="242"/>
      <c r="U777" s="242"/>
      <c r="V777" s="242"/>
      <c r="W777" s="242"/>
      <c r="X777" s="242"/>
      <c r="Y777" s="242"/>
      <c r="Z777" s="242"/>
      <c r="AA777" s="242"/>
      <c r="AB777" s="242"/>
      <c r="AC777" s="242"/>
      <c r="AD777" s="242"/>
      <c r="AE777" s="242"/>
      <c r="AF777" s="242"/>
      <c r="AG777" s="242"/>
      <c r="AH777" s="242"/>
    </row>
    <row r="778">
      <c r="A778" s="242"/>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c r="AA778" s="242"/>
      <c r="AB778" s="242"/>
      <c r="AC778" s="242"/>
      <c r="AD778" s="242"/>
      <c r="AE778" s="242"/>
      <c r="AF778" s="242"/>
      <c r="AG778" s="242"/>
      <c r="AH778" s="242"/>
    </row>
    <row r="779">
      <c r="A779" s="242"/>
      <c r="B779" s="242"/>
      <c r="C779" s="242"/>
      <c r="D779" s="242"/>
      <c r="E779" s="242"/>
      <c r="F779" s="242"/>
      <c r="G779" s="242"/>
      <c r="H779" s="242"/>
      <c r="I779" s="242"/>
      <c r="J779" s="242"/>
      <c r="K779" s="242"/>
      <c r="L779" s="242"/>
      <c r="M779" s="242"/>
      <c r="N779" s="242"/>
      <c r="O779" s="242"/>
      <c r="P779" s="242"/>
      <c r="Q779" s="242"/>
      <c r="R779" s="242"/>
      <c r="S779" s="242"/>
      <c r="T779" s="242"/>
      <c r="U779" s="242"/>
      <c r="V779" s="242"/>
      <c r="W779" s="242"/>
      <c r="X779" s="242"/>
      <c r="Y779" s="242"/>
      <c r="Z779" s="242"/>
      <c r="AA779" s="242"/>
      <c r="AB779" s="242"/>
      <c r="AC779" s="242"/>
      <c r="AD779" s="242"/>
      <c r="AE779" s="242"/>
      <c r="AF779" s="242"/>
      <c r="AG779" s="242"/>
      <c r="AH779" s="242"/>
    </row>
    <row r="780">
      <c r="A780" s="242"/>
      <c r="B780" s="242"/>
      <c r="C780" s="242"/>
      <c r="D780" s="242"/>
      <c r="E780" s="242"/>
      <c r="F780" s="242"/>
      <c r="G780" s="242"/>
      <c r="H780" s="242"/>
      <c r="I780" s="242"/>
      <c r="J780" s="242"/>
      <c r="K780" s="242"/>
      <c r="L780" s="242"/>
      <c r="M780" s="242"/>
      <c r="N780" s="242"/>
      <c r="O780" s="242"/>
      <c r="P780" s="242"/>
      <c r="Q780" s="242"/>
      <c r="R780" s="242"/>
      <c r="S780" s="242"/>
      <c r="T780" s="242"/>
      <c r="U780" s="242"/>
      <c r="V780" s="242"/>
      <c r="W780" s="242"/>
      <c r="X780" s="242"/>
      <c r="Y780" s="242"/>
      <c r="Z780" s="242"/>
      <c r="AA780" s="242"/>
      <c r="AB780" s="242"/>
      <c r="AC780" s="242"/>
      <c r="AD780" s="242"/>
      <c r="AE780" s="242"/>
      <c r="AF780" s="242"/>
      <c r="AG780" s="242"/>
      <c r="AH780" s="242"/>
    </row>
    <row r="781">
      <c r="A781" s="242"/>
      <c r="B781" s="242"/>
      <c r="C781" s="242"/>
      <c r="D781" s="242"/>
      <c r="E781" s="242"/>
      <c r="F781" s="242"/>
      <c r="G781" s="242"/>
      <c r="H781" s="242"/>
      <c r="I781" s="242"/>
      <c r="J781" s="242"/>
      <c r="K781" s="242"/>
      <c r="L781" s="242"/>
      <c r="M781" s="242"/>
      <c r="N781" s="242"/>
      <c r="O781" s="242"/>
      <c r="P781" s="242"/>
      <c r="Q781" s="242"/>
      <c r="R781" s="242"/>
      <c r="S781" s="242"/>
      <c r="T781" s="242"/>
      <c r="U781" s="242"/>
      <c r="V781" s="242"/>
      <c r="W781" s="242"/>
      <c r="X781" s="242"/>
      <c r="Y781" s="242"/>
      <c r="Z781" s="242"/>
      <c r="AA781" s="242"/>
      <c r="AB781" s="242"/>
      <c r="AC781" s="242"/>
      <c r="AD781" s="242"/>
      <c r="AE781" s="242"/>
      <c r="AF781" s="242"/>
      <c r="AG781" s="242"/>
      <c r="AH781" s="242"/>
    </row>
    <row r="782">
      <c r="A782" s="242"/>
      <c r="B782" s="242"/>
      <c r="C782" s="242"/>
      <c r="D782" s="242"/>
      <c r="E782" s="242"/>
      <c r="F782" s="242"/>
      <c r="G782" s="242"/>
      <c r="H782" s="242"/>
      <c r="I782" s="242"/>
      <c r="J782" s="242"/>
      <c r="K782" s="242"/>
      <c r="L782" s="242"/>
      <c r="M782" s="242"/>
      <c r="N782" s="242"/>
      <c r="O782" s="242"/>
      <c r="P782" s="242"/>
      <c r="Q782" s="242"/>
      <c r="R782" s="242"/>
      <c r="S782" s="242"/>
      <c r="T782" s="242"/>
      <c r="U782" s="242"/>
      <c r="V782" s="242"/>
      <c r="W782" s="242"/>
      <c r="X782" s="242"/>
      <c r="Y782" s="242"/>
      <c r="Z782" s="242"/>
      <c r="AA782" s="242"/>
      <c r="AB782" s="242"/>
      <c r="AC782" s="242"/>
      <c r="AD782" s="242"/>
      <c r="AE782" s="242"/>
      <c r="AF782" s="242"/>
      <c r="AG782" s="242"/>
      <c r="AH782" s="242"/>
    </row>
    <row r="783">
      <c r="A783" s="242"/>
      <c r="B783" s="242"/>
      <c r="C783" s="242"/>
      <c r="D783" s="242"/>
      <c r="E783" s="242"/>
      <c r="F783" s="242"/>
      <c r="G783" s="242"/>
      <c r="H783" s="242"/>
      <c r="I783" s="242"/>
      <c r="J783" s="242"/>
      <c r="K783" s="242"/>
      <c r="L783" s="242"/>
      <c r="M783" s="242"/>
      <c r="N783" s="242"/>
      <c r="O783" s="242"/>
      <c r="P783" s="242"/>
      <c r="Q783" s="242"/>
      <c r="R783" s="242"/>
      <c r="S783" s="242"/>
      <c r="T783" s="242"/>
      <c r="U783" s="242"/>
      <c r="V783" s="242"/>
      <c r="W783" s="242"/>
      <c r="X783" s="242"/>
      <c r="Y783" s="242"/>
      <c r="Z783" s="242"/>
      <c r="AA783" s="242"/>
      <c r="AB783" s="242"/>
      <c r="AC783" s="242"/>
      <c r="AD783" s="242"/>
      <c r="AE783" s="242"/>
      <c r="AF783" s="242"/>
      <c r="AG783" s="242"/>
      <c r="AH783" s="242"/>
    </row>
    <row r="784">
      <c r="A784" s="242"/>
      <c r="B784" s="242"/>
      <c r="C784" s="242"/>
      <c r="D784" s="242"/>
      <c r="E784" s="242"/>
      <c r="F784" s="242"/>
      <c r="G784" s="242"/>
      <c r="H784" s="242"/>
      <c r="I784" s="242"/>
      <c r="J784" s="242"/>
      <c r="K784" s="242"/>
      <c r="L784" s="242"/>
      <c r="M784" s="242"/>
      <c r="N784" s="242"/>
      <c r="O784" s="242"/>
      <c r="P784" s="242"/>
      <c r="Q784" s="242"/>
      <c r="R784" s="242"/>
      <c r="S784" s="242"/>
      <c r="T784" s="242"/>
      <c r="U784" s="242"/>
      <c r="V784" s="242"/>
      <c r="W784" s="242"/>
      <c r="X784" s="242"/>
      <c r="Y784" s="242"/>
      <c r="Z784" s="242"/>
      <c r="AA784" s="242"/>
      <c r="AB784" s="242"/>
      <c r="AC784" s="242"/>
      <c r="AD784" s="242"/>
      <c r="AE784" s="242"/>
      <c r="AF784" s="242"/>
      <c r="AG784" s="242"/>
      <c r="AH784" s="242"/>
    </row>
    <row r="785">
      <c r="A785" s="242"/>
      <c r="B785" s="242"/>
      <c r="C785" s="242"/>
      <c r="D785" s="242"/>
      <c r="E785" s="242"/>
      <c r="F785" s="242"/>
      <c r="G785" s="242"/>
      <c r="H785" s="242"/>
      <c r="I785" s="242"/>
      <c r="J785" s="242"/>
      <c r="K785" s="242"/>
      <c r="L785" s="242"/>
      <c r="M785" s="242"/>
      <c r="N785" s="242"/>
      <c r="O785" s="242"/>
      <c r="P785" s="242"/>
      <c r="Q785" s="242"/>
      <c r="R785" s="242"/>
      <c r="S785" s="242"/>
      <c r="T785" s="242"/>
      <c r="U785" s="242"/>
      <c r="V785" s="242"/>
      <c r="W785" s="242"/>
      <c r="X785" s="242"/>
      <c r="Y785" s="242"/>
      <c r="Z785" s="242"/>
      <c r="AA785" s="242"/>
      <c r="AB785" s="242"/>
      <c r="AC785" s="242"/>
      <c r="AD785" s="242"/>
      <c r="AE785" s="242"/>
      <c r="AF785" s="242"/>
      <c r="AG785" s="242"/>
      <c r="AH785" s="242"/>
    </row>
    <row r="786">
      <c r="A786" s="242"/>
      <c r="B786" s="242"/>
      <c r="C786" s="242"/>
      <c r="D786" s="242"/>
      <c r="E786" s="242"/>
      <c r="F786" s="242"/>
      <c r="G786" s="242"/>
      <c r="H786" s="242"/>
      <c r="I786" s="242"/>
      <c r="J786" s="242"/>
      <c r="K786" s="242"/>
      <c r="L786" s="242"/>
      <c r="M786" s="242"/>
      <c r="N786" s="242"/>
      <c r="O786" s="242"/>
      <c r="P786" s="242"/>
      <c r="Q786" s="242"/>
      <c r="R786" s="242"/>
      <c r="S786" s="242"/>
      <c r="T786" s="242"/>
      <c r="U786" s="242"/>
      <c r="V786" s="242"/>
      <c r="W786" s="242"/>
      <c r="X786" s="242"/>
      <c r="Y786" s="242"/>
      <c r="Z786" s="242"/>
      <c r="AA786" s="242"/>
      <c r="AB786" s="242"/>
      <c r="AC786" s="242"/>
      <c r="AD786" s="242"/>
      <c r="AE786" s="242"/>
      <c r="AF786" s="242"/>
      <c r="AG786" s="242"/>
      <c r="AH786" s="242"/>
    </row>
    <row r="787">
      <c r="A787" s="242"/>
      <c r="B787" s="242"/>
      <c r="C787" s="242"/>
      <c r="D787" s="242"/>
      <c r="E787" s="242"/>
      <c r="F787" s="242"/>
      <c r="G787" s="242"/>
      <c r="H787" s="242"/>
      <c r="I787" s="242"/>
      <c r="J787" s="242"/>
      <c r="K787" s="242"/>
      <c r="L787" s="242"/>
      <c r="M787" s="242"/>
      <c r="N787" s="242"/>
      <c r="O787" s="242"/>
      <c r="P787" s="242"/>
      <c r="Q787" s="242"/>
      <c r="R787" s="242"/>
      <c r="S787" s="242"/>
      <c r="T787" s="242"/>
      <c r="U787" s="242"/>
      <c r="V787" s="242"/>
      <c r="W787" s="242"/>
      <c r="X787" s="242"/>
      <c r="Y787" s="242"/>
      <c r="Z787" s="242"/>
      <c r="AA787" s="242"/>
      <c r="AB787" s="242"/>
      <c r="AC787" s="242"/>
      <c r="AD787" s="242"/>
      <c r="AE787" s="242"/>
      <c r="AF787" s="242"/>
      <c r="AG787" s="242"/>
      <c r="AH787" s="242"/>
    </row>
    <row r="788">
      <c r="A788" s="242"/>
      <c r="B788" s="242"/>
      <c r="C788" s="242"/>
      <c r="D788" s="242"/>
      <c r="E788" s="242"/>
      <c r="F788" s="242"/>
      <c r="G788" s="242"/>
      <c r="H788" s="242"/>
      <c r="I788" s="242"/>
      <c r="J788" s="242"/>
      <c r="K788" s="242"/>
      <c r="L788" s="242"/>
      <c r="M788" s="242"/>
      <c r="N788" s="242"/>
      <c r="O788" s="242"/>
      <c r="P788" s="242"/>
      <c r="Q788" s="242"/>
      <c r="R788" s="242"/>
      <c r="S788" s="242"/>
      <c r="T788" s="242"/>
      <c r="U788" s="242"/>
      <c r="V788" s="242"/>
      <c r="W788" s="242"/>
      <c r="X788" s="242"/>
      <c r="Y788" s="242"/>
      <c r="Z788" s="242"/>
      <c r="AA788" s="242"/>
      <c r="AB788" s="242"/>
      <c r="AC788" s="242"/>
      <c r="AD788" s="242"/>
      <c r="AE788" s="242"/>
      <c r="AF788" s="242"/>
      <c r="AG788" s="242"/>
      <c r="AH788" s="242"/>
    </row>
    <row r="789">
      <c r="A789" s="242"/>
      <c r="B789" s="242"/>
      <c r="C789" s="242"/>
      <c r="D789" s="242"/>
      <c r="E789" s="242"/>
      <c r="F789" s="242"/>
      <c r="G789" s="242"/>
      <c r="H789" s="242"/>
      <c r="I789" s="242"/>
      <c r="J789" s="242"/>
      <c r="K789" s="242"/>
      <c r="L789" s="242"/>
      <c r="M789" s="242"/>
      <c r="N789" s="242"/>
      <c r="O789" s="242"/>
      <c r="P789" s="242"/>
      <c r="Q789" s="242"/>
      <c r="R789" s="242"/>
      <c r="S789" s="242"/>
      <c r="T789" s="242"/>
      <c r="U789" s="242"/>
      <c r="V789" s="242"/>
      <c r="W789" s="242"/>
      <c r="X789" s="242"/>
      <c r="Y789" s="242"/>
      <c r="Z789" s="242"/>
      <c r="AA789" s="242"/>
      <c r="AB789" s="242"/>
      <c r="AC789" s="242"/>
      <c r="AD789" s="242"/>
      <c r="AE789" s="242"/>
      <c r="AF789" s="242"/>
      <c r="AG789" s="242"/>
      <c r="AH789" s="242"/>
    </row>
    <row r="790">
      <c r="A790" s="242"/>
      <c r="B790" s="242"/>
      <c r="C790" s="242"/>
      <c r="D790" s="242"/>
      <c r="E790" s="242"/>
      <c r="F790" s="242"/>
      <c r="G790" s="242"/>
      <c r="H790" s="242"/>
      <c r="I790" s="242"/>
      <c r="J790" s="242"/>
      <c r="K790" s="242"/>
      <c r="L790" s="242"/>
      <c r="M790" s="242"/>
      <c r="N790" s="242"/>
      <c r="O790" s="242"/>
      <c r="P790" s="242"/>
      <c r="Q790" s="242"/>
      <c r="R790" s="242"/>
      <c r="S790" s="242"/>
      <c r="T790" s="242"/>
      <c r="U790" s="242"/>
      <c r="V790" s="242"/>
      <c r="W790" s="242"/>
      <c r="X790" s="242"/>
      <c r="Y790" s="242"/>
      <c r="Z790" s="242"/>
      <c r="AA790" s="242"/>
      <c r="AB790" s="242"/>
      <c r="AC790" s="242"/>
      <c r="AD790" s="242"/>
      <c r="AE790" s="242"/>
      <c r="AF790" s="242"/>
      <c r="AG790" s="242"/>
      <c r="AH790" s="242"/>
    </row>
    <row r="791">
      <c r="A791" s="242"/>
      <c r="B791" s="242"/>
      <c r="C791" s="242"/>
      <c r="D791" s="242"/>
      <c r="E791" s="242"/>
      <c r="F791" s="242"/>
      <c r="G791" s="242"/>
      <c r="H791" s="242"/>
      <c r="I791" s="242"/>
      <c r="J791" s="242"/>
      <c r="K791" s="242"/>
      <c r="L791" s="242"/>
      <c r="M791" s="242"/>
      <c r="N791" s="242"/>
      <c r="O791" s="242"/>
      <c r="P791" s="242"/>
      <c r="Q791" s="242"/>
      <c r="R791" s="242"/>
      <c r="S791" s="242"/>
      <c r="T791" s="242"/>
      <c r="U791" s="242"/>
      <c r="V791" s="242"/>
      <c r="W791" s="242"/>
      <c r="X791" s="242"/>
      <c r="Y791" s="242"/>
      <c r="Z791" s="242"/>
      <c r="AA791" s="242"/>
      <c r="AB791" s="242"/>
      <c r="AC791" s="242"/>
      <c r="AD791" s="242"/>
      <c r="AE791" s="242"/>
      <c r="AF791" s="242"/>
      <c r="AG791" s="242"/>
      <c r="AH791" s="242"/>
    </row>
    <row r="792">
      <c r="A792" s="242"/>
      <c r="B792" s="242"/>
      <c r="C792" s="242"/>
      <c r="D792" s="242"/>
      <c r="E792" s="242"/>
      <c r="F792" s="242"/>
      <c r="G792" s="242"/>
      <c r="H792" s="242"/>
      <c r="I792" s="242"/>
      <c r="J792" s="242"/>
      <c r="K792" s="242"/>
      <c r="L792" s="242"/>
      <c r="M792" s="242"/>
      <c r="N792" s="242"/>
      <c r="O792" s="242"/>
      <c r="P792" s="242"/>
      <c r="Q792" s="242"/>
      <c r="R792" s="242"/>
      <c r="S792" s="242"/>
      <c r="T792" s="242"/>
      <c r="U792" s="242"/>
      <c r="V792" s="242"/>
      <c r="W792" s="242"/>
      <c r="X792" s="242"/>
      <c r="Y792" s="242"/>
      <c r="Z792" s="242"/>
      <c r="AA792" s="242"/>
      <c r="AB792" s="242"/>
      <c r="AC792" s="242"/>
      <c r="AD792" s="242"/>
      <c r="AE792" s="242"/>
      <c r="AF792" s="242"/>
      <c r="AG792" s="242"/>
      <c r="AH792" s="242"/>
    </row>
    <row r="793">
      <c r="A793" s="242"/>
      <c r="B793" s="242"/>
      <c r="C793" s="242"/>
      <c r="D793" s="242"/>
      <c r="E793" s="242"/>
      <c r="F793" s="242"/>
      <c r="G793" s="242"/>
      <c r="H793" s="242"/>
      <c r="I793" s="242"/>
      <c r="J793" s="242"/>
      <c r="K793" s="242"/>
      <c r="L793" s="242"/>
      <c r="M793" s="242"/>
      <c r="N793" s="242"/>
      <c r="O793" s="242"/>
      <c r="P793" s="242"/>
      <c r="Q793" s="242"/>
      <c r="R793" s="242"/>
      <c r="S793" s="242"/>
      <c r="T793" s="242"/>
      <c r="U793" s="242"/>
      <c r="V793" s="242"/>
      <c r="W793" s="242"/>
      <c r="X793" s="242"/>
      <c r="Y793" s="242"/>
      <c r="Z793" s="242"/>
      <c r="AA793" s="242"/>
      <c r="AB793" s="242"/>
      <c r="AC793" s="242"/>
      <c r="AD793" s="242"/>
      <c r="AE793" s="242"/>
      <c r="AF793" s="242"/>
      <c r="AG793" s="242"/>
      <c r="AH793" s="242"/>
    </row>
    <row r="794">
      <c r="A794" s="242"/>
      <c r="B794" s="242"/>
      <c r="C794" s="242"/>
      <c r="D794" s="242"/>
      <c r="E794" s="242"/>
      <c r="F794" s="242"/>
      <c r="G794" s="242"/>
      <c r="H794" s="242"/>
      <c r="I794" s="242"/>
      <c r="J794" s="242"/>
      <c r="K794" s="242"/>
      <c r="L794" s="242"/>
      <c r="M794" s="242"/>
      <c r="N794" s="242"/>
      <c r="O794" s="242"/>
      <c r="P794" s="242"/>
      <c r="Q794" s="242"/>
      <c r="R794" s="242"/>
      <c r="S794" s="242"/>
      <c r="T794" s="242"/>
      <c r="U794" s="242"/>
      <c r="V794" s="242"/>
      <c r="W794" s="242"/>
      <c r="X794" s="242"/>
      <c r="Y794" s="242"/>
      <c r="Z794" s="242"/>
      <c r="AA794" s="242"/>
      <c r="AB794" s="242"/>
      <c r="AC794" s="242"/>
      <c r="AD794" s="242"/>
      <c r="AE794" s="242"/>
      <c r="AF794" s="242"/>
      <c r="AG794" s="242"/>
      <c r="AH794" s="242"/>
    </row>
    <row r="795">
      <c r="A795" s="242"/>
      <c r="B795" s="242"/>
      <c r="C795" s="242"/>
      <c r="D795" s="242"/>
      <c r="E795" s="242"/>
      <c r="F795" s="242"/>
      <c r="G795" s="242"/>
      <c r="H795" s="242"/>
      <c r="I795" s="242"/>
      <c r="J795" s="242"/>
      <c r="K795" s="242"/>
      <c r="L795" s="242"/>
      <c r="M795" s="242"/>
      <c r="N795" s="242"/>
      <c r="O795" s="242"/>
      <c r="P795" s="242"/>
      <c r="Q795" s="242"/>
      <c r="R795" s="242"/>
      <c r="S795" s="242"/>
      <c r="T795" s="242"/>
      <c r="U795" s="242"/>
      <c r="V795" s="242"/>
      <c r="W795" s="242"/>
      <c r="X795" s="242"/>
      <c r="Y795" s="242"/>
      <c r="Z795" s="242"/>
      <c r="AA795" s="242"/>
      <c r="AB795" s="242"/>
      <c r="AC795" s="242"/>
      <c r="AD795" s="242"/>
      <c r="AE795" s="242"/>
      <c r="AF795" s="242"/>
      <c r="AG795" s="242"/>
      <c r="AH795" s="242"/>
    </row>
    <row r="796">
      <c r="A796" s="242"/>
      <c r="B796" s="242"/>
      <c r="C796" s="242"/>
      <c r="D796" s="242"/>
      <c r="E796" s="242"/>
      <c r="F796" s="242"/>
      <c r="G796" s="242"/>
      <c r="H796" s="242"/>
      <c r="I796" s="242"/>
      <c r="J796" s="242"/>
      <c r="K796" s="242"/>
      <c r="L796" s="242"/>
      <c r="M796" s="242"/>
      <c r="N796" s="242"/>
      <c r="O796" s="242"/>
      <c r="P796" s="242"/>
      <c r="Q796" s="242"/>
      <c r="R796" s="242"/>
      <c r="S796" s="242"/>
      <c r="T796" s="242"/>
      <c r="U796" s="242"/>
      <c r="V796" s="242"/>
      <c r="W796" s="242"/>
      <c r="X796" s="242"/>
      <c r="Y796" s="242"/>
      <c r="Z796" s="242"/>
      <c r="AA796" s="242"/>
      <c r="AB796" s="242"/>
      <c r="AC796" s="242"/>
      <c r="AD796" s="242"/>
      <c r="AE796" s="242"/>
      <c r="AF796" s="242"/>
      <c r="AG796" s="242"/>
      <c r="AH796" s="242"/>
    </row>
    <row r="797">
      <c r="A797" s="242"/>
      <c r="B797" s="242"/>
      <c r="C797" s="242"/>
      <c r="D797" s="242"/>
      <c r="E797" s="242"/>
      <c r="F797" s="242"/>
      <c r="G797" s="242"/>
      <c r="H797" s="242"/>
      <c r="I797" s="242"/>
      <c r="J797" s="242"/>
      <c r="K797" s="242"/>
      <c r="L797" s="242"/>
      <c r="M797" s="242"/>
      <c r="N797" s="242"/>
      <c r="O797" s="242"/>
      <c r="P797" s="242"/>
      <c r="Q797" s="242"/>
      <c r="R797" s="242"/>
      <c r="S797" s="242"/>
      <c r="T797" s="242"/>
      <c r="U797" s="242"/>
      <c r="V797" s="242"/>
      <c r="W797" s="242"/>
      <c r="X797" s="242"/>
      <c r="Y797" s="242"/>
      <c r="Z797" s="242"/>
      <c r="AA797" s="242"/>
      <c r="AB797" s="242"/>
      <c r="AC797" s="242"/>
      <c r="AD797" s="242"/>
      <c r="AE797" s="242"/>
      <c r="AF797" s="242"/>
      <c r="AG797" s="242"/>
      <c r="AH797" s="242"/>
    </row>
    <row r="798">
      <c r="A798" s="242"/>
      <c r="B798" s="242"/>
      <c r="C798" s="242"/>
      <c r="D798" s="242"/>
      <c r="E798" s="242"/>
      <c r="F798" s="242"/>
      <c r="G798" s="242"/>
      <c r="H798" s="242"/>
      <c r="I798" s="242"/>
      <c r="J798" s="242"/>
      <c r="K798" s="242"/>
      <c r="L798" s="242"/>
      <c r="M798" s="242"/>
      <c r="N798" s="242"/>
      <c r="O798" s="242"/>
      <c r="P798" s="242"/>
      <c r="Q798" s="242"/>
      <c r="R798" s="242"/>
      <c r="S798" s="242"/>
      <c r="T798" s="242"/>
      <c r="U798" s="242"/>
      <c r="V798" s="242"/>
      <c r="W798" s="242"/>
      <c r="X798" s="242"/>
      <c r="Y798" s="242"/>
      <c r="Z798" s="242"/>
      <c r="AA798" s="242"/>
      <c r="AB798" s="242"/>
      <c r="AC798" s="242"/>
      <c r="AD798" s="242"/>
      <c r="AE798" s="242"/>
      <c r="AF798" s="242"/>
      <c r="AG798" s="242"/>
      <c r="AH798" s="242"/>
    </row>
    <row r="799">
      <c r="A799" s="242"/>
      <c r="B799" s="242"/>
      <c r="C799" s="242"/>
      <c r="D799" s="242"/>
      <c r="E799" s="242"/>
      <c r="F799" s="242"/>
      <c r="G799" s="242"/>
      <c r="H799" s="242"/>
      <c r="I799" s="242"/>
      <c r="J799" s="242"/>
      <c r="K799" s="242"/>
      <c r="L799" s="242"/>
      <c r="M799" s="242"/>
      <c r="N799" s="242"/>
      <c r="O799" s="242"/>
      <c r="P799" s="242"/>
      <c r="Q799" s="242"/>
      <c r="R799" s="242"/>
      <c r="S799" s="242"/>
      <c r="T799" s="242"/>
      <c r="U799" s="242"/>
      <c r="V799" s="242"/>
      <c r="W799" s="242"/>
      <c r="X799" s="242"/>
      <c r="Y799" s="242"/>
      <c r="Z799" s="242"/>
      <c r="AA799" s="242"/>
      <c r="AB799" s="242"/>
      <c r="AC799" s="242"/>
      <c r="AD799" s="242"/>
      <c r="AE799" s="242"/>
      <c r="AF799" s="242"/>
      <c r="AG799" s="242"/>
      <c r="AH799" s="242"/>
    </row>
    <row r="800">
      <c r="A800" s="242"/>
      <c r="B800" s="242"/>
      <c r="C800" s="242"/>
      <c r="D800" s="242"/>
      <c r="E800" s="242"/>
      <c r="F800" s="242"/>
      <c r="G800" s="242"/>
      <c r="H800" s="242"/>
      <c r="I800" s="242"/>
      <c r="J800" s="242"/>
      <c r="K800" s="242"/>
      <c r="L800" s="242"/>
      <c r="M800" s="242"/>
      <c r="N800" s="242"/>
      <c r="O800" s="242"/>
      <c r="P800" s="242"/>
      <c r="Q800" s="242"/>
      <c r="R800" s="242"/>
      <c r="S800" s="242"/>
      <c r="T800" s="242"/>
      <c r="U800" s="242"/>
      <c r="V800" s="242"/>
      <c r="W800" s="242"/>
      <c r="X800" s="242"/>
      <c r="Y800" s="242"/>
      <c r="Z800" s="242"/>
      <c r="AA800" s="242"/>
      <c r="AB800" s="242"/>
      <c r="AC800" s="242"/>
      <c r="AD800" s="242"/>
      <c r="AE800" s="242"/>
      <c r="AF800" s="242"/>
      <c r="AG800" s="242"/>
      <c r="AH800" s="242"/>
    </row>
    <row r="801">
      <c r="A801" s="242"/>
      <c r="B801" s="242"/>
      <c r="C801" s="242"/>
      <c r="D801" s="242"/>
      <c r="E801" s="242"/>
      <c r="F801" s="242"/>
      <c r="G801" s="242"/>
      <c r="H801" s="242"/>
      <c r="I801" s="242"/>
      <c r="J801" s="242"/>
      <c r="K801" s="242"/>
      <c r="L801" s="242"/>
      <c r="M801" s="242"/>
      <c r="N801" s="242"/>
      <c r="O801" s="242"/>
      <c r="P801" s="242"/>
      <c r="Q801" s="242"/>
      <c r="R801" s="242"/>
      <c r="S801" s="242"/>
      <c r="T801" s="242"/>
      <c r="U801" s="242"/>
      <c r="V801" s="242"/>
      <c r="W801" s="242"/>
      <c r="X801" s="242"/>
      <c r="Y801" s="242"/>
      <c r="Z801" s="242"/>
      <c r="AA801" s="242"/>
      <c r="AB801" s="242"/>
      <c r="AC801" s="242"/>
      <c r="AD801" s="242"/>
      <c r="AE801" s="242"/>
      <c r="AF801" s="242"/>
      <c r="AG801" s="242"/>
      <c r="AH801" s="242"/>
    </row>
    <row r="802">
      <c r="A802" s="242"/>
      <c r="B802" s="242"/>
      <c r="C802" s="242"/>
      <c r="D802" s="242"/>
      <c r="E802" s="242"/>
      <c r="F802" s="242"/>
      <c r="G802" s="242"/>
      <c r="H802" s="242"/>
      <c r="I802" s="242"/>
      <c r="J802" s="242"/>
      <c r="K802" s="242"/>
      <c r="L802" s="242"/>
      <c r="M802" s="242"/>
      <c r="N802" s="242"/>
      <c r="O802" s="242"/>
      <c r="P802" s="242"/>
      <c r="Q802" s="242"/>
      <c r="R802" s="242"/>
      <c r="S802" s="242"/>
      <c r="T802" s="242"/>
      <c r="U802" s="242"/>
      <c r="V802" s="242"/>
      <c r="W802" s="242"/>
      <c r="X802" s="242"/>
      <c r="Y802" s="242"/>
      <c r="Z802" s="242"/>
      <c r="AA802" s="242"/>
      <c r="AB802" s="242"/>
      <c r="AC802" s="242"/>
      <c r="AD802" s="242"/>
      <c r="AE802" s="242"/>
      <c r="AF802" s="242"/>
      <c r="AG802" s="242"/>
      <c r="AH802" s="242"/>
    </row>
    <row r="803">
      <c r="A803" s="242"/>
      <c r="B803" s="242"/>
      <c r="C803" s="242"/>
      <c r="D803" s="242"/>
      <c r="E803" s="242"/>
      <c r="F803" s="242"/>
      <c r="G803" s="242"/>
      <c r="H803" s="242"/>
      <c r="I803" s="242"/>
      <c r="J803" s="242"/>
      <c r="K803" s="242"/>
      <c r="L803" s="242"/>
      <c r="M803" s="242"/>
      <c r="N803" s="242"/>
      <c r="O803" s="242"/>
      <c r="P803" s="242"/>
      <c r="Q803" s="242"/>
      <c r="R803" s="242"/>
      <c r="S803" s="242"/>
      <c r="T803" s="242"/>
      <c r="U803" s="242"/>
      <c r="V803" s="242"/>
      <c r="W803" s="242"/>
      <c r="X803" s="242"/>
      <c r="Y803" s="242"/>
      <c r="Z803" s="242"/>
      <c r="AA803" s="242"/>
      <c r="AB803" s="242"/>
      <c r="AC803" s="242"/>
      <c r="AD803" s="242"/>
      <c r="AE803" s="242"/>
      <c r="AF803" s="242"/>
      <c r="AG803" s="242"/>
      <c r="AH803" s="242"/>
    </row>
    <row r="804">
      <c r="A804" s="242"/>
      <c r="B804" s="242"/>
      <c r="C804" s="242"/>
      <c r="D804" s="242"/>
      <c r="E804" s="242"/>
      <c r="F804" s="242"/>
      <c r="G804" s="242"/>
      <c r="H804" s="242"/>
      <c r="I804" s="242"/>
      <c r="J804" s="242"/>
      <c r="K804" s="242"/>
      <c r="L804" s="242"/>
      <c r="M804" s="242"/>
      <c r="N804" s="242"/>
      <c r="O804" s="242"/>
      <c r="P804" s="242"/>
      <c r="Q804" s="242"/>
      <c r="R804" s="242"/>
      <c r="S804" s="242"/>
      <c r="T804" s="242"/>
      <c r="U804" s="242"/>
      <c r="V804" s="242"/>
      <c r="W804" s="242"/>
      <c r="X804" s="242"/>
      <c r="Y804" s="242"/>
      <c r="Z804" s="242"/>
      <c r="AA804" s="242"/>
      <c r="AB804" s="242"/>
      <c r="AC804" s="242"/>
      <c r="AD804" s="242"/>
      <c r="AE804" s="242"/>
      <c r="AF804" s="242"/>
      <c r="AG804" s="242"/>
      <c r="AH804" s="242"/>
    </row>
    <row r="805">
      <c r="A805" s="242"/>
      <c r="B805" s="242"/>
      <c r="C805" s="242"/>
      <c r="D805" s="242"/>
      <c r="E805" s="242"/>
      <c r="F805" s="242"/>
      <c r="G805" s="242"/>
      <c r="H805" s="242"/>
      <c r="I805" s="242"/>
      <c r="J805" s="242"/>
      <c r="K805" s="242"/>
      <c r="L805" s="242"/>
      <c r="M805" s="242"/>
      <c r="N805" s="242"/>
      <c r="O805" s="242"/>
      <c r="P805" s="242"/>
      <c r="Q805" s="242"/>
      <c r="R805" s="242"/>
      <c r="S805" s="242"/>
      <c r="T805" s="242"/>
      <c r="U805" s="242"/>
      <c r="V805" s="242"/>
      <c r="W805" s="242"/>
      <c r="X805" s="242"/>
      <c r="Y805" s="242"/>
      <c r="Z805" s="242"/>
      <c r="AA805" s="242"/>
      <c r="AB805" s="242"/>
      <c r="AC805" s="242"/>
      <c r="AD805" s="242"/>
      <c r="AE805" s="242"/>
      <c r="AF805" s="242"/>
      <c r="AG805" s="242"/>
      <c r="AH805" s="242"/>
    </row>
    <row r="806">
      <c r="A806" s="242"/>
      <c r="B806" s="242"/>
      <c r="C806" s="242"/>
      <c r="D806" s="242"/>
      <c r="E806" s="242"/>
      <c r="F806" s="242"/>
      <c r="G806" s="242"/>
      <c r="H806" s="242"/>
      <c r="I806" s="242"/>
      <c r="J806" s="242"/>
      <c r="K806" s="242"/>
      <c r="L806" s="242"/>
      <c r="M806" s="242"/>
      <c r="N806" s="242"/>
      <c r="O806" s="242"/>
      <c r="P806" s="242"/>
      <c r="Q806" s="242"/>
      <c r="R806" s="242"/>
      <c r="S806" s="242"/>
      <c r="T806" s="242"/>
      <c r="U806" s="242"/>
      <c r="V806" s="242"/>
      <c r="W806" s="242"/>
      <c r="X806" s="242"/>
      <c r="Y806" s="242"/>
      <c r="Z806" s="242"/>
      <c r="AA806" s="242"/>
      <c r="AB806" s="242"/>
      <c r="AC806" s="242"/>
      <c r="AD806" s="242"/>
      <c r="AE806" s="242"/>
      <c r="AF806" s="242"/>
      <c r="AG806" s="242"/>
      <c r="AH806" s="242"/>
    </row>
    <row r="807">
      <c r="A807" s="242"/>
      <c r="B807" s="242"/>
      <c r="C807" s="242"/>
      <c r="D807" s="242"/>
      <c r="E807" s="242"/>
      <c r="F807" s="242"/>
      <c r="G807" s="242"/>
      <c r="H807" s="242"/>
      <c r="I807" s="242"/>
      <c r="J807" s="242"/>
      <c r="K807" s="242"/>
      <c r="L807" s="242"/>
      <c r="M807" s="242"/>
      <c r="N807" s="242"/>
      <c r="O807" s="242"/>
      <c r="P807" s="242"/>
      <c r="Q807" s="242"/>
      <c r="R807" s="242"/>
      <c r="S807" s="242"/>
      <c r="T807" s="242"/>
      <c r="U807" s="242"/>
      <c r="V807" s="242"/>
      <c r="W807" s="242"/>
      <c r="X807" s="242"/>
      <c r="Y807" s="242"/>
      <c r="Z807" s="242"/>
      <c r="AA807" s="242"/>
      <c r="AB807" s="242"/>
      <c r="AC807" s="242"/>
      <c r="AD807" s="242"/>
      <c r="AE807" s="242"/>
      <c r="AF807" s="242"/>
      <c r="AG807" s="242"/>
      <c r="AH807" s="242"/>
    </row>
    <row r="808">
      <c r="A808" s="242"/>
      <c r="B808" s="242"/>
      <c r="C808" s="242"/>
      <c r="D808" s="242"/>
      <c r="E808" s="242"/>
      <c r="F808" s="242"/>
      <c r="G808" s="242"/>
      <c r="H808" s="242"/>
      <c r="I808" s="242"/>
      <c r="J808" s="242"/>
      <c r="K808" s="242"/>
      <c r="L808" s="242"/>
      <c r="M808" s="242"/>
      <c r="N808" s="242"/>
      <c r="O808" s="242"/>
      <c r="P808" s="242"/>
      <c r="Q808" s="242"/>
      <c r="R808" s="242"/>
      <c r="S808" s="242"/>
      <c r="T808" s="242"/>
      <c r="U808" s="242"/>
      <c r="V808" s="242"/>
      <c r="W808" s="242"/>
      <c r="X808" s="242"/>
      <c r="Y808" s="242"/>
      <c r="Z808" s="242"/>
      <c r="AA808" s="242"/>
      <c r="AB808" s="242"/>
      <c r="AC808" s="242"/>
      <c r="AD808" s="242"/>
      <c r="AE808" s="242"/>
      <c r="AF808" s="242"/>
      <c r="AG808" s="242"/>
      <c r="AH808" s="242"/>
    </row>
    <row r="809">
      <c r="A809" s="242"/>
      <c r="B809" s="242"/>
      <c r="C809" s="242"/>
      <c r="D809" s="242"/>
      <c r="E809" s="242"/>
      <c r="F809" s="242"/>
      <c r="G809" s="242"/>
      <c r="H809" s="242"/>
      <c r="I809" s="242"/>
      <c r="J809" s="242"/>
      <c r="K809" s="242"/>
      <c r="L809" s="242"/>
      <c r="M809" s="242"/>
      <c r="N809" s="242"/>
      <c r="O809" s="242"/>
      <c r="P809" s="242"/>
      <c r="Q809" s="242"/>
      <c r="R809" s="242"/>
      <c r="S809" s="242"/>
      <c r="T809" s="242"/>
      <c r="U809" s="242"/>
      <c r="V809" s="242"/>
      <c r="W809" s="242"/>
      <c r="X809" s="242"/>
      <c r="Y809" s="242"/>
      <c r="Z809" s="242"/>
      <c r="AA809" s="242"/>
      <c r="AB809" s="242"/>
      <c r="AC809" s="242"/>
      <c r="AD809" s="242"/>
      <c r="AE809" s="242"/>
      <c r="AF809" s="242"/>
      <c r="AG809" s="242"/>
      <c r="AH809" s="242"/>
    </row>
    <row r="810">
      <c r="A810" s="242"/>
      <c r="B810" s="242"/>
      <c r="C810" s="242"/>
      <c r="D810" s="242"/>
      <c r="E810" s="242"/>
      <c r="F810" s="242"/>
      <c r="G810" s="242"/>
      <c r="H810" s="242"/>
      <c r="I810" s="242"/>
      <c r="J810" s="242"/>
      <c r="K810" s="242"/>
      <c r="L810" s="242"/>
      <c r="M810" s="242"/>
      <c r="N810" s="242"/>
      <c r="O810" s="242"/>
      <c r="P810" s="242"/>
      <c r="Q810" s="242"/>
      <c r="R810" s="242"/>
      <c r="S810" s="242"/>
      <c r="T810" s="242"/>
      <c r="U810" s="242"/>
      <c r="V810" s="242"/>
      <c r="W810" s="242"/>
      <c r="X810" s="242"/>
      <c r="Y810" s="242"/>
      <c r="Z810" s="242"/>
      <c r="AA810" s="242"/>
      <c r="AB810" s="242"/>
      <c r="AC810" s="242"/>
      <c r="AD810" s="242"/>
      <c r="AE810" s="242"/>
      <c r="AF810" s="242"/>
      <c r="AG810" s="242"/>
      <c r="AH810" s="242"/>
    </row>
    <row r="811">
      <c r="A811" s="242"/>
      <c r="B811" s="242"/>
      <c r="C811" s="242"/>
      <c r="D811" s="242"/>
      <c r="E811" s="242"/>
      <c r="F811" s="242"/>
      <c r="G811" s="242"/>
      <c r="H811" s="242"/>
      <c r="I811" s="242"/>
      <c r="J811" s="242"/>
      <c r="K811" s="242"/>
      <c r="L811" s="242"/>
      <c r="M811" s="242"/>
      <c r="N811" s="242"/>
      <c r="O811" s="242"/>
      <c r="P811" s="242"/>
      <c r="Q811" s="242"/>
      <c r="R811" s="242"/>
      <c r="S811" s="242"/>
      <c r="T811" s="242"/>
      <c r="U811" s="242"/>
      <c r="V811" s="242"/>
      <c r="W811" s="242"/>
      <c r="X811" s="242"/>
      <c r="Y811" s="242"/>
      <c r="Z811" s="242"/>
      <c r="AA811" s="242"/>
      <c r="AB811" s="242"/>
      <c r="AC811" s="242"/>
      <c r="AD811" s="242"/>
      <c r="AE811" s="242"/>
      <c r="AF811" s="242"/>
      <c r="AG811" s="242"/>
      <c r="AH811" s="242"/>
    </row>
    <row r="812">
      <c r="A812" s="242"/>
      <c r="B812" s="242"/>
      <c r="C812" s="242"/>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c r="AA812" s="242"/>
      <c r="AB812" s="242"/>
      <c r="AC812" s="242"/>
      <c r="AD812" s="242"/>
      <c r="AE812" s="242"/>
      <c r="AF812" s="242"/>
      <c r="AG812" s="242"/>
      <c r="AH812" s="242"/>
    </row>
    <row r="813">
      <c r="A813" s="242"/>
      <c r="B813" s="242"/>
      <c r="C813" s="242"/>
      <c r="D813" s="242"/>
      <c r="E813" s="242"/>
      <c r="F813" s="242"/>
      <c r="G813" s="242"/>
      <c r="H813" s="242"/>
      <c r="I813" s="242"/>
      <c r="J813" s="242"/>
      <c r="K813" s="242"/>
      <c r="L813" s="242"/>
      <c r="M813" s="242"/>
      <c r="N813" s="242"/>
      <c r="O813" s="242"/>
      <c r="P813" s="242"/>
      <c r="Q813" s="242"/>
      <c r="R813" s="242"/>
      <c r="S813" s="242"/>
      <c r="T813" s="242"/>
      <c r="U813" s="242"/>
      <c r="V813" s="242"/>
      <c r="W813" s="242"/>
      <c r="X813" s="242"/>
      <c r="Y813" s="242"/>
      <c r="Z813" s="242"/>
      <c r="AA813" s="242"/>
      <c r="AB813" s="242"/>
      <c r="AC813" s="242"/>
      <c r="AD813" s="242"/>
      <c r="AE813" s="242"/>
      <c r="AF813" s="242"/>
      <c r="AG813" s="242"/>
      <c r="AH813" s="242"/>
    </row>
    <row r="814">
      <c r="A814" s="242"/>
      <c r="B814" s="242"/>
      <c r="C814" s="242"/>
      <c r="D814" s="242"/>
      <c r="E814" s="242"/>
      <c r="F814" s="242"/>
      <c r="G814" s="242"/>
      <c r="H814" s="242"/>
      <c r="I814" s="242"/>
      <c r="J814" s="242"/>
      <c r="K814" s="242"/>
      <c r="L814" s="242"/>
      <c r="M814" s="242"/>
      <c r="N814" s="242"/>
      <c r="O814" s="242"/>
      <c r="P814" s="242"/>
      <c r="Q814" s="242"/>
      <c r="R814" s="242"/>
      <c r="S814" s="242"/>
      <c r="T814" s="242"/>
      <c r="U814" s="242"/>
      <c r="V814" s="242"/>
      <c r="W814" s="242"/>
      <c r="X814" s="242"/>
      <c r="Y814" s="242"/>
      <c r="Z814" s="242"/>
      <c r="AA814" s="242"/>
      <c r="AB814" s="242"/>
      <c r="AC814" s="242"/>
      <c r="AD814" s="242"/>
      <c r="AE814" s="242"/>
      <c r="AF814" s="242"/>
      <c r="AG814" s="242"/>
      <c r="AH814" s="242"/>
    </row>
    <row r="815">
      <c r="A815" s="242"/>
      <c r="B815" s="242"/>
      <c r="C815" s="242"/>
      <c r="D815" s="242"/>
      <c r="E815" s="242"/>
      <c r="F815" s="242"/>
      <c r="G815" s="242"/>
      <c r="H815" s="242"/>
      <c r="I815" s="242"/>
      <c r="J815" s="242"/>
      <c r="K815" s="242"/>
      <c r="L815" s="242"/>
      <c r="M815" s="242"/>
      <c r="N815" s="242"/>
      <c r="O815" s="242"/>
      <c r="P815" s="242"/>
      <c r="Q815" s="242"/>
      <c r="R815" s="242"/>
      <c r="S815" s="242"/>
      <c r="T815" s="242"/>
      <c r="U815" s="242"/>
      <c r="V815" s="242"/>
      <c r="W815" s="242"/>
      <c r="X815" s="242"/>
      <c r="Y815" s="242"/>
      <c r="Z815" s="242"/>
      <c r="AA815" s="242"/>
      <c r="AB815" s="242"/>
      <c r="AC815" s="242"/>
      <c r="AD815" s="242"/>
      <c r="AE815" s="242"/>
      <c r="AF815" s="242"/>
      <c r="AG815" s="242"/>
      <c r="AH815" s="242"/>
    </row>
    <row r="816">
      <c r="A816" s="242"/>
      <c r="B816" s="242"/>
      <c r="C816" s="242"/>
      <c r="D816" s="242"/>
      <c r="E816" s="242"/>
      <c r="F816" s="242"/>
      <c r="G816" s="242"/>
      <c r="H816" s="242"/>
      <c r="I816" s="242"/>
      <c r="J816" s="242"/>
      <c r="K816" s="242"/>
      <c r="L816" s="242"/>
      <c r="M816" s="242"/>
      <c r="N816" s="242"/>
      <c r="O816" s="242"/>
      <c r="P816" s="242"/>
      <c r="Q816" s="242"/>
      <c r="R816" s="242"/>
      <c r="S816" s="242"/>
      <c r="T816" s="242"/>
      <c r="U816" s="242"/>
      <c r="V816" s="242"/>
      <c r="W816" s="242"/>
      <c r="X816" s="242"/>
      <c r="Y816" s="242"/>
      <c r="Z816" s="242"/>
      <c r="AA816" s="242"/>
      <c r="AB816" s="242"/>
      <c r="AC816" s="242"/>
      <c r="AD816" s="242"/>
      <c r="AE816" s="242"/>
      <c r="AF816" s="242"/>
      <c r="AG816" s="242"/>
      <c r="AH816" s="242"/>
    </row>
    <row r="817">
      <c r="A817" s="242"/>
      <c r="B817" s="242"/>
      <c r="C817" s="242"/>
      <c r="D817" s="242"/>
      <c r="E817" s="242"/>
      <c r="F817" s="242"/>
      <c r="G817" s="242"/>
      <c r="H817" s="242"/>
      <c r="I817" s="242"/>
      <c r="J817" s="242"/>
      <c r="K817" s="242"/>
      <c r="L817" s="242"/>
      <c r="M817" s="242"/>
      <c r="N817" s="242"/>
      <c r="O817" s="242"/>
      <c r="P817" s="242"/>
      <c r="Q817" s="242"/>
      <c r="R817" s="242"/>
      <c r="S817" s="242"/>
      <c r="T817" s="242"/>
      <c r="U817" s="242"/>
      <c r="V817" s="242"/>
      <c r="W817" s="242"/>
      <c r="X817" s="242"/>
      <c r="Y817" s="242"/>
      <c r="Z817" s="242"/>
      <c r="AA817" s="242"/>
      <c r="AB817" s="242"/>
      <c r="AC817" s="242"/>
      <c r="AD817" s="242"/>
      <c r="AE817" s="242"/>
      <c r="AF817" s="242"/>
      <c r="AG817" s="242"/>
      <c r="AH817" s="242"/>
    </row>
    <row r="818">
      <c r="A818" s="242"/>
      <c r="B818" s="242"/>
      <c r="C818" s="242"/>
      <c r="D818" s="242"/>
      <c r="E818" s="242"/>
      <c r="F818" s="242"/>
      <c r="G818" s="242"/>
      <c r="H818" s="242"/>
      <c r="I818" s="242"/>
      <c r="J818" s="242"/>
      <c r="K818" s="242"/>
      <c r="L818" s="242"/>
      <c r="M818" s="242"/>
      <c r="N818" s="242"/>
      <c r="O818" s="242"/>
      <c r="P818" s="242"/>
      <c r="Q818" s="242"/>
      <c r="R818" s="242"/>
      <c r="S818" s="242"/>
      <c r="T818" s="242"/>
      <c r="U818" s="242"/>
      <c r="V818" s="242"/>
      <c r="W818" s="242"/>
      <c r="X818" s="242"/>
      <c r="Y818" s="242"/>
      <c r="Z818" s="242"/>
      <c r="AA818" s="242"/>
      <c r="AB818" s="242"/>
      <c r="AC818" s="242"/>
      <c r="AD818" s="242"/>
      <c r="AE818" s="242"/>
      <c r="AF818" s="242"/>
      <c r="AG818" s="242"/>
      <c r="AH818" s="242"/>
    </row>
    <row r="819">
      <c r="A819" s="242"/>
      <c r="B819" s="242"/>
      <c r="C819" s="242"/>
      <c r="D819" s="242"/>
      <c r="E819" s="242"/>
      <c r="F819" s="242"/>
      <c r="G819" s="242"/>
      <c r="H819" s="242"/>
      <c r="I819" s="242"/>
      <c r="J819" s="242"/>
      <c r="K819" s="242"/>
      <c r="L819" s="242"/>
      <c r="M819" s="242"/>
      <c r="N819" s="242"/>
      <c r="O819" s="242"/>
      <c r="P819" s="242"/>
      <c r="Q819" s="242"/>
      <c r="R819" s="242"/>
      <c r="S819" s="242"/>
      <c r="T819" s="242"/>
      <c r="U819" s="242"/>
      <c r="V819" s="242"/>
      <c r="W819" s="242"/>
      <c r="X819" s="242"/>
      <c r="Y819" s="242"/>
      <c r="Z819" s="242"/>
      <c r="AA819" s="242"/>
      <c r="AB819" s="242"/>
      <c r="AC819" s="242"/>
      <c r="AD819" s="242"/>
      <c r="AE819" s="242"/>
      <c r="AF819" s="242"/>
      <c r="AG819" s="242"/>
      <c r="AH819" s="242"/>
    </row>
    <row r="820">
      <c r="A820" s="242"/>
      <c r="B820" s="242"/>
      <c r="C820" s="242"/>
      <c r="D820" s="242"/>
      <c r="E820" s="242"/>
      <c r="F820" s="242"/>
      <c r="G820" s="242"/>
      <c r="H820" s="242"/>
      <c r="I820" s="242"/>
      <c r="J820" s="242"/>
      <c r="K820" s="242"/>
      <c r="L820" s="242"/>
      <c r="M820" s="242"/>
      <c r="N820" s="242"/>
      <c r="O820" s="242"/>
      <c r="P820" s="242"/>
      <c r="Q820" s="242"/>
      <c r="R820" s="242"/>
      <c r="S820" s="242"/>
      <c r="T820" s="242"/>
      <c r="U820" s="242"/>
      <c r="V820" s="242"/>
      <c r="W820" s="242"/>
      <c r="X820" s="242"/>
      <c r="Y820" s="242"/>
      <c r="Z820" s="242"/>
      <c r="AA820" s="242"/>
      <c r="AB820" s="242"/>
      <c r="AC820" s="242"/>
      <c r="AD820" s="242"/>
      <c r="AE820" s="242"/>
      <c r="AF820" s="242"/>
      <c r="AG820" s="242"/>
      <c r="AH820" s="242"/>
    </row>
    <row r="821">
      <c r="A821" s="242"/>
      <c r="B821" s="242"/>
      <c r="C821" s="242"/>
      <c r="D821" s="242"/>
      <c r="E821" s="242"/>
      <c r="F821" s="242"/>
      <c r="G821" s="242"/>
      <c r="H821" s="242"/>
      <c r="I821" s="242"/>
      <c r="J821" s="242"/>
      <c r="K821" s="242"/>
      <c r="L821" s="242"/>
      <c r="M821" s="242"/>
      <c r="N821" s="242"/>
      <c r="O821" s="242"/>
      <c r="P821" s="242"/>
      <c r="Q821" s="242"/>
      <c r="R821" s="242"/>
      <c r="S821" s="242"/>
      <c r="T821" s="242"/>
      <c r="U821" s="242"/>
      <c r="V821" s="242"/>
      <c r="W821" s="242"/>
      <c r="X821" s="242"/>
      <c r="Y821" s="242"/>
      <c r="Z821" s="242"/>
      <c r="AA821" s="242"/>
      <c r="AB821" s="242"/>
      <c r="AC821" s="242"/>
      <c r="AD821" s="242"/>
      <c r="AE821" s="242"/>
      <c r="AF821" s="242"/>
      <c r="AG821" s="242"/>
      <c r="AH821" s="242"/>
    </row>
    <row r="822">
      <c r="A822" s="242"/>
      <c r="B822" s="242"/>
      <c r="C822" s="242"/>
      <c r="D822" s="242"/>
      <c r="E822" s="242"/>
      <c r="F822" s="242"/>
      <c r="G822" s="242"/>
      <c r="H822" s="242"/>
      <c r="I822" s="242"/>
      <c r="J822" s="242"/>
      <c r="K822" s="242"/>
      <c r="L822" s="242"/>
      <c r="M822" s="242"/>
      <c r="N822" s="242"/>
      <c r="O822" s="242"/>
      <c r="P822" s="242"/>
      <c r="Q822" s="242"/>
      <c r="R822" s="242"/>
      <c r="S822" s="242"/>
      <c r="T822" s="242"/>
      <c r="U822" s="242"/>
      <c r="V822" s="242"/>
      <c r="W822" s="242"/>
      <c r="X822" s="242"/>
      <c r="Y822" s="242"/>
      <c r="Z822" s="242"/>
      <c r="AA822" s="242"/>
      <c r="AB822" s="242"/>
      <c r="AC822" s="242"/>
      <c r="AD822" s="242"/>
      <c r="AE822" s="242"/>
      <c r="AF822" s="242"/>
      <c r="AG822" s="242"/>
      <c r="AH822" s="242"/>
    </row>
    <row r="823">
      <c r="A823" s="242"/>
      <c r="B823" s="242"/>
      <c r="C823" s="242"/>
      <c r="D823" s="242"/>
      <c r="E823" s="242"/>
      <c r="F823" s="242"/>
      <c r="G823" s="242"/>
      <c r="H823" s="242"/>
      <c r="I823" s="242"/>
      <c r="J823" s="242"/>
      <c r="K823" s="242"/>
      <c r="L823" s="242"/>
      <c r="M823" s="242"/>
      <c r="N823" s="242"/>
      <c r="O823" s="242"/>
      <c r="P823" s="242"/>
      <c r="Q823" s="242"/>
      <c r="R823" s="242"/>
      <c r="S823" s="242"/>
      <c r="T823" s="242"/>
      <c r="U823" s="242"/>
      <c r="V823" s="242"/>
      <c r="W823" s="242"/>
      <c r="X823" s="242"/>
      <c r="Y823" s="242"/>
      <c r="Z823" s="242"/>
      <c r="AA823" s="242"/>
      <c r="AB823" s="242"/>
      <c r="AC823" s="242"/>
      <c r="AD823" s="242"/>
      <c r="AE823" s="242"/>
      <c r="AF823" s="242"/>
      <c r="AG823" s="242"/>
      <c r="AH823" s="242"/>
    </row>
    <row r="824">
      <c r="A824" s="242"/>
      <c r="B824" s="242"/>
      <c r="C824" s="242"/>
      <c r="D824" s="242"/>
      <c r="E824" s="242"/>
      <c r="F824" s="242"/>
      <c r="G824" s="242"/>
      <c r="H824" s="242"/>
      <c r="I824" s="242"/>
      <c r="J824" s="242"/>
      <c r="K824" s="242"/>
      <c r="L824" s="242"/>
      <c r="M824" s="242"/>
      <c r="N824" s="242"/>
      <c r="O824" s="242"/>
      <c r="P824" s="242"/>
      <c r="Q824" s="242"/>
      <c r="R824" s="242"/>
      <c r="S824" s="242"/>
      <c r="T824" s="242"/>
      <c r="U824" s="242"/>
      <c r="V824" s="242"/>
      <c r="W824" s="242"/>
      <c r="X824" s="242"/>
      <c r="Y824" s="242"/>
      <c r="Z824" s="242"/>
      <c r="AA824" s="242"/>
      <c r="AB824" s="242"/>
      <c r="AC824" s="242"/>
      <c r="AD824" s="242"/>
      <c r="AE824" s="242"/>
      <c r="AF824" s="242"/>
      <c r="AG824" s="242"/>
      <c r="AH824" s="242"/>
    </row>
    <row r="825">
      <c r="A825" s="242"/>
      <c r="B825" s="242"/>
      <c r="C825" s="242"/>
      <c r="D825" s="242"/>
      <c r="E825" s="242"/>
      <c r="F825" s="242"/>
      <c r="G825" s="242"/>
      <c r="H825" s="242"/>
      <c r="I825" s="242"/>
      <c r="J825" s="242"/>
      <c r="K825" s="242"/>
      <c r="L825" s="242"/>
      <c r="M825" s="242"/>
      <c r="N825" s="242"/>
      <c r="O825" s="242"/>
      <c r="P825" s="242"/>
      <c r="Q825" s="242"/>
      <c r="R825" s="242"/>
      <c r="S825" s="242"/>
      <c r="T825" s="242"/>
      <c r="U825" s="242"/>
      <c r="V825" s="242"/>
      <c r="W825" s="242"/>
      <c r="X825" s="242"/>
      <c r="Y825" s="242"/>
      <c r="Z825" s="242"/>
      <c r="AA825" s="242"/>
      <c r="AB825" s="242"/>
      <c r="AC825" s="242"/>
      <c r="AD825" s="242"/>
      <c r="AE825" s="242"/>
      <c r="AF825" s="242"/>
      <c r="AG825" s="242"/>
      <c r="AH825" s="242"/>
    </row>
    <row r="826">
      <c r="A826" s="242"/>
      <c r="B826" s="242"/>
      <c r="C826" s="242"/>
      <c r="D826" s="242"/>
      <c r="E826" s="242"/>
      <c r="F826" s="242"/>
      <c r="G826" s="242"/>
      <c r="H826" s="242"/>
      <c r="I826" s="242"/>
      <c r="J826" s="242"/>
      <c r="K826" s="242"/>
      <c r="L826" s="242"/>
      <c r="M826" s="242"/>
      <c r="N826" s="242"/>
      <c r="O826" s="242"/>
      <c r="P826" s="242"/>
      <c r="Q826" s="242"/>
      <c r="R826" s="242"/>
      <c r="S826" s="242"/>
      <c r="T826" s="242"/>
      <c r="U826" s="242"/>
      <c r="V826" s="242"/>
      <c r="W826" s="242"/>
      <c r="X826" s="242"/>
      <c r="Y826" s="242"/>
      <c r="Z826" s="242"/>
      <c r="AA826" s="242"/>
      <c r="AB826" s="242"/>
      <c r="AC826" s="242"/>
      <c r="AD826" s="242"/>
      <c r="AE826" s="242"/>
      <c r="AF826" s="242"/>
      <c r="AG826" s="242"/>
      <c r="AH826" s="242"/>
    </row>
    <row r="827">
      <c r="A827" s="242"/>
      <c r="B827" s="242"/>
      <c r="C827" s="242"/>
      <c r="D827" s="242"/>
      <c r="E827" s="242"/>
      <c r="F827" s="242"/>
      <c r="G827" s="242"/>
      <c r="H827" s="242"/>
      <c r="I827" s="242"/>
      <c r="J827" s="242"/>
      <c r="K827" s="242"/>
      <c r="L827" s="242"/>
      <c r="M827" s="242"/>
      <c r="N827" s="242"/>
      <c r="O827" s="242"/>
      <c r="P827" s="242"/>
      <c r="Q827" s="242"/>
      <c r="R827" s="242"/>
      <c r="S827" s="242"/>
      <c r="T827" s="242"/>
      <c r="U827" s="242"/>
      <c r="V827" s="242"/>
      <c r="W827" s="242"/>
      <c r="X827" s="242"/>
      <c r="Y827" s="242"/>
      <c r="Z827" s="242"/>
      <c r="AA827" s="242"/>
      <c r="AB827" s="242"/>
      <c r="AC827" s="242"/>
      <c r="AD827" s="242"/>
      <c r="AE827" s="242"/>
      <c r="AF827" s="242"/>
      <c r="AG827" s="242"/>
      <c r="AH827" s="242"/>
    </row>
    <row r="828">
      <c r="A828" s="242"/>
      <c r="B828" s="242"/>
      <c r="C828" s="242"/>
      <c r="D828" s="242"/>
      <c r="E828" s="242"/>
      <c r="F828" s="242"/>
      <c r="G828" s="242"/>
      <c r="H828" s="242"/>
      <c r="I828" s="242"/>
      <c r="J828" s="242"/>
      <c r="K828" s="242"/>
      <c r="L828" s="242"/>
      <c r="M828" s="242"/>
      <c r="N828" s="242"/>
      <c r="O828" s="242"/>
      <c r="P828" s="242"/>
      <c r="Q828" s="242"/>
      <c r="R828" s="242"/>
      <c r="S828" s="242"/>
      <c r="T828" s="242"/>
      <c r="U828" s="242"/>
      <c r="V828" s="242"/>
      <c r="W828" s="242"/>
      <c r="X828" s="242"/>
      <c r="Y828" s="242"/>
      <c r="Z828" s="242"/>
      <c r="AA828" s="242"/>
      <c r="AB828" s="242"/>
      <c r="AC828" s="242"/>
      <c r="AD828" s="242"/>
      <c r="AE828" s="242"/>
      <c r="AF828" s="242"/>
      <c r="AG828" s="242"/>
      <c r="AH828" s="242"/>
    </row>
    <row r="829">
      <c r="A829" s="242"/>
      <c r="B829" s="242"/>
      <c r="C829" s="242"/>
      <c r="D829" s="242"/>
      <c r="E829" s="242"/>
      <c r="F829" s="242"/>
      <c r="G829" s="242"/>
      <c r="H829" s="242"/>
      <c r="I829" s="242"/>
      <c r="J829" s="242"/>
      <c r="K829" s="242"/>
      <c r="L829" s="242"/>
      <c r="M829" s="242"/>
      <c r="N829" s="242"/>
      <c r="O829" s="242"/>
      <c r="P829" s="242"/>
      <c r="Q829" s="242"/>
      <c r="R829" s="242"/>
      <c r="S829" s="242"/>
      <c r="T829" s="242"/>
      <c r="U829" s="242"/>
      <c r="V829" s="242"/>
      <c r="W829" s="242"/>
      <c r="X829" s="242"/>
      <c r="Y829" s="242"/>
      <c r="Z829" s="242"/>
      <c r="AA829" s="242"/>
      <c r="AB829" s="242"/>
      <c r="AC829" s="242"/>
      <c r="AD829" s="242"/>
      <c r="AE829" s="242"/>
      <c r="AF829" s="242"/>
      <c r="AG829" s="242"/>
      <c r="AH829" s="242"/>
    </row>
    <row r="830">
      <c r="A830" s="242"/>
      <c r="B830" s="242"/>
      <c r="C830" s="242"/>
      <c r="D830" s="242"/>
      <c r="E830" s="242"/>
      <c r="F830" s="242"/>
      <c r="G830" s="242"/>
      <c r="H830" s="242"/>
      <c r="I830" s="242"/>
      <c r="J830" s="242"/>
      <c r="K830" s="242"/>
      <c r="L830" s="242"/>
      <c r="M830" s="242"/>
      <c r="N830" s="242"/>
      <c r="O830" s="242"/>
      <c r="P830" s="242"/>
      <c r="Q830" s="242"/>
      <c r="R830" s="242"/>
      <c r="S830" s="242"/>
      <c r="T830" s="242"/>
      <c r="U830" s="242"/>
      <c r="V830" s="242"/>
      <c r="W830" s="242"/>
      <c r="X830" s="242"/>
      <c r="Y830" s="242"/>
      <c r="Z830" s="242"/>
      <c r="AA830" s="242"/>
      <c r="AB830" s="242"/>
      <c r="AC830" s="242"/>
      <c r="AD830" s="242"/>
      <c r="AE830" s="242"/>
      <c r="AF830" s="242"/>
      <c r="AG830" s="242"/>
      <c r="AH830" s="242"/>
    </row>
    <row r="831">
      <c r="A831" s="242"/>
      <c r="B831" s="242"/>
      <c r="C831" s="242"/>
      <c r="D831" s="242"/>
      <c r="E831" s="242"/>
      <c r="F831" s="242"/>
      <c r="G831" s="242"/>
      <c r="H831" s="242"/>
      <c r="I831" s="242"/>
      <c r="J831" s="242"/>
      <c r="K831" s="242"/>
      <c r="L831" s="242"/>
      <c r="M831" s="242"/>
      <c r="N831" s="242"/>
      <c r="O831" s="242"/>
      <c r="P831" s="242"/>
      <c r="Q831" s="242"/>
      <c r="R831" s="242"/>
      <c r="S831" s="242"/>
      <c r="T831" s="242"/>
      <c r="U831" s="242"/>
      <c r="V831" s="242"/>
      <c r="W831" s="242"/>
      <c r="X831" s="242"/>
      <c r="Y831" s="242"/>
      <c r="Z831" s="242"/>
      <c r="AA831" s="242"/>
      <c r="AB831" s="242"/>
      <c r="AC831" s="242"/>
      <c r="AD831" s="242"/>
      <c r="AE831" s="242"/>
      <c r="AF831" s="242"/>
      <c r="AG831" s="242"/>
      <c r="AH831" s="242"/>
    </row>
    <row r="832">
      <c r="A832" s="242"/>
      <c r="B832" s="242"/>
      <c r="C832" s="242"/>
      <c r="D832" s="242"/>
      <c r="E832" s="242"/>
      <c r="F832" s="242"/>
      <c r="G832" s="242"/>
      <c r="H832" s="242"/>
      <c r="I832" s="242"/>
      <c r="J832" s="242"/>
      <c r="K832" s="242"/>
      <c r="L832" s="242"/>
      <c r="M832" s="242"/>
      <c r="N832" s="242"/>
      <c r="O832" s="242"/>
      <c r="P832" s="242"/>
      <c r="Q832" s="242"/>
      <c r="R832" s="242"/>
      <c r="S832" s="242"/>
      <c r="T832" s="242"/>
      <c r="U832" s="242"/>
      <c r="V832" s="242"/>
      <c r="W832" s="242"/>
      <c r="X832" s="242"/>
      <c r="Y832" s="242"/>
      <c r="Z832" s="242"/>
      <c r="AA832" s="242"/>
      <c r="AB832" s="242"/>
      <c r="AC832" s="242"/>
      <c r="AD832" s="242"/>
      <c r="AE832" s="242"/>
      <c r="AF832" s="242"/>
      <c r="AG832" s="242"/>
      <c r="AH832" s="242"/>
    </row>
    <row r="833">
      <c r="A833" s="242"/>
      <c r="B833" s="242"/>
      <c r="C833" s="242"/>
      <c r="D833" s="242"/>
      <c r="E833" s="242"/>
      <c r="F833" s="242"/>
      <c r="G833" s="242"/>
      <c r="H833" s="242"/>
      <c r="I833" s="242"/>
      <c r="J833" s="242"/>
      <c r="K833" s="242"/>
      <c r="L833" s="242"/>
      <c r="M833" s="242"/>
      <c r="N833" s="242"/>
      <c r="O833" s="242"/>
      <c r="P833" s="242"/>
      <c r="Q833" s="242"/>
      <c r="R833" s="242"/>
      <c r="S833" s="242"/>
      <c r="T833" s="242"/>
      <c r="U833" s="242"/>
      <c r="V833" s="242"/>
      <c r="W833" s="242"/>
      <c r="X833" s="242"/>
      <c r="Y833" s="242"/>
      <c r="Z833" s="242"/>
      <c r="AA833" s="242"/>
      <c r="AB833" s="242"/>
      <c r="AC833" s="242"/>
      <c r="AD833" s="242"/>
      <c r="AE833" s="242"/>
      <c r="AF833" s="242"/>
      <c r="AG833" s="242"/>
      <c r="AH833" s="242"/>
    </row>
    <row r="834">
      <c r="A834" s="242"/>
      <c r="B834" s="242"/>
      <c r="C834" s="242"/>
      <c r="D834" s="242"/>
      <c r="E834" s="242"/>
      <c r="F834" s="242"/>
      <c r="G834" s="242"/>
      <c r="H834" s="242"/>
      <c r="I834" s="242"/>
      <c r="J834" s="242"/>
      <c r="K834" s="242"/>
      <c r="L834" s="242"/>
      <c r="M834" s="242"/>
      <c r="N834" s="242"/>
      <c r="O834" s="242"/>
      <c r="P834" s="242"/>
      <c r="Q834" s="242"/>
      <c r="R834" s="242"/>
      <c r="S834" s="242"/>
      <c r="T834" s="242"/>
      <c r="U834" s="242"/>
      <c r="V834" s="242"/>
      <c r="W834" s="242"/>
      <c r="X834" s="242"/>
      <c r="Y834" s="242"/>
      <c r="Z834" s="242"/>
      <c r="AA834" s="242"/>
      <c r="AB834" s="242"/>
      <c r="AC834" s="242"/>
      <c r="AD834" s="242"/>
      <c r="AE834" s="242"/>
      <c r="AF834" s="242"/>
      <c r="AG834" s="242"/>
      <c r="AH834" s="242"/>
    </row>
    <row r="835">
      <c r="A835" s="242"/>
      <c r="B835" s="242"/>
      <c r="C835" s="242"/>
      <c r="D835" s="242"/>
      <c r="E835" s="242"/>
      <c r="F835" s="242"/>
      <c r="G835" s="242"/>
      <c r="H835" s="242"/>
      <c r="I835" s="242"/>
      <c r="J835" s="242"/>
      <c r="K835" s="242"/>
      <c r="L835" s="242"/>
      <c r="M835" s="242"/>
      <c r="N835" s="242"/>
      <c r="O835" s="242"/>
      <c r="P835" s="242"/>
      <c r="Q835" s="242"/>
      <c r="R835" s="242"/>
      <c r="S835" s="242"/>
      <c r="T835" s="242"/>
      <c r="U835" s="242"/>
      <c r="V835" s="242"/>
      <c r="W835" s="242"/>
      <c r="X835" s="242"/>
      <c r="Y835" s="242"/>
      <c r="Z835" s="242"/>
      <c r="AA835" s="242"/>
      <c r="AB835" s="242"/>
      <c r="AC835" s="242"/>
      <c r="AD835" s="242"/>
      <c r="AE835" s="242"/>
      <c r="AF835" s="242"/>
      <c r="AG835" s="242"/>
      <c r="AH835" s="242"/>
    </row>
    <row r="836">
      <c r="A836" s="242"/>
      <c r="B836" s="242"/>
      <c r="C836" s="242"/>
      <c r="D836" s="242"/>
      <c r="E836" s="242"/>
      <c r="F836" s="242"/>
      <c r="G836" s="242"/>
      <c r="H836" s="242"/>
      <c r="I836" s="242"/>
      <c r="J836" s="242"/>
      <c r="K836" s="242"/>
      <c r="L836" s="242"/>
      <c r="M836" s="242"/>
      <c r="N836" s="242"/>
      <c r="O836" s="242"/>
      <c r="P836" s="242"/>
      <c r="Q836" s="242"/>
      <c r="R836" s="242"/>
      <c r="S836" s="242"/>
      <c r="T836" s="242"/>
      <c r="U836" s="242"/>
      <c r="V836" s="242"/>
      <c r="W836" s="242"/>
      <c r="X836" s="242"/>
      <c r="Y836" s="242"/>
      <c r="Z836" s="242"/>
      <c r="AA836" s="242"/>
      <c r="AB836" s="242"/>
      <c r="AC836" s="242"/>
      <c r="AD836" s="242"/>
      <c r="AE836" s="242"/>
      <c r="AF836" s="242"/>
      <c r="AG836" s="242"/>
      <c r="AH836" s="242"/>
    </row>
    <row r="837">
      <c r="A837" s="242"/>
      <c r="B837" s="242"/>
      <c r="C837" s="242"/>
      <c r="D837" s="242"/>
      <c r="E837" s="242"/>
      <c r="F837" s="242"/>
      <c r="G837" s="242"/>
      <c r="H837" s="242"/>
      <c r="I837" s="242"/>
      <c r="J837" s="242"/>
      <c r="K837" s="242"/>
      <c r="L837" s="242"/>
      <c r="M837" s="242"/>
      <c r="N837" s="242"/>
      <c r="O837" s="242"/>
      <c r="P837" s="242"/>
      <c r="Q837" s="242"/>
      <c r="R837" s="242"/>
      <c r="S837" s="242"/>
      <c r="T837" s="242"/>
      <c r="U837" s="242"/>
      <c r="V837" s="242"/>
      <c r="W837" s="242"/>
      <c r="X837" s="242"/>
      <c r="Y837" s="242"/>
      <c r="Z837" s="242"/>
      <c r="AA837" s="242"/>
      <c r="AB837" s="242"/>
      <c r="AC837" s="242"/>
      <c r="AD837" s="242"/>
      <c r="AE837" s="242"/>
      <c r="AF837" s="242"/>
      <c r="AG837" s="242"/>
      <c r="AH837" s="242"/>
    </row>
    <row r="838">
      <c r="A838" s="242"/>
      <c r="B838" s="242"/>
      <c r="C838" s="242"/>
      <c r="D838" s="242"/>
      <c r="E838" s="242"/>
      <c r="F838" s="242"/>
      <c r="G838" s="242"/>
      <c r="H838" s="242"/>
      <c r="I838" s="242"/>
      <c r="J838" s="242"/>
      <c r="K838" s="242"/>
      <c r="L838" s="242"/>
      <c r="M838" s="242"/>
      <c r="N838" s="242"/>
      <c r="O838" s="242"/>
      <c r="P838" s="242"/>
      <c r="Q838" s="242"/>
      <c r="R838" s="242"/>
      <c r="S838" s="242"/>
      <c r="T838" s="242"/>
      <c r="U838" s="242"/>
      <c r="V838" s="242"/>
      <c r="W838" s="242"/>
      <c r="X838" s="242"/>
      <c r="Y838" s="242"/>
      <c r="Z838" s="242"/>
      <c r="AA838" s="242"/>
      <c r="AB838" s="242"/>
      <c r="AC838" s="242"/>
      <c r="AD838" s="242"/>
      <c r="AE838" s="242"/>
      <c r="AF838" s="242"/>
      <c r="AG838" s="242"/>
      <c r="AH838" s="242"/>
    </row>
    <row r="839">
      <c r="A839" s="242"/>
      <c r="B839" s="242"/>
      <c r="C839" s="242"/>
      <c r="D839" s="242"/>
      <c r="E839" s="242"/>
      <c r="F839" s="242"/>
      <c r="G839" s="242"/>
      <c r="H839" s="242"/>
      <c r="I839" s="242"/>
      <c r="J839" s="242"/>
      <c r="K839" s="242"/>
      <c r="L839" s="242"/>
      <c r="M839" s="242"/>
      <c r="N839" s="242"/>
      <c r="O839" s="242"/>
      <c r="P839" s="242"/>
      <c r="Q839" s="242"/>
      <c r="R839" s="242"/>
      <c r="S839" s="242"/>
      <c r="T839" s="242"/>
      <c r="U839" s="242"/>
      <c r="V839" s="242"/>
      <c r="W839" s="242"/>
      <c r="X839" s="242"/>
      <c r="Y839" s="242"/>
      <c r="Z839" s="242"/>
      <c r="AA839" s="242"/>
      <c r="AB839" s="242"/>
      <c r="AC839" s="242"/>
      <c r="AD839" s="242"/>
      <c r="AE839" s="242"/>
      <c r="AF839" s="242"/>
      <c r="AG839" s="242"/>
      <c r="AH839" s="242"/>
    </row>
    <row r="840">
      <c r="A840" s="242"/>
      <c r="B840" s="242"/>
      <c r="C840" s="242"/>
      <c r="D840" s="242"/>
      <c r="E840" s="242"/>
      <c r="F840" s="242"/>
      <c r="G840" s="242"/>
      <c r="H840" s="242"/>
      <c r="I840" s="242"/>
      <c r="J840" s="242"/>
      <c r="K840" s="242"/>
      <c r="L840" s="242"/>
      <c r="M840" s="242"/>
      <c r="N840" s="242"/>
      <c r="O840" s="242"/>
      <c r="P840" s="242"/>
      <c r="Q840" s="242"/>
      <c r="R840" s="242"/>
      <c r="S840" s="242"/>
      <c r="T840" s="242"/>
      <c r="U840" s="242"/>
      <c r="V840" s="242"/>
      <c r="W840" s="242"/>
      <c r="X840" s="242"/>
      <c r="Y840" s="242"/>
      <c r="Z840" s="242"/>
      <c r="AA840" s="242"/>
      <c r="AB840" s="242"/>
      <c r="AC840" s="242"/>
      <c r="AD840" s="242"/>
      <c r="AE840" s="242"/>
      <c r="AF840" s="242"/>
      <c r="AG840" s="242"/>
      <c r="AH840" s="242"/>
    </row>
    <row r="841">
      <c r="A841" s="242"/>
      <c r="B841" s="242"/>
      <c r="C841" s="242"/>
      <c r="D841" s="242"/>
      <c r="E841" s="242"/>
      <c r="F841" s="242"/>
      <c r="G841" s="242"/>
      <c r="H841" s="242"/>
      <c r="I841" s="242"/>
      <c r="J841" s="242"/>
      <c r="K841" s="242"/>
      <c r="L841" s="242"/>
      <c r="M841" s="242"/>
      <c r="N841" s="242"/>
      <c r="O841" s="242"/>
      <c r="P841" s="242"/>
      <c r="Q841" s="242"/>
      <c r="R841" s="242"/>
      <c r="S841" s="242"/>
      <c r="T841" s="242"/>
      <c r="U841" s="242"/>
      <c r="V841" s="242"/>
      <c r="W841" s="242"/>
      <c r="X841" s="242"/>
      <c r="Y841" s="242"/>
      <c r="Z841" s="242"/>
      <c r="AA841" s="242"/>
      <c r="AB841" s="242"/>
      <c r="AC841" s="242"/>
      <c r="AD841" s="242"/>
      <c r="AE841" s="242"/>
      <c r="AF841" s="242"/>
      <c r="AG841" s="242"/>
      <c r="AH841" s="242"/>
    </row>
    <row r="842">
      <c r="A842" s="242"/>
      <c r="B842" s="242"/>
      <c r="C842" s="242"/>
      <c r="D842" s="242"/>
      <c r="E842" s="242"/>
      <c r="F842" s="242"/>
      <c r="G842" s="242"/>
      <c r="H842" s="242"/>
      <c r="I842" s="242"/>
      <c r="J842" s="242"/>
      <c r="K842" s="242"/>
      <c r="L842" s="242"/>
      <c r="M842" s="242"/>
      <c r="N842" s="242"/>
      <c r="O842" s="242"/>
      <c r="P842" s="242"/>
      <c r="Q842" s="242"/>
      <c r="R842" s="242"/>
      <c r="S842" s="242"/>
      <c r="T842" s="242"/>
      <c r="U842" s="242"/>
      <c r="V842" s="242"/>
      <c r="W842" s="242"/>
      <c r="X842" s="242"/>
      <c r="Y842" s="242"/>
      <c r="Z842" s="242"/>
      <c r="AA842" s="242"/>
      <c r="AB842" s="242"/>
      <c r="AC842" s="242"/>
      <c r="AD842" s="242"/>
      <c r="AE842" s="242"/>
      <c r="AF842" s="242"/>
      <c r="AG842" s="242"/>
      <c r="AH842" s="242"/>
    </row>
    <row r="843">
      <c r="A843" s="242"/>
      <c r="B843" s="242"/>
      <c r="C843" s="242"/>
      <c r="D843" s="242"/>
      <c r="E843" s="242"/>
      <c r="F843" s="242"/>
      <c r="G843" s="242"/>
      <c r="H843" s="242"/>
      <c r="I843" s="242"/>
      <c r="J843" s="242"/>
      <c r="K843" s="242"/>
      <c r="L843" s="242"/>
      <c r="M843" s="242"/>
      <c r="N843" s="242"/>
      <c r="O843" s="242"/>
      <c r="P843" s="242"/>
      <c r="Q843" s="242"/>
      <c r="R843" s="242"/>
      <c r="S843" s="242"/>
      <c r="T843" s="242"/>
      <c r="U843" s="242"/>
      <c r="V843" s="242"/>
      <c r="W843" s="242"/>
      <c r="X843" s="242"/>
      <c r="Y843" s="242"/>
      <c r="Z843" s="242"/>
      <c r="AA843" s="242"/>
      <c r="AB843" s="242"/>
      <c r="AC843" s="242"/>
      <c r="AD843" s="242"/>
      <c r="AE843" s="242"/>
      <c r="AF843" s="242"/>
      <c r="AG843" s="242"/>
      <c r="AH843" s="242"/>
    </row>
    <row r="844">
      <c r="A844" s="242"/>
      <c r="B844" s="242"/>
      <c r="C844" s="242"/>
      <c r="D844" s="242"/>
      <c r="E844" s="242"/>
      <c r="F844" s="242"/>
      <c r="G844" s="242"/>
      <c r="H844" s="242"/>
      <c r="I844" s="242"/>
      <c r="J844" s="242"/>
      <c r="K844" s="242"/>
      <c r="L844" s="242"/>
      <c r="M844" s="242"/>
      <c r="N844" s="242"/>
      <c r="O844" s="242"/>
      <c r="P844" s="242"/>
      <c r="Q844" s="242"/>
      <c r="R844" s="242"/>
      <c r="S844" s="242"/>
      <c r="T844" s="242"/>
      <c r="U844" s="242"/>
      <c r="V844" s="242"/>
      <c r="W844" s="242"/>
      <c r="X844" s="242"/>
      <c r="Y844" s="242"/>
      <c r="Z844" s="242"/>
      <c r="AA844" s="242"/>
      <c r="AB844" s="242"/>
      <c r="AC844" s="242"/>
      <c r="AD844" s="242"/>
      <c r="AE844" s="242"/>
      <c r="AF844" s="242"/>
      <c r="AG844" s="242"/>
      <c r="AH844" s="242"/>
    </row>
    <row r="845">
      <c r="A845" s="242"/>
      <c r="B845" s="242"/>
      <c r="C845" s="242"/>
      <c r="D845" s="242"/>
      <c r="E845" s="242"/>
      <c r="F845" s="242"/>
      <c r="G845" s="242"/>
      <c r="H845" s="242"/>
      <c r="I845" s="242"/>
      <c r="J845" s="242"/>
      <c r="K845" s="242"/>
      <c r="L845" s="242"/>
      <c r="M845" s="242"/>
      <c r="N845" s="242"/>
      <c r="O845" s="242"/>
      <c r="P845" s="242"/>
      <c r="Q845" s="242"/>
      <c r="R845" s="242"/>
      <c r="S845" s="242"/>
      <c r="T845" s="242"/>
      <c r="U845" s="242"/>
      <c r="V845" s="242"/>
      <c r="W845" s="242"/>
      <c r="X845" s="242"/>
      <c r="Y845" s="242"/>
      <c r="Z845" s="242"/>
      <c r="AA845" s="242"/>
      <c r="AB845" s="242"/>
      <c r="AC845" s="242"/>
      <c r="AD845" s="242"/>
      <c r="AE845" s="242"/>
      <c r="AF845" s="242"/>
      <c r="AG845" s="242"/>
      <c r="AH845" s="242"/>
    </row>
    <row r="846">
      <c r="A846" s="242"/>
      <c r="B846" s="242"/>
      <c r="C846" s="242"/>
      <c r="D846" s="242"/>
      <c r="E846" s="242"/>
      <c r="F846" s="242"/>
      <c r="G846" s="242"/>
      <c r="H846" s="242"/>
      <c r="I846" s="242"/>
      <c r="J846" s="242"/>
      <c r="K846" s="242"/>
      <c r="L846" s="242"/>
      <c r="M846" s="242"/>
      <c r="N846" s="242"/>
      <c r="O846" s="242"/>
      <c r="P846" s="242"/>
      <c r="Q846" s="242"/>
      <c r="R846" s="242"/>
      <c r="S846" s="242"/>
      <c r="T846" s="242"/>
      <c r="U846" s="242"/>
      <c r="V846" s="242"/>
      <c r="W846" s="242"/>
      <c r="X846" s="242"/>
      <c r="Y846" s="242"/>
      <c r="Z846" s="242"/>
      <c r="AA846" s="242"/>
      <c r="AB846" s="242"/>
      <c r="AC846" s="242"/>
      <c r="AD846" s="242"/>
      <c r="AE846" s="242"/>
      <c r="AF846" s="242"/>
      <c r="AG846" s="242"/>
      <c r="AH846" s="242"/>
    </row>
    <row r="847">
      <c r="A847" s="242"/>
      <c r="B847" s="242"/>
      <c r="C847" s="242"/>
      <c r="D847" s="242"/>
      <c r="E847" s="242"/>
      <c r="F847" s="242"/>
      <c r="G847" s="242"/>
      <c r="H847" s="242"/>
      <c r="I847" s="242"/>
      <c r="J847" s="242"/>
      <c r="K847" s="242"/>
      <c r="L847" s="242"/>
      <c r="M847" s="242"/>
      <c r="N847" s="242"/>
      <c r="O847" s="242"/>
      <c r="P847" s="242"/>
      <c r="Q847" s="242"/>
      <c r="R847" s="242"/>
      <c r="S847" s="242"/>
      <c r="T847" s="242"/>
      <c r="U847" s="242"/>
      <c r="V847" s="242"/>
      <c r="W847" s="242"/>
      <c r="X847" s="242"/>
      <c r="Y847" s="242"/>
      <c r="Z847" s="242"/>
      <c r="AA847" s="242"/>
      <c r="AB847" s="242"/>
      <c r="AC847" s="242"/>
      <c r="AD847" s="242"/>
      <c r="AE847" s="242"/>
      <c r="AF847" s="242"/>
      <c r="AG847" s="242"/>
      <c r="AH847" s="242"/>
    </row>
    <row r="848">
      <c r="A848" s="242"/>
      <c r="B848" s="242"/>
      <c r="C848" s="242"/>
      <c r="D848" s="242"/>
      <c r="E848" s="242"/>
      <c r="F848" s="242"/>
      <c r="G848" s="242"/>
      <c r="H848" s="242"/>
      <c r="I848" s="242"/>
      <c r="J848" s="242"/>
      <c r="K848" s="242"/>
      <c r="L848" s="242"/>
      <c r="M848" s="242"/>
      <c r="N848" s="242"/>
      <c r="O848" s="242"/>
      <c r="P848" s="242"/>
      <c r="Q848" s="242"/>
      <c r="R848" s="242"/>
      <c r="S848" s="242"/>
      <c r="T848" s="242"/>
      <c r="U848" s="242"/>
      <c r="V848" s="242"/>
      <c r="W848" s="242"/>
      <c r="X848" s="242"/>
      <c r="Y848" s="242"/>
      <c r="Z848" s="242"/>
      <c r="AA848" s="242"/>
      <c r="AB848" s="242"/>
      <c r="AC848" s="242"/>
      <c r="AD848" s="242"/>
      <c r="AE848" s="242"/>
      <c r="AF848" s="242"/>
      <c r="AG848" s="242"/>
      <c r="AH848" s="242"/>
    </row>
    <row r="849">
      <c r="A849" s="242"/>
      <c r="B849" s="242"/>
      <c r="C849" s="242"/>
      <c r="D849" s="242"/>
      <c r="E849" s="242"/>
      <c r="F849" s="242"/>
      <c r="G849" s="242"/>
      <c r="H849" s="242"/>
      <c r="I849" s="242"/>
      <c r="J849" s="242"/>
      <c r="K849" s="242"/>
      <c r="L849" s="242"/>
      <c r="M849" s="242"/>
      <c r="N849" s="242"/>
      <c r="O849" s="242"/>
      <c r="P849" s="242"/>
      <c r="Q849" s="242"/>
      <c r="R849" s="242"/>
      <c r="S849" s="242"/>
      <c r="T849" s="242"/>
      <c r="U849" s="242"/>
      <c r="V849" s="242"/>
      <c r="W849" s="242"/>
      <c r="X849" s="242"/>
      <c r="Y849" s="242"/>
      <c r="Z849" s="242"/>
      <c r="AA849" s="242"/>
      <c r="AB849" s="242"/>
      <c r="AC849" s="242"/>
      <c r="AD849" s="242"/>
      <c r="AE849" s="242"/>
      <c r="AF849" s="242"/>
      <c r="AG849" s="242"/>
      <c r="AH849" s="242"/>
    </row>
    <row r="850">
      <c r="A850" s="242"/>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c r="AA850" s="242"/>
      <c r="AB850" s="242"/>
      <c r="AC850" s="242"/>
      <c r="AD850" s="242"/>
      <c r="AE850" s="242"/>
      <c r="AF850" s="242"/>
      <c r="AG850" s="242"/>
      <c r="AH850" s="242"/>
    </row>
    <row r="851">
      <c r="A851" s="242"/>
      <c r="B851" s="242"/>
      <c r="C851" s="242"/>
      <c r="D851" s="242"/>
      <c r="E851" s="242"/>
      <c r="F851" s="242"/>
      <c r="G851" s="242"/>
      <c r="H851" s="242"/>
      <c r="I851" s="242"/>
      <c r="J851" s="242"/>
      <c r="K851" s="242"/>
      <c r="L851" s="242"/>
      <c r="M851" s="242"/>
      <c r="N851" s="242"/>
      <c r="O851" s="242"/>
      <c r="P851" s="242"/>
      <c r="Q851" s="242"/>
      <c r="R851" s="242"/>
      <c r="S851" s="242"/>
      <c r="T851" s="242"/>
      <c r="U851" s="242"/>
      <c r="V851" s="242"/>
      <c r="W851" s="242"/>
      <c r="X851" s="242"/>
      <c r="Y851" s="242"/>
      <c r="Z851" s="242"/>
      <c r="AA851" s="242"/>
      <c r="AB851" s="242"/>
      <c r="AC851" s="242"/>
      <c r="AD851" s="242"/>
      <c r="AE851" s="242"/>
      <c r="AF851" s="242"/>
      <c r="AG851" s="242"/>
      <c r="AH851" s="242"/>
    </row>
    <row r="852">
      <c r="A852" s="242"/>
      <c r="B852" s="242"/>
      <c r="C852" s="242"/>
      <c r="D852" s="242"/>
      <c r="E852" s="242"/>
      <c r="F852" s="242"/>
      <c r="G852" s="242"/>
      <c r="H852" s="242"/>
      <c r="I852" s="242"/>
      <c r="J852" s="242"/>
      <c r="K852" s="242"/>
      <c r="L852" s="242"/>
      <c r="M852" s="242"/>
      <c r="N852" s="242"/>
      <c r="O852" s="242"/>
      <c r="P852" s="242"/>
      <c r="Q852" s="242"/>
      <c r="R852" s="242"/>
      <c r="S852" s="242"/>
      <c r="T852" s="242"/>
      <c r="U852" s="242"/>
      <c r="V852" s="242"/>
      <c r="W852" s="242"/>
      <c r="X852" s="242"/>
      <c r="Y852" s="242"/>
      <c r="Z852" s="242"/>
      <c r="AA852" s="242"/>
      <c r="AB852" s="242"/>
      <c r="AC852" s="242"/>
      <c r="AD852" s="242"/>
      <c r="AE852" s="242"/>
      <c r="AF852" s="242"/>
      <c r="AG852" s="242"/>
      <c r="AH852" s="242"/>
    </row>
    <row r="853">
      <c r="A853" s="242"/>
      <c r="B853" s="242"/>
      <c r="C853" s="242"/>
      <c r="D853" s="242"/>
      <c r="E853" s="242"/>
      <c r="F853" s="242"/>
      <c r="G853" s="242"/>
      <c r="H853" s="242"/>
      <c r="I853" s="242"/>
      <c r="J853" s="242"/>
      <c r="K853" s="242"/>
      <c r="L853" s="242"/>
      <c r="M853" s="242"/>
      <c r="N853" s="242"/>
      <c r="O853" s="242"/>
      <c r="P853" s="242"/>
      <c r="Q853" s="242"/>
      <c r="R853" s="242"/>
      <c r="S853" s="242"/>
      <c r="T853" s="242"/>
      <c r="U853" s="242"/>
      <c r="V853" s="242"/>
      <c r="W853" s="242"/>
      <c r="X853" s="242"/>
      <c r="Y853" s="242"/>
      <c r="Z853" s="242"/>
      <c r="AA853" s="242"/>
      <c r="AB853" s="242"/>
      <c r="AC853" s="242"/>
      <c r="AD853" s="242"/>
      <c r="AE853" s="242"/>
      <c r="AF853" s="242"/>
      <c r="AG853" s="242"/>
      <c r="AH853" s="242"/>
    </row>
    <row r="854">
      <c r="A854" s="242"/>
      <c r="B854" s="242"/>
      <c r="C854" s="242"/>
      <c r="D854" s="242"/>
      <c r="E854" s="242"/>
      <c r="F854" s="242"/>
      <c r="G854" s="242"/>
      <c r="H854" s="242"/>
      <c r="I854" s="242"/>
      <c r="J854" s="242"/>
      <c r="K854" s="242"/>
      <c r="L854" s="242"/>
      <c r="M854" s="242"/>
      <c r="N854" s="242"/>
      <c r="O854" s="242"/>
      <c r="P854" s="242"/>
      <c r="Q854" s="242"/>
      <c r="R854" s="242"/>
      <c r="S854" s="242"/>
      <c r="T854" s="242"/>
      <c r="U854" s="242"/>
      <c r="V854" s="242"/>
      <c r="W854" s="242"/>
      <c r="X854" s="242"/>
      <c r="Y854" s="242"/>
      <c r="Z854" s="242"/>
      <c r="AA854" s="242"/>
      <c r="AB854" s="242"/>
      <c r="AC854" s="242"/>
      <c r="AD854" s="242"/>
      <c r="AE854" s="242"/>
      <c r="AF854" s="242"/>
      <c r="AG854" s="242"/>
      <c r="AH854" s="242"/>
    </row>
    <row r="855">
      <c r="A855" s="242"/>
      <c r="B855" s="242"/>
      <c r="C855" s="242"/>
      <c r="D855" s="242"/>
      <c r="E855" s="242"/>
      <c r="F855" s="242"/>
      <c r="G855" s="242"/>
      <c r="H855" s="242"/>
      <c r="I855" s="242"/>
      <c r="J855" s="242"/>
      <c r="K855" s="242"/>
      <c r="L855" s="242"/>
      <c r="M855" s="242"/>
      <c r="N855" s="242"/>
      <c r="O855" s="242"/>
      <c r="P855" s="242"/>
      <c r="Q855" s="242"/>
      <c r="R855" s="242"/>
      <c r="S855" s="242"/>
      <c r="T855" s="242"/>
      <c r="U855" s="242"/>
      <c r="V855" s="242"/>
      <c r="W855" s="242"/>
      <c r="X855" s="242"/>
      <c r="Y855" s="242"/>
      <c r="Z855" s="242"/>
      <c r="AA855" s="242"/>
      <c r="AB855" s="242"/>
      <c r="AC855" s="242"/>
      <c r="AD855" s="242"/>
      <c r="AE855" s="242"/>
      <c r="AF855" s="242"/>
      <c r="AG855" s="242"/>
      <c r="AH855" s="242"/>
    </row>
    <row r="856">
      <c r="A856" s="242"/>
      <c r="B856" s="242"/>
      <c r="C856" s="242"/>
      <c r="D856" s="242"/>
      <c r="E856" s="242"/>
      <c r="F856" s="242"/>
      <c r="G856" s="242"/>
      <c r="H856" s="242"/>
      <c r="I856" s="242"/>
      <c r="J856" s="242"/>
      <c r="K856" s="242"/>
      <c r="L856" s="242"/>
      <c r="M856" s="242"/>
      <c r="N856" s="242"/>
      <c r="O856" s="242"/>
      <c r="P856" s="242"/>
      <c r="Q856" s="242"/>
      <c r="R856" s="242"/>
      <c r="S856" s="242"/>
      <c r="T856" s="242"/>
      <c r="U856" s="242"/>
      <c r="V856" s="242"/>
      <c r="W856" s="242"/>
      <c r="X856" s="242"/>
      <c r="Y856" s="242"/>
      <c r="Z856" s="242"/>
      <c r="AA856" s="242"/>
      <c r="AB856" s="242"/>
      <c r="AC856" s="242"/>
      <c r="AD856" s="242"/>
      <c r="AE856" s="242"/>
      <c r="AF856" s="242"/>
      <c r="AG856" s="242"/>
      <c r="AH856" s="242"/>
    </row>
    <row r="857">
      <c r="A857" s="242"/>
      <c r="B857" s="242"/>
      <c r="C857" s="242"/>
      <c r="D857" s="242"/>
      <c r="E857" s="242"/>
      <c r="F857" s="242"/>
      <c r="G857" s="242"/>
      <c r="H857" s="242"/>
      <c r="I857" s="242"/>
      <c r="J857" s="242"/>
      <c r="K857" s="242"/>
      <c r="L857" s="242"/>
      <c r="M857" s="242"/>
      <c r="N857" s="242"/>
      <c r="O857" s="242"/>
      <c r="P857" s="242"/>
      <c r="Q857" s="242"/>
      <c r="R857" s="242"/>
      <c r="S857" s="242"/>
      <c r="T857" s="242"/>
      <c r="U857" s="242"/>
      <c r="V857" s="242"/>
      <c r="W857" s="242"/>
      <c r="X857" s="242"/>
      <c r="Y857" s="242"/>
      <c r="Z857" s="242"/>
      <c r="AA857" s="242"/>
      <c r="AB857" s="242"/>
      <c r="AC857" s="242"/>
      <c r="AD857" s="242"/>
      <c r="AE857" s="242"/>
      <c r="AF857" s="242"/>
      <c r="AG857" s="242"/>
      <c r="AH857" s="242"/>
    </row>
    <row r="858">
      <c r="A858" s="242"/>
      <c r="B858" s="242"/>
      <c r="C858" s="242"/>
      <c r="D858" s="242"/>
      <c r="E858" s="242"/>
      <c r="F858" s="242"/>
      <c r="G858" s="242"/>
      <c r="H858" s="242"/>
      <c r="I858" s="242"/>
      <c r="J858" s="242"/>
      <c r="K858" s="242"/>
      <c r="L858" s="242"/>
      <c r="M858" s="242"/>
      <c r="N858" s="242"/>
      <c r="O858" s="242"/>
      <c r="P858" s="242"/>
      <c r="Q858" s="242"/>
      <c r="R858" s="242"/>
      <c r="S858" s="242"/>
      <c r="T858" s="242"/>
      <c r="U858" s="242"/>
      <c r="V858" s="242"/>
      <c r="W858" s="242"/>
      <c r="X858" s="242"/>
      <c r="Y858" s="242"/>
      <c r="Z858" s="242"/>
      <c r="AA858" s="242"/>
      <c r="AB858" s="242"/>
      <c r="AC858" s="242"/>
      <c r="AD858" s="242"/>
      <c r="AE858" s="242"/>
      <c r="AF858" s="242"/>
      <c r="AG858" s="242"/>
      <c r="AH858" s="242"/>
    </row>
    <row r="859">
      <c r="A859" s="242"/>
      <c r="B859" s="242"/>
      <c r="C859" s="242"/>
      <c r="D859" s="242"/>
      <c r="E859" s="242"/>
      <c r="F859" s="242"/>
      <c r="G859" s="242"/>
      <c r="H859" s="242"/>
      <c r="I859" s="242"/>
      <c r="J859" s="242"/>
      <c r="K859" s="242"/>
      <c r="L859" s="242"/>
      <c r="M859" s="242"/>
      <c r="N859" s="242"/>
      <c r="O859" s="242"/>
      <c r="P859" s="242"/>
      <c r="Q859" s="242"/>
      <c r="R859" s="242"/>
      <c r="S859" s="242"/>
      <c r="T859" s="242"/>
      <c r="U859" s="242"/>
      <c r="V859" s="242"/>
      <c r="W859" s="242"/>
      <c r="X859" s="242"/>
      <c r="Y859" s="242"/>
      <c r="Z859" s="242"/>
      <c r="AA859" s="242"/>
      <c r="AB859" s="242"/>
      <c r="AC859" s="242"/>
      <c r="AD859" s="242"/>
      <c r="AE859" s="242"/>
      <c r="AF859" s="242"/>
      <c r="AG859" s="242"/>
      <c r="AH859" s="242"/>
    </row>
    <row r="860">
      <c r="A860" s="242"/>
      <c r="B860" s="242"/>
      <c r="C860" s="242"/>
      <c r="D860" s="242"/>
      <c r="E860" s="242"/>
      <c r="F860" s="242"/>
      <c r="G860" s="242"/>
      <c r="H860" s="242"/>
      <c r="I860" s="242"/>
      <c r="J860" s="242"/>
      <c r="K860" s="242"/>
      <c r="L860" s="242"/>
      <c r="M860" s="242"/>
      <c r="N860" s="242"/>
      <c r="O860" s="242"/>
      <c r="P860" s="242"/>
      <c r="Q860" s="242"/>
      <c r="R860" s="242"/>
      <c r="S860" s="242"/>
      <c r="T860" s="242"/>
      <c r="U860" s="242"/>
      <c r="V860" s="242"/>
      <c r="W860" s="242"/>
      <c r="X860" s="242"/>
      <c r="Y860" s="242"/>
      <c r="Z860" s="242"/>
      <c r="AA860" s="242"/>
      <c r="AB860" s="242"/>
      <c r="AC860" s="242"/>
      <c r="AD860" s="242"/>
      <c r="AE860" s="242"/>
      <c r="AF860" s="242"/>
      <c r="AG860" s="242"/>
      <c r="AH860" s="242"/>
    </row>
    <row r="861">
      <c r="A861" s="242"/>
      <c r="B861" s="242"/>
      <c r="C861" s="242"/>
      <c r="D861" s="242"/>
      <c r="E861" s="242"/>
      <c r="F861" s="242"/>
      <c r="G861" s="242"/>
      <c r="H861" s="242"/>
      <c r="I861" s="242"/>
      <c r="J861" s="242"/>
      <c r="K861" s="242"/>
      <c r="L861" s="242"/>
      <c r="M861" s="242"/>
      <c r="N861" s="242"/>
      <c r="O861" s="242"/>
      <c r="P861" s="242"/>
      <c r="Q861" s="242"/>
      <c r="R861" s="242"/>
      <c r="S861" s="242"/>
      <c r="T861" s="242"/>
      <c r="U861" s="242"/>
      <c r="V861" s="242"/>
      <c r="W861" s="242"/>
      <c r="X861" s="242"/>
      <c r="Y861" s="242"/>
      <c r="Z861" s="242"/>
      <c r="AA861" s="242"/>
      <c r="AB861" s="242"/>
      <c r="AC861" s="242"/>
      <c r="AD861" s="242"/>
      <c r="AE861" s="242"/>
      <c r="AF861" s="242"/>
      <c r="AG861" s="242"/>
      <c r="AH861" s="242"/>
    </row>
    <row r="862">
      <c r="A862" s="242"/>
      <c r="B862" s="242"/>
      <c r="C862" s="242"/>
      <c r="D862" s="242"/>
      <c r="E862" s="242"/>
      <c r="F862" s="242"/>
      <c r="G862" s="242"/>
      <c r="H862" s="242"/>
      <c r="I862" s="242"/>
      <c r="J862" s="242"/>
      <c r="K862" s="242"/>
      <c r="L862" s="242"/>
      <c r="M862" s="242"/>
      <c r="N862" s="242"/>
      <c r="O862" s="242"/>
      <c r="P862" s="242"/>
      <c r="Q862" s="242"/>
      <c r="R862" s="242"/>
      <c r="S862" s="242"/>
      <c r="T862" s="242"/>
      <c r="U862" s="242"/>
      <c r="V862" s="242"/>
      <c r="W862" s="242"/>
      <c r="X862" s="242"/>
      <c r="Y862" s="242"/>
      <c r="Z862" s="242"/>
      <c r="AA862" s="242"/>
      <c r="AB862" s="242"/>
      <c r="AC862" s="242"/>
      <c r="AD862" s="242"/>
      <c r="AE862" s="242"/>
      <c r="AF862" s="242"/>
      <c r="AG862" s="242"/>
      <c r="AH862" s="242"/>
    </row>
    <row r="863">
      <c r="A863" s="242"/>
      <c r="B863" s="242"/>
      <c r="C863" s="242"/>
      <c r="D863" s="242"/>
      <c r="E863" s="242"/>
      <c r="F863" s="242"/>
      <c r="G863" s="242"/>
      <c r="H863" s="242"/>
      <c r="I863" s="242"/>
      <c r="J863" s="242"/>
      <c r="K863" s="242"/>
      <c r="L863" s="242"/>
      <c r="M863" s="242"/>
      <c r="N863" s="242"/>
      <c r="O863" s="242"/>
      <c r="P863" s="242"/>
      <c r="Q863" s="242"/>
      <c r="R863" s="242"/>
      <c r="S863" s="242"/>
      <c r="T863" s="242"/>
      <c r="U863" s="242"/>
      <c r="V863" s="242"/>
      <c r="W863" s="242"/>
      <c r="X863" s="242"/>
      <c r="Y863" s="242"/>
      <c r="Z863" s="242"/>
      <c r="AA863" s="242"/>
      <c r="AB863" s="242"/>
      <c r="AC863" s="242"/>
      <c r="AD863" s="242"/>
      <c r="AE863" s="242"/>
      <c r="AF863" s="242"/>
      <c r="AG863" s="242"/>
      <c r="AH863" s="242"/>
    </row>
    <row r="864">
      <c r="A864" s="242"/>
      <c r="B864" s="242"/>
      <c r="C864" s="242"/>
      <c r="D864" s="242"/>
      <c r="E864" s="242"/>
      <c r="F864" s="242"/>
      <c r="G864" s="242"/>
      <c r="H864" s="242"/>
      <c r="I864" s="242"/>
      <c r="J864" s="242"/>
      <c r="K864" s="242"/>
      <c r="L864" s="242"/>
      <c r="M864" s="242"/>
      <c r="N864" s="242"/>
      <c r="O864" s="242"/>
      <c r="P864" s="242"/>
      <c r="Q864" s="242"/>
      <c r="R864" s="242"/>
      <c r="S864" s="242"/>
      <c r="T864" s="242"/>
      <c r="U864" s="242"/>
      <c r="V864" s="242"/>
      <c r="W864" s="242"/>
      <c r="X864" s="242"/>
      <c r="Y864" s="242"/>
      <c r="Z864" s="242"/>
      <c r="AA864" s="242"/>
      <c r="AB864" s="242"/>
      <c r="AC864" s="242"/>
      <c r="AD864" s="242"/>
      <c r="AE864" s="242"/>
      <c r="AF864" s="242"/>
      <c r="AG864" s="242"/>
      <c r="AH864" s="242"/>
    </row>
    <row r="865">
      <c r="A865" s="242"/>
      <c r="B865" s="242"/>
      <c r="C865" s="242"/>
      <c r="D865" s="242"/>
      <c r="E865" s="242"/>
      <c r="F865" s="242"/>
      <c r="G865" s="242"/>
      <c r="H865" s="242"/>
      <c r="I865" s="242"/>
      <c r="J865" s="242"/>
      <c r="K865" s="242"/>
      <c r="L865" s="242"/>
      <c r="M865" s="242"/>
      <c r="N865" s="242"/>
      <c r="O865" s="242"/>
      <c r="P865" s="242"/>
      <c r="Q865" s="242"/>
      <c r="R865" s="242"/>
      <c r="S865" s="242"/>
      <c r="T865" s="242"/>
      <c r="U865" s="242"/>
      <c r="V865" s="242"/>
      <c r="W865" s="242"/>
      <c r="X865" s="242"/>
      <c r="Y865" s="242"/>
      <c r="Z865" s="242"/>
      <c r="AA865" s="242"/>
      <c r="AB865" s="242"/>
      <c r="AC865" s="242"/>
      <c r="AD865" s="242"/>
      <c r="AE865" s="242"/>
      <c r="AF865" s="242"/>
      <c r="AG865" s="242"/>
      <c r="AH865" s="242"/>
    </row>
    <row r="866">
      <c r="A866" s="242"/>
      <c r="B866" s="242"/>
      <c r="C866" s="242"/>
      <c r="D866" s="242"/>
      <c r="E866" s="242"/>
      <c r="F866" s="242"/>
      <c r="G866" s="242"/>
      <c r="H866" s="242"/>
      <c r="I866" s="242"/>
      <c r="J866" s="242"/>
      <c r="K866" s="242"/>
      <c r="L866" s="242"/>
      <c r="M866" s="242"/>
      <c r="N866" s="242"/>
      <c r="O866" s="242"/>
      <c r="P866" s="242"/>
      <c r="Q866" s="242"/>
      <c r="R866" s="242"/>
      <c r="S866" s="242"/>
      <c r="T866" s="242"/>
      <c r="U866" s="242"/>
      <c r="V866" s="242"/>
      <c r="W866" s="242"/>
      <c r="X866" s="242"/>
      <c r="Y866" s="242"/>
      <c r="Z866" s="242"/>
      <c r="AA866" s="242"/>
      <c r="AB866" s="242"/>
      <c r="AC866" s="242"/>
      <c r="AD866" s="242"/>
      <c r="AE866" s="242"/>
      <c r="AF866" s="242"/>
      <c r="AG866" s="242"/>
      <c r="AH866" s="242"/>
    </row>
    <row r="867">
      <c r="A867" s="242"/>
      <c r="B867" s="242"/>
      <c r="C867" s="242"/>
      <c r="D867" s="242"/>
      <c r="E867" s="242"/>
      <c r="F867" s="242"/>
      <c r="G867" s="242"/>
      <c r="H867" s="242"/>
      <c r="I867" s="242"/>
      <c r="J867" s="242"/>
      <c r="K867" s="242"/>
      <c r="L867" s="242"/>
      <c r="M867" s="242"/>
      <c r="N867" s="242"/>
      <c r="O867" s="242"/>
      <c r="P867" s="242"/>
      <c r="Q867" s="242"/>
      <c r="R867" s="242"/>
      <c r="S867" s="242"/>
      <c r="T867" s="242"/>
      <c r="U867" s="242"/>
      <c r="V867" s="242"/>
      <c r="W867" s="242"/>
      <c r="X867" s="242"/>
      <c r="Y867" s="242"/>
      <c r="Z867" s="242"/>
      <c r="AA867" s="242"/>
      <c r="AB867" s="242"/>
      <c r="AC867" s="242"/>
      <c r="AD867" s="242"/>
      <c r="AE867" s="242"/>
      <c r="AF867" s="242"/>
      <c r="AG867" s="242"/>
      <c r="AH867" s="242"/>
    </row>
    <row r="868">
      <c r="A868" s="242"/>
      <c r="B868" s="242"/>
      <c r="C868" s="242"/>
      <c r="D868" s="242"/>
      <c r="E868" s="242"/>
      <c r="F868" s="242"/>
      <c r="G868" s="242"/>
      <c r="H868" s="242"/>
      <c r="I868" s="242"/>
      <c r="J868" s="242"/>
      <c r="K868" s="242"/>
      <c r="L868" s="242"/>
      <c r="M868" s="242"/>
      <c r="N868" s="242"/>
      <c r="O868" s="242"/>
      <c r="P868" s="242"/>
      <c r="Q868" s="242"/>
      <c r="R868" s="242"/>
      <c r="S868" s="242"/>
      <c r="T868" s="242"/>
      <c r="U868" s="242"/>
      <c r="V868" s="242"/>
      <c r="W868" s="242"/>
      <c r="X868" s="242"/>
      <c r="Y868" s="242"/>
      <c r="Z868" s="242"/>
      <c r="AA868" s="242"/>
      <c r="AB868" s="242"/>
      <c r="AC868" s="242"/>
      <c r="AD868" s="242"/>
      <c r="AE868" s="242"/>
      <c r="AF868" s="242"/>
      <c r="AG868" s="242"/>
      <c r="AH868" s="242"/>
    </row>
    <row r="869">
      <c r="A869" s="242"/>
      <c r="B869" s="242"/>
      <c r="C869" s="242"/>
      <c r="D869" s="242"/>
      <c r="E869" s="242"/>
      <c r="F869" s="242"/>
      <c r="G869" s="242"/>
      <c r="H869" s="242"/>
      <c r="I869" s="242"/>
      <c r="J869" s="242"/>
      <c r="K869" s="242"/>
      <c r="L869" s="242"/>
      <c r="M869" s="242"/>
      <c r="N869" s="242"/>
      <c r="O869" s="242"/>
      <c r="P869" s="242"/>
      <c r="Q869" s="242"/>
      <c r="R869" s="242"/>
      <c r="S869" s="242"/>
      <c r="T869" s="242"/>
      <c r="U869" s="242"/>
      <c r="V869" s="242"/>
      <c r="W869" s="242"/>
      <c r="X869" s="242"/>
      <c r="Y869" s="242"/>
      <c r="Z869" s="242"/>
      <c r="AA869" s="242"/>
      <c r="AB869" s="242"/>
      <c r="AC869" s="242"/>
      <c r="AD869" s="242"/>
      <c r="AE869" s="242"/>
      <c r="AF869" s="242"/>
      <c r="AG869" s="242"/>
      <c r="AH869" s="242"/>
    </row>
    <row r="870">
      <c r="A870" s="242"/>
      <c r="B870" s="242"/>
      <c r="C870" s="242"/>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c r="AA870" s="242"/>
      <c r="AB870" s="242"/>
      <c r="AC870" s="242"/>
      <c r="AD870" s="242"/>
      <c r="AE870" s="242"/>
      <c r="AF870" s="242"/>
      <c r="AG870" s="242"/>
      <c r="AH870" s="242"/>
    </row>
    <row r="871">
      <c r="A871" s="242"/>
      <c r="B871" s="242"/>
      <c r="C871" s="242"/>
      <c r="D871" s="242"/>
      <c r="E871" s="242"/>
      <c r="F871" s="242"/>
      <c r="G871" s="242"/>
      <c r="H871" s="242"/>
      <c r="I871" s="242"/>
      <c r="J871" s="242"/>
      <c r="K871" s="242"/>
      <c r="L871" s="242"/>
      <c r="M871" s="242"/>
      <c r="N871" s="242"/>
      <c r="O871" s="242"/>
      <c r="P871" s="242"/>
      <c r="Q871" s="242"/>
      <c r="R871" s="242"/>
      <c r="S871" s="242"/>
      <c r="T871" s="242"/>
      <c r="U871" s="242"/>
      <c r="V871" s="242"/>
      <c r="W871" s="242"/>
      <c r="X871" s="242"/>
      <c r="Y871" s="242"/>
      <c r="Z871" s="242"/>
      <c r="AA871" s="242"/>
      <c r="AB871" s="242"/>
      <c r="AC871" s="242"/>
      <c r="AD871" s="242"/>
      <c r="AE871" s="242"/>
      <c r="AF871" s="242"/>
      <c r="AG871" s="242"/>
      <c r="AH871" s="242"/>
    </row>
    <row r="872">
      <c r="A872" s="242"/>
      <c r="B872" s="242"/>
      <c r="C872" s="242"/>
      <c r="D872" s="242"/>
      <c r="E872" s="242"/>
      <c r="F872" s="242"/>
      <c r="G872" s="242"/>
      <c r="H872" s="242"/>
      <c r="I872" s="242"/>
      <c r="J872" s="242"/>
      <c r="K872" s="242"/>
      <c r="L872" s="242"/>
      <c r="M872" s="242"/>
      <c r="N872" s="242"/>
      <c r="O872" s="242"/>
      <c r="P872" s="242"/>
      <c r="Q872" s="242"/>
      <c r="R872" s="242"/>
      <c r="S872" s="242"/>
      <c r="T872" s="242"/>
      <c r="U872" s="242"/>
      <c r="V872" s="242"/>
      <c r="W872" s="242"/>
      <c r="X872" s="242"/>
      <c r="Y872" s="242"/>
      <c r="Z872" s="242"/>
      <c r="AA872" s="242"/>
      <c r="AB872" s="242"/>
      <c r="AC872" s="242"/>
      <c r="AD872" s="242"/>
      <c r="AE872" s="242"/>
      <c r="AF872" s="242"/>
      <c r="AG872" s="242"/>
      <c r="AH872" s="242"/>
    </row>
    <row r="873">
      <c r="A873" s="242"/>
      <c r="B873" s="242"/>
      <c r="C873" s="242"/>
      <c r="D873" s="242"/>
      <c r="E873" s="242"/>
      <c r="F873" s="242"/>
      <c r="G873" s="242"/>
      <c r="H873" s="242"/>
      <c r="I873" s="242"/>
      <c r="J873" s="242"/>
      <c r="K873" s="242"/>
      <c r="L873" s="242"/>
      <c r="M873" s="242"/>
      <c r="N873" s="242"/>
      <c r="O873" s="242"/>
      <c r="P873" s="242"/>
      <c r="Q873" s="242"/>
      <c r="R873" s="242"/>
      <c r="S873" s="242"/>
      <c r="T873" s="242"/>
      <c r="U873" s="242"/>
      <c r="V873" s="242"/>
      <c r="W873" s="242"/>
      <c r="X873" s="242"/>
      <c r="Y873" s="242"/>
      <c r="Z873" s="242"/>
      <c r="AA873" s="242"/>
      <c r="AB873" s="242"/>
      <c r="AC873" s="242"/>
      <c r="AD873" s="242"/>
      <c r="AE873" s="242"/>
      <c r="AF873" s="242"/>
      <c r="AG873" s="242"/>
      <c r="AH873" s="242"/>
    </row>
    <row r="874">
      <c r="A874" s="242"/>
      <c r="B874" s="242"/>
      <c r="C874" s="242"/>
      <c r="D874" s="242"/>
      <c r="E874" s="242"/>
      <c r="F874" s="242"/>
      <c r="G874" s="242"/>
      <c r="H874" s="242"/>
      <c r="I874" s="242"/>
      <c r="J874" s="242"/>
      <c r="K874" s="242"/>
      <c r="L874" s="242"/>
      <c r="M874" s="242"/>
      <c r="N874" s="242"/>
      <c r="O874" s="242"/>
      <c r="P874" s="242"/>
      <c r="Q874" s="242"/>
      <c r="R874" s="242"/>
      <c r="S874" s="242"/>
      <c r="T874" s="242"/>
      <c r="U874" s="242"/>
      <c r="V874" s="242"/>
      <c r="W874" s="242"/>
      <c r="X874" s="242"/>
      <c r="Y874" s="242"/>
      <c r="Z874" s="242"/>
      <c r="AA874" s="242"/>
      <c r="AB874" s="242"/>
      <c r="AC874" s="242"/>
      <c r="AD874" s="242"/>
      <c r="AE874" s="242"/>
      <c r="AF874" s="242"/>
      <c r="AG874" s="242"/>
      <c r="AH874" s="242"/>
    </row>
    <row r="875">
      <c r="A875" s="242"/>
      <c r="B875" s="242"/>
      <c r="C875" s="242"/>
      <c r="D875" s="242"/>
      <c r="E875" s="242"/>
      <c r="F875" s="242"/>
      <c r="G875" s="242"/>
      <c r="H875" s="242"/>
      <c r="I875" s="242"/>
      <c r="J875" s="242"/>
      <c r="K875" s="242"/>
      <c r="L875" s="242"/>
      <c r="M875" s="242"/>
      <c r="N875" s="242"/>
      <c r="O875" s="242"/>
      <c r="P875" s="242"/>
      <c r="Q875" s="242"/>
      <c r="R875" s="242"/>
      <c r="S875" s="242"/>
      <c r="T875" s="242"/>
      <c r="U875" s="242"/>
      <c r="V875" s="242"/>
      <c r="W875" s="242"/>
      <c r="X875" s="242"/>
      <c r="Y875" s="242"/>
      <c r="Z875" s="242"/>
      <c r="AA875" s="242"/>
      <c r="AB875" s="242"/>
      <c r="AC875" s="242"/>
      <c r="AD875" s="242"/>
      <c r="AE875" s="242"/>
      <c r="AF875" s="242"/>
      <c r="AG875" s="242"/>
      <c r="AH875" s="242"/>
    </row>
    <row r="876">
      <c r="A876" s="242"/>
      <c r="B876" s="242"/>
      <c r="C876" s="242"/>
      <c r="D876" s="242"/>
      <c r="E876" s="242"/>
      <c r="F876" s="242"/>
      <c r="G876" s="242"/>
      <c r="H876" s="242"/>
      <c r="I876" s="242"/>
      <c r="J876" s="242"/>
      <c r="K876" s="242"/>
      <c r="L876" s="242"/>
      <c r="M876" s="242"/>
      <c r="N876" s="242"/>
      <c r="O876" s="242"/>
      <c r="P876" s="242"/>
      <c r="Q876" s="242"/>
      <c r="R876" s="242"/>
      <c r="S876" s="242"/>
      <c r="T876" s="242"/>
      <c r="U876" s="242"/>
      <c r="V876" s="242"/>
      <c r="W876" s="242"/>
      <c r="X876" s="242"/>
      <c r="Y876" s="242"/>
      <c r="Z876" s="242"/>
      <c r="AA876" s="242"/>
      <c r="AB876" s="242"/>
      <c r="AC876" s="242"/>
      <c r="AD876" s="242"/>
      <c r="AE876" s="242"/>
      <c r="AF876" s="242"/>
      <c r="AG876" s="242"/>
      <c r="AH876" s="242"/>
    </row>
    <row r="877">
      <c r="A877" s="242"/>
      <c r="B877" s="242"/>
      <c r="C877" s="242"/>
      <c r="D877" s="242"/>
      <c r="E877" s="242"/>
      <c r="F877" s="242"/>
      <c r="G877" s="242"/>
      <c r="H877" s="242"/>
      <c r="I877" s="242"/>
      <c r="J877" s="242"/>
      <c r="K877" s="242"/>
      <c r="L877" s="242"/>
      <c r="M877" s="242"/>
      <c r="N877" s="242"/>
      <c r="O877" s="242"/>
      <c r="P877" s="242"/>
      <c r="Q877" s="242"/>
      <c r="R877" s="242"/>
      <c r="S877" s="242"/>
      <c r="T877" s="242"/>
      <c r="U877" s="242"/>
      <c r="V877" s="242"/>
      <c r="W877" s="242"/>
      <c r="X877" s="242"/>
      <c r="Y877" s="242"/>
      <c r="Z877" s="242"/>
      <c r="AA877" s="242"/>
      <c r="AB877" s="242"/>
      <c r="AC877" s="242"/>
      <c r="AD877" s="242"/>
      <c r="AE877" s="242"/>
      <c r="AF877" s="242"/>
      <c r="AG877" s="242"/>
      <c r="AH877" s="242"/>
    </row>
    <row r="878">
      <c r="A878" s="242"/>
      <c r="B878" s="242"/>
      <c r="C878" s="242"/>
      <c r="D878" s="242"/>
      <c r="E878" s="242"/>
      <c r="F878" s="242"/>
      <c r="G878" s="242"/>
      <c r="H878" s="242"/>
      <c r="I878" s="242"/>
      <c r="J878" s="242"/>
      <c r="K878" s="242"/>
      <c r="L878" s="242"/>
      <c r="M878" s="242"/>
      <c r="N878" s="242"/>
      <c r="O878" s="242"/>
      <c r="P878" s="242"/>
      <c r="Q878" s="242"/>
      <c r="R878" s="242"/>
      <c r="S878" s="242"/>
      <c r="T878" s="242"/>
      <c r="U878" s="242"/>
      <c r="V878" s="242"/>
      <c r="W878" s="242"/>
      <c r="X878" s="242"/>
      <c r="Y878" s="242"/>
      <c r="Z878" s="242"/>
      <c r="AA878" s="242"/>
      <c r="AB878" s="242"/>
      <c r="AC878" s="242"/>
      <c r="AD878" s="242"/>
      <c r="AE878" s="242"/>
      <c r="AF878" s="242"/>
      <c r="AG878" s="242"/>
      <c r="AH878" s="242"/>
    </row>
    <row r="879">
      <c r="A879" s="242"/>
      <c r="B879" s="242"/>
      <c r="C879" s="242"/>
      <c r="D879" s="242"/>
      <c r="E879" s="242"/>
      <c r="F879" s="242"/>
      <c r="G879" s="242"/>
      <c r="H879" s="242"/>
      <c r="I879" s="242"/>
      <c r="J879" s="242"/>
      <c r="K879" s="242"/>
      <c r="L879" s="242"/>
      <c r="M879" s="242"/>
      <c r="N879" s="242"/>
      <c r="O879" s="242"/>
      <c r="P879" s="242"/>
      <c r="Q879" s="242"/>
      <c r="R879" s="242"/>
      <c r="S879" s="242"/>
      <c r="T879" s="242"/>
      <c r="U879" s="242"/>
      <c r="V879" s="242"/>
      <c r="W879" s="242"/>
      <c r="X879" s="242"/>
      <c r="Y879" s="242"/>
      <c r="Z879" s="242"/>
      <c r="AA879" s="242"/>
      <c r="AB879" s="242"/>
      <c r="AC879" s="242"/>
      <c r="AD879" s="242"/>
      <c r="AE879" s="242"/>
      <c r="AF879" s="242"/>
      <c r="AG879" s="242"/>
      <c r="AH879" s="242"/>
    </row>
    <row r="880">
      <c r="A880" s="242"/>
      <c r="B880" s="242"/>
      <c r="C880" s="242"/>
      <c r="D880" s="242"/>
      <c r="E880" s="242"/>
      <c r="F880" s="242"/>
      <c r="G880" s="242"/>
      <c r="H880" s="242"/>
      <c r="I880" s="242"/>
      <c r="J880" s="242"/>
      <c r="K880" s="242"/>
      <c r="L880" s="242"/>
      <c r="M880" s="242"/>
      <c r="N880" s="242"/>
      <c r="O880" s="242"/>
      <c r="P880" s="242"/>
      <c r="Q880" s="242"/>
      <c r="R880" s="242"/>
      <c r="S880" s="242"/>
      <c r="T880" s="242"/>
      <c r="U880" s="242"/>
      <c r="V880" s="242"/>
      <c r="W880" s="242"/>
      <c r="X880" s="242"/>
      <c r="Y880" s="242"/>
      <c r="Z880" s="242"/>
      <c r="AA880" s="242"/>
      <c r="AB880" s="242"/>
      <c r="AC880" s="242"/>
      <c r="AD880" s="242"/>
      <c r="AE880" s="242"/>
      <c r="AF880" s="242"/>
      <c r="AG880" s="242"/>
      <c r="AH880" s="242"/>
    </row>
    <row r="881">
      <c r="A881" s="242"/>
      <c r="B881" s="242"/>
      <c r="C881" s="242"/>
      <c r="D881" s="242"/>
      <c r="E881" s="242"/>
      <c r="F881" s="242"/>
      <c r="G881" s="242"/>
      <c r="H881" s="242"/>
      <c r="I881" s="242"/>
      <c r="J881" s="242"/>
      <c r="K881" s="242"/>
      <c r="L881" s="242"/>
      <c r="M881" s="242"/>
      <c r="N881" s="242"/>
      <c r="O881" s="242"/>
      <c r="P881" s="242"/>
      <c r="Q881" s="242"/>
      <c r="R881" s="242"/>
      <c r="S881" s="242"/>
      <c r="T881" s="242"/>
      <c r="U881" s="242"/>
      <c r="V881" s="242"/>
      <c r="W881" s="242"/>
      <c r="X881" s="242"/>
      <c r="Y881" s="242"/>
      <c r="Z881" s="242"/>
      <c r="AA881" s="242"/>
      <c r="AB881" s="242"/>
      <c r="AC881" s="242"/>
      <c r="AD881" s="242"/>
      <c r="AE881" s="242"/>
      <c r="AF881" s="242"/>
      <c r="AG881" s="242"/>
      <c r="AH881" s="242"/>
    </row>
    <row r="882">
      <c r="A882" s="242"/>
      <c r="B882" s="242"/>
      <c r="C882" s="242"/>
      <c r="D882" s="242"/>
      <c r="E882" s="242"/>
      <c r="F882" s="242"/>
      <c r="G882" s="242"/>
      <c r="H882" s="242"/>
      <c r="I882" s="242"/>
      <c r="J882" s="242"/>
      <c r="K882" s="242"/>
      <c r="L882" s="242"/>
      <c r="M882" s="242"/>
      <c r="N882" s="242"/>
      <c r="O882" s="242"/>
      <c r="P882" s="242"/>
      <c r="Q882" s="242"/>
      <c r="R882" s="242"/>
      <c r="S882" s="242"/>
      <c r="T882" s="242"/>
      <c r="U882" s="242"/>
      <c r="V882" s="242"/>
      <c r="W882" s="242"/>
      <c r="X882" s="242"/>
      <c r="Y882" s="242"/>
      <c r="Z882" s="242"/>
      <c r="AA882" s="242"/>
      <c r="AB882" s="242"/>
      <c r="AC882" s="242"/>
      <c r="AD882" s="242"/>
      <c r="AE882" s="242"/>
      <c r="AF882" s="242"/>
      <c r="AG882" s="242"/>
      <c r="AH882" s="242"/>
    </row>
    <row r="883">
      <c r="A883" s="242"/>
      <c r="B883" s="242"/>
      <c r="C883" s="242"/>
      <c r="D883" s="242"/>
      <c r="E883" s="242"/>
      <c r="F883" s="242"/>
      <c r="G883" s="242"/>
      <c r="H883" s="242"/>
      <c r="I883" s="242"/>
      <c r="J883" s="242"/>
      <c r="K883" s="242"/>
      <c r="L883" s="242"/>
      <c r="M883" s="242"/>
      <c r="N883" s="242"/>
      <c r="O883" s="242"/>
      <c r="P883" s="242"/>
      <c r="Q883" s="242"/>
      <c r="R883" s="242"/>
      <c r="S883" s="242"/>
      <c r="T883" s="242"/>
      <c r="U883" s="242"/>
      <c r="V883" s="242"/>
      <c r="W883" s="242"/>
      <c r="X883" s="242"/>
      <c r="Y883" s="242"/>
      <c r="Z883" s="242"/>
      <c r="AA883" s="242"/>
      <c r="AB883" s="242"/>
      <c r="AC883" s="242"/>
      <c r="AD883" s="242"/>
      <c r="AE883" s="242"/>
      <c r="AF883" s="242"/>
      <c r="AG883" s="242"/>
      <c r="AH883" s="242"/>
    </row>
    <row r="884">
      <c r="A884" s="242"/>
      <c r="B884" s="242"/>
      <c r="C884" s="242"/>
      <c r="D884" s="242"/>
      <c r="E884" s="242"/>
      <c r="F884" s="242"/>
      <c r="G884" s="242"/>
      <c r="H884" s="242"/>
      <c r="I884" s="242"/>
      <c r="J884" s="242"/>
      <c r="K884" s="242"/>
      <c r="L884" s="242"/>
      <c r="M884" s="242"/>
      <c r="N884" s="242"/>
      <c r="O884" s="242"/>
      <c r="P884" s="242"/>
      <c r="Q884" s="242"/>
      <c r="R884" s="242"/>
      <c r="S884" s="242"/>
      <c r="T884" s="242"/>
      <c r="U884" s="242"/>
      <c r="V884" s="242"/>
      <c r="W884" s="242"/>
      <c r="X884" s="242"/>
      <c r="Y884" s="242"/>
      <c r="Z884" s="242"/>
      <c r="AA884" s="242"/>
      <c r="AB884" s="242"/>
      <c r="AC884" s="242"/>
      <c r="AD884" s="242"/>
      <c r="AE884" s="242"/>
      <c r="AF884" s="242"/>
      <c r="AG884" s="242"/>
      <c r="AH884" s="242"/>
    </row>
    <row r="885">
      <c r="A885" s="242"/>
      <c r="B885" s="242"/>
      <c r="C885" s="242"/>
      <c r="D885" s="242"/>
      <c r="E885" s="242"/>
      <c r="F885" s="242"/>
      <c r="G885" s="242"/>
      <c r="H885" s="242"/>
      <c r="I885" s="242"/>
      <c r="J885" s="242"/>
      <c r="K885" s="242"/>
      <c r="L885" s="242"/>
      <c r="M885" s="242"/>
      <c r="N885" s="242"/>
      <c r="O885" s="242"/>
      <c r="P885" s="242"/>
      <c r="Q885" s="242"/>
      <c r="R885" s="242"/>
      <c r="S885" s="242"/>
      <c r="T885" s="242"/>
      <c r="U885" s="242"/>
      <c r="V885" s="242"/>
      <c r="W885" s="242"/>
      <c r="X885" s="242"/>
      <c r="Y885" s="242"/>
      <c r="Z885" s="242"/>
      <c r="AA885" s="242"/>
      <c r="AB885" s="242"/>
      <c r="AC885" s="242"/>
      <c r="AD885" s="242"/>
      <c r="AE885" s="242"/>
      <c r="AF885" s="242"/>
      <c r="AG885" s="242"/>
      <c r="AH885" s="242"/>
    </row>
    <row r="886">
      <c r="A886" s="242"/>
      <c r="B886" s="242"/>
      <c r="C886" s="242"/>
      <c r="D886" s="242"/>
      <c r="E886" s="242"/>
      <c r="F886" s="242"/>
      <c r="G886" s="242"/>
      <c r="H886" s="242"/>
      <c r="I886" s="242"/>
      <c r="J886" s="242"/>
      <c r="K886" s="242"/>
      <c r="L886" s="242"/>
      <c r="M886" s="242"/>
      <c r="N886" s="242"/>
      <c r="O886" s="242"/>
      <c r="P886" s="242"/>
      <c r="Q886" s="242"/>
      <c r="R886" s="242"/>
      <c r="S886" s="242"/>
      <c r="T886" s="242"/>
      <c r="U886" s="242"/>
      <c r="V886" s="242"/>
      <c r="W886" s="242"/>
      <c r="X886" s="242"/>
      <c r="Y886" s="242"/>
      <c r="Z886" s="242"/>
      <c r="AA886" s="242"/>
      <c r="AB886" s="242"/>
      <c r="AC886" s="242"/>
      <c r="AD886" s="242"/>
      <c r="AE886" s="242"/>
      <c r="AF886" s="242"/>
      <c r="AG886" s="242"/>
      <c r="AH886" s="242"/>
    </row>
    <row r="887">
      <c r="A887" s="242"/>
      <c r="B887" s="242"/>
      <c r="C887" s="242"/>
      <c r="D887" s="242"/>
      <c r="E887" s="242"/>
      <c r="F887" s="242"/>
      <c r="G887" s="242"/>
      <c r="H887" s="242"/>
      <c r="I887" s="242"/>
      <c r="J887" s="242"/>
      <c r="K887" s="242"/>
      <c r="L887" s="242"/>
      <c r="M887" s="242"/>
      <c r="N887" s="242"/>
      <c r="O887" s="242"/>
      <c r="P887" s="242"/>
      <c r="Q887" s="242"/>
      <c r="R887" s="242"/>
      <c r="S887" s="242"/>
      <c r="T887" s="242"/>
      <c r="U887" s="242"/>
      <c r="V887" s="242"/>
      <c r="W887" s="242"/>
      <c r="X887" s="242"/>
      <c r="Y887" s="242"/>
      <c r="Z887" s="242"/>
      <c r="AA887" s="242"/>
      <c r="AB887" s="242"/>
      <c r="AC887" s="242"/>
      <c r="AD887" s="242"/>
      <c r="AE887" s="242"/>
      <c r="AF887" s="242"/>
      <c r="AG887" s="242"/>
      <c r="AH887" s="242"/>
    </row>
    <row r="888">
      <c r="A888" s="242"/>
      <c r="B888" s="242"/>
      <c r="C888" s="242"/>
      <c r="D888" s="242"/>
      <c r="E888" s="242"/>
      <c r="F888" s="242"/>
      <c r="G888" s="242"/>
      <c r="H888" s="242"/>
      <c r="I888" s="242"/>
      <c r="J888" s="242"/>
      <c r="K888" s="242"/>
      <c r="L888" s="242"/>
      <c r="M888" s="242"/>
      <c r="N888" s="242"/>
      <c r="O888" s="242"/>
      <c r="P888" s="242"/>
      <c r="Q888" s="242"/>
      <c r="R888" s="242"/>
      <c r="S888" s="242"/>
      <c r="T888" s="242"/>
      <c r="U888" s="242"/>
      <c r="V888" s="242"/>
      <c r="W888" s="242"/>
      <c r="X888" s="242"/>
      <c r="Y888" s="242"/>
      <c r="Z888" s="242"/>
      <c r="AA888" s="242"/>
      <c r="AB888" s="242"/>
      <c r="AC888" s="242"/>
      <c r="AD888" s="242"/>
      <c r="AE888" s="242"/>
      <c r="AF888" s="242"/>
      <c r="AG888" s="242"/>
      <c r="AH888" s="242"/>
    </row>
    <row r="889">
      <c r="A889" s="242"/>
      <c r="B889" s="242"/>
      <c r="C889" s="242"/>
      <c r="D889" s="242"/>
      <c r="E889" s="242"/>
      <c r="F889" s="242"/>
      <c r="G889" s="242"/>
      <c r="H889" s="242"/>
      <c r="I889" s="242"/>
      <c r="J889" s="242"/>
      <c r="K889" s="242"/>
      <c r="L889" s="242"/>
      <c r="M889" s="242"/>
      <c r="N889" s="242"/>
      <c r="O889" s="242"/>
      <c r="P889" s="242"/>
      <c r="Q889" s="242"/>
      <c r="R889" s="242"/>
      <c r="S889" s="242"/>
      <c r="T889" s="242"/>
      <c r="U889" s="242"/>
      <c r="V889" s="242"/>
      <c r="W889" s="242"/>
      <c r="X889" s="242"/>
      <c r="Y889" s="242"/>
      <c r="Z889" s="242"/>
      <c r="AA889" s="242"/>
      <c r="AB889" s="242"/>
      <c r="AC889" s="242"/>
      <c r="AD889" s="242"/>
      <c r="AE889" s="242"/>
      <c r="AF889" s="242"/>
      <c r="AG889" s="242"/>
      <c r="AH889" s="242"/>
    </row>
    <row r="890">
      <c r="A890" s="242"/>
      <c r="B890" s="242"/>
      <c r="C890" s="242"/>
      <c r="D890" s="242"/>
      <c r="E890" s="242"/>
      <c r="F890" s="242"/>
      <c r="G890" s="242"/>
      <c r="H890" s="242"/>
      <c r="I890" s="242"/>
      <c r="J890" s="242"/>
      <c r="K890" s="242"/>
      <c r="L890" s="242"/>
      <c r="M890" s="242"/>
      <c r="N890" s="242"/>
      <c r="O890" s="242"/>
      <c r="P890" s="242"/>
      <c r="Q890" s="242"/>
      <c r="R890" s="242"/>
      <c r="S890" s="242"/>
      <c r="T890" s="242"/>
      <c r="U890" s="242"/>
      <c r="V890" s="242"/>
      <c r="W890" s="242"/>
      <c r="X890" s="242"/>
      <c r="Y890" s="242"/>
      <c r="Z890" s="242"/>
      <c r="AA890" s="242"/>
      <c r="AB890" s="242"/>
      <c r="AC890" s="242"/>
      <c r="AD890" s="242"/>
      <c r="AE890" s="242"/>
      <c r="AF890" s="242"/>
      <c r="AG890" s="242"/>
      <c r="AH890" s="242"/>
    </row>
    <row r="891">
      <c r="A891" s="242"/>
      <c r="B891" s="242"/>
      <c r="C891" s="242"/>
      <c r="D891" s="242"/>
      <c r="E891" s="242"/>
      <c r="F891" s="242"/>
      <c r="G891" s="242"/>
      <c r="H891" s="242"/>
      <c r="I891" s="242"/>
      <c r="J891" s="242"/>
      <c r="K891" s="242"/>
      <c r="L891" s="242"/>
      <c r="M891" s="242"/>
      <c r="N891" s="242"/>
      <c r="O891" s="242"/>
      <c r="P891" s="242"/>
      <c r="Q891" s="242"/>
      <c r="R891" s="242"/>
      <c r="S891" s="242"/>
      <c r="T891" s="242"/>
      <c r="U891" s="242"/>
      <c r="V891" s="242"/>
      <c r="W891" s="242"/>
      <c r="X891" s="242"/>
      <c r="Y891" s="242"/>
      <c r="Z891" s="242"/>
      <c r="AA891" s="242"/>
      <c r="AB891" s="242"/>
      <c r="AC891" s="242"/>
      <c r="AD891" s="242"/>
      <c r="AE891" s="242"/>
      <c r="AF891" s="242"/>
      <c r="AG891" s="242"/>
      <c r="AH891" s="242"/>
    </row>
    <row r="892">
      <c r="A892" s="242"/>
      <c r="B892" s="242"/>
      <c r="C892" s="242"/>
      <c r="D892" s="242"/>
      <c r="E892" s="242"/>
      <c r="F892" s="242"/>
      <c r="G892" s="242"/>
      <c r="H892" s="242"/>
      <c r="I892" s="242"/>
      <c r="J892" s="242"/>
      <c r="K892" s="242"/>
      <c r="L892" s="242"/>
      <c r="M892" s="242"/>
      <c r="N892" s="242"/>
      <c r="O892" s="242"/>
      <c r="P892" s="242"/>
      <c r="Q892" s="242"/>
      <c r="R892" s="242"/>
      <c r="S892" s="242"/>
      <c r="T892" s="242"/>
      <c r="U892" s="242"/>
      <c r="V892" s="242"/>
      <c r="W892" s="242"/>
      <c r="X892" s="242"/>
      <c r="Y892" s="242"/>
      <c r="Z892" s="242"/>
      <c r="AA892" s="242"/>
      <c r="AB892" s="242"/>
      <c r="AC892" s="242"/>
      <c r="AD892" s="242"/>
      <c r="AE892" s="242"/>
      <c r="AF892" s="242"/>
      <c r="AG892" s="242"/>
      <c r="AH892" s="242"/>
    </row>
    <row r="893">
      <c r="A893" s="242"/>
      <c r="B893" s="242"/>
      <c r="C893" s="242"/>
      <c r="D893" s="242"/>
      <c r="E893" s="242"/>
      <c r="F893" s="242"/>
      <c r="G893" s="242"/>
      <c r="H893" s="242"/>
      <c r="I893" s="242"/>
      <c r="J893" s="242"/>
      <c r="K893" s="242"/>
      <c r="L893" s="242"/>
      <c r="M893" s="242"/>
      <c r="N893" s="242"/>
      <c r="O893" s="242"/>
      <c r="P893" s="242"/>
      <c r="Q893" s="242"/>
      <c r="R893" s="242"/>
      <c r="S893" s="242"/>
      <c r="T893" s="242"/>
      <c r="U893" s="242"/>
      <c r="V893" s="242"/>
      <c r="W893" s="242"/>
      <c r="X893" s="242"/>
      <c r="Y893" s="242"/>
      <c r="Z893" s="242"/>
      <c r="AA893" s="242"/>
      <c r="AB893" s="242"/>
      <c r="AC893" s="242"/>
      <c r="AD893" s="242"/>
      <c r="AE893" s="242"/>
      <c r="AF893" s="242"/>
      <c r="AG893" s="242"/>
      <c r="AH893" s="242"/>
    </row>
    <row r="894">
      <c r="A894" s="242"/>
      <c r="B894" s="242"/>
      <c r="C894" s="242"/>
      <c r="D894" s="242"/>
      <c r="E894" s="242"/>
      <c r="F894" s="242"/>
      <c r="G894" s="242"/>
      <c r="H894" s="242"/>
      <c r="I894" s="242"/>
      <c r="J894" s="242"/>
      <c r="K894" s="242"/>
      <c r="L894" s="242"/>
      <c r="M894" s="242"/>
      <c r="N894" s="242"/>
      <c r="O894" s="242"/>
      <c r="P894" s="242"/>
      <c r="Q894" s="242"/>
      <c r="R894" s="242"/>
      <c r="S894" s="242"/>
      <c r="T894" s="242"/>
      <c r="U894" s="242"/>
      <c r="V894" s="242"/>
      <c r="W894" s="242"/>
      <c r="X894" s="242"/>
      <c r="Y894" s="242"/>
      <c r="Z894" s="242"/>
      <c r="AA894" s="242"/>
      <c r="AB894" s="242"/>
      <c r="AC894" s="242"/>
      <c r="AD894" s="242"/>
      <c r="AE894" s="242"/>
      <c r="AF894" s="242"/>
      <c r="AG894" s="242"/>
      <c r="AH894" s="242"/>
    </row>
    <row r="895">
      <c r="A895" s="242"/>
      <c r="B895" s="242"/>
      <c r="C895" s="242"/>
      <c r="D895" s="242"/>
      <c r="E895" s="242"/>
      <c r="F895" s="242"/>
      <c r="G895" s="242"/>
      <c r="H895" s="242"/>
      <c r="I895" s="242"/>
      <c r="J895" s="242"/>
      <c r="K895" s="242"/>
      <c r="L895" s="242"/>
      <c r="M895" s="242"/>
      <c r="N895" s="242"/>
      <c r="O895" s="242"/>
      <c r="P895" s="242"/>
      <c r="Q895" s="242"/>
      <c r="R895" s="242"/>
      <c r="S895" s="242"/>
      <c r="T895" s="242"/>
      <c r="U895" s="242"/>
      <c r="V895" s="242"/>
      <c r="W895" s="242"/>
      <c r="X895" s="242"/>
      <c r="Y895" s="242"/>
      <c r="Z895" s="242"/>
      <c r="AA895" s="242"/>
      <c r="AB895" s="242"/>
      <c r="AC895" s="242"/>
      <c r="AD895" s="242"/>
      <c r="AE895" s="242"/>
      <c r="AF895" s="242"/>
      <c r="AG895" s="242"/>
      <c r="AH895" s="242"/>
    </row>
    <row r="896">
      <c r="A896" s="242"/>
      <c r="B896" s="242"/>
      <c r="C896" s="242"/>
      <c r="D896" s="242"/>
      <c r="E896" s="242"/>
      <c r="F896" s="242"/>
      <c r="G896" s="242"/>
      <c r="H896" s="242"/>
      <c r="I896" s="242"/>
      <c r="J896" s="242"/>
      <c r="K896" s="242"/>
      <c r="L896" s="242"/>
      <c r="M896" s="242"/>
      <c r="N896" s="242"/>
      <c r="O896" s="242"/>
      <c r="P896" s="242"/>
      <c r="Q896" s="242"/>
      <c r="R896" s="242"/>
      <c r="S896" s="242"/>
      <c r="T896" s="242"/>
      <c r="U896" s="242"/>
      <c r="V896" s="242"/>
      <c r="W896" s="242"/>
      <c r="X896" s="242"/>
      <c r="Y896" s="242"/>
      <c r="Z896" s="242"/>
      <c r="AA896" s="242"/>
      <c r="AB896" s="242"/>
      <c r="AC896" s="242"/>
      <c r="AD896" s="242"/>
      <c r="AE896" s="242"/>
      <c r="AF896" s="242"/>
      <c r="AG896" s="242"/>
      <c r="AH896" s="242"/>
    </row>
    <row r="897">
      <c r="A897" s="242"/>
      <c r="B897" s="242"/>
      <c r="C897" s="242"/>
      <c r="D897" s="242"/>
      <c r="E897" s="242"/>
      <c r="F897" s="242"/>
      <c r="G897" s="242"/>
      <c r="H897" s="242"/>
      <c r="I897" s="242"/>
      <c r="J897" s="242"/>
      <c r="K897" s="242"/>
      <c r="L897" s="242"/>
      <c r="M897" s="242"/>
      <c r="N897" s="242"/>
      <c r="O897" s="242"/>
      <c r="P897" s="242"/>
      <c r="Q897" s="242"/>
      <c r="R897" s="242"/>
      <c r="S897" s="242"/>
      <c r="T897" s="242"/>
      <c r="U897" s="242"/>
      <c r="V897" s="242"/>
      <c r="W897" s="242"/>
      <c r="X897" s="242"/>
      <c r="Y897" s="242"/>
      <c r="Z897" s="242"/>
      <c r="AA897" s="242"/>
      <c r="AB897" s="242"/>
      <c r="AC897" s="242"/>
      <c r="AD897" s="242"/>
      <c r="AE897" s="242"/>
      <c r="AF897" s="242"/>
      <c r="AG897" s="242"/>
      <c r="AH897" s="242"/>
    </row>
    <row r="898">
      <c r="A898" s="242"/>
      <c r="B898" s="242"/>
      <c r="C898" s="242"/>
      <c r="D898" s="242"/>
      <c r="E898" s="242"/>
      <c r="F898" s="242"/>
      <c r="G898" s="242"/>
      <c r="H898" s="242"/>
      <c r="I898" s="242"/>
      <c r="J898" s="242"/>
      <c r="K898" s="242"/>
      <c r="L898" s="242"/>
      <c r="M898" s="242"/>
      <c r="N898" s="242"/>
      <c r="O898" s="242"/>
      <c r="P898" s="242"/>
      <c r="Q898" s="242"/>
      <c r="R898" s="242"/>
      <c r="S898" s="242"/>
      <c r="T898" s="242"/>
      <c r="U898" s="242"/>
      <c r="V898" s="242"/>
      <c r="W898" s="242"/>
      <c r="X898" s="242"/>
      <c r="Y898" s="242"/>
      <c r="Z898" s="242"/>
      <c r="AA898" s="242"/>
      <c r="AB898" s="242"/>
      <c r="AC898" s="242"/>
      <c r="AD898" s="242"/>
      <c r="AE898" s="242"/>
      <c r="AF898" s="242"/>
      <c r="AG898" s="242"/>
      <c r="AH898" s="242"/>
    </row>
    <row r="899">
      <c r="A899" s="242"/>
      <c r="B899" s="242"/>
      <c r="C899" s="242"/>
      <c r="D899" s="242"/>
      <c r="E899" s="242"/>
      <c r="F899" s="242"/>
      <c r="G899" s="242"/>
      <c r="H899" s="242"/>
      <c r="I899" s="242"/>
      <c r="J899" s="242"/>
      <c r="K899" s="242"/>
      <c r="L899" s="242"/>
      <c r="M899" s="242"/>
      <c r="N899" s="242"/>
      <c r="O899" s="242"/>
      <c r="P899" s="242"/>
      <c r="Q899" s="242"/>
      <c r="R899" s="242"/>
      <c r="S899" s="242"/>
      <c r="T899" s="242"/>
      <c r="U899" s="242"/>
      <c r="V899" s="242"/>
      <c r="W899" s="242"/>
      <c r="X899" s="242"/>
      <c r="Y899" s="242"/>
      <c r="Z899" s="242"/>
      <c r="AA899" s="242"/>
      <c r="AB899" s="242"/>
      <c r="AC899" s="242"/>
      <c r="AD899" s="242"/>
      <c r="AE899" s="242"/>
      <c r="AF899" s="242"/>
      <c r="AG899" s="242"/>
      <c r="AH899" s="242"/>
    </row>
    <row r="900">
      <c r="A900" s="242"/>
      <c r="B900" s="242"/>
      <c r="C900" s="242"/>
      <c r="D900" s="242"/>
      <c r="E900" s="242"/>
      <c r="F900" s="242"/>
      <c r="G900" s="242"/>
      <c r="H900" s="242"/>
      <c r="I900" s="242"/>
      <c r="J900" s="242"/>
      <c r="K900" s="242"/>
      <c r="L900" s="242"/>
      <c r="M900" s="242"/>
      <c r="N900" s="242"/>
      <c r="O900" s="242"/>
      <c r="P900" s="242"/>
      <c r="Q900" s="242"/>
      <c r="R900" s="242"/>
      <c r="S900" s="242"/>
      <c r="T900" s="242"/>
      <c r="U900" s="242"/>
      <c r="V900" s="242"/>
      <c r="W900" s="242"/>
      <c r="X900" s="242"/>
      <c r="Y900" s="242"/>
      <c r="Z900" s="242"/>
      <c r="AA900" s="242"/>
      <c r="AB900" s="242"/>
      <c r="AC900" s="242"/>
      <c r="AD900" s="242"/>
      <c r="AE900" s="242"/>
      <c r="AF900" s="242"/>
      <c r="AG900" s="242"/>
      <c r="AH900" s="242"/>
    </row>
    <row r="901">
      <c r="A901" s="242"/>
      <c r="B901" s="242"/>
      <c r="C901" s="242"/>
      <c r="D901" s="242"/>
      <c r="E901" s="242"/>
      <c r="F901" s="242"/>
      <c r="G901" s="242"/>
      <c r="H901" s="242"/>
      <c r="I901" s="242"/>
      <c r="J901" s="242"/>
      <c r="K901" s="242"/>
      <c r="L901" s="242"/>
      <c r="M901" s="242"/>
      <c r="N901" s="242"/>
      <c r="O901" s="242"/>
      <c r="P901" s="242"/>
      <c r="Q901" s="242"/>
      <c r="R901" s="242"/>
      <c r="S901" s="242"/>
      <c r="T901" s="242"/>
      <c r="U901" s="242"/>
      <c r="V901" s="242"/>
      <c r="W901" s="242"/>
      <c r="X901" s="242"/>
      <c r="Y901" s="242"/>
      <c r="Z901" s="242"/>
      <c r="AA901" s="242"/>
      <c r="AB901" s="242"/>
      <c r="AC901" s="242"/>
      <c r="AD901" s="242"/>
      <c r="AE901" s="242"/>
      <c r="AF901" s="242"/>
      <c r="AG901" s="242"/>
      <c r="AH901" s="242"/>
    </row>
    <row r="902">
      <c r="A902" s="242"/>
      <c r="B902" s="242"/>
      <c r="C902" s="242"/>
      <c r="D902" s="242"/>
      <c r="E902" s="242"/>
      <c r="F902" s="242"/>
      <c r="G902" s="242"/>
      <c r="H902" s="242"/>
      <c r="I902" s="242"/>
      <c r="J902" s="242"/>
      <c r="K902" s="242"/>
      <c r="L902" s="242"/>
      <c r="M902" s="242"/>
      <c r="N902" s="242"/>
      <c r="O902" s="242"/>
      <c r="P902" s="242"/>
      <c r="Q902" s="242"/>
      <c r="R902" s="242"/>
      <c r="S902" s="242"/>
      <c r="T902" s="242"/>
      <c r="U902" s="242"/>
      <c r="V902" s="242"/>
      <c r="W902" s="242"/>
      <c r="X902" s="242"/>
      <c r="Y902" s="242"/>
      <c r="Z902" s="242"/>
      <c r="AA902" s="242"/>
      <c r="AB902" s="242"/>
      <c r="AC902" s="242"/>
      <c r="AD902" s="242"/>
      <c r="AE902" s="242"/>
      <c r="AF902" s="242"/>
      <c r="AG902" s="242"/>
      <c r="AH902" s="242"/>
    </row>
    <row r="903">
      <c r="A903" s="242"/>
      <c r="B903" s="242"/>
      <c r="C903" s="242"/>
      <c r="D903" s="242"/>
      <c r="E903" s="242"/>
      <c r="F903" s="242"/>
      <c r="G903" s="242"/>
      <c r="H903" s="242"/>
      <c r="I903" s="242"/>
      <c r="J903" s="242"/>
      <c r="K903" s="242"/>
      <c r="L903" s="242"/>
      <c r="M903" s="242"/>
      <c r="N903" s="242"/>
      <c r="O903" s="242"/>
      <c r="P903" s="242"/>
      <c r="Q903" s="242"/>
      <c r="R903" s="242"/>
      <c r="S903" s="242"/>
      <c r="T903" s="242"/>
      <c r="U903" s="242"/>
      <c r="V903" s="242"/>
      <c r="W903" s="242"/>
      <c r="X903" s="242"/>
      <c r="Y903" s="242"/>
      <c r="Z903" s="242"/>
      <c r="AA903" s="242"/>
      <c r="AB903" s="242"/>
      <c r="AC903" s="242"/>
      <c r="AD903" s="242"/>
      <c r="AE903" s="242"/>
      <c r="AF903" s="242"/>
      <c r="AG903" s="242"/>
      <c r="AH903" s="242"/>
    </row>
    <row r="904">
      <c r="A904" s="242"/>
      <c r="B904" s="242"/>
      <c r="C904" s="242"/>
      <c r="D904" s="242"/>
      <c r="E904" s="242"/>
      <c r="F904" s="242"/>
      <c r="G904" s="242"/>
      <c r="H904" s="242"/>
      <c r="I904" s="242"/>
      <c r="J904" s="242"/>
      <c r="K904" s="242"/>
      <c r="L904" s="242"/>
      <c r="M904" s="242"/>
      <c r="N904" s="242"/>
      <c r="O904" s="242"/>
      <c r="P904" s="242"/>
      <c r="Q904" s="242"/>
      <c r="R904" s="242"/>
      <c r="S904" s="242"/>
      <c r="T904" s="242"/>
      <c r="U904" s="242"/>
      <c r="V904" s="242"/>
      <c r="W904" s="242"/>
      <c r="X904" s="242"/>
      <c r="Y904" s="242"/>
      <c r="Z904" s="242"/>
      <c r="AA904" s="242"/>
      <c r="AB904" s="242"/>
      <c r="AC904" s="242"/>
      <c r="AD904" s="242"/>
      <c r="AE904" s="242"/>
      <c r="AF904" s="242"/>
      <c r="AG904" s="242"/>
      <c r="AH904" s="242"/>
    </row>
    <row r="905">
      <c r="A905" s="242"/>
      <c r="B905" s="242"/>
      <c r="C905" s="242"/>
      <c r="D905" s="242"/>
      <c r="E905" s="242"/>
      <c r="F905" s="242"/>
      <c r="G905" s="242"/>
      <c r="H905" s="242"/>
      <c r="I905" s="242"/>
      <c r="J905" s="242"/>
      <c r="K905" s="242"/>
      <c r="L905" s="242"/>
      <c r="M905" s="242"/>
      <c r="N905" s="242"/>
      <c r="O905" s="242"/>
      <c r="P905" s="242"/>
      <c r="Q905" s="242"/>
      <c r="R905" s="242"/>
      <c r="S905" s="242"/>
      <c r="T905" s="242"/>
      <c r="U905" s="242"/>
      <c r="V905" s="242"/>
      <c r="W905" s="242"/>
      <c r="X905" s="242"/>
      <c r="Y905" s="242"/>
      <c r="Z905" s="242"/>
      <c r="AA905" s="242"/>
      <c r="AB905" s="242"/>
      <c r="AC905" s="242"/>
      <c r="AD905" s="242"/>
      <c r="AE905" s="242"/>
      <c r="AF905" s="242"/>
      <c r="AG905" s="242"/>
      <c r="AH905" s="242"/>
    </row>
    <row r="906">
      <c r="A906" s="242"/>
      <c r="B906" s="242"/>
      <c r="C906" s="242"/>
      <c r="D906" s="242"/>
      <c r="E906" s="242"/>
      <c r="F906" s="242"/>
      <c r="G906" s="242"/>
      <c r="H906" s="242"/>
      <c r="I906" s="242"/>
      <c r="J906" s="242"/>
      <c r="K906" s="242"/>
      <c r="L906" s="242"/>
      <c r="M906" s="242"/>
      <c r="N906" s="242"/>
      <c r="O906" s="242"/>
      <c r="P906" s="242"/>
      <c r="Q906" s="242"/>
      <c r="R906" s="242"/>
      <c r="S906" s="242"/>
      <c r="T906" s="242"/>
      <c r="U906" s="242"/>
      <c r="V906" s="242"/>
      <c r="W906" s="242"/>
      <c r="X906" s="242"/>
      <c r="Y906" s="242"/>
      <c r="Z906" s="242"/>
      <c r="AA906" s="242"/>
      <c r="AB906" s="242"/>
      <c r="AC906" s="242"/>
      <c r="AD906" s="242"/>
      <c r="AE906" s="242"/>
      <c r="AF906" s="242"/>
      <c r="AG906" s="242"/>
      <c r="AH906" s="242"/>
    </row>
    <row r="907">
      <c r="A907" s="242"/>
      <c r="B907" s="242"/>
      <c r="C907" s="242"/>
      <c r="D907" s="242"/>
      <c r="E907" s="242"/>
      <c r="F907" s="242"/>
      <c r="G907" s="242"/>
      <c r="H907" s="242"/>
      <c r="I907" s="242"/>
      <c r="J907" s="242"/>
      <c r="K907" s="242"/>
      <c r="L907" s="242"/>
      <c r="M907" s="242"/>
      <c r="N907" s="242"/>
      <c r="O907" s="242"/>
      <c r="P907" s="242"/>
      <c r="Q907" s="242"/>
      <c r="R907" s="242"/>
      <c r="S907" s="242"/>
      <c r="T907" s="242"/>
      <c r="U907" s="242"/>
      <c r="V907" s="242"/>
      <c r="W907" s="242"/>
      <c r="X907" s="242"/>
      <c r="Y907" s="242"/>
      <c r="Z907" s="242"/>
      <c r="AA907" s="242"/>
      <c r="AB907" s="242"/>
      <c r="AC907" s="242"/>
      <c r="AD907" s="242"/>
      <c r="AE907" s="242"/>
      <c r="AF907" s="242"/>
      <c r="AG907" s="242"/>
      <c r="AH907" s="242"/>
    </row>
    <row r="908">
      <c r="A908" s="242"/>
      <c r="B908" s="242"/>
      <c r="C908" s="242"/>
      <c r="D908" s="242"/>
      <c r="E908" s="242"/>
      <c r="F908" s="242"/>
      <c r="G908" s="242"/>
      <c r="H908" s="242"/>
      <c r="I908" s="242"/>
      <c r="J908" s="242"/>
      <c r="K908" s="242"/>
      <c r="L908" s="242"/>
      <c r="M908" s="242"/>
      <c r="N908" s="242"/>
      <c r="O908" s="242"/>
      <c r="P908" s="242"/>
      <c r="Q908" s="242"/>
      <c r="R908" s="242"/>
      <c r="S908" s="242"/>
      <c r="T908" s="242"/>
      <c r="U908" s="242"/>
      <c r="V908" s="242"/>
      <c r="W908" s="242"/>
      <c r="X908" s="242"/>
      <c r="Y908" s="242"/>
      <c r="Z908" s="242"/>
      <c r="AA908" s="242"/>
      <c r="AB908" s="242"/>
      <c r="AC908" s="242"/>
      <c r="AD908" s="242"/>
      <c r="AE908" s="242"/>
      <c r="AF908" s="242"/>
      <c r="AG908" s="242"/>
      <c r="AH908" s="242"/>
    </row>
    <row r="909">
      <c r="A909" s="242"/>
      <c r="B909" s="242"/>
      <c r="C909" s="242"/>
      <c r="D909" s="242"/>
      <c r="E909" s="242"/>
      <c r="F909" s="242"/>
      <c r="G909" s="242"/>
      <c r="H909" s="242"/>
      <c r="I909" s="242"/>
      <c r="J909" s="242"/>
      <c r="K909" s="242"/>
      <c r="L909" s="242"/>
      <c r="M909" s="242"/>
      <c r="N909" s="242"/>
      <c r="O909" s="242"/>
      <c r="P909" s="242"/>
      <c r="Q909" s="242"/>
      <c r="R909" s="242"/>
      <c r="S909" s="242"/>
      <c r="T909" s="242"/>
      <c r="U909" s="242"/>
      <c r="V909" s="242"/>
      <c r="W909" s="242"/>
      <c r="X909" s="242"/>
      <c r="Y909" s="242"/>
      <c r="Z909" s="242"/>
      <c r="AA909" s="242"/>
      <c r="AB909" s="242"/>
      <c r="AC909" s="242"/>
      <c r="AD909" s="242"/>
      <c r="AE909" s="242"/>
      <c r="AF909" s="242"/>
      <c r="AG909" s="242"/>
      <c r="AH909" s="242"/>
    </row>
    <row r="910">
      <c r="A910" s="242"/>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c r="AA910" s="242"/>
      <c r="AB910" s="242"/>
      <c r="AC910" s="242"/>
      <c r="AD910" s="242"/>
      <c r="AE910" s="242"/>
      <c r="AF910" s="242"/>
      <c r="AG910" s="242"/>
      <c r="AH910" s="242"/>
    </row>
    <row r="911">
      <c r="A911" s="242"/>
      <c r="B911" s="242"/>
      <c r="C911" s="242"/>
      <c r="D911" s="242"/>
      <c r="E911" s="242"/>
      <c r="F911" s="242"/>
      <c r="G911" s="242"/>
      <c r="H911" s="242"/>
      <c r="I911" s="242"/>
      <c r="J911" s="242"/>
      <c r="K911" s="242"/>
      <c r="L911" s="242"/>
      <c r="M911" s="242"/>
      <c r="N911" s="242"/>
      <c r="O911" s="242"/>
      <c r="P911" s="242"/>
      <c r="Q911" s="242"/>
      <c r="R911" s="242"/>
      <c r="S911" s="242"/>
      <c r="T911" s="242"/>
      <c r="U911" s="242"/>
      <c r="V911" s="242"/>
      <c r="W911" s="242"/>
      <c r="X911" s="242"/>
      <c r="Y911" s="242"/>
      <c r="Z911" s="242"/>
      <c r="AA911" s="242"/>
      <c r="AB911" s="242"/>
      <c r="AC911" s="242"/>
      <c r="AD911" s="242"/>
      <c r="AE911" s="242"/>
      <c r="AF911" s="242"/>
      <c r="AG911" s="242"/>
      <c r="AH911" s="242"/>
    </row>
    <row r="912">
      <c r="A912" s="242"/>
      <c r="B912" s="242"/>
      <c r="C912" s="242"/>
      <c r="D912" s="242"/>
      <c r="E912" s="242"/>
      <c r="F912" s="242"/>
      <c r="G912" s="242"/>
      <c r="H912" s="242"/>
      <c r="I912" s="242"/>
      <c r="J912" s="242"/>
      <c r="K912" s="242"/>
      <c r="L912" s="242"/>
      <c r="M912" s="242"/>
      <c r="N912" s="242"/>
      <c r="O912" s="242"/>
      <c r="P912" s="242"/>
      <c r="Q912" s="242"/>
      <c r="R912" s="242"/>
      <c r="S912" s="242"/>
      <c r="T912" s="242"/>
      <c r="U912" s="242"/>
      <c r="V912" s="242"/>
      <c r="W912" s="242"/>
      <c r="X912" s="242"/>
      <c r="Y912" s="242"/>
      <c r="Z912" s="242"/>
      <c r="AA912" s="242"/>
      <c r="AB912" s="242"/>
      <c r="AC912" s="242"/>
      <c r="AD912" s="242"/>
      <c r="AE912" s="242"/>
      <c r="AF912" s="242"/>
      <c r="AG912" s="242"/>
      <c r="AH912" s="242"/>
    </row>
    <row r="913">
      <c r="A913" s="242"/>
      <c r="B913" s="242"/>
      <c r="C913" s="242"/>
      <c r="D913" s="242"/>
      <c r="E913" s="242"/>
      <c r="F913" s="242"/>
      <c r="G913" s="242"/>
      <c r="H913" s="242"/>
      <c r="I913" s="242"/>
      <c r="J913" s="242"/>
      <c r="K913" s="242"/>
      <c r="L913" s="242"/>
      <c r="M913" s="242"/>
      <c r="N913" s="242"/>
      <c r="O913" s="242"/>
      <c r="P913" s="242"/>
      <c r="Q913" s="242"/>
      <c r="R913" s="242"/>
      <c r="S913" s="242"/>
      <c r="T913" s="242"/>
      <c r="U913" s="242"/>
      <c r="V913" s="242"/>
      <c r="W913" s="242"/>
      <c r="X913" s="242"/>
      <c r="Y913" s="242"/>
      <c r="Z913" s="242"/>
      <c r="AA913" s="242"/>
      <c r="AB913" s="242"/>
      <c r="AC913" s="242"/>
      <c r="AD913" s="242"/>
      <c r="AE913" s="242"/>
      <c r="AF913" s="242"/>
      <c r="AG913" s="242"/>
      <c r="AH913" s="242"/>
    </row>
    <row r="914">
      <c r="A914" s="242"/>
      <c r="B914" s="242"/>
      <c r="C914" s="242"/>
      <c r="D914" s="242"/>
      <c r="E914" s="242"/>
      <c r="F914" s="242"/>
      <c r="G914" s="242"/>
      <c r="H914" s="242"/>
      <c r="I914" s="242"/>
      <c r="J914" s="242"/>
      <c r="K914" s="242"/>
      <c r="L914" s="242"/>
      <c r="M914" s="242"/>
      <c r="N914" s="242"/>
      <c r="O914" s="242"/>
      <c r="P914" s="242"/>
      <c r="Q914" s="242"/>
      <c r="R914" s="242"/>
      <c r="S914" s="242"/>
      <c r="T914" s="242"/>
      <c r="U914" s="242"/>
      <c r="V914" s="242"/>
      <c r="W914" s="242"/>
      <c r="X914" s="242"/>
      <c r="Y914" s="242"/>
      <c r="Z914" s="242"/>
      <c r="AA914" s="242"/>
      <c r="AB914" s="242"/>
      <c r="AC914" s="242"/>
      <c r="AD914" s="242"/>
      <c r="AE914" s="242"/>
      <c r="AF914" s="242"/>
      <c r="AG914" s="242"/>
      <c r="AH914" s="242"/>
    </row>
    <row r="915">
      <c r="A915" s="242"/>
      <c r="B915" s="242"/>
      <c r="C915" s="242"/>
      <c r="D915" s="242"/>
      <c r="E915" s="242"/>
      <c r="F915" s="242"/>
      <c r="G915" s="242"/>
      <c r="H915" s="242"/>
      <c r="I915" s="242"/>
      <c r="J915" s="242"/>
      <c r="K915" s="242"/>
      <c r="L915" s="242"/>
      <c r="M915" s="242"/>
      <c r="N915" s="242"/>
      <c r="O915" s="242"/>
      <c r="P915" s="242"/>
      <c r="Q915" s="242"/>
      <c r="R915" s="242"/>
      <c r="S915" s="242"/>
      <c r="T915" s="242"/>
      <c r="U915" s="242"/>
      <c r="V915" s="242"/>
      <c r="W915" s="242"/>
      <c r="X915" s="242"/>
      <c r="Y915" s="242"/>
      <c r="Z915" s="242"/>
      <c r="AA915" s="242"/>
      <c r="AB915" s="242"/>
      <c r="AC915" s="242"/>
      <c r="AD915" s="242"/>
      <c r="AE915" s="242"/>
      <c r="AF915" s="242"/>
      <c r="AG915" s="242"/>
      <c r="AH915" s="242"/>
    </row>
    <row r="916">
      <c r="A916" s="242"/>
      <c r="B916" s="242"/>
      <c r="C916" s="242"/>
      <c r="D916" s="242"/>
      <c r="E916" s="242"/>
      <c r="F916" s="242"/>
      <c r="G916" s="242"/>
      <c r="H916" s="242"/>
      <c r="I916" s="242"/>
      <c r="J916" s="242"/>
      <c r="K916" s="242"/>
      <c r="L916" s="242"/>
      <c r="M916" s="242"/>
      <c r="N916" s="242"/>
      <c r="O916" s="242"/>
      <c r="P916" s="242"/>
      <c r="Q916" s="242"/>
      <c r="R916" s="242"/>
      <c r="S916" s="242"/>
      <c r="T916" s="242"/>
      <c r="U916" s="242"/>
      <c r="V916" s="242"/>
      <c r="W916" s="242"/>
      <c r="X916" s="242"/>
      <c r="Y916" s="242"/>
      <c r="Z916" s="242"/>
      <c r="AA916" s="242"/>
      <c r="AB916" s="242"/>
      <c r="AC916" s="242"/>
      <c r="AD916" s="242"/>
      <c r="AE916" s="242"/>
      <c r="AF916" s="242"/>
      <c r="AG916" s="242"/>
      <c r="AH916" s="242"/>
    </row>
    <row r="917">
      <c r="A917" s="242"/>
      <c r="B917" s="242"/>
      <c r="C917" s="242"/>
      <c r="D917" s="242"/>
      <c r="E917" s="242"/>
      <c r="F917" s="242"/>
      <c r="G917" s="242"/>
      <c r="H917" s="242"/>
      <c r="I917" s="242"/>
      <c r="J917" s="242"/>
      <c r="K917" s="242"/>
      <c r="L917" s="242"/>
      <c r="M917" s="242"/>
      <c r="N917" s="242"/>
      <c r="O917" s="242"/>
      <c r="P917" s="242"/>
      <c r="Q917" s="242"/>
      <c r="R917" s="242"/>
      <c r="S917" s="242"/>
      <c r="T917" s="242"/>
      <c r="U917" s="242"/>
      <c r="V917" s="242"/>
      <c r="W917" s="242"/>
      <c r="X917" s="242"/>
      <c r="Y917" s="242"/>
      <c r="Z917" s="242"/>
      <c r="AA917" s="242"/>
      <c r="AB917" s="242"/>
      <c r="AC917" s="242"/>
      <c r="AD917" s="242"/>
      <c r="AE917" s="242"/>
      <c r="AF917" s="242"/>
      <c r="AG917" s="242"/>
      <c r="AH917" s="242"/>
    </row>
    <row r="918">
      <c r="A918" s="242"/>
      <c r="B918" s="242"/>
      <c r="C918" s="242"/>
      <c r="D918" s="242"/>
      <c r="E918" s="242"/>
      <c r="F918" s="242"/>
      <c r="G918" s="242"/>
      <c r="H918" s="242"/>
      <c r="I918" s="242"/>
      <c r="J918" s="242"/>
      <c r="K918" s="242"/>
      <c r="L918" s="242"/>
      <c r="M918" s="242"/>
      <c r="N918" s="242"/>
      <c r="O918" s="242"/>
      <c r="P918" s="242"/>
      <c r="Q918" s="242"/>
      <c r="R918" s="242"/>
      <c r="S918" s="242"/>
      <c r="T918" s="242"/>
      <c r="U918" s="242"/>
      <c r="V918" s="242"/>
      <c r="W918" s="242"/>
      <c r="X918" s="242"/>
      <c r="Y918" s="242"/>
      <c r="Z918" s="242"/>
      <c r="AA918" s="242"/>
      <c r="AB918" s="242"/>
      <c r="AC918" s="242"/>
      <c r="AD918" s="242"/>
      <c r="AE918" s="242"/>
      <c r="AF918" s="242"/>
      <c r="AG918" s="242"/>
      <c r="AH918" s="242"/>
    </row>
    <row r="919">
      <c r="A919" s="242"/>
      <c r="B919" s="242"/>
      <c r="C919" s="242"/>
      <c r="D919" s="242"/>
      <c r="E919" s="242"/>
      <c r="F919" s="242"/>
      <c r="G919" s="242"/>
      <c r="H919" s="242"/>
      <c r="I919" s="242"/>
      <c r="J919" s="242"/>
      <c r="K919" s="242"/>
      <c r="L919" s="242"/>
      <c r="M919" s="242"/>
      <c r="N919" s="242"/>
      <c r="O919" s="242"/>
      <c r="P919" s="242"/>
      <c r="Q919" s="242"/>
      <c r="R919" s="242"/>
      <c r="S919" s="242"/>
      <c r="T919" s="242"/>
      <c r="U919" s="242"/>
      <c r="V919" s="242"/>
      <c r="W919" s="242"/>
      <c r="X919" s="242"/>
      <c r="Y919" s="242"/>
      <c r="Z919" s="242"/>
      <c r="AA919" s="242"/>
      <c r="AB919" s="242"/>
      <c r="AC919" s="242"/>
      <c r="AD919" s="242"/>
      <c r="AE919" s="242"/>
      <c r="AF919" s="242"/>
      <c r="AG919" s="242"/>
      <c r="AH919" s="242"/>
    </row>
    <row r="920">
      <c r="A920" s="242"/>
      <c r="B920" s="242"/>
      <c r="C920" s="242"/>
      <c r="D920" s="242"/>
      <c r="E920" s="242"/>
      <c r="F920" s="242"/>
      <c r="G920" s="242"/>
      <c r="H920" s="242"/>
      <c r="I920" s="242"/>
      <c r="J920" s="242"/>
      <c r="K920" s="242"/>
      <c r="L920" s="242"/>
      <c r="M920" s="242"/>
      <c r="N920" s="242"/>
      <c r="O920" s="242"/>
      <c r="P920" s="242"/>
      <c r="Q920" s="242"/>
      <c r="R920" s="242"/>
      <c r="S920" s="242"/>
      <c r="T920" s="242"/>
      <c r="U920" s="242"/>
      <c r="V920" s="242"/>
      <c r="W920" s="242"/>
      <c r="X920" s="242"/>
      <c r="Y920" s="242"/>
      <c r="Z920" s="242"/>
      <c r="AA920" s="242"/>
      <c r="AB920" s="242"/>
      <c r="AC920" s="242"/>
      <c r="AD920" s="242"/>
      <c r="AE920" s="242"/>
      <c r="AF920" s="242"/>
      <c r="AG920" s="242"/>
      <c r="AH920" s="242"/>
    </row>
    <row r="921">
      <c r="A921" s="242"/>
      <c r="B921" s="242"/>
      <c r="C921" s="242"/>
      <c r="D921" s="242"/>
      <c r="E921" s="242"/>
      <c r="F921" s="242"/>
      <c r="G921" s="242"/>
      <c r="H921" s="242"/>
      <c r="I921" s="242"/>
      <c r="J921" s="242"/>
      <c r="K921" s="242"/>
      <c r="L921" s="242"/>
      <c r="M921" s="242"/>
      <c r="N921" s="242"/>
      <c r="O921" s="242"/>
      <c r="P921" s="242"/>
      <c r="Q921" s="242"/>
      <c r="R921" s="242"/>
      <c r="S921" s="242"/>
      <c r="T921" s="242"/>
      <c r="U921" s="242"/>
      <c r="V921" s="242"/>
      <c r="W921" s="242"/>
      <c r="X921" s="242"/>
      <c r="Y921" s="242"/>
      <c r="Z921" s="242"/>
      <c r="AA921" s="242"/>
      <c r="AB921" s="242"/>
      <c r="AC921" s="242"/>
      <c r="AD921" s="242"/>
      <c r="AE921" s="242"/>
      <c r="AF921" s="242"/>
      <c r="AG921" s="242"/>
      <c r="AH921" s="242"/>
    </row>
    <row r="922">
      <c r="A922" s="242"/>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c r="AA922" s="242"/>
      <c r="AB922" s="242"/>
      <c r="AC922" s="242"/>
      <c r="AD922" s="242"/>
      <c r="AE922" s="242"/>
      <c r="AF922" s="242"/>
      <c r="AG922" s="242"/>
      <c r="AH922" s="242"/>
    </row>
    <row r="923">
      <c r="A923" s="242"/>
      <c r="B923" s="242"/>
      <c r="C923" s="242"/>
      <c r="D923" s="242"/>
      <c r="E923" s="242"/>
      <c r="F923" s="242"/>
      <c r="G923" s="242"/>
      <c r="H923" s="242"/>
      <c r="I923" s="242"/>
      <c r="J923" s="242"/>
      <c r="K923" s="242"/>
      <c r="L923" s="242"/>
      <c r="M923" s="242"/>
      <c r="N923" s="242"/>
      <c r="O923" s="242"/>
      <c r="P923" s="242"/>
      <c r="Q923" s="242"/>
      <c r="R923" s="242"/>
      <c r="S923" s="242"/>
      <c r="T923" s="242"/>
      <c r="U923" s="242"/>
      <c r="V923" s="242"/>
      <c r="W923" s="242"/>
      <c r="X923" s="242"/>
      <c r="Y923" s="242"/>
      <c r="Z923" s="242"/>
      <c r="AA923" s="242"/>
      <c r="AB923" s="242"/>
      <c r="AC923" s="242"/>
      <c r="AD923" s="242"/>
      <c r="AE923" s="242"/>
      <c r="AF923" s="242"/>
      <c r="AG923" s="242"/>
      <c r="AH923" s="242"/>
    </row>
    <row r="924">
      <c r="A924" s="242"/>
      <c r="B924" s="242"/>
      <c r="C924" s="242"/>
      <c r="D924" s="242"/>
      <c r="E924" s="242"/>
      <c r="F924" s="242"/>
      <c r="G924" s="242"/>
      <c r="H924" s="242"/>
      <c r="I924" s="242"/>
      <c r="J924" s="242"/>
      <c r="K924" s="242"/>
      <c r="L924" s="242"/>
      <c r="M924" s="242"/>
      <c r="N924" s="242"/>
      <c r="O924" s="242"/>
      <c r="P924" s="242"/>
      <c r="Q924" s="242"/>
      <c r="R924" s="242"/>
      <c r="S924" s="242"/>
      <c r="T924" s="242"/>
      <c r="U924" s="242"/>
      <c r="V924" s="242"/>
      <c r="W924" s="242"/>
      <c r="X924" s="242"/>
      <c r="Y924" s="242"/>
      <c r="Z924" s="242"/>
      <c r="AA924" s="242"/>
      <c r="AB924" s="242"/>
      <c r="AC924" s="242"/>
      <c r="AD924" s="242"/>
      <c r="AE924" s="242"/>
      <c r="AF924" s="242"/>
      <c r="AG924" s="242"/>
      <c r="AH924" s="242"/>
    </row>
    <row r="925">
      <c r="A925" s="242"/>
      <c r="B925" s="242"/>
      <c r="C925" s="242"/>
      <c r="D925" s="242"/>
      <c r="E925" s="242"/>
      <c r="F925" s="242"/>
      <c r="G925" s="242"/>
      <c r="H925" s="242"/>
      <c r="I925" s="242"/>
      <c r="J925" s="242"/>
      <c r="K925" s="242"/>
      <c r="L925" s="242"/>
      <c r="M925" s="242"/>
      <c r="N925" s="242"/>
      <c r="O925" s="242"/>
      <c r="P925" s="242"/>
      <c r="Q925" s="242"/>
      <c r="R925" s="242"/>
      <c r="S925" s="242"/>
      <c r="T925" s="242"/>
      <c r="U925" s="242"/>
      <c r="V925" s="242"/>
      <c r="W925" s="242"/>
      <c r="X925" s="242"/>
      <c r="Y925" s="242"/>
      <c r="Z925" s="242"/>
      <c r="AA925" s="242"/>
      <c r="AB925" s="242"/>
      <c r="AC925" s="242"/>
      <c r="AD925" s="242"/>
      <c r="AE925" s="242"/>
      <c r="AF925" s="242"/>
      <c r="AG925" s="242"/>
      <c r="AH925" s="242"/>
    </row>
    <row r="926">
      <c r="A926" s="242"/>
      <c r="B926" s="242"/>
      <c r="C926" s="242"/>
      <c r="D926" s="242"/>
      <c r="E926" s="242"/>
      <c r="F926" s="242"/>
      <c r="G926" s="242"/>
      <c r="H926" s="242"/>
      <c r="I926" s="242"/>
      <c r="J926" s="242"/>
      <c r="K926" s="242"/>
      <c r="L926" s="242"/>
      <c r="M926" s="242"/>
      <c r="N926" s="242"/>
      <c r="O926" s="242"/>
      <c r="P926" s="242"/>
      <c r="Q926" s="242"/>
      <c r="R926" s="242"/>
      <c r="S926" s="242"/>
      <c r="T926" s="242"/>
      <c r="U926" s="242"/>
      <c r="V926" s="242"/>
      <c r="W926" s="242"/>
      <c r="X926" s="242"/>
      <c r="Y926" s="242"/>
      <c r="Z926" s="242"/>
      <c r="AA926" s="242"/>
      <c r="AB926" s="242"/>
      <c r="AC926" s="242"/>
      <c r="AD926" s="242"/>
      <c r="AE926" s="242"/>
      <c r="AF926" s="242"/>
      <c r="AG926" s="242"/>
      <c r="AH926" s="242"/>
    </row>
    <row r="927">
      <c r="A927" s="242"/>
      <c r="B927" s="242"/>
      <c r="C927" s="242"/>
      <c r="D927" s="242"/>
      <c r="E927" s="242"/>
      <c r="F927" s="242"/>
      <c r="G927" s="242"/>
      <c r="H927" s="242"/>
      <c r="I927" s="242"/>
      <c r="J927" s="242"/>
      <c r="K927" s="242"/>
      <c r="L927" s="242"/>
      <c r="M927" s="242"/>
      <c r="N927" s="242"/>
      <c r="O927" s="242"/>
      <c r="P927" s="242"/>
      <c r="Q927" s="242"/>
      <c r="R927" s="242"/>
      <c r="S927" s="242"/>
      <c r="T927" s="242"/>
      <c r="U927" s="242"/>
      <c r="V927" s="242"/>
      <c r="W927" s="242"/>
      <c r="X927" s="242"/>
      <c r="Y927" s="242"/>
      <c r="Z927" s="242"/>
      <c r="AA927" s="242"/>
      <c r="AB927" s="242"/>
      <c r="AC927" s="242"/>
      <c r="AD927" s="242"/>
      <c r="AE927" s="242"/>
      <c r="AF927" s="242"/>
      <c r="AG927" s="242"/>
      <c r="AH927" s="242"/>
    </row>
    <row r="928">
      <c r="A928" s="242"/>
      <c r="B928" s="242"/>
      <c r="C928" s="242"/>
      <c r="D928" s="242"/>
      <c r="E928" s="242"/>
      <c r="F928" s="242"/>
      <c r="G928" s="242"/>
      <c r="H928" s="242"/>
      <c r="I928" s="242"/>
      <c r="J928" s="242"/>
      <c r="K928" s="242"/>
      <c r="L928" s="242"/>
      <c r="M928" s="242"/>
      <c r="N928" s="242"/>
      <c r="O928" s="242"/>
      <c r="P928" s="242"/>
      <c r="Q928" s="242"/>
      <c r="R928" s="242"/>
      <c r="S928" s="242"/>
      <c r="T928" s="242"/>
      <c r="U928" s="242"/>
      <c r="V928" s="242"/>
      <c r="W928" s="242"/>
      <c r="X928" s="242"/>
      <c r="Y928" s="242"/>
      <c r="Z928" s="242"/>
      <c r="AA928" s="242"/>
      <c r="AB928" s="242"/>
      <c r="AC928" s="242"/>
      <c r="AD928" s="242"/>
      <c r="AE928" s="242"/>
      <c r="AF928" s="242"/>
      <c r="AG928" s="242"/>
      <c r="AH928" s="242"/>
    </row>
    <row r="929">
      <c r="A929" s="242"/>
      <c r="B929" s="242"/>
      <c r="C929" s="242"/>
      <c r="D929" s="242"/>
      <c r="E929" s="242"/>
      <c r="F929" s="242"/>
      <c r="G929" s="242"/>
      <c r="H929" s="242"/>
      <c r="I929" s="242"/>
      <c r="J929" s="242"/>
      <c r="K929" s="242"/>
      <c r="L929" s="242"/>
      <c r="M929" s="242"/>
      <c r="N929" s="242"/>
      <c r="O929" s="242"/>
      <c r="P929" s="242"/>
      <c r="Q929" s="242"/>
      <c r="R929" s="242"/>
      <c r="S929" s="242"/>
      <c r="T929" s="242"/>
      <c r="U929" s="242"/>
      <c r="V929" s="242"/>
      <c r="W929" s="242"/>
      <c r="X929" s="242"/>
      <c r="Y929" s="242"/>
      <c r="Z929" s="242"/>
      <c r="AA929" s="242"/>
      <c r="AB929" s="242"/>
      <c r="AC929" s="242"/>
      <c r="AD929" s="242"/>
      <c r="AE929" s="242"/>
      <c r="AF929" s="242"/>
      <c r="AG929" s="242"/>
      <c r="AH929" s="242"/>
    </row>
    <row r="930">
      <c r="A930" s="242"/>
      <c r="B930" s="242"/>
      <c r="C930" s="242"/>
      <c r="D930" s="242"/>
      <c r="E930" s="242"/>
      <c r="F930" s="242"/>
      <c r="G930" s="242"/>
      <c r="H930" s="242"/>
      <c r="I930" s="242"/>
      <c r="J930" s="242"/>
      <c r="K930" s="242"/>
      <c r="L930" s="242"/>
      <c r="M930" s="242"/>
      <c r="N930" s="242"/>
      <c r="O930" s="242"/>
      <c r="P930" s="242"/>
      <c r="Q930" s="242"/>
      <c r="R930" s="242"/>
      <c r="S930" s="242"/>
      <c r="T930" s="242"/>
      <c r="U930" s="242"/>
      <c r="V930" s="242"/>
      <c r="W930" s="242"/>
      <c r="X930" s="242"/>
      <c r="Y930" s="242"/>
      <c r="Z930" s="242"/>
      <c r="AA930" s="242"/>
      <c r="AB930" s="242"/>
      <c r="AC930" s="242"/>
      <c r="AD930" s="242"/>
      <c r="AE930" s="242"/>
      <c r="AF930" s="242"/>
      <c r="AG930" s="242"/>
      <c r="AH930" s="242"/>
    </row>
    <row r="931">
      <c r="A931" s="242"/>
      <c r="B931" s="242"/>
      <c r="C931" s="242"/>
      <c r="D931" s="242"/>
      <c r="E931" s="242"/>
      <c r="F931" s="242"/>
      <c r="G931" s="242"/>
      <c r="H931" s="242"/>
      <c r="I931" s="242"/>
      <c r="J931" s="242"/>
      <c r="K931" s="242"/>
      <c r="L931" s="242"/>
      <c r="M931" s="242"/>
      <c r="N931" s="242"/>
      <c r="O931" s="242"/>
      <c r="P931" s="242"/>
      <c r="Q931" s="242"/>
      <c r="R931" s="242"/>
      <c r="S931" s="242"/>
      <c r="T931" s="242"/>
      <c r="U931" s="242"/>
      <c r="V931" s="242"/>
      <c r="W931" s="242"/>
      <c r="X931" s="242"/>
      <c r="Y931" s="242"/>
      <c r="Z931" s="242"/>
      <c r="AA931" s="242"/>
      <c r="AB931" s="242"/>
      <c r="AC931" s="242"/>
      <c r="AD931" s="242"/>
      <c r="AE931" s="242"/>
      <c r="AF931" s="242"/>
      <c r="AG931" s="242"/>
      <c r="AH931" s="242"/>
    </row>
    <row r="932">
      <c r="A932" s="242"/>
      <c r="B932" s="242"/>
      <c r="C932" s="242"/>
      <c r="D932" s="242"/>
      <c r="E932" s="242"/>
      <c r="F932" s="242"/>
      <c r="G932" s="242"/>
      <c r="H932" s="242"/>
      <c r="I932" s="242"/>
      <c r="J932" s="242"/>
      <c r="K932" s="242"/>
      <c r="L932" s="242"/>
      <c r="M932" s="242"/>
      <c r="N932" s="242"/>
      <c r="O932" s="242"/>
      <c r="P932" s="242"/>
      <c r="Q932" s="242"/>
      <c r="R932" s="242"/>
      <c r="S932" s="242"/>
      <c r="T932" s="242"/>
      <c r="U932" s="242"/>
      <c r="V932" s="242"/>
      <c r="W932" s="242"/>
      <c r="X932" s="242"/>
      <c r="Y932" s="242"/>
      <c r="Z932" s="242"/>
      <c r="AA932" s="242"/>
      <c r="AB932" s="242"/>
      <c r="AC932" s="242"/>
      <c r="AD932" s="242"/>
      <c r="AE932" s="242"/>
      <c r="AF932" s="242"/>
      <c r="AG932" s="242"/>
      <c r="AH932" s="242"/>
    </row>
    <row r="933">
      <c r="A933" s="242"/>
      <c r="B933" s="242"/>
      <c r="C933" s="242"/>
      <c r="D933" s="242"/>
      <c r="E933" s="242"/>
      <c r="F933" s="242"/>
      <c r="G933" s="242"/>
      <c r="H933" s="242"/>
      <c r="I933" s="242"/>
      <c r="J933" s="242"/>
      <c r="K933" s="242"/>
      <c r="L933" s="242"/>
      <c r="M933" s="242"/>
      <c r="N933" s="242"/>
      <c r="O933" s="242"/>
      <c r="P933" s="242"/>
      <c r="Q933" s="242"/>
      <c r="R933" s="242"/>
      <c r="S933" s="242"/>
      <c r="T933" s="242"/>
      <c r="U933" s="242"/>
      <c r="V933" s="242"/>
      <c r="W933" s="242"/>
      <c r="X933" s="242"/>
      <c r="Y933" s="242"/>
      <c r="Z933" s="242"/>
      <c r="AA933" s="242"/>
      <c r="AB933" s="242"/>
      <c r="AC933" s="242"/>
      <c r="AD933" s="242"/>
      <c r="AE933" s="242"/>
      <c r="AF933" s="242"/>
      <c r="AG933" s="242"/>
      <c r="AH933" s="242"/>
    </row>
    <row r="934">
      <c r="A934" s="242"/>
      <c r="B934" s="242"/>
      <c r="C934" s="242"/>
      <c r="D934" s="242"/>
      <c r="E934" s="242"/>
      <c r="F934" s="242"/>
      <c r="G934" s="242"/>
      <c r="H934" s="242"/>
      <c r="I934" s="242"/>
      <c r="J934" s="242"/>
      <c r="K934" s="242"/>
      <c r="L934" s="242"/>
      <c r="M934" s="242"/>
      <c r="N934" s="242"/>
      <c r="O934" s="242"/>
      <c r="P934" s="242"/>
      <c r="Q934" s="242"/>
      <c r="R934" s="242"/>
      <c r="S934" s="242"/>
      <c r="T934" s="242"/>
      <c r="U934" s="242"/>
      <c r="V934" s="242"/>
      <c r="W934" s="242"/>
      <c r="X934" s="242"/>
      <c r="Y934" s="242"/>
      <c r="Z934" s="242"/>
      <c r="AA934" s="242"/>
      <c r="AB934" s="242"/>
      <c r="AC934" s="242"/>
      <c r="AD934" s="242"/>
      <c r="AE934" s="242"/>
      <c r="AF934" s="242"/>
      <c r="AG934" s="242"/>
      <c r="AH934" s="242"/>
    </row>
    <row r="935">
      <c r="A935" s="242"/>
      <c r="B935" s="242"/>
      <c r="C935" s="242"/>
      <c r="D935" s="242"/>
      <c r="E935" s="242"/>
      <c r="F935" s="242"/>
      <c r="G935" s="242"/>
      <c r="H935" s="242"/>
      <c r="I935" s="242"/>
      <c r="J935" s="242"/>
      <c r="K935" s="242"/>
      <c r="L935" s="242"/>
      <c r="M935" s="242"/>
      <c r="N935" s="242"/>
      <c r="O935" s="242"/>
      <c r="P935" s="242"/>
      <c r="Q935" s="242"/>
      <c r="R935" s="242"/>
      <c r="S935" s="242"/>
      <c r="T935" s="242"/>
      <c r="U935" s="242"/>
      <c r="V935" s="242"/>
      <c r="W935" s="242"/>
      <c r="X935" s="242"/>
      <c r="Y935" s="242"/>
      <c r="Z935" s="242"/>
      <c r="AA935" s="242"/>
      <c r="AB935" s="242"/>
      <c r="AC935" s="242"/>
      <c r="AD935" s="242"/>
      <c r="AE935" s="242"/>
      <c r="AF935" s="242"/>
      <c r="AG935" s="242"/>
      <c r="AH935" s="242"/>
    </row>
    <row r="936">
      <c r="A936" s="242"/>
      <c r="B936" s="242"/>
      <c r="C936" s="242"/>
      <c r="D936" s="242"/>
      <c r="E936" s="242"/>
      <c r="F936" s="242"/>
      <c r="G936" s="242"/>
      <c r="H936" s="242"/>
      <c r="I936" s="242"/>
      <c r="J936" s="242"/>
      <c r="K936" s="242"/>
      <c r="L936" s="242"/>
      <c r="M936" s="242"/>
      <c r="N936" s="242"/>
      <c r="O936" s="242"/>
      <c r="P936" s="242"/>
      <c r="Q936" s="242"/>
      <c r="R936" s="242"/>
      <c r="S936" s="242"/>
      <c r="T936" s="242"/>
      <c r="U936" s="242"/>
      <c r="V936" s="242"/>
      <c r="W936" s="242"/>
      <c r="X936" s="242"/>
      <c r="Y936" s="242"/>
      <c r="Z936" s="242"/>
      <c r="AA936" s="242"/>
      <c r="AB936" s="242"/>
      <c r="AC936" s="242"/>
      <c r="AD936" s="242"/>
      <c r="AE936" s="242"/>
      <c r="AF936" s="242"/>
      <c r="AG936" s="242"/>
      <c r="AH936" s="242"/>
    </row>
    <row r="937">
      <c r="A937" s="242"/>
      <c r="B937" s="242"/>
      <c r="C937" s="242"/>
      <c r="D937" s="242"/>
      <c r="E937" s="242"/>
      <c r="F937" s="242"/>
      <c r="G937" s="242"/>
      <c r="H937" s="242"/>
      <c r="I937" s="242"/>
      <c r="J937" s="242"/>
      <c r="K937" s="242"/>
      <c r="L937" s="242"/>
      <c r="M937" s="242"/>
      <c r="N937" s="242"/>
      <c r="O937" s="242"/>
      <c r="P937" s="242"/>
      <c r="Q937" s="242"/>
      <c r="R937" s="242"/>
      <c r="S937" s="242"/>
      <c r="T937" s="242"/>
      <c r="U937" s="242"/>
      <c r="V937" s="242"/>
      <c r="W937" s="242"/>
      <c r="X937" s="242"/>
      <c r="Y937" s="242"/>
      <c r="Z937" s="242"/>
      <c r="AA937" s="242"/>
      <c r="AB937" s="242"/>
      <c r="AC937" s="242"/>
      <c r="AD937" s="242"/>
      <c r="AE937" s="242"/>
      <c r="AF937" s="242"/>
      <c r="AG937" s="242"/>
      <c r="AH937" s="242"/>
    </row>
    <row r="938">
      <c r="A938" s="242"/>
      <c r="B938" s="242"/>
      <c r="C938" s="242"/>
      <c r="D938" s="242"/>
      <c r="E938" s="242"/>
      <c r="F938" s="242"/>
      <c r="G938" s="242"/>
      <c r="H938" s="242"/>
      <c r="I938" s="242"/>
      <c r="J938" s="242"/>
      <c r="K938" s="242"/>
      <c r="L938" s="242"/>
      <c r="M938" s="242"/>
      <c r="N938" s="242"/>
      <c r="O938" s="242"/>
      <c r="P938" s="242"/>
      <c r="Q938" s="242"/>
      <c r="R938" s="242"/>
      <c r="S938" s="242"/>
      <c r="T938" s="242"/>
      <c r="U938" s="242"/>
      <c r="V938" s="242"/>
      <c r="W938" s="242"/>
      <c r="X938" s="242"/>
      <c r="Y938" s="242"/>
      <c r="Z938" s="242"/>
      <c r="AA938" s="242"/>
      <c r="AB938" s="242"/>
      <c r="AC938" s="242"/>
      <c r="AD938" s="242"/>
      <c r="AE938" s="242"/>
      <c r="AF938" s="242"/>
      <c r="AG938" s="242"/>
      <c r="AH938" s="242"/>
    </row>
    <row r="939">
      <c r="A939" s="242"/>
      <c r="B939" s="242"/>
      <c r="C939" s="242"/>
      <c r="D939" s="242"/>
      <c r="E939" s="242"/>
      <c r="F939" s="242"/>
      <c r="G939" s="242"/>
      <c r="H939" s="242"/>
      <c r="I939" s="242"/>
      <c r="J939" s="242"/>
      <c r="K939" s="242"/>
      <c r="L939" s="242"/>
      <c r="M939" s="242"/>
      <c r="N939" s="242"/>
      <c r="O939" s="242"/>
      <c r="P939" s="242"/>
      <c r="Q939" s="242"/>
      <c r="R939" s="242"/>
      <c r="S939" s="242"/>
      <c r="T939" s="242"/>
      <c r="U939" s="242"/>
      <c r="V939" s="242"/>
      <c r="W939" s="242"/>
      <c r="X939" s="242"/>
      <c r="Y939" s="242"/>
      <c r="Z939" s="242"/>
      <c r="AA939" s="242"/>
      <c r="AB939" s="242"/>
      <c r="AC939" s="242"/>
      <c r="AD939" s="242"/>
      <c r="AE939" s="242"/>
      <c r="AF939" s="242"/>
      <c r="AG939" s="242"/>
      <c r="AH939" s="242"/>
    </row>
    <row r="940">
      <c r="A940" s="242"/>
      <c r="B940" s="242"/>
      <c r="C940" s="242"/>
      <c r="D940" s="242"/>
      <c r="E940" s="242"/>
      <c r="F940" s="242"/>
      <c r="G940" s="242"/>
      <c r="H940" s="242"/>
      <c r="I940" s="242"/>
      <c r="J940" s="242"/>
      <c r="K940" s="242"/>
      <c r="L940" s="242"/>
      <c r="M940" s="242"/>
      <c r="N940" s="242"/>
      <c r="O940" s="242"/>
      <c r="P940" s="242"/>
      <c r="Q940" s="242"/>
      <c r="R940" s="242"/>
      <c r="S940" s="242"/>
      <c r="T940" s="242"/>
      <c r="U940" s="242"/>
      <c r="V940" s="242"/>
      <c r="W940" s="242"/>
      <c r="X940" s="242"/>
      <c r="Y940" s="242"/>
      <c r="Z940" s="242"/>
      <c r="AA940" s="242"/>
      <c r="AB940" s="242"/>
      <c r="AC940" s="242"/>
      <c r="AD940" s="242"/>
      <c r="AE940" s="242"/>
      <c r="AF940" s="242"/>
      <c r="AG940" s="242"/>
      <c r="AH940" s="242"/>
    </row>
    <row r="941">
      <c r="A941" s="242"/>
      <c r="B941" s="242"/>
      <c r="C941" s="242"/>
      <c r="D941" s="242"/>
      <c r="E941" s="242"/>
      <c r="F941" s="242"/>
      <c r="G941" s="242"/>
      <c r="H941" s="242"/>
      <c r="I941" s="242"/>
      <c r="J941" s="242"/>
      <c r="K941" s="242"/>
      <c r="L941" s="242"/>
      <c r="M941" s="242"/>
      <c r="N941" s="242"/>
      <c r="O941" s="242"/>
      <c r="P941" s="242"/>
      <c r="Q941" s="242"/>
      <c r="R941" s="242"/>
      <c r="S941" s="242"/>
      <c r="T941" s="242"/>
      <c r="U941" s="242"/>
      <c r="V941" s="242"/>
      <c r="W941" s="242"/>
      <c r="X941" s="242"/>
      <c r="Y941" s="242"/>
      <c r="Z941" s="242"/>
      <c r="AA941" s="242"/>
      <c r="AB941" s="242"/>
      <c r="AC941" s="242"/>
      <c r="AD941" s="242"/>
      <c r="AE941" s="242"/>
      <c r="AF941" s="242"/>
      <c r="AG941" s="242"/>
      <c r="AH941" s="242"/>
    </row>
    <row r="942">
      <c r="A942" s="242"/>
      <c r="B942" s="242"/>
      <c r="C942" s="242"/>
      <c r="D942" s="242"/>
      <c r="E942" s="242"/>
      <c r="F942" s="242"/>
      <c r="G942" s="242"/>
      <c r="H942" s="242"/>
      <c r="I942" s="242"/>
      <c r="J942" s="242"/>
      <c r="K942" s="242"/>
      <c r="L942" s="242"/>
      <c r="M942" s="242"/>
      <c r="N942" s="242"/>
      <c r="O942" s="242"/>
      <c r="P942" s="242"/>
      <c r="Q942" s="242"/>
      <c r="R942" s="242"/>
      <c r="S942" s="242"/>
      <c r="T942" s="242"/>
      <c r="U942" s="242"/>
      <c r="V942" s="242"/>
      <c r="W942" s="242"/>
      <c r="X942" s="242"/>
      <c r="Y942" s="242"/>
      <c r="Z942" s="242"/>
      <c r="AA942" s="242"/>
      <c r="AB942" s="242"/>
      <c r="AC942" s="242"/>
      <c r="AD942" s="242"/>
      <c r="AE942" s="242"/>
      <c r="AF942" s="242"/>
      <c r="AG942" s="242"/>
      <c r="AH942" s="242"/>
    </row>
    <row r="943">
      <c r="A943" s="242"/>
      <c r="B943" s="242"/>
      <c r="C943" s="242"/>
      <c r="D943" s="242"/>
      <c r="E943" s="242"/>
      <c r="F943" s="242"/>
      <c r="G943" s="242"/>
      <c r="H943" s="242"/>
      <c r="I943" s="242"/>
      <c r="J943" s="242"/>
      <c r="K943" s="242"/>
      <c r="L943" s="242"/>
      <c r="M943" s="242"/>
      <c r="N943" s="242"/>
      <c r="O943" s="242"/>
      <c r="P943" s="242"/>
      <c r="Q943" s="242"/>
      <c r="R943" s="242"/>
      <c r="S943" s="242"/>
      <c r="T943" s="242"/>
      <c r="U943" s="242"/>
      <c r="V943" s="242"/>
      <c r="W943" s="242"/>
      <c r="X943" s="242"/>
      <c r="Y943" s="242"/>
      <c r="Z943" s="242"/>
      <c r="AA943" s="242"/>
      <c r="AB943" s="242"/>
      <c r="AC943" s="242"/>
      <c r="AD943" s="242"/>
      <c r="AE943" s="242"/>
      <c r="AF943" s="242"/>
      <c r="AG943" s="242"/>
      <c r="AH943" s="242"/>
    </row>
    <row r="944">
      <c r="A944" s="242"/>
      <c r="B944" s="242"/>
      <c r="C944" s="242"/>
      <c r="D944" s="242"/>
      <c r="E944" s="242"/>
      <c r="F944" s="242"/>
      <c r="G944" s="242"/>
      <c r="H944" s="242"/>
      <c r="I944" s="242"/>
      <c r="J944" s="242"/>
      <c r="K944" s="242"/>
      <c r="L944" s="242"/>
      <c r="M944" s="242"/>
      <c r="N944" s="242"/>
      <c r="O944" s="242"/>
      <c r="P944" s="242"/>
      <c r="Q944" s="242"/>
      <c r="R944" s="242"/>
      <c r="S944" s="242"/>
      <c r="T944" s="242"/>
      <c r="U944" s="242"/>
      <c r="V944" s="242"/>
      <c r="W944" s="242"/>
      <c r="X944" s="242"/>
      <c r="Y944" s="242"/>
      <c r="Z944" s="242"/>
      <c r="AA944" s="242"/>
      <c r="AB944" s="242"/>
      <c r="AC944" s="242"/>
      <c r="AD944" s="242"/>
      <c r="AE944" s="242"/>
      <c r="AF944" s="242"/>
      <c r="AG944" s="242"/>
      <c r="AH944" s="242"/>
    </row>
    <row r="945">
      <c r="A945" s="242"/>
      <c r="B945" s="242"/>
      <c r="C945" s="242"/>
      <c r="D945" s="242"/>
      <c r="E945" s="242"/>
      <c r="F945" s="242"/>
      <c r="G945" s="242"/>
      <c r="H945" s="242"/>
      <c r="I945" s="242"/>
      <c r="J945" s="242"/>
      <c r="K945" s="242"/>
      <c r="L945" s="242"/>
      <c r="M945" s="242"/>
      <c r="N945" s="242"/>
      <c r="O945" s="242"/>
      <c r="P945" s="242"/>
      <c r="Q945" s="242"/>
      <c r="R945" s="242"/>
      <c r="S945" s="242"/>
      <c r="T945" s="242"/>
      <c r="U945" s="242"/>
      <c r="V945" s="242"/>
      <c r="W945" s="242"/>
      <c r="X945" s="242"/>
      <c r="Y945" s="242"/>
      <c r="Z945" s="242"/>
      <c r="AA945" s="242"/>
      <c r="AB945" s="242"/>
      <c r="AC945" s="242"/>
      <c r="AD945" s="242"/>
      <c r="AE945" s="242"/>
      <c r="AF945" s="242"/>
      <c r="AG945" s="242"/>
      <c r="AH945" s="242"/>
    </row>
    <row r="946">
      <c r="A946" s="242"/>
      <c r="B946" s="242"/>
      <c r="C946" s="242"/>
      <c r="D946" s="242"/>
      <c r="E946" s="242"/>
      <c r="F946" s="242"/>
      <c r="G946" s="242"/>
      <c r="H946" s="242"/>
      <c r="I946" s="242"/>
      <c r="J946" s="242"/>
      <c r="K946" s="242"/>
      <c r="L946" s="242"/>
      <c r="M946" s="242"/>
      <c r="N946" s="242"/>
      <c r="O946" s="242"/>
      <c r="P946" s="242"/>
      <c r="Q946" s="242"/>
      <c r="R946" s="242"/>
      <c r="S946" s="242"/>
      <c r="T946" s="242"/>
      <c r="U946" s="242"/>
      <c r="V946" s="242"/>
      <c r="W946" s="242"/>
      <c r="X946" s="242"/>
      <c r="Y946" s="242"/>
      <c r="Z946" s="242"/>
      <c r="AA946" s="242"/>
      <c r="AB946" s="242"/>
      <c r="AC946" s="242"/>
      <c r="AD946" s="242"/>
      <c r="AE946" s="242"/>
      <c r="AF946" s="242"/>
      <c r="AG946" s="242"/>
      <c r="AH946" s="242"/>
    </row>
    <row r="947">
      <c r="A947" s="242"/>
      <c r="B947" s="242"/>
      <c r="C947" s="242"/>
      <c r="D947" s="242"/>
      <c r="E947" s="242"/>
      <c r="F947" s="242"/>
      <c r="G947" s="242"/>
      <c r="H947" s="242"/>
      <c r="I947" s="242"/>
      <c r="J947" s="242"/>
      <c r="K947" s="242"/>
      <c r="L947" s="242"/>
      <c r="M947" s="242"/>
      <c r="N947" s="242"/>
      <c r="O947" s="242"/>
      <c r="P947" s="242"/>
      <c r="Q947" s="242"/>
      <c r="R947" s="242"/>
      <c r="S947" s="242"/>
      <c r="T947" s="242"/>
      <c r="U947" s="242"/>
      <c r="V947" s="242"/>
      <c r="W947" s="242"/>
      <c r="X947" s="242"/>
      <c r="Y947" s="242"/>
      <c r="Z947" s="242"/>
      <c r="AA947" s="242"/>
      <c r="AB947" s="242"/>
      <c r="AC947" s="242"/>
      <c r="AD947" s="242"/>
      <c r="AE947" s="242"/>
      <c r="AF947" s="242"/>
      <c r="AG947" s="242"/>
      <c r="AH947" s="242"/>
    </row>
    <row r="948">
      <c r="A948" s="242"/>
      <c r="B948" s="242"/>
      <c r="C948" s="242"/>
      <c r="D948" s="242"/>
      <c r="E948" s="242"/>
      <c r="F948" s="242"/>
      <c r="G948" s="242"/>
      <c r="H948" s="242"/>
      <c r="I948" s="242"/>
      <c r="J948" s="242"/>
      <c r="K948" s="242"/>
      <c r="L948" s="242"/>
      <c r="M948" s="242"/>
      <c r="N948" s="242"/>
      <c r="O948" s="242"/>
      <c r="P948" s="242"/>
      <c r="Q948" s="242"/>
      <c r="R948" s="242"/>
      <c r="S948" s="242"/>
      <c r="T948" s="242"/>
      <c r="U948" s="242"/>
      <c r="V948" s="242"/>
      <c r="W948" s="242"/>
      <c r="X948" s="242"/>
      <c r="Y948" s="242"/>
      <c r="Z948" s="242"/>
      <c r="AA948" s="242"/>
      <c r="AB948" s="242"/>
      <c r="AC948" s="242"/>
      <c r="AD948" s="242"/>
      <c r="AE948" s="242"/>
      <c r="AF948" s="242"/>
      <c r="AG948" s="242"/>
      <c r="AH948" s="242"/>
    </row>
    <row r="949">
      <c r="A949" s="242"/>
      <c r="B949" s="242"/>
      <c r="C949" s="242"/>
      <c r="D949" s="242"/>
      <c r="E949" s="242"/>
      <c r="F949" s="242"/>
      <c r="G949" s="242"/>
      <c r="H949" s="242"/>
      <c r="I949" s="242"/>
      <c r="J949" s="242"/>
      <c r="K949" s="242"/>
      <c r="L949" s="242"/>
      <c r="M949" s="242"/>
      <c r="N949" s="242"/>
      <c r="O949" s="242"/>
      <c r="P949" s="242"/>
      <c r="Q949" s="242"/>
      <c r="R949" s="242"/>
      <c r="S949" s="242"/>
      <c r="T949" s="242"/>
      <c r="U949" s="242"/>
      <c r="V949" s="242"/>
      <c r="W949" s="242"/>
      <c r="X949" s="242"/>
      <c r="Y949" s="242"/>
      <c r="Z949" s="242"/>
      <c r="AA949" s="242"/>
      <c r="AB949" s="242"/>
      <c r="AC949" s="242"/>
      <c r="AD949" s="242"/>
      <c r="AE949" s="242"/>
      <c r="AF949" s="242"/>
      <c r="AG949" s="242"/>
      <c r="AH949" s="242"/>
    </row>
    <row r="950">
      <c r="A950" s="242"/>
      <c r="B950" s="242"/>
      <c r="C950" s="242"/>
      <c r="D950" s="242"/>
      <c r="E950" s="242"/>
      <c r="F950" s="242"/>
      <c r="G950" s="242"/>
      <c r="H950" s="242"/>
      <c r="I950" s="242"/>
      <c r="J950" s="242"/>
      <c r="K950" s="242"/>
      <c r="L950" s="242"/>
      <c r="M950" s="242"/>
      <c r="N950" s="242"/>
      <c r="O950" s="242"/>
      <c r="P950" s="242"/>
      <c r="Q950" s="242"/>
      <c r="R950" s="242"/>
      <c r="S950" s="242"/>
      <c r="T950" s="242"/>
      <c r="U950" s="242"/>
      <c r="V950" s="242"/>
      <c r="W950" s="242"/>
      <c r="X950" s="242"/>
      <c r="Y950" s="242"/>
      <c r="Z950" s="242"/>
      <c r="AA950" s="242"/>
      <c r="AB950" s="242"/>
      <c r="AC950" s="242"/>
      <c r="AD950" s="242"/>
      <c r="AE950" s="242"/>
      <c r="AF950" s="242"/>
      <c r="AG950" s="242"/>
      <c r="AH950" s="242"/>
    </row>
    <row r="951">
      <c r="A951" s="242"/>
      <c r="B951" s="242"/>
      <c r="C951" s="242"/>
      <c r="D951" s="242"/>
      <c r="E951" s="242"/>
      <c r="F951" s="242"/>
      <c r="G951" s="242"/>
      <c r="H951" s="242"/>
      <c r="I951" s="242"/>
      <c r="J951" s="242"/>
      <c r="K951" s="242"/>
      <c r="L951" s="242"/>
      <c r="M951" s="242"/>
      <c r="N951" s="242"/>
      <c r="O951" s="242"/>
      <c r="P951" s="242"/>
      <c r="Q951" s="242"/>
      <c r="R951" s="242"/>
      <c r="S951" s="242"/>
      <c r="T951" s="242"/>
      <c r="U951" s="242"/>
      <c r="V951" s="242"/>
      <c r="W951" s="242"/>
      <c r="X951" s="242"/>
      <c r="Y951" s="242"/>
      <c r="Z951" s="242"/>
      <c r="AA951" s="242"/>
      <c r="AB951" s="242"/>
      <c r="AC951" s="242"/>
      <c r="AD951" s="242"/>
      <c r="AE951" s="242"/>
      <c r="AF951" s="242"/>
      <c r="AG951" s="242"/>
      <c r="AH951" s="242"/>
    </row>
    <row r="952">
      <c r="A952" s="242"/>
      <c r="B952" s="242"/>
      <c r="C952" s="242"/>
      <c r="D952" s="242"/>
      <c r="E952" s="242"/>
      <c r="F952" s="242"/>
      <c r="G952" s="242"/>
      <c r="H952" s="242"/>
      <c r="I952" s="242"/>
      <c r="J952" s="242"/>
      <c r="K952" s="242"/>
      <c r="L952" s="242"/>
      <c r="M952" s="242"/>
      <c r="N952" s="242"/>
      <c r="O952" s="242"/>
      <c r="P952" s="242"/>
      <c r="Q952" s="242"/>
      <c r="R952" s="242"/>
      <c r="S952" s="242"/>
      <c r="T952" s="242"/>
      <c r="U952" s="242"/>
      <c r="V952" s="242"/>
      <c r="W952" s="242"/>
      <c r="X952" s="242"/>
      <c r="Y952" s="242"/>
      <c r="Z952" s="242"/>
      <c r="AA952" s="242"/>
      <c r="AB952" s="242"/>
      <c r="AC952" s="242"/>
      <c r="AD952" s="242"/>
      <c r="AE952" s="242"/>
      <c r="AF952" s="242"/>
      <c r="AG952" s="242"/>
      <c r="AH952" s="242"/>
    </row>
    <row r="953">
      <c r="A953" s="242"/>
      <c r="B953" s="242"/>
      <c r="C953" s="242"/>
      <c r="D953" s="242"/>
      <c r="E953" s="242"/>
      <c r="F953" s="242"/>
      <c r="G953" s="242"/>
      <c r="H953" s="242"/>
      <c r="I953" s="242"/>
      <c r="J953" s="242"/>
      <c r="K953" s="242"/>
      <c r="L953" s="242"/>
      <c r="M953" s="242"/>
      <c r="N953" s="242"/>
      <c r="O953" s="242"/>
      <c r="P953" s="242"/>
      <c r="Q953" s="242"/>
      <c r="R953" s="242"/>
      <c r="S953" s="242"/>
      <c r="T953" s="242"/>
      <c r="U953" s="242"/>
      <c r="V953" s="242"/>
      <c r="W953" s="242"/>
      <c r="X953" s="242"/>
      <c r="Y953" s="242"/>
      <c r="Z953" s="242"/>
      <c r="AA953" s="242"/>
      <c r="AB953" s="242"/>
      <c r="AC953" s="242"/>
      <c r="AD953" s="242"/>
      <c r="AE953" s="242"/>
      <c r="AF953" s="242"/>
      <c r="AG953" s="242"/>
      <c r="AH953" s="242"/>
    </row>
    <row r="954">
      <c r="A954" s="242"/>
      <c r="B954" s="242"/>
      <c r="C954" s="242"/>
      <c r="D954" s="242"/>
      <c r="E954" s="242"/>
      <c r="F954" s="242"/>
      <c r="G954" s="242"/>
      <c r="H954" s="242"/>
      <c r="I954" s="242"/>
      <c r="J954" s="242"/>
      <c r="K954" s="242"/>
      <c r="L954" s="242"/>
      <c r="M954" s="242"/>
      <c r="N954" s="242"/>
      <c r="O954" s="242"/>
      <c r="P954" s="242"/>
      <c r="Q954" s="242"/>
      <c r="R954" s="242"/>
      <c r="S954" s="242"/>
      <c r="T954" s="242"/>
      <c r="U954" s="242"/>
      <c r="V954" s="242"/>
      <c r="W954" s="242"/>
      <c r="X954" s="242"/>
      <c r="Y954" s="242"/>
      <c r="Z954" s="242"/>
      <c r="AA954" s="242"/>
      <c r="AB954" s="242"/>
      <c r="AC954" s="242"/>
      <c r="AD954" s="242"/>
      <c r="AE954" s="242"/>
      <c r="AF954" s="242"/>
      <c r="AG954" s="242"/>
      <c r="AH954" s="242"/>
    </row>
    <row r="955">
      <c r="A955" s="242"/>
      <c r="B955" s="242"/>
      <c r="C955" s="242"/>
      <c r="D955" s="242"/>
      <c r="E955" s="242"/>
      <c r="F955" s="242"/>
      <c r="G955" s="242"/>
      <c r="H955" s="242"/>
      <c r="I955" s="242"/>
      <c r="J955" s="242"/>
      <c r="K955" s="242"/>
      <c r="L955" s="242"/>
      <c r="M955" s="242"/>
      <c r="N955" s="242"/>
      <c r="O955" s="242"/>
      <c r="P955" s="242"/>
      <c r="Q955" s="242"/>
      <c r="R955" s="242"/>
      <c r="S955" s="242"/>
      <c r="T955" s="242"/>
      <c r="U955" s="242"/>
      <c r="V955" s="242"/>
      <c r="W955" s="242"/>
      <c r="X955" s="242"/>
      <c r="Y955" s="242"/>
      <c r="Z955" s="242"/>
      <c r="AA955" s="242"/>
      <c r="AB955" s="242"/>
      <c r="AC955" s="242"/>
      <c r="AD955" s="242"/>
      <c r="AE955" s="242"/>
      <c r="AF955" s="242"/>
      <c r="AG955" s="242"/>
      <c r="AH955" s="242"/>
    </row>
    <row r="956">
      <c r="A956" s="242"/>
      <c r="B956" s="242"/>
      <c r="C956" s="242"/>
      <c r="D956" s="242"/>
      <c r="E956" s="242"/>
      <c r="F956" s="242"/>
      <c r="G956" s="242"/>
      <c r="H956" s="242"/>
      <c r="I956" s="242"/>
      <c r="J956" s="242"/>
      <c r="K956" s="242"/>
      <c r="L956" s="242"/>
      <c r="M956" s="242"/>
      <c r="N956" s="242"/>
      <c r="O956" s="242"/>
      <c r="P956" s="242"/>
      <c r="Q956" s="242"/>
      <c r="R956" s="242"/>
      <c r="S956" s="242"/>
      <c r="T956" s="242"/>
      <c r="U956" s="242"/>
      <c r="V956" s="242"/>
      <c r="W956" s="242"/>
      <c r="X956" s="242"/>
      <c r="Y956" s="242"/>
      <c r="Z956" s="242"/>
      <c r="AA956" s="242"/>
      <c r="AB956" s="242"/>
      <c r="AC956" s="242"/>
      <c r="AD956" s="242"/>
      <c r="AE956" s="242"/>
      <c r="AF956" s="242"/>
      <c r="AG956" s="242"/>
      <c r="AH956" s="242"/>
    </row>
    <row r="957">
      <c r="A957" s="242"/>
      <c r="B957" s="242"/>
      <c r="C957" s="242"/>
      <c r="D957" s="242"/>
      <c r="E957" s="242"/>
      <c r="F957" s="242"/>
      <c r="G957" s="242"/>
      <c r="H957" s="242"/>
      <c r="I957" s="242"/>
      <c r="J957" s="242"/>
      <c r="K957" s="242"/>
      <c r="L957" s="242"/>
      <c r="M957" s="242"/>
      <c r="N957" s="242"/>
      <c r="O957" s="242"/>
      <c r="P957" s="242"/>
      <c r="Q957" s="242"/>
      <c r="R957" s="242"/>
      <c r="S957" s="242"/>
      <c r="T957" s="242"/>
      <c r="U957" s="242"/>
      <c r="V957" s="242"/>
      <c r="W957" s="242"/>
      <c r="X957" s="242"/>
      <c r="Y957" s="242"/>
      <c r="Z957" s="242"/>
      <c r="AA957" s="242"/>
      <c r="AB957" s="242"/>
      <c r="AC957" s="242"/>
      <c r="AD957" s="242"/>
      <c r="AE957" s="242"/>
      <c r="AF957" s="242"/>
      <c r="AG957" s="242"/>
      <c r="AH957" s="242"/>
    </row>
    <row r="958">
      <c r="A958" s="242"/>
      <c r="B958" s="242"/>
      <c r="C958" s="242"/>
      <c r="D958" s="242"/>
      <c r="E958" s="242"/>
      <c r="F958" s="242"/>
      <c r="G958" s="242"/>
      <c r="H958" s="242"/>
      <c r="I958" s="242"/>
      <c r="J958" s="242"/>
      <c r="K958" s="242"/>
      <c r="L958" s="242"/>
      <c r="M958" s="242"/>
      <c r="N958" s="242"/>
      <c r="O958" s="242"/>
      <c r="P958" s="242"/>
      <c r="Q958" s="242"/>
      <c r="R958" s="242"/>
      <c r="S958" s="242"/>
      <c r="T958" s="242"/>
      <c r="U958" s="242"/>
      <c r="V958" s="242"/>
      <c r="W958" s="242"/>
      <c r="X958" s="242"/>
      <c r="Y958" s="242"/>
      <c r="Z958" s="242"/>
      <c r="AA958" s="242"/>
      <c r="AB958" s="242"/>
      <c r="AC958" s="242"/>
      <c r="AD958" s="242"/>
      <c r="AE958" s="242"/>
      <c r="AF958" s="242"/>
      <c r="AG958" s="242"/>
      <c r="AH958" s="242"/>
    </row>
    <row r="959">
      <c r="A959" s="242"/>
      <c r="B959" s="242"/>
      <c r="C959" s="242"/>
      <c r="D959" s="242"/>
      <c r="E959" s="242"/>
      <c r="F959" s="242"/>
      <c r="G959" s="242"/>
      <c r="H959" s="242"/>
      <c r="I959" s="242"/>
      <c r="J959" s="242"/>
      <c r="K959" s="242"/>
      <c r="L959" s="242"/>
      <c r="M959" s="242"/>
      <c r="N959" s="242"/>
      <c r="O959" s="242"/>
      <c r="P959" s="242"/>
      <c r="Q959" s="242"/>
      <c r="R959" s="242"/>
      <c r="S959" s="242"/>
      <c r="T959" s="242"/>
      <c r="U959" s="242"/>
      <c r="V959" s="242"/>
      <c r="W959" s="242"/>
      <c r="X959" s="242"/>
      <c r="Y959" s="242"/>
      <c r="Z959" s="242"/>
      <c r="AA959" s="242"/>
      <c r="AB959" s="242"/>
      <c r="AC959" s="242"/>
      <c r="AD959" s="242"/>
      <c r="AE959" s="242"/>
      <c r="AF959" s="242"/>
      <c r="AG959" s="242"/>
      <c r="AH959" s="242"/>
    </row>
    <row r="960">
      <c r="A960" s="242"/>
      <c r="B960" s="242"/>
      <c r="C960" s="242"/>
      <c r="D960" s="242"/>
      <c r="E960" s="242"/>
      <c r="F960" s="242"/>
      <c r="G960" s="242"/>
      <c r="H960" s="242"/>
      <c r="I960" s="242"/>
      <c r="J960" s="242"/>
      <c r="K960" s="242"/>
      <c r="L960" s="242"/>
      <c r="M960" s="242"/>
      <c r="N960" s="242"/>
      <c r="O960" s="242"/>
      <c r="P960" s="242"/>
      <c r="Q960" s="242"/>
      <c r="R960" s="242"/>
      <c r="S960" s="242"/>
      <c r="T960" s="242"/>
      <c r="U960" s="242"/>
      <c r="V960" s="242"/>
      <c r="W960" s="242"/>
      <c r="X960" s="242"/>
      <c r="Y960" s="242"/>
      <c r="Z960" s="242"/>
      <c r="AA960" s="242"/>
      <c r="AB960" s="242"/>
      <c r="AC960" s="242"/>
      <c r="AD960" s="242"/>
      <c r="AE960" s="242"/>
      <c r="AF960" s="242"/>
      <c r="AG960" s="242"/>
      <c r="AH960" s="242"/>
    </row>
    <row r="961">
      <c r="A961" s="242"/>
      <c r="B961" s="242"/>
      <c r="C961" s="242"/>
      <c r="D961" s="242"/>
      <c r="E961" s="242"/>
      <c r="F961" s="242"/>
      <c r="G961" s="242"/>
      <c r="H961" s="242"/>
      <c r="I961" s="242"/>
      <c r="J961" s="242"/>
      <c r="K961" s="242"/>
      <c r="L961" s="242"/>
      <c r="M961" s="242"/>
      <c r="N961" s="242"/>
      <c r="O961" s="242"/>
      <c r="P961" s="242"/>
      <c r="Q961" s="242"/>
      <c r="R961" s="242"/>
      <c r="S961" s="242"/>
      <c r="T961" s="242"/>
      <c r="U961" s="242"/>
      <c r="V961" s="242"/>
      <c r="W961" s="242"/>
      <c r="X961" s="242"/>
      <c r="Y961" s="242"/>
      <c r="Z961" s="242"/>
      <c r="AA961" s="242"/>
      <c r="AB961" s="242"/>
      <c r="AC961" s="242"/>
      <c r="AD961" s="242"/>
      <c r="AE961" s="242"/>
      <c r="AF961" s="242"/>
      <c r="AG961" s="242"/>
      <c r="AH961" s="242"/>
    </row>
    <row r="962">
      <c r="A962" s="242"/>
      <c r="B962" s="242"/>
      <c r="C962" s="242"/>
      <c r="D962" s="242"/>
      <c r="E962" s="242"/>
      <c r="F962" s="242"/>
      <c r="G962" s="242"/>
      <c r="H962" s="242"/>
      <c r="I962" s="242"/>
      <c r="J962" s="242"/>
      <c r="K962" s="242"/>
      <c r="L962" s="242"/>
      <c r="M962" s="242"/>
      <c r="N962" s="242"/>
      <c r="O962" s="242"/>
      <c r="P962" s="242"/>
      <c r="Q962" s="242"/>
      <c r="R962" s="242"/>
      <c r="S962" s="242"/>
      <c r="T962" s="242"/>
      <c r="U962" s="242"/>
      <c r="V962" s="242"/>
      <c r="W962" s="242"/>
      <c r="X962" s="242"/>
      <c r="Y962" s="242"/>
      <c r="Z962" s="242"/>
      <c r="AA962" s="242"/>
      <c r="AB962" s="242"/>
      <c r="AC962" s="242"/>
      <c r="AD962" s="242"/>
      <c r="AE962" s="242"/>
      <c r="AF962" s="242"/>
      <c r="AG962" s="242"/>
      <c r="AH962" s="242"/>
    </row>
    <row r="963">
      <c r="A963" s="242"/>
      <c r="B963" s="242"/>
      <c r="C963" s="242"/>
      <c r="D963" s="242"/>
      <c r="E963" s="242"/>
      <c r="F963" s="242"/>
      <c r="G963" s="242"/>
      <c r="H963" s="242"/>
      <c r="I963" s="242"/>
      <c r="J963" s="242"/>
      <c r="K963" s="242"/>
      <c r="L963" s="242"/>
      <c r="M963" s="242"/>
      <c r="N963" s="242"/>
      <c r="O963" s="242"/>
      <c r="P963" s="242"/>
      <c r="Q963" s="242"/>
      <c r="R963" s="242"/>
      <c r="S963" s="242"/>
      <c r="T963" s="242"/>
      <c r="U963" s="242"/>
      <c r="V963" s="242"/>
      <c r="W963" s="242"/>
      <c r="X963" s="242"/>
      <c r="Y963" s="242"/>
      <c r="Z963" s="242"/>
      <c r="AA963" s="242"/>
      <c r="AB963" s="242"/>
      <c r="AC963" s="242"/>
      <c r="AD963" s="242"/>
      <c r="AE963" s="242"/>
      <c r="AF963" s="242"/>
      <c r="AG963" s="242"/>
      <c r="AH963" s="242"/>
    </row>
    <row r="964">
      <c r="A964" s="242"/>
      <c r="B964" s="242"/>
      <c r="C964" s="242"/>
      <c r="D964" s="242"/>
      <c r="E964" s="242"/>
      <c r="F964" s="242"/>
      <c r="G964" s="242"/>
      <c r="H964" s="242"/>
      <c r="I964" s="242"/>
      <c r="J964" s="242"/>
      <c r="K964" s="242"/>
      <c r="L964" s="242"/>
      <c r="M964" s="242"/>
      <c r="N964" s="242"/>
      <c r="O964" s="242"/>
      <c r="P964" s="242"/>
      <c r="Q964" s="242"/>
      <c r="R964" s="242"/>
      <c r="S964" s="242"/>
      <c r="T964" s="242"/>
      <c r="U964" s="242"/>
      <c r="V964" s="242"/>
      <c r="W964" s="242"/>
      <c r="X964" s="242"/>
      <c r="Y964" s="242"/>
      <c r="Z964" s="242"/>
      <c r="AA964" s="242"/>
      <c r="AB964" s="242"/>
      <c r="AC964" s="242"/>
      <c r="AD964" s="242"/>
      <c r="AE964" s="242"/>
      <c r="AF964" s="242"/>
      <c r="AG964" s="242"/>
      <c r="AH964" s="242"/>
    </row>
    <row r="965">
      <c r="A965" s="242"/>
      <c r="B965" s="242"/>
      <c r="C965" s="242"/>
      <c r="D965" s="242"/>
      <c r="E965" s="242"/>
      <c r="F965" s="242"/>
      <c r="G965" s="242"/>
      <c r="H965" s="242"/>
      <c r="I965" s="242"/>
      <c r="J965" s="242"/>
      <c r="K965" s="242"/>
      <c r="L965" s="242"/>
      <c r="M965" s="242"/>
      <c r="N965" s="242"/>
      <c r="O965" s="242"/>
      <c r="P965" s="242"/>
      <c r="Q965" s="242"/>
      <c r="R965" s="242"/>
      <c r="S965" s="242"/>
      <c r="T965" s="242"/>
      <c r="U965" s="242"/>
      <c r="V965" s="242"/>
      <c r="W965" s="242"/>
      <c r="X965" s="242"/>
      <c r="Y965" s="242"/>
      <c r="Z965" s="242"/>
      <c r="AA965" s="242"/>
      <c r="AB965" s="242"/>
      <c r="AC965" s="242"/>
      <c r="AD965" s="242"/>
      <c r="AE965" s="242"/>
      <c r="AF965" s="242"/>
      <c r="AG965" s="242"/>
      <c r="AH965" s="242"/>
    </row>
    <row r="966">
      <c r="A966" s="242"/>
      <c r="B966" s="242"/>
      <c r="C966" s="242"/>
      <c r="D966" s="242"/>
      <c r="E966" s="242"/>
      <c r="F966" s="242"/>
      <c r="G966" s="242"/>
      <c r="H966" s="242"/>
      <c r="I966" s="242"/>
      <c r="J966" s="242"/>
      <c r="K966" s="242"/>
      <c r="L966" s="242"/>
      <c r="M966" s="242"/>
      <c r="N966" s="242"/>
      <c r="O966" s="242"/>
      <c r="P966" s="242"/>
      <c r="Q966" s="242"/>
      <c r="R966" s="242"/>
      <c r="S966" s="242"/>
      <c r="T966" s="242"/>
      <c r="U966" s="242"/>
      <c r="V966" s="242"/>
      <c r="W966" s="242"/>
      <c r="X966" s="242"/>
      <c r="Y966" s="242"/>
      <c r="Z966" s="242"/>
      <c r="AA966" s="242"/>
      <c r="AB966" s="242"/>
      <c r="AC966" s="242"/>
      <c r="AD966" s="242"/>
      <c r="AE966" s="242"/>
      <c r="AF966" s="242"/>
      <c r="AG966" s="242"/>
      <c r="AH966" s="242"/>
    </row>
    <row r="967">
      <c r="A967" s="242"/>
      <c r="B967" s="242"/>
      <c r="C967" s="242"/>
      <c r="D967" s="242"/>
      <c r="E967" s="242"/>
      <c r="F967" s="242"/>
      <c r="G967" s="242"/>
      <c r="H967" s="242"/>
      <c r="I967" s="242"/>
      <c r="J967" s="242"/>
      <c r="K967" s="242"/>
      <c r="L967" s="242"/>
      <c r="M967" s="242"/>
      <c r="N967" s="242"/>
      <c r="O967" s="242"/>
      <c r="P967" s="242"/>
      <c r="Q967" s="242"/>
      <c r="R967" s="242"/>
      <c r="S967" s="242"/>
      <c r="T967" s="242"/>
      <c r="U967" s="242"/>
      <c r="V967" s="242"/>
      <c r="W967" s="242"/>
      <c r="X967" s="242"/>
      <c r="Y967" s="242"/>
      <c r="Z967" s="242"/>
      <c r="AA967" s="242"/>
      <c r="AB967" s="242"/>
      <c r="AC967" s="242"/>
      <c r="AD967" s="242"/>
      <c r="AE967" s="242"/>
      <c r="AF967" s="242"/>
      <c r="AG967" s="242"/>
      <c r="AH967" s="242"/>
    </row>
    <row r="968">
      <c r="A968" s="242"/>
      <c r="B968" s="242"/>
      <c r="C968" s="242"/>
      <c r="D968" s="242"/>
      <c r="E968" s="242"/>
      <c r="F968" s="242"/>
      <c r="G968" s="242"/>
      <c r="H968" s="242"/>
      <c r="I968" s="242"/>
      <c r="J968" s="242"/>
      <c r="K968" s="242"/>
      <c r="L968" s="242"/>
      <c r="M968" s="242"/>
      <c r="N968" s="242"/>
      <c r="O968" s="242"/>
      <c r="P968" s="242"/>
      <c r="Q968" s="242"/>
      <c r="R968" s="242"/>
      <c r="S968" s="242"/>
      <c r="T968" s="242"/>
      <c r="U968" s="242"/>
      <c r="V968" s="242"/>
      <c r="W968" s="242"/>
      <c r="X968" s="242"/>
      <c r="Y968" s="242"/>
      <c r="Z968" s="242"/>
      <c r="AA968" s="242"/>
      <c r="AB968" s="242"/>
      <c r="AC968" s="242"/>
      <c r="AD968" s="242"/>
      <c r="AE968" s="242"/>
      <c r="AF968" s="242"/>
      <c r="AG968" s="242"/>
      <c r="AH968" s="242"/>
    </row>
    <row r="969">
      <c r="A969" s="242"/>
      <c r="B969" s="242"/>
      <c r="C969" s="242"/>
      <c r="D969" s="242"/>
      <c r="E969" s="242"/>
      <c r="F969" s="242"/>
      <c r="G969" s="242"/>
      <c r="H969" s="242"/>
      <c r="I969" s="242"/>
      <c r="J969" s="242"/>
      <c r="K969" s="242"/>
      <c r="L969" s="242"/>
      <c r="M969" s="242"/>
      <c r="N969" s="242"/>
      <c r="O969" s="242"/>
      <c r="P969" s="242"/>
      <c r="Q969" s="242"/>
      <c r="R969" s="242"/>
      <c r="S969" s="242"/>
      <c r="T969" s="242"/>
      <c r="U969" s="242"/>
      <c r="V969" s="242"/>
      <c r="W969" s="242"/>
      <c r="X969" s="242"/>
      <c r="Y969" s="242"/>
      <c r="Z969" s="242"/>
      <c r="AA969" s="242"/>
      <c r="AB969" s="242"/>
      <c r="AC969" s="242"/>
      <c r="AD969" s="242"/>
      <c r="AE969" s="242"/>
      <c r="AF969" s="242"/>
      <c r="AG969" s="242"/>
      <c r="AH969" s="242"/>
    </row>
    <row r="970">
      <c r="A970" s="242"/>
      <c r="B970" s="242"/>
      <c r="C970" s="242"/>
      <c r="D970" s="242"/>
      <c r="E970" s="242"/>
      <c r="F970" s="242"/>
      <c r="G970" s="242"/>
      <c r="H970" s="242"/>
      <c r="I970" s="242"/>
      <c r="J970" s="242"/>
      <c r="K970" s="242"/>
      <c r="L970" s="242"/>
      <c r="M970" s="242"/>
      <c r="N970" s="242"/>
      <c r="O970" s="242"/>
      <c r="P970" s="242"/>
      <c r="Q970" s="242"/>
      <c r="R970" s="242"/>
      <c r="S970" s="242"/>
      <c r="T970" s="242"/>
      <c r="U970" s="242"/>
      <c r="V970" s="242"/>
      <c r="W970" s="242"/>
      <c r="X970" s="242"/>
      <c r="Y970" s="242"/>
      <c r="Z970" s="242"/>
      <c r="AA970" s="242"/>
      <c r="AB970" s="242"/>
      <c r="AC970" s="242"/>
      <c r="AD970" s="242"/>
      <c r="AE970" s="242"/>
      <c r="AF970" s="242"/>
      <c r="AG970" s="242"/>
      <c r="AH970" s="242"/>
    </row>
    <row r="971">
      <c r="A971" s="242"/>
      <c r="B971" s="242"/>
      <c r="C971" s="242"/>
      <c r="D971" s="242"/>
      <c r="E971" s="242"/>
      <c r="F971" s="242"/>
      <c r="G971" s="242"/>
      <c r="H971" s="242"/>
      <c r="I971" s="242"/>
      <c r="J971" s="242"/>
      <c r="K971" s="242"/>
      <c r="L971" s="242"/>
      <c r="M971" s="242"/>
      <c r="N971" s="242"/>
      <c r="O971" s="242"/>
      <c r="P971" s="242"/>
      <c r="Q971" s="242"/>
      <c r="R971" s="242"/>
      <c r="S971" s="242"/>
      <c r="T971" s="242"/>
      <c r="U971" s="242"/>
      <c r="V971" s="242"/>
      <c r="W971" s="242"/>
      <c r="X971" s="242"/>
      <c r="Y971" s="242"/>
      <c r="Z971" s="242"/>
      <c r="AA971" s="242"/>
      <c r="AB971" s="242"/>
      <c r="AC971" s="242"/>
      <c r="AD971" s="242"/>
      <c r="AE971" s="242"/>
      <c r="AF971" s="242"/>
      <c r="AG971" s="242"/>
      <c r="AH971" s="242"/>
    </row>
    <row r="972">
      <c r="A972" s="242"/>
      <c r="B972" s="242"/>
      <c r="C972" s="242"/>
      <c r="D972" s="242"/>
      <c r="E972" s="242"/>
      <c r="F972" s="242"/>
      <c r="G972" s="242"/>
      <c r="H972" s="242"/>
      <c r="I972" s="242"/>
      <c r="J972" s="242"/>
      <c r="K972" s="242"/>
      <c r="L972" s="242"/>
      <c r="M972" s="242"/>
      <c r="N972" s="242"/>
      <c r="O972" s="242"/>
      <c r="P972" s="242"/>
      <c r="Q972" s="242"/>
      <c r="R972" s="242"/>
      <c r="S972" s="242"/>
      <c r="T972" s="242"/>
      <c r="U972" s="242"/>
      <c r="V972" s="242"/>
      <c r="W972" s="242"/>
      <c r="X972" s="242"/>
      <c r="Y972" s="242"/>
      <c r="Z972" s="242"/>
      <c r="AA972" s="242"/>
      <c r="AB972" s="242"/>
      <c r="AC972" s="242"/>
      <c r="AD972" s="242"/>
      <c r="AE972" s="242"/>
      <c r="AF972" s="242"/>
      <c r="AG972" s="242"/>
      <c r="AH972" s="242"/>
    </row>
    <row r="973">
      <c r="A973" s="242"/>
      <c r="B973" s="242"/>
      <c r="C973" s="242"/>
      <c r="D973" s="242"/>
      <c r="E973" s="242"/>
      <c r="F973" s="242"/>
      <c r="G973" s="242"/>
      <c r="H973" s="242"/>
      <c r="I973" s="242"/>
      <c r="J973" s="242"/>
      <c r="K973" s="242"/>
      <c r="L973" s="242"/>
      <c r="M973" s="242"/>
      <c r="N973" s="242"/>
      <c r="O973" s="242"/>
      <c r="P973" s="242"/>
      <c r="Q973" s="242"/>
      <c r="R973" s="242"/>
      <c r="S973" s="242"/>
      <c r="T973" s="242"/>
      <c r="U973" s="242"/>
      <c r="V973" s="242"/>
      <c r="W973" s="242"/>
      <c r="X973" s="242"/>
      <c r="Y973" s="242"/>
      <c r="Z973" s="242"/>
      <c r="AA973" s="242"/>
      <c r="AB973" s="242"/>
      <c r="AC973" s="242"/>
      <c r="AD973" s="242"/>
      <c r="AE973" s="242"/>
      <c r="AF973" s="242"/>
      <c r="AG973" s="242"/>
      <c r="AH973" s="242"/>
    </row>
    <row r="974">
      <c r="A974" s="242"/>
      <c r="B974" s="242"/>
      <c r="C974" s="242"/>
      <c r="D974" s="242"/>
      <c r="E974" s="242"/>
      <c r="F974" s="242"/>
      <c r="G974" s="242"/>
      <c r="H974" s="242"/>
      <c r="I974" s="242"/>
      <c r="J974" s="242"/>
      <c r="K974" s="242"/>
      <c r="L974" s="242"/>
      <c r="M974" s="242"/>
      <c r="N974" s="242"/>
      <c r="O974" s="242"/>
      <c r="P974" s="242"/>
      <c r="Q974" s="242"/>
      <c r="R974" s="242"/>
      <c r="S974" s="242"/>
      <c r="T974" s="242"/>
      <c r="U974" s="242"/>
      <c r="V974" s="242"/>
      <c r="W974" s="242"/>
      <c r="X974" s="242"/>
      <c r="Y974" s="242"/>
      <c r="Z974" s="242"/>
      <c r="AA974" s="242"/>
      <c r="AB974" s="242"/>
      <c r="AC974" s="242"/>
      <c r="AD974" s="242"/>
      <c r="AE974" s="242"/>
      <c r="AF974" s="242"/>
      <c r="AG974" s="242"/>
      <c r="AH974" s="242"/>
    </row>
    <row r="975">
      <c r="A975" s="242"/>
      <c r="B975" s="242"/>
      <c r="C975" s="242"/>
      <c r="D975" s="242"/>
      <c r="E975" s="242"/>
      <c r="F975" s="242"/>
      <c r="G975" s="242"/>
      <c r="H975" s="242"/>
      <c r="I975" s="242"/>
      <c r="J975" s="242"/>
      <c r="K975" s="242"/>
      <c r="L975" s="242"/>
      <c r="M975" s="242"/>
      <c r="N975" s="242"/>
      <c r="O975" s="242"/>
      <c r="P975" s="242"/>
      <c r="Q975" s="242"/>
      <c r="R975" s="242"/>
      <c r="S975" s="242"/>
      <c r="T975" s="242"/>
      <c r="U975" s="242"/>
      <c r="V975" s="242"/>
      <c r="W975" s="242"/>
      <c r="X975" s="242"/>
      <c r="Y975" s="242"/>
      <c r="Z975" s="242"/>
      <c r="AA975" s="242"/>
      <c r="AB975" s="242"/>
      <c r="AC975" s="242"/>
      <c r="AD975" s="242"/>
      <c r="AE975" s="242"/>
      <c r="AF975" s="242"/>
      <c r="AG975" s="242"/>
      <c r="AH975" s="242"/>
    </row>
    <row r="976">
      <c r="A976" s="242"/>
      <c r="B976" s="242"/>
      <c r="C976" s="242"/>
      <c r="D976" s="242"/>
      <c r="E976" s="242"/>
      <c r="F976" s="242"/>
      <c r="G976" s="242"/>
      <c r="H976" s="242"/>
      <c r="I976" s="242"/>
      <c r="J976" s="242"/>
      <c r="K976" s="242"/>
      <c r="L976" s="242"/>
      <c r="M976" s="242"/>
      <c r="N976" s="242"/>
      <c r="O976" s="242"/>
      <c r="P976" s="242"/>
      <c r="Q976" s="242"/>
      <c r="R976" s="242"/>
      <c r="S976" s="242"/>
      <c r="T976" s="242"/>
      <c r="U976" s="242"/>
      <c r="V976" s="242"/>
      <c r="W976" s="242"/>
      <c r="X976" s="242"/>
      <c r="Y976" s="242"/>
      <c r="Z976" s="242"/>
      <c r="AA976" s="242"/>
      <c r="AB976" s="242"/>
      <c r="AC976" s="242"/>
      <c r="AD976" s="242"/>
      <c r="AE976" s="242"/>
      <c r="AF976" s="242"/>
      <c r="AG976" s="242"/>
      <c r="AH976" s="242"/>
    </row>
    <row r="977">
      <c r="A977" s="242"/>
      <c r="B977" s="242"/>
      <c r="C977" s="242"/>
      <c r="D977" s="242"/>
      <c r="E977" s="242"/>
      <c r="F977" s="242"/>
      <c r="G977" s="242"/>
      <c r="H977" s="242"/>
      <c r="I977" s="242"/>
      <c r="J977" s="242"/>
      <c r="K977" s="242"/>
      <c r="L977" s="242"/>
      <c r="M977" s="242"/>
      <c r="N977" s="242"/>
      <c r="O977" s="242"/>
      <c r="P977" s="242"/>
      <c r="Q977" s="242"/>
      <c r="R977" s="242"/>
      <c r="S977" s="242"/>
      <c r="T977" s="242"/>
      <c r="U977" s="242"/>
      <c r="V977" s="242"/>
      <c r="W977" s="242"/>
      <c r="X977" s="242"/>
      <c r="Y977" s="242"/>
      <c r="Z977" s="242"/>
      <c r="AA977" s="242"/>
      <c r="AB977" s="242"/>
      <c r="AC977" s="242"/>
      <c r="AD977" s="242"/>
      <c r="AE977" s="242"/>
      <c r="AF977" s="242"/>
      <c r="AG977" s="242"/>
      <c r="AH977" s="242"/>
    </row>
    <row r="978">
      <c r="A978" s="242"/>
      <c r="B978" s="242"/>
      <c r="C978" s="242"/>
      <c r="D978" s="242"/>
      <c r="E978" s="242"/>
      <c r="F978" s="242"/>
      <c r="G978" s="242"/>
      <c r="H978" s="242"/>
      <c r="I978" s="242"/>
      <c r="J978" s="242"/>
      <c r="K978" s="242"/>
      <c r="L978" s="242"/>
      <c r="M978" s="242"/>
      <c r="N978" s="242"/>
      <c r="O978" s="242"/>
      <c r="P978" s="242"/>
      <c r="Q978" s="242"/>
      <c r="R978" s="242"/>
      <c r="S978" s="242"/>
      <c r="T978" s="242"/>
      <c r="U978" s="242"/>
      <c r="V978" s="242"/>
      <c r="W978" s="242"/>
      <c r="X978" s="242"/>
      <c r="Y978" s="242"/>
      <c r="Z978" s="242"/>
      <c r="AA978" s="242"/>
      <c r="AB978" s="242"/>
      <c r="AC978" s="242"/>
      <c r="AD978" s="242"/>
      <c r="AE978" s="242"/>
      <c r="AF978" s="242"/>
      <c r="AG978" s="242"/>
      <c r="AH978" s="242"/>
    </row>
    <row r="979">
      <c r="A979" s="242"/>
      <c r="B979" s="242"/>
      <c r="C979" s="242"/>
      <c r="D979" s="242"/>
      <c r="E979" s="242"/>
      <c r="F979" s="242"/>
      <c r="G979" s="242"/>
      <c r="H979" s="242"/>
      <c r="I979" s="242"/>
      <c r="J979" s="242"/>
      <c r="K979" s="242"/>
      <c r="L979" s="242"/>
      <c r="M979" s="242"/>
      <c r="N979" s="242"/>
      <c r="O979" s="242"/>
      <c r="P979" s="242"/>
      <c r="Q979" s="242"/>
      <c r="R979" s="242"/>
      <c r="S979" s="242"/>
      <c r="T979" s="242"/>
      <c r="U979" s="242"/>
      <c r="V979" s="242"/>
      <c r="W979" s="242"/>
      <c r="X979" s="242"/>
      <c r="Y979" s="242"/>
      <c r="Z979" s="242"/>
      <c r="AA979" s="242"/>
      <c r="AB979" s="242"/>
      <c r="AC979" s="242"/>
      <c r="AD979" s="242"/>
      <c r="AE979" s="242"/>
      <c r="AF979" s="242"/>
      <c r="AG979" s="242"/>
      <c r="AH979" s="242"/>
    </row>
    <row r="980">
      <c r="A980" s="242"/>
      <c r="B980" s="242"/>
      <c r="C980" s="242"/>
      <c r="D980" s="242"/>
      <c r="E980" s="242"/>
      <c r="F980" s="242"/>
      <c r="G980" s="242"/>
      <c r="H980" s="242"/>
      <c r="I980" s="242"/>
      <c r="J980" s="242"/>
      <c r="K980" s="242"/>
      <c r="L980" s="242"/>
      <c r="M980" s="242"/>
      <c r="N980" s="242"/>
      <c r="O980" s="242"/>
      <c r="P980" s="242"/>
      <c r="Q980" s="242"/>
      <c r="R980" s="242"/>
      <c r="S980" s="242"/>
      <c r="T980" s="242"/>
      <c r="U980" s="242"/>
      <c r="V980" s="242"/>
      <c r="W980" s="242"/>
      <c r="X980" s="242"/>
      <c r="Y980" s="242"/>
      <c r="Z980" s="242"/>
      <c r="AA980" s="242"/>
      <c r="AB980" s="242"/>
      <c r="AC980" s="242"/>
      <c r="AD980" s="242"/>
      <c r="AE980" s="242"/>
      <c r="AF980" s="242"/>
      <c r="AG980" s="242"/>
      <c r="AH980" s="242"/>
    </row>
    <row r="981">
      <c r="A981" s="242"/>
      <c r="B981" s="242"/>
      <c r="C981" s="242"/>
      <c r="D981" s="242"/>
      <c r="E981" s="242"/>
      <c r="F981" s="242"/>
      <c r="G981" s="242"/>
      <c r="H981" s="242"/>
      <c r="I981" s="242"/>
      <c r="J981" s="242"/>
      <c r="K981" s="242"/>
      <c r="L981" s="242"/>
      <c r="M981" s="242"/>
      <c r="N981" s="242"/>
      <c r="O981" s="242"/>
      <c r="P981" s="242"/>
      <c r="Q981" s="242"/>
      <c r="R981" s="242"/>
      <c r="S981" s="242"/>
      <c r="T981" s="242"/>
      <c r="U981" s="242"/>
      <c r="V981" s="242"/>
      <c r="W981" s="242"/>
      <c r="X981" s="242"/>
      <c r="Y981" s="242"/>
      <c r="Z981" s="242"/>
      <c r="AA981" s="242"/>
      <c r="AB981" s="242"/>
      <c r="AC981" s="242"/>
      <c r="AD981" s="242"/>
      <c r="AE981" s="242"/>
      <c r="AF981" s="242"/>
      <c r="AG981" s="242"/>
      <c r="AH981" s="242"/>
    </row>
    <row r="982">
      <c r="A982" s="242"/>
      <c r="B982" s="242"/>
      <c r="C982" s="242"/>
      <c r="D982" s="242"/>
      <c r="E982" s="242"/>
      <c r="F982" s="242"/>
      <c r="G982" s="242"/>
      <c r="H982" s="242"/>
      <c r="I982" s="242"/>
      <c r="J982" s="242"/>
      <c r="K982" s="242"/>
      <c r="L982" s="242"/>
      <c r="M982" s="242"/>
      <c r="N982" s="242"/>
      <c r="O982" s="242"/>
      <c r="P982" s="242"/>
      <c r="Q982" s="242"/>
      <c r="R982" s="242"/>
      <c r="S982" s="242"/>
      <c r="T982" s="242"/>
      <c r="U982" s="242"/>
      <c r="V982" s="242"/>
      <c r="W982" s="242"/>
      <c r="X982" s="242"/>
      <c r="Y982" s="242"/>
      <c r="Z982" s="242"/>
      <c r="AA982" s="242"/>
      <c r="AB982" s="242"/>
      <c r="AC982" s="242"/>
      <c r="AD982" s="242"/>
      <c r="AE982" s="242"/>
      <c r="AF982" s="242"/>
      <c r="AG982" s="242"/>
      <c r="AH982" s="242"/>
    </row>
    <row r="983">
      <c r="A983" s="242"/>
      <c r="B983" s="242"/>
      <c r="C983" s="242"/>
      <c r="D983" s="242"/>
      <c r="E983" s="242"/>
      <c r="F983" s="242"/>
      <c r="G983" s="242"/>
      <c r="H983" s="242"/>
      <c r="I983" s="242"/>
      <c r="J983" s="242"/>
      <c r="K983" s="242"/>
      <c r="L983" s="242"/>
      <c r="M983" s="242"/>
      <c r="N983" s="242"/>
      <c r="O983" s="242"/>
      <c r="P983" s="242"/>
      <c r="Q983" s="242"/>
      <c r="R983" s="242"/>
      <c r="S983" s="242"/>
      <c r="T983" s="242"/>
      <c r="U983" s="242"/>
      <c r="V983" s="242"/>
      <c r="W983" s="242"/>
      <c r="X983" s="242"/>
      <c r="Y983" s="242"/>
      <c r="Z983" s="242"/>
      <c r="AA983" s="242"/>
      <c r="AB983" s="242"/>
      <c r="AC983" s="242"/>
      <c r="AD983" s="242"/>
      <c r="AE983" s="242"/>
      <c r="AF983" s="242"/>
      <c r="AG983" s="242"/>
      <c r="AH983" s="242"/>
    </row>
    <row r="984">
      <c r="A984" s="242"/>
      <c r="B984" s="242"/>
      <c r="C984" s="242"/>
      <c r="D984" s="242"/>
      <c r="E984" s="242"/>
      <c r="F984" s="242"/>
      <c r="G984" s="242"/>
      <c r="H984" s="242"/>
      <c r="I984" s="242"/>
      <c r="J984" s="242"/>
      <c r="K984" s="242"/>
      <c r="L984" s="242"/>
      <c r="M984" s="242"/>
      <c r="N984" s="242"/>
      <c r="O984" s="242"/>
      <c r="P984" s="242"/>
      <c r="Q984" s="242"/>
      <c r="R984" s="242"/>
      <c r="S984" s="242"/>
      <c r="T984" s="242"/>
      <c r="U984" s="242"/>
      <c r="V984" s="242"/>
      <c r="W984" s="242"/>
      <c r="X984" s="242"/>
      <c r="Y984" s="242"/>
      <c r="Z984" s="242"/>
      <c r="AA984" s="242"/>
      <c r="AB984" s="242"/>
      <c r="AC984" s="242"/>
      <c r="AD984" s="242"/>
      <c r="AE984" s="242"/>
      <c r="AF984" s="242"/>
      <c r="AG984" s="242"/>
      <c r="AH984" s="242"/>
    </row>
    <row r="985">
      <c r="A985" s="242"/>
      <c r="B985" s="242"/>
      <c r="C985" s="242"/>
      <c r="D985" s="242"/>
      <c r="E985" s="242"/>
      <c r="F985" s="242"/>
      <c r="G985" s="242"/>
      <c r="H985" s="242"/>
      <c r="I985" s="242"/>
      <c r="J985" s="242"/>
      <c r="K985" s="242"/>
      <c r="L985" s="242"/>
      <c r="M985" s="242"/>
      <c r="N985" s="242"/>
      <c r="O985" s="242"/>
      <c r="P985" s="242"/>
      <c r="Q985" s="242"/>
      <c r="R985" s="242"/>
      <c r="S985" s="242"/>
      <c r="T985" s="242"/>
      <c r="U985" s="242"/>
      <c r="V985" s="242"/>
      <c r="W985" s="242"/>
      <c r="X985" s="242"/>
      <c r="Y985" s="242"/>
      <c r="Z985" s="242"/>
      <c r="AA985" s="242"/>
      <c r="AB985" s="242"/>
      <c r="AC985" s="242"/>
      <c r="AD985" s="242"/>
      <c r="AE985" s="242"/>
      <c r="AF985" s="242"/>
      <c r="AG985" s="242"/>
      <c r="AH985" s="242"/>
    </row>
    <row r="986">
      <c r="A986" s="242"/>
      <c r="B986" s="242"/>
      <c r="C986" s="242"/>
      <c r="D986" s="242"/>
      <c r="E986" s="242"/>
      <c r="F986" s="242"/>
      <c r="G986" s="242"/>
      <c r="H986" s="242"/>
      <c r="I986" s="242"/>
      <c r="J986" s="242"/>
      <c r="K986" s="242"/>
      <c r="L986" s="242"/>
      <c r="M986" s="242"/>
      <c r="N986" s="242"/>
      <c r="O986" s="242"/>
      <c r="P986" s="242"/>
      <c r="Q986" s="242"/>
      <c r="R986" s="242"/>
      <c r="S986" s="242"/>
      <c r="T986" s="242"/>
      <c r="U986" s="242"/>
      <c r="V986" s="242"/>
      <c r="W986" s="242"/>
      <c r="X986" s="242"/>
      <c r="Y986" s="242"/>
      <c r="Z986" s="242"/>
      <c r="AA986" s="242"/>
      <c r="AB986" s="242"/>
      <c r="AC986" s="242"/>
      <c r="AD986" s="242"/>
      <c r="AE986" s="242"/>
      <c r="AF986" s="242"/>
      <c r="AG986" s="242"/>
      <c r="AH986" s="242"/>
    </row>
    <row r="987">
      <c r="A987" s="242"/>
      <c r="B987" s="242"/>
      <c r="C987" s="242"/>
      <c r="D987" s="242"/>
      <c r="E987" s="242"/>
      <c r="F987" s="242"/>
      <c r="G987" s="242"/>
      <c r="H987" s="242"/>
      <c r="I987" s="242"/>
      <c r="J987" s="242"/>
      <c r="K987" s="242"/>
      <c r="L987" s="242"/>
      <c r="M987" s="242"/>
      <c r="N987" s="242"/>
      <c r="O987" s="242"/>
      <c r="P987" s="242"/>
      <c r="Q987" s="242"/>
      <c r="R987" s="242"/>
      <c r="S987" s="242"/>
      <c r="T987" s="242"/>
      <c r="U987" s="242"/>
      <c r="V987" s="242"/>
      <c r="W987" s="242"/>
      <c r="X987" s="242"/>
      <c r="Y987" s="242"/>
      <c r="Z987" s="242"/>
      <c r="AA987" s="242"/>
      <c r="AB987" s="242"/>
      <c r="AC987" s="242"/>
      <c r="AD987" s="242"/>
      <c r="AE987" s="242"/>
      <c r="AF987" s="242"/>
      <c r="AG987" s="242"/>
      <c r="AH987" s="242"/>
    </row>
    <row r="988">
      <c r="A988" s="242"/>
      <c r="B988" s="242"/>
      <c r="C988" s="242"/>
      <c r="D988" s="242"/>
      <c r="E988" s="242"/>
      <c r="F988" s="242"/>
      <c r="G988" s="242"/>
      <c r="H988" s="242"/>
      <c r="I988" s="242"/>
      <c r="J988" s="242"/>
      <c r="K988" s="242"/>
      <c r="L988" s="242"/>
      <c r="M988" s="242"/>
      <c r="N988" s="242"/>
      <c r="O988" s="242"/>
      <c r="P988" s="242"/>
      <c r="Q988" s="242"/>
      <c r="R988" s="242"/>
      <c r="S988" s="242"/>
      <c r="T988" s="242"/>
      <c r="U988" s="242"/>
      <c r="V988" s="242"/>
      <c r="W988" s="242"/>
      <c r="X988" s="242"/>
      <c r="Y988" s="242"/>
      <c r="Z988" s="242"/>
      <c r="AA988" s="242"/>
      <c r="AB988" s="242"/>
      <c r="AC988" s="242"/>
      <c r="AD988" s="242"/>
      <c r="AE988" s="242"/>
      <c r="AF988" s="242"/>
      <c r="AG988" s="242"/>
      <c r="AH988" s="242"/>
    </row>
    <row r="989">
      <c r="A989" s="242"/>
      <c r="B989" s="242"/>
      <c r="C989" s="242"/>
      <c r="D989" s="242"/>
      <c r="E989" s="242"/>
      <c r="F989" s="242"/>
      <c r="G989" s="242"/>
      <c r="H989" s="242"/>
      <c r="I989" s="242"/>
      <c r="J989" s="242"/>
      <c r="K989" s="242"/>
      <c r="L989" s="242"/>
      <c r="M989" s="242"/>
      <c r="N989" s="242"/>
      <c r="O989" s="242"/>
      <c r="P989" s="242"/>
      <c r="Q989" s="242"/>
      <c r="R989" s="242"/>
      <c r="S989" s="242"/>
      <c r="T989" s="242"/>
      <c r="U989" s="242"/>
      <c r="V989" s="242"/>
      <c r="W989" s="242"/>
      <c r="X989" s="242"/>
      <c r="Y989" s="242"/>
      <c r="Z989" s="242"/>
      <c r="AA989" s="242"/>
      <c r="AB989" s="242"/>
      <c r="AC989" s="242"/>
      <c r="AD989" s="242"/>
      <c r="AE989" s="242"/>
      <c r="AF989" s="242"/>
      <c r="AG989" s="242"/>
      <c r="AH989" s="242"/>
    </row>
    <row r="990">
      <c r="A990" s="242"/>
      <c r="B990" s="242"/>
      <c r="C990" s="242"/>
      <c r="D990" s="242"/>
      <c r="E990" s="242"/>
      <c r="F990" s="242"/>
      <c r="G990" s="242"/>
      <c r="H990" s="242"/>
      <c r="I990" s="242"/>
      <c r="J990" s="242"/>
      <c r="K990" s="242"/>
      <c r="L990" s="242"/>
      <c r="M990" s="242"/>
      <c r="N990" s="242"/>
      <c r="O990" s="242"/>
      <c r="P990" s="242"/>
      <c r="Q990" s="242"/>
      <c r="R990" s="242"/>
      <c r="S990" s="242"/>
      <c r="T990" s="242"/>
      <c r="U990" s="242"/>
      <c r="V990" s="242"/>
      <c r="W990" s="242"/>
      <c r="X990" s="242"/>
      <c r="Y990" s="242"/>
      <c r="Z990" s="242"/>
      <c r="AA990" s="242"/>
      <c r="AB990" s="242"/>
      <c r="AC990" s="242"/>
      <c r="AD990" s="242"/>
      <c r="AE990" s="242"/>
      <c r="AF990" s="242"/>
      <c r="AG990" s="242"/>
      <c r="AH990" s="242"/>
    </row>
    <row r="991">
      <c r="A991" s="242"/>
      <c r="B991" s="242"/>
      <c r="C991" s="242"/>
      <c r="D991" s="242"/>
      <c r="E991" s="242"/>
      <c r="F991" s="242"/>
      <c r="G991" s="242"/>
      <c r="H991" s="242"/>
      <c r="I991" s="242"/>
      <c r="J991" s="242"/>
      <c r="K991" s="242"/>
      <c r="L991" s="242"/>
      <c r="M991" s="242"/>
      <c r="N991" s="242"/>
      <c r="O991" s="242"/>
      <c r="P991" s="242"/>
      <c r="Q991" s="242"/>
      <c r="R991" s="242"/>
      <c r="S991" s="242"/>
      <c r="T991" s="242"/>
      <c r="U991" s="242"/>
      <c r="V991" s="242"/>
      <c r="W991" s="242"/>
      <c r="X991" s="242"/>
      <c r="Y991" s="242"/>
      <c r="Z991" s="242"/>
      <c r="AA991" s="242"/>
      <c r="AB991" s="242"/>
      <c r="AC991" s="242"/>
      <c r="AD991" s="242"/>
      <c r="AE991" s="242"/>
      <c r="AF991" s="242"/>
      <c r="AG991" s="242"/>
      <c r="AH991" s="242"/>
    </row>
    <row r="992">
      <c r="A992" s="242"/>
      <c r="B992" s="242"/>
      <c r="C992" s="242"/>
      <c r="D992" s="242"/>
      <c r="E992" s="242"/>
      <c r="F992" s="242"/>
      <c r="G992" s="242"/>
      <c r="H992" s="242"/>
      <c r="I992" s="242"/>
      <c r="J992" s="242"/>
      <c r="K992" s="242"/>
      <c r="L992" s="242"/>
      <c r="M992" s="242"/>
      <c r="N992" s="242"/>
      <c r="O992" s="242"/>
      <c r="P992" s="242"/>
      <c r="Q992" s="242"/>
      <c r="R992" s="242"/>
      <c r="S992" s="242"/>
      <c r="T992" s="242"/>
      <c r="U992" s="242"/>
      <c r="V992" s="242"/>
      <c r="W992" s="242"/>
      <c r="X992" s="242"/>
      <c r="Y992" s="242"/>
      <c r="Z992" s="242"/>
      <c r="AA992" s="242"/>
      <c r="AB992" s="242"/>
      <c r="AC992" s="242"/>
      <c r="AD992" s="242"/>
      <c r="AE992" s="242"/>
      <c r="AF992" s="242"/>
      <c r="AG992" s="242"/>
      <c r="AH992" s="242"/>
    </row>
    <row r="993">
      <c r="A993" s="242"/>
      <c r="B993" s="242"/>
      <c r="C993" s="242"/>
      <c r="D993" s="242"/>
      <c r="E993" s="242"/>
      <c r="F993" s="242"/>
      <c r="G993" s="242"/>
      <c r="H993" s="242"/>
      <c r="I993" s="242"/>
      <c r="J993" s="242"/>
      <c r="K993" s="242"/>
      <c r="L993" s="242"/>
      <c r="M993" s="242"/>
      <c r="N993" s="242"/>
      <c r="O993" s="242"/>
      <c r="P993" s="242"/>
      <c r="Q993" s="242"/>
      <c r="R993" s="242"/>
      <c r="S993" s="242"/>
      <c r="T993" s="242"/>
      <c r="U993" s="242"/>
      <c r="V993" s="242"/>
      <c r="W993" s="242"/>
      <c r="X993" s="242"/>
      <c r="Y993" s="242"/>
      <c r="Z993" s="242"/>
      <c r="AA993" s="242"/>
      <c r="AB993" s="242"/>
      <c r="AC993" s="242"/>
      <c r="AD993" s="242"/>
      <c r="AE993" s="242"/>
      <c r="AF993" s="242"/>
      <c r="AG993" s="242"/>
      <c r="AH993" s="242"/>
    </row>
    <row r="994">
      <c r="A994" s="242"/>
      <c r="B994" s="242"/>
      <c r="C994" s="242"/>
      <c r="D994" s="242"/>
      <c r="E994" s="242"/>
      <c r="F994" s="242"/>
      <c r="G994" s="242"/>
      <c r="H994" s="242"/>
      <c r="I994" s="242"/>
      <c r="J994" s="242"/>
      <c r="K994" s="242"/>
      <c r="L994" s="242"/>
      <c r="M994" s="242"/>
      <c r="N994" s="242"/>
      <c r="O994" s="242"/>
      <c r="P994" s="242"/>
      <c r="Q994" s="242"/>
      <c r="R994" s="242"/>
      <c r="S994" s="242"/>
      <c r="T994" s="242"/>
      <c r="U994" s="242"/>
      <c r="V994" s="242"/>
      <c r="W994" s="242"/>
      <c r="X994" s="242"/>
      <c r="Y994" s="242"/>
      <c r="Z994" s="242"/>
      <c r="AA994" s="242"/>
      <c r="AB994" s="242"/>
      <c r="AC994" s="242"/>
      <c r="AD994" s="242"/>
      <c r="AE994" s="242"/>
      <c r="AF994" s="242"/>
      <c r="AG994" s="242"/>
      <c r="AH994" s="242"/>
    </row>
    <row r="995">
      <c r="A995" s="242"/>
      <c r="B995" s="242"/>
      <c r="C995" s="242"/>
      <c r="D995" s="242"/>
      <c r="E995" s="242"/>
      <c r="F995" s="242"/>
      <c r="G995" s="242"/>
      <c r="H995" s="242"/>
      <c r="I995" s="242"/>
      <c r="J995" s="242"/>
      <c r="K995" s="242"/>
      <c r="L995" s="242"/>
      <c r="M995" s="242"/>
      <c r="N995" s="242"/>
      <c r="O995" s="242"/>
      <c r="P995" s="242"/>
      <c r="Q995" s="242"/>
      <c r="R995" s="242"/>
      <c r="S995" s="242"/>
      <c r="T995" s="242"/>
      <c r="U995" s="242"/>
      <c r="V995" s="242"/>
      <c r="W995" s="242"/>
      <c r="X995" s="242"/>
      <c r="Y995" s="242"/>
      <c r="Z995" s="242"/>
      <c r="AA995" s="242"/>
      <c r="AB995" s="242"/>
      <c r="AC995" s="242"/>
      <c r="AD995" s="242"/>
      <c r="AE995" s="242"/>
      <c r="AF995" s="242"/>
      <c r="AG995" s="242"/>
      <c r="AH995" s="242"/>
    </row>
    <row r="996">
      <c r="A996" s="242"/>
      <c r="B996" s="242"/>
      <c r="C996" s="242"/>
      <c r="D996" s="242"/>
      <c r="E996" s="242"/>
      <c r="F996" s="242"/>
      <c r="G996" s="242"/>
      <c r="H996" s="242"/>
      <c r="I996" s="242"/>
      <c r="J996" s="242"/>
      <c r="K996" s="242"/>
      <c r="L996" s="242"/>
      <c r="M996" s="242"/>
      <c r="N996" s="242"/>
      <c r="O996" s="242"/>
      <c r="P996" s="242"/>
      <c r="Q996" s="242"/>
      <c r="R996" s="242"/>
      <c r="S996" s="242"/>
      <c r="T996" s="242"/>
      <c r="U996" s="242"/>
      <c r="V996" s="242"/>
      <c r="W996" s="242"/>
      <c r="X996" s="242"/>
      <c r="Y996" s="242"/>
      <c r="Z996" s="242"/>
      <c r="AA996" s="242"/>
      <c r="AB996" s="242"/>
      <c r="AC996" s="242"/>
      <c r="AD996" s="242"/>
      <c r="AE996" s="242"/>
      <c r="AF996" s="242"/>
      <c r="AG996" s="242"/>
      <c r="AH996" s="242"/>
    </row>
    <row r="997">
      <c r="A997" s="242"/>
      <c r="B997" s="242"/>
      <c r="C997" s="242"/>
      <c r="D997" s="242"/>
      <c r="E997" s="242"/>
      <c r="F997" s="242"/>
      <c r="G997" s="242"/>
      <c r="H997" s="242"/>
      <c r="I997" s="242"/>
      <c r="J997" s="242"/>
      <c r="K997" s="242"/>
      <c r="L997" s="242"/>
      <c r="M997" s="242"/>
      <c r="N997" s="242"/>
      <c r="O997" s="242"/>
      <c r="P997" s="242"/>
      <c r="Q997" s="242"/>
      <c r="R997" s="242"/>
      <c r="S997" s="242"/>
      <c r="T997" s="242"/>
      <c r="U997" s="242"/>
      <c r="V997" s="242"/>
      <c r="W997" s="242"/>
      <c r="X997" s="242"/>
      <c r="Y997" s="242"/>
      <c r="Z997" s="242"/>
      <c r="AA997" s="242"/>
      <c r="AB997" s="242"/>
      <c r="AC997" s="242"/>
      <c r="AD997" s="242"/>
      <c r="AE997" s="242"/>
      <c r="AF997" s="242"/>
      <c r="AG997" s="242"/>
      <c r="AH997" s="242"/>
    </row>
    <row r="998">
      <c r="A998" s="242"/>
      <c r="B998" s="242"/>
      <c r="C998" s="242"/>
      <c r="D998" s="242"/>
      <c r="E998" s="242"/>
      <c r="F998" s="242"/>
      <c r="G998" s="242"/>
      <c r="H998" s="242"/>
      <c r="I998" s="242"/>
      <c r="J998" s="242"/>
      <c r="K998" s="242"/>
      <c r="L998" s="242"/>
      <c r="M998" s="242"/>
      <c r="N998" s="242"/>
      <c r="O998" s="242"/>
      <c r="P998" s="242"/>
      <c r="Q998" s="242"/>
      <c r="R998" s="242"/>
      <c r="S998" s="242"/>
      <c r="T998" s="242"/>
      <c r="U998" s="242"/>
      <c r="V998" s="242"/>
      <c r="W998" s="242"/>
      <c r="X998" s="242"/>
      <c r="Y998" s="242"/>
      <c r="Z998" s="242"/>
      <c r="AA998" s="242"/>
      <c r="AB998" s="242"/>
      <c r="AC998" s="242"/>
      <c r="AD998" s="242"/>
      <c r="AE998" s="242"/>
      <c r="AF998" s="242"/>
      <c r="AG998" s="242"/>
      <c r="AH998" s="242"/>
    </row>
    <row r="999">
      <c r="A999" s="242"/>
      <c r="B999" s="242"/>
      <c r="C999" s="242"/>
      <c r="D999" s="242"/>
      <c r="E999" s="242"/>
      <c r="F999" s="242"/>
      <c r="G999" s="242"/>
      <c r="H999" s="242"/>
      <c r="I999" s="242"/>
      <c r="J999" s="242"/>
      <c r="K999" s="242"/>
      <c r="L999" s="242"/>
      <c r="M999" s="242"/>
      <c r="N999" s="242"/>
      <c r="O999" s="242"/>
      <c r="P999" s="242"/>
      <c r="Q999" s="242"/>
      <c r="R999" s="242"/>
      <c r="S999" s="242"/>
      <c r="T999" s="242"/>
      <c r="U999" s="242"/>
      <c r="V999" s="242"/>
      <c r="W999" s="242"/>
      <c r="X999" s="242"/>
      <c r="Y999" s="242"/>
      <c r="Z999" s="242"/>
      <c r="AA999" s="242"/>
      <c r="AB999" s="242"/>
      <c r="AC999" s="242"/>
      <c r="AD999" s="242"/>
      <c r="AE999" s="242"/>
      <c r="AF999" s="242"/>
      <c r="AG999" s="242"/>
      <c r="AH999" s="242"/>
    </row>
    <row r="1000">
      <c r="A1000" s="242"/>
      <c r="B1000" s="242"/>
      <c r="C1000" s="242"/>
      <c r="D1000" s="242"/>
      <c r="E1000" s="242"/>
      <c r="F1000" s="242"/>
      <c r="G1000" s="242"/>
      <c r="H1000" s="242"/>
      <c r="I1000" s="242"/>
      <c r="J1000" s="242"/>
      <c r="K1000" s="242"/>
      <c r="L1000" s="242"/>
      <c r="M1000" s="242"/>
      <c r="N1000" s="242"/>
      <c r="O1000" s="242"/>
      <c r="P1000" s="242"/>
      <c r="Q1000" s="242"/>
      <c r="R1000" s="242"/>
      <c r="S1000" s="242"/>
      <c r="T1000" s="242"/>
      <c r="U1000" s="242"/>
      <c r="V1000" s="242"/>
      <c r="W1000" s="242"/>
      <c r="X1000" s="242"/>
      <c r="Y1000" s="242"/>
      <c r="Z1000" s="242"/>
      <c r="AA1000" s="242"/>
      <c r="AB1000" s="242"/>
      <c r="AC1000" s="242"/>
      <c r="AD1000" s="242"/>
      <c r="AE1000" s="242"/>
      <c r="AF1000" s="242"/>
      <c r="AG1000" s="242"/>
      <c r="AH1000" s="242"/>
    </row>
    <row r="1001">
      <c r="A1001" s="242"/>
      <c r="B1001" s="242"/>
      <c r="C1001" s="242"/>
      <c r="D1001" s="242"/>
      <c r="E1001" s="242"/>
      <c r="F1001" s="242"/>
      <c r="G1001" s="242"/>
      <c r="H1001" s="242"/>
      <c r="I1001" s="242"/>
      <c r="J1001" s="242"/>
      <c r="K1001" s="242"/>
      <c r="L1001" s="242"/>
      <c r="M1001" s="242"/>
      <c r="N1001" s="242"/>
      <c r="O1001" s="242"/>
      <c r="P1001" s="242"/>
      <c r="Q1001" s="242"/>
      <c r="R1001" s="242"/>
      <c r="S1001" s="242"/>
      <c r="T1001" s="242"/>
      <c r="U1001" s="242"/>
      <c r="V1001" s="242"/>
      <c r="W1001" s="242"/>
      <c r="X1001" s="242"/>
      <c r="Y1001" s="242"/>
      <c r="Z1001" s="242"/>
      <c r="AA1001" s="242"/>
      <c r="AB1001" s="242"/>
      <c r="AC1001" s="242"/>
      <c r="AD1001" s="242"/>
      <c r="AE1001" s="242"/>
      <c r="AF1001" s="242"/>
      <c r="AG1001" s="242"/>
      <c r="AH1001" s="242"/>
    </row>
  </sheetData>
  <mergeCells count="11">
    <mergeCell ref="X2:Y2"/>
    <mergeCell ref="Z2:AA2"/>
    <mergeCell ref="AB2:AC2"/>
    <mergeCell ref="AE2:AF2"/>
    <mergeCell ref="C2:E2"/>
    <mergeCell ref="F2:H2"/>
    <mergeCell ref="I2:K2"/>
    <mergeCell ref="L2:N2"/>
    <mergeCell ref="O2:Q2"/>
    <mergeCell ref="R2:T2"/>
    <mergeCell ref="U2:W2"/>
  </mergeCells>
  <printOptions horizontalCentered="1" verticalCentered="1"/>
  <pageMargins bottom="0.75" footer="0.0" header="0.0" left="0.25" right="0.25" top="0.75"/>
  <pageSetup fitToHeight="0" paperSize="9" cellComments="atEnd" orientation="portrait" pageOrder="overThenDown"/>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75"/>
    <col customWidth="1" min="2" max="2" width="7.88"/>
    <col customWidth="1" min="3" max="3" width="9.0"/>
    <col customWidth="1" hidden="1" min="4" max="4" width="10.5"/>
    <col customWidth="1" min="5" max="5" width="10.25"/>
    <col customWidth="1" min="6" max="6" width="10.0"/>
    <col customWidth="1" min="7" max="7" width="8.5"/>
    <col customWidth="1" min="8" max="8" width="8.38"/>
    <col customWidth="1" min="9" max="9" width="4.63"/>
    <col customWidth="1" min="10" max="10" width="9.0"/>
    <col customWidth="1" min="11" max="11" width="8.88"/>
    <col customWidth="1" min="12" max="12" width="10.0"/>
    <col customWidth="1" min="13" max="13" width="8.5"/>
    <col customWidth="1" min="14" max="14" width="8.75"/>
    <col customWidth="1" min="15" max="15" width="8.38"/>
    <col customWidth="1" min="16" max="16" width="9.25"/>
    <col customWidth="1" min="18" max="18" width="5.0"/>
    <col customWidth="1" min="19" max="19" width="8.75"/>
    <col customWidth="1" min="20" max="20" width="9.63"/>
    <col customWidth="1" min="21" max="23" width="11.75"/>
  </cols>
  <sheetData>
    <row r="1">
      <c r="A1" s="712"/>
      <c r="B1" s="530"/>
      <c r="C1" s="713"/>
      <c r="D1" s="714" t="s">
        <v>4600</v>
      </c>
      <c r="E1" s="45"/>
      <c r="F1" s="45"/>
      <c r="G1" s="46"/>
      <c r="H1" s="713"/>
      <c r="I1" s="715"/>
      <c r="J1" s="714" t="s">
        <v>4602</v>
      </c>
      <c r="K1" s="45"/>
      <c r="L1" s="45"/>
      <c r="M1" s="45"/>
      <c r="N1" s="45"/>
      <c r="O1" s="45"/>
      <c r="P1" s="45"/>
      <c r="Q1" s="530"/>
      <c r="R1" s="715"/>
      <c r="S1" s="714" t="s">
        <v>4603</v>
      </c>
      <c r="T1" s="45"/>
      <c r="U1" s="45"/>
      <c r="V1" s="45"/>
      <c r="W1" s="45"/>
      <c r="X1" s="46"/>
      <c r="Y1" s="716"/>
      <c r="Z1" s="716"/>
      <c r="AA1" s="716"/>
      <c r="AB1" s="716"/>
      <c r="AC1" s="716"/>
      <c r="AD1" s="716"/>
      <c r="AE1" s="716"/>
      <c r="AF1" s="716"/>
      <c r="AG1" s="716"/>
      <c r="AH1" s="716"/>
      <c r="AI1" s="716"/>
      <c r="AJ1" s="716"/>
      <c r="AK1" s="716"/>
      <c r="AL1" s="716"/>
      <c r="AM1" s="716"/>
      <c r="AN1" s="716"/>
      <c r="AO1" s="716"/>
      <c r="AP1" s="716"/>
      <c r="AQ1" s="716"/>
      <c r="AR1" s="716"/>
    </row>
    <row r="2">
      <c r="A2" s="716"/>
      <c r="B2" s="717" t="s">
        <v>4605</v>
      </c>
      <c r="C2" s="547" t="s">
        <v>6</v>
      </c>
      <c r="D2" s="718" t="s">
        <v>4606</v>
      </c>
      <c r="E2" s="719" t="s">
        <v>4608</v>
      </c>
      <c r="F2" s="718" t="s">
        <v>26</v>
      </c>
      <c r="G2" s="718"/>
      <c r="H2" s="547" t="s">
        <v>4609</v>
      </c>
      <c r="I2" s="720"/>
      <c r="J2" s="547" t="s">
        <v>6</v>
      </c>
      <c r="K2" s="721" t="s">
        <v>2519</v>
      </c>
      <c r="L2" s="546" t="s">
        <v>26</v>
      </c>
      <c r="M2" s="546" t="s">
        <v>1907</v>
      </c>
      <c r="N2" s="546" t="s">
        <v>4610</v>
      </c>
      <c r="O2" s="546" t="s">
        <v>4609</v>
      </c>
      <c r="P2" s="546" t="s">
        <v>4612</v>
      </c>
      <c r="Q2" s="630"/>
      <c r="R2" s="720"/>
      <c r="S2" s="547" t="s">
        <v>6</v>
      </c>
      <c r="T2" s="721" t="s">
        <v>2519</v>
      </c>
      <c r="U2" s="546" t="s">
        <v>26</v>
      </c>
      <c r="V2" s="547" t="s">
        <v>4612</v>
      </c>
      <c r="W2" s="546" t="s">
        <v>4610</v>
      </c>
      <c r="X2" s="722"/>
      <c r="Y2" s="716"/>
      <c r="Z2" s="716"/>
      <c r="AA2" s="716"/>
      <c r="AB2" s="716"/>
      <c r="AC2" s="716"/>
      <c r="AD2" s="716"/>
      <c r="AE2" s="716"/>
      <c r="AF2" s="716"/>
      <c r="AG2" s="716"/>
      <c r="AH2" s="716"/>
      <c r="AI2" s="716"/>
      <c r="AJ2" s="716"/>
      <c r="AK2" s="716"/>
      <c r="AL2" s="716"/>
      <c r="AM2" s="716"/>
      <c r="AN2" s="716"/>
      <c r="AO2" s="716"/>
      <c r="AP2" s="716"/>
      <c r="AQ2" s="716"/>
      <c r="AR2" s="716"/>
    </row>
    <row r="3">
      <c r="A3" s="716"/>
      <c r="B3" s="630">
        <v>40.0</v>
      </c>
      <c r="C3" s="542">
        <v>0.739</v>
      </c>
      <c r="D3" s="723">
        <v>440.0</v>
      </c>
      <c r="E3" s="724">
        <v>369.0</v>
      </c>
      <c r="F3" s="725">
        <f t="shared" ref="F3:F7" si="1">IFERROR(E3/C3,"")</f>
        <v>499.32341</v>
      </c>
      <c r="G3" s="726"/>
      <c r="H3" s="727">
        <v>472.0</v>
      </c>
      <c r="I3" s="728"/>
      <c r="J3" s="542">
        <v>1.044</v>
      </c>
      <c r="K3" s="724">
        <v>456.0</v>
      </c>
      <c r="L3" s="729">
        <f t="shared" ref="L3:L7" si="2">IFERROR(K3/J3,"")</f>
        <v>436.7816092</v>
      </c>
      <c r="M3" s="723">
        <v>467.0</v>
      </c>
      <c r="N3" s="723">
        <v>465.0</v>
      </c>
      <c r="O3" s="723">
        <v>856.0</v>
      </c>
      <c r="P3" s="723">
        <v>781.0</v>
      </c>
      <c r="Q3" s="730">
        <f t="shared" ref="Q3:Q7" si="3">(J3-C3)/C3</f>
        <v>0.4127198917</v>
      </c>
      <c r="R3" s="728"/>
      <c r="S3" s="542">
        <v>1.498</v>
      </c>
      <c r="T3" s="724">
        <v>1353.0</v>
      </c>
      <c r="U3" s="729">
        <f t="shared" ref="U3:U7" si="4">IFERROR(T3/S3,"")</f>
        <v>903.2042724</v>
      </c>
      <c r="V3" s="731"/>
      <c r="W3" s="723">
        <v>1597.0</v>
      </c>
      <c r="X3" s="732">
        <f t="shared" ref="X3:X7" si="5">IFERROR(S3-J3,"")/J3</f>
        <v>0.4348659004</v>
      </c>
      <c r="Y3" s="716"/>
      <c r="Z3" s="716"/>
      <c r="AA3" s="716"/>
      <c r="AB3" s="716"/>
      <c r="AC3" s="716"/>
      <c r="AD3" s="716"/>
      <c r="AE3" s="716"/>
      <c r="AF3" s="716"/>
      <c r="AG3" s="716"/>
      <c r="AH3" s="716"/>
      <c r="AI3" s="716"/>
      <c r="AJ3" s="716"/>
      <c r="AK3" s="716"/>
      <c r="AL3" s="716"/>
      <c r="AM3" s="716"/>
      <c r="AN3" s="716"/>
      <c r="AO3" s="716"/>
      <c r="AP3" s="716"/>
      <c r="AQ3" s="716"/>
      <c r="AR3" s="716"/>
    </row>
    <row r="4">
      <c r="A4" s="716"/>
      <c r="B4" s="630">
        <v>50.0</v>
      </c>
      <c r="C4" s="542">
        <v>0.933</v>
      </c>
      <c r="D4" s="723">
        <v>590.0</v>
      </c>
      <c r="E4" s="724">
        <v>456.0</v>
      </c>
      <c r="F4" s="725">
        <f t="shared" si="1"/>
        <v>488.7459807</v>
      </c>
      <c r="G4" s="726"/>
      <c r="H4" s="727">
        <v>616.0</v>
      </c>
      <c r="I4" s="549"/>
      <c r="J4" s="542">
        <v>1.318</v>
      </c>
      <c r="K4" s="724">
        <v>570.0</v>
      </c>
      <c r="L4" s="729">
        <f t="shared" si="2"/>
        <v>432.4734446</v>
      </c>
      <c r="M4" s="723">
        <v>590.0</v>
      </c>
      <c r="N4" s="723">
        <v>587.0</v>
      </c>
      <c r="O4" s="723">
        <v>1094.0</v>
      </c>
      <c r="P4" s="723">
        <v>958.0</v>
      </c>
      <c r="Q4" s="730">
        <f t="shared" si="3"/>
        <v>0.4126473741</v>
      </c>
      <c r="R4" s="549"/>
      <c r="S4" s="542">
        <v>3.191</v>
      </c>
      <c r="T4" s="724">
        <v>1880.0</v>
      </c>
      <c r="U4" s="729">
        <f t="shared" si="4"/>
        <v>589.1570041</v>
      </c>
      <c r="V4" s="727">
        <v>1916.0</v>
      </c>
      <c r="W4" s="723">
        <v>2098.0</v>
      </c>
      <c r="X4" s="732">
        <f t="shared" si="5"/>
        <v>1.421092564</v>
      </c>
      <c r="Y4" s="716"/>
      <c r="Z4" s="716"/>
      <c r="AA4" s="716"/>
      <c r="AB4" s="716"/>
      <c r="AC4" s="716"/>
      <c r="AD4" s="716"/>
      <c r="AE4" s="716"/>
      <c r="AF4" s="716"/>
      <c r="AG4" s="716"/>
      <c r="AH4" s="716"/>
      <c r="AI4" s="716"/>
      <c r="AJ4" s="716"/>
      <c r="AK4" s="716"/>
      <c r="AL4" s="716"/>
      <c r="AM4" s="716"/>
      <c r="AN4" s="716"/>
      <c r="AO4" s="716"/>
      <c r="AP4" s="716"/>
      <c r="AQ4" s="716"/>
      <c r="AR4" s="716"/>
    </row>
    <row r="5">
      <c r="A5" s="716"/>
      <c r="B5" s="630">
        <v>75.0</v>
      </c>
      <c r="C5" s="542">
        <v>1.795</v>
      </c>
      <c r="D5" s="723">
        <v>840.0</v>
      </c>
      <c r="E5" s="724">
        <v>1062.0</v>
      </c>
      <c r="F5" s="725">
        <f t="shared" si="1"/>
        <v>591.643454</v>
      </c>
      <c r="G5" s="726"/>
      <c r="H5" s="727">
        <v>1086.0</v>
      </c>
      <c r="I5" s="728"/>
      <c r="J5" s="542">
        <v>2.537</v>
      </c>
      <c r="K5" s="724">
        <v>1395.0</v>
      </c>
      <c r="L5" s="729">
        <f t="shared" si="2"/>
        <v>549.8620418</v>
      </c>
      <c r="M5" s="723">
        <v>1449.0</v>
      </c>
      <c r="N5" s="723">
        <v>1442.0</v>
      </c>
      <c r="O5" s="723">
        <v>2101.0</v>
      </c>
      <c r="P5" s="723">
        <v>1574.0</v>
      </c>
      <c r="Q5" s="730">
        <f t="shared" si="3"/>
        <v>0.4133704735</v>
      </c>
      <c r="R5" s="728"/>
      <c r="S5" s="542">
        <v>5.541</v>
      </c>
      <c r="T5" s="724">
        <v>2440.0</v>
      </c>
      <c r="U5" s="729">
        <f t="shared" si="4"/>
        <v>440.3537268</v>
      </c>
      <c r="V5" s="727">
        <v>2746.0</v>
      </c>
      <c r="W5" s="723">
        <v>2585.0</v>
      </c>
      <c r="X5" s="732">
        <f t="shared" si="5"/>
        <v>1.18407568</v>
      </c>
      <c r="Y5" s="716"/>
      <c r="Z5" s="716"/>
      <c r="AA5" s="716"/>
      <c r="AB5" s="716"/>
      <c r="AC5" s="716"/>
      <c r="AD5" s="716"/>
      <c r="AE5" s="716"/>
      <c r="AF5" s="716"/>
      <c r="AG5" s="716"/>
      <c r="AH5" s="716"/>
      <c r="AI5" s="716"/>
      <c r="AJ5" s="716"/>
      <c r="AK5" s="716"/>
      <c r="AL5" s="716"/>
      <c r="AM5" s="716"/>
      <c r="AN5" s="716"/>
      <c r="AO5" s="716"/>
      <c r="AP5" s="716"/>
      <c r="AQ5" s="716"/>
      <c r="AR5" s="716"/>
    </row>
    <row r="6">
      <c r="A6" s="716"/>
      <c r="B6" s="630">
        <v>110.0</v>
      </c>
      <c r="C6" s="542">
        <v>3.763</v>
      </c>
      <c r="D6" s="723">
        <v>1420.0</v>
      </c>
      <c r="E6" s="724">
        <v>1680.0</v>
      </c>
      <c r="F6" s="725">
        <f t="shared" si="1"/>
        <v>446.4522987</v>
      </c>
      <c r="G6" s="726"/>
      <c r="H6" s="727">
        <v>1459.0</v>
      </c>
      <c r="I6" s="549"/>
      <c r="J6" s="542">
        <v>5.318</v>
      </c>
      <c r="K6" s="724">
        <v>2070.0</v>
      </c>
      <c r="L6" s="729">
        <f t="shared" si="2"/>
        <v>389.2440767</v>
      </c>
      <c r="M6" s="723">
        <v>2141.0</v>
      </c>
      <c r="N6" s="723">
        <v>2131.0</v>
      </c>
      <c r="O6" s="723">
        <v>2461.0</v>
      </c>
      <c r="P6" s="723">
        <v>3034.0</v>
      </c>
      <c r="Q6" s="730">
        <f t="shared" si="3"/>
        <v>0.4132341217</v>
      </c>
      <c r="R6" s="549"/>
      <c r="S6" s="542">
        <v>9.702</v>
      </c>
      <c r="T6" s="724">
        <v>3990.0</v>
      </c>
      <c r="U6" s="729">
        <f t="shared" si="4"/>
        <v>411.2554113</v>
      </c>
      <c r="V6" s="727">
        <v>5208.0</v>
      </c>
      <c r="W6" s="723">
        <v>4147.0</v>
      </c>
      <c r="X6" s="732">
        <f t="shared" si="5"/>
        <v>0.8243700639</v>
      </c>
      <c r="Y6" s="716"/>
      <c r="Z6" s="716"/>
      <c r="AA6" s="716"/>
      <c r="AB6" s="716"/>
      <c r="AC6" s="716"/>
      <c r="AD6" s="716"/>
      <c r="AE6" s="716"/>
      <c r="AF6" s="716"/>
      <c r="AG6" s="716"/>
      <c r="AH6" s="716"/>
      <c r="AI6" s="716"/>
      <c r="AJ6" s="716"/>
      <c r="AK6" s="716"/>
      <c r="AL6" s="716"/>
      <c r="AM6" s="716"/>
      <c r="AN6" s="716"/>
      <c r="AO6" s="716"/>
      <c r="AP6" s="716"/>
      <c r="AQ6" s="716"/>
      <c r="AR6" s="716"/>
    </row>
    <row r="7">
      <c r="A7" s="716"/>
      <c r="B7" s="630">
        <v>160.0</v>
      </c>
      <c r="C7" s="542">
        <v>7.698</v>
      </c>
      <c r="D7" s="729">
        <f>C7*400</f>
        <v>3079.2</v>
      </c>
      <c r="E7" s="724">
        <v>3420.0</v>
      </c>
      <c r="F7" s="725">
        <f t="shared" si="1"/>
        <v>444.2712393</v>
      </c>
      <c r="G7" s="726"/>
      <c r="H7" s="727">
        <v>3430.0</v>
      </c>
      <c r="I7" s="549"/>
      <c r="J7" s="542">
        <v>10.877</v>
      </c>
      <c r="K7" s="724">
        <v>3960.0</v>
      </c>
      <c r="L7" s="729">
        <f t="shared" si="2"/>
        <v>364.0709755</v>
      </c>
      <c r="M7" s="723">
        <v>4141.0</v>
      </c>
      <c r="N7" s="723">
        <v>4121.0</v>
      </c>
      <c r="O7" s="723">
        <v>5050.0</v>
      </c>
      <c r="P7" s="723">
        <v>7228.0</v>
      </c>
      <c r="Q7" s="730">
        <f t="shared" si="3"/>
        <v>0.4129644063</v>
      </c>
      <c r="R7" s="549"/>
      <c r="S7" s="542">
        <v>14.392</v>
      </c>
      <c r="T7" s="724">
        <v>6440.0</v>
      </c>
      <c r="U7" s="729">
        <f t="shared" si="4"/>
        <v>447.4708171</v>
      </c>
      <c r="V7" s="727">
        <v>8341.0</v>
      </c>
      <c r="W7" s="723">
        <v>6580.0</v>
      </c>
      <c r="X7" s="732">
        <f t="shared" si="5"/>
        <v>0.3231589593</v>
      </c>
      <c r="Y7" s="716"/>
      <c r="Z7" s="716"/>
      <c r="AA7" s="716"/>
      <c r="AB7" s="716"/>
      <c r="AC7" s="716"/>
      <c r="AD7" s="716"/>
      <c r="AE7" s="716"/>
      <c r="AF7" s="716"/>
      <c r="AG7" s="716"/>
      <c r="AH7" s="716"/>
      <c r="AI7" s="716"/>
      <c r="AJ7" s="716"/>
      <c r="AK7" s="716"/>
      <c r="AL7" s="716"/>
      <c r="AM7" s="716"/>
      <c r="AN7" s="716"/>
      <c r="AO7" s="716"/>
      <c r="AP7" s="716"/>
      <c r="AQ7" s="716"/>
      <c r="AR7" s="716"/>
    </row>
    <row r="8">
      <c r="A8" s="716"/>
      <c r="B8" s="530"/>
      <c r="C8" s="530"/>
      <c r="D8" s="530"/>
      <c r="E8" s="530"/>
      <c r="F8" s="530"/>
      <c r="G8" s="530"/>
      <c r="H8" s="530"/>
      <c r="I8" s="530"/>
      <c r="J8" s="530"/>
      <c r="K8" s="530"/>
      <c r="L8" s="530"/>
      <c r="M8" s="530"/>
      <c r="N8" s="530"/>
      <c r="O8" s="530"/>
      <c r="P8" s="530"/>
      <c r="Q8" s="530"/>
      <c r="R8" s="530"/>
      <c r="S8" s="530"/>
      <c r="T8" s="387"/>
      <c r="U8" s="119">
        <v>644.0</v>
      </c>
      <c r="V8" s="530"/>
      <c r="W8" s="530"/>
      <c r="X8" s="733"/>
      <c r="Y8" s="716"/>
      <c r="Z8" s="716"/>
      <c r="AA8" s="716"/>
      <c r="AB8" s="716"/>
      <c r="AC8" s="716"/>
      <c r="AD8" s="716"/>
      <c r="AE8" s="716"/>
      <c r="AF8" s="716"/>
      <c r="AG8" s="716"/>
      <c r="AH8" s="716"/>
      <c r="AI8" s="716"/>
      <c r="AJ8" s="716"/>
      <c r="AK8" s="716"/>
      <c r="AL8" s="716"/>
      <c r="AM8" s="716"/>
      <c r="AN8" s="716"/>
      <c r="AO8" s="716"/>
      <c r="AP8" s="716"/>
      <c r="AQ8" s="716"/>
      <c r="AR8" s="716"/>
    </row>
    <row r="9" hidden="1">
      <c r="A9" s="716"/>
      <c r="B9" s="530"/>
      <c r="C9" s="530"/>
      <c r="D9" s="630" t="s">
        <v>4602</v>
      </c>
      <c r="H9" s="530"/>
      <c r="I9" s="530"/>
      <c r="J9" s="530"/>
      <c r="K9" s="530"/>
      <c r="L9" s="530"/>
      <c r="M9" s="530"/>
      <c r="N9" s="530"/>
      <c r="O9" s="530"/>
      <c r="P9" s="530"/>
      <c r="Q9" s="530"/>
      <c r="R9" s="530"/>
      <c r="S9" s="530"/>
      <c r="T9" s="530"/>
      <c r="U9" s="530"/>
      <c r="V9" s="530"/>
      <c r="W9" s="530"/>
      <c r="X9" s="733"/>
      <c r="Y9" s="716"/>
      <c r="Z9" s="716"/>
      <c r="AA9" s="716"/>
      <c r="AB9" s="716"/>
      <c r="AC9" s="716"/>
      <c r="AD9" s="716"/>
      <c r="AE9" s="716"/>
      <c r="AF9" s="716"/>
      <c r="AG9" s="716"/>
      <c r="AH9" s="716"/>
      <c r="AI9" s="716"/>
      <c r="AJ9" s="716"/>
      <c r="AK9" s="716"/>
      <c r="AL9" s="716"/>
      <c r="AM9" s="716"/>
      <c r="AN9" s="716"/>
      <c r="AO9" s="716"/>
      <c r="AP9" s="716"/>
      <c r="AQ9" s="716"/>
      <c r="AR9" s="716"/>
    </row>
    <row r="10" hidden="1">
      <c r="A10" s="716"/>
      <c r="B10" s="530"/>
      <c r="C10" s="630"/>
      <c r="D10" s="630" t="s">
        <v>2519</v>
      </c>
      <c r="H10" s="630" t="s">
        <v>4609</v>
      </c>
      <c r="I10" s="630"/>
      <c r="J10" s="630" t="s">
        <v>4612</v>
      </c>
      <c r="K10" s="630" t="s">
        <v>4610</v>
      </c>
      <c r="L10" s="630"/>
      <c r="M10" s="530"/>
      <c r="N10" s="530"/>
      <c r="O10" s="530"/>
      <c r="P10" s="530"/>
      <c r="Q10" s="530"/>
      <c r="R10" s="530"/>
      <c r="S10" s="530"/>
      <c r="T10" s="530"/>
      <c r="U10" s="530"/>
      <c r="V10" s="530"/>
      <c r="W10" s="530"/>
      <c r="X10" s="733"/>
      <c r="Y10" s="716"/>
      <c r="Z10" s="716"/>
      <c r="AA10" s="716"/>
      <c r="AB10" s="716"/>
      <c r="AC10" s="716"/>
      <c r="AD10" s="716"/>
      <c r="AE10" s="716"/>
      <c r="AF10" s="716"/>
      <c r="AG10" s="716"/>
      <c r="AH10" s="716"/>
      <c r="AI10" s="716"/>
      <c r="AJ10" s="716"/>
      <c r="AK10" s="716"/>
      <c r="AL10" s="716"/>
      <c r="AM10" s="716"/>
      <c r="AN10" s="716"/>
      <c r="AO10" s="716"/>
      <c r="AP10" s="716"/>
      <c r="AQ10" s="716"/>
      <c r="AR10" s="716"/>
    </row>
    <row r="11" hidden="1">
      <c r="A11" s="716"/>
      <c r="B11" s="530"/>
      <c r="C11" s="734"/>
      <c r="D11" s="735"/>
      <c r="H11" s="736"/>
      <c r="I11" s="736"/>
      <c r="J11" s="736"/>
      <c r="K11" s="735"/>
      <c r="L11" s="735"/>
      <c r="M11" s="530"/>
      <c r="N11" s="530"/>
      <c r="O11" s="530"/>
      <c r="P11" s="530"/>
      <c r="Q11" s="530"/>
      <c r="R11" s="530"/>
      <c r="S11" s="530"/>
      <c r="T11" s="530"/>
      <c r="U11" s="530"/>
      <c r="V11" s="530"/>
      <c r="W11" s="530"/>
      <c r="X11" s="733"/>
      <c r="Y11" s="716"/>
      <c r="Z11" s="716"/>
      <c r="AA11" s="716"/>
      <c r="AB11" s="716"/>
      <c r="AC11" s="716"/>
      <c r="AD11" s="716"/>
      <c r="AE11" s="716"/>
      <c r="AF11" s="716"/>
      <c r="AG11" s="716"/>
      <c r="AH11" s="716"/>
      <c r="AI11" s="716"/>
      <c r="AJ11" s="716"/>
      <c r="AK11" s="716"/>
      <c r="AL11" s="716"/>
      <c r="AM11" s="716"/>
      <c r="AN11" s="716"/>
      <c r="AO11" s="716"/>
      <c r="AP11" s="716"/>
      <c r="AQ11" s="716"/>
      <c r="AR11" s="716"/>
    </row>
    <row r="12" hidden="1">
      <c r="A12" s="716"/>
      <c r="B12" s="630">
        <v>40.0</v>
      </c>
      <c r="C12" s="734">
        <v>1.1</v>
      </c>
      <c r="D12" s="735">
        <v>550.0</v>
      </c>
      <c r="H12" s="736">
        <v>856.0</v>
      </c>
      <c r="I12" s="736"/>
      <c r="J12" s="736"/>
      <c r="K12" s="735"/>
      <c r="L12" s="735"/>
      <c r="M12" s="530"/>
      <c r="N12" s="530"/>
      <c r="O12" s="530"/>
      <c r="P12" s="530"/>
      <c r="Q12" s="530"/>
      <c r="R12" s="530"/>
      <c r="S12" s="530"/>
      <c r="T12" s="530"/>
      <c r="U12" s="530"/>
      <c r="V12" s="530"/>
      <c r="W12" s="530"/>
      <c r="X12" s="733"/>
      <c r="Y12" s="716"/>
      <c r="Z12" s="716"/>
      <c r="AA12" s="716"/>
      <c r="AB12" s="716"/>
      <c r="AC12" s="716"/>
      <c r="AD12" s="716"/>
      <c r="AE12" s="716"/>
      <c r="AF12" s="716"/>
      <c r="AG12" s="716"/>
      <c r="AH12" s="716"/>
      <c r="AI12" s="716"/>
      <c r="AJ12" s="716"/>
      <c r="AK12" s="716"/>
      <c r="AL12" s="716"/>
      <c r="AM12" s="716"/>
      <c r="AN12" s="716"/>
      <c r="AO12" s="716"/>
      <c r="AP12" s="716"/>
      <c r="AQ12" s="716"/>
      <c r="AR12" s="716"/>
    </row>
    <row r="13" hidden="1">
      <c r="A13" s="716"/>
      <c r="B13" s="630">
        <v>50.0</v>
      </c>
      <c r="C13" s="545">
        <v>1.35</v>
      </c>
      <c r="D13" s="735">
        <v>675.0</v>
      </c>
      <c r="H13" s="736">
        <v>1094.0</v>
      </c>
      <c r="I13" s="736"/>
      <c r="J13" s="736">
        <v>1045.0</v>
      </c>
      <c r="K13" s="736">
        <v>557.0</v>
      </c>
      <c r="L13" s="736"/>
      <c r="M13" s="530"/>
      <c r="N13" s="530"/>
      <c r="O13" s="530"/>
      <c r="P13" s="530"/>
      <c r="Q13" s="530"/>
      <c r="R13" s="530"/>
      <c r="S13" s="530"/>
      <c r="T13" s="530"/>
      <c r="U13" s="530"/>
      <c r="V13" s="530"/>
      <c r="W13" s="530"/>
      <c r="X13" s="733"/>
      <c r="Y13" s="716"/>
      <c r="Z13" s="716"/>
      <c r="AA13" s="716"/>
      <c r="AB13" s="716"/>
      <c r="AC13" s="716"/>
      <c r="AD13" s="716"/>
      <c r="AE13" s="716"/>
      <c r="AF13" s="716"/>
      <c r="AG13" s="716"/>
      <c r="AH13" s="716"/>
      <c r="AI13" s="716"/>
      <c r="AJ13" s="716"/>
      <c r="AK13" s="716"/>
      <c r="AL13" s="716"/>
      <c r="AM13" s="716"/>
      <c r="AN13" s="716"/>
      <c r="AO13" s="716"/>
      <c r="AP13" s="716"/>
      <c r="AQ13" s="716"/>
      <c r="AR13" s="716"/>
    </row>
    <row r="14" hidden="1">
      <c r="A14" s="716"/>
      <c r="B14" s="630">
        <v>75.0</v>
      </c>
      <c r="C14" s="734">
        <v>2.65</v>
      </c>
      <c r="D14" s="735">
        <v>1325.0</v>
      </c>
      <c r="H14" s="736">
        <v>2101.0</v>
      </c>
      <c r="I14" s="736"/>
      <c r="J14" s="736">
        <v>1700.0</v>
      </c>
      <c r="K14" s="736">
        <v>1367.0</v>
      </c>
      <c r="L14" s="736"/>
      <c r="M14" s="530"/>
      <c r="N14" s="530"/>
      <c r="O14" s="530"/>
      <c r="P14" s="530"/>
      <c r="Q14" s="530"/>
      <c r="R14" s="530"/>
      <c r="S14" s="530"/>
      <c r="T14" s="530"/>
      <c r="U14" s="530"/>
      <c r="V14" s="530"/>
      <c r="W14" s="530"/>
      <c r="X14" s="733"/>
      <c r="Y14" s="716"/>
      <c r="Z14" s="716"/>
      <c r="AA14" s="716"/>
      <c r="AB14" s="716"/>
      <c r="AC14" s="716"/>
      <c r="AD14" s="716"/>
      <c r="AE14" s="716"/>
      <c r="AF14" s="716"/>
      <c r="AG14" s="716"/>
      <c r="AH14" s="716"/>
      <c r="AI14" s="716"/>
      <c r="AJ14" s="716"/>
      <c r="AK14" s="716"/>
      <c r="AL14" s="716"/>
      <c r="AM14" s="716"/>
      <c r="AN14" s="716"/>
      <c r="AO14" s="716"/>
      <c r="AP14" s="716"/>
      <c r="AQ14" s="716"/>
      <c r="AR14" s="716"/>
    </row>
    <row r="15" hidden="1">
      <c r="A15" s="716"/>
      <c r="B15" s="630">
        <v>110.0</v>
      </c>
      <c r="C15" s="545">
        <v>4.8</v>
      </c>
      <c r="D15" s="735">
        <v>2400.0</v>
      </c>
      <c r="H15" s="736">
        <v>2461.0</v>
      </c>
      <c r="I15" s="736"/>
      <c r="J15" s="736">
        <v>3277.0</v>
      </c>
      <c r="K15" s="736">
        <v>2020.0</v>
      </c>
      <c r="L15" s="736"/>
      <c r="M15" s="530"/>
      <c r="N15" s="530"/>
      <c r="O15" s="530"/>
      <c r="P15" s="530"/>
      <c r="Q15" s="530"/>
      <c r="R15" s="530"/>
      <c r="S15" s="530"/>
      <c r="T15" s="530"/>
      <c r="U15" s="530"/>
      <c r="V15" s="530"/>
      <c r="W15" s="530"/>
      <c r="X15" s="733"/>
      <c r="Y15" s="716"/>
      <c r="Z15" s="716"/>
      <c r="AA15" s="716"/>
      <c r="AB15" s="716"/>
      <c r="AC15" s="716"/>
      <c r="AD15" s="716"/>
      <c r="AE15" s="716"/>
      <c r="AF15" s="716"/>
      <c r="AG15" s="716"/>
      <c r="AH15" s="716"/>
      <c r="AI15" s="716"/>
      <c r="AJ15" s="716"/>
      <c r="AK15" s="716"/>
      <c r="AL15" s="716"/>
      <c r="AM15" s="716"/>
      <c r="AN15" s="716"/>
      <c r="AO15" s="716"/>
      <c r="AP15" s="716"/>
      <c r="AQ15" s="716"/>
      <c r="AR15" s="716"/>
    </row>
    <row r="16" hidden="1">
      <c r="A16" s="716"/>
      <c r="B16" s="630">
        <v>160.0</v>
      </c>
      <c r="C16" s="734">
        <v>10.8</v>
      </c>
      <c r="D16" s="735">
        <v>5400.0</v>
      </c>
      <c r="H16" s="736">
        <v>5050.0</v>
      </c>
      <c r="I16" s="736"/>
      <c r="J16" s="736">
        <v>7806.0</v>
      </c>
      <c r="K16" s="736">
        <v>3907.0</v>
      </c>
      <c r="L16" s="736"/>
      <c r="M16" s="530"/>
      <c r="N16" s="530"/>
      <c r="O16" s="530"/>
      <c r="P16" s="530"/>
      <c r="Q16" s="530"/>
      <c r="R16" s="530"/>
      <c r="S16" s="530"/>
      <c r="T16" s="530"/>
      <c r="U16" s="530"/>
      <c r="V16" s="530"/>
      <c r="W16" s="530"/>
      <c r="X16" s="733"/>
      <c r="Y16" s="716"/>
      <c r="Z16" s="716"/>
      <c r="AA16" s="716"/>
      <c r="AB16" s="716"/>
      <c r="AC16" s="716"/>
      <c r="AD16" s="716"/>
      <c r="AE16" s="716"/>
      <c r="AF16" s="716"/>
      <c r="AG16" s="716"/>
      <c r="AH16" s="716"/>
      <c r="AI16" s="716"/>
      <c r="AJ16" s="716"/>
      <c r="AK16" s="716"/>
      <c r="AL16" s="716"/>
      <c r="AM16" s="716"/>
      <c r="AN16" s="716"/>
      <c r="AO16" s="716"/>
      <c r="AP16" s="716"/>
      <c r="AQ16" s="716"/>
      <c r="AR16" s="716"/>
    </row>
    <row r="17" hidden="1">
      <c r="A17" s="716"/>
      <c r="B17" s="530"/>
      <c r="C17" s="530"/>
      <c r="D17" s="530"/>
      <c r="E17" s="530"/>
      <c r="F17" s="530"/>
      <c r="G17" s="530"/>
      <c r="H17" s="530"/>
      <c r="I17" s="530"/>
      <c r="J17" s="530"/>
      <c r="K17" s="530"/>
      <c r="L17" s="530"/>
      <c r="M17" s="530"/>
      <c r="N17" s="530"/>
      <c r="O17" s="530"/>
      <c r="P17" s="530"/>
      <c r="Q17" s="530"/>
      <c r="R17" s="530"/>
      <c r="S17" s="530"/>
      <c r="T17" s="530"/>
      <c r="U17" s="530"/>
      <c r="V17" s="530"/>
      <c r="W17" s="530"/>
      <c r="X17" s="733"/>
      <c r="Y17" s="716"/>
      <c r="Z17" s="716"/>
      <c r="AA17" s="716"/>
      <c r="AB17" s="716"/>
      <c r="AC17" s="716"/>
      <c r="AD17" s="716"/>
      <c r="AE17" s="716"/>
      <c r="AF17" s="716"/>
      <c r="AG17" s="716"/>
      <c r="AH17" s="716"/>
      <c r="AI17" s="716"/>
      <c r="AJ17" s="716"/>
      <c r="AK17" s="716"/>
      <c r="AL17" s="716"/>
      <c r="AM17" s="716"/>
      <c r="AN17" s="716"/>
      <c r="AO17" s="716"/>
      <c r="AP17" s="716"/>
      <c r="AQ17" s="716"/>
      <c r="AR17" s="716"/>
    </row>
    <row r="18" hidden="1">
      <c r="A18" s="716"/>
      <c r="B18" s="530"/>
      <c r="C18" s="530"/>
      <c r="D18" s="630" t="s">
        <v>4603</v>
      </c>
      <c r="H18" s="530"/>
      <c r="I18" s="530"/>
      <c r="J18" s="530"/>
      <c r="K18" s="530"/>
      <c r="L18" s="530"/>
      <c r="M18" s="530"/>
      <c r="N18" s="530"/>
      <c r="O18" s="530"/>
      <c r="P18" s="530"/>
      <c r="Q18" s="530"/>
      <c r="R18" s="530"/>
      <c r="S18" s="530"/>
      <c r="T18" s="530"/>
      <c r="U18" s="530"/>
      <c r="V18" s="530"/>
      <c r="W18" s="530"/>
      <c r="X18" s="733"/>
      <c r="Y18" s="716"/>
      <c r="Z18" s="716"/>
      <c r="AA18" s="716"/>
      <c r="AB18" s="716"/>
      <c r="AC18" s="716"/>
      <c r="AD18" s="716"/>
      <c r="AE18" s="716"/>
      <c r="AF18" s="716"/>
      <c r="AG18" s="716"/>
      <c r="AH18" s="716"/>
      <c r="AI18" s="716"/>
      <c r="AJ18" s="716"/>
      <c r="AK18" s="716"/>
      <c r="AL18" s="716"/>
      <c r="AM18" s="716"/>
      <c r="AN18" s="716"/>
      <c r="AO18" s="716"/>
      <c r="AP18" s="716"/>
      <c r="AQ18" s="716"/>
      <c r="AR18" s="716"/>
    </row>
    <row r="19" hidden="1">
      <c r="A19" s="716"/>
      <c r="B19" s="530"/>
      <c r="C19" s="630"/>
      <c r="D19" s="630" t="s">
        <v>2519</v>
      </c>
      <c r="H19" s="530"/>
      <c r="I19" s="630"/>
      <c r="J19" s="630" t="s">
        <v>4612</v>
      </c>
      <c r="K19" s="630" t="s">
        <v>4610</v>
      </c>
      <c r="L19" s="630"/>
      <c r="M19" s="530"/>
      <c r="N19" s="530"/>
      <c r="O19" s="530"/>
      <c r="P19" s="530"/>
      <c r="Q19" s="530"/>
      <c r="R19" s="530"/>
      <c r="S19" s="530"/>
      <c r="T19" s="530"/>
      <c r="U19" s="530"/>
      <c r="V19" s="530"/>
      <c r="W19" s="530"/>
      <c r="X19" s="733"/>
      <c r="Y19" s="716"/>
      <c r="Z19" s="716"/>
      <c r="AA19" s="716"/>
      <c r="AB19" s="716"/>
      <c r="AC19" s="716"/>
      <c r="AD19" s="716"/>
      <c r="AE19" s="716"/>
      <c r="AF19" s="716"/>
      <c r="AG19" s="716"/>
      <c r="AH19" s="716"/>
      <c r="AI19" s="716"/>
      <c r="AJ19" s="716"/>
      <c r="AK19" s="716"/>
      <c r="AL19" s="716"/>
      <c r="AM19" s="716"/>
      <c r="AN19" s="716"/>
      <c r="AO19" s="716"/>
      <c r="AP19" s="716"/>
      <c r="AQ19" s="716"/>
      <c r="AR19" s="716"/>
    </row>
    <row r="20" hidden="1">
      <c r="A20" s="716"/>
      <c r="B20" s="530"/>
      <c r="C20" s="545"/>
      <c r="D20" s="735"/>
      <c r="H20" s="530"/>
      <c r="I20" s="735"/>
      <c r="J20" s="735"/>
      <c r="K20" s="736"/>
      <c r="L20" s="736"/>
      <c r="M20" s="530"/>
      <c r="N20" s="530"/>
      <c r="O20" s="530"/>
      <c r="P20" s="530"/>
      <c r="Q20" s="530"/>
      <c r="R20" s="530"/>
      <c r="S20" s="530"/>
      <c r="T20" s="530"/>
      <c r="U20" s="530"/>
      <c r="V20" s="530"/>
      <c r="W20" s="530"/>
      <c r="X20" s="733"/>
      <c r="Y20" s="716"/>
      <c r="Z20" s="716"/>
      <c r="AA20" s="716"/>
      <c r="AB20" s="716"/>
      <c r="AC20" s="716"/>
      <c r="AD20" s="716"/>
      <c r="AE20" s="716"/>
      <c r="AF20" s="716"/>
      <c r="AG20" s="716"/>
      <c r="AH20" s="716"/>
      <c r="AI20" s="716"/>
      <c r="AJ20" s="716"/>
      <c r="AK20" s="716"/>
      <c r="AL20" s="716"/>
      <c r="AM20" s="716"/>
      <c r="AN20" s="716"/>
      <c r="AO20" s="716"/>
      <c r="AP20" s="716"/>
      <c r="AQ20" s="716"/>
      <c r="AR20" s="716"/>
    </row>
    <row r="21" hidden="1">
      <c r="A21" s="716"/>
      <c r="B21" s="530"/>
      <c r="C21" s="545">
        <v>1.55</v>
      </c>
      <c r="D21" s="735">
        <v>930.0</v>
      </c>
      <c r="H21" s="530"/>
      <c r="I21" s="735"/>
      <c r="J21" s="735"/>
      <c r="K21" s="736">
        <v>1134.0</v>
      </c>
      <c r="L21" s="736"/>
      <c r="M21" s="530"/>
      <c r="N21" s="530"/>
      <c r="O21" s="530"/>
      <c r="P21" s="530"/>
      <c r="Q21" s="530"/>
      <c r="R21" s="530"/>
      <c r="S21" s="530"/>
      <c r="T21" s="530"/>
      <c r="U21" s="530"/>
      <c r="V21" s="530"/>
      <c r="W21" s="530"/>
      <c r="X21" s="733"/>
      <c r="Y21" s="716"/>
      <c r="Z21" s="716"/>
      <c r="AA21" s="716"/>
      <c r="AB21" s="716"/>
      <c r="AC21" s="716"/>
      <c r="AD21" s="716"/>
      <c r="AE21" s="716"/>
      <c r="AF21" s="716"/>
      <c r="AG21" s="716"/>
      <c r="AH21" s="716"/>
      <c r="AI21" s="716"/>
      <c r="AJ21" s="716"/>
      <c r="AK21" s="716"/>
      <c r="AL21" s="716"/>
      <c r="AM21" s="716"/>
      <c r="AN21" s="716"/>
      <c r="AO21" s="716"/>
      <c r="AP21" s="716"/>
      <c r="AQ21" s="716"/>
      <c r="AR21" s="716"/>
    </row>
    <row r="22" hidden="1">
      <c r="A22" s="716"/>
      <c r="B22" s="530"/>
      <c r="C22" s="545">
        <v>1.95</v>
      </c>
      <c r="D22" s="735">
        <v>1170.0</v>
      </c>
      <c r="H22" s="530"/>
      <c r="I22" s="736"/>
      <c r="J22" s="736">
        <v>2069.0</v>
      </c>
      <c r="K22" s="736">
        <v>1490.0</v>
      </c>
      <c r="L22" s="736"/>
      <c r="M22" s="530"/>
      <c r="N22" s="530"/>
      <c r="O22" s="530"/>
      <c r="P22" s="530"/>
      <c r="Q22" s="530"/>
      <c r="R22" s="530"/>
      <c r="S22" s="530"/>
      <c r="T22" s="530"/>
      <c r="U22" s="530"/>
      <c r="V22" s="530"/>
      <c r="W22" s="530"/>
      <c r="X22" s="733"/>
      <c r="Y22" s="716"/>
      <c r="Z22" s="716"/>
      <c r="AA22" s="716"/>
      <c r="AB22" s="716"/>
      <c r="AC22" s="716"/>
      <c r="AD22" s="716"/>
      <c r="AE22" s="716"/>
      <c r="AF22" s="716"/>
      <c r="AG22" s="716"/>
      <c r="AH22" s="716"/>
      <c r="AI22" s="716"/>
      <c r="AJ22" s="716"/>
      <c r="AK22" s="716"/>
      <c r="AL22" s="716"/>
      <c r="AM22" s="716"/>
      <c r="AN22" s="716"/>
      <c r="AO22" s="716"/>
      <c r="AP22" s="716"/>
      <c r="AQ22" s="716"/>
      <c r="AR22" s="716"/>
    </row>
    <row r="23" hidden="1">
      <c r="A23" s="716"/>
      <c r="B23" s="530"/>
      <c r="C23" s="545">
        <v>3.85</v>
      </c>
      <c r="D23" s="735">
        <v>2310.0</v>
      </c>
      <c r="H23" s="530"/>
      <c r="I23" s="736"/>
      <c r="J23" s="736">
        <v>2966.0</v>
      </c>
      <c r="K23" s="736">
        <v>1836.0</v>
      </c>
      <c r="L23" s="736"/>
      <c r="M23" s="530"/>
      <c r="N23" s="530"/>
      <c r="O23" s="530"/>
      <c r="P23" s="530"/>
      <c r="Q23" s="530"/>
      <c r="R23" s="530"/>
      <c r="S23" s="530"/>
      <c r="T23" s="530"/>
      <c r="U23" s="530"/>
      <c r="V23" s="530"/>
      <c r="W23" s="530"/>
      <c r="X23" s="733"/>
      <c r="Y23" s="716"/>
      <c r="Z23" s="716"/>
      <c r="AA23" s="716"/>
      <c r="AB23" s="716"/>
      <c r="AC23" s="716"/>
      <c r="AD23" s="716"/>
      <c r="AE23" s="716"/>
      <c r="AF23" s="716"/>
      <c r="AG23" s="716"/>
      <c r="AH23" s="716"/>
      <c r="AI23" s="716"/>
      <c r="AJ23" s="716"/>
      <c r="AK23" s="716"/>
      <c r="AL23" s="716"/>
      <c r="AM23" s="716"/>
      <c r="AN23" s="716"/>
      <c r="AO23" s="716"/>
      <c r="AP23" s="716"/>
      <c r="AQ23" s="716"/>
      <c r="AR23" s="716"/>
    </row>
    <row r="24" hidden="1">
      <c r="A24" s="716"/>
      <c r="B24" s="530"/>
      <c r="C24" s="545">
        <v>8.4</v>
      </c>
      <c r="D24" s="735">
        <v>5040.0</v>
      </c>
      <c r="H24" s="530"/>
      <c r="I24" s="736"/>
      <c r="J24" s="736">
        <v>5625.0</v>
      </c>
      <c r="K24" s="736">
        <v>2945.0</v>
      </c>
      <c r="L24" s="736"/>
      <c r="M24" s="530"/>
      <c r="N24" s="530"/>
      <c r="O24" s="530"/>
      <c r="P24" s="530"/>
      <c r="Q24" s="530"/>
      <c r="R24" s="530"/>
      <c r="S24" s="530"/>
      <c r="T24" s="530"/>
      <c r="U24" s="530"/>
      <c r="V24" s="530"/>
      <c r="W24" s="530"/>
      <c r="X24" s="733"/>
      <c r="Y24" s="716"/>
      <c r="Z24" s="716"/>
      <c r="AA24" s="716"/>
      <c r="AB24" s="716"/>
      <c r="AC24" s="716"/>
      <c r="AD24" s="716"/>
      <c r="AE24" s="716"/>
      <c r="AF24" s="716"/>
      <c r="AG24" s="716"/>
      <c r="AH24" s="716"/>
      <c r="AI24" s="716"/>
      <c r="AJ24" s="716"/>
      <c r="AK24" s="716"/>
      <c r="AL24" s="716"/>
      <c r="AM24" s="716"/>
      <c r="AN24" s="716"/>
      <c r="AO24" s="716"/>
      <c r="AP24" s="716"/>
      <c r="AQ24" s="716"/>
      <c r="AR24" s="716"/>
    </row>
    <row r="25" hidden="1">
      <c r="A25" s="716"/>
      <c r="B25" s="530"/>
      <c r="C25" s="545">
        <v>13.6</v>
      </c>
      <c r="D25" s="735">
        <v>8160.0</v>
      </c>
      <c r="H25" s="530"/>
      <c r="I25" s="736"/>
      <c r="J25" s="736">
        <v>9000.0</v>
      </c>
      <c r="K25" s="736">
        <v>4673.0</v>
      </c>
      <c r="L25" s="736"/>
      <c r="M25" s="530"/>
      <c r="N25" s="530"/>
      <c r="O25" s="530"/>
      <c r="P25" s="530"/>
      <c r="Q25" s="530"/>
      <c r="R25" s="530"/>
      <c r="S25" s="530"/>
      <c r="T25" s="530"/>
      <c r="U25" s="530"/>
      <c r="V25" s="530"/>
      <c r="W25" s="530"/>
      <c r="X25" s="733"/>
      <c r="Y25" s="716"/>
      <c r="Z25" s="716"/>
      <c r="AA25" s="716"/>
      <c r="AB25" s="716"/>
      <c r="AC25" s="716"/>
      <c r="AD25" s="716"/>
      <c r="AE25" s="716"/>
      <c r="AF25" s="716"/>
      <c r="AG25" s="716"/>
      <c r="AH25" s="716"/>
      <c r="AI25" s="716"/>
      <c r="AJ25" s="716"/>
      <c r="AK25" s="716"/>
      <c r="AL25" s="716"/>
      <c r="AM25" s="716"/>
      <c r="AN25" s="716"/>
      <c r="AO25" s="716"/>
      <c r="AP25" s="716"/>
      <c r="AQ25" s="716"/>
      <c r="AR25" s="716"/>
    </row>
    <row r="26" hidden="1">
      <c r="A26" s="716"/>
      <c r="B26" s="530"/>
      <c r="C26" s="530"/>
      <c r="D26" s="530"/>
      <c r="E26" s="530"/>
      <c r="F26" s="530"/>
      <c r="G26" s="530"/>
      <c r="H26" s="530"/>
      <c r="I26" s="530"/>
      <c r="J26" s="530"/>
      <c r="K26" s="530"/>
      <c r="L26" s="530"/>
      <c r="M26" s="530"/>
      <c r="N26" s="530"/>
      <c r="O26" s="530"/>
      <c r="P26" s="530"/>
      <c r="Q26" s="530"/>
      <c r="R26" s="530"/>
      <c r="S26" s="530"/>
      <c r="T26" s="530"/>
      <c r="U26" s="530"/>
      <c r="V26" s="530"/>
      <c r="W26" s="530"/>
      <c r="X26" s="733"/>
      <c r="Y26" s="716"/>
      <c r="Z26" s="716"/>
      <c r="AA26" s="716"/>
      <c r="AB26" s="716"/>
      <c r="AC26" s="716"/>
      <c r="AD26" s="716"/>
      <c r="AE26" s="716"/>
      <c r="AF26" s="716"/>
      <c r="AG26" s="716"/>
      <c r="AH26" s="716"/>
      <c r="AI26" s="716"/>
      <c r="AJ26" s="716"/>
      <c r="AK26" s="716"/>
      <c r="AL26" s="716"/>
      <c r="AM26" s="716"/>
      <c r="AN26" s="716"/>
      <c r="AO26" s="716"/>
      <c r="AP26" s="716"/>
      <c r="AQ26" s="716"/>
      <c r="AR26" s="716"/>
    </row>
    <row r="27" hidden="1">
      <c r="A27" s="716"/>
      <c r="B27" s="530"/>
      <c r="C27" s="530"/>
      <c r="D27" s="530"/>
      <c r="E27" s="530"/>
      <c r="F27" s="530"/>
      <c r="G27" s="530"/>
      <c r="H27" s="530"/>
      <c r="I27" s="530"/>
      <c r="J27" s="530"/>
      <c r="K27" s="530"/>
      <c r="L27" s="530"/>
      <c r="M27" s="530"/>
      <c r="N27" s="530"/>
      <c r="O27" s="530"/>
      <c r="P27" s="530"/>
      <c r="Q27" s="530"/>
      <c r="R27" s="530"/>
      <c r="S27" s="530"/>
      <c r="T27" s="530"/>
      <c r="U27" s="530"/>
      <c r="V27" s="530"/>
      <c r="W27" s="530"/>
      <c r="X27" s="733"/>
      <c r="Y27" s="716"/>
      <c r="Z27" s="716"/>
      <c r="AA27" s="716"/>
      <c r="AB27" s="716"/>
      <c r="AC27" s="716"/>
      <c r="AD27" s="716"/>
      <c r="AE27" s="716"/>
      <c r="AF27" s="716"/>
      <c r="AG27" s="716"/>
      <c r="AH27" s="716"/>
      <c r="AI27" s="716"/>
      <c r="AJ27" s="716"/>
      <c r="AK27" s="716"/>
      <c r="AL27" s="716"/>
      <c r="AM27" s="716"/>
      <c r="AN27" s="716"/>
      <c r="AO27" s="716"/>
      <c r="AP27" s="716"/>
      <c r="AQ27" s="716"/>
      <c r="AR27" s="716"/>
    </row>
    <row r="28">
      <c r="A28" s="716"/>
      <c r="B28" s="530"/>
      <c r="C28" s="530"/>
      <c r="D28" s="530"/>
      <c r="E28" s="530"/>
      <c r="F28" s="530"/>
      <c r="G28" s="530"/>
      <c r="H28" s="530"/>
      <c r="I28" s="530"/>
      <c r="J28" s="530"/>
      <c r="K28" s="530"/>
      <c r="L28" s="530"/>
      <c r="M28" s="530"/>
      <c r="N28" s="530"/>
      <c r="O28" s="530"/>
      <c r="P28" s="530"/>
      <c r="Q28" s="530"/>
      <c r="R28" s="530"/>
      <c r="S28" s="530"/>
      <c r="T28" s="530"/>
      <c r="U28" s="530"/>
      <c r="V28" s="530"/>
      <c r="W28" s="530"/>
      <c r="X28" s="733"/>
      <c r="Y28" s="716"/>
      <c r="Z28" s="716"/>
      <c r="AA28" s="716"/>
      <c r="AB28" s="716"/>
      <c r="AC28" s="716"/>
      <c r="AD28" s="716"/>
      <c r="AE28" s="716"/>
      <c r="AF28" s="716"/>
      <c r="AG28" s="716"/>
      <c r="AH28" s="716"/>
      <c r="AI28" s="716"/>
      <c r="AJ28" s="716"/>
      <c r="AK28" s="716"/>
      <c r="AL28" s="716"/>
      <c r="AM28" s="716"/>
      <c r="AN28" s="716"/>
      <c r="AO28" s="716"/>
      <c r="AP28" s="716"/>
      <c r="AQ28" s="716"/>
      <c r="AR28" s="716"/>
    </row>
    <row r="29">
      <c r="A29" s="716"/>
      <c r="B29" s="530"/>
      <c r="C29" s="530"/>
      <c r="D29" s="530"/>
      <c r="E29" s="530"/>
      <c r="F29" s="530"/>
      <c r="G29" s="530"/>
      <c r="H29" s="530"/>
      <c r="I29" s="530"/>
      <c r="J29" s="530"/>
      <c r="K29" s="530"/>
      <c r="L29" s="530"/>
      <c r="M29" s="530"/>
      <c r="N29" s="530"/>
      <c r="O29" s="530"/>
      <c r="P29" s="530"/>
      <c r="Q29" s="530"/>
      <c r="R29" s="530"/>
      <c r="S29" s="530"/>
      <c r="T29" s="530"/>
      <c r="U29" s="530"/>
      <c r="V29" s="530"/>
      <c r="W29" s="530"/>
      <c r="X29" s="733"/>
      <c r="Y29" s="716"/>
      <c r="Z29" s="716"/>
      <c r="AA29" s="716"/>
      <c r="AB29" s="716"/>
      <c r="AC29" s="716"/>
      <c r="AD29" s="716"/>
      <c r="AE29" s="716"/>
      <c r="AF29" s="716"/>
      <c r="AG29" s="716"/>
      <c r="AH29" s="716"/>
      <c r="AI29" s="716"/>
      <c r="AJ29" s="716"/>
      <c r="AK29" s="716"/>
      <c r="AL29" s="716"/>
      <c r="AM29" s="716"/>
      <c r="AN29" s="716"/>
      <c r="AO29" s="716"/>
      <c r="AP29" s="716"/>
      <c r="AQ29" s="716"/>
      <c r="AR29" s="716"/>
    </row>
    <row r="30">
      <c r="A30" s="716"/>
      <c r="B30" s="530"/>
      <c r="C30" s="530"/>
      <c r="D30" s="530"/>
      <c r="E30" s="530"/>
      <c r="F30" s="530"/>
      <c r="G30" s="530"/>
      <c r="H30" s="530"/>
      <c r="I30" s="530"/>
      <c r="J30" s="530"/>
      <c r="K30" s="530"/>
      <c r="L30" s="530"/>
      <c r="M30" s="530"/>
      <c r="N30" s="530"/>
      <c r="O30" s="530"/>
      <c r="P30" s="530"/>
      <c r="Q30" s="530"/>
      <c r="R30" s="530"/>
      <c r="S30" s="530"/>
      <c r="T30" s="530"/>
      <c r="U30" s="530"/>
      <c r="V30" s="530"/>
      <c r="W30" s="530"/>
      <c r="X30" s="733"/>
      <c r="Y30" s="716"/>
      <c r="Z30" s="716"/>
      <c r="AA30" s="716"/>
      <c r="AB30" s="716"/>
      <c r="AC30" s="716"/>
      <c r="AD30" s="716"/>
      <c r="AE30" s="716"/>
      <c r="AF30" s="716"/>
      <c r="AG30" s="716"/>
      <c r="AH30" s="716"/>
      <c r="AI30" s="716"/>
      <c r="AJ30" s="716"/>
      <c r="AK30" s="716"/>
      <c r="AL30" s="716"/>
      <c r="AM30" s="716"/>
      <c r="AN30" s="716"/>
      <c r="AO30" s="716"/>
      <c r="AP30" s="716"/>
      <c r="AQ30" s="716"/>
      <c r="AR30" s="716"/>
    </row>
    <row r="31">
      <c r="A31" s="716"/>
      <c r="B31" s="530"/>
      <c r="C31" s="530"/>
      <c r="D31" s="530"/>
      <c r="E31" s="530"/>
      <c r="F31" s="530"/>
      <c r="G31" s="530"/>
      <c r="H31" s="530"/>
      <c r="I31" s="530"/>
      <c r="J31" s="530"/>
      <c r="K31" s="530"/>
      <c r="L31" s="530"/>
      <c r="M31" s="530"/>
      <c r="N31" s="530"/>
      <c r="O31" s="530"/>
      <c r="P31" s="530"/>
      <c r="Q31" s="530"/>
      <c r="R31" s="530"/>
      <c r="S31" s="530"/>
      <c r="T31" s="530"/>
      <c r="U31" s="530"/>
      <c r="V31" s="530"/>
      <c r="W31" s="530"/>
      <c r="X31" s="733"/>
      <c r="Y31" s="716"/>
      <c r="Z31" s="716"/>
      <c r="AA31" s="716"/>
      <c r="AB31" s="716"/>
      <c r="AC31" s="716"/>
      <c r="AD31" s="716"/>
      <c r="AE31" s="716"/>
      <c r="AF31" s="716"/>
      <c r="AG31" s="716"/>
      <c r="AH31" s="716"/>
      <c r="AI31" s="716"/>
      <c r="AJ31" s="716"/>
      <c r="AK31" s="716"/>
      <c r="AL31" s="716"/>
      <c r="AM31" s="716"/>
      <c r="AN31" s="716"/>
      <c r="AO31" s="716"/>
      <c r="AP31" s="716"/>
      <c r="AQ31" s="716"/>
      <c r="AR31" s="716"/>
    </row>
    <row r="32">
      <c r="A32" s="716"/>
      <c r="B32" s="530"/>
      <c r="C32" s="530"/>
      <c r="D32" s="530"/>
      <c r="E32" s="530"/>
      <c r="F32" s="530"/>
      <c r="G32" s="530"/>
      <c r="H32" s="530"/>
      <c r="I32" s="530"/>
      <c r="J32" s="530"/>
      <c r="K32" s="530"/>
      <c r="L32" s="530"/>
      <c r="M32" s="530"/>
      <c r="N32" s="530"/>
      <c r="O32" s="530"/>
      <c r="P32" s="530"/>
      <c r="Q32" s="530"/>
      <c r="R32" s="530"/>
      <c r="S32" s="530"/>
      <c r="T32" s="530"/>
      <c r="U32" s="530"/>
      <c r="V32" s="530"/>
      <c r="W32" s="530"/>
      <c r="X32" s="733"/>
      <c r="Y32" s="716"/>
      <c r="Z32" s="716"/>
      <c r="AA32" s="716"/>
      <c r="AB32" s="716"/>
      <c r="AC32" s="716"/>
      <c r="AD32" s="716"/>
      <c r="AE32" s="716"/>
      <c r="AF32" s="716"/>
      <c r="AG32" s="716"/>
      <c r="AH32" s="716"/>
      <c r="AI32" s="716"/>
      <c r="AJ32" s="716"/>
      <c r="AK32" s="716"/>
      <c r="AL32" s="716"/>
      <c r="AM32" s="716"/>
      <c r="AN32" s="716"/>
      <c r="AO32" s="716"/>
      <c r="AP32" s="716"/>
      <c r="AQ32" s="716"/>
      <c r="AR32" s="716"/>
    </row>
    <row r="33">
      <c r="A33" s="716"/>
      <c r="B33" s="530"/>
      <c r="C33" s="530"/>
      <c r="D33" s="530"/>
      <c r="E33" s="530"/>
      <c r="F33" s="530"/>
      <c r="G33" s="530"/>
      <c r="H33" s="530"/>
      <c r="I33" s="530"/>
      <c r="J33" s="530"/>
      <c r="K33" s="530"/>
      <c r="L33" s="530"/>
      <c r="M33" s="530"/>
      <c r="N33" s="530"/>
      <c r="O33" s="530"/>
      <c r="P33" s="530"/>
      <c r="Q33" s="530"/>
      <c r="R33" s="530"/>
      <c r="S33" s="530"/>
      <c r="T33" s="530"/>
      <c r="U33" s="530"/>
      <c r="V33" s="530"/>
      <c r="W33" s="530"/>
      <c r="X33" s="733"/>
      <c r="Y33" s="716"/>
      <c r="Z33" s="716"/>
      <c r="AA33" s="716"/>
      <c r="AB33" s="716"/>
      <c r="AC33" s="716"/>
      <c r="AD33" s="716"/>
      <c r="AE33" s="716"/>
      <c r="AF33" s="716"/>
      <c r="AG33" s="716"/>
      <c r="AH33" s="716"/>
      <c r="AI33" s="716"/>
      <c r="AJ33" s="716"/>
      <c r="AK33" s="716"/>
      <c r="AL33" s="716"/>
      <c r="AM33" s="716"/>
      <c r="AN33" s="716"/>
      <c r="AO33" s="716"/>
      <c r="AP33" s="716"/>
      <c r="AQ33" s="716"/>
      <c r="AR33" s="716"/>
    </row>
    <row r="34">
      <c r="A34" s="716"/>
      <c r="B34" s="530"/>
      <c r="C34" s="530"/>
      <c r="D34" s="530"/>
      <c r="E34" s="530"/>
      <c r="F34" s="530"/>
      <c r="G34" s="530"/>
      <c r="H34" s="530"/>
      <c r="I34" s="530"/>
      <c r="J34" s="530"/>
      <c r="K34" s="530"/>
      <c r="L34" s="530"/>
      <c r="M34" s="530"/>
      <c r="N34" s="530"/>
      <c r="O34" s="530"/>
      <c r="P34" s="530"/>
      <c r="Q34" s="530"/>
      <c r="R34" s="530"/>
      <c r="S34" s="530"/>
      <c r="T34" s="530"/>
      <c r="U34" s="530"/>
      <c r="V34" s="530"/>
      <c r="W34" s="530"/>
      <c r="X34" s="733"/>
      <c r="Y34" s="716"/>
      <c r="Z34" s="716"/>
      <c r="AA34" s="716"/>
      <c r="AB34" s="716"/>
      <c r="AC34" s="716"/>
      <c r="AD34" s="716"/>
      <c r="AE34" s="716"/>
      <c r="AF34" s="716"/>
      <c r="AG34" s="716"/>
      <c r="AH34" s="716"/>
      <c r="AI34" s="716"/>
      <c r="AJ34" s="716"/>
      <c r="AK34" s="716"/>
      <c r="AL34" s="716"/>
      <c r="AM34" s="716"/>
      <c r="AN34" s="716"/>
      <c r="AO34" s="716"/>
      <c r="AP34" s="716"/>
      <c r="AQ34" s="716"/>
      <c r="AR34" s="716"/>
    </row>
    <row r="35">
      <c r="A35" s="716"/>
      <c r="B35" s="530"/>
      <c r="C35" s="530"/>
      <c r="D35" s="530"/>
      <c r="E35" s="530"/>
      <c r="F35" s="530"/>
      <c r="G35" s="530"/>
      <c r="H35" s="530"/>
      <c r="I35" s="530"/>
      <c r="J35" s="530"/>
      <c r="K35" s="530"/>
      <c r="L35" s="530"/>
      <c r="M35" s="530"/>
      <c r="N35" s="530"/>
      <c r="O35" s="530"/>
      <c r="P35" s="530"/>
      <c r="Q35" s="530"/>
      <c r="R35" s="530"/>
      <c r="S35" s="530"/>
      <c r="T35" s="530"/>
      <c r="U35" s="530"/>
      <c r="V35" s="530"/>
      <c r="W35" s="530"/>
      <c r="X35" s="733"/>
      <c r="Y35" s="716"/>
      <c r="Z35" s="716"/>
      <c r="AA35" s="716"/>
      <c r="AB35" s="716"/>
      <c r="AC35" s="716"/>
      <c r="AD35" s="716"/>
      <c r="AE35" s="716"/>
      <c r="AF35" s="716"/>
      <c r="AG35" s="716"/>
      <c r="AH35" s="716"/>
      <c r="AI35" s="716"/>
      <c r="AJ35" s="716"/>
      <c r="AK35" s="716"/>
      <c r="AL35" s="716"/>
      <c r="AM35" s="716"/>
      <c r="AN35" s="716"/>
      <c r="AO35" s="716"/>
      <c r="AP35" s="716"/>
      <c r="AQ35" s="716"/>
      <c r="AR35" s="716"/>
    </row>
    <row r="36">
      <c r="A36" s="716"/>
      <c r="B36" s="530"/>
      <c r="C36" s="530"/>
      <c r="D36" s="530"/>
      <c r="E36" s="530"/>
      <c r="F36" s="530"/>
      <c r="G36" s="530"/>
      <c r="H36" s="530"/>
      <c r="I36" s="530"/>
      <c r="J36" s="530"/>
      <c r="K36" s="530"/>
      <c r="L36" s="530"/>
      <c r="M36" s="530"/>
      <c r="N36" s="530"/>
      <c r="O36" s="530"/>
      <c r="P36" s="530"/>
      <c r="Q36" s="530"/>
      <c r="R36" s="530"/>
      <c r="S36" s="530"/>
      <c r="T36" s="530"/>
      <c r="U36" s="530"/>
      <c r="V36" s="530"/>
      <c r="W36" s="530"/>
      <c r="X36" s="733"/>
      <c r="Y36" s="716"/>
      <c r="Z36" s="716"/>
      <c r="AA36" s="716"/>
      <c r="AB36" s="716"/>
      <c r="AC36" s="716"/>
      <c r="AD36" s="716"/>
      <c r="AE36" s="716"/>
      <c r="AF36" s="716"/>
      <c r="AG36" s="716"/>
      <c r="AH36" s="716"/>
      <c r="AI36" s="716"/>
      <c r="AJ36" s="716"/>
      <c r="AK36" s="716"/>
      <c r="AL36" s="716"/>
      <c r="AM36" s="716"/>
      <c r="AN36" s="716"/>
      <c r="AO36" s="716"/>
      <c r="AP36" s="716"/>
      <c r="AQ36" s="716"/>
      <c r="AR36" s="716"/>
    </row>
    <row r="37">
      <c r="A37" s="716"/>
      <c r="B37" s="530"/>
      <c r="C37" s="530"/>
      <c r="D37" s="530"/>
      <c r="E37" s="530"/>
      <c r="F37" s="530"/>
      <c r="G37" s="530"/>
      <c r="H37" s="530"/>
      <c r="I37" s="530"/>
      <c r="J37" s="530"/>
      <c r="K37" s="530"/>
      <c r="L37" s="530"/>
      <c r="M37" s="530"/>
      <c r="N37" s="530"/>
      <c r="O37" s="530"/>
      <c r="P37" s="530"/>
      <c r="Q37" s="530"/>
      <c r="R37" s="530"/>
      <c r="S37" s="530"/>
      <c r="T37" s="530"/>
      <c r="U37" s="530"/>
      <c r="V37" s="530"/>
      <c r="W37" s="530"/>
      <c r="X37" s="733"/>
      <c r="Y37" s="716"/>
      <c r="Z37" s="716"/>
      <c r="AA37" s="716"/>
      <c r="AB37" s="716"/>
      <c r="AC37" s="716"/>
      <c r="AD37" s="716"/>
      <c r="AE37" s="716"/>
      <c r="AF37" s="716"/>
      <c r="AG37" s="716"/>
      <c r="AH37" s="716"/>
      <c r="AI37" s="716"/>
      <c r="AJ37" s="716"/>
      <c r="AK37" s="716"/>
      <c r="AL37" s="716"/>
      <c r="AM37" s="716"/>
      <c r="AN37" s="716"/>
      <c r="AO37" s="716"/>
      <c r="AP37" s="716"/>
      <c r="AQ37" s="716"/>
      <c r="AR37" s="716"/>
    </row>
    <row r="38">
      <c r="A38" s="716"/>
      <c r="B38" s="530"/>
      <c r="C38" s="530"/>
      <c r="D38" s="530"/>
      <c r="E38" s="530"/>
      <c r="F38" s="530"/>
      <c r="G38" s="530"/>
      <c r="H38" s="530"/>
      <c r="I38" s="530"/>
      <c r="J38" s="530"/>
      <c r="K38" s="530"/>
      <c r="L38" s="530"/>
      <c r="M38" s="530"/>
      <c r="N38" s="530"/>
      <c r="O38" s="530"/>
      <c r="P38" s="530"/>
      <c r="Q38" s="530"/>
      <c r="R38" s="530"/>
      <c r="S38" s="530"/>
      <c r="T38" s="530"/>
      <c r="U38" s="530"/>
      <c r="V38" s="530"/>
      <c r="W38" s="530"/>
      <c r="X38" s="733"/>
      <c r="Y38" s="716"/>
      <c r="Z38" s="716"/>
      <c r="AA38" s="716"/>
      <c r="AB38" s="716"/>
      <c r="AC38" s="716"/>
      <c r="AD38" s="716"/>
      <c r="AE38" s="716"/>
      <c r="AF38" s="716"/>
      <c r="AG38" s="716"/>
      <c r="AH38" s="716"/>
      <c r="AI38" s="716"/>
      <c r="AJ38" s="716"/>
      <c r="AK38" s="716"/>
      <c r="AL38" s="716"/>
      <c r="AM38" s="716"/>
      <c r="AN38" s="716"/>
      <c r="AO38" s="716"/>
      <c r="AP38" s="716"/>
      <c r="AQ38" s="716"/>
      <c r="AR38" s="716"/>
    </row>
    <row r="39">
      <c r="A39" s="716"/>
      <c r="B39" s="530"/>
      <c r="C39" s="530"/>
      <c r="D39" s="530"/>
      <c r="E39" s="530"/>
      <c r="F39" s="530"/>
      <c r="G39" s="530"/>
      <c r="H39" s="530"/>
      <c r="I39" s="530"/>
      <c r="J39" s="530"/>
      <c r="K39" s="530"/>
      <c r="L39" s="530"/>
      <c r="M39" s="530"/>
      <c r="N39" s="530"/>
      <c r="O39" s="530"/>
      <c r="P39" s="530"/>
      <c r="Q39" s="530"/>
      <c r="R39" s="530"/>
      <c r="S39" s="530"/>
      <c r="T39" s="530"/>
      <c r="U39" s="530"/>
      <c r="V39" s="530"/>
      <c r="W39" s="530"/>
      <c r="X39" s="733"/>
      <c r="Y39" s="716"/>
      <c r="Z39" s="716"/>
      <c r="AA39" s="716"/>
      <c r="AB39" s="716"/>
      <c r="AC39" s="716"/>
      <c r="AD39" s="716"/>
      <c r="AE39" s="716"/>
      <c r="AF39" s="716"/>
      <c r="AG39" s="716"/>
      <c r="AH39" s="716"/>
      <c r="AI39" s="716"/>
      <c r="AJ39" s="716"/>
      <c r="AK39" s="716"/>
      <c r="AL39" s="716"/>
      <c r="AM39" s="716"/>
      <c r="AN39" s="716"/>
      <c r="AO39" s="716"/>
      <c r="AP39" s="716"/>
      <c r="AQ39" s="716"/>
      <c r="AR39" s="716"/>
    </row>
    <row r="40">
      <c r="A40" s="716"/>
      <c r="B40" s="530"/>
      <c r="C40" s="530"/>
      <c r="D40" s="530"/>
      <c r="E40" s="530"/>
      <c r="F40" s="530"/>
      <c r="G40" s="530"/>
      <c r="H40" s="530"/>
      <c r="I40" s="530"/>
      <c r="J40" s="530"/>
      <c r="K40" s="530"/>
      <c r="L40" s="530"/>
      <c r="M40" s="530"/>
      <c r="N40" s="530"/>
      <c r="O40" s="530"/>
      <c r="P40" s="530"/>
      <c r="Q40" s="530"/>
      <c r="R40" s="530"/>
      <c r="S40" s="530"/>
      <c r="T40" s="530"/>
      <c r="U40" s="530"/>
      <c r="V40" s="530"/>
      <c r="W40" s="530"/>
      <c r="X40" s="733"/>
      <c r="Y40" s="716"/>
      <c r="Z40" s="716"/>
      <c r="AA40" s="716"/>
      <c r="AB40" s="716"/>
      <c r="AC40" s="716"/>
      <c r="AD40" s="716"/>
      <c r="AE40" s="716"/>
      <c r="AF40" s="716"/>
      <c r="AG40" s="716"/>
      <c r="AH40" s="716"/>
      <c r="AI40" s="716"/>
      <c r="AJ40" s="716"/>
      <c r="AK40" s="716"/>
      <c r="AL40" s="716"/>
      <c r="AM40" s="716"/>
      <c r="AN40" s="716"/>
      <c r="AO40" s="716"/>
      <c r="AP40" s="716"/>
      <c r="AQ40" s="716"/>
      <c r="AR40" s="716"/>
    </row>
    <row r="41">
      <c r="A41" s="716"/>
      <c r="B41" s="530"/>
      <c r="C41" s="530"/>
      <c r="D41" s="530"/>
      <c r="E41" s="530"/>
      <c r="F41" s="530"/>
      <c r="G41" s="530"/>
      <c r="H41" s="530"/>
      <c r="I41" s="530"/>
      <c r="J41" s="530"/>
      <c r="K41" s="530"/>
      <c r="L41" s="530"/>
      <c r="M41" s="530"/>
      <c r="N41" s="530"/>
      <c r="O41" s="530"/>
      <c r="P41" s="530"/>
      <c r="Q41" s="530"/>
      <c r="R41" s="530"/>
      <c r="S41" s="530"/>
      <c r="T41" s="530"/>
      <c r="U41" s="530"/>
      <c r="V41" s="530"/>
      <c r="W41" s="530"/>
      <c r="X41" s="733"/>
      <c r="Y41" s="716"/>
      <c r="Z41" s="716"/>
      <c r="AA41" s="716"/>
      <c r="AB41" s="716"/>
      <c r="AC41" s="716"/>
      <c r="AD41" s="716"/>
      <c r="AE41" s="716"/>
      <c r="AF41" s="716"/>
      <c r="AG41" s="716"/>
      <c r="AH41" s="716"/>
      <c r="AI41" s="716"/>
      <c r="AJ41" s="716"/>
      <c r="AK41" s="716"/>
      <c r="AL41" s="716"/>
      <c r="AM41" s="716"/>
      <c r="AN41" s="716"/>
      <c r="AO41" s="716"/>
      <c r="AP41" s="716"/>
      <c r="AQ41" s="716"/>
      <c r="AR41" s="716"/>
    </row>
    <row r="42">
      <c r="A42" s="716"/>
      <c r="B42" s="530"/>
      <c r="C42" s="530"/>
      <c r="D42" s="530"/>
      <c r="E42" s="530"/>
      <c r="F42" s="530"/>
      <c r="G42" s="530"/>
      <c r="H42" s="530"/>
      <c r="I42" s="530"/>
      <c r="J42" s="530"/>
      <c r="K42" s="530"/>
      <c r="L42" s="530"/>
      <c r="M42" s="530"/>
      <c r="N42" s="530"/>
      <c r="O42" s="530"/>
      <c r="P42" s="530"/>
      <c r="Q42" s="530"/>
      <c r="R42" s="530"/>
      <c r="S42" s="530"/>
      <c r="T42" s="530"/>
      <c r="U42" s="530"/>
      <c r="V42" s="530"/>
      <c r="W42" s="530"/>
      <c r="X42" s="733"/>
      <c r="Y42" s="716"/>
      <c r="Z42" s="716"/>
      <c r="AA42" s="716"/>
      <c r="AB42" s="716"/>
      <c r="AC42" s="716"/>
      <c r="AD42" s="716"/>
      <c r="AE42" s="716"/>
      <c r="AF42" s="716"/>
      <c r="AG42" s="716"/>
      <c r="AH42" s="716"/>
      <c r="AI42" s="716"/>
      <c r="AJ42" s="716"/>
      <c r="AK42" s="716"/>
      <c r="AL42" s="716"/>
      <c r="AM42" s="716"/>
      <c r="AN42" s="716"/>
      <c r="AO42" s="716"/>
      <c r="AP42" s="716"/>
      <c r="AQ42" s="716"/>
      <c r="AR42" s="716"/>
    </row>
    <row r="43">
      <c r="A43" s="716"/>
      <c r="B43" s="530"/>
      <c r="C43" s="530"/>
      <c r="D43" s="530"/>
      <c r="E43" s="530"/>
      <c r="F43" s="530"/>
      <c r="G43" s="530"/>
      <c r="H43" s="530"/>
      <c r="I43" s="530"/>
      <c r="J43" s="530"/>
      <c r="K43" s="530"/>
      <c r="L43" s="530"/>
      <c r="M43" s="530"/>
      <c r="N43" s="530"/>
      <c r="O43" s="530"/>
      <c r="P43" s="530"/>
      <c r="Q43" s="530"/>
      <c r="R43" s="530"/>
      <c r="S43" s="530"/>
      <c r="T43" s="530"/>
      <c r="U43" s="530"/>
      <c r="V43" s="530"/>
      <c r="W43" s="530"/>
      <c r="X43" s="733"/>
      <c r="Y43" s="716"/>
      <c r="Z43" s="716"/>
      <c r="AA43" s="716"/>
      <c r="AB43" s="716"/>
      <c r="AC43" s="716"/>
      <c r="AD43" s="716"/>
      <c r="AE43" s="716"/>
      <c r="AF43" s="716"/>
      <c r="AG43" s="716"/>
      <c r="AH43" s="716"/>
      <c r="AI43" s="716"/>
      <c r="AJ43" s="716"/>
      <c r="AK43" s="716"/>
      <c r="AL43" s="716"/>
      <c r="AM43" s="716"/>
      <c r="AN43" s="716"/>
      <c r="AO43" s="716"/>
      <c r="AP43" s="716"/>
      <c r="AQ43" s="716"/>
      <c r="AR43" s="716"/>
    </row>
    <row r="44">
      <c r="A44" s="716"/>
      <c r="B44" s="530"/>
      <c r="C44" s="530"/>
      <c r="D44" s="530"/>
      <c r="E44" s="530"/>
      <c r="F44" s="530"/>
      <c r="G44" s="530"/>
      <c r="H44" s="530"/>
      <c r="I44" s="530"/>
      <c r="J44" s="530"/>
      <c r="K44" s="530"/>
      <c r="L44" s="530"/>
      <c r="M44" s="530"/>
      <c r="N44" s="530"/>
      <c r="O44" s="530"/>
      <c r="P44" s="530"/>
      <c r="Q44" s="530"/>
      <c r="R44" s="530"/>
      <c r="S44" s="530"/>
      <c r="T44" s="530"/>
      <c r="U44" s="530"/>
      <c r="V44" s="530"/>
      <c r="W44" s="530"/>
      <c r="X44" s="733"/>
      <c r="Y44" s="716"/>
      <c r="Z44" s="716"/>
      <c r="AA44" s="716"/>
      <c r="AB44" s="716"/>
      <c r="AC44" s="716"/>
      <c r="AD44" s="716"/>
      <c r="AE44" s="716"/>
      <c r="AF44" s="716"/>
      <c r="AG44" s="716"/>
      <c r="AH44" s="716"/>
      <c r="AI44" s="716"/>
      <c r="AJ44" s="716"/>
      <c r="AK44" s="716"/>
      <c r="AL44" s="716"/>
      <c r="AM44" s="716"/>
      <c r="AN44" s="716"/>
      <c r="AO44" s="716"/>
      <c r="AP44" s="716"/>
      <c r="AQ44" s="716"/>
      <c r="AR44" s="716"/>
    </row>
    <row r="45">
      <c r="A45" s="716"/>
      <c r="B45" s="530"/>
      <c r="C45" s="530"/>
      <c r="D45" s="530"/>
      <c r="E45" s="530"/>
      <c r="F45" s="530"/>
      <c r="G45" s="530"/>
      <c r="H45" s="530"/>
      <c r="I45" s="530"/>
      <c r="J45" s="530"/>
      <c r="K45" s="530"/>
      <c r="L45" s="530"/>
      <c r="M45" s="530"/>
      <c r="N45" s="530"/>
      <c r="O45" s="530"/>
      <c r="P45" s="530"/>
      <c r="Q45" s="530"/>
      <c r="R45" s="530"/>
      <c r="S45" s="530"/>
      <c r="T45" s="530"/>
      <c r="U45" s="530"/>
      <c r="V45" s="530"/>
      <c r="W45" s="530"/>
      <c r="X45" s="733"/>
      <c r="Y45" s="716"/>
      <c r="Z45" s="716"/>
      <c r="AA45" s="716"/>
      <c r="AB45" s="716"/>
      <c r="AC45" s="716"/>
      <c r="AD45" s="716"/>
      <c r="AE45" s="716"/>
      <c r="AF45" s="716"/>
      <c r="AG45" s="716"/>
      <c r="AH45" s="716"/>
      <c r="AI45" s="716"/>
      <c r="AJ45" s="716"/>
      <c r="AK45" s="716"/>
      <c r="AL45" s="716"/>
      <c r="AM45" s="716"/>
      <c r="AN45" s="716"/>
      <c r="AO45" s="716"/>
      <c r="AP45" s="716"/>
      <c r="AQ45" s="716"/>
      <c r="AR45" s="716"/>
    </row>
    <row r="46">
      <c r="A46" s="716"/>
      <c r="B46" s="530"/>
      <c r="C46" s="530"/>
      <c r="D46" s="530"/>
      <c r="E46" s="530"/>
      <c r="F46" s="530"/>
      <c r="G46" s="530"/>
      <c r="H46" s="530"/>
      <c r="I46" s="530"/>
      <c r="J46" s="530"/>
      <c r="K46" s="530"/>
      <c r="L46" s="530"/>
      <c r="M46" s="530"/>
      <c r="N46" s="530"/>
      <c r="O46" s="530"/>
      <c r="P46" s="530"/>
      <c r="Q46" s="530"/>
      <c r="R46" s="530"/>
      <c r="S46" s="530"/>
      <c r="T46" s="530"/>
      <c r="U46" s="530"/>
      <c r="V46" s="530"/>
      <c r="W46" s="530"/>
      <c r="X46" s="733"/>
      <c r="Y46" s="716"/>
      <c r="Z46" s="716"/>
      <c r="AA46" s="716"/>
      <c r="AB46" s="716"/>
      <c r="AC46" s="716"/>
      <c r="AD46" s="716"/>
      <c r="AE46" s="716"/>
      <c r="AF46" s="716"/>
      <c r="AG46" s="716"/>
      <c r="AH46" s="716"/>
      <c r="AI46" s="716"/>
      <c r="AJ46" s="716"/>
      <c r="AK46" s="716"/>
      <c r="AL46" s="716"/>
      <c r="AM46" s="716"/>
      <c r="AN46" s="716"/>
      <c r="AO46" s="716"/>
      <c r="AP46" s="716"/>
      <c r="AQ46" s="716"/>
      <c r="AR46" s="716"/>
    </row>
    <row r="47">
      <c r="A47" s="716"/>
      <c r="B47" s="530"/>
      <c r="C47" s="530"/>
      <c r="D47" s="530"/>
      <c r="E47" s="530"/>
      <c r="F47" s="530"/>
      <c r="G47" s="530"/>
      <c r="H47" s="530"/>
      <c r="I47" s="530"/>
      <c r="J47" s="530"/>
      <c r="K47" s="530"/>
      <c r="L47" s="530"/>
      <c r="M47" s="530"/>
      <c r="N47" s="530"/>
      <c r="O47" s="530"/>
      <c r="P47" s="530"/>
      <c r="Q47" s="530"/>
      <c r="R47" s="530"/>
      <c r="S47" s="530"/>
      <c r="T47" s="530"/>
      <c r="U47" s="530"/>
      <c r="V47" s="530"/>
      <c r="W47" s="530"/>
      <c r="X47" s="733"/>
      <c r="Y47" s="716"/>
      <c r="Z47" s="716"/>
      <c r="AA47" s="716"/>
      <c r="AB47" s="716"/>
      <c r="AC47" s="716"/>
      <c r="AD47" s="716"/>
      <c r="AE47" s="716"/>
      <c r="AF47" s="716"/>
      <c r="AG47" s="716"/>
      <c r="AH47" s="716"/>
      <c r="AI47" s="716"/>
      <c r="AJ47" s="716"/>
      <c r="AK47" s="716"/>
      <c r="AL47" s="716"/>
      <c r="AM47" s="716"/>
      <c r="AN47" s="716"/>
      <c r="AO47" s="716"/>
      <c r="AP47" s="716"/>
      <c r="AQ47" s="716"/>
      <c r="AR47" s="716"/>
    </row>
    <row r="48">
      <c r="A48" s="716"/>
      <c r="B48" s="530"/>
      <c r="C48" s="530"/>
      <c r="D48" s="530"/>
      <c r="E48" s="530"/>
      <c r="F48" s="530"/>
      <c r="G48" s="530"/>
      <c r="H48" s="530"/>
      <c r="I48" s="530"/>
      <c r="J48" s="530"/>
      <c r="K48" s="530"/>
      <c r="L48" s="530"/>
      <c r="M48" s="530"/>
      <c r="N48" s="530"/>
      <c r="O48" s="530"/>
      <c r="P48" s="530"/>
      <c r="Q48" s="530"/>
      <c r="R48" s="530"/>
      <c r="S48" s="530"/>
      <c r="T48" s="530"/>
      <c r="U48" s="530"/>
      <c r="V48" s="530"/>
      <c r="W48" s="530"/>
      <c r="X48" s="733"/>
      <c r="Y48" s="716"/>
      <c r="Z48" s="716"/>
      <c r="AA48" s="716"/>
      <c r="AB48" s="716"/>
      <c r="AC48" s="716"/>
      <c r="AD48" s="716"/>
      <c r="AE48" s="716"/>
      <c r="AF48" s="716"/>
      <c r="AG48" s="716"/>
      <c r="AH48" s="716"/>
      <c r="AI48" s="716"/>
      <c r="AJ48" s="716"/>
      <c r="AK48" s="716"/>
      <c r="AL48" s="716"/>
      <c r="AM48" s="716"/>
      <c r="AN48" s="716"/>
      <c r="AO48" s="716"/>
      <c r="AP48" s="716"/>
      <c r="AQ48" s="716"/>
      <c r="AR48" s="716"/>
    </row>
    <row r="49">
      <c r="A49" s="716"/>
      <c r="B49" s="530"/>
      <c r="C49" s="530"/>
      <c r="D49" s="530"/>
      <c r="E49" s="530"/>
      <c r="F49" s="530"/>
      <c r="G49" s="530"/>
      <c r="H49" s="530"/>
      <c r="I49" s="530"/>
      <c r="J49" s="530"/>
      <c r="K49" s="530"/>
      <c r="L49" s="530"/>
      <c r="M49" s="530"/>
      <c r="N49" s="530"/>
      <c r="O49" s="530"/>
      <c r="P49" s="530"/>
      <c r="Q49" s="530"/>
      <c r="R49" s="530"/>
      <c r="S49" s="530"/>
      <c r="T49" s="530"/>
      <c r="U49" s="530"/>
      <c r="V49" s="530"/>
      <c r="W49" s="530"/>
      <c r="X49" s="733"/>
      <c r="Y49" s="716"/>
      <c r="Z49" s="716"/>
      <c r="AA49" s="716"/>
      <c r="AB49" s="716"/>
      <c r="AC49" s="716"/>
      <c r="AD49" s="716"/>
      <c r="AE49" s="716"/>
      <c r="AF49" s="716"/>
      <c r="AG49" s="716"/>
      <c r="AH49" s="716"/>
      <c r="AI49" s="716"/>
      <c r="AJ49" s="716"/>
      <c r="AK49" s="716"/>
      <c r="AL49" s="716"/>
      <c r="AM49" s="716"/>
      <c r="AN49" s="716"/>
      <c r="AO49" s="716"/>
      <c r="AP49" s="716"/>
      <c r="AQ49" s="716"/>
      <c r="AR49" s="716"/>
    </row>
    <row r="50">
      <c r="A50" s="716"/>
      <c r="B50" s="530"/>
      <c r="C50" s="530"/>
      <c r="D50" s="530"/>
      <c r="E50" s="530"/>
      <c r="F50" s="530"/>
      <c r="G50" s="530"/>
      <c r="H50" s="530"/>
      <c r="I50" s="530"/>
      <c r="J50" s="530"/>
      <c r="K50" s="530"/>
      <c r="L50" s="530"/>
      <c r="M50" s="530"/>
      <c r="N50" s="530"/>
      <c r="O50" s="530"/>
      <c r="P50" s="530"/>
      <c r="Q50" s="530"/>
      <c r="R50" s="530"/>
      <c r="S50" s="530"/>
      <c r="T50" s="530"/>
      <c r="U50" s="530"/>
      <c r="V50" s="530"/>
      <c r="W50" s="530"/>
      <c r="X50" s="733"/>
      <c r="Y50" s="716"/>
      <c r="Z50" s="716"/>
      <c r="AA50" s="716"/>
      <c r="AB50" s="716"/>
      <c r="AC50" s="716"/>
      <c r="AD50" s="716"/>
      <c r="AE50" s="716"/>
      <c r="AF50" s="716"/>
      <c r="AG50" s="716"/>
      <c r="AH50" s="716"/>
      <c r="AI50" s="716"/>
      <c r="AJ50" s="716"/>
      <c r="AK50" s="716"/>
      <c r="AL50" s="716"/>
      <c r="AM50" s="716"/>
      <c r="AN50" s="716"/>
      <c r="AO50" s="716"/>
      <c r="AP50" s="716"/>
      <c r="AQ50" s="716"/>
      <c r="AR50" s="716"/>
    </row>
    <row r="51">
      <c r="A51" s="716"/>
      <c r="B51" s="530"/>
      <c r="C51" s="530"/>
      <c r="D51" s="530"/>
      <c r="E51" s="530"/>
      <c r="F51" s="530"/>
      <c r="G51" s="530"/>
      <c r="H51" s="530"/>
      <c r="I51" s="530"/>
      <c r="J51" s="530"/>
      <c r="K51" s="530"/>
      <c r="L51" s="530"/>
      <c r="M51" s="530"/>
      <c r="N51" s="530"/>
      <c r="O51" s="530"/>
      <c r="P51" s="530"/>
      <c r="Q51" s="530"/>
      <c r="R51" s="530"/>
      <c r="S51" s="530"/>
      <c r="T51" s="530"/>
      <c r="U51" s="530"/>
      <c r="V51" s="530"/>
      <c r="W51" s="530"/>
      <c r="X51" s="733"/>
      <c r="Y51" s="716"/>
      <c r="Z51" s="716"/>
      <c r="AA51" s="716"/>
      <c r="AB51" s="716"/>
      <c r="AC51" s="716"/>
      <c r="AD51" s="716"/>
      <c r="AE51" s="716"/>
      <c r="AF51" s="716"/>
      <c r="AG51" s="716"/>
      <c r="AH51" s="716"/>
      <c r="AI51" s="716"/>
      <c r="AJ51" s="716"/>
      <c r="AK51" s="716"/>
      <c r="AL51" s="716"/>
      <c r="AM51" s="716"/>
      <c r="AN51" s="716"/>
      <c r="AO51" s="716"/>
      <c r="AP51" s="716"/>
      <c r="AQ51" s="716"/>
      <c r="AR51" s="716"/>
    </row>
    <row r="52">
      <c r="A52" s="716"/>
      <c r="B52" s="530"/>
      <c r="C52" s="530"/>
      <c r="D52" s="530"/>
      <c r="E52" s="530"/>
      <c r="F52" s="530"/>
      <c r="G52" s="530"/>
      <c r="H52" s="530"/>
      <c r="I52" s="530"/>
      <c r="J52" s="530"/>
      <c r="K52" s="530"/>
      <c r="L52" s="530"/>
      <c r="M52" s="530"/>
      <c r="N52" s="530"/>
      <c r="O52" s="530"/>
      <c r="P52" s="530"/>
      <c r="Q52" s="530"/>
      <c r="R52" s="530"/>
      <c r="S52" s="530"/>
      <c r="T52" s="530"/>
      <c r="U52" s="530"/>
      <c r="V52" s="530"/>
      <c r="W52" s="530"/>
      <c r="X52" s="733"/>
      <c r="Y52" s="716"/>
      <c r="Z52" s="716"/>
      <c r="AA52" s="716"/>
      <c r="AB52" s="716"/>
      <c r="AC52" s="716"/>
      <c r="AD52" s="716"/>
      <c r="AE52" s="716"/>
      <c r="AF52" s="716"/>
      <c r="AG52" s="716"/>
      <c r="AH52" s="716"/>
      <c r="AI52" s="716"/>
      <c r="AJ52" s="716"/>
      <c r="AK52" s="716"/>
      <c r="AL52" s="716"/>
      <c r="AM52" s="716"/>
      <c r="AN52" s="716"/>
      <c r="AO52" s="716"/>
      <c r="AP52" s="716"/>
      <c r="AQ52" s="716"/>
      <c r="AR52" s="716"/>
    </row>
    <row r="53">
      <c r="A53" s="716"/>
      <c r="B53" s="530"/>
      <c r="C53" s="530"/>
      <c r="D53" s="530"/>
      <c r="E53" s="530"/>
      <c r="F53" s="530"/>
      <c r="G53" s="530"/>
      <c r="H53" s="530"/>
      <c r="I53" s="530"/>
      <c r="J53" s="530"/>
      <c r="K53" s="530"/>
      <c r="L53" s="530"/>
      <c r="M53" s="530"/>
      <c r="N53" s="530"/>
      <c r="O53" s="530"/>
      <c r="P53" s="530"/>
      <c r="Q53" s="530"/>
      <c r="R53" s="530"/>
      <c r="S53" s="530"/>
      <c r="T53" s="530"/>
      <c r="U53" s="530"/>
      <c r="V53" s="530"/>
      <c r="W53" s="530"/>
      <c r="X53" s="733"/>
      <c r="Y53" s="716"/>
      <c r="Z53" s="716"/>
      <c r="AA53" s="716"/>
      <c r="AB53" s="716"/>
      <c r="AC53" s="716"/>
      <c r="AD53" s="716"/>
      <c r="AE53" s="716"/>
      <c r="AF53" s="716"/>
      <c r="AG53" s="716"/>
      <c r="AH53" s="716"/>
      <c r="AI53" s="716"/>
      <c r="AJ53" s="716"/>
      <c r="AK53" s="716"/>
      <c r="AL53" s="716"/>
      <c r="AM53" s="716"/>
      <c r="AN53" s="716"/>
      <c r="AO53" s="716"/>
      <c r="AP53" s="716"/>
      <c r="AQ53" s="716"/>
      <c r="AR53" s="716"/>
    </row>
    <row r="54">
      <c r="A54" s="716"/>
      <c r="B54" s="530"/>
      <c r="C54" s="530"/>
      <c r="D54" s="530"/>
      <c r="E54" s="530"/>
      <c r="F54" s="530"/>
      <c r="G54" s="530"/>
      <c r="H54" s="530"/>
      <c r="I54" s="530"/>
      <c r="J54" s="530"/>
      <c r="K54" s="530"/>
      <c r="L54" s="530"/>
      <c r="M54" s="530"/>
      <c r="N54" s="530"/>
      <c r="O54" s="530"/>
      <c r="P54" s="530"/>
      <c r="Q54" s="530"/>
      <c r="R54" s="530"/>
      <c r="S54" s="530"/>
      <c r="T54" s="530"/>
      <c r="U54" s="530"/>
      <c r="V54" s="530"/>
      <c r="W54" s="530"/>
      <c r="X54" s="733"/>
      <c r="Y54" s="716"/>
      <c r="Z54" s="716"/>
      <c r="AA54" s="716"/>
      <c r="AB54" s="716"/>
      <c r="AC54" s="716"/>
      <c r="AD54" s="716"/>
      <c r="AE54" s="716"/>
      <c r="AF54" s="716"/>
      <c r="AG54" s="716"/>
      <c r="AH54" s="716"/>
      <c r="AI54" s="716"/>
      <c r="AJ54" s="716"/>
      <c r="AK54" s="716"/>
      <c r="AL54" s="716"/>
      <c r="AM54" s="716"/>
      <c r="AN54" s="716"/>
      <c r="AO54" s="716"/>
      <c r="AP54" s="716"/>
      <c r="AQ54" s="716"/>
      <c r="AR54" s="716"/>
    </row>
    <row r="55">
      <c r="A55" s="716"/>
      <c r="B55" s="530"/>
      <c r="C55" s="530"/>
      <c r="D55" s="530"/>
      <c r="E55" s="530"/>
      <c r="F55" s="530"/>
      <c r="G55" s="530"/>
      <c r="H55" s="530"/>
      <c r="I55" s="530"/>
      <c r="J55" s="530"/>
      <c r="K55" s="530"/>
      <c r="L55" s="530"/>
      <c r="M55" s="530"/>
      <c r="N55" s="530"/>
      <c r="O55" s="530"/>
      <c r="P55" s="530"/>
      <c r="Q55" s="530"/>
      <c r="R55" s="530"/>
      <c r="S55" s="530"/>
      <c r="T55" s="530"/>
      <c r="U55" s="530"/>
      <c r="V55" s="530"/>
      <c r="W55" s="530"/>
      <c r="X55" s="733"/>
      <c r="Y55" s="716"/>
      <c r="Z55" s="716"/>
      <c r="AA55" s="716"/>
      <c r="AB55" s="716"/>
      <c r="AC55" s="716"/>
      <c r="AD55" s="716"/>
      <c r="AE55" s="716"/>
      <c r="AF55" s="716"/>
      <c r="AG55" s="716"/>
      <c r="AH55" s="716"/>
      <c r="AI55" s="716"/>
      <c r="AJ55" s="716"/>
      <c r="AK55" s="716"/>
      <c r="AL55" s="716"/>
      <c r="AM55" s="716"/>
      <c r="AN55" s="716"/>
      <c r="AO55" s="716"/>
      <c r="AP55" s="716"/>
      <c r="AQ55" s="716"/>
      <c r="AR55" s="716"/>
    </row>
    <row r="56">
      <c r="A56" s="716"/>
      <c r="B56" s="530"/>
      <c r="C56" s="530"/>
      <c r="D56" s="530"/>
      <c r="E56" s="530"/>
      <c r="F56" s="530"/>
      <c r="G56" s="530"/>
      <c r="H56" s="530"/>
      <c r="I56" s="530"/>
      <c r="J56" s="530"/>
      <c r="K56" s="530"/>
      <c r="L56" s="530"/>
      <c r="M56" s="530"/>
      <c r="N56" s="530"/>
      <c r="O56" s="530"/>
      <c r="P56" s="530"/>
      <c r="Q56" s="530"/>
      <c r="R56" s="530"/>
      <c r="S56" s="530"/>
      <c r="T56" s="530"/>
      <c r="U56" s="530"/>
      <c r="V56" s="530"/>
      <c r="W56" s="530"/>
      <c r="X56" s="733"/>
      <c r="Y56" s="716"/>
      <c r="Z56" s="716"/>
      <c r="AA56" s="716"/>
      <c r="AB56" s="716"/>
      <c r="AC56" s="716"/>
      <c r="AD56" s="716"/>
      <c r="AE56" s="716"/>
      <c r="AF56" s="716"/>
      <c r="AG56" s="716"/>
      <c r="AH56" s="716"/>
      <c r="AI56" s="716"/>
      <c r="AJ56" s="716"/>
      <c r="AK56" s="716"/>
      <c r="AL56" s="716"/>
      <c r="AM56" s="716"/>
      <c r="AN56" s="716"/>
      <c r="AO56" s="716"/>
      <c r="AP56" s="716"/>
      <c r="AQ56" s="716"/>
      <c r="AR56" s="716"/>
    </row>
    <row r="57">
      <c r="A57" s="716"/>
      <c r="B57" s="530"/>
      <c r="C57" s="530"/>
      <c r="D57" s="530"/>
      <c r="E57" s="530"/>
      <c r="F57" s="530"/>
      <c r="G57" s="530"/>
      <c r="H57" s="530"/>
      <c r="I57" s="530"/>
      <c r="J57" s="530"/>
      <c r="K57" s="530"/>
      <c r="L57" s="530"/>
      <c r="M57" s="530"/>
      <c r="N57" s="530"/>
      <c r="O57" s="530"/>
      <c r="P57" s="530"/>
      <c r="Q57" s="530"/>
      <c r="R57" s="530"/>
      <c r="S57" s="530"/>
      <c r="T57" s="530"/>
      <c r="U57" s="530"/>
      <c r="V57" s="530"/>
      <c r="W57" s="530"/>
      <c r="X57" s="733"/>
      <c r="Y57" s="716"/>
      <c r="Z57" s="716"/>
      <c r="AA57" s="716"/>
      <c r="AB57" s="716"/>
      <c r="AC57" s="716"/>
      <c r="AD57" s="716"/>
      <c r="AE57" s="716"/>
      <c r="AF57" s="716"/>
      <c r="AG57" s="716"/>
      <c r="AH57" s="716"/>
      <c r="AI57" s="716"/>
      <c r="AJ57" s="716"/>
      <c r="AK57" s="716"/>
      <c r="AL57" s="716"/>
      <c r="AM57" s="716"/>
      <c r="AN57" s="716"/>
      <c r="AO57" s="716"/>
      <c r="AP57" s="716"/>
      <c r="AQ57" s="716"/>
      <c r="AR57" s="716"/>
    </row>
    <row r="58">
      <c r="A58" s="716"/>
      <c r="B58" s="530"/>
      <c r="C58" s="530"/>
      <c r="D58" s="530"/>
      <c r="E58" s="530"/>
      <c r="F58" s="530"/>
      <c r="G58" s="530"/>
      <c r="H58" s="530"/>
      <c r="I58" s="530"/>
      <c r="J58" s="530"/>
      <c r="K58" s="530"/>
      <c r="L58" s="530"/>
      <c r="M58" s="530"/>
      <c r="N58" s="530"/>
      <c r="O58" s="530"/>
      <c r="P58" s="530"/>
      <c r="Q58" s="530"/>
      <c r="R58" s="530"/>
      <c r="S58" s="530"/>
      <c r="T58" s="530"/>
      <c r="U58" s="530"/>
      <c r="V58" s="530"/>
      <c r="W58" s="530"/>
      <c r="X58" s="733"/>
      <c r="Y58" s="716"/>
      <c r="Z58" s="716"/>
      <c r="AA58" s="716"/>
      <c r="AB58" s="716"/>
      <c r="AC58" s="716"/>
      <c r="AD58" s="716"/>
      <c r="AE58" s="716"/>
      <c r="AF58" s="716"/>
      <c r="AG58" s="716"/>
      <c r="AH58" s="716"/>
      <c r="AI58" s="716"/>
      <c r="AJ58" s="716"/>
      <c r="AK58" s="716"/>
      <c r="AL58" s="716"/>
      <c r="AM58" s="716"/>
      <c r="AN58" s="716"/>
      <c r="AO58" s="716"/>
      <c r="AP58" s="716"/>
      <c r="AQ58" s="716"/>
      <c r="AR58" s="716"/>
    </row>
    <row r="59">
      <c r="A59" s="716"/>
      <c r="B59" s="530"/>
      <c r="C59" s="530"/>
      <c r="D59" s="530"/>
      <c r="E59" s="530"/>
      <c r="F59" s="530"/>
      <c r="G59" s="530"/>
      <c r="H59" s="530"/>
      <c r="I59" s="530"/>
      <c r="J59" s="530"/>
      <c r="K59" s="530"/>
      <c r="L59" s="530"/>
      <c r="M59" s="530"/>
      <c r="N59" s="530"/>
      <c r="O59" s="530"/>
      <c r="P59" s="530"/>
      <c r="Q59" s="530"/>
      <c r="R59" s="530"/>
      <c r="S59" s="530"/>
      <c r="T59" s="530"/>
      <c r="U59" s="530"/>
      <c r="V59" s="530"/>
      <c r="W59" s="530"/>
      <c r="X59" s="733"/>
      <c r="Y59" s="716"/>
      <c r="Z59" s="716"/>
      <c r="AA59" s="716"/>
      <c r="AB59" s="716"/>
      <c r="AC59" s="716"/>
      <c r="AD59" s="716"/>
      <c r="AE59" s="716"/>
      <c r="AF59" s="716"/>
      <c r="AG59" s="716"/>
      <c r="AH59" s="716"/>
      <c r="AI59" s="716"/>
      <c r="AJ59" s="716"/>
      <c r="AK59" s="716"/>
      <c r="AL59" s="716"/>
      <c r="AM59" s="716"/>
      <c r="AN59" s="716"/>
      <c r="AO59" s="716"/>
      <c r="AP59" s="716"/>
      <c r="AQ59" s="716"/>
      <c r="AR59" s="716"/>
    </row>
    <row r="60">
      <c r="A60" s="716"/>
      <c r="B60" s="530"/>
      <c r="C60" s="530"/>
      <c r="D60" s="530"/>
      <c r="E60" s="530"/>
      <c r="F60" s="530"/>
      <c r="G60" s="530"/>
      <c r="H60" s="530"/>
      <c r="I60" s="530"/>
      <c r="J60" s="530"/>
      <c r="K60" s="530"/>
      <c r="L60" s="530"/>
      <c r="M60" s="530"/>
      <c r="N60" s="530"/>
      <c r="O60" s="530"/>
      <c r="P60" s="530"/>
      <c r="Q60" s="530"/>
      <c r="R60" s="530"/>
      <c r="S60" s="530"/>
      <c r="T60" s="530"/>
      <c r="U60" s="530"/>
      <c r="V60" s="530"/>
      <c r="W60" s="530"/>
      <c r="X60" s="733"/>
      <c r="Y60" s="716"/>
      <c r="Z60" s="716"/>
      <c r="AA60" s="716"/>
      <c r="AB60" s="716"/>
      <c r="AC60" s="716"/>
      <c r="AD60" s="716"/>
      <c r="AE60" s="716"/>
      <c r="AF60" s="716"/>
      <c r="AG60" s="716"/>
      <c r="AH60" s="716"/>
      <c r="AI60" s="716"/>
      <c r="AJ60" s="716"/>
      <c r="AK60" s="716"/>
      <c r="AL60" s="716"/>
      <c r="AM60" s="716"/>
      <c r="AN60" s="716"/>
      <c r="AO60" s="716"/>
      <c r="AP60" s="716"/>
      <c r="AQ60" s="716"/>
      <c r="AR60" s="716"/>
    </row>
    <row r="61">
      <c r="A61" s="716"/>
      <c r="B61" s="530"/>
      <c r="C61" s="530"/>
      <c r="D61" s="530"/>
      <c r="E61" s="530"/>
      <c r="F61" s="530"/>
      <c r="G61" s="530"/>
      <c r="H61" s="530"/>
      <c r="I61" s="530"/>
      <c r="J61" s="530"/>
      <c r="K61" s="530"/>
      <c r="L61" s="530"/>
      <c r="M61" s="530"/>
      <c r="N61" s="530"/>
      <c r="O61" s="530"/>
      <c r="P61" s="530"/>
      <c r="Q61" s="530"/>
      <c r="R61" s="530"/>
      <c r="S61" s="530"/>
      <c r="T61" s="530"/>
      <c r="U61" s="530"/>
      <c r="V61" s="530"/>
      <c r="W61" s="530"/>
      <c r="X61" s="733"/>
      <c r="Y61" s="716"/>
      <c r="Z61" s="716"/>
      <c r="AA61" s="716"/>
      <c r="AB61" s="716"/>
      <c r="AC61" s="716"/>
      <c r="AD61" s="716"/>
      <c r="AE61" s="716"/>
      <c r="AF61" s="716"/>
      <c r="AG61" s="716"/>
      <c r="AH61" s="716"/>
      <c r="AI61" s="716"/>
      <c r="AJ61" s="716"/>
      <c r="AK61" s="716"/>
      <c r="AL61" s="716"/>
      <c r="AM61" s="716"/>
      <c r="AN61" s="716"/>
      <c r="AO61" s="716"/>
      <c r="AP61" s="716"/>
      <c r="AQ61" s="716"/>
      <c r="AR61" s="716"/>
    </row>
    <row r="62">
      <c r="A62" s="716"/>
      <c r="B62" s="530"/>
      <c r="C62" s="530"/>
      <c r="D62" s="530"/>
      <c r="E62" s="530"/>
      <c r="F62" s="530"/>
      <c r="G62" s="530"/>
      <c r="H62" s="530"/>
      <c r="I62" s="530"/>
      <c r="J62" s="530"/>
      <c r="K62" s="530"/>
      <c r="L62" s="530"/>
      <c r="M62" s="530"/>
      <c r="N62" s="530"/>
      <c r="O62" s="530"/>
      <c r="P62" s="530"/>
      <c r="Q62" s="530"/>
      <c r="R62" s="530"/>
      <c r="S62" s="530"/>
      <c r="T62" s="530"/>
      <c r="U62" s="530"/>
      <c r="V62" s="530"/>
      <c r="W62" s="530"/>
      <c r="X62" s="733"/>
      <c r="Y62" s="716"/>
      <c r="Z62" s="716"/>
      <c r="AA62" s="716"/>
      <c r="AB62" s="716"/>
      <c r="AC62" s="716"/>
      <c r="AD62" s="716"/>
      <c r="AE62" s="716"/>
      <c r="AF62" s="716"/>
      <c r="AG62" s="716"/>
      <c r="AH62" s="716"/>
      <c r="AI62" s="716"/>
      <c r="AJ62" s="716"/>
      <c r="AK62" s="716"/>
      <c r="AL62" s="716"/>
      <c r="AM62" s="716"/>
      <c r="AN62" s="716"/>
      <c r="AO62" s="716"/>
      <c r="AP62" s="716"/>
      <c r="AQ62" s="716"/>
      <c r="AR62" s="716"/>
    </row>
    <row r="63">
      <c r="A63" s="716"/>
      <c r="B63" s="530"/>
      <c r="C63" s="530"/>
      <c r="D63" s="530"/>
      <c r="E63" s="530"/>
      <c r="F63" s="530"/>
      <c r="G63" s="530"/>
      <c r="H63" s="530"/>
      <c r="I63" s="530"/>
      <c r="J63" s="530"/>
      <c r="K63" s="530"/>
      <c r="L63" s="530"/>
      <c r="M63" s="530"/>
      <c r="N63" s="530"/>
      <c r="O63" s="530"/>
      <c r="P63" s="530"/>
      <c r="Q63" s="530"/>
      <c r="R63" s="530"/>
      <c r="S63" s="530"/>
      <c r="T63" s="530"/>
      <c r="U63" s="530"/>
      <c r="V63" s="530"/>
      <c r="W63" s="530"/>
      <c r="X63" s="733"/>
      <c r="Y63" s="716"/>
      <c r="Z63" s="716"/>
      <c r="AA63" s="716"/>
      <c r="AB63" s="716"/>
      <c r="AC63" s="716"/>
      <c r="AD63" s="716"/>
      <c r="AE63" s="716"/>
      <c r="AF63" s="716"/>
      <c r="AG63" s="716"/>
      <c r="AH63" s="716"/>
      <c r="AI63" s="716"/>
      <c r="AJ63" s="716"/>
      <c r="AK63" s="716"/>
      <c r="AL63" s="716"/>
      <c r="AM63" s="716"/>
      <c r="AN63" s="716"/>
      <c r="AO63" s="716"/>
      <c r="AP63" s="716"/>
      <c r="AQ63" s="716"/>
      <c r="AR63" s="716"/>
    </row>
    <row r="64">
      <c r="A64" s="716"/>
      <c r="B64" s="530"/>
      <c r="C64" s="530"/>
      <c r="D64" s="530"/>
      <c r="E64" s="530"/>
      <c r="F64" s="530"/>
      <c r="G64" s="530"/>
      <c r="H64" s="530"/>
      <c r="I64" s="530"/>
      <c r="J64" s="530"/>
      <c r="K64" s="530"/>
      <c r="L64" s="530"/>
      <c r="M64" s="530"/>
      <c r="N64" s="530"/>
      <c r="O64" s="530"/>
      <c r="P64" s="530"/>
      <c r="Q64" s="530"/>
      <c r="R64" s="530"/>
      <c r="S64" s="530"/>
      <c r="T64" s="530"/>
      <c r="U64" s="530"/>
      <c r="V64" s="530"/>
      <c r="W64" s="530"/>
      <c r="X64" s="733"/>
      <c r="Y64" s="716"/>
      <c r="Z64" s="716"/>
      <c r="AA64" s="716"/>
      <c r="AB64" s="716"/>
      <c r="AC64" s="716"/>
      <c r="AD64" s="716"/>
      <c r="AE64" s="716"/>
      <c r="AF64" s="716"/>
      <c r="AG64" s="716"/>
      <c r="AH64" s="716"/>
      <c r="AI64" s="716"/>
      <c r="AJ64" s="716"/>
      <c r="AK64" s="716"/>
      <c r="AL64" s="716"/>
      <c r="AM64" s="716"/>
      <c r="AN64" s="716"/>
      <c r="AO64" s="716"/>
      <c r="AP64" s="716"/>
      <c r="AQ64" s="716"/>
      <c r="AR64" s="716"/>
    </row>
    <row r="65">
      <c r="A65" s="716"/>
      <c r="B65" s="530"/>
      <c r="C65" s="530"/>
      <c r="D65" s="530"/>
      <c r="E65" s="530"/>
      <c r="F65" s="530"/>
      <c r="G65" s="530"/>
      <c r="H65" s="530"/>
      <c r="I65" s="530"/>
      <c r="J65" s="530"/>
      <c r="K65" s="530"/>
      <c r="L65" s="530"/>
      <c r="M65" s="530"/>
      <c r="N65" s="530"/>
      <c r="O65" s="530"/>
      <c r="P65" s="530"/>
      <c r="Q65" s="530"/>
      <c r="R65" s="530"/>
      <c r="S65" s="530"/>
      <c r="T65" s="530"/>
      <c r="U65" s="530"/>
      <c r="V65" s="530"/>
      <c r="W65" s="530"/>
      <c r="X65" s="733"/>
      <c r="Y65" s="716"/>
      <c r="Z65" s="716"/>
      <c r="AA65" s="716"/>
      <c r="AB65" s="716"/>
      <c r="AC65" s="716"/>
      <c r="AD65" s="716"/>
      <c r="AE65" s="716"/>
      <c r="AF65" s="716"/>
      <c r="AG65" s="716"/>
      <c r="AH65" s="716"/>
      <c r="AI65" s="716"/>
      <c r="AJ65" s="716"/>
      <c r="AK65" s="716"/>
      <c r="AL65" s="716"/>
      <c r="AM65" s="716"/>
      <c r="AN65" s="716"/>
      <c r="AO65" s="716"/>
      <c r="AP65" s="716"/>
      <c r="AQ65" s="716"/>
      <c r="AR65" s="716"/>
    </row>
    <row r="66">
      <c r="A66" s="716"/>
      <c r="B66" s="530"/>
      <c r="C66" s="530"/>
      <c r="D66" s="530"/>
      <c r="E66" s="530"/>
      <c r="F66" s="530"/>
      <c r="G66" s="530"/>
      <c r="H66" s="530"/>
      <c r="I66" s="530"/>
      <c r="J66" s="530"/>
      <c r="K66" s="530"/>
      <c r="L66" s="530"/>
      <c r="M66" s="530"/>
      <c r="N66" s="530"/>
      <c r="O66" s="530"/>
      <c r="P66" s="530"/>
      <c r="Q66" s="530"/>
      <c r="R66" s="530"/>
      <c r="S66" s="530"/>
      <c r="T66" s="530"/>
      <c r="U66" s="530"/>
      <c r="V66" s="530"/>
      <c r="W66" s="530"/>
      <c r="X66" s="733"/>
      <c r="Y66" s="716"/>
      <c r="Z66" s="716"/>
      <c r="AA66" s="716"/>
      <c r="AB66" s="716"/>
      <c r="AC66" s="716"/>
      <c r="AD66" s="716"/>
      <c r="AE66" s="716"/>
      <c r="AF66" s="716"/>
      <c r="AG66" s="716"/>
      <c r="AH66" s="716"/>
      <c r="AI66" s="716"/>
      <c r="AJ66" s="716"/>
      <c r="AK66" s="716"/>
      <c r="AL66" s="716"/>
      <c r="AM66" s="716"/>
      <c r="AN66" s="716"/>
      <c r="AO66" s="716"/>
      <c r="AP66" s="716"/>
      <c r="AQ66" s="716"/>
      <c r="AR66" s="716"/>
    </row>
    <row r="67">
      <c r="A67" s="716"/>
      <c r="B67" s="530"/>
      <c r="C67" s="530"/>
      <c r="D67" s="530"/>
      <c r="E67" s="530"/>
      <c r="F67" s="530"/>
      <c r="G67" s="530"/>
      <c r="H67" s="530"/>
      <c r="I67" s="530"/>
      <c r="J67" s="530"/>
      <c r="K67" s="530"/>
      <c r="L67" s="530"/>
      <c r="M67" s="530"/>
      <c r="N67" s="530"/>
      <c r="O67" s="530"/>
      <c r="P67" s="530"/>
      <c r="Q67" s="530"/>
      <c r="R67" s="530"/>
      <c r="S67" s="530"/>
      <c r="T67" s="530"/>
      <c r="U67" s="530"/>
      <c r="V67" s="530"/>
      <c r="W67" s="530"/>
      <c r="X67" s="733"/>
      <c r="Y67" s="716"/>
      <c r="Z67" s="716"/>
      <c r="AA67" s="716"/>
      <c r="AB67" s="716"/>
      <c r="AC67" s="716"/>
      <c r="AD67" s="716"/>
      <c r="AE67" s="716"/>
      <c r="AF67" s="716"/>
      <c r="AG67" s="716"/>
      <c r="AH67" s="716"/>
      <c r="AI67" s="716"/>
      <c r="AJ67" s="716"/>
      <c r="AK67" s="716"/>
      <c r="AL67" s="716"/>
      <c r="AM67" s="716"/>
      <c r="AN67" s="716"/>
      <c r="AO67" s="716"/>
      <c r="AP67" s="716"/>
      <c r="AQ67" s="716"/>
      <c r="AR67" s="716"/>
    </row>
    <row r="68">
      <c r="A68" s="716"/>
      <c r="B68" s="530"/>
      <c r="C68" s="530"/>
      <c r="D68" s="530"/>
      <c r="E68" s="530"/>
      <c r="F68" s="530"/>
      <c r="G68" s="530"/>
      <c r="H68" s="530"/>
      <c r="I68" s="530"/>
      <c r="J68" s="530"/>
      <c r="K68" s="530"/>
      <c r="L68" s="530"/>
      <c r="M68" s="530"/>
      <c r="N68" s="530"/>
      <c r="O68" s="530"/>
      <c r="P68" s="530"/>
      <c r="Q68" s="530"/>
      <c r="R68" s="530"/>
      <c r="S68" s="530"/>
      <c r="T68" s="530"/>
      <c r="U68" s="530"/>
      <c r="V68" s="530"/>
      <c r="W68" s="530"/>
      <c r="X68" s="733"/>
      <c r="Y68" s="716"/>
      <c r="Z68" s="716"/>
      <c r="AA68" s="716"/>
      <c r="AB68" s="716"/>
      <c r="AC68" s="716"/>
      <c r="AD68" s="716"/>
      <c r="AE68" s="716"/>
      <c r="AF68" s="716"/>
      <c r="AG68" s="716"/>
      <c r="AH68" s="716"/>
      <c r="AI68" s="716"/>
      <c r="AJ68" s="716"/>
      <c r="AK68" s="716"/>
      <c r="AL68" s="716"/>
      <c r="AM68" s="716"/>
      <c r="AN68" s="716"/>
      <c r="AO68" s="716"/>
      <c r="AP68" s="716"/>
      <c r="AQ68" s="716"/>
      <c r="AR68" s="716"/>
    </row>
    <row r="69">
      <c r="A69" s="716"/>
      <c r="B69" s="530"/>
      <c r="C69" s="530"/>
      <c r="D69" s="530"/>
      <c r="E69" s="530"/>
      <c r="F69" s="530"/>
      <c r="G69" s="530"/>
      <c r="H69" s="530"/>
      <c r="I69" s="530"/>
      <c r="J69" s="530"/>
      <c r="K69" s="530"/>
      <c r="L69" s="530"/>
      <c r="M69" s="530"/>
      <c r="N69" s="530"/>
      <c r="O69" s="530"/>
      <c r="P69" s="530"/>
      <c r="Q69" s="530"/>
      <c r="R69" s="530"/>
      <c r="S69" s="530"/>
      <c r="T69" s="530"/>
      <c r="U69" s="530"/>
      <c r="V69" s="530"/>
      <c r="W69" s="530"/>
      <c r="X69" s="733"/>
      <c r="Y69" s="716"/>
      <c r="Z69" s="716"/>
      <c r="AA69" s="716"/>
      <c r="AB69" s="716"/>
      <c r="AC69" s="716"/>
      <c r="AD69" s="716"/>
      <c r="AE69" s="716"/>
      <c r="AF69" s="716"/>
      <c r="AG69" s="716"/>
      <c r="AH69" s="716"/>
      <c r="AI69" s="716"/>
      <c r="AJ69" s="716"/>
      <c r="AK69" s="716"/>
      <c r="AL69" s="716"/>
      <c r="AM69" s="716"/>
      <c r="AN69" s="716"/>
      <c r="AO69" s="716"/>
      <c r="AP69" s="716"/>
      <c r="AQ69" s="716"/>
      <c r="AR69" s="716"/>
    </row>
    <row r="70">
      <c r="A70" s="716"/>
      <c r="B70" s="530"/>
      <c r="C70" s="530"/>
      <c r="D70" s="530"/>
      <c r="E70" s="530"/>
      <c r="F70" s="530"/>
      <c r="G70" s="530"/>
      <c r="H70" s="530"/>
      <c r="I70" s="530"/>
      <c r="J70" s="530"/>
      <c r="K70" s="530"/>
      <c r="L70" s="530"/>
      <c r="M70" s="530"/>
      <c r="N70" s="530"/>
      <c r="O70" s="530"/>
      <c r="P70" s="530"/>
      <c r="Q70" s="530"/>
      <c r="R70" s="530"/>
      <c r="S70" s="530"/>
      <c r="T70" s="530"/>
      <c r="U70" s="530"/>
      <c r="V70" s="530"/>
      <c r="W70" s="530"/>
      <c r="X70" s="733"/>
      <c r="Y70" s="716"/>
      <c r="Z70" s="716"/>
      <c r="AA70" s="716"/>
      <c r="AB70" s="716"/>
      <c r="AC70" s="716"/>
      <c r="AD70" s="716"/>
      <c r="AE70" s="716"/>
      <c r="AF70" s="716"/>
      <c r="AG70" s="716"/>
      <c r="AH70" s="716"/>
      <c r="AI70" s="716"/>
      <c r="AJ70" s="716"/>
      <c r="AK70" s="716"/>
      <c r="AL70" s="716"/>
      <c r="AM70" s="716"/>
      <c r="AN70" s="716"/>
      <c r="AO70" s="716"/>
      <c r="AP70" s="716"/>
      <c r="AQ70" s="716"/>
      <c r="AR70" s="716"/>
    </row>
    <row r="71">
      <c r="A71" s="716"/>
      <c r="B71" s="530"/>
      <c r="C71" s="530"/>
      <c r="D71" s="530"/>
      <c r="E71" s="530"/>
      <c r="F71" s="530"/>
      <c r="G71" s="530"/>
      <c r="H71" s="530"/>
      <c r="I71" s="530"/>
      <c r="J71" s="530"/>
      <c r="K71" s="530"/>
      <c r="L71" s="530"/>
      <c r="M71" s="530"/>
      <c r="N71" s="530"/>
      <c r="O71" s="530"/>
      <c r="P71" s="530"/>
      <c r="Q71" s="530"/>
      <c r="R71" s="530"/>
      <c r="S71" s="530"/>
      <c r="T71" s="530"/>
      <c r="U71" s="530"/>
      <c r="V71" s="530"/>
      <c r="W71" s="530"/>
      <c r="X71" s="733"/>
      <c r="Y71" s="716"/>
      <c r="Z71" s="716"/>
      <c r="AA71" s="716"/>
      <c r="AB71" s="716"/>
      <c r="AC71" s="716"/>
      <c r="AD71" s="716"/>
      <c r="AE71" s="716"/>
      <c r="AF71" s="716"/>
      <c r="AG71" s="716"/>
      <c r="AH71" s="716"/>
      <c r="AI71" s="716"/>
      <c r="AJ71" s="716"/>
      <c r="AK71" s="716"/>
      <c r="AL71" s="716"/>
      <c r="AM71" s="716"/>
      <c r="AN71" s="716"/>
      <c r="AO71" s="716"/>
      <c r="AP71" s="716"/>
      <c r="AQ71" s="716"/>
      <c r="AR71" s="716"/>
    </row>
    <row r="72">
      <c r="A72" s="716"/>
      <c r="B72" s="530"/>
      <c r="C72" s="530"/>
      <c r="D72" s="530"/>
      <c r="E72" s="530"/>
      <c r="F72" s="530"/>
      <c r="G72" s="530"/>
      <c r="H72" s="530"/>
      <c r="I72" s="530"/>
      <c r="J72" s="530"/>
      <c r="K72" s="530"/>
      <c r="L72" s="530"/>
      <c r="M72" s="530"/>
      <c r="N72" s="530"/>
      <c r="O72" s="530"/>
      <c r="P72" s="530"/>
      <c r="Q72" s="530"/>
      <c r="R72" s="530"/>
      <c r="S72" s="530"/>
      <c r="T72" s="530"/>
      <c r="U72" s="530"/>
      <c r="V72" s="530"/>
      <c r="W72" s="530"/>
      <c r="X72" s="733"/>
      <c r="Y72" s="716"/>
      <c r="Z72" s="716"/>
      <c r="AA72" s="716"/>
      <c r="AB72" s="716"/>
      <c r="AC72" s="716"/>
      <c r="AD72" s="716"/>
      <c r="AE72" s="716"/>
      <c r="AF72" s="716"/>
      <c r="AG72" s="716"/>
      <c r="AH72" s="716"/>
      <c r="AI72" s="716"/>
      <c r="AJ72" s="716"/>
      <c r="AK72" s="716"/>
      <c r="AL72" s="716"/>
      <c r="AM72" s="716"/>
      <c r="AN72" s="716"/>
      <c r="AO72" s="716"/>
      <c r="AP72" s="716"/>
      <c r="AQ72" s="716"/>
      <c r="AR72" s="716"/>
    </row>
    <row r="73">
      <c r="A73" s="716"/>
      <c r="B73" s="530"/>
      <c r="C73" s="530"/>
      <c r="D73" s="530"/>
      <c r="E73" s="530"/>
      <c r="F73" s="530"/>
      <c r="G73" s="530"/>
      <c r="H73" s="530"/>
      <c r="I73" s="530"/>
      <c r="J73" s="530"/>
      <c r="K73" s="530"/>
      <c r="L73" s="530"/>
      <c r="M73" s="530"/>
      <c r="N73" s="530"/>
      <c r="O73" s="530"/>
      <c r="P73" s="530"/>
      <c r="Q73" s="530"/>
      <c r="R73" s="530"/>
      <c r="S73" s="530"/>
      <c r="T73" s="530"/>
      <c r="U73" s="530"/>
      <c r="V73" s="530"/>
      <c r="W73" s="530"/>
      <c r="X73" s="733"/>
      <c r="Y73" s="716"/>
      <c r="Z73" s="716"/>
      <c r="AA73" s="716"/>
      <c r="AB73" s="716"/>
      <c r="AC73" s="716"/>
      <c r="AD73" s="716"/>
      <c r="AE73" s="716"/>
      <c r="AF73" s="716"/>
      <c r="AG73" s="716"/>
      <c r="AH73" s="716"/>
      <c r="AI73" s="716"/>
      <c r="AJ73" s="716"/>
      <c r="AK73" s="716"/>
      <c r="AL73" s="716"/>
      <c r="AM73" s="716"/>
      <c r="AN73" s="716"/>
      <c r="AO73" s="716"/>
      <c r="AP73" s="716"/>
      <c r="AQ73" s="716"/>
      <c r="AR73" s="716"/>
    </row>
    <row r="74">
      <c r="A74" s="716"/>
      <c r="B74" s="530"/>
      <c r="C74" s="530"/>
      <c r="D74" s="530"/>
      <c r="E74" s="530"/>
      <c r="F74" s="530"/>
      <c r="G74" s="530"/>
      <c r="H74" s="530"/>
      <c r="I74" s="530"/>
      <c r="J74" s="530"/>
      <c r="K74" s="530"/>
      <c r="L74" s="530"/>
      <c r="M74" s="530"/>
      <c r="N74" s="530"/>
      <c r="O74" s="530"/>
      <c r="P74" s="530"/>
      <c r="Q74" s="530"/>
      <c r="R74" s="530"/>
      <c r="S74" s="530"/>
      <c r="T74" s="530"/>
      <c r="U74" s="530"/>
      <c r="V74" s="530"/>
      <c r="W74" s="530"/>
      <c r="X74" s="733"/>
      <c r="Y74" s="716"/>
      <c r="Z74" s="716"/>
      <c r="AA74" s="716"/>
      <c r="AB74" s="716"/>
      <c r="AC74" s="716"/>
      <c r="AD74" s="716"/>
      <c r="AE74" s="716"/>
      <c r="AF74" s="716"/>
      <c r="AG74" s="716"/>
      <c r="AH74" s="716"/>
      <c r="AI74" s="716"/>
      <c r="AJ74" s="716"/>
      <c r="AK74" s="716"/>
      <c r="AL74" s="716"/>
      <c r="AM74" s="716"/>
      <c r="AN74" s="716"/>
      <c r="AO74" s="716"/>
      <c r="AP74" s="716"/>
      <c r="AQ74" s="716"/>
      <c r="AR74" s="716"/>
    </row>
    <row r="75">
      <c r="A75" s="716"/>
      <c r="B75" s="530"/>
      <c r="C75" s="530"/>
      <c r="D75" s="530"/>
      <c r="E75" s="530"/>
      <c r="F75" s="530"/>
      <c r="G75" s="530"/>
      <c r="H75" s="530"/>
      <c r="I75" s="530"/>
      <c r="J75" s="530"/>
      <c r="K75" s="530"/>
      <c r="L75" s="530"/>
      <c r="M75" s="530"/>
      <c r="N75" s="530"/>
      <c r="O75" s="530"/>
      <c r="P75" s="530"/>
      <c r="Q75" s="530"/>
      <c r="R75" s="530"/>
      <c r="S75" s="530"/>
      <c r="T75" s="530"/>
      <c r="U75" s="530"/>
      <c r="V75" s="530"/>
      <c r="W75" s="530"/>
      <c r="X75" s="733"/>
      <c r="Y75" s="716"/>
      <c r="Z75" s="716"/>
      <c r="AA75" s="716"/>
      <c r="AB75" s="716"/>
      <c r="AC75" s="716"/>
      <c r="AD75" s="716"/>
      <c r="AE75" s="716"/>
      <c r="AF75" s="716"/>
      <c r="AG75" s="716"/>
      <c r="AH75" s="716"/>
      <c r="AI75" s="716"/>
      <c r="AJ75" s="716"/>
      <c r="AK75" s="716"/>
      <c r="AL75" s="716"/>
      <c r="AM75" s="716"/>
      <c r="AN75" s="716"/>
      <c r="AO75" s="716"/>
      <c r="AP75" s="716"/>
      <c r="AQ75" s="716"/>
      <c r="AR75" s="716"/>
    </row>
    <row r="76">
      <c r="A76" s="716"/>
      <c r="B76" s="530"/>
      <c r="C76" s="530"/>
      <c r="D76" s="530"/>
      <c r="E76" s="530"/>
      <c r="F76" s="530"/>
      <c r="G76" s="530"/>
      <c r="H76" s="530"/>
      <c r="I76" s="530"/>
      <c r="J76" s="530"/>
      <c r="K76" s="530"/>
      <c r="L76" s="530"/>
      <c r="M76" s="530"/>
      <c r="N76" s="530"/>
      <c r="O76" s="530"/>
      <c r="P76" s="530"/>
      <c r="Q76" s="530"/>
      <c r="R76" s="530"/>
      <c r="S76" s="530"/>
      <c r="T76" s="530"/>
      <c r="U76" s="530"/>
      <c r="V76" s="530"/>
      <c r="W76" s="530"/>
      <c r="X76" s="733"/>
      <c r="Y76" s="716"/>
      <c r="Z76" s="716"/>
      <c r="AA76" s="716"/>
      <c r="AB76" s="716"/>
      <c r="AC76" s="716"/>
      <c r="AD76" s="716"/>
      <c r="AE76" s="716"/>
      <c r="AF76" s="716"/>
      <c r="AG76" s="716"/>
      <c r="AH76" s="716"/>
      <c r="AI76" s="716"/>
      <c r="AJ76" s="716"/>
      <c r="AK76" s="716"/>
      <c r="AL76" s="716"/>
      <c r="AM76" s="716"/>
      <c r="AN76" s="716"/>
      <c r="AO76" s="716"/>
      <c r="AP76" s="716"/>
      <c r="AQ76" s="716"/>
      <c r="AR76" s="716"/>
    </row>
    <row r="77">
      <c r="A77" s="716"/>
      <c r="B77" s="530"/>
      <c r="C77" s="530"/>
      <c r="D77" s="530"/>
      <c r="E77" s="530"/>
      <c r="F77" s="530"/>
      <c r="G77" s="530"/>
      <c r="H77" s="530"/>
      <c r="I77" s="530"/>
      <c r="J77" s="530"/>
      <c r="K77" s="530"/>
      <c r="L77" s="530"/>
      <c r="M77" s="530"/>
      <c r="N77" s="530"/>
      <c r="O77" s="530"/>
      <c r="P77" s="530"/>
      <c r="Q77" s="530"/>
      <c r="R77" s="530"/>
      <c r="S77" s="530"/>
      <c r="T77" s="530"/>
      <c r="U77" s="530"/>
      <c r="V77" s="530"/>
      <c r="W77" s="530"/>
      <c r="X77" s="733"/>
      <c r="Y77" s="716"/>
      <c r="Z77" s="716"/>
      <c r="AA77" s="716"/>
      <c r="AB77" s="716"/>
      <c r="AC77" s="716"/>
      <c r="AD77" s="716"/>
      <c r="AE77" s="716"/>
      <c r="AF77" s="716"/>
      <c r="AG77" s="716"/>
      <c r="AH77" s="716"/>
      <c r="AI77" s="716"/>
      <c r="AJ77" s="716"/>
      <c r="AK77" s="716"/>
      <c r="AL77" s="716"/>
      <c r="AM77" s="716"/>
      <c r="AN77" s="716"/>
      <c r="AO77" s="716"/>
      <c r="AP77" s="716"/>
      <c r="AQ77" s="716"/>
      <c r="AR77" s="716"/>
    </row>
    <row r="78">
      <c r="A78" s="716"/>
      <c r="B78" s="530"/>
      <c r="C78" s="530"/>
      <c r="D78" s="530"/>
      <c r="E78" s="530"/>
      <c r="F78" s="530"/>
      <c r="G78" s="530"/>
      <c r="H78" s="530"/>
      <c r="I78" s="530"/>
      <c r="J78" s="530"/>
      <c r="K78" s="530"/>
      <c r="L78" s="530"/>
      <c r="M78" s="530"/>
      <c r="N78" s="530"/>
      <c r="O78" s="530"/>
      <c r="P78" s="530"/>
      <c r="Q78" s="530"/>
      <c r="R78" s="530"/>
      <c r="S78" s="530"/>
      <c r="T78" s="530"/>
      <c r="U78" s="530"/>
      <c r="V78" s="530"/>
      <c r="W78" s="530"/>
      <c r="X78" s="733"/>
      <c r="Y78" s="716"/>
      <c r="Z78" s="716"/>
      <c r="AA78" s="716"/>
      <c r="AB78" s="716"/>
      <c r="AC78" s="716"/>
      <c r="AD78" s="716"/>
      <c r="AE78" s="716"/>
      <c r="AF78" s="716"/>
      <c r="AG78" s="716"/>
      <c r="AH78" s="716"/>
      <c r="AI78" s="716"/>
      <c r="AJ78" s="716"/>
      <c r="AK78" s="716"/>
      <c r="AL78" s="716"/>
      <c r="AM78" s="716"/>
      <c r="AN78" s="716"/>
      <c r="AO78" s="716"/>
      <c r="AP78" s="716"/>
      <c r="AQ78" s="716"/>
      <c r="AR78" s="716"/>
    </row>
    <row r="79">
      <c r="A79" s="716"/>
      <c r="B79" s="530"/>
      <c r="C79" s="530"/>
      <c r="D79" s="530"/>
      <c r="E79" s="530"/>
      <c r="F79" s="530"/>
      <c r="G79" s="530"/>
      <c r="H79" s="530"/>
      <c r="I79" s="530"/>
      <c r="J79" s="530"/>
      <c r="K79" s="530"/>
      <c r="L79" s="530"/>
      <c r="M79" s="530"/>
      <c r="N79" s="530"/>
      <c r="O79" s="530"/>
      <c r="P79" s="530"/>
      <c r="Q79" s="530"/>
      <c r="R79" s="530"/>
      <c r="S79" s="530"/>
      <c r="T79" s="530"/>
      <c r="U79" s="530"/>
      <c r="V79" s="530"/>
      <c r="W79" s="530"/>
      <c r="X79" s="733"/>
      <c r="Y79" s="716"/>
      <c r="Z79" s="716"/>
      <c r="AA79" s="716"/>
      <c r="AB79" s="716"/>
      <c r="AC79" s="716"/>
      <c r="AD79" s="716"/>
      <c r="AE79" s="716"/>
      <c r="AF79" s="716"/>
      <c r="AG79" s="716"/>
      <c r="AH79" s="716"/>
      <c r="AI79" s="716"/>
      <c r="AJ79" s="716"/>
      <c r="AK79" s="716"/>
      <c r="AL79" s="716"/>
      <c r="AM79" s="716"/>
      <c r="AN79" s="716"/>
      <c r="AO79" s="716"/>
      <c r="AP79" s="716"/>
      <c r="AQ79" s="716"/>
      <c r="AR79" s="716"/>
    </row>
    <row r="80">
      <c r="A80" s="716"/>
      <c r="B80" s="530"/>
      <c r="C80" s="530"/>
      <c r="D80" s="530"/>
      <c r="E80" s="530"/>
      <c r="F80" s="530"/>
      <c r="G80" s="530"/>
      <c r="H80" s="530"/>
      <c r="I80" s="530"/>
      <c r="J80" s="530"/>
      <c r="K80" s="530"/>
      <c r="L80" s="530"/>
      <c r="M80" s="530"/>
      <c r="N80" s="530"/>
      <c r="O80" s="530"/>
      <c r="P80" s="530"/>
      <c r="Q80" s="530"/>
      <c r="R80" s="530"/>
      <c r="S80" s="530"/>
      <c r="T80" s="530"/>
      <c r="U80" s="530"/>
      <c r="V80" s="530"/>
      <c r="W80" s="530"/>
      <c r="X80" s="733"/>
      <c r="Y80" s="716"/>
      <c r="Z80" s="716"/>
      <c r="AA80" s="716"/>
      <c r="AB80" s="716"/>
      <c r="AC80" s="716"/>
      <c r="AD80" s="716"/>
      <c r="AE80" s="716"/>
      <c r="AF80" s="716"/>
      <c r="AG80" s="716"/>
      <c r="AH80" s="716"/>
      <c r="AI80" s="716"/>
      <c r="AJ80" s="716"/>
      <c r="AK80" s="716"/>
      <c r="AL80" s="716"/>
      <c r="AM80" s="716"/>
      <c r="AN80" s="716"/>
      <c r="AO80" s="716"/>
      <c r="AP80" s="716"/>
      <c r="AQ80" s="716"/>
      <c r="AR80" s="716"/>
    </row>
    <row r="81">
      <c r="A81" s="716"/>
      <c r="B81" s="530"/>
      <c r="C81" s="530"/>
      <c r="D81" s="530"/>
      <c r="E81" s="530"/>
      <c r="F81" s="530"/>
      <c r="G81" s="530"/>
      <c r="H81" s="530"/>
      <c r="I81" s="530"/>
      <c r="J81" s="530"/>
      <c r="K81" s="530"/>
      <c r="L81" s="530"/>
      <c r="M81" s="530"/>
      <c r="N81" s="530"/>
      <c r="O81" s="530"/>
      <c r="P81" s="530"/>
      <c r="Q81" s="530"/>
      <c r="R81" s="530"/>
      <c r="S81" s="530"/>
      <c r="T81" s="530"/>
      <c r="U81" s="530"/>
      <c r="V81" s="530"/>
      <c r="W81" s="530"/>
      <c r="X81" s="733"/>
      <c r="Y81" s="716"/>
      <c r="Z81" s="716"/>
      <c r="AA81" s="716"/>
      <c r="AB81" s="716"/>
      <c r="AC81" s="716"/>
      <c r="AD81" s="716"/>
      <c r="AE81" s="716"/>
      <c r="AF81" s="716"/>
      <c r="AG81" s="716"/>
      <c r="AH81" s="716"/>
      <c r="AI81" s="716"/>
      <c r="AJ81" s="716"/>
      <c r="AK81" s="716"/>
      <c r="AL81" s="716"/>
      <c r="AM81" s="716"/>
      <c r="AN81" s="716"/>
      <c r="AO81" s="716"/>
      <c r="AP81" s="716"/>
      <c r="AQ81" s="716"/>
      <c r="AR81" s="716"/>
    </row>
    <row r="82">
      <c r="A82" s="716"/>
      <c r="B82" s="530"/>
      <c r="C82" s="530"/>
      <c r="D82" s="530"/>
      <c r="E82" s="530"/>
      <c r="F82" s="530"/>
      <c r="G82" s="530"/>
      <c r="H82" s="530"/>
      <c r="I82" s="530"/>
      <c r="J82" s="530"/>
      <c r="K82" s="530"/>
      <c r="L82" s="530"/>
      <c r="M82" s="530"/>
      <c r="N82" s="530"/>
      <c r="O82" s="530"/>
      <c r="P82" s="530"/>
      <c r="Q82" s="530"/>
      <c r="R82" s="530"/>
      <c r="S82" s="530"/>
      <c r="T82" s="530"/>
      <c r="U82" s="530"/>
      <c r="V82" s="530"/>
      <c r="W82" s="530"/>
      <c r="X82" s="733"/>
      <c r="Y82" s="716"/>
      <c r="Z82" s="716"/>
      <c r="AA82" s="716"/>
      <c r="AB82" s="716"/>
      <c r="AC82" s="716"/>
      <c r="AD82" s="716"/>
      <c r="AE82" s="716"/>
      <c r="AF82" s="716"/>
      <c r="AG82" s="716"/>
      <c r="AH82" s="716"/>
      <c r="AI82" s="716"/>
      <c r="AJ82" s="716"/>
      <c r="AK82" s="716"/>
      <c r="AL82" s="716"/>
      <c r="AM82" s="716"/>
      <c r="AN82" s="716"/>
      <c r="AO82" s="716"/>
      <c r="AP82" s="716"/>
      <c r="AQ82" s="716"/>
      <c r="AR82" s="716"/>
    </row>
    <row r="83">
      <c r="A83" s="716"/>
      <c r="B83" s="530"/>
      <c r="C83" s="530"/>
      <c r="D83" s="530"/>
      <c r="E83" s="530"/>
      <c r="F83" s="530"/>
      <c r="G83" s="530"/>
      <c r="H83" s="530"/>
      <c r="I83" s="530"/>
      <c r="J83" s="530"/>
      <c r="K83" s="530"/>
      <c r="L83" s="530"/>
      <c r="M83" s="530"/>
      <c r="N83" s="530"/>
      <c r="O83" s="530"/>
      <c r="P83" s="530"/>
      <c r="Q83" s="530"/>
      <c r="R83" s="530"/>
      <c r="S83" s="530"/>
      <c r="T83" s="530"/>
      <c r="U83" s="530"/>
      <c r="V83" s="530"/>
      <c r="W83" s="530"/>
      <c r="X83" s="733"/>
      <c r="Y83" s="716"/>
      <c r="Z83" s="716"/>
      <c r="AA83" s="716"/>
      <c r="AB83" s="716"/>
      <c r="AC83" s="716"/>
      <c r="AD83" s="716"/>
      <c r="AE83" s="716"/>
      <c r="AF83" s="716"/>
      <c r="AG83" s="716"/>
      <c r="AH83" s="716"/>
      <c r="AI83" s="716"/>
      <c r="AJ83" s="716"/>
      <c r="AK83" s="716"/>
      <c r="AL83" s="716"/>
      <c r="AM83" s="716"/>
      <c r="AN83" s="716"/>
      <c r="AO83" s="716"/>
      <c r="AP83" s="716"/>
      <c r="AQ83" s="716"/>
      <c r="AR83" s="716"/>
    </row>
    <row r="84">
      <c r="A84" s="716"/>
      <c r="B84" s="530"/>
      <c r="C84" s="530"/>
      <c r="D84" s="530"/>
      <c r="E84" s="530"/>
      <c r="F84" s="530"/>
      <c r="G84" s="530"/>
      <c r="H84" s="530"/>
      <c r="I84" s="530"/>
      <c r="J84" s="530"/>
      <c r="K84" s="530"/>
      <c r="L84" s="530"/>
      <c r="M84" s="530"/>
      <c r="N84" s="530"/>
      <c r="O84" s="530"/>
      <c r="P84" s="530"/>
      <c r="Q84" s="530"/>
      <c r="R84" s="530"/>
      <c r="S84" s="530"/>
      <c r="T84" s="530"/>
      <c r="U84" s="530"/>
      <c r="V84" s="530"/>
      <c r="W84" s="530"/>
      <c r="X84" s="733"/>
      <c r="Y84" s="716"/>
      <c r="Z84" s="716"/>
      <c r="AA84" s="716"/>
      <c r="AB84" s="716"/>
      <c r="AC84" s="716"/>
      <c r="AD84" s="716"/>
      <c r="AE84" s="716"/>
      <c r="AF84" s="716"/>
      <c r="AG84" s="716"/>
      <c r="AH84" s="716"/>
      <c r="AI84" s="716"/>
      <c r="AJ84" s="716"/>
      <c r="AK84" s="716"/>
      <c r="AL84" s="716"/>
      <c r="AM84" s="716"/>
      <c r="AN84" s="716"/>
      <c r="AO84" s="716"/>
      <c r="AP84" s="716"/>
      <c r="AQ84" s="716"/>
      <c r="AR84" s="716"/>
    </row>
    <row r="85">
      <c r="A85" s="716"/>
      <c r="B85" s="530"/>
      <c r="C85" s="530"/>
      <c r="D85" s="530"/>
      <c r="E85" s="530"/>
      <c r="F85" s="530"/>
      <c r="G85" s="530"/>
      <c r="H85" s="530"/>
      <c r="I85" s="530"/>
      <c r="J85" s="530"/>
      <c r="K85" s="530"/>
      <c r="L85" s="530"/>
      <c r="M85" s="530"/>
      <c r="N85" s="530"/>
      <c r="O85" s="530"/>
      <c r="P85" s="530"/>
      <c r="Q85" s="530"/>
      <c r="R85" s="530"/>
      <c r="S85" s="530"/>
      <c r="T85" s="530"/>
      <c r="U85" s="530"/>
      <c r="V85" s="530"/>
      <c r="W85" s="530"/>
      <c r="X85" s="733"/>
      <c r="Y85" s="716"/>
      <c r="Z85" s="716"/>
      <c r="AA85" s="716"/>
      <c r="AB85" s="716"/>
      <c r="AC85" s="716"/>
      <c r="AD85" s="716"/>
      <c r="AE85" s="716"/>
      <c r="AF85" s="716"/>
      <c r="AG85" s="716"/>
      <c r="AH85" s="716"/>
      <c r="AI85" s="716"/>
      <c r="AJ85" s="716"/>
      <c r="AK85" s="716"/>
      <c r="AL85" s="716"/>
      <c r="AM85" s="716"/>
      <c r="AN85" s="716"/>
      <c r="AO85" s="716"/>
      <c r="AP85" s="716"/>
      <c r="AQ85" s="716"/>
      <c r="AR85" s="716"/>
    </row>
    <row r="86">
      <c r="A86" s="716"/>
      <c r="B86" s="530"/>
      <c r="C86" s="530"/>
      <c r="D86" s="530"/>
      <c r="E86" s="530"/>
      <c r="F86" s="530"/>
      <c r="G86" s="530"/>
      <c r="H86" s="530"/>
      <c r="I86" s="530"/>
      <c r="J86" s="530"/>
      <c r="K86" s="530"/>
      <c r="L86" s="530"/>
      <c r="M86" s="530"/>
      <c r="N86" s="530"/>
      <c r="O86" s="530"/>
      <c r="P86" s="530"/>
      <c r="Q86" s="530"/>
      <c r="R86" s="530"/>
      <c r="S86" s="530"/>
      <c r="T86" s="530"/>
      <c r="U86" s="530"/>
      <c r="V86" s="530"/>
      <c r="W86" s="530"/>
      <c r="X86" s="733"/>
      <c r="Y86" s="716"/>
      <c r="Z86" s="716"/>
      <c r="AA86" s="716"/>
      <c r="AB86" s="716"/>
      <c r="AC86" s="716"/>
      <c r="AD86" s="716"/>
      <c r="AE86" s="716"/>
      <c r="AF86" s="716"/>
      <c r="AG86" s="716"/>
      <c r="AH86" s="716"/>
      <c r="AI86" s="716"/>
      <c r="AJ86" s="716"/>
      <c r="AK86" s="716"/>
      <c r="AL86" s="716"/>
      <c r="AM86" s="716"/>
      <c r="AN86" s="716"/>
      <c r="AO86" s="716"/>
      <c r="AP86" s="716"/>
      <c r="AQ86" s="716"/>
      <c r="AR86" s="716"/>
    </row>
    <row r="87">
      <c r="A87" s="716"/>
      <c r="B87" s="530"/>
      <c r="C87" s="530"/>
      <c r="D87" s="530"/>
      <c r="E87" s="530"/>
      <c r="F87" s="530"/>
      <c r="G87" s="530"/>
      <c r="H87" s="530"/>
      <c r="I87" s="530"/>
      <c r="J87" s="530"/>
      <c r="K87" s="530"/>
      <c r="L87" s="530"/>
      <c r="M87" s="530"/>
      <c r="N87" s="530"/>
      <c r="O87" s="530"/>
      <c r="P87" s="530"/>
      <c r="Q87" s="530"/>
      <c r="R87" s="530"/>
      <c r="S87" s="530"/>
      <c r="T87" s="530"/>
      <c r="U87" s="530"/>
      <c r="V87" s="530"/>
      <c r="W87" s="530"/>
      <c r="X87" s="733"/>
      <c r="Y87" s="716"/>
      <c r="Z87" s="716"/>
      <c r="AA87" s="716"/>
      <c r="AB87" s="716"/>
      <c r="AC87" s="716"/>
      <c r="AD87" s="716"/>
      <c r="AE87" s="716"/>
      <c r="AF87" s="716"/>
      <c r="AG87" s="716"/>
      <c r="AH87" s="716"/>
      <c r="AI87" s="716"/>
      <c r="AJ87" s="716"/>
      <c r="AK87" s="716"/>
      <c r="AL87" s="716"/>
      <c r="AM87" s="716"/>
      <c r="AN87" s="716"/>
      <c r="AO87" s="716"/>
      <c r="AP87" s="716"/>
      <c r="AQ87" s="716"/>
      <c r="AR87" s="716"/>
    </row>
    <row r="88">
      <c r="A88" s="716"/>
      <c r="B88" s="530"/>
      <c r="C88" s="530"/>
      <c r="D88" s="530"/>
      <c r="E88" s="530"/>
      <c r="F88" s="530"/>
      <c r="G88" s="530"/>
      <c r="H88" s="530"/>
      <c r="I88" s="530"/>
      <c r="J88" s="530"/>
      <c r="K88" s="530"/>
      <c r="L88" s="530"/>
      <c r="M88" s="530"/>
      <c r="N88" s="530"/>
      <c r="O88" s="530"/>
      <c r="P88" s="530"/>
      <c r="Q88" s="530"/>
      <c r="R88" s="530"/>
      <c r="S88" s="530"/>
      <c r="T88" s="530"/>
      <c r="U88" s="530"/>
      <c r="V88" s="530"/>
      <c r="W88" s="530"/>
      <c r="X88" s="733"/>
      <c r="Y88" s="716"/>
      <c r="Z88" s="716"/>
      <c r="AA88" s="716"/>
      <c r="AB88" s="716"/>
      <c r="AC88" s="716"/>
      <c r="AD88" s="716"/>
      <c r="AE88" s="716"/>
      <c r="AF88" s="716"/>
      <c r="AG88" s="716"/>
      <c r="AH88" s="716"/>
      <c r="AI88" s="716"/>
      <c r="AJ88" s="716"/>
      <c r="AK88" s="716"/>
      <c r="AL88" s="716"/>
      <c r="AM88" s="716"/>
      <c r="AN88" s="716"/>
      <c r="AO88" s="716"/>
      <c r="AP88" s="716"/>
      <c r="AQ88" s="716"/>
      <c r="AR88" s="716"/>
    </row>
    <row r="89">
      <c r="A89" s="716"/>
      <c r="B89" s="530"/>
      <c r="C89" s="530"/>
      <c r="D89" s="530"/>
      <c r="E89" s="530"/>
      <c r="F89" s="530"/>
      <c r="G89" s="530"/>
      <c r="H89" s="530"/>
      <c r="I89" s="530"/>
      <c r="J89" s="530"/>
      <c r="K89" s="530"/>
      <c r="L89" s="530"/>
      <c r="M89" s="530"/>
      <c r="N89" s="530"/>
      <c r="O89" s="530"/>
      <c r="P89" s="530"/>
      <c r="Q89" s="530"/>
      <c r="R89" s="530"/>
      <c r="S89" s="530"/>
      <c r="T89" s="530"/>
      <c r="U89" s="530"/>
      <c r="V89" s="530"/>
      <c r="W89" s="530"/>
      <c r="X89" s="733"/>
      <c r="Y89" s="716"/>
      <c r="Z89" s="716"/>
      <c r="AA89" s="716"/>
      <c r="AB89" s="716"/>
      <c r="AC89" s="716"/>
      <c r="AD89" s="716"/>
      <c r="AE89" s="716"/>
      <c r="AF89" s="716"/>
      <c r="AG89" s="716"/>
      <c r="AH89" s="716"/>
      <c r="AI89" s="716"/>
      <c r="AJ89" s="716"/>
      <c r="AK89" s="716"/>
      <c r="AL89" s="716"/>
      <c r="AM89" s="716"/>
      <c r="AN89" s="716"/>
      <c r="AO89" s="716"/>
      <c r="AP89" s="716"/>
      <c r="AQ89" s="716"/>
      <c r="AR89" s="716"/>
    </row>
    <row r="90">
      <c r="A90" s="716"/>
      <c r="B90" s="530"/>
      <c r="C90" s="530"/>
      <c r="D90" s="530"/>
      <c r="E90" s="530"/>
      <c r="F90" s="530"/>
      <c r="G90" s="530"/>
      <c r="H90" s="530"/>
      <c r="I90" s="530"/>
      <c r="J90" s="530"/>
      <c r="K90" s="530"/>
      <c r="L90" s="530"/>
      <c r="M90" s="530"/>
      <c r="N90" s="530"/>
      <c r="O90" s="530"/>
      <c r="P90" s="530"/>
      <c r="Q90" s="530"/>
      <c r="R90" s="530"/>
      <c r="S90" s="530"/>
      <c r="T90" s="530"/>
      <c r="U90" s="530"/>
      <c r="V90" s="530"/>
      <c r="W90" s="530"/>
      <c r="X90" s="733"/>
      <c r="Y90" s="716"/>
      <c r="Z90" s="716"/>
      <c r="AA90" s="716"/>
      <c r="AB90" s="716"/>
      <c r="AC90" s="716"/>
      <c r="AD90" s="716"/>
      <c r="AE90" s="716"/>
      <c r="AF90" s="716"/>
      <c r="AG90" s="716"/>
      <c r="AH90" s="716"/>
      <c r="AI90" s="716"/>
      <c r="AJ90" s="716"/>
      <c r="AK90" s="716"/>
      <c r="AL90" s="716"/>
      <c r="AM90" s="716"/>
      <c r="AN90" s="716"/>
      <c r="AO90" s="716"/>
      <c r="AP90" s="716"/>
      <c r="AQ90" s="716"/>
      <c r="AR90" s="716"/>
    </row>
    <row r="91">
      <c r="A91" s="716"/>
      <c r="B91" s="530"/>
      <c r="C91" s="530"/>
      <c r="D91" s="530"/>
      <c r="E91" s="530"/>
      <c r="F91" s="530"/>
      <c r="G91" s="530"/>
      <c r="H91" s="530"/>
      <c r="I91" s="530"/>
      <c r="J91" s="530"/>
      <c r="K91" s="530"/>
      <c r="L91" s="530"/>
      <c r="M91" s="530"/>
      <c r="N91" s="530"/>
      <c r="O91" s="530"/>
      <c r="P91" s="530"/>
      <c r="Q91" s="530"/>
      <c r="R91" s="530"/>
      <c r="S91" s="530"/>
      <c r="T91" s="530"/>
      <c r="U91" s="530"/>
      <c r="V91" s="530"/>
      <c r="W91" s="530"/>
      <c r="X91" s="733"/>
      <c r="Y91" s="716"/>
      <c r="Z91" s="716"/>
      <c r="AA91" s="716"/>
      <c r="AB91" s="716"/>
      <c r="AC91" s="716"/>
      <c r="AD91" s="716"/>
      <c r="AE91" s="716"/>
      <c r="AF91" s="716"/>
      <c r="AG91" s="716"/>
      <c r="AH91" s="716"/>
      <c r="AI91" s="716"/>
      <c r="AJ91" s="716"/>
      <c r="AK91" s="716"/>
      <c r="AL91" s="716"/>
      <c r="AM91" s="716"/>
      <c r="AN91" s="716"/>
      <c r="AO91" s="716"/>
      <c r="AP91" s="716"/>
      <c r="AQ91" s="716"/>
      <c r="AR91" s="716"/>
    </row>
    <row r="92">
      <c r="A92" s="716"/>
      <c r="B92" s="530"/>
      <c r="C92" s="530"/>
      <c r="D92" s="530"/>
      <c r="E92" s="530"/>
      <c r="F92" s="530"/>
      <c r="G92" s="530"/>
      <c r="H92" s="530"/>
      <c r="I92" s="530"/>
      <c r="J92" s="530"/>
      <c r="K92" s="530"/>
      <c r="L92" s="530"/>
      <c r="M92" s="530"/>
      <c r="N92" s="530"/>
      <c r="O92" s="530"/>
      <c r="P92" s="530"/>
      <c r="Q92" s="530"/>
      <c r="R92" s="530"/>
      <c r="S92" s="530"/>
      <c r="T92" s="530"/>
      <c r="U92" s="530"/>
      <c r="V92" s="530"/>
      <c r="W92" s="530"/>
      <c r="X92" s="733"/>
      <c r="Y92" s="716"/>
      <c r="Z92" s="716"/>
      <c r="AA92" s="716"/>
      <c r="AB92" s="716"/>
      <c r="AC92" s="716"/>
      <c r="AD92" s="716"/>
      <c r="AE92" s="716"/>
      <c r="AF92" s="716"/>
      <c r="AG92" s="716"/>
      <c r="AH92" s="716"/>
      <c r="AI92" s="716"/>
      <c r="AJ92" s="716"/>
      <c r="AK92" s="716"/>
      <c r="AL92" s="716"/>
      <c r="AM92" s="716"/>
      <c r="AN92" s="716"/>
      <c r="AO92" s="716"/>
      <c r="AP92" s="716"/>
      <c r="AQ92" s="716"/>
      <c r="AR92" s="716"/>
    </row>
    <row r="93">
      <c r="A93" s="716"/>
      <c r="B93" s="530"/>
      <c r="C93" s="530"/>
      <c r="D93" s="530"/>
      <c r="E93" s="530"/>
      <c r="F93" s="530"/>
      <c r="G93" s="530"/>
      <c r="H93" s="530"/>
      <c r="I93" s="530"/>
      <c r="J93" s="530"/>
      <c r="K93" s="530"/>
      <c r="L93" s="530"/>
      <c r="M93" s="530"/>
      <c r="N93" s="530"/>
      <c r="O93" s="530"/>
      <c r="P93" s="530"/>
      <c r="Q93" s="530"/>
      <c r="R93" s="530"/>
      <c r="S93" s="530"/>
      <c r="T93" s="530"/>
      <c r="U93" s="530"/>
      <c r="V93" s="530"/>
      <c r="W93" s="530"/>
      <c r="X93" s="733"/>
      <c r="Y93" s="716"/>
      <c r="Z93" s="716"/>
      <c r="AA93" s="716"/>
      <c r="AB93" s="716"/>
      <c r="AC93" s="716"/>
      <c r="AD93" s="716"/>
      <c r="AE93" s="716"/>
      <c r="AF93" s="716"/>
      <c r="AG93" s="716"/>
      <c r="AH93" s="716"/>
      <c r="AI93" s="716"/>
      <c r="AJ93" s="716"/>
      <c r="AK93" s="716"/>
      <c r="AL93" s="716"/>
      <c r="AM93" s="716"/>
      <c r="AN93" s="716"/>
      <c r="AO93" s="716"/>
      <c r="AP93" s="716"/>
      <c r="AQ93" s="716"/>
      <c r="AR93" s="716"/>
    </row>
    <row r="94">
      <c r="A94" s="716"/>
      <c r="B94" s="530"/>
      <c r="C94" s="530"/>
      <c r="D94" s="530"/>
      <c r="E94" s="530"/>
      <c r="F94" s="530"/>
      <c r="G94" s="530"/>
      <c r="H94" s="530"/>
      <c r="I94" s="530"/>
      <c r="J94" s="530"/>
      <c r="K94" s="530"/>
      <c r="L94" s="530"/>
      <c r="M94" s="530"/>
      <c r="N94" s="530"/>
      <c r="O94" s="530"/>
      <c r="P94" s="530"/>
      <c r="Q94" s="530"/>
      <c r="R94" s="530"/>
      <c r="S94" s="530"/>
      <c r="T94" s="530"/>
      <c r="U94" s="530"/>
      <c r="V94" s="530"/>
      <c r="W94" s="530"/>
      <c r="X94" s="733"/>
      <c r="Y94" s="716"/>
      <c r="Z94" s="716"/>
      <c r="AA94" s="716"/>
      <c r="AB94" s="716"/>
      <c r="AC94" s="716"/>
      <c r="AD94" s="716"/>
      <c r="AE94" s="716"/>
      <c r="AF94" s="716"/>
      <c r="AG94" s="716"/>
      <c r="AH94" s="716"/>
      <c r="AI94" s="716"/>
      <c r="AJ94" s="716"/>
      <c r="AK94" s="716"/>
      <c r="AL94" s="716"/>
      <c r="AM94" s="716"/>
      <c r="AN94" s="716"/>
      <c r="AO94" s="716"/>
      <c r="AP94" s="716"/>
      <c r="AQ94" s="716"/>
      <c r="AR94" s="716"/>
    </row>
    <row r="95">
      <c r="A95" s="716"/>
      <c r="B95" s="530"/>
      <c r="C95" s="530"/>
      <c r="D95" s="530"/>
      <c r="E95" s="530"/>
      <c r="F95" s="530"/>
      <c r="G95" s="530"/>
      <c r="H95" s="530"/>
      <c r="I95" s="530"/>
      <c r="J95" s="530"/>
      <c r="K95" s="530"/>
      <c r="L95" s="530"/>
      <c r="M95" s="530"/>
      <c r="N95" s="530"/>
      <c r="O95" s="530"/>
      <c r="P95" s="530"/>
      <c r="Q95" s="530"/>
      <c r="R95" s="530"/>
      <c r="S95" s="530"/>
      <c r="T95" s="530"/>
      <c r="U95" s="530"/>
      <c r="V95" s="530"/>
      <c r="W95" s="530"/>
      <c r="X95" s="733"/>
      <c r="Y95" s="716"/>
      <c r="Z95" s="716"/>
      <c r="AA95" s="716"/>
      <c r="AB95" s="716"/>
      <c r="AC95" s="716"/>
      <c r="AD95" s="716"/>
      <c r="AE95" s="716"/>
      <c r="AF95" s="716"/>
      <c r="AG95" s="716"/>
      <c r="AH95" s="716"/>
      <c r="AI95" s="716"/>
      <c r="AJ95" s="716"/>
      <c r="AK95" s="716"/>
      <c r="AL95" s="716"/>
      <c r="AM95" s="716"/>
      <c r="AN95" s="716"/>
      <c r="AO95" s="716"/>
      <c r="AP95" s="716"/>
      <c r="AQ95" s="716"/>
      <c r="AR95" s="716"/>
    </row>
    <row r="96">
      <c r="A96" s="716"/>
      <c r="B96" s="530"/>
      <c r="C96" s="530"/>
      <c r="D96" s="530"/>
      <c r="E96" s="530"/>
      <c r="F96" s="530"/>
      <c r="G96" s="530"/>
      <c r="H96" s="530"/>
      <c r="I96" s="530"/>
      <c r="J96" s="530"/>
      <c r="K96" s="530"/>
      <c r="L96" s="530"/>
      <c r="M96" s="530"/>
      <c r="N96" s="530"/>
      <c r="O96" s="530"/>
      <c r="P96" s="530"/>
      <c r="Q96" s="530"/>
      <c r="R96" s="530"/>
      <c r="S96" s="530"/>
      <c r="T96" s="530"/>
      <c r="U96" s="530"/>
      <c r="V96" s="530"/>
      <c r="W96" s="530"/>
      <c r="X96" s="733"/>
      <c r="Y96" s="716"/>
      <c r="Z96" s="716"/>
      <c r="AA96" s="716"/>
      <c r="AB96" s="716"/>
      <c r="AC96" s="716"/>
      <c r="AD96" s="716"/>
      <c r="AE96" s="716"/>
      <c r="AF96" s="716"/>
      <c r="AG96" s="716"/>
      <c r="AH96" s="716"/>
      <c r="AI96" s="716"/>
      <c r="AJ96" s="716"/>
      <c r="AK96" s="716"/>
      <c r="AL96" s="716"/>
      <c r="AM96" s="716"/>
      <c r="AN96" s="716"/>
      <c r="AO96" s="716"/>
      <c r="AP96" s="716"/>
      <c r="AQ96" s="716"/>
      <c r="AR96" s="716"/>
    </row>
    <row r="97">
      <c r="A97" s="716"/>
      <c r="B97" s="530"/>
      <c r="C97" s="530"/>
      <c r="D97" s="530"/>
      <c r="E97" s="530"/>
      <c r="F97" s="530"/>
      <c r="G97" s="530"/>
      <c r="H97" s="530"/>
      <c r="I97" s="530"/>
      <c r="J97" s="530"/>
      <c r="K97" s="530"/>
      <c r="L97" s="530"/>
      <c r="M97" s="530"/>
      <c r="N97" s="530"/>
      <c r="O97" s="530"/>
      <c r="P97" s="530"/>
      <c r="Q97" s="530"/>
      <c r="R97" s="530"/>
      <c r="S97" s="530"/>
      <c r="T97" s="530"/>
      <c r="U97" s="530"/>
      <c r="V97" s="530"/>
      <c r="W97" s="530"/>
      <c r="X97" s="733"/>
      <c r="Y97" s="716"/>
      <c r="Z97" s="716"/>
      <c r="AA97" s="716"/>
      <c r="AB97" s="716"/>
      <c r="AC97" s="716"/>
      <c r="AD97" s="716"/>
      <c r="AE97" s="716"/>
      <c r="AF97" s="716"/>
      <c r="AG97" s="716"/>
      <c r="AH97" s="716"/>
      <c r="AI97" s="716"/>
      <c r="AJ97" s="716"/>
      <c r="AK97" s="716"/>
      <c r="AL97" s="716"/>
      <c r="AM97" s="716"/>
      <c r="AN97" s="716"/>
      <c r="AO97" s="716"/>
      <c r="AP97" s="716"/>
      <c r="AQ97" s="716"/>
      <c r="AR97" s="716"/>
    </row>
    <row r="98">
      <c r="A98" s="716"/>
      <c r="B98" s="530"/>
      <c r="C98" s="530"/>
      <c r="D98" s="530"/>
      <c r="E98" s="530"/>
      <c r="F98" s="530"/>
      <c r="G98" s="530"/>
      <c r="H98" s="530"/>
      <c r="I98" s="530"/>
      <c r="J98" s="530"/>
      <c r="K98" s="530"/>
      <c r="L98" s="530"/>
      <c r="M98" s="530"/>
      <c r="N98" s="530"/>
      <c r="O98" s="530"/>
      <c r="P98" s="530"/>
      <c r="Q98" s="530"/>
      <c r="R98" s="530"/>
      <c r="S98" s="530"/>
      <c r="T98" s="530"/>
      <c r="U98" s="530"/>
      <c r="V98" s="530"/>
      <c r="W98" s="530"/>
      <c r="X98" s="733"/>
      <c r="Y98" s="716"/>
      <c r="Z98" s="716"/>
      <c r="AA98" s="716"/>
      <c r="AB98" s="716"/>
      <c r="AC98" s="716"/>
      <c r="AD98" s="716"/>
      <c r="AE98" s="716"/>
      <c r="AF98" s="716"/>
      <c r="AG98" s="716"/>
      <c r="AH98" s="716"/>
      <c r="AI98" s="716"/>
      <c r="AJ98" s="716"/>
      <c r="AK98" s="716"/>
      <c r="AL98" s="716"/>
      <c r="AM98" s="716"/>
      <c r="AN98" s="716"/>
      <c r="AO98" s="716"/>
      <c r="AP98" s="716"/>
      <c r="AQ98" s="716"/>
      <c r="AR98" s="716"/>
    </row>
    <row r="99">
      <c r="A99" s="716"/>
      <c r="B99" s="530"/>
      <c r="C99" s="530"/>
      <c r="D99" s="530"/>
      <c r="E99" s="530"/>
      <c r="F99" s="530"/>
      <c r="G99" s="530"/>
      <c r="H99" s="530"/>
      <c r="I99" s="530"/>
      <c r="J99" s="530"/>
      <c r="K99" s="530"/>
      <c r="L99" s="530"/>
      <c r="M99" s="530"/>
      <c r="N99" s="530"/>
      <c r="O99" s="530"/>
      <c r="P99" s="530"/>
      <c r="Q99" s="530"/>
      <c r="R99" s="530"/>
      <c r="S99" s="530"/>
      <c r="T99" s="530"/>
      <c r="U99" s="530"/>
      <c r="V99" s="530"/>
      <c r="W99" s="530"/>
      <c r="X99" s="733"/>
      <c r="Y99" s="716"/>
      <c r="Z99" s="716"/>
      <c r="AA99" s="716"/>
      <c r="AB99" s="716"/>
      <c r="AC99" s="716"/>
      <c r="AD99" s="716"/>
      <c r="AE99" s="716"/>
      <c r="AF99" s="716"/>
      <c r="AG99" s="716"/>
      <c r="AH99" s="716"/>
      <c r="AI99" s="716"/>
      <c r="AJ99" s="716"/>
      <c r="AK99" s="716"/>
      <c r="AL99" s="716"/>
      <c r="AM99" s="716"/>
      <c r="AN99" s="716"/>
      <c r="AO99" s="716"/>
      <c r="AP99" s="716"/>
      <c r="AQ99" s="716"/>
      <c r="AR99" s="716"/>
    </row>
    <row r="100">
      <c r="A100" s="716"/>
      <c r="B100" s="530"/>
      <c r="C100" s="530"/>
      <c r="D100" s="530"/>
      <c r="E100" s="530"/>
      <c r="F100" s="530"/>
      <c r="G100" s="530"/>
      <c r="H100" s="530"/>
      <c r="I100" s="530"/>
      <c r="J100" s="530"/>
      <c r="K100" s="530"/>
      <c r="L100" s="530"/>
      <c r="M100" s="530"/>
      <c r="N100" s="530"/>
      <c r="O100" s="530"/>
      <c r="P100" s="530"/>
      <c r="Q100" s="530"/>
      <c r="R100" s="530"/>
      <c r="S100" s="530"/>
      <c r="T100" s="530"/>
      <c r="U100" s="530"/>
      <c r="V100" s="530"/>
      <c r="W100" s="530"/>
      <c r="X100" s="733"/>
      <c r="Y100" s="716"/>
      <c r="Z100" s="716"/>
      <c r="AA100" s="716"/>
      <c r="AB100" s="716"/>
      <c r="AC100" s="716"/>
      <c r="AD100" s="716"/>
      <c r="AE100" s="716"/>
      <c r="AF100" s="716"/>
      <c r="AG100" s="716"/>
      <c r="AH100" s="716"/>
      <c r="AI100" s="716"/>
      <c r="AJ100" s="716"/>
      <c r="AK100" s="716"/>
      <c r="AL100" s="716"/>
      <c r="AM100" s="716"/>
      <c r="AN100" s="716"/>
      <c r="AO100" s="716"/>
      <c r="AP100" s="716"/>
      <c r="AQ100" s="716"/>
      <c r="AR100" s="716"/>
    </row>
    <row r="101">
      <c r="A101" s="716"/>
      <c r="B101" s="530"/>
      <c r="C101" s="530"/>
      <c r="D101" s="530"/>
      <c r="E101" s="530"/>
      <c r="F101" s="530"/>
      <c r="G101" s="530"/>
      <c r="H101" s="530"/>
      <c r="I101" s="530"/>
      <c r="J101" s="530"/>
      <c r="K101" s="530"/>
      <c r="L101" s="530"/>
      <c r="M101" s="530"/>
      <c r="N101" s="530"/>
      <c r="O101" s="530"/>
      <c r="P101" s="530"/>
      <c r="Q101" s="530"/>
      <c r="R101" s="530"/>
      <c r="S101" s="530"/>
      <c r="T101" s="530"/>
      <c r="U101" s="530"/>
      <c r="V101" s="530"/>
      <c r="W101" s="530"/>
      <c r="X101" s="733"/>
      <c r="Y101" s="716"/>
      <c r="Z101" s="716"/>
      <c r="AA101" s="716"/>
      <c r="AB101" s="716"/>
      <c r="AC101" s="716"/>
      <c r="AD101" s="716"/>
      <c r="AE101" s="716"/>
      <c r="AF101" s="716"/>
      <c r="AG101" s="716"/>
      <c r="AH101" s="716"/>
      <c r="AI101" s="716"/>
      <c r="AJ101" s="716"/>
      <c r="AK101" s="716"/>
      <c r="AL101" s="716"/>
      <c r="AM101" s="716"/>
      <c r="AN101" s="716"/>
      <c r="AO101" s="716"/>
      <c r="AP101" s="716"/>
      <c r="AQ101" s="716"/>
      <c r="AR101" s="716"/>
    </row>
    <row r="102">
      <c r="A102" s="716"/>
      <c r="B102" s="530"/>
      <c r="C102" s="530"/>
      <c r="D102" s="530"/>
      <c r="E102" s="530"/>
      <c r="F102" s="530"/>
      <c r="G102" s="530"/>
      <c r="H102" s="530"/>
      <c r="I102" s="530"/>
      <c r="J102" s="530"/>
      <c r="K102" s="530"/>
      <c r="L102" s="530"/>
      <c r="M102" s="530"/>
      <c r="N102" s="530"/>
      <c r="O102" s="530"/>
      <c r="P102" s="530"/>
      <c r="Q102" s="530"/>
      <c r="R102" s="530"/>
      <c r="S102" s="530"/>
      <c r="T102" s="530"/>
      <c r="U102" s="530"/>
      <c r="V102" s="530"/>
      <c r="W102" s="530"/>
      <c r="X102" s="733"/>
      <c r="Y102" s="716"/>
      <c r="Z102" s="716"/>
      <c r="AA102" s="716"/>
      <c r="AB102" s="716"/>
      <c r="AC102" s="716"/>
      <c r="AD102" s="716"/>
      <c r="AE102" s="716"/>
      <c r="AF102" s="716"/>
      <c r="AG102" s="716"/>
      <c r="AH102" s="716"/>
      <c r="AI102" s="716"/>
      <c r="AJ102" s="716"/>
      <c r="AK102" s="716"/>
      <c r="AL102" s="716"/>
      <c r="AM102" s="716"/>
      <c r="AN102" s="716"/>
      <c r="AO102" s="716"/>
      <c r="AP102" s="716"/>
      <c r="AQ102" s="716"/>
      <c r="AR102" s="716"/>
    </row>
    <row r="103">
      <c r="A103" s="716"/>
      <c r="B103" s="530"/>
      <c r="C103" s="530"/>
      <c r="D103" s="530"/>
      <c r="E103" s="530"/>
      <c r="F103" s="530"/>
      <c r="G103" s="530"/>
      <c r="H103" s="530"/>
      <c r="I103" s="530"/>
      <c r="J103" s="530"/>
      <c r="K103" s="530"/>
      <c r="L103" s="530"/>
      <c r="M103" s="530"/>
      <c r="N103" s="530"/>
      <c r="O103" s="530"/>
      <c r="P103" s="530"/>
      <c r="Q103" s="530"/>
      <c r="R103" s="530"/>
      <c r="S103" s="530"/>
      <c r="T103" s="530"/>
      <c r="U103" s="530"/>
      <c r="V103" s="530"/>
      <c r="W103" s="530"/>
      <c r="X103" s="733"/>
      <c r="Y103" s="716"/>
      <c r="Z103" s="716"/>
      <c r="AA103" s="716"/>
      <c r="AB103" s="716"/>
      <c r="AC103" s="716"/>
      <c r="AD103" s="716"/>
      <c r="AE103" s="716"/>
      <c r="AF103" s="716"/>
      <c r="AG103" s="716"/>
      <c r="AH103" s="716"/>
      <c r="AI103" s="716"/>
      <c r="AJ103" s="716"/>
      <c r="AK103" s="716"/>
      <c r="AL103" s="716"/>
      <c r="AM103" s="716"/>
      <c r="AN103" s="716"/>
      <c r="AO103" s="716"/>
      <c r="AP103" s="716"/>
      <c r="AQ103" s="716"/>
      <c r="AR103" s="716"/>
    </row>
    <row r="104">
      <c r="A104" s="716"/>
      <c r="B104" s="530"/>
      <c r="C104" s="530"/>
      <c r="D104" s="530"/>
      <c r="E104" s="530"/>
      <c r="F104" s="530"/>
      <c r="G104" s="530"/>
      <c r="H104" s="530"/>
      <c r="I104" s="530"/>
      <c r="J104" s="530"/>
      <c r="K104" s="530"/>
      <c r="L104" s="530"/>
      <c r="M104" s="530"/>
      <c r="N104" s="530"/>
      <c r="O104" s="530"/>
      <c r="P104" s="530"/>
      <c r="Q104" s="530"/>
      <c r="R104" s="530"/>
      <c r="S104" s="530"/>
      <c r="T104" s="530"/>
      <c r="U104" s="530"/>
      <c r="V104" s="530"/>
      <c r="W104" s="530"/>
      <c r="X104" s="733"/>
      <c r="Y104" s="716"/>
      <c r="Z104" s="716"/>
      <c r="AA104" s="716"/>
      <c r="AB104" s="716"/>
      <c r="AC104" s="716"/>
      <c r="AD104" s="716"/>
      <c r="AE104" s="716"/>
      <c r="AF104" s="716"/>
      <c r="AG104" s="716"/>
      <c r="AH104" s="716"/>
      <c r="AI104" s="716"/>
      <c r="AJ104" s="716"/>
      <c r="AK104" s="716"/>
      <c r="AL104" s="716"/>
      <c r="AM104" s="716"/>
      <c r="AN104" s="716"/>
      <c r="AO104" s="716"/>
      <c r="AP104" s="716"/>
      <c r="AQ104" s="716"/>
      <c r="AR104" s="716"/>
    </row>
    <row r="105">
      <c r="A105" s="716"/>
      <c r="B105" s="530"/>
      <c r="C105" s="530"/>
      <c r="D105" s="530"/>
      <c r="E105" s="530"/>
      <c r="F105" s="530"/>
      <c r="G105" s="530"/>
      <c r="H105" s="530"/>
      <c r="I105" s="530"/>
      <c r="J105" s="530"/>
      <c r="K105" s="530"/>
      <c r="L105" s="530"/>
      <c r="M105" s="530"/>
      <c r="N105" s="530"/>
      <c r="O105" s="530"/>
      <c r="P105" s="530"/>
      <c r="Q105" s="530"/>
      <c r="R105" s="530"/>
      <c r="S105" s="530"/>
      <c r="T105" s="530"/>
      <c r="U105" s="530"/>
      <c r="V105" s="530"/>
      <c r="W105" s="530"/>
      <c r="X105" s="733"/>
      <c r="Y105" s="716"/>
      <c r="Z105" s="716"/>
      <c r="AA105" s="716"/>
      <c r="AB105" s="716"/>
      <c r="AC105" s="716"/>
      <c r="AD105" s="716"/>
      <c r="AE105" s="716"/>
      <c r="AF105" s="716"/>
      <c r="AG105" s="716"/>
      <c r="AH105" s="716"/>
      <c r="AI105" s="716"/>
      <c r="AJ105" s="716"/>
      <c r="AK105" s="716"/>
      <c r="AL105" s="716"/>
      <c r="AM105" s="716"/>
      <c r="AN105" s="716"/>
      <c r="AO105" s="716"/>
      <c r="AP105" s="716"/>
      <c r="AQ105" s="716"/>
      <c r="AR105" s="716"/>
    </row>
    <row r="106">
      <c r="A106" s="716"/>
      <c r="B106" s="530"/>
      <c r="C106" s="530"/>
      <c r="D106" s="530"/>
      <c r="E106" s="530"/>
      <c r="F106" s="530"/>
      <c r="G106" s="530"/>
      <c r="H106" s="530"/>
      <c r="I106" s="530"/>
      <c r="J106" s="530"/>
      <c r="K106" s="530"/>
      <c r="L106" s="530"/>
      <c r="M106" s="530"/>
      <c r="N106" s="530"/>
      <c r="O106" s="530"/>
      <c r="P106" s="530"/>
      <c r="Q106" s="530"/>
      <c r="R106" s="530"/>
      <c r="S106" s="530"/>
      <c r="T106" s="530"/>
      <c r="U106" s="530"/>
      <c r="V106" s="530"/>
      <c r="W106" s="530"/>
      <c r="X106" s="733"/>
      <c r="Y106" s="716"/>
      <c r="Z106" s="716"/>
      <c r="AA106" s="716"/>
      <c r="AB106" s="716"/>
      <c r="AC106" s="716"/>
      <c r="AD106" s="716"/>
      <c r="AE106" s="716"/>
      <c r="AF106" s="716"/>
      <c r="AG106" s="716"/>
      <c r="AH106" s="716"/>
      <c r="AI106" s="716"/>
      <c r="AJ106" s="716"/>
      <c r="AK106" s="716"/>
      <c r="AL106" s="716"/>
      <c r="AM106" s="716"/>
      <c r="AN106" s="716"/>
      <c r="AO106" s="716"/>
      <c r="AP106" s="716"/>
      <c r="AQ106" s="716"/>
      <c r="AR106" s="716"/>
    </row>
    <row r="107">
      <c r="A107" s="716"/>
      <c r="B107" s="530"/>
      <c r="C107" s="530"/>
      <c r="D107" s="530"/>
      <c r="E107" s="530"/>
      <c r="F107" s="530"/>
      <c r="G107" s="530"/>
      <c r="H107" s="530"/>
      <c r="I107" s="530"/>
      <c r="J107" s="530"/>
      <c r="K107" s="530"/>
      <c r="L107" s="530"/>
      <c r="M107" s="530"/>
      <c r="N107" s="530"/>
      <c r="O107" s="530"/>
      <c r="P107" s="530"/>
      <c r="Q107" s="530"/>
      <c r="R107" s="530"/>
      <c r="S107" s="530"/>
      <c r="T107" s="530"/>
      <c r="U107" s="530"/>
      <c r="V107" s="530"/>
      <c r="W107" s="530"/>
      <c r="X107" s="733"/>
      <c r="Y107" s="716"/>
      <c r="Z107" s="716"/>
      <c r="AA107" s="716"/>
      <c r="AB107" s="716"/>
      <c r="AC107" s="716"/>
      <c r="AD107" s="716"/>
      <c r="AE107" s="716"/>
      <c r="AF107" s="716"/>
      <c r="AG107" s="716"/>
      <c r="AH107" s="716"/>
      <c r="AI107" s="716"/>
      <c r="AJ107" s="716"/>
      <c r="AK107" s="716"/>
      <c r="AL107" s="716"/>
      <c r="AM107" s="716"/>
      <c r="AN107" s="716"/>
      <c r="AO107" s="716"/>
      <c r="AP107" s="716"/>
      <c r="AQ107" s="716"/>
      <c r="AR107" s="716"/>
    </row>
    <row r="108">
      <c r="A108" s="716"/>
      <c r="B108" s="530"/>
      <c r="C108" s="530"/>
      <c r="D108" s="530"/>
      <c r="E108" s="530"/>
      <c r="F108" s="530"/>
      <c r="G108" s="530"/>
      <c r="H108" s="530"/>
      <c r="I108" s="530"/>
      <c r="J108" s="530"/>
      <c r="K108" s="530"/>
      <c r="L108" s="530"/>
      <c r="M108" s="530"/>
      <c r="N108" s="530"/>
      <c r="O108" s="530"/>
      <c r="P108" s="530"/>
      <c r="Q108" s="530"/>
      <c r="R108" s="530"/>
      <c r="S108" s="530"/>
      <c r="T108" s="530"/>
      <c r="U108" s="530"/>
      <c r="V108" s="530"/>
      <c r="W108" s="530"/>
      <c r="X108" s="733"/>
      <c r="Y108" s="716"/>
      <c r="Z108" s="716"/>
      <c r="AA108" s="716"/>
      <c r="AB108" s="716"/>
      <c r="AC108" s="716"/>
      <c r="AD108" s="716"/>
      <c r="AE108" s="716"/>
      <c r="AF108" s="716"/>
      <c r="AG108" s="716"/>
      <c r="AH108" s="716"/>
      <c r="AI108" s="716"/>
      <c r="AJ108" s="716"/>
      <c r="AK108" s="716"/>
      <c r="AL108" s="716"/>
      <c r="AM108" s="716"/>
      <c r="AN108" s="716"/>
      <c r="AO108" s="716"/>
      <c r="AP108" s="716"/>
      <c r="AQ108" s="716"/>
      <c r="AR108" s="716"/>
    </row>
    <row r="109">
      <c r="A109" s="716"/>
      <c r="B109" s="530"/>
      <c r="C109" s="530"/>
      <c r="D109" s="530"/>
      <c r="E109" s="530"/>
      <c r="F109" s="530"/>
      <c r="G109" s="530"/>
      <c r="H109" s="530"/>
      <c r="I109" s="530"/>
      <c r="J109" s="530"/>
      <c r="K109" s="530"/>
      <c r="L109" s="530"/>
      <c r="M109" s="530"/>
      <c r="N109" s="530"/>
      <c r="O109" s="530"/>
      <c r="P109" s="530"/>
      <c r="Q109" s="530"/>
      <c r="R109" s="530"/>
      <c r="S109" s="530"/>
      <c r="T109" s="530"/>
      <c r="U109" s="530"/>
      <c r="V109" s="530"/>
      <c r="W109" s="530"/>
      <c r="X109" s="733"/>
      <c r="Y109" s="716"/>
      <c r="Z109" s="716"/>
      <c r="AA109" s="716"/>
      <c r="AB109" s="716"/>
      <c r="AC109" s="716"/>
      <c r="AD109" s="716"/>
      <c r="AE109" s="716"/>
      <c r="AF109" s="716"/>
      <c r="AG109" s="716"/>
      <c r="AH109" s="716"/>
      <c r="AI109" s="716"/>
      <c r="AJ109" s="716"/>
      <c r="AK109" s="716"/>
      <c r="AL109" s="716"/>
      <c r="AM109" s="716"/>
      <c r="AN109" s="716"/>
      <c r="AO109" s="716"/>
      <c r="AP109" s="716"/>
      <c r="AQ109" s="716"/>
      <c r="AR109" s="716"/>
    </row>
    <row r="110">
      <c r="A110" s="716"/>
      <c r="B110" s="530"/>
      <c r="C110" s="530"/>
      <c r="D110" s="530"/>
      <c r="E110" s="530"/>
      <c r="F110" s="530"/>
      <c r="G110" s="530"/>
      <c r="H110" s="530"/>
      <c r="I110" s="530"/>
      <c r="J110" s="530"/>
      <c r="K110" s="530"/>
      <c r="L110" s="530"/>
      <c r="M110" s="530"/>
      <c r="N110" s="530"/>
      <c r="O110" s="530"/>
      <c r="P110" s="530"/>
      <c r="Q110" s="530"/>
      <c r="R110" s="530"/>
      <c r="S110" s="530"/>
      <c r="T110" s="530"/>
      <c r="U110" s="530"/>
      <c r="V110" s="530"/>
      <c r="W110" s="530"/>
      <c r="X110" s="733"/>
      <c r="Y110" s="716"/>
      <c r="Z110" s="716"/>
      <c r="AA110" s="716"/>
      <c r="AB110" s="716"/>
      <c r="AC110" s="716"/>
      <c r="AD110" s="716"/>
      <c r="AE110" s="716"/>
      <c r="AF110" s="716"/>
      <c r="AG110" s="716"/>
      <c r="AH110" s="716"/>
      <c r="AI110" s="716"/>
      <c r="AJ110" s="716"/>
      <c r="AK110" s="716"/>
      <c r="AL110" s="716"/>
      <c r="AM110" s="716"/>
      <c r="AN110" s="716"/>
      <c r="AO110" s="716"/>
      <c r="AP110" s="716"/>
      <c r="AQ110" s="716"/>
      <c r="AR110" s="716"/>
    </row>
    <row r="111">
      <c r="A111" s="716"/>
      <c r="B111" s="530"/>
      <c r="C111" s="530"/>
      <c r="D111" s="530"/>
      <c r="E111" s="530"/>
      <c r="F111" s="530"/>
      <c r="G111" s="530"/>
      <c r="H111" s="530"/>
      <c r="I111" s="530"/>
      <c r="J111" s="530"/>
      <c r="K111" s="530"/>
      <c r="L111" s="530"/>
      <c r="M111" s="530"/>
      <c r="N111" s="530"/>
      <c r="O111" s="530"/>
      <c r="P111" s="530"/>
      <c r="Q111" s="530"/>
      <c r="R111" s="530"/>
      <c r="S111" s="530"/>
      <c r="T111" s="530"/>
      <c r="U111" s="530"/>
      <c r="V111" s="530"/>
      <c r="W111" s="530"/>
      <c r="X111" s="733"/>
      <c r="Y111" s="716"/>
      <c r="Z111" s="716"/>
      <c r="AA111" s="716"/>
      <c r="AB111" s="716"/>
      <c r="AC111" s="716"/>
      <c r="AD111" s="716"/>
      <c r="AE111" s="716"/>
      <c r="AF111" s="716"/>
      <c r="AG111" s="716"/>
      <c r="AH111" s="716"/>
      <c r="AI111" s="716"/>
      <c r="AJ111" s="716"/>
      <c r="AK111" s="716"/>
      <c r="AL111" s="716"/>
      <c r="AM111" s="716"/>
      <c r="AN111" s="716"/>
      <c r="AO111" s="716"/>
      <c r="AP111" s="716"/>
      <c r="AQ111" s="716"/>
      <c r="AR111" s="716"/>
    </row>
    <row r="112">
      <c r="A112" s="716"/>
      <c r="B112" s="530"/>
      <c r="C112" s="530"/>
      <c r="D112" s="530"/>
      <c r="E112" s="530"/>
      <c r="F112" s="530"/>
      <c r="G112" s="530"/>
      <c r="H112" s="530"/>
      <c r="I112" s="530"/>
      <c r="J112" s="530"/>
      <c r="K112" s="530"/>
      <c r="L112" s="530"/>
      <c r="M112" s="530"/>
      <c r="N112" s="530"/>
      <c r="O112" s="530"/>
      <c r="P112" s="530"/>
      <c r="Q112" s="530"/>
      <c r="R112" s="530"/>
      <c r="S112" s="530"/>
      <c r="T112" s="530"/>
      <c r="U112" s="530"/>
      <c r="V112" s="530"/>
      <c r="W112" s="530"/>
      <c r="X112" s="733"/>
      <c r="Y112" s="716"/>
      <c r="Z112" s="716"/>
      <c r="AA112" s="716"/>
      <c r="AB112" s="716"/>
      <c r="AC112" s="716"/>
      <c r="AD112" s="716"/>
      <c r="AE112" s="716"/>
      <c r="AF112" s="716"/>
      <c r="AG112" s="716"/>
      <c r="AH112" s="716"/>
      <c r="AI112" s="716"/>
      <c r="AJ112" s="716"/>
      <c r="AK112" s="716"/>
      <c r="AL112" s="716"/>
      <c r="AM112" s="716"/>
      <c r="AN112" s="716"/>
      <c r="AO112" s="716"/>
      <c r="AP112" s="716"/>
      <c r="AQ112" s="716"/>
      <c r="AR112" s="716"/>
    </row>
    <row r="113">
      <c r="A113" s="716"/>
      <c r="B113" s="530"/>
      <c r="C113" s="530"/>
      <c r="D113" s="530"/>
      <c r="E113" s="530"/>
      <c r="F113" s="530"/>
      <c r="G113" s="530"/>
      <c r="H113" s="530"/>
      <c r="I113" s="530"/>
      <c r="J113" s="530"/>
      <c r="K113" s="530"/>
      <c r="L113" s="530"/>
      <c r="M113" s="530"/>
      <c r="N113" s="530"/>
      <c r="O113" s="530"/>
      <c r="P113" s="530"/>
      <c r="Q113" s="530"/>
      <c r="R113" s="530"/>
      <c r="S113" s="530"/>
      <c r="T113" s="530"/>
      <c r="U113" s="530"/>
      <c r="V113" s="530"/>
      <c r="W113" s="530"/>
      <c r="X113" s="733"/>
      <c r="Y113" s="716"/>
      <c r="Z113" s="716"/>
      <c r="AA113" s="716"/>
      <c r="AB113" s="716"/>
      <c r="AC113" s="716"/>
      <c r="AD113" s="716"/>
      <c r="AE113" s="716"/>
      <c r="AF113" s="716"/>
      <c r="AG113" s="716"/>
      <c r="AH113" s="716"/>
      <c r="AI113" s="716"/>
      <c r="AJ113" s="716"/>
      <c r="AK113" s="716"/>
      <c r="AL113" s="716"/>
      <c r="AM113" s="716"/>
      <c r="AN113" s="716"/>
      <c r="AO113" s="716"/>
      <c r="AP113" s="716"/>
      <c r="AQ113" s="716"/>
      <c r="AR113" s="716"/>
    </row>
    <row r="114">
      <c r="A114" s="716"/>
      <c r="B114" s="530"/>
      <c r="C114" s="530"/>
      <c r="D114" s="530"/>
      <c r="E114" s="530"/>
      <c r="F114" s="530"/>
      <c r="G114" s="530"/>
      <c r="H114" s="530"/>
      <c r="I114" s="530"/>
      <c r="J114" s="530"/>
      <c r="K114" s="530"/>
      <c r="L114" s="530"/>
      <c r="M114" s="530"/>
      <c r="N114" s="530"/>
      <c r="O114" s="530"/>
      <c r="P114" s="530"/>
      <c r="Q114" s="530"/>
      <c r="R114" s="530"/>
      <c r="S114" s="530"/>
      <c r="T114" s="530"/>
      <c r="U114" s="530"/>
      <c r="V114" s="530"/>
      <c r="W114" s="530"/>
      <c r="X114" s="733"/>
      <c r="Y114" s="716"/>
      <c r="Z114" s="716"/>
      <c r="AA114" s="716"/>
      <c r="AB114" s="716"/>
      <c r="AC114" s="716"/>
      <c r="AD114" s="716"/>
      <c r="AE114" s="716"/>
      <c r="AF114" s="716"/>
      <c r="AG114" s="716"/>
      <c r="AH114" s="716"/>
      <c r="AI114" s="716"/>
      <c r="AJ114" s="716"/>
      <c r="AK114" s="716"/>
      <c r="AL114" s="716"/>
      <c r="AM114" s="716"/>
      <c r="AN114" s="716"/>
      <c r="AO114" s="716"/>
      <c r="AP114" s="716"/>
      <c r="AQ114" s="716"/>
      <c r="AR114" s="716"/>
    </row>
    <row r="115">
      <c r="A115" s="716"/>
      <c r="B115" s="530"/>
      <c r="C115" s="530"/>
      <c r="D115" s="530"/>
      <c r="E115" s="530"/>
      <c r="F115" s="530"/>
      <c r="G115" s="530"/>
      <c r="H115" s="530"/>
      <c r="I115" s="530"/>
      <c r="J115" s="530"/>
      <c r="K115" s="530"/>
      <c r="L115" s="530"/>
      <c r="M115" s="530"/>
      <c r="N115" s="530"/>
      <c r="O115" s="530"/>
      <c r="P115" s="530"/>
      <c r="Q115" s="530"/>
      <c r="R115" s="530"/>
      <c r="S115" s="530"/>
      <c r="T115" s="530"/>
      <c r="U115" s="530"/>
      <c r="V115" s="530"/>
      <c r="W115" s="530"/>
      <c r="X115" s="733"/>
      <c r="Y115" s="716"/>
      <c r="Z115" s="716"/>
      <c r="AA115" s="716"/>
      <c r="AB115" s="716"/>
      <c r="AC115" s="716"/>
      <c r="AD115" s="716"/>
      <c r="AE115" s="716"/>
      <c r="AF115" s="716"/>
      <c r="AG115" s="716"/>
      <c r="AH115" s="716"/>
      <c r="AI115" s="716"/>
      <c r="AJ115" s="716"/>
      <c r="AK115" s="716"/>
      <c r="AL115" s="716"/>
      <c r="AM115" s="716"/>
      <c r="AN115" s="716"/>
      <c r="AO115" s="716"/>
      <c r="AP115" s="716"/>
      <c r="AQ115" s="716"/>
      <c r="AR115" s="716"/>
    </row>
    <row r="116">
      <c r="A116" s="716"/>
      <c r="B116" s="530"/>
      <c r="C116" s="530"/>
      <c r="D116" s="530"/>
      <c r="E116" s="530"/>
      <c r="F116" s="530"/>
      <c r="G116" s="530"/>
      <c r="H116" s="530"/>
      <c r="I116" s="530"/>
      <c r="J116" s="530"/>
      <c r="K116" s="530"/>
      <c r="L116" s="530"/>
      <c r="M116" s="530"/>
      <c r="N116" s="530"/>
      <c r="O116" s="530"/>
      <c r="P116" s="530"/>
      <c r="Q116" s="530"/>
      <c r="R116" s="530"/>
      <c r="S116" s="530"/>
      <c r="T116" s="530"/>
      <c r="U116" s="530"/>
      <c r="V116" s="530"/>
      <c r="W116" s="530"/>
      <c r="X116" s="733"/>
      <c r="Y116" s="716"/>
      <c r="Z116" s="716"/>
      <c r="AA116" s="716"/>
      <c r="AB116" s="716"/>
      <c r="AC116" s="716"/>
      <c r="AD116" s="716"/>
      <c r="AE116" s="716"/>
      <c r="AF116" s="716"/>
      <c r="AG116" s="716"/>
      <c r="AH116" s="716"/>
      <c r="AI116" s="716"/>
      <c r="AJ116" s="716"/>
      <c r="AK116" s="716"/>
      <c r="AL116" s="716"/>
      <c r="AM116" s="716"/>
      <c r="AN116" s="716"/>
      <c r="AO116" s="716"/>
      <c r="AP116" s="716"/>
      <c r="AQ116" s="716"/>
      <c r="AR116" s="716"/>
    </row>
    <row r="117">
      <c r="A117" s="716"/>
      <c r="B117" s="530"/>
      <c r="C117" s="530"/>
      <c r="D117" s="530"/>
      <c r="E117" s="530"/>
      <c r="F117" s="530"/>
      <c r="G117" s="530"/>
      <c r="H117" s="530"/>
      <c r="I117" s="530"/>
      <c r="J117" s="530"/>
      <c r="K117" s="530"/>
      <c r="L117" s="530"/>
      <c r="M117" s="530"/>
      <c r="N117" s="530"/>
      <c r="O117" s="530"/>
      <c r="P117" s="530"/>
      <c r="Q117" s="530"/>
      <c r="R117" s="530"/>
      <c r="S117" s="530"/>
      <c r="T117" s="530"/>
      <c r="U117" s="530"/>
      <c r="V117" s="530"/>
      <c r="W117" s="530"/>
      <c r="X117" s="733"/>
      <c r="Y117" s="716"/>
      <c r="Z117" s="716"/>
      <c r="AA117" s="716"/>
      <c r="AB117" s="716"/>
      <c r="AC117" s="716"/>
      <c r="AD117" s="716"/>
      <c r="AE117" s="716"/>
      <c r="AF117" s="716"/>
      <c r="AG117" s="716"/>
      <c r="AH117" s="716"/>
      <c r="AI117" s="716"/>
      <c r="AJ117" s="716"/>
      <c r="AK117" s="716"/>
      <c r="AL117" s="716"/>
      <c r="AM117" s="716"/>
      <c r="AN117" s="716"/>
      <c r="AO117" s="716"/>
      <c r="AP117" s="716"/>
      <c r="AQ117" s="716"/>
      <c r="AR117" s="716"/>
    </row>
    <row r="118">
      <c r="A118" s="716"/>
      <c r="B118" s="530"/>
      <c r="C118" s="530"/>
      <c r="D118" s="530"/>
      <c r="E118" s="530"/>
      <c r="F118" s="530"/>
      <c r="G118" s="530"/>
      <c r="H118" s="530"/>
      <c r="I118" s="530"/>
      <c r="J118" s="530"/>
      <c r="K118" s="530"/>
      <c r="L118" s="530"/>
      <c r="M118" s="530"/>
      <c r="N118" s="530"/>
      <c r="O118" s="530"/>
      <c r="P118" s="530"/>
      <c r="Q118" s="530"/>
      <c r="R118" s="530"/>
      <c r="S118" s="530"/>
      <c r="T118" s="530"/>
      <c r="U118" s="530"/>
      <c r="V118" s="530"/>
      <c r="W118" s="530"/>
      <c r="X118" s="733"/>
      <c r="Y118" s="716"/>
      <c r="Z118" s="716"/>
      <c r="AA118" s="716"/>
      <c r="AB118" s="716"/>
      <c r="AC118" s="716"/>
      <c r="AD118" s="716"/>
      <c r="AE118" s="716"/>
      <c r="AF118" s="716"/>
      <c r="AG118" s="716"/>
      <c r="AH118" s="716"/>
      <c r="AI118" s="716"/>
      <c r="AJ118" s="716"/>
      <c r="AK118" s="716"/>
      <c r="AL118" s="716"/>
      <c r="AM118" s="716"/>
      <c r="AN118" s="716"/>
      <c r="AO118" s="716"/>
      <c r="AP118" s="716"/>
      <c r="AQ118" s="716"/>
      <c r="AR118" s="716"/>
    </row>
    <row r="119">
      <c r="A119" s="716"/>
      <c r="B119" s="530"/>
      <c r="C119" s="530"/>
      <c r="D119" s="530"/>
      <c r="E119" s="530"/>
      <c r="F119" s="530"/>
      <c r="G119" s="530"/>
      <c r="H119" s="530"/>
      <c r="I119" s="530"/>
      <c r="J119" s="530"/>
      <c r="K119" s="530"/>
      <c r="L119" s="530"/>
      <c r="M119" s="530"/>
      <c r="N119" s="530"/>
      <c r="O119" s="530"/>
      <c r="P119" s="530"/>
      <c r="Q119" s="530"/>
      <c r="R119" s="530"/>
      <c r="S119" s="530"/>
      <c r="T119" s="530"/>
      <c r="U119" s="530"/>
      <c r="V119" s="530"/>
      <c r="W119" s="530"/>
      <c r="X119" s="733"/>
      <c r="Y119" s="716"/>
      <c r="Z119" s="716"/>
      <c r="AA119" s="716"/>
      <c r="AB119" s="716"/>
      <c r="AC119" s="716"/>
      <c r="AD119" s="716"/>
      <c r="AE119" s="716"/>
      <c r="AF119" s="716"/>
      <c r="AG119" s="716"/>
      <c r="AH119" s="716"/>
      <c r="AI119" s="716"/>
      <c r="AJ119" s="716"/>
      <c r="AK119" s="716"/>
      <c r="AL119" s="716"/>
      <c r="AM119" s="716"/>
      <c r="AN119" s="716"/>
      <c r="AO119" s="716"/>
      <c r="AP119" s="716"/>
      <c r="AQ119" s="716"/>
      <c r="AR119" s="716"/>
    </row>
    <row r="120">
      <c r="A120" s="716"/>
      <c r="B120" s="530"/>
      <c r="C120" s="530"/>
      <c r="D120" s="530"/>
      <c r="E120" s="530"/>
      <c r="F120" s="530"/>
      <c r="G120" s="530"/>
      <c r="H120" s="530"/>
      <c r="I120" s="530"/>
      <c r="J120" s="530"/>
      <c r="K120" s="530"/>
      <c r="L120" s="530"/>
      <c r="M120" s="530"/>
      <c r="N120" s="530"/>
      <c r="O120" s="530"/>
      <c r="P120" s="530"/>
      <c r="Q120" s="530"/>
      <c r="R120" s="530"/>
      <c r="S120" s="530"/>
      <c r="T120" s="530"/>
      <c r="U120" s="530"/>
      <c r="V120" s="530"/>
      <c r="W120" s="530"/>
      <c r="X120" s="733"/>
      <c r="Y120" s="716"/>
      <c r="Z120" s="716"/>
      <c r="AA120" s="716"/>
      <c r="AB120" s="716"/>
      <c r="AC120" s="716"/>
      <c r="AD120" s="716"/>
      <c r="AE120" s="716"/>
      <c r="AF120" s="716"/>
      <c r="AG120" s="716"/>
      <c r="AH120" s="716"/>
      <c r="AI120" s="716"/>
      <c r="AJ120" s="716"/>
      <c r="AK120" s="716"/>
      <c r="AL120" s="716"/>
      <c r="AM120" s="716"/>
      <c r="AN120" s="716"/>
      <c r="AO120" s="716"/>
      <c r="AP120" s="716"/>
      <c r="AQ120" s="716"/>
      <c r="AR120" s="716"/>
    </row>
    <row r="121">
      <c r="A121" s="716"/>
      <c r="B121" s="530"/>
      <c r="C121" s="530"/>
      <c r="D121" s="530"/>
      <c r="E121" s="530"/>
      <c r="F121" s="530"/>
      <c r="G121" s="530"/>
      <c r="H121" s="530"/>
      <c r="I121" s="530"/>
      <c r="J121" s="530"/>
      <c r="K121" s="530"/>
      <c r="L121" s="530"/>
      <c r="M121" s="530"/>
      <c r="N121" s="530"/>
      <c r="O121" s="530"/>
      <c r="P121" s="530"/>
      <c r="Q121" s="530"/>
      <c r="R121" s="530"/>
      <c r="S121" s="530"/>
      <c r="T121" s="530"/>
      <c r="U121" s="530"/>
      <c r="V121" s="530"/>
      <c r="W121" s="530"/>
      <c r="X121" s="733"/>
      <c r="Y121" s="716"/>
      <c r="Z121" s="716"/>
      <c r="AA121" s="716"/>
      <c r="AB121" s="716"/>
      <c r="AC121" s="716"/>
      <c r="AD121" s="716"/>
      <c r="AE121" s="716"/>
      <c r="AF121" s="716"/>
      <c r="AG121" s="716"/>
      <c r="AH121" s="716"/>
      <c r="AI121" s="716"/>
      <c r="AJ121" s="716"/>
      <c r="AK121" s="716"/>
      <c r="AL121" s="716"/>
      <c r="AM121" s="716"/>
      <c r="AN121" s="716"/>
      <c r="AO121" s="716"/>
      <c r="AP121" s="716"/>
      <c r="AQ121" s="716"/>
      <c r="AR121" s="716"/>
    </row>
    <row r="122">
      <c r="A122" s="716"/>
      <c r="B122" s="530"/>
      <c r="C122" s="530"/>
      <c r="D122" s="530"/>
      <c r="E122" s="530"/>
      <c r="F122" s="530"/>
      <c r="G122" s="530"/>
      <c r="H122" s="530"/>
      <c r="I122" s="530"/>
      <c r="J122" s="530"/>
      <c r="K122" s="530"/>
      <c r="L122" s="530"/>
      <c r="M122" s="530"/>
      <c r="N122" s="530"/>
      <c r="O122" s="530"/>
      <c r="P122" s="530"/>
      <c r="Q122" s="530"/>
      <c r="R122" s="530"/>
      <c r="S122" s="530"/>
      <c r="T122" s="530"/>
      <c r="U122" s="530"/>
      <c r="V122" s="530"/>
      <c r="W122" s="530"/>
      <c r="X122" s="733"/>
      <c r="Y122" s="716"/>
      <c r="Z122" s="716"/>
      <c r="AA122" s="716"/>
      <c r="AB122" s="716"/>
      <c r="AC122" s="716"/>
      <c r="AD122" s="716"/>
      <c r="AE122" s="716"/>
      <c r="AF122" s="716"/>
      <c r="AG122" s="716"/>
      <c r="AH122" s="716"/>
      <c r="AI122" s="716"/>
      <c r="AJ122" s="716"/>
      <c r="AK122" s="716"/>
      <c r="AL122" s="716"/>
      <c r="AM122" s="716"/>
      <c r="AN122" s="716"/>
      <c r="AO122" s="716"/>
      <c r="AP122" s="716"/>
      <c r="AQ122" s="716"/>
      <c r="AR122" s="716"/>
    </row>
    <row r="123">
      <c r="A123" s="716"/>
      <c r="B123" s="530"/>
      <c r="C123" s="530"/>
      <c r="D123" s="530"/>
      <c r="E123" s="530"/>
      <c r="F123" s="530"/>
      <c r="G123" s="530"/>
      <c r="H123" s="530"/>
      <c r="I123" s="530"/>
      <c r="J123" s="530"/>
      <c r="K123" s="530"/>
      <c r="L123" s="530"/>
      <c r="M123" s="530"/>
      <c r="N123" s="530"/>
      <c r="O123" s="530"/>
      <c r="P123" s="530"/>
      <c r="Q123" s="530"/>
      <c r="R123" s="530"/>
      <c r="S123" s="530"/>
      <c r="T123" s="530"/>
      <c r="U123" s="530"/>
      <c r="V123" s="530"/>
      <c r="W123" s="530"/>
      <c r="X123" s="733"/>
      <c r="Y123" s="716"/>
      <c r="Z123" s="716"/>
      <c r="AA123" s="716"/>
      <c r="AB123" s="716"/>
      <c r="AC123" s="716"/>
      <c r="AD123" s="716"/>
      <c r="AE123" s="716"/>
      <c r="AF123" s="716"/>
      <c r="AG123" s="716"/>
      <c r="AH123" s="716"/>
      <c r="AI123" s="716"/>
      <c r="AJ123" s="716"/>
      <c r="AK123" s="716"/>
      <c r="AL123" s="716"/>
      <c r="AM123" s="716"/>
      <c r="AN123" s="716"/>
      <c r="AO123" s="716"/>
      <c r="AP123" s="716"/>
      <c r="AQ123" s="716"/>
      <c r="AR123" s="716"/>
    </row>
    <row r="124">
      <c r="A124" s="716"/>
      <c r="B124" s="530"/>
      <c r="C124" s="530"/>
      <c r="D124" s="530"/>
      <c r="E124" s="530"/>
      <c r="F124" s="530"/>
      <c r="G124" s="530"/>
      <c r="H124" s="530"/>
      <c r="I124" s="530"/>
      <c r="J124" s="530"/>
      <c r="K124" s="530"/>
      <c r="L124" s="530"/>
      <c r="M124" s="530"/>
      <c r="N124" s="530"/>
      <c r="O124" s="530"/>
      <c r="P124" s="530"/>
      <c r="Q124" s="530"/>
      <c r="R124" s="530"/>
      <c r="S124" s="530"/>
      <c r="T124" s="530"/>
      <c r="U124" s="530"/>
      <c r="V124" s="530"/>
      <c r="W124" s="530"/>
      <c r="X124" s="733"/>
      <c r="Y124" s="716"/>
      <c r="Z124" s="716"/>
      <c r="AA124" s="716"/>
      <c r="AB124" s="716"/>
      <c r="AC124" s="716"/>
      <c r="AD124" s="716"/>
      <c r="AE124" s="716"/>
      <c r="AF124" s="716"/>
      <c r="AG124" s="716"/>
      <c r="AH124" s="716"/>
      <c r="AI124" s="716"/>
      <c r="AJ124" s="716"/>
      <c r="AK124" s="716"/>
      <c r="AL124" s="716"/>
      <c r="AM124" s="716"/>
      <c r="AN124" s="716"/>
      <c r="AO124" s="716"/>
      <c r="AP124" s="716"/>
      <c r="AQ124" s="716"/>
      <c r="AR124" s="716"/>
    </row>
    <row r="125">
      <c r="A125" s="716"/>
      <c r="B125" s="530"/>
      <c r="C125" s="530"/>
      <c r="D125" s="530"/>
      <c r="E125" s="530"/>
      <c r="F125" s="530"/>
      <c r="G125" s="530"/>
      <c r="H125" s="530"/>
      <c r="I125" s="530"/>
      <c r="J125" s="530"/>
      <c r="K125" s="530"/>
      <c r="L125" s="530"/>
      <c r="M125" s="530"/>
      <c r="N125" s="530"/>
      <c r="O125" s="530"/>
      <c r="P125" s="530"/>
      <c r="Q125" s="530"/>
      <c r="R125" s="530"/>
      <c r="S125" s="530"/>
      <c r="T125" s="530"/>
      <c r="U125" s="530"/>
      <c r="V125" s="530"/>
      <c r="W125" s="530"/>
      <c r="X125" s="733"/>
      <c r="Y125" s="716"/>
      <c r="Z125" s="716"/>
      <c r="AA125" s="716"/>
      <c r="AB125" s="716"/>
      <c r="AC125" s="716"/>
      <c r="AD125" s="716"/>
      <c r="AE125" s="716"/>
      <c r="AF125" s="716"/>
      <c r="AG125" s="716"/>
      <c r="AH125" s="716"/>
      <c r="AI125" s="716"/>
      <c r="AJ125" s="716"/>
      <c r="AK125" s="716"/>
      <c r="AL125" s="716"/>
      <c r="AM125" s="716"/>
      <c r="AN125" s="716"/>
      <c r="AO125" s="716"/>
      <c r="AP125" s="716"/>
      <c r="AQ125" s="716"/>
      <c r="AR125" s="716"/>
    </row>
    <row r="126">
      <c r="A126" s="716"/>
      <c r="B126" s="530"/>
      <c r="C126" s="530"/>
      <c r="D126" s="530"/>
      <c r="E126" s="530"/>
      <c r="F126" s="530"/>
      <c r="G126" s="530"/>
      <c r="H126" s="530"/>
      <c r="I126" s="530"/>
      <c r="J126" s="530"/>
      <c r="K126" s="530"/>
      <c r="L126" s="530"/>
      <c r="M126" s="530"/>
      <c r="N126" s="530"/>
      <c r="O126" s="530"/>
      <c r="P126" s="530"/>
      <c r="Q126" s="530"/>
      <c r="R126" s="530"/>
      <c r="S126" s="530"/>
      <c r="T126" s="530"/>
      <c r="U126" s="530"/>
      <c r="V126" s="530"/>
      <c r="W126" s="530"/>
      <c r="X126" s="733"/>
      <c r="Y126" s="716"/>
      <c r="Z126" s="716"/>
      <c r="AA126" s="716"/>
      <c r="AB126" s="716"/>
      <c r="AC126" s="716"/>
      <c r="AD126" s="716"/>
      <c r="AE126" s="716"/>
      <c r="AF126" s="716"/>
      <c r="AG126" s="716"/>
      <c r="AH126" s="716"/>
      <c r="AI126" s="716"/>
      <c r="AJ126" s="716"/>
      <c r="AK126" s="716"/>
      <c r="AL126" s="716"/>
      <c r="AM126" s="716"/>
      <c r="AN126" s="716"/>
      <c r="AO126" s="716"/>
      <c r="AP126" s="716"/>
      <c r="AQ126" s="716"/>
      <c r="AR126" s="716"/>
    </row>
    <row r="127">
      <c r="A127" s="716"/>
      <c r="B127" s="530"/>
      <c r="C127" s="530"/>
      <c r="D127" s="530"/>
      <c r="E127" s="530"/>
      <c r="F127" s="530"/>
      <c r="G127" s="530"/>
      <c r="H127" s="530"/>
      <c r="I127" s="530"/>
      <c r="J127" s="530"/>
      <c r="K127" s="530"/>
      <c r="L127" s="530"/>
      <c r="M127" s="530"/>
      <c r="N127" s="530"/>
      <c r="O127" s="530"/>
      <c r="P127" s="530"/>
      <c r="Q127" s="530"/>
      <c r="R127" s="530"/>
      <c r="S127" s="530"/>
      <c r="T127" s="530"/>
      <c r="U127" s="530"/>
      <c r="V127" s="530"/>
      <c r="W127" s="530"/>
      <c r="X127" s="733"/>
      <c r="Y127" s="716"/>
      <c r="Z127" s="716"/>
      <c r="AA127" s="716"/>
      <c r="AB127" s="716"/>
      <c r="AC127" s="716"/>
      <c r="AD127" s="716"/>
      <c r="AE127" s="716"/>
      <c r="AF127" s="716"/>
      <c r="AG127" s="716"/>
      <c r="AH127" s="716"/>
      <c r="AI127" s="716"/>
      <c r="AJ127" s="716"/>
      <c r="AK127" s="716"/>
      <c r="AL127" s="716"/>
      <c r="AM127" s="716"/>
      <c r="AN127" s="716"/>
      <c r="AO127" s="716"/>
      <c r="AP127" s="716"/>
      <c r="AQ127" s="716"/>
      <c r="AR127" s="716"/>
    </row>
    <row r="128">
      <c r="A128" s="716"/>
      <c r="B128" s="530"/>
      <c r="C128" s="530"/>
      <c r="D128" s="530"/>
      <c r="E128" s="530"/>
      <c r="F128" s="530"/>
      <c r="G128" s="530"/>
      <c r="H128" s="530"/>
      <c r="I128" s="530"/>
      <c r="J128" s="530"/>
      <c r="K128" s="530"/>
      <c r="L128" s="530"/>
      <c r="M128" s="530"/>
      <c r="N128" s="530"/>
      <c r="O128" s="530"/>
      <c r="P128" s="530"/>
      <c r="Q128" s="530"/>
      <c r="R128" s="530"/>
      <c r="S128" s="530"/>
      <c r="T128" s="530"/>
      <c r="U128" s="530"/>
      <c r="V128" s="530"/>
      <c r="W128" s="530"/>
      <c r="X128" s="733"/>
      <c r="Y128" s="716"/>
      <c r="Z128" s="716"/>
      <c r="AA128" s="716"/>
      <c r="AB128" s="716"/>
      <c r="AC128" s="716"/>
      <c r="AD128" s="716"/>
      <c r="AE128" s="716"/>
      <c r="AF128" s="716"/>
      <c r="AG128" s="716"/>
      <c r="AH128" s="716"/>
      <c r="AI128" s="716"/>
      <c r="AJ128" s="716"/>
      <c r="AK128" s="716"/>
      <c r="AL128" s="716"/>
      <c r="AM128" s="716"/>
      <c r="AN128" s="716"/>
      <c r="AO128" s="716"/>
      <c r="AP128" s="716"/>
      <c r="AQ128" s="716"/>
      <c r="AR128" s="716"/>
    </row>
    <row r="129">
      <c r="A129" s="716"/>
      <c r="B129" s="530"/>
      <c r="C129" s="530"/>
      <c r="D129" s="530"/>
      <c r="E129" s="530"/>
      <c r="F129" s="530"/>
      <c r="G129" s="530"/>
      <c r="H129" s="530"/>
      <c r="I129" s="530"/>
      <c r="J129" s="530"/>
      <c r="K129" s="530"/>
      <c r="L129" s="530"/>
      <c r="M129" s="530"/>
      <c r="N129" s="530"/>
      <c r="O129" s="530"/>
      <c r="P129" s="530"/>
      <c r="Q129" s="530"/>
      <c r="R129" s="530"/>
      <c r="S129" s="530"/>
      <c r="T129" s="530"/>
      <c r="U129" s="530"/>
      <c r="V129" s="530"/>
      <c r="W129" s="530"/>
      <c r="X129" s="733"/>
      <c r="Y129" s="716"/>
      <c r="Z129" s="716"/>
      <c r="AA129" s="716"/>
      <c r="AB129" s="716"/>
      <c r="AC129" s="716"/>
      <c r="AD129" s="716"/>
      <c r="AE129" s="716"/>
      <c r="AF129" s="716"/>
      <c r="AG129" s="716"/>
      <c r="AH129" s="716"/>
      <c r="AI129" s="716"/>
      <c r="AJ129" s="716"/>
      <c r="AK129" s="716"/>
      <c r="AL129" s="716"/>
      <c r="AM129" s="716"/>
      <c r="AN129" s="716"/>
      <c r="AO129" s="716"/>
      <c r="AP129" s="716"/>
      <c r="AQ129" s="716"/>
      <c r="AR129" s="716"/>
    </row>
    <row r="130">
      <c r="A130" s="716"/>
      <c r="B130" s="530"/>
      <c r="C130" s="530"/>
      <c r="D130" s="530"/>
      <c r="E130" s="530"/>
      <c r="F130" s="530"/>
      <c r="G130" s="530"/>
      <c r="H130" s="530"/>
      <c r="I130" s="530"/>
      <c r="J130" s="530"/>
      <c r="K130" s="530"/>
      <c r="L130" s="530"/>
      <c r="M130" s="530"/>
      <c r="N130" s="530"/>
      <c r="O130" s="530"/>
      <c r="P130" s="530"/>
      <c r="Q130" s="530"/>
      <c r="R130" s="530"/>
      <c r="S130" s="530"/>
      <c r="T130" s="530"/>
      <c r="U130" s="530"/>
      <c r="V130" s="530"/>
      <c r="W130" s="530"/>
      <c r="X130" s="733"/>
      <c r="Y130" s="716"/>
      <c r="Z130" s="716"/>
      <c r="AA130" s="716"/>
      <c r="AB130" s="716"/>
      <c r="AC130" s="716"/>
      <c r="AD130" s="716"/>
      <c r="AE130" s="716"/>
      <c r="AF130" s="716"/>
      <c r="AG130" s="716"/>
      <c r="AH130" s="716"/>
      <c r="AI130" s="716"/>
      <c r="AJ130" s="716"/>
      <c r="AK130" s="716"/>
      <c r="AL130" s="716"/>
      <c r="AM130" s="716"/>
      <c r="AN130" s="716"/>
      <c r="AO130" s="716"/>
      <c r="AP130" s="716"/>
      <c r="AQ130" s="716"/>
      <c r="AR130" s="716"/>
    </row>
    <row r="131">
      <c r="A131" s="716"/>
      <c r="B131" s="530"/>
      <c r="C131" s="530"/>
      <c r="D131" s="530"/>
      <c r="E131" s="530"/>
      <c r="F131" s="530"/>
      <c r="G131" s="530"/>
      <c r="H131" s="530"/>
      <c r="I131" s="530"/>
      <c r="J131" s="530"/>
      <c r="K131" s="530"/>
      <c r="L131" s="530"/>
      <c r="M131" s="530"/>
      <c r="N131" s="530"/>
      <c r="O131" s="530"/>
      <c r="P131" s="530"/>
      <c r="Q131" s="530"/>
      <c r="R131" s="530"/>
      <c r="S131" s="530"/>
      <c r="T131" s="530"/>
      <c r="U131" s="530"/>
      <c r="V131" s="530"/>
      <c r="W131" s="530"/>
      <c r="X131" s="733"/>
      <c r="Y131" s="716"/>
      <c r="Z131" s="716"/>
      <c r="AA131" s="716"/>
      <c r="AB131" s="716"/>
      <c r="AC131" s="716"/>
      <c r="AD131" s="716"/>
      <c r="AE131" s="716"/>
      <c r="AF131" s="716"/>
      <c r="AG131" s="716"/>
      <c r="AH131" s="716"/>
      <c r="AI131" s="716"/>
      <c r="AJ131" s="716"/>
      <c r="AK131" s="716"/>
      <c r="AL131" s="716"/>
      <c r="AM131" s="716"/>
      <c r="AN131" s="716"/>
      <c r="AO131" s="716"/>
      <c r="AP131" s="716"/>
      <c r="AQ131" s="716"/>
      <c r="AR131" s="716"/>
    </row>
    <row r="132">
      <c r="A132" s="716"/>
      <c r="B132" s="530"/>
      <c r="C132" s="530"/>
      <c r="D132" s="530"/>
      <c r="E132" s="530"/>
      <c r="F132" s="530"/>
      <c r="G132" s="530"/>
      <c r="H132" s="530"/>
      <c r="I132" s="530"/>
      <c r="J132" s="530"/>
      <c r="K132" s="530"/>
      <c r="L132" s="530"/>
      <c r="M132" s="530"/>
      <c r="N132" s="530"/>
      <c r="O132" s="530"/>
      <c r="P132" s="530"/>
      <c r="Q132" s="530"/>
      <c r="R132" s="530"/>
      <c r="S132" s="530"/>
      <c r="T132" s="530"/>
      <c r="U132" s="530"/>
      <c r="V132" s="530"/>
      <c r="W132" s="530"/>
      <c r="X132" s="733"/>
      <c r="Y132" s="716"/>
      <c r="Z132" s="716"/>
      <c r="AA132" s="716"/>
      <c r="AB132" s="716"/>
      <c r="AC132" s="716"/>
      <c r="AD132" s="716"/>
      <c r="AE132" s="716"/>
      <c r="AF132" s="716"/>
      <c r="AG132" s="716"/>
      <c r="AH132" s="716"/>
      <c r="AI132" s="716"/>
      <c r="AJ132" s="716"/>
      <c r="AK132" s="716"/>
      <c r="AL132" s="716"/>
      <c r="AM132" s="716"/>
      <c r="AN132" s="716"/>
      <c r="AO132" s="716"/>
      <c r="AP132" s="716"/>
      <c r="AQ132" s="716"/>
      <c r="AR132" s="716"/>
    </row>
    <row r="133">
      <c r="A133" s="716"/>
      <c r="B133" s="530"/>
      <c r="C133" s="530"/>
      <c r="D133" s="530"/>
      <c r="E133" s="530"/>
      <c r="F133" s="530"/>
      <c r="G133" s="530"/>
      <c r="H133" s="530"/>
      <c r="I133" s="530"/>
      <c r="J133" s="530"/>
      <c r="K133" s="530"/>
      <c r="L133" s="530"/>
      <c r="M133" s="530"/>
      <c r="N133" s="530"/>
      <c r="O133" s="530"/>
      <c r="P133" s="530"/>
      <c r="Q133" s="530"/>
      <c r="R133" s="530"/>
      <c r="S133" s="530"/>
      <c r="T133" s="530"/>
      <c r="U133" s="530"/>
      <c r="V133" s="530"/>
      <c r="W133" s="530"/>
      <c r="X133" s="733"/>
      <c r="Y133" s="716"/>
      <c r="Z133" s="716"/>
      <c r="AA133" s="716"/>
      <c r="AB133" s="716"/>
      <c r="AC133" s="716"/>
      <c r="AD133" s="716"/>
      <c r="AE133" s="716"/>
      <c r="AF133" s="716"/>
      <c r="AG133" s="716"/>
      <c r="AH133" s="716"/>
      <c r="AI133" s="716"/>
      <c r="AJ133" s="716"/>
      <c r="AK133" s="716"/>
      <c r="AL133" s="716"/>
      <c r="AM133" s="716"/>
      <c r="AN133" s="716"/>
      <c r="AO133" s="716"/>
      <c r="AP133" s="716"/>
      <c r="AQ133" s="716"/>
      <c r="AR133" s="716"/>
    </row>
    <row r="134">
      <c r="A134" s="716"/>
      <c r="B134" s="530"/>
      <c r="C134" s="530"/>
      <c r="D134" s="530"/>
      <c r="E134" s="530"/>
      <c r="F134" s="530"/>
      <c r="G134" s="530"/>
      <c r="H134" s="530"/>
      <c r="I134" s="530"/>
      <c r="J134" s="530"/>
      <c r="K134" s="530"/>
      <c r="L134" s="530"/>
      <c r="M134" s="530"/>
      <c r="N134" s="530"/>
      <c r="O134" s="530"/>
      <c r="P134" s="530"/>
      <c r="Q134" s="530"/>
      <c r="R134" s="530"/>
      <c r="S134" s="530"/>
      <c r="T134" s="530"/>
      <c r="U134" s="530"/>
      <c r="V134" s="530"/>
      <c r="W134" s="530"/>
      <c r="X134" s="733"/>
      <c r="Y134" s="716"/>
      <c r="Z134" s="716"/>
      <c r="AA134" s="716"/>
      <c r="AB134" s="716"/>
      <c r="AC134" s="716"/>
      <c r="AD134" s="716"/>
      <c r="AE134" s="716"/>
      <c r="AF134" s="716"/>
      <c r="AG134" s="716"/>
      <c r="AH134" s="716"/>
      <c r="AI134" s="716"/>
      <c r="AJ134" s="716"/>
      <c r="AK134" s="716"/>
      <c r="AL134" s="716"/>
      <c r="AM134" s="716"/>
      <c r="AN134" s="716"/>
      <c r="AO134" s="716"/>
      <c r="AP134" s="716"/>
      <c r="AQ134" s="716"/>
      <c r="AR134" s="716"/>
    </row>
    <row r="135">
      <c r="A135" s="716"/>
      <c r="B135" s="530"/>
      <c r="C135" s="530"/>
      <c r="D135" s="530"/>
      <c r="E135" s="530"/>
      <c r="F135" s="530"/>
      <c r="G135" s="530"/>
      <c r="H135" s="530"/>
      <c r="I135" s="530"/>
      <c r="J135" s="530"/>
      <c r="K135" s="530"/>
      <c r="L135" s="530"/>
      <c r="M135" s="530"/>
      <c r="N135" s="530"/>
      <c r="O135" s="530"/>
      <c r="P135" s="530"/>
      <c r="Q135" s="530"/>
      <c r="R135" s="530"/>
      <c r="S135" s="530"/>
      <c r="T135" s="530"/>
      <c r="U135" s="530"/>
      <c r="V135" s="530"/>
      <c r="W135" s="530"/>
      <c r="X135" s="733"/>
      <c r="Y135" s="716"/>
      <c r="Z135" s="716"/>
      <c r="AA135" s="716"/>
      <c r="AB135" s="716"/>
      <c r="AC135" s="716"/>
      <c r="AD135" s="716"/>
      <c r="AE135" s="716"/>
      <c r="AF135" s="716"/>
      <c r="AG135" s="716"/>
      <c r="AH135" s="716"/>
      <c r="AI135" s="716"/>
      <c r="AJ135" s="716"/>
      <c r="AK135" s="716"/>
      <c r="AL135" s="716"/>
      <c r="AM135" s="716"/>
      <c r="AN135" s="716"/>
      <c r="AO135" s="716"/>
      <c r="AP135" s="716"/>
      <c r="AQ135" s="716"/>
      <c r="AR135" s="716"/>
    </row>
    <row r="136">
      <c r="A136" s="716"/>
      <c r="B136" s="530"/>
      <c r="C136" s="530"/>
      <c r="D136" s="530"/>
      <c r="E136" s="530"/>
      <c r="F136" s="530"/>
      <c r="G136" s="530"/>
      <c r="H136" s="530"/>
      <c r="I136" s="530"/>
      <c r="J136" s="530"/>
      <c r="K136" s="530"/>
      <c r="L136" s="530"/>
      <c r="M136" s="530"/>
      <c r="N136" s="530"/>
      <c r="O136" s="530"/>
      <c r="P136" s="530"/>
      <c r="Q136" s="530"/>
      <c r="R136" s="530"/>
      <c r="S136" s="530"/>
      <c r="T136" s="530"/>
      <c r="U136" s="530"/>
      <c r="V136" s="530"/>
      <c r="W136" s="530"/>
      <c r="X136" s="733"/>
      <c r="Y136" s="716"/>
      <c r="Z136" s="716"/>
      <c r="AA136" s="716"/>
      <c r="AB136" s="716"/>
      <c r="AC136" s="716"/>
      <c r="AD136" s="716"/>
      <c r="AE136" s="716"/>
      <c r="AF136" s="716"/>
      <c r="AG136" s="716"/>
      <c r="AH136" s="716"/>
      <c r="AI136" s="716"/>
      <c r="AJ136" s="716"/>
      <c r="AK136" s="716"/>
      <c r="AL136" s="716"/>
      <c r="AM136" s="716"/>
      <c r="AN136" s="716"/>
      <c r="AO136" s="716"/>
      <c r="AP136" s="716"/>
      <c r="AQ136" s="716"/>
      <c r="AR136" s="716"/>
    </row>
    <row r="137">
      <c r="A137" s="716"/>
      <c r="B137" s="530"/>
      <c r="C137" s="530"/>
      <c r="D137" s="530"/>
      <c r="E137" s="530"/>
      <c r="F137" s="530"/>
      <c r="G137" s="530"/>
      <c r="H137" s="530"/>
      <c r="I137" s="530"/>
      <c r="J137" s="530"/>
      <c r="K137" s="530"/>
      <c r="L137" s="530"/>
      <c r="M137" s="530"/>
      <c r="N137" s="530"/>
      <c r="O137" s="530"/>
      <c r="P137" s="530"/>
      <c r="Q137" s="530"/>
      <c r="R137" s="530"/>
      <c r="S137" s="530"/>
      <c r="T137" s="530"/>
      <c r="U137" s="530"/>
      <c r="V137" s="530"/>
      <c r="W137" s="530"/>
      <c r="X137" s="733"/>
      <c r="Y137" s="716"/>
      <c r="Z137" s="716"/>
      <c r="AA137" s="716"/>
      <c r="AB137" s="716"/>
      <c r="AC137" s="716"/>
      <c r="AD137" s="716"/>
      <c r="AE137" s="716"/>
      <c r="AF137" s="716"/>
      <c r="AG137" s="716"/>
      <c r="AH137" s="716"/>
      <c r="AI137" s="716"/>
      <c r="AJ137" s="716"/>
      <c r="AK137" s="716"/>
      <c r="AL137" s="716"/>
      <c r="AM137" s="716"/>
      <c r="AN137" s="716"/>
      <c r="AO137" s="716"/>
      <c r="AP137" s="716"/>
      <c r="AQ137" s="716"/>
      <c r="AR137" s="716"/>
    </row>
    <row r="138">
      <c r="A138" s="716"/>
      <c r="B138" s="530"/>
      <c r="C138" s="530"/>
      <c r="D138" s="530"/>
      <c r="E138" s="530"/>
      <c r="F138" s="530"/>
      <c r="G138" s="530"/>
      <c r="H138" s="530"/>
      <c r="I138" s="530"/>
      <c r="J138" s="530"/>
      <c r="K138" s="530"/>
      <c r="L138" s="530"/>
      <c r="M138" s="530"/>
      <c r="N138" s="530"/>
      <c r="O138" s="530"/>
      <c r="P138" s="530"/>
      <c r="Q138" s="530"/>
      <c r="R138" s="530"/>
      <c r="S138" s="530"/>
      <c r="T138" s="530"/>
      <c r="U138" s="530"/>
      <c r="V138" s="530"/>
      <c r="W138" s="530"/>
      <c r="X138" s="733"/>
      <c r="Y138" s="716"/>
      <c r="Z138" s="716"/>
      <c r="AA138" s="716"/>
      <c r="AB138" s="716"/>
      <c r="AC138" s="716"/>
      <c r="AD138" s="716"/>
      <c r="AE138" s="716"/>
      <c r="AF138" s="716"/>
      <c r="AG138" s="716"/>
      <c r="AH138" s="716"/>
      <c r="AI138" s="716"/>
      <c r="AJ138" s="716"/>
      <c r="AK138" s="716"/>
      <c r="AL138" s="716"/>
      <c r="AM138" s="716"/>
      <c r="AN138" s="716"/>
      <c r="AO138" s="716"/>
      <c r="AP138" s="716"/>
      <c r="AQ138" s="716"/>
      <c r="AR138" s="716"/>
    </row>
    <row r="139">
      <c r="A139" s="716"/>
      <c r="B139" s="530"/>
      <c r="C139" s="530"/>
      <c r="D139" s="530"/>
      <c r="E139" s="530"/>
      <c r="F139" s="530"/>
      <c r="G139" s="530"/>
      <c r="H139" s="530"/>
      <c r="I139" s="530"/>
      <c r="J139" s="530"/>
      <c r="K139" s="530"/>
      <c r="L139" s="530"/>
      <c r="M139" s="530"/>
      <c r="N139" s="530"/>
      <c r="O139" s="530"/>
      <c r="P139" s="530"/>
      <c r="Q139" s="530"/>
      <c r="R139" s="530"/>
      <c r="S139" s="530"/>
      <c r="T139" s="530"/>
      <c r="U139" s="530"/>
      <c r="V139" s="530"/>
      <c r="W139" s="530"/>
      <c r="X139" s="733"/>
      <c r="Y139" s="716"/>
      <c r="Z139" s="716"/>
      <c r="AA139" s="716"/>
      <c r="AB139" s="716"/>
      <c r="AC139" s="716"/>
      <c r="AD139" s="716"/>
      <c r="AE139" s="716"/>
      <c r="AF139" s="716"/>
      <c r="AG139" s="716"/>
      <c r="AH139" s="716"/>
      <c r="AI139" s="716"/>
      <c r="AJ139" s="716"/>
      <c r="AK139" s="716"/>
      <c r="AL139" s="716"/>
      <c r="AM139" s="716"/>
      <c r="AN139" s="716"/>
      <c r="AO139" s="716"/>
      <c r="AP139" s="716"/>
      <c r="AQ139" s="716"/>
      <c r="AR139" s="716"/>
    </row>
    <row r="140">
      <c r="A140" s="716"/>
      <c r="B140" s="530"/>
      <c r="C140" s="530"/>
      <c r="D140" s="530"/>
      <c r="E140" s="530"/>
      <c r="F140" s="530"/>
      <c r="G140" s="530"/>
      <c r="H140" s="530"/>
      <c r="I140" s="530"/>
      <c r="J140" s="530"/>
      <c r="K140" s="530"/>
      <c r="L140" s="530"/>
      <c r="M140" s="530"/>
      <c r="N140" s="530"/>
      <c r="O140" s="530"/>
      <c r="P140" s="530"/>
      <c r="Q140" s="530"/>
      <c r="R140" s="530"/>
      <c r="S140" s="530"/>
      <c r="T140" s="530"/>
      <c r="U140" s="530"/>
      <c r="V140" s="530"/>
      <c r="W140" s="530"/>
      <c r="X140" s="733"/>
      <c r="Y140" s="716"/>
      <c r="Z140" s="716"/>
      <c r="AA140" s="716"/>
      <c r="AB140" s="716"/>
      <c r="AC140" s="716"/>
      <c r="AD140" s="716"/>
      <c r="AE140" s="716"/>
      <c r="AF140" s="716"/>
      <c r="AG140" s="716"/>
      <c r="AH140" s="716"/>
      <c r="AI140" s="716"/>
      <c r="AJ140" s="716"/>
      <c r="AK140" s="716"/>
      <c r="AL140" s="716"/>
      <c r="AM140" s="716"/>
      <c r="AN140" s="716"/>
      <c r="AO140" s="716"/>
      <c r="AP140" s="716"/>
      <c r="AQ140" s="716"/>
      <c r="AR140" s="716"/>
    </row>
    <row r="141">
      <c r="A141" s="716"/>
      <c r="B141" s="530"/>
      <c r="C141" s="530"/>
      <c r="D141" s="530"/>
      <c r="E141" s="530"/>
      <c r="F141" s="530"/>
      <c r="G141" s="530"/>
      <c r="H141" s="530"/>
      <c r="I141" s="530"/>
      <c r="J141" s="530"/>
      <c r="K141" s="530"/>
      <c r="L141" s="530"/>
      <c r="M141" s="530"/>
      <c r="N141" s="530"/>
      <c r="O141" s="530"/>
      <c r="P141" s="530"/>
      <c r="Q141" s="530"/>
      <c r="R141" s="530"/>
      <c r="S141" s="530"/>
      <c r="T141" s="530"/>
      <c r="U141" s="530"/>
      <c r="V141" s="530"/>
      <c r="W141" s="530"/>
      <c r="X141" s="733"/>
      <c r="Y141" s="716"/>
      <c r="Z141" s="716"/>
      <c r="AA141" s="716"/>
      <c r="AB141" s="716"/>
      <c r="AC141" s="716"/>
      <c r="AD141" s="716"/>
      <c r="AE141" s="716"/>
      <c r="AF141" s="716"/>
      <c r="AG141" s="716"/>
      <c r="AH141" s="716"/>
      <c r="AI141" s="716"/>
      <c r="AJ141" s="716"/>
      <c r="AK141" s="716"/>
      <c r="AL141" s="716"/>
      <c r="AM141" s="716"/>
      <c r="AN141" s="716"/>
      <c r="AO141" s="716"/>
      <c r="AP141" s="716"/>
      <c r="AQ141" s="716"/>
      <c r="AR141" s="716"/>
    </row>
    <row r="142">
      <c r="A142" s="716"/>
      <c r="B142" s="530"/>
      <c r="C142" s="530"/>
      <c r="D142" s="530"/>
      <c r="E142" s="530"/>
      <c r="F142" s="530"/>
      <c r="G142" s="530"/>
      <c r="H142" s="530"/>
      <c r="I142" s="530"/>
      <c r="J142" s="530"/>
      <c r="K142" s="530"/>
      <c r="L142" s="530"/>
      <c r="M142" s="530"/>
      <c r="N142" s="530"/>
      <c r="O142" s="530"/>
      <c r="P142" s="530"/>
      <c r="Q142" s="530"/>
      <c r="R142" s="530"/>
      <c r="S142" s="530"/>
      <c r="T142" s="530"/>
      <c r="U142" s="530"/>
      <c r="V142" s="530"/>
      <c r="W142" s="530"/>
      <c r="X142" s="733"/>
      <c r="Y142" s="716"/>
      <c r="Z142" s="716"/>
      <c r="AA142" s="716"/>
      <c r="AB142" s="716"/>
      <c r="AC142" s="716"/>
      <c r="AD142" s="716"/>
      <c r="AE142" s="716"/>
      <c r="AF142" s="716"/>
      <c r="AG142" s="716"/>
      <c r="AH142" s="716"/>
      <c r="AI142" s="716"/>
      <c r="AJ142" s="716"/>
      <c r="AK142" s="716"/>
      <c r="AL142" s="716"/>
      <c r="AM142" s="716"/>
      <c r="AN142" s="716"/>
      <c r="AO142" s="716"/>
      <c r="AP142" s="716"/>
      <c r="AQ142" s="716"/>
      <c r="AR142" s="716"/>
    </row>
    <row r="143">
      <c r="A143" s="716"/>
      <c r="B143" s="530"/>
      <c r="C143" s="530"/>
      <c r="D143" s="530"/>
      <c r="E143" s="530"/>
      <c r="F143" s="530"/>
      <c r="G143" s="530"/>
      <c r="H143" s="530"/>
      <c r="I143" s="530"/>
      <c r="J143" s="530"/>
      <c r="K143" s="530"/>
      <c r="L143" s="530"/>
      <c r="M143" s="530"/>
      <c r="N143" s="530"/>
      <c r="O143" s="530"/>
      <c r="P143" s="530"/>
      <c r="Q143" s="530"/>
      <c r="R143" s="530"/>
      <c r="S143" s="530"/>
      <c r="T143" s="530"/>
      <c r="U143" s="530"/>
      <c r="V143" s="530"/>
      <c r="W143" s="530"/>
      <c r="X143" s="733"/>
      <c r="Y143" s="716"/>
      <c r="Z143" s="716"/>
      <c r="AA143" s="716"/>
      <c r="AB143" s="716"/>
      <c r="AC143" s="716"/>
      <c r="AD143" s="716"/>
      <c r="AE143" s="716"/>
      <c r="AF143" s="716"/>
      <c r="AG143" s="716"/>
      <c r="AH143" s="716"/>
      <c r="AI143" s="716"/>
      <c r="AJ143" s="716"/>
      <c r="AK143" s="716"/>
      <c r="AL143" s="716"/>
      <c r="AM143" s="716"/>
      <c r="AN143" s="716"/>
      <c r="AO143" s="716"/>
      <c r="AP143" s="716"/>
      <c r="AQ143" s="716"/>
      <c r="AR143" s="716"/>
    </row>
    <row r="144">
      <c r="A144" s="716"/>
      <c r="B144" s="530"/>
      <c r="C144" s="530"/>
      <c r="D144" s="530"/>
      <c r="E144" s="530"/>
      <c r="F144" s="530"/>
      <c r="G144" s="530"/>
      <c r="H144" s="530"/>
      <c r="I144" s="530"/>
      <c r="J144" s="530"/>
      <c r="K144" s="530"/>
      <c r="L144" s="530"/>
      <c r="M144" s="530"/>
      <c r="N144" s="530"/>
      <c r="O144" s="530"/>
      <c r="P144" s="530"/>
      <c r="Q144" s="530"/>
      <c r="R144" s="530"/>
      <c r="S144" s="530"/>
      <c r="T144" s="530"/>
      <c r="U144" s="530"/>
      <c r="V144" s="530"/>
      <c r="W144" s="530"/>
      <c r="X144" s="733"/>
      <c r="Y144" s="716"/>
      <c r="Z144" s="716"/>
      <c r="AA144" s="716"/>
      <c r="AB144" s="716"/>
      <c r="AC144" s="716"/>
      <c r="AD144" s="716"/>
      <c r="AE144" s="716"/>
      <c r="AF144" s="716"/>
      <c r="AG144" s="716"/>
      <c r="AH144" s="716"/>
      <c r="AI144" s="716"/>
      <c r="AJ144" s="716"/>
      <c r="AK144" s="716"/>
      <c r="AL144" s="716"/>
      <c r="AM144" s="716"/>
      <c r="AN144" s="716"/>
      <c r="AO144" s="716"/>
      <c r="AP144" s="716"/>
      <c r="AQ144" s="716"/>
      <c r="AR144" s="716"/>
    </row>
    <row r="145">
      <c r="A145" s="716"/>
      <c r="B145" s="530"/>
      <c r="C145" s="530"/>
      <c r="D145" s="530"/>
      <c r="E145" s="530"/>
      <c r="F145" s="530"/>
      <c r="G145" s="530"/>
      <c r="H145" s="530"/>
      <c r="I145" s="530"/>
      <c r="J145" s="530"/>
      <c r="K145" s="530"/>
      <c r="L145" s="530"/>
      <c r="M145" s="530"/>
      <c r="N145" s="530"/>
      <c r="O145" s="530"/>
      <c r="P145" s="530"/>
      <c r="Q145" s="530"/>
      <c r="R145" s="530"/>
      <c r="S145" s="530"/>
      <c r="T145" s="530"/>
      <c r="U145" s="530"/>
      <c r="V145" s="530"/>
      <c r="W145" s="530"/>
      <c r="X145" s="733"/>
      <c r="Y145" s="716"/>
      <c r="Z145" s="716"/>
      <c r="AA145" s="716"/>
      <c r="AB145" s="716"/>
      <c r="AC145" s="716"/>
      <c r="AD145" s="716"/>
      <c r="AE145" s="716"/>
      <c r="AF145" s="716"/>
      <c r="AG145" s="716"/>
      <c r="AH145" s="716"/>
      <c r="AI145" s="716"/>
      <c r="AJ145" s="716"/>
      <c r="AK145" s="716"/>
      <c r="AL145" s="716"/>
      <c r="AM145" s="716"/>
      <c r="AN145" s="716"/>
      <c r="AO145" s="716"/>
      <c r="AP145" s="716"/>
      <c r="AQ145" s="716"/>
      <c r="AR145" s="716"/>
    </row>
    <row r="146">
      <c r="A146" s="716"/>
      <c r="B146" s="530"/>
      <c r="C146" s="530"/>
      <c r="D146" s="530"/>
      <c r="E146" s="530"/>
      <c r="F146" s="530"/>
      <c r="G146" s="530"/>
      <c r="H146" s="530"/>
      <c r="I146" s="530"/>
      <c r="J146" s="530"/>
      <c r="K146" s="530"/>
      <c r="L146" s="530"/>
      <c r="M146" s="530"/>
      <c r="N146" s="530"/>
      <c r="O146" s="530"/>
      <c r="P146" s="530"/>
      <c r="Q146" s="530"/>
      <c r="R146" s="530"/>
      <c r="S146" s="530"/>
      <c r="T146" s="530"/>
      <c r="U146" s="530"/>
      <c r="V146" s="530"/>
      <c r="W146" s="530"/>
      <c r="X146" s="733"/>
      <c r="Y146" s="716"/>
      <c r="Z146" s="716"/>
      <c r="AA146" s="716"/>
      <c r="AB146" s="716"/>
      <c r="AC146" s="716"/>
      <c r="AD146" s="716"/>
      <c r="AE146" s="716"/>
      <c r="AF146" s="716"/>
      <c r="AG146" s="716"/>
      <c r="AH146" s="716"/>
      <c r="AI146" s="716"/>
      <c r="AJ146" s="716"/>
      <c r="AK146" s="716"/>
      <c r="AL146" s="716"/>
      <c r="AM146" s="716"/>
      <c r="AN146" s="716"/>
      <c r="AO146" s="716"/>
      <c r="AP146" s="716"/>
      <c r="AQ146" s="716"/>
      <c r="AR146" s="716"/>
    </row>
    <row r="147">
      <c r="A147" s="716"/>
      <c r="B147" s="530"/>
      <c r="C147" s="530"/>
      <c r="D147" s="530"/>
      <c r="E147" s="530"/>
      <c r="F147" s="530"/>
      <c r="G147" s="530"/>
      <c r="H147" s="530"/>
      <c r="I147" s="530"/>
      <c r="J147" s="530"/>
      <c r="K147" s="530"/>
      <c r="L147" s="530"/>
      <c r="M147" s="530"/>
      <c r="N147" s="530"/>
      <c r="O147" s="530"/>
      <c r="P147" s="530"/>
      <c r="Q147" s="530"/>
      <c r="R147" s="530"/>
      <c r="S147" s="530"/>
      <c r="T147" s="530"/>
      <c r="U147" s="530"/>
      <c r="V147" s="530"/>
      <c r="W147" s="530"/>
      <c r="X147" s="733"/>
      <c r="Y147" s="716"/>
      <c r="Z147" s="716"/>
      <c r="AA147" s="716"/>
      <c r="AB147" s="716"/>
      <c r="AC147" s="716"/>
      <c r="AD147" s="716"/>
      <c r="AE147" s="716"/>
      <c r="AF147" s="716"/>
      <c r="AG147" s="716"/>
      <c r="AH147" s="716"/>
      <c r="AI147" s="716"/>
      <c r="AJ147" s="716"/>
      <c r="AK147" s="716"/>
      <c r="AL147" s="716"/>
      <c r="AM147" s="716"/>
      <c r="AN147" s="716"/>
      <c r="AO147" s="716"/>
      <c r="AP147" s="716"/>
      <c r="AQ147" s="716"/>
      <c r="AR147" s="716"/>
    </row>
    <row r="148">
      <c r="A148" s="716"/>
      <c r="B148" s="530"/>
      <c r="C148" s="530"/>
      <c r="D148" s="530"/>
      <c r="E148" s="530"/>
      <c r="F148" s="530"/>
      <c r="G148" s="530"/>
      <c r="H148" s="530"/>
      <c r="I148" s="530"/>
      <c r="J148" s="530"/>
      <c r="K148" s="530"/>
      <c r="L148" s="530"/>
      <c r="M148" s="530"/>
      <c r="N148" s="530"/>
      <c r="O148" s="530"/>
      <c r="P148" s="530"/>
      <c r="Q148" s="530"/>
      <c r="R148" s="530"/>
      <c r="S148" s="530"/>
      <c r="T148" s="530"/>
      <c r="U148" s="530"/>
      <c r="V148" s="530"/>
      <c r="W148" s="530"/>
      <c r="X148" s="733"/>
      <c r="Y148" s="716"/>
      <c r="Z148" s="716"/>
      <c r="AA148" s="716"/>
      <c r="AB148" s="716"/>
      <c r="AC148" s="716"/>
      <c r="AD148" s="716"/>
      <c r="AE148" s="716"/>
      <c r="AF148" s="716"/>
      <c r="AG148" s="716"/>
      <c r="AH148" s="716"/>
      <c r="AI148" s="716"/>
      <c r="AJ148" s="716"/>
      <c r="AK148" s="716"/>
      <c r="AL148" s="716"/>
      <c r="AM148" s="716"/>
      <c r="AN148" s="716"/>
      <c r="AO148" s="716"/>
      <c r="AP148" s="716"/>
      <c r="AQ148" s="716"/>
      <c r="AR148" s="716"/>
    </row>
    <row r="149">
      <c r="A149" s="716"/>
      <c r="B149" s="530"/>
      <c r="C149" s="530"/>
      <c r="D149" s="530"/>
      <c r="E149" s="530"/>
      <c r="F149" s="530"/>
      <c r="G149" s="530"/>
      <c r="H149" s="530"/>
      <c r="I149" s="530"/>
      <c r="J149" s="530"/>
      <c r="K149" s="530"/>
      <c r="L149" s="530"/>
      <c r="M149" s="530"/>
      <c r="N149" s="530"/>
      <c r="O149" s="530"/>
      <c r="P149" s="530"/>
      <c r="Q149" s="530"/>
      <c r="R149" s="530"/>
      <c r="S149" s="530"/>
      <c r="T149" s="530"/>
      <c r="U149" s="530"/>
      <c r="V149" s="530"/>
      <c r="W149" s="530"/>
      <c r="X149" s="733"/>
      <c r="Y149" s="716"/>
      <c r="Z149" s="716"/>
      <c r="AA149" s="716"/>
      <c r="AB149" s="716"/>
      <c r="AC149" s="716"/>
      <c r="AD149" s="716"/>
      <c r="AE149" s="716"/>
      <c r="AF149" s="716"/>
      <c r="AG149" s="716"/>
      <c r="AH149" s="716"/>
      <c r="AI149" s="716"/>
      <c r="AJ149" s="716"/>
      <c r="AK149" s="716"/>
      <c r="AL149" s="716"/>
      <c r="AM149" s="716"/>
      <c r="AN149" s="716"/>
      <c r="AO149" s="716"/>
      <c r="AP149" s="716"/>
      <c r="AQ149" s="716"/>
      <c r="AR149" s="716"/>
    </row>
    <row r="150">
      <c r="A150" s="716"/>
      <c r="B150" s="530"/>
      <c r="C150" s="530"/>
      <c r="D150" s="530"/>
      <c r="E150" s="530"/>
      <c r="F150" s="530"/>
      <c r="G150" s="530"/>
      <c r="H150" s="530"/>
      <c r="I150" s="530"/>
      <c r="J150" s="530"/>
      <c r="K150" s="530"/>
      <c r="L150" s="530"/>
      <c r="M150" s="530"/>
      <c r="N150" s="530"/>
      <c r="O150" s="530"/>
      <c r="P150" s="530"/>
      <c r="Q150" s="530"/>
      <c r="R150" s="530"/>
      <c r="S150" s="530"/>
      <c r="T150" s="530"/>
      <c r="U150" s="530"/>
      <c r="V150" s="530"/>
      <c r="W150" s="530"/>
      <c r="X150" s="733"/>
      <c r="Y150" s="716"/>
      <c r="Z150" s="716"/>
      <c r="AA150" s="716"/>
      <c r="AB150" s="716"/>
      <c r="AC150" s="716"/>
      <c r="AD150" s="716"/>
      <c r="AE150" s="716"/>
      <c r="AF150" s="716"/>
      <c r="AG150" s="716"/>
      <c r="AH150" s="716"/>
      <c r="AI150" s="716"/>
      <c r="AJ150" s="716"/>
      <c r="AK150" s="716"/>
      <c r="AL150" s="716"/>
      <c r="AM150" s="716"/>
      <c r="AN150" s="716"/>
      <c r="AO150" s="716"/>
      <c r="AP150" s="716"/>
      <c r="AQ150" s="716"/>
      <c r="AR150" s="716"/>
    </row>
    <row r="151">
      <c r="A151" s="716"/>
      <c r="B151" s="530"/>
      <c r="C151" s="530"/>
      <c r="D151" s="530"/>
      <c r="E151" s="530"/>
      <c r="F151" s="530"/>
      <c r="G151" s="530"/>
      <c r="H151" s="530"/>
      <c r="I151" s="530"/>
      <c r="J151" s="530"/>
      <c r="K151" s="530"/>
      <c r="L151" s="530"/>
      <c r="M151" s="530"/>
      <c r="N151" s="530"/>
      <c r="O151" s="530"/>
      <c r="P151" s="530"/>
      <c r="Q151" s="530"/>
      <c r="R151" s="530"/>
      <c r="S151" s="530"/>
      <c r="T151" s="530"/>
      <c r="U151" s="530"/>
      <c r="V151" s="530"/>
      <c r="W151" s="530"/>
      <c r="X151" s="733"/>
      <c r="Y151" s="716"/>
      <c r="Z151" s="716"/>
      <c r="AA151" s="716"/>
      <c r="AB151" s="716"/>
      <c r="AC151" s="716"/>
      <c r="AD151" s="716"/>
      <c r="AE151" s="716"/>
      <c r="AF151" s="716"/>
      <c r="AG151" s="716"/>
      <c r="AH151" s="716"/>
      <c r="AI151" s="716"/>
      <c r="AJ151" s="716"/>
      <c r="AK151" s="716"/>
      <c r="AL151" s="716"/>
      <c r="AM151" s="716"/>
      <c r="AN151" s="716"/>
      <c r="AO151" s="716"/>
      <c r="AP151" s="716"/>
      <c r="AQ151" s="716"/>
      <c r="AR151" s="716"/>
    </row>
    <row r="152">
      <c r="A152" s="716"/>
      <c r="B152" s="530"/>
      <c r="C152" s="530"/>
      <c r="D152" s="530"/>
      <c r="E152" s="530"/>
      <c r="F152" s="530"/>
      <c r="G152" s="530"/>
      <c r="H152" s="530"/>
      <c r="I152" s="530"/>
      <c r="J152" s="530"/>
      <c r="K152" s="530"/>
      <c r="L152" s="530"/>
      <c r="M152" s="530"/>
      <c r="N152" s="530"/>
      <c r="O152" s="530"/>
      <c r="P152" s="530"/>
      <c r="Q152" s="530"/>
      <c r="R152" s="530"/>
      <c r="S152" s="530"/>
      <c r="T152" s="530"/>
      <c r="U152" s="530"/>
      <c r="V152" s="530"/>
      <c r="W152" s="530"/>
      <c r="X152" s="733"/>
      <c r="Y152" s="716"/>
      <c r="Z152" s="716"/>
      <c r="AA152" s="716"/>
      <c r="AB152" s="716"/>
      <c r="AC152" s="716"/>
      <c r="AD152" s="716"/>
      <c r="AE152" s="716"/>
      <c r="AF152" s="716"/>
      <c r="AG152" s="716"/>
      <c r="AH152" s="716"/>
      <c r="AI152" s="716"/>
      <c r="AJ152" s="716"/>
      <c r="AK152" s="716"/>
      <c r="AL152" s="716"/>
      <c r="AM152" s="716"/>
      <c r="AN152" s="716"/>
      <c r="AO152" s="716"/>
      <c r="AP152" s="716"/>
      <c r="AQ152" s="716"/>
      <c r="AR152" s="716"/>
    </row>
    <row r="153">
      <c r="A153" s="716"/>
      <c r="B153" s="530"/>
      <c r="C153" s="530"/>
      <c r="D153" s="530"/>
      <c r="E153" s="530"/>
      <c r="F153" s="530"/>
      <c r="G153" s="530"/>
      <c r="H153" s="530"/>
      <c r="I153" s="530"/>
      <c r="J153" s="530"/>
      <c r="K153" s="530"/>
      <c r="L153" s="530"/>
      <c r="M153" s="530"/>
      <c r="N153" s="530"/>
      <c r="O153" s="530"/>
      <c r="P153" s="530"/>
      <c r="Q153" s="530"/>
      <c r="R153" s="530"/>
      <c r="S153" s="530"/>
      <c r="T153" s="530"/>
      <c r="U153" s="530"/>
      <c r="V153" s="530"/>
      <c r="W153" s="530"/>
      <c r="X153" s="733"/>
      <c r="Y153" s="716"/>
      <c r="Z153" s="716"/>
      <c r="AA153" s="716"/>
      <c r="AB153" s="716"/>
      <c r="AC153" s="716"/>
      <c r="AD153" s="716"/>
      <c r="AE153" s="716"/>
      <c r="AF153" s="716"/>
      <c r="AG153" s="716"/>
      <c r="AH153" s="716"/>
      <c r="AI153" s="716"/>
      <c r="AJ153" s="716"/>
      <c r="AK153" s="716"/>
      <c r="AL153" s="716"/>
      <c r="AM153" s="716"/>
      <c r="AN153" s="716"/>
      <c r="AO153" s="716"/>
      <c r="AP153" s="716"/>
      <c r="AQ153" s="716"/>
      <c r="AR153" s="716"/>
    </row>
    <row r="154">
      <c r="A154" s="716"/>
      <c r="B154" s="530"/>
      <c r="C154" s="530"/>
      <c r="D154" s="530"/>
      <c r="E154" s="530"/>
      <c r="F154" s="530"/>
      <c r="G154" s="530"/>
      <c r="H154" s="530"/>
      <c r="I154" s="530"/>
      <c r="J154" s="530"/>
      <c r="K154" s="530"/>
      <c r="L154" s="530"/>
      <c r="M154" s="530"/>
      <c r="N154" s="530"/>
      <c r="O154" s="530"/>
      <c r="P154" s="530"/>
      <c r="Q154" s="530"/>
      <c r="R154" s="530"/>
      <c r="S154" s="530"/>
      <c r="T154" s="530"/>
      <c r="U154" s="530"/>
      <c r="V154" s="530"/>
      <c r="W154" s="530"/>
      <c r="X154" s="733"/>
      <c r="Y154" s="716"/>
      <c r="Z154" s="716"/>
      <c r="AA154" s="716"/>
      <c r="AB154" s="716"/>
      <c r="AC154" s="716"/>
      <c r="AD154" s="716"/>
      <c r="AE154" s="716"/>
      <c r="AF154" s="716"/>
      <c r="AG154" s="716"/>
      <c r="AH154" s="716"/>
      <c r="AI154" s="716"/>
      <c r="AJ154" s="716"/>
      <c r="AK154" s="716"/>
      <c r="AL154" s="716"/>
      <c r="AM154" s="716"/>
      <c r="AN154" s="716"/>
      <c r="AO154" s="716"/>
      <c r="AP154" s="716"/>
      <c r="AQ154" s="716"/>
      <c r="AR154" s="716"/>
    </row>
    <row r="155">
      <c r="A155" s="716"/>
      <c r="B155" s="530"/>
      <c r="C155" s="530"/>
      <c r="D155" s="530"/>
      <c r="E155" s="530"/>
      <c r="F155" s="530"/>
      <c r="G155" s="530"/>
      <c r="H155" s="530"/>
      <c r="I155" s="530"/>
      <c r="J155" s="530"/>
      <c r="K155" s="530"/>
      <c r="L155" s="530"/>
      <c r="M155" s="530"/>
      <c r="N155" s="530"/>
      <c r="O155" s="530"/>
      <c r="P155" s="530"/>
      <c r="Q155" s="530"/>
      <c r="R155" s="530"/>
      <c r="S155" s="530"/>
      <c r="T155" s="530"/>
      <c r="U155" s="530"/>
      <c r="V155" s="530"/>
      <c r="W155" s="530"/>
      <c r="X155" s="733"/>
      <c r="Y155" s="716"/>
      <c r="Z155" s="716"/>
      <c r="AA155" s="716"/>
      <c r="AB155" s="716"/>
      <c r="AC155" s="716"/>
      <c r="AD155" s="716"/>
      <c r="AE155" s="716"/>
      <c r="AF155" s="716"/>
      <c r="AG155" s="716"/>
      <c r="AH155" s="716"/>
      <c r="AI155" s="716"/>
      <c r="AJ155" s="716"/>
      <c r="AK155" s="716"/>
      <c r="AL155" s="716"/>
      <c r="AM155" s="716"/>
      <c r="AN155" s="716"/>
      <c r="AO155" s="716"/>
      <c r="AP155" s="716"/>
      <c r="AQ155" s="716"/>
      <c r="AR155" s="716"/>
    </row>
    <row r="156">
      <c r="A156" s="716"/>
      <c r="B156" s="530"/>
      <c r="C156" s="530"/>
      <c r="D156" s="530"/>
      <c r="E156" s="530"/>
      <c r="F156" s="530"/>
      <c r="G156" s="530"/>
      <c r="H156" s="530"/>
      <c r="I156" s="530"/>
      <c r="J156" s="530"/>
      <c r="K156" s="530"/>
      <c r="L156" s="530"/>
      <c r="M156" s="530"/>
      <c r="N156" s="530"/>
      <c r="O156" s="530"/>
      <c r="P156" s="530"/>
      <c r="Q156" s="530"/>
      <c r="R156" s="530"/>
      <c r="S156" s="530"/>
      <c r="T156" s="530"/>
      <c r="U156" s="530"/>
      <c r="V156" s="530"/>
      <c r="W156" s="530"/>
      <c r="X156" s="733"/>
      <c r="Y156" s="716"/>
      <c r="Z156" s="716"/>
      <c r="AA156" s="716"/>
      <c r="AB156" s="716"/>
      <c r="AC156" s="716"/>
      <c r="AD156" s="716"/>
      <c r="AE156" s="716"/>
      <c r="AF156" s="716"/>
      <c r="AG156" s="716"/>
      <c r="AH156" s="716"/>
      <c r="AI156" s="716"/>
      <c r="AJ156" s="716"/>
      <c r="AK156" s="716"/>
      <c r="AL156" s="716"/>
      <c r="AM156" s="716"/>
      <c r="AN156" s="716"/>
      <c r="AO156" s="716"/>
      <c r="AP156" s="716"/>
      <c r="AQ156" s="716"/>
      <c r="AR156" s="716"/>
    </row>
    <row r="157">
      <c r="A157" s="716"/>
      <c r="B157" s="530"/>
      <c r="C157" s="530"/>
      <c r="D157" s="530"/>
      <c r="E157" s="530"/>
      <c r="F157" s="530"/>
      <c r="G157" s="530"/>
      <c r="H157" s="530"/>
      <c r="I157" s="530"/>
      <c r="J157" s="530"/>
      <c r="K157" s="530"/>
      <c r="L157" s="530"/>
      <c r="M157" s="530"/>
      <c r="N157" s="530"/>
      <c r="O157" s="530"/>
      <c r="P157" s="530"/>
      <c r="Q157" s="530"/>
      <c r="R157" s="530"/>
      <c r="S157" s="530"/>
      <c r="T157" s="530"/>
      <c r="U157" s="530"/>
      <c r="V157" s="530"/>
      <c r="W157" s="530"/>
      <c r="X157" s="733"/>
      <c r="Y157" s="716"/>
      <c r="Z157" s="716"/>
      <c r="AA157" s="716"/>
      <c r="AB157" s="716"/>
      <c r="AC157" s="716"/>
      <c r="AD157" s="716"/>
      <c r="AE157" s="716"/>
      <c r="AF157" s="716"/>
      <c r="AG157" s="716"/>
      <c r="AH157" s="716"/>
      <c r="AI157" s="716"/>
      <c r="AJ157" s="716"/>
      <c r="AK157" s="716"/>
      <c r="AL157" s="716"/>
      <c r="AM157" s="716"/>
      <c r="AN157" s="716"/>
      <c r="AO157" s="716"/>
      <c r="AP157" s="716"/>
      <c r="AQ157" s="716"/>
      <c r="AR157" s="716"/>
    </row>
    <row r="158">
      <c r="A158" s="716"/>
      <c r="B158" s="530"/>
      <c r="C158" s="530"/>
      <c r="D158" s="530"/>
      <c r="E158" s="530"/>
      <c r="F158" s="530"/>
      <c r="G158" s="530"/>
      <c r="H158" s="530"/>
      <c r="I158" s="530"/>
      <c r="J158" s="530"/>
      <c r="K158" s="530"/>
      <c r="L158" s="530"/>
      <c r="M158" s="530"/>
      <c r="N158" s="530"/>
      <c r="O158" s="530"/>
      <c r="P158" s="530"/>
      <c r="Q158" s="530"/>
      <c r="R158" s="530"/>
      <c r="S158" s="530"/>
      <c r="T158" s="530"/>
      <c r="U158" s="530"/>
      <c r="V158" s="530"/>
      <c r="W158" s="530"/>
      <c r="X158" s="733"/>
      <c r="Y158" s="716"/>
      <c r="Z158" s="716"/>
      <c r="AA158" s="716"/>
      <c r="AB158" s="716"/>
      <c r="AC158" s="716"/>
      <c r="AD158" s="716"/>
      <c r="AE158" s="716"/>
      <c r="AF158" s="716"/>
      <c r="AG158" s="716"/>
      <c r="AH158" s="716"/>
      <c r="AI158" s="716"/>
      <c r="AJ158" s="716"/>
      <c r="AK158" s="716"/>
      <c r="AL158" s="716"/>
      <c r="AM158" s="716"/>
      <c r="AN158" s="716"/>
      <c r="AO158" s="716"/>
      <c r="AP158" s="716"/>
      <c r="AQ158" s="716"/>
      <c r="AR158" s="716"/>
    </row>
    <row r="159">
      <c r="A159" s="716"/>
      <c r="B159" s="530"/>
      <c r="C159" s="530"/>
      <c r="D159" s="530"/>
      <c r="E159" s="530"/>
      <c r="F159" s="530"/>
      <c r="G159" s="530"/>
      <c r="H159" s="530"/>
      <c r="I159" s="530"/>
      <c r="J159" s="530"/>
      <c r="K159" s="530"/>
      <c r="L159" s="530"/>
      <c r="M159" s="530"/>
      <c r="N159" s="530"/>
      <c r="O159" s="530"/>
      <c r="P159" s="530"/>
      <c r="Q159" s="530"/>
      <c r="R159" s="530"/>
      <c r="S159" s="530"/>
      <c r="T159" s="530"/>
      <c r="U159" s="530"/>
      <c r="V159" s="530"/>
      <c r="W159" s="530"/>
      <c r="X159" s="733"/>
      <c r="Y159" s="716"/>
      <c r="Z159" s="716"/>
      <c r="AA159" s="716"/>
      <c r="AB159" s="716"/>
      <c r="AC159" s="716"/>
      <c r="AD159" s="716"/>
      <c r="AE159" s="716"/>
      <c r="AF159" s="716"/>
      <c r="AG159" s="716"/>
      <c r="AH159" s="716"/>
      <c r="AI159" s="716"/>
      <c r="AJ159" s="716"/>
      <c r="AK159" s="716"/>
      <c r="AL159" s="716"/>
      <c r="AM159" s="716"/>
      <c r="AN159" s="716"/>
      <c r="AO159" s="716"/>
      <c r="AP159" s="716"/>
      <c r="AQ159" s="716"/>
      <c r="AR159" s="716"/>
    </row>
    <row r="160">
      <c r="A160" s="716"/>
      <c r="B160" s="530"/>
      <c r="C160" s="530"/>
      <c r="D160" s="530"/>
      <c r="E160" s="530"/>
      <c r="F160" s="530"/>
      <c r="G160" s="530"/>
      <c r="H160" s="530"/>
      <c r="I160" s="530"/>
      <c r="J160" s="530"/>
      <c r="K160" s="530"/>
      <c r="L160" s="530"/>
      <c r="M160" s="530"/>
      <c r="N160" s="530"/>
      <c r="O160" s="530"/>
      <c r="P160" s="530"/>
      <c r="Q160" s="530"/>
      <c r="R160" s="530"/>
      <c r="S160" s="530"/>
      <c r="T160" s="530"/>
      <c r="U160" s="530"/>
      <c r="V160" s="530"/>
      <c r="W160" s="530"/>
      <c r="X160" s="733"/>
      <c r="Y160" s="716"/>
      <c r="Z160" s="716"/>
      <c r="AA160" s="716"/>
      <c r="AB160" s="716"/>
      <c r="AC160" s="716"/>
      <c r="AD160" s="716"/>
      <c r="AE160" s="716"/>
      <c r="AF160" s="716"/>
      <c r="AG160" s="716"/>
      <c r="AH160" s="716"/>
      <c r="AI160" s="716"/>
      <c r="AJ160" s="716"/>
      <c r="AK160" s="716"/>
      <c r="AL160" s="716"/>
      <c r="AM160" s="716"/>
      <c r="AN160" s="716"/>
      <c r="AO160" s="716"/>
      <c r="AP160" s="716"/>
      <c r="AQ160" s="716"/>
      <c r="AR160" s="716"/>
    </row>
    <row r="161">
      <c r="A161" s="716"/>
      <c r="B161" s="530"/>
      <c r="C161" s="530"/>
      <c r="D161" s="530"/>
      <c r="E161" s="530"/>
      <c r="F161" s="530"/>
      <c r="G161" s="530"/>
      <c r="H161" s="530"/>
      <c r="I161" s="530"/>
      <c r="J161" s="530"/>
      <c r="K161" s="530"/>
      <c r="L161" s="530"/>
      <c r="M161" s="530"/>
      <c r="N161" s="530"/>
      <c r="O161" s="530"/>
      <c r="P161" s="530"/>
      <c r="Q161" s="530"/>
      <c r="R161" s="530"/>
      <c r="S161" s="530"/>
      <c r="T161" s="530"/>
      <c r="U161" s="530"/>
      <c r="V161" s="530"/>
      <c r="W161" s="530"/>
      <c r="X161" s="733"/>
      <c r="Y161" s="716"/>
      <c r="Z161" s="716"/>
      <c r="AA161" s="716"/>
      <c r="AB161" s="716"/>
      <c r="AC161" s="716"/>
      <c r="AD161" s="716"/>
      <c r="AE161" s="716"/>
      <c r="AF161" s="716"/>
      <c r="AG161" s="716"/>
      <c r="AH161" s="716"/>
      <c r="AI161" s="716"/>
      <c r="AJ161" s="716"/>
      <c r="AK161" s="716"/>
      <c r="AL161" s="716"/>
      <c r="AM161" s="716"/>
      <c r="AN161" s="716"/>
      <c r="AO161" s="716"/>
      <c r="AP161" s="716"/>
      <c r="AQ161" s="716"/>
      <c r="AR161" s="716"/>
    </row>
    <row r="162">
      <c r="A162" s="716"/>
      <c r="B162" s="530"/>
      <c r="C162" s="530"/>
      <c r="D162" s="530"/>
      <c r="E162" s="530"/>
      <c r="F162" s="530"/>
      <c r="G162" s="530"/>
      <c r="H162" s="530"/>
      <c r="I162" s="530"/>
      <c r="J162" s="530"/>
      <c r="K162" s="530"/>
      <c r="L162" s="530"/>
      <c r="M162" s="530"/>
      <c r="N162" s="530"/>
      <c r="O162" s="530"/>
      <c r="P162" s="530"/>
      <c r="Q162" s="530"/>
      <c r="R162" s="530"/>
      <c r="S162" s="530"/>
      <c r="T162" s="530"/>
      <c r="U162" s="530"/>
      <c r="V162" s="530"/>
      <c r="W162" s="530"/>
      <c r="X162" s="733"/>
      <c r="Y162" s="716"/>
      <c r="Z162" s="716"/>
      <c r="AA162" s="716"/>
      <c r="AB162" s="716"/>
      <c r="AC162" s="716"/>
      <c r="AD162" s="716"/>
      <c r="AE162" s="716"/>
      <c r="AF162" s="716"/>
      <c r="AG162" s="716"/>
      <c r="AH162" s="716"/>
      <c r="AI162" s="716"/>
      <c r="AJ162" s="716"/>
      <c r="AK162" s="716"/>
      <c r="AL162" s="716"/>
      <c r="AM162" s="716"/>
      <c r="AN162" s="716"/>
      <c r="AO162" s="716"/>
      <c r="AP162" s="716"/>
      <c r="AQ162" s="716"/>
      <c r="AR162" s="716"/>
    </row>
    <row r="163">
      <c r="A163" s="716"/>
      <c r="B163" s="530"/>
      <c r="C163" s="530"/>
      <c r="D163" s="530"/>
      <c r="E163" s="530"/>
      <c r="F163" s="530"/>
      <c r="G163" s="530"/>
      <c r="H163" s="530"/>
      <c r="I163" s="530"/>
      <c r="J163" s="530"/>
      <c r="K163" s="530"/>
      <c r="L163" s="530"/>
      <c r="M163" s="530"/>
      <c r="N163" s="530"/>
      <c r="O163" s="530"/>
      <c r="P163" s="530"/>
      <c r="Q163" s="530"/>
      <c r="R163" s="530"/>
      <c r="S163" s="530"/>
      <c r="T163" s="530"/>
      <c r="U163" s="530"/>
      <c r="V163" s="530"/>
      <c r="W163" s="530"/>
      <c r="X163" s="733"/>
      <c r="Y163" s="716"/>
      <c r="Z163" s="716"/>
      <c r="AA163" s="716"/>
      <c r="AB163" s="716"/>
      <c r="AC163" s="716"/>
      <c r="AD163" s="716"/>
      <c r="AE163" s="716"/>
      <c r="AF163" s="716"/>
      <c r="AG163" s="716"/>
      <c r="AH163" s="716"/>
      <c r="AI163" s="716"/>
      <c r="AJ163" s="716"/>
      <c r="AK163" s="716"/>
      <c r="AL163" s="716"/>
      <c r="AM163" s="716"/>
      <c r="AN163" s="716"/>
      <c r="AO163" s="716"/>
      <c r="AP163" s="716"/>
      <c r="AQ163" s="716"/>
      <c r="AR163" s="716"/>
    </row>
    <row r="164">
      <c r="A164" s="716"/>
      <c r="B164" s="530"/>
      <c r="C164" s="530"/>
      <c r="D164" s="530"/>
      <c r="E164" s="530"/>
      <c r="F164" s="530"/>
      <c r="G164" s="530"/>
      <c r="H164" s="530"/>
      <c r="I164" s="530"/>
      <c r="J164" s="530"/>
      <c r="K164" s="530"/>
      <c r="L164" s="530"/>
      <c r="M164" s="530"/>
      <c r="N164" s="530"/>
      <c r="O164" s="530"/>
      <c r="P164" s="530"/>
      <c r="Q164" s="530"/>
      <c r="R164" s="530"/>
      <c r="S164" s="530"/>
      <c r="T164" s="530"/>
      <c r="U164" s="530"/>
      <c r="V164" s="530"/>
      <c r="W164" s="530"/>
      <c r="X164" s="733"/>
      <c r="Y164" s="716"/>
      <c r="Z164" s="716"/>
      <c r="AA164" s="716"/>
      <c r="AB164" s="716"/>
      <c r="AC164" s="716"/>
      <c r="AD164" s="716"/>
      <c r="AE164" s="716"/>
      <c r="AF164" s="716"/>
      <c r="AG164" s="716"/>
      <c r="AH164" s="716"/>
      <c r="AI164" s="716"/>
      <c r="AJ164" s="716"/>
      <c r="AK164" s="716"/>
      <c r="AL164" s="716"/>
      <c r="AM164" s="716"/>
      <c r="AN164" s="716"/>
      <c r="AO164" s="716"/>
      <c r="AP164" s="716"/>
      <c r="AQ164" s="716"/>
      <c r="AR164" s="716"/>
    </row>
    <row r="165">
      <c r="A165" s="716"/>
      <c r="B165" s="530"/>
      <c r="C165" s="530"/>
      <c r="D165" s="530"/>
      <c r="E165" s="530"/>
      <c r="F165" s="530"/>
      <c r="G165" s="530"/>
      <c r="H165" s="530"/>
      <c r="I165" s="530"/>
      <c r="J165" s="530"/>
      <c r="K165" s="530"/>
      <c r="L165" s="530"/>
      <c r="M165" s="530"/>
      <c r="N165" s="530"/>
      <c r="O165" s="530"/>
      <c r="P165" s="530"/>
      <c r="Q165" s="530"/>
      <c r="R165" s="530"/>
      <c r="S165" s="530"/>
      <c r="T165" s="530"/>
      <c r="U165" s="530"/>
      <c r="V165" s="530"/>
      <c r="W165" s="530"/>
      <c r="X165" s="733"/>
      <c r="Y165" s="716"/>
      <c r="Z165" s="716"/>
      <c r="AA165" s="716"/>
      <c r="AB165" s="716"/>
      <c r="AC165" s="716"/>
      <c r="AD165" s="716"/>
      <c r="AE165" s="716"/>
      <c r="AF165" s="716"/>
      <c r="AG165" s="716"/>
      <c r="AH165" s="716"/>
      <c r="AI165" s="716"/>
      <c r="AJ165" s="716"/>
      <c r="AK165" s="716"/>
      <c r="AL165" s="716"/>
      <c r="AM165" s="716"/>
      <c r="AN165" s="716"/>
      <c r="AO165" s="716"/>
      <c r="AP165" s="716"/>
      <c r="AQ165" s="716"/>
      <c r="AR165" s="716"/>
    </row>
    <row r="166">
      <c r="A166" s="716"/>
      <c r="B166" s="530"/>
      <c r="C166" s="530"/>
      <c r="D166" s="530"/>
      <c r="E166" s="530"/>
      <c r="F166" s="530"/>
      <c r="G166" s="530"/>
      <c r="H166" s="530"/>
      <c r="I166" s="530"/>
      <c r="J166" s="530"/>
      <c r="K166" s="530"/>
      <c r="L166" s="530"/>
      <c r="M166" s="530"/>
      <c r="N166" s="530"/>
      <c r="O166" s="530"/>
      <c r="P166" s="530"/>
      <c r="Q166" s="530"/>
      <c r="R166" s="530"/>
      <c r="S166" s="530"/>
      <c r="T166" s="530"/>
      <c r="U166" s="530"/>
      <c r="V166" s="530"/>
      <c r="W166" s="530"/>
      <c r="X166" s="733"/>
      <c r="Y166" s="716"/>
      <c r="Z166" s="716"/>
      <c r="AA166" s="716"/>
      <c r="AB166" s="716"/>
      <c r="AC166" s="716"/>
      <c r="AD166" s="716"/>
      <c r="AE166" s="716"/>
      <c r="AF166" s="716"/>
      <c r="AG166" s="716"/>
      <c r="AH166" s="716"/>
      <c r="AI166" s="716"/>
      <c r="AJ166" s="716"/>
      <c r="AK166" s="716"/>
      <c r="AL166" s="716"/>
      <c r="AM166" s="716"/>
      <c r="AN166" s="716"/>
      <c r="AO166" s="716"/>
      <c r="AP166" s="716"/>
      <c r="AQ166" s="716"/>
      <c r="AR166" s="716"/>
    </row>
    <row r="167">
      <c r="A167" s="716"/>
      <c r="B167" s="530"/>
      <c r="C167" s="530"/>
      <c r="D167" s="530"/>
      <c r="E167" s="530"/>
      <c r="F167" s="530"/>
      <c r="G167" s="530"/>
      <c r="H167" s="530"/>
      <c r="I167" s="530"/>
      <c r="J167" s="530"/>
      <c r="K167" s="530"/>
      <c r="L167" s="530"/>
      <c r="M167" s="530"/>
      <c r="N167" s="530"/>
      <c r="O167" s="530"/>
      <c r="P167" s="530"/>
      <c r="Q167" s="530"/>
      <c r="R167" s="530"/>
      <c r="S167" s="530"/>
      <c r="T167" s="530"/>
      <c r="U167" s="530"/>
      <c r="V167" s="530"/>
      <c r="W167" s="530"/>
      <c r="X167" s="733"/>
      <c r="Y167" s="716"/>
      <c r="Z167" s="716"/>
      <c r="AA167" s="716"/>
      <c r="AB167" s="716"/>
      <c r="AC167" s="716"/>
      <c r="AD167" s="716"/>
      <c r="AE167" s="716"/>
      <c r="AF167" s="716"/>
      <c r="AG167" s="716"/>
      <c r="AH167" s="716"/>
      <c r="AI167" s="716"/>
      <c r="AJ167" s="716"/>
      <c r="AK167" s="716"/>
      <c r="AL167" s="716"/>
      <c r="AM167" s="716"/>
      <c r="AN167" s="716"/>
      <c r="AO167" s="716"/>
      <c r="AP167" s="716"/>
      <c r="AQ167" s="716"/>
      <c r="AR167" s="716"/>
    </row>
    <row r="168">
      <c r="A168" s="716"/>
      <c r="B168" s="530"/>
      <c r="C168" s="530"/>
      <c r="D168" s="530"/>
      <c r="E168" s="530"/>
      <c r="F168" s="530"/>
      <c r="G168" s="530"/>
      <c r="H168" s="530"/>
      <c r="I168" s="530"/>
      <c r="J168" s="530"/>
      <c r="K168" s="530"/>
      <c r="L168" s="530"/>
      <c r="M168" s="530"/>
      <c r="N168" s="530"/>
      <c r="O168" s="530"/>
      <c r="P168" s="530"/>
      <c r="Q168" s="530"/>
      <c r="R168" s="530"/>
      <c r="S168" s="530"/>
      <c r="T168" s="530"/>
      <c r="U168" s="530"/>
      <c r="V168" s="530"/>
      <c r="W168" s="530"/>
      <c r="X168" s="733"/>
      <c r="Y168" s="716"/>
      <c r="Z168" s="716"/>
      <c r="AA168" s="716"/>
      <c r="AB168" s="716"/>
      <c r="AC168" s="716"/>
      <c r="AD168" s="716"/>
      <c r="AE168" s="716"/>
      <c r="AF168" s="716"/>
      <c r="AG168" s="716"/>
      <c r="AH168" s="716"/>
      <c r="AI168" s="716"/>
      <c r="AJ168" s="716"/>
      <c r="AK168" s="716"/>
      <c r="AL168" s="716"/>
      <c r="AM168" s="716"/>
      <c r="AN168" s="716"/>
      <c r="AO168" s="716"/>
      <c r="AP168" s="716"/>
      <c r="AQ168" s="716"/>
      <c r="AR168" s="716"/>
    </row>
    <row r="169">
      <c r="A169" s="716"/>
      <c r="B169" s="530"/>
      <c r="C169" s="530"/>
      <c r="D169" s="530"/>
      <c r="E169" s="530"/>
      <c r="F169" s="530"/>
      <c r="G169" s="530"/>
      <c r="H169" s="530"/>
      <c r="I169" s="530"/>
      <c r="J169" s="530"/>
      <c r="K169" s="530"/>
      <c r="L169" s="530"/>
      <c r="M169" s="530"/>
      <c r="N169" s="530"/>
      <c r="O169" s="530"/>
      <c r="P169" s="530"/>
      <c r="Q169" s="530"/>
      <c r="R169" s="530"/>
      <c r="S169" s="530"/>
      <c r="T169" s="530"/>
      <c r="U169" s="530"/>
      <c r="V169" s="530"/>
      <c r="W169" s="530"/>
      <c r="X169" s="733"/>
      <c r="Y169" s="716"/>
      <c r="Z169" s="716"/>
      <c r="AA169" s="716"/>
      <c r="AB169" s="716"/>
      <c r="AC169" s="716"/>
      <c r="AD169" s="716"/>
      <c r="AE169" s="716"/>
      <c r="AF169" s="716"/>
      <c r="AG169" s="716"/>
      <c r="AH169" s="716"/>
      <c r="AI169" s="716"/>
      <c r="AJ169" s="716"/>
      <c r="AK169" s="716"/>
      <c r="AL169" s="716"/>
      <c r="AM169" s="716"/>
      <c r="AN169" s="716"/>
      <c r="AO169" s="716"/>
      <c r="AP169" s="716"/>
      <c r="AQ169" s="716"/>
      <c r="AR169" s="716"/>
    </row>
    <row r="170">
      <c r="A170" s="716"/>
      <c r="B170" s="530"/>
      <c r="C170" s="530"/>
      <c r="D170" s="530"/>
      <c r="E170" s="530"/>
      <c r="F170" s="530"/>
      <c r="G170" s="530"/>
      <c r="H170" s="530"/>
      <c r="I170" s="530"/>
      <c r="J170" s="530"/>
      <c r="K170" s="530"/>
      <c r="L170" s="530"/>
      <c r="M170" s="530"/>
      <c r="N170" s="530"/>
      <c r="O170" s="530"/>
      <c r="P170" s="530"/>
      <c r="Q170" s="530"/>
      <c r="R170" s="530"/>
      <c r="S170" s="530"/>
      <c r="T170" s="530"/>
      <c r="U170" s="530"/>
      <c r="V170" s="530"/>
      <c r="W170" s="530"/>
      <c r="X170" s="733"/>
      <c r="Y170" s="716"/>
      <c r="Z170" s="716"/>
      <c r="AA170" s="716"/>
      <c r="AB170" s="716"/>
      <c r="AC170" s="716"/>
      <c r="AD170" s="716"/>
      <c r="AE170" s="716"/>
      <c r="AF170" s="716"/>
      <c r="AG170" s="716"/>
      <c r="AH170" s="716"/>
      <c r="AI170" s="716"/>
      <c r="AJ170" s="716"/>
      <c r="AK170" s="716"/>
      <c r="AL170" s="716"/>
      <c r="AM170" s="716"/>
      <c r="AN170" s="716"/>
      <c r="AO170" s="716"/>
      <c r="AP170" s="716"/>
      <c r="AQ170" s="716"/>
      <c r="AR170" s="716"/>
    </row>
    <row r="171">
      <c r="A171" s="716"/>
      <c r="B171" s="530"/>
      <c r="C171" s="530"/>
      <c r="D171" s="530"/>
      <c r="E171" s="530"/>
      <c r="F171" s="530"/>
      <c r="G171" s="530"/>
      <c r="H171" s="530"/>
      <c r="I171" s="530"/>
      <c r="J171" s="530"/>
      <c r="K171" s="530"/>
      <c r="L171" s="530"/>
      <c r="M171" s="530"/>
      <c r="N171" s="530"/>
      <c r="O171" s="530"/>
      <c r="P171" s="530"/>
      <c r="Q171" s="530"/>
      <c r="R171" s="530"/>
      <c r="S171" s="530"/>
      <c r="T171" s="530"/>
      <c r="U171" s="530"/>
      <c r="V171" s="530"/>
      <c r="W171" s="530"/>
      <c r="X171" s="733"/>
      <c r="Y171" s="716"/>
      <c r="Z171" s="716"/>
      <c r="AA171" s="716"/>
      <c r="AB171" s="716"/>
      <c r="AC171" s="716"/>
      <c r="AD171" s="716"/>
      <c r="AE171" s="716"/>
      <c r="AF171" s="716"/>
      <c r="AG171" s="716"/>
      <c r="AH171" s="716"/>
      <c r="AI171" s="716"/>
      <c r="AJ171" s="716"/>
      <c r="AK171" s="716"/>
      <c r="AL171" s="716"/>
      <c r="AM171" s="716"/>
      <c r="AN171" s="716"/>
      <c r="AO171" s="716"/>
      <c r="AP171" s="716"/>
      <c r="AQ171" s="716"/>
      <c r="AR171" s="716"/>
    </row>
    <row r="172">
      <c r="A172" s="716"/>
      <c r="B172" s="530"/>
      <c r="C172" s="530"/>
      <c r="D172" s="530"/>
      <c r="E172" s="530"/>
      <c r="F172" s="530"/>
      <c r="G172" s="530"/>
      <c r="H172" s="530"/>
      <c r="I172" s="530"/>
      <c r="J172" s="530"/>
      <c r="K172" s="530"/>
      <c r="L172" s="530"/>
      <c r="M172" s="530"/>
      <c r="N172" s="530"/>
      <c r="O172" s="530"/>
      <c r="P172" s="530"/>
      <c r="Q172" s="530"/>
      <c r="R172" s="530"/>
      <c r="S172" s="530"/>
      <c r="T172" s="530"/>
      <c r="U172" s="530"/>
      <c r="V172" s="530"/>
      <c r="W172" s="530"/>
      <c r="X172" s="733"/>
      <c r="Y172" s="716"/>
      <c r="Z172" s="716"/>
      <c r="AA172" s="716"/>
      <c r="AB172" s="716"/>
      <c r="AC172" s="716"/>
      <c r="AD172" s="716"/>
      <c r="AE172" s="716"/>
      <c r="AF172" s="716"/>
      <c r="AG172" s="716"/>
      <c r="AH172" s="716"/>
      <c r="AI172" s="716"/>
      <c r="AJ172" s="716"/>
      <c r="AK172" s="716"/>
      <c r="AL172" s="716"/>
      <c r="AM172" s="716"/>
      <c r="AN172" s="716"/>
      <c r="AO172" s="716"/>
      <c r="AP172" s="716"/>
      <c r="AQ172" s="716"/>
      <c r="AR172" s="716"/>
    </row>
    <row r="173">
      <c r="A173" s="716"/>
      <c r="B173" s="530"/>
      <c r="C173" s="530"/>
      <c r="D173" s="530"/>
      <c r="E173" s="530"/>
      <c r="F173" s="530"/>
      <c r="G173" s="530"/>
      <c r="H173" s="530"/>
      <c r="I173" s="530"/>
      <c r="J173" s="530"/>
      <c r="K173" s="530"/>
      <c r="L173" s="530"/>
      <c r="M173" s="530"/>
      <c r="N173" s="530"/>
      <c r="O173" s="530"/>
      <c r="P173" s="530"/>
      <c r="Q173" s="530"/>
      <c r="R173" s="530"/>
      <c r="S173" s="530"/>
      <c r="T173" s="530"/>
      <c r="U173" s="530"/>
      <c r="V173" s="530"/>
      <c r="W173" s="530"/>
      <c r="X173" s="733"/>
      <c r="Y173" s="716"/>
      <c r="Z173" s="716"/>
      <c r="AA173" s="716"/>
      <c r="AB173" s="716"/>
      <c r="AC173" s="716"/>
      <c r="AD173" s="716"/>
      <c r="AE173" s="716"/>
      <c r="AF173" s="716"/>
      <c r="AG173" s="716"/>
      <c r="AH173" s="716"/>
      <c r="AI173" s="716"/>
      <c r="AJ173" s="716"/>
      <c r="AK173" s="716"/>
      <c r="AL173" s="716"/>
      <c r="AM173" s="716"/>
      <c r="AN173" s="716"/>
      <c r="AO173" s="716"/>
      <c r="AP173" s="716"/>
      <c r="AQ173" s="716"/>
      <c r="AR173" s="716"/>
    </row>
    <row r="174">
      <c r="A174" s="716"/>
      <c r="B174" s="530"/>
      <c r="C174" s="530"/>
      <c r="D174" s="530"/>
      <c r="E174" s="530"/>
      <c r="F174" s="530"/>
      <c r="G174" s="530"/>
      <c r="H174" s="530"/>
      <c r="I174" s="530"/>
      <c r="J174" s="530"/>
      <c r="K174" s="530"/>
      <c r="L174" s="530"/>
      <c r="M174" s="530"/>
      <c r="N174" s="530"/>
      <c r="O174" s="530"/>
      <c r="P174" s="530"/>
      <c r="Q174" s="530"/>
      <c r="R174" s="530"/>
      <c r="S174" s="530"/>
      <c r="T174" s="530"/>
      <c r="U174" s="530"/>
      <c r="V174" s="530"/>
      <c r="W174" s="530"/>
      <c r="X174" s="733"/>
      <c r="Y174" s="716"/>
      <c r="Z174" s="716"/>
      <c r="AA174" s="716"/>
      <c r="AB174" s="716"/>
      <c r="AC174" s="716"/>
      <c r="AD174" s="716"/>
      <c r="AE174" s="716"/>
      <c r="AF174" s="716"/>
      <c r="AG174" s="716"/>
      <c r="AH174" s="716"/>
      <c r="AI174" s="716"/>
      <c r="AJ174" s="716"/>
      <c r="AK174" s="716"/>
      <c r="AL174" s="716"/>
      <c r="AM174" s="716"/>
      <c r="AN174" s="716"/>
      <c r="AO174" s="716"/>
      <c r="AP174" s="716"/>
      <c r="AQ174" s="716"/>
      <c r="AR174" s="716"/>
    </row>
    <row r="175">
      <c r="A175" s="716"/>
      <c r="B175" s="530"/>
      <c r="C175" s="530"/>
      <c r="D175" s="530"/>
      <c r="E175" s="530"/>
      <c r="F175" s="530"/>
      <c r="G175" s="530"/>
      <c r="H175" s="530"/>
      <c r="I175" s="530"/>
      <c r="J175" s="530"/>
      <c r="K175" s="530"/>
      <c r="L175" s="530"/>
      <c r="M175" s="530"/>
      <c r="N175" s="530"/>
      <c r="O175" s="530"/>
      <c r="P175" s="530"/>
      <c r="Q175" s="530"/>
      <c r="R175" s="530"/>
      <c r="S175" s="530"/>
      <c r="T175" s="530"/>
      <c r="U175" s="530"/>
      <c r="V175" s="530"/>
      <c r="W175" s="530"/>
      <c r="X175" s="733"/>
      <c r="Y175" s="716"/>
      <c r="Z175" s="716"/>
      <c r="AA175" s="716"/>
      <c r="AB175" s="716"/>
      <c r="AC175" s="716"/>
      <c r="AD175" s="716"/>
      <c r="AE175" s="716"/>
      <c r="AF175" s="716"/>
      <c r="AG175" s="716"/>
      <c r="AH175" s="716"/>
      <c r="AI175" s="716"/>
      <c r="AJ175" s="716"/>
      <c r="AK175" s="716"/>
      <c r="AL175" s="716"/>
      <c r="AM175" s="716"/>
      <c r="AN175" s="716"/>
      <c r="AO175" s="716"/>
      <c r="AP175" s="716"/>
      <c r="AQ175" s="716"/>
      <c r="AR175" s="716"/>
    </row>
    <row r="176">
      <c r="A176" s="716"/>
      <c r="B176" s="530"/>
      <c r="C176" s="530"/>
      <c r="D176" s="530"/>
      <c r="E176" s="530"/>
      <c r="F176" s="530"/>
      <c r="G176" s="530"/>
      <c r="H176" s="530"/>
      <c r="I176" s="530"/>
      <c r="J176" s="530"/>
      <c r="K176" s="530"/>
      <c r="L176" s="530"/>
      <c r="M176" s="530"/>
      <c r="N176" s="530"/>
      <c r="O176" s="530"/>
      <c r="P176" s="530"/>
      <c r="Q176" s="530"/>
      <c r="R176" s="530"/>
      <c r="S176" s="530"/>
      <c r="T176" s="530"/>
      <c r="U176" s="530"/>
      <c r="V176" s="530"/>
      <c r="W176" s="530"/>
      <c r="X176" s="733"/>
      <c r="Y176" s="716"/>
      <c r="Z176" s="716"/>
      <c r="AA176" s="716"/>
      <c r="AB176" s="716"/>
      <c r="AC176" s="716"/>
      <c r="AD176" s="716"/>
      <c r="AE176" s="716"/>
      <c r="AF176" s="716"/>
      <c r="AG176" s="716"/>
      <c r="AH176" s="716"/>
      <c r="AI176" s="716"/>
      <c r="AJ176" s="716"/>
      <c r="AK176" s="716"/>
      <c r="AL176" s="716"/>
      <c r="AM176" s="716"/>
      <c r="AN176" s="716"/>
      <c r="AO176" s="716"/>
      <c r="AP176" s="716"/>
      <c r="AQ176" s="716"/>
      <c r="AR176" s="716"/>
    </row>
    <row r="177">
      <c r="A177" s="716"/>
      <c r="B177" s="530"/>
      <c r="C177" s="530"/>
      <c r="D177" s="530"/>
      <c r="E177" s="530"/>
      <c r="F177" s="530"/>
      <c r="G177" s="530"/>
      <c r="H177" s="530"/>
      <c r="I177" s="530"/>
      <c r="J177" s="530"/>
      <c r="K177" s="530"/>
      <c r="L177" s="530"/>
      <c r="M177" s="530"/>
      <c r="N177" s="530"/>
      <c r="O177" s="530"/>
      <c r="P177" s="530"/>
      <c r="Q177" s="530"/>
      <c r="R177" s="530"/>
      <c r="S177" s="530"/>
      <c r="T177" s="530"/>
      <c r="U177" s="530"/>
      <c r="V177" s="530"/>
      <c r="W177" s="530"/>
      <c r="X177" s="733"/>
      <c r="Y177" s="716"/>
      <c r="Z177" s="716"/>
      <c r="AA177" s="716"/>
      <c r="AB177" s="716"/>
      <c r="AC177" s="716"/>
      <c r="AD177" s="716"/>
      <c r="AE177" s="716"/>
      <c r="AF177" s="716"/>
      <c r="AG177" s="716"/>
      <c r="AH177" s="716"/>
      <c r="AI177" s="716"/>
      <c r="AJ177" s="716"/>
      <c r="AK177" s="716"/>
      <c r="AL177" s="716"/>
      <c r="AM177" s="716"/>
      <c r="AN177" s="716"/>
      <c r="AO177" s="716"/>
      <c r="AP177" s="716"/>
      <c r="AQ177" s="716"/>
      <c r="AR177" s="716"/>
    </row>
    <row r="178">
      <c r="A178" s="716"/>
      <c r="B178" s="530"/>
      <c r="C178" s="530"/>
      <c r="D178" s="530"/>
      <c r="E178" s="530"/>
      <c r="F178" s="530"/>
      <c r="G178" s="530"/>
      <c r="H178" s="530"/>
      <c r="I178" s="530"/>
      <c r="J178" s="530"/>
      <c r="K178" s="530"/>
      <c r="L178" s="530"/>
      <c r="M178" s="530"/>
      <c r="N178" s="530"/>
      <c r="O178" s="530"/>
      <c r="P178" s="530"/>
      <c r="Q178" s="530"/>
      <c r="R178" s="530"/>
      <c r="S178" s="530"/>
      <c r="T178" s="530"/>
      <c r="U178" s="530"/>
      <c r="V178" s="530"/>
      <c r="W178" s="530"/>
      <c r="X178" s="733"/>
      <c r="Y178" s="716"/>
      <c r="Z178" s="716"/>
      <c r="AA178" s="716"/>
      <c r="AB178" s="716"/>
      <c r="AC178" s="716"/>
      <c r="AD178" s="716"/>
      <c r="AE178" s="716"/>
      <c r="AF178" s="716"/>
      <c r="AG178" s="716"/>
      <c r="AH178" s="716"/>
      <c r="AI178" s="716"/>
      <c r="AJ178" s="716"/>
      <c r="AK178" s="716"/>
      <c r="AL178" s="716"/>
      <c r="AM178" s="716"/>
      <c r="AN178" s="716"/>
      <c r="AO178" s="716"/>
      <c r="AP178" s="716"/>
      <c r="AQ178" s="716"/>
      <c r="AR178" s="716"/>
    </row>
    <row r="179">
      <c r="A179" s="716"/>
      <c r="B179" s="530"/>
      <c r="C179" s="530"/>
      <c r="D179" s="530"/>
      <c r="E179" s="530"/>
      <c r="F179" s="530"/>
      <c r="G179" s="530"/>
      <c r="H179" s="530"/>
      <c r="I179" s="530"/>
      <c r="J179" s="530"/>
      <c r="K179" s="530"/>
      <c r="L179" s="530"/>
      <c r="M179" s="530"/>
      <c r="N179" s="530"/>
      <c r="O179" s="530"/>
      <c r="P179" s="530"/>
      <c r="Q179" s="530"/>
      <c r="R179" s="530"/>
      <c r="S179" s="530"/>
      <c r="T179" s="530"/>
      <c r="U179" s="530"/>
      <c r="V179" s="530"/>
      <c r="W179" s="530"/>
      <c r="X179" s="733"/>
      <c r="Y179" s="716"/>
      <c r="Z179" s="716"/>
      <c r="AA179" s="716"/>
      <c r="AB179" s="716"/>
      <c r="AC179" s="716"/>
      <c r="AD179" s="716"/>
      <c r="AE179" s="716"/>
      <c r="AF179" s="716"/>
      <c r="AG179" s="716"/>
      <c r="AH179" s="716"/>
      <c r="AI179" s="716"/>
      <c r="AJ179" s="716"/>
      <c r="AK179" s="716"/>
      <c r="AL179" s="716"/>
      <c r="AM179" s="716"/>
      <c r="AN179" s="716"/>
      <c r="AO179" s="716"/>
      <c r="AP179" s="716"/>
      <c r="AQ179" s="716"/>
      <c r="AR179" s="716"/>
    </row>
    <row r="180">
      <c r="A180" s="716"/>
      <c r="B180" s="530"/>
      <c r="C180" s="530"/>
      <c r="D180" s="530"/>
      <c r="E180" s="530"/>
      <c r="F180" s="530"/>
      <c r="G180" s="530"/>
      <c r="H180" s="530"/>
      <c r="I180" s="530"/>
      <c r="J180" s="530"/>
      <c r="K180" s="530"/>
      <c r="L180" s="530"/>
      <c r="M180" s="530"/>
      <c r="N180" s="530"/>
      <c r="O180" s="530"/>
      <c r="P180" s="530"/>
      <c r="Q180" s="530"/>
      <c r="R180" s="530"/>
      <c r="S180" s="530"/>
      <c r="T180" s="530"/>
      <c r="U180" s="530"/>
      <c r="V180" s="530"/>
      <c r="W180" s="530"/>
      <c r="X180" s="733"/>
      <c r="Y180" s="716"/>
      <c r="Z180" s="716"/>
      <c r="AA180" s="716"/>
      <c r="AB180" s="716"/>
      <c r="AC180" s="716"/>
      <c r="AD180" s="716"/>
      <c r="AE180" s="716"/>
      <c r="AF180" s="716"/>
      <c r="AG180" s="716"/>
      <c r="AH180" s="716"/>
      <c r="AI180" s="716"/>
      <c r="AJ180" s="716"/>
      <c r="AK180" s="716"/>
      <c r="AL180" s="716"/>
      <c r="AM180" s="716"/>
      <c r="AN180" s="716"/>
      <c r="AO180" s="716"/>
      <c r="AP180" s="716"/>
      <c r="AQ180" s="716"/>
      <c r="AR180" s="716"/>
    </row>
    <row r="181">
      <c r="A181" s="716"/>
      <c r="B181" s="530"/>
      <c r="C181" s="530"/>
      <c r="D181" s="530"/>
      <c r="E181" s="530"/>
      <c r="F181" s="530"/>
      <c r="G181" s="530"/>
      <c r="H181" s="530"/>
      <c r="I181" s="530"/>
      <c r="J181" s="530"/>
      <c r="K181" s="530"/>
      <c r="L181" s="530"/>
      <c r="M181" s="530"/>
      <c r="N181" s="530"/>
      <c r="O181" s="530"/>
      <c r="P181" s="530"/>
      <c r="Q181" s="530"/>
      <c r="R181" s="530"/>
      <c r="S181" s="530"/>
      <c r="T181" s="530"/>
      <c r="U181" s="530"/>
      <c r="V181" s="530"/>
      <c r="W181" s="530"/>
      <c r="X181" s="733"/>
      <c r="Y181" s="716"/>
      <c r="Z181" s="716"/>
      <c r="AA181" s="716"/>
      <c r="AB181" s="716"/>
      <c r="AC181" s="716"/>
      <c r="AD181" s="716"/>
      <c r="AE181" s="716"/>
      <c r="AF181" s="716"/>
      <c r="AG181" s="716"/>
      <c r="AH181" s="716"/>
      <c r="AI181" s="716"/>
      <c r="AJ181" s="716"/>
      <c r="AK181" s="716"/>
      <c r="AL181" s="716"/>
      <c r="AM181" s="716"/>
      <c r="AN181" s="716"/>
      <c r="AO181" s="716"/>
      <c r="AP181" s="716"/>
      <c r="AQ181" s="716"/>
      <c r="AR181" s="716"/>
    </row>
    <row r="182">
      <c r="A182" s="716"/>
      <c r="B182" s="530"/>
      <c r="C182" s="530"/>
      <c r="D182" s="530"/>
      <c r="E182" s="530"/>
      <c r="F182" s="530"/>
      <c r="G182" s="530"/>
      <c r="H182" s="530"/>
      <c r="I182" s="530"/>
      <c r="J182" s="530"/>
      <c r="K182" s="530"/>
      <c r="L182" s="530"/>
      <c r="M182" s="530"/>
      <c r="N182" s="530"/>
      <c r="O182" s="530"/>
      <c r="P182" s="530"/>
      <c r="Q182" s="530"/>
      <c r="R182" s="530"/>
      <c r="S182" s="530"/>
      <c r="T182" s="530"/>
      <c r="U182" s="530"/>
      <c r="V182" s="530"/>
      <c r="W182" s="530"/>
      <c r="X182" s="733"/>
      <c r="Y182" s="716"/>
      <c r="Z182" s="716"/>
      <c r="AA182" s="716"/>
      <c r="AB182" s="716"/>
      <c r="AC182" s="716"/>
      <c r="AD182" s="716"/>
      <c r="AE182" s="716"/>
      <c r="AF182" s="716"/>
      <c r="AG182" s="716"/>
      <c r="AH182" s="716"/>
      <c r="AI182" s="716"/>
      <c r="AJ182" s="716"/>
      <c r="AK182" s="716"/>
      <c r="AL182" s="716"/>
      <c r="AM182" s="716"/>
      <c r="AN182" s="716"/>
      <c r="AO182" s="716"/>
      <c r="AP182" s="716"/>
      <c r="AQ182" s="716"/>
      <c r="AR182" s="716"/>
    </row>
    <row r="183">
      <c r="A183" s="716"/>
      <c r="B183" s="530"/>
      <c r="C183" s="530"/>
      <c r="D183" s="530"/>
      <c r="E183" s="530"/>
      <c r="F183" s="530"/>
      <c r="G183" s="530"/>
      <c r="H183" s="530"/>
      <c r="I183" s="530"/>
      <c r="J183" s="530"/>
      <c r="K183" s="530"/>
      <c r="L183" s="530"/>
      <c r="M183" s="530"/>
      <c r="N183" s="530"/>
      <c r="O183" s="530"/>
      <c r="P183" s="530"/>
      <c r="Q183" s="530"/>
      <c r="R183" s="530"/>
      <c r="S183" s="530"/>
      <c r="T183" s="530"/>
      <c r="U183" s="530"/>
      <c r="V183" s="530"/>
      <c r="W183" s="530"/>
      <c r="X183" s="733"/>
      <c r="Y183" s="716"/>
      <c r="Z183" s="716"/>
      <c r="AA183" s="716"/>
      <c r="AB183" s="716"/>
      <c r="AC183" s="716"/>
      <c r="AD183" s="716"/>
      <c r="AE183" s="716"/>
      <c r="AF183" s="716"/>
      <c r="AG183" s="716"/>
      <c r="AH183" s="716"/>
      <c r="AI183" s="716"/>
      <c r="AJ183" s="716"/>
      <c r="AK183" s="716"/>
      <c r="AL183" s="716"/>
      <c r="AM183" s="716"/>
      <c r="AN183" s="716"/>
      <c r="AO183" s="716"/>
      <c r="AP183" s="716"/>
      <c r="AQ183" s="716"/>
      <c r="AR183" s="716"/>
    </row>
    <row r="184">
      <c r="A184" s="716"/>
      <c r="B184" s="530"/>
      <c r="C184" s="530"/>
      <c r="D184" s="530"/>
      <c r="E184" s="530"/>
      <c r="F184" s="530"/>
      <c r="G184" s="530"/>
      <c r="H184" s="530"/>
      <c r="I184" s="530"/>
      <c r="J184" s="530"/>
      <c r="K184" s="530"/>
      <c r="L184" s="530"/>
      <c r="M184" s="530"/>
      <c r="N184" s="530"/>
      <c r="O184" s="530"/>
      <c r="P184" s="530"/>
      <c r="Q184" s="530"/>
      <c r="R184" s="530"/>
      <c r="S184" s="530"/>
      <c r="T184" s="530"/>
      <c r="U184" s="530"/>
      <c r="V184" s="530"/>
      <c r="W184" s="530"/>
      <c r="X184" s="733"/>
      <c r="Y184" s="716"/>
      <c r="Z184" s="716"/>
      <c r="AA184" s="716"/>
      <c r="AB184" s="716"/>
      <c r="AC184" s="716"/>
      <c r="AD184" s="716"/>
      <c r="AE184" s="716"/>
      <c r="AF184" s="716"/>
      <c r="AG184" s="716"/>
      <c r="AH184" s="716"/>
      <c r="AI184" s="716"/>
      <c r="AJ184" s="716"/>
      <c r="AK184" s="716"/>
      <c r="AL184" s="716"/>
      <c r="AM184" s="716"/>
      <c r="AN184" s="716"/>
      <c r="AO184" s="716"/>
      <c r="AP184" s="716"/>
      <c r="AQ184" s="716"/>
      <c r="AR184" s="716"/>
    </row>
    <row r="185">
      <c r="A185" s="716"/>
      <c r="B185" s="530"/>
      <c r="C185" s="530"/>
      <c r="D185" s="530"/>
      <c r="E185" s="530"/>
      <c r="F185" s="530"/>
      <c r="G185" s="530"/>
      <c r="H185" s="530"/>
      <c r="I185" s="530"/>
      <c r="J185" s="530"/>
      <c r="K185" s="530"/>
      <c r="L185" s="530"/>
      <c r="M185" s="530"/>
      <c r="N185" s="530"/>
      <c r="O185" s="530"/>
      <c r="P185" s="530"/>
      <c r="Q185" s="530"/>
      <c r="R185" s="530"/>
      <c r="S185" s="530"/>
      <c r="T185" s="530"/>
      <c r="U185" s="530"/>
      <c r="V185" s="530"/>
      <c r="W185" s="530"/>
      <c r="X185" s="733"/>
      <c r="Y185" s="716"/>
      <c r="Z185" s="716"/>
      <c r="AA185" s="716"/>
      <c r="AB185" s="716"/>
      <c r="AC185" s="716"/>
      <c r="AD185" s="716"/>
      <c r="AE185" s="716"/>
      <c r="AF185" s="716"/>
      <c r="AG185" s="716"/>
      <c r="AH185" s="716"/>
      <c r="AI185" s="716"/>
      <c r="AJ185" s="716"/>
      <c r="AK185" s="716"/>
      <c r="AL185" s="716"/>
      <c r="AM185" s="716"/>
      <c r="AN185" s="716"/>
      <c r="AO185" s="716"/>
      <c r="AP185" s="716"/>
      <c r="AQ185" s="716"/>
      <c r="AR185" s="716"/>
    </row>
    <row r="186">
      <c r="A186" s="716"/>
      <c r="B186" s="530"/>
      <c r="C186" s="530"/>
      <c r="D186" s="530"/>
      <c r="E186" s="530"/>
      <c r="F186" s="530"/>
      <c r="G186" s="530"/>
      <c r="H186" s="530"/>
      <c r="I186" s="530"/>
      <c r="J186" s="530"/>
      <c r="K186" s="530"/>
      <c r="L186" s="530"/>
      <c r="M186" s="530"/>
      <c r="N186" s="530"/>
      <c r="O186" s="530"/>
      <c r="P186" s="530"/>
      <c r="Q186" s="530"/>
      <c r="R186" s="530"/>
      <c r="S186" s="530"/>
      <c r="T186" s="530"/>
      <c r="U186" s="530"/>
      <c r="V186" s="530"/>
      <c r="W186" s="530"/>
      <c r="X186" s="733"/>
      <c r="Y186" s="716"/>
      <c r="Z186" s="716"/>
      <c r="AA186" s="716"/>
      <c r="AB186" s="716"/>
      <c r="AC186" s="716"/>
      <c r="AD186" s="716"/>
      <c r="AE186" s="716"/>
      <c r="AF186" s="716"/>
      <c r="AG186" s="716"/>
      <c r="AH186" s="716"/>
      <c r="AI186" s="716"/>
      <c r="AJ186" s="716"/>
      <c r="AK186" s="716"/>
      <c r="AL186" s="716"/>
      <c r="AM186" s="716"/>
      <c r="AN186" s="716"/>
      <c r="AO186" s="716"/>
      <c r="AP186" s="716"/>
      <c r="AQ186" s="716"/>
      <c r="AR186" s="716"/>
    </row>
    <row r="187">
      <c r="A187" s="716"/>
      <c r="B187" s="530"/>
      <c r="C187" s="530"/>
      <c r="D187" s="530"/>
      <c r="E187" s="530"/>
      <c r="F187" s="530"/>
      <c r="G187" s="530"/>
      <c r="H187" s="530"/>
      <c r="I187" s="530"/>
      <c r="J187" s="530"/>
      <c r="K187" s="530"/>
      <c r="L187" s="530"/>
      <c r="M187" s="530"/>
      <c r="N187" s="530"/>
      <c r="O187" s="530"/>
      <c r="P187" s="530"/>
      <c r="Q187" s="530"/>
      <c r="R187" s="530"/>
      <c r="S187" s="530"/>
      <c r="T187" s="530"/>
      <c r="U187" s="530"/>
      <c r="V187" s="530"/>
      <c r="W187" s="530"/>
      <c r="X187" s="733"/>
      <c r="Y187" s="716"/>
      <c r="Z187" s="716"/>
      <c r="AA187" s="716"/>
      <c r="AB187" s="716"/>
      <c r="AC187" s="716"/>
      <c r="AD187" s="716"/>
      <c r="AE187" s="716"/>
      <c r="AF187" s="716"/>
      <c r="AG187" s="716"/>
      <c r="AH187" s="716"/>
      <c r="AI187" s="716"/>
      <c r="AJ187" s="716"/>
      <c r="AK187" s="716"/>
      <c r="AL187" s="716"/>
      <c r="AM187" s="716"/>
      <c r="AN187" s="716"/>
      <c r="AO187" s="716"/>
      <c r="AP187" s="716"/>
      <c r="AQ187" s="716"/>
      <c r="AR187" s="716"/>
    </row>
    <row r="188">
      <c r="A188" s="716"/>
      <c r="B188" s="530"/>
      <c r="C188" s="530"/>
      <c r="D188" s="530"/>
      <c r="E188" s="530"/>
      <c r="F188" s="530"/>
      <c r="G188" s="530"/>
      <c r="H188" s="530"/>
      <c r="I188" s="530"/>
      <c r="J188" s="530"/>
      <c r="K188" s="530"/>
      <c r="L188" s="530"/>
      <c r="M188" s="530"/>
      <c r="N188" s="530"/>
      <c r="O188" s="530"/>
      <c r="P188" s="530"/>
      <c r="Q188" s="530"/>
      <c r="R188" s="530"/>
      <c r="S188" s="530"/>
      <c r="T188" s="530"/>
      <c r="U188" s="530"/>
      <c r="V188" s="530"/>
      <c r="W188" s="530"/>
      <c r="X188" s="733"/>
      <c r="Y188" s="716"/>
      <c r="Z188" s="716"/>
      <c r="AA188" s="716"/>
      <c r="AB188" s="716"/>
      <c r="AC188" s="716"/>
      <c r="AD188" s="716"/>
      <c r="AE188" s="716"/>
      <c r="AF188" s="716"/>
      <c r="AG188" s="716"/>
      <c r="AH188" s="716"/>
      <c r="AI188" s="716"/>
      <c r="AJ188" s="716"/>
      <c r="AK188" s="716"/>
      <c r="AL188" s="716"/>
      <c r="AM188" s="716"/>
      <c r="AN188" s="716"/>
      <c r="AO188" s="716"/>
      <c r="AP188" s="716"/>
      <c r="AQ188" s="716"/>
      <c r="AR188" s="716"/>
    </row>
    <row r="189">
      <c r="A189" s="716"/>
      <c r="B189" s="530"/>
      <c r="C189" s="530"/>
      <c r="D189" s="530"/>
      <c r="E189" s="530"/>
      <c r="F189" s="530"/>
      <c r="G189" s="530"/>
      <c r="H189" s="530"/>
      <c r="I189" s="530"/>
      <c r="J189" s="530"/>
      <c r="K189" s="530"/>
      <c r="L189" s="530"/>
      <c r="M189" s="530"/>
      <c r="N189" s="530"/>
      <c r="O189" s="530"/>
      <c r="P189" s="530"/>
      <c r="Q189" s="530"/>
      <c r="R189" s="530"/>
      <c r="S189" s="530"/>
      <c r="T189" s="530"/>
      <c r="U189" s="530"/>
      <c r="V189" s="530"/>
      <c r="W189" s="530"/>
      <c r="X189" s="733"/>
      <c r="Y189" s="716"/>
      <c r="Z189" s="716"/>
      <c r="AA189" s="716"/>
      <c r="AB189" s="716"/>
      <c r="AC189" s="716"/>
      <c r="AD189" s="716"/>
      <c r="AE189" s="716"/>
      <c r="AF189" s="716"/>
      <c r="AG189" s="716"/>
      <c r="AH189" s="716"/>
      <c r="AI189" s="716"/>
      <c r="AJ189" s="716"/>
      <c r="AK189" s="716"/>
      <c r="AL189" s="716"/>
      <c r="AM189" s="716"/>
      <c r="AN189" s="716"/>
      <c r="AO189" s="716"/>
      <c r="AP189" s="716"/>
      <c r="AQ189" s="716"/>
      <c r="AR189" s="716"/>
    </row>
    <row r="190">
      <c r="A190" s="716"/>
      <c r="B190" s="530"/>
      <c r="C190" s="530"/>
      <c r="D190" s="530"/>
      <c r="E190" s="530"/>
      <c r="F190" s="530"/>
      <c r="G190" s="530"/>
      <c r="H190" s="530"/>
      <c r="I190" s="530"/>
      <c r="J190" s="530"/>
      <c r="K190" s="530"/>
      <c r="L190" s="530"/>
      <c r="M190" s="530"/>
      <c r="N190" s="530"/>
      <c r="O190" s="530"/>
      <c r="P190" s="530"/>
      <c r="Q190" s="530"/>
      <c r="R190" s="530"/>
      <c r="S190" s="530"/>
      <c r="T190" s="530"/>
      <c r="U190" s="530"/>
      <c r="V190" s="530"/>
      <c r="W190" s="530"/>
      <c r="X190" s="733"/>
      <c r="Y190" s="716"/>
      <c r="Z190" s="716"/>
      <c r="AA190" s="716"/>
      <c r="AB190" s="716"/>
      <c r="AC190" s="716"/>
      <c r="AD190" s="716"/>
      <c r="AE190" s="716"/>
      <c r="AF190" s="716"/>
      <c r="AG190" s="716"/>
      <c r="AH190" s="716"/>
      <c r="AI190" s="716"/>
      <c r="AJ190" s="716"/>
      <c r="AK190" s="716"/>
      <c r="AL190" s="716"/>
      <c r="AM190" s="716"/>
      <c r="AN190" s="716"/>
      <c r="AO190" s="716"/>
      <c r="AP190" s="716"/>
      <c r="AQ190" s="716"/>
      <c r="AR190" s="716"/>
    </row>
    <row r="191">
      <c r="A191" s="716"/>
      <c r="B191" s="530"/>
      <c r="C191" s="530"/>
      <c r="D191" s="530"/>
      <c r="E191" s="530"/>
      <c r="F191" s="530"/>
      <c r="G191" s="530"/>
      <c r="H191" s="530"/>
      <c r="I191" s="530"/>
      <c r="J191" s="530"/>
      <c r="K191" s="530"/>
      <c r="L191" s="530"/>
      <c r="M191" s="530"/>
      <c r="N191" s="530"/>
      <c r="O191" s="530"/>
      <c r="P191" s="530"/>
      <c r="Q191" s="530"/>
      <c r="R191" s="530"/>
      <c r="S191" s="530"/>
      <c r="T191" s="530"/>
      <c r="U191" s="530"/>
      <c r="V191" s="530"/>
      <c r="W191" s="530"/>
      <c r="X191" s="733"/>
      <c r="Y191" s="716"/>
      <c r="Z191" s="716"/>
      <c r="AA191" s="716"/>
      <c r="AB191" s="716"/>
      <c r="AC191" s="716"/>
      <c r="AD191" s="716"/>
      <c r="AE191" s="716"/>
      <c r="AF191" s="716"/>
      <c r="AG191" s="716"/>
      <c r="AH191" s="716"/>
      <c r="AI191" s="716"/>
      <c r="AJ191" s="716"/>
      <c r="AK191" s="716"/>
      <c r="AL191" s="716"/>
      <c r="AM191" s="716"/>
      <c r="AN191" s="716"/>
      <c r="AO191" s="716"/>
      <c r="AP191" s="716"/>
      <c r="AQ191" s="716"/>
      <c r="AR191" s="716"/>
    </row>
    <row r="192">
      <c r="A192" s="716"/>
      <c r="B192" s="530"/>
      <c r="C192" s="530"/>
      <c r="D192" s="530"/>
      <c r="E192" s="530"/>
      <c r="F192" s="530"/>
      <c r="G192" s="530"/>
      <c r="H192" s="530"/>
      <c r="I192" s="530"/>
      <c r="J192" s="530"/>
      <c r="K192" s="530"/>
      <c r="L192" s="530"/>
      <c r="M192" s="530"/>
      <c r="N192" s="530"/>
      <c r="O192" s="530"/>
      <c r="P192" s="530"/>
      <c r="Q192" s="530"/>
      <c r="R192" s="530"/>
      <c r="S192" s="530"/>
      <c r="T192" s="530"/>
      <c r="U192" s="530"/>
      <c r="V192" s="530"/>
      <c r="W192" s="530"/>
      <c r="X192" s="733"/>
      <c r="Y192" s="716"/>
      <c r="Z192" s="716"/>
      <c r="AA192" s="716"/>
      <c r="AB192" s="716"/>
      <c r="AC192" s="716"/>
      <c r="AD192" s="716"/>
      <c r="AE192" s="716"/>
      <c r="AF192" s="716"/>
      <c r="AG192" s="716"/>
      <c r="AH192" s="716"/>
      <c r="AI192" s="716"/>
      <c r="AJ192" s="716"/>
      <c r="AK192" s="716"/>
      <c r="AL192" s="716"/>
      <c r="AM192" s="716"/>
      <c r="AN192" s="716"/>
      <c r="AO192" s="716"/>
      <c r="AP192" s="716"/>
      <c r="AQ192" s="716"/>
      <c r="AR192" s="716"/>
    </row>
    <row r="193">
      <c r="A193" s="716"/>
      <c r="B193" s="530"/>
      <c r="C193" s="530"/>
      <c r="D193" s="530"/>
      <c r="E193" s="530"/>
      <c r="F193" s="530"/>
      <c r="G193" s="530"/>
      <c r="H193" s="530"/>
      <c r="I193" s="530"/>
      <c r="J193" s="530"/>
      <c r="K193" s="530"/>
      <c r="L193" s="530"/>
      <c r="M193" s="530"/>
      <c r="N193" s="530"/>
      <c r="O193" s="530"/>
      <c r="P193" s="530"/>
      <c r="Q193" s="530"/>
      <c r="R193" s="530"/>
      <c r="S193" s="530"/>
      <c r="T193" s="530"/>
      <c r="U193" s="530"/>
      <c r="V193" s="530"/>
      <c r="W193" s="530"/>
      <c r="X193" s="733"/>
      <c r="Y193" s="716"/>
      <c r="Z193" s="716"/>
      <c r="AA193" s="716"/>
      <c r="AB193" s="716"/>
      <c r="AC193" s="716"/>
      <c r="AD193" s="716"/>
      <c r="AE193" s="716"/>
      <c r="AF193" s="716"/>
      <c r="AG193" s="716"/>
      <c r="AH193" s="716"/>
      <c r="AI193" s="716"/>
      <c r="AJ193" s="716"/>
      <c r="AK193" s="716"/>
      <c r="AL193" s="716"/>
      <c r="AM193" s="716"/>
      <c r="AN193" s="716"/>
      <c r="AO193" s="716"/>
      <c r="AP193" s="716"/>
      <c r="AQ193" s="716"/>
      <c r="AR193" s="716"/>
    </row>
    <row r="194">
      <c r="A194" s="716"/>
      <c r="B194" s="530"/>
      <c r="C194" s="530"/>
      <c r="D194" s="530"/>
      <c r="E194" s="530"/>
      <c r="F194" s="530"/>
      <c r="G194" s="530"/>
      <c r="H194" s="530"/>
      <c r="I194" s="530"/>
      <c r="J194" s="530"/>
      <c r="K194" s="530"/>
      <c r="L194" s="530"/>
      <c r="M194" s="530"/>
      <c r="N194" s="530"/>
      <c r="O194" s="530"/>
      <c r="P194" s="530"/>
      <c r="Q194" s="530"/>
      <c r="R194" s="530"/>
      <c r="S194" s="530"/>
      <c r="T194" s="530"/>
      <c r="U194" s="530"/>
      <c r="V194" s="530"/>
      <c r="W194" s="530"/>
      <c r="X194" s="733"/>
      <c r="Y194" s="716"/>
      <c r="Z194" s="716"/>
      <c r="AA194" s="716"/>
      <c r="AB194" s="716"/>
      <c r="AC194" s="716"/>
      <c r="AD194" s="716"/>
      <c r="AE194" s="716"/>
      <c r="AF194" s="716"/>
      <c r="AG194" s="716"/>
      <c r="AH194" s="716"/>
      <c r="AI194" s="716"/>
      <c r="AJ194" s="716"/>
      <c r="AK194" s="716"/>
      <c r="AL194" s="716"/>
      <c r="AM194" s="716"/>
      <c r="AN194" s="716"/>
      <c r="AO194" s="716"/>
      <c r="AP194" s="716"/>
      <c r="AQ194" s="716"/>
      <c r="AR194" s="716"/>
    </row>
    <row r="195">
      <c r="A195" s="716"/>
      <c r="B195" s="530"/>
      <c r="C195" s="530"/>
      <c r="D195" s="530"/>
      <c r="E195" s="530"/>
      <c r="F195" s="530"/>
      <c r="G195" s="530"/>
      <c r="H195" s="530"/>
      <c r="I195" s="530"/>
      <c r="J195" s="530"/>
      <c r="K195" s="530"/>
      <c r="L195" s="530"/>
      <c r="M195" s="530"/>
      <c r="N195" s="530"/>
      <c r="O195" s="530"/>
      <c r="P195" s="530"/>
      <c r="Q195" s="530"/>
      <c r="R195" s="530"/>
      <c r="S195" s="530"/>
      <c r="T195" s="530"/>
      <c r="U195" s="530"/>
      <c r="V195" s="530"/>
      <c r="W195" s="530"/>
      <c r="X195" s="733"/>
      <c r="Y195" s="716"/>
      <c r="Z195" s="716"/>
      <c r="AA195" s="716"/>
      <c r="AB195" s="716"/>
      <c r="AC195" s="716"/>
      <c r="AD195" s="716"/>
      <c r="AE195" s="716"/>
      <c r="AF195" s="716"/>
      <c r="AG195" s="716"/>
      <c r="AH195" s="716"/>
      <c r="AI195" s="716"/>
      <c r="AJ195" s="716"/>
      <c r="AK195" s="716"/>
      <c r="AL195" s="716"/>
      <c r="AM195" s="716"/>
      <c r="AN195" s="716"/>
      <c r="AO195" s="716"/>
      <c r="AP195" s="716"/>
      <c r="AQ195" s="716"/>
      <c r="AR195" s="716"/>
    </row>
    <row r="196">
      <c r="A196" s="716"/>
      <c r="B196" s="530"/>
      <c r="C196" s="530"/>
      <c r="D196" s="530"/>
      <c r="E196" s="530"/>
      <c r="F196" s="530"/>
      <c r="G196" s="530"/>
      <c r="H196" s="530"/>
      <c r="I196" s="530"/>
      <c r="J196" s="530"/>
      <c r="K196" s="530"/>
      <c r="L196" s="530"/>
      <c r="M196" s="530"/>
      <c r="N196" s="530"/>
      <c r="O196" s="530"/>
      <c r="P196" s="530"/>
      <c r="Q196" s="530"/>
      <c r="R196" s="530"/>
      <c r="S196" s="530"/>
      <c r="T196" s="530"/>
      <c r="U196" s="530"/>
      <c r="V196" s="530"/>
      <c r="W196" s="530"/>
      <c r="X196" s="733"/>
      <c r="Y196" s="716"/>
      <c r="Z196" s="716"/>
      <c r="AA196" s="716"/>
      <c r="AB196" s="716"/>
      <c r="AC196" s="716"/>
      <c r="AD196" s="716"/>
      <c r="AE196" s="716"/>
      <c r="AF196" s="716"/>
      <c r="AG196" s="716"/>
      <c r="AH196" s="716"/>
      <c r="AI196" s="716"/>
      <c r="AJ196" s="716"/>
      <c r="AK196" s="716"/>
      <c r="AL196" s="716"/>
      <c r="AM196" s="716"/>
      <c r="AN196" s="716"/>
      <c r="AO196" s="716"/>
      <c r="AP196" s="716"/>
      <c r="AQ196" s="716"/>
      <c r="AR196" s="716"/>
    </row>
    <row r="197">
      <c r="A197" s="716"/>
      <c r="B197" s="530"/>
      <c r="C197" s="530"/>
      <c r="D197" s="530"/>
      <c r="E197" s="530"/>
      <c r="F197" s="530"/>
      <c r="G197" s="530"/>
      <c r="H197" s="530"/>
      <c r="I197" s="530"/>
      <c r="J197" s="530"/>
      <c r="K197" s="530"/>
      <c r="L197" s="530"/>
      <c r="M197" s="530"/>
      <c r="N197" s="530"/>
      <c r="O197" s="530"/>
      <c r="P197" s="530"/>
      <c r="Q197" s="530"/>
      <c r="R197" s="530"/>
      <c r="S197" s="530"/>
      <c r="T197" s="530"/>
      <c r="U197" s="530"/>
      <c r="V197" s="530"/>
      <c r="W197" s="530"/>
      <c r="X197" s="733"/>
      <c r="Y197" s="716"/>
      <c r="Z197" s="716"/>
      <c r="AA197" s="716"/>
      <c r="AB197" s="716"/>
      <c r="AC197" s="716"/>
      <c r="AD197" s="716"/>
      <c r="AE197" s="716"/>
      <c r="AF197" s="716"/>
      <c r="AG197" s="716"/>
      <c r="AH197" s="716"/>
      <c r="AI197" s="716"/>
      <c r="AJ197" s="716"/>
      <c r="AK197" s="716"/>
      <c r="AL197" s="716"/>
      <c r="AM197" s="716"/>
      <c r="AN197" s="716"/>
      <c r="AO197" s="716"/>
      <c r="AP197" s="716"/>
      <c r="AQ197" s="716"/>
      <c r="AR197" s="716"/>
    </row>
    <row r="198">
      <c r="A198" s="716"/>
      <c r="B198" s="530"/>
      <c r="C198" s="530"/>
      <c r="D198" s="530"/>
      <c r="E198" s="530"/>
      <c r="F198" s="530"/>
      <c r="G198" s="530"/>
      <c r="H198" s="530"/>
      <c r="I198" s="530"/>
      <c r="J198" s="530"/>
      <c r="K198" s="530"/>
      <c r="L198" s="530"/>
      <c r="M198" s="530"/>
      <c r="N198" s="530"/>
      <c r="O198" s="530"/>
      <c r="P198" s="530"/>
      <c r="Q198" s="530"/>
      <c r="R198" s="530"/>
      <c r="S198" s="530"/>
      <c r="T198" s="530"/>
      <c r="U198" s="530"/>
      <c r="V198" s="530"/>
      <c r="W198" s="530"/>
      <c r="X198" s="733"/>
      <c r="Y198" s="716"/>
      <c r="Z198" s="716"/>
      <c r="AA198" s="716"/>
      <c r="AB198" s="716"/>
      <c r="AC198" s="716"/>
      <c r="AD198" s="716"/>
      <c r="AE198" s="716"/>
      <c r="AF198" s="716"/>
      <c r="AG198" s="716"/>
      <c r="AH198" s="716"/>
      <c r="AI198" s="716"/>
      <c r="AJ198" s="716"/>
      <c r="AK198" s="716"/>
      <c r="AL198" s="716"/>
      <c r="AM198" s="716"/>
      <c r="AN198" s="716"/>
      <c r="AO198" s="716"/>
      <c r="AP198" s="716"/>
      <c r="AQ198" s="716"/>
      <c r="AR198" s="716"/>
    </row>
    <row r="199">
      <c r="A199" s="716"/>
      <c r="B199" s="530"/>
      <c r="C199" s="530"/>
      <c r="D199" s="530"/>
      <c r="E199" s="530"/>
      <c r="F199" s="530"/>
      <c r="G199" s="530"/>
      <c r="H199" s="530"/>
      <c r="I199" s="530"/>
      <c r="J199" s="530"/>
      <c r="K199" s="530"/>
      <c r="L199" s="530"/>
      <c r="M199" s="530"/>
      <c r="N199" s="530"/>
      <c r="O199" s="530"/>
      <c r="P199" s="530"/>
      <c r="Q199" s="530"/>
      <c r="R199" s="530"/>
      <c r="S199" s="530"/>
      <c r="T199" s="530"/>
      <c r="U199" s="530"/>
      <c r="V199" s="530"/>
      <c r="W199" s="530"/>
      <c r="X199" s="733"/>
      <c r="Y199" s="716"/>
      <c r="Z199" s="716"/>
      <c r="AA199" s="716"/>
      <c r="AB199" s="716"/>
      <c r="AC199" s="716"/>
      <c r="AD199" s="716"/>
      <c r="AE199" s="716"/>
      <c r="AF199" s="716"/>
      <c r="AG199" s="716"/>
      <c r="AH199" s="716"/>
      <c r="AI199" s="716"/>
      <c r="AJ199" s="716"/>
      <c r="AK199" s="716"/>
      <c r="AL199" s="716"/>
      <c r="AM199" s="716"/>
      <c r="AN199" s="716"/>
      <c r="AO199" s="716"/>
      <c r="AP199" s="716"/>
      <c r="AQ199" s="716"/>
      <c r="AR199" s="716"/>
    </row>
    <row r="200">
      <c r="A200" s="716"/>
      <c r="B200" s="530"/>
      <c r="C200" s="530"/>
      <c r="D200" s="530"/>
      <c r="E200" s="530"/>
      <c r="F200" s="530"/>
      <c r="G200" s="530"/>
      <c r="H200" s="530"/>
      <c r="I200" s="530"/>
      <c r="J200" s="530"/>
      <c r="K200" s="530"/>
      <c r="L200" s="530"/>
      <c r="M200" s="530"/>
      <c r="N200" s="530"/>
      <c r="O200" s="530"/>
      <c r="P200" s="530"/>
      <c r="Q200" s="530"/>
      <c r="R200" s="530"/>
      <c r="S200" s="530"/>
      <c r="T200" s="530"/>
      <c r="U200" s="530"/>
      <c r="V200" s="530"/>
      <c r="W200" s="530"/>
      <c r="X200" s="733"/>
      <c r="Y200" s="716"/>
      <c r="Z200" s="716"/>
      <c r="AA200" s="716"/>
      <c r="AB200" s="716"/>
      <c r="AC200" s="716"/>
      <c r="AD200" s="716"/>
      <c r="AE200" s="716"/>
      <c r="AF200" s="716"/>
      <c r="AG200" s="716"/>
      <c r="AH200" s="716"/>
      <c r="AI200" s="716"/>
      <c r="AJ200" s="716"/>
      <c r="AK200" s="716"/>
      <c r="AL200" s="716"/>
      <c r="AM200" s="716"/>
      <c r="AN200" s="716"/>
      <c r="AO200" s="716"/>
      <c r="AP200" s="716"/>
      <c r="AQ200" s="716"/>
      <c r="AR200" s="716"/>
    </row>
    <row r="201">
      <c r="A201" s="716"/>
      <c r="B201" s="530"/>
      <c r="C201" s="530"/>
      <c r="D201" s="530"/>
      <c r="E201" s="530"/>
      <c r="F201" s="530"/>
      <c r="G201" s="530"/>
      <c r="H201" s="530"/>
      <c r="I201" s="530"/>
      <c r="J201" s="530"/>
      <c r="K201" s="530"/>
      <c r="L201" s="530"/>
      <c r="M201" s="530"/>
      <c r="N201" s="530"/>
      <c r="O201" s="530"/>
      <c r="P201" s="530"/>
      <c r="Q201" s="530"/>
      <c r="R201" s="530"/>
      <c r="S201" s="530"/>
      <c r="T201" s="530"/>
      <c r="U201" s="530"/>
      <c r="V201" s="530"/>
      <c r="W201" s="530"/>
      <c r="X201" s="733"/>
      <c r="Y201" s="716"/>
      <c r="Z201" s="716"/>
      <c r="AA201" s="716"/>
      <c r="AB201" s="716"/>
      <c r="AC201" s="716"/>
      <c r="AD201" s="716"/>
      <c r="AE201" s="716"/>
      <c r="AF201" s="716"/>
      <c r="AG201" s="716"/>
      <c r="AH201" s="716"/>
      <c r="AI201" s="716"/>
      <c r="AJ201" s="716"/>
      <c r="AK201" s="716"/>
      <c r="AL201" s="716"/>
      <c r="AM201" s="716"/>
      <c r="AN201" s="716"/>
      <c r="AO201" s="716"/>
      <c r="AP201" s="716"/>
      <c r="AQ201" s="716"/>
      <c r="AR201" s="716"/>
    </row>
    <row r="202">
      <c r="A202" s="716"/>
      <c r="B202" s="530"/>
      <c r="C202" s="530"/>
      <c r="D202" s="530"/>
      <c r="E202" s="530"/>
      <c r="F202" s="530"/>
      <c r="G202" s="530"/>
      <c r="H202" s="530"/>
      <c r="I202" s="530"/>
      <c r="J202" s="530"/>
      <c r="K202" s="530"/>
      <c r="L202" s="530"/>
      <c r="M202" s="530"/>
      <c r="N202" s="530"/>
      <c r="O202" s="530"/>
      <c r="P202" s="530"/>
      <c r="Q202" s="530"/>
      <c r="R202" s="530"/>
      <c r="S202" s="530"/>
      <c r="T202" s="530"/>
      <c r="U202" s="530"/>
      <c r="V202" s="530"/>
      <c r="W202" s="530"/>
      <c r="X202" s="733"/>
      <c r="Y202" s="716"/>
      <c r="Z202" s="716"/>
      <c r="AA202" s="716"/>
      <c r="AB202" s="716"/>
      <c r="AC202" s="716"/>
      <c r="AD202" s="716"/>
      <c r="AE202" s="716"/>
      <c r="AF202" s="716"/>
      <c r="AG202" s="716"/>
      <c r="AH202" s="716"/>
      <c r="AI202" s="716"/>
      <c r="AJ202" s="716"/>
      <c r="AK202" s="716"/>
      <c r="AL202" s="716"/>
      <c r="AM202" s="716"/>
      <c r="AN202" s="716"/>
      <c r="AO202" s="716"/>
      <c r="AP202" s="716"/>
      <c r="AQ202" s="716"/>
      <c r="AR202" s="716"/>
    </row>
    <row r="203">
      <c r="A203" s="716"/>
      <c r="B203" s="530"/>
      <c r="C203" s="530"/>
      <c r="D203" s="530"/>
      <c r="E203" s="530"/>
      <c r="F203" s="530"/>
      <c r="G203" s="530"/>
      <c r="H203" s="530"/>
      <c r="I203" s="530"/>
      <c r="J203" s="530"/>
      <c r="K203" s="530"/>
      <c r="L203" s="530"/>
      <c r="M203" s="530"/>
      <c r="N203" s="530"/>
      <c r="O203" s="530"/>
      <c r="P203" s="530"/>
      <c r="Q203" s="530"/>
      <c r="R203" s="530"/>
      <c r="S203" s="530"/>
      <c r="T203" s="530"/>
      <c r="U203" s="530"/>
      <c r="V203" s="530"/>
      <c r="W203" s="530"/>
      <c r="X203" s="733"/>
      <c r="Y203" s="716"/>
      <c r="Z203" s="716"/>
      <c r="AA203" s="716"/>
      <c r="AB203" s="716"/>
      <c r="AC203" s="716"/>
      <c r="AD203" s="716"/>
      <c r="AE203" s="716"/>
      <c r="AF203" s="716"/>
      <c r="AG203" s="716"/>
      <c r="AH203" s="716"/>
      <c r="AI203" s="716"/>
      <c r="AJ203" s="716"/>
      <c r="AK203" s="716"/>
      <c r="AL203" s="716"/>
      <c r="AM203" s="716"/>
      <c r="AN203" s="716"/>
      <c r="AO203" s="716"/>
      <c r="AP203" s="716"/>
      <c r="AQ203" s="716"/>
      <c r="AR203" s="716"/>
    </row>
    <row r="204">
      <c r="A204" s="716"/>
      <c r="B204" s="530"/>
      <c r="C204" s="530"/>
      <c r="D204" s="530"/>
      <c r="E204" s="530"/>
      <c r="F204" s="530"/>
      <c r="G204" s="530"/>
      <c r="H204" s="530"/>
      <c r="I204" s="530"/>
      <c r="J204" s="530"/>
      <c r="K204" s="530"/>
      <c r="L204" s="530"/>
      <c r="M204" s="530"/>
      <c r="N204" s="530"/>
      <c r="O204" s="530"/>
      <c r="P204" s="530"/>
      <c r="Q204" s="530"/>
      <c r="R204" s="530"/>
      <c r="S204" s="530"/>
      <c r="T204" s="530"/>
      <c r="U204" s="530"/>
      <c r="V204" s="530"/>
      <c r="W204" s="530"/>
      <c r="X204" s="733"/>
      <c r="Y204" s="716"/>
      <c r="Z204" s="716"/>
      <c r="AA204" s="716"/>
      <c r="AB204" s="716"/>
      <c r="AC204" s="716"/>
      <c r="AD204" s="716"/>
      <c r="AE204" s="716"/>
      <c r="AF204" s="716"/>
      <c r="AG204" s="716"/>
      <c r="AH204" s="716"/>
      <c r="AI204" s="716"/>
      <c r="AJ204" s="716"/>
      <c r="AK204" s="716"/>
      <c r="AL204" s="716"/>
      <c r="AM204" s="716"/>
      <c r="AN204" s="716"/>
      <c r="AO204" s="716"/>
      <c r="AP204" s="716"/>
      <c r="AQ204" s="716"/>
      <c r="AR204" s="716"/>
    </row>
    <row r="205">
      <c r="A205" s="716"/>
      <c r="B205" s="530"/>
      <c r="C205" s="530"/>
      <c r="D205" s="530"/>
      <c r="E205" s="530"/>
      <c r="F205" s="530"/>
      <c r="G205" s="530"/>
      <c r="H205" s="530"/>
      <c r="I205" s="530"/>
      <c r="J205" s="530"/>
      <c r="K205" s="530"/>
      <c r="L205" s="530"/>
      <c r="M205" s="530"/>
      <c r="N205" s="530"/>
      <c r="O205" s="530"/>
      <c r="P205" s="530"/>
      <c r="Q205" s="530"/>
      <c r="R205" s="530"/>
      <c r="S205" s="530"/>
      <c r="T205" s="530"/>
      <c r="U205" s="530"/>
      <c r="V205" s="530"/>
      <c r="W205" s="530"/>
      <c r="X205" s="733"/>
      <c r="Y205" s="716"/>
      <c r="Z205" s="716"/>
      <c r="AA205" s="716"/>
      <c r="AB205" s="716"/>
      <c r="AC205" s="716"/>
      <c r="AD205" s="716"/>
      <c r="AE205" s="716"/>
      <c r="AF205" s="716"/>
      <c r="AG205" s="716"/>
      <c r="AH205" s="716"/>
      <c r="AI205" s="716"/>
      <c r="AJ205" s="716"/>
      <c r="AK205" s="716"/>
      <c r="AL205" s="716"/>
      <c r="AM205" s="716"/>
      <c r="AN205" s="716"/>
      <c r="AO205" s="716"/>
      <c r="AP205" s="716"/>
      <c r="AQ205" s="716"/>
      <c r="AR205" s="716"/>
    </row>
    <row r="206">
      <c r="A206" s="716"/>
      <c r="B206" s="530"/>
      <c r="C206" s="530"/>
      <c r="D206" s="530"/>
      <c r="E206" s="530"/>
      <c r="F206" s="530"/>
      <c r="G206" s="530"/>
      <c r="H206" s="530"/>
      <c r="I206" s="530"/>
      <c r="J206" s="530"/>
      <c r="K206" s="530"/>
      <c r="L206" s="530"/>
      <c r="M206" s="530"/>
      <c r="N206" s="530"/>
      <c r="O206" s="530"/>
      <c r="P206" s="530"/>
      <c r="Q206" s="530"/>
      <c r="R206" s="530"/>
      <c r="S206" s="530"/>
      <c r="T206" s="530"/>
      <c r="U206" s="530"/>
      <c r="V206" s="530"/>
      <c r="W206" s="530"/>
      <c r="X206" s="733"/>
      <c r="Y206" s="716"/>
      <c r="Z206" s="716"/>
      <c r="AA206" s="716"/>
      <c r="AB206" s="716"/>
      <c r="AC206" s="716"/>
      <c r="AD206" s="716"/>
      <c r="AE206" s="716"/>
      <c r="AF206" s="716"/>
      <c r="AG206" s="716"/>
      <c r="AH206" s="716"/>
      <c r="AI206" s="716"/>
      <c r="AJ206" s="716"/>
      <c r="AK206" s="716"/>
      <c r="AL206" s="716"/>
      <c r="AM206" s="716"/>
      <c r="AN206" s="716"/>
      <c r="AO206" s="716"/>
      <c r="AP206" s="716"/>
      <c r="AQ206" s="716"/>
      <c r="AR206" s="716"/>
    </row>
    <row r="207">
      <c r="A207" s="716"/>
      <c r="B207" s="530"/>
      <c r="C207" s="530"/>
      <c r="D207" s="530"/>
      <c r="E207" s="530"/>
      <c r="F207" s="530"/>
      <c r="G207" s="530"/>
      <c r="H207" s="530"/>
      <c r="I207" s="530"/>
      <c r="J207" s="530"/>
      <c r="K207" s="530"/>
      <c r="L207" s="530"/>
      <c r="M207" s="530"/>
      <c r="N207" s="530"/>
      <c r="O207" s="530"/>
      <c r="P207" s="530"/>
      <c r="Q207" s="530"/>
      <c r="R207" s="530"/>
      <c r="S207" s="530"/>
      <c r="T207" s="530"/>
      <c r="U207" s="530"/>
      <c r="V207" s="530"/>
      <c r="W207" s="530"/>
      <c r="X207" s="733"/>
      <c r="Y207" s="716"/>
      <c r="Z207" s="716"/>
      <c r="AA207" s="716"/>
      <c r="AB207" s="716"/>
      <c r="AC207" s="716"/>
      <c r="AD207" s="716"/>
      <c r="AE207" s="716"/>
      <c r="AF207" s="716"/>
      <c r="AG207" s="716"/>
      <c r="AH207" s="716"/>
      <c r="AI207" s="716"/>
      <c r="AJ207" s="716"/>
      <c r="AK207" s="716"/>
      <c r="AL207" s="716"/>
      <c r="AM207" s="716"/>
      <c r="AN207" s="716"/>
      <c r="AO207" s="716"/>
      <c r="AP207" s="716"/>
      <c r="AQ207" s="716"/>
      <c r="AR207" s="716"/>
    </row>
    <row r="208">
      <c r="A208" s="716"/>
      <c r="B208" s="530"/>
      <c r="C208" s="530"/>
      <c r="D208" s="530"/>
      <c r="E208" s="530"/>
      <c r="F208" s="530"/>
      <c r="G208" s="530"/>
      <c r="H208" s="530"/>
      <c r="I208" s="530"/>
      <c r="J208" s="530"/>
      <c r="K208" s="530"/>
      <c r="L208" s="530"/>
      <c r="M208" s="530"/>
      <c r="N208" s="530"/>
      <c r="O208" s="530"/>
      <c r="P208" s="530"/>
      <c r="Q208" s="530"/>
      <c r="R208" s="530"/>
      <c r="S208" s="530"/>
      <c r="T208" s="530"/>
      <c r="U208" s="530"/>
      <c r="V208" s="530"/>
      <c r="W208" s="530"/>
      <c r="X208" s="733"/>
      <c r="Y208" s="716"/>
      <c r="Z208" s="716"/>
      <c r="AA208" s="716"/>
      <c r="AB208" s="716"/>
      <c r="AC208" s="716"/>
      <c r="AD208" s="716"/>
      <c r="AE208" s="716"/>
      <c r="AF208" s="716"/>
      <c r="AG208" s="716"/>
      <c r="AH208" s="716"/>
      <c r="AI208" s="716"/>
      <c r="AJ208" s="716"/>
      <c r="AK208" s="716"/>
      <c r="AL208" s="716"/>
      <c r="AM208" s="716"/>
      <c r="AN208" s="716"/>
      <c r="AO208" s="716"/>
      <c r="AP208" s="716"/>
      <c r="AQ208" s="716"/>
      <c r="AR208" s="716"/>
    </row>
    <row r="209">
      <c r="A209" s="716"/>
      <c r="B209" s="530"/>
      <c r="C209" s="530"/>
      <c r="D209" s="530"/>
      <c r="E209" s="530"/>
      <c r="F209" s="530"/>
      <c r="G209" s="530"/>
      <c r="H209" s="530"/>
      <c r="I209" s="530"/>
      <c r="J209" s="530"/>
      <c r="K209" s="530"/>
      <c r="L209" s="530"/>
      <c r="M209" s="530"/>
      <c r="N209" s="530"/>
      <c r="O209" s="530"/>
      <c r="P209" s="530"/>
      <c r="Q209" s="530"/>
      <c r="R209" s="530"/>
      <c r="S209" s="530"/>
      <c r="T209" s="530"/>
      <c r="U209" s="530"/>
      <c r="V209" s="530"/>
      <c r="W209" s="530"/>
      <c r="X209" s="733"/>
      <c r="Y209" s="716"/>
      <c r="Z209" s="716"/>
      <c r="AA209" s="716"/>
      <c r="AB209" s="716"/>
      <c r="AC209" s="716"/>
      <c r="AD209" s="716"/>
      <c r="AE209" s="716"/>
      <c r="AF209" s="716"/>
      <c r="AG209" s="716"/>
      <c r="AH209" s="716"/>
      <c r="AI209" s="716"/>
      <c r="AJ209" s="716"/>
      <c r="AK209" s="716"/>
      <c r="AL209" s="716"/>
      <c r="AM209" s="716"/>
      <c r="AN209" s="716"/>
      <c r="AO209" s="716"/>
      <c r="AP209" s="716"/>
      <c r="AQ209" s="716"/>
      <c r="AR209" s="716"/>
    </row>
    <row r="210">
      <c r="A210" s="716"/>
      <c r="B210" s="530"/>
      <c r="C210" s="530"/>
      <c r="D210" s="530"/>
      <c r="E210" s="530"/>
      <c r="F210" s="530"/>
      <c r="G210" s="530"/>
      <c r="H210" s="530"/>
      <c r="I210" s="530"/>
      <c r="J210" s="530"/>
      <c r="K210" s="530"/>
      <c r="L210" s="530"/>
      <c r="M210" s="530"/>
      <c r="N210" s="530"/>
      <c r="O210" s="530"/>
      <c r="P210" s="530"/>
      <c r="Q210" s="530"/>
      <c r="R210" s="530"/>
      <c r="S210" s="530"/>
      <c r="T210" s="530"/>
      <c r="U210" s="530"/>
      <c r="V210" s="530"/>
      <c r="W210" s="530"/>
      <c r="X210" s="733"/>
      <c r="Y210" s="716"/>
      <c r="Z210" s="716"/>
      <c r="AA210" s="716"/>
      <c r="AB210" s="716"/>
      <c r="AC210" s="716"/>
      <c r="AD210" s="716"/>
      <c r="AE210" s="716"/>
      <c r="AF210" s="716"/>
      <c r="AG210" s="716"/>
      <c r="AH210" s="716"/>
      <c r="AI210" s="716"/>
      <c r="AJ210" s="716"/>
      <c r="AK210" s="716"/>
      <c r="AL210" s="716"/>
      <c r="AM210" s="716"/>
      <c r="AN210" s="716"/>
      <c r="AO210" s="716"/>
      <c r="AP210" s="716"/>
      <c r="AQ210" s="716"/>
      <c r="AR210" s="716"/>
    </row>
    <row r="211">
      <c r="A211" s="716"/>
      <c r="B211" s="530"/>
      <c r="C211" s="530"/>
      <c r="D211" s="530"/>
      <c r="E211" s="530"/>
      <c r="F211" s="530"/>
      <c r="G211" s="530"/>
      <c r="H211" s="530"/>
      <c r="I211" s="530"/>
      <c r="J211" s="530"/>
      <c r="K211" s="530"/>
      <c r="L211" s="530"/>
      <c r="M211" s="530"/>
      <c r="N211" s="530"/>
      <c r="O211" s="530"/>
      <c r="P211" s="530"/>
      <c r="Q211" s="530"/>
      <c r="R211" s="530"/>
      <c r="S211" s="530"/>
      <c r="T211" s="530"/>
      <c r="U211" s="530"/>
      <c r="V211" s="530"/>
      <c r="W211" s="530"/>
      <c r="X211" s="733"/>
      <c r="Y211" s="716"/>
      <c r="Z211" s="716"/>
      <c r="AA211" s="716"/>
      <c r="AB211" s="716"/>
      <c r="AC211" s="716"/>
      <c r="AD211" s="716"/>
      <c r="AE211" s="716"/>
      <c r="AF211" s="716"/>
      <c r="AG211" s="716"/>
      <c r="AH211" s="716"/>
      <c r="AI211" s="716"/>
      <c r="AJ211" s="716"/>
      <c r="AK211" s="716"/>
      <c r="AL211" s="716"/>
      <c r="AM211" s="716"/>
      <c r="AN211" s="716"/>
      <c r="AO211" s="716"/>
      <c r="AP211" s="716"/>
      <c r="AQ211" s="716"/>
      <c r="AR211" s="716"/>
    </row>
    <row r="212">
      <c r="A212" s="716"/>
      <c r="B212" s="530"/>
      <c r="C212" s="530"/>
      <c r="D212" s="530"/>
      <c r="E212" s="530"/>
      <c r="F212" s="530"/>
      <c r="G212" s="530"/>
      <c r="H212" s="530"/>
      <c r="I212" s="530"/>
      <c r="J212" s="530"/>
      <c r="K212" s="530"/>
      <c r="L212" s="530"/>
      <c r="M212" s="530"/>
      <c r="N212" s="530"/>
      <c r="O212" s="530"/>
      <c r="P212" s="530"/>
      <c r="Q212" s="530"/>
      <c r="R212" s="530"/>
      <c r="S212" s="530"/>
      <c r="T212" s="530"/>
      <c r="U212" s="530"/>
      <c r="V212" s="530"/>
      <c r="W212" s="530"/>
      <c r="X212" s="733"/>
      <c r="Y212" s="716"/>
      <c r="Z212" s="716"/>
      <c r="AA212" s="716"/>
      <c r="AB212" s="716"/>
      <c r="AC212" s="716"/>
      <c r="AD212" s="716"/>
      <c r="AE212" s="716"/>
      <c r="AF212" s="716"/>
      <c r="AG212" s="716"/>
      <c r="AH212" s="716"/>
      <c r="AI212" s="716"/>
      <c r="AJ212" s="716"/>
      <c r="AK212" s="716"/>
      <c r="AL212" s="716"/>
      <c r="AM212" s="716"/>
      <c r="AN212" s="716"/>
      <c r="AO212" s="716"/>
      <c r="AP212" s="716"/>
      <c r="AQ212" s="716"/>
      <c r="AR212" s="716"/>
    </row>
    <row r="213">
      <c r="A213" s="716"/>
      <c r="B213" s="530"/>
      <c r="C213" s="530"/>
      <c r="D213" s="530"/>
      <c r="E213" s="530"/>
      <c r="F213" s="530"/>
      <c r="G213" s="530"/>
      <c r="H213" s="530"/>
      <c r="I213" s="530"/>
      <c r="J213" s="530"/>
      <c r="K213" s="530"/>
      <c r="L213" s="530"/>
      <c r="M213" s="530"/>
      <c r="N213" s="530"/>
      <c r="O213" s="530"/>
      <c r="P213" s="530"/>
      <c r="Q213" s="530"/>
      <c r="R213" s="530"/>
      <c r="S213" s="530"/>
      <c r="T213" s="530"/>
      <c r="U213" s="530"/>
      <c r="V213" s="530"/>
      <c r="W213" s="530"/>
      <c r="X213" s="733"/>
      <c r="Y213" s="716"/>
      <c r="Z213" s="716"/>
      <c r="AA213" s="716"/>
      <c r="AB213" s="716"/>
      <c r="AC213" s="716"/>
      <c r="AD213" s="716"/>
      <c r="AE213" s="716"/>
      <c r="AF213" s="716"/>
      <c r="AG213" s="716"/>
      <c r="AH213" s="716"/>
      <c r="AI213" s="716"/>
      <c r="AJ213" s="716"/>
      <c r="AK213" s="716"/>
      <c r="AL213" s="716"/>
      <c r="AM213" s="716"/>
      <c r="AN213" s="716"/>
      <c r="AO213" s="716"/>
      <c r="AP213" s="716"/>
      <c r="AQ213" s="716"/>
      <c r="AR213" s="716"/>
    </row>
    <row r="214">
      <c r="A214" s="716"/>
      <c r="B214" s="530"/>
      <c r="C214" s="530"/>
      <c r="D214" s="530"/>
      <c r="E214" s="530"/>
      <c r="F214" s="530"/>
      <c r="G214" s="530"/>
      <c r="H214" s="530"/>
      <c r="I214" s="530"/>
      <c r="J214" s="530"/>
      <c r="K214" s="530"/>
      <c r="L214" s="530"/>
      <c r="M214" s="530"/>
      <c r="N214" s="530"/>
      <c r="O214" s="530"/>
      <c r="P214" s="530"/>
      <c r="Q214" s="530"/>
      <c r="R214" s="530"/>
      <c r="S214" s="530"/>
      <c r="T214" s="530"/>
      <c r="U214" s="530"/>
      <c r="V214" s="530"/>
      <c r="W214" s="530"/>
      <c r="X214" s="733"/>
      <c r="Y214" s="716"/>
      <c r="Z214" s="716"/>
      <c r="AA214" s="716"/>
      <c r="AB214" s="716"/>
      <c r="AC214" s="716"/>
      <c r="AD214" s="716"/>
      <c r="AE214" s="716"/>
      <c r="AF214" s="716"/>
      <c r="AG214" s="716"/>
      <c r="AH214" s="716"/>
      <c r="AI214" s="716"/>
      <c r="AJ214" s="716"/>
      <c r="AK214" s="716"/>
      <c r="AL214" s="716"/>
      <c r="AM214" s="716"/>
      <c r="AN214" s="716"/>
      <c r="AO214" s="716"/>
      <c r="AP214" s="716"/>
      <c r="AQ214" s="716"/>
      <c r="AR214" s="716"/>
    </row>
    <row r="215">
      <c r="A215" s="716"/>
      <c r="B215" s="530"/>
      <c r="C215" s="530"/>
      <c r="D215" s="530"/>
      <c r="E215" s="530"/>
      <c r="F215" s="530"/>
      <c r="G215" s="530"/>
      <c r="H215" s="530"/>
      <c r="I215" s="530"/>
      <c r="J215" s="530"/>
      <c r="K215" s="530"/>
      <c r="L215" s="530"/>
      <c r="M215" s="530"/>
      <c r="N215" s="530"/>
      <c r="O215" s="530"/>
      <c r="P215" s="530"/>
      <c r="Q215" s="530"/>
      <c r="R215" s="530"/>
      <c r="S215" s="530"/>
      <c r="T215" s="530"/>
      <c r="U215" s="530"/>
      <c r="V215" s="530"/>
      <c r="W215" s="530"/>
      <c r="X215" s="733"/>
      <c r="Y215" s="716"/>
      <c r="Z215" s="716"/>
      <c r="AA215" s="716"/>
      <c r="AB215" s="716"/>
      <c r="AC215" s="716"/>
      <c r="AD215" s="716"/>
      <c r="AE215" s="716"/>
      <c r="AF215" s="716"/>
      <c r="AG215" s="716"/>
      <c r="AH215" s="716"/>
      <c r="AI215" s="716"/>
      <c r="AJ215" s="716"/>
      <c r="AK215" s="716"/>
      <c r="AL215" s="716"/>
      <c r="AM215" s="716"/>
      <c r="AN215" s="716"/>
      <c r="AO215" s="716"/>
      <c r="AP215" s="716"/>
      <c r="AQ215" s="716"/>
      <c r="AR215" s="716"/>
    </row>
    <row r="216">
      <c r="A216" s="716"/>
      <c r="B216" s="530"/>
      <c r="C216" s="530"/>
      <c r="D216" s="530"/>
      <c r="E216" s="530"/>
      <c r="F216" s="530"/>
      <c r="G216" s="530"/>
      <c r="H216" s="530"/>
      <c r="I216" s="530"/>
      <c r="J216" s="530"/>
      <c r="K216" s="530"/>
      <c r="L216" s="530"/>
      <c r="M216" s="530"/>
      <c r="N216" s="530"/>
      <c r="O216" s="530"/>
      <c r="P216" s="530"/>
      <c r="Q216" s="530"/>
      <c r="R216" s="530"/>
      <c r="S216" s="530"/>
      <c r="T216" s="530"/>
      <c r="U216" s="530"/>
      <c r="V216" s="530"/>
      <c r="W216" s="530"/>
      <c r="X216" s="733"/>
      <c r="Y216" s="716"/>
      <c r="Z216" s="716"/>
      <c r="AA216" s="716"/>
      <c r="AB216" s="716"/>
      <c r="AC216" s="716"/>
      <c r="AD216" s="716"/>
      <c r="AE216" s="716"/>
      <c r="AF216" s="716"/>
      <c r="AG216" s="716"/>
      <c r="AH216" s="716"/>
      <c r="AI216" s="716"/>
      <c r="AJ216" s="716"/>
      <c r="AK216" s="716"/>
      <c r="AL216" s="716"/>
      <c r="AM216" s="716"/>
      <c r="AN216" s="716"/>
      <c r="AO216" s="716"/>
      <c r="AP216" s="716"/>
      <c r="AQ216" s="716"/>
      <c r="AR216" s="716"/>
    </row>
    <row r="217">
      <c r="A217" s="716"/>
      <c r="B217" s="530"/>
      <c r="C217" s="530"/>
      <c r="D217" s="530"/>
      <c r="E217" s="530"/>
      <c r="F217" s="530"/>
      <c r="G217" s="530"/>
      <c r="H217" s="530"/>
      <c r="I217" s="530"/>
      <c r="J217" s="530"/>
      <c r="K217" s="530"/>
      <c r="L217" s="530"/>
      <c r="M217" s="530"/>
      <c r="N217" s="530"/>
      <c r="O217" s="530"/>
      <c r="P217" s="530"/>
      <c r="Q217" s="530"/>
      <c r="R217" s="530"/>
      <c r="S217" s="530"/>
      <c r="T217" s="530"/>
      <c r="U217" s="530"/>
      <c r="V217" s="530"/>
      <c r="W217" s="530"/>
      <c r="X217" s="733"/>
      <c r="Y217" s="716"/>
      <c r="Z217" s="716"/>
      <c r="AA217" s="716"/>
      <c r="AB217" s="716"/>
      <c r="AC217" s="716"/>
      <c r="AD217" s="716"/>
      <c r="AE217" s="716"/>
      <c r="AF217" s="716"/>
      <c r="AG217" s="716"/>
      <c r="AH217" s="716"/>
      <c r="AI217" s="716"/>
      <c r="AJ217" s="716"/>
      <c r="AK217" s="716"/>
      <c r="AL217" s="716"/>
      <c r="AM217" s="716"/>
      <c r="AN217" s="716"/>
      <c r="AO217" s="716"/>
      <c r="AP217" s="716"/>
      <c r="AQ217" s="716"/>
      <c r="AR217" s="716"/>
    </row>
    <row r="218">
      <c r="A218" s="716"/>
      <c r="B218" s="530"/>
      <c r="C218" s="530"/>
      <c r="D218" s="530"/>
      <c r="E218" s="530"/>
      <c r="F218" s="530"/>
      <c r="G218" s="530"/>
      <c r="H218" s="530"/>
      <c r="I218" s="530"/>
      <c r="J218" s="530"/>
      <c r="K218" s="530"/>
      <c r="L218" s="530"/>
      <c r="M218" s="530"/>
      <c r="N218" s="530"/>
      <c r="O218" s="530"/>
      <c r="P218" s="530"/>
      <c r="Q218" s="530"/>
      <c r="R218" s="530"/>
      <c r="S218" s="530"/>
      <c r="T218" s="530"/>
      <c r="U218" s="530"/>
      <c r="V218" s="530"/>
      <c r="W218" s="530"/>
      <c r="X218" s="733"/>
      <c r="Y218" s="716"/>
      <c r="Z218" s="716"/>
      <c r="AA218" s="716"/>
      <c r="AB218" s="716"/>
      <c r="AC218" s="716"/>
      <c r="AD218" s="716"/>
      <c r="AE218" s="716"/>
      <c r="AF218" s="716"/>
      <c r="AG218" s="716"/>
      <c r="AH218" s="716"/>
      <c r="AI218" s="716"/>
      <c r="AJ218" s="716"/>
      <c r="AK218" s="716"/>
      <c r="AL218" s="716"/>
      <c r="AM218" s="716"/>
      <c r="AN218" s="716"/>
      <c r="AO218" s="716"/>
      <c r="AP218" s="716"/>
      <c r="AQ218" s="716"/>
      <c r="AR218" s="716"/>
    </row>
    <row r="219">
      <c r="A219" s="716"/>
      <c r="B219" s="530"/>
      <c r="C219" s="530"/>
      <c r="D219" s="530"/>
      <c r="E219" s="530"/>
      <c r="F219" s="530"/>
      <c r="G219" s="530"/>
      <c r="H219" s="530"/>
      <c r="I219" s="530"/>
      <c r="J219" s="530"/>
      <c r="K219" s="530"/>
      <c r="L219" s="530"/>
      <c r="M219" s="530"/>
      <c r="N219" s="530"/>
      <c r="O219" s="530"/>
      <c r="P219" s="530"/>
      <c r="Q219" s="530"/>
      <c r="R219" s="530"/>
      <c r="S219" s="530"/>
      <c r="T219" s="530"/>
      <c r="U219" s="530"/>
      <c r="V219" s="530"/>
      <c r="W219" s="530"/>
      <c r="X219" s="733"/>
      <c r="Y219" s="716"/>
      <c r="Z219" s="716"/>
      <c r="AA219" s="716"/>
      <c r="AB219" s="716"/>
      <c r="AC219" s="716"/>
      <c r="AD219" s="716"/>
      <c r="AE219" s="716"/>
      <c r="AF219" s="716"/>
      <c r="AG219" s="716"/>
      <c r="AH219" s="716"/>
      <c r="AI219" s="716"/>
      <c r="AJ219" s="716"/>
      <c r="AK219" s="716"/>
      <c r="AL219" s="716"/>
      <c r="AM219" s="716"/>
      <c r="AN219" s="716"/>
      <c r="AO219" s="716"/>
      <c r="AP219" s="716"/>
      <c r="AQ219" s="716"/>
      <c r="AR219" s="716"/>
    </row>
    <row r="220">
      <c r="A220" s="716"/>
      <c r="B220" s="530"/>
      <c r="C220" s="530"/>
      <c r="D220" s="530"/>
      <c r="E220" s="530"/>
      <c r="F220" s="530"/>
      <c r="G220" s="530"/>
      <c r="H220" s="530"/>
      <c r="I220" s="530"/>
      <c r="J220" s="530"/>
      <c r="K220" s="530"/>
      <c r="L220" s="530"/>
      <c r="M220" s="530"/>
      <c r="N220" s="530"/>
      <c r="O220" s="530"/>
      <c r="P220" s="530"/>
      <c r="Q220" s="530"/>
      <c r="R220" s="530"/>
      <c r="S220" s="530"/>
      <c r="T220" s="530"/>
      <c r="U220" s="530"/>
      <c r="V220" s="530"/>
      <c r="W220" s="530"/>
      <c r="X220" s="733"/>
      <c r="Y220" s="716"/>
      <c r="Z220" s="716"/>
      <c r="AA220" s="716"/>
      <c r="AB220" s="716"/>
      <c r="AC220" s="716"/>
      <c r="AD220" s="716"/>
      <c r="AE220" s="716"/>
      <c r="AF220" s="716"/>
      <c r="AG220" s="716"/>
      <c r="AH220" s="716"/>
      <c r="AI220" s="716"/>
      <c r="AJ220" s="716"/>
      <c r="AK220" s="716"/>
      <c r="AL220" s="716"/>
      <c r="AM220" s="716"/>
      <c r="AN220" s="716"/>
      <c r="AO220" s="716"/>
      <c r="AP220" s="716"/>
      <c r="AQ220" s="716"/>
      <c r="AR220" s="716"/>
    </row>
    <row r="221">
      <c r="A221" s="716"/>
      <c r="B221" s="530"/>
      <c r="C221" s="530"/>
      <c r="D221" s="530"/>
      <c r="E221" s="530"/>
      <c r="F221" s="530"/>
      <c r="G221" s="530"/>
      <c r="H221" s="530"/>
      <c r="I221" s="530"/>
      <c r="J221" s="530"/>
      <c r="K221" s="530"/>
      <c r="L221" s="530"/>
      <c r="M221" s="530"/>
      <c r="N221" s="530"/>
      <c r="O221" s="530"/>
      <c r="P221" s="530"/>
      <c r="Q221" s="530"/>
      <c r="R221" s="530"/>
      <c r="S221" s="530"/>
      <c r="T221" s="530"/>
      <c r="U221" s="530"/>
      <c r="V221" s="530"/>
      <c r="W221" s="530"/>
      <c r="X221" s="733"/>
      <c r="Y221" s="716"/>
      <c r="Z221" s="716"/>
      <c r="AA221" s="716"/>
      <c r="AB221" s="716"/>
      <c r="AC221" s="716"/>
      <c r="AD221" s="716"/>
      <c r="AE221" s="716"/>
      <c r="AF221" s="716"/>
      <c r="AG221" s="716"/>
      <c r="AH221" s="716"/>
      <c r="AI221" s="716"/>
      <c r="AJ221" s="716"/>
      <c r="AK221" s="716"/>
      <c r="AL221" s="716"/>
      <c r="AM221" s="716"/>
      <c r="AN221" s="716"/>
      <c r="AO221" s="716"/>
      <c r="AP221" s="716"/>
      <c r="AQ221" s="716"/>
      <c r="AR221" s="716"/>
    </row>
    <row r="222">
      <c r="A222" s="716"/>
      <c r="B222" s="530"/>
      <c r="C222" s="530"/>
      <c r="D222" s="530"/>
      <c r="E222" s="530"/>
      <c r="F222" s="530"/>
      <c r="G222" s="530"/>
      <c r="H222" s="530"/>
      <c r="I222" s="530"/>
      <c r="J222" s="530"/>
      <c r="K222" s="530"/>
      <c r="L222" s="530"/>
      <c r="M222" s="530"/>
      <c r="N222" s="530"/>
      <c r="O222" s="530"/>
      <c r="P222" s="530"/>
      <c r="Q222" s="530"/>
      <c r="R222" s="530"/>
      <c r="S222" s="530"/>
      <c r="T222" s="530"/>
      <c r="U222" s="530"/>
      <c r="V222" s="530"/>
      <c r="W222" s="530"/>
      <c r="X222" s="733"/>
      <c r="Y222" s="716"/>
      <c r="Z222" s="716"/>
      <c r="AA222" s="716"/>
      <c r="AB222" s="716"/>
      <c r="AC222" s="716"/>
      <c r="AD222" s="716"/>
      <c r="AE222" s="716"/>
      <c r="AF222" s="716"/>
      <c r="AG222" s="716"/>
      <c r="AH222" s="716"/>
      <c r="AI222" s="716"/>
      <c r="AJ222" s="716"/>
      <c r="AK222" s="716"/>
      <c r="AL222" s="716"/>
      <c r="AM222" s="716"/>
      <c r="AN222" s="716"/>
      <c r="AO222" s="716"/>
      <c r="AP222" s="716"/>
      <c r="AQ222" s="716"/>
      <c r="AR222" s="716"/>
    </row>
    <row r="223">
      <c r="A223" s="716"/>
      <c r="B223" s="530"/>
      <c r="C223" s="530"/>
      <c r="D223" s="530"/>
      <c r="E223" s="530"/>
      <c r="F223" s="530"/>
      <c r="G223" s="530"/>
      <c r="H223" s="530"/>
      <c r="I223" s="530"/>
      <c r="J223" s="530"/>
      <c r="K223" s="530"/>
      <c r="L223" s="530"/>
      <c r="M223" s="530"/>
      <c r="N223" s="530"/>
      <c r="O223" s="530"/>
      <c r="P223" s="530"/>
      <c r="Q223" s="530"/>
      <c r="R223" s="530"/>
      <c r="S223" s="530"/>
      <c r="T223" s="530"/>
      <c r="U223" s="530"/>
      <c r="V223" s="530"/>
      <c r="W223" s="530"/>
      <c r="X223" s="733"/>
      <c r="Y223" s="716"/>
      <c r="Z223" s="716"/>
      <c r="AA223" s="716"/>
      <c r="AB223" s="716"/>
      <c r="AC223" s="716"/>
      <c r="AD223" s="716"/>
      <c r="AE223" s="716"/>
      <c r="AF223" s="716"/>
      <c r="AG223" s="716"/>
      <c r="AH223" s="716"/>
      <c r="AI223" s="716"/>
      <c r="AJ223" s="716"/>
      <c r="AK223" s="716"/>
      <c r="AL223" s="716"/>
      <c r="AM223" s="716"/>
      <c r="AN223" s="716"/>
      <c r="AO223" s="716"/>
      <c r="AP223" s="716"/>
      <c r="AQ223" s="716"/>
      <c r="AR223" s="716"/>
    </row>
    <row r="224">
      <c r="A224" s="716"/>
      <c r="B224" s="530"/>
      <c r="C224" s="530"/>
      <c r="D224" s="530"/>
      <c r="E224" s="530"/>
      <c r="F224" s="530"/>
      <c r="G224" s="530"/>
      <c r="H224" s="530"/>
      <c r="I224" s="530"/>
      <c r="J224" s="530"/>
      <c r="K224" s="530"/>
      <c r="L224" s="530"/>
      <c r="M224" s="530"/>
      <c r="N224" s="530"/>
      <c r="O224" s="530"/>
      <c r="P224" s="530"/>
      <c r="Q224" s="530"/>
      <c r="R224" s="530"/>
      <c r="S224" s="530"/>
      <c r="T224" s="530"/>
      <c r="U224" s="530"/>
      <c r="V224" s="530"/>
      <c r="W224" s="530"/>
      <c r="X224" s="733"/>
      <c r="Y224" s="716"/>
      <c r="Z224" s="716"/>
      <c r="AA224" s="716"/>
      <c r="AB224" s="716"/>
      <c r="AC224" s="716"/>
      <c r="AD224" s="716"/>
      <c r="AE224" s="716"/>
      <c r="AF224" s="716"/>
      <c r="AG224" s="716"/>
      <c r="AH224" s="716"/>
      <c r="AI224" s="716"/>
      <c r="AJ224" s="716"/>
      <c r="AK224" s="716"/>
      <c r="AL224" s="716"/>
      <c r="AM224" s="716"/>
      <c r="AN224" s="716"/>
      <c r="AO224" s="716"/>
      <c r="AP224" s="716"/>
      <c r="AQ224" s="716"/>
      <c r="AR224" s="716"/>
    </row>
    <row r="225">
      <c r="A225" s="716"/>
      <c r="B225" s="530"/>
      <c r="C225" s="530"/>
      <c r="D225" s="530"/>
      <c r="E225" s="530"/>
      <c r="F225" s="530"/>
      <c r="G225" s="530"/>
      <c r="H225" s="530"/>
      <c r="I225" s="530"/>
      <c r="J225" s="530"/>
      <c r="K225" s="530"/>
      <c r="L225" s="530"/>
      <c r="M225" s="530"/>
      <c r="N225" s="530"/>
      <c r="O225" s="530"/>
      <c r="P225" s="530"/>
      <c r="Q225" s="530"/>
      <c r="R225" s="530"/>
      <c r="S225" s="530"/>
      <c r="T225" s="530"/>
      <c r="U225" s="530"/>
      <c r="V225" s="530"/>
      <c r="W225" s="530"/>
      <c r="X225" s="733"/>
      <c r="Y225" s="716"/>
      <c r="Z225" s="716"/>
      <c r="AA225" s="716"/>
      <c r="AB225" s="716"/>
      <c r="AC225" s="716"/>
      <c r="AD225" s="716"/>
      <c r="AE225" s="716"/>
      <c r="AF225" s="716"/>
      <c r="AG225" s="716"/>
      <c r="AH225" s="716"/>
      <c r="AI225" s="716"/>
      <c r="AJ225" s="716"/>
      <c r="AK225" s="716"/>
      <c r="AL225" s="716"/>
      <c r="AM225" s="716"/>
      <c r="AN225" s="716"/>
      <c r="AO225" s="716"/>
      <c r="AP225" s="716"/>
      <c r="AQ225" s="716"/>
      <c r="AR225" s="716"/>
    </row>
    <row r="226">
      <c r="A226" s="716"/>
      <c r="B226" s="530"/>
      <c r="C226" s="530"/>
      <c r="D226" s="530"/>
      <c r="E226" s="530"/>
      <c r="F226" s="530"/>
      <c r="G226" s="530"/>
      <c r="H226" s="530"/>
      <c r="I226" s="530"/>
      <c r="J226" s="530"/>
      <c r="K226" s="530"/>
      <c r="L226" s="530"/>
      <c r="M226" s="530"/>
      <c r="N226" s="530"/>
      <c r="O226" s="530"/>
      <c r="P226" s="530"/>
      <c r="Q226" s="530"/>
      <c r="R226" s="530"/>
      <c r="S226" s="530"/>
      <c r="T226" s="530"/>
      <c r="U226" s="530"/>
      <c r="V226" s="530"/>
      <c r="W226" s="530"/>
      <c r="X226" s="733"/>
      <c r="Y226" s="716"/>
      <c r="Z226" s="716"/>
      <c r="AA226" s="716"/>
      <c r="AB226" s="716"/>
      <c r="AC226" s="716"/>
      <c r="AD226" s="716"/>
      <c r="AE226" s="716"/>
      <c r="AF226" s="716"/>
      <c r="AG226" s="716"/>
      <c r="AH226" s="716"/>
      <c r="AI226" s="716"/>
      <c r="AJ226" s="716"/>
      <c r="AK226" s="716"/>
      <c r="AL226" s="716"/>
      <c r="AM226" s="716"/>
      <c r="AN226" s="716"/>
      <c r="AO226" s="716"/>
      <c r="AP226" s="716"/>
      <c r="AQ226" s="716"/>
      <c r="AR226" s="716"/>
    </row>
    <row r="227">
      <c r="A227" s="716"/>
      <c r="B227" s="530"/>
      <c r="C227" s="530"/>
      <c r="D227" s="530"/>
      <c r="E227" s="530"/>
      <c r="F227" s="530"/>
      <c r="G227" s="530"/>
      <c r="H227" s="530"/>
      <c r="I227" s="530"/>
      <c r="J227" s="530"/>
      <c r="K227" s="530"/>
      <c r="L227" s="530"/>
      <c r="M227" s="530"/>
      <c r="N227" s="530"/>
      <c r="O227" s="530"/>
      <c r="P227" s="530"/>
      <c r="Q227" s="530"/>
      <c r="R227" s="530"/>
      <c r="S227" s="530"/>
      <c r="T227" s="530"/>
      <c r="U227" s="530"/>
      <c r="V227" s="530"/>
      <c r="W227" s="530"/>
      <c r="X227" s="733"/>
      <c r="Y227" s="716"/>
      <c r="Z227" s="716"/>
      <c r="AA227" s="716"/>
      <c r="AB227" s="716"/>
      <c r="AC227" s="716"/>
      <c r="AD227" s="716"/>
      <c r="AE227" s="716"/>
      <c r="AF227" s="716"/>
      <c r="AG227" s="716"/>
      <c r="AH227" s="716"/>
      <c r="AI227" s="716"/>
      <c r="AJ227" s="716"/>
      <c r="AK227" s="716"/>
      <c r="AL227" s="716"/>
      <c r="AM227" s="716"/>
      <c r="AN227" s="716"/>
      <c r="AO227" s="716"/>
      <c r="AP227" s="716"/>
      <c r="AQ227" s="716"/>
      <c r="AR227" s="716"/>
    </row>
    <row r="228">
      <c r="A228" s="716"/>
      <c r="B228" s="530"/>
      <c r="C228" s="530"/>
      <c r="D228" s="530"/>
      <c r="E228" s="530"/>
      <c r="F228" s="530"/>
      <c r="G228" s="530"/>
      <c r="H228" s="530"/>
      <c r="I228" s="530"/>
      <c r="J228" s="530"/>
      <c r="K228" s="530"/>
      <c r="L228" s="530"/>
      <c r="M228" s="530"/>
      <c r="N228" s="530"/>
      <c r="O228" s="530"/>
      <c r="P228" s="530"/>
      <c r="Q228" s="530"/>
      <c r="R228" s="530"/>
      <c r="S228" s="530"/>
      <c r="T228" s="530"/>
      <c r="U228" s="530"/>
      <c r="V228" s="530"/>
      <c r="W228" s="530"/>
      <c r="X228" s="733"/>
      <c r="Y228" s="716"/>
      <c r="Z228" s="716"/>
      <c r="AA228" s="716"/>
      <c r="AB228" s="716"/>
      <c r="AC228" s="716"/>
      <c r="AD228" s="716"/>
      <c r="AE228" s="716"/>
      <c r="AF228" s="716"/>
      <c r="AG228" s="716"/>
      <c r="AH228" s="716"/>
      <c r="AI228" s="716"/>
      <c r="AJ228" s="716"/>
      <c r="AK228" s="716"/>
      <c r="AL228" s="716"/>
      <c r="AM228" s="716"/>
      <c r="AN228" s="716"/>
      <c r="AO228" s="716"/>
      <c r="AP228" s="716"/>
      <c r="AQ228" s="716"/>
      <c r="AR228" s="716"/>
    </row>
    <row r="229">
      <c r="A229" s="716"/>
      <c r="B229" s="530"/>
      <c r="C229" s="530"/>
      <c r="D229" s="530"/>
      <c r="E229" s="530"/>
      <c r="F229" s="530"/>
      <c r="G229" s="530"/>
      <c r="H229" s="530"/>
      <c r="I229" s="530"/>
      <c r="J229" s="530"/>
      <c r="K229" s="530"/>
      <c r="L229" s="530"/>
      <c r="M229" s="530"/>
      <c r="N229" s="530"/>
      <c r="O229" s="530"/>
      <c r="P229" s="530"/>
      <c r="Q229" s="530"/>
      <c r="R229" s="530"/>
      <c r="S229" s="530"/>
      <c r="T229" s="530"/>
      <c r="U229" s="530"/>
      <c r="V229" s="530"/>
      <c r="W229" s="530"/>
      <c r="X229" s="733"/>
      <c r="Y229" s="716"/>
      <c r="Z229" s="716"/>
      <c r="AA229" s="716"/>
      <c r="AB229" s="716"/>
      <c r="AC229" s="716"/>
      <c r="AD229" s="716"/>
      <c r="AE229" s="716"/>
      <c r="AF229" s="716"/>
      <c r="AG229" s="716"/>
      <c r="AH229" s="716"/>
      <c r="AI229" s="716"/>
      <c r="AJ229" s="716"/>
      <c r="AK229" s="716"/>
      <c r="AL229" s="716"/>
      <c r="AM229" s="716"/>
      <c r="AN229" s="716"/>
      <c r="AO229" s="716"/>
      <c r="AP229" s="716"/>
      <c r="AQ229" s="716"/>
      <c r="AR229" s="716"/>
    </row>
    <row r="230">
      <c r="A230" s="716"/>
      <c r="B230" s="530"/>
      <c r="C230" s="530"/>
      <c r="D230" s="530"/>
      <c r="E230" s="530"/>
      <c r="F230" s="530"/>
      <c r="G230" s="530"/>
      <c r="H230" s="530"/>
      <c r="I230" s="530"/>
      <c r="J230" s="530"/>
      <c r="K230" s="530"/>
      <c r="L230" s="530"/>
      <c r="M230" s="530"/>
      <c r="N230" s="530"/>
      <c r="O230" s="530"/>
      <c r="P230" s="530"/>
      <c r="Q230" s="530"/>
      <c r="R230" s="530"/>
      <c r="S230" s="530"/>
      <c r="T230" s="530"/>
      <c r="U230" s="530"/>
      <c r="V230" s="530"/>
      <c r="W230" s="530"/>
      <c r="X230" s="733"/>
      <c r="Y230" s="716"/>
      <c r="Z230" s="716"/>
      <c r="AA230" s="716"/>
      <c r="AB230" s="716"/>
      <c r="AC230" s="716"/>
      <c r="AD230" s="716"/>
      <c r="AE230" s="716"/>
      <c r="AF230" s="716"/>
      <c r="AG230" s="716"/>
      <c r="AH230" s="716"/>
      <c r="AI230" s="716"/>
      <c r="AJ230" s="716"/>
      <c r="AK230" s="716"/>
      <c r="AL230" s="716"/>
      <c r="AM230" s="716"/>
      <c r="AN230" s="716"/>
      <c r="AO230" s="716"/>
      <c r="AP230" s="716"/>
      <c r="AQ230" s="716"/>
      <c r="AR230" s="716"/>
    </row>
    <row r="231">
      <c r="A231" s="716"/>
      <c r="B231" s="530"/>
      <c r="C231" s="530"/>
      <c r="D231" s="530"/>
      <c r="E231" s="530"/>
      <c r="F231" s="530"/>
      <c r="G231" s="530"/>
      <c r="H231" s="530"/>
      <c r="I231" s="530"/>
      <c r="J231" s="530"/>
      <c r="K231" s="530"/>
      <c r="L231" s="530"/>
      <c r="M231" s="530"/>
      <c r="N231" s="530"/>
      <c r="O231" s="530"/>
      <c r="P231" s="530"/>
      <c r="Q231" s="530"/>
      <c r="R231" s="530"/>
      <c r="S231" s="530"/>
      <c r="T231" s="530"/>
      <c r="U231" s="530"/>
      <c r="V231" s="530"/>
      <c r="W231" s="530"/>
      <c r="X231" s="733"/>
      <c r="Y231" s="716"/>
      <c r="Z231" s="716"/>
      <c r="AA231" s="716"/>
      <c r="AB231" s="716"/>
      <c r="AC231" s="716"/>
      <c r="AD231" s="716"/>
      <c r="AE231" s="716"/>
      <c r="AF231" s="716"/>
      <c r="AG231" s="716"/>
      <c r="AH231" s="716"/>
      <c r="AI231" s="716"/>
      <c r="AJ231" s="716"/>
      <c r="AK231" s="716"/>
      <c r="AL231" s="716"/>
      <c r="AM231" s="716"/>
      <c r="AN231" s="716"/>
      <c r="AO231" s="716"/>
      <c r="AP231" s="716"/>
      <c r="AQ231" s="716"/>
      <c r="AR231" s="716"/>
    </row>
    <row r="232">
      <c r="A232" s="716"/>
      <c r="B232" s="530"/>
      <c r="C232" s="530"/>
      <c r="D232" s="530"/>
      <c r="E232" s="530"/>
      <c r="F232" s="530"/>
      <c r="G232" s="530"/>
      <c r="H232" s="530"/>
      <c r="I232" s="530"/>
      <c r="J232" s="530"/>
      <c r="K232" s="530"/>
      <c r="L232" s="530"/>
      <c r="M232" s="530"/>
      <c r="N232" s="530"/>
      <c r="O232" s="530"/>
      <c r="P232" s="530"/>
      <c r="Q232" s="530"/>
      <c r="R232" s="530"/>
      <c r="S232" s="530"/>
      <c r="T232" s="530"/>
      <c r="U232" s="530"/>
      <c r="V232" s="530"/>
      <c r="W232" s="530"/>
      <c r="X232" s="733"/>
      <c r="Y232" s="716"/>
      <c r="Z232" s="716"/>
      <c r="AA232" s="716"/>
      <c r="AB232" s="716"/>
      <c r="AC232" s="716"/>
      <c r="AD232" s="716"/>
      <c r="AE232" s="716"/>
      <c r="AF232" s="716"/>
      <c r="AG232" s="716"/>
      <c r="AH232" s="716"/>
      <c r="AI232" s="716"/>
      <c r="AJ232" s="716"/>
      <c r="AK232" s="716"/>
      <c r="AL232" s="716"/>
      <c r="AM232" s="716"/>
      <c r="AN232" s="716"/>
      <c r="AO232" s="716"/>
      <c r="AP232" s="716"/>
      <c r="AQ232" s="716"/>
      <c r="AR232" s="716"/>
    </row>
    <row r="233">
      <c r="A233" s="716"/>
      <c r="B233" s="530"/>
      <c r="C233" s="530"/>
      <c r="D233" s="530"/>
      <c r="E233" s="530"/>
      <c r="F233" s="530"/>
      <c r="G233" s="530"/>
      <c r="H233" s="530"/>
      <c r="I233" s="530"/>
      <c r="J233" s="530"/>
      <c r="K233" s="530"/>
      <c r="L233" s="530"/>
      <c r="M233" s="530"/>
      <c r="N233" s="530"/>
      <c r="O233" s="530"/>
      <c r="P233" s="530"/>
      <c r="Q233" s="530"/>
      <c r="R233" s="530"/>
      <c r="S233" s="530"/>
      <c r="T233" s="530"/>
      <c r="U233" s="530"/>
      <c r="V233" s="530"/>
      <c r="W233" s="530"/>
      <c r="X233" s="733"/>
      <c r="Y233" s="716"/>
      <c r="Z233" s="716"/>
      <c r="AA233" s="716"/>
      <c r="AB233" s="716"/>
      <c r="AC233" s="716"/>
      <c r="AD233" s="716"/>
      <c r="AE233" s="716"/>
      <c r="AF233" s="716"/>
      <c r="AG233" s="716"/>
      <c r="AH233" s="716"/>
      <c r="AI233" s="716"/>
      <c r="AJ233" s="716"/>
      <c r="AK233" s="716"/>
      <c r="AL233" s="716"/>
      <c r="AM233" s="716"/>
      <c r="AN233" s="716"/>
      <c r="AO233" s="716"/>
      <c r="AP233" s="716"/>
      <c r="AQ233" s="716"/>
      <c r="AR233" s="716"/>
    </row>
    <row r="234">
      <c r="A234" s="716"/>
      <c r="B234" s="530"/>
      <c r="C234" s="530"/>
      <c r="D234" s="530"/>
      <c r="E234" s="530"/>
      <c r="F234" s="530"/>
      <c r="G234" s="530"/>
      <c r="H234" s="530"/>
      <c r="I234" s="530"/>
      <c r="J234" s="530"/>
      <c r="K234" s="530"/>
      <c r="L234" s="530"/>
      <c r="M234" s="530"/>
      <c r="N234" s="530"/>
      <c r="O234" s="530"/>
      <c r="P234" s="530"/>
      <c r="Q234" s="530"/>
      <c r="R234" s="530"/>
      <c r="S234" s="530"/>
      <c r="T234" s="530"/>
      <c r="U234" s="530"/>
      <c r="V234" s="530"/>
      <c r="W234" s="530"/>
      <c r="X234" s="733"/>
      <c r="Y234" s="716"/>
      <c r="Z234" s="716"/>
      <c r="AA234" s="716"/>
      <c r="AB234" s="716"/>
      <c r="AC234" s="716"/>
      <c r="AD234" s="716"/>
      <c r="AE234" s="716"/>
      <c r="AF234" s="716"/>
      <c r="AG234" s="716"/>
      <c r="AH234" s="716"/>
      <c r="AI234" s="716"/>
      <c r="AJ234" s="716"/>
      <c r="AK234" s="716"/>
      <c r="AL234" s="716"/>
      <c r="AM234" s="716"/>
      <c r="AN234" s="716"/>
      <c r="AO234" s="716"/>
      <c r="AP234" s="716"/>
      <c r="AQ234" s="716"/>
      <c r="AR234" s="716"/>
    </row>
    <row r="235">
      <c r="A235" s="716"/>
      <c r="B235" s="530"/>
      <c r="C235" s="530"/>
      <c r="D235" s="530"/>
      <c r="E235" s="530"/>
      <c r="F235" s="530"/>
      <c r="G235" s="530"/>
      <c r="H235" s="530"/>
      <c r="I235" s="530"/>
      <c r="J235" s="530"/>
      <c r="K235" s="530"/>
      <c r="L235" s="530"/>
      <c r="M235" s="530"/>
      <c r="N235" s="530"/>
      <c r="O235" s="530"/>
      <c r="P235" s="530"/>
      <c r="Q235" s="530"/>
      <c r="R235" s="530"/>
      <c r="S235" s="530"/>
      <c r="T235" s="530"/>
      <c r="U235" s="530"/>
      <c r="V235" s="530"/>
      <c r="W235" s="530"/>
      <c r="X235" s="733"/>
      <c r="Y235" s="716"/>
      <c r="Z235" s="716"/>
      <c r="AA235" s="716"/>
      <c r="AB235" s="716"/>
      <c r="AC235" s="716"/>
      <c r="AD235" s="716"/>
      <c r="AE235" s="716"/>
      <c r="AF235" s="716"/>
      <c r="AG235" s="716"/>
      <c r="AH235" s="716"/>
      <c r="AI235" s="716"/>
      <c r="AJ235" s="716"/>
      <c r="AK235" s="716"/>
      <c r="AL235" s="716"/>
      <c r="AM235" s="716"/>
      <c r="AN235" s="716"/>
      <c r="AO235" s="716"/>
      <c r="AP235" s="716"/>
      <c r="AQ235" s="716"/>
      <c r="AR235" s="716"/>
    </row>
    <row r="236">
      <c r="A236" s="716"/>
      <c r="B236" s="530"/>
      <c r="C236" s="530"/>
      <c r="D236" s="530"/>
      <c r="E236" s="530"/>
      <c r="F236" s="530"/>
      <c r="G236" s="530"/>
      <c r="H236" s="530"/>
      <c r="I236" s="530"/>
      <c r="J236" s="530"/>
      <c r="K236" s="530"/>
      <c r="L236" s="530"/>
      <c r="M236" s="530"/>
      <c r="N236" s="530"/>
      <c r="O236" s="530"/>
      <c r="P236" s="530"/>
      <c r="Q236" s="530"/>
      <c r="R236" s="530"/>
      <c r="S236" s="530"/>
      <c r="T236" s="530"/>
      <c r="U236" s="530"/>
      <c r="V236" s="530"/>
      <c r="W236" s="530"/>
      <c r="X236" s="733"/>
      <c r="Y236" s="716"/>
      <c r="Z236" s="716"/>
      <c r="AA236" s="716"/>
      <c r="AB236" s="716"/>
      <c r="AC236" s="716"/>
      <c r="AD236" s="716"/>
      <c r="AE236" s="716"/>
      <c r="AF236" s="716"/>
      <c r="AG236" s="716"/>
      <c r="AH236" s="716"/>
      <c r="AI236" s="716"/>
      <c r="AJ236" s="716"/>
      <c r="AK236" s="716"/>
      <c r="AL236" s="716"/>
      <c r="AM236" s="716"/>
      <c r="AN236" s="716"/>
      <c r="AO236" s="716"/>
      <c r="AP236" s="716"/>
      <c r="AQ236" s="716"/>
      <c r="AR236" s="716"/>
    </row>
    <row r="237">
      <c r="A237" s="716"/>
      <c r="B237" s="530"/>
      <c r="C237" s="530"/>
      <c r="D237" s="530"/>
      <c r="E237" s="530"/>
      <c r="F237" s="530"/>
      <c r="G237" s="530"/>
      <c r="H237" s="530"/>
      <c r="I237" s="530"/>
      <c r="J237" s="530"/>
      <c r="K237" s="530"/>
      <c r="L237" s="530"/>
      <c r="M237" s="530"/>
      <c r="N237" s="530"/>
      <c r="O237" s="530"/>
      <c r="P237" s="530"/>
      <c r="Q237" s="530"/>
      <c r="R237" s="530"/>
      <c r="S237" s="530"/>
      <c r="T237" s="530"/>
      <c r="U237" s="530"/>
      <c r="V237" s="530"/>
      <c r="W237" s="530"/>
      <c r="X237" s="733"/>
      <c r="Y237" s="716"/>
      <c r="Z237" s="716"/>
      <c r="AA237" s="716"/>
      <c r="AB237" s="716"/>
      <c r="AC237" s="716"/>
      <c r="AD237" s="716"/>
      <c r="AE237" s="716"/>
      <c r="AF237" s="716"/>
      <c r="AG237" s="716"/>
      <c r="AH237" s="716"/>
      <c r="AI237" s="716"/>
      <c r="AJ237" s="716"/>
      <c r="AK237" s="716"/>
      <c r="AL237" s="716"/>
      <c r="AM237" s="716"/>
      <c r="AN237" s="716"/>
      <c r="AO237" s="716"/>
      <c r="AP237" s="716"/>
      <c r="AQ237" s="716"/>
      <c r="AR237" s="716"/>
    </row>
    <row r="238">
      <c r="A238" s="716"/>
      <c r="B238" s="530"/>
      <c r="C238" s="530"/>
      <c r="D238" s="530"/>
      <c r="E238" s="530"/>
      <c r="F238" s="530"/>
      <c r="G238" s="530"/>
      <c r="H238" s="530"/>
      <c r="I238" s="530"/>
      <c r="J238" s="530"/>
      <c r="K238" s="530"/>
      <c r="L238" s="530"/>
      <c r="M238" s="530"/>
      <c r="N238" s="530"/>
      <c r="O238" s="530"/>
      <c r="P238" s="530"/>
      <c r="Q238" s="530"/>
      <c r="R238" s="530"/>
      <c r="S238" s="530"/>
      <c r="T238" s="530"/>
      <c r="U238" s="530"/>
      <c r="V238" s="530"/>
      <c r="W238" s="530"/>
      <c r="X238" s="733"/>
      <c r="Y238" s="716"/>
      <c r="Z238" s="716"/>
      <c r="AA238" s="716"/>
      <c r="AB238" s="716"/>
      <c r="AC238" s="716"/>
      <c r="AD238" s="716"/>
      <c r="AE238" s="716"/>
      <c r="AF238" s="716"/>
      <c r="AG238" s="716"/>
      <c r="AH238" s="716"/>
      <c r="AI238" s="716"/>
      <c r="AJ238" s="716"/>
      <c r="AK238" s="716"/>
      <c r="AL238" s="716"/>
      <c r="AM238" s="716"/>
      <c r="AN238" s="716"/>
      <c r="AO238" s="716"/>
      <c r="AP238" s="716"/>
      <c r="AQ238" s="716"/>
      <c r="AR238" s="716"/>
    </row>
    <row r="239">
      <c r="A239" s="716"/>
      <c r="B239" s="530"/>
      <c r="C239" s="530"/>
      <c r="D239" s="530"/>
      <c r="E239" s="530"/>
      <c r="F239" s="530"/>
      <c r="G239" s="530"/>
      <c r="H239" s="530"/>
      <c r="I239" s="530"/>
      <c r="J239" s="530"/>
      <c r="K239" s="530"/>
      <c r="L239" s="530"/>
      <c r="M239" s="530"/>
      <c r="N239" s="530"/>
      <c r="O239" s="530"/>
      <c r="P239" s="530"/>
      <c r="Q239" s="530"/>
      <c r="R239" s="530"/>
      <c r="S239" s="530"/>
      <c r="T239" s="530"/>
      <c r="U239" s="530"/>
      <c r="V239" s="530"/>
      <c r="W239" s="530"/>
      <c r="X239" s="733"/>
      <c r="Y239" s="716"/>
      <c r="Z239" s="716"/>
      <c r="AA239" s="716"/>
      <c r="AB239" s="716"/>
      <c r="AC239" s="716"/>
      <c r="AD239" s="716"/>
      <c r="AE239" s="716"/>
      <c r="AF239" s="716"/>
      <c r="AG239" s="716"/>
      <c r="AH239" s="716"/>
      <c r="AI239" s="716"/>
      <c r="AJ239" s="716"/>
      <c r="AK239" s="716"/>
      <c r="AL239" s="716"/>
      <c r="AM239" s="716"/>
      <c r="AN239" s="716"/>
      <c r="AO239" s="716"/>
      <c r="AP239" s="716"/>
      <c r="AQ239" s="716"/>
      <c r="AR239" s="716"/>
    </row>
    <row r="240">
      <c r="A240" s="716"/>
      <c r="B240" s="530"/>
      <c r="C240" s="530"/>
      <c r="D240" s="530"/>
      <c r="E240" s="530"/>
      <c r="F240" s="530"/>
      <c r="G240" s="530"/>
      <c r="H240" s="530"/>
      <c r="I240" s="530"/>
      <c r="J240" s="530"/>
      <c r="K240" s="530"/>
      <c r="L240" s="530"/>
      <c r="M240" s="530"/>
      <c r="N240" s="530"/>
      <c r="O240" s="530"/>
      <c r="P240" s="530"/>
      <c r="Q240" s="530"/>
      <c r="R240" s="530"/>
      <c r="S240" s="530"/>
      <c r="T240" s="530"/>
      <c r="U240" s="530"/>
      <c r="V240" s="530"/>
      <c r="W240" s="530"/>
      <c r="X240" s="733"/>
      <c r="Y240" s="716"/>
      <c r="Z240" s="716"/>
      <c r="AA240" s="716"/>
      <c r="AB240" s="716"/>
      <c r="AC240" s="716"/>
      <c r="AD240" s="716"/>
      <c r="AE240" s="716"/>
      <c r="AF240" s="716"/>
      <c r="AG240" s="716"/>
      <c r="AH240" s="716"/>
      <c r="AI240" s="716"/>
      <c r="AJ240" s="716"/>
      <c r="AK240" s="716"/>
      <c r="AL240" s="716"/>
      <c r="AM240" s="716"/>
      <c r="AN240" s="716"/>
      <c r="AO240" s="716"/>
      <c r="AP240" s="716"/>
      <c r="AQ240" s="716"/>
      <c r="AR240" s="716"/>
    </row>
    <row r="241">
      <c r="A241" s="716"/>
      <c r="B241" s="530"/>
      <c r="C241" s="530"/>
      <c r="D241" s="530"/>
      <c r="E241" s="530"/>
      <c r="F241" s="530"/>
      <c r="G241" s="530"/>
      <c r="H241" s="530"/>
      <c r="I241" s="530"/>
      <c r="J241" s="530"/>
      <c r="K241" s="530"/>
      <c r="L241" s="530"/>
      <c r="M241" s="530"/>
      <c r="N241" s="530"/>
      <c r="O241" s="530"/>
      <c r="P241" s="530"/>
      <c r="Q241" s="530"/>
      <c r="R241" s="530"/>
      <c r="S241" s="530"/>
      <c r="T241" s="530"/>
      <c r="U241" s="530"/>
      <c r="V241" s="530"/>
      <c r="W241" s="530"/>
      <c r="X241" s="733"/>
      <c r="Y241" s="716"/>
      <c r="Z241" s="716"/>
      <c r="AA241" s="716"/>
      <c r="AB241" s="716"/>
      <c r="AC241" s="716"/>
      <c r="AD241" s="716"/>
      <c r="AE241" s="716"/>
      <c r="AF241" s="716"/>
      <c r="AG241" s="716"/>
      <c r="AH241" s="716"/>
      <c r="AI241" s="716"/>
      <c r="AJ241" s="716"/>
      <c r="AK241" s="716"/>
      <c r="AL241" s="716"/>
      <c r="AM241" s="716"/>
      <c r="AN241" s="716"/>
      <c r="AO241" s="716"/>
      <c r="AP241" s="716"/>
      <c r="AQ241" s="716"/>
      <c r="AR241" s="716"/>
    </row>
    <row r="242">
      <c r="A242" s="716"/>
      <c r="B242" s="530"/>
      <c r="C242" s="530"/>
      <c r="D242" s="530"/>
      <c r="E242" s="530"/>
      <c r="F242" s="530"/>
      <c r="G242" s="530"/>
      <c r="H242" s="530"/>
      <c r="I242" s="530"/>
      <c r="J242" s="530"/>
      <c r="K242" s="530"/>
      <c r="L242" s="530"/>
      <c r="M242" s="530"/>
      <c r="N242" s="530"/>
      <c r="O242" s="530"/>
      <c r="P242" s="530"/>
      <c r="Q242" s="530"/>
      <c r="R242" s="530"/>
      <c r="S242" s="530"/>
      <c r="T242" s="530"/>
      <c r="U242" s="530"/>
      <c r="V242" s="530"/>
      <c r="W242" s="530"/>
      <c r="X242" s="733"/>
      <c r="Y242" s="716"/>
      <c r="Z242" s="716"/>
      <c r="AA242" s="716"/>
      <c r="AB242" s="716"/>
      <c r="AC242" s="716"/>
      <c r="AD242" s="716"/>
      <c r="AE242" s="716"/>
      <c r="AF242" s="716"/>
      <c r="AG242" s="716"/>
      <c r="AH242" s="716"/>
      <c r="AI242" s="716"/>
      <c r="AJ242" s="716"/>
      <c r="AK242" s="716"/>
      <c r="AL242" s="716"/>
      <c r="AM242" s="716"/>
      <c r="AN242" s="716"/>
      <c r="AO242" s="716"/>
      <c r="AP242" s="716"/>
      <c r="AQ242" s="716"/>
      <c r="AR242" s="716"/>
    </row>
    <row r="243">
      <c r="A243" s="716"/>
      <c r="B243" s="530"/>
      <c r="C243" s="530"/>
      <c r="D243" s="530"/>
      <c r="E243" s="530"/>
      <c r="F243" s="530"/>
      <c r="G243" s="530"/>
      <c r="H243" s="530"/>
      <c r="I243" s="530"/>
      <c r="J243" s="530"/>
      <c r="K243" s="530"/>
      <c r="L243" s="530"/>
      <c r="M243" s="530"/>
      <c r="N243" s="530"/>
      <c r="O243" s="530"/>
      <c r="P243" s="530"/>
      <c r="Q243" s="530"/>
      <c r="R243" s="530"/>
      <c r="S243" s="530"/>
      <c r="T243" s="530"/>
      <c r="U243" s="530"/>
      <c r="V243" s="530"/>
      <c r="W243" s="530"/>
      <c r="X243" s="733"/>
      <c r="Y243" s="716"/>
      <c r="Z243" s="716"/>
      <c r="AA243" s="716"/>
      <c r="AB243" s="716"/>
      <c r="AC243" s="716"/>
      <c r="AD243" s="716"/>
      <c r="AE243" s="716"/>
      <c r="AF243" s="716"/>
      <c r="AG243" s="716"/>
      <c r="AH243" s="716"/>
      <c r="AI243" s="716"/>
      <c r="AJ243" s="716"/>
      <c r="AK243" s="716"/>
      <c r="AL243" s="716"/>
      <c r="AM243" s="716"/>
      <c r="AN243" s="716"/>
      <c r="AO243" s="716"/>
      <c r="AP243" s="716"/>
      <c r="AQ243" s="716"/>
      <c r="AR243" s="716"/>
    </row>
    <row r="244">
      <c r="A244" s="716"/>
      <c r="B244" s="530"/>
      <c r="C244" s="530"/>
      <c r="D244" s="530"/>
      <c r="E244" s="530"/>
      <c r="F244" s="530"/>
      <c r="G244" s="530"/>
      <c r="H244" s="530"/>
      <c r="I244" s="530"/>
      <c r="J244" s="530"/>
      <c r="K244" s="530"/>
      <c r="L244" s="530"/>
      <c r="M244" s="530"/>
      <c r="N244" s="530"/>
      <c r="O244" s="530"/>
      <c r="P244" s="530"/>
      <c r="Q244" s="530"/>
      <c r="R244" s="530"/>
      <c r="S244" s="530"/>
      <c r="T244" s="530"/>
      <c r="U244" s="530"/>
      <c r="V244" s="530"/>
      <c r="W244" s="530"/>
      <c r="X244" s="733"/>
      <c r="Y244" s="716"/>
      <c r="Z244" s="716"/>
      <c r="AA244" s="716"/>
      <c r="AB244" s="716"/>
      <c r="AC244" s="716"/>
      <c r="AD244" s="716"/>
      <c r="AE244" s="716"/>
      <c r="AF244" s="716"/>
      <c r="AG244" s="716"/>
      <c r="AH244" s="716"/>
      <c r="AI244" s="716"/>
      <c r="AJ244" s="716"/>
      <c r="AK244" s="716"/>
      <c r="AL244" s="716"/>
      <c r="AM244" s="716"/>
      <c r="AN244" s="716"/>
      <c r="AO244" s="716"/>
      <c r="AP244" s="716"/>
      <c r="AQ244" s="716"/>
      <c r="AR244" s="716"/>
    </row>
    <row r="245">
      <c r="A245" s="716"/>
      <c r="B245" s="530"/>
      <c r="C245" s="530"/>
      <c r="D245" s="530"/>
      <c r="E245" s="530"/>
      <c r="F245" s="530"/>
      <c r="G245" s="530"/>
      <c r="H245" s="530"/>
      <c r="I245" s="530"/>
      <c r="J245" s="530"/>
      <c r="K245" s="530"/>
      <c r="L245" s="530"/>
      <c r="M245" s="530"/>
      <c r="N245" s="530"/>
      <c r="O245" s="530"/>
      <c r="P245" s="530"/>
      <c r="Q245" s="530"/>
      <c r="R245" s="530"/>
      <c r="S245" s="530"/>
      <c r="T245" s="530"/>
      <c r="U245" s="530"/>
      <c r="V245" s="530"/>
      <c r="W245" s="530"/>
      <c r="X245" s="733"/>
      <c r="Y245" s="716"/>
      <c r="Z245" s="716"/>
      <c r="AA245" s="716"/>
      <c r="AB245" s="716"/>
      <c r="AC245" s="716"/>
      <c r="AD245" s="716"/>
      <c r="AE245" s="716"/>
      <c r="AF245" s="716"/>
      <c r="AG245" s="716"/>
      <c r="AH245" s="716"/>
      <c r="AI245" s="716"/>
      <c r="AJ245" s="716"/>
      <c r="AK245" s="716"/>
      <c r="AL245" s="716"/>
      <c r="AM245" s="716"/>
      <c r="AN245" s="716"/>
      <c r="AO245" s="716"/>
      <c r="AP245" s="716"/>
      <c r="AQ245" s="716"/>
      <c r="AR245" s="716"/>
    </row>
    <row r="246">
      <c r="A246" s="716"/>
      <c r="B246" s="530"/>
      <c r="C246" s="530"/>
      <c r="D246" s="530"/>
      <c r="E246" s="530"/>
      <c r="F246" s="530"/>
      <c r="G246" s="530"/>
      <c r="H246" s="530"/>
      <c r="I246" s="530"/>
      <c r="J246" s="530"/>
      <c r="K246" s="530"/>
      <c r="L246" s="530"/>
      <c r="M246" s="530"/>
      <c r="N246" s="530"/>
      <c r="O246" s="530"/>
      <c r="P246" s="530"/>
      <c r="Q246" s="530"/>
      <c r="R246" s="530"/>
      <c r="S246" s="530"/>
      <c r="T246" s="530"/>
      <c r="U246" s="530"/>
      <c r="V246" s="530"/>
      <c r="W246" s="530"/>
      <c r="X246" s="733"/>
      <c r="Y246" s="716"/>
      <c r="Z246" s="716"/>
      <c r="AA246" s="716"/>
      <c r="AB246" s="716"/>
      <c r="AC246" s="716"/>
      <c r="AD246" s="716"/>
      <c r="AE246" s="716"/>
      <c r="AF246" s="716"/>
      <c r="AG246" s="716"/>
      <c r="AH246" s="716"/>
      <c r="AI246" s="716"/>
      <c r="AJ246" s="716"/>
      <c r="AK246" s="716"/>
      <c r="AL246" s="716"/>
      <c r="AM246" s="716"/>
      <c r="AN246" s="716"/>
      <c r="AO246" s="716"/>
      <c r="AP246" s="716"/>
      <c r="AQ246" s="716"/>
      <c r="AR246" s="716"/>
    </row>
    <row r="247">
      <c r="A247" s="716"/>
      <c r="B247" s="530"/>
      <c r="C247" s="530"/>
      <c r="D247" s="530"/>
      <c r="E247" s="530"/>
      <c r="F247" s="530"/>
      <c r="G247" s="530"/>
      <c r="H247" s="530"/>
      <c r="I247" s="530"/>
      <c r="J247" s="530"/>
      <c r="K247" s="530"/>
      <c r="L247" s="530"/>
      <c r="M247" s="530"/>
      <c r="N247" s="530"/>
      <c r="O247" s="530"/>
      <c r="P247" s="530"/>
      <c r="Q247" s="530"/>
      <c r="R247" s="530"/>
      <c r="S247" s="530"/>
      <c r="T247" s="530"/>
      <c r="U247" s="530"/>
      <c r="V247" s="530"/>
      <c r="W247" s="530"/>
      <c r="X247" s="733"/>
      <c r="Y247" s="716"/>
      <c r="Z247" s="716"/>
      <c r="AA247" s="716"/>
      <c r="AB247" s="716"/>
      <c r="AC247" s="716"/>
      <c r="AD247" s="716"/>
      <c r="AE247" s="716"/>
      <c r="AF247" s="716"/>
      <c r="AG247" s="716"/>
      <c r="AH247" s="716"/>
      <c r="AI247" s="716"/>
      <c r="AJ247" s="716"/>
      <c r="AK247" s="716"/>
      <c r="AL247" s="716"/>
      <c r="AM247" s="716"/>
      <c r="AN247" s="716"/>
      <c r="AO247" s="716"/>
      <c r="AP247" s="716"/>
      <c r="AQ247" s="716"/>
      <c r="AR247" s="716"/>
    </row>
    <row r="248">
      <c r="A248" s="716"/>
      <c r="B248" s="530"/>
      <c r="C248" s="530"/>
      <c r="D248" s="530"/>
      <c r="E248" s="530"/>
      <c r="F248" s="530"/>
      <c r="G248" s="530"/>
      <c r="H248" s="530"/>
      <c r="I248" s="530"/>
      <c r="J248" s="530"/>
      <c r="K248" s="530"/>
      <c r="L248" s="530"/>
      <c r="M248" s="530"/>
      <c r="N248" s="530"/>
      <c r="O248" s="530"/>
      <c r="P248" s="530"/>
      <c r="Q248" s="530"/>
      <c r="R248" s="530"/>
      <c r="S248" s="530"/>
      <c r="T248" s="530"/>
      <c r="U248" s="530"/>
      <c r="V248" s="530"/>
      <c r="W248" s="530"/>
      <c r="X248" s="733"/>
      <c r="Y248" s="716"/>
      <c r="Z248" s="716"/>
      <c r="AA248" s="716"/>
      <c r="AB248" s="716"/>
      <c r="AC248" s="716"/>
      <c r="AD248" s="716"/>
      <c r="AE248" s="716"/>
      <c r="AF248" s="716"/>
      <c r="AG248" s="716"/>
      <c r="AH248" s="716"/>
      <c r="AI248" s="716"/>
      <c r="AJ248" s="716"/>
      <c r="AK248" s="716"/>
      <c r="AL248" s="716"/>
      <c r="AM248" s="716"/>
      <c r="AN248" s="716"/>
      <c r="AO248" s="716"/>
      <c r="AP248" s="716"/>
      <c r="AQ248" s="716"/>
      <c r="AR248" s="716"/>
    </row>
    <row r="249">
      <c r="A249" s="716"/>
      <c r="B249" s="530"/>
      <c r="C249" s="530"/>
      <c r="D249" s="530"/>
      <c r="E249" s="530"/>
      <c r="F249" s="530"/>
      <c r="G249" s="530"/>
      <c r="H249" s="530"/>
      <c r="I249" s="530"/>
      <c r="J249" s="530"/>
      <c r="K249" s="530"/>
      <c r="L249" s="530"/>
      <c r="M249" s="530"/>
      <c r="N249" s="530"/>
      <c r="O249" s="530"/>
      <c r="P249" s="530"/>
      <c r="Q249" s="530"/>
      <c r="R249" s="530"/>
      <c r="S249" s="530"/>
      <c r="T249" s="530"/>
      <c r="U249" s="530"/>
      <c r="V249" s="530"/>
      <c r="W249" s="530"/>
      <c r="X249" s="733"/>
      <c r="Y249" s="716"/>
      <c r="Z249" s="716"/>
      <c r="AA249" s="716"/>
      <c r="AB249" s="716"/>
      <c r="AC249" s="716"/>
      <c r="AD249" s="716"/>
      <c r="AE249" s="716"/>
      <c r="AF249" s="716"/>
      <c r="AG249" s="716"/>
      <c r="AH249" s="716"/>
      <c r="AI249" s="716"/>
      <c r="AJ249" s="716"/>
      <c r="AK249" s="716"/>
      <c r="AL249" s="716"/>
      <c r="AM249" s="716"/>
      <c r="AN249" s="716"/>
      <c r="AO249" s="716"/>
      <c r="AP249" s="716"/>
      <c r="AQ249" s="716"/>
      <c r="AR249" s="716"/>
    </row>
    <row r="250">
      <c r="A250" s="716"/>
      <c r="B250" s="530"/>
      <c r="C250" s="530"/>
      <c r="D250" s="530"/>
      <c r="E250" s="530"/>
      <c r="F250" s="530"/>
      <c r="G250" s="530"/>
      <c r="H250" s="530"/>
      <c r="I250" s="530"/>
      <c r="J250" s="530"/>
      <c r="K250" s="530"/>
      <c r="L250" s="530"/>
      <c r="M250" s="530"/>
      <c r="N250" s="530"/>
      <c r="O250" s="530"/>
      <c r="P250" s="530"/>
      <c r="Q250" s="530"/>
      <c r="R250" s="530"/>
      <c r="S250" s="530"/>
      <c r="T250" s="530"/>
      <c r="U250" s="530"/>
      <c r="V250" s="530"/>
      <c r="W250" s="530"/>
      <c r="X250" s="733"/>
      <c r="Y250" s="716"/>
      <c r="Z250" s="716"/>
      <c r="AA250" s="716"/>
      <c r="AB250" s="716"/>
      <c r="AC250" s="716"/>
      <c r="AD250" s="716"/>
      <c r="AE250" s="716"/>
      <c r="AF250" s="716"/>
      <c r="AG250" s="716"/>
      <c r="AH250" s="716"/>
      <c r="AI250" s="716"/>
      <c r="AJ250" s="716"/>
      <c r="AK250" s="716"/>
      <c r="AL250" s="716"/>
      <c r="AM250" s="716"/>
      <c r="AN250" s="716"/>
      <c r="AO250" s="716"/>
      <c r="AP250" s="716"/>
      <c r="AQ250" s="716"/>
      <c r="AR250" s="716"/>
    </row>
    <row r="251">
      <c r="A251" s="716"/>
      <c r="B251" s="530"/>
      <c r="C251" s="530"/>
      <c r="D251" s="530"/>
      <c r="E251" s="530"/>
      <c r="F251" s="530"/>
      <c r="G251" s="530"/>
      <c r="H251" s="530"/>
      <c r="I251" s="530"/>
      <c r="J251" s="530"/>
      <c r="K251" s="530"/>
      <c r="L251" s="530"/>
      <c r="M251" s="530"/>
      <c r="N251" s="530"/>
      <c r="O251" s="530"/>
      <c r="P251" s="530"/>
      <c r="Q251" s="530"/>
      <c r="R251" s="530"/>
      <c r="S251" s="530"/>
      <c r="T251" s="530"/>
      <c r="U251" s="530"/>
      <c r="V251" s="530"/>
      <c r="W251" s="530"/>
      <c r="X251" s="733"/>
      <c r="Y251" s="716"/>
      <c r="Z251" s="716"/>
      <c r="AA251" s="716"/>
      <c r="AB251" s="716"/>
      <c r="AC251" s="716"/>
      <c r="AD251" s="716"/>
      <c r="AE251" s="716"/>
      <c r="AF251" s="716"/>
      <c r="AG251" s="716"/>
      <c r="AH251" s="716"/>
      <c r="AI251" s="716"/>
      <c r="AJ251" s="716"/>
      <c r="AK251" s="716"/>
      <c r="AL251" s="716"/>
      <c r="AM251" s="716"/>
      <c r="AN251" s="716"/>
      <c r="AO251" s="716"/>
      <c r="AP251" s="716"/>
      <c r="AQ251" s="716"/>
      <c r="AR251" s="716"/>
    </row>
    <row r="252">
      <c r="A252" s="716"/>
      <c r="B252" s="530"/>
      <c r="C252" s="530"/>
      <c r="D252" s="530"/>
      <c r="E252" s="530"/>
      <c r="F252" s="530"/>
      <c r="G252" s="530"/>
      <c r="H252" s="530"/>
      <c r="I252" s="530"/>
      <c r="J252" s="530"/>
      <c r="K252" s="530"/>
      <c r="L252" s="530"/>
      <c r="M252" s="530"/>
      <c r="N252" s="530"/>
      <c r="O252" s="530"/>
      <c r="P252" s="530"/>
      <c r="Q252" s="530"/>
      <c r="R252" s="530"/>
      <c r="S252" s="530"/>
      <c r="T252" s="530"/>
      <c r="U252" s="530"/>
      <c r="V252" s="530"/>
      <c r="W252" s="530"/>
      <c r="X252" s="733"/>
      <c r="Y252" s="716"/>
      <c r="Z252" s="716"/>
      <c r="AA252" s="716"/>
      <c r="AB252" s="716"/>
      <c r="AC252" s="716"/>
      <c r="AD252" s="716"/>
      <c r="AE252" s="716"/>
      <c r="AF252" s="716"/>
      <c r="AG252" s="716"/>
      <c r="AH252" s="716"/>
      <c r="AI252" s="716"/>
      <c r="AJ252" s="716"/>
      <c r="AK252" s="716"/>
      <c r="AL252" s="716"/>
      <c r="AM252" s="716"/>
      <c r="AN252" s="716"/>
      <c r="AO252" s="716"/>
      <c r="AP252" s="716"/>
      <c r="AQ252" s="716"/>
      <c r="AR252" s="716"/>
    </row>
    <row r="253">
      <c r="A253" s="716"/>
      <c r="B253" s="530"/>
      <c r="C253" s="530"/>
      <c r="D253" s="530"/>
      <c r="E253" s="530"/>
      <c r="F253" s="530"/>
      <c r="G253" s="530"/>
      <c r="H253" s="530"/>
      <c r="I253" s="530"/>
      <c r="J253" s="530"/>
      <c r="K253" s="530"/>
      <c r="L253" s="530"/>
      <c r="M253" s="530"/>
      <c r="N253" s="530"/>
      <c r="O253" s="530"/>
      <c r="P253" s="530"/>
      <c r="Q253" s="530"/>
      <c r="R253" s="530"/>
      <c r="S253" s="530"/>
      <c r="T253" s="530"/>
      <c r="U253" s="530"/>
      <c r="V253" s="530"/>
      <c r="W253" s="530"/>
      <c r="X253" s="733"/>
      <c r="Y253" s="716"/>
      <c r="Z253" s="716"/>
      <c r="AA253" s="716"/>
      <c r="AB253" s="716"/>
      <c r="AC253" s="716"/>
      <c r="AD253" s="716"/>
      <c r="AE253" s="716"/>
      <c r="AF253" s="716"/>
      <c r="AG253" s="716"/>
      <c r="AH253" s="716"/>
      <c r="AI253" s="716"/>
      <c r="AJ253" s="716"/>
      <c r="AK253" s="716"/>
      <c r="AL253" s="716"/>
      <c r="AM253" s="716"/>
      <c r="AN253" s="716"/>
      <c r="AO253" s="716"/>
      <c r="AP253" s="716"/>
      <c r="AQ253" s="716"/>
      <c r="AR253" s="716"/>
    </row>
    <row r="254">
      <c r="A254" s="716"/>
      <c r="B254" s="530"/>
      <c r="C254" s="530"/>
      <c r="D254" s="530"/>
      <c r="E254" s="530"/>
      <c r="F254" s="530"/>
      <c r="G254" s="530"/>
      <c r="H254" s="530"/>
      <c r="I254" s="530"/>
      <c r="J254" s="530"/>
      <c r="K254" s="530"/>
      <c r="L254" s="530"/>
      <c r="M254" s="530"/>
      <c r="N254" s="530"/>
      <c r="O254" s="530"/>
      <c r="P254" s="530"/>
      <c r="Q254" s="530"/>
      <c r="R254" s="530"/>
      <c r="S254" s="530"/>
      <c r="T254" s="530"/>
      <c r="U254" s="530"/>
      <c r="V254" s="530"/>
      <c r="W254" s="530"/>
      <c r="X254" s="733"/>
      <c r="Y254" s="716"/>
      <c r="Z254" s="716"/>
      <c r="AA254" s="716"/>
      <c r="AB254" s="716"/>
      <c r="AC254" s="716"/>
      <c r="AD254" s="716"/>
      <c r="AE254" s="716"/>
      <c r="AF254" s="716"/>
      <c r="AG254" s="716"/>
      <c r="AH254" s="716"/>
      <c r="AI254" s="716"/>
      <c r="AJ254" s="716"/>
      <c r="AK254" s="716"/>
      <c r="AL254" s="716"/>
      <c r="AM254" s="716"/>
      <c r="AN254" s="716"/>
      <c r="AO254" s="716"/>
      <c r="AP254" s="716"/>
      <c r="AQ254" s="716"/>
      <c r="AR254" s="716"/>
    </row>
    <row r="255">
      <c r="A255" s="716"/>
      <c r="B255" s="530"/>
      <c r="C255" s="530"/>
      <c r="D255" s="530"/>
      <c r="E255" s="530"/>
      <c r="F255" s="530"/>
      <c r="G255" s="530"/>
      <c r="H255" s="530"/>
      <c r="I255" s="530"/>
      <c r="J255" s="530"/>
      <c r="K255" s="530"/>
      <c r="L255" s="530"/>
      <c r="M255" s="530"/>
      <c r="N255" s="530"/>
      <c r="O255" s="530"/>
      <c r="P255" s="530"/>
      <c r="Q255" s="530"/>
      <c r="R255" s="530"/>
      <c r="S255" s="530"/>
      <c r="T255" s="530"/>
      <c r="U255" s="530"/>
      <c r="V255" s="530"/>
      <c r="W255" s="530"/>
      <c r="X255" s="733"/>
      <c r="Y255" s="716"/>
      <c r="Z255" s="716"/>
      <c r="AA255" s="716"/>
      <c r="AB255" s="716"/>
      <c r="AC255" s="716"/>
      <c r="AD255" s="716"/>
      <c r="AE255" s="716"/>
      <c r="AF255" s="716"/>
      <c r="AG255" s="716"/>
      <c r="AH255" s="716"/>
      <c r="AI255" s="716"/>
      <c r="AJ255" s="716"/>
      <c r="AK255" s="716"/>
      <c r="AL255" s="716"/>
      <c r="AM255" s="716"/>
      <c r="AN255" s="716"/>
      <c r="AO255" s="716"/>
      <c r="AP255" s="716"/>
      <c r="AQ255" s="716"/>
      <c r="AR255" s="716"/>
    </row>
    <row r="256">
      <c r="A256" s="716"/>
      <c r="B256" s="530"/>
      <c r="C256" s="530"/>
      <c r="D256" s="530"/>
      <c r="E256" s="530"/>
      <c r="F256" s="530"/>
      <c r="G256" s="530"/>
      <c r="H256" s="530"/>
      <c r="I256" s="530"/>
      <c r="J256" s="530"/>
      <c r="K256" s="530"/>
      <c r="L256" s="530"/>
      <c r="M256" s="530"/>
      <c r="N256" s="530"/>
      <c r="O256" s="530"/>
      <c r="P256" s="530"/>
      <c r="Q256" s="530"/>
      <c r="R256" s="530"/>
      <c r="S256" s="530"/>
      <c r="T256" s="530"/>
      <c r="U256" s="530"/>
      <c r="V256" s="530"/>
      <c r="W256" s="530"/>
      <c r="X256" s="733"/>
      <c r="Y256" s="716"/>
      <c r="Z256" s="716"/>
      <c r="AA256" s="716"/>
      <c r="AB256" s="716"/>
      <c r="AC256" s="716"/>
      <c r="AD256" s="716"/>
      <c r="AE256" s="716"/>
      <c r="AF256" s="716"/>
      <c r="AG256" s="716"/>
      <c r="AH256" s="716"/>
      <c r="AI256" s="716"/>
      <c r="AJ256" s="716"/>
      <c r="AK256" s="716"/>
      <c r="AL256" s="716"/>
      <c r="AM256" s="716"/>
      <c r="AN256" s="716"/>
      <c r="AO256" s="716"/>
      <c r="AP256" s="716"/>
      <c r="AQ256" s="716"/>
      <c r="AR256" s="716"/>
    </row>
    <row r="257">
      <c r="A257" s="716"/>
      <c r="B257" s="530"/>
      <c r="C257" s="530"/>
      <c r="D257" s="530"/>
      <c r="E257" s="530"/>
      <c r="F257" s="530"/>
      <c r="G257" s="530"/>
      <c r="H257" s="530"/>
      <c r="I257" s="530"/>
      <c r="J257" s="530"/>
      <c r="K257" s="530"/>
      <c r="L257" s="530"/>
      <c r="M257" s="530"/>
      <c r="N257" s="530"/>
      <c r="O257" s="530"/>
      <c r="P257" s="530"/>
      <c r="Q257" s="530"/>
      <c r="R257" s="530"/>
      <c r="S257" s="530"/>
      <c r="T257" s="530"/>
      <c r="U257" s="530"/>
      <c r="V257" s="530"/>
      <c r="W257" s="530"/>
      <c r="X257" s="733"/>
      <c r="Y257" s="716"/>
      <c r="Z257" s="716"/>
      <c r="AA257" s="716"/>
      <c r="AB257" s="716"/>
      <c r="AC257" s="716"/>
      <c r="AD257" s="716"/>
      <c r="AE257" s="716"/>
      <c r="AF257" s="716"/>
      <c r="AG257" s="716"/>
      <c r="AH257" s="716"/>
      <c r="AI257" s="716"/>
      <c r="AJ257" s="716"/>
      <c r="AK257" s="716"/>
      <c r="AL257" s="716"/>
      <c r="AM257" s="716"/>
      <c r="AN257" s="716"/>
      <c r="AO257" s="716"/>
      <c r="AP257" s="716"/>
      <c r="AQ257" s="716"/>
      <c r="AR257" s="716"/>
    </row>
    <row r="258">
      <c r="A258" s="716"/>
      <c r="B258" s="530"/>
      <c r="C258" s="530"/>
      <c r="D258" s="530"/>
      <c r="E258" s="530"/>
      <c r="F258" s="530"/>
      <c r="G258" s="530"/>
      <c r="H258" s="530"/>
      <c r="I258" s="530"/>
      <c r="J258" s="530"/>
      <c r="K258" s="530"/>
      <c r="L258" s="530"/>
      <c r="M258" s="530"/>
      <c r="N258" s="530"/>
      <c r="O258" s="530"/>
      <c r="P258" s="530"/>
      <c r="Q258" s="530"/>
      <c r="R258" s="530"/>
      <c r="S258" s="530"/>
      <c r="T258" s="530"/>
      <c r="U258" s="530"/>
      <c r="V258" s="530"/>
      <c r="W258" s="530"/>
      <c r="X258" s="733"/>
      <c r="Y258" s="716"/>
      <c r="Z258" s="716"/>
      <c r="AA258" s="716"/>
      <c r="AB258" s="716"/>
      <c r="AC258" s="716"/>
      <c r="AD258" s="716"/>
      <c r="AE258" s="716"/>
      <c r="AF258" s="716"/>
      <c r="AG258" s="716"/>
      <c r="AH258" s="716"/>
      <c r="AI258" s="716"/>
      <c r="AJ258" s="716"/>
      <c r="AK258" s="716"/>
      <c r="AL258" s="716"/>
      <c r="AM258" s="716"/>
      <c r="AN258" s="716"/>
      <c r="AO258" s="716"/>
      <c r="AP258" s="716"/>
      <c r="AQ258" s="716"/>
      <c r="AR258" s="716"/>
    </row>
    <row r="259">
      <c r="A259" s="716"/>
      <c r="B259" s="530"/>
      <c r="C259" s="530"/>
      <c r="D259" s="530"/>
      <c r="E259" s="530"/>
      <c r="F259" s="530"/>
      <c r="G259" s="530"/>
      <c r="H259" s="530"/>
      <c r="I259" s="530"/>
      <c r="J259" s="530"/>
      <c r="K259" s="530"/>
      <c r="L259" s="530"/>
      <c r="M259" s="530"/>
      <c r="N259" s="530"/>
      <c r="O259" s="530"/>
      <c r="P259" s="530"/>
      <c r="Q259" s="530"/>
      <c r="R259" s="530"/>
      <c r="S259" s="530"/>
      <c r="T259" s="530"/>
      <c r="U259" s="530"/>
      <c r="V259" s="530"/>
      <c r="W259" s="530"/>
      <c r="X259" s="733"/>
      <c r="Y259" s="716"/>
      <c r="Z259" s="716"/>
      <c r="AA259" s="716"/>
      <c r="AB259" s="716"/>
      <c r="AC259" s="716"/>
      <c r="AD259" s="716"/>
      <c r="AE259" s="716"/>
      <c r="AF259" s="716"/>
      <c r="AG259" s="716"/>
      <c r="AH259" s="716"/>
      <c r="AI259" s="716"/>
      <c r="AJ259" s="716"/>
      <c r="AK259" s="716"/>
      <c r="AL259" s="716"/>
      <c r="AM259" s="716"/>
      <c r="AN259" s="716"/>
      <c r="AO259" s="716"/>
      <c r="AP259" s="716"/>
      <c r="AQ259" s="716"/>
      <c r="AR259" s="716"/>
    </row>
    <row r="260">
      <c r="A260" s="716"/>
      <c r="B260" s="530"/>
      <c r="C260" s="530"/>
      <c r="D260" s="530"/>
      <c r="E260" s="530"/>
      <c r="F260" s="530"/>
      <c r="G260" s="530"/>
      <c r="H260" s="530"/>
      <c r="I260" s="530"/>
      <c r="J260" s="530"/>
      <c r="K260" s="530"/>
      <c r="L260" s="530"/>
      <c r="M260" s="530"/>
      <c r="N260" s="530"/>
      <c r="O260" s="530"/>
      <c r="P260" s="530"/>
      <c r="Q260" s="530"/>
      <c r="R260" s="530"/>
      <c r="S260" s="530"/>
      <c r="T260" s="530"/>
      <c r="U260" s="530"/>
      <c r="V260" s="530"/>
      <c r="W260" s="530"/>
      <c r="X260" s="733"/>
      <c r="Y260" s="716"/>
      <c r="Z260" s="716"/>
      <c r="AA260" s="716"/>
      <c r="AB260" s="716"/>
      <c r="AC260" s="716"/>
      <c r="AD260" s="716"/>
      <c r="AE260" s="716"/>
      <c r="AF260" s="716"/>
      <c r="AG260" s="716"/>
      <c r="AH260" s="716"/>
      <c r="AI260" s="716"/>
      <c r="AJ260" s="716"/>
      <c r="AK260" s="716"/>
      <c r="AL260" s="716"/>
      <c r="AM260" s="716"/>
      <c r="AN260" s="716"/>
      <c r="AO260" s="716"/>
      <c r="AP260" s="716"/>
      <c r="AQ260" s="716"/>
      <c r="AR260" s="716"/>
    </row>
    <row r="261">
      <c r="A261" s="716"/>
      <c r="B261" s="530"/>
      <c r="C261" s="530"/>
      <c r="D261" s="530"/>
      <c r="E261" s="530"/>
      <c r="F261" s="530"/>
      <c r="G261" s="530"/>
      <c r="H261" s="530"/>
      <c r="I261" s="530"/>
      <c r="J261" s="530"/>
      <c r="K261" s="530"/>
      <c r="L261" s="530"/>
      <c r="M261" s="530"/>
      <c r="N261" s="530"/>
      <c r="O261" s="530"/>
      <c r="P261" s="530"/>
      <c r="Q261" s="530"/>
      <c r="R261" s="530"/>
      <c r="S261" s="530"/>
      <c r="T261" s="530"/>
      <c r="U261" s="530"/>
      <c r="V261" s="530"/>
      <c r="W261" s="530"/>
      <c r="X261" s="733"/>
      <c r="Y261" s="716"/>
      <c r="Z261" s="716"/>
      <c r="AA261" s="716"/>
      <c r="AB261" s="716"/>
      <c r="AC261" s="716"/>
      <c r="AD261" s="716"/>
      <c r="AE261" s="716"/>
      <c r="AF261" s="716"/>
      <c r="AG261" s="716"/>
      <c r="AH261" s="716"/>
      <c r="AI261" s="716"/>
      <c r="AJ261" s="716"/>
      <c r="AK261" s="716"/>
      <c r="AL261" s="716"/>
      <c r="AM261" s="716"/>
      <c r="AN261" s="716"/>
      <c r="AO261" s="716"/>
      <c r="AP261" s="716"/>
      <c r="AQ261" s="716"/>
      <c r="AR261" s="716"/>
    </row>
    <row r="262">
      <c r="A262" s="716"/>
      <c r="B262" s="530"/>
      <c r="C262" s="530"/>
      <c r="D262" s="530"/>
      <c r="E262" s="530"/>
      <c r="F262" s="530"/>
      <c r="G262" s="530"/>
      <c r="H262" s="530"/>
      <c r="I262" s="530"/>
      <c r="J262" s="530"/>
      <c r="K262" s="530"/>
      <c r="L262" s="530"/>
      <c r="M262" s="530"/>
      <c r="N262" s="530"/>
      <c r="O262" s="530"/>
      <c r="P262" s="530"/>
      <c r="Q262" s="530"/>
      <c r="R262" s="530"/>
      <c r="S262" s="530"/>
      <c r="T262" s="530"/>
      <c r="U262" s="530"/>
      <c r="V262" s="530"/>
      <c r="W262" s="530"/>
      <c r="X262" s="733"/>
      <c r="Y262" s="716"/>
      <c r="Z262" s="716"/>
      <c r="AA262" s="716"/>
      <c r="AB262" s="716"/>
      <c r="AC262" s="716"/>
      <c r="AD262" s="716"/>
      <c r="AE262" s="716"/>
      <c r="AF262" s="716"/>
      <c r="AG262" s="716"/>
      <c r="AH262" s="716"/>
      <c r="AI262" s="716"/>
      <c r="AJ262" s="716"/>
      <c r="AK262" s="716"/>
      <c r="AL262" s="716"/>
      <c r="AM262" s="716"/>
      <c r="AN262" s="716"/>
      <c r="AO262" s="716"/>
      <c r="AP262" s="716"/>
      <c r="AQ262" s="716"/>
      <c r="AR262" s="716"/>
    </row>
    <row r="263">
      <c r="A263" s="716"/>
      <c r="B263" s="530"/>
      <c r="C263" s="530"/>
      <c r="D263" s="530"/>
      <c r="E263" s="530"/>
      <c r="F263" s="530"/>
      <c r="G263" s="530"/>
      <c r="H263" s="530"/>
      <c r="I263" s="530"/>
      <c r="J263" s="530"/>
      <c r="K263" s="530"/>
      <c r="L263" s="530"/>
      <c r="M263" s="530"/>
      <c r="N263" s="530"/>
      <c r="O263" s="530"/>
      <c r="P263" s="530"/>
      <c r="Q263" s="530"/>
      <c r="R263" s="530"/>
      <c r="S263" s="530"/>
      <c r="T263" s="530"/>
      <c r="U263" s="530"/>
      <c r="V263" s="530"/>
      <c r="W263" s="530"/>
      <c r="X263" s="733"/>
      <c r="Y263" s="716"/>
      <c r="Z263" s="716"/>
      <c r="AA263" s="716"/>
      <c r="AB263" s="716"/>
      <c r="AC263" s="716"/>
      <c r="AD263" s="716"/>
      <c r="AE263" s="716"/>
      <c r="AF263" s="716"/>
      <c r="AG263" s="716"/>
      <c r="AH263" s="716"/>
      <c r="AI263" s="716"/>
      <c r="AJ263" s="716"/>
      <c r="AK263" s="716"/>
      <c r="AL263" s="716"/>
      <c r="AM263" s="716"/>
      <c r="AN263" s="716"/>
      <c r="AO263" s="716"/>
      <c r="AP263" s="716"/>
      <c r="AQ263" s="716"/>
      <c r="AR263" s="716"/>
    </row>
    <row r="264">
      <c r="A264" s="716"/>
      <c r="B264" s="530"/>
      <c r="C264" s="530"/>
      <c r="D264" s="530"/>
      <c r="E264" s="530"/>
      <c r="F264" s="530"/>
      <c r="G264" s="530"/>
      <c r="H264" s="530"/>
      <c r="I264" s="530"/>
      <c r="J264" s="530"/>
      <c r="K264" s="530"/>
      <c r="L264" s="530"/>
      <c r="M264" s="530"/>
      <c r="N264" s="530"/>
      <c r="O264" s="530"/>
      <c r="P264" s="530"/>
      <c r="Q264" s="530"/>
      <c r="R264" s="530"/>
      <c r="S264" s="530"/>
      <c r="T264" s="530"/>
      <c r="U264" s="530"/>
      <c r="V264" s="530"/>
      <c r="W264" s="530"/>
      <c r="X264" s="733"/>
      <c r="Y264" s="716"/>
      <c r="Z264" s="716"/>
      <c r="AA264" s="716"/>
      <c r="AB264" s="716"/>
      <c r="AC264" s="716"/>
      <c r="AD264" s="716"/>
      <c r="AE264" s="716"/>
      <c r="AF264" s="716"/>
      <c r="AG264" s="716"/>
      <c r="AH264" s="716"/>
      <c r="AI264" s="716"/>
      <c r="AJ264" s="716"/>
      <c r="AK264" s="716"/>
      <c r="AL264" s="716"/>
      <c r="AM264" s="716"/>
      <c r="AN264" s="716"/>
      <c r="AO264" s="716"/>
      <c r="AP264" s="716"/>
      <c r="AQ264" s="716"/>
      <c r="AR264" s="716"/>
    </row>
    <row r="265">
      <c r="A265" s="716"/>
      <c r="B265" s="530"/>
      <c r="C265" s="530"/>
      <c r="D265" s="530"/>
      <c r="E265" s="530"/>
      <c r="F265" s="530"/>
      <c r="G265" s="530"/>
      <c r="H265" s="530"/>
      <c r="I265" s="530"/>
      <c r="J265" s="530"/>
      <c r="K265" s="530"/>
      <c r="L265" s="530"/>
      <c r="M265" s="530"/>
      <c r="N265" s="530"/>
      <c r="O265" s="530"/>
      <c r="P265" s="530"/>
      <c r="Q265" s="530"/>
      <c r="R265" s="530"/>
      <c r="S265" s="530"/>
      <c r="T265" s="530"/>
      <c r="U265" s="530"/>
      <c r="V265" s="530"/>
      <c r="W265" s="530"/>
      <c r="X265" s="733"/>
      <c r="Y265" s="716"/>
      <c r="Z265" s="716"/>
      <c r="AA265" s="716"/>
      <c r="AB265" s="716"/>
      <c r="AC265" s="716"/>
      <c r="AD265" s="716"/>
      <c r="AE265" s="716"/>
      <c r="AF265" s="716"/>
      <c r="AG265" s="716"/>
      <c r="AH265" s="716"/>
      <c r="AI265" s="716"/>
      <c r="AJ265" s="716"/>
      <c r="AK265" s="716"/>
      <c r="AL265" s="716"/>
      <c r="AM265" s="716"/>
      <c r="AN265" s="716"/>
      <c r="AO265" s="716"/>
      <c r="AP265" s="716"/>
      <c r="AQ265" s="716"/>
      <c r="AR265" s="716"/>
    </row>
    <row r="266">
      <c r="A266" s="716"/>
      <c r="B266" s="530"/>
      <c r="C266" s="530"/>
      <c r="D266" s="530"/>
      <c r="E266" s="530"/>
      <c r="F266" s="530"/>
      <c r="G266" s="530"/>
      <c r="H266" s="530"/>
      <c r="I266" s="530"/>
      <c r="J266" s="530"/>
      <c r="K266" s="530"/>
      <c r="L266" s="530"/>
      <c r="M266" s="530"/>
      <c r="N266" s="530"/>
      <c r="O266" s="530"/>
      <c r="P266" s="530"/>
      <c r="Q266" s="530"/>
      <c r="R266" s="530"/>
      <c r="S266" s="530"/>
      <c r="T266" s="530"/>
      <c r="U266" s="530"/>
      <c r="V266" s="530"/>
      <c r="W266" s="530"/>
      <c r="X266" s="733"/>
      <c r="Y266" s="716"/>
      <c r="Z266" s="716"/>
      <c r="AA266" s="716"/>
      <c r="AB266" s="716"/>
      <c r="AC266" s="716"/>
      <c r="AD266" s="716"/>
      <c r="AE266" s="716"/>
      <c r="AF266" s="716"/>
      <c r="AG266" s="716"/>
      <c r="AH266" s="716"/>
      <c r="AI266" s="716"/>
      <c r="AJ266" s="716"/>
      <c r="AK266" s="716"/>
      <c r="AL266" s="716"/>
      <c r="AM266" s="716"/>
      <c r="AN266" s="716"/>
      <c r="AO266" s="716"/>
      <c r="AP266" s="716"/>
      <c r="AQ266" s="716"/>
      <c r="AR266" s="716"/>
    </row>
    <row r="267">
      <c r="A267" s="716"/>
      <c r="B267" s="530"/>
      <c r="C267" s="530"/>
      <c r="D267" s="530"/>
      <c r="E267" s="530"/>
      <c r="F267" s="530"/>
      <c r="G267" s="530"/>
      <c r="H267" s="530"/>
      <c r="I267" s="530"/>
      <c r="J267" s="530"/>
      <c r="K267" s="530"/>
      <c r="L267" s="530"/>
      <c r="M267" s="530"/>
      <c r="N267" s="530"/>
      <c r="O267" s="530"/>
      <c r="P267" s="530"/>
      <c r="Q267" s="530"/>
      <c r="R267" s="530"/>
      <c r="S267" s="530"/>
      <c r="T267" s="530"/>
      <c r="U267" s="530"/>
      <c r="V267" s="530"/>
      <c r="W267" s="530"/>
      <c r="X267" s="733"/>
      <c r="Y267" s="716"/>
      <c r="Z267" s="716"/>
      <c r="AA267" s="716"/>
      <c r="AB267" s="716"/>
      <c r="AC267" s="716"/>
      <c r="AD267" s="716"/>
      <c r="AE267" s="716"/>
      <c r="AF267" s="716"/>
      <c r="AG267" s="716"/>
      <c r="AH267" s="716"/>
      <c r="AI267" s="716"/>
      <c r="AJ267" s="716"/>
      <c r="AK267" s="716"/>
      <c r="AL267" s="716"/>
      <c r="AM267" s="716"/>
      <c r="AN267" s="716"/>
      <c r="AO267" s="716"/>
      <c r="AP267" s="716"/>
      <c r="AQ267" s="716"/>
      <c r="AR267" s="716"/>
    </row>
    <row r="268">
      <c r="A268" s="716"/>
      <c r="B268" s="530"/>
      <c r="C268" s="530"/>
      <c r="D268" s="530"/>
      <c r="E268" s="530"/>
      <c r="F268" s="530"/>
      <c r="G268" s="530"/>
      <c r="H268" s="530"/>
      <c r="I268" s="530"/>
      <c r="J268" s="530"/>
      <c r="K268" s="530"/>
      <c r="L268" s="530"/>
      <c r="M268" s="530"/>
      <c r="N268" s="530"/>
      <c r="O268" s="530"/>
      <c r="P268" s="530"/>
      <c r="Q268" s="530"/>
      <c r="R268" s="530"/>
      <c r="S268" s="530"/>
      <c r="T268" s="530"/>
      <c r="U268" s="530"/>
      <c r="V268" s="530"/>
      <c r="W268" s="530"/>
      <c r="X268" s="733"/>
      <c r="Y268" s="716"/>
      <c r="Z268" s="716"/>
      <c r="AA268" s="716"/>
      <c r="AB268" s="716"/>
      <c r="AC268" s="716"/>
      <c r="AD268" s="716"/>
      <c r="AE268" s="716"/>
      <c r="AF268" s="716"/>
      <c r="AG268" s="716"/>
      <c r="AH268" s="716"/>
      <c r="AI268" s="716"/>
      <c r="AJ268" s="716"/>
      <c r="AK268" s="716"/>
      <c r="AL268" s="716"/>
      <c r="AM268" s="716"/>
      <c r="AN268" s="716"/>
      <c r="AO268" s="716"/>
      <c r="AP268" s="716"/>
      <c r="AQ268" s="716"/>
      <c r="AR268" s="716"/>
    </row>
    <row r="269">
      <c r="A269" s="716"/>
      <c r="B269" s="530"/>
      <c r="C269" s="530"/>
      <c r="D269" s="530"/>
      <c r="E269" s="530"/>
      <c r="F269" s="530"/>
      <c r="G269" s="530"/>
      <c r="H269" s="530"/>
      <c r="I269" s="530"/>
      <c r="J269" s="530"/>
      <c r="K269" s="530"/>
      <c r="L269" s="530"/>
      <c r="M269" s="530"/>
      <c r="N269" s="530"/>
      <c r="O269" s="530"/>
      <c r="P269" s="530"/>
      <c r="Q269" s="530"/>
      <c r="R269" s="530"/>
      <c r="S269" s="530"/>
      <c r="T269" s="530"/>
      <c r="U269" s="530"/>
      <c r="V269" s="530"/>
      <c r="W269" s="530"/>
      <c r="X269" s="733"/>
      <c r="Y269" s="716"/>
      <c r="Z269" s="716"/>
      <c r="AA269" s="716"/>
      <c r="AB269" s="716"/>
      <c r="AC269" s="716"/>
      <c r="AD269" s="716"/>
      <c r="AE269" s="716"/>
      <c r="AF269" s="716"/>
      <c r="AG269" s="716"/>
      <c r="AH269" s="716"/>
      <c r="AI269" s="716"/>
      <c r="AJ269" s="716"/>
      <c r="AK269" s="716"/>
      <c r="AL269" s="716"/>
      <c r="AM269" s="716"/>
      <c r="AN269" s="716"/>
      <c r="AO269" s="716"/>
      <c r="AP269" s="716"/>
      <c r="AQ269" s="716"/>
      <c r="AR269" s="716"/>
    </row>
    <row r="270">
      <c r="A270" s="716"/>
      <c r="B270" s="530"/>
      <c r="C270" s="530"/>
      <c r="D270" s="530"/>
      <c r="E270" s="530"/>
      <c r="F270" s="530"/>
      <c r="G270" s="530"/>
      <c r="H270" s="530"/>
      <c r="I270" s="530"/>
      <c r="J270" s="530"/>
      <c r="K270" s="530"/>
      <c r="L270" s="530"/>
      <c r="M270" s="530"/>
      <c r="N270" s="530"/>
      <c r="O270" s="530"/>
      <c r="P270" s="530"/>
      <c r="Q270" s="530"/>
      <c r="R270" s="530"/>
      <c r="S270" s="530"/>
      <c r="T270" s="530"/>
      <c r="U270" s="530"/>
      <c r="V270" s="530"/>
      <c r="W270" s="530"/>
      <c r="X270" s="733"/>
      <c r="Y270" s="716"/>
      <c r="Z270" s="716"/>
      <c r="AA270" s="716"/>
      <c r="AB270" s="716"/>
      <c r="AC270" s="716"/>
      <c r="AD270" s="716"/>
      <c r="AE270" s="716"/>
      <c r="AF270" s="716"/>
      <c r="AG270" s="716"/>
      <c r="AH270" s="716"/>
      <c r="AI270" s="716"/>
      <c r="AJ270" s="716"/>
      <c r="AK270" s="716"/>
      <c r="AL270" s="716"/>
      <c r="AM270" s="716"/>
      <c r="AN270" s="716"/>
      <c r="AO270" s="716"/>
      <c r="AP270" s="716"/>
      <c r="AQ270" s="716"/>
      <c r="AR270" s="716"/>
    </row>
    <row r="271">
      <c r="A271" s="716"/>
      <c r="B271" s="530"/>
      <c r="C271" s="530"/>
      <c r="D271" s="530"/>
      <c r="E271" s="530"/>
      <c r="F271" s="530"/>
      <c r="G271" s="530"/>
      <c r="H271" s="530"/>
      <c r="I271" s="530"/>
      <c r="J271" s="530"/>
      <c r="K271" s="530"/>
      <c r="L271" s="530"/>
      <c r="M271" s="530"/>
      <c r="N271" s="530"/>
      <c r="O271" s="530"/>
      <c r="P271" s="530"/>
      <c r="Q271" s="530"/>
      <c r="R271" s="530"/>
      <c r="S271" s="530"/>
      <c r="T271" s="530"/>
      <c r="U271" s="530"/>
      <c r="V271" s="530"/>
      <c r="W271" s="530"/>
      <c r="X271" s="733"/>
      <c r="Y271" s="716"/>
      <c r="Z271" s="716"/>
      <c r="AA271" s="716"/>
      <c r="AB271" s="716"/>
      <c r="AC271" s="716"/>
      <c r="AD271" s="716"/>
      <c r="AE271" s="716"/>
      <c r="AF271" s="716"/>
      <c r="AG271" s="716"/>
      <c r="AH271" s="716"/>
      <c r="AI271" s="716"/>
      <c r="AJ271" s="716"/>
      <c r="AK271" s="716"/>
      <c r="AL271" s="716"/>
      <c r="AM271" s="716"/>
      <c r="AN271" s="716"/>
      <c r="AO271" s="716"/>
      <c r="AP271" s="716"/>
      <c r="AQ271" s="716"/>
      <c r="AR271" s="716"/>
    </row>
    <row r="272">
      <c r="A272" s="716"/>
      <c r="B272" s="530"/>
      <c r="C272" s="530"/>
      <c r="D272" s="530"/>
      <c r="E272" s="530"/>
      <c r="F272" s="530"/>
      <c r="G272" s="530"/>
      <c r="H272" s="530"/>
      <c r="I272" s="530"/>
      <c r="J272" s="530"/>
      <c r="K272" s="530"/>
      <c r="L272" s="530"/>
      <c r="M272" s="530"/>
      <c r="N272" s="530"/>
      <c r="O272" s="530"/>
      <c r="P272" s="530"/>
      <c r="Q272" s="530"/>
      <c r="R272" s="530"/>
      <c r="S272" s="530"/>
      <c r="T272" s="530"/>
      <c r="U272" s="530"/>
      <c r="V272" s="530"/>
      <c r="W272" s="530"/>
      <c r="X272" s="733"/>
      <c r="Y272" s="716"/>
      <c r="Z272" s="716"/>
      <c r="AA272" s="716"/>
      <c r="AB272" s="716"/>
      <c r="AC272" s="716"/>
      <c r="AD272" s="716"/>
      <c r="AE272" s="716"/>
      <c r="AF272" s="716"/>
      <c r="AG272" s="716"/>
      <c r="AH272" s="716"/>
      <c r="AI272" s="716"/>
      <c r="AJ272" s="716"/>
      <c r="AK272" s="716"/>
      <c r="AL272" s="716"/>
      <c r="AM272" s="716"/>
      <c r="AN272" s="716"/>
      <c r="AO272" s="716"/>
      <c r="AP272" s="716"/>
      <c r="AQ272" s="716"/>
      <c r="AR272" s="716"/>
    </row>
    <row r="273">
      <c r="A273" s="716"/>
      <c r="B273" s="530"/>
      <c r="C273" s="530"/>
      <c r="D273" s="530"/>
      <c r="E273" s="530"/>
      <c r="F273" s="530"/>
      <c r="G273" s="530"/>
      <c r="H273" s="530"/>
      <c r="I273" s="530"/>
      <c r="J273" s="530"/>
      <c r="K273" s="530"/>
      <c r="L273" s="530"/>
      <c r="M273" s="530"/>
      <c r="N273" s="530"/>
      <c r="O273" s="530"/>
      <c r="P273" s="530"/>
      <c r="Q273" s="530"/>
      <c r="R273" s="530"/>
      <c r="S273" s="530"/>
      <c r="T273" s="530"/>
      <c r="U273" s="530"/>
      <c r="V273" s="530"/>
      <c r="W273" s="530"/>
      <c r="X273" s="733"/>
      <c r="Y273" s="716"/>
      <c r="Z273" s="716"/>
      <c r="AA273" s="716"/>
      <c r="AB273" s="716"/>
      <c r="AC273" s="716"/>
      <c r="AD273" s="716"/>
      <c r="AE273" s="716"/>
      <c r="AF273" s="716"/>
      <c r="AG273" s="716"/>
      <c r="AH273" s="716"/>
      <c r="AI273" s="716"/>
      <c r="AJ273" s="716"/>
      <c r="AK273" s="716"/>
      <c r="AL273" s="716"/>
      <c r="AM273" s="716"/>
      <c r="AN273" s="716"/>
      <c r="AO273" s="716"/>
      <c r="AP273" s="716"/>
      <c r="AQ273" s="716"/>
      <c r="AR273" s="716"/>
    </row>
    <row r="274">
      <c r="A274" s="716"/>
      <c r="B274" s="530"/>
      <c r="C274" s="530"/>
      <c r="D274" s="530"/>
      <c r="E274" s="530"/>
      <c r="F274" s="530"/>
      <c r="G274" s="530"/>
      <c r="H274" s="530"/>
      <c r="I274" s="530"/>
      <c r="J274" s="530"/>
      <c r="K274" s="530"/>
      <c r="L274" s="530"/>
      <c r="M274" s="530"/>
      <c r="N274" s="530"/>
      <c r="O274" s="530"/>
      <c r="P274" s="530"/>
      <c r="Q274" s="530"/>
      <c r="R274" s="530"/>
      <c r="S274" s="530"/>
      <c r="T274" s="530"/>
      <c r="U274" s="530"/>
      <c r="V274" s="530"/>
      <c r="W274" s="530"/>
      <c r="X274" s="733"/>
      <c r="Y274" s="716"/>
      <c r="Z274" s="716"/>
      <c r="AA274" s="716"/>
      <c r="AB274" s="716"/>
      <c r="AC274" s="716"/>
      <c r="AD274" s="716"/>
      <c r="AE274" s="716"/>
      <c r="AF274" s="716"/>
      <c r="AG274" s="716"/>
      <c r="AH274" s="716"/>
      <c r="AI274" s="716"/>
      <c r="AJ274" s="716"/>
      <c r="AK274" s="716"/>
      <c r="AL274" s="716"/>
      <c r="AM274" s="716"/>
      <c r="AN274" s="716"/>
      <c r="AO274" s="716"/>
      <c r="AP274" s="716"/>
      <c r="AQ274" s="716"/>
      <c r="AR274" s="716"/>
    </row>
    <row r="275">
      <c r="A275" s="716"/>
      <c r="B275" s="530"/>
      <c r="C275" s="530"/>
      <c r="D275" s="530"/>
      <c r="E275" s="530"/>
      <c r="F275" s="530"/>
      <c r="G275" s="530"/>
      <c r="H275" s="530"/>
      <c r="I275" s="530"/>
      <c r="J275" s="530"/>
      <c r="K275" s="530"/>
      <c r="L275" s="530"/>
      <c r="M275" s="530"/>
      <c r="N275" s="530"/>
      <c r="O275" s="530"/>
      <c r="P275" s="530"/>
      <c r="Q275" s="530"/>
      <c r="R275" s="530"/>
      <c r="S275" s="530"/>
      <c r="T275" s="530"/>
      <c r="U275" s="530"/>
      <c r="V275" s="530"/>
      <c r="W275" s="530"/>
      <c r="X275" s="733"/>
      <c r="Y275" s="716"/>
      <c r="Z275" s="716"/>
      <c r="AA275" s="716"/>
      <c r="AB275" s="716"/>
      <c r="AC275" s="716"/>
      <c r="AD275" s="716"/>
      <c r="AE275" s="716"/>
      <c r="AF275" s="716"/>
      <c r="AG275" s="716"/>
      <c r="AH275" s="716"/>
      <c r="AI275" s="716"/>
      <c r="AJ275" s="716"/>
      <c r="AK275" s="716"/>
      <c r="AL275" s="716"/>
      <c r="AM275" s="716"/>
      <c r="AN275" s="716"/>
      <c r="AO275" s="716"/>
      <c r="AP275" s="716"/>
      <c r="AQ275" s="716"/>
      <c r="AR275" s="716"/>
    </row>
    <row r="276">
      <c r="A276" s="716"/>
      <c r="B276" s="530"/>
      <c r="C276" s="530"/>
      <c r="D276" s="530"/>
      <c r="E276" s="530"/>
      <c r="F276" s="530"/>
      <c r="G276" s="530"/>
      <c r="H276" s="530"/>
      <c r="I276" s="530"/>
      <c r="J276" s="530"/>
      <c r="K276" s="530"/>
      <c r="L276" s="530"/>
      <c r="M276" s="530"/>
      <c r="N276" s="530"/>
      <c r="O276" s="530"/>
      <c r="P276" s="530"/>
      <c r="Q276" s="530"/>
      <c r="R276" s="530"/>
      <c r="S276" s="530"/>
      <c r="T276" s="530"/>
      <c r="U276" s="530"/>
      <c r="V276" s="530"/>
      <c r="W276" s="530"/>
      <c r="X276" s="733"/>
      <c r="Y276" s="716"/>
      <c r="Z276" s="716"/>
      <c r="AA276" s="716"/>
      <c r="AB276" s="716"/>
      <c r="AC276" s="716"/>
      <c r="AD276" s="716"/>
      <c r="AE276" s="716"/>
      <c r="AF276" s="716"/>
      <c r="AG276" s="716"/>
      <c r="AH276" s="716"/>
      <c r="AI276" s="716"/>
      <c r="AJ276" s="716"/>
      <c r="AK276" s="716"/>
      <c r="AL276" s="716"/>
      <c r="AM276" s="716"/>
      <c r="AN276" s="716"/>
      <c r="AO276" s="716"/>
      <c r="AP276" s="716"/>
      <c r="AQ276" s="716"/>
      <c r="AR276" s="716"/>
    </row>
    <row r="277">
      <c r="A277" s="716"/>
      <c r="B277" s="530"/>
      <c r="C277" s="530"/>
      <c r="D277" s="530"/>
      <c r="E277" s="530"/>
      <c r="F277" s="530"/>
      <c r="G277" s="530"/>
      <c r="H277" s="530"/>
      <c r="I277" s="530"/>
      <c r="J277" s="530"/>
      <c r="K277" s="530"/>
      <c r="L277" s="530"/>
      <c r="M277" s="530"/>
      <c r="N277" s="530"/>
      <c r="O277" s="530"/>
      <c r="P277" s="530"/>
      <c r="Q277" s="530"/>
      <c r="R277" s="530"/>
      <c r="S277" s="530"/>
      <c r="T277" s="530"/>
      <c r="U277" s="530"/>
      <c r="V277" s="530"/>
      <c r="W277" s="530"/>
      <c r="X277" s="733"/>
      <c r="Y277" s="716"/>
      <c r="Z277" s="716"/>
      <c r="AA277" s="716"/>
      <c r="AB277" s="716"/>
      <c r="AC277" s="716"/>
      <c r="AD277" s="716"/>
      <c r="AE277" s="716"/>
      <c r="AF277" s="716"/>
      <c r="AG277" s="716"/>
      <c r="AH277" s="716"/>
      <c r="AI277" s="716"/>
      <c r="AJ277" s="716"/>
      <c r="AK277" s="716"/>
      <c r="AL277" s="716"/>
      <c r="AM277" s="716"/>
      <c r="AN277" s="716"/>
      <c r="AO277" s="716"/>
      <c r="AP277" s="716"/>
      <c r="AQ277" s="716"/>
      <c r="AR277" s="716"/>
    </row>
    <row r="278">
      <c r="A278" s="716"/>
      <c r="B278" s="530"/>
      <c r="C278" s="530"/>
      <c r="D278" s="530"/>
      <c r="E278" s="530"/>
      <c r="F278" s="530"/>
      <c r="G278" s="530"/>
      <c r="H278" s="530"/>
      <c r="I278" s="530"/>
      <c r="J278" s="530"/>
      <c r="K278" s="530"/>
      <c r="L278" s="530"/>
      <c r="M278" s="530"/>
      <c r="N278" s="530"/>
      <c r="O278" s="530"/>
      <c r="P278" s="530"/>
      <c r="Q278" s="530"/>
      <c r="R278" s="530"/>
      <c r="S278" s="530"/>
      <c r="T278" s="530"/>
      <c r="U278" s="530"/>
      <c r="V278" s="530"/>
      <c r="W278" s="530"/>
      <c r="X278" s="733"/>
      <c r="Y278" s="716"/>
      <c r="Z278" s="716"/>
      <c r="AA278" s="716"/>
      <c r="AB278" s="716"/>
      <c r="AC278" s="716"/>
      <c r="AD278" s="716"/>
      <c r="AE278" s="716"/>
      <c r="AF278" s="716"/>
      <c r="AG278" s="716"/>
      <c r="AH278" s="716"/>
      <c r="AI278" s="716"/>
      <c r="AJ278" s="716"/>
      <c r="AK278" s="716"/>
      <c r="AL278" s="716"/>
      <c r="AM278" s="716"/>
      <c r="AN278" s="716"/>
      <c r="AO278" s="716"/>
      <c r="AP278" s="716"/>
      <c r="AQ278" s="716"/>
      <c r="AR278" s="716"/>
    </row>
    <row r="279">
      <c r="A279" s="716"/>
      <c r="B279" s="530"/>
      <c r="C279" s="530"/>
      <c r="D279" s="530"/>
      <c r="E279" s="530"/>
      <c r="F279" s="530"/>
      <c r="G279" s="530"/>
      <c r="H279" s="530"/>
      <c r="I279" s="530"/>
      <c r="J279" s="530"/>
      <c r="K279" s="530"/>
      <c r="L279" s="530"/>
      <c r="M279" s="530"/>
      <c r="N279" s="530"/>
      <c r="O279" s="530"/>
      <c r="P279" s="530"/>
      <c r="Q279" s="530"/>
      <c r="R279" s="530"/>
      <c r="S279" s="530"/>
      <c r="T279" s="530"/>
      <c r="U279" s="530"/>
      <c r="V279" s="530"/>
      <c r="W279" s="530"/>
      <c r="X279" s="733"/>
      <c r="Y279" s="716"/>
      <c r="Z279" s="716"/>
      <c r="AA279" s="716"/>
      <c r="AB279" s="716"/>
      <c r="AC279" s="716"/>
      <c r="AD279" s="716"/>
      <c r="AE279" s="716"/>
      <c r="AF279" s="716"/>
      <c r="AG279" s="716"/>
      <c r="AH279" s="716"/>
      <c r="AI279" s="716"/>
      <c r="AJ279" s="716"/>
      <c r="AK279" s="716"/>
      <c r="AL279" s="716"/>
      <c r="AM279" s="716"/>
      <c r="AN279" s="716"/>
      <c r="AO279" s="716"/>
      <c r="AP279" s="716"/>
      <c r="AQ279" s="716"/>
      <c r="AR279" s="716"/>
    </row>
    <row r="280">
      <c r="A280" s="716"/>
      <c r="B280" s="530"/>
      <c r="C280" s="530"/>
      <c r="D280" s="530"/>
      <c r="E280" s="530"/>
      <c r="F280" s="530"/>
      <c r="G280" s="530"/>
      <c r="H280" s="530"/>
      <c r="I280" s="530"/>
      <c r="J280" s="530"/>
      <c r="K280" s="530"/>
      <c r="L280" s="530"/>
      <c r="M280" s="530"/>
      <c r="N280" s="530"/>
      <c r="O280" s="530"/>
      <c r="P280" s="530"/>
      <c r="Q280" s="530"/>
      <c r="R280" s="530"/>
      <c r="S280" s="530"/>
      <c r="T280" s="530"/>
      <c r="U280" s="530"/>
      <c r="V280" s="530"/>
      <c r="W280" s="530"/>
      <c r="X280" s="733"/>
      <c r="Y280" s="716"/>
      <c r="Z280" s="716"/>
      <c r="AA280" s="716"/>
      <c r="AB280" s="716"/>
      <c r="AC280" s="716"/>
      <c r="AD280" s="716"/>
      <c r="AE280" s="716"/>
      <c r="AF280" s="716"/>
      <c r="AG280" s="716"/>
      <c r="AH280" s="716"/>
      <c r="AI280" s="716"/>
      <c r="AJ280" s="716"/>
      <c r="AK280" s="716"/>
      <c r="AL280" s="716"/>
      <c r="AM280" s="716"/>
      <c r="AN280" s="716"/>
      <c r="AO280" s="716"/>
      <c r="AP280" s="716"/>
      <c r="AQ280" s="716"/>
      <c r="AR280" s="716"/>
    </row>
    <row r="281">
      <c r="A281" s="716"/>
      <c r="B281" s="530"/>
      <c r="C281" s="530"/>
      <c r="D281" s="530"/>
      <c r="E281" s="530"/>
      <c r="F281" s="530"/>
      <c r="G281" s="530"/>
      <c r="H281" s="530"/>
      <c r="I281" s="530"/>
      <c r="J281" s="530"/>
      <c r="K281" s="530"/>
      <c r="L281" s="530"/>
      <c r="M281" s="530"/>
      <c r="N281" s="530"/>
      <c r="O281" s="530"/>
      <c r="P281" s="530"/>
      <c r="Q281" s="530"/>
      <c r="R281" s="530"/>
      <c r="S281" s="530"/>
      <c r="T281" s="530"/>
      <c r="U281" s="530"/>
      <c r="V281" s="530"/>
      <c r="W281" s="530"/>
      <c r="X281" s="733"/>
      <c r="Y281" s="716"/>
      <c r="Z281" s="716"/>
      <c r="AA281" s="716"/>
      <c r="AB281" s="716"/>
      <c r="AC281" s="716"/>
      <c r="AD281" s="716"/>
      <c r="AE281" s="716"/>
      <c r="AF281" s="716"/>
      <c r="AG281" s="716"/>
      <c r="AH281" s="716"/>
      <c r="AI281" s="716"/>
      <c r="AJ281" s="716"/>
      <c r="AK281" s="716"/>
      <c r="AL281" s="716"/>
      <c r="AM281" s="716"/>
      <c r="AN281" s="716"/>
      <c r="AO281" s="716"/>
      <c r="AP281" s="716"/>
      <c r="AQ281" s="716"/>
      <c r="AR281" s="716"/>
    </row>
    <row r="282">
      <c r="A282" s="716"/>
      <c r="B282" s="530"/>
      <c r="C282" s="530"/>
      <c r="D282" s="530"/>
      <c r="E282" s="530"/>
      <c r="F282" s="530"/>
      <c r="G282" s="530"/>
      <c r="H282" s="530"/>
      <c r="I282" s="530"/>
      <c r="J282" s="530"/>
      <c r="K282" s="530"/>
      <c r="L282" s="530"/>
      <c r="M282" s="530"/>
      <c r="N282" s="530"/>
      <c r="O282" s="530"/>
      <c r="P282" s="530"/>
      <c r="Q282" s="530"/>
      <c r="R282" s="530"/>
      <c r="S282" s="530"/>
      <c r="T282" s="530"/>
      <c r="U282" s="530"/>
      <c r="V282" s="530"/>
      <c r="W282" s="530"/>
      <c r="X282" s="733"/>
      <c r="Y282" s="716"/>
      <c r="Z282" s="716"/>
      <c r="AA282" s="716"/>
      <c r="AB282" s="716"/>
      <c r="AC282" s="716"/>
      <c r="AD282" s="716"/>
      <c r="AE282" s="716"/>
      <c r="AF282" s="716"/>
      <c r="AG282" s="716"/>
      <c r="AH282" s="716"/>
      <c r="AI282" s="716"/>
      <c r="AJ282" s="716"/>
      <c r="AK282" s="716"/>
      <c r="AL282" s="716"/>
      <c r="AM282" s="716"/>
      <c r="AN282" s="716"/>
      <c r="AO282" s="716"/>
      <c r="AP282" s="716"/>
      <c r="AQ282" s="716"/>
      <c r="AR282" s="716"/>
    </row>
    <row r="283">
      <c r="A283" s="716"/>
      <c r="B283" s="530"/>
      <c r="C283" s="530"/>
      <c r="D283" s="530"/>
      <c r="E283" s="530"/>
      <c r="F283" s="530"/>
      <c r="G283" s="530"/>
      <c r="H283" s="530"/>
      <c r="I283" s="530"/>
      <c r="J283" s="530"/>
      <c r="K283" s="530"/>
      <c r="L283" s="530"/>
      <c r="M283" s="530"/>
      <c r="N283" s="530"/>
      <c r="O283" s="530"/>
      <c r="P283" s="530"/>
      <c r="Q283" s="530"/>
      <c r="R283" s="530"/>
      <c r="S283" s="530"/>
      <c r="T283" s="530"/>
      <c r="U283" s="530"/>
      <c r="V283" s="530"/>
      <c r="W283" s="530"/>
      <c r="X283" s="733"/>
      <c r="Y283" s="716"/>
      <c r="Z283" s="716"/>
      <c r="AA283" s="716"/>
      <c r="AB283" s="716"/>
      <c r="AC283" s="716"/>
      <c r="AD283" s="716"/>
      <c r="AE283" s="716"/>
      <c r="AF283" s="716"/>
      <c r="AG283" s="716"/>
      <c r="AH283" s="716"/>
      <c r="AI283" s="716"/>
      <c r="AJ283" s="716"/>
      <c r="AK283" s="716"/>
      <c r="AL283" s="716"/>
      <c r="AM283" s="716"/>
      <c r="AN283" s="716"/>
      <c r="AO283" s="716"/>
      <c r="AP283" s="716"/>
      <c r="AQ283" s="716"/>
      <c r="AR283" s="716"/>
    </row>
    <row r="284">
      <c r="A284" s="716"/>
      <c r="B284" s="530"/>
      <c r="C284" s="530"/>
      <c r="D284" s="530"/>
      <c r="E284" s="530"/>
      <c r="F284" s="530"/>
      <c r="G284" s="530"/>
      <c r="H284" s="530"/>
      <c r="I284" s="530"/>
      <c r="J284" s="530"/>
      <c r="K284" s="530"/>
      <c r="L284" s="530"/>
      <c r="M284" s="530"/>
      <c r="N284" s="530"/>
      <c r="O284" s="530"/>
      <c r="P284" s="530"/>
      <c r="Q284" s="530"/>
      <c r="R284" s="530"/>
      <c r="S284" s="530"/>
      <c r="T284" s="530"/>
      <c r="U284" s="530"/>
      <c r="V284" s="530"/>
      <c r="W284" s="530"/>
      <c r="X284" s="733"/>
      <c r="Y284" s="716"/>
      <c r="Z284" s="716"/>
      <c r="AA284" s="716"/>
      <c r="AB284" s="716"/>
      <c r="AC284" s="716"/>
      <c r="AD284" s="716"/>
      <c r="AE284" s="716"/>
      <c r="AF284" s="716"/>
      <c r="AG284" s="716"/>
      <c r="AH284" s="716"/>
      <c r="AI284" s="716"/>
      <c r="AJ284" s="716"/>
      <c r="AK284" s="716"/>
      <c r="AL284" s="716"/>
      <c r="AM284" s="716"/>
      <c r="AN284" s="716"/>
      <c r="AO284" s="716"/>
      <c r="AP284" s="716"/>
      <c r="AQ284" s="716"/>
      <c r="AR284" s="716"/>
    </row>
    <row r="285">
      <c r="A285" s="716"/>
      <c r="B285" s="530"/>
      <c r="C285" s="530"/>
      <c r="D285" s="530"/>
      <c r="E285" s="530"/>
      <c r="F285" s="530"/>
      <c r="G285" s="530"/>
      <c r="H285" s="530"/>
      <c r="I285" s="530"/>
      <c r="J285" s="530"/>
      <c r="K285" s="530"/>
      <c r="L285" s="530"/>
      <c r="M285" s="530"/>
      <c r="N285" s="530"/>
      <c r="O285" s="530"/>
      <c r="P285" s="530"/>
      <c r="Q285" s="530"/>
      <c r="R285" s="530"/>
      <c r="S285" s="530"/>
      <c r="T285" s="530"/>
      <c r="U285" s="530"/>
      <c r="V285" s="530"/>
      <c r="W285" s="530"/>
      <c r="X285" s="733"/>
      <c r="Y285" s="716"/>
      <c r="Z285" s="716"/>
      <c r="AA285" s="716"/>
      <c r="AB285" s="716"/>
      <c r="AC285" s="716"/>
      <c r="AD285" s="716"/>
      <c r="AE285" s="716"/>
      <c r="AF285" s="716"/>
      <c r="AG285" s="716"/>
      <c r="AH285" s="716"/>
      <c r="AI285" s="716"/>
      <c r="AJ285" s="716"/>
      <c r="AK285" s="716"/>
      <c r="AL285" s="716"/>
      <c r="AM285" s="716"/>
      <c r="AN285" s="716"/>
      <c r="AO285" s="716"/>
      <c r="AP285" s="716"/>
      <c r="AQ285" s="716"/>
      <c r="AR285" s="716"/>
    </row>
    <row r="286">
      <c r="A286" s="716"/>
      <c r="B286" s="530"/>
      <c r="C286" s="530"/>
      <c r="D286" s="530"/>
      <c r="E286" s="530"/>
      <c r="F286" s="530"/>
      <c r="G286" s="530"/>
      <c r="H286" s="530"/>
      <c r="I286" s="530"/>
      <c r="J286" s="530"/>
      <c r="K286" s="530"/>
      <c r="L286" s="530"/>
      <c r="M286" s="530"/>
      <c r="N286" s="530"/>
      <c r="O286" s="530"/>
      <c r="P286" s="530"/>
      <c r="Q286" s="530"/>
      <c r="R286" s="530"/>
      <c r="S286" s="530"/>
      <c r="T286" s="530"/>
      <c r="U286" s="530"/>
      <c r="V286" s="530"/>
      <c r="W286" s="530"/>
      <c r="X286" s="733"/>
      <c r="Y286" s="716"/>
      <c r="Z286" s="716"/>
      <c r="AA286" s="716"/>
      <c r="AB286" s="716"/>
      <c r="AC286" s="716"/>
      <c r="AD286" s="716"/>
      <c r="AE286" s="716"/>
      <c r="AF286" s="716"/>
      <c r="AG286" s="716"/>
      <c r="AH286" s="716"/>
      <c r="AI286" s="716"/>
      <c r="AJ286" s="716"/>
      <c r="AK286" s="716"/>
      <c r="AL286" s="716"/>
      <c r="AM286" s="716"/>
      <c r="AN286" s="716"/>
      <c r="AO286" s="716"/>
      <c r="AP286" s="716"/>
      <c r="AQ286" s="716"/>
      <c r="AR286" s="716"/>
    </row>
    <row r="287">
      <c r="A287" s="716"/>
      <c r="B287" s="530"/>
      <c r="C287" s="530"/>
      <c r="D287" s="530"/>
      <c r="E287" s="530"/>
      <c r="F287" s="530"/>
      <c r="G287" s="530"/>
      <c r="H287" s="530"/>
      <c r="I287" s="530"/>
      <c r="J287" s="530"/>
      <c r="K287" s="530"/>
      <c r="L287" s="530"/>
      <c r="M287" s="530"/>
      <c r="N287" s="530"/>
      <c r="O287" s="530"/>
      <c r="P287" s="530"/>
      <c r="Q287" s="530"/>
      <c r="R287" s="530"/>
      <c r="S287" s="530"/>
      <c r="T287" s="530"/>
      <c r="U287" s="530"/>
      <c r="V287" s="530"/>
      <c r="W287" s="530"/>
      <c r="X287" s="733"/>
      <c r="Y287" s="716"/>
      <c r="Z287" s="716"/>
      <c r="AA287" s="716"/>
      <c r="AB287" s="716"/>
      <c r="AC287" s="716"/>
      <c r="AD287" s="716"/>
      <c r="AE287" s="716"/>
      <c r="AF287" s="716"/>
      <c r="AG287" s="716"/>
      <c r="AH287" s="716"/>
      <c r="AI287" s="716"/>
      <c r="AJ287" s="716"/>
      <c r="AK287" s="716"/>
      <c r="AL287" s="716"/>
      <c r="AM287" s="716"/>
      <c r="AN287" s="716"/>
      <c r="AO287" s="716"/>
      <c r="AP287" s="716"/>
      <c r="AQ287" s="716"/>
      <c r="AR287" s="716"/>
    </row>
    <row r="288">
      <c r="A288" s="716"/>
      <c r="B288" s="530"/>
      <c r="C288" s="530"/>
      <c r="D288" s="530"/>
      <c r="E288" s="530"/>
      <c r="F288" s="530"/>
      <c r="G288" s="530"/>
      <c r="H288" s="530"/>
      <c r="I288" s="530"/>
      <c r="J288" s="530"/>
      <c r="K288" s="530"/>
      <c r="L288" s="530"/>
      <c r="M288" s="530"/>
      <c r="N288" s="530"/>
      <c r="O288" s="530"/>
      <c r="P288" s="530"/>
      <c r="Q288" s="530"/>
      <c r="R288" s="530"/>
      <c r="S288" s="530"/>
      <c r="T288" s="530"/>
      <c r="U288" s="530"/>
      <c r="V288" s="530"/>
      <c r="W288" s="530"/>
      <c r="X288" s="733"/>
      <c r="Y288" s="716"/>
      <c r="Z288" s="716"/>
      <c r="AA288" s="716"/>
      <c r="AB288" s="716"/>
      <c r="AC288" s="716"/>
      <c r="AD288" s="716"/>
      <c r="AE288" s="716"/>
      <c r="AF288" s="716"/>
      <c r="AG288" s="716"/>
      <c r="AH288" s="716"/>
      <c r="AI288" s="716"/>
      <c r="AJ288" s="716"/>
      <c r="AK288" s="716"/>
      <c r="AL288" s="716"/>
      <c r="AM288" s="716"/>
      <c r="AN288" s="716"/>
      <c r="AO288" s="716"/>
      <c r="AP288" s="716"/>
      <c r="AQ288" s="716"/>
      <c r="AR288" s="716"/>
    </row>
    <row r="289">
      <c r="A289" s="716"/>
      <c r="B289" s="530"/>
      <c r="C289" s="530"/>
      <c r="D289" s="530"/>
      <c r="E289" s="530"/>
      <c r="F289" s="530"/>
      <c r="G289" s="530"/>
      <c r="H289" s="530"/>
      <c r="I289" s="530"/>
      <c r="J289" s="530"/>
      <c r="K289" s="530"/>
      <c r="L289" s="530"/>
      <c r="M289" s="530"/>
      <c r="N289" s="530"/>
      <c r="O289" s="530"/>
      <c r="P289" s="530"/>
      <c r="Q289" s="530"/>
      <c r="R289" s="530"/>
      <c r="S289" s="530"/>
      <c r="T289" s="530"/>
      <c r="U289" s="530"/>
      <c r="V289" s="530"/>
      <c r="W289" s="530"/>
      <c r="X289" s="733"/>
      <c r="Y289" s="716"/>
      <c r="Z289" s="716"/>
      <c r="AA289" s="716"/>
      <c r="AB289" s="716"/>
      <c r="AC289" s="716"/>
      <c r="AD289" s="716"/>
      <c r="AE289" s="716"/>
      <c r="AF289" s="716"/>
      <c r="AG289" s="716"/>
      <c r="AH289" s="716"/>
      <c r="AI289" s="716"/>
      <c r="AJ289" s="716"/>
      <c r="AK289" s="716"/>
      <c r="AL289" s="716"/>
      <c r="AM289" s="716"/>
      <c r="AN289" s="716"/>
      <c r="AO289" s="716"/>
      <c r="AP289" s="716"/>
      <c r="AQ289" s="716"/>
      <c r="AR289" s="716"/>
    </row>
    <row r="290">
      <c r="A290" s="716"/>
      <c r="B290" s="530"/>
      <c r="C290" s="530"/>
      <c r="D290" s="530"/>
      <c r="E290" s="530"/>
      <c r="F290" s="530"/>
      <c r="G290" s="530"/>
      <c r="H290" s="530"/>
      <c r="I290" s="530"/>
      <c r="J290" s="530"/>
      <c r="K290" s="530"/>
      <c r="L290" s="530"/>
      <c r="M290" s="530"/>
      <c r="N290" s="530"/>
      <c r="O290" s="530"/>
      <c r="P290" s="530"/>
      <c r="Q290" s="530"/>
      <c r="R290" s="530"/>
      <c r="S290" s="530"/>
      <c r="T290" s="530"/>
      <c r="U290" s="530"/>
      <c r="V290" s="530"/>
      <c r="W290" s="530"/>
      <c r="X290" s="733"/>
      <c r="Y290" s="716"/>
      <c r="Z290" s="716"/>
      <c r="AA290" s="716"/>
      <c r="AB290" s="716"/>
      <c r="AC290" s="716"/>
      <c r="AD290" s="716"/>
      <c r="AE290" s="716"/>
      <c r="AF290" s="716"/>
      <c r="AG290" s="716"/>
      <c r="AH290" s="716"/>
      <c r="AI290" s="716"/>
      <c r="AJ290" s="716"/>
      <c r="AK290" s="716"/>
      <c r="AL290" s="716"/>
      <c r="AM290" s="716"/>
      <c r="AN290" s="716"/>
      <c r="AO290" s="716"/>
      <c r="AP290" s="716"/>
      <c r="AQ290" s="716"/>
      <c r="AR290" s="716"/>
    </row>
    <row r="291">
      <c r="A291" s="716"/>
      <c r="B291" s="530"/>
      <c r="C291" s="530"/>
      <c r="D291" s="530"/>
      <c r="E291" s="530"/>
      <c r="F291" s="530"/>
      <c r="G291" s="530"/>
      <c r="H291" s="530"/>
      <c r="I291" s="530"/>
      <c r="J291" s="530"/>
      <c r="K291" s="530"/>
      <c r="L291" s="530"/>
      <c r="M291" s="530"/>
      <c r="N291" s="530"/>
      <c r="O291" s="530"/>
      <c r="P291" s="530"/>
      <c r="Q291" s="530"/>
      <c r="R291" s="530"/>
      <c r="S291" s="530"/>
      <c r="T291" s="530"/>
      <c r="U291" s="530"/>
      <c r="V291" s="530"/>
      <c r="W291" s="530"/>
      <c r="X291" s="733"/>
      <c r="Y291" s="716"/>
      <c r="Z291" s="716"/>
      <c r="AA291" s="716"/>
      <c r="AB291" s="716"/>
      <c r="AC291" s="716"/>
      <c r="AD291" s="716"/>
      <c r="AE291" s="716"/>
      <c r="AF291" s="716"/>
      <c r="AG291" s="716"/>
      <c r="AH291" s="716"/>
      <c r="AI291" s="716"/>
      <c r="AJ291" s="716"/>
      <c r="AK291" s="716"/>
      <c r="AL291" s="716"/>
      <c r="AM291" s="716"/>
      <c r="AN291" s="716"/>
      <c r="AO291" s="716"/>
      <c r="AP291" s="716"/>
      <c r="AQ291" s="716"/>
      <c r="AR291" s="716"/>
    </row>
    <row r="292">
      <c r="A292" s="716"/>
      <c r="B292" s="530"/>
      <c r="C292" s="530"/>
      <c r="D292" s="530"/>
      <c r="E292" s="530"/>
      <c r="F292" s="530"/>
      <c r="G292" s="530"/>
      <c r="H292" s="530"/>
      <c r="I292" s="530"/>
      <c r="J292" s="530"/>
      <c r="K292" s="530"/>
      <c r="L292" s="530"/>
      <c r="M292" s="530"/>
      <c r="N292" s="530"/>
      <c r="O292" s="530"/>
      <c r="P292" s="530"/>
      <c r="Q292" s="530"/>
      <c r="R292" s="530"/>
      <c r="S292" s="530"/>
      <c r="T292" s="530"/>
      <c r="U292" s="530"/>
      <c r="V292" s="530"/>
      <c r="W292" s="530"/>
      <c r="X292" s="733"/>
      <c r="Y292" s="716"/>
      <c r="Z292" s="716"/>
      <c r="AA292" s="716"/>
      <c r="AB292" s="716"/>
      <c r="AC292" s="716"/>
      <c r="AD292" s="716"/>
      <c r="AE292" s="716"/>
      <c r="AF292" s="716"/>
      <c r="AG292" s="716"/>
      <c r="AH292" s="716"/>
      <c r="AI292" s="716"/>
      <c r="AJ292" s="716"/>
      <c r="AK292" s="716"/>
      <c r="AL292" s="716"/>
      <c r="AM292" s="716"/>
      <c r="AN292" s="716"/>
      <c r="AO292" s="716"/>
      <c r="AP292" s="716"/>
      <c r="AQ292" s="716"/>
      <c r="AR292" s="716"/>
    </row>
    <row r="293">
      <c r="A293" s="716"/>
      <c r="B293" s="530"/>
      <c r="C293" s="530"/>
      <c r="D293" s="530"/>
      <c r="E293" s="530"/>
      <c r="F293" s="530"/>
      <c r="G293" s="530"/>
      <c r="H293" s="530"/>
      <c r="I293" s="530"/>
      <c r="J293" s="530"/>
      <c r="K293" s="530"/>
      <c r="L293" s="530"/>
      <c r="M293" s="530"/>
      <c r="N293" s="530"/>
      <c r="O293" s="530"/>
      <c r="P293" s="530"/>
      <c r="Q293" s="530"/>
      <c r="R293" s="530"/>
      <c r="S293" s="530"/>
      <c r="T293" s="530"/>
      <c r="U293" s="530"/>
      <c r="V293" s="530"/>
      <c r="W293" s="530"/>
      <c r="X293" s="733"/>
      <c r="Y293" s="716"/>
      <c r="Z293" s="716"/>
      <c r="AA293" s="716"/>
      <c r="AB293" s="716"/>
      <c r="AC293" s="716"/>
      <c r="AD293" s="716"/>
      <c r="AE293" s="716"/>
      <c r="AF293" s="716"/>
      <c r="AG293" s="716"/>
      <c r="AH293" s="716"/>
      <c r="AI293" s="716"/>
      <c r="AJ293" s="716"/>
      <c r="AK293" s="716"/>
      <c r="AL293" s="716"/>
      <c r="AM293" s="716"/>
      <c r="AN293" s="716"/>
      <c r="AO293" s="716"/>
      <c r="AP293" s="716"/>
      <c r="AQ293" s="716"/>
      <c r="AR293" s="716"/>
    </row>
    <row r="294">
      <c r="A294" s="716"/>
      <c r="B294" s="530"/>
      <c r="C294" s="530"/>
      <c r="D294" s="530"/>
      <c r="E294" s="530"/>
      <c r="F294" s="530"/>
      <c r="G294" s="530"/>
      <c r="H294" s="530"/>
      <c r="I294" s="530"/>
      <c r="J294" s="530"/>
      <c r="K294" s="530"/>
      <c r="L294" s="530"/>
      <c r="M294" s="530"/>
      <c r="N294" s="530"/>
      <c r="O294" s="530"/>
      <c r="P294" s="530"/>
      <c r="Q294" s="530"/>
      <c r="R294" s="530"/>
      <c r="S294" s="530"/>
      <c r="T294" s="530"/>
      <c r="U294" s="530"/>
      <c r="V294" s="530"/>
      <c r="W294" s="530"/>
      <c r="X294" s="733"/>
      <c r="Y294" s="716"/>
      <c r="Z294" s="716"/>
      <c r="AA294" s="716"/>
      <c r="AB294" s="716"/>
      <c r="AC294" s="716"/>
      <c r="AD294" s="716"/>
      <c r="AE294" s="716"/>
      <c r="AF294" s="716"/>
      <c r="AG294" s="716"/>
      <c r="AH294" s="716"/>
      <c r="AI294" s="716"/>
      <c r="AJ294" s="716"/>
      <c r="AK294" s="716"/>
      <c r="AL294" s="716"/>
      <c r="AM294" s="716"/>
      <c r="AN294" s="716"/>
      <c r="AO294" s="716"/>
      <c r="AP294" s="716"/>
      <c r="AQ294" s="716"/>
      <c r="AR294" s="716"/>
    </row>
    <row r="295">
      <c r="A295" s="716"/>
      <c r="B295" s="530"/>
      <c r="C295" s="530"/>
      <c r="D295" s="530"/>
      <c r="E295" s="530"/>
      <c r="F295" s="530"/>
      <c r="G295" s="530"/>
      <c r="H295" s="530"/>
      <c r="I295" s="530"/>
      <c r="J295" s="530"/>
      <c r="K295" s="530"/>
      <c r="L295" s="530"/>
      <c r="M295" s="530"/>
      <c r="N295" s="530"/>
      <c r="O295" s="530"/>
      <c r="P295" s="530"/>
      <c r="Q295" s="530"/>
      <c r="R295" s="530"/>
      <c r="S295" s="530"/>
      <c r="T295" s="530"/>
      <c r="U295" s="530"/>
      <c r="V295" s="530"/>
      <c r="W295" s="530"/>
      <c r="X295" s="733"/>
      <c r="Y295" s="716"/>
      <c r="Z295" s="716"/>
      <c r="AA295" s="716"/>
      <c r="AB295" s="716"/>
      <c r="AC295" s="716"/>
      <c r="AD295" s="716"/>
      <c r="AE295" s="716"/>
      <c r="AF295" s="716"/>
      <c r="AG295" s="716"/>
      <c r="AH295" s="716"/>
      <c r="AI295" s="716"/>
      <c r="AJ295" s="716"/>
      <c r="AK295" s="716"/>
      <c r="AL295" s="716"/>
      <c r="AM295" s="716"/>
      <c r="AN295" s="716"/>
      <c r="AO295" s="716"/>
      <c r="AP295" s="716"/>
      <c r="AQ295" s="716"/>
      <c r="AR295" s="716"/>
    </row>
    <row r="296">
      <c r="A296" s="716"/>
      <c r="B296" s="530"/>
      <c r="C296" s="530"/>
      <c r="D296" s="530"/>
      <c r="E296" s="530"/>
      <c r="F296" s="530"/>
      <c r="G296" s="530"/>
      <c r="H296" s="530"/>
      <c r="I296" s="530"/>
      <c r="J296" s="530"/>
      <c r="K296" s="530"/>
      <c r="L296" s="530"/>
      <c r="M296" s="530"/>
      <c r="N296" s="530"/>
      <c r="O296" s="530"/>
      <c r="P296" s="530"/>
      <c r="Q296" s="530"/>
      <c r="R296" s="530"/>
      <c r="S296" s="530"/>
      <c r="T296" s="530"/>
      <c r="U296" s="530"/>
      <c r="V296" s="530"/>
      <c r="W296" s="530"/>
      <c r="X296" s="733"/>
      <c r="Y296" s="716"/>
      <c r="Z296" s="716"/>
      <c r="AA296" s="716"/>
      <c r="AB296" s="716"/>
      <c r="AC296" s="716"/>
      <c r="AD296" s="716"/>
      <c r="AE296" s="716"/>
      <c r="AF296" s="716"/>
      <c r="AG296" s="716"/>
      <c r="AH296" s="716"/>
      <c r="AI296" s="716"/>
      <c r="AJ296" s="716"/>
      <c r="AK296" s="716"/>
      <c r="AL296" s="716"/>
      <c r="AM296" s="716"/>
      <c r="AN296" s="716"/>
      <c r="AO296" s="716"/>
      <c r="AP296" s="716"/>
      <c r="AQ296" s="716"/>
      <c r="AR296" s="716"/>
    </row>
    <row r="297">
      <c r="A297" s="716"/>
      <c r="B297" s="530"/>
      <c r="C297" s="530"/>
      <c r="D297" s="530"/>
      <c r="E297" s="530"/>
      <c r="F297" s="530"/>
      <c r="G297" s="530"/>
      <c r="H297" s="530"/>
      <c r="I297" s="530"/>
      <c r="J297" s="530"/>
      <c r="K297" s="530"/>
      <c r="L297" s="530"/>
      <c r="M297" s="530"/>
      <c r="N297" s="530"/>
      <c r="O297" s="530"/>
      <c r="P297" s="530"/>
      <c r="Q297" s="530"/>
      <c r="R297" s="530"/>
      <c r="S297" s="530"/>
      <c r="T297" s="530"/>
      <c r="U297" s="530"/>
      <c r="V297" s="530"/>
      <c r="W297" s="530"/>
      <c r="X297" s="733"/>
      <c r="Y297" s="716"/>
      <c r="Z297" s="716"/>
      <c r="AA297" s="716"/>
      <c r="AB297" s="716"/>
      <c r="AC297" s="716"/>
      <c r="AD297" s="716"/>
      <c r="AE297" s="716"/>
      <c r="AF297" s="716"/>
      <c r="AG297" s="716"/>
      <c r="AH297" s="716"/>
      <c r="AI297" s="716"/>
      <c r="AJ297" s="716"/>
      <c r="AK297" s="716"/>
      <c r="AL297" s="716"/>
      <c r="AM297" s="716"/>
      <c r="AN297" s="716"/>
      <c r="AO297" s="716"/>
      <c r="AP297" s="716"/>
      <c r="AQ297" s="716"/>
      <c r="AR297" s="716"/>
    </row>
    <row r="298">
      <c r="A298" s="716"/>
      <c r="B298" s="530"/>
      <c r="C298" s="530"/>
      <c r="D298" s="530"/>
      <c r="E298" s="530"/>
      <c r="F298" s="530"/>
      <c r="G298" s="530"/>
      <c r="H298" s="530"/>
      <c r="I298" s="530"/>
      <c r="J298" s="530"/>
      <c r="K298" s="530"/>
      <c r="L298" s="530"/>
      <c r="M298" s="530"/>
      <c r="N298" s="530"/>
      <c r="O298" s="530"/>
      <c r="P298" s="530"/>
      <c r="Q298" s="530"/>
      <c r="R298" s="530"/>
      <c r="S298" s="530"/>
      <c r="T298" s="530"/>
      <c r="U298" s="530"/>
      <c r="V298" s="530"/>
      <c r="W298" s="530"/>
      <c r="X298" s="733"/>
      <c r="Y298" s="716"/>
      <c r="Z298" s="716"/>
      <c r="AA298" s="716"/>
      <c r="AB298" s="716"/>
      <c r="AC298" s="716"/>
      <c r="AD298" s="716"/>
      <c r="AE298" s="716"/>
      <c r="AF298" s="716"/>
      <c r="AG298" s="716"/>
      <c r="AH298" s="716"/>
      <c r="AI298" s="716"/>
      <c r="AJ298" s="716"/>
      <c r="AK298" s="716"/>
      <c r="AL298" s="716"/>
      <c r="AM298" s="716"/>
      <c r="AN298" s="716"/>
      <c r="AO298" s="716"/>
      <c r="AP298" s="716"/>
      <c r="AQ298" s="716"/>
      <c r="AR298" s="716"/>
    </row>
    <row r="299">
      <c r="A299" s="716"/>
      <c r="B299" s="530"/>
      <c r="C299" s="530"/>
      <c r="D299" s="530"/>
      <c r="E299" s="530"/>
      <c r="F299" s="530"/>
      <c r="G299" s="530"/>
      <c r="H299" s="530"/>
      <c r="I299" s="530"/>
      <c r="J299" s="530"/>
      <c r="K299" s="530"/>
      <c r="L299" s="530"/>
      <c r="M299" s="530"/>
      <c r="N299" s="530"/>
      <c r="O299" s="530"/>
      <c r="P299" s="530"/>
      <c r="Q299" s="530"/>
      <c r="R299" s="530"/>
      <c r="S299" s="530"/>
      <c r="T299" s="530"/>
      <c r="U299" s="530"/>
      <c r="V299" s="530"/>
      <c r="W299" s="530"/>
      <c r="X299" s="733"/>
      <c r="Y299" s="716"/>
      <c r="Z299" s="716"/>
      <c r="AA299" s="716"/>
      <c r="AB299" s="716"/>
      <c r="AC299" s="716"/>
      <c r="AD299" s="716"/>
      <c r="AE299" s="716"/>
      <c r="AF299" s="716"/>
      <c r="AG299" s="716"/>
      <c r="AH299" s="716"/>
      <c r="AI299" s="716"/>
      <c r="AJ299" s="716"/>
      <c r="AK299" s="716"/>
      <c r="AL299" s="716"/>
      <c r="AM299" s="716"/>
      <c r="AN299" s="716"/>
      <c r="AO299" s="716"/>
      <c r="AP299" s="716"/>
      <c r="AQ299" s="716"/>
      <c r="AR299" s="716"/>
    </row>
    <row r="300">
      <c r="A300" s="716"/>
      <c r="B300" s="530"/>
      <c r="C300" s="530"/>
      <c r="D300" s="530"/>
      <c r="E300" s="530"/>
      <c r="F300" s="530"/>
      <c r="G300" s="530"/>
      <c r="H300" s="530"/>
      <c r="I300" s="530"/>
      <c r="J300" s="530"/>
      <c r="K300" s="530"/>
      <c r="L300" s="530"/>
      <c r="M300" s="530"/>
      <c r="N300" s="530"/>
      <c r="O300" s="530"/>
      <c r="P300" s="530"/>
      <c r="Q300" s="530"/>
      <c r="R300" s="530"/>
      <c r="S300" s="530"/>
      <c r="T300" s="530"/>
      <c r="U300" s="530"/>
      <c r="V300" s="530"/>
      <c r="W300" s="530"/>
      <c r="X300" s="733"/>
      <c r="Y300" s="716"/>
      <c r="Z300" s="716"/>
      <c r="AA300" s="716"/>
      <c r="AB300" s="716"/>
      <c r="AC300" s="716"/>
      <c r="AD300" s="716"/>
      <c r="AE300" s="716"/>
      <c r="AF300" s="716"/>
      <c r="AG300" s="716"/>
      <c r="AH300" s="716"/>
      <c r="AI300" s="716"/>
      <c r="AJ300" s="716"/>
      <c r="AK300" s="716"/>
      <c r="AL300" s="716"/>
      <c r="AM300" s="716"/>
      <c r="AN300" s="716"/>
      <c r="AO300" s="716"/>
      <c r="AP300" s="716"/>
      <c r="AQ300" s="716"/>
      <c r="AR300" s="716"/>
    </row>
    <row r="301">
      <c r="A301" s="716"/>
      <c r="B301" s="530"/>
      <c r="C301" s="530"/>
      <c r="D301" s="530"/>
      <c r="E301" s="530"/>
      <c r="F301" s="530"/>
      <c r="G301" s="530"/>
      <c r="H301" s="530"/>
      <c r="I301" s="530"/>
      <c r="J301" s="530"/>
      <c r="K301" s="530"/>
      <c r="L301" s="530"/>
      <c r="M301" s="530"/>
      <c r="N301" s="530"/>
      <c r="O301" s="530"/>
      <c r="P301" s="530"/>
      <c r="Q301" s="530"/>
      <c r="R301" s="530"/>
      <c r="S301" s="530"/>
      <c r="T301" s="530"/>
      <c r="U301" s="530"/>
      <c r="V301" s="530"/>
      <c r="W301" s="530"/>
      <c r="X301" s="733"/>
      <c r="Y301" s="716"/>
      <c r="Z301" s="716"/>
      <c r="AA301" s="716"/>
      <c r="AB301" s="716"/>
      <c r="AC301" s="716"/>
      <c r="AD301" s="716"/>
      <c r="AE301" s="716"/>
      <c r="AF301" s="716"/>
      <c r="AG301" s="716"/>
      <c r="AH301" s="716"/>
      <c r="AI301" s="716"/>
      <c r="AJ301" s="716"/>
      <c r="AK301" s="716"/>
      <c r="AL301" s="716"/>
      <c r="AM301" s="716"/>
      <c r="AN301" s="716"/>
      <c r="AO301" s="716"/>
      <c r="AP301" s="716"/>
      <c r="AQ301" s="716"/>
      <c r="AR301" s="716"/>
    </row>
    <row r="302">
      <c r="A302" s="716"/>
      <c r="B302" s="530"/>
      <c r="C302" s="530"/>
      <c r="D302" s="530"/>
      <c r="E302" s="530"/>
      <c r="F302" s="530"/>
      <c r="G302" s="530"/>
      <c r="H302" s="530"/>
      <c r="I302" s="530"/>
      <c r="J302" s="530"/>
      <c r="K302" s="530"/>
      <c r="L302" s="530"/>
      <c r="M302" s="530"/>
      <c r="N302" s="530"/>
      <c r="O302" s="530"/>
      <c r="P302" s="530"/>
      <c r="Q302" s="530"/>
      <c r="R302" s="530"/>
      <c r="S302" s="530"/>
      <c r="T302" s="530"/>
      <c r="U302" s="530"/>
      <c r="V302" s="530"/>
      <c r="W302" s="530"/>
      <c r="X302" s="733"/>
      <c r="Y302" s="716"/>
      <c r="Z302" s="716"/>
      <c r="AA302" s="716"/>
      <c r="AB302" s="716"/>
      <c r="AC302" s="716"/>
      <c r="AD302" s="716"/>
      <c r="AE302" s="716"/>
      <c r="AF302" s="716"/>
      <c r="AG302" s="716"/>
      <c r="AH302" s="716"/>
      <c r="AI302" s="716"/>
      <c r="AJ302" s="716"/>
      <c r="AK302" s="716"/>
      <c r="AL302" s="716"/>
      <c r="AM302" s="716"/>
      <c r="AN302" s="716"/>
      <c r="AO302" s="716"/>
      <c r="AP302" s="716"/>
      <c r="AQ302" s="716"/>
      <c r="AR302" s="716"/>
    </row>
    <row r="303">
      <c r="A303" s="716"/>
      <c r="B303" s="530"/>
      <c r="C303" s="530"/>
      <c r="D303" s="530"/>
      <c r="E303" s="530"/>
      <c r="F303" s="530"/>
      <c r="G303" s="530"/>
      <c r="H303" s="530"/>
      <c r="I303" s="530"/>
      <c r="J303" s="530"/>
      <c r="K303" s="530"/>
      <c r="L303" s="530"/>
      <c r="M303" s="530"/>
      <c r="N303" s="530"/>
      <c r="O303" s="530"/>
      <c r="P303" s="530"/>
      <c r="Q303" s="530"/>
      <c r="R303" s="530"/>
      <c r="S303" s="530"/>
      <c r="T303" s="530"/>
      <c r="U303" s="530"/>
      <c r="V303" s="530"/>
      <c r="W303" s="530"/>
      <c r="X303" s="733"/>
      <c r="Y303" s="716"/>
      <c r="Z303" s="716"/>
      <c r="AA303" s="716"/>
      <c r="AB303" s="716"/>
      <c r="AC303" s="716"/>
      <c r="AD303" s="716"/>
      <c r="AE303" s="716"/>
      <c r="AF303" s="716"/>
      <c r="AG303" s="716"/>
      <c r="AH303" s="716"/>
      <c r="AI303" s="716"/>
      <c r="AJ303" s="716"/>
      <c r="AK303" s="716"/>
      <c r="AL303" s="716"/>
      <c r="AM303" s="716"/>
      <c r="AN303" s="716"/>
      <c r="AO303" s="716"/>
      <c r="AP303" s="716"/>
      <c r="AQ303" s="716"/>
      <c r="AR303" s="716"/>
    </row>
    <row r="304">
      <c r="A304" s="716"/>
      <c r="B304" s="530"/>
      <c r="C304" s="530"/>
      <c r="D304" s="530"/>
      <c r="E304" s="530"/>
      <c r="F304" s="530"/>
      <c r="G304" s="530"/>
      <c r="H304" s="530"/>
      <c r="I304" s="530"/>
      <c r="J304" s="530"/>
      <c r="K304" s="530"/>
      <c r="L304" s="530"/>
      <c r="M304" s="530"/>
      <c r="N304" s="530"/>
      <c r="O304" s="530"/>
      <c r="P304" s="530"/>
      <c r="Q304" s="530"/>
      <c r="R304" s="530"/>
      <c r="S304" s="530"/>
      <c r="T304" s="530"/>
      <c r="U304" s="530"/>
      <c r="V304" s="530"/>
      <c r="W304" s="530"/>
      <c r="X304" s="733"/>
      <c r="Y304" s="716"/>
      <c r="Z304" s="716"/>
      <c r="AA304" s="716"/>
      <c r="AB304" s="716"/>
      <c r="AC304" s="716"/>
      <c r="AD304" s="716"/>
      <c r="AE304" s="716"/>
      <c r="AF304" s="716"/>
      <c r="AG304" s="716"/>
      <c r="AH304" s="716"/>
      <c r="AI304" s="716"/>
      <c r="AJ304" s="716"/>
      <c r="AK304" s="716"/>
      <c r="AL304" s="716"/>
      <c r="AM304" s="716"/>
      <c r="AN304" s="716"/>
      <c r="AO304" s="716"/>
      <c r="AP304" s="716"/>
      <c r="AQ304" s="716"/>
      <c r="AR304" s="716"/>
    </row>
    <row r="305">
      <c r="A305" s="716"/>
      <c r="B305" s="530"/>
      <c r="C305" s="530"/>
      <c r="D305" s="530"/>
      <c r="E305" s="530"/>
      <c r="F305" s="530"/>
      <c r="G305" s="530"/>
      <c r="H305" s="530"/>
      <c r="I305" s="530"/>
      <c r="J305" s="530"/>
      <c r="K305" s="530"/>
      <c r="L305" s="530"/>
      <c r="M305" s="530"/>
      <c r="N305" s="530"/>
      <c r="O305" s="530"/>
      <c r="P305" s="530"/>
      <c r="Q305" s="530"/>
      <c r="R305" s="530"/>
      <c r="S305" s="530"/>
      <c r="T305" s="530"/>
      <c r="U305" s="530"/>
      <c r="V305" s="530"/>
      <c r="W305" s="530"/>
      <c r="X305" s="733"/>
      <c r="Y305" s="716"/>
      <c r="Z305" s="716"/>
      <c r="AA305" s="716"/>
      <c r="AB305" s="716"/>
      <c r="AC305" s="716"/>
      <c r="AD305" s="716"/>
      <c r="AE305" s="716"/>
      <c r="AF305" s="716"/>
      <c r="AG305" s="716"/>
      <c r="AH305" s="716"/>
      <c r="AI305" s="716"/>
      <c r="AJ305" s="716"/>
      <c r="AK305" s="716"/>
      <c r="AL305" s="716"/>
      <c r="AM305" s="716"/>
      <c r="AN305" s="716"/>
      <c r="AO305" s="716"/>
      <c r="AP305" s="716"/>
      <c r="AQ305" s="716"/>
      <c r="AR305" s="716"/>
    </row>
    <row r="306">
      <c r="A306" s="716"/>
      <c r="B306" s="530"/>
      <c r="C306" s="530"/>
      <c r="D306" s="530"/>
      <c r="E306" s="530"/>
      <c r="F306" s="530"/>
      <c r="G306" s="530"/>
      <c r="H306" s="530"/>
      <c r="I306" s="530"/>
      <c r="J306" s="530"/>
      <c r="K306" s="530"/>
      <c r="L306" s="530"/>
      <c r="M306" s="530"/>
      <c r="N306" s="530"/>
      <c r="O306" s="530"/>
      <c r="P306" s="530"/>
      <c r="Q306" s="530"/>
      <c r="R306" s="530"/>
      <c r="S306" s="530"/>
      <c r="T306" s="530"/>
      <c r="U306" s="530"/>
      <c r="V306" s="530"/>
      <c r="W306" s="530"/>
      <c r="X306" s="733"/>
      <c r="Y306" s="716"/>
      <c r="Z306" s="716"/>
      <c r="AA306" s="716"/>
      <c r="AB306" s="716"/>
      <c r="AC306" s="716"/>
      <c r="AD306" s="716"/>
      <c r="AE306" s="716"/>
      <c r="AF306" s="716"/>
      <c r="AG306" s="716"/>
      <c r="AH306" s="716"/>
      <c r="AI306" s="716"/>
      <c r="AJ306" s="716"/>
      <c r="AK306" s="716"/>
      <c r="AL306" s="716"/>
      <c r="AM306" s="716"/>
      <c r="AN306" s="716"/>
      <c r="AO306" s="716"/>
      <c r="AP306" s="716"/>
      <c r="AQ306" s="716"/>
      <c r="AR306" s="716"/>
    </row>
    <row r="307">
      <c r="A307" s="716"/>
      <c r="B307" s="530"/>
      <c r="C307" s="530"/>
      <c r="D307" s="530"/>
      <c r="E307" s="530"/>
      <c r="F307" s="530"/>
      <c r="G307" s="530"/>
      <c r="H307" s="530"/>
      <c r="I307" s="530"/>
      <c r="J307" s="530"/>
      <c r="K307" s="530"/>
      <c r="L307" s="530"/>
      <c r="M307" s="530"/>
      <c r="N307" s="530"/>
      <c r="O307" s="530"/>
      <c r="P307" s="530"/>
      <c r="Q307" s="530"/>
      <c r="R307" s="530"/>
      <c r="S307" s="530"/>
      <c r="T307" s="530"/>
      <c r="U307" s="530"/>
      <c r="V307" s="530"/>
      <c r="W307" s="530"/>
      <c r="X307" s="733"/>
      <c r="Y307" s="716"/>
      <c r="Z307" s="716"/>
      <c r="AA307" s="716"/>
      <c r="AB307" s="716"/>
      <c r="AC307" s="716"/>
      <c r="AD307" s="716"/>
      <c r="AE307" s="716"/>
      <c r="AF307" s="716"/>
      <c r="AG307" s="716"/>
      <c r="AH307" s="716"/>
      <c r="AI307" s="716"/>
      <c r="AJ307" s="716"/>
      <c r="AK307" s="716"/>
      <c r="AL307" s="716"/>
      <c r="AM307" s="716"/>
      <c r="AN307" s="716"/>
      <c r="AO307" s="716"/>
      <c r="AP307" s="716"/>
      <c r="AQ307" s="716"/>
      <c r="AR307" s="716"/>
    </row>
    <row r="308">
      <c r="A308" s="716"/>
      <c r="B308" s="530"/>
      <c r="C308" s="530"/>
      <c r="D308" s="530"/>
      <c r="E308" s="530"/>
      <c r="F308" s="530"/>
      <c r="G308" s="530"/>
      <c r="H308" s="530"/>
      <c r="I308" s="530"/>
      <c r="J308" s="530"/>
      <c r="K308" s="530"/>
      <c r="L308" s="530"/>
      <c r="M308" s="530"/>
      <c r="N308" s="530"/>
      <c r="O308" s="530"/>
      <c r="P308" s="530"/>
      <c r="Q308" s="530"/>
      <c r="R308" s="530"/>
      <c r="S308" s="530"/>
      <c r="T308" s="530"/>
      <c r="U308" s="530"/>
      <c r="V308" s="530"/>
      <c r="W308" s="530"/>
      <c r="X308" s="733"/>
      <c r="Y308" s="716"/>
      <c r="Z308" s="716"/>
      <c r="AA308" s="716"/>
      <c r="AB308" s="716"/>
      <c r="AC308" s="716"/>
      <c r="AD308" s="716"/>
      <c r="AE308" s="716"/>
      <c r="AF308" s="716"/>
      <c r="AG308" s="716"/>
      <c r="AH308" s="716"/>
      <c r="AI308" s="716"/>
      <c r="AJ308" s="716"/>
      <c r="AK308" s="716"/>
      <c r="AL308" s="716"/>
      <c r="AM308" s="716"/>
      <c r="AN308" s="716"/>
      <c r="AO308" s="716"/>
      <c r="AP308" s="716"/>
      <c r="AQ308" s="716"/>
      <c r="AR308" s="716"/>
    </row>
    <row r="309">
      <c r="A309" s="716"/>
      <c r="B309" s="530"/>
      <c r="C309" s="530"/>
      <c r="D309" s="530"/>
      <c r="E309" s="530"/>
      <c r="F309" s="530"/>
      <c r="G309" s="530"/>
      <c r="H309" s="530"/>
      <c r="I309" s="530"/>
      <c r="J309" s="530"/>
      <c r="K309" s="530"/>
      <c r="L309" s="530"/>
      <c r="M309" s="530"/>
      <c r="N309" s="530"/>
      <c r="O309" s="530"/>
      <c r="P309" s="530"/>
      <c r="Q309" s="530"/>
      <c r="R309" s="530"/>
      <c r="S309" s="530"/>
      <c r="T309" s="530"/>
      <c r="U309" s="530"/>
      <c r="V309" s="530"/>
      <c r="W309" s="530"/>
      <c r="X309" s="733"/>
      <c r="Y309" s="716"/>
      <c r="Z309" s="716"/>
      <c r="AA309" s="716"/>
      <c r="AB309" s="716"/>
      <c r="AC309" s="716"/>
      <c r="AD309" s="716"/>
      <c r="AE309" s="716"/>
      <c r="AF309" s="716"/>
      <c r="AG309" s="716"/>
      <c r="AH309" s="716"/>
      <c r="AI309" s="716"/>
      <c r="AJ309" s="716"/>
      <c r="AK309" s="716"/>
      <c r="AL309" s="716"/>
      <c r="AM309" s="716"/>
      <c r="AN309" s="716"/>
      <c r="AO309" s="716"/>
      <c r="AP309" s="716"/>
      <c r="AQ309" s="716"/>
      <c r="AR309" s="716"/>
    </row>
    <row r="310">
      <c r="A310" s="716"/>
      <c r="B310" s="530"/>
      <c r="C310" s="530"/>
      <c r="D310" s="530"/>
      <c r="E310" s="530"/>
      <c r="F310" s="530"/>
      <c r="G310" s="530"/>
      <c r="H310" s="530"/>
      <c r="I310" s="530"/>
      <c r="J310" s="530"/>
      <c r="K310" s="530"/>
      <c r="L310" s="530"/>
      <c r="M310" s="530"/>
      <c r="N310" s="530"/>
      <c r="O310" s="530"/>
      <c r="P310" s="530"/>
      <c r="Q310" s="530"/>
      <c r="R310" s="530"/>
      <c r="S310" s="530"/>
      <c r="T310" s="530"/>
      <c r="U310" s="530"/>
      <c r="V310" s="530"/>
      <c r="W310" s="530"/>
      <c r="X310" s="733"/>
      <c r="Y310" s="716"/>
      <c r="Z310" s="716"/>
      <c r="AA310" s="716"/>
      <c r="AB310" s="716"/>
      <c r="AC310" s="716"/>
      <c r="AD310" s="716"/>
      <c r="AE310" s="716"/>
      <c r="AF310" s="716"/>
      <c r="AG310" s="716"/>
      <c r="AH310" s="716"/>
      <c r="AI310" s="716"/>
      <c r="AJ310" s="716"/>
      <c r="AK310" s="716"/>
      <c r="AL310" s="716"/>
      <c r="AM310" s="716"/>
      <c r="AN310" s="716"/>
      <c r="AO310" s="716"/>
      <c r="AP310" s="716"/>
      <c r="AQ310" s="716"/>
      <c r="AR310" s="716"/>
    </row>
    <row r="311">
      <c r="A311" s="716"/>
      <c r="B311" s="530"/>
      <c r="C311" s="530"/>
      <c r="D311" s="530"/>
      <c r="E311" s="530"/>
      <c r="F311" s="530"/>
      <c r="G311" s="530"/>
      <c r="H311" s="530"/>
      <c r="I311" s="530"/>
      <c r="J311" s="530"/>
      <c r="K311" s="530"/>
      <c r="L311" s="530"/>
      <c r="M311" s="530"/>
      <c r="N311" s="530"/>
      <c r="O311" s="530"/>
      <c r="P311" s="530"/>
      <c r="Q311" s="530"/>
      <c r="R311" s="530"/>
      <c r="S311" s="530"/>
      <c r="T311" s="530"/>
      <c r="U311" s="530"/>
      <c r="V311" s="530"/>
      <c r="W311" s="530"/>
      <c r="X311" s="733"/>
      <c r="Y311" s="716"/>
      <c r="Z311" s="716"/>
      <c r="AA311" s="716"/>
      <c r="AB311" s="716"/>
      <c r="AC311" s="716"/>
      <c r="AD311" s="716"/>
      <c r="AE311" s="716"/>
      <c r="AF311" s="716"/>
      <c r="AG311" s="716"/>
      <c r="AH311" s="716"/>
      <c r="AI311" s="716"/>
      <c r="AJ311" s="716"/>
      <c r="AK311" s="716"/>
      <c r="AL311" s="716"/>
      <c r="AM311" s="716"/>
      <c r="AN311" s="716"/>
      <c r="AO311" s="716"/>
      <c r="AP311" s="716"/>
      <c r="AQ311" s="716"/>
      <c r="AR311" s="716"/>
    </row>
    <row r="312">
      <c r="A312" s="716"/>
      <c r="B312" s="530"/>
      <c r="C312" s="530"/>
      <c r="D312" s="530"/>
      <c r="E312" s="530"/>
      <c r="F312" s="530"/>
      <c r="G312" s="530"/>
      <c r="H312" s="530"/>
      <c r="I312" s="530"/>
      <c r="J312" s="530"/>
      <c r="K312" s="530"/>
      <c r="L312" s="530"/>
      <c r="M312" s="530"/>
      <c r="N312" s="530"/>
      <c r="O312" s="530"/>
      <c r="P312" s="530"/>
      <c r="Q312" s="530"/>
      <c r="R312" s="530"/>
      <c r="S312" s="530"/>
      <c r="T312" s="530"/>
      <c r="U312" s="530"/>
      <c r="V312" s="530"/>
      <c r="W312" s="530"/>
      <c r="X312" s="733"/>
      <c r="Y312" s="716"/>
      <c r="Z312" s="716"/>
      <c r="AA312" s="716"/>
      <c r="AB312" s="716"/>
      <c r="AC312" s="716"/>
      <c r="AD312" s="716"/>
      <c r="AE312" s="716"/>
      <c r="AF312" s="716"/>
      <c r="AG312" s="716"/>
      <c r="AH312" s="716"/>
      <c r="AI312" s="716"/>
      <c r="AJ312" s="716"/>
      <c r="AK312" s="716"/>
      <c r="AL312" s="716"/>
      <c r="AM312" s="716"/>
      <c r="AN312" s="716"/>
      <c r="AO312" s="716"/>
      <c r="AP312" s="716"/>
      <c r="AQ312" s="716"/>
      <c r="AR312" s="716"/>
    </row>
    <row r="313">
      <c r="A313" s="716"/>
      <c r="B313" s="530"/>
      <c r="C313" s="530"/>
      <c r="D313" s="530"/>
      <c r="E313" s="530"/>
      <c r="F313" s="530"/>
      <c r="G313" s="530"/>
      <c r="H313" s="530"/>
      <c r="I313" s="530"/>
      <c r="J313" s="530"/>
      <c r="K313" s="530"/>
      <c r="L313" s="530"/>
      <c r="M313" s="530"/>
      <c r="N313" s="530"/>
      <c r="O313" s="530"/>
      <c r="P313" s="530"/>
      <c r="Q313" s="530"/>
      <c r="R313" s="530"/>
      <c r="S313" s="530"/>
      <c r="T313" s="530"/>
      <c r="U313" s="530"/>
      <c r="V313" s="530"/>
      <c r="W313" s="530"/>
      <c r="X313" s="733"/>
      <c r="Y313" s="716"/>
      <c r="Z313" s="716"/>
      <c r="AA313" s="716"/>
      <c r="AB313" s="716"/>
      <c r="AC313" s="716"/>
      <c r="AD313" s="716"/>
      <c r="AE313" s="716"/>
      <c r="AF313" s="716"/>
      <c r="AG313" s="716"/>
      <c r="AH313" s="716"/>
      <c r="AI313" s="716"/>
      <c r="AJ313" s="716"/>
      <c r="AK313" s="716"/>
      <c r="AL313" s="716"/>
      <c r="AM313" s="716"/>
      <c r="AN313" s="716"/>
      <c r="AO313" s="716"/>
      <c r="AP313" s="716"/>
      <c r="AQ313" s="716"/>
      <c r="AR313" s="716"/>
    </row>
    <row r="314">
      <c r="A314" s="716"/>
      <c r="B314" s="530"/>
      <c r="C314" s="530"/>
      <c r="D314" s="530"/>
      <c r="E314" s="530"/>
      <c r="F314" s="530"/>
      <c r="G314" s="530"/>
      <c r="H314" s="530"/>
      <c r="I314" s="530"/>
      <c r="J314" s="530"/>
      <c r="K314" s="530"/>
      <c r="L314" s="530"/>
      <c r="M314" s="530"/>
      <c r="N314" s="530"/>
      <c r="O314" s="530"/>
      <c r="P314" s="530"/>
      <c r="Q314" s="530"/>
      <c r="R314" s="530"/>
      <c r="S314" s="530"/>
      <c r="T314" s="530"/>
      <c r="U314" s="530"/>
      <c r="V314" s="530"/>
      <c r="W314" s="530"/>
      <c r="X314" s="733"/>
      <c r="Y314" s="716"/>
      <c r="Z314" s="716"/>
      <c r="AA314" s="716"/>
      <c r="AB314" s="716"/>
      <c r="AC314" s="716"/>
      <c r="AD314" s="716"/>
      <c r="AE314" s="716"/>
      <c r="AF314" s="716"/>
      <c r="AG314" s="716"/>
      <c r="AH314" s="716"/>
      <c r="AI314" s="716"/>
      <c r="AJ314" s="716"/>
      <c r="AK314" s="716"/>
      <c r="AL314" s="716"/>
      <c r="AM314" s="716"/>
      <c r="AN314" s="716"/>
      <c r="AO314" s="716"/>
      <c r="AP314" s="716"/>
      <c r="AQ314" s="716"/>
      <c r="AR314" s="716"/>
    </row>
    <row r="315">
      <c r="A315" s="716"/>
      <c r="B315" s="530"/>
      <c r="C315" s="530"/>
      <c r="D315" s="530"/>
      <c r="E315" s="530"/>
      <c r="F315" s="530"/>
      <c r="G315" s="530"/>
      <c r="H315" s="530"/>
      <c r="I315" s="530"/>
      <c r="J315" s="530"/>
      <c r="K315" s="530"/>
      <c r="L315" s="530"/>
      <c r="M315" s="530"/>
      <c r="N315" s="530"/>
      <c r="O315" s="530"/>
      <c r="P315" s="530"/>
      <c r="Q315" s="530"/>
      <c r="R315" s="530"/>
      <c r="S315" s="530"/>
      <c r="T315" s="530"/>
      <c r="U315" s="530"/>
      <c r="V315" s="530"/>
      <c r="W315" s="530"/>
      <c r="X315" s="733"/>
      <c r="Y315" s="716"/>
      <c r="Z315" s="716"/>
      <c r="AA315" s="716"/>
      <c r="AB315" s="716"/>
      <c r="AC315" s="716"/>
      <c r="AD315" s="716"/>
      <c r="AE315" s="716"/>
      <c r="AF315" s="716"/>
      <c r="AG315" s="716"/>
      <c r="AH315" s="716"/>
      <c r="AI315" s="716"/>
      <c r="AJ315" s="716"/>
      <c r="AK315" s="716"/>
      <c r="AL315" s="716"/>
      <c r="AM315" s="716"/>
      <c r="AN315" s="716"/>
      <c r="AO315" s="716"/>
      <c r="AP315" s="716"/>
      <c r="AQ315" s="716"/>
      <c r="AR315" s="716"/>
    </row>
    <row r="316">
      <c r="A316" s="716"/>
      <c r="B316" s="530"/>
      <c r="C316" s="530"/>
      <c r="D316" s="530"/>
      <c r="E316" s="530"/>
      <c r="F316" s="530"/>
      <c r="G316" s="530"/>
      <c r="H316" s="530"/>
      <c r="I316" s="530"/>
      <c r="J316" s="530"/>
      <c r="K316" s="530"/>
      <c r="L316" s="530"/>
      <c r="M316" s="530"/>
      <c r="N316" s="530"/>
      <c r="O316" s="530"/>
      <c r="P316" s="530"/>
      <c r="Q316" s="530"/>
      <c r="R316" s="530"/>
      <c r="S316" s="530"/>
      <c r="T316" s="530"/>
      <c r="U316" s="530"/>
      <c r="V316" s="530"/>
      <c r="W316" s="530"/>
      <c r="X316" s="733"/>
      <c r="Y316" s="716"/>
      <c r="Z316" s="716"/>
      <c r="AA316" s="716"/>
      <c r="AB316" s="716"/>
      <c r="AC316" s="716"/>
      <c r="AD316" s="716"/>
      <c r="AE316" s="716"/>
      <c r="AF316" s="716"/>
      <c r="AG316" s="716"/>
      <c r="AH316" s="716"/>
      <c r="AI316" s="716"/>
      <c r="AJ316" s="716"/>
      <c r="AK316" s="716"/>
      <c r="AL316" s="716"/>
      <c r="AM316" s="716"/>
      <c r="AN316" s="716"/>
      <c r="AO316" s="716"/>
      <c r="AP316" s="716"/>
      <c r="AQ316" s="716"/>
      <c r="AR316" s="716"/>
    </row>
    <row r="317">
      <c r="A317" s="716"/>
      <c r="B317" s="530"/>
      <c r="C317" s="530"/>
      <c r="D317" s="530"/>
      <c r="E317" s="530"/>
      <c r="F317" s="530"/>
      <c r="G317" s="530"/>
      <c r="H317" s="530"/>
      <c r="I317" s="530"/>
      <c r="J317" s="530"/>
      <c r="K317" s="530"/>
      <c r="L317" s="530"/>
      <c r="M317" s="530"/>
      <c r="N317" s="530"/>
      <c r="O317" s="530"/>
      <c r="P317" s="530"/>
      <c r="Q317" s="530"/>
      <c r="R317" s="530"/>
      <c r="S317" s="530"/>
      <c r="T317" s="530"/>
      <c r="U317" s="530"/>
      <c r="V317" s="530"/>
      <c r="W317" s="530"/>
      <c r="X317" s="733"/>
      <c r="Y317" s="716"/>
      <c r="Z317" s="716"/>
      <c r="AA317" s="716"/>
      <c r="AB317" s="716"/>
      <c r="AC317" s="716"/>
      <c r="AD317" s="716"/>
      <c r="AE317" s="716"/>
      <c r="AF317" s="716"/>
      <c r="AG317" s="716"/>
      <c r="AH317" s="716"/>
      <c r="AI317" s="716"/>
      <c r="AJ317" s="716"/>
      <c r="AK317" s="716"/>
      <c r="AL317" s="716"/>
      <c r="AM317" s="716"/>
      <c r="AN317" s="716"/>
      <c r="AO317" s="716"/>
      <c r="AP317" s="716"/>
      <c r="AQ317" s="716"/>
      <c r="AR317" s="716"/>
    </row>
    <row r="318">
      <c r="A318" s="716"/>
      <c r="B318" s="530"/>
      <c r="C318" s="530"/>
      <c r="D318" s="530"/>
      <c r="E318" s="530"/>
      <c r="F318" s="530"/>
      <c r="G318" s="530"/>
      <c r="H318" s="530"/>
      <c r="I318" s="530"/>
      <c r="J318" s="530"/>
      <c r="K318" s="530"/>
      <c r="L318" s="530"/>
      <c r="M318" s="530"/>
      <c r="N318" s="530"/>
      <c r="O318" s="530"/>
      <c r="P318" s="530"/>
      <c r="Q318" s="530"/>
      <c r="R318" s="530"/>
      <c r="S318" s="530"/>
      <c r="T318" s="530"/>
      <c r="U318" s="530"/>
      <c r="V318" s="530"/>
      <c r="W318" s="530"/>
      <c r="X318" s="733"/>
      <c r="Y318" s="716"/>
      <c r="Z318" s="716"/>
      <c r="AA318" s="716"/>
      <c r="AB318" s="716"/>
      <c r="AC318" s="716"/>
      <c r="AD318" s="716"/>
      <c r="AE318" s="716"/>
      <c r="AF318" s="716"/>
      <c r="AG318" s="716"/>
      <c r="AH318" s="716"/>
      <c r="AI318" s="716"/>
      <c r="AJ318" s="716"/>
      <c r="AK318" s="716"/>
      <c r="AL318" s="716"/>
      <c r="AM318" s="716"/>
      <c r="AN318" s="716"/>
      <c r="AO318" s="716"/>
      <c r="AP318" s="716"/>
      <c r="AQ318" s="716"/>
      <c r="AR318" s="716"/>
    </row>
    <row r="319">
      <c r="A319" s="716"/>
      <c r="B319" s="530"/>
      <c r="C319" s="530"/>
      <c r="D319" s="530"/>
      <c r="E319" s="530"/>
      <c r="F319" s="530"/>
      <c r="G319" s="530"/>
      <c r="H319" s="530"/>
      <c r="I319" s="530"/>
      <c r="J319" s="530"/>
      <c r="K319" s="530"/>
      <c r="L319" s="530"/>
      <c r="M319" s="530"/>
      <c r="N319" s="530"/>
      <c r="O319" s="530"/>
      <c r="P319" s="530"/>
      <c r="Q319" s="530"/>
      <c r="R319" s="530"/>
      <c r="S319" s="530"/>
      <c r="T319" s="530"/>
      <c r="U319" s="530"/>
      <c r="V319" s="530"/>
      <c r="W319" s="530"/>
      <c r="X319" s="733"/>
      <c r="Y319" s="716"/>
      <c r="Z319" s="716"/>
      <c r="AA319" s="716"/>
      <c r="AB319" s="716"/>
      <c r="AC319" s="716"/>
      <c r="AD319" s="716"/>
      <c r="AE319" s="716"/>
      <c r="AF319" s="716"/>
      <c r="AG319" s="716"/>
      <c r="AH319" s="716"/>
      <c r="AI319" s="716"/>
      <c r="AJ319" s="716"/>
      <c r="AK319" s="716"/>
      <c r="AL319" s="716"/>
      <c r="AM319" s="716"/>
      <c r="AN319" s="716"/>
      <c r="AO319" s="716"/>
      <c r="AP319" s="716"/>
      <c r="AQ319" s="716"/>
      <c r="AR319" s="716"/>
    </row>
    <row r="320">
      <c r="A320" s="716"/>
      <c r="B320" s="530"/>
      <c r="C320" s="530"/>
      <c r="D320" s="530"/>
      <c r="E320" s="530"/>
      <c r="F320" s="530"/>
      <c r="G320" s="530"/>
      <c r="H320" s="530"/>
      <c r="I320" s="530"/>
      <c r="J320" s="530"/>
      <c r="K320" s="530"/>
      <c r="L320" s="530"/>
      <c r="M320" s="530"/>
      <c r="N320" s="530"/>
      <c r="O320" s="530"/>
      <c r="P320" s="530"/>
      <c r="Q320" s="530"/>
      <c r="R320" s="530"/>
      <c r="S320" s="530"/>
      <c r="T320" s="530"/>
      <c r="U320" s="530"/>
      <c r="V320" s="530"/>
      <c r="W320" s="530"/>
      <c r="X320" s="733"/>
      <c r="Y320" s="716"/>
      <c r="Z320" s="716"/>
      <c r="AA320" s="716"/>
      <c r="AB320" s="716"/>
      <c r="AC320" s="716"/>
      <c r="AD320" s="716"/>
      <c r="AE320" s="716"/>
      <c r="AF320" s="716"/>
      <c r="AG320" s="716"/>
      <c r="AH320" s="716"/>
      <c r="AI320" s="716"/>
      <c r="AJ320" s="716"/>
      <c r="AK320" s="716"/>
      <c r="AL320" s="716"/>
      <c r="AM320" s="716"/>
      <c r="AN320" s="716"/>
      <c r="AO320" s="716"/>
      <c r="AP320" s="716"/>
      <c r="AQ320" s="716"/>
      <c r="AR320" s="716"/>
    </row>
    <row r="321">
      <c r="A321" s="716"/>
      <c r="B321" s="530"/>
      <c r="C321" s="530"/>
      <c r="D321" s="530"/>
      <c r="E321" s="530"/>
      <c r="F321" s="530"/>
      <c r="G321" s="530"/>
      <c r="H321" s="530"/>
      <c r="I321" s="530"/>
      <c r="J321" s="530"/>
      <c r="K321" s="530"/>
      <c r="L321" s="530"/>
      <c r="M321" s="530"/>
      <c r="N321" s="530"/>
      <c r="O321" s="530"/>
      <c r="P321" s="530"/>
      <c r="Q321" s="530"/>
      <c r="R321" s="530"/>
      <c r="S321" s="530"/>
      <c r="T321" s="530"/>
      <c r="U321" s="530"/>
      <c r="V321" s="530"/>
      <c r="W321" s="530"/>
      <c r="X321" s="733"/>
      <c r="Y321" s="716"/>
      <c r="Z321" s="716"/>
      <c r="AA321" s="716"/>
      <c r="AB321" s="716"/>
      <c r="AC321" s="716"/>
      <c r="AD321" s="716"/>
      <c r="AE321" s="716"/>
      <c r="AF321" s="716"/>
      <c r="AG321" s="716"/>
      <c r="AH321" s="716"/>
      <c r="AI321" s="716"/>
      <c r="AJ321" s="716"/>
      <c r="AK321" s="716"/>
      <c r="AL321" s="716"/>
      <c r="AM321" s="716"/>
      <c r="AN321" s="716"/>
      <c r="AO321" s="716"/>
      <c r="AP321" s="716"/>
      <c r="AQ321" s="716"/>
      <c r="AR321" s="716"/>
    </row>
    <row r="322">
      <c r="A322" s="716"/>
      <c r="B322" s="530"/>
      <c r="C322" s="530"/>
      <c r="D322" s="530"/>
      <c r="E322" s="530"/>
      <c r="F322" s="530"/>
      <c r="G322" s="530"/>
      <c r="H322" s="530"/>
      <c r="I322" s="530"/>
      <c r="J322" s="530"/>
      <c r="K322" s="530"/>
      <c r="L322" s="530"/>
      <c r="M322" s="530"/>
      <c r="N322" s="530"/>
      <c r="O322" s="530"/>
      <c r="P322" s="530"/>
      <c r="Q322" s="530"/>
      <c r="R322" s="530"/>
      <c r="S322" s="530"/>
      <c r="T322" s="530"/>
      <c r="U322" s="530"/>
      <c r="V322" s="530"/>
      <c r="W322" s="530"/>
      <c r="X322" s="733"/>
      <c r="Y322" s="716"/>
      <c r="Z322" s="716"/>
      <c r="AA322" s="716"/>
      <c r="AB322" s="716"/>
      <c r="AC322" s="716"/>
      <c r="AD322" s="716"/>
      <c r="AE322" s="716"/>
      <c r="AF322" s="716"/>
      <c r="AG322" s="716"/>
      <c r="AH322" s="716"/>
      <c r="AI322" s="716"/>
      <c r="AJ322" s="716"/>
      <c r="AK322" s="716"/>
      <c r="AL322" s="716"/>
      <c r="AM322" s="716"/>
      <c r="AN322" s="716"/>
      <c r="AO322" s="716"/>
      <c r="AP322" s="716"/>
      <c r="AQ322" s="716"/>
      <c r="AR322" s="716"/>
    </row>
    <row r="323">
      <c r="A323" s="716"/>
      <c r="B323" s="530"/>
      <c r="C323" s="530"/>
      <c r="D323" s="530"/>
      <c r="E323" s="530"/>
      <c r="F323" s="530"/>
      <c r="G323" s="530"/>
      <c r="H323" s="530"/>
      <c r="I323" s="530"/>
      <c r="J323" s="530"/>
      <c r="K323" s="530"/>
      <c r="L323" s="530"/>
      <c r="M323" s="530"/>
      <c r="N323" s="530"/>
      <c r="O323" s="530"/>
      <c r="P323" s="530"/>
      <c r="Q323" s="530"/>
      <c r="R323" s="530"/>
      <c r="S323" s="530"/>
      <c r="T323" s="530"/>
      <c r="U323" s="530"/>
      <c r="V323" s="530"/>
      <c r="W323" s="530"/>
      <c r="X323" s="733"/>
      <c r="Y323" s="716"/>
      <c r="Z323" s="716"/>
      <c r="AA323" s="716"/>
      <c r="AB323" s="716"/>
      <c r="AC323" s="716"/>
      <c r="AD323" s="716"/>
      <c r="AE323" s="716"/>
      <c r="AF323" s="716"/>
      <c r="AG323" s="716"/>
      <c r="AH323" s="716"/>
      <c r="AI323" s="716"/>
      <c r="AJ323" s="716"/>
      <c r="AK323" s="716"/>
      <c r="AL323" s="716"/>
      <c r="AM323" s="716"/>
      <c r="AN323" s="716"/>
      <c r="AO323" s="716"/>
      <c r="AP323" s="716"/>
      <c r="AQ323" s="716"/>
      <c r="AR323" s="716"/>
    </row>
    <row r="324">
      <c r="A324" s="716"/>
      <c r="B324" s="530"/>
      <c r="C324" s="530"/>
      <c r="D324" s="530"/>
      <c r="E324" s="530"/>
      <c r="F324" s="530"/>
      <c r="G324" s="530"/>
      <c r="H324" s="530"/>
      <c r="I324" s="530"/>
      <c r="J324" s="530"/>
      <c r="K324" s="530"/>
      <c r="L324" s="530"/>
      <c r="M324" s="530"/>
      <c r="N324" s="530"/>
      <c r="O324" s="530"/>
      <c r="P324" s="530"/>
      <c r="Q324" s="530"/>
      <c r="R324" s="530"/>
      <c r="S324" s="530"/>
      <c r="T324" s="530"/>
      <c r="U324" s="530"/>
      <c r="V324" s="530"/>
      <c r="W324" s="530"/>
      <c r="X324" s="733"/>
      <c r="Y324" s="716"/>
      <c r="Z324" s="716"/>
      <c r="AA324" s="716"/>
      <c r="AB324" s="716"/>
      <c r="AC324" s="716"/>
      <c r="AD324" s="716"/>
      <c r="AE324" s="716"/>
      <c r="AF324" s="716"/>
      <c r="AG324" s="716"/>
      <c r="AH324" s="716"/>
      <c r="AI324" s="716"/>
      <c r="AJ324" s="716"/>
      <c r="AK324" s="716"/>
      <c r="AL324" s="716"/>
      <c r="AM324" s="716"/>
      <c r="AN324" s="716"/>
      <c r="AO324" s="716"/>
      <c r="AP324" s="716"/>
      <c r="AQ324" s="716"/>
      <c r="AR324" s="716"/>
    </row>
    <row r="325">
      <c r="A325" s="716"/>
      <c r="B325" s="530"/>
      <c r="C325" s="530"/>
      <c r="D325" s="530"/>
      <c r="E325" s="530"/>
      <c r="F325" s="530"/>
      <c r="G325" s="530"/>
      <c r="H325" s="530"/>
      <c r="I325" s="530"/>
      <c r="J325" s="530"/>
      <c r="K325" s="530"/>
      <c r="L325" s="530"/>
      <c r="M325" s="530"/>
      <c r="N325" s="530"/>
      <c r="O325" s="530"/>
      <c r="P325" s="530"/>
      <c r="Q325" s="530"/>
      <c r="R325" s="530"/>
      <c r="S325" s="530"/>
      <c r="T325" s="530"/>
      <c r="U325" s="530"/>
      <c r="V325" s="530"/>
      <c r="W325" s="530"/>
      <c r="X325" s="733"/>
      <c r="Y325" s="716"/>
      <c r="Z325" s="716"/>
      <c r="AA325" s="716"/>
      <c r="AB325" s="716"/>
      <c r="AC325" s="716"/>
      <c r="AD325" s="716"/>
      <c r="AE325" s="716"/>
      <c r="AF325" s="716"/>
      <c r="AG325" s="716"/>
      <c r="AH325" s="716"/>
      <c r="AI325" s="716"/>
      <c r="AJ325" s="716"/>
      <c r="AK325" s="716"/>
      <c r="AL325" s="716"/>
      <c r="AM325" s="716"/>
      <c r="AN325" s="716"/>
      <c r="AO325" s="716"/>
      <c r="AP325" s="716"/>
      <c r="AQ325" s="716"/>
      <c r="AR325" s="716"/>
    </row>
    <row r="326">
      <c r="A326" s="716"/>
      <c r="B326" s="530"/>
      <c r="C326" s="530"/>
      <c r="D326" s="530"/>
      <c r="E326" s="530"/>
      <c r="F326" s="530"/>
      <c r="G326" s="530"/>
      <c r="H326" s="530"/>
      <c r="I326" s="530"/>
      <c r="J326" s="530"/>
      <c r="K326" s="530"/>
      <c r="L326" s="530"/>
      <c r="M326" s="530"/>
      <c r="N326" s="530"/>
      <c r="O326" s="530"/>
      <c r="P326" s="530"/>
      <c r="Q326" s="530"/>
      <c r="R326" s="530"/>
      <c r="S326" s="530"/>
      <c r="T326" s="530"/>
      <c r="U326" s="530"/>
      <c r="V326" s="530"/>
      <c r="W326" s="530"/>
      <c r="X326" s="733"/>
      <c r="Y326" s="716"/>
      <c r="Z326" s="716"/>
      <c r="AA326" s="716"/>
      <c r="AB326" s="716"/>
      <c r="AC326" s="716"/>
      <c r="AD326" s="716"/>
      <c r="AE326" s="716"/>
      <c r="AF326" s="716"/>
      <c r="AG326" s="716"/>
      <c r="AH326" s="716"/>
      <c r="AI326" s="716"/>
      <c r="AJ326" s="716"/>
      <c r="AK326" s="716"/>
      <c r="AL326" s="716"/>
      <c r="AM326" s="716"/>
      <c r="AN326" s="716"/>
      <c r="AO326" s="716"/>
      <c r="AP326" s="716"/>
      <c r="AQ326" s="716"/>
      <c r="AR326" s="716"/>
    </row>
    <row r="327">
      <c r="A327" s="716"/>
      <c r="B327" s="530"/>
      <c r="C327" s="530"/>
      <c r="D327" s="530"/>
      <c r="E327" s="530"/>
      <c r="F327" s="530"/>
      <c r="G327" s="530"/>
      <c r="H327" s="530"/>
      <c r="I327" s="530"/>
      <c r="J327" s="530"/>
      <c r="K327" s="530"/>
      <c r="L327" s="530"/>
      <c r="M327" s="530"/>
      <c r="N327" s="530"/>
      <c r="O327" s="530"/>
      <c r="P327" s="530"/>
      <c r="Q327" s="530"/>
      <c r="R327" s="530"/>
      <c r="S327" s="530"/>
      <c r="T327" s="530"/>
      <c r="U327" s="530"/>
      <c r="V327" s="530"/>
      <c r="W327" s="530"/>
      <c r="X327" s="733"/>
      <c r="Y327" s="716"/>
      <c r="Z327" s="716"/>
      <c r="AA327" s="716"/>
      <c r="AB327" s="716"/>
      <c r="AC327" s="716"/>
      <c r="AD327" s="716"/>
      <c r="AE327" s="716"/>
      <c r="AF327" s="716"/>
      <c r="AG327" s="716"/>
      <c r="AH327" s="716"/>
      <c r="AI327" s="716"/>
      <c r="AJ327" s="716"/>
      <c r="AK327" s="716"/>
      <c r="AL327" s="716"/>
      <c r="AM327" s="716"/>
      <c r="AN327" s="716"/>
      <c r="AO327" s="716"/>
      <c r="AP327" s="716"/>
      <c r="AQ327" s="716"/>
      <c r="AR327" s="716"/>
    </row>
    <row r="328">
      <c r="A328" s="716"/>
      <c r="B328" s="530"/>
      <c r="C328" s="530"/>
      <c r="D328" s="530"/>
      <c r="E328" s="530"/>
      <c r="F328" s="530"/>
      <c r="G328" s="530"/>
      <c r="H328" s="530"/>
      <c r="I328" s="530"/>
      <c r="J328" s="530"/>
      <c r="K328" s="530"/>
      <c r="L328" s="530"/>
      <c r="M328" s="530"/>
      <c r="N328" s="530"/>
      <c r="O328" s="530"/>
      <c r="P328" s="530"/>
      <c r="Q328" s="530"/>
      <c r="R328" s="530"/>
      <c r="S328" s="530"/>
      <c r="T328" s="530"/>
      <c r="U328" s="530"/>
      <c r="V328" s="530"/>
      <c r="W328" s="530"/>
      <c r="X328" s="733"/>
      <c r="Y328" s="716"/>
      <c r="Z328" s="716"/>
      <c r="AA328" s="716"/>
      <c r="AB328" s="716"/>
      <c r="AC328" s="716"/>
      <c r="AD328" s="716"/>
      <c r="AE328" s="716"/>
      <c r="AF328" s="716"/>
      <c r="AG328" s="716"/>
      <c r="AH328" s="716"/>
      <c r="AI328" s="716"/>
      <c r="AJ328" s="716"/>
      <c r="AK328" s="716"/>
      <c r="AL328" s="716"/>
      <c r="AM328" s="716"/>
      <c r="AN328" s="716"/>
      <c r="AO328" s="716"/>
      <c r="AP328" s="716"/>
      <c r="AQ328" s="716"/>
      <c r="AR328" s="716"/>
    </row>
    <row r="329">
      <c r="A329" s="716"/>
      <c r="B329" s="530"/>
      <c r="C329" s="530"/>
      <c r="D329" s="530"/>
      <c r="E329" s="530"/>
      <c r="F329" s="530"/>
      <c r="G329" s="530"/>
      <c r="H329" s="530"/>
      <c r="I329" s="530"/>
      <c r="J329" s="530"/>
      <c r="K329" s="530"/>
      <c r="L329" s="530"/>
      <c r="M329" s="530"/>
      <c r="N329" s="530"/>
      <c r="O329" s="530"/>
      <c r="P329" s="530"/>
      <c r="Q329" s="530"/>
      <c r="R329" s="530"/>
      <c r="S329" s="530"/>
      <c r="T329" s="530"/>
      <c r="U329" s="530"/>
      <c r="V329" s="530"/>
      <c r="W329" s="530"/>
      <c r="X329" s="733"/>
      <c r="Y329" s="716"/>
      <c r="Z329" s="716"/>
      <c r="AA329" s="716"/>
      <c r="AB329" s="716"/>
      <c r="AC329" s="716"/>
      <c r="AD329" s="716"/>
      <c r="AE329" s="716"/>
      <c r="AF329" s="716"/>
      <c r="AG329" s="716"/>
      <c r="AH329" s="716"/>
      <c r="AI329" s="716"/>
      <c r="AJ329" s="716"/>
      <c r="AK329" s="716"/>
      <c r="AL329" s="716"/>
      <c r="AM329" s="716"/>
      <c r="AN329" s="716"/>
      <c r="AO329" s="716"/>
      <c r="AP329" s="716"/>
      <c r="AQ329" s="716"/>
      <c r="AR329" s="716"/>
    </row>
    <row r="330">
      <c r="A330" s="716"/>
      <c r="B330" s="530"/>
      <c r="C330" s="530"/>
      <c r="D330" s="530"/>
      <c r="E330" s="530"/>
      <c r="F330" s="530"/>
      <c r="G330" s="530"/>
      <c r="H330" s="530"/>
      <c r="I330" s="530"/>
      <c r="J330" s="530"/>
      <c r="K330" s="530"/>
      <c r="L330" s="530"/>
      <c r="M330" s="530"/>
      <c r="N330" s="530"/>
      <c r="O330" s="530"/>
      <c r="P330" s="530"/>
      <c r="Q330" s="530"/>
      <c r="R330" s="530"/>
      <c r="S330" s="530"/>
      <c r="T330" s="530"/>
      <c r="U330" s="530"/>
      <c r="V330" s="530"/>
      <c r="W330" s="530"/>
      <c r="X330" s="733"/>
      <c r="Y330" s="716"/>
      <c r="Z330" s="716"/>
      <c r="AA330" s="716"/>
      <c r="AB330" s="716"/>
      <c r="AC330" s="716"/>
      <c r="AD330" s="716"/>
      <c r="AE330" s="716"/>
      <c r="AF330" s="716"/>
      <c r="AG330" s="716"/>
      <c r="AH330" s="716"/>
      <c r="AI330" s="716"/>
      <c r="AJ330" s="716"/>
      <c r="AK330" s="716"/>
      <c r="AL330" s="716"/>
      <c r="AM330" s="716"/>
      <c r="AN330" s="716"/>
      <c r="AO330" s="716"/>
      <c r="AP330" s="716"/>
      <c r="AQ330" s="716"/>
      <c r="AR330" s="716"/>
    </row>
    <row r="331">
      <c r="A331" s="716"/>
      <c r="B331" s="530"/>
      <c r="C331" s="530"/>
      <c r="D331" s="530"/>
      <c r="E331" s="530"/>
      <c r="F331" s="530"/>
      <c r="G331" s="530"/>
      <c r="H331" s="530"/>
      <c r="I331" s="530"/>
      <c r="J331" s="530"/>
      <c r="K331" s="530"/>
      <c r="L331" s="530"/>
      <c r="M331" s="530"/>
      <c r="N331" s="530"/>
      <c r="O331" s="530"/>
      <c r="P331" s="530"/>
      <c r="Q331" s="530"/>
      <c r="R331" s="530"/>
      <c r="S331" s="530"/>
      <c r="T331" s="530"/>
      <c r="U331" s="530"/>
      <c r="V331" s="530"/>
      <c r="W331" s="530"/>
      <c r="X331" s="733"/>
      <c r="Y331" s="716"/>
      <c r="Z331" s="716"/>
      <c r="AA331" s="716"/>
      <c r="AB331" s="716"/>
      <c r="AC331" s="716"/>
      <c r="AD331" s="716"/>
      <c r="AE331" s="716"/>
      <c r="AF331" s="716"/>
      <c r="AG331" s="716"/>
      <c r="AH331" s="716"/>
      <c r="AI331" s="716"/>
      <c r="AJ331" s="716"/>
      <c r="AK331" s="716"/>
      <c r="AL331" s="716"/>
      <c r="AM331" s="716"/>
      <c r="AN331" s="716"/>
      <c r="AO331" s="716"/>
      <c r="AP331" s="716"/>
      <c r="AQ331" s="716"/>
      <c r="AR331" s="716"/>
    </row>
    <row r="332">
      <c r="A332" s="716"/>
      <c r="B332" s="530"/>
      <c r="C332" s="530"/>
      <c r="D332" s="530"/>
      <c r="E332" s="530"/>
      <c r="F332" s="530"/>
      <c r="G332" s="530"/>
      <c r="H332" s="530"/>
      <c r="I332" s="530"/>
      <c r="J332" s="530"/>
      <c r="K332" s="530"/>
      <c r="L332" s="530"/>
      <c r="M332" s="530"/>
      <c r="N332" s="530"/>
      <c r="O332" s="530"/>
      <c r="P332" s="530"/>
      <c r="Q332" s="530"/>
      <c r="R332" s="530"/>
      <c r="S332" s="530"/>
      <c r="T332" s="530"/>
      <c r="U332" s="530"/>
      <c r="V332" s="530"/>
      <c r="W332" s="530"/>
      <c r="X332" s="733"/>
      <c r="Y332" s="716"/>
      <c r="Z332" s="716"/>
      <c r="AA332" s="716"/>
      <c r="AB332" s="716"/>
      <c r="AC332" s="716"/>
      <c r="AD332" s="716"/>
      <c r="AE332" s="716"/>
      <c r="AF332" s="716"/>
      <c r="AG332" s="716"/>
      <c r="AH332" s="716"/>
      <c r="AI332" s="716"/>
      <c r="AJ332" s="716"/>
      <c r="AK332" s="716"/>
      <c r="AL332" s="716"/>
      <c r="AM332" s="716"/>
      <c r="AN332" s="716"/>
      <c r="AO332" s="716"/>
      <c r="AP332" s="716"/>
      <c r="AQ332" s="716"/>
      <c r="AR332" s="716"/>
    </row>
    <row r="333">
      <c r="A333" s="716"/>
      <c r="B333" s="530"/>
      <c r="C333" s="530"/>
      <c r="D333" s="530"/>
      <c r="E333" s="530"/>
      <c r="F333" s="530"/>
      <c r="G333" s="530"/>
      <c r="H333" s="530"/>
      <c r="I333" s="530"/>
      <c r="J333" s="530"/>
      <c r="K333" s="530"/>
      <c r="L333" s="530"/>
      <c r="M333" s="530"/>
      <c r="N333" s="530"/>
      <c r="O333" s="530"/>
      <c r="P333" s="530"/>
      <c r="Q333" s="530"/>
      <c r="R333" s="530"/>
      <c r="S333" s="530"/>
      <c r="T333" s="530"/>
      <c r="U333" s="530"/>
      <c r="V333" s="530"/>
      <c r="W333" s="530"/>
      <c r="X333" s="733"/>
      <c r="Y333" s="716"/>
      <c r="Z333" s="716"/>
      <c r="AA333" s="716"/>
      <c r="AB333" s="716"/>
      <c r="AC333" s="716"/>
      <c r="AD333" s="716"/>
      <c r="AE333" s="716"/>
      <c r="AF333" s="716"/>
      <c r="AG333" s="716"/>
      <c r="AH333" s="716"/>
      <c r="AI333" s="716"/>
      <c r="AJ333" s="716"/>
      <c r="AK333" s="716"/>
      <c r="AL333" s="716"/>
      <c r="AM333" s="716"/>
      <c r="AN333" s="716"/>
      <c r="AO333" s="716"/>
      <c r="AP333" s="716"/>
      <c r="AQ333" s="716"/>
      <c r="AR333" s="716"/>
    </row>
    <row r="334">
      <c r="A334" s="716"/>
      <c r="B334" s="530"/>
      <c r="C334" s="530"/>
      <c r="D334" s="530"/>
      <c r="E334" s="530"/>
      <c r="F334" s="530"/>
      <c r="G334" s="530"/>
      <c r="H334" s="530"/>
      <c r="I334" s="530"/>
      <c r="J334" s="530"/>
      <c r="K334" s="530"/>
      <c r="L334" s="530"/>
      <c r="M334" s="530"/>
      <c r="N334" s="530"/>
      <c r="O334" s="530"/>
      <c r="P334" s="530"/>
      <c r="Q334" s="530"/>
      <c r="R334" s="530"/>
      <c r="S334" s="530"/>
      <c r="T334" s="530"/>
      <c r="U334" s="530"/>
      <c r="V334" s="530"/>
      <c r="W334" s="530"/>
      <c r="X334" s="733"/>
      <c r="Y334" s="716"/>
      <c r="Z334" s="716"/>
      <c r="AA334" s="716"/>
      <c r="AB334" s="716"/>
      <c r="AC334" s="716"/>
      <c r="AD334" s="716"/>
      <c r="AE334" s="716"/>
      <c r="AF334" s="716"/>
      <c r="AG334" s="716"/>
      <c r="AH334" s="716"/>
      <c r="AI334" s="716"/>
      <c r="AJ334" s="716"/>
      <c r="AK334" s="716"/>
      <c r="AL334" s="716"/>
      <c r="AM334" s="716"/>
      <c r="AN334" s="716"/>
      <c r="AO334" s="716"/>
      <c r="AP334" s="716"/>
      <c r="AQ334" s="716"/>
      <c r="AR334" s="716"/>
    </row>
    <row r="335">
      <c r="A335" s="716"/>
      <c r="B335" s="530"/>
      <c r="C335" s="530"/>
      <c r="D335" s="530"/>
      <c r="E335" s="530"/>
      <c r="F335" s="530"/>
      <c r="G335" s="530"/>
      <c r="H335" s="530"/>
      <c r="I335" s="530"/>
      <c r="J335" s="530"/>
      <c r="K335" s="530"/>
      <c r="L335" s="530"/>
      <c r="M335" s="530"/>
      <c r="N335" s="530"/>
      <c r="O335" s="530"/>
      <c r="P335" s="530"/>
      <c r="Q335" s="530"/>
      <c r="R335" s="530"/>
      <c r="S335" s="530"/>
      <c r="T335" s="530"/>
      <c r="U335" s="530"/>
      <c r="V335" s="530"/>
      <c r="W335" s="530"/>
      <c r="X335" s="733"/>
      <c r="Y335" s="716"/>
      <c r="Z335" s="716"/>
      <c r="AA335" s="716"/>
      <c r="AB335" s="716"/>
      <c r="AC335" s="716"/>
      <c r="AD335" s="716"/>
      <c r="AE335" s="716"/>
      <c r="AF335" s="716"/>
      <c r="AG335" s="716"/>
      <c r="AH335" s="716"/>
      <c r="AI335" s="716"/>
      <c r="AJ335" s="716"/>
      <c r="AK335" s="716"/>
      <c r="AL335" s="716"/>
      <c r="AM335" s="716"/>
      <c r="AN335" s="716"/>
      <c r="AO335" s="716"/>
      <c r="AP335" s="716"/>
      <c r="AQ335" s="716"/>
      <c r="AR335" s="716"/>
    </row>
    <row r="336">
      <c r="A336" s="716"/>
      <c r="B336" s="530"/>
      <c r="C336" s="530"/>
      <c r="D336" s="530"/>
      <c r="E336" s="530"/>
      <c r="F336" s="530"/>
      <c r="G336" s="530"/>
      <c r="H336" s="530"/>
      <c r="I336" s="530"/>
      <c r="J336" s="530"/>
      <c r="K336" s="530"/>
      <c r="L336" s="530"/>
      <c r="M336" s="530"/>
      <c r="N336" s="530"/>
      <c r="O336" s="530"/>
      <c r="P336" s="530"/>
      <c r="Q336" s="530"/>
      <c r="R336" s="530"/>
      <c r="S336" s="530"/>
      <c r="T336" s="530"/>
      <c r="U336" s="530"/>
      <c r="V336" s="530"/>
      <c r="W336" s="530"/>
      <c r="X336" s="733"/>
      <c r="Y336" s="716"/>
      <c r="Z336" s="716"/>
      <c r="AA336" s="716"/>
      <c r="AB336" s="716"/>
      <c r="AC336" s="716"/>
      <c r="AD336" s="716"/>
      <c r="AE336" s="716"/>
      <c r="AF336" s="716"/>
      <c r="AG336" s="716"/>
      <c r="AH336" s="716"/>
      <c r="AI336" s="716"/>
      <c r="AJ336" s="716"/>
      <c r="AK336" s="716"/>
      <c r="AL336" s="716"/>
      <c r="AM336" s="716"/>
      <c r="AN336" s="716"/>
      <c r="AO336" s="716"/>
      <c r="AP336" s="716"/>
      <c r="AQ336" s="716"/>
      <c r="AR336" s="716"/>
    </row>
    <row r="337">
      <c r="A337" s="716"/>
      <c r="B337" s="530"/>
      <c r="C337" s="530"/>
      <c r="D337" s="530"/>
      <c r="E337" s="530"/>
      <c r="F337" s="530"/>
      <c r="G337" s="530"/>
      <c r="H337" s="530"/>
      <c r="I337" s="530"/>
      <c r="J337" s="530"/>
      <c r="K337" s="530"/>
      <c r="L337" s="530"/>
      <c r="M337" s="530"/>
      <c r="N337" s="530"/>
      <c r="O337" s="530"/>
      <c r="P337" s="530"/>
      <c r="Q337" s="530"/>
      <c r="R337" s="530"/>
      <c r="S337" s="530"/>
      <c r="T337" s="530"/>
      <c r="U337" s="530"/>
      <c r="V337" s="530"/>
      <c r="W337" s="530"/>
      <c r="X337" s="733"/>
      <c r="Y337" s="716"/>
      <c r="Z337" s="716"/>
      <c r="AA337" s="716"/>
      <c r="AB337" s="716"/>
      <c r="AC337" s="716"/>
      <c r="AD337" s="716"/>
      <c r="AE337" s="716"/>
      <c r="AF337" s="716"/>
      <c r="AG337" s="716"/>
      <c r="AH337" s="716"/>
      <c r="AI337" s="716"/>
      <c r="AJ337" s="716"/>
      <c r="AK337" s="716"/>
      <c r="AL337" s="716"/>
      <c r="AM337" s="716"/>
      <c r="AN337" s="716"/>
      <c r="AO337" s="716"/>
      <c r="AP337" s="716"/>
      <c r="AQ337" s="716"/>
      <c r="AR337" s="716"/>
    </row>
    <row r="338">
      <c r="A338" s="716"/>
      <c r="B338" s="530"/>
      <c r="C338" s="530"/>
      <c r="D338" s="530"/>
      <c r="E338" s="530"/>
      <c r="F338" s="530"/>
      <c r="G338" s="530"/>
      <c r="H338" s="530"/>
      <c r="I338" s="530"/>
      <c r="J338" s="530"/>
      <c r="K338" s="530"/>
      <c r="L338" s="530"/>
      <c r="M338" s="530"/>
      <c r="N338" s="530"/>
      <c r="O338" s="530"/>
      <c r="P338" s="530"/>
      <c r="Q338" s="530"/>
      <c r="R338" s="530"/>
      <c r="S338" s="530"/>
      <c r="T338" s="530"/>
      <c r="U338" s="530"/>
      <c r="V338" s="530"/>
      <c r="W338" s="530"/>
      <c r="X338" s="733"/>
      <c r="Y338" s="716"/>
      <c r="Z338" s="716"/>
      <c r="AA338" s="716"/>
      <c r="AB338" s="716"/>
      <c r="AC338" s="716"/>
      <c r="AD338" s="716"/>
      <c r="AE338" s="716"/>
      <c r="AF338" s="716"/>
      <c r="AG338" s="716"/>
      <c r="AH338" s="716"/>
      <c r="AI338" s="716"/>
      <c r="AJ338" s="716"/>
      <c r="AK338" s="716"/>
      <c r="AL338" s="716"/>
      <c r="AM338" s="716"/>
      <c r="AN338" s="716"/>
      <c r="AO338" s="716"/>
      <c r="AP338" s="716"/>
      <c r="AQ338" s="716"/>
      <c r="AR338" s="716"/>
    </row>
    <row r="339">
      <c r="A339" s="716"/>
      <c r="B339" s="530"/>
      <c r="C339" s="530"/>
      <c r="D339" s="530"/>
      <c r="E339" s="530"/>
      <c r="F339" s="530"/>
      <c r="G339" s="530"/>
      <c r="H339" s="530"/>
      <c r="I339" s="530"/>
      <c r="J339" s="530"/>
      <c r="K339" s="530"/>
      <c r="L339" s="530"/>
      <c r="M339" s="530"/>
      <c r="N339" s="530"/>
      <c r="O339" s="530"/>
      <c r="P339" s="530"/>
      <c r="Q339" s="530"/>
      <c r="R339" s="530"/>
      <c r="S339" s="530"/>
      <c r="T339" s="530"/>
      <c r="U339" s="530"/>
      <c r="V339" s="530"/>
      <c r="W339" s="530"/>
      <c r="X339" s="733"/>
      <c r="Y339" s="716"/>
      <c r="Z339" s="716"/>
      <c r="AA339" s="716"/>
      <c r="AB339" s="716"/>
      <c r="AC339" s="716"/>
      <c r="AD339" s="716"/>
      <c r="AE339" s="716"/>
      <c r="AF339" s="716"/>
      <c r="AG339" s="716"/>
      <c r="AH339" s="716"/>
      <c r="AI339" s="716"/>
      <c r="AJ339" s="716"/>
      <c r="AK339" s="716"/>
      <c r="AL339" s="716"/>
      <c r="AM339" s="716"/>
      <c r="AN339" s="716"/>
      <c r="AO339" s="716"/>
      <c r="AP339" s="716"/>
      <c r="AQ339" s="716"/>
      <c r="AR339" s="716"/>
    </row>
    <row r="340">
      <c r="A340" s="716"/>
      <c r="B340" s="530"/>
      <c r="C340" s="530"/>
      <c r="D340" s="530"/>
      <c r="E340" s="530"/>
      <c r="F340" s="530"/>
      <c r="G340" s="530"/>
      <c r="H340" s="530"/>
      <c r="I340" s="530"/>
      <c r="J340" s="530"/>
      <c r="K340" s="530"/>
      <c r="L340" s="530"/>
      <c r="M340" s="530"/>
      <c r="N340" s="530"/>
      <c r="O340" s="530"/>
      <c r="P340" s="530"/>
      <c r="Q340" s="530"/>
      <c r="R340" s="530"/>
      <c r="S340" s="530"/>
      <c r="T340" s="530"/>
      <c r="U340" s="530"/>
      <c r="V340" s="530"/>
      <c r="W340" s="530"/>
      <c r="X340" s="733"/>
      <c r="Y340" s="716"/>
      <c r="Z340" s="716"/>
      <c r="AA340" s="716"/>
      <c r="AB340" s="716"/>
      <c r="AC340" s="716"/>
      <c r="AD340" s="716"/>
      <c r="AE340" s="716"/>
      <c r="AF340" s="716"/>
      <c r="AG340" s="716"/>
      <c r="AH340" s="716"/>
      <c r="AI340" s="716"/>
      <c r="AJ340" s="716"/>
      <c r="AK340" s="716"/>
      <c r="AL340" s="716"/>
      <c r="AM340" s="716"/>
      <c r="AN340" s="716"/>
      <c r="AO340" s="716"/>
      <c r="AP340" s="716"/>
      <c r="AQ340" s="716"/>
      <c r="AR340" s="716"/>
    </row>
    <row r="341">
      <c r="A341" s="716"/>
      <c r="B341" s="530"/>
      <c r="C341" s="530"/>
      <c r="D341" s="530"/>
      <c r="E341" s="530"/>
      <c r="F341" s="530"/>
      <c r="G341" s="530"/>
      <c r="H341" s="530"/>
      <c r="I341" s="530"/>
      <c r="J341" s="530"/>
      <c r="K341" s="530"/>
      <c r="L341" s="530"/>
      <c r="M341" s="530"/>
      <c r="N341" s="530"/>
      <c r="O341" s="530"/>
      <c r="P341" s="530"/>
      <c r="Q341" s="530"/>
      <c r="R341" s="530"/>
      <c r="S341" s="530"/>
      <c r="T341" s="530"/>
      <c r="U341" s="530"/>
      <c r="V341" s="530"/>
      <c r="W341" s="530"/>
      <c r="X341" s="733"/>
      <c r="Y341" s="716"/>
      <c r="Z341" s="716"/>
      <c r="AA341" s="716"/>
      <c r="AB341" s="716"/>
      <c r="AC341" s="716"/>
      <c r="AD341" s="716"/>
      <c r="AE341" s="716"/>
      <c r="AF341" s="716"/>
      <c r="AG341" s="716"/>
      <c r="AH341" s="716"/>
      <c r="AI341" s="716"/>
      <c r="AJ341" s="716"/>
      <c r="AK341" s="716"/>
      <c r="AL341" s="716"/>
      <c r="AM341" s="716"/>
      <c r="AN341" s="716"/>
      <c r="AO341" s="716"/>
      <c r="AP341" s="716"/>
      <c r="AQ341" s="716"/>
      <c r="AR341" s="716"/>
    </row>
    <row r="342">
      <c r="A342" s="716"/>
      <c r="B342" s="530"/>
      <c r="C342" s="530"/>
      <c r="D342" s="530"/>
      <c r="E342" s="530"/>
      <c r="F342" s="530"/>
      <c r="G342" s="530"/>
      <c r="H342" s="530"/>
      <c r="I342" s="530"/>
      <c r="J342" s="530"/>
      <c r="K342" s="530"/>
      <c r="L342" s="530"/>
      <c r="M342" s="530"/>
      <c r="N342" s="530"/>
      <c r="O342" s="530"/>
      <c r="P342" s="530"/>
      <c r="Q342" s="530"/>
      <c r="R342" s="530"/>
      <c r="S342" s="530"/>
      <c r="T342" s="530"/>
      <c r="U342" s="530"/>
      <c r="V342" s="530"/>
      <c r="W342" s="530"/>
      <c r="X342" s="733"/>
      <c r="Y342" s="716"/>
      <c r="Z342" s="716"/>
      <c r="AA342" s="716"/>
      <c r="AB342" s="716"/>
      <c r="AC342" s="716"/>
      <c r="AD342" s="716"/>
      <c r="AE342" s="716"/>
      <c r="AF342" s="716"/>
      <c r="AG342" s="716"/>
      <c r="AH342" s="716"/>
      <c r="AI342" s="716"/>
      <c r="AJ342" s="716"/>
      <c r="AK342" s="716"/>
      <c r="AL342" s="716"/>
      <c r="AM342" s="716"/>
      <c r="AN342" s="716"/>
      <c r="AO342" s="716"/>
      <c r="AP342" s="716"/>
      <c r="AQ342" s="716"/>
      <c r="AR342" s="716"/>
    </row>
    <row r="343">
      <c r="A343" s="716"/>
      <c r="B343" s="530"/>
      <c r="C343" s="530"/>
      <c r="D343" s="530"/>
      <c r="E343" s="530"/>
      <c r="F343" s="530"/>
      <c r="G343" s="530"/>
      <c r="H343" s="530"/>
      <c r="I343" s="530"/>
      <c r="J343" s="530"/>
      <c r="K343" s="530"/>
      <c r="L343" s="530"/>
      <c r="M343" s="530"/>
      <c r="N343" s="530"/>
      <c r="O343" s="530"/>
      <c r="P343" s="530"/>
      <c r="Q343" s="530"/>
      <c r="R343" s="530"/>
      <c r="S343" s="530"/>
      <c r="T343" s="530"/>
      <c r="U343" s="530"/>
      <c r="V343" s="530"/>
      <c r="W343" s="530"/>
      <c r="X343" s="733"/>
      <c r="Y343" s="716"/>
      <c r="Z343" s="716"/>
      <c r="AA343" s="716"/>
      <c r="AB343" s="716"/>
      <c r="AC343" s="716"/>
      <c r="AD343" s="716"/>
      <c r="AE343" s="716"/>
      <c r="AF343" s="716"/>
      <c r="AG343" s="716"/>
      <c r="AH343" s="716"/>
      <c r="AI343" s="716"/>
      <c r="AJ343" s="716"/>
      <c r="AK343" s="716"/>
      <c r="AL343" s="716"/>
      <c r="AM343" s="716"/>
      <c r="AN343" s="716"/>
      <c r="AO343" s="716"/>
      <c r="AP343" s="716"/>
      <c r="AQ343" s="716"/>
      <c r="AR343" s="716"/>
    </row>
    <row r="344">
      <c r="A344" s="716"/>
      <c r="B344" s="530"/>
      <c r="C344" s="530"/>
      <c r="D344" s="530"/>
      <c r="E344" s="530"/>
      <c r="F344" s="530"/>
      <c r="G344" s="530"/>
      <c r="H344" s="530"/>
      <c r="I344" s="530"/>
      <c r="J344" s="530"/>
      <c r="K344" s="530"/>
      <c r="L344" s="530"/>
      <c r="M344" s="530"/>
      <c r="N344" s="530"/>
      <c r="O344" s="530"/>
      <c r="P344" s="530"/>
      <c r="Q344" s="530"/>
      <c r="R344" s="530"/>
      <c r="S344" s="530"/>
      <c r="T344" s="530"/>
      <c r="U344" s="530"/>
      <c r="V344" s="530"/>
      <c r="W344" s="530"/>
      <c r="X344" s="733"/>
      <c r="Y344" s="716"/>
      <c r="Z344" s="716"/>
      <c r="AA344" s="716"/>
      <c r="AB344" s="716"/>
      <c r="AC344" s="716"/>
      <c r="AD344" s="716"/>
      <c r="AE344" s="716"/>
      <c r="AF344" s="716"/>
      <c r="AG344" s="716"/>
      <c r="AH344" s="716"/>
      <c r="AI344" s="716"/>
      <c r="AJ344" s="716"/>
      <c r="AK344" s="716"/>
      <c r="AL344" s="716"/>
      <c r="AM344" s="716"/>
      <c r="AN344" s="716"/>
      <c r="AO344" s="716"/>
      <c r="AP344" s="716"/>
      <c r="AQ344" s="716"/>
      <c r="AR344" s="716"/>
    </row>
    <row r="345">
      <c r="A345" s="716"/>
      <c r="B345" s="530"/>
      <c r="C345" s="530"/>
      <c r="D345" s="530"/>
      <c r="E345" s="530"/>
      <c r="F345" s="530"/>
      <c r="G345" s="530"/>
      <c r="H345" s="530"/>
      <c r="I345" s="530"/>
      <c r="J345" s="530"/>
      <c r="K345" s="530"/>
      <c r="L345" s="530"/>
      <c r="M345" s="530"/>
      <c r="N345" s="530"/>
      <c r="O345" s="530"/>
      <c r="P345" s="530"/>
      <c r="Q345" s="530"/>
      <c r="R345" s="530"/>
      <c r="S345" s="530"/>
      <c r="T345" s="530"/>
      <c r="U345" s="530"/>
      <c r="V345" s="530"/>
      <c r="W345" s="530"/>
      <c r="X345" s="733"/>
      <c r="Y345" s="716"/>
      <c r="Z345" s="716"/>
      <c r="AA345" s="716"/>
      <c r="AB345" s="716"/>
      <c r="AC345" s="716"/>
      <c r="AD345" s="716"/>
      <c r="AE345" s="716"/>
      <c r="AF345" s="716"/>
      <c r="AG345" s="716"/>
      <c r="AH345" s="716"/>
      <c r="AI345" s="716"/>
      <c r="AJ345" s="716"/>
      <c r="AK345" s="716"/>
      <c r="AL345" s="716"/>
      <c r="AM345" s="716"/>
      <c r="AN345" s="716"/>
      <c r="AO345" s="716"/>
      <c r="AP345" s="716"/>
      <c r="AQ345" s="716"/>
      <c r="AR345" s="716"/>
    </row>
    <row r="346">
      <c r="A346" s="716"/>
      <c r="B346" s="530"/>
      <c r="C346" s="530"/>
      <c r="D346" s="530"/>
      <c r="E346" s="530"/>
      <c r="F346" s="530"/>
      <c r="G346" s="530"/>
      <c r="H346" s="530"/>
      <c r="I346" s="530"/>
      <c r="J346" s="530"/>
      <c r="K346" s="530"/>
      <c r="L346" s="530"/>
      <c r="M346" s="530"/>
      <c r="N346" s="530"/>
      <c r="O346" s="530"/>
      <c r="P346" s="530"/>
      <c r="Q346" s="530"/>
      <c r="R346" s="530"/>
      <c r="S346" s="530"/>
      <c r="T346" s="530"/>
      <c r="U346" s="530"/>
      <c r="V346" s="530"/>
      <c r="W346" s="530"/>
      <c r="X346" s="733"/>
      <c r="Y346" s="716"/>
      <c r="Z346" s="716"/>
      <c r="AA346" s="716"/>
      <c r="AB346" s="716"/>
      <c r="AC346" s="716"/>
      <c r="AD346" s="716"/>
      <c r="AE346" s="716"/>
      <c r="AF346" s="716"/>
      <c r="AG346" s="716"/>
      <c r="AH346" s="716"/>
      <c r="AI346" s="716"/>
      <c r="AJ346" s="716"/>
      <c r="AK346" s="716"/>
      <c r="AL346" s="716"/>
      <c r="AM346" s="716"/>
      <c r="AN346" s="716"/>
      <c r="AO346" s="716"/>
      <c r="AP346" s="716"/>
      <c r="AQ346" s="716"/>
      <c r="AR346" s="716"/>
    </row>
    <row r="347">
      <c r="A347" s="716"/>
      <c r="B347" s="530"/>
      <c r="C347" s="530"/>
      <c r="D347" s="530"/>
      <c r="E347" s="530"/>
      <c r="F347" s="530"/>
      <c r="G347" s="530"/>
      <c r="H347" s="530"/>
      <c r="I347" s="530"/>
      <c r="J347" s="530"/>
      <c r="K347" s="530"/>
      <c r="L347" s="530"/>
      <c r="M347" s="530"/>
      <c r="N347" s="530"/>
      <c r="O347" s="530"/>
      <c r="P347" s="530"/>
      <c r="Q347" s="530"/>
      <c r="R347" s="530"/>
      <c r="S347" s="530"/>
      <c r="T347" s="530"/>
      <c r="U347" s="530"/>
      <c r="V347" s="530"/>
      <c r="W347" s="530"/>
      <c r="X347" s="733"/>
      <c r="Y347" s="716"/>
      <c r="Z347" s="716"/>
      <c r="AA347" s="716"/>
      <c r="AB347" s="716"/>
      <c r="AC347" s="716"/>
      <c r="AD347" s="716"/>
      <c r="AE347" s="716"/>
      <c r="AF347" s="716"/>
      <c r="AG347" s="716"/>
      <c r="AH347" s="716"/>
      <c r="AI347" s="716"/>
      <c r="AJ347" s="716"/>
      <c r="AK347" s="716"/>
      <c r="AL347" s="716"/>
      <c r="AM347" s="716"/>
      <c r="AN347" s="716"/>
      <c r="AO347" s="716"/>
      <c r="AP347" s="716"/>
      <c r="AQ347" s="716"/>
      <c r="AR347" s="716"/>
    </row>
    <row r="348">
      <c r="A348" s="716"/>
      <c r="B348" s="530"/>
      <c r="C348" s="530"/>
      <c r="D348" s="530"/>
      <c r="E348" s="530"/>
      <c r="F348" s="530"/>
      <c r="G348" s="530"/>
      <c r="H348" s="530"/>
      <c r="I348" s="530"/>
      <c r="J348" s="530"/>
      <c r="K348" s="530"/>
      <c r="L348" s="530"/>
      <c r="M348" s="530"/>
      <c r="N348" s="530"/>
      <c r="O348" s="530"/>
      <c r="P348" s="530"/>
      <c r="Q348" s="530"/>
      <c r="R348" s="530"/>
      <c r="S348" s="530"/>
      <c r="T348" s="530"/>
      <c r="U348" s="530"/>
      <c r="V348" s="530"/>
      <c r="W348" s="530"/>
      <c r="X348" s="733"/>
      <c r="Y348" s="716"/>
      <c r="Z348" s="716"/>
      <c r="AA348" s="716"/>
      <c r="AB348" s="716"/>
      <c r="AC348" s="716"/>
      <c r="AD348" s="716"/>
      <c r="AE348" s="716"/>
      <c r="AF348" s="716"/>
      <c r="AG348" s="716"/>
      <c r="AH348" s="716"/>
      <c r="AI348" s="716"/>
      <c r="AJ348" s="716"/>
      <c r="AK348" s="716"/>
      <c r="AL348" s="716"/>
      <c r="AM348" s="716"/>
      <c r="AN348" s="716"/>
      <c r="AO348" s="716"/>
      <c r="AP348" s="716"/>
      <c r="AQ348" s="716"/>
      <c r="AR348" s="716"/>
    </row>
    <row r="349">
      <c r="A349" s="716"/>
      <c r="B349" s="530"/>
      <c r="C349" s="530"/>
      <c r="D349" s="530"/>
      <c r="E349" s="530"/>
      <c r="F349" s="530"/>
      <c r="G349" s="530"/>
      <c r="H349" s="530"/>
      <c r="I349" s="530"/>
      <c r="J349" s="530"/>
      <c r="K349" s="530"/>
      <c r="L349" s="530"/>
      <c r="M349" s="530"/>
      <c r="N349" s="530"/>
      <c r="O349" s="530"/>
      <c r="P349" s="530"/>
      <c r="Q349" s="530"/>
      <c r="R349" s="530"/>
      <c r="S349" s="530"/>
      <c r="T349" s="530"/>
      <c r="U349" s="530"/>
      <c r="V349" s="530"/>
      <c r="W349" s="530"/>
      <c r="X349" s="733"/>
      <c r="Y349" s="716"/>
      <c r="Z349" s="716"/>
      <c r="AA349" s="716"/>
      <c r="AB349" s="716"/>
      <c r="AC349" s="716"/>
      <c r="AD349" s="716"/>
      <c r="AE349" s="716"/>
      <c r="AF349" s="716"/>
      <c r="AG349" s="716"/>
      <c r="AH349" s="716"/>
      <c r="AI349" s="716"/>
      <c r="AJ349" s="716"/>
      <c r="AK349" s="716"/>
      <c r="AL349" s="716"/>
      <c r="AM349" s="716"/>
      <c r="AN349" s="716"/>
      <c r="AO349" s="716"/>
      <c r="AP349" s="716"/>
      <c r="AQ349" s="716"/>
      <c r="AR349" s="716"/>
    </row>
    <row r="350">
      <c r="A350" s="716"/>
      <c r="B350" s="530"/>
      <c r="C350" s="530"/>
      <c r="D350" s="530"/>
      <c r="E350" s="530"/>
      <c r="F350" s="530"/>
      <c r="G350" s="530"/>
      <c r="H350" s="530"/>
      <c r="I350" s="530"/>
      <c r="J350" s="530"/>
      <c r="K350" s="530"/>
      <c r="L350" s="530"/>
      <c r="M350" s="530"/>
      <c r="N350" s="530"/>
      <c r="O350" s="530"/>
      <c r="P350" s="530"/>
      <c r="Q350" s="530"/>
      <c r="R350" s="530"/>
      <c r="S350" s="530"/>
      <c r="T350" s="530"/>
      <c r="U350" s="530"/>
      <c r="V350" s="530"/>
      <c r="W350" s="530"/>
      <c r="X350" s="733"/>
      <c r="Y350" s="716"/>
      <c r="Z350" s="716"/>
      <c r="AA350" s="716"/>
      <c r="AB350" s="716"/>
      <c r="AC350" s="716"/>
      <c r="AD350" s="716"/>
      <c r="AE350" s="716"/>
      <c r="AF350" s="716"/>
      <c r="AG350" s="716"/>
      <c r="AH350" s="716"/>
      <c r="AI350" s="716"/>
      <c r="AJ350" s="716"/>
      <c r="AK350" s="716"/>
      <c r="AL350" s="716"/>
      <c r="AM350" s="716"/>
      <c r="AN350" s="716"/>
      <c r="AO350" s="716"/>
      <c r="AP350" s="716"/>
      <c r="AQ350" s="716"/>
      <c r="AR350" s="716"/>
    </row>
    <row r="351">
      <c r="A351" s="716"/>
      <c r="B351" s="530"/>
      <c r="C351" s="530"/>
      <c r="D351" s="530"/>
      <c r="E351" s="530"/>
      <c r="F351" s="530"/>
      <c r="G351" s="530"/>
      <c r="H351" s="530"/>
      <c r="I351" s="530"/>
      <c r="J351" s="530"/>
      <c r="K351" s="530"/>
      <c r="L351" s="530"/>
      <c r="M351" s="530"/>
      <c r="N351" s="530"/>
      <c r="O351" s="530"/>
      <c r="P351" s="530"/>
      <c r="Q351" s="530"/>
      <c r="R351" s="530"/>
      <c r="S351" s="530"/>
      <c r="T351" s="530"/>
      <c r="U351" s="530"/>
      <c r="V351" s="530"/>
      <c r="W351" s="530"/>
      <c r="X351" s="733"/>
      <c r="Y351" s="716"/>
      <c r="Z351" s="716"/>
      <c r="AA351" s="716"/>
      <c r="AB351" s="716"/>
      <c r="AC351" s="716"/>
      <c r="AD351" s="716"/>
      <c r="AE351" s="716"/>
      <c r="AF351" s="716"/>
      <c r="AG351" s="716"/>
      <c r="AH351" s="716"/>
      <c r="AI351" s="716"/>
      <c r="AJ351" s="716"/>
      <c r="AK351" s="716"/>
      <c r="AL351" s="716"/>
      <c r="AM351" s="716"/>
      <c r="AN351" s="716"/>
      <c r="AO351" s="716"/>
      <c r="AP351" s="716"/>
      <c r="AQ351" s="716"/>
      <c r="AR351" s="716"/>
    </row>
    <row r="352">
      <c r="A352" s="716"/>
      <c r="B352" s="530"/>
      <c r="C352" s="530"/>
      <c r="D352" s="530"/>
      <c r="E352" s="530"/>
      <c r="F352" s="530"/>
      <c r="G352" s="530"/>
      <c r="H352" s="530"/>
      <c r="I352" s="530"/>
      <c r="J352" s="530"/>
      <c r="K352" s="530"/>
      <c r="L352" s="530"/>
      <c r="M352" s="530"/>
      <c r="N352" s="530"/>
      <c r="O352" s="530"/>
      <c r="P352" s="530"/>
      <c r="Q352" s="530"/>
      <c r="R352" s="530"/>
      <c r="S352" s="530"/>
      <c r="T352" s="530"/>
      <c r="U352" s="530"/>
      <c r="V352" s="530"/>
      <c r="W352" s="530"/>
      <c r="X352" s="733"/>
      <c r="Y352" s="716"/>
      <c r="Z352" s="716"/>
      <c r="AA352" s="716"/>
      <c r="AB352" s="716"/>
      <c r="AC352" s="716"/>
      <c r="AD352" s="716"/>
      <c r="AE352" s="716"/>
      <c r="AF352" s="716"/>
      <c r="AG352" s="716"/>
      <c r="AH352" s="716"/>
      <c r="AI352" s="716"/>
      <c r="AJ352" s="716"/>
      <c r="AK352" s="716"/>
      <c r="AL352" s="716"/>
      <c r="AM352" s="716"/>
      <c r="AN352" s="716"/>
      <c r="AO352" s="716"/>
      <c r="AP352" s="716"/>
      <c r="AQ352" s="716"/>
      <c r="AR352" s="716"/>
    </row>
    <row r="353">
      <c r="A353" s="716"/>
      <c r="B353" s="530"/>
      <c r="C353" s="530"/>
      <c r="D353" s="530"/>
      <c r="E353" s="530"/>
      <c r="F353" s="530"/>
      <c r="G353" s="530"/>
      <c r="H353" s="530"/>
      <c r="I353" s="530"/>
      <c r="J353" s="530"/>
      <c r="K353" s="530"/>
      <c r="L353" s="530"/>
      <c r="M353" s="530"/>
      <c r="N353" s="530"/>
      <c r="O353" s="530"/>
      <c r="P353" s="530"/>
      <c r="Q353" s="530"/>
      <c r="R353" s="530"/>
      <c r="S353" s="530"/>
      <c r="T353" s="530"/>
      <c r="U353" s="530"/>
      <c r="V353" s="530"/>
      <c r="W353" s="530"/>
      <c r="X353" s="733"/>
      <c r="Y353" s="716"/>
      <c r="Z353" s="716"/>
      <c r="AA353" s="716"/>
      <c r="AB353" s="716"/>
      <c r="AC353" s="716"/>
      <c r="AD353" s="716"/>
      <c r="AE353" s="716"/>
      <c r="AF353" s="716"/>
      <c r="AG353" s="716"/>
      <c r="AH353" s="716"/>
      <c r="AI353" s="716"/>
      <c r="AJ353" s="716"/>
      <c r="AK353" s="716"/>
      <c r="AL353" s="716"/>
      <c r="AM353" s="716"/>
      <c r="AN353" s="716"/>
      <c r="AO353" s="716"/>
      <c r="AP353" s="716"/>
      <c r="AQ353" s="716"/>
      <c r="AR353" s="716"/>
    </row>
    <row r="354">
      <c r="A354" s="716"/>
      <c r="B354" s="530"/>
      <c r="C354" s="530"/>
      <c r="D354" s="530"/>
      <c r="E354" s="530"/>
      <c r="F354" s="530"/>
      <c r="G354" s="530"/>
      <c r="H354" s="530"/>
      <c r="I354" s="530"/>
      <c r="J354" s="530"/>
      <c r="K354" s="530"/>
      <c r="L354" s="530"/>
      <c r="M354" s="530"/>
      <c r="N354" s="530"/>
      <c r="O354" s="530"/>
      <c r="P354" s="530"/>
      <c r="Q354" s="530"/>
      <c r="R354" s="530"/>
      <c r="S354" s="530"/>
      <c r="T354" s="530"/>
      <c r="U354" s="530"/>
      <c r="V354" s="530"/>
      <c r="W354" s="530"/>
      <c r="X354" s="733"/>
      <c r="Y354" s="716"/>
      <c r="Z354" s="716"/>
      <c r="AA354" s="716"/>
      <c r="AB354" s="716"/>
      <c r="AC354" s="716"/>
      <c r="AD354" s="716"/>
      <c r="AE354" s="716"/>
      <c r="AF354" s="716"/>
      <c r="AG354" s="716"/>
      <c r="AH354" s="716"/>
      <c r="AI354" s="716"/>
      <c r="AJ354" s="716"/>
      <c r="AK354" s="716"/>
      <c r="AL354" s="716"/>
      <c r="AM354" s="716"/>
      <c r="AN354" s="716"/>
      <c r="AO354" s="716"/>
      <c r="AP354" s="716"/>
      <c r="AQ354" s="716"/>
      <c r="AR354" s="716"/>
    </row>
    <row r="355">
      <c r="A355" s="716"/>
      <c r="B355" s="530"/>
      <c r="C355" s="530"/>
      <c r="D355" s="530"/>
      <c r="E355" s="530"/>
      <c r="F355" s="530"/>
      <c r="G355" s="530"/>
      <c r="H355" s="530"/>
      <c r="I355" s="530"/>
      <c r="J355" s="530"/>
      <c r="K355" s="530"/>
      <c r="L355" s="530"/>
      <c r="M355" s="530"/>
      <c r="N355" s="530"/>
      <c r="O355" s="530"/>
      <c r="P355" s="530"/>
      <c r="Q355" s="530"/>
      <c r="R355" s="530"/>
      <c r="S355" s="530"/>
      <c r="T355" s="530"/>
      <c r="U355" s="530"/>
      <c r="V355" s="530"/>
      <c r="W355" s="530"/>
      <c r="X355" s="733"/>
      <c r="Y355" s="716"/>
      <c r="Z355" s="716"/>
      <c r="AA355" s="716"/>
      <c r="AB355" s="716"/>
      <c r="AC355" s="716"/>
      <c r="AD355" s="716"/>
      <c r="AE355" s="716"/>
      <c r="AF355" s="716"/>
      <c r="AG355" s="716"/>
      <c r="AH355" s="716"/>
      <c r="AI355" s="716"/>
      <c r="AJ355" s="716"/>
      <c r="AK355" s="716"/>
      <c r="AL355" s="716"/>
      <c r="AM355" s="716"/>
      <c r="AN355" s="716"/>
      <c r="AO355" s="716"/>
      <c r="AP355" s="716"/>
      <c r="AQ355" s="716"/>
      <c r="AR355" s="716"/>
    </row>
    <row r="356">
      <c r="A356" s="716"/>
      <c r="B356" s="530"/>
      <c r="C356" s="530"/>
      <c r="D356" s="530"/>
      <c r="E356" s="530"/>
      <c r="F356" s="530"/>
      <c r="G356" s="530"/>
      <c r="H356" s="530"/>
      <c r="I356" s="530"/>
      <c r="J356" s="530"/>
      <c r="K356" s="530"/>
      <c r="L356" s="530"/>
      <c r="M356" s="530"/>
      <c r="N356" s="530"/>
      <c r="O356" s="530"/>
      <c r="P356" s="530"/>
      <c r="Q356" s="530"/>
      <c r="R356" s="530"/>
      <c r="S356" s="530"/>
      <c r="T356" s="530"/>
      <c r="U356" s="530"/>
      <c r="V356" s="530"/>
      <c r="W356" s="530"/>
      <c r="X356" s="733"/>
      <c r="Y356" s="716"/>
      <c r="Z356" s="716"/>
      <c r="AA356" s="716"/>
      <c r="AB356" s="716"/>
      <c r="AC356" s="716"/>
      <c r="AD356" s="716"/>
      <c r="AE356" s="716"/>
      <c r="AF356" s="716"/>
      <c r="AG356" s="716"/>
      <c r="AH356" s="716"/>
      <c r="AI356" s="716"/>
      <c r="AJ356" s="716"/>
      <c r="AK356" s="716"/>
      <c r="AL356" s="716"/>
      <c r="AM356" s="716"/>
      <c r="AN356" s="716"/>
      <c r="AO356" s="716"/>
      <c r="AP356" s="716"/>
      <c r="AQ356" s="716"/>
      <c r="AR356" s="716"/>
    </row>
    <row r="357">
      <c r="A357" s="716"/>
      <c r="B357" s="530"/>
      <c r="C357" s="530"/>
      <c r="D357" s="530"/>
      <c r="E357" s="530"/>
      <c r="F357" s="530"/>
      <c r="G357" s="530"/>
      <c r="H357" s="530"/>
      <c r="I357" s="530"/>
      <c r="J357" s="530"/>
      <c r="K357" s="530"/>
      <c r="L357" s="530"/>
      <c r="M357" s="530"/>
      <c r="N357" s="530"/>
      <c r="O357" s="530"/>
      <c r="P357" s="530"/>
      <c r="Q357" s="530"/>
      <c r="R357" s="530"/>
      <c r="S357" s="530"/>
      <c r="T357" s="530"/>
      <c r="U357" s="530"/>
      <c r="V357" s="530"/>
      <c r="W357" s="530"/>
      <c r="X357" s="733"/>
      <c r="Y357" s="716"/>
      <c r="Z357" s="716"/>
      <c r="AA357" s="716"/>
      <c r="AB357" s="716"/>
      <c r="AC357" s="716"/>
      <c r="AD357" s="716"/>
      <c r="AE357" s="716"/>
      <c r="AF357" s="716"/>
      <c r="AG357" s="716"/>
      <c r="AH357" s="716"/>
      <c r="AI357" s="716"/>
      <c r="AJ357" s="716"/>
      <c r="AK357" s="716"/>
      <c r="AL357" s="716"/>
      <c r="AM357" s="716"/>
      <c r="AN357" s="716"/>
      <c r="AO357" s="716"/>
      <c r="AP357" s="716"/>
      <c r="AQ357" s="716"/>
      <c r="AR357" s="716"/>
    </row>
    <row r="358">
      <c r="A358" s="716"/>
      <c r="B358" s="530"/>
      <c r="C358" s="530"/>
      <c r="D358" s="530"/>
      <c r="E358" s="530"/>
      <c r="F358" s="530"/>
      <c r="G358" s="530"/>
      <c r="H358" s="530"/>
      <c r="I358" s="530"/>
      <c r="J358" s="530"/>
      <c r="K358" s="530"/>
      <c r="L358" s="530"/>
      <c r="M358" s="530"/>
      <c r="N358" s="530"/>
      <c r="O358" s="530"/>
      <c r="P358" s="530"/>
      <c r="Q358" s="530"/>
      <c r="R358" s="530"/>
      <c r="S358" s="530"/>
      <c r="T358" s="530"/>
      <c r="U358" s="530"/>
      <c r="V358" s="530"/>
      <c r="W358" s="530"/>
      <c r="X358" s="733"/>
      <c r="Y358" s="716"/>
      <c r="Z358" s="716"/>
      <c r="AA358" s="716"/>
      <c r="AB358" s="716"/>
      <c r="AC358" s="716"/>
      <c r="AD358" s="716"/>
      <c r="AE358" s="716"/>
      <c r="AF358" s="716"/>
      <c r="AG358" s="716"/>
      <c r="AH358" s="716"/>
      <c r="AI358" s="716"/>
      <c r="AJ358" s="716"/>
      <c r="AK358" s="716"/>
      <c r="AL358" s="716"/>
      <c r="AM358" s="716"/>
      <c r="AN358" s="716"/>
      <c r="AO358" s="716"/>
      <c r="AP358" s="716"/>
      <c r="AQ358" s="716"/>
      <c r="AR358" s="716"/>
    </row>
    <row r="359">
      <c r="A359" s="716"/>
      <c r="B359" s="530"/>
      <c r="C359" s="530"/>
      <c r="D359" s="530"/>
      <c r="E359" s="530"/>
      <c r="F359" s="530"/>
      <c r="G359" s="530"/>
      <c r="H359" s="530"/>
      <c r="I359" s="530"/>
      <c r="J359" s="530"/>
      <c r="K359" s="530"/>
      <c r="L359" s="530"/>
      <c r="M359" s="530"/>
      <c r="N359" s="530"/>
      <c r="O359" s="530"/>
      <c r="P359" s="530"/>
      <c r="Q359" s="530"/>
      <c r="R359" s="530"/>
      <c r="S359" s="530"/>
      <c r="T359" s="530"/>
      <c r="U359" s="530"/>
      <c r="V359" s="530"/>
      <c r="W359" s="530"/>
      <c r="X359" s="733"/>
      <c r="Y359" s="716"/>
      <c r="Z359" s="716"/>
      <c r="AA359" s="716"/>
      <c r="AB359" s="716"/>
      <c r="AC359" s="716"/>
      <c r="AD359" s="716"/>
      <c r="AE359" s="716"/>
      <c r="AF359" s="716"/>
      <c r="AG359" s="716"/>
      <c r="AH359" s="716"/>
      <c r="AI359" s="716"/>
      <c r="AJ359" s="716"/>
      <c r="AK359" s="716"/>
      <c r="AL359" s="716"/>
      <c r="AM359" s="716"/>
      <c r="AN359" s="716"/>
      <c r="AO359" s="716"/>
      <c r="AP359" s="716"/>
      <c r="AQ359" s="716"/>
      <c r="AR359" s="716"/>
    </row>
    <row r="360">
      <c r="A360" s="716"/>
      <c r="B360" s="530"/>
      <c r="C360" s="530"/>
      <c r="D360" s="530"/>
      <c r="E360" s="530"/>
      <c r="F360" s="530"/>
      <c r="G360" s="530"/>
      <c r="H360" s="530"/>
      <c r="I360" s="530"/>
      <c r="J360" s="530"/>
      <c r="K360" s="530"/>
      <c r="L360" s="530"/>
      <c r="M360" s="530"/>
      <c r="N360" s="530"/>
      <c r="O360" s="530"/>
      <c r="P360" s="530"/>
      <c r="Q360" s="530"/>
      <c r="R360" s="530"/>
      <c r="S360" s="530"/>
      <c r="T360" s="530"/>
      <c r="U360" s="530"/>
      <c r="V360" s="530"/>
      <c r="W360" s="530"/>
      <c r="X360" s="733"/>
      <c r="Y360" s="716"/>
      <c r="Z360" s="716"/>
      <c r="AA360" s="716"/>
      <c r="AB360" s="716"/>
      <c r="AC360" s="716"/>
      <c r="AD360" s="716"/>
      <c r="AE360" s="716"/>
      <c r="AF360" s="716"/>
      <c r="AG360" s="716"/>
      <c r="AH360" s="716"/>
      <c r="AI360" s="716"/>
      <c r="AJ360" s="716"/>
      <c r="AK360" s="716"/>
      <c r="AL360" s="716"/>
      <c r="AM360" s="716"/>
      <c r="AN360" s="716"/>
      <c r="AO360" s="716"/>
      <c r="AP360" s="716"/>
      <c r="AQ360" s="716"/>
      <c r="AR360" s="716"/>
    </row>
    <row r="361">
      <c r="A361" s="716"/>
      <c r="B361" s="530"/>
      <c r="C361" s="530"/>
      <c r="D361" s="530"/>
      <c r="E361" s="530"/>
      <c r="F361" s="530"/>
      <c r="G361" s="530"/>
      <c r="H361" s="530"/>
      <c r="I361" s="530"/>
      <c r="J361" s="530"/>
      <c r="K361" s="530"/>
      <c r="L361" s="530"/>
      <c r="M361" s="530"/>
      <c r="N361" s="530"/>
      <c r="O361" s="530"/>
      <c r="P361" s="530"/>
      <c r="Q361" s="530"/>
      <c r="R361" s="530"/>
      <c r="S361" s="530"/>
      <c r="T361" s="530"/>
      <c r="U361" s="530"/>
      <c r="V361" s="530"/>
      <c r="W361" s="530"/>
      <c r="X361" s="733"/>
      <c r="Y361" s="716"/>
      <c r="Z361" s="716"/>
      <c r="AA361" s="716"/>
      <c r="AB361" s="716"/>
      <c r="AC361" s="716"/>
      <c r="AD361" s="716"/>
      <c r="AE361" s="716"/>
      <c r="AF361" s="716"/>
      <c r="AG361" s="716"/>
      <c r="AH361" s="716"/>
      <c r="AI361" s="716"/>
      <c r="AJ361" s="716"/>
      <c r="AK361" s="716"/>
      <c r="AL361" s="716"/>
      <c r="AM361" s="716"/>
      <c r="AN361" s="716"/>
      <c r="AO361" s="716"/>
      <c r="AP361" s="716"/>
      <c r="AQ361" s="716"/>
      <c r="AR361" s="716"/>
    </row>
    <row r="362">
      <c r="A362" s="716"/>
      <c r="B362" s="530"/>
      <c r="C362" s="530"/>
      <c r="D362" s="530"/>
      <c r="E362" s="530"/>
      <c r="F362" s="530"/>
      <c r="G362" s="530"/>
      <c r="H362" s="530"/>
      <c r="I362" s="530"/>
      <c r="J362" s="530"/>
      <c r="K362" s="530"/>
      <c r="L362" s="530"/>
      <c r="M362" s="530"/>
      <c r="N362" s="530"/>
      <c r="O362" s="530"/>
      <c r="P362" s="530"/>
      <c r="Q362" s="530"/>
      <c r="R362" s="530"/>
      <c r="S362" s="530"/>
      <c r="T362" s="530"/>
      <c r="U362" s="530"/>
      <c r="V362" s="530"/>
      <c r="W362" s="530"/>
      <c r="X362" s="733"/>
      <c r="Y362" s="716"/>
      <c r="Z362" s="716"/>
      <c r="AA362" s="716"/>
      <c r="AB362" s="716"/>
      <c r="AC362" s="716"/>
      <c r="AD362" s="716"/>
      <c r="AE362" s="716"/>
      <c r="AF362" s="716"/>
      <c r="AG362" s="716"/>
      <c r="AH362" s="716"/>
      <c r="AI362" s="716"/>
      <c r="AJ362" s="716"/>
      <c r="AK362" s="716"/>
      <c r="AL362" s="716"/>
      <c r="AM362" s="716"/>
      <c r="AN362" s="716"/>
      <c r="AO362" s="716"/>
      <c r="AP362" s="716"/>
      <c r="AQ362" s="716"/>
      <c r="AR362" s="716"/>
    </row>
    <row r="363">
      <c r="A363" s="716"/>
      <c r="B363" s="530"/>
      <c r="C363" s="530"/>
      <c r="D363" s="530"/>
      <c r="E363" s="530"/>
      <c r="F363" s="530"/>
      <c r="G363" s="530"/>
      <c r="H363" s="530"/>
      <c r="I363" s="530"/>
      <c r="J363" s="530"/>
      <c r="K363" s="530"/>
      <c r="L363" s="530"/>
      <c r="M363" s="530"/>
      <c r="N363" s="530"/>
      <c r="O363" s="530"/>
      <c r="P363" s="530"/>
      <c r="Q363" s="530"/>
      <c r="R363" s="530"/>
      <c r="S363" s="530"/>
      <c r="T363" s="530"/>
      <c r="U363" s="530"/>
      <c r="V363" s="530"/>
      <c r="W363" s="530"/>
      <c r="X363" s="733"/>
      <c r="Y363" s="716"/>
      <c r="Z363" s="716"/>
      <c r="AA363" s="716"/>
      <c r="AB363" s="716"/>
      <c r="AC363" s="716"/>
      <c r="AD363" s="716"/>
      <c r="AE363" s="716"/>
      <c r="AF363" s="716"/>
      <c r="AG363" s="716"/>
      <c r="AH363" s="716"/>
      <c r="AI363" s="716"/>
      <c r="AJ363" s="716"/>
      <c r="AK363" s="716"/>
      <c r="AL363" s="716"/>
      <c r="AM363" s="716"/>
      <c r="AN363" s="716"/>
      <c r="AO363" s="716"/>
      <c r="AP363" s="716"/>
      <c r="AQ363" s="716"/>
      <c r="AR363" s="716"/>
    </row>
    <row r="364">
      <c r="A364" s="716"/>
      <c r="B364" s="530"/>
      <c r="C364" s="530"/>
      <c r="D364" s="530"/>
      <c r="E364" s="530"/>
      <c r="F364" s="530"/>
      <c r="G364" s="530"/>
      <c r="H364" s="530"/>
      <c r="I364" s="530"/>
      <c r="J364" s="530"/>
      <c r="K364" s="530"/>
      <c r="L364" s="530"/>
      <c r="M364" s="530"/>
      <c r="N364" s="530"/>
      <c r="O364" s="530"/>
      <c r="P364" s="530"/>
      <c r="Q364" s="530"/>
      <c r="R364" s="530"/>
      <c r="S364" s="530"/>
      <c r="T364" s="530"/>
      <c r="U364" s="530"/>
      <c r="V364" s="530"/>
      <c r="W364" s="530"/>
      <c r="X364" s="733"/>
      <c r="Y364" s="716"/>
      <c r="Z364" s="716"/>
      <c r="AA364" s="716"/>
      <c r="AB364" s="716"/>
      <c r="AC364" s="716"/>
      <c r="AD364" s="716"/>
      <c r="AE364" s="716"/>
      <c r="AF364" s="716"/>
      <c r="AG364" s="716"/>
      <c r="AH364" s="716"/>
      <c r="AI364" s="716"/>
      <c r="AJ364" s="716"/>
      <c r="AK364" s="716"/>
      <c r="AL364" s="716"/>
      <c r="AM364" s="716"/>
      <c r="AN364" s="716"/>
      <c r="AO364" s="716"/>
      <c r="AP364" s="716"/>
      <c r="AQ364" s="716"/>
      <c r="AR364" s="716"/>
    </row>
    <row r="365">
      <c r="A365" s="716"/>
      <c r="B365" s="530"/>
      <c r="C365" s="530"/>
      <c r="D365" s="530"/>
      <c r="E365" s="530"/>
      <c r="F365" s="530"/>
      <c r="G365" s="530"/>
      <c r="H365" s="530"/>
      <c r="I365" s="530"/>
      <c r="J365" s="530"/>
      <c r="K365" s="530"/>
      <c r="L365" s="530"/>
      <c r="M365" s="530"/>
      <c r="N365" s="530"/>
      <c r="O365" s="530"/>
      <c r="P365" s="530"/>
      <c r="Q365" s="530"/>
      <c r="R365" s="530"/>
      <c r="S365" s="530"/>
      <c r="T365" s="530"/>
      <c r="U365" s="530"/>
      <c r="V365" s="530"/>
      <c r="W365" s="530"/>
      <c r="X365" s="733"/>
      <c r="Y365" s="716"/>
      <c r="Z365" s="716"/>
      <c r="AA365" s="716"/>
      <c r="AB365" s="716"/>
      <c r="AC365" s="716"/>
      <c r="AD365" s="716"/>
      <c r="AE365" s="716"/>
      <c r="AF365" s="716"/>
      <c r="AG365" s="716"/>
      <c r="AH365" s="716"/>
      <c r="AI365" s="716"/>
      <c r="AJ365" s="716"/>
      <c r="AK365" s="716"/>
      <c r="AL365" s="716"/>
      <c r="AM365" s="716"/>
      <c r="AN365" s="716"/>
      <c r="AO365" s="716"/>
      <c r="AP365" s="716"/>
      <c r="AQ365" s="716"/>
      <c r="AR365" s="716"/>
    </row>
    <row r="366">
      <c r="A366" s="716"/>
      <c r="B366" s="530"/>
      <c r="C366" s="530"/>
      <c r="D366" s="530"/>
      <c r="E366" s="530"/>
      <c r="F366" s="530"/>
      <c r="G366" s="530"/>
      <c r="H366" s="530"/>
      <c r="I366" s="530"/>
      <c r="J366" s="530"/>
      <c r="K366" s="530"/>
      <c r="L366" s="530"/>
      <c r="M366" s="530"/>
      <c r="N366" s="530"/>
      <c r="O366" s="530"/>
      <c r="P366" s="530"/>
      <c r="Q366" s="530"/>
      <c r="R366" s="530"/>
      <c r="S366" s="530"/>
      <c r="T366" s="530"/>
      <c r="U366" s="530"/>
      <c r="V366" s="530"/>
      <c r="W366" s="530"/>
      <c r="X366" s="733"/>
      <c r="Y366" s="716"/>
      <c r="Z366" s="716"/>
      <c r="AA366" s="716"/>
      <c r="AB366" s="716"/>
      <c r="AC366" s="716"/>
      <c r="AD366" s="716"/>
      <c r="AE366" s="716"/>
      <c r="AF366" s="716"/>
      <c r="AG366" s="716"/>
      <c r="AH366" s="716"/>
      <c r="AI366" s="716"/>
      <c r="AJ366" s="716"/>
      <c r="AK366" s="716"/>
      <c r="AL366" s="716"/>
      <c r="AM366" s="716"/>
      <c r="AN366" s="716"/>
      <c r="AO366" s="716"/>
      <c r="AP366" s="716"/>
      <c r="AQ366" s="716"/>
      <c r="AR366" s="716"/>
    </row>
    <row r="367">
      <c r="A367" s="716"/>
      <c r="B367" s="530"/>
      <c r="C367" s="530"/>
      <c r="D367" s="530"/>
      <c r="E367" s="530"/>
      <c r="F367" s="530"/>
      <c r="G367" s="530"/>
      <c r="H367" s="530"/>
      <c r="I367" s="530"/>
      <c r="J367" s="530"/>
      <c r="K367" s="530"/>
      <c r="L367" s="530"/>
      <c r="M367" s="530"/>
      <c r="N367" s="530"/>
      <c r="O367" s="530"/>
      <c r="P367" s="530"/>
      <c r="Q367" s="530"/>
      <c r="R367" s="530"/>
      <c r="S367" s="530"/>
      <c r="T367" s="530"/>
      <c r="U367" s="530"/>
      <c r="V367" s="530"/>
      <c r="W367" s="530"/>
      <c r="X367" s="733"/>
      <c r="Y367" s="716"/>
      <c r="Z367" s="716"/>
      <c r="AA367" s="716"/>
      <c r="AB367" s="716"/>
      <c r="AC367" s="716"/>
      <c r="AD367" s="716"/>
      <c r="AE367" s="716"/>
      <c r="AF367" s="716"/>
      <c r="AG367" s="716"/>
      <c r="AH367" s="716"/>
      <c r="AI367" s="716"/>
      <c r="AJ367" s="716"/>
      <c r="AK367" s="716"/>
      <c r="AL367" s="716"/>
      <c r="AM367" s="716"/>
      <c r="AN367" s="716"/>
      <c r="AO367" s="716"/>
      <c r="AP367" s="716"/>
      <c r="AQ367" s="716"/>
      <c r="AR367" s="716"/>
    </row>
    <row r="368">
      <c r="A368" s="716"/>
      <c r="B368" s="530"/>
      <c r="C368" s="530"/>
      <c r="D368" s="530"/>
      <c r="E368" s="530"/>
      <c r="F368" s="530"/>
      <c r="G368" s="530"/>
      <c r="H368" s="530"/>
      <c r="I368" s="530"/>
      <c r="J368" s="530"/>
      <c r="K368" s="530"/>
      <c r="L368" s="530"/>
      <c r="M368" s="530"/>
      <c r="N368" s="530"/>
      <c r="O368" s="530"/>
      <c r="P368" s="530"/>
      <c r="Q368" s="530"/>
      <c r="R368" s="530"/>
      <c r="S368" s="530"/>
      <c r="T368" s="530"/>
      <c r="U368" s="530"/>
      <c r="V368" s="530"/>
      <c r="W368" s="530"/>
      <c r="X368" s="733"/>
      <c r="Y368" s="716"/>
      <c r="Z368" s="716"/>
      <c r="AA368" s="716"/>
      <c r="AB368" s="716"/>
      <c r="AC368" s="716"/>
      <c r="AD368" s="716"/>
      <c r="AE368" s="716"/>
      <c r="AF368" s="716"/>
      <c r="AG368" s="716"/>
      <c r="AH368" s="716"/>
      <c r="AI368" s="716"/>
      <c r="AJ368" s="716"/>
      <c r="AK368" s="716"/>
      <c r="AL368" s="716"/>
      <c r="AM368" s="716"/>
      <c r="AN368" s="716"/>
      <c r="AO368" s="716"/>
      <c r="AP368" s="716"/>
      <c r="AQ368" s="716"/>
      <c r="AR368" s="716"/>
    </row>
    <row r="369">
      <c r="A369" s="716"/>
      <c r="B369" s="530"/>
      <c r="C369" s="530"/>
      <c r="D369" s="530"/>
      <c r="E369" s="530"/>
      <c r="F369" s="530"/>
      <c r="G369" s="530"/>
      <c r="H369" s="530"/>
      <c r="I369" s="530"/>
      <c r="J369" s="530"/>
      <c r="K369" s="530"/>
      <c r="L369" s="530"/>
      <c r="M369" s="530"/>
      <c r="N369" s="530"/>
      <c r="O369" s="530"/>
      <c r="P369" s="530"/>
      <c r="Q369" s="530"/>
      <c r="R369" s="530"/>
      <c r="S369" s="530"/>
      <c r="T369" s="530"/>
      <c r="U369" s="530"/>
      <c r="V369" s="530"/>
      <c r="W369" s="530"/>
      <c r="X369" s="733"/>
      <c r="Y369" s="716"/>
      <c r="Z369" s="716"/>
      <c r="AA369" s="716"/>
      <c r="AB369" s="716"/>
      <c r="AC369" s="716"/>
      <c r="AD369" s="716"/>
      <c r="AE369" s="716"/>
      <c r="AF369" s="716"/>
      <c r="AG369" s="716"/>
      <c r="AH369" s="716"/>
      <c r="AI369" s="716"/>
      <c r="AJ369" s="716"/>
      <c r="AK369" s="716"/>
      <c r="AL369" s="716"/>
      <c r="AM369" s="716"/>
      <c r="AN369" s="716"/>
      <c r="AO369" s="716"/>
      <c r="AP369" s="716"/>
      <c r="AQ369" s="716"/>
      <c r="AR369" s="716"/>
    </row>
    <row r="370">
      <c r="A370" s="716"/>
      <c r="B370" s="530"/>
      <c r="C370" s="530"/>
      <c r="D370" s="530"/>
      <c r="E370" s="530"/>
      <c r="F370" s="530"/>
      <c r="G370" s="530"/>
      <c r="H370" s="530"/>
      <c r="I370" s="530"/>
      <c r="J370" s="530"/>
      <c r="K370" s="530"/>
      <c r="L370" s="530"/>
      <c r="M370" s="530"/>
      <c r="N370" s="530"/>
      <c r="O370" s="530"/>
      <c r="P370" s="530"/>
      <c r="Q370" s="530"/>
      <c r="R370" s="530"/>
      <c r="S370" s="530"/>
      <c r="T370" s="530"/>
      <c r="U370" s="530"/>
      <c r="V370" s="530"/>
      <c r="W370" s="530"/>
      <c r="X370" s="733"/>
      <c r="Y370" s="716"/>
      <c r="Z370" s="716"/>
      <c r="AA370" s="716"/>
      <c r="AB370" s="716"/>
      <c r="AC370" s="716"/>
      <c r="AD370" s="716"/>
      <c r="AE370" s="716"/>
      <c r="AF370" s="716"/>
      <c r="AG370" s="716"/>
      <c r="AH370" s="716"/>
      <c r="AI370" s="716"/>
      <c r="AJ370" s="716"/>
      <c r="AK370" s="716"/>
      <c r="AL370" s="716"/>
      <c r="AM370" s="716"/>
      <c r="AN370" s="716"/>
      <c r="AO370" s="716"/>
      <c r="AP370" s="716"/>
      <c r="AQ370" s="716"/>
      <c r="AR370" s="716"/>
    </row>
    <row r="371">
      <c r="A371" s="716"/>
      <c r="B371" s="530"/>
      <c r="C371" s="530"/>
      <c r="D371" s="530"/>
      <c r="E371" s="530"/>
      <c r="F371" s="530"/>
      <c r="G371" s="530"/>
      <c r="H371" s="530"/>
      <c r="I371" s="530"/>
      <c r="J371" s="530"/>
      <c r="K371" s="530"/>
      <c r="L371" s="530"/>
      <c r="M371" s="530"/>
      <c r="N371" s="530"/>
      <c r="O371" s="530"/>
      <c r="P371" s="530"/>
      <c r="Q371" s="530"/>
      <c r="R371" s="530"/>
      <c r="S371" s="530"/>
      <c r="T371" s="530"/>
      <c r="U371" s="530"/>
      <c r="V371" s="530"/>
      <c r="W371" s="530"/>
      <c r="X371" s="733"/>
      <c r="Y371" s="716"/>
      <c r="Z371" s="716"/>
      <c r="AA371" s="716"/>
      <c r="AB371" s="716"/>
      <c r="AC371" s="716"/>
      <c r="AD371" s="716"/>
      <c r="AE371" s="716"/>
      <c r="AF371" s="716"/>
      <c r="AG371" s="716"/>
      <c r="AH371" s="716"/>
      <c r="AI371" s="716"/>
      <c r="AJ371" s="716"/>
      <c r="AK371" s="716"/>
      <c r="AL371" s="716"/>
      <c r="AM371" s="716"/>
      <c r="AN371" s="716"/>
      <c r="AO371" s="716"/>
      <c r="AP371" s="716"/>
      <c r="AQ371" s="716"/>
      <c r="AR371" s="716"/>
    </row>
    <row r="372">
      <c r="A372" s="716"/>
      <c r="B372" s="530"/>
      <c r="C372" s="530"/>
      <c r="D372" s="530"/>
      <c r="E372" s="530"/>
      <c r="F372" s="530"/>
      <c r="G372" s="530"/>
      <c r="H372" s="530"/>
      <c r="I372" s="530"/>
      <c r="J372" s="530"/>
      <c r="K372" s="530"/>
      <c r="L372" s="530"/>
      <c r="M372" s="530"/>
      <c r="N372" s="530"/>
      <c r="O372" s="530"/>
      <c r="P372" s="530"/>
      <c r="Q372" s="530"/>
      <c r="R372" s="530"/>
      <c r="S372" s="530"/>
      <c r="T372" s="530"/>
      <c r="U372" s="530"/>
      <c r="V372" s="530"/>
      <c r="W372" s="530"/>
      <c r="X372" s="733"/>
      <c r="Y372" s="716"/>
      <c r="Z372" s="716"/>
      <c r="AA372" s="716"/>
      <c r="AB372" s="716"/>
      <c r="AC372" s="716"/>
      <c r="AD372" s="716"/>
      <c r="AE372" s="716"/>
      <c r="AF372" s="716"/>
      <c r="AG372" s="716"/>
      <c r="AH372" s="716"/>
      <c r="AI372" s="716"/>
      <c r="AJ372" s="716"/>
      <c r="AK372" s="716"/>
      <c r="AL372" s="716"/>
      <c r="AM372" s="716"/>
      <c r="AN372" s="716"/>
      <c r="AO372" s="716"/>
      <c r="AP372" s="716"/>
      <c r="AQ372" s="716"/>
      <c r="AR372" s="716"/>
    </row>
    <row r="373">
      <c r="A373" s="716"/>
      <c r="B373" s="530"/>
      <c r="C373" s="530"/>
      <c r="D373" s="530"/>
      <c r="E373" s="530"/>
      <c r="F373" s="530"/>
      <c r="G373" s="530"/>
      <c r="H373" s="530"/>
      <c r="I373" s="530"/>
      <c r="J373" s="530"/>
      <c r="K373" s="530"/>
      <c r="L373" s="530"/>
      <c r="M373" s="530"/>
      <c r="N373" s="530"/>
      <c r="O373" s="530"/>
      <c r="P373" s="530"/>
      <c r="Q373" s="530"/>
      <c r="R373" s="530"/>
      <c r="S373" s="530"/>
      <c r="T373" s="530"/>
      <c r="U373" s="530"/>
      <c r="V373" s="530"/>
      <c r="W373" s="530"/>
      <c r="X373" s="733"/>
      <c r="Y373" s="716"/>
      <c r="Z373" s="716"/>
      <c r="AA373" s="716"/>
      <c r="AB373" s="716"/>
      <c r="AC373" s="716"/>
      <c r="AD373" s="716"/>
      <c r="AE373" s="716"/>
      <c r="AF373" s="716"/>
      <c r="AG373" s="716"/>
      <c r="AH373" s="716"/>
      <c r="AI373" s="716"/>
      <c r="AJ373" s="716"/>
      <c r="AK373" s="716"/>
      <c r="AL373" s="716"/>
      <c r="AM373" s="716"/>
      <c r="AN373" s="716"/>
      <c r="AO373" s="716"/>
      <c r="AP373" s="716"/>
      <c r="AQ373" s="716"/>
      <c r="AR373" s="716"/>
    </row>
    <row r="374">
      <c r="A374" s="716"/>
      <c r="B374" s="530"/>
      <c r="C374" s="530"/>
      <c r="D374" s="530"/>
      <c r="E374" s="530"/>
      <c r="F374" s="530"/>
      <c r="G374" s="530"/>
      <c r="H374" s="530"/>
      <c r="I374" s="530"/>
      <c r="J374" s="530"/>
      <c r="K374" s="530"/>
      <c r="L374" s="530"/>
      <c r="M374" s="530"/>
      <c r="N374" s="530"/>
      <c r="O374" s="530"/>
      <c r="P374" s="530"/>
      <c r="Q374" s="530"/>
      <c r="R374" s="530"/>
      <c r="S374" s="530"/>
      <c r="T374" s="530"/>
      <c r="U374" s="530"/>
      <c r="V374" s="530"/>
      <c r="W374" s="530"/>
      <c r="X374" s="733"/>
      <c r="Y374" s="716"/>
      <c r="Z374" s="716"/>
      <c r="AA374" s="716"/>
      <c r="AB374" s="716"/>
      <c r="AC374" s="716"/>
      <c r="AD374" s="716"/>
      <c r="AE374" s="716"/>
      <c r="AF374" s="716"/>
      <c r="AG374" s="716"/>
      <c r="AH374" s="716"/>
      <c r="AI374" s="716"/>
      <c r="AJ374" s="716"/>
      <c r="AK374" s="716"/>
      <c r="AL374" s="716"/>
      <c r="AM374" s="716"/>
      <c r="AN374" s="716"/>
      <c r="AO374" s="716"/>
      <c r="AP374" s="716"/>
      <c r="AQ374" s="716"/>
      <c r="AR374" s="716"/>
    </row>
    <row r="375">
      <c r="A375" s="716"/>
      <c r="B375" s="530"/>
      <c r="C375" s="530"/>
      <c r="D375" s="530"/>
      <c r="E375" s="530"/>
      <c r="F375" s="530"/>
      <c r="G375" s="530"/>
      <c r="H375" s="530"/>
      <c r="I375" s="530"/>
      <c r="J375" s="530"/>
      <c r="K375" s="530"/>
      <c r="L375" s="530"/>
      <c r="M375" s="530"/>
      <c r="N375" s="530"/>
      <c r="O375" s="530"/>
      <c r="P375" s="530"/>
      <c r="Q375" s="530"/>
      <c r="R375" s="530"/>
      <c r="S375" s="530"/>
      <c r="T375" s="530"/>
      <c r="U375" s="530"/>
      <c r="V375" s="530"/>
      <c r="W375" s="530"/>
      <c r="X375" s="733"/>
      <c r="Y375" s="716"/>
      <c r="Z375" s="716"/>
      <c r="AA375" s="716"/>
      <c r="AB375" s="716"/>
      <c r="AC375" s="716"/>
      <c r="AD375" s="716"/>
      <c r="AE375" s="716"/>
      <c r="AF375" s="716"/>
      <c r="AG375" s="716"/>
      <c r="AH375" s="716"/>
      <c r="AI375" s="716"/>
      <c r="AJ375" s="716"/>
      <c r="AK375" s="716"/>
      <c r="AL375" s="716"/>
      <c r="AM375" s="716"/>
      <c r="AN375" s="716"/>
      <c r="AO375" s="716"/>
      <c r="AP375" s="716"/>
      <c r="AQ375" s="716"/>
      <c r="AR375" s="716"/>
    </row>
    <row r="376">
      <c r="A376" s="716"/>
      <c r="B376" s="530"/>
      <c r="C376" s="530"/>
      <c r="D376" s="530"/>
      <c r="E376" s="530"/>
      <c r="F376" s="530"/>
      <c r="G376" s="530"/>
      <c r="H376" s="530"/>
      <c r="I376" s="530"/>
      <c r="J376" s="530"/>
      <c r="K376" s="530"/>
      <c r="L376" s="530"/>
      <c r="M376" s="530"/>
      <c r="N376" s="530"/>
      <c r="O376" s="530"/>
      <c r="P376" s="530"/>
      <c r="Q376" s="530"/>
      <c r="R376" s="530"/>
      <c r="S376" s="530"/>
      <c r="T376" s="530"/>
      <c r="U376" s="530"/>
      <c r="V376" s="530"/>
      <c r="W376" s="530"/>
      <c r="X376" s="733"/>
      <c r="Y376" s="716"/>
      <c r="Z376" s="716"/>
      <c r="AA376" s="716"/>
      <c r="AB376" s="716"/>
      <c r="AC376" s="716"/>
      <c r="AD376" s="716"/>
      <c r="AE376" s="716"/>
      <c r="AF376" s="716"/>
      <c r="AG376" s="716"/>
      <c r="AH376" s="716"/>
      <c r="AI376" s="716"/>
      <c r="AJ376" s="716"/>
      <c r="AK376" s="716"/>
      <c r="AL376" s="716"/>
      <c r="AM376" s="716"/>
      <c r="AN376" s="716"/>
      <c r="AO376" s="716"/>
      <c r="AP376" s="716"/>
      <c r="AQ376" s="716"/>
      <c r="AR376" s="716"/>
    </row>
    <row r="377">
      <c r="A377" s="716"/>
      <c r="B377" s="530"/>
      <c r="C377" s="530"/>
      <c r="D377" s="530"/>
      <c r="E377" s="530"/>
      <c r="F377" s="530"/>
      <c r="G377" s="530"/>
      <c r="H377" s="530"/>
      <c r="I377" s="530"/>
      <c r="J377" s="530"/>
      <c r="K377" s="530"/>
      <c r="L377" s="530"/>
      <c r="M377" s="530"/>
      <c r="N377" s="530"/>
      <c r="O377" s="530"/>
      <c r="P377" s="530"/>
      <c r="Q377" s="530"/>
      <c r="R377" s="530"/>
      <c r="S377" s="530"/>
      <c r="T377" s="530"/>
      <c r="U377" s="530"/>
      <c r="V377" s="530"/>
      <c r="W377" s="530"/>
      <c r="X377" s="733"/>
      <c r="Y377" s="716"/>
      <c r="Z377" s="716"/>
      <c r="AA377" s="716"/>
      <c r="AB377" s="716"/>
      <c r="AC377" s="716"/>
      <c r="AD377" s="716"/>
      <c r="AE377" s="716"/>
      <c r="AF377" s="716"/>
      <c r="AG377" s="716"/>
      <c r="AH377" s="716"/>
      <c r="AI377" s="716"/>
      <c r="AJ377" s="716"/>
      <c r="AK377" s="716"/>
      <c r="AL377" s="716"/>
      <c r="AM377" s="716"/>
      <c r="AN377" s="716"/>
      <c r="AO377" s="716"/>
      <c r="AP377" s="716"/>
      <c r="AQ377" s="716"/>
      <c r="AR377" s="716"/>
    </row>
    <row r="378">
      <c r="A378" s="716"/>
      <c r="B378" s="530"/>
      <c r="C378" s="530"/>
      <c r="D378" s="530"/>
      <c r="E378" s="530"/>
      <c r="F378" s="530"/>
      <c r="G378" s="530"/>
      <c r="H378" s="530"/>
      <c r="I378" s="530"/>
      <c r="J378" s="530"/>
      <c r="K378" s="530"/>
      <c r="L378" s="530"/>
      <c r="M378" s="530"/>
      <c r="N378" s="530"/>
      <c r="O378" s="530"/>
      <c r="P378" s="530"/>
      <c r="Q378" s="530"/>
      <c r="R378" s="530"/>
      <c r="S378" s="530"/>
      <c r="T378" s="530"/>
      <c r="U378" s="530"/>
      <c r="V378" s="530"/>
      <c r="W378" s="530"/>
      <c r="X378" s="733"/>
      <c r="Y378" s="716"/>
      <c r="Z378" s="716"/>
      <c r="AA378" s="716"/>
      <c r="AB378" s="716"/>
      <c r="AC378" s="716"/>
      <c r="AD378" s="716"/>
      <c r="AE378" s="716"/>
      <c r="AF378" s="716"/>
      <c r="AG378" s="716"/>
      <c r="AH378" s="716"/>
      <c r="AI378" s="716"/>
      <c r="AJ378" s="716"/>
      <c r="AK378" s="716"/>
      <c r="AL378" s="716"/>
      <c r="AM378" s="716"/>
      <c r="AN378" s="716"/>
      <c r="AO378" s="716"/>
      <c r="AP378" s="716"/>
      <c r="AQ378" s="716"/>
      <c r="AR378" s="716"/>
    </row>
    <row r="379">
      <c r="A379" s="716"/>
      <c r="B379" s="530"/>
      <c r="C379" s="530"/>
      <c r="D379" s="530"/>
      <c r="E379" s="530"/>
      <c r="F379" s="530"/>
      <c r="G379" s="530"/>
      <c r="H379" s="530"/>
      <c r="I379" s="530"/>
      <c r="J379" s="530"/>
      <c r="K379" s="530"/>
      <c r="L379" s="530"/>
      <c r="M379" s="530"/>
      <c r="N379" s="530"/>
      <c r="O379" s="530"/>
      <c r="P379" s="530"/>
      <c r="Q379" s="530"/>
      <c r="R379" s="530"/>
      <c r="S379" s="530"/>
      <c r="T379" s="530"/>
      <c r="U379" s="530"/>
      <c r="V379" s="530"/>
      <c r="W379" s="530"/>
      <c r="X379" s="733"/>
      <c r="Y379" s="716"/>
      <c r="Z379" s="716"/>
      <c r="AA379" s="716"/>
      <c r="AB379" s="716"/>
      <c r="AC379" s="716"/>
      <c r="AD379" s="716"/>
      <c r="AE379" s="716"/>
      <c r="AF379" s="716"/>
      <c r="AG379" s="716"/>
      <c r="AH379" s="716"/>
      <c r="AI379" s="716"/>
      <c r="AJ379" s="716"/>
      <c r="AK379" s="716"/>
      <c r="AL379" s="716"/>
      <c r="AM379" s="716"/>
      <c r="AN379" s="716"/>
      <c r="AO379" s="716"/>
      <c r="AP379" s="716"/>
      <c r="AQ379" s="716"/>
      <c r="AR379" s="716"/>
    </row>
    <row r="380">
      <c r="A380" s="716"/>
      <c r="B380" s="530"/>
      <c r="C380" s="530"/>
      <c r="D380" s="530"/>
      <c r="E380" s="530"/>
      <c r="F380" s="530"/>
      <c r="G380" s="530"/>
      <c r="H380" s="530"/>
      <c r="I380" s="530"/>
      <c r="J380" s="530"/>
      <c r="K380" s="530"/>
      <c r="L380" s="530"/>
      <c r="M380" s="530"/>
      <c r="N380" s="530"/>
      <c r="O380" s="530"/>
      <c r="P380" s="530"/>
      <c r="Q380" s="530"/>
      <c r="R380" s="530"/>
      <c r="S380" s="530"/>
      <c r="T380" s="530"/>
      <c r="U380" s="530"/>
      <c r="V380" s="530"/>
      <c r="W380" s="530"/>
      <c r="X380" s="733"/>
      <c r="Y380" s="716"/>
      <c r="Z380" s="716"/>
      <c r="AA380" s="716"/>
      <c r="AB380" s="716"/>
      <c r="AC380" s="716"/>
      <c r="AD380" s="716"/>
      <c r="AE380" s="716"/>
      <c r="AF380" s="716"/>
      <c r="AG380" s="716"/>
      <c r="AH380" s="716"/>
      <c r="AI380" s="716"/>
      <c r="AJ380" s="716"/>
      <c r="AK380" s="716"/>
      <c r="AL380" s="716"/>
      <c r="AM380" s="716"/>
      <c r="AN380" s="716"/>
      <c r="AO380" s="716"/>
      <c r="AP380" s="716"/>
      <c r="AQ380" s="716"/>
      <c r="AR380" s="716"/>
    </row>
    <row r="381">
      <c r="A381" s="716"/>
      <c r="B381" s="530"/>
      <c r="C381" s="530"/>
      <c r="D381" s="530"/>
      <c r="E381" s="530"/>
      <c r="F381" s="530"/>
      <c r="G381" s="530"/>
      <c r="H381" s="530"/>
      <c r="I381" s="530"/>
      <c r="J381" s="530"/>
      <c r="K381" s="530"/>
      <c r="L381" s="530"/>
      <c r="M381" s="530"/>
      <c r="N381" s="530"/>
      <c r="O381" s="530"/>
      <c r="P381" s="530"/>
      <c r="Q381" s="530"/>
      <c r="R381" s="530"/>
      <c r="S381" s="530"/>
      <c r="T381" s="530"/>
      <c r="U381" s="530"/>
      <c r="V381" s="530"/>
      <c r="W381" s="530"/>
      <c r="X381" s="733"/>
      <c r="Y381" s="716"/>
      <c r="Z381" s="716"/>
      <c r="AA381" s="716"/>
      <c r="AB381" s="716"/>
      <c r="AC381" s="716"/>
      <c r="AD381" s="716"/>
      <c r="AE381" s="716"/>
      <c r="AF381" s="716"/>
      <c r="AG381" s="716"/>
      <c r="AH381" s="716"/>
      <c r="AI381" s="716"/>
      <c r="AJ381" s="716"/>
      <c r="AK381" s="716"/>
      <c r="AL381" s="716"/>
      <c r="AM381" s="716"/>
      <c r="AN381" s="716"/>
      <c r="AO381" s="716"/>
      <c r="AP381" s="716"/>
      <c r="AQ381" s="716"/>
      <c r="AR381" s="716"/>
    </row>
    <row r="382">
      <c r="A382" s="716"/>
      <c r="B382" s="530"/>
      <c r="C382" s="530"/>
      <c r="D382" s="530"/>
      <c r="E382" s="530"/>
      <c r="F382" s="530"/>
      <c r="G382" s="530"/>
      <c r="H382" s="530"/>
      <c r="I382" s="530"/>
      <c r="J382" s="530"/>
      <c r="K382" s="530"/>
      <c r="L382" s="530"/>
      <c r="M382" s="530"/>
      <c r="N382" s="530"/>
      <c r="O382" s="530"/>
      <c r="P382" s="530"/>
      <c r="Q382" s="530"/>
      <c r="R382" s="530"/>
      <c r="S382" s="530"/>
      <c r="T382" s="530"/>
      <c r="U382" s="530"/>
      <c r="V382" s="530"/>
      <c r="W382" s="530"/>
      <c r="X382" s="733"/>
      <c r="Y382" s="716"/>
      <c r="Z382" s="716"/>
      <c r="AA382" s="716"/>
      <c r="AB382" s="716"/>
      <c r="AC382" s="716"/>
      <c r="AD382" s="716"/>
      <c r="AE382" s="716"/>
      <c r="AF382" s="716"/>
      <c r="AG382" s="716"/>
      <c r="AH382" s="716"/>
      <c r="AI382" s="716"/>
      <c r="AJ382" s="716"/>
      <c r="AK382" s="716"/>
      <c r="AL382" s="716"/>
      <c r="AM382" s="716"/>
      <c r="AN382" s="716"/>
      <c r="AO382" s="716"/>
      <c r="AP382" s="716"/>
      <c r="AQ382" s="716"/>
      <c r="AR382" s="716"/>
    </row>
    <row r="383">
      <c r="A383" s="716"/>
      <c r="B383" s="530"/>
      <c r="C383" s="530"/>
      <c r="D383" s="530"/>
      <c r="E383" s="530"/>
      <c r="F383" s="530"/>
      <c r="G383" s="530"/>
      <c r="H383" s="530"/>
      <c r="I383" s="530"/>
      <c r="J383" s="530"/>
      <c r="K383" s="530"/>
      <c r="L383" s="530"/>
      <c r="M383" s="530"/>
      <c r="N383" s="530"/>
      <c r="O383" s="530"/>
      <c r="P383" s="530"/>
      <c r="Q383" s="530"/>
      <c r="R383" s="530"/>
      <c r="S383" s="530"/>
      <c r="T383" s="530"/>
      <c r="U383" s="530"/>
      <c r="V383" s="530"/>
      <c r="W383" s="530"/>
      <c r="X383" s="733"/>
      <c r="Y383" s="716"/>
      <c r="Z383" s="716"/>
      <c r="AA383" s="716"/>
      <c r="AB383" s="716"/>
      <c r="AC383" s="716"/>
      <c r="AD383" s="716"/>
      <c r="AE383" s="716"/>
      <c r="AF383" s="716"/>
      <c r="AG383" s="716"/>
      <c r="AH383" s="716"/>
      <c r="AI383" s="716"/>
      <c r="AJ383" s="716"/>
      <c r="AK383" s="716"/>
      <c r="AL383" s="716"/>
      <c r="AM383" s="716"/>
      <c r="AN383" s="716"/>
      <c r="AO383" s="716"/>
      <c r="AP383" s="716"/>
      <c r="AQ383" s="716"/>
      <c r="AR383" s="716"/>
    </row>
    <row r="384">
      <c r="A384" s="716"/>
      <c r="B384" s="530"/>
      <c r="C384" s="530"/>
      <c r="D384" s="530"/>
      <c r="E384" s="530"/>
      <c r="F384" s="530"/>
      <c r="G384" s="530"/>
      <c r="H384" s="530"/>
      <c r="I384" s="530"/>
      <c r="J384" s="530"/>
      <c r="K384" s="530"/>
      <c r="L384" s="530"/>
      <c r="M384" s="530"/>
      <c r="N384" s="530"/>
      <c r="O384" s="530"/>
      <c r="P384" s="530"/>
      <c r="Q384" s="530"/>
      <c r="R384" s="530"/>
      <c r="S384" s="530"/>
      <c r="T384" s="530"/>
      <c r="U384" s="530"/>
      <c r="V384" s="530"/>
      <c r="W384" s="530"/>
      <c r="X384" s="733"/>
      <c r="Y384" s="716"/>
      <c r="Z384" s="716"/>
      <c r="AA384" s="716"/>
      <c r="AB384" s="716"/>
      <c r="AC384" s="716"/>
      <c r="AD384" s="716"/>
      <c r="AE384" s="716"/>
      <c r="AF384" s="716"/>
      <c r="AG384" s="716"/>
      <c r="AH384" s="716"/>
      <c r="AI384" s="716"/>
      <c r="AJ384" s="716"/>
      <c r="AK384" s="716"/>
      <c r="AL384" s="716"/>
      <c r="AM384" s="716"/>
      <c r="AN384" s="716"/>
      <c r="AO384" s="716"/>
      <c r="AP384" s="716"/>
      <c r="AQ384" s="716"/>
      <c r="AR384" s="716"/>
    </row>
    <row r="385">
      <c r="A385" s="716"/>
      <c r="B385" s="530"/>
      <c r="C385" s="530"/>
      <c r="D385" s="530"/>
      <c r="E385" s="530"/>
      <c r="F385" s="530"/>
      <c r="G385" s="530"/>
      <c r="H385" s="530"/>
      <c r="I385" s="530"/>
      <c r="J385" s="530"/>
      <c r="K385" s="530"/>
      <c r="L385" s="530"/>
      <c r="M385" s="530"/>
      <c r="N385" s="530"/>
      <c r="O385" s="530"/>
      <c r="P385" s="530"/>
      <c r="Q385" s="530"/>
      <c r="R385" s="530"/>
      <c r="S385" s="530"/>
      <c r="T385" s="530"/>
      <c r="U385" s="530"/>
      <c r="V385" s="530"/>
      <c r="W385" s="530"/>
      <c r="X385" s="733"/>
      <c r="Y385" s="716"/>
      <c r="Z385" s="716"/>
      <c r="AA385" s="716"/>
      <c r="AB385" s="716"/>
      <c r="AC385" s="716"/>
      <c r="AD385" s="716"/>
      <c r="AE385" s="716"/>
      <c r="AF385" s="716"/>
      <c r="AG385" s="716"/>
      <c r="AH385" s="716"/>
      <c r="AI385" s="716"/>
      <c r="AJ385" s="716"/>
      <c r="AK385" s="716"/>
      <c r="AL385" s="716"/>
      <c r="AM385" s="716"/>
      <c r="AN385" s="716"/>
      <c r="AO385" s="716"/>
      <c r="AP385" s="716"/>
      <c r="AQ385" s="716"/>
      <c r="AR385" s="716"/>
    </row>
    <row r="386">
      <c r="A386" s="716"/>
      <c r="B386" s="530"/>
      <c r="C386" s="530"/>
      <c r="D386" s="530"/>
      <c r="E386" s="530"/>
      <c r="F386" s="530"/>
      <c r="G386" s="530"/>
      <c r="H386" s="530"/>
      <c r="I386" s="530"/>
      <c r="J386" s="530"/>
      <c r="K386" s="530"/>
      <c r="L386" s="530"/>
      <c r="M386" s="530"/>
      <c r="N386" s="530"/>
      <c r="O386" s="530"/>
      <c r="P386" s="530"/>
      <c r="Q386" s="530"/>
      <c r="R386" s="530"/>
      <c r="S386" s="530"/>
      <c r="T386" s="530"/>
      <c r="U386" s="530"/>
      <c r="V386" s="530"/>
      <c r="W386" s="530"/>
      <c r="X386" s="733"/>
      <c r="Y386" s="716"/>
      <c r="Z386" s="716"/>
      <c r="AA386" s="716"/>
      <c r="AB386" s="716"/>
      <c r="AC386" s="716"/>
      <c r="AD386" s="716"/>
      <c r="AE386" s="716"/>
      <c r="AF386" s="716"/>
      <c r="AG386" s="716"/>
      <c r="AH386" s="716"/>
      <c r="AI386" s="716"/>
      <c r="AJ386" s="716"/>
      <c r="AK386" s="716"/>
      <c r="AL386" s="716"/>
      <c r="AM386" s="716"/>
      <c r="AN386" s="716"/>
      <c r="AO386" s="716"/>
      <c r="AP386" s="716"/>
      <c r="AQ386" s="716"/>
      <c r="AR386" s="716"/>
    </row>
    <row r="387">
      <c r="A387" s="716"/>
      <c r="B387" s="530"/>
      <c r="C387" s="530"/>
      <c r="D387" s="530"/>
      <c r="E387" s="530"/>
      <c r="F387" s="530"/>
      <c r="G387" s="530"/>
      <c r="H387" s="530"/>
      <c r="I387" s="530"/>
      <c r="J387" s="530"/>
      <c r="K387" s="530"/>
      <c r="L387" s="530"/>
      <c r="M387" s="530"/>
      <c r="N387" s="530"/>
      <c r="O387" s="530"/>
      <c r="P387" s="530"/>
      <c r="Q387" s="530"/>
      <c r="R387" s="530"/>
      <c r="S387" s="530"/>
      <c r="T387" s="530"/>
      <c r="U387" s="530"/>
      <c r="V387" s="530"/>
      <c r="W387" s="530"/>
      <c r="X387" s="733"/>
      <c r="Y387" s="716"/>
      <c r="Z387" s="716"/>
      <c r="AA387" s="716"/>
      <c r="AB387" s="716"/>
      <c r="AC387" s="716"/>
      <c r="AD387" s="716"/>
      <c r="AE387" s="716"/>
      <c r="AF387" s="716"/>
      <c r="AG387" s="716"/>
      <c r="AH387" s="716"/>
      <c r="AI387" s="716"/>
      <c r="AJ387" s="716"/>
      <c r="AK387" s="716"/>
      <c r="AL387" s="716"/>
      <c r="AM387" s="716"/>
      <c r="AN387" s="716"/>
      <c r="AO387" s="716"/>
      <c r="AP387" s="716"/>
      <c r="AQ387" s="716"/>
      <c r="AR387" s="716"/>
    </row>
    <row r="388">
      <c r="A388" s="716"/>
      <c r="B388" s="530"/>
      <c r="C388" s="530"/>
      <c r="D388" s="530"/>
      <c r="E388" s="530"/>
      <c r="F388" s="530"/>
      <c r="G388" s="530"/>
      <c r="H388" s="530"/>
      <c r="I388" s="530"/>
      <c r="J388" s="530"/>
      <c r="K388" s="530"/>
      <c r="L388" s="530"/>
      <c r="M388" s="530"/>
      <c r="N388" s="530"/>
      <c r="O388" s="530"/>
      <c r="P388" s="530"/>
      <c r="Q388" s="530"/>
      <c r="R388" s="530"/>
      <c r="S388" s="530"/>
      <c r="T388" s="530"/>
      <c r="U388" s="530"/>
      <c r="V388" s="530"/>
      <c r="W388" s="530"/>
      <c r="X388" s="733"/>
      <c r="Y388" s="716"/>
      <c r="Z388" s="716"/>
      <c r="AA388" s="716"/>
      <c r="AB388" s="716"/>
      <c r="AC388" s="716"/>
      <c r="AD388" s="716"/>
      <c r="AE388" s="716"/>
      <c r="AF388" s="716"/>
      <c r="AG388" s="716"/>
      <c r="AH388" s="716"/>
      <c r="AI388" s="716"/>
      <c r="AJ388" s="716"/>
      <c r="AK388" s="716"/>
      <c r="AL388" s="716"/>
      <c r="AM388" s="716"/>
      <c r="AN388" s="716"/>
      <c r="AO388" s="716"/>
      <c r="AP388" s="716"/>
      <c r="AQ388" s="716"/>
      <c r="AR388" s="716"/>
    </row>
    <row r="389">
      <c r="A389" s="716"/>
      <c r="B389" s="530"/>
      <c r="C389" s="530"/>
      <c r="D389" s="530"/>
      <c r="E389" s="530"/>
      <c r="F389" s="530"/>
      <c r="G389" s="530"/>
      <c r="H389" s="530"/>
      <c r="I389" s="530"/>
      <c r="J389" s="530"/>
      <c r="K389" s="530"/>
      <c r="L389" s="530"/>
      <c r="M389" s="530"/>
      <c r="N389" s="530"/>
      <c r="O389" s="530"/>
      <c r="P389" s="530"/>
      <c r="Q389" s="530"/>
      <c r="R389" s="530"/>
      <c r="S389" s="530"/>
      <c r="T389" s="530"/>
      <c r="U389" s="530"/>
      <c r="V389" s="530"/>
      <c r="W389" s="530"/>
      <c r="X389" s="733"/>
      <c r="Y389" s="716"/>
      <c r="Z389" s="716"/>
      <c r="AA389" s="716"/>
      <c r="AB389" s="716"/>
      <c r="AC389" s="716"/>
      <c r="AD389" s="716"/>
      <c r="AE389" s="716"/>
      <c r="AF389" s="716"/>
      <c r="AG389" s="716"/>
      <c r="AH389" s="716"/>
      <c r="AI389" s="716"/>
      <c r="AJ389" s="716"/>
      <c r="AK389" s="716"/>
      <c r="AL389" s="716"/>
      <c r="AM389" s="716"/>
      <c r="AN389" s="716"/>
      <c r="AO389" s="716"/>
      <c r="AP389" s="716"/>
      <c r="AQ389" s="716"/>
      <c r="AR389" s="716"/>
    </row>
    <row r="390">
      <c r="A390" s="716"/>
      <c r="B390" s="530"/>
      <c r="C390" s="530"/>
      <c r="D390" s="530"/>
      <c r="E390" s="530"/>
      <c r="F390" s="530"/>
      <c r="G390" s="530"/>
      <c r="H390" s="530"/>
      <c r="I390" s="530"/>
      <c r="J390" s="530"/>
      <c r="K390" s="530"/>
      <c r="L390" s="530"/>
      <c r="M390" s="530"/>
      <c r="N390" s="530"/>
      <c r="O390" s="530"/>
      <c r="P390" s="530"/>
      <c r="Q390" s="530"/>
      <c r="R390" s="530"/>
      <c r="S390" s="530"/>
      <c r="T390" s="530"/>
      <c r="U390" s="530"/>
      <c r="V390" s="530"/>
      <c r="W390" s="530"/>
      <c r="X390" s="733"/>
      <c r="Y390" s="716"/>
      <c r="Z390" s="716"/>
      <c r="AA390" s="716"/>
      <c r="AB390" s="716"/>
      <c r="AC390" s="716"/>
      <c r="AD390" s="716"/>
      <c r="AE390" s="716"/>
      <c r="AF390" s="716"/>
      <c r="AG390" s="716"/>
      <c r="AH390" s="716"/>
      <c r="AI390" s="716"/>
      <c r="AJ390" s="716"/>
      <c r="AK390" s="716"/>
      <c r="AL390" s="716"/>
      <c r="AM390" s="716"/>
      <c r="AN390" s="716"/>
      <c r="AO390" s="716"/>
      <c r="AP390" s="716"/>
      <c r="AQ390" s="716"/>
      <c r="AR390" s="716"/>
    </row>
    <row r="391">
      <c r="A391" s="716"/>
      <c r="B391" s="530"/>
      <c r="C391" s="530"/>
      <c r="D391" s="530"/>
      <c r="E391" s="530"/>
      <c r="F391" s="530"/>
      <c r="G391" s="530"/>
      <c r="H391" s="530"/>
      <c r="I391" s="530"/>
      <c r="J391" s="530"/>
      <c r="K391" s="530"/>
      <c r="L391" s="530"/>
      <c r="M391" s="530"/>
      <c r="N391" s="530"/>
      <c r="O391" s="530"/>
      <c r="P391" s="530"/>
      <c r="Q391" s="530"/>
      <c r="R391" s="530"/>
      <c r="S391" s="530"/>
      <c r="T391" s="530"/>
      <c r="U391" s="530"/>
      <c r="V391" s="530"/>
      <c r="W391" s="530"/>
      <c r="X391" s="733"/>
      <c r="Y391" s="716"/>
      <c r="Z391" s="716"/>
      <c r="AA391" s="716"/>
      <c r="AB391" s="716"/>
      <c r="AC391" s="716"/>
      <c r="AD391" s="716"/>
      <c r="AE391" s="716"/>
      <c r="AF391" s="716"/>
      <c r="AG391" s="716"/>
      <c r="AH391" s="716"/>
      <c r="AI391" s="716"/>
      <c r="AJ391" s="716"/>
      <c r="AK391" s="716"/>
      <c r="AL391" s="716"/>
      <c r="AM391" s="716"/>
      <c r="AN391" s="716"/>
      <c r="AO391" s="716"/>
      <c r="AP391" s="716"/>
      <c r="AQ391" s="716"/>
      <c r="AR391" s="716"/>
    </row>
    <row r="392">
      <c r="A392" s="716"/>
      <c r="B392" s="530"/>
      <c r="C392" s="530"/>
      <c r="D392" s="530"/>
      <c r="E392" s="530"/>
      <c r="F392" s="530"/>
      <c r="G392" s="530"/>
      <c r="H392" s="530"/>
      <c r="I392" s="530"/>
      <c r="J392" s="530"/>
      <c r="K392" s="530"/>
      <c r="L392" s="530"/>
      <c r="M392" s="530"/>
      <c r="N392" s="530"/>
      <c r="O392" s="530"/>
      <c r="P392" s="530"/>
      <c r="Q392" s="530"/>
      <c r="R392" s="530"/>
      <c r="S392" s="530"/>
      <c r="T392" s="530"/>
      <c r="U392" s="530"/>
      <c r="V392" s="530"/>
      <c r="W392" s="530"/>
      <c r="X392" s="733"/>
      <c r="Y392" s="716"/>
      <c r="Z392" s="716"/>
      <c r="AA392" s="716"/>
      <c r="AB392" s="716"/>
      <c r="AC392" s="716"/>
      <c r="AD392" s="716"/>
      <c r="AE392" s="716"/>
      <c r="AF392" s="716"/>
      <c r="AG392" s="716"/>
      <c r="AH392" s="716"/>
      <c r="AI392" s="716"/>
      <c r="AJ392" s="716"/>
      <c r="AK392" s="716"/>
      <c r="AL392" s="716"/>
      <c r="AM392" s="716"/>
      <c r="AN392" s="716"/>
      <c r="AO392" s="716"/>
      <c r="AP392" s="716"/>
      <c r="AQ392" s="716"/>
      <c r="AR392" s="716"/>
    </row>
    <row r="393">
      <c r="A393" s="716"/>
      <c r="B393" s="530"/>
      <c r="C393" s="530"/>
      <c r="D393" s="530"/>
      <c r="E393" s="530"/>
      <c r="F393" s="530"/>
      <c r="G393" s="530"/>
      <c r="H393" s="530"/>
      <c r="I393" s="530"/>
      <c r="J393" s="530"/>
      <c r="K393" s="530"/>
      <c r="L393" s="530"/>
      <c r="M393" s="530"/>
      <c r="N393" s="530"/>
      <c r="O393" s="530"/>
      <c r="P393" s="530"/>
      <c r="Q393" s="530"/>
      <c r="R393" s="530"/>
      <c r="S393" s="530"/>
      <c r="T393" s="530"/>
      <c r="U393" s="530"/>
      <c r="V393" s="530"/>
      <c r="W393" s="530"/>
      <c r="X393" s="733"/>
      <c r="Y393" s="716"/>
      <c r="Z393" s="716"/>
      <c r="AA393" s="716"/>
      <c r="AB393" s="716"/>
      <c r="AC393" s="716"/>
      <c r="AD393" s="716"/>
      <c r="AE393" s="716"/>
      <c r="AF393" s="716"/>
      <c r="AG393" s="716"/>
      <c r="AH393" s="716"/>
      <c r="AI393" s="716"/>
      <c r="AJ393" s="716"/>
      <c r="AK393" s="716"/>
      <c r="AL393" s="716"/>
      <c r="AM393" s="716"/>
      <c r="AN393" s="716"/>
      <c r="AO393" s="716"/>
      <c r="AP393" s="716"/>
      <c r="AQ393" s="716"/>
      <c r="AR393" s="716"/>
    </row>
    <row r="394">
      <c r="A394" s="716"/>
      <c r="B394" s="530"/>
      <c r="C394" s="530"/>
      <c r="D394" s="530"/>
      <c r="E394" s="530"/>
      <c r="F394" s="530"/>
      <c r="G394" s="530"/>
      <c r="H394" s="530"/>
      <c r="I394" s="530"/>
      <c r="J394" s="530"/>
      <c r="K394" s="530"/>
      <c r="L394" s="530"/>
      <c r="M394" s="530"/>
      <c r="N394" s="530"/>
      <c r="O394" s="530"/>
      <c r="P394" s="530"/>
      <c r="Q394" s="530"/>
      <c r="R394" s="530"/>
      <c r="S394" s="530"/>
      <c r="T394" s="530"/>
      <c r="U394" s="530"/>
      <c r="V394" s="530"/>
      <c r="W394" s="530"/>
      <c r="X394" s="733"/>
      <c r="Y394" s="716"/>
      <c r="Z394" s="716"/>
      <c r="AA394" s="716"/>
      <c r="AB394" s="716"/>
      <c r="AC394" s="716"/>
      <c r="AD394" s="716"/>
      <c r="AE394" s="716"/>
      <c r="AF394" s="716"/>
      <c r="AG394" s="716"/>
      <c r="AH394" s="716"/>
      <c r="AI394" s="716"/>
      <c r="AJ394" s="716"/>
      <c r="AK394" s="716"/>
      <c r="AL394" s="716"/>
      <c r="AM394" s="716"/>
      <c r="AN394" s="716"/>
      <c r="AO394" s="716"/>
      <c r="AP394" s="716"/>
      <c r="AQ394" s="716"/>
      <c r="AR394" s="716"/>
    </row>
    <row r="395">
      <c r="A395" s="716"/>
      <c r="B395" s="530"/>
      <c r="C395" s="530"/>
      <c r="D395" s="530"/>
      <c r="E395" s="530"/>
      <c r="F395" s="530"/>
      <c r="G395" s="530"/>
      <c r="H395" s="530"/>
      <c r="I395" s="530"/>
      <c r="J395" s="530"/>
      <c r="K395" s="530"/>
      <c r="L395" s="530"/>
      <c r="M395" s="530"/>
      <c r="N395" s="530"/>
      <c r="O395" s="530"/>
      <c r="P395" s="530"/>
      <c r="Q395" s="530"/>
      <c r="R395" s="530"/>
      <c r="S395" s="530"/>
      <c r="T395" s="530"/>
      <c r="U395" s="530"/>
      <c r="V395" s="530"/>
      <c r="W395" s="530"/>
      <c r="X395" s="733"/>
      <c r="Y395" s="716"/>
      <c r="Z395" s="716"/>
      <c r="AA395" s="716"/>
      <c r="AB395" s="716"/>
      <c r="AC395" s="716"/>
      <c r="AD395" s="716"/>
      <c r="AE395" s="716"/>
      <c r="AF395" s="716"/>
      <c r="AG395" s="716"/>
      <c r="AH395" s="716"/>
      <c r="AI395" s="716"/>
      <c r="AJ395" s="716"/>
      <c r="AK395" s="716"/>
      <c r="AL395" s="716"/>
      <c r="AM395" s="716"/>
      <c r="AN395" s="716"/>
      <c r="AO395" s="716"/>
      <c r="AP395" s="716"/>
      <c r="AQ395" s="716"/>
      <c r="AR395" s="716"/>
    </row>
    <row r="396">
      <c r="A396" s="716"/>
      <c r="B396" s="530"/>
      <c r="C396" s="530"/>
      <c r="D396" s="530"/>
      <c r="E396" s="530"/>
      <c r="F396" s="530"/>
      <c r="G396" s="530"/>
      <c r="H396" s="530"/>
      <c r="I396" s="530"/>
      <c r="J396" s="530"/>
      <c r="K396" s="530"/>
      <c r="L396" s="530"/>
      <c r="M396" s="530"/>
      <c r="N396" s="530"/>
      <c r="O396" s="530"/>
      <c r="P396" s="530"/>
      <c r="Q396" s="530"/>
      <c r="R396" s="530"/>
      <c r="S396" s="530"/>
      <c r="T396" s="530"/>
      <c r="U396" s="530"/>
      <c r="V396" s="530"/>
      <c r="W396" s="530"/>
      <c r="X396" s="733"/>
      <c r="Y396" s="716"/>
      <c r="Z396" s="716"/>
      <c r="AA396" s="716"/>
      <c r="AB396" s="716"/>
      <c r="AC396" s="716"/>
      <c r="AD396" s="716"/>
      <c r="AE396" s="716"/>
      <c r="AF396" s="716"/>
      <c r="AG396" s="716"/>
      <c r="AH396" s="716"/>
      <c r="AI396" s="716"/>
      <c r="AJ396" s="716"/>
      <c r="AK396" s="716"/>
      <c r="AL396" s="716"/>
      <c r="AM396" s="716"/>
      <c r="AN396" s="716"/>
      <c r="AO396" s="716"/>
      <c r="AP396" s="716"/>
      <c r="AQ396" s="716"/>
      <c r="AR396" s="716"/>
    </row>
    <row r="397">
      <c r="A397" s="716"/>
      <c r="B397" s="530"/>
      <c r="C397" s="530"/>
      <c r="D397" s="530"/>
      <c r="E397" s="530"/>
      <c r="F397" s="530"/>
      <c r="G397" s="530"/>
      <c r="H397" s="530"/>
      <c r="I397" s="530"/>
      <c r="J397" s="530"/>
      <c r="K397" s="530"/>
      <c r="L397" s="530"/>
      <c r="M397" s="530"/>
      <c r="N397" s="530"/>
      <c r="O397" s="530"/>
      <c r="P397" s="530"/>
      <c r="Q397" s="530"/>
      <c r="R397" s="530"/>
      <c r="S397" s="530"/>
      <c r="T397" s="530"/>
      <c r="U397" s="530"/>
      <c r="V397" s="530"/>
      <c r="W397" s="530"/>
      <c r="X397" s="733"/>
      <c r="Y397" s="716"/>
      <c r="Z397" s="716"/>
      <c r="AA397" s="716"/>
      <c r="AB397" s="716"/>
      <c r="AC397" s="716"/>
      <c r="AD397" s="716"/>
      <c r="AE397" s="716"/>
      <c r="AF397" s="716"/>
      <c r="AG397" s="716"/>
      <c r="AH397" s="716"/>
      <c r="AI397" s="716"/>
      <c r="AJ397" s="716"/>
      <c r="AK397" s="716"/>
      <c r="AL397" s="716"/>
      <c r="AM397" s="716"/>
      <c r="AN397" s="716"/>
      <c r="AO397" s="716"/>
      <c r="AP397" s="716"/>
      <c r="AQ397" s="716"/>
      <c r="AR397" s="716"/>
    </row>
    <row r="398">
      <c r="A398" s="716"/>
      <c r="B398" s="530"/>
      <c r="C398" s="530"/>
      <c r="D398" s="530"/>
      <c r="E398" s="530"/>
      <c r="F398" s="530"/>
      <c r="G398" s="530"/>
      <c r="H398" s="530"/>
      <c r="I398" s="530"/>
      <c r="J398" s="530"/>
      <c r="K398" s="530"/>
      <c r="L398" s="530"/>
      <c r="M398" s="530"/>
      <c r="N398" s="530"/>
      <c r="O398" s="530"/>
      <c r="P398" s="530"/>
      <c r="Q398" s="530"/>
      <c r="R398" s="530"/>
      <c r="S398" s="530"/>
      <c r="T398" s="530"/>
      <c r="U398" s="530"/>
      <c r="V398" s="530"/>
      <c r="W398" s="530"/>
      <c r="X398" s="733"/>
      <c r="Y398" s="716"/>
      <c r="Z398" s="716"/>
      <c r="AA398" s="716"/>
      <c r="AB398" s="716"/>
      <c r="AC398" s="716"/>
      <c r="AD398" s="716"/>
      <c r="AE398" s="716"/>
      <c r="AF398" s="716"/>
      <c r="AG398" s="716"/>
      <c r="AH398" s="716"/>
      <c r="AI398" s="716"/>
      <c r="AJ398" s="716"/>
      <c r="AK398" s="716"/>
      <c r="AL398" s="716"/>
      <c r="AM398" s="716"/>
      <c r="AN398" s="716"/>
      <c r="AO398" s="716"/>
      <c r="AP398" s="716"/>
      <c r="AQ398" s="716"/>
      <c r="AR398" s="716"/>
    </row>
    <row r="399">
      <c r="A399" s="716"/>
      <c r="B399" s="530"/>
      <c r="C399" s="530"/>
      <c r="D399" s="530"/>
      <c r="E399" s="530"/>
      <c r="F399" s="530"/>
      <c r="G399" s="530"/>
      <c r="H399" s="530"/>
      <c r="I399" s="530"/>
      <c r="J399" s="530"/>
      <c r="K399" s="530"/>
      <c r="L399" s="530"/>
      <c r="M399" s="530"/>
      <c r="N399" s="530"/>
      <c r="O399" s="530"/>
      <c r="P399" s="530"/>
      <c r="Q399" s="530"/>
      <c r="R399" s="530"/>
      <c r="S399" s="530"/>
      <c r="T399" s="530"/>
      <c r="U399" s="530"/>
      <c r="V399" s="530"/>
      <c r="W399" s="530"/>
      <c r="X399" s="733"/>
      <c r="Y399" s="716"/>
      <c r="Z399" s="716"/>
      <c r="AA399" s="716"/>
      <c r="AB399" s="716"/>
      <c r="AC399" s="716"/>
      <c r="AD399" s="716"/>
      <c r="AE399" s="716"/>
      <c r="AF399" s="716"/>
      <c r="AG399" s="716"/>
      <c r="AH399" s="716"/>
      <c r="AI399" s="716"/>
      <c r="AJ399" s="716"/>
      <c r="AK399" s="716"/>
      <c r="AL399" s="716"/>
      <c r="AM399" s="716"/>
      <c r="AN399" s="716"/>
      <c r="AO399" s="716"/>
      <c r="AP399" s="716"/>
      <c r="AQ399" s="716"/>
      <c r="AR399" s="716"/>
    </row>
    <row r="400">
      <c r="A400" s="716"/>
      <c r="B400" s="530"/>
      <c r="C400" s="530"/>
      <c r="D400" s="530"/>
      <c r="E400" s="530"/>
      <c r="F400" s="530"/>
      <c r="G400" s="530"/>
      <c r="H400" s="530"/>
      <c r="I400" s="530"/>
      <c r="J400" s="530"/>
      <c r="K400" s="530"/>
      <c r="L400" s="530"/>
      <c r="M400" s="530"/>
      <c r="N400" s="530"/>
      <c r="O400" s="530"/>
      <c r="P400" s="530"/>
      <c r="Q400" s="530"/>
      <c r="R400" s="530"/>
      <c r="S400" s="530"/>
      <c r="T400" s="530"/>
      <c r="U400" s="530"/>
      <c r="V400" s="530"/>
      <c r="W400" s="530"/>
      <c r="X400" s="733"/>
      <c r="Y400" s="716"/>
      <c r="Z400" s="716"/>
      <c r="AA400" s="716"/>
      <c r="AB400" s="716"/>
      <c r="AC400" s="716"/>
      <c r="AD400" s="716"/>
      <c r="AE400" s="716"/>
      <c r="AF400" s="716"/>
      <c r="AG400" s="716"/>
      <c r="AH400" s="716"/>
      <c r="AI400" s="716"/>
      <c r="AJ400" s="716"/>
      <c r="AK400" s="716"/>
      <c r="AL400" s="716"/>
      <c r="AM400" s="716"/>
      <c r="AN400" s="716"/>
      <c r="AO400" s="716"/>
      <c r="AP400" s="716"/>
      <c r="AQ400" s="716"/>
      <c r="AR400" s="716"/>
    </row>
    <row r="401">
      <c r="A401" s="716"/>
      <c r="B401" s="530"/>
      <c r="C401" s="530"/>
      <c r="D401" s="530"/>
      <c r="E401" s="530"/>
      <c r="F401" s="530"/>
      <c r="G401" s="530"/>
      <c r="H401" s="530"/>
      <c r="I401" s="530"/>
      <c r="J401" s="530"/>
      <c r="K401" s="530"/>
      <c r="L401" s="530"/>
      <c r="M401" s="530"/>
      <c r="N401" s="530"/>
      <c r="O401" s="530"/>
      <c r="P401" s="530"/>
      <c r="Q401" s="530"/>
      <c r="R401" s="530"/>
      <c r="S401" s="530"/>
      <c r="T401" s="530"/>
      <c r="U401" s="530"/>
      <c r="V401" s="530"/>
      <c r="W401" s="530"/>
      <c r="X401" s="733"/>
      <c r="Y401" s="716"/>
      <c r="Z401" s="716"/>
      <c r="AA401" s="716"/>
      <c r="AB401" s="716"/>
      <c r="AC401" s="716"/>
      <c r="AD401" s="716"/>
      <c r="AE401" s="716"/>
      <c r="AF401" s="716"/>
      <c r="AG401" s="716"/>
      <c r="AH401" s="716"/>
      <c r="AI401" s="716"/>
      <c r="AJ401" s="716"/>
      <c r="AK401" s="716"/>
      <c r="AL401" s="716"/>
      <c r="AM401" s="716"/>
      <c r="AN401" s="716"/>
      <c r="AO401" s="716"/>
      <c r="AP401" s="716"/>
      <c r="AQ401" s="716"/>
      <c r="AR401" s="716"/>
    </row>
    <row r="402">
      <c r="A402" s="716"/>
      <c r="B402" s="530"/>
      <c r="C402" s="530"/>
      <c r="D402" s="530"/>
      <c r="E402" s="530"/>
      <c r="F402" s="530"/>
      <c r="G402" s="530"/>
      <c r="H402" s="530"/>
      <c r="I402" s="530"/>
      <c r="J402" s="530"/>
      <c r="K402" s="530"/>
      <c r="L402" s="530"/>
      <c r="M402" s="530"/>
      <c r="N402" s="530"/>
      <c r="O402" s="530"/>
      <c r="P402" s="530"/>
      <c r="Q402" s="530"/>
      <c r="R402" s="530"/>
      <c r="S402" s="530"/>
      <c r="T402" s="530"/>
      <c r="U402" s="530"/>
      <c r="V402" s="530"/>
      <c r="W402" s="530"/>
      <c r="X402" s="733"/>
      <c r="Y402" s="716"/>
      <c r="Z402" s="716"/>
      <c r="AA402" s="716"/>
      <c r="AB402" s="716"/>
      <c r="AC402" s="716"/>
      <c r="AD402" s="716"/>
      <c r="AE402" s="716"/>
      <c r="AF402" s="716"/>
      <c r="AG402" s="716"/>
      <c r="AH402" s="716"/>
      <c r="AI402" s="716"/>
      <c r="AJ402" s="716"/>
      <c r="AK402" s="716"/>
      <c r="AL402" s="716"/>
      <c r="AM402" s="716"/>
      <c r="AN402" s="716"/>
      <c r="AO402" s="716"/>
      <c r="AP402" s="716"/>
      <c r="AQ402" s="716"/>
      <c r="AR402" s="716"/>
    </row>
    <row r="403">
      <c r="A403" s="716"/>
      <c r="B403" s="530"/>
      <c r="C403" s="530"/>
      <c r="D403" s="530"/>
      <c r="E403" s="530"/>
      <c r="F403" s="530"/>
      <c r="G403" s="530"/>
      <c r="H403" s="530"/>
      <c r="I403" s="530"/>
      <c r="J403" s="530"/>
      <c r="K403" s="530"/>
      <c r="L403" s="530"/>
      <c r="M403" s="530"/>
      <c r="N403" s="530"/>
      <c r="O403" s="530"/>
      <c r="P403" s="530"/>
      <c r="Q403" s="530"/>
      <c r="R403" s="530"/>
      <c r="S403" s="530"/>
      <c r="T403" s="530"/>
      <c r="U403" s="530"/>
      <c r="V403" s="530"/>
      <c r="W403" s="530"/>
      <c r="X403" s="733"/>
      <c r="Y403" s="716"/>
      <c r="Z403" s="716"/>
      <c r="AA403" s="716"/>
      <c r="AB403" s="716"/>
      <c r="AC403" s="716"/>
      <c r="AD403" s="716"/>
      <c r="AE403" s="716"/>
      <c r="AF403" s="716"/>
      <c r="AG403" s="716"/>
      <c r="AH403" s="716"/>
      <c r="AI403" s="716"/>
      <c r="AJ403" s="716"/>
      <c r="AK403" s="716"/>
      <c r="AL403" s="716"/>
      <c r="AM403" s="716"/>
      <c r="AN403" s="716"/>
      <c r="AO403" s="716"/>
      <c r="AP403" s="716"/>
      <c r="AQ403" s="716"/>
      <c r="AR403" s="716"/>
    </row>
    <row r="404">
      <c r="A404" s="716"/>
      <c r="B404" s="530"/>
      <c r="C404" s="530"/>
      <c r="D404" s="530"/>
      <c r="E404" s="530"/>
      <c r="F404" s="530"/>
      <c r="G404" s="530"/>
      <c r="H404" s="530"/>
      <c r="I404" s="530"/>
      <c r="J404" s="530"/>
      <c r="K404" s="530"/>
      <c r="L404" s="530"/>
      <c r="M404" s="530"/>
      <c r="N404" s="530"/>
      <c r="O404" s="530"/>
      <c r="P404" s="530"/>
      <c r="Q404" s="530"/>
      <c r="R404" s="530"/>
      <c r="S404" s="530"/>
      <c r="T404" s="530"/>
      <c r="U404" s="530"/>
      <c r="V404" s="530"/>
      <c r="W404" s="530"/>
      <c r="X404" s="733"/>
      <c r="Y404" s="716"/>
      <c r="Z404" s="716"/>
      <c r="AA404" s="716"/>
      <c r="AB404" s="716"/>
      <c r="AC404" s="716"/>
      <c r="AD404" s="716"/>
      <c r="AE404" s="716"/>
      <c r="AF404" s="716"/>
      <c r="AG404" s="716"/>
      <c r="AH404" s="716"/>
      <c r="AI404" s="716"/>
      <c r="AJ404" s="716"/>
      <c r="AK404" s="716"/>
      <c r="AL404" s="716"/>
      <c r="AM404" s="716"/>
      <c r="AN404" s="716"/>
      <c r="AO404" s="716"/>
      <c r="AP404" s="716"/>
      <c r="AQ404" s="716"/>
      <c r="AR404" s="716"/>
    </row>
    <row r="405">
      <c r="A405" s="716"/>
      <c r="B405" s="530"/>
      <c r="C405" s="530"/>
      <c r="D405" s="530"/>
      <c r="E405" s="530"/>
      <c r="F405" s="530"/>
      <c r="G405" s="530"/>
      <c r="H405" s="530"/>
      <c r="I405" s="530"/>
      <c r="J405" s="530"/>
      <c r="K405" s="530"/>
      <c r="L405" s="530"/>
      <c r="M405" s="530"/>
      <c r="N405" s="530"/>
      <c r="O405" s="530"/>
      <c r="P405" s="530"/>
      <c r="Q405" s="530"/>
      <c r="R405" s="530"/>
      <c r="S405" s="530"/>
      <c r="T405" s="530"/>
      <c r="U405" s="530"/>
      <c r="V405" s="530"/>
      <c r="W405" s="530"/>
      <c r="X405" s="733"/>
      <c r="Y405" s="716"/>
      <c r="Z405" s="716"/>
      <c r="AA405" s="716"/>
      <c r="AB405" s="716"/>
      <c r="AC405" s="716"/>
      <c r="AD405" s="716"/>
      <c r="AE405" s="716"/>
      <c r="AF405" s="716"/>
      <c r="AG405" s="716"/>
      <c r="AH405" s="716"/>
      <c r="AI405" s="716"/>
      <c r="AJ405" s="716"/>
      <c r="AK405" s="716"/>
      <c r="AL405" s="716"/>
      <c r="AM405" s="716"/>
      <c r="AN405" s="716"/>
      <c r="AO405" s="716"/>
      <c r="AP405" s="716"/>
      <c r="AQ405" s="716"/>
      <c r="AR405" s="716"/>
    </row>
    <row r="406">
      <c r="A406" s="716"/>
      <c r="B406" s="530"/>
      <c r="C406" s="530"/>
      <c r="D406" s="530"/>
      <c r="E406" s="530"/>
      <c r="F406" s="530"/>
      <c r="G406" s="530"/>
      <c r="H406" s="530"/>
      <c r="I406" s="530"/>
      <c r="J406" s="530"/>
      <c r="K406" s="530"/>
      <c r="L406" s="530"/>
      <c r="M406" s="530"/>
      <c r="N406" s="530"/>
      <c r="O406" s="530"/>
      <c r="P406" s="530"/>
      <c r="Q406" s="530"/>
      <c r="R406" s="530"/>
      <c r="S406" s="530"/>
      <c r="T406" s="530"/>
      <c r="U406" s="530"/>
      <c r="V406" s="530"/>
      <c r="W406" s="530"/>
      <c r="X406" s="733"/>
      <c r="Y406" s="716"/>
      <c r="Z406" s="716"/>
      <c r="AA406" s="716"/>
      <c r="AB406" s="716"/>
      <c r="AC406" s="716"/>
      <c r="AD406" s="716"/>
      <c r="AE406" s="716"/>
      <c r="AF406" s="716"/>
      <c r="AG406" s="716"/>
      <c r="AH406" s="716"/>
      <c r="AI406" s="716"/>
      <c r="AJ406" s="716"/>
      <c r="AK406" s="716"/>
      <c r="AL406" s="716"/>
      <c r="AM406" s="716"/>
      <c r="AN406" s="716"/>
      <c r="AO406" s="716"/>
      <c r="AP406" s="716"/>
      <c r="AQ406" s="716"/>
      <c r="AR406" s="716"/>
    </row>
    <row r="407">
      <c r="A407" s="716"/>
      <c r="B407" s="530"/>
      <c r="C407" s="530"/>
      <c r="D407" s="530"/>
      <c r="E407" s="530"/>
      <c r="F407" s="530"/>
      <c r="G407" s="530"/>
      <c r="H407" s="530"/>
      <c r="I407" s="530"/>
      <c r="J407" s="530"/>
      <c r="K407" s="530"/>
      <c r="L407" s="530"/>
      <c r="M407" s="530"/>
      <c r="N407" s="530"/>
      <c r="O407" s="530"/>
      <c r="P407" s="530"/>
      <c r="Q407" s="530"/>
      <c r="R407" s="530"/>
      <c r="S407" s="530"/>
      <c r="T407" s="530"/>
      <c r="U407" s="530"/>
      <c r="V407" s="530"/>
      <c r="W407" s="530"/>
      <c r="X407" s="733"/>
      <c r="Y407" s="716"/>
      <c r="Z407" s="716"/>
      <c r="AA407" s="716"/>
      <c r="AB407" s="716"/>
      <c r="AC407" s="716"/>
      <c r="AD407" s="716"/>
      <c r="AE407" s="716"/>
      <c r="AF407" s="716"/>
      <c r="AG407" s="716"/>
      <c r="AH407" s="716"/>
      <c r="AI407" s="716"/>
      <c r="AJ407" s="716"/>
      <c r="AK407" s="716"/>
      <c r="AL407" s="716"/>
      <c r="AM407" s="716"/>
      <c r="AN407" s="716"/>
      <c r="AO407" s="716"/>
      <c r="AP407" s="716"/>
      <c r="AQ407" s="716"/>
      <c r="AR407" s="716"/>
    </row>
    <row r="408">
      <c r="A408" s="716"/>
      <c r="B408" s="530"/>
      <c r="C408" s="530"/>
      <c r="D408" s="530"/>
      <c r="E408" s="530"/>
      <c r="F408" s="530"/>
      <c r="G408" s="530"/>
      <c r="H408" s="530"/>
      <c r="I408" s="530"/>
      <c r="J408" s="530"/>
      <c r="K408" s="530"/>
      <c r="L408" s="530"/>
      <c r="M408" s="530"/>
      <c r="N408" s="530"/>
      <c r="O408" s="530"/>
      <c r="P408" s="530"/>
      <c r="Q408" s="530"/>
      <c r="R408" s="530"/>
      <c r="S408" s="530"/>
      <c r="T408" s="530"/>
      <c r="U408" s="530"/>
      <c r="V408" s="530"/>
      <c r="W408" s="530"/>
      <c r="X408" s="733"/>
      <c r="Y408" s="716"/>
      <c r="Z408" s="716"/>
      <c r="AA408" s="716"/>
      <c r="AB408" s="716"/>
      <c r="AC408" s="716"/>
      <c r="AD408" s="716"/>
      <c r="AE408" s="716"/>
      <c r="AF408" s="716"/>
      <c r="AG408" s="716"/>
      <c r="AH408" s="716"/>
      <c r="AI408" s="716"/>
      <c r="AJ408" s="716"/>
      <c r="AK408" s="716"/>
      <c r="AL408" s="716"/>
      <c r="AM408" s="716"/>
      <c r="AN408" s="716"/>
      <c r="AO408" s="716"/>
      <c r="AP408" s="716"/>
      <c r="AQ408" s="716"/>
      <c r="AR408" s="716"/>
    </row>
    <row r="409">
      <c r="A409" s="716"/>
      <c r="B409" s="530"/>
      <c r="C409" s="530"/>
      <c r="D409" s="530"/>
      <c r="E409" s="530"/>
      <c r="F409" s="530"/>
      <c r="G409" s="530"/>
      <c r="H409" s="530"/>
      <c r="I409" s="530"/>
      <c r="J409" s="530"/>
      <c r="K409" s="530"/>
      <c r="L409" s="530"/>
      <c r="M409" s="530"/>
      <c r="N409" s="530"/>
      <c r="O409" s="530"/>
      <c r="P409" s="530"/>
      <c r="Q409" s="530"/>
      <c r="R409" s="530"/>
      <c r="S409" s="530"/>
      <c r="T409" s="530"/>
      <c r="U409" s="530"/>
      <c r="V409" s="530"/>
      <c r="W409" s="530"/>
      <c r="X409" s="733"/>
      <c r="Y409" s="716"/>
      <c r="Z409" s="716"/>
      <c r="AA409" s="716"/>
      <c r="AB409" s="716"/>
      <c r="AC409" s="716"/>
      <c r="AD409" s="716"/>
      <c r="AE409" s="716"/>
      <c r="AF409" s="716"/>
      <c r="AG409" s="716"/>
      <c r="AH409" s="716"/>
      <c r="AI409" s="716"/>
      <c r="AJ409" s="716"/>
      <c r="AK409" s="716"/>
      <c r="AL409" s="716"/>
      <c r="AM409" s="716"/>
      <c r="AN409" s="716"/>
      <c r="AO409" s="716"/>
      <c r="AP409" s="716"/>
      <c r="AQ409" s="716"/>
      <c r="AR409" s="716"/>
    </row>
    <row r="410">
      <c r="A410" s="716"/>
      <c r="B410" s="530"/>
      <c r="C410" s="530"/>
      <c r="D410" s="530"/>
      <c r="E410" s="530"/>
      <c r="F410" s="530"/>
      <c r="G410" s="530"/>
      <c r="H410" s="530"/>
      <c r="I410" s="530"/>
      <c r="J410" s="530"/>
      <c r="K410" s="530"/>
      <c r="L410" s="530"/>
      <c r="M410" s="530"/>
      <c r="N410" s="530"/>
      <c r="O410" s="530"/>
      <c r="P410" s="530"/>
      <c r="Q410" s="530"/>
      <c r="R410" s="530"/>
      <c r="S410" s="530"/>
      <c r="T410" s="530"/>
      <c r="U410" s="530"/>
      <c r="V410" s="530"/>
      <c r="W410" s="530"/>
      <c r="X410" s="733"/>
      <c r="Y410" s="716"/>
      <c r="Z410" s="716"/>
      <c r="AA410" s="716"/>
      <c r="AB410" s="716"/>
      <c r="AC410" s="716"/>
      <c r="AD410" s="716"/>
      <c r="AE410" s="716"/>
      <c r="AF410" s="716"/>
      <c r="AG410" s="716"/>
      <c r="AH410" s="716"/>
      <c r="AI410" s="716"/>
      <c r="AJ410" s="716"/>
      <c r="AK410" s="716"/>
      <c r="AL410" s="716"/>
      <c r="AM410" s="716"/>
      <c r="AN410" s="716"/>
      <c r="AO410" s="716"/>
      <c r="AP410" s="716"/>
      <c r="AQ410" s="716"/>
      <c r="AR410" s="716"/>
    </row>
    <row r="411">
      <c r="A411" s="716"/>
      <c r="B411" s="530"/>
      <c r="C411" s="530"/>
      <c r="D411" s="530"/>
      <c r="E411" s="530"/>
      <c r="F411" s="530"/>
      <c r="G411" s="530"/>
      <c r="H411" s="530"/>
      <c r="I411" s="530"/>
      <c r="J411" s="530"/>
      <c r="K411" s="530"/>
      <c r="L411" s="530"/>
      <c r="M411" s="530"/>
      <c r="N411" s="530"/>
      <c r="O411" s="530"/>
      <c r="P411" s="530"/>
      <c r="Q411" s="530"/>
      <c r="R411" s="530"/>
      <c r="S411" s="530"/>
      <c r="T411" s="530"/>
      <c r="U411" s="530"/>
      <c r="V411" s="530"/>
      <c r="W411" s="530"/>
      <c r="X411" s="733"/>
      <c r="Y411" s="716"/>
      <c r="Z411" s="716"/>
      <c r="AA411" s="716"/>
      <c r="AB411" s="716"/>
      <c r="AC411" s="716"/>
      <c r="AD411" s="716"/>
      <c r="AE411" s="716"/>
      <c r="AF411" s="716"/>
      <c r="AG411" s="716"/>
      <c r="AH411" s="716"/>
      <c r="AI411" s="716"/>
      <c r="AJ411" s="716"/>
      <c r="AK411" s="716"/>
      <c r="AL411" s="716"/>
      <c r="AM411" s="716"/>
      <c r="AN411" s="716"/>
      <c r="AO411" s="716"/>
      <c r="AP411" s="716"/>
      <c r="AQ411" s="716"/>
      <c r="AR411" s="716"/>
    </row>
    <row r="412">
      <c r="A412" s="716"/>
      <c r="B412" s="530"/>
      <c r="C412" s="530"/>
      <c r="D412" s="530"/>
      <c r="E412" s="530"/>
      <c r="F412" s="530"/>
      <c r="G412" s="530"/>
      <c r="H412" s="530"/>
      <c r="I412" s="530"/>
      <c r="J412" s="530"/>
      <c r="K412" s="530"/>
      <c r="L412" s="530"/>
      <c r="M412" s="530"/>
      <c r="N412" s="530"/>
      <c r="O412" s="530"/>
      <c r="P412" s="530"/>
      <c r="Q412" s="530"/>
      <c r="R412" s="530"/>
      <c r="S412" s="530"/>
      <c r="T412" s="530"/>
      <c r="U412" s="530"/>
      <c r="V412" s="530"/>
      <c r="W412" s="530"/>
      <c r="X412" s="733"/>
      <c r="Y412" s="716"/>
      <c r="Z412" s="716"/>
      <c r="AA412" s="716"/>
      <c r="AB412" s="716"/>
      <c r="AC412" s="716"/>
      <c r="AD412" s="716"/>
      <c r="AE412" s="716"/>
      <c r="AF412" s="716"/>
      <c r="AG412" s="716"/>
      <c r="AH412" s="716"/>
      <c r="AI412" s="716"/>
      <c r="AJ412" s="716"/>
      <c r="AK412" s="716"/>
      <c r="AL412" s="716"/>
      <c r="AM412" s="716"/>
      <c r="AN412" s="716"/>
      <c r="AO412" s="716"/>
      <c r="AP412" s="716"/>
      <c r="AQ412" s="716"/>
      <c r="AR412" s="716"/>
    </row>
    <row r="413">
      <c r="A413" s="716"/>
      <c r="B413" s="530"/>
      <c r="C413" s="530"/>
      <c r="D413" s="530"/>
      <c r="E413" s="530"/>
      <c r="F413" s="530"/>
      <c r="G413" s="530"/>
      <c r="H413" s="530"/>
      <c r="I413" s="530"/>
      <c r="J413" s="530"/>
      <c r="K413" s="530"/>
      <c r="L413" s="530"/>
      <c r="M413" s="530"/>
      <c r="N413" s="530"/>
      <c r="O413" s="530"/>
      <c r="P413" s="530"/>
      <c r="Q413" s="530"/>
      <c r="R413" s="530"/>
      <c r="S413" s="530"/>
      <c r="T413" s="530"/>
      <c r="U413" s="530"/>
      <c r="V413" s="530"/>
      <c r="W413" s="530"/>
      <c r="X413" s="733"/>
      <c r="Y413" s="716"/>
      <c r="Z413" s="716"/>
      <c r="AA413" s="716"/>
      <c r="AB413" s="716"/>
      <c r="AC413" s="716"/>
      <c r="AD413" s="716"/>
      <c r="AE413" s="716"/>
      <c r="AF413" s="716"/>
      <c r="AG413" s="716"/>
      <c r="AH413" s="716"/>
      <c r="AI413" s="716"/>
      <c r="AJ413" s="716"/>
      <c r="AK413" s="716"/>
      <c r="AL413" s="716"/>
      <c r="AM413" s="716"/>
      <c r="AN413" s="716"/>
      <c r="AO413" s="716"/>
      <c r="AP413" s="716"/>
      <c r="AQ413" s="716"/>
      <c r="AR413" s="716"/>
    </row>
    <row r="414">
      <c r="A414" s="716"/>
      <c r="B414" s="530"/>
      <c r="C414" s="530"/>
      <c r="D414" s="530"/>
      <c r="E414" s="530"/>
      <c r="F414" s="530"/>
      <c r="G414" s="530"/>
      <c r="H414" s="530"/>
      <c r="I414" s="530"/>
      <c r="J414" s="530"/>
      <c r="K414" s="530"/>
      <c r="L414" s="530"/>
      <c r="M414" s="530"/>
      <c r="N414" s="530"/>
      <c r="O414" s="530"/>
      <c r="P414" s="530"/>
      <c r="Q414" s="530"/>
      <c r="R414" s="530"/>
      <c r="S414" s="530"/>
      <c r="T414" s="530"/>
      <c r="U414" s="530"/>
      <c r="V414" s="530"/>
      <c r="W414" s="530"/>
      <c r="X414" s="733"/>
      <c r="Y414" s="716"/>
      <c r="Z414" s="716"/>
      <c r="AA414" s="716"/>
      <c r="AB414" s="716"/>
      <c r="AC414" s="716"/>
      <c r="AD414" s="716"/>
      <c r="AE414" s="716"/>
      <c r="AF414" s="716"/>
      <c r="AG414" s="716"/>
      <c r="AH414" s="716"/>
      <c r="AI414" s="716"/>
      <c r="AJ414" s="716"/>
      <c r="AK414" s="716"/>
      <c r="AL414" s="716"/>
      <c r="AM414" s="716"/>
      <c r="AN414" s="716"/>
      <c r="AO414" s="716"/>
      <c r="AP414" s="716"/>
      <c r="AQ414" s="716"/>
      <c r="AR414" s="716"/>
    </row>
    <row r="415">
      <c r="A415" s="716"/>
      <c r="B415" s="530"/>
      <c r="C415" s="530"/>
      <c r="D415" s="530"/>
      <c r="E415" s="530"/>
      <c r="F415" s="530"/>
      <c r="G415" s="530"/>
      <c r="H415" s="530"/>
      <c r="I415" s="530"/>
      <c r="J415" s="530"/>
      <c r="K415" s="530"/>
      <c r="L415" s="530"/>
      <c r="M415" s="530"/>
      <c r="N415" s="530"/>
      <c r="O415" s="530"/>
      <c r="P415" s="530"/>
      <c r="Q415" s="530"/>
      <c r="R415" s="530"/>
      <c r="S415" s="530"/>
      <c r="T415" s="530"/>
      <c r="U415" s="530"/>
      <c r="V415" s="530"/>
      <c r="W415" s="530"/>
      <c r="X415" s="733"/>
      <c r="Y415" s="716"/>
      <c r="Z415" s="716"/>
      <c r="AA415" s="716"/>
      <c r="AB415" s="716"/>
      <c r="AC415" s="716"/>
      <c r="AD415" s="716"/>
      <c r="AE415" s="716"/>
      <c r="AF415" s="716"/>
      <c r="AG415" s="716"/>
      <c r="AH415" s="716"/>
      <c r="AI415" s="716"/>
      <c r="AJ415" s="716"/>
      <c r="AK415" s="716"/>
      <c r="AL415" s="716"/>
      <c r="AM415" s="716"/>
      <c r="AN415" s="716"/>
      <c r="AO415" s="716"/>
      <c r="AP415" s="716"/>
      <c r="AQ415" s="716"/>
      <c r="AR415" s="716"/>
    </row>
    <row r="416">
      <c r="A416" s="716"/>
      <c r="B416" s="530"/>
      <c r="C416" s="530"/>
      <c r="D416" s="530"/>
      <c r="E416" s="530"/>
      <c r="F416" s="530"/>
      <c r="G416" s="530"/>
      <c r="H416" s="530"/>
      <c r="I416" s="530"/>
      <c r="J416" s="530"/>
      <c r="K416" s="530"/>
      <c r="L416" s="530"/>
      <c r="M416" s="530"/>
      <c r="N416" s="530"/>
      <c r="O416" s="530"/>
      <c r="P416" s="530"/>
      <c r="Q416" s="530"/>
      <c r="R416" s="530"/>
      <c r="S416" s="530"/>
      <c r="T416" s="530"/>
      <c r="U416" s="530"/>
      <c r="V416" s="530"/>
      <c r="W416" s="530"/>
      <c r="X416" s="733"/>
      <c r="Y416" s="716"/>
      <c r="Z416" s="716"/>
      <c r="AA416" s="716"/>
      <c r="AB416" s="716"/>
      <c r="AC416" s="716"/>
      <c r="AD416" s="716"/>
      <c r="AE416" s="716"/>
      <c r="AF416" s="716"/>
      <c r="AG416" s="716"/>
      <c r="AH416" s="716"/>
      <c r="AI416" s="716"/>
      <c r="AJ416" s="716"/>
      <c r="AK416" s="716"/>
      <c r="AL416" s="716"/>
      <c r="AM416" s="716"/>
      <c r="AN416" s="716"/>
      <c r="AO416" s="716"/>
      <c r="AP416" s="716"/>
      <c r="AQ416" s="716"/>
      <c r="AR416" s="716"/>
    </row>
    <row r="417">
      <c r="A417" s="716"/>
      <c r="B417" s="530"/>
      <c r="C417" s="530"/>
      <c r="D417" s="530"/>
      <c r="E417" s="530"/>
      <c r="F417" s="530"/>
      <c r="G417" s="530"/>
      <c r="H417" s="530"/>
      <c r="I417" s="530"/>
      <c r="J417" s="530"/>
      <c r="K417" s="530"/>
      <c r="L417" s="530"/>
      <c r="M417" s="530"/>
      <c r="N417" s="530"/>
      <c r="O417" s="530"/>
      <c r="P417" s="530"/>
      <c r="Q417" s="530"/>
      <c r="R417" s="530"/>
      <c r="S417" s="530"/>
      <c r="T417" s="530"/>
      <c r="U417" s="530"/>
      <c r="V417" s="530"/>
      <c r="W417" s="530"/>
      <c r="X417" s="733"/>
      <c r="Y417" s="716"/>
      <c r="Z417" s="716"/>
      <c r="AA417" s="716"/>
      <c r="AB417" s="716"/>
      <c r="AC417" s="716"/>
      <c r="AD417" s="716"/>
      <c r="AE417" s="716"/>
      <c r="AF417" s="716"/>
      <c r="AG417" s="716"/>
      <c r="AH417" s="716"/>
      <c r="AI417" s="716"/>
      <c r="AJ417" s="716"/>
      <c r="AK417" s="716"/>
      <c r="AL417" s="716"/>
      <c r="AM417" s="716"/>
      <c r="AN417" s="716"/>
      <c r="AO417" s="716"/>
      <c r="AP417" s="716"/>
      <c r="AQ417" s="716"/>
      <c r="AR417" s="716"/>
    </row>
    <row r="418">
      <c r="A418" s="716"/>
      <c r="B418" s="530"/>
      <c r="C418" s="530"/>
      <c r="D418" s="530"/>
      <c r="E418" s="530"/>
      <c r="F418" s="530"/>
      <c r="G418" s="530"/>
      <c r="H418" s="530"/>
      <c r="I418" s="530"/>
      <c r="J418" s="530"/>
      <c r="K418" s="530"/>
      <c r="L418" s="530"/>
      <c r="M418" s="530"/>
      <c r="N418" s="530"/>
      <c r="O418" s="530"/>
      <c r="P418" s="530"/>
      <c r="Q418" s="530"/>
      <c r="R418" s="530"/>
      <c r="S418" s="530"/>
      <c r="T418" s="530"/>
      <c r="U418" s="530"/>
      <c r="V418" s="530"/>
      <c r="W418" s="530"/>
      <c r="X418" s="733"/>
      <c r="Y418" s="716"/>
      <c r="Z418" s="716"/>
      <c r="AA418" s="716"/>
      <c r="AB418" s="716"/>
      <c r="AC418" s="716"/>
      <c r="AD418" s="716"/>
      <c r="AE418" s="716"/>
      <c r="AF418" s="716"/>
      <c r="AG418" s="716"/>
      <c r="AH418" s="716"/>
      <c r="AI418" s="716"/>
      <c r="AJ418" s="716"/>
      <c r="AK418" s="716"/>
      <c r="AL418" s="716"/>
      <c r="AM418" s="716"/>
      <c r="AN418" s="716"/>
      <c r="AO418" s="716"/>
      <c r="AP418" s="716"/>
      <c r="AQ418" s="716"/>
      <c r="AR418" s="716"/>
    </row>
    <row r="419">
      <c r="A419" s="716"/>
      <c r="B419" s="530"/>
      <c r="C419" s="530"/>
      <c r="D419" s="530"/>
      <c r="E419" s="530"/>
      <c r="F419" s="530"/>
      <c r="G419" s="530"/>
      <c r="H419" s="530"/>
      <c r="I419" s="530"/>
      <c r="J419" s="530"/>
      <c r="K419" s="530"/>
      <c r="L419" s="530"/>
      <c r="M419" s="530"/>
      <c r="N419" s="530"/>
      <c r="O419" s="530"/>
      <c r="P419" s="530"/>
      <c r="Q419" s="530"/>
      <c r="R419" s="530"/>
      <c r="S419" s="530"/>
      <c r="T419" s="530"/>
      <c r="U419" s="530"/>
      <c r="V419" s="530"/>
      <c r="W419" s="530"/>
      <c r="X419" s="733"/>
      <c r="Y419" s="716"/>
      <c r="Z419" s="716"/>
      <c r="AA419" s="716"/>
      <c r="AB419" s="716"/>
      <c r="AC419" s="716"/>
      <c r="AD419" s="716"/>
      <c r="AE419" s="716"/>
      <c r="AF419" s="716"/>
      <c r="AG419" s="716"/>
      <c r="AH419" s="716"/>
      <c r="AI419" s="716"/>
      <c r="AJ419" s="716"/>
      <c r="AK419" s="716"/>
      <c r="AL419" s="716"/>
      <c r="AM419" s="716"/>
      <c r="AN419" s="716"/>
      <c r="AO419" s="716"/>
      <c r="AP419" s="716"/>
      <c r="AQ419" s="716"/>
      <c r="AR419" s="716"/>
    </row>
    <row r="420">
      <c r="A420" s="716"/>
      <c r="B420" s="530"/>
      <c r="C420" s="530"/>
      <c r="D420" s="530"/>
      <c r="E420" s="530"/>
      <c r="F420" s="530"/>
      <c r="G420" s="530"/>
      <c r="H420" s="530"/>
      <c r="I420" s="530"/>
      <c r="J420" s="530"/>
      <c r="K420" s="530"/>
      <c r="L420" s="530"/>
      <c r="M420" s="530"/>
      <c r="N420" s="530"/>
      <c r="O420" s="530"/>
      <c r="P420" s="530"/>
      <c r="Q420" s="530"/>
      <c r="R420" s="530"/>
      <c r="S420" s="530"/>
      <c r="T420" s="530"/>
      <c r="U420" s="530"/>
      <c r="V420" s="530"/>
      <c r="W420" s="530"/>
      <c r="X420" s="733"/>
      <c r="Y420" s="716"/>
      <c r="Z420" s="716"/>
      <c r="AA420" s="716"/>
      <c r="AB420" s="716"/>
      <c r="AC420" s="716"/>
      <c r="AD420" s="716"/>
      <c r="AE420" s="716"/>
      <c r="AF420" s="716"/>
      <c r="AG420" s="716"/>
      <c r="AH420" s="716"/>
      <c r="AI420" s="716"/>
      <c r="AJ420" s="716"/>
      <c r="AK420" s="716"/>
      <c r="AL420" s="716"/>
      <c r="AM420" s="716"/>
      <c r="AN420" s="716"/>
      <c r="AO420" s="716"/>
      <c r="AP420" s="716"/>
      <c r="AQ420" s="716"/>
      <c r="AR420" s="716"/>
    </row>
    <row r="421">
      <c r="A421" s="716"/>
      <c r="B421" s="530"/>
      <c r="C421" s="530"/>
      <c r="D421" s="530"/>
      <c r="E421" s="530"/>
      <c r="F421" s="530"/>
      <c r="G421" s="530"/>
      <c r="H421" s="530"/>
      <c r="I421" s="530"/>
      <c r="J421" s="530"/>
      <c r="K421" s="530"/>
      <c r="L421" s="530"/>
      <c r="M421" s="530"/>
      <c r="N421" s="530"/>
      <c r="O421" s="530"/>
      <c r="P421" s="530"/>
      <c r="Q421" s="530"/>
      <c r="R421" s="530"/>
      <c r="S421" s="530"/>
      <c r="T421" s="530"/>
      <c r="U421" s="530"/>
      <c r="V421" s="530"/>
      <c r="W421" s="530"/>
      <c r="X421" s="733"/>
      <c r="Y421" s="716"/>
      <c r="Z421" s="716"/>
      <c r="AA421" s="716"/>
      <c r="AB421" s="716"/>
      <c r="AC421" s="716"/>
      <c r="AD421" s="716"/>
      <c r="AE421" s="716"/>
      <c r="AF421" s="716"/>
      <c r="AG421" s="716"/>
      <c r="AH421" s="716"/>
      <c r="AI421" s="716"/>
      <c r="AJ421" s="716"/>
      <c r="AK421" s="716"/>
      <c r="AL421" s="716"/>
      <c r="AM421" s="716"/>
      <c r="AN421" s="716"/>
      <c r="AO421" s="716"/>
      <c r="AP421" s="716"/>
      <c r="AQ421" s="716"/>
      <c r="AR421" s="716"/>
    </row>
    <row r="422">
      <c r="A422" s="716"/>
      <c r="B422" s="530"/>
      <c r="C422" s="530"/>
      <c r="D422" s="530"/>
      <c r="E422" s="530"/>
      <c r="F422" s="530"/>
      <c r="G422" s="530"/>
      <c r="H422" s="530"/>
      <c r="I422" s="530"/>
      <c r="J422" s="530"/>
      <c r="K422" s="530"/>
      <c r="L422" s="530"/>
      <c r="M422" s="530"/>
      <c r="N422" s="530"/>
      <c r="O422" s="530"/>
      <c r="P422" s="530"/>
      <c r="Q422" s="530"/>
      <c r="R422" s="530"/>
      <c r="S422" s="530"/>
      <c r="T422" s="530"/>
      <c r="U422" s="530"/>
      <c r="V422" s="530"/>
      <c r="W422" s="530"/>
      <c r="X422" s="733"/>
      <c r="Y422" s="716"/>
      <c r="Z422" s="716"/>
      <c r="AA422" s="716"/>
      <c r="AB422" s="716"/>
      <c r="AC422" s="716"/>
      <c r="AD422" s="716"/>
      <c r="AE422" s="716"/>
      <c r="AF422" s="716"/>
      <c r="AG422" s="716"/>
      <c r="AH422" s="716"/>
      <c r="AI422" s="716"/>
      <c r="AJ422" s="716"/>
      <c r="AK422" s="716"/>
      <c r="AL422" s="716"/>
      <c r="AM422" s="716"/>
      <c r="AN422" s="716"/>
      <c r="AO422" s="716"/>
      <c r="AP422" s="716"/>
      <c r="AQ422" s="716"/>
      <c r="AR422" s="716"/>
    </row>
    <row r="423">
      <c r="A423" s="716"/>
      <c r="B423" s="530"/>
      <c r="C423" s="530"/>
      <c r="D423" s="530"/>
      <c r="E423" s="530"/>
      <c r="F423" s="530"/>
      <c r="G423" s="530"/>
      <c r="H423" s="530"/>
      <c r="I423" s="530"/>
      <c r="J423" s="530"/>
      <c r="K423" s="530"/>
      <c r="L423" s="530"/>
      <c r="M423" s="530"/>
      <c r="N423" s="530"/>
      <c r="O423" s="530"/>
      <c r="P423" s="530"/>
      <c r="Q423" s="530"/>
      <c r="R423" s="530"/>
      <c r="S423" s="530"/>
      <c r="T423" s="530"/>
      <c r="U423" s="530"/>
      <c r="V423" s="530"/>
      <c r="W423" s="530"/>
      <c r="X423" s="733"/>
      <c r="Y423" s="716"/>
      <c r="Z423" s="716"/>
      <c r="AA423" s="716"/>
      <c r="AB423" s="716"/>
      <c r="AC423" s="716"/>
      <c r="AD423" s="716"/>
      <c r="AE423" s="716"/>
      <c r="AF423" s="716"/>
      <c r="AG423" s="716"/>
      <c r="AH423" s="716"/>
      <c r="AI423" s="716"/>
      <c r="AJ423" s="716"/>
      <c r="AK423" s="716"/>
      <c r="AL423" s="716"/>
      <c r="AM423" s="716"/>
      <c r="AN423" s="716"/>
      <c r="AO423" s="716"/>
      <c r="AP423" s="716"/>
      <c r="AQ423" s="716"/>
      <c r="AR423" s="716"/>
    </row>
    <row r="424">
      <c r="A424" s="716"/>
      <c r="B424" s="530"/>
      <c r="C424" s="530"/>
      <c r="D424" s="530"/>
      <c r="E424" s="530"/>
      <c r="F424" s="530"/>
      <c r="G424" s="530"/>
      <c r="H424" s="530"/>
      <c r="I424" s="530"/>
      <c r="J424" s="530"/>
      <c r="K424" s="530"/>
      <c r="L424" s="530"/>
      <c r="M424" s="530"/>
      <c r="N424" s="530"/>
      <c r="O424" s="530"/>
      <c r="P424" s="530"/>
      <c r="Q424" s="530"/>
      <c r="R424" s="530"/>
      <c r="S424" s="530"/>
      <c r="T424" s="530"/>
      <c r="U424" s="530"/>
      <c r="V424" s="530"/>
      <c r="W424" s="530"/>
      <c r="X424" s="733"/>
      <c r="Y424" s="716"/>
      <c r="Z424" s="716"/>
      <c r="AA424" s="716"/>
      <c r="AB424" s="716"/>
      <c r="AC424" s="716"/>
      <c r="AD424" s="716"/>
      <c r="AE424" s="716"/>
      <c r="AF424" s="716"/>
      <c r="AG424" s="716"/>
      <c r="AH424" s="716"/>
      <c r="AI424" s="716"/>
      <c r="AJ424" s="716"/>
      <c r="AK424" s="716"/>
      <c r="AL424" s="716"/>
      <c r="AM424" s="716"/>
      <c r="AN424" s="716"/>
      <c r="AO424" s="716"/>
      <c r="AP424" s="716"/>
      <c r="AQ424" s="716"/>
      <c r="AR424" s="716"/>
    </row>
    <row r="425">
      <c r="A425" s="716"/>
      <c r="B425" s="530"/>
      <c r="C425" s="530"/>
      <c r="D425" s="530"/>
      <c r="E425" s="530"/>
      <c r="F425" s="530"/>
      <c r="G425" s="530"/>
      <c r="H425" s="530"/>
      <c r="I425" s="530"/>
      <c r="J425" s="530"/>
      <c r="K425" s="530"/>
      <c r="L425" s="530"/>
      <c r="M425" s="530"/>
      <c r="N425" s="530"/>
      <c r="O425" s="530"/>
      <c r="P425" s="530"/>
      <c r="Q425" s="530"/>
      <c r="R425" s="530"/>
      <c r="S425" s="530"/>
      <c r="T425" s="530"/>
      <c r="U425" s="530"/>
      <c r="V425" s="530"/>
      <c r="W425" s="530"/>
      <c r="X425" s="733"/>
      <c r="Y425" s="716"/>
      <c r="Z425" s="716"/>
      <c r="AA425" s="716"/>
      <c r="AB425" s="716"/>
      <c r="AC425" s="716"/>
      <c r="AD425" s="716"/>
      <c r="AE425" s="716"/>
      <c r="AF425" s="716"/>
      <c r="AG425" s="716"/>
      <c r="AH425" s="716"/>
      <c r="AI425" s="716"/>
      <c r="AJ425" s="716"/>
      <c r="AK425" s="716"/>
      <c r="AL425" s="716"/>
      <c r="AM425" s="716"/>
      <c r="AN425" s="716"/>
      <c r="AO425" s="716"/>
      <c r="AP425" s="716"/>
      <c r="AQ425" s="716"/>
      <c r="AR425" s="716"/>
    </row>
    <row r="426">
      <c r="A426" s="716"/>
      <c r="B426" s="530"/>
      <c r="C426" s="530"/>
      <c r="D426" s="530"/>
      <c r="E426" s="530"/>
      <c r="F426" s="530"/>
      <c r="G426" s="530"/>
      <c r="H426" s="530"/>
      <c r="I426" s="530"/>
      <c r="J426" s="530"/>
      <c r="K426" s="530"/>
      <c r="L426" s="530"/>
      <c r="M426" s="530"/>
      <c r="N426" s="530"/>
      <c r="O426" s="530"/>
      <c r="P426" s="530"/>
      <c r="Q426" s="530"/>
      <c r="R426" s="530"/>
      <c r="S426" s="530"/>
      <c r="T426" s="530"/>
      <c r="U426" s="530"/>
      <c r="V426" s="530"/>
      <c r="W426" s="530"/>
      <c r="X426" s="733"/>
      <c r="Y426" s="716"/>
      <c r="Z426" s="716"/>
      <c r="AA426" s="716"/>
      <c r="AB426" s="716"/>
      <c r="AC426" s="716"/>
      <c r="AD426" s="716"/>
      <c r="AE426" s="716"/>
      <c r="AF426" s="716"/>
      <c r="AG426" s="716"/>
      <c r="AH426" s="716"/>
      <c r="AI426" s="716"/>
      <c r="AJ426" s="716"/>
      <c r="AK426" s="716"/>
      <c r="AL426" s="716"/>
      <c r="AM426" s="716"/>
      <c r="AN426" s="716"/>
      <c r="AO426" s="716"/>
      <c r="AP426" s="716"/>
      <c r="AQ426" s="716"/>
      <c r="AR426" s="716"/>
    </row>
    <row r="427">
      <c r="A427" s="716"/>
      <c r="B427" s="530"/>
      <c r="C427" s="530"/>
      <c r="D427" s="530"/>
      <c r="E427" s="530"/>
      <c r="F427" s="530"/>
      <c r="G427" s="530"/>
      <c r="H427" s="530"/>
      <c r="I427" s="530"/>
      <c r="J427" s="530"/>
      <c r="K427" s="530"/>
      <c r="L427" s="530"/>
      <c r="M427" s="530"/>
      <c r="N427" s="530"/>
      <c r="O427" s="530"/>
      <c r="P427" s="530"/>
      <c r="Q427" s="530"/>
      <c r="R427" s="530"/>
      <c r="S427" s="530"/>
      <c r="T427" s="530"/>
      <c r="U427" s="530"/>
      <c r="V427" s="530"/>
      <c r="W427" s="530"/>
      <c r="X427" s="733"/>
      <c r="Y427" s="716"/>
      <c r="Z427" s="716"/>
      <c r="AA427" s="716"/>
      <c r="AB427" s="716"/>
      <c r="AC427" s="716"/>
      <c r="AD427" s="716"/>
      <c r="AE427" s="716"/>
      <c r="AF427" s="716"/>
      <c r="AG427" s="716"/>
      <c r="AH427" s="716"/>
      <c r="AI427" s="716"/>
      <c r="AJ427" s="716"/>
      <c r="AK427" s="716"/>
      <c r="AL427" s="716"/>
      <c r="AM427" s="716"/>
      <c r="AN427" s="716"/>
      <c r="AO427" s="716"/>
      <c r="AP427" s="716"/>
      <c r="AQ427" s="716"/>
      <c r="AR427" s="716"/>
    </row>
    <row r="428">
      <c r="A428" s="716"/>
      <c r="B428" s="530"/>
      <c r="C428" s="530"/>
      <c r="D428" s="530"/>
      <c r="E428" s="530"/>
      <c r="F428" s="530"/>
      <c r="G428" s="530"/>
      <c r="H428" s="530"/>
      <c r="I428" s="530"/>
      <c r="J428" s="530"/>
      <c r="K428" s="530"/>
      <c r="L428" s="530"/>
      <c r="M428" s="530"/>
      <c r="N428" s="530"/>
      <c r="O428" s="530"/>
      <c r="P428" s="530"/>
      <c r="Q428" s="530"/>
      <c r="R428" s="530"/>
      <c r="S428" s="530"/>
      <c r="T428" s="530"/>
      <c r="U428" s="530"/>
      <c r="V428" s="530"/>
      <c r="W428" s="530"/>
      <c r="X428" s="733"/>
      <c r="Y428" s="716"/>
      <c r="Z428" s="716"/>
      <c r="AA428" s="716"/>
      <c r="AB428" s="716"/>
      <c r="AC428" s="716"/>
      <c r="AD428" s="716"/>
      <c r="AE428" s="716"/>
      <c r="AF428" s="716"/>
      <c r="AG428" s="716"/>
      <c r="AH428" s="716"/>
      <c r="AI428" s="716"/>
      <c r="AJ428" s="716"/>
      <c r="AK428" s="716"/>
      <c r="AL428" s="716"/>
      <c r="AM428" s="716"/>
      <c r="AN428" s="716"/>
      <c r="AO428" s="716"/>
      <c r="AP428" s="716"/>
      <c r="AQ428" s="716"/>
      <c r="AR428" s="716"/>
    </row>
    <row r="429">
      <c r="A429" s="716"/>
      <c r="B429" s="530"/>
      <c r="C429" s="530"/>
      <c r="D429" s="530"/>
      <c r="E429" s="530"/>
      <c r="F429" s="530"/>
      <c r="G429" s="530"/>
      <c r="H429" s="530"/>
      <c r="I429" s="530"/>
      <c r="J429" s="530"/>
      <c r="K429" s="530"/>
      <c r="L429" s="530"/>
      <c r="M429" s="530"/>
      <c r="N429" s="530"/>
      <c r="O429" s="530"/>
      <c r="P429" s="530"/>
      <c r="Q429" s="530"/>
      <c r="R429" s="530"/>
      <c r="S429" s="530"/>
      <c r="T429" s="530"/>
      <c r="U429" s="530"/>
      <c r="V429" s="530"/>
      <c r="W429" s="530"/>
      <c r="X429" s="733"/>
      <c r="Y429" s="716"/>
      <c r="Z429" s="716"/>
      <c r="AA429" s="716"/>
      <c r="AB429" s="716"/>
      <c r="AC429" s="716"/>
      <c r="AD429" s="716"/>
      <c r="AE429" s="716"/>
      <c r="AF429" s="716"/>
      <c r="AG429" s="716"/>
      <c r="AH429" s="716"/>
      <c r="AI429" s="716"/>
      <c r="AJ429" s="716"/>
      <c r="AK429" s="716"/>
      <c r="AL429" s="716"/>
      <c r="AM429" s="716"/>
      <c r="AN429" s="716"/>
      <c r="AO429" s="716"/>
      <c r="AP429" s="716"/>
      <c r="AQ429" s="716"/>
      <c r="AR429" s="716"/>
    </row>
    <row r="430">
      <c r="A430" s="716"/>
      <c r="B430" s="530"/>
      <c r="C430" s="530"/>
      <c r="D430" s="530"/>
      <c r="E430" s="530"/>
      <c r="F430" s="530"/>
      <c r="G430" s="530"/>
      <c r="H430" s="530"/>
      <c r="I430" s="530"/>
      <c r="J430" s="530"/>
      <c r="K430" s="530"/>
      <c r="L430" s="530"/>
      <c r="M430" s="530"/>
      <c r="N430" s="530"/>
      <c r="O430" s="530"/>
      <c r="P430" s="530"/>
      <c r="Q430" s="530"/>
      <c r="R430" s="530"/>
      <c r="S430" s="530"/>
      <c r="T430" s="530"/>
      <c r="U430" s="530"/>
      <c r="V430" s="530"/>
      <c r="W430" s="530"/>
      <c r="X430" s="733"/>
      <c r="Y430" s="716"/>
      <c r="Z430" s="716"/>
      <c r="AA430" s="716"/>
      <c r="AB430" s="716"/>
      <c r="AC430" s="716"/>
      <c r="AD430" s="716"/>
      <c r="AE430" s="716"/>
      <c r="AF430" s="716"/>
      <c r="AG430" s="716"/>
      <c r="AH430" s="716"/>
      <c r="AI430" s="716"/>
      <c r="AJ430" s="716"/>
      <c r="AK430" s="716"/>
      <c r="AL430" s="716"/>
      <c r="AM430" s="716"/>
      <c r="AN430" s="716"/>
      <c r="AO430" s="716"/>
      <c r="AP430" s="716"/>
      <c r="AQ430" s="716"/>
      <c r="AR430" s="716"/>
    </row>
    <row r="431">
      <c r="A431" s="716"/>
      <c r="B431" s="530"/>
      <c r="C431" s="530"/>
      <c r="D431" s="530"/>
      <c r="E431" s="530"/>
      <c r="F431" s="530"/>
      <c r="G431" s="530"/>
      <c r="H431" s="530"/>
      <c r="I431" s="530"/>
      <c r="J431" s="530"/>
      <c r="K431" s="530"/>
      <c r="L431" s="530"/>
      <c r="M431" s="530"/>
      <c r="N431" s="530"/>
      <c r="O431" s="530"/>
      <c r="P431" s="530"/>
      <c r="Q431" s="530"/>
      <c r="R431" s="530"/>
      <c r="S431" s="530"/>
      <c r="T431" s="530"/>
      <c r="U431" s="530"/>
      <c r="V431" s="530"/>
      <c r="W431" s="530"/>
      <c r="X431" s="733"/>
      <c r="Y431" s="716"/>
      <c r="Z431" s="716"/>
      <c r="AA431" s="716"/>
      <c r="AB431" s="716"/>
      <c r="AC431" s="716"/>
      <c r="AD431" s="716"/>
      <c r="AE431" s="716"/>
      <c r="AF431" s="716"/>
      <c r="AG431" s="716"/>
      <c r="AH431" s="716"/>
      <c r="AI431" s="716"/>
      <c r="AJ431" s="716"/>
      <c r="AK431" s="716"/>
      <c r="AL431" s="716"/>
      <c r="AM431" s="716"/>
      <c r="AN431" s="716"/>
      <c r="AO431" s="716"/>
      <c r="AP431" s="716"/>
      <c r="AQ431" s="716"/>
      <c r="AR431" s="716"/>
    </row>
    <row r="432">
      <c r="A432" s="716"/>
      <c r="B432" s="530"/>
      <c r="C432" s="530"/>
      <c r="D432" s="530"/>
      <c r="E432" s="530"/>
      <c r="F432" s="530"/>
      <c r="G432" s="530"/>
      <c r="H432" s="530"/>
      <c r="I432" s="530"/>
      <c r="J432" s="530"/>
      <c r="K432" s="530"/>
      <c r="L432" s="530"/>
      <c r="M432" s="530"/>
      <c r="N432" s="530"/>
      <c r="O432" s="530"/>
      <c r="P432" s="530"/>
      <c r="Q432" s="530"/>
      <c r="R432" s="530"/>
      <c r="S432" s="530"/>
      <c r="T432" s="530"/>
      <c r="U432" s="530"/>
      <c r="V432" s="530"/>
      <c r="W432" s="530"/>
      <c r="X432" s="733"/>
      <c r="Y432" s="716"/>
      <c r="Z432" s="716"/>
      <c r="AA432" s="716"/>
      <c r="AB432" s="716"/>
      <c r="AC432" s="716"/>
      <c r="AD432" s="716"/>
      <c r="AE432" s="716"/>
      <c r="AF432" s="716"/>
      <c r="AG432" s="716"/>
      <c r="AH432" s="716"/>
      <c r="AI432" s="716"/>
      <c r="AJ432" s="716"/>
      <c r="AK432" s="716"/>
      <c r="AL432" s="716"/>
      <c r="AM432" s="716"/>
      <c r="AN432" s="716"/>
      <c r="AO432" s="716"/>
      <c r="AP432" s="716"/>
      <c r="AQ432" s="716"/>
      <c r="AR432" s="716"/>
    </row>
    <row r="433">
      <c r="A433" s="716"/>
      <c r="B433" s="530"/>
      <c r="C433" s="530"/>
      <c r="D433" s="530"/>
      <c r="E433" s="530"/>
      <c r="F433" s="530"/>
      <c r="G433" s="530"/>
      <c r="H433" s="530"/>
      <c r="I433" s="530"/>
      <c r="J433" s="530"/>
      <c r="K433" s="530"/>
      <c r="L433" s="530"/>
      <c r="M433" s="530"/>
      <c r="N433" s="530"/>
      <c r="O433" s="530"/>
      <c r="P433" s="530"/>
      <c r="Q433" s="530"/>
      <c r="R433" s="530"/>
      <c r="S433" s="530"/>
      <c r="T433" s="530"/>
      <c r="U433" s="530"/>
      <c r="V433" s="530"/>
      <c r="W433" s="530"/>
      <c r="X433" s="733"/>
      <c r="Y433" s="716"/>
      <c r="Z433" s="716"/>
      <c r="AA433" s="716"/>
      <c r="AB433" s="716"/>
      <c r="AC433" s="716"/>
      <c r="AD433" s="716"/>
      <c r="AE433" s="716"/>
      <c r="AF433" s="716"/>
      <c r="AG433" s="716"/>
      <c r="AH433" s="716"/>
      <c r="AI433" s="716"/>
      <c r="AJ433" s="716"/>
      <c r="AK433" s="716"/>
      <c r="AL433" s="716"/>
      <c r="AM433" s="716"/>
      <c r="AN433" s="716"/>
      <c r="AO433" s="716"/>
      <c r="AP433" s="716"/>
      <c r="AQ433" s="716"/>
      <c r="AR433" s="716"/>
    </row>
    <row r="434">
      <c r="A434" s="716"/>
      <c r="B434" s="530"/>
      <c r="C434" s="530"/>
      <c r="D434" s="530"/>
      <c r="E434" s="530"/>
      <c r="F434" s="530"/>
      <c r="G434" s="530"/>
      <c r="H434" s="530"/>
      <c r="I434" s="530"/>
      <c r="J434" s="530"/>
      <c r="K434" s="530"/>
      <c r="L434" s="530"/>
      <c r="M434" s="530"/>
      <c r="N434" s="530"/>
      <c r="O434" s="530"/>
      <c r="P434" s="530"/>
      <c r="Q434" s="530"/>
      <c r="R434" s="530"/>
      <c r="S434" s="530"/>
      <c r="T434" s="530"/>
      <c r="U434" s="530"/>
      <c r="V434" s="530"/>
      <c r="W434" s="530"/>
      <c r="X434" s="733"/>
      <c r="Y434" s="716"/>
      <c r="Z434" s="716"/>
      <c r="AA434" s="716"/>
      <c r="AB434" s="716"/>
      <c r="AC434" s="716"/>
      <c r="AD434" s="716"/>
      <c r="AE434" s="716"/>
      <c r="AF434" s="716"/>
      <c r="AG434" s="716"/>
      <c r="AH434" s="716"/>
      <c r="AI434" s="716"/>
      <c r="AJ434" s="716"/>
      <c r="AK434" s="716"/>
      <c r="AL434" s="716"/>
      <c r="AM434" s="716"/>
      <c r="AN434" s="716"/>
      <c r="AO434" s="716"/>
      <c r="AP434" s="716"/>
      <c r="AQ434" s="716"/>
      <c r="AR434" s="716"/>
    </row>
    <row r="435">
      <c r="A435" s="716"/>
      <c r="B435" s="530"/>
      <c r="C435" s="530"/>
      <c r="D435" s="530"/>
      <c r="E435" s="530"/>
      <c r="F435" s="530"/>
      <c r="G435" s="530"/>
      <c r="H435" s="530"/>
      <c r="I435" s="530"/>
      <c r="J435" s="530"/>
      <c r="K435" s="530"/>
      <c r="L435" s="530"/>
      <c r="M435" s="530"/>
      <c r="N435" s="530"/>
      <c r="O435" s="530"/>
      <c r="P435" s="530"/>
      <c r="Q435" s="530"/>
      <c r="R435" s="530"/>
      <c r="S435" s="530"/>
      <c r="T435" s="530"/>
      <c r="U435" s="530"/>
      <c r="V435" s="530"/>
      <c r="W435" s="530"/>
      <c r="X435" s="733"/>
      <c r="Y435" s="716"/>
      <c r="Z435" s="716"/>
      <c r="AA435" s="716"/>
      <c r="AB435" s="716"/>
      <c r="AC435" s="716"/>
      <c r="AD435" s="716"/>
      <c r="AE435" s="716"/>
      <c r="AF435" s="716"/>
      <c r="AG435" s="716"/>
      <c r="AH435" s="716"/>
      <c r="AI435" s="716"/>
      <c r="AJ435" s="716"/>
      <c r="AK435" s="716"/>
      <c r="AL435" s="716"/>
      <c r="AM435" s="716"/>
      <c r="AN435" s="716"/>
      <c r="AO435" s="716"/>
      <c r="AP435" s="716"/>
      <c r="AQ435" s="716"/>
      <c r="AR435" s="716"/>
    </row>
    <row r="436">
      <c r="A436" s="716"/>
      <c r="B436" s="530"/>
      <c r="C436" s="530"/>
      <c r="D436" s="530"/>
      <c r="E436" s="530"/>
      <c r="F436" s="530"/>
      <c r="G436" s="530"/>
      <c r="H436" s="530"/>
      <c r="I436" s="530"/>
      <c r="J436" s="530"/>
      <c r="K436" s="530"/>
      <c r="L436" s="530"/>
      <c r="M436" s="530"/>
      <c r="N436" s="530"/>
      <c r="O436" s="530"/>
      <c r="P436" s="530"/>
      <c r="Q436" s="530"/>
      <c r="R436" s="530"/>
      <c r="S436" s="530"/>
      <c r="T436" s="530"/>
      <c r="U436" s="530"/>
      <c r="V436" s="530"/>
      <c r="W436" s="530"/>
      <c r="X436" s="733"/>
      <c r="Y436" s="716"/>
      <c r="Z436" s="716"/>
      <c r="AA436" s="716"/>
      <c r="AB436" s="716"/>
      <c r="AC436" s="716"/>
      <c r="AD436" s="716"/>
      <c r="AE436" s="716"/>
      <c r="AF436" s="716"/>
      <c r="AG436" s="716"/>
      <c r="AH436" s="716"/>
      <c r="AI436" s="716"/>
      <c r="AJ436" s="716"/>
      <c r="AK436" s="716"/>
      <c r="AL436" s="716"/>
      <c r="AM436" s="716"/>
      <c r="AN436" s="716"/>
      <c r="AO436" s="716"/>
      <c r="AP436" s="716"/>
      <c r="AQ436" s="716"/>
      <c r="AR436" s="716"/>
    </row>
    <row r="437">
      <c r="A437" s="716"/>
      <c r="B437" s="530"/>
      <c r="C437" s="530"/>
      <c r="D437" s="530"/>
      <c r="E437" s="530"/>
      <c r="F437" s="530"/>
      <c r="G437" s="530"/>
      <c r="H437" s="530"/>
      <c r="I437" s="530"/>
      <c r="J437" s="530"/>
      <c r="K437" s="530"/>
      <c r="L437" s="530"/>
      <c r="M437" s="530"/>
      <c r="N437" s="530"/>
      <c r="O437" s="530"/>
      <c r="P437" s="530"/>
      <c r="Q437" s="530"/>
      <c r="R437" s="530"/>
      <c r="S437" s="530"/>
      <c r="T437" s="530"/>
      <c r="U437" s="530"/>
      <c r="V437" s="530"/>
      <c r="W437" s="530"/>
      <c r="X437" s="733"/>
      <c r="Y437" s="716"/>
      <c r="Z437" s="716"/>
      <c r="AA437" s="716"/>
      <c r="AB437" s="716"/>
      <c r="AC437" s="716"/>
      <c r="AD437" s="716"/>
      <c r="AE437" s="716"/>
      <c r="AF437" s="716"/>
      <c r="AG437" s="716"/>
      <c r="AH437" s="716"/>
      <c r="AI437" s="716"/>
      <c r="AJ437" s="716"/>
      <c r="AK437" s="716"/>
      <c r="AL437" s="716"/>
      <c r="AM437" s="716"/>
      <c r="AN437" s="716"/>
      <c r="AO437" s="716"/>
      <c r="AP437" s="716"/>
      <c r="AQ437" s="716"/>
      <c r="AR437" s="716"/>
    </row>
    <row r="438">
      <c r="A438" s="716"/>
      <c r="B438" s="530"/>
      <c r="C438" s="530"/>
      <c r="D438" s="530"/>
      <c r="E438" s="530"/>
      <c r="F438" s="530"/>
      <c r="G438" s="530"/>
      <c r="H438" s="530"/>
      <c r="I438" s="530"/>
      <c r="J438" s="530"/>
      <c r="K438" s="530"/>
      <c r="L438" s="530"/>
      <c r="M438" s="530"/>
      <c r="N438" s="530"/>
      <c r="O438" s="530"/>
      <c r="P438" s="530"/>
      <c r="Q438" s="530"/>
      <c r="R438" s="530"/>
      <c r="S438" s="530"/>
      <c r="T438" s="530"/>
      <c r="U438" s="530"/>
      <c r="V438" s="530"/>
      <c r="W438" s="530"/>
      <c r="X438" s="733"/>
      <c r="Y438" s="716"/>
      <c r="Z438" s="716"/>
      <c r="AA438" s="716"/>
      <c r="AB438" s="716"/>
      <c r="AC438" s="716"/>
      <c r="AD438" s="716"/>
      <c r="AE438" s="716"/>
      <c r="AF438" s="716"/>
      <c r="AG438" s="716"/>
      <c r="AH438" s="716"/>
      <c r="AI438" s="716"/>
      <c r="AJ438" s="716"/>
      <c r="AK438" s="716"/>
      <c r="AL438" s="716"/>
      <c r="AM438" s="716"/>
      <c r="AN438" s="716"/>
      <c r="AO438" s="716"/>
      <c r="AP438" s="716"/>
      <c r="AQ438" s="716"/>
      <c r="AR438" s="716"/>
    </row>
    <row r="439">
      <c r="A439" s="716"/>
      <c r="B439" s="530"/>
      <c r="C439" s="530"/>
      <c r="D439" s="530"/>
      <c r="E439" s="530"/>
      <c r="F439" s="530"/>
      <c r="G439" s="530"/>
      <c r="H439" s="530"/>
      <c r="I439" s="530"/>
      <c r="J439" s="530"/>
      <c r="K439" s="530"/>
      <c r="L439" s="530"/>
      <c r="M439" s="530"/>
      <c r="N439" s="530"/>
      <c r="O439" s="530"/>
      <c r="P439" s="530"/>
      <c r="Q439" s="530"/>
      <c r="R439" s="530"/>
      <c r="S439" s="530"/>
      <c r="T439" s="530"/>
      <c r="U439" s="530"/>
      <c r="V439" s="530"/>
      <c r="W439" s="530"/>
      <c r="X439" s="733"/>
      <c r="Y439" s="716"/>
      <c r="Z439" s="716"/>
      <c r="AA439" s="716"/>
      <c r="AB439" s="716"/>
      <c r="AC439" s="716"/>
      <c r="AD439" s="716"/>
      <c r="AE439" s="716"/>
      <c r="AF439" s="716"/>
      <c r="AG439" s="716"/>
      <c r="AH439" s="716"/>
      <c r="AI439" s="716"/>
      <c r="AJ439" s="716"/>
      <c r="AK439" s="716"/>
      <c r="AL439" s="716"/>
      <c r="AM439" s="716"/>
      <c r="AN439" s="716"/>
      <c r="AO439" s="716"/>
      <c r="AP439" s="716"/>
      <c r="AQ439" s="716"/>
      <c r="AR439" s="716"/>
    </row>
    <row r="440">
      <c r="A440" s="716"/>
      <c r="B440" s="530"/>
      <c r="C440" s="530"/>
      <c r="D440" s="530"/>
      <c r="E440" s="530"/>
      <c r="F440" s="530"/>
      <c r="G440" s="530"/>
      <c r="H440" s="530"/>
      <c r="I440" s="530"/>
      <c r="J440" s="530"/>
      <c r="K440" s="530"/>
      <c r="L440" s="530"/>
      <c r="M440" s="530"/>
      <c r="N440" s="530"/>
      <c r="O440" s="530"/>
      <c r="P440" s="530"/>
      <c r="Q440" s="530"/>
      <c r="R440" s="530"/>
      <c r="S440" s="530"/>
      <c r="T440" s="530"/>
      <c r="U440" s="530"/>
      <c r="V440" s="530"/>
      <c r="W440" s="530"/>
      <c r="X440" s="733"/>
      <c r="Y440" s="716"/>
      <c r="Z440" s="716"/>
      <c r="AA440" s="716"/>
      <c r="AB440" s="716"/>
      <c r="AC440" s="716"/>
      <c r="AD440" s="716"/>
      <c r="AE440" s="716"/>
      <c r="AF440" s="716"/>
      <c r="AG440" s="716"/>
      <c r="AH440" s="716"/>
      <c r="AI440" s="716"/>
      <c r="AJ440" s="716"/>
      <c r="AK440" s="716"/>
      <c r="AL440" s="716"/>
      <c r="AM440" s="716"/>
      <c r="AN440" s="716"/>
      <c r="AO440" s="716"/>
      <c r="AP440" s="716"/>
      <c r="AQ440" s="716"/>
      <c r="AR440" s="716"/>
    </row>
    <row r="441">
      <c r="A441" s="716"/>
      <c r="B441" s="530"/>
      <c r="C441" s="530"/>
      <c r="D441" s="530"/>
      <c r="E441" s="530"/>
      <c r="F441" s="530"/>
      <c r="G441" s="530"/>
      <c r="H441" s="530"/>
      <c r="I441" s="530"/>
      <c r="J441" s="530"/>
      <c r="K441" s="530"/>
      <c r="L441" s="530"/>
      <c r="M441" s="530"/>
      <c r="N441" s="530"/>
      <c r="O441" s="530"/>
      <c r="P441" s="530"/>
      <c r="Q441" s="530"/>
      <c r="R441" s="530"/>
      <c r="S441" s="530"/>
      <c r="T441" s="530"/>
      <c r="U441" s="530"/>
      <c r="V441" s="530"/>
      <c r="W441" s="530"/>
      <c r="X441" s="733"/>
      <c r="Y441" s="716"/>
      <c r="Z441" s="716"/>
      <c r="AA441" s="716"/>
      <c r="AB441" s="716"/>
      <c r="AC441" s="716"/>
      <c r="AD441" s="716"/>
      <c r="AE441" s="716"/>
      <c r="AF441" s="716"/>
      <c r="AG441" s="716"/>
      <c r="AH441" s="716"/>
      <c r="AI441" s="716"/>
      <c r="AJ441" s="716"/>
      <c r="AK441" s="716"/>
      <c r="AL441" s="716"/>
      <c r="AM441" s="716"/>
      <c r="AN441" s="716"/>
      <c r="AO441" s="716"/>
      <c r="AP441" s="716"/>
      <c r="AQ441" s="716"/>
      <c r="AR441" s="716"/>
    </row>
    <row r="442">
      <c r="A442" s="716"/>
      <c r="B442" s="530"/>
      <c r="C442" s="530"/>
      <c r="D442" s="530"/>
      <c r="E442" s="530"/>
      <c r="F442" s="530"/>
      <c r="G442" s="530"/>
      <c r="H442" s="530"/>
      <c r="I442" s="530"/>
      <c r="J442" s="530"/>
      <c r="K442" s="530"/>
      <c r="L442" s="530"/>
      <c r="M442" s="530"/>
      <c r="N442" s="530"/>
      <c r="O442" s="530"/>
      <c r="P442" s="530"/>
      <c r="Q442" s="530"/>
      <c r="R442" s="530"/>
      <c r="S442" s="530"/>
      <c r="T442" s="530"/>
      <c r="U442" s="530"/>
      <c r="V442" s="530"/>
      <c r="W442" s="530"/>
      <c r="X442" s="733"/>
      <c r="Y442" s="716"/>
      <c r="Z442" s="716"/>
      <c r="AA442" s="716"/>
      <c r="AB442" s="716"/>
      <c r="AC442" s="716"/>
      <c r="AD442" s="716"/>
      <c r="AE442" s="716"/>
      <c r="AF442" s="716"/>
      <c r="AG442" s="716"/>
      <c r="AH442" s="716"/>
      <c r="AI442" s="716"/>
      <c r="AJ442" s="716"/>
      <c r="AK442" s="716"/>
      <c r="AL442" s="716"/>
      <c r="AM442" s="716"/>
      <c r="AN442" s="716"/>
      <c r="AO442" s="716"/>
      <c r="AP442" s="716"/>
      <c r="AQ442" s="716"/>
      <c r="AR442" s="716"/>
    </row>
    <row r="443">
      <c r="A443" s="716"/>
      <c r="B443" s="530"/>
      <c r="C443" s="530"/>
      <c r="D443" s="530"/>
      <c r="E443" s="530"/>
      <c r="F443" s="530"/>
      <c r="G443" s="530"/>
      <c r="H443" s="530"/>
      <c r="I443" s="530"/>
      <c r="J443" s="530"/>
      <c r="K443" s="530"/>
      <c r="L443" s="530"/>
      <c r="M443" s="530"/>
      <c r="N443" s="530"/>
      <c r="O443" s="530"/>
      <c r="P443" s="530"/>
      <c r="Q443" s="530"/>
      <c r="R443" s="530"/>
      <c r="S443" s="530"/>
      <c r="T443" s="530"/>
      <c r="U443" s="530"/>
      <c r="V443" s="530"/>
      <c r="W443" s="530"/>
      <c r="X443" s="733"/>
      <c r="Y443" s="716"/>
      <c r="Z443" s="716"/>
      <c r="AA443" s="716"/>
      <c r="AB443" s="716"/>
      <c r="AC443" s="716"/>
      <c r="AD443" s="716"/>
      <c r="AE443" s="716"/>
      <c r="AF443" s="716"/>
      <c r="AG443" s="716"/>
      <c r="AH443" s="716"/>
      <c r="AI443" s="716"/>
      <c r="AJ443" s="716"/>
      <c r="AK443" s="716"/>
      <c r="AL443" s="716"/>
      <c r="AM443" s="716"/>
      <c r="AN443" s="716"/>
      <c r="AO443" s="716"/>
      <c r="AP443" s="716"/>
      <c r="AQ443" s="716"/>
      <c r="AR443" s="716"/>
    </row>
    <row r="444">
      <c r="A444" s="716"/>
      <c r="B444" s="530"/>
      <c r="C444" s="530"/>
      <c r="D444" s="530"/>
      <c r="E444" s="530"/>
      <c r="F444" s="530"/>
      <c r="G444" s="530"/>
      <c r="H444" s="530"/>
      <c r="I444" s="530"/>
      <c r="J444" s="530"/>
      <c r="K444" s="530"/>
      <c r="L444" s="530"/>
      <c r="M444" s="530"/>
      <c r="N444" s="530"/>
      <c r="O444" s="530"/>
      <c r="P444" s="530"/>
      <c r="Q444" s="530"/>
      <c r="R444" s="530"/>
      <c r="S444" s="530"/>
      <c r="T444" s="530"/>
      <c r="U444" s="530"/>
      <c r="V444" s="530"/>
      <c r="W444" s="530"/>
      <c r="X444" s="733"/>
      <c r="Y444" s="716"/>
      <c r="Z444" s="716"/>
      <c r="AA444" s="716"/>
      <c r="AB444" s="716"/>
      <c r="AC444" s="716"/>
      <c r="AD444" s="716"/>
      <c r="AE444" s="716"/>
      <c r="AF444" s="716"/>
      <c r="AG444" s="716"/>
      <c r="AH444" s="716"/>
      <c r="AI444" s="716"/>
      <c r="AJ444" s="716"/>
      <c r="AK444" s="716"/>
      <c r="AL444" s="716"/>
      <c r="AM444" s="716"/>
      <c r="AN444" s="716"/>
      <c r="AO444" s="716"/>
      <c r="AP444" s="716"/>
      <c r="AQ444" s="716"/>
      <c r="AR444" s="716"/>
    </row>
    <row r="445">
      <c r="A445" s="716"/>
      <c r="B445" s="530"/>
      <c r="C445" s="530"/>
      <c r="D445" s="530"/>
      <c r="E445" s="530"/>
      <c r="F445" s="530"/>
      <c r="G445" s="530"/>
      <c r="H445" s="530"/>
      <c r="I445" s="530"/>
      <c r="J445" s="530"/>
      <c r="K445" s="530"/>
      <c r="L445" s="530"/>
      <c r="M445" s="530"/>
      <c r="N445" s="530"/>
      <c r="O445" s="530"/>
      <c r="P445" s="530"/>
      <c r="Q445" s="530"/>
      <c r="R445" s="530"/>
      <c r="S445" s="530"/>
      <c r="T445" s="530"/>
      <c r="U445" s="530"/>
      <c r="V445" s="530"/>
      <c r="W445" s="530"/>
      <c r="X445" s="733"/>
      <c r="Y445" s="716"/>
      <c r="Z445" s="716"/>
      <c r="AA445" s="716"/>
      <c r="AB445" s="716"/>
      <c r="AC445" s="716"/>
      <c r="AD445" s="716"/>
      <c r="AE445" s="716"/>
      <c r="AF445" s="716"/>
      <c r="AG445" s="716"/>
      <c r="AH445" s="716"/>
      <c r="AI445" s="716"/>
      <c r="AJ445" s="716"/>
      <c r="AK445" s="716"/>
      <c r="AL445" s="716"/>
      <c r="AM445" s="716"/>
      <c r="AN445" s="716"/>
      <c r="AO445" s="716"/>
      <c r="AP445" s="716"/>
      <c r="AQ445" s="716"/>
      <c r="AR445" s="716"/>
    </row>
    <row r="446">
      <c r="A446" s="716"/>
      <c r="B446" s="530"/>
      <c r="C446" s="530"/>
      <c r="D446" s="530"/>
      <c r="E446" s="530"/>
      <c r="F446" s="530"/>
      <c r="G446" s="530"/>
      <c r="H446" s="530"/>
      <c r="I446" s="530"/>
      <c r="J446" s="530"/>
      <c r="K446" s="530"/>
      <c r="L446" s="530"/>
      <c r="M446" s="530"/>
      <c r="N446" s="530"/>
      <c r="O446" s="530"/>
      <c r="P446" s="530"/>
      <c r="Q446" s="530"/>
      <c r="R446" s="530"/>
      <c r="S446" s="530"/>
      <c r="T446" s="530"/>
      <c r="U446" s="530"/>
      <c r="V446" s="530"/>
      <c r="W446" s="530"/>
      <c r="X446" s="733"/>
      <c r="Y446" s="716"/>
      <c r="Z446" s="716"/>
      <c r="AA446" s="716"/>
      <c r="AB446" s="716"/>
      <c r="AC446" s="716"/>
      <c r="AD446" s="716"/>
      <c r="AE446" s="716"/>
      <c r="AF446" s="716"/>
      <c r="AG446" s="716"/>
      <c r="AH446" s="716"/>
      <c r="AI446" s="716"/>
      <c r="AJ446" s="716"/>
      <c r="AK446" s="716"/>
      <c r="AL446" s="716"/>
      <c r="AM446" s="716"/>
      <c r="AN446" s="716"/>
      <c r="AO446" s="716"/>
      <c r="AP446" s="716"/>
      <c r="AQ446" s="716"/>
      <c r="AR446" s="716"/>
    </row>
    <row r="447">
      <c r="A447" s="716"/>
      <c r="B447" s="530"/>
      <c r="C447" s="530"/>
      <c r="D447" s="530"/>
      <c r="E447" s="530"/>
      <c r="F447" s="530"/>
      <c r="G447" s="530"/>
      <c r="H447" s="530"/>
      <c r="I447" s="530"/>
      <c r="J447" s="530"/>
      <c r="K447" s="530"/>
      <c r="L447" s="530"/>
      <c r="M447" s="530"/>
      <c r="N447" s="530"/>
      <c r="O447" s="530"/>
      <c r="P447" s="530"/>
      <c r="Q447" s="530"/>
      <c r="R447" s="530"/>
      <c r="S447" s="530"/>
      <c r="T447" s="530"/>
      <c r="U447" s="530"/>
      <c r="V447" s="530"/>
      <c r="W447" s="530"/>
      <c r="X447" s="733"/>
      <c r="Y447" s="716"/>
      <c r="Z447" s="716"/>
      <c r="AA447" s="716"/>
      <c r="AB447" s="716"/>
      <c r="AC447" s="716"/>
      <c r="AD447" s="716"/>
      <c r="AE447" s="716"/>
      <c r="AF447" s="716"/>
      <c r="AG447" s="716"/>
      <c r="AH447" s="716"/>
      <c r="AI447" s="716"/>
      <c r="AJ447" s="716"/>
      <c r="AK447" s="716"/>
      <c r="AL447" s="716"/>
      <c r="AM447" s="716"/>
      <c r="AN447" s="716"/>
      <c r="AO447" s="716"/>
      <c r="AP447" s="716"/>
      <c r="AQ447" s="716"/>
      <c r="AR447" s="716"/>
    </row>
    <row r="448">
      <c r="A448" s="716"/>
      <c r="B448" s="530"/>
      <c r="C448" s="530"/>
      <c r="D448" s="530"/>
      <c r="E448" s="530"/>
      <c r="F448" s="530"/>
      <c r="G448" s="530"/>
      <c r="H448" s="530"/>
      <c r="I448" s="530"/>
      <c r="J448" s="530"/>
      <c r="K448" s="530"/>
      <c r="L448" s="530"/>
      <c r="M448" s="530"/>
      <c r="N448" s="530"/>
      <c r="O448" s="530"/>
      <c r="P448" s="530"/>
      <c r="Q448" s="530"/>
      <c r="R448" s="530"/>
      <c r="S448" s="530"/>
      <c r="T448" s="530"/>
      <c r="U448" s="530"/>
      <c r="V448" s="530"/>
      <c r="W448" s="530"/>
      <c r="X448" s="733"/>
      <c r="Y448" s="716"/>
      <c r="Z448" s="716"/>
      <c r="AA448" s="716"/>
      <c r="AB448" s="716"/>
      <c r="AC448" s="716"/>
      <c r="AD448" s="716"/>
      <c r="AE448" s="716"/>
      <c r="AF448" s="716"/>
      <c r="AG448" s="716"/>
      <c r="AH448" s="716"/>
      <c r="AI448" s="716"/>
      <c r="AJ448" s="716"/>
      <c r="AK448" s="716"/>
      <c r="AL448" s="716"/>
      <c r="AM448" s="716"/>
      <c r="AN448" s="716"/>
      <c r="AO448" s="716"/>
      <c r="AP448" s="716"/>
      <c r="AQ448" s="716"/>
      <c r="AR448" s="716"/>
    </row>
    <row r="449">
      <c r="A449" s="716"/>
      <c r="B449" s="530"/>
      <c r="C449" s="530"/>
      <c r="D449" s="530"/>
      <c r="E449" s="530"/>
      <c r="F449" s="530"/>
      <c r="G449" s="530"/>
      <c r="H449" s="530"/>
      <c r="I449" s="530"/>
      <c r="J449" s="530"/>
      <c r="K449" s="530"/>
      <c r="L449" s="530"/>
      <c r="M449" s="530"/>
      <c r="N449" s="530"/>
      <c r="O449" s="530"/>
      <c r="P449" s="530"/>
      <c r="Q449" s="530"/>
      <c r="R449" s="530"/>
      <c r="S449" s="530"/>
      <c r="T449" s="530"/>
      <c r="U449" s="530"/>
      <c r="V449" s="530"/>
      <c r="W449" s="530"/>
      <c r="X449" s="733"/>
      <c r="Y449" s="716"/>
      <c r="Z449" s="716"/>
      <c r="AA449" s="716"/>
      <c r="AB449" s="716"/>
      <c r="AC449" s="716"/>
      <c r="AD449" s="716"/>
      <c r="AE449" s="716"/>
      <c r="AF449" s="716"/>
      <c r="AG449" s="716"/>
      <c r="AH449" s="716"/>
      <c r="AI449" s="716"/>
      <c r="AJ449" s="716"/>
      <c r="AK449" s="716"/>
      <c r="AL449" s="716"/>
      <c r="AM449" s="716"/>
      <c r="AN449" s="716"/>
      <c r="AO449" s="716"/>
      <c r="AP449" s="716"/>
      <c r="AQ449" s="716"/>
      <c r="AR449" s="716"/>
    </row>
    <row r="450">
      <c r="A450" s="716"/>
      <c r="B450" s="530"/>
      <c r="C450" s="530"/>
      <c r="D450" s="530"/>
      <c r="E450" s="530"/>
      <c r="F450" s="530"/>
      <c r="G450" s="530"/>
      <c r="H450" s="530"/>
      <c r="I450" s="530"/>
      <c r="J450" s="530"/>
      <c r="K450" s="530"/>
      <c r="L450" s="530"/>
      <c r="M450" s="530"/>
      <c r="N450" s="530"/>
      <c r="O450" s="530"/>
      <c r="P450" s="530"/>
      <c r="Q450" s="530"/>
      <c r="R450" s="530"/>
      <c r="S450" s="530"/>
      <c r="T450" s="530"/>
      <c r="U450" s="530"/>
      <c r="V450" s="530"/>
      <c r="W450" s="530"/>
      <c r="X450" s="733"/>
      <c r="Y450" s="716"/>
      <c r="Z450" s="716"/>
      <c r="AA450" s="716"/>
      <c r="AB450" s="716"/>
      <c r="AC450" s="716"/>
      <c r="AD450" s="716"/>
      <c r="AE450" s="716"/>
      <c r="AF450" s="716"/>
      <c r="AG450" s="716"/>
      <c r="AH450" s="716"/>
      <c r="AI450" s="716"/>
      <c r="AJ450" s="716"/>
      <c r="AK450" s="716"/>
      <c r="AL450" s="716"/>
      <c r="AM450" s="716"/>
      <c r="AN450" s="716"/>
      <c r="AO450" s="716"/>
      <c r="AP450" s="716"/>
      <c r="AQ450" s="716"/>
      <c r="AR450" s="716"/>
    </row>
    <row r="451">
      <c r="A451" s="716"/>
      <c r="B451" s="530"/>
      <c r="C451" s="530"/>
      <c r="D451" s="530"/>
      <c r="E451" s="530"/>
      <c r="F451" s="530"/>
      <c r="G451" s="530"/>
      <c r="H451" s="530"/>
      <c r="I451" s="530"/>
      <c r="J451" s="530"/>
      <c r="K451" s="530"/>
      <c r="L451" s="530"/>
      <c r="M451" s="530"/>
      <c r="N451" s="530"/>
      <c r="O451" s="530"/>
      <c r="P451" s="530"/>
      <c r="Q451" s="530"/>
      <c r="R451" s="530"/>
      <c r="S451" s="530"/>
      <c r="T451" s="530"/>
      <c r="U451" s="530"/>
      <c r="V451" s="530"/>
      <c r="W451" s="530"/>
      <c r="X451" s="733"/>
      <c r="Y451" s="716"/>
      <c r="Z451" s="716"/>
      <c r="AA451" s="716"/>
      <c r="AB451" s="716"/>
      <c r="AC451" s="716"/>
      <c r="AD451" s="716"/>
      <c r="AE451" s="716"/>
      <c r="AF451" s="716"/>
      <c r="AG451" s="716"/>
      <c r="AH451" s="716"/>
      <c r="AI451" s="716"/>
      <c r="AJ451" s="716"/>
      <c r="AK451" s="716"/>
      <c r="AL451" s="716"/>
      <c r="AM451" s="716"/>
      <c r="AN451" s="716"/>
      <c r="AO451" s="716"/>
      <c r="AP451" s="716"/>
      <c r="AQ451" s="716"/>
      <c r="AR451" s="716"/>
    </row>
    <row r="452">
      <c r="A452" s="716"/>
      <c r="B452" s="530"/>
      <c r="C452" s="530"/>
      <c r="D452" s="530"/>
      <c r="E452" s="530"/>
      <c r="F452" s="530"/>
      <c r="G452" s="530"/>
      <c r="H452" s="530"/>
      <c r="I452" s="530"/>
      <c r="J452" s="530"/>
      <c r="K452" s="530"/>
      <c r="L452" s="530"/>
      <c r="M452" s="530"/>
      <c r="N452" s="530"/>
      <c r="O452" s="530"/>
      <c r="P452" s="530"/>
      <c r="Q452" s="530"/>
      <c r="R452" s="530"/>
      <c r="S452" s="530"/>
      <c r="T452" s="530"/>
      <c r="U452" s="530"/>
      <c r="V452" s="530"/>
      <c r="W452" s="530"/>
      <c r="X452" s="733"/>
      <c r="Y452" s="716"/>
      <c r="Z452" s="716"/>
      <c r="AA452" s="716"/>
      <c r="AB452" s="716"/>
      <c r="AC452" s="716"/>
      <c r="AD452" s="716"/>
      <c r="AE452" s="716"/>
      <c r="AF452" s="716"/>
      <c r="AG452" s="716"/>
      <c r="AH452" s="716"/>
      <c r="AI452" s="716"/>
      <c r="AJ452" s="716"/>
      <c r="AK452" s="716"/>
      <c r="AL452" s="716"/>
      <c r="AM452" s="716"/>
      <c r="AN452" s="716"/>
      <c r="AO452" s="716"/>
      <c r="AP452" s="716"/>
      <c r="AQ452" s="716"/>
      <c r="AR452" s="716"/>
    </row>
    <row r="453">
      <c r="A453" s="716"/>
      <c r="B453" s="530"/>
      <c r="C453" s="530"/>
      <c r="D453" s="530"/>
      <c r="E453" s="530"/>
      <c r="F453" s="530"/>
      <c r="G453" s="530"/>
      <c r="H453" s="530"/>
      <c r="I453" s="530"/>
      <c r="J453" s="530"/>
      <c r="K453" s="530"/>
      <c r="L453" s="530"/>
      <c r="M453" s="530"/>
      <c r="N453" s="530"/>
      <c r="O453" s="530"/>
      <c r="P453" s="530"/>
      <c r="Q453" s="530"/>
      <c r="R453" s="530"/>
      <c r="S453" s="530"/>
      <c r="T453" s="530"/>
      <c r="U453" s="530"/>
      <c r="V453" s="530"/>
      <c r="W453" s="530"/>
      <c r="X453" s="733"/>
      <c r="Y453" s="716"/>
      <c r="Z453" s="716"/>
      <c r="AA453" s="716"/>
      <c r="AB453" s="716"/>
      <c r="AC453" s="716"/>
      <c r="AD453" s="716"/>
      <c r="AE453" s="716"/>
      <c r="AF453" s="716"/>
      <c r="AG453" s="716"/>
      <c r="AH453" s="716"/>
      <c r="AI453" s="716"/>
      <c r="AJ453" s="716"/>
      <c r="AK453" s="716"/>
      <c r="AL453" s="716"/>
      <c r="AM453" s="716"/>
      <c r="AN453" s="716"/>
      <c r="AO453" s="716"/>
      <c r="AP453" s="716"/>
      <c r="AQ453" s="716"/>
      <c r="AR453" s="716"/>
    </row>
    <row r="454">
      <c r="A454" s="716"/>
      <c r="B454" s="530"/>
      <c r="C454" s="530"/>
      <c r="D454" s="530"/>
      <c r="E454" s="530"/>
      <c r="F454" s="530"/>
      <c r="G454" s="530"/>
      <c r="H454" s="530"/>
      <c r="I454" s="530"/>
      <c r="J454" s="530"/>
      <c r="K454" s="530"/>
      <c r="L454" s="530"/>
      <c r="M454" s="530"/>
      <c r="N454" s="530"/>
      <c r="O454" s="530"/>
      <c r="P454" s="530"/>
      <c r="Q454" s="530"/>
      <c r="R454" s="530"/>
      <c r="S454" s="530"/>
      <c r="T454" s="530"/>
      <c r="U454" s="530"/>
      <c r="V454" s="530"/>
      <c r="W454" s="530"/>
      <c r="X454" s="733"/>
      <c r="Y454" s="716"/>
      <c r="Z454" s="716"/>
      <c r="AA454" s="716"/>
      <c r="AB454" s="716"/>
      <c r="AC454" s="716"/>
      <c r="AD454" s="716"/>
      <c r="AE454" s="716"/>
      <c r="AF454" s="716"/>
      <c r="AG454" s="716"/>
      <c r="AH454" s="716"/>
      <c r="AI454" s="716"/>
      <c r="AJ454" s="716"/>
      <c r="AK454" s="716"/>
      <c r="AL454" s="716"/>
      <c r="AM454" s="716"/>
      <c r="AN454" s="716"/>
      <c r="AO454" s="716"/>
      <c r="AP454" s="716"/>
      <c r="AQ454" s="716"/>
      <c r="AR454" s="716"/>
    </row>
    <row r="455">
      <c r="A455" s="716"/>
      <c r="B455" s="530"/>
      <c r="C455" s="530"/>
      <c r="D455" s="530"/>
      <c r="E455" s="530"/>
      <c r="F455" s="530"/>
      <c r="G455" s="530"/>
      <c r="H455" s="530"/>
      <c r="I455" s="530"/>
      <c r="J455" s="530"/>
      <c r="K455" s="530"/>
      <c r="L455" s="530"/>
      <c r="M455" s="530"/>
      <c r="N455" s="530"/>
      <c r="O455" s="530"/>
      <c r="P455" s="530"/>
      <c r="Q455" s="530"/>
      <c r="R455" s="530"/>
      <c r="S455" s="530"/>
      <c r="T455" s="530"/>
      <c r="U455" s="530"/>
      <c r="V455" s="530"/>
      <c r="W455" s="530"/>
      <c r="X455" s="733"/>
      <c r="Y455" s="716"/>
      <c r="Z455" s="716"/>
      <c r="AA455" s="716"/>
      <c r="AB455" s="716"/>
      <c r="AC455" s="716"/>
      <c r="AD455" s="716"/>
      <c r="AE455" s="716"/>
      <c r="AF455" s="716"/>
      <c r="AG455" s="716"/>
      <c r="AH455" s="716"/>
      <c r="AI455" s="716"/>
      <c r="AJ455" s="716"/>
      <c r="AK455" s="716"/>
      <c r="AL455" s="716"/>
      <c r="AM455" s="716"/>
      <c r="AN455" s="716"/>
      <c r="AO455" s="716"/>
      <c r="AP455" s="716"/>
      <c r="AQ455" s="716"/>
      <c r="AR455" s="716"/>
    </row>
    <row r="456">
      <c r="A456" s="716"/>
      <c r="B456" s="530"/>
      <c r="C456" s="530"/>
      <c r="D456" s="530"/>
      <c r="E456" s="530"/>
      <c r="F456" s="530"/>
      <c r="G456" s="530"/>
      <c r="H456" s="530"/>
      <c r="I456" s="530"/>
      <c r="J456" s="530"/>
      <c r="K456" s="530"/>
      <c r="L456" s="530"/>
      <c r="M456" s="530"/>
      <c r="N456" s="530"/>
      <c r="O456" s="530"/>
      <c r="P456" s="530"/>
      <c r="Q456" s="530"/>
      <c r="R456" s="530"/>
      <c r="S456" s="530"/>
      <c r="T456" s="530"/>
      <c r="U456" s="530"/>
      <c r="V456" s="530"/>
      <c r="W456" s="530"/>
      <c r="X456" s="733"/>
      <c r="Y456" s="716"/>
      <c r="Z456" s="716"/>
      <c r="AA456" s="716"/>
      <c r="AB456" s="716"/>
      <c r="AC456" s="716"/>
      <c r="AD456" s="716"/>
      <c r="AE456" s="716"/>
      <c r="AF456" s="716"/>
      <c r="AG456" s="716"/>
      <c r="AH456" s="716"/>
      <c r="AI456" s="716"/>
      <c r="AJ456" s="716"/>
      <c r="AK456" s="716"/>
      <c r="AL456" s="716"/>
      <c r="AM456" s="716"/>
      <c r="AN456" s="716"/>
      <c r="AO456" s="716"/>
      <c r="AP456" s="716"/>
      <c r="AQ456" s="716"/>
      <c r="AR456" s="716"/>
    </row>
    <row r="457">
      <c r="A457" s="716"/>
      <c r="B457" s="530"/>
      <c r="C457" s="530"/>
      <c r="D457" s="530"/>
      <c r="E457" s="530"/>
      <c r="F457" s="530"/>
      <c r="G457" s="530"/>
      <c r="H457" s="530"/>
      <c r="I457" s="530"/>
      <c r="J457" s="530"/>
      <c r="K457" s="530"/>
      <c r="L457" s="530"/>
      <c r="M457" s="530"/>
      <c r="N457" s="530"/>
      <c r="O457" s="530"/>
      <c r="P457" s="530"/>
      <c r="Q457" s="530"/>
      <c r="R457" s="530"/>
      <c r="S457" s="530"/>
      <c r="T457" s="530"/>
      <c r="U457" s="530"/>
      <c r="V457" s="530"/>
      <c r="W457" s="530"/>
      <c r="X457" s="733"/>
      <c r="Y457" s="716"/>
      <c r="Z457" s="716"/>
      <c r="AA457" s="716"/>
      <c r="AB457" s="716"/>
      <c r="AC457" s="716"/>
      <c r="AD457" s="716"/>
      <c r="AE457" s="716"/>
      <c r="AF457" s="716"/>
      <c r="AG457" s="716"/>
      <c r="AH457" s="716"/>
      <c r="AI457" s="716"/>
      <c r="AJ457" s="716"/>
      <c r="AK457" s="716"/>
      <c r="AL457" s="716"/>
      <c r="AM457" s="716"/>
      <c r="AN457" s="716"/>
      <c r="AO457" s="716"/>
      <c r="AP457" s="716"/>
      <c r="AQ457" s="716"/>
      <c r="AR457" s="716"/>
    </row>
    <row r="458">
      <c r="A458" s="716"/>
      <c r="B458" s="530"/>
      <c r="C458" s="530"/>
      <c r="D458" s="530"/>
      <c r="E458" s="530"/>
      <c r="F458" s="530"/>
      <c r="G458" s="530"/>
      <c r="H458" s="530"/>
      <c r="I458" s="530"/>
      <c r="J458" s="530"/>
      <c r="K458" s="530"/>
      <c r="L458" s="530"/>
      <c r="M458" s="530"/>
      <c r="N458" s="530"/>
      <c r="O458" s="530"/>
      <c r="P458" s="530"/>
      <c r="Q458" s="530"/>
      <c r="R458" s="530"/>
      <c r="S458" s="530"/>
      <c r="T458" s="530"/>
      <c r="U458" s="530"/>
      <c r="V458" s="530"/>
      <c r="W458" s="530"/>
      <c r="X458" s="733"/>
      <c r="Y458" s="716"/>
      <c r="Z458" s="716"/>
      <c r="AA458" s="716"/>
      <c r="AB458" s="716"/>
      <c r="AC458" s="716"/>
      <c r="AD458" s="716"/>
      <c r="AE458" s="716"/>
      <c r="AF458" s="716"/>
      <c r="AG458" s="716"/>
      <c r="AH458" s="716"/>
      <c r="AI458" s="716"/>
      <c r="AJ458" s="716"/>
      <c r="AK458" s="716"/>
      <c r="AL458" s="716"/>
      <c r="AM458" s="716"/>
      <c r="AN458" s="716"/>
      <c r="AO458" s="716"/>
      <c r="AP458" s="716"/>
      <c r="AQ458" s="716"/>
      <c r="AR458" s="716"/>
    </row>
    <row r="459">
      <c r="A459" s="716"/>
      <c r="B459" s="530"/>
      <c r="C459" s="530"/>
      <c r="D459" s="530"/>
      <c r="E459" s="530"/>
      <c r="F459" s="530"/>
      <c r="G459" s="530"/>
      <c r="H459" s="530"/>
      <c r="I459" s="530"/>
      <c r="J459" s="530"/>
      <c r="K459" s="530"/>
      <c r="L459" s="530"/>
      <c r="M459" s="530"/>
      <c r="N459" s="530"/>
      <c r="O459" s="530"/>
      <c r="P459" s="530"/>
      <c r="Q459" s="530"/>
      <c r="R459" s="530"/>
      <c r="S459" s="530"/>
      <c r="T459" s="530"/>
      <c r="U459" s="530"/>
      <c r="V459" s="530"/>
      <c r="W459" s="530"/>
      <c r="X459" s="733"/>
      <c r="Y459" s="716"/>
      <c r="Z459" s="716"/>
      <c r="AA459" s="716"/>
      <c r="AB459" s="716"/>
      <c r="AC459" s="716"/>
      <c r="AD459" s="716"/>
      <c r="AE459" s="716"/>
      <c r="AF459" s="716"/>
      <c r="AG459" s="716"/>
      <c r="AH459" s="716"/>
      <c r="AI459" s="716"/>
      <c r="AJ459" s="716"/>
      <c r="AK459" s="716"/>
      <c r="AL459" s="716"/>
      <c r="AM459" s="716"/>
      <c r="AN459" s="716"/>
      <c r="AO459" s="716"/>
      <c r="AP459" s="716"/>
      <c r="AQ459" s="716"/>
      <c r="AR459" s="716"/>
    </row>
    <row r="460">
      <c r="A460" s="716"/>
      <c r="B460" s="530"/>
      <c r="C460" s="530"/>
      <c r="D460" s="530"/>
      <c r="E460" s="530"/>
      <c r="F460" s="530"/>
      <c r="G460" s="530"/>
      <c r="H460" s="530"/>
      <c r="I460" s="530"/>
      <c r="J460" s="530"/>
      <c r="K460" s="530"/>
      <c r="L460" s="530"/>
      <c r="M460" s="530"/>
      <c r="N460" s="530"/>
      <c r="O460" s="530"/>
      <c r="P460" s="530"/>
      <c r="Q460" s="530"/>
      <c r="R460" s="530"/>
      <c r="S460" s="530"/>
      <c r="T460" s="530"/>
      <c r="U460" s="530"/>
      <c r="V460" s="530"/>
      <c r="W460" s="530"/>
      <c r="X460" s="733"/>
      <c r="Y460" s="716"/>
      <c r="Z460" s="716"/>
      <c r="AA460" s="716"/>
      <c r="AB460" s="716"/>
      <c r="AC460" s="716"/>
      <c r="AD460" s="716"/>
      <c r="AE460" s="716"/>
      <c r="AF460" s="716"/>
      <c r="AG460" s="716"/>
      <c r="AH460" s="716"/>
      <c r="AI460" s="716"/>
      <c r="AJ460" s="716"/>
      <c r="AK460" s="716"/>
      <c r="AL460" s="716"/>
      <c r="AM460" s="716"/>
      <c r="AN460" s="716"/>
      <c r="AO460" s="716"/>
      <c r="AP460" s="716"/>
      <c r="AQ460" s="716"/>
      <c r="AR460" s="716"/>
    </row>
    <row r="461">
      <c r="A461" s="716"/>
      <c r="B461" s="530"/>
      <c r="C461" s="530"/>
      <c r="D461" s="530"/>
      <c r="E461" s="530"/>
      <c r="F461" s="530"/>
      <c r="G461" s="530"/>
      <c r="H461" s="530"/>
      <c r="I461" s="530"/>
      <c r="J461" s="530"/>
      <c r="K461" s="530"/>
      <c r="L461" s="530"/>
      <c r="M461" s="530"/>
      <c r="N461" s="530"/>
      <c r="O461" s="530"/>
      <c r="P461" s="530"/>
      <c r="Q461" s="530"/>
      <c r="R461" s="530"/>
      <c r="S461" s="530"/>
      <c r="T461" s="530"/>
      <c r="U461" s="530"/>
      <c r="V461" s="530"/>
      <c r="W461" s="530"/>
      <c r="X461" s="733"/>
      <c r="Y461" s="716"/>
      <c r="Z461" s="716"/>
      <c r="AA461" s="716"/>
      <c r="AB461" s="716"/>
      <c r="AC461" s="716"/>
      <c r="AD461" s="716"/>
      <c r="AE461" s="716"/>
      <c r="AF461" s="716"/>
      <c r="AG461" s="716"/>
      <c r="AH461" s="716"/>
      <c r="AI461" s="716"/>
      <c r="AJ461" s="716"/>
      <c r="AK461" s="716"/>
      <c r="AL461" s="716"/>
      <c r="AM461" s="716"/>
      <c r="AN461" s="716"/>
      <c r="AO461" s="716"/>
      <c r="AP461" s="716"/>
      <c r="AQ461" s="716"/>
      <c r="AR461" s="716"/>
    </row>
    <row r="462">
      <c r="A462" s="716"/>
      <c r="B462" s="530"/>
      <c r="C462" s="530"/>
      <c r="D462" s="530"/>
      <c r="E462" s="530"/>
      <c r="F462" s="530"/>
      <c r="G462" s="530"/>
      <c r="H462" s="530"/>
      <c r="I462" s="530"/>
      <c r="J462" s="530"/>
      <c r="K462" s="530"/>
      <c r="L462" s="530"/>
      <c r="M462" s="530"/>
      <c r="N462" s="530"/>
      <c r="O462" s="530"/>
      <c r="P462" s="530"/>
      <c r="Q462" s="530"/>
      <c r="R462" s="530"/>
      <c r="S462" s="530"/>
      <c r="T462" s="530"/>
      <c r="U462" s="530"/>
      <c r="V462" s="530"/>
      <c r="W462" s="530"/>
      <c r="X462" s="733"/>
      <c r="Y462" s="716"/>
      <c r="Z462" s="716"/>
      <c r="AA462" s="716"/>
      <c r="AB462" s="716"/>
      <c r="AC462" s="716"/>
      <c r="AD462" s="716"/>
      <c r="AE462" s="716"/>
      <c r="AF462" s="716"/>
      <c r="AG462" s="716"/>
      <c r="AH462" s="716"/>
      <c r="AI462" s="716"/>
      <c r="AJ462" s="716"/>
      <c r="AK462" s="716"/>
      <c r="AL462" s="716"/>
      <c r="AM462" s="716"/>
      <c r="AN462" s="716"/>
      <c r="AO462" s="716"/>
      <c r="AP462" s="716"/>
      <c r="AQ462" s="716"/>
      <c r="AR462" s="716"/>
    </row>
    <row r="463">
      <c r="A463" s="716"/>
      <c r="B463" s="530"/>
      <c r="C463" s="530"/>
      <c r="D463" s="530"/>
      <c r="E463" s="530"/>
      <c r="F463" s="530"/>
      <c r="G463" s="530"/>
      <c r="H463" s="530"/>
      <c r="I463" s="530"/>
      <c r="J463" s="530"/>
      <c r="K463" s="530"/>
      <c r="L463" s="530"/>
      <c r="M463" s="530"/>
      <c r="N463" s="530"/>
      <c r="O463" s="530"/>
      <c r="P463" s="530"/>
      <c r="Q463" s="530"/>
      <c r="R463" s="530"/>
      <c r="S463" s="530"/>
      <c r="T463" s="530"/>
      <c r="U463" s="530"/>
      <c r="V463" s="530"/>
      <c r="W463" s="530"/>
      <c r="X463" s="733"/>
      <c r="Y463" s="716"/>
      <c r="Z463" s="716"/>
      <c r="AA463" s="716"/>
      <c r="AB463" s="716"/>
      <c r="AC463" s="716"/>
      <c r="AD463" s="716"/>
      <c r="AE463" s="716"/>
      <c r="AF463" s="716"/>
      <c r="AG463" s="716"/>
      <c r="AH463" s="716"/>
      <c r="AI463" s="716"/>
      <c r="AJ463" s="716"/>
      <c r="AK463" s="716"/>
      <c r="AL463" s="716"/>
      <c r="AM463" s="716"/>
      <c r="AN463" s="716"/>
      <c r="AO463" s="716"/>
      <c r="AP463" s="716"/>
      <c r="AQ463" s="716"/>
      <c r="AR463" s="716"/>
    </row>
    <row r="464">
      <c r="A464" s="716"/>
      <c r="B464" s="530"/>
      <c r="C464" s="530"/>
      <c r="D464" s="530"/>
      <c r="E464" s="530"/>
      <c r="F464" s="530"/>
      <c r="G464" s="530"/>
      <c r="H464" s="530"/>
      <c r="I464" s="530"/>
      <c r="J464" s="530"/>
      <c r="K464" s="530"/>
      <c r="L464" s="530"/>
      <c r="M464" s="530"/>
      <c r="N464" s="530"/>
      <c r="O464" s="530"/>
      <c r="P464" s="530"/>
      <c r="Q464" s="530"/>
      <c r="R464" s="530"/>
      <c r="S464" s="530"/>
      <c r="T464" s="530"/>
      <c r="U464" s="530"/>
      <c r="V464" s="530"/>
      <c r="W464" s="530"/>
      <c r="X464" s="733"/>
      <c r="Y464" s="716"/>
      <c r="Z464" s="716"/>
      <c r="AA464" s="716"/>
      <c r="AB464" s="716"/>
      <c r="AC464" s="716"/>
      <c r="AD464" s="716"/>
      <c r="AE464" s="716"/>
      <c r="AF464" s="716"/>
      <c r="AG464" s="716"/>
      <c r="AH464" s="716"/>
      <c r="AI464" s="716"/>
      <c r="AJ464" s="716"/>
      <c r="AK464" s="716"/>
      <c r="AL464" s="716"/>
      <c r="AM464" s="716"/>
      <c r="AN464" s="716"/>
      <c r="AO464" s="716"/>
      <c r="AP464" s="716"/>
      <c r="AQ464" s="716"/>
      <c r="AR464" s="716"/>
    </row>
    <row r="465">
      <c r="A465" s="716"/>
      <c r="B465" s="530"/>
      <c r="C465" s="530"/>
      <c r="D465" s="530"/>
      <c r="E465" s="530"/>
      <c r="F465" s="530"/>
      <c r="G465" s="530"/>
      <c r="H465" s="530"/>
      <c r="I465" s="530"/>
      <c r="J465" s="530"/>
      <c r="K465" s="530"/>
      <c r="L465" s="530"/>
      <c r="M465" s="530"/>
      <c r="N465" s="530"/>
      <c r="O465" s="530"/>
      <c r="P465" s="530"/>
      <c r="Q465" s="530"/>
      <c r="R465" s="530"/>
      <c r="S465" s="530"/>
      <c r="T465" s="530"/>
      <c r="U465" s="530"/>
      <c r="V465" s="530"/>
      <c r="W465" s="530"/>
      <c r="X465" s="733"/>
      <c r="Y465" s="716"/>
      <c r="Z465" s="716"/>
      <c r="AA465" s="716"/>
      <c r="AB465" s="716"/>
      <c r="AC465" s="716"/>
      <c r="AD465" s="716"/>
      <c r="AE465" s="716"/>
      <c r="AF465" s="716"/>
      <c r="AG465" s="716"/>
      <c r="AH465" s="716"/>
      <c r="AI465" s="716"/>
      <c r="AJ465" s="716"/>
      <c r="AK465" s="716"/>
      <c r="AL465" s="716"/>
      <c r="AM465" s="716"/>
      <c r="AN465" s="716"/>
      <c r="AO465" s="716"/>
      <c r="AP465" s="716"/>
      <c r="AQ465" s="716"/>
      <c r="AR465" s="716"/>
    </row>
    <row r="466">
      <c r="A466" s="716"/>
      <c r="B466" s="530"/>
      <c r="C466" s="530"/>
      <c r="D466" s="530"/>
      <c r="E466" s="530"/>
      <c r="F466" s="530"/>
      <c r="G466" s="530"/>
      <c r="H466" s="530"/>
      <c r="I466" s="530"/>
      <c r="J466" s="530"/>
      <c r="K466" s="530"/>
      <c r="L466" s="530"/>
      <c r="M466" s="530"/>
      <c r="N466" s="530"/>
      <c r="O466" s="530"/>
      <c r="P466" s="530"/>
      <c r="Q466" s="530"/>
      <c r="R466" s="530"/>
      <c r="S466" s="530"/>
      <c r="T466" s="530"/>
      <c r="U466" s="530"/>
      <c r="V466" s="530"/>
      <c r="W466" s="530"/>
      <c r="X466" s="733"/>
      <c r="Y466" s="716"/>
      <c r="Z466" s="716"/>
      <c r="AA466" s="716"/>
      <c r="AB466" s="716"/>
      <c r="AC466" s="716"/>
      <c r="AD466" s="716"/>
      <c r="AE466" s="716"/>
      <c r="AF466" s="716"/>
      <c r="AG466" s="716"/>
      <c r="AH466" s="716"/>
      <c r="AI466" s="716"/>
      <c r="AJ466" s="716"/>
      <c r="AK466" s="716"/>
      <c r="AL466" s="716"/>
      <c r="AM466" s="716"/>
      <c r="AN466" s="716"/>
      <c r="AO466" s="716"/>
      <c r="AP466" s="716"/>
      <c r="AQ466" s="716"/>
      <c r="AR466" s="716"/>
    </row>
    <row r="467">
      <c r="A467" s="716"/>
      <c r="B467" s="530"/>
      <c r="C467" s="530"/>
      <c r="D467" s="530"/>
      <c r="E467" s="530"/>
      <c r="F467" s="530"/>
      <c r="G467" s="530"/>
      <c r="H467" s="530"/>
      <c r="I467" s="530"/>
      <c r="J467" s="530"/>
      <c r="K467" s="530"/>
      <c r="L467" s="530"/>
      <c r="M467" s="530"/>
      <c r="N467" s="530"/>
      <c r="O467" s="530"/>
      <c r="P467" s="530"/>
      <c r="Q467" s="530"/>
      <c r="R467" s="530"/>
      <c r="S467" s="530"/>
      <c r="T467" s="530"/>
      <c r="U467" s="530"/>
      <c r="V467" s="530"/>
      <c r="W467" s="530"/>
      <c r="X467" s="733"/>
      <c r="Y467" s="716"/>
      <c r="Z467" s="716"/>
      <c r="AA467" s="716"/>
      <c r="AB467" s="716"/>
      <c r="AC467" s="716"/>
      <c r="AD467" s="716"/>
      <c r="AE467" s="716"/>
      <c r="AF467" s="716"/>
      <c r="AG467" s="716"/>
      <c r="AH467" s="716"/>
      <c r="AI467" s="716"/>
      <c r="AJ467" s="716"/>
      <c r="AK467" s="716"/>
      <c r="AL467" s="716"/>
      <c r="AM467" s="716"/>
      <c r="AN467" s="716"/>
      <c r="AO467" s="716"/>
      <c r="AP467" s="716"/>
      <c r="AQ467" s="716"/>
      <c r="AR467" s="716"/>
    </row>
    <row r="468">
      <c r="A468" s="716"/>
      <c r="B468" s="530"/>
      <c r="C468" s="530"/>
      <c r="D468" s="530"/>
      <c r="E468" s="530"/>
      <c r="F468" s="530"/>
      <c r="G468" s="530"/>
      <c r="H468" s="530"/>
      <c r="I468" s="530"/>
      <c r="J468" s="530"/>
      <c r="K468" s="530"/>
      <c r="L468" s="530"/>
      <c r="M468" s="530"/>
      <c r="N468" s="530"/>
      <c r="O468" s="530"/>
      <c r="P468" s="530"/>
      <c r="Q468" s="530"/>
      <c r="R468" s="530"/>
      <c r="S468" s="530"/>
      <c r="T468" s="530"/>
      <c r="U468" s="530"/>
      <c r="V468" s="530"/>
      <c r="W468" s="530"/>
      <c r="X468" s="733"/>
      <c r="Y468" s="716"/>
      <c r="Z468" s="716"/>
      <c r="AA468" s="716"/>
      <c r="AB468" s="716"/>
      <c r="AC468" s="716"/>
      <c r="AD468" s="716"/>
      <c r="AE468" s="716"/>
      <c r="AF468" s="716"/>
      <c r="AG468" s="716"/>
      <c r="AH468" s="716"/>
      <c r="AI468" s="716"/>
      <c r="AJ468" s="716"/>
      <c r="AK468" s="716"/>
      <c r="AL468" s="716"/>
      <c r="AM468" s="716"/>
      <c r="AN468" s="716"/>
      <c r="AO468" s="716"/>
      <c r="AP468" s="716"/>
      <c r="AQ468" s="716"/>
      <c r="AR468" s="716"/>
    </row>
    <row r="469">
      <c r="A469" s="716"/>
      <c r="B469" s="530"/>
      <c r="C469" s="530"/>
      <c r="D469" s="530"/>
      <c r="E469" s="530"/>
      <c r="F469" s="530"/>
      <c r="G469" s="530"/>
      <c r="H469" s="530"/>
      <c r="I469" s="530"/>
      <c r="J469" s="530"/>
      <c r="K469" s="530"/>
      <c r="L469" s="530"/>
      <c r="M469" s="530"/>
      <c r="N469" s="530"/>
      <c r="O469" s="530"/>
      <c r="P469" s="530"/>
      <c r="Q469" s="530"/>
      <c r="R469" s="530"/>
      <c r="S469" s="530"/>
      <c r="T469" s="530"/>
      <c r="U469" s="530"/>
      <c r="V469" s="530"/>
      <c r="W469" s="530"/>
      <c r="X469" s="733"/>
      <c r="Y469" s="716"/>
      <c r="Z469" s="716"/>
      <c r="AA469" s="716"/>
      <c r="AB469" s="716"/>
      <c r="AC469" s="716"/>
      <c r="AD469" s="716"/>
      <c r="AE469" s="716"/>
      <c r="AF469" s="716"/>
      <c r="AG469" s="716"/>
      <c r="AH469" s="716"/>
      <c r="AI469" s="716"/>
      <c r="AJ469" s="716"/>
      <c r="AK469" s="716"/>
      <c r="AL469" s="716"/>
      <c r="AM469" s="716"/>
      <c r="AN469" s="716"/>
      <c r="AO469" s="716"/>
      <c r="AP469" s="716"/>
      <c r="AQ469" s="716"/>
      <c r="AR469" s="716"/>
    </row>
    <row r="470">
      <c r="A470" s="716"/>
      <c r="B470" s="530"/>
      <c r="C470" s="530"/>
      <c r="D470" s="530"/>
      <c r="E470" s="530"/>
      <c r="F470" s="530"/>
      <c r="G470" s="530"/>
      <c r="H470" s="530"/>
      <c r="I470" s="530"/>
      <c r="J470" s="530"/>
      <c r="K470" s="530"/>
      <c r="L470" s="530"/>
      <c r="M470" s="530"/>
      <c r="N470" s="530"/>
      <c r="O470" s="530"/>
      <c r="P470" s="530"/>
      <c r="Q470" s="530"/>
      <c r="R470" s="530"/>
      <c r="S470" s="530"/>
      <c r="T470" s="530"/>
      <c r="U470" s="530"/>
      <c r="V470" s="530"/>
      <c r="W470" s="530"/>
      <c r="X470" s="733"/>
      <c r="Y470" s="716"/>
      <c r="Z470" s="716"/>
      <c r="AA470" s="716"/>
      <c r="AB470" s="716"/>
      <c r="AC470" s="716"/>
      <c r="AD470" s="716"/>
      <c r="AE470" s="716"/>
      <c r="AF470" s="716"/>
      <c r="AG470" s="716"/>
      <c r="AH470" s="716"/>
      <c r="AI470" s="716"/>
      <c r="AJ470" s="716"/>
      <c r="AK470" s="716"/>
      <c r="AL470" s="716"/>
      <c r="AM470" s="716"/>
      <c r="AN470" s="716"/>
      <c r="AO470" s="716"/>
      <c r="AP470" s="716"/>
      <c r="AQ470" s="716"/>
      <c r="AR470" s="716"/>
    </row>
    <row r="471">
      <c r="A471" s="716"/>
      <c r="B471" s="530"/>
      <c r="C471" s="530"/>
      <c r="D471" s="530"/>
      <c r="E471" s="530"/>
      <c r="F471" s="530"/>
      <c r="G471" s="530"/>
      <c r="H471" s="530"/>
      <c r="I471" s="530"/>
      <c r="J471" s="530"/>
      <c r="K471" s="530"/>
      <c r="L471" s="530"/>
      <c r="M471" s="530"/>
      <c r="N471" s="530"/>
      <c r="O471" s="530"/>
      <c r="P471" s="530"/>
      <c r="Q471" s="530"/>
      <c r="R471" s="530"/>
      <c r="S471" s="530"/>
      <c r="T471" s="530"/>
      <c r="U471" s="530"/>
      <c r="V471" s="530"/>
      <c r="W471" s="530"/>
      <c r="X471" s="733"/>
      <c r="Y471" s="716"/>
      <c r="Z471" s="716"/>
      <c r="AA471" s="716"/>
      <c r="AB471" s="716"/>
      <c r="AC471" s="716"/>
      <c r="AD471" s="716"/>
      <c r="AE471" s="716"/>
      <c r="AF471" s="716"/>
      <c r="AG471" s="716"/>
      <c r="AH471" s="716"/>
      <c r="AI471" s="716"/>
      <c r="AJ471" s="716"/>
      <c r="AK471" s="716"/>
      <c r="AL471" s="716"/>
      <c r="AM471" s="716"/>
      <c r="AN471" s="716"/>
      <c r="AO471" s="716"/>
      <c r="AP471" s="716"/>
      <c r="AQ471" s="716"/>
      <c r="AR471" s="716"/>
    </row>
    <row r="472">
      <c r="A472" s="716"/>
      <c r="B472" s="530"/>
      <c r="C472" s="530"/>
      <c r="D472" s="530"/>
      <c r="E472" s="530"/>
      <c r="F472" s="530"/>
      <c r="G472" s="530"/>
      <c r="H472" s="530"/>
      <c r="I472" s="530"/>
      <c r="J472" s="530"/>
      <c r="K472" s="530"/>
      <c r="L472" s="530"/>
      <c r="M472" s="530"/>
      <c r="N472" s="530"/>
      <c r="O472" s="530"/>
      <c r="P472" s="530"/>
      <c r="Q472" s="530"/>
      <c r="R472" s="530"/>
      <c r="S472" s="530"/>
      <c r="T472" s="530"/>
      <c r="U472" s="530"/>
      <c r="V472" s="530"/>
      <c r="W472" s="530"/>
      <c r="X472" s="733"/>
      <c r="Y472" s="716"/>
      <c r="Z472" s="716"/>
      <c r="AA472" s="716"/>
      <c r="AB472" s="716"/>
      <c r="AC472" s="716"/>
      <c r="AD472" s="716"/>
      <c r="AE472" s="716"/>
      <c r="AF472" s="716"/>
      <c r="AG472" s="716"/>
      <c r="AH472" s="716"/>
      <c r="AI472" s="716"/>
      <c r="AJ472" s="716"/>
      <c r="AK472" s="716"/>
      <c r="AL472" s="716"/>
      <c r="AM472" s="716"/>
      <c r="AN472" s="716"/>
      <c r="AO472" s="716"/>
      <c r="AP472" s="716"/>
      <c r="AQ472" s="716"/>
      <c r="AR472" s="716"/>
    </row>
    <row r="473">
      <c r="A473" s="716"/>
      <c r="B473" s="530"/>
      <c r="C473" s="530"/>
      <c r="D473" s="530"/>
      <c r="E473" s="530"/>
      <c r="F473" s="530"/>
      <c r="G473" s="530"/>
      <c r="H473" s="530"/>
      <c r="I473" s="530"/>
      <c r="J473" s="530"/>
      <c r="K473" s="530"/>
      <c r="L473" s="530"/>
      <c r="M473" s="530"/>
      <c r="N473" s="530"/>
      <c r="O473" s="530"/>
      <c r="P473" s="530"/>
      <c r="Q473" s="530"/>
      <c r="R473" s="530"/>
      <c r="S473" s="530"/>
      <c r="T473" s="530"/>
      <c r="U473" s="530"/>
      <c r="V473" s="530"/>
      <c r="W473" s="530"/>
      <c r="X473" s="733"/>
      <c r="Y473" s="716"/>
      <c r="Z473" s="716"/>
      <c r="AA473" s="716"/>
      <c r="AB473" s="716"/>
      <c r="AC473" s="716"/>
      <c r="AD473" s="716"/>
      <c r="AE473" s="716"/>
      <c r="AF473" s="716"/>
      <c r="AG473" s="716"/>
      <c r="AH473" s="716"/>
      <c r="AI473" s="716"/>
      <c r="AJ473" s="716"/>
      <c r="AK473" s="716"/>
      <c r="AL473" s="716"/>
      <c r="AM473" s="716"/>
      <c r="AN473" s="716"/>
      <c r="AO473" s="716"/>
      <c r="AP473" s="716"/>
      <c r="AQ473" s="716"/>
      <c r="AR473" s="716"/>
    </row>
    <row r="474">
      <c r="A474" s="716"/>
      <c r="B474" s="530"/>
      <c r="C474" s="530"/>
      <c r="D474" s="530"/>
      <c r="E474" s="530"/>
      <c r="F474" s="530"/>
      <c r="G474" s="530"/>
      <c r="H474" s="530"/>
      <c r="I474" s="530"/>
      <c r="J474" s="530"/>
      <c r="K474" s="530"/>
      <c r="L474" s="530"/>
      <c r="M474" s="530"/>
      <c r="N474" s="530"/>
      <c r="O474" s="530"/>
      <c r="P474" s="530"/>
      <c r="Q474" s="530"/>
      <c r="R474" s="530"/>
      <c r="S474" s="530"/>
      <c r="T474" s="530"/>
      <c r="U474" s="530"/>
      <c r="V474" s="530"/>
      <c r="W474" s="530"/>
      <c r="X474" s="733"/>
      <c r="Y474" s="716"/>
      <c r="Z474" s="716"/>
      <c r="AA474" s="716"/>
      <c r="AB474" s="716"/>
      <c r="AC474" s="716"/>
      <c r="AD474" s="716"/>
      <c r="AE474" s="716"/>
      <c r="AF474" s="716"/>
      <c r="AG474" s="716"/>
      <c r="AH474" s="716"/>
      <c r="AI474" s="716"/>
      <c r="AJ474" s="716"/>
      <c r="AK474" s="716"/>
      <c r="AL474" s="716"/>
      <c r="AM474" s="716"/>
      <c r="AN474" s="716"/>
      <c r="AO474" s="716"/>
      <c r="AP474" s="716"/>
      <c r="AQ474" s="716"/>
      <c r="AR474" s="716"/>
    </row>
    <row r="475">
      <c r="A475" s="716"/>
      <c r="B475" s="530"/>
      <c r="C475" s="530"/>
      <c r="D475" s="530"/>
      <c r="E475" s="530"/>
      <c r="F475" s="530"/>
      <c r="G475" s="530"/>
      <c r="H475" s="530"/>
      <c r="I475" s="530"/>
      <c r="J475" s="530"/>
      <c r="K475" s="530"/>
      <c r="L475" s="530"/>
      <c r="M475" s="530"/>
      <c r="N475" s="530"/>
      <c r="O475" s="530"/>
      <c r="P475" s="530"/>
      <c r="Q475" s="530"/>
      <c r="R475" s="530"/>
      <c r="S475" s="530"/>
      <c r="T475" s="530"/>
      <c r="U475" s="530"/>
      <c r="V475" s="530"/>
      <c r="W475" s="530"/>
      <c r="X475" s="733"/>
      <c r="Y475" s="716"/>
      <c r="Z475" s="716"/>
      <c r="AA475" s="716"/>
      <c r="AB475" s="716"/>
      <c r="AC475" s="716"/>
      <c r="AD475" s="716"/>
      <c r="AE475" s="716"/>
      <c r="AF475" s="716"/>
      <c r="AG475" s="716"/>
      <c r="AH475" s="716"/>
      <c r="AI475" s="716"/>
      <c r="AJ475" s="716"/>
      <c r="AK475" s="716"/>
      <c r="AL475" s="716"/>
      <c r="AM475" s="716"/>
      <c r="AN475" s="716"/>
      <c r="AO475" s="716"/>
      <c r="AP475" s="716"/>
      <c r="AQ475" s="716"/>
      <c r="AR475" s="716"/>
    </row>
    <row r="476">
      <c r="A476" s="716"/>
      <c r="B476" s="530"/>
      <c r="C476" s="530"/>
      <c r="D476" s="530"/>
      <c r="E476" s="530"/>
      <c r="F476" s="530"/>
      <c r="G476" s="530"/>
      <c r="H476" s="530"/>
      <c r="I476" s="530"/>
      <c r="J476" s="530"/>
      <c r="K476" s="530"/>
      <c r="L476" s="530"/>
      <c r="M476" s="530"/>
      <c r="N476" s="530"/>
      <c r="O476" s="530"/>
      <c r="P476" s="530"/>
      <c r="Q476" s="530"/>
      <c r="R476" s="530"/>
      <c r="S476" s="530"/>
      <c r="T476" s="530"/>
      <c r="U476" s="530"/>
      <c r="V476" s="530"/>
      <c r="W476" s="530"/>
      <c r="X476" s="733"/>
      <c r="Y476" s="716"/>
      <c r="Z476" s="716"/>
      <c r="AA476" s="716"/>
      <c r="AB476" s="716"/>
      <c r="AC476" s="716"/>
      <c r="AD476" s="716"/>
      <c r="AE476" s="716"/>
      <c r="AF476" s="716"/>
      <c r="AG476" s="716"/>
      <c r="AH476" s="716"/>
      <c r="AI476" s="716"/>
      <c r="AJ476" s="716"/>
      <c r="AK476" s="716"/>
      <c r="AL476" s="716"/>
      <c r="AM476" s="716"/>
      <c r="AN476" s="716"/>
      <c r="AO476" s="716"/>
      <c r="AP476" s="716"/>
      <c r="AQ476" s="716"/>
      <c r="AR476" s="716"/>
    </row>
    <row r="477">
      <c r="A477" s="716"/>
      <c r="B477" s="530"/>
      <c r="C477" s="530"/>
      <c r="D477" s="530"/>
      <c r="E477" s="530"/>
      <c r="F477" s="530"/>
      <c r="G477" s="530"/>
      <c r="H477" s="530"/>
      <c r="I477" s="530"/>
      <c r="J477" s="530"/>
      <c r="K477" s="530"/>
      <c r="L477" s="530"/>
      <c r="M477" s="530"/>
      <c r="N477" s="530"/>
      <c r="O477" s="530"/>
      <c r="P477" s="530"/>
      <c r="Q477" s="530"/>
      <c r="R477" s="530"/>
      <c r="S477" s="530"/>
      <c r="T477" s="530"/>
      <c r="U477" s="530"/>
      <c r="V477" s="530"/>
      <c r="W477" s="530"/>
      <c r="X477" s="733"/>
      <c r="Y477" s="716"/>
      <c r="Z477" s="716"/>
      <c r="AA477" s="716"/>
      <c r="AB477" s="716"/>
      <c r="AC477" s="716"/>
      <c r="AD477" s="716"/>
      <c r="AE477" s="716"/>
      <c r="AF477" s="716"/>
      <c r="AG477" s="716"/>
      <c r="AH477" s="716"/>
      <c r="AI477" s="716"/>
      <c r="AJ477" s="716"/>
      <c r="AK477" s="716"/>
      <c r="AL477" s="716"/>
      <c r="AM477" s="716"/>
      <c r="AN477" s="716"/>
      <c r="AO477" s="716"/>
      <c r="AP477" s="716"/>
      <c r="AQ477" s="716"/>
      <c r="AR477" s="716"/>
    </row>
    <row r="478">
      <c r="A478" s="716"/>
      <c r="B478" s="530"/>
      <c r="C478" s="530"/>
      <c r="D478" s="530"/>
      <c r="E478" s="530"/>
      <c r="F478" s="530"/>
      <c r="G478" s="530"/>
      <c r="H478" s="530"/>
      <c r="I478" s="530"/>
      <c r="J478" s="530"/>
      <c r="K478" s="530"/>
      <c r="L478" s="530"/>
      <c r="M478" s="530"/>
      <c r="N478" s="530"/>
      <c r="O478" s="530"/>
      <c r="P478" s="530"/>
      <c r="Q478" s="530"/>
      <c r="R478" s="530"/>
      <c r="S478" s="530"/>
      <c r="T478" s="530"/>
      <c r="U478" s="530"/>
      <c r="V478" s="530"/>
      <c r="W478" s="530"/>
      <c r="X478" s="733"/>
      <c r="Y478" s="716"/>
      <c r="Z478" s="716"/>
      <c r="AA478" s="716"/>
      <c r="AB478" s="716"/>
      <c r="AC478" s="716"/>
      <c r="AD478" s="716"/>
      <c r="AE478" s="716"/>
      <c r="AF478" s="716"/>
      <c r="AG478" s="716"/>
      <c r="AH478" s="716"/>
      <c r="AI478" s="716"/>
      <c r="AJ478" s="716"/>
      <c r="AK478" s="716"/>
      <c r="AL478" s="716"/>
      <c r="AM478" s="716"/>
      <c r="AN478" s="716"/>
      <c r="AO478" s="716"/>
      <c r="AP478" s="716"/>
      <c r="AQ478" s="716"/>
      <c r="AR478" s="716"/>
    </row>
    <row r="479">
      <c r="A479" s="716"/>
      <c r="B479" s="530"/>
      <c r="C479" s="530"/>
      <c r="D479" s="530"/>
      <c r="E479" s="530"/>
      <c r="F479" s="530"/>
      <c r="G479" s="530"/>
      <c r="H479" s="530"/>
      <c r="I479" s="530"/>
      <c r="J479" s="530"/>
      <c r="K479" s="530"/>
      <c r="L479" s="530"/>
      <c r="M479" s="530"/>
      <c r="N479" s="530"/>
      <c r="O479" s="530"/>
      <c r="P479" s="530"/>
      <c r="Q479" s="530"/>
      <c r="R479" s="530"/>
      <c r="S479" s="530"/>
      <c r="T479" s="530"/>
      <c r="U479" s="530"/>
      <c r="V479" s="530"/>
      <c r="W479" s="530"/>
      <c r="X479" s="733"/>
      <c r="Y479" s="716"/>
      <c r="Z479" s="716"/>
      <c r="AA479" s="716"/>
      <c r="AB479" s="716"/>
      <c r="AC479" s="716"/>
      <c r="AD479" s="716"/>
      <c r="AE479" s="716"/>
      <c r="AF479" s="716"/>
      <c r="AG479" s="716"/>
      <c r="AH479" s="716"/>
      <c r="AI479" s="716"/>
      <c r="AJ479" s="716"/>
      <c r="AK479" s="716"/>
      <c r="AL479" s="716"/>
      <c r="AM479" s="716"/>
      <c r="AN479" s="716"/>
      <c r="AO479" s="716"/>
      <c r="AP479" s="716"/>
      <c r="AQ479" s="716"/>
      <c r="AR479" s="716"/>
    </row>
    <row r="480">
      <c r="A480" s="716"/>
      <c r="B480" s="530"/>
      <c r="C480" s="530"/>
      <c r="D480" s="530"/>
      <c r="E480" s="530"/>
      <c r="F480" s="530"/>
      <c r="G480" s="530"/>
      <c r="H480" s="530"/>
      <c r="I480" s="530"/>
      <c r="J480" s="530"/>
      <c r="K480" s="530"/>
      <c r="L480" s="530"/>
      <c r="M480" s="530"/>
      <c r="N480" s="530"/>
      <c r="O480" s="530"/>
      <c r="P480" s="530"/>
      <c r="Q480" s="530"/>
      <c r="R480" s="530"/>
      <c r="S480" s="530"/>
      <c r="T480" s="530"/>
      <c r="U480" s="530"/>
      <c r="V480" s="530"/>
      <c r="W480" s="530"/>
      <c r="X480" s="733"/>
      <c r="Y480" s="716"/>
      <c r="Z480" s="716"/>
      <c r="AA480" s="716"/>
      <c r="AB480" s="716"/>
      <c r="AC480" s="716"/>
      <c r="AD480" s="716"/>
      <c r="AE480" s="716"/>
      <c r="AF480" s="716"/>
      <c r="AG480" s="716"/>
      <c r="AH480" s="716"/>
      <c r="AI480" s="716"/>
      <c r="AJ480" s="716"/>
      <c r="AK480" s="716"/>
      <c r="AL480" s="716"/>
      <c r="AM480" s="716"/>
      <c r="AN480" s="716"/>
      <c r="AO480" s="716"/>
      <c r="AP480" s="716"/>
      <c r="AQ480" s="716"/>
      <c r="AR480" s="716"/>
    </row>
    <row r="481">
      <c r="A481" s="716"/>
      <c r="B481" s="530"/>
      <c r="C481" s="530"/>
      <c r="D481" s="530"/>
      <c r="E481" s="530"/>
      <c r="F481" s="530"/>
      <c r="G481" s="530"/>
      <c r="H481" s="530"/>
      <c r="I481" s="530"/>
      <c r="J481" s="530"/>
      <c r="K481" s="530"/>
      <c r="L481" s="530"/>
      <c r="M481" s="530"/>
      <c r="N481" s="530"/>
      <c r="O481" s="530"/>
      <c r="P481" s="530"/>
      <c r="Q481" s="530"/>
      <c r="R481" s="530"/>
      <c r="S481" s="530"/>
      <c r="T481" s="530"/>
      <c r="U481" s="530"/>
      <c r="V481" s="530"/>
      <c r="W481" s="530"/>
      <c r="X481" s="733"/>
      <c r="Y481" s="716"/>
      <c r="Z481" s="716"/>
      <c r="AA481" s="716"/>
      <c r="AB481" s="716"/>
      <c r="AC481" s="716"/>
      <c r="AD481" s="716"/>
      <c r="AE481" s="716"/>
      <c r="AF481" s="716"/>
      <c r="AG481" s="716"/>
      <c r="AH481" s="716"/>
      <c r="AI481" s="716"/>
      <c r="AJ481" s="716"/>
      <c r="AK481" s="716"/>
      <c r="AL481" s="716"/>
      <c r="AM481" s="716"/>
      <c r="AN481" s="716"/>
      <c r="AO481" s="716"/>
      <c r="AP481" s="716"/>
      <c r="AQ481" s="716"/>
      <c r="AR481" s="716"/>
    </row>
    <row r="482">
      <c r="A482" s="716"/>
      <c r="B482" s="530"/>
      <c r="C482" s="530"/>
      <c r="D482" s="530"/>
      <c r="E482" s="530"/>
      <c r="F482" s="530"/>
      <c r="G482" s="530"/>
      <c r="H482" s="530"/>
      <c r="I482" s="530"/>
      <c r="J482" s="530"/>
      <c r="K482" s="530"/>
      <c r="L482" s="530"/>
      <c r="M482" s="530"/>
      <c r="N482" s="530"/>
      <c r="O482" s="530"/>
      <c r="P482" s="530"/>
      <c r="Q482" s="530"/>
      <c r="R482" s="530"/>
      <c r="S482" s="530"/>
      <c r="T482" s="530"/>
      <c r="U482" s="530"/>
      <c r="V482" s="530"/>
      <c r="W482" s="530"/>
      <c r="X482" s="733"/>
      <c r="Y482" s="716"/>
      <c r="Z482" s="716"/>
      <c r="AA482" s="716"/>
      <c r="AB482" s="716"/>
      <c r="AC482" s="716"/>
      <c r="AD482" s="716"/>
      <c r="AE482" s="716"/>
      <c r="AF482" s="716"/>
      <c r="AG482" s="716"/>
      <c r="AH482" s="716"/>
      <c r="AI482" s="716"/>
      <c r="AJ482" s="716"/>
      <c r="AK482" s="716"/>
      <c r="AL482" s="716"/>
      <c r="AM482" s="716"/>
      <c r="AN482" s="716"/>
      <c r="AO482" s="716"/>
      <c r="AP482" s="716"/>
      <c r="AQ482" s="716"/>
      <c r="AR482" s="716"/>
    </row>
    <row r="483">
      <c r="A483" s="716"/>
      <c r="B483" s="530"/>
      <c r="C483" s="530"/>
      <c r="D483" s="530"/>
      <c r="E483" s="530"/>
      <c r="F483" s="530"/>
      <c r="G483" s="530"/>
      <c r="H483" s="530"/>
      <c r="I483" s="530"/>
      <c r="J483" s="530"/>
      <c r="K483" s="530"/>
      <c r="L483" s="530"/>
      <c r="M483" s="530"/>
      <c r="N483" s="530"/>
      <c r="O483" s="530"/>
      <c r="P483" s="530"/>
      <c r="Q483" s="530"/>
      <c r="R483" s="530"/>
      <c r="S483" s="530"/>
      <c r="T483" s="530"/>
      <c r="U483" s="530"/>
      <c r="V483" s="530"/>
      <c r="W483" s="530"/>
      <c r="X483" s="733"/>
      <c r="Y483" s="716"/>
      <c r="Z483" s="716"/>
      <c r="AA483" s="716"/>
      <c r="AB483" s="716"/>
      <c r="AC483" s="716"/>
      <c r="AD483" s="716"/>
      <c r="AE483" s="716"/>
      <c r="AF483" s="716"/>
      <c r="AG483" s="716"/>
      <c r="AH483" s="716"/>
      <c r="AI483" s="716"/>
      <c r="AJ483" s="716"/>
      <c r="AK483" s="716"/>
      <c r="AL483" s="716"/>
      <c r="AM483" s="716"/>
      <c r="AN483" s="716"/>
      <c r="AO483" s="716"/>
      <c r="AP483" s="716"/>
      <c r="AQ483" s="716"/>
      <c r="AR483" s="716"/>
    </row>
    <row r="484">
      <c r="A484" s="716"/>
      <c r="B484" s="530"/>
      <c r="C484" s="530"/>
      <c r="D484" s="530"/>
      <c r="E484" s="530"/>
      <c r="F484" s="530"/>
      <c r="G484" s="530"/>
      <c r="H484" s="530"/>
      <c r="I484" s="530"/>
      <c r="J484" s="530"/>
      <c r="K484" s="530"/>
      <c r="L484" s="530"/>
      <c r="M484" s="530"/>
      <c r="N484" s="530"/>
      <c r="O484" s="530"/>
      <c r="P484" s="530"/>
      <c r="Q484" s="530"/>
      <c r="R484" s="530"/>
      <c r="S484" s="530"/>
      <c r="T484" s="530"/>
      <c r="U484" s="530"/>
      <c r="V484" s="530"/>
      <c r="W484" s="530"/>
      <c r="X484" s="733"/>
      <c r="Y484" s="716"/>
      <c r="Z484" s="716"/>
      <c r="AA484" s="716"/>
      <c r="AB484" s="716"/>
      <c r="AC484" s="716"/>
      <c r="AD484" s="716"/>
      <c r="AE484" s="716"/>
      <c r="AF484" s="716"/>
      <c r="AG484" s="716"/>
      <c r="AH484" s="716"/>
      <c r="AI484" s="716"/>
      <c r="AJ484" s="716"/>
      <c r="AK484" s="716"/>
      <c r="AL484" s="716"/>
      <c r="AM484" s="716"/>
      <c r="AN484" s="716"/>
      <c r="AO484" s="716"/>
      <c r="AP484" s="716"/>
      <c r="AQ484" s="716"/>
      <c r="AR484" s="716"/>
    </row>
    <row r="485">
      <c r="A485" s="716"/>
      <c r="B485" s="530"/>
      <c r="C485" s="530"/>
      <c r="D485" s="530"/>
      <c r="E485" s="530"/>
      <c r="F485" s="530"/>
      <c r="G485" s="530"/>
      <c r="H485" s="530"/>
      <c r="I485" s="530"/>
      <c r="J485" s="530"/>
      <c r="K485" s="530"/>
      <c r="L485" s="530"/>
      <c r="M485" s="530"/>
      <c r="N485" s="530"/>
      <c r="O485" s="530"/>
      <c r="P485" s="530"/>
      <c r="Q485" s="530"/>
      <c r="R485" s="530"/>
      <c r="S485" s="530"/>
      <c r="T485" s="530"/>
      <c r="U485" s="530"/>
      <c r="V485" s="530"/>
      <c r="W485" s="530"/>
      <c r="X485" s="733"/>
      <c r="Y485" s="716"/>
      <c r="Z485" s="716"/>
      <c r="AA485" s="716"/>
      <c r="AB485" s="716"/>
      <c r="AC485" s="716"/>
      <c r="AD485" s="716"/>
      <c r="AE485" s="716"/>
      <c r="AF485" s="716"/>
      <c r="AG485" s="716"/>
      <c r="AH485" s="716"/>
      <c r="AI485" s="716"/>
      <c r="AJ485" s="716"/>
      <c r="AK485" s="716"/>
      <c r="AL485" s="716"/>
      <c r="AM485" s="716"/>
      <c r="AN485" s="716"/>
      <c r="AO485" s="716"/>
      <c r="AP485" s="716"/>
      <c r="AQ485" s="716"/>
      <c r="AR485" s="716"/>
    </row>
    <row r="486">
      <c r="A486" s="716"/>
      <c r="B486" s="530"/>
      <c r="C486" s="530"/>
      <c r="D486" s="530"/>
      <c r="E486" s="530"/>
      <c r="F486" s="530"/>
      <c r="G486" s="530"/>
      <c r="H486" s="530"/>
      <c r="I486" s="530"/>
      <c r="J486" s="530"/>
      <c r="K486" s="530"/>
      <c r="L486" s="530"/>
      <c r="M486" s="530"/>
      <c r="N486" s="530"/>
      <c r="O486" s="530"/>
      <c r="P486" s="530"/>
      <c r="Q486" s="530"/>
      <c r="R486" s="530"/>
      <c r="S486" s="530"/>
      <c r="T486" s="530"/>
      <c r="U486" s="530"/>
      <c r="V486" s="530"/>
      <c r="W486" s="530"/>
      <c r="X486" s="733"/>
      <c r="Y486" s="716"/>
      <c r="Z486" s="716"/>
      <c r="AA486" s="716"/>
      <c r="AB486" s="716"/>
      <c r="AC486" s="716"/>
      <c r="AD486" s="716"/>
      <c r="AE486" s="716"/>
      <c r="AF486" s="716"/>
      <c r="AG486" s="716"/>
      <c r="AH486" s="716"/>
      <c r="AI486" s="716"/>
      <c r="AJ486" s="716"/>
      <c r="AK486" s="716"/>
      <c r="AL486" s="716"/>
      <c r="AM486" s="716"/>
      <c r="AN486" s="716"/>
      <c r="AO486" s="716"/>
      <c r="AP486" s="716"/>
      <c r="AQ486" s="716"/>
      <c r="AR486" s="716"/>
    </row>
    <row r="487">
      <c r="A487" s="716"/>
      <c r="B487" s="530"/>
      <c r="C487" s="530"/>
      <c r="D487" s="530"/>
      <c r="E487" s="530"/>
      <c r="F487" s="530"/>
      <c r="G487" s="530"/>
      <c r="H487" s="530"/>
      <c r="I487" s="530"/>
      <c r="J487" s="530"/>
      <c r="K487" s="530"/>
      <c r="L487" s="530"/>
      <c r="M487" s="530"/>
      <c r="N487" s="530"/>
      <c r="O487" s="530"/>
      <c r="P487" s="530"/>
      <c r="Q487" s="530"/>
      <c r="R487" s="530"/>
      <c r="S487" s="530"/>
      <c r="T487" s="530"/>
      <c r="U487" s="530"/>
      <c r="V487" s="530"/>
      <c r="W487" s="530"/>
      <c r="X487" s="733"/>
      <c r="Y487" s="716"/>
      <c r="Z487" s="716"/>
      <c r="AA487" s="716"/>
      <c r="AB487" s="716"/>
      <c r="AC487" s="716"/>
      <c r="AD487" s="716"/>
      <c r="AE487" s="716"/>
      <c r="AF487" s="716"/>
      <c r="AG487" s="716"/>
      <c r="AH487" s="716"/>
      <c r="AI487" s="716"/>
      <c r="AJ487" s="716"/>
      <c r="AK487" s="716"/>
      <c r="AL487" s="716"/>
      <c r="AM487" s="716"/>
      <c r="AN487" s="716"/>
      <c r="AO487" s="716"/>
      <c r="AP487" s="716"/>
      <c r="AQ487" s="716"/>
      <c r="AR487" s="716"/>
    </row>
    <row r="488">
      <c r="A488" s="716"/>
      <c r="B488" s="530"/>
      <c r="C488" s="530"/>
      <c r="D488" s="530"/>
      <c r="E488" s="530"/>
      <c r="F488" s="530"/>
      <c r="G488" s="530"/>
      <c r="H488" s="530"/>
      <c r="I488" s="530"/>
      <c r="J488" s="530"/>
      <c r="K488" s="530"/>
      <c r="L488" s="530"/>
      <c r="M488" s="530"/>
      <c r="N488" s="530"/>
      <c r="O488" s="530"/>
      <c r="P488" s="530"/>
      <c r="Q488" s="530"/>
      <c r="R488" s="530"/>
      <c r="S488" s="530"/>
      <c r="T488" s="530"/>
      <c r="U488" s="530"/>
      <c r="V488" s="530"/>
      <c r="W488" s="530"/>
      <c r="X488" s="733"/>
      <c r="Y488" s="716"/>
      <c r="Z488" s="716"/>
      <c r="AA488" s="716"/>
      <c r="AB488" s="716"/>
      <c r="AC488" s="716"/>
      <c r="AD488" s="716"/>
      <c r="AE488" s="716"/>
      <c r="AF488" s="716"/>
      <c r="AG488" s="716"/>
      <c r="AH488" s="716"/>
      <c r="AI488" s="716"/>
      <c r="AJ488" s="716"/>
      <c r="AK488" s="716"/>
      <c r="AL488" s="716"/>
      <c r="AM488" s="716"/>
      <c r="AN488" s="716"/>
      <c r="AO488" s="716"/>
      <c r="AP488" s="716"/>
      <c r="AQ488" s="716"/>
      <c r="AR488" s="716"/>
    </row>
    <row r="489">
      <c r="A489" s="716"/>
      <c r="B489" s="530"/>
      <c r="C489" s="530"/>
      <c r="D489" s="530"/>
      <c r="E489" s="530"/>
      <c r="F489" s="530"/>
      <c r="G489" s="530"/>
      <c r="H489" s="530"/>
      <c r="I489" s="530"/>
      <c r="J489" s="530"/>
      <c r="K489" s="530"/>
      <c r="L489" s="530"/>
      <c r="M489" s="530"/>
      <c r="N489" s="530"/>
      <c r="O489" s="530"/>
      <c r="P489" s="530"/>
      <c r="Q489" s="530"/>
      <c r="R489" s="530"/>
      <c r="S489" s="530"/>
      <c r="T489" s="530"/>
      <c r="U489" s="530"/>
      <c r="V489" s="530"/>
      <c r="W489" s="530"/>
      <c r="X489" s="733"/>
      <c r="Y489" s="716"/>
      <c r="Z489" s="716"/>
      <c r="AA489" s="716"/>
      <c r="AB489" s="716"/>
      <c r="AC489" s="716"/>
      <c r="AD489" s="716"/>
      <c r="AE489" s="716"/>
      <c r="AF489" s="716"/>
      <c r="AG489" s="716"/>
      <c r="AH489" s="716"/>
      <c r="AI489" s="716"/>
      <c r="AJ489" s="716"/>
      <c r="AK489" s="716"/>
      <c r="AL489" s="716"/>
      <c r="AM489" s="716"/>
      <c r="AN489" s="716"/>
      <c r="AO489" s="716"/>
      <c r="AP489" s="716"/>
      <c r="AQ489" s="716"/>
      <c r="AR489" s="716"/>
    </row>
    <row r="490">
      <c r="A490" s="716"/>
      <c r="B490" s="530"/>
      <c r="C490" s="530"/>
      <c r="D490" s="530"/>
      <c r="E490" s="530"/>
      <c r="F490" s="530"/>
      <c r="G490" s="530"/>
      <c r="H490" s="530"/>
      <c r="I490" s="530"/>
      <c r="J490" s="530"/>
      <c r="K490" s="530"/>
      <c r="L490" s="530"/>
      <c r="M490" s="530"/>
      <c r="N490" s="530"/>
      <c r="O490" s="530"/>
      <c r="P490" s="530"/>
      <c r="Q490" s="530"/>
      <c r="R490" s="530"/>
      <c r="S490" s="530"/>
      <c r="T490" s="530"/>
      <c r="U490" s="530"/>
      <c r="V490" s="530"/>
      <c r="W490" s="530"/>
      <c r="X490" s="733"/>
      <c r="Y490" s="716"/>
      <c r="Z490" s="716"/>
      <c r="AA490" s="716"/>
      <c r="AB490" s="716"/>
      <c r="AC490" s="716"/>
      <c r="AD490" s="716"/>
      <c r="AE490" s="716"/>
      <c r="AF490" s="716"/>
      <c r="AG490" s="716"/>
      <c r="AH490" s="716"/>
      <c r="AI490" s="716"/>
      <c r="AJ490" s="716"/>
      <c r="AK490" s="716"/>
      <c r="AL490" s="716"/>
      <c r="AM490" s="716"/>
      <c r="AN490" s="716"/>
      <c r="AO490" s="716"/>
      <c r="AP490" s="716"/>
      <c r="AQ490" s="716"/>
      <c r="AR490" s="716"/>
    </row>
    <row r="491">
      <c r="A491" s="716"/>
      <c r="B491" s="530"/>
      <c r="C491" s="530"/>
      <c r="D491" s="530"/>
      <c r="E491" s="530"/>
      <c r="F491" s="530"/>
      <c r="G491" s="530"/>
      <c r="H491" s="530"/>
      <c r="I491" s="530"/>
      <c r="J491" s="530"/>
      <c r="K491" s="530"/>
      <c r="L491" s="530"/>
      <c r="M491" s="530"/>
      <c r="N491" s="530"/>
      <c r="O491" s="530"/>
      <c r="P491" s="530"/>
      <c r="Q491" s="530"/>
      <c r="R491" s="530"/>
      <c r="S491" s="530"/>
      <c r="T491" s="530"/>
      <c r="U491" s="530"/>
      <c r="V491" s="530"/>
      <c r="W491" s="530"/>
      <c r="X491" s="733"/>
      <c r="Y491" s="716"/>
      <c r="Z491" s="716"/>
      <c r="AA491" s="716"/>
      <c r="AB491" s="716"/>
      <c r="AC491" s="716"/>
      <c r="AD491" s="716"/>
      <c r="AE491" s="716"/>
      <c r="AF491" s="716"/>
      <c r="AG491" s="716"/>
      <c r="AH491" s="716"/>
      <c r="AI491" s="716"/>
      <c r="AJ491" s="716"/>
      <c r="AK491" s="716"/>
      <c r="AL491" s="716"/>
      <c r="AM491" s="716"/>
      <c r="AN491" s="716"/>
      <c r="AO491" s="716"/>
      <c r="AP491" s="716"/>
      <c r="AQ491" s="716"/>
      <c r="AR491" s="716"/>
    </row>
    <row r="492">
      <c r="A492" s="716"/>
      <c r="B492" s="530"/>
      <c r="C492" s="530"/>
      <c r="D492" s="530"/>
      <c r="E492" s="530"/>
      <c r="F492" s="530"/>
      <c r="G492" s="530"/>
      <c r="H492" s="530"/>
      <c r="I492" s="530"/>
      <c r="J492" s="530"/>
      <c r="K492" s="530"/>
      <c r="L492" s="530"/>
      <c r="M492" s="530"/>
      <c r="N492" s="530"/>
      <c r="O492" s="530"/>
      <c r="P492" s="530"/>
      <c r="Q492" s="530"/>
      <c r="R492" s="530"/>
      <c r="S492" s="530"/>
      <c r="T492" s="530"/>
      <c r="U492" s="530"/>
      <c r="V492" s="530"/>
      <c r="W492" s="530"/>
      <c r="X492" s="733"/>
      <c r="Y492" s="716"/>
      <c r="Z492" s="716"/>
      <c r="AA492" s="716"/>
      <c r="AB492" s="716"/>
      <c r="AC492" s="716"/>
      <c r="AD492" s="716"/>
      <c r="AE492" s="716"/>
      <c r="AF492" s="716"/>
      <c r="AG492" s="716"/>
      <c r="AH492" s="716"/>
      <c r="AI492" s="716"/>
      <c r="AJ492" s="716"/>
      <c r="AK492" s="716"/>
      <c r="AL492" s="716"/>
      <c r="AM492" s="716"/>
      <c r="AN492" s="716"/>
      <c r="AO492" s="716"/>
      <c r="AP492" s="716"/>
      <c r="AQ492" s="716"/>
      <c r="AR492" s="716"/>
    </row>
    <row r="493">
      <c r="A493" s="716"/>
      <c r="B493" s="530"/>
      <c r="C493" s="530"/>
      <c r="D493" s="530"/>
      <c r="E493" s="530"/>
      <c r="F493" s="530"/>
      <c r="G493" s="530"/>
      <c r="H493" s="530"/>
      <c r="I493" s="530"/>
      <c r="J493" s="530"/>
      <c r="K493" s="530"/>
      <c r="L493" s="530"/>
      <c r="M493" s="530"/>
      <c r="N493" s="530"/>
      <c r="O493" s="530"/>
      <c r="P493" s="530"/>
      <c r="Q493" s="530"/>
      <c r="R493" s="530"/>
      <c r="S493" s="530"/>
      <c r="T493" s="530"/>
      <c r="U493" s="530"/>
      <c r="V493" s="530"/>
      <c r="W493" s="530"/>
      <c r="X493" s="733"/>
      <c r="Y493" s="716"/>
      <c r="Z493" s="716"/>
      <c r="AA493" s="716"/>
      <c r="AB493" s="716"/>
      <c r="AC493" s="716"/>
      <c r="AD493" s="716"/>
      <c r="AE493" s="716"/>
      <c r="AF493" s="716"/>
      <c r="AG493" s="716"/>
      <c r="AH493" s="716"/>
      <c r="AI493" s="716"/>
      <c r="AJ493" s="716"/>
      <c r="AK493" s="716"/>
      <c r="AL493" s="716"/>
      <c r="AM493" s="716"/>
      <c r="AN493" s="716"/>
      <c r="AO493" s="716"/>
      <c r="AP493" s="716"/>
      <c r="AQ493" s="716"/>
      <c r="AR493" s="716"/>
    </row>
    <row r="494">
      <c r="A494" s="716"/>
      <c r="B494" s="530"/>
      <c r="C494" s="530"/>
      <c r="D494" s="530"/>
      <c r="E494" s="530"/>
      <c r="F494" s="530"/>
      <c r="G494" s="530"/>
      <c r="H494" s="530"/>
      <c r="I494" s="530"/>
      <c r="J494" s="530"/>
      <c r="K494" s="530"/>
      <c r="L494" s="530"/>
      <c r="M494" s="530"/>
      <c r="N494" s="530"/>
      <c r="O494" s="530"/>
      <c r="P494" s="530"/>
      <c r="Q494" s="530"/>
      <c r="R494" s="530"/>
      <c r="S494" s="530"/>
      <c r="T494" s="530"/>
      <c r="U494" s="530"/>
      <c r="V494" s="530"/>
      <c r="W494" s="530"/>
      <c r="X494" s="733"/>
      <c r="Y494" s="716"/>
      <c r="Z494" s="716"/>
      <c r="AA494" s="716"/>
      <c r="AB494" s="716"/>
      <c r="AC494" s="716"/>
      <c r="AD494" s="716"/>
      <c r="AE494" s="716"/>
      <c r="AF494" s="716"/>
      <c r="AG494" s="716"/>
      <c r="AH494" s="716"/>
      <c r="AI494" s="716"/>
      <c r="AJ494" s="716"/>
      <c r="AK494" s="716"/>
      <c r="AL494" s="716"/>
      <c r="AM494" s="716"/>
      <c r="AN494" s="716"/>
      <c r="AO494" s="716"/>
      <c r="AP494" s="716"/>
      <c r="AQ494" s="716"/>
      <c r="AR494" s="716"/>
    </row>
    <row r="495">
      <c r="A495" s="716"/>
      <c r="B495" s="530"/>
      <c r="C495" s="530"/>
      <c r="D495" s="530"/>
      <c r="E495" s="530"/>
      <c r="F495" s="530"/>
      <c r="G495" s="530"/>
      <c r="H495" s="530"/>
      <c r="I495" s="530"/>
      <c r="J495" s="530"/>
      <c r="K495" s="530"/>
      <c r="L495" s="530"/>
      <c r="M495" s="530"/>
      <c r="N495" s="530"/>
      <c r="O495" s="530"/>
      <c r="P495" s="530"/>
      <c r="Q495" s="530"/>
      <c r="R495" s="530"/>
      <c r="S495" s="530"/>
      <c r="T495" s="530"/>
      <c r="U495" s="530"/>
      <c r="V495" s="530"/>
      <c r="W495" s="530"/>
      <c r="X495" s="733"/>
      <c r="Y495" s="716"/>
      <c r="Z495" s="716"/>
      <c r="AA495" s="716"/>
      <c r="AB495" s="716"/>
      <c r="AC495" s="716"/>
      <c r="AD495" s="716"/>
      <c r="AE495" s="716"/>
      <c r="AF495" s="716"/>
      <c r="AG495" s="716"/>
      <c r="AH495" s="716"/>
      <c r="AI495" s="716"/>
      <c r="AJ495" s="716"/>
      <c r="AK495" s="716"/>
      <c r="AL495" s="716"/>
      <c r="AM495" s="716"/>
      <c r="AN495" s="716"/>
      <c r="AO495" s="716"/>
      <c r="AP495" s="716"/>
      <c r="AQ495" s="716"/>
      <c r="AR495" s="716"/>
    </row>
    <row r="496">
      <c r="A496" s="716"/>
      <c r="B496" s="530"/>
      <c r="C496" s="530"/>
      <c r="D496" s="530"/>
      <c r="E496" s="530"/>
      <c r="F496" s="530"/>
      <c r="G496" s="530"/>
      <c r="H496" s="530"/>
      <c r="I496" s="530"/>
      <c r="J496" s="530"/>
      <c r="K496" s="530"/>
      <c r="L496" s="530"/>
      <c r="M496" s="530"/>
      <c r="N496" s="530"/>
      <c r="O496" s="530"/>
      <c r="P496" s="530"/>
      <c r="Q496" s="530"/>
      <c r="R496" s="530"/>
      <c r="S496" s="530"/>
      <c r="T496" s="530"/>
      <c r="U496" s="530"/>
      <c r="V496" s="530"/>
      <c r="W496" s="530"/>
      <c r="X496" s="733"/>
      <c r="Y496" s="716"/>
      <c r="Z496" s="716"/>
      <c r="AA496" s="716"/>
      <c r="AB496" s="716"/>
      <c r="AC496" s="716"/>
      <c r="AD496" s="716"/>
      <c r="AE496" s="716"/>
      <c r="AF496" s="716"/>
      <c r="AG496" s="716"/>
      <c r="AH496" s="716"/>
      <c r="AI496" s="716"/>
      <c r="AJ496" s="716"/>
      <c r="AK496" s="716"/>
      <c r="AL496" s="716"/>
      <c r="AM496" s="716"/>
      <c r="AN496" s="716"/>
      <c r="AO496" s="716"/>
      <c r="AP496" s="716"/>
      <c r="AQ496" s="716"/>
      <c r="AR496" s="716"/>
    </row>
    <row r="497">
      <c r="A497" s="716"/>
      <c r="B497" s="530"/>
      <c r="C497" s="530"/>
      <c r="D497" s="530"/>
      <c r="E497" s="530"/>
      <c r="F497" s="530"/>
      <c r="G497" s="530"/>
      <c r="H497" s="530"/>
      <c r="I497" s="530"/>
      <c r="J497" s="530"/>
      <c r="K497" s="530"/>
      <c r="L497" s="530"/>
      <c r="M497" s="530"/>
      <c r="N497" s="530"/>
      <c r="O497" s="530"/>
      <c r="P497" s="530"/>
      <c r="Q497" s="530"/>
      <c r="R497" s="530"/>
      <c r="S497" s="530"/>
      <c r="T497" s="530"/>
      <c r="U497" s="530"/>
      <c r="V497" s="530"/>
      <c r="W497" s="530"/>
      <c r="X497" s="733"/>
      <c r="Y497" s="716"/>
      <c r="Z497" s="716"/>
      <c r="AA497" s="716"/>
      <c r="AB497" s="716"/>
      <c r="AC497" s="716"/>
      <c r="AD497" s="716"/>
      <c r="AE497" s="716"/>
      <c r="AF497" s="716"/>
      <c r="AG497" s="716"/>
      <c r="AH497" s="716"/>
      <c r="AI497" s="716"/>
      <c r="AJ497" s="716"/>
      <c r="AK497" s="716"/>
      <c r="AL497" s="716"/>
      <c r="AM497" s="716"/>
      <c r="AN497" s="716"/>
      <c r="AO497" s="716"/>
      <c r="AP497" s="716"/>
      <c r="AQ497" s="716"/>
      <c r="AR497" s="716"/>
    </row>
    <row r="498">
      <c r="A498" s="716"/>
      <c r="B498" s="530"/>
      <c r="C498" s="530"/>
      <c r="D498" s="530"/>
      <c r="E498" s="530"/>
      <c r="F498" s="530"/>
      <c r="G498" s="530"/>
      <c r="H498" s="530"/>
      <c r="I498" s="530"/>
      <c r="J498" s="530"/>
      <c r="K498" s="530"/>
      <c r="L498" s="530"/>
      <c r="M498" s="530"/>
      <c r="N498" s="530"/>
      <c r="O498" s="530"/>
      <c r="P498" s="530"/>
      <c r="Q498" s="530"/>
      <c r="R498" s="530"/>
      <c r="S498" s="530"/>
      <c r="T498" s="530"/>
      <c r="U498" s="530"/>
      <c r="V498" s="530"/>
      <c r="W498" s="530"/>
      <c r="X498" s="733"/>
      <c r="Y498" s="716"/>
      <c r="Z498" s="716"/>
      <c r="AA498" s="716"/>
      <c r="AB498" s="716"/>
      <c r="AC498" s="716"/>
      <c r="AD498" s="716"/>
      <c r="AE498" s="716"/>
      <c r="AF498" s="716"/>
      <c r="AG498" s="716"/>
      <c r="AH498" s="716"/>
      <c r="AI498" s="716"/>
      <c r="AJ498" s="716"/>
      <c r="AK498" s="716"/>
      <c r="AL498" s="716"/>
      <c r="AM498" s="716"/>
      <c r="AN498" s="716"/>
      <c r="AO498" s="716"/>
      <c r="AP498" s="716"/>
      <c r="AQ498" s="716"/>
      <c r="AR498" s="716"/>
    </row>
    <row r="499">
      <c r="A499" s="716"/>
      <c r="B499" s="530"/>
      <c r="C499" s="530"/>
      <c r="D499" s="530"/>
      <c r="E499" s="530"/>
      <c r="F499" s="530"/>
      <c r="G499" s="530"/>
      <c r="H499" s="530"/>
      <c r="I499" s="530"/>
      <c r="J499" s="530"/>
      <c r="K499" s="530"/>
      <c r="L499" s="530"/>
      <c r="M499" s="530"/>
      <c r="N499" s="530"/>
      <c r="O499" s="530"/>
      <c r="P499" s="530"/>
      <c r="Q499" s="530"/>
      <c r="R499" s="530"/>
      <c r="S499" s="530"/>
      <c r="T499" s="530"/>
      <c r="U499" s="530"/>
      <c r="V499" s="530"/>
      <c r="W499" s="530"/>
      <c r="X499" s="733"/>
      <c r="Y499" s="716"/>
      <c r="Z499" s="716"/>
      <c r="AA499" s="716"/>
      <c r="AB499" s="716"/>
      <c r="AC499" s="716"/>
      <c r="AD499" s="716"/>
      <c r="AE499" s="716"/>
      <c r="AF499" s="716"/>
      <c r="AG499" s="716"/>
      <c r="AH499" s="716"/>
      <c r="AI499" s="716"/>
      <c r="AJ499" s="716"/>
      <c r="AK499" s="716"/>
      <c r="AL499" s="716"/>
      <c r="AM499" s="716"/>
      <c r="AN499" s="716"/>
      <c r="AO499" s="716"/>
      <c r="AP499" s="716"/>
      <c r="AQ499" s="716"/>
      <c r="AR499" s="716"/>
    </row>
    <row r="500">
      <c r="A500" s="716"/>
      <c r="B500" s="530"/>
      <c r="C500" s="530"/>
      <c r="D500" s="530"/>
      <c r="E500" s="530"/>
      <c r="F500" s="530"/>
      <c r="G500" s="530"/>
      <c r="H500" s="530"/>
      <c r="I500" s="530"/>
      <c r="J500" s="530"/>
      <c r="K500" s="530"/>
      <c r="L500" s="530"/>
      <c r="M500" s="530"/>
      <c r="N500" s="530"/>
      <c r="O500" s="530"/>
      <c r="P500" s="530"/>
      <c r="Q500" s="530"/>
      <c r="R500" s="530"/>
      <c r="S500" s="530"/>
      <c r="T500" s="530"/>
      <c r="U500" s="530"/>
      <c r="V500" s="530"/>
      <c r="W500" s="530"/>
      <c r="X500" s="733"/>
      <c r="Y500" s="716"/>
      <c r="Z500" s="716"/>
      <c r="AA500" s="716"/>
      <c r="AB500" s="716"/>
      <c r="AC500" s="716"/>
      <c r="AD500" s="716"/>
      <c r="AE500" s="716"/>
      <c r="AF500" s="716"/>
      <c r="AG500" s="716"/>
      <c r="AH500" s="716"/>
      <c r="AI500" s="716"/>
      <c r="AJ500" s="716"/>
      <c r="AK500" s="716"/>
      <c r="AL500" s="716"/>
      <c r="AM500" s="716"/>
      <c r="AN500" s="716"/>
      <c r="AO500" s="716"/>
      <c r="AP500" s="716"/>
      <c r="AQ500" s="716"/>
      <c r="AR500" s="716"/>
    </row>
    <row r="501">
      <c r="A501" s="716"/>
      <c r="B501" s="530"/>
      <c r="C501" s="530"/>
      <c r="D501" s="530"/>
      <c r="E501" s="530"/>
      <c r="F501" s="530"/>
      <c r="G501" s="530"/>
      <c r="H501" s="530"/>
      <c r="I501" s="530"/>
      <c r="J501" s="530"/>
      <c r="K501" s="530"/>
      <c r="L501" s="530"/>
      <c r="M501" s="530"/>
      <c r="N501" s="530"/>
      <c r="O501" s="530"/>
      <c r="P501" s="530"/>
      <c r="Q501" s="530"/>
      <c r="R501" s="530"/>
      <c r="S501" s="530"/>
      <c r="T501" s="530"/>
      <c r="U501" s="530"/>
      <c r="V501" s="530"/>
      <c r="W501" s="530"/>
      <c r="X501" s="733"/>
      <c r="Y501" s="716"/>
      <c r="Z501" s="716"/>
      <c r="AA501" s="716"/>
      <c r="AB501" s="716"/>
      <c r="AC501" s="716"/>
      <c r="AD501" s="716"/>
      <c r="AE501" s="716"/>
      <c r="AF501" s="716"/>
      <c r="AG501" s="716"/>
      <c r="AH501" s="716"/>
      <c r="AI501" s="716"/>
      <c r="AJ501" s="716"/>
      <c r="AK501" s="716"/>
      <c r="AL501" s="716"/>
      <c r="AM501" s="716"/>
      <c r="AN501" s="716"/>
      <c r="AO501" s="716"/>
      <c r="AP501" s="716"/>
      <c r="AQ501" s="716"/>
      <c r="AR501" s="716"/>
    </row>
    <row r="502">
      <c r="A502" s="716"/>
      <c r="B502" s="530"/>
      <c r="C502" s="530"/>
      <c r="D502" s="530"/>
      <c r="E502" s="530"/>
      <c r="F502" s="530"/>
      <c r="G502" s="530"/>
      <c r="H502" s="530"/>
      <c r="I502" s="530"/>
      <c r="J502" s="530"/>
      <c r="K502" s="530"/>
      <c r="L502" s="530"/>
      <c r="M502" s="530"/>
      <c r="N502" s="530"/>
      <c r="O502" s="530"/>
      <c r="P502" s="530"/>
      <c r="Q502" s="530"/>
      <c r="R502" s="530"/>
      <c r="S502" s="530"/>
      <c r="T502" s="530"/>
      <c r="U502" s="530"/>
      <c r="V502" s="530"/>
      <c r="W502" s="530"/>
      <c r="X502" s="733"/>
      <c r="Y502" s="716"/>
      <c r="Z502" s="716"/>
      <c r="AA502" s="716"/>
      <c r="AB502" s="716"/>
      <c r="AC502" s="716"/>
      <c r="AD502" s="716"/>
      <c r="AE502" s="716"/>
      <c r="AF502" s="716"/>
      <c r="AG502" s="716"/>
      <c r="AH502" s="716"/>
      <c r="AI502" s="716"/>
      <c r="AJ502" s="716"/>
      <c r="AK502" s="716"/>
      <c r="AL502" s="716"/>
      <c r="AM502" s="716"/>
      <c r="AN502" s="716"/>
      <c r="AO502" s="716"/>
      <c r="AP502" s="716"/>
      <c r="AQ502" s="716"/>
      <c r="AR502" s="716"/>
    </row>
    <row r="503">
      <c r="A503" s="716"/>
      <c r="B503" s="530"/>
      <c r="C503" s="530"/>
      <c r="D503" s="530"/>
      <c r="E503" s="530"/>
      <c r="F503" s="530"/>
      <c r="G503" s="530"/>
      <c r="H503" s="530"/>
      <c r="I503" s="530"/>
      <c r="J503" s="530"/>
      <c r="K503" s="530"/>
      <c r="L503" s="530"/>
      <c r="M503" s="530"/>
      <c r="N503" s="530"/>
      <c r="O503" s="530"/>
      <c r="P503" s="530"/>
      <c r="Q503" s="530"/>
      <c r="R503" s="530"/>
      <c r="S503" s="530"/>
      <c r="T503" s="530"/>
      <c r="U503" s="530"/>
      <c r="V503" s="530"/>
      <c r="W503" s="530"/>
      <c r="X503" s="733"/>
      <c r="Y503" s="716"/>
      <c r="Z503" s="716"/>
      <c r="AA503" s="716"/>
      <c r="AB503" s="716"/>
      <c r="AC503" s="716"/>
      <c r="AD503" s="716"/>
      <c r="AE503" s="716"/>
      <c r="AF503" s="716"/>
      <c r="AG503" s="716"/>
      <c r="AH503" s="716"/>
      <c r="AI503" s="716"/>
      <c r="AJ503" s="716"/>
      <c r="AK503" s="716"/>
      <c r="AL503" s="716"/>
      <c r="AM503" s="716"/>
      <c r="AN503" s="716"/>
      <c r="AO503" s="716"/>
      <c r="AP503" s="716"/>
      <c r="AQ503" s="716"/>
      <c r="AR503" s="716"/>
    </row>
    <row r="504">
      <c r="A504" s="716"/>
      <c r="B504" s="530"/>
      <c r="C504" s="530"/>
      <c r="D504" s="530"/>
      <c r="E504" s="530"/>
      <c r="F504" s="530"/>
      <c r="G504" s="530"/>
      <c r="H504" s="530"/>
      <c r="I504" s="530"/>
      <c r="J504" s="530"/>
      <c r="K504" s="530"/>
      <c r="L504" s="530"/>
      <c r="M504" s="530"/>
      <c r="N504" s="530"/>
      <c r="O504" s="530"/>
      <c r="P504" s="530"/>
      <c r="Q504" s="530"/>
      <c r="R504" s="530"/>
      <c r="S504" s="530"/>
      <c r="T504" s="530"/>
      <c r="U504" s="530"/>
      <c r="V504" s="530"/>
      <c r="W504" s="530"/>
      <c r="X504" s="733"/>
      <c r="Y504" s="716"/>
      <c r="Z504" s="716"/>
      <c r="AA504" s="716"/>
      <c r="AB504" s="716"/>
      <c r="AC504" s="716"/>
      <c r="AD504" s="716"/>
      <c r="AE504" s="716"/>
      <c r="AF504" s="716"/>
      <c r="AG504" s="716"/>
      <c r="AH504" s="716"/>
      <c r="AI504" s="716"/>
      <c r="AJ504" s="716"/>
      <c r="AK504" s="716"/>
      <c r="AL504" s="716"/>
      <c r="AM504" s="716"/>
      <c r="AN504" s="716"/>
      <c r="AO504" s="716"/>
      <c r="AP504" s="716"/>
      <c r="AQ504" s="716"/>
      <c r="AR504" s="716"/>
    </row>
    <row r="505">
      <c r="A505" s="716"/>
      <c r="B505" s="530"/>
      <c r="C505" s="530"/>
      <c r="D505" s="530"/>
      <c r="E505" s="530"/>
      <c r="F505" s="530"/>
      <c r="G505" s="530"/>
      <c r="H505" s="530"/>
      <c r="I505" s="530"/>
      <c r="J505" s="530"/>
      <c r="K505" s="530"/>
      <c r="L505" s="530"/>
      <c r="M505" s="530"/>
      <c r="N505" s="530"/>
      <c r="O505" s="530"/>
      <c r="P505" s="530"/>
      <c r="Q505" s="530"/>
      <c r="R505" s="530"/>
      <c r="S505" s="530"/>
      <c r="T505" s="530"/>
      <c r="U505" s="530"/>
      <c r="V505" s="530"/>
      <c r="W505" s="530"/>
      <c r="X505" s="733"/>
      <c r="Y505" s="716"/>
      <c r="Z505" s="716"/>
      <c r="AA505" s="716"/>
      <c r="AB505" s="716"/>
      <c r="AC505" s="716"/>
      <c r="AD505" s="716"/>
      <c r="AE505" s="716"/>
      <c r="AF505" s="716"/>
      <c r="AG505" s="716"/>
      <c r="AH505" s="716"/>
      <c r="AI505" s="716"/>
      <c r="AJ505" s="716"/>
      <c r="AK505" s="716"/>
      <c r="AL505" s="716"/>
      <c r="AM505" s="716"/>
      <c r="AN505" s="716"/>
      <c r="AO505" s="716"/>
      <c r="AP505" s="716"/>
      <c r="AQ505" s="716"/>
      <c r="AR505" s="716"/>
    </row>
    <row r="506">
      <c r="A506" s="716"/>
      <c r="B506" s="530"/>
      <c r="C506" s="530"/>
      <c r="D506" s="530"/>
      <c r="E506" s="530"/>
      <c r="F506" s="530"/>
      <c r="G506" s="530"/>
      <c r="H506" s="530"/>
      <c r="I506" s="530"/>
      <c r="J506" s="530"/>
      <c r="K506" s="530"/>
      <c r="L506" s="530"/>
      <c r="M506" s="530"/>
      <c r="N506" s="530"/>
      <c r="O506" s="530"/>
      <c r="P506" s="530"/>
      <c r="Q506" s="530"/>
      <c r="R506" s="530"/>
      <c r="S506" s="530"/>
      <c r="T506" s="530"/>
      <c r="U506" s="530"/>
      <c r="V506" s="530"/>
      <c r="W506" s="530"/>
      <c r="X506" s="733"/>
      <c r="Y506" s="716"/>
      <c r="Z506" s="716"/>
      <c r="AA506" s="716"/>
      <c r="AB506" s="716"/>
      <c r="AC506" s="716"/>
      <c r="AD506" s="716"/>
      <c r="AE506" s="716"/>
      <c r="AF506" s="716"/>
      <c r="AG506" s="716"/>
      <c r="AH506" s="716"/>
      <c r="AI506" s="716"/>
      <c r="AJ506" s="716"/>
      <c r="AK506" s="716"/>
      <c r="AL506" s="716"/>
      <c r="AM506" s="716"/>
      <c r="AN506" s="716"/>
      <c r="AO506" s="716"/>
      <c r="AP506" s="716"/>
      <c r="AQ506" s="716"/>
      <c r="AR506" s="716"/>
    </row>
    <row r="507">
      <c r="A507" s="716"/>
      <c r="B507" s="530"/>
      <c r="C507" s="530"/>
      <c r="D507" s="530"/>
      <c r="E507" s="530"/>
      <c r="F507" s="530"/>
      <c r="G507" s="530"/>
      <c r="H507" s="530"/>
      <c r="I507" s="530"/>
      <c r="J507" s="530"/>
      <c r="K507" s="530"/>
      <c r="L507" s="530"/>
      <c r="M507" s="530"/>
      <c r="N507" s="530"/>
      <c r="O507" s="530"/>
      <c r="P507" s="530"/>
      <c r="Q507" s="530"/>
      <c r="R507" s="530"/>
      <c r="S507" s="530"/>
      <c r="T507" s="530"/>
      <c r="U507" s="530"/>
      <c r="V507" s="530"/>
      <c r="W507" s="530"/>
      <c r="X507" s="733"/>
      <c r="Y507" s="716"/>
      <c r="Z507" s="716"/>
      <c r="AA507" s="716"/>
      <c r="AB507" s="716"/>
      <c r="AC507" s="716"/>
      <c r="AD507" s="716"/>
      <c r="AE507" s="716"/>
      <c r="AF507" s="716"/>
      <c r="AG507" s="716"/>
      <c r="AH507" s="716"/>
      <c r="AI507" s="716"/>
      <c r="AJ507" s="716"/>
      <c r="AK507" s="716"/>
      <c r="AL507" s="716"/>
      <c r="AM507" s="716"/>
      <c r="AN507" s="716"/>
      <c r="AO507" s="716"/>
      <c r="AP507" s="716"/>
      <c r="AQ507" s="716"/>
      <c r="AR507" s="716"/>
    </row>
    <row r="508">
      <c r="A508" s="716"/>
      <c r="B508" s="530"/>
      <c r="C508" s="530"/>
      <c r="D508" s="530"/>
      <c r="E508" s="530"/>
      <c r="F508" s="530"/>
      <c r="G508" s="530"/>
      <c r="H508" s="530"/>
      <c r="I508" s="530"/>
      <c r="J508" s="530"/>
      <c r="K508" s="530"/>
      <c r="L508" s="530"/>
      <c r="M508" s="530"/>
      <c r="N508" s="530"/>
      <c r="O508" s="530"/>
      <c r="P508" s="530"/>
      <c r="Q508" s="530"/>
      <c r="R508" s="530"/>
      <c r="S508" s="530"/>
      <c r="T508" s="530"/>
      <c r="U508" s="530"/>
      <c r="V508" s="530"/>
      <c r="W508" s="530"/>
      <c r="X508" s="733"/>
      <c r="Y508" s="716"/>
      <c r="Z508" s="716"/>
      <c r="AA508" s="716"/>
      <c r="AB508" s="716"/>
      <c r="AC508" s="716"/>
      <c r="AD508" s="716"/>
      <c r="AE508" s="716"/>
      <c r="AF508" s="716"/>
      <c r="AG508" s="716"/>
      <c r="AH508" s="716"/>
      <c r="AI508" s="716"/>
      <c r="AJ508" s="716"/>
      <c r="AK508" s="716"/>
      <c r="AL508" s="716"/>
      <c r="AM508" s="716"/>
      <c r="AN508" s="716"/>
      <c r="AO508" s="716"/>
      <c r="AP508" s="716"/>
      <c r="AQ508" s="716"/>
      <c r="AR508" s="716"/>
    </row>
    <row r="509">
      <c r="A509" s="716"/>
      <c r="B509" s="530"/>
      <c r="C509" s="530"/>
      <c r="D509" s="530"/>
      <c r="E509" s="530"/>
      <c r="F509" s="530"/>
      <c r="G509" s="530"/>
      <c r="H509" s="530"/>
      <c r="I509" s="530"/>
      <c r="J509" s="530"/>
      <c r="K509" s="530"/>
      <c r="L509" s="530"/>
      <c r="M509" s="530"/>
      <c r="N509" s="530"/>
      <c r="O509" s="530"/>
      <c r="P509" s="530"/>
      <c r="Q509" s="530"/>
      <c r="R509" s="530"/>
      <c r="S509" s="530"/>
      <c r="T509" s="530"/>
      <c r="U509" s="530"/>
      <c r="V509" s="530"/>
      <c r="W509" s="530"/>
      <c r="X509" s="733"/>
      <c r="Y509" s="716"/>
      <c r="Z509" s="716"/>
      <c r="AA509" s="716"/>
      <c r="AB509" s="716"/>
      <c r="AC509" s="716"/>
      <c r="AD509" s="716"/>
      <c r="AE509" s="716"/>
      <c r="AF509" s="716"/>
      <c r="AG509" s="716"/>
      <c r="AH509" s="716"/>
      <c r="AI509" s="716"/>
      <c r="AJ509" s="716"/>
      <c r="AK509" s="716"/>
      <c r="AL509" s="716"/>
      <c r="AM509" s="716"/>
      <c r="AN509" s="716"/>
      <c r="AO509" s="716"/>
      <c r="AP509" s="716"/>
      <c r="AQ509" s="716"/>
      <c r="AR509" s="716"/>
    </row>
    <row r="510">
      <c r="A510" s="716"/>
      <c r="B510" s="530"/>
      <c r="C510" s="530"/>
      <c r="D510" s="530"/>
      <c r="E510" s="530"/>
      <c r="F510" s="530"/>
      <c r="G510" s="530"/>
      <c r="H510" s="530"/>
      <c r="I510" s="530"/>
      <c r="J510" s="530"/>
      <c r="K510" s="530"/>
      <c r="L510" s="530"/>
      <c r="M510" s="530"/>
      <c r="N510" s="530"/>
      <c r="O510" s="530"/>
      <c r="P510" s="530"/>
      <c r="Q510" s="530"/>
      <c r="R510" s="530"/>
      <c r="S510" s="530"/>
      <c r="T510" s="530"/>
      <c r="U510" s="530"/>
      <c r="V510" s="530"/>
      <c r="W510" s="530"/>
      <c r="X510" s="733"/>
      <c r="Y510" s="716"/>
      <c r="Z510" s="716"/>
      <c r="AA510" s="716"/>
      <c r="AB510" s="716"/>
      <c r="AC510" s="716"/>
      <c r="AD510" s="716"/>
      <c r="AE510" s="716"/>
      <c r="AF510" s="716"/>
      <c r="AG510" s="716"/>
      <c r="AH510" s="716"/>
      <c r="AI510" s="716"/>
      <c r="AJ510" s="716"/>
      <c r="AK510" s="716"/>
      <c r="AL510" s="716"/>
      <c r="AM510" s="716"/>
      <c r="AN510" s="716"/>
      <c r="AO510" s="716"/>
      <c r="AP510" s="716"/>
      <c r="AQ510" s="716"/>
      <c r="AR510" s="716"/>
    </row>
    <row r="511">
      <c r="A511" s="716"/>
      <c r="B511" s="530"/>
      <c r="C511" s="530"/>
      <c r="D511" s="530"/>
      <c r="E511" s="530"/>
      <c r="F511" s="530"/>
      <c r="G511" s="530"/>
      <c r="H511" s="530"/>
      <c r="I511" s="530"/>
      <c r="J511" s="530"/>
      <c r="K511" s="530"/>
      <c r="L511" s="530"/>
      <c r="M511" s="530"/>
      <c r="N511" s="530"/>
      <c r="O511" s="530"/>
      <c r="P511" s="530"/>
      <c r="Q511" s="530"/>
      <c r="R511" s="530"/>
      <c r="S511" s="530"/>
      <c r="T511" s="530"/>
      <c r="U511" s="530"/>
      <c r="V511" s="530"/>
      <c r="W511" s="530"/>
      <c r="X511" s="733"/>
      <c r="Y511" s="716"/>
      <c r="Z511" s="716"/>
      <c r="AA511" s="716"/>
      <c r="AB511" s="716"/>
      <c r="AC511" s="716"/>
      <c r="AD511" s="716"/>
      <c r="AE511" s="716"/>
      <c r="AF511" s="716"/>
      <c r="AG511" s="716"/>
      <c r="AH511" s="716"/>
      <c r="AI511" s="716"/>
      <c r="AJ511" s="716"/>
      <c r="AK511" s="716"/>
      <c r="AL511" s="716"/>
      <c r="AM511" s="716"/>
      <c r="AN511" s="716"/>
      <c r="AO511" s="716"/>
      <c r="AP511" s="716"/>
      <c r="AQ511" s="716"/>
      <c r="AR511" s="716"/>
    </row>
    <row r="512">
      <c r="A512" s="716"/>
      <c r="B512" s="530"/>
      <c r="C512" s="530"/>
      <c r="D512" s="530"/>
      <c r="E512" s="530"/>
      <c r="F512" s="530"/>
      <c r="G512" s="530"/>
      <c r="H512" s="530"/>
      <c r="I512" s="530"/>
      <c r="J512" s="530"/>
      <c r="K512" s="530"/>
      <c r="L512" s="530"/>
      <c r="M512" s="530"/>
      <c r="N512" s="530"/>
      <c r="O512" s="530"/>
      <c r="P512" s="530"/>
      <c r="Q512" s="530"/>
      <c r="R512" s="530"/>
      <c r="S512" s="530"/>
      <c r="T512" s="530"/>
      <c r="U512" s="530"/>
      <c r="V512" s="530"/>
      <c r="W512" s="530"/>
      <c r="X512" s="733"/>
      <c r="Y512" s="716"/>
      <c r="Z512" s="716"/>
      <c r="AA512" s="716"/>
      <c r="AB512" s="716"/>
      <c r="AC512" s="716"/>
      <c r="AD512" s="716"/>
      <c r="AE512" s="716"/>
      <c r="AF512" s="716"/>
      <c r="AG512" s="716"/>
      <c r="AH512" s="716"/>
      <c r="AI512" s="716"/>
      <c r="AJ512" s="716"/>
      <c r="AK512" s="716"/>
      <c r="AL512" s="716"/>
      <c r="AM512" s="716"/>
      <c r="AN512" s="716"/>
      <c r="AO512" s="716"/>
      <c r="AP512" s="716"/>
      <c r="AQ512" s="716"/>
      <c r="AR512" s="716"/>
    </row>
    <row r="513">
      <c r="A513" s="716"/>
      <c r="B513" s="530"/>
      <c r="C513" s="530"/>
      <c r="D513" s="530"/>
      <c r="E513" s="530"/>
      <c r="F513" s="530"/>
      <c r="G513" s="530"/>
      <c r="H513" s="530"/>
      <c r="I513" s="530"/>
      <c r="J513" s="530"/>
      <c r="K513" s="530"/>
      <c r="L513" s="530"/>
      <c r="M513" s="530"/>
      <c r="N513" s="530"/>
      <c r="O513" s="530"/>
      <c r="P513" s="530"/>
      <c r="Q513" s="530"/>
      <c r="R513" s="530"/>
      <c r="S513" s="530"/>
      <c r="T513" s="530"/>
      <c r="U513" s="530"/>
      <c r="V513" s="530"/>
      <c r="W513" s="530"/>
      <c r="X513" s="733"/>
      <c r="Y513" s="716"/>
      <c r="Z513" s="716"/>
      <c r="AA513" s="716"/>
      <c r="AB513" s="716"/>
      <c r="AC513" s="716"/>
      <c r="AD513" s="716"/>
      <c r="AE513" s="716"/>
      <c r="AF513" s="716"/>
      <c r="AG513" s="716"/>
      <c r="AH513" s="716"/>
      <c r="AI513" s="716"/>
      <c r="AJ513" s="716"/>
      <c r="AK513" s="716"/>
      <c r="AL513" s="716"/>
      <c r="AM513" s="716"/>
      <c r="AN513" s="716"/>
      <c r="AO513" s="716"/>
      <c r="AP513" s="716"/>
      <c r="AQ513" s="716"/>
      <c r="AR513" s="716"/>
    </row>
    <row r="514">
      <c r="A514" s="716"/>
      <c r="B514" s="530"/>
      <c r="C514" s="530"/>
      <c r="D514" s="530"/>
      <c r="E514" s="530"/>
      <c r="F514" s="530"/>
      <c r="G514" s="530"/>
      <c r="H514" s="530"/>
      <c r="I514" s="530"/>
      <c r="J514" s="530"/>
      <c r="K514" s="530"/>
      <c r="L514" s="530"/>
      <c r="M514" s="530"/>
      <c r="N514" s="530"/>
      <c r="O514" s="530"/>
      <c r="P514" s="530"/>
      <c r="Q514" s="530"/>
      <c r="R514" s="530"/>
      <c r="S514" s="530"/>
      <c r="T514" s="530"/>
      <c r="U514" s="530"/>
      <c r="V514" s="530"/>
      <c r="W514" s="530"/>
      <c r="X514" s="733"/>
      <c r="Y514" s="716"/>
      <c r="Z514" s="716"/>
      <c r="AA514" s="716"/>
      <c r="AB514" s="716"/>
      <c r="AC514" s="716"/>
      <c r="AD514" s="716"/>
      <c r="AE514" s="716"/>
      <c r="AF514" s="716"/>
      <c r="AG514" s="716"/>
      <c r="AH514" s="716"/>
      <c r="AI514" s="716"/>
      <c r="AJ514" s="716"/>
      <c r="AK514" s="716"/>
      <c r="AL514" s="716"/>
      <c r="AM514" s="716"/>
      <c r="AN514" s="716"/>
      <c r="AO514" s="716"/>
      <c r="AP514" s="716"/>
      <c r="AQ514" s="716"/>
      <c r="AR514" s="716"/>
    </row>
    <row r="515">
      <c r="A515" s="716"/>
      <c r="B515" s="530"/>
      <c r="C515" s="530"/>
      <c r="D515" s="530"/>
      <c r="E515" s="530"/>
      <c r="F515" s="530"/>
      <c r="G515" s="530"/>
      <c r="H515" s="530"/>
      <c r="I515" s="530"/>
      <c r="J515" s="530"/>
      <c r="K515" s="530"/>
      <c r="L515" s="530"/>
      <c r="M515" s="530"/>
      <c r="N515" s="530"/>
      <c r="O515" s="530"/>
      <c r="P515" s="530"/>
      <c r="Q515" s="530"/>
      <c r="R515" s="530"/>
      <c r="S515" s="530"/>
      <c r="T515" s="530"/>
      <c r="U515" s="530"/>
      <c r="V515" s="530"/>
      <c r="W515" s="530"/>
      <c r="X515" s="733"/>
      <c r="Y515" s="716"/>
      <c r="Z515" s="716"/>
      <c r="AA515" s="716"/>
      <c r="AB515" s="716"/>
      <c r="AC515" s="716"/>
      <c r="AD515" s="716"/>
      <c r="AE515" s="716"/>
      <c r="AF515" s="716"/>
      <c r="AG515" s="716"/>
      <c r="AH515" s="716"/>
      <c r="AI515" s="716"/>
      <c r="AJ515" s="716"/>
      <c r="AK515" s="716"/>
      <c r="AL515" s="716"/>
      <c r="AM515" s="716"/>
      <c r="AN515" s="716"/>
      <c r="AO515" s="716"/>
      <c r="AP515" s="716"/>
      <c r="AQ515" s="716"/>
      <c r="AR515" s="716"/>
    </row>
    <row r="516">
      <c r="A516" s="716"/>
      <c r="B516" s="530"/>
      <c r="C516" s="530"/>
      <c r="D516" s="530"/>
      <c r="E516" s="530"/>
      <c r="F516" s="530"/>
      <c r="G516" s="530"/>
      <c r="H516" s="530"/>
      <c r="I516" s="530"/>
      <c r="J516" s="530"/>
      <c r="K516" s="530"/>
      <c r="L516" s="530"/>
      <c r="M516" s="530"/>
      <c r="N516" s="530"/>
      <c r="O516" s="530"/>
      <c r="P516" s="530"/>
      <c r="Q516" s="530"/>
      <c r="R516" s="530"/>
      <c r="S516" s="530"/>
      <c r="T516" s="530"/>
      <c r="U516" s="530"/>
      <c r="V516" s="530"/>
      <c r="W516" s="530"/>
      <c r="X516" s="733"/>
      <c r="Y516" s="716"/>
      <c r="Z516" s="716"/>
      <c r="AA516" s="716"/>
      <c r="AB516" s="716"/>
      <c r="AC516" s="716"/>
      <c r="AD516" s="716"/>
      <c r="AE516" s="716"/>
      <c r="AF516" s="716"/>
      <c r="AG516" s="716"/>
      <c r="AH516" s="716"/>
      <c r="AI516" s="716"/>
      <c r="AJ516" s="716"/>
      <c r="AK516" s="716"/>
      <c r="AL516" s="716"/>
      <c r="AM516" s="716"/>
      <c r="AN516" s="716"/>
      <c r="AO516" s="716"/>
      <c r="AP516" s="716"/>
      <c r="AQ516" s="716"/>
      <c r="AR516" s="716"/>
    </row>
    <row r="517">
      <c r="A517" s="716"/>
      <c r="B517" s="530"/>
      <c r="C517" s="530"/>
      <c r="D517" s="530"/>
      <c r="E517" s="530"/>
      <c r="F517" s="530"/>
      <c r="G517" s="530"/>
      <c r="H517" s="530"/>
      <c r="I517" s="530"/>
      <c r="J517" s="530"/>
      <c r="K517" s="530"/>
      <c r="L517" s="530"/>
      <c r="M517" s="530"/>
      <c r="N517" s="530"/>
      <c r="O517" s="530"/>
      <c r="P517" s="530"/>
      <c r="Q517" s="530"/>
      <c r="R517" s="530"/>
      <c r="S517" s="530"/>
      <c r="T517" s="530"/>
      <c r="U517" s="530"/>
      <c r="V517" s="530"/>
      <c r="W517" s="530"/>
      <c r="X517" s="733"/>
      <c r="Y517" s="716"/>
      <c r="Z517" s="716"/>
      <c r="AA517" s="716"/>
      <c r="AB517" s="716"/>
      <c r="AC517" s="716"/>
      <c r="AD517" s="716"/>
      <c r="AE517" s="716"/>
      <c r="AF517" s="716"/>
      <c r="AG517" s="716"/>
      <c r="AH517" s="716"/>
      <c r="AI517" s="716"/>
      <c r="AJ517" s="716"/>
      <c r="AK517" s="716"/>
      <c r="AL517" s="716"/>
      <c r="AM517" s="716"/>
      <c r="AN517" s="716"/>
      <c r="AO517" s="716"/>
      <c r="AP517" s="716"/>
      <c r="AQ517" s="716"/>
      <c r="AR517" s="716"/>
    </row>
    <row r="518">
      <c r="A518" s="716"/>
      <c r="B518" s="530"/>
      <c r="C518" s="530"/>
      <c r="D518" s="530"/>
      <c r="E518" s="530"/>
      <c r="F518" s="530"/>
      <c r="G518" s="530"/>
      <c r="H518" s="530"/>
      <c r="I518" s="530"/>
      <c r="J518" s="530"/>
      <c r="K518" s="530"/>
      <c r="L518" s="530"/>
      <c r="M518" s="530"/>
      <c r="N518" s="530"/>
      <c r="O518" s="530"/>
      <c r="P518" s="530"/>
      <c r="Q518" s="530"/>
      <c r="R518" s="530"/>
      <c r="S518" s="530"/>
      <c r="T518" s="530"/>
      <c r="U518" s="530"/>
      <c r="V518" s="530"/>
      <c r="W518" s="530"/>
      <c r="X518" s="733"/>
      <c r="Y518" s="716"/>
      <c r="Z518" s="716"/>
      <c r="AA518" s="716"/>
      <c r="AB518" s="716"/>
      <c r="AC518" s="716"/>
      <c r="AD518" s="716"/>
      <c r="AE518" s="716"/>
      <c r="AF518" s="716"/>
      <c r="AG518" s="716"/>
      <c r="AH518" s="716"/>
      <c r="AI518" s="716"/>
      <c r="AJ518" s="716"/>
      <c r="AK518" s="716"/>
      <c r="AL518" s="716"/>
      <c r="AM518" s="716"/>
      <c r="AN518" s="716"/>
      <c r="AO518" s="716"/>
      <c r="AP518" s="716"/>
      <c r="AQ518" s="716"/>
      <c r="AR518" s="716"/>
    </row>
    <row r="519">
      <c r="A519" s="716"/>
      <c r="B519" s="530"/>
      <c r="C519" s="530"/>
      <c r="D519" s="530"/>
      <c r="E519" s="530"/>
      <c r="F519" s="530"/>
      <c r="G519" s="530"/>
      <c r="H519" s="530"/>
      <c r="I519" s="530"/>
      <c r="J519" s="530"/>
      <c r="K519" s="530"/>
      <c r="L519" s="530"/>
      <c r="M519" s="530"/>
      <c r="N519" s="530"/>
      <c r="O519" s="530"/>
      <c r="P519" s="530"/>
      <c r="Q519" s="530"/>
      <c r="R519" s="530"/>
      <c r="S519" s="530"/>
      <c r="T519" s="530"/>
      <c r="U519" s="530"/>
      <c r="V519" s="530"/>
      <c r="W519" s="530"/>
      <c r="X519" s="733"/>
      <c r="Y519" s="716"/>
      <c r="Z519" s="716"/>
      <c r="AA519" s="716"/>
      <c r="AB519" s="716"/>
      <c r="AC519" s="716"/>
      <c r="AD519" s="716"/>
      <c r="AE519" s="716"/>
      <c r="AF519" s="716"/>
      <c r="AG519" s="716"/>
      <c r="AH519" s="716"/>
      <c r="AI519" s="716"/>
      <c r="AJ519" s="716"/>
      <c r="AK519" s="716"/>
      <c r="AL519" s="716"/>
      <c r="AM519" s="716"/>
      <c r="AN519" s="716"/>
      <c r="AO519" s="716"/>
      <c r="AP519" s="716"/>
      <c r="AQ519" s="716"/>
      <c r="AR519" s="716"/>
    </row>
    <row r="520">
      <c r="A520" s="716"/>
      <c r="B520" s="530"/>
      <c r="C520" s="530"/>
      <c r="D520" s="530"/>
      <c r="E520" s="530"/>
      <c r="F520" s="530"/>
      <c r="G520" s="530"/>
      <c r="H520" s="530"/>
      <c r="I520" s="530"/>
      <c r="J520" s="530"/>
      <c r="K520" s="530"/>
      <c r="L520" s="530"/>
      <c r="M520" s="530"/>
      <c r="N520" s="530"/>
      <c r="O520" s="530"/>
      <c r="P520" s="530"/>
      <c r="Q520" s="530"/>
      <c r="R520" s="530"/>
      <c r="S520" s="530"/>
      <c r="T520" s="530"/>
      <c r="U520" s="530"/>
      <c r="V520" s="530"/>
      <c r="W520" s="530"/>
      <c r="X520" s="733"/>
      <c r="Y520" s="716"/>
      <c r="Z520" s="716"/>
      <c r="AA520" s="716"/>
      <c r="AB520" s="716"/>
      <c r="AC520" s="716"/>
      <c r="AD520" s="716"/>
      <c r="AE520" s="716"/>
      <c r="AF520" s="716"/>
      <c r="AG520" s="716"/>
      <c r="AH520" s="716"/>
      <c r="AI520" s="716"/>
      <c r="AJ520" s="716"/>
      <c r="AK520" s="716"/>
      <c r="AL520" s="716"/>
      <c r="AM520" s="716"/>
      <c r="AN520" s="716"/>
      <c r="AO520" s="716"/>
      <c r="AP520" s="716"/>
      <c r="AQ520" s="716"/>
      <c r="AR520" s="716"/>
    </row>
    <row r="521">
      <c r="A521" s="716"/>
      <c r="B521" s="530"/>
      <c r="C521" s="530"/>
      <c r="D521" s="530"/>
      <c r="E521" s="530"/>
      <c r="F521" s="530"/>
      <c r="G521" s="530"/>
      <c r="H521" s="530"/>
      <c r="I521" s="530"/>
      <c r="J521" s="530"/>
      <c r="K521" s="530"/>
      <c r="L521" s="530"/>
      <c r="M521" s="530"/>
      <c r="N521" s="530"/>
      <c r="O521" s="530"/>
      <c r="P521" s="530"/>
      <c r="Q521" s="530"/>
      <c r="R521" s="530"/>
      <c r="S521" s="530"/>
      <c r="T521" s="530"/>
      <c r="U521" s="530"/>
      <c r="V521" s="530"/>
      <c r="W521" s="530"/>
      <c r="X521" s="733"/>
      <c r="Y521" s="716"/>
      <c r="Z521" s="716"/>
      <c r="AA521" s="716"/>
      <c r="AB521" s="716"/>
      <c r="AC521" s="716"/>
      <c r="AD521" s="716"/>
      <c r="AE521" s="716"/>
      <c r="AF521" s="716"/>
      <c r="AG521" s="716"/>
      <c r="AH521" s="716"/>
      <c r="AI521" s="716"/>
      <c r="AJ521" s="716"/>
      <c r="AK521" s="716"/>
      <c r="AL521" s="716"/>
      <c r="AM521" s="716"/>
      <c r="AN521" s="716"/>
      <c r="AO521" s="716"/>
      <c r="AP521" s="716"/>
      <c r="AQ521" s="716"/>
      <c r="AR521" s="716"/>
    </row>
    <row r="522">
      <c r="A522" s="716"/>
      <c r="B522" s="530"/>
      <c r="C522" s="530"/>
      <c r="D522" s="530"/>
      <c r="E522" s="530"/>
      <c r="F522" s="530"/>
      <c r="G522" s="530"/>
      <c r="H522" s="530"/>
      <c r="I522" s="530"/>
      <c r="J522" s="530"/>
      <c r="K522" s="530"/>
      <c r="L522" s="530"/>
      <c r="M522" s="530"/>
      <c r="N522" s="530"/>
      <c r="O522" s="530"/>
      <c r="P522" s="530"/>
      <c r="Q522" s="530"/>
      <c r="R522" s="530"/>
      <c r="S522" s="530"/>
      <c r="T522" s="530"/>
      <c r="U522" s="530"/>
      <c r="V522" s="530"/>
      <c r="W522" s="530"/>
      <c r="X522" s="733"/>
      <c r="Y522" s="716"/>
      <c r="Z522" s="716"/>
      <c r="AA522" s="716"/>
      <c r="AB522" s="716"/>
      <c r="AC522" s="716"/>
      <c r="AD522" s="716"/>
      <c r="AE522" s="716"/>
      <c r="AF522" s="716"/>
      <c r="AG522" s="716"/>
      <c r="AH522" s="716"/>
      <c r="AI522" s="716"/>
      <c r="AJ522" s="716"/>
      <c r="AK522" s="716"/>
      <c r="AL522" s="716"/>
      <c r="AM522" s="716"/>
      <c r="AN522" s="716"/>
      <c r="AO522" s="716"/>
      <c r="AP522" s="716"/>
      <c r="AQ522" s="716"/>
      <c r="AR522" s="716"/>
    </row>
    <row r="523">
      <c r="A523" s="716"/>
      <c r="B523" s="530"/>
      <c r="C523" s="530"/>
      <c r="D523" s="530"/>
      <c r="E523" s="530"/>
      <c r="F523" s="530"/>
      <c r="G523" s="530"/>
      <c r="H523" s="530"/>
      <c r="I523" s="530"/>
      <c r="J523" s="530"/>
      <c r="K523" s="530"/>
      <c r="L523" s="530"/>
      <c r="M523" s="530"/>
      <c r="N523" s="530"/>
      <c r="O523" s="530"/>
      <c r="P523" s="530"/>
      <c r="Q523" s="530"/>
      <c r="R523" s="530"/>
      <c r="S523" s="530"/>
      <c r="T523" s="530"/>
      <c r="U523" s="530"/>
      <c r="V523" s="530"/>
      <c r="W523" s="530"/>
      <c r="X523" s="733"/>
      <c r="Y523" s="716"/>
      <c r="Z523" s="716"/>
      <c r="AA523" s="716"/>
      <c r="AB523" s="716"/>
      <c r="AC523" s="716"/>
      <c r="AD523" s="716"/>
      <c r="AE523" s="716"/>
      <c r="AF523" s="716"/>
      <c r="AG523" s="716"/>
      <c r="AH523" s="716"/>
      <c r="AI523" s="716"/>
      <c r="AJ523" s="716"/>
      <c r="AK523" s="716"/>
      <c r="AL523" s="716"/>
      <c r="AM523" s="716"/>
      <c r="AN523" s="716"/>
      <c r="AO523" s="716"/>
      <c r="AP523" s="716"/>
      <c r="AQ523" s="716"/>
      <c r="AR523" s="716"/>
    </row>
    <row r="524">
      <c r="A524" s="716"/>
      <c r="B524" s="530"/>
      <c r="C524" s="530"/>
      <c r="D524" s="530"/>
      <c r="E524" s="530"/>
      <c r="F524" s="530"/>
      <c r="G524" s="530"/>
      <c r="H524" s="530"/>
      <c r="I524" s="530"/>
      <c r="J524" s="530"/>
      <c r="K524" s="530"/>
      <c r="L524" s="530"/>
      <c r="M524" s="530"/>
      <c r="N524" s="530"/>
      <c r="O524" s="530"/>
      <c r="P524" s="530"/>
      <c r="Q524" s="530"/>
      <c r="R524" s="530"/>
      <c r="S524" s="530"/>
      <c r="T524" s="530"/>
      <c r="U524" s="530"/>
      <c r="V524" s="530"/>
      <c r="W524" s="530"/>
      <c r="X524" s="733"/>
      <c r="Y524" s="716"/>
      <c r="Z524" s="716"/>
      <c r="AA524" s="716"/>
      <c r="AB524" s="716"/>
      <c r="AC524" s="716"/>
      <c r="AD524" s="716"/>
      <c r="AE524" s="716"/>
      <c r="AF524" s="716"/>
      <c r="AG524" s="716"/>
      <c r="AH524" s="716"/>
      <c r="AI524" s="716"/>
      <c r="AJ524" s="716"/>
      <c r="AK524" s="716"/>
      <c r="AL524" s="716"/>
      <c r="AM524" s="716"/>
      <c r="AN524" s="716"/>
      <c r="AO524" s="716"/>
      <c r="AP524" s="716"/>
      <c r="AQ524" s="716"/>
      <c r="AR524" s="716"/>
    </row>
    <row r="525">
      <c r="A525" s="716"/>
      <c r="B525" s="530"/>
      <c r="C525" s="530"/>
      <c r="D525" s="530"/>
      <c r="E525" s="530"/>
      <c r="F525" s="530"/>
      <c r="G525" s="530"/>
      <c r="H525" s="530"/>
      <c r="I525" s="530"/>
      <c r="J525" s="530"/>
      <c r="K525" s="530"/>
      <c r="L525" s="530"/>
      <c r="M525" s="530"/>
      <c r="N525" s="530"/>
      <c r="O525" s="530"/>
      <c r="P525" s="530"/>
      <c r="Q525" s="530"/>
      <c r="R525" s="530"/>
      <c r="S525" s="530"/>
      <c r="T525" s="530"/>
      <c r="U525" s="530"/>
      <c r="V525" s="530"/>
      <c r="W525" s="530"/>
      <c r="X525" s="733"/>
      <c r="Y525" s="716"/>
      <c r="Z525" s="716"/>
      <c r="AA525" s="716"/>
      <c r="AB525" s="716"/>
      <c r="AC525" s="716"/>
      <c r="AD525" s="716"/>
      <c r="AE525" s="716"/>
      <c r="AF525" s="716"/>
      <c r="AG525" s="716"/>
      <c r="AH525" s="716"/>
      <c r="AI525" s="716"/>
      <c r="AJ525" s="716"/>
      <c r="AK525" s="716"/>
      <c r="AL525" s="716"/>
      <c r="AM525" s="716"/>
      <c r="AN525" s="716"/>
      <c r="AO525" s="716"/>
      <c r="AP525" s="716"/>
      <c r="AQ525" s="716"/>
      <c r="AR525" s="716"/>
    </row>
    <row r="526">
      <c r="A526" s="716"/>
      <c r="B526" s="530"/>
      <c r="C526" s="530"/>
      <c r="D526" s="530"/>
      <c r="E526" s="530"/>
      <c r="F526" s="530"/>
      <c r="G526" s="530"/>
      <c r="H526" s="530"/>
      <c r="I526" s="530"/>
      <c r="J526" s="530"/>
      <c r="K526" s="530"/>
      <c r="L526" s="530"/>
      <c r="M526" s="530"/>
      <c r="N526" s="530"/>
      <c r="O526" s="530"/>
      <c r="P526" s="530"/>
      <c r="Q526" s="530"/>
      <c r="R526" s="530"/>
      <c r="S526" s="530"/>
      <c r="T526" s="530"/>
      <c r="U526" s="530"/>
      <c r="V526" s="530"/>
      <c r="W526" s="530"/>
      <c r="X526" s="733"/>
      <c r="Y526" s="716"/>
      <c r="Z526" s="716"/>
      <c r="AA526" s="716"/>
      <c r="AB526" s="716"/>
      <c r="AC526" s="716"/>
      <c r="AD526" s="716"/>
      <c r="AE526" s="716"/>
      <c r="AF526" s="716"/>
      <c r="AG526" s="716"/>
      <c r="AH526" s="716"/>
      <c r="AI526" s="716"/>
      <c r="AJ526" s="716"/>
      <c r="AK526" s="716"/>
      <c r="AL526" s="716"/>
      <c r="AM526" s="716"/>
      <c r="AN526" s="716"/>
      <c r="AO526" s="716"/>
      <c r="AP526" s="716"/>
      <c r="AQ526" s="716"/>
      <c r="AR526" s="716"/>
    </row>
    <row r="527">
      <c r="A527" s="716"/>
      <c r="B527" s="530"/>
      <c r="C527" s="530"/>
      <c r="D527" s="530"/>
      <c r="E527" s="530"/>
      <c r="F527" s="530"/>
      <c r="G527" s="530"/>
      <c r="H527" s="530"/>
      <c r="I527" s="530"/>
      <c r="J527" s="530"/>
      <c r="K527" s="530"/>
      <c r="L527" s="530"/>
      <c r="M527" s="530"/>
      <c r="N527" s="530"/>
      <c r="O527" s="530"/>
      <c r="P527" s="530"/>
      <c r="Q527" s="530"/>
      <c r="R527" s="530"/>
      <c r="S527" s="530"/>
      <c r="T527" s="530"/>
      <c r="U527" s="530"/>
      <c r="V527" s="530"/>
      <c r="W527" s="530"/>
      <c r="X527" s="733"/>
      <c r="Y527" s="716"/>
      <c r="Z527" s="716"/>
      <c r="AA527" s="716"/>
      <c r="AB527" s="716"/>
      <c r="AC527" s="716"/>
      <c r="AD527" s="716"/>
      <c r="AE527" s="716"/>
      <c r="AF527" s="716"/>
      <c r="AG527" s="716"/>
      <c r="AH527" s="716"/>
      <c r="AI527" s="716"/>
      <c r="AJ527" s="716"/>
      <c r="AK527" s="716"/>
      <c r="AL527" s="716"/>
      <c r="AM527" s="716"/>
      <c r="AN527" s="716"/>
      <c r="AO527" s="716"/>
      <c r="AP527" s="716"/>
      <c r="AQ527" s="716"/>
      <c r="AR527" s="716"/>
    </row>
    <row r="528">
      <c r="A528" s="716"/>
      <c r="B528" s="530"/>
      <c r="C528" s="530"/>
      <c r="D528" s="530"/>
      <c r="E528" s="530"/>
      <c r="F528" s="530"/>
      <c r="G528" s="530"/>
      <c r="H528" s="530"/>
      <c r="I528" s="530"/>
      <c r="J528" s="530"/>
      <c r="K528" s="530"/>
      <c r="L528" s="530"/>
      <c r="M528" s="530"/>
      <c r="N528" s="530"/>
      <c r="O528" s="530"/>
      <c r="P528" s="530"/>
      <c r="Q528" s="530"/>
      <c r="R528" s="530"/>
      <c r="S528" s="530"/>
      <c r="T528" s="530"/>
      <c r="U528" s="530"/>
      <c r="V528" s="530"/>
      <c r="W528" s="530"/>
      <c r="X528" s="733"/>
      <c r="Y528" s="716"/>
      <c r="Z528" s="716"/>
      <c r="AA528" s="716"/>
      <c r="AB528" s="716"/>
      <c r="AC528" s="716"/>
      <c r="AD528" s="716"/>
      <c r="AE528" s="716"/>
      <c r="AF528" s="716"/>
      <c r="AG528" s="716"/>
      <c r="AH528" s="716"/>
      <c r="AI528" s="716"/>
      <c r="AJ528" s="716"/>
      <c r="AK528" s="716"/>
      <c r="AL528" s="716"/>
      <c r="AM528" s="716"/>
      <c r="AN528" s="716"/>
      <c r="AO528" s="716"/>
      <c r="AP528" s="716"/>
      <c r="AQ528" s="716"/>
      <c r="AR528" s="716"/>
    </row>
    <row r="529">
      <c r="A529" s="716"/>
      <c r="B529" s="530"/>
      <c r="C529" s="530"/>
      <c r="D529" s="530"/>
      <c r="E529" s="530"/>
      <c r="F529" s="530"/>
      <c r="G529" s="530"/>
      <c r="H529" s="530"/>
      <c r="I529" s="530"/>
      <c r="J529" s="530"/>
      <c r="K529" s="530"/>
      <c r="L529" s="530"/>
      <c r="M529" s="530"/>
      <c r="N529" s="530"/>
      <c r="O529" s="530"/>
      <c r="P529" s="530"/>
      <c r="Q529" s="530"/>
      <c r="R529" s="530"/>
      <c r="S529" s="530"/>
      <c r="T529" s="530"/>
      <c r="U529" s="530"/>
      <c r="V529" s="530"/>
      <c r="W529" s="530"/>
      <c r="X529" s="733"/>
      <c r="Y529" s="716"/>
      <c r="Z529" s="716"/>
      <c r="AA529" s="716"/>
      <c r="AB529" s="716"/>
      <c r="AC529" s="716"/>
      <c r="AD529" s="716"/>
      <c r="AE529" s="716"/>
      <c r="AF529" s="716"/>
      <c r="AG529" s="716"/>
      <c r="AH529" s="716"/>
      <c r="AI529" s="716"/>
      <c r="AJ529" s="716"/>
      <c r="AK529" s="716"/>
      <c r="AL529" s="716"/>
      <c r="AM529" s="716"/>
      <c r="AN529" s="716"/>
      <c r="AO529" s="716"/>
      <c r="AP529" s="716"/>
      <c r="AQ529" s="716"/>
      <c r="AR529" s="716"/>
    </row>
    <row r="530">
      <c r="A530" s="716"/>
      <c r="B530" s="530"/>
      <c r="C530" s="530"/>
      <c r="D530" s="530"/>
      <c r="E530" s="530"/>
      <c r="F530" s="530"/>
      <c r="G530" s="530"/>
      <c r="H530" s="530"/>
      <c r="I530" s="530"/>
      <c r="J530" s="530"/>
      <c r="K530" s="530"/>
      <c r="L530" s="530"/>
      <c r="M530" s="530"/>
      <c r="N530" s="530"/>
      <c r="O530" s="530"/>
      <c r="P530" s="530"/>
      <c r="Q530" s="530"/>
      <c r="R530" s="530"/>
      <c r="S530" s="530"/>
      <c r="T530" s="530"/>
      <c r="U530" s="530"/>
      <c r="V530" s="530"/>
      <c r="W530" s="530"/>
      <c r="X530" s="733"/>
      <c r="Y530" s="716"/>
      <c r="Z530" s="716"/>
      <c r="AA530" s="716"/>
      <c r="AB530" s="716"/>
      <c r="AC530" s="716"/>
      <c r="AD530" s="716"/>
      <c r="AE530" s="716"/>
      <c r="AF530" s="716"/>
      <c r="AG530" s="716"/>
      <c r="AH530" s="716"/>
      <c r="AI530" s="716"/>
      <c r="AJ530" s="716"/>
      <c r="AK530" s="716"/>
      <c r="AL530" s="716"/>
      <c r="AM530" s="716"/>
      <c r="AN530" s="716"/>
      <c r="AO530" s="716"/>
      <c r="AP530" s="716"/>
      <c r="AQ530" s="716"/>
      <c r="AR530" s="716"/>
    </row>
    <row r="531">
      <c r="A531" s="716"/>
      <c r="B531" s="530"/>
      <c r="C531" s="530"/>
      <c r="D531" s="530"/>
      <c r="E531" s="530"/>
      <c r="F531" s="530"/>
      <c r="G531" s="530"/>
      <c r="H531" s="530"/>
      <c r="I531" s="530"/>
      <c r="J531" s="530"/>
      <c r="K531" s="530"/>
      <c r="L531" s="530"/>
      <c r="M531" s="530"/>
      <c r="N531" s="530"/>
      <c r="O531" s="530"/>
      <c r="P531" s="530"/>
      <c r="Q531" s="530"/>
      <c r="R531" s="530"/>
      <c r="S531" s="530"/>
      <c r="T531" s="530"/>
      <c r="U531" s="530"/>
      <c r="V531" s="530"/>
      <c r="W531" s="530"/>
      <c r="X531" s="733"/>
      <c r="Y531" s="716"/>
      <c r="Z531" s="716"/>
      <c r="AA531" s="716"/>
      <c r="AB531" s="716"/>
      <c r="AC531" s="716"/>
      <c r="AD531" s="716"/>
      <c r="AE531" s="716"/>
      <c r="AF531" s="716"/>
      <c r="AG531" s="716"/>
      <c r="AH531" s="716"/>
      <c r="AI531" s="716"/>
      <c r="AJ531" s="716"/>
      <c r="AK531" s="716"/>
      <c r="AL531" s="716"/>
      <c r="AM531" s="716"/>
      <c r="AN531" s="716"/>
      <c r="AO531" s="716"/>
      <c r="AP531" s="716"/>
      <c r="AQ531" s="716"/>
      <c r="AR531" s="716"/>
    </row>
    <row r="532">
      <c r="A532" s="716"/>
      <c r="B532" s="530"/>
      <c r="C532" s="530"/>
      <c r="D532" s="530"/>
      <c r="E532" s="530"/>
      <c r="F532" s="530"/>
      <c r="G532" s="530"/>
      <c r="H532" s="530"/>
      <c r="I532" s="530"/>
      <c r="J532" s="530"/>
      <c r="K532" s="530"/>
      <c r="L532" s="530"/>
      <c r="M532" s="530"/>
      <c r="N532" s="530"/>
      <c r="O532" s="530"/>
      <c r="P532" s="530"/>
      <c r="Q532" s="530"/>
      <c r="R532" s="530"/>
      <c r="S532" s="530"/>
      <c r="T532" s="530"/>
      <c r="U532" s="530"/>
      <c r="V532" s="530"/>
      <c r="W532" s="530"/>
      <c r="X532" s="733"/>
      <c r="Y532" s="716"/>
      <c r="Z532" s="716"/>
      <c r="AA532" s="716"/>
      <c r="AB532" s="716"/>
      <c r="AC532" s="716"/>
      <c r="AD532" s="716"/>
      <c r="AE532" s="716"/>
      <c r="AF532" s="716"/>
      <c r="AG532" s="716"/>
      <c r="AH532" s="716"/>
      <c r="AI532" s="716"/>
      <c r="AJ532" s="716"/>
      <c r="AK532" s="716"/>
      <c r="AL532" s="716"/>
      <c r="AM532" s="716"/>
      <c r="AN532" s="716"/>
      <c r="AO532" s="716"/>
      <c r="AP532" s="716"/>
      <c r="AQ532" s="716"/>
      <c r="AR532" s="716"/>
    </row>
    <row r="533">
      <c r="A533" s="716"/>
      <c r="B533" s="530"/>
      <c r="C533" s="530"/>
      <c r="D533" s="530"/>
      <c r="E533" s="530"/>
      <c r="F533" s="530"/>
      <c r="G533" s="530"/>
      <c r="H533" s="530"/>
      <c r="I533" s="530"/>
      <c r="J533" s="530"/>
      <c r="K533" s="530"/>
      <c r="L533" s="530"/>
      <c r="M533" s="530"/>
      <c r="N533" s="530"/>
      <c r="O533" s="530"/>
      <c r="P533" s="530"/>
      <c r="Q533" s="530"/>
      <c r="R533" s="530"/>
      <c r="S533" s="530"/>
      <c r="T533" s="530"/>
      <c r="U533" s="530"/>
      <c r="V533" s="530"/>
      <c r="W533" s="530"/>
      <c r="X533" s="733"/>
      <c r="Y533" s="716"/>
      <c r="Z533" s="716"/>
      <c r="AA533" s="716"/>
      <c r="AB533" s="716"/>
      <c r="AC533" s="716"/>
      <c r="AD533" s="716"/>
      <c r="AE533" s="716"/>
      <c r="AF533" s="716"/>
      <c r="AG533" s="716"/>
      <c r="AH533" s="716"/>
      <c r="AI533" s="716"/>
      <c r="AJ533" s="716"/>
      <c r="AK533" s="716"/>
      <c r="AL533" s="716"/>
      <c r="AM533" s="716"/>
      <c r="AN533" s="716"/>
      <c r="AO533" s="716"/>
      <c r="AP533" s="716"/>
      <c r="AQ533" s="716"/>
      <c r="AR533" s="716"/>
    </row>
    <row r="534">
      <c r="A534" s="716"/>
      <c r="B534" s="530"/>
      <c r="C534" s="530"/>
      <c r="D534" s="530"/>
      <c r="E534" s="530"/>
      <c r="F534" s="530"/>
      <c r="G534" s="530"/>
      <c r="H534" s="530"/>
      <c r="I534" s="530"/>
      <c r="J534" s="530"/>
      <c r="K534" s="530"/>
      <c r="L534" s="530"/>
      <c r="M534" s="530"/>
      <c r="N534" s="530"/>
      <c r="O534" s="530"/>
      <c r="P534" s="530"/>
      <c r="Q534" s="530"/>
      <c r="R534" s="530"/>
      <c r="S534" s="530"/>
      <c r="T534" s="530"/>
      <c r="U534" s="530"/>
      <c r="V534" s="530"/>
      <c r="W534" s="530"/>
      <c r="X534" s="733"/>
      <c r="Y534" s="716"/>
      <c r="Z534" s="716"/>
      <c r="AA534" s="716"/>
      <c r="AB534" s="716"/>
      <c r="AC534" s="716"/>
      <c r="AD534" s="716"/>
      <c r="AE534" s="716"/>
      <c r="AF534" s="716"/>
      <c r="AG534" s="716"/>
      <c r="AH534" s="716"/>
      <c r="AI534" s="716"/>
      <c r="AJ534" s="716"/>
      <c r="AK534" s="716"/>
      <c r="AL534" s="716"/>
      <c r="AM534" s="716"/>
      <c r="AN534" s="716"/>
      <c r="AO534" s="716"/>
      <c r="AP534" s="716"/>
      <c r="AQ534" s="716"/>
      <c r="AR534" s="716"/>
    </row>
    <row r="535">
      <c r="A535" s="716"/>
      <c r="B535" s="530"/>
      <c r="C535" s="530"/>
      <c r="D535" s="530"/>
      <c r="E535" s="530"/>
      <c r="F535" s="530"/>
      <c r="G535" s="530"/>
      <c r="H535" s="530"/>
      <c r="I535" s="530"/>
      <c r="J535" s="530"/>
      <c r="K535" s="530"/>
      <c r="L535" s="530"/>
      <c r="M535" s="530"/>
      <c r="N535" s="530"/>
      <c r="O535" s="530"/>
      <c r="P535" s="530"/>
      <c r="Q535" s="530"/>
      <c r="R535" s="530"/>
      <c r="S535" s="530"/>
      <c r="T535" s="530"/>
      <c r="U535" s="530"/>
      <c r="V535" s="530"/>
      <c r="W535" s="530"/>
      <c r="X535" s="733"/>
      <c r="Y535" s="716"/>
      <c r="Z535" s="716"/>
      <c r="AA535" s="716"/>
      <c r="AB535" s="716"/>
      <c r="AC535" s="716"/>
      <c r="AD535" s="716"/>
      <c r="AE535" s="716"/>
      <c r="AF535" s="716"/>
      <c r="AG535" s="716"/>
      <c r="AH535" s="716"/>
      <c r="AI535" s="716"/>
      <c r="AJ535" s="716"/>
      <c r="AK535" s="716"/>
      <c r="AL535" s="716"/>
      <c r="AM535" s="716"/>
      <c r="AN535" s="716"/>
      <c r="AO535" s="716"/>
      <c r="AP535" s="716"/>
      <c r="AQ535" s="716"/>
      <c r="AR535" s="716"/>
    </row>
    <row r="536">
      <c r="A536" s="716"/>
      <c r="B536" s="530"/>
      <c r="C536" s="530"/>
      <c r="D536" s="530"/>
      <c r="E536" s="530"/>
      <c r="F536" s="530"/>
      <c r="G536" s="530"/>
      <c r="H536" s="530"/>
      <c r="I536" s="530"/>
      <c r="J536" s="530"/>
      <c r="K536" s="530"/>
      <c r="L536" s="530"/>
      <c r="M536" s="530"/>
      <c r="N536" s="530"/>
      <c r="O536" s="530"/>
      <c r="P536" s="530"/>
      <c r="Q536" s="530"/>
      <c r="R536" s="530"/>
      <c r="S536" s="530"/>
      <c r="T536" s="530"/>
      <c r="U536" s="530"/>
      <c r="V536" s="530"/>
      <c r="W536" s="530"/>
      <c r="X536" s="733"/>
      <c r="Y536" s="716"/>
      <c r="Z536" s="716"/>
      <c r="AA536" s="716"/>
      <c r="AB536" s="716"/>
      <c r="AC536" s="716"/>
      <c r="AD536" s="716"/>
      <c r="AE536" s="716"/>
      <c r="AF536" s="716"/>
      <c r="AG536" s="716"/>
      <c r="AH536" s="716"/>
      <c r="AI536" s="716"/>
      <c r="AJ536" s="716"/>
      <c r="AK536" s="716"/>
      <c r="AL536" s="716"/>
      <c r="AM536" s="716"/>
      <c r="AN536" s="716"/>
      <c r="AO536" s="716"/>
      <c r="AP536" s="716"/>
      <c r="AQ536" s="716"/>
      <c r="AR536" s="716"/>
    </row>
    <row r="537">
      <c r="A537" s="716"/>
      <c r="B537" s="530"/>
      <c r="C537" s="530"/>
      <c r="D537" s="530"/>
      <c r="E537" s="530"/>
      <c r="F537" s="530"/>
      <c r="G537" s="530"/>
      <c r="H537" s="530"/>
      <c r="I537" s="530"/>
      <c r="J537" s="530"/>
      <c r="K537" s="530"/>
      <c r="L537" s="530"/>
      <c r="M537" s="530"/>
      <c r="N537" s="530"/>
      <c r="O537" s="530"/>
      <c r="P537" s="530"/>
      <c r="Q537" s="530"/>
      <c r="R537" s="530"/>
      <c r="S537" s="530"/>
      <c r="T537" s="530"/>
      <c r="U537" s="530"/>
      <c r="V537" s="530"/>
      <c r="W537" s="530"/>
      <c r="X537" s="733"/>
      <c r="Y537" s="716"/>
      <c r="Z537" s="716"/>
      <c r="AA537" s="716"/>
      <c r="AB537" s="716"/>
      <c r="AC537" s="716"/>
      <c r="AD537" s="716"/>
      <c r="AE537" s="716"/>
      <c r="AF537" s="716"/>
      <c r="AG537" s="716"/>
      <c r="AH537" s="716"/>
      <c r="AI537" s="716"/>
      <c r="AJ537" s="716"/>
      <c r="AK537" s="716"/>
      <c r="AL537" s="716"/>
      <c r="AM537" s="716"/>
      <c r="AN537" s="716"/>
      <c r="AO537" s="716"/>
      <c r="AP537" s="716"/>
      <c r="AQ537" s="716"/>
      <c r="AR537" s="716"/>
    </row>
    <row r="538">
      <c r="A538" s="716"/>
      <c r="B538" s="530"/>
      <c r="C538" s="530"/>
      <c r="D538" s="530"/>
      <c r="E538" s="530"/>
      <c r="F538" s="530"/>
      <c r="G538" s="530"/>
      <c r="H538" s="530"/>
      <c r="I538" s="530"/>
      <c r="J538" s="530"/>
      <c r="K538" s="530"/>
      <c r="L538" s="530"/>
      <c r="M538" s="530"/>
      <c r="N538" s="530"/>
      <c r="O538" s="530"/>
      <c r="P538" s="530"/>
      <c r="Q538" s="530"/>
      <c r="R538" s="530"/>
      <c r="S538" s="530"/>
      <c r="T538" s="530"/>
      <c r="U538" s="530"/>
      <c r="V538" s="530"/>
      <c r="W538" s="530"/>
      <c r="X538" s="733"/>
      <c r="Y538" s="716"/>
      <c r="Z538" s="716"/>
      <c r="AA538" s="716"/>
      <c r="AB538" s="716"/>
      <c r="AC538" s="716"/>
      <c r="AD538" s="716"/>
      <c r="AE538" s="716"/>
      <c r="AF538" s="716"/>
      <c r="AG538" s="716"/>
      <c r="AH538" s="716"/>
      <c r="AI538" s="716"/>
      <c r="AJ538" s="716"/>
      <c r="AK538" s="716"/>
      <c r="AL538" s="716"/>
      <c r="AM538" s="716"/>
      <c r="AN538" s="716"/>
      <c r="AO538" s="716"/>
      <c r="AP538" s="716"/>
      <c r="AQ538" s="716"/>
      <c r="AR538" s="716"/>
    </row>
    <row r="539">
      <c r="A539" s="716"/>
      <c r="B539" s="530"/>
      <c r="C539" s="530"/>
      <c r="D539" s="530"/>
      <c r="E539" s="530"/>
      <c r="F539" s="530"/>
      <c r="G539" s="530"/>
      <c r="H539" s="530"/>
      <c r="I539" s="530"/>
      <c r="J539" s="530"/>
      <c r="K539" s="530"/>
      <c r="L539" s="530"/>
      <c r="M539" s="530"/>
      <c r="N539" s="530"/>
      <c r="O539" s="530"/>
      <c r="P539" s="530"/>
      <c r="Q539" s="530"/>
      <c r="R539" s="530"/>
      <c r="S539" s="530"/>
      <c r="T539" s="530"/>
      <c r="U539" s="530"/>
      <c r="V539" s="530"/>
      <c r="W539" s="530"/>
      <c r="X539" s="733"/>
      <c r="Y539" s="716"/>
      <c r="Z539" s="716"/>
      <c r="AA539" s="716"/>
      <c r="AB539" s="716"/>
      <c r="AC539" s="716"/>
      <c r="AD539" s="716"/>
      <c r="AE539" s="716"/>
      <c r="AF539" s="716"/>
      <c r="AG539" s="716"/>
      <c r="AH539" s="716"/>
      <c r="AI539" s="716"/>
      <c r="AJ539" s="716"/>
      <c r="AK539" s="716"/>
      <c r="AL539" s="716"/>
      <c r="AM539" s="716"/>
      <c r="AN539" s="716"/>
      <c r="AO539" s="716"/>
      <c r="AP539" s="716"/>
      <c r="AQ539" s="716"/>
      <c r="AR539" s="716"/>
    </row>
    <row r="540">
      <c r="A540" s="716"/>
      <c r="B540" s="530"/>
      <c r="C540" s="530"/>
      <c r="D540" s="530"/>
      <c r="E540" s="530"/>
      <c r="F540" s="530"/>
      <c r="G540" s="530"/>
      <c r="H540" s="530"/>
      <c r="I540" s="530"/>
      <c r="J540" s="530"/>
      <c r="K540" s="530"/>
      <c r="L540" s="530"/>
      <c r="M540" s="530"/>
      <c r="N540" s="530"/>
      <c r="O540" s="530"/>
      <c r="P540" s="530"/>
      <c r="Q540" s="530"/>
      <c r="R540" s="530"/>
      <c r="S540" s="530"/>
      <c r="T540" s="530"/>
      <c r="U540" s="530"/>
      <c r="V540" s="530"/>
      <c r="W540" s="530"/>
      <c r="X540" s="733"/>
      <c r="Y540" s="716"/>
      <c r="Z540" s="716"/>
      <c r="AA540" s="716"/>
      <c r="AB540" s="716"/>
      <c r="AC540" s="716"/>
      <c r="AD540" s="716"/>
      <c r="AE540" s="716"/>
      <c r="AF540" s="716"/>
      <c r="AG540" s="716"/>
      <c r="AH540" s="716"/>
      <c r="AI540" s="716"/>
      <c r="AJ540" s="716"/>
      <c r="AK540" s="716"/>
      <c r="AL540" s="716"/>
      <c r="AM540" s="716"/>
      <c r="AN540" s="716"/>
      <c r="AO540" s="716"/>
      <c r="AP540" s="716"/>
      <c r="AQ540" s="716"/>
      <c r="AR540" s="716"/>
    </row>
    <row r="541">
      <c r="A541" s="716"/>
      <c r="B541" s="530"/>
      <c r="C541" s="530"/>
      <c r="D541" s="530"/>
      <c r="E541" s="530"/>
      <c r="F541" s="530"/>
      <c r="G541" s="530"/>
      <c r="H541" s="530"/>
      <c r="I541" s="530"/>
      <c r="J541" s="530"/>
      <c r="K541" s="530"/>
      <c r="L541" s="530"/>
      <c r="M541" s="530"/>
      <c r="N541" s="530"/>
      <c r="O541" s="530"/>
      <c r="P541" s="530"/>
      <c r="Q541" s="530"/>
      <c r="R541" s="530"/>
      <c r="S541" s="530"/>
      <c r="T541" s="530"/>
      <c r="U541" s="530"/>
      <c r="V541" s="530"/>
      <c r="W541" s="530"/>
      <c r="X541" s="733"/>
      <c r="Y541" s="716"/>
      <c r="Z541" s="716"/>
      <c r="AA541" s="716"/>
      <c r="AB541" s="716"/>
      <c r="AC541" s="716"/>
      <c r="AD541" s="716"/>
      <c r="AE541" s="716"/>
      <c r="AF541" s="716"/>
      <c r="AG541" s="716"/>
      <c r="AH541" s="716"/>
      <c r="AI541" s="716"/>
      <c r="AJ541" s="716"/>
      <c r="AK541" s="716"/>
      <c r="AL541" s="716"/>
      <c r="AM541" s="716"/>
      <c r="AN541" s="716"/>
      <c r="AO541" s="716"/>
      <c r="AP541" s="716"/>
      <c r="AQ541" s="716"/>
      <c r="AR541" s="716"/>
    </row>
    <row r="542">
      <c r="A542" s="716"/>
      <c r="B542" s="530"/>
      <c r="C542" s="530"/>
      <c r="D542" s="530"/>
      <c r="E542" s="530"/>
      <c r="F542" s="530"/>
      <c r="G542" s="530"/>
      <c r="H542" s="530"/>
      <c r="I542" s="530"/>
      <c r="J542" s="530"/>
      <c r="K542" s="530"/>
      <c r="L542" s="530"/>
      <c r="M542" s="530"/>
      <c r="N542" s="530"/>
      <c r="O542" s="530"/>
      <c r="P542" s="530"/>
      <c r="Q542" s="530"/>
      <c r="R542" s="530"/>
      <c r="S542" s="530"/>
      <c r="T542" s="530"/>
      <c r="U542" s="530"/>
      <c r="V542" s="530"/>
      <c r="W542" s="530"/>
      <c r="X542" s="733"/>
      <c r="Y542" s="716"/>
      <c r="Z542" s="716"/>
      <c r="AA542" s="716"/>
      <c r="AB542" s="716"/>
      <c r="AC542" s="716"/>
      <c r="AD542" s="716"/>
      <c r="AE542" s="716"/>
      <c r="AF542" s="716"/>
      <c r="AG542" s="716"/>
      <c r="AH542" s="716"/>
      <c r="AI542" s="716"/>
      <c r="AJ542" s="716"/>
      <c r="AK542" s="716"/>
      <c r="AL542" s="716"/>
      <c r="AM542" s="716"/>
      <c r="AN542" s="716"/>
      <c r="AO542" s="716"/>
      <c r="AP542" s="716"/>
      <c r="AQ542" s="716"/>
      <c r="AR542" s="716"/>
    </row>
    <row r="543">
      <c r="A543" s="716"/>
      <c r="B543" s="530"/>
      <c r="C543" s="530"/>
      <c r="D543" s="530"/>
      <c r="E543" s="530"/>
      <c r="F543" s="530"/>
      <c r="G543" s="530"/>
      <c r="H543" s="530"/>
      <c r="I543" s="530"/>
      <c r="J543" s="530"/>
      <c r="K543" s="530"/>
      <c r="L543" s="530"/>
      <c r="M543" s="530"/>
      <c r="N543" s="530"/>
      <c r="O543" s="530"/>
      <c r="P543" s="530"/>
      <c r="Q543" s="530"/>
      <c r="R543" s="530"/>
      <c r="S543" s="530"/>
      <c r="T543" s="530"/>
      <c r="U543" s="530"/>
      <c r="V543" s="530"/>
      <c r="W543" s="530"/>
      <c r="X543" s="733"/>
      <c r="Y543" s="716"/>
      <c r="Z543" s="716"/>
      <c r="AA543" s="716"/>
      <c r="AB543" s="716"/>
      <c r="AC543" s="716"/>
      <c r="AD543" s="716"/>
      <c r="AE543" s="716"/>
      <c r="AF543" s="716"/>
      <c r="AG543" s="716"/>
      <c r="AH543" s="716"/>
      <c r="AI543" s="716"/>
      <c r="AJ543" s="716"/>
      <c r="AK543" s="716"/>
      <c r="AL543" s="716"/>
      <c r="AM543" s="716"/>
      <c r="AN543" s="716"/>
      <c r="AO543" s="716"/>
      <c r="AP543" s="716"/>
      <c r="AQ543" s="716"/>
      <c r="AR543" s="716"/>
    </row>
    <row r="544">
      <c r="A544" s="716"/>
      <c r="B544" s="530"/>
      <c r="C544" s="530"/>
      <c r="D544" s="530"/>
      <c r="E544" s="530"/>
      <c r="F544" s="530"/>
      <c r="G544" s="530"/>
      <c r="H544" s="530"/>
      <c r="I544" s="530"/>
      <c r="J544" s="530"/>
      <c r="K544" s="530"/>
      <c r="L544" s="530"/>
      <c r="M544" s="530"/>
      <c r="N544" s="530"/>
      <c r="O544" s="530"/>
      <c r="P544" s="530"/>
      <c r="Q544" s="530"/>
      <c r="R544" s="530"/>
      <c r="S544" s="530"/>
      <c r="T544" s="530"/>
      <c r="U544" s="530"/>
      <c r="V544" s="530"/>
      <c r="W544" s="530"/>
      <c r="X544" s="733"/>
      <c r="Y544" s="716"/>
      <c r="Z544" s="716"/>
      <c r="AA544" s="716"/>
      <c r="AB544" s="716"/>
      <c r="AC544" s="716"/>
      <c r="AD544" s="716"/>
      <c r="AE544" s="716"/>
      <c r="AF544" s="716"/>
      <c r="AG544" s="716"/>
      <c r="AH544" s="716"/>
      <c r="AI544" s="716"/>
      <c r="AJ544" s="716"/>
      <c r="AK544" s="716"/>
      <c r="AL544" s="716"/>
      <c r="AM544" s="716"/>
      <c r="AN544" s="716"/>
      <c r="AO544" s="716"/>
      <c r="AP544" s="716"/>
      <c r="AQ544" s="716"/>
      <c r="AR544" s="716"/>
    </row>
    <row r="545">
      <c r="A545" s="716"/>
      <c r="B545" s="530"/>
      <c r="C545" s="530"/>
      <c r="D545" s="530"/>
      <c r="E545" s="530"/>
      <c r="F545" s="530"/>
      <c r="G545" s="530"/>
      <c r="H545" s="530"/>
      <c r="I545" s="530"/>
      <c r="J545" s="530"/>
      <c r="K545" s="530"/>
      <c r="L545" s="530"/>
      <c r="M545" s="530"/>
      <c r="N545" s="530"/>
      <c r="O545" s="530"/>
      <c r="P545" s="530"/>
      <c r="Q545" s="530"/>
      <c r="R545" s="530"/>
      <c r="S545" s="530"/>
      <c r="T545" s="530"/>
      <c r="U545" s="530"/>
      <c r="V545" s="530"/>
      <c r="W545" s="530"/>
      <c r="X545" s="733"/>
      <c r="Y545" s="716"/>
      <c r="Z545" s="716"/>
      <c r="AA545" s="716"/>
      <c r="AB545" s="716"/>
      <c r="AC545" s="716"/>
      <c r="AD545" s="716"/>
      <c r="AE545" s="716"/>
      <c r="AF545" s="716"/>
      <c r="AG545" s="716"/>
      <c r="AH545" s="716"/>
      <c r="AI545" s="716"/>
      <c r="AJ545" s="716"/>
      <c r="AK545" s="716"/>
      <c r="AL545" s="716"/>
      <c r="AM545" s="716"/>
      <c r="AN545" s="716"/>
      <c r="AO545" s="716"/>
      <c r="AP545" s="716"/>
      <c r="AQ545" s="716"/>
      <c r="AR545" s="716"/>
    </row>
    <row r="546">
      <c r="A546" s="716"/>
      <c r="B546" s="530"/>
      <c r="C546" s="530"/>
      <c r="D546" s="530"/>
      <c r="E546" s="530"/>
      <c r="F546" s="530"/>
      <c r="G546" s="530"/>
      <c r="H546" s="530"/>
      <c r="I546" s="530"/>
      <c r="J546" s="530"/>
      <c r="K546" s="530"/>
      <c r="L546" s="530"/>
      <c r="M546" s="530"/>
      <c r="N546" s="530"/>
      <c r="O546" s="530"/>
      <c r="P546" s="530"/>
      <c r="Q546" s="530"/>
      <c r="R546" s="530"/>
      <c r="S546" s="530"/>
      <c r="T546" s="530"/>
      <c r="U546" s="530"/>
      <c r="V546" s="530"/>
      <c r="W546" s="530"/>
      <c r="X546" s="733"/>
      <c r="Y546" s="716"/>
      <c r="Z546" s="716"/>
      <c r="AA546" s="716"/>
      <c r="AB546" s="716"/>
      <c r="AC546" s="716"/>
      <c r="AD546" s="716"/>
      <c r="AE546" s="716"/>
      <c r="AF546" s="716"/>
      <c r="AG546" s="716"/>
      <c r="AH546" s="716"/>
      <c r="AI546" s="716"/>
      <c r="AJ546" s="716"/>
      <c r="AK546" s="716"/>
      <c r="AL546" s="716"/>
      <c r="AM546" s="716"/>
      <c r="AN546" s="716"/>
      <c r="AO546" s="716"/>
      <c r="AP546" s="716"/>
      <c r="AQ546" s="716"/>
      <c r="AR546" s="716"/>
    </row>
    <row r="547">
      <c r="A547" s="716"/>
      <c r="B547" s="530"/>
      <c r="C547" s="530"/>
      <c r="D547" s="530"/>
      <c r="E547" s="530"/>
      <c r="F547" s="530"/>
      <c r="G547" s="530"/>
      <c r="H547" s="530"/>
      <c r="I547" s="530"/>
      <c r="J547" s="530"/>
      <c r="K547" s="530"/>
      <c r="L547" s="530"/>
      <c r="M547" s="530"/>
      <c r="N547" s="530"/>
      <c r="O547" s="530"/>
      <c r="P547" s="530"/>
      <c r="Q547" s="530"/>
      <c r="R547" s="530"/>
      <c r="S547" s="530"/>
      <c r="T547" s="530"/>
      <c r="U547" s="530"/>
      <c r="V547" s="530"/>
      <c r="W547" s="530"/>
      <c r="X547" s="733"/>
      <c r="Y547" s="716"/>
      <c r="Z547" s="716"/>
      <c r="AA547" s="716"/>
      <c r="AB547" s="716"/>
      <c r="AC547" s="716"/>
      <c r="AD547" s="716"/>
      <c r="AE547" s="716"/>
      <c r="AF547" s="716"/>
      <c r="AG547" s="716"/>
      <c r="AH547" s="716"/>
      <c r="AI547" s="716"/>
      <c r="AJ547" s="716"/>
      <c r="AK547" s="716"/>
      <c r="AL547" s="716"/>
      <c r="AM547" s="716"/>
      <c r="AN547" s="716"/>
      <c r="AO547" s="716"/>
      <c r="AP547" s="716"/>
      <c r="AQ547" s="716"/>
      <c r="AR547" s="716"/>
    </row>
    <row r="548">
      <c r="A548" s="716"/>
      <c r="B548" s="530"/>
      <c r="C548" s="530"/>
      <c r="D548" s="530"/>
      <c r="E548" s="530"/>
      <c r="F548" s="530"/>
      <c r="G548" s="530"/>
      <c r="H548" s="530"/>
      <c r="I548" s="530"/>
      <c r="J548" s="530"/>
      <c r="K548" s="530"/>
      <c r="L548" s="530"/>
      <c r="M548" s="530"/>
      <c r="N548" s="530"/>
      <c r="O548" s="530"/>
      <c r="P548" s="530"/>
      <c r="Q548" s="530"/>
      <c r="R548" s="530"/>
      <c r="S548" s="530"/>
      <c r="T548" s="530"/>
      <c r="U548" s="530"/>
      <c r="V548" s="530"/>
      <c r="W548" s="530"/>
      <c r="X548" s="733"/>
      <c r="Y548" s="716"/>
      <c r="Z548" s="716"/>
      <c r="AA548" s="716"/>
      <c r="AB548" s="716"/>
      <c r="AC548" s="716"/>
      <c r="AD548" s="716"/>
      <c r="AE548" s="716"/>
      <c r="AF548" s="716"/>
      <c r="AG548" s="716"/>
      <c r="AH548" s="716"/>
      <c r="AI548" s="716"/>
      <c r="AJ548" s="716"/>
      <c r="AK548" s="716"/>
      <c r="AL548" s="716"/>
      <c r="AM548" s="716"/>
      <c r="AN548" s="716"/>
      <c r="AO548" s="716"/>
      <c r="AP548" s="716"/>
      <c r="AQ548" s="716"/>
      <c r="AR548" s="716"/>
    </row>
    <row r="549">
      <c r="A549" s="716"/>
      <c r="B549" s="530"/>
      <c r="C549" s="530"/>
      <c r="D549" s="530"/>
      <c r="E549" s="530"/>
      <c r="F549" s="530"/>
      <c r="G549" s="530"/>
      <c r="H549" s="530"/>
      <c r="I549" s="530"/>
      <c r="J549" s="530"/>
      <c r="K549" s="530"/>
      <c r="L549" s="530"/>
      <c r="M549" s="530"/>
      <c r="N549" s="530"/>
      <c r="O549" s="530"/>
      <c r="P549" s="530"/>
      <c r="Q549" s="530"/>
      <c r="R549" s="530"/>
      <c r="S549" s="530"/>
      <c r="T549" s="530"/>
      <c r="U549" s="530"/>
      <c r="V549" s="530"/>
      <c r="W549" s="530"/>
      <c r="X549" s="733"/>
      <c r="Y549" s="716"/>
      <c r="Z549" s="716"/>
      <c r="AA549" s="716"/>
      <c r="AB549" s="716"/>
      <c r="AC549" s="716"/>
      <c r="AD549" s="716"/>
      <c r="AE549" s="716"/>
      <c r="AF549" s="716"/>
      <c r="AG549" s="716"/>
      <c r="AH549" s="716"/>
      <c r="AI549" s="716"/>
      <c r="AJ549" s="716"/>
      <c r="AK549" s="716"/>
      <c r="AL549" s="716"/>
      <c r="AM549" s="716"/>
      <c r="AN549" s="716"/>
      <c r="AO549" s="716"/>
      <c r="AP549" s="716"/>
      <c r="AQ549" s="716"/>
      <c r="AR549" s="716"/>
    </row>
    <row r="550">
      <c r="A550" s="716"/>
      <c r="B550" s="530"/>
      <c r="C550" s="530"/>
      <c r="D550" s="530"/>
      <c r="E550" s="530"/>
      <c r="F550" s="530"/>
      <c r="G550" s="530"/>
      <c r="H550" s="530"/>
      <c r="I550" s="530"/>
      <c r="J550" s="530"/>
      <c r="K550" s="530"/>
      <c r="L550" s="530"/>
      <c r="M550" s="530"/>
      <c r="N550" s="530"/>
      <c r="O550" s="530"/>
      <c r="P550" s="530"/>
      <c r="Q550" s="530"/>
      <c r="R550" s="530"/>
      <c r="S550" s="530"/>
      <c r="T550" s="530"/>
      <c r="U550" s="530"/>
      <c r="V550" s="530"/>
      <c r="W550" s="530"/>
      <c r="X550" s="733"/>
      <c r="Y550" s="716"/>
      <c r="Z550" s="716"/>
      <c r="AA550" s="716"/>
      <c r="AB550" s="716"/>
      <c r="AC550" s="716"/>
      <c r="AD550" s="716"/>
      <c r="AE550" s="716"/>
      <c r="AF550" s="716"/>
      <c r="AG550" s="716"/>
      <c r="AH550" s="716"/>
      <c r="AI550" s="716"/>
      <c r="AJ550" s="716"/>
      <c r="AK550" s="716"/>
      <c r="AL550" s="716"/>
      <c r="AM550" s="716"/>
      <c r="AN550" s="716"/>
      <c r="AO550" s="716"/>
      <c r="AP550" s="716"/>
      <c r="AQ550" s="716"/>
      <c r="AR550" s="716"/>
    </row>
    <row r="551">
      <c r="A551" s="716"/>
      <c r="B551" s="530"/>
      <c r="C551" s="530"/>
      <c r="D551" s="530"/>
      <c r="E551" s="530"/>
      <c r="F551" s="530"/>
      <c r="G551" s="530"/>
      <c r="H551" s="530"/>
      <c r="I551" s="530"/>
      <c r="J551" s="530"/>
      <c r="K551" s="530"/>
      <c r="L551" s="530"/>
      <c r="M551" s="530"/>
      <c r="N551" s="530"/>
      <c r="O551" s="530"/>
      <c r="P551" s="530"/>
      <c r="Q551" s="530"/>
      <c r="R551" s="530"/>
      <c r="S551" s="530"/>
      <c r="T551" s="530"/>
      <c r="U551" s="530"/>
      <c r="V551" s="530"/>
      <c r="W551" s="530"/>
      <c r="X551" s="733"/>
      <c r="Y551" s="716"/>
      <c r="Z551" s="716"/>
      <c r="AA551" s="716"/>
      <c r="AB551" s="716"/>
      <c r="AC551" s="716"/>
      <c r="AD551" s="716"/>
      <c r="AE551" s="716"/>
      <c r="AF551" s="716"/>
      <c r="AG551" s="716"/>
      <c r="AH551" s="716"/>
      <c r="AI551" s="716"/>
      <c r="AJ551" s="716"/>
      <c r="AK551" s="716"/>
      <c r="AL551" s="716"/>
      <c r="AM551" s="716"/>
      <c r="AN551" s="716"/>
      <c r="AO551" s="716"/>
      <c r="AP551" s="716"/>
      <c r="AQ551" s="716"/>
      <c r="AR551" s="716"/>
    </row>
    <row r="552">
      <c r="A552" s="716"/>
      <c r="B552" s="530"/>
      <c r="C552" s="530"/>
      <c r="D552" s="530"/>
      <c r="E552" s="530"/>
      <c r="F552" s="530"/>
      <c r="G552" s="530"/>
      <c r="H552" s="530"/>
      <c r="I552" s="530"/>
      <c r="J552" s="530"/>
      <c r="K552" s="530"/>
      <c r="L552" s="530"/>
      <c r="M552" s="530"/>
      <c r="N552" s="530"/>
      <c r="O552" s="530"/>
      <c r="P552" s="530"/>
      <c r="Q552" s="530"/>
      <c r="R552" s="530"/>
      <c r="S552" s="530"/>
      <c r="T552" s="530"/>
      <c r="U552" s="530"/>
      <c r="V552" s="530"/>
      <c r="W552" s="530"/>
      <c r="X552" s="733"/>
      <c r="Y552" s="716"/>
      <c r="Z552" s="716"/>
      <c r="AA552" s="716"/>
      <c r="AB552" s="716"/>
      <c r="AC552" s="716"/>
      <c r="AD552" s="716"/>
      <c r="AE552" s="716"/>
      <c r="AF552" s="716"/>
      <c r="AG552" s="716"/>
      <c r="AH552" s="716"/>
      <c r="AI552" s="716"/>
      <c r="AJ552" s="716"/>
      <c r="AK552" s="716"/>
      <c r="AL552" s="716"/>
      <c r="AM552" s="716"/>
      <c r="AN552" s="716"/>
      <c r="AO552" s="716"/>
      <c r="AP552" s="716"/>
      <c r="AQ552" s="716"/>
      <c r="AR552" s="716"/>
    </row>
    <row r="553">
      <c r="A553" s="716"/>
      <c r="B553" s="530"/>
      <c r="C553" s="530"/>
      <c r="D553" s="530"/>
      <c r="E553" s="530"/>
      <c r="F553" s="530"/>
      <c r="G553" s="530"/>
      <c r="H553" s="530"/>
      <c r="I553" s="530"/>
      <c r="J553" s="530"/>
      <c r="K553" s="530"/>
      <c r="L553" s="530"/>
      <c r="M553" s="530"/>
      <c r="N553" s="530"/>
      <c r="O553" s="530"/>
      <c r="P553" s="530"/>
      <c r="Q553" s="530"/>
      <c r="R553" s="530"/>
      <c r="S553" s="530"/>
      <c r="T553" s="530"/>
      <c r="U553" s="530"/>
      <c r="V553" s="530"/>
      <c r="W553" s="530"/>
      <c r="X553" s="733"/>
      <c r="Y553" s="716"/>
      <c r="Z553" s="716"/>
      <c r="AA553" s="716"/>
      <c r="AB553" s="716"/>
      <c r="AC553" s="716"/>
      <c r="AD553" s="716"/>
      <c r="AE553" s="716"/>
      <c r="AF553" s="716"/>
      <c r="AG553" s="716"/>
      <c r="AH553" s="716"/>
      <c r="AI553" s="716"/>
      <c r="AJ553" s="716"/>
      <c r="AK553" s="716"/>
      <c r="AL553" s="716"/>
      <c r="AM553" s="716"/>
      <c r="AN553" s="716"/>
      <c r="AO553" s="716"/>
      <c r="AP553" s="716"/>
      <c r="AQ553" s="716"/>
      <c r="AR553" s="716"/>
    </row>
    <row r="554">
      <c r="A554" s="716"/>
      <c r="B554" s="530"/>
      <c r="C554" s="530"/>
      <c r="D554" s="530"/>
      <c r="E554" s="530"/>
      <c r="F554" s="530"/>
      <c r="G554" s="530"/>
      <c r="H554" s="530"/>
      <c r="I554" s="530"/>
      <c r="J554" s="530"/>
      <c r="K554" s="530"/>
      <c r="L554" s="530"/>
      <c r="M554" s="530"/>
      <c r="N554" s="530"/>
      <c r="O554" s="530"/>
      <c r="P554" s="530"/>
      <c r="Q554" s="530"/>
      <c r="R554" s="530"/>
      <c r="S554" s="530"/>
      <c r="T554" s="530"/>
      <c r="U554" s="530"/>
      <c r="V554" s="530"/>
      <c r="W554" s="530"/>
      <c r="X554" s="733"/>
      <c r="Y554" s="716"/>
      <c r="Z554" s="716"/>
      <c r="AA554" s="716"/>
      <c r="AB554" s="716"/>
      <c r="AC554" s="716"/>
      <c r="AD554" s="716"/>
      <c r="AE554" s="716"/>
      <c r="AF554" s="716"/>
      <c r="AG554" s="716"/>
      <c r="AH554" s="716"/>
      <c r="AI554" s="716"/>
      <c r="AJ554" s="716"/>
      <c r="AK554" s="716"/>
      <c r="AL554" s="716"/>
      <c r="AM554" s="716"/>
      <c r="AN554" s="716"/>
      <c r="AO554" s="716"/>
      <c r="AP554" s="716"/>
      <c r="AQ554" s="716"/>
      <c r="AR554" s="716"/>
    </row>
    <row r="555">
      <c r="A555" s="716"/>
      <c r="B555" s="530"/>
      <c r="C555" s="530"/>
      <c r="D555" s="530"/>
      <c r="E555" s="530"/>
      <c r="F555" s="530"/>
      <c r="G555" s="530"/>
      <c r="H555" s="530"/>
      <c r="I555" s="530"/>
      <c r="J555" s="530"/>
      <c r="K555" s="530"/>
      <c r="L555" s="530"/>
      <c r="M555" s="530"/>
      <c r="N555" s="530"/>
      <c r="O555" s="530"/>
      <c r="P555" s="530"/>
      <c r="Q555" s="530"/>
      <c r="R555" s="530"/>
      <c r="S555" s="530"/>
      <c r="T555" s="530"/>
      <c r="U555" s="530"/>
      <c r="V555" s="530"/>
      <c r="W555" s="530"/>
      <c r="X555" s="733"/>
      <c r="Y555" s="716"/>
      <c r="Z555" s="716"/>
      <c r="AA555" s="716"/>
      <c r="AB555" s="716"/>
      <c r="AC555" s="716"/>
      <c r="AD555" s="716"/>
      <c r="AE555" s="716"/>
      <c r="AF555" s="716"/>
      <c r="AG555" s="716"/>
      <c r="AH555" s="716"/>
      <c r="AI555" s="716"/>
      <c r="AJ555" s="716"/>
      <c r="AK555" s="716"/>
      <c r="AL555" s="716"/>
      <c r="AM555" s="716"/>
      <c r="AN555" s="716"/>
      <c r="AO555" s="716"/>
      <c r="AP555" s="716"/>
      <c r="AQ555" s="716"/>
      <c r="AR555" s="716"/>
    </row>
    <row r="556">
      <c r="A556" s="716"/>
      <c r="B556" s="530"/>
      <c r="C556" s="530"/>
      <c r="D556" s="530"/>
      <c r="E556" s="530"/>
      <c r="F556" s="530"/>
      <c r="G556" s="530"/>
      <c r="H556" s="530"/>
      <c r="I556" s="530"/>
      <c r="J556" s="530"/>
      <c r="K556" s="530"/>
      <c r="L556" s="530"/>
      <c r="M556" s="530"/>
      <c r="N556" s="530"/>
      <c r="O556" s="530"/>
      <c r="P556" s="530"/>
      <c r="Q556" s="530"/>
      <c r="R556" s="530"/>
      <c r="S556" s="530"/>
      <c r="T556" s="530"/>
      <c r="U556" s="530"/>
      <c r="V556" s="530"/>
      <c r="W556" s="530"/>
      <c r="X556" s="733"/>
      <c r="Y556" s="716"/>
      <c r="Z556" s="716"/>
      <c r="AA556" s="716"/>
      <c r="AB556" s="716"/>
      <c r="AC556" s="716"/>
      <c r="AD556" s="716"/>
      <c r="AE556" s="716"/>
      <c r="AF556" s="716"/>
      <c r="AG556" s="716"/>
      <c r="AH556" s="716"/>
      <c r="AI556" s="716"/>
      <c r="AJ556" s="716"/>
      <c r="AK556" s="716"/>
      <c r="AL556" s="716"/>
      <c r="AM556" s="716"/>
      <c r="AN556" s="716"/>
      <c r="AO556" s="716"/>
      <c r="AP556" s="716"/>
      <c r="AQ556" s="716"/>
      <c r="AR556" s="716"/>
    </row>
    <row r="557">
      <c r="A557" s="716"/>
      <c r="B557" s="530"/>
      <c r="C557" s="530"/>
      <c r="D557" s="530"/>
      <c r="E557" s="530"/>
      <c r="F557" s="530"/>
      <c r="G557" s="530"/>
      <c r="H557" s="530"/>
      <c r="I557" s="530"/>
      <c r="J557" s="530"/>
      <c r="K557" s="530"/>
      <c r="L557" s="530"/>
      <c r="M557" s="530"/>
      <c r="N557" s="530"/>
      <c r="O557" s="530"/>
      <c r="P557" s="530"/>
      <c r="Q557" s="530"/>
      <c r="R557" s="530"/>
      <c r="S557" s="530"/>
      <c r="T557" s="530"/>
      <c r="U557" s="530"/>
      <c r="V557" s="530"/>
      <c r="W557" s="530"/>
      <c r="X557" s="733"/>
      <c r="Y557" s="716"/>
      <c r="Z557" s="716"/>
      <c r="AA557" s="716"/>
      <c r="AB557" s="716"/>
      <c r="AC557" s="716"/>
      <c r="AD557" s="716"/>
      <c r="AE557" s="716"/>
      <c r="AF557" s="716"/>
      <c r="AG557" s="716"/>
      <c r="AH557" s="716"/>
      <c r="AI557" s="716"/>
      <c r="AJ557" s="716"/>
      <c r="AK557" s="716"/>
      <c r="AL557" s="716"/>
      <c r="AM557" s="716"/>
      <c r="AN557" s="716"/>
      <c r="AO557" s="716"/>
      <c r="AP557" s="716"/>
      <c r="AQ557" s="716"/>
      <c r="AR557" s="716"/>
    </row>
    <row r="558">
      <c r="A558" s="716"/>
      <c r="B558" s="530"/>
      <c r="C558" s="530"/>
      <c r="D558" s="530"/>
      <c r="E558" s="530"/>
      <c r="F558" s="530"/>
      <c r="G558" s="530"/>
      <c r="H558" s="530"/>
      <c r="I558" s="530"/>
      <c r="J558" s="530"/>
      <c r="K558" s="530"/>
      <c r="L558" s="530"/>
      <c r="M558" s="530"/>
      <c r="N558" s="530"/>
      <c r="O558" s="530"/>
      <c r="P558" s="530"/>
      <c r="Q558" s="530"/>
      <c r="R558" s="530"/>
      <c r="S558" s="530"/>
      <c r="T558" s="530"/>
      <c r="U558" s="530"/>
      <c r="V558" s="530"/>
      <c r="W558" s="530"/>
      <c r="X558" s="733"/>
      <c r="Y558" s="716"/>
      <c r="Z558" s="716"/>
      <c r="AA558" s="716"/>
      <c r="AB558" s="716"/>
      <c r="AC558" s="716"/>
      <c r="AD558" s="716"/>
      <c r="AE558" s="716"/>
      <c r="AF558" s="716"/>
      <c r="AG558" s="716"/>
      <c r="AH558" s="716"/>
      <c r="AI558" s="716"/>
      <c r="AJ558" s="716"/>
      <c r="AK558" s="716"/>
      <c r="AL558" s="716"/>
      <c r="AM558" s="716"/>
      <c r="AN558" s="716"/>
      <c r="AO558" s="716"/>
      <c r="AP558" s="716"/>
      <c r="AQ558" s="716"/>
      <c r="AR558" s="716"/>
    </row>
    <row r="559">
      <c r="A559" s="716"/>
      <c r="B559" s="530"/>
      <c r="C559" s="530"/>
      <c r="D559" s="530"/>
      <c r="E559" s="530"/>
      <c r="F559" s="530"/>
      <c r="G559" s="530"/>
      <c r="H559" s="530"/>
      <c r="I559" s="530"/>
      <c r="J559" s="530"/>
      <c r="K559" s="530"/>
      <c r="L559" s="530"/>
      <c r="M559" s="530"/>
      <c r="N559" s="530"/>
      <c r="O559" s="530"/>
      <c r="P559" s="530"/>
      <c r="Q559" s="530"/>
      <c r="R559" s="530"/>
      <c r="S559" s="530"/>
      <c r="T559" s="530"/>
      <c r="U559" s="530"/>
      <c r="V559" s="530"/>
      <c r="W559" s="530"/>
      <c r="X559" s="733"/>
      <c r="Y559" s="716"/>
      <c r="Z559" s="716"/>
      <c r="AA559" s="716"/>
      <c r="AB559" s="716"/>
      <c r="AC559" s="716"/>
      <c r="AD559" s="716"/>
      <c r="AE559" s="716"/>
      <c r="AF559" s="716"/>
      <c r="AG559" s="716"/>
      <c r="AH559" s="716"/>
      <c r="AI559" s="716"/>
      <c r="AJ559" s="716"/>
      <c r="AK559" s="716"/>
      <c r="AL559" s="716"/>
      <c r="AM559" s="716"/>
      <c r="AN559" s="716"/>
      <c r="AO559" s="716"/>
      <c r="AP559" s="716"/>
      <c r="AQ559" s="716"/>
      <c r="AR559" s="716"/>
    </row>
    <row r="560">
      <c r="A560" s="716"/>
      <c r="B560" s="530"/>
      <c r="C560" s="530"/>
      <c r="D560" s="530"/>
      <c r="E560" s="530"/>
      <c r="F560" s="530"/>
      <c r="G560" s="530"/>
      <c r="H560" s="530"/>
      <c r="I560" s="530"/>
      <c r="J560" s="530"/>
      <c r="K560" s="530"/>
      <c r="L560" s="530"/>
      <c r="M560" s="530"/>
      <c r="N560" s="530"/>
      <c r="O560" s="530"/>
      <c r="P560" s="530"/>
      <c r="Q560" s="530"/>
      <c r="R560" s="530"/>
      <c r="S560" s="530"/>
      <c r="T560" s="530"/>
      <c r="U560" s="530"/>
      <c r="V560" s="530"/>
      <c r="W560" s="530"/>
      <c r="X560" s="733"/>
      <c r="Y560" s="716"/>
      <c r="Z560" s="716"/>
      <c r="AA560" s="716"/>
      <c r="AB560" s="716"/>
      <c r="AC560" s="716"/>
      <c r="AD560" s="716"/>
      <c r="AE560" s="716"/>
      <c r="AF560" s="716"/>
      <c r="AG560" s="716"/>
      <c r="AH560" s="716"/>
      <c r="AI560" s="716"/>
      <c r="AJ560" s="716"/>
      <c r="AK560" s="716"/>
      <c r="AL560" s="716"/>
      <c r="AM560" s="716"/>
      <c r="AN560" s="716"/>
      <c r="AO560" s="716"/>
      <c r="AP560" s="716"/>
      <c r="AQ560" s="716"/>
      <c r="AR560" s="716"/>
    </row>
    <row r="561">
      <c r="A561" s="716"/>
      <c r="B561" s="530"/>
      <c r="C561" s="530"/>
      <c r="D561" s="530"/>
      <c r="E561" s="530"/>
      <c r="F561" s="530"/>
      <c r="G561" s="530"/>
      <c r="H561" s="530"/>
      <c r="I561" s="530"/>
      <c r="J561" s="530"/>
      <c r="K561" s="530"/>
      <c r="L561" s="530"/>
      <c r="M561" s="530"/>
      <c r="N561" s="530"/>
      <c r="O561" s="530"/>
      <c r="P561" s="530"/>
      <c r="Q561" s="530"/>
      <c r="R561" s="530"/>
      <c r="S561" s="530"/>
      <c r="T561" s="530"/>
      <c r="U561" s="530"/>
      <c r="V561" s="530"/>
      <c r="W561" s="530"/>
      <c r="X561" s="733"/>
      <c r="Y561" s="716"/>
      <c r="Z561" s="716"/>
      <c r="AA561" s="716"/>
      <c r="AB561" s="716"/>
      <c r="AC561" s="716"/>
      <c r="AD561" s="716"/>
      <c r="AE561" s="716"/>
      <c r="AF561" s="716"/>
      <c r="AG561" s="716"/>
      <c r="AH561" s="716"/>
      <c r="AI561" s="716"/>
      <c r="AJ561" s="716"/>
      <c r="AK561" s="716"/>
      <c r="AL561" s="716"/>
      <c r="AM561" s="716"/>
      <c r="AN561" s="716"/>
      <c r="AO561" s="716"/>
      <c r="AP561" s="716"/>
      <c r="AQ561" s="716"/>
      <c r="AR561" s="716"/>
    </row>
    <row r="562">
      <c r="A562" s="716"/>
      <c r="B562" s="530"/>
      <c r="C562" s="530"/>
      <c r="D562" s="530"/>
      <c r="E562" s="530"/>
      <c r="F562" s="530"/>
      <c r="G562" s="530"/>
      <c r="H562" s="530"/>
      <c r="I562" s="530"/>
      <c r="J562" s="530"/>
      <c r="K562" s="530"/>
      <c r="L562" s="530"/>
      <c r="M562" s="530"/>
      <c r="N562" s="530"/>
      <c r="O562" s="530"/>
      <c r="P562" s="530"/>
      <c r="Q562" s="530"/>
      <c r="R562" s="530"/>
      <c r="S562" s="530"/>
      <c r="T562" s="530"/>
      <c r="U562" s="530"/>
      <c r="V562" s="530"/>
      <c r="W562" s="530"/>
      <c r="X562" s="733"/>
      <c r="Y562" s="716"/>
      <c r="Z562" s="716"/>
      <c r="AA562" s="716"/>
      <c r="AB562" s="716"/>
      <c r="AC562" s="716"/>
      <c r="AD562" s="716"/>
      <c r="AE562" s="716"/>
      <c r="AF562" s="716"/>
      <c r="AG562" s="716"/>
      <c r="AH562" s="716"/>
      <c r="AI562" s="716"/>
      <c r="AJ562" s="716"/>
      <c r="AK562" s="716"/>
      <c r="AL562" s="716"/>
      <c r="AM562" s="716"/>
      <c r="AN562" s="716"/>
      <c r="AO562" s="716"/>
      <c r="AP562" s="716"/>
      <c r="AQ562" s="716"/>
      <c r="AR562" s="716"/>
    </row>
    <row r="563">
      <c r="A563" s="716"/>
      <c r="B563" s="530"/>
      <c r="C563" s="530"/>
      <c r="D563" s="530"/>
      <c r="E563" s="530"/>
      <c r="F563" s="530"/>
      <c r="G563" s="530"/>
      <c r="H563" s="530"/>
      <c r="I563" s="530"/>
      <c r="J563" s="530"/>
      <c r="K563" s="530"/>
      <c r="L563" s="530"/>
      <c r="M563" s="530"/>
      <c r="N563" s="530"/>
      <c r="O563" s="530"/>
      <c r="P563" s="530"/>
      <c r="Q563" s="530"/>
      <c r="R563" s="530"/>
      <c r="S563" s="530"/>
      <c r="T563" s="530"/>
      <c r="U563" s="530"/>
      <c r="V563" s="530"/>
      <c r="W563" s="530"/>
      <c r="X563" s="733"/>
      <c r="Y563" s="716"/>
      <c r="Z563" s="716"/>
      <c r="AA563" s="716"/>
      <c r="AB563" s="716"/>
      <c r="AC563" s="716"/>
      <c r="AD563" s="716"/>
      <c r="AE563" s="716"/>
      <c r="AF563" s="716"/>
      <c r="AG563" s="716"/>
      <c r="AH563" s="716"/>
      <c r="AI563" s="716"/>
      <c r="AJ563" s="716"/>
      <c r="AK563" s="716"/>
      <c r="AL563" s="716"/>
      <c r="AM563" s="716"/>
      <c r="AN563" s="716"/>
      <c r="AO563" s="716"/>
      <c r="AP563" s="716"/>
      <c r="AQ563" s="716"/>
      <c r="AR563" s="716"/>
    </row>
    <row r="564">
      <c r="A564" s="716"/>
      <c r="B564" s="530"/>
      <c r="C564" s="530"/>
      <c r="D564" s="530"/>
      <c r="E564" s="530"/>
      <c r="F564" s="530"/>
      <c r="G564" s="530"/>
      <c r="H564" s="530"/>
      <c r="I564" s="530"/>
      <c r="J564" s="530"/>
      <c r="K564" s="530"/>
      <c r="L564" s="530"/>
      <c r="M564" s="530"/>
      <c r="N564" s="530"/>
      <c r="O564" s="530"/>
      <c r="P564" s="530"/>
      <c r="Q564" s="530"/>
      <c r="R564" s="530"/>
      <c r="S564" s="530"/>
      <c r="T564" s="530"/>
      <c r="U564" s="530"/>
      <c r="V564" s="530"/>
      <c r="W564" s="530"/>
      <c r="X564" s="733"/>
      <c r="Y564" s="716"/>
      <c r="Z564" s="716"/>
      <c r="AA564" s="716"/>
      <c r="AB564" s="716"/>
      <c r="AC564" s="716"/>
      <c r="AD564" s="716"/>
      <c r="AE564" s="716"/>
      <c r="AF564" s="716"/>
      <c r="AG564" s="716"/>
      <c r="AH564" s="716"/>
      <c r="AI564" s="716"/>
      <c r="AJ564" s="716"/>
      <c r="AK564" s="716"/>
      <c r="AL564" s="716"/>
      <c r="AM564" s="716"/>
      <c r="AN564" s="716"/>
      <c r="AO564" s="716"/>
      <c r="AP564" s="716"/>
      <c r="AQ564" s="716"/>
      <c r="AR564" s="716"/>
    </row>
    <row r="565">
      <c r="A565" s="716"/>
      <c r="B565" s="530"/>
      <c r="C565" s="530"/>
      <c r="D565" s="530"/>
      <c r="E565" s="530"/>
      <c r="F565" s="530"/>
      <c r="G565" s="530"/>
      <c r="H565" s="530"/>
      <c r="I565" s="530"/>
      <c r="J565" s="530"/>
      <c r="K565" s="530"/>
      <c r="L565" s="530"/>
      <c r="M565" s="530"/>
      <c r="N565" s="530"/>
      <c r="O565" s="530"/>
      <c r="P565" s="530"/>
      <c r="Q565" s="530"/>
      <c r="R565" s="530"/>
      <c r="S565" s="530"/>
      <c r="T565" s="530"/>
      <c r="U565" s="530"/>
      <c r="V565" s="530"/>
      <c r="W565" s="530"/>
      <c r="X565" s="733"/>
      <c r="Y565" s="716"/>
      <c r="Z565" s="716"/>
      <c r="AA565" s="716"/>
      <c r="AB565" s="716"/>
      <c r="AC565" s="716"/>
      <c r="AD565" s="716"/>
      <c r="AE565" s="716"/>
      <c r="AF565" s="716"/>
      <c r="AG565" s="716"/>
      <c r="AH565" s="716"/>
      <c r="AI565" s="716"/>
      <c r="AJ565" s="716"/>
      <c r="AK565" s="716"/>
      <c r="AL565" s="716"/>
      <c r="AM565" s="716"/>
      <c r="AN565" s="716"/>
      <c r="AO565" s="716"/>
      <c r="AP565" s="716"/>
      <c r="AQ565" s="716"/>
      <c r="AR565" s="716"/>
    </row>
    <row r="566">
      <c r="A566" s="716"/>
      <c r="B566" s="530"/>
      <c r="C566" s="530"/>
      <c r="D566" s="530"/>
      <c r="E566" s="530"/>
      <c r="F566" s="530"/>
      <c r="G566" s="530"/>
      <c r="H566" s="530"/>
      <c r="I566" s="530"/>
      <c r="J566" s="530"/>
      <c r="K566" s="530"/>
      <c r="L566" s="530"/>
      <c r="M566" s="530"/>
      <c r="N566" s="530"/>
      <c r="O566" s="530"/>
      <c r="P566" s="530"/>
      <c r="Q566" s="530"/>
      <c r="R566" s="530"/>
      <c r="S566" s="530"/>
      <c r="T566" s="530"/>
      <c r="U566" s="530"/>
      <c r="V566" s="530"/>
      <c r="W566" s="530"/>
      <c r="X566" s="733"/>
      <c r="Y566" s="716"/>
      <c r="Z566" s="716"/>
      <c r="AA566" s="716"/>
      <c r="AB566" s="716"/>
      <c r="AC566" s="716"/>
      <c r="AD566" s="716"/>
      <c r="AE566" s="716"/>
      <c r="AF566" s="716"/>
      <c r="AG566" s="716"/>
      <c r="AH566" s="716"/>
      <c r="AI566" s="716"/>
      <c r="AJ566" s="716"/>
      <c r="AK566" s="716"/>
      <c r="AL566" s="716"/>
      <c r="AM566" s="716"/>
      <c r="AN566" s="716"/>
      <c r="AO566" s="716"/>
      <c r="AP566" s="716"/>
      <c r="AQ566" s="716"/>
      <c r="AR566" s="716"/>
    </row>
    <row r="567">
      <c r="A567" s="716"/>
      <c r="B567" s="530"/>
      <c r="C567" s="530"/>
      <c r="D567" s="530"/>
      <c r="E567" s="530"/>
      <c r="F567" s="530"/>
      <c r="G567" s="530"/>
      <c r="H567" s="530"/>
      <c r="I567" s="530"/>
      <c r="J567" s="530"/>
      <c r="K567" s="530"/>
      <c r="L567" s="530"/>
      <c r="M567" s="530"/>
      <c r="N567" s="530"/>
      <c r="O567" s="530"/>
      <c r="P567" s="530"/>
      <c r="Q567" s="530"/>
      <c r="R567" s="530"/>
      <c r="S567" s="530"/>
      <c r="T567" s="530"/>
      <c r="U567" s="530"/>
      <c r="V567" s="530"/>
      <c r="W567" s="530"/>
      <c r="X567" s="733"/>
      <c r="Y567" s="716"/>
      <c r="Z567" s="716"/>
      <c r="AA567" s="716"/>
      <c r="AB567" s="716"/>
      <c r="AC567" s="716"/>
      <c r="AD567" s="716"/>
      <c r="AE567" s="716"/>
      <c r="AF567" s="716"/>
      <c r="AG567" s="716"/>
      <c r="AH567" s="716"/>
      <c r="AI567" s="716"/>
      <c r="AJ567" s="716"/>
      <c r="AK567" s="716"/>
      <c r="AL567" s="716"/>
      <c r="AM567" s="716"/>
      <c r="AN567" s="716"/>
      <c r="AO567" s="716"/>
      <c r="AP567" s="716"/>
      <c r="AQ567" s="716"/>
      <c r="AR567" s="716"/>
    </row>
    <row r="568">
      <c r="A568" s="716"/>
      <c r="B568" s="530"/>
      <c r="C568" s="530"/>
      <c r="D568" s="530"/>
      <c r="E568" s="530"/>
      <c r="F568" s="530"/>
      <c r="G568" s="530"/>
      <c r="H568" s="530"/>
      <c r="I568" s="530"/>
      <c r="J568" s="530"/>
      <c r="K568" s="530"/>
      <c r="L568" s="530"/>
      <c r="M568" s="530"/>
      <c r="N568" s="530"/>
      <c r="O568" s="530"/>
      <c r="P568" s="530"/>
      <c r="Q568" s="530"/>
      <c r="R568" s="530"/>
      <c r="S568" s="530"/>
      <c r="T568" s="530"/>
      <c r="U568" s="530"/>
      <c r="V568" s="530"/>
      <c r="W568" s="530"/>
      <c r="X568" s="733"/>
      <c r="Y568" s="716"/>
      <c r="Z568" s="716"/>
      <c r="AA568" s="716"/>
      <c r="AB568" s="716"/>
      <c r="AC568" s="716"/>
      <c r="AD568" s="716"/>
      <c r="AE568" s="716"/>
      <c r="AF568" s="716"/>
      <c r="AG568" s="716"/>
      <c r="AH568" s="716"/>
      <c r="AI568" s="716"/>
      <c r="AJ568" s="716"/>
      <c r="AK568" s="716"/>
      <c r="AL568" s="716"/>
      <c r="AM568" s="716"/>
      <c r="AN568" s="716"/>
      <c r="AO568" s="716"/>
      <c r="AP568" s="716"/>
      <c r="AQ568" s="716"/>
      <c r="AR568" s="716"/>
    </row>
    <row r="569">
      <c r="A569" s="716"/>
      <c r="B569" s="530"/>
      <c r="C569" s="530"/>
      <c r="D569" s="530"/>
      <c r="E569" s="530"/>
      <c r="F569" s="530"/>
      <c r="G569" s="530"/>
      <c r="H569" s="530"/>
      <c r="I569" s="530"/>
      <c r="J569" s="530"/>
      <c r="K569" s="530"/>
      <c r="L569" s="530"/>
      <c r="M569" s="530"/>
      <c r="N569" s="530"/>
      <c r="O569" s="530"/>
      <c r="P569" s="530"/>
      <c r="Q569" s="530"/>
      <c r="R569" s="530"/>
      <c r="S569" s="530"/>
      <c r="T569" s="530"/>
      <c r="U569" s="530"/>
      <c r="V569" s="530"/>
      <c r="W569" s="530"/>
      <c r="X569" s="733"/>
      <c r="Y569" s="716"/>
      <c r="Z569" s="716"/>
      <c r="AA569" s="716"/>
      <c r="AB569" s="716"/>
      <c r="AC569" s="716"/>
      <c r="AD569" s="716"/>
      <c r="AE569" s="716"/>
      <c r="AF569" s="716"/>
      <c r="AG569" s="716"/>
      <c r="AH569" s="716"/>
      <c r="AI569" s="716"/>
      <c r="AJ569" s="716"/>
      <c r="AK569" s="716"/>
      <c r="AL569" s="716"/>
      <c r="AM569" s="716"/>
      <c r="AN569" s="716"/>
      <c r="AO569" s="716"/>
      <c r="AP569" s="716"/>
      <c r="AQ569" s="716"/>
      <c r="AR569" s="716"/>
    </row>
    <row r="570">
      <c r="A570" s="716"/>
      <c r="B570" s="530"/>
      <c r="C570" s="530"/>
      <c r="D570" s="530"/>
      <c r="E570" s="530"/>
      <c r="F570" s="530"/>
      <c r="G570" s="530"/>
      <c r="H570" s="530"/>
      <c r="I570" s="530"/>
      <c r="J570" s="530"/>
      <c r="K570" s="530"/>
      <c r="L570" s="530"/>
      <c r="M570" s="530"/>
      <c r="N570" s="530"/>
      <c r="O570" s="530"/>
      <c r="P570" s="530"/>
      <c r="Q570" s="530"/>
      <c r="R570" s="530"/>
      <c r="S570" s="530"/>
      <c r="T570" s="530"/>
      <c r="U570" s="530"/>
      <c r="V570" s="530"/>
      <c r="W570" s="530"/>
      <c r="X570" s="733"/>
      <c r="Y570" s="716"/>
      <c r="Z570" s="716"/>
      <c r="AA570" s="716"/>
      <c r="AB570" s="716"/>
      <c r="AC570" s="716"/>
      <c r="AD570" s="716"/>
      <c r="AE570" s="716"/>
      <c r="AF570" s="716"/>
      <c r="AG570" s="716"/>
      <c r="AH570" s="716"/>
      <c r="AI570" s="716"/>
      <c r="AJ570" s="716"/>
      <c r="AK570" s="716"/>
      <c r="AL570" s="716"/>
      <c r="AM570" s="716"/>
      <c r="AN570" s="716"/>
      <c r="AO570" s="716"/>
      <c r="AP570" s="716"/>
      <c r="AQ570" s="716"/>
      <c r="AR570" s="716"/>
    </row>
    <row r="571">
      <c r="A571" s="716"/>
      <c r="B571" s="530"/>
      <c r="C571" s="530"/>
      <c r="D571" s="530"/>
      <c r="E571" s="530"/>
      <c r="F571" s="530"/>
      <c r="G571" s="530"/>
      <c r="H571" s="530"/>
      <c r="I571" s="530"/>
      <c r="J571" s="530"/>
      <c r="K571" s="530"/>
      <c r="L571" s="530"/>
      <c r="M571" s="530"/>
      <c r="N571" s="530"/>
      <c r="O571" s="530"/>
      <c r="P571" s="530"/>
      <c r="Q571" s="530"/>
      <c r="R571" s="530"/>
      <c r="S571" s="530"/>
      <c r="T571" s="530"/>
      <c r="U571" s="530"/>
      <c r="V571" s="530"/>
      <c r="W571" s="530"/>
      <c r="X571" s="733"/>
      <c r="Y571" s="716"/>
      <c r="Z571" s="716"/>
      <c r="AA571" s="716"/>
      <c r="AB571" s="716"/>
      <c r="AC571" s="716"/>
      <c r="AD571" s="716"/>
      <c r="AE571" s="716"/>
      <c r="AF571" s="716"/>
      <c r="AG571" s="716"/>
      <c r="AH571" s="716"/>
      <c r="AI571" s="716"/>
      <c r="AJ571" s="716"/>
      <c r="AK571" s="716"/>
      <c r="AL571" s="716"/>
      <c r="AM571" s="716"/>
      <c r="AN571" s="716"/>
      <c r="AO571" s="716"/>
      <c r="AP571" s="716"/>
      <c r="AQ571" s="716"/>
      <c r="AR571" s="716"/>
    </row>
    <row r="572">
      <c r="A572" s="716"/>
      <c r="B572" s="530"/>
      <c r="C572" s="530"/>
      <c r="D572" s="530"/>
      <c r="E572" s="530"/>
      <c r="F572" s="530"/>
      <c r="G572" s="530"/>
      <c r="H572" s="530"/>
      <c r="I572" s="530"/>
      <c r="J572" s="530"/>
      <c r="K572" s="530"/>
      <c r="L572" s="530"/>
      <c r="M572" s="530"/>
      <c r="N572" s="530"/>
      <c r="O572" s="530"/>
      <c r="P572" s="530"/>
      <c r="Q572" s="530"/>
      <c r="R572" s="530"/>
      <c r="S572" s="530"/>
      <c r="T572" s="530"/>
      <c r="U572" s="530"/>
      <c r="V572" s="530"/>
      <c r="W572" s="530"/>
      <c r="X572" s="733"/>
      <c r="Y572" s="716"/>
      <c r="Z572" s="716"/>
      <c r="AA572" s="716"/>
      <c r="AB572" s="716"/>
      <c r="AC572" s="716"/>
      <c r="AD572" s="716"/>
      <c r="AE572" s="716"/>
      <c r="AF572" s="716"/>
      <c r="AG572" s="716"/>
      <c r="AH572" s="716"/>
      <c r="AI572" s="716"/>
      <c r="AJ572" s="716"/>
      <c r="AK572" s="716"/>
      <c r="AL572" s="716"/>
      <c r="AM572" s="716"/>
      <c r="AN572" s="716"/>
      <c r="AO572" s="716"/>
      <c r="AP572" s="716"/>
      <c r="AQ572" s="716"/>
      <c r="AR572" s="716"/>
    </row>
    <row r="573">
      <c r="A573" s="716"/>
      <c r="B573" s="530"/>
      <c r="C573" s="530"/>
      <c r="D573" s="530"/>
      <c r="E573" s="530"/>
      <c r="F573" s="530"/>
      <c r="G573" s="530"/>
      <c r="H573" s="530"/>
      <c r="I573" s="530"/>
      <c r="J573" s="530"/>
      <c r="K573" s="530"/>
      <c r="L573" s="530"/>
      <c r="M573" s="530"/>
      <c r="N573" s="530"/>
      <c r="O573" s="530"/>
      <c r="P573" s="530"/>
      <c r="Q573" s="530"/>
      <c r="R573" s="530"/>
      <c r="S573" s="530"/>
      <c r="T573" s="530"/>
      <c r="U573" s="530"/>
      <c r="V573" s="530"/>
      <c r="W573" s="530"/>
      <c r="X573" s="733"/>
      <c r="Y573" s="716"/>
      <c r="Z573" s="716"/>
      <c r="AA573" s="716"/>
      <c r="AB573" s="716"/>
      <c r="AC573" s="716"/>
      <c r="AD573" s="716"/>
      <c r="AE573" s="716"/>
      <c r="AF573" s="716"/>
      <c r="AG573" s="716"/>
      <c r="AH573" s="716"/>
      <c r="AI573" s="716"/>
      <c r="AJ573" s="716"/>
      <c r="AK573" s="716"/>
      <c r="AL573" s="716"/>
      <c r="AM573" s="716"/>
      <c r="AN573" s="716"/>
      <c r="AO573" s="716"/>
      <c r="AP573" s="716"/>
      <c r="AQ573" s="716"/>
      <c r="AR573" s="716"/>
    </row>
    <row r="574">
      <c r="A574" s="716"/>
      <c r="B574" s="530"/>
      <c r="C574" s="530"/>
      <c r="D574" s="530"/>
      <c r="E574" s="530"/>
      <c r="F574" s="530"/>
      <c r="G574" s="530"/>
      <c r="H574" s="530"/>
      <c r="I574" s="530"/>
      <c r="J574" s="530"/>
      <c r="K574" s="530"/>
      <c r="L574" s="530"/>
      <c r="M574" s="530"/>
      <c r="N574" s="530"/>
      <c r="O574" s="530"/>
      <c r="P574" s="530"/>
      <c r="Q574" s="530"/>
      <c r="R574" s="530"/>
      <c r="S574" s="530"/>
      <c r="T574" s="530"/>
      <c r="U574" s="530"/>
      <c r="V574" s="530"/>
      <c r="W574" s="530"/>
      <c r="X574" s="733"/>
      <c r="Y574" s="716"/>
      <c r="Z574" s="716"/>
      <c r="AA574" s="716"/>
      <c r="AB574" s="716"/>
      <c r="AC574" s="716"/>
      <c r="AD574" s="716"/>
      <c r="AE574" s="716"/>
      <c r="AF574" s="716"/>
      <c r="AG574" s="716"/>
      <c r="AH574" s="716"/>
      <c r="AI574" s="716"/>
      <c r="AJ574" s="716"/>
      <c r="AK574" s="716"/>
      <c r="AL574" s="716"/>
      <c r="AM574" s="716"/>
      <c r="AN574" s="716"/>
      <c r="AO574" s="716"/>
      <c r="AP574" s="716"/>
      <c r="AQ574" s="716"/>
      <c r="AR574" s="716"/>
    </row>
    <row r="575">
      <c r="A575" s="716"/>
      <c r="B575" s="530"/>
      <c r="C575" s="530"/>
      <c r="D575" s="530"/>
      <c r="E575" s="530"/>
      <c r="F575" s="530"/>
      <c r="G575" s="530"/>
      <c r="H575" s="530"/>
      <c r="I575" s="530"/>
      <c r="J575" s="530"/>
      <c r="K575" s="530"/>
      <c r="L575" s="530"/>
      <c r="M575" s="530"/>
      <c r="N575" s="530"/>
      <c r="O575" s="530"/>
      <c r="P575" s="530"/>
      <c r="Q575" s="530"/>
      <c r="R575" s="530"/>
      <c r="S575" s="530"/>
      <c r="T575" s="530"/>
      <c r="U575" s="530"/>
      <c r="V575" s="530"/>
      <c r="W575" s="530"/>
      <c r="X575" s="733"/>
      <c r="Y575" s="716"/>
      <c r="Z575" s="716"/>
      <c r="AA575" s="716"/>
      <c r="AB575" s="716"/>
      <c r="AC575" s="716"/>
      <c r="AD575" s="716"/>
      <c r="AE575" s="716"/>
      <c r="AF575" s="716"/>
      <c r="AG575" s="716"/>
      <c r="AH575" s="716"/>
      <c r="AI575" s="716"/>
      <c r="AJ575" s="716"/>
      <c r="AK575" s="716"/>
      <c r="AL575" s="716"/>
      <c r="AM575" s="716"/>
      <c r="AN575" s="716"/>
      <c r="AO575" s="716"/>
      <c r="AP575" s="716"/>
      <c r="AQ575" s="716"/>
      <c r="AR575" s="716"/>
    </row>
    <row r="576">
      <c r="A576" s="716"/>
      <c r="B576" s="530"/>
      <c r="C576" s="530"/>
      <c r="D576" s="530"/>
      <c r="E576" s="530"/>
      <c r="F576" s="530"/>
      <c r="G576" s="530"/>
      <c r="H576" s="530"/>
      <c r="I576" s="530"/>
      <c r="J576" s="530"/>
      <c r="K576" s="530"/>
      <c r="L576" s="530"/>
      <c r="M576" s="530"/>
      <c r="N576" s="530"/>
      <c r="O576" s="530"/>
      <c r="P576" s="530"/>
      <c r="Q576" s="530"/>
      <c r="R576" s="530"/>
      <c r="S576" s="530"/>
      <c r="T576" s="530"/>
      <c r="U576" s="530"/>
      <c r="V576" s="530"/>
      <c r="W576" s="530"/>
      <c r="X576" s="733"/>
      <c r="Y576" s="716"/>
      <c r="Z576" s="716"/>
      <c r="AA576" s="716"/>
      <c r="AB576" s="716"/>
      <c r="AC576" s="716"/>
      <c r="AD576" s="716"/>
      <c r="AE576" s="716"/>
      <c r="AF576" s="716"/>
      <c r="AG576" s="716"/>
      <c r="AH576" s="716"/>
      <c r="AI576" s="716"/>
      <c r="AJ576" s="716"/>
      <c r="AK576" s="716"/>
      <c r="AL576" s="716"/>
      <c r="AM576" s="716"/>
      <c r="AN576" s="716"/>
      <c r="AO576" s="716"/>
      <c r="AP576" s="716"/>
      <c r="AQ576" s="716"/>
      <c r="AR576" s="716"/>
    </row>
    <row r="577">
      <c r="A577" s="716"/>
      <c r="B577" s="530"/>
      <c r="C577" s="530"/>
      <c r="D577" s="530"/>
      <c r="E577" s="530"/>
      <c r="F577" s="530"/>
      <c r="G577" s="530"/>
      <c r="H577" s="530"/>
      <c r="I577" s="530"/>
      <c r="J577" s="530"/>
      <c r="K577" s="530"/>
      <c r="L577" s="530"/>
      <c r="M577" s="530"/>
      <c r="N577" s="530"/>
      <c r="O577" s="530"/>
      <c r="P577" s="530"/>
      <c r="Q577" s="530"/>
      <c r="R577" s="530"/>
      <c r="S577" s="530"/>
      <c r="T577" s="530"/>
      <c r="U577" s="530"/>
      <c r="V577" s="530"/>
      <c r="W577" s="530"/>
      <c r="X577" s="733"/>
      <c r="Y577" s="716"/>
      <c r="Z577" s="716"/>
      <c r="AA577" s="716"/>
      <c r="AB577" s="716"/>
      <c r="AC577" s="716"/>
      <c r="AD577" s="716"/>
      <c r="AE577" s="716"/>
      <c r="AF577" s="716"/>
      <c r="AG577" s="716"/>
      <c r="AH577" s="716"/>
      <c r="AI577" s="716"/>
      <c r="AJ577" s="716"/>
      <c r="AK577" s="716"/>
      <c r="AL577" s="716"/>
      <c r="AM577" s="716"/>
      <c r="AN577" s="716"/>
      <c r="AO577" s="716"/>
      <c r="AP577" s="716"/>
      <c r="AQ577" s="716"/>
      <c r="AR577" s="716"/>
    </row>
    <row r="578">
      <c r="A578" s="716"/>
      <c r="B578" s="530"/>
      <c r="C578" s="530"/>
      <c r="D578" s="530"/>
      <c r="E578" s="530"/>
      <c r="F578" s="530"/>
      <c r="G578" s="530"/>
      <c r="H578" s="530"/>
      <c r="I578" s="530"/>
      <c r="J578" s="530"/>
      <c r="K578" s="530"/>
      <c r="L578" s="530"/>
      <c r="M578" s="530"/>
      <c r="N578" s="530"/>
      <c r="O578" s="530"/>
      <c r="P578" s="530"/>
      <c r="Q578" s="530"/>
      <c r="R578" s="530"/>
      <c r="S578" s="530"/>
      <c r="T578" s="530"/>
      <c r="U578" s="530"/>
      <c r="V578" s="530"/>
      <c r="W578" s="530"/>
      <c r="X578" s="733"/>
      <c r="Y578" s="716"/>
      <c r="Z578" s="716"/>
      <c r="AA578" s="716"/>
      <c r="AB578" s="716"/>
      <c r="AC578" s="716"/>
      <c r="AD578" s="716"/>
      <c r="AE578" s="716"/>
      <c r="AF578" s="716"/>
      <c r="AG578" s="716"/>
      <c r="AH578" s="716"/>
      <c r="AI578" s="716"/>
      <c r="AJ578" s="716"/>
      <c r="AK578" s="716"/>
      <c r="AL578" s="716"/>
      <c r="AM578" s="716"/>
      <c r="AN578" s="716"/>
      <c r="AO578" s="716"/>
      <c r="AP578" s="716"/>
      <c r="AQ578" s="716"/>
      <c r="AR578" s="716"/>
    </row>
    <row r="579">
      <c r="A579" s="716"/>
      <c r="B579" s="530"/>
      <c r="C579" s="530"/>
      <c r="D579" s="530"/>
      <c r="E579" s="530"/>
      <c r="F579" s="530"/>
      <c r="G579" s="530"/>
      <c r="H579" s="530"/>
      <c r="I579" s="530"/>
      <c r="J579" s="530"/>
      <c r="K579" s="530"/>
      <c r="L579" s="530"/>
      <c r="M579" s="530"/>
      <c r="N579" s="530"/>
      <c r="O579" s="530"/>
      <c r="P579" s="530"/>
      <c r="Q579" s="530"/>
      <c r="R579" s="530"/>
      <c r="S579" s="530"/>
      <c r="T579" s="530"/>
      <c r="U579" s="530"/>
      <c r="V579" s="530"/>
      <c r="W579" s="530"/>
      <c r="X579" s="733"/>
      <c r="Y579" s="716"/>
      <c r="Z579" s="716"/>
      <c r="AA579" s="716"/>
      <c r="AB579" s="716"/>
      <c r="AC579" s="716"/>
      <c r="AD579" s="716"/>
      <c r="AE579" s="716"/>
      <c r="AF579" s="716"/>
      <c r="AG579" s="716"/>
      <c r="AH579" s="716"/>
      <c r="AI579" s="716"/>
      <c r="AJ579" s="716"/>
      <c r="AK579" s="716"/>
      <c r="AL579" s="716"/>
      <c r="AM579" s="716"/>
      <c r="AN579" s="716"/>
      <c r="AO579" s="716"/>
      <c r="AP579" s="716"/>
      <c r="AQ579" s="716"/>
      <c r="AR579" s="716"/>
    </row>
    <row r="580">
      <c r="A580" s="716"/>
      <c r="B580" s="530"/>
      <c r="C580" s="530"/>
      <c r="D580" s="530"/>
      <c r="E580" s="530"/>
      <c r="F580" s="530"/>
      <c r="G580" s="530"/>
      <c r="H580" s="530"/>
      <c r="I580" s="530"/>
      <c r="J580" s="530"/>
      <c r="K580" s="530"/>
      <c r="L580" s="530"/>
      <c r="M580" s="530"/>
      <c r="N580" s="530"/>
      <c r="O580" s="530"/>
      <c r="P580" s="530"/>
      <c r="Q580" s="530"/>
      <c r="R580" s="530"/>
      <c r="S580" s="530"/>
      <c r="T580" s="530"/>
      <c r="U580" s="530"/>
      <c r="V580" s="530"/>
      <c r="W580" s="530"/>
      <c r="X580" s="733"/>
      <c r="Y580" s="716"/>
      <c r="Z580" s="716"/>
      <c r="AA580" s="716"/>
      <c r="AB580" s="716"/>
      <c r="AC580" s="716"/>
      <c r="AD580" s="716"/>
      <c r="AE580" s="716"/>
      <c r="AF580" s="716"/>
      <c r="AG580" s="716"/>
      <c r="AH580" s="716"/>
      <c r="AI580" s="716"/>
      <c r="AJ580" s="716"/>
      <c r="AK580" s="716"/>
      <c r="AL580" s="716"/>
      <c r="AM580" s="716"/>
      <c r="AN580" s="716"/>
      <c r="AO580" s="716"/>
      <c r="AP580" s="716"/>
      <c r="AQ580" s="716"/>
      <c r="AR580" s="716"/>
    </row>
    <row r="581">
      <c r="A581" s="716"/>
      <c r="B581" s="530"/>
      <c r="C581" s="530"/>
      <c r="D581" s="530"/>
      <c r="E581" s="530"/>
      <c r="F581" s="530"/>
      <c r="G581" s="530"/>
      <c r="H581" s="530"/>
      <c r="I581" s="530"/>
      <c r="J581" s="530"/>
      <c r="K581" s="530"/>
      <c r="L581" s="530"/>
      <c r="M581" s="530"/>
      <c r="N581" s="530"/>
      <c r="O581" s="530"/>
      <c r="P581" s="530"/>
      <c r="Q581" s="530"/>
      <c r="R581" s="530"/>
      <c r="S581" s="530"/>
      <c r="T581" s="530"/>
      <c r="U581" s="530"/>
      <c r="V581" s="530"/>
      <c r="W581" s="530"/>
      <c r="X581" s="733"/>
      <c r="Y581" s="716"/>
      <c r="Z581" s="716"/>
      <c r="AA581" s="716"/>
      <c r="AB581" s="716"/>
      <c r="AC581" s="716"/>
      <c r="AD581" s="716"/>
      <c r="AE581" s="716"/>
      <c r="AF581" s="716"/>
      <c r="AG581" s="716"/>
      <c r="AH581" s="716"/>
      <c r="AI581" s="716"/>
      <c r="AJ581" s="716"/>
      <c r="AK581" s="716"/>
      <c r="AL581" s="716"/>
      <c r="AM581" s="716"/>
      <c r="AN581" s="716"/>
      <c r="AO581" s="716"/>
      <c r="AP581" s="716"/>
      <c r="AQ581" s="716"/>
      <c r="AR581" s="716"/>
    </row>
    <row r="582">
      <c r="A582" s="716"/>
      <c r="B582" s="530"/>
      <c r="C582" s="530"/>
      <c r="D582" s="530"/>
      <c r="E582" s="530"/>
      <c r="F582" s="530"/>
      <c r="G582" s="530"/>
      <c r="H582" s="530"/>
      <c r="I582" s="530"/>
      <c r="J582" s="530"/>
      <c r="K582" s="530"/>
      <c r="L582" s="530"/>
      <c r="M582" s="530"/>
      <c r="N582" s="530"/>
      <c r="O582" s="530"/>
      <c r="P582" s="530"/>
      <c r="Q582" s="530"/>
      <c r="R582" s="530"/>
      <c r="S582" s="530"/>
      <c r="T582" s="530"/>
      <c r="U582" s="530"/>
      <c r="V582" s="530"/>
      <c r="W582" s="530"/>
      <c r="X582" s="733"/>
      <c r="Y582" s="716"/>
      <c r="Z582" s="716"/>
      <c r="AA582" s="716"/>
      <c r="AB582" s="716"/>
      <c r="AC582" s="716"/>
      <c r="AD582" s="716"/>
      <c r="AE582" s="716"/>
      <c r="AF582" s="716"/>
      <c r="AG582" s="716"/>
      <c r="AH582" s="716"/>
      <c r="AI582" s="716"/>
      <c r="AJ582" s="716"/>
      <c r="AK582" s="716"/>
      <c r="AL582" s="716"/>
      <c r="AM582" s="716"/>
      <c r="AN582" s="716"/>
      <c r="AO582" s="716"/>
      <c r="AP582" s="716"/>
      <c r="AQ582" s="716"/>
      <c r="AR582" s="716"/>
    </row>
    <row r="583">
      <c r="A583" s="716"/>
      <c r="B583" s="530"/>
      <c r="C583" s="530"/>
      <c r="D583" s="530"/>
      <c r="E583" s="530"/>
      <c r="F583" s="530"/>
      <c r="G583" s="530"/>
      <c r="H583" s="530"/>
      <c r="I583" s="530"/>
      <c r="J583" s="530"/>
      <c r="K583" s="530"/>
      <c r="L583" s="530"/>
      <c r="M583" s="530"/>
      <c r="N583" s="530"/>
      <c r="O583" s="530"/>
      <c r="P583" s="530"/>
      <c r="Q583" s="530"/>
      <c r="R583" s="530"/>
      <c r="S583" s="530"/>
      <c r="T583" s="530"/>
      <c r="U583" s="530"/>
      <c r="V583" s="530"/>
      <c r="W583" s="530"/>
      <c r="X583" s="733"/>
      <c r="Y583" s="716"/>
      <c r="Z583" s="716"/>
      <c r="AA583" s="716"/>
      <c r="AB583" s="716"/>
      <c r="AC583" s="716"/>
      <c r="AD583" s="716"/>
      <c r="AE583" s="716"/>
      <c r="AF583" s="716"/>
      <c r="AG583" s="716"/>
      <c r="AH583" s="716"/>
      <c r="AI583" s="716"/>
      <c r="AJ583" s="716"/>
      <c r="AK583" s="716"/>
      <c r="AL583" s="716"/>
      <c r="AM583" s="716"/>
      <c r="AN583" s="716"/>
      <c r="AO583" s="716"/>
      <c r="AP583" s="716"/>
      <c r="AQ583" s="716"/>
      <c r="AR583" s="716"/>
    </row>
    <row r="584">
      <c r="A584" s="716"/>
      <c r="B584" s="530"/>
      <c r="C584" s="530"/>
      <c r="D584" s="530"/>
      <c r="E584" s="530"/>
      <c r="F584" s="530"/>
      <c r="G584" s="530"/>
      <c r="H584" s="530"/>
      <c r="I584" s="530"/>
      <c r="J584" s="530"/>
      <c r="K584" s="530"/>
      <c r="L584" s="530"/>
      <c r="M584" s="530"/>
      <c r="N584" s="530"/>
      <c r="O584" s="530"/>
      <c r="P584" s="530"/>
      <c r="Q584" s="530"/>
      <c r="R584" s="530"/>
      <c r="S584" s="530"/>
      <c r="T584" s="530"/>
      <c r="U584" s="530"/>
      <c r="V584" s="530"/>
      <c r="W584" s="530"/>
      <c r="X584" s="733"/>
      <c r="Y584" s="716"/>
      <c r="Z584" s="716"/>
      <c r="AA584" s="716"/>
      <c r="AB584" s="716"/>
      <c r="AC584" s="716"/>
      <c r="AD584" s="716"/>
      <c r="AE584" s="716"/>
      <c r="AF584" s="716"/>
      <c r="AG584" s="716"/>
      <c r="AH584" s="716"/>
      <c r="AI584" s="716"/>
      <c r="AJ584" s="716"/>
      <c r="AK584" s="716"/>
      <c r="AL584" s="716"/>
      <c r="AM584" s="716"/>
      <c r="AN584" s="716"/>
      <c r="AO584" s="716"/>
      <c r="AP584" s="716"/>
      <c r="AQ584" s="716"/>
      <c r="AR584" s="716"/>
    </row>
    <row r="585">
      <c r="A585" s="716"/>
      <c r="B585" s="530"/>
      <c r="C585" s="530"/>
      <c r="D585" s="530"/>
      <c r="E585" s="530"/>
      <c r="F585" s="530"/>
      <c r="G585" s="530"/>
      <c r="H585" s="530"/>
      <c r="I585" s="530"/>
      <c r="J585" s="530"/>
      <c r="K585" s="530"/>
      <c r="L585" s="530"/>
      <c r="M585" s="530"/>
      <c r="N585" s="530"/>
      <c r="O585" s="530"/>
      <c r="P585" s="530"/>
      <c r="Q585" s="530"/>
      <c r="R585" s="530"/>
      <c r="S585" s="530"/>
      <c r="T585" s="530"/>
      <c r="U585" s="530"/>
      <c r="V585" s="530"/>
      <c r="W585" s="530"/>
      <c r="X585" s="733"/>
      <c r="Y585" s="716"/>
      <c r="Z585" s="716"/>
      <c r="AA585" s="716"/>
      <c r="AB585" s="716"/>
      <c r="AC585" s="716"/>
      <c r="AD585" s="716"/>
      <c r="AE585" s="716"/>
      <c r="AF585" s="716"/>
      <c r="AG585" s="716"/>
      <c r="AH585" s="716"/>
      <c r="AI585" s="716"/>
      <c r="AJ585" s="716"/>
      <c r="AK585" s="716"/>
      <c r="AL585" s="716"/>
      <c r="AM585" s="716"/>
      <c r="AN585" s="716"/>
      <c r="AO585" s="716"/>
      <c r="AP585" s="716"/>
      <c r="AQ585" s="716"/>
      <c r="AR585" s="716"/>
    </row>
    <row r="586">
      <c r="A586" s="716"/>
      <c r="B586" s="530"/>
      <c r="C586" s="530"/>
      <c r="D586" s="530"/>
      <c r="E586" s="530"/>
      <c r="F586" s="530"/>
      <c r="G586" s="530"/>
      <c r="H586" s="530"/>
      <c r="I586" s="530"/>
      <c r="J586" s="530"/>
      <c r="K586" s="530"/>
      <c r="L586" s="530"/>
      <c r="M586" s="530"/>
      <c r="N586" s="530"/>
      <c r="O586" s="530"/>
      <c r="P586" s="530"/>
      <c r="Q586" s="530"/>
      <c r="R586" s="530"/>
      <c r="S586" s="530"/>
      <c r="T586" s="530"/>
      <c r="U586" s="530"/>
      <c r="V586" s="530"/>
      <c r="W586" s="530"/>
      <c r="X586" s="733"/>
      <c r="Y586" s="716"/>
      <c r="Z586" s="716"/>
      <c r="AA586" s="716"/>
      <c r="AB586" s="716"/>
      <c r="AC586" s="716"/>
      <c r="AD586" s="716"/>
      <c r="AE586" s="716"/>
      <c r="AF586" s="716"/>
      <c r="AG586" s="716"/>
      <c r="AH586" s="716"/>
      <c r="AI586" s="716"/>
      <c r="AJ586" s="716"/>
      <c r="AK586" s="716"/>
      <c r="AL586" s="716"/>
      <c r="AM586" s="716"/>
      <c r="AN586" s="716"/>
      <c r="AO586" s="716"/>
      <c r="AP586" s="716"/>
      <c r="AQ586" s="716"/>
      <c r="AR586" s="716"/>
    </row>
    <row r="587">
      <c r="A587" s="716"/>
      <c r="B587" s="530"/>
      <c r="C587" s="530"/>
      <c r="D587" s="530"/>
      <c r="E587" s="530"/>
      <c r="F587" s="530"/>
      <c r="G587" s="530"/>
      <c r="H587" s="530"/>
      <c r="I587" s="530"/>
      <c r="J587" s="530"/>
      <c r="K587" s="530"/>
      <c r="L587" s="530"/>
      <c r="M587" s="530"/>
      <c r="N587" s="530"/>
      <c r="O587" s="530"/>
      <c r="P587" s="530"/>
      <c r="Q587" s="530"/>
      <c r="R587" s="530"/>
      <c r="S587" s="530"/>
      <c r="T587" s="530"/>
      <c r="U587" s="530"/>
      <c r="V587" s="530"/>
      <c r="W587" s="530"/>
      <c r="X587" s="733"/>
      <c r="Y587" s="716"/>
      <c r="Z587" s="716"/>
      <c r="AA587" s="716"/>
      <c r="AB587" s="716"/>
      <c r="AC587" s="716"/>
      <c r="AD587" s="716"/>
      <c r="AE587" s="716"/>
      <c r="AF587" s="716"/>
      <c r="AG587" s="716"/>
      <c r="AH587" s="716"/>
      <c r="AI587" s="716"/>
      <c r="AJ587" s="716"/>
      <c r="AK587" s="716"/>
      <c r="AL587" s="716"/>
      <c r="AM587" s="716"/>
      <c r="AN587" s="716"/>
      <c r="AO587" s="716"/>
      <c r="AP587" s="716"/>
      <c r="AQ587" s="716"/>
      <c r="AR587" s="716"/>
    </row>
    <row r="588">
      <c r="A588" s="716"/>
      <c r="B588" s="530"/>
      <c r="C588" s="530"/>
      <c r="D588" s="530"/>
      <c r="E588" s="530"/>
      <c r="F588" s="530"/>
      <c r="G588" s="530"/>
      <c r="H588" s="530"/>
      <c r="I588" s="530"/>
      <c r="J588" s="530"/>
      <c r="K588" s="530"/>
      <c r="L588" s="530"/>
      <c r="M588" s="530"/>
      <c r="N588" s="530"/>
      <c r="O588" s="530"/>
      <c r="P588" s="530"/>
      <c r="Q588" s="530"/>
      <c r="R588" s="530"/>
      <c r="S588" s="530"/>
      <c r="T588" s="530"/>
      <c r="U588" s="530"/>
      <c r="V588" s="530"/>
      <c r="W588" s="530"/>
      <c r="X588" s="733"/>
      <c r="Y588" s="716"/>
      <c r="Z588" s="716"/>
      <c r="AA588" s="716"/>
      <c r="AB588" s="716"/>
      <c r="AC588" s="716"/>
      <c r="AD588" s="716"/>
      <c r="AE588" s="716"/>
      <c r="AF588" s="716"/>
      <c r="AG588" s="716"/>
      <c r="AH588" s="716"/>
      <c r="AI588" s="716"/>
      <c r="AJ588" s="716"/>
      <c r="AK588" s="716"/>
      <c r="AL588" s="716"/>
      <c r="AM588" s="716"/>
      <c r="AN588" s="716"/>
      <c r="AO588" s="716"/>
      <c r="AP588" s="716"/>
      <c r="AQ588" s="716"/>
      <c r="AR588" s="716"/>
    </row>
    <row r="589">
      <c r="A589" s="716"/>
      <c r="B589" s="530"/>
      <c r="C589" s="530"/>
      <c r="D589" s="530"/>
      <c r="E589" s="530"/>
      <c r="F589" s="530"/>
      <c r="G589" s="530"/>
      <c r="H589" s="530"/>
      <c r="I589" s="530"/>
      <c r="J589" s="530"/>
      <c r="K589" s="530"/>
      <c r="L589" s="530"/>
      <c r="M589" s="530"/>
      <c r="N589" s="530"/>
      <c r="O589" s="530"/>
      <c r="P589" s="530"/>
      <c r="Q589" s="530"/>
      <c r="R589" s="530"/>
      <c r="S589" s="530"/>
      <c r="T589" s="530"/>
      <c r="U589" s="530"/>
      <c r="V589" s="530"/>
      <c r="W589" s="530"/>
      <c r="X589" s="733"/>
      <c r="Y589" s="716"/>
      <c r="Z589" s="716"/>
      <c r="AA589" s="716"/>
      <c r="AB589" s="716"/>
      <c r="AC589" s="716"/>
      <c r="AD589" s="716"/>
      <c r="AE589" s="716"/>
      <c r="AF589" s="716"/>
      <c r="AG589" s="716"/>
      <c r="AH589" s="716"/>
      <c r="AI589" s="716"/>
      <c r="AJ589" s="716"/>
      <c r="AK589" s="716"/>
      <c r="AL589" s="716"/>
      <c r="AM589" s="716"/>
      <c r="AN589" s="716"/>
      <c r="AO589" s="716"/>
      <c r="AP589" s="716"/>
      <c r="AQ589" s="716"/>
      <c r="AR589" s="716"/>
    </row>
    <row r="590">
      <c r="A590" s="716"/>
      <c r="B590" s="530"/>
      <c r="C590" s="530"/>
      <c r="D590" s="530"/>
      <c r="E590" s="530"/>
      <c r="F590" s="530"/>
      <c r="G590" s="530"/>
      <c r="H590" s="530"/>
      <c r="I590" s="530"/>
      <c r="J590" s="530"/>
      <c r="K590" s="530"/>
      <c r="L590" s="530"/>
      <c r="M590" s="530"/>
      <c r="N590" s="530"/>
      <c r="O590" s="530"/>
      <c r="P590" s="530"/>
      <c r="Q590" s="530"/>
      <c r="R590" s="530"/>
      <c r="S590" s="530"/>
      <c r="T590" s="530"/>
      <c r="U590" s="530"/>
      <c r="V590" s="530"/>
      <c r="W590" s="530"/>
      <c r="X590" s="733"/>
      <c r="Y590" s="716"/>
      <c r="Z590" s="716"/>
      <c r="AA590" s="716"/>
      <c r="AB590" s="716"/>
      <c r="AC590" s="716"/>
      <c r="AD590" s="716"/>
      <c r="AE590" s="716"/>
      <c r="AF590" s="716"/>
      <c r="AG590" s="716"/>
      <c r="AH590" s="716"/>
      <c r="AI590" s="716"/>
      <c r="AJ590" s="716"/>
      <c r="AK590" s="716"/>
      <c r="AL590" s="716"/>
      <c r="AM590" s="716"/>
      <c r="AN590" s="716"/>
      <c r="AO590" s="716"/>
      <c r="AP590" s="716"/>
      <c r="AQ590" s="716"/>
      <c r="AR590" s="716"/>
    </row>
    <row r="591">
      <c r="A591" s="716"/>
      <c r="B591" s="530"/>
      <c r="C591" s="530"/>
      <c r="D591" s="530"/>
      <c r="E591" s="530"/>
      <c r="F591" s="530"/>
      <c r="G591" s="530"/>
      <c r="H591" s="530"/>
      <c r="I591" s="530"/>
      <c r="J591" s="530"/>
      <c r="K591" s="530"/>
      <c r="L591" s="530"/>
      <c r="M591" s="530"/>
      <c r="N591" s="530"/>
      <c r="O591" s="530"/>
      <c r="P591" s="530"/>
      <c r="Q591" s="530"/>
      <c r="R591" s="530"/>
      <c r="S591" s="530"/>
      <c r="T591" s="530"/>
      <c r="U591" s="530"/>
      <c r="V591" s="530"/>
      <c r="W591" s="530"/>
      <c r="X591" s="733"/>
      <c r="Y591" s="716"/>
      <c r="Z591" s="716"/>
      <c r="AA591" s="716"/>
      <c r="AB591" s="716"/>
      <c r="AC591" s="716"/>
      <c r="AD591" s="716"/>
      <c r="AE591" s="716"/>
      <c r="AF591" s="716"/>
      <c r="AG591" s="716"/>
      <c r="AH591" s="716"/>
      <c r="AI591" s="716"/>
      <c r="AJ591" s="716"/>
      <c r="AK591" s="716"/>
      <c r="AL591" s="716"/>
      <c r="AM591" s="716"/>
      <c r="AN591" s="716"/>
      <c r="AO591" s="716"/>
      <c r="AP591" s="716"/>
      <c r="AQ591" s="716"/>
      <c r="AR591" s="716"/>
    </row>
    <row r="592">
      <c r="A592" s="716"/>
      <c r="B592" s="530"/>
      <c r="C592" s="530"/>
      <c r="D592" s="530"/>
      <c r="E592" s="530"/>
      <c r="F592" s="530"/>
      <c r="G592" s="530"/>
      <c r="H592" s="530"/>
      <c r="I592" s="530"/>
      <c r="J592" s="530"/>
      <c r="K592" s="530"/>
      <c r="L592" s="530"/>
      <c r="M592" s="530"/>
      <c r="N592" s="530"/>
      <c r="O592" s="530"/>
      <c r="P592" s="530"/>
      <c r="Q592" s="530"/>
      <c r="R592" s="530"/>
      <c r="S592" s="530"/>
      <c r="T592" s="530"/>
      <c r="U592" s="530"/>
      <c r="V592" s="530"/>
      <c r="W592" s="530"/>
      <c r="X592" s="733"/>
      <c r="Y592" s="716"/>
      <c r="Z592" s="716"/>
      <c r="AA592" s="716"/>
      <c r="AB592" s="716"/>
      <c r="AC592" s="716"/>
      <c r="AD592" s="716"/>
      <c r="AE592" s="716"/>
      <c r="AF592" s="716"/>
      <c r="AG592" s="716"/>
      <c r="AH592" s="716"/>
      <c r="AI592" s="716"/>
      <c r="AJ592" s="716"/>
      <c r="AK592" s="716"/>
      <c r="AL592" s="716"/>
      <c r="AM592" s="716"/>
      <c r="AN592" s="716"/>
      <c r="AO592" s="716"/>
      <c r="AP592" s="716"/>
      <c r="AQ592" s="716"/>
      <c r="AR592" s="716"/>
    </row>
    <row r="593">
      <c r="A593" s="716"/>
      <c r="B593" s="530"/>
      <c r="C593" s="530"/>
      <c r="D593" s="530"/>
      <c r="E593" s="530"/>
      <c r="F593" s="530"/>
      <c r="G593" s="530"/>
      <c r="H593" s="530"/>
      <c r="I593" s="530"/>
      <c r="J593" s="530"/>
      <c r="K593" s="530"/>
      <c r="L593" s="530"/>
      <c r="M593" s="530"/>
      <c r="N593" s="530"/>
      <c r="O593" s="530"/>
      <c r="P593" s="530"/>
      <c r="Q593" s="530"/>
      <c r="R593" s="530"/>
      <c r="S593" s="530"/>
      <c r="T593" s="530"/>
      <c r="U593" s="530"/>
      <c r="V593" s="530"/>
      <c r="W593" s="530"/>
      <c r="X593" s="733"/>
      <c r="Y593" s="716"/>
      <c r="Z593" s="716"/>
      <c r="AA593" s="716"/>
      <c r="AB593" s="716"/>
      <c r="AC593" s="716"/>
      <c r="AD593" s="716"/>
      <c r="AE593" s="716"/>
      <c r="AF593" s="716"/>
      <c r="AG593" s="716"/>
      <c r="AH593" s="716"/>
      <c r="AI593" s="716"/>
      <c r="AJ593" s="716"/>
      <c r="AK593" s="716"/>
      <c r="AL593" s="716"/>
      <c r="AM593" s="716"/>
      <c r="AN593" s="716"/>
      <c r="AO593" s="716"/>
      <c r="AP593" s="716"/>
      <c r="AQ593" s="716"/>
      <c r="AR593" s="716"/>
    </row>
    <row r="594">
      <c r="A594" s="716"/>
      <c r="B594" s="530"/>
      <c r="C594" s="530"/>
      <c r="D594" s="530"/>
      <c r="E594" s="530"/>
      <c r="F594" s="530"/>
      <c r="G594" s="530"/>
      <c r="H594" s="530"/>
      <c r="I594" s="530"/>
      <c r="J594" s="530"/>
      <c r="K594" s="530"/>
      <c r="L594" s="530"/>
      <c r="M594" s="530"/>
      <c r="N594" s="530"/>
      <c r="O594" s="530"/>
      <c r="P594" s="530"/>
      <c r="Q594" s="530"/>
      <c r="R594" s="530"/>
      <c r="S594" s="530"/>
      <c r="T594" s="530"/>
      <c r="U594" s="530"/>
      <c r="V594" s="530"/>
      <c r="W594" s="530"/>
      <c r="X594" s="733"/>
      <c r="Y594" s="716"/>
      <c r="Z594" s="716"/>
      <c r="AA594" s="716"/>
      <c r="AB594" s="716"/>
      <c r="AC594" s="716"/>
      <c r="AD594" s="716"/>
      <c r="AE594" s="716"/>
      <c r="AF594" s="716"/>
      <c r="AG594" s="716"/>
      <c r="AH594" s="716"/>
      <c r="AI594" s="716"/>
      <c r="AJ594" s="716"/>
      <c r="AK594" s="716"/>
      <c r="AL594" s="716"/>
      <c r="AM594" s="716"/>
      <c r="AN594" s="716"/>
      <c r="AO594" s="716"/>
      <c r="AP594" s="716"/>
      <c r="AQ594" s="716"/>
      <c r="AR594" s="716"/>
    </row>
    <row r="595">
      <c r="A595" s="716"/>
      <c r="B595" s="530"/>
      <c r="C595" s="530"/>
      <c r="D595" s="530"/>
      <c r="E595" s="530"/>
      <c r="F595" s="530"/>
      <c r="G595" s="530"/>
      <c r="H595" s="530"/>
      <c r="I595" s="530"/>
      <c r="J595" s="530"/>
      <c r="K595" s="530"/>
      <c r="L595" s="530"/>
      <c r="M595" s="530"/>
      <c r="N595" s="530"/>
      <c r="O595" s="530"/>
      <c r="P595" s="530"/>
      <c r="Q595" s="530"/>
      <c r="R595" s="530"/>
      <c r="S595" s="530"/>
      <c r="T595" s="530"/>
      <c r="U595" s="530"/>
      <c r="V595" s="530"/>
      <c r="W595" s="530"/>
      <c r="X595" s="733"/>
      <c r="Y595" s="716"/>
      <c r="Z595" s="716"/>
      <c r="AA595" s="716"/>
      <c r="AB595" s="716"/>
      <c r="AC595" s="716"/>
      <c r="AD595" s="716"/>
      <c r="AE595" s="716"/>
      <c r="AF595" s="716"/>
      <c r="AG595" s="716"/>
      <c r="AH595" s="716"/>
      <c r="AI595" s="716"/>
      <c r="AJ595" s="716"/>
      <c r="AK595" s="716"/>
      <c r="AL595" s="716"/>
      <c r="AM595" s="716"/>
      <c r="AN595" s="716"/>
      <c r="AO595" s="716"/>
      <c r="AP595" s="716"/>
      <c r="AQ595" s="716"/>
      <c r="AR595" s="716"/>
    </row>
    <row r="596">
      <c r="A596" s="716"/>
      <c r="B596" s="530"/>
      <c r="C596" s="530"/>
      <c r="D596" s="530"/>
      <c r="E596" s="530"/>
      <c r="F596" s="530"/>
      <c r="G596" s="530"/>
      <c r="H596" s="530"/>
      <c r="I596" s="530"/>
      <c r="J596" s="530"/>
      <c r="K596" s="530"/>
      <c r="L596" s="530"/>
      <c r="M596" s="530"/>
      <c r="N596" s="530"/>
      <c r="O596" s="530"/>
      <c r="P596" s="530"/>
      <c r="Q596" s="530"/>
      <c r="R596" s="530"/>
      <c r="S596" s="530"/>
      <c r="T596" s="530"/>
      <c r="U596" s="530"/>
      <c r="V596" s="530"/>
      <c r="W596" s="530"/>
      <c r="X596" s="733"/>
      <c r="Y596" s="716"/>
      <c r="Z596" s="716"/>
      <c r="AA596" s="716"/>
      <c r="AB596" s="716"/>
      <c r="AC596" s="716"/>
      <c r="AD596" s="716"/>
      <c r="AE596" s="716"/>
      <c r="AF596" s="716"/>
      <c r="AG596" s="716"/>
      <c r="AH596" s="716"/>
      <c r="AI596" s="716"/>
      <c r="AJ596" s="716"/>
      <c r="AK596" s="716"/>
      <c r="AL596" s="716"/>
      <c r="AM596" s="716"/>
      <c r="AN596" s="716"/>
      <c r="AO596" s="716"/>
      <c r="AP596" s="716"/>
      <c r="AQ596" s="716"/>
      <c r="AR596" s="716"/>
    </row>
    <row r="597">
      <c r="A597" s="716"/>
      <c r="B597" s="530"/>
      <c r="C597" s="530"/>
      <c r="D597" s="530"/>
      <c r="E597" s="530"/>
      <c r="F597" s="530"/>
      <c r="G597" s="530"/>
      <c r="H597" s="530"/>
      <c r="I597" s="530"/>
      <c r="J597" s="530"/>
      <c r="K597" s="530"/>
      <c r="L597" s="530"/>
      <c r="M597" s="530"/>
      <c r="N597" s="530"/>
      <c r="O597" s="530"/>
      <c r="P597" s="530"/>
      <c r="Q597" s="530"/>
      <c r="R597" s="530"/>
      <c r="S597" s="530"/>
      <c r="T597" s="530"/>
      <c r="U597" s="530"/>
      <c r="V597" s="530"/>
      <c r="W597" s="530"/>
      <c r="X597" s="733"/>
      <c r="Y597" s="716"/>
      <c r="Z597" s="716"/>
      <c r="AA597" s="716"/>
      <c r="AB597" s="716"/>
      <c r="AC597" s="716"/>
      <c r="AD597" s="716"/>
      <c r="AE597" s="716"/>
      <c r="AF597" s="716"/>
      <c r="AG597" s="716"/>
      <c r="AH597" s="716"/>
      <c r="AI597" s="716"/>
      <c r="AJ597" s="716"/>
      <c r="AK597" s="716"/>
      <c r="AL597" s="716"/>
      <c r="AM597" s="716"/>
      <c r="AN597" s="716"/>
      <c r="AO597" s="716"/>
      <c r="AP597" s="716"/>
      <c r="AQ597" s="716"/>
      <c r="AR597" s="716"/>
    </row>
    <row r="598">
      <c r="A598" s="716"/>
      <c r="B598" s="530"/>
      <c r="C598" s="530"/>
      <c r="D598" s="530"/>
      <c r="E598" s="530"/>
      <c r="F598" s="530"/>
      <c r="G598" s="530"/>
      <c r="H598" s="530"/>
      <c r="I598" s="530"/>
      <c r="J598" s="530"/>
      <c r="K598" s="530"/>
      <c r="L598" s="530"/>
      <c r="M598" s="530"/>
      <c r="N598" s="530"/>
      <c r="O598" s="530"/>
      <c r="P598" s="530"/>
      <c r="Q598" s="530"/>
      <c r="R598" s="530"/>
      <c r="S598" s="530"/>
      <c r="T598" s="530"/>
      <c r="U598" s="530"/>
      <c r="V598" s="530"/>
      <c r="W598" s="530"/>
      <c r="X598" s="733"/>
      <c r="Y598" s="716"/>
      <c r="Z598" s="716"/>
      <c r="AA598" s="716"/>
      <c r="AB598" s="716"/>
      <c r="AC598" s="716"/>
      <c r="AD598" s="716"/>
      <c r="AE598" s="716"/>
      <c r="AF598" s="716"/>
      <c r="AG598" s="716"/>
      <c r="AH598" s="716"/>
      <c r="AI598" s="716"/>
      <c r="AJ598" s="716"/>
      <c r="AK598" s="716"/>
      <c r="AL598" s="716"/>
      <c r="AM598" s="716"/>
      <c r="AN598" s="716"/>
      <c r="AO598" s="716"/>
      <c r="AP598" s="716"/>
      <c r="AQ598" s="716"/>
      <c r="AR598" s="716"/>
    </row>
    <row r="599">
      <c r="A599" s="716"/>
      <c r="B599" s="530"/>
      <c r="C599" s="530"/>
      <c r="D599" s="530"/>
      <c r="E599" s="530"/>
      <c r="F599" s="530"/>
      <c r="G599" s="530"/>
      <c r="H599" s="530"/>
      <c r="I599" s="530"/>
      <c r="J599" s="530"/>
      <c r="K599" s="530"/>
      <c r="L599" s="530"/>
      <c r="M599" s="530"/>
      <c r="N599" s="530"/>
      <c r="O599" s="530"/>
      <c r="P599" s="530"/>
      <c r="Q599" s="530"/>
      <c r="R599" s="530"/>
      <c r="S599" s="530"/>
      <c r="T599" s="530"/>
      <c r="U599" s="530"/>
      <c r="V599" s="530"/>
      <c r="W599" s="530"/>
      <c r="X599" s="733"/>
      <c r="Y599" s="716"/>
      <c r="Z599" s="716"/>
      <c r="AA599" s="716"/>
      <c r="AB599" s="716"/>
      <c r="AC599" s="716"/>
      <c r="AD599" s="716"/>
      <c r="AE599" s="716"/>
      <c r="AF599" s="716"/>
      <c r="AG599" s="716"/>
      <c r="AH599" s="716"/>
      <c r="AI599" s="716"/>
      <c r="AJ599" s="716"/>
      <c r="AK599" s="716"/>
      <c r="AL599" s="716"/>
      <c r="AM599" s="716"/>
      <c r="AN599" s="716"/>
      <c r="AO599" s="716"/>
      <c r="AP599" s="716"/>
      <c r="AQ599" s="716"/>
      <c r="AR599" s="716"/>
    </row>
    <row r="600">
      <c r="A600" s="716"/>
      <c r="B600" s="530"/>
      <c r="C600" s="530"/>
      <c r="D600" s="530"/>
      <c r="E600" s="530"/>
      <c r="F600" s="530"/>
      <c r="G600" s="530"/>
      <c r="H600" s="530"/>
      <c r="I600" s="530"/>
      <c r="J600" s="530"/>
      <c r="K600" s="530"/>
      <c r="L600" s="530"/>
      <c r="M600" s="530"/>
      <c r="N600" s="530"/>
      <c r="O600" s="530"/>
      <c r="P600" s="530"/>
      <c r="Q600" s="530"/>
      <c r="R600" s="530"/>
      <c r="S600" s="530"/>
      <c r="T600" s="530"/>
      <c r="U600" s="530"/>
      <c r="V600" s="530"/>
      <c r="W600" s="530"/>
      <c r="X600" s="733"/>
      <c r="Y600" s="716"/>
      <c r="Z600" s="716"/>
      <c r="AA600" s="716"/>
      <c r="AB600" s="716"/>
      <c r="AC600" s="716"/>
      <c r="AD600" s="716"/>
      <c r="AE600" s="716"/>
      <c r="AF600" s="716"/>
      <c r="AG600" s="716"/>
      <c r="AH600" s="716"/>
      <c r="AI600" s="716"/>
      <c r="AJ600" s="716"/>
      <c r="AK600" s="716"/>
      <c r="AL600" s="716"/>
      <c r="AM600" s="716"/>
      <c r="AN600" s="716"/>
      <c r="AO600" s="716"/>
      <c r="AP600" s="716"/>
      <c r="AQ600" s="716"/>
      <c r="AR600" s="716"/>
    </row>
    <row r="601">
      <c r="A601" s="716"/>
      <c r="B601" s="530"/>
      <c r="C601" s="530"/>
      <c r="D601" s="530"/>
      <c r="E601" s="530"/>
      <c r="F601" s="530"/>
      <c r="G601" s="530"/>
      <c r="H601" s="530"/>
      <c r="I601" s="530"/>
      <c r="J601" s="530"/>
      <c r="K601" s="530"/>
      <c r="L601" s="530"/>
      <c r="M601" s="530"/>
      <c r="N601" s="530"/>
      <c r="O601" s="530"/>
      <c r="P601" s="530"/>
      <c r="Q601" s="530"/>
      <c r="R601" s="530"/>
      <c r="S601" s="530"/>
      <c r="T601" s="530"/>
      <c r="U601" s="530"/>
      <c r="V601" s="530"/>
      <c r="W601" s="530"/>
      <c r="X601" s="733"/>
      <c r="Y601" s="716"/>
      <c r="Z601" s="716"/>
      <c r="AA601" s="716"/>
      <c r="AB601" s="716"/>
      <c r="AC601" s="716"/>
      <c r="AD601" s="716"/>
      <c r="AE601" s="716"/>
      <c r="AF601" s="716"/>
      <c r="AG601" s="716"/>
      <c r="AH601" s="716"/>
      <c r="AI601" s="716"/>
      <c r="AJ601" s="716"/>
      <c r="AK601" s="716"/>
      <c r="AL601" s="716"/>
      <c r="AM601" s="716"/>
      <c r="AN601" s="716"/>
      <c r="AO601" s="716"/>
      <c r="AP601" s="716"/>
      <c r="AQ601" s="716"/>
      <c r="AR601" s="716"/>
    </row>
    <row r="602">
      <c r="A602" s="716"/>
      <c r="B602" s="530"/>
      <c r="C602" s="530"/>
      <c r="D602" s="530"/>
      <c r="E602" s="530"/>
      <c r="F602" s="530"/>
      <c r="G602" s="530"/>
      <c r="H602" s="530"/>
      <c r="I602" s="530"/>
      <c r="J602" s="530"/>
      <c r="K602" s="530"/>
      <c r="L602" s="530"/>
      <c r="M602" s="530"/>
      <c r="N602" s="530"/>
      <c r="O602" s="530"/>
      <c r="P602" s="530"/>
      <c r="Q602" s="530"/>
      <c r="R602" s="530"/>
      <c r="S602" s="530"/>
      <c r="T602" s="530"/>
      <c r="U602" s="530"/>
      <c r="V602" s="530"/>
      <c r="W602" s="530"/>
      <c r="X602" s="733"/>
      <c r="Y602" s="716"/>
      <c r="Z602" s="716"/>
      <c r="AA602" s="716"/>
      <c r="AB602" s="716"/>
      <c r="AC602" s="716"/>
      <c r="AD602" s="716"/>
      <c r="AE602" s="716"/>
      <c r="AF602" s="716"/>
      <c r="AG602" s="716"/>
      <c r="AH602" s="716"/>
      <c r="AI602" s="716"/>
      <c r="AJ602" s="716"/>
      <c r="AK602" s="716"/>
      <c r="AL602" s="716"/>
      <c r="AM602" s="716"/>
      <c r="AN602" s="716"/>
      <c r="AO602" s="716"/>
      <c r="AP602" s="716"/>
      <c r="AQ602" s="716"/>
      <c r="AR602" s="716"/>
    </row>
    <row r="603">
      <c r="A603" s="716"/>
      <c r="B603" s="530"/>
      <c r="C603" s="530"/>
      <c r="D603" s="530"/>
      <c r="E603" s="530"/>
      <c r="F603" s="530"/>
      <c r="G603" s="530"/>
      <c r="H603" s="530"/>
      <c r="I603" s="530"/>
      <c r="J603" s="530"/>
      <c r="K603" s="530"/>
      <c r="L603" s="530"/>
      <c r="M603" s="530"/>
      <c r="N603" s="530"/>
      <c r="O603" s="530"/>
      <c r="P603" s="530"/>
      <c r="Q603" s="530"/>
      <c r="R603" s="530"/>
      <c r="S603" s="530"/>
      <c r="T603" s="530"/>
      <c r="U603" s="530"/>
      <c r="V603" s="530"/>
      <c r="W603" s="530"/>
      <c r="X603" s="733"/>
      <c r="Y603" s="716"/>
      <c r="Z603" s="716"/>
      <c r="AA603" s="716"/>
      <c r="AB603" s="716"/>
      <c r="AC603" s="716"/>
      <c r="AD603" s="716"/>
      <c r="AE603" s="716"/>
      <c r="AF603" s="716"/>
      <c r="AG603" s="716"/>
      <c r="AH603" s="716"/>
      <c r="AI603" s="716"/>
      <c r="AJ603" s="716"/>
      <c r="AK603" s="716"/>
      <c r="AL603" s="716"/>
      <c r="AM603" s="716"/>
      <c r="AN603" s="716"/>
      <c r="AO603" s="716"/>
      <c r="AP603" s="716"/>
      <c r="AQ603" s="716"/>
      <c r="AR603" s="716"/>
    </row>
    <row r="604">
      <c r="A604" s="716"/>
      <c r="B604" s="530"/>
      <c r="C604" s="530"/>
      <c r="D604" s="530"/>
      <c r="E604" s="530"/>
      <c r="F604" s="530"/>
      <c r="G604" s="530"/>
      <c r="H604" s="530"/>
      <c r="I604" s="530"/>
      <c r="J604" s="530"/>
      <c r="K604" s="530"/>
      <c r="L604" s="530"/>
      <c r="M604" s="530"/>
      <c r="N604" s="530"/>
      <c r="O604" s="530"/>
      <c r="P604" s="530"/>
      <c r="Q604" s="530"/>
      <c r="R604" s="530"/>
      <c r="S604" s="530"/>
      <c r="T604" s="530"/>
      <c r="U604" s="530"/>
      <c r="V604" s="530"/>
      <c r="W604" s="530"/>
      <c r="X604" s="733"/>
      <c r="Y604" s="716"/>
      <c r="Z604" s="716"/>
      <c r="AA604" s="716"/>
      <c r="AB604" s="716"/>
      <c r="AC604" s="716"/>
      <c r="AD604" s="716"/>
      <c r="AE604" s="716"/>
      <c r="AF604" s="716"/>
      <c r="AG604" s="716"/>
      <c r="AH604" s="716"/>
      <c r="AI604" s="716"/>
      <c r="AJ604" s="716"/>
      <c r="AK604" s="716"/>
      <c r="AL604" s="716"/>
      <c r="AM604" s="716"/>
      <c r="AN604" s="716"/>
      <c r="AO604" s="716"/>
      <c r="AP604" s="716"/>
      <c r="AQ604" s="716"/>
      <c r="AR604" s="716"/>
    </row>
    <row r="605">
      <c r="A605" s="716"/>
      <c r="B605" s="530"/>
      <c r="C605" s="530"/>
      <c r="D605" s="530"/>
      <c r="E605" s="530"/>
      <c r="F605" s="530"/>
      <c r="G605" s="530"/>
      <c r="H605" s="530"/>
      <c r="I605" s="530"/>
      <c r="J605" s="530"/>
      <c r="K605" s="530"/>
      <c r="L605" s="530"/>
      <c r="M605" s="530"/>
      <c r="N605" s="530"/>
      <c r="O605" s="530"/>
      <c r="P605" s="530"/>
      <c r="Q605" s="530"/>
      <c r="R605" s="530"/>
      <c r="S605" s="530"/>
      <c r="T605" s="530"/>
      <c r="U605" s="530"/>
      <c r="V605" s="530"/>
      <c r="W605" s="530"/>
      <c r="X605" s="733"/>
      <c r="Y605" s="716"/>
      <c r="Z605" s="716"/>
      <c r="AA605" s="716"/>
      <c r="AB605" s="716"/>
      <c r="AC605" s="716"/>
      <c r="AD605" s="716"/>
      <c r="AE605" s="716"/>
      <c r="AF605" s="716"/>
      <c r="AG605" s="716"/>
      <c r="AH605" s="716"/>
      <c r="AI605" s="716"/>
      <c r="AJ605" s="716"/>
      <c r="AK605" s="716"/>
      <c r="AL605" s="716"/>
      <c r="AM605" s="716"/>
      <c r="AN605" s="716"/>
      <c r="AO605" s="716"/>
      <c r="AP605" s="716"/>
      <c r="AQ605" s="716"/>
      <c r="AR605" s="716"/>
    </row>
    <row r="606">
      <c r="A606" s="716"/>
      <c r="B606" s="530"/>
      <c r="C606" s="530"/>
      <c r="D606" s="530"/>
      <c r="E606" s="530"/>
      <c r="F606" s="530"/>
      <c r="G606" s="530"/>
      <c r="H606" s="530"/>
      <c r="I606" s="530"/>
      <c r="J606" s="530"/>
      <c r="K606" s="530"/>
      <c r="L606" s="530"/>
      <c r="M606" s="530"/>
      <c r="N606" s="530"/>
      <c r="O606" s="530"/>
      <c r="P606" s="530"/>
      <c r="Q606" s="530"/>
      <c r="R606" s="530"/>
      <c r="S606" s="530"/>
      <c r="T606" s="530"/>
      <c r="U606" s="530"/>
      <c r="V606" s="530"/>
      <c r="W606" s="530"/>
      <c r="X606" s="733"/>
      <c r="Y606" s="716"/>
      <c r="Z606" s="716"/>
      <c r="AA606" s="716"/>
      <c r="AB606" s="716"/>
      <c r="AC606" s="716"/>
      <c r="AD606" s="716"/>
      <c r="AE606" s="716"/>
      <c r="AF606" s="716"/>
      <c r="AG606" s="716"/>
      <c r="AH606" s="716"/>
      <c r="AI606" s="716"/>
      <c r="AJ606" s="716"/>
      <c r="AK606" s="716"/>
      <c r="AL606" s="716"/>
      <c r="AM606" s="716"/>
      <c r="AN606" s="716"/>
      <c r="AO606" s="716"/>
      <c r="AP606" s="716"/>
      <c r="AQ606" s="716"/>
      <c r="AR606" s="716"/>
    </row>
    <row r="607">
      <c r="A607" s="716"/>
      <c r="B607" s="530"/>
      <c r="C607" s="530"/>
      <c r="D607" s="530"/>
      <c r="E607" s="530"/>
      <c r="F607" s="530"/>
      <c r="G607" s="530"/>
      <c r="H607" s="530"/>
      <c r="I607" s="530"/>
      <c r="J607" s="530"/>
      <c r="K607" s="530"/>
      <c r="L607" s="530"/>
      <c r="M607" s="530"/>
      <c r="N607" s="530"/>
      <c r="O607" s="530"/>
      <c r="P607" s="530"/>
      <c r="Q607" s="530"/>
      <c r="R607" s="530"/>
      <c r="S607" s="530"/>
      <c r="T607" s="530"/>
      <c r="U607" s="530"/>
      <c r="V607" s="530"/>
      <c r="W607" s="530"/>
      <c r="X607" s="733"/>
      <c r="Y607" s="716"/>
      <c r="Z607" s="716"/>
      <c r="AA607" s="716"/>
      <c r="AB607" s="716"/>
      <c r="AC607" s="716"/>
      <c r="AD607" s="716"/>
      <c r="AE607" s="716"/>
      <c r="AF607" s="716"/>
      <c r="AG607" s="716"/>
      <c r="AH607" s="716"/>
      <c r="AI607" s="716"/>
      <c r="AJ607" s="716"/>
      <c r="AK607" s="716"/>
      <c r="AL607" s="716"/>
      <c r="AM607" s="716"/>
      <c r="AN607" s="716"/>
      <c r="AO607" s="716"/>
      <c r="AP607" s="716"/>
      <c r="AQ607" s="716"/>
      <c r="AR607" s="716"/>
    </row>
    <row r="608">
      <c r="A608" s="716"/>
      <c r="B608" s="530"/>
      <c r="C608" s="530"/>
      <c r="D608" s="530"/>
      <c r="E608" s="530"/>
      <c r="F608" s="530"/>
      <c r="G608" s="530"/>
      <c r="H608" s="530"/>
      <c r="I608" s="530"/>
      <c r="J608" s="530"/>
      <c r="K608" s="530"/>
      <c r="L608" s="530"/>
      <c r="M608" s="530"/>
      <c r="N608" s="530"/>
      <c r="O608" s="530"/>
      <c r="P608" s="530"/>
      <c r="Q608" s="530"/>
      <c r="R608" s="530"/>
      <c r="S608" s="530"/>
      <c r="T608" s="530"/>
      <c r="U608" s="530"/>
      <c r="V608" s="530"/>
      <c r="W608" s="530"/>
      <c r="X608" s="733"/>
      <c r="Y608" s="716"/>
      <c r="Z608" s="716"/>
      <c r="AA608" s="716"/>
      <c r="AB608" s="716"/>
      <c r="AC608" s="716"/>
      <c r="AD608" s="716"/>
      <c r="AE608" s="716"/>
      <c r="AF608" s="716"/>
      <c r="AG608" s="716"/>
      <c r="AH608" s="716"/>
      <c r="AI608" s="716"/>
      <c r="AJ608" s="716"/>
      <c r="AK608" s="716"/>
      <c r="AL608" s="716"/>
      <c r="AM608" s="716"/>
      <c r="AN608" s="716"/>
      <c r="AO608" s="716"/>
      <c r="AP608" s="716"/>
      <c r="AQ608" s="716"/>
      <c r="AR608" s="716"/>
    </row>
    <row r="609">
      <c r="A609" s="716"/>
      <c r="B609" s="530"/>
      <c r="C609" s="530"/>
      <c r="D609" s="530"/>
      <c r="E609" s="530"/>
      <c r="F609" s="530"/>
      <c r="G609" s="530"/>
      <c r="H609" s="530"/>
      <c r="I609" s="530"/>
      <c r="J609" s="530"/>
      <c r="K609" s="530"/>
      <c r="L609" s="530"/>
      <c r="M609" s="530"/>
      <c r="N609" s="530"/>
      <c r="O609" s="530"/>
      <c r="P609" s="530"/>
      <c r="Q609" s="530"/>
      <c r="R609" s="530"/>
      <c r="S609" s="530"/>
      <c r="T609" s="530"/>
      <c r="U609" s="530"/>
      <c r="V609" s="530"/>
      <c r="W609" s="530"/>
      <c r="X609" s="733"/>
      <c r="Y609" s="716"/>
      <c r="Z609" s="716"/>
      <c r="AA609" s="716"/>
      <c r="AB609" s="716"/>
      <c r="AC609" s="716"/>
      <c r="AD609" s="716"/>
      <c r="AE609" s="716"/>
      <c r="AF609" s="716"/>
      <c r="AG609" s="716"/>
      <c r="AH609" s="716"/>
      <c r="AI609" s="716"/>
      <c r="AJ609" s="716"/>
      <c r="AK609" s="716"/>
      <c r="AL609" s="716"/>
      <c r="AM609" s="716"/>
      <c r="AN609" s="716"/>
      <c r="AO609" s="716"/>
      <c r="AP609" s="716"/>
      <c r="AQ609" s="716"/>
      <c r="AR609" s="716"/>
    </row>
    <row r="610">
      <c r="A610" s="716"/>
      <c r="B610" s="530"/>
      <c r="C610" s="530"/>
      <c r="D610" s="530"/>
      <c r="E610" s="530"/>
      <c r="F610" s="530"/>
      <c r="G610" s="530"/>
      <c r="H610" s="530"/>
      <c r="I610" s="530"/>
      <c r="J610" s="530"/>
      <c r="K610" s="530"/>
      <c r="L610" s="530"/>
      <c r="M610" s="530"/>
      <c r="N610" s="530"/>
      <c r="O610" s="530"/>
      <c r="P610" s="530"/>
      <c r="Q610" s="530"/>
      <c r="R610" s="530"/>
      <c r="S610" s="530"/>
      <c r="T610" s="530"/>
      <c r="U610" s="530"/>
      <c r="V610" s="530"/>
      <c r="W610" s="530"/>
      <c r="X610" s="733"/>
      <c r="Y610" s="716"/>
      <c r="Z610" s="716"/>
      <c r="AA610" s="716"/>
      <c r="AB610" s="716"/>
      <c r="AC610" s="716"/>
      <c r="AD610" s="716"/>
      <c r="AE610" s="716"/>
      <c r="AF610" s="716"/>
      <c r="AG610" s="716"/>
      <c r="AH610" s="716"/>
      <c r="AI610" s="716"/>
      <c r="AJ610" s="716"/>
      <c r="AK610" s="716"/>
      <c r="AL610" s="716"/>
      <c r="AM610" s="716"/>
      <c r="AN610" s="716"/>
      <c r="AO610" s="716"/>
      <c r="AP610" s="716"/>
      <c r="AQ610" s="716"/>
      <c r="AR610" s="716"/>
    </row>
    <row r="611">
      <c r="A611" s="716"/>
      <c r="B611" s="530"/>
      <c r="C611" s="530"/>
      <c r="D611" s="530"/>
      <c r="E611" s="530"/>
      <c r="F611" s="530"/>
      <c r="G611" s="530"/>
      <c r="H611" s="530"/>
      <c r="I611" s="530"/>
      <c r="J611" s="530"/>
      <c r="K611" s="530"/>
      <c r="L611" s="530"/>
      <c r="M611" s="530"/>
      <c r="N611" s="530"/>
      <c r="O611" s="530"/>
      <c r="P611" s="530"/>
      <c r="Q611" s="530"/>
      <c r="R611" s="530"/>
      <c r="S611" s="530"/>
      <c r="T611" s="530"/>
      <c r="U611" s="530"/>
      <c r="V611" s="530"/>
      <c r="W611" s="530"/>
      <c r="X611" s="733"/>
      <c r="Y611" s="716"/>
      <c r="Z611" s="716"/>
      <c r="AA611" s="716"/>
      <c r="AB611" s="716"/>
      <c r="AC611" s="716"/>
      <c r="AD611" s="716"/>
      <c r="AE611" s="716"/>
      <c r="AF611" s="716"/>
      <c r="AG611" s="716"/>
      <c r="AH611" s="716"/>
      <c r="AI611" s="716"/>
      <c r="AJ611" s="716"/>
      <c r="AK611" s="716"/>
      <c r="AL611" s="716"/>
      <c r="AM611" s="716"/>
      <c r="AN611" s="716"/>
      <c r="AO611" s="716"/>
      <c r="AP611" s="716"/>
      <c r="AQ611" s="716"/>
      <c r="AR611" s="716"/>
    </row>
    <row r="612">
      <c r="A612" s="716"/>
      <c r="B612" s="530"/>
      <c r="C612" s="530"/>
      <c r="D612" s="530"/>
      <c r="E612" s="530"/>
      <c r="F612" s="530"/>
      <c r="G612" s="530"/>
      <c r="H612" s="530"/>
      <c r="I612" s="530"/>
      <c r="J612" s="530"/>
      <c r="K612" s="530"/>
      <c r="L612" s="530"/>
      <c r="M612" s="530"/>
      <c r="N612" s="530"/>
      <c r="O612" s="530"/>
      <c r="P612" s="530"/>
      <c r="Q612" s="530"/>
      <c r="R612" s="530"/>
      <c r="S612" s="530"/>
      <c r="T612" s="530"/>
      <c r="U612" s="530"/>
      <c r="V612" s="530"/>
      <c r="W612" s="530"/>
      <c r="X612" s="733"/>
      <c r="Y612" s="716"/>
      <c r="Z612" s="716"/>
      <c r="AA612" s="716"/>
      <c r="AB612" s="716"/>
      <c r="AC612" s="716"/>
      <c r="AD612" s="716"/>
      <c r="AE612" s="716"/>
      <c r="AF612" s="716"/>
      <c r="AG612" s="716"/>
      <c r="AH612" s="716"/>
      <c r="AI612" s="716"/>
      <c r="AJ612" s="716"/>
      <c r="AK612" s="716"/>
      <c r="AL612" s="716"/>
      <c r="AM612" s="716"/>
      <c r="AN612" s="716"/>
      <c r="AO612" s="716"/>
      <c r="AP612" s="716"/>
      <c r="AQ612" s="716"/>
      <c r="AR612" s="716"/>
    </row>
    <row r="613">
      <c r="A613" s="716"/>
      <c r="B613" s="530"/>
      <c r="C613" s="530"/>
      <c r="D613" s="530"/>
      <c r="E613" s="530"/>
      <c r="F613" s="530"/>
      <c r="G613" s="530"/>
      <c r="H613" s="530"/>
      <c r="I613" s="530"/>
      <c r="J613" s="530"/>
      <c r="K613" s="530"/>
      <c r="L613" s="530"/>
      <c r="M613" s="530"/>
      <c r="N613" s="530"/>
      <c r="O613" s="530"/>
      <c r="P613" s="530"/>
      <c r="Q613" s="530"/>
      <c r="R613" s="530"/>
      <c r="S613" s="530"/>
      <c r="T613" s="530"/>
      <c r="U613" s="530"/>
      <c r="V613" s="530"/>
      <c r="W613" s="530"/>
      <c r="X613" s="733"/>
      <c r="Y613" s="716"/>
      <c r="Z613" s="716"/>
      <c r="AA613" s="716"/>
      <c r="AB613" s="716"/>
      <c r="AC613" s="716"/>
      <c r="AD613" s="716"/>
      <c r="AE613" s="716"/>
      <c r="AF613" s="716"/>
      <c r="AG613" s="716"/>
      <c r="AH613" s="716"/>
      <c r="AI613" s="716"/>
      <c r="AJ613" s="716"/>
      <c r="AK613" s="716"/>
      <c r="AL613" s="716"/>
      <c r="AM613" s="716"/>
      <c r="AN613" s="716"/>
      <c r="AO613" s="716"/>
      <c r="AP613" s="716"/>
      <c r="AQ613" s="716"/>
      <c r="AR613" s="716"/>
    </row>
    <row r="614">
      <c r="A614" s="716"/>
      <c r="B614" s="530"/>
      <c r="C614" s="530"/>
      <c r="D614" s="530"/>
      <c r="E614" s="530"/>
      <c r="F614" s="530"/>
      <c r="G614" s="530"/>
      <c r="H614" s="530"/>
      <c r="I614" s="530"/>
      <c r="J614" s="530"/>
      <c r="K614" s="530"/>
      <c r="L614" s="530"/>
      <c r="M614" s="530"/>
      <c r="N614" s="530"/>
      <c r="O614" s="530"/>
      <c r="P614" s="530"/>
      <c r="Q614" s="530"/>
      <c r="R614" s="530"/>
      <c r="S614" s="530"/>
      <c r="T614" s="530"/>
      <c r="U614" s="530"/>
      <c r="V614" s="530"/>
      <c r="W614" s="530"/>
      <c r="X614" s="733"/>
      <c r="Y614" s="716"/>
      <c r="Z614" s="716"/>
      <c r="AA614" s="716"/>
      <c r="AB614" s="716"/>
      <c r="AC614" s="716"/>
      <c r="AD614" s="716"/>
      <c r="AE614" s="716"/>
      <c r="AF614" s="716"/>
      <c r="AG614" s="716"/>
      <c r="AH614" s="716"/>
      <c r="AI614" s="716"/>
      <c r="AJ614" s="716"/>
      <c r="AK614" s="716"/>
      <c r="AL614" s="716"/>
      <c r="AM614" s="716"/>
      <c r="AN614" s="716"/>
      <c r="AO614" s="716"/>
      <c r="AP614" s="716"/>
      <c r="AQ614" s="716"/>
      <c r="AR614" s="716"/>
    </row>
    <row r="615">
      <c r="A615" s="716"/>
      <c r="B615" s="530"/>
      <c r="C615" s="530"/>
      <c r="D615" s="530"/>
      <c r="E615" s="530"/>
      <c r="F615" s="530"/>
      <c r="G615" s="530"/>
      <c r="H615" s="530"/>
      <c r="I615" s="530"/>
      <c r="J615" s="530"/>
      <c r="K615" s="530"/>
      <c r="L615" s="530"/>
      <c r="M615" s="530"/>
      <c r="N615" s="530"/>
      <c r="O615" s="530"/>
      <c r="P615" s="530"/>
      <c r="Q615" s="530"/>
      <c r="R615" s="530"/>
      <c r="S615" s="530"/>
      <c r="T615" s="530"/>
      <c r="U615" s="530"/>
      <c r="V615" s="530"/>
      <c r="W615" s="530"/>
      <c r="X615" s="733"/>
      <c r="Y615" s="716"/>
      <c r="Z615" s="716"/>
      <c r="AA615" s="716"/>
      <c r="AB615" s="716"/>
      <c r="AC615" s="716"/>
      <c r="AD615" s="716"/>
      <c r="AE615" s="716"/>
      <c r="AF615" s="716"/>
      <c r="AG615" s="716"/>
      <c r="AH615" s="716"/>
      <c r="AI615" s="716"/>
      <c r="AJ615" s="716"/>
      <c r="AK615" s="716"/>
      <c r="AL615" s="716"/>
      <c r="AM615" s="716"/>
      <c r="AN615" s="716"/>
      <c r="AO615" s="716"/>
      <c r="AP615" s="716"/>
      <c r="AQ615" s="716"/>
      <c r="AR615" s="716"/>
    </row>
    <row r="616">
      <c r="A616" s="716"/>
      <c r="B616" s="530"/>
      <c r="C616" s="530"/>
      <c r="D616" s="530"/>
      <c r="E616" s="530"/>
      <c r="F616" s="530"/>
      <c r="G616" s="530"/>
      <c r="H616" s="530"/>
      <c r="I616" s="530"/>
      <c r="J616" s="530"/>
      <c r="K616" s="530"/>
      <c r="L616" s="530"/>
      <c r="M616" s="530"/>
      <c r="N616" s="530"/>
      <c r="O616" s="530"/>
      <c r="P616" s="530"/>
      <c r="Q616" s="530"/>
      <c r="R616" s="530"/>
      <c r="S616" s="530"/>
      <c r="T616" s="530"/>
      <c r="U616" s="530"/>
      <c r="V616" s="530"/>
      <c r="W616" s="530"/>
      <c r="X616" s="733"/>
      <c r="Y616" s="716"/>
      <c r="Z616" s="716"/>
      <c r="AA616" s="716"/>
      <c r="AB616" s="716"/>
      <c r="AC616" s="716"/>
      <c r="AD616" s="716"/>
      <c r="AE616" s="716"/>
      <c r="AF616" s="716"/>
      <c r="AG616" s="716"/>
      <c r="AH616" s="716"/>
      <c r="AI616" s="716"/>
      <c r="AJ616" s="716"/>
      <c r="AK616" s="716"/>
      <c r="AL616" s="716"/>
      <c r="AM616" s="716"/>
      <c r="AN616" s="716"/>
      <c r="AO616" s="716"/>
      <c r="AP616" s="716"/>
      <c r="AQ616" s="716"/>
      <c r="AR616" s="716"/>
    </row>
    <row r="617">
      <c r="A617" s="716"/>
      <c r="B617" s="530"/>
      <c r="C617" s="530"/>
      <c r="D617" s="530"/>
      <c r="E617" s="530"/>
      <c r="F617" s="530"/>
      <c r="G617" s="530"/>
      <c r="H617" s="530"/>
      <c r="I617" s="530"/>
      <c r="J617" s="530"/>
      <c r="K617" s="530"/>
      <c r="L617" s="530"/>
      <c r="M617" s="530"/>
      <c r="N617" s="530"/>
      <c r="O617" s="530"/>
      <c r="P617" s="530"/>
      <c r="Q617" s="530"/>
      <c r="R617" s="530"/>
      <c r="S617" s="530"/>
      <c r="T617" s="530"/>
      <c r="U617" s="530"/>
      <c r="V617" s="530"/>
      <c r="W617" s="530"/>
      <c r="X617" s="733"/>
      <c r="Y617" s="716"/>
      <c r="Z617" s="716"/>
      <c r="AA617" s="716"/>
      <c r="AB617" s="716"/>
      <c r="AC617" s="716"/>
      <c r="AD617" s="716"/>
      <c r="AE617" s="716"/>
      <c r="AF617" s="716"/>
      <c r="AG617" s="716"/>
      <c r="AH617" s="716"/>
      <c r="AI617" s="716"/>
      <c r="AJ617" s="716"/>
      <c r="AK617" s="716"/>
      <c r="AL617" s="716"/>
      <c r="AM617" s="716"/>
      <c r="AN617" s="716"/>
      <c r="AO617" s="716"/>
      <c r="AP617" s="716"/>
      <c r="AQ617" s="716"/>
      <c r="AR617" s="716"/>
    </row>
    <row r="618">
      <c r="A618" s="716"/>
      <c r="B618" s="530"/>
      <c r="C618" s="530"/>
      <c r="D618" s="530"/>
      <c r="E618" s="530"/>
      <c r="F618" s="530"/>
      <c r="G618" s="530"/>
      <c r="H618" s="530"/>
      <c r="I618" s="530"/>
      <c r="J618" s="530"/>
      <c r="K618" s="530"/>
      <c r="L618" s="530"/>
      <c r="M618" s="530"/>
      <c r="N618" s="530"/>
      <c r="O618" s="530"/>
      <c r="P618" s="530"/>
      <c r="Q618" s="530"/>
      <c r="R618" s="530"/>
      <c r="S618" s="530"/>
      <c r="T618" s="530"/>
      <c r="U618" s="530"/>
      <c r="V618" s="530"/>
      <c r="W618" s="530"/>
      <c r="X618" s="733"/>
      <c r="Y618" s="716"/>
      <c r="Z618" s="716"/>
      <c r="AA618" s="716"/>
      <c r="AB618" s="716"/>
      <c r="AC618" s="716"/>
      <c r="AD618" s="716"/>
      <c r="AE618" s="716"/>
      <c r="AF618" s="716"/>
      <c r="AG618" s="716"/>
      <c r="AH618" s="716"/>
      <c r="AI618" s="716"/>
      <c r="AJ618" s="716"/>
      <c r="AK618" s="716"/>
      <c r="AL618" s="716"/>
      <c r="AM618" s="716"/>
      <c r="AN618" s="716"/>
      <c r="AO618" s="716"/>
      <c r="AP618" s="716"/>
      <c r="AQ618" s="716"/>
      <c r="AR618" s="716"/>
    </row>
    <row r="619">
      <c r="A619" s="716"/>
      <c r="B619" s="530"/>
      <c r="C619" s="530"/>
      <c r="D619" s="530"/>
      <c r="E619" s="530"/>
      <c r="F619" s="530"/>
      <c r="G619" s="530"/>
      <c r="H619" s="530"/>
      <c r="I619" s="530"/>
      <c r="J619" s="530"/>
      <c r="K619" s="530"/>
      <c r="L619" s="530"/>
      <c r="M619" s="530"/>
      <c r="N619" s="530"/>
      <c r="O619" s="530"/>
      <c r="P619" s="530"/>
      <c r="Q619" s="530"/>
      <c r="R619" s="530"/>
      <c r="S619" s="530"/>
      <c r="T619" s="530"/>
      <c r="U619" s="530"/>
      <c r="V619" s="530"/>
      <c r="W619" s="530"/>
      <c r="X619" s="733"/>
      <c r="Y619" s="716"/>
      <c r="Z619" s="716"/>
      <c r="AA619" s="716"/>
      <c r="AB619" s="716"/>
      <c r="AC619" s="716"/>
      <c r="AD619" s="716"/>
      <c r="AE619" s="716"/>
      <c r="AF619" s="716"/>
      <c r="AG619" s="716"/>
      <c r="AH619" s="716"/>
      <c r="AI619" s="716"/>
      <c r="AJ619" s="716"/>
      <c r="AK619" s="716"/>
      <c r="AL619" s="716"/>
      <c r="AM619" s="716"/>
      <c r="AN619" s="716"/>
      <c r="AO619" s="716"/>
      <c r="AP619" s="716"/>
      <c r="AQ619" s="716"/>
      <c r="AR619" s="716"/>
    </row>
    <row r="620">
      <c r="A620" s="716"/>
      <c r="B620" s="530"/>
      <c r="C620" s="530"/>
      <c r="D620" s="530"/>
      <c r="E620" s="530"/>
      <c r="F620" s="530"/>
      <c r="G620" s="530"/>
      <c r="H620" s="530"/>
      <c r="I620" s="530"/>
      <c r="J620" s="530"/>
      <c r="K620" s="530"/>
      <c r="L620" s="530"/>
      <c r="M620" s="530"/>
      <c r="N620" s="530"/>
      <c r="O620" s="530"/>
      <c r="P620" s="530"/>
      <c r="Q620" s="530"/>
      <c r="R620" s="530"/>
      <c r="S620" s="530"/>
      <c r="T620" s="530"/>
      <c r="U620" s="530"/>
      <c r="V620" s="530"/>
      <c r="W620" s="530"/>
      <c r="X620" s="733"/>
      <c r="Y620" s="716"/>
      <c r="Z620" s="716"/>
      <c r="AA620" s="716"/>
      <c r="AB620" s="716"/>
      <c r="AC620" s="716"/>
      <c r="AD620" s="716"/>
      <c r="AE620" s="716"/>
      <c r="AF620" s="716"/>
      <c r="AG620" s="716"/>
      <c r="AH620" s="716"/>
      <c r="AI620" s="716"/>
      <c r="AJ620" s="716"/>
      <c r="AK620" s="716"/>
      <c r="AL620" s="716"/>
      <c r="AM620" s="716"/>
      <c r="AN620" s="716"/>
      <c r="AO620" s="716"/>
      <c r="AP620" s="716"/>
      <c r="AQ620" s="716"/>
      <c r="AR620" s="716"/>
    </row>
    <row r="621">
      <c r="A621" s="716"/>
      <c r="B621" s="530"/>
      <c r="C621" s="530"/>
      <c r="D621" s="530"/>
      <c r="E621" s="530"/>
      <c r="F621" s="530"/>
      <c r="G621" s="530"/>
      <c r="H621" s="530"/>
      <c r="I621" s="530"/>
      <c r="J621" s="530"/>
      <c r="K621" s="530"/>
      <c r="L621" s="530"/>
      <c r="M621" s="530"/>
      <c r="N621" s="530"/>
      <c r="O621" s="530"/>
      <c r="P621" s="530"/>
      <c r="Q621" s="530"/>
      <c r="R621" s="530"/>
      <c r="S621" s="530"/>
      <c r="T621" s="530"/>
      <c r="U621" s="530"/>
      <c r="V621" s="530"/>
      <c r="W621" s="530"/>
      <c r="X621" s="733"/>
      <c r="Y621" s="716"/>
      <c r="Z621" s="716"/>
      <c r="AA621" s="716"/>
      <c r="AB621" s="716"/>
      <c r="AC621" s="716"/>
      <c r="AD621" s="716"/>
      <c r="AE621" s="716"/>
      <c r="AF621" s="716"/>
      <c r="AG621" s="716"/>
      <c r="AH621" s="716"/>
      <c r="AI621" s="716"/>
      <c r="AJ621" s="716"/>
      <c r="AK621" s="716"/>
      <c r="AL621" s="716"/>
      <c r="AM621" s="716"/>
      <c r="AN621" s="716"/>
      <c r="AO621" s="716"/>
      <c r="AP621" s="716"/>
      <c r="AQ621" s="716"/>
      <c r="AR621" s="716"/>
    </row>
    <row r="622">
      <c r="A622" s="716"/>
      <c r="B622" s="530"/>
      <c r="C622" s="530"/>
      <c r="D622" s="530"/>
      <c r="E622" s="530"/>
      <c r="F622" s="530"/>
      <c r="G622" s="530"/>
      <c r="H622" s="530"/>
      <c r="I622" s="530"/>
      <c r="J622" s="530"/>
      <c r="K622" s="530"/>
      <c r="L622" s="530"/>
      <c r="M622" s="530"/>
      <c r="N622" s="530"/>
      <c r="O622" s="530"/>
      <c r="P622" s="530"/>
      <c r="Q622" s="530"/>
      <c r="R622" s="530"/>
      <c r="S622" s="530"/>
      <c r="T622" s="530"/>
      <c r="U622" s="530"/>
      <c r="V622" s="530"/>
      <c r="W622" s="530"/>
      <c r="X622" s="733"/>
      <c r="Y622" s="716"/>
      <c r="Z622" s="716"/>
      <c r="AA622" s="716"/>
      <c r="AB622" s="716"/>
      <c r="AC622" s="716"/>
      <c r="AD622" s="716"/>
      <c r="AE622" s="716"/>
      <c r="AF622" s="716"/>
      <c r="AG622" s="716"/>
      <c r="AH622" s="716"/>
      <c r="AI622" s="716"/>
      <c r="AJ622" s="716"/>
      <c r="AK622" s="716"/>
      <c r="AL622" s="716"/>
      <c r="AM622" s="716"/>
      <c r="AN622" s="716"/>
      <c r="AO622" s="716"/>
      <c r="AP622" s="716"/>
      <c r="AQ622" s="716"/>
      <c r="AR622" s="716"/>
    </row>
    <row r="623">
      <c r="A623" s="716"/>
      <c r="B623" s="530"/>
      <c r="C623" s="530"/>
      <c r="D623" s="530"/>
      <c r="E623" s="530"/>
      <c r="F623" s="530"/>
      <c r="G623" s="530"/>
      <c r="H623" s="530"/>
      <c r="I623" s="530"/>
      <c r="J623" s="530"/>
      <c r="K623" s="530"/>
      <c r="L623" s="530"/>
      <c r="M623" s="530"/>
      <c r="N623" s="530"/>
      <c r="O623" s="530"/>
      <c r="P623" s="530"/>
      <c r="Q623" s="530"/>
      <c r="R623" s="530"/>
      <c r="S623" s="530"/>
      <c r="T623" s="530"/>
      <c r="U623" s="530"/>
      <c r="V623" s="530"/>
      <c r="W623" s="530"/>
      <c r="X623" s="733"/>
      <c r="Y623" s="716"/>
      <c r="Z623" s="716"/>
      <c r="AA623" s="716"/>
      <c r="AB623" s="716"/>
      <c r="AC623" s="716"/>
      <c r="AD623" s="716"/>
      <c r="AE623" s="716"/>
      <c r="AF623" s="716"/>
      <c r="AG623" s="716"/>
      <c r="AH623" s="716"/>
      <c r="AI623" s="716"/>
      <c r="AJ623" s="716"/>
      <c r="AK623" s="716"/>
      <c r="AL623" s="716"/>
      <c r="AM623" s="716"/>
      <c r="AN623" s="716"/>
      <c r="AO623" s="716"/>
      <c r="AP623" s="716"/>
      <c r="AQ623" s="716"/>
      <c r="AR623" s="716"/>
    </row>
    <row r="624">
      <c r="A624" s="716"/>
      <c r="B624" s="530"/>
      <c r="C624" s="530"/>
      <c r="D624" s="530"/>
      <c r="E624" s="530"/>
      <c r="F624" s="530"/>
      <c r="G624" s="530"/>
      <c r="H624" s="530"/>
      <c r="I624" s="530"/>
      <c r="J624" s="530"/>
      <c r="K624" s="530"/>
      <c r="L624" s="530"/>
      <c r="M624" s="530"/>
      <c r="N624" s="530"/>
      <c r="O624" s="530"/>
      <c r="P624" s="530"/>
      <c r="Q624" s="530"/>
      <c r="R624" s="530"/>
      <c r="S624" s="530"/>
      <c r="T624" s="530"/>
      <c r="U624" s="530"/>
      <c r="V624" s="530"/>
      <c r="W624" s="530"/>
      <c r="X624" s="733"/>
      <c r="Y624" s="716"/>
      <c r="Z624" s="716"/>
      <c r="AA624" s="716"/>
      <c r="AB624" s="716"/>
      <c r="AC624" s="716"/>
      <c r="AD624" s="716"/>
      <c r="AE624" s="716"/>
      <c r="AF624" s="716"/>
      <c r="AG624" s="716"/>
      <c r="AH624" s="716"/>
      <c r="AI624" s="716"/>
      <c r="AJ624" s="716"/>
      <c r="AK624" s="716"/>
      <c r="AL624" s="716"/>
      <c r="AM624" s="716"/>
      <c r="AN624" s="716"/>
      <c r="AO624" s="716"/>
      <c r="AP624" s="716"/>
      <c r="AQ624" s="716"/>
      <c r="AR624" s="716"/>
    </row>
    <row r="625">
      <c r="A625" s="716"/>
      <c r="B625" s="530"/>
      <c r="C625" s="530"/>
      <c r="D625" s="530"/>
      <c r="E625" s="530"/>
      <c r="F625" s="530"/>
      <c r="G625" s="530"/>
      <c r="H625" s="530"/>
      <c r="I625" s="530"/>
      <c r="J625" s="530"/>
      <c r="K625" s="530"/>
      <c r="L625" s="530"/>
      <c r="M625" s="530"/>
      <c r="N625" s="530"/>
      <c r="O625" s="530"/>
      <c r="P625" s="530"/>
      <c r="Q625" s="530"/>
      <c r="R625" s="530"/>
      <c r="S625" s="530"/>
      <c r="T625" s="530"/>
      <c r="U625" s="530"/>
      <c r="V625" s="530"/>
      <c r="W625" s="530"/>
      <c r="X625" s="733"/>
      <c r="Y625" s="716"/>
      <c r="Z625" s="716"/>
      <c r="AA625" s="716"/>
      <c r="AB625" s="716"/>
      <c r="AC625" s="716"/>
      <c r="AD625" s="716"/>
      <c r="AE625" s="716"/>
      <c r="AF625" s="716"/>
      <c r="AG625" s="716"/>
      <c r="AH625" s="716"/>
      <c r="AI625" s="716"/>
      <c r="AJ625" s="716"/>
      <c r="AK625" s="716"/>
      <c r="AL625" s="716"/>
      <c r="AM625" s="716"/>
      <c r="AN625" s="716"/>
      <c r="AO625" s="716"/>
      <c r="AP625" s="716"/>
      <c r="AQ625" s="716"/>
      <c r="AR625" s="716"/>
    </row>
    <row r="626">
      <c r="A626" s="716"/>
      <c r="B626" s="530"/>
      <c r="C626" s="530"/>
      <c r="D626" s="530"/>
      <c r="E626" s="530"/>
      <c r="F626" s="530"/>
      <c r="G626" s="530"/>
      <c r="H626" s="530"/>
      <c r="I626" s="530"/>
      <c r="J626" s="530"/>
      <c r="K626" s="530"/>
      <c r="L626" s="530"/>
      <c r="M626" s="530"/>
      <c r="N626" s="530"/>
      <c r="O626" s="530"/>
      <c r="P626" s="530"/>
      <c r="Q626" s="530"/>
      <c r="R626" s="530"/>
      <c r="S626" s="530"/>
      <c r="T626" s="530"/>
      <c r="U626" s="530"/>
      <c r="V626" s="530"/>
      <c r="W626" s="530"/>
      <c r="X626" s="733"/>
      <c r="Y626" s="716"/>
      <c r="Z626" s="716"/>
      <c r="AA626" s="716"/>
      <c r="AB626" s="716"/>
      <c r="AC626" s="716"/>
      <c r="AD626" s="716"/>
      <c r="AE626" s="716"/>
      <c r="AF626" s="716"/>
      <c r="AG626" s="716"/>
      <c r="AH626" s="716"/>
      <c r="AI626" s="716"/>
      <c r="AJ626" s="716"/>
      <c r="AK626" s="716"/>
      <c r="AL626" s="716"/>
      <c r="AM626" s="716"/>
      <c r="AN626" s="716"/>
      <c r="AO626" s="716"/>
      <c r="AP626" s="716"/>
      <c r="AQ626" s="716"/>
      <c r="AR626" s="716"/>
    </row>
    <row r="627">
      <c r="A627" s="716"/>
      <c r="B627" s="530"/>
      <c r="C627" s="530"/>
      <c r="D627" s="530"/>
      <c r="E627" s="530"/>
      <c r="F627" s="530"/>
      <c r="G627" s="530"/>
      <c r="H627" s="530"/>
      <c r="I627" s="530"/>
      <c r="J627" s="530"/>
      <c r="K627" s="530"/>
      <c r="L627" s="530"/>
      <c r="M627" s="530"/>
      <c r="N627" s="530"/>
      <c r="O627" s="530"/>
      <c r="P627" s="530"/>
      <c r="Q627" s="530"/>
      <c r="R627" s="530"/>
      <c r="S627" s="530"/>
      <c r="T627" s="530"/>
      <c r="U627" s="530"/>
      <c r="V627" s="530"/>
      <c r="W627" s="530"/>
      <c r="X627" s="733"/>
      <c r="Y627" s="716"/>
      <c r="Z627" s="716"/>
      <c r="AA627" s="716"/>
      <c r="AB627" s="716"/>
      <c r="AC627" s="716"/>
      <c r="AD627" s="716"/>
      <c r="AE627" s="716"/>
      <c r="AF627" s="716"/>
      <c r="AG627" s="716"/>
      <c r="AH627" s="716"/>
      <c r="AI627" s="716"/>
      <c r="AJ627" s="716"/>
      <c r="AK627" s="716"/>
      <c r="AL627" s="716"/>
      <c r="AM627" s="716"/>
      <c r="AN627" s="716"/>
      <c r="AO627" s="716"/>
      <c r="AP627" s="716"/>
      <c r="AQ627" s="716"/>
      <c r="AR627" s="716"/>
    </row>
    <row r="628">
      <c r="A628" s="716"/>
      <c r="B628" s="530"/>
      <c r="C628" s="530"/>
      <c r="D628" s="530"/>
      <c r="E628" s="530"/>
      <c r="F628" s="530"/>
      <c r="G628" s="530"/>
      <c r="H628" s="530"/>
      <c r="I628" s="530"/>
      <c r="J628" s="530"/>
      <c r="K628" s="530"/>
      <c r="L628" s="530"/>
      <c r="M628" s="530"/>
      <c r="N628" s="530"/>
      <c r="O628" s="530"/>
      <c r="P628" s="530"/>
      <c r="Q628" s="530"/>
      <c r="R628" s="530"/>
      <c r="S628" s="530"/>
      <c r="T628" s="530"/>
      <c r="U628" s="530"/>
      <c r="V628" s="530"/>
      <c r="W628" s="530"/>
      <c r="X628" s="733"/>
      <c r="Y628" s="716"/>
      <c r="Z628" s="716"/>
      <c r="AA628" s="716"/>
      <c r="AB628" s="716"/>
      <c r="AC628" s="716"/>
      <c r="AD628" s="716"/>
      <c r="AE628" s="716"/>
      <c r="AF628" s="716"/>
      <c r="AG628" s="716"/>
      <c r="AH628" s="716"/>
      <c r="AI628" s="716"/>
      <c r="AJ628" s="716"/>
      <c r="AK628" s="716"/>
      <c r="AL628" s="716"/>
      <c r="AM628" s="716"/>
      <c r="AN628" s="716"/>
      <c r="AO628" s="716"/>
      <c r="AP628" s="716"/>
      <c r="AQ628" s="716"/>
      <c r="AR628" s="716"/>
    </row>
    <row r="629">
      <c r="A629" s="716"/>
      <c r="B629" s="530"/>
      <c r="C629" s="530"/>
      <c r="D629" s="530"/>
      <c r="E629" s="530"/>
      <c r="F629" s="530"/>
      <c r="G629" s="530"/>
      <c r="H629" s="530"/>
      <c r="I629" s="530"/>
      <c r="J629" s="530"/>
      <c r="K629" s="530"/>
      <c r="L629" s="530"/>
      <c r="M629" s="530"/>
      <c r="N629" s="530"/>
      <c r="O629" s="530"/>
      <c r="P629" s="530"/>
      <c r="Q629" s="530"/>
      <c r="R629" s="530"/>
      <c r="S629" s="530"/>
      <c r="T629" s="530"/>
      <c r="U629" s="530"/>
      <c r="V629" s="530"/>
      <c r="W629" s="530"/>
      <c r="X629" s="733"/>
      <c r="Y629" s="716"/>
      <c r="Z629" s="716"/>
      <c r="AA629" s="716"/>
      <c r="AB629" s="716"/>
      <c r="AC629" s="716"/>
      <c r="AD629" s="716"/>
      <c r="AE629" s="716"/>
      <c r="AF629" s="716"/>
      <c r="AG629" s="716"/>
      <c r="AH629" s="716"/>
      <c r="AI629" s="716"/>
      <c r="AJ629" s="716"/>
      <c r="AK629" s="716"/>
      <c r="AL629" s="716"/>
      <c r="AM629" s="716"/>
      <c r="AN629" s="716"/>
      <c r="AO629" s="716"/>
      <c r="AP629" s="716"/>
      <c r="AQ629" s="716"/>
      <c r="AR629" s="716"/>
    </row>
    <row r="630">
      <c r="A630" s="716"/>
      <c r="B630" s="530"/>
      <c r="C630" s="530"/>
      <c r="D630" s="530"/>
      <c r="E630" s="530"/>
      <c r="F630" s="530"/>
      <c r="G630" s="530"/>
      <c r="H630" s="530"/>
      <c r="I630" s="530"/>
      <c r="J630" s="530"/>
      <c r="K630" s="530"/>
      <c r="L630" s="530"/>
      <c r="M630" s="530"/>
      <c r="N630" s="530"/>
      <c r="O630" s="530"/>
      <c r="P630" s="530"/>
      <c r="Q630" s="530"/>
      <c r="R630" s="530"/>
      <c r="S630" s="530"/>
      <c r="T630" s="530"/>
      <c r="U630" s="530"/>
      <c r="V630" s="530"/>
      <c r="W630" s="530"/>
      <c r="X630" s="733"/>
      <c r="Y630" s="716"/>
      <c r="Z630" s="716"/>
      <c r="AA630" s="716"/>
      <c r="AB630" s="716"/>
      <c r="AC630" s="716"/>
      <c r="AD630" s="716"/>
      <c r="AE630" s="716"/>
      <c r="AF630" s="716"/>
      <c r="AG630" s="716"/>
      <c r="AH630" s="716"/>
      <c r="AI630" s="716"/>
      <c r="AJ630" s="716"/>
      <c r="AK630" s="716"/>
      <c r="AL630" s="716"/>
      <c r="AM630" s="716"/>
      <c r="AN630" s="716"/>
      <c r="AO630" s="716"/>
      <c r="AP630" s="716"/>
      <c r="AQ630" s="716"/>
      <c r="AR630" s="716"/>
    </row>
    <row r="631">
      <c r="A631" s="716"/>
      <c r="B631" s="530"/>
      <c r="C631" s="530"/>
      <c r="D631" s="530"/>
      <c r="E631" s="530"/>
      <c r="F631" s="530"/>
      <c r="G631" s="530"/>
      <c r="H631" s="530"/>
      <c r="I631" s="530"/>
      <c r="J631" s="530"/>
      <c r="K631" s="530"/>
      <c r="L631" s="530"/>
      <c r="M631" s="530"/>
      <c r="N631" s="530"/>
      <c r="O631" s="530"/>
      <c r="P631" s="530"/>
      <c r="Q631" s="530"/>
      <c r="R631" s="530"/>
      <c r="S631" s="530"/>
      <c r="T631" s="530"/>
      <c r="U631" s="530"/>
      <c r="V631" s="530"/>
      <c r="W631" s="530"/>
      <c r="X631" s="733"/>
      <c r="Y631" s="716"/>
      <c r="Z631" s="716"/>
      <c r="AA631" s="716"/>
      <c r="AB631" s="716"/>
      <c r="AC631" s="716"/>
      <c r="AD631" s="716"/>
      <c r="AE631" s="716"/>
      <c r="AF631" s="716"/>
      <c r="AG631" s="716"/>
      <c r="AH631" s="716"/>
      <c r="AI631" s="716"/>
      <c r="AJ631" s="716"/>
      <c r="AK631" s="716"/>
      <c r="AL631" s="716"/>
      <c r="AM631" s="716"/>
      <c r="AN631" s="716"/>
      <c r="AO631" s="716"/>
      <c r="AP631" s="716"/>
      <c r="AQ631" s="716"/>
      <c r="AR631" s="716"/>
    </row>
    <row r="632">
      <c r="A632" s="716"/>
      <c r="B632" s="530"/>
      <c r="C632" s="530"/>
      <c r="D632" s="530"/>
      <c r="E632" s="530"/>
      <c r="F632" s="530"/>
      <c r="G632" s="530"/>
      <c r="H632" s="530"/>
      <c r="I632" s="530"/>
      <c r="J632" s="530"/>
      <c r="K632" s="530"/>
      <c r="L632" s="530"/>
      <c r="M632" s="530"/>
      <c r="N632" s="530"/>
      <c r="O632" s="530"/>
      <c r="P632" s="530"/>
      <c r="Q632" s="530"/>
      <c r="R632" s="530"/>
      <c r="S632" s="530"/>
      <c r="T632" s="530"/>
      <c r="U632" s="530"/>
      <c r="V632" s="530"/>
      <c r="W632" s="530"/>
      <c r="X632" s="733"/>
      <c r="Y632" s="716"/>
      <c r="Z632" s="716"/>
      <c r="AA632" s="716"/>
      <c r="AB632" s="716"/>
      <c r="AC632" s="716"/>
      <c r="AD632" s="716"/>
      <c r="AE632" s="716"/>
      <c r="AF632" s="716"/>
      <c r="AG632" s="716"/>
      <c r="AH632" s="716"/>
      <c r="AI632" s="716"/>
      <c r="AJ632" s="716"/>
      <c r="AK632" s="716"/>
      <c r="AL632" s="716"/>
      <c r="AM632" s="716"/>
      <c r="AN632" s="716"/>
      <c r="AO632" s="716"/>
      <c r="AP632" s="716"/>
      <c r="AQ632" s="716"/>
      <c r="AR632" s="716"/>
    </row>
    <row r="633">
      <c r="A633" s="716"/>
      <c r="B633" s="530"/>
      <c r="C633" s="530"/>
      <c r="D633" s="530"/>
      <c r="E633" s="530"/>
      <c r="F633" s="530"/>
      <c r="G633" s="530"/>
      <c r="H633" s="530"/>
      <c r="I633" s="530"/>
      <c r="J633" s="530"/>
      <c r="K633" s="530"/>
      <c r="L633" s="530"/>
      <c r="M633" s="530"/>
      <c r="N633" s="530"/>
      <c r="O633" s="530"/>
      <c r="P633" s="530"/>
      <c r="Q633" s="530"/>
      <c r="R633" s="530"/>
      <c r="S633" s="530"/>
      <c r="T633" s="530"/>
      <c r="U633" s="530"/>
      <c r="V633" s="530"/>
      <c r="W633" s="530"/>
      <c r="X633" s="733"/>
      <c r="Y633" s="716"/>
      <c r="Z633" s="716"/>
      <c r="AA633" s="716"/>
      <c r="AB633" s="716"/>
      <c r="AC633" s="716"/>
      <c r="AD633" s="716"/>
      <c r="AE633" s="716"/>
      <c r="AF633" s="716"/>
      <c r="AG633" s="716"/>
      <c r="AH633" s="716"/>
      <c r="AI633" s="716"/>
      <c r="AJ633" s="716"/>
      <c r="AK633" s="716"/>
      <c r="AL633" s="716"/>
      <c r="AM633" s="716"/>
      <c r="AN633" s="716"/>
      <c r="AO633" s="716"/>
      <c r="AP633" s="716"/>
      <c r="AQ633" s="716"/>
      <c r="AR633" s="716"/>
    </row>
    <row r="634">
      <c r="A634" s="716"/>
      <c r="B634" s="530"/>
      <c r="C634" s="530"/>
      <c r="D634" s="530"/>
      <c r="E634" s="530"/>
      <c r="F634" s="530"/>
      <c r="G634" s="530"/>
      <c r="H634" s="530"/>
      <c r="I634" s="530"/>
      <c r="J634" s="530"/>
      <c r="K634" s="530"/>
      <c r="L634" s="530"/>
      <c r="M634" s="530"/>
      <c r="N634" s="530"/>
      <c r="O634" s="530"/>
      <c r="P634" s="530"/>
      <c r="Q634" s="530"/>
      <c r="R634" s="530"/>
      <c r="S634" s="530"/>
      <c r="T634" s="530"/>
      <c r="U634" s="530"/>
      <c r="V634" s="530"/>
      <c r="W634" s="530"/>
      <c r="X634" s="733"/>
      <c r="Y634" s="716"/>
      <c r="Z634" s="716"/>
      <c r="AA634" s="716"/>
      <c r="AB634" s="716"/>
      <c r="AC634" s="716"/>
      <c r="AD634" s="716"/>
      <c r="AE634" s="716"/>
      <c r="AF634" s="716"/>
      <c r="AG634" s="716"/>
      <c r="AH634" s="716"/>
      <c r="AI634" s="716"/>
      <c r="AJ634" s="716"/>
      <c r="AK634" s="716"/>
      <c r="AL634" s="716"/>
      <c r="AM634" s="716"/>
      <c r="AN634" s="716"/>
      <c r="AO634" s="716"/>
      <c r="AP634" s="716"/>
      <c r="AQ634" s="716"/>
      <c r="AR634" s="716"/>
    </row>
    <row r="635">
      <c r="A635" s="716"/>
      <c r="B635" s="530"/>
      <c r="C635" s="530"/>
      <c r="D635" s="530"/>
      <c r="E635" s="530"/>
      <c r="F635" s="530"/>
      <c r="G635" s="530"/>
      <c r="H635" s="530"/>
      <c r="I635" s="530"/>
      <c r="J635" s="530"/>
      <c r="K635" s="530"/>
      <c r="L635" s="530"/>
      <c r="M635" s="530"/>
      <c r="N635" s="530"/>
      <c r="O635" s="530"/>
      <c r="P635" s="530"/>
      <c r="Q635" s="530"/>
      <c r="R635" s="530"/>
      <c r="S635" s="530"/>
      <c r="T635" s="530"/>
      <c r="U635" s="530"/>
      <c r="V635" s="530"/>
      <c r="W635" s="530"/>
      <c r="X635" s="733"/>
      <c r="Y635" s="716"/>
      <c r="Z635" s="716"/>
      <c r="AA635" s="716"/>
      <c r="AB635" s="716"/>
      <c r="AC635" s="716"/>
      <c r="AD635" s="716"/>
      <c r="AE635" s="716"/>
      <c r="AF635" s="716"/>
      <c r="AG635" s="716"/>
      <c r="AH635" s="716"/>
      <c r="AI635" s="716"/>
      <c r="AJ635" s="716"/>
      <c r="AK635" s="716"/>
      <c r="AL635" s="716"/>
      <c r="AM635" s="716"/>
      <c r="AN635" s="716"/>
      <c r="AO635" s="716"/>
      <c r="AP635" s="716"/>
      <c r="AQ635" s="716"/>
      <c r="AR635" s="716"/>
    </row>
    <row r="636">
      <c r="A636" s="716"/>
      <c r="B636" s="530"/>
      <c r="C636" s="530"/>
      <c r="D636" s="530"/>
      <c r="E636" s="530"/>
      <c r="F636" s="530"/>
      <c r="G636" s="530"/>
      <c r="H636" s="530"/>
      <c r="I636" s="530"/>
      <c r="J636" s="530"/>
      <c r="K636" s="530"/>
      <c r="L636" s="530"/>
      <c r="M636" s="530"/>
      <c r="N636" s="530"/>
      <c r="O636" s="530"/>
      <c r="P636" s="530"/>
      <c r="Q636" s="530"/>
      <c r="R636" s="530"/>
      <c r="S636" s="530"/>
      <c r="T636" s="530"/>
      <c r="U636" s="530"/>
      <c r="V636" s="530"/>
      <c r="W636" s="530"/>
      <c r="X636" s="733"/>
      <c r="Y636" s="716"/>
      <c r="Z636" s="716"/>
      <c r="AA636" s="716"/>
      <c r="AB636" s="716"/>
      <c r="AC636" s="716"/>
      <c r="AD636" s="716"/>
      <c r="AE636" s="716"/>
      <c r="AF636" s="716"/>
      <c r="AG636" s="716"/>
      <c r="AH636" s="716"/>
      <c r="AI636" s="716"/>
      <c r="AJ636" s="716"/>
      <c r="AK636" s="716"/>
      <c r="AL636" s="716"/>
      <c r="AM636" s="716"/>
      <c r="AN636" s="716"/>
      <c r="AO636" s="716"/>
      <c r="AP636" s="716"/>
      <c r="AQ636" s="716"/>
      <c r="AR636" s="716"/>
    </row>
    <row r="637">
      <c r="A637" s="716"/>
      <c r="B637" s="530"/>
      <c r="C637" s="530"/>
      <c r="D637" s="530"/>
      <c r="E637" s="530"/>
      <c r="F637" s="530"/>
      <c r="G637" s="530"/>
      <c r="H637" s="530"/>
      <c r="I637" s="530"/>
      <c r="J637" s="530"/>
      <c r="K637" s="530"/>
      <c r="L637" s="530"/>
      <c r="M637" s="530"/>
      <c r="N637" s="530"/>
      <c r="O637" s="530"/>
      <c r="P637" s="530"/>
      <c r="Q637" s="530"/>
      <c r="R637" s="530"/>
      <c r="S637" s="530"/>
      <c r="T637" s="530"/>
      <c r="U637" s="530"/>
      <c r="V637" s="530"/>
      <c r="W637" s="530"/>
      <c r="X637" s="733"/>
      <c r="Y637" s="716"/>
      <c r="Z637" s="716"/>
      <c r="AA637" s="716"/>
      <c r="AB637" s="716"/>
      <c r="AC637" s="716"/>
      <c r="AD637" s="716"/>
      <c r="AE637" s="716"/>
      <c r="AF637" s="716"/>
      <c r="AG637" s="716"/>
      <c r="AH637" s="716"/>
      <c r="AI637" s="716"/>
      <c r="AJ637" s="716"/>
      <c r="AK637" s="716"/>
      <c r="AL637" s="716"/>
      <c r="AM637" s="716"/>
      <c r="AN637" s="716"/>
      <c r="AO637" s="716"/>
      <c r="AP637" s="716"/>
      <c r="AQ637" s="716"/>
      <c r="AR637" s="716"/>
    </row>
    <row r="638">
      <c r="A638" s="716"/>
      <c r="B638" s="530"/>
      <c r="C638" s="530"/>
      <c r="D638" s="530"/>
      <c r="E638" s="530"/>
      <c r="F638" s="530"/>
      <c r="G638" s="530"/>
      <c r="H638" s="530"/>
      <c r="I638" s="530"/>
      <c r="J638" s="530"/>
      <c r="K638" s="530"/>
      <c r="L638" s="530"/>
      <c r="M638" s="530"/>
      <c r="N638" s="530"/>
      <c r="O638" s="530"/>
      <c r="P638" s="530"/>
      <c r="Q638" s="530"/>
      <c r="R638" s="530"/>
      <c r="S638" s="530"/>
      <c r="T638" s="530"/>
      <c r="U638" s="530"/>
      <c r="V638" s="530"/>
      <c r="W638" s="530"/>
      <c r="X638" s="733"/>
      <c r="Y638" s="716"/>
      <c r="Z638" s="716"/>
      <c r="AA638" s="716"/>
      <c r="AB638" s="716"/>
      <c r="AC638" s="716"/>
      <c r="AD638" s="716"/>
      <c r="AE638" s="716"/>
      <c r="AF638" s="716"/>
      <c r="AG638" s="716"/>
      <c r="AH638" s="716"/>
      <c r="AI638" s="716"/>
      <c r="AJ638" s="716"/>
      <c r="AK638" s="716"/>
      <c r="AL638" s="716"/>
      <c r="AM638" s="716"/>
      <c r="AN638" s="716"/>
      <c r="AO638" s="716"/>
      <c r="AP638" s="716"/>
      <c r="AQ638" s="716"/>
      <c r="AR638" s="716"/>
    </row>
    <row r="639">
      <c r="A639" s="716"/>
      <c r="B639" s="530"/>
      <c r="C639" s="530"/>
      <c r="D639" s="530"/>
      <c r="E639" s="530"/>
      <c r="F639" s="530"/>
      <c r="G639" s="530"/>
      <c r="H639" s="530"/>
      <c r="I639" s="530"/>
      <c r="J639" s="530"/>
      <c r="K639" s="530"/>
      <c r="L639" s="530"/>
      <c r="M639" s="530"/>
      <c r="N639" s="530"/>
      <c r="O639" s="530"/>
      <c r="P639" s="530"/>
      <c r="Q639" s="530"/>
      <c r="R639" s="530"/>
      <c r="S639" s="530"/>
      <c r="T639" s="530"/>
      <c r="U639" s="530"/>
      <c r="V639" s="530"/>
      <c r="W639" s="530"/>
      <c r="X639" s="733"/>
      <c r="Y639" s="716"/>
      <c r="Z639" s="716"/>
      <c r="AA639" s="716"/>
      <c r="AB639" s="716"/>
      <c r="AC639" s="716"/>
      <c r="AD639" s="716"/>
      <c r="AE639" s="716"/>
      <c r="AF639" s="716"/>
      <c r="AG639" s="716"/>
      <c r="AH639" s="716"/>
      <c r="AI639" s="716"/>
      <c r="AJ639" s="716"/>
      <c r="AK639" s="716"/>
      <c r="AL639" s="716"/>
      <c r="AM639" s="716"/>
      <c r="AN639" s="716"/>
      <c r="AO639" s="716"/>
      <c r="AP639" s="716"/>
      <c r="AQ639" s="716"/>
      <c r="AR639" s="716"/>
    </row>
    <row r="640">
      <c r="A640" s="716"/>
      <c r="B640" s="530"/>
      <c r="C640" s="530"/>
      <c r="D640" s="530"/>
      <c r="E640" s="530"/>
      <c r="F640" s="530"/>
      <c r="G640" s="530"/>
      <c r="H640" s="530"/>
      <c r="I640" s="530"/>
      <c r="J640" s="530"/>
      <c r="K640" s="530"/>
      <c r="L640" s="530"/>
      <c r="M640" s="530"/>
      <c r="N640" s="530"/>
      <c r="O640" s="530"/>
      <c r="P640" s="530"/>
      <c r="Q640" s="530"/>
      <c r="R640" s="530"/>
      <c r="S640" s="530"/>
      <c r="T640" s="530"/>
      <c r="U640" s="530"/>
      <c r="V640" s="530"/>
      <c r="W640" s="530"/>
      <c r="X640" s="733"/>
      <c r="Y640" s="716"/>
      <c r="Z640" s="716"/>
      <c r="AA640" s="716"/>
      <c r="AB640" s="716"/>
      <c r="AC640" s="716"/>
      <c r="AD640" s="716"/>
      <c r="AE640" s="716"/>
      <c r="AF640" s="716"/>
      <c r="AG640" s="716"/>
      <c r="AH640" s="716"/>
      <c r="AI640" s="716"/>
      <c r="AJ640" s="716"/>
      <c r="AK640" s="716"/>
      <c r="AL640" s="716"/>
      <c r="AM640" s="716"/>
      <c r="AN640" s="716"/>
      <c r="AO640" s="716"/>
      <c r="AP640" s="716"/>
      <c r="AQ640" s="716"/>
      <c r="AR640" s="716"/>
    </row>
    <row r="641">
      <c r="A641" s="716"/>
      <c r="B641" s="530"/>
      <c r="C641" s="530"/>
      <c r="D641" s="530"/>
      <c r="E641" s="530"/>
      <c r="F641" s="530"/>
      <c r="G641" s="530"/>
      <c r="H641" s="530"/>
      <c r="I641" s="530"/>
      <c r="J641" s="530"/>
      <c r="K641" s="530"/>
      <c r="L641" s="530"/>
      <c r="M641" s="530"/>
      <c r="N641" s="530"/>
      <c r="O641" s="530"/>
      <c r="P641" s="530"/>
      <c r="Q641" s="530"/>
      <c r="R641" s="530"/>
      <c r="S641" s="530"/>
      <c r="T641" s="530"/>
      <c r="U641" s="530"/>
      <c r="V641" s="530"/>
      <c r="W641" s="530"/>
      <c r="X641" s="733"/>
      <c r="Y641" s="716"/>
      <c r="Z641" s="716"/>
      <c r="AA641" s="716"/>
      <c r="AB641" s="716"/>
      <c r="AC641" s="716"/>
      <c r="AD641" s="716"/>
      <c r="AE641" s="716"/>
      <c r="AF641" s="716"/>
      <c r="AG641" s="716"/>
      <c r="AH641" s="716"/>
      <c r="AI641" s="716"/>
      <c r="AJ641" s="716"/>
      <c r="AK641" s="716"/>
      <c r="AL641" s="716"/>
      <c r="AM641" s="716"/>
      <c r="AN641" s="716"/>
      <c r="AO641" s="716"/>
      <c r="AP641" s="716"/>
      <c r="AQ641" s="716"/>
      <c r="AR641" s="716"/>
    </row>
    <row r="642">
      <c r="A642" s="716"/>
      <c r="B642" s="530"/>
      <c r="C642" s="530"/>
      <c r="D642" s="530"/>
      <c r="E642" s="530"/>
      <c r="F642" s="530"/>
      <c r="G642" s="530"/>
      <c r="H642" s="530"/>
      <c r="I642" s="530"/>
      <c r="J642" s="530"/>
      <c r="K642" s="530"/>
      <c r="L642" s="530"/>
      <c r="M642" s="530"/>
      <c r="N642" s="530"/>
      <c r="O642" s="530"/>
      <c r="P642" s="530"/>
      <c r="Q642" s="530"/>
      <c r="R642" s="530"/>
      <c r="S642" s="530"/>
      <c r="T642" s="530"/>
      <c r="U642" s="530"/>
      <c r="V642" s="530"/>
      <c r="W642" s="530"/>
      <c r="X642" s="733"/>
      <c r="Y642" s="716"/>
      <c r="Z642" s="716"/>
      <c r="AA642" s="716"/>
      <c r="AB642" s="716"/>
      <c r="AC642" s="716"/>
      <c r="AD642" s="716"/>
      <c r="AE642" s="716"/>
      <c r="AF642" s="716"/>
      <c r="AG642" s="716"/>
      <c r="AH642" s="716"/>
      <c r="AI642" s="716"/>
      <c r="AJ642" s="716"/>
      <c r="AK642" s="716"/>
      <c r="AL642" s="716"/>
      <c r="AM642" s="716"/>
      <c r="AN642" s="716"/>
      <c r="AO642" s="716"/>
      <c r="AP642" s="716"/>
      <c r="AQ642" s="716"/>
      <c r="AR642" s="716"/>
    </row>
    <row r="643">
      <c r="A643" s="716"/>
      <c r="B643" s="530"/>
      <c r="C643" s="530"/>
      <c r="D643" s="530"/>
      <c r="E643" s="530"/>
      <c r="F643" s="530"/>
      <c r="G643" s="530"/>
      <c r="H643" s="530"/>
      <c r="I643" s="530"/>
      <c r="J643" s="530"/>
      <c r="K643" s="530"/>
      <c r="L643" s="530"/>
      <c r="M643" s="530"/>
      <c r="N643" s="530"/>
      <c r="O643" s="530"/>
      <c r="P643" s="530"/>
      <c r="Q643" s="530"/>
      <c r="R643" s="530"/>
      <c r="S643" s="530"/>
      <c r="T643" s="530"/>
      <c r="U643" s="530"/>
      <c r="V643" s="530"/>
      <c r="W643" s="530"/>
      <c r="X643" s="733"/>
      <c r="Y643" s="716"/>
      <c r="Z643" s="716"/>
      <c r="AA643" s="716"/>
      <c r="AB643" s="716"/>
      <c r="AC643" s="716"/>
      <c r="AD643" s="716"/>
      <c r="AE643" s="716"/>
      <c r="AF643" s="716"/>
      <c r="AG643" s="716"/>
      <c r="AH643" s="716"/>
      <c r="AI643" s="716"/>
      <c r="AJ643" s="716"/>
      <c r="AK643" s="716"/>
      <c r="AL643" s="716"/>
      <c r="AM643" s="716"/>
      <c r="AN643" s="716"/>
      <c r="AO643" s="716"/>
      <c r="AP643" s="716"/>
      <c r="AQ643" s="716"/>
      <c r="AR643" s="716"/>
    </row>
    <row r="644">
      <c r="A644" s="716"/>
      <c r="B644" s="530"/>
      <c r="C644" s="530"/>
      <c r="D644" s="530"/>
      <c r="E644" s="530"/>
      <c r="F644" s="530"/>
      <c r="G644" s="530"/>
      <c r="H644" s="530"/>
      <c r="I644" s="530"/>
      <c r="J644" s="530"/>
      <c r="K644" s="530"/>
      <c r="L644" s="530"/>
      <c r="M644" s="530"/>
      <c r="N644" s="530"/>
      <c r="O644" s="530"/>
      <c r="P644" s="530"/>
      <c r="Q644" s="530"/>
      <c r="R644" s="530"/>
      <c r="S644" s="530"/>
      <c r="T644" s="530"/>
      <c r="U644" s="530"/>
      <c r="V644" s="530"/>
      <c r="W644" s="530"/>
      <c r="X644" s="733"/>
      <c r="Y644" s="716"/>
      <c r="Z644" s="716"/>
      <c r="AA644" s="716"/>
      <c r="AB644" s="716"/>
      <c r="AC644" s="716"/>
      <c r="AD644" s="716"/>
      <c r="AE644" s="716"/>
      <c r="AF644" s="716"/>
      <c r="AG644" s="716"/>
      <c r="AH644" s="716"/>
      <c r="AI644" s="716"/>
      <c r="AJ644" s="716"/>
      <c r="AK644" s="716"/>
      <c r="AL644" s="716"/>
      <c r="AM644" s="716"/>
      <c r="AN644" s="716"/>
      <c r="AO644" s="716"/>
      <c r="AP644" s="716"/>
      <c r="AQ644" s="716"/>
      <c r="AR644" s="716"/>
    </row>
    <row r="645">
      <c r="A645" s="716"/>
      <c r="B645" s="530"/>
      <c r="C645" s="530"/>
      <c r="D645" s="530"/>
      <c r="E645" s="530"/>
      <c r="F645" s="530"/>
      <c r="G645" s="530"/>
      <c r="H645" s="530"/>
      <c r="I645" s="530"/>
      <c r="J645" s="530"/>
      <c r="K645" s="530"/>
      <c r="L645" s="530"/>
      <c r="M645" s="530"/>
      <c r="N645" s="530"/>
      <c r="O645" s="530"/>
      <c r="P645" s="530"/>
      <c r="Q645" s="530"/>
      <c r="R645" s="530"/>
      <c r="S645" s="530"/>
      <c r="T645" s="530"/>
      <c r="U645" s="530"/>
      <c r="V645" s="530"/>
      <c r="W645" s="530"/>
      <c r="X645" s="733"/>
      <c r="Y645" s="716"/>
      <c r="Z645" s="716"/>
      <c r="AA645" s="716"/>
      <c r="AB645" s="716"/>
      <c r="AC645" s="716"/>
      <c r="AD645" s="716"/>
      <c r="AE645" s="716"/>
      <c r="AF645" s="716"/>
      <c r="AG645" s="716"/>
      <c r="AH645" s="716"/>
      <c r="AI645" s="716"/>
      <c r="AJ645" s="716"/>
      <c r="AK645" s="716"/>
      <c r="AL645" s="716"/>
      <c r="AM645" s="716"/>
      <c r="AN645" s="716"/>
      <c r="AO645" s="716"/>
      <c r="AP645" s="716"/>
      <c r="AQ645" s="716"/>
      <c r="AR645" s="716"/>
    </row>
    <row r="646">
      <c r="A646" s="716"/>
      <c r="B646" s="530"/>
      <c r="C646" s="530"/>
      <c r="D646" s="530"/>
      <c r="E646" s="530"/>
      <c r="F646" s="530"/>
      <c r="G646" s="530"/>
      <c r="H646" s="530"/>
      <c r="I646" s="530"/>
      <c r="J646" s="530"/>
      <c r="K646" s="530"/>
      <c r="L646" s="530"/>
      <c r="M646" s="530"/>
      <c r="N646" s="530"/>
      <c r="O646" s="530"/>
      <c r="P646" s="530"/>
      <c r="Q646" s="530"/>
      <c r="R646" s="530"/>
      <c r="S646" s="530"/>
      <c r="T646" s="530"/>
      <c r="U646" s="530"/>
      <c r="V646" s="530"/>
      <c r="W646" s="530"/>
      <c r="X646" s="733"/>
      <c r="Y646" s="716"/>
      <c r="Z646" s="716"/>
      <c r="AA646" s="716"/>
      <c r="AB646" s="716"/>
      <c r="AC646" s="716"/>
      <c r="AD646" s="716"/>
      <c r="AE646" s="716"/>
      <c r="AF646" s="716"/>
      <c r="AG646" s="716"/>
      <c r="AH646" s="716"/>
      <c r="AI646" s="716"/>
      <c r="AJ646" s="716"/>
      <c r="AK646" s="716"/>
      <c r="AL646" s="716"/>
      <c r="AM646" s="716"/>
      <c r="AN646" s="716"/>
      <c r="AO646" s="716"/>
      <c r="AP646" s="716"/>
      <c r="AQ646" s="716"/>
      <c r="AR646" s="716"/>
    </row>
    <row r="647">
      <c r="A647" s="716"/>
      <c r="B647" s="530"/>
      <c r="C647" s="530"/>
      <c r="D647" s="530"/>
      <c r="E647" s="530"/>
      <c r="F647" s="530"/>
      <c r="G647" s="530"/>
      <c r="H647" s="530"/>
      <c r="I647" s="530"/>
      <c r="J647" s="530"/>
      <c r="K647" s="530"/>
      <c r="L647" s="530"/>
      <c r="M647" s="530"/>
      <c r="N647" s="530"/>
      <c r="O647" s="530"/>
      <c r="P647" s="530"/>
      <c r="Q647" s="530"/>
      <c r="R647" s="530"/>
      <c r="S647" s="530"/>
      <c r="T647" s="530"/>
      <c r="U647" s="530"/>
      <c r="V647" s="530"/>
      <c r="W647" s="530"/>
      <c r="X647" s="733"/>
      <c r="Y647" s="716"/>
      <c r="Z647" s="716"/>
      <c r="AA647" s="716"/>
      <c r="AB647" s="716"/>
      <c r="AC647" s="716"/>
      <c r="AD647" s="716"/>
      <c r="AE647" s="716"/>
      <c r="AF647" s="716"/>
      <c r="AG647" s="716"/>
      <c r="AH647" s="716"/>
      <c r="AI647" s="716"/>
      <c r="AJ647" s="716"/>
      <c r="AK647" s="716"/>
      <c r="AL647" s="716"/>
      <c r="AM647" s="716"/>
      <c r="AN647" s="716"/>
      <c r="AO647" s="716"/>
      <c r="AP647" s="716"/>
      <c r="AQ647" s="716"/>
      <c r="AR647" s="716"/>
    </row>
    <row r="648">
      <c r="A648" s="716"/>
      <c r="B648" s="530"/>
      <c r="C648" s="530"/>
      <c r="D648" s="530"/>
      <c r="E648" s="530"/>
      <c r="F648" s="530"/>
      <c r="G648" s="530"/>
      <c r="H648" s="530"/>
      <c r="I648" s="530"/>
      <c r="J648" s="530"/>
      <c r="K648" s="530"/>
      <c r="L648" s="530"/>
      <c r="M648" s="530"/>
      <c r="N648" s="530"/>
      <c r="O648" s="530"/>
      <c r="P648" s="530"/>
      <c r="Q648" s="530"/>
      <c r="R648" s="530"/>
      <c r="S648" s="530"/>
      <c r="T648" s="530"/>
      <c r="U648" s="530"/>
      <c r="V648" s="530"/>
      <c r="W648" s="530"/>
      <c r="X648" s="733"/>
      <c r="Y648" s="716"/>
      <c r="Z648" s="716"/>
      <c r="AA648" s="716"/>
      <c r="AB648" s="716"/>
      <c r="AC648" s="716"/>
      <c r="AD648" s="716"/>
      <c r="AE648" s="716"/>
      <c r="AF648" s="716"/>
      <c r="AG648" s="716"/>
      <c r="AH648" s="716"/>
      <c r="AI648" s="716"/>
      <c r="AJ648" s="716"/>
      <c r="AK648" s="716"/>
      <c r="AL648" s="716"/>
      <c r="AM648" s="716"/>
      <c r="AN648" s="716"/>
      <c r="AO648" s="716"/>
      <c r="AP648" s="716"/>
      <c r="AQ648" s="716"/>
      <c r="AR648" s="716"/>
    </row>
    <row r="649">
      <c r="A649" s="716"/>
      <c r="B649" s="530"/>
      <c r="C649" s="530"/>
      <c r="D649" s="530"/>
      <c r="E649" s="530"/>
      <c r="F649" s="530"/>
      <c r="G649" s="530"/>
      <c r="H649" s="530"/>
      <c r="I649" s="530"/>
      <c r="J649" s="530"/>
      <c r="K649" s="530"/>
      <c r="L649" s="530"/>
      <c r="M649" s="530"/>
      <c r="N649" s="530"/>
      <c r="O649" s="530"/>
      <c r="P649" s="530"/>
      <c r="Q649" s="530"/>
      <c r="R649" s="530"/>
      <c r="S649" s="530"/>
      <c r="T649" s="530"/>
      <c r="U649" s="530"/>
      <c r="V649" s="530"/>
      <c r="W649" s="530"/>
      <c r="X649" s="733"/>
      <c r="Y649" s="716"/>
      <c r="Z649" s="716"/>
      <c r="AA649" s="716"/>
      <c r="AB649" s="716"/>
      <c r="AC649" s="716"/>
      <c r="AD649" s="716"/>
      <c r="AE649" s="716"/>
      <c r="AF649" s="716"/>
      <c r="AG649" s="716"/>
      <c r="AH649" s="716"/>
      <c r="AI649" s="716"/>
      <c r="AJ649" s="716"/>
      <c r="AK649" s="716"/>
      <c r="AL649" s="716"/>
      <c r="AM649" s="716"/>
      <c r="AN649" s="716"/>
      <c r="AO649" s="716"/>
      <c r="AP649" s="716"/>
      <c r="AQ649" s="716"/>
      <c r="AR649" s="716"/>
    </row>
    <row r="650">
      <c r="A650" s="716"/>
      <c r="B650" s="530"/>
      <c r="C650" s="530"/>
      <c r="D650" s="530"/>
      <c r="E650" s="530"/>
      <c r="F650" s="530"/>
      <c r="G650" s="530"/>
      <c r="H650" s="530"/>
      <c r="I650" s="530"/>
      <c r="J650" s="530"/>
      <c r="K650" s="530"/>
      <c r="L650" s="530"/>
      <c r="M650" s="530"/>
      <c r="N650" s="530"/>
      <c r="O650" s="530"/>
      <c r="P650" s="530"/>
      <c r="Q650" s="530"/>
      <c r="R650" s="530"/>
      <c r="S650" s="530"/>
      <c r="T650" s="530"/>
      <c r="U650" s="530"/>
      <c r="V650" s="530"/>
      <c r="W650" s="530"/>
      <c r="X650" s="733"/>
      <c r="Y650" s="716"/>
      <c r="Z650" s="716"/>
      <c r="AA650" s="716"/>
      <c r="AB650" s="716"/>
      <c r="AC650" s="716"/>
      <c r="AD650" s="716"/>
      <c r="AE650" s="716"/>
      <c r="AF650" s="716"/>
      <c r="AG650" s="716"/>
      <c r="AH650" s="716"/>
      <c r="AI650" s="716"/>
      <c r="AJ650" s="716"/>
      <c r="AK650" s="716"/>
      <c r="AL650" s="716"/>
      <c r="AM650" s="716"/>
      <c r="AN650" s="716"/>
      <c r="AO650" s="716"/>
      <c r="AP650" s="716"/>
      <c r="AQ650" s="716"/>
      <c r="AR650" s="716"/>
    </row>
    <row r="651">
      <c r="A651" s="716"/>
      <c r="B651" s="530"/>
      <c r="C651" s="530"/>
      <c r="D651" s="530"/>
      <c r="E651" s="530"/>
      <c r="F651" s="530"/>
      <c r="G651" s="530"/>
      <c r="H651" s="530"/>
      <c r="I651" s="530"/>
      <c r="J651" s="530"/>
      <c r="K651" s="530"/>
      <c r="L651" s="530"/>
      <c r="M651" s="530"/>
      <c r="N651" s="530"/>
      <c r="O651" s="530"/>
      <c r="P651" s="530"/>
      <c r="Q651" s="530"/>
      <c r="R651" s="530"/>
      <c r="S651" s="530"/>
      <c r="T651" s="530"/>
      <c r="U651" s="530"/>
      <c r="V651" s="530"/>
      <c r="W651" s="530"/>
      <c r="X651" s="733"/>
      <c r="Y651" s="716"/>
      <c r="Z651" s="716"/>
      <c r="AA651" s="716"/>
      <c r="AB651" s="716"/>
      <c r="AC651" s="716"/>
      <c r="AD651" s="716"/>
      <c r="AE651" s="716"/>
      <c r="AF651" s="716"/>
      <c r="AG651" s="716"/>
      <c r="AH651" s="716"/>
      <c r="AI651" s="716"/>
      <c r="AJ651" s="716"/>
      <c r="AK651" s="716"/>
      <c r="AL651" s="716"/>
      <c r="AM651" s="716"/>
      <c r="AN651" s="716"/>
      <c r="AO651" s="716"/>
      <c r="AP651" s="716"/>
      <c r="AQ651" s="716"/>
      <c r="AR651" s="716"/>
    </row>
    <row r="652">
      <c r="A652" s="716"/>
      <c r="B652" s="530"/>
      <c r="C652" s="530"/>
      <c r="D652" s="530"/>
      <c r="E652" s="530"/>
      <c r="F652" s="530"/>
      <c r="G652" s="530"/>
      <c r="H652" s="530"/>
      <c r="I652" s="530"/>
      <c r="J652" s="530"/>
      <c r="K652" s="530"/>
      <c r="L652" s="530"/>
      <c r="M652" s="530"/>
      <c r="N652" s="530"/>
      <c r="O652" s="530"/>
      <c r="P652" s="530"/>
      <c r="Q652" s="530"/>
      <c r="R652" s="530"/>
      <c r="S652" s="530"/>
      <c r="T652" s="530"/>
      <c r="U652" s="530"/>
      <c r="V652" s="530"/>
      <c r="W652" s="530"/>
      <c r="X652" s="733"/>
      <c r="Y652" s="716"/>
      <c r="Z652" s="716"/>
      <c r="AA652" s="716"/>
      <c r="AB652" s="716"/>
      <c r="AC652" s="716"/>
      <c r="AD652" s="716"/>
      <c r="AE652" s="716"/>
      <c r="AF652" s="716"/>
      <c r="AG652" s="716"/>
      <c r="AH652" s="716"/>
      <c r="AI652" s="716"/>
      <c r="AJ652" s="716"/>
      <c r="AK652" s="716"/>
      <c r="AL652" s="716"/>
      <c r="AM652" s="716"/>
      <c r="AN652" s="716"/>
      <c r="AO652" s="716"/>
      <c r="AP652" s="716"/>
      <c r="AQ652" s="716"/>
      <c r="AR652" s="716"/>
    </row>
    <row r="653">
      <c r="A653" s="716"/>
      <c r="B653" s="530"/>
      <c r="C653" s="530"/>
      <c r="D653" s="530"/>
      <c r="E653" s="530"/>
      <c r="F653" s="530"/>
      <c r="G653" s="530"/>
      <c r="H653" s="530"/>
      <c r="I653" s="530"/>
      <c r="J653" s="530"/>
      <c r="K653" s="530"/>
      <c r="L653" s="530"/>
      <c r="M653" s="530"/>
      <c r="N653" s="530"/>
      <c r="O653" s="530"/>
      <c r="P653" s="530"/>
      <c r="Q653" s="530"/>
      <c r="R653" s="530"/>
      <c r="S653" s="530"/>
      <c r="T653" s="530"/>
      <c r="U653" s="530"/>
      <c r="V653" s="530"/>
      <c r="W653" s="530"/>
      <c r="X653" s="733"/>
      <c r="Y653" s="716"/>
      <c r="Z653" s="716"/>
      <c r="AA653" s="716"/>
      <c r="AB653" s="716"/>
      <c r="AC653" s="716"/>
      <c r="AD653" s="716"/>
      <c r="AE653" s="716"/>
      <c r="AF653" s="716"/>
      <c r="AG653" s="716"/>
      <c r="AH653" s="716"/>
      <c r="AI653" s="716"/>
      <c r="AJ653" s="716"/>
      <c r="AK653" s="716"/>
      <c r="AL653" s="716"/>
      <c r="AM653" s="716"/>
      <c r="AN653" s="716"/>
      <c r="AO653" s="716"/>
      <c r="AP653" s="716"/>
      <c r="AQ653" s="716"/>
      <c r="AR653" s="716"/>
    </row>
    <row r="654">
      <c r="A654" s="716"/>
      <c r="B654" s="530"/>
      <c r="C654" s="530"/>
      <c r="D654" s="530"/>
      <c r="E654" s="530"/>
      <c r="F654" s="530"/>
      <c r="G654" s="530"/>
      <c r="H654" s="530"/>
      <c r="I654" s="530"/>
      <c r="J654" s="530"/>
      <c r="K654" s="530"/>
      <c r="L654" s="530"/>
      <c r="M654" s="530"/>
      <c r="N654" s="530"/>
      <c r="O654" s="530"/>
      <c r="P654" s="530"/>
      <c r="Q654" s="530"/>
      <c r="R654" s="530"/>
      <c r="S654" s="530"/>
      <c r="T654" s="530"/>
      <c r="U654" s="530"/>
      <c r="V654" s="530"/>
      <c r="W654" s="530"/>
      <c r="X654" s="733"/>
      <c r="Y654" s="716"/>
      <c r="Z654" s="716"/>
      <c r="AA654" s="716"/>
      <c r="AB654" s="716"/>
      <c r="AC654" s="716"/>
      <c r="AD654" s="716"/>
      <c r="AE654" s="716"/>
      <c r="AF654" s="716"/>
      <c r="AG654" s="716"/>
      <c r="AH654" s="716"/>
      <c r="AI654" s="716"/>
      <c r="AJ654" s="716"/>
      <c r="AK654" s="716"/>
      <c r="AL654" s="716"/>
      <c r="AM654" s="716"/>
      <c r="AN654" s="716"/>
      <c r="AO654" s="716"/>
      <c r="AP654" s="716"/>
      <c r="AQ654" s="716"/>
      <c r="AR654" s="716"/>
    </row>
    <row r="655">
      <c r="A655" s="716"/>
      <c r="B655" s="530"/>
      <c r="C655" s="530"/>
      <c r="D655" s="530"/>
      <c r="E655" s="530"/>
      <c r="F655" s="530"/>
      <c r="G655" s="530"/>
      <c r="H655" s="530"/>
      <c r="I655" s="530"/>
      <c r="J655" s="530"/>
      <c r="K655" s="530"/>
      <c r="L655" s="530"/>
      <c r="M655" s="530"/>
      <c r="N655" s="530"/>
      <c r="O655" s="530"/>
      <c r="P655" s="530"/>
      <c r="Q655" s="530"/>
      <c r="R655" s="530"/>
      <c r="S655" s="530"/>
      <c r="T655" s="530"/>
      <c r="U655" s="530"/>
      <c r="V655" s="530"/>
      <c r="W655" s="530"/>
      <c r="X655" s="733"/>
      <c r="Y655" s="716"/>
      <c r="Z655" s="716"/>
      <c r="AA655" s="716"/>
      <c r="AB655" s="716"/>
      <c r="AC655" s="716"/>
      <c r="AD655" s="716"/>
      <c r="AE655" s="716"/>
      <c r="AF655" s="716"/>
      <c r="AG655" s="716"/>
      <c r="AH655" s="716"/>
      <c r="AI655" s="716"/>
      <c r="AJ655" s="716"/>
      <c r="AK655" s="716"/>
      <c r="AL655" s="716"/>
      <c r="AM655" s="716"/>
      <c r="AN655" s="716"/>
      <c r="AO655" s="716"/>
      <c r="AP655" s="716"/>
      <c r="AQ655" s="716"/>
      <c r="AR655" s="716"/>
    </row>
    <row r="656">
      <c r="A656" s="716"/>
      <c r="B656" s="530"/>
      <c r="C656" s="530"/>
      <c r="D656" s="530"/>
      <c r="E656" s="530"/>
      <c r="F656" s="530"/>
      <c r="G656" s="530"/>
      <c r="H656" s="530"/>
      <c r="I656" s="530"/>
      <c r="J656" s="530"/>
      <c r="K656" s="530"/>
      <c r="L656" s="530"/>
      <c r="M656" s="530"/>
      <c r="N656" s="530"/>
      <c r="O656" s="530"/>
      <c r="P656" s="530"/>
      <c r="Q656" s="530"/>
      <c r="R656" s="530"/>
      <c r="S656" s="530"/>
      <c r="T656" s="530"/>
      <c r="U656" s="530"/>
      <c r="V656" s="530"/>
      <c r="W656" s="530"/>
      <c r="X656" s="733"/>
      <c r="Y656" s="716"/>
      <c r="Z656" s="716"/>
      <c r="AA656" s="716"/>
      <c r="AB656" s="716"/>
      <c r="AC656" s="716"/>
      <c r="AD656" s="716"/>
      <c r="AE656" s="716"/>
      <c r="AF656" s="716"/>
      <c r="AG656" s="716"/>
      <c r="AH656" s="716"/>
      <c r="AI656" s="716"/>
      <c r="AJ656" s="716"/>
      <c r="AK656" s="716"/>
      <c r="AL656" s="716"/>
      <c r="AM656" s="716"/>
      <c r="AN656" s="716"/>
      <c r="AO656" s="716"/>
      <c r="AP656" s="716"/>
      <c r="AQ656" s="716"/>
      <c r="AR656" s="716"/>
    </row>
    <row r="657">
      <c r="A657" s="716"/>
      <c r="B657" s="530"/>
      <c r="C657" s="530"/>
      <c r="D657" s="530"/>
      <c r="E657" s="530"/>
      <c r="F657" s="530"/>
      <c r="G657" s="530"/>
      <c r="H657" s="530"/>
      <c r="I657" s="530"/>
      <c r="J657" s="530"/>
      <c r="K657" s="530"/>
      <c r="L657" s="530"/>
      <c r="M657" s="530"/>
      <c r="N657" s="530"/>
      <c r="O657" s="530"/>
      <c r="P657" s="530"/>
      <c r="Q657" s="530"/>
      <c r="R657" s="530"/>
      <c r="S657" s="530"/>
      <c r="T657" s="530"/>
      <c r="U657" s="530"/>
      <c r="V657" s="530"/>
      <c r="W657" s="530"/>
      <c r="X657" s="733"/>
      <c r="Y657" s="716"/>
      <c r="Z657" s="716"/>
      <c r="AA657" s="716"/>
      <c r="AB657" s="716"/>
      <c r="AC657" s="716"/>
      <c r="AD657" s="716"/>
      <c r="AE657" s="716"/>
      <c r="AF657" s="716"/>
      <c r="AG657" s="716"/>
      <c r="AH657" s="716"/>
      <c r="AI657" s="716"/>
      <c r="AJ657" s="716"/>
      <c r="AK657" s="716"/>
      <c r="AL657" s="716"/>
      <c r="AM657" s="716"/>
      <c r="AN657" s="716"/>
      <c r="AO657" s="716"/>
      <c r="AP657" s="716"/>
      <c r="AQ657" s="716"/>
      <c r="AR657" s="716"/>
    </row>
    <row r="658">
      <c r="A658" s="716"/>
      <c r="B658" s="530"/>
      <c r="C658" s="530"/>
      <c r="D658" s="530"/>
      <c r="E658" s="530"/>
      <c r="F658" s="530"/>
      <c r="G658" s="530"/>
      <c r="H658" s="530"/>
      <c r="I658" s="530"/>
      <c r="J658" s="530"/>
      <c r="K658" s="530"/>
      <c r="L658" s="530"/>
      <c r="M658" s="530"/>
      <c r="N658" s="530"/>
      <c r="O658" s="530"/>
      <c r="P658" s="530"/>
      <c r="Q658" s="530"/>
      <c r="R658" s="530"/>
      <c r="S658" s="530"/>
      <c r="T658" s="530"/>
      <c r="U658" s="530"/>
      <c r="V658" s="530"/>
      <c r="W658" s="530"/>
      <c r="X658" s="733"/>
      <c r="Y658" s="716"/>
      <c r="Z658" s="716"/>
      <c r="AA658" s="716"/>
      <c r="AB658" s="716"/>
      <c r="AC658" s="716"/>
      <c r="AD658" s="716"/>
      <c r="AE658" s="716"/>
      <c r="AF658" s="716"/>
      <c r="AG658" s="716"/>
      <c r="AH658" s="716"/>
      <c r="AI658" s="716"/>
      <c r="AJ658" s="716"/>
      <c r="AK658" s="716"/>
      <c r="AL658" s="716"/>
      <c r="AM658" s="716"/>
      <c r="AN658" s="716"/>
      <c r="AO658" s="716"/>
      <c r="AP658" s="716"/>
      <c r="AQ658" s="716"/>
      <c r="AR658" s="716"/>
    </row>
    <row r="659">
      <c r="A659" s="716"/>
      <c r="B659" s="530"/>
      <c r="C659" s="530"/>
      <c r="D659" s="530"/>
      <c r="E659" s="530"/>
      <c r="F659" s="530"/>
      <c r="G659" s="530"/>
      <c r="H659" s="530"/>
      <c r="I659" s="530"/>
      <c r="J659" s="530"/>
      <c r="K659" s="530"/>
      <c r="L659" s="530"/>
      <c r="M659" s="530"/>
      <c r="N659" s="530"/>
      <c r="O659" s="530"/>
      <c r="P659" s="530"/>
      <c r="Q659" s="530"/>
      <c r="R659" s="530"/>
      <c r="S659" s="530"/>
      <c r="T659" s="530"/>
      <c r="U659" s="530"/>
      <c r="V659" s="530"/>
      <c r="W659" s="530"/>
      <c r="X659" s="733"/>
      <c r="Y659" s="716"/>
      <c r="Z659" s="716"/>
      <c r="AA659" s="716"/>
      <c r="AB659" s="716"/>
      <c r="AC659" s="716"/>
      <c r="AD659" s="716"/>
      <c r="AE659" s="716"/>
      <c r="AF659" s="716"/>
      <c r="AG659" s="716"/>
      <c r="AH659" s="716"/>
      <c r="AI659" s="716"/>
      <c r="AJ659" s="716"/>
      <c r="AK659" s="716"/>
      <c r="AL659" s="716"/>
      <c r="AM659" s="716"/>
      <c r="AN659" s="716"/>
      <c r="AO659" s="716"/>
      <c r="AP659" s="716"/>
      <c r="AQ659" s="716"/>
      <c r="AR659" s="716"/>
    </row>
    <row r="660">
      <c r="A660" s="716"/>
      <c r="B660" s="530"/>
      <c r="C660" s="530"/>
      <c r="D660" s="530"/>
      <c r="E660" s="530"/>
      <c r="F660" s="530"/>
      <c r="G660" s="530"/>
      <c r="H660" s="530"/>
      <c r="I660" s="530"/>
      <c r="J660" s="530"/>
      <c r="K660" s="530"/>
      <c r="L660" s="530"/>
      <c r="M660" s="530"/>
      <c r="N660" s="530"/>
      <c r="O660" s="530"/>
      <c r="P660" s="530"/>
      <c r="Q660" s="530"/>
      <c r="R660" s="530"/>
      <c r="S660" s="530"/>
      <c r="T660" s="530"/>
      <c r="U660" s="530"/>
      <c r="V660" s="530"/>
      <c r="W660" s="530"/>
      <c r="X660" s="733"/>
      <c r="Y660" s="716"/>
      <c r="Z660" s="716"/>
      <c r="AA660" s="716"/>
      <c r="AB660" s="716"/>
      <c r="AC660" s="716"/>
      <c r="AD660" s="716"/>
      <c r="AE660" s="716"/>
      <c r="AF660" s="716"/>
      <c r="AG660" s="716"/>
      <c r="AH660" s="716"/>
      <c r="AI660" s="716"/>
      <c r="AJ660" s="716"/>
      <c r="AK660" s="716"/>
      <c r="AL660" s="716"/>
      <c r="AM660" s="716"/>
      <c r="AN660" s="716"/>
      <c r="AO660" s="716"/>
      <c r="AP660" s="716"/>
      <c r="AQ660" s="716"/>
      <c r="AR660" s="716"/>
    </row>
    <row r="661">
      <c r="A661" s="716"/>
      <c r="B661" s="530"/>
      <c r="C661" s="530"/>
      <c r="D661" s="530"/>
      <c r="E661" s="530"/>
      <c r="F661" s="530"/>
      <c r="G661" s="530"/>
      <c r="H661" s="530"/>
      <c r="I661" s="530"/>
      <c r="J661" s="530"/>
      <c r="K661" s="530"/>
      <c r="L661" s="530"/>
      <c r="M661" s="530"/>
      <c r="N661" s="530"/>
      <c r="O661" s="530"/>
      <c r="P661" s="530"/>
      <c r="Q661" s="530"/>
      <c r="R661" s="530"/>
      <c r="S661" s="530"/>
      <c r="T661" s="530"/>
      <c r="U661" s="530"/>
      <c r="V661" s="530"/>
      <c r="W661" s="530"/>
      <c r="X661" s="733"/>
      <c r="Y661" s="716"/>
      <c r="Z661" s="716"/>
      <c r="AA661" s="716"/>
      <c r="AB661" s="716"/>
      <c r="AC661" s="716"/>
      <c r="AD661" s="716"/>
      <c r="AE661" s="716"/>
      <c r="AF661" s="716"/>
      <c r="AG661" s="716"/>
      <c r="AH661" s="716"/>
      <c r="AI661" s="716"/>
      <c r="AJ661" s="716"/>
      <c r="AK661" s="716"/>
      <c r="AL661" s="716"/>
      <c r="AM661" s="716"/>
      <c r="AN661" s="716"/>
      <c r="AO661" s="716"/>
      <c r="AP661" s="716"/>
      <c r="AQ661" s="716"/>
      <c r="AR661" s="716"/>
    </row>
    <row r="662">
      <c r="A662" s="716"/>
      <c r="B662" s="530"/>
      <c r="C662" s="530"/>
      <c r="D662" s="530"/>
      <c r="E662" s="530"/>
      <c r="F662" s="530"/>
      <c r="G662" s="530"/>
      <c r="H662" s="530"/>
      <c r="I662" s="530"/>
      <c r="J662" s="530"/>
      <c r="K662" s="530"/>
      <c r="L662" s="530"/>
      <c r="M662" s="530"/>
      <c r="N662" s="530"/>
      <c r="O662" s="530"/>
      <c r="P662" s="530"/>
      <c r="Q662" s="530"/>
      <c r="R662" s="530"/>
      <c r="S662" s="530"/>
      <c r="T662" s="530"/>
      <c r="U662" s="530"/>
      <c r="V662" s="530"/>
      <c r="W662" s="530"/>
      <c r="X662" s="733"/>
      <c r="Y662" s="716"/>
      <c r="Z662" s="716"/>
      <c r="AA662" s="716"/>
      <c r="AB662" s="716"/>
      <c r="AC662" s="716"/>
      <c r="AD662" s="716"/>
      <c r="AE662" s="716"/>
      <c r="AF662" s="716"/>
      <c r="AG662" s="716"/>
      <c r="AH662" s="716"/>
      <c r="AI662" s="716"/>
      <c r="AJ662" s="716"/>
      <c r="AK662" s="716"/>
      <c r="AL662" s="716"/>
      <c r="AM662" s="716"/>
      <c r="AN662" s="716"/>
      <c r="AO662" s="716"/>
      <c r="AP662" s="716"/>
      <c r="AQ662" s="716"/>
      <c r="AR662" s="716"/>
    </row>
    <row r="663">
      <c r="A663" s="716"/>
      <c r="B663" s="530"/>
      <c r="C663" s="530"/>
      <c r="D663" s="530"/>
      <c r="E663" s="530"/>
      <c r="F663" s="530"/>
      <c r="G663" s="530"/>
      <c r="H663" s="530"/>
      <c r="I663" s="530"/>
      <c r="J663" s="530"/>
      <c r="K663" s="530"/>
      <c r="L663" s="530"/>
      <c r="M663" s="530"/>
      <c r="N663" s="530"/>
      <c r="O663" s="530"/>
      <c r="P663" s="530"/>
      <c r="Q663" s="530"/>
      <c r="R663" s="530"/>
      <c r="S663" s="530"/>
      <c r="T663" s="530"/>
      <c r="U663" s="530"/>
      <c r="V663" s="530"/>
      <c r="W663" s="530"/>
      <c r="X663" s="733"/>
      <c r="Y663" s="716"/>
      <c r="Z663" s="716"/>
      <c r="AA663" s="716"/>
      <c r="AB663" s="716"/>
      <c r="AC663" s="716"/>
      <c r="AD663" s="716"/>
      <c r="AE663" s="716"/>
      <c r="AF663" s="716"/>
      <c r="AG663" s="716"/>
      <c r="AH663" s="716"/>
      <c r="AI663" s="716"/>
      <c r="AJ663" s="716"/>
      <c r="AK663" s="716"/>
      <c r="AL663" s="716"/>
      <c r="AM663" s="716"/>
      <c r="AN663" s="716"/>
      <c r="AO663" s="716"/>
      <c r="AP663" s="716"/>
      <c r="AQ663" s="716"/>
      <c r="AR663" s="716"/>
    </row>
    <row r="664">
      <c r="A664" s="716"/>
      <c r="B664" s="530"/>
      <c r="C664" s="530"/>
      <c r="D664" s="530"/>
      <c r="E664" s="530"/>
      <c r="F664" s="530"/>
      <c r="G664" s="530"/>
      <c r="H664" s="530"/>
      <c r="I664" s="530"/>
      <c r="J664" s="530"/>
      <c r="K664" s="530"/>
      <c r="L664" s="530"/>
      <c r="M664" s="530"/>
      <c r="N664" s="530"/>
      <c r="O664" s="530"/>
      <c r="P664" s="530"/>
      <c r="Q664" s="530"/>
      <c r="R664" s="530"/>
      <c r="S664" s="530"/>
      <c r="T664" s="530"/>
      <c r="U664" s="530"/>
      <c r="V664" s="530"/>
      <c r="W664" s="530"/>
      <c r="X664" s="733"/>
      <c r="Y664" s="716"/>
      <c r="Z664" s="716"/>
      <c r="AA664" s="716"/>
      <c r="AB664" s="716"/>
      <c r="AC664" s="716"/>
      <c r="AD664" s="716"/>
      <c r="AE664" s="716"/>
      <c r="AF664" s="716"/>
      <c r="AG664" s="716"/>
      <c r="AH664" s="716"/>
      <c r="AI664" s="716"/>
      <c r="AJ664" s="716"/>
      <c r="AK664" s="716"/>
      <c r="AL664" s="716"/>
      <c r="AM664" s="716"/>
      <c r="AN664" s="716"/>
      <c r="AO664" s="716"/>
      <c r="AP664" s="716"/>
      <c r="AQ664" s="716"/>
      <c r="AR664" s="716"/>
    </row>
    <row r="665">
      <c r="A665" s="716"/>
      <c r="B665" s="530"/>
      <c r="C665" s="530"/>
      <c r="D665" s="530"/>
      <c r="E665" s="530"/>
      <c r="F665" s="530"/>
      <c r="G665" s="530"/>
      <c r="H665" s="530"/>
      <c r="I665" s="530"/>
      <c r="J665" s="530"/>
      <c r="K665" s="530"/>
      <c r="L665" s="530"/>
      <c r="M665" s="530"/>
      <c r="N665" s="530"/>
      <c r="O665" s="530"/>
      <c r="P665" s="530"/>
      <c r="Q665" s="530"/>
      <c r="R665" s="530"/>
      <c r="S665" s="530"/>
      <c r="T665" s="530"/>
      <c r="U665" s="530"/>
      <c r="V665" s="530"/>
      <c r="W665" s="530"/>
      <c r="X665" s="733"/>
      <c r="Y665" s="716"/>
      <c r="Z665" s="716"/>
      <c r="AA665" s="716"/>
      <c r="AB665" s="716"/>
      <c r="AC665" s="716"/>
      <c r="AD665" s="716"/>
      <c r="AE665" s="716"/>
      <c r="AF665" s="716"/>
      <c r="AG665" s="716"/>
      <c r="AH665" s="716"/>
      <c r="AI665" s="716"/>
      <c r="AJ665" s="716"/>
      <c r="AK665" s="716"/>
      <c r="AL665" s="716"/>
      <c r="AM665" s="716"/>
      <c r="AN665" s="716"/>
      <c r="AO665" s="716"/>
      <c r="AP665" s="716"/>
      <c r="AQ665" s="716"/>
      <c r="AR665" s="716"/>
    </row>
    <row r="666">
      <c r="A666" s="716"/>
      <c r="B666" s="530"/>
      <c r="C666" s="530"/>
      <c r="D666" s="530"/>
      <c r="E666" s="530"/>
      <c r="F666" s="530"/>
      <c r="G666" s="530"/>
      <c r="H666" s="530"/>
      <c r="I666" s="530"/>
      <c r="J666" s="530"/>
      <c r="K666" s="530"/>
      <c r="L666" s="530"/>
      <c r="M666" s="530"/>
      <c r="N666" s="530"/>
      <c r="O666" s="530"/>
      <c r="P666" s="530"/>
      <c r="Q666" s="530"/>
      <c r="R666" s="530"/>
      <c r="S666" s="530"/>
      <c r="T666" s="530"/>
      <c r="U666" s="530"/>
      <c r="V666" s="530"/>
      <c r="W666" s="530"/>
      <c r="X666" s="733"/>
      <c r="Y666" s="716"/>
      <c r="Z666" s="716"/>
      <c r="AA666" s="716"/>
      <c r="AB666" s="716"/>
      <c r="AC666" s="716"/>
      <c r="AD666" s="716"/>
      <c r="AE666" s="716"/>
      <c r="AF666" s="716"/>
      <c r="AG666" s="716"/>
      <c r="AH666" s="716"/>
      <c r="AI666" s="716"/>
      <c r="AJ666" s="716"/>
      <c r="AK666" s="716"/>
      <c r="AL666" s="716"/>
      <c r="AM666" s="716"/>
      <c r="AN666" s="716"/>
      <c r="AO666" s="716"/>
      <c r="AP666" s="716"/>
      <c r="AQ666" s="716"/>
      <c r="AR666" s="716"/>
    </row>
    <row r="667">
      <c r="A667" s="716"/>
      <c r="B667" s="530"/>
      <c r="C667" s="530"/>
      <c r="D667" s="530"/>
      <c r="E667" s="530"/>
      <c r="F667" s="530"/>
      <c r="G667" s="530"/>
      <c r="H667" s="530"/>
      <c r="I667" s="530"/>
      <c r="J667" s="530"/>
      <c r="K667" s="530"/>
      <c r="L667" s="530"/>
      <c r="M667" s="530"/>
      <c r="N667" s="530"/>
      <c r="O667" s="530"/>
      <c r="P667" s="530"/>
      <c r="Q667" s="530"/>
      <c r="R667" s="530"/>
      <c r="S667" s="530"/>
      <c r="T667" s="530"/>
      <c r="U667" s="530"/>
      <c r="V667" s="530"/>
      <c r="W667" s="530"/>
      <c r="X667" s="733"/>
      <c r="Y667" s="716"/>
      <c r="Z667" s="716"/>
      <c r="AA667" s="716"/>
      <c r="AB667" s="716"/>
      <c r="AC667" s="716"/>
      <c r="AD667" s="716"/>
      <c r="AE667" s="716"/>
      <c r="AF667" s="716"/>
      <c r="AG667" s="716"/>
      <c r="AH667" s="716"/>
      <c r="AI667" s="716"/>
      <c r="AJ667" s="716"/>
      <c r="AK667" s="716"/>
      <c r="AL667" s="716"/>
      <c r="AM667" s="716"/>
      <c r="AN667" s="716"/>
      <c r="AO667" s="716"/>
      <c r="AP667" s="716"/>
      <c r="AQ667" s="716"/>
      <c r="AR667" s="716"/>
    </row>
    <row r="668">
      <c r="A668" s="716"/>
      <c r="B668" s="530"/>
      <c r="C668" s="530"/>
      <c r="D668" s="530"/>
      <c r="E668" s="530"/>
      <c r="F668" s="530"/>
      <c r="G668" s="530"/>
      <c r="H668" s="530"/>
      <c r="I668" s="530"/>
      <c r="J668" s="530"/>
      <c r="K668" s="530"/>
      <c r="L668" s="530"/>
      <c r="M668" s="530"/>
      <c r="N668" s="530"/>
      <c r="O668" s="530"/>
      <c r="P668" s="530"/>
      <c r="Q668" s="530"/>
      <c r="R668" s="530"/>
      <c r="S668" s="530"/>
      <c r="T668" s="530"/>
      <c r="U668" s="530"/>
      <c r="V668" s="530"/>
      <c r="W668" s="530"/>
      <c r="X668" s="733"/>
      <c r="Y668" s="716"/>
      <c r="Z668" s="716"/>
      <c r="AA668" s="716"/>
      <c r="AB668" s="716"/>
      <c r="AC668" s="716"/>
      <c r="AD668" s="716"/>
      <c r="AE668" s="716"/>
      <c r="AF668" s="716"/>
      <c r="AG668" s="716"/>
      <c r="AH668" s="716"/>
      <c r="AI668" s="716"/>
      <c r="AJ668" s="716"/>
      <c r="AK668" s="716"/>
      <c r="AL668" s="716"/>
      <c r="AM668" s="716"/>
      <c r="AN668" s="716"/>
      <c r="AO668" s="716"/>
      <c r="AP668" s="716"/>
      <c r="AQ668" s="716"/>
      <c r="AR668" s="716"/>
    </row>
    <row r="669">
      <c r="A669" s="716"/>
      <c r="B669" s="530"/>
      <c r="C669" s="530"/>
      <c r="D669" s="530"/>
      <c r="E669" s="530"/>
      <c r="F669" s="530"/>
      <c r="G669" s="530"/>
      <c r="H669" s="530"/>
      <c r="I669" s="530"/>
      <c r="J669" s="530"/>
      <c r="K669" s="530"/>
      <c r="L669" s="530"/>
      <c r="M669" s="530"/>
      <c r="N669" s="530"/>
      <c r="O669" s="530"/>
      <c r="P669" s="530"/>
      <c r="Q669" s="530"/>
      <c r="R669" s="530"/>
      <c r="S669" s="530"/>
      <c r="T669" s="530"/>
      <c r="U669" s="530"/>
      <c r="V669" s="530"/>
      <c r="W669" s="530"/>
      <c r="X669" s="733"/>
      <c r="Y669" s="716"/>
      <c r="Z669" s="716"/>
      <c r="AA669" s="716"/>
      <c r="AB669" s="716"/>
      <c r="AC669" s="716"/>
      <c r="AD669" s="716"/>
      <c r="AE669" s="716"/>
      <c r="AF669" s="716"/>
      <c r="AG669" s="716"/>
      <c r="AH669" s="716"/>
      <c r="AI669" s="716"/>
      <c r="AJ669" s="716"/>
      <c r="AK669" s="716"/>
      <c r="AL669" s="716"/>
      <c r="AM669" s="716"/>
      <c r="AN669" s="716"/>
      <c r="AO669" s="716"/>
      <c r="AP669" s="716"/>
      <c r="AQ669" s="716"/>
      <c r="AR669" s="716"/>
    </row>
    <row r="670">
      <c r="A670" s="716"/>
      <c r="B670" s="530"/>
      <c r="C670" s="530"/>
      <c r="D670" s="530"/>
      <c r="E670" s="530"/>
      <c r="F670" s="530"/>
      <c r="G670" s="530"/>
      <c r="H670" s="530"/>
      <c r="I670" s="530"/>
      <c r="J670" s="530"/>
      <c r="K670" s="530"/>
      <c r="L670" s="530"/>
      <c r="M670" s="530"/>
      <c r="N670" s="530"/>
      <c r="O670" s="530"/>
      <c r="P670" s="530"/>
      <c r="Q670" s="530"/>
      <c r="R670" s="530"/>
      <c r="S670" s="530"/>
      <c r="T670" s="530"/>
      <c r="U670" s="530"/>
      <c r="V670" s="530"/>
      <c r="W670" s="530"/>
      <c r="X670" s="733"/>
      <c r="Y670" s="716"/>
      <c r="Z670" s="716"/>
      <c r="AA670" s="716"/>
      <c r="AB670" s="716"/>
      <c r="AC670" s="716"/>
      <c r="AD670" s="716"/>
      <c r="AE670" s="716"/>
      <c r="AF670" s="716"/>
      <c r="AG670" s="716"/>
      <c r="AH670" s="716"/>
      <c r="AI670" s="716"/>
      <c r="AJ670" s="716"/>
      <c r="AK670" s="716"/>
      <c r="AL670" s="716"/>
      <c r="AM670" s="716"/>
      <c r="AN670" s="716"/>
      <c r="AO670" s="716"/>
      <c r="AP670" s="716"/>
      <c r="AQ670" s="716"/>
      <c r="AR670" s="716"/>
    </row>
    <row r="671">
      <c r="A671" s="716"/>
      <c r="B671" s="530"/>
      <c r="C671" s="530"/>
      <c r="D671" s="530"/>
      <c r="E671" s="530"/>
      <c r="F671" s="530"/>
      <c r="G671" s="530"/>
      <c r="H671" s="530"/>
      <c r="I671" s="530"/>
      <c r="J671" s="530"/>
      <c r="K671" s="530"/>
      <c r="L671" s="530"/>
      <c r="M671" s="530"/>
      <c r="N671" s="530"/>
      <c r="O671" s="530"/>
      <c r="P671" s="530"/>
      <c r="Q671" s="530"/>
      <c r="R671" s="530"/>
      <c r="S671" s="530"/>
      <c r="T671" s="530"/>
      <c r="U671" s="530"/>
      <c r="V671" s="530"/>
      <c r="W671" s="530"/>
      <c r="X671" s="733"/>
      <c r="Y671" s="716"/>
      <c r="Z671" s="716"/>
      <c r="AA671" s="716"/>
      <c r="AB671" s="716"/>
      <c r="AC671" s="716"/>
      <c r="AD671" s="716"/>
      <c r="AE671" s="716"/>
      <c r="AF671" s="716"/>
      <c r="AG671" s="716"/>
      <c r="AH671" s="716"/>
      <c r="AI671" s="716"/>
      <c r="AJ671" s="716"/>
      <c r="AK671" s="716"/>
      <c r="AL671" s="716"/>
      <c r="AM671" s="716"/>
      <c r="AN671" s="716"/>
      <c r="AO671" s="716"/>
      <c r="AP671" s="716"/>
      <c r="AQ671" s="716"/>
      <c r="AR671" s="716"/>
    </row>
    <row r="672">
      <c r="A672" s="716"/>
      <c r="B672" s="530"/>
      <c r="C672" s="530"/>
      <c r="D672" s="530"/>
      <c r="E672" s="530"/>
      <c r="F672" s="530"/>
      <c r="G672" s="530"/>
      <c r="H672" s="530"/>
      <c r="I672" s="530"/>
      <c r="J672" s="530"/>
      <c r="K672" s="530"/>
      <c r="L672" s="530"/>
      <c r="M672" s="530"/>
      <c r="N672" s="530"/>
      <c r="O672" s="530"/>
      <c r="P672" s="530"/>
      <c r="Q672" s="530"/>
      <c r="R672" s="530"/>
      <c r="S672" s="530"/>
      <c r="T672" s="530"/>
      <c r="U672" s="530"/>
      <c r="V672" s="530"/>
      <c r="W672" s="530"/>
      <c r="X672" s="733"/>
      <c r="Y672" s="716"/>
      <c r="Z672" s="716"/>
      <c r="AA672" s="716"/>
      <c r="AB672" s="716"/>
      <c r="AC672" s="716"/>
      <c r="AD672" s="716"/>
      <c r="AE672" s="716"/>
      <c r="AF672" s="716"/>
      <c r="AG672" s="716"/>
      <c r="AH672" s="716"/>
      <c r="AI672" s="716"/>
      <c r="AJ672" s="716"/>
      <c r="AK672" s="716"/>
      <c r="AL672" s="716"/>
      <c r="AM672" s="716"/>
      <c r="AN672" s="716"/>
      <c r="AO672" s="716"/>
      <c r="AP672" s="716"/>
      <c r="AQ672" s="716"/>
      <c r="AR672" s="716"/>
    </row>
    <row r="673">
      <c r="A673" s="716"/>
      <c r="B673" s="530"/>
      <c r="C673" s="530"/>
      <c r="D673" s="530"/>
      <c r="E673" s="530"/>
      <c r="F673" s="530"/>
      <c r="G673" s="530"/>
      <c r="H673" s="530"/>
      <c r="I673" s="530"/>
      <c r="J673" s="530"/>
      <c r="K673" s="530"/>
      <c r="L673" s="530"/>
      <c r="M673" s="530"/>
      <c r="N673" s="530"/>
      <c r="O673" s="530"/>
      <c r="P673" s="530"/>
      <c r="Q673" s="530"/>
      <c r="R673" s="530"/>
      <c r="S673" s="530"/>
      <c r="T673" s="530"/>
      <c r="U673" s="530"/>
      <c r="V673" s="530"/>
      <c r="W673" s="530"/>
      <c r="X673" s="733"/>
      <c r="Y673" s="716"/>
      <c r="Z673" s="716"/>
      <c r="AA673" s="716"/>
      <c r="AB673" s="716"/>
      <c r="AC673" s="716"/>
      <c r="AD673" s="716"/>
      <c r="AE673" s="716"/>
      <c r="AF673" s="716"/>
      <c r="AG673" s="716"/>
      <c r="AH673" s="716"/>
      <c r="AI673" s="716"/>
      <c r="AJ673" s="716"/>
      <c r="AK673" s="716"/>
      <c r="AL673" s="716"/>
      <c r="AM673" s="716"/>
      <c r="AN673" s="716"/>
      <c r="AO673" s="716"/>
      <c r="AP673" s="716"/>
      <c r="AQ673" s="716"/>
      <c r="AR673" s="716"/>
    </row>
    <row r="674">
      <c r="A674" s="716"/>
      <c r="B674" s="530"/>
      <c r="C674" s="530"/>
      <c r="D674" s="530"/>
      <c r="E674" s="530"/>
      <c r="F674" s="530"/>
      <c r="G674" s="530"/>
      <c r="H674" s="530"/>
      <c r="I674" s="530"/>
      <c r="J674" s="530"/>
      <c r="K674" s="530"/>
      <c r="L674" s="530"/>
      <c r="M674" s="530"/>
      <c r="N674" s="530"/>
      <c r="O674" s="530"/>
      <c r="P674" s="530"/>
      <c r="Q674" s="530"/>
      <c r="R674" s="530"/>
      <c r="S674" s="530"/>
      <c r="T674" s="530"/>
      <c r="U674" s="530"/>
      <c r="V674" s="530"/>
      <c r="W674" s="530"/>
      <c r="X674" s="733"/>
      <c r="Y674" s="716"/>
      <c r="Z674" s="716"/>
      <c r="AA674" s="716"/>
      <c r="AB674" s="716"/>
      <c r="AC674" s="716"/>
      <c r="AD674" s="716"/>
      <c r="AE674" s="716"/>
      <c r="AF674" s="716"/>
      <c r="AG674" s="716"/>
      <c r="AH674" s="716"/>
      <c r="AI674" s="716"/>
      <c r="AJ674" s="716"/>
      <c r="AK674" s="716"/>
      <c r="AL674" s="716"/>
      <c r="AM674" s="716"/>
      <c r="AN674" s="716"/>
      <c r="AO674" s="716"/>
      <c r="AP674" s="716"/>
      <c r="AQ674" s="716"/>
      <c r="AR674" s="716"/>
    </row>
    <row r="675">
      <c r="A675" s="716"/>
      <c r="B675" s="530"/>
      <c r="C675" s="530"/>
      <c r="D675" s="530"/>
      <c r="E675" s="530"/>
      <c r="F675" s="530"/>
      <c r="G675" s="530"/>
      <c r="H675" s="530"/>
      <c r="I675" s="530"/>
      <c r="J675" s="530"/>
      <c r="K675" s="530"/>
      <c r="L675" s="530"/>
      <c r="M675" s="530"/>
      <c r="N675" s="530"/>
      <c r="O675" s="530"/>
      <c r="P675" s="530"/>
      <c r="Q675" s="530"/>
      <c r="R675" s="530"/>
      <c r="S675" s="530"/>
      <c r="T675" s="530"/>
      <c r="U675" s="530"/>
      <c r="V675" s="530"/>
      <c r="W675" s="530"/>
      <c r="X675" s="733"/>
      <c r="Y675" s="716"/>
      <c r="Z675" s="716"/>
      <c r="AA675" s="716"/>
      <c r="AB675" s="716"/>
      <c r="AC675" s="716"/>
      <c r="AD675" s="716"/>
      <c r="AE675" s="716"/>
      <c r="AF675" s="716"/>
      <c r="AG675" s="716"/>
      <c r="AH675" s="716"/>
      <c r="AI675" s="716"/>
      <c r="AJ675" s="716"/>
      <c r="AK675" s="716"/>
      <c r="AL675" s="716"/>
      <c r="AM675" s="716"/>
      <c r="AN675" s="716"/>
      <c r="AO675" s="716"/>
      <c r="AP675" s="716"/>
      <c r="AQ675" s="716"/>
      <c r="AR675" s="716"/>
    </row>
    <row r="676">
      <c r="A676" s="716"/>
      <c r="B676" s="530"/>
      <c r="C676" s="530"/>
      <c r="D676" s="530"/>
      <c r="E676" s="530"/>
      <c r="F676" s="530"/>
      <c r="G676" s="530"/>
      <c r="H676" s="530"/>
      <c r="I676" s="530"/>
      <c r="J676" s="530"/>
      <c r="K676" s="530"/>
      <c r="L676" s="530"/>
      <c r="M676" s="530"/>
      <c r="N676" s="530"/>
      <c r="O676" s="530"/>
      <c r="P676" s="530"/>
      <c r="Q676" s="530"/>
      <c r="R676" s="530"/>
      <c r="S676" s="530"/>
      <c r="T676" s="530"/>
      <c r="U676" s="530"/>
      <c r="V676" s="530"/>
      <c r="W676" s="530"/>
      <c r="X676" s="733"/>
      <c r="Y676" s="716"/>
      <c r="Z676" s="716"/>
      <c r="AA676" s="716"/>
      <c r="AB676" s="716"/>
      <c r="AC676" s="716"/>
      <c r="AD676" s="716"/>
      <c r="AE676" s="716"/>
      <c r="AF676" s="716"/>
      <c r="AG676" s="716"/>
      <c r="AH676" s="716"/>
      <c r="AI676" s="716"/>
      <c r="AJ676" s="716"/>
      <c r="AK676" s="716"/>
      <c r="AL676" s="716"/>
      <c r="AM676" s="716"/>
      <c r="AN676" s="716"/>
      <c r="AO676" s="716"/>
      <c r="AP676" s="716"/>
      <c r="AQ676" s="716"/>
      <c r="AR676" s="716"/>
    </row>
    <row r="677">
      <c r="A677" s="716"/>
      <c r="B677" s="530"/>
      <c r="C677" s="530"/>
      <c r="D677" s="530"/>
      <c r="E677" s="530"/>
      <c r="F677" s="530"/>
      <c r="G677" s="530"/>
      <c r="H677" s="530"/>
      <c r="I677" s="530"/>
      <c r="J677" s="530"/>
      <c r="K677" s="530"/>
      <c r="L677" s="530"/>
      <c r="M677" s="530"/>
      <c r="N677" s="530"/>
      <c r="O677" s="530"/>
      <c r="P677" s="530"/>
      <c r="Q677" s="530"/>
      <c r="R677" s="530"/>
      <c r="S677" s="530"/>
      <c r="T677" s="530"/>
      <c r="U677" s="530"/>
      <c r="V677" s="530"/>
      <c r="W677" s="530"/>
      <c r="X677" s="733"/>
      <c r="Y677" s="716"/>
      <c r="Z677" s="716"/>
      <c r="AA677" s="716"/>
      <c r="AB677" s="716"/>
      <c r="AC677" s="716"/>
      <c r="AD677" s="716"/>
      <c r="AE677" s="716"/>
      <c r="AF677" s="716"/>
      <c r="AG677" s="716"/>
      <c r="AH677" s="716"/>
      <c r="AI677" s="716"/>
      <c r="AJ677" s="716"/>
      <c r="AK677" s="716"/>
      <c r="AL677" s="716"/>
      <c r="AM677" s="716"/>
      <c r="AN677" s="716"/>
      <c r="AO677" s="716"/>
      <c r="AP677" s="716"/>
      <c r="AQ677" s="716"/>
      <c r="AR677" s="716"/>
    </row>
    <row r="678">
      <c r="A678" s="716"/>
      <c r="B678" s="530"/>
      <c r="C678" s="530"/>
      <c r="D678" s="530"/>
      <c r="E678" s="530"/>
      <c r="F678" s="530"/>
      <c r="G678" s="530"/>
      <c r="H678" s="530"/>
      <c r="I678" s="530"/>
      <c r="J678" s="530"/>
      <c r="K678" s="530"/>
      <c r="L678" s="530"/>
      <c r="M678" s="530"/>
      <c r="N678" s="530"/>
      <c r="O678" s="530"/>
      <c r="P678" s="530"/>
      <c r="Q678" s="530"/>
      <c r="R678" s="530"/>
      <c r="S678" s="530"/>
      <c r="T678" s="530"/>
      <c r="U678" s="530"/>
      <c r="V678" s="530"/>
      <c r="W678" s="530"/>
      <c r="X678" s="733"/>
      <c r="Y678" s="716"/>
      <c r="Z678" s="716"/>
      <c r="AA678" s="716"/>
      <c r="AB678" s="716"/>
      <c r="AC678" s="716"/>
      <c r="AD678" s="716"/>
      <c r="AE678" s="716"/>
      <c r="AF678" s="716"/>
      <c r="AG678" s="716"/>
      <c r="AH678" s="716"/>
      <c r="AI678" s="716"/>
      <c r="AJ678" s="716"/>
      <c r="AK678" s="716"/>
      <c r="AL678" s="716"/>
      <c r="AM678" s="716"/>
      <c r="AN678" s="716"/>
      <c r="AO678" s="716"/>
      <c r="AP678" s="716"/>
      <c r="AQ678" s="716"/>
      <c r="AR678" s="716"/>
    </row>
    <row r="679">
      <c r="A679" s="716"/>
      <c r="B679" s="530"/>
      <c r="C679" s="530"/>
      <c r="D679" s="530"/>
      <c r="E679" s="530"/>
      <c r="F679" s="530"/>
      <c r="G679" s="530"/>
      <c r="H679" s="530"/>
      <c r="I679" s="530"/>
      <c r="J679" s="530"/>
      <c r="K679" s="530"/>
      <c r="L679" s="530"/>
      <c r="M679" s="530"/>
      <c r="N679" s="530"/>
      <c r="O679" s="530"/>
      <c r="P679" s="530"/>
      <c r="Q679" s="530"/>
      <c r="R679" s="530"/>
      <c r="S679" s="530"/>
      <c r="T679" s="530"/>
      <c r="U679" s="530"/>
      <c r="V679" s="530"/>
      <c r="W679" s="530"/>
      <c r="X679" s="733"/>
      <c r="Y679" s="716"/>
      <c r="Z679" s="716"/>
      <c r="AA679" s="716"/>
      <c r="AB679" s="716"/>
      <c r="AC679" s="716"/>
      <c r="AD679" s="716"/>
      <c r="AE679" s="716"/>
      <c r="AF679" s="716"/>
      <c r="AG679" s="716"/>
      <c r="AH679" s="716"/>
      <c r="AI679" s="716"/>
      <c r="AJ679" s="716"/>
      <c r="AK679" s="716"/>
      <c r="AL679" s="716"/>
      <c r="AM679" s="716"/>
      <c r="AN679" s="716"/>
      <c r="AO679" s="716"/>
      <c r="AP679" s="716"/>
      <c r="AQ679" s="716"/>
      <c r="AR679" s="716"/>
    </row>
    <row r="680">
      <c r="A680" s="716"/>
      <c r="B680" s="530"/>
      <c r="C680" s="530"/>
      <c r="D680" s="530"/>
      <c r="E680" s="530"/>
      <c r="F680" s="530"/>
      <c r="G680" s="530"/>
      <c r="H680" s="530"/>
      <c r="I680" s="530"/>
      <c r="J680" s="530"/>
      <c r="K680" s="530"/>
      <c r="L680" s="530"/>
      <c r="M680" s="530"/>
      <c r="N680" s="530"/>
      <c r="O680" s="530"/>
      <c r="P680" s="530"/>
      <c r="Q680" s="530"/>
      <c r="R680" s="530"/>
      <c r="S680" s="530"/>
      <c r="T680" s="530"/>
      <c r="U680" s="530"/>
      <c r="V680" s="530"/>
      <c r="W680" s="530"/>
      <c r="X680" s="733"/>
      <c r="Y680" s="716"/>
      <c r="Z680" s="716"/>
      <c r="AA680" s="716"/>
      <c r="AB680" s="716"/>
      <c r="AC680" s="716"/>
      <c r="AD680" s="716"/>
      <c r="AE680" s="716"/>
      <c r="AF680" s="716"/>
      <c r="AG680" s="716"/>
      <c r="AH680" s="716"/>
      <c r="AI680" s="716"/>
      <c r="AJ680" s="716"/>
      <c r="AK680" s="716"/>
      <c r="AL680" s="716"/>
      <c r="AM680" s="716"/>
      <c r="AN680" s="716"/>
      <c r="AO680" s="716"/>
      <c r="AP680" s="716"/>
      <c r="AQ680" s="716"/>
      <c r="AR680" s="716"/>
    </row>
    <row r="681">
      <c r="A681" s="716"/>
      <c r="B681" s="530"/>
      <c r="C681" s="530"/>
      <c r="D681" s="530"/>
      <c r="E681" s="530"/>
      <c r="F681" s="530"/>
      <c r="G681" s="530"/>
      <c r="H681" s="530"/>
      <c r="I681" s="530"/>
      <c r="J681" s="530"/>
      <c r="K681" s="530"/>
      <c r="L681" s="530"/>
      <c r="M681" s="530"/>
      <c r="N681" s="530"/>
      <c r="O681" s="530"/>
      <c r="P681" s="530"/>
      <c r="Q681" s="530"/>
      <c r="R681" s="530"/>
      <c r="S681" s="530"/>
      <c r="T681" s="530"/>
      <c r="U681" s="530"/>
      <c r="V681" s="530"/>
      <c r="W681" s="530"/>
      <c r="X681" s="733"/>
      <c r="Y681" s="716"/>
      <c r="Z681" s="716"/>
      <c r="AA681" s="716"/>
      <c r="AB681" s="716"/>
      <c r="AC681" s="716"/>
      <c r="AD681" s="716"/>
      <c r="AE681" s="716"/>
      <c r="AF681" s="716"/>
      <c r="AG681" s="716"/>
      <c r="AH681" s="716"/>
      <c r="AI681" s="716"/>
      <c r="AJ681" s="716"/>
      <c r="AK681" s="716"/>
      <c r="AL681" s="716"/>
      <c r="AM681" s="716"/>
      <c r="AN681" s="716"/>
      <c r="AO681" s="716"/>
      <c r="AP681" s="716"/>
      <c r="AQ681" s="716"/>
      <c r="AR681" s="716"/>
    </row>
    <row r="682">
      <c r="A682" s="716"/>
      <c r="B682" s="530"/>
      <c r="C682" s="530"/>
      <c r="D682" s="530"/>
      <c r="E682" s="530"/>
      <c r="F682" s="530"/>
      <c r="G682" s="530"/>
      <c r="H682" s="530"/>
      <c r="I682" s="530"/>
      <c r="J682" s="530"/>
      <c r="K682" s="530"/>
      <c r="L682" s="530"/>
      <c r="M682" s="530"/>
      <c r="N682" s="530"/>
      <c r="O682" s="530"/>
      <c r="P682" s="530"/>
      <c r="Q682" s="530"/>
      <c r="R682" s="530"/>
      <c r="S682" s="530"/>
      <c r="T682" s="530"/>
      <c r="U682" s="530"/>
      <c r="V682" s="530"/>
      <c r="W682" s="530"/>
      <c r="X682" s="733"/>
      <c r="Y682" s="716"/>
      <c r="Z682" s="716"/>
      <c r="AA682" s="716"/>
      <c r="AB682" s="716"/>
      <c r="AC682" s="716"/>
      <c r="AD682" s="716"/>
      <c r="AE682" s="716"/>
      <c r="AF682" s="716"/>
      <c r="AG682" s="716"/>
      <c r="AH682" s="716"/>
      <c r="AI682" s="716"/>
      <c r="AJ682" s="716"/>
      <c r="AK682" s="716"/>
      <c r="AL682" s="716"/>
      <c r="AM682" s="716"/>
      <c r="AN682" s="716"/>
      <c r="AO682" s="716"/>
      <c r="AP682" s="716"/>
      <c r="AQ682" s="716"/>
      <c r="AR682" s="716"/>
    </row>
    <row r="683">
      <c r="A683" s="716"/>
      <c r="B683" s="530"/>
      <c r="C683" s="530"/>
      <c r="D683" s="530"/>
      <c r="E683" s="530"/>
      <c r="F683" s="530"/>
      <c r="G683" s="530"/>
      <c r="H683" s="530"/>
      <c r="I683" s="530"/>
      <c r="J683" s="530"/>
      <c r="K683" s="530"/>
      <c r="L683" s="530"/>
      <c r="M683" s="530"/>
      <c r="N683" s="530"/>
      <c r="O683" s="530"/>
      <c r="P683" s="530"/>
      <c r="Q683" s="530"/>
      <c r="R683" s="530"/>
      <c r="S683" s="530"/>
      <c r="T683" s="530"/>
      <c r="U683" s="530"/>
      <c r="V683" s="530"/>
      <c r="W683" s="530"/>
      <c r="X683" s="733"/>
      <c r="Y683" s="716"/>
      <c r="Z683" s="716"/>
      <c r="AA683" s="716"/>
      <c r="AB683" s="716"/>
      <c r="AC683" s="716"/>
      <c r="AD683" s="716"/>
      <c r="AE683" s="716"/>
      <c r="AF683" s="716"/>
      <c r="AG683" s="716"/>
      <c r="AH683" s="716"/>
      <c r="AI683" s="716"/>
      <c r="AJ683" s="716"/>
      <c r="AK683" s="716"/>
      <c r="AL683" s="716"/>
      <c r="AM683" s="716"/>
      <c r="AN683" s="716"/>
      <c r="AO683" s="716"/>
      <c r="AP683" s="716"/>
      <c r="AQ683" s="716"/>
      <c r="AR683" s="716"/>
    </row>
    <row r="684">
      <c r="A684" s="716"/>
      <c r="B684" s="530"/>
      <c r="C684" s="530"/>
      <c r="D684" s="530"/>
      <c r="E684" s="530"/>
      <c r="F684" s="530"/>
      <c r="G684" s="530"/>
      <c r="H684" s="530"/>
      <c r="I684" s="530"/>
      <c r="J684" s="530"/>
      <c r="K684" s="530"/>
      <c r="L684" s="530"/>
      <c r="M684" s="530"/>
      <c r="N684" s="530"/>
      <c r="O684" s="530"/>
      <c r="P684" s="530"/>
      <c r="Q684" s="530"/>
      <c r="R684" s="530"/>
      <c r="S684" s="530"/>
      <c r="T684" s="530"/>
      <c r="U684" s="530"/>
      <c r="V684" s="530"/>
      <c r="W684" s="530"/>
      <c r="X684" s="733"/>
      <c r="Y684" s="716"/>
      <c r="Z684" s="716"/>
      <c r="AA684" s="716"/>
      <c r="AB684" s="716"/>
      <c r="AC684" s="716"/>
      <c r="AD684" s="716"/>
      <c r="AE684" s="716"/>
      <c r="AF684" s="716"/>
      <c r="AG684" s="716"/>
      <c r="AH684" s="716"/>
      <c r="AI684" s="716"/>
      <c r="AJ684" s="716"/>
      <c r="AK684" s="716"/>
      <c r="AL684" s="716"/>
      <c r="AM684" s="716"/>
      <c r="AN684" s="716"/>
      <c r="AO684" s="716"/>
      <c r="AP684" s="716"/>
      <c r="AQ684" s="716"/>
      <c r="AR684" s="716"/>
    </row>
    <row r="685">
      <c r="A685" s="716"/>
      <c r="B685" s="530"/>
      <c r="C685" s="530"/>
      <c r="D685" s="530"/>
      <c r="E685" s="530"/>
      <c r="F685" s="530"/>
      <c r="G685" s="530"/>
      <c r="H685" s="530"/>
      <c r="I685" s="530"/>
      <c r="J685" s="530"/>
      <c r="K685" s="530"/>
      <c r="L685" s="530"/>
      <c r="M685" s="530"/>
      <c r="N685" s="530"/>
      <c r="O685" s="530"/>
      <c r="P685" s="530"/>
      <c r="Q685" s="530"/>
      <c r="R685" s="530"/>
      <c r="S685" s="530"/>
      <c r="T685" s="530"/>
      <c r="U685" s="530"/>
      <c r="V685" s="530"/>
      <c r="W685" s="530"/>
      <c r="X685" s="733"/>
      <c r="Y685" s="716"/>
      <c r="Z685" s="716"/>
      <c r="AA685" s="716"/>
      <c r="AB685" s="716"/>
      <c r="AC685" s="716"/>
      <c r="AD685" s="716"/>
      <c r="AE685" s="716"/>
      <c r="AF685" s="716"/>
      <c r="AG685" s="716"/>
      <c r="AH685" s="716"/>
      <c r="AI685" s="716"/>
      <c r="AJ685" s="716"/>
      <c r="AK685" s="716"/>
      <c r="AL685" s="716"/>
      <c r="AM685" s="716"/>
      <c r="AN685" s="716"/>
      <c r="AO685" s="716"/>
      <c r="AP685" s="716"/>
      <c r="AQ685" s="716"/>
      <c r="AR685" s="716"/>
    </row>
    <row r="686">
      <c r="A686" s="716"/>
      <c r="B686" s="530"/>
      <c r="C686" s="530"/>
      <c r="D686" s="530"/>
      <c r="E686" s="530"/>
      <c r="F686" s="530"/>
      <c r="G686" s="530"/>
      <c r="H686" s="530"/>
      <c r="I686" s="530"/>
      <c r="J686" s="530"/>
      <c r="K686" s="530"/>
      <c r="L686" s="530"/>
      <c r="M686" s="530"/>
      <c r="N686" s="530"/>
      <c r="O686" s="530"/>
      <c r="P686" s="530"/>
      <c r="Q686" s="530"/>
      <c r="R686" s="530"/>
      <c r="S686" s="530"/>
      <c r="T686" s="530"/>
      <c r="U686" s="530"/>
      <c r="V686" s="530"/>
      <c r="W686" s="530"/>
      <c r="X686" s="733"/>
      <c r="Y686" s="716"/>
      <c r="Z686" s="716"/>
      <c r="AA686" s="716"/>
      <c r="AB686" s="716"/>
      <c r="AC686" s="716"/>
      <c r="AD686" s="716"/>
      <c r="AE686" s="716"/>
      <c r="AF686" s="716"/>
      <c r="AG686" s="716"/>
      <c r="AH686" s="716"/>
      <c r="AI686" s="716"/>
      <c r="AJ686" s="716"/>
      <c r="AK686" s="716"/>
      <c r="AL686" s="716"/>
      <c r="AM686" s="716"/>
      <c r="AN686" s="716"/>
      <c r="AO686" s="716"/>
      <c r="AP686" s="716"/>
      <c r="AQ686" s="716"/>
      <c r="AR686" s="716"/>
    </row>
    <row r="687">
      <c r="A687" s="716"/>
      <c r="B687" s="530"/>
      <c r="C687" s="530"/>
      <c r="D687" s="530"/>
      <c r="E687" s="530"/>
      <c r="F687" s="530"/>
      <c r="G687" s="530"/>
      <c r="H687" s="530"/>
      <c r="I687" s="530"/>
      <c r="J687" s="530"/>
      <c r="K687" s="530"/>
      <c r="L687" s="530"/>
      <c r="M687" s="530"/>
      <c r="N687" s="530"/>
      <c r="O687" s="530"/>
      <c r="P687" s="530"/>
      <c r="Q687" s="530"/>
      <c r="R687" s="530"/>
      <c r="S687" s="530"/>
      <c r="T687" s="530"/>
      <c r="U687" s="530"/>
      <c r="V687" s="530"/>
      <c r="W687" s="530"/>
      <c r="X687" s="733"/>
      <c r="Y687" s="716"/>
      <c r="Z687" s="716"/>
      <c r="AA687" s="716"/>
      <c r="AB687" s="716"/>
      <c r="AC687" s="716"/>
      <c r="AD687" s="716"/>
      <c r="AE687" s="716"/>
      <c r="AF687" s="716"/>
      <c r="AG687" s="716"/>
      <c r="AH687" s="716"/>
      <c r="AI687" s="716"/>
      <c r="AJ687" s="716"/>
      <c r="AK687" s="716"/>
      <c r="AL687" s="716"/>
      <c r="AM687" s="716"/>
      <c r="AN687" s="716"/>
      <c r="AO687" s="716"/>
      <c r="AP687" s="716"/>
      <c r="AQ687" s="716"/>
      <c r="AR687" s="716"/>
    </row>
    <row r="688">
      <c r="A688" s="716"/>
      <c r="B688" s="530"/>
      <c r="C688" s="530"/>
      <c r="D688" s="530"/>
      <c r="E688" s="530"/>
      <c r="F688" s="530"/>
      <c r="G688" s="530"/>
      <c r="H688" s="530"/>
      <c r="I688" s="530"/>
      <c r="J688" s="530"/>
      <c r="K688" s="530"/>
      <c r="L688" s="530"/>
      <c r="M688" s="530"/>
      <c r="N688" s="530"/>
      <c r="O688" s="530"/>
      <c r="P688" s="530"/>
      <c r="Q688" s="530"/>
      <c r="R688" s="530"/>
      <c r="S688" s="530"/>
      <c r="T688" s="530"/>
      <c r="U688" s="530"/>
      <c r="V688" s="530"/>
      <c r="W688" s="530"/>
      <c r="X688" s="733"/>
      <c r="Y688" s="716"/>
      <c r="Z688" s="716"/>
      <c r="AA688" s="716"/>
      <c r="AB688" s="716"/>
      <c r="AC688" s="716"/>
      <c r="AD688" s="716"/>
      <c r="AE688" s="716"/>
      <c r="AF688" s="716"/>
      <c r="AG688" s="716"/>
      <c r="AH688" s="716"/>
      <c r="AI688" s="716"/>
      <c r="AJ688" s="716"/>
      <c r="AK688" s="716"/>
      <c r="AL688" s="716"/>
      <c r="AM688" s="716"/>
      <c r="AN688" s="716"/>
      <c r="AO688" s="716"/>
      <c r="AP688" s="716"/>
      <c r="AQ688" s="716"/>
      <c r="AR688" s="716"/>
    </row>
    <row r="689">
      <c r="A689" s="716"/>
      <c r="B689" s="530"/>
      <c r="C689" s="530"/>
      <c r="D689" s="530"/>
      <c r="E689" s="530"/>
      <c r="F689" s="530"/>
      <c r="G689" s="530"/>
      <c r="H689" s="530"/>
      <c r="I689" s="530"/>
      <c r="J689" s="530"/>
      <c r="K689" s="530"/>
      <c r="L689" s="530"/>
      <c r="M689" s="530"/>
      <c r="N689" s="530"/>
      <c r="O689" s="530"/>
      <c r="P689" s="530"/>
      <c r="Q689" s="530"/>
      <c r="R689" s="530"/>
      <c r="S689" s="530"/>
      <c r="T689" s="530"/>
      <c r="U689" s="530"/>
      <c r="V689" s="530"/>
      <c r="W689" s="530"/>
      <c r="X689" s="733"/>
      <c r="Y689" s="716"/>
      <c r="Z689" s="716"/>
      <c r="AA689" s="716"/>
      <c r="AB689" s="716"/>
      <c r="AC689" s="716"/>
      <c r="AD689" s="716"/>
      <c r="AE689" s="716"/>
      <c r="AF689" s="716"/>
      <c r="AG689" s="716"/>
      <c r="AH689" s="716"/>
      <c r="AI689" s="716"/>
      <c r="AJ689" s="716"/>
      <c r="AK689" s="716"/>
      <c r="AL689" s="716"/>
      <c r="AM689" s="716"/>
      <c r="AN689" s="716"/>
      <c r="AO689" s="716"/>
      <c r="AP689" s="716"/>
      <c r="AQ689" s="716"/>
      <c r="AR689" s="716"/>
    </row>
    <row r="690">
      <c r="A690" s="716"/>
      <c r="B690" s="530"/>
      <c r="C690" s="530"/>
      <c r="D690" s="530"/>
      <c r="E690" s="530"/>
      <c r="F690" s="530"/>
      <c r="G690" s="530"/>
      <c r="H690" s="530"/>
      <c r="I690" s="530"/>
      <c r="J690" s="530"/>
      <c r="K690" s="530"/>
      <c r="L690" s="530"/>
      <c r="M690" s="530"/>
      <c r="N690" s="530"/>
      <c r="O690" s="530"/>
      <c r="P690" s="530"/>
      <c r="Q690" s="530"/>
      <c r="R690" s="530"/>
      <c r="S690" s="530"/>
      <c r="T690" s="530"/>
      <c r="U690" s="530"/>
      <c r="V690" s="530"/>
      <c r="W690" s="530"/>
      <c r="X690" s="733"/>
      <c r="Y690" s="716"/>
      <c r="Z690" s="716"/>
      <c r="AA690" s="716"/>
      <c r="AB690" s="716"/>
      <c r="AC690" s="716"/>
      <c r="AD690" s="716"/>
      <c r="AE690" s="716"/>
      <c r="AF690" s="716"/>
      <c r="AG690" s="716"/>
      <c r="AH690" s="716"/>
      <c r="AI690" s="716"/>
      <c r="AJ690" s="716"/>
      <c r="AK690" s="716"/>
      <c r="AL690" s="716"/>
      <c r="AM690" s="716"/>
      <c r="AN690" s="716"/>
      <c r="AO690" s="716"/>
      <c r="AP690" s="716"/>
      <c r="AQ690" s="716"/>
      <c r="AR690" s="716"/>
    </row>
    <row r="691">
      <c r="A691" s="716"/>
      <c r="B691" s="530"/>
      <c r="C691" s="530"/>
      <c r="D691" s="530"/>
      <c r="E691" s="530"/>
      <c r="F691" s="530"/>
      <c r="G691" s="530"/>
      <c r="H691" s="530"/>
      <c r="I691" s="530"/>
      <c r="J691" s="530"/>
      <c r="K691" s="530"/>
      <c r="L691" s="530"/>
      <c r="M691" s="530"/>
      <c r="N691" s="530"/>
      <c r="O691" s="530"/>
      <c r="P691" s="530"/>
      <c r="Q691" s="530"/>
      <c r="R691" s="530"/>
      <c r="S691" s="530"/>
      <c r="T691" s="530"/>
      <c r="U691" s="530"/>
      <c r="V691" s="530"/>
      <c r="W691" s="530"/>
      <c r="X691" s="733"/>
      <c r="Y691" s="716"/>
      <c r="Z691" s="716"/>
      <c r="AA691" s="716"/>
      <c r="AB691" s="716"/>
      <c r="AC691" s="716"/>
      <c r="AD691" s="716"/>
      <c r="AE691" s="716"/>
      <c r="AF691" s="716"/>
      <c r="AG691" s="716"/>
      <c r="AH691" s="716"/>
      <c r="AI691" s="716"/>
      <c r="AJ691" s="716"/>
      <c r="AK691" s="716"/>
      <c r="AL691" s="716"/>
      <c r="AM691" s="716"/>
      <c r="AN691" s="716"/>
      <c r="AO691" s="716"/>
      <c r="AP691" s="716"/>
      <c r="AQ691" s="716"/>
      <c r="AR691" s="716"/>
    </row>
    <row r="692">
      <c r="A692" s="716"/>
      <c r="B692" s="530"/>
      <c r="C692" s="530"/>
      <c r="D692" s="530"/>
      <c r="E692" s="530"/>
      <c r="F692" s="530"/>
      <c r="G692" s="530"/>
      <c r="H692" s="530"/>
      <c r="I692" s="530"/>
      <c r="J692" s="530"/>
      <c r="K692" s="530"/>
      <c r="L692" s="530"/>
      <c r="M692" s="530"/>
      <c r="N692" s="530"/>
      <c r="O692" s="530"/>
      <c r="P692" s="530"/>
      <c r="Q692" s="530"/>
      <c r="R692" s="530"/>
      <c r="S692" s="530"/>
      <c r="T692" s="530"/>
      <c r="U692" s="530"/>
      <c r="V692" s="530"/>
      <c r="W692" s="530"/>
      <c r="X692" s="733"/>
      <c r="Y692" s="716"/>
      <c r="Z692" s="716"/>
      <c r="AA692" s="716"/>
      <c r="AB692" s="716"/>
      <c r="AC692" s="716"/>
      <c r="AD692" s="716"/>
      <c r="AE692" s="716"/>
      <c r="AF692" s="716"/>
      <c r="AG692" s="716"/>
      <c r="AH692" s="716"/>
      <c r="AI692" s="716"/>
      <c r="AJ692" s="716"/>
      <c r="AK692" s="716"/>
      <c r="AL692" s="716"/>
      <c r="AM692" s="716"/>
      <c r="AN692" s="716"/>
      <c r="AO692" s="716"/>
      <c r="AP692" s="716"/>
      <c r="AQ692" s="716"/>
      <c r="AR692" s="716"/>
    </row>
    <row r="693">
      <c r="A693" s="716"/>
      <c r="B693" s="530"/>
      <c r="C693" s="530"/>
      <c r="D693" s="530"/>
      <c r="E693" s="530"/>
      <c r="F693" s="530"/>
      <c r="G693" s="530"/>
      <c r="H693" s="530"/>
      <c r="I693" s="530"/>
      <c r="J693" s="530"/>
      <c r="K693" s="530"/>
      <c r="L693" s="530"/>
      <c r="M693" s="530"/>
      <c r="N693" s="530"/>
      <c r="O693" s="530"/>
      <c r="P693" s="530"/>
      <c r="Q693" s="530"/>
      <c r="R693" s="530"/>
      <c r="S693" s="530"/>
      <c r="T693" s="530"/>
      <c r="U693" s="530"/>
      <c r="V693" s="530"/>
      <c r="W693" s="530"/>
      <c r="X693" s="733"/>
      <c r="Y693" s="716"/>
      <c r="Z693" s="716"/>
      <c r="AA693" s="716"/>
      <c r="AB693" s="716"/>
      <c r="AC693" s="716"/>
      <c r="AD693" s="716"/>
      <c r="AE693" s="716"/>
      <c r="AF693" s="716"/>
      <c r="AG693" s="716"/>
      <c r="AH693" s="716"/>
      <c r="AI693" s="716"/>
      <c r="AJ693" s="716"/>
      <c r="AK693" s="716"/>
      <c r="AL693" s="716"/>
      <c r="AM693" s="716"/>
      <c r="AN693" s="716"/>
      <c r="AO693" s="716"/>
      <c r="AP693" s="716"/>
      <c r="AQ693" s="716"/>
      <c r="AR693" s="716"/>
    </row>
    <row r="694">
      <c r="A694" s="716"/>
      <c r="B694" s="530"/>
      <c r="C694" s="530"/>
      <c r="D694" s="530"/>
      <c r="E694" s="530"/>
      <c r="F694" s="530"/>
      <c r="G694" s="530"/>
      <c r="H694" s="530"/>
      <c r="I694" s="530"/>
      <c r="J694" s="530"/>
      <c r="K694" s="530"/>
      <c r="L694" s="530"/>
      <c r="M694" s="530"/>
      <c r="N694" s="530"/>
      <c r="O694" s="530"/>
      <c r="P694" s="530"/>
      <c r="Q694" s="530"/>
      <c r="R694" s="530"/>
      <c r="S694" s="530"/>
      <c r="T694" s="530"/>
      <c r="U694" s="530"/>
      <c r="V694" s="530"/>
      <c r="W694" s="530"/>
      <c r="X694" s="733"/>
      <c r="Y694" s="716"/>
      <c r="Z694" s="716"/>
      <c r="AA694" s="716"/>
      <c r="AB694" s="716"/>
      <c r="AC694" s="716"/>
      <c r="AD694" s="716"/>
      <c r="AE694" s="716"/>
      <c r="AF694" s="716"/>
      <c r="AG694" s="716"/>
      <c r="AH694" s="716"/>
      <c r="AI694" s="716"/>
      <c r="AJ694" s="716"/>
      <c r="AK694" s="716"/>
      <c r="AL694" s="716"/>
      <c r="AM694" s="716"/>
      <c r="AN694" s="716"/>
      <c r="AO694" s="716"/>
      <c r="AP694" s="716"/>
      <c r="AQ694" s="716"/>
      <c r="AR694" s="716"/>
    </row>
    <row r="695">
      <c r="A695" s="716"/>
      <c r="B695" s="530"/>
      <c r="C695" s="530"/>
      <c r="D695" s="530"/>
      <c r="E695" s="530"/>
      <c r="F695" s="530"/>
      <c r="G695" s="530"/>
      <c r="H695" s="530"/>
      <c r="I695" s="530"/>
      <c r="J695" s="530"/>
      <c r="K695" s="530"/>
      <c r="L695" s="530"/>
      <c r="M695" s="530"/>
      <c r="N695" s="530"/>
      <c r="O695" s="530"/>
      <c r="P695" s="530"/>
      <c r="Q695" s="530"/>
      <c r="R695" s="530"/>
      <c r="S695" s="530"/>
      <c r="T695" s="530"/>
      <c r="U695" s="530"/>
      <c r="V695" s="530"/>
      <c r="W695" s="530"/>
      <c r="X695" s="733"/>
      <c r="Y695" s="716"/>
      <c r="Z695" s="716"/>
      <c r="AA695" s="716"/>
      <c r="AB695" s="716"/>
      <c r="AC695" s="716"/>
      <c r="AD695" s="716"/>
      <c r="AE695" s="716"/>
      <c r="AF695" s="716"/>
      <c r="AG695" s="716"/>
      <c r="AH695" s="716"/>
      <c r="AI695" s="716"/>
      <c r="AJ695" s="716"/>
      <c r="AK695" s="716"/>
      <c r="AL695" s="716"/>
      <c r="AM695" s="716"/>
      <c r="AN695" s="716"/>
      <c r="AO695" s="716"/>
      <c r="AP695" s="716"/>
      <c r="AQ695" s="716"/>
      <c r="AR695" s="716"/>
    </row>
    <row r="696">
      <c r="A696" s="716"/>
      <c r="B696" s="530"/>
      <c r="C696" s="530"/>
      <c r="D696" s="530"/>
      <c r="E696" s="530"/>
      <c r="F696" s="530"/>
      <c r="G696" s="530"/>
      <c r="H696" s="530"/>
      <c r="I696" s="530"/>
      <c r="J696" s="530"/>
      <c r="K696" s="530"/>
      <c r="L696" s="530"/>
      <c r="M696" s="530"/>
      <c r="N696" s="530"/>
      <c r="O696" s="530"/>
      <c r="P696" s="530"/>
      <c r="Q696" s="530"/>
      <c r="R696" s="530"/>
      <c r="S696" s="530"/>
      <c r="T696" s="530"/>
      <c r="U696" s="530"/>
      <c r="V696" s="530"/>
      <c r="W696" s="530"/>
      <c r="X696" s="733"/>
      <c r="Y696" s="716"/>
      <c r="Z696" s="716"/>
      <c r="AA696" s="716"/>
      <c r="AB696" s="716"/>
      <c r="AC696" s="716"/>
      <c r="AD696" s="716"/>
      <c r="AE696" s="716"/>
      <c r="AF696" s="716"/>
      <c r="AG696" s="716"/>
      <c r="AH696" s="716"/>
      <c r="AI696" s="716"/>
      <c r="AJ696" s="716"/>
      <c r="AK696" s="716"/>
      <c r="AL696" s="716"/>
      <c r="AM696" s="716"/>
      <c r="AN696" s="716"/>
      <c r="AO696" s="716"/>
      <c r="AP696" s="716"/>
      <c r="AQ696" s="716"/>
      <c r="AR696" s="716"/>
    </row>
    <row r="697">
      <c r="A697" s="716"/>
      <c r="B697" s="530"/>
      <c r="C697" s="530"/>
      <c r="D697" s="530"/>
      <c r="E697" s="530"/>
      <c r="F697" s="530"/>
      <c r="G697" s="530"/>
      <c r="H697" s="530"/>
      <c r="I697" s="530"/>
      <c r="J697" s="530"/>
      <c r="K697" s="530"/>
      <c r="L697" s="530"/>
      <c r="M697" s="530"/>
      <c r="N697" s="530"/>
      <c r="O697" s="530"/>
      <c r="P697" s="530"/>
      <c r="Q697" s="530"/>
      <c r="R697" s="530"/>
      <c r="S697" s="530"/>
      <c r="T697" s="530"/>
      <c r="U697" s="530"/>
      <c r="V697" s="530"/>
      <c r="W697" s="530"/>
      <c r="X697" s="733"/>
      <c r="Y697" s="716"/>
      <c r="Z697" s="716"/>
      <c r="AA697" s="716"/>
      <c r="AB697" s="716"/>
      <c r="AC697" s="716"/>
      <c r="AD697" s="716"/>
      <c r="AE697" s="716"/>
      <c r="AF697" s="716"/>
      <c r="AG697" s="716"/>
      <c r="AH697" s="716"/>
      <c r="AI697" s="716"/>
      <c r="AJ697" s="716"/>
      <c r="AK697" s="716"/>
      <c r="AL697" s="716"/>
      <c r="AM697" s="716"/>
      <c r="AN697" s="716"/>
      <c r="AO697" s="716"/>
      <c r="AP697" s="716"/>
      <c r="AQ697" s="716"/>
      <c r="AR697" s="716"/>
    </row>
    <row r="698">
      <c r="A698" s="716"/>
      <c r="B698" s="530"/>
      <c r="C698" s="530"/>
      <c r="D698" s="530"/>
      <c r="E698" s="530"/>
      <c r="F698" s="530"/>
      <c r="G698" s="530"/>
      <c r="H698" s="530"/>
      <c r="I698" s="530"/>
      <c r="J698" s="530"/>
      <c r="K698" s="530"/>
      <c r="L698" s="530"/>
      <c r="M698" s="530"/>
      <c r="N698" s="530"/>
      <c r="O698" s="530"/>
      <c r="P698" s="530"/>
      <c r="Q698" s="530"/>
      <c r="R698" s="530"/>
      <c r="S698" s="530"/>
      <c r="T698" s="530"/>
      <c r="U698" s="530"/>
      <c r="V698" s="530"/>
      <c r="W698" s="530"/>
      <c r="X698" s="733"/>
      <c r="Y698" s="716"/>
      <c r="Z698" s="716"/>
      <c r="AA698" s="716"/>
      <c r="AB698" s="716"/>
      <c r="AC698" s="716"/>
      <c r="AD698" s="716"/>
      <c r="AE698" s="716"/>
      <c r="AF698" s="716"/>
      <c r="AG698" s="716"/>
      <c r="AH698" s="716"/>
      <c r="AI698" s="716"/>
      <c r="AJ698" s="716"/>
      <c r="AK698" s="716"/>
      <c r="AL698" s="716"/>
      <c r="AM698" s="716"/>
      <c r="AN698" s="716"/>
      <c r="AO698" s="716"/>
      <c r="AP698" s="716"/>
      <c r="AQ698" s="716"/>
      <c r="AR698" s="716"/>
    </row>
    <row r="699">
      <c r="A699" s="716"/>
      <c r="B699" s="530"/>
      <c r="C699" s="530"/>
      <c r="D699" s="530"/>
      <c r="E699" s="530"/>
      <c r="F699" s="530"/>
      <c r="G699" s="530"/>
      <c r="H699" s="530"/>
      <c r="I699" s="530"/>
      <c r="J699" s="530"/>
      <c r="K699" s="530"/>
      <c r="L699" s="530"/>
      <c r="M699" s="530"/>
      <c r="N699" s="530"/>
      <c r="O699" s="530"/>
      <c r="P699" s="530"/>
      <c r="Q699" s="530"/>
      <c r="R699" s="530"/>
      <c r="S699" s="530"/>
      <c r="T699" s="530"/>
      <c r="U699" s="530"/>
      <c r="V699" s="530"/>
      <c r="W699" s="530"/>
      <c r="X699" s="733"/>
      <c r="Y699" s="716"/>
      <c r="Z699" s="716"/>
      <c r="AA699" s="716"/>
      <c r="AB699" s="716"/>
      <c r="AC699" s="716"/>
      <c r="AD699" s="716"/>
      <c r="AE699" s="716"/>
      <c r="AF699" s="716"/>
      <c r="AG699" s="716"/>
      <c r="AH699" s="716"/>
      <c r="AI699" s="716"/>
      <c r="AJ699" s="716"/>
      <c r="AK699" s="716"/>
      <c r="AL699" s="716"/>
      <c r="AM699" s="716"/>
      <c r="AN699" s="716"/>
      <c r="AO699" s="716"/>
      <c r="AP699" s="716"/>
      <c r="AQ699" s="716"/>
      <c r="AR699" s="716"/>
    </row>
    <row r="700">
      <c r="A700" s="716"/>
      <c r="B700" s="530"/>
      <c r="C700" s="530"/>
      <c r="D700" s="530"/>
      <c r="E700" s="530"/>
      <c r="F700" s="530"/>
      <c r="G700" s="530"/>
      <c r="H700" s="530"/>
      <c r="I700" s="530"/>
      <c r="J700" s="530"/>
      <c r="K700" s="530"/>
      <c r="L700" s="530"/>
      <c r="M700" s="530"/>
      <c r="N700" s="530"/>
      <c r="O700" s="530"/>
      <c r="P700" s="530"/>
      <c r="Q700" s="530"/>
      <c r="R700" s="530"/>
      <c r="S700" s="530"/>
      <c r="T700" s="530"/>
      <c r="U700" s="530"/>
      <c r="V700" s="530"/>
      <c r="W700" s="530"/>
      <c r="X700" s="733"/>
      <c r="Y700" s="716"/>
      <c r="Z700" s="716"/>
      <c r="AA700" s="716"/>
      <c r="AB700" s="716"/>
      <c r="AC700" s="716"/>
      <c r="AD700" s="716"/>
      <c r="AE700" s="716"/>
      <c r="AF700" s="716"/>
      <c r="AG700" s="716"/>
      <c r="AH700" s="716"/>
      <c r="AI700" s="716"/>
      <c r="AJ700" s="716"/>
      <c r="AK700" s="716"/>
      <c r="AL700" s="716"/>
      <c r="AM700" s="716"/>
      <c r="AN700" s="716"/>
      <c r="AO700" s="716"/>
      <c r="AP700" s="716"/>
      <c r="AQ700" s="716"/>
      <c r="AR700" s="716"/>
    </row>
    <row r="701">
      <c r="A701" s="716"/>
      <c r="B701" s="530"/>
      <c r="C701" s="530"/>
      <c r="D701" s="530"/>
      <c r="E701" s="530"/>
      <c r="F701" s="530"/>
      <c r="G701" s="530"/>
      <c r="H701" s="530"/>
      <c r="I701" s="530"/>
      <c r="J701" s="530"/>
      <c r="K701" s="530"/>
      <c r="L701" s="530"/>
      <c r="M701" s="530"/>
      <c r="N701" s="530"/>
      <c r="O701" s="530"/>
      <c r="P701" s="530"/>
      <c r="Q701" s="530"/>
      <c r="R701" s="530"/>
      <c r="S701" s="530"/>
      <c r="T701" s="530"/>
      <c r="U701" s="530"/>
      <c r="V701" s="530"/>
      <c r="W701" s="530"/>
      <c r="X701" s="733"/>
      <c r="Y701" s="716"/>
      <c r="Z701" s="716"/>
      <c r="AA701" s="716"/>
      <c r="AB701" s="716"/>
      <c r="AC701" s="716"/>
      <c r="AD701" s="716"/>
      <c r="AE701" s="716"/>
      <c r="AF701" s="716"/>
      <c r="AG701" s="716"/>
      <c r="AH701" s="716"/>
      <c r="AI701" s="716"/>
      <c r="AJ701" s="716"/>
      <c r="AK701" s="716"/>
      <c r="AL701" s="716"/>
      <c r="AM701" s="716"/>
      <c r="AN701" s="716"/>
      <c r="AO701" s="716"/>
      <c r="AP701" s="716"/>
      <c r="AQ701" s="716"/>
      <c r="AR701" s="716"/>
    </row>
    <row r="702">
      <c r="A702" s="716"/>
      <c r="B702" s="530"/>
      <c r="C702" s="530"/>
      <c r="D702" s="530"/>
      <c r="E702" s="530"/>
      <c r="F702" s="530"/>
      <c r="G702" s="530"/>
      <c r="H702" s="530"/>
      <c r="I702" s="530"/>
      <c r="J702" s="530"/>
      <c r="K702" s="530"/>
      <c r="L702" s="530"/>
      <c r="M702" s="530"/>
      <c r="N702" s="530"/>
      <c r="O702" s="530"/>
      <c r="P702" s="530"/>
      <c r="Q702" s="530"/>
      <c r="R702" s="530"/>
      <c r="S702" s="530"/>
      <c r="T702" s="530"/>
      <c r="U702" s="530"/>
      <c r="V702" s="530"/>
      <c r="W702" s="530"/>
      <c r="X702" s="733"/>
      <c r="Y702" s="716"/>
      <c r="Z702" s="716"/>
      <c r="AA702" s="716"/>
      <c r="AB702" s="716"/>
      <c r="AC702" s="716"/>
      <c r="AD702" s="716"/>
      <c r="AE702" s="716"/>
      <c r="AF702" s="716"/>
      <c r="AG702" s="716"/>
      <c r="AH702" s="716"/>
      <c r="AI702" s="716"/>
      <c r="AJ702" s="716"/>
      <c r="AK702" s="716"/>
      <c r="AL702" s="716"/>
      <c r="AM702" s="716"/>
      <c r="AN702" s="716"/>
      <c r="AO702" s="716"/>
      <c r="AP702" s="716"/>
      <c r="AQ702" s="716"/>
      <c r="AR702" s="716"/>
    </row>
    <row r="703">
      <c r="A703" s="716"/>
      <c r="B703" s="530"/>
      <c r="C703" s="530"/>
      <c r="D703" s="530"/>
      <c r="E703" s="530"/>
      <c r="F703" s="530"/>
      <c r="G703" s="530"/>
      <c r="H703" s="530"/>
      <c r="I703" s="530"/>
      <c r="J703" s="530"/>
      <c r="K703" s="530"/>
      <c r="L703" s="530"/>
      <c r="M703" s="530"/>
      <c r="N703" s="530"/>
      <c r="O703" s="530"/>
      <c r="P703" s="530"/>
      <c r="Q703" s="530"/>
      <c r="R703" s="530"/>
      <c r="S703" s="530"/>
      <c r="T703" s="530"/>
      <c r="U703" s="530"/>
      <c r="V703" s="530"/>
      <c r="W703" s="530"/>
      <c r="X703" s="733"/>
      <c r="Y703" s="716"/>
      <c r="Z703" s="716"/>
      <c r="AA703" s="716"/>
      <c r="AB703" s="716"/>
      <c r="AC703" s="716"/>
      <c r="AD703" s="716"/>
      <c r="AE703" s="716"/>
      <c r="AF703" s="716"/>
      <c r="AG703" s="716"/>
      <c r="AH703" s="716"/>
      <c r="AI703" s="716"/>
      <c r="AJ703" s="716"/>
      <c r="AK703" s="716"/>
      <c r="AL703" s="716"/>
      <c r="AM703" s="716"/>
      <c r="AN703" s="716"/>
      <c r="AO703" s="716"/>
      <c r="AP703" s="716"/>
      <c r="AQ703" s="716"/>
      <c r="AR703" s="716"/>
    </row>
    <row r="704">
      <c r="A704" s="716"/>
      <c r="B704" s="530"/>
      <c r="C704" s="530"/>
      <c r="D704" s="530"/>
      <c r="E704" s="530"/>
      <c r="F704" s="530"/>
      <c r="G704" s="530"/>
      <c r="H704" s="530"/>
      <c r="I704" s="530"/>
      <c r="J704" s="530"/>
      <c r="K704" s="530"/>
      <c r="L704" s="530"/>
      <c r="M704" s="530"/>
      <c r="N704" s="530"/>
      <c r="O704" s="530"/>
      <c r="P704" s="530"/>
      <c r="Q704" s="530"/>
      <c r="R704" s="530"/>
      <c r="S704" s="530"/>
      <c r="T704" s="530"/>
      <c r="U704" s="530"/>
      <c r="V704" s="530"/>
      <c r="W704" s="530"/>
      <c r="X704" s="733"/>
      <c r="Y704" s="716"/>
      <c r="Z704" s="716"/>
      <c r="AA704" s="716"/>
      <c r="AB704" s="716"/>
      <c r="AC704" s="716"/>
      <c r="AD704" s="716"/>
      <c r="AE704" s="716"/>
      <c r="AF704" s="716"/>
      <c r="AG704" s="716"/>
      <c r="AH704" s="716"/>
      <c r="AI704" s="716"/>
      <c r="AJ704" s="716"/>
      <c r="AK704" s="716"/>
      <c r="AL704" s="716"/>
      <c r="AM704" s="716"/>
      <c r="AN704" s="716"/>
      <c r="AO704" s="716"/>
      <c r="AP704" s="716"/>
      <c r="AQ704" s="716"/>
      <c r="AR704" s="716"/>
    </row>
    <row r="705">
      <c r="A705" s="716"/>
      <c r="B705" s="530"/>
      <c r="C705" s="530"/>
      <c r="D705" s="530"/>
      <c r="E705" s="530"/>
      <c r="F705" s="530"/>
      <c r="G705" s="530"/>
      <c r="H705" s="530"/>
      <c r="I705" s="530"/>
      <c r="J705" s="530"/>
      <c r="K705" s="530"/>
      <c r="L705" s="530"/>
      <c r="M705" s="530"/>
      <c r="N705" s="530"/>
      <c r="O705" s="530"/>
      <c r="P705" s="530"/>
      <c r="Q705" s="530"/>
      <c r="R705" s="530"/>
      <c r="S705" s="530"/>
      <c r="T705" s="530"/>
      <c r="U705" s="530"/>
      <c r="V705" s="530"/>
      <c r="W705" s="530"/>
      <c r="X705" s="733"/>
      <c r="Y705" s="716"/>
      <c r="Z705" s="716"/>
      <c r="AA705" s="716"/>
      <c r="AB705" s="716"/>
      <c r="AC705" s="716"/>
      <c r="AD705" s="716"/>
      <c r="AE705" s="716"/>
      <c r="AF705" s="716"/>
      <c r="AG705" s="716"/>
      <c r="AH705" s="716"/>
      <c r="AI705" s="716"/>
      <c r="AJ705" s="716"/>
      <c r="AK705" s="716"/>
      <c r="AL705" s="716"/>
      <c r="AM705" s="716"/>
      <c r="AN705" s="716"/>
      <c r="AO705" s="716"/>
      <c r="AP705" s="716"/>
      <c r="AQ705" s="716"/>
      <c r="AR705" s="716"/>
    </row>
    <row r="706">
      <c r="A706" s="716"/>
      <c r="B706" s="530"/>
      <c r="C706" s="530"/>
      <c r="D706" s="530"/>
      <c r="E706" s="530"/>
      <c r="F706" s="530"/>
      <c r="G706" s="530"/>
      <c r="H706" s="530"/>
      <c r="I706" s="530"/>
      <c r="J706" s="530"/>
      <c r="K706" s="530"/>
      <c r="L706" s="530"/>
      <c r="M706" s="530"/>
      <c r="N706" s="530"/>
      <c r="O706" s="530"/>
      <c r="P706" s="530"/>
      <c r="Q706" s="530"/>
      <c r="R706" s="530"/>
      <c r="S706" s="530"/>
      <c r="T706" s="530"/>
      <c r="U706" s="530"/>
      <c r="V706" s="530"/>
      <c r="W706" s="530"/>
      <c r="X706" s="733"/>
      <c r="Y706" s="716"/>
      <c r="Z706" s="716"/>
      <c r="AA706" s="716"/>
      <c r="AB706" s="716"/>
      <c r="AC706" s="716"/>
      <c r="AD706" s="716"/>
      <c r="AE706" s="716"/>
      <c r="AF706" s="716"/>
      <c r="AG706" s="716"/>
      <c r="AH706" s="716"/>
      <c r="AI706" s="716"/>
      <c r="AJ706" s="716"/>
      <c r="AK706" s="716"/>
      <c r="AL706" s="716"/>
      <c r="AM706" s="716"/>
      <c r="AN706" s="716"/>
      <c r="AO706" s="716"/>
      <c r="AP706" s="716"/>
      <c r="AQ706" s="716"/>
      <c r="AR706" s="716"/>
    </row>
    <row r="707">
      <c r="A707" s="716"/>
      <c r="B707" s="530"/>
      <c r="C707" s="530"/>
      <c r="D707" s="530"/>
      <c r="E707" s="530"/>
      <c r="F707" s="530"/>
      <c r="G707" s="530"/>
      <c r="H707" s="530"/>
      <c r="I707" s="530"/>
      <c r="J707" s="530"/>
      <c r="K707" s="530"/>
      <c r="L707" s="530"/>
      <c r="M707" s="530"/>
      <c r="N707" s="530"/>
      <c r="O707" s="530"/>
      <c r="P707" s="530"/>
      <c r="Q707" s="530"/>
      <c r="R707" s="530"/>
      <c r="S707" s="530"/>
      <c r="T707" s="530"/>
      <c r="U707" s="530"/>
      <c r="V707" s="530"/>
      <c r="W707" s="530"/>
      <c r="X707" s="733"/>
      <c r="Y707" s="716"/>
      <c r="Z707" s="716"/>
      <c r="AA707" s="716"/>
      <c r="AB707" s="716"/>
      <c r="AC707" s="716"/>
      <c r="AD707" s="716"/>
      <c r="AE707" s="716"/>
      <c r="AF707" s="716"/>
      <c r="AG707" s="716"/>
      <c r="AH707" s="716"/>
      <c r="AI707" s="716"/>
      <c r="AJ707" s="716"/>
      <c r="AK707" s="716"/>
      <c r="AL707" s="716"/>
      <c r="AM707" s="716"/>
      <c r="AN707" s="716"/>
      <c r="AO707" s="716"/>
      <c r="AP707" s="716"/>
      <c r="AQ707" s="716"/>
      <c r="AR707" s="716"/>
    </row>
    <row r="708">
      <c r="A708" s="716"/>
      <c r="B708" s="530"/>
      <c r="C708" s="530"/>
      <c r="D708" s="530"/>
      <c r="E708" s="530"/>
      <c r="F708" s="530"/>
      <c r="G708" s="530"/>
      <c r="H708" s="530"/>
      <c r="I708" s="530"/>
      <c r="J708" s="530"/>
      <c r="K708" s="530"/>
      <c r="L708" s="530"/>
      <c r="M708" s="530"/>
      <c r="N708" s="530"/>
      <c r="O708" s="530"/>
      <c r="P708" s="530"/>
      <c r="Q708" s="530"/>
      <c r="R708" s="530"/>
      <c r="S708" s="530"/>
      <c r="T708" s="530"/>
      <c r="U708" s="530"/>
      <c r="V708" s="530"/>
      <c r="W708" s="530"/>
      <c r="X708" s="733"/>
      <c r="Y708" s="716"/>
      <c r="Z708" s="716"/>
      <c r="AA708" s="716"/>
      <c r="AB708" s="716"/>
      <c r="AC708" s="716"/>
      <c r="AD708" s="716"/>
      <c r="AE708" s="716"/>
      <c r="AF708" s="716"/>
      <c r="AG708" s="716"/>
      <c r="AH708" s="716"/>
      <c r="AI708" s="716"/>
      <c r="AJ708" s="716"/>
      <c r="AK708" s="716"/>
      <c r="AL708" s="716"/>
      <c r="AM708" s="716"/>
      <c r="AN708" s="716"/>
      <c r="AO708" s="716"/>
      <c r="AP708" s="716"/>
      <c r="AQ708" s="716"/>
      <c r="AR708" s="716"/>
    </row>
    <row r="709">
      <c r="A709" s="716"/>
      <c r="B709" s="530"/>
      <c r="C709" s="530"/>
      <c r="D709" s="530"/>
      <c r="E709" s="530"/>
      <c r="F709" s="530"/>
      <c r="G709" s="530"/>
      <c r="H709" s="530"/>
      <c r="I709" s="530"/>
      <c r="J709" s="530"/>
      <c r="K709" s="530"/>
      <c r="L709" s="530"/>
      <c r="M709" s="530"/>
      <c r="N709" s="530"/>
      <c r="O709" s="530"/>
      <c r="P709" s="530"/>
      <c r="Q709" s="530"/>
      <c r="R709" s="530"/>
      <c r="S709" s="530"/>
      <c r="T709" s="530"/>
      <c r="U709" s="530"/>
      <c r="V709" s="530"/>
      <c r="W709" s="530"/>
      <c r="X709" s="733"/>
      <c r="Y709" s="716"/>
      <c r="Z709" s="716"/>
      <c r="AA709" s="716"/>
      <c r="AB709" s="716"/>
      <c r="AC709" s="716"/>
      <c r="AD709" s="716"/>
      <c r="AE709" s="716"/>
      <c r="AF709" s="716"/>
      <c r="AG709" s="716"/>
      <c r="AH709" s="716"/>
      <c r="AI709" s="716"/>
      <c r="AJ709" s="716"/>
      <c r="AK709" s="716"/>
      <c r="AL709" s="716"/>
      <c r="AM709" s="716"/>
      <c r="AN709" s="716"/>
      <c r="AO709" s="716"/>
      <c r="AP709" s="716"/>
      <c r="AQ709" s="716"/>
      <c r="AR709" s="716"/>
    </row>
    <row r="710">
      <c r="A710" s="716"/>
      <c r="B710" s="530"/>
      <c r="C710" s="530"/>
      <c r="D710" s="530"/>
      <c r="E710" s="530"/>
      <c r="F710" s="530"/>
      <c r="G710" s="530"/>
      <c r="H710" s="530"/>
      <c r="I710" s="530"/>
      <c r="J710" s="530"/>
      <c r="K710" s="530"/>
      <c r="L710" s="530"/>
      <c r="M710" s="530"/>
      <c r="N710" s="530"/>
      <c r="O710" s="530"/>
      <c r="P710" s="530"/>
      <c r="Q710" s="530"/>
      <c r="R710" s="530"/>
      <c r="S710" s="530"/>
      <c r="T710" s="530"/>
      <c r="U710" s="530"/>
      <c r="V710" s="530"/>
      <c r="W710" s="530"/>
      <c r="X710" s="733"/>
      <c r="Y710" s="716"/>
      <c r="Z710" s="716"/>
      <c r="AA710" s="716"/>
      <c r="AB710" s="716"/>
      <c r="AC710" s="716"/>
      <c r="AD710" s="716"/>
      <c r="AE710" s="716"/>
      <c r="AF710" s="716"/>
      <c r="AG710" s="716"/>
      <c r="AH710" s="716"/>
      <c r="AI710" s="716"/>
      <c r="AJ710" s="716"/>
      <c r="AK710" s="716"/>
      <c r="AL710" s="716"/>
      <c r="AM710" s="716"/>
      <c r="AN710" s="716"/>
      <c r="AO710" s="716"/>
      <c r="AP710" s="716"/>
      <c r="AQ710" s="716"/>
      <c r="AR710" s="716"/>
    </row>
    <row r="711">
      <c r="A711" s="716"/>
      <c r="B711" s="530"/>
      <c r="C711" s="530"/>
      <c r="D711" s="530"/>
      <c r="E711" s="530"/>
      <c r="F711" s="530"/>
      <c r="G711" s="530"/>
      <c r="H711" s="530"/>
      <c r="I711" s="530"/>
      <c r="J711" s="530"/>
      <c r="K711" s="530"/>
      <c r="L711" s="530"/>
      <c r="M711" s="530"/>
      <c r="N711" s="530"/>
      <c r="O711" s="530"/>
      <c r="P711" s="530"/>
      <c r="Q711" s="530"/>
      <c r="R711" s="530"/>
      <c r="S711" s="530"/>
      <c r="T711" s="530"/>
      <c r="U711" s="530"/>
      <c r="V711" s="530"/>
      <c r="W711" s="530"/>
      <c r="X711" s="733"/>
      <c r="Y711" s="716"/>
      <c r="Z711" s="716"/>
      <c r="AA711" s="716"/>
      <c r="AB711" s="716"/>
      <c r="AC711" s="716"/>
      <c r="AD711" s="716"/>
      <c r="AE711" s="716"/>
      <c r="AF711" s="716"/>
      <c r="AG711" s="716"/>
      <c r="AH711" s="716"/>
      <c r="AI711" s="716"/>
      <c r="AJ711" s="716"/>
      <c r="AK711" s="716"/>
      <c r="AL711" s="716"/>
      <c r="AM711" s="716"/>
      <c r="AN711" s="716"/>
      <c r="AO711" s="716"/>
      <c r="AP711" s="716"/>
      <c r="AQ711" s="716"/>
      <c r="AR711" s="716"/>
    </row>
    <row r="712">
      <c r="A712" s="716"/>
      <c r="B712" s="530"/>
      <c r="C712" s="530"/>
      <c r="D712" s="530"/>
      <c r="E712" s="530"/>
      <c r="F712" s="530"/>
      <c r="G712" s="530"/>
      <c r="H712" s="530"/>
      <c r="I712" s="530"/>
      <c r="J712" s="530"/>
      <c r="K712" s="530"/>
      <c r="L712" s="530"/>
      <c r="M712" s="530"/>
      <c r="N712" s="530"/>
      <c r="O712" s="530"/>
      <c r="P712" s="530"/>
      <c r="Q712" s="530"/>
      <c r="R712" s="530"/>
      <c r="S712" s="530"/>
      <c r="T712" s="530"/>
      <c r="U712" s="530"/>
      <c r="V712" s="530"/>
      <c r="W712" s="530"/>
      <c r="X712" s="733"/>
      <c r="Y712" s="716"/>
      <c r="Z712" s="716"/>
      <c r="AA712" s="716"/>
      <c r="AB712" s="716"/>
      <c r="AC712" s="716"/>
      <c r="AD712" s="716"/>
      <c r="AE712" s="716"/>
      <c r="AF712" s="716"/>
      <c r="AG712" s="716"/>
      <c r="AH712" s="716"/>
      <c r="AI712" s="716"/>
      <c r="AJ712" s="716"/>
      <c r="AK712" s="716"/>
      <c r="AL712" s="716"/>
      <c r="AM712" s="716"/>
      <c r="AN712" s="716"/>
      <c r="AO712" s="716"/>
      <c r="AP712" s="716"/>
      <c r="AQ712" s="716"/>
      <c r="AR712" s="716"/>
    </row>
    <row r="713">
      <c r="A713" s="716"/>
      <c r="B713" s="530"/>
      <c r="C713" s="530"/>
      <c r="D713" s="530"/>
      <c r="E713" s="530"/>
      <c r="F713" s="530"/>
      <c r="G713" s="530"/>
      <c r="H713" s="530"/>
      <c r="I713" s="530"/>
      <c r="J713" s="530"/>
      <c r="K713" s="530"/>
      <c r="L713" s="530"/>
      <c r="M713" s="530"/>
      <c r="N713" s="530"/>
      <c r="O713" s="530"/>
      <c r="P713" s="530"/>
      <c r="Q713" s="530"/>
      <c r="R713" s="530"/>
      <c r="S713" s="530"/>
      <c r="T713" s="530"/>
      <c r="U713" s="530"/>
      <c r="V713" s="530"/>
      <c r="W713" s="530"/>
      <c r="X713" s="733"/>
      <c r="Y713" s="716"/>
      <c r="Z713" s="716"/>
      <c r="AA713" s="716"/>
      <c r="AB713" s="716"/>
      <c r="AC713" s="716"/>
      <c r="AD713" s="716"/>
      <c r="AE713" s="716"/>
      <c r="AF713" s="716"/>
      <c r="AG713" s="716"/>
      <c r="AH713" s="716"/>
      <c r="AI713" s="716"/>
      <c r="AJ713" s="716"/>
      <c r="AK713" s="716"/>
      <c r="AL713" s="716"/>
      <c r="AM713" s="716"/>
      <c r="AN713" s="716"/>
      <c r="AO713" s="716"/>
      <c r="AP713" s="716"/>
      <c r="AQ713" s="716"/>
      <c r="AR713" s="716"/>
    </row>
    <row r="714">
      <c r="A714" s="716"/>
      <c r="B714" s="530"/>
      <c r="C714" s="530"/>
      <c r="D714" s="530"/>
      <c r="E714" s="530"/>
      <c r="F714" s="530"/>
      <c r="G714" s="530"/>
      <c r="H714" s="530"/>
      <c r="I714" s="530"/>
      <c r="J714" s="530"/>
      <c r="K714" s="530"/>
      <c r="L714" s="530"/>
      <c r="M714" s="530"/>
      <c r="N714" s="530"/>
      <c r="O714" s="530"/>
      <c r="P714" s="530"/>
      <c r="Q714" s="530"/>
      <c r="R714" s="530"/>
      <c r="S714" s="530"/>
      <c r="T714" s="530"/>
      <c r="U714" s="530"/>
      <c r="V714" s="530"/>
      <c r="W714" s="530"/>
      <c r="X714" s="733"/>
      <c r="Y714" s="716"/>
      <c r="Z714" s="716"/>
      <c r="AA714" s="716"/>
      <c r="AB714" s="716"/>
      <c r="AC714" s="716"/>
      <c r="AD714" s="716"/>
      <c r="AE714" s="716"/>
      <c r="AF714" s="716"/>
      <c r="AG714" s="716"/>
      <c r="AH714" s="716"/>
      <c r="AI714" s="716"/>
      <c r="AJ714" s="716"/>
      <c r="AK714" s="716"/>
      <c r="AL714" s="716"/>
      <c r="AM714" s="716"/>
      <c r="AN714" s="716"/>
      <c r="AO714" s="716"/>
      <c r="AP714" s="716"/>
      <c r="AQ714" s="716"/>
      <c r="AR714" s="716"/>
    </row>
    <row r="715">
      <c r="A715" s="716"/>
      <c r="B715" s="530"/>
      <c r="C715" s="530"/>
      <c r="D715" s="530"/>
      <c r="E715" s="530"/>
      <c r="F715" s="530"/>
      <c r="G715" s="530"/>
      <c r="H715" s="530"/>
      <c r="I715" s="530"/>
      <c r="J715" s="530"/>
      <c r="K715" s="530"/>
      <c r="L715" s="530"/>
      <c r="M715" s="530"/>
      <c r="N715" s="530"/>
      <c r="O715" s="530"/>
      <c r="P715" s="530"/>
      <c r="Q715" s="530"/>
      <c r="R715" s="530"/>
      <c r="S715" s="530"/>
      <c r="T715" s="530"/>
      <c r="U715" s="530"/>
      <c r="V715" s="530"/>
      <c r="W715" s="530"/>
      <c r="X715" s="733"/>
      <c r="Y715" s="716"/>
      <c r="Z715" s="716"/>
      <c r="AA715" s="716"/>
      <c r="AB715" s="716"/>
      <c r="AC715" s="716"/>
      <c r="AD715" s="716"/>
      <c r="AE715" s="716"/>
      <c r="AF715" s="716"/>
      <c r="AG715" s="716"/>
      <c r="AH715" s="716"/>
      <c r="AI715" s="716"/>
      <c r="AJ715" s="716"/>
      <c r="AK715" s="716"/>
      <c r="AL715" s="716"/>
      <c r="AM715" s="716"/>
      <c r="AN715" s="716"/>
      <c r="AO715" s="716"/>
      <c r="AP715" s="716"/>
      <c r="AQ715" s="716"/>
      <c r="AR715" s="716"/>
    </row>
    <row r="716">
      <c r="A716" s="716"/>
      <c r="B716" s="530"/>
      <c r="C716" s="530"/>
      <c r="D716" s="530"/>
      <c r="E716" s="530"/>
      <c r="F716" s="530"/>
      <c r="G716" s="530"/>
      <c r="H716" s="530"/>
      <c r="I716" s="530"/>
      <c r="J716" s="530"/>
      <c r="K716" s="530"/>
      <c r="L716" s="530"/>
      <c r="M716" s="530"/>
      <c r="N716" s="530"/>
      <c r="O716" s="530"/>
      <c r="P716" s="530"/>
      <c r="Q716" s="530"/>
      <c r="R716" s="530"/>
      <c r="S716" s="530"/>
      <c r="T716" s="530"/>
      <c r="U716" s="530"/>
      <c r="V716" s="530"/>
      <c r="W716" s="530"/>
      <c r="X716" s="733"/>
      <c r="Y716" s="716"/>
      <c r="Z716" s="716"/>
      <c r="AA716" s="716"/>
      <c r="AB716" s="716"/>
      <c r="AC716" s="716"/>
      <c r="AD716" s="716"/>
      <c r="AE716" s="716"/>
      <c r="AF716" s="716"/>
      <c r="AG716" s="716"/>
      <c r="AH716" s="716"/>
      <c r="AI716" s="716"/>
      <c r="AJ716" s="716"/>
      <c r="AK716" s="716"/>
      <c r="AL716" s="716"/>
      <c r="AM716" s="716"/>
      <c r="AN716" s="716"/>
      <c r="AO716" s="716"/>
      <c r="AP716" s="716"/>
      <c r="AQ716" s="716"/>
      <c r="AR716" s="716"/>
    </row>
    <row r="717">
      <c r="A717" s="716"/>
      <c r="B717" s="530"/>
      <c r="C717" s="530"/>
      <c r="D717" s="530"/>
      <c r="E717" s="530"/>
      <c r="F717" s="530"/>
      <c r="G717" s="530"/>
      <c r="H717" s="530"/>
      <c r="I717" s="530"/>
      <c r="J717" s="530"/>
      <c r="K717" s="530"/>
      <c r="L717" s="530"/>
      <c r="M717" s="530"/>
      <c r="N717" s="530"/>
      <c r="O717" s="530"/>
      <c r="P717" s="530"/>
      <c r="Q717" s="530"/>
      <c r="R717" s="530"/>
      <c r="S717" s="530"/>
      <c r="T717" s="530"/>
      <c r="U717" s="530"/>
      <c r="V717" s="530"/>
      <c r="W717" s="530"/>
      <c r="X717" s="733"/>
      <c r="Y717" s="716"/>
      <c r="Z717" s="716"/>
      <c r="AA717" s="716"/>
      <c r="AB717" s="716"/>
      <c r="AC717" s="716"/>
      <c r="AD717" s="716"/>
      <c r="AE717" s="716"/>
      <c r="AF717" s="716"/>
      <c r="AG717" s="716"/>
      <c r="AH717" s="716"/>
      <c r="AI717" s="716"/>
      <c r="AJ717" s="716"/>
      <c r="AK717" s="716"/>
      <c r="AL717" s="716"/>
      <c r="AM717" s="716"/>
      <c r="AN717" s="716"/>
      <c r="AO717" s="716"/>
      <c r="AP717" s="716"/>
      <c r="AQ717" s="716"/>
      <c r="AR717" s="716"/>
    </row>
    <row r="718">
      <c r="A718" s="716"/>
      <c r="B718" s="530"/>
      <c r="C718" s="530"/>
      <c r="D718" s="530"/>
      <c r="E718" s="530"/>
      <c r="F718" s="530"/>
      <c r="G718" s="530"/>
      <c r="H718" s="530"/>
      <c r="I718" s="530"/>
      <c r="J718" s="530"/>
      <c r="K718" s="530"/>
      <c r="L718" s="530"/>
      <c r="M718" s="530"/>
      <c r="N718" s="530"/>
      <c r="O718" s="530"/>
      <c r="P718" s="530"/>
      <c r="Q718" s="530"/>
      <c r="R718" s="530"/>
      <c r="S718" s="530"/>
      <c r="T718" s="530"/>
      <c r="U718" s="530"/>
      <c r="V718" s="530"/>
      <c r="W718" s="530"/>
      <c r="X718" s="733"/>
      <c r="Y718" s="716"/>
      <c r="Z718" s="716"/>
      <c r="AA718" s="716"/>
      <c r="AB718" s="716"/>
      <c r="AC718" s="716"/>
      <c r="AD718" s="716"/>
      <c r="AE718" s="716"/>
      <c r="AF718" s="716"/>
      <c r="AG718" s="716"/>
      <c r="AH718" s="716"/>
      <c r="AI718" s="716"/>
      <c r="AJ718" s="716"/>
      <c r="AK718" s="716"/>
      <c r="AL718" s="716"/>
      <c r="AM718" s="716"/>
      <c r="AN718" s="716"/>
      <c r="AO718" s="716"/>
      <c r="AP718" s="716"/>
      <c r="AQ718" s="716"/>
      <c r="AR718" s="716"/>
    </row>
    <row r="719">
      <c r="A719" s="716"/>
      <c r="B719" s="530"/>
      <c r="C719" s="530"/>
      <c r="D719" s="530"/>
      <c r="E719" s="530"/>
      <c r="F719" s="530"/>
      <c r="G719" s="530"/>
      <c r="H719" s="530"/>
      <c r="I719" s="530"/>
      <c r="J719" s="530"/>
      <c r="K719" s="530"/>
      <c r="L719" s="530"/>
      <c r="M719" s="530"/>
      <c r="N719" s="530"/>
      <c r="O719" s="530"/>
      <c r="P719" s="530"/>
      <c r="Q719" s="530"/>
      <c r="R719" s="530"/>
      <c r="S719" s="530"/>
      <c r="T719" s="530"/>
      <c r="U719" s="530"/>
      <c r="V719" s="530"/>
      <c r="W719" s="530"/>
      <c r="X719" s="733"/>
      <c r="Y719" s="716"/>
      <c r="Z719" s="716"/>
      <c r="AA719" s="716"/>
      <c r="AB719" s="716"/>
      <c r="AC719" s="716"/>
      <c r="AD719" s="716"/>
      <c r="AE719" s="716"/>
      <c r="AF719" s="716"/>
      <c r="AG719" s="716"/>
      <c r="AH719" s="716"/>
      <c r="AI719" s="716"/>
      <c r="AJ719" s="716"/>
      <c r="AK719" s="716"/>
      <c r="AL719" s="716"/>
      <c r="AM719" s="716"/>
      <c r="AN719" s="716"/>
      <c r="AO719" s="716"/>
      <c r="AP719" s="716"/>
      <c r="AQ719" s="716"/>
      <c r="AR719" s="716"/>
    </row>
    <row r="720">
      <c r="A720" s="716"/>
      <c r="B720" s="530"/>
      <c r="C720" s="530"/>
      <c r="D720" s="530"/>
      <c r="E720" s="530"/>
      <c r="F720" s="530"/>
      <c r="G720" s="530"/>
      <c r="H720" s="530"/>
      <c r="I720" s="530"/>
      <c r="J720" s="530"/>
      <c r="K720" s="530"/>
      <c r="L720" s="530"/>
      <c r="M720" s="530"/>
      <c r="N720" s="530"/>
      <c r="O720" s="530"/>
      <c r="P720" s="530"/>
      <c r="Q720" s="530"/>
      <c r="R720" s="530"/>
      <c r="S720" s="530"/>
      <c r="T720" s="530"/>
      <c r="U720" s="530"/>
      <c r="V720" s="530"/>
      <c r="W720" s="530"/>
      <c r="X720" s="733"/>
      <c r="Y720" s="716"/>
      <c r="Z720" s="716"/>
      <c r="AA720" s="716"/>
      <c r="AB720" s="716"/>
      <c r="AC720" s="716"/>
      <c r="AD720" s="716"/>
      <c r="AE720" s="716"/>
      <c r="AF720" s="716"/>
      <c r="AG720" s="716"/>
      <c r="AH720" s="716"/>
      <c r="AI720" s="716"/>
      <c r="AJ720" s="716"/>
      <c r="AK720" s="716"/>
      <c r="AL720" s="716"/>
      <c r="AM720" s="716"/>
      <c r="AN720" s="716"/>
      <c r="AO720" s="716"/>
      <c r="AP720" s="716"/>
      <c r="AQ720" s="716"/>
      <c r="AR720" s="716"/>
    </row>
    <row r="721">
      <c r="A721" s="716"/>
      <c r="B721" s="530"/>
      <c r="C721" s="530"/>
      <c r="D721" s="530"/>
      <c r="E721" s="530"/>
      <c r="F721" s="530"/>
      <c r="G721" s="530"/>
      <c r="H721" s="530"/>
      <c r="I721" s="530"/>
      <c r="J721" s="530"/>
      <c r="K721" s="530"/>
      <c r="L721" s="530"/>
      <c r="M721" s="530"/>
      <c r="N721" s="530"/>
      <c r="O721" s="530"/>
      <c r="P721" s="530"/>
      <c r="Q721" s="530"/>
      <c r="R721" s="530"/>
      <c r="S721" s="530"/>
      <c r="T721" s="530"/>
      <c r="U721" s="530"/>
      <c r="V721" s="530"/>
      <c r="W721" s="530"/>
      <c r="X721" s="733"/>
      <c r="Y721" s="716"/>
      <c r="Z721" s="716"/>
      <c r="AA721" s="716"/>
      <c r="AB721" s="716"/>
      <c r="AC721" s="716"/>
      <c r="AD721" s="716"/>
      <c r="AE721" s="716"/>
      <c r="AF721" s="716"/>
      <c r="AG721" s="716"/>
      <c r="AH721" s="716"/>
      <c r="AI721" s="716"/>
      <c r="AJ721" s="716"/>
      <c r="AK721" s="716"/>
      <c r="AL721" s="716"/>
      <c r="AM721" s="716"/>
      <c r="AN721" s="716"/>
      <c r="AO721" s="716"/>
      <c r="AP721" s="716"/>
      <c r="AQ721" s="716"/>
      <c r="AR721" s="716"/>
    </row>
    <row r="722">
      <c r="A722" s="716"/>
      <c r="B722" s="530"/>
      <c r="C722" s="530"/>
      <c r="D722" s="530"/>
      <c r="E722" s="530"/>
      <c r="F722" s="530"/>
      <c r="G722" s="530"/>
      <c r="H722" s="530"/>
      <c r="I722" s="530"/>
      <c r="J722" s="530"/>
      <c r="K722" s="530"/>
      <c r="L722" s="530"/>
      <c r="M722" s="530"/>
      <c r="N722" s="530"/>
      <c r="O722" s="530"/>
      <c r="P722" s="530"/>
      <c r="Q722" s="530"/>
      <c r="R722" s="530"/>
      <c r="S722" s="530"/>
      <c r="T722" s="530"/>
      <c r="U722" s="530"/>
      <c r="V722" s="530"/>
      <c r="W722" s="530"/>
      <c r="X722" s="733"/>
      <c r="Y722" s="716"/>
      <c r="Z722" s="716"/>
      <c r="AA722" s="716"/>
      <c r="AB722" s="716"/>
      <c r="AC722" s="716"/>
      <c r="AD722" s="716"/>
      <c r="AE722" s="716"/>
      <c r="AF722" s="716"/>
      <c r="AG722" s="716"/>
      <c r="AH722" s="716"/>
      <c r="AI722" s="716"/>
      <c r="AJ722" s="716"/>
      <c r="AK722" s="716"/>
      <c r="AL722" s="716"/>
      <c r="AM722" s="716"/>
      <c r="AN722" s="716"/>
      <c r="AO722" s="716"/>
      <c r="AP722" s="716"/>
      <c r="AQ722" s="716"/>
      <c r="AR722" s="716"/>
    </row>
    <row r="723">
      <c r="A723" s="716"/>
      <c r="B723" s="530"/>
      <c r="C723" s="530"/>
      <c r="D723" s="530"/>
      <c r="E723" s="530"/>
      <c r="F723" s="530"/>
      <c r="G723" s="530"/>
      <c r="H723" s="530"/>
      <c r="I723" s="530"/>
      <c r="J723" s="530"/>
      <c r="K723" s="530"/>
      <c r="L723" s="530"/>
      <c r="M723" s="530"/>
      <c r="N723" s="530"/>
      <c r="O723" s="530"/>
      <c r="P723" s="530"/>
      <c r="Q723" s="530"/>
      <c r="R723" s="530"/>
      <c r="S723" s="530"/>
      <c r="T723" s="530"/>
      <c r="U723" s="530"/>
      <c r="V723" s="530"/>
      <c r="W723" s="530"/>
      <c r="X723" s="733"/>
      <c r="Y723" s="716"/>
      <c r="Z723" s="716"/>
      <c r="AA723" s="716"/>
      <c r="AB723" s="716"/>
      <c r="AC723" s="716"/>
      <c r="AD723" s="716"/>
      <c r="AE723" s="716"/>
      <c r="AF723" s="716"/>
      <c r="AG723" s="716"/>
      <c r="AH723" s="716"/>
      <c r="AI723" s="716"/>
      <c r="AJ723" s="716"/>
      <c r="AK723" s="716"/>
      <c r="AL723" s="716"/>
      <c r="AM723" s="716"/>
      <c r="AN723" s="716"/>
      <c r="AO723" s="716"/>
      <c r="AP723" s="716"/>
      <c r="AQ723" s="716"/>
      <c r="AR723" s="716"/>
    </row>
    <row r="724">
      <c r="A724" s="716"/>
      <c r="B724" s="530"/>
      <c r="C724" s="530"/>
      <c r="D724" s="530"/>
      <c r="E724" s="530"/>
      <c r="F724" s="530"/>
      <c r="G724" s="530"/>
      <c r="H724" s="530"/>
      <c r="I724" s="530"/>
      <c r="J724" s="530"/>
      <c r="K724" s="530"/>
      <c r="L724" s="530"/>
      <c r="M724" s="530"/>
      <c r="N724" s="530"/>
      <c r="O724" s="530"/>
      <c r="P724" s="530"/>
      <c r="Q724" s="530"/>
      <c r="R724" s="530"/>
      <c r="S724" s="530"/>
      <c r="T724" s="530"/>
      <c r="U724" s="530"/>
      <c r="V724" s="530"/>
      <c r="W724" s="530"/>
      <c r="X724" s="733"/>
      <c r="Y724" s="716"/>
      <c r="Z724" s="716"/>
      <c r="AA724" s="716"/>
      <c r="AB724" s="716"/>
      <c r="AC724" s="716"/>
      <c r="AD724" s="716"/>
      <c r="AE724" s="716"/>
      <c r="AF724" s="716"/>
      <c r="AG724" s="716"/>
      <c r="AH724" s="716"/>
      <c r="AI724" s="716"/>
      <c r="AJ724" s="716"/>
      <c r="AK724" s="716"/>
      <c r="AL724" s="716"/>
      <c r="AM724" s="716"/>
      <c r="AN724" s="716"/>
      <c r="AO724" s="716"/>
      <c r="AP724" s="716"/>
      <c r="AQ724" s="716"/>
      <c r="AR724" s="716"/>
    </row>
    <row r="725">
      <c r="A725" s="716"/>
      <c r="B725" s="530"/>
      <c r="C725" s="530"/>
      <c r="D725" s="530"/>
      <c r="E725" s="530"/>
      <c r="F725" s="530"/>
      <c r="G725" s="530"/>
      <c r="H725" s="530"/>
      <c r="I725" s="530"/>
      <c r="J725" s="530"/>
      <c r="K725" s="530"/>
      <c r="L725" s="530"/>
      <c r="M725" s="530"/>
      <c r="N725" s="530"/>
      <c r="O725" s="530"/>
      <c r="P725" s="530"/>
      <c r="Q725" s="530"/>
      <c r="R725" s="530"/>
      <c r="S725" s="530"/>
      <c r="T725" s="530"/>
      <c r="U725" s="530"/>
      <c r="V725" s="530"/>
      <c r="W725" s="530"/>
      <c r="X725" s="733"/>
      <c r="Y725" s="716"/>
      <c r="Z725" s="716"/>
      <c r="AA725" s="716"/>
      <c r="AB725" s="716"/>
      <c r="AC725" s="716"/>
      <c r="AD725" s="716"/>
      <c r="AE725" s="716"/>
      <c r="AF725" s="716"/>
      <c r="AG725" s="716"/>
      <c r="AH725" s="716"/>
      <c r="AI725" s="716"/>
      <c r="AJ725" s="716"/>
      <c r="AK725" s="716"/>
      <c r="AL725" s="716"/>
      <c r="AM725" s="716"/>
      <c r="AN725" s="716"/>
      <c r="AO725" s="716"/>
      <c r="AP725" s="716"/>
      <c r="AQ725" s="716"/>
      <c r="AR725" s="716"/>
    </row>
    <row r="726">
      <c r="A726" s="716"/>
      <c r="B726" s="530"/>
      <c r="C726" s="530"/>
      <c r="D726" s="530"/>
      <c r="E726" s="530"/>
      <c r="F726" s="530"/>
      <c r="G726" s="530"/>
      <c r="H726" s="530"/>
      <c r="I726" s="530"/>
      <c r="J726" s="530"/>
      <c r="K726" s="530"/>
      <c r="L726" s="530"/>
      <c r="M726" s="530"/>
      <c r="N726" s="530"/>
      <c r="O726" s="530"/>
      <c r="P726" s="530"/>
      <c r="Q726" s="530"/>
      <c r="R726" s="530"/>
      <c r="S726" s="530"/>
      <c r="T726" s="530"/>
      <c r="U726" s="530"/>
      <c r="V726" s="530"/>
      <c r="W726" s="530"/>
      <c r="X726" s="733"/>
      <c r="Y726" s="716"/>
      <c r="Z726" s="716"/>
      <c r="AA726" s="716"/>
      <c r="AB726" s="716"/>
      <c r="AC726" s="716"/>
      <c r="AD726" s="716"/>
      <c r="AE726" s="716"/>
      <c r="AF726" s="716"/>
      <c r="AG726" s="716"/>
      <c r="AH726" s="716"/>
      <c r="AI726" s="716"/>
      <c r="AJ726" s="716"/>
      <c r="AK726" s="716"/>
      <c r="AL726" s="716"/>
      <c r="AM726" s="716"/>
      <c r="AN726" s="716"/>
      <c r="AO726" s="716"/>
      <c r="AP726" s="716"/>
      <c r="AQ726" s="716"/>
      <c r="AR726" s="716"/>
    </row>
    <row r="727">
      <c r="A727" s="716"/>
      <c r="B727" s="530"/>
      <c r="C727" s="530"/>
      <c r="D727" s="530"/>
      <c r="E727" s="530"/>
      <c r="F727" s="530"/>
      <c r="G727" s="530"/>
      <c r="H727" s="530"/>
      <c r="I727" s="530"/>
      <c r="J727" s="530"/>
      <c r="K727" s="530"/>
      <c r="L727" s="530"/>
      <c r="M727" s="530"/>
      <c r="N727" s="530"/>
      <c r="O727" s="530"/>
      <c r="P727" s="530"/>
      <c r="Q727" s="530"/>
      <c r="R727" s="530"/>
      <c r="S727" s="530"/>
      <c r="T727" s="530"/>
      <c r="U727" s="530"/>
      <c r="V727" s="530"/>
      <c r="W727" s="530"/>
      <c r="X727" s="733"/>
      <c r="Y727" s="716"/>
      <c r="Z727" s="716"/>
      <c r="AA727" s="716"/>
      <c r="AB727" s="716"/>
      <c r="AC727" s="716"/>
      <c r="AD727" s="716"/>
      <c r="AE727" s="716"/>
      <c r="AF727" s="716"/>
      <c r="AG727" s="716"/>
      <c r="AH727" s="716"/>
      <c r="AI727" s="716"/>
      <c r="AJ727" s="716"/>
      <c r="AK727" s="716"/>
      <c r="AL727" s="716"/>
      <c r="AM727" s="716"/>
      <c r="AN727" s="716"/>
      <c r="AO727" s="716"/>
      <c r="AP727" s="716"/>
      <c r="AQ727" s="716"/>
      <c r="AR727" s="716"/>
    </row>
    <row r="728">
      <c r="A728" s="716"/>
      <c r="B728" s="530"/>
      <c r="C728" s="530"/>
      <c r="D728" s="530"/>
      <c r="E728" s="530"/>
      <c r="F728" s="530"/>
      <c r="G728" s="530"/>
      <c r="H728" s="530"/>
      <c r="I728" s="530"/>
      <c r="J728" s="530"/>
      <c r="K728" s="530"/>
      <c r="L728" s="530"/>
      <c r="M728" s="530"/>
      <c r="N728" s="530"/>
      <c r="O728" s="530"/>
      <c r="P728" s="530"/>
      <c r="Q728" s="530"/>
      <c r="R728" s="530"/>
      <c r="S728" s="530"/>
      <c r="T728" s="530"/>
      <c r="U728" s="530"/>
      <c r="V728" s="530"/>
      <c r="W728" s="530"/>
      <c r="X728" s="733"/>
      <c r="Y728" s="716"/>
      <c r="Z728" s="716"/>
      <c r="AA728" s="716"/>
      <c r="AB728" s="716"/>
      <c r="AC728" s="716"/>
      <c r="AD728" s="716"/>
      <c r="AE728" s="716"/>
      <c r="AF728" s="716"/>
      <c r="AG728" s="716"/>
      <c r="AH728" s="716"/>
      <c r="AI728" s="716"/>
      <c r="AJ728" s="716"/>
      <c r="AK728" s="716"/>
      <c r="AL728" s="716"/>
      <c r="AM728" s="716"/>
      <c r="AN728" s="716"/>
      <c r="AO728" s="716"/>
      <c r="AP728" s="716"/>
      <c r="AQ728" s="716"/>
      <c r="AR728" s="716"/>
    </row>
    <row r="729">
      <c r="A729" s="716"/>
      <c r="B729" s="530"/>
      <c r="C729" s="530"/>
      <c r="D729" s="530"/>
      <c r="E729" s="530"/>
      <c r="F729" s="530"/>
      <c r="G729" s="530"/>
      <c r="H729" s="530"/>
      <c r="I729" s="530"/>
      <c r="J729" s="530"/>
      <c r="K729" s="530"/>
      <c r="L729" s="530"/>
      <c r="M729" s="530"/>
      <c r="N729" s="530"/>
      <c r="O729" s="530"/>
      <c r="P729" s="530"/>
      <c r="Q729" s="530"/>
      <c r="R729" s="530"/>
      <c r="S729" s="530"/>
      <c r="T729" s="530"/>
      <c r="U729" s="530"/>
      <c r="V729" s="530"/>
      <c r="W729" s="530"/>
      <c r="X729" s="733"/>
      <c r="Y729" s="716"/>
      <c r="Z729" s="716"/>
      <c r="AA729" s="716"/>
      <c r="AB729" s="716"/>
      <c r="AC729" s="716"/>
      <c r="AD729" s="716"/>
      <c r="AE729" s="716"/>
      <c r="AF729" s="716"/>
      <c r="AG729" s="716"/>
      <c r="AH729" s="716"/>
      <c r="AI729" s="716"/>
      <c r="AJ729" s="716"/>
      <c r="AK729" s="716"/>
      <c r="AL729" s="716"/>
      <c r="AM729" s="716"/>
      <c r="AN729" s="716"/>
      <c r="AO729" s="716"/>
      <c r="AP729" s="716"/>
      <c r="AQ729" s="716"/>
      <c r="AR729" s="716"/>
    </row>
    <row r="730">
      <c r="A730" s="716"/>
      <c r="B730" s="530"/>
      <c r="C730" s="530"/>
      <c r="D730" s="530"/>
      <c r="E730" s="530"/>
      <c r="F730" s="530"/>
      <c r="G730" s="530"/>
      <c r="H730" s="530"/>
      <c r="I730" s="530"/>
      <c r="J730" s="530"/>
      <c r="K730" s="530"/>
      <c r="L730" s="530"/>
      <c r="M730" s="530"/>
      <c r="N730" s="530"/>
      <c r="O730" s="530"/>
      <c r="P730" s="530"/>
      <c r="Q730" s="530"/>
      <c r="R730" s="530"/>
      <c r="S730" s="530"/>
      <c r="T730" s="530"/>
      <c r="U730" s="530"/>
      <c r="V730" s="530"/>
      <c r="W730" s="530"/>
      <c r="X730" s="733"/>
      <c r="Y730" s="716"/>
      <c r="Z730" s="716"/>
      <c r="AA730" s="716"/>
      <c r="AB730" s="716"/>
      <c r="AC730" s="716"/>
      <c r="AD730" s="716"/>
      <c r="AE730" s="716"/>
      <c r="AF730" s="716"/>
      <c r="AG730" s="716"/>
      <c r="AH730" s="716"/>
      <c r="AI730" s="716"/>
      <c r="AJ730" s="716"/>
      <c r="AK730" s="716"/>
      <c r="AL730" s="716"/>
      <c r="AM730" s="716"/>
      <c r="AN730" s="716"/>
      <c r="AO730" s="716"/>
      <c r="AP730" s="716"/>
      <c r="AQ730" s="716"/>
      <c r="AR730" s="716"/>
    </row>
    <row r="731">
      <c r="A731" s="716"/>
      <c r="B731" s="530"/>
      <c r="C731" s="530"/>
      <c r="D731" s="530"/>
      <c r="E731" s="530"/>
      <c r="F731" s="530"/>
      <c r="G731" s="530"/>
      <c r="H731" s="530"/>
      <c r="I731" s="530"/>
      <c r="J731" s="530"/>
      <c r="K731" s="530"/>
      <c r="L731" s="530"/>
      <c r="M731" s="530"/>
      <c r="N731" s="530"/>
      <c r="O731" s="530"/>
      <c r="P731" s="530"/>
      <c r="Q731" s="530"/>
      <c r="R731" s="530"/>
      <c r="S731" s="530"/>
      <c r="T731" s="530"/>
      <c r="U731" s="530"/>
      <c r="V731" s="530"/>
      <c r="W731" s="530"/>
      <c r="X731" s="733"/>
      <c r="Y731" s="716"/>
      <c r="Z731" s="716"/>
      <c r="AA731" s="716"/>
      <c r="AB731" s="716"/>
      <c r="AC731" s="716"/>
      <c r="AD731" s="716"/>
      <c r="AE731" s="716"/>
      <c r="AF731" s="716"/>
      <c r="AG731" s="716"/>
      <c r="AH731" s="716"/>
      <c r="AI731" s="716"/>
      <c r="AJ731" s="716"/>
      <c r="AK731" s="716"/>
      <c r="AL731" s="716"/>
      <c r="AM731" s="716"/>
      <c r="AN731" s="716"/>
      <c r="AO731" s="716"/>
      <c r="AP731" s="716"/>
      <c r="AQ731" s="716"/>
      <c r="AR731" s="716"/>
    </row>
    <row r="732">
      <c r="A732" s="716"/>
      <c r="B732" s="530"/>
      <c r="C732" s="530"/>
      <c r="D732" s="530"/>
      <c r="E732" s="530"/>
      <c r="F732" s="530"/>
      <c r="G732" s="530"/>
      <c r="H732" s="530"/>
      <c r="I732" s="530"/>
      <c r="J732" s="530"/>
      <c r="K732" s="530"/>
      <c r="L732" s="530"/>
      <c r="M732" s="530"/>
      <c r="N732" s="530"/>
      <c r="O732" s="530"/>
      <c r="P732" s="530"/>
      <c r="Q732" s="530"/>
      <c r="R732" s="530"/>
      <c r="S732" s="530"/>
      <c r="T732" s="530"/>
      <c r="U732" s="530"/>
      <c r="V732" s="530"/>
      <c r="W732" s="530"/>
      <c r="X732" s="733"/>
      <c r="Y732" s="716"/>
      <c r="Z732" s="716"/>
      <c r="AA732" s="716"/>
      <c r="AB732" s="716"/>
      <c r="AC732" s="716"/>
      <c r="AD732" s="716"/>
      <c r="AE732" s="716"/>
      <c r="AF732" s="716"/>
      <c r="AG732" s="716"/>
      <c r="AH732" s="716"/>
      <c r="AI732" s="716"/>
      <c r="AJ732" s="716"/>
      <c r="AK732" s="716"/>
      <c r="AL732" s="716"/>
      <c r="AM732" s="716"/>
      <c r="AN732" s="716"/>
      <c r="AO732" s="716"/>
      <c r="AP732" s="716"/>
      <c r="AQ732" s="716"/>
      <c r="AR732" s="716"/>
    </row>
    <row r="733">
      <c r="A733" s="716"/>
      <c r="B733" s="530"/>
      <c r="C733" s="530"/>
      <c r="D733" s="530"/>
      <c r="E733" s="530"/>
      <c r="F733" s="530"/>
      <c r="G733" s="530"/>
      <c r="H733" s="530"/>
      <c r="I733" s="530"/>
      <c r="J733" s="530"/>
      <c r="K733" s="530"/>
      <c r="L733" s="530"/>
      <c r="M733" s="530"/>
      <c r="N733" s="530"/>
      <c r="O733" s="530"/>
      <c r="P733" s="530"/>
      <c r="Q733" s="530"/>
      <c r="R733" s="530"/>
      <c r="S733" s="530"/>
      <c r="T733" s="530"/>
      <c r="U733" s="530"/>
      <c r="V733" s="530"/>
      <c r="W733" s="530"/>
      <c r="X733" s="733"/>
      <c r="Y733" s="716"/>
      <c r="Z733" s="716"/>
      <c r="AA733" s="716"/>
      <c r="AB733" s="716"/>
      <c r="AC733" s="716"/>
      <c r="AD733" s="716"/>
      <c r="AE733" s="716"/>
      <c r="AF733" s="716"/>
      <c r="AG733" s="716"/>
      <c r="AH733" s="716"/>
      <c r="AI733" s="716"/>
      <c r="AJ733" s="716"/>
      <c r="AK733" s="716"/>
      <c r="AL733" s="716"/>
      <c r="AM733" s="716"/>
      <c r="AN733" s="716"/>
      <c r="AO733" s="716"/>
      <c r="AP733" s="716"/>
      <c r="AQ733" s="716"/>
      <c r="AR733" s="716"/>
    </row>
    <row r="734">
      <c r="A734" s="716"/>
      <c r="B734" s="530"/>
      <c r="C734" s="530"/>
      <c r="D734" s="530"/>
      <c r="E734" s="530"/>
      <c r="F734" s="530"/>
      <c r="G734" s="530"/>
      <c r="H734" s="530"/>
      <c r="I734" s="530"/>
      <c r="J734" s="530"/>
      <c r="K734" s="530"/>
      <c r="L734" s="530"/>
      <c r="M734" s="530"/>
      <c r="N734" s="530"/>
      <c r="O734" s="530"/>
      <c r="P734" s="530"/>
      <c r="Q734" s="530"/>
      <c r="R734" s="530"/>
      <c r="S734" s="530"/>
      <c r="T734" s="530"/>
      <c r="U734" s="530"/>
      <c r="V734" s="530"/>
      <c r="W734" s="530"/>
      <c r="X734" s="733"/>
      <c r="Y734" s="716"/>
      <c r="Z734" s="716"/>
      <c r="AA734" s="716"/>
      <c r="AB734" s="716"/>
      <c r="AC734" s="716"/>
      <c r="AD734" s="716"/>
      <c r="AE734" s="716"/>
      <c r="AF734" s="716"/>
      <c r="AG734" s="716"/>
      <c r="AH734" s="716"/>
      <c r="AI734" s="716"/>
      <c r="AJ734" s="716"/>
      <c r="AK734" s="716"/>
      <c r="AL734" s="716"/>
      <c r="AM734" s="716"/>
      <c r="AN734" s="716"/>
      <c r="AO734" s="716"/>
      <c r="AP734" s="716"/>
      <c r="AQ734" s="716"/>
      <c r="AR734" s="716"/>
    </row>
    <row r="735">
      <c r="A735" s="716"/>
      <c r="B735" s="530"/>
      <c r="C735" s="530"/>
      <c r="D735" s="530"/>
      <c r="E735" s="530"/>
      <c r="F735" s="530"/>
      <c r="G735" s="530"/>
      <c r="H735" s="530"/>
      <c r="I735" s="530"/>
      <c r="J735" s="530"/>
      <c r="K735" s="530"/>
      <c r="L735" s="530"/>
      <c r="M735" s="530"/>
      <c r="N735" s="530"/>
      <c r="O735" s="530"/>
      <c r="P735" s="530"/>
      <c r="Q735" s="530"/>
      <c r="R735" s="530"/>
      <c r="S735" s="530"/>
      <c r="T735" s="530"/>
      <c r="U735" s="530"/>
      <c r="V735" s="530"/>
      <c r="W735" s="530"/>
      <c r="X735" s="733"/>
      <c r="Y735" s="716"/>
      <c r="Z735" s="716"/>
      <c r="AA735" s="716"/>
      <c r="AB735" s="716"/>
      <c r="AC735" s="716"/>
      <c r="AD735" s="716"/>
      <c r="AE735" s="716"/>
      <c r="AF735" s="716"/>
      <c r="AG735" s="716"/>
      <c r="AH735" s="716"/>
      <c r="AI735" s="716"/>
      <c r="AJ735" s="716"/>
      <c r="AK735" s="716"/>
      <c r="AL735" s="716"/>
      <c r="AM735" s="716"/>
      <c r="AN735" s="716"/>
      <c r="AO735" s="716"/>
      <c r="AP735" s="716"/>
      <c r="AQ735" s="716"/>
      <c r="AR735" s="716"/>
    </row>
    <row r="736">
      <c r="A736" s="716"/>
      <c r="B736" s="530"/>
      <c r="C736" s="530"/>
      <c r="D736" s="530"/>
      <c r="E736" s="530"/>
      <c r="F736" s="530"/>
      <c r="G736" s="530"/>
      <c r="H736" s="530"/>
      <c r="I736" s="530"/>
      <c r="J736" s="530"/>
      <c r="K736" s="530"/>
      <c r="L736" s="530"/>
      <c r="M736" s="530"/>
      <c r="N736" s="530"/>
      <c r="O736" s="530"/>
      <c r="P736" s="530"/>
      <c r="Q736" s="530"/>
      <c r="R736" s="530"/>
      <c r="S736" s="530"/>
      <c r="T736" s="530"/>
      <c r="U736" s="530"/>
      <c r="V736" s="530"/>
      <c r="W736" s="530"/>
      <c r="X736" s="733"/>
      <c r="Y736" s="716"/>
      <c r="Z736" s="716"/>
      <c r="AA736" s="716"/>
      <c r="AB736" s="716"/>
      <c r="AC736" s="716"/>
      <c r="AD736" s="716"/>
      <c r="AE736" s="716"/>
      <c r="AF736" s="716"/>
      <c r="AG736" s="716"/>
      <c r="AH736" s="716"/>
      <c r="AI736" s="716"/>
      <c r="AJ736" s="716"/>
      <c r="AK736" s="716"/>
      <c r="AL736" s="716"/>
      <c r="AM736" s="716"/>
      <c r="AN736" s="716"/>
      <c r="AO736" s="716"/>
      <c r="AP736" s="716"/>
      <c r="AQ736" s="716"/>
      <c r="AR736" s="716"/>
    </row>
    <row r="737">
      <c r="A737" s="716"/>
      <c r="B737" s="530"/>
      <c r="C737" s="530"/>
      <c r="D737" s="530"/>
      <c r="E737" s="530"/>
      <c r="F737" s="530"/>
      <c r="G737" s="530"/>
      <c r="H737" s="530"/>
      <c r="I737" s="530"/>
      <c r="J737" s="530"/>
      <c r="K737" s="530"/>
      <c r="L737" s="530"/>
      <c r="M737" s="530"/>
      <c r="N737" s="530"/>
      <c r="O737" s="530"/>
      <c r="P737" s="530"/>
      <c r="Q737" s="530"/>
      <c r="R737" s="530"/>
      <c r="S737" s="530"/>
      <c r="T737" s="530"/>
      <c r="U737" s="530"/>
      <c r="V737" s="530"/>
      <c r="W737" s="530"/>
      <c r="X737" s="733"/>
      <c r="Y737" s="716"/>
      <c r="Z737" s="716"/>
      <c r="AA737" s="716"/>
      <c r="AB737" s="716"/>
      <c r="AC737" s="716"/>
      <c r="AD737" s="716"/>
      <c r="AE737" s="716"/>
      <c r="AF737" s="716"/>
      <c r="AG737" s="716"/>
      <c r="AH737" s="716"/>
      <c r="AI737" s="716"/>
      <c r="AJ737" s="716"/>
      <c r="AK737" s="716"/>
      <c r="AL737" s="716"/>
      <c r="AM737" s="716"/>
      <c r="AN737" s="716"/>
      <c r="AO737" s="716"/>
      <c r="AP737" s="716"/>
      <c r="AQ737" s="716"/>
      <c r="AR737" s="716"/>
    </row>
    <row r="738">
      <c r="A738" s="716"/>
      <c r="B738" s="530"/>
      <c r="C738" s="530"/>
      <c r="D738" s="530"/>
      <c r="E738" s="530"/>
      <c r="F738" s="530"/>
      <c r="G738" s="530"/>
      <c r="H738" s="530"/>
      <c r="I738" s="530"/>
      <c r="J738" s="530"/>
      <c r="K738" s="530"/>
      <c r="L738" s="530"/>
      <c r="M738" s="530"/>
      <c r="N738" s="530"/>
      <c r="O738" s="530"/>
      <c r="P738" s="530"/>
      <c r="Q738" s="530"/>
      <c r="R738" s="530"/>
      <c r="S738" s="530"/>
      <c r="T738" s="530"/>
      <c r="U738" s="530"/>
      <c r="V738" s="530"/>
      <c r="W738" s="530"/>
      <c r="X738" s="733"/>
      <c r="Y738" s="716"/>
      <c r="Z738" s="716"/>
      <c r="AA738" s="716"/>
      <c r="AB738" s="716"/>
      <c r="AC738" s="716"/>
      <c r="AD738" s="716"/>
      <c r="AE738" s="716"/>
      <c r="AF738" s="716"/>
      <c r="AG738" s="716"/>
      <c r="AH738" s="716"/>
      <c r="AI738" s="716"/>
      <c r="AJ738" s="716"/>
      <c r="AK738" s="716"/>
      <c r="AL738" s="716"/>
      <c r="AM738" s="716"/>
      <c r="AN738" s="716"/>
      <c r="AO738" s="716"/>
      <c r="AP738" s="716"/>
      <c r="AQ738" s="716"/>
      <c r="AR738" s="716"/>
    </row>
    <row r="739">
      <c r="A739" s="716"/>
      <c r="B739" s="530"/>
      <c r="C739" s="530"/>
      <c r="D739" s="530"/>
      <c r="E739" s="530"/>
      <c r="F739" s="530"/>
      <c r="G739" s="530"/>
      <c r="H739" s="530"/>
      <c r="I739" s="530"/>
      <c r="J739" s="530"/>
      <c r="K739" s="530"/>
      <c r="L739" s="530"/>
      <c r="M739" s="530"/>
      <c r="N739" s="530"/>
      <c r="O739" s="530"/>
      <c r="P739" s="530"/>
      <c r="Q739" s="530"/>
      <c r="R739" s="530"/>
      <c r="S739" s="530"/>
      <c r="T739" s="530"/>
      <c r="U739" s="530"/>
      <c r="V739" s="530"/>
      <c r="W739" s="530"/>
      <c r="X739" s="733"/>
      <c r="Y739" s="716"/>
      <c r="Z739" s="716"/>
      <c r="AA739" s="716"/>
      <c r="AB739" s="716"/>
      <c r="AC739" s="716"/>
      <c r="AD739" s="716"/>
      <c r="AE739" s="716"/>
      <c r="AF739" s="716"/>
      <c r="AG739" s="716"/>
      <c r="AH739" s="716"/>
      <c r="AI739" s="716"/>
      <c r="AJ739" s="716"/>
      <c r="AK739" s="716"/>
      <c r="AL739" s="716"/>
      <c r="AM739" s="716"/>
      <c r="AN739" s="716"/>
      <c r="AO739" s="716"/>
      <c r="AP739" s="716"/>
      <c r="AQ739" s="716"/>
      <c r="AR739" s="716"/>
    </row>
    <row r="740">
      <c r="A740" s="716"/>
      <c r="B740" s="530"/>
      <c r="C740" s="530"/>
      <c r="D740" s="530"/>
      <c r="E740" s="530"/>
      <c r="F740" s="530"/>
      <c r="G740" s="530"/>
      <c r="H740" s="530"/>
      <c r="I740" s="530"/>
      <c r="J740" s="530"/>
      <c r="K740" s="530"/>
      <c r="L740" s="530"/>
      <c r="M740" s="530"/>
      <c r="N740" s="530"/>
      <c r="O740" s="530"/>
      <c r="P740" s="530"/>
      <c r="Q740" s="530"/>
      <c r="R740" s="530"/>
      <c r="S740" s="530"/>
      <c r="T740" s="530"/>
      <c r="U740" s="530"/>
      <c r="V740" s="530"/>
      <c r="W740" s="530"/>
      <c r="X740" s="733"/>
      <c r="Y740" s="716"/>
      <c r="Z740" s="716"/>
      <c r="AA740" s="716"/>
      <c r="AB740" s="716"/>
      <c r="AC740" s="716"/>
      <c r="AD740" s="716"/>
      <c r="AE740" s="716"/>
      <c r="AF740" s="716"/>
      <c r="AG740" s="716"/>
      <c r="AH740" s="716"/>
      <c r="AI740" s="716"/>
      <c r="AJ740" s="716"/>
      <c r="AK740" s="716"/>
      <c r="AL740" s="716"/>
      <c r="AM740" s="716"/>
      <c r="AN740" s="716"/>
      <c r="AO740" s="716"/>
      <c r="AP740" s="716"/>
      <c r="AQ740" s="716"/>
      <c r="AR740" s="716"/>
    </row>
    <row r="741">
      <c r="A741" s="716"/>
      <c r="B741" s="530"/>
      <c r="C741" s="530"/>
      <c r="D741" s="530"/>
      <c r="E741" s="530"/>
      <c r="F741" s="530"/>
      <c r="G741" s="530"/>
      <c r="H741" s="530"/>
      <c r="I741" s="530"/>
      <c r="J741" s="530"/>
      <c r="K741" s="530"/>
      <c r="L741" s="530"/>
      <c r="M741" s="530"/>
      <c r="N741" s="530"/>
      <c r="O741" s="530"/>
      <c r="P741" s="530"/>
      <c r="Q741" s="530"/>
      <c r="R741" s="530"/>
      <c r="S741" s="530"/>
      <c r="T741" s="530"/>
      <c r="U741" s="530"/>
      <c r="V741" s="530"/>
      <c r="W741" s="530"/>
      <c r="X741" s="733"/>
      <c r="Y741" s="716"/>
      <c r="Z741" s="716"/>
      <c r="AA741" s="716"/>
      <c r="AB741" s="716"/>
      <c r="AC741" s="716"/>
      <c r="AD741" s="716"/>
      <c r="AE741" s="716"/>
      <c r="AF741" s="716"/>
      <c r="AG741" s="716"/>
      <c r="AH741" s="716"/>
      <c r="AI741" s="716"/>
      <c r="AJ741" s="716"/>
      <c r="AK741" s="716"/>
      <c r="AL741" s="716"/>
      <c r="AM741" s="716"/>
      <c r="AN741" s="716"/>
      <c r="AO741" s="716"/>
      <c r="AP741" s="716"/>
      <c r="AQ741" s="716"/>
      <c r="AR741" s="716"/>
    </row>
    <row r="742">
      <c r="A742" s="716"/>
      <c r="B742" s="530"/>
      <c r="C742" s="530"/>
      <c r="D742" s="530"/>
      <c r="E742" s="530"/>
      <c r="F742" s="530"/>
      <c r="G742" s="530"/>
      <c r="H742" s="530"/>
      <c r="I742" s="530"/>
      <c r="J742" s="530"/>
      <c r="K742" s="530"/>
      <c r="L742" s="530"/>
      <c r="M742" s="530"/>
      <c r="N742" s="530"/>
      <c r="O742" s="530"/>
      <c r="P742" s="530"/>
      <c r="Q742" s="530"/>
      <c r="R742" s="530"/>
      <c r="S742" s="530"/>
      <c r="T742" s="530"/>
      <c r="U742" s="530"/>
      <c r="V742" s="530"/>
      <c r="W742" s="530"/>
      <c r="X742" s="733"/>
      <c r="Y742" s="716"/>
      <c r="Z742" s="716"/>
      <c r="AA742" s="716"/>
      <c r="AB742" s="716"/>
      <c r="AC742" s="716"/>
      <c r="AD742" s="716"/>
      <c r="AE742" s="716"/>
      <c r="AF742" s="716"/>
      <c r="AG742" s="716"/>
      <c r="AH742" s="716"/>
      <c r="AI742" s="716"/>
      <c r="AJ742" s="716"/>
      <c r="AK742" s="716"/>
      <c r="AL742" s="716"/>
      <c r="AM742" s="716"/>
      <c r="AN742" s="716"/>
      <c r="AO742" s="716"/>
      <c r="AP742" s="716"/>
      <c r="AQ742" s="716"/>
      <c r="AR742" s="716"/>
    </row>
    <row r="743">
      <c r="A743" s="716"/>
      <c r="B743" s="530"/>
      <c r="C743" s="530"/>
      <c r="D743" s="530"/>
      <c r="E743" s="530"/>
      <c r="F743" s="530"/>
      <c r="G743" s="530"/>
      <c r="H743" s="530"/>
      <c r="I743" s="530"/>
      <c r="J743" s="530"/>
      <c r="K743" s="530"/>
      <c r="L743" s="530"/>
      <c r="M743" s="530"/>
      <c r="N743" s="530"/>
      <c r="O743" s="530"/>
      <c r="P743" s="530"/>
      <c r="Q743" s="530"/>
      <c r="R743" s="530"/>
      <c r="S743" s="530"/>
      <c r="T743" s="530"/>
      <c r="U743" s="530"/>
      <c r="V743" s="530"/>
      <c r="W743" s="530"/>
      <c r="X743" s="733"/>
      <c r="Y743" s="716"/>
      <c r="Z743" s="716"/>
      <c r="AA743" s="716"/>
      <c r="AB743" s="716"/>
      <c r="AC743" s="716"/>
      <c r="AD743" s="716"/>
      <c r="AE743" s="716"/>
      <c r="AF743" s="716"/>
      <c r="AG743" s="716"/>
      <c r="AH743" s="716"/>
      <c r="AI743" s="716"/>
      <c r="AJ743" s="716"/>
      <c r="AK743" s="716"/>
      <c r="AL743" s="716"/>
      <c r="AM743" s="716"/>
      <c r="AN743" s="716"/>
      <c r="AO743" s="716"/>
      <c r="AP743" s="716"/>
      <c r="AQ743" s="716"/>
      <c r="AR743" s="716"/>
    </row>
    <row r="744">
      <c r="A744" s="716"/>
      <c r="B744" s="530"/>
      <c r="C744" s="530"/>
      <c r="D744" s="530"/>
      <c r="E744" s="530"/>
      <c r="F744" s="530"/>
      <c r="G744" s="530"/>
      <c r="H744" s="530"/>
      <c r="I744" s="530"/>
      <c r="J744" s="530"/>
      <c r="K744" s="530"/>
      <c r="L744" s="530"/>
      <c r="M744" s="530"/>
      <c r="N744" s="530"/>
      <c r="O744" s="530"/>
      <c r="P744" s="530"/>
      <c r="Q744" s="530"/>
      <c r="R744" s="530"/>
      <c r="S744" s="530"/>
      <c r="T744" s="530"/>
      <c r="U744" s="530"/>
      <c r="V744" s="530"/>
      <c r="W744" s="530"/>
      <c r="X744" s="733"/>
      <c r="Y744" s="716"/>
      <c r="Z744" s="716"/>
      <c r="AA744" s="716"/>
      <c r="AB744" s="716"/>
      <c r="AC744" s="716"/>
      <c r="AD744" s="716"/>
      <c r="AE744" s="716"/>
      <c r="AF744" s="716"/>
      <c r="AG744" s="716"/>
      <c r="AH744" s="716"/>
      <c r="AI744" s="716"/>
      <c r="AJ744" s="716"/>
      <c r="AK744" s="716"/>
      <c r="AL744" s="716"/>
      <c r="AM744" s="716"/>
      <c r="AN744" s="716"/>
      <c r="AO744" s="716"/>
      <c r="AP744" s="716"/>
      <c r="AQ744" s="716"/>
      <c r="AR744" s="716"/>
    </row>
    <row r="745">
      <c r="A745" s="716"/>
      <c r="B745" s="530"/>
      <c r="C745" s="530"/>
      <c r="D745" s="530"/>
      <c r="E745" s="530"/>
      <c r="F745" s="530"/>
      <c r="G745" s="530"/>
      <c r="H745" s="530"/>
      <c r="I745" s="530"/>
      <c r="J745" s="530"/>
      <c r="K745" s="530"/>
      <c r="L745" s="530"/>
      <c r="M745" s="530"/>
      <c r="N745" s="530"/>
      <c r="O745" s="530"/>
      <c r="P745" s="530"/>
      <c r="Q745" s="530"/>
      <c r="R745" s="530"/>
      <c r="S745" s="530"/>
      <c r="T745" s="530"/>
      <c r="U745" s="530"/>
      <c r="V745" s="530"/>
      <c r="W745" s="530"/>
      <c r="X745" s="733"/>
      <c r="Y745" s="716"/>
      <c r="Z745" s="716"/>
      <c r="AA745" s="716"/>
      <c r="AB745" s="716"/>
      <c r="AC745" s="716"/>
      <c r="AD745" s="716"/>
      <c r="AE745" s="716"/>
      <c r="AF745" s="716"/>
      <c r="AG745" s="716"/>
      <c r="AH745" s="716"/>
      <c r="AI745" s="716"/>
      <c r="AJ745" s="716"/>
      <c r="AK745" s="716"/>
      <c r="AL745" s="716"/>
      <c r="AM745" s="716"/>
      <c r="AN745" s="716"/>
      <c r="AO745" s="716"/>
      <c r="AP745" s="716"/>
      <c r="AQ745" s="716"/>
      <c r="AR745" s="716"/>
    </row>
    <row r="746">
      <c r="A746" s="716"/>
      <c r="B746" s="530"/>
      <c r="C746" s="530"/>
      <c r="D746" s="530"/>
      <c r="E746" s="530"/>
      <c r="F746" s="530"/>
      <c r="G746" s="530"/>
      <c r="H746" s="530"/>
      <c r="I746" s="530"/>
      <c r="J746" s="530"/>
      <c r="K746" s="530"/>
      <c r="L746" s="530"/>
      <c r="M746" s="530"/>
      <c r="N746" s="530"/>
      <c r="O746" s="530"/>
      <c r="P746" s="530"/>
      <c r="Q746" s="530"/>
      <c r="R746" s="530"/>
      <c r="S746" s="530"/>
      <c r="T746" s="530"/>
      <c r="U746" s="530"/>
      <c r="V746" s="530"/>
      <c r="W746" s="530"/>
      <c r="X746" s="733"/>
      <c r="Y746" s="716"/>
      <c r="Z746" s="716"/>
      <c r="AA746" s="716"/>
      <c r="AB746" s="716"/>
      <c r="AC746" s="716"/>
      <c r="AD746" s="716"/>
      <c r="AE746" s="716"/>
      <c r="AF746" s="716"/>
      <c r="AG746" s="716"/>
      <c r="AH746" s="716"/>
      <c r="AI746" s="716"/>
      <c r="AJ746" s="716"/>
      <c r="AK746" s="716"/>
      <c r="AL746" s="716"/>
      <c r="AM746" s="716"/>
      <c r="AN746" s="716"/>
      <c r="AO746" s="716"/>
      <c r="AP746" s="716"/>
      <c r="AQ746" s="716"/>
      <c r="AR746" s="716"/>
    </row>
    <row r="747">
      <c r="A747" s="716"/>
      <c r="B747" s="530"/>
      <c r="C747" s="530"/>
      <c r="D747" s="530"/>
      <c r="E747" s="530"/>
      <c r="F747" s="530"/>
      <c r="G747" s="530"/>
      <c r="H747" s="530"/>
      <c r="I747" s="530"/>
      <c r="J747" s="530"/>
      <c r="K747" s="530"/>
      <c r="L747" s="530"/>
      <c r="M747" s="530"/>
      <c r="N747" s="530"/>
      <c r="O747" s="530"/>
      <c r="P747" s="530"/>
      <c r="Q747" s="530"/>
      <c r="R747" s="530"/>
      <c r="S747" s="530"/>
      <c r="T747" s="530"/>
      <c r="U747" s="530"/>
      <c r="V747" s="530"/>
      <c r="W747" s="530"/>
      <c r="X747" s="733"/>
      <c r="Y747" s="716"/>
      <c r="Z747" s="716"/>
      <c r="AA747" s="716"/>
      <c r="AB747" s="716"/>
      <c r="AC747" s="716"/>
      <c r="AD747" s="716"/>
      <c r="AE747" s="716"/>
      <c r="AF747" s="716"/>
      <c r="AG747" s="716"/>
      <c r="AH747" s="716"/>
      <c r="AI747" s="716"/>
      <c r="AJ747" s="716"/>
      <c r="AK747" s="716"/>
      <c r="AL747" s="716"/>
      <c r="AM747" s="716"/>
      <c r="AN747" s="716"/>
      <c r="AO747" s="716"/>
      <c r="AP747" s="716"/>
      <c r="AQ747" s="716"/>
      <c r="AR747" s="716"/>
    </row>
    <row r="748">
      <c r="A748" s="716"/>
      <c r="B748" s="530"/>
      <c r="C748" s="530"/>
      <c r="D748" s="530"/>
      <c r="E748" s="530"/>
      <c r="F748" s="530"/>
      <c r="G748" s="530"/>
      <c r="H748" s="530"/>
      <c r="I748" s="530"/>
      <c r="J748" s="530"/>
      <c r="K748" s="530"/>
      <c r="L748" s="530"/>
      <c r="M748" s="530"/>
      <c r="N748" s="530"/>
      <c r="O748" s="530"/>
      <c r="P748" s="530"/>
      <c r="Q748" s="530"/>
      <c r="R748" s="530"/>
      <c r="S748" s="530"/>
      <c r="T748" s="530"/>
      <c r="U748" s="530"/>
      <c r="V748" s="530"/>
      <c r="W748" s="530"/>
      <c r="X748" s="733"/>
      <c r="Y748" s="716"/>
      <c r="Z748" s="716"/>
      <c r="AA748" s="716"/>
      <c r="AB748" s="716"/>
      <c r="AC748" s="716"/>
      <c r="AD748" s="716"/>
      <c r="AE748" s="716"/>
      <c r="AF748" s="716"/>
      <c r="AG748" s="716"/>
      <c r="AH748" s="716"/>
      <c r="AI748" s="716"/>
      <c r="AJ748" s="716"/>
      <c r="AK748" s="716"/>
      <c r="AL748" s="716"/>
      <c r="AM748" s="716"/>
      <c r="AN748" s="716"/>
      <c r="AO748" s="716"/>
      <c r="AP748" s="716"/>
      <c r="AQ748" s="716"/>
      <c r="AR748" s="716"/>
    </row>
    <row r="749">
      <c r="A749" s="716"/>
      <c r="B749" s="530"/>
      <c r="C749" s="530"/>
      <c r="D749" s="530"/>
      <c r="E749" s="530"/>
      <c r="F749" s="530"/>
      <c r="G749" s="530"/>
      <c r="H749" s="530"/>
      <c r="I749" s="530"/>
      <c r="J749" s="530"/>
      <c r="K749" s="530"/>
      <c r="L749" s="530"/>
      <c r="M749" s="530"/>
      <c r="N749" s="530"/>
      <c r="O749" s="530"/>
      <c r="P749" s="530"/>
      <c r="Q749" s="530"/>
      <c r="R749" s="530"/>
      <c r="S749" s="530"/>
      <c r="T749" s="530"/>
      <c r="U749" s="530"/>
      <c r="V749" s="530"/>
      <c r="W749" s="530"/>
      <c r="X749" s="733"/>
      <c r="Y749" s="716"/>
      <c r="Z749" s="716"/>
      <c r="AA749" s="716"/>
      <c r="AB749" s="716"/>
      <c r="AC749" s="716"/>
      <c r="AD749" s="716"/>
      <c r="AE749" s="716"/>
      <c r="AF749" s="716"/>
      <c r="AG749" s="716"/>
      <c r="AH749" s="716"/>
      <c r="AI749" s="716"/>
      <c r="AJ749" s="716"/>
      <c r="AK749" s="716"/>
      <c r="AL749" s="716"/>
      <c r="AM749" s="716"/>
      <c r="AN749" s="716"/>
      <c r="AO749" s="716"/>
      <c r="AP749" s="716"/>
      <c r="AQ749" s="716"/>
      <c r="AR749" s="716"/>
    </row>
    <row r="750">
      <c r="A750" s="716"/>
      <c r="B750" s="530"/>
      <c r="C750" s="530"/>
      <c r="D750" s="530"/>
      <c r="E750" s="530"/>
      <c r="F750" s="530"/>
      <c r="G750" s="530"/>
      <c r="H750" s="530"/>
      <c r="I750" s="530"/>
      <c r="J750" s="530"/>
      <c r="K750" s="530"/>
      <c r="L750" s="530"/>
      <c r="M750" s="530"/>
      <c r="N750" s="530"/>
      <c r="O750" s="530"/>
      <c r="P750" s="530"/>
      <c r="Q750" s="530"/>
      <c r="R750" s="530"/>
      <c r="S750" s="530"/>
      <c r="T750" s="530"/>
      <c r="U750" s="530"/>
      <c r="V750" s="530"/>
      <c r="W750" s="530"/>
      <c r="X750" s="733"/>
      <c r="Y750" s="716"/>
      <c r="Z750" s="716"/>
      <c r="AA750" s="716"/>
      <c r="AB750" s="716"/>
      <c r="AC750" s="716"/>
      <c r="AD750" s="716"/>
      <c r="AE750" s="716"/>
      <c r="AF750" s="716"/>
      <c r="AG750" s="716"/>
      <c r="AH750" s="716"/>
      <c r="AI750" s="716"/>
      <c r="AJ750" s="716"/>
      <c r="AK750" s="716"/>
      <c r="AL750" s="716"/>
      <c r="AM750" s="716"/>
      <c r="AN750" s="716"/>
      <c r="AO750" s="716"/>
      <c r="AP750" s="716"/>
      <c r="AQ750" s="716"/>
      <c r="AR750" s="716"/>
    </row>
    <row r="751">
      <c r="A751" s="716"/>
      <c r="B751" s="530"/>
      <c r="C751" s="530"/>
      <c r="D751" s="530"/>
      <c r="E751" s="530"/>
      <c r="F751" s="530"/>
      <c r="G751" s="530"/>
      <c r="H751" s="530"/>
      <c r="I751" s="530"/>
      <c r="J751" s="530"/>
      <c r="K751" s="530"/>
      <c r="L751" s="530"/>
      <c r="M751" s="530"/>
      <c r="N751" s="530"/>
      <c r="O751" s="530"/>
      <c r="P751" s="530"/>
      <c r="Q751" s="530"/>
      <c r="R751" s="530"/>
      <c r="S751" s="530"/>
      <c r="T751" s="530"/>
      <c r="U751" s="530"/>
      <c r="V751" s="530"/>
      <c r="W751" s="530"/>
      <c r="X751" s="733"/>
      <c r="Y751" s="716"/>
      <c r="Z751" s="716"/>
      <c r="AA751" s="716"/>
      <c r="AB751" s="716"/>
      <c r="AC751" s="716"/>
      <c r="AD751" s="716"/>
      <c r="AE751" s="716"/>
      <c r="AF751" s="716"/>
      <c r="AG751" s="716"/>
      <c r="AH751" s="716"/>
      <c r="AI751" s="716"/>
      <c r="AJ751" s="716"/>
      <c r="AK751" s="716"/>
      <c r="AL751" s="716"/>
      <c r="AM751" s="716"/>
      <c r="AN751" s="716"/>
      <c r="AO751" s="716"/>
      <c r="AP751" s="716"/>
      <c r="AQ751" s="716"/>
      <c r="AR751" s="716"/>
    </row>
    <row r="752">
      <c r="A752" s="716"/>
      <c r="B752" s="530"/>
      <c r="C752" s="530"/>
      <c r="D752" s="530"/>
      <c r="E752" s="530"/>
      <c r="F752" s="530"/>
      <c r="G752" s="530"/>
      <c r="H752" s="530"/>
      <c r="I752" s="530"/>
      <c r="J752" s="530"/>
      <c r="K752" s="530"/>
      <c r="L752" s="530"/>
      <c r="M752" s="530"/>
      <c r="N752" s="530"/>
      <c r="O752" s="530"/>
      <c r="P752" s="530"/>
      <c r="Q752" s="530"/>
      <c r="R752" s="530"/>
      <c r="S752" s="530"/>
      <c r="T752" s="530"/>
      <c r="U752" s="530"/>
      <c r="V752" s="530"/>
      <c r="W752" s="530"/>
      <c r="X752" s="733"/>
      <c r="Y752" s="716"/>
      <c r="Z752" s="716"/>
      <c r="AA752" s="716"/>
      <c r="AB752" s="716"/>
      <c r="AC752" s="716"/>
      <c r="AD752" s="716"/>
      <c r="AE752" s="716"/>
      <c r="AF752" s="716"/>
      <c r="AG752" s="716"/>
      <c r="AH752" s="716"/>
      <c r="AI752" s="716"/>
      <c r="AJ752" s="716"/>
      <c r="AK752" s="716"/>
      <c r="AL752" s="716"/>
      <c r="AM752" s="716"/>
      <c r="AN752" s="716"/>
      <c r="AO752" s="716"/>
      <c r="AP752" s="716"/>
      <c r="AQ752" s="716"/>
      <c r="AR752" s="716"/>
    </row>
    <row r="753">
      <c r="A753" s="716"/>
      <c r="B753" s="530"/>
      <c r="C753" s="530"/>
      <c r="D753" s="530"/>
      <c r="E753" s="530"/>
      <c r="F753" s="530"/>
      <c r="G753" s="530"/>
      <c r="H753" s="530"/>
      <c r="I753" s="530"/>
      <c r="J753" s="530"/>
      <c r="K753" s="530"/>
      <c r="L753" s="530"/>
      <c r="M753" s="530"/>
      <c r="N753" s="530"/>
      <c r="O753" s="530"/>
      <c r="P753" s="530"/>
      <c r="Q753" s="530"/>
      <c r="R753" s="530"/>
      <c r="S753" s="530"/>
      <c r="T753" s="530"/>
      <c r="U753" s="530"/>
      <c r="V753" s="530"/>
      <c r="W753" s="530"/>
      <c r="X753" s="733"/>
      <c r="Y753" s="716"/>
      <c r="Z753" s="716"/>
      <c r="AA753" s="716"/>
      <c r="AB753" s="716"/>
      <c r="AC753" s="716"/>
      <c r="AD753" s="716"/>
      <c r="AE753" s="716"/>
      <c r="AF753" s="716"/>
      <c r="AG753" s="716"/>
      <c r="AH753" s="716"/>
      <c r="AI753" s="716"/>
      <c r="AJ753" s="716"/>
      <c r="AK753" s="716"/>
      <c r="AL753" s="716"/>
      <c r="AM753" s="716"/>
      <c r="AN753" s="716"/>
      <c r="AO753" s="716"/>
      <c r="AP753" s="716"/>
      <c r="AQ753" s="716"/>
      <c r="AR753" s="716"/>
    </row>
    <row r="754">
      <c r="A754" s="716"/>
      <c r="B754" s="530"/>
      <c r="C754" s="530"/>
      <c r="D754" s="530"/>
      <c r="E754" s="530"/>
      <c r="F754" s="530"/>
      <c r="G754" s="530"/>
      <c r="H754" s="530"/>
      <c r="I754" s="530"/>
      <c r="J754" s="530"/>
      <c r="K754" s="530"/>
      <c r="L754" s="530"/>
      <c r="M754" s="530"/>
      <c r="N754" s="530"/>
      <c r="O754" s="530"/>
      <c r="P754" s="530"/>
      <c r="Q754" s="530"/>
      <c r="R754" s="530"/>
      <c r="S754" s="530"/>
      <c r="T754" s="530"/>
      <c r="U754" s="530"/>
      <c r="V754" s="530"/>
      <c r="W754" s="530"/>
      <c r="X754" s="733"/>
      <c r="Y754" s="716"/>
      <c r="Z754" s="716"/>
      <c r="AA754" s="716"/>
      <c r="AB754" s="716"/>
      <c r="AC754" s="716"/>
      <c r="AD754" s="716"/>
      <c r="AE754" s="716"/>
      <c r="AF754" s="716"/>
      <c r="AG754" s="716"/>
      <c r="AH754" s="716"/>
      <c r="AI754" s="716"/>
      <c r="AJ754" s="716"/>
      <c r="AK754" s="716"/>
      <c r="AL754" s="716"/>
      <c r="AM754" s="716"/>
      <c r="AN754" s="716"/>
      <c r="AO754" s="716"/>
      <c r="AP754" s="716"/>
      <c r="AQ754" s="716"/>
      <c r="AR754" s="716"/>
    </row>
    <row r="755">
      <c r="A755" s="716"/>
      <c r="B755" s="530"/>
      <c r="C755" s="530"/>
      <c r="D755" s="530"/>
      <c r="E755" s="530"/>
      <c r="F755" s="530"/>
      <c r="G755" s="530"/>
      <c r="H755" s="530"/>
      <c r="I755" s="530"/>
      <c r="J755" s="530"/>
      <c r="K755" s="530"/>
      <c r="L755" s="530"/>
      <c r="M755" s="530"/>
      <c r="N755" s="530"/>
      <c r="O755" s="530"/>
      <c r="P755" s="530"/>
      <c r="Q755" s="530"/>
      <c r="R755" s="530"/>
      <c r="S755" s="530"/>
      <c r="T755" s="530"/>
      <c r="U755" s="530"/>
      <c r="V755" s="530"/>
      <c r="W755" s="530"/>
      <c r="X755" s="733"/>
      <c r="Y755" s="716"/>
      <c r="Z755" s="716"/>
      <c r="AA755" s="716"/>
      <c r="AB755" s="716"/>
      <c r="AC755" s="716"/>
      <c r="AD755" s="716"/>
      <c r="AE755" s="716"/>
      <c r="AF755" s="716"/>
      <c r="AG755" s="716"/>
      <c r="AH755" s="716"/>
      <c r="AI755" s="716"/>
      <c r="AJ755" s="716"/>
      <c r="AK755" s="716"/>
      <c r="AL755" s="716"/>
      <c r="AM755" s="716"/>
      <c r="AN755" s="716"/>
      <c r="AO755" s="716"/>
      <c r="AP755" s="716"/>
      <c r="AQ755" s="716"/>
      <c r="AR755" s="716"/>
    </row>
    <row r="756">
      <c r="A756" s="716"/>
      <c r="B756" s="530"/>
      <c r="C756" s="530"/>
      <c r="D756" s="530"/>
      <c r="E756" s="530"/>
      <c r="F756" s="530"/>
      <c r="G756" s="530"/>
      <c r="H756" s="530"/>
      <c r="I756" s="530"/>
      <c r="J756" s="530"/>
      <c r="K756" s="530"/>
      <c r="L756" s="530"/>
      <c r="M756" s="530"/>
      <c r="N756" s="530"/>
      <c r="O756" s="530"/>
      <c r="P756" s="530"/>
      <c r="Q756" s="530"/>
      <c r="R756" s="530"/>
      <c r="S756" s="530"/>
      <c r="T756" s="530"/>
      <c r="U756" s="530"/>
      <c r="V756" s="530"/>
      <c r="W756" s="530"/>
      <c r="X756" s="733"/>
      <c r="Y756" s="716"/>
      <c r="Z756" s="716"/>
      <c r="AA756" s="716"/>
      <c r="AB756" s="716"/>
      <c r="AC756" s="716"/>
      <c r="AD756" s="716"/>
      <c r="AE756" s="716"/>
      <c r="AF756" s="716"/>
      <c r="AG756" s="716"/>
      <c r="AH756" s="716"/>
      <c r="AI756" s="716"/>
      <c r="AJ756" s="716"/>
      <c r="AK756" s="716"/>
      <c r="AL756" s="716"/>
      <c r="AM756" s="716"/>
      <c r="AN756" s="716"/>
      <c r="AO756" s="716"/>
      <c r="AP756" s="716"/>
      <c r="AQ756" s="716"/>
      <c r="AR756" s="716"/>
    </row>
    <row r="757">
      <c r="A757" s="716"/>
      <c r="B757" s="530"/>
      <c r="C757" s="530"/>
      <c r="D757" s="530"/>
      <c r="E757" s="530"/>
      <c r="F757" s="530"/>
      <c r="G757" s="530"/>
      <c r="H757" s="530"/>
      <c r="I757" s="530"/>
      <c r="J757" s="530"/>
      <c r="K757" s="530"/>
      <c r="L757" s="530"/>
      <c r="M757" s="530"/>
      <c r="N757" s="530"/>
      <c r="O757" s="530"/>
      <c r="P757" s="530"/>
      <c r="Q757" s="530"/>
      <c r="R757" s="530"/>
      <c r="S757" s="530"/>
      <c r="T757" s="530"/>
      <c r="U757" s="530"/>
      <c r="V757" s="530"/>
      <c r="W757" s="530"/>
      <c r="X757" s="733"/>
      <c r="Y757" s="716"/>
      <c r="Z757" s="716"/>
      <c r="AA757" s="716"/>
      <c r="AB757" s="716"/>
      <c r="AC757" s="716"/>
      <c r="AD757" s="716"/>
      <c r="AE757" s="716"/>
      <c r="AF757" s="716"/>
      <c r="AG757" s="716"/>
      <c r="AH757" s="716"/>
      <c r="AI757" s="716"/>
      <c r="AJ757" s="716"/>
      <c r="AK757" s="716"/>
      <c r="AL757" s="716"/>
      <c r="AM757" s="716"/>
      <c r="AN757" s="716"/>
      <c r="AO757" s="716"/>
      <c r="AP757" s="716"/>
      <c r="AQ757" s="716"/>
      <c r="AR757" s="716"/>
    </row>
    <row r="758">
      <c r="A758" s="716"/>
      <c r="B758" s="530"/>
      <c r="C758" s="530"/>
      <c r="D758" s="530"/>
      <c r="E758" s="530"/>
      <c r="F758" s="530"/>
      <c r="G758" s="530"/>
      <c r="H758" s="530"/>
      <c r="I758" s="530"/>
      <c r="J758" s="530"/>
      <c r="K758" s="530"/>
      <c r="L758" s="530"/>
      <c r="M758" s="530"/>
      <c r="N758" s="530"/>
      <c r="O758" s="530"/>
      <c r="P758" s="530"/>
      <c r="Q758" s="530"/>
      <c r="R758" s="530"/>
      <c r="S758" s="530"/>
      <c r="T758" s="530"/>
      <c r="U758" s="530"/>
      <c r="V758" s="530"/>
      <c r="W758" s="530"/>
      <c r="X758" s="733"/>
      <c r="Y758" s="716"/>
      <c r="Z758" s="716"/>
      <c r="AA758" s="716"/>
      <c r="AB758" s="716"/>
      <c r="AC758" s="716"/>
      <c r="AD758" s="716"/>
      <c r="AE758" s="716"/>
      <c r="AF758" s="716"/>
      <c r="AG758" s="716"/>
      <c r="AH758" s="716"/>
      <c r="AI758" s="716"/>
      <c r="AJ758" s="716"/>
      <c r="AK758" s="716"/>
      <c r="AL758" s="716"/>
      <c r="AM758" s="716"/>
      <c r="AN758" s="716"/>
      <c r="AO758" s="716"/>
      <c r="AP758" s="716"/>
      <c r="AQ758" s="716"/>
      <c r="AR758" s="716"/>
    </row>
    <row r="759">
      <c r="A759" s="716"/>
      <c r="B759" s="530"/>
      <c r="C759" s="530"/>
      <c r="D759" s="530"/>
      <c r="E759" s="530"/>
      <c r="F759" s="530"/>
      <c r="G759" s="530"/>
      <c r="H759" s="530"/>
      <c r="I759" s="530"/>
      <c r="J759" s="530"/>
      <c r="K759" s="530"/>
      <c r="L759" s="530"/>
      <c r="M759" s="530"/>
      <c r="N759" s="530"/>
      <c r="O759" s="530"/>
      <c r="P759" s="530"/>
      <c r="Q759" s="530"/>
      <c r="R759" s="530"/>
      <c r="S759" s="530"/>
      <c r="T759" s="530"/>
      <c r="U759" s="530"/>
      <c r="V759" s="530"/>
      <c r="W759" s="530"/>
      <c r="X759" s="733"/>
      <c r="Y759" s="716"/>
      <c r="Z759" s="716"/>
      <c r="AA759" s="716"/>
      <c r="AB759" s="716"/>
      <c r="AC759" s="716"/>
      <c r="AD759" s="716"/>
      <c r="AE759" s="716"/>
      <c r="AF759" s="716"/>
      <c r="AG759" s="716"/>
      <c r="AH759" s="716"/>
      <c r="AI759" s="716"/>
      <c r="AJ759" s="716"/>
      <c r="AK759" s="716"/>
      <c r="AL759" s="716"/>
      <c r="AM759" s="716"/>
      <c r="AN759" s="716"/>
      <c r="AO759" s="716"/>
      <c r="AP759" s="716"/>
      <c r="AQ759" s="716"/>
      <c r="AR759" s="716"/>
    </row>
    <row r="760">
      <c r="A760" s="716"/>
      <c r="B760" s="530"/>
      <c r="C760" s="530"/>
      <c r="D760" s="530"/>
      <c r="E760" s="530"/>
      <c r="F760" s="530"/>
      <c r="G760" s="530"/>
      <c r="H760" s="530"/>
      <c r="I760" s="530"/>
      <c r="J760" s="530"/>
      <c r="K760" s="530"/>
      <c r="L760" s="530"/>
      <c r="M760" s="530"/>
      <c r="N760" s="530"/>
      <c r="O760" s="530"/>
      <c r="P760" s="530"/>
      <c r="Q760" s="530"/>
      <c r="R760" s="530"/>
      <c r="S760" s="530"/>
      <c r="T760" s="530"/>
      <c r="U760" s="530"/>
      <c r="V760" s="530"/>
      <c r="W760" s="530"/>
      <c r="X760" s="733"/>
      <c r="Y760" s="716"/>
      <c r="Z760" s="716"/>
      <c r="AA760" s="716"/>
      <c r="AB760" s="716"/>
      <c r="AC760" s="716"/>
      <c r="AD760" s="716"/>
      <c r="AE760" s="716"/>
      <c r="AF760" s="716"/>
      <c r="AG760" s="716"/>
      <c r="AH760" s="716"/>
      <c r="AI760" s="716"/>
      <c r="AJ760" s="716"/>
      <c r="AK760" s="716"/>
      <c r="AL760" s="716"/>
      <c r="AM760" s="716"/>
      <c r="AN760" s="716"/>
      <c r="AO760" s="716"/>
      <c r="AP760" s="716"/>
      <c r="AQ760" s="716"/>
      <c r="AR760" s="716"/>
    </row>
    <row r="761">
      <c r="A761" s="716"/>
      <c r="B761" s="530"/>
      <c r="C761" s="530"/>
      <c r="D761" s="530"/>
      <c r="E761" s="530"/>
      <c r="F761" s="530"/>
      <c r="G761" s="530"/>
      <c r="H761" s="530"/>
      <c r="I761" s="530"/>
      <c r="J761" s="530"/>
      <c r="K761" s="530"/>
      <c r="L761" s="530"/>
      <c r="M761" s="530"/>
      <c r="N761" s="530"/>
      <c r="O761" s="530"/>
      <c r="P761" s="530"/>
      <c r="Q761" s="530"/>
      <c r="R761" s="530"/>
      <c r="S761" s="530"/>
      <c r="T761" s="530"/>
      <c r="U761" s="530"/>
      <c r="V761" s="530"/>
      <c r="W761" s="530"/>
      <c r="X761" s="733"/>
      <c r="Y761" s="716"/>
      <c r="Z761" s="716"/>
      <c r="AA761" s="716"/>
      <c r="AB761" s="716"/>
      <c r="AC761" s="716"/>
      <c r="AD761" s="716"/>
      <c r="AE761" s="716"/>
      <c r="AF761" s="716"/>
      <c r="AG761" s="716"/>
      <c r="AH761" s="716"/>
      <c r="AI761" s="716"/>
      <c r="AJ761" s="716"/>
      <c r="AK761" s="716"/>
      <c r="AL761" s="716"/>
      <c r="AM761" s="716"/>
      <c r="AN761" s="716"/>
      <c r="AO761" s="716"/>
      <c r="AP761" s="716"/>
      <c r="AQ761" s="716"/>
      <c r="AR761" s="716"/>
    </row>
    <row r="762">
      <c r="A762" s="716"/>
      <c r="B762" s="530"/>
      <c r="C762" s="530"/>
      <c r="D762" s="530"/>
      <c r="E762" s="530"/>
      <c r="F762" s="530"/>
      <c r="G762" s="530"/>
      <c r="H762" s="530"/>
      <c r="I762" s="530"/>
      <c r="J762" s="530"/>
      <c r="K762" s="530"/>
      <c r="L762" s="530"/>
      <c r="M762" s="530"/>
      <c r="N762" s="530"/>
      <c r="O762" s="530"/>
      <c r="P762" s="530"/>
      <c r="Q762" s="530"/>
      <c r="R762" s="530"/>
      <c r="S762" s="530"/>
      <c r="T762" s="530"/>
      <c r="U762" s="530"/>
      <c r="V762" s="530"/>
      <c r="W762" s="530"/>
      <c r="X762" s="733"/>
      <c r="Y762" s="716"/>
      <c r="Z762" s="716"/>
      <c r="AA762" s="716"/>
      <c r="AB762" s="716"/>
      <c r="AC762" s="716"/>
      <c r="AD762" s="716"/>
      <c r="AE762" s="716"/>
      <c r="AF762" s="716"/>
      <c r="AG762" s="716"/>
      <c r="AH762" s="716"/>
      <c r="AI762" s="716"/>
      <c r="AJ762" s="716"/>
      <c r="AK762" s="716"/>
      <c r="AL762" s="716"/>
      <c r="AM762" s="716"/>
      <c r="AN762" s="716"/>
      <c r="AO762" s="716"/>
      <c r="AP762" s="716"/>
      <c r="AQ762" s="716"/>
      <c r="AR762" s="716"/>
    </row>
    <row r="763">
      <c r="A763" s="716"/>
      <c r="B763" s="530"/>
      <c r="C763" s="530"/>
      <c r="D763" s="530"/>
      <c r="E763" s="530"/>
      <c r="F763" s="530"/>
      <c r="G763" s="530"/>
      <c r="H763" s="530"/>
      <c r="I763" s="530"/>
      <c r="J763" s="530"/>
      <c r="K763" s="530"/>
      <c r="L763" s="530"/>
      <c r="M763" s="530"/>
      <c r="N763" s="530"/>
      <c r="O763" s="530"/>
      <c r="P763" s="530"/>
      <c r="Q763" s="530"/>
      <c r="R763" s="530"/>
      <c r="S763" s="530"/>
      <c r="T763" s="530"/>
      <c r="U763" s="530"/>
      <c r="V763" s="530"/>
      <c r="W763" s="530"/>
      <c r="X763" s="733"/>
      <c r="Y763" s="716"/>
      <c r="Z763" s="716"/>
      <c r="AA763" s="716"/>
      <c r="AB763" s="716"/>
      <c r="AC763" s="716"/>
      <c r="AD763" s="716"/>
      <c r="AE763" s="716"/>
      <c r="AF763" s="716"/>
      <c r="AG763" s="716"/>
      <c r="AH763" s="716"/>
      <c r="AI763" s="716"/>
      <c r="AJ763" s="716"/>
      <c r="AK763" s="716"/>
      <c r="AL763" s="716"/>
      <c r="AM763" s="716"/>
      <c r="AN763" s="716"/>
      <c r="AO763" s="716"/>
      <c r="AP763" s="716"/>
      <c r="AQ763" s="716"/>
      <c r="AR763" s="716"/>
    </row>
    <row r="764">
      <c r="A764" s="716"/>
      <c r="B764" s="530"/>
      <c r="C764" s="530"/>
      <c r="D764" s="530"/>
      <c r="E764" s="530"/>
      <c r="F764" s="530"/>
      <c r="G764" s="530"/>
      <c r="H764" s="530"/>
      <c r="I764" s="530"/>
      <c r="J764" s="530"/>
      <c r="K764" s="530"/>
      <c r="L764" s="530"/>
      <c r="M764" s="530"/>
      <c r="N764" s="530"/>
      <c r="O764" s="530"/>
      <c r="P764" s="530"/>
      <c r="Q764" s="530"/>
      <c r="R764" s="530"/>
      <c r="S764" s="530"/>
      <c r="T764" s="530"/>
      <c r="U764" s="530"/>
      <c r="V764" s="530"/>
      <c r="W764" s="530"/>
      <c r="X764" s="733"/>
      <c r="Y764" s="716"/>
      <c r="Z764" s="716"/>
      <c r="AA764" s="716"/>
      <c r="AB764" s="716"/>
      <c r="AC764" s="716"/>
      <c r="AD764" s="716"/>
      <c r="AE764" s="716"/>
      <c r="AF764" s="716"/>
      <c r="AG764" s="716"/>
      <c r="AH764" s="716"/>
      <c r="AI764" s="716"/>
      <c r="AJ764" s="716"/>
      <c r="AK764" s="716"/>
      <c r="AL764" s="716"/>
      <c r="AM764" s="716"/>
      <c r="AN764" s="716"/>
      <c r="AO764" s="716"/>
      <c r="AP764" s="716"/>
      <c r="AQ764" s="716"/>
      <c r="AR764" s="716"/>
    </row>
    <row r="765">
      <c r="A765" s="716"/>
      <c r="B765" s="530"/>
      <c r="C765" s="530"/>
      <c r="D765" s="530"/>
      <c r="E765" s="530"/>
      <c r="F765" s="530"/>
      <c r="G765" s="530"/>
      <c r="H765" s="530"/>
      <c r="I765" s="530"/>
      <c r="J765" s="530"/>
      <c r="K765" s="530"/>
      <c r="L765" s="530"/>
      <c r="M765" s="530"/>
      <c r="N765" s="530"/>
      <c r="O765" s="530"/>
      <c r="P765" s="530"/>
      <c r="Q765" s="530"/>
      <c r="R765" s="530"/>
      <c r="S765" s="530"/>
      <c r="T765" s="530"/>
      <c r="U765" s="530"/>
      <c r="V765" s="530"/>
      <c r="W765" s="530"/>
      <c r="X765" s="733"/>
      <c r="Y765" s="716"/>
      <c r="Z765" s="716"/>
      <c r="AA765" s="716"/>
      <c r="AB765" s="716"/>
      <c r="AC765" s="716"/>
      <c r="AD765" s="716"/>
      <c r="AE765" s="716"/>
      <c r="AF765" s="716"/>
      <c r="AG765" s="716"/>
      <c r="AH765" s="716"/>
      <c r="AI765" s="716"/>
      <c r="AJ765" s="716"/>
      <c r="AK765" s="716"/>
      <c r="AL765" s="716"/>
      <c r="AM765" s="716"/>
      <c r="AN765" s="716"/>
      <c r="AO765" s="716"/>
      <c r="AP765" s="716"/>
      <c r="AQ765" s="716"/>
      <c r="AR765" s="716"/>
    </row>
    <row r="766">
      <c r="A766" s="716"/>
      <c r="B766" s="530"/>
      <c r="C766" s="530"/>
      <c r="D766" s="530"/>
      <c r="E766" s="530"/>
      <c r="F766" s="530"/>
      <c r="G766" s="530"/>
      <c r="H766" s="530"/>
      <c r="I766" s="530"/>
      <c r="J766" s="530"/>
      <c r="K766" s="530"/>
      <c r="L766" s="530"/>
      <c r="M766" s="530"/>
      <c r="N766" s="530"/>
      <c r="O766" s="530"/>
      <c r="P766" s="530"/>
      <c r="Q766" s="530"/>
      <c r="R766" s="530"/>
      <c r="S766" s="530"/>
      <c r="T766" s="530"/>
      <c r="U766" s="530"/>
      <c r="V766" s="530"/>
      <c r="W766" s="530"/>
      <c r="X766" s="733"/>
      <c r="Y766" s="716"/>
      <c r="Z766" s="716"/>
      <c r="AA766" s="716"/>
      <c r="AB766" s="716"/>
      <c r="AC766" s="716"/>
      <c r="AD766" s="716"/>
      <c r="AE766" s="716"/>
      <c r="AF766" s="716"/>
      <c r="AG766" s="716"/>
      <c r="AH766" s="716"/>
      <c r="AI766" s="716"/>
      <c r="AJ766" s="716"/>
      <c r="AK766" s="716"/>
      <c r="AL766" s="716"/>
      <c r="AM766" s="716"/>
      <c r="AN766" s="716"/>
      <c r="AO766" s="716"/>
      <c r="AP766" s="716"/>
      <c r="AQ766" s="716"/>
      <c r="AR766" s="716"/>
    </row>
    <row r="767">
      <c r="A767" s="716"/>
      <c r="B767" s="530"/>
      <c r="C767" s="530"/>
      <c r="D767" s="530"/>
      <c r="E767" s="530"/>
      <c r="F767" s="530"/>
      <c r="G767" s="530"/>
      <c r="H767" s="530"/>
      <c r="I767" s="530"/>
      <c r="J767" s="530"/>
      <c r="K767" s="530"/>
      <c r="L767" s="530"/>
      <c r="M767" s="530"/>
      <c r="N767" s="530"/>
      <c r="O767" s="530"/>
      <c r="P767" s="530"/>
      <c r="Q767" s="530"/>
      <c r="R767" s="530"/>
      <c r="S767" s="530"/>
      <c r="T767" s="530"/>
      <c r="U767" s="530"/>
      <c r="V767" s="530"/>
      <c r="W767" s="530"/>
      <c r="X767" s="733"/>
      <c r="Y767" s="716"/>
      <c r="Z767" s="716"/>
      <c r="AA767" s="716"/>
      <c r="AB767" s="716"/>
      <c r="AC767" s="716"/>
      <c r="AD767" s="716"/>
      <c r="AE767" s="716"/>
      <c r="AF767" s="716"/>
      <c r="AG767" s="716"/>
      <c r="AH767" s="716"/>
      <c r="AI767" s="716"/>
      <c r="AJ767" s="716"/>
      <c r="AK767" s="716"/>
      <c r="AL767" s="716"/>
      <c r="AM767" s="716"/>
      <c r="AN767" s="716"/>
      <c r="AO767" s="716"/>
      <c r="AP767" s="716"/>
      <c r="AQ767" s="716"/>
      <c r="AR767" s="716"/>
    </row>
    <row r="768">
      <c r="A768" s="716"/>
      <c r="B768" s="530"/>
      <c r="C768" s="530"/>
      <c r="D768" s="530"/>
      <c r="E768" s="530"/>
      <c r="F768" s="530"/>
      <c r="G768" s="530"/>
      <c r="H768" s="530"/>
      <c r="I768" s="530"/>
      <c r="J768" s="530"/>
      <c r="K768" s="530"/>
      <c r="L768" s="530"/>
      <c r="M768" s="530"/>
      <c r="N768" s="530"/>
      <c r="O768" s="530"/>
      <c r="P768" s="530"/>
      <c r="Q768" s="530"/>
      <c r="R768" s="530"/>
      <c r="S768" s="530"/>
      <c r="T768" s="530"/>
      <c r="U768" s="530"/>
      <c r="V768" s="530"/>
      <c r="W768" s="530"/>
      <c r="X768" s="733"/>
      <c r="Y768" s="716"/>
      <c r="Z768" s="716"/>
      <c r="AA768" s="716"/>
      <c r="AB768" s="716"/>
      <c r="AC768" s="716"/>
      <c r="AD768" s="716"/>
      <c r="AE768" s="716"/>
      <c r="AF768" s="716"/>
      <c r="AG768" s="716"/>
      <c r="AH768" s="716"/>
      <c r="AI768" s="716"/>
      <c r="AJ768" s="716"/>
      <c r="AK768" s="716"/>
      <c r="AL768" s="716"/>
      <c r="AM768" s="716"/>
      <c r="AN768" s="716"/>
      <c r="AO768" s="716"/>
      <c r="AP768" s="716"/>
      <c r="AQ768" s="716"/>
      <c r="AR768" s="716"/>
    </row>
    <row r="769">
      <c r="A769" s="716"/>
      <c r="B769" s="530"/>
      <c r="C769" s="530"/>
      <c r="D769" s="530"/>
      <c r="E769" s="530"/>
      <c r="F769" s="530"/>
      <c r="G769" s="530"/>
      <c r="H769" s="530"/>
      <c r="I769" s="530"/>
      <c r="J769" s="530"/>
      <c r="K769" s="530"/>
      <c r="L769" s="530"/>
      <c r="M769" s="530"/>
      <c r="N769" s="530"/>
      <c r="O769" s="530"/>
      <c r="P769" s="530"/>
      <c r="Q769" s="530"/>
      <c r="R769" s="530"/>
      <c r="S769" s="530"/>
      <c r="T769" s="530"/>
      <c r="U769" s="530"/>
      <c r="V769" s="530"/>
      <c r="W769" s="530"/>
      <c r="X769" s="733"/>
      <c r="Y769" s="716"/>
      <c r="Z769" s="716"/>
      <c r="AA769" s="716"/>
      <c r="AB769" s="716"/>
      <c r="AC769" s="716"/>
      <c r="AD769" s="716"/>
      <c r="AE769" s="716"/>
      <c r="AF769" s="716"/>
      <c r="AG769" s="716"/>
      <c r="AH769" s="716"/>
      <c r="AI769" s="716"/>
      <c r="AJ769" s="716"/>
      <c r="AK769" s="716"/>
      <c r="AL769" s="716"/>
      <c r="AM769" s="716"/>
      <c r="AN769" s="716"/>
      <c r="AO769" s="716"/>
      <c r="AP769" s="716"/>
      <c r="AQ769" s="716"/>
      <c r="AR769" s="716"/>
    </row>
    <row r="770">
      <c r="A770" s="716"/>
      <c r="B770" s="530"/>
      <c r="C770" s="530"/>
      <c r="D770" s="530"/>
      <c r="E770" s="530"/>
      <c r="F770" s="530"/>
      <c r="G770" s="530"/>
      <c r="H770" s="530"/>
      <c r="I770" s="530"/>
      <c r="J770" s="530"/>
      <c r="K770" s="530"/>
      <c r="L770" s="530"/>
      <c r="M770" s="530"/>
      <c r="N770" s="530"/>
      <c r="O770" s="530"/>
      <c r="P770" s="530"/>
      <c r="Q770" s="530"/>
      <c r="R770" s="530"/>
      <c r="S770" s="530"/>
      <c r="T770" s="530"/>
      <c r="U770" s="530"/>
      <c r="V770" s="530"/>
      <c r="W770" s="530"/>
      <c r="X770" s="733"/>
      <c r="Y770" s="716"/>
      <c r="Z770" s="716"/>
      <c r="AA770" s="716"/>
      <c r="AB770" s="716"/>
      <c r="AC770" s="716"/>
      <c r="AD770" s="716"/>
      <c r="AE770" s="716"/>
      <c r="AF770" s="716"/>
      <c r="AG770" s="716"/>
      <c r="AH770" s="716"/>
      <c r="AI770" s="716"/>
      <c r="AJ770" s="716"/>
      <c r="AK770" s="716"/>
      <c r="AL770" s="716"/>
      <c r="AM770" s="716"/>
      <c r="AN770" s="716"/>
      <c r="AO770" s="716"/>
      <c r="AP770" s="716"/>
      <c r="AQ770" s="716"/>
      <c r="AR770" s="716"/>
    </row>
    <row r="771">
      <c r="A771" s="716"/>
      <c r="B771" s="530"/>
      <c r="C771" s="530"/>
      <c r="D771" s="530"/>
      <c r="E771" s="530"/>
      <c r="F771" s="530"/>
      <c r="G771" s="530"/>
      <c r="H771" s="530"/>
      <c r="I771" s="530"/>
      <c r="J771" s="530"/>
      <c r="K771" s="530"/>
      <c r="L771" s="530"/>
      <c r="M771" s="530"/>
      <c r="N771" s="530"/>
      <c r="O771" s="530"/>
      <c r="P771" s="530"/>
      <c r="Q771" s="530"/>
      <c r="R771" s="530"/>
      <c r="S771" s="530"/>
      <c r="T771" s="530"/>
      <c r="U771" s="530"/>
      <c r="V771" s="530"/>
      <c r="W771" s="530"/>
      <c r="X771" s="733"/>
      <c r="Y771" s="716"/>
      <c r="Z771" s="716"/>
      <c r="AA771" s="716"/>
      <c r="AB771" s="716"/>
      <c r="AC771" s="716"/>
      <c r="AD771" s="716"/>
      <c r="AE771" s="716"/>
      <c r="AF771" s="716"/>
      <c r="AG771" s="716"/>
      <c r="AH771" s="716"/>
      <c r="AI771" s="716"/>
      <c r="AJ771" s="716"/>
      <c r="AK771" s="716"/>
      <c r="AL771" s="716"/>
      <c r="AM771" s="716"/>
      <c r="AN771" s="716"/>
      <c r="AO771" s="716"/>
      <c r="AP771" s="716"/>
      <c r="AQ771" s="716"/>
      <c r="AR771" s="716"/>
    </row>
    <row r="772">
      <c r="A772" s="716"/>
      <c r="B772" s="530"/>
      <c r="C772" s="530"/>
      <c r="D772" s="530"/>
      <c r="E772" s="530"/>
      <c r="F772" s="530"/>
      <c r="G772" s="530"/>
      <c r="H772" s="530"/>
      <c r="I772" s="530"/>
      <c r="J772" s="530"/>
      <c r="K772" s="530"/>
      <c r="L772" s="530"/>
      <c r="M772" s="530"/>
      <c r="N772" s="530"/>
      <c r="O772" s="530"/>
      <c r="P772" s="530"/>
      <c r="Q772" s="530"/>
      <c r="R772" s="530"/>
      <c r="S772" s="530"/>
      <c r="T772" s="530"/>
      <c r="U772" s="530"/>
      <c r="V772" s="530"/>
      <c r="W772" s="530"/>
      <c r="X772" s="733"/>
      <c r="Y772" s="716"/>
      <c r="Z772" s="716"/>
      <c r="AA772" s="716"/>
      <c r="AB772" s="716"/>
      <c r="AC772" s="716"/>
      <c r="AD772" s="716"/>
      <c r="AE772" s="716"/>
      <c r="AF772" s="716"/>
      <c r="AG772" s="716"/>
      <c r="AH772" s="716"/>
      <c r="AI772" s="716"/>
      <c r="AJ772" s="716"/>
      <c r="AK772" s="716"/>
      <c r="AL772" s="716"/>
      <c r="AM772" s="716"/>
      <c r="AN772" s="716"/>
      <c r="AO772" s="716"/>
      <c r="AP772" s="716"/>
      <c r="AQ772" s="716"/>
      <c r="AR772" s="716"/>
    </row>
    <row r="773">
      <c r="A773" s="716"/>
      <c r="B773" s="530"/>
      <c r="C773" s="530"/>
      <c r="D773" s="530"/>
      <c r="E773" s="530"/>
      <c r="F773" s="530"/>
      <c r="G773" s="530"/>
      <c r="H773" s="530"/>
      <c r="I773" s="530"/>
      <c r="J773" s="530"/>
      <c r="K773" s="530"/>
      <c r="L773" s="530"/>
      <c r="M773" s="530"/>
      <c r="N773" s="530"/>
      <c r="O773" s="530"/>
      <c r="P773" s="530"/>
      <c r="Q773" s="530"/>
      <c r="R773" s="530"/>
      <c r="S773" s="530"/>
      <c r="T773" s="530"/>
      <c r="U773" s="530"/>
      <c r="V773" s="530"/>
      <c r="W773" s="530"/>
      <c r="X773" s="733"/>
      <c r="Y773" s="716"/>
      <c r="Z773" s="716"/>
      <c r="AA773" s="716"/>
      <c r="AB773" s="716"/>
      <c r="AC773" s="716"/>
      <c r="AD773" s="716"/>
      <c r="AE773" s="716"/>
      <c r="AF773" s="716"/>
      <c r="AG773" s="716"/>
      <c r="AH773" s="716"/>
      <c r="AI773" s="716"/>
      <c r="AJ773" s="716"/>
      <c r="AK773" s="716"/>
      <c r="AL773" s="716"/>
      <c r="AM773" s="716"/>
      <c r="AN773" s="716"/>
      <c r="AO773" s="716"/>
      <c r="AP773" s="716"/>
      <c r="AQ773" s="716"/>
      <c r="AR773" s="716"/>
    </row>
    <row r="774">
      <c r="A774" s="716"/>
      <c r="B774" s="530"/>
      <c r="C774" s="530"/>
      <c r="D774" s="530"/>
      <c r="E774" s="530"/>
      <c r="F774" s="530"/>
      <c r="G774" s="530"/>
      <c r="H774" s="530"/>
      <c r="I774" s="530"/>
      <c r="J774" s="530"/>
      <c r="K774" s="530"/>
      <c r="L774" s="530"/>
      <c r="M774" s="530"/>
      <c r="N774" s="530"/>
      <c r="O774" s="530"/>
      <c r="P774" s="530"/>
      <c r="Q774" s="530"/>
      <c r="R774" s="530"/>
      <c r="S774" s="530"/>
      <c r="T774" s="530"/>
      <c r="U774" s="530"/>
      <c r="V774" s="530"/>
      <c r="W774" s="530"/>
      <c r="X774" s="733"/>
      <c r="Y774" s="716"/>
      <c r="Z774" s="716"/>
      <c r="AA774" s="716"/>
      <c r="AB774" s="716"/>
      <c r="AC774" s="716"/>
      <c r="AD774" s="716"/>
      <c r="AE774" s="716"/>
      <c r="AF774" s="716"/>
      <c r="AG774" s="716"/>
      <c r="AH774" s="716"/>
      <c r="AI774" s="716"/>
      <c r="AJ774" s="716"/>
      <c r="AK774" s="716"/>
      <c r="AL774" s="716"/>
      <c r="AM774" s="716"/>
      <c r="AN774" s="716"/>
      <c r="AO774" s="716"/>
      <c r="AP774" s="716"/>
      <c r="AQ774" s="716"/>
      <c r="AR774" s="716"/>
    </row>
    <row r="775">
      <c r="A775" s="716"/>
      <c r="B775" s="530"/>
      <c r="C775" s="530"/>
      <c r="D775" s="530"/>
      <c r="E775" s="530"/>
      <c r="F775" s="530"/>
      <c r="G775" s="530"/>
      <c r="H775" s="530"/>
      <c r="I775" s="530"/>
      <c r="J775" s="530"/>
      <c r="K775" s="530"/>
      <c r="L775" s="530"/>
      <c r="M775" s="530"/>
      <c r="N775" s="530"/>
      <c r="O775" s="530"/>
      <c r="P775" s="530"/>
      <c r="Q775" s="530"/>
      <c r="R775" s="530"/>
      <c r="S775" s="530"/>
      <c r="T775" s="530"/>
      <c r="U775" s="530"/>
      <c r="V775" s="530"/>
      <c r="W775" s="530"/>
      <c r="X775" s="733"/>
      <c r="Y775" s="716"/>
      <c r="Z775" s="716"/>
      <c r="AA775" s="716"/>
      <c r="AB775" s="716"/>
      <c r="AC775" s="716"/>
      <c r="AD775" s="716"/>
      <c r="AE775" s="716"/>
      <c r="AF775" s="716"/>
      <c r="AG775" s="716"/>
      <c r="AH775" s="716"/>
      <c r="AI775" s="716"/>
      <c r="AJ775" s="716"/>
      <c r="AK775" s="716"/>
      <c r="AL775" s="716"/>
      <c r="AM775" s="716"/>
      <c r="AN775" s="716"/>
      <c r="AO775" s="716"/>
      <c r="AP775" s="716"/>
      <c r="AQ775" s="716"/>
      <c r="AR775" s="716"/>
    </row>
    <row r="776">
      <c r="A776" s="716"/>
      <c r="B776" s="530"/>
      <c r="C776" s="530"/>
      <c r="D776" s="530"/>
      <c r="E776" s="530"/>
      <c r="F776" s="530"/>
      <c r="G776" s="530"/>
      <c r="H776" s="530"/>
      <c r="I776" s="530"/>
      <c r="J776" s="530"/>
      <c r="K776" s="530"/>
      <c r="L776" s="530"/>
      <c r="M776" s="530"/>
      <c r="N776" s="530"/>
      <c r="O776" s="530"/>
      <c r="P776" s="530"/>
      <c r="Q776" s="530"/>
      <c r="R776" s="530"/>
      <c r="S776" s="530"/>
      <c r="T776" s="530"/>
      <c r="U776" s="530"/>
      <c r="V776" s="530"/>
      <c r="W776" s="530"/>
      <c r="X776" s="733"/>
      <c r="Y776" s="716"/>
      <c r="Z776" s="716"/>
      <c r="AA776" s="716"/>
      <c r="AB776" s="716"/>
      <c r="AC776" s="716"/>
      <c r="AD776" s="716"/>
      <c r="AE776" s="716"/>
      <c r="AF776" s="716"/>
      <c r="AG776" s="716"/>
      <c r="AH776" s="716"/>
      <c r="AI776" s="716"/>
      <c r="AJ776" s="716"/>
      <c r="AK776" s="716"/>
      <c r="AL776" s="716"/>
      <c r="AM776" s="716"/>
      <c r="AN776" s="716"/>
      <c r="AO776" s="716"/>
      <c r="AP776" s="716"/>
      <c r="AQ776" s="716"/>
      <c r="AR776" s="716"/>
    </row>
    <row r="777">
      <c r="A777" s="716"/>
      <c r="B777" s="530"/>
      <c r="C777" s="530"/>
      <c r="D777" s="530"/>
      <c r="E777" s="530"/>
      <c r="F777" s="530"/>
      <c r="G777" s="530"/>
      <c r="H777" s="530"/>
      <c r="I777" s="530"/>
      <c r="J777" s="530"/>
      <c r="K777" s="530"/>
      <c r="L777" s="530"/>
      <c r="M777" s="530"/>
      <c r="N777" s="530"/>
      <c r="O777" s="530"/>
      <c r="P777" s="530"/>
      <c r="Q777" s="530"/>
      <c r="R777" s="530"/>
      <c r="S777" s="530"/>
      <c r="T777" s="530"/>
      <c r="U777" s="530"/>
      <c r="V777" s="530"/>
      <c r="W777" s="530"/>
      <c r="X777" s="733"/>
      <c r="Y777" s="716"/>
      <c r="Z777" s="716"/>
      <c r="AA777" s="716"/>
      <c r="AB777" s="716"/>
      <c r="AC777" s="716"/>
      <c r="AD777" s="716"/>
      <c r="AE777" s="716"/>
      <c r="AF777" s="716"/>
      <c r="AG777" s="716"/>
      <c r="AH777" s="716"/>
      <c r="AI777" s="716"/>
      <c r="AJ777" s="716"/>
      <c r="AK777" s="716"/>
      <c r="AL777" s="716"/>
      <c r="AM777" s="716"/>
      <c r="AN777" s="716"/>
      <c r="AO777" s="716"/>
      <c r="AP777" s="716"/>
      <c r="AQ777" s="716"/>
      <c r="AR777" s="716"/>
    </row>
    <row r="778">
      <c r="A778" s="716"/>
      <c r="B778" s="530"/>
      <c r="C778" s="530"/>
      <c r="D778" s="530"/>
      <c r="E778" s="530"/>
      <c r="F778" s="530"/>
      <c r="G778" s="530"/>
      <c r="H778" s="530"/>
      <c r="I778" s="530"/>
      <c r="J778" s="530"/>
      <c r="K778" s="530"/>
      <c r="L778" s="530"/>
      <c r="M778" s="530"/>
      <c r="N778" s="530"/>
      <c r="O778" s="530"/>
      <c r="P778" s="530"/>
      <c r="Q778" s="530"/>
      <c r="R778" s="530"/>
      <c r="S778" s="530"/>
      <c r="T778" s="530"/>
      <c r="U778" s="530"/>
      <c r="V778" s="530"/>
      <c r="W778" s="530"/>
      <c r="X778" s="733"/>
      <c r="Y778" s="716"/>
      <c r="Z778" s="716"/>
      <c r="AA778" s="716"/>
      <c r="AB778" s="716"/>
      <c r="AC778" s="716"/>
      <c r="AD778" s="716"/>
      <c r="AE778" s="716"/>
      <c r="AF778" s="716"/>
      <c r="AG778" s="716"/>
      <c r="AH778" s="716"/>
      <c r="AI778" s="716"/>
      <c r="AJ778" s="716"/>
      <c r="AK778" s="716"/>
      <c r="AL778" s="716"/>
      <c r="AM778" s="716"/>
      <c r="AN778" s="716"/>
      <c r="AO778" s="716"/>
      <c r="AP778" s="716"/>
      <c r="AQ778" s="716"/>
      <c r="AR778" s="716"/>
    </row>
    <row r="779">
      <c r="A779" s="716"/>
      <c r="B779" s="530"/>
      <c r="C779" s="530"/>
      <c r="D779" s="530"/>
      <c r="E779" s="530"/>
      <c r="F779" s="530"/>
      <c r="G779" s="530"/>
      <c r="H779" s="530"/>
      <c r="I779" s="530"/>
      <c r="J779" s="530"/>
      <c r="K779" s="530"/>
      <c r="L779" s="530"/>
      <c r="M779" s="530"/>
      <c r="N779" s="530"/>
      <c r="O779" s="530"/>
      <c r="P779" s="530"/>
      <c r="Q779" s="530"/>
      <c r="R779" s="530"/>
      <c r="S779" s="530"/>
      <c r="T779" s="530"/>
      <c r="U779" s="530"/>
      <c r="V779" s="530"/>
      <c r="W779" s="530"/>
      <c r="X779" s="733"/>
      <c r="Y779" s="716"/>
      <c r="Z779" s="716"/>
      <c r="AA779" s="716"/>
      <c r="AB779" s="716"/>
      <c r="AC779" s="716"/>
      <c r="AD779" s="716"/>
      <c r="AE779" s="716"/>
      <c r="AF779" s="716"/>
      <c r="AG779" s="716"/>
      <c r="AH779" s="716"/>
      <c r="AI779" s="716"/>
      <c r="AJ779" s="716"/>
      <c r="AK779" s="716"/>
      <c r="AL779" s="716"/>
      <c r="AM779" s="716"/>
      <c r="AN779" s="716"/>
      <c r="AO779" s="716"/>
      <c r="AP779" s="716"/>
      <c r="AQ779" s="716"/>
      <c r="AR779" s="716"/>
    </row>
    <row r="780">
      <c r="A780" s="716"/>
      <c r="B780" s="530"/>
      <c r="C780" s="530"/>
      <c r="D780" s="530"/>
      <c r="E780" s="530"/>
      <c r="F780" s="530"/>
      <c r="G780" s="530"/>
      <c r="H780" s="530"/>
      <c r="I780" s="530"/>
      <c r="J780" s="530"/>
      <c r="K780" s="530"/>
      <c r="L780" s="530"/>
      <c r="M780" s="530"/>
      <c r="N780" s="530"/>
      <c r="O780" s="530"/>
      <c r="P780" s="530"/>
      <c r="Q780" s="530"/>
      <c r="R780" s="530"/>
      <c r="S780" s="530"/>
      <c r="T780" s="530"/>
      <c r="U780" s="530"/>
      <c r="V780" s="530"/>
      <c r="W780" s="530"/>
      <c r="X780" s="733"/>
      <c r="Y780" s="716"/>
      <c r="Z780" s="716"/>
      <c r="AA780" s="716"/>
      <c r="AB780" s="716"/>
      <c r="AC780" s="716"/>
      <c r="AD780" s="716"/>
      <c r="AE780" s="716"/>
      <c r="AF780" s="716"/>
      <c r="AG780" s="716"/>
      <c r="AH780" s="716"/>
      <c r="AI780" s="716"/>
      <c r="AJ780" s="716"/>
      <c r="AK780" s="716"/>
      <c r="AL780" s="716"/>
      <c r="AM780" s="716"/>
      <c r="AN780" s="716"/>
      <c r="AO780" s="716"/>
      <c r="AP780" s="716"/>
      <c r="AQ780" s="716"/>
      <c r="AR780" s="716"/>
    </row>
    <row r="781">
      <c r="A781" s="716"/>
      <c r="B781" s="530"/>
      <c r="C781" s="530"/>
      <c r="D781" s="530"/>
      <c r="E781" s="530"/>
      <c r="F781" s="530"/>
      <c r="G781" s="530"/>
      <c r="H781" s="530"/>
      <c r="I781" s="530"/>
      <c r="J781" s="530"/>
      <c r="K781" s="530"/>
      <c r="L781" s="530"/>
      <c r="M781" s="530"/>
      <c r="N781" s="530"/>
      <c r="O781" s="530"/>
      <c r="P781" s="530"/>
      <c r="Q781" s="530"/>
      <c r="R781" s="530"/>
      <c r="S781" s="530"/>
      <c r="T781" s="530"/>
      <c r="U781" s="530"/>
      <c r="V781" s="530"/>
      <c r="W781" s="530"/>
      <c r="X781" s="733"/>
      <c r="Y781" s="716"/>
      <c r="Z781" s="716"/>
      <c r="AA781" s="716"/>
      <c r="AB781" s="716"/>
      <c r="AC781" s="716"/>
      <c r="AD781" s="716"/>
      <c r="AE781" s="716"/>
      <c r="AF781" s="716"/>
      <c r="AG781" s="716"/>
      <c r="AH781" s="716"/>
      <c r="AI781" s="716"/>
      <c r="AJ781" s="716"/>
      <c r="AK781" s="716"/>
      <c r="AL781" s="716"/>
      <c r="AM781" s="716"/>
      <c r="AN781" s="716"/>
      <c r="AO781" s="716"/>
      <c r="AP781" s="716"/>
      <c r="AQ781" s="716"/>
      <c r="AR781" s="716"/>
    </row>
    <row r="782">
      <c r="A782" s="716"/>
      <c r="B782" s="530"/>
      <c r="C782" s="530"/>
      <c r="D782" s="530"/>
      <c r="E782" s="530"/>
      <c r="F782" s="530"/>
      <c r="G782" s="530"/>
      <c r="H782" s="530"/>
      <c r="I782" s="530"/>
      <c r="J782" s="530"/>
      <c r="K782" s="530"/>
      <c r="L782" s="530"/>
      <c r="M782" s="530"/>
      <c r="N782" s="530"/>
      <c r="O782" s="530"/>
      <c r="P782" s="530"/>
      <c r="Q782" s="530"/>
      <c r="R782" s="530"/>
      <c r="S782" s="530"/>
      <c r="T782" s="530"/>
      <c r="U782" s="530"/>
      <c r="V782" s="530"/>
      <c r="W782" s="530"/>
      <c r="X782" s="733"/>
      <c r="Y782" s="716"/>
      <c r="Z782" s="716"/>
      <c r="AA782" s="716"/>
      <c r="AB782" s="716"/>
      <c r="AC782" s="716"/>
      <c r="AD782" s="716"/>
      <c r="AE782" s="716"/>
      <c r="AF782" s="716"/>
      <c r="AG782" s="716"/>
      <c r="AH782" s="716"/>
      <c r="AI782" s="716"/>
      <c r="AJ782" s="716"/>
      <c r="AK782" s="716"/>
      <c r="AL782" s="716"/>
      <c r="AM782" s="716"/>
      <c r="AN782" s="716"/>
      <c r="AO782" s="716"/>
      <c r="AP782" s="716"/>
      <c r="AQ782" s="716"/>
      <c r="AR782" s="716"/>
    </row>
    <row r="783">
      <c r="A783" s="716"/>
      <c r="B783" s="530"/>
      <c r="C783" s="530"/>
      <c r="D783" s="530"/>
      <c r="E783" s="530"/>
      <c r="F783" s="530"/>
      <c r="G783" s="530"/>
      <c r="H783" s="530"/>
      <c r="I783" s="530"/>
      <c r="J783" s="530"/>
      <c r="K783" s="530"/>
      <c r="L783" s="530"/>
      <c r="M783" s="530"/>
      <c r="N783" s="530"/>
      <c r="O783" s="530"/>
      <c r="P783" s="530"/>
      <c r="Q783" s="530"/>
      <c r="R783" s="530"/>
      <c r="S783" s="530"/>
      <c r="T783" s="530"/>
      <c r="U783" s="530"/>
      <c r="V783" s="530"/>
      <c r="W783" s="530"/>
      <c r="X783" s="733"/>
      <c r="Y783" s="716"/>
      <c r="Z783" s="716"/>
      <c r="AA783" s="716"/>
      <c r="AB783" s="716"/>
      <c r="AC783" s="716"/>
      <c r="AD783" s="716"/>
      <c r="AE783" s="716"/>
      <c r="AF783" s="716"/>
      <c r="AG783" s="716"/>
      <c r="AH783" s="716"/>
      <c r="AI783" s="716"/>
      <c r="AJ783" s="716"/>
      <c r="AK783" s="716"/>
      <c r="AL783" s="716"/>
      <c r="AM783" s="716"/>
      <c r="AN783" s="716"/>
      <c r="AO783" s="716"/>
      <c r="AP783" s="716"/>
      <c r="AQ783" s="716"/>
      <c r="AR783" s="716"/>
    </row>
    <row r="784">
      <c r="A784" s="716"/>
      <c r="B784" s="530"/>
      <c r="C784" s="530"/>
      <c r="D784" s="530"/>
      <c r="E784" s="530"/>
      <c r="F784" s="530"/>
      <c r="G784" s="530"/>
      <c r="H784" s="530"/>
      <c r="I784" s="530"/>
      <c r="J784" s="530"/>
      <c r="K784" s="530"/>
      <c r="L784" s="530"/>
      <c r="M784" s="530"/>
      <c r="N784" s="530"/>
      <c r="O784" s="530"/>
      <c r="P784" s="530"/>
      <c r="Q784" s="530"/>
      <c r="R784" s="530"/>
      <c r="S784" s="530"/>
      <c r="T784" s="530"/>
      <c r="U784" s="530"/>
      <c r="V784" s="530"/>
      <c r="W784" s="530"/>
      <c r="X784" s="733"/>
      <c r="Y784" s="716"/>
      <c r="Z784" s="716"/>
      <c r="AA784" s="716"/>
      <c r="AB784" s="716"/>
      <c r="AC784" s="716"/>
      <c r="AD784" s="716"/>
      <c r="AE784" s="716"/>
      <c r="AF784" s="716"/>
      <c r="AG784" s="716"/>
      <c r="AH784" s="716"/>
      <c r="AI784" s="716"/>
      <c r="AJ784" s="716"/>
      <c r="AK784" s="716"/>
      <c r="AL784" s="716"/>
      <c r="AM784" s="716"/>
      <c r="AN784" s="716"/>
      <c r="AO784" s="716"/>
      <c r="AP784" s="716"/>
      <c r="AQ784" s="716"/>
      <c r="AR784" s="716"/>
    </row>
    <row r="785">
      <c r="A785" s="716"/>
      <c r="B785" s="530"/>
      <c r="C785" s="530"/>
      <c r="D785" s="530"/>
      <c r="E785" s="530"/>
      <c r="F785" s="530"/>
      <c r="G785" s="530"/>
      <c r="H785" s="530"/>
      <c r="I785" s="530"/>
      <c r="J785" s="530"/>
      <c r="K785" s="530"/>
      <c r="L785" s="530"/>
      <c r="M785" s="530"/>
      <c r="N785" s="530"/>
      <c r="O785" s="530"/>
      <c r="P785" s="530"/>
      <c r="Q785" s="530"/>
      <c r="R785" s="530"/>
      <c r="S785" s="530"/>
      <c r="T785" s="530"/>
      <c r="U785" s="530"/>
      <c r="V785" s="530"/>
      <c r="W785" s="530"/>
      <c r="X785" s="733"/>
      <c r="Y785" s="716"/>
      <c r="Z785" s="716"/>
      <c r="AA785" s="716"/>
      <c r="AB785" s="716"/>
      <c r="AC785" s="716"/>
      <c r="AD785" s="716"/>
      <c r="AE785" s="716"/>
      <c r="AF785" s="716"/>
      <c r="AG785" s="716"/>
      <c r="AH785" s="716"/>
      <c r="AI785" s="716"/>
      <c r="AJ785" s="716"/>
      <c r="AK785" s="716"/>
      <c r="AL785" s="716"/>
      <c r="AM785" s="716"/>
      <c r="AN785" s="716"/>
      <c r="AO785" s="716"/>
      <c r="AP785" s="716"/>
      <c r="AQ785" s="716"/>
      <c r="AR785" s="716"/>
    </row>
    <row r="786">
      <c r="A786" s="716"/>
      <c r="B786" s="530"/>
      <c r="C786" s="530"/>
      <c r="D786" s="530"/>
      <c r="E786" s="530"/>
      <c r="F786" s="530"/>
      <c r="G786" s="530"/>
      <c r="H786" s="530"/>
      <c r="I786" s="530"/>
      <c r="J786" s="530"/>
      <c r="K786" s="530"/>
      <c r="L786" s="530"/>
      <c r="M786" s="530"/>
      <c r="N786" s="530"/>
      <c r="O786" s="530"/>
      <c r="P786" s="530"/>
      <c r="Q786" s="530"/>
      <c r="R786" s="530"/>
      <c r="S786" s="530"/>
      <c r="T786" s="530"/>
      <c r="U786" s="530"/>
      <c r="V786" s="530"/>
      <c r="W786" s="530"/>
      <c r="X786" s="733"/>
      <c r="Y786" s="716"/>
      <c r="Z786" s="716"/>
      <c r="AA786" s="716"/>
      <c r="AB786" s="716"/>
      <c r="AC786" s="716"/>
      <c r="AD786" s="716"/>
      <c r="AE786" s="716"/>
      <c r="AF786" s="716"/>
      <c r="AG786" s="716"/>
      <c r="AH786" s="716"/>
      <c r="AI786" s="716"/>
      <c r="AJ786" s="716"/>
      <c r="AK786" s="716"/>
      <c r="AL786" s="716"/>
      <c r="AM786" s="716"/>
      <c r="AN786" s="716"/>
      <c r="AO786" s="716"/>
      <c r="AP786" s="716"/>
      <c r="AQ786" s="716"/>
      <c r="AR786" s="716"/>
    </row>
    <row r="787">
      <c r="A787" s="716"/>
      <c r="B787" s="530"/>
      <c r="C787" s="530"/>
      <c r="D787" s="530"/>
      <c r="E787" s="530"/>
      <c r="F787" s="530"/>
      <c r="G787" s="530"/>
      <c r="H787" s="530"/>
      <c r="I787" s="530"/>
      <c r="J787" s="530"/>
      <c r="K787" s="530"/>
      <c r="L787" s="530"/>
      <c r="M787" s="530"/>
      <c r="N787" s="530"/>
      <c r="O787" s="530"/>
      <c r="P787" s="530"/>
      <c r="Q787" s="530"/>
      <c r="R787" s="530"/>
      <c r="S787" s="530"/>
      <c r="T787" s="530"/>
      <c r="U787" s="530"/>
      <c r="V787" s="530"/>
      <c r="W787" s="530"/>
      <c r="X787" s="733"/>
      <c r="Y787" s="716"/>
      <c r="Z787" s="716"/>
      <c r="AA787" s="716"/>
      <c r="AB787" s="716"/>
      <c r="AC787" s="716"/>
      <c r="AD787" s="716"/>
      <c r="AE787" s="716"/>
      <c r="AF787" s="716"/>
      <c r="AG787" s="716"/>
      <c r="AH787" s="716"/>
      <c r="AI787" s="716"/>
      <c r="AJ787" s="716"/>
      <c r="AK787" s="716"/>
      <c r="AL787" s="716"/>
      <c r="AM787" s="716"/>
      <c r="AN787" s="716"/>
      <c r="AO787" s="716"/>
      <c r="AP787" s="716"/>
      <c r="AQ787" s="716"/>
      <c r="AR787" s="716"/>
    </row>
    <row r="788">
      <c r="A788" s="716"/>
      <c r="B788" s="530"/>
      <c r="C788" s="530"/>
      <c r="D788" s="530"/>
      <c r="E788" s="530"/>
      <c r="F788" s="530"/>
      <c r="G788" s="530"/>
      <c r="H788" s="530"/>
      <c r="I788" s="530"/>
      <c r="J788" s="530"/>
      <c r="K788" s="530"/>
      <c r="L788" s="530"/>
      <c r="M788" s="530"/>
      <c r="N788" s="530"/>
      <c r="O788" s="530"/>
      <c r="P788" s="530"/>
      <c r="Q788" s="530"/>
      <c r="R788" s="530"/>
      <c r="S788" s="530"/>
      <c r="T788" s="530"/>
      <c r="U788" s="530"/>
      <c r="V788" s="530"/>
      <c r="W788" s="530"/>
      <c r="X788" s="733"/>
      <c r="Y788" s="716"/>
      <c r="Z788" s="716"/>
      <c r="AA788" s="716"/>
      <c r="AB788" s="716"/>
      <c r="AC788" s="716"/>
      <c r="AD788" s="716"/>
      <c r="AE788" s="716"/>
      <c r="AF788" s="716"/>
      <c r="AG788" s="716"/>
      <c r="AH788" s="716"/>
      <c r="AI788" s="716"/>
      <c r="AJ788" s="716"/>
      <c r="AK788" s="716"/>
      <c r="AL788" s="716"/>
      <c r="AM788" s="716"/>
      <c r="AN788" s="716"/>
      <c r="AO788" s="716"/>
      <c r="AP788" s="716"/>
      <c r="AQ788" s="716"/>
      <c r="AR788" s="716"/>
    </row>
    <row r="789">
      <c r="A789" s="716"/>
      <c r="B789" s="530"/>
      <c r="C789" s="530"/>
      <c r="D789" s="530"/>
      <c r="E789" s="530"/>
      <c r="F789" s="530"/>
      <c r="G789" s="530"/>
      <c r="H789" s="530"/>
      <c r="I789" s="530"/>
      <c r="J789" s="530"/>
      <c r="K789" s="530"/>
      <c r="L789" s="530"/>
      <c r="M789" s="530"/>
      <c r="N789" s="530"/>
      <c r="O789" s="530"/>
      <c r="P789" s="530"/>
      <c r="Q789" s="530"/>
      <c r="R789" s="530"/>
      <c r="S789" s="530"/>
      <c r="T789" s="530"/>
      <c r="U789" s="530"/>
      <c r="V789" s="530"/>
      <c r="W789" s="530"/>
      <c r="X789" s="733"/>
      <c r="Y789" s="716"/>
      <c r="Z789" s="716"/>
      <c r="AA789" s="716"/>
      <c r="AB789" s="716"/>
      <c r="AC789" s="716"/>
      <c r="AD789" s="716"/>
      <c r="AE789" s="716"/>
      <c r="AF789" s="716"/>
      <c r="AG789" s="716"/>
      <c r="AH789" s="716"/>
      <c r="AI789" s="716"/>
      <c r="AJ789" s="716"/>
      <c r="AK789" s="716"/>
      <c r="AL789" s="716"/>
      <c r="AM789" s="716"/>
      <c r="AN789" s="716"/>
      <c r="AO789" s="716"/>
      <c r="AP789" s="716"/>
      <c r="AQ789" s="716"/>
      <c r="AR789" s="716"/>
    </row>
    <row r="790">
      <c r="A790" s="716"/>
      <c r="B790" s="530"/>
      <c r="C790" s="530"/>
      <c r="D790" s="530"/>
      <c r="E790" s="530"/>
      <c r="F790" s="530"/>
      <c r="G790" s="530"/>
      <c r="H790" s="530"/>
      <c r="I790" s="530"/>
      <c r="J790" s="530"/>
      <c r="K790" s="530"/>
      <c r="L790" s="530"/>
      <c r="M790" s="530"/>
      <c r="N790" s="530"/>
      <c r="O790" s="530"/>
      <c r="P790" s="530"/>
      <c r="Q790" s="530"/>
      <c r="R790" s="530"/>
      <c r="S790" s="530"/>
      <c r="T790" s="530"/>
      <c r="U790" s="530"/>
      <c r="V790" s="530"/>
      <c r="W790" s="530"/>
      <c r="X790" s="733"/>
      <c r="Y790" s="716"/>
      <c r="Z790" s="716"/>
      <c r="AA790" s="716"/>
      <c r="AB790" s="716"/>
      <c r="AC790" s="716"/>
      <c r="AD790" s="716"/>
      <c r="AE790" s="716"/>
      <c r="AF790" s="716"/>
      <c r="AG790" s="716"/>
      <c r="AH790" s="716"/>
      <c r="AI790" s="716"/>
      <c r="AJ790" s="716"/>
      <c r="AK790" s="716"/>
      <c r="AL790" s="716"/>
      <c r="AM790" s="716"/>
      <c r="AN790" s="716"/>
      <c r="AO790" s="716"/>
      <c r="AP790" s="716"/>
      <c r="AQ790" s="716"/>
      <c r="AR790" s="716"/>
    </row>
    <row r="791">
      <c r="A791" s="716"/>
      <c r="B791" s="530"/>
      <c r="C791" s="530"/>
      <c r="D791" s="530"/>
      <c r="E791" s="530"/>
      <c r="F791" s="530"/>
      <c r="G791" s="530"/>
      <c r="H791" s="530"/>
      <c r="I791" s="530"/>
      <c r="J791" s="530"/>
      <c r="K791" s="530"/>
      <c r="L791" s="530"/>
      <c r="M791" s="530"/>
      <c r="N791" s="530"/>
      <c r="O791" s="530"/>
      <c r="P791" s="530"/>
      <c r="Q791" s="530"/>
      <c r="R791" s="530"/>
      <c r="S791" s="530"/>
      <c r="T791" s="530"/>
      <c r="U791" s="530"/>
      <c r="V791" s="530"/>
      <c r="W791" s="530"/>
      <c r="X791" s="733"/>
      <c r="Y791" s="716"/>
      <c r="Z791" s="716"/>
      <c r="AA791" s="716"/>
      <c r="AB791" s="716"/>
      <c r="AC791" s="716"/>
      <c r="AD791" s="716"/>
      <c r="AE791" s="716"/>
      <c r="AF791" s="716"/>
      <c r="AG791" s="716"/>
      <c r="AH791" s="716"/>
      <c r="AI791" s="716"/>
      <c r="AJ791" s="716"/>
      <c r="AK791" s="716"/>
      <c r="AL791" s="716"/>
      <c r="AM791" s="716"/>
      <c r="AN791" s="716"/>
      <c r="AO791" s="716"/>
      <c r="AP791" s="716"/>
      <c r="AQ791" s="716"/>
      <c r="AR791" s="716"/>
    </row>
    <row r="792">
      <c r="A792" s="716"/>
      <c r="B792" s="530"/>
      <c r="C792" s="530"/>
      <c r="D792" s="530"/>
      <c r="E792" s="530"/>
      <c r="F792" s="530"/>
      <c r="G792" s="530"/>
      <c r="H792" s="530"/>
      <c r="I792" s="530"/>
      <c r="J792" s="530"/>
      <c r="K792" s="530"/>
      <c r="L792" s="530"/>
      <c r="M792" s="530"/>
      <c r="N792" s="530"/>
      <c r="O792" s="530"/>
      <c r="P792" s="530"/>
      <c r="Q792" s="530"/>
      <c r="R792" s="530"/>
      <c r="S792" s="530"/>
      <c r="T792" s="530"/>
      <c r="U792" s="530"/>
      <c r="V792" s="530"/>
      <c r="W792" s="530"/>
      <c r="X792" s="733"/>
      <c r="Y792" s="716"/>
      <c r="Z792" s="716"/>
      <c r="AA792" s="716"/>
      <c r="AB792" s="716"/>
      <c r="AC792" s="716"/>
      <c r="AD792" s="716"/>
      <c r="AE792" s="716"/>
      <c r="AF792" s="716"/>
      <c r="AG792" s="716"/>
      <c r="AH792" s="716"/>
      <c r="AI792" s="716"/>
      <c r="AJ792" s="716"/>
      <c r="AK792" s="716"/>
      <c r="AL792" s="716"/>
      <c r="AM792" s="716"/>
      <c r="AN792" s="716"/>
      <c r="AO792" s="716"/>
      <c r="AP792" s="716"/>
      <c r="AQ792" s="716"/>
      <c r="AR792" s="716"/>
    </row>
    <row r="793">
      <c r="A793" s="716"/>
      <c r="B793" s="530"/>
      <c r="C793" s="530"/>
      <c r="D793" s="530"/>
      <c r="E793" s="530"/>
      <c r="F793" s="530"/>
      <c r="G793" s="530"/>
      <c r="H793" s="530"/>
      <c r="I793" s="530"/>
      <c r="J793" s="530"/>
      <c r="K793" s="530"/>
      <c r="L793" s="530"/>
      <c r="M793" s="530"/>
      <c r="N793" s="530"/>
      <c r="O793" s="530"/>
      <c r="P793" s="530"/>
      <c r="Q793" s="530"/>
      <c r="R793" s="530"/>
      <c r="S793" s="530"/>
      <c r="T793" s="530"/>
      <c r="U793" s="530"/>
      <c r="V793" s="530"/>
      <c r="W793" s="530"/>
      <c r="X793" s="733"/>
      <c r="Y793" s="716"/>
      <c r="Z793" s="716"/>
      <c r="AA793" s="716"/>
      <c r="AB793" s="716"/>
      <c r="AC793" s="716"/>
      <c r="AD793" s="716"/>
      <c r="AE793" s="716"/>
      <c r="AF793" s="716"/>
      <c r="AG793" s="716"/>
      <c r="AH793" s="716"/>
      <c r="AI793" s="716"/>
      <c r="AJ793" s="716"/>
      <c r="AK793" s="716"/>
      <c r="AL793" s="716"/>
      <c r="AM793" s="716"/>
      <c r="AN793" s="716"/>
      <c r="AO793" s="716"/>
      <c r="AP793" s="716"/>
      <c r="AQ793" s="716"/>
      <c r="AR793" s="716"/>
    </row>
    <row r="794">
      <c r="A794" s="716"/>
      <c r="B794" s="530"/>
      <c r="C794" s="530"/>
      <c r="D794" s="530"/>
      <c r="E794" s="530"/>
      <c r="F794" s="530"/>
      <c r="G794" s="530"/>
      <c r="H794" s="530"/>
      <c r="I794" s="530"/>
      <c r="J794" s="530"/>
      <c r="K794" s="530"/>
      <c r="L794" s="530"/>
      <c r="M794" s="530"/>
      <c r="N794" s="530"/>
      <c r="O794" s="530"/>
      <c r="P794" s="530"/>
      <c r="Q794" s="530"/>
      <c r="R794" s="530"/>
      <c r="S794" s="530"/>
      <c r="T794" s="530"/>
      <c r="U794" s="530"/>
      <c r="V794" s="530"/>
      <c r="W794" s="530"/>
      <c r="X794" s="733"/>
      <c r="Y794" s="716"/>
      <c r="Z794" s="716"/>
      <c r="AA794" s="716"/>
      <c r="AB794" s="716"/>
      <c r="AC794" s="716"/>
      <c r="AD794" s="716"/>
      <c r="AE794" s="716"/>
      <c r="AF794" s="716"/>
      <c r="AG794" s="716"/>
      <c r="AH794" s="716"/>
      <c r="AI794" s="716"/>
      <c r="AJ794" s="716"/>
      <c r="AK794" s="716"/>
      <c r="AL794" s="716"/>
      <c r="AM794" s="716"/>
      <c r="AN794" s="716"/>
      <c r="AO794" s="716"/>
      <c r="AP794" s="716"/>
      <c r="AQ794" s="716"/>
      <c r="AR794" s="716"/>
    </row>
    <row r="795">
      <c r="A795" s="716"/>
      <c r="B795" s="530"/>
      <c r="C795" s="530"/>
      <c r="D795" s="530"/>
      <c r="E795" s="530"/>
      <c r="F795" s="530"/>
      <c r="G795" s="530"/>
      <c r="H795" s="530"/>
      <c r="I795" s="530"/>
      <c r="J795" s="530"/>
      <c r="K795" s="530"/>
      <c r="L795" s="530"/>
      <c r="M795" s="530"/>
      <c r="N795" s="530"/>
      <c r="O795" s="530"/>
      <c r="P795" s="530"/>
      <c r="Q795" s="530"/>
      <c r="R795" s="530"/>
      <c r="S795" s="530"/>
      <c r="T795" s="530"/>
      <c r="U795" s="530"/>
      <c r="V795" s="530"/>
      <c r="W795" s="530"/>
      <c r="X795" s="733"/>
      <c r="Y795" s="716"/>
      <c r="Z795" s="716"/>
      <c r="AA795" s="716"/>
      <c r="AB795" s="716"/>
      <c r="AC795" s="716"/>
      <c r="AD795" s="716"/>
      <c r="AE795" s="716"/>
      <c r="AF795" s="716"/>
      <c r="AG795" s="716"/>
      <c r="AH795" s="716"/>
      <c r="AI795" s="716"/>
      <c r="AJ795" s="716"/>
      <c r="AK795" s="716"/>
      <c r="AL795" s="716"/>
      <c r="AM795" s="716"/>
      <c r="AN795" s="716"/>
      <c r="AO795" s="716"/>
      <c r="AP795" s="716"/>
      <c r="AQ795" s="716"/>
      <c r="AR795" s="716"/>
    </row>
    <row r="796">
      <c r="A796" s="716"/>
      <c r="B796" s="530"/>
      <c r="C796" s="530"/>
      <c r="D796" s="530"/>
      <c r="E796" s="530"/>
      <c r="F796" s="530"/>
      <c r="G796" s="530"/>
      <c r="H796" s="530"/>
      <c r="I796" s="530"/>
      <c r="J796" s="530"/>
      <c r="K796" s="530"/>
      <c r="L796" s="530"/>
      <c r="M796" s="530"/>
      <c r="N796" s="530"/>
      <c r="O796" s="530"/>
      <c r="P796" s="530"/>
      <c r="Q796" s="530"/>
      <c r="R796" s="530"/>
      <c r="S796" s="530"/>
      <c r="T796" s="530"/>
      <c r="U796" s="530"/>
      <c r="V796" s="530"/>
      <c r="W796" s="530"/>
      <c r="X796" s="733"/>
      <c r="Y796" s="716"/>
      <c r="Z796" s="716"/>
      <c r="AA796" s="716"/>
      <c r="AB796" s="716"/>
      <c r="AC796" s="716"/>
      <c r="AD796" s="716"/>
      <c r="AE796" s="716"/>
      <c r="AF796" s="716"/>
      <c r="AG796" s="716"/>
      <c r="AH796" s="716"/>
      <c r="AI796" s="716"/>
      <c r="AJ796" s="716"/>
      <c r="AK796" s="716"/>
      <c r="AL796" s="716"/>
      <c r="AM796" s="716"/>
      <c r="AN796" s="716"/>
      <c r="AO796" s="716"/>
      <c r="AP796" s="716"/>
      <c r="AQ796" s="716"/>
      <c r="AR796" s="716"/>
    </row>
    <row r="797">
      <c r="A797" s="716"/>
      <c r="B797" s="530"/>
      <c r="C797" s="530"/>
      <c r="D797" s="530"/>
      <c r="E797" s="530"/>
      <c r="F797" s="530"/>
      <c r="G797" s="530"/>
      <c r="H797" s="530"/>
      <c r="I797" s="530"/>
      <c r="J797" s="530"/>
      <c r="K797" s="530"/>
      <c r="L797" s="530"/>
      <c r="M797" s="530"/>
      <c r="N797" s="530"/>
      <c r="O797" s="530"/>
      <c r="P797" s="530"/>
      <c r="Q797" s="530"/>
      <c r="R797" s="530"/>
      <c r="S797" s="530"/>
      <c r="T797" s="530"/>
      <c r="U797" s="530"/>
      <c r="V797" s="530"/>
      <c r="W797" s="530"/>
      <c r="X797" s="733"/>
      <c r="Y797" s="716"/>
      <c r="Z797" s="716"/>
      <c r="AA797" s="716"/>
      <c r="AB797" s="716"/>
      <c r="AC797" s="716"/>
      <c r="AD797" s="716"/>
      <c r="AE797" s="716"/>
      <c r="AF797" s="716"/>
      <c r="AG797" s="716"/>
      <c r="AH797" s="716"/>
      <c r="AI797" s="716"/>
      <c r="AJ797" s="716"/>
      <c r="AK797" s="716"/>
      <c r="AL797" s="716"/>
      <c r="AM797" s="716"/>
      <c r="AN797" s="716"/>
      <c r="AO797" s="716"/>
      <c r="AP797" s="716"/>
      <c r="AQ797" s="716"/>
      <c r="AR797" s="716"/>
    </row>
    <row r="798">
      <c r="A798" s="716"/>
      <c r="B798" s="530"/>
      <c r="C798" s="530"/>
      <c r="D798" s="530"/>
      <c r="E798" s="530"/>
      <c r="F798" s="530"/>
      <c r="G798" s="530"/>
      <c r="H798" s="530"/>
      <c r="I798" s="530"/>
      <c r="J798" s="530"/>
      <c r="K798" s="530"/>
      <c r="L798" s="530"/>
      <c r="M798" s="530"/>
      <c r="N798" s="530"/>
      <c r="O798" s="530"/>
      <c r="P798" s="530"/>
      <c r="Q798" s="530"/>
      <c r="R798" s="530"/>
      <c r="S798" s="530"/>
      <c r="T798" s="530"/>
      <c r="U798" s="530"/>
      <c r="V798" s="530"/>
      <c r="W798" s="530"/>
      <c r="X798" s="733"/>
      <c r="Y798" s="716"/>
      <c r="Z798" s="716"/>
      <c r="AA798" s="716"/>
      <c r="AB798" s="716"/>
      <c r="AC798" s="716"/>
      <c r="AD798" s="716"/>
      <c r="AE798" s="716"/>
      <c r="AF798" s="716"/>
      <c r="AG798" s="716"/>
      <c r="AH798" s="716"/>
      <c r="AI798" s="716"/>
      <c r="AJ798" s="716"/>
      <c r="AK798" s="716"/>
      <c r="AL798" s="716"/>
      <c r="AM798" s="716"/>
      <c r="AN798" s="716"/>
      <c r="AO798" s="716"/>
      <c r="AP798" s="716"/>
      <c r="AQ798" s="716"/>
      <c r="AR798" s="716"/>
    </row>
    <row r="799">
      <c r="A799" s="716"/>
      <c r="B799" s="530"/>
      <c r="C799" s="530"/>
      <c r="D799" s="530"/>
      <c r="E799" s="530"/>
      <c r="F799" s="530"/>
      <c r="G799" s="530"/>
      <c r="H799" s="530"/>
      <c r="I799" s="530"/>
      <c r="J799" s="530"/>
      <c r="K799" s="530"/>
      <c r="L799" s="530"/>
      <c r="M799" s="530"/>
      <c r="N799" s="530"/>
      <c r="O799" s="530"/>
      <c r="P799" s="530"/>
      <c r="Q799" s="530"/>
      <c r="R799" s="530"/>
      <c r="S799" s="530"/>
      <c r="T799" s="530"/>
      <c r="U799" s="530"/>
      <c r="V799" s="530"/>
      <c r="W799" s="530"/>
      <c r="X799" s="733"/>
      <c r="Y799" s="716"/>
      <c r="Z799" s="716"/>
      <c r="AA799" s="716"/>
      <c r="AB799" s="716"/>
      <c r="AC799" s="716"/>
      <c r="AD799" s="716"/>
      <c r="AE799" s="716"/>
      <c r="AF799" s="716"/>
      <c r="AG799" s="716"/>
      <c r="AH799" s="716"/>
      <c r="AI799" s="716"/>
      <c r="AJ799" s="716"/>
      <c r="AK799" s="716"/>
      <c r="AL799" s="716"/>
      <c r="AM799" s="716"/>
      <c r="AN799" s="716"/>
      <c r="AO799" s="716"/>
      <c r="AP799" s="716"/>
      <c r="AQ799" s="716"/>
      <c r="AR799" s="716"/>
    </row>
    <row r="800">
      <c r="A800" s="716"/>
      <c r="B800" s="530"/>
      <c r="C800" s="530"/>
      <c r="D800" s="530"/>
      <c r="E800" s="530"/>
      <c r="F800" s="530"/>
      <c r="G800" s="530"/>
      <c r="H800" s="530"/>
      <c r="I800" s="530"/>
      <c r="J800" s="530"/>
      <c r="K800" s="530"/>
      <c r="L800" s="530"/>
      <c r="M800" s="530"/>
      <c r="N800" s="530"/>
      <c r="O800" s="530"/>
      <c r="P800" s="530"/>
      <c r="Q800" s="530"/>
      <c r="R800" s="530"/>
      <c r="S800" s="530"/>
      <c r="T800" s="530"/>
      <c r="U800" s="530"/>
      <c r="V800" s="530"/>
      <c r="W800" s="530"/>
      <c r="X800" s="733"/>
      <c r="Y800" s="716"/>
      <c r="Z800" s="716"/>
      <c r="AA800" s="716"/>
      <c r="AB800" s="716"/>
      <c r="AC800" s="716"/>
      <c r="AD800" s="716"/>
      <c r="AE800" s="716"/>
      <c r="AF800" s="716"/>
      <c r="AG800" s="716"/>
      <c r="AH800" s="716"/>
      <c r="AI800" s="716"/>
      <c r="AJ800" s="716"/>
      <c r="AK800" s="716"/>
      <c r="AL800" s="716"/>
      <c r="AM800" s="716"/>
      <c r="AN800" s="716"/>
      <c r="AO800" s="716"/>
      <c r="AP800" s="716"/>
      <c r="AQ800" s="716"/>
      <c r="AR800" s="716"/>
    </row>
    <row r="801">
      <c r="A801" s="716"/>
      <c r="B801" s="530"/>
      <c r="C801" s="530"/>
      <c r="D801" s="530"/>
      <c r="E801" s="530"/>
      <c r="F801" s="530"/>
      <c r="G801" s="530"/>
      <c r="H801" s="530"/>
      <c r="I801" s="530"/>
      <c r="J801" s="530"/>
      <c r="K801" s="530"/>
      <c r="L801" s="530"/>
      <c r="M801" s="530"/>
      <c r="N801" s="530"/>
      <c r="O801" s="530"/>
      <c r="P801" s="530"/>
      <c r="Q801" s="530"/>
      <c r="R801" s="530"/>
      <c r="S801" s="530"/>
      <c r="T801" s="530"/>
      <c r="U801" s="530"/>
      <c r="V801" s="530"/>
      <c r="W801" s="530"/>
      <c r="X801" s="733"/>
      <c r="Y801" s="716"/>
      <c r="Z801" s="716"/>
      <c r="AA801" s="716"/>
      <c r="AB801" s="716"/>
      <c r="AC801" s="716"/>
      <c r="AD801" s="716"/>
      <c r="AE801" s="716"/>
      <c r="AF801" s="716"/>
      <c r="AG801" s="716"/>
      <c r="AH801" s="716"/>
      <c r="AI801" s="716"/>
      <c r="AJ801" s="716"/>
      <c r="AK801" s="716"/>
      <c r="AL801" s="716"/>
      <c r="AM801" s="716"/>
      <c r="AN801" s="716"/>
      <c r="AO801" s="716"/>
      <c r="AP801" s="716"/>
      <c r="AQ801" s="716"/>
      <c r="AR801" s="716"/>
    </row>
    <row r="802">
      <c r="A802" s="716"/>
      <c r="B802" s="530"/>
      <c r="C802" s="530"/>
      <c r="D802" s="530"/>
      <c r="E802" s="530"/>
      <c r="F802" s="530"/>
      <c r="G802" s="530"/>
      <c r="H802" s="530"/>
      <c r="I802" s="530"/>
      <c r="J802" s="530"/>
      <c r="K802" s="530"/>
      <c r="L802" s="530"/>
      <c r="M802" s="530"/>
      <c r="N802" s="530"/>
      <c r="O802" s="530"/>
      <c r="P802" s="530"/>
      <c r="Q802" s="530"/>
      <c r="R802" s="530"/>
      <c r="S802" s="530"/>
      <c r="T802" s="530"/>
      <c r="U802" s="530"/>
      <c r="V802" s="530"/>
      <c r="W802" s="530"/>
      <c r="X802" s="733"/>
      <c r="Y802" s="716"/>
      <c r="Z802" s="716"/>
      <c r="AA802" s="716"/>
      <c r="AB802" s="716"/>
      <c r="AC802" s="716"/>
      <c r="AD802" s="716"/>
      <c r="AE802" s="716"/>
      <c r="AF802" s="716"/>
      <c r="AG802" s="716"/>
      <c r="AH802" s="716"/>
      <c r="AI802" s="716"/>
      <c r="AJ802" s="716"/>
      <c r="AK802" s="716"/>
      <c r="AL802" s="716"/>
      <c r="AM802" s="716"/>
      <c r="AN802" s="716"/>
      <c r="AO802" s="716"/>
      <c r="AP802" s="716"/>
      <c r="AQ802" s="716"/>
      <c r="AR802" s="716"/>
    </row>
    <row r="803">
      <c r="A803" s="716"/>
      <c r="B803" s="530"/>
      <c r="C803" s="530"/>
      <c r="D803" s="530"/>
      <c r="E803" s="530"/>
      <c r="F803" s="530"/>
      <c r="G803" s="530"/>
      <c r="H803" s="530"/>
      <c r="I803" s="530"/>
      <c r="J803" s="530"/>
      <c r="K803" s="530"/>
      <c r="L803" s="530"/>
      <c r="M803" s="530"/>
      <c r="N803" s="530"/>
      <c r="O803" s="530"/>
      <c r="P803" s="530"/>
      <c r="Q803" s="530"/>
      <c r="R803" s="530"/>
      <c r="S803" s="530"/>
      <c r="T803" s="530"/>
      <c r="U803" s="530"/>
      <c r="V803" s="530"/>
      <c r="W803" s="530"/>
      <c r="X803" s="733"/>
      <c r="Y803" s="716"/>
      <c r="Z803" s="716"/>
      <c r="AA803" s="716"/>
      <c r="AB803" s="716"/>
      <c r="AC803" s="716"/>
      <c r="AD803" s="716"/>
      <c r="AE803" s="716"/>
      <c r="AF803" s="716"/>
      <c r="AG803" s="716"/>
      <c r="AH803" s="716"/>
      <c r="AI803" s="716"/>
      <c r="AJ803" s="716"/>
      <c r="AK803" s="716"/>
      <c r="AL803" s="716"/>
      <c r="AM803" s="716"/>
      <c r="AN803" s="716"/>
      <c r="AO803" s="716"/>
      <c r="AP803" s="716"/>
      <c r="AQ803" s="716"/>
      <c r="AR803" s="716"/>
    </row>
    <row r="804">
      <c r="A804" s="716"/>
      <c r="B804" s="530"/>
      <c r="C804" s="530"/>
      <c r="D804" s="530"/>
      <c r="E804" s="530"/>
      <c r="F804" s="530"/>
      <c r="G804" s="530"/>
      <c r="H804" s="530"/>
      <c r="I804" s="530"/>
      <c r="J804" s="530"/>
      <c r="K804" s="530"/>
      <c r="L804" s="530"/>
      <c r="M804" s="530"/>
      <c r="N804" s="530"/>
      <c r="O804" s="530"/>
      <c r="P804" s="530"/>
      <c r="Q804" s="530"/>
      <c r="R804" s="530"/>
      <c r="S804" s="530"/>
      <c r="T804" s="530"/>
      <c r="U804" s="530"/>
      <c r="V804" s="530"/>
      <c r="W804" s="530"/>
      <c r="X804" s="733"/>
      <c r="Y804" s="716"/>
      <c r="Z804" s="716"/>
      <c r="AA804" s="716"/>
      <c r="AB804" s="716"/>
      <c r="AC804" s="716"/>
      <c r="AD804" s="716"/>
      <c r="AE804" s="716"/>
      <c r="AF804" s="716"/>
      <c r="AG804" s="716"/>
      <c r="AH804" s="716"/>
      <c r="AI804" s="716"/>
      <c r="AJ804" s="716"/>
      <c r="AK804" s="716"/>
      <c r="AL804" s="716"/>
      <c r="AM804" s="716"/>
      <c r="AN804" s="716"/>
      <c r="AO804" s="716"/>
      <c r="AP804" s="716"/>
      <c r="AQ804" s="716"/>
      <c r="AR804" s="716"/>
    </row>
    <row r="805">
      <c r="A805" s="716"/>
      <c r="B805" s="530"/>
      <c r="C805" s="530"/>
      <c r="D805" s="530"/>
      <c r="E805" s="530"/>
      <c r="F805" s="530"/>
      <c r="G805" s="530"/>
      <c r="H805" s="530"/>
      <c r="I805" s="530"/>
      <c r="J805" s="530"/>
      <c r="K805" s="530"/>
      <c r="L805" s="530"/>
      <c r="M805" s="530"/>
      <c r="N805" s="530"/>
      <c r="O805" s="530"/>
      <c r="P805" s="530"/>
      <c r="Q805" s="530"/>
      <c r="R805" s="530"/>
      <c r="S805" s="530"/>
      <c r="T805" s="530"/>
      <c r="U805" s="530"/>
      <c r="V805" s="530"/>
      <c r="W805" s="530"/>
      <c r="X805" s="733"/>
      <c r="Y805" s="716"/>
      <c r="Z805" s="716"/>
      <c r="AA805" s="716"/>
      <c r="AB805" s="716"/>
      <c r="AC805" s="716"/>
      <c r="AD805" s="716"/>
      <c r="AE805" s="716"/>
      <c r="AF805" s="716"/>
      <c r="AG805" s="716"/>
      <c r="AH805" s="716"/>
      <c r="AI805" s="716"/>
      <c r="AJ805" s="716"/>
      <c r="AK805" s="716"/>
      <c r="AL805" s="716"/>
      <c r="AM805" s="716"/>
      <c r="AN805" s="716"/>
      <c r="AO805" s="716"/>
      <c r="AP805" s="716"/>
      <c r="AQ805" s="716"/>
      <c r="AR805" s="716"/>
    </row>
    <row r="806">
      <c r="A806" s="716"/>
      <c r="B806" s="530"/>
      <c r="C806" s="530"/>
      <c r="D806" s="530"/>
      <c r="E806" s="530"/>
      <c r="F806" s="530"/>
      <c r="G806" s="530"/>
      <c r="H806" s="530"/>
      <c r="I806" s="530"/>
      <c r="J806" s="530"/>
      <c r="K806" s="530"/>
      <c r="L806" s="530"/>
      <c r="M806" s="530"/>
      <c r="N806" s="530"/>
      <c r="O806" s="530"/>
      <c r="P806" s="530"/>
      <c r="Q806" s="530"/>
      <c r="R806" s="530"/>
      <c r="S806" s="530"/>
      <c r="T806" s="530"/>
      <c r="U806" s="530"/>
      <c r="V806" s="530"/>
      <c r="W806" s="530"/>
      <c r="X806" s="733"/>
      <c r="Y806" s="716"/>
      <c r="Z806" s="716"/>
      <c r="AA806" s="716"/>
      <c r="AB806" s="716"/>
      <c r="AC806" s="716"/>
      <c r="AD806" s="716"/>
      <c r="AE806" s="716"/>
      <c r="AF806" s="716"/>
      <c r="AG806" s="716"/>
      <c r="AH806" s="716"/>
      <c r="AI806" s="716"/>
      <c r="AJ806" s="716"/>
      <c r="AK806" s="716"/>
      <c r="AL806" s="716"/>
      <c r="AM806" s="716"/>
      <c r="AN806" s="716"/>
      <c r="AO806" s="716"/>
      <c r="AP806" s="716"/>
      <c r="AQ806" s="716"/>
      <c r="AR806" s="716"/>
    </row>
    <row r="807">
      <c r="A807" s="716"/>
      <c r="B807" s="530"/>
      <c r="C807" s="530"/>
      <c r="D807" s="530"/>
      <c r="E807" s="530"/>
      <c r="F807" s="530"/>
      <c r="G807" s="530"/>
      <c r="H807" s="530"/>
      <c r="I807" s="530"/>
      <c r="J807" s="530"/>
      <c r="K807" s="530"/>
      <c r="L807" s="530"/>
      <c r="M807" s="530"/>
      <c r="N807" s="530"/>
      <c r="O807" s="530"/>
      <c r="P807" s="530"/>
      <c r="Q807" s="530"/>
      <c r="R807" s="530"/>
      <c r="S807" s="530"/>
      <c r="T807" s="530"/>
      <c r="U807" s="530"/>
      <c r="V807" s="530"/>
      <c r="W807" s="530"/>
      <c r="X807" s="733"/>
      <c r="Y807" s="716"/>
      <c r="Z807" s="716"/>
      <c r="AA807" s="716"/>
      <c r="AB807" s="716"/>
      <c r="AC807" s="716"/>
      <c r="AD807" s="716"/>
      <c r="AE807" s="716"/>
      <c r="AF807" s="716"/>
      <c r="AG807" s="716"/>
      <c r="AH807" s="716"/>
      <c r="AI807" s="716"/>
      <c r="AJ807" s="716"/>
      <c r="AK807" s="716"/>
      <c r="AL807" s="716"/>
      <c r="AM807" s="716"/>
      <c r="AN807" s="716"/>
      <c r="AO807" s="716"/>
      <c r="AP807" s="716"/>
      <c r="AQ807" s="716"/>
      <c r="AR807" s="716"/>
    </row>
    <row r="808">
      <c r="A808" s="716"/>
      <c r="B808" s="530"/>
      <c r="C808" s="530"/>
      <c r="D808" s="530"/>
      <c r="E808" s="530"/>
      <c r="F808" s="530"/>
      <c r="G808" s="530"/>
      <c r="H808" s="530"/>
      <c r="I808" s="530"/>
      <c r="J808" s="530"/>
      <c r="K808" s="530"/>
      <c r="L808" s="530"/>
      <c r="M808" s="530"/>
      <c r="N808" s="530"/>
      <c r="O808" s="530"/>
      <c r="P808" s="530"/>
      <c r="Q808" s="530"/>
      <c r="R808" s="530"/>
      <c r="S808" s="530"/>
      <c r="T808" s="530"/>
      <c r="U808" s="530"/>
      <c r="V808" s="530"/>
      <c r="W808" s="530"/>
      <c r="X808" s="733"/>
      <c r="Y808" s="716"/>
      <c r="Z808" s="716"/>
      <c r="AA808" s="716"/>
      <c r="AB808" s="716"/>
      <c r="AC808" s="716"/>
      <c r="AD808" s="716"/>
      <c r="AE808" s="716"/>
      <c r="AF808" s="716"/>
      <c r="AG808" s="716"/>
      <c r="AH808" s="716"/>
      <c r="AI808" s="716"/>
      <c r="AJ808" s="716"/>
      <c r="AK808" s="716"/>
      <c r="AL808" s="716"/>
      <c r="AM808" s="716"/>
      <c r="AN808" s="716"/>
      <c r="AO808" s="716"/>
      <c r="AP808" s="716"/>
      <c r="AQ808" s="716"/>
      <c r="AR808" s="716"/>
    </row>
    <row r="809">
      <c r="A809" s="716"/>
      <c r="B809" s="530"/>
      <c r="C809" s="530"/>
      <c r="D809" s="530"/>
      <c r="E809" s="530"/>
      <c r="F809" s="530"/>
      <c r="G809" s="530"/>
      <c r="H809" s="530"/>
      <c r="I809" s="530"/>
      <c r="J809" s="530"/>
      <c r="K809" s="530"/>
      <c r="L809" s="530"/>
      <c r="M809" s="530"/>
      <c r="N809" s="530"/>
      <c r="O809" s="530"/>
      <c r="P809" s="530"/>
      <c r="Q809" s="530"/>
      <c r="R809" s="530"/>
      <c r="S809" s="530"/>
      <c r="T809" s="530"/>
      <c r="U809" s="530"/>
      <c r="V809" s="530"/>
      <c r="W809" s="530"/>
      <c r="X809" s="733"/>
      <c r="Y809" s="716"/>
      <c r="Z809" s="716"/>
      <c r="AA809" s="716"/>
      <c r="AB809" s="716"/>
      <c r="AC809" s="716"/>
      <c r="AD809" s="716"/>
      <c r="AE809" s="716"/>
      <c r="AF809" s="716"/>
      <c r="AG809" s="716"/>
      <c r="AH809" s="716"/>
      <c r="AI809" s="716"/>
      <c r="AJ809" s="716"/>
      <c r="AK809" s="716"/>
      <c r="AL809" s="716"/>
      <c r="AM809" s="716"/>
      <c r="AN809" s="716"/>
      <c r="AO809" s="716"/>
      <c r="AP809" s="716"/>
      <c r="AQ809" s="716"/>
      <c r="AR809" s="716"/>
    </row>
    <row r="810">
      <c r="A810" s="716"/>
      <c r="B810" s="530"/>
      <c r="C810" s="530"/>
      <c r="D810" s="530"/>
      <c r="E810" s="530"/>
      <c r="F810" s="530"/>
      <c r="G810" s="530"/>
      <c r="H810" s="530"/>
      <c r="I810" s="530"/>
      <c r="J810" s="530"/>
      <c r="K810" s="530"/>
      <c r="L810" s="530"/>
      <c r="M810" s="530"/>
      <c r="N810" s="530"/>
      <c r="O810" s="530"/>
      <c r="P810" s="530"/>
      <c r="Q810" s="530"/>
      <c r="R810" s="530"/>
      <c r="S810" s="530"/>
      <c r="T810" s="530"/>
      <c r="U810" s="530"/>
      <c r="V810" s="530"/>
      <c r="W810" s="530"/>
      <c r="X810" s="733"/>
      <c r="Y810" s="716"/>
      <c r="Z810" s="716"/>
      <c r="AA810" s="716"/>
      <c r="AB810" s="716"/>
      <c r="AC810" s="716"/>
      <c r="AD810" s="716"/>
      <c r="AE810" s="716"/>
      <c r="AF810" s="716"/>
      <c r="AG810" s="716"/>
      <c r="AH810" s="716"/>
      <c r="AI810" s="716"/>
      <c r="AJ810" s="716"/>
      <c r="AK810" s="716"/>
      <c r="AL810" s="716"/>
      <c r="AM810" s="716"/>
      <c r="AN810" s="716"/>
      <c r="AO810" s="716"/>
      <c r="AP810" s="716"/>
      <c r="AQ810" s="716"/>
      <c r="AR810" s="716"/>
    </row>
    <row r="811">
      <c r="A811" s="716"/>
      <c r="B811" s="530"/>
      <c r="C811" s="530"/>
      <c r="D811" s="530"/>
      <c r="E811" s="530"/>
      <c r="F811" s="530"/>
      <c r="G811" s="530"/>
      <c r="H811" s="530"/>
      <c r="I811" s="530"/>
      <c r="J811" s="530"/>
      <c r="K811" s="530"/>
      <c r="L811" s="530"/>
      <c r="M811" s="530"/>
      <c r="N811" s="530"/>
      <c r="O811" s="530"/>
      <c r="P811" s="530"/>
      <c r="Q811" s="530"/>
      <c r="R811" s="530"/>
      <c r="S811" s="530"/>
      <c r="T811" s="530"/>
      <c r="U811" s="530"/>
      <c r="V811" s="530"/>
      <c r="W811" s="530"/>
      <c r="X811" s="733"/>
      <c r="Y811" s="716"/>
      <c r="Z811" s="716"/>
      <c r="AA811" s="716"/>
      <c r="AB811" s="716"/>
      <c r="AC811" s="716"/>
      <c r="AD811" s="716"/>
      <c r="AE811" s="716"/>
      <c r="AF811" s="716"/>
      <c r="AG811" s="716"/>
      <c r="AH811" s="716"/>
      <c r="AI811" s="716"/>
      <c r="AJ811" s="716"/>
      <c r="AK811" s="716"/>
      <c r="AL811" s="716"/>
      <c r="AM811" s="716"/>
      <c r="AN811" s="716"/>
      <c r="AO811" s="716"/>
      <c r="AP811" s="716"/>
      <c r="AQ811" s="716"/>
      <c r="AR811" s="716"/>
    </row>
    <row r="812">
      <c r="A812" s="716"/>
      <c r="B812" s="530"/>
      <c r="C812" s="530"/>
      <c r="D812" s="530"/>
      <c r="E812" s="530"/>
      <c r="F812" s="530"/>
      <c r="G812" s="530"/>
      <c r="H812" s="530"/>
      <c r="I812" s="530"/>
      <c r="J812" s="530"/>
      <c r="K812" s="530"/>
      <c r="L812" s="530"/>
      <c r="M812" s="530"/>
      <c r="N812" s="530"/>
      <c r="O812" s="530"/>
      <c r="P812" s="530"/>
      <c r="Q812" s="530"/>
      <c r="R812" s="530"/>
      <c r="S812" s="530"/>
      <c r="T812" s="530"/>
      <c r="U812" s="530"/>
      <c r="V812" s="530"/>
      <c r="W812" s="530"/>
      <c r="X812" s="733"/>
      <c r="Y812" s="716"/>
      <c r="Z812" s="716"/>
      <c r="AA812" s="716"/>
      <c r="AB812" s="716"/>
      <c r="AC812" s="716"/>
      <c r="AD812" s="716"/>
      <c r="AE812" s="716"/>
      <c r="AF812" s="716"/>
      <c r="AG812" s="716"/>
      <c r="AH812" s="716"/>
      <c r="AI812" s="716"/>
      <c r="AJ812" s="716"/>
      <c r="AK812" s="716"/>
      <c r="AL812" s="716"/>
      <c r="AM812" s="716"/>
      <c r="AN812" s="716"/>
      <c r="AO812" s="716"/>
      <c r="AP812" s="716"/>
      <c r="AQ812" s="716"/>
      <c r="AR812" s="716"/>
    </row>
    <row r="813">
      <c r="A813" s="716"/>
      <c r="B813" s="530"/>
      <c r="C813" s="530"/>
      <c r="D813" s="530"/>
      <c r="E813" s="530"/>
      <c r="F813" s="530"/>
      <c r="G813" s="530"/>
      <c r="H813" s="530"/>
      <c r="I813" s="530"/>
      <c r="J813" s="530"/>
      <c r="K813" s="530"/>
      <c r="L813" s="530"/>
      <c r="M813" s="530"/>
      <c r="N813" s="530"/>
      <c r="O813" s="530"/>
      <c r="P813" s="530"/>
      <c r="Q813" s="530"/>
      <c r="R813" s="530"/>
      <c r="S813" s="530"/>
      <c r="T813" s="530"/>
      <c r="U813" s="530"/>
      <c r="V813" s="530"/>
      <c r="W813" s="530"/>
      <c r="X813" s="733"/>
      <c r="Y813" s="716"/>
      <c r="Z813" s="716"/>
      <c r="AA813" s="716"/>
      <c r="AB813" s="716"/>
      <c r="AC813" s="716"/>
      <c r="AD813" s="716"/>
      <c r="AE813" s="716"/>
      <c r="AF813" s="716"/>
      <c r="AG813" s="716"/>
      <c r="AH813" s="716"/>
      <c r="AI813" s="716"/>
      <c r="AJ813" s="716"/>
      <c r="AK813" s="716"/>
      <c r="AL813" s="716"/>
      <c r="AM813" s="716"/>
      <c r="AN813" s="716"/>
      <c r="AO813" s="716"/>
      <c r="AP813" s="716"/>
      <c r="AQ813" s="716"/>
      <c r="AR813" s="716"/>
    </row>
    <row r="814">
      <c r="A814" s="716"/>
      <c r="B814" s="530"/>
      <c r="C814" s="530"/>
      <c r="D814" s="530"/>
      <c r="E814" s="530"/>
      <c r="F814" s="530"/>
      <c r="G814" s="530"/>
      <c r="H814" s="530"/>
      <c r="I814" s="530"/>
      <c r="J814" s="530"/>
      <c r="K814" s="530"/>
      <c r="L814" s="530"/>
      <c r="M814" s="530"/>
      <c r="N814" s="530"/>
      <c r="O814" s="530"/>
      <c r="P814" s="530"/>
      <c r="Q814" s="530"/>
      <c r="R814" s="530"/>
      <c r="S814" s="530"/>
      <c r="T814" s="530"/>
      <c r="U814" s="530"/>
      <c r="V814" s="530"/>
      <c r="W814" s="530"/>
      <c r="X814" s="733"/>
      <c r="Y814" s="716"/>
      <c r="Z814" s="716"/>
      <c r="AA814" s="716"/>
      <c r="AB814" s="716"/>
      <c r="AC814" s="716"/>
      <c r="AD814" s="716"/>
      <c r="AE814" s="716"/>
      <c r="AF814" s="716"/>
      <c r="AG814" s="716"/>
      <c r="AH814" s="716"/>
      <c r="AI814" s="716"/>
      <c r="AJ814" s="716"/>
      <c r="AK814" s="716"/>
      <c r="AL814" s="716"/>
      <c r="AM814" s="716"/>
      <c r="AN814" s="716"/>
      <c r="AO814" s="716"/>
      <c r="AP814" s="716"/>
      <c r="AQ814" s="716"/>
      <c r="AR814" s="716"/>
    </row>
    <row r="815">
      <c r="A815" s="716"/>
      <c r="B815" s="530"/>
      <c r="C815" s="530"/>
      <c r="D815" s="530"/>
      <c r="E815" s="530"/>
      <c r="F815" s="530"/>
      <c r="G815" s="530"/>
      <c r="H815" s="530"/>
      <c r="I815" s="530"/>
      <c r="J815" s="530"/>
      <c r="K815" s="530"/>
      <c r="L815" s="530"/>
      <c r="M815" s="530"/>
      <c r="N815" s="530"/>
      <c r="O815" s="530"/>
      <c r="P815" s="530"/>
      <c r="Q815" s="530"/>
      <c r="R815" s="530"/>
      <c r="S815" s="530"/>
      <c r="T815" s="530"/>
      <c r="U815" s="530"/>
      <c r="V815" s="530"/>
      <c r="W815" s="530"/>
      <c r="X815" s="733"/>
      <c r="Y815" s="716"/>
      <c r="Z815" s="716"/>
      <c r="AA815" s="716"/>
      <c r="AB815" s="716"/>
      <c r="AC815" s="716"/>
      <c r="AD815" s="716"/>
      <c r="AE815" s="716"/>
      <c r="AF815" s="716"/>
      <c r="AG815" s="716"/>
      <c r="AH815" s="716"/>
      <c r="AI815" s="716"/>
      <c r="AJ815" s="716"/>
      <c r="AK815" s="716"/>
      <c r="AL815" s="716"/>
      <c r="AM815" s="716"/>
      <c r="AN815" s="716"/>
      <c r="AO815" s="716"/>
      <c r="AP815" s="716"/>
      <c r="AQ815" s="716"/>
      <c r="AR815" s="716"/>
    </row>
    <row r="816">
      <c r="A816" s="716"/>
      <c r="B816" s="530"/>
      <c r="C816" s="530"/>
      <c r="D816" s="530"/>
      <c r="E816" s="530"/>
      <c r="F816" s="530"/>
      <c r="G816" s="530"/>
      <c r="H816" s="530"/>
      <c r="I816" s="530"/>
      <c r="J816" s="530"/>
      <c r="K816" s="530"/>
      <c r="L816" s="530"/>
      <c r="M816" s="530"/>
      <c r="N816" s="530"/>
      <c r="O816" s="530"/>
      <c r="P816" s="530"/>
      <c r="Q816" s="530"/>
      <c r="R816" s="530"/>
      <c r="S816" s="530"/>
      <c r="T816" s="530"/>
      <c r="U816" s="530"/>
      <c r="V816" s="530"/>
      <c r="W816" s="530"/>
      <c r="X816" s="733"/>
      <c r="Y816" s="716"/>
      <c r="Z816" s="716"/>
      <c r="AA816" s="716"/>
      <c r="AB816" s="716"/>
      <c r="AC816" s="716"/>
      <c r="AD816" s="716"/>
      <c r="AE816" s="716"/>
      <c r="AF816" s="716"/>
      <c r="AG816" s="716"/>
      <c r="AH816" s="716"/>
      <c r="AI816" s="716"/>
      <c r="AJ816" s="716"/>
      <c r="AK816" s="716"/>
      <c r="AL816" s="716"/>
      <c r="AM816" s="716"/>
      <c r="AN816" s="716"/>
      <c r="AO816" s="716"/>
      <c r="AP816" s="716"/>
      <c r="AQ816" s="716"/>
      <c r="AR816" s="716"/>
    </row>
    <row r="817">
      <c r="A817" s="716"/>
      <c r="B817" s="530"/>
      <c r="C817" s="530"/>
      <c r="D817" s="530"/>
      <c r="E817" s="530"/>
      <c r="F817" s="530"/>
      <c r="G817" s="530"/>
      <c r="H817" s="530"/>
      <c r="I817" s="530"/>
      <c r="J817" s="530"/>
      <c r="K817" s="530"/>
      <c r="L817" s="530"/>
      <c r="M817" s="530"/>
      <c r="N817" s="530"/>
      <c r="O817" s="530"/>
      <c r="P817" s="530"/>
      <c r="Q817" s="530"/>
      <c r="R817" s="530"/>
      <c r="S817" s="530"/>
      <c r="T817" s="530"/>
      <c r="U817" s="530"/>
      <c r="V817" s="530"/>
      <c r="W817" s="530"/>
      <c r="X817" s="733"/>
      <c r="Y817" s="716"/>
      <c r="Z817" s="716"/>
      <c r="AA817" s="716"/>
      <c r="AB817" s="716"/>
      <c r="AC817" s="716"/>
      <c r="AD817" s="716"/>
      <c r="AE817" s="716"/>
      <c r="AF817" s="716"/>
      <c r="AG817" s="716"/>
      <c r="AH817" s="716"/>
      <c r="AI817" s="716"/>
      <c r="AJ817" s="716"/>
      <c r="AK817" s="716"/>
      <c r="AL817" s="716"/>
      <c r="AM817" s="716"/>
      <c r="AN817" s="716"/>
      <c r="AO817" s="716"/>
      <c r="AP817" s="716"/>
      <c r="AQ817" s="716"/>
      <c r="AR817" s="716"/>
    </row>
    <row r="818">
      <c r="A818" s="716"/>
      <c r="B818" s="530"/>
      <c r="C818" s="530"/>
      <c r="D818" s="530"/>
      <c r="E818" s="530"/>
      <c r="F818" s="530"/>
      <c r="G818" s="530"/>
      <c r="H818" s="530"/>
      <c r="I818" s="530"/>
      <c r="J818" s="530"/>
      <c r="K818" s="530"/>
      <c r="L818" s="530"/>
      <c r="M818" s="530"/>
      <c r="N818" s="530"/>
      <c r="O818" s="530"/>
      <c r="P818" s="530"/>
      <c r="Q818" s="530"/>
      <c r="R818" s="530"/>
      <c r="S818" s="530"/>
      <c r="T818" s="530"/>
      <c r="U818" s="530"/>
      <c r="V818" s="530"/>
      <c r="W818" s="530"/>
      <c r="X818" s="733"/>
      <c r="Y818" s="716"/>
      <c r="Z818" s="716"/>
      <c r="AA818" s="716"/>
      <c r="AB818" s="716"/>
      <c r="AC818" s="716"/>
      <c r="AD818" s="716"/>
      <c r="AE818" s="716"/>
      <c r="AF818" s="716"/>
      <c r="AG818" s="716"/>
      <c r="AH818" s="716"/>
      <c r="AI818" s="716"/>
      <c r="AJ818" s="716"/>
      <c r="AK818" s="716"/>
      <c r="AL818" s="716"/>
      <c r="AM818" s="716"/>
      <c r="AN818" s="716"/>
      <c r="AO818" s="716"/>
      <c r="AP818" s="716"/>
      <c r="AQ818" s="716"/>
      <c r="AR818" s="716"/>
    </row>
    <row r="819">
      <c r="A819" s="716"/>
      <c r="B819" s="530"/>
      <c r="C819" s="530"/>
      <c r="D819" s="530"/>
      <c r="E819" s="530"/>
      <c r="F819" s="530"/>
      <c r="G819" s="530"/>
      <c r="H819" s="530"/>
      <c r="I819" s="530"/>
      <c r="J819" s="530"/>
      <c r="K819" s="530"/>
      <c r="L819" s="530"/>
      <c r="M819" s="530"/>
      <c r="N819" s="530"/>
      <c r="O819" s="530"/>
      <c r="P819" s="530"/>
      <c r="Q819" s="530"/>
      <c r="R819" s="530"/>
      <c r="S819" s="530"/>
      <c r="T819" s="530"/>
      <c r="U819" s="530"/>
      <c r="V819" s="530"/>
      <c r="W819" s="530"/>
      <c r="X819" s="733"/>
      <c r="Y819" s="716"/>
      <c r="Z819" s="716"/>
      <c r="AA819" s="716"/>
      <c r="AB819" s="716"/>
      <c r="AC819" s="716"/>
      <c r="AD819" s="716"/>
      <c r="AE819" s="716"/>
      <c r="AF819" s="716"/>
      <c r="AG819" s="716"/>
      <c r="AH819" s="716"/>
      <c r="AI819" s="716"/>
      <c r="AJ819" s="716"/>
      <c r="AK819" s="716"/>
      <c r="AL819" s="716"/>
      <c r="AM819" s="716"/>
      <c r="AN819" s="716"/>
      <c r="AO819" s="716"/>
      <c r="AP819" s="716"/>
      <c r="AQ819" s="716"/>
      <c r="AR819" s="716"/>
    </row>
    <row r="820">
      <c r="A820" s="716"/>
      <c r="B820" s="530"/>
      <c r="C820" s="530"/>
      <c r="D820" s="530"/>
      <c r="E820" s="530"/>
      <c r="F820" s="530"/>
      <c r="G820" s="530"/>
      <c r="H820" s="530"/>
      <c r="I820" s="530"/>
      <c r="J820" s="530"/>
      <c r="K820" s="530"/>
      <c r="L820" s="530"/>
      <c r="M820" s="530"/>
      <c r="N820" s="530"/>
      <c r="O820" s="530"/>
      <c r="P820" s="530"/>
      <c r="Q820" s="530"/>
      <c r="R820" s="530"/>
      <c r="S820" s="530"/>
      <c r="T820" s="530"/>
      <c r="U820" s="530"/>
      <c r="V820" s="530"/>
      <c r="W820" s="530"/>
      <c r="X820" s="733"/>
      <c r="Y820" s="716"/>
      <c r="Z820" s="716"/>
      <c r="AA820" s="716"/>
      <c r="AB820" s="716"/>
      <c r="AC820" s="716"/>
      <c r="AD820" s="716"/>
      <c r="AE820" s="716"/>
      <c r="AF820" s="716"/>
      <c r="AG820" s="716"/>
      <c r="AH820" s="716"/>
      <c r="AI820" s="716"/>
      <c r="AJ820" s="716"/>
      <c r="AK820" s="716"/>
      <c r="AL820" s="716"/>
      <c r="AM820" s="716"/>
      <c r="AN820" s="716"/>
      <c r="AO820" s="716"/>
      <c r="AP820" s="716"/>
      <c r="AQ820" s="716"/>
      <c r="AR820" s="716"/>
    </row>
    <row r="821">
      <c r="A821" s="716"/>
      <c r="B821" s="530"/>
      <c r="C821" s="530"/>
      <c r="D821" s="530"/>
      <c r="E821" s="530"/>
      <c r="F821" s="530"/>
      <c r="G821" s="530"/>
      <c r="H821" s="530"/>
      <c r="I821" s="530"/>
      <c r="J821" s="530"/>
      <c r="K821" s="530"/>
      <c r="L821" s="530"/>
      <c r="M821" s="530"/>
      <c r="N821" s="530"/>
      <c r="O821" s="530"/>
      <c r="P821" s="530"/>
      <c r="Q821" s="530"/>
      <c r="R821" s="530"/>
      <c r="S821" s="530"/>
      <c r="T821" s="530"/>
      <c r="U821" s="530"/>
      <c r="V821" s="530"/>
      <c r="W821" s="530"/>
      <c r="X821" s="733"/>
      <c r="Y821" s="716"/>
      <c r="Z821" s="716"/>
      <c r="AA821" s="716"/>
      <c r="AB821" s="716"/>
      <c r="AC821" s="716"/>
      <c r="AD821" s="716"/>
      <c r="AE821" s="716"/>
      <c r="AF821" s="716"/>
      <c r="AG821" s="716"/>
      <c r="AH821" s="716"/>
      <c r="AI821" s="716"/>
      <c r="AJ821" s="716"/>
      <c r="AK821" s="716"/>
      <c r="AL821" s="716"/>
      <c r="AM821" s="716"/>
      <c r="AN821" s="716"/>
      <c r="AO821" s="716"/>
      <c r="AP821" s="716"/>
      <c r="AQ821" s="716"/>
      <c r="AR821" s="716"/>
    </row>
    <row r="822">
      <c r="A822" s="716"/>
      <c r="B822" s="530"/>
      <c r="C822" s="530"/>
      <c r="D822" s="530"/>
      <c r="E822" s="530"/>
      <c r="F822" s="530"/>
      <c r="G822" s="530"/>
      <c r="H822" s="530"/>
      <c r="I822" s="530"/>
      <c r="J822" s="530"/>
      <c r="K822" s="530"/>
      <c r="L822" s="530"/>
      <c r="M822" s="530"/>
      <c r="N822" s="530"/>
      <c r="O822" s="530"/>
      <c r="P822" s="530"/>
      <c r="Q822" s="530"/>
      <c r="R822" s="530"/>
      <c r="S822" s="530"/>
      <c r="T822" s="530"/>
      <c r="U822" s="530"/>
      <c r="V822" s="530"/>
      <c r="W822" s="530"/>
      <c r="X822" s="733"/>
      <c r="Y822" s="716"/>
      <c r="Z822" s="716"/>
      <c r="AA822" s="716"/>
      <c r="AB822" s="716"/>
      <c r="AC822" s="716"/>
      <c r="AD822" s="716"/>
      <c r="AE822" s="716"/>
      <c r="AF822" s="716"/>
      <c r="AG822" s="716"/>
      <c r="AH822" s="716"/>
      <c r="AI822" s="716"/>
      <c r="AJ822" s="716"/>
      <c r="AK822" s="716"/>
      <c r="AL822" s="716"/>
      <c r="AM822" s="716"/>
      <c r="AN822" s="716"/>
      <c r="AO822" s="716"/>
      <c r="AP822" s="716"/>
      <c r="AQ822" s="716"/>
      <c r="AR822" s="716"/>
    </row>
    <row r="823">
      <c r="A823" s="716"/>
      <c r="B823" s="530"/>
      <c r="C823" s="530"/>
      <c r="D823" s="530"/>
      <c r="E823" s="530"/>
      <c r="F823" s="530"/>
      <c r="G823" s="530"/>
      <c r="H823" s="530"/>
      <c r="I823" s="530"/>
      <c r="J823" s="530"/>
      <c r="K823" s="530"/>
      <c r="L823" s="530"/>
      <c r="M823" s="530"/>
      <c r="N823" s="530"/>
      <c r="O823" s="530"/>
      <c r="P823" s="530"/>
      <c r="Q823" s="530"/>
      <c r="R823" s="530"/>
      <c r="S823" s="530"/>
      <c r="T823" s="530"/>
      <c r="U823" s="530"/>
      <c r="V823" s="530"/>
      <c r="W823" s="530"/>
      <c r="X823" s="733"/>
      <c r="Y823" s="716"/>
      <c r="Z823" s="716"/>
      <c r="AA823" s="716"/>
      <c r="AB823" s="716"/>
      <c r="AC823" s="716"/>
      <c r="AD823" s="716"/>
      <c r="AE823" s="716"/>
      <c r="AF823" s="716"/>
      <c r="AG823" s="716"/>
      <c r="AH823" s="716"/>
      <c r="AI823" s="716"/>
      <c r="AJ823" s="716"/>
      <c r="AK823" s="716"/>
      <c r="AL823" s="716"/>
      <c r="AM823" s="716"/>
      <c r="AN823" s="716"/>
      <c r="AO823" s="716"/>
      <c r="AP823" s="716"/>
      <c r="AQ823" s="716"/>
      <c r="AR823" s="716"/>
    </row>
    <row r="824">
      <c r="A824" s="716"/>
      <c r="B824" s="530"/>
      <c r="C824" s="530"/>
      <c r="D824" s="530"/>
      <c r="E824" s="530"/>
      <c r="F824" s="530"/>
      <c r="G824" s="530"/>
      <c r="H824" s="530"/>
      <c r="I824" s="530"/>
      <c r="J824" s="530"/>
      <c r="K824" s="530"/>
      <c r="L824" s="530"/>
      <c r="M824" s="530"/>
      <c r="N824" s="530"/>
      <c r="O824" s="530"/>
      <c r="P824" s="530"/>
      <c r="Q824" s="530"/>
      <c r="R824" s="530"/>
      <c r="S824" s="530"/>
      <c r="T824" s="530"/>
      <c r="U824" s="530"/>
      <c r="V824" s="530"/>
      <c r="W824" s="530"/>
      <c r="X824" s="733"/>
      <c r="Y824" s="716"/>
      <c r="Z824" s="716"/>
      <c r="AA824" s="716"/>
      <c r="AB824" s="716"/>
      <c r="AC824" s="716"/>
      <c r="AD824" s="716"/>
      <c r="AE824" s="716"/>
      <c r="AF824" s="716"/>
      <c r="AG824" s="716"/>
      <c r="AH824" s="716"/>
      <c r="AI824" s="716"/>
      <c r="AJ824" s="716"/>
      <c r="AK824" s="716"/>
      <c r="AL824" s="716"/>
      <c r="AM824" s="716"/>
      <c r="AN824" s="716"/>
      <c r="AO824" s="716"/>
      <c r="AP824" s="716"/>
      <c r="AQ824" s="716"/>
      <c r="AR824" s="716"/>
    </row>
    <row r="825">
      <c r="A825" s="716"/>
      <c r="B825" s="530"/>
      <c r="C825" s="530"/>
      <c r="D825" s="530"/>
      <c r="E825" s="530"/>
      <c r="F825" s="530"/>
      <c r="G825" s="530"/>
      <c r="H825" s="530"/>
      <c r="I825" s="530"/>
      <c r="J825" s="530"/>
      <c r="K825" s="530"/>
      <c r="L825" s="530"/>
      <c r="M825" s="530"/>
      <c r="N825" s="530"/>
      <c r="O825" s="530"/>
      <c r="P825" s="530"/>
      <c r="Q825" s="530"/>
      <c r="R825" s="530"/>
      <c r="S825" s="530"/>
      <c r="T825" s="530"/>
      <c r="U825" s="530"/>
      <c r="V825" s="530"/>
      <c r="W825" s="530"/>
      <c r="X825" s="733"/>
      <c r="Y825" s="716"/>
      <c r="Z825" s="716"/>
      <c r="AA825" s="716"/>
      <c r="AB825" s="716"/>
      <c r="AC825" s="716"/>
      <c r="AD825" s="716"/>
      <c r="AE825" s="716"/>
      <c r="AF825" s="716"/>
      <c r="AG825" s="716"/>
      <c r="AH825" s="716"/>
      <c r="AI825" s="716"/>
      <c r="AJ825" s="716"/>
      <c r="AK825" s="716"/>
      <c r="AL825" s="716"/>
      <c r="AM825" s="716"/>
      <c r="AN825" s="716"/>
      <c r="AO825" s="716"/>
      <c r="AP825" s="716"/>
      <c r="AQ825" s="716"/>
      <c r="AR825" s="716"/>
    </row>
    <row r="826">
      <c r="A826" s="716"/>
      <c r="B826" s="530"/>
      <c r="C826" s="530"/>
      <c r="D826" s="530"/>
      <c r="E826" s="530"/>
      <c r="F826" s="530"/>
      <c r="G826" s="530"/>
      <c r="H826" s="530"/>
      <c r="I826" s="530"/>
      <c r="J826" s="530"/>
      <c r="K826" s="530"/>
      <c r="L826" s="530"/>
      <c r="M826" s="530"/>
      <c r="N826" s="530"/>
      <c r="O826" s="530"/>
      <c r="P826" s="530"/>
      <c r="Q826" s="530"/>
      <c r="R826" s="530"/>
      <c r="S826" s="530"/>
      <c r="T826" s="530"/>
      <c r="U826" s="530"/>
      <c r="V826" s="530"/>
      <c r="W826" s="530"/>
      <c r="X826" s="733"/>
      <c r="Y826" s="716"/>
      <c r="Z826" s="716"/>
      <c r="AA826" s="716"/>
      <c r="AB826" s="716"/>
      <c r="AC826" s="716"/>
      <c r="AD826" s="716"/>
      <c r="AE826" s="716"/>
      <c r="AF826" s="716"/>
      <c r="AG826" s="716"/>
      <c r="AH826" s="716"/>
      <c r="AI826" s="716"/>
      <c r="AJ826" s="716"/>
      <c r="AK826" s="716"/>
      <c r="AL826" s="716"/>
      <c r="AM826" s="716"/>
      <c r="AN826" s="716"/>
      <c r="AO826" s="716"/>
      <c r="AP826" s="716"/>
      <c r="AQ826" s="716"/>
      <c r="AR826" s="716"/>
    </row>
    <row r="827">
      <c r="A827" s="716"/>
      <c r="B827" s="530"/>
      <c r="C827" s="530"/>
      <c r="D827" s="530"/>
      <c r="E827" s="530"/>
      <c r="F827" s="530"/>
      <c r="G827" s="530"/>
      <c r="H827" s="530"/>
      <c r="I827" s="530"/>
      <c r="J827" s="530"/>
      <c r="K827" s="530"/>
      <c r="L827" s="530"/>
      <c r="M827" s="530"/>
      <c r="N827" s="530"/>
      <c r="O827" s="530"/>
      <c r="P827" s="530"/>
      <c r="Q827" s="530"/>
      <c r="R827" s="530"/>
      <c r="S827" s="530"/>
      <c r="T827" s="530"/>
      <c r="U827" s="530"/>
      <c r="V827" s="530"/>
      <c r="W827" s="530"/>
      <c r="X827" s="733"/>
      <c r="Y827" s="716"/>
      <c r="Z827" s="716"/>
      <c r="AA827" s="716"/>
      <c r="AB827" s="716"/>
      <c r="AC827" s="716"/>
      <c r="AD827" s="716"/>
      <c r="AE827" s="716"/>
      <c r="AF827" s="716"/>
      <c r="AG827" s="716"/>
      <c r="AH827" s="716"/>
      <c r="AI827" s="716"/>
      <c r="AJ827" s="716"/>
      <c r="AK827" s="716"/>
      <c r="AL827" s="716"/>
      <c r="AM827" s="716"/>
      <c r="AN827" s="716"/>
      <c r="AO827" s="716"/>
      <c r="AP827" s="716"/>
      <c r="AQ827" s="716"/>
      <c r="AR827" s="716"/>
    </row>
    <row r="828">
      <c r="A828" s="716"/>
      <c r="B828" s="530"/>
      <c r="C828" s="530"/>
      <c r="D828" s="530"/>
      <c r="E828" s="530"/>
      <c r="F828" s="530"/>
      <c r="G828" s="530"/>
      <c r="H828" s="530"/>
      <c r="I828" s="530"/>
      <c r="J828" s="530"/>
      <c r="K828" s="530"/>
      <c r="L828" s="530"/>
      <c r="M828" s="530"/>
      <c r="N828" s="530"/>
      <c r="O828" s="530"/>
      <c r="P828" s="530"/>
      <c r="Q828" s="530"/>
      <c r="R828" s="530"/>
      <c r="S828" s="530"/>
      <c r="T828" s="530"/>
      <c r="U828" s="530"/>
      <c r="V828" s="530"/>
      <c r="W828" s="530"/>
      <c r="X828" s="733"/>
      <c r="Y828" s="716"/>
      <c r="Z828" s="716"/>
      <c r="AA828" s="716"/>
      <c r="AB828" s="716"/>
      <c r="AC828" s="716"/>
      <c r="AD828" s="716"/>
      <c r="AE828" s="716"/>
      <c r="AF828" s="716"/>
      <c r="AG828" s="716"/>
      <c r="AH828" s="716"/>
      <c r="AI828" s="716"/>
      <c r="AJ828" s="716"/>
      <c r="AK828" s="716"/>
      <c r="AL828" s="716"/>
      <c r="AM828" s="716"/>
      <c r="AN828" s="716"/>
      <c r="AO828" s="716"/>
      <c r="AP828" s="716"/>
      <c r="AQ828" s="716"/>
      <c r="AR828" s="716"/>
    </row>
    <row r="829">
      <c r="A829" s="716"/>
      <c r="B829" s="530"/>
      <c r="C829" s="530"/>
      <c r="D829" s="530"/>
      <c r="E829" s="530"/>
      <c r="F829" s="530"/>
      <c r="G829" s="530"/>
      <c r="H829" s="530"/>
      <c r="I829" s="530"/>
      <c r="J829" s="530"/>
      <c r="K829" s="530"/>
      <c r="L829" s="530"/>
      <c r="M829" s="530"/>
      <c r="N829" s="530"/>
      <c r="O829" s="530"/>
      <c r="P829" s="530"/>
      <c r="Q829" s="530"/>
      <c r="R829" s="530"/>
      <c r="S829" s="530"/>
      <c r="T829" s="530"/>
      <c r="U829" s="530"/>
      <c r="V829" s="530"/>
      <c r="W829" s="530"/>
      <c r="X829" s="733"/>
      <c r="Y829" s="716"/>
      <c r="Z829" s="716"/>
      <c r="AA829" s="716"/>
      <c r="AB829" s="716"/>
      <c r="AC829" s="716"/>
      <c r="AD829" s="716"/>
      <c r="AE829" s="716"/>
      <c r="AF829" s="716"/>
      <c r="AG829" s="716"/>
      <c r="AH829" s="716"/>
      <c r="AI829" s="716"/>
      <c r="AJ829" s="716"/>
      <c r="AK829" s="716"/>
      <c r="AL829" s="716"/>
      <c r="AM829" s="716"/>
      <c r="AN829" s="716"/>
      <c r="AO829" s="716"/>
      <c r="AP829" s="716"/>
      <c r="AQ829" s="716"/>
      <c r="AR829" s="716"/>
    </row>
    <row r="830">
      <c r="A830" s="716"/>
      <c r="B830" s="530"/>
      <c r="C830" s="530"/>
      <c r="D830" s="530"/>
      <c r="E830" s="530"/>
      <c r="F830" s="530"/>
      <c r="G830" s="530"/>
      <c r="H830" s="530"/>
      <c r="I830" s="530"/>
      <c r="J830" s="530"/>
      <c r="K830" s="530"/>
      <c r="L830" s="530"/>
      <c r="M830" s="530"/>
      <c r="N830" s="530"/>
      <c r="O830" s="530"/>
      <c r="P830" s="530"/>
      <c r="Q830" s="530"/>
      <c r="R830" s="530"/>
      <c r="S830" s="530"/>
      <c r="T830" s="530"/>
      <c r="U830" s="530"/>
      <c r="V830" s="530"/>
      <c r="W830" s="530"/>
      <c r="X830" s="733"/>
      <c r="Y830" s="716"/>
      <c r="Z830" s="716"/>
      <c r="AA830" s="716"/>
      <c r="AB830" s="716"/>
      <c r="AC830" s="716"/>
      <c r="AD830" s="716"/>
      <c r="AE830" s="716"/>
      <c r="AF830" s="716"/>
      <c r="AG830" s="716"/>
      <c r="AH830" s="716"/>
      <c r="AI830" s="716"/>
      <c r="AJ830" s="716"/>
      <c r="AK830" s="716"/>
      <c r="AL830" s="716"/>
      <c r="AM830" s="716"/>
      <c r="AN830" s="716"/>
      <c r="AO830" s="716"/>
      <c r="AP830" s="716"/>
      <c r="AQ830" s="716"/>
      <c r="AR830" s="716"/>
    </row>
    <row r="831">
      <c r="A831" s="716"/>
      <c r="B831" s="530"/>
      <c r="C831" s="530"/>
      <c r="D831" s="530"/>
      <c r="E831" s="530"/>
      <c r="F831" s="530"/>
      <c r="G831" s="530"/>
      <c r="H831" s="530"/>
      <c r="I831" s="530"/>
      <c r="J831" s="530"/>
      <c r="K831" s="530"/>
      <c r="L831" s="530"/>
      <c r="M831" s="530"/>
      <c r="N831" s="530"/>
      <c r="O831" s="530"/>
      <c r="P831" s="530"/>
      <c r="Q831" s="530"/>
      <c r="R831" s="530"/>
      <c r="S831" s="530"/>
      <c r="T831" s="530"/>
      <c r="U831" s="530"/>
      <c r="V831" s="530"/>
      <c r="W831" s="530"/>
      <c r="X831" s="733"/>
      <c r="Y831" s="716"/>
      <c r="Z831" s="716"/>
      <c r="AA831" s="716"/>
      <c r="AB831" s="716"/>
      <c r="AC831" s="716"/>
      <c r="AD831" s="716"/>
      <c r="AE831" s="716"/>
      <c r="AF831" s="716"/>
      <c r="AG831" s="716"/>
      <c r="AH831" s="716"/>
      <c r="AI831" s="716"/>
      <c r="AJ831" s="716"/>
      <c r="AK831" s="716"/>
      <c r="AL831" s="716"/>
      <c r="AM831" s="716"/>
      <c r="AN831" s="716"/>
      <c r="AO831" s="716"/>
      <c r="AP831" s="716"/>
      <c r="AQ831" s="716"/>
      <c r="AR831" s="716"/>
    </row>
    <row r="832">
      <c r="A832" s="716"/>
      <c r="B832" s="530"/>
      <c r="C832" s="530"/>
      <c r="D832" s="530"/>
      <c r="E832" s="530"/>
      <c r="F832" s="530"/>
      <c r="G832" s="530"/>
      <c r="H832" s="530"/>
      <c r="I832" s="530"/>
      <c r="J832" s="530"/>
      <c r="K832" s="530"/>
      <c r="L832" s="530"/>
      <c r="M832" s="530"/>
      <c r="N832" s="530"/>
      <c r="O832" s="530"/>
      <c r="P832" s="530"/>
      <c r="Q832" s="530"/>
      <c r="R832" s="530"/>
      <c r="S832" s="530"/>
      <c r="T832" s="530"/>
      <c r="U832" s="530"/>
      <c r="V832" s="530"/>
      <c r="W832" s="530"/>
      <c r="X832" s="733"/>
      <c r="Y832" s="716"/>
      <c r="Z832" s="716"/>
      <c r="AA832" s="716"/>
      <c r="AB832" s="716"/>
      <c r="AC832" s="716"/>
      <c r="AD832" s="716"/>
      <c r="AE832" s="716"/>
      <c r="AF832" s="716"/>
      <c r="AG832" s="716"/>
      <c r="AH832" s="716"/>
      <c r="AI832" s="716"/>
      <c r="AJ832" s="716"/>
      <c r="AK832" s="716"/>
      <c r="AL832" s="716"/>
      <c r="AM832" s="716"/>
      <c r="AN832" s="716"/>
      <c r="AO832" s="716"/>
      <c r="AP832" s="716"/>
      <c r="AQ832" s="716"/>
      <c r="AR832" s="716"/>
    </row>
    <row r="833">
      <c r="A833" s="716"/>
      <c r="B833" s="530"/>
      <c r="C833" s="530"/>
      <c r="D833" s="530"/>
      <c r="E833" s="530"/>
      <c r="F833" s="530"/>
      <c r="G833" s="530"/>
      <c r="H833" s="530"/>
      <c r="I833" s="530"/>
      <c r="J833" s="530"/>
      <c r="K833" s="530"/>
      <c r="L833" s="530"/>
      <c r="M833" s="530"/>
      <c r="N833" s="530"/>
      <c r="O833" s="530"/>
      <c r="P833" s="530"/>
      <c r="Q833" s="530"/>
      <c r="R833" s="530"/>
      <c r="S833" s="530"/>
      <c r="T833" s="530"/>
      <c r="U833" s="530"/>
      <c r="V833" s="530"/>
      <c r="W833" s="530"/>
      <c r="X833" s="733"/>
      <c r="Y833" s="716"/>
      <c r="Z833" s="716"/>
      <c r="AA833" s="716"/>
      <c r="AB833" s="716"/>
      <c r="AC833" s="716"/>
      <c r="AD833" s="716"/>
      <c r="AE833" s="716"/>
      <c r="AF833" s="716"/>
      <c r="AG833" s="716"/>
      <c r="AH833" s="716"/>
      <c r="AI833" s="716"/>
      <c r="AJ833" s="716"/>
      <c r="AK833" s="716"/>
      <c r="AL833" s="716"/>
      <c r="AM833" s="716"/>
      <c r="AN833" s="716"/>
      <c r="AO833" s="716"/>
      <c r="AP833" s="716"/>
      <c r="AQ833" s="716"/>
      <c r="AR833" s="716"/>
    </row>
    <row r="834">
      <c r="A834" s="716"/>
      <c r="B834" s="530"/>
      <c r="C834" s="530"/>
      <c r="D834" s="530"/>
      <c r="E834" s="530"/>
      <c r="F834" s="530"/>
      <c r="G834" s="530"/>
      <c r="H834" s="530"/>
      <c r="I834" s="530"/>
      <c r="J834" s="530"/>
      <c r="K834" s="530"/>
      <c r="L834" s="530"/>
      <c r="M834" s="530"/>
      <c r="N834" s="530"/>
      <c r="O834" s="530"/>
      <c r="P834" s="530"/>
      <c r="Q834" s="530"/>
      <c r="R834" s="530"/>
      <c r="S834" s="530"/>
      <c r="T834" s="530"/>
      <c r="U834" s="530"/>
      <c r="V834" s="530"/>
      <c r="W834" s="530"/>
      <c r="X834" s="733"/>
      <c r="Y834" s="716"/>
      <c r="Z834" s="716"/>
      <c r="AA834" s="716"/>
      <c r="AB834" s="716"/>
      <c r="AC834" s="716"/>
      <c r="AD834" s="716"/>
      <c r="AE834" s="716"/>
      <c r="AF834" s="716"/>
      <c r="AG834" s="716"/>
      <c r="AH834" s="716"/>
      <c r="AI834" s="716"/>
      <c r="AJ834" s="716"/>
      <c r="AK834" s="716"/>
      <c r="AL834" s="716"/>
      <c r="AM834" s="716"/>
      <c r="AN834" s="716"/>
      <c r="AO834" s="716"/>
      <c r="AP834" s="716"/>
      <c r="AQ834" s="716"/>
      <c r="AR834" s="716"/>
    </row>
    <row r="835">
      <c r="A835" s="716"/>
      <c r="B835" s="530"/>
      <c r="C835" s="530"/>
      <c r="D835" s="530"/>
      <c r="E835" s="530"/>
      <c r="F835" s="530"/>
      <c r="G835" s="530"/>
      <c r="H835" s="530"/>
      <c r="I835" s="530"/>
      <c r="J835" s="530"/>
      <c r="K835" s="530"/>
      <c r="L835" s="530"/>
      <c r="M835" s="530"/>
      <c r="N835" s="530"/>
      <c r="O835" s="530"/>
      <c r="P835" s="530"/>
      <c r="Q835" s="530"/>
      <c r="R835" s="530"/>
      <c r="S835" s="530"/>
      <c r="T835" s="530"/>
      <c r="U835" s="530"/>
      <c r="V835" s="530"/>
      <c r="W835" s="530"/>
      <c r="X835" s="733"/>
      <c r="Y835" s="716"/>
      <c r="Z835" s="716"/>
      <c r="AA835" s="716"/>
      <c r="AB835" s="716"/>
      <c r="AC835" s="716"/>
      <c r="AD835" s="716"/>
      <c r="AE835" s="716"/>
      <c r="AF835" s="716"/>
      <c r="AG835" s="716"/>
      <c r="AH835" s="716"/>
      <c r="AI835" s="716"/>
      <c r="AJ835" s="716"/>
      <c r="AK835" s="716"/>
      <c r="AL835" s="716"/>
      <c r="AM835" s="716"/>
      <c r="AN835" s="716"/>
      <c r="AO835" s="716"/>
      <c r="AP835" s="716"/>
      <c r="AQ835" s="716"/>
      <c r="AR835" s="716"/>
    </row>
    <row r="836">
      <c r="A836" s="716"/>
      <c r="B836" s="530"/>
      <c r="C836" s="530"/>
      <c r="D836" s="530"/>
      <c r="E836" s="530"/>
      <c r="F836" s="530"/>
      <c r="G836" s="530"/>
      <c r="H836" s="530"/>
      <c r="I836" s="530"/>
      <c r="J836" s="530"/>
      <c r="K836" s="530"/>
      <c r="L836" s="530"/>
      <c r="M836" s="530"/>
      <c r="N836" s="530"/>
      <c r="O836" s="530"/>
      <c r="P836" s="530"/>
      <c r="Q836" s="530"/>
      <c r="R836" s="530"/>
      <c r="S836" s="530"/>
      <c r="T836" s="530"/>
      <c r="U836" s="530"/>
      <c r="V836" s="530"/>
      <c r="W836" s="530"/>
      <c r="X836" s="733"/>
      <c r="Y836" s="716"/>
      <c r="Z836" s="716"/>
      <c r="AA836" s="716"/>
      <c r="AB836" s="716"/>
      <c r="AC836" s="716"/>
      <c r="AD836" s="716"/>
      <c r="AE836" s="716"/>
      <c r="AF836" s="716"/>
      <c r="AG836" s="716"/>
      <c r="AH836" s="716"/>
      <c r="AI836" s="716"/>
      <c r="AJ836" s="716"/>
      <c r="AK836" s="716"/>
      <c r="AL836" s="716"/>
      <c r="AM836" s="716"/>
      <c r="AN836" s="716"/>
      <c r="AO836" s="716"/>
      <c r="AP836" s="716"/>
      <c r="AQ836" s="716"/>
      <c r="AR836" s="716"/>
    </row>
    <row r="837">
      <c r="A837" s="716"/>
      <c r="B837" s="530"/>
      <c r="C837" s="530"/>
      <c r="D837" s="530"/>
      <c r="E837" s="530"/>
      <c r="F837" s="530"/>
      <c r="G837" s="530"/>
      <c r="H837" s="530"/>
      <c r="I837" s="530"/>
      <c r="J837" s="530"/>
      <c r="K837" s="530"/>
      <c r="L837" s="530"/>
      <c r="M837" s="530"/>
      <c r="N837" s="530"/>
      <c r="O837" s="530"/>
      <c r="P837" s="530"/>
      <c r="Q837" s="530"/>
      <c r="R837" s="530"/>
      <c r="S837" s="530"/>
      <c r="T837" s="530"/>
      <c r="U837" s="530"/>
      <c r="V837" s="530"/>
      <c r="W837" s="530"/>
      <c r="X837" s="733"/>
      <c r="Y837" s="716"/>
      <c r="Z837" s="716"/>
      <c r="AA837" s="716"/>
      <c r="AB837" s="716"/>
      <c r="AC837" s="716"/>
      <c r="AD837" s="716"/>
      <c r="AE837" s="716"/>
      <c r="AF837" s="716"/>
      <c r="AG837" s="716"/>
      <c r="AH837" s="716"/>
      <c r="AI837" s="716"/>
      <c r="AJ837" s="716"/>
      <c r="AK837" s="716"/>
      <c r="AL837" s="716"/>
      <c r="AM837" s="716"/>
      <c r="AN837" s="716"/>
      <c r="AO837" s="716"/>
      <c r="AP837" s="716"/>
      <c r="AQ837" s="716"/>
      <c r="AR837" s="716"/>
    </row>
    <row r="838">
      <c r="A838" s="716"/>
      <c r="B838" s="530"/>
      <c r="C838" s="530"/>
      <c r="D838" s="530"/>
      <c r="E838" s="530"/>
      <c r="F838" s="530"/>
      <c r="G838" s="530"/>
      <c r="H838" s="530"/>
      <c r="I838" s="530"/>
      <c r="J838" s="530"/>
      <c r="K838" s="530"/>
      <c r="L838" s="530"/>
      <c r="M838" s="530"/>
      <c r="N838" s="530"/>
      <c r="O838" s="530"/>
      <c r="P838" s="530"/>
      <c r="Q838" s="530"/>
      <c r="R838" s="530"/>
      <c r="S838" s="530"/>
      <c r="T838" s="530"/>
      <c r="U838" s="530"/>
      <c r="V838" s="530"/>
      <c r="W838" s="530"/>
      <c r="X838" s="733"/>
      <c r="Y838" s="716"/>
      <c r="Z838" s="716"/>
      <c r="AA838" s="716"/>
      <c r="AB838" s="716"/>
      <c r="AC838" s="716"/>
      <c r="AD838" s="716"/>
      <c r="AE838" s="716"/>
      <c r="AF838" s="716"/>
      <c r="AG838" s="716"/>
      <c r="AH838" s="716"/>
      <c r="AI838" s="716"/>
      <c r="AJ838" s="716"/>
      <c r="AK838" s="716"/>
      <c r="AL838" s="716"/>
      <c r="AM838" s="716"/>
      <c r="AN838" s="716"/>
      <c r="AO838" s="716"/>
      <c r="AP838" s="716"/>
      <c r="AQ838" s="716"/>
      <c r="AR838" s="716"/>
    </row>
    <row r="839">
      <c r="A839" s="716"/>
      <c r="B839" s="530"/>
      <c r="C839" s="530"/>
      <c r="D839" s="530"/>
      <c r="E839" s="530"/>
      <c r="F839" s="530"/>
      <c r="G839" s="530"/>
      <c r="H839" s="530"/>
      <c r="I839" s="530"/>
      <c r="J839" s="530"/>
      <c r="K839" s="530"/>
      <c r="L839" s="530"/>
      <c r="M839" s="530"/>
      <c r="N839" s="530"/>
      <c r="O839" s="530"/>
      <c r="P839" s="530"/>
      <c r="Q839" s="530"/>
      <c r="R839" s="530"/>
      <c r="S839" s="530"/>
      <c r="T839" s="530"/>
      <c r="U839" s="530"/>
      <c r="V839" s="530"/>
      <c r="W839" s="530"/>
      <c r="X839" s="733"/>
      <c r="Y839" s="716"/>
      <c r="Z839" s="716"/>
      <c r="AA839" s="716"/>
      <c r="AB839" s="716"/>
      <c r="AC839" s="716"/>
      <c r="AD839" s="716"/>
      <c r="AE839" s="716"/>
      <c r="AF839" s="716"/>
      <c r="AG839" s="716"/>
      <c r="AH839" s="716"/>
      <c r="AI839" s="716"/>
      <c r="AJ839" s="716"/>
      <c r="AK839" s="716"/>
      <c r="AL839" s="716"/>
      <c r="AM839" s="716"/>
      <c r="AN839" s="716"/>
      <c r="AO839" s="716"/>
      <c r="AP839" s="716"/>
      <c r="AQ839" s="716"/>
      <c r="AR839" s="716"/>
    </row>
    <row r="840">
      <c r="A840" s="716"/>
      <c r="B840" s="530"/>
      <c r="C840" s="530"/>
      <c r="D840" s="530"/>
      <c r="E840" s="530"/>
      <c r="F840" s="530"/>
      <c r="G840" s="530"/>
      <c r="H840" s="530"/>
      <c r="I840" s="530"/>
      <c r="J840" s="530"/>
      <c r="K840" s="530"/>
      <c r="L840" s="530"/>
      <c r="M840" s="530"/>
      <c r="N840" s="530"/>
      <c r="O840" s="530"/>
      <c r="P840" s="530"/>
      <c r="Q840" s="530"/>
      <c r="R840" s="530"/>
      <c r="S840" s="530"/>
      <c r="T840" s="530"/>
      <c r="U840" s="530"/>
      <c r="V840" s="530"/>
      <c r="W840" s="530"/>
      <c r="X840" s="733"/>
      <c r="Y840" s="716"/>
      <c r="Z840" s="716"/>
      <c r="AA840" s="716"/>
      <c r="AB840" s="716"/>
      <c r="AC840" s="716"/>
      <c r="AD840" s="716"/>
      <c r="AE840" s="716"/>
      <c r="AF840" s="716"/>
      <c r="AG840" s="716"/>
      <c r="AH840" s="716"/>
      <c r="AI840" s="716"/>
      <c r="AJ840" s="716"/>
      <c r="AK840" s="716"/>
      <c r="AL840" s="716"/>
      <c r="AM840" s="716"/>
      <c r="AN840" s="716"/>
      <c r="AO840" s="716"/>
      <c r="AP840" s="716"/>
      <c r="AQ840" s="716"/>
      <c r="AR840" s="716"/>
    </row>
    <row r="841">
      <c r="A841" s="716"/>
      <c r="B841" s="530"/>
      <c r="C841" s="530"/>
      <c r="D841" s="530"/>
      <c r="E841" s="530"/>
      <c r="F841" s="530"/>
      <c r="G841" s="530"/>
      <c r="H841" s="530"/>
      <c r="I841" s="530"/>
      <c r="J841" s="530"/>
      <c r="K841" s="530"/>
      <c r="L841" s="530"/>
      <c r="M841" s="530"/>
      <c r="N841" s="530"/>
      <c r="O841" s="530"/>
      <c r="P841" s="530"/>
      <c r="Q841" s="530"/>
      <c r="R841" s="530"/>
      <c r="S841" s="530"/>
      <c r="T841" s="530"/>
      <c r="U841" s="530"/>
      <c r="V841" s="530"/>
      <c r="W841" s="530"/>
      <c r="X841" s="733"/>
      <c r="Y841" s="716"/>
      <c r="Z841" s="716"/>
      <c r="AA841" s="716"/>
      <c r="AB841" s="716"/>
      <c r="AC841" s="716"/>
      <c r="AD841" s="716"/>
      <c r="AE841" s="716"/>
      <c r="AF841" s="716"/>
      <c r="AG841" s="716"/>
      <c r="AH841" s="716"/>
      <c r="AI841" s="716"/>
      <c r="AJ841" s="716"/>
      <c r="AK841" s="716"/>
      <c r="AL841" s="716"/>
      <c r="AM841" s="716"/>
      <c r="AN841" s="716"/>
      <c r="AO841" s="716"/>
      <c r="AP841" s="716"/>
      <c r="AQ841" s="716"/>
      <c r="AR841" s="716"/>
    </row>
    <row r="842">
      <c r="A842" s="716"/>
      <c r="B842" s="530"/>
      <c r="C842" s="530"/>
      <c r="D842" s="530"/>
      <c r="E842" s="530"/>
      <c r="F842" s="530"/>
      <c r="G842" s="530"/>
      <c r="H842" s="530"/>
      <c r="I842" s="530"/>
      <c r="J842" s="530"/>
      <c r="K842" s="530"/>
      <c r="L842" s="530"/>
      <c r="M842" s="530"/>
      <c r="N842" s="530"/>
      <c r="O842" s="530"/>
      <c r="P842" s="530"/>
      <c r="Q842" s="530"/>
      <c r="R842" s="530"/>
      <c r="S842" s="530"/>
      <c r="T842" s="530"/>
      <c r="U842" s="530"/>
      <c r="V842" s="530"/>
      <c r="W842" s="530"/>
      <c r="X842" s="733"/>
      <c r="Y842" s="716"/>
      <c r="Z842" s="716"/>
      <c r="AA842" s="716"/>
      <c r="AB842" s="716"/>
      <c r="AC842" s="716"/>
      <c r="AD842" s="716"/>
      <c r="AE842" s="716"/>
      <c r="AF842" s="716"/>
      <c r="AG842" s="716"/>
      <c r="AH842" s="716"/>
      <c r="AI842" s="716"/>
      <c r="AJ842" s="716"/>
      <c r="AK842" s="716"/>
      <c r="AL842" s="716"/>
      <c r="AM842" s="716"/>
      <c r="AN842" s="716"/>
      <c r="AO842" s="716"/>
      <c r="AP842" s="716"/>
      <c r="AQ842" s="716"/>
      <c r="AR842" s="716"/>
    </row>
    <row r="843">
      <c r="A843" s="716"/>
      <c r="B843" s="530"/>
      <c r="C843" s="530"/>
      <c r="D843" s="530"/>
      <c r="E843" s="530"/>
      <c r="F843" s="530"/>
      <c r="G843" s="530"/>
      <c r="H843" s="530"/>
      <c r="I843" s="530"/>
      <c r="J843" s="530"/>
      <c r="K843" s="530"/>
      <c r="L843" s="530"/>
      <c r="M843" s="530"/>
      <c r="N843" s="530"/>
      <c r="O843" s="530"/>
      <c r="P843" s="530"/>
      <c r="Q843" s="530"/>
      <c r="R843" s="530"/>
      <c r="S843" s="530"/>
      <c r="T843" s="530"/>
      <c r="U843" s="530"/>
      <c r="V843" s="530"/>
      <c r="W843" s="530"/>
      <c r="X843" s="733"/>
      <c r="Y843" s="716"/>
      <c r="Z843" s="716"/>
      <c r="AA843" s="716"/>
      <c r="AB843" s="716"/>
      <c r="AC843" s="716"/>
      <c r="AD843" s="716"/>
      <c r="AE843" s="716"/>
      <c r="AF843" s="716"/>
      <c r="AG843" s="716"/>
      <c r="AH843" s="716"/>
      <c r="AI843" s="716"/>
      <c r="AJ843" s="716"/>
      <c r="AK843" s="716"/>
      <c r="AL843" s="716"/>
      <c r="AM843" s="716"/>
      <c r="AN843" s="716"/>
      <c r="AO843" s="716"/>
      <c r="AP843" s="716"/>
      <c r="AQ843" s="716"/>
      <c r="AR843" s="716"/>
    </row>
    <row r="844">
      <c r="A844" s="716"/>
      <c r="B844" s="530"/>
      <c r="C844" s="530"/>
      <c r="D844" s="530"/>
      <c r="E844" s="530"/>
      <c r="F844" s="530"/>
      <c r="G844" s="530"/>
      <c r="H844" s="530"/>
      <c r="I844" s="530"/>
      <c r="J844" s="530"/>
      <c r="K844" s="530"/>
      <c r="L844" s="530"/>
      <c r="M844" s="530"/>
      <c r="N844" s="530"/>
      <c r="O844" s="530"/>
      <c r="P844" s="530"/>
      <c r="Q844" s="530"/>
      <c r="R844" s="530"/>
      <c r="S844" s="530"/>
      <c r="T844" s="530"/>
      <c r="U844" s="530"/>
      <c r="V844" s="530"/>
      <c r="W844" s="530"/>
      <c r="X844" s="733"/>
      <c r="Y844" s="716"/>
      <c r="Z844" s="716"/>
      <c r="AA844" s="716"/>
      <c r="AB844" s="716"/>
      <c r="AC844" s="716"/>
      <c r="AD844" s="716"/>
      <c r="AE844" s="716"/>
      <c r="AF844" s="716"/>
      <c r="AG844" s="716"/>
      <c r="AH844" s="716"/>
      <c r="AI844" s="716"/>
      <c r="AJ844" s="716"/>
      <c r="AK844" s="716"/>
      <c r="AL844" s="716"/>
      <c r="AM844" s="716"/>
      <c r="AN844" s="716"/>
      <c r="AO844" s="716"/>
      <c r="AP844" s="716"/>
      <c r="AQ844" s="716"/>
      <c r="AR844" s="716"/>
    </row>
    <row r="845">
      <c r="A845" s="716"/>
      <c r="B845" s="530"/>
      <c r="C845" s="530"/>
      <c r="D845" s="530"/>
      <c r="E845" s="530"/>
      <c r="F845" s="530"/>
      <c r="G845" s="530"/>
      <c r="H845" s="530"/>
      <c r="I845" s="530"/>
      <c r="J845" s="530"/>
      <c r="K845" s="530"/>
      <c r="L845" s="530"/>
      <c r="M845" s="530"/>
      <c r="N845" s="530"/>
      <c r="O845" s="530"/>
      <c r="P845" s="530"/>
      <c r="Q845" s="530"/>
      <c r="R845" s="530"/>
      <c r="S845" s="530"/>
      <c r="T845" s="530"/>
      <c r="U845" s="530"/>
      <c r="V845" s="530"/>
      <c r="W845" s="530"/>
      <c r="X845" s="733"/>
      <c r="Y845" s="716"/>
      <c r="Z845" s="716"/>
      <c r="AA845" s="716"/>
      <c r="AB845" s="716"/>
      <c r="AC845" s="716"/>
      <c r="AD845" s="716"/>
      <c r="AE845" s="716"/>
      <c r="AF845" s="716"/>
      <c r="AG845" s="716"/>
      <c r="AH845" s="716"/>
      <c r="AI845" s="716"/>
      <c r="AJ845" s="716"/>
      <c r="AK845" s="716"/>
      <c r="AL845" s="716"/>
      <c r="AM845" s="716"/>
      <c r="AN845" s="716"/>
      <c r="AO845" s="716"/>
      <c r="AP845" s="716"/>
      <c r="AQ845" s="716"/>
      <c r="AR845" s="716"/>
    </row>
    <row r="846">
      <c r="A846" s="716"/>
      <c r="B846" s="530"/>
      <c r="C846" s="530"/>
      <c r="D846" s="530"/>
      <c r="E846" s="530"/>
      <c r="F846" s="530"/>
      <c r="G846" s="530"/>
      <c r="H846" s="530"/>
      <c r="I846" s="530"/>
      <c r="J846" s="530"/>
      <c r="K846" s="530"/>
      <c r="L846" s="530"/>
      <c r="M846" s="530"/>
      <c r="N846" s="530"/>
      <c r="O846" s="530"/>
      <c r="P846" s="530"/>
      <c r="Q846" s="530"/>
      <c r="R846" s="530"/>
      <c r="S846" s="530"/>
      <c r="T846" s="530"/>
      <c r="U846" s="530"/>
      <c r="V846" s="530"/>
      <c r="W846" s="530"/>
      <c r="X846" s="733"/>
      <c r="Y846" s="716"/>
      <c r="Z846" s="716"/>
      <c r="AA846" s="716"/>
      <c r="AB846" s="716"/>
      <c r="AC846" s="716"/>
      <c r="AD846" s="716"/>
      <c r="AE846" s="716"/>
      <c r="AF846" s="716"/>
      <c r="AG846" s="716"/>
      <c r="AH846" s="716"/>
      <c r="AI846" s="716"/>
      <c r="AJ846" s="716"/>
      <c r="AK846" s="716"/>
      <c r="AL846" s="716"/>
      <c r="AM846" s="716"/>
      <c r="AN846" s="716"/>
      <c r="AO846" s="716"/>
      <c r="AP846" s="716"/>
      <c r="AQ846" s="716"/>
      <c r="AR846" s="716"/>
    </row>
    <row r="847">
      <c r="A847" s="716"/>
      <c r="B847" s="530"/>
      <c r="C847" s="530"/>
      <c r="D847" s="530"/>
      <c r="E847" s="530"/>
      <c r="F847" s="530"/>
      <c r="G847" s="530"/>
      <c r="H847" s="530"/>
      <c r="I847" s="530"/>
      <c r="J847" s="530"/>
      <c r="K847" s="530"/>
      <c r="L847" s="530"/>
      <c r="M847" s="530"/>
      <c r="N847" s="530"/>
      <c r="O847" s="530"/>
      <c r="P847" s="530"/>
      <c r="Q847" s="530"/>
      <c r="R847" s="530"/>
      <c r="S847" s="530"/>
      <c r="T847" s="530"/>
      <c r="U847" s="530"/>
      <c r="V847" s="530"/>
      <c r="W847" s="530"/>
      <c r="X847" s="733"/>
      <c r="Y847" s="716"/>
      <c r="Z847" s="716"/>
      <c r="AA847" s="716"/>
      <c r="AB847" s="716"/>
      <c r="AC847" s="716"/>
      <c r="AD847" s="716"/>
      <c r="AE847" s="716"/>
      <c r="AF847" s="716"/>
      <c r="AG847" s="716"/>
      <c r="AH847" s="716"/>
      <c r="AI847" s="716"/>
      <c r="AJ847" s="716"/>
      <c r="AK847" s="716"/>
      <c r="AL847" s="716"/>
      <c r="AM847" s="716"/>
      <c r="AN847" s="716"/>
      <c r="AO847" s="716"/>
      <c r="AP847" s="716"/>
      <c r="AQ847" s="716"/>
      <c r="AR847" s="716"/>
    </row>
    <row r="848">
      <c r="A848" s="716"/>
      <c r="B848" s="530"/>
      <c r="C848" s="530"/>
      <c r="D848" s="530"/>
      <c r="E848" s="530"/>
      <c r="F848" s="530"/>
      <c r="G848" s="530"/>
      <c r="H848" s="530"/>
      <c r="I848" s="530"/>
      <c r="J848" s="530"/>
      <c r="K848" s="530"/>
      <c r="L848" s="530"/>
      <c r="M848" s="530"/>
      <c r="N848" s="530"/>
      <c r="O848" s="530"/>
      <c r="P848" s="530"/>
      <c r="Q848" s="530"/>
      <c r="R848" s="530"/>
      <c r="S848" s="530"/>
      <c r="T848" s="530"/>
      <c r="U848" s="530"/>
      <c r="V848" s="530"/>
      <c r="W848" s="530"/>
      <c r="X848" s="733"/>
      <c r="Y848" s="716"/>
      <c r="Z848" s="716"/>
      <c r="AA848" s="716"/>
      <c r="AB848" s="716"/>
      <c r="AC848" s="716"/>
      <c r="AD848" s="716"/>
      <c r="AE848" s="716"/>
      <c r="AF848" s="716"/>
      <c r="AG848" s="716"/>
      <c r="AH848" s="716"/>
      <c r="AI848" s="716"/>
      <c r="AJ848" s="716"/>
      <c r="AK848" s="716"/>
      <c r="AL848" s="716"/>
      <c r="AM848" s="716"/>
      <c r="AN848" s="716"/>
      <c r="AO848" s="716"/>
      <c r="AP848" s="716"/>
      <c r="AQ848" s="716"/>
      <c r="AR848" s="716"/>
    </row>
    <row r="849">
      <c r="A849" s="716"/>
      <c r="B849" s="530"/>
      <c r="C849" s="530"/>
      <c r="D849" s="530"/>
      <c r="E849" s="530"/>
      <c r="F849" s="530"/>
      <c r="G849" s="530"/>
      <c r="H849" s="530"/>
      <c r="I849" s="530"/>
      <c r="J849" s="530"/>
      <c r="K849" s="530"/>
      <c r="L849" s="530"/>
      <c r="M849" s="530"/>
      <c r="N849" s="530"/>
      <c r="O849" s="530"/>
      <c r="P849" s="530"/>
      <c r="Q849" s="530"/>
      <c r="R849" s="530"/>
      <c r="S849" s="530"/>
      <c r="T849" s="530"/>
      <c r="U849" s="530"/>
      <c r="V849" s="530"/>
      <c r="W849" s="530"/>
      <c r="X849" s="733"/>
      <c r="Y849" s="716"/>
      <c r="Z849" s="716"/>
      <c r="AA849" s="716"/>
      <c r="AB849" s="716"/>
      <c r="AC849" s="716"/>
      <c r="AD849" s="716"/>
      <c r="AE849" s="716"/>
      <c r="AF849" s="716"/>
      <c r="AG849" s="716"/>
      <c r="AH849" s="716"/>
      <c r="AI849" s="716"/>
      <c r="AJ849" s="716"/>
      <c r="AK849" s="716"/>
      <c r="AL849" s="716"/>
      <c r="AM849" s="716"/>
      <c r="AN849" s="716"/>
      <c r="AO849" s="716"/>
      <c r="AP849" s="716"/>
      <c r="AQ849" s="716"/>
      <c r="AR849" s="716"/>
    </row>
    <row r="850">
      <c r="A850" s="716"/>
      <c r="B850" s="530"/>
      <c r="C850" s="530"/>
      <c r="D850" s="530"/>
      <c r="E850" s="530"/>
      <c r="F850" s="530"/>
      <c r="G850" s="530"/>
      <c r="H850" s="530"/>
      <c r="I850" s="530"/>
      <c r="J850" s="530"/>
      <c r="K850" s="530"/>
      <c r="L850" s="530"/>
      <c r="M850" s="530"/>
      <c r="N850" s="530"/>
      <c r="O850" s="530"/>
      <c r="P850" s="530"/>
      <c r="Q850" s="530"/>
      <c r="R850" s="530"/>
      <c r="S850" s="530"/>
      <c r="T850" s="530"/>
      <c r="U850" s="530"/>
      <c r="V850" s="530"/>
      <c r="W850" s="530"/>
      <c r="X850" s="733"/>
      <c r="Y850" s="716"/>
      <c r="Z850" s="716"/>
      <c r="AA850" s="716"/>
      <c r="AB850" s="716"/>
      <c r="AC850" s="716"/>
      <c r="AD850" s="716"/>
      <c r="AE850" s="716"/>
      <c r="AF850" s="716"/>
      <c r="AG850" s="716"/>
      <c r="AH850" s="716"/>
      <c r="AI850" s="716"/>
      <c r="AJ850" s="716"/>
      <c r="AK850" s="716"/>
      <c r="AL850" s="716"/>
      <c r="AM850" s="716"/>
      <c r="AN850" s="716"/>
      <c r="AO850" s="716"/>
      <c r="AP850" s="716"/>
      <c r="AQ850" s="716"/>
      <c r="AR850" s="716"/>
    </row>
    <row r="851">
      <c r="A851" s="716"/>
      <c r="B851" s="530"/>
      <c r="C851" s="530"/>
      <c r="D851" s="530"/>
      <c r="E851" s="530"/>
      <c r="F851" s="530"/>
      <c r="G851" s="530"/>
      <c r="H851" s="530"/>
      <c r="I851" s="530"/>
      <c r="J851" s="530"/>
      <c r="K851" s="530"/>
      <c r="L851" s="530"/>
      <c r="M851" s="530"/>
      <c r="N851" s="530"/>
      <c r="O851" s="530"/>
      <c r="P851" s="530"/>
      <c r="Q851" s="530"/>
      <c r="R851" s="530"/>
      <c r="S851" s="530"/>
      <c r="T851" s="530"/>
      <c r="U851" s="530"/>
      <c r="V851" s="530"/>
      <c r="W851" s="530"/>
      <c r="X851" s="733"/>
      <c r="Y851" s="716"/>
      <c r="Z851" s="716"/>
      <c r="AA851" s="716"/>
      <c r="AB851" s="716"/>
      <c r="AC851" s="716"/>
      <c r="AD851" s="716"/>
      <c r="AE851" s="716"/>
      <c r="AF851" s="716"/>
      <c r="AG851" s="716"/>
      <c r="AH851" s="716"/>
      <c r="AI851" s="716"/>
      <c r="AJ851" s="716"/>
      <c r="AK851" s="716"/>
      <c r="AL851" s="716"/>
      <c r="AM851" s="716"/>
      <c r="AN851" s="716"/>
      <c r="AO851" s="716"/>
      <c r="AP851" s="716"/>
      <c r="AQ851" s="716"/>
      <c r="AR851" s="716"/>
    </row>
    <row r="852">
      <c r="A852" s="716"/>
      <c r="B852" s="530"/>
      <c r="C852" s="530"/>
      <c r="D852" s="530"/>
      <c r="E852" s="530"/>
      <c r="F852" s="530"/>
      <c r="G852" s="530"/>
      <c r="H852" s="530"/>
      <c r="I852" s="530"/>
      <c r="J852" s="530"/>
      <c r="K852" s="530"/>
      <c r="L852" s="530"/>
      <c r="M852" s="530"/>
      <c r="N852" s="530"/>
      <c r="O852" s="530"/>
      <c r="P852" s="530"/>
      <c r="Q852" s="530"/>
      <c r="R852" s="530"/>
      <c r="S852" s="530"/>
      <c r="T852" s="530"/>
      <c r="U852" s="530"/>
      <c r="V852" s="530"/>
      <c r="W852" s="530"/>
      <c r="X852" s="733"/>
      <c r="Y852" s="716"/>
      <c r="Z852" s="716"/>
      <c r="AA852" s="716"/>
      <c r="AB852" s="716"/>
      <c r="AC852" s="716"/>
      <c r="AD852" s="716"/>
      <c r="AE852" s="716"/>
      <c r="AF852" s="716"/>
      <c r="AG852" s="716"/>
      <c r="AH852" s="716"/>
      <c r="AI852" s="716"/>
      <c r="AJ852" s="716"/>
      <c r="AK852" s="716"/>
      <c r="AL852" s="716"/>
      <c r="AM852" s="716"/>
      <c r="AN852" s="716"/>
      <c r="AO852" s="716"/>
      <c r="AP852" s="716"/>
      <c r="AQ852" s="716"/>
      <c r="AR852" s="716"/>
    </row>
    <row r="853">
      <c r="A853" s="716"/>
      <c r="B853" s="530"/>
      <c r="C853" s="530"/>
      <c r="D853" s="530"/>
      <c r="E853" s="530"/>
      <c r="F853" s="530"/>
      <c r="G853" s="530"/>
      <c r="H853" s="530"/>
      <c r="I853" s="530"/>
      <c r="J853" s="530"/>
      <c r="K853" s="530"/>
      <c r="L853" s="530"/>
      <c r="M853" s="530"/>
      <c r="N853" s="530"/>
      <c r="O853" s="530"/>
      <c r="P853" s="530"/>
      <c r="Q853" s="530"/>
      <c r="R853" s="530"/>
      <c r="S853" s="530"/>
      <c r="T853" s="530"/>
      <c r="U853" s="530"/>
      <c r="V853" s="530"/>
      <c r="W853" s="530"/>
      <c r="X853" s="733"/>
      <c r="Y853" s="716"/>
      <c r="Z853" s="716"/>
      <c r="AA853" s="716"/>
      <c r="AB853" s="716"/>
      <c r="AC853" s="716"/>
      <c r="AD853" s="716"/>
      <c r="AE853" s="716"/>
      <c r="AF853" s="716"/>
      <c r="AG853" s="716"/>
      <c r="AH853" s="716"/>
      <c r="AI853" s="716"/>
      <c r="AJ853" s="716"/>
      <c r="AK853" s="716"/>
      <c r="AL853" s="716"/>
      <c r="AM853" s="716"/>
      <c r="AN853" s="716"/>
      <c r="AO853" s="716"/>
      <c r="AP853" s="716"/>
      <c r="AQ853" s="716"/>
      <c r="AR853" s="716"/>
    </row>
    <row r="854">
      <c r="A854" s="716"/>
      <c r="B854" s="530"/>
      <c r="C854" s="530"/>
      <c r="D854" s="530"/>
      <c r="E854" s="530"/>
      <c r="F854" s="530"/>
      <c r="G854" s="530"/>
      <c r="H854" s="530"/>
      <c r="I854" s="530"/>
      <c r="J854" s="530"/>
      <c r="K854" s="530"/>
      <c r="L854" s="530"/>
      <c r="M854" s="530"/>
      <c r="N854" s="530"/>
      <c r="O854" s="530"/>
      <c r="P854" s="530"/>
      <c r="Q854" s="530"/>
      <c r="R854" s="530"/>
      <c r="S854" s="530"/>
      <c r="T854" s="530"/>
      <c r="U854" s="530"/>
      <c r="V854" s="530"/>
      <c r="W854" s="530"/>
      <c r="X854" s="733"/>
      <c r="Y854" s="716"/>
      <c r="Z854" s="716"/>
      <c r="AA854" s="716"/>
      <c r="AB854" s="716"/>
      <c r="AC854" s="716"/>
      <c r="AD854" s="716"/>
      <c r="AE854" s="716"/>
      <c r="AF854" s="716"/>
      <c r="AG854" s="716"/>
      <c r="AH854" s="716"/>
      <c r="AI854" s="716"/>
      <c r="AJ854" s="716"/>
      <c r="AK854" s="716"/>
      <c r="AL854" s="716"/>
      <c r="AM854" s="716"/>
      <c r="AN854" s="716"/>
      <c r="AO854" s="716"/>
      <c r="AP854" s="716"/>
      <c r="AQ854" s="716"/>
      <c r="AR854" s="716"/>
    </row>
    <row r="855">
      <c r="A855" s="716"/>
      <c r="B855" s="530"/>
      <c r="C855" s="530"/>
      <c r="D855" s="530"/>
      <c r="E855" s="530"/>
      <c r="F855" s="530"/>
      <c r="G855" s="530"/>
      <c r="H855" s="530"/>
      <c r="I855" s="530"/>
      <c r="J855" s="530"/>
      <c r="K855" s="530"/>
      <c r="L855" s="530"/>
      <c r="M855" s="530"/>
      <c r="N855" s="530"/>
      <c r="O855" s="530"/>
      <c r="P855" s="530"/>
      <c r="Q855" s="530"/>
      <c r="R855" s="530"/>
      <c r="S855" s="530"/>
      <c r="T855" s="530"/>
      <c r="U855" s="530"/>
      <c r="V855" s="530"/>
      <c r="W855" s="530"/>
      <c r="X855" s="733"/>
      <c r="Y855" s="716"/>
      <c r="Z855" s="716"/>
      <c r="AA855" s="716"/>
      <c r="AB855" s="716"/>
      <c r="AC855" s="716"/>
      <c r="AD855" s="716"/>
      <c r="AE855" s="716"/>
      <c r="AF855" s="716"/>
      <c r="AG855" s="716"/>
      <c r="AH855" s="716"/>
      <c r="AI855" s="716"/>
      <c r="AJ855" s="716"/>
      <c r="AK855" s="716"/>
      <c r="AL855" s="716"/>
      <c r="AM855" s="716"/>
      <c r="AN855" s="716"/>
      <c r="AO855" s="716"/>
      <c r="AP855" s="716"/>
      <c r="AQ855" s="716"/>
      <c r="AR855" s="716"/>
    </row>
    <row r="856">
      <c r="A856" s="716"/>
      <c r="B856" s="530"/>
      <c r="C856" s="530"/>
      <c r="D856" s="530"/>
      <c r="E856" s="530"/>
      <c r="F856" s="530"/>
      <c r="G856" s="530"/>
      <c r="H856" s="530"/>
      <c r="I856" s="530"/>
      <c r="J856" s="530"/>
      <c r="K856" s="530"/>
      <c r="L856" s="530"/>
      <c r="M856" s="530"/>
      <c r="N856" s="530"/>
      <c r="O856" s="530"/>
      <c r="P856" s="530"/>
      <c r="Q856" s="530"/>
      <c r="R856" s="530"/>
      <c r="S856" s="530"/>
      <c r="T856" s="530"/>
      <c r="U856" s="530"/>
      <c r="V856" s="530"/>
      <c r="W856" s="530"/>
      <c r="X856" s="733"/>
      <c r="Y856" s="716"/>
      <c r="Z856" s="716"/>
      <c r="AA856" s="716"/>
      <c r="AB856" s="716"/>
      <c r="AC856" s="716"/>
      <c r="AD856" s="716"/>
      <c r="AE856" s="716"/>
      <c r="AF856" s="716"/>
      <c r="AG856" s="716"/>
      <c r="AH856" s="716"/>
      <c r="AI856" s="716"/>
      <c r="AJ856" s="716"/>
      <c r="AK856" s="716"/>
      <c r="AL856" s="716"/>
      <c r="AM856" s="716"/>
      <c r="AN856" s="716"/>
      <c r="AO856" s="716"/>
      <c r="AP856" s="716"/>
      <c r="AQ856" s="716"/>
      <c r="AR856" s="716"/>
    </row>
    <row r="857">
      <c r="A857" s="716"/>
      <c r="B857" s="530"/>
      <c r="C857" s="530"/>
      <c r="D857" s="530"/>
      <c r="E857" s="530"/>
      <c r="F857" s="530"/>
      <c r="G857" s="530"/>
      <c r="H857" s="530"/>
      <c r="I857" s="530"/>
      <c r="J857" s="530"/>
      <c r="K857" s="530"/>
      <c r="L857" s="530"/>
      <c r="M857" s="530"/>
      <c r="N857" s="530"/>
      <c r="O857" s="530"/>
      <c r="P857" s="530"/>
      <c r="Q857" s="530"/>
      <c r="R857" s="530"/>
      <c r="S857" s="530"/>
      <c r="T857" s="530"/>
      <c r="U857" s="530"/>
      <c r="V857" s="530"/>
      <c r="W857" s="530"/>
      <c r="X857" s="733"/>
      <c r="Y857" s="716"/>
      <c r="Z857" s="716"/>
      <c r="AA857" s="716"/>
      <c r="AB857" s="716"/>
      <c r="AC857" s="716"/>
      <c r="AD857" s="716"/>
      <c r="AE857" s="716"/>
      <c r="AF857" s="716"/>
      <c r="AG857" s="716"/>
      <c r="AH857" s="716"/>
      <c r="AI857" s="716"/>
      <c r="AJ857" s="716"/>
      <c r="AK857" s="716"/>
      <c r="AL857" s="716"/>
      <c r="AM857" s="716"/>
      <c r="AN857" s="716"/>
      <c r="AO857" s="716"/>
      <c r="AP857" s="716"/>
      <c r="AQ857" s="716"/>
      <c r="AR857" s="716"/>
    </row>
    <row r="858">
      <c r="A858" s="716"/>
      <c r="B858" s="530"/>
      <c r="C858" s="530"/>
      <c r="D858" s="530"/>
      <c r="E858" s="530"/>
      <c r="F858" s="530"/>
      <c r="G858" s="530"/>
      <c r="H858" s="530"/>
      <c r="I858" s="530"/>
      <c r="J858" s="530"/>
      <c r="K858" s="530"/>
      <c r="L858" s="530"/>
      <c r="M858" s="530"/>
      <c r="N858" s="530"/>
      <c r="O858" s="530"/>
      <c r="P858" s="530"/>
      <c r="Q858" s="530"/>
      <c r="R858" s="530"/>
      <c r="S858" s="530"/>
      <c r="T858" s="530"/>
      <c r="U858" s="530"/>
      <c r="V858" s="530"/>
      <c r="W858" s="530"/>
      <c r="X858" s="733"/>
      <c r="Y858" s="716"/>
      <c r="Z858" s="716"/>
      <c r="AA858" s="716"/>
      <c r="AB858" s="716"/>
      <c r="AC858" s="716"/>
      <c r="AD858" s="716"/>
      <c r="AE858" s="716"/>
      <c r="AF858" s="716"/>
      <c r="AG858" s="716"/>
      <c r="AH858" s="716"/>
      <c r="AI858" s="716"/>
      <c r="AJ858" s="716"/>
      <c r="AK858" s="716"/>
      <c r="AL858" s="716"/>
      <c r="AM858" s="716"/>
      <c r="AN858" s="716"/>
      <c r="AO858" s="716"/>
      <c r="AP858" s="716"/>
      <c r="AQ858" s="716"/>
      <c r="AR858" s="716"/>
    </row>
    <row r="859">
      <c r="A859" s="716"/>
      <c r="B859" s="530"/>
      <c r="C859" s="530"/>
      <c r="D859" s="530"/>
      <c r="E859" s="530"/>
      <c r="F859" s="530"/>
      <c r="G859" s="530"/>
      <c r="H859" s="530"/>
      <c r="I859" s="530"/>
      <c r="J859" s="530"/>
      <c r="K859" s="530"/>
      <c r="L859" s="530"/>
      <c r="M859" s="530"/>
      <c r="N859" s="530"/>
      <c r="O859" s="530"/>
      <c r="P859" s="530"/>
      <c r="Q859" s="530"/>
      <c r="R859" s="530"/>
      <c r="S859" s="530"/>
      <c r="T859" s="530"/>
      <c r="U859" s="530"/>
      <c r="V859" s="530"/>
      <c r="W859" s="530"/>
      <c r="X859" s="733"/>
      <c r="Y859" s="716"/>
      <c r="Z859" s="716"/>
      <c r="AA859" s="716"/>
      <c r="AB859" s="716"/>
      <c r="AC859" s="716"/>
      <c r="AD859" s="716"/>
      <c r="AE859" s="716"/>
      <c r="AF859" s="716"/>
      <c r="AG859" s="716"/>
      <c r="AH859" s="716"/>
      <c r="AI859" s="716"/>
      <c r="AJ859" s="716"/>
      <c r="AK859" s="716"/>
      <c r="AL859" s="716"/>
      <c r="AM859" s="716"/>
      <c r="AN859" s="716"/>
      <c r="AO859" s="716"/>
      <c r="AP859" s="716"/>
      <c r="AQ859" s="716"/>
      <c r="AR859" s="716"/>
    </row>
    <row r="860">
      <c r="A860" s="716"/>
      <c r="B860" s="530"/>
      <c r="C860" s="530"/>
      <c r="D860" s="530"/>
      <c r="E860" s="530"/>
      <c r="F860" s="530"/>
      <c r="G860" s="530"/>
      <c r="H860" s="530"/>
      <c r="I860" s="530"/>
      <c r="J860" s="530"/>
      <c r="K860" s="530"/>
      <c r="L860" s="530"/>
      <c r="M860" s="530"/>
      <c r="N860" s="530"/>
      <c r="O860" s="530"/>
      <c r="P860" s="530"/>
      <c r="Q860" s="530"/>
      <c r="R860" s="530"/>
      <c r="S860" s="530"/>
      <c r="T860" s="530"/>
      <c r="U860" s="530"/>
      <c r="V860" s="530"/>
      <c r="W860" s="530"/>
      <c r="X860" s="733"/>
      <c r="Y860" s="716"/>
      <c r="Z860" s="716"/>
      <c r="AA860" s="716"/>
      <c r="AB860" s="716"/>
      <c r="AC860" s="716"/>
      <c r="AD860" s="716"/>
      <c r="AE860" s="716"/>
      <c r="AF860" s="716"/>
      <c r="AG860" s="716"/>
      <c r="AH860" s="716"/>
      <c r="AI860" s="716"/>
      <c r="AJ860" s="716"/>
      <c r="AK860" s="716"/>
      <c r="AL860" s="716"/>
      <c r="AM860" s="716"/>
      <c r="AN860" s="716"/>
      <c r="AO860" s="716"/>
      <c r="AP860" s="716"/>
      <c r="AQ860" s="716"/>
      <c r="AR860" s="716"/>
    </row>
    <row r="861">
      <c r="A861" s="716"/>
      <c r="B861" s="530"/>
      <c r="C861" s="530"/>
      <c r="D861" s="530"/>
      <c r="E861" s="530"/>
      <c r="F861" s="530"/>
      <c r="G861" s="530"/>
      <c r="H861" s="530"/>
      <c r="I861" s="530"/>
      <c r="J861" s="530"/>
      <c r="K861" s="530"/>
      <c r="L861" s="530"/>
      <c r="M861" s="530"/>
      <c r="N861" s="530"/>
      <c r="O861" s="530"/>
      <c r="P861" s="530"/>
      <c r="Q861" s="530"/>
      <c r="R861" s="530"/>
      <c r="S861" s="530"/>
      <c r="T861" s="530"/>
      <c r="U861" s="530"/>
      <c r="V861" s="530"/>
      <c r="W861" s="530"/>
      <c r="X861" s="733"/>
      <c r="Y861" s="716"/>
      <c r="Z861" s="716"/>
      <c r="AA861" s="716"/>
      <c r="AB861" s="716"/>
      <c r="AC861" s="716"/>
      <c r="AD861" s="716"/>
      <c r="AE861" s="716"/>
      <c r="AF861" s="716"/>
      <c r="AG861" s="716"/>
      <c r="AH861" s="716"/>
      <c r="AI861" s="716"/>
      <c r="AJ861" s="716"/>
      <c r="AK861" s="716"/>
      <c r="AL861" s="716"/>
      <c r="AM861" s="716"/>
      <c r="AN861" s="716"/>
      <c r="AO861" s="716"/>
      <c r="AP861" s="716"/>
      <c r="AQ861" s="716"/>
      <c r="AR861" s="716"/>
    </row>
    <row r="862">
      <c r="A862" s="716"/>
      <c r="B862" s="530"/>
      <c r="C862" s="530"/>
      <c r="D862" s="530"/>
      <c r="E862" s="530"/>
      <c r="F862" s="530"/>
      <c r="G862" s="530"/>
      <c r="H862" s="530"/>
      <c r="I862" s="530"/>
      <c r="J862" s="530"/>
      <c r="K862" s="530"/>
      <c r="L862" s="530"/>
      <c r="M862" s="530"/>
      <c r="N862" s="530"/>
      <c r="O862" s="530"/>
      <c r="P862" s="530"/>
      <c r="Q862" s="530"/>
      <c r="R862" s="530"/>
      <c r="S862" s="530"/>
      <c r="T862" s="530"/>
      <c r="U862" s="530"/>
      <c r="V862" s="530"/>
      <c r="W862" s="530"/>
      <c r="X862" s="733"/>
      <c r="Y862" s="716"/>
      <c r="Z862" s="716"/>
      <c r="AA862" s="716"/>
      <c r="AB862" s="716"/>
      <c r="AC862" s="716"/>
      <c r="AD862" s="716"/>
      <c r="AE862" s="716"/>
      <c r="AF862" s="716"/>
      <c r="AG862" s="716"/>
      <c r="AH862" s="716"/>
      <c r="AI862" s="716"/>
      <c r="AJ862" s="716"/>
      <c r="AK862" s="716"/>
      <c r="AL862" s="716"/>
      <c r="AM862" s="716"/>
      <c r="AN862" s="716"/>
      <c r="AO862" s="716"/>
      <c r="AP862" s="716"/>
      <c r="AQ862" s="716"/>
      <c r="AR862" s="716"/>
    </row>
    <row r="863">
      <c r="A863" s="716"/>
      <c r="B863" s="530"/>
      <c r="C863" s="530"/>
      <c r="D863" s="530"/>
      <c r="E863" s="530"/>
      <c r="F863" s="530"/>
      <c r="G863" s="530"/>
      <c r="H863" s="530"/>
      <c r="I863" s="530"/>
      <c r="J863" s="530"/>
      <c r="K863" s="530"/>
      <c r="L863" s="530"/>
      <c r="M863" s="530"/>
      <c r="N863" s="530"/>
      <c r="O863" s="530"/>
      <c r="P863" s="530"/>
      <c r="Q863" s="530"/>
      <c r="R863" s="530"/>
      <c r="S863" s="530"/>
      <c r="T863" s="530"/>
      <c r="U863" s="530"/>
      <c r="V863" s="530"/>
      <c r="W863" s="530"/>
      <c r="X863" s="733"/>
      <c r="Y863" s="716"/>
      <c r="Z863" s="716"/>
      <c r="AA863" s="716"/>
      <c r="AB863" s="716"/>
      <c r="AC863" s="716"/>
      <c r="AD863" s="716"/>
      <c r="AE863" s="716"/>
      <c r="AF863" s="716"/>
      <c r="AG863" s="716"/>
      <c r="AH863" s="716"/>
      <c r="AI863" s="716"/>
      <c r="AJ863" s="716"/>
      <c r="AK863" s="716"/>
      <c r="AL863" s="716"/>
      <c r="AM863" s="716"/>
      <c r="AN863" s="716"/>
      <c r="AO863" s="716"/>
      <c r="AP863" s="716"/>
      <c r="AQ863" s="716"/>
      <c r="AR863" s="716"/>
    </row>
    <row r="864">
      <c r="A864" s="716"/>
      <c r="B864" s="530"/>
      <c r="C864" s="530"/>
      <c r="D864" s="530"/>
      <c r="E864" s="530"/>
      <c r="F864" s="530"/>
      <c r="G864" s="530"/>
      <c r="H864" s="530"/>
      <c r="I864" s="530"/>
      <c r="J864" s="530"/>
      <c r="K864" s="530"/>
      <c r="L864" s="530"/>
      <c r="M864" s="530"/>
      <c r="N864" s="530"/>
      <c r="O864" s="530"/>
      <c r="P864" s="530"/>
      <c r="Q864" s="530"/>
      <c r="R864" s="530"/>
      <c r="S864" s="530"/>
      <c r="T864" s="530"/>
      <c r="U864" s="530"/>
      <c r="V864" s="530"/>
      <c r="W864" s="530"/>
      <c r="X864" s="733"/>
      <c r="Y864" s="716"/>
      <c r="Z864" s="716"/>
      <c r="AA864" s="716"/>
      <c r="AB864" s="716"/>
      <c r="AC864" s="716"/>
      <c r="AD864" s="716"/>
      <c r="AE864" s="716"/>
      <c r="AF864" s="716"/>
      <c r="AG864" s="716"/>
      <c r="AH864" s="716"/>
      <c r="AI864" s="716"/>
      <c r="AJ864" s="716"/>
      <c r="AK864" s="716"/>
      <c r="AL864" s="716"/>
      <c r="AM864" s="716"/>
      <c r="AN864" s="716"/>
      <c r="AO864" s="716"/>
      <c r="AP864" s="716"/>
      <c r="AQ864" s="716"/>
      <c r="AR864" s="716"/>
    </row>
    <row r="865">
      <c r="A865" s="716"/>
      <c r="B865" s="530"/>
      <c r="C865" s="530"/>
      <c r="D865" s="530"/>
      <c r="E865" s="530"/>
      <c r="F865" s="530"/>
      <c r="G865" s="530"/>
      <c r="H865" s="530"/>
      <c r="I865" s="530"/>
      <c r="J865" s="530"/>
      <c r="K865" s="530"/>
      <c r="L865" s="530"/>
      <c r="M865" s="530"/>
      <c r="N865" s="530"/>
      <c r="O865" s="530"/>
      <c r="P865" s="530"/>
      <c r="Q865" s="530"/>
      <c r="R865" s="530"/>
      <c r="S865" s="530"/>
      <c r="T865" s="530"/>
      <c r="U865" s="530"/>
      <c r="V865" s="530"/>
      <c r="W865" s="530"/>
      <c r="X865" s="733"/>
      <c r="Y865" s="716"/>
      <c r="Z865" s="716"/>
      <c r="AA865" s="716"/>
      <c r="AB865" s="716"/>
      <c r="AC865" s="716"/>
      <c r="AD865" s="716"/>
      <c r="AE865" s="716"/>
      <c r="AF865" s="716"/>
      <c r="AG865" s="716"/>
      <c r="AH865" s="716"/>
      <c r="AI865" s="716"/>
      <c r="AJ865" s="716"/>
      <c r="AK865" s="716"/>
      <c r="AL865" s="716"/>
      <c r="AM865" s="716"/>
      <c r="AN865" s="716"/>
      <c r="AO865" s="716"/>
      <c r="AP865" s="716"/>
      <c r="AQ865" s="716"/>
      <c r="AR865" s="716"/>
    </row>
    <row r="866">
      <c r="A866" s="716"/>
      <c r="B866" s="530"/>
      <c r="C866" s="530"/>
      <c r="D866" s="530"/>
      <c r="E866" s="530"/>
      <c r="F866" s="530"/>
      <c r="G866" s="530"/>
      <c r="H866" s="530"/>
      <c r="I866" s="530"/>
      <c r="J866" s="530"/>
      <c r="K866" s="530"/>
      <c r="L866" s="530"/>
      <c r="M866" s="530"/>
      <c r="N866" s="530"/>
      <c r="O866" s="530"/>
      <c r="P866" s="530"/>
      <c r="Q866" s="530"/>
      <c r="R866" s="530"/>
      <c r="S866" s="530"/>
      <c r="T866" s="530"/>
      <c r="U866" s="530"/>
      <c r="V866" s="530"/>
      <c r="W866" s="530"/>
      <c r="X866" s="733"/>
      <c r="Y866" s="716"/>
      <c r="Z866" s="716"/>
      <c r="AA866" s="716"/>
      <c r="AB866" s="716"/>
      <c r="AC866" s="716"/>
      <c r="AD866" s="716"/>
      <c r="AE866" s="716"/>
      <c r="AF866" s="716"/>
      <c r="AG866" s="716"/>
      <c r="AH866" s="716"/>
      <c r="AI866" s="716"/>
      <c r="AJ866" s="716"/>
      <c r="AK866" s="716"/>
      <c r="AL866" s="716"/>
      <c r="AM866" s="716"/>
      <c r="AN866" s="716"/>
      <c r="AO866" s="716"/>
      <c r="AP866" s="716"/>
      <c r="AQ866" s="716"/>
      <c r="AR866" s="716"/>
    </row>
    <row r="867">
      <c r="A867" s="716"/>
      <c r="B867" s="530"/>
      <c r="C867" s="530"/>
      <c r="D867" s="530"/>
      <c r="E867" s="530"/>
      <c r="F867" s="530"/>
      <c r="G867" s="530"/>
      <c r="H867" s="530"/>
      <c r="I867" s="530"/>
      <c r="J867" s="530"/>
      <c r="K867" s="530"/>
      <c r="L867" s="530"/>
      <c r="M867" s="530"/>
      <c r="N867" s="530"/>
      <c r="O867" s="530"/>
      <c r="P867" s="530"/>
      <c r="Q867" s="530"/>
      <c r="R867" s="530"/>
      <c r="S867" s="530"/>
      <c r="T867" s="530"/>
      <c r="U867" s="530"/>
      <c r="V867" s="530"/>
      <c r="W867" s="530"/>
      <c r="X867" s="733"/>
      <c r="Y867" s="716"/>
      <c r="Z867" s="716"/>
      <c r="AA867" s="716"/>
      <c r="AB867" s="716"/>
      <c r="AC867" s="716"/>
      <c r="AD867" s="716"/>
      <c r="AE867" s="716"/>
      <c r="AF867" s="716"/>
      <c r="AG867" s="716"/>
      <c r="AH867" s="716"/>
      <c r="AI867" s="716"/>
      <c r="AJ867" s="716"/>
      <c r="AK867" s="716"/>
      <c r="AL867" s="716"/>
      <c r="AM867" s="716"/>
      <c r="AN867" s="716"/>
      <c r="AO867" s="716"/>
      <c r="AP867" s="716"/>
      <c r="AQ867" s="716"/>
      <c r="AR867" s="716"/>
    </row>
    <row r="868">
      <c r="A868" s="716"/>
      <c r="B868" s="530"/>
      <c r="C868" s="530"/>
      <c r="D868" s="530"/>
      <c r="E868" s="530"/>
      <c r="F868" s="530"/>
      <c r="G868" s="530"/>
      <c r="H868" s="530"/>
      <c r="I868" s="530"/>
      <c r="J868" s="530"/>
      <c r="K868" s="530"/>
      <c r="L868" s="530"/>
      <c r="M868" s="530"/>
      <c r="N868" s="530"/>
      <c r="O868" s="530"/>
      <c r="P868" s="530"/>
      <c r="Q868" s="530"/>
      <c r="R868" s="530"/>
      <c r="S868" s="530"/>
      <c r="T868" s="530"/>
      <c r="U868" s="530"/>
      <c r="V868" s="530"/>
      <c r="W868" s="530"/>
      <c r="X868" s="733"/>
      <c r="Y868" s="716"/>
      <c r="Z868" s="716"/>
      <c r="AA868" s="716"/>
      <c r="AB868" s="716"/>
      <c r="AC868" s="716"/>
      <c r="AD868" s="716"/>
      <c r="AE868" s="716"/>
      <c r="AF868" s="716"/>
      <c r="AG868" s="716"/>
      <c r="AH868" s="716"/>
      <c r="AI868" s="716"/>
      <c r="AJ868" s="716"/>
      <c r="AK868" s="716"/>
      <c r="AL868" s="716"/>
      <c r="AM868" s="716"/>
      <c r="AN868" s="716"/>
      <c r="AO868" s="716"/>
      <c r="AP868" s="716"/>
      <c r="AQ868" s="716"/>
      <c r="AR868" s="716"/>
    </row>
    <row r="869">
      <c r="A869" s="716"/>
      <c r="B869" s="530"/>
      <c r="C869" s="530"/>
      <c r="D869" s="530"/>
      <c r="E869" s="530"/>
      <c r="F869" s="530"/>
      <c r="G869" s="530"/>
      <c r="H869" s="530"/>
      <c r="I869" s="530"/>
      <c r="J869" s="530"/>
      <c r="K869" s="530"/>
      <c r="L869" s="530"/>
      <c r="M869" s="530"/>
      <c r="N869" s="530"/>
      <c r="O869" s="530"/>
      <c r="P869" s="530"/>
      <c r="Q869" s="530"/>
      <c r="R869" s="530"/>
      <c r="S869" s="530"/>
      <c r="T869" s="530"/>
      <c r="U869" s="530"/>
      <c r="V869" s="530"/>
      <c r="W869" s="530"/>
      <c r="X869" s="733"/>
      <c r="Y869" s="716"/>
      <c r="Z869" s="716"/>
      <c r="AA869" s="716"/>
      <c r="AB869" s="716"/>
      <c r="AC869" s="716"/>
      <c r="AD869" s="716"/>
      <c r="AE869" s="716"/>
      <c r="AF869" s="716"/>
      <c r="AG869" s="716"/>
      <c r="AH869" s="716"/>
      <c r="AI869" s="716"/>
      <c r="AJ869" s="716"/>
      <c r="AK869" s="716"/>
      <c r="AL869" s="716"/>
      <c r="AM869" s="716"/>
      <c r="AN869" s="716"/>
      <c r="AO869" s="716"/>
      <c r="AP869" s="716"/>
      <c r="AQ869" s="716"/>
      <c r="AR869" s="716"/>
    </row>
    <row r="870">
      <c r="A870" s="716"/>
      <c r="B870" s="530"/>
      <c r="C870" s="530"/>
      <c r="D870" s="530"/>
      <c r="E870" s="530"/>
      <c r="F870" s="530"/>
      <c r="G870" s="530"/>
      <c r="H870" s="530"/>
      <c r="I870" s="530"/>
      <c r="J870" s="530"/>
      <c r="K870" s="530"/>
      <c r="L870" s="530"/>
      <c r="M870" s="530"/>
      <c r="N870" s="530"/>
      <c r="O870" s="530"/>
      <c r="P870" s="530"/>
      <c r="Q870" s="530"/>
      <c r="R870" s="530"/>
      <c r="S870" s="530"/>
      <c r="T870" s="530"/>
      <c r="U870" s="530"/>
      <c r="V870" s="530"/>
      <c r="W870" s="530"/>
      <c r="X870" s="733"/>
      <c r="Y870" s="716"/>
      <c r="Z870" s="716"/>
      <c r="AA870" s="716"/>
      <c r="AB870" s="716"/>
      <c r="AC870" s="716"/>
      <c r="AD870" s="716"/>
      <c r="AE870" s="716"/>
      <c r="AF870" s="716"/>
      <c r="AG870" s="716"/>
      <c r="AH870" s="716"/>
      <c r="AI870" s="716"/>
      <c r="AJ870" s="716"/>
      <c r="AK870" s="716"/>
      <c r="AL870" s="716"/>
      <c r="AM870" s="716"/>
      <c r="AN870" s="716"/>
      <c r="AO870" s="716"/>
      <c r="AP870" s="716"/>
      <c r="AQ870" s="716"/>
      <c r="AR870" s="716"/>
    </row>
    <row r="871">
      <c r="A871" s="716"/>
      <c r="B871" s="530"/>
      <c r="C871" s="530"/>
      <c r="D871" s="530"/>
      <c r="E871" s="530"/>
      <c r="F871" s="530"/>
      <c r="G871" s="530"/>
      <c r="H871" s="530"/>
      <c r="I871" s="530"/>
      <c r="J871" s="530"/>
      <c r="K871" s="530"/>
      <c r="L871" s="530"/>
      <c r="M871" s="530"/>
      <c r="N871" s="530"/>
      <c r="O871" s="530"/>
      <c r="P871" s="530"/>
      <c r="Q871" s="530"/>
      <c r="R871" s="530"/>
      <c r="S871" s="530"/>
      <c r="T871" s="530"/>
      <c r="U871" s="530"/>
      <c r="V871" s="530"/>
      <c r="W871" s="530"/>
      <c r="X871" s="733"/>
      <c r="Y871" s="716"/>
      <c r="Z871" s="716"/>
      <c r="AA871" s="716"/>
      <c r="AB871" s="716"/>
      <c r="AC871" s="716"/>
      <c r="AD871" s="716"/>
      <c r="AE871" s="716"/>
      <c r="AF871" s="716"/>
      <c r="AG871" s="716"/>
      <c r="AH871" s="716"/>
      <c r="AI871" s="716"/>
      <c r="AJ871" s="716"/>
      <c r="AK871" s="716"/>
      <c r="AL871" s="716"/>
      <c r="AM871" s="716"/>
      <c r="AN871" s="716"/>
      <c r="AO871" s="716"/>
      <c r="AP871" s="716"/>
      <c r="AQ871" s="716"/>
      <c r="AR871" s="716"/>
    </row>
    <row r="872">
      <c r="A872" s="716"/>
      <c r="B872" s="530"/>
      <c r="C872" s="530"/>
      <c r="D872" s="530"/>
      <c r="E872" s="530"/>
      <c r="F872" s="530"/>
      <c r="G872" s="530"/>
      <c r="H872" s="530"/>
      <c r="I872" s="530"/>
      <c r="J872" s="530"/>
      <c r="K872" s="530"/>
      <c r="L872" s="530"/>
      <c r="M872" s="530"/>
      <c r="N872" s="530"/>
      <c r="O872" s="530"/>
      <c r="P872" s="530"/>
      <c r="Q872" s="530"/>
      <c r="R872" s="530"/>
      <c r="S872" s="530"/>
      <c r="T872" s="530"/>
      <c r="U872" s="530"/>
      <c r="V872" s="530"/>
      <c r="W872" s="530"/>
      <c r="X872" s="733"/>
      <c r="Y872" s="716"/>
      <c r="Z872" s="716"/>
      <c r="AA872" s="716"/>
      <c r="AB872" s="716"/>
      <c r="AC872" s="716"/>
      <c r="AD872" s="716"/>
      <c r="AE872" s="716"/>
      <c r="AF872" s="716"/>
      <c r="AG872" s="716"/>
      <c r="AH872" s="716"/>
      <c r="AI872" s="716"/>
      <c r="AJ872" s="716"/>
      <c r="AK872" s="716"/>
      <c r="AL872" s="716"/>
      <c r="AM872" s="716"/>
      <c r="AN872" s="716"/>
      <c r="AO872" s="716"/>
      <c r="AP872" s="716"/>
      <c r="AQ872" s="716"/>
      <c r="AR872" s="716"/>
    </row>
    <row r="873">
      <c r="A873" s="716"/>
      <c r="B873" s="530"/>
      <c r="C873" s="530"/>
      <c r="D873" s="530"/>
      <c r="E873" s="530"/>
      <c r="F873" s="530"/>
      <c r="G873" s="530"/>
      <c r="H873" s="530"/>
      <c r="I873" s="530"/>
      <c r="J873" s="530"/>
      <c r="K873" s="530"/>
      <c r="L873" s="530"/>
      <c r="M873" s="530"/>
      <c r="N873" s="530"/>
      <c r="O873" s="530"/>
      <c r="P873" s="530"/>
      <c r="Q873" s="530"/>
      <c r="R873" s="530"/>
      <c r="S873" s="530"/>
      <c r="T873" s="530"/>
      <c r="U873" s="530"/>
      <c r="V873" s="530"/>
      <c r="W873" s="530"/>
      <c r="X873" s="733"/>
      <c r="Y873" s="716"/>
      <c r="Z873" s="716"/>
      <c r="AA873" s="716"/>
      <c r="AB873" s="716"/>
      <c r="AC873" s="716"/>
      <c r="AD873" s="716"/>
      <c r="AE873" s="716"/>
      <c r="AF873" s="716"/>
      <c r="AG873" s="716"/>
      <c r="AH873" s="716"/>
      <c r="AI873" s="716"/>
      <c r="AJ873" s="716"/>
      <c r="AK873" s="716"/>
      <c r="AL873" s="716"/>
      <c r="AM873" s="716"/>
      <c r="AN873" s="716"/>
      <c r="AO873" s="716"/>
      <c r="AP873" s="716"/>
      <c r="AQ873" s="716"/>
      <c r="AR873" s="716"/>
    </row>
    <row r="874">
      <c r="A874" s="716"/>
      <c r="B874" s="530"/>
      <c r="C874" s="530"/>
      <c r="D874" s="530"/>
      <c r="E874" s="530"/>
      <c r="F874" s="530"/>
      <c r="G874" s="530"/>
      <c r="H874" s="530"/>
      <c r="I874" s="530"/>
      <c r="J874" s="530"/>
      <c r="K874" s="530"/>
      <c r="L874" s="530"/>
      <c r="M874" s="530"/>
      <c r="N874" s="530"/>
      <c r="O874" s="530"/>
      <c r="P874" s="530"/>
      <c r="Q874" s="530"/>
      <c r="R874" s="530"/>
      <c r="S874" s="530"/>
      <c r="T874" s="530"/>
      <c r="U874" s="530"/>
      <c r="V874" s="530"/>
      <c r="W874" s="530"/>
      <c r="X874" s="733"/>
      <c r="Y874" s="716"/>
      <c r="Z874" s="716"/>
      <c r="AA874" s="716"/>
      <c r="AB874" s="716"/>
      <c r="AC874" s="716"/>
      <c r="AD874" s="716"/>
      <c r="AE874" s="716"/>
      <c r="AF874" s="716"/>
      <c r="AG874" s="716"/>
      <c r="AH874" s="716"/>
      <c r="AI874" s="716"/>
      <c r="AJ874" s="716"/>
      <c r="AK874" s="716"/>
      <c r="AL874" s="716"/>
      <c r="AM874" s="716"/>
      <c r="AN874" s="716"/>
      <c r="AO874" s="716"/>
      <c r="AP874" s="716"/>
      <c r="AQ874" s="716"/>
      <c r="AR874" s="716"/>
    </row>
    <row r="875">
      <c r="A875" s="716"/>
      <c r="B875" s="530"/>
      <c r="C875" s="530"/>
      <c r="D875" s="530"/>
      <c r="E875" s="530"/>
      <c r="F875" s="530"/>
      <c r="G875" s="530"/>
      <c r="H875" s="530"/>
      <c r="I875" s="530"/>
      <c r="J875" s="530"/>
      <c r="K875" s="530"/>
      <c r="L875" s="530"/>
      <c r="M875" s="530"/>
      <c r="N875" s="530"/>
      <c r="O875" s="530"/>
      <c r="P875" s="530"/>
      <c r="Q875" s="530"/>
      <c r="R875" s="530"/>
      <c r="S875" s="530"/>
      <c r="T875" s="530"/>
      <c r="U875" s="530"/>
      <c r="V875" s="530"/>
      <c r="W875" s="530"/>
      <c r="X875" s="733"/>
      <c r="Y875" s="716"/>
      <c r="Z875" s="716"/>
      <c r="AA875" s="716"/>
      <c r="AB875" s="716"/>
      <c r="AC875" s="716"/>
      <c r="AD875" s="716"/>
      <c r="AE875" s="716"/>
      <c r="AF875" s="716"/>
      <c r="AG875" s="716"/>
      <c r="AH875" s="716"/>
      <c r="AI875" s="716"/>
      <c r="AJ875" s="716"/>
      <c r="AK875" s="716"/>
      <c r="AL875" s="716"/>
      <c r="AM875" s="716"/>
      <c r="AN875" s="716"/>
      <c r="AO875" s="716"/>
      <c r="AP875" s="716"/>
      <c r="AQ875" s="716"/>
      <c r="AR875" s="716"/>
    </row>
    <row r="876">
      <c r="A876" s="716"/>
      <c r="B876" s="530"/>
      <c r="C876" s="530"/>
      <c r="D876" s="530"/>
      <c r="E876" s="530"/>
      <c r="F876" s="530"/>
      <c r="G876" s="530"/>
      <c r="H876" s="530"/>
      <c r="I876" s="530"/>
      <c r="J876" s="530"/>
      <c r="K876" s="530"/>
      <c r="L876" s="530"/>
      <c r="M876" s="530"/>
      <c r="N876" s="530"/>
      <c r="O876" s="530"/>
      <c r="P876" s="530"/>
      <c r="Q876" s="530"/>
      <c r="R876" s="530"/>
      <c r="S876" s="530"/>
      <c r="T876" s="530"/>
      <c r="U876" s="530"/>
      <c r="V876" s="530"/>
      <c r="W876" s="530"/>
      <c r="X876" s="733"/>
      <c r="Y876" s="716"/>
      <c r="Z876" s="716"/>
      <c r="AA876" s="716"/>
      <c r="AB876" s="716"/>
      <c r="AC876" s="716"/>
      <c r="AD876" s="716"/>
      <c r="AE876" s="716"/>
      <c r="AF876" s="716"/>
      <c r="AG876" s="716"/>
      <c r="AH876" s="716"/>
      <c r="AI876" s="716"/>
      <c r="AJ876" s="716"/>
      <c r="AK876" s="716"/>
      <c r="AL876" s="716"/>
      <c r="AM876" s="716"/>
      <c r="AN876" s="716"/>
      <c r="AO876" s="716"/>
      <c r="AP876" s="716"/>
      <c r="AQ876" s="716"/>
      <c r="AR876" s="716"/>
    </row>
    <row r="877">
      <c r="A877" s="716"/>
      <c r="B877" s="530"/>
      <c r="C877" s="530"/>
      <c r="D877" s="530"/>
      <c r="E877" s="530"/>
      <c r="F877" s="530"/>
      <c r="G877" s="530"/>
      <c r="H877" s="530"/>
      <c r="I877" s="530"/>
      <c r="J877" s="530"/>
      <c r="K877" s="530"/>
      <c r="L877" s="530"/>
      <c r="M877" s="530"/>
      <c r="N877" s="530"/>
      <c r="O877" s="530"/>
      <c r="P877" s="530"/>
      <c r="Q877" s="530"/>
      <c r="R877" s="530"/>
      <c r="S877" s="530"/>
      <c r="T877" s="530"/>
      <c r="U877" s="530"/>
      <c r="V877" s="530"/>
      <c r="W877" s="530"/>
      <c r="X877" s="733"/>
      <c r="Y877" s="716"/>
      <c r="Z877" s="716"/>
      <c r="AA877" s="716"/>
      <c r="AB877" s="716"/>
      <c r="AC877" s="716"/>
      <c r="AD877" s="716"/>
      <c r="AE877" s="716"/>
      <c r="AF877" s="716"/>
      <c r="AG877" s="716"/>
      <c r="AH877" s="716"/>
      <c r="AI877" s="716"/>
      <c r="AJ877" s="716"/>
      <c r="AK877" s="716"/>
      <c r="AL877" s="716"/>
      <c r="AM877" s="716"/>
      <c r="AN877" s="716"/>
      <c r="AO877" s="716"/>
      <c r="AP877" s="716"/>
      <c r="AQ877" s="716"/>
      <c r="AR877" s="716"/>
    </row>
    <row r="878">
      <c r="A878" s="716"/>
      <c r="B878" s="530"/>
      <c r="C878" s="530"/>
      <c r="D878" s="530"/>
      <c r="E878" s="530"/>
      <c r="F878" s="530"/>
      <c r="G878" s="530"/>
      <c r="H878" s="530"/>
      <c r="I878" s="530"/>
      <c r="J878" s="530"/>
      <c r="K878" s="530"/>
      <c r="L878" s="530"/>
      <c r="M878" s="530"/>
      <c r="N878" s="530"/>
      <c r="O878" s="530"/>
      <c r="P878" s="530"/>
      <c r="Q878" s="530"/>
      <c r="R878" s="530"/>
      <c r="S878" s="530"/>
      <c r="T878" s="530"/>
      <c r="U878" s="530"/>
      <c r="V878" s="530"/>
      <c r="W878" s="530"/>
      <c r="X878" s="733"/>
      <c r="Y878" s="716"/>
      <c r="Z878" s="716"/>
      <c r="AA878" s="716"/>
      <c r="AB878" s="716"/>
      <c r="AC878" s="716"/>
      <c r="AD878" s="716"/>
      <c r="AE878" s="716"/>
      <c r="AF878" s="716"/>
      <c r="AG878" s="716"/>
      <c r="AH878" s="716"/>
      <c r="AI878" s="716"/>
      <c r="AJ878" s="716"/>
      <c r="AK878" s="716"/>
      <c r="AL878" s="716"/>
      <c r="AM878" s="716"/>
      <c r="AN878" s="716"/>
      <c r="AO878" s="716"/>
      <c r="AP878" s="716"/>
      <c r="AQ878" s="716"/>
      <c r="AR878" s="716"/>
    </row>
    <row r="879">
      <c r="A879" s="716"/>
      <c r="B879" s="530"/>
      <c r="C879" s="530"/>
      <c r="D879" s="530"/>
      <c r="E879" s="530"/>
      <c r="F879" s="530"/>
      <c r="G879" s="530"/>
      <c r="H879" s="530"/>
      <c r="I879" s="530"/>
      <c r="J879" s="530"/>
      <c r="K879" s="530"/>
      <c r="L879" s="530"/>
      <c r="M879" s="530"/>
      <c r="N879" s="530"/>
      <c r="O879" s="530"/>
      <c r="P879" s="530"/>
      <c r="Q879" s="530"/>
      <c r="R879" s="530"/>
      <c r="S879" s="530"/>
      <c r="T879" s="530"/>
      <c r="U879" s="530"/>
      <c r="V879" s="530"/>
      <c r="W879" s="530"/>
      <c r="X879" s="733"/>
      <c r="Y879" s="716"/>
      <c r="Z879" s="716"/>
      <c r="AA879" s="716"/>
      <c r="AB879" s="716"/>
      <c r="AC879" s="716"/>
      <c r="AD879" s="716"/>
      <c r="AE879" s="716"/>
      <c r="AF879" s="716"/>
      <c r="AG879" s="716"/>
      <c r="AH879" s="716"/>
      <c r="AI879" s="716"/>
      <c r="AJ879" s="716"/>
      <c r="AK879" s="716"/>
      <c r="AL879" s="716"/>
      <c r="AM879" s="716"/>
      <c r="AN879" s="716"/>
      <c r="AO879" s="716"/>
      <c r="AP879" s="716"/>
      <c r="AQ879" s="716"/>
      <c r="AR879" s="716"/>
    </row>
    <row r="880">
      <c r="A880" s="716"/>
      <c r="B880" s="530"/>
      <c r="C880" s="530"/>
      <c r="D880" s="530"/>
      <c r="E880" s="530"/>
      <c r="F880" s="530"/>
      <c r="G880" s="530"/>
      <c r="H880" s="530"/>
      <c r="I880" s="530"/>
      <c r="J880" s="530"/>
      <c r="K880" s="530"/>
      <c r="L880" s="530"/>
      <c r="M880" s="530"/>
      <c r="N880" s="530"/>
      <c r="O880" s="530"/>
      <c r="P880" s="530"/>
      <c r="Q880" s="530"/>
      <c r="R880" s="530"/>
      <c r="S880" s="530"/>
      <c r="T880" s="530"/>
      <c r="U880" s="530"/>
      <c r="V880" s="530"/>
      <c r="W880" s="530"/>
      <c r="X880" s="733"/>
      <c r="Y880" s="716"/>
      <c r="Z880" s="716"/>
      <c r="AA880" s="716"/>
      <c r="AB880" s="716"/>
      <c r="AC880" s="716"/>
      <c r="AD880" s="716"/>
      <c r="AE880" s="716"/>
      <c r="AF880" s="716"/>
      <c r="AG880" s="716"/>
      <c r="AH880" s="716"/>
      <c r="AI880" s="716"/>
      <c r="AJ880" s="716"/>
      <c r="AK880" s="716"/>
      <c r="AL880" s="716"/>
      <c r="AM880" s="716"/>
      <c r="AN880" s="716"/>
      <c r="AO880" s="716"/>
      <c r="AP880" s="716"/>
      <c r="AQ880" s="716"/>
      <c r="AR880" s="716"/>
    </row>
    <row r="881">
      <c r="A881" s="716"/>
      <c r="B881" s="530"/>
      <c r="C881" s="530"/>
      <c r="D881" s="530"/>
      <c r="E881" s="530"/>
      <c r="F881" s="530"/>
      <c r="G881" s="530"/>
      <c r="H881" s="530"/>
      <c r="I881" s="530"/>
      <c r="J881" s="530"/>
      <c r="K881" s="530"/>
      <c r="L881" s="530"/>
      <c r="M881" s="530"/>
      <c r="N881" s="530"/>
      <c r="O881" s="530"/>
      <c r="P881" s="530"/>
      <c r="Q881" s="530"/>
      <c r="R881" s="530"/>
      <c r="S881" s="530"/>
      <c r="T881" s="530"/>
      <c r="U881" s="530"/>
      <c r="V881" s="530"/>
      <c r="W881" s="530"/>
      <c r="X881" s="733"/>
      <c r="Y881" s="716"/>
      <c r="Z881" s="716"/>
      <c r="AA881" s="716"/>
      <c r="AB881" s="716"/>
      <c r="AC881" s="716"/>
      <c r="AD881" s="716"/>
      <c r="AE881" s="716"/>
      <c r="AF881" s="716"/>
      <c r="AG881" s="716"/>
      <c r="AH881" s="716"/>
      <c r="AI881" s="716"/>
      <c r="AJ881" s="716"/>
      <c r="AK881" s="716"/>
      <c r="AL881" s="716"/>
      <c r="AM881" s="716"/>
      <c r="AN881" s="716"/>
      <c r="AO881" s="716"/>
      <c r="AP881" s="716"/>
      <c r="AQ881" s="716"/>
      <c r="AR881" s="716"/>
    </row>
    <row r="882">
      <c r="A882" s="716"/>
      <c r="B882" s="530"/>
      <c r="C882" s="530"/>
      <c r="D882" s="530"/>
      <c r="E882" s="530"/>
      <c r="F882" s="530"/>
      <c r="G882" s="530"/>
      <c r="H882" s="530"/>
      <c r="I882" s="530"/>
      <c r="J882" s="530"/>
      <c r="K882" s="530"/>
      <c r="L882" s="530"/>
      <c r="M882" s="530"/>
      <c r="N882" s="530"/>
      <c r="O882" s="530"/>
      <c r="P882" s="530"/>
      <c r="Q882" s="530"/>
      <c r="R882" s="530"/>
      <c r="S882" s="530"/>
      <c r="T882" s="530"/>
      <c r="U882" s="530"/>
      <c r="V882" s="530"/>
      <c r="W882" s="530"/>
      <c r="X882" s="733"/>
      <c r="Y882" s="716"/>
      <c r="Z882" s="716"/>
      <c r="AA882" s="716"/>
      <c r="AB882" s="716"/>
      <c r="AC882" s="716"/>
      <c r="AD882" s="716"/>
      <c r="AE882" s="716"/>
      <c r="AF882" s="716"/>
      <c r="AG882" s="716"/>
      <c r="AH882" s="716"/>
      <c r="AI882" s="716"/>
      <c r="AJ882" s="716"/>
      <c r="AK882" s="716"/>
      <c r="AL882" s="716"/>
      <c r="AM882" s="716"/>
      <c r="AN882" s="716"/>
      <c r="AO882" s="716"/>
      <c r="AP882" s="716"/>
      <c r="AQ882" s="716"/>
      <c r="AR882" s="716"/>
    </row>
    <row r="883">
      <c r="A883" s="716"/>
      <c r="B883" s="530"/>
      <c r="C883" s="530"/>
      <c r="D883" s="530"/>
      <c r="E883" s="530"/>
      <c r="F883" s="530"/>
      <c r="G883" s="530"/>
      <c r="H883" s="530"/>
      <c r="I883" s="530"/>
      <c r="J883" s="530"/>
      <c r="K883" s="530"/>
      <c r="L883" s="530"/>
      <c r="M883" s="530"/>
      <c r="N883" s="530"/>
      <c r="O883" s="530"/>
      <c r="P883" s="530"/>
      <c r="Q883" s="530"/>
      <c r="R883" s="530"/>
      <c r="S883" s="530"/>
      <c r="T883" s="530"/>
      <c r="U883" s="530"/>
      <c r="V883" s="530"/>
      <c r="W883" s="530"/>
      <c r="X883" s="733"/>
      <c r="Y883" s="716"/>
      <c r="Z883" s="716"/>
      <c r="AA883" s="716"/>
      <c r="AB883" s="716"/>
      <c r="AC883" s="716"/>
      <c r="AD883" s="716"/>
      <c r="AE883" s="716"/>
      <c r="AF883" s="716"/>
      <c r="AG883" s="716"/>
      <c r="AH883" s="716"/>
      <c r="AI883" s="716"/>
      <c r="AJ883" s="716"/>
      <c r="AK883" s="716"/>
      <c r="AL883" s="716"/>
      <c r="AM883" s="716"/>
      <c r="AN883" s="716"/>
      <c r="AO883" s="716"/>
      <c r="AP883" s="716"/>
      <c r="AQ883" s="716"/>
      <c r="AR883" s="716"/>
    </row>
    <row r="884">
      <c r="A884" s="716"/>
      <c r="B884" s="530"/>
      <c r="C884" s="530"/>
      <c r="D884" s="530"/>
      <c r="E884" s="530"/>
      <c r="F884" s="530"/>
      <c r="G884" s="530"/>
      <c r="H884" s="530"/>
      <c r="I884" s="530"/>
      <c r="J884" s="530"/>
      <c r="K884" s="530"/>
      <c r="L884" s="530"/>
      <c r="M884" s="530"/>
      <c r="N884" s="530"/>
      <c r="O884" s="530"/>
      <c r="P884" s="530"/>
      <c r="Q884" s="530"/>
      <c r="R884" s="530"/>
      <c r="S884" s="530"/>
      <c r="T884" s="530"/>
      <c r="U884" s="530"/>
      <c r="V884" s="530"/>
      <c r="W884" s="530"/>
      <c r="X884" s="733"/>
      <c r="Y884" s="716"/>
      <c r="Z884" s="716"/>
      <c r="AA884" s="716"/>
      <c r="AB884" s="716"/>
      <c r="AC884" s="716"/>
      <c r="AD884" s="716"/>
      <c r="AE884" s="716"/>
      <c r="AF884" s="716"/>
      <c r="AG884" s="716"/>
      <c r="AH884" s="716"/>
      <c r="AI884" s="716"/>
      <c r="AJ884" s="716"/>
      <c r="AK884" s="716"/>
      <c r="AL884" s="716"/>
      <c r="AM884" s="716"/>
      <c r="AN884" s="716"/>
      <c r="AO884" s="716"/>
      <c r="AP884" s="716"/>
      <c r="AQ884" s="716"/>
      <c r="AR884" s="716"/>
    </row>
    <row r="885">
      <c r="A885" s="716"/>
      <c r="B885" s="530"/>
      <c r="C885" s="530"/>
      <c r="D885" s="530"/>
      <c r="E885" s="530"/>
      <c r="F885" s="530"/>
      <c r="G885" s="530"/>
      <c r="H885" s="530"/>
      <c r="I885" s="530"/>
      <c r="J885" s="530"/>
      <c r="K885" s="530"/>
      <c r="L885" s="530"/>
      <c r="M885" s="530"/>
      <c r="N885" s="530"/>
      <c r="O885" s="530"/>
      <c r="P885" s="530"/>
      <c r="Q885" s="530"/>
      <c r="R885" s="530"/>
      <c r="S885" s="530"/>
      <c r="T885" s="530"/>
      <c r="U885" s="530"/>
      <c r="V885" s="530"/>
      <c r="W885" s="530"/>
      <c r="X885" s="733"/>
      <c r="Y885" s="716"/>
      <c r="Z885" s="716"/>
      <c r="AA885" s="716"/>
      <c r="AB885" s="716"/>
      <c r="AC885" s="716"/>
      <c r="AD885" s="716"/>
      <c r="AE885" s="716"/>
      <c r="AF885" s="716"/>
      <c r="AG885" s="716"/>
      <c r="AH885" s="716"/>
      <c r="AI885" s="716"/>
      <c r="AJ885" s="716"/>
      <c r="AK885" s="716"/>
      <c r="AL885" s="716"/>
      <c r="AM885" s="716"/>
      <c r="AN885" s="716"/>
      <c r="AO885" s="716"/>
      <c r="AP885" s="716"/>
      <c r="AQ885" s="716"/>
      <c r="AR885" s="716"/>
    </row>
    <row r="886">
      <c r="A886" s="716"/>
      <c r="B886" s="530"/>
      <c r="C886" s="530"/>
      <c r="D886" s="530"/>
      <c r="E886" s="530"/>
      <c r="F886" s="530"/>
      <c r="G886" s="530"/>
      <c r="H886" s="530"/>
      <c r="I886" s="530"/>
      <c r="J886" s="530"/>
      <c r="K886" s="530"/>
      <c r="L886" s="530"/>
      <c r="M886" s="530"/>
      <c r="N886" s="530"/>
      <c r="O886" s="530"/>
      <c r="P886" s="530"/>
      <c r="Q886" s="530"/>
      <c r="R886" s="530"/>
      <c r="S886" s="530"/>
      <c r="T886" s="530"/>
      <c r="U886" s="530"/>
      <c r="V886" s="530"/>
      <c r="W886" s="530"/>
      <c r="X886" s="733"/>
      <c r="Y886" s="716"/>
      <c r="Z886" s="716"/>
      <c r="AA886" s="716"/>
      <c r="AB886" s="716"/>
      <c r="AC886" s="716"/>
      <c r="AD886" s="716"/>
      <c r="AE886" s="716"/>
      <c r="AF886" s="716"/>
      <c r="AG886" s="716"/>
      <c r="AH886" s="716"/>
      <c r="AI886" s="716"/>
      <c r="AJ886" s="716"/>
      <c r="AK886" s="716"/>
      <c r="AL886" s="716"/>
      <c r="AM886" s="716"/>
      <c r="AN886" s="716"/>
      <c r="AO886" s="716"/>
      <c r="AP886" s="716"/>
      <c r="AQ886" s="716"/>
      <c r="AR886" s="716"/>
    </row>
    <row r="887">
      <c r="A887" s="716"/>
      <c r="B887" s="530"/>
      <c r="C887" s="530"/>
      <c r="D887" s="530"/>
      <c r="E887" s="530"/>
      <c r="F887" s="530"/>
      <c r="G887" s="530"/>
      <c r="H887" s="530"/>
      <c r="I887" s="530"/>
      <c r="J887" s="530"/>
      <c r="K887" s="530"/>
      <c r="L887" s="530"/>
      <c r="M887" s="530"/>
      <c r="N887" s="530"/>
      <c r="O887" s="530"/>
      <c r="P887" s="530"/>
      <c r="Q887" s="530"/>
      <c r="R887" s="530"/>
      <c r="S887" s="530"/>
      <c r="T887" s="530"/>
      <c r="U887" s="530"/>
      <c r="V887" s="530"/>
      <c r="W887" s="530"/>
      <c r="X887" s="733"/>
      <c r="Y887" s="716"/>
      <c r="Z887" s="716"/>
      <c r="AA887" s="716"/>
      <c r="AB887" s="716"/>
      <c r="AC887" s="716"/>
      <c r="AD887" s="716"/>
      <c r="AE887" s="716"/>
      <c r="AF887" s="716"/>
      <c r="AG887" s="716"/>
      <c r="AH887" s="716"/>
      <c r="AI887" s="716"/>
      <c r="AJ887" s="716"/>
      <c r="AK887" s="716"/>
      <c r="AL887" s="716"/>
      <c r="AM887" s="716"/>
      <c r="AN887" s="716"/>
      <c r="AO887" s="716"/>
      <c r="AP887" s="716"/>
      <c r="AQ887" s="716"/>
      <c r="AR887" s="716"/>
    </row>
    <row r="888">
      <c r="A888" s="716"/>
      <c r="B888" s="530"/>
      <c r="C888" s="530"/>
      <c r="D888" s="530"/>
      <c r="E888" s="530"/>
      <c r="F888" s="530"/>
      <c r="G888" s="530"/>
      <c r="H888" s="530"/>
      <c r="I888" s="530"/>
      <c r="J888" s="530"/>
      <c r="K888" s="530"/>
      <c r="L888" s="530"/>
      <c r="M888" s="530"/>
      <c r="N888" s="530"/>
      <c r="O888" s="530"/>
      <c r="P888" s="530"/>
      <c r="Q888" s="530"/>
      <c r="R888" s="530"/>
      <c r="S888" s="530"/>
      <c r="T888" s="530"/>
      <c r="U888" s="530"/>
      <c r="V888" s="530"/>
      <c r="W888" s="530"/>
      <c r="X888" s="733"/>
      <c r="Y888" s="716"/>
      <c r="Z888" s="716"/>
      <c r="AA888" s="716"/>
      <c r="AB888" s="716"/>
      <c r="AC888" s="716"/>
      <c r="AD888" s="716"/>
      <c r="AE888" s="716"/>
      <c r="AF888" s="716"/>
      <c r="AG888" s="716"/>
      <c r="AH888" s="716"/>
      <c r="AI888" s="716"/>
      <c r="AJ888" s="716"/>
      <c r="AK888" s="716"/>
      <c r="AL888" s="716"/>
      <c r="AM888" s="716"/>
      <c r="AN888" s="716"/>
      <c r="AO888" s="716"/>
      <c r="AP888" s="716"/>
      <c r="AQ888" s="716"/>
      <c r="AR888" s="716"/>
    </row>
    <row r="889">
      <c r="A889" s="716"/>
      <c r="B889" s="530"/>
      <c r="C889" s="530"/>
      <c r="D889" s="530"/>
      <c r="E889" s="530"/>
      <c r="F889" s="530"/>
      <c r="G889" s="530"/>
      <c r="H889" s="530"/>
      <c r="I889" s="530"/>
      <c r="J889" s="530"/>
      <c r="K889" s="530"/>
      <c r="L889" s="530"/>
      <c r="M889" s="530"/>
      <c r="N889" s="530"/>
      <c r="O889" s="530"/>
      <c r="P889" s="530"/>
      <c r="Q889" s="530"/>
      <c r="R889" s="530"/>
      <c r="S889" s="530"/>
      <c r="T889" s="530"/>
      <c r="U889" s="530"/>
      <c r="V889" s="530"/>
      <c r="W889" s="530"/>
      <c r="X889" s="733"/>
      <c r="Y889" s="716"/>
      <c r="Z889" s="716"/>
      <c r="AA889" s="716"/>
      <c r="AB889" s="716"/>
      <c r="AC889" s="716"/>
      <c r="AD889" s="716"/>
      <c r="AE889" s="716"/>
      <c r="AF889" s="716"/>
      <c r="AG889" s="716"/>
      <c r="AH889" s="716"/>
      <c r="AI889" s="716"/>
      <c r="AJ889" s="716"/>
      <c r="AK889" s="716"/>
      <c r="AL889" s="716"/>
      <c r="AM889" s="716"/>
      <c r="AN889" s="716"/>
      <c r="AO889" s="716"/>
      <c r="AP889" s="716"/>
      <c r="AQ889" s="716"/>
      <c r="AR889" s="716"/>
    </row>
    <row r="890">
      <c r="A890" s="716"/>
      <c r="B890" s="530"/>
      <c r="C890" s="530"/>
      <c r="D890" s="530"/>
      <c r="E890" s="530"/>
      <c r="F890" s="530"/>
      <c r="G890" s="530"/>
      <c r="H890" s="530"/>
      <c r="I890" s="530"/>
      <c r="J890" s="530"/>
      <c r="K890" s="530"/>
      <c r="L890" s="530"/>
      <c r="M890" s="530"/>
      <c r="N890" s="530"/>
      <c r="O890" s="530"/>
      <c r="P890" s="530"/>
      <c r="Q890" s="530"/>
      <c r="R890" s="530"/>
      <c r="S890" s="530"/>
      <c r="T890" s="530"/>
      <c r="U890" s="530"/>
      <c r="V890" s="530"/>
      <c r="W890" s="530"/>
      <c r="X890" s="733"/>
      <c r="Y890" s="716"/>
      <c r="Z890" s="716"/>
      <c r="AA890" s="716"/>
      <c r="AB890" s="716"/>
      <c r="AC890" s="716"/>
      <c r="AD890" s="716"/>
      <c r="AE890" s="716"/>
      <c r="AF890" s="716"/>
      <c r="AG890" s="716"/>
      <c r="AH890" s="716"/>
      <c r="AI890" s="716"/>
      <c r="AJ890" s="716"/>
      <c r="AK890" s="716"/>
      <c r="AL890" s="716"/>
      <c r="AM890" s="716"/>
      <c r="AN890" s="716"/>
      <c r="AO890" s="716"/>
      <c r="AP890" s="716"/>
      <c r="AQ890" s="716"/>
      <c r="AR890" s="716"/>
    </row>
    <row r="891">
      <c r="A891" s="716"/>
      <c r="B891" s="530"/>
      <c r="C891" s="530"/>
      <c r="D891" s="530"/>
      <c r="E891" s="530"/>
      <c r="F891" s="530"/>
      <c r="G891" s="530"/>
      <c r="H891" s="530"/>
      <c r="I891" s="530"/>
      <c r="J891" s="530"/>
      <c r="K891" s="530"/>
      <c r="L891" s="530"/>
      <c r="M891" s="530"/>
      <c r="N891" s="530"/>
      <c r="O891" s="530"/>
      <c r="P891" s="530"/>
      <c r="Q891" s="530"/>
      <c r="R891" s="530"/>
      <c r="S891" s="530"/>
      <c r="T891" s="530"/>
      <c r="U891" s="530"/>
      <c r="V891" s="530"/>
      <c r="W891" s="530"/>
      <c r="X891" s="733"/>
      <c r="Y891" s="716"/>
      <c r="Z891" s="716"/>
      <c r="AA891" s="716"/>
      <c r="AB891" s="716"/>
      <c r="AC891" s="716"/>
      <c r="AD891" s="716"/>
      <c r="AE891" s="716"/>
      <c r="AF891" s="716"/>
      <c r="AG891" s="716"/>
      <c r="AH891" s="716"/>
      <c r="AI891" s="716"/>
      <c r="AJ891" s="716"/>
      <c r="AK891" s="716"/>
      <c r="AL891" s="716"/>
      <c r="AM891" s="716"/>
      <c r="AN891" s="716"/>
      <c r="AO891" s="716"/>
      <c r="AP891" s="716"/>
      <c r="AQ891" s="716"/>
      <c r="AR891" s="716"/>
    </row>
    <row r="892">
      <c r="A892" s="716"/>
      <c r="B892" s="530"/>
      <c r="C892" s="530"/>
      <c r="D892" s="530"/>
      <c r="E892" s="530"/>
      <c r="F892" s="530"/>
      <c r="G892" s="530"/>
      <c r="H892" s="530"/>
      <c r="I892" s="530"/>
      <c r="J892" s="530"/>
      <c r="K892" s="530"/>
      <c r="L892" s="530"/>
      <c r="M892" s="530"/>
      <c r="N892" s="530"/>
      <c r="O892" s="530"/>
      <c r="P892" s="530"/>
      <c r="Q892" s="530"/>
      <c r="R892" s="530"/>
      <c r="S892" s="530"/>
      <c r="T892" s="530"/>
      <c r="U892" s="530"/>
      <c r="V892" s="530"/>
      <c r="W892" s="530"/>
      <c r="X892" s="733"/>
      <c r="Y892" s="716"/>
      <c r="Z892" s="716"/>
      <c r="AA892" s="716"/>
      <c r="AB892" s="716"/>
      <c r="AC892" s="716"/>
      <c r="AD892" s="716"/>
      <c r="AE892" s="716"/>
      <c r="AF892" s="716"/>
      <c r="AG892" s="716"/>
      <c r="AH892" s="716"/>
      <c r="AI892" s="716"/>
      <c r="AJ892" s="716"/>
      <c r="AK892" s="716"/>
      <c r="AL892" s="716"/>
      <c r="AM892" s="716"/>
      <c r="AN892" s="716"/>
      <c r="AO892" s="716"/>
      <c r="AP892" s="716"/>
      <c r="AQ892" s="716"/>
      <c r="AR892" s="716"/>
    </row>
    <row r="893">
      <c r="A893" s="716"/>
      <c r="B893" s="530"/>
      <c r="C893" s="530"/>
      <c r="D893" s="530"/>
      <c r="E893" s="530"/>
      <c r="F893" s="530"/>
      <c r="G893" s="530"/>
      <c r="H893" s="530"/>
      <c r="I893" s="530"/>
      <c r="J893" s="530"/>
      <c r="K893" s="530"/>
      <c r="L893" s="530"/>
      <c r="M893" s="530"/>
      <c r="N893" s="530"/>
      <c r="O893" s="530"/>
      <c r="P893" s="530"/>
      <c r="Q893" s="530"/>
      <c r="R893" s="530"/>
      <c r="S893" s="530"/>
      <c r="T893" s="530"/>
      <c r="U893" s="530"/>
      <c r="V893" s="530"/>
      <c r="W893" s="530"/>
      <c r="X893" s="733"/>
      <c r="Y893" s="716"/>
      <c r="Z893" s="716"/>
      <c r="AA893" s="716"/>
      <c r="AB893" s="716"/>
      <c r="AC893" s="716"/>
      <c r="AD893" s="716"/>
      <c r="AE893" s="716"/>
      <c r="AF893" s="716"/>
      <c r="AG893" s="716"/>
      <c r="AH893" s="716"/>
      <c r="AI893" s="716"/>
      <c r="AJ893" s="716"/>
      <c r="AK893" s="716"/>
      <c r="AL893" s="716"/>
      <c r="AM893" s="716"/>
      <c r="AN893" s="716"/>
      <c r="AO893" s="716"/>
      <c r="AP893" s="716"/>
      <c r="AQ893" s="716"/>
      <c r="AR893" s="716"/>
    </row>
    <row r="894">
      <c r="A894" s="716"/>
      <c r="B894" s="530"/>
      <c r="C894" s="530"/>
      <c r="D894" s="530"/>
      <c r="E894" s="530"/>
      <c r="F894" s="530"/>
      <c r="G894" s="530"/>
      <c r="H894" s="530"/>
      <c r="I894" s="530"/>
      <c r="J894" s="530"/>
      <c r="K894" s="530"/>
      <c r="L894" s="530"/>
      <c r="M894" s="530"/>
      <c r="N894" s="530"/>
      <c r="O894" s="530"/>
      <c r="P894" s="530"/>
      <c r="Q894" s="530"/>
      <c r="R894" s="530"/>
      <c r="S894" s="530"/>
      <c r="T894" s="530"/>
      <c r="U894" s="530"/>
      <c r="V894" s="530"/>
      <c r="W894" s="530"/>
      <c r="X894" s="733"/>
      <c r="Y894" s="716"/>
      <c r="Z894" s="716"/>
      <c r="AA894" s="716"/>
      <c r="AB894" s="716"/>
      <c r="AC894" s="716"/>
      <c r="AD894" s="716"/>
      <c r="AE894" s="716"/>
      <c r="AF894" s="716"/>
      <c r="AG894" s="716"/>
      <c r="AH894" s="716"/>
      <c r="AI894" s="716"/>
      <c r="AJ894" s="716"/>
      <c r="AK894" s="716"/>
      <c r="AL894" s="716"/>
      <c r="AM894" s="716"/>
      <c r="AN894" s="716"/>
      <c r="AO894" s="716"/>
      <c r="AP894" s="716"/>
      <c r="AQ894" s="716"/>
      <c r="AR894" s="716"/>
    </row>
    <row r="895">
      <c r="A895" s="716"/>
      <c r="B895" s="530"/>
      <c r="C895" s="530"/>
      <c r="D895" s="530"/>
      <c r="E895" s="530"/>
      <c r="F895" s="530"/>
      <c r="G895" s="530"/>
      <c r="H895" s="530"/>
      <c r="I895" s="530"/>
      <c r="J895" s="530"/>
      <c r="K895" s="530"/>
      <c r="L895" s="530"/>
      <c r="M895" s="530"/>
      <c r="N895" s="530"/>
      <c r="O895" s="530"/>
      <c r="P895" s="530"/>
      <c r="Q895" s="530"/>
      <c r="R895" s="530"/>
      <c r="S895" s="530"/>
      <c r="T895" s="530"/>
      <c r="U895" s="530"/>
      <c r="V895" s="530"/>
      <c r="W895" s="530"/>
      <c r="X895" s="733"/>
      <c r="Y895" s="716"/>
      <c r="Z895" s="716"/>
      <c r="AA895" s="716"/>
      <c r="AB895" s="716"/>
      <c r="AC895" s="716"/>
      <c r="AD895" s="716"/>
      <c r="AE895" s="716"/>
      <c r="AF895" s="716"/>
      <c r="AG895" s="716"/>
      <c r="AH895" s="716"/>
      <c r="AI895" s="716"/>
      <c r="AJ895" s="716"/>
      <c r="AK895" s="716"/>
      <c r="AL895" s="716"/>
      <c r="AM895" s="716"/>
      <c r="AN895" s="716"/>
      <c r="AO895" s="716"/>
      <c r="AP895" s="716"/>
      <c r="AQ895" s="716"/>
      <c r="AR895" s="716"/>
    </row>
    <row r="896">
      <c r="A896" s="716"/>
      <c r="B896" s="530"/>
      <c r="C896" s="530"/>
      <c r="D896" s="530"/>
      <c r="E896" s="530"/>
      <c r="F896" s="530"/>
      <c r="G896" s="530"/>
      <c r="H896" s="530"/>
      <c r="I896" s="530"/>
      <c r="J896" s="530"/>
      <c r="K896" s="530"/>
      <c r="L896" s="530"/>
      <c r="M896" s="530"/>
      <c r="N896" s="530"/>
      <c r="O896" s="530"/>
      <c r="P896" s="530"/>
      <c r="Q896" s="530"/>
      <c r="R896" s="530"/>
      <c r="S896" s="530"/>
      <c r="T896" s="530"/>
      <c r="U896" s="530"/>
      <c r="V896" s="530"/>
      <c r="W896" s="530"/>
      <c r="X896" s="733"/>
      <c r="Y896" s="716"/>
      <c r="Z896" s="716"/>
      <c r="AA896" s="716"/>
      <c r="AB896" s="716"/>
      <c r="AC896" s="716"/>
      <c r="AD896" s="716"/>
      <c r="AE896" s="716"/>
      <c r="AF896" s="716"/>
      <c r="AG896" s="716"/>
      <c r="AH896" s="716"/>
      <c r="AI896" s="716"/>
      <c r="AJ896" s="716"/>
      <c r="AK896" s="716"/>
      <c r="AL896" s="716"/>
      <c r="AM896" s="716"/>
      <c r="AN896" s="716"/>
      <c r="AO896" s="716"/>
      <c r="AP896" s="716"/>
      <c r="AQ896" s="716"/>
      <c r="AR896" s="716"/>
    </row>
    <row r="897">
      <c r="A897" s="716"/>
      <c r="B897" s="530"/>
      <c r="C897" s="530"/>
      <c r="D897" s="530"/>
      <c r="E897" s="530"/>
      <c r="F897" s="530"/>
      <c r="G897" s="530"/>
      <c r="H897" s="530"/>
      <c r="I897" s="530"/>
      <c r="J897" s="530"/>
      <c r="K897" s="530"/>
      <c r="L897" s="530"/>
      <c r="M897" s="530"/>
      <c r="N897" s="530"/>
      <c r="O897" s="530"/>
      <c r="P897" s="530"/>
      <c r="Q897" s="530"/>
      <c r="R897" s="530"/>
      <c r="S897" s="530"/>
      <c r="T897" s="530"/>
      <c r="U897" s="530"/>
      <c r="V897" s="530"/>
      <c r="W897" s="530"/>
      <c r="X897" s="733"/>
      <c r="Y897" s="716"/>
      <c r="Z897" s="716"/>
      <c r="AA897" s="716"/>
      <c r="AB897" s="716"/>
      <c r="AC897" s="716"/>
      <c r="AD897" s="716"/>
      <c r="AE897" s="716"/>
      <c r="AF897" s="716"/>
      <c r="AG897" s="716"/>
      <c r="AH897" s="716"/>
      <c r="AI897" s="716"/>
      <c r="AJ897" s="716"/>
      <c r="AK897" s="716"/>
      <c r="AL897" s="716"/>
      <c r="AM897" s="716"/>
      <c r="AN897" s="716"/>
      <c r="AO897" s="716"/>
      <c r="AP897" s="716"/>
      <c r="AQ897" s="716"/>
      <c r="AR897" s="716"/>
    </row>
    <row r="898">
      <c r="A898" s="716"/>
      <c r="B898" s="530"/>
      <c r="C898" s="530"/>
      <c r="D898" s="530"/>
      <c r="E898" s="530"/>
      <c r="F898" s="530"/>
      <c r="G898" s="530"/>
      <c r="H898" s="530"/>
      <c r="I898" s="530"/>
      <c r="J898" s="530"/>
      <c r="K898" s="530"/>
      <c r="L898" s="530"/>
      <c r="M898" s="530"/>
      <c r="N898" s="530"/>
      <c r="O898" s="530"/>
      <c r="P898" s="530"/>
      <c r="Q898" s="530"/>
      <c r="R898" s="530"/>
      <c r="S898" s="530"/>
      <c r="T898" s="530"/>
      <c r="U898" s="530"/>
      <c r="V898" s="530"/>
      <c r="W898" s="530"/>
      <c r="X898" s="733"/>
      <c r="Y898" s="716"/>
      <c r="Z898" s="716"/>
      <c r="AA898" s="716"/>
      <c r="AB898" s="716"/>
      <c r="AC898" s="716"/>
      <c r="AD898" s="716"/>
      <c r="AE898" s="716"/>
      <c r="AF898" s="716"/>
      <c r="AG898" s="716"/>
      <c r="AH898" s="716"/>
      <c r="AI898" s="716"/>
      <c r="AJ898" s="716"/>
      <c r="AK898" s="716"/>
      <c r="AL898" s="716"/>
      <c r="AM898" s="716"/>
      <c r="AN898" s="716"/>
      <c r="AO898" s="716"/>
      <c r="AP898" s="716"/>
      <c r="AQ898" s="716"/>
      <c r="AR898" s="716"/>
    </row>
    <row r="899">
      <c r="A899" s="716"/>
      <c r="B899" s="530"/>
      <c r="C899" s="530"/>
      <c r="D899" s="530"/>
      <c r="E899" s="530"/>
      <c r="F899" s="530"/>
      <c r="G899" s="530"/>
      <c r="H899" s="530"/>
      <c r="I899" s="530"/>
      <c r="J899" s="530"/>
      <c r="K899" s="530"/>
      <c r="L899" s="530"/>
      <c r="M899" s="530"/>
      <c r="N899" s="530"/>
      <c r="O899" s="530"/>
      <c r="P899" s="530"/>
      <c r="Q899" s="530"/>
      <c r="R899" s="530"/>
      <c r="S899" s="530"/>
      <c r="T899" s="530"/>
      <c r="U899" s="530"/>
      <c r="V899" s="530"/>
      <c r="W899" s="530"/>
      <c r="X899" s="733"/>
      <c r="Y899" s="716"/>
      <c r="Z899" s="716"/>
      <c r="AA899" s="716"/>
      <c r="AB899" s="716"/>
      <c r="AC899" s="716"/>
      <c r="AD899" s="716"/>
      <c r="AE899" s="716"/>
      <c r="AF899" s="716"/>
      <c r="AG899" s="716"/>
      <c r="AH899" s="716"/>
      <c r="AI899" s="716"/>
      <c r="AJ899" s="716"/>
      <c r="AK899" s="716"/>
      <c r="AL899" s="716"/>
      <c r="AM899" s="716"/>
      <c r="AN899" s="716"/>
      <c r="AO899" s="716"/>
      <c r="AP899" s="716"/>
      <c r="AQ899" s="716"/>
      <c r="AR899" s="716"/>
    </row>
    <row r="900">
      <c r="A900" s="716"/>
      <c r="B900" s="530"/>
      <c r="C900" s="530"/>
      <c r="D900" s="530"/>
      <c r="E900" s="530"/>
      <c r="F900" s="530"/>
      <c r="G900" s="530"/>
      <c r="H900" s="530"/>
      <c r="I900" s="530"/>
      <c r="J900" s="530"/>
      <c r="K900" s="530"/>
      <c r="L900" s="530"/>
      <c r="M900" s="530"/>
      <c r="N900" s="530"/>
      <c r="O900" s="530"/>
      <c r="P900" s="530"/>
      <c r="Q900" s="530"/>
      <c r="R900" s="530"/>
      <c r="S900" s="530"/>
      <c r="T900" s="530"/>
      <c r="U900" s="530"/>
      <c r="V900" s="530"/>
      <c r="W900" s="530"/>
      <c r="X900" s="733"/>
      <c r="Y900" s="716"/>
      <c r="Z900" s="716"/>
      <c r="AA900" s="716"/>
      <c r="AB900" s="716"/>
      <c r="AC900" s="716"/>
      <c r="AD900" s="716"/>
      <c r="AE900" s="716"/>
      <c r="AF900" s="716"/>
      <c r="AG900" s="716"/>
      <c r="AH900" s="716"/>
      <c r="AI900" s="716"/>
      <c r="AJ900" s="716"/>
      <c r="AK900" s="716"/>
      <c r="AL900" s="716"/>
      <c r="AM900" s="716"/>
      <c r="AN900" s="716"/>
      <c r="AO900" s="716"/>
      <c r="AP900" s="716"/>
      <c r="AQ900" s="716"/>
      <c r="AR900" s="716"/>
    </row>
    <row r="901">
      <c r="A901" s="716"/>
      <c r="B901" s="530"/>
      <c r="C901" s="530"/>
      <c r="D901" s="530"/>
      <c r="E901" s="530"/>
      <c r="F901" s="530"/>
      <c r="G901" s="530"/>
      <c r="H901" s="530"/>
      <c r="I901" s="530"/>
      <c r="J901" s="530"/>
      <c r="K901" s="530"/>
      <c r="L901" s="530"/>
      <c r="M901" s="530"/>
      <c r="N901" s="530"/>
      <c r="O901" s="530"/>
      <c r="P901" s="530"/>
      <c r="Q901" s="530"/>
      <c r="R901" s="530"/>
      <c r="S901" s="530"/>
      <c r="T901" s="530"/>
      <c r="U901" s="530"/>
      <c r="V901" s="530"/>
      <c r="W901" s="530"/>
      <c r="X901" s="733"/>
      <c r="Y901" s="716"/>
      <c r="Z901" s="716"/>
      <c r="AA901" s="716"/>
      <c r="AB901" s="716"/>
      <c r="AC901" s="716"/>
      <c r="AD901" s="716"/>
      <c r="AE901" s="716"/>
      <c r="AF901" s="716"/>
      <c r="AG901" s="716"/>
      <c r="AH901" s="716"/>
      <c r="AI901" s="716"/>
      <c r="AJ901" s="716"/>
      <c r="AK901" s="716"/>
      <c r="AL901" s="716"/>
      <c r="AM901" s="716"/>
      <c r="AN901" s="716"/>
      <c r="AO901" s="716"/>
      <c r="AP901" s="716"/>
      <c r="AQ901" s="716"/>
      <c r="AR901" s="716"/>
    </row>
    <row r="902">
      <c r="A902" s="716"/>
      <c r="B902" s="530"/>
      <c r="C902" s="530"/>
      <c r="D902" s="530"/>
      <c r="E902" s="530"/>
      <c r="F902" s="530"/>
      <c r="G902" s="530"/>
      <c r="H902" s="530"/>
      <c r="I902" s="530"/>
      <c r="J902" s="530"/>
      <c r="K902" s="530"/>
      <c r="L902" s="530"/>
      <c r="M902" s="530"/>
      <c r="N902" s="530"/>
      <c r="O902" s="530"/>
      <c r="P902" s="530"/>
      <c r="Q902" s="530"/>
      <c r="R902" s="530"/>
      <c r="S902" s="530"/>
      <c r="T902" s="530"/>
      <c r="U902" s="530"/>
      <c r="V902" s="530"/>
      <c r="W902" s="530"/>
      <c r="X902" s="733"/>
      <c r="Y902" s="716"/>
      <c r="Z902" s="716"/>
      <c r="AA902" s="716"/>
      <c r="AB902" s="716"/>
      <c r="AC902" s="716"/>
      <c r="AD902" s="716"/>
      <c r="AE902" s="716"/>
      <c r="AF902" s="716"/>
      <c r="AG902" s="716"/>
      <c r="AH902" s="716"/>
      <c r="AI902" s="716"/>
      <c r="AJ902" s="716"/>
      <c r="AK902" s="716"/>
      <c r="AL902" s="716"/>
      <c r="AM902" s="716"/>
      <c r="AN902" s="716"/>
      <c r="AO902" s="716"/>
      <c r="AP902" s="716"/>
      <c r="AQ902" s="716"/>
      <c r="AR902" s="716"/>
    </row>
    <row r="903">
      <c r="A903" s="716"/>
      <c r="B903" s="530"/>
      <c r="C903" s="530"/>
      <c r="D903" s="530"/>
      <c r="E903" s="530"/>
      <c r="F903" s="530"/>
      <c r="G903" s="530"/>
      <c r="H903" s="530"/>
      <c r="I903" s="530"/>
      <c r="J903" s="530"/>
      <c r="K903" s="530"/>
      <c r="L903" s="530"/>
      <c r="M903" s="530"/>
      <c r="N903" s="530"/>
      <c r="O903" s="530"/>
      <c r="P903" s="530"/>
      <c r="Q903" s="530"/>
      <c r="R903" s="530"/>
      <c r="S903" s="530"/>
      <c r="T903" s="530"/>
      <c r="U903" s="530"/>
      <c r="V903" s="530"/>
      <c r="W903" s="530"/>
      <c r="X903" s="733"/>
      <c r="Y903" s="716"/>
      <c r="Z903" s="716"/>
      <c r="AA903" s="716"/>
      <c r="AB903" s="716"/>
      <c r="AC903" s="716"/>
      <c r="AD903" s="716"/>
      <c r="AE903" s="716"/>
      <c r="AF903" s="716"/>
      <c r="AG903" s="716"/>
      <c r="AH903" s="716"/>
      <c r="AI903" s="716"/>
      <c r="AJ903" s="716"/>
      <c r="AK903" s="716"/>
      <c r="AL903" s="716"/>
      <c r="AM903" s="716"/>
      <c r="AN903" s="716"/>
      <c r="AO903" s="716"/>
      <c r="AP903" s="716"/>
      <c r="AQ903" s="716"/>
      <c r="AR903" s="716"/>
    </row>
    <row r="904">
      <c r="A904" s="716"/>
      <c r="B904" s="530"/>
      <c r="C904" s="530"/>
      <c r="D904" s="530"/>
      <c r="E904" s="530"/>
      <c r="F904" s="530"/>
      <c r="G904" s="530"/>
      <c r="H904" s="530"/>
      <c r="I904" s="530"/>
      <c r="J904" s="530"/>
      <c r="K904" s="530"/>
      <c r="L904" s="530"/>
      <c r="M904" s="530"/>
      <c r="N904" s="530"/>
      <c r="O904" s="530"/>
      <c r="P904" s="530"/>
      <c r="Q904" s="530"/>
      <c r="R904" s="530"/>
      <c r="S904" s="530"/>
      <c r="T904" s="530"/>
      <c r="U904" s="530"/>
      <c r="V904" s="530"/>
      <c r="W904" s="530"/>
      <c r="X904" s="733"/>
      <c r="Y904" s="716"/>
      <c r="Z904" s="716"/>
      <c r="AA904" s="716"/>
      <c r="AB904" s="716"/>
      <c r="AC904" s="716"/>
      <c r="AD904" s="716"/>
      <c r="AE904" s="716"/>
      <c r="AF904" s="716"/>
      <c r="AG904" s="716"/>
      <c r="AH904" s="716"/>
      <c r="AI904" s="716"/>
      <c r="AJ904" s="716"/>
      <c r="AK904" s="716"/>
      <c r="AL904" s="716"/>
      <c r="AM904" s="716"/>
      <c r="AN904" s="716"/>
      <c r="AO904" s="716"/>
      <c r="AP904" s="716"/>
      <c r="AQ904" s="716"/>
      <c r="AR904" s="716"/>
    </row>
    <row r="905">
      <c r="A905" s="716"/>
      <c r="B905" s="530"/>
      <c r="C905" s="530"/>
      <c r="D905" s="530"/>
      <c r="E905" s="530"/>
      <c r="F905" s="530"/>
      <c r="G905" s="530"/>
      <c r="H905" s="530"/>
      <c r="I905" s="530"/>
      <c r="J905" s="530"/>
      <c r="K905" s="530"/>
      <c r="L905" s="530"/>
      <c r="M905" s="530"/>
      <c r="N905" s="530"/>
      <c r="O905" s="530"/>
      <c r="P905" s="530"/>
      <c r="Q905" s="530"/>
      <c r="R905" s="530"/>
      <c r="S905" s="530"/>
      <c r="T905" s="530"/>
      <c r="U905" s="530"/>
      <c r="V905" s="530"/>
      <c r="W905" s="530"/>
      <c r="X905" s="733"/>
      <c r="Y905" s="716"/>
      <c r="Z905" s="716"/>
      <c r="AA905" s="716"/>
      <c r="AB905" s="716"/>
      <c r="AC905" s="716"/>
      <c r="AD905" s="716"/>
      <c r="AE905" s="716"/>
      <c r="AF905" s="716"/>
      <c r="AG905" s="716"/>
      <c r="AH905" s="716"/>
      <c r="AI905" s="716"/>
      <c r="AJ905" s="716"/>
      <c r="AK905" s="716"/>
      <c r="AL905" s="716"/>
      <c r="AM905" s="716"/>
      <c r="AN905" s="716"/>
      <c r="AO905" s="716"/>
      <c r="AP905" s="716"/>
      <c r="AQ905" s="716"/>
      <c r="AR905" s="716"/>
    </row>
    <row r="906">
      <c r="A906" s="716"/>
      <c r="B906" s="530"/>
      <c r="C906" s="530"/>
      <c r="D906" s="530"/>
      <c r="E906" s="530"/>
      <c r="F906" s="530"/>
      <c r="G906" s="530"/>
      <c r="H906" s="530"/>
      <c r="I906" s="530"/>
      <c r="J906" s="530"/>
      <c r="K906" s="530"/>
      <c r="L906" s="530"/>
      <c r="M906" s="530"/>
      <c r="N906" s="530"/>
      <c r="O906" s="530"/>
      <c r="P906" s="530"/>
      <c r="Q906" s="530"/>
      <c r="R906" s="530"/>
      <c r="S906" s="530"/>
      <c r="T906" s="530"/>
      <c r="U906" s="530"/>
      <c r="V906" s="530"/>
      <c r="W906" s="530"/>
      <c r="X906" s="733"/>
      <c r="Y906" s="716"/>
      <c r="Z906" s="716"/>
      <c r="AA906" s="716"/>
      <c r="AB906" s="716"/>
      <c r="AC906" s="716"/>
      <c r="AD906" s="716"/>
      <c r="AE906" s="716"/>
      <c r="AF906" s="716"/>
      <c r="AG906" s="716"/>
      <c r="AH906" s="716"/>
      <c r="AI906" s="716"/>
      <c r="AJ906" s="716"/>
      <c r="AK906" s="716"/>
      <c r="AL906" s="716"/>
      <c r="AM906" s="716"/>
      <c r="AN906" s="716"/>
      <c r="AO906" s="716"/>
      <c r="AP906" s="716"/>
      <c r="AQ906" s="716"/>
      <c r="AR906" s="716"/>
    </row>
    <row r="907">
      <c r="A907" s="716"/>
      <c r="B907" s="530"/>
      <c r="C907" s="530"/>
      <c r="D907" s="530"/>
      <c r="E907" s="530"/>
      <c r="F907" s="530"/>
      <c r="G907" s="530"/>
      <c r="H907" s="530"/>
      <c r="I907" s="530"/>
      <c r="J907" s="530"/>
      <c r="K907" s="530"/>
      <c r="L907" s="530"/>
      <c r="M907" s="530"/>
      <c r="N907" s="530"/>
      <c r="O907" s="530"/>
      <c r="P907" s="530"/>
      <c r="Q907" s="530"/>
      <c r="R907" s="530"/>
      <c r="S907" s="530"/>
      <c r="T907" s="530"/>
      <c r="U907" s="530"/>
      <c r="V907" s="530"/>
      <c r="W907" s="530"/>
      <c r="X907" s="733"/>
      <c r="Y907" s="716"/>
      <c r="Z907" s="716"/>
      <c r="AA907" s="716"/>
      <c r="AB907" s="716"/>
      <c r="AC907" s="716"/>
      <c r="AD907" s="716"/>
      <c r="AE907" s="716"/>
      <c r="AF907" s="716"/>
      <c r="AG907" s="716"/>
      <c r="AH907" s="716"/>
      <c r="AI907" s="716"/>
      <c r="AJ907" s="716"/>
      <c r="AK907" s="716"/>
      <c r="AL907" s="716"/>
      <c r="AM907" s="716"/>
      <c r="AN907" s="716"/>
      <c r="AO907" s="716"/>
      <c r="AP907" s="716"/>
      <c r="AQ907" s="716"/>
      <c r="AR907" s="716"/>
    </row>
    <row r="908">
      <c r="A908" s="716"/>
      <c r="B908" s="530"/>
      <c r="C908" s="530"/>
      <c r="D908" s="530"/>
      <c r="E908" s="530"/>
      <c r="F908" s="530"/>
      <c r="G908" s="530"/>
      <c r="H908" s="530"/>
      <c r="I908" s="530"/>
      <c r="J908" s="530"/>
      <c r="K908" s="530"/>
      <c r="L908" s="530"/>
      <c r="M908" s="530"/>
      <c r="N908" s="530"/>
      <c r="O908" s="530"/>
      <c r="P908" s="530"/>
      <c r="Q908" s="530"/>
      <c r="R908" s="530"/>
      <c r="S908" s="530"/>
      <c r="T908" s="530"/>
      <c r="U908" s="530"/>
      <c r="V908" s="530"/>
      <c r="W908" s="530"/>
      <c r="X908" s="733"/>
      <c r="Y908" s="716"/>
      <c r="Z908" s="716"/>
      <c r="AA908" s="716"/>
      <c r="AB908" s="716"/>
      <c r="AC908" s="716"/>
      <c r="AD908" s="716"/>
      <c r="AE908" s="716"/>
      <c r="AF908" s="716"/>
      <c r="AG908" s="716"/>
      <c r="AH908" s="716"/>
      <c r="AI908" s="716"/>
      <c r="AJ908" s="716"/>
      <c r="AK908" s="716"/>
      <c r="AL908" s="716"/>
      <c r="AM908" s="716"/>
      <c r="AN908" s="716"/>
      <c r="AO908" s="716"/>
      <c r="AP908" s="716"/>
      <c r="AQ908" s="716"/>
      <c r="AR908" s="716"/>
    </row>
    <row r="909">
      <c r="A909" s="716"/>
      <c r="B909" s="530"/>
      <c r="C909" s="530"/>
      <c r="D909" s="530"/>
      <c r="E909" s="530"/>
      <c r="F909" s="530"/>
      <c r="G909" s="530"/>
      <c r="H909" s="530"/>
      <c r="I909" s="530"/>
      <c r="J909" s="530"/>
      <c r="K909" s="530"/>
      <c r="L909" s="530"/>
      <c r="M909" s="530"/>
      <c r="N909" s="530"/>
      <c r="O909" s="530"/>
      <c r="P909" s="530"/>
      <c r="Q909" s="530"/>
      <c r="R909" s="530"/>
      <c r="S909" s="530"/>
      <c r="T909" s="530"/>
      <c r="U909" s="530"/>
      <c r="V909" s="530"/>
      <c r="W909" s="530"/>
      <c r="X909" s="733"/>
      <c r="Y909" s="716"/>
      <c r="Z909" s="716"/>
      <c r="AA909" s="716"/>
      <c r="AB909" s="716"/>
      <c r="AC909" s="716"/>
      <c r="AD909" s="716"/>
      <c r="AE909" s="716"/>
      <c r="AF909" s="716"/>
      <c r="AG909" s="716"/>
      <c r="AH909" s="716"/>
      <c r="AI909" s="716"/>
      <c r="AJ909" s="716"/>
      <c r="AK909" s="716"/>
      <c r="AL909" s="716"/>
      <c r="AM909" s="716"/>
      <c r="AN909" s="716"/>
      <c r="AO909" s="716"/>
      <c r="AP909" s="716"/>
      <c r="AQ909" s="716"/>
      <c r="AR909" s="716"/>
    </row>
    <row r="910">
      <c r="A910" s="716"/>
      <c r="B910" s="530"/>
      <c r="C910" s="530"/>
      <c r="D910" s="530"/>
      <c r="E910" s="530"/>
      <c r="F910" s="530"/>
      <c r="G910" s="530"/>
      <c r="H910" s="530"/>
      <c r="I910" s="530"/>
      <c r="J910" s="530"/>
      <c r="K910" s="530"/>
      <c r="L910" s="530"/>
      <c r="M910" s="530"/>
      <c r="N910" s="530"/>
      <c r="O910" s="530"/>
      <c r="P910" s="530"/>
      <c r="Q910" s="530"/>
      <c r="R910" s="530"/>
      <c r="S910" s="530"/>
      <c r="T910" s="530"/>
      <c r="U910" s="530"/>
      <c r="V910" s="530"/>
      <c r="W910" s="530"/>
      <c r="X910" s="733"/>
      <c r="Y910" s="716"/>
      <c r="Z910" s="716"/>
      <c r="AA910" s="716"/>
      <c r="AB910" s="716"/>
      <c r="AC910" s="716"/>
      <c r="AD910" s="716"/>
      <c r="AE910" s="716"/>
      <c r="AF910" s="716"/>
      <c r="AG910" s="716"/>
      <c r="AH910" s="716"/>
      <c r="AI910" s="716"/>
      <c r="AJ910" s="716"/>
      <c r="AK910" s="716"/>
      <c r="AL910" s="716"/>
      <c r="AM910" s="716"/>
      <c r="AN910" s="716"/>
      <c r="AO910" s="716"/>
      <c r="AP910" s="716"/>
      <c r="AQ910" s="716"/>
      <c r="AR910" s="716"/>
    </row>
    <row r="911">
      <c r="A911" s="716"/>
      <c r="B911" s="530"/>
      <c r="C911" s="530"/>
      <c r="D911" s="530"/>
      <c r="E911" s="530"/>
      <c r="F911" s="530"/>
      <c r="G911" s="530"/>
      <c r="H911" s="530"/>
      <c r="I911" s="530"/>
      <c r="J911" s="530"/>
      <c r="K911" s="530"/>
      <c r="L911" s="530"/>
      <c r="M911" s="530"/>
      <c r="N911" s="530"/>
      <c r="O911" s="530"/>
      <c r="P911" s="530"/>
      <c r="Q911" s="530"/>
      <c r="R911" s="530"/>
      <c r="S911" s="530"/>
      <c r="T911" s="530"/>
      <c r="U911" s="530"/>
      <c r="V911" s="530"/>
      <c r="W911" s="530"/>
      <c r="X911" s="733"/>
      <c r="Y911" s="716"/>
      <c r="Z911" s="716"/>
      <c r="AA911" s="716"/>
      <c r="AB911" s="716"/>
      <c r="AC911" s="716"/>
      <c r="AD911" s="716"/>
      <c r="AE911" s="716"/>
      <c r="AF911" s="716"/>
      <c r="AG911" s="716"/>
      <c r="AH911" s="716"/>
      <c r="AI911" s="716"/>
      <c r="AJ911" s="716"/>
      <c r="AK911" s="716"/>
      <c r="AL911" s="716"/>
      <c r="AM911" s="716"/>
      <c r="AN911" s="716"/>
      <c r="AO911" s="716"/>
      <c r="AP911" s="716"/>
      <c r="AQ911" s="716"/>
      <c r="AR911" s="716"/>
    </row>
    <row r="912">
      <c r="A912" s="716"/>
      <c r="B912" s="530"/>
      <c r="C912" s="530"/>
      <c r="D912" s="530"/>
      <c r="E912" s="530"/>
      <c r="F912" s="530"/>
      <c r="G912" s="530"/>
      <c r="H912" s="530"/>
      <c r="I912" s="530"/>
      <c r="J912" s="530"/>
      <c r="K912" s="530"/>
      <c r="L912" s="530"/>
      <c r="M912" s="530"/>
      <c r="N912" s="530"/>
      <c r="O912" s="530"/>
      <c r="P912" s="530"/>
      <c r="Q912" s="530"/>
      <c r="R912" s="530"/>
      <c r="S912" s="530"/>
      <c r="T912" s="530"/>
      <c r="U912" s="530"/>
      <c r="V912" s="530"/>
      <c r="W912" s="530"/>
      <c r="X912" s="733"/>
      <c r="Y912" s="716"/>
      <c r="Z912" s="716"/>
      <c r="AA912" s="716"/>
      <c r="AB912" s="716"/>
      <c r="AC912" s="716"/>
      <c r="AD912" s="716"/>
      <c r="AE912" s="716"/>
      <c r="AF912" s="716"/>
      <c r="AG912" s="716"/>
      <c r="AH912" s="716"/>
      <c r="AI912" s="716"/>
      <c r="AJ912" s="716"/>
      <c r="AK912" s="716"/>
      <c r="AL912" s="716"/>
      <c r="AM912" s="716"/>
      <c r="AN912" s="716"/>
      <c r="AO912" s="716"/>
      <c r="AP912" s="716"/>
      <c r="AQ912" s="716"/>
      <c r="AR912" s="716"/>
    </row>
    <row r="913">
      <c r="A913" s="716"/>
      <c r="B913" s="530"/>
      <c r="C913" s="530"/>
      <c r="D913" s="530"/>
      <c r="E913" s="530"/>
      <c r="F913" s="530"/>
      <c r="G913" s="530"/>
      <c r="H913" s="530"/>
      <c r="I913" s="530"/>
      <c r="J913" s="530"/>
      <c r="K913" s="530"/>
      <c r="L913" s="530"/>
      <c r="M913" s="530"/>
      <c r="N913" s="530"/>
      <c r="O913" s="530"/>
      <c r="P913" s="530"/>
      <c r="Q913" s="530"/>
      <c r="R913" s="530"/>
      <c r="S913" s="530"/>
      <c r="T913" s="530"/>
      <c r="U913" s="530"/>
      <c r="V913" s="530"/>
      <c r="W913" s="530"/>
      <c r="X913" s="733"/>
      <c r="Y913" s="716"/>
      <c r="Z913" s="716"/>
      <c r="AA913" s="716"/>
      <c r="AB913" s="716"/>
      <c r="AC913" s="716"/>
      <c r="AD913" s="716"/>
      <c r="AE913" s="716"/>
      <c r="AF913" s="716"/>
      <c r="AG913" s="716"/>
      <c r="AH913" s="716"/>
      <c r="AI913" s="716"/>
      <c r="AJ913" s="716"/>
      <c r="AK913" s="716"/>
      <c r="AL913" s="716"/>
      <c r="AM913" s="716"/>
      <c r="AN913" s="716"/>
      <c r="AO913" s="716"/>
      <c r="AP913" s="716"/>
      <c r="AQ913" s="716"/>
      <c r="AR913" s="716"/>
    </row>
    <row r="914">
      <c r="A914" s="716"/>
      <c r="B914" s="530"/>
      <c r="C914" s="530"/>
      <c r="D914" s="530"/>
      <c r="E914" s="530"/>
      <c r="F914" s="530"/>
      <c r="G914" s="530"/>
      <c r="H914" s="530"/>
      <c r="I914" s="530"/>
      <c r="J914" s="530"/>
      <c r="K914" s="530"/>
      <c r="L914" s="530"/>
      <c r="M914" s="530"/>
      <c r="N914" s="530"/>
      <c r="O914" s="530"/>
      <c r="P914" s="530"/>
      <c r="Q914" s="530"/>
      <c r="R914" s="530"/>
      <c r="S914" s="530"/>
      <c r="T914" s="530"/>
      <c r="U914" s="530"/>
      <c r="V914" s="530"/>
      <c r="W914" s="530"/>
      <c r="X914" s="733"/>
      <c r="Y914" s="716"/>
      <c r="Z914" s="716"/>
      <c r="AA914" s="716"/>
      <c r="AB914" s="716"/>
      <c r="AC914" s="716"/>
      <c r="AD914" s="716"/>
      <c r="AE914" s="716"/>
      <c r="AF914" s="716"/>
      <c r="AG914" s="716"/>
      <c r="AH914" s="716"/>
      <c r="AI914" s="716"/>
      <c r="AJ914" s="716"/>
      <c r="AK914" s="716"/>
      <c r="AL914" s="716"/>
      <c r="AM914" s="716"/>
      <c r="AN914" s="716"/>
      <c r="AO914" s="716"/>
      <c r="AP914" s="716"/>
      <c r="AQ914" s="716"/>
      <c r="AR914" s="716"/>
    </row>
    <row r="915">
      <c r="A915" s="716"/>
      <c r="B915" s="530"/>
      <c r="C915" s="530"/>
      <c r="D915" s="530"/>
      <c r="E915" s="530"/>
      <c r="F915" s="530"/>
      <c r="G915" s="530"/>
      <c r="H915" s="530"/>
      <c r="I915" s="530"/>
      <c r="J915" s="530"/>
      <c r="K915" s="530"/>
      <c r="L915" s="530"/>
      <c r="M915" s="530"/>
      <c r="N915" s="530"/>
      <c r="O915" s="530"/>
      <c r="P915" s="530"/>
      <c r="Q915" s="530"/>
      <c r="R915" s="530"/>
      <c r="S915" s="530"/>
      <c r="T915" s="530"/>
      <c r="U915" s="530"/>
      <c r="V915" s="530"/>
      <c r="W915" s="530"/>
      <c r="X915" s="733"/>
      <c r="Y915" s="716"/>
      <c r="Z915" s="716"/>
      <c r="AA915" s="716"/>
      <c r="AB915" s="716"/>
      <c r="AC915" s="716"/>
      <c r="AD915" s="716"/>
      <c r="AE915" s="716"/>
      <c r="AF915" s="716"/>
      <c r="AG915" s="716"/>
      <c r="AH915" s="716"/>
      <c r="AI915" s="716"/>
      <c r="AJ915" s="716"/>
      <c r="AK915" s="716"/>
      <c r="AL915" s="716"/>
      <c r="AM915" s="716"/>
      <c r="AN915" s="716"/>
      <c r="AO915" s="716"/>
      <c r="AP915" s="716"/>
      <c r="AQ915" s="716"/>
      <c r="AR915" s="716"/>
    </row>
    <row r="916">
      <c r="A916" s="716"/>
      <c r="B916" s="530"/>
      <c r="C916" s="530"/>
      <c r="D916" s="530"/>
      <c r="E916" s="530"/>
      <c r="F916" s="530"/>
      <c r="G916" s="530"/>
      <c r="H916" s="530"/>
      <c r="I916" s="530"/>
      <c r="J916" s="530"/>
      <c r="K916" s="530"/>
      <c r="L916" s="530"/>
      <c r="M916" s="530"/>
      <c r="N916" s="530"/>
      <c r="O916" s="530"/>
      <c r="P916" s="530"/>
      <c r="Q916" s="530"/>
      <c r="R916" s="530"/>
      <c r="S916" s="530"/>
      <c r="T916" s="530"/>
      <c r="U916" s="530"/>
      <c r="V916" s="530"/>
      <c r="W916" s="530"/>
      <c r="X916" s="733"/>
      <c r="Y916" s="716"/>
      <c r="Z916" s="716"/>
      <c r="AA916" s="716"/>
      <c r="AB916" s="716"/>
      <c r="AC916" s="716"/>
      <c r="AD916" s="716"/>
      <c r="AE916" s="716"/>
      <c r="AF916" s="716"/>
      <c r="AG916" s="716"/>
      <c r="AH916" s="716"/>
      <c r="AI916" s="716"/>
      <c r="AJ916" s="716"/>
      <c r="AK916" s="716"/>
      <c r="AL916" s="716"/>
      <c r="AM916" s="716"/>
      <c r="AN916" s="716"/>
      <c r="AO916" s="716"/>
      <c r="AP916" s="716"/>
      <c r="AQ916" s="716"/>
      <c r="AR916" s="716"/>
    </row>
    <row r="917">
      <c r="A917" s="716"/>
      <c r="B917" s="530"/>
      <c r="C917" s="530"/>
      <c r="D917" s="530"/>
      <c r="E917" s="530"/>
      <c r="F917" s="530"/>
      <c r="G917" s="530"/>
      <c r="H917" s="530"/>
      <c r="I917" s="530"/>
      <c r="J917" s="530"/>
      <c r="K917" s="530"/>
      <c r="L917" s="530"/>
      <c r="M917" s="530"/>
      <c r="N917" s="530"/>
      <c r="O917" s="530"/>
      <c r="P917" s="530"/>
      <c r="Q917" s="530"/>
      <c r="R917" s="530"/>
      <c r="S917" s="530"/>
      <c r="T917" s="530"/>
      <c r="U917" s="530"/>
      <c r="V917" s="530"/>
      <c r="W917" s="530"/>
      <c r="X917" s="733"/>
      <c r="Y917" s="716"/>
      <c r="Z917" s="716"/>
      <c r="AA917" s="716"/>
      <c r="AB917" s="716"/>
      <c r="AC917" s="716"/>
      <c r="AD917" s="716"/>
      <c r="AE917" s="716"/>
      <c r="AF917" s="716"/>
      <c r="AG917" s="716"/>
      <c r="AH917" s="716"/>
      <c r="AI917" s="716"/>
      <c r="AJ917" s="716"/>
      <c r="AK917" s="716"/>
      <c r="AL917" s="716"/>
      <c r="AM917" s="716"/>
      <c r="AN917" s="716"/>
      <c r="AO917" s="716"/>
      <c r="AP917" s="716"/>
      <c r="AQ917" s="716"/>
      <c r="AR917" s="716"/>
    </row>
    <row r="918">
      <c r="A918" s="716"/>
      <c r="B918" s="530"/>
      <c r="C918" s="530"/>
      <c r="D918" s="530"/>
      <c r="E918" s="530"/>
      <c r="F918" s="530"/>
      <c r="G918" s="530"/>
      <c r="H918" s="530"/>
      <c r="I918" s="530"/>
      <c r="J918" s="530"/>
      <c r="K918" s="530"/>
      <c r="L918" s="530"/>
      <c r="M918" s="530"/>
      <c r="N918" s="530"/>
      <c r="O918" s="530"/>
      <c r="P918" s="530"/>
      <c r="Q918" s="530"/>
      <c r="R918" s="530"/>
      <c r="S918" s="530"/>
      <c r="T918" s="530"/>
      <c r="U918" s="530"/>
      <c r="V918" s="530"/>
      <c r="W918" s="530"/>
      <c r="X918" s="733"/>
      <c r="Y918" s="716"/>
      <c r="Z918" s="716"/>
      <c r="AA918" s="716"/>
      <c r="AB918" s="716"/>
      <c r="AC918" s="716"/>
      <c r="AD918" s="716"/>
      <c r="AE918" s="716"/>
      <c r="AF918" s="716"/>
      <c r="AG918" s="716"/>
      <c r="AH918" s="716"/>
      <c r="AI918" s="716"/>
      <c r="AJ918" s="716"/>
      <c r="AK918" s="716"/>
      <c r="AL918" s="716"/>
      <c r="AM918" s="716"/>
      <c r="AN918" s="716"/>
      <c r="AO918" s="716"/>
      <c r="AP918" s="716"/>
      <c r="AQ918" s="716"/>
      <c r="AR918" s="716"/>
    </row>
    <row r="919">
      <c r="A919" s="716"/>
      <c r="B919" s="530"/>
      <c r="C919" s="530"/>
      <c r="D919" s="530"/>
      <c r="E919" s="530"/>
      <c r="F919" s="530"/>
      <c r="G919" s="530"/>
      <c r="H919" s="530"/>
      <c r="I919" s="530"/>
      <c r="J919" s="530"/>
      <c r="K919" s="530"/>
      <c r="L919" s="530"/>
      <c r="M919" s="530"/>
      <c r="N919" s="530"/>
      <c r="O919" s="530"/>
      <c r="P919" s="530"/>
      <c r="Q919" s="530"/>
      <c r="R919" s="530"/>
      <c r="S919" s="530"/>
      <c r="T919" s="530"/>
      <c r="U919" s="530"/>
      <c r="V919" s="530"/>
      <c r="W919" s="530"/>
      <c r="X919" s="733"/>
      <c r="Y919" s="716"/>
      <c r="Z919" s="716"/>
      <c r="AA919" s="716"/>
      <c r="AB919" s="716"/>
      <c r="AC919" s="716"/>
      <c r="AD919" s="716"/>
      <c r="AE919" s="716"/>
      <c r="AF919" s="716"/>
      <c r="AG919" s="716"/>
      <c r="AH919" s="716"/>
      <c r="AI919" s="716"/>
      <c r="AJ919" s="716"/>
      <c r="AK919" s="716"/>
      <c r="AL919" s="716"/>
      <c r="AM919" s="716"/>
      <c r="AN919" s="716"/>
      <c r="AO919" s="716"/>
      <c r="AP919" s="716"/>
      <c r="AQ919" s="716"/>
      <c r="AR919" s="716"/>
    </row>
    <row r="920">
      <c r="A920" s="716"/>
      <c r="B920" s="530"/>
      <c r="C920" s="530"/>
      <c r="D920" s="530"/>
      <c r="E920" s="530"/>
      <c r="F920" s="530"/>
      <c r="G920" s="530"/>
      <c r="H920" s="530"/>
      <c r="I920" s="530"/>
      <c r="J920" s="530"/>
      <c r="K920" s="530"/>
      <c r="L920" s="530"/>
      <c r="M920" s="530"/>
      <c r="N920" s="530"/>
      <c r="O920" s="530"/>
      <c r="P920" s="530"/>
      <c r="Q920" s="530"/>
      <c r="R920" s="530"/>
      <c r="S920" s="530"/>
      <c r="T920" s="530"/>
      <c r="U920" s="530"/>
      <c r="V920" s="530"/>
      <c r="W920" s="530"/>
      <c r="X920" s="733"/>
      <c r="Y920" s="716"/>
      <c r="Z920" s="716"/>
      <c r="AA920" s="716"/>
      <c r="AB920" s="716"/>
      <c r="AC920" s="716"/>
      <c r="AD920" s="716"/>
      <c r="AE920" s="716"/>
      <c r="AF920" s="716"/>
      <c r="AG920" s="716"/>
      <c r="AH920" s="716"/>
      <c r="AI920" s="716"/>
      <c r="AJ920" s="716"/>
      <c r="AK920" s="716"/>
      <c r="AL920" s="716"/>
      <c r="AM920" s="716"/>
      <c r="AN920" s="716"/>
      <c r="AO920" s="716"/>
      <c r="AP920" s="716"/>
      <c r="AQ920" s="716"/>
      <c r="AR920" s="716"/>
    </row>
    <row r="921">
      <c r="A921" s="716"/>
      <c r="B921" s="530"/>
      <c r="C921" s="530"/>
      <c r="D921" s="530"/>
      <c r="E921" s="530"/>
      <c r="F921" s="530"/>
      <c r="G921" s="530"/>
      <c r="H921" s="530"/>
      <c r="I921" s="530"/>
      <c r="J921" s="530"/>
      <c r="K921" s="530"/>
      <c r="L921" s="530"/>
      <c r="M921" s="530"/>
      <c r="N921" s="530"/>
      <c r="O921" s="530"/>
      <c r="P921" s="530"/>
      <c r="Q921" s="530"/>
      <c r="R921" s="530"/>
      <c r="S921" s="530"/>
      <c r="T921" s="530"/>
      <c r="U921" s="530"/>
      <c r="V921" s="530"/>
      <c r="W921" s="530"/>
      <c r="X921" s="733"/>
      <c r="Y921" s="716"/>
      <c r="Z921" s="716"/>
      <c r="AA921" s="716"/>
      <c r="AB921" s="716"/>
      <c r="AC921" s="716"/>
      <c r="AD921" s="716"/>
      <c r="AE921" s="716"/>
      <c r="AF921" s="716"/>
      <c r="AG921" s="716"/>
      <c r="AH921" s="716"/>
      <c r="AI921" s="716"/>
      <c r="AJ921" s="716"/>
      <c r="AK921" s="716"/>
      <c r="AL921" s="716"/>
      <c r="AM921" s="716"/>
      <c r="AN921" s="716"/>
      <c r="AO921" s="716"/>
      <c r="AP921" s="716"/>
      <c r="AQ921" s="716"/>
      <c r="AR921" s="716"/>
    </row>
    <row r="922">
      <c r="A922" s="716"/>
      <c r="B922" s="530"/>
      <c r="C922" s="530"/>
      <c r="D922" s="530"/>
      <c r="E922" s="530"/>
      <c r="F922" s="530"/>
      <c r="G922" s="530"/>
      <c r="H922" s="530"/>
      <c r="I922" s="530"/>
      <c r="J922" s="530"/>
      <c r="K922" s="530"/>
      <c r="L922" s="530"/>
      <c r="M922" s="530"/>
      <c r="N922" s="530"/>
      <c r="O922" s="530"/>
      <c r="P922" s="530"/>
      <c r="Q922" s="530"/>
      <c r="R922" s="530"/>
      <c r="S922" s="530"/>
      <c r="T922" s="530"/>
      <c r="U922" s="530"/>
      <c r="V922" s="530"/>
      <c r="W922" s="530"/>
      <c r="X922" s="733"/>
      <c r="Y922" s="716"/>
      <c r="Z922" s="716"/>
      <c r="AA922" s="716"/>
      <c r="AB922" s="716"/>
      <c r="AC922" s="716"/>
      <c r="AD922" s="716"/>
      <c r="AE922" s="716"/>
      <c r="AF922" s="716"/>
      <c r="AG922" s="716"/>
      <c r="AH922" s="716"/>
      <c r="AI922" s="716"/>
      <c r="AJ922" s="716"/>
      <c r="AK922" s="716"/>
      <c r="AL922" s="716"/>
      <c r="AM922" s="716"/>
      <c r="AN922" s="716"/>
      <c r="AO922" s="716"/>
      <c r="AP922" s="716"/>
      <c r="AQ922" s="716"/>
      <c r="AR922" s="716"/>
    </row>
    <row r="923">
      <c r="A923" s="716"/>
      <c r="B923" s="530"/>
      <c r="C923" s="530"/>
      <c r="D923" s="530"/>
      <c r="E923" s="530"/>
      <c r="F923" s="530"/>
      <c r="G923" s="530"/>
      <c r="H923" s="530"/>
      <c r="I923" s="530"/>
      <c r="J923" s="530"/>
      <c r="K923" s="530"/>
      <c r="L923" s="530"/>
      <c r="M923" s="530"/>
      <c r="N923" s="530"/>
      <c r="O923" s="530"/>
      <c r="P923" s="530"/>
      <c r="Q923" s="530"/>
      <c r="R923" s="530"/>
      <c r="S923" s="530"/>
      <c r="T923" s="530"/>
      <c r="U923" s="530"/>
      <c r="V923" s="530"/>
      <c r="W923" s="530"/>
      <c r="X923" s="733"/>
      <c r="Y923" s="716"/>
      <c r="Z923" s="716"/>
      <c r="AA923" s="716"/>
      <c r="AB923" s="716"/>
      <c r="AC923" s="716"/>
      <c r="AD923" s="716"/>
      <c r="AE923" s="716"/>
      <c r="AF923" s="716"/>
      <c r="AG923" s="716"/>
      <c r="AH923" s="716"/>
      <c r="AI923" s="716"/>
      <c r="AJ923" s="716"/>
      <c r="AK923" s="716"/>
      <c r="AL923" s="716"/>
      <c r="AM923" s="716"/>
      <c r="AN923" s="716"/>
      <c r="AO923" s="716"/>
      <c r="AP923" s="716"/>
      <c r="AQ923" s="716"/>
      <c r="AR923" s="716"/>
    </row>
    <row r="924">
      <c r="A924" s="716"/>
      <c r="B924" s="530"/>
      <c r="C924" s="530"/>
      <c r="D924" s="530"/>
      <c r="E924" s="530"/>
      <c r="F924" s="530"/>
      <c r="G924" s="530"/>
      <c r="H924" s="530"/>
      <c r="I924" s="530"/>
      <c r="J924" s="530"/>
      <c r="K924" s="530"/>
      <c r="L924" s="530"/>
      <c r="M924" s="530"/>
      <c r="N924" s="530"/>
      <c r="O924" s="530"/>
      <c r="P924" s="530"/>
      <c r="Q924" s="530"/>
      <c r="R924" s="530"/>
      <c r="S924" s="530"/>
      <c r="T924" s="530"/>
      <c r="U924" s="530"/>
      <c r="V924" s="530"/>
      <c r="W924" s="530"/>
      <c r="X924" s="733"/>
      <c r="Y924" s="716"/>
      <c r="Z924" s="716"/>
      <c r="AA924" s="716"/>
      <c r="AB924" s="716"/>
      <c r="AC924" s="716"/>
      <c r="AD924" s="716"/>
      <c r="AE924" s="716"/>
      <c r="AF924" s="716"/>
      <c r="AG924" s="716"/>
      <c r="AH924" s="716"/>
      <c r="AI924" s="716"/>
      <c r="AJ924" s="716"/>
      <c r="AK924" s="716"/>
      <c r="AL924" s="716"/>
      <c r="AM924" s="716"/>
      <c r="AN924" s="716"/>
      <c r="AO924" s="716"/>
      <c r="AP924" s="716"/>
      <c r="AQ924" s="716"/>
      <c r="AR924" s="716"/>
    </row>
    <row r="925">
      <c r="A925" s="716"/>
      <c r="B925" s="530"/>
      <c r="C925" s="530"/>
      <c r="D925" s="530"/>
      <c r="E925" s="530"/>
      <c r="F925" s="530"/>
      <c r="G925" s="530"/>
      <c r="H925" s="530"/>
      <c r="I925" s="530"/>
      <c r="J925" s="530"/>
      <c r="K925" s="530"/>
      <c r="L925" s="530"/>
      <c r="M925" s="530"/>
      <c r="N925" s="530"/>
      <c r="O925" s="530"/>
      <c r="P925" s="530"/>
      <c r="Q925" s="530"/>
      <c r="R925" s="530"/>
      <c r="S925" s="530"/>
      <c r="T925" s="530"/>
      <c r="U925" s="530"/>
      <c r="V925" s="530"/>
      <c r="W925" s="530"/>
      <c r="X925" s="733"/>
      <c r="Y925" s="716"/>
      <c r="Z925" s="716"/>
      <c r="AA925" s="716"/>
      <c r="AB925" s="716"/>
      <c r="AC925" s="716"/>
      <c r="AD925" s="716"/>
      <c r="AE925" s="716"/>
      <c r="AF925" s="716"/>
      <c r="AG925" s="716"/>
      <c r="AH925" s="716"/>
      <c r="AI925" s="716"/>
      <c r="AJ925" s="716"/>
      <c r="AK925" s="716"/>
      <c r="AL925" s="716"/>
      <c r="AM925" s="716"/>
      <c r="AN925" s="716"/>
      <c r="AO925" s="716"/>
      <c r="AP925" s="716"/>
      <c r="AQ925" s="716"/>
      <c r="AR925" s="716"/>
    </row>
    <row r="926">
      <c r="A926" s="716"/>
      <c r="B926" s="530"/>
      <c r="C926" s="530"/>
      <c r="D926" s="530"/>
      <c r="E926" s="530"/>
      <c r="F926" s="530"/>
      <c r="G926" s="530"/>
      <c r="H926" s="530"/>
      <c r="I926" s="530"/>
      <c r="J926" s="530"/>
      <c r="K926" s="530"/>
      <c r="L926" s="530"/>
      <c r="M926" s="530"/>
      <c r="N926" s="530"/>
      <c r="O926" s="530"/>
      <c r="P926" s="530"/>
      <c r="Q926" s="530"/>
      <c r="R926" s="530"/>
      <c r="S926" s="530"/>
      <c r="T926" s="530"/>
      <c r="U926" s="530"/>
      <c r="V926" s="530"/>
      <c r="W926" s="530"/>
      <c r="X926" s="733"/>
      <c r="Y926" s="716"/>
      <c r="Z926" s="716"/>
      <c r="AA926" s="716"/>
      <c r="AB926" s="716"/>
      <c r="AC926" s="716"/>
      <c r="AD926" s="716"/>
      <c r="AE926" s="716"/>
      <c r="AF926" s="716"/>
      <c r="AG926" s="716"/>
      <c r="AH926" s="716"/>
      <c r="AI926" s="716"/>
      <c r="AJ926" s="716"/>
      <c r="AK926" s="716"/>
      <c r="AL926" s="716"/>
      <c r="AM926" s="716"/>
      <c r="AN926" s="716"/>
      <c r="AO926" s="716"/>
      <c r="AP926" s="716"/>
      <c r="AQ926" s="716"/>
      <c r="AR926" s="716"/>
    </row>
    <row r="927">
      <c r="A927" s="716"/>
      <c r="B927" s="530"/>
      <c r="C927" s="530"/>
      <c r="D927" s="530"/>
      <c r="E927" s="530"/>
      <c r="F927" s="530"/>
      <c r="G927" s="530"/>
      <c r="H927" s="530"/>
      <c r="I927" s="530"/>
      <c r="J927" s="530"/>
      <c r="K927" s="530"/>
      <c r="L927" s="530"/>
      <c r="M927" s="530"/>
      <c r="N927" s="530"/>
      <c r="O927" s="530"/>
      <c r="P927" s="530"/>
      <c r="Q927" s="530"/>
      <c r="R927" s="530"/>
      <c r="S927" s="530"/>
      <c r="T927" s="530"/>
      <c r="U927" s="530"/>
      <c r="V927" s="530"/>
      <c r="W927" s="530"/>
      <c r="X927" s="733"/>
      <c r="Y927" s="716"/>
      <c r="Z927" s="716"/>
      <c r="AA927" s="716"/>
      <c r="AB927" s="716"/>
      <c r="AC927" s="716"/>
      <c r="AD927" s="716"/>
      <c r="AE927" s="716"/>
      <c r="AF927" s="716"/>
      <c r="AG927" s="716"/>
      <c r="AH927" s="716"/>
      <c r="AI927" s="716"/>
      <c r="AJ927" s="716"/>
      <c r="AK927" s="716"/>
      <c r="AL927" s="716"/>
      <c r="AM927" s="716"/>
      <c r="AN927" s="716"/>
      <c r="AO927" s="716"/>
      <c r="AP927" s="716"/>
      <c r="AQ927" s="716"/>
      <c r="AR927" s="716"/>
    </row>
    <row r="928">
      <c r="A928" s="716"/>
      <c r="B928" s="530"/>
      <c r="C928" s="530"/>
      <c r="D928" s="530"/>
      <c r="E928" s="530"/>
      <c r="F928" s="530"/>
      <c r="G928" s="530"/>
      <c r="H928" s="530"/>
      <c r="I928" s="530"/>
      <c r="J928" s="530"/>
      <c r="K928" s="530"/>
      <c r="L928" s="530"/>
      <c r="M928" s="530"/>
      <c r="N928" s="530"/>
      <c r="O928" s="530"/>
      <c r="P928" s="530"/>
      <c r="Q928" s="530"/>
      <c r="R928" s="530"/>
      <c r="S928" s="530"/>
      <c r="T928" s="530"/>
      <c r="U928" s="530"/>
      <c r="V928" s="530"/>
      <c r="W928" s="530"/>
      <c r="X928" s="733"/>
      <c r="Y928" s="716"/>
      <c r="Z928" s="716"/>
      <c r="AA928" s="716"/>
      <c r="AB928" s="716"/>
      <c r="AC928" s="716"/>
      <c r="AD928" s="716"/>
      <c r="AE928" s="716"/>
      <c r="AF928" s="716"/>
      <c r="AG928" s="716"/>
      <c r="AH928" s="716"/>
      <c r="AI928" s="716"/>
      <c r="AJ928" s="716"/>
      <c r="AK928" s="716"/>
      <c r="AL928" s="716"/>
      <c r="AM928" s="716"/>
      <c r="AN928" s="716"/>
      <c r="AO928" s="716"/>
      <c r="AP928" s="716"/>
      <c r="AQ928" s="716"/>
      <c r="AR928" s="716"/>
    </row>
    <row r="929">
      <c r="A929" s="716"/>
      <c r="B929" s="530"/>
      <c r="C929" s="530"/>
      <c r="D929" s="530"/>
      <c r="E929" s="530"/>
      <c r="F929" s="530"/>
      <c r="G929" s="530"/>
      <c r="H929" s="530"/>
      <c r="I929" s="530"/>
      <c r="J929" s="530"/>
      <c r="K929" s="530"/>
      <c r="L929" s="530"/>
      <c r="M929" s="530"/>
      <c r="N929" s="530"/>
      <c r="O929" s="530"/>
      <c r="P929" s="530"/>
      <c r="Q929" s="530"/>
      <c r="R929" s="530"/>
      <c r="S929" s="530"/>
      <c r="T929" s="530"/>
      <c r="U929" s="530"/>
      <c r="V929" s="530"/>
      <c r="W929" s="530"/>
      <c r="X929" s="733"/>
      <c r="Y929" s="716"/>
      <c r="Z929" s="716"/>
      <c r="AA929" s="716"/>
      <c r="AB929" s="716"/>
      <c r="AC929" s="716"/>
      <c r="AD929" s="716"/>
      <c r="AE929" s="716"/>
      <c r="AF929" s="716"/>
      <c r="AG929" s="716"/>
      <c r="AH929" s="716"/>
      <c r="AI929" s="716"/>
      <c r="AJ929" s="716"/>
      <c r="AK929" s="716"/>
      <c r="AL929" s="716"/>
      <c r="AM929" s="716"/>
      <c r="AN929" s="716"/>
      <c r="AO929" s="716"/>
      <c r="AP929" s="716"/>
      <c r="AQ929" s="716"/>
      <c r="AR929" s="716"/>
    </row>
    <row r="930">
      <c r="A930" s="716"/>
      <c r="B930" s="530"/>
      <c r="C930" s="530"/>
      <c r="D930" s="530"/>
      <c r="E930" s="530"/>
      <c r="F930" s="530"/>
      <c r="G930" s="530"/>
      <c r="H930" s="530"/>
      <c r="I930" s="530"/>
      <c r="J930" s="530"/>
      <c r="K930" s="530"/>
      <c r="L930" s="530"/>
      <c r="M930" s="530"/>
      <c r="N930" s="530"/>
      <c r="O930" s="530"/>
      <c r="P930" s="530"/>
      <c r="Q930" s="530"/>
      <c r="R930" s="530"/>
      <c r="S930" s="530"/>
      <c r="T930" s="530"/>
      <c r="U930" s="530"/>
      <c r="V930" s="530"/>
      <c r="W930" s="530"/>
      <c r="X930" s="733"/>
      <c r="Y930" s="716"/>
      <c r="Z930" s="716"/>
      <c r="AA930" s="716"/>
      <c r="AB930" s="716"/>
      <c r="AC930" s="716"/>
      <c r="AD930" s="716"/>
      <c r="AE930" s="716"/>
      <c r="AF930" s="716"/>
      <c r="AG930" s="716"/>
      <c r="AH930" s="716"/>
      <c r="AI930" s="716"/>
      <c r="AJ930" s="716"/>
      <c r="AK930" s="716"/>
      <c r="AL930" s="716"/>
      <c r="AM930" s="716"/>
      <c r="AN930" s="716"/>
      <c r="AO930" s="716"/>
      <c r="AP930" s="716"/>
      <c r="AQ930" s="716"/>
      <c r="AR930" s="716"/>
    </row>
    <row r="931">
      <c r="A931" s="716"/>
      <c r="B931" s="530"/>
      <c r="C931" s="530"/>
      <c r="D931" s="530"/>
      <c r="E931" s="530"/>
      <c r="F931" s="530"/>
      <c r="G931" s="530"/>
      <c r="H931" s="530"/>
      <c r="I931" s="530"/>
      <c r="J931" s="530"/>
      <c r="K931" s="530"/>
      <c r="L931" s="530"/>
      <c r="M931" s="530"/>
      <c r="N931" s="530"/>
      <c r="O931" s="530"/>
      <c r="P931" s="530"/>
      <c r="Q931" s="530"/>
      <c r="R931" s="530"/>
      <c r="S931" s="530"/>
      <c r="T931" s="530"/>
      <c r="U931" s="530"/>
      <c r="V931" s="530"/>
      <c r="W931" s="530"/>
      <c r="X931" s="733"/>
      <c r="Y931" s="716"/>
      <c r="Z931" s="716"/>
      <c r="AA931" s="716"/>
      <c r="AB931" s="716"/>
      <c r="AC931" s="716"/>
      <c r="AD931" s="716"/>
      <c r="AE931" s="716"/>
      <c r="AF931" s="716"/>
      <c r="AG931" s="716"/>
      <c r="AH931" s="716"/>
      <c r="AI931" s="716"/>
      <c r="AJ931" s="716"/>
      <c r="AK931" s="716"/>
      <c r="AL931" s="716"/>
      <c r="AM931" s="716"/>
      <c r="AN931" s="716"/>
      <c r="AO931" s="716"/>
      <c r="AP931" s="716"/>
      <c r="AQ931" s="716"/>
      <c r="AR931" s="716"/>
    </row>
    <row r="932">
      <c r="A932" s="716"/>
      <c r="B932" s="530"/>
      <c r="C932" s="530"/>
      <c r="D932" s="530"/>
      <c r="E932" s="530"/>
      <c r="F932" s="530"/>
      <c r="G932" s="530"/>
      <c r="H932" s="530"/>
      <c r="I932" s="530"/>
      <c r="J932" s="530"/>
      <c r="K932" s="530"/>
      <c r="L932" s="530"/>
      <c r="M932" s="530"/>
      <c r="N932" s="530"/>
      <c r="O932" s="530"/>
      <c r="P932" s="530"/>
      <c r="Q932" s="530"/>
      <c r="R932" s="530"/>
      <c r="S932" s="530"/>
      <c r="T932" s="530"/>
      <c r="U932" s="530"/>
      <c r="V932" s="530"/>
      <c r="W932" s="530"/>
      <c r="X932" s="733"/>
      <c r="Y932" s="716"/>
      <c r="Z932" s="716"/>
      <c r="AA932" s="716"/>
      <c r="AB932" s="716"/>
      <c r="AC932" s="716"/>
      <c r="AD932" s="716"/>
      <c r="AE932" s="716"/>
      <c r="AF932" s="716"/>
      <c r="AG932" s="716"/>
      <c r="AH932" s="716"/>
      <c r="AI932" s="716"/>
      <c r="AJ932" s="716"/>
      <c r="AK932" s="716"/>
      <c r="AL932" s="716"/>
      <c r="AM932" s="716"/>
      <c r="AN932" s="716"/>
      <c r="AO932" s="716"/>
      <c r="AP932" s="716"/>
      <c r="AQ932" s="716"/>
      <c r="AR932" s="716"/>
    </row>
    <row r="933">
      <c r="A933" s="716"/>
      <c r="B933" s="530"/>
      <c r="C933" s="530"/>
      <c r="D933" s="530"/>
      <c r="E933" s="530"/>
      <c r="F933" s="530"/>
      <c r="G933" s="530"/>
      <c r="H933" s="530"/>
      <c r="I933" s="530"/>
      <c r="J933" s="530"/>
      <c r="K933" s="530"/>
      <c r="L933" s="530"/>
      <c r="M933" s="530"/>
      <c r="N933" s="530"/>
      <c r="O933" s="530"/>
      <c r="P933" s="530"/>
      <c r="Q933" s="530"/>
      <c r="R933" s="530"/>
      <c r="S933" s="530"/>
      <c r="T933" s="530"/>
      <c r="U933" s="530"/>
      <c r="V933" s="530"/>
      <c r="W933" s="530"/>
      <c r="X933" s="733"/>
      <c r="Y933" s="716"/>
      <c r="Z933" s="716"/>
      <c r="AA933" s="716"/>
      <c r="AB933" s="716"/>
      <c r="AC933" s="716"/>
      <c r="AD933" s="716"/>
      <c r="AE933" s="716"/>
      <c r="AF933" s="716"/>
      <c r="AG933" s="716"/>
      <c r="AH933" s="716"/>
      <c r="AI933" s="716"/>
      <c r="AJ933" s="716"/>
      <c r="AK933" s="716"/>
      <c r="AL933" s="716"/>
      <c r="AM933" s="716"/>
      <c r="AN933" s="716"/>
      <c r="AO933" s="716"/>
      <c r="AP933" s="716"/>
      <c r="AQ933" s="716"/>
      <c r="AR933" s="716"/>
    </row>
    <row r="934">
      <c r="A934" s="716"/>
      <c r="B934" s="530"/>
      <c r="C934" s="530"/>
      <c r="D934" s="530"/>
      <c r="E934" s="530"/>
      <c r="F934" s="530"/>
      <c r="G934" s="530"/>
      <c r="H934" s="530"/>
      <c r="I934" s="530"/>
      <c r="J934" s="530"/>
      <c r="K934" s="530"/>
      <c r="L934" s="530"/>
      <c r="M934" s="530"/>
      <c r="N934" s="530"/>
      <c r="O934" s="530"/>
      <c r="P934" s="530"/>
      <c r="Q934" s="530"/>
      <c r="R934" s="530"/>
      <c r="S934" s="530"/>
      <c r="T934" s="530"/>
      <c r="U934" s="530"/>
      <c r="V934" s="530"/>
      <c r="W934" s="530"/>
      <c r="X934" s="733"/>
      <c r="Y934" s="716"/>
      <c r="Z934" s="716"/>
      <c r="AA934" s="716"/>
      <c r="AB934" s="716"/>
      <c r="AC934" s="716"/>
      <c r="AD934" s="716"/>
      <c r="AE934" s="716"/>
      <c r="AF934" s="716"/>
      <c r="AG934" s="716"/>
      <c r="AH934" s="716"/>
      <c r="AI934" s="716"/>
      <c r="AJ934" s="716"/>
      <c r="AK934" s="716"/>
      <c r="AL934" s="716"/>
      <c r="AM934" s="716"/>
      <c r="AN934" s="716"/>
      <c r="AO934" s="716"/>
      <c r="AP934" s="716"/>
      <c r="AQ934" s="716"/>
      <c r="AR934" s="716"/>
    </row>
    <row r="935">
      <c r="A935" s="716"/>
      <c r="B935" s="530"/>
      <c r="C935" s="530"/>
      <c r="D935" s="530"/>
      <c r="E935" s="530"/>
      <c r="F935" s="530"/>
      <c r="G935" s="530"/>
      <c r="H935" s="530"/>
      <c r="I935" s="530"/>
      <c r="J935" s="530"/>
      <c r="K935" s="530"/>
      <c r="L935" s="530"/>
      <c r="M935" s="530"/>
      <c r="N935" s="530"/>
      <c r="O935" s="530"/>
      <c r="P935" s="530"/>
      <c r="Q935" s="530"/>
      <c r="R935" s="530"/>
      <c r="S935" s="530"/>
      <c r="T935" s="530"/>
      <c r="U935" s="530"/>
      <c r="V935" s="530"/>
      <c r="W935" s="530"/>
      <c r="X935" s="733"/>
      <c r="Y935" s="716"/>
      <c r="Z935" s="716"/>
      <c r="AA935" s="716"/>
      <c r="AB935" s="716"/>
      <c r="AC935" s="716"/>
      <c r="AD935" s="716"/>
      <c r="AE935" s="716"/>
      <c r="AF935" s="716"/>
      <c r="AG935" s="716"/>
      <c r="AH935" s="716"/>
      <c r="AI935" s="716"/>
      <c r="AJ935" s="716"/>
      <c r="AK935" s="716"/>
      <c r="AL935" s="716"/>
      <c r="AM935" s="716"/>
      <c r="AN935" s="716"/>
      <c r="AO935" s="716"/>
      <c r="AP935" s="716"/>
      <c r="AQ935" s="716"/>
      <c r="AR935" s="716"/>
    </row>
    <row r="936">
      <c r="A936" s="716"/>
      <c r="B936" s="530"/>
      <c r="C936" s="530"/>
      <c r="D936" s="530"/>
      <c r="E936" s="530"/>
      <c r="F936" s="530"/>
      <c r="G936" s="530"/>
      <c r="H936" s="530"/>
      <c r="I936" s="530"/>
      <c r="J936" s="530"/>
      <c r="K936" s="530"/>
      <c r="L936" s="530"/>
      <c r="M936" s="530"/>
      <c r="N936" s="530"/>
      <c r="O936" s="530"/>
      <c r="P936" s="530"/>
      <c r="Q936" s="530"/>
      <c r="R936" s="530"/>
      <c r="S936" s="530"/>
      <c r="T936" s="530"/>
      <c r="U936" s="530"/>
      <c r="V936" s="530"/>
      <c r="W936" s="530"/>
      <c r="X936" s="733"/>
      <c r="Y936" s="716"/>
      <c r="Z936" s="716"/>
      <c r="AA936" s="716"/>
      <c r="AB936" s="716"/>
      <c r="AC936" s="716"/>
      <c r="AD936" s="716"/>
      <c r="AE936" s="716"/>
      <c r="AF936" s="716"/>
      <c r="AG936" s="716"/>
      <c r="AH936" s="716"/>
      <c r="AI936" s="716"/>
      <c r="AJ936" s="716"/>
      <c r="AK936" s="716"/>
      <c r="AL936" s="716"/>
      <c r="AM936" s="716"/>
      <c r="AN936" s="716"/>
      <c r="AO936" s="716"/>
      <c r="AP936" s="716"/>
      <c r="AQ936" s="716"/>
      <c r="AR936" s="716"/>
    </row>
    <row r="937">
      <c r="A937" s="716"/>
      <c r="B937" s="530"/>
      <c r="C937" s="530"/>
      <c r="D937" s="530"/>
      <c r="E937" s="530"/>
      <c r="F937" s="530"/>
      <c r="G937" s="530"/>
      <c r="H937" s="530"/>
      <c r="I937" s="530"/>
      <c r="J937" s="530"/>
      <c r="K937" s="530"/>
      <c r="L937" s="530"/>
      <c r="M937" s="530"/>
      <c r="N937" s="530"/>
      <c r="O937" s="530"/>
      <c r="P937" s="530"/>
      <c r="Q937" s="530"/>
      <c r="R937" s="530"/>
      <c r="S937" s="530"/>
      <c r="T937" s="530"/>
      <c r="U937" s="530"/>
      <c r="V937" s="530"/>
      <c r="W937" s="530"/>
      <c r="X937" s="733"/>
      <c r="Y937" s="716"/>
      <c r="Z937" s="716"/>
      <c r="AA937" s="716"/>
      <c r="AB937" s="716"/>
      <c r="AC937" s="716"/>
      <c r="AD937" s="716"/>
      <c r="AE937" s="716"/>
      <c r="AF937" s="716"/>
      <c r="AG937" s="716"/>
      <c r="AH937" s="716"/>
      <c r="AI937" s="716"/>
      <c r="AJ937" s="716"/>
      <c r="AK937" s="716"/>
      <c r="AL937" s="716"/>
      <c r="AM937" s="716"/>
      <c r="AN937" s="716"/>
      <c r="AO937" s="716"/>
      <c r="AP937" s="716"/>
      <c r="AQ937" s="716"/>
      <c r="AR937" s="716"/>
    </row>
    <row r="938">
      <c r="A938" s="716"/>
      <c r="B938" s="530"/>
      <c r="C938" s="530"/>
      <c r="D938" s="530"/>
      <c r="E938" s="530"/>
      <c r="F938" s="530"/>
      <c r="G938" s="530"/>
      <c r="H938" s="530"/>
      <c r="I938" s="530"/>
      <c r="J938" s="530"/>
      <c r="K938" s="530"/>
      <c r="L938" s="530"/>
      <c r="M938" s="530"/>
      <c r="N938" s="530"/>
      <c r="O938" s="530"/>
      <c r="P938" s="530"/>
      <c r="Q938" s="530"/>
      <c r="R938" s="530"/>
      <c r="S938" s="530"/>
      <c r="T938" s="530"/>
      <c r="U938" s="530"/>
      <c r="V938" s="530"/>
      <c r="W938" s="530"/>
      <c r="X938" s="733"/>
      <c r="Y938" s="716"/>
      <c r="Z938" s="716"/>
      <c r="AA938" s="716"/>
      <c r="AB938" s="716"/>
      <c r="AC938" s="716"/>
      <c r="AD938" s="716"/>
      <c r="AE938" s="716"/>
      <c r="AF938" s="716"/>
      <c r="AG938" s="716"/>
      <c r="AH938" s="716"/>
      <c r="AI938" s="716"/>
      <c r="AJ938" s="716"/>
      <c r="AK938" s="716"/>
      <c r="AL938" s="716"/>
      <c r="AM938" s="716"/>
      <c r="AN938" s="716"/>
      <c r="AO938" s="716"/>
      <c r="AP938" s="716"/>
      <c r="AQ938" s="716"/>
      <c r="AR938" s="716"/>
    </row>
    <row r="939">
      <c r="A939" s="716"/>
      <c r="B939" s="530"/>
      <c r="C939" s="530"/>
      <c r="D939" s="530"/>
      <c r="E939" s="530"/>
      <c r="F939" s="530"/>
      <c r="G939" s="530"/>
      <c r="H939" s="530"/>
      <c r="I939" s="530"/>
      <c r="J939" s="530"/>
      <c r="K939" s="530"/>
      <c r="L939" s="530"/>
      <c r="M939" s="530"/>
      <c r="N939" s="530"/>
      <c r="O939" s="530"/>
      <c r="P939" s="530"/>
      <c r="Q939" s="530"/>
      <c r="R939" s="530"/>
      <c r="S939" s="530"/>
      <c r="T939" s="530"/>
      <c r="U939" s="530"/>
      <c r="V939" s="530"/>
      <c r="W939" s="530"/>
      <c r="X939" s="733"/>
      <c r="Y939" s="716"/>
      <c r="Z939" s="716"/>
      <c r="AA939" s="716"/>
      <c r="AB939" s="716"/>
      <c r="AC939" s="716"/>
      <c r="AD939" s="716"/>
      <c r="AE939" s="716"/>
      <c r="AF939" s="716"/>
      <c r="AG939" s="716"/>
      <c r="AH939" s="716"/>
      <c r="AI939" s="716"/>
      <c r="AJ939" s="716"/>
      <c r="AK939" s="716"/>
      <c r="AL939" s="716"/>
      <c r="AM939" s="716"/>
      <c r="AN939" s="716"/>
      <c r="AO939" s="716"/>
      <c r="AP939" s="716"/>
      <c r="AQ939" s="716"/>
      <c r="AR939" s="716"/>
    </row>
    <row r="940">
      <c r="A940" s="716"/>
      <c r="B940" s="530"/>
      <c r="C940" s="530"/>
      <c r="D940" s="530"/>
      <c r="E940" s="530"/>
      <c r="F940" s="530"/>
      <c r="G940" s="530"/>
      <c r="H940" s="530"/>
      <c r="I940" s="530"/>
      <c r="J940" s="530"/>
      <c r="K940" s="530"/>
      <c r="L940" s="530"/>
      <c r="M940" s="530"/>
      <c r="N940" s="530"/>
      <c r="O940" s="530"/>
      <c r="P940" s="530"/>
      <c r="Q940" s="530"/>
      <c r="R940" s="530"/>
      <c r="S940" s="530"/>
      <c r="T940" s="530"/>
      <c r="U940" s="530"/>
      <c r="V940" s="530"/>
      <c r="W940" s="530"/>
      <c r="X940" s="733"/>
      <c r="Y940" s="716"/>
      <c r="Z940" s="716"/>
      <c r="AA940" s="716"/>
      <c r="AB940" s="716"/>
      <c r="AC940" s="716"/>
      <c r="AD940" s="716"/>
      <c r="AE940" s="716"/>
      <c r="AF940" s="716"/>
      <c r="AG940" s="716"/>
      <c r="AH940" s="716"/>
      <c r="AI940" s="716"/>
      <c r="AJ940" s="716"/>
      <c r="AK940" s="716"/>
      <c r="AL940" s="716"/>
      <c r="AM940" s="716"/>
      <c r="AN940" s="716"/>
      <c r="AO940" s="716"/>
      <c r="AP940" s="716"/>
      <c r="AQ940" s="716"/>
      <c r="AR940" s="716"/>
    </row>
    <row r="941">
      <c r="A941" s="716"/>
      <c r="B941" s="530"/>
      <c r="C941" s="530"/>
      <c r="D941" s="530"/>
      <c r="E941" s="530"/>
      <c r="F941" s="530"/>
      <c r="G941" s="530"/>
      <c r="H941" s="530"/>
      <c r="I941" s="530"/>
      <c r="J941" s="530"/>
      <c r="K941" s="530"/>
      <c r="L941" s="530"/>
      <c r="M941" s="530"/>
      <c r="N941" s="530"/>
      <c r="O941" s="530"/>
      <c r="P941" s="530"/>
      <c r="Q941" s="530"/>
      <c r="R941" s="530"/>
      <c r="S941" s="530"/>
      <c r="T941" s="530"/>
      <c r="U941" s="530"/>
      <c r="V941" s="530"/>
      <c r="W941" s="530"/>
      <c r="X941" s="733"/>
      <c r="Y941" s="716"/>
      <c r="Z941" s="716"/>
      <c r="AA941" s="716"/>
      <c r="AB941" s="716"/>
      <c r="AC941" s="716"/>
      <c r="AD941" s="716"/>
      <c r="AE941" s="716"/>
      <c r="AF941" s="716"/>
      <c r="AG941" s="716"/>
      <c r="AH941" s="716"/>
      <c r="AI941" s="716"/>
      <c r="AJ941" s="716"/>
      <c r="AK941" s="716"/>
      <c r="AL941" s="716"/>
      <c r="AM941" s="716"/>
      <c r="AN941" s="716"/>
      <c r="AO941" s="716"/>
      <c r="AP941" s="716"/>
      <c r="AQ941" s="716"/>
      <c r="AR941" s="716"/>
    </row>
    <row r="942">
      <c r="A942" s="716"/>
      <c r="B942" s="530"/>
      <c r="C942" s="530"/>
      <c r="D942" s="530"/>
      <c r="E942" s="530"/>
      <c r="F942" s="530"/>
      <c r="G942" s="530"/>
      <c r="H942" s="530"/>
      <c r="I942" s="530"/>
      <c r="J942" s="530"/>
      <c r="K942" s="530"/>
      <c r="L942" s="530"/>
      <c r="M942" s="530"/>
      <c r="N942" s="530"/>
      <c r="O942" s="530"/>
      <c r="P942" s="530"/>
      <c r="Q942" s="530"/>
      <c r="R942" s="530"/>
      <c r="S942" s="530"/>
      <c r="T942" s="530"/>
      <c r="U942" s="530"/>
      <c r="V942" s="530"/>
      <c r="W942" s="530"/>
      <c r="X942" s="733"/>
      <c r="Y942" s="716"/>
      <c r="Z942" s="716"/>
      <c r="AA942" s="716"/>
      <c r="AB942" s="716"/>
      <c r="AC942" s="716"/>
      <c r="AD942" s="716"/>
      <c r="AE942" s="716"/>
      <c r="AF942" s="716"/>
      <c r="AG942" s="716"/>
      <c r="AH942" s="716"/>
      <c r="AI942" s="716"/>
      <c r="AJ942" s="716"/>
      <c r="AK942" s="716"/>
      <c r="AL942" s="716"/>
      <c r="AM942" s="716"/>
      <c r="AN942" s="716"/>
      <c r="AO942" s="716"/>
      <c r="AP942" s="716"/>
      <c r="AQ942" s="716"/>
      <c r="AR942" s="716"/>
    </row>
    <row r="943">
      <c r="A943" s="716"/>
      <c r="B943" s="530"/>
      <c r="C943" s="530"/>
      <c r="D943" s="530"/>
      <c r="E943" s="530"/>
      <c r="F943" s="530"/>
      <c r="G943" s="530"/>
      <c r="H943" s="530"/>
      <c r="I943" s="530"/>
      <c r="J943" s="530"/>
      <c r="K943" s="530"/>
      <c r="L943" s="530"/>
      <c r="M943" s="530"/>
      <c r="N943" s="530"/>
      <c r="O943" s="530"/>
      <c r="P943" s="530"/>
      <c r="Q943" s="530"/>
      <c r="R943" s="530"/>
      <c r="S943" s="530"/>
      <c r="T943" s="530"/>
      <c r="U943" s="530"/>
      <c r="V943" s="530"/>
      <c r="W943" s="530"/>
      <c r="X943" s="733"/>
      <c r="Y943" s="716"/>
      <c r="Z943" s="716"/>
      <c r="AA943" s="716"/>
      <c r="AB943" s="716"/>
      <c r="AC943" s="716"/>
      <c r="AD943" s="716"/>
      <c r="AE943" s="716"/>
      <c r="AF943" s="716"/>
      <c r="AG943" s="716"/>
      <c r="AH943" s="716"/>
      <c r="AI943" s="716"/>
      <c r="AJ943" s="716"/>
      <c r="AK943" s="716"/>
      <c r="AL943" s="716"/>
      <c r="AM943" s="716"/>
      <c r="AN943" s="716"/>
      <c r="AO943" s="716"/>
      <c r="AP943" s="716"/>
      <c r="AQ943" s="716"/>
      <c r="AR943" s="716"/>
    </row>
    <row r="944">
      <c r="A944" s="716"/>
      <c r="B944" s="530"/>
      <c r="C944" s="530"/>
      <c r="D944" s="530"/>
      <c r="E944" s="530"/>
      <c r="F944" s="530"/>
      <c r="G944" s="530"/>
      <c r="H944" s="530"/>
      <c r="I944" s="530"/>
      <c r="J944" s="530"/>
      <c r="K944" s="530"/>
      <c r="L944" s="530"/>
      <c r="M944" s="530"/>
      <c r="N944" s="530"/>
      <c r="O944" s="530"/>
      <c r="P944" s="530"/>
      <c r="Q944" s="530"/>
      <c r="R944" s="530"/>
      <c r="S944" s="530"/>
      <c r="T944" s="530"/>
      <c r="U944" s="530"/>
      <c r="V944" s="530"/>
      <c r="W944" s="530"/>
      <c r="X944" s="733"/>
      <c r="Y944" s="716"/>
      <c r="Z944" s="716"/>
      <c r="AA944" s="716"/>
      <c r="AB944" s="716"/>
      <c r="AC944" s="716"/>
      <c r="AD944" s="716"/>
      <c r="AE944" s="716"/>
      <c r="AF944" s="716"/>
      <c r="AG944" s="716"/>
      <c r="AH944" s="716"/>
      <c r="AI944" s="716"/>
      <c r="AJ944" s="716"/>
      <c r="AK944" s="716"/>
      <c r="AL944" s="716"/>
      <c r="AM944" s="716"/>
      <c r="AN944" s="716"/>
      <c r="AO944" s="716"/>
      <c r="AP944" s="716"/>
      <c r="AQ944" s="716"/>
      <c r="AR944" s="716"/>
    </row>
    <row r="945">
      <c r="A945" s="716"/>
      <c r="B945" s="530"/>
      <c r="C945" s="530"/>
      <c r="D945" s="530"/>
      <c r="E945" s="530"/>
      <c r="F945" s="530"/>
      <c r="G945" s="530"/>
      <c r="H945" s="530"/>
      <c r="I945" s="530"/>
      <c r="J945" s="530"/>
      <c r="K945" s="530"/>
      <c r="L945" s="530"/>
      <c r="M945" s="530"/>
      <c r="N945" s="530"/>
      <c r="O945" s="530"/>
      <c r="P945" s="530"/>
      <c r="Q945" s="530"/>
      <c r="R945" s="530"/>
      <c r="S945" s="530"/>
      <c r="T945" s="530"/>
      <c r="U945" s="530"/>
      <c r="V945" s="530"/>
      <c r="W945" s="530"/>
      <c r="X945" s="733"/>
      <c r="Y945" s="716"/>
      <c r="Z945" s="716"/>
      <c r="AA945" s="716"/>
      <c r="AB945" s="716"/>
      <c r="AC945" s="716"/>
      <c r="AD945" s="716"/>
      <c r="AE945" s="716"/>
      <c r="AF945" s="716"/>
      <c r="AG945" s="716"/>
      <c r="AH945" s="716"/>
      <c r="AI945" s="716"/>
      <c r="AJ945" s="716"/>
      <c r="AK945" s="716"/>
      <c r="AL945" s="716"/>
      <c r="AM945" s="716"/>
      <c r="AN945" s="716"/>
      <c r="AO945" s="716"/>
      <c r="AP945" s="716"/>
      <c r="AQ945" s="716"/>
      <c r="AR945" s="716"/>
    </row>
    <row r="946">
      <c r="A946" s="716"/>
      <c r="B946" s="530"/>
      <c r="C946" s="530"/>
      <c r="D946" s="530"/>
      <c r="E946" s="530"/>
      <c r="F946" s="530"/>
      <c r="G946" s="530"/>
      <c r="H946" s="530"/>
      <c r="I946" s="530"/>
      <c r="J946" s="530"/>
      <c r="K946" s="530"/>
      <c r="L946" s="530"/>
      <c r="M946" s="530"/>
      <c r="N946" s="530"/>
      <c r="O946" s="530"/>
      <c r="P946" s="530"/>
      <c r="Q946" s="530"/>
      <c r="R946" s="530"/>
      <c r="S946" s="530"/>
      <c r="T946" s="530"/>
      <c r="U946" s="530"/>
      <c r="V946" s="530"/>
      <c r="W946" s="530"/>
      <c r="X946" s="733"/>
      <c r="Y946" s="716"/>
      <c r="Z946" s="716"/>
      <c r="AA946" s="716"/>
      <c r="AB946" s="716"/>
      <c r="AC946" s="716"/>
      <c r="AD946" s="716"/>
      <c r="AE946" s="716"/>
      <c r="AF946" s="716"/>
      <c r="AG946" s="716"/>
      <c r="AH946" s="716"/>
      <c r="AI946" s="716"/>
      <c r="AJ946" s="716"/>
      <c r="AK946" s="716"/>
      <c r="AL946" s="716"/>
      <c r="AM946" s="716"/>
      <c r="AN946" s="716"/>
      <c r="AO946" s="716"/>
      <c r="AP946" s="716"/>
      <c r="AQ946" s="716"/>
      <c r="AR946" s="716"/>
    </row>
    <row r="947">
      <c r="A947" s="716"/>
      <c r="B947" s="530"/>
      <c r="C947" s="530"/>
      <c r="D947" s="530"/>
      <c r="E947" s="530"/>
      <c r="F947" s="530"/>
      <c r="G947" s="530"/>
      <c r="H947" s="530"/>
      <c r="I947" s="530"/>
      <c r="J947" s="530"/>
      <c r="K947" s="530"/>
      <c r="L947" s="530"/>
      <c r="M947" s="530"/>
      <c r="N947" s="530"/>
      <c r="O947" s="530"/>
      <c r="P947" s="530"/>
      <c r="Q947" s="530"/>
      <c r="R947" s="530"/>
      <c r="S947" s="530"/>
      <c r="T947" s="530"/>
      <c r="U947" s="530"/>
      <c r="V947" s="530"/>
      <c r="W947" s="530"/>
      <c r="X947" s="733"/>
      <c r="Y947" s="716"/>
      <c r="Z947" s="716"/>
      <c r="AA947" s="716"/>
      <c r="AB947" s="716"/>
      <c r="AC947" s="716"/>
      <c r="AD947" s="716"/>
      <c r="AE947" s="716"/>
      <c r="AF947" s="716"/>
      <c r="AG947" s="716"/>
      <c r="AH947" s="716"/>
      <c r="AI947" s="716"/>
      <c r="AJ947" s="716"/>
      <c r="AK947" s="716"/>
      <c r="AL947" s="716"/>
      <c r="AM947" s="716"/>
      <c r="AN947" s="716"/>
      <c r="AO947" s="716"/>
      <c r="AP947" s="716"/>
      <c r="AQ947" s="716"/>
      <c r="AR947" s="716"/>
    </row>
    <row r="948">
      <c r="A948" s="716"/>
      <c r="B948" s="530"/>
      <c r="C948" s="530"/>
      <c r="D948" s="530"/>
      <c r="E948" s="530"/>
      <c r="F948" s="530"/>
      <c r="G948" s="530"/>
      <c r="H948" s="530"/>
      <c r="I948" s="530"/>
      <c r="J948" s="530"/>
      <c r="K948" s="530"/>
      <c r="L948" s="530"/>
      <c r="M948" s="530"/>
      <c r="N948" s="530"/>
      <c r="O948" s="530"/>
      <c r="P948" s="530"/>
      <c r="Q948" s="530"/>
      <c r="R948" s="530"/>
      <c r="S948" s="530"/>
      <c r="T948" s="530"/>
      <c r="U948" s="530"/>
      <c r="V948" s="530"/>
      <c r="W948" s="530"/>
      <c r="X948" s="733"/>
      <c r="Y948" s="716"/>
      <c r="Z948" s="716"/>
      <c r="AA948" s="716"/>
      <c r="AB948" s="716"/>
      <c r="AC948" s="716"/>
      <c r="AD948" s="716"/>
      <c r="AE948" s="716"/>
      <c r="AF948" s="716"/>
      <c r="AG948" s="716"/>
      <c r="AH948" s="716"/>
      <c r="AI948" s="716"/>
      <c r="AJ948" s="716"/>
      <c r="AK948" s="716"/>
      <c r="AL948" s="716"/>
      <c r="AM948" s="716"/>
      <c r="AN948" s="716"/>
      <c r="AO948" s="716"/>
      <c r="AP948" s="716"/>
      <c r="AQ948" s="716"/>
      <c r="AR948" s="716"/>
    </row>
    <row r="949">
      <c r="A949" s="716"/>
      <c r="B949" s="530"/>
      <c r="C949" s="530"/>
      <c r="D949" s="530"/>
      <c r="E949" s="530"/>
      <c r="F949" s="530"/>
      <c r="G949" s="530"/>
      <c r="H949" s="530"/>
      <c r="I949" s="530"/>
      <c r="J949" s="530"/>
      <c r="K949" s="530"/>
      <c r="L949" s="530"/>
      <c r="M949" s="530"/>
      <c r="N949" s="530"/>
      <c r="O949" s="530"/>
      <c r="P949" s="530"/>
      <c r="Q949" s="530"/>
      <c r="R949" s="530"/>
      <c r="S949" s="530"/>
      <c r="T949" s="530"/>
      <c r="U949" s="530"/>
      <c r="V949" s="530"/>
      <c r="W949" s="530"/>
      <c r="X949" s="733"/>
      <c r="Y949" s="716"/>
      <c r="Z949" s="716"/>
      <c r="AA949" s="716"/>
      <c r="AB949" s="716"/>
      <c r="AC949" s="716"/>
      <c r="AD949" s="716"/>
      <c r="AE949" s="716"/>
      <c r="AF949" s="716"/>
      <c r="AG949" s="716"/>
      <c r="AH949" s="716"/>
      <c r="AI949" s="716"/>
      <c r="AJ949" s="716"/>
      <c r="AK949" s="716"/>
      <c r="AL949" s="716"/>
      <c r="AM949" s="716"/>
      <c r="AN949" s="716"/>
      <c r="AO949" s="716"/>
      <c r="AP949" s="716"/>
      <c r="AQ949" s="716"/>
      <c r="AR949" s="716"/>
    </row>
    <row r="950">
      <c r="A950" s="716"/>
      <c r="B950" s="530"/>
      <c r="C950" s="530"/>
      <c r="D950" s="530"/>
      <c r="E950" s="530"/>
      <c r="F950" s="530"/>
      <c r="G950" s="530"/>
      <c r="H950" s="530"/>
      <c r="I950" s="530"/>
      <c r="J950" s="530"/>
      <c r="K950" s="530"/>
      <c r="L950" s="530"/>
      <c r="M950" s="530"/>
      <c r="N950" s="530"/>
      <c r="O950" s="530"/>
      <c r="P950" s="530"/>
      <c r="Q950" s="530"/>
      <c r="R950" s="530"/>
      <c r="S950" s="530"/>
      <c r="T950" s="530"/>
      <c r="U950" s="530"/>
      <c r="V950" s="530"/>
      <c r="W950" s="530"/>
      <c r="X950" s="733"/>
      <c r="Y950" s="716"/>
      <c r="Z950" s="716"/>
      <c r="AA950" s="716"/>
      <c r="AB950" s="716"/>
      <c r="AC950" s="716"/>
      <c r="AD950" s="716"/>
      <c r="AE950" s="716"/>
      <c r="AF950" s="716"/>
      <c r="AG950" s="716"/>
      <c r="AH950" s="716"/>
      <c r="AI950" s="716"/>
      <c r="AJ950" s="716"/>
      <c r="AK950" s="716"/>
      <c r="AL950" s="716"/>
      <c r="AM950" s="716"/>
      <c r="AN950" s="716"/>
      <c r="AO950" s="716"/>
      <c r="AP950" s="716"/>
      <c r="AQ950" s="716"/>
      <c r="AR950" s="716"/>
    </row>
    <row r="951">
      <c r="A951" s="716"/>
      <c r="B951" s="530"/>
      <c r="C951" s="530"/>
      <c r="D951" s="530"/>
      <c r="E951" s="530"/>
      <c r="F951" s="530"/>
      <c r="G951" s="530"/>
      <c r="H951" s="530"/>
      <c r="I951" s="530"/>
      <c r="J951" s="530"/>
      <c r="K951" s="530"/>
      <c r="L951" s="530"/>
      <c r="M951" s="530"/>
      <c r="N951" s="530"/>
      <c r="O951" s="530"/>
      <c r="P951" s="530"/>
      <c r="Q951" s="530"/>
      <c r="R951" s="530"/>
      <c r="S951" s="530"/>
      <c r="T951" s="530"/>
      <c r="U951" s="530"/>
      <c r="V951" s="530"/>
      <c r="W951" s="530"/>
      <c r="X951" s="733"/>
      <c r="Y951" s="716"/>
      <c r="Z951" s="716"/>
      <c r="AA951" s="716"/>
      <c r="AB951" s="716"/>
      <c r="AC951" s="716"/>
      <c r="AD951" s="716"/>
      <c r="AE951" s="716"/>
      <c r="AF951" s="716"/>
      <c r="AG951" s="716"/>
      <c r="AH951" s="716"/>
      <c r="AI951" s="716"/>
      <c r="AJ951" s="716"/>
      <c r="AK951" s="716"/>
      <c r="AL951" s="716"/>
      <c r="AM951" s="716"/>
      <c r="AN951" s="716"/>
      <c r="AO951" s="716"/>
      <c r="AP951" s="716"/>
      <c r="AQ951" s="716"/>
      <c r="AR951" s="716"/>
    </row>
    <row r="952">
      <c r="A952" s="716"/>
      <c r="B952" s="530"/>
      <c r="C952" s="530"/>
      <c r="D952" s="530"/>
      <c r="E952" s="530"/>
      <c r="F952" s="530"/>
      <c r="G952" s="530"/>
      <c r="H952" s="530"/>
      <c r="I952" s="530"/>
      <c r="J952" s="530"/>
      <c r="K952" s="530"/>
      <c r="L952" s="530"/>
      <c r="M952" s="530"/>
      <c r="N952" s="530"/>
      <c r="O952" s="530"/>
      <c r="P952" s="530"/>
      <c r="Q952" s="530"/>
      <c r="R952" s="530"/>
      <c r="S952" s="530"/>
      <c r="T952" s="530"/>
      <c r="U952" s="530"/>
      <c r="V952" s="530"/>
      <c r="W952" s="530"/>
      <c r="X952" s="733"/>
      <c r="Y952" s="716"/>
      <c r="Z952" s="716"/>
      <c r="AA952" s="716"/>
      <c r="AB952" s="716"/>
      <c r="AC952" s="716"/>
      <c r="AD952" s="716"/>
      <c r="AE952" s="716"/>
      <c r="AF952" s="716"/>
      <c r="AG952" s="716"/>
      <c r="AH952" s="716"/>
      <c r="AI952" s="716"/>
      <c r="AJ952" s="716"/>
      <c r="AK952" s="716"/>
      <c r="AL952" s="716"/>
      <c r="AM952" s="716"/>
      <c r="AN952" s="716"/>
      <c r="AO952" s="716"/>
      <c r="AP952" s="716"/>
      <c r="AQ952" s="716"/>
      <c r="AR952" s="716"/>
    </row>
    <row r="953">
      <c r="A953" s="716"/>
      <c r="B953" s="530"/>
      <c r="C953" s="530"/>
      <c r="D953" s="530"/>
      <c r="E953" s="530"/>
      <c r="F953" s="530"/>
      <c r="G953" s="530"/>
      <c r="H953" s="530"/>
      <c r="I953" s="530"/>
      <c r="J953" s="530"/>
      <c r="K953" s="530"/>
      <c r="L953" s="530"/>
      <c r="M953" s="530"/>
      <c r="N953" s="530"/>
      <c r="O953" s="530"/>
      <c r="P953" s="530"/>
      <c r="Q953" s="530"/>
      <c r="R953" s="530"/>
      <c r="S953" s="530"/>
      <c r="T953" s="530"/>
      <c r="U953" s="530"/>
      <c r="V953" s="530"/>
      <c r="W953" s="530"/>
      <c r="X953" s="733"/>
      <c r="Y953" s="716"/>
      <c r="Z953" s="716"/>
      <c r="AA953" s="716"/>
      <c r="AB953" s="716"/>
      <c r="AC953" s="716"/>
      <c r="AD953" s="716"/>
      <c r="AE953" s="716"/>
      <c r="AF953" s="716"/>
      <c r="AG953" s="716"/>
      <c r="AH953" s="716"/>
      <c r="AI953" s="716"/>
      <c r="AJ953" s="716"/>
      <c r="AK953" s="716"/>
      <c r="AL953" s="716"/>
      <c r="AM953" s="716"/>
      <c r="AN953" s="716"/>
      <c r="AO953" s="716"/>
      <c r="AP953" s="716"/>
      <c r="AQ953" s="716"/>
      <c r="AR953" s="716"/>
    </row>
    <row r="954">
      <c r="A954" s="716"/>
      <c r="B954" s="530"/>
      <c r="C954" s="530"/>
      <c r="D954" s="530"/>
      <c r="E954" s="530"/>
      <c r="F954" s="530"/>
      <c r="G954" s="530"/>
      <c r="H954" s="530"/>
      <c r="I954" s="530"/>
      <c r="J954" s="530"/>
      <c r="K954" s="530"/>
      <c r="L954" s="530"/>
      <c r="M954" s="530"/>
      <c r="N954" s="530"/>
      <c r="O954" s="530"/>
      <c r="P954" s="530"/>
      <c r="Q954" s="530"/>
      <c r="R954" s="530"/>
      <c r="S954" s="530"/>
      <c r="T954" s="530"/>
      <c r="U954" s="530"/>
      <c r="V954" s="530"/>
      <c r="W954" s="530"/>
      <c r="X954" s="733"/>
      <c r="Y954" s="716"/>
      <c r="Z954" s="716"/>
      <c r="AA954" s="716"/>
      <c r="AB954" s="716"/>
      <c r="AC954" s="716"/>
      <c r="AD954" s="716"/>
      <c r="AE954" s="716"/>
      <c r="AF954" s="716"/>
      <c r="AG954" s="716"/>
      <c r="AH954" s="716"/>
      <c r="AI954" s="716"/>
      <c r="AJ954" s="716"/>
      <c r="AK954" s="716"/>
      <c r="AL954" s="716"/>
      <c r="AM954" s="716"/>
      <c r="AN954" s="716"/>
      <c r="AO954" s="716"/>
      <c r="AP954" s="716"/>
      <c r="AQ954" s="716"/>
      <c r="AR954" s="716"/>
    </row>
    <row r="955">
      <c r="A955" s="716"/>
      <c r="B955" s="530"/>
      <c r="C955" s="530"/>
      <c r="D955" s="530"/>
      <c r="E955" s="530"/>
      <c r="F955" s="530"/>
      <c r="G955" s="530"/>
      <c r="H955" s="530"/>
      <c r="I955" s="530"/>
      <c r="J955" s="530"/>
      <c r="K955" s="530"/>
      <c r="L955" s="530"/>
      <c r="M955" s="530"/>
      <c r="N955" s="530"/>
      <c r="O955" s="530"/>
      <c r="P955" s="530"/>
      <c r="Q955" s="530"/>
      <c r="R955" s="530"/>
      <c r="S955" s="530"/>
      <c r="T955" s="530"/>
      <c r="U955" s="530"/>
      <c r="V955" s="530"/>
      <c r="W955" s="530"/>
      <c r="X955" s="733"/>
      <c r="Y955" s="716"/>
      <c r="Z955" s="716"/>
      <c r="AA955" s="716"/>
      <c r="AB955" s="716"/>
      <c r="AC955" s="716"/>
      <c r="AD955" s="716"/>
      <c r="AE955" s="716"/>
      <c r="AF955" s="716"/>
      <c r="AG955" s="716"/>
      <c r="AH955" s="716"/>
      <c r="AI955" s="716"/>
      <c r="AJ955" s="716"/>
      <c r="AK955" s="716"/>
      <c r="AL955" s="716"/>
      <c r="AM955" s="716"/>
      <c r="AN955" s="716"/>
      <c r="AO955" s="716"/>
      <c r="AP955" s="716"/>
      <c r="AQ955" s="716"/>
      <c r="AR955" s="716"/>
    </row>
    <row r="956">
      <c r="A956" s="716"/>
      <c r="B956" s="530"/>
      <c r="C956" s="530"/>
      <c r="D956" s="530"/>
      <c r="E956" s="530"/>
      <c r="F956" s="530"/>
      <c r="G956" s="530"/>
      <c r="H956" s="530"/>
      <c r="I956" s="530"/>
      <c r="J956" s="530"/>
      <c r="K956" s="530"/>
      <c r="L956" s="530"/>
      <c r="M956" s="530"/>
      <c r="N956" s="530"/>
      <c r="O956" s="530"/>
      <c r="P956" s="530"/>
      <c r="Q956" s="530"/>
      <c r="R956" s="530"/>
      <c r="S956" s="530"/>
      <c r="T956" s="530"/>
      <c r="U956" s="530"/>
      <c r="V956" s="530"/>
      <c r="W956" s="530"/>
      <c r="X956" s="733"/>
      <c r="Y956" s="716"/>
      <c r="Z956" s="716"/>
      <c r="AA956" s="716"/>
      <c r="AB956" s="716"/>
      <c r="AC956" s="716"/>
      <c r="AD956" s="716"/>
      <c r="AE956" s="716"/>
      <c r="AF956" s="716"/>
      <c r="AG956" s="716"/>
      <c r="AH956" s="716"/>
      <c r="AI956" s="716"/>
      <c r="AJ956" s="716"/>
      <c r="AK956" s="716"/>
      <c r="AL956" s="716"/>
      <c r="AM956" s="716"/>
      <c r="AN956" s="716"/>
      <c r="AO956" s="716"/>
      <c r="AP956" s="716"/>
      <c r="AQ956" s="716"/>
      <c r="AR956" s="716"/>
    </row>
    <row r="957">
      <c r="A957" s="716"/>
      <c r="B957" s="530"/>
      <c r="C957" s="530"/>
      <c r="D957" s="530"/>
      <c r="E957" s="530"/>
      <c r="F957" s="530"/>
      <c r="G957" s="530"/>
      <c r="H957" s="530"/>
      <c r="I957" s="530"/>
      <c r="J957" s="530"/>
      <c r="K957" s="530"/>
      <c r="L957" s="530"/>
      <c r="M957" s="530"/>
      <c r="N957" s="530"/>
      <c r="O957" s="530"/>
      <c r="P957" s="530"/>
      <c r="Q957" s="530"/>
      <c r="R957" s="530"/>
      <c r="S957" s="530"/>
      <c r="T957" s="530"/>
      <c r="U957" s="530"/>
      <c r="V957" s="530"/>
      <c r="W957" s="530"/>
      <c r="X957" s="733"/>
      <c r="Y957" s="716"/>
      <c r="Z957" s="716"/>
      <c r="AA957" s="716"/>
      <c r="AB957" s="716"/>
      <c r="AC957" s="716"/>
      <c r="AD957" s="716"/>
      <c r="AE957" s="716"/>
      <c r="AF957" s="716"/>
      <c r="AG957" s="716"/>
      <c r="AH957" s="716"/>
      <c r="AI957" s="716"/>
      <c r="AJ957" s="716"/>
      <c r="AK957" s="716"/>
      <c r="AL957" s="716"/>
      <c r="AM957" s="716"/>
      <c r="AN957" s="716"/>
      <c r="AO957" s="716"/>
      <c r="AP957" s="716"/>
      <c r="AQ957" s="716"/>
      <c r="AR957" s="716"/>
    </row>
    <row r="958">
      <c r="A958" s="716"/>
      <c r="B958" s="530"/>
      <c r="C958" s="530"/>
      <c r="D958" s="530"/>
      <c r="E958" s="530"/>
      <c r="F958" s="530"/>
      <c r="G958" s="530"/>
      <c r="H958" s="530"/>
      <c r="I958" s="530"/>
      <c r="J958" s="530"/>
      <c r="K958" s="530"/>
      <c r="L958" s="530"/>
      <c r="M958" s="530"/>
      <c r="N958" s="530"/>
      <c r="O958" s="530"/>
      <c r="P958" s="530"/>
      <c r="Q958" s="530"/>
      <c r="R958" s="530"/>
      <c r="S958" s="530"/>
      <c r="T958" s="530"/>
      <c r="U958" s="530"/>
      <c r="V958" s="530"/>
      <c r="W958" s="530"/>
      <c r="X958" s="733"/>
      <c r="Y958" s="716"/>
      <c r="Z958" s="716"/>
      <c r="AA958" s="716"/>
      <c r="AB958" s="716"/>
      <c r="AC958" s="716"/>
      <c r="AD958" s="716"/>
      <c r="AE958" s="716"/>
      <c r="AF958" s="716"/>
      <c r="AG958" s="716"/>
      <c r="AH958" s="716"/>
      <c r="AI958" s="716"/>
      <c r="AJ958" s="716"/>
      <c r="AK958" s="716"/>
      <c r="AL958" s="716"/>
      <c r="AM958" s="716"/>
      <c r="AN958" s="716"/>
      <c r="AO958" s="716"/>
      <c r="AP958" s="716"/>
      <c r="AQ958" s="716"/>
      <c r="AR958" s="716"/>
    </row>
    <row r="959">
      <c r="A959" s="716"/>
      <c r="B959" s="530"/>
      <c r="C959" s="530"/>
      <c r="D959" s="530"/>
      <c r="E959" s="530"/>
      <c r="F959" s="530"/>
      <c r="G959" s="530"/>
      <c r="H959" s="530"/>
      <c r="I959" s="530"/>
      <c r="J959" s="530"/>
      <c r="K959" s="530"/>
      <c r="L959" s="530"/>
      <c r="M959" s="530"/>
      <c r="N959" s="530"/>
      <c r="O959" s="530"/>
      <c r="P959" s="530"/>
      <c r="Q959" s="530"/>
      <c r="R959" s="530"/>
      <c r="S959" s="530"/>
      <c r="T959" s="530"/>
      <c r="U959" s="530"/>
      <c r="V959" s="530"/>
      <c r="W959" s="530"/>
      <c r="X959" s="733"/>
      <c r="Y959" s="716"/>
      <c r="Z959" s="716"/>
      <c r="AA959" s="716"/>
      <c r="AB959" s="716"/>
      <c r="AC959" s="716"/>
      <c r="AD959" s="716"/>
      <c r="AE959" s="716"/>
      <c r="AF959" s="716"/>
      <c r="AG959" s="716"/>
      <c r="AH959" s="716"/>
      <c r="AI959" s="716"/>
      <c r="AJ959" s="716"/>
      <c r="AK959" s="716"/>
      <c r="AL959" s="716"/>
      <c r="AM959" s="716"/>
      <c r="AN959" s="716"/>
      <c r="AO959" s="716"/>
      <c r="AP959" s="716"/>
      <c r="AQ959" s="716"/>
      <c r="AR959" s="716"/>
    </row>
    <row r="960">
      <c r="A960" s="716"/>
      <c r="B960" s="530"/>
      <c r="C960" s="530"/>
      <c r="D960" s="530"/>
      <c r="E960" s="530"/>
      <c r="F960" s="530"/>
      <c r="G960" s="530"/>
      <c r="H960" s="530"/>
      <c r="I960" s="530"/>
      <c r="J960" s="530"/>
      <c r="K960" s="530"/>
      <c r="L960" s="530"/>
      <c r="M960" s="530"/>
      <c r="N960" s="530"/>
      <c r="O960" s="530"/>
      <c r="P960" s="530"/>
      <c r="Q960" s="530"/>
      <c r="R960" s="530"/>
      <c r="S960" s="530"/>
      <c r="T960" s="530"/>
      <c r="U960" s="530"/>
      <c r="V960" s="530"/>
      <c r="W960" s="530"/>
      <c r="X960" s="733"/>
      <c r="Y960" s="716"/>
      <c r="Z960" s="716"/>
      <c r="AA960" s="716"/>
      <c r="AB960" s="716"/>
      <c r="AC960" s="716"/>
      <c r="AD960" s="716"/>
      <c r="AE960" s="716"/>
      <c r="AF960" s="716"/>
      <c r="AG960" s="716"/>
      <c r="AH960" s="716"/>
      <c r="AI960" s="716"/>
      <c r="AJ960" s="716"/>
      <c r="AK960" s="716"/>
      <c r="AL960" s="716"/>
      <c r="AM960" s="716"/>
      <c r="AN960" s="716"/>
      <c r="AO960" s="716"/>
      <c r="AP960" s="716"/>
      <c r="AQ960" s="716"/>
      <c r="AR960" s="716"/>
    </row>
    <row r="961">
      <c r="A961" s="716"/>
      <c r="B961" s="530"/>
      <c r="C961" s="530"/>
      <c r="D961" s="530"/>
      <c r="E961" s="530"/>
      <c r="F961" s="530"/>
      <c r="G961" s="530"/>
      <c r="H961" s="530"/>
      <c r="I961" s="530"/>
      <c r="J961" s="530"/>
      <c r="K961" s="530"/>
      <c r="L961" s="530"/>
      <c r="M961" s="530"/>
      <c r="N961" s="530"/>
      <c r="O961" s="530"/>
      <c r="P961" s="530"/>
      <c r="Q961" s="530"/>
      <c r="R961" s="530"/>
      <c r="S961" s="530"/>
      <c r="T961" s="530"/>
      <c r="U961" s="530"/>
      <c r="V961" s="530"/>
      <c r="W961" s="530"/>
      <c r="X961" s="733"/>
      <c r="Y961" s="716"/>
      <c r="Z961" s="716"/>
      <c r="AA961" s="716"/>
      <c r="AB961" s="716"/>
      <c r="AC961" s="716"/>
      <c r="AD961" s="716"/>
      <c r="AE961" s="716"/>
      <c r="AF961" s="716"/>
      <c r="AG961" s="716"/>
      <c r="AH961" s="716"/>
      <c r="AI961" s="716"/>
      <c r="AJ961" s="716"/>
      <c r="AK961" s="716"/>
      <c r="AL961" s="716"/>
      <c r="AM961" s="716"/>
      <c r="AN961" s="716"/>
      <c r="AO961" s="716"/>
      <c r="AP961" s="716"/>
      <c r="AQ961" s="716"/>
      <c r="AR961" s="716"/>
    </row>
    <row r="962">
      <c r="A962" s="716"/>
      <c r="B962" s="530"/>
      <c r="C962" s="530"/>
      <c r="D962" s="530"/>
      <c r="E962" s="530"/>
      <c r="F962" s="530"/>
      <c r="G962" s="530"/>
      <c r="H962" s="530"/>
      <c r="I962" s="530"/>
      <c r="J962" s="530"/>
      <c r="K962" s="530"/>
      <c r="L962" s="530"/>
      <c r="M962" s="530"/>
      <c r="N962" s="530"/>
      <c r="O962" s="530"/>
      <c r="P962" s="530"/>
      <c r="Q962" s="530"/>
      <c r="R962" s="530"/>
      <c r="S962" s="530"/>
      <c r="T962" s="530"/>
      <c r="U962" s="530"/>
      <c r="V962" s="530"/>
      <c r="W962" s="530"/>
      <c r="X962" s="733"/>
      <c r="Y962" s="716"/>
      <c r="Z962" s="716"/>
      <c r="AA962" s="716"/>
      <c r="AB962" s="716"/>
      <c r="AC962" s="716"/>
      <c r="AD962" s="716"/>
      <c r="AE962" s="716"/>
      <c r="AF962" s="716"/>
      <c r="AG962" s="716"/>
      <c r="AH962" s="716"/>
      <c r="AI962" s="716"/>
      <c r="AJ962" s="716"/>
      <c r="AK962" s="716"/>
      <c r="AL962" s="716"/>
      <c r="AM962" s="716"/>
      <c r="AN962" s="716"/>
      <c r="AO962" s="716"/>
      <c r="AP962" s="716"/>
      <c r="AQ962" s="716"/>
      <c r="AR962" s="716"/>
    </row>
    <row r="963">
      <c r="A963" s="716"/>
      <c r="B963" s="530"/>
      <c r="C963" s="530"/>
      <c r="D963" s="530"/>
      <c r="E963" s="530"/>
      <c r="F963" s="530"/>
      <c r="G963" s="530"/>
      <c r="H963" s="530"/>
      <c r="I963" s="530"/>
      <c r="J963" s="530"/>
      <c r="K963" s="530"/>
      <c r="L963" s="530"/>
      <c r="M963" s="530"/>
      <c r="N963" s="530"/>
      <c r="O963" s="530"/>
      <c r="P963" s="530"/>
      <c r="Q963" s="530"/>
      <c r="R963" s="530"/>
      <c r="S963" s="530"/>
      <c r="T963" s="530"/>
      <c r="U963" s="530"/>
      <c r="V963" s="530"/>
      <c r="W963" s="530"/>
      <c r="X963" s="733"/>
      <c r="Y963" s="716"/>
      <c r="Z963" s="716"/>
      <c r="AA963" s="716"/>
      <c r="AB963" s="716"/>
      <c r="AC963" s="716"/>
      <c r="AD963" s="716"/>
      <c r="AE963" s="716"/>
      <c r="AF963" s="716"/>
      <c r="AG963" s="716"/>
      <c r="AH963" s="716"/>
      <c r="AI963" s="716"/>
      <c r="AJ963" s="716"/>
      <c r="AK963" s="716"/>
      <c r="AL963" s="716"/>
      <c r="AM963" s="716"/>
      <c r="AN963" s="716"/>
      <c r="AO963" s="716"/>
      <c r="AP963" s="716"/>
      <c r="AQ963" s="716"/>
      <c r="AR963" s="716"/>
    </row>
    <row r="964">
      <c r="A964" s="716"/>
      <c r="B964" s="530"/>
      <c r="C964" s="530"/>
      <c r="D964" s="530"/>
      <c r="E964" s="530"/>
      <c r="F964" s="530"/>
      <c r="G964" s="530"/>
      <c r="H964" s="530"/>
      <c r="I964" s="530"/>
      <c r="J964" s="530"/>
      <c r="K964" s="530"/>
      <c r="L964" s="530"/>
      <c r="M964" s="530"/>
      <c r="N964" s="530"/>
      <c r="O964" s="530"/>
      <c r="P964" s="530"/>
      <c r="Q964" s="530"/>
      <c r="R964" s="530"/>
      <c r="S964" s="530"/>
      <c r="T964" s="530"/>
      <c r="U964" s="530"/>
      <c r="V964" s="530"/>
      <c r="W964" s="530"/>
      <c r="X964" s="733"/>
      <c r="Y964" s="716"/>
      <c r="Z964" s="716"/>
      <c r="AA964" s="716"/>
      <c r="AB964" s="716"/>
      <c r="AC964" s="716"/>
      <c r="AD964" s="716"/>
      <c r="AE964" s="716"/>
      <c r="AF964" s="716"/>
      <c r="AG964" s="716"/>
      <c r="AH964" s="716"/>
      <c r="AI964" s="716"/>
      <c r="AJ964" s="716"/>
      <c r="AK964" s="716"/>
      <c r="AL964" s="716"/>
      <c r="AM964" s="716"/>
      <c r="AN964" s="716"/>
      <c r="AO964" s="716"/>
      <c r="AP964" s="716"/>
      <c r="AQ964" s="716"/>
      <c r="AR964" s="716"/>
    </row>
    <row r="965">
      <c r="A965" s="716"/>
      <c r="B965" s="530"/>
      <c r="C965" s="530"/>
      <c r="D965" s="530"/>
      <c r="E965" s="530"/>
      <c r="F965" s="530"/>
      <c r="G965" s="530"/>
      <c r="H965" s="530"/>
      <c r="I965" s="530"/>
      <c r="J965" s="530"/>
      <c r="K965" s="530"/>
      <c r="L965" s="530"/>
      <c r="M965" s="530"/>
      <c r="N965" s="530"/>
      <c r="O965" s="530"/>
      <c r="P965" s="530"/>
      <c r="Q965" s="530"/>
      <c r="R965" s="530"/>
      <c r="S965" s="530"/>
      <c r="T965" s="530"/>
      <c r="U965" s="530"/>
      <c r="V965" s="530"/>
      <c r="W965" s="530"/>
      <c r="X965" s="733"/>
      <c r="Y965" s="716"/>
      <c r="Z965" s="716"/>
      <c r="AA965" s="716"/>
      <c r="AB965" s="716"/>
      <c r="AC965" s="716"/>
      <c r="AD965" s="716"/>
      <c r="AE965" s="716"/>
      <c r="AF965" s="716"/>
      <c r="AG965" s="716"/>
      <c r="AH965" s="716"/>
      <c r="AI965" s="716"/>
      <c r="AJ965" s="716"/>
      <c r="AK965" s="716"/>
      <c r="AL965" s="716"/>
      <c r="AM965" s="716"/>
      <c r="AN965" s="716"/>
      <c r="AO965" s="716"/>
      <c r="AP965" s="716"/>
      <c r="AQ965" s="716"/>
      <c r="AR965" s="716"/>
    </row>
    <row r="966">
      <c r="A966" s="716"/>
      <c r="B966" s="530"/>
      <c r="C966" s="530"/>
      <c r="D966" s="530"/>
      <c r="E966" s="530"/>
      <c r="F966" s="530"/>
      <c r="G966" s="530"/>
      <c r="H966" s="530"/>
      <c r="I966" s="530"/>
      <c r="J966" s="530"/>
      <c r="K966" s="530"/>
      <c r="L966" s="530"/>
      <c r="M966" s="530"/>
      <c r="N966" s="530"/>
      <c r="O966" s="530"/>
      <c r="P966" s="530"/>
      <c r="Q966" s="530"/>
      <c r="R966" s="530"/>
      <c r="S966" s="530"/>
      <c r="T966" s="530"/>
      <c r="U966" s="530"/>
      <c r="V966" s="530"/>
      <c r="W966" s="530"/>
      <c r="X966" s="733"/>
      <c r="Y966" s="716"/>
      <c r="Z966" s="716"/>
      <c r="AA966" s="716"/>
      <c r="AB966" s="716"/>
      <c r="AC966" s="716"/>
      <c r="AD966" s="716"/>
      <c r="AE966" s="716"/>
      <c r="AF966" s="716"/>
      <c r="AG966" s="716"/>
      <c r="AH966" s="716"/>
      <c r="AI966" s="716"/>
      <c r="AJ966" s="716"/>
      <c r="AK966" s="716"/>
      <c r="AL966" s="716"/>
      <c r="AM966" s="716"/>
      <c r="AN966" s="716"/>
      <c r="AO966" s="716"/>
      <c r="AP966" s="716"/>
      <c r="AQ966" s="716"/>
      <c r="AR966" s="716"/>
    </row>
    <row r="967">
      <c r="A967" s="716"/>
      <c r="B967" s="530"/>
      <c r="C967" s="530"/>
      <c r="D967" s="530"/>
      <c r="E967" s="530"/>
      <c r="F967" s="530"/>
      <c r="G967" s="530"/>
      <c r="H967" s="530"/>
      <c r="I967" s="530"/>
      <c r="J967" s="530"/>
      <c r="K967" s="530"/>
      <c r="L967" s="530"/>
      <c r="M967" s="530"/>
      <c r="N967" s="530"/>
      <c r="O967" s="530"/>
      <c r="P967" s="530"/>
      <c r="Q967" s="530"/>
      <c r="R967" s="530"/>
      <c r="S967" s="530"/>
      <c r="T967" s="530"/>
      <c r="U967" s="530"/>
      <c r="V967" s="530"/>
      <c r="W967" s="530"/>
      <c r="X967" s="733"/>
      <c r="Y967" s="716"/>
      <c r="Z967" s="716"/>
      <c r="AA967" s="716"/>
      <c r="AB967" s="716"/>
      <c r="AC967" s="716"/>
      <c r="AD967" s="716"/>
      <c r="AE967" s="716"/>
      <c r="AF967" s="716"/>
      <c r="AG967" s="716"/>
      <c r="AH967" s="716"/>
      <c r="AI967" s="716"/>
      <c r="AJ967" s="716"/>
      <c r="AK967" s="716"/>
      <c r="AL967" s="716"/>
      <c r="AM967" s="716"/>
      <c r="AN967" s="716"/>
      <c r="AO967" s="716"/>
      <c r="AP967" s="716"/>
      <c r="AQ967" s="716"/>
      <c r="AR967" s="716"/>
    </row>
    <row r="968">
      <c r="A968" s="716"/>
      <c r="B968" s="530"/>
      <c r="C968" s="530"/>
      <c r="D968" s="530"/>
      <c r="E968" s="530"/>
      <c r="F968" s="530"/>
      <c r="G968" s="530"/>
      <c r="H968" s="530"/>
      <c r="I968" s="530"/>
      <c r="J968" s="530"/>
      <c r="K968" s="530"/>
      <c r="L968" s="530"/>
      <c r="M968" s="530"/>
      <c r="N968" s="530"/>
      <c r="O968" s="530"/>
      <c r="P968" s="530"/>
      <c r="Q968" s="530"/>
      <c r="R968" s="530"/>
      <c r="S968" s="530"/>
      <c r="T968" s="530"/>
      <c r="U968" s="530"/>
      <c r="V968" s="530"/>
      <c r="W968" s="530"/>
      <c r="X968" s="733"/>
      <c r="Y968" s="716"/>
      <c r="Z968" s="716"/>
      <c r="AA968" s="716"/>
      <c r="AB968" s="716"/>
      <c r="AC968" s="716"/>
      <c r="AD968" s="716"/>
      <c r="AE968" s="716"/>
      <c r="AF968" s="716"/>
      <c r="AG968" s="716"/>
      <c r="AH968" s="716"/>
      <c r="AI968" s="716"/>
      <c r="AJ968" s="716"/>
      <c r="AK968" s="716"/>
      <c r="AL968" s="716"/>
      <c r="AM968" s="716"/>
      <c r="AN968" s="716"/>
      <c r="AO968" s="716"/>
      <c r="AP968" s="716"/>
      <c r="AQ968" s="716"/>
      <c r="AR968" s="716"/>
    </row>
    <row r="969">
      <c r="A969" s="716"/>
      <c r="B969" s="530"/>
      <c r="C969" s="530"/>
      <c r="D969" s="530"/>
      <c r="E969" s="530"/>
      <c r="F969" s="530"/>
      <c r="G969" s="530"/>
      <c r="H969" s="530"/>
      <c r="I969" s="530"/>
      <c r="J969" s="530"/>
      <c r="K969" s="530"/>
      <c r="L969" s="530"/>
      <c r="M969" s="530"/>
      <c r="N969" s="530"/>
      <c r="O969" s="530"/>
      <c r="P969" s="530"/>
      <c r="Q969" s="530"/>
      <c r="R969" s="530"/>
      <c r="S969" s="530"/>
      <c r="T969" s="530"/>
      <c r="U969" s="530"/>
      <c r="V969" s="530"/>
      <c r="W969" s="530"/>
      <c r="X969" s="733"/>
      <c r="Y969" s="716"/>
      <c r="Z969" s="716"/>
      <c r="AA969" s="716"/>
      <c r="AB969" s="716"/>
      <c r="AC969" s="716"/>
      <c r="AD969" s="716"/>
      <c r="AE969" s="716"/>
      <c r="AF969" s="716"/>
      <c r="AG969" s="716"/>
      <c r="AH969" s="716"/>
      <c r="AI969" s="716"/>
      <c r="AJ969" s="716"/>
      <c r="AK969" s="716"/>
      <c r="AL969" s="716"/>
      <c r="AM969" s="716"/>
      <c r="AN969" s="716"/>
      <c r="AO969" s="716"/>
      <c r="AP969" s="716"/>
      <c r="AQ969" s="716"/>
      <c r="AR969" s="716"/>
    </row>
    <row r="970">
      <c r="A970" s="716"/>
      <c r="B970" s="530"/>
      <c r="C970" s="530"/>
      <c r="D970" s="530"/>
      <c r="E970" s="530"/>
      <c r="F970" s="530"/>
      <c r="G970" s="530"/>
      <c r="H970" s="530"/>
      <c r="I970" s="530"/>
      <c r="J970" s="530"/>
      <c r="K970" s="530"/>
      <c r="L970" s="530"/>
      <c r="M970" s="530"/>
      <c r="N970" s="530"/>
      <c r="O970" s="530"/>
      <c r="P970" s="530"/>
      <c r="Q970" s="530"/>
      <c r="R970" s="530"/>
      <c r="S970" s="530"/>
      <c r="T970" s="530"/>
      <c r="U970" s="530"/>
      <c r="V970" s="530"/>
      <c r="W970" s="530"/>
      <c r="X970" s="733"/>
      <c r="Y970" s="716"/>
      <c r="Z970" s="716"/>
      <c r="AA970" s="716"/>
      <c r="AB970" s="716"/>
      <c r="AC970" s="716"/>
      <c r="AD970" s="716"/>
      <c r="AE970" s="716"/>
      <c r="AF970" s="716"/>
      <c r="AG970" s="716"/>
      <c r="AH970" s="716"/>
      <c r="AI970" s="716"/>
      <c r="AJ970" s="716"/>
      <c r="AK970" s="716"/>
      <c r="AL970" s="716"/>
      <c r="AM970" s="716"/>
      <c r="AN970" s="716"/>
      <c r="AO970" s="716"/>
      <c r="AP970" s="716"/>
      <c r="AQ970" s="716"/>
      <c r="AR970" s="716"/>
    </row>
    <row r="971">
      <c r="A971" s="716"/>
      <c r="B971" s="530"/>
      <c r="C971" s="530"/>
      <c r="D971" s="530"/>
      <c r="E971" s="530"/>
      <c r="F971" s="530"/>
      <c r="G971" s="530"/>
      <c r="H971" s="530"/>
      <c r="I971" s="530"/>
      <c r="J971" s="530"/>
      <c r="K971" s="530"/>
      <c r="L971" s="530"/>
      <c r="M971" s="530"/>
      <c r="N971" s="530"/>
      <c r="O971" s="530"/>
      <c r="P971" s="530"/>
      <c r="Q971" s="530"/>
      <c r="R971" s="530"/>
      <c r="S971" s="530"/>
      <c r="T971" s="530"/>
      <c r="U971" s="530"/>
      <c r="V971" s="530"/>
      <c r="W971" s="530"/>
      <c r="X971" s="733"/>
      <c r="Y971" s="716"/>
      <c r="Z971" s="716"/>
      <c r="AA971" s="716"/>
      <c r="AB971" s="716"/>
      <c r="AC971" s="716"/>
      <c r="AD971" s="716"/>
      <c r="AE971" s="716"/>
      <c r="AF971" s="716"/>
      <c r="AG971" s="716"/>
      <c r="AH971" s="716"/>
      <c r="AI971" s="716"/>
      <c r="AJ971" s="716"/>
      <c r="AK971" s="716"/>
      <c r="AL971" s="716"/>
      <c r="AM971" s="716"/>
      <c r="AN971" s="716"/>
      <c r="AO971" s="716"/>
      <c r="AP971" s="716"/>
      <c r="AQ971" s="716"/>
      <c r="AR971" s="716"/>
    </row>
    <row r="972">
      <c r="A972" s="716"/>
      <c r="B972" s="530"/>
      <c r="C972" s="530"/>
      <c r="D972" s="530"/>
      <c r="E972" s="530"/>
      <c r="F972" s="530"/>
      <c r="G972" s="530"/>
      <c r="H972" s="530"/>
      <c r="I972" s="530"/>
      <c r="J972" s="530"/>
      <c r="K972" s="530"/>
      <c r="L972" s="530"/>
      <c r="M972" s="530"/>
      <c r="N972" s="530"/>
      <c r="O972" s="530"/>
      <c r="P972" s="530"/>
      <c r="Q972" s="530"/>
      <c r="R972" s="530"/>
      <c r="S972" s="530"/>
      <c r="T972" s="530"/>
      <c r="U972" s="530"/>
      <c r="V972" s="530"/>
      <c r="W972" s="530"/>
      <c r="X972" s="733"/>
      <c r="Y972" s="716"/>
      <c r="Z972" s="716"/>
      <c r="AA972" s="716"/>
      <c r="AB972" s="716"/>
      <c r="AC972" s="716"/>
      <c r="AD972" s="716"/>
      <c r="AE972" s="716"/>
      <c r="AF972" s="716"/>
      <c r="AG972" s="716"/>
      <c r="AH972" s="716"/>
      <c r="AI972" s="716"/>
      <c r="AJ972" s="716"/>
      <c r="AK972" s="716"/>
      <c r="AL972" s="716"/>
      <c r="AM972" s="716"/>
      <c r="AN972" s="716"/>
      <c r="AO972" s="716"/>
      <c r="AP972" s="716"/>
      <c r="AQ972" s="716"/>
      <c r="AR972" s="716"/>
    </row>
    <row r="973">
      <c r="A973" s="716"/>
      <c r="B973" s="530"/>
      <c r="C973" s="530"/>
      <c r="D973" s="530"/>
      <c r="E973" s="530"/>
      <c r="F973" s="530"/>
      <c r="G973" s="530"/>
      <c r="H973" s="530"/>
      <c r="I973" s="530"/>
      <c r="J973" s="530"/>
      <c r="K973" s="530"/>
      <c r="L973" s="530"/>
      <c r="M973" s="530"/>
      <c r="N973" s="530"/>
      <c r="O973" s="530"/>
      <c r="P973" s="530"/>
      <c r="Q973" s="530"/>
      <c r="R973" s="530"/>
      <c r="S973" s="530"/>
      <c r="T973" s="530"/>
      <c r="U973" s="530"/>
      <c r="V973" s="530"/>
      <c r="W973" s="530"/>
      <c r="X973" s="733"/>
      <c r="Y973" s="716"/>
      <c r="Z973" s="716"/>
      <c r="AA973" s="716"/>
      <c r="AB973" s="716"/>
      <c r="AC973" s="716"/>
      <c r="AD973" s="716"/>
      <c r="AE973" s="716"/>
      <c r="AF973" s="716"/>
      <c r="AG973" s="716"/>
      <c r="AH973" s="716"/>
      <c r="AI973" s="716"/>
      <c r="AJ973" s="716"/>
      <c r="AK973" s="716"/>
      <c r="AL973" s="716"/>
      <c r="AM973" s="716"/>
      <c r="AN973" s="716"/>
      <c r="AO973" s="716"/>
      <c r="AP973" s="716"/>
      <c r="AQ973" s="716"/>
      <c r="AR973" s="716"/>
    </row>
    <row r="974">
      <c r="A974" s="716"/>
      <c r="B974" s="530"/>
      <c r="C974" s="530"/>
      <c r="D974" s="530"/>
      <c r="E974" s="530"/>
      <c r="F974" s="530"/>
      <c r="G974" s="530"/>
      <c r="H974" s="530"/>
      <c r="I974" s="530"/>
      <c r="J974" s="530"/>
      <c r="K974" s="530"/>
      <c r="L974" s="530"/>
      <c r="M974" s="530"/>
      <c r="N974" s="530"/>
      <c r="O974" s="530"/>
      <c r="P974" s="530"/>
      <c r="Q974" s="530"/>
      <c r="R974" s="530"/>
      <c r="S974" s="530"/>
      <c r="T974" s="530"/>
      <c r="U974" s="530"/>
      <c r="V974" s="530"/>
      <c r="W974" s="530"/>
      <c r="X974" s="733"/>
      <c r="Y974" s="716"/>
      <c r="Z974" s="716"/>
      <c r="AA974" s="716"/>
      <c r="AB974" s="716"/>
      <c r="AC974" s="716"/>
      <c r="AD974" s="716"/>
      <c r="AE974" s="716"/>
      <c r="AF974" s="716"/>
      <c r="AG974" s="716"/>
      <c r="AH974" s="716"/>
      <c r="AI974" s="716"/>
      <c r="AJ974" s="716"/>
      <c r="AK974" s="716"/>
      <c r="AL974" s="716"/>
      <c r="AM974" s="716"/>
      <c r="AN974" s="716"/>
      <c r="AO974" s="716"/>
      <c r="AP974" s="716"/>
      <c r="AQ974" s="716"/>
      <c r="AR974" s="716"/>
    </row>
    <row r="975">
      <c r="A975" s="716"/>
      <c r="B975" s="530"/>
      <c r="C975" s="530"/>
      <c r="D975" s="530"/>
      <c r="E975" s="530"/>
      <c r="F975" s="530"/>
      <c r="G975" s="530"/>
      <c r="H975" s="530"/>
      <c r="I975" s="530"/>
      <c r="J975" s="530"/>
      <c r="K975" s="530"/>
      <c r="L975" s="530"/>
      <c r="M975" s="530"/>
      <c r="N975" s="530"/>
      <c r="O975" s="530"/>
      <c r="P975" s="530"/>
      <c r="Q975" s="530"/>
      <c r="R975" s="530"/>
      <c r="S975" s="530"/>
      <c r="T975" s="530"/>
      <c r="U975" s="530"/>
      <c r="V975" s="530"/>
      <c r="W975" s="530"/>
      <c r="X975" s="733"/>
      <c r="Y975" s="716"/>
      <c r="Z975" s="716"/>
      <c r="AA975" s="716"/>
      <c r="AB975" s="716"/>
      <c r="AC975" s="716"/>
      <c r="AD975" s="716"/>
      <c r="AE975" s="716"/>
      <c r="AF975" s="716"/>
      <c r="AG975" s="716"/>
      <c r="AH975" s="716"/>
      <c r="AI975" s="716"/>
      <c r="AJ975" s="716"/>
      <c r="AK975" s="716"/>
      <c r="AL975" s="716"/>
      <c r="AM975" s="716"/>
      <c r="AN975" s="716"/>
      <c r="AO975" s="716"/>
      <c r="AP975" s="716"/>
      <c r="AQ975" s="716"/>
      <c r="AR975" s="716"/>
    </row>
    <row r="976">
      <c r="A976" s="716"/>
      <c r="B976" s="530"/>
      <c r="C976" s="530"/>
      <c r="D976" s="530"/>
      <c r="E976" s="530"/>
      <c r="F976" s="530"/>
      <c r="G976" s="530"/>
      <c r="H976" s="530"/>
      <c r="I976" s="530"/>
      <c r="J976" s="530"/>
      <c r="K976" s="530"/>
      <c r="L976" s="530"/>
      <c r="M976" s="530"/>
      <c r="N976" s="530"/>
      <c r="O976" s="530"/>
      <c r="P976" s="530"/>
      <c r="Q976" s="530"/>
      <c r="R976" s="530"/>
      <c r="S976" s="530"/>
      <c r="T976" s="530"/>
      <c r="U976" s="530"/>
      <c r="V976" s="530"/>
      <c r="W976" s="530"/>
      <c r="X976" s="733"/>
      <c r="Y976" s="716"/>
      <c r="Z976" s="716"/>
      <c r="AA976" s="716"/>
      <c r="AB976" s="716"/>
      <c r="AC976" s="716"/>
      <c r="AD976" s="716"/>
      <c r="AE976" s="716"/>
      <c r="AF976" s="716"/>
      <c r="AG976" s="716"/>
      <c r="AH976" s="716"/>
      <c r="AI976" s="716"/>
      <c r="AJ976" s="716"/>
      <c r="AK976" s="716"/>
      <c r="AL976" s="716"/>
      <c r="AM976" s="716"/>
      <c r="AN976" s="716"/>
      <c r="AO976" s="716"/>
      <c r="AP976" s="716"/>
      <c r="AQ976" s="716"/>
      <c r="AR976" s="716"/>
    </row>
    <row r="977">
      <c r="A977" s="716"/>
      <c r="B977" s="530"/>
      <c r="C977" s="530"/>
      <c r="D977" s="530"/>
      <c r="E977" s="530"/>
      <c r="F977" s="530"/>
      <c r="G977" s="530"/>
      <c r="H977" s="530"/>
      <c r="I977" s="530"/>
      <c r="J977" s="530"/>
      <c r="K977" s="530"/>
      <c r="L977" s="530"/>
      <c r="M977" s="530"/>
      <c r="N977" s="530"/>
      <c r="O977" s="530"/>
      <c r="P977" s="530"/>
      <c r="Q977" s="530"/>
      <c r="R977" s="530"/>
      <c r="S977" s="530"/>
      <c r="T977" s="530"/>
      <c r="U977" s="530"/>
      <c r="V977" s="530"/>
      <c r="W977" s="530"/>
      <c r="X977" s="733"/>
      <c r="Y977" s="716"/>
      <c r="Z977" s="716"/>
      <c r="AA977" s="716"/>
      <c r="AB977" s="716"/>
      <c r="AC977" s="716"/>
      <c r="AD977" s="716"/>
      <c r="AE977" s="716"/>
      <c r="AF977" s="716"/>
      <c r="AG977" s="716"/>
      <c r="AH977" s="716"/>
      <c r="AI977" s="716"/>
      <c r="AJ977" s="716"/>
      <c r="AK977" s="716"/>
      <c r="AL977" s="716"/>
      <c r="AM977" s="716"/>
      <c r="AN977" s="716"/>
      <c r="AO977" s="716"/>
      <c r="AP977" s="716"/>
      <c r="AQ977" s="716"/>
      <c r="AR977" s="716"/>
    </row>
    <row r="978">
      <c r="A978" s="716"/>
      <c r="B978" s="530"/>
      <c r="C978" s="530"/>
      <c r="D978" s="530"/>
      <c r="E978" s="530"/>
      <c r="F978" s="530"/>
      <c r="G978" s="530"/>
      <c r="H978" s="530"/>
      <c r="I978" s="530"/>
      <c r="J978" s="530"/>
      <c r="K978" s="530"/>
      <c r="L978" s="530"/>
      <c r="M978" s="530"/>
      <c r="N978" s="530"/>
      <c r="O978" s="530"/>
      <c r="P978" s="530"/>
      <c r="Q978" s="530"/>
      <c r="R978" s="530"/>
      <c r="S978" s="530"/>
      <c r="T978" s="530"/>
      <c r="U978" s="530"/>
      <c r="V978" s="530"/>
      <c r="W978" s="530"/>
      <c r="X978" s="733"/>
      <c r="Y978" s="716"/>
      <c r="Z978" s="716"/>
      <c r="AA978" s="716"/>
      <c r="AB978" s="716"/>
      <c r="AC978" s="716"/>
      <c r="AD978" s="716"/>
      <c r="AE978" s="716"/>
      <c r="AF978" s="716"/>
      <c r="AG978" s="716"/>
      <c r="AH978" s="716"/>
      <c r="AI978" s="716"/>
      <c r="AJ978" s="716"/>
      <c r="AK978" s="716"/>
      <c r="AL978" s="716"/>
      <c r="AM978" s="716"/>
      <c r="AN978" s="716"/>
      <c r="AO978" s="716"/>
      <c r="AP978" s="716"/>
      <c r="AQ978" s="716"/>
      <c r="AR978" s="716"/>
    </row>
    <row r="979">
      <c r="A979" s="716"/>
      <c r="B979" s="530"/>
      <c r="C979" s="530"/>
      <c r="D979" s="530"/>
      <c r="E979" s="530"/>
      <c r="F979" s="530"/>
      <c r="G979" s="530"/>
      <c r="H979" s="530"/>
      <c r="I979" s="530"/>
      <c r="J979" s="530"/>
      <c r="K979" s="530"/>
      <c r="L979" s="530"/>
      <c r="M979" s="530"/>
      <c r="N979" s="530"/>
      <c r="O979" s="530"/>
      <c r="P979" s="530"/>
      <c r="Q979" s="530"/>
      <c r="R979" s="530"/>
      <c r="S979" s="530"/>
      <c r="T979" s="530"/>
      <c r="U979" s="530"/>
      <c r="V979" s="530"/>
      <c r="W979" s="530"/>
      <c r="X979" s="733"/>
      <c r="Y979" s="716"/>
      <c r="Z979" s="716"/>
      <c r="AA979" s="716"/>
      <c r="AB979" s="716"/>
      <c r="AC979" s="716"/>
      <c r="AD979" s="716"/>
      <c r="AE979" s="716"/>
      <c r="AF979" s="716"/>
      <c r="AG979" s="716"/>
      <c r="AH979" s="716"/>
      <c r="AI979" s="716"/>
      <c r="AJ979" s="716"/>
      <c r="AK979" s="716"/>
      <c r="AL979" s="716"/>
      <c r="AM979" s="716"/>
      <c r="AN979" s="716"/>
      <c r="AO979" s="716"/>
      <c r="AP979" s="716"/>
      <c r="AQ979" s="716"/>
      <c r="AR979" s="716"/>
    </row>
    <row r="980">
      <c r="A980" s="716"/>
      <c r="B980" s="530"/>
      <c r="C980" s="530"/>
      <c r="D980" s="530"/>
      <c r="E980" s="530"/>
      <c r="F980" s="530"/>
      <c r="G980" s="530"/>
      <c r="H980" s="530"/>
      <c r="I980" s="530"/>
      <c r="J980" s="530"/>
      <c r="K980" s="530"/>
      <c r="L980" s="530"/>
      <c r="M980" s="530"/>
      <c r="N980" s="530"/>
      <c r="O980" s="530"/>
      <c r="P980" s="530"/>
      <c r="Q980" s="530"/>
      <c r="R980" s="530"/>
      <c r="S980" s="530"/>
      <c r="T980" s="530"/>
      <c r="U980" s="530"/>
      <c r="V980" s="530"/>
      <c r="W980" s="530"/>
      <c r="X980" s="733"/>
      <c r="Y980" s="716"/>
      <c r="Z980" s="716"/>
      <c r="AA980" s="716"/>
      <c r="AB980" s="716"/>
      <c r="AC980" s="716"/>
      <c r="AD980" s="716"/>
      <c r="AE980" s="716"/>
      <c r="AF980" s="716"/>
      <c r="AG980" s="716"/>
      <c r="AH980" s="716"/>
      <c r="AI980" s="716"/>
      <c r="AJ980" s="716"/>
      <c r="AK980" s="716"/>
      <c r="AL980" s="716"/>
      <c r="AM980" s="716"/>
      <c r="AN980" s="716"/>
      <c r="AO980" s="716"/>
      <c r="AP980" s="716"/>
      <c r="AQ980" s="716"/>
      <c r="AR980" s="716"/>
    </row>
    <row r="981">
      <c r="A981" s="716"/>
      <c r="B981" s="530"/>
      <c r="C981" s="530"/>
      <c r="D981" s="530"/>
      <c r="E981" s="530"/>
      <c r="F981" s="530"/>
      <c r="G981" s="530"/>
      <c r="H981" s="530"/>
      <c r="I981" s="530"/>
      <c r="J981" s="530"/>
      <c r="K981" s="530"/>
      <c r="L981" s="530"/>
      <c r="M981" s="530"/>
      <c r="N981" s="530"/>
      <c r="O981" s="530"/>
      <c r="P981" s="530"/>
      <c r="Q981" s="530"/>
      <c r="R981" s="530"/>
      <c r="S981" s="530"/>
      <c r="T981" s="530"/>
      <c r="U981" s="530"/>
      <c r="V981" s="530"/>
      <c r="W981" s="530"/>
      <c r="X981" s="733"/>
      <c r="Y981" s="716"/>
      <c r="Z981" s="716"/>
      <c r="AA981" s="716"/>
      <c r="AB981" s="716"/>
      <c r="AC981" s="716"/>
      <c r="AD981" s="716"/>
      <c r="AE981" s="716"/>
      <c r="AF981" s="716"/>
      <c r="AG981" s="716"/>
      <c r="AH981" s="716"/>
      <c r="AI981" s="716"/>
      <c r="AJ981" s="716"/>
      <c r="AK981" s="716"/>
      <c r="AL981" s="716"/>
      <c r="AM981" s="716"/>
      <c r="AN981" s="716"/>
      <c r="AO981" s="716"/>
      <c r="AP981" s="716"/>
      <c r="AQ981" s="716"/>
      <c r="AR981" s="716"/>
    </row>
    <row r="982">
      <c r="A982" s="716"/>
      <c r="B982" s="530"/>
      <c r="C982" s="530"/>
      <c r="D982" s="530"/>
      <c r="E982" s="530"/>
      <c r="F982" s="530"/>
      <c r="G982" s="530"/>
      <c r="H982" s="530"/>
      <c r="I982" s="530"/>
      <c r="J982" s="530"/>
      <c r="K982" s="530"/>
      <c r="L982" s="530"/>
      <c r="M982" s="530"/>
      <c r="N982" s="530"/>
      <c r="O982" s="530"/>
      <c r="P982" s="530"/>
      <c r="Q982" s="530"/>
      <c r="R982" s="530"/>
      <c r="S982" s="530"/>
      <c r="T982" s="530"/>
      <c r="U982" s="530"/>
      <c r="V982" s="530"/>
      <c r="W982" s="530"/>
      <c r="X982" s="733"/>
      <c r="Y982" s="716"/>
      <c r="Z982" s="716"/>
      <c r="AA982" s="716"/>
      <c r="AB982" s="716"/>
      <c r="AC982" s="716"/>
      <c r="AD982" s="716"/>
      <c r="AE982" s="716"/>
      <c r="AF982" s="716"/>
      <c r="AG982" s="716"/>
      <c r="AH982" s="716"/>
      <c r="AI982" s="716"/>
      <c r="AJ982" s="716"/>
      <c r="AK982" s="716"/>
      <c r="AL982" s="716"/>
      <c r="AM982" s="716"/>
      <c r="AN982" s="716"/>
      <c r="AO982" s="716"/>
      <c r="AP982" s="716"/>
      <c r="AQ982" s="716"/>
      <c r="AR982" s="716"/>
    </row>
    <row r="983">
      <c r="A983" s="716"/>
      <c r="B983" s="530"/>
      <c r="C983" s="530"/>
      <c r="D983" s="530"/>
      <c r="E983" s="530"/>
      <c r="F983" s="530"/>
      <c r="G983" s="530"/>
      <c r="H983" s="530"/>
      <c r="I983" s="530"/>
      <c r="J983" s="530"/>
      <c r="K983" s="530"/>
      <c r="L983" s="530"/>
      <c r="M983" s="530"/>
      <c r="N983" s="530"/>
      <c r="O983" s="530"/>
      <c r="P983" s="530"/>
      <c r="Q983" s="530"/>
      <c r="R983" s="530"/>
      <c r="S983" s="530"/>
      <c r="T983" s="530"/>
      <c r="U983" s="530"/>
      <c r="V983" s="530"/>
      <c r="W983" s="530"/>
      <c r="X983" s="733"/>
      <c r="Y983" s="716"/>
      <c r="Z983" s="716"/>
      <c r="AA983" s="716"/>
      <c r="AB983" s="716"/>
      <c r="AC983" s="716"/>
      <c r="AD983" s="716"/>
      <c r="AE983" s="716"/>
      <c r="AF983" s="716"/>
      <c r="AG983" s="716"/>
      <c r="AH983" s="716"/>
      <c r="AI983" s="716"/>
      <c r="AJ983" s="716"/>
      <c r="AK983" s="716"/>
      <c r="AL983" s="716"/>
      <c r="AM983" s="716"/>
      <c r="AN983" s="716"/>
      <c r="AO983" s="716"/>
      <c r="AP983" s="716"/>
      <c r="AQ983" s="716"/>
      <c r="AR983" s="716"/>
    </row>
    <row r="984">
      <c r="A984" s="716"/>
      <c r="B984" s="530"/>
      <c r="C984" s="530"/>
      <c r="D984" s="530"/>
      <c r="E984" s="530"/>
      <c r="F984" s="530"/>
      <c r="G984" s="530"/>
      <c r="H984" s="530"/>
      <c r="I984" s="530"/>
      <c r="J984" s="530"/>
      <c r="K984" s="530"/>
      <c r="L984" s="530"/>
      <c r="M984" s="530"/>
      <c r="N984" s="530"/>
      <c r="O984" s="530"/>
      <c r="P984" s="530"/>
      <c r="Q984" s="530"/>
      <c r="R984" s="530"/>
      <c r="S984" s="530"/>
      <c r="T984" s="530"/>
      <c r="U984" s="530"/>
      <c r="V984" s="530"/>
      <c r="W984" s="530"/>
      <c r="X984" s="733"/>
      <c r="Y984" s="716"/>
      <c r="Z984" s="716"/>
      <c r="AA984" s="716"/>
      <c r="AB984" s="716"/>
      <c r="AC984" s="716"/>
      <c r="AD984" s="716"/>
      <c r="AE984" s="716"/>
      <c r="AF984" s="716"/>
      <c r="AG984" s="716"/>
      <c r="AH984" s="716"/>
      <c r="AI984" s="716"/>
      <c r="AJ984" s="716"/>
      <c r="AK984" s="716"/>
      <c r="AL984" s="716"/>
      <c r="AM984" s="716"/>
      <c r="AN984" s="716"/>
      <c r="AO984" s="716"/>
      <c r="AP984" s="716"/>
      <c r="AQ984" s="716"/>
      <c r="AR984" s="716"/>
    </row>
    <row r="985">
      <c r="A985" s="716"/>
      <c r="B985" s="530"/>
      <c r="C985" s="530"/>
      <c r="D985" s="530"/>
      <c r="E985" s="530"/>
      <c r="F985" s="530"/>
      <c r="G985" s="530"/>
      <c r="H985" s="530"/>
      <c r="I985" s="530"/>
      <c r="J985" s="530"/>
      <c r="K985" s="530"/>
      <c r="L985" s="530"/>
      <c r="M985" s="530"/>
      <c r="N985" s="530"/>
      <c r="O985" s="530"/>
      <c r="P985" s="530"/>
      <c r="Q985" s="530"/>
      <c r="R985" s="530"/>
      <c r="S985" s="530"/>
      <c r="T985" s="530"/>
      <c r="U985" s="530"/>
      <c r="V985" s="530"/>
      <c r="W985" s="530"/>
      <c r="X985" s="733"/>
      <c r="Y985" s="716"/>
      <c r="Z985" s="716"/>
      <c r="AA985" s="716"/>
      <c r="AB985" s="716"/>
      <c r="AC985" s="716"/>
      <c r="AD985" s="716"/>
      <c r="AE985" s="716"/>
      <c r="AF985" s="716"/>
      <c r="AG985" s="716"/>
      <c r="AH985" s="716"/>
      <c r="AI985" s="716"/>
      <c r="AJ985" s="716"/>
      <c r="AK985" s="716"/>
      <c r="AL985" s="716"/>
      <c r="AM985" s="716"/>
      <c r="AN985" s="716"/>
      <c r="AO985" s="716"/>
      <c r="AP985" s="716"/>
      <c r="AQ985" s="716"/>
      <c r="AR985" s="716"/>
    </row>
    <row r="986">
      <c r="A986" s="716"/>
      <c r="B986" s="530"/>
      <c r="C986" s="530"/>
      <c r="D986" s="530"/>
      <c r="E986" s="530"/>
      <c r="F986" s="530"/>
      <c r="G986" s="530"/>
      <c r="H986" s="530"/>
      <c r="I986" s="530"/>
      <c r="J986" s="530"/>
      <c r="K986" s="530"/>
      <c r="L986" s="530"/>
      <c r="M986" s="530"/>
      <c r="N986" s="530"/>
      <c r="O986" s="530"/>
      <c r="P986" s="530"/>
      <c r="Q986" s="530"/>
      <c r="R986" s="530"/>
      <c r="S986" s="530"/>
      <c r="T986" s="530"/>
      <c r="U986" s="530"/>
      <c r="V986" s="530"/>
      <c r="W986" s="530"/>
      <c r="X986" s="733"/>
      <c r="Y986" s="716"/>
      <c r="Z986" s="716"/>
      <c r="AA986" s="716"/>
      <c r="AB986" s="716"/>
      <c r="AC986" s="716"/>
      <c r="AD986" s="716"/>
      <c r="AE986" s="716"/>
      <c r="AF986" s="716"/>
      <c r="AG986" s="716"/>
      <c r="AH986" s="716"/>
      <c r="AI986" s="716"/>
      <c r="AJ986" s="716"/>
      <c r="AK986" s="716"/>
      <c r="AL986" s="716"/>
      <c r="AM986" s="716"/>
      <c r="AN986" s="716"/>
      <c r="AO986" s="716"/>
      <c r="AP986" s="716"/>
      <c r="AQ986" s="716"/>
      <c r="AR986" s="716"/>
    </row>
    <row r="987">
      <c r="A987" s="716"/>
      <c r="B987" s="530"/>
      <c r="C987" s="530"/>
      <c r="D987" s="530"/>
      <c r="E987" s="530"/>
      <c r="F987" s="530"/>
      <c r="G987" s="530"/>
      <c r="H987" s="530"/>
      <c r="I987" s="530"/>
      <c r="J987" s="530"/>
      <c r="K987" s="530"/>
      <c r="L987" s="530"/>
      <c r="M987" s="530"/>
      <c r="N987" s="530"/>
      <c r="O987" s="530"/>
      <c r="P987" s="530"/>
      <c r="Q987" s="530"/>
      <c r="R987" s="530"/>
      <c r="S987" s="530"/>
      <c r="T987" s="530"/>
      <c r="U987" s="530"/>
      <c r="V987" s="530"/>
      <c r="W987" s="530"/>
      <c r="X987" s="733"/>
      <c r="Y987" s="716"/>
      <c r="Z987" s="716"/>
      <c r="AA987" s="716"/>
      <c r="AB987" s="716"/>
      <c r="AC987" s="716"/>
      <c r="AD987" s="716"/>
      <c r="AE987" s="716"/>
      <c r="AF987" s="716"/>
      <c r="AG987" s="716"/>
      <c r="AH987" s="716"/>
      <c r="AI987" s="716"/>
      <c r="AJ987" s="716"/>
      <c r="AK987" s="716"/>
      <c r="AL987" s="716"/>
      <c r="AM987" s="716"/>
      <c r="AN987" s="716"/>
      <c r="AO987" s="716"/>
      <c r="AP987" s="716"/>
      <c r="AQ987" s="716"/>
      <c r="AR987" s="716"/>
    </row>
    <row r="988">
      <c r="A988" s="716"/>
      <c r="B988" s="530"/>
      <c r="C988" s="530"/>
      <c r="D988" s="530"/>
      <c r="E988" s="530"/>
      <c r="F988" s="530"/>
      <c r="G988" s="530"/>
      <c r="H988" s="530"/>
      <c r="I988" s="530"/>
      <c r="J988" s="530"/>
      <c r="K988" s="530"/>
      <c r="L988" s="530"/>
      <c r="M988" s="530"/>
      <c r="N988" s="530"/>
      <c r="O988" s="530"/>
      <c r="P988" s="530"/>
      <c r="Q988" s="530"/>
      <c r="R988" s="530"/>
      <c r="S988" s="530"/>
      <c r="T988" s="530"/>
      <c r="U988" s="530"/>
      <c r="V988" s="530"/>
      <c r="W988" s="530"/>
      <c r="X988" s="733"/>
      <c r="Y988" s="716"/>
      <c r="Z988" s="716"/>
      <c r="AA988" s="716"/>
      <c r="AB988" s="716"/>
      <c r="AC988" s="716"/>
      <c r="AD988" s="716"/>
      <c r="AE988" s="716"/>
      <c r="AF988" s="716"/>
      <c r="AG988" s="716"/>
      <c r="AH988" s="716"/>
      <c r="AI988" s="716"/>
      <c r="AJ988" s="716"/>
      <c r="AK988" s="716"/>
      <c r="AL988" s="716"/>
      <c r="AM988" s="716"/>
      <c r="AN988" s="716"/>
      <c r="AO988" s="716"/>
      <c r="AP988" s="716"/>
      <c r="AQ988" s="716"/>
      <c r="AR988" s="716"/>
    </row>
    <row r="989">
      <c r="A989" s="716"/>
      <c r="B989" s="530"/>
      <c r="C989" s="530"/>
      <c r="D989" s="530"/>
      <c r="E989" s="530"/>
      <c r="F989" s="530"/>
      <c r="G989" s="530"/>
      <c r="H989" s="530"/>
      <c r="I989" s="530"/>
      <c r="J989" s="530"/>
      <c r="K989" s="530"/>
      <c r="L989" s="530"/>
      <c r="M989" s="530"/>
      <c r="N989" s="530"/>
      <c r="O989" s="530"/>
      <c r="P989" s="530"/>
      <c r="Q989" s="530"/>
      <c r="R989" s="530"/>
      <c r="S989" s="530"/>
      <c r="T989" s="530"/>
      <c r="U989" s="530"/>
      <c r="V989" s="530"/>
      <c r="W989" s="530"/>
      <c r="X989" s="733"/>
      <c r="Y989" s="716"/>
      <c r="Z989" s="716"/>
      <c r="AA989" s="716"/>
      <c r="AB989" s="716"/>
      <c r="AC989" s="716"/>
      <c r="AD989" s="716"/>
      <c r="AE989" s="716"/>
      <c r="AF989" s="716"/>
      <c r="AG989" s="716"/>
      <c r="AH989" s="716"/>
      <c r="AI989" s="716"/>
      <c r="AJ989" s="716"/>
      <c r="AK989" s="716"/>
      <c r="AL989" s="716"/>
      <c r="AM989" s="716"/>
      <c r="AN989" s="716"/>
      <c r="AO989" s="716"/>
      <c r="AP989" s="716"/>
      <c r="AQ989" s="716"/>
      <c r="AR989" s="716"/>
    </row>
    <row r="990">
      <c r="A990" s="716"/>
      <c r="B990" s="530"/>
      <c r="C990" s="530"/>
      <c r="D990" s="530"/>
      <c r="E990" s="530"/>
      <c r="F990" s="530"/>
      <c r="G990" s="530"/>
      <c r="H990" s="530"/>
      <c r="I990" s="530"/>
      <c r="J990" s="530"/>
      <c r="K990" s="530"/>
      <c r="L990" s="530"/>
      <c r="M990" s="530"/>
      <c r="N990" s="530"/>
      <c r="O990" s="530"/>
      <c r="P990" s="530"/>
      <c r="Q990" s="530"/>
      <c r="R990" s="530"/>
      <c r="S990" s="530"/>
      <c r="T990" s="530"/>
      <c r="U990" s="530"/>
      <c r="V990" s="530"/>
      <c r="W990" s="530"/>
      <c r="X990" s="733"/>
      <c r="Y990" s="716"/>
      <c r="Z990" s="716"/>
      <c r="AA990" s="716"/>
      <c r="AB990" s="716"/>
      <c r="AC990" s="716"/>
      <c r="AD990" s="716"/>
      <c r="AE990" s="716"/>
      <c r="AF990" s="716"/>
      <c r="AG990" s="716"/>
      <c r="AH990" s="716"/>
      <c r="AI990" s="716"/>
      <c r="AJ990" s="716"/>
      <c r="AK990" s="716"/>
      <c r="AL990" s="716"/>
      <c r="AM990" s="716"/>
      <c r="AN990" s="716"/>
      <c r="AO990" s="716"/>
      <c r="AP990" s="716"/>
      <c r="AQ990" s="716"/>
      <c r="AR990" s="716"/>
    </row>
    <row r="991">
      <c r="A991" s="716"/>
      <c r="B991" s="530"/>
      <c r="C991" s="530"/>
      <c r="D991" s="530"/>
      <c r="E991" s="530"/>
      <c r="F991" s="530"/>
      <c r="G991" s="530"/>
      <c r="H991" s="530"/>
      <c r="I991" s="530"/>
      <c r="J991" s="530"/>
      <c r="K991" s="530"/>
      <c r="L991" s="530"/>
      <c r="M991" s="530"/>
      <c r="N991" s="530"/>
      <c r="O991" s="530"/>
      <c r="P991" s="530"/>
      <c r="Q991" s="530"/>
      <c r="R991" s="530"/>
      <c r="S991" s="530"/>
      <c r="T991" s="530"/>
      <c r="U991" s="530"/>
      <c r="V991" s="530"/>
      <c r="W991" s="530"/>
      <c r="X991" s="733"/>
      <c r="Y991" s="716"/>
      <c r="Z991" s="716"/>
      <c r="AA991" s="716"/>
      <c r="AB991" s="716"/>
      <c r="AC991" s="716"/>
      <c r="AD991" s="716"/>
      <c r="AE991" s="716"/>
      <c r="AF991" s="716"/>
      <c r="AG991" s="716"/>
      <c r="AH991" s="716"/>
      <c r="AI991" s="716"/>
      <c r="AJ991" s="716"/>
      <c r="AK991" s="716"/>
      <c r="AL991" s="716"/>
      <c r="AM991" s="716"/>
      <c r="AN991" s="716"/>
      <c r="AO991" s="716"/>
      <c r="AP991" s="716"/>
      <c r="AQ991" s="716"/>
      <c r="AR991" s="716"/>
    </row>
    <row r="992">
      <c r="A992" s="716"/>
      <c r="B992" s="530"/>
      <c r="C992" s="530"/>
      <c r="D992" s="530"/>
      <c r="E992" s="530"/>
      <c r="F992" s="530"/>
      <c r="G992" s="530"/>
      <c r="H992" s="530"/>
      <c r="I992" s="530"/>
      <c r="J992" s="530"/>
      <c r="K992" s="530"/>
      <c r="L992" s="530"/>
      <c r="M992" s="530"/>
      <c r="N992" s="530"/>
      <c r="O992" s="530"/>
      <c r="P992" s="530"/>
      <c r="Q992" s="530"/>
      <c r="R992" s="530"/>
      <c r="S992" s="530"/>
      <c r="T992" s="530"/>
      <c r="U992" s="530"/>
      <c r="V992" s="530"/>
      <c r="W992" s="530"/>
      <c r="X992" s="733"/>
      <c r="Y992" s="716"/>
      <c r="Z992" s="716"/>
      <c r="AA992" s="716"/>
      <c r="AB992" s="716"/>
      <c r="AC992" s="716"/>
      <c r="AD992" s="716"/>
      <c r="AE992" s="716"/>
      <c r="AF992" s="716"/>
      <c r="AG992" s="716"/>
      <c r="AH992" s="716"/>
      <c r="AI992" s="716"/>
      <c r="AJ992" s="716"/>
      <c r="AK992" s="716"/>
      <c r="AL992" s="716"/>
      <c r="AM992" s="716"/>
      <c r="AN992" s="716"/>
      <c r="AO992" s="716"/>
      <c r="AP992" s="716"/>
      <c r="AQ992" s="716"/>
      <c r="AR992" s="716"/>
    </row>
    <row r="993">
      <c r="A993" s="716"/>
      <c r="B993" s="530"/>
      <c r="C993" s="530"/>
      <c r="D993" s="530"/>
      <c r="E993" s="530"/>
      <c r="F993" s="530"/>
      <c r="G993" s="530"/>
      <c r="H993" s="530"/>
      <c r="I993" s="530"/>
      <c r="J993" s="530"/>
      <c r="K993" s="530"/>
      <c r="L993" s="530"/>
      <c r="M993" s="530"/>
      <c r="N993" s="530"/>
      <c r="O993" s="530"/>
      <c r="P993" s="530"/>
      <c r="Q993" s="530"/>
      <c r="R993" s="530"/>
      <c r="S993" s="530"/>
      <c r="T993" s="530"/>
      <c r="U993" s="530"/>
      <c r="V993" s="530"/>
      <c r="W993" s="530"/>
      <c r="X993" s="733"/>
      <c r="Y993" s="716"/>
      <c r="Z993" s="716"/>
      <c r="AA993" s="716"/>
      <c r="AB993" s="716"/>
      <c r="AC993" s="716"/>
      <c r="AD993" s="716"/>
      <c r="AE993" s="716"/>
      <c r="AF993" s="716"/>
      <c r="AG993" s="716"/>
      <c r="AH993" s="716"/>
      <c r="AI993" s="716"/>
      <c r="AJ993" s="716"/>
      <c r="AK993" s="716"/>
      <c r="AL993" s="716"/>
      <c r="AM993" s="716"/>
      <c r="AN993" s="716"/>
      <c r="AO993" s="716"/>
      <c r="AP993" s="716"/>
      <c r="AQ993" s="716"/>
      <c r="AR993" s="716"/>
    </row>
    <row r="994">
      <c r="A994" s="716"/>
      <c r="B994" s="530"/>
      <c r="C994" s="530"/>
      <c r="D994" s="530"/>
      <c r="E994" s="530"/>
      <c r="F994" s="530"/>
      <c r="G994" s="530"/>
      <c r="H994" s="530"/>
      <c r="I994" s="530"/>
      <c r="J994" s="530"/>
      <c r="K994" s="530"/>
      <c r="L994" s="530"/>
      <c r="M994" s="530"/>
      <c r="N994" s="530"/>
      <c r="O994" s="530"/>
      <c r="P994" s="530"/>
      <c r="Q994" s="530"/>
      <c r="R994" s="530"/>
      <c r="S994" s="530"/>
      <c r="T994" s="530"/>
      <c r="U994" s="530"/>
      <c r="V994" s="530"/>
      <c r="W994" s="530"/>
      <c r="X994" s="733"/>
      <c r="Y994" s="716"/>
      <c r="Z994" s="716"/>
      <c r="AA994" s="716"/>
      <c r="AB994" s="716"/>
      <c r="AC994" s="716"/>
      <c r="AD994" s="716"/>
      <c r="AE994" s="716"/>
      <c r="AF994" s="716"/>
      <c r="AG994" s="716"/>
      <c r="AH994" s="716"/>
      <c r="AI994" s="716"/>
      <c r="AJ994" s="716"/>
      <c r="AK994" s="716"/>
      <c r="AL994" s="716"/>
      <c r="AM994" s="716"/>
      <c r="AN994" s="716"/>
      <c r="AO994" s="716"/>
      <c r="AP994" s="716"/>
      <c r="AQ994" s="716"/>
      <c r="AR994" s="716"/>
    </row>
    <row r="995">
      <c r="A995" s="716"/>
      <c r="B995" s="530"/>
      <c r="C995" s="530"/>
      <c r="D995" s="530"/>
      <c r="E995" s="530"/>
      <c r="F995" s="530"/>
      <c r="G995" s="530"/>
      <c r="H995" s="530"/>
      <c r="I995" s="530"/>
      <c r="J995" s="530"/>
      <c r="K995" s="530"/>
      <c r="L995" s="530"/>
      <c r="M995" s="530"/>
      <c r="N995" s="530"/>
      <c r="O995" s="530"/>
      <c r="P995" s="530"/>
      <c r="Q995" s="530"/>
      <c r="R995" s="530"/>
      <c r="S995" s="530"/>
      <c r="T995" s="530"/>
      <c r="U995" s="530"/>
      <c r="V995" s="530"/>
      <c r="W995" s="530"/>
      <c r="X995" s="733"/>
      <c r="Y995" s="716"/>
      <c r="Z995" s="716"/>
      <c r="AA995" s="716"/>
      <c r="AB995" s="716"/>
      <c r="AC995" s="716"/>
      <c r="AD995" s="716"/>
      <c r="AE995" s="716"/>
      <c r="AF995" s="716"/>
      <c r="AG995" s="716"/>
      <c r="AH995" s="716"/>
      <c r="AI995" s="716"/>
      <c r="AJ995" s="716"/>
      <c r="AK995" s="716"/>
      <c r="AL995" s="716"/>
      <c r="AM995" s="716"/>
      <c r="AN995" s="716"/>
      <c r="AO995" s="716"/>
      <c r="AP995" s="716"/>
      <c r="AQ995" s="716"/>
      <c r="AR995" s="716"/>
    </row>
    <row r="996">
      <c r="A996" s="716"/>
      <c r="B996" s="530"/>
      <c r="C996" s="530"/>
      <c r="D996" s="530"/>
      <c r="E996" s="530"/>
      <c r="F996" s="530"/>
      <c r="G996" s="530"/>
      <c r="H996" s="530"/>
      <c r="I996" s="530"/>
      <c r="J996" s="530"/>
      <c r="K996" s="530"/>
      <c r="L996" s="530"/>
      <c r="M996" s="530"/>
      <c r="N996" s="530"/>
      <c r="O996" s="530"/>
      <c r="P996" s="530"/>
      <c r="Q996" s="530"/>
      <c r="R996" s="530"/>
      <c r="S996" s="530"/>
      <c r="T996" s="530"/>
      <c r="U996" s="530"/>
      <c r="V996" s="530"/>
      <c r="W996" s="530"/>
      <c r="X996" s="733"/>
      <c r="Y996" s="716"/>
      <c r="Z996" s="716"/>
      <c r="AA996" s="716"/>
      <c r="AB996" s="716"/>
      <c r="AC996" s="716"/>
      <c r="AD996" s="716"/>
      <c r="AE996" s="716"/>
      <c r="AF996" s="716"/>
      <c r="AG996" s="716"/>
      <c r="AH996" s="716"/>
      <c r="AI996" s="716"/>
      <c r="AJ996" s="716"/>
      <c r="AK996" s="716"/>
      <c r="AL996" s="716"/>
      <c r="AM996" s="716"/>
      <c r="AN996" s="716"/>
      <c r="AO996" s="716"/>
      <c r="AP996" s="716"/>
      <c r="AQ996" s="716"/>
      <c r="AR996" s="716"/>
    </row>
    <row r="997">
      <c r="A997" s="716"/>
      <c r="B997" s="530"/>
      <c r="C997" s="530"/>
      <c r="D997" s="530"/>
      <c r="E997" s="530"/>
      <c r="F997" s="530"/>
      <c r="G997" s="530"/>
      <c r="H997" s="530"/>
      <c r="I997" s="530"/>
      <c r="J997" s="530"/>
      <c r="K997" s="530"/>
      <c r="L997" s="530"/>
      <c r="M997" s="530"/>
      <c r="N997" s="530"/>
      <c r="O997" s="530"/>
      <c r="P997" s="530"/>
      <c r="Q997" s="530"/>
      <c r="R997" s="530"/>
      <c r="S997" s="530"/>
      <c r="T997" s="530"/>
      <c r="U997" s="530"/>
      <c r="V997" s="530"/>
      <c r="W997" s="530"/>
      <c r="X997" s="733"/>
      <c r="Y997" s="716"/>
      <c r="Z997" s="716"/>
      <c r="AA997" s="716"/>
      <c r="AB997" s="716"/>
      <c r="AC997" s="716"/>
      <c r="AD997" s="716"/>
      <c r="AE997" s="716"/>
      <c r="AF997" s="716"/>
      <c r="AG997" s="716"/>
      <c r="AH997" s="716"/>
      <c r="AI997" s="716"/>
      <c r="AJ997" s="716"/>
      <c r="AK997" s="716"/>
      <c r="AL997" s="716"/>
      <c r="AM997" s="716"/>
      <c r="AN997" s="716"/>
      <c r="AO997" s="716"/>
      <c r="AP997" s="716"/>
      <c r="AQ997" s="716"/>
      <c r="AR997" s="716"/>
    </row>
    <row r="998">
      <c r="A998" s="716"/>
      <c r="B998" s="530"/>
      <c r="C998" s="530"/>
      <c r="D998" s="530"/>
      <c r="E998" s="530"/>
      <c r="F998" s="530"/>
      <c r="G998" s="530"/>
      <c r="H998" s="530"/>
      <c r="I998" s="530"/>
      <c r="J998" s="530"/>
      <c r="K998" s="530"/>
      <c r="L998" s="530"/>
      <c r="M998" s="530"/>
      <c r="N998" s="530"/>
      <c r="O998" s="530"/>
      <c r="P998" s="530"/>
      <c r="Q998" s="530"/>
      <c r="R998" s="530"/>
      <c r="S998" s="530"/>
      <c r="T998" s="530"/>
      <c r="U998" s="530"/>
      <c r="V998" s="530"/>
      <c r="W998" s="530"/>
      <c r="X998" s="733"/>
      <c r="Y998" s="716"/>
      <c r="Z998" s="716"/>
      <c r="AA998" s="716"/>
      <c r="AB998" s="716"/>
      <c r="AC998" s="716"/>
      <c r="AD998" s="716"/>
      <c r="AE998" s="716"/>
      <c r="AF998" s="716"/>
      <c r="AG998" s="716"/>
      <c r="AH998" s="716"/>
      <c r="AI998" s="716"/>
      <c r="AJ998" s="716"/>
      <c r="AK998" s="716"/>
      <c r="AL998" s="716"/>
      <c r="AM998" s="716"/>
      <c r="AN998" s="716"/>
      <c r="AO998" s="716"/>
      <c r="AP998" s="716"/>
      <c r="AQ998" s="716"/>
      <c r="AR998" s="716"/>
    </row>
    <row r="999">
      <c r="A999" s="716"/>
      <c r="B999" s="530"/>
      <c r="C999" s="530"/>
      <c r="D999" s="530"/>
      <c r="E999" s="530"/>
      <c r="F999" s="530"/>
      <c r="G999" s="530"/>
      <c r="H999" s="530"/>
      <c r="I999" s="530"/>
      <c r="J999" s="530"/>
      <c r="K999" s="530"/>
      <c r="L999" s="530"/>
      <c r="M999" s="530"/>
      <c r="N999" s="530"/>
      <c r="O999" s="530"/>
      <c r="P999" s="530"/>
      <c r="Q999" s="530"/>
      <c r="R999" s="530"/>
      <c r="S999" s="530"/>
      <c r="T999" s="530"/>
      <c r="U999" s="530"/>
      <c r="V999" s="530"/>
      <c r="W999" s="530"/>
      <c r="X999" s="733"/>
      <c r="Y999" s="716"/>
      <c r="Z999" s="716"/>
      <c r="AA999" s="716"/>
      <c r="AB999" s="716"/>
      <c r="AC999" s="716"/>
      <c r="AD999" s="716"/>
      <c r="AE999" s="716"/>
      <c r="AF999" s="716"/>
      <c r="AG999" s="716"/>
      <c r="AH999" s="716"/>
      <c r="AI999" s="716"/>
      <c r="AJ999" s="716"/>
      <c r="AK999" s="716"/>
      <c r="AL999" s="716"/>
      <c r="AM999" s="716"/>
      <c r="AN999" s="716"/>
      <c r="AO999" s="716"/>
      <c r="AP999" s="716"/>
      <c r="AQ999" s="716"/>
      <c r="AR999" s="716"/>
    </row>
    <row r="1000">
      <c r="A1000" s="716"/>
      <c r="B1000" s="530"/>
      <c r="C1000" s="530"/>
      <c r="D1000" s="530"/>
      <c r="E1000" s="530"/>
      <c r="F1000" s="530"/>
      <c r="G1000" s="530"/>
      <c r="H1000" s="530"/>
      <c r="I1000" s="530"/>
      <c r="J1000" s="530"/>
      <c r="K1000" s="530"/>
      <c r="L1000" s="530"/>
      <c r="M1000" s="530"/>
      <c r="N1000" s="530"/>
      <c r="O1000" s="530"/>
      <c r="P1000" s="530"/>
      <c r="Q1000" s="530"/>
      <c r="R1000" s="530"/>
      <c r="S1000" s="530"/>
      <c r="T1000" s="530"/>
      <c r="U1000" s="530"/>
      <c r="V1000" s="530"/>
      <c r="W1000" s="530"/>
      <c r="X1000" s="733"/>
      <c r="Y1000" s="716"/>
      <c r="Z1000" s="716"/>
      <c r="AA1000" s="716"/>
      <c r="AB1000" s="716"/>
      <c r="AC1000" s="716"/>
      <c r="AD1000" s="716"/>
      <c r="AE1000" s="716"/>
      <c r="AF1000" s="716"/>
      <c r="AG1000" s="716"/>
      <c r="AH1000" s="716"/>
      <c r="AI1000" s="716"/>
      <c r="AJ1000" s="716"/>
      <c r="AK1000" s="716"/>
      <c r="AL1000" s="716"/>
      <c r="AM1000" s="716"/>
      <c r="AN1000" s="716"/>
      <c r="AO1000" s="716"/>
      <c r="AP1000" s="716"/>
      <c r="AQ1000" s="716"/>
      <c r="AR1000" s="716"/>
    </row>
  </sheetData>
  <mergeCells count="5">
    <mergeCell ref="D1:G1"/>
    <mergeCell ref="J1:P1"/>
    <mergeCell ref="S1:X1"/>
    <mergeCell ref="D9:G9"/>
    <mergeCell ref="D18:G18"/>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38"/>
    <col customWidth="1" min="2" max="2" width="6.88"/>
    <col customWidth="1" min="4" max="4" width="13.88"/>
    <col hidden="1" min="21" max="21" width="12.63"/>
  </cols>
  <sheetData>
    <row r="1">
      <c r="A1" s="3">
        <v>1.05</v>
      </c>
      <c r="B1" s="13"/>
      <c r="C1" s="13"/>
      <c r="D1" s="242"/>
      <c r="E1" s="242"/>
      <c r="F1" s="242"/>
      <c r="G1" s="242"/>
      <c r="H1" s="242"/>
      <c r="I1" s="242"/>
      <c r="J1" s="242"/>
      <c r="K1" s="242"/>
      <c r="L1" s="242"/>
      <c r="M1" s="242"/>
      <c r="N1" s="242"/>
      <c r="O1" s="242"/>
      <c r="P1" s="242"/>
      <c r="Q1" s="242"/>
      <c r="R1" s="242"/>
      <c r="S1" s="242"/>
      <c r="T1" s="13"/>
      <c r="U1" s="242"/>
      <c r="V1" s="242"/>
      <c r="W1" s="242"/>
      <c r="X1" s="242"/>
      <c r="Y1" s="242"/>
      <c r="Z1" s="242"/>
    </row>
    <row r="2">
      <c r="A2" s="242"/>
      <c r="B2" s="737" t="s">
        <v>0</v>
      </c>
      <c r="C2" s="737" t="s">
        <v>4650</v>
      </c>
      <c r="D2" s="737" t="s">
        <v>4651</v>
      </c>
      <c r="E2" s="738" t="s">
        <v>4652</v>
      </c>
      <c r="F2" s="45"/>
      <c r="G2" s="46"/>
      <c r="H2" s="738" t="s">
        <v>4653</v>
      </c>
      <c r="I2" s="45"/>
      <c r="J2" s="46"/>
      <c r="K2" s="738" t="s">
        <v>4654</v>
      </c>
      <c r="L2" s="45"/>
      <c r="M2" s="46"/>
      <c r="N2" s="738" t="s">
        <v>4655</v>
      </c>
      <c r="O2" s="45"/>
      <c r="P2" s="46"/>
      <c r="Q2" s="738" t="s">
        <v>4656</v>
      </c>
      <c r="R2" s="45"/>
      <c r="S2" s="46"/>
      <c r="T2" s="13"/>
      <c r="U2" s="242"/>
      <c r="V2" s="242"/>
      <c r="W2" s="242"/>
      <c r="X2" s="242"/>
      <c r="Y2" s="242"/>
      <c r="Z2" s="242"/>
    </row>
    <row r="3">
      <c r="A3" s="242"/>
      <c r="B3" s="41"/>
      <c r="C3" s="41"/>
      <c r="D3" s="41"/>
      <c r="E3" s="739" t="s">
        <v>18</v>
      </c>
      <c r="F3" s="739" t="s">
        <v>6</v>
      </c>
      <c r="G3" s="739" t="s">
        <v>2519</v>
      </c>
      <c r="H3" s="739" t="s">
        <v>18</v>
      </c>
      <c r="I3" s="739" t="s">
        <v>6</v>
      </c>
      <c r="J3" s="739" t="s">
        <v>2519</v>
      </c>
      <c r="K3" s="739" t="s">
        <v>18</v>
      </c>
      <c r="L3" s="739" t="s">
        <v>6</v>
      </c>
      <c r="M3" s="739" t="s">
        <v>2519</v>
      </c>
      <c r="N3" s="739" t="s">
        <v>18</v>
      </c>
      <c r="O3" s="739" t="s">
        <v>6</v>
      </c>
      <c r="P3" s="739" t="s">
        <v>2519</v>
      </c>
      <c r="Q3" s="739" t="s">
        <v>18</v>
      </c>
      <c r="R3" s="739" t="s">
        <v>6</v>
      </c>
      <c r="S3" s="739" t="s">
        <v>2519</v>
      </c>
      <c r="T3" s="13"/>
      <c r="U3" s="242"/>
      <c r="V3" s="242"/>
      <c r="W3" s="242"/>
      <c r="X3" s="242"/>
      <c r="Y3" s="242"/>
      <c r="Z3" s="242"/>
    </row>
    <row r="4">
      <c r="A4" s="242"/>
      <c r="B4" s="740" t="s">
        <v>4657</v>
      </c>
      <c r="C4" s="45"/>
      <c r="D4" s="45"/>
      <c r="E4" s="45"/>
      <c r="F4" s="45"/>
      <c r="G4" s="45"/>
      <c r="H4" s="45"/>
      <c r="I4" s="45"/>
      <c r="J4" s="45"/>
      <c r="K4" s="45"/>
      <c r="L4" s="45"/>
      <c r="M4" s="45"/>
      <c r="N4" s="45"/>
      <c r="O4" s="45"/>
      <c r="P4" s="45"/>
      <c r="Q4" s="45"/>
      <c r="R4" s="45"/>
      <c r="S4" s="46"/>
      <c r="T4" s="3"/>
      <c r="U4" s="242"/>
      <c r="V4" s="242"/>
      <c r="W4" s="242"/>
      <c r="X4" s="242"/>
      <c r="Y4" s="242"/>
      <c r="Z4" s="242"/>
    </row>
    <row r="5">
      <c r="A5" s="242"/>
      <c r="B5" s="739">
        <v>1.0</v>
      </c>
      <c r="C5" s="739" t="s">
        <v>4658</v>
      </c>
      <c r="D5" s="739" t="s">
        <v>1519</v>
      </c>
      <c r="E5" s="739" t="s">
        <v>4039</v>
      </c>
      <c r="F5" s="741">
        <v>0.75</v>
      </c>
      <c r="G5" s="741"/>
      <c r="H5" s="739" t="s">
        <v>4050</v>
      </c>
      <c r="I5" s="741">
        <v>0.925</v>
      </c>
      <c r="J5" s="741"/>
      <c r="K5" s="739" t="s">
        <v>4061</v>
      </c>
      <c r="L5" s="741">
        <v>1.85</v>
      </c>
      <c r="M5" s="741"/>
      <c r="N5" s="739" t="s">
        <v>4072</v>
      </c>
      <c r="O5" s="742">
        <v>3.25</v>
      </c>
      <c r="P5" s="741"/>
      <c r="Q5" s="739" t="s">
        <v>4083</v>
      </c>
      <c r="R5" s="741">
        <v>7.7</v>
      </c>
      <c r="S5" s="741"/>
      <c r="T5" s="13"/>
      <c r="U5" s="2" t="s">
        <v>4612</v>
      </c>
      <c r="V5" s="242"/>
      <c r="W5" s="242"/>
      <c r="X5" s="242"/>
      <c r="Y5" s="242"/>
      <c r="Z5" s="242"/>
    </row>
    <row r="6">
      <c r="A6" s="242"/>
      <c r="B6" s="739">
        <v>2.0</v>
      </c>
      <c r="C6" s="739" t="s">
        <v>4658</v>
      </c>
      <c r="D6" s="739" t="s">
        <v>1524</v>
      </c>
      <c r="E6" s="739" t="s">
        <v>4041</v>
      </c>
      <c r="F6" s="741">
        <f>F5</f>
        <v>0.75</v>
      </c>
      <c r="G6" s="743"/>
      <c r="H6" s="739" t="s">
        <v>4052</v>
      </c>
      <c r="I6" s="741">
        <f>I5</f>
        <v>0.925</v>
      </c>
      <c r="J6" s="743"/>
      <c r="K6" s="739" t="s">
        <v>4063</v>
      </c>
      <c r="L6" s="741">
        <f>L5</f>
        <v>1.85</v>
      </c>
      <c r="M6" s="743"/>
      <c r="N6" s="739" t="s">
        <v>4074</v>
      </c>
      <c r="O6" s="741">
        <f>O5</f>
        <v>3.25</v>
      </c>
      <c r="P6" s="743"/>
      <c r="Q6" s="739" t="s">
        <v>4085</v>
      </c>
      <c r="R6" s="741">
        <f>R5</f>
        <v>7.7</v>
      </c>
      <c r="S6" s="743"/>
      <c r="T6" s="13"/>
      <c r="U6" s="2" t="s">
        <v>4610</v>
      </c>
      <c r="V6" s="242"/>
      <c r="W6" s="242"/>
      <c r="X6" s="242"/>
      <c r="Y6" s="242"/>
      <c r="Z6" s="242"/>
    </row>
    <row r="7">
      <c r="A7" s="242"/>
      <c r="B7" s="739">
        <v>3.0</v>
      </c>
      <c r="C7" s="739" t="s">
        <v>4659</v>
      </c>
      <c r="D7" s="739" t="s">
        <v>1519</v>
      </c>
      <c r="E7" s="739" t="s">
        <v>4042</v>
      </c>
      <c r="F7" s="741">
        <f t="shared" ref="F7:F8" si="1">(F$6/10)*2</f>
        <v>0.15</v>
      </c>
      <c r="G7" s="741"/>
      <c r="H7" s="739" t="s">
        <v>4053</v>
      </c>
      <c r="I7" s="741">
        <f t="shared" ref="I7:I8" si="2">(I$6/10)*2</f>
        <v>0.185</v>
      </c>
      <c r="J7" s="743"/>
      <c r="K7" s="739" t="s">
        <v>4064</v>
      </c>
      <c r="L7" s="741">
        <f t="shared" ref="L7:L8" si="3">(L$6/10)*2</f>
        <v>0.37</v>
      </c>
      <c r="M7" s="743"/>
      <c r="N7" s="739" t="s">
        <v>4075</v>
      </c>
      <c r="O7" s="741">
        <f t="shared" ref="O7:O8" si="4">(O$6/10)*2</f>
        <v>0.65</v>
      </c>
      <c r="P7" s="743"/>
      <c r="Q7" s="739" t="s">
        <v>4086</v>
      </c>
      <c r="R7" s="741">
        <f t="shared" ref="R7:R8" si="5">(R$6/10)*2</f>
        <v>1.54</v>
      </c>
      <c r="S7" s="743"/>
      <c r="T7" s="13"/>
      <c r="U7" s="2" t="s">
        <v>4609</v>
      </c>
      <c r="V7" s="242"/>
      <c r="W7" s="242"/>
      <c r="X7" s="242"/>
      <c r="Y7" s="242"/>
      <c r="Z7" s="242"/>
    </row>
    <row r="8">
      <c r="A8" s="242"/>
      <c r="B8" s="739">
        <v>4.0</v>
      </c>
      <c r="C8" s="739" t="s">
        <v>4659</v>
      </c>
      <c r="D8" s="739" t="s">
        <v>1524</v>
      </c>
      <c r="E8" s="739" t="s">
        <v>4043</v>
      </c>
      <c r="F8" s="741">
        <f t="shared" si="1"/>
        <v>0.15</v>
      </c>
      <c r="G8" s="741"/>
      <c r="H8" s="739" t="s">
        <v>4054</v>
      </c>
      <c r="I8" s="741">
        <f t="shared" si="2"/>
        <v>0.185</v>
      </c>
      <c r="J8" s="743"/>
      <c r="K8" s="739" t="s">
        <v>4065</v>
      </c>
      <c r="L8" s="741">
        <f t="shared" si="3"/>
        <v>0.37</v>
      </c>
      <c r="M8" s="743"/>
      <c r="N8" s="739" t="s">
        <v>4076</v>
      </c>
      <c r="O8" s="741">
        <f t="shared" si="4"/>
        <v>0.65</v>
      </c>
      <c r="P8" s="743"/>
      <c r="Q8" s="739" t="s">
        <v>4087</v>
      </c>
      <c r="R8" s="741">
        <f t="shared" si="5"/>
        <v>1.54</v>
      </c>
      <c r="S8" s="743"/>
      <c r="T8" s="13"/>
      <c r="U8" s="2" t="s">
        <v>4660</v>
      </c>
      <c r="V8" s="242"/>
      <c r="W8" s="242"/>
      <c r="X8" s="242"/>
      <c r="Y8" s="242"/>
      <c r="Z8" s="242"/>
    </row>
    <row r="9">
      <c r="A9" s="242"/>
      <c r="B9" s="739">
        <v>5.0</v>
      </c>
      <c r="C9" s="739" t="s">
        <v>4661</v>
      </c>
      <c r="D9" s="739" t="s">
        <v>1519</v>
      </c>
      <c r="E9" s="739" t="s">
        <v>4044</v>
      </c>
      <c r="F9" s="741">
        <f t="shared" ref="F9:F10" si="6">(F$6/10)*3</f>
        <v>0.225</v>
      </c>
      <c r="G9" s="741"/>
      <c r="H9" s="739" t="s">
        <v>4055</v>
      </c>
      <c r="I9" s="741">
        <f t="shared" ref="I9:I10" si="7">(I$6/10)*3</f>
        <v>0.2775</v>
      </c>
      <c r="J9" s="743"/>
      <c r="K9" s="739" t="s">
        <v>4066</v>
      </c>
      <c r="L9" s="741">
        <f t="shared" ref="L9:L10" si="8">(L$6/10)*3</f>
        <v>0.555</v>
      </c>
      <c r="M9" s="743"/>
      <c r="N9" s="739" t="s">
        <v>4077</v>
      </c>
      <c r="O9" s="741">
        <f t="shared" ref="O9:O10" si="9">(O$6/10)*3</f>
        <v>0.975</v>
      </c>
      <c r="P9" s="743"/>
      <c r="Q9" s="739" t="s">
        <v>4088</v>
      </c>
      <c r="R9" s="741">
        <f t="shared" ref="R9:R10" si="10">(R$6/10)*3</f>
        <v>2.31</v>
      </c>
      <c r="S9" s="743"/>
      <c r="T9" s="13"/>
      <c r="U9" s="242"/>
      <c r="V9" s="242"/>
      <c r="W9" s="242"/>
      <c r="X9" s="242"/>
      <c r="Y9" s="242"/>
      <c r="Z9" s="242"/>
    </row>
    <row r="10">
      <c r="A10" s="242"/>
      <c r="B10" s="739">
        <v>6.0</v>
      </c>
      <c r="C10" s="739" t="s">
        <v>4661</v>
      </c>
      <c r="D10" s="739" t="s">
        <v>1524</v>
      </c>
      <c r="E10" s="739" t="s">
        <v>4045</v>
      </c>
      <c r="F10" s="741">
        <f t="shared" si="6"/>
        <v>0.225</v>
      </c>
      <c r="G10" s="743"/>
      <c r="H10" s="739" t="s">
        <v>4056</v>
      </c>
      <c r="I10" s="741">
        <f t="shared" si="7"/>
        <v>0.2775</v>
      </c>
      <c r="J10" s="743"/>
      <c r="K10" s="739" t="s">
        <v>4067</v>
      </c>
      <c r="L10" s="741">
        <f t="shared" si="8"/>
        <v>0.555</v>
      </c>
      <c r="M10" s="743"/>
      <c r="N10" s="739" t="s">
        <v>4078</v>
      </c>
      <c r="O10" s="741">
        <f t="shared" si="9"/>
        <v>0.975</v>
      </c>
      <c r="P10" s="743"/>
      <c r="Q10" s="739" t="s">
        <v>4089</v>
      </c>
      <c r="R10" s="741">
        <f t="shared" si="10"/>
        <v>2.31</v>
      </c>
      <c r="S10" s="743"/>
      <c r="T10" s="13"/>
      <c r="U10" s="242"/>
      <c r="V10" s="242"/>
      <c r="W10" s="242"/>
      <c r="X10" s="242"/>
      <c r="Y10" s="242"/>
      <c r="Z10" s="242"/>
    </row>
    <row r="11">
      <c r="A11" s="242"/>
      <c r="B11" s="739">
        <v>7.0</v>
      </c>
      <c r="C11" s="739" t="s">
        <v>4662</v>
      </c>
      <c r="D11" s="739" t="s">
        <v>1519</v>
      </c>
      <c r="E11" s="739" t="s">
        <v>4046</v>
      </c>
      <c r="F11" s="741">
        <f t="shared" ref="F11:F12" si="11">(F$6/10)*4</f>
        <v>0.3</v>
      </c>
      <c r="G11" s="743"/>
      <c r="H11" s="739" t="s">
        <v>4057</v>
      </c>
      <c r="I11" s="741">
        <f t="shared" ref="I11:I12" si="12">(I$6/10)*4</f>
        <v>0.37</v>
      </c>
      <c r="J11" s="743"/>
      <c r="K11" s="739" t="s">
        <v>4068</v>
      </c>
      <c r="L11" s="741">
        <f t="shared" ref="L11:L12" si="13">(L$6/10)*4</f>
        <v>0.74</v>
      </c>
      <c r="M11" s="743"/>
      <c r="N11" s="739" t="s">
        <v>4079</v>
      </c>
      <c r="O11" s="741">
        <f t="shared" ref="O11:O12" si="14">(O$6/10)*4</f>
        <v>1.3</v>
      </c>
      <c r="P11" s="743"/>
      <c r="Q11" s="739" t="s">
        <v>4090</v>
      </c>
      <c r="R11" s="741">
        <f t="shared" ref="R11:R12" si="15">(R$6/10)*4</f>
        <v>3.08</v>
      </c>
      <c r="S11" s="743"/>
      <c r="T11" s="13"/>
      <c r="U11" s="242"/>
      <c r="V11" s="242"/>
      <c r="W11" s="242"/>
      <c r="X11" s="242"/>
      <c r="Y11" s="242"/>
      <c r="Z11" s="242"/>
    </row>
    <row r="12">
      <c r="A12" s="242"/>
      <c r="B12" s="739">
        <v>8.0</v>
      </c>
      <c r="C12" s="739" t="s">
        <v>4662</v>
      </c>
      <c r="D12" s="739" t="s">
        <v>1524</v>
      </c>
      <c r="E12" s="739" t="s">
        <v>4047</v>
      </c>
      <c r="F12" s="741">
        <f t="shared" si="11"/>
        <v>0.3</v>
      </c>
      <c r="G12" s="743"/>
      <c r="H12" s="739" t="s">
        <v>4058</v>
      </c>
      <c r="I12" s="741">
        <f t="shared" si="12"/>
        <v>0.37</v>
      </c>
      <c r="J12" s="743"/>
      <c r="K12" s="739" t="s">
        <v>4069</v>
      </c>
      <c r="L12" s="741">
        <f t="shared" si="13"/>
        <v>0.74</v>
      </c>
      <c r="M12" s="743"/>
      <c r="N12" s="739" t="s">
        <v>4080</v>
      </c>
      <c r="O12" s="741">
        <f t="shared" si="14"/>
        <v>1.3</v>
      </c>
      <c r="P12" s="743"/>
      <c r="Q12" s="739" t="s">
        <v>4091</v>
      </c>
      <c r="R12" s="741">
        <f t="shared" si="15"/>
        <v>3.08</v>
      </c>
      <c r="S12" s="743"/>
      <c r="T12" s="13"/>
      <c r="U12" s="242"/>
      <c r="V12" s="242"/>
      <c r="W12" s="242"/>
      <c r="X12" s="242"/>
      <c r="Y12" s="242"/>
      <c r="Z12" s="242"/>
    </row>
    <row r="13">
      <c r="A13" s="242"/>
      <c r="B13" s="739">
        <v>9.0</v>
      </c>
      <c r="C13" s="739" t="s">
        <v>4663</v>
      </c>
      <c r="D13" s="739" t="s">
        <v>1519</v>
      </c>
      <c r="E13" s="739" t="s">
        <v>4048</v>
      </c>
      <c r="F13" s="741">
        <f t="shared" ref="F13:F14" si="16">(F$6/10)*6</f>
        <v>0.45</v>
      </c>
      <c r="G13" s="743"/>
      <c r="H13" s="739" t="s">
        <v>4059</v>
      </c>
      <c r="I13" s="741">
        <f t="shared" ref="I13:I14" si="17">(I$6/10)*6</f>
        <v>0.555</v>
      </c>
      <c r="J13" s="743"/>
      <c r="K13" s="739" t="s">
        <v>4070</v>
      </c>
      <c r="L13" s="741">
        <f t="shared" ref="L13:L14" si="18">(L$6/10)*6</f>
        <v>1.11</v>
      </c>
      <c r="M13" s="743"/>
      <c r="N13" s="739" t="s">
        <v>4081</v>
      </c>
      <c r="O13" s="741">
        <f t="shared" ref="O13:O14" si="19">(O$6/10)*6</f>
        <v>1.95</v>
      </c>
      <c r="P13" s="743"/>
      <c r="Q13" s="739" t="s">
        <v>4092</v>
      </c>
      <c r="R13" s="741">
        <f t="shared" ref="R13:R14" si="20">(R$6/10)*6</f>
        <v>4.62</v>
      </c>
      <c r="S13" s="743"/>
      <c r="T13" s="13"/>
      <c r="U13" s="242"/>
      <c r="V13" s="242"/>
      <c r="W13" s="242"/>
      <c r="X13" s="242"/>
      <c r="Y13" s="242"/>
      <c r="Z13" s="242"/>
    </row>
    <row r="14">
      <c r="A14" s="242"/>
      <c r="B14" s="737">
        <v>10.0</v>
      </c>
      <c r="C14" s="737" t="s">
        <v>4663</v>
      </c>
      <c r="D14" s="737" t="s">
        <v>1524</v>
      </c>
      <c r="E14" s="737" t="s">
        <v>4049</v>
      </c>
      <c r="F14" s="741">
        <f t="shared" si="16"/>
        <v>0.45</v>
      </c>
      <c r="G14" s="744"/>
      <c r="H14" s="737" t="s">
        <v>4060</v>
      </c>
      <c r="I14" s="741">
        <f t="shared" si="17"/>
        <v>0.555</v>
      </c>
      <c r="J14" s="744"/>
      <c r="K14" s="737" t="s">
        <v>4071</v>
      </c>
      <c r="L14" s="741">
        <f t="shared" si="18"/>
        <v>1.11</v>
      </c>
      <c r="M14" s="744"/>
      <c r="N14" s="737" t="s">
        <v>4082</v>
      </c>
      <c r="O14" s="741">
        <f t="shared" si="19"/>
        <v>1.95</v>
      </c>
      <c r="P14" s="744"/>
      <c r="Q14" s="737" t="s">
        <v>4093</v>
      </c>
      <c r="R14" s="741">
        <f t="shared" si="20"/>
        <v>4.62</v>
      </c>
      <c r="S14" s="744"/>
      <c r="T14" s="13"/>
      <c r="U14" s="242"/>
      <c r="V14" s="242"/>
      <c r="W14" s="242"/>
      <c r="X14" s="242"/>
      <c r="Y14" s="242"/>
      <c r="Z14" s="242"/>
    </row>
    <row r="15">
      <c r="A15" s="242"/>
      <c r="B15" s="745"/>
      <c r="C15" s="745"/>
      <c r="D15" s="745"/>
      <c r="E15" s="745"/>
      <c r="F15" s="745"/>
      <c r="G15" s="745"/>
      <c r="H15" s="745"/>
      <c r="I15" s="745"/>
      <c r="J15" s="745"/>
      <c r="K15" s="745"/>
      <c r="L15" s="745"/>
      <c r="M15" s="745"/>
      <c r="N15" s="745"/>
      <c r="O15" s="745"/>
      <c r="P15" s="745"/>
      <c r="Q15" s="745"/>
      <c r="R15" s="745"/>
      <c r="S15" s="745"/>
      <c r="T15" s="3"/>
      <c r="U15" s="242"/>
      <c r="V15" s="242"/>
      <c r="W15" s="242"/>
      <c r="X15" s="242"/>
      <c r="Y15" s="242"/>
      <c r="Z15" s="242"/>
    </row>
    <row r="16">
      <c r="A16" s="242"/>
      <c r="B16" s="740" t="s">
        <v>4664</v>
      </c>
      <c r="C16" s="45"/>
      <c r="D16" s="45"/>
      <c r="E16" s="45"/>
      <c r="F16" s="45"/>
      <c r="G16" s="45"/>
      <c r="H16" s="45"/>
      <c r="I16" s="45"/>
      <c r="J16" s="45"/>
      <c r="K16" s="45"/>
      <c r="L16" s="45"/>
      <c r="M16" s="45"/>
      <c r="N16" s="45"/>
      <c r="O16" s="45"/>
      <c r="P16" s="45"/>
      <c r="Q16" s="45"/>
      <c r="R16" s="45"/>
      <c r="S16" s="46"/>
      <c r="T16" s="3"/>
      <c r="U16" s="242"/>
      <c r="V16" s="242"/>
      <c r="W16" s="242"/>
      <c r="X16" s="242"/>
      <c r="Y16" s="242"/>
      <c r="Z16" s="242"/>
    </row>
    <row r="17">
      <c r="A17" s="242"/>
      <c r="B17" s="739">
        <v>1.0</v>
      </c>
      <c r="C17" s="739" t="s">
        <v>4658</v>
      </c>
      <c r="D17" s="739" t="s">
        <v>1519</v>
      </c>
      <c r="E17" s="739" t="s">
        <v>4094</v>
      </c>
      <c r="F17" s="741">
        <v>1.1</v>
      </c>
      <c r="G17" s="743"/>
      <c r="H17" s="739" t="s">
        <v>4105</v>
      </c>
      <c r="I17" s="742">
        <v>1.35</v>
      </c>
      <c r="J17" s="743"/>
      <c r="K17" s="739" t="s">
        <v>4116</v>
      </c>
      <c r="L17" s="741">
        <v>2.65</v>
      </c>
      <c r="M17" s="743"/>
      <c r="N17" s="739" t="s">
        <v>4127</v>
      </c>
      <c r="O17" s="742">
        <v>4.8</v>
      </c>
      <c r="P17" s="743"/>
      <c r="Q17" s="739" t="s">
        <v>4138</v>
      </c>
      <c r="R17" s="741">
        <v>10.8</v>
      </c>
      <c r="S17" s="743"/>
      <c r="T17" s="13"/>
      <c r="U17" s="242"/>
      <c r="V17" s="242"/>
      <c r="W17" s="242"/>
      <c r="X17" s="242"/>
      <c r="Y17" s="242"/>
      <c r="Z17" s="242"/>
    </row>
    <row r="18">
      <c r="A18" s="242"/>
      <c r="B18" s="739">
        <v>2.0</v>
      </c>
      <c r="C18" s="739" t="s">
        <v>4658</v>
      </c>
      <c r="D18" s="739" t="s">
        <v>1524</v>
      </c>
      <c r="E18" s="739" t="s">
        <v>4096</v>
      </c>
      <c r="F18" s="741">
        <f>F17</f>
        <v>1.1</v>
      </c>
      <c r="G18" s="743"/>
      <c r="H18" s="739" t="s">
        <v>4107</v>
      </c>
      <c r="I18" s="742">
        <f>I17</f>
        <v>1.35</v>
      </c>
      <c r="J18" s="743"/>
      <c r="K18" s="739" t="s">
        <v>4118</v>
      </c>
      <c r="L18" s="742">
        <f>L17</f>
        <v>2.65</v>
      </c>
      <c r="M18" s="743"/>
      <c r="N18" s="739" t="s">
        <v>4129</v>
      </c>
      <c r="O18" s="742">
        <f>O17</f>
        <v>4.8</v>
      </c>
      <c r="P18" s="743"/>
      <c r="Q18" s="739" t="s">
        <v>4140</v>
      </c>
      <c r="R18" s="742">
        <f>R17</f>
        <v>10.8</v>
      </c>
      <c r="S18" s="743"/>
      <c r="T18" s="13"/>
      <c r="U18" s="242"/>
      <c r="V18" s="242"/>
      <c r="W18" s="242"/>
      <c r="X18" s="242"/>
      <c r="Y18" s="242"/>
      <c r="Z18" s="242"/>
    </row>
    <row r="19">
      <c r="A19" s="242"/>
      <c r="B19" s="739">
        <v>3.0</v>
      </c>
      <c r="C19" s="739" t="s">
        <v>4659</v>
      </c>
      <c r="D19" s="739" t="s">
        <v>1519</v>
      </c>
      <c r="E19" s="739" t="s">
        <v>4097</v>
      </c>
      <c r="F19" s="741">
        <f t="shared" ref="F19:F20" si="21">(F$18/10)*2</f>
        <v>0.22</v>
      </c>
      <c r="G19" s="743"/>
      <c r="H19" s="739" t="s">
        <v>4108</v>
      </c>
      <c r="I19" s="741">
        <f t="shared" ref="I19:I20" si="22">(I$18/10)*2</f>
        <v>0.27</v>
      </c>
      <c r="J19" s="743"/>
      <c r="K19" s="739" t="s">
        <v>4119</v>
      </c>
      <c r="L19" s="741">
        <f t="shared" ref="L19:L20" si="23">(L$18/10)*2</f>
        <v>0.53</v>
      </c>
      <c r="M19" s="743"/>
      <c r="N19" s="739" t="s">
        <v>4130</v>
      </c>
      <c r="O19" s="741">
        <f t="shared" ref="O19:O20" si="24">(O$18/10)*2</f>
        <v>0.96</v>
      </c>
      <c r="P19" s="743"/>
      <c r="Q19" s="739" t="s">
        <v>4141</v>
      </c>
      <c r="R19" s="741">
        <f t="shared" ref="R19:R20" si="25">(R$18/10)*2</f>
        <v>2.16</v>
      </c>
      <c r="S19" s="743"/>
      <c r="T19" s="13"/>
      <c r="U19" s="242"/>
      <c r="V19" s="242"/>
      <c r="W19" s="242"/>
      <c r="X19" s="242"/>
      <c r="Y19" s="242"/>
      <c r="Z19" s="242"/>
    </row>
    <row r="20">
      <c r="A20" s="242"/>
      <c r="B20" s="739">
        <v>4.0</v>
      </c>
      <c r="C20" s="739" t="s">
        <v>4659</v>
      </c>
      <c r="D20" s="739" t="s">
        <v>1524</v>
      </c>
      <c r="E20" s="739" t="s">
        <v>4098</v>
      </c>
      <c r="F20" s="741">
        <f t="shared" si="21"/>
        <v>0.22</v>
      </c>
      <c r="G20" s="743"/>
      <c r="H20" s="739" t="s">
        <v>4109</v>
      </c>
      <c r="I20" s="741">
        <f t="shared" si="22"/>
        <v>0.27</v>
      </c>
      <c r="J20" s="743"/>
      <c r="K20" s="739" t="s">
        <v>4120</v>
      </c>
      <c r="L20" s="741">
        <f t="shared" si="23"/>
        <v>0.53</v>
      </c>
      <c r="M20" s="743"/>
      <c r="N20" s="739" t="s">
        <v>4131</v>
      </c>
      <c r="O20" s="741">
        <f t="shared" si="24"/>
        <v>0.96</v>
      </c>
      <c r="P20" s="743"/>
      <c r="Q20" s="739" t="s">
        <v>4142</v>
      </c>
      <c r="R20" s="741">
        <f t="shared" si="25"/>
        <v>2.16</v>
      </c>
      <c r="S20" s="743"/>
      <c r="T20" s="13"/>
      <c r="U20" s="242"/>
      <c r="V20" s="242"/>
      <c r="W20" s="242"/>
      <c r="X20" s="242"/>
      <c r="Y20" s="242"/>
      <c r="Z20" s="242"/>
    </row>
    <row r="21">
      <c r="A21" s="242"/>
      <c r="B21" s="739">
        <v>5.0</v>
      </c>
      <c r="C21" s="739" t="s">
        <v>4661</v>
      </c>
      <c r="D21" s="739" t="s">
        <v>1519</v>
      </c>
      <c r="E21" s="739" t="s">
        <v>4099</v>
      </c>
      <c r="F21" s="741">
        <f t="shared" ref="F21:F22" si="26">(F$18/10)*3</f>
        <v>0.33</v>
      </c>
      <c r="G21" s="743"/>
      <c r="H21" s="739" t="s">
        <v>4110</v>
      </c>
      <c r="I21" s="741">
        <f t="shared" ref="I21:I22" si="27">(I$18/10)*3</f>
        <v>0.405</v>
      </c>
      <c r="J21" s="743"/>
      <c r="K21" s="739" t="s">
        <v>4121</v>
      </c>
      <c r="L21" s="741">
        <f t="shared" ref="L21:L22" si="28">(L$18/10)*3</f>
        <v>0.795</v>
      </c>
      <c r="M21" s="743"/>
      <c r="N21" s="739" t="s">
        <v>4132</v>
      </c>
      <c r="O21" s="741">
        <f t="shared" ref="O21:O22" si="29">(O$18/10)*3</f>
        <v>1.44</v>
      </c>
      <c r="P21" s="743"/>
      <c r="Q21" s="739" t="s">
        <v>4143</v>
      </c>
      <c r="R21" s="741">
        <f t="shared" ref="R21:R22" si="30">(R$18/10)*3</f>
        <v>3.24</v>
      </c>
      <c r="S21" s="743"/>
      <c r="T21" s="13"/>
      <c r="U21" s="242"/>
      <c r="V21" s="242"/>
      <c r="W21" s="242"/>
      <c r="X21" s="242"/>
      <c r="Y21" s="242"/>
      <c r="Z21" s="242"/>
    </row>
    <row r="22">
      <c r="A22" s="242"/>
      <c r="B22" s="739">
        <v>6.0</v>
      </c>
      <c r="C22" s="739" t="s">
        <v>4661</v>
      </c>
      <c r="D22" s="739" t="s">
        <v>1524</v>
      </c>
      <c r="E22" s="739" t="s">
        <v>4100</v>
      </c>
      <c r="F22" s="741">
        <f t="shared" si="26"/>
        <v>0.33</v>
      </c>
      <c r="G22" s="743"/>
      <c r="H22" s="739" t="s">
        <v>4111</v>
      </c>
      <c r="I22" s="741">
        <f t="shared" si="27"/>
        <v>0.405</v>
      </c>
      <c r="J22" s="743"/>
      <c r="K22" s="739" t="s">
        <v>4122</v>
      </c>
      <c r="L22" s="741">
        <f t="shared" si="28"/>
        <v>0.795</v>
      </c>
      <c r="M22" s="743"/>
      <c r="N22" s="739" t="s">
        <v>4133</v>
      </c>
      <c r="O22" s="741">
        <f t="shared" si="29"/>
        <v>1.44</v>
      </c>
      <c r="P22" s="743"/>
      <c r="Q22" s="739" t="s">
        <v>4144</v>
      </c>
      <c r="R22" s="741">
        <f t="shared" si="30"/>
        <v>3.24</v>
      </c>
      <c r="S22" s="743"/>
      <c r="T22" s="13"/>
      <c r="U22" s="242"/>
      <c r="V22" s="242"/>
      <c r="W22" s="242"/>
      <c r="X22" s="242"/>
      <c r="Y22" s="242"/>
      <c r="Z22" s="242"/>
    </row>
    <row r="23">
      <c r="A23" s="242"/>
      <c r="B23" s="739">
        <v>7.0</v>
      </c>
      <c r="C23" s="739" t="s">
        <v>4662</v>
      </c>
      <c r="D23" s="739" t="s">
        <v>1519</v>
      </c>
      <c r="E23" s="739" t="s">
        <v>4101</v>
      </c>
      <c r="F23" s="741">
        <f t="shared" ref="F23:F24" si="31">(F$18/10)*4</f>
        <v>0.44</v>
      </c>
      <c r="G23" s="743"/>
      <c r="H23" s="739" t="s">
        <v>4112</v>
      </c>
      <c r="I23" s="741">
        <f t="shared" ref="I23:I24" si="32">(I$18/10)*4</f>
        <v>0.54</v>
      </c>
      <c r="J23" s="743"/>
      <c r="K23" s="739" t="s">
        <v>4123</v>
      </c>
      <c r="L23" s="741">
        <f t="shared" ref="L23:L24" si="33">(L$18/10)*4</f>
        <v>1.06</v>
      </c>
      <c r="M23" s="743"/>
      <c r="N23" s="739" t="s">
        <v>4134</v>
      </c>
      <c r="O23" s="741">
        <f t="shared" ref="O23:O24" si="34">(O$18/10)*4</f>
        <v>1.92</v>
      </c>
      <c r="P23" s="743"/>
      <c r="Q23" s="739" t="s">
        <v>4145</v>
      </c>
      <c r="R23" s="741">
        <f t="shared" ref="R23:R24" si="35">(R$18/10)*4</f>
        <v>4.32</v>
      </c>
      <c r="S23" s="743"/>
      <c r="T23" s="13"/>
      <c r="U23" s="242"/>
      <c r="V23" s="242"/>
      <c r="W23" s="242"/>
      <c r="X23" s="242"/>
      <c r="Y23" s="242"/>
      <c r="Z23" s="242"/>
    </row>
    <row r="24">
      <c r="A24" s="242"/>
      <c r="B24" s="739">
        <v>8.0</v>
      </c>
      <c r="C24" s="739" t="s">
        <v>4662</v>
      </c>
      <c r="D24" s="739" t="s">
        <v>1524</v>
      </c>
      <c r="E24" s="739" t="s">
        <v>4102</v>
      </c>
      <c r="F24" s="741">
        <f t="shared" si="31"/>
        <v>0.44</v>
      </c>
      <c r="G24" s="743"/>
      <c r="H24" s="739" t="s">
        <v>4113</v>
      </c>
      <c r="I24" s="741">
        <f t="shared" si="32"/>
        <v>0.54</v>
      </c>
      <c r="J24" s="743"/>
      <c r="K24" s="739" t="s">
        <v>4124</v>
      </c>
      <c r="L24" s="741">
        <f t="shared" si="33"/>
        <v>1.06</v>
      </c>
      <c r="M24" s="743"/>
      <c r="N24" s="739" t="s">
        <v>4135</v>
      </c>
      <c r="O24" s="741">
        <f t="shared" si="34"/>
        <v>1.92</v>
      </c>
      <c r="P24" s="743"/>
      <c r="Q24" s="739" t="s">
        <v>4146</v>
      </c>
      <c r="R24" s="741">
        <f t="shared" si="35"/>
        <v>4.32</v>
      </c>
      <c r="S24" s="743"/>
      <c r="T24" s="13"/>
      <c r="U24" s="242"/>
      <c r="V24" s="242"/>
      <c r="W24" s="242"/>
      <c r="X24" s="242"/>
      <c r="Y24" s="242"/>
      <c r="Z24" s="242"/>
    </row>
    <row r="25">
      <c r="A25" s="242"/>
      <c r="B25" s="739">
        <v>9.0</v>
      </c>
      <c r="C25" s="739" t="s">
        <v>4663</v>
      </c>
      <c r="D25" s="739" t="s">
        <v>1519</v>
      </c>
      <c r="E25" s="739" t="s">
        <v>4103</v>
      </c>
      <c r="F25" s="741">
        <f t="shared" ref="F25:F26" si="36">(F$18/10)*6</f>
        <v>0.66</v>
      </c>
      <c r="G25" s="743"/>
      <c r="H25" s="739" t="s">
        <v>4114</v>
      </c>
      <c r="I25" s="741">
        <f t="shared" ref="I25:I26" si="37">(I$18/10)*6</f>
        <v>0.81</v>
      </c>
      <c r="J25" s="743"/>
      <c r="K25" s="739" t="s">
        <v>4125</v>
      </c>
      <c r="L25" s="741">
        <f t="shared" ref="L25:L26" si="38">(L$18/10)*6</f>
        <v>1.59</v>
      </c>
      <c r="M25" s="743"/>
      <c r="N25" s="739" t="s">
        <v>4136</v>
      </c>
      <c r="O25" s="741">
        <f t="shared" ref="O25:O26" si="39">(O$18/10)*6</f>
        <v>2.88</v>
      </c>
      <c r="P25" s="743"/>
      <c r="Q25" s="739" t="s">
        <v>4147</v>
      </c>
      <c r="R25" s="741">
        <f t="shared" ref="R25:R26" si="40">(R$18/10)*6</f>
        <v>6.48</v>
      </c>
      <c r="S25" s="743"/>
      <c r="T25" s="13"/>
      <c r="U25" s="242"/>
      <c r="V25" s="242"/>
      <c r="W25" s="242"/>
      <c r="X25" s="242"/>
      <c r="Y25" s="242"/>
      <c r="Z25" s="242"/>
    </row>
    <row r="26">
      <c r="A26" s="242"/>
      <c r="B26" s="737">
        <v>10.0</v>
      </c>
      <c r="C26" s="737" t="s">
        <v>4663</v>
      </c>
      <c r="D26" s="737" t="s">
        <v>1524</v>
      </c>
      <c r="E26" s="737" t="s">
        <v>4104</v>
      </c>
      <c r="F26" s="741">
        <f t="shared" si="36"/>
        <v>0.66</v>
      </c>
      <c r="G26" s="744"/>
      <c r="H26" s="737" t="s">
        <v>4115</v>
      </c>
      <c r="I26" s="741">
        <f t="shared" si="37"/>
        <v>0.81</v>
      </c>
      <c r="J26" s="744"/>
      <c r="K26" s="737" t="s">
        <v>4126</v>
      </c>
      <c r="L26" s="741">
        <f t="shared" si="38"/>
        <v>1.59</v>
      </c>
      <c r="M26" s="744"/>
      <c r="N26" s="737" t="s">
        <v>4137</v>
      </c>
      <c r="O26" s="741">
        <f t="shared" si="39"/>
        <v>2.88</v>
      </c>
      <c r="P26" s="744"/>
      <c r="Q26" s="737" t="s">
        <v>4148</v>
      </c>
      <c r="R26" s="741">
        <f t="shared" si="40"/>
        <v>6.48</v>
      </c>
      <c r="S26" s="744"/>
      <c r="T26" s="13"/>
      <c r="U26" s="242"/>
      <c r="V26" s="242"/>
      <c r="W26" s="242"/>
      <c r="X26" s="242"/>
      <c r="Y26" s="242"/>
      <c r="Z26" s="242"/>
    </row>
    <row r="27">
      <c r="A27" s="242"/>
      <c r="B27" s="746"/>
      <c r="C27" s="746"/>
      <c r="D27" s="746"/>
      <c r="E27" s="746"/>
      <c r="F27" s="746"/>
      <c r="G27" s="746"/>
      <c r="H27" s="746"/>
      <c r="I27" s="746"/>
      <c r="J27" s="746"/>
      <c r="K27" s="746"/>
      <c r="L27" s="746"/>
      <c r="M27" s="746"/>
      <c r="N27" s="746"/>
      <c r="O27" s="746"/>
      <c r="P27" s="746"/>
      <c r="Q27" s="746"/>
      <c r="R27" s="746"/>
      <c r="S27" s="746"/>
      <c r="T27" s="13"/>
      <c r="U27" s="242"/>
      <c r="V27" s="242"/>
      <c r="W27" s="242"/>
      <c r="X27" s="242"/>
      <c r="Y27" s="242"/>
      <c r="Z27" s="242"/>
    </row>
    <row r="28">
      <c r="A28" s="242"/>
      <c r="B28" s="740" t="s">
        <v>4665</v>
      </c>
      <c r="C28" s="45"/>
      <c r="D28" s="45"/>
      <c r="E28" s="45"/>
      <c r="F28" s="45"/>
      <c r="G28" s="45"/>
      <c r="H28" s="45"/>
      <c r="I28" s="45"/>
      <c r="J28" s="45"/>
      <c r="K28" s="45"/>
      <c r="L28" s="45"/>
      <c r="M28" s="45"/>
      <c r="N28" s="45"/>
      <c r="O28" s="45"/>
      <c r="P28" s="45"/>
      <c r="Q28" s="45"/>
      <c r="R28" s="45"/>
      <c r="S28" s="46"/>
      <c r="T28" s="3"/>
      <c r="U28" s="242"/>
      <c r="V28" s="242"/>
      <c r="W28" s="242"/>
      <c r="X28" s="242"/>
      <c r="Y28" s="242"/>
      <c r="Z28" s="242"/>
    </row>
    <row r="29">
      <c r="A29" s="242"/>
      <c r="B29" s="739">
        <v>1.0</v>
      </c>
      <c r="C29" s="739" t="s">
        <v>4658</v>
      </c>
      <c r="D29" s="739" t="s">
        <v>1519</v>
      </c>
      <c r="E29" s="739" t="s">
        <v>4149</v>
      </c>
      <c r="F29" s="742">
        <v>1.55</v>
      </c>
      <c r="G29" s="743"/>
      <c r="H29" s="739" t="s">
        <v>4168</v>
      </c>
      <c r="I29" s="742">
        <v>1.95</v>
      </c>
      <c r="J29" s="743"/>
      <c r="K29" s="739" t="s">
        <v>4182</v>
      </c>
      <c r="L29" s="742">
        <v>3.85</v>
      </c>
      <c r="M29" s="743"/>
      <c r="N29" s="739" t="s">
        <v>4199</v>
      </c>
      <c r="O29" s="741">
        <v>7.1</v>
      </c>
      <c r="P29" s="743"/>
      <c r="Q29" s="739" t="s">
        <v>4215</v>
      </c>
      <c r="R29" s="742">
        <v>15.5</v>
      </c>
      <c r="S29" s="743"/>
      <c r="T29" s="13"/>
      <c r="U29" s="242"/>
      <c r="V29" s="242"/>
      <c r="W29" s="242"/>
      <c r="X29" s="242"/>
      <c r="Y29" s="242"/>
      <c r="Z29" s="242"/>
    </row>
    <row r="30">
      <c r="A30" s="242"/>
      <c r="B30" s="739">
        <v>2.0</v>
      </c>
      <c r="C30" s="739" t="s">
        <v>4658</v>
      </c>
      <c r="D30" s="739" t="s">
        <v>1524</v>
      </c>
      <c r="E30" s="739" t="s">
        <v>4151</v>
      </c>
      <c r="F30" s="741">
        <f>F29</f>
        <v>1.55</v>
      </c>
      <c r="G30" s="743"/>
      <c r="H30" s="739" t="s">
        <v>4171</v>
      </c>
      <c r="I30" s="741">
        <f>I29</f>
        <v>1.95</v>
      </c>
      <c r="J30" s="743"/>
      <c r="K30" s="739" t="s">
        <v>4185</v>
      </c>
      <c r="L30" s="741">
        <f>L29</f>
        <v>3.85</v>
      </c>
      <c r="M30" s="743"/>
      <c r="N30" s="739" t="s">
        <v>4201</v>
      </c>
      <c r="O30" s="741">
        <f>O29</f>
        <v>7.1</v>
      </c>
      <c r="P30" s="743"/>
      <c r="Q30" s="739" t="s">
        <v>4218</v>
      </c>
      <c r="R30" s="741">
        <f>R29</f>
        <v>15.5</v>
      </c>
      <c r="S30" s="743"/>
      <c r="T30" s="13"/>
      <c r="U30" s="242"/>
      <c r="V30" s="242"/>
      <c r="W30" s="242"/>
      <c r="X30" s="242"/>
      <c r="Y30" s="242"/>
      <c r="Z30" s="242"/>
    </row>
    <row r="31">
      <c r="A31" s="242"/>
      <c r="B31" s="739">
        <v>3.0</v>
      </c>
      <c r="C31" s="739" t="s">
        <v>4659</v>
      </c>
      <c r="D31" s="739" t="s">
        <v>1519</v>
      </c>
      <c r="E31" s="739" t="s">
        <v>4152</v>
      </c>
      <c r="F31" s="741">
        <f t="shared" ref="F31:F32" si="41">(F$30/10)*2</f>
        <v>0.31</v>
      </c>
      <c r="G31" s="743"/>
      <c r="H31" s="739" t="s">
        <v>4172</v>
      </c>
      <c r="I31" s="741">
        <f t="shared" ref="I31:I32" si="42">(I$30/10)*2</f>
        <v>0.39</v>
      </c>
      <c r="J31" s="743"/>
      <c r="K31" s="739" t="s">
        <v>4187</v>
      </c>
      <c r="L31" s="741">
        <f t="shared" ref="L31:L32" si="43">(L$30/10)*2</f>
        <v>0.77</v>
      </c>
      <c r="M31" s="743"/>
      <c r="N31" s="739" t="s">
        <v>4203</v>
      </c>
      <c r="O31" s="741">
        <f t="shared" ref="O31:O32" si="44">(O$30/10)*2</f>
        <v>1.42</v>
      </c>
      <c r="P31" s="743"/>
      <c r="Q31" s="739" t="s">
        <v>4219</v>
      </c>
      <c r="R31" s="741">
        <f t="shared" ref="R31:R32" si="45">(R$30/10)*2</f>
        <v>3.1</v>
      </c>
      <c r="S31" s="743"/>
      <c r="T31" s="13"/>
      <c r="U31" s="242"/>
      <c r="V31" s="242"/>
      <c r="W31" s="242"/>
      <c r="X31" s="242"/>
      <c r="Y31" s="242"/>
      <c r="Z31" s="242"/>
    </row>
    <row r="32">
      <c r="A32" s="242"/>
      <c r="B32" s="739">
        <v>4.0</v>
      </c>
      <c r="C32" s="739" t="s">
        <v>4659</v>
      </c>
      <c r="D32" s="739" t="s">
        <v>1524</v>
      </c>
      <c r="E32" s="739" t="s">
        <v>4153</v>
      </c>
      <c r="F32" s="741">
        <f t="shared" si="41"/>
        <v>0.31</v>
      </c>
      <c r="G32" s="743"/>
      <c r="H32" s="739" t="s">
        <v>4173</v>
      </c>
      <c r="I32" s="741">
        <f t="shared" si="42"/>
        <v>0.39</v>
      </c>
      <c r="J32" s="743"/>
      <c r="K32" s="739" t="s">
        <v>4188</v>
      </c>
      <c r="L32" s="741">
        <f t="shared" si="43"/>
        <v>0.77</v>
      </c>
      <c r="M32" s="743"/>
      <c r="N32" s="739" t="s">
        <v>4204</v>
      </c>
      <c r="O32" s="741">
        <f t="shared" si="44"/>
        <v>1.42</v>
      </c>
      <c r="P32" s="743"/>
      <c r="Q32" s="739" t="s">
        <v>4220</v>
      </c>
      <c r="R32" s="741">
        <f t="shared" si="45"/>
        <v>3.1</v>
      </c>
      <c r="S32" s="743"/>
      <c r="T32" s="13"/>
      <c r="U32" s="242"/>
      <c r="V32" s="242"/>
      <c r="W32" s="242"/>
      <c r="X32" s="242"/>
      <c r="Y32" s="242"/>
      <c r="Z32" s="242"/>
    </row>
    <row r="33">
      <c r="A33" s="242"/>
      <c r="B33" s="739">
        <v>5.0</v>
      </c>
      <c r="C33" s="739" t="s">
        <v>4661</v>
      </c>
      <c r="D33" s="739" t="s">
        <v>1519</v>
      </c>
      <c r="E33" s="739" t="s">
        <v>4156</v>
      </c>
      <c r="F33" s="741">
        <f t="shared" ref="F33:F34" si="46">(F$30/10)*3</f>
        <v>0.465</v>
      </c>
      <c r="G33" s="743"/>
      <c r="H33" s="739" t="s">
        <v>4174</v>
      </c>
      <c r="I33" s="741">
        <f t="shared" ref="I33:I34" si="47">(I$30/10)*3</f>
        <v>0.585</v>
      </c>
      <c r="J33" s="743"/>
      <c r="K33" s="739" t="s">
        <v>4190</v>
      </c>
      <c r="L33" s="741">
        <f t="shared" ref="L33:L34" si="48">(L$30/10)*3</f>
        <v>1.155</v>
      </c>
      <c r="M33" s="743"/>
      <c r="N33" s="739" t="s">
        <v>4205</v>
      </c>
      <c r="O33" s="741">
        <f t="shared" ref="O33:O34" si="49">(O$30/10)*3</f>
        <v>2.13</v>
      </c>
      <c r="P33" s="743"/>
      <c r="Q33" s="739" t="s">
        <v>4221</v>
      </c>
      <c r="R33" s="741">
        <f t="shared" ref="R33:R34" si="50">(R$30/10)*3</f>
        <v>4.65</v>
      </c>
      <c r="S33" s="743"/>
      <c r="T33" s="13"/>
      <c r="U33" s="242"/>
      <c r="V33" s="242"/>
      <c r="W33" s="242"/>
      <c r="X33" s="242"/>
      <c r="Y33" s="242"/>
      <c r="Z33" s="242"/>
    </row>
    <row r="34">
      <c r="A34" s="242"/>
      <c r="B34" s="739">
        <v>6.0</v>
      </c>
      <c r="C34" s="739" t="s">
        <v>4661</v>
      </c>
      <c r="D34" s="739" t="s">
        <v>1524</v>
      </c>
      <c r="E34" s="739" t="s">
        <v>4159</v>
      </c>
      <c r="F34" s="741">
        <f t="shared" si="46"/>
        <v>0.465</v>
      </c>
      <c r="G34" s="743"/>
      <c r="H34" s="739" t="s">
        <v>4175</v>
      </c>
      <c r="I34" s="741">
        <f t="shared" si="47"/>
        <v>0.585</v>
      </c>
      <c r="J34" s="743"/>
      <c r="K34" s="739" t="s">
        <v>4193</v>
      </c>
      <c r="L34" s="741">
        <f t="shared" si="48"/>
        <v>1.155</v>
      </c>
      <c r="M34" s="743"/>
      <c r="N34" s="739" t="s">
        <v>4207</v>
      </c>
      <c r="O34" s="741">
        <f t="shared" si="49"/>
        <v>2.13</v>
      </c>
      <c r="P34" s="743"/>
      <c r="Q34" s="739" t="s">
        <v>4222</v>
      </c>
      <c r="R34" s="741">
        <f t="shared" si="50"/>
        <v>4.65</v>
      </c>
      <c r="S34" s="743"/>
      <c r="T34" s="13"/>
      <c r="U34" s="242"/>
      <c r="V34" s="242"/>
      <c r="W34" s="242"/>
      <c r="X34" s="242"/>
      <c r="Y34" s="242"/>
      <c r="Z34" s="242"/>
    </row>
    <row r="35">
      <c r="A35" s="242"/>
      <c r="B35" s="739">
        <v>7.0</v>
      </c>
      <c r="C35" s="739" t="s">
        <v>4662</v>
      </c>
      <c r="D35" s="739" t="s">
        <v>1519</v>
      </c>
      <c r="E35" s="739" t="s">
        <v>4163</v>
      </c>
      <c r="F35" s="741">
        <f t="shared" ref="F35:F36" si="51">(F$30/10)*4</f>
        <v>0.62</v>
      </c>
      <c r="G35" s="743"/>
      <c r="H35" s="739" t="s">
        <v>4176</v>
      </c>
      <c r="I35" s="741">
        <f t="shared" ref="I35:I36" si="52">(I$30/10)*4</f>
        <v>0.78</v>
      </c>
      <c r="J35" s="743"/>
      <c r="K35" s="739" t="s">
        <v>4194</v>
      </c>
      <c r="L35" s="741">
        <f t="shared" ref="L35:L36" si="53">(L$30/10)*4</f>
        <v>1.54</v>
      </c>
      <c r="M35" s="743"/>
      <c r="N35" s="739" t="s">
        <v>4208</v>
      </c>
      <c r="O35" s="741">
        <f t="shared" ref="O35:O36" si="54">(O$30/10)*4</f>
        <v>2.84</v>
      </c>
      <c r="P35" s="743"/>
      <c r="Q35" s="739" t="s">
        <v>4223</v>
      </c>
      <c r="R35" s="741">
        <f t="shared" ref="R35:R36" si="55">(R$30/10)*4</f>
        <v>6.2</v>
      </c>
      <c r="S35" s="743"/>
      <c r="T35" s="13"/>
      <c r="U35" s="242"/>
      <c r="V35" s="242"/>
      <c r="W35" s="242"/>
      <c r="X35" s="242"/>
      <c r="Y35" s="242"/>
      <c r="Z35" s="242"/>
    </row>
    <row r="36">
      <c r="A36" s="242"/>
      <c r="B36" s="739">
        <v>8.0</v>
      </c>
      <c r="C36" s="739" t="s">
        <v>4662</v>
      </c>
      <c r="D36" s="739" t="s">
        <v>1524</v>
      </c>
      <c r="E36" s="739" t="s">
        <v>4165</v>
      </c>
      <c r="F36" s="741">
        <f t="shared" si="51"/>
        <v>0.62</v>
      </c>
      <c r="G36" s="743"/>
      <c r="H36" s="739" t="s">
        <v>4177</v>
      </c>
      <c r="I36" s="741">
        <f t="shared" si="52"/>
        <v>0.78</v>
      </c>
      <c r="J36" s="743"/>
      <c r="K36" s="739" t="s">
        <v>4195</v>
      </c>
      <c r="L36" s="741">
        <f t="shared" si="53"/>
        <v>1.54</v>
      </c>
      <c r="M36" s="743"/>
      <c r="N36" s="739" t="s">
        <v>4210</v>
      </c>
      <c r="O36" s="741">
        <f t="shared" si="54"/>
        <v>2.84</v>
      </c>
      <c r="P36" s="743"/>
      <c r="Q36" s="739" t="s">
        <v>4224</v>
      </c>
      <c r="R36" s="741">
        <f t="shared" si="55"/>
        <v>6.2</v>
      </c>
      <c r="S36" s="743"/>
      <c r="T36" s="13"/>
      <c r="U36" s="242"/>
      <c r="V36" s="242"/>
      <c r="W36" s="242"/>
      <c r="X36" s="242"/>
      <c r="Y36" s="242"/>
      <c r="Z36" s="242"/>
    </row>
    <row r="37">
      <c r="A37" s="242"/>
      <c r="B37" s="739">
        <v>9.0</v>
      </c>
      <c r="C37" s="739" t="s">
        <v>4663</v>
      </c>
      <c r="D37" s="739" t="s">
        <v>1519</v>
      </c>
      <c r="E37" s="739" t="s">
        <v>4166</v>
      </c>
      <c r="F37" s="741">
        <f t="shared" ref="F37:F38" si="56">(F$30/10)*6</f>
        <v>0.93</v>
      </c>
      <c r="G37" s="743"/>
      <c r="H37" s="739" t="s">
        <v>4179</v>
      </c>
      <c r="I37" s="741">
        <f t="shared" ref="I37:I38" si="57">(I$30/10)*6</f>
        <v>1.17</v>
      </c>
      <c r="J37" s="743"/>
      <c r="K37" s="739" t="s">
        <v>4196</v>
      </c>
      <c r="L37" s="741">
        <f t="shared" ref="L37:L38" si="58">(L$30/10)*6</f>
        <v>2.31</v>
      </c>
      <c r="M37" s="743"/>
      <c r="N37" s="739" t="s">
        <v>4212</v>
      </c>
      <c r="O37" s="741">
        <f t="shared" ref="O37:O38" si="59">(O$30/10)*6</f>
        <v>4.26</v>
      </c>
      <c r="P37" s="743"/>
      <c r="Q37" s="739" t="s">
        <v>4230</v>
      </c>
      <c r="R37" s="741">
        <f t="shared" ref="R37:R38" si="60">(R$30/10)*6</f>
        <v>9.3</v>
      </c>
      <c r="S37" s="743"/>
      <c r="T37" s="13"/>
      <c r="U37" s="242"/>
      <c r="V37" s="242"/>
      <c r="W37" s="242"/>
      <c r="X37" s="242"/>
      <c r="Y37" s="242"/>
      <c r="Z37" s="242"/>
    </row>
    <row r="38">
      <c r="A38" s="242"/>
      <c r="B38" s="737">
        <v>10.0</v>
      </c>
      <c r="C38" s="737" t="s">
        <v>4663</v>
      </c>
      <c r="D38" s="737" t="s">
        <v>1524</v>
      </c>
      <c r="E38" s="737" t="s">
        <v>4167</v>
      </c>
      <c r="F38" s="741">
        <f t="shared" si="56"/>
        <v>0.93</v>
      </c>
      <c r="G38" s="744"/>
      <c r="H38" s="737" t="s">
        <v>4181</v>
      </c>
      <c r="I38" s="741">
        <f t="shared" si="57"/>
        <v>1.17</v>
      </c>
      <c r="J38" s="744"/>
      <c r="K38" s="737" t="s">
        <v>4198</v>
      </c>
      <c r="L38" s="741">
        <f t="shared" si="58"/>
        <v>2.31</v>
      </c>
      <c r="M38" s="744"/>
      <c r="N38" s="737" t="s">
        <v>4214</v>
      </c>
      <c r="O38" s="741">
        <f t="shared" si="59"/>
        <v>4.26</v>
      </c>
      <c r="P38" s="744"/>
      <c r="Q38" s="737" t="s">
        <v>4231</v>
      </c>
      <c r="R38" s="741">
        <f t="shared" si="60"/>
        <v>9.3</v>
      </c>
      <c r="S38" s="744"/>
      <c r="T38" s="13"/>
      <c r="U38" s="242"/>
      <c r="V38" s="242"/>
      <c r="W38" s="242"/>
      <c r="X38" s="242"/>
      <c r="Y38" s="242"/>
      <c r="Z38" s="242"/>
    </row>
    <row r="39">
      <c r="A39" s="242"/>
      <c r="B39" s="746"/>
      <c r="C39" s="746"/>
      <c r="D39" s="746"/>
      <c r="E39" s="746"/>
      <c r="F39" s="746"/>
      <c r="G39" s="746"/>
      <c r="H39" s="746"/>
      <c r="I39" s="746"/>
      <c r="J39" s="746"/>
      <c r="K39" s="746"/>
      <c r="L39" s="746"/>
      <c r="M39" s="746"/>
      <c r="N39" s="746"/>
      <c r="O39" s="746"/>
      <c r="P39" s="746"/>
      <c r="Q39" s="746"/>
      <c r="R39" s="746"/>
      <c r="S39" s="746"/>
      <c r="T39" s="13"/>
      <c r="U39" s="242"/>
      <c r="V39" s="242"/>
      <c r="W39" s="242"/>
      <c r="X39" s="242"/>
      <c r="Y39" s="242"/>
      <c r="Z39" s="242"/>
    </row>
    <row r="40">
      <c r="A40" s="242"/>
      <c r="B40" s="13"/>
      <c r="C40" s="13"/>
      <c r="D40" s="242"/>
      <c r="E40" s="242"/>
      <c r="F40" s="242"/>
      <c r="G40" s="242"/>
      <c r="H40" s="242"/>
      <c r="I40" s="242"/>
      <c r="J40" s="242"/>
      <c r="K40" s="242"/>
      <c r="L40" s="242"/>
      <c r="M40" s="242"/>
      <c r="N40" s="242"/>
      <c r="O40" s="242"/>
      <c r="P40" s="242"/>
      <c r="Q40" s="242"/>
      <c r="R40" s="242"/>
      <c r="S40" s="242"/>
      <c r="T40" s="13"/>
      <c r="U40" s="242"/>
      <c r="V40" s="242"/>
      <c r="W40" s="242"/>
      <c r="X40" s="242"/>
      <c r="Y40" s="242"/>
      <c r="Z40" s="242"/>
    </row>
    <row r="41">
      <c r="A41" s="242"/>
      <c r="B41" s="13"/>
      <c r="C41" s="13"/>
      <c r="D41" s="242"/>
      <c r="E41" s="242"/>
      <c r="F41" s="242"/>
      <c r="G41" s="242"/>
      <c r="H41" s="242"/>
      <c r="I41" s="242"/>
      <c r="J41" s="242"/>
      <c r="K41" s="242"/>
      <c r="L41" s="242"/>
      <c r="M41" s="242"/>
      <c r="N41" s="242"/>
      <c r="O41" s="242"/>
      <c r="P41" s="242"/>
      <c r="Q41" s="242"/>
      <c r="R41" s="242"/>
      <c r="S41" s="242"/>
      <c r="T41" s="13"/>
      <c r="U41" s="242"/>
      <c r="V41" s="242"/>
      <c r="W41" s="242"/>
      <c r="X41" s="242"/>
      <c r="Y41" s="242"/>
      <c r="Z41" s="242"/>
    </row>
    <row r="42">
      <c r="A42" s="242"/>
      <c r="B42" s="13"/>
      <c r="C42" s="13"/>
      <c r="D42" s="242"/>
      <c r="E42" s="242"/>
      <c r="F42" s="242"/>
      <c r="G42" s="242"/>
      <c r="H42" s="242"/>
      <c r="I42" s="242"/>
      <c r="J42" s="242"/>
      <c r="K42" s="242"/>
      <c r="L42" s="242"/>
      <c r="M42" s="242"/>
      <c r="N42" s="242"/>
      <c r="O42" s="242"/>
      <c r="P42" s="242"/>
      <c r="Q42" s="242"/>
      <c r="R42" s="242"/>
      <c r="S42" s="242"/>
      <c r="T42" s="13"/>
      <c r="U42" s="242"/>
      <c r="V42" s="242"/>
      <c r="W42" s="242"/>
      <c r="X42" s="242"/>
      <c r="Y42" s="242"/>
      <c r="Z42" s="242"/>
    </row>
    <row r="43">
      <c r="A43" s="242"/>
      <c r="B43" s="13"/>
      <c r="C43" s="13"/>
      <c r="D43" s="242"/>
      <c r="E43" s="242"/>
      <c r="F43" s="242"/>
      <c r="G43" s="242"/>
      <c r="H43" s="242"/>
      <c r="I43" s="242"/>
      <c r="J43" s="242"/>
      <c r="K43" s="242"/>
      <c r="L43" s="242"/>
      <c r="M43" s="242"/>
      <c r="N43" s="242"/>
      <c r="O43" s="242"/>
      <c r="P43" s="242"/>
      <c r="Q43" s="242"/>
      <c r="R43" s="242"/>
      <c r="S43" s="242"/>
      <c r="T43" s="13"/>
      <c r="U43" s="242"/>
      <c r="V43" s="242"/>
      <c r="W43" s="242"/>
      <c r="X43" s="242"/>
      <c r="Y43" s="242"/>
      <c r="Z43" s="242"/>
    </row>
    <row r="44">
      <c r="A44" s="242"/>
      <c r="B44" s="13"/>
      <c r="C44" s="13"/>
      <c r="D44" s="242"/>
      <c r="E44" s="242"/>
      <c r="F44" s="242"/>
      <c r="G44" s="242"/>
      <c r="H44" s="242"/>
      <c r="I44" s="242"/>
      <c r="J44" s="242"/>
      <c r="K44" s="242"/>
      <c r="L44" s="242"/>
      <c r="M44" s="242"/>
      <c r="N44" s="242"/>
      <c r="O44" s="242"/>
      <c r="P44" s="242"/>
      <c r="Q44" s="242"/>
      <c r="R44" s="242"/>
      <c r="S44" s="242"/>
      <c r="T44" s="13"/>
      <c r="U44" s="242"/>
      <c r="V44" s="242"/>
      <c r="W44" s="242"/>
      <c r="X44" s="242"/>
      <c r="Y44" s="242"/>
      <c r="Z44" s="242"/>
    </row>
    <row r="45">
      <c r="A45" s="242"/>
      <c r="B45" s="13"/>
      <c r="C45" s="13"/>
      <c r="D45" s="242"/>
      <c r="E45" s="242"/>
      <c r="F45" s="242"/>
      <c r="G45" s="242"/>
      <c r="H45" s="242"/>
      <c r="I45" s="242"/>
      <c r="J45" s="242"/>
      <c r="K45" s="242"/>
      <c r="L45" s="242"/>
      <c r="M45" s="242"/>
      <c r="N45" s="242"/>
      <c r="O45" s="242"/>
      <c r="P45" s="242"/>
      <c r="Q45" s="242"/>
      <c r="R45" s="242"/>
      <c r="S45" s="242"/>
      <c r="T45" s="13"/>
      <c r="U45" s="242"/>
      <c r="V45" s="242"/>
      <c r="W45" s="242"/>
      <c r="X45" s="242"/>
      <c r="Y45" s="242"/>
      <c r="Z45" s="242"/>
    </row>
    <row r="46">
      <c r="A46" s="242"/>
      <c r="B46" s="13"/>
      <c r="C46" s="13"/>
      <c r="D46" s="242"/>
      <c r="E46" s="242"/>
      <c r="F46" s="242"/>
      <c r="G46" s="242"/>
      <c r="H46" s="242"/>
      <c r="I46" s="242"/>
      <c r="J46" s="242"/>
      <c r="K46" s="242"/>
      <c r="L46" s="242"/>
      <c r="M46" s="242"/>
      <c r="N46" s="242"/>
      <c r="O46" s="242"/>
      <c r="P46" s="242"/>
      <c r="Q46" s="242"/>
      <c r="R46" s="242"/>
      <c r="S46" s="242"/>
      <c r="T46" s="13"/>
      <c r="U46" s="242"/>
      <c r="V46" s="242"/>
      <c r="W46" s="242"/>
      <c r="X46" s="242"/>
      <c r="Y46" s="242"/>
      <c r="Z46" s="242"/>
    </row>
    <row r="47">
      <c r="A47" s="242"/>
      <c r="B47" s="13"/>
      <c r="C47" s="13"/>
      <c r="D47" s="242"/>
      <c r="E47" s="242"/>
      <c r="F47" s="242"/>
      <c r="G47" s="242"/>
      <c r="H47" s="242"/>
      <c r="I47" s="242"/>
      <c r="J47" s="242"/>
      <c r="K47" s="242"/>
      <c r="L47" s="242"/>
      <c r="M47" s="242"/>
      <c r="N47" s="242"/>
      <c r="O47" s="242"/>
      <c r="P47" s="242"/>
      <c r="Q47" s="242"/>
      <c r="R47" s="242"/>
      <c r="S47" s="242"/>
      <c r="T47" s="13"/>
      <c r="U47" s="242"/>
      <c r="V47" s="242"/>
      <c r="W47" s="242"/>
      <c r="X47" s="242"/>
      <c r="Y47" s="242"/>
      <c r="Z47" s="242"/>
    </row>
    <row r="48">
      <c r="A48" s="242"/>
      <c r="B48" s="13"/>
      <c r="C48" s="13"/>
      <c r="D48" s="242"/>
      <c r="E48" s="242"/>
      <c r="F48" s="242"/>
      <c r="G48" s="242"/>
      <c r="H48" s="242"/>
      <c r="I48" s="242"/>
      <c r="J48" s="242"/>
      <c r="K48" s="242"/>
      <c r="L48" s="242"/>
      <c r="M48" s="242"/>
      <c r="N48" s="242"/>
      <c r="O48" s="242"/>
      <c r="P48" s="242"/>
      <c r="Q48" s="242"/>
      <c r="R48" s="242"/>
      <c r="S48" s="242"/>
      <c r="T48" s="13"/>
      <c r="U48" s="242"/>
      <c r="V48" s="242"/>
      <c r="W48" s="242"/>
      <c r="X48" s="242"/>
      <c r="Y48" s="242"/>
      <c r="Z48" s="242"/>
    </row>
    <row r="49">
      <c r="A49" s="242"/>
      <c r="B49" s="13"/>
      <c r="C49" s="13"/>
      <c r="D49" s="242"/>
      <c r="E49" s="242"/>
      <c r="F49" s="242"/>
      <c r="G49" s="242"/>
      <c r="H49" s="242"/>
      <c r="I49" s="242"/>
      <c r="J49" s="242"/>
      <c r="K49" s="242"/>
      <c r="L49" s="242"/>
      <c r="M49" s="242"/>
      <c r="N49" s="242"/>
      <c r="O49" s="242"/>
      <c r="P49" s="242"/>
      <c r="Q49" s="242"/>
      <c r="R49" s="242"/>
      <c r="S49" s="242"/>
      <c r="T49" s="13"/>
      <c r="U49" s="242"/>
      <c r="V49" s="242"/>
      <c r="W49" s="242"/>
      <c r="X49" s="242"/>
      <c r="Y49" s="242"/>
      <c r="Z49" s="242"/>
    </row>
    <row r="50">
      <c r="A50" s="242"/>
      <c r="B50" s="13"/>
      <c r="C50" s="13"/>
      <c r="D50" s="242"/>
      <c r="E50" s="242"/>
      <c r="F50" s="242"/>
      <c r="G50" s="242"/>
      <c r="H50" s="242"/>
      <c r="I50" s="242"/>
      <c r="J50" s="242"/>
      <c r="K50" s="242"/>
      <c r="L50" s="242"/>
      <c r="M50" s="242"/>
      <c r="N50" s="242"/>
      <c r="O50" s="242"/>
      <c r="P50" s="242"/>
      <c r="Q50" s="242"/>
      <c r="R50" s="242"/>
      <c r="S50" s="242"/>
      <c r="T50" s="13"/>
      <c r="U50" s="242"/>
      <c r="V50" s="242"/>
      <c r="W50" s="242"/>
      <c r="X50" s="242"/>
      <c r="Y50" s="242"/>
      <c r="Z50" s="242"/>
    </row>
    <row r="51">
      <c r="A51" s="242"/>
      <c r="B51" s="13"/>
      <c r="C51" s="13"/>
      <c r="D51" s="242"/>
      <c r="E51" s="242"/>
      <c r="F51" s="242"/>
      <c r="G51" s="242"/>
      <c r="H51" s="242"/>
      <c r="I51" s="242"/>
      <c r="J51" s="242"/>
      <c r="K51" s="242"/>
      <c r="L51" s="242"/>
      <c r="M51" s="242"/>
      <c r="N51" s="242"/>
      <c r="O51" s="242"/>
      <c r="P51" s="242"/>
      <c r="Q51" s="242"/>
      <c r="R51" s="242"/>
      <c r="S51" s="242"/>
      <c r="T51" s="13"/>
      <c r="U51" s="242"/>
      <c r="V51" s="242"/>
      <c r="W51" s="242"/>
      <c r="X51" s="242"/>
      <c r="Y51" s="242"/>
      <c r="Z51" s="242"/>
    </row>
    <row r="52">
      <c r="A52" s="242"/>
      <c r="B52" s="13"/>
      <c r="C52" s="13"/>
      <c r="D52" s="242"/>
      <c r="E52" s="242"/>
      <c r="F52" s="242"/>
      <c r="G52" s="242"/>
      <c r="H52" s="242"/>
      <c r="I52" s="242"/>
      <c r="J52" s="242"/>
      <c r="K52" s="242"/>
      <c r="L52" s="242"/>
      <c r="M52" s="242"/>
      <c r="N52" s="242"/>
      <c r="O52" s="242"/>
      <c r="P52" s="242"/>
      <c r="Q52" s="242"/>
      <c r="R52" s="242"/>
      <c r="S52" s="242"/>
      <c r="T52" s="13"/>
      <c r="U52" s="242"/>
      <c r="V52" s="242"/>
      <c r="W52" s="242"/>
      <c r="X52" s="242"/>
      <c r="Y52" s="242"/>
      <c r="Z52" s="242"/>
    </row>
    <row r="53">
      <c r="A53" s="242"/>
      <c r="B53" s="13"/>
      <c r="C53" s="13"/>
      <c r="D53" s="242"/>
      <c r="E53" s="242"/>
      <c r="F53" s="242"/>
      <c r="G53" s="242"/>
      <c r="H53" s="242"/>
      <c r="I53" s="242"/>
      <c r="J53" s="242"/>
      <c r="K53" s="242"/>
      <c r="L53" s="242"/>
      <c r="M53" s="242"/>
      <c r="N53" s="242"/>
      <c r="O53" s="242"/>
      <c r="P53" s="242"/>
      <c r="Q53" s="242"/>
      <c r="R53" s="242"/>
      <c r="S53" s="242"/>
      <c r="T53" s="13"/>
      <c r="U53" s="242"/>
      <c r="V53" s="242"/>
      <c r="W53" s="242"/>
      <c r="X53" s="242"/>
      <c r="Y53" s="242"/>
      <c r="Z53" s="242"/>
    </row>
    <row r="54">
      <c r="A54" s="242"/>
      <c r="B54" s="13"/>
      <c r="C54" s="13"/>
      <c r="D54" s="242"/>
      <c r="E54" s="242"/>
      <c r="F54" s="242"/>
      <c r="G54" s="242"/>
      <c r="H54" s="242"/>
      <c r="I54" s="242"/>
      <c r="J54" s="242"/>
      <c r="K54" s="242"/>
      <c r="L54" s="242"/>
      <c r="M54" s="242"/>
      <c r="N54" s="242"/>
      <c r="O54" s="242"/>
      <c r="P54" s="242"/>
      <c r="Q54" s="242"/>
      <c r="R54" s="242"/>
      <c r="S54" s="242"/>
      <c r="T54" s="13"/>
      <c r="U54" s="242"/>
      <c r="V54" s="242"/>
      <c r="W54" s="242"/>
      <c r="X54" s="242"/>
      <c r="Y54" s="242"/>
      <c r="Z54" s="242"/>
    </row>
    <row r="55">
      <c r="A55" s="242"/>
      <c r="B55" s="13"/>
      <c r="C55" s="13"/>
      <c r="D55" s="242"/>
      <c r="E55" s="242"/>
      <c r="F55" s="242"/>
      <c r="G55" s="242"/>
      <c r="H55" s="242"/>
      <c r="I55" s="242"/>
      <c r="J55" s="242"/>
      <c r="K55" s="242"/>
      <c r="L55" s="242"/>
      <c r="M55" s="242"/>
      <c r="N55" s="242"/>
      <c r="O55" s="242"/>
      <c r="P55" s="242"/>
      <c r="Q55" s="242"/>
      <c r="R55" s="242"/>
      <c r="S55" s="242"/>
      <c r="T55" s="13"/>
      <c r="U55" s="242"/>
      <c r="V55" s="242"/>
      <c r="W55" s="242"/>
      <c r="X55" s="242"/>
      <c r="Y55" s="242"/>
      <c r="Z55" s="242"/>
    </row>
    <row r="56">
      <c r="A56" s="242"/>
      <c r="B56" s="13"/>
      <c r="C56" s="13"/>
      <c r="D56" s="242"/>
      <c r="E56" s="242"/>
      <c r="F56" s="242"/>
      <c r="G56" s="242"/>
      <c r="H56" s="242"/>
      <c r="I56" s="242"/>
      <c r="J56" s="242"/>
      <c r="K56" s="242"/>
      <c r="L56" s="242"/>
      <c r="M56" s="242"/>
      <c r="N56" s="242"/>
      <c r="O56" s="242"/>
      <c r="P56" s="242"/>
      <c r="Q56" s="242"/>
      <c r="R56" s="242"/>
      <c r="S56" s="242"/>
      <c r="T56" s="13"/>
      <c r="U56" s="242"/>
      <c r="V56" s="242"/>
      <c r="W56" s="242"/>
      <c r="X56" s="242"/>
      <c r="Y56" s="242"/>
      <c r="Z56" s="242"/>
    </row>
    <row r="57">
      <c r="A57" s="242"/>
      <c r="B57" s="13"/>
      <c r="C57" s="13"/>
      <c r="D57" s="242"/>
      <c r="E57" s="242"/>
      <c r="F57" s="242"/>
      <c r="G57" s="242"/>
      <c r="H57" s="242"/>
      <c r="I57" s="242"/>
      <c r="J57" s="242"/>
      <c r="K57" s="242"/>
      <c r="L57" s="242"/>
      <c r="M57" s="242"/>
      <c r="N57" s="242"/>
      <c r="O57" s="242"/>
      <c r="P57" s="242"/>
      <c r="Q57" s="242"/>
      <c r="R57" s="242"/>
      <c r="S57" s="242"/>
      <c r="T57" s="13"/>
      <c r="U57" s="242"/>
      <c r="V57" s="242"/>
      <c r="W57" s="242"/>
      <c r="X57" s="242"/>
      <c r="Y57" s="242"/>
      <c r="Z57" s="242"/>
    </row>
    <row r="58">
      <c r="A58" s="242"/>
      <c r="B58" s="13"/>
      <c r="C58" s="13"/>
      <c r="D58" s="242"/>
      <c r="E58" s="242"/>
      <c r="F58" s="242"/>
      <c r="G58" s="242"/>
      <c r="H58" s="242"/>
      <c r="I58" s="242"/>
      <c r="J58" s="242"/>
      <c r="K58" s="242"/>
      <c r="L58" s="242"/>
      <c r="M58" s="242"/>
      <c r="N58" s="242"/>
      <c r="O58" s="242"/>
      <c r="P58" s="242"/>
      <c r="Q58" s="242"/>
      <c r="R58" s="242"/>
      <c r="S58" s="242"/>
      <c r="T58" s="13"/>
      <c r="U58" s="242"/>
      <c r="V58" s="242"/>
      <c r="W58" s="242"/>
      <c r="X58" s="242"/>
      <c r="Y58" s="242"/>
      <c r="Z58" s="242"/>
    </row>
    <row r="59">
      <c r="A59" s="242"/>
      <c r="B59" s="13"/>
      <c r="C59" s="13"/>
      <c r="D59" s="242"/>
      <c r="E59" s="242"/>
      <c r="F59" s="242"/>
      <c r="G59" s="242"/>
      <c r="H59" s="242"/>
      <c r="I59" s="242"/>
      <c r="J59" s="242"/>
      <c r="K59" s="242"/>
      <c r="L59" s="242"/>
      <c r="M59" s="242"/>
      <c r="N59" s="242"/>
      <c r="O59" s="242"/>
      <c r="P59" s="242"/>
      <c r="Q59" s="242"/>
      <c r="R59" s="242"/>
      <c r="S59" s="242"/>
      <c r="T59" s="13"/>
      <c r="U59" s="242"/>
      <c r="V59" s="242"/>
      <c r="W59" s="242"/>
      <c r="X59" s="242"/>
      <c r="Y59" s="242"/>
      <c r="Z59" s="242"/>
    </row>
    <row r="60">
      <c r="A60" s="242"/>
      <c r="B60" s="13"/>
      <c r="C60" s="13"/>
      <c r="D60" s="242"/>
      <c r="E60" s="242"/>
      <c r="F60" s="242"/>
      <c r="G60" s="242"/>
      <c r="H60" s="242"/>
      <c r="I60" s="242"/>
      <c r="J60" s="242"/>
      <c r="K60" s="242"/>
      <c r="L60" s="242"/>
      <c r="M60" s="242"/>
      <c r="N60" s="242"/>
      <c r="O60" s="242"/>
      <c r="P60" s="242"/>
      <c r="Q60" s="242"/>
      <c r="R60" s="242"/>
      <c r="S60" s="242"/>
      <c r="T60" s="13"/>
      <c r="U60" s="242"/>
      <c r="V60" s="242"/>
      <c r="W60" s="242"/>
      <c r="X60" s="242"/>
      <c r="Y60" s="242"/>
      <c r="Z60" s="242"/>
    </row>
    <row r="61">
      <c r="A61" s="242"/>
      <c r="B61" s="13"/>
      <c r="C61" s="13"/>
      <c r="D61" s="242"/>
      <c r="E61" s="242"/>
      <c r="F61" s="242"/>
      <c r="G61" s="242"/>
      <c r="H61" s="242"/>
      <c r="I61" s="242"/>
      <c r="J61" s="242"/>
      <c r="K61" s="242"/>
      <c r="L61" s="242"/>
      <c r="M61" s="242"/>
      <c r="N61" s="242"/>
      <c r="O61" s="242"/>
      <c r="P61" s="242"/>
      <c r="Q61" s="242"/>
      <c r="R61" s="242"/>
      <c r="S61" s="242"/>
      <c r="T61" s="13"/>
      <c r="U61" s="242"/>
      <c r="V61" s="242"/>
      <c r="W61" s="242"/>
      <c r="X61" s="242"/>
      <c r="Y61" s="242"/>
      <c r="Z61" s="242"/>
    </row>
    <row r="62">
      <c r="A62" s="242"/>
      <c r="B62" s="13"/>
      <c r="C62" s="13"/>
      <c r="D62" s="242"/>
      <c r="E62" s="242"/>
      <c r="F62" s="242"/>
      <c r="G62" s="242"/>
      <c r="H62" s="242"/>
      <c r="I62" s="242"/>
      <c r="J62" s="242"/>
      <c r="K62" s="242"/>
      <c r="L62" s="242"/>
      <c r="M62" s="242"/>
      <c r="N62" s="242"/>
      <c r="O62" s="242"/>
      <c r="P62" s="242"/>
      <c r="Q62" s="242"/>
      <c r="R62" s="242"/>
      <c r="S62" s="242"/>
      <c r="T62" s="13"/>
      <c r="U62" s="242"/>
      <c r="V62" s="242"/>
      <c r="W62" s="242"/>
      <c r="X62" s="242"/>
      <c r="Y62" s="242"/>
      <c r="Z62" s="242"/>
    </row>
    <row r="63">
      <c r="A63" s="242"/>
      <c r="B63" s="13"/>
      <c r="C63" s="13"/>
      <c r="D63" s="242"/>
      <c r="E63" s="242"/>
      <c r="F63" s="242"/>
      <c r="G63" s="242"/>
      <c r="H63" s="242"/>
      <c r="I63" s="242"/>
      <c r="J63" s="242"/>
      <c r="K63" s="242"/>
      <c r="L63" s="242"/>
      <c r="M63" s="242"/>
      <c r="N63" s="242"/>
      <c r="O63" s="242"/>
      <c r="P63" s="242"/>
      <c r="Q63" s="242"/>
      <c r="R63" s="242"/>
      <c r="S63" s="242"/>
      <c r="T63" s="13"/>
      <c r="U63" s="242"/>
      <c r="V63" s="242"/>
      <c r="W63" s="242"/>
      <c r="X63" s="242"/>
      <c r="Y63" s="242"/>
      <c r="Z63" s="242"/>
    </row>
    <row r="64">
      <c r="A64" s="242"/>
      <c r="B64" s="13"/>
      <c r="C64" s="13"/>
      <c r="D64" s="242"/>
      <c r="E64" s="242"/>
      <c r="F64" s="242"/>
      <c r="G64" s="242"/>
      <c r="H64" s="242"/>
      <c r="I64" s="242"/>
      <c r="J64" s="242"/>
      <c r="K64" s="242"/>
      <c r="L64" s="242"/>
      <c r="M64" s="242"/>
      <c r="N64" s="242"/>
      <c r="O64" s="242"/>
      <c r="P64" s="242"/>
      <c r="Q64" s="242"/>
      <c r="R64" s="242"/>
      <c r="S64" s="242"/>
      <c r="T64" s="13"/>
      <c r="U64" s="242"/>
      <c r="V64" s="242"/>
      <c r="W64" s="242"/>
      <c r="X64" s="242"/>
      <c r="Y64" s="242"/>
      <c r="Z64" s="242"/>
    </row>
    <row r="65">
      <c r="A65" s="242"/>
      <c r="B65" s="13"/>
      <c r="C65" s="13"/>
      <c r="D65" s="242"/>
      <c r="E65" s="242"/>
      <c r="F65" s="242"/>
      <c r="G65" s="242"/>
      <c r="H65" s="242"/>
      <c r="I65" s="242"/>
      <c r="J65" s="242"/>
      <c r="K65" s="242"/>
      <c r="L65" s="242"/>
      <c r="M65" s="242"/>
      <c r="N65" s="242"/>
      <c r="O65" s="242"/>
      <c r="P65" s="242"/>
      <c r="Q65" s="242"/>
      <c r="R65" s="242"/>
      <c r="S65" s="242"/>
      <c r="T65" s="13"/>
      <c r="U65" s="242"/>
      <c r="V65" s="242"/>
      <c r="W65" s="242"/>
      <c r="X65" s="242"/>
      <c r="Y65" s="242"/>
      <c r="Z65" s="242"/>
    </row>
    <row r="66">
      <c r="A66" s="242"/>
      <c r="B66" s="13"/>
      <c r="C66" s="13"/>
      <c r="D66" s="242"/>
      <c r="E66" s="242"/>
      <c r="F66" s="242"/>
      <c r="G66" s="242"/>
      <c r="H66" s="242"/>
      <c r="I66" s="242"/>
      <c r="J66" s="242"/>
      <c r="K66" s="242"/>
      <c r="L66" s="242"/>
      <c r="M66" s="242"/>
      <c r="N66" s="242"/>
      <c r="O66" s="242"/>
      <c r="P66" s="242"/>
      <c r="Q66" s="242"/>
      <c r="R66" s="242"/>
      <c r="S66" s="242"/>
      <c r="T66" s="13"/>
      <c r="U66" s="242"/>
      <c r="V66" s="242"/>
      <c r="W66" s="242"/>
      <c r="X66" s="242"/>
      <c r="Y66" s="242"/>
      <c r="Z66" s="242"/>
    </row>
    <row r="67">
      <c r="A67" s="242"/>
      <c r="B67" s="13"/>
      <c r="C67" s="13"/>
      <c r="D67" s="242"/>
      <c r="E67" s="242"/>
      <c r="F67" s="242"/>
      <c r="G67" s="242"/>
      <c r="H67" s="242"/>
      <c r="I67" s="242"/>
      <c r="J67" s="242"/>
      <c r="K67" s="242"/>
      <c r="L67" s="242"/>
      <c r="M67" s="242"/>
      <c r="N67" s="242"/>
      <c r="O67" s="242"/>
      <c r="P67" s="242"/>
      <c r="Q67" s="242"/>
      <c r="R67" s="242"/>
      <c r="S67" s="242"/>
      <c r="T67" s="13"/>
      <c r="U67" s="242"/>
      <c r="V67" s="242"/>
      <c r="W67" s="242"/>
      <c r="X67" s="242"/>
      <c r="Y67" s="242"/>
      <c r="Z67" s="242"/>
    </row>
    <row r="68">
      <c r="A68" s="242"/>
      <c r="B68" s="13"/>
      <c r="C68" s="13"/>
      <c r="D68" s="242"/>
      <c r="E68" s="242"/>
      <c r="F68" s="242"/>
      <c r="G68" s="242"/>
      <c r="H68" s="242"/>
      <c r="I68" s="242"/>
      <c r="J68" s="242"/>
      <c r="K68" s="242"/>
      <c r="L68" s="242"/>
      <c r="M68" s="242"/>
      <c r="N68" s="242"/>
      <c r="O68" s="242"/>
      <c r="P68" s="242"/>
      <c r="Q68" s="242"/>
      <c r="R68" s="242"/>
      <c r="S68" s="242"/>
      <c r="T68" s="13"/>
      <c r="U68" s="242"/>
      <c r="V68" s="242"/>
      <c r="W68" s="242"/>
      <c r="X68" s="242"/>
      <c r="Y68" s="242"/>
      <c r="Z68" s="242"/>
    </row>
    <row r="69">
      <c r="A69" s="242"/>
      <c r="B69" s="13"/>
      <c r="C69" s="13"/>
      <c r="D69" s="242"/>
      <c r="E69" s="242"/>
      <c r="F69" s="242"/>
      <c r="G69" s="242"/>
      <c r="H69" s="242"/>
      <c r="I69" s="242"/>
      <c r="J69" s="242"/>
      <c r="K69" s="242"/>
      <c r="L69" s="242"/>
      <c r="M69" s="242"/>
      <c r="N69" s="242"/>
      <c r="O69" s="242"/>
      <c r="P69" s="242"/>
      <c r="Q69" s="242"/>
      <c r="R69" s="242"/>
      <c r="S69" s="242"/>
      <c r="T69" s="13"/>
      <c r="U69" s="242"/>
      <c r="V69" s="242"/>
      <c r="W69" s="242"/>
      <c r="X69" s="242"/>
      <c r="Y69" s="242"/>
      <c r="Z69" s="242"/>
    </row>
    <row r="70">
      <c r="A70" s="242"/>
      <c r="B70" s="13"/>
      <c r="C70" s="13"/>
      <c r="D70" s="242"/>
      <c r="E70" s="242"/>
      <c r="F70" s="242"/>
      <c r="G70" s="242"/>
      <c r="H70" s="242"/>
      <c r="I70" s="242"/>
      <c r="J70" s="242"/>
      <c r="K70" s="242"/>
      <c r="L70" s="242"/>
      <c r="M70" s="242"/>
      <c r="N70" s="242"/>
      <c r="O70" s="242"/>
      <c r="P70" s="242"/>
      <c r="Q70" s="242"/>
      <c r="R70" s="242"/>
      <c r="S70" s="242"/>
      <c r="T70" s="13"/>
      <c r="U70" s="242"/>
      <c r="V70" s="242"/>
      <c r="W70" s="242"/>
      <c r="X70" s="242"/>
      <c r="Y70" s="242"/>
      <c r="Z70" s="242"/>
    </row>
    <row r="71">
      <c r="A71" s="242"/>
      <c r="B71" s="13"/>
      <c r="C71" s="13"/>
      <c r="D71" s="242"/>
      <c r="E71" s="242"/>
      <c r="F71" s="242"/>
      <c r="G71" s="242"/>
      <c r="H71" s="242"/>
      <c r="I71" s="242"/>
      <c r="J71" s="242"/>
      <c r="K71" s="242"/>
      <c r="L71" s="242"/>
      <c r="M71" s="242"/>
      <c r="N71" s="242"/>
      <c r="O71" s="242"/>
      <c r="P71" s="242"/>
      <c r="Q71" s="242"/>
      <c r="R71" s="242"/>
      <c r="S71" s="242"/>
      <c r="T71" s="13"/>
      <c r="U71" s="242"/>
      <c r="V71" s="242"/>
      <c r="W71" s="242"/>
      <c r="X71" s="242"/>
      <c r="Y71" s="242"/>
      <c r="Z71" s="242"/>
    </row>
    <row r="72">
      <c r="A72" s="242"/>
      <c r="B72" s="13"/>
      <c r="C72" s="13"/>
      <c r="D72" s="242"/>
      <c r="E72" s="242"/>
      <c r="F72" s="242"/>
      <c r="G72" s="242"/>
      <c r="H72" s="242"/>
      <c r="I72" s="242"/>
      <c r="J72" s="242"/>
      <c r="K72" s="242"/>
      <c r="L72" s="242"/>
      <c r="M72" s="242"/>
      <c r="N72" s="242"/>
      <c r="O72" s="242"/>
      <c r="P72" s="242"/>
      <c r="Q72" s="242"/>
      <c r="R72" s="242"/>
      <c r="S72" s="242"/>
      <c r="T72" s="13"/>
      <c r="U72" s="242"/>
      <c r="V72" s="242"/>
      <c r="W72" s="242"/>
      <c r="X72" s="242"/>
      <c r="Y72" s="242"/>
      <c r="Z72" s="242"/>
    </row>
    <row r="73">
      <c r="A73" s="242"/>
      <c r="B73" s="13"/>
      <c r="C73" s="13"/>
      <c r="D73" s="242"/>
      <c r="E73" s="242"/>
      <c r="F73" s="242"/>
      <c r="G73" s="242"/>
      <c r="H73" s="242"/>
      <c r="I73" s="242"/>
      <c r="J73" s="242"/>
      <c r="K73" s="242"/>
      <c r="L73" s="242"/>
      <c r="M73" s="242"/>
      <c r="N73" s="242"/>
      <c r="O73" s="242"/>
      <c r="P73" s="242"/>
      <c r="Q73" s="242"/>
      <c r="R73" s="242"/>
      <c r="S73" s="242"/>
      <c r="T73" s="13"/>
      <c r="U73" s="242"/>
      <c r="V73" s="242"/>
      <c r="W73" s="242"/>
      <c r="X73" s="242"/>
      <c r="Y73" s="242"/>
      <c r="Z73" s="242"/>
    </row>
    <row r="74">
      <c r="A74" s="242"/>
      <c r="B74" s="13"/>
      <c r="C74" s="13"/>
      <c r="D74" s="242"/>
      <c r="E74" s="242"/>
      <c r="F74" s="242"/>
      <c r="G74" s="242"/>
      <c r="H74" s="242"/>
      <c r="I74" s="242"/>
      <c r="J74" s="242"/>
      <c r="K74" s="242"/>
      <c r="L74" s="242"/>
      <c r="M74" s="242"/>
      <c r="N74" s="242"/>
      <c r="O74" s="242"/>
      <c r="P74" s="242"/>
      <c r="Q74" s="242"/>
      <c r="R74" s="242"/>
      <c r="S74" s="242"/>
      <c r="T74" s="13"/>
      <c r="U74" s="242"/>
      <c r="V74" s="242"/>
      <c r="W74" s="242"/>
      <c r="X74" s="242"/>
      <c r="Y74" s="242"/>
      <c r="Z74" s="242"/>
    </row>
    <row r="75">
      <c r="A75" s="242"/>
      <c r="B75" s="13"/>
      <c r="C75" s="13"/>
      <c r="D75" s="242"/>
      <c r="E75" s="242"/>
      <c r="F75" s="242"/>
      <c r="G75" s="242"/>
      <c r="H75" s="242"/>
      <c r="I75" s="242"/>
      <c r="J75" s="242"/>
      <c r="K75" s="242"/>
      <c r="L75" s="242"/>
      <c r="M75" s="242"/>
      <c r="N75" s="242"/>
      <c r="O75" s="242"/>
      <c r="P75" s="242"/>
      <c r="Q75" s="242"/>
      <c r="R75" s="242"/>
      <c r="S75" s="242"/>
      <c r="T75" s="13"/>
      <c r="U75" s="242"/>
      <c r="V75" s="242"/>
      <c r="W75" s="242"/>
      <c r="X75" s="242"/>
      <c r="Y75" s="242"/>
      <c r="Z75" s="242"/>
    </row>
    <row r="76">
      <c r="A76" s="242"/>
      <c r="B76" s="13"/>
      <c r="C76" s="13"/>
      <c r="D76" s="242"/>
      <c r="E76" s="242"/>
      <c r="F76" s="242"/>
      <c r="G76" s="242"/>
      <c r="H76" s="242"/>
      <c r="I76" s="242"/>
      <c r="J76" s="242"/>
      <c r="K76" s="242"/>
      <c r="L76" s="242"/>
      <c r="M76" s="242"/>
      <c r="N76" s="242"/>
      <c r="O76" s="242"/>
      <c r="P76" s="242"/>
      <c r="Q76" s="242"/>
      <c r="R76" s="242"/>
      <c r="S76" s="242"/>
      <c r="T76" s="13"/>
      <c r="U76" s="242"/>
      <c r="V76" s="242"/>
      <c r="W76" s="242"/>
      <c r="X76" s="242"/>
      <c r="Y76" s="242"/>
      <c r="Z76" s="242"/>
    </row>
    <row r="77">
      <c r="A77" s="242"/>
      <c r="B77" s="13"/>
      <c r="C77" s="13"/>
      <c r="D77" s="242"/>
      <c r="E77" s="242"/>
      <c r="F77" s="242"/>
      <c r="G77" s="242"/>
      <c r="H77" s="242"/>
      <c r="I77" s="242"/>
      <c r="J77" s="242"/>
      <c r="K77" s="242"/>
      <c r="L77" s="242"/>
      <c r="M77" s="242"/>
      <c r="N77" s="242"/>
      <c r="O77" s="242"/>
      <c r="P77" s="242"/>
      <c r="Q77" s="242"/>
      <c r="R77" s="242"/>
      <c r="S77" s="242"/>
      <c r="T77" s="13"/>
      <c r="U77" s="242"/>
      <c r="V77" s="242"/>
      <c r="W77" s="242"/>
      <c r="X77" s="242"/>
      <c r="Y77" s="242"/>
      <c r="Z77" s="242"/>
    </row>
    <row r="78">
      <c r="A78" s="242"/>
      <c r="B78" s="13"/>
      <c r="C78" s="13"/>
      <c r="D78" s="242"/>
      <c r="E78" s="242"/>
      <c r="F78" s="242"/>
      <c r="G78" s="242"/>
      <c r="H78" s="242"/>
      <c r="I78" s="242"/>
      <c r="J78" s="242"/>
      <c r="K78" s="242"/>
      <c r="L78" s="242"/>
      <c r="M78" s="242"/>
      <c r="N78" s="242"/>
      <c r="O78" s="242"/>
      <c r="P78" s="242"/>
      <c r="Q78" s="242"/>
      <c r="R78" s="242"/>
      <c r="S78" s="242"/>
      <c r="T78" s="13"/>
      <c r="U78" s="242"/>
      <c r="V78" s="242"/>
      <c r="W78" s="242"/>
      <c r="X78" s="242"/>
      <c r="Y78" s="242"/>
      <c r="Z78" s="242"/>
    </row>
    <row r="79">
      <c r="A79" s="242"/>
      <c r="B79" s="13"/>
      <c r="C79" s="13"/>
      <c r="D79" s="242"/>
      <c r="E79" s="242"/>
      <c r="F79" s="242"/>
      <c r="G79" s="242"/>
      <c r="H79" s="242"/>
      <c r="I79" s="242"/>
      <c r="J79" s="242"/>
      <c r="K79" s="242"/>
      <c r="L79" s="242"/>
      <c r="M79" s="242"/>
      <c r="N79" s="242"/>
      <c r="O79" s="242"/>
      <c r="P79" s="242"/>
      <c r="Q79" s="242"/>
      <c r="R79" s="242"/>
      <c r="S79" s="242"/>
      <c r="T79" s="13"/>
      <c r="U79" s="242"/>
      <c r="V79" s="242"/>
      <c r="W79" s="242"/>
      <c r="X79" s="242"/>
      <c r="Y79" s="242"/>
      <c r="Z79" s="242"/>
    </row>
    <row r="80">
      <c r="A80" s="242"/>
      <c r="B80" s="13"/>
      <c r="C80" s="13"/>
      <c r="D80" s="242"/>
      <c r="E80" s="242"/>
      <c r="F80" s="242"/>
      <c r="G80" s="242"/>
      <c r="H80" s="242"/>
      <c r="I80" s="242"/>
      <c r="J80" s="242"/>
      <c r="K80" s="242"/>
      <c r="L80" s="242"/>
      <c r="M80" s="242"/>
      <c r="N80" s="242"/>
      <c r="O80" s="242"/>
      <c r="P80" s="242"/>
      <c r="Q80" s="242"/>
      <c r="R80" s="242"/>
      <c r="S80" s="242"/>
      <c r="T80" s="13"/>
      <c r="U80" s="242"/>
      <c r="V80" s="242"/>
      <c r="W80" s="242"/>
      <c r="X80" s="242"/>
      <c r="Y80" s="242"/>
      <c r="Z80" s="242"/>
    </row>
    <row r="81">
      <c r="A81" s="242"/>
      <c r="B81" s="13"/>
      <c r="C81" s="13"/>
      <c r="D81" s="242"/>
      <c r="E81" s="242"/>
      <c r="F81" s="242"/>
      <c r="G81" s="242"/>
      <c r="H81" s="242"/>
      <c r="I81" s="242"/>
      <c r="J81" s="242"/>
      <c r="K81" s="242"/>
      <c r="L81" s="242"/>
      <c r="M81" s="242"/>
      <c r="N81" s="242"/>
      <c r="O81" s="242"/>
      <c r="P81" s="242"/>
      <c r="Q81" s="242"/>
      <c r="R81" s="242"/>
      <c r="S81" s="242"/>
      <c r="T81" s="13"/>
      <c r="U81" s="242"/>
      <c r="V81" s="242"/>
      <c r="W81" s="242"/>
      <c r="X81" s="242"/>
      <c r="Y81" s="242"/>
      <c r="Z81" s="242"/>
    </row>
    <row r="82">
      <c r="A82" s="242"/>
      <c r="B82" s="13"/>
      <c r="C82" s="13"/>
      <c r="D82" s="242"/>
      <c r="E82" s="242"/>
      <c r="F82" s="242"/>
      <c r="G82" s="242"/>
      <c r="H82" s="242"/>
      <c r="I82" s="242"/>
      <c r="J82" s="242"/>
      <c r="K82" s="242"/>
      <c r="L82" s="242"/>
      <c r="M82" s="242"/>
      <c r="N82" s="242"/>
      <c r="O82" s="242"/>
      <c r="P82" s="242"/>
      <c r="Q82" s="242"/>
      <c r="R82" s="242"/>
      <c r="S82" s="242"/>
      <c r="T82" s="13"/>
      <c r="U82" s="242"/>
      <c r="V82" s="242"/>
      <c r="W82" s="242"/>
      <c r="X82" s="242"/>
      <c r="Y82" s="242"/>
      <c r="Z82" s="242"/>
    </row>
    <row r="83">
      <c r="A83" s="242"/>
      <c r="B83" s="13"/>
      <c r="C83" s="13"/>
      <c r="D83" s="242"/>
      <c r="E83" s="242"/>
      <c r="F83" s="242"/>
      <c r="G83" s="242"/>
      <c r="H83" s="242"/>
      <c r="I83" s="242"/>
      <c r="J83" s="242"/>
      <c r="K83" s="242"/>
      <c r="L83" s="242"/>
      <c r="M83" s="242"/>
      <c r="N83" s="242"/>
      <c r="O83" s="242"/>
      <c r="P83" s="242"/>
      <c r="Q83" s="242"/>
      <c r="R83" s="242"/>
      <c r="S83" s="242"/>
      <c r="T83" s="13"/>
      <c r="U83" s="242"/>
      <c r="V83" s="242"/>
      <c r="W83" s="242"/>
      <c r="X83" s="242"/>
      <c r="Y83" s="242"/>
      <c r="Z83" s="242"/>
    </row>
    <row r="84">
      <c r="A84" s="242"/>
      <c r="B84" s="13"/>
      <c r="C84" s="13"/>
      <c r="D84" s="242"/>
      <c r="E84" s="242"/>
      <c r="F84" s="242"/>
      <c r="G84" s="242"/>
      <c r="H84" s="242"/>
      <c r="I84" s="242"/>
      <c r="J84" s="242"/>
      <c r="K84" s="242"/>
      <c r="L84" s="242"/>
      <c r="M84" s="242"/>
      <c r="N84" s="242"/>
      <c r="O84" s="242"/>
      <c r="P84" s="242"/>
      <c r="Q84" s="242"/>
      <c r="R84" s="242"/>
      <c r="S84" s="242"/>
      <c r="T84" s="13"/>
      <c r="U84" s="242"/>
      <c r="V84" s="242"/>
      <c r="W84" s="242"/>
      <c r="X84" s="242"/>
      <c r="Y84" s="242"/>
      <c r="Z84" s="242"/>
    </row>
    <row r="85">
      <c r="A85" s="242"/>
      <c r="B85" s="13"/>
      <c r="C85" s="13"/>
      <c r="D85" s="242"/>
      <c r="E85" s="242"/>
      <c r="F85" s="242"/>
      <c r="G85" s="242"/>
      <c r="H85" s="242"/>
      <c r="I85" s="242"/>
      <c r="J85" s="242"/>
      <c r="K85" s="242"/>
      <c r="L85" s="242"/>
      <c r="M85" s="242"/>
      <c r="N85" s="242"/>
      <c r="O85" s="242"/>
      <c r="P85" s="242"/>
      <c r="Q85" s="242"/>
      <c r="R85" s="242"/>
      <c r="S85" s="242"/>
      <c r="T85" s="13"/>
      <c r="U85" s="242"/>
      <c r="V85" s="242"/>
      <c r="W85" s="242"/>
      <c r="X85" s="242"/>
      <c r="Y85" s="242"/>
      <c r="Z85" s="242"/>
    </row>
    <row r="86">
      <c r="A86" s="242"/>
      <c r="B86" s="13"/>
      <c r="C86" s="13"/>
      <c r="D86" s="242"/>
      <c r="E86" s="242"/>
      <c r="F86" s="242"/>
      <c r="G86" s="242"/>
      <c r="H86" s="242"/>
      <c r="I86" s="242"/>
      <c r="J86" s="242"/>
      <c r="K86" s="242"/>
      <c r="L86" s="242"/>
      <c r="M86" s="242"/>
      <c r="N86" s="242"/>
      <c r="O86" s="242"/>
      <c r="P86" s="242"/>
      <c r="Q86" s="242"/>
      <c r="R86" s="242"/>
      <c r="S86" s="242"/>
      <c r="T86" s="13"/>
      <c r="U86" s="242"/>
      <c r="V86" s="242"/>
      <c r="W86" s="242"/>
      <c r="X86" s="242"/>
      <c r="Y86" s="242"/>
      <c r="Z86" s="242"/>
    </row>
    <row r="87">
      <c r="A87" s="242"/>
      <c r="B87" s="13"/>
      <c r="C87" s="13"/>
      <c r="D87" s="242"/>
      <c r="E87" s="242"/>
      <c r="F87" s="242"/>
      <c r="G87" s="242"/>
      <c r="H87" s="242"/>
      <c r="I87" s="242"/>
      <c r="J87" s="242"/>
      <c r="K87" s="242"/>
      <c r="L87" s="242"/>
      <c r="M87" s="242"/>
      <c r="N87" s="242"/>
      <c r="O87" s="242"/>
      <c r="P87" s="242"/>
      <c r="Q87" s="242"/>
      <c r="R87" s="242"/>
      <c r="S87" s="242"/>
      <c r="T87" s="13"/>
      <c r="U87" s="242"/>
      <c r="V87" s="242"/>
      <c r="W87" s="242"/>
      <c r="X87" s="242"/>
      <c r="Y87" s="242"/>
      <c r="Z87" s="242"/>
    </row>
    <row r="88">
      <c r="A88" s="242"/>
      <c r="B88" s="13"/>
      <c r="C88" s="13"/>
      <c r="D88" s="242"/>
      <c r="E88" s="242"/>
      <c r="F88" s="242"/>
      <c r="G88" s="242"/>
      <c r="H88" s="242"/>
      <c r="I88" s="242"/>
      <c r="J88" s="242"/>
      <c r="K88" s="242"/>
      <c r="L88" s="242"/>
      <c r="M88" s="242"/>
      <c r="N88" s="242"/>
      <c r="O88" s="242"/>
      <c r="P88" s="242"/>
      <c r="Q88" s="242"/>
      <c r="R88" s="242"/>
      <c r="S88" s="242"/>
      <c r="T88" s="13"/>
      <c r="U88" s="242"/>
      <c r="V88" s="242"/>
      <c r="W88" s="242"/>
      <c r="X88" s="242"/>
      <c r="Y88" s="242"/>
      <c r="Z88" s="242"/>
    </row>
    <row r="89">
      <c r="A89" s="242"/>
      <c r="B89" s="13"/>
      <c r="C89" s="13"/>
      <c r="D89" s="242"/>
      <c r="E89" s="242"/>
      <c r="F89" s="242"/>
      <c r="G89" s="242"/>
      <c r="H89" s="242"/>
      <c r="I89" s="242"/>
      <c r="J89" s="242"/>
      <c r="K89" s="242"/>
      <c r="L89" s="242"/>
      <c r="M89" s="242"/>
      <c r="N89" s="242"/>
      <c r="O89" s="242"/>
      <c r="P89" s="242"/>
      <c r="Q89" s="242"/>
      <c r="R89" s="242"/>
      <c r="S89" s="242"/>
      <c r="T89" s="13"/>
      <c r="U89" s="242"/>
      <c r="V89" s="242"/>
      <c r="W89" s="242"/>
      <c r="X89" s="242"/>
      <c r="Y89" s="242"/>
      <c r="Z89" s="242"/>
    </row>
    <row r="90">
      <c r="A90" s="242"/>
      <c r="B90" s="13"/>
      <c r="C90" s="13"/>
      <c r="D90" s="242"/>
      <c r="E90" s="242"/>
      <c r="F90" s="242"/>
      <c r="G90" s="242"/>
      <c r="H90" s="242"/>
      <c r="I90" s="242"/>
      <c r="J90" s="242"/>
      <c r="K90" s="242"/>
      <c r="L90" s="242"/>
      <c r="M90" s="242"/>
      <c r="N90" s="242"/>
      <c r="O90" s="242"/>
      <c r="P90" s="242"/>
      <c r="Q90" s="242"/>
      <c r="R90" s="242"/>
      <c r="S90" s="242"/>
      <c r="T90" s="13"/>
      <c r="U90" s="242"/>
      <c r="V90" s="242"/>
      <c r="W90" s="242"/>
      <c r="X90" s="242"/>
      <c r="Y90" s="242"/>
      <c r="Z90" s="242"/>
    </row>
    <row r="91">
      <c r="A91" s="242"/>
      <c r="B91" s="13"/>
      <c r="C91" s="13"/>
      <c r="D91" s="242"/>
      <c r="E91" s="242"/>
      <c r="F91" s="242"/>
      <c r="G91" s="242"/>
      <c r="H91" s="242"/>
      <c r="I91" s="242"/>
      <c r="J91" s="242"/>
      <c r="K91" s="242"/>
      <c r="L91" s="242"/>
      <c r="M91" s="242"/>
      <c r="N91" s="242"/>
      <c r="O91" s="242"/>
      <c r="P91" s="242"/>
      <c r="Q91" s="242"/>
      <c r="R91" s="242"/>
      <c r="S91" s="242"/>
      <c r="T91" s="13"/>
      <c r="U91" s="242"/>
      <c r="V91" s="242"/>
      <c r="W91" s="242"/>
      <c r="X91" s="242"/>
      <c r="Y91" s="242"/>
      <c r="Z91" s="242"/>
    </row>
    <row r="92">
      <c r="A92" s="242"/>
      <c r="B92" s="13"/>
      <c r="C92" s="13"/>
      <c r="D92" s="242"/>
      <c r="E92" s="242"/>
      <c r="F92" s="242"/>
      <c r="G92" s="242"/>
      <c r="H92" s="242"/>
      <c r="I92" s="242"/>
      <c r="J92" s="242"/>
      <c r="K92" s="242"/>
      <c r="L92" s="242"/>
      <c r="M92" s="242"/>
      <c r="N92" s="242"/>
      <c r="O92" s="242"/>
      <c r="P92" s="242"/>
      <c r="Q92" s="242"/>
      <c r="R92" s="242"/>
      <c r="S92" s="242"/>
      <c r="T92" s="13"/>
      <c r="U92" s="242"/>
      <c r="V92" s="242"/>
      <c r="W92" s="242"/>
      <c r="X92" s="242"/>
      <c r="Y92" s="242"/>
      <c r="Z92" s="242"/>
    </row>
    <row r="93">
      <c r="A93" s="242"/>
      <c r="B93" s="13"/>
      <c r="C93" s="13"/>
      <c r="D93" s="242"/>
      <c r="E93" s="242"/>
      <c r="F93" s="242"/>
      <c r="G93" s="242"/>
      <c r="H93" s="242"/>
      <c r="I93" s="242"/>
      <c r="J93" s="242"/>
      <c r="K93" s="242"/>
      <c r="L93" s="242"/>
      <c r="M93" s="242"/>
      <c r="N93" s="242"/>
      <c r="O93" s="242"/>
      <c r="P93" s="242"/>
      <c r="Q93" s="242"/>
      <c r="R93" s="242"/>
      <c r="S93" s="242"/>
      <c r="T93" s="13"/>
      <c r="U93" s="242"/>
      <c r="V93" s="242"/>
      <c r="W93" s="242"/>
      <c r="X93" s="242"/>
      <c r="Y93" s="242"/>
      <c r="Z93" s="242"/>
    </row>
    <row r="94">
      <c r="A94" s="242"/>
      <c r="B94" s="13"/>
      <c r="C94" s="13"/>
      <c r="D94" s="242"/>
      <c r="E94" s="242"/>
      <c r="F94" s="242"/>
      <c r="G94" s="242"/>
      <c r="H94" s="242"/>
      <c r="I94" s="242"/>
      <c r="J94" s="242"/>
      <c r="K94" s="242"/>
      <c r="L94" s="242"/>
      <c r="M94" s="242"/>
      <c r="N94" s="242"/>
      <c r="O94" s="242"/>
      <c r="P94" s="242"/>
      <c r="Q94" s="242"/>
      <c r="R94" s="242"/>
      <c r="S94" s="242"/>
      <c r="T94" s="13"/>
      <c r="U94" s="242"/>
      <c r="V94" s="242"/>
      <c r="W94" s="242"/>
      <c r="X94" s="242"/>
      <c r="Y94" s="242"/>
      <c r="Z94" s="242"/>
    </row>
    <row r="95">
      <c r="A95" s="242"/>
      <c r="B95" s="13"/>
      <c r="C95" s="13"/>
      <c r="D95" s="242"/>
      <c r="E95" s="242"/>
      <c r="F95" s="242"/>
      <c r="G95" s="242"/>
      <c r="H95" s="242"/>
      <c r="I95" s="242"/>
      <c r="J95" s="242"/>
      <c r="K95" s="242"/>
      <c r="L95" s="242"/>
      <c r="M95" s="242"/>
      <c r="N95" s="242"/>
      <c r="O95" s="242"/>
      <c r="P95" s="242"/>
      <c r="Q95" s="242"/>
      <c r="R95" s="242"/>
      <c r="S95" s="242"/>
      <c r="T95" s="13"/>
      <c r="U95" s="242"/>
      <c r="V95" s="242"/>
      <c r="W95" s="242"/>
      <c r="X95" s="242"/>
      <c r="Y95" s="242"/>
      <c r="Z95" s="242"/>
    </row>
    <row r="96">
      <c r="A96" s="242"/>
      <c r="B96" s="13"/>
      <c r="C96" s="13"/>
      <c r="D96" s="242"/>
      <c r="E96" s="242"/>
      <c r="F96" s="242"/>
      <c r="G96" s="242"/>
      <c r="H96" s="242"/>
      <c r="I96" s="242"/>
      <c r="J96" s="242"/>
      <c r="K96" s="242"/>
      <c r="L96" s="242"/>
      <c r="M96" s="242"/>
      <c r="N96" s="242"/>
      <c r="O96" s="242"/>
      <c r="P96" s="242"/>
      <c r="Q96" s="242"/>
      <c r="R96" s="242"/>
      <c r="S96" s="242"/>
      <c r="T96" s="13"/>
      <c r="U96" s="242"/>
      <c r="V96" s="242"/>
      <c r="W96" s="242"/>
      <c r="X96" s="242"/>
      <c r="Y96" s="242"/>
      <c r="Z96" s="242"/>
    </row>
    <row r="97">
      <c r="A97" s="242"/>
      <c r="B97" s="13"/>
      <c r="C97" s="13"/>
      <c r="D97" s="242"/>
      <c r="E97" s="242"/>
      <c r="F97" s="242"/>
      <c r="G97" s="242"/>
      <c r="H97" s="242"/>
      <c r="I97" s="242"/>
      <c r="J97" s="242"/>
      <c r="K97" s="242"/>
      <c r="L97" s="242"/>
      <c r="M97" s="242"/>
      <c r="N97" s="242"/>
      <c r="O97" s="242"/>
      <c r="P97" s="242"/>
      <c r="Q97" s="242"/>
      <c r="R97" s="242"/>
      <c r="S97" s="242"/>
      <c r="T97" s="13"/>
      <c r="U97" s="242"/>
      <c r="V97" s="242"/>
      <c r="W97" s="242"/>
      <c r="X97" s="242"/>
      <c r="Y97" s="242"/>
      <c r="Z97" s="242"/>
    </row>
    <row r="98">
      <c r="A98" s="242"/>
      <c r="B98" s="13"/>
      <c r="C98" s="13"/>
      <c r="D98" s="242"/>
      <c r="E98" s="242"/>
      <c r="F98" s="242"/>
      <c r="G98" s="242"/>
      <c r="H98" s="242"/>
      <c r="I98" s="242"/>
      <c r="J98" s="242"/>
      <c r="K98" s="242"/>
      <c r="L98" s="242"/>
      <c r="M98" s="242"/>
      <c r="N98" s="242"/>
      <c r="O98" s="242"/>
      <c r="P98" s="242"/>
      <c r="Q98" s="242"/>
      <c r="R98" s="242"/>
      <c r="S98" s="242"/>
      <c r="T98" s="13"/>
      <c r="U98" s="242"/>
      <c r="V98" s="242"/>
      <c r="W98" s="242"/>
      <c r="X98" s="242"/>
      <c r="Y98" s="242"/>
      <c r="Z98" s="242"/>
    </row>
    <row r="99">
      <c r="A99" s="242"/>
      <c r="B99" s="13"/>
      <c r="C99" s="13"/>
      <c r="D99" s="242"/>
      <c r="E99" s="242"/>
      <c r="F99" s="242"/>
      <c r="G99" s="242"/>
      <c r="H99" s="242"/>
      <c r="I99" s="242"/>
      <c r="J99" s="242"/>
      <c r="K99" s="242"/>
      <c r="L99" s="242"/>
      <c r="M99" s="242"/>
      <c r="N99" s="242"/>
      <c r="O99" s="242"/>
      <c r="P99" s="242"/>
      <c r="Q99" s="242"/>
      <c r="R99" s="242"/>
      <c r="S99" s="242"/>
      <c r="T99" s="13"/>
      <c r="U99" s="242"/>
      <c r="V99" s="242"/>
      <c r="W99" s="242"/>
      <c r="X99" s="242"/>
      <c r="Y99" s="242"/>
      <c r="Z99" s="242"/>
    </row>
    <row r="100">
      <c r="A100" s="242"/>
      <c r="B100" s="13"/>
      <c r="C100" s="13"/>
      <c r="D100" s="242"/>
      <c r="E100" s="242"/>
      <c r="F100" s="242"/>
      <c r="G100" s="242"/>
      <c r="H100" s="242"/>
      <c r="I100" s="242"/>
      <c r="J100" s="242"/>
      <c r="K100" s="242"/>
      <c r="L100" s="242"/>
      <c r="M100" s="242"/>
      <c r="N100" s="242"/>
      <c r="O100" s="242"/>
      <c r="P100" s="242"/>
      <c r="Q100" s="242"/>
      <c r="R100" s="242"/>
      <c r="S100" s="242"/>
      <c r="T100" s="13"/>
      <c r="U100" s="242"/>
      <c r="V100" s="242"/>
      <c r="W100" s="242"/>
      <c r="X100" s="242"/>
      <c r="Y100" s="242"/>
      <c r="Z100" s="242"/>
    </row>
    <row r="101">
      <c r="A101" s="242"/>
      <c r="B101" s="13"/>
      <c r="C101" s="13"/>
      <c r="D101" s="242"/>
      <c r="E101" s="242"/>
      <c r="F101" s="242"/>
      <c r="G101" s="242"/>
      <c r="H101" s="242"/>
      <c r="I101" s="242"/>
      <c r="J101" s="242"/>
      <c r="K101" s="242"/>
      <c r="L101" s="242"/>
      <c r="M101" s="242"/>
      <c r="N101" s="242"/>
      <c r="O101" s="242"/>
      <c r="P101" s="242"/>
      <c r="Q101" s="242"/>
      <c r="R101" s="242"/>
      <c r="S101" s="242"/>
      <c r="T101" s="13"/>
      <c r="U101" s="242"/>
      <c r="V101" s="242"/>
      <c r="W101" s="242"/>
      <c r="X101" s="242"/>
      <c r="Y101" s="242"/>
      <c r="Z101" s="242"/>
    </row>
    <row r="102">
      <c r="A102" s="242"/>
      <c r="B102" s="13"/>
      <c r="C102" s="13"/>
      <c r="D102" s="242"/>
      <c r="E102" s="242"/>
      <c r="F102" s="242"/>
      <c r="G102" s="242"/>
      <c r="H102" s="242"/>
      <c r="I102" s="242"/>
      <c r="J102" s="242"/>
      <c r="K102" s="242"/>
      <c r="L102" s="242"/>
      <c r="M102" s="242"/>
      <c r="N102" s="242"/>
      <c r="O102" s="242"/>
      <c r="P102" s="242"/>
      <c r="Q102" s="242"/>
      <c r="R102" s="242"/>
      <c r="S102" s="242"/>
      <c r="T102" s="13"/>
      <c r="U102" s="242"/>
      <c r="V102" s="242"/>
      <c r="W102" s="242"/>
      <c r="X102" s="242"/>
      <c r="Y102" s="242"/>
      <c r="Z102" s="242"/>
    </row>
    <row r="103">
      <c r="A103" s="242"/>
      <c r="B103" s="13"/>
      <c r="C103" s="13"/>
      <c r="D103" s="242"/>
      <c r="E103" s="242"/>
      <c r="F103" s="242"/>
      <c r="G103" s="242"/>
      <c r="H103" s="242"/>
      <c r="I103" s="242"/>
      <c r="J103" s="242"/>
      <c r="K103" s="242"/>
      <c r="L103" s="242"/>
      <c r="M103" s="242"/>
      <c r="N103" s="242"/>
      <c r="O103" s="242"/>
      <c r="P103" s="242"/>
      <c r="Q103" s="242"/>
      <c r="R103" s="242"/>
      <c r="S103" s="242"/>
      <c r="T103" s="13"/>
      <c r="U103" s="242"/>
      <c r="V103" s="242"/>
      <c r="W103" s="242"/>
      <c r="X103" s="242"/>
      <c r="Y103" s="242"/>
      <c r="Z103" s="242"/>
    </row>
    <row r="104">
      <c r="A104" s="242"/>
      <c r="B104" s="13"/>
      <c r="C104" s="13"/>
      <c r="D104" s="242"/>
      <c r="E104" s="242"/>
      <c r="F104" s="242"/>
      <c r="G104" s="242"/>
      <c r="H104" s="242"/>
      <c r="I104" s="242"/>
      <c r="J104" s="242"/>
      <c r="K104" s="242"/>
      <c r="L104" s="242"/>
      <c r="M104" s="242"/>
      <c r="N104" s="242"/>
      <c r="O104" s="242"/>
      <c r="P104" s="242"/>
      <c r="Q104" s="242"/>
      <c r="R104" s="242"/>
      <c r="S104" s="242"/>
      <c r="T104" s="13"/>
      <c r="U104" s="242"/>
      <c r="V104" s="242"/>
      <c r="W104" s="242"/>
      <c r="X104" s="242"/>
      <c r="Y104" s="242"/>
      <c r="Z104" s="242"/>
    </row>
    <row r="105">
      <c r="A105" s="242"/>
      <c r="B105" s="13"/>
      <c r="C105" s="13"/>
      <c r="D105" s="242"/>
      <c r="E105" s="242"/>
      <c r="F105" s="242"/>
      <c r="G105" s="242"/>
      <c r="H105" s="242"/>
      <c r="I105" s="242"/>
      <c r="J105" s="242"/>
      <c r="K105" s="242"/>
      <c r="L105" s="242"/>
      <c r="M105" s="242"/>
      <c r="N105" s="242"/>
      <c r="O105" s="242"/>
      <c r="P105" s="242"/>
      <c r="Q105" s="242"/>
      <c r="R105" s="242"/>
      <c r="S105" s="242"/>
      <c r="T105" s="13"/>
      <c r="U105" s="242"/>
      <c r="V105" s="242"/>
      <c r="W105" s="242"/>
      <c r="X105" s="242"/>
      <c r="Y105" s="242"/>
      <c r="Z105" s="242"/>
    </row>
    <row r="106">
      <c r="A106" s="242"/>
      <c r="B106" s="13"/>
      <c r="C106" s="13"/>
      <c r="D106" s="242"/>
      <c r="E106" s="242"/>
      <c r="F106" s="242"/>
      <c r="G106" s="242"/>
      <c r="H106" s="242"/>
      <c r="I106" s="242"/>
      <c r="J106" s="242"/>
      <c r="K106" s="242"/>
      <c r="L106" s="242"/>
      <c r="M106" s="242"/>
      <c r="N106" s="242"/>
      <c r="O106" s="242"/>
      <c r="P106" s="242"/>
      <c r="Q106" s="242"/>
      <c r="R106" s="242"/>
      <c r="S106" s="242"/>
      <c r="T106" s="13"/>
      <c r="U106" s="242"/>
      <c r="V106" s="242"/>
      <c r="W106" s="242"/>
      <c r="X106" s="242"/>
      <c r="Y106" s="242"/>
      <c r="Z106" s="242"/>
    </row>
    <row r="107">
      <c r="A107" s="242"/>
      <c r="B107" s="13"/>
      <c r="C107" s="13"/>
      <c r="D107" s="242"/>
      <c r="E107" s="242"/>
      <c r="F107" s="242"/>
      <c r="G107" s="242"/>
      <c r="H107" s="242"/>
      <c r="I107" s="242"/>
      <c r="J107" s="242"/>
      <c r="K107" s="242"/>
      <c r="L107" s="242"/>
      <c r="M107" s="242"/>
      <c r="N107" s="242"/>
      <c r="O107" s="242"/>
      <c r="P107" s="242"/>
      <c r="Q107" s="242"/>
      <c r="R107" s="242"/>
      <c r="S107" s="242"/>
      <c r="T107" s="13"/>
      <c r="U107" s="242"/>
      <c r="V107" s="242"/>
      <c r="W107" s="242"/>
      <c r="X107" s="242"/>
      <c r="Y107" s="242"/>
      <c r="Z107" s="242"/>
    </row>
    <row r="108">
      <c r="A108" s="242"/>
      <c r="B108" s="13"/>
      <c r="C108" s="13"/>
      <c r="D108" s="242"/>
      <c r="E108" s="242"/>
      <c r="F108" s="242"/>
      <c r="G108" s="242"/>
      <c r="H108" s="242"/>
      <c r="I108" s="242"/>
      <c r="J108" s="242"/>
      <c r="K108" s="242"/>
      <c r="L108" s="242"/>
      <c r="M108" s="242"/>
      <c r="N108" s="242"/>
      <c r="O108" s="242"/>
      <c r="P108" s="242"/>
      <c r="Q108" s="242"/>
      <c r="R108" s="242"/>
      <c r="S108" s="242"/>
      <c r="T108" s="13"/>
      <c r="U108" s="242"/>
      <c r="V108" s="242"/>
      <c r="W108" s="242"/>
      <c r="X108" s="242"/>
      <c r="Y108" s="242"/>
      <c r="Z108" s="242"/>
    </row>
    <row r="109">
      <c r="A109" s="242"/>
      <c r="B109" s="13"/>
      <c r="C109" s="13"/>
      <c r="D109" s="242"/>
      <c r="E109" s="242"/>
      <c r="F109" s="242"/>
      <c r="G109" s="242"/>
      <c r="H109" s="242"/>
      <c r="I109" s="242"/>
      <c r="J109" s="242"/>
      <c r="K109" s="242"/>
      <c r="L109" s="242"/>
      <c r="M109" s="242"/>
      <c r="N109" s="242"/>
      <c r="O109" s="242"/>
      <c r="P109" s="242"/>
      <c r="Q109" s="242"/>
      <c r="R109" s="242"/>
      <c r="S109" s="242"/>
      <c r="T109" s="13"/>
      <c r="U109" s="242"/>
      <c r="V109" s="242"/>
      <c r="W109" s="242"/>
      <c r="X109" s="242"/>
      <c r="Y109" s="242"/>
      <c r="Z109" s="242"/>
    </row>
    <row r="110">
      <c r="A110" s="242"/>
      <c r="B110" s="13"/>
      <c r="C110" s="13"/>
      <c r="D110" s="242"/>
      <c r="E110" s="242"/>
      <c r="F110" s="242"/>
      <c r="G110" s="242"/>
      <c r="H110" s="242"/>
      <c r="I110" s="242"/>
      <c r="J110" s="242"/>
      <c r="K110" s="242"/>
      <c r="L110" s="242"/>
      <c r="M110" s="242"/>
      <c r="N110" s="242"/>
      <c r="O110" s="242"/>
      <c r="P110" s="242"/>
      <c r="Q110" s="242"/>
      <c r="R110" s="242"/>
      <c r="S110" s="242"/>
      <c r="T110" s="13"/>
      <c r="U110" s="242"/>
      <c r="V110" s="242"/>
      <c r="W110" s="242"/>
      <c r="X110" s="242"/>
      <c r="Y110" s="242"/>
      <c r="Z110" s="242"/>
    </row>
    <row r="111">
      <c r="A111" s="242"/>
      <c r="B111" s="13"/>
      <c r="C111" s="13"/>
      <c r="D111" s="242"/>
      <c r="E111" s="242"/>
      <c r="F111" s="242"/>
      <c r="G111" s="242"/>
      <c r="H111" s="242"/>
      <c r="I111" s="242"/>
      <c r="J111" s="242"/>
      <c r="K111" s="242"/>
      <c r="L111" s="242"/>
      <c r="M111" s="242"/>
      <c r="N111" s="242"/>
      <c r="O111" s="242"/>
      <c r="P111" s="242"/>
      <c r="Q111" s="242"/>
      <c r="R111" s="242"/>
      <c r="S111" s="242"/>
      <c r="T111" s="13"/>
      <c r="U111" s="242"/>
      <c r="V111" s="242"/>
      <c r="W111" s="242"/>
      <c r="X111" s="242"/>
      <c r="Y111" s="242"/>
      <c r="Z111" s="242"/>
    </row>
    <row r="112">
      <c r="A112" s="242"/>
      <c r="B112" s="13"/>
      <c r="C112" s="13"/>
      <c r="D112" s="242"/>
      <c r="E112" s="242"/>
      <c r="F112" s="242"/>
      <c r="G112" s="242"/>
      <c r="H112" s="242"/>
      <c r="I112" s="242"/>
      <c r="J112" s="242"/>
      <c r="K112" s="242"/>
      <c r="L112" s="242"/>
      <c r="M112" s="242"/>
      <c r="N112" s="242"/>
      <c r="O112" s="242"/>
      <c r="P112" s="242"/>
      <c r="Q112" s="242"/>
      <c r="R112" s="242"/>
      <c r="S112" s="242"/>
      <c r="T112" s="13"/>
      <c r="U112" s="242"/>
      <c r="V112" s="242"/>
      <c r="W112" s="242"/>
      <c r="X112" s="242"/>
      <c r="Y112" s="242"/>
      <c r="Z112" s="242"/>
    </row>
    <row r="113">
      <c r="A113" s="242"/>
      <c r="B113" s="13"/>
      <c r="C113" s="13"/>
      <c r="D113" s="242"/>
      <c r="E113" s="242"/>
      <c r="F113" s="242"/>
      <c r="G113" s="242"/>
      <c r="H113" s="242"/>
      <c r="I113" s="242"/>
      <c r="J113" s="242"/>
      <c r="K113" s="242"/>
      <c r="L113" s="242"/>
      <c r="M113" s="242"/>
      <c r="N113" s="242"/>
      <c r="O113" s="242"/>
      <c r="P113" s="242"/>
      <c r="Q113" s="242"/>
      <c r="R113" s="242"/>
      <c r="S113" s="242"/>
      <c r="T113" s="13"/>
      <c r="U113" s="242"/>
      <c r="V113" s="242"/>
      <c r="W113" s="242"/>
      <c r="X113" s="242"/>
      <c r="Y113" s="242"/>
      <c r="Z113" s="242"/>
    </row>
    <row r="114">
      <c r="A114" s="242"/>
      <c r="B114" s="13"/>
      <c r="C114" s="13"/>
      <c r="D114" s="242"/>
      <c r="E114" s="242"/>
      <c r="F114" s="242"/>
      <c r="G114" s="242"/>
      <c r="H114" s="242"/>
      <c r="I114" s="242"/>
      <c r="J114" s="242"/>
      <c r="K114" s="242"/>
      <c r="L114" s="242"/>
      <c r="M114" s="242"/>
      <c r="N114" s="242"/>
      <c r="O114" s="242"/>
      <c r="P114" s="242"/>
      <c r="Q114" s="242"/>
      <c r="R114" s="242"/>
      <c r="S114" s="242"/>
      <c r="T114" s="13"/>
      <c r="U114" s="242"/>
      <c r="V114" s="242"/>
      <c r="W114" s="242"/>
      <c r="X114" s="242"/>
      <c r="Y114" s="242"/>
      <c r="Z114" s="242"/>
    </row>
    <row r="115">
      <c r="A115" s="242"/>
      <c r="B115" s="13"/>
      <c r="C115" s="13"/>
      <c r="D115" s="242"/>
      <c r="E115" s="242"/>
      <c r="F115" s="242"/>
      <c r="G115" s="242"/>
      <c r="H115" s="242"/>
      <c r="I115" s="242"/>
      <c r="J115" s="242"/>
      <c r="K115" s="242"/>
      <c r="L115" s="242"/>
      <c r="M115" s="242"/>
      <c r="N115" s="242"/>
      <c r="O115" s="242"/>
      <c r="P115" s="242"/>
      <c r="Q115" s="242"/>
      <c r="R115" s="242"/>
      <c r="S115" s="242"/>
      <c r="T115" s="13"/>
      <c r="U115" s="242"/>
      <c r="V115" s="242"/>
      <c r="W115" s="242"/>
      <c r="X115" s="242"/>
      <c r="Y115" s="242"/>
      <c r="Z115" s="242"/>
    </row>
    <row r="116">
      <c r="A116" s="242"/>
      <c r="B116" s="13"/>
      <c r="C116" s="13"/>
      <c r="D116" s="242"/>
      <c r="E116" s="242"/>
      <c r="F116" s="242"/>
      <c r="G116" s="242"/>
      <c r="H116" s="242"/>
      <c r="I116" s="242"/>
      <c r="J116" s="242"/>
      <c r="K116" s="242"/>
      <c r="L116" s="242"/>
      <c r="M116" s="242"/>
      <c r="N116" s="242"/>
      <c r="O116" s="242"/>
      <c r="P116" s="242"/>
      <c r="Q116" s="242"/>
      <c r="R116" s="242"/>
      <c r="S116" s="242"/>
      <c r="T116" s="13"/>
      <c r="U116" s="242"/>
      <c r="V116" s="242"/>
      <c r="W116" s="242"/>
      <c r="X116" s="242"/>
      <c r="Y116" s="242"/>
      <c r="Z116" s="242"/>
    </row>
    <row r="117">
      <c r="A117" s="242"/>
      <c r="B117" s="13"/>
      <c r="C117" s="13"/>
      <c r="D117" s="242"/>
      <c r="E117" s="242"/>
      <c r="F117" s="242"/>
      <c r="G117" s="242"/>
      <c r="H117" s="242"/>
      <c r="I117" s="242"/>
      <c r="J117" s="242"/>
      <c r="K117" s="242"/>
      <c r="L117" s="242"/>
      <c r="M117" s="242"/>
      <c r="N117" s="242"/>
      <c r="O117" s="242"/>
      <c r="P117" s="242"/>
      <c r="Q117" s="242"/>
      <c r="R117" s="242"/>
      <c r="S117" s="242"/>
      <c r="T117" s="13"/>
      <c r="U117" s="242"/>
      <c r="V117" s="242"/>
      <c r="W117" s="242"/>
      <c r="X117" s="242"/>
      <c r="Y117" s="242"/>
      <c r="Z117" s="242"/>
    </row>
    <row r="118">
      <c r="A118" s="242"/>
      <c r="B118" s="13"/>
      <c r="C118" s="13"/>
      <c r="D118" s="242"/>
      <c r="E118" s="242"/>
      <c r="F118" s="242"/>
      <c r="G118" s="242"/>
      <c r="H118" s="242"/>
      <c r="I118" s="242"/>
      <c r="J118" s="242"/>
      <c r="K118" s="242"/>
      <c r="L118" s="242"/>
      <c r="M118" s="242"/>
      <c r="N118" s="242"/>
      <c r="O118" s="242"/>
      <c r="P118" s="242"/>
      <c r="Q118" s="242"/>
      <c r="R118" s="242"/>
      <c r="S118" s="242"/>
      <c r="T118" s="13"/>
      <c r="U118" s="242"/>
      <c r="V118" s="242"/>
      <c r="W118" s="242"/>
      <c r="X118" s="242"/>
      <c r="Y118" s="242"/>
      <c r="Z118" s="242"/>
    </row>
    <row r="119">
      <c r="A119" s="242"/>
      <c r="B119" s="13"/>
      <c r="C119" s="13"/>
      <c r="D119" s="242"/>
      <c r="E119" s="242"/>
      <c r="F119" s="242"/>
      <c r="G119" s="242"/>
      <c r="H119" s="242"/>
      <c r="I119" s="242"/>
      <c r="J119" s="242"/>
      <c r="K119" s="242"/>
      <c r="L119" s="242"/>
      <c r="M119" s="242"/>
      <c r="N119" s="242"/>
      <c r="O119" s="242"/>
      <c r="P119" s="242"/>
      <c r="Q119" s="242"/>
      <c r="R119" s="242"/>
      <c r="S119" s="242"/>
      <c r="T119" s="13"/>
      <c r="U119" s="242"/>
      <c r="V119" s="242"/>
      <c r="W119" s="242"/>
      <c r="X119" s="242"/>
      <c r="Y119" s="242"/>
      <c r="Z119" s="242"/>
    </row>
    <row r="120">
      <c r="A120" s="242"/>
      <c r="B120" s="13"/>
      <c r="C120" s="13"/>
      <c r="D120" s="242"/>
      <c r="E120" s="242"/>
      <c r="F120" s="242"/>
      <c r="G120" s="242"/>
      <c r="H120" s="242"/>
      <c r="I120" s="242"/>
      <c r="J120" s="242"/>
      <c r="K120" s="242"/>
      <c r="L120" s="242"/>
      <c r="M120" s="242"/>
      <c r="N120" s="242"/>
      <c r="O120" s="242"/>
      <c r="P120" s="242"/>
      <c r="Q120" s="242"/>
      <c r="R120" s="242"/>
      <c r="S120" s="242"/>
      <c r="T120" s="13"/>
      <c r="U120" s="242"/>
      <c r="V120" s="242"/>
      <c r="W120" s="242"/>
      <c r="X120" s="242"/>
      <c r="Y120" s="242"/>
      <c r="Z120" s="242"/>
    </row>
    <row r="121">
      <c r="A121" s="242"/>
      <c r="B121" s="13"/>
      <c r="C121" s="13"/>
      <c r="D121" s="242"/>
      <c r="E121" s="242"/>
      <c r="F121" s="242"/>
      <c r="G121" s="242"/>
      <c r="H121" s="242"/>
      <c r="I121" s="242"/>
      <c r="J121" s="242"/>
      <c r="K121" s="242"/>
      <c r="L121" s="242"/>
      <c r="M121" s="242"/>
      <c r="N121" s="242"/>
      <c r="O121" s="242"/>
      <c r="P121" s="242"/>
      <c r="Q121" s="242"/>
      <c r="R121" s="242"/>
      <c r="S121" s="242"/>
      <c r="T121" s="13"/>
      <c r="U121" s="242"/>
      <c r="V121" s="242"/>
      <c r="W121" s="242"/>
      <c r="X121" s="242"/>
      <c r="Y121" s="242"/>
      <c r="Z121" s="242"/>
    </row>
    <row r="122">
      <c r="A122" s="242"/>
      <c r="B122" s="13"/>
      <c r="C122" s="13"/>
      <c r="D122" s="242"/>
      <c r="E122" s="242"/>
      <c r="F122" s="242"/>
      <c r="G122" s="242"/>
      <c r="H122" s="242"/>
      <c r="I122" s="242"/>
      <c r="J122" s="242"/>
      <c r="K122" s="242"/>
      <c r="L122" s="242"/>
      <c r="M122" s="242"/>
      <c r="N122" s="242"/>
      <c r="O122" s="242"/>
      <c r="P122" s="242"/>
      <c r="Q122" s="242"/>
      <c r="R122" s="242"/>
      <c r="S122" s="242"/>
      <c r="T122" s="13"/>
      <c r="U122" s="242"/>
      <c r="V122" s="242"/>
      <c r="W122" s="242"/>
      <c r="X122" s="242"/>
      <c r="Y122" s="242"/>
      <c r="Z122" s="242"/>
    </row>
    <row r="123">
      <c r="A123" s="242"/>
      <c r="B123" s="13"/>
      <c r="C123" s="13"/>
      <c r="D123" s="242"/>
      <c r="E123" s="242"/>
      <c r="F123" s="242"/>
      <c r="G123" s="242"/>
      <c r="H123" s="242"/>
      <c r="I123" s="242"/>
      <c r="J123" s="242"/>
      <c r="K123" s="242"/>
      <c r="L123" s="242"/>
      <c r="M123" s="242"/>
      <c r="N123" s="242"/>
      <c r="O123" s="242"/>
      <c r="P123" s="242"/>
      <c r="Q123" s="242"/>
      <c r="R123" s="242"/>
      <c r="S123" s="242"/>
      <c r="T123" s="13"/>
      <c r="U123" s="242"/>
      <c r="V123" s="242"/>
      <c r="W123" s="242"/>
      <c r="X123" s="242"/>
      <c r="Y123" s="242"/>
      <c r="Z123" s="242"/>
    </row>
    <row r="124">
      <c r="A124" s="242"/>
      <c r="B124" s="13"/>
      <c r="C124" s="13"/>
      <c r="D124" s="242"/>
      <c r="E124" s="242"/>
      <c r="F124" s="242"/>
      <c r="G124" s="242"/>
      <c r="H124" s="242"/>
      <c r="I124" s="242"/>
      <c r="J124" s="242"/>
      <c r="K124" s="242"/>
      <c r="L124" s="242"/>
      <c r="M124" s="242"/>
      <c r="N124" s="242"/>
      <c r="O124" s="242"/>
      <c r="P124" s="242"/>
      <c r="Q124" s="242"/>
      <c r="R124" s="242"/>
      <c r="S124" s="242"/>
      <c r="T124" s="13"/>
      <c r="U124" s="242"/>
      <c r="V124" s="242"/>
      <c r="W124" s="242"/>
      <c r="X124" s="242"/>
      <c r="Y124" s="242"/>
      <c r="Z124" s="242"/>
    </row>
    <row r="125">
      <c r="A125" s="242"/>
      <c r="B125" s="13"/>
      <c r="C125" s="13"/>
      <c r="D125" s="242"/>
      <c r="E125" s="242"/>
      <c r="F125" s="242"/>
      <c r="G125" s="242"/>
      <c r="H125" s="242"/>
      <c r="I125" s="242"/>
      <c r="J125" s="242"/>
      <c r="K125" s="242"/>
      <c r="L125" s="242"/>
      <c r="M125" s="242"/>
      <c r="N125" s="242"/>
      <c r="O125" s="242"/>
      <c r="P125" s="242"/>
      <c r="Q125" s="242"/>
      <c r="R125" s="242"/>
      <c r="S125" s="242"/>
      <c r="T125" s="13"/>
      <c r="U125" s="242"/>
      <c r="V125" s="242"/>
      <c r="W125" s="242"/>
      <c r="X125" s="242"/>
      <c r="Y125" s="242"/>
      <c r="Z125" s="242"/>
    </row>
    <row r="126">
      <c r="A126" s="242"/>
      <c r="B126" s="13"/>
      <c r="C126" s="13"/>
      <c r="D126" s="242"/>
      <c r="E126" s="242"/>
      <c r="F126" s="242"/>
      <c r="G126" s="242"/>
      <c r="H126" s="242"/>
      <c r="I126" s="242"/>
      <c r="J126" s="242"/>
      <c r="K126" s="242"/>
      <c r="L126" s="242"/>
      <c r="M126" s="242"/>
      <c r="N126" s="242"/>
      <c r="O126" s="242"/>
      <c r="P126" s="242"/>
      <c r="Q126" s="242"/>
      <c r="R126" s="242"/>
      <c r="S126" s="242"/>
      <c r="T126" s="13"/>
      <c r="U126" s="242"/>
      <c r="V126" s="242"/>
      <c r="W126" s="242"/>
      <c r="X126" s="242"/>
      <c r="Y126" s="242"/>
      <c r="Z126" s="242"/>
    </row>
    <row r="127">
      <c r="A127" s="242"/>
      <c r="B127" s="13"/>
      <c r="C127" s="13"/>
      <c r="D127" s="242"/>
      <c r="E127" s="242"/>
      <c r="F127" s="242"/>
      <c r="G127" s="242"/>
      <c r="H127" s="242"/>
      <c r="I127" s="242"/>
      <c r="J127" s="242"/>
      <c r="K127" s="242"/>
      <c r="L127" s="242"/>
      <c r="M127" s="242"/>
      <c r="N127" s="242"/>
      <c r="O127" s="242"/>
      <c r="P127" s="242"/>
      <c r="Q127" s="242"/>
      <c r="R127" s="242"/>
      <c r="S127" s="242"/>
      <c r="T127" s="13"/>
      <c r="U127" s="242"/>
      <c r="V127" s="242"/>
      <c r="W127" s="242"/>
      <c r="X127" s="242"/>
      <c r="Y127" s="242"/>
      <c r="Z127" s="242"/>
    </row>
    <row r="128">
      <c r="A128" s="242"/>
      <c r="B128" s="13"/>
      <c r="C128" s="13"/>
      <c r="D128" s="242"/>
      <c r="E128" s="242"/>
      <c r="F128" s="242"/>
      <c r="G128" s="242"/>
      <c r="H128" s="242"/>
      <c r="I128" s="242"/>
      <c r="J128" s="242"/>
      <c r="K128" s="242"/>
      <c r="L128" s="242"/>
      <c r="M128" s="242"/>
      <c r="N128" s="242"/>
      <c r="O128" s="242"/>
      <c r="P128" s="242"/>
      <c r="Q128" s="242"/>
      <c r="R128" s="242"/>
      <c r="S128" s="242"/>
      <c r="T128" s="13"/>
      <c r="U128" s="242"/>
      <c r="V128" s="242"/>
      <c r="W128" s="242"/>
      <c r="X128" s="242"/>
      <c r="Y128" s="242"/>
      <c r="Z128" s="242"/>
    </row>
    <row r="129">
      <c r="A129" s="242"/>
      <c r="B129" s="13"/>
      <c r="C129" s="13"/>
      <c r="D129" s="242"/>
      <c r="E129" s="242"/>
      <c r="F129" s="242"/>
      <c r="G129" s="242"/>
      <c r="H129" s="242"/>
      <c r="I129" s="242"/>
      <c r="J129" s="242"/>
      <c r="K129" s="242"/>
      <c r="L129" s="242"/>
      <c r="M129" s="242"/>
      <c r="N129" s="242"/>
      <c r="O129" s="242"/>
      <c r="P129" s="242"/>
      <c r="Q129" s="242"/>
      <c r="R129" s="242"/>
      <c r="S129" s="242"/>
      <c r="T129" s="13"/>
      <c r="U129" s="242"/>
      <c r="V129" s="242"/>
      <c r="W129" s="242"/>
      <c r="X129" s="242"/>
      <c r="Y129" s="242"/>
      <c r="Z129" s="242"/>
    </row>
    <row r="130">
      <c r="A130" s="242"/>
      <c r="B130" s="13"/>
      <c r="C130" s="13"/>
      <c r="D130" s="242"/>
      <c r="E130" s="242"/>
      <c r="F130" s="242"/>
      <c r="G130" s="242"/>
      <c r="H130" s="242"/>
      <c r="I130" s="242"/>
      <c r="J130" s="242"/>
      <c r="K130" s="242"/>
      <c r="L130" s="242"/>
      <c r="M130" s="242"/>
      <c r="N130" s="242"/>
      <c r="O130" s="242"/>
      <c r="P130" s="242"/>
      <c r="Q130" s="242"/>
      <c r="R130" s="242"/>
      <c r="S130" s="242"/>
      <c r="T130" s="13"/>
      <c r="U130" s="242"/>
      <c r="V130" s="242"/>
      <c r="W130" s="242"/>
      <c r="X130" s="242"/>
      <c r="Y130" s="242"/>
      <c r="Z130" s="242"/>
    </row>
    <row r="131">
      <c r="A131" s="242"/>
      <c r="B131" s="13"/>
      <c r="C131" s="13"/>
      <c r="D131" s="242"/>
      <c r="E131" s="242"/>
      <c r="F131" s="242"/>
      <c r="G131" s="242"/>
      <c r="H131" s="242"/>
      <c r="I131" s="242"/>
      <c r="J131" s="242"/>
      <c r="K131" s="242"/>
      <c r="L131" s="242"/>
      <c r="M131" s="242"/>
      <c r="N131" s="242"/>
      <c r="O131" s="242"/>
      <c r="P131" s="242"/>
      <c r="Q131" s="242"/>
      <c r="R131" s="242"/>
      <c r="S131" s="242"/>
      <c r="T131" s="13"/>
      <c r="U131" s="242"/>
      <c r="V131" s="242"/>
      <c r="W131" s="242"/>
      <c r="X131" s="242"/>
      <c r="Y131" s="242"/>
      <c r="Z131" s="242"/>
    </row>
    <row r="132">
      <c r="A132" s="242"/>
      <c r="B132" s="13"/>
      <c r="C132" s="13"/>
      <c r="D132" s="242"/>
      <c r="E132" s="242"/>
      <c r="F132" s="242"/>
      <c r="G132" s="242"/>
      <c r="H132" s="242"/>
      <c r="I132" s="242"/>
      <c r="J132" s="242"/>
      <c r="K132" s="242"/>
      <c r="L132" s="242"/>
      <c r="M132" s="242"/>
      <c r="N132" s="242"/>
      <c r="O132" s="242"/>
      <c r="P132" s="242"/>
      <c r="Q132" s="242"/>
      <c r="R132" s="242"/>
      <c r="S132" s="242"/>
      <c r="T132" s="13"/>
      <c r="U132" s="242"/>
      <c r="V132" s="242"/>
      <c r="W132" s="242"/>
      <c r="X132" s="242"/>
      <c r="Y132" s="242"/>
      <c r="Z132" s="242"/>
    </row>
    <row r="133">
      <c r="A133" s="242"/>
      <c r="B133" s="13"/>
      <c r="C133" s="13"/>
      <c r="D133" s="242"/>
      <c r="E133" s="242"/>
      <c r="F133" s="242"/>
      <c r="G133" s="242"/>
      <c r="H133" s="242"/>
      <c r="I133" s="242"/>
      <c r="J133" s="242"/>
      <c r="K133" s="242"/>
      <c r="L133" s="242"/>
      <c r="M133" s="242"/>
      <c r="N133" s="242"/>
      <c r="O133" s="242"/>
      <c r="P133" s="242"/>
      <c r="Q133" s="242"/>
      <c r="R133" s="242"/>
      <c r="S133" s="242"/>
      <c r="T133" s="13"/>
      <c r="U133" s="242"/>
      <c r="V133" s="242"/>
      <c r="W133" s="242"/>
      <c r="X133" s="242"/>
      <c r="Y133" s="242"/>
      <c r="Z133" s="242"/>
    </row>
    <row r="134">
      <c r="A134" s="242"/>
      <c r="B134" s="13"/>
      <c r="C134" s="13"/>
      <c r="D134" s="242"/>
      <c r="E134" s="242"/>
      <c r="F134" s="242"/>
      <c r="G134" s="242"/>
      <c r="H134" s="242"/>
      <c r="I134" s="242"/>
      <c r="J134" s="242"/>
      <c r="K134" s="242"/>
      <c r="L134" s="242"/>
      <c r="M134" s="242"/>
      <c r="N134" s="242"/>
      <c r="O134" s="242"/>
      <c r="P134" s="242"/>
      <c r="Q134" s="242"/>
      <c r="R134" s="242"/>
      <c r="S134" s="242"/>
      <c r="T134" s="13"/>
      <c r="U134" s="242"/>
      <c r="V134" s="242"/>
      <c r="W134" s="242"/>
      <c r="X134" s="242"/>
      <c r="Y134" s="242"/>
      <c r="Z134" s="242"/>
    </row>
    <row r="135">
      <c r="A135" s="242"/>
      <c r="B135" s="13"/>
      <c r="C135" s="13"/>
      <c r="D135" s="242"/>
      <c r="E135" s="242"/>
      <c r="F135" s="242"/>
      <c r="G135" s="242"/>
      <c r="H135" s="242"/>
      <c r="I135" s="242"/>
      <c r="J135" s="242"/>
      <c r="K135" s="242"/>
      <c r="L135" s="242"/>
      <c r="M135" s="242"/>
      <c r="N135" s="242"/>
      <c r="O135" s="242"/>
      <c r="P135" s="242"/>
      <c r="Q135" s="242"/>
      <c r="R135" s="242"/>
      <c r="S135" s="242"/>
      <c r="T135" s="13"/>
      <c r="U135" s="242"/>
      <c r="V135" s="242"/>
      <c r="W135" s="242"/>
      <c r="X135" s="242"/>
      <c r="Y135" s="242"/>
      <c r="Z135" s="242"/>
    </row>
    <row r="136">
      <c r="A136" s="242"/>
      <c r="B136" s="13"/>
      <c r="C136" s="13"/>
      <c r="D136" s="242"/>
      <c r="E136" s="242"/>
      <c r="F136" s="242"/>
      <c r="G136" s="242"/>
      <c r="H136" s="242"/>
      <c r="I136" s="242"/>
      <c r="J136" s="242"/>
      <c r="K136" s="242"/>
      <c r="L136" s="242"/>
      <c r="M136" s="242"/>
      <c r="N136" s="242"/>
      <c r="O136" s="242"/>
      <c r="P136" s="242"/>
      <c r="Q136" s="242"/>
      <c r="R136" s="242"/>
      <c r="S136" s="242"/>
      <c r="T136" s="13"/>
      <c r="U136" s="242"/>
      <c r="V136" s="242"/>
      <c r="W136" s="242"/>
      <c r="X136" s="242"/>
      <c r="Y136" s="242"/>
      <c r="Z136" s="242"/>
    </row>
    <row r="137">
      <c r="A137" s="242"/>
      <c r="B137" s="13"/>
      <c r="C137" s="13"/>
      <c r="D137" s="242"/>
      <c r="E137" s="242"/>
      <c r="F137" s="242"/>
      <c r="G137" s="242"/>
      <c r="H137" s="242"/>
      <c r="I137" s="242"/>
      <c r="J137" s="242"/>
      <c r="K137" s="242"/>
      <c r="L137" s="242"/>
      <c r="M137" s="242"/>
      <c r="N137" s="242"/>
      <c r="O137" s="242"/>
      <c r="P137" s="242"/>
      <c r="Q137" s="242"/>
      <c r="R137" s="242"/>
      <c r="S137" s="242"/>
      <c r="T137" s="13"/>
      <c r="U137" s="242"/>
      <c r="V137" s="242"/>
      <c r="W137" s="242"/>
      <c r="X137" s="242"/>
      <c r="Y137" s="242"/>
      <c r="Z137" s="242"/>
    </row>
    <row r="138">
      <c r="A138" s="242"/>
      <c r="B138" s="13"/>
      <c r="C138" s="13"/>
      <c r="D138" s="242"/>
      <c r="E138" s="242"/>
      <c r="F138" s="242"/>
      <c r="G138" s="242"/>
      <c r="H138" s="242"/>
      <c r="I138" s="242"/>
      <c r="J138" s="242"/>
      <c r="K138" s="242"/>
      <c r="L138" s="242"/>
      <c r="M138" s="242"/>
      <c r="N138" s="242"/>
      <c r="O138" s="242"/>
      <c r="P138" s="242"/>
      <c r="Q138" s="242"/>
      <c r="R138" s="242"/>
      <c r="S138" s="242"/>
      <c r="T138" s="13"/>
      <c r="U138" s="242"/>
      <c r="V138" s="242"/>
      <c r="W138" s="242"/>
      <c r="X138" s="242"/>
      <c r="Y138" s="242"/>
      <c r="Z138" s="242"/>
    </row>
    <row r="139">
      <c r="A139" s="242"/>
      <c r="B139" s="13"/>
      <c r="C139" s="13"/>
      <c r="D139" s="242"/>
      <c r="E139" s="242"/>
      <c r="F139" s="242"/>
      <c r="G139" s="242"/>
      <c r="H139" s="242"/>
      <c r="I139" s="242"/>
      <c r="J139" s="242"/>
      <c r="K139" s="242"/>
      <c r="L139" s="242"/>
      <c r="M139" s="242"/>
      <c r="N139" s="242"/>
      <c r="O139" s="242"/>
      <c r="P139" s="242"/>
      <c r="Q139" s="242"/>
      <c r="R139" s="242"/>
      <c r="S139" s="242"/>
      <c r="T139" s="13"/>
      <c r="U139" s="242"/>
      <c r="V139" s="242"/>
      <c r="W139" s="242"/>
      <c r="X139" s="242"/>
      <c r="Y139" s="242"/>
      <c r="Z139" s="242"/>
    </row>
    <row r="140">
      <c r="A140" s="242"/>
      <c r="B140" s="13"/>
      <c r="C140" s="13"/>
      <c r="D140" s="242"/>
      <c r="E140" s="242"/>
      <c r="F140" s="242"/>
      <c r="G140" s="242"/>
      <c r="H140" s="242"/>
      <c r="I140" s="242"/>
      <c r="J140" s="242"/>
      <c r="K140" s="242"/>
      <c r="L140" s="242"/>
      <c r="M140" s="242"/>
      <c r="N140" s="242"/>
      <c r="O140" s="242"/>
      <c r="P140" s="242"/>
      <c r="Q140" s="242"/>
      <c r="R140" s="242"/>
      <c r="S140" s="242"/>
      <c r="T140" s="13"/>
      <c r="U140" s="242"/>
      <c r="V140" s="242"/>
      <c r="W140" s="242"/>
      <c r="X140" s="242"/>
      <c r="Y140" s="242"/>
      <c r="Z140" s="242"/>
    </row>
    <row r="141">
      <c r="A141" s="242"/>
      <c r="B141" s="13"/>
      <c r="C141" s="13"/>
      <c r="D141" s="242"/>
      <c r="E141" s="242"/>
      <c r="F141" s="242"/>
      <c r="G141" s="242"/>
      <c r="H141" s="242"/>
      <c r="I141" s="242"/>
      <c r="J141" s="242"/>
      <c r="K141" s="242"/>
      <c r="L141" s="242"/>
      <c r="M141" s="242"/>
      <c r="N141" s="242"/>
      <c r="O141" s="242"/>
      <c r="P141" s="242"/>
      <c r="Q141" s="242"/>
      <c r="R141" s="242"/>
      <c r="S141" s="242"/>
      <c r="T141" s="13"/>
      <c r="U141" s="242"/>
      <c r="V141" s="242"/>
      <c r="W141" s="242"/>
      <c r="X141" s="242"/>
      <c r="Y141" s="242"/>
      <c r="Z141" s="242"/>
    </row>
    <row r="142">
      <c r="A142" s="242"/>
      <c r="B142" s="13"/>
      <c r="C142" s="13"/>
      <c r="D142" s="242"/>
      <c r="E142" s="242"/>
      <c r="F142" s="242"/>
      <c r="G142" s="242"/>
      <c r="H142" s="242"/>
      <c r="I142" s="242"/>
      <c r="J142" s="242"/>
      <c r="K142" s="242"/>
      <c r="L142" s="242"/>
      <c r="M142" s="242"/>
      <c r="N142" s="242"/>
      <c r="O142" s="242"/>
      <c r="P142" s="242"/>
      <c r="Q142" s="242"/>
      <c r="R142" s="242"/>
      <c r="S142" s="242"/>
      <c r="T142" s="13"/>
      <c r="U142" s="242"/>
      <c r="V142" s="242"/>
      <c r="W142" s="242"/>
      <c r="X142" s="242"/>
      <c r="Y142" s="242"/>
      <c r="Z142" s="242"/>
    </row>
    <row r="143">
      <c r="A143" s="242"/>
      <c r="B143" s="13"/>
      <c r="C143" s="13"/>
      <c r="D143" s="242"/>
      <c r="E143" s="242"/>
      <c r="F143" s="242"/>
      <c r="G143" s="242"/>
      <c r="H143" s="242"/>
      <c r="I143" s="242"/>
      <c r="J143" s="242"/>
      <c r="K143" s="242"/>
      <c r="L143" s="242"/>
      <c r="M143" s="242"/>
      <c r="N143" s="242"/>
      <c r="O143" s="242"/>
      <c r="P143" s="242"/>
      <c r="Q143" s="242"/>
      <c r="R143" s="242"/>
      <c r="S143" s="242"/>
      <c r="T143" s="13"/>
      <c r="U143" s="242"/>
      <c r="V143" s="242"/>
      <c r="W143" s="242"/>
      <c r="X143" s="242"/>
      <c r="Y143" s="242"/>
      <c r="Z143" s="242"/>
    </row>
    <row r="144">
      <c r="A144" s="242"/>
      <c r="B144" s="13"/>
      <c r="C144" s="13"/>
      <c r="D144" s="242"/>
      <c r="E144" s="242"/>
      <c r="F144" s="242"/>
      <c r="G144" s="242"/>
      <c r="H144" s="242"/>
      <c r="I144" s="242"/>
      <c r="J144" s="242"/>
      <c r="K144" s="242"/>
      <c r="L144" s="242"/>
      <c r="M144" s="242"/>
      <c r="N144" s="242"/>
      <c r="O144" s="242"/>
      <c r="P144" s="242"/>
      <c r="Q144" s="242"/>
      <c r="R144" s="242"/>
      <c r="S144" s="242"/>
      <c r="T144" s="13"/>
      <c r="U144" s="242"/>
      <c r="V144" s="242"/>
      <c r="W144" s="242"/>
      <c r="X144" s="242"/>
      <c r="Y144" s="242"/>
      <c r="Z144" s="242"/>
    </row>
    <row r="145">
      <c r="A145" s="242"/>
      <c r="B145" s="13"/>
      <c r="C145" s="13"/>
      <c r="D145" s="242"/>
      <c r="E145" s="242"/>
      <c r="F145" s="242"/>
      <c r="G145" s="242"/>
      <c r="H145" s="242"/>
      <c r="I145" s="242"/>
      <c r="J145" s="242"/>
      <c r="K145" s="242"/>
      <c r="L145" s="242"/>
      <c r="M145" s="242"/>
      <c r="N145" s="242"/>
      <c r="O145" s="242"/>
      <c r="P145" s="242"/>
      <c r="Q145" s="242"/>
      <c r="R145" s="242"/>
      <c r="S145" s="242"/>
      <c r="T145" s="13"/>
      <c r="U145" s="242"/>
      <c r="V145" s="242"/>
      <c r="W145" s="242"/>
      <c r="X145" s="242"/>
      <c r="Y145" s="242"/>
      <c r="Z145" s="242"/>
    </row>
    <row r="146">
      <c r="A146" s="242"/>
      <c r="B146" s="13"/>
      <c r="C146" s="13"/>
      <c r="D146" s="242"/>
      <c r="E146" s="242"/>
      <c r="F146" s="242"/>
      <c r="G146" s="242"/>
      <c r="H146" s="242"/>
      <c r="I146" s="242"/>
      <c r="J146" s="242"/>
      <c r="K146" s="242"/>
      <c r="L146" s="242"/>
      <c r="M146" s="242"/>
      <c r="N146" s="242"/>
      <c r="O146" s="242"/>
      <c r="P146" s="242"/>
      <c r="Q146" s="242"/>
      <c r="R146" s="242"/>
      <c r="S146" s="242"/>
      <c r="T146" s="13"/>
      <c r="U146" s="242"/>
      <c r="V146" s="242"/>
      <c r="W146" s="242"/>
      <c r="X146" s="242"/>
      <c r="Y146" s="242"/>
      <c r="Z146" s="242"/>
    </row>
    <row r="147">
      <c r="A147" s="242"/>
      <c r="B147" s="13"/>
      <c r="C147" s="13"/>
      <c r="D147" s="242"/>
      <c r="E147" s="242"/>
      <c r="F147" s="242"/>
      <c r="G147" s="242"/>
      <c r="H147" s="242"/>
      <c r="I147" s="242"/>
      <c r="J147" s="242"/>
      <c r="K147" s="242"/>
      <c r="L147" s="242"/>
      <c r="M147" s="242"/>
      <c r="N147" s="242"/>
      <c r="O147" s="242"/>
      <c r="P147" s="242"/>
      <c r="Q147" s="242"/>
      <c r="R147" s="242"/>
      <c r="S147" s="242"/>
      <c r="T147" s="13"/>
      <c r="U147" s="242"/>
      <c r="V147" s="242"/>
      <c r="W147" s="242"/>
      <c r="X147" s="242"/>
      <c r="Y147" s="242"/>
      <c r="Z147" s="242"/>
    </row>
    <row r="148">
      <c r="A148" s="242"/>
      <c r="B148" s="13"/>
      <c r="C148" s="13"/>
      <c r="D148" s="242"/>
      <c r="E148" s="242"/>
      <c r="F148" s="242"/>
      <c r="G148" s="242"/>
      <c r="H148" s="242"/>
      <c r="I148" s="242"/>
      <c r="J148" s="242"/>
      <c r="K148" s="242"/>
      <c r="L148" s="242"/>
      <c r="M148" s="242"/>
      <c r="N148" s="242"/>
      <c r="O148" s="242"/>
      <c r="P148" s="242"/>
      <c r="Q148" s="242"/>
      <c r="R148" s="242"/>
      <c r="S148" s="242"/>
      <c r="T148" s="13"/>
      <c r="U148" s="242"/>
      <c r="V148" s="242"/>
      <c r="W148" s="242"/>
      <c r="X148" s="242"/>
      <c r="Y148" s="242"/>
      <c r="Z148" s="242"/>
    </row>
    <row r="149">
      <c r="A149" s="242"/>
      <c r="B149" s="13"/>
      <c r="C149" s="13"/>
      <c r="D149" s="242"/>
      <c r="E149" s="242"/>
      <c r="F149" s="242"/>
      <c r="G149" s="242"/>
      <c r="H149" s="242"/>
      <c r="I149" s="242"/>
      <c r="J149" s="242"/>
      <c r="K149" s="242"/>
      <c r="L149" s="242"/>
      <c r="M149" s="242"/>
      <c r="N149" s="242"/>
      <c r="O149" s="242"/>
      <c r="P149" s="242"/>
      <c r="Q149" s="242"/>
      <c r="R149" s="242"/>
      <c r="S149" s="242"/>
      <c r="T149" s="13"/>
      <c r="U149" s="242"/>
      <c r="V149" s="242"/>
      <c r="W149" s="242"/>
      <c r="X149" s="242"/>
      <c r="Y149" s="242"/>
      <c r="Z149" s="242"/>
    </row>
    <row r="150">
      <c r="A150" s="242"/>
      <c r="B150" s="13"/>
      <c r="C150" s="13"/>
      <c r="D150" s="242"/>
      <c r="E150" s="242"/>
      <c r="F150" s="242"/>
      <c r="G150" s="242"/>
      <c r="H150" s="242"/>
      <c r="I150" s="242"/>
      <c r="J150" s="242"/>
      <c r="K150" s="242"/>
      <c r="L150" s="242"/>
      <c r="M150" s="242"/>
      <c r="N150" s="242"/>
      <c r="O150" s="242"/>
      <c r="P150" s="242"/>
      <c r="Q150" s="242"/>
      <c r="R150" s="242"/>
      <c r="S150" s="242"/>
      <c r="T150" s="13"/>
      <c r="U150" s="242"/>
      <c r="V150" s="242"/>
      <c r="W150" s="242"/>
      <c r="X150" s="242"/>
      <c r="Y150" s="242"/>
      <c r="Z150" s="242"/>
    </row>
    <row r="151">
      <c r="A151" s="242"/>
      <c r="B151" s="13"/>
      <c r="C151" s="13"/>
      <c r="D151" s="242"/>
      <c r="E151" s="242"/>
      <c r="F151" s="242"/>
      <c r="G151" s="242"/>
      <c r="H151" s="242"/>
      <c r="I151" s="242"/>
      <c r="J151" s="242"/>
      <c r="K151" s="242"/>
      <c r="L151" s="242"/>
      <c r="M151" s="242"/>
      <c r="N151" s="242"/>
      <c r="O151" s="242"/>
      <c r="P151" s="242"/>
      <c r="Q151" s="242"/>
      <c r="R151" s="242"/>
      <c r="S151" s="242"/>
      <c r="T151" s="13"/>
      <c r="U151" s="242"/>
      <c r="V151" s="242"/>
      <c r="W151" s="242"/>
      <c r="X151" s="242"/>
      <c r="Y151" s="242"/>
      <c r="Z151" s="242"/>
    </row>
    <row r="152">
      <c r="A152" s="242"/>
      <c r="B152" s="13"/>
      <c r="C152" s="13"/>
      <c r="D152" s="242"/>
      <c r="E152" s="242"/>
      <c r="F152" s="242"/>
      <c r="G152" s="242"/>
      <c r="H152" s="242"/>
      <c r="I152" s="242"/>
      <c r="J152" s="242"/>
      <c r="K152" s="242"/>
      <c r="L152" s="242"/>
      <c r="M152" s="242"/>
      <c r="N152" s="242"/>
      <c r="O152" s="242"/>
      <c r="P152" s="242"/>
      <c r="Q152" s="242"/>
      <c r="R152" s="242"/>
      <c r="S152" s="242"/>
      <c r="T152" s="13"/>
      <c r="U152" s="242"/>
      <c r="V152" s="242"/>
      <c r="W152" s="242"/>
      <c r="X152" s="242"/>
      <c r="Y152" s="242"/>
      <c r="Z152" s="242"/>
    </row>
    <row r="153">
      <c r="A153" s="242"/>
      <c r="B153" s="13"/>
      <c r="C153" s="13"/>
      <c r="D153" s="242"/>
      <c r="E153" s="242"/>
      <c r="F153" s="242"/>
      <c r="G153" s="242"/>
      <c r="H153" s="242"/>
      <c r="I153" s="242"/>
      <c r="J153" s="242"/>
      <c r="K153" s="242"/>
      <c r="L153" s="242"/>
      <c r="M153" s="242"/>
      <c r="N153" s="242"/>
      <c r="O153" s="242"/>
      <c r="P153" s="242"/>
      <c r="Q153" s="242"/>
      <c r="R153" s="242"/>
      <c r="S153" s="242"/>
      <c r="T153" s="13"/>
      <c r="U153" s="242"/>
      <c r="V153" s="242"/>
      <c r="W153" s="242"/>
      <c r="X153" s="242"/>
      <c r="Y153" s="242"/>
      <c r="Z153" s="242"/>
    </row>
    <row r="154">
      <c r="A154" s="242"/>
      <c r="B154" s="13"/>
      <c r="C154" s="13"/>
      <c r="D154" s="242"/>
      <c r="E154" s="242"/>
      <c r="F154" s="242"/>
      <c r="G154" s="242"/>
      <c r="H154" s="242"/>
      <c r="I154" s="242"/>
      <c r="J154" s="242"/>
      <c r="K154" s="242"/>
      <c r="L154" s="242"/>
      <c r="M154" s="242"/>
      <c r="N154" s="242"/>
      <c r="O154" s="242"/>
      <c r="P154" s="242"/>
      <c r="Q154" s="242"/>
      <c r="R154" s="242"/>
      <c r="S154" s="242"/>
      <c r="T154" s="13"/>
      <c r="U154" s="242"/>
      <c r="V154" s="242"/>
      <c r="W154" s="242"/>
      <c r="X154" s="242"/>
      <c r="Y154" s="242"/>
      <c r="Z154" s="242"/>
    </row>
    <row r="155">
      <c r="A155" s="242"/>
      <c r="B155" s="13"/>
      <c r="C155" s="13"/>
      <c r="D155" s="242"/>
      <c r="E155" s="242"/>
      <c r="F155" s="242"/>
      <c r="G155" s="242"/>
      <c r="H155" s="242"/>
      <c r="I155" s="242"/>
      <c r="J155" s="242"/>
      <c r="K155" s="242"/>
      <c r="L155" s="242"/>
      <c r="M155" s="242"/>
      <c r="N155" s="242"/>
      <c r="O155" s="242"/>
      <c r="P155" s="242"/>
      <c r="Q155" s="242"/>
      <c r="R155" s="242"/>
      <c r="S155" s="242"/>
      <c r="T155" s="13"/>
      <c r="U155" s="242"/>
      <c r="V155" s="242"/>
      <c r="W155" s="242"/>
      <c r="X155" s="242"/>
      <c r="Y155" s="242"/>
      <c r="Z155" s="242"/>
    </row>
    <row r="156">
      <c r="A156" s="242"/>
      <c r="B156" s="13"/>
      <c r="C156" s="13"/>
      <c r="D156" s="242"/>
      <c r="E156" s="242"/>
      <c r="F156" s="242"/>
      <c r="G156" s="242"/>
      <c r="H156" s="242"/>
      <c r="I156" s="242"/>
      <c r="J156" s="242"/>
      <c r="K156" s="242"/>
      <c r="L156" s="242"/>
      <c r="M156" s="242"/>
      <c r="N156" s="242"/>
      <c r="O156" s="242"/>
      <c r="P156" s="242"/>
      <c r="Q156" s="242"/>
      <c r="R156" s="242"/>
      <c r="S156" s="242"/>
      <c r="T156" s="13"/>
      <c r="U156" s="242"/>
      <c r="V156" s="242"/>
      <c r="W156" s="242"/>
      <c r="X156" s="242"/>
      <c r="Y156" s="242"/>
      <c r="Z156" s="242"/>
    </row>
    <row r="157">
      <c r="A157" s="242"/>
      <c r="B157" s="13"/>
      <c r="C157" s="13"/>
      <c r="D157" s="242"/>
      <c r="E157" s="242"/>
      <c r="F157" s="242"/>
      <c r="G157" s="242"/>
      <c r="H157" s="242"/>
      <c r="I157" s="242"/>
      <c r="J157" s="242"/>
      <c r="K157" s="242"/>
      <c r="L157" s="242"/>
      <c r="M157" s="242"/>
      <c r="N157" s="242"/>
      <c r="O157" s="242"/>
      <c r="P157" s="242"/>
      <c r="Q157" s="242"/>
      <c r="R157" s="242"/>
      <c r="S157" s="242"/>
      <c r="T157" s="13"/>
      <c r="U157" s="242"/>
      <c r="V157" s="242"/>
      <c r="W157" s="242"/>
      <c r="X157" s="242"/>
      <c r="Y157" s="242"/>
      <c r="Z157" s="242"/>
    </row>
    <row r="158">
      <c r="A158" s="242"/>
      <c r="B158" s="13"/>
      <c r="C158" s="13"/>
      <c r="D158" s="242"/>
      <c r="E158" s="242"/>
      <c r="F158" s="242"/>
      <c r="G158" s="242"/>
      <c r="H158" s="242"/>
      <c r="I158" s="242"/>
      <c r="J158" s="242"/>
      <c r="K158" s="242"/>
      <c r="L158" s="242"/>
      <c r="M158" s="242"/>
      <c r="N158" s="242"/>
      <c r="O158" s="242"/>
      <c r="P158" s="242"/>
      <c r="Q158" s="242"/>
      <c r="R158" s="242"/>
      <c r="S158" s="242"/>
      <c r="T158" s="13"/>
      <c r="U158" s="242"/>
      <c r="V158" s="242"/>
      <c r="W158" s="242"/>
      <c r="X158" s="242"/>
      <c r="Y158" s="242"/>
      <c r="Z158" s="242"/>
    </row>
    <row r="159">
      <c r="A159" s="242"/>
      <c r="B159" s="13"/>
      <c r="C159" s="13"/>
      <c r="D159" s="242"/>
      <c r="E159" s="242"/>
      <c r="F159" s="242"/>
      <c r="G159" s="242"/>
      <c r="H159" s="242"/>
      <c r="I159" s="242"/>
      <c r="J159" s="242"/>
      <c r="K159" s="242"/>
      <c r="L159" s="242"/>
      <c r="M159" s="242"/>
      <c r="N159" s="242"/>
      <c r="O159" s="242"/>
      <c r="P159" s="242"/>
      <c r="Q159" s="242"/>
      <c r="R159" s="242"/>
      <c r="S159" s="242"/>
      <c r="T159" s="13"/>
      <c r="U159" s="242"/>
      <c r="V159" s="242"/>
      <c r="W159" s="242"/>
      <c r="X159" s="242"/>
      <c r="Y159" s="242"/>
      <c r="Z159" s="242"/>
    </row>
    <row r="160">
      <c r="A160" s="242"/>
      <c r="B160" s="13"/>
      <c r="C160" s="13"/>
      <c r="D160" s="242"/>
      <c r="E160" s="242"/>
      <c r="F160" s="242"/>
      <c r="G160" s="242"/>
      <c r="H160" s="242"/>
      <c r="I160" s="242"/>
      <c r="J160" s="242"/>
      <c r="K160" s="242"/>
      <c r="L160" s="242"/>
      <c r="M160" s="242"/>
      <c r="N160" s="242"/>
      <c r="O160" s="242"/>
      <c r="P160" s="242"/>
      <c r="Q160" s="242"/>
      <c r="R160" s="242"/>
      <c r="S160" s="242"/>
      <c r="T160" s="13"/>
      <c r="U160" s="242"/>
      <c r="V160" s="242"/>
      <c r="W160" s="242"/>
      <c r="X160" s="242"/>
      <c r="Y160" s="242"/>
      <c r="Z160" s="242"/>
    </row>
    <row r="161">
      <c r="A161" s="242"/>
      <c r="B161" s="13"/>
      <c r="C161" s="13"/>
      <c r="D161" s="242"/>
      <c r="E161" s="242"/>
      <c r="F161" s="242"/>
      <c r="G161" s="242"/>
      <c r="H161" s="242"/>
      <c r="I161" s="242"/>
      <c r="J161" s="242"/>
      <c r="K161" s="242"/>
      <c r="L161" s="242"/>
      <c r="M161" s="242"/>
      <c r="N161" s="242"/>
      <c r="O161" s="242"/>
      <c r="P161" s="242"/>
      <c r="Q161" s="242"/>
      <c r="R161" s="242"/>
      <c r="S161" s="242"/>
      <c r="T161" s="13"/>
      <c r="U161" s="242"/>
      <c r="V161" s="242"/>
      <c r="W161" s="242"/>
      <c r="X161" s="242"/>
      <c r="Y161" s="242"/>
      <c r="Z161" s="242"/>
    </row>
    <row r="162">
      <c r="A162" s="242"/>
      <c r="B162" s="13"/>
      <c r="C162" s="13"/>
      <c r="D162" s="242"/>
      <c r="E162" s="242"/>
      <c r="F162" s="242"/>
      <c r="G162" s="242"/>
      <c r="H162" s="242"/>
      <c r="I162" s="242"/>
      <c r="J162" s="242"/>
      <c r="K162" s="242"/>
      <c r="L162" s="242"/>
      <c r="M162" s="242"/>
      <c r="N162" s="242"/>
      <c r="O162" s="242"/>
      <c r="P162" s="242"/>
      <c r="Q162" s="242"/>
      <c r="R162" s="242"/>
      <c r="S162" s="242"/>
      <c r="T162" s="13"/>
      <c r="U162" s="242"/>
      <c r="V162" s="242"/>
      <c r="W162" s="242"/>
      <c r="X162" s="242"/>
      <c r="Y162" s="242"/>
      <c r="Z162" s="242"/>
    </row>
    <row r="163">
      <c r="A163" s="242"/>
      <c r="B163" s="13"/>
      <c r="C163" s="13"/>
      <c r="D163" s="242"/>
      <c r="E163" s="242"/>
      <c r="F163" s="242"/>
      <c r="G163" s="242"/>
      <c r="H163" s="242"/>
      <c r="I163" s="242"/>
      <c r="J163" s="242"/>
      <c r="K163" s="242"/>
      <c r="L163" s="242"/>
      <c r="M163" s="242"/>
      <c r="N163" s="242"/>
      <c r="O163" s="242"/>
      <c r="P163" s="242"/>
      <c r="Q163" s="242"/>
      <c r="R163" s="242"/>
      <c r="S163" s="242"/>
      <c r="T163" s="13"/>
      <c r="U163" s="242"/>
      <c r="V163" s="242"/>
      <c r="W163" s="242"/>
      <c r="X163" s="242"/>
      <c r="Y163" s="242"/>
      <c r="Z163" s="242"/>
    </row>
    <row r="164">
      <c r="A164" s="242"/>
      <c r="B164" s="13"/>
      <c r="C164" s="13"/>
      <c r="D164" s="242"/>
      <c r="E164" s="242"/>
      <c r="F164" s="242"/>
      <c r="G164" s="242"/>
      <c r="H164" s="242"/>
      <c r="I164" s="242"/>
      <c r="J164" s="242"/>
      <c r="K164" s="242"/>
      <c r="L164" s="242"/>
      <c r="M164" s="242"/>
      <c r="N164" s="242"/>
      <c r="O164" s="242"/>
      <c r="P164" s="242"/>
      <c r="Q164" s="242"/>
      <c r="R164" s="242"/>
      <c r="S164" s="242"/>
      <c r="T164" s="13"/>
      <c r="U164" s="242"/>
      <c r="V164" s="242"/>
      <c r="W164" s="242"/>
      <c r="X164" s="242"/>
      <c r="Y164" s="242"/>
      <c r="Z164" s="242"/>
    </row>
    <row r="165">
      <c r="A165" s="242"/>
      <c r="B165" s="13"/>
      <c r="C165" s="13"/>
      <c r="D165" s="242"/>
      <c r="E165" s="242"/>
      <c r="F165" s="242"/>
      <c r="G165" s="242"/>
      <c r="H165" s="242"/>
      <c r="I165" s="242"/>
      <c r="J165" s="242"/>
      <c r="K165" s="242"/>
      <c r="L165" s="242"/>
      <c r="M165" s="242"/>
      <c r="N165" s="242"/>
      <c r="O165" s="242"/>
      <c r="P165" s="242"/>
      <c r="Q165" s="242"/>
      <c r="R165" s="242"/>
      <c r="S165" s="242"/>
      <c r="T165" s="13"/>
      <c r="U165" s="242"/>
      <c r="V165" s="242"/>
      <c r="W165" s="242"/>
      <c r="X165" s="242"/>
      <c r="Y165" s="242"/>
      <c r="Z165" s="242"/>
    </row>
    <row r="166">
      <c r="A166" s="242"/>
      <c r="B166" s="13"/>
      <c r="C166" s="13"/>
      <c r="D166" s="242"/>
      <c r="E166" s="242"/>
      <c r="F166" s="242"/>
      <c r="G166" s="242"/>
      <c r="H166" s="242"/>
      <c r="I166" s="242"/>
      <c r="J166" s="242"/>
      <c r="K166" s="242"/>
      <c r="L166" s="242"/>
      <c r="M166" s="242"/>
      <c r="N166" s="242"/>
      <c r="O166" s="242"/>
      <c r="P166" s="242"/>
      <c r="Q166" s="242"/>
      <c r="R166" s="242"/>
      <c r="S166" s="242"/>
      <c r="T166" s="13"/>
      <c r="U166" s="242"/>
      <c r="V166" s="242"/>
      <c r="W166" s="242"/>
      <c r="X166" s="242"/>
      <c r="Y166" s="242"/>
      <c r="Z166" s="242"/>
    </row>
    <row r="167">
      <c r="A167" s="242"/>
      <c r="B167" s="13"/>
      <c r="C167" s="13"/>
      <c r="D167" s="242"/>
      <c r="E167" s="242"/>
      <c r="F167" s="242"/>
      <c r="G167" s="242"/>
      <c r="H167" s="242"/>
      <c r="I167" s="242"/>
      <c r="J167" s="242"/>
      <c r="K167" s="242"/>
      <c r="L167" s="242"/>
      <c r="M167" s="242"/>
      <c r="N167" s="242"/>
      <c r="O167" s="242"/>
      <c r="P167" s="242"/>
      <c r="Q167" s="242"/>
      <c r="R167" s="242"/>
      <c r="S167" s="242"/>
      <c r="T167" s="13"/>
      <c r="U167" s="242"/>
      <c r="V167" s="242"/>
      <c r="W167" s="242"/>
      <c r="X167" s="242"/>
      <c r="Y167" s="242"/>
      <c r="Z167" s="242"/>
    </row>
    <row r="168">
      <c r="A168" s="242"/>
      <c r="B168" s="13"/>
      <c r="C168" s="13"/>
      <c r="D168" s="242"/>
      <c r="E168" s="242"/>
      <c r="F168" s="242"/>
      <c r="G168" s="242"/>
      <c r="H168" s="242"/>
      <c r="I168" s="242"/>
      <c r="J168" s="242"/>
      <c r="K168" s="242"/>
      <c r="L168" s="242"/>
      <c r="M168" s="242"/>
      <c r="N168" s="242"/>
      <c r="O168" s="242"/>
      <c r="P168" s="242"/>
      <c r="Q168" s="242"/>
      <c r="R168" s="242"/>
      <c r="S168" s="242"/>
      <c r="T168" s="13"/>
      <c r="U168" s="242"/>
      <c r="V168" s="242"/>
      <c r="W168" s="242"/>
      <c r="X168" s="242"/>
      <c r="Y168" s="242"/>
      <c r="Z168" s="242"/>
    </row>
    <row r="169">
      <c r="A169" s="242"/>
      <c r="B169" s="13"/>
      <c r="C169" s="13"/>
      <c r="D169" s="242"/>
      <c r="E169" s="242"/>
      <c r="F169" s="242"/>
      <c r="G169" s="242"/>
      <c r="H169" s="242"/>
      <c r="I169" s="242"/>
      <c r="J169" s="242"/>
      <c r="K169" s="242"/>
      <c r="L169" s="242"/>
      <c r="M169" s="242"/>
      <c r="N169" s="242"/>
      <c r="O169" s="242"/>
      <c r="P169" s="242"/>
      <c r="Q169" s="242"/>
      <c r="R169" s="242"/>
      <c r="S169" s="242"/>
      <c r="T169" s="13"/>
      <c r="U169" s="242"/>
      <c r="V169" s="242"/>
      <c r="W169" s="242"/>
      <c r="X169" s="242"/>
      <c r="Y169" s="242"/>
      <c r="Z169" s="242"/>
    </row>
    <row r="170">
      <c r="A170" s="242"/>
      <c r="B170" s="13"/>
      <c r="C170" s="13"/>
      <c r="D170" s="242"/>
      <c r="E170" s="242"/>
      <c r="F170" s="242"/>
      <c r="G170" s="242"/>
      <c r="H170" s="242"/>
      <c r="I170" s="242"/>
      <c r="J170" s="242"/>
      <c r="K170" s="242"/>
      <c r="L170" s="242"/>
      <c r="M170" s="242"/>
      <c r="N170" s="242"/>
      <c r="O170" s="242"/>
      <c r="P170" s="242"/>
      <c r="Q170" s="242"/>
      <c r="R170" s="242"/>
      <c r="S170" s="242"/>
      <c r="T170" s="13"/>
      <c r="U170" s="242"/>
      <c r="V170" s="242"/>
      <c r="W170" s="242"/>
      <c r="X170" s="242"/>
      <c r="Y170" s="242"/>
      <c r="Z170" s="242"/>
    </row>
    <row r="171">
      <c r="A171" s="242"/>
      <c r="B171" s="13"/>
      <c r="C171" s="13"/>
      <c r="D171" s="242"/>
      <c r="E171" s="242"/>
      <c r="F171" s="242"/>
      <c r="G171" s="242"/>
      <c r="H171" s="242"/>
      <c r="I171" s="242"/>
      <c r="J171" s="242"/>
      <c r="K171" s="242"/>
      <c r="L171" s="242"/>
      <c r="M171" s="242"/>
      <c r="N171" s="242"/>
      <c r="O171" s="242"/>
      <c r="P171" s="242"/>
      <c r="Q171" s="242"/>
      <c r="R171" s="242"/>
      <c r="S171" s="242"/>
      <c r="T171" s="13"/>
      <c r="U171" s="242"/>
      <c r="V171" s="242"/>
      <c r="W171" s="242"/>
      <c r="X171" s="242"/>
      <c r="Y171" s="242"/>
      <c r="Z171" s="242"/>
    </row>
    <row r="172">
      <c r="A172" s="242"/>
      <c r="B172" s="13"/>
      <c r="C172" s="13"/>
      <c r="D172" s="242"/>
      <c r="E172" s="242"/>
      <c r="F172" s="242"/>
      <c r="G172" s="242"/>
      <c r="H172" s="242"/>
      <c r="I172" s="242"/>
      <c r="J172" s="242"/>
      <c r="K172" s="242"/>
      <c r="L172" s="242"/>
      <c r="M172" s="242"/>
      <c r="N172" s="242"/>
      <c r="O172" s="242"/>
      <c r="P172" s="242"/>
      <c r="Q172" s="242"/>
      <c r="R172" s="242"/>
      <c r="S172" s="242"/>
      <c r="T172" s="13"/>
      <c r="U172" s="242"/>
      <c r="V172" s="242"/>
      <c r="W172" s="242"/>
      <c r="X172" s="242"/>
      <c r="Y172" s="242"/>
      <c r="Z172" s="242"/>
    </row>
    <row r="173">
      <c r="A173" s="242"/>
      <c r="B173" s="13"/>
      <c r="C173" s="13"/>
      <c r="D173" s="242"/>
      <c r="E173" s="242"/>
      <c r="F173" s="242"/>
      <c r="G173" s="242"/>
      <c r="H173" s="242"/>
      <c r="I173" s="242"/>
      <c r="J173" s="242"/>
      <c r="K173" s="242"/>
      <c r="L173" s="242"/>
      <c r="M173" s="242"/>
      <c r="N173" s="242"/>
      <c r="O173" s="242"/>
      <c r="P173" s="242"/>
      <c r="Q173" s="242"/>
      <c r="R173" s="242"/>
      <c r="S173" s="242"/>
      <c r="T173" s="13"/>
      <c r="U173" s="242"/>
      <c r="V173" s="242"/>
      <c r="W173" s="242"/>
      <c r="X173" s="242"/>
      <c r="Y173" s="242"/>
      <c r="Z173" s="242"/>
    </row>
    <row r="174">
      <c r="A174" s="242"/>
      <c r="B174" s="13"/>
      <c r="C174" s="13"/>
      <c r="D174" s="242"/>
      <c r="E174" s="242"/>
      <c r="F174" s="242"/>
      <c r="G174" s="242"/>
      <c r="H174" s="242"/>
      <c r="I174" s="242"/>
      <c r="J174" s="242"/>
      <c r="K174" s="242"/>
      <c r="L174" s="242"/>
      <c r="M174" s="242"/>
      <c r="N174" s="242"/>
      <c r="O174" s="242"/>
      <c r="P174" s="242"/>
      <c r="Q174" s="242"/>
      <c r="R174" s="242"/>
      <c r="S174" s="242"/>
      <c r="T174" s="13"/>
      <c r="U174" s="242"/>
      <c r="V174" s="242"/>
      <c r="W174" s="242"/>
      <c r="X174" s="242"/>
      <c r="Y174" s="242"/>
      <c r="Z174" s="242"/>
    </row>
    <row r="175">
      <c r="A175" s="242"/>
      <c r="B175" s="13"/>
      <c r="C175" s="13"/>
      <c r="D175" s="242"/>
      <c r="E175" s="242"/>
      <c r="F175" s="242"/>
      <c r="G175" s="242"/>
      <c r="H175" s="242"/>
      <c r="I175" s="242"/>
      <c r="J175" s="242"/>
      <c r="K175" s="242"/>
      <c r="L175" s="242"/>
      <c r="M175" s="242"/>
      <c r="N175" s="242"/>
      <c r="O175" s="242"/>
      <c r="P175" s="242"/>
      <c r="Q175" s="242"/>
      <c r="R175" s="242"/>
      <c r="S175" s="242"/>
      <c r="T175" s="13"/>
      <c r="U175" s="242"/>
      <c r="V175" s="242"/>
      <c r="W175" s="242"/>
      <c r="X175" s="242"/>
      <c r="Y175" s="242"/>
      <c r="Z175" s="242"/>
    </row>
    <row r="176">
      <c r="A176" s="242"/>
      <c r="B176" s="13"/>
      <c r="C176" s="13"/>
      <c r="D176" s="242"/>
      <c r="E176" s="242"/>
      <c r="F176" s="242"/>
      <c r="G176" s="242"/>
      <c r="H176" s="242"/>
      <c r="I176" s="242"/>
      <c r="J176" s="242"/>
      <c r="K176" s="242"/>
      <c r="L176" s="242"/>
      <c r="M176" s="242"/>
      <c r="N176" s="242"/>
      <c r="O176" s="242"/>
      <c r="P176" s="242"/>
      <c r="Q176" s="242"/>
      <c r="R176" s="242"/>
      <c r="S176" s="242"/>
      <c r="T176" s="13"/>
      <c r="U176" s="242"/>
      <c r="V176" s="242"/>
      <c r="W176" s="242"/>
      <c r="X176" s="242"/>
      <c r="Y176" s="242"/>
      <c r="Z176" s="242"/>
    </row>
    <row r="177">
      <c r="A177" s="242"/>
      <c r="B177" s="13"/>
      <c r="C177" s="13"/>
      <c r="D177" s="242"/>
      <c r="E177" s="242"/>
      <c r="F177" s="242"/>
      <c r="G177" s="242"/>
      <c r="H177" s="242"/>
      <c r="I177" s="242"/>
      <c r="J177" s="242"/>
      <c r="K177" s="242"/>
      <c r="L177" s="242"/>
      <c r="M177" s="242"/>
      <c r="N177" s="242"/>
      <c r="O177" s="242"/>
      <c r="P177" s="242"/>
      <c r="Q177" s="242"/>
      <c r="R177" s="242"/>
      <c r="S177" s="242"/>
      <c r="T177" s="13"/>
      <c r="U177" s="242"/>
      <c r="V177" s="242"/>
      <c r="W177" s="242"/>
      <c r="X177" s="242"/>
      <c r="Y177" s="242"/>
      <c r="Z177" s="242"/>
    </row>
    <row r="178">
      <c r="A178" s="242"/>
      <c r="B178" s="13"/>
      <c r="C178" s="13"/>
      <c r="D178" s="242"/>
      <c r="E178" s="242"/>
      <c r="F178" s="242"/>
      <c r="G178" s="242"/>
      <c r="H178" s="242"/>
      <c r="I178" s="242"/>
      <c r="J178" s="242"/>
      <c r="K178" s="242"/>
      <c r="L178" s="242"/>
      <c r="M178" s="242"/>
      <c r="N178" s="242"/>
      <c r="O178" s="242"/>
      <c r="P178" s="242"/>
      <c r="Q178" s="242"/>
      <c r="R178" s="242"/>
      <c r="S178" s="242"/>
      <c r="T178" s="13"/>
      <c r="U178" s="242"/>
      <c r="V178" s="242"/>
      <c r="W178" s="242"/>
      <c r="X178" s="242"/>
      <c r="Y178" s="242"/>
      <c r="Z178" s="242"/>
    </row>
    <row r="179">
      <c r="A179" s="242"/>
      <c r="B179" s="13"/>
      <c r="C179" s="13"/>
      <c r="D179" s="242"/>
      <c r="E179" s="242"/>
      <c r="F179" s="242"/>
      <c r="G179" s="242"/>
      <c r="H179" s="242"/>
      <c r="I179" s="242"/>
      <c r="J179" s="242"/>
      <c r="K179" s="242"/>
      <c r="L179" s="242"/>
      <c r="M179" s="242"/>
      <c r="N179" s="242"/>
      <c r="O179" s="242"/>
      <c r="P179" s="242"/>
      <c r="Q179" s="242"/>
      <c r="R179" s="242"/>
      <c r="S179" s="242"/>
      <c r="T179" s="13"/>
      <c r="U179" s="242"/>
      <c r="V179" s="242"/>
      <c r="W179" s="242"/>
      <c r="X179" s="242"/>
      <c r="Y179" s="242"/>
      <c r="Z179" s="242"/>
    </row>
    <row r="180">
      <c r="A180" s="242"/>
      <c r="B180" s="13"/>
      <c r="C180" s="13"/>
      <c r="D180" s="242"/>
      <c r="E180" s="242"/>
      <c r="F180" s="242"/>
      <c r="G180" s="242"/>
      <c r="H180" s="242"/>
      <c r="I180" s="242"/>
      <c r="J180" s="242"/>
      <c r="K180" s="242"/>
      <c r="L180" s="242"/>
      <c r="M180" s="242"/>
      <c r="N180" s="242"/>
      <c r="O180" s="242"/>
      <c r="P180" s="242"/>
      <c r="Q180" s="242"/>
      <c r="R180" s="242"/>
      <c r="S180" s="242"/>
      <c r="T180" s="13"/>
      <c r="U180" s="242"/>
      <c r="V180" s="242"/>
      <c r="W180" s="242"/>
      <c r="X180" s="242"/>
      <c r="Y180" s="242"/>
      <c r="Z180" s="242"/>
    </row>
    <row r="181">
      <c r="A181" s="242"/>
      <c r="B181" s="13"/>
      <c r="C181" s="13"/>
      <c r="D181" s="242"/>
      <c r="E181" s="242"/>
      <c r="F181" s="242"/>
      <c r="G181" s="242"/>
      <c r="H181" s="242"/>
      <c r="I181" s="242"/>
      <c r="J181" s="242"/>
      <c r="K181" s="242"/>
      <c r="L181" s="242"/>
      <c r="M181" s="242"/>
      <c r="N181" s="242"/>
      <c r="O181" s="242"/>
      <c r="P181" s="242"/>
      <c r="Q181" s="242"/>
      <c r="R181" s="242"/>
      <c r="S181" s="242"/>
      <c r="T181" s="13"/>
      <c r="U181" s="242"/>
      <c r="V181" s="242"/>
      <c r="W181" s="242"/>
      <c r="X181" s="242"/>
      <c r="Y181" s="242"/>
      <c r="Z181" s="242"/>
    </row>
    <row r="182">
      <c r="A182" s="242"/>
      <c r="B182" s="13"/>
      <c r="C182" s="13"/>
      <c r="D182" s="242"/>
      <c r="E182" s="242"/>
      <c r="F182" s="242"/>
      <c r="G182" s="242"/>
      <c r="H182" s="242"/>
      <c r="I182" s="242"/>
      <c r="J182" s="242"/>
      <c r="K182" s="242"/>
      <c r="L182" s="242"/>
      <c r="M182" s="242"/>
      <c r="N182" s="242"/>
      <c r="O182" s="242"/>
      <c r="P182" s="242"/>
      <c r="Q182" s="242"/>
      <c r="R182" s="242"/>
      <c r="S182" s="242"/>
      <c r="T182" s="13"/>
      <c r="U182" s="242"/>
      <c r="V182" s="242"/>
      <c r="W182" s="242"/>
      <c r="X182" s="242"/>
      <c r="Y182" s="242"/>
      <c r="Z182" s="242"/>
    </row>
    <row r="183">
      <c r="A183" s="242"/>
      <c r="B183" s="13"/>
      <c r="C183" s="13"/>
      <c r="D183" s="242"/>
      <c r="E183" s="242"/>
      <c r="F183" s="242"/>
      <c r="G183" s="242"/>
      <c r="H183" s="242"/>
      <c r="I183" s="242"/>
      <c r="J183" s="242"/>
      <c r="K183" s="242"/>
      <c r="L183" s="242"/>
      <c r="M183" s="242"/>
      <c r="N183" s="242"/>
      <c r="O183" s="242"/>
      <c r="P183" s="242"/>
      <c r="Q183" s="242"/>
      <c r="R183" s="242"/>
      <c r="S183" s="242"/>
      <c r="T183" s="13"/>
      <c r="U183" s="242"/>
      <c r="V183" s="242"/>
      <c r="W183" s="242"/>
      <c r="X183" s="242"/>
      <c r="Y183" s="242"/>
      <c r="Z183" s="242"/>
    </row>
    <row r="184">
      <c r="A184" s="242"/>
      <c r="B184" s="13"/>
      <c r="C184" s="13"/>
      <c r="D184" s="242"/>
      <c r="E184" s="242"/>
      <c r="F184" s="242"/>
      <c r="G184" s="242"/>
      <c r="H184" s="242"/>
      <c r="I184" s="242"/>
      <c r="J184" s="242"/>
      <c r="K184" s="242"/>
      <c r="L184" s="242"/>
      <c r="M184" s="242"/>
      <c r="N184" s="242"/>
      <c r="O184" s="242"/>
      <c r="P184" s="242"/>
      <c r="Q184" s="242"/>
      <c r="R184" s="242"/>
      <c r="S184" s="242"/>
      <c r="T184" s="13"/>
      <c r="U184" s="242"/>
      <c r="V184" s="242"/>
      <c r="W184" s="242"/>
      <c r="X184" s="242"/>
      <c r="Y184" s="242"/>
      <c r="Z184" s="242"/>
    </row>
    <row r="185">
      <c r="A185" s="242"/>
      <c r="B185" s="13"/>
      <c r="C185" s="13"/>
      <c r="D185" s="242"/>
      <c r="E185" s="242"/>
      <c r="F185" s="242"/>
      <c r="G185" s="242"/>
      <c r="H185" s="242"/>
      <c r="I185" s="242"/>
      <c r="J185" s="242"/>
      <c r="K185" s="242"/>
      <c r="L185" s="242"/>
      <c r="M185" s="242"/>
      <c r="N185" s="242"/>
      <c r="O185" s="242"/>
      <c r="P185" s="242"/>
      <c r="Q185" s="242"/>
      <c r="R185" s="242"/>
      <c r="S185" s="242"/>
      <c r="T185" s="13"/>
      <c r="U185" s="242"/>
      <c r="V185" s="242"/>
      <c r="W185" s="242"/>
      <c r="X185" s="242"/>
      <c r="Y185" s="242"/>
      <c r="Z185" s="242"/>
    </row>
    <row r="186">
      <c r="A186" s="242"/>
      <c r="B186" s="13"/>
      <c r="C186" s="13"/>
      <c r="D186" s="242"/>
      <c r="E186" s="242"/>
      <c r="F186" s="242"/>
      <c r="G186" s="242"/>
      <c r="H186" s="242"/>
      <c r="I186" s="242"/>
      <c r="J186" s="242"/>
      <c r="K186" s="242"/>
      <c r="L186" s="242"/>
      <c r="M186" s="242"/>
      <c r="N186" s="242"/>
      <c r="O186" s="242"/>
      <c r="P186" s="242"/>
      <c r="Q186" s="242"/>
      <c r="R186" s="242"/>
      <c r="S186" s="242"/>
      <c r="T186" s="13"/>
      <c r="U186" s="242"/>
      <c r="V186" s="242"/>
      <c r="W186" s="242"/>
      <c r="X186" s="242"/>
      <c r="Y186" s="242"/>
      <c r="Z186" s="242"/>
    </row>
    <row r="187">
      <c r="A187" s="242"/>
      <c r="B187" s="13"/>
      <c r="C187" s="13"/>
      <c r="D187" s="242"/>
      <c r="E187" s="242"/>
      <c r="F187" s="242"/>
      <c r="G187" s="242"/>
      <c r="H187" s="242"/>
      <c r="I187" s="242"/>
      <c r="J187" s="242"/>
      <c r="K187" s="242"/>
      <c r="L187" s="242"/>
      <c r="M187" s="242"/>
      <c r="N187" s="242"/>
      <c r="O187" s="242"/>
      <c r="P187" s="242"/>
      <c r="Q187" s="242"/>
      <c r="R187" s="242"/>
      <c r="S187" s="242"/>
      <c r="T187" s="13"/>
      <c r="U187" s="242"/>
      <c r="V187" s="242"/>
      <c r="W187" s="242"/>
      <c r="X187" s="242"/>
      <c r="Y187" s="242"/>
      <c r="Z187" s="242"/>
    </row>
    <row r="188">
      <c r="A188" s="242"/>
      <c r="B188" s="13"/>
      <c r="C188" s="13"/>
      <c r="D188" s="242"/>
      <c r="E188" s="242"/>
      <c r="F188" s="242"/>
      <c r="G188" s="242"/>
      <c r="H188" s="242"/>
      <c r="I188" s="242"/>
      <c r="J188" s="242"/>
      <c r="K188" s="242"/>
      <c r="L188" s="242"/>
      <c r="M188" s="242"/>
      <c r="N188" s="242"/>
      <c r="O188" s="242"/>
      <c r="P188" s="242"/>
      <c r="Q188" s="242"/>
      <c r="R188" s="242"/>
      <c r="S188" s="242"/>
      <c r="T188" s="13"/>
      <c r="U188" s="242"/>
      <c r="V188" s="242"/>
      <c r="W188" s="242"/>
      <c r="X188" s="242"/>
      <c r="Y188" s="242"/>
      <c r="Z188" s="242"/>
    </row>
    <row r="189">
      <c r="A189" s="242"/>
      <c r="B189" s="13"/>
      <c r="C189" s="13"/>
      <c r="D189" s="242"/>
      <c r="E189" s="242"/>
      <c r="F189" s="242"/>
      <c r="G189" s="242"/>
      <c r="H189" s="242"/>
      <c r="I189" s="242"/>
      <c r="J189" s="242"/>
      <c r="K189" s="242"/>
      <c r="L189" s="242"/>
      <c r="M189" s="242"/>
      <c r="N189" s="242"/>
      <c r="O189" s="242"/>
      <c r="P189" s="242"/>
      <c r="Q189" s="242"/>
      <c r="R189" s="242"/>
      <c r="S189" s="242"/>
      <c r="T189" s="13"/>
      <c r="U189" s="242"/>
      <c r="V189" s="242"/>
      <c r="W189" s="242"/>
      <c r="X189" s="242"/>
      <c r="Y189" s="242"/>
      <c r="Z189" s="242"/>
    </row>
    <row r="190">
      <c r="A190" s="242"/>
      <c r="B190" s="13"/>
      <c r="C190" s="13"/>
      <c r="D190" s="242"/>
      <c r="E190" s="242"/>
      <c r="F190" s="242"/>
      <c r="G190" s="242"/>
      <c r="H190" s="242"/>
      <c r="I190" s="242"/>
      <c r="J190" s="242"/>
      <c r="K190" s="242"/>
      <c r="L190" s="242"/>
      <c r="M190" s="242"/>
      <c r="N190" s="242"/>
      <c r="O190" s="242"/>
      <c r="P190" s="242"/>
      <c r="Q190" s="242"/>
      <c r="R190" s="242"/>
      <c r="S190" s="242"/>
      <c r="T190" s="13"/>
      <c r="U190" s="242"/>
      <c r="V190" s="242"/>
      <c r="W190" s="242"/>
      <c r="X190" s="242"/>
      <c r="Y190" s="242"/>
      <c r="Z190" s="242"/>
    </row>
    <row r="191">
      <c r="A191" s="242"/>
      <c r="B191" s="13"/>
      <c r="C191" s="13"/>
      <c r="D191" s="242"/>
      <c r="E191" s="242"/>
      <c r="F191" s="242"/>
      <c r="G191" s="242"/>
      <c r="H191" s="242"/>
      <c r="I191" s="242"/>
      <c r="J191" s="242"/>
      <c r="K191" s="242"/>
      <c r="L191" s="242"/>
      <c r="M191" s="242"/>
      <c r="N191" s="242"/>
      <c r="O191" s="242"/>
      <c r="P191" s="242"/>
      <c r="Q191" s="242"/>
      <c r="R191" s="242"/>
      <c r="S191" s="242"/>
      <c r="T191" s="13"/>
      <c r="U191" s="242"/>
      <c r="V191" s="242"/>
      <c r="W191" s="242"/>
      <c r="X191" s="242"/>
      <c r="Y191" s="242"/>
      <c r="Z191" s="242"/>
    </row>
    <row r="192">
      <c r="A192" s="242"/>
      <c r="B192" s="13"/>
      <c r="C192" s="13"/>
      <c r="D192" s="242"/>
      <c r="E192" s="242"/>
      <c r="F192" s="242"/>
      <c r="G192" s="242"/>
      <c r="H192" s="242"/>
      <c r="I192" s="242"/>
      <c r="J192" s="242"/>
      <c r="K192" s="242"/>
      <c r="L192" s="242"/>
      <c r="M192" s="242"/>
      <c r="N192" s="242"/>
      <c r="O192" s="242"/>
      <c r="P192" s="242"/>
      <c r="Q192" s="242"/>
      <c r="R192" s="242"/>
      <c r="S192" s="242"/>
      <c r="T192" s="13"/>
      <c r="U192" s="242"/>
      <c r="V192" s="242"/>
      <c r="W192" s="242"/>
      <c r="X192" s="242"/>
      <c r="Y192" s="242"/>
      <c r="Z192" s="242"/>
    </row>
    <row r="193">
      <c r="A193" s="242"/>
      <c r="B193" s="13"/>
      <c r="C193" s="13"/>
      <c r="D193" s="242"/>
      <c r="E193" s="242"/>
      <c r="F193" s="242"/>
      <c r="G193" s="242"/>
      <c r="H193" s="242"/>
      <c r="I193" s="242"/>
      <c r="J193" s="242"/>
      <c r="K193" s="242"/>
      <c r="L193" s="242"/>
      <c r="M193" s="242"/>
      <c r="N193" s="242"/>
      <c r="O193" s="242"/>
      <c r="P193" s="242"/>
      <c r="Q193" s="242"/>
      <c r="R193" s="242"/>
      <c r="S193" s="242"/>
      <c r="T193" s="13"/>
      <c r="U193" s="242"/>
      <c r="V193" s="242"/>
      <c r="W193" s="242"/>
      <c r="X193" s="242"/>
      <c r="Y193" s="242"/>
      <c r="Z193" s="242"/>
    </row>
    <row r="194">
      <c r="A194" s="242"/>
      <c r="B194" s="13"/>
      <c r="C194" s="13"/>
      <c r="D194" s="242"/>
      <c r="E194" s="242"/>
      <c r="F194" s="242"/>
      <c r="G194" s="242"/>
      <c r="H194" s="242"/>
      <c r="I194" s="242"/>
      <c r="J194" s="242"/>
      <c r="K194" s="242"/>
      <c r="L194" s="242"/>
      <c r="M194" s="242"/>
      <c r="N194" s="242"/>
      <c r="O194" s="242"/>
      <c r="P194" s="242"/>
      <c r="Q194" s="242"/>
      <c r="R194" s="242"/>
      <c r="S194" s="242"/>
      <c r="T194" s="13"/>
      <c r="U194" s="242"/>
      <c r="V194" s="242"/>
      <c r="W194" s="242"/>
      <c r="X194" s="242"/>
      <c r="Y194" s="242"/>
      <c r="Z194" s="242"/>
    </row>
    <row r="195">
      <c r="A195" s="242"/>
      <c r="B195" s="13"/>
      <c r="C195" s="13"/>
      <c r="D195" s="242"/>
      <c r="E195" s="242"/>
      <c r="F195" s="242"/>
      <c r="G195" s="242"/>
      <c r="H195" s="242"/>
      <c r="I195" s="242"/>
      <c r="J195" s="242"/>
      <c r="K195" s="242"/>
      <c r="L195" s="242"/>
      <c r="M195" s="242"/>
      <c r="N195" s="242"/>
      <c r="O195" s="242"/>
      <c r="P195" s="242"/>
      <c r="Q195" s="242"/>
      <c r="R195" s="242"/>
      <c r="S195" s="242"/>
      <c r="T195" s="13"/>
      <c r="U195" s="242"/>
      <c r="V195" s="242"/>
      <c r="W195" s="242"/>
      <c r="X195" s="242"/>
      <c r="Y195" s="242"/>
      <c r="Z195" s="242"/>
    </row>
    <row r="196">
      <c r="A196" s="242"/>
      <c r="B196" s="13"/>
      <c r="C196" s="13"/>
      <c r="D196" s="242"/>
      <c r="E196" s="242"/>
      <c r="F196" s="242"/>
      <c r="G196" s="242"/>
      <c r="H196" s="242"/>
      <c r="I196" s="242"/>
      <c r="J196" s="242"/>
      <c r="K196" s="242"/>
      <c r="L196" s="242"/>
      <c r="M196" s="242"/>
      <c r="N196" s="242"/>
      <c r="O196" s="242"/>
      <c r="P196" s="242"/>
      <c r="Q196" s="242"/>
      <c r="R196" s="242"/>
      <c r="S196" s="242"/>
      <c r="T196" s="13"/>
      <c r="U196" s="242"/>
      <c r="V196" s="242"/>
      <c r="W196" s="242"/>
      <c r="X196" s="242"/>
      <c r="Y196" s="242"/>
      <c r="Z196" s="242"/>
    </row>
    <row r="197">
      <c r="A197" s="242"/>
      <c r="B197" s="13"/>
      <c r="C197" s="13"/>
      <c r="D197" s="242"/>
      <c r="E197" s="242"/>
      <c r="F197" s="242"/>
      <c r="G197" s="242"/>
      <c r="H197" s="242"/>
      <c r="I197" s="242"/>
      <c r="J197" s="242"/>
      <c r="K197" s="242"/>
      <c r="L197" s="242"/>
      <c r="M197" s="242"/>
      <c r="N197" s="242"/>
      <c r="O197" s="242"/>
      <c r="P197" s="242"/>
      <c r="Q197" s="242"/>
      <c r="R197" s="242"/>
      <c r="S197" s="242"/>
      <c r="T197" s="13"/>
      <c r="U197" s="242"/>
      <c r="V197" s="242"/>
      <c r="W197" s="242"/>
      <c r="X197" s="242"/>
      <c r="Y197" s="242"/>
      <c r="Z197" s="242"/>
    </row>
    <row r="198">
      <c r="A198" s="242"/>
      <c r="B198" s="13"/>
      <c r="C198" s="13"/>
      <c r="D198" s="242"/>
      <c r="E198" s="242"/>
      <c r="F198" s="242"/>
      <c r="G198" s="242"/>
      <c r="H198" s="242"/>
      <c r="I198" s="242"/>
      <c r="J198" s="242"/>
      <c r="K198" s="242"/>
      <c r="L198" s="242"/>
      <c r="M198" s="242"/>
      <c r="N198" s="242"/>
      <c r="O198" s="242"/>
      <c r="P198" s="242"/>
      <c r="Q198" s="242"/>
      <c r="R198" s="242"/>
      <c r="S198" s="242"/>
      <c r="T198" s="13"/>
      <c r="U198" s="242"/>
      <c r="V198" s="242"/>
      <c r="W198" s="242"/>
      <c r="X198" s="242"/>
      <c r="Y198" s="242"/>
      <c r="Z198" s="242"/>
    </row>
    <row r="199">
      <c r="A199" s="242"/>
      <c r="B199" s="13"/>
      <c r="C199" s="13"/>
      <c r="D199" s="242"/>
      <c r="E199" s="242"/>
      <c r="F199" s="242"/>
      <c r="G199" s="242"/>
      <c r="H199" s="242"/>
      <c r="I199" s="242"/>
      <c r="J199" s="242"/>
      <c r="K199" s="242"/>
      <c r="L199" s="242"/>
      <c r="M199" s="242"/>
      <c r="N199" s="242"/>
      <c r="O199" s="242"/>
      <c r="P199" s="242"/>
      <c r="Q199" s="242"/>
      <c r="R199" s="242"/>
      <c r="S199" s="242"/>
      <c r="T199" s="13"/>
      <c r="U199" s="242"/>
      <c r="V199" s="242"/>
      <c r="W199" s="242"/>
      <c r="X199" s="242"/>
      <c r="Y199" s="242"/>
      <c r="Z199" s="242"/>
    </row>
    <row r="200">
      <c r="A200" s="242"/>
      <c r="B200" s="13"/>
      <c r="C200" s="13"/>
      <c r="D200" s="242"/>
      <c r="E200" s="242"/>
      <c r="F200" s="242"/>
      <c r="G200" s="242"/>
      <c r="H200" s="242"/>
      <c r="I200" s="242"/>
      <c r="J200" s="242"/>
      <c r="K200" s="242"/>
      <c r="L200" s="242"/>
      <c r="M200" s="242"/>
      <c r="N200" s="242"/>
      <c r="O200" s="242"/>
      <c r="P200" s="242"/>
      <c r="Q200" s="242"/>
      <c r="R200" s="242"/>
      <c r="S200" s="242"/>
      <c r="T200" s="13"/>
      <c r="U200" s="242"/>
      <c r="V200" s="242"/>
      <c r="W200" s="242"/>
      <c r="X200" s="242"/>
      <c r="Y200" s="242"/>
      <c r="Z200" s="242"/>
    </row>
    <row r="201">
      <c r="A201" s="242"/>
      <c r="B201" s="13"/>
      <c r="C201" s="13"/>
      <c r="D201" s="242"/>
      <c r="E201" s="242"/>
      <c r="F201" s="242"/>
      <c r="G201" s="242"/>
      <c r="H201" s="242"/>
      <c r="I201" s="242"/>
      <c r="J201" s="242"/>
      <c r="K201" s="242"/>
      <c r="L201" s="242"/>
      <c r="M201" s="242"/>
      <c r="N201" s="242"/>
      <c r="O201" s="242"/>
      <c r="P201" s="242"/>
      <c r="Q201" s="242"/>
      <c r="R201" s="242"/>
      <c r="S201" s="242"/>
      <c r="T201" s="13"/>
      <c r="U201" s="242"/>
      <c r="V201" s="242"/>
      <c r="W201" s="242"/>
      <c r="X201" s="242"/>
      <c r="Y201" s="242"/>
      <c r="Z201" s="242"/>
    </row>
    <row r="202">
      <c r="A202" s="242"/>
      <c r="B202" s="13"/>
      <c r="C202" s="13"/>
      <c r="D202" s="242"/>
      <c r="E202" s="242"/>
      <c r="F202" s="242"/>
      <c r="G202" s="242"/>
      <c r="H202" s="242"/>
      <c r="I202" s="242"/>
      <c r="J202" s="242"/>
      <c r="K202" s="242"/>
      <c r="L202" s="242"/>
      <c r="M202" s="242"/>
      <c r="N202" s="242"/>
      <c r="O202" s="242"/>
      <c r="P202" s="242"/>
      <c r="Q202" s="242"/>
      <c r="R202" s="242"/>
      <c r="S202" s="242"/>
      <c r="T202" s="13"/>
      <c r="U202" s="242"/>
      <c r="V202" s="242"/>
      <c r="W202" s="242"/>
      <c r="X202" s="242"/>
      <c r="Y202" s="242"/>
      <c r="Z202" s="242"/>
    </row>
    <row r="203">
      <c r="A203" s="242"/>
      <c r="B203" s="13"/>
      <c r="C203" s="13"/>
      <c r="D203" s="242"/>
      <c r="E203" s="242"/>
      <c r="F203" s="242"/>
      <c r="G203" s="242"/>
      <c r="H203" s="242"/>
      <c r="I203" s="242"/>
      <c r="J203" s="242"/>
      <c r="K203" s="242"/>
      <c r="L203" s="242"/>
      <c r="M203" s="242"/>
      <c r="N203" s="242"/>
      <c r="O203" s="242"/>
      <c r="P203" s="242"/>
      <c r="Q203" s="242"/>
      <c r="R203" s="242"/>
      <c r="S203" s="242"/>
      <c r="T203" s="13"/>
      <c r="U203" s="242"/>
      <c r="V203" s="242"/>
      <c r="W203" s="242"/>
      <c r="X203" s="242"/>
      <c r="Y203" s="242"/>
      <c r="Z203" s="242"/>
    </row>
    <row r="204">
      <c r="A204" s="242"/>
      <c r="B204" s="13"/>
      <c r="C204" s="13"/>
      <c r="D204" s="242"/>
      <c r="E204" s="242"/>
      <c r="F204" s="242"/>
      <c r="G204" s="242"/>
      <c r="H204" s="242"/>
      <c r="I204" s="242"/>
      <c r="J204" s="242"/>
      <c r="K204" s="242"/>
      <c r="L204" s="242"/>
      <c r="M204" s="242"/>
      <c r="N204" s="242"/>
      <c r="O204" s="242"/>
      <c r="P204" s="242"/>
      <c r="Q204" s="242"/>
      <c r="R204" s="242"/>
      <c r="S204" s="242"/>
      <c r="T204" s="13"/>
      <c r="U204" s="242"/>
      <c r="V204" s="242"/>
      <c r="W204" s="242"/>
      <c r="X204" s="242"/>
      <c r="Y204" s="242"/>
      <c r="Z204" s="242"/>
    </row>
    <row r="205">
      <c r="A205" s="242"/>
      <c r="B205" s="13"/>
      <c r="C205" s="13"/>
      <c r="D205" s="242"/>
      <c r="E205" s="242"/>
      <c r="F205" s="242"/>
      <c r="G205" s="242"/>
      <c r="H205" s="242"/>
      <c r="I205" s="242"/>
      <c r="J205" s="242"/>
      <c r="K205" s="242"/>
      <c r="L205" s="242"/>
      <c r="M205" s="242"/>
      <c r="N205" s="242"/>
      <c r="O205" s="242"/>
      <c r="P205" s="242"/>
      <c r="Q205" s="242"/>
      <c r="R205" s="242"/>
      <c r="S205" s="242"/>
      <c r="T205" s="13"/>
      <c r="U205" s="242"/>
      <c r="V205" s="242"/>
      <c r="W205" s="242"/>
      <c r="X205" s="242"/>
      <c r="Y205" s="242"/>
      <c r="Z205" s="242"/>
    </row>
    <row r="206">
      <c r="A206" s="242"/>
      <c r="B206" s="13"/>
      <c r="C206" s="13"/>
      <c r="D206" s="242"/>
      <c r="E206" s="242"/>
      <c r="F206" s="242"/>
      <c r="G206" s="242"/>
      <c r="H206" s="242"/>
      <c r="I206" s="242"/>
      <c r="J206" s="242"/>
      <c r="K206" s="242"/>
      <c r="L206" s="242"/>
      <c r="M206" s="242"/>
      <c r="N206" s="242"/>
      <c r="O206" s="242"/>
      <c r="P206" s="242"/>
      <c r="Q206" s="242"/>
      <c r="R206" s="242"/>
      <c r="S206" s="242"/>
      <c r="T206" s="13"/>
      <c r="U206" s="242"/>
      <c r="V206" s="242"/>
      <c r="W206" s="242"/>
      <c r="X206" s="242"/>
      <c r="Y206" s="242"/>
      <c r="Z206" s="242"/>
    </row>
    <row r="207">
      <c r="A207" s="242"/>
      <c r="B207" s="13"/>
      <c r="C207" s="13"/>
      <c r="D207" s="242"/>
      <c r="E207" s="242"/>
      <c r="F207" s="242"/>
      <c r="G207" s="242"/>
      <c r="H207" s="242"/>
      <c r="I207" s="242"/>
      <c r="J207" s="242"/>
      <c r="K207" s="242"/>
      <c r="L207" s="242"/>
      <c r="M207" s="242"/>
      <c r="N207" s="242"/>
      <c r="O207" s="242"/>
      <c r="P207" s="242"/>
      <c r="Q207" s="242"/>
      <c r="R207" s="242"/>
      <c r="S207" s="242"/>
      <c r="T207" s="13"/>
      <c r="U207" s="242"/>
      <c r="V207" s="242"/>
      <c r="W207" s="242"/>
      <c r="X207" s="242"/>
      <c r="Y207" s="242"/>
      <c r="Z207" s="242"/>
    </row>
    <row r="208">
      <c r="A208" s="242"/>
      <c r="B208" s="13"/>
      <c r="C208" s="13"/>
      <c r="D208" s="242"/>
      <c r="E208" s="242"/>
      <c r="F208" s="242"/>
      <c r="G208" s="242"/>
      <c r="H208" s="242"/>
      <c r="I208" s="242"/>
      <c r="J208" s="242"/>
      <c r="K208" s="242"/>
      <c r="L208" s="242"/>
      <c r="M208" s="242"/>
      <c r="N208" s="242"/>
      <c r="O208" s="242"/>
      <c r="P208" s="242"/>
      <c r="Q208" s="242"/>
      <c r="R208" s="242"/>
      <c r="S208" s="242"/>
      <c r="T208" s="13"/>
      <c r="U208" s="242"/>
      <c r="V208" s="242"/>
      <c r="W208" s="242"/>
      <c r="X208" s="242"/>
      <c r="Y208" s="242"/>
      <c r="Z208" s="242"/>
    </row>
    <row r="209">
      <c r="A209" s="242"/>
      <c r="B209" s="13"/>
      <c r="C209" s="13"/>
      <c r="D209" s="242"/>
      <c r="E209" s="242"/>
      <c r="F209" s="242"/>
      <c r="G209" s="242"/>
      <c r="H209" s="242"/>
      <c r="I209" s="242"/>
      <c r="J209" s="242"/>
      <c r="K209" s="242"/>
      <c r="L209" s="242"/>
      <c r="M209" s="242"/>
      <c r="N209" s="242"/>
      <c r="O209" s="242"/>
      <c r="P209" s="242"/>
      <c r="Q209" s="242"/>
      <c r="R209" s="242"/>
      <c r="S209" s="242"/>
      <c r="T209" s="13"/>
      <c r="U209" s="242"/>
      <c r="V209" s="242"/>
      <c r="W209" s="242"/>
      <c r="X209" s="242"/>
      <c r="Y209" s="242"/>
      <c r="Z209" s="242"/>
    </row>
    <row r="210">
      <c r="A210" s="242"/>
      <c r="B210" s="13"/>
      <c r="C210" s="13"/>
      <c r="D210" s="242"/>
      <c r="E210" s="242"/>
      <c r="F210" s="242"/>
      <c r="G210" s="242"/>
      <c r="H210" s="242"/>
      <c r="I210" s="242"/>
      <c r="J210" s="242"/>
      <c r="K210" s="242"/>
      <c r="L210" s="242"/>
      <c r="M210" s="242"/>
      <c r="N210" s="242"/>
      <c r="O210" s="242"/>
      <c r="P210" s="242"/>
      <c r="Q210" s="242"/>
      <c r="R210" s="242"/>
      <c r="S210" s="242"/>
      <c r="T210" s="13"/>
      <c r="U210" s="242"/>
      <c r="V210" s="242"/>
      <c r="W210" s="242"/>
      <c r="X210" s="242"/>
      <c r="Y210" s="242"/>
      <c r="Z210" s="242"/>
    </row>
    <row r="211">
      <c r="A211" s="242"/>
      <c r="B211" s="13"/>
      <c r="C211" s="13"/>
      <c r="D211" s="242"/>
      <c r="E211" s="242"/>
      <c r="F211" s="242"/>
      <c r="G211" s="242"/>
      <c r="H211" s="242"/>
      <c r="I211" s="242"/>
      <c r="J211" s="242"/>
      <c r="K211" s="242"/>
      <c r="L211" s="242"/>
      <c r="M211" s="242"/>
      <c r="N211" s="242"/>
      <c r="O211" s="242"/>
      <c r="P211" s="242"/>
      <c r="Q211" s="242"/>
      <c r="R211" s="242"/>
      <c r="S211" s="242"/>
      <c r="T211" s="13"/>
      <c r="U211" s="242"/>
      <c r="V211" s="242"/>
      <c r="W211" s="242"/>
      <c r="X211" s="242"/>
      <c r="Y211" s="242"/>
      <c r="Z211" s="242"/>
    </row>
    <row r="212">
      <c r="A212" s="242"/>
      <c r="B212" s="13"/>
      <c r="C212" s="13"/>
      <c r="D212" s="242"/>
      <c r="E212" s="242"/>
      <c r="F212" s="242"/>
      <c r="G212" s="242"/>
      <c r="H212" s="242"/>
      <c r="I212" s="242"/>
      <c r="J212" s="242"/>
      <c r="K212" s="242"/>
      <c r="L212" s="242"/>
      <c r="M212" s="242"/>
      <c r="N212" s="242"/>
      <c r="O212" s="242"/>
      <c r="P212" s="242"/>
      <c r="Q212" s="242"/>
      <c r="R212" s="242"/>
      <c r="S212" s="242"/>
      <c r="T212" s="13"/>
      <c r="U212" s="242"/>
      <c r="V212" s="242"/>
      <c r="W212" s="242"/>
      <c r="X212" s="242"/>
      <c r="Y212" s="242"/>
      <c r="Z212" s="242"/>
    </row>
    <row r="213">
      <c r="A213" s="242"/>
      <c r="B213" s="13"/>
      <c r="C213" s="13"/>
      <c r="D213" s="242"/>
      <c r="E213" s="242"/>
      <c r="F213" s="242"/>
      <c r="G213" s="242"/>
      <c r="H213" s="242"/>
      <c r="I213" s="242"/>
      <c r="J213" s="242"/>
      <c r="K213" s="242"/>
      <c r="L213" s="242"/>
      <c r="M213" s="242"/>
      <c r="N213" s="242"/>
      <c r="O213" s="242"/>
      <c r="P213" s="242"/>
      <c r="Q213" s="242"/>
      <c r="R213" s="242"/>
      <c r="S213" s="242"/>
      <c r="T213" s="13"/>
      <c r="U213" s="242"/>
      <c r="V213" s="242"/>
      <c r="W213" s="242"/>
      <c r="X213" s="242"/>
      <c r="Y213" s="242"/>
      <c r="Z213" s="242"/>
    </row>
    <row r="214">
      <c r="A214" s="242"/>
      <c r="B214" s="13"/>
      <c r="C214" s="13"/>
      <c r="D214" s="242"/>
      <c r="E214" s="242"/>
      <c r="F214" s="242"/>
      <c r="G214" s="242"/>
      <c r="H214" s="242"/>
      <c r="I214" s="242"/>
      <c r="J214" s="242"/>
      <c r="K214" s="242"/>
      <c r="L214" s="242"/>
      <c r="M214" s="242"/>
      <c r="N214" s="242"/>
      <c r="O214" s="242"/>
      <c r="P214" s="242"/>
      <c r="Q214" s="242"/>
      <c r="R214" s="242"/>
      <c r="S214" s="242"/>
      <c r="T214" s="13"/>
      <c r="U214" s="242"/>
      <c r="V214" s="242"/>
      <c r="W214" s="242"/>
      <c r="X214" s="242"/>
      <c r="Y214" s="242"/>
      <c r="Z214" s="242"/>
    </row>
    <row r="215">
      <c r="A215" s="242"/>
      <c r="B215" s="13"/>
      <c r="C215" s="13"/>
      <c r="D215" s="242"/>
      <c r="E215" s="242"/>
      <c r="F215" s="242"/>
      <c r="G215" s="242"/>
      <c r="H215" s="242"/>
      <c r="I215" s="242"/>
      <c r="J215" s="242"/>
      <c r="K215" s="242"/>
      <c r="L215" s="242"/>
      <c r="M215" s="242"/>
      <c r="N215" s="242"/>
      <c r="O215" s="242"/>
      <c r="P215" s="242"/>
      <c r="Q215" s="242"/>
      <c r="R215" s="242"/>
      <c r="S215" s="242"/>
      <c r="T215" s="13"/>
      <c r="U215" s="242"/>
      <c r="V215" s="242"/>
      <c r="W215" s="242"/>
      <c r="X215" s="242"/>
      <c r="Y215" s="242"/>
      <c r="Z215" s="242"/>
    </row>
    <row r="216">
      <c r="A216" s="242"/>
      <c r="B216" s="13"/>
      <c r="C216" s="13"/>
      <c r="D216" s="242"/>
      <c r="E216" s="242"/>
      <c r="F216" s="242"/>
      <c r="G216" s="242"/>
      <c r="H216" s="242"/>
      <c r="I216" s="242"/>
      <c r="J216" s="242"/>
      <c r="K216" s="242"/>
      <c r="L216" s="242"/>
      <c r="M216" s="242"/>
      <c r="N216" s="242"/>
      <c r="O216" s="242"/>
      <c r="P216" s="242"/>
      <c r="Q216" s="242"/>
      <c r="R216" s="242"/>
      <c r="S216" s="242"/>
      <c r="T216" s="13"/>
      <c r="U216" s="242"/>
      <c r="V216" s="242"/>
      <c r="W216" s="242"/>
      <c r="X216" s="242"/>
      <c r="Y216" s="242"/>
      <c r="Z216" s="242"/>
    </row>
    <row r="217">
      <c r="A217" s="242"/>
      <c r="B217" s="13"/>
      <c r="C217" s="13"/>
      <c r="D217" s="242"/>
      <c r="E217" s="242"/>
      <c r="F217" s="242"/>
      <c r="G217" s="242"/>
      <c r="H217" s="242"/>
      <c r="I217" s="242"/>
      <c r="J217" s="242"/>
      <c r="K217" s="242"/>
      <c r="L217" s="242"/>
      <c r="M217" s="242"/>
      <c r="N217" s="242"/>
      <c r="O217" s="242"/>
      <c r="P217" s="242"/>
      <c r="Q217" s="242"/>
      <c r="R217" s="242"/>
      <c r="S217" s="242"/>
      <c r="T217" s="13"/>
      <c r="U217" s="242"/>
      <c r="V217" s="242"/>
      <c r="W217" s="242"/>
      <c r="X217" s="242"/>
      <c r="Y217" s="242"/>
      <c r="Z217" s="242"/>
    </row>
    <row r="218">
      <c r="A218" s="242"/>
      <c r="B218" s="13"/>
      <c r="C218" s="13"/>
      <c r="D218" s="242"/>
      <c r="E218" s="242"/>
      <c r="F218" s="242"/>
      <c r="G218" s="242"/>
      <c r="H218" s="242"/>
      <c r="I218" s="242"/>
      <c r="J218" s="242"/>
      <c r="K218" s="242"/>
      <c r="L218" s="242"/>
      <c r="M218" s="242"/>
      <c r="N218" s="242"/>
      <c r="O218" s="242"/>
      <c r="P218" s="242"/>
      <c r="Q218" s="242"/>
      <c r="R218" s="242"/>
      <c r="S218" s="242"/>
      <c r="T218" s="13"/>
      <c r="U218" s="242"/>
      <c r="V218" s="242"/>
      <c r="W218" s="242"/>
      <c r="X218" s="242"/>
      <c r="Y218" s="242"/>
      <c r="Z218" s="242"/>
    </row>
    <row r="219">
      <c r="A219" s="242"/>
      <c r="B219" s="13"/>
      <c r="C219" s="13"/>
      <c r="D219" s="242"/>
      <c r="E219" s="242"/>
      <c r="F219" s="242"/>
      <c r="G219" s="242"/>
      <c r="H219" s="242"/>
      <c r="I219" s="242"/>
      <c r="J219" s="242"/>
      <c r="K219" s="242"/>
      <c r="L219" s="242"/>
      <c r="M219" s="242"/>
      <c r="N219" s="242"/>
      <c r="O219" s="242"/>
      <c r="P219" s="242"/>
      <c r="Q219" s="242"/>
      <c r="R219" s="242"/>
      <c r="S219" s="242"/>
      <c r="T219" s="13"/>
      <c r="U219" s="242"/>
      <c r="V219" s="242"/>
      <c r="W219" s="242"/>
      <c r="X219" s="242"/>
      <c r="Y219" s="242"/>
      <c r="Z219" s="242"/>
    </row>
    <row r="220">
      <c r="A220" s="242"/>
      <c r="B220" s="13"/>
      <c r="C220" s="13"/>
      <c r="D220" s="242"/>
      <c r="E220" s="242"/>
      <c r="F220" s="242"/>
      <c r="G220" s="242"/>
      <c r="H220" s="242"/>
      <c r="I220" s="242"/>
      <c r="J220" s="242"/>
      <c r="K220" s="242"/>
      <c r="L220" s="242"/>
      <c r="M220" s="242"/>
      <c r="N220" s="242"/>
      <c r="O220" s="242"/>
      <c r="P220" s="242"/>
      <c r="Q220" s="242"/>
      <c r="R220" s="242"/>
      <c r="S220" s="242"/>
      <c r="T220" s="13"/>
      <c r="U220" s="242"/>
      <c r="V220" s="242"/>
      <c r="W220" s="242"/>
      <c r="X220" s="242"/>
      <c r="Y220" s="242"/>
      <c r="Z220" s="242"/>
    </row>
    <row r="221">
      <c r="A221" s="242"/>
      <c r="B221" s="13"/>
      <c r="C221" s="13"/>
      <c r="D221" s="242"/>
      <c r="E221" s="242"/>
      <c r="F221" s="242"/>
      <c r="G221" s="242"/>
      <c r="H221" s="242"/>
      <c r="I221" s="242"/>
      <c r="J221" s="242"/>
      <c r="K221" s="242"/>
      <c r="L221" s="242"/>
      <c r="M221" s="242"/>
      <c r="N221" s="242"/>
      <c r="O221" s="242"/>
      <c r="P221" s="242"/>
      <c r="Q221" s="242"/>
      <c r="R221" s="242"/>
      <c r="S221" s="242"/>
      <c r="T221" s="13"/>
      <c r="U221" s="242"/>
      <c r="V221" s="242"/>
      <c r="W221" s="242"/>
      <c r="X221" s="242"/>
      <c r="Y221" s="242"/>
      <c r="Z221" s="242"/>
    </row>
    <row r="222">
      <c r="A222" s="242"/>
      <c r="B222" s="13"/>
      <c r="C222" s="13"/>
      <c r="D222" s="242"/>
      <c r="E222" s="242"/>
      <c r="F222" s="242"/>
      <c r="G222" s="242"/>
      <c r="H222" s="242"/>
      <c r="I222" s="242"/>
      <c r="J222" s="242"/>
      <c r="K222" s="242"/>
      <c r="L222" s="242"/>
      <c r="M222" s="242"/>
      <c r="N222" s="242"/>
      <c r="O222" s="242"/>
      <c r="P222" s="242"/>
      <c r="Q222" s="242"/>
      <c r="R222" s="242"/>
      <c r="S222" s="242"/>
      <c r="T222" s="13"/>
      <c r="U222" s="242"/>
      <c r="V222" s="242"/>
      <c r="W222" s="242"/>
      <c r="X222" s="242"/>
      <c r="Y222" s="242"/>
      <c r="Z222" s="242"/>
    </row>
    <row r="223">
      <c r="A223" s="242"/>
      <c r="B223" s="13"/>
      <c r="C223" s="13"/>
      <c r="D223" s="242"/>
      <c r="E223" s="242"/>
      <c r="F223" s="242"/>
      <c r="G223" s="242"/>
      <c r="H223" s="242"/>
      <c r="I223" s="242"/>
      <c r="J223" s="242"/>
      <c r="K223" s="242"/>
      <c r="L223" s="242"/>
      <c r="M223" s="242"/>
      <c r="N223" s="242"/>
      <c r="O223" s="242"/>
      <c r="P223" s="242"/>
      <c r="Q223" s="242"/>
      <c r="R223" s="242"/>
      <c r="S223" s="242"/>
      <c r="T223" s="13"/>
      <c r="U223" s="242"/>
      <c r="V223" s="242"/>
      <c r="W223" s="242"/>
      <c r="X223" s="242"/>
      <c r="Y223" s="242"/>
      <c r="Z223" s="242"/>
    </row>
    <row r="224">
      <c r="A224" s="242"/>
      <c r="B224" s="13"/>
      <c r="C224" s="13"/>
      <c r="D224" s="242"/>
      <c r="E224" s="242"/>
      <c r="F224" s="242"/>
      <c r="G224" s="242"/>
      <c r="H224" s="242"/>
      <c r="I224" s="242"/>
      <c r="J224" s="242"/>
      <c r="K224" s="242"/>
      <c r="L224" s="242"/>
      <c r="M224" s="242"/>
      <c r="N224" s="242"/>
      <c r="O224" s="242"/>
      <c r="P224" s="242"/>
      <c r="Q224" s="242"/>
      <c r="R224" s="242"/>
      <c r="S224" s="242"/>
      <c r="T224" s="13"/>
      <c r="U224" s="242"/>
      <c r="V224" s="242"/>
      <c r="W224" s="242"/>
      <c r="X224" s="242"/>
      <c r="Y224" s="242"/>
      <c r="Z224" s="242"/>
    </row>
    <row r="225">
      <c r="A225" s="242"/>
      <c r="B225" s="13"/>
      <c r="C225" s="13"/>
      <c r="D225" s="242"/>
      <c r="E225" s="242"/>
      <c r="F225" s="242"/>
      <c r="G225" s="242"/>
      <c r="H225" s="242"/>
      <c r="I225" s="242"/>
      <c r="J225" s="242"/>
      <c r="K225" s="242"/>
      <c r="L225" s="242"/>
      <c r="M225" s="242"/>
      <c r="N225" s="242"/>
      <c r="O225" s="242"/>
      <c r="P225" s="242"/>
      <c r="Q225" s="242"/>
      <c r="R225" s="242"/>
      <c r="S225" s="242"/>
      <c r="T225" s="13"/>
      <c r="U225" s="242"/>
      <c r="V225" s="242"/>
      <c r="W225" s="242"/>
      <c r="X225" s="242"/>
      <c r="Y225" s="242"/>
      <c r="Z225" s="242"/>
    </row>
    <row r="226">
      <c r="A226" s="242"/>
      <c r="B226" s="13"/>
      <c r="C226" s="13"/>
      <c r="D226" s="242"/>
      <c r="E226" s="242"/>
      <c r="F226" s="242"/>
      <c r="G226" s="242"/>
      <c r="H226" s="242"/>
      <c r="I226" s="242"/>
      <c r="J226" s="242"/>
      <c r="K226" s="242"/>
      <c r="L226" s="242"/>
      <c r="M226" s="242"/>
      <c r="N226" s="242"/>
      <c r="O226" s="242"/>
      <c r="P226" s="242"/>
      <c r="Q226" s="242"/>
      <c r="R226" s="242"/>
      <c r="S226" s="242"/>
      <c r="T226" s="13"/>
      <c r="U226" s="242"/>
      <c r="V226" s="242"/>
      <c r="W226" s="242"/>
      <c r="X226" s="242"/>
      <c r="Y226" s="242"/>
      <c r="Z226" s="242"/>
    </row>
    <row r="227">
      <c r="A227" s="242"/>
      <c r="B227" s="13"/>
      <c r="C227" s="13"/>
      <c r="D227" s="242"/>
      <c r="E227" s="242"/>
      <c r="F227" s="242"/>
      <c r="G227" s="242"/>
      <c r="H227" s="242"/>
      <c r="I227" s="242"/>
      <c r="J227" s="242"/>
      <c r="K227" s="242"/>
      <c r="L227" s="242"/>
      <c r="M227" s="242"/>
      <c r="N227" s="242"/>
      <c r="O227" s="242"/>
      <c r="P227" s="242"/>
      <c r="Q227" s="242"/>
      <c r="R227" s="242"/>
      <c r="S227" s="242"/>
      <c r="T227" s="13"/>
      <c r="U227" s="242"/>
      <c r="V227" s="242"/>
      <c r="W227" s="242"/>
      <c r="X227" s="242"/>
      <c r="Y227" s="242"/>
      <c r="Z227" s="242"/>
    </row>
    <row r="228">
      <c r="A228" s="242"/>
      <c r="B228" s="13"/>
      <c r="C228" s="13"/>
      <c r="D228" s="242"/>
      <c r="E228" s="242"/>
      <c r="F228" s="242"/>
      <c r="G228" s="242"/>
      <c r="H228" s="242"/>
      <c r="I228" s="242"/>
      <c r="J228" s="242"/>
      <c r="K228" s="242"/>
      <c r="L228" s="242"/>
      <c r="M228" s="242"/>
      <c r="N228" s="242"/>
      <c r="O228" s="242"/>
      <c r="P228" s="242"/>
      <c r="Q228" s="242"/>
      <c r="R228" s="242"/>
      <c r="S228" s="242"/>
      <c r="T228" s="13"/>
      <c r="U228" s="242"/>
      <c r="V228" s="242"/>
      <c r="W228" s="242"/>
      <c r="X228" s="242"/>
      <c r="Y228" s="242"/>
      <c r="Z228" s="242"/>
    </row>
    <row r="229">
      <c r="A229" s="242"/>
      <c r="B229" s="13"/>
      <c r="C229" s="13"/>
      <c r="D229" s="242"/>
      <c r="E229" s="242"/>
      <c r="F229" s="242"/>
      <c r="G229" s="242"/>
      <c r="H229" s="242"/>
      <c r="I229" s="242"/>
      <c r="J229" s="242"/>
      <c r="K229" s="242"/>
      <c r="L229" s="242"/>
      <c r="M229" s="242"/>
      <c r="N229" s="242"/>
      <c r="O229" s="242"/>
      <c r="P229" s="242"/>
      <c r="Q229" s="242"/>
      <c r="R229" s="242"/>
      <c r="S229" s="242"/>
      <c r="T229" s="13"/>
      <c r="U229" s="242"/>
      <c r="V229" s="242"/>
      <c r="W229" s="242"/>
      <c r="X229" s="242"/>
      <c r="Y229" s="242"/>
      <c r="Z229" s="242"/>
    </row>
    <row r="230">
      <c r="A230" s="242"/>
      <c r="B230" s="13"/>
      <c r="C230" s="13"/>
      <c r="D230" s="242"/>
      <c r="E230" s="242"/>
      <c r="F230" s="242"/>
      <c r="G230" s="242"/>
      <c r="H230" s="242"/>
      <c r="I230" s="242"/>
      <c r="J230" s="242"/>
      <c r="K230" s="242"/>
      <c r="L230" s="242"/>
      <c r="M230" s="242"/>
      <c r="N230" s="242"/>
      <c r="O230" s="242"/>
      <c r="P230" s="242"/>
      <c r="Q230" s="242"/>
      <c r="R230" s="242"/>
      <c r="S230" s="242"/>
      <c r="T230" s="13"/>
      <c r="U230" s="242"/>
      <c r="V230" s="242"/>
      <c r="W230" s="242"/>
      <c r="X230" s="242"/>
      <c r="Y230" s="242"/>
      <c r="Z230" s="242"/>
    </row>
    <row r="231">
      <c r="A231" s="242"/>
      <c r="B231" s="13"/>
      <c r="C231" s="13"/>
      <c r="D231" s="242"/>
      <c r="E231" s="242"/>
      <c r="F231" s="242"/>
      <c r="G231" s="242"/>
      <c r="H231" s="242"/>
      <c r="I231" s="242"/>
      <c r="J231" s="242"/>
      <c r="K231" s="242"/>
      <c r="L231" s="242"/>
      <c r="M231" s="242"/>
      <c r="N231" s="242"/>
      <c r="O231" s="242"/>
      <c r="P231" s="242"/>
      <c r="Q231" s="242"/>
      <c r="R231" s="242"/>
      <c r="S231" s="242"/>
      <c r="T231" s="13"/>
      <c r="U231" s="242"/>
      <c r="V231" s="242"/>
      <c r="W231" s="242"/>
      <c r="X231" s="242"/>
      <c r="Y231" s="242"/>
      <c r="Z231" s="242"/>
    </row>
    <row r="232">
      <c r="A232" s="242"/>
      <c r="B232" s="13"/>
      <c r="C232" s="13"/>
      <c r="D232" s="242"/>
      <c r="E232" s="242"/>
      <c r="F232" s="242"/>
      <c r="G232" s="242"/>
      <c r="H232" s="242"/>
      <c r="I232" s="242"/>
      <c r="J232" s="242"/>
      <c r="K232" s="242"/>
      <c r="L232" s="242"/>
      <c r="M232" s="242"/>
      <c r="N232" s="242"/>
      <c r="O232" s="242"/>
      <c r="P232" s="242"/>
      <c r="Q232" s="242"/>
      <c r="R232" s="242"/>
      <c r="S232" s="242"/>
      <c r="T232" s="13"/>
      <c r="U232" s="242"/>
      <c r="V232" s="242"/>
      <c r="W232" s="242"/>
      <c r="X232" s="242"/>
      <c r="Y232" s="242"/>
      <c r="Z232" s="242"/>
    </row>
    <row r="233">
      <c r="A233" s="242"/>
      <c r="B233" s="13"/>
      <c r="C233" s="13"/>
      <c r="D233" s="242"/>
      <c r="E233" s="242"/>
      <c r="F233" s="242"/>
      <c r="G233" s="242"/>
      <c r="H233" s="242"/>
      <c r="I233" s="242"/>
      <c r="J233" s="242"/>
      <c r="K233" s="242"/>
      <c r="L233" s="242"/>
      <c r="M233" s="242"/>
      <c r="N233" s="242"/>
      <c r="O233" s="242"/>
      <c r="P233" s="242"/>
      <c r="Q233" s="242"/>
      <c r="R233" s="242"/>
      <c r="S233" s="242"/>
      <c r="T233" s="13"/>
      <c r="U233" s="242"/>
      <c r="V233" s="242"/>
      <c r="W233" s="242"/>
      <c r="X233" s="242"/>
      <c r="Y233" s="242"/>
      <c r="Z233" s="242"/>
    </row>
    <row r="234">
      <c r="A234" s="242"/>
      <c r="B234" s="13"/>
      <c r="C234" s="13"/>
      <c r="D234" s="242"/>
      <c r="E234" s="242"/>
      <c r="F234" s="242"/>
      <c r="G234" s="242"/>
      <c r="H234" s="242"/>
      <c r="I234" s="242"/>
      <c r="J234" s="242"/>
      <c r="K234" s="242"/>
      <c r="L234" s="242"/>
      <c r="M234" s="242"/>
      <c r="N234" s="242"/>
      <c r="O234" s="242"/>
      <c r="P234" s="242"/>
      <c r="Q234" s="242"/>
      <c r="R234" s="242"/>
      <c r="S234" s="242"/>
      <c r="T234" s="13"/>
      <c r="U234" s="242"/>
      <c r="V234" s="242"/>
      <c r="W234" s="242"/>
      <c r="X234" s="242"/>
      <c r="Y234" s="242"/>
      <c r="Z234" s="242"/>
    </row>
    <row r="235">
      <c r="A235" s="242"/>
      <c r="B235" s="13"/>
      <c r="C235" s="13"/>
      <c r="D235" s="242"/>
      <c r="E235" s="242"/>
      <c r="F235" s="242"/>
      <c r="G235" s="242"/>
      <c r="H235" s="242"/>
      <c r="I235" s="242"/>
      <c r="J235" s="242"/>
      <c r="K235" s="242"/>
      <c r="L235" s="242"/>
      <c r="M235" s="242"/>
      <c r="N235" s="242"/>
      <c r="O235" s="242"/>
      <c r="P235" s="242"/>
      <c r="Q235" s="242"/>
      <c r="R235" s="242"/>
      <c r="S235" s="242"/>
      <c r="T235" s="13"/>
      <c r="U235" s="242"/>
      <c r="V235" s="242"/>
      <c r="W235" s="242"/>
      <c r="X235" s="242"/>
      <c r="Y235" s="242"/>
      <c r="Z235" s="242"/>
    </row>
    <row r="236">
      <c r="A236" s="242"/>
      <c r="B236" s="13"/>
      <c r="C236" s="13"/>
      <c r="D236" s="242"/>
      <c r="E236" s="242"/>
      <c r="F236" s="242"/>
      <c r="G236" s="242"/>
      <c r="H236" s="242"/>
      <c r="I236" s="242"/>
      <c r="J236" s="242"/>
      <c r="K236" s="242"/>
      <c r="L236" s="242"/>
      <c r="M236" s="242"/>
      <c r="N236" s="242"/>
      <c r="O236" s="242"/>
      <c r="P236" s="242"/>
      <c r="Q236" s="242"/>
      <c r="R236" s="242"/>
      <c r="S236" s="242"/>
      <c r="T236" s="13"/>
      <c r="U236" s="242"/>
      <c r="V236" s="242"/>
      <c r="W236" s="242"/>
      <c r="X236" s="242"/>
      <c r="Y236" s="242"/>
      <c r="Z236" s="242"/>
    </row>
    <row r="237">
      <c r="A237" s="242"/>
      <c r="B237" s="13"/>
      <c r="C237" s="13"/>
      <c r="D237" s="242"/>
      <c r="E237" s="242"/>
      <c r="F237" s="242"/>
      <c r="G237" s="242"/>
      <c r="H237" s="242"/>
      <c r="I237" s="242"/>
      <c r="J237" s="242"/>
      <c r="K237" s="242"/>
      <c r="L237" s="242"/>
      <c r="M237" s="242"/>
      <c r="N237" s="242"/>
      <c r="O237" s="242"/>
      <c r="P237" s="242"/>
      <c r="Q237" s="242"/>
      <c r="R237" s="242"/>
      <c r="S237" s="242"/>
      <c r="T237" s="13"/>
      <c r="U237" s="242"/>
      <c r="V237" s="242"/>
      <c r="W237" s="242"/>
      <c r="X237" s="242"/>
      <c r="Y237" s="242"/>
      <c r="Z237" s="242"/>
    </row>
    <row r="238">
      <c r="A238" s="242"/>
      <c r="B238" s="13"/>
      <c r="C238" s="13"/>
      <c r="D238" s="242"/>
      <c r="E238" s="242"/>
      <c r="F238" s="242"/>
      <c r="G238" s="242"/>
      <c r="H238" s="242"/>
      <c r="I238" s="242"/>
      <c r="J238" s="242"/>
      <c r="K238" s="242"/>
      <c r="L238" s="242"/>
      <c r="M238" s="242"/>
      <c r="N238" s="242"/>
      <c r="O238" s="242"/>
      <c r="P238" s="242"/>
      <c r="Q238" s="242"/>
      <c r="R238" s="242"/>
      <c r="S238" s="242"/>
      <c r="T238" s="13"/>
      <c r="U238" s="242"/>
      <c r="V238" s="242"/>
      <c r="W238" s="242"/>
      <c r="X238" s="242"/>
      <c r="Y238" s="242"/>
      <c r="Z238" s="242"/>
    </row>
    <row r="239">
      <c r="A239" s="242"/>
      <c r="B239" s="13"/>
      <c r="C239" s="13"/>
      <c r="D239" s="242"/>
      <c r="E239" s="242"/>
      <c r="F239" s="242"/>
      <c r="G239" s="242"/>
      <c r="H239" s="242"/>
      <c r="I239" s="242"/>
      <c r="J239" s="242"/>
      <c r="K239" s="242"/>
      <c r="L239" s="242"/>
      <c r="M239" s="242"/>
      <c r="N239" s="242"/>
      <c r="O239" s="242"/>
      <c r="P239" s="242"/>
      <c r="Q239" s="242"/>
      <c r="R239" s="242"/>
      <c r="S239" s="242"/>
      <c r="T239" s="13"/>
      <c r="U239" s="242"/>
      <c r="V239" s="242"/>
      <c r="W239" s="242"/>
      <c r="X239" s="242"/>
      <c r="Y239" s="242"/>
      <c r="Z239" s="242"/>
    </row>
    <row r="240">
      <c r="A240" s="242"/>
      <c r="B240" s="13"/>
      <c r="C240" s="13"/>
      <c r="D240" s="242"/>
      <c r="E240" s="242"/>
      <c r="F240" s="242"/>
      <c r="G240" s="242"/>
      <c r="H240" s="242"/>
      <c r="I240" s="242"/>
      <c r="J240" s="242"/>
      <c r="K240" s="242"/>
      <c r="L240" s="242"/>
      <c r="M240" s="242"/>
      <c r="N240" s="242"/>
      <c r="O240" s="242"/>
      <c r="P240" s="242"/>
      <c r="Q240" s="242"/>
      <c r="R240" s="242"/>
      <c r="S240" s="242"/>
      <c r="T240" s="13"/>
      <c r="U240" s="242"/>
      <c r="V240" s="242"/>
      <c r="W240" s="242"/>
      <c r="X240" s="242"/>
      <c r="Y240" s="242"/>
      <c r="Z240" s="242"/>
    </row>
    <row r="241">
      <c r="A241" s="242"/>
      <c r="B241" s="13"/>
      <c r="C241" s="13"/>
      <c r="D241" s="242"/>
      <c r="E241" s="242"/>
      <c r="F241" s="242"/>
      <c r="G241" s="242"/>
      <c r="H241" s="242"/>
      <c r="I241" s="242"/>
      <c r="J241" s="242"/>
      <c r="K241" s="242"/>
      <c r="L241" s="242"/>
      <c r="M241" s="242"/>
      <c r="N241" s="242"/>
      <c r="O241" s="242"/>
      <c r="P241" s="242"/>
      <c r="Q241" s="242"/>
      <c r="R241" s="242"/>
      <c r="S241" s="242"/>
      <c r="T241" s="13"/>
      <c r="U241" s="242"/>
      <c r="V241" s="242"/>
      <c r="W241" s="242"/>
      <c r="X241" s="242"/>
      <c r="Y241" s="242"/>
      <c r="Z241" s="242"/>
    </row>
    <row r="242">
      <c r="A242" s="242"/>
      <c r="B242" s="13"/>
      <c r="C242" s="13"/>
      <c r="D242" s="242"/>
      <c r="E242" s="242"/>
      <c r="F242" s="242"/>
      <c r="G242" s="242"/>
      <c r="H242" s="242"/>
      <c r="I242" s="242"/>
      <c r="J242" s="242"/>
      <c r="K242" s="242"/>
      <c r="L242" s="242"/>
      <c r="M242" s="242"/>
      <c r="N242" s="242"/>
      <c r="O242" s="242"/>
      <c r="P242" s="242"/>
      <c r="Q242" s="242"/>
      <c r="R242" s="242"/>
      <c r="S242" s="242"/>
      <c r="T242" s="13"/>
      <c r="U242" s="242"/>
      <c r="V242" s="242"/>
      <c r="W242" s="242"/>
      <c r="X242" s="242"/>
      <c r="Y242" s="242"/>
      <c r="Z242" s="242"/>
    </row>
    <row r="243">
      <c r="A243" s="242"/>
      <c r="B243" s="13"/>
      <c r="C243" s="13"/>
      <c r="D243" s="242"/>
      <c r="E243" s="242"/>
      <c r="F243" s="242"/>
      <c r="G243" s="242"/>
      <c r="H243" s="242"/>
      <c r="I243" s="242"/>
      <c r="J243" s="242"/>
      <c r="K243" s="242"/>
      <c r="L243" s="242"/>
      <c r="M243" s="242"/>
      <c r="N243" s="242"/>
      <c r="O243" s="242"/>
      <c r="P243" s="242"/>
      <c r="Q243" s="242"/>
      <c r="R243" s="242"/>
      <c r="S243" s="242"/>
      <c r="T243" s="13"/>
      <c r="U243" s="242"/>
      <c r="V243" s="242"/>
      <c r="W243" s="242"/>
      <c r="X243" s="242"/>
      <c r="Y243" s="242"/>
      <c r="Z243" s="242"/>
    </row>
    <row r="244">
      <c r="A244" s="242"/>
      <c r="B244" s="13"/>
      <c r="C244" s="13"/>
      <c r="D244" s="242"/>
      <c r="E244" s="242"/>
      <c r="F244" s="242"/>
      <c r="G244" s="242"/>
      <c r="H244" s="242"/>
      <c r="I244" s="242"/>
      <c r="J244" s="242"/>
      <c r="K244" s="242"/>
      <c r="L244" s="242"/>
      <c r="M244" s="242"/>
      <c r="N244" s="242"/>
      <c r="O244" s="242"/>
      <c r="P244" s="242"/>
      <c r="Q244" s="242"/>
      <c r="R244" s="242"/>
      <c r="S244" s="242"/>
      <c r="T244" s="13"/>
      <c r="U244" s="242"/>
      <c r="V244" s="242"/>
      <c r="W244" s="242"/>
      <c r="X244" s="242"/>
      <c r="Y244" s="242"/>
      <c r="Z244" s="242"/>
    </row>
    <row r="245">
      <c r="A245" s="242"/>
      <c r="B245" s="13"/>
      <c r="C245" s="13"/>
      <c r="D245" s="242"/>
      <c r="E245" s="242"/>
      <c r="F245" s="242"/>
      <c r="G245" s="242"/>
      <c r="H245" s="242"/>
      <c r="I245" s="242"/>
      <c r="J245" s="242"/>
      <c r="K245" s="242"/>
      <c r="L245" s="242"/>
      <c r="M245" s="242"/>
      <c r="N245" s="242"/>
      <c r="O245" s="242"/>
      <c r="P245" s="242"/>
      <c r="Q245" s="242"/>
      <c r="R245" s="242"/>
      <c r="S245" s="242"/>
      <c r="T245" s="13"/>
      <c r="U245" s="242"/>
      <c r="V245" s="242"/>
      <c r="W245" s="242"/>
      <c r="X245" s="242"/>
      <c r="Y245" s="242"/>
      <c r="Z245" s="242"/>
    </row>
    <row r="246">
      <c r="A246" s="242"/>
      <c r="B246" s="13"/>
      <c r="C246" s="13"/>
      <c r="D246" s="242"/>
      <c r="E246" s="242"/>
      <c r="F246" s="242"/>
      <c r="G246" s="242"/>
      <c r="H246" s="242"/>
      <c r="I246" s="242"/>
      <c r="J246" s="242"/>
      <c r="K246" s="242"/>
      <c r="L246" s="242"/>
      <c r="M246" s="242"/>
      <c r="N246" s="242"/>
      <c r="O246" s="242"/>
      <c r="P246" s="242"/>
      <c r="Q246" s="242"/>
      <c r="R246" s="242"/>
      <c r="S246" s="242"/>
      <c r="T246" s="13"/>
      <c r="U246" s="242"/>
      <c r="V246" s="242"/>
      <c r="W246" s="242"/>
      <c r="X246" s="242"/>
      <c r="Y246" s="242"/>
      <c r="Z246" s="242"/>
    </row>
    <row r="247">
      <c r="A247" s="242"/>
      <c r="B247" s="13"/>
      <c r="C247" s="13"/>
      <c r="D247" s="242"/>
      <c r="E247" s="242"/>
      <c r="F247" s="242"/>
      <c r="G247" s="242"/>
      <c r="H247" s="242"/>
      <c r="I247" s="242"/>
      <c r="J247" s="242"/>
      <c r="K247" s="242"/>
      <c r="L247" s="242"/>
      <c r="M247" s="242"/>
      <c r="N247" s="242"/>
      <c r="O247" s="242"/>
      <c r="P247" s="242"/>
      <c r="Q247" s="242"/>
      <c r="R247" s="242"/>
      <c r="S247" s="242"/>
      <c r="T247" s="13"/>
      <c r="U247" s="242"/>
      <c r="V247" s="242"/>
      <c r="W247" s="242"/>
      <c r="X247" s="242"/>
      <c r="Y247" s="242"/>
      <c r="Z247" s="242"/>
    </row>
    <row r="248">
      <c r="A248" s="242"/>
      <c r="B248" s="13"/>
      <c r="C248" s="13"/>
      <c r="D248" s="242"/>
      <c r="E248" s="242"/>
      <c r="F248" s="242"/>
      <c r="G248" s="242"/>
      <c r="H248" s="242"/>
      <c r="I248" s="242"/>
      <c r="J248" s="242"/>
      <c r="K248" s="242"/>
      <c r="L248" s="242"/>
      <c r="M248" s="242"/>
      <c r="N248" s="242"/>
      <c r="O248" s="242"/>
      <c r="P248" s="242"/>
      <c r="Q248" s="242"/>
      <c r="R248" s="242"/>
      <c r="S248" s="242"/>
      <c r="T248" s="13"/>
      <c r="U248" s="242"/>
      <c r="V248" s="242"/>
      <c r="W248" s="242"/>
      <c r="X248" s="242"/>
      <c r="Y248" s="242"/>
      <c r="Z248" s="242"/>
    </row>
    <row r="249">
      <c r="A249" s="242"/>
      <c r="B249" s="13"/>
      <c r="C249" s="13"/>
      <c r="D249" s="242"/>
      <c r="E249" s="242"/>
      <c r="F249" s="242"/>
      <c r="G249" s="242"/>
      <c r="H249" s="242"/>
      <c r="I249" s="242"/>
      <c r="J249" s="242"/>
      <c r="K249" s="242"/>
      <c r="L249" s="242"/>
      <c r="M249" s="242"/>
      <c r="N249" s="242"/>
      <c r="O249" s="242"/>
      <c r="P249" s="242"/>
      <c r="Q249" s="242"/>
      <c r="R249" s="242"/>
      <c r="S249" s="242"/>
      <c r="T249" s="13"/>
      <c r="U249" s="242"/>
      <c r="V249" s="242"/>
      <c r="W249" s="242"/>
      <c r="X249" s="242"/>
      <c r="Y249" s="242"/>
      <c r="Z249" s="242"/>
    </row>
    <row r="250">
      <c r="A250" s="242"/>
      <c r="B250" s="13"/>
      <c r="C250" s="13"/>
      <c r="D250" s="242"/>
      <c r="E250" s="242"/>
      <c r="F250" s="242"/>
      <c r="G250" s="242"/>
      <c r="H250" s="242"/>
      <c r="I250" s="242"/>
      <c r="J250" s="242"/>
      <c r="K250" s="242"/>
      <c r="L250" s="242"/>
      <c r="M250" s="242"/>
      <c r="N250" s="242"/>
      <c r="O250" s="242"/>
      <c r="P250" s="242"/>
      <c r="Q250" s="242"/>
      <c r="R250" s="242"/>
      <c r="S250" s="242"/>
      <c r="T250" s="13"/>
      <c r="U250" s="242"/>
      <c r="V250" s="242"/>
      <c r="W250" s="242"/>
      <c r="X250" s="242"/>
      <c r="Y250" s="242"/>
      <c r="Z250" s="242"/>
    </row>
    <row r="251">
      <c r="A251" s="242"/>
      <c r="B251" s="13"/>
      <c r="C251" s="13"/>
      <c r="D251" s="242"/>
      <c r="E251" s="242"/>
      <c r="F251" s="242"/>
      <c r="G251" s="242"/>
      <c r="H251" s="242"/>
      <c r="I251" s="242"/>
      <c r="J251" s="242"/>
      <c r="K251" s="242"/>
      <c r="L251" s="242"/>
      <c r="M251" s="242"/>
      <c r="N251" s="242"/>
      <c r="O251" s="242"/>
      <c r="P251" s="242"/>
      <c r="Q251" s="242"/>
      <c r="R251" s="242"/>
      <c r="S251" s="242"/>
      <c r="T251" s="13"/>
      <c r="U251" s="242"/>
      <c r="V251" s="242"/>
      <c r="W251" s="242"/>
      <c r="X251" s="242"/>
      <c r="Y251" s="242"/>
      <c r="Z251" s="242"/>
    </row>
    <row r="252">
      <c r="A252" s="242"/>
      <c r="B252" s="13"/>
      <c r="C252" s="13"/>
      <c r="D252" s="242"/>
      <c r="E252" s="242"/>
      <c r="F252" s="242"/>
      <c r="G252" s="242"/>
      <c r="H252" s="242"/>
      <c r="I252" s="242"/>
      <c r="J252" s="242"/>
      <c r="K252" s="242"/>
      <c r="L252" s="242"/>
      <c r="M252" s="242"/>
      <c r="N252" s="242"/>
      <c r="O252" s="242"/>
      <c r="P252" s="242"/>
      <c r="Q252" s="242"/>
      <c r="R252" s="242"/>
      <c r="S252" s="242"/>
      <c r="T252" s="13"/>
      <c r="U252" s="242"/>
      <c r="V252" s="242"/>
      <c r="W252" s="242"/>
      <c r="X252" s="242"/>
      <c r="Y252" s="242"/>
      <c r="Z252" s="242"/>
    </row>
    <row r="253">
      <c r="A253" s="242"/>
      <c r="B253" s="13"/>
      <c r="C253" s="13"/>
      <c r="D253" s="242"/>
      <c r="E253" s="242"/>
      <c r="F253" s="242"/>
      <c r="G253" s="242"/>
      <c r="H253" s="242"/>
      <c r="I253" s="242"/>
      <c r="J253" s="242"/>
      <c r="K253" s="242"/>
      <c r="L253" s="242"/>
      <c r="M253" s="242"/>
      <c r="N253" s="242"/>
      <c r="O253" s="242"/>
      <c r="P253" s="242"/>
      <c r="Q253" s="242"/>
      <c r="R253" s="242"/>
      <c r="S253" s="242"/>
      <c r="T253" s="13"/>
      <c r="U253" s="242"/>
      <c r="V253" s="242"/>
      <c r="W253" s="242"/>
      <c r="X253" s="242"/>
      <c r="Y253" s="242"/>
      <c r="Z253" s="242"/>
    </row>
    <row r="254">
      <c r="A254" s="242"/>
      <c r="B254" s="13"/>
      <c r="C254" s="13"/>
      <c r="D254" s="242"/>
      <c r="E254" s="242"/>
      <c r="F254" s="242"/>
      <c r="G254" s="242"/>
      <c r="H254" s="242"/>
      <c r="I254" s="242"/>
      <c r="J254" s="242"/>
      <c r="K254" s="242"/>
      <c r="L254" s="242"/>
      <c r="M254" s="242"/>
      <c r="N254" s="242"/>
      <c r="O254" s="242"/>
      <c r="P254" s="242"/>
      <c r="Q254" s="242"/>
      <c r="R254" s="242"/>
      <c r="S254" s="242"/>
      <c r="T254" s="13"/>
      <c r="U254" s="242"/>
      <c r="V254" s="242"/>
      <c r="W254" s="242"/>
      <c r="X254" s="242"/>
      <c r="Y254" s="242"/>
      <c r="Z254" s="242"/>
    </row>
    <row r="255">
      <c r="A255" s="242"/>
      <c r="B255" s="13"/>
      <c r="C255" s="13"/>
      <c r="D255" s="242"/>
      <c r="E255" s="242"/>
      <c r="F255" s="242"/>
      <c r="G255" s="242"/>
      <c r="H255" s="242"/>
      <c r="I255" s="242"/>
      <c r="J255" s="242"/>
      <c r="K255" s="242"/>
      <c r="L255" s="242"/>
      <c r="M255" s="242"/>
      <c r="N255" s="242"/>
      <c r="O255" s="242"/>
      <c r="P255" s="242"/>
      <c r="Q255" s="242"/>
      <c r="R255" s="242"/>
      <c r="S255" s="242"/>
      <c r="T255" s="13"/>
      <c r="U255" s="242"/>
      <c r="V255" s="242"/>
      <c r="W255" s="242"/>
      <c r="X255" s="242"/>
      <c r="Y255" s="242"/>
      <c r="Z255" s="242"/>
    </row>
    <row r="256">
      <c r="A256" s="242"/>
      <c r="B256" s="13"/>
      <c r="C256" s="13"/>
      <c r="D256" s="242"/>
      <c r="E256" s="242"/>
      <c r="F256" s="242"/>
      <c r="G256" s="242"/>
      <c r="H256" s="242"/>
      <c r="I256" s="242"/>
      <c r="J256" s="242"/>
      <c r="K256" s="242"/>
      <c r="L256" s="242"/>
      <c r="M256" s="242"/>
      <c r="N256" s="242"/>
      <c r="O256" s="242"/>
      <c r="P256" s="242"/>
      <c r="Q256" s="242"/>
      <c r="R256" s="242"/>
      <c r="S256" s="242"/>
      <c r="T256" s="13"/>
      <c r="U256" s="242"/>
      <c r="V256" s="242"/>
      <c r="W256" s="242"/>
      <c r="X256" s="242"/>
      <c r="Y256" s="242"/>
      <c r="Z256" s="242"/>
    </row>
    <row r="257">
      <c r="A257" s="242"/>
      <c r="B257" s="13"/>
      <c r="C257" s="13"/>
      <c r="D257" s="242"/>
      <c r="E257" s="242"/>
      <c r="F257" s="242"/>
      <c r="G257" s="242"/>
      <c r="H257" s="242"/>
      <c r="I257" s="242"/>
      <c r="J257" s="242"/>
      <c r="K257" s="242"/>
      <c r="L257" s="242"/>
      <c r="M257" s="242"/>
      <c r="N257" s="242"/>
      <c r="O257" s="242"/>
      <c r="P257" s="242"/>
      <c r="Q257" s="242"/>
      <c r="R257" s="242"/>
      <c r="S257" s="242"/>
      <c r="T257" s="13"/>
      <c r="U257" s="242"/>
      <c r="V257" s="242"/>
      <c r="W257" s="242"/>
      <c r="X257" s="242"/>
      <c r="Y257" s="242"/>
      <c r="Z257" s="242"/>
    </row>
    <row r="258">
      <c r="A258" s="242"/>
      <c r="B258" s="13"/>
      <c r="C258" s="13"/>
      <c r="D258" s="242"/>
      <c r="E258" s="242"/>
      <c r="F258" s="242"/>
      <c r="G258" s="242"/>
      <c r="H258" s="242"/>
      <c r="I258" s="242"/>
      <c r="J258" s="242"/>
      <c r="K258" s="242"/>
      <c r="L258" s="242"/>
      <c r="M258" s="242"/>
      <c r="N258" s="242"/>
      <c r="O258" s="242"/>
      <c r="P258" s="242"/>
      <c r="Q258" s="242"/>
      <c r="R258" s="242"/>
      <c r="S258" s="242"/>
      <c r="T258" s="13"/>
      <c r="U258" s="242"/>
      <c r="V258" s="242"/>
      <c r="W258" s="242"/>
      <c r="X258" s="242"/>
      <c r="Y258" s="242"/>
      <c r="Z258" s="242"/>
    </row>
    <row r="259">
      <c r="A259" s="242"/>
      <c r="B259" s="13"/>
      <c r="C259" s="13"/>
      <c r="D259" s="242"/>
      <c r="E259" s="242"/>
      <c r="F259" s="242"/>
      <c r="G259" s="242"/>
      <c r="H259" s="242"/>
      <c r="I259" s="242"/>
      <c r="J259" s="242"/>
      <c r="K259" s="242"/>
      <c r="L259" s="242"/>
      <c r="M259" s="242"/>
      <c r="N259" s="242"/>
      <c r="O259" s="242"/>
      <c r="P259" s="242"/>
      <c r="Q259" s="242"/>
      <c r="R259" s="242"/>
      <c r="S259" s="242"/>
      <c r="T259" s="13"/>
      <c r="U259" s="242"/>
      <c r="V259" s="242"/>
      <c r="W259" s="242"/>
      <c r="X259" s="242"/>
      <c r="Y259" s="242"/>
      <c r="Z259" s="242"/>
    </row>
    <row r="260">
      <c r="A260" s="242"/>
      <c r="B260" s="13"/>
      <c r="C260" s="13"/>
      <c r="D260" s="242"/>
      <c r="E260" s="242"/>
      <c r="F260" s="242"/>
      <c r="G260" s="242"/>
      <c r="H260" s="242"/>
      <c r="I260" s="242"/>
      <c r="J260" s="242"/>
      <c r="K260" s="242"/>
      <c r="L260" s="242"/>
      <c r="M260" s="242"/>
      <c r="N260" s="242"/>
      <c r="O260" s="242"/>
      <c r="P260" s="242"/>
      <c r="Q260" s="242"/>
      <c r="R260" s="242"/>
      <c r="S260" s="242"/>
      <c r="T260" s="13"/>
      <c r="U260" s="242"/>
      <c r="V260" s="242"/>
      <c r="W260" s="242"/>
      <c r="X260" s="242"/>
      <c r="Y260" s="242"/>
      <c r="Z260" s="242"/>
    </row>
    <row r="261">
      <c r="A261" s="242"/>
      <c r="B261" s="13"/>
      <c r="C261" s="13"/>
      <c r="D261" s="242"/>
      <c r="E261" s="242"/>
      <c r="F261" s="242"/>
      <c r="G261" s="242"/>
      <c r="H261" s="242"/>
      <c r="I261" s="242"/>
      <c r="J261" s="242"/>
      <c r="K261" s="242"/>
      <c r="L261" s="242"/>
      <c r="M261" s="242"/>
      <c r="N261" s="242"/>
      <c r="O261" s="242"/>
      <c r="P261" s="242"/>
      <c r="Q261" s="242"/>
      <c r="R261" s="242"/>
      <c r="S261" s="242"/>
      <c r="T261" s="13"/>
      <c r="U261" s="242"/>
      <c r="V261" s="242"/>
      <c r="W261" s="242"/>
      <c r="X261" s="242"/>
      <c r="Y261" s="242"/>
      <c r="Z261" s="242"/>
    </row>
    <row r="262">
      <c r="A262" s="242"/>
      <c r="B262" s="13"/>
      <c r="C262" s="13"/>
      <c r="D262" s="242"/>
      <c r="E262" s="242"/>
      <c r="F262" s="242"/>
      <c r="G262" s="242"/>
      <c r="H262" s="242"/>
      <c r="I262" s="242"/>
      <c r="J262" s="242"/>
      <c r="K262" s="242"/>
      <c r="L262" s="242"/>
      <c r="M262" s="242"/>
      <c r="N262" s="242"/>
      <c r="O262" s="242"/>
      <c r="P262" s="242"/>
      <c r="Q262" s="242"/>
      <c r="R262" s="242"/>
      <c r="S262" s="242"/>
      <c r="T262" s="13"/>
      <c r="U262" s="242"/>
      <c r="V262" s="242"/>
      <c r="W262" s="242"/>
      <c r="X262" s="242"/>
      <c r="Y262" s="242"/>
      <c r="Z262" s="242"/>
    </row>
    <row r="263">
      <c r="A263" s="242"/>
      <c r="B263" s="13"/>
      <c r="C263" s="13"/>
      <c r="D263" s="242"/>
      <c r="E263" s="242"/>
      <c r="F263" s="242"/>
      <c r="G263" s="242"/>
      <c r="H263" s="242"/>
      <c r="I263" s="242"/>
      <c r="J263" s="242"/>
      <c r="K263" s="242"/>
      <c r="L263" s="242"/>
      <c r="M263" s="242"/>
      <c r="N263" s="242"/>
      <c r="O263" s="242"/>
      <c r="P263" s="242"/>
      <c r="Q263" s="242"/>
      <c r="R263" s="242"/>
      <c r="S263" s="242"/>
      <c r="T263" s="13"/>
      <c r="U263" s="242"/>
      <c r="V263" s="242"/>
      <c r="W263" s="242"/>
      <c r="X263" s="242"/>
      <c r="Y263" s="242"/>
      <c r="Z263" s="242"/>
    </row>
    <row r="264">
      <c r="A264" s="242"/>
      <c r="B264" s="13"/>
      <c r="C264" s="13"/>
      <c r="D264" s="242"/>
      <c r="E264" s="242"/>
      <c r="F264" s="242"/>
      <c r="G264" s="242"/>
      <c r="H264" s="242"/>
      <c r="I264" s="242"/>
      <c r="J264" s="242"/>
      <c r="K264" s="242"/>
      <c r="L264" s="242"/>
      <c r="M264" s="242"/>
      <c r="N264" s="242"/>
      <c r="O264" s="242"/>
      <c r="P264" s="242"/>
      <c r="Q264" s="242"/>
      <c r="R264" s="242"/>
      <c r="S264" s="242"/>
      <c r="T264" s="13"/>
      <c r="U264" s="242"/>
      <c r="V264" s="242"/>
      <c r="W264" s="242"/>
      <c r="X264" s="242"/>
      <c r="Y264" s="242"/>
      <c r="Z264" s="242"/>
    </row>
    <row r="265">
      <c r="A265" s="242"/>
      <c r="B265" s="13"/>
      <c r="C265" s="13"/>
      <c r="D265" s="242"/>
      <c r="E265" s="242"/>
      <c r="F265" s="242"/>
      <c r="G265" s="242"/>
      <c r="H265" s="242"/>
      <c r="I265" s="242"/>
      <c r="J265" s="242"/>
      <c r="K265" s="242"/>
      <c r="L265" s="242"/>
      <c r="M265" s="242"/>
      <c r="N265" s="242"/>
      <c r="O265" s="242"/>
      <c r="P265" s="242"/>
      <c r="Q265" s="242"/>
      <c r="R265" s="242"/>
      <c r="S265" s="242"/>
      <c r="T265" s="13"/>
      <c r="U265" s="242"/>
      <c r="V265" s="242"/>
      <c r="W265" s="242"/>
      <c r="X265" s="242"/>
      <c r="Y265" s="242"/>
      <c r="Z265" s="242"/>
    </row>
    <row r="266">
      <c r="A266" s="242"/>
      <c r="B266" s="13"/>
      <c r="C266" s="13"/>
      <c r="D266" s="242"/>
      <c r="E266" s="242"/>
      <c r="F266" s="242"/>
      <c r="G266" s="242"/>
      <c r="H266" s="242"/>
      <c r="I266" s="242"/>
      <c r="J266" s="242"/>
      <c r="K266" s="242"/>
      <c r="L266" s="242"/>
      <c r="M266" s="242"/>
      <c r="N266" s="242"/>
      <c r="O266" s="242"/>
      <c r="P266" s="242"/>
      <c r="Q266" s="242"/>
      <c r="R266" s="242"/>
      <c r="S266" s="242"/>
      <c r="T266" s="13"/>
      <c r="U266" s="242"/>
      <c r="V266" s="242"/>
      <c r="W266" s="242"/>
      <c r="X266" s="242"/>
      <c r="Y266" s="242"/>
      <c r="Z266" s="242"/>
    </row>
    <row r="267">
      <c r="A267" s="242"/>
      <c r="B267" s="13"/>
      <c r="C267" s="13"/>
      <c r="D267" s="242"/>
      <c r="E267" s="242"/>
      <c r="F267" s="242"/>
      <c r="G267" s="242"/>
      <c r="H267" s="242"/>
      <c r="I267" s="242"/>
      <c r="J267" s="242"/>
      <c r="K267" s="242"/>
      <c r="L267" s="242"/>
      <c r="M267" s="242"/>
      <c r="N267" s="242"/>
      <c r="O267" s="242"/>
      <c r="P267" s="242"/>
      <c r="Q267" s="242"/>
      <c r="R267" s="242"/>
      <c r="S267" s="242"/>
      <c r="T267" s="13"/>
      <c r="U267" s="242"/>
      <c r="V267" s="242"/>
      <c r="W267" s="242"/>
      <c r="X267" s="242"/>
      <c r="Y267" s="242"/>
      <c r="Z267" s="242"/>
    </row>
    <row r="268">
      <c r="A268" s="242"/>
      <c r="B268" s="13"/>
      <c r="C268" s="13"/>
      <c r="D268" s="242"/>
      <c r="E268" s="242"/>
      <c r="F268" s="242"/>
      <c r="G268" s="242"/>
      <c r="H268" s="242"/>
      <c r="I268" s="242"/>
      <c r="J268" s="242"/>
      <c r="K268" s="242"/>
      <c r="L268" s="242"/>
      <c r="M268" s="242"/>
      <c r="N268" s="242"/>
      <c r="O268" s="242"/>
      <c r="P268" s="242"/>
      <c r="Q268" s="242"/>
      <c r="R268" s="242"/>
      <c r="S268" s="242"/>
      <c r="T268" s="13"/>
      <c r="U268" s="242"/>
      <c r="V268" s="242"/>
      <c r="W268" s="242"/>
      <c r="X268" s="242"/>
      <c r="Y268" s="242"/>
      <c r="Z268" s="242"/>
    </row>
    <row r="269">
      <c r="A269" s="242"/>
      <c r="B269" s="13"/>
      <c r="C269" s="13"/>
      <c r="D269" s="242"/>
      <c r="E269" s="242"/>
      <c r="F269" s="242"/>
      <c r="G269" s="242"/>
      <c r="H269" s="242"/>
      <c r="I269" s="242"/>
      <c r="J269" s="242"/>
      <c r="K269" s="242"/>
      <c r="L269" s="242"/>
      <c r="M269" s="242"/>
      <c r="N269" s="242"/>
      <c r="O269" s="242"/>
      <c r="P269" s="242"/>
      <c r="Q269" s="242"/>
      <c r="R269" s="242"/>
      <c r="S269" s="242"/>
      <c r="T269" s="13"/>
      <c r="U269" s="242"/>
      <c r="V269" s="242"/>
      <c r="W269" s="242"/>
      <c r="X269" s="242"/>
      <c r="Y269" s="242"/>
      <c r="Z269" s="242"/>
    </row>
    <row r="270">
      <c r="A270" s="242"/>
      <c r="B270" s="13"/>
      <c r="C270" s="13"/>
      <c r="D270" s="242"/>
      <c r="E270" s="242"/>
      <c r="F270" s="242"/>
      <c r="G270" s="242"/>
      <c r="H270" s="242"/>
      <c r="I270" s="242"/>
      <c r="J270" s="242"/>
      <c r="K270" s="242"/>
      <c r="L270" s="242"/>
      <c r="M270" s="242"/>
      <c r="N270" s="242"/>
      <c r="O270" s="242"/>
      <c r="P270" s="242"/>
      <c r="Q270" s="242"/>
      <c r="R270" s="242"/>
      <c r="S270" s="242"/>
      <c r="T270" s="13"/>
      <c r="U270" s="242"/>
      <c r="V270" s="242"/>
      <c r="W270" s="242"/>
      <c r="X270" s="242"/>
      <c r="Y270" s="242"/>
      <c r="Z270" s="242"/>
    </row>
    <row r="271">
      <c r="A271" s="242"/>
      <c r="B271" s="13"/>
      <c r="C271" s="13"/>
      <c r="D271" s="242"/>
      <c r="E271" s="242"/>
      <c r="F271" s="242"/>
      <c r="G271" s="242"/>
      <c r="H271" s="242"/>
      <c r="I271" s="242"/>
      <c r="J271" s="242"/>
      <c r="K271" s="242"/>
      <c r="L271" s="242"/>
      <c r="M271" s="242"/>
      <c r="N271" s="242"/>
      <c r="O271" s="242"/>
      <c r="P271" s="242"/>
      <c r="Q271" s="242"/>
      <c r="R271" s="242"/>
      <c r="S271" s="242"/>
      <c r="T271" s="13"/>
      <c r="U271" s="242"/>
      <c r="V271" s="242"/>
      <c r="W271" s="242"/>
      <c r="X271" s="242"/>
      <c r="Y271" s="242"/>
      <c r="Z271" s="242"/>
    </row>
    <row r="272">
      <c r="A272" s="242"/>
      <c r="B272" s="13"/>
      <c r="C272" s="13"/>
      <c r="D272" s="242"/>
      <c r="E272" s="242"/>
      <c r="F272" s="242"/>
      <c r="G272" s="242"/>
      <c r="H272" s="242"/>
      <c r="I272" s="242"/>
      <c r="J272" s="242"/>
      <c r="K272" s="242"/>
      <c r="L272" s="242"/>
      <c r="M272" s="242"/>
      <c r="N272" s="242"/>
      <c r="O272" s="242"/>
      <c r="P272" s="242"/>
      <c r="Q272" s="242"/>
      <c r="R272" s="242"/>
      <c r="S272" s="242"/>
      <c r="T272" s="13"/>
      <c r="U272" s="242"/>
      <c r="V272" s="242"/>
      <c r="W272" s="242"/>
      <c r="X272" s="242"/>
      <c r="Y272" s="242"/>
      <c r="Z272" s="242"/>
    </row>
    <row r="273">
      <c r="A273" s="242"/>
      <c r="B273" s="13"/>
      <c r="C273" s="13"/>
      <c r="D273" s="242"/>
      <c r="E273" s="242"/>
      <c r="F273" s="242"/>
      <c r="G273" s="242"/>
      <c r="H273" s="242"/>
      <c r="I273" s="242"/>
      <c r="J273" s="242"/>
      <c r="K273" s="242"/>
      <c r="L273" s="242"/>
      <c r="M273" s="242"/>
      <c r="N273" s="242"/>
      <c r="O273" s="242"/>
      <c r="P273" s="242"/>
      <c r="Q273" s="242"/>
      <c r="R273" s="242"/>
      <c r="S273" s="242"/>
      <c r="T273" s="13"/>
      <c r="U273" s="242"/>
      <c r="V273" s="242"/>
      <c r="W273" s="242"/>
      <c r="X273" s="242"/>
      <c r="Y273" s="242"/>
      <c r="Z273" s="242"/>
    </row>
    <row r="274">
      <c r="A274" s="242"/>
      <c r="B274" s="13"/>
      <c r="C274" s="13"/>
      <c r="D274" s="242"/>
      <c r="E274" s="242"/>
      <c r="F274" s="242"/>
      <c r="G274" s="242"/>
      <c r="H274" s="242"/>
      <c r="I274" s="242"/>
      <c r="J274" s="242"/>
      <c r="K274" s="242"/>
      <c r="L274" s="242"/>
      <c r="M274" s="242"/>
      <c r="N274" s="242"/>
      <c r="O274" s="242"/>
      <c r="P274" s="242"/>
      <c r="Q274" s="242"/>
      <c r="R274" s="242"/>
      <c r="S274" s="242"/>
      <c r="T274" s="13"/>
      <c r="U274" s="242"/>
      <c r="V274" s="242"/>
      <c r="W274" s="242"/>
      <c r="X274" s="242"/>
      <c r="Y274" s="242"/>
      <c r="Z274" s="242"/>
    </row>
    <row r="275">
      <c r="A275" s="242"/>
      <c r="B275" s="13"/>
      <c r="C275" s="13"/>
      <c r="D275" s="242"/>
      <c r="E275" s="242"/>
      <c r="F275" s="242"/>
      <c r="G275" s="242"/>
      <c r="H275" s="242"/>
      <c r="I275" s="242"/>
      <c r="J275" s="242"/>
      <c r="K275" s="242"/>
      <c r="L275" s="242"/>
      <c r="M275" s="242"/>
      <c r="N275" s="242"/>
      <c r="O275" s="242"/>
      <c r="P275" s="242"/>
      <c r="Q275" s="242"/>
      <c r="R275" s="242"/>
      <c r="S275" s="242"/>
      <c r="T275" s="13"/>
      <c r="U275" s="242"/>
      <c r="V275" s="242"/>
      <c r="W275" s="242"/>
      <c r="X275" s="242"/>
      <c r="Y275" s="242"/>
      <c r="Z275" s="242"/>
    </row>
    <row r="276">
      <c r="A276" s="242"/>
      <c r="B276" s="13"/>
      <c r="C276" s="13"/>
      <c r="D276" s="242"/>
      <c r="E276" s="242"/>
      <c r="F276" s="242"/>
      <c r="G276" s="242"/>
      <c r="H276" s="242"/>
      <c r="I276" s="242"/>
      <c r="J276" s="242"/>
      <c r="K276" s="242"/>
      <c r="L276" s="242"/>
      <c r="M276" s="242"/>
      <c r="N276" s="242"/>
      <c r="O276" s="242"/>
      <c r="P276" s="242"/>
      <c r="Q276" s="242"/>
      <c r="R276" s="242"/>
      <c r="S276" s="242"/>
      <c r="T276" s="13"/>
      <c r="U276" s="242"/>
      <c r="V276" s="242"/>
      <c r="W276" s="242"/>
      <c r="X276" s="242"/>
      <c r="Y276" s="242"/>
      <c r="Z276" s="242"/>
    </row>
    <row r="277">
      <c r="A277" s="242"/>
      <c r="B277" s="13"/>
      <c r="C277" s="13"/>
      <c r="D277" s="242"/>
      <c r="E277" s="242"/>
      <c r="F277" s="242"/>
      <c r="G277" s="242"/>
      <c r="H277" s="242"/>
      <c r="I277" s="242"/>
      <c r="J277" s="242"/>
      <c r="K277" s="242"/>
      <c r="L277" s="242"/>
      <c r="M277" s="242"/>
      <c r="N277" s="242"/>
      <c r="O277" s="242"/>
      <c r="P277" s="242"/>
      <c r="Q277" s="242"/>
      <c r="R277" s="242"/>
      <c r="S277" s="242"/>
      <c r="T277" s="13"/>
      <c r="U277" s="242"/>
      <c r="V277" s="242"/>
      <c r="W277" s="242"/>
      <c r="X277" s="242"/>
      <c r="Y277" s="242"/>
      <c r="Z277" s="242"/>
    </row>
    <row r="278">
      <c r="A278" s="242"/>
      <c r="B278" s="13"/>
      <c r="C278" s="13"/>
      <c r="D278" s="242"/>
      <c r="E278" s="242"/>
      <c r="F278" s="242"/>
      <c r="G278" s="242"/>
      <c r="H278" s="242"/>
      <c r="I278" s="242"/>
      <c r="J278" s="242"/>
      <c r="K278" s="242"/>
      <c r="L278" s="242"/>
      <c r="M278" s="242"/>
      <c r="N278" s="242"/>
      <c r="O278" s="242"/>
      <c r="P278" s="242"/>
      <c r="Q278" s="242"/>
      <c r="R278" s="242"/>
      <c r="S278" s="242"/>
      <c r="T278" s="13"/>
      <c r="U278" s="242"/>
      <c r="V278" s="242"/>
      <c r="W278" s="242"/>
      <c r="X278" s="242"/>
      <c r="Y278" s="242"/>
      <c r="Z278" s="242"/>
    </row>
    <row r="279">
      <c r="A279" s="242"/>
      <c r="B279" s="13"/>
      <c r="C279" s="13"/>
      <c r="D279" s="242"/>
      <c r="E279" s="242"/>
      <c r="F279" s="242"/>
      <c r="G279" s="242"/>
      <c r="H279" s="242"/>
      <c r="I279" s="242"/>
      <c r="J279" s="242"/>
      <c r="K279" s="242"/>
      <c r="L279" s="242"/>
      <c r="M279" s="242"/>
      <c r="N279" s="242"/>
      <c r="O279" s="242"/>
      <c r="P279" s="242"/>
      <c r="Q279" s="242"/>
      <c r="R279" s="242"/>
      <c r="S279" s="242"/>
      <c r="T279" s="13"/>
      <c r="U279" s="242"/>
      <c r="V279" s="242"/>
      <c r="W279" s="242"/>
      <c r="X279" s="242"/>
      <c r="Y279" s="242"/>
      <c r="Z279" s="242"/>
    </row>
    <row r="280">
      <c r="A280" s="242"/>
      <c r="B280" s="13"/>
      <c r="C280" s="13"/>
      <c r="D280" s="242"/>
      <c r="E280" s="242"/>
      <c r="F280" s="242"/>
      <c r="G280" s="242"/>
      <c r="H280" s="242"/>
      <c r="I280" s="242"/>
      <c r="J280" s="242"/>
      <c r="K280" s="242"/>
      <c r="L280" s="242"/>
      <c r="M280" s="242"/>
      <c r="N280" s="242"/>
      <c r="O280" s="242"/>
      <c r="P280" s="242"/>
      <c r="Q280" s="242"/>
      <c r="R280" s="242"/>
      <c r="S280" s="242"/>
      <c r="T280" s="13"/>
      <c r="U280" s="242"/>
      <c r="V280" s="242"/>
      <c r="W280" s="242"/>
      <c r="X280" s="242"/>
      <c r="Y280" s="242"/>
      <c r="Z280" s="242"/>
    </row>
    <row r="281">
      <c r="A281" s="242"/>
      <c r="B281" s="13"/>
      <c r="C281" s="13"/>
      <c r="D281" s="242"/>
      <c r="E281" s="242"/>
      <c r="F281" s="242"/>
      <c r="G281" s="242"/>
      <c r="H281" s="242"/>
      <c r="I281" s="242"/>
      <c r="J281" s="242"/>
      <c r="K281" s="242"/>
      <c r="L281" s="242"/>
      <c r="M281" s="242"/>
      <c r="N281" s="242"/>
      <c r="O281" s="242"/>
      <c r="P281" s="242"/>
      <c r="Q281" s="242"/>
      <c r="R281" s="242"/>
      <c r="S281" s="242"/>
      <c r="T281" s="13"/>
      <c r="U281" s="242"/>
      <c r="V281" s="242"/>
      <c r="W281" s="242"/>
      <c r="X281" s="242"/>
      <c r="Y281" s="242"/>
      <c r="Z281" s="242"/>
    </row>
    <row r="282">
      <c r="A282" s="242"/>
      <c r="B282" s="13"/>
      <c r="C282" s="13"/>
      <c r="D282" s="242"/>
      <c r="E282" s="242"/>
      <c r="F282" s="242"/>
      <c r="G282" s="242"/>
      <c r="H282" s="242"/>
      <c r="I282" s="242"/>
      <c r="J282" s="242"/>
      <c r="K282" s="242"/>
      <c r="L282" s="242"/>
      <c r="M282" s="242"/>
      <c r="N282" s="242"/>
      <c r="O282" s="242"/>
      <c r="P282" s="242"/>
      <c r="Q282" s="242"/>
      <c r="R282" s="242"/>
      <c r="S282" s="242"/>
      <c r="T282" s="13"/>
      <c r="U282" s="242"/>
      <c r="V282" s="242"/>
      <c r="W282" s="242"/>
      <c r="X282" s="242"/>
      <c r="Y282" s="242"/>
      <c r="Z282" s="242"/>
    </row>
    <row r="283">
      <c r="A283" s="242"/>
      <c r="B283" s="13"/>
      <c r="C283" s="13"/>
      <c r="D283" s="242"/>
      <c r="E283" s="242"/>
      <c r="F283" s="242"/>
      <c r="G283" s="242"/>
      <c r="H283" s="242"/>
      <c r="I283" s="242"/>
      <c r="J283" s="242"/>
      <c r="K283" s="242"/>
      <c r="L283" s="242"/>
      <c r="M283" s="242"/>
      <c r="N283" s="242"/>
      <c r="O283" s="242"/>
      <c r="P283" s="242"/>
      <c r="Q283" s="242"/>
      <c r="R283" s="242"/>
      <c r="S283" s="242"/>
      <c r="T283" s="13"/>
      <c r="U283" s="242"/>
      <c r="V283" s="242"/>
      <c r="W283" s="242"/>
      <c r="X283" s="242"/>
      <c r="Y283" s="242"/>
      <c r="Z283" s="242"/>
    </row>
    <row r="284">
      <c r="A284" s="242"/>
      <c r="B284" s="13"/>
      <c r="C284" s="13"/>
      <c r="D284" s="242"/>
      <c r="E284" s="242"/>
      <c r="F284" s="242"/>
      <c r="G284" s="242"/>
      <c r="H284" s="242"/>
      <c r="I284" s="242"/>
      <c r="J284" s="242"/>
      <c r="K284" s="242"/>
      <c r="L284" s="242"/>
      <c r="M284" s="242"/>
      <c r="N284" s="242"/>
      <c r="O284" s="242"/>
      <c r="P284" s="242"/>
      <c r="Q284" s="242"/>
      <c r="R284" s="242"/>
      <c r="S284" s="242"/>
      <c r="T284" s="13"/>
      <c r="U284" s="242"/>
      <c r="V284" s="242"/>
      <c r="W284" s="242"/>
      <c r="X284" s="242"/>
      <c r="Y284" s="242"/>
      <c r="Z284" s="242"/>
    </row>
    <row r="285">
      <c r="A285" s="242"/>
      <c r="B285" s="13"/>
      <c r="C285" s="13"/>
      <c r="D285" s="242"/>
      <c r="E285" s="242"/>
      <c r="F285" s="242"/>
      <c r="G285" s="242"/>
      <c r="H285" s="242"/>
      <c r="I285" s="242"/>
      <c r="J285" s="242"/>
      <c r="K285" s="242"/>
      <c r="L285" s="242"/>
      <c r="M285" s="242"/>
      <c r="N285" s="242"/>
      <c r="O285" s="242"/>
      <c r="P285" s="242"/>
      <c r="Q285" s="242"/>
      <c r="R285" s="242"/>
      <c r="S285" s="242"/>
      <c r="T285" s="13"/>
      <c r="U285" s="242"/>
      <c r="V285" s="242"/>
      <c r="W285" s="242"/>
      <c r="X285" s="242"/>
      <c r="Y285" s="242"/>
      <c r="Z285" s="242"/>
    </row>
    <row r="286">
      <c r="A286" s="242"/>
      <c r="B286" s="13"/>
      <c r="C286" s="13"/>
      <c r="D286" s="242"/>
      <c r="E286" s="242"/>
      <c r="F286" s="242"/>
      <c r="G286" s="242"/>
      <c r="H286" s="242"/>
      <c r="I286" s="242"/>
      <c r="J286" s="242"/>
      <c r="K286" s="242"/>
      <c r="L286" s="242"/>
      <c r="M286" s="242"/>
      <c r="N286" s="242"/>
      <c r="O286" s="242"/>
      <c r="P286" s="242"/>
      <c r="Q286" s="242"/>
      <c r="R286" s="242"/>
      <c r="S286" s="242"/>
      <c r="T286" s="13"/>
      <c r="U286" s="242"/>
      <c r="V286" s="242"/>
      <c r="W286" s="242"/>
      <c r="X286" s="242"/>
      <c r="Y286" s="242"/>
      <c r="Z286" s="242"/>
    </row>
    <row r="287">
      <c r="A287" s="242"/>
      <c r="B287" s="13"/>
      <c r="C287" s="13"/>
      <c r="D287" s="242"/>
      <c r="E287" s="242"/>
      <c r="F287" s="242"/>
      <c r="G287" s="242"/>
      <c r="H287" s="242"/>
      <c r="I287" s="242"/>
      <c r="J287" s="242"/>
      <c r="K287" s="242"/>
      <c r="L287" s="242"/>
      <c r="M287" s="242"/>
      <c r="N287" s="242"/>
      <c r="O287" s="242"/>
      <c r="P287" s="242"/>
      <c r="Q287" s="242"/>
      <c r="R287" s="242"/>
      <c r="S287" s="242"/>
      <c r="T287" s="13"/>
      <c r="U287" s="242"/>
      <c r="V287" s="242"/>
      <c r="W287" s="242"/>
      <c r="X287" s="242"/>
      <c r="Y287" s="242"/>
      <c r="Z287" s="242"/>
    </row>
    <row r="288">
      <c r="A288" s="242"/>
      <c r="B288" s="13"/>
      <c r="C288" s="13"/>
      <c r="D288" s="242"/>
      <c r="E288" s="242"/>
      <c r="F288" s="242"/>
      <c r="G288" s="242"/>
      <c r="H288" s="242"/>
      <c r="I288" s="242"/>
      <c r="J288" s="242"/>
      <c r="K288" s="242"/>
      <c r="L288" s="242"/>
      <c r="M288" s="242"/>
      <c r="N288" s="242"/>
      <c r="O288" s="242"/>
      <c r="P288" s="242"/>
      <c r="Q288" s="242"/>
      <c r="R288" s="242"/>
      <c r="S288" s="242"/>
      <c r="T288" s="13"/>
      <c r="U288" s="242"/>
      <c r="V288" s="242"/>
      <c r="W288" s="242"/>
      <c r="X288" s="242"/>
      <c r="Y288" s="242"/>
      <c r="Z288" s="242"/>
    </row>
    <row r="289">
      <c r="A289" s="242"/>
      <c r="B289" s="13"/>
      <c r="C289" s="13"/>
      <c r="D289" s="242"/>
      <c r="E289" s="242"/>
      <c r="F289" s="242"/>
      <c r="G289" s="242"/>
      <c r="H289" s="242"/>
      <c r="I289" s="242"/>
      <c r="J289" s="242"/>
      <c r="K289" s="242"/>
      <c r="L289" s="242"/>
      <c r="M289" s="242"/>
      <c r="N289" s="242"/>
      <c r="O289" s="242"/>
      <c r="P289" s="242"/>
      <c r="Q289" s="242"/>
      <c r="R289" s="242"/>
      <c r="S289" s="242"/>
      <c r="T289" s="13"/>
      <c r="U289" s="242"/>
      <c r="V289" s="242"/>
      <c r="W289" s="242"/>
      <c r="X289" s="242"/>
      <c r="Y289" s="242"/>
      <c r="Z289" s="242"/>
    </row>
    <row r="290">
      <c r="A290" s="242"/>
      <c r="B290" s="13"/>
      <c r="C290" s="13"/>
      <c r="D290" s="242"/>
      <c r="E290" s="242"/>
      <c r="F290" s="242"/>
      <c r="G290" s="242"/>
      <c r="H290" s="242"/>
      <c r="I290" s="242"/>
      <c r="J290" s="242"/>
      <c r="K290" s="242"/>
      <c r="L290" s="242"/>
      <c r="M290" s="242"/>
      <c r="N290" s="242"/>
      <c r="O290" s="242"/>
      <c r="P290" s="242"/>
      <c r="Q290" s="242"/>
      <c r="R290" s="242"/>
      <c r="S290" s="242"/>
      <c r="T290" s="13"/>
      <c r="U290" s="242"/>
      <c r="V290" s="242"/>
      <c r="W290" s="242"/>
      <c r="X290" s="242"/>
      <c r="Y290" s="242"/>
      <c r="Z290" s="242"/>
    </row>
    <row r="291">
      <c r="A291" s="242"/>
      <c r="B291" s="13"/>
      <c r="C291" s="13"/>
      <c r="D291" s="242"/>
      <c r="E291" s="242"/>
      <c r="F291" s="242"/>
      <c r="G291" s="242"/>
      <c r="H291" s="242"/>
      <c r="I291" s="242"/>
      <c r="J291" s="242"/>
      <c r="K291" s="242"/>
      <c r="L291" s="242"/>
      <c r="M291" s="242"/>
      <c r="N291" s="242"/>
      <c r="O291" s="242"/>
      <c r="P291" s="242"/>
      <c r="Q291" s="242"/>
      <c r="R291" s="242"/>
      <c r="S291" s="242"/>
      <c r="T291" s="13"/>
      <c r="U291" s="242"/>
      <c r="V291" s="242"/>
      <c r="W291" s="242"/>
      <c r="X291" s="242"/>
      <c r="Y291" s="242"/>
      <c r="Z291" s="242"/>
    </row>
    <row r="292">
      <c r="A292" s="242"/>
      <c r="B292" s="13"/>
      <c r="C292" s="13"/>
      <c r="D292" s="242"/>
      <c r="E292" s="242"/>
      <c r="F292" s="242"/>
      <c r="G292" s="242"/>
      <c r="H292" s="242"/>
      <c r="I292" s="242"/>
      <c r="J292" s="242"/>
      <c r="K292" s="242"/>
      <c r="L292" s="242"/>
      <c r="M292" s="242"/>
      <c r="N292" s="242"/>
      <c r="O292" s="242"/>
      <c r="P292" s="242"/>
      <c r="Q292" s="242"/>
      <c r="R292" s="242"/>
      <c r="S292" s="242"/>
      <c r="T292" s="13"/>
      <c r="U292" s="242"/>
      <c r="V292" s="242"/>
      <c r="W292" s="242"/>
      <c r="X292" s="242"/>
      <c r="Y292" s="242"/>
      <c r="Z292" s="242"/>
    </row>
    <row r="293">
      <c r="A293" s="242"/>
      <c r="B293" s="13"/>
      <c r="C293" s="13"/>
      <c r="D293" s="242"/>
      <c r="E293" s="242"/>
      <c r="F293" s="242"/>
      <c r="G293" s="242"/>
      <c r="H293" s="242"/>
      <c r="I293" s="242"/>
      <c r="J293" s="242"/>
      <c r="K293" s="242"/>
      <c r="L293" s="242"/>
      <c r="M293" s="242"/>
      <c r="N293" s="242"/>
      <c r="O293" s="242"/>
      <c r="P293" s="242"/>
      <c r="Q293" s="242"/>
      <c r="R293" s="242"/>
      <c r="S293" s="242"/>
      <c r="T293" s="13"/>
      <c r="U293" s="242"/>
      <c r="V293" s="242"/>
      <c r="W293" s="242"/>
      <c r="X293" s="242"/>
      <c r="Y293" s="242"/>
      <c r="Z293" s="242"/>
    </row>
    <row r="294">
      <c r="A294" s="242"/>
      <c r="B294" s="13"/>
      <c r="C294" s="13"/>
      <c r="D294" s="242"/>
      <c r="E294" s="242"/>
      <c r="F294" s="242"/>
      <c r="G294" s="242"/>
      <c r="H294" s="242"/>
      <c r="I294" s="242"/>
      <c r="J294" s="242"/>
      <c r="K294" s="242"/>
      <c r="L294" s="242"/>
      <c r="M294" s="242"/>
      <c r="N294" s="242"/>
      <c r="O294" s="242"/>
      <c r="P294" s="242"/>
      <c r="Q294" s="242"/>
      <c r="R294" s="242"/>
      <c r="S294" s="242"/>
      <c r="T294" s="13"/>
      <c r="U294" s="242"/>
      <c r="V294" s="242"/>
      <c r="W294" s="242"/>
      <c r="X294" s="242"/>
      <c r="Y294" s="242"/>
      <c r="Z294" s="242"/>
    </row>
    <row r="295">
      <c r="A295" s="242"/>
      <c r="B295" s="13"/>
      <c r="C295" s="13"/>
      <c r="D295" s="242"/>
      <c r="E295" s="242"/>
      <c r="F295" s="242"/>
      <c r="G295" s="242"/>
      <c r="H295" s="242"/>
      <c r="I295" s="242"/>
      <c r="J295" s="242"/>
      <c r="K295" s="242"/>
      <c r="L295" s="242"/>
      <c r="M295" s="242"/>
      <c r="N295" s="242"/>
      <c r="O295" s="242"/>
      <c r="P295" s="242"/>
      <c r="Q295" s="242"/>
      <c r="R295" s="242"/>
      <c r="S295" s="242"/>
      <c r="T295" s="13"/>
      <c r="U295" s="242"/>
      <c r="V295" s="242"/>
      <c r="W295" s="242"/>
      <c r="X295" s="242"/>
      <c r="Y295" s="242"/>
      <c r="Z295" s="242"/>
    </row>
    <row r="296">
      <c r="A296" s="242"/>
      <c r="B296" s="13"/>
      <c r="C296" s="13"/>
      <c r="D296" s="242"/>
      <c r="E296" s="242"/>
      <c r="F296" s="242"/>
      <c r="G296" s="242"/>
      <c r="H296" s="242"/>
      <c r="I296" s="242"/>
      <c r="J296" s="242"/>
      <c r="K296" s="242"/>
      <c r="L296" s="242"/>
      <c r="M296" s="242"/>
      <c r="N296" s="242"/>
      <c r="O296" s="242"/>
      <c r="P296" s="242"/>
      <c r="Q296" s="242"/>
      <c r="R296" s="242"/>
      <c r="S296" s="242"/>
      <c r="T296" s="13"/>
      <c r="U296" s="242"/>
      <c r="V296" s="242"/>
      <c r="W296" s="242"/>
      <c r="X296" s="242"/>
      <c r="Y296" s="242"/>
      <c r="Z296" s="242"/>
    </row>
    <row r="297">
      <c r="A297" s="242"/>
      <c r="B297" s="13"/>
      <c r="C297" s="13"/>
      <c r="D297" s="242"/>
      <c r="E297" s="242"/>
      <c r="F297" s="242"/>
      <c r="G297" s="242"/>
      <c r="H297" s="242"/>
      <c r="I297" s="242"/>
      <c r="J297" s="242"/>
      <c r="K297" s="242"/>
      <c r="L297" s="242"/>
      <c r="M297" s="242"/>
      <c r="N297" s="242"/>
      <c r="O297" s="242"/>
      <c r="P297" s="242"/>
      <c r="Q297" s="242"/>
      <c r="R297" s="242"/>
      <c r="S297" s="242"/>
      <c r="T297" s="13"/>
      <c r="U297" s="242"/>
      <c r="V297" s="242"/>
      <c r="W297" s="242"/>
      <c r="X297" s="242"/>
      <c r="Y297" s="242"/>
      <c r="Z297" s="242"/>
    </row>
    <row r="298">
      <c r="A298" s="242"/>
      <c r="B298" s="13"/>
      <c r="C298" s="13"/>
      <c r="D298" s="242"/>
      <c r="E298" s="242"/>
      <c r="F298" s="242"/>
      <c r="G298" s="242"/>
      <c r="H298" s="242"/>
      <c r="I298" s="242"/>
      <c r="J298" s="242"/>
      <c r="K298" s="242"/>
      <c r="L298" s="242"/>
      <c r="M298" s="242"/>
      <c r="N298" s="242"/>
      <c r="O298" s="242"/>
      <c r="P298" s="242"/>
      <c r="Q298" s="242"/>
      <c r="R298" s="242"/>
      <c r="S298" s="242"/>
      <c r="T298" s="13"/>
      <c r="U298" s="242"/>
      <c r="V298" s="242"/>
      <c r="W298" s="242"/>
      <c r="X298" s="242"/>
      <c r="Y298" s="242"/>
      <c r="Z298" s="242"/>
    </row>
    <row r="299">
      <c r="A299" s="242"/>
      <c r="B299" s="13"/>
      <c r="C299" s="13"/>
      <c r="D299" s="242"/>
      <c r="E299" s="242"/>
      <c r="F299" s="242"/>
      <c r="G299" s="242"/>
      <c r="H299" s="242"/>
      <c r="I299" s="242"/>
      <c r="J299" s="242"/>
      <c r="K299" s="242"/>
      <c r="L299" s="242"/>
      <c r="M299" s="242"/>
      <c r="N299" s="242"/>
      <c r="O299" s="242"/>
      <c r="P299" s="242"/>
      <c r="Q299" s="242"/>
      <c r="R299" s="242"/>
      <c r="S299" s="242"/>
      <c r="T299" s="13"/>
      <c r="U299" s="242"/>
      <c r="V299" s="242"/>
      <c r="W299" s="242"/>
      <c r="X299" s="242"/>
      <c r="Y299" s="242"/>
      <c r="Z299" s="242"/>
    </row>
    <row r="300">
      <c r="A300" s="242"/>
      <c r="B300" s="13"/>
      <c r="C300" s="13"/>
      <c r="D300" s="242"/>
      <c r="E300" s="242"/>
      <c r="F300" s="242"/>
      <c r="G300" s="242"/>
      <c r="H300" s="242"/>
      <c r="I300" s="242"/>
      <c r="J300" s="242"/>
      <c r="K300" s="242"/>
      <c r="L300" s="242"/>
      <c r="M300" s="242"/>
      <c r="N300" s="242"/>
      <c r="O300" s="242"/>
      <c r="P300" s="242"/>
      <c r="Q300" s="242"/>
      <c r="R300" s="242"/>
      <c r="S300" s="242"/>
      <c r="T300" s="13"/>
      <c r="U300" s="242"/>
      <c r="V300" s="242"/>
      <c r="W300" s="242"/>
      <c r="X300" s="242"/>
      <c r="Y300" s="242"/>
      <c r="Z300" s="242"/>
    </row>
    <row r="301">
      <c r="A301" s="242"/>
      <c r="B301" s="13"/>
      <c r="C301" s="13"/>
      <c r="D301" s="242"/>
      <c r="E301" s="242"/>
      <c r="F301" s="242"/>
      <c r="G301" s="242"/>
      <c r="H301" s="242"/>
      <c r="I301" s="242"/>
      <c r="J301" s="242"/>
      <c r="K301" s="242"/>
      <c r="L301" s="242"/>
      <c r="M301" s="242"/>
      <c r="N301" s="242"/>
      <c r="O301" s="242"/>
      <c r="P301" s="242"/>
      <c r="Q301" s="242"/>
      <c r="R301" s="242"/>
      <c r="S301" s="242"/>
      <c r="T301" s="13"/>
      <c r="U301" s="242"/>
      <c r="V301" s="242"/>
      <c r="W301" s="242"/>
      <c r="X301" s="242"/>
      <c r="Y301" s="242"/>
      <c r="Z301" s="242"/>
    </row>
    <row r="302">
      <c r="A302" s="242"/>
      <c r="B302" s="13"/>
      <c r="C302" s="13"/>
      <c r="D302" s="242"/>
      <c r="E302" s="242"/>
      <c r="F302" s="242"/>
      <c r="G302" s="242"/>
      <c r="H302" s="242"/>
      <c r="I302" s="242"/>
      <c r="J302" s="242"/>
      <c r="K302" s="242"/>
      <c r="L302" s="242"/>
      <c r="M302" s="242"/>
      <c r="N302" s="242"/>
      <c r="O302" s="242"/>
      <c r="P302" s="242"/>
      <c r="Q302" s="242"/>
      <c r="R302" s="242"/>
      <c r="S302" s="242"/>
      <c r="T302" s="13"/>
      <c r="U302" s="242"/>
      <c r="V302" s="242"/>
      <c r="W302" s="242"/>
      <c r="X302" s="242"/>
      <c r="Y302" s="242"/>
      <c r="Z302" s="242"/>
    </row>
    <row r="303">
      <c r="A303" s="242"/>
      <c r="B303" s="13"/>
      <c r="C303" s="13"/>
      <c r="D303" s="242"/>
      <c r="E303" s="242"/>
      <c r="F303" s="242"/>
      <c r="G303" s="242"/>
      <c r="H303" s="242"/>
      <c r="I303" s="242"/>
      <c r="J303" s="242"/>
      <c r="K303" s="242"/>
      <c r="L303" s="242"/>
      <c r="M303" s="242"/>
      <c r="N303" s="242"/>
      <c r="O303" s="242"/>
      <c r="P303" s="242"/>
      <c r="Q303" s="242"/>
      <c r="R303" s="242"/>
      <c r="S303" s="242"/>
      <c r="T303" s="13"/>
      <c r="U303" s="242"/>
      <c r="V303" s="242"/>
      <c r="W303" s="242"/>
      <c r="X303" s="242"/>
      <c r="Y303" s="242"/>
      <c r="Z303" s="242"/>
    </row>
    <row r="304">
      <c r="A304" s="242"/>
      <c r="B304" s="13"/>
      <c r="C304" s="13"/>
      <c r="D304" s="242"/>
      <c r="E304" s="242"/>
      <c r="F304" s="242"/>
      <c r="G304" s="242"/>
      <c r="H304" s="242"/>
      <c r="I304" s="242"/>
      <c r="J304" s="242"/>
      <c r="K304" s="242"/>
      <c r="L304" s="242"/>
      <c r="M304" s="242"/>
      <c r="N304" s="242"/>
      <c r="O304" s="242"/>
      <c r="P304" s="242"/>
      <c r="Q304" s="242"/>
      <c r="R304" s="242"/>
      <c r="S304" s="242"/>
      <c r="T304" s="13"/>
      <c r="U304" s="242"/>
      <c r="V304" s="242"/>
      <c r="W304" s="242"/>
      <c r="X304" s="242"/>
      <c r="Y304" s="242"/>
      <c r="Z304" s="242"/>
    </row>
    <row r="305">
      <c r="A305" s="242"/>
      <c r="B305" s="13"/>
      <c r="C305" s="13"/>
      <c r="D305" s="242"/>
      <c r="E305" s="242"/>
      <c r="F305" s="242"/>
      <c r="G305" s="242"/>
      <c r="H305" s="242"/>
      <c r="I305" s="242"/>
      <c r="J305" s="242"/>
      <c r="K305" s="242"/>
      <c r="L305" s="242"/>
      <c r="M305" s="242"/>
      <c r="N305" s="242"/>
      <c r="O305" s="242"/>
      <c r="P305" s="242"/>
      <c r="Q305" s="242"/>
      <c r="R305" s="242"/>
      <c r="S305" s="242"/>
      <c r="T305" s="13"/>
      <c r="U305" s="242"/>
      <c r="V305" s="242"/>
      <c r="W305" s="242"/>
      <c r="X305" s="242"/>
      <c r="Y305" s="242"/>
      <c r="Z305" s="242"/>
    </row>
    <row r="306">
      <c r="A306" s="242"/>
      <c r="B306" s="13"/>
      <c r="C306" s="13"/>
      <c r="D306" s="242"/>
      <c r="E306" s="242"/>
      <c r="F306" s="242"/>
      <c r="G306" s="242"/>
      <c r="H306" s="242"/>
      <c r="I306" s="242"/>
      <c r="J306" s="242"/>
      <c r="K306" s="242"/>
      <c r="L306" s="242"/>
      <c r="M306" s="242"/>
      <c r="N306" s="242"/>
      <c r="O306" s="242"/>
      <c r="P306" s="242"/>
      <c r="Q306" s="242"/>
      <c r="R306" s="242"/>
      <c r="S306" s="242"/>
      <c r="T306" s="13"/>
      <c r="U306" s="242"/>
      <c r="V306" s="242"/>
      <c r="W306" s="242"/>
      <c r="X306" s="242"/>
      <c r="Y306" s="242"/>
      <c r="Z306" s="242"/>
    </row>
    <row r="307">
      <c r="A307" s="242"/>
      <c r="B307" s="13"/>
      <c r="C307" s="13"/>
      <c r="D307" s="242"/>
      <c r="E307" s="242"/>
      <c r="F307" s="242"/>
      <c r="G307" s="242"/>
      <c r="H307" s="242"/>
      <c r="I307" s="242"/>
      <c r="J307" s="242"/>
      <c r="K307" s="242"/>
      <c r="L307" s="242"/>
      <c r="M307" s="242"/>
      <c r="N307" s="242"/>
      <c r="O307" s="242"/>
      <c r="P307" s="242"/>
      <c r="Q307" s="242"/>
      <c r="R307" s="242"/>
      <c r="S307" s="242"/>
      <c r="T307" s="13"/>
      <c r="U307" s="242"/>
      <c r="V307" s="242"/>
      <c r="W307" s="242"/>
      <c r="X307" s="242"/>
      <c r="Y307" s="242"/>
      <c r="Z307" s="242"/>
    </row>
    <row r="308">
      <c r="A308" s="242"/>
      <c r="B308" s="13"/>
      <c r="C308" s="13"/>
      <c r="D308" s="242"/>
      <c r="E308" s="242"/>
      <c r="F308" s="242"/>
      <c r="G308" s="242"/>
      <c r="H308" s="242"/>
      <c r="I308" s="242"/>
      <c r="J308" s="242"/>
      <c r="K308" s="242"/>
      <c r="L308" s="242"/>
      <c r="M308" s="242"/>
      <c r="N308" s="242"/>
      <c r="O308" s="242"/>
      <c r="P308" s="242"/>
      <c r="Q308" s="242"/>
      <c r="R308" s="242"/>
      <c r="S308" s="242"/>
      <c r="T308" s="13"/>
      <c r="U308" s="242"/>
      <c r="V308" s="242"/>
      <c r="W308" s="242"/>
      <c r="X308" s="242"/>
      <c r="Y308" s="242"/>
      <c r="Z308" s="242"/>
    </row>
    <row r="309">
      <c r="A309" s="242"/>
      <c r="B309" s="13"/>
      <c r="C309" s="13"/>
      <c r="D309" s="242"/>
      <c r="E309" s="242"/>
      <c r="F309" s="242"/>
      <c r="G309" s="242"/>
      <c r="H309" s="242"/>
      <c r="I309" s="242"/>
      <c r="J309" s="242"/>
      <c r="K309" s="242"/>
      <c r="L309" s="242"/>
      <c r="M309" s="242"/>
      <c r="N309" s="242"/>
      <c r="O309" s="242"/>
      <c r="P309" s="242"/>
      <c r="Q309" s="242"/>
      <c r="R309" s="242"/>
      <c r="S309" s="242"/>
      <c r="T309" s="13"/>
      <c r="U309" s="242"/>
      <c r="V309" s="242"/>
      <c r="W309" s="242"/>
      <c r="X309" s="242"/>
      <c r="Y309" s="242"/>
      <c r="Z309" s="242"/>
    </row>
    <row r="310">
      <c r="A310" s="242"/>
      <c r="B310" s="13"/>
      <c r="C310" s="13"/>
      <c r="D310" s="242"/>
      <c r="E310" s="242"/>
      <c r="F310" s="242"/>
      <c r="G310" s="242"/>
      <c r="H310" s="242"/>
      <c r="I310" s="242"/>
      <c r="J310" s="242"/>
      <c r="K310" s="242"/>
      <c r="L310" s="242"/>
      <c r="M310" s="242"/>
      <c r="N310" s="242"/>
      <c r="O310" s="242"/>
      <c r="P310" s="242"/>
      <c r="Q310" s="242"/>
      <c r="R310" s="242"/>
      <c r="S310" s="242"/>
      <c r="T310" s="13"/>
      <c r="U310" s="242"/>
      <c r="V310" s="242"/>
      <c r="W310" s="242"/>
      <c r="X310" s="242"/>
      <c r="Y310" s="242"/>
      <c r="Z310" s="242"/>
    </row>
    <row r="311">
      <c r="A311" s="242"/>
      <c r="B311" s="13"/>
      <c r="C311" s="13"/>
      <c r="D311" s="242"/>
      <c r="E311" s="242"/>
      <c r="F311" s="242"/>
      <c r="G311" s="242"/>
      <c r="H311" s="242"/>
      <c r="I311" s="242"/>
      <c r="J311" s="242"/>
      <c r="K311" s="242"/>
      <c r="L311" s="242"/>
      <c r="M311" s="242"/>
      <c r="N311" s="242"/>
      <c r="O311" s="242"/>
      <c r="P311" s="242"/>
      <c r="Q311" s="242"/>
      <c r="R311" s="242"/>
      <c r="S311" s="242"/>
      <c r="T311" s="13"/>
      <c r="U311" s="242"/>
      <c r="V311" s="242"/>
      <c r="W311" s="242"/>
      <c r="X311" s="242"/>
      <c r="Y311" s="242"/>
      <c r="Z311" s="242"/>
    </row>
    <row r="312">
      <c r="A312" s="242"/>
      <c r="B312" s="13"/>
      <c r="C312" s="13"/>
      <c r="D312" s="242"/>
      <c r="E312" s="242"/>
      <c r="F312" s="242"/>
      <c r="G312" s="242"/>
      <c r="H312" s="242"/>
      <c r="I312" s="242"/>
      <c r="J312" s="242"/>
      <c r="K312" s="242"/>
      <c r="L312" s="242"/>
      <c r="M312" s="242"/>
      <c r="N312" s="242"/>
      <c r="O312" s="242"/>
      <c r="P312" s="242"/>
      <c r="Q312" s="242"/>
      <c r="R312" s="242"/>
      <c r="S312" s="242"/>
      <c r="T312" s="13"/>
      <c r="U312" s="242"/>
      <c r="V312" s="242"/>
      <c r="W312" s="242"/>
      <c r="X312" s="242"/>
      <c r="Y312" s="242"/>
      <c r="Z312" s="242"/>
    </row>
    <row r="313">
      <c r="A313" s="242"/>
      <c r="B313" s="13"/>
      <c r="C313" s="13"/>
      <c r="D313" s="242"/>
      <c r="E313" s="242"/>
      <c r="F313" s="242"/>
      <c r="G313" s="242"/>
      <c r="H313" s="242"/>
      <c r="I313" s="242"/>
      <c r="J313" s="242"/>
      <c r="K313" s="242"/>
      <c r="L313" s="242"/>
      <c r="M313" s="242"/>
      <c r="N313" s="242"/>
      <c r="O313" s="242"/>
      <c r="P313" s="242"/>
      <c r="Q313" s="242"/>
      <c r="R313" s="242"/>
      <c r="S313" s="242"/>
      <c r="T313" s="13"/>
      <c r="U313" s="242"/>
      <c r="V313" s="242"/>
      <c r="W313" s="242"/>
      <c r="X313" s="242"/>
      <c r="Y313" s="242"/>
      <c r="Z313" s="242"/>
    </row>
    <row r="314">
      <c r="A314" s="242"/>
      <c r="B314" s="13"/>
      <c r="C314" s="13"/>
      <c r="D314" s="242"/>
      <c r="E314" s="242"/>
      <c r="F314" s="242"/>
      <c r="G314" s="242"/>
      <c r="H314" s="242"/>
      <c r="I314" s="242"/>
      <c r="J314" s="242"/>
      <c r="K314" s="242"/>
      <c r="L314" s="242"/>
      <c r="M314" s="242"/>
      <c r="N314" s="242"/>
      <c r="O314" s="242"/>
      <c r="P314" s="242"/>
      <c r="Q314" s="242"/>
      <c r="R314" s="242"/>
      <c r="S314" s="242"/>
      <c r="T314" s="13"/>
      <c r="U314" s="242"/>
      <c r="V314" s="242"/>
      <c r="W314" s="242"/>
      <c r="X314" s="242"/>
      <c r="Y314" s="242"/>
      <c r="Z314" s="242"/>
    </row>
    <row r="315">
      <c r="A315" s="242"/>
      <c r="B315" s="13"/>
      <c r="C315" s="13"/>
      <c r="D315" s="242"/>
      <c r="E315" s="242"/>
      <c r="F315" s="242"/>
      <c r="G315" s="242"/>
      <c r="H315" s="242"/>
      <c r="I315" s="242"/>
      <c r="J315" s="242"/>
      <c r="K315" s="242"/>
      <c r="L315" s="242"/>
      <c r="M315" s="242"/>
      <c r="N315" s="242"/>
      <c r="O315" s="242"/>
      <c r="P315" s="242"/>
      <c r="Q315" s="242"/>
      <c r="R315" s="242"/>
      <c r="S315" s="242"/>
      <c r="T315" s="13"/>
      <c r="U315" s="242"/>
      <c r="V315" s="242"/>
      <c r="W315" s="242"/>
      <c r="X315" s="242"/>
      <c r="Y315" s="242"/>
      <c r="Z315" s="242"/>
    </row>
    <row r="316">
      <c r="A316" s="242"/>
      <c r="B316" s="13"/>
      <c r="C316" s="13"/>
      <c r="D316" s="242"/>
      <c r="E316" s="242"/>
      <c r="F316" s="242"/>
      <c r="G316" s="242"/>
      <c r="H316" s="242"/>
      <c r="I316" s="242"/>
      <c r="J316" s="242"/>
      <c r="K316" s="242"/>
      <c r="L316" s="242"/>
      <c r="M316" s="242"/>
      <c r="N316" s="242"/>
      <c r="O316" s="242"/>
      <c r="P316" s="242"/>
      <c r="Q316" s="242"/>
      <c r="R316" s="242"/>
      <c r="S316" s="242"/>
      <c r="T316" s="13"/>
      <c r="U316" s="242"/>
      <c r="V316" s="242"/>
      <c r="W316" s="242"/>
      <c r="X316" s="242"/>
      <c r="Y316" s="242"/>
      <c r="Z316" s="242"/>
    </row>
    <row r="317">
      <c r="A317" s="242"/>
      <c r="B317" s="13"/>
      <c r="C317" s="13"/>
      <c r="D317" s="242"/>
      <c r="E317" s="242"/>
      <c r="F317" s="242"/>
      <c r="G317" s="242"/>
      <c r="H317" s="242"/>
      <c r="I317" s="242"/>
      <c r="J317" s="242"/>
      <c r="K317" s="242"/>
      <c r="L317" s="242"/>
      <c r="M317" s="242"/>
      <c r="N317" s="242"/>
      <c r="O317" s="242"/>
      <c r="P317" s="242"/>
      <c r="Q317" s="242"/>
      <c r="R317" s="242"/>
      <c r="S317" s="242"/>
      <c r="T317" s="13"/>
      <c r="U317" s="242"/>
      <c r="V317" s="242"/>
      <c r="W317" s="242"/>
      <c r="X317" s="242"/>
      <c r="Y317" s="242"/>
      <c r="Z317" s="242"/>
    </row>
    <row r="318">
      <c r="A318" s="242"/>
      <c r="B318" s="13"/>
      <c r="C318" s="13"/>
      <c r="D318" s="242"/>
      <c r="E318" s="242"/>
      <c r="F318" s="242"/>
      <c r="G318" s="242"/>
      <c r="H318" s="242"/>
      <c r="I318" s="242"/>
      <c r="J318" s="242"/>
      <c r="K318" s="242"/>
      <c r="L318" s="242"/>
      <c r="M318" s="242"/>
      <c r="N318" s="242"/>
      <c r="O318" s="242"/>
      <c r="P318" s="242"/>
      <c r="Q318" s="242"/>
      <c r="R318" s="242"/>
      <c r="S318" s="242"/>
      <c r="T318" s="13"/>
      <c r="U318" s="242"/>
      <c r="V318" s="242"/>
      <c r="W318" s="242"/>
      <c r="X318" s="242"/>
      <c r="Y318" s="242"/>
      <c r="Z318" s="242"/>
    </row>
    <row r="319">
      <c r="A319" s="242"/>
      <c r="B319" s="13"/>
      <c r="C319" s="13"/>
      <c r="D319" s="242"/>
      <c r="E319" s="242"/>
      <c r="F319" s="242"/>
      <c r="G319" s="242"/>
      <c r="H319" s="242"/>
      <c r="I319" s="242"/>
      <c r="J319" s="242"/>
      <c r="K319" s="242"/>
      <c r="L319" s="242"/>
      <c r="M319" s="242"/>
      <c r="N319" s="242"/>
      <c r="O319" s="242"/>
      <c r="P319" s="242"/>
      <c r="Q319" s="242"/>
      <c r="R319" s="242"/>
      <c r="S319" s="242"/>
      <c r="T319" s="13"/>
      <c r="U319" s="242"/>
      <c r="V319" s="242"/>
      <c r="W319" s="242"/>
      <c r="X319" s="242"/>
      <c r="Y319" s="242"/>
      <c r="Z319" s="242"/>
    </row>
    <row r="320">
      <c r="A320" s="242"/>
      <c r="B320" s="13"/>
      <c r="C320" s="13"/>
      <c r="D320" s="242"/>
      <c r="E320" s="242"/>
      <c r="F320" s="242"/>
      <c r="G320" s="242"/>
      <c r="H320" s="242"/>
      <c r="I320" s="242"/>
      <c r="J320" s="242"/>
      <c r="K320" s="242"/>
      <c r="L320" s="242"/>
      <c r="M320" s="242"/>
      <c r="N320" s="242"/>
      <c r="O320" s="242"/>
      <c r="P320" s="242"/>
      <c r="Q320" s="242"/>
      <c r="R320" s="242"/>
      <c r="S320" s="242"/>
      <c r="T320" s="13"/>
      <c r="U320" s="242"/>
      <c r="V320" s="242"/>
      <c r="W320" s="242"/>
      <c r="X320" s="242"/>
      <c r="Y320" s="242"/>
      <c r="Z320" s="242"/>
    </row>
    <row r="321">
      <c r="A321" s="242"/>
      <c r="B321" s="13"/>
      <c r="C321" s="13"/>
      <c r="D321" s="242"/>
      <c r="E321" s="242"/>
      <c r="F321" s="242"/>
      <c r="G321" s="242"/>
      <c r="H321" s="242"/>
      <c r="I321" s="242"/>
      <c r="J321" s="242"/>
      <c r="K321" s="242"/>
      <c r="L321" s="242"/>
      <c r="M321" s="242"/>
      <c r="N321" s="242"/>
      <c r="O321" s="242"/>
      <c r="P321" s="242"/>
      <c r="Q321" s="242"/>
      <c r="R321" s="242"/>
      <c r="S321" s="242"/>
      <c r="T321" s="13"/>
      <c r="U321" s="242"/>
      <c r="V321" s="242"/>
      <c r="W321" s="242"/>
      <c r="X321" s="242"/>
      <c r="Y321" s="242"/>
      <c r="Z321" s="242"/>
    </row>
    <row r="322">
      <c r="A322" s="242"/>
      <c r="B322" s="13"/>
      <c r="C322" s="13"/>
      <c r="D322" s="242"/>
      <c r="E322" s="242"/>
      <c r="F322" s="242"/>
      <c r="G322" s="242"/>
      <c r="H322" s="242"/>
      <c r="I322" s="242"/>
      <c r="J322" s="242"/>
      <c r="K322" s="242"/>
      <c r="L322" s="242"/>
      <c r="M322" s="242"/>
      <c r="N322" s="242"/>
      <c r="O322" s="242"/>
      <c r="P322" s="242"/>
      <c r="Q322" s="242"/>
      <c r="R322" s="242"/>
      <c r="S322" s="242"/>
      <c r="T322" s="13"/>
      <c r="U322" s="242"/>
      <c r="V322" s="242"/>
      <c r="W322" s="242"/>
      <c r="X322" s="242"/>
      <c r="Y322" s="242"/>
      <c r="Z322" s="242"/>
    </row>
    <row r="323">
      <c r="A323" s="242"/>
      <c r="B323" s="13"/>
      <c r="C323" s="13"/>
      <c r="D323" s="242"/>
      <c r="E323" s="242"/>
      <c r="F323" s="242"/>
      <c r="G323" s="242"/>
      <c r="H323" s="242"/>
      <c r="I323" s="242"/>
      <c r="J323" s="242"/>
      <c r="K323" s="242"/>
      <c r="L323" s="242"/>
      <c r="M323" s="242"/>
      <c r="N323" s="242"/>
      <c r="O323" s="242"/>
      <c r="P323" s="242"/>
      <c r="Q323" s="242"/>
      <c r="R323" s="242"/>
      <c r="S323" s="242"/>
      <c r="T323" s="13"/>
      <c r="U323" s="242"/>
      <c r="V323" s="242"/>
      <c r="W323" s="242"/>
      <c r="X323" s="242"/>
      <c r="Y323" s="242"/>
      <c r="Z323" s="242"/>
    </row>
    <row r="324">
      <c r="A324" s="242"/>
      <c r="B324" s="13"/>
      <c r="C324" s="13"/>
      <c r="D324" s="242"/>
      <c r="E324" s="242"/>
      <c r="F324" s="242"/>
      <c r="G324" s="242"/>
      <c r="H324" s="242"/>
      <c r="I324" s="242"/>
      <c r="J324" s="242"/>
      <c r="K324" s="242"/>
      <c r="L324" s="242"/>
      <c r="M324" s="242"/>
      <c r="N324" s="242"/>
      <c r="O324" s="242"/>
      <c r="P324" s="242"/>
      <c r="Q324" s="242"/>
      <c r="R324" s="242"/>
      <c r="S324" s="242"/>
      <c r="T324" s="13"/>
      <c r="U324" s="242"/>
      <c r="V324" s="242"/>
      <c r="W324" s="242"/>
      <c r="X324" s="242"/>
      <c r="Y324" s="242"/>
      <c r="Z324" s="242"/>
    </row>
    <row r="325">
      <c r="A325" s="242"/>
      <c r="B325" s="13"/>
      <c r="C325" s="13"/>
      <c r="D325" s="242"/>
      <c r="E325" s="242"/>
      <c r="F325" s="242"/>
      <c r="G325" s="242"/>
      <c r="H325" s="242"/>
      <c r="I325" s="242"/>
      <c r="J325" s="242"/>
      <c r="K325" s="242"/>
      <c r="L325" s="242"/>
      <c r="M325" s="242"/>
      <c r="N325" s="242"/>
      <c r="O325" s="242"/>
      <c r="P325" s="242"/>
      <c r="Q325" s="242"/>
      <c r="R325" s="242"/>
      <c r="S325" s="242"/>
      <c r="T325" s="13"/>
      <c r="U325" s="242"/>
      <c r="V325" s="242"/>
      <c r="W325" s="242"/>
      <c r="X325" s="242"/>
      <c r="Y325" s="242"/>
      <c r="Z325" s="242"/>
    </row>
    <row r="326">
      <c r="A326" s="242"/>
      <c r="B326" s="13"/>
      <c r="C326" s="13"/>
      <c r="D326" s="242"/>
      <c r="E326" s="242"/>
      <c r="F326" s="242"/>
      <c r="G326" s="242"/>
      <c r="H326" s="242"/>
      <c r="I326" s="242"/>
      <c r="J326" s="242"/>
      <c r="K326" s="242"/>
      <c r="L326" s="242"/>
      <c r="M326" s="242"/>
      <c r="N326" s="242"/>
      <c r="O326" s="242"/>
      <c r="P326" s="242"/>
      <c r="Q326" s="242"/>
      <c r="R326" s="242"/>
      <c r="S326" s="242"/>
      <c r="T326" s="13"/>
      <c r="U326" s="242"/>
      <c r="V326" s="242"/>
      <c r="W326" s="242"/>
      <c r="X326" s="242"/>
      <c r="Y326" s="242"/>
      <c r="Z326" s="242"/>
    </row>
    <row r="327">
      <c r="A327" s="242"/>
      <c r="B327" s="13"/>
      <c r="C327" s="13"/>
      <c r="D327" s="242"/>
      <c r="E327" s="242"/>
      <c r="F327" s="242"/>
      <c r="G327" s="242"/>
      <c r="H327" s="242"/>
      <c r="I327" s="242"/>
      <c r="J327" s="242"/>
      <c r="K327" s="242"/>
      <c r="L327" s="242"/>
      <c r="M327" s="242"/>
      <c r="N327" s="242"/>
      <c r="O327" s="242"/>
      <c r="P327" s="242"/>
      <c r="Q327" s="242"/>
      <c r="R327" s="242"/>
      <c r="S327" s="242"/>
      <c r="T327" s="13"/>
      <c r="U327" s="242"/>
      <c r="V327" s="242"/>
      <c r="W327" s="242"/>
      <c r="X327" s="242"/>
      <c r="Y327" s="242"/>
      <c r="Z327" s="242"/>
    </row>
    <row r="328">
      <c r="A328" s="242"/>
      <c r="B328" s="13"/>
      <c r="C328" s="13"/>
      <c r="D328" s="242"/>
      <c r="E328" s="242"/>
      <c r="F328" s="242"/>
      <c r="G328" s="242"/>
      <c r="H328" s="242"/>
      <c r="I328" s="242"/>
      <c r="J328" s="242"/>
      <c r="K328" s="242"/>
      <c r="L328" s="242"/>
      <c r="M328" s="242"/>
      <c r="N328" s="242"/>
      <c r="O328" s="242"/>
      <c r="P328" s="242"/>
      <c r="Q328" s="242"/>
      <c r="R328" s="242"/>
      <c r="S328" s="242"/>
      <c r="T328" s="13"/>
      <c r="U328" s="242"/>
      <c r="V328" s="242"/>
      <c r="W328" s="242"/>
      <c r="X328" s="242"/>
      <c r="Y328" s="242"/>
      <c r="Z328" s="242"/>
    </row>
    <row r="329">
      <c r="A329" s="242"/>
      <c r="B329" s="13"/>
      <c r="C329" s="13"/>
      <c r="D329" s="242"/>
      <c r="E329" s="242"/>
      <c r="F329" s="242"/>
      <c r="G329" s="242"/>
      <c r="H329" s="242"/>
      <c r="I329" s="242"/>
      <c r="J329" s="242"/>
      <c r="K329" s="242"/>
      <c r="L329" s="242"/>
      <c r="M329" s="242"/>
      <c r="N329" s="242"/>
      <c r="O329" s="242"/>
      <c r="P329" s="242"/>
      <c r="Q329" s="242"/>
      <c r="R329" s="242"/>
      <c r="S329" s="242"/>
      <c r="T329" s="13"/>
      <c r="U329" s="242"/>
      <c r="V329" s="242"/>
      <c r="W329" s="242"/>
      <c r="X329" s="242"/>
      <c r="Y329" s="242"/>
      <c r="Z329" s="242"/>
    </row>
    <row r="330">
      <c r="A330" s="242"/>
      <c r="B330" s="13"/>
      <c r="C330" s="13"/>
      <c r="D330" s="242"/>
      <c r="E330" s="242"/>
      <c r="F330" s="242"/>
      <c r="G330" s="242"/>
      <c r="H330" s="242"/>
      <c r="I330" s="242"/>
      <c r="J330" s="242"/>
      <c r="K330" s="242"/>
      <c r="L330" s="242"/>
      <c r="M330" s="242"/>
      <c r="N330" s="242"/>
      <c r="O330" s="242"/>
      <c r="P330" s="242"/>
      <c r="Q330" s="242"/>
      <c r="R330" s="242"/>
      <c r="S330" s="242"/>
      <c r="T330" s="13"/>
      <c r="U330" s="242"/>
      <c r="V330" s="242"/>
      <c r="W330" s="242"/>
      <c r="X330" s="242"/>
      <c r="Y330" s="242"/>
      <c r="Z330" s="242"/>
    </row>
    <row r="331">
      <c r="A331" s="242"/>
      <c r="B331" s="13"/>
      <c r="C331" s="13"/>
      <c r="D331" s="242"/>
      <c r="E331" s="242"/>
      <c r="F331" s="242"/>
      <c r="G331" s="242"/>
      <c r="H331" s="242"/>
      <c r="I331" s="242"/>
      <c r="J331" s="242"/>
      <c r="K331" s="242"/>
      <c r="L331" s="242"/>
      <c r="M331" s="242"/>
      <c r="N331" s="242"/>
      <c r="O331" s="242"/>
      <c r="P331" s="242"/>
      <c r="Q331" s="242"/>
      <c r="R331" s="242"/>
      <c r="S331" s="242"/>
      <c r="T331" s="13"/>
      <c r="U331" s="242"/>
      <c r="V331" s="242"/>
      <c r="W331" s="242"/>
      <c r="X331" s="242"/>
      <c r="Y331" s="242"/>
      <c r="Z331" s="242"/>
    </row>
    <row r="332">
      <c r="A332" s="242"/>
      <c r="B332" s="13"/>
      <c r="C332" s="13"/>
      <c r="D332" s="242"/>
      <c r="E332" s="242"/>
      <c r="F332" s="242"/>
      <c r="G332" s="242"/>
      <c r="H332" s="242"/>
      <c r="I332" s="242"/>
      <c r="J332" s="242"/>
      <c r="K332" s="242"/>
      <c r="L332" s="242"/>
      <c r="M332" s="242"/>
      <c r="N332" s="242"/>
      <c r="O332" s="242"/>
      <c r="P332" s="242"/>
      <c r="Q332" s="242"/>
      <c r="R332" s="242"/>
      <c r="S332" s="242"/>
      <c r="T332" s="13"/>
      <c r="U332" s="242"/>
      <c r="V332" s="242"/>
      <c r="W332" s="242"/>
      <c r="X332" s="242"/>
      <c r="Y332" s="242"/>
      <c r="Z332" s="242"/>
    </row>
    <row r="333">
      <c r="A333" s="242"/>
      <c r="B333" s="13"/>
      <c r="C333" s="13"/>
      <c r="D333" s="242"/>
      <c r="E333" s="242"/>
      <c r="F333" s="242"/>
      <c r="G333" s="242"/>
      <c r="H333" s="242"/>
      <c r="I333" s="242"/>
      <c r="J333" s="242"/>
      <c r="K333" s="242"/>
      <c r="L333" s="242"/>
      <c r="M333" s="242"/>
      <c r="N333" s="242"/>
      <c r="O333" s="242"/>
      <c r="P333" s="242"/>
      <c r="Q333" s="242"/>
      <c r="R333" s="242"/>
      <c r="S333" s="242"/>
      <c r="T333" s="13"/>
      <c r="U333" s="242"/>
      <c r="V333" s="242"/>
      <c r="W333" s="242"/>
      <c r="X333" s="242"/>
      <c r="Y333" s="242"/>
      <c r="Z333" s="242"/>
    </row>
    <row r="334">
      <c r="A334" s="242"/>
      <c r="B334" s="13"/>
      <c r="C334" s="13"/>
      <c r="D334" s="242"/>
      <c r="E334" s="242"/>
      <c r="F334" s="242"/>
      <c r="G334" s="242"/>
      <c r="H334" s="242"/>
      <c r="I334" s="242"/>
      <c r="J334" s="242"/>
      <c r="K334" s="242"/>
      <c r="L334" s="242"/>
      <c r="M334" s="242"/>
      <c r="N334" s="242"/>
      <c r="O334" s="242"/>
      <c r="P334" s="242"/>
      <c r="Q334" s="242"/>
      <c r="R334" s="242"/>
      <c r="S334" s="242"/>
      <c r="T334" s="13"/>
      <c r="U334" s="242"/>
      <c r="V334" s="242"/>
      <c r="W334" s="242"/>
      <c r="X334" s="242"/>
      <c r="Y334" s="242"/>
      <c r="Z334" s="242"/>
    </row>
    <row r="335">
      <c r="A335" s="242"/>
      <c r="B335" s="13"/>
      <c r="C335" s="13"/>
      <c r="D335" s="242"/>
      <c r="E335" s="242"/>
      <c r="F335" s="242"/>
      <c r="G335" s="242"/>
      <c r="H335" s="242"/>
      <c r="I335" s="242"/>
      <c r="J335" s="242"/>
      <c r="K335" s="242"/>
      <c r="L335" s="242"/>
      <c r="M335" s="242"/>
      <c r="N335" s="242"/>
      <c r="O335" s="242"/>
      <c r="P335" s="242"/>
      <c r="Q335" s="242"/>
      <c r="R335" s="242"/>
      <c r="S335" s="242"/>
      <c r="T335" s="13"/>
      <c r="U335" s="242"/>
      <c r="V335" s="242"/>
      <c r="W335" s="242"/>
      <c r="X335" s="242"/>
      <c r="Y335" s="242"/>
      <c r="Z335" s="242"/>
    </row>
    <row r="336">
      <c r="A336" s="242"/>
      <c r="B336" s="13"/>
      <c r="C336" s="13"/>
      <c r="D336" s="242"/>
      <c r="E336" s="242"/>
      <c r="F336" s="242"/>
      <c r="G336" s="242"/>
      <c r="H336" s="242"/>
      <c r="I336" s="242"/>
      <c r="J336" s="242"/>
      <c r="K336" s="242"/>
      <c r="L336" s="242"/>
      <c r="M336" s="242"/>
      <c r="N336" s="242"/>
      <c r="O336" s="242"/>
      <c r="P336" s="242"/>
      <c r="Q336" s="242"/>
      <c r="R336" s="242"/>
      <c r="S336" s="242"/>
      <c r="T336" s="13"/>
      <c r="U336" s="242"/>
      <c r="V336" s="242"/>
      <c r="W336" s="242"/>
      <c r="X336" s="242"/>
      <c r="Y336" s="242"/>
      <c r="Z336" s="242"/>
    </row>
    <row r="337">
      <c r="A337" s="242"/>
      <c r="B337" s="13"/>
      <c r="C337" s="13"/>
      <c r="D337" s="242"/>
      <c r="E337" s="242"/>
      <c r="F337" s="242"/>
      <c r="G337" s="242"/>
      <c r="H337" s="242"/>
      <c r="I337" s="242"/>
      <c r="J337" s="242"/>
      <c r="K337" s="242"/>
      <c r="L337" s="242"/>
      <c r="M337" s="242"/>
      <c r="N337" s="242"/>
      <c r="O337" s="242"/>
      <c r="P337" s="242"/>
      <c r="Q337" s="242"/>
      <c r="R337" s="242"/>
      <c r="S337" s="242"/>
      <c r="T337" s="13"/>
      <c r="U337" s="242"/>
      <c r="V337" s="242"/>
      <c r="W337" s="242"/>
      <c r="X337" s="242"/>
      <c r="Y337" s="242"/>
      <c r="Z337" s="242"/>
    </row>
    <row r="338">
      <c r="A338" s="242"/>
      <c r="B338" s="13"/>
      <c r="C338" s="13"/>
      <c r="D338" s="242"/>
      <c r="E338" s="242"/>
      <c r="F338" s="242"/>
      <c r="G338" s="242"/>
      <c r="H338" s="242"/>
      <c r="I338" s="242"/>
      <c r="J338" s="242"/>
      <c r="K338" s="242"/>
      <c r="L338" s="242"/>
      <c r="M338" s="242"/>
      <c r="N338" s="242"/>
      <c r="O338" s="242"/>
      <c r="P338" s="242"/>
      <c r="Q338" s="242"/>
      <c r="R338" s="242"/>
      <c r="S338" s="242"/>
      <c r="T338" s="13"/>
      <c r="U338" s="242"/>
      <c r="V338" s="242"/>
      <c r="W338" s="242"/>
      <c r="X338" s="242"/>
      <c r="Y338" s="242"/>
      <c r="Z338" s="242"/>
    </row>
    <row r="339">
      <c r="A339" s="242"/>
      <c r="B339" s="13"/>
      <c r="C339" s="13"/>
      <c r="D339" s="242"/>
      <c r="E339" s="242"/>
      <c r="F339" s="242"/>
      <c r="G339" s="242"/>
      <c r="H339" s="242"/>
      <c r="I339" s="242"/>
      <c r="J339" s="242"/>
      <c r="K339" s="242"/>
      <c r="L339" s="242"/>
      <c r="M339" s="242"/>
      <c r="N339" s="242"/>
      <c r="O339" s="242"/>
      <c r="P339" s="242"/>
      <c r="Q339" s="242"/>
      <c r="R339" s="242"/>
      <c r="S339" s="242"/>
      <c r="T339" s="13"/>
      <c r="U339" s="242"/>
      <c r="V339" s="242"/>
      <c r="W339" s="242"/>
      <c r="X339" s="242"/>
      <c r="Y339" s="242"/>
      <c r="Z339" s="242"/>
    </row>
    <row r="340">
      <c r="A340" s="242"/>
      <c r="B340" s="13"/>
      <c r="C340" s="13"/>
      <c r="D340" s="242"/>
      <c r="E340" s="242"/>
      <c r="F340" s="242"/>
      <c r="G340" s="242"/>
      <c r="H340" s="242"/>
      <c r="I340" s="242"/>
      <c r="J340" s="242"/>
      <c r="K340" s="242"/>
      <c r="L340" s="242"/>
      <c r="M340" s="242"/>
      <c r="N340" s="242"/>
      <c r="O340" s="242"/>
      <c r="P340" s="242"/>
      <c r="Q340" s="242"/>
      <c r="R340" s="242"/>
      <c r="S340" s="242"/>
      <c r="T340" s="13"/>
      <c r="U340" s="242"/>
      <c r="V340" s="242"/>
      <c r="W340" s="242"/>
      <c r="X340" s="242"/>
      <c r="Y340" s="242"/>
      <c r="Z340" s="242"/>
    </row>
    <row r="341">
      <c r="A341" s="242"/>
      <c r="B341" s="13"/>
      <c r="C341" s="13"/>
      <c r="D341" s="242"/>
      <c r="E341" s="242"/>
      <c r="F341" s="242"/>
      <c r="G341" s="242"/>
      <c r="H341" s="242"/>
      <c r="I341" s="242"/>
      <c r="J341" s="242"/>
      <c r="K341" s="242"/>
      <c r="L341" s="242"/>
      <c r="M341" s="242"/>
      <c r="N341" s="242"/>
      <c r="O341" s="242"/>
      <c r="P341" s="242"/>
      <c r="Q341" s="242"/>
      <c r="R341" s="242"/>
      <c r="S341" s="242"/>
      <c r="T341" s="13"/>
      <c r="U341" s="242"/>
      <c r="V341" s="242"/>
      <c r="W341" s="242"/>
      <c r="X341" s="242"/>
      <c r="Y341" s="242"/>
      <c r="Z341" s="242"/>
    </row>
    <row r="342">
      <c r="A342" s="242"/>
      <c r="B342" s="13"/>
      <c r="C342" s="13"/>
      <c r="D342" s="242"/>
      <c r="E342" s="242"/>
      <c r="F342" s="242"/>
      <c r="G342" s="242"/>
      <c r="H342" s="242"/>
      <c r="I342" s="242"/>
      <c r="J342" s="242"/>
      <c r="K342" s="242"/>
      <c r="L342" s="242"/>
      <c r="M342" s="242"/>
      <c r="N342" s="242"/>
      <c r="O342" s="242"/>
      <c r="P342" s="242"/>
      <c r="Q342" s="242"/>
      <c r="R342" s="242"/>
      <c r="S342" s="242"/>
      <c r="T342" s="13"/>
      <c r="U342" s="242"/>
      <c r="V342" s="242"/>
      <c r="W342" s="242"/>
      <c r="X342" s="242"/>
      <c r="Y342" s="242"/>
      <c r="Z342" s="242"/>
    </row>
    <row r="343">
      <c r="A343" s="242"/>
      <c r="B343" s="13"/>
      <c r="C343" s="13"/>
      <c r="D343" s="242"/>
      <c r="E343" s="242"/>
      <c r="F343" s="242"/>
      <c r="G343" s="242"/>
      <c r="H343" s="242"/>
      <c r="I343" s="242"/>
      <c r="J343" s="242"/>
      <c r="K343" s="242"/>
      <c r="L343" s="242"/>
      <c r="M343" s="242"/>
      <c r="N343" s="242"/>
      <c r="O343" s="242"/>
      <c r="P343" s="242"/>
      <c r="Q343" s="242"/>
      <c r="R343" s="242"/>
      <c r="S343" s="242"/>
      <c r="T343" s="13"/>
      <c r="U343" s="242"/>
      <c r="V343" s="242"/>
      <c r="W343" s="242"/>
      <c r="X343" s="242"/>
      <c r="Y343" s="242"/>
      <c r="Z343" s="242"/>
    </row>
    <row r="344">
      <c r="A344" s="242"/>
      <c r="B344" s="13"/>
      <c r="C344" s="13"/>
      <c r="D344" s="242"/>
      <c r="E344" s="242"/>
      <c r="F344" s="242"/>
      <c r="G344" s="242"/>
      <c r="H344" s="242"/>
      <c r="I344" s="242"/>
      <c r="J344" s="242"/>
      <c r="K344" s="242"/>
      <c r="L344" s="242"/>
      <c r="M344" s="242"/>
      <c r="N344" s="242"/>
      <c r="O344" s="242"/>
      <c r="P344" s="242"/>
      <c r="Q344" s="242"/>
      <c r="R344" s="242"/>
      <c r="S344" s="242"/>
      <c r="T344" s="13"/>
      <c r="U344" s="242"/>
      <c r="V344" s="242"/>
      <c r="W344" s="242"/>
      <c r="X344" s="242"/>
      <c r="Y344" s="242"/>
      <c r="Z344" s="242"/>
    </row>
    <row r="345">
      <c r="A345" s="242"/>
      <c r="B345" s="13"/>
      <c r="C345" s="13"/>
      <c r="D345" s="242"/>
      <c r="E345" s="242"/>
      <c r="F345" s="242"/>
      <c r="G345" s="242"/>
      <c r="H345" s="242"/>
      <c r="I345" s="242"/>
      <c r="J345" s="242"/>
      <c r="K345" s="242"/>
      <c r="L345" s="242"/>
      <c r="M345" s="242"/>
      <c r="N345" s="242"/>
      <c r="O345" s="242"/>
      <c r="P345" s="242"/>
      <c r="Q345" s="242"/>
      <c r="R345" s="242"/>
      <c r="S345" s="242"/>
      <c r="T345" s="13"/>
      <c r="U345" s="242"/>
      <c r="V345" s="242"/>
      <c r="W345" s="242"/>
      <c r="X345" s="242"/>
      <c r="Y345" s="242"/>
      <c r="Z345" s="242"/>
    </row>
    <row r="346">
      <c r="A346" s="242"/>
      <c r="B346" s="13"/>
      <c r="C346" s="13"/>
      <c r="D346" s="242"/>
      <c r="E346" s="242"/>
      <c r="F346" s="242"/>
      <c r="G346" s="242"/>
      <c r="H346" s="242"/>
      <c r="I346" s="242"/>
      <c r="J346" s="242"/>
      <c r="K346" s="242"/>
      <c r="L346" s="242"/>
      <c r="M346" s="242"/>
      <c r="N346" s="242"/>
      <c r="O346" s="242"/>
      <c r="P346" s="242"/>
      <c r="Q346" s="242"/>
      <c r="R346" s="242"/>
      <c r="S346" s="242"/>
      <c r="T346" s="13"/>
      <c r="U346" s="242"/>
      <c r="V346" s="242"/>
      <c r="W346" s="242"/>
      <c r="X346" s="242"/>
      <c r="Y346" s="242"/>
      <c r="Z346" s="242"/>
    </row>
    <row r="347">
      <c r="A347" s="242"/>
      <c r="B347" s="13"/>
      <c r="C347" s="13"/>
      <c r="D347" s="242"/>
      <c r="E347" s="242"/>
      <c r="F347" s="242"/>
      <c r="G347" s="242"/>
      <c r="H347" s="242"/>
      <c r="I347" s="242"/>
      <c r="J347" s="242"/>
      <c r="K347" s="242"/>
      <c r="L347" s="242"/>
      <c r="M347" s="242"/>
      <c r="N347" s="242"/>
      <c r="O347" s="242"/>
      <c r="P347" s="242"/>
      <c r="Q347" s="242"/>
      <c r="R347" s="242"/>
      <c r="S347" s="242"/>
      <c r="T347" s="13"/>
      <c r="U347" s="242"/>
      <c r="V347" s="242"/>
      <c r="W347" s="242"/>
      <c r="X347" s="242"/>
      <c r="Y347" s="242"/>
      <c r="Z347" s="242"/>
    </row>
    <row r="348">
      <c r="A348" s="242"/>
      <c r="B348" s="13"/>
      <c r="C348" s="13"/>
      <c r="D348" s="242"/>
      <c r="E348" s="242"/>
      <c r="F348" s="242"/>
      <c r="G348" s="242"/>
      <c r="H348" s="242"/>
      <c r="I348" s="242"/>
      <c r="J348" s="242"/>
      <c r="K348" s="242"/>
      <c r="L348" s="242"/>
      <c r="M348" s="242"/>
      <c r="N348" s="242"/>
      <c r="O348" s="242"/>
      <c r="P348" s="242"/>
      <c r="Q348" s="242"/>
      <c r="R348" s="242"/>
      <c r="S348" s="242"/>
      <c r="T348" s="13"/>
      <c r="U348" s="242"/>
      <c r="V348" s="242"/>
      <c r="W348" s="242"/>
      <c r="X348" s="242"/>
      <c r="Y348" s="242"/>
      <c r="Z348" s="242"/>
    </row>
    <row r="349">
      <c r="A349" s="242"/>
      <c r="B349" s="13"/>
      <c r="C349" s="13"/>
      <c r="D349" s="242"/>
      <c r="E349" s="242"/>
      <c r="F349" s="242"/>
      <c r="G349" s="242"/>
      <c r="H349" s="242"/>
      <c r="I349" s="242"/>
      <c r="J349" s="242"/>
      <c r="K349" s="242"/>
      <c r="L349" s="242"/>
      <c r="M349" s="242"/>
      <c r="N349" s="242"/>
      <c r="O349" s="242"/>
      <c r="P349" s="242"/>
      <c r="Q349" s="242"/>
      <c r="R349" s="242"/>
      <c r="S349" s="242"/>
      <c r="T349" s="13"/>
      <c r="U349" s="242"/>
      <c r="V349" s="242"/>
      <c r="W349" s="242"/>
      <c r="X349" s="242"/>
      <c r="Y349" s="242"/>
      <c r="Z349" s="242"/>
    </row>
    <row r="350">
      <c r="A350" s="242"/>
      <c r="B350" s="13"/>
      <c r="C350" s="13"/>
      <c r="D350" s="242"/>
      <c r="E350" s="242"/>
      <c r="F350" s="242"/>
      <c r="G350" s="242"/>
      <c r="H350" s="242"/>
      <c r="I350" s="242"/>
      <c r="J350" s="242"/>
      <c r="K350" s="242"/>
      <c r="L350" s="242"/>
      <c r="M350" s="242"/>
      <c r="N350" s="242"/>
      <c r="O350" s="242"/>
      <c r="P350" s="242"/>
      <c r="Q350" s="242"/>
      <c r="R350" s="242"/>
      <c r="S350" s="242"/>
      <c r="T350" s="13"/>
      <c r="U350" s="242"/>
      <c r="V350" s="242"/>
      <c r="W350" s="242"/>
      <c r="X350" s="242"/>
      <c r="Y350" s="242"/>
      <c r="Z350" s="242"/>
    </row>
    <row r="351">
      <c r="A351" s="242"/>
      <c r="B351" s="13"/>
      <c r="C351" s="13"/>
      <c r="D351" s="242"/>
      <c r="E351" s="242"/>
      <c r="F351" s="242"/>
      <c r="G351" s="242"/>
      <c r="H351" s="242"/>
      <c r="I351" s="242"/>
      <c r="J351" s="242"/>
      <c r="K351" s="242"/>
      <c r="L351" s="242"/>
      <c r="M351" s="242"/>
      <c r="N351" s="242"/>
      <c r="O351" s="242"/>
      <c r="P351" s="242"/>
      <c r="Q351" s="242"/>
      <c r="R351" s="242"/>
      <c r="S351" s="242"/>
      <c r="T351" s="13"/>
      <c r="U351" s="242"/>
      <c r="V351" s="242"/>
      <c r="W351" s="242"/>
      <c r="X351" s="242"/>
      <c r="Y351" s="242"/>
      <c r="Z351" s="242"/>
    </row>
    <row r="352">
      <c r="A352" s="242"/>
      <c r="B352" s="13"/>
      <c r="C352" s="13"/>
      <c r="D352" s="242"/>
      <c r="E352" s="242"/>
      <c r="F352" s="242"/>
      <c r="G352" s="242"/>
      <c r="H352" s="242"/>
      <c r="I352" s="242"/>
      <c r="J352" s="242"/>
      <c r="K352" s="242"/>
      <c r="L352" s="242"/>
      <c r="M352" s="242"/>
      <c r="N352" s="242"/>
      <c r="O352" s="242"/>
      <c r="P352" s="242"/>
      <c r="Q352" s="242"/>
      <c r="R352" s="242"/>
      <c r="S352" s="242"/>
      <c r="T352" s="13"/>
      <c r="U352" s="242"/>
      <c r="V352" s="242"/>
      <c r="W352" s="242"/>
      <c r="X352" s="242"/>
      <c r="Y352" s="242"/>
      <c r="Z352" s="242"/>
    </row>
    <row r="353">
      <c r="A353" s="242"/>
      <c r="B353" s="13"/>
      <c r="C353" s="13"/>
      <c r="D353" s="242"/>
      <c r="E353" s="242"/>
      <c r="F353" s="242"/>
      <c r="G353" s="242"/>
      <c r="H353" s="242"/>
      <c r="I353" s="242"/>
      <c r="J353" s="242"/>
      <c r="K353" s="242"/>
      <c r="L353" s="242"/>
      <c r="M353" s="242"/>
      <c r="N353" s="242"/>
      <c r="O353" s="242"/>
      <c r="P353" s="242"/>
      <c r="Q353" s="242"/>
      <c r="R353" s="242"/>
      <c r="S353" s="242"/>
      <c r="T353" s="13"/>
      <c r="U353" s="242"/>
      <c r="V353" s="242"/>
      <c r="W353" s="242"/>
      <c r="X353" s="242"/>
      <c r="Y353" s="242"/>
      <c r="Z353" s="242"/>
    </row>
    <row r="354">
      <c r="A354" s="242"/>
      <c r="B354" s="13"/>
      <c r="C354" s="13"/>
      <c r="D354" s="242"/>
      <c r="E354" s="242"/>
      <c r="F354" s="242"/>
      <c r="G354" s="242"/>
      <c r="H354" s="242"/>
      <c r="I354" s="242"/>
      <c r="J354" s="242"/>
      <c r="K354" s="242"/>
      <c r="L354" s="242"/>
      <c r="M354" s="242"/>
      <c r="N354" s="242"/>
      <c r="O354" s="242"/>
      <c r="P354" s="242"/>
      <c r="Q354" s="242"/>
      <c r="R354" s="242"/>
      <c r="S354" s="242"/>
      <c r="T354" s="13"/>
      <c r="U354" s="242"/>
      <c r="V354" s="242"/>
      <c r="W354" s="242"/>
      <c r="X354" s="242"/>
      <c r="Y354" s="242"/>
      <c r="Z354" s="242"/>
    </row>
    <row r="355">
      <c r="A355" s="242"/>
      <c r="B355" s="13"/>
      <c r="C355" s="13"/>
      <c r="D355" s="242"/>
      <c r="E355" s="242"/>
      <c r="F355" s="242"/>
      <c r="G355" s="242"/>
      <c r="H355" s="242"/>
      <c r="I355" s="242"/>
      <c r="J355" s="242"/>
      <c r="K355" s="242"/>
      <c r="L355" s="242"/>
      <c r="M355" s="242"/>
      <c r="N355" s="242"/>
      <c r="O355" s="242"/>
      <c r="P355" s="242"/>
      <c r="Q355" s="242"/>
      <c r="R355" s="242"/>
      <c r="S355" s="242"/>
      <c r="T355" s="13"/>
      <c r="U355" s="242"/>
      <c r="V355" s="242"/>
      <c r="W355" s="242"/>
      <c r="X355" s="242"/>
      <c r="Y355" s="242"/>
      <c r="Z355" s="242"/>
    </row>
    <row r="356">
      <c r="A356" s="242"/>
      <c r="B356" s="13"/>
      <c r="C356" s="13"/>
      <c r="D356" s="242"/>
      <c r="E356" s="242"/>
      <c r="F356" s="242"/>
      <c r="G356" s="242"/>
      <c r="H356" s="242"/>
      <c r="I356" s="242"/>
      <c r="J356" s="242"/>
      <c r="K356" s="242"/>
      <c r="L356" s="242"/>
      <c r="M356" s="242"/>
      <c r="N356" s="242"/>
      <c r="O356" s="242"/>
      <c r="P356" s="242"/>
      <c r="Q356" s="242"/>
      <c r="R356" s="242"/>
      <c r="S356" s="242"/>
      <c r="T356" s="13"/>
      <c r="U356" s="242"/>
      <c r="V356" s="242"/>
      <c r="W356" s="242"/>
      <c r="X356" s="242"/>
      <c r="Y356" s="242"/>
      <c r="Z356" s="242"/>
    </row>
    <row r="357">
      <c r="A357" s="242"/>
      <c r="B357" s="13"/>
      <c r="C357" s="13"/>
      <c r="D357" s="242"/>
      <c r="E357" s="242"/>
      <c r="F357" s="242"/>
      <c r="G357" s="242"/>
      <c r="H357" s="242"/>
      <c r="I357" s="242"/>
      <c r="J357" s="242"/>
      <c r="K357" s="242"/>
      <c r="L357" s="242"/>
      <c r="M357" s="242"/>
      <c r="N357" s="242"/>
      <c r="O357" s="242"/>
      <c r="P357" s="242"/>
      <c r="Q357" s="242"/>
      <c r="R357" s="242"/>
      <c r="S357" s="242"/>
      <c r="T357" s="13"/>
      <c r="U357" s="242"/>
      <c r="V357" s="242"/>
      <c r="W357" s="242"/>
      <c r="X357" s="242"/>
      <c r="Y357" s="242"/>
      <c r="Z357" s="242"/>
    </row>
    <row r="358">
      <c r="A358" s="242"/>
      <c r="B358" s="13"/>
      <c r="C358" s="13"/>
      <c r="D358" s="242"/>
      <c r="E358" s="242"/>
      <c r="F358" s="242"/>
      <c r="G358" s="242"/>
      <c r="H358" s="242"/>
      <c r="I358" s="242"/>
      <c r="J358" s="242"/>
      <c r="K358" s="242"/>
      <c r="L358" s="242"/>
      <c r="M358" s="242"/>
      <c r="N358" s="242"/>
      <c r="O358" s="242"/>
      <c r="P358" s="242"/>
      <c r="Q358" s="242"/>
      <c r="R358" s="242"/>
      <c r="S358" s="242"/>
      <c r="T358" s="13"/>
      <c r="U358" s="242"/>
      <c r="V358" s="242"/>
      <c r="W358" s="242"/>
      <c r="X358" s="242"/>
      <c r="Y358" s="242"/>
      <c r="Z358" s="242"/>
    </row>
    <row r="359">
      <c r="A359" s="242"/>
      <c r="B359" s="13"/>
      <c r="C359" s="13"/>
      <c r="D359" s="242"/>
      <c r="E359" s="242"/>
      <c r="F359" s="242"/>
      <c r="G359" s="242"/>
      <c r="H359" s="242"/>
      <c r="I359" s="242"/>
      <c r="J359" s="242"/>
      <c r="K359" s="242"/>
      <c r="L359" s="242"/>
      <c r="M359" s="242"/>
      <c r="N359" s="242"/>
      <c r="O359" s="242"/>
      <c r="P359" s="242"/>
      <c r="Q359" s="242"/>
      <c r="R359" s="242"/>
      <c r="S359" s="242"/>
      <c r="T359" s="13"/>
      <c r="U359" s="242"/>
      <c r="V359" s="242"/>
      <c r="W359" s="242"/>
      <c r="X359" s="242"/>
      <c r="Y359" s="242"/>
      <c r="Z359" s="242"/>
    </row>
    <row r="360">
      <c r="A360" s="242"/>
      <c r="B360" s="13"/>
      <c r="C360" s="13"/>
      <c r="D360" s="242"/>
      <c r="E360" s="242"/>
      <c r="F360" s="242"/>
      <c r="G360" s="242"/>
      <c r="H360" s="242"/>
      <c r="I360" s="242"/>
      <c r="J360" s="242"/>
      <c r="K360" s="242"/>
      <c r="L360" s="242"/>
      <c r="M360" s="242"/>
      <c r="N360" s="242"/>
      <c r="O360" s="242"/>
      <c r="P360" s="242"/>
      <c r="Q360" s="242"/>
      <c r="R360" s="242"/>
      <c r="S360" s="242"/>
      <c r="T360" s="13"/>
      <c r="U360" s="242"/>
      <c r="V360" s="242"/>
      <c r="W360" s="242"/>
      <c r="X360" s="242"/>
      <c r="Y360" s="242"/>
      <c r="Z360" s="242"/>
    </row>
    <row r="361">
      <c r="A361" s="242"/>
      <c r="B361" s="13"/>
      <c r="C361" s="13"/>
      <c r="D361" s="242"/>
      <c r="E361" s="242"/>
      <c r="F361" s="242"/>
      <c r="G361" s="242"/>
      <c r="H361" s="242"/>
      <c r="I361" s="242"/>
      <c r="J361" s="242"/>
      <c r="K361" s="242"/>
      <c r="L361" s="242"/>
      <c r="M361" s="242"/>
      <c r="N361" s="242"/>
      <c r="O361" s="242"/>
      <c r="P361" s="242"/>
      <c r="Q361" s="242"/>
      <c r="R361" s="242"/>
      <c r="S361" s="242"/>
      <c r="T361" s="13"/>
      <c r="U361" s="242"/>
      <c r="V361" s="242"/>
      <c r="W361" s="242"/>
      <c r="X361" s="242"/>
      <c r="Y361" s="242"/>
      <c r="Z361" s="242"/>
    </row>
    <row r="362">
      <c r="A362" s="242"/>
      <c r="B362" s="13"/>
      <c r="C362" s="13"/>
      <c r="D362" s="242"/>
      <c r="E362" s="242"/>
      <c r="F362" s="242"/>
      <c r="G362" s="242"/>
      <c r="H362" s="242"/>
      <c r="I362" s="242"/>
      <c r="J362" s="242"/>
      <c r="K362" s="242"/>
      <c r="L362" s="242"/>
      <c r="M362" s="242"/>
      <c r="N362" s="242"/>
      <c r="O362" s="242"/>
      <c r="P362" s="242"/>
      <c r="Q362" s="242"/>
      <c r="R362" s="242"/>
      <c r="S362" s="242"/>
      <c r="T362" s="13"/>
      <c r="U362" s="242"/>
      <c r="V362" s="242"/>
      <c r="W362" s="242"/>
      <c r="X362" s="242"/>
      <c r="Y362" s="242"/>
      <c r="Z362" s="242"/>
    </row>
    <row r="363">
      <c r="A363" s="242"/>
      <c r="B363" s="13"/>
      <c r="C363" s="13"/>
      <c r="D363" s="242"/>
      <c r="E363" s="242"/>
      <c r="F363" s="242"/>
      <c r="G363" s="242"/>
      <c r="H363" s="242"/>
      <c r="I363" s="242"/>
      <c r="J363" s="242"/>
      <c r="K363" s="242"/>
      <c r="L363" s="242"/>
      <c r="M363" s="242"/>
      <c r="N363" s="242"/>
      <c r="O363" s="242"/>
      <c r="P363" s="242"/>
      <c r="Q363" s="242"/>
      <c r="R363" s="242"/>
      <c r="S363" s="242"/>
      <c r="T363" s="13"/>
      <c r="U363" s="242"/>
      <c r="V363" s="242"/>
      <c r="W363" s="242"/>
      <c r="X363" s="242"/>
      <c r="Y363" s="242"/>
      <c r="Z363" s="242"/>
    </row>
    <row r="364">
      <c r="A364" s="242"/>
      <c r="B364" s="13"/>
      <c r="C364" s="13"/>
      <c r="D364" s="242"/>
      <c r="E364" s="242"/>
      <c r="F364" s="242"/>
      <c r="G364" s="242"/>
      <c r="H364" s="242"/>
      <c r="I364" s="242"/>
      <c r="J364" s="242"/>
      <c r="K364" s="242"/>
      <c r="L364" s="242"/>
      <c r="M364" s="242"/>
      <c r="N364" s="242"/>
      <c r="O364" s="242"/>
      <c r="P364" s="242"/>
      <c r="Q364" s="242"/>
      <c r="R364" s="242"/>
      <c r="S364" s="242"/>
      <c r="T364" s="13"/>
      <c r="U364" s="242"/>
      <c r="V364" s="242"/>
      <c r="W364" s="242"/>
      <c r="X364" s="242"/>
      <c r="Y364" s="242"/>
      <c r="Z364" s="242"/>
    </row>
    <row r="365">
      <c r="A365" s="242"/>
      <c r="B365" s="13"/>
      <c r="C365" s="13"/>
      <c r="D365" s="242"/>
      <c r="E365" s="242"/>
      <c r="F365" s="242"/>
      <c r="G365" s="242"/>
      <c r="H365" s="242"/>
      <c r="I365" s="242"/>
      <c r="J365" s="242"/>
      <c r="K365" s="242"/>
      <c r="L365" s="242"/>
      <c r="M365" s="242"/>
      <c r="N365" s="242"/>
      <c r="O365" s="242"/>
      <c r="P365" s="242"/>
      <c r="Q365" s="242"/>
      <c r="R365" s="242"/>
      <c r="S365" s="242"/>
      <c r="T365" s="13"/>
      <c r="U365" s="242"/>
      <c r="V365" s="242"/>
      <c r="W365" s="242"/>
      <c r="X365" s="242"/>
      <c r="Y365" s="242"/>
      <c r="Z365" s="242"/>
    </row>
    <row r="366">
      <c r="A366" s="242"/>
      <c r="B366" s="13"/>
      <c r="C366" s="13"/>
      <c r="D366" s="242"/>
      <c r="E366" s="242"/>
      <c r="F366" s="242"/>
      <c r="G366" s="242"/>
      <c r="H366" s="242"/>
      <c r="I366" s="242"/>
      <c r="J366" s="242"/>
      <c r="K366" s="242"/>
      <c r="L366" s="242"/>
      <c r="M366" s="242"/>
      <c r="N366" s="242"/>
      <c r="O366" s="242"/>
      <c r="P366" s="242"/>
      <c r="Q366" s="242"/>
      <c r="R366" s="242"/>
      <c r="S366" s="242"/>
      <c r="T366" s="13"/>
      <c r="U366" s="242"/>
      <c r="V366" s="242"/>
      <c r="W366" s="242"/>
      <c r="X366" s="242"/>
      <c r="Y366" s="242"/>
      <c r="Z366" s="242"/>
    </row>
    <row r="367">
      <c r="A367" s="242"/>
      <c r="B367" s="13"/>
      <c r="C367" s="13"/>
      <c r="D367" s="242"/>
      <c r="E367" s="242"/>
      <c r="F367" s="242"/>
      <c r="G367" s="242"/>
      <c r="H367" s="242"/>
      <c r="I367" s="242"/>
      <c r="J367" s="242"/>
      <c r="K367" s="242"/>
      <c r="L367" s="242"/>
      <c r="M367" s="242"/>
      <c r="N367" s="242"/>
      <c r="O367" s="242"/>
      <c r="P367" s="242"/>
      <c r="Q367" s="242"/>
      <c r="R367" s="242"/>
      <c r="S367" s="242"/>
      <c r="T367" s="13"/>
      <c r="U367" s="242"/>
      <c r="V367" s="242"/>
      <c r="W367" s="242"/>
      <c r="X367" s="242"/>
      <c r="Y367" s="242"/>
      <c r="Z367" s="242"/>
    </row>
    <row r="368">
      <c r="A368" s="242"/>
      <c r="B368" s="13"/>
      <c r="C368" s="13"/>
      <c r="D368" s="242"/>
      <c r="E368" s="242"/>
      <c r="F368" s="242"/>
      <c r="G368" s="242"/>
      <c r="H368" s="242"/>
      <c r="I368" s="242"/>
      <c r="J368" s="242"/>
      <c r="K368" s="242"/>
      <c r="L368" s="242"/>
      <c r="M368" s="242"/>
      <c r="N368" s="242"/>
      <c r="O368" s="242"/>
      <c r="P368" s="242"/>
      <c r="Q368" s="242"/>
      <c r="R368" s="242"/>
      <c r="S368" s="242"/>
      <c r="T368" s="13"/>
      <c r="U368" s="242"/>
      <c r="V368" s="242"/>
      <c r="W368" s="242"/>
      <c r="X368" s="242"/>
      <c r="Y368" s="242"/>
      <c r="Z368" s="242"/>
    </row>
    <row r="369">
      <c r="A369" s="242"/>
      <c r="B369" s="13"/>
      <c r="C369" s="13"/>
      <c r="D369" s="242"/>
      <c r="E369" s="242"/>
      <c r="F369" s="242"/>
      <c r="G369" s="242"/>
      <c r="H369" s="242"/>
      <c r="I369" s="242"/>
      <c r="J369" s="242"/>
      <c r="K369" s="242"/>
      <c r="L369" s="242"/>
      <c r="M369" s="242"/>
      <c r="N369" s="242"/>
      <c r="O369" s="242"/>
      <c r="P369" s="242"/>
      <c r="Q369" s="242"/>
      <c r="R369" s="242"/>
      <c r="S369" s="242"/>
      <c r="T369" s="13"/>
      <c r="U369" s="242"/>
      <c r="V369" s="242"/>
      <c r="W369" s="242"/>
      <c r="X369" s="242"/>
      <c r="Y369" s="242"/>
      <c r="Z369" s="242"/>
    </row>
    <row r="370">
      <c r="A370" s="242"/>
      <c r="B370" s="13"/>
      <c r="C370" s="13"/>
      <c r="D370" s="242"/>
      <c r="E370" s="242"/>
      <c r="F370" s="242"/>
      <c r="G370" s="242"/>
      <c r="H370" s="242"/>
      <c r="I370" s="242"/>
      <c r="J370" s="242"/>
      <c r="K370" s="242"/>
      <c r="L370" s="242"/>
      <c r="M370" s="242"/>
      <c r="N370" s="242"/>
      <c r="O370" s="242"/>
      <c r="P370" s="242"/>
      <c r="Q370" s="242"/>
      <c r="R370" s="242"/>
      <c r="S370" s="242"/>
      <c r="T370" s="13"/>
      <c r="U370" s="242"/>
      <c r="V370" s="242"/>
      <c r="W370" s="242"/>
      <c r="X370" s="242"/>
      <c r="Y370" s="242"/>
      <c r="Z370" s="242"/>
    </row>
    <row r="371">
      <c r="A371" s="242"/>
      <c r="B371" s="13"/>
      <c r="C371" s="13"/>
      <c r="D371" s="242"/>
      <c r="E371" s="242"/>
      <c r="F371" s="242"/>
      <c r="G371" s="242"/>
      <c r="H371" s="242"/>
      <c r="I371" s="242"/>
      <c r="J371" s="242"/>
      <c r="K371" s="242"/>
      <c r="L371" s="242"/>
      <c r="M371" s="242"/>
      <c r="N371" s="242"/>
      <c r="O371" s="242"/>
      <c r="P371" s="242"/>
      <c r="Q371" s="242"/>
      <c r="R371" s="242"/>
      <c r="S371" s="242"/>
      <c r="T371" s="13"/>
      <c r="U371" s="242"/>
      <c r="V371" s="242"/>
      <c r="W371" s="242"/>
      <c r="X371" s="242"/>
      <c r="Y371" s="242"/>
      <c r="Z371" s="242"/>
    </row>
    <row r="372">
      <c r="A372" s="242"/>
      <c r="B372" s="13"/>
      <c r="C372" s="13"/>
      <c r="D372" s="242"/>
      <c r="E372" s="242"/>
      <c r="F372" s="242"/>
      <c r="G372" s="242"/>
      <c r="H372" s="242"/>
      <c r="I372" s="242"/>
      <c r="J372" s="242"/>
      <c r="K372" s="242"/>
      <c r="L372" s="242"/>
      <c r="M372" s="242"/>
      <c r="N372" s="242"/>
      <c r="O372" s="242"/>
      <c r="P372" s="242"/>
      <c r="Q372" s="242"/>
      <c r="R372" s="242"/>
      <c r="S372" s="242"/>
      <c r="T372" s="13"/>
      <c r="U372" s="242"/>
      <c r="V372" s="242"/>
      <c r="W372" s="242"/>
      <c r="X372" s="242"/>
      <c r="Y372" s="242"/>
      <c r="Z372" s="242"/>
    </row>
    <row r="373">
      <c r="A373" s="242"/>
      <c r="B373" s="13"/>
      <c r="C373" s="13"/>
      <c r="D373" s="242"/>
      <c r="E373" s="242"/>
      <c r="F373" s="242"/>
      <c r="G373" s="242"/>
      <c r="H373" s="242"/>
      <c r="I373" s="242"/>
      <c r="J373" s="242"/>
      <c r="K373" s="242"/>
      <c r="L373" s="242"/>
      <c r="M373" s="242"/>
      <c r="N373" s="242"/>
      <c r="O373" s="242"/>
      <c r="P373" s="242"/>
      <c r="Q373" s="242"/>
      <c r="R373" s="242"/>
      <c r="S373" s="242"/>
      <c r="T373" s="13"/>
      <c r="U373" s="242"/>
      <c r="V373" s="242"/>
      <c r="W373" s="242"/>
      <c r="X373" s="242"/>
      <c r="Y373" s="242"/>
      <c r="Z373" s="242"/>
    </row>
    <row r="374">
      <c r="A374" s="242"/>
      <c r="B374" s="13"/>
      <c r="C374" s="13"/>
      <c r="D374" s="242"/>
      <c r="E374" s="242"/>
      <c r="F374" s="242"/>
      <c r="G374" s="242"/>
      <c r="H374" s="242"/>
      <c r="I374" s="242"/>
      <c r="J374" s="242"/>
      <c r="K374" s="242"/>
      <c r="L374" s="242"/>
      <c r="M374" s="242"/>
      <c r="N374" s="242"/>
      <c r="O374" s="242"/>
      <c r="P374" s="242"/>
      <c r="Q374" s="242"/>
      <c r="R374" s="242"/>
      <c r="S374" s="242"/>
      <c r="T374" s="13"/>
      <c r="U374" s="242"/>
      <c r="V374" s="242"/>
      <c r="W374" s="242"/>
      <c r="X374" s="242"/>
      <c r="Y374" s="242"/>
      <c r="Z374" s="242"/>
    </row>
    <row r="375">
      <c r="A375" s="242"/>
      <c r="B375" s="13"/>
      <c r="C375" s="13"/>
      <c r="D375" s="242"/>
      <c r="E375" s="242"/>
      <c r="F375" s="242"/>
      <c r="G375" s="242"/>
      <c r="H375" s="242"/>
      <c r="I375" s="242"/>
      <c r="J375" s="242"/>
      <c r="K375" s="242"/>
      <c r="L375" s="242"/>
      <c r="M375" s="242"/>
      <c r="N375" s="242"/>
      <c r="O375" s="242"/>
      <c r="P375" s="242"/>
      <c r="Q375" s="242"/>
      <c r="R375" s="242"/>
      <c r="S375" s="242"/>
      <c r="T375" s="13"/>
      <c r="U375" s="242"/>
      <c r="V375" s="242"/>
      <c r="W375" s="242"/>
      <c r="X375" s="242"/>
      <c r="Y375" s="242"/>
      <c r="Z375" s="242"/>
    </row>
    <row r="376">
      <c r="A376" s="242"/>
      <c r="B376" s="13"/>
      <c r="C376" s="13"/>
      <c r="D376" s="242"/>
      <c r="E376" s="242"/>
      <c r="F376" s="242"/>
      <c r="G376" s="242"/>
      <c r="H376" s="242"/>
      <c r="I376" s="242"/>
      <c r="J376" s="242"/>
      <c r="K376" s="242"/>
      <c r="L376" s="242"/>
      <c r="M376" s="242"/>
      <c r="N376" s="242"/>
      <c r="O376" s="242"/>
      <c r="P376" s="242"/>
      <c r="Q376" s="242"/>
      <c r="R376" s="242"/>
      <c r="S376" s="242"/>
      <c r="T376" s="13"/>
      <c r="U376" s="242"/>
      <c r="V376" s="242"/>
      <c r="W376" s="242"/>
      <c r="X376" s="242"/>
      <c r="Y376" s="242"/>
      <c r="Z376" s="242"/>
    </row>
    <row r="377">
      <c r="A377" s="242"/>
      <c r="B377" s="13"/>
      <c r="C377" s="13"/>
      <c r="D377" s="242"/>
      <c r="E377" s="242"/>
      <c r="F377" s="242"/>
      <c r="G377" s="242"/>
      <c r="H377" s="242"/>
      <c r="I377" s="242"/>
      <c r="J377" s="242"/>
      <c r="K377" s="242"/>
      <c r="L377" s="242"/>
      <c r="M377" s="242"/>
      <c r="N377" s="242"/>
      <c r="O377" s="242"/>
      <c r="P377" s="242"/>
      <c r="Q377" s="242"/>
      <c r="R377" s="242"/>
      <c r="S377" s="242"/>
      <c r="T377" s="13"/>
      <c r="U377" s="242"/>
      <c r="V377" s="242"/>
      <c r="W377" s="242"/>
      <c r="X377" s="242"/>
      <c r="Y377" s="242"/>
      <c r="Z377" s="242"/>
    </row>
    <row r="378">
      <c r="A378" s="242"/>
      <c r="B378" s="13"/>
      <c r="C378" s="13"/>
      <c r="D378" s="242"/>
      <c r="E378" s="242"/>
      <c r="F378" s="242"/>
      <c r="G378" s="242"/>
      <c r="H378" s="242"/>
      <c r="I378" s="242"/>
      <c r="J378" s="242"/>
      <c r="K378" s="242"/>
      <c r="L378" s="242"/>
      <c r="M378" s="242"/>
      <c r="N378" s="242"/>
      <c r="O378" s="242"/>
      <c r="P378" s="242"/>
      <c r="Q378" s="242"/>
      <c r="R378" s="242"/>
      <c r="S378" s="242"/>
      <c r="T378" s="13"/>
      <c r="U378" s="242"/>
      <c r="V378" s="242"/>
      <c r="W378" s="242"/>
      <c r="X378" s="242"/>
      <c r="Y378" s="242"/>
      <c r="Z378" s="242"/>
    </row>
    <row r="379">
      <c r="A379" s="242"/>
      <c r="B379" s="13"/>
      <c r="C379" s="13"/>
      <c r="D379" s="242"/>
      <c r="E379" s="242"/>
      <c r="F379" s="242"/>
      <c r="G379" s="242"/>
      <c r="H379" s="242"/>
      <c r="I379" s="242"/>
      <c r="J379" s="242"/>
      <c r="K379" s="242"/>
      <c r="L379" s="242"/>
      <c r="M379" s="242"/>
      <c r="N379" s="242"/>
      <c r="O379" s="242"/>
      <c r="P379" s="242"/>
      <c r="Q379" s="242"/>
      <c r="R379" s="242"/>
      <c r="S379" s="242"/>
      <c r="T379" s="13"/>
      <c r="U379" s="242"/>
      <c r="V379" s="242"/>
      <c r="W379" s="242"/>
      <c r="X379" s="242"/>
      <c r="Y379" s="242"/>
      <c r="Z379" s="242"/>
    </row>
    <row r="380">
      <c r="A380" s="242"/>
      <c r="B380" s="13"/>
      <c r="C380" s="13"/>
      <c r="D380" s="242"/>
      <c r="E380" s="242"/>
      <c r="F380" s="242"/>
      <c r="G380" s="242"/>
      <c r="H380" s="242"/>
      <c r="I380" s="242"/>
      <c r="J380" s="242"/>
      <c r="K380" s="242"/>
      <c r="L380" s="242"/>
      <c r="M380" s="242"/>
      <c r="N380" s="242"/>
      <c r="O380" s="242"/>
      <c r="P380" s="242"/>
      <c r="Q380" s="242"/>
      <c r="R380" s="242"/>
      <c r="S380" s="242"/>
      <c r="T380" s="13"/>
      <c r="U380" s="242"/>
      <c r="V380" s="242"/>
      <c r="W380" s="242"/>
      <c r="X380" s="242"/>
      <c r="Y380" s="242"/>
      <c r="Z380" s="242"/>
    </row>
    <row r="381">
      <c r="A381" s="242"/>
      <c r="B381" s="13"/>
      <c r="C381" s="13"/>
      <c r="D381" s="242"/>
      <c r="E381" s="242"/>
      <c r="F381" s="242"/>
      <c r="G381" s="242"/>
      <c r="H381" s="242"/>
      <c r="I381" s="242"/>
      <c r="J381" s="242"/>
      <c r="K381" s="242"/>
      <c r="L381" s="242"/>
      <c r="M381" s="242"/>
      <c r="N381" s="242"/>
      <c r="O381" s="242"/>
      <c r="P381" s="242"/>
      <c r="Q381" s="242"/>
      <c r="R381" s="242"/>
      <c r="S381" s="242"/>
      <c r="T381" s="13"/>
      <c r="U381" s="242"/>
      <c r="V381" s="242"/>
      <c r="W381" s="242"/>
      <c r="X381" s="242"/>
      <c r="Y381" s="242"/>
      <c r="Z381" s="242"/>
    </row>
    <row r="382">
      <c r="A382" s="242"/>
      <c r="B382" s="13"/>
      <c r="C382" s="13"/>
      <c r="D382" s="242"/>
      <c r="E382" s="242"/>
      <c r="F382" s="242"/>
      <c r="G382" s="242"/>
      <c r="H382" s="242"/>
      <c r="I382" s="242"/>
      <c r="J382" s="242"/>
      <c r="K382" s="242"/>
      <c r="L382" s="242"/>
      <c r="M382" s="242"/>
      <c r="N382" s="242"/>
      <c r="O382" s="242"/>
      <c r="P382" s="242"/>
      <c r="Q382" s="242"/>
      <c r="R382" s="242"/>
      <c r="S382" s="242"/>
      <c r="T382" s="13"/>
      <c r="U382" s="242"/>
      <c r="V382" s="242"/>
      <c r="W382" s="242"/>
      <c r="X382" s="242"/>
      <c r="Y382" s="242"/>
      <c r="Z382" s="242"/>
    </row>
    <row r="383">
      <c r="A383" s="242"/>
      <c r="B383" s="13"/>
      <c r="C383" s="13"/>
      <c r="D383" s="242"/>
      <c r="E383" s="242"/>
      <c r="F383" s="242"/>
      <c r="G383" s="242"/>
      <c r="H383" s="242"/>
      <c r="I383" s="242"/>
      <c r="J383" s="242"/>
      <c r="K383" s="242"/>
      <c r="L383" s="242"/>
      <c r="M383" s="242"/>
      <c r="N383" s="242"/>
      <c r="O383" s="242"/>
      <c r="P383" s="242"/>
      <c r="Q383" s="242"/>
      <c r="R383" s="242"/>
      <c r="S383" s="242"/>
      <c r="T383" s="13"/>
      <c r="U383" s="242"/>
      <c r="V383" s="242"/>
      <c r="W383" s="242"/>
      <c r="X383" s="242"/>
      <c r="Y383" s="242"/>
      <c r="Z383" s="242"/>
    </row>
    <row r="384">
      <c r="A384" s="242"/>
      <c r="B384" s="13"/>
      <c r="C384" s="13"/>
      <c r="D384" s="242"/>
      <c r="E384" s="242"/>
      <c r="F384" s="242"/>
      <c r="G384" s="242"/>
      <c r="H384" s="242"/>
      <c r="I384" s="242"/>
      <c r="J384" s="242"/>
      <c r="K384" s="242"/>
      <c r="L384" s="242"/>
      <c r="M384" s="242"/>
      <c r="N384" s="242"/>
      <c r="O384" s="242"/>
      <c r="P384" s="242"/>
      <c r="Q384" s="242"/>
      <c r="R384" s="242"/>
      <c r="S384" s="242"/>
      <c r="T384" s="13"/>
      <c r="U384" s="242"/>
      <c r="V384" s="242"/>
      <c r="W384" s="242"/>
      <c r="X384" s="242"/>
      <c r="Y384" s="242"/>
      <c r="Z384" s="242"/>
    </row>
    <row r="385">
      <c r="A385" s="242"/>
      <c r="B385" s="13"/>
      <c r="C385" s="13"/>
      <c r="D385" s="242"/>
      <c r="E385" s="242"/>
      <c r="F385" s="242"/>
      <c r="G385" s="242"/>
      <c r="H385" s="242"/>
      <c r="I385" s="242"/>
      <c r="J385" s="242"/>
      <c r="K385" s="242"/>
      <c r="L385" s="242"/>
      <c r="M385" s="242"/>
      <c r="N385" s="242"/>
      <c r="O385" s="242"/>
      <c r="P385" s="242"/>
      <c r="Q385" s="242"/>
      <c r="R385" s="242"/>
      <c r="S385" s="242"/>
      <c r="T385" s="13"/>
      <c r="U385" s="242"/>
      <c r="V385" s="242"/>
      <c r="W385" s="242"/>
      <c r="X385" s="242"/>
      <c r="Y385" s="242"/>
      <c r="Z385" s="242"/>
    </row>
    <row r="386">
      <c r="A386" s="242"/>
      <c r="B386" s="13"/>
      <c r="C386" s="13"/>
      <c r="D386" s="242"/>
      <c r="E386" s="242"/>
      <c r="F386" s="242"/>
      <c r="G386" s="242"/>
      <c r="H386" s="242"/>
      <c r="I386" s="242"/>
      <c r="J386" s="242"/>
      <c r="K386" s="242"/>
      <c r="L386" s="242"/>
      <c r="M386" s="242"/>
      <c r="N386" s="242"/>
      <c r="O386" s="242"/>
      <c r="P386" s="242"/>
      <c r="Q386" s="242"/>
      <c r="R386" s="242"/>
      <c r="S386" s="242"/>
      <c r="T386" s="13"/>
      <c r="U386" s="242"/>
      <c r="V386" s="242"/>
      <c r="W386" s="242"/>
      <c r="X386" s="242"/>
      <c r="Y386" s="242"/>
      <c r="Z386" s="242"/>
    </row>
    <row r="387">
      <c r="A387" s="242"/>
      <c r="B387" s="13"/>
      <c r="C387" s="13"/>
      <c r="D387" s="242"/>
      <c r="E387" s="242"/>
      <c r="F387" s="242"/>
      <c r="G387" s="242"/>
      <c r="H387" s="242"/>
      <c r="I387" s="242"/>
      <c r="J387" s="242"/>
      <c r="K387" s="242"/>
      <c r="L387" s="242"/>
      <c r="M387" s="242"/>
      <c r="N387" s="242"/>
      <c r="O387" s="242"/>
      <c r="P387" s="242"/>
      <c r="Q387" s="242"/>
      <c r="R387" s="242"/>
      <c r="S387" s="242"/>
      <c r="T387" s="13"/>
      <c r="U387" s="242"/>
      <c r="V387" s="242"/>
      <c r="W387" s="242"/>
      <c r="X387" s="242"/>
      <c r="Y387" s="242"/>
      <c r="Z387" s="242"/>
    </row>
    <row r="388">
      <c r="A388" s="242"/>
      <c r="B388" s="13"/>
      <c r="C388" s="13"/>
      <c r="D388" s="242"/>
      <c r="E388" s="242"/>
      <c r="F388" s="242"/>
      <c r="G388" s="242"/>
      <c r="H388" s="242"/>
      <c r="I388" s="242"/>
      <c r="J388" s="242"/>
      <c r="K388" s="242"/>
      <c r="L388" s="242"/>
      <c r="M388" s="242"/>
      <c r="N388" s="242"/>
      <c r="O388" s="242"/>
      <c r="P388" s="242"/>
      <c r="Q388" s="242"/>
      <c r="R388" s="242"/>
      <c r="S388" s="242"/>
      <c r="T388" s="13"/>
      <c r="U388" s="242"/>
      <c r="V388" s="242"/>
      <c r="W388" s="242"/>
      <c r="X388" s="242"/>
      <c r="Y388" s="242"/>
      <c r="Z388" s="242"/>
    </row>
    <row r="389">
      <c r="A389" s="242"/>
      <c r="B389" s="13"/>
      <c r="C389" s="13"/>
      <c r="D389" s="242"/>
      <c r="E389" s="242"/>
      <c r="F389" s="242"/>
      <c r="G389" s="242"/>
      <c r="H389" s="242"/>
      <c r="I389" s="242"/>
      <c r="J389" s="242"/>
      <c r="K389" s="242"/>
      <c r="L389" s="242"/>
      <c r="M389" s="242"/>
      <c r="N389" s="242"/>
      <c r="O389" s="242"/>
      <c r="P389" s="242"/>
      <c r="Q389" s="242"/>
      <c r="R389" s="242"/>
      <c r="S389" s="242"/>
      <c r="T389" s="13"/>
      <c r="U389" s="242"/>
      <c r="V389" s="242"/>
      <c r="W389" s="242"/>
      <c r="X389" s="242"/>
      <c r="Y389" s="242"/>
      <c r="Z389" s="242"/>
    </row>
    <row r="390">
      <c r="A390" s="242"/>
      <c r="B390" s="13"/>
      <c r="C390" s="13"/>
      <c r="D390" s="242"/>
      <c r="E390" s="242"/>
      <c r="F390" s="242"/>
      <c r="G390" s="242"/>
      <c r="H390" s="242"/>
      <c r="I390" s="242"/>
      <c r="J390" s="242"/>
      <c r="K390" s="242"/>
      <c r="L390" s="242"/>
      <c r="M390" s="242"/>
      <c r="N390" s="242"/>
      <c r="O390" s="242"/>
      <c r="P390" s="242"/>
      <c r="Q390" s="242"/>
      <c r="R390" s="242"/>
      <c r="S390" s="242"/>
      <c r="T390" s="13"/>
      <c r="U390" s="242"/>
      <c r="V390" s="242"/>
      <c r="W390" s="242"/>
      <c r="X390" s="242"/>
      <c r="Y390" s="242"/>
      <c r="Z390" s="242"/>
    </row>
    <row r="391">
      <c r="A391" s="242"/>
      <c r="B391" s="13"/>
      <c r="C391" s="13"/>
      <c r="D391" s="242"/>
      <c r="E391" s="242"/>
      <c r="F391" s="242"/>
      <c r="G391" s="242"/>
      <c r="H391" s="242"/>
      <c r="I391" s="242"/>
      <c r="J391" s="242"/>
      <c r="K391" s="242"/>
      <c r="L391" s="242"/>
      <c r="M391" s="242"/>
      <c r="N391" s="242"/>
      <c r="O391" s="242"/>
      <c r="P391" s="242"/>
      <c r="Q391" s="242"/>
      <c r="R391" s="242"/>
      <c r="S391" s="242"/>
      <c r="T391" s="13"/>
      <c r="U391" s="242"/>
      <c r="V391" s="242"/>
      <c r="W391" s="242"/>
      <c r="X391" s="242"/>
      <c r="Y391" s="242"/>
      <c r="Z391" s="242"/>
    </row>
    <row r="392">
      <c r="A392" s="242"/>
      <c r="B392" s="13"/>
      <c r="C392" s="13"/>
      <c r="D392" s="242"/>
      <c r="E392" s="242"/>
      <c r="F392" s="242"/>
      <c r="G392" s="242"/>
      <c r="H392" s="242"/>
      <c r="I392" s="242"/>
      <c r="J392" s="242"/>
      <c r="K392" s="242"/>
      <c r="L392" s="242"/>
      <c r="M392" s="242"/>
      <c r="N392" s="242"/>
      <c r="O392" s="242"/>
      <c r="P392" s="242"/>
      <c r="Q392" s="242"/>
      <c r="R392" s="242"/>
      <c r="S392" s="242"/>
      <c r="T392" s="13"/>
      <c r="U392" s="242"/>
      <c r="V392" s="242"/>
      <c r="W392" s="242"/>
      <c r="X392" s="242"/>
      <c r="Y392" s="242"/>
      <c r="Z392" s="242"/>
    </row>
    <row r="393">
      <c r="A393" s="242"/>
      <c r="B393" s="13"/>
      <c r="C393" s="13"/>
      <c r="D393" s="242"/>
      <c r="E393" s="242"/>
      <c r="F393" s="242"/>
      <c r="G393" s="242"/>
      <c r="H393" s="242"/>
      <c r="I393" s="242"/>
      <c r="J393" s="242"/>
      <c r="K393" s="242"/>
      <c r="L393" s="242"/>
      <c r="M393" s="242"/>
      <c r="N393" s="242"/>
      <c r="O393" s="242"/>
      <c r="P393" s="242"/>
      <c r="Q393" s="242"/>
      <c r="R393" s="242"/>
      <c r="S393" s="242"/>
      <c r="T393" s="13"/>
      <c r="U393" s="242"/>
      <c r="V393" s="242"/>
      <c r="W393" s="242"/>
      <c r="X393" s="242"/>
      <c r="Y393" s="242"/>
      <c r="Z393" s="242"/>
    </row>
    <row r="394">
      <c r="A394" s="242"/>
      <c r="B394" s="13"/>
      <c r="C394" s="13"/>
      <c r="D394" s="242"/>
      <c r="E394" s="242"/>
      <c r="F394" s="242"/>
      <c r="G394" s="242"/>
      <c r="H394" s="242"/>
      <c r="I394" s="242"/>
      <c r="J394" s="242"/>
      <c r="K394" s="242"/>
      <c r="L394" s="242"/>
      <c r="M394" s="242"/>
      <c r="N394" s="242"/>
      <c r="O394" s="242"/>
      <c r="P394" s="242"/>
      <c r="Q394" s="242"/>
      <c r="R394" s="242"/>
      <c r="S394" s="242"/>
      <c r="T394" s="13"/>
      <c r="U394" s="242"/>
      <c r="V394" s="242"/>
      <c r="W394" s="242"/>
      <c r="X394" s="242"/>
      <c r="Y394" s="242"/>
      <c r="Z394" s="242"/>
    </row>
    <row r="395">
      <c r="A395" s="242"/>
      <c r="B395" s="13"/>
      <c r="C395" s="13"/>
      <c r="D395" s="242"/>
      <c r="E395" s="242"/>
      <c r="F395" s="242"/>
      <c r="G395" s="242"/>
      <c r="H395" s="242"/>
      <c r="I395" s="242"/>
      <c r="J395" s="242"/>
      <c r="K395" s="242"/>
      <c r="L395" s="242"/>
      <c r="M395" s="242"/>
      <c r="N395" s="242"/>
      <c r="O395" s="242"/>
      <c r="P395" s="242"/>
      <c r="Q395" s="242"/>
      <c r="R395" s="242"/>
      <c r="S395" s="242"/>
      <c r="T395" s="13"/>
      <c r="U395" s="242"/>
      <c r="V395" s="242"/>
      <c r="W395" s="242"/>
      <c r="X395" s="242"/>
      <c r="Y395" s="242"/>
      <c r="Z395" s="242"/>
    </row>
    <row r="396">
      <c r="A396" s="242"/>
      <c r="B396" s="13"/>
      <c r="C396" s="13"/>
      <c r="D396" s="242"/>
      <c r="E396" s="242"/>
      <c r="F396" s="242"/>
      <c r="G396" s="242"/>
      <c r="H396" s="242"/>
      <c r="I396" s="242"/>
      <c r="J396" s="242"/>
      <c r="K396" s="242"/>
      <c r="L396" s="242"/>
      <c r="M396" s="242"/>
      <c r="N396" s="242"/>
      <c r="O396" s="242"/>
      <c r="P396" s="242"/>
      <c r="Q396" s="242"/>
      <c r="R396" s="242"/>
      <c r="S396" s="242"/>
      <c r="T396" s="13"/>
      <c r="U396" s="242"/>
      <c r="V396" s="242"/>
      <c r="W396" s="242"/>
      <c r="X396" s="242"/>
      <c r="Y396" s="242"/>
      <c r="Z396" s="242"/>
    </row>
    <row r="397">
      <c r="A397" s="242"/>
      <c r="B397" s="13"/>
      <c r="C397" s="13"/>
      <c r="D397" s="242"/>
      <c r="E397" s="242"/>
      <c r="F397" s="242"/>
      <c r="G397" s="242"/>
      <c r="H397" s="242"/>
      <c r="I397" s="242"/>
      <c r="J397" s="242"/>
      <c r="K397" s="242"/>
      <c r="L397" s="242"/>
      <c r="M397" s="242"/>
      <c r="N397" s="242"/>
      <c r="O397" s="242"/>
      <c r="P397" s="242"/>
      <c r="Q397" s="242"/>
      <c r="R397" s="242"/>
      <c r="S397" s="242"/>
      <c r="T397" s="13"/>
      <c r="U397" s="242"/>
      <c r="V397" s="242"/>
      <c r="W397" s="242"/>
      <c r="X397" s="242"/>
      <c r="Y397" s="242"/>
      <c r="Z397" s="242"/>
    </row>
    <row r="398">
      <c r="A398" s="242"/>
      <c r="B398" s="13"/>
      <c r="C398" s="13"/>
      <c r="D398" s="242"/>
      <c r="E398" s="242"/>
      <c r="F398" s="242"/>
      <c r="G398" s="242"/>
      <c r="H398" s="242"/>
      <c r="I398" s="242"/>
      <c r="J398" s="242"/>
      <c r="K398" s="242"/>
      <c r="L398" s="242"/>
      <c r="M398" s="242"/>
      <c r="N398" s="242"/>
      <c r="O398" s="242"/>
      <c r="P398" s="242"/>
      <c r="Q398" s="242"/>
      <c r="R398" s="242"/>
      <c r="S398" s="242"/>
      <c r="T398" s="13"/>
      <c r="U398" s="242"/>
      <c r="V398" s="242"/>
      <c r="W398" s="242"/>
      <c r="X398" s="242"/>
      <c r="Y398" s="242"/>
      <c r="Z398" s="242"/>
    </row>
    <row r="399">
      <c r="A399" s="242"/>
      <c r="B399" s="13"/>
      <c r="C399" s="13"/>
      <c r="D399" s="242"/>
      <c r="E399" s="242"/>
      <c r="F399" s="242"/>
      <c r="G399" s="242"/>
      <c r="H399" s="242"/>
      <c r="I399" s="242"/>
      <c r="J399" s="242"/>
      <c r="K399" s="242"/>
      <c r="L399" s="242"/>
      <c r="M399" s="242"/>
      <c r="N399" s="242"/>
      <c r="O399" s="242"/>
      <c r="P399" s="242"/>
      <c r="Q399" s="242"/>
      <c r="R399" s="242"/>
      <c r="S399" s="242"/>
      <c r="T399" s="13"/>
      <c r="U399" s="242"/>
      <c r="V399" s="242"/>
      <c r="W399" s="242"/>
      <c r="X399" s="242"/>
      <c r="Y399" s="242"/>
      <c r="Z399" s="242"/>
    </row>
    <row r="400">
      <c r="A400" s="242"/>
      <c r="B400" s="13"/>
      <c r="C400" s="13"/>
      <c r="D400" s="242"/>
      <c r="E400" s="242"/>
      <c r="F400" s="242"/>
      <c r="G400" s="242"/>
      <c r="H400" s="242"/>
      <c r="I400" s="242"/>
      <c r="J400" s="242"/>
      <c r="K400" s="242"/>
      <c r="L400" s="242"/>
      <c r="M400" s="242"/>
      <c r="N400" s="242"/>
      <c r="O400" s="242"/>
      <c r="P400" s="242"/>
      <c r="Q400" s="242"/>
      <c r="R400" s="242"/>
      <c r="S400" s="242"/>
      <c r="T400" s="13"/>
      <c r="U400" s="242"/>
      <c r="V400" s="242"/>
      <c r="W400" s="242"/>
      <c r="X400" s="242"/>
      <c r="Y400" s="242"/>
      <c r="Z400" s="242"/>
    </row>
    <row r="401">
      <c r="A401" s="242"/>
      <c r="B401" s="13"/>
      <c r="C401" s="13"/>
      <c r="D401" s="242"/>
      <c r="E401" s="242"/>
      <c r="F401" s="242"/>
      <c r="G401" s="242"/>
      <c r="H401" s="242"/>
      <c r="I401" s="242"/>
      <c r="J401" s="242"/>
      <c r="K401" s="242"/>
      <c r="L401" s="242"/>
      <c r="M401" s="242"/>
      <c r="N401" s="242"/>
      <c r="O401" s="242"/>
      <c r="P401" s="242"/>
      <c r="Q401" s="242"/>
      <c r="R401" s="242"/>
      <c r="S401" s="242"/>
      <c r="T401" s="13"/>
      <c r="U401" s="242"/>
      <c r="V401" s="242"/>
      <c r="W401" s="242"/>
      <c r="X401" s="242"/>
      <c r="Y401" s="242"/>
      <c r="Z401" s="242"/>
    </row>
    <row r="402">
      <c r="A402" s="242"/>
      <c r="B402" s="13"/>
      <c r="C402" s="13"/>
      <c r="D402" s="242"/>
      <c r="E402" s="242"/>
      <c r="F402" s="242"/>
      <c r="G402" s="242"/>
      <c r="H402" s="242"/>
      <c r="I402" s="242"/>
      <c r="J402" s="242"/>
      <c r="K402" s="242"/>
      <c r="L402" s="242"/>
      <c r="M402" s="242"/>
      <c r="N402" s="242"/>
      <c r="O402" s="242"/>
      <c r="P402" s="242"/>
      <c r="Q402" s="242"/>
      <c r="R402" s="242"/>
      <c r="S402" s="242"/>
      <c r="T402" s="13"/>
      <c r="U402" s="242"/>
      <c r="V402" s="242"/>
      <c r="W402" s="242"/>
      <c r="X402" s="242"/>
      <c r="Y402" s="242"/>
      <c r="Z402" s="242"/>
    </row>
    <row r="403">
      <c r="A403" s="242"/>
      <c r="B403" s="13"/>
      <c r="C403" s="13"/>
      <c r="D403" s="242"/>
      <c r="E403" s="242"/>
      <c r="F403" s="242"/>
      <c r="G403" s="242"/>
      <c r="H403" s="242"/>
      <c r="I403" s="242"/>
      <c r="J403" s="242"/>
      <c r="K403" s="242"/>
      <c r="L403" s="242"/>
      <c r="M403" s="242"/>
      <c r="N403" s="242"/>
      <c r="O403" s="242"/>
      <c r="P403" s="242"/>
      <c r="Q403" s="242"/>
      <c r="R403" s="242"/>
      <c r="S403" s="242"/>
      <c r="T403" s="13"/>
      <c r="U403" s="242"/>
      <c r="V403" s="242"/>
      <c r="W403" s="242"/>
      <c r="X403" s="242"/>
      <c r="Y403" s="242"/>
      <c r="Z403" s="242"/>
    </row>
    <row r="404">
      <c r="A404" s="242"/>
      <c r="B404" s="13"/>
      <c r="C404" s="13"/>
      <c r="D404" s="242"/>
      <c r="E404" s="242"/>
      <c r="F404" s="242"/>
      <c r="G404" s="242"/>
      <c r="H404" s="242"/>
      <c r="I404" s="242"/>
      <c r="J404" s="242"/>
      <c r="K404" s="242"/>
      <c r="L404" s="242"/>
      <c r="M404" s="242"/>
      <c r="N404" s="242"/>
      <c r="O404" s="242"/>
      <c r="P404" s="242"/>
      <c r="Q404" s="242"/>
      <c r="R404" s="242"/>
      <c r="S404" s="242"/>
      <c r="T404" s="13"/>
      <c r="U404" s="242"/>
      <c r="V404" s="242"/>
      <c r="W404" s="242"/>
      <c r="X404" s="242"/>
      <c r="Y404" s="242"/>
      <c r="Z404" s="242"/>
    </row>
    <row r="405">
      <c r="A405" s="242"/>
      <c r="B405" s="13"/>
      <c r="C405" s="13"/>
      <c r="D405" s="242"/>
      <c r="E405" s="242"/>
      <c r="F405" s="242"/>
      <c r="G405" s="242"/>
      <c r="H405" s="242"/>
      <c r="I405" s="242"/>
      <c r="J405" s="242"/>
      <c r="K405" s="242"/>
      <c r="L405" s="242"/>
      <c r="M405" s="242"/>
      <c r="N405" s="242"/>
      <c r="O405" s="242"/>
      <c r="P405" s="242"/>
      <c r="Q405" s="242"/>
      <c r="R405" s="242"/>
      <c r="S405" s="242"/>
      <c r="T405" s="13"/>
      <c r="U405" s="242"/>
      <c r="V405" s="242"/>
      <c r="W405" s="242"/>
      <c r="X405" s="242"/>
      <c r="Y405" s="242"/>
      <c r="Z405" s="242"/>
    </row>
    <row r="406">
      <c r="A406" s="242"/>
      <c r="B406" s="13"/>
      <c r="C406" s="13"/>
      <c r="D406" s="242"/>
      <c r="E406" s="242"/>
      <c r="F406" s="242"/>
      <c r="G406" s="242"/>
      <c r="H406" s="242"/>
      <c r="I406" s="242"/>
      <c r="J406" s="242"/>
      <c r="K406" s="242"/>
      <c r="L406" s="242"/>
      <c r="M406" s="242"/>
      <c r="N406" s="242"/>
      <c r="O406" s="242"/>
      <c r="P406" s="242"/>
      <c r="Q406" s="242"/>
      <c r="R406" s="242"/>
      <c r="S406" s="242"/>
      <c r="T406" s="13"/>
      <c r="U406" s="242"/>
      <c r="V406" s="242"/>
      <c r="W406" s="242"/>
      <c r="X406" s="242"/>
      <c r="Y406" s="242"/>
      <c r="Z406" s="242"/>
    </row>
    <row r="407">
      <c r="A407" s="242"/>
      <c r="B407" s="13"/>
      <c r="C407" s="13"/>
      <c r="D407" s="242"/>
      <c r="E407" s="242"/>
      <c r="F407" s="242"/>
      <c r="G407" s="242"/>
      <c r="H407" s="242"/>
      <c r="I407" s="242"/>
      <c r="J407" s="242"/>
      <c r="K407" s="242"/>
      <c r="L407" s="242"/>
      <c r="M407" s="242"/>
      <c r="N407" s="242"/>
      <c r="O407" s="242"/>
      <c r="P407" s="242"/>
      <c r="Q407" s="242"/>
      <c r="R407" s="242"/>
      <c r="S407" s="242"/>
      <c r="T407" s="13"/>
      <c r="U407" s="242"/>
      <c r="V407" s="242"/>
      <c r="W407" s="242"/>
      <c r="X407" s="242"/>
      <c r="Y407" s="242"/>
      <c r="Z407" s="242"/>
    </row>
    <row r="408">
      <c r="A408" s="242"/>
      <c r="B408" s="13"/>
      <c r="C408" s="13"/>
      <c r="D408" s="242"/>
      <c r="E408" s="242"/>
      <c r="F408" s="242"/>
      <c r="G408" s="242"/>
      <c r="H408" s="242"/>
      <c r="I408" s="242"/>
      <c r="J408" s="242"/>
      <c r="K408" s="242"/>
      <c r="L408" s="242"/>
      <c r="M408" s="242"/>
      <c r="N408" s="242"/>
      <c r="O408" s="242"/>
      <c r="P408" s="242"/>
      <c r="Q408" s="242"/>
      <c r="R408" s="242"/>
      <c r="S408" s="242"/>
      <c r="T408" s="13"/>
      <c r="U408" s="242"/>
      <c r="V408" s="242"/>
      <c r="W408" s="242"/>
      <c r="X408" s="242"/>
      <c r="Y408" s="242"/>
      <c r="Z408" s="242"/>
    </row>
    <row r="409">
      <c r="A409" s="242"/>
      <c r="B409" s="13"/>
      <c r="C409" s="13"/>
      <c r="D409" s="242"/>
      <c r="E409" s="242"/>
      <c r="F409" s="242"/>
      <c r="G409" s="242"/>
      <c r="H409" s="242"/>
      <c r="I409" s="242"/>
      <c r="J409" s="242"/>
      <c r="K409" s="242"/>
      <c r="L409" s="242"/>
      <c r="M409" s="242"/>
      <c r="N409" s="242"/>
      <c r="O409" s="242"/>
      <c r="P409" s="242"/>
      <c r="Q409" s="242"/>
      <c r="R409" s="242"/>
      <c r="S409" s="242"/>
      <c r="T409" s="13"/>
      <c r="U409" s="242"/>
      <c r="V409" s="242"/>
      <c r="W409" s="242"/>
      <c r="X409" s="242"/>
      <c r="Y409" s="242"/>
      <c r="Z409" s="242"/>
    </row>
    <row r="410">
      <c r="A410" s="242"/>
      <c r="B410" s="13"/>
      <c r="C410" s="13"/>
      <c r="D410" s="242"/>
      <c r="E410" s="242"/>
      <c r="F410" s="242"/>
      <c r="G410" s="242"/>
      <c r="H410" s="242"/>
      <c r="I410" s="242"/>
      <c r="J410" s="242"/>
      <c r="K410" s="242"/>
      <c r="L410" s="242"/>
      <c r="M410" s="242"/>
      <c r="N410" s="242"/>
      <c r="O410" s="242"/>
      <c r="P410" s="242"/>
      <c r="Q410" s="242"/>
      <c r="R410" s="242"/>
      <c r="S410" s="242"/>
      <c r="T410" s="13"/>
      <c r="U410" s="242"/>
      <c r="V410" s="242"/>
      <c r="W410" s="242"/>
      <c r="X410" s="242"/>
      <c r="Y410" s="242"/>
      <c r="Z410" s="242"/>
    </row>
    <row r="411">
      <c r="A411" s="242"/>
      <c r="B411" s="13"/>
      <c r="C411" s="13"/>
      <c r="D411" s="242"/>
      <c r="E411" s="242"/>
      <c r="F411" s="242"/>
      <c r="G411" s="242"/>
      <c r="H411" s="242"/>
      <c r="I411" s="242"/>
      <c r="J411" s="242"/>
      <c r="K411" s="242"/>
      <c r="L411" s="242"/>
      <c r="M411" s="242"/>
      <c r="N411" s="242"/>
      <c r="O411" s="242"/>
      <c r="P411" s="242"/>
      <c r="Q411" s="242"/>
      <c r="R411" s="242"/>
      <c r="S411" s="242"/>
      <c r="T411" s="13"/>
      <c r="U411" s="242"/>
      <c r="V411" s="242"/>
      <c r="W411" s="242"/>
      <c r="X411" s="242"/>
      <c r="Y411" s="242"/>
      <c r="Z411" s="242"/>
    </row>
    <row r="412">
      <c r="A412" s="242"/>
      <c r="B412" s="13"/>
      <c r="C412" s="13"/>
      <c r="D412" s="242"/>
      <c r="E412" s="242"/>
      <c r="F412" s="242"/>
      <c r="G412" s="242"/>
      <c r="H412" s="242"/>
      <c r="I412" s="242"/>
      <c r="J412" s="242"/>
      <c r="K412" s="242"/>
      <c r="L412" s="242"/>
      <c r="M412" s="242"/>
      <c r="N412" s="242"/>
      <c r="O412" s="242"/>
      <c r="P412" s="242"/>
      <c r="Q412" s="242"/>
      <c r="R412" s="242"/>
      <c r="S412" s="242"/>
      <c r="T412" s="13"/>
      <c r="U412" s="242"/>
      <c r="V412" s="242"/>
      <c r="W412" s="242"/>
      <c r="X412" s="242"/>
      <c r="Y412" s="242"/>
      <c r="Z412" s="242"/>
    </row>
    <row r="413">
      <c r="A413" s="242"/>
      <c r="B413" s="13"/>
      <c r="C413" s="13"/>
      <c r="D413" s="242"/>
      <c r="E413" s="242"/>
      <c r="F413" s="242"/>
      <c r="G413" s="242"/>
      <c r="H413" s="242"/>
      <c r="I413" s="242"/>
      <c r="J413" s="242"/>
      <c r="K413" s="242"/>
      <c r="L413" s="242"/>
      <c r="M413" s="242"/>
      <c r="N413" s="242"/>
      <c r="O413" s="242"/>
      <c r="P413" s="242"/>
      <c r="Q413" s="242"/>
      <c r="R413" s="242"/>
      <c r="S413" s="242"/>
      <c r="T413" s="13"/>
      <c r="U413" s="242"/>
      <c r="V413" s="242"/>
      <c r="W413" s="242"/>
      <c r="X413" s="242"/>
      <c r="Y413" s="242"/>
      <c r="Z413" s="242"/>
    </row>
    <row r="414">
      <c r="A414" s="242"/>
      <c r="B414" s="13"/>
      <c r="C414" s="13"/>
      <c r="D414" s="242"/>
      <c r="E414" s="242"/>
      <c r="F414" s="242"/>
      <c r="G414" s="242"/>
      <c r="H414" s="242"/>
      <c r="I414" s="242"/>
      <c r="J414" s="242"/>
      <c r="K414" s="242"/>
      <c r="L414" s="242"/>
      <c r="M414" s="242"/>
      <c r="N414" s="242"/>
      <c r="O414" s="242"/>
      <c r="P414" s="242"/>
      <c r="Q414" s="242"/>
      <c r="R414" s="242"/>
      <c r="S414" s="242"/>
      <c r="T414" s="13"/>
      <c r="U414" s="242"/>
      <c r="V414" s="242"/>
      <c r="W414" s="242"/>
      <c r="X414" s="242"/>
      <c r="Y414" s="242"/>
      <c r="Z414" s="242"/>
    </row>
    <row r="415">
      <c r="A415" s="242"/>
      <c r="B415" s="13"/>
      <c r="C415" s="13"/>
      <c r="D415" s="242"/>
      <c r="E415" s="242"/>
      <c r="F415" s="242"/>
      <c r="G415" s="242"/>
      <c r="H415" s="242"/>
      <c r="I415" s="242"/>
      <c r="J415" s="242"/>
      <c r="K415" s="242"/>
      <c r="L415" s="242"/>
      <c r="M415" s="242"/>
      <c r="N415" s="242"/>
      <c r="O415" s="242"/>
      <c r="P415" s="242"/>
      <c r="Q415" s="242"/>
      <c r="R415" s="242"/>
      <c r="S415" s="242"/>
      <c r="T415" s="13"/>
      <c r="U415" s="242"/>
      <c r="V415" s="242"/>
      <c r="W415" s="242"/>
      <c r="X415" s="242"/>
      <c r="Y415" s="242"/>
      <c r="Z415" s="242"/>
    </row>
    <row r="416">
      <c r="A416" s="242"/>
      <c r="B416" s="13"/>
      <c r="C416" s="13"/>
      <c r="D416" s="242"/>
      <c r="E416" s="242"/>
      <c r="F416" s="242"/>
      <c r="G416" s="242"/>
      <c r="H416" s="242"/>
      <c r="I416" s="242"/>
      <c r="J416" s="242"/>
      <c r="K416" s="242"/>
      <c r="L416" s="242"/>
      <c r="M416" s="242"/>
      <c r="N416" s="242"/>
      <c r="O416" s="242"/>
      <c r="P416" s="242"/>
      <c r="Q416" s="242"/>
      <c r="R416" s="242"/>
      <c r="S416" s="242"/>
      <c r="T416" s="13"/>
      <c r="U416" s="242"/>
      <c r="V416" s="242"/>
      <c r="W416" s="242"/>
      <c r="X416" s="242"/>
      <c r="Y416" s="242"/>
      <c r="Z416" s="242"/>
    </row>
    <row r="417">
      <c r="A417" s="242"/>
      <c r="B417" s="13"/>
      <c r="C417" s="13"/>
      <c r="D417" s="242"/>
      <c r="E417" s="242"/>
      <c r="F417" s="242"/>
      <c r="G417" s="242"/>
      <c r="H417" s="242"/>
      <c r="I417" s="242"/>
      <c r="J417" s="242"/>
      <c r="K417" s="242"/>
      <c r="L417" s="242"/>
      <c r="M417" s="242"/>
      <c r="N417" s="242"/>
      <c r="O417" s="242"/>
      <c r="P417" s="242"/>
      <c r="Q417" s="242"/>
      <c r="R417" s="242"/>
      <c r="S417" s="242"/>
      <c r="T417" s="13"/>
      <c r="U417" s="242"/>
      <c r="V417" s="242"/>
      <c r="W417" s="242"/>
      <c r="X417" s="242"/>
      <c r="Y417" s="242"/>
      <c r="Z417" s="242"/>
    </row>
    <row r="418">
      <c r="A418" s="242"/>
      <c r="B418" s="13"/>
      <c r="C418" s="13"/>
      <c r="D418" s="242"/>
      <c r="E418" s="242"/>
      <c r="F418" s="242"/>
      <c r="G418" s="242"/>
      <c r="H418" s="242"/>
      <c r="I418" s="242"/>
      <c r="J418" s="242"/>
      <c r="K418" s="242"/>
      <c r="L418" s="242"/>
      <c r="M418" s="242"/>
      <c r="N418" s="242"/>
      <c r="O418" s="242"/>
      <c r="P418" s="242"/>
      <c r="Q418" s="242"/>
      <c r="R418" s="242"/>
      <c r="S418" s="242"/>
      <c r="T418" s="13"/>
      <c r="U418" s="242"/>
      <c r="V418" s="242"/>
      <c r="W418" s="242"/>
      <c r="X418" s="242"/>
      <c r="Y418" s="242"/>
      <c r="Z418" s="242"/>
    </row>
    <row r="419">
      <c r="A419" s="242"/>
      <c r="B419" s="13"/>
      <c r="C419" s="13"/>
      <c r="D419" s="242"/>
      <c r="E419" s="242"/>
      <c r="F419" s="242"/>
      <c r="G419" s="242"/>
      <c r="H419" s="242"/>
      <c r="I419" s="242"/>
      <c r="J419" s="242"/>
      <c r="K419" s="242"/>
      <c r="L419" s="242"/>
      <c r="M419" s="242"/>
      <c r="N419" s="242"/>
      <c r="O419" s="242"/>
      <c r="P419" s="242"/>
      <c r="Q419" s="242"/>
      <c r="R419" s="242"/>
      <c r="S419" s="242"/>
      <c r="T419" s="13"/>
      <c r="U419" s="242"/>
      <c r="V419" s="242"/>
      <c r="W419" s="242"/>
      <c r="X419" s="242"/>
      <c r="Y419" s="242"/>
      <c r="Z419" s="242"/>
    </row>
    <row r="420">
      <c r="A420" s="242"/>
      <c r="B420" s="13"/>
      <c r="C420" s="13"/>
      <c r="D420" s="242"/>
      <c r="E420" s="242"/>
      <c r="F420" s="242"/>
      <c r="G420" s="242"/>
      <c r="H420" s="242"/>
      <c r="I420" s="242"/>
      <c r="J420" s="242"/>
      <c r="K420" s="242"/>
      <c r="L420" s="242"/>
      <c r="M420" s="242"/>
      <c r="N420" s="242"/>
      <c r="O420" s="242"/>
      <c r="P420" s="242"/>
      <c r="Q420" s="242"/>
      <c r="R420" s="242"/>
      <c r="S420" s="242"/>
      <c r="T420" s="13"/>
      <c r="U420" s="242"/>
      <c r="V420" s="242"/>
      <c r="W420" s="242"/>
      <c r="X420" s="242"/>
      <c r="Y420" s="242"/>
      <c r="Z420" s="242"/>
    </row>
    <row r="421">
      <c r="A421" s="242"/>
      <c r="B421" s="13"/>
      <c r="C421" s="13"/>
      <c r="D421" s="242"/>
      <c r="E421" s="242"/>
      <c r="F421" s="242"/>
      <c r="G421" s="242"/>
      <c r="H421" s="242"/>
      <c r="I421" s="242"/>
      <c r="J421" s="242"/>
      <c r="K421" s="242"/>
      <c r="L421" s="242"/>
      <c r="M421" s="242"/>
      <c r="N421" s="242"/>
      <c r="O421" s="242"/>
      <c r="P421" s="242"/>
      <c r="Q421" s="242"/>
      <c r="R421" s="242"/>
      <c r="S421" s="242"/>
      <c r="T421" s="13"/>
      <c r="U421" s="242"/>
      <c r="V421" s="242"/>
      <c r="W421" s="242"/>
      <c r="X421" s="242"/>
      <c r="Y421" s="242"/>
      <c r="Z421" s="242"/>
    </row>
    <row r="422">
      <c r="A422" s="242"/>
      <c r="B422" s="13"/>
      <c r="C422" s="13"/>
      <c r="D422" s="242"/>
      <c r="E422" s="242"/>
      <c r="F422" s="242"/>
      <c r="G422" s="242"/>
      <c r="H422" s="242"/>
      <c r="I422" s="242"/>
      <c r="J422" s="242"/>
      <c r="K422" s="242"/>
      <c r="L422" s="242"/>
      <c r="M422" s="242"/>
      <c r="N422" s="242"/>
      <c r="O422" s="242"/>
      <c r="P422" s="242"/>
      <c r="Q422" s="242"/>
      <c r="R422" s="242"/>
      <c r="S422" s="242"/>
      <c r="T422" s="13"/>
      <c r="U422" s="242"/>
      <c r="V422" s="242"/>
      <c r="W422" s="242"/>
      <c r="X422" s="242"/>
      <c r="Y422" s="242"/>
      <c r="Z422" s="242"/>
    </row>
    <row r="423">
      <c r="A423" s="242"/>
      <c r="B423" s="13"/>
      <c r="C423" s="13"/>
      <c r="D423" s="242"/>
      <c r="E423" s="242"/>
      <c r="F423" s="242"/>
      <c r="G423" s="242"/>
      <c r="H423" s="242"/>
      <c r="I423" s="242"/>
      <c r="J423" s="242"/>
      <c r="K423" s="242"/>
      <c r="L423" s="242"/>
      <c r="M423" s="242"/>
      <c r="N423" s="242"/>
      <c r="O423" s="242"/>
      <c r="P423" s="242"/>
      <c r="Q423" s="242"/>
      <c r="R423" s="242"/>
      <c r="S423" s="242"/>
      <c r="T423" s="13"/>
      <c r="U423" s="242"/>
      <c r="V423" s="242"/>
      <c r="W423" s="242"/>
      <c r="X423" s="242"/>
      <c r="Y423" s="242"/>
      <c r="Z423" s="242"/>
    </row>
    <row r="424">
      <c r="A424" s="242"/>
      <c r="B424" s="13"/>
      <c r="C424" s="13"/>
      <c r="D424" s="242"/>
      <c r="E424" s="242"/>
      <c r="F424" s="242"/>
      <c r="G424" s="242"/>
      <c r="H424" s="242"/>
      <c r="I424" s="242"/>
      <c r="J424" s="242"/>
      <c r="K424" s="242"/>
      <c r="L424" s="242"/>
      <c r="M424" s="242"/>
      <c r="N424" s="242"/>
      <c r="O424" s="242"/>
      <c r="P424" s="242"/>
      <c r="Q424" s="242"/>
      <c r="R424" s="242"/>
      <c r="S424" s="242"/>
      <c r="T424" s="13"/>
      <c r="U424" s="242"/>
      <c r="V424" s="242"/>
      <c r="W424" s="242"/>
      <c r="X424" s="242"/>
      <c r="Y424" s="242"/>
      <c r="Z424" s="242"/>
    </row>
    <row r="425">
      <c r="A425" s="242"/>
      <c r="B425" s="13"/>
      <c r="C425" s="13"/>
      <c r="D425" s="242"/>
      <c r="E425" s="242"/>
      <c r="F425" s="242"/>
      <c r="G425" s="242"/>
      <c r="H425" s="242"/>
      <c r="I425" s="242"/>
      <c r="J425" s="242"/>
      <c r="K425" s="242"/>
      <c r="L425" s="242"/>
      <c r="M425" s="242"/>
      <c r="N425" s="242"/>
      <c r="O425" s="242"/>
      <c r="P425" s="242"/>
      <c r="Q425" s="242"/>
      <c r="R425" s="242"/>
      <c r="S425" s="242"/>
      <c r="T425" s="13"/>
      <c r="U425" s="242"/>
      <c r="V425" s="242"/>
      <c r="W425" s="242"/>
      <c r="X425" s="242"/>
      <c r="Y425" s="242"/>
      <c r="Z425" s="242"/>
    </row>
    <row r="426">
      <c r="A426" s="242"/>
      <c r="B426" s="13"/>
      <c r="C426" s="13"/>
      <c r="D426" s="242"/>
      <c r="E426" s="242"/>
      <c r="F426" s="242"/>
      <c r="G426" s="242"/>
      <c r="H426" s="242"/>
      <c r="I426" s="242"/>
      <c r="J426" s="242"/>
      <c r="K426" s="242"/>
      <c r="L426" s="242"/>
      <c r="M426" s="242"/>
      <c r="N426" s="242"/>
      <c r="O426" s="242"/>
      <c r="P426" s="242"/>
      <c r="Q426" s="242"/>
      <c r="R426" s="242"/>
      <c r="S426" s="242"/>
      <c r="T426" s="13"/>
      <c r="U426" s="242"/>
      <c r="V426" s="242"/>
      <c r="W426" s="242"/>
      <c r="X426" s="242"/>
      <c r="Y426" s="242"/>
      <c r="Z426" s="242"/>
    </row>
    <row r="427">
      <c r="A427" s="242"/>
      <c r="B427" s="13"/>
      <c r="C427" s="13"/>
      <c r="D427" s="242"/>
      <c r="E427" s="242"/>
      <c r="F427" s="242"/>
      <c r="G427" s="242"/>
      <c r="H427" s="242"/>
      <c r="I427" s="242"/>
      <c r="J427" s="242"/>
      <c r="K427" s="242"/>
      <c r="L427" s="242"/>
      <c r="M427" s="242"/>
      <c r="N427" s="242"/>
      <c r="O427" s="242"/>
      <c r="P427" s="242"/>
      <c r="Q427" s="242"/>
      <c r="R427" s="242"/>
      <c r="S427" s="242"/>
      <c r="T427" s="13"/>
      <c r="U427" s="242"/>
      <c r="V427" s="242"/>
      <c r="W427" s="242"/>
      <c r="X427" s="242"/>
      <c r="Y427" s="242"/>
      <c r="Z427" s="242"/>
    </row>
    <row r="428">
      <c r="A428" s="242"/>
      <c r="B428" s="13"/>
      <c r="C428" s="13"/>
      <c r="D428" s="242"/>
      <c r="E428" s="242"/>
      <c r="F428" s="242"/>
      <c r="G428" s="242"/>
      <c r="H428" s="242"/>
      <c r="I428" s="242"/>
      <c r="J428" s="242"/>
      <c r="K428" s="242"/>
      <c r="L428" s="242"/>
      <c r="M428" s="242"/>
      <c r="N428" s="242"/>
      <c r="O428" s="242"/>
      <c r="P428" s="242"/>
      <c r="Q428" s="242"/>
      <c r="R428" s="242"/>
      <c r="S428" s="242"/>
      <c r="T428" s="13"/>
      <c r="U428" s="242"/>
      <c r="V428" s="242"/>
      <c r="W428" s="242"/>
      <c r="X428" s="242"/>
      <c r="Y428" s="242"/>
      <c r="Z428" s="242"/>
    </row>
    <row r="429">
      <c r="A429" s="242"/>
      <c r="B429" s="13"/>
      <c r="C429" s="13"/>
      <c r="D429" s="242"/>
      <c r="E429" s="242"/>
      <c r="F429" s="242"/>
      <c r="G429" s="242"/>
      <c r="H429" s="242"/>
      <c r="I429" s="242"/>
      <c r="J429" s="242"/>
      <c r="K429" s="242"/>
      <c r="L429" s="242"/>
      <c r="M429" s="242"/>
      <c r="N429" s="242"/>
      <c r="O429" s="242"/>
      <c r="P429" s="242"/>
      <c r="Q429" s="242"/>
      <c r="R429" s="242"/>
      <c r="S429" s="242"/>
      <c r="T429" s="13"/>
      <c r="U429" s="242"/>
      <c r="V429" s="242"/>
      <c r="W429" s="242"/>
      <c r="X429" s="242"/>
      <c r="Y429" s="242"/>
      <c r="Z429" s="242"/>
    </row>
    <row r="430">
      <c r="A430" s="242"/>
      <c r="B430" s="13"/>
      <c r="C430" s="13"/>
      <c r="D430" s="242"/>
      <c r="E430" s="242"/>
      <c r="F430" s="242"/>
      <c r="G430" s="242"/>
      <c r="H430" s="242"/>
      <c r="I430" s="242"/>
      <c r="J430" s="242"/>
      <c r="K430" s="242"/>
      <c r="L430" s="242"/>
      <c r="M430" s="242"/>
      <c r="N430" s="242"/>
      <c r="O430" s="242"/>
      <c r="P430" s="242"/>
      <c r="Q430" s="242"/>
      <c r="R430" s="242"/>
      <c r="S430" s="242"/>
      <c r="T430" s="13"/>
      <c r="U430" s="242"/>
      <c r="V430" s="242"/>
      <c r="W430" s="242"/>
      <c r="X430" s="242"/>
      <c r="Y430" s="242"/>
      <c r="Z430" s="242"/>
    </row>
    <row r="431">
      <c r="A431" s="242"/>
      <c r="B431" s="13"/>
      <c r="C431" s="13"/>
      <c r="D431" s="242"/>
      <c r="E431" s="242"/>
      <c r="F431" s="242"/>
      <c r="G431" s="242"/>
      <c r="H431" s="242"/>
      <c r="I431" s="242"/>
      <c r="J431" s="242"/>
      <c r="K431" s="242"/>
      <c r="L431" s="242"/>
      <c r="M431" s="242"/>
      <c r="N431" s="242"/>
      <c r="O431" s="242"/>
      <c r="P431" s="242"/>
      <c r="Q431" s="242"/>
      <c r="R431" s="242"/>
      <c r="S431" s="242"/>
      <c r="T431" s="13"/>
      <c r="U431" s="242"/>
      <c r="V431" s="242"/>
      <c r="W431" s="242"/>
      <c r="X431" s="242"/>
      <c r="Y431" s="242"/>
      <c r="Z431" s="242"/>
    </row>
    <row r="432">
      <c r="A432" s="242"/>
      <c r="B432" s="13"/>
      <c r="C432" s="13"/>
      <c r="D432" s="242"/>
      <c r="E432" s="242"/>
      <c r="F432" s="242"/>
      <c r="G432" s="242"/>
      <c r="H432" s="242"/>
      <c r="I432" s="242"/>
      <c r="J432" s="242"/>
      <c r="K432" s="242"/>
      <c r="L432" s="242"/>
      <c r="M432" s="242"/>
      <c r="N432" s="242"/>
      <c r="O432" s="242"/>
      <c r="P432" s="242"/>
      <c r="Q432" s="242"/>
      <c r="R432" s="242"/>
      <c r="S432" s="242"/>
      <c r="T432" s="13"/>
      <c r="U432" s="242"/>
      <c r="V432" s="242"/>
      <c r="W432" s="242"/>
      <c r="X432" s="242"/>
      <c r="Y432" s="242"/>
      <c r="Z432" s="242"/>
    </row>
    <row r="433">
      <c r="A433" s="242"/>
      <c r="B433" s="13"/>
      <c r="C433" s="13"/>
      <c r="D433" s="242"/>
      <c r="E433" s="242"/>
      <c r="F433" s="242"/>
      <c r="G433" s="242"/>
      <c r="H433" s="242"/>
      <c r="I433" s="242"/>
      <c r="J433" s="242"/>
      <c r="K433" s="242"/>
      <c r="L433" s="242"/>
      <c r="M433" s="242"/>
      <c r="N433" s="242"/>
      <c r="O433" s="242"/>
      <c r="P433" s="242"/>
      <c r="Q433" s="242"/>
      <c r="R433" s="242"/>
      <c r="S433" s="242"/>
      <c r="T433" s="13"/>
      <c r="U433" s="242"/>
      <c r="V433" s="242"/>
      <c r="W433" s="242"/>
      <c r="X433" s="242"/>
      <c r="Y433" s="242"/>
      <c r="Z433" s="242"/>
    </row>
    <row r="434">
      <c r="A434" s="242"/>
      <c r="B434" s="13"/>
      <c r="C434" s="13"/>
      <c r="D434" s="242"/>
      <c r="E434" s="242"/>
      <c r="F434" s="242"/>
      <c r="G434" s="242"/>
      <c r="H434" s="242"/>
      <c r="I434" s="242"/>
      <c r="J434" s="242"/>
      <c r="K434" s="242"/>
      <c r="L434" s="242"/>
      <c r="M434" s="242"/>
      <c r="N434" s="242"/>
      <c r="O434" s="242"/>
      <c r="P434" s="242"/>
      <c r="Q434" s="242"/>
      <c r="R434" s="242"/>
      <c r="S434" s="242"/>
      <c r="T434" s="13"/>
      <c r="U434" s="242"/>
      <c r="V434" s="242"/>
      <c r="W434" s="242"/>
      <c r="X434" s="242"/>
      <c r="Y434" s="242"/>
      <c r="Z434" s="242"/>
    </row>
    <row r="435">
      <c r="A435" s="242"/>
      <c r="B435" s="13"/>
      <c r="C435" s="13"/>
      <c r="D435" s="242"/>
      <c r="E435" s="242"/>
      <c r="F435" s="242"/>
      <c r="G435" s="242"/>
      <c r="H435" s="242"/>
      <c r="I435" s="242"/>
      <c r="J435" s="242"/>
      <c r="K435" s="242"/>
      <c r="L435" s="242"/>
      <c r="M435" s="242"/>
      <c r="N435" s="242"/>
      <c r="O435" s="242"/>
      <c r="P435" s="242"/>
      <c r="Q435" s="242"/>
      <c r="R435" s="242"/>
      <c r="S435" s="242"/>
      <c r="T435" s="13"/>
      <c r="U435" s="242"/>
      <c r="V435" s="242"/>
      <c r="W435" s="242"/>
      <c r="X435" s="242"/>
      <c r="Y435" s="242"/>
      <c r="Z435" s="242"/>
    </row>
    <row r="436">
      <c r="A436" s="242"/>
      <c r="B436" s="13"/>
      <c r="C436" s="13"/>
      <c r="D436" s="242"/>
      <c r="E436" s="242"/>
      <c r="F436" s="242"/>
      <c r="G436" s="242"/>
      <c r="H436" s="242"/>
      <c r="I436" s="242"/>
      <c r="J436" s="242"/>
      <c r="K436" s="242"/>
      <c r="L436" s="242"/>
      <c r="M436" s="242"/>
      <c r="N436" s="242"/>
      <c r="O436" s="242"/>
      <c r="P436" s="242"/>
      <c r="Q436" s="242"/>
      <c r="R436" s="242"/>
      <c r="S436" s="242"/>
      <c r="T436" s="13"/>
      <c r="U436" s="242"/>
      <c r="V436" s="242"/>
      <c r="W436" s="242"/>
      <c r="X436" s="242"/>
      <c r="Y436" s="242"/>
      <c r="Z436" s="242"/>
    </row>
    <row r="437">
      <c r="A437" s="242"/>
      <c r="B437" s="13"/>
      <c r="C437" s="13"/>
      <c r="D437" s="242"/>
      <c r="E437" s="242"/>
      <c r="F437" s="242"/>
      <c r="G437" s="242"/>
      <c r="H437" s="242"/>
      <c r="I437" s="242"/>
      <c r="J437" s="242"/>
      <c r="K437" s="242"/>
      <c r="L437" s="242"/>
      <c r="M437" s="242"/>
      <c r="N437" s="242"/>
      <c r="O437" s="242"/>
      <c r="P437" s="242"/>
      <c r="Q437" s="242"/>
      <c r="R437" s="242"/>
      <c r="S437" s="242"/>
      <c r="T437" s="13"/>
      <c r="U437" s="242"/>
      <c r="V437" s="242"/>
      <c r="W437" s="242"/>
      <c r="X437" s="242"/>
      <c r="Y437" s="242"/>
      <c r="Z437" s="242"/>
    </row>
    <row r="438">
      <c r="A438" s="242"/>
      <c r="B438" s="13"/>
      <c r="C438" s="13"/>
      <c r="D438" s="242"/>
      <c r="E438" s="242"/>
      <c r="F438" s="242"/>
      <c r="G438" s="242"/>
      <c r="H438" s="242"/>
      <c r="I438" s="242"/>
      <c r="J438" s="242"/>
      <c r="K438" s="242"/>
      <c r="L438" s="242"/>
      <c r="M438" s="242"/>
      <c r="N438" s="242"/>
      <c r="O438" s="242"/>
      <c r="P438" s="242"/>
      <c r="Q438" s="242"/>
      <c r="R438" s="242"/>
      <c r="S438" s="242"/>
      <c r="T438" s="13"/>
      <c r="U438" s="242"/>
      <c r="V438" s="242"/>
      <c r="W438" s="242"/>
      <c r="X438" s="242"/>
      <c r="Y438" s="242"/>
      <c r="Z438" s="242"/>
    </row>
    <row r="439">
      <c r="A439" s="242"/>
      <c r="B439" s="13"/>
      <c r="C439" s="13"/>
      <c r="D439" s="242"/>
      <c r="E439" s="242"/>
      <c r="F439" s="242"/>
      <c r="G439" s="242"/>
      <c r="H439" s="242"/>
      <c r="I439" s="242"/>
      <c r="J439" s="242"/>
      <c r="K439" s="242"/>
      <c r="L439" s="242"/>
      <c r="M439" s="242"/>
      <c r="N439" s="242"/>
      <c r="O439" s="242"/>
      <c r="P439" s="242"/>
      <c r="Q439" s="242"/>
      <c r="R439" s="242"/>
      <c r="S439" s="242"/>
      <c r="T439" s="13"/>
      <c r="U439" s="242"/>
      <c r="V439" s="242"/>
      <c r="W439" s="242"/>
      <c r="X439" s="242"/>
      <c r="Y439" s="242"/>
      <c r="Z439" s="242"/>
    </row>
    <row r="440">
      <c r="A440" s="242"/>
      <c r="B440" s="13"/>
      <c r="C440" s="13"/>
      <c r="D440" s="242"/>
      <c r="E440" s="242"/>
      <c r="F440" s="242"/>
      <c r="G440" s="242"/>
      <c r="H440" s="242"/>
      <c r="I440" s="242"/>
      <c r="J440" s="242"/>
      <c r="K440" s="242"/>
      <c r="L440" s="242"/>
      <c r="M440" s="242"/>
      <c r="N440" s="242"/>
      <c r="O440" s="242"/>
      <c r="P440" s="242"/>
      <c r="Q440" s="242"/>
      <c r="R440" s="242"/>
      <c r="S440" s="242"/>
      <c r="T440" s="13"/>
      <c r="U440" s="242"/>
      <c r="V440" s="242"/>
      <c r="W440" s="242"/>
      <c r="X440" s="242"/>
      <c r="Y440" s="242"/>
      <c r="Z440" s="242"/>
    </row>
    <row r="441">
      <c r="A441" s="242"/>
      <c r="B441" s="13"/>
      <c r="C441" s="13"/>
      <c r="D441" s="242"/>
      <c r="E441" s="242"/>
      <c r="F441" s="242"/>
      <c r="G441" s="242"/>
      <c r="H441" s="242"/>
      <c r="I441" s="242"/>
      <c r="J441" s="242"/>
      <c r="K441" s="242"/>
      <c r="L441" s="242"/>
      <c r="M441" s="242"/>
      <c r="N441" s="242"/>
      <c r="O441" s="242"/>
      <c r="P441" s="242"/>
      <c r="Q441" s="242"/>
      <c r="R441" s="242"/>
      <c r="S441" s="242"/>
      <c r="T441" s="13"/>
      <c r="U441" s="242"/>
      <c r="V441" s="242"/>
      <c r="W441" s="242"/>
      <c r="X441" s="242"/>
      <c r="Y441" s="242"/>
      <c r="Z441" s="242"/>
    </row>
    <row r="442">
      <c r="A442" s="242"/>
      <c r="B442" s="13"/>
      <c r="C442" s="13"/>
      <c r="D442" s="242"/>
      <c r="E442" s="242"/>
      <c r="F442" s="242"/>
      <c r="G442" s="242"/>
      <c r="H442" s="242"/>
      <c r="I442" s="242"/>
      <c r="J442" s="242"/>
      <c r="K442" s="242"/>
      <c r="L442" s="242"/>
      <c r="M442" s="242"/>
      <c r="N442" s="242"/>
      <c r="O442" s="242"/>
      <c r="P442" s="242"/>
      <c r="Q442" s="242"/>
      <c r="R442" s="242"/>
      <c r="S442" s="242"/>
      <c r="T442" s="13"/>
      <c r="U442" s="242"/>
      <c r="V442" s="242"/>
      <c r="W442" s="242"/>
      <c r="X442" s="242"/>
      <c r="Y442" s="242"/>
      <c r="Z442" s="242"/>
    </row>
    <row r="443">
      <c r="A443" s="242"/>
      <c r="B443" s="13"/>
      <c r="C443" s="13"/>
      <c r="D443" s="242"/>
      <c r="E443" s="242"/>
      <c r="F443" s="242"/>
      <c r="G443" s="242"/>
      <c r="H443" s="242"/>
      <c r="I443" s="242"/>
      <c r="J443" s="242"/>
      <c r="K443" s="242"/>
      <c r="L443" s="242"/>
      <c r="M443" s="242"/>
      <c r="N443" s="242"/>
      <c r="O443" s="242"/>
      <c r="P443" s="242"/>
      <c r="Q443" s="242"/>
      <c r="R443" s="242"/>
      <c r="S443" s="242"/>
      <c r="T443" s="13"/>
      <c r="U443" s="242"/>
      <c r="V443" s="242"/>
      <c r="W443" s="242"/>
      <c r="X443" s="242"/>
      <c r="Y443" s="242"/>
      <c r="Z443" s="242"/>
    </row>
    <row r="444">
      <c r="A444" s="242"/>
      <c r="B444" s="13"/>
      <c r="C444" s="13"/>
      <c r="D444" s="242"/>
      <c r="E444" s="242"/>
      <c r="F444" s="242"/>
      <c r="G444" s="242"/>
      <c r="H444" s="242"/>
      <c r="I444" s="242"/>
      <c r="J444" s="242"/>
      <c r="K444" s="242"/>
      <c r="L444" s="242"/>
      <c r="M444" s="242"/>
      <c r="N444" s="242"/>
      <c r="O444" s="242"/>
      <c r="P444" s="242"/>
      <c r="Q444" s="242"/>
      <c r="R444" s="242"/>
      <c r="S444" s="242"/>
      <c r="T444" s="13"/>
      <c r="U444" s="242"/>
      <c r="V444" s="242"/>
      <c r="W444" s="242"/>
      <c r="X444" s="242"/>
      <c r="Y444" s="242"/>
      <c r="Z444" s="242"/>
    </row>
    <row r="445">
      <c r="A445" s="242"/>
      <c r="B445" s="13"/>
      <c r="C445" s="13"/>
      <c r="D445" s="242"/>
      <c r="E445" s="242"/>
      <c r="F445" s="242"/>
      <c r="G445" s="242"/>
      <c r="H445" s="242"/>
      <c r="I445" s="242"/>
      <c r="J445" s="242"/>
      <c r="K445" s="242"/>
      <c r="L445" s="242"/>
      <c r="M445" s="242"/>
      <c r="N445" s="242"/>
      <c r="O445" s="242"/>
      <c r="P445" s="242"/>
      <c r="Q445" s="242"/>
      <c r="R445" s="242"/>
      <c r="S445" s="242"/>
      <c r="T445" s="13"/>
      <c r="U445" s="242"/>
      <c r="V445" s="242"/>
      <c r="W445" s="242"/>
      <c r="X445" s="242"/>
      <c r="Y445" s="242"/>
      <c r="Z445" s="242"/>
    </row>
    <row r="446">
      <c r="A446" s="242"/>
      <c r="B446" s="13"/>
      <c r="C446" s="13"/>
      <c r="D446" s="242"/>
      <c r="E446" s="242"/>
      <c r="F446" s="242"/>
      <c r="G446" s="242"/>
      <c r="H446" s="242"/>
      <c r="I446" s="242"/>
      <c r="J446" s="242"/>
      <c r="K446" s="242"/>
      <c r="L446" s="242"/>
      <c r="M446" s="242"/>
      <c r="N446" s="242"/>
      <c r="O446" s="242"/>
      <c r="P446" s="242"/>
      <c r="Q446" s="242"/>
      <c r="R446" s="242"/>
      <c r="S446" s="242"/>
      <c r="T446" s="13"/>
      <c r="U446" s="242"/>
      <c r="V446" s="242"/>
      <c r="W446" s="242"/>
      <c r="X446" s="242"/>
      <c r="Y446" s="242"/>
      <c r="Z446" s="242"/>
    </row>
    <row r="447">
      <c r="A447" s="242"/>
      <c r="B447" s="13"/>
      <c r="C447" s="13"/>
      <c r="D447" s="242"/>
      <c r="E447" s="242"/>
      <c r="F447" s="242"/>
      <c r="G447" s="242"/>
      <c r="H447" s="242"/>
      <c r="I447" s="242"/>
      <c r="J447" s="242"/>
      <c r="K447" s="242"/>
      <c r="L447" s="242"/>
      <c r="M447" s="242"/>
      <c r="N447" s="242"/>
      <c r="O447" s="242"/>
      <c r="P447" s="242"/>
      <c r="Q447" s="242"/>
      <c r="R447" s="242"/>
      <c r="S447" s="242"/>
      <c r="T447" s="13"/>
      <c r="U447" s="242"/>
      <c r="V447" s="242"/>
      <c r="W447" s="242"/>
      <c r="X447" s="242"/>
      <c r="Y447" s="242"/>
      <c r="Z447" s="242"/>
    </row>
    <row r="448">
      <c r="A448" s="242"/>
      <c r="B448" s="13"/>
      <c r="C448" s="13"/>
      <c r="D448" s="242"/>
      <c r="E448" s="242"/>
      <c r="F448" s="242"/>
      <c r="G448" s="242"/>
      <c r="H448" s="242"/>
      <c r="I448" s="242"/>
      <c r="J448" s="242"/>
      <c r="K448" s="242"/>
      <c r="L448" s="242"/>
      <c r="M448" s="242"/>
      <c r="N448" s="242"/>
      <c r="O448" s="242"/>
      <c r="P448" s="242"/>
      <c r="Q448" s="242"/>
      <c r="R448" s="242"/>
      <c r="S448" s="242"/>
      <c r="T448" s="13"/>
      <c r="U448" s="242"/>
      <c r="V448" s="242"/>
      <c r="W448" s="242"/>
      <c r="X448" s="242"/>
      <c r="Y448" s="242"/>
      <c r="Z448" s="242"/>
    </row>
    <row r="449">
      <c r="A449" s="242"/>
      <c r="B449" s="13"/>
      <c r="C449" s="13"/>
      <c r="D449" s="242"/>
      <c r="E449" s="242"/>
      <c r="F449" s="242"/>
      <c r="G449" s="242"/>
      <c r="H449" s="242"/>
      <c r="I449" s="242"/>
      <c r="J449" s="242"/>
      <c r="K449" s="242"/>
      <c r="L449" s="242"/>
      <c r="M449" s="242"/>
      <c r="N449" s="242"/>
      <c r="O449" s="242"/>
      <c r="P449" s="242"/>
      <c r="Q449" s="242"/>
      <c r="R449" s="242"/>
      <c r="S449" s="242"/>
      <c r="T449" s="13"/>
      <c r="U449" s="242"/>
      <c r="V449" s="242"/>
      <c r="W449" s="242"/>
      <c r="X449" s="242"/>
      <c r="Y449" s="242"/>
      <c r="Z449" s="242"/>
    </row>
    <row r="450">
      <c r="A450" s="242"/>
      <c r="B450" s="13"/>
      <c r="C450" s="13"/>
      <c r="D450" s="242"/>
      <c r="E450" s="242"/>
      <c r="F450" s="242"/>
      <c r="G450" s="242"/>
      <c r="H450" s="242"/>
      <c r="I450" s="242"/>
      <c r="J450" s="242"/>
      <c r="K450" s="242"/>
      <c r="L450" s="242"/>
      <c r="M450" s="242"/>
      <c r="N450" s="242"/>
      <c r="O450" s="242"/>
      <c r="P450" s="242"/>
      <c r="Q450" s="242"/>
      <c r="R450" s="242"/>
      <c r="S450" s="242"/>
      <c r="T450" s="13"/>
      <c r="U450" s="242"/>
      <c r="V450" s="242"/>
      <c r="W450" s="242"/>
      <c r="X450" s="242"/>
      <c r="Y450" s="242"/>
      <c r="Z450" s="242"/>
    </row>
    <row r="451">
      <c r="A451" s="242"/>
      <c r="B451" s="13"/>
      <c r="C451" s="13"/>
      <c r="D451" s="242"/>
      <c r="E451" s="242"/>
      <c r="F451" s="242"/>
      <c r="G451" s="242"/>
      <c r="H451" s="242"/>
      <c r="I451" s="242"/>
      <c r="J451" s="242"/>
      <c r="K451" s="242"/>
      <c r="L451" s="242"/>
      <c r="M451" s="242"/>
      <c r="N451" s="242"/>
      <c r="O451" s="242"/>
      <c r="P451" s="242"/>
      <c r="Q451" s="242"/>
      <c r="R451" s="242"/>
      <c r="S451" s="242"/>
      <c r="T451" s="13"/>
      <c r="U451" s="242"/>
      <c r="V451" s="242"/>
      <c r="W451" s="242"/>
      <c r="X451" s="242"/>
      <c r="Y451" s="242"/>
      <c r="Z451" s="242"/>
    </row>
    <row r="452">
      <c r="A452" s="242"/>
      <c r="B452" s="13"/>
      <c r="C452" s="13"/>
      <c r="D452" s="242"/>
      <c r="E452" s="242"/>
      <c r="F452" s="242"/>
      <c r="G452" s="242"/>
      <c r="H452" s="242"/>
      <c r="I452" s="242"/>
      <c r="J452" s="242"/>
      <c r="K452" s="242"/>
      <c r="L452" s="242"/>
      <c r="M452" s="242"/>
      <c r="N452" s="242"/>
      <c r="O452" s="242"/>
      <c r="P452" s="242"/>
      <c r="Q452" s="242"/>
      <c r="R452" s="242"/>
      <c r="S452" s="242"/>
      <c r="T452" s="13"/>
      <c r="U452" s="242"/>
      <c r="V452" s="242"/>
      <c r="W452" s="242"/>
      <c r="X452" s="242"/>
      <c r="Y452" s="242"/>
      <c r="Z452" s="242"/>
    </row>
    <row r="453">
      <c r="A453" s="242"/>
      <c r="B453" s="13"/>
      <c r="C453" s="13"/>
      <c r="D453" s="242"/>
      <c r="E453" s="242"/>
      <c r="F453" s="242"/>
      <c r="G453" s="242"/>
      <c r="H453" s="242"/>
      <c r="I453" s="242"/>
      <c r="J453" s="242"/>
      <c r="K453" s="242"/>
      <c r="L453" s="242"/>
      <c r="M453" s="242"/>
      <c r="N453" s="242"/>
      <c r="O453" s="242"/>
      <c r="P453" s="242"/>
      <c r="Q453" s="242"/>
      <c r="R453" s="242"/>
      <c r="S453" s="242"/>
      <c r="T453" s="13"/>
      <c r="U453" s="242"/>
      <c r="V453" s="242"/>
      <c r="W453" s="242"/>
      <c r="X453" s="242"/>
      <c r="Y453" s="242"/>
      <c r="Z453" s="242"/>
    </row>
    <row r="454">
      <c r="A454" s="242"/>
      <c r="B454" s="13"/>
      <c r="C454" s="13"/>
      <c r="D454" s="242"/>
      <c r="E454" s="242"/>
      <c r="F454" s="242"/>
      <c r="G454" s="242"/>
      <c r="H454" s="242"/>
      <c r="I454" s="242"/>
      <c r="J454" s="242"/>
      <c r="K454" s="242"/>
      <c r="L454" s="242"/>
      <c r="M454" s="242"/>
      <c r="N454" s="242"/>
      <c r="O454" s="242"/>
      <c r="P454" s="242"/>
      <c r="Q454" s="242"/>
      <c r="R454" s="242"/>
      <c r="S454" s="242"/>
      <c r="T454" s="13"/>
      <c r="U454" s="242"/>
      <c r="V454" s="242"/>
      <c r="W454" s="242"/>
      <c r="X454" s="242"/>
      <c r="Y454" s="242"/>
      <c r="Z454" s="242"/>
    </row>
    <row r="455">
      <c r="A455" s="242"/>
      <c r="B455" s="13"/>
      <c r="C455" s="13"/>
      <c r="D455" s="242"/>
      <c r="E455" s="242"/>
      <c r="F455" s="242"/>
      <c r="G455" s="242"/>
      <c r="H455" s="242"/>
      <c r="I455" s="242"/>
      <c r="J455" s="242"/>
      <c r="K455" s="242"/>
      <c r="L455" s="242"/>
      <c r="M455" s="242"/>
      <c r="N455" s="242"/>
      <c r="O455" s="242"/>
      <c r="P455" s="242"/>
      <c r="Q455" s="242"/>
      <c r="R455" s="242"/>
      <c r="S455" s="242"/>
      <c r="T455" s="13"/>
      <c r="U455" s="242"/>
      <c r="V455" s="242"/>
      <c r="W455" s="242"/>
      <c r="X455" s="242"/>
      <c r="Y455" s="242"/>
      <c r="Z455" s="242"/>
    </row>
    <row r="456">
      <c r="A456" s="242"/>
      <c r="B456" s="13"/>
      <c r="C456" s="13"/>
      <c r="D456" s="242"/>
      <c r="E456" s="242"/>
      <c r="F456" s="242"/>
      <c r="G456" s="242"/>
      <c r="H456" s="242"/>
      <c r="I456" s="242"/>
      <c r="J456" s="242"/>
      <c r="K456" s="242"/>
      <c r="L456" s="242"/>
      <c r="M456" s="242"/>
      <c r="N456" s="242"/>
      <c r="O456" s="242"/>
      <c r="P456" s="242"/>
      <c r="Q456" s="242"/>
      <c r="R456" s="242"/>
      <c r="S456" s="242"/>
      <c r="T456" s="13"/>
      <c r="U456" s="242"/>
      <c r="V456" s="242"/>
      <c r="W456" s="242"/>
      <c r="X456" s="242"/>
      <c r="Y456" s="242"/>
      <c r="Z456" s="242"/>
    </row>
    <row r="457">
      <c r="A457" s="242"/>
      <c r="B457" s="13"/>
      <c r="C457" s="13"/>
      <c r="D457" s="242"/>
      <c r="E457" s="242"/>
      <c r="F457" s="242"/>
      <c r="G457" s="242"/>
      <c r="H457" s="242"/>
      <c r="I457" s="242"/>
      <c r="J457" s="242"/>
      <c r="K457" s="242"/>
      <c r="L457" s="242"/>
      <c r="M457" s="242"/>
      <c r="N457" s="242"/>
      <c r="O457" s="242"/>
      <c r="P457" s="242"/>
      <c r="Q457" s="242"/>
      <c r="R457" s="242"/>
      <c r="S457" s="242"/>
      <c r="T457" s="13"/>
      <c r="U457" s="242"/>
      <c r="V457" s="242"/>
      <c r="W457" s="242"/>
      <c r="X457" s="242"/>
      <c r="Y457" s="242"/>
      <c r="Z457" s="242"/>
    </row>
    <row r="458">
      <c r="A458" s="242"/>
      <c r="B458" s="13"/>
      <c r="C458" s="13"/>
      <c r="D458" s="242"/>
      <c r="E458" s="242"/>
      <c r="F458" s="242"/>
      <c r="G458" s="242"/>
      <c r="H458" s="242"/>
      <c r="I458" s="242"/>
      <c r="J458" s="242"/>
      <c r="K458" s="242"/>
      <c r="L458" s="242"/>
      <c r="M458" s="242"/>
      <c r="N458" s="242"/>
      <c r="O458" s="242"/>
      <c r="P458" s="242"/>
      <c r="Q458" s="242"/>
      <c r="R458" s="242"/>
      <c r="S458" s="242"/>
      <c r="T458" s="13"/>
      <c r="U458" s="242"/>
      <c r="V458" s="242"/>
      <c r="W458" s="242"/>
      <c r="X458" s="242"/>
      <c r="Y458" s="242"/>
      <c r="Z458" s="242"/>
    </row>
    <row r="459">
      <c r="A459" s="242"/>
      <c r="B459" s="13"/>
      <c r="C459" s="13"/>
      <c r="D459" s="242"/>
      <c r="E459" s="242"/>
      <c r="F459" s="242"/>
      <c r="G459" s="242"/>
      <c r="H459" s="242"/>
      <c r="I459" s="242"/>
      <c r="J459" s="242"/>
      <c r="K459" s="242"/>
      <c r="L459" s="242"/>
      <c r="M459" s="242"/>
      <c r="N459" s="242"/>
      <c r="O459" s="242"/>
      <c r="P459" s="242"/>
      <c r="Q459" s="242"/>
      <c r="R459" s="242"/>
      <c r="S459" s="242"/>
      <c r="T459" s="13"/>
      <c r="U459" s="242"/>
      <c r="V459" s="242"/>
      <c r="W459" s="242"/>
      <c r="X459" s="242"/>
      <c r="Y459" s="242"/>
      <c r="Z459" s="242"/>
    </row>
    <row r="460">
      <c r="A460" s="242"/>
      <c r="B460" s="13"/>
      <c r="C460" s="13"/>
      <c r="D460" s="242"/>
      <c r="E460" s="242"/>
      <c r="F460" s="242"/>
      <c r="G460" s="242"/>
      <c r="H460" s="242"/>
      <c r="I460" s="242"/>
      <c r="J460" s="242"/>
      <c r="K460" s="242"/>
      <c r="L460" s="242"/>
      <c r="M460" s="242"/>
      <c r="N460" s="242"/>
      <c r="O460" s="242"/>
      <c r="P460" s="242"/>
      <c r="Q460" s="242"/>
      <c r="R460" s="242"/>
      <c r="S460" s="242"/>
      <c r="T460" s="13"/>
      <c r="U460" s="242"/>
      <c r="V460" s="242"/>
      <c r="W460" s="242"/>
      <c r="X460" s="242"/>
      <c r="Y460" s="242"/>
      <c r="Z460" s="242"/>
    </row>
    <row r="461">
      <c r="A461" s="242"/>
      <c r="B461" s="13"/>
      <c r="C461" s="13"/>
      <c r="D461" s="242"/>
      <c r="E461" s="242"/>
      <c r="F461" s="242"/>
      <c r="G461" s="242"/>
      <c r="H461" s="242"/>
      <c r="I461" s="242"/>
      <c r="J461" s="242"/>
      <c r="K461" s="242"/>
      <c r="L461" s="242"/>
      <c r="M461" s="242"/>
      <c r="N461" s="242"/>
      <c r="O461" s="242"/>
      <c r="P461" s="242"/>
      <c r="Q461" s="242"/>
      <c r="R461" s="242"/>
      <c r="S461" s="242"/>
      <c r="T461" s="13"/>
      <c r="U461" s="242"/>
      <c r="V461" s="242"/>
      <c r="W461" s="242"/>
      <c r="X461" s="242"/>
      <c r="Y461" s="242"/>
      <c r="Z461" s="242"/>
    </row>
    <row r="462">
      <c r="A462" s="242"/>
      <c r="B462" s="13"/>
      <c r="C462" s="13"/>
      <c r="D462" s="242"/>
      <c r="E462" s="242"/>
      <c r="F462" s="242"/>
      <c r="G462" s="242"/>
      <c r="H462" s="242"/>
      <c r="I462" s="242"/>
      <c r="J462" s="242"/>
      <c r="K462" s="242"/>
      <c r="L462" s="242"/>
      <c r="M462" s="242"/>
      <c r="N462" s="242"/>
      <c r="O462" s="242"/>
      <c r="P462" s="242"/>
      <c r="Q462" s="242"/>
      <c r="R462" s="242"/>
      <c r="S462" s="242"/>
      <c r="T462" s="13"/>
      <c r="U462" s="242"/>
      <c r="V462" s="242"/>
      <c r="W462" s="242"/>
      <c r="X462" s="242"/>
      <c r="Y462" s="242"/>
      <c r="Z462" s="242"/>
    </row>
    <row r="463">
      <c r="A463" s="242"/>
      <c r="B463" s="13"/>
      <c r="C463" s="13"/>
      <c r="D463" s="242"/>
      <c r="E463" s="242"/>
      <c r="F463" s="242"/>
      <c r="G463" s="242"/>
      <c r="H463" s="242"/>
      <c r="I463" s="242"/>
      <c r="J463" s="242"/>
      <c r="K463" s="242"/>
      <c r="L463" s="242"/>
      <c r="M463" s="242"/>
      <c r="N463" s="242"/>
      <c r="O463" s="242"/>
      <c r="P463" s="242"/>
      <c r="Q463" s="242"/>
      <c r="R463" s="242"/>
      <c r="S463" s="242"/>
      <c r="T463" s="13"/>
      <c r="U463" s="242"/>
      <c r="V463" s="242"/>
      <c r="W463" s="242"/>
      <c r="X463" s="242"/>
      <c r="Y463" s="242"/>
      <c r="Z463" s="242"/>
    </row>
    <row r="464">
      <c r="A464" s="242"/>
      <c r="B464" s="13"/>
      <c r="C464" s="13"/>
      <c r="D464" s="242"/>
      <c r="E464" s="242"/>
      <c r="F464" s="242"/>
      <c r="G464" s="242"/>
      <c r="H464" s="242"/>
      <c r="I464" s="242"/>
      <c r="J464" s="242"/>
      <c r="K464" s="242"/>
      <c r="L464" s="242"/>
      <c r="M464" s="242"/>
      <c r="N464" s="242"/>
      <c r="O464" s="242"/>
      <c r="P464" s="242"/>
      <c r="Q464" s="242"/>
      <c r="R464" s="242"/>
      <c r="S464" s="242"/>
      <c r="T464" s="13"/>
      <c r="U464" s="242"/>
      <c r="V464" s="242"/>
      <c r="W464" s="242"/>
      <c r="X464" s="242"/>
      <c r="Y464" s="242"/>
      <c r="Z464" s="242"/>
    </row>
    <row r="465">
      <c r="A465" s="242"/>
      <c r="B465" s="13"/>
      <c r="C465" s="13"/>
      <c r="D465" s="242"/>
      <c r="E465" s="242"/>
      <c r="F465" s="242"/>
      <c r="G465" s="242"/>
      <c r="H465" s="242"/>
      <c r="I465" s="242"/>
      <c r="J465" s="242"/>
      <c r="K465" s="242"/>
      <c r="L465" s="242"/>
      <c r="M465" s="242"/>
      <c r="N465" s="242"/>
      <c r="O465" s="242"/>
      <c r="P465" s="242"/>
      <c r="Q465" s="242"/>
      <c r="R465" s="242"/>
      <c r="S465" s="242"/>
      <c r="T465" s="13"/>
      <c r="U465" s="242"/>
      <c r="V465" s="242"/>
      <c r="W465" s="242"/>
      <c r="X465" s="242"/>
      <c r="Y465" s="242"/>
      <c r="Z465" s="242"/>
    </row>
    <row r="466">
      <c r="A466" s="242"/>
      <c r="B466" s="13"/>
      <c r="C466" s="13"/>
      <c r="D466" s="242"/>
      <c r="E466" s="242"/>
      <c r="F466" s="242"/>
      <c r="G466" s="242"/>
      <c r="H466" s="242"/>
      <c r="I466" s="242"/>
      <c r="J466" s="242"/>
      <c r="K466" s="242"/>
      <c r="L466" s="242"/>
      <c r="M466" s="242"/>
      <c r="N466" s="242"/>
      <c r="O466" s="242"/>
      <c r="P466" s="242"/>
      <c r="Q466" s="242"/>
      <c r="R466" s="242"/>
      <c r="S466" s="242"/>
      <c r="T466" s="13"/>
      <c r="U466" s="242"/>
      <c r="V466" s="242"/>
      <c r="W466" s="242"/>
      <c r="X466" s="242"/>
      <c r="Y466" s="242"/>
      <c r="Z466" s="242"/>
    </row>
    <row r="467">
      <c r="A467" s="242"/>
      <c r="B467" s="13"/>
      <c r="C467" s="13"/>
      <c r="D467" s="242"/>
      <c r="E467" s="242"/>
      <c r="F467" s="242"/>
      <c r="G467" s="242"/>
      <c r="H467" s="242"/>
      <c r="I467" s="242"/>
      <c r="J467" s="242"/>
      <c r="K467" s="242"/>
      <c r="L467" s="242"/>
      <c r="M467" s="242"/>
      <c r="N467" s="242"/>
      <c r="O467" s="242"/>
      <c r="P467" s="242"/>
      <c r="Q467" s="242"/>
      <c r="R467" s="242"/>
      <c r="S467" s="242"/>
      <c r="T467" s="13"/>
      <c r="U467" s="242"/>
      <c r="V467" s="242"/>
      <c r="W467" s="242"/>
      <c r="X467" s="242"/>
      <c r="Y467" s="242"/>
      <c r="Z467" s="242"/>
    </row>
    <row r="468">
      <c r="A468" s="242"/>
      <c r="B468" s="13"/>
      <c r="C468" s="13"/>
      <c r="D468" s="242"/>
      <c r="E468" s="242"/>
      <c r="F468" s="242"/>
      <c r="G468" s="242"/>
      <c r="H468" s="242"/>
      <c r="I468" s="242"/>
      <c r="J468" s="242"/>
      <c r="K468" s="242"/>
      <c r="L468" s="242"/>
      <c r="M468" s="242"/>
      <c r="N468" s="242"/>
      <c r="O468" s="242"/>
      <c r="P468" s="242"/>
      <c r="Q468" s="242"/>
      <c r="R468" s="242"/>
      <c r="S468" s="242"/>
      <c r="T468" s="13"/>
      <c r="U468" s="242"/>
      <c r="V468" s="242"/>
      <c r="W468" s="242"/>
      <c r="X468" s="242"/>
      <c r="Y468" s="242"/>
      <c r="Z468" s="242"/>
    </row>
    <row r="469">
      <c r="A469" s="242"/>
      <c r="B469" s="13"/>
      <c r="C469" s="13"/>
      <c r="D469" s="242"/>
      <c r="E469" s="242"/>
      <c r="F469" s="242"/>
      <c r="G469" s="242"/>
      <c r="H469" s="242"/>
      <c r="I469" s="242"/>
      <c r="J469" s="242"/>
      <c r="K469" s="242"/>
      <c r="L469" s="242"/>
      <c r="M469" s="242"/>
      <c r="N469" s="242"/>
      <c r="O469" s="242"/>
      <c r="P469" s="242"/>
      <c r="Q469" s="242"/>
      <c r="R469" s="242"/>
      <c r="S469" s="242"/>
      <c r="T469" s="13"/>
      <c r="U469" s="242"/>
      <c r="V469" s="242"/>
      <c r="W469" s="242"/>
      <c r="X469" s="242"/>
      <c r="Y469" s="242"/>
      <c r="Z469" s="242"/>
    </row>
    <row r="470">
      <c r="A470" s="242"/>
      <c r="B470" s="13"/>
      <c r="C470" s="13"/>
      <c r="D470" s="242"/>
      <c r="E470" s="242"/>
      <c r="F470" s="242"/>
      <c r="G470" s="242"/>
      <c r="H470" s="242"/>
      <c r="I470" s="242"/>
      <c r="J470" s="242"/>
      <c r="K470" s="242"/>
      <c r="L470" s="242"/>
      <c r="M470" s="242"/>
      <c r="N470" s="242"/>
      <c r="O470" s="242"/>
      <c r="P470" s="242"/>
      <c r="Q470" s="242"/>
      <c r="R470" s="242"/>
      <c r="S470" s="242"/>
      <c r="T470" s="13"/>
      <c r="U470" s="242"/>
      <c r="V470" s="242"/>
      <c r="W470" s="242"/>
      <c r="X470" s="242"/>
      <c r="Y470" s="242"/>
      <c r="Z470" s="242"/>
    </row>
    <row r="471">
      <c r="A471" s="242"/>
      <c r="B471" s="13"/>
      <c r="C471" s="13"/>
      <c r="D471" s="242"/>
      <c r="E471" s="242"/>
      <c r="F471" s="242"/>
      <c r="G471" s="242"/>
      <c r="H471" s="242"/>
      <c r="I471" s="242"/>
      <c r="J471" s="242"/>
      <c r="K471" s="242"/>
      <c r="L471" s="242"/>
      <c r="M471" s="242"/>
      <c r="N471" s="242"/>
      <c r="O471" s="242"/>
      <c r="P471" s="242"/>
      <c r="Q471" s="242"/>
      <c r="R471" s="242"/>
      <c r="S471" s="242"/>
      <c r="T471" s="13"/>
      <c r="U471" s="242"/>
      <c r="V471" s="242"/>
      <c r="W471" s="242"/>
      <c r="X471" s="242"/>
      <c r="Y471" s="242"/>
      <c r="Z471" s="242"/>
    </row>
    <row r="472">
      <c r="A472" s="242"/>
      <c r="B472" s="13"/>
      <c r="C472" s="13"/>
      <c r="D472" s="242"/>
      <c r="E472" s="242"/>
      <c r="F472" s="242"/>
      <c r="G472" s="242"/>
      <c r="H472" s="242"/>
      <c r="I472" s="242"/>
      <c r="J472" s="242"/>
      <c r="K472" s="242"/>
      <c r="L472" s="242"/>
      <c r="M472" s="242"/>
      <c r="N472" s="242"/>
      <c r="O472" s="242"/>
      <c r="P472" s="242"/>
      <c r="Q472" s="242"/>
      <c r="R472" s="242"/>
      <c r="S472" s="242"/>
      <c r="T472" s="13"/>
      <c r="U472" s="242"/>
      <c r="V472" s="242"/>
      <c r="W472" s="242"/>
      <c r="X472" s="242"/>
      <c r="Y472" s="242"/>
      <c r="Z472" s="242"/>
    </row>
    <row r="473">
      <c r="A473" s="242"/>
      <c r="B473" s="13"/>
      <c r="C473" s="13"/>
      <c r="D473" s="242"/>
      <c r="E473" s="242"/>
      <c r="F473" s="242"/>
      <c r="G473" s="242"/>
      <c r="H473" s="242"/>
      <c r="I473" s="242"/>
      <c r="J473" s="242"/>
      <c r="K473" s="242"/>
      <c r="L473" s="242"/>
      <c r="M473" s="242"/>
      <c r="N473" s="242"/>
      <c r="O473" s="242"/>
      <c r="P473" s="242"/>
      <c r="Q473" s="242"/>
      <c r="R473" s="242"/>
      <c r="S473" s="242"/>
      <c r="T473" s="13"/>
      <c r="U473" s="242"/>
      <c r="V473" s="242"/>
      <c r="W473" s="242"/>
      <c r="X473" s="242"/>
      <c r="Y473" s="242"/>
      <c r="Z473" s="242"/>
    </row>
    <row r="474">
      <c r="A474" s="242"/>
      <c r="B474" s="13"/>
      <c r="C474" s="13"/>
      <c r="D474" s="242"/>
      <c r="E474" s="242"/>
      <c r="F474" s="242"/>
      <c r="G474" s="242"/>
      <c r="H474" s="242"/>
      <c r="I474" s="242"/>
      <c r="J474" s="242"/>
      <c r="K474" s="242"/>
      <c r="L474" s="242"/>
      <c r="M474" s="242"/>
      <c r="N474" s="242"/>
      <c r="O474" s="242"/>
      <c r="P474" s="242"/>
      <c r="Q474" s="242"/>
      <c r="R474" s="242"/>
      <c r="S474" s="242"/>
      <c r="T474" s="13"/>
      <c r="U474" s="242"/>
      <c r="V474" s="242"/>
      <c r="W474" s="242"/>
      <c r="X474" s="242"/>
      <c r="Y474" s="242"/>
      <c r="Z474" s="242"/>
    </row>
    <row r="475">
      <c r="A475" s="242"/>
      <c r="B475" s="13"/>
      <c r="C475" s="13"/>
      <c r="D475" s="242"/>
      <c r="E475" s="242"/>
      <c r="F475" s="242"/>
      <c r="G475" s="242"/>
      <c r="H475" s="242"/>
      <c r="I475" s="242"/>
      <c r="J475" s="242"/>
      <c r="K475" s="242"/>
      <c r="L475" s="242"/>
      <c r="M475" s="242"/>
      <c r="N475" s="242"/>
      <c r="O475" s="242"/>
      <c r="P475" s="242"/>
      <c r="Q475" s="242"/>
      <c r="R475" s="242"/>
      <c r="S475" s="242"/>
      <c r="T475" s="13"/>
      <c r="U475" s="242"/>
      <c r="V475" s="242"/>
      <c r="W475" s="242"/>
      <c r="X475" s="242"/>
      <c r="Y475" s="242"/>
      <c r="Z475" s="242"/>
    </row>
    <row r="476">
      <c r="A476" s="242"/>
      <c r="B476" s="13"/>
      <c r="C476" s="13"/>
      <c r="D476" s="242"/>
      <c r="E476" s="242"/>
      <c r="F476" s="242"/>
      <c r="G476" s="242"/>
      <c r="H476" s="242"/>
      <c r="I476" s="242"/>
      <c r="J476" s="242"/>
      <c r="K476" s="242"/>
      <c r="L476" s="242"/>
      <c r="M476" s="242"/>
      <c r="N476" s="242"/>
      <c r="O476" s="242"/>
      <c r="P476" s="242"/>
      <c r="Q476" s="242"/>
      <c r="R476" s="242"/>
      <c r="S476" s="242"/>
      <c r="T476" s="13"/>
      <c r="U476" s="242"/>
      <c r="V476" s="242"/>
      <c r="W476" s="242"/>
      <c r="X476" s="242"/>
      <c r="Y476" s="242"/>
      <c r="Z476" s="242"/>
    </row>
    <row r="477">
      <c r="A477" s="242"/>
      <c r="B477" s="13"/>
      <c r="C477" s="13"/>
      <c r="D477" s="242"/>
      <c r="E477" s="242"/>
      <c r="F477" s="242"/>
      <c r="G477" s="242"/>
      <c r="H477" s="242"/>
      <c r="I477" s="242"/>
      <c r="J477" s="242"/>
      <c r="K477" s="242"/>
      <c r="L477" s="242"/>
      <c r="M477" s="242"/>
      <c r="N477" s="242"/>
      <c r="O477" s="242"/>
      <c r="P477" s="242"/>
      <c r="Q477" s="242"/>
      <c r="R477" s="242"/>
      <c r="S477" s="242"/>
      <c r="T477" s="13"/>
      <c r="U477" s="242"/>
      <c r="V477" s="242"/>
      <c r="W477" s="242"/>
      <c r="X477" s="242"/>
      <c r="Y477" s="242"/>
      <c r="Z477" s="242"/>
    </row>
    <row r="478">
      <c r="A478" s="242"/>
      <c r="B478" s="13"/>
      <c r="C478" s="13"/>
      <c r="D478" s="242"/>
      <c r="E478" s="242"/>
      <c r="F478" s="242"/>
      <c r="G478" s="242"/>
      <c r="H478" s="242"/>
      <c r="I478" s="242"/>
      <c r="J478" s="242"/>
      <c r="K478" s="242"/>
      <c r="L478" s="242"/>
      <c r="M478" s="242"/>
      <c r="N478" s="242"/>
      <c r="O478" s="242"/>
      <c r="P478" s="242"/>
      <c r="Q478" s="242"/>
      <c r="R478" s="242"/>
      <c r="S478" s="242"/>
      <c r="T478" s="13"/>
      <c r="U478" s="242"/>
      <c r="V478" s="242"/>
      <c r="W478" s="242"/>
      <c r="X478" s="242"/>
      <c r="Y478" s="242"/>
      <c r="Z478" s="242"/>
    </row>
    <row r="479">
      <c r="A479" s="242"/>
      <c r="B479" s="13"/>
      <c r="C479" s="13"/>
      <c r="D479" s="242"/>
      <c r="E479" s="242"/>
      <c r="F479" s="242"/>
      <c r="G479" s="242"/>
      <c r="H479" s="242"/>
      <c r="I479" s="242"/>
      <c r="J479" s="242"/>
      <c r="K479" s="242"/>
      <c r="L479" s="242"/>
      <c r="M479" s="242"/>
      <c r="N479" s="242"/>
      <c r="O479" s="242"/>
      <c r="P479" s="242"/>
      <c r="Q479" s="242"/>
      <c r="R479" s="242"/>
      <c r="S479" s="242"/>
      <c r="T479" s="13"/>
      <c r="U479" s="242"/>
      <c r="V479" s="242"/>
      <c r="W479" s="242"/>
      <c r="X479" s="242"/>
      <c r="Y479" s="242"/>
      <c r="Z479" s="242"/>
    </row>
    <row r="480">
      <c r="A480" s="242"/>
      <c r="B480" s="13"/>
      <c r="C480" s="13"/>
      <c r="D480" s="242"/>
      <c r="E480" s="242"/>
      <c r="F480" s="242"/>
      <c r="G480" s="242"/>
      <c r="H480" s="242"/>
      <c r="I480" s="242"/>
      <c r="J480" s="242"/>
      <c r="K480" s="242"/>
      <c r="L480" s="242"/>
      <c r="M480" s="242"/>
      <c r="N480" s="242"/>
      <c r="O480" s="242"/>
      <c r="P480" s="242"/>
      <c r="Q480" s="242"/>
      <c r="R480" s="242"/>
      <c r="S480" s="242"/>
      <c r="T480" s="13"/>
      <c r="U480" s="242"/>
      <c r="V480" s="242"/>
      <c r="W480" s="242"/>
      <c r="X480" s="242"/>
      <c r="Y480" s="242"/>
      <c r="Z480" s="242"/>
    </row>
    <row r="481">
      <c r="A481" s="242"/>
      <c r="B481" s="13"/>
      <c r="C481" s="13"/>
      <c r="D481" s="242"/>
      <c r="E481" s="242"/>
      <c r="F481" s="242"/>
      <c r="G481" s="242"/>
      <c r="H481" s="242"/>
      <c r="I481" s="242"/>
      <c r="J481" s="242"/>
      <c r="K481" s="242"/>
      <c r="L481" s="242"/>
      <c r="M481" s="242"/>
      <c r="N481" s="242"/>
      <c r="O481" s="242"/>
      <c r="P481" s="242"/>
      <c r="Q481" s="242"/>
      <c r="R481" s="242"/>
      <c r="S481" s="242"/>
      <c r="T481" s="13"/>
      <c r="U481" s="242"/>
      <c r="V481" s="242"/>
      <c r="W481" s="242"/>
      <c r="X481" s="242"/>
      <c r="Y481" s="242"/>
      <c r="Z481" s="242"/>
    </row>
    <row r="482">
      <c r="A482" s="242"/>
      <c r="B482" s="13"/>
      <c r="C482" s="13"/>
      <c r="D482" s="242"/>
      <c r="E482" s="242"/>
      <c r="F482" s="242"/>
      <c r="G482" s="242"/>
      <c r="H482" s="242"/>
      <c r="I482" s="242"/>
      <c r="J482" s="242"/>
      <c r="K482" s="242"/>
      <c r="L482" s="242"/>
      <c r="M482" s="242"/>
      <c r="N482" s="242"/>
      <c r="O482" s="242"/>
      <c r="P482" s="242"/>
      <c r="Q482" s="242"/>
      <c r="R482" s="242"/>
      <c r="S482" s="242"/>
      <c r="T482" s="13"/>
      <c r="U482" s="242"/>
      <c r="V482" s="242"/>
      <c r="W482" s="242"/>
      <c r="X482" s="242"/>
      <c r="Y482" s="242"/>
      <c r="Z482" s="242"/>
    </row>
    <row r="483">
      <c r="A483" s="242"/>
      <c r="B483" s="13"/>
      <c r="C483" s="13"/>
      <c r="D483" s="242"/>
      <c r="E483" s="242"/>
      <c r="F483" s="242"/>
      <c r="G483" s="242"/>
      <c r="H483" s="242"/>
      <c r="I483" s="242"/>
      <c r="J483" s="242"/>
      <c r="K483" s="242"/>
      <c r="L483" s="242"/>
      <c r="M483" s="242"/>
      <c r="N483" s="242"/>
      <c r="O483" s="242"/>
      <c r="P483" s="242"/>
      <c r="Q483" s="242"/>
      <c r="R483" s="242"/>
      <c r="S483" s="242"/>
      <c r="T483" s="13"/>
      <c r="U483" s="242"/>
      <c r="V483" s="242"/>
      <c r="W483" s="242"/>
      <c r="X483" s="242"/>
      <c r="Y483" s="242"/>
      <c r="Z483" s="242"/>
    </row>
    <row r="484">
      <c r="A484" s="242"/>
      <c r="B484" s="13"/>
      <c r="C484" s="13"/>
      <c r="D484" s="242"/>
      <c r="E484" s="242"/>
      <c r="F484" s="242"/>
      <c r="G484" s="242"/>
      <c r="H484" s="242"/>
      <c r="I484" s="242"/>
      <c r="J484" s="242"/>
      <c r="K484" s="242"/>
      <c r="L484" s="242"/>
      <c r="M484" s="242"/>
      <c r="N484" s="242"/>
      <c r="O484" s="242"/>
      <c r="P484" s="242"/>
      <c r="Q484" s="242"/>
      <c r="R484" s="242"/>
      <c r="S484" s="242"/>
      <c r="T484" s="13"/>
      <c r="U484" s="242"/>
      <c r="V484" s="242"/>
      <c r="W484" s="242"/>
      <c r="X484" s="242"/>
      <c r="Y484" s="242"/>
      <c r="Z484" s="242"/>
    </row>
    <row r="485">
      <c r="A485" s="242"/>
      <c r="B485" s="13"/>
      <c r="C485" s="13"/>
      <c r="D485" s="242"/>
      <c r="E485" s="242"/>
      <c r="F485" s="242"/>
      <c r="G485" s="242"/>
      <c r="H485" s="242"/>
      <c r="I485" s="242"/>
      <c r="J485" s="242"/>
      <c r="K485" s="242"/>
      <c r="L485" s="242"/>
      <c r="M485" s="242"/>
      <c r="N485" s="242"/>
      <c r="O485" s="242"/>
      <c r="P485" s="242"/>
      <c r="Q485" s="242"/>
      <c r="R485" s="242"/>
      <c r="S485" s="242"/>
      <c r="T485" s="13"/>
      <c r="U485" s="242"/>
      <c r="V485" s="242"/>
      <c r="W485" s="242"/>
      <c r="X485" s="242"/>
      <c r="Y485" s="242"/>
      <c r="Z485" s="242"/>
    </row>
    <row r="486">
      <c r="A486" s="242"/>
      <c r="B486" s="13"/>
      <c r="C486" s="13"/>
      <c r="D486" s="242"/>
      <c r="E486" s="242"/>
      <c r="F486" s="242"/>
      <c r="G486" s="242"/>
      <c r="H486" s="242"/>
      <c r="I486" s="242"/>
      <c r="J486" s="242"/>
      <c r="K486" s="242"/>
      <c r="L486" s="242"/>
      <c r="M486" s="242"/>
      <c r="N486" s="242"/>
      <c r="O486" s="242"/>
      <c r="P486" s="242"/>
      <c r="Q486" s="242"/>
      <c r="R486" s="242"/>
      <c r="S486" s="242"/>
      <c r="T486" s="13"/>
      <c r="U486" s="242"/>
      <c r="V486" s="242"/>
      <c r="W486" s="242"/>
      <c r="X486" s="242"/>
      <c r="Y486" s="242"/>
      <c r="Z486" s="242"/>
    </row>
    <row r="487">
      <c r="A487" s="242"/>
      <c r="B487" s="13"/>
      <c r="C487" s="13"/>
      <c r="D487" s="242"/>
      <c r="E487" s="242"/>
      <c r="F487" s="242"/>
      <c r="G487" s="242"/>
      <c r="H487" s="242"/>
      <c r="I487" s="242"/>
      <c r="J487" s="242"/>
      <c r="K487" s="242"/>
      <c r="L487" s="242"/>
      <c r="M487" s="242"/>
      <c r="N487" s="242"/>
      <c r="O487" s="242"/>
      <c r="P487" s="242"/>
      <c r="Q487" s="242"/>
      <c r="R487" s="242"/>
      <c r="S487" s="242"/>
      <c r="T487" s="13"/>
      <c r="U487" s="242"/>
      <c r="V487" s="242"/>
      <c r="W487" s="242"/>
      <c r="X487" s="242"/>
      <c r="Y487" s="242"/>
      <c r="Z487" s="242"/>
    </row>
    <row r="488">
      <c r="A488" s="242"/>
      <c r="B488" s="13"/>
      <c r="C488" s="13"/>
      <c r="D488" s="242"/>
      <c r="E488" s="242"/>
      <c r="F488" s="242"/>
      <c r="G488" s="242"/>
      <c r="H488" s="242"/>
      <c r="I488" s="242"/>
      <c r="J488" s="242"/>
      <c r="K488" s="242"/>
      <c r="L488" s="242"/>
      <c r="M488" s="242"/>
      <c r="N488" s="242"/>
      <c r="O488" s="242"/>
      <c r="P488" s="242"/>
      <c r="Q488" s="242"/>
      <c r="R488" s="242"/>
      <c r="S488" s="242"/>
      <c r="T488" s="13"/>
      <c r="U488" s="242"/>
      <c r="V488" s="242"/>
      <c r="W488" s="242"/>
      <c r="X488" s="242"/>
      <c r="Y488" s="242"/>
      <c r="Z488" s="242"/>
    </row>
    <row r="489">
      <c r="A489" s="242"/>
      <c r="B489" s="13"/>
      <c r="C489" s="13"/>
      <c r="D489" s="242"/>
      <c r="E489" s="242"/>
      <c r="F489" s="242"/>
      <c r="G489" s="242"/>
      <c r="H489" s="242"/>
      <c r="I489" s="242"/>
      <c r="J489" s="242"/>
      <c r="K489" s="242"/>
      <c r="L489" s="242"/>
      <c r="M489" s="242"/>
      <c r="N489" s="242"/>
      <c r="O489" s="242"/>
      <c r="P489" s="242"/>
      <c r="Q489" s="242"/>
      <c r="R489" s="242"/>
      <c r="S489" s="242"/>
      <c r="T489" s="13"/>
      <c r="U489" s="242"/>
      <c r="V489" s="242"/>
      <c r="W489" s="242"/>
      <c r="X489" s="242"/>
      <c r="Y489" s="242"/>
      <c r="Z489" s="242"/>
    </row>
    <row r="490">
      <c r="A490" s="242"/>
      <c r="B490" s="13"/>
      <c r="C490" s="13"/>
      <c r="D490" s="242"/>
      <c r="E490" s="242"/>
      <c r="F490" s="242"/>
      <c r="G490" s="242"/>
      <c r="H490" s="242"/>
      <c r="I490" s="242"/>
      <c r="J490" s="242"/>
      <c r="K490" s="242"/>
      <c r="L490" s="242"/>
      <c r="M490" s="242"/>
      <c r="N490" s="242"/>
      <c r="O490" s="242"/>
      <c r="P490" s="242"/>
      <c r="Q490" s="242"/>
      <c r="R490" s="242"/>
      <c r="S490" s="242"/>
      <c r="T490" s="13"/>
      <c r="U490" s="242"/>
      <c r="V490" s="242"/>
      <c r="W490" s="242"/>
      <c r="X490" s="242"/>
      <c r="Y490" s="242"/>
      <c r="Z490" s="242"/>
    </row>
    <row r="491">
      <c r="A491" s="242"/>
      <c r="B491" s="13"/>
      <c r="C491" s="13"/>
      <c r="D491" s="242"/>
      <c r="E491" s="242"/>
      <c r="F491" s="242"/>
      <c r="G491" s="242"/>
      <c r="H491" s="242"/>
      <c r="I491" s="242"/>
      <c r="J491" s="242"/>
      <c r="K491" s="242"/>
      <c r="L491" s="242"/>
      <c r="M491" s="242"/>
      <c r="N491" s="242"/>
      <c r="O491" s="242"/>
      <c r="P491" s="242"/>
      <c r="Q491" s="242"/>
      <c r="R491" s="242"/>
      <c r="S491" s="242"/>
      <c r="T491" s="13"/>
      <c r="U491" s="242"/>
      <c r="V491" s="242"/>
      <c r="W491" s="242"/>
      <c r="X491" s="242"/>
      <c r="Y491" s="242"/>
      <c r="Z491" s="242"/>
    </row>
    <row r="492">
      <c r="A492" s="242"/>
      <c r="B492" s="13"/>
      <c r="C492" s="13"/>
      <c r="D492" s="242"/>
      <c r="E492" s="242"/>
      <c r="F492" s="242"/>
      <c r="G492" s="242"/>
      <c r="H492" s="242"/>
      <c r="I492" s="242"/>
      <c r="J492" s="242"/>
      <c r="K492" s="242"/>
      <c r="L492" s="242"/>
      <c r="M492" s="242"/>
      <c r="N492" s="242"/>
      <c r="O492" s="242"/>
      <c r="P492" s="242"/>
      <c r="Q492" s="242"/>
      <c r="R492" s="242"/>
      <c r="S492" s="242"/>
      <c r="T492" s="13"/>
      <c r="U492" s="242"/>
      <c r="V492" s="242"/>
      <c r="W492" s="242"/>
      <c r="X492" s="242"/>
      <c r="Y492" s="242"/>
      <c r="Z492" s="242"/>
    </row>
    <row r="493">
      <c r="A493" s="242"/>
      <c r="B493" s="13"/>
      <c r="C493" s="13"/>
      <c r="D493" s="242"/>
      <c r="E493" s="242"/>
      <c r="F493" s="242"/>
      <c r="G493" s="242"/>
      <c r="H493" s="242"/>
      <c r="I493" s="242"/>
      <c r="J493" s="242"/>
      <c r="K493" s="242"/>
      <c r="L493" s="242"/>
      <c r="M493" s="242"/>
      <c r="N493" s="242"/>
      <c r="O493" s="242"/>
      <c r="P493" s="242"/>
      <c r="Q493" s="242"/>
      <c r="R493" s="242"/>
      <c r="S493" s="242"/>
      <c r="T493" s="13"/>
      <c r="U493" s="242"/>
      <c r="V493" s="242"/>
      <c r="W493" s="242"/>
      <c r="X493" s="242"/>
      <c r="Y493" s="242"/>
      <c r="Z493" s="242"/>
    </row>
    <row r="494">
      <c r="A494" s="242"/>
      <c r="B494" s="13"/>
      <c r="C494" s="13"/>
      <c r="D494" s="242"/>
      <c r="E494" s="242"/>
      <c r="F494" s="242"/>
      <c r="G494" s="242"/>
      <c r="H494" s="242"/>
      <c r="I494" s="242"/>
      <c r="J494" s="242"/>
      <c r="K494" s="242"/>
      <c r="L494" s="242"/>
      <c r="M494" s="242"/>
      <c r="N494" s="242"/>
      <c r="O494" s="242"/>
      <c r="P494" s="242"/>
      <c r="Q494" s="242"/>
      <c r="R494" s="242"/>
      <c r="S494" s="242"/>
      <c r="T494" s="13"/>
      <c r="U494" s="242"/>
      <c r="V494" s="242"/>
      <c r="W494" s="242"/>
      <c r="X494" s="242"/>
      <c r="Y494" s="242"/>
      <c r="Z494" s="242"/>
    </row>
    <row r="495">
      <c r="A495" s="242"/>
      <c r="B495" s="13"/>
      <c r="C495" s="13"/>
      <c r="D495" s="242"/>
      <c r="E495" s="242"/>
      <c r="F495" s="242"/>
      <c r="G495" s="242"/>
      <c r="H495" s="242"/>
      <c r="I495" s="242"/>
      <c r="J495" s="242"/>
      <c r="K495" s="242"/>
      <c r="L495" s="242"/>
      <c r="M495" s="242"/>
      <c r="N495" s="242"/>
      <c r="O495" s="242"/>
      <c r="P495" s="242"/>
      <c r="Q495" s="242"/>
      <c r="R495" s="242"/>
      <c r="S495" s="242"/>
      <c r="T495" s="13"/>
      <c r="U495" s="242"/>
      <c r="V495" s="242"/>
      <c r="W495" s="242"/>
      <c r="X495" s="242"/>
      <c r="Y495" s="242"/>
      <c r="Z495" s="242"/>
    </row>
    <row r="496">
      <c r="A496" s="242"/>
      <c r="B496" s="13"/>
      <c r="C496" s="13"/>
      <c r="D496" s="242"/>
      <c r="E496" s="242"/>
      <c r="F496" s="242"/>
      <c r="G496" s="242"/>
      <c r="H496" s="242"/>
      <c r="I496" s="242"/>
      <c r="J496" s="242"/>
      <c r="K496" s="242"/>
      <c r="L496" s="242"/>
      <c r="M496" s="242"/>
      <c r="N496" s="242"/>
      <c r="O496" s="242"/>
      <c r="P496" s="242"/>
      <c r="Q496" s="242"/>
      <c r="R496" s="242"/>
      <c r="S496" s="242"/>
      <c r="T496" s="13"/>
      <c r="U496" s="242"/>
      <c r="V496" s="242"/>
      <c r="W496" s="242"/>
      <c r="X496" s="242"/>
      <c r="Y496" s="242"/>
      <c r="Z496" s="242"/>
    </row>
    <row r="497">
      <c r="A497" s="242"/>
      <c r="B497" s="13"/>
      <c r="C497" s="13"/>
      <c r="D497" s="242"/>
      <c r="E497" s="242"/>
      <c r="F497" s="242"/>
      <c r="G497" s="242"/>
      <c r="H497" s="242"/>
      <c r="I497" s="242"/>
      <c r="J497" s="242"/>
      <c r="K497" s="242"/>
      <c r="L497" s="242"/>
      <c r="M497" s="242"/>
      <c r="N497" s="242"/>
      <c r="O497" s="242"/>
      <c r="P497" s="242"/>
      <c r="Q497" s="242"/>
      <c r="R497" s="242"/>
      <c r="S497" s="242"/>
      <c r="T497" s="13"/>
      <c r="U497" s="242"/>
      <c r="V497" s="242"/>
      <c r="W497" s="242"/>
      <c r="X497" s="242"/>
      <c r="Y497" s="242"/>
      <c r="Z497" s="242"/>
    </row>
    <row r="498">
      <c r="A498" s="242"/>
      <c r="B498" s="13"/>
      <c r="C498" s="13"/>
      <c r="D498" s="242"/>
      <c r="E498" s="242"/>
      <c r="F498" s="242"/>
      <c r="G498" s="242"/>
      <c r="H498" s="242"/>
      <c r="I498" s="242"/>
      <c r="J498" s="242"/>
      <c r="K498" s="242"/>
      <c r="L498" s="242"/>
      <c r="M498" s="242"/>
      <c r="N498" s="242"/>
      <c r="O498" s="242"/>
      <c r="P498" s="242"/>
      <c r="Q498" s="242"/>
      <c r="R498" s="242"/>
      <c r="S498" s="242"/>
      <c r="T498" s="13"/>
      <c r="U498" s="242"/>
      <c r="V498" s="242"/>
      <c r="W498" s="242"/>
      <c r="X498" s="242"/>
      <c r="Y498" s="242"/>
      <c r="Z498" s="242"/>
    </row>
    <row r="499">
      <c r="A499" s="242"/>
      <c r="B499" s="13"/>
      <c r="C499" s="13"/>
      <c r="D499" s="242"/>
      <c r="E499" s="242"/>
      <c r="F499" s="242"/>
      <c r="G499" s="242"/>
      <c r="H499" s="242"/>
      <c r="I499" s="242"/>
      <c r="J499" s="242"/>
      <c r="K499" s="242"/>
      <c r="L499" s="242"/>
      <c r="M499" s="242"/>
      <c r="N499" s="242"/>
      <c r="O499" s="242"/>
      <c r="P499" s="242"/>
      <c r="Q499" s="242"/>
      <c r="R499" s="242"/>
      <c r="S499" s="242"/>
      <c r="T499" s="13"/>
      <c r="U499" s="242"/>
      <c r="V499" s="242"/>
      <c r="W499" s="242"/>
      <c r="X499" s="242"/>
      <c r="Y499" s="242"/>
      <c r="Z499" s="242"/>
    </row>
    <row r="500">
      <c r="A500" s="242"/>
      <c r="B500" s="13"/>
      <c r="C500" s="13"/>
      <c r="D500" s="242"/>
      <c r="E500" s="242"/>
      <c r="F500" s="242"/>
      <c r="G500" s="242"/>
      <c r="H500" s="242"/>
      <c r="I500" s="242"/>
      <c r="J500" s="242"/>
      <c r="K500" s="242"/>
      <c r="L500" s="242"/>
      <c r="M500" s="242"/>
      <c r="N500" s="242"/>
      <c r="O500" s="242"/>
      <c r="P500" s="242"/>
      <c r="Q500" s="242"/>
      <c r="R500" s="242"/>
      <c r="S500" s="242"/>
      <c r="T500" s="13"/>
      <c r="U500" s="242"/>
      <c r="V500" s="242"/>
      <c r="W500" s="242"/>
      <c r="X500" s="242"/>
      <c r="Y500" s="242"/>
      <c r="Z500" s="242"/>
    </row>
    <row r="501">
      <c r="A501" s="242"/>
      <c r="B501" s="13"/>
      <c r="C501" s="13"/>
      <c r="D501" s="242"/>
      <c r="E501" s="242"/>
      <c r="F501" s="242"/>
      <c r="G501" s="242"/>
      <c r="H501" s="242"/>
      <c r="I501" s="242"/>
      <c r="J501" s="242"/>
      <c r="K501" s="242"/>
      <c r="L501" s="242"/>
      <c r="M501" s="242"/>
      <c r="N501" s="242"/>
      <c r="O501" s="242"/>
      <c r="P501" s="242"/>
      <c r="Q501" s="242"/>
      <c r="R501" s="242"/>
      <c r="S501" s="242"/>
      <c r="T501" s="13"/>
      <c r="U501" s="242"/>
      <c r="V501" s="242"/>
      <c r="W501" s="242"/>
      <c r="X501" s="242"/>
      <c r="Y501" s="242"/>
      <c r="Z501" s="242"/>
    </row>
    <row r="502">
      <c r="A502" s="242"/>
      <c r="B502" s="13"/>
      <c r="C502" s="13"/>
      <c r="D502" s="242"/>
      <c r="E502" s="242"/>
      <c r="F502" s="242"/>
      <c r="G502" s="242"/>
      <c r="H502" s="242"/>
      <c r="I502" s="242"/>
      <c r="J502" s="242"/>
      <c r="K502" s="242"/>
      <c r="L502" s="242"/>
      <c r="M502" s="242"/>
      <c r="N502" s="242"/>
      <c r="O502" s="242"/>
      <c r="P502" s="242"/>
      <c r="Q502" s="242"/>
      <c r="R502" s="242"/>
      <c r="S502" s="242"/>
      <c r="T502" s="13"/>
      <c r="U502" s="242"/>
      <c r="V502" s="242"/>
      <c r="W502" s="242"/>
      <c r="X502" s="242"/>
      <c r="Y502" s="242"/>
      <c r="Z502" s="242"/>
    </row>
    <row r="503">
      <c r="A503" s="242"/>
      <c r="B503" s="13"/>
      <c r="C503" s="13"/>
      <c r="D503" s="242"/>
      <c r="E503" s="242"/>
      <c r="F503" s="242"/>
      <c r="G503" s="242"/>
      <c r="H503" s="242"/>
      <c r="I503" s="242"/>
      <c r="J503" s="242"/>
      <c r="K503" s="242"/>
      <c r="L503" s="242"/>
      <c r="M503" s="242"/>
      <c r="N503" s="242"/>
      <c r="O503" s="242"/>
      <c r="P503" s="242"/>
      <c r="Q503" s="242"/>
      <c r="R503" s="242"/>
      <c r="S503" s="242"/>
      <c r="T503" s="13"/>
      <c r="U503" s="242"/>
      <c r="V503" s="242"/>
      <c r="W503" s="242"/>
      <c r="X503" s="242"/>
      <c r="Y503" s="242"/>
      <c r="Z503" s="242"/>
    </row>
    <row r="504">
      <c r="A504" s="242"/>
      <c r="B504" s="13"/>
      <c r="C504" s="13"/>
      <c r="D504" s="242"/>
      <c r="E504" s="242"/>
      <c r="F504" s="242"/>
      <c r="G504" s="242"/>
      <c r="H504" s="242"/>
      <c r="I504" s="242"/>
      <c r="J504" s="242"/>
      <c r="K504" s="242"/>
      <c r="L504" s="242"/>
      <c r="M504" s="242"/>
      <c r="N504" s="242"/>
      <c r="O504" s="242"/>
      <c r="P504" s="242"/>
      <c r="Q504" s="242"/>
      <c r="R504" s="242"/>
      <c r="S504" s="242"/>
      <c r="T504" s="13"/>
      <c r="U504" s="242"/>
      <c r="V504" s="242"/>
      <c r="W504" s="242"/>
      <c r="X504" s="242"/>
      <c r="Y504" s="242"/>
      <c r="Z504" s="242"/>
    </row>
    <row r="505">
      <c r="A505" s="242"/>
      <c r="B505" s="13"/>
      <c r="C505" s="13"/>
      <c r="D505" s="242"/>
      <c r="E505" s="242"/>
      <c r="F505" s="242"/>
      <c r="G505" s="242"/>
      <c r="H505" s="242"/>
      <c r="I505" s="242"/>
      <c r="J505" s="242"/>
      <c r="K505" s="242"/>
      <c r="L505" s="242"/>
      <c r="M505" s="242"/>
      <c r="N505" s="242"/>
      <c r="O505" s="242"/>
      <c r="P505" s="242"/>
      <c r="Q505" s="242"/>
      <c r="R505" s="242"/>
      <c r="S505" s="242"/>
      <c r="T505" s="13"/>
      <c r="U505" s="242"/>
      <c r="V505" s="242"/>
      <c r="W505" s="242"/>
      <c r="X505" s="242"/>
      <c r="Y505" s="242"/>
      <c r="Z505" s="242"/>
    </row>
    <row r="506">
      <c r="A506" s="242"/>
      <c r="B506" s="13"/>
      <c r="C506" s="13"/>
      <c r="D506" s="242"/>
      <c r="E506" s="242"/>
      <c r="F506" s="242"/>
      <c r="G506" s="242"/>
      <c r="H506" s="242"/>
      <c r="I506" s="242"/>
      <c r="J506" s="242"/>
      <c r="K506" s="242"/>
      <c r="L506" s="242"/>
      <c r="M506" s="242"/>
      <c r="N506" s="242"/>
      <c r="O506" s="242"/>
      <c r="P506" s="242"/>
      <c r="Q506" s="242"/>
      <c r="R506" s="242"/>
      <c r="S506" s="242"/>
      <c r="T506" s="13"/>
      <c r="U506" s="242"/>
      <c r="V506" s="242"/>
      <c r="W506" s="242"/>
      <c r="X506" s="242"/>
      <c r="Y506" s="242"/>
      <c r="Z506" s="242"/>
    </row>
    <row r="507">
      <c r="A507" s="242"/>
      <c r="B507" s="13"/>
      <c r="C507" s="13"/>
      <c r="D507" s="242"/>
      <c r="E507" s="242"/>
      <c r="F507" s="242"/>
      <c r="G507" s="242"/>
      <c r="H507" s="242"/>
      <c r="I507" s="242"/>
      <c r="J507" s="242"/>
      <c r="K507" s="242"/>
      <c r="L507" s="242"/>
      <c r="M507" s="242"/>
      <c r="N507" s="242"/>
      <c r="O507" s="242"/>
      <c r="P507" s="242"/>
      <c r="Q507" s="242"/>
      <c r="R507" s="242"/>
      <c r="S507" s="242"/>
      <c r="T507" s="13"/>
      <c r="U507" s="242"/>
      <c r="V507" s="242"/>
      <c r="W507" s="242"/>
      <c r="X507" s="242"/>
      <c r="Y507" s="242"/>
      <c r="Z507" s="242"/>
    </row>
    <row r="508">
      <c r="A508" s="242"/>
      <c r="B508" s="13"/>
      <c r="C508" s="13"/>
      <c r="D508" s="242"/>
      <c r="E508" s="242"/>
      <c r="F508" s="242"/>
      <c r="G508" s="242"/>
      <c r="H508" s="242"/>
      <c r="I508" s="242"/>
      <c r="J508" s="242"/>
      <c r="K508" s="242"/>
      <c r="L508" s="242"/>
      <c r="M508" s="242"/>
      <c r="N508" s="242"/>
      <c r="O508" s="242"/>
      <c r="P508" s="242"/>
      <c r="Q508" s="242"/>
      <c r="R508" s="242"/>
      <c r="S508" s="242"/>
      <c r="T508" s="13"/>
      <c r="U508" s="242"/>
      <c r="V508" s="242"/>
      <c r="W508" s="242"/>
      <c r="X508" s="242"/>
      <c r="Y508" s="242"/>
      <c r="Z508" s="242"/>
    </row>
    <row r="509">
      <c r="A509" s="242"/>
      <c r="B509" s="13"/>
      <c r="C509" s="13"/>
      <c r="D509" s="242"/>
      <c r="E509" s="242"/>
      <c r="F509" s="242"/>
      <c r="G509" s="242"/>
      <c r="H509" s="242"/>
      <c r="I509" s="242"/>
      <c r="J509" s="242"/>
      <c r="K509" s="242"/>
      <c r="L509" s="242"/>
      <c r="M509" s="242"/>
      <c r="N509" s="242"/>
      <c r="O509" s="242"/>
      <c r="P509" s="242"/>
      <c r="Q509" s="242"/>
      <c r="R509" s="242"/>
      <c r="S509" s="242"/>
      <c r="T509" s="13"/>
      <c r="U509" s="242"/>
      <c r="V509" s="242"/>
      <c r="W509" s="242"/>
      <c r="X509" s="242"/>
      <c r="Y509" s="242"/>
      <c r="Z509" s="242"/>
    </row>
    <row r="510">
      <c r="A510" s="242"/>
      <c r="B510" s="13"/>
      <c r="C510" s="13"/>
      <c r="D510" s="242"/>
      <c r="E510" s="242"/>
      <c r="F510" s="242"/>
      <c r="G510" s="242"/>
      <c r="H510" s="242"/>
      <c r="I510" s="242"/>
      <c r="J510" s="242"/>
      <c r="K510" s="242"/>
      <c r="L510" s="242"/>
      <c r="M510" s="242"/>
      <c r="N510" s="242"/>
      <c r="O510" s="242"/>
      <c r="P510" s="242"/>
      <c r="Q510" s="242"/>
      <c r="R510" s="242"/>
      <c r="S510" s="242"/>
      <c r="T510" s="13"/>
      <c r="U510" s="242"/>
      <c r="V510" s="242"/>
      <c r="W510" s="242"/>
      <c r="X510" s="242"/>
      <c r="Y510" s="242"/>
      <c r="Z510" s="242"/>
    </row>
    <row r="511">
      <c r="A511" s="242"/>
      <c r="B511" s="13"/>
      <c r="C511" s="13"/>
      <c r="D511" s="242"/>
      <c r="E511" s="242"/>
      <c r="F511" s="242"/>
      <c r="G511" s="242"/>
      <c r="H511" s="242"/>
      <c r="I511" s="242"/>
      <c r="J511" s="242"/>
      <c r="K511" s="242"/>
      <c r="L511" s="242"/>
      <c r="M511" s="242"/>
      <c r="N511" s="242"/>
      <c r="O511" s="242"/>
      <c r="P511" s="242"/>
      <c r="Q511" s="242"/>
      <c r="R511" s="242"/>
      <c r="S511" s="242"/>
      <c r="T511" s="13"/>
      <c r="U511" s="242"/>
      <c r="V511" s="242"/>
      <c r="W511" s="242"/>
      <c r="X511" s="242"/>
      <c r="Y511" s="242"/>
      <c r="Z511" s="242"/>
    </row>
    <row r="512">
      <c r="A512" s="242"/>
      <c r="B512" s="13"/>
      <c r="C512" s="13"/>
      <c r="D512" s="242"/>
      <c r="E512" s="242"/>
      <c r="F512" s="242"/>
      <c r="G512" s="242"/>
      <c r="H512" s="242"/>
      <c r="I512" s="242"/>
      <c r="J512" s="242"/>
      <c r="K512" s="242"/>
      <c r="L512" s="242"/>
      <c r="M512" s="242"/>
      <c r="N512" s="242"/>
      <c r="O512" s="242"/>
      <c r="P512" s="242"/>
      <c r="Q512" s="242"/>
      <c r="R512" s="242"/>
      <c r="S512" s="242"/>
      <c r="T512" s="13"/>
      <c r="U512" s="242"/>
      <c r="V512" s="242"/>
      <c r="W512" s="242"/>
      <c r="X512" s="242"/>
      <c r="Y512" s="242"/>
      <c r="Z512" s="242"/>
    </row>
    <row r="513">
      <c r="A513" s="242"/>
      <c r="B513" s="13"/>
      <c r="C513" s="13"/>
      <c r="D513" s="242"/>
      <c r="E513" s="242"/>
      <c r="F513" s="242"/>
      <c r="G513" s="242"/>
      <c r="H513" s="242"/>
      <c r="I513" s="242"/>
      <c r="J513" s="242"/>
      <c r="K513" s="242"/>
      <c r="L513" s="242"/>
      <c r="M513" s="242"/>
      <c r="N513" s="242"/>
      <c r="O513" s="242"/>
      <c r="P513" s="242"/>
      <c r="Q513" s="242"/>
      <c r="R513" s="242"/>
      <c r="S513" s="242"/>
      <c r="T513" s="13"/>
      <c r="U513" s="242"/>
      <c r="V513" s="242"/>
      <c r="W513" s="242"/>
      <c r="X513" s="242"/>
      <c r="Y513" s="242"/>
      <c r="Z513" s="242"/>
    </row>
    <row r="514">
      <c r="A514" s="242"/>
      <c r="B514" s="13"/>
      <c r="C514" s="13"/>
      <c r="D514" s="242"/>
      <c r="E514" s="242"/>
      <c r="F514" s="242"/>
      <c r="G514" s="242"/>
      <c r="H514" s="242"/>
      <c r="I514" s="242"/>
      <c r="J514" s="242"/>
      <c r="K514" s="242"/>
      <c r="L514" s="242"/>
      <c r="M514" s="242"/>
      <c r="N514" s="242"/>
      <c r="O514" s="242"/>
      <c r="P514" s="242"/>
      <c r="Q514" s="242"/>
      <c r="R514" s="242"/>
      <c r="S514" s="242"/>
      <c r="T514" s="13"/>
      <c r="U514" s="242"/>
      <c r="V514" s="242"/>
      <c r="W514" s="242"/>
      <c r="X514" s="242"/>
      <c r="Y514" s="242"/>
      <c r="Z514" s="242"/>
    </row>
    <row r="515">
      <c r="A515" s="242"/>
      <c r="B515" s="13"/>
      <c r="C515" s="13"/>
      <c r="D515" s="242"/>
      <c r="E515" s="242"/>
      <c r="F515" s="242"/>
      <c r="G515" s="242"/>
      <c r="H515" s="242"/>
      <c r="I515" s="242"/>
      <c r="J515" s="242"/>
      <c r="K515" s="242"/>
      <c r="L515" s="242"/>
      <c r="M515" s="242"/>
      <c r="N515" s="242"/>
      <c r="O515" s="242"/>
      <c r="P515" s="242"/>
      <c r="Q515" s="242"/>
      <c r="R515" s="242"/>
      <c r="S515" s="242"/>
      <c r="T515" s="13"/>
      <c r="U515" s="242"/>
      <c r="V515" s="242"/>
      <c r="W515" s="242"/>
      <c r="X515" s="242"/>
      <c r="Y515" s="242"/>
      <c r="Z515" s="242"/>
    </row>
    <row r="516">
      <c r="A516" s="242"/>
      <c r="B516" s="13"/>
      <c r="C516" s="13"/>
      <c r="D516" s="242"/>
      <c r="E516" s="242"/>
      <c r="F516" s="242"/>
      <c r="G516" s="242"/>
      <c r="H516" s="242"/>
      <c r="I516" s="242"/>
      <c r="J516" s="242"/>
      <c r="K516" s="242"/>
      <c r="L516" s="242"/>
      <c r="M516" s="242"/>
      <c r="N516" s="242"/>
      <c r="O516" s="242"/>
      <c r="P516" s="242"/>
      <c r="Q516" s="242"/>
      <c r="R516" s="242"/>
      <c r="S516" s="242"/>
      <c r="T516" s="13"/>
      <c r="U516" s="242"/>
      <c r="V516" s="242"/>
      <c r="W516" s="242"/>
      <c r="X516" s="242"/>
      <c r="Y516" s="242"/>
      <c r="Z516" s="242"/>
    </row>
    <row r="517">
      <c r="A517" s="242"/>
      <c r="B517" s="13"/>
      <c r="C517" s="13"/>
      <c r="D517" s="242"/>
      <c r="E517" s="242"/>
      <c r="F517" s="242"/>
      <c r="G517" s="242"/>
      <c r="H517" s="242"/>
      <c r="I517" s="242"/>
      <c r="J517" s="242"/>
      <c r="K517" s="242"/>
      <c r="L517" s="242"/>
      <c r="M517" s="242"/>
      <c r="N517" s="242"/>
      <c r="O517" s="242"/>
      <c r="P517" s="242"/>
      <c r="Q517" s="242"/>
      <c r="R517" s="242"/>
      <c r="S517" s="242"/>
      <c r="T517" s="13"/>
      <c r="U517" s="242"/>
      <c r="V517" s="242"/>
      <c r="W517" s="242"/>
      <c r="X517" s="242"/>
      <c r="Y517" s="242"/>
      <c r="Z517" s="242"/>
    </row>
    <row r="518">
      <c r="A518" s="242"/>
      <c r="B518" s="13"/>
      <c r="C518" s="13"/>
      <c r="D518" s="242"/>
      <c r="E518" s="242"/>
      <c r="F518" s="242"/>
      <c r="G518" s="242"/>
      <c r="H518" s="242"/>
      <c r="I518" s="242"/>
      <c r="J518" s="242"/>
      <c r="K518" s="242"/>
      <c r="L518" s="242"/>
      <c r="M518" s="242"/>
      <c r="N518" s="242"/>
      <c r="O518" s="242"/>
      <c r="P518" s="242"/>
      <c r="Q518" s="242"/>
      <c r="R518" s="242"/>
      <c r="S518" s="242"/>
      <c r="T518" s="13"/>
      <c r="U518" s="242"/>
      <c r="V518" s="242"/>
      <c r="W518" s="242"/>
      <c r="X518" s="242"/>
      <c r="Y518" s="242"/>
      <c r="Z518" s="242"/>
    </row>
    <row r="519">
      <c r="A519" s="242"/>
      <c r="B519" s="13"/>
      <c r="C519" s="13"/>
      <c r="D519" s="242"/>
      <c r="E519" s="242"/>
      <c r="F519" s="242"/>
      <c r="G519" s="242"/>
      <c r="H519" s="242"/>
      <c r="I519" s="242"/>
      <c r="J519" s="242"/>
      <c r="K519" s="242"/>
      <c r="L519" s="242"/>
      <c r="M519" s="242"/>
      <c r="N519" s="242"/>
      <c r="O519" s="242"/>
      <c r="P519" s="242"/>
      <c r="Q519" s="242"/>
      <c r="R519" s="242"/>
      <c r="S519" s="242"/>
      <c r="T519" s="13"/>
      <c r="U519" s="242"/>
      <c r="V519" s="242"/>
      <c r="W519" s="242"/>
      <c r="X519" s="242"/>
      <c r="Y519" s="242"/>
      <c r="Z519" s="242"/>
    </row>
    <row r="520">
      <c r="A520" s="242"/>
      <c r="B520" s="13"/>
      <c r="C520" s="13"/>
      <c r="D520" s="242"/>
      <c r="E520" s="242"/>
      <c r="F520" s="242"/>
      <c r="G520" s="242"/>
      <c r="H520" s="242"/>
      <c r="I520" s="242"/>
      <c r="J520" s="242"/>
      <c r="K520" s="242"/>
      <c r="L520" s="242"/>
      <c r="M520" s="242"/>
      <c r="N520" s="242"/>
      <c r="O520" s="242"/>
      <c r="P520" s="242"/>
      <c r="Q520" s="242"/>
      <c r="R520" s="242"/>
      <c r="S520" s="242"/>
      <c r="T520" s="13"/>
      <c r="U520" s="242"/>
      <c r="V520" s="242"/>
      <c r="W520" s="242"/>
      <c r="X520" s="242"/>
      <c r="Y520" s="242"/>
      <c r="Z520" s="242"/>
    </row>
    <row r="521">
      <c r="A521" s="242"/>
      <c r="B521" s="13"/>
      <c r="C521" s="13"/>
      <c r="D521" s="242"/>
      <c r="E521" s="242"/>
      <c r="F521" s="242"/>
      <c r="G521" s="242"/>
      <c r="H521" s="242"/>
      <c r="I521" s="242"/>
      <c r="J521" s="242"/>
      <c r="K521" s="242"/>
      <c r="L521" s="242"/>
      <c r="M521" s="242"/>
      <c r="N521" s="242"/>
      <c r="O521" s="242"/>
      <c r="P521" s="242"/>
      <c r="Q521" s="242"/>
      <c r="R521" s="242"/>
      <c r="S521" s="242"/>
      <c r="T521" s="13"/>
      <c r="U521" s="242"/>
      <c r="V521" s="242"/>
      <c r="W521" s="242"/>
      <c r="X521" s="242"/>
      <c r="Y521" s="242"/>
      <c r="Z521" s="242"/>
    </row>
    <row r="522">
      <c r="A522" s="242"/>
      <c r="B522" s="13"/>
      <c r="C522" s="13"/>
      <c r="D522" s="242"/>
      <c r="E522" s="242"/>
      <c r="F522" s="242"/>
      <c r="G522" s="242"/>
      <c r="H522" s="242"/>
      <c r="I522" s="242"/>
      <c r="J522" s="242"/>
      <c r="K522" s="242"/>
      <c r="L522" s="242"/>
      <c r="M522" s="242"/>
      <c r="N522" s="242"/>
      <c r="O522" s="242"/>
      <c r="P522" s="242"/>
      <c r="Q522" s="242"/>
      <c r="R522" s="242"/>
      <c r="S522" s="242"/>
      <c r="T522" s="13"/>
      <c r="U522" s="242"/>
      <c r="V522" s="242"/>
      <c r="W522" s="242"/>
      <c r="X522" s="242"/>
      <c r="Y522" s="242"/>
      <c r="Z522" s="242"/>
    </row>
    <row r="523">
      <c r="A523" s="242"/>
      <c r="B523" s="13"/>
      <c r="C523" s="13"/>
      <c r="D523" s="242"/>
      <c r="E523" s="242"/>
      <c r="F523" s="242"/>
      <c r="G523" s="242"/>
      <c r="H523" s="242"/>
      <c r="I523" s="242"/>
      <c r="J523" s="242"/>
      <c r="K523" s="242"/>
      <c r="L523" s="242"/>
      <c r="M523" s="242"/>
      <c r="N523" s="242"/>
      <c r="O523" s="242"/>
      <c r="P523" s="242"/>
      <c r="Q523" s="242"/>
      <c r="R523" s="242"/>
      <c r="S523" s="242"/>
      <c r="T523" s="13"/>
      <c r="U523" s="242"/>
      <c r="V523" s="242"/>
      <c r="W523" s="242"/>
      <c r="X523" s="242"/>
      <c r="Y523" s="242"/>
      <c r="Z523" s="242"/>
    </row>
    <row r="524">
      <c r="A524" s="242"/>
      <c r="B524" s="13"/>
      <c r="C524" s="13"/>
      <c r="D524" s="242"/>
      <c r="E524" s="242"/>
      <c r="F524" s="242"/>
      <c r="G524" s="242"/>
      <c r="H524" s="242"/>
      <c r="I524" s="242"/>
      <c r="J524" s="242"/>
      <c r="K524" s="242"/>
      <c r="L524" s="242"/>
      <c r="M524" s="242"/>
      <c r="N524" s="242"/>
      <c r="O524" s="242"/>
      <c r="P524" s="242"/>
      <c r="Q524" s="242"/>
      <c r="R524" s="242"/>
      <c r="S524" s="242"/>
      <c r="T524" s="13"/>
      <c r="U524" s="242"/>
      <c r="V524" s="242"/>
      <c r="W524" s="242"/>
      <c r="X524" s="242"/>
      <c r="Y524" s="242"/>
      <c r="Z524" s="242"/>
    </row>
    <row r="525">
      <c r="A525" s="242"/>
      <c r="B525" s="13"/>
      <c r="C525" s="13"/>
      <c r="D525" s="242"/>
      <c r="E525" s="242"/>
      <c r="F525" s="242"/>
      <c r="G525" s="242"/>
      <c r="H525" s="242"/>
      <c r="I525" s="242"/>
      <c r="J525" s="242"/>
      <c r="K525" s="242"/>
      <c r="L525" s="242"/>
      <c r="M525" s="242"/>
      <c r="N525" s="242"/>
      <c r="O525" s="242"/>
      <c r="P525" s="242"/>
      <c r="Q525" s="242"/>
      <c r="R525" s="242"/>
      <c r="S525" s="242"/>
      <c r="T525" s="13"/>
      <c r="U525" s="242"/>
      <c r="V525" s="242"/>
      <c r="W525" s="242"/>
      <c r="X525" s="242"/>
      <c r="Y525" s="242"/>
      <c r="Z525" s="242"/>
    </row>
    <row r="526">
      <c r="A526" s="242"/>
      <c r="B526" s="13"/>
      <c r="C526" s="13"/>
      <c r="D526" s="242"/>
      <c r="E526" s="242"/>
      <c r="F526" s="242"/>
      <c r="G526" s="242"/>
      <c r="H526" s="242"/>
      <c r="I526" s="242"/>
      <c r="J526" s="242"/>
      <c r="K526" s="242"/>
      <c r="L526" s="242"/>
      <c r="M526" s="242"/>
      <c r="N526" s="242"/>
      <c r="O526" s="242"/>
      <c r="P526" s="242"/>
      <c r="Q526" s="242"/>
      <c r="R526" s="242"/>
      <c r="S526" s="242"/>
      <c r="T526" s="13"/>
      <c r="U526" s="242"/>
      <c r="V526" s="242"/>
      <c r="W526" s="242"/>
      <c r="X526" s="242"/>
      <c r="Y526" s="242"/>
      <c r="Z526" s="242"/>
    </row>
    <row r="527">
      <c r="A527" s="242"/>
      <c r="B527" s="13"/>
      <c r="C527" s="13"/>
      <c r="D527" s="242"/>
      <c r="E527" s="242"/>
      <c r="F527" s="242"/>
      <c r="G527" s="242"/>
      <c r="H527" s="242"/>
      <c r="I527" s="242"/>
      <c r="J527" s="242"/>
      <c r="K527" s="242"/>
      <c r="L527" s="242"/>
      <c r="M527" s="242"/>
      <c r="N527" s="242"/>
      <c r="O527" s="242"/>
      <c r="P527" s="242"/>
      <c r="Q527" s="242"/>
      <c r="R527" s="242"/>
      <c r="S527" s="242"/>
      <c r="T527" s="13"/>
      <c r="U527" s="242"/>
      <c r="V527" s="242"/>
      <c r="W527" s="242"/>
      <c r="X527" s="242"/>
      <c r="Y527" s="242"/>
      <c r="Z527" s="242"/>
    </row>
    <row r="528">
      <c r="A528" s="242"/>
      <c r="B528" s="13"/>
      <c r="C528" s="13"/>
      <c r="D528" s="242"/>
      <c r="E528" s="242"/>
      <c r="F528" s="242"/>
      <c r="G528" s="242"/>
      <c r="H528" s="242"/>
      <c r="I528" s="242"/>
      <c r="J528" s="242"/>
      <c r="K528" s="242"/>
      <c r="L528" s="242"/>
      <c r="M528" s="242"/>
      <c r="N528" s="242"/>
      <c r="O528" s="242"/>
      <c r="P528" s="242"/>
      <c r="Q528" s="242"/>
      <c r="R528" s="242"/>
      <c r="S528" s="242"/>
      <c r="T528" s="13"/>
      <c r="U528" s="242"/>
      <c r="V528" s="242"/>
      <c r="W528" s="242"/>
      <c r="X528" s="242"/>
      <c r="Y528" s="242"/>
      <c r="Z528" s="242"/>
    </row>
    <row r="529">
      <c r="A529" s="242"/>
      <c r="B529" s="13"/>
      <c r="C529" s="13"/>
      <c r="D529" s="242"/>
      <c r="E529" s="242"/>
      <c r="F529" s="242"/>
      <c r="G529" s="242"/>
      <c r="H529" s="242"/>
      <c r="I529" s="242"/>
      <c r="J529" s="242"/>
      <c r="K529" s="242"/>
      <c r="L529" s="242"/>
      <c r="M529" s="242"/>
      <c r="N529" s="242"/>
      <c r="O529" s="242"/>
      <c r="P529" s="242"/>
      <c r="Q529" s="242"/>
      <c r="R529" s="242"/>
      <c r="S529" s="242"/>
      <c r="T529" s="13"/>
      <c r="U529" s="242"/>
      <c r="V529" s="242"/>
      <c r="W529" s="242"/>
      <c r="X529" s="242"/>
      <c r="Y529" s="242"/>
      <c r="Z529" s="242"/>
    </row>
    <row r="530">
      <c r="A530" s="242"/>
      <c r="B530" s="13"/>
      <c r="C530" s="13"/>
      <c r="D530" s="242"/>
      <c r="E530" s="242"/>
      <c r="F530" s="242"/>
      <c r="G530" s="242"/>
      <c r="H530" s="242"/>
      <c r="I530" s="242"/>
      <c r="J530" s="242"/>
      <c r="K530" s="242"/>
      <c r="L530" s="242"/>
      <c r="M530" s="242"/>
      <c r="N530" s="242"/>
      <c r="O530" s="242"/>
      <c r="P530" s="242"/>
      <c r="Q530" s="242"/>
      <c r="R530" s="242"/>
      <c r="S530" s="242"/>
      <c r="T530" s="13"/>
      <c r="U530" s="242"/>
      <c r="V530" s="242"/>
      <c r="W530" s="242"/>
      <c r="X530" s="242"/>
      <c r="Y530" s="242"/>
      <c r="Z530" s="242"/>
    </row>
    <row r="531">
      <c r="A531" s="242"/>
      <c r="B531" s="13"/>
      <c r="C531" s="13"/>
      <c r="D531" s="242"/>
      <c r="E531" s="242"/>
      <c r="F531" s="242"/>
      <c r="G531" s="242"/>
      <c r="H531" s="242"/>
      <c r="I531" s="242"/>
      <c r="J531" s="242"/>
      <c r="K531" s="242"/>
      <c r="L531" s="242"/>
      <c r="M531" s="242"/>
      <c r="N531" s="242"/>
      <c r="O531" s="242"/>
      <c r="P531" s="242"/>
      <c r="Q531" s="242"/>
      <c r="R531" s="242"/>
      <c r="S531" s="242"/>
      <c r="T531" s="13"/>
      <c r="U531" s="242"/>
      <c r="V531" s="242"/>
      <c r="W531" s="242"/>
      <c r="X531" s="242"/>
      <c r="Y531" s="242"/>
      <c r="Z531" s="242"/>
    </row>
    <row r="532">
      <c r="A532" s="242"/>
      <c r="B532" s="13"/>
      <c r="C532" s="13"/>
      <c r="D532" s="242"/>
      <c r="E532" s="242"/>
      <c r="F532" s="242"/>
      <c r="G532" s="242"/>
      <c r="H532" s="242"/>
      <c r="I532" s="242"/>
      <c r="J532" s="242"/>
      <c r="K532" s="242"/>
      <c r="L532" s="242"/>
      <c r="M532" s="242"/>
      <c r="N532" s="242"/>
      <c r="O532" s="242"/>
      <c r="P532" s="242"/>
      <c r="Q532" s="242"/>
      <c r="R532" s="242"/>
      <c r="S532" s="242"/>
      <c r="T532" s="13"/>
      <c r="U532" s="242"/>
      <c r="V532" s="242"/>
      <c r="W532" s="242"/>
      <c r="X532" s="242"/>
      <c r="Y532" s="242"/>
      <c r="Z532" s="242"/>
    </row>
    <row r="533">
      <c r="A533" s="242"/>
      <c r="B533" s="13"/>
      <c r="C533" s="13"/>
      <c r="D533" s="242"/>
      <c r="E533" s="242"/>
      <c r="F533" s="242"/>
      <c r="G533" s="242"/>
      <c r="H533" s="242"/>
      <c r="I533" s="242"/>
      <c r="J533" s="242"/>
      <c r="K533" s="242"/>
      <c r="L533" s="242"/>
      <c r="M533" s="242"/>
      <c r="N533" s="242"/>
      <c r="O533" s="242"/>
      <c r="P533" s="242"/>
      <c r="Q533" s="242"/>
      <c r="R533" s="242"/>
      <c r="S533" s="242"/>
      <c r="T533" s="13"/>
      <c r="U533" s="242"/>
      <c r="V533" s="242"/>
      <c r="W533" s="242"/>
      <c r="X533" s="242"/>
      <c r="Y533" s="242"/>
      <c r="Z533" s="242"/>
    </row>
    <row r="534">
      <c r="A534" s="242"/>
      <c r="B534" s="13"/>
      <c r="C534" s="13"/>
      <c r="D534" s="242"/>
      <c r="E534" s="242"/>
      <c r="F534" s="242"/>
      <c r="G534" s="242"/>
      <c r="H534" s="242"/>
      <c r="I534" s="242"/>
      <c r="J534" s="242"/>
      <c r="K534" s="242"/>
      <c r="L534" s="242"/>
      <c r="M534" s="242"/>
      <c r="N534" s="242"/>
      <c r="O534" s="242"/>
      <c r="P534" s="242"/>
      <c r="Q534" s="242"/>
      <c r="R534" s="242"/>
      <c r="S534" s="242"/>
      <c r="T534" s="13"/>
      <c r="U534" s="242"/>
      <c r="V534" s="242"/>
      <c r="W534" s="242"/>
      <c r="X534" s="242"/>
      <c r="Y534" s="242"/>
      <c r="Z534" s="242"/>
    </row>
    <row r="535">
      <c r="A535" s="242"/>
      <c r="B535" s="13"/>
      <c r="C535" s="13"/>
      <c r="D535" s="242"/>
      <c r="E535" s="242"/>
      <c r="F535" s="242"/>
      <c r="G535" s="242"/>
      <c r="H535" s="242"/>
      <c r="I535" s="242"/>
      <c r="J535" s="242"/>
      <c r="K535" s="242"/>
      <c r="L535" s="242"/>
      <c r="M535" s="242"/>
      <c r="N535" s="242"/>
      <c r="O535" s="242"/>
      <c r="P535" s="242"/>
      <c r="Q535" s="242"/>
      <c r="R535" s="242"/>
      <c r="S535" s="242"/>
      <c r="T535" s="13"/>
      <c r="U535" s="242"/>
      <c r="V535" s="242"/>
      <c r="W535" s="242"/>
      <c r="X535" s="242"/>
      <c r="Y535" s="242"/>
      <c r="Z535" s="242"/>
    </row>
    <row r="536">
      <c r="A536" s="242"/>
      <c r="B536" s="13"/>
      <c r="C536" s="13"/>
      <c r="D536" s="242"/>
      <c r="E536" s="242"/>
      <c r="F536" s="242"/>
      <c r="G536" s="242"/>
      <c r="H536" s="242"/>
      <c r="I536" s="242"/>
      <c r="J536" s="242"/>
      <c r="K536" s="242"/>
      <c r="L536" s="242"/>
      <c r="M536" s="242"/>
      <c r="N536" s="242"/>
      <c r="O536" s="242"/>
      <c r="P536" s="242"/>
      <c r="Q536" s="242"/>
      <c r="R536" s="242"/>
      <c r="S536" s="242"/>
      <c r="T536" s="13"/>
      <c r="U536" s="242"/>
      <c r="V536" s="242"/>
      <c r="W536" s="242"/>
      <c r="X536" s="242"/>
      <c r="Y536" s="242"/>
      <c r="Z536" s="242"/>
    </row>
    <row r="537">
      <c r="A537" s="242"/>
      <c r="B537" s="13"/>
      <c r="C537" s="13"/>
      <c r="D537" s="242"/>
      <c r="E537" s="242"/>
      <c r="F537" s="242"/>
      <c r="G537" s="242"/>
      <c r="H537" s="242"/>
      <c r="I537" s="242"/>
      <c r="J537" s="242"/>
      <c r="K537" s="242"/>
      <c r="L537" s="242"/>
      <c r="M537" s="242"/>
      <c r="N537" s="242"/>
      <c r="O537" s="242"/>
      <c r="P537" s="242"/>
      <c r="Q537" s="242"/>
      <c r="R537" s="242"/>
      <c r="S537" s="242"/>
      <c r="T537" s="13"/>
      <c r="U537" s="242"/>
      <c r="V537" s="242"/>
      <c r="W537" s="242"/>
      <c r="X537" s="242"/>
      <c r="Y537" s="242"/>
      <c r="Z537" s="242"/>
    </row>
    <row r="538">
      <c r="A538" s="242"/>
      <c r="B538" s="13"/>
      <c r="C538" s="13"/>
      <c r="D538" s="242"/>
      <c r="E538" s="242"/>
      <c r="F538" s="242"/>
      <c r="G538" s="242"/>
      <c r="H538" s="242"/>
      <c r="I538" s="242"/>
      <c r="J538" s="242"/>
      <c r="K538" s="242"/>
      <c r="L538" s="242"/>
      <c r="M538" s="242"/>
      <c r="N538" s="242"/>
      <c r="O538" s="242"/>
      <c r="P538" s="242"/>
      <c r="Q538" s="242"/>
      <c r="R538" s="242"/>
      <c r="S538" s="242"/>
      <c r="T538" s="13"/>
      <c r="U538" s="242"/>
      <c r="V538" s="242"/>
      <c r="W538" s="242"/>
      <c r="X538" s="242"/>
      <c r="Y538" s="242"/>
      <c r="Z538" s="242"/>
    </row>
    <row r="539">
      <c r="A539" s="242"/>
      <c r="B539" s="13"/>
      <c r="C539" s="13"/>
      <c r="D539" s="242"/>
      <c r="E539" s="242"/>
      <c r="F539" s="242"/>
      <c r="G539" s="242"/>
      <c r="H539" s="242"/>
      <c r="I539" s="242"/>
      <c r="J539" s="242"/>
      <c r="K539" s="242"/>
      <c r="L539" s="242"/>
      <c r="M539" s="242"/>
      <c r="N539" s="242"/>
      <c r="O539" s="242"/>
      <c r="P539" s="242"/>
      <c r="Q539" s="242"/>
      <c r="R539" s="242"/>
      <c r="S539" s="242"/>
      <c r="T539" s="13"/>
      <c r="U539" s="242"/>
      <c r="V539" s="242"/>
      <c r="W539" s="242"/>
      <c r="X539" s="242"/>
      <c r="Y539" s="242"/>
      <c r="Z539" s="242"/>
    </row>
    <row r="540">
      <c r="A540" s="242"/>
      <c r="B540" s="13"/>
      <c r="C540" s="13"/>
      <c r="D540" s="242"/>
      <c r="E540" s="242"/>
      <c r="F540" s="242"/>
      <c r="G540" s="242"/>
      <c r="H540" s="242"/>
      <c r="I540" s="242"/>
      <c r="J540" s="242"/>
      <c r="K540" s="242"/>
      <c r="L540" s="242"/>
      <c r="M540" s="242"/>
      <c r="N540" s="242"/>
      <c r="O540" s="242"/>
      <c r="P540" s="242"/>
      <c r="Q540" s="242"/>
      <c r="R540" s="242"/>
      <c r="S540" s="242"/>
      <c r="T540" s="13"/>
      <c r="U540" s="242"/>
      <c r="V540" s="242"/>
      <c r="W540" s="242"/>
      <c r="X540" s="242"/>
      <c r="Y540" s="242"/>
      <c r="Z540" s="242"/>
    </row>
    <row r="541">
      <c r="A541" s="242"/>
      <c r="B541" s="13"/>
      <c r="C541" s="13"/>
      <c r="D541" s="242"/>
      <c r="E541" s="242"/>
      <c r="F541" s="242"/>
      <c r="G541" s="242"/>
      <c r="H541" s="242"/>
      <c r="I541" s="242"/>
      <c r="J541" s="242"/>
      <c r="K541" s="242"/>
      <c r="L541" s="242"/>
      <c r="M541" s="242"/>
      <c r="N541" s="242"/>
      <c r="O541" s="242"/>
      <c r="P541" s="242"/>
      <c r="Q541" s="242"/>
      <c r="R541" s="242"/>
      <c r="S541" s="242"/>
      <c r="T541" s="13"/>
      <c r="U541" s="242"/>
      <c r="V541" s="242"/>
      <c r="W541" s="242"/>
      <c r="X541" s="242"/>
      <c r="Y541" s="242"/>
      <c r="Z541" s="242"/>
    </row>
    <row r="542">
      <c r="A542" s="242"/>
      <c r="B542" s="13"/>
      <c r="C542" s="13"/>
      <c r="D542" s="242"/>
      <c r="E542" s="242"/>
      <c r="F542" s="242"/>
      <c r="G542" s="242"/>
      <c r="H542" s="242"/>
      <c r="I542" s="242"/>
      <c r="J542" s="242"/>
      <c r="K542" s="242"/>
      <c r="L542" s="242"/>
      <c r="M542" s="242"/>
      <c r="N542" s="242"/>
      <c r="O542" s="242"/>
      <c r="P542" s="242"/>
      <c r="Q542" s="242"/>
      <c r="R542" s="242"/>
      <c r="S542" s="242"/>
      <c r="T542" s="13"/>
      <c r="U542" s="242"/>
      <c r="V542" s="242"/>
      <c r="W542" s="242"/>
      <c r="X542" s="242"/>
      <c r="Y542" s="242"/>
      <c r="Z542" s="242"/>
    </row>
    <row r="543">
      <c r="A543" s="242"/>
      <c r="B543" s="13"/>
      <c r="C543" s="13"/>
      <c r="D543" s="242"/>
      <c r="E543" s="242"/>
      <c r="F543" s="242"/>
      <c r="G543" s="242"/>
      <c r="H543" s="242"/>
      <c r="I543" s="242"/>
      <c r="J543" s="242"/>
      <c r="K543" s="242"/>
      <c r="L543" s="242"/>
      <c r="M543" s="242"/>
      <c r="N543" s="242"/>
      <c r="O543" s="242"/>
      <c r="P543" s="242"/>
      <c r="Q543" s="242"/>
      <c r="R543" s="242"/>
      <c r="S543" s="242"/>
      <c r="T543" s="13"/>
      <c r="U543" s="242"/>
      <c r="V543" s="242"/>
      <c r="W543" s="242"/>
      <c r="X543" s="242"/>
      <c r="Y543" s="242"/>
      <c r="Z543" s="242"/>
    </row>
    <row r="544">
      <c r="A544" s="242"/>
      <c r="B544" s="13"/>
      <c r="C544" s="13"/>
      <c r="D544" s="242"/>
      <c r="E544" s="242"/>
      <c r="F544" s="242"/>
      <c r="G544" s="242"/>
      <c r="H544" s="242"/>
      <c r="I544" s="242"/>
      <c r="J544" s="242"/>
      <c r="K544" s="242"/>
      <c r="L544" s="242"/>
      <c r="M544" s="242"/>
      <c r="N544" s="242"/>
      <c r="O544" s="242"/>
      <c r="P544" s="242"/>
      <c r="Q544" s="242"/>
      <c r="R544" s="242"/>
      <c r="S544" s="242"/>
      <c r="T544" s="13"/>
      <c r="U544" s="242"/>
      <c r="V544" s="242"/>
      <c r="W544" s="242"/>
      <c r="X544" s="242"/>
      <c r="Y544" s="242"/>
      <c r="Z544" s="242"/>
    </row>
    <row r="545">
      <c r="A545" s="242"/>
      <c r="B545" s="13"/>
      <c r="C545" s="13"/>
      <c r="D545" s="242"/>
      <c r="E545" s="242"/>
      <c r="F545" s="242"/>
      <c r="G545" s="242"/>
      <c r="H545" s="242"/>
      <c r="I545" s="242"/>
      <c r="J545" s="242"/>
      <c r="K545" s="242"/>
      <c r="L545" s="242"/>
      <c r="M545" s="242"/>
      <c r="N545" s="242"/>
      <c r="O545" s="242"/>
      <c r="P545" s="242"/>
      <c r="Q545" s="242"/>
      <c r="R545" s="242"/>
      <c r="S545" s="242"/>
      <c r="T545" s="13"/>
      <c r="U545" s="242"/>
      <c r="V545" s="242"/>
      <c r="W545" s="242"/>
      <c r="X545" s="242"/>
      <c r="Y545" s="242"/>
      <c r="Z545" s="242"/>
    </row>
    <row r="546">
      <c r="A546" s="242"/>
      <c r="B546" s="13"/>
      <c r="C546" s="13"/>
      <c r="D546" s="242"/>
      <c r="E546" s="242"/>
      <c r="F546" s="242"/>
      <c r="G546" s="242"/>
      <c r="H546" s="242"/>
      <c r="I546" s="242"/>
      <c r="J546" s="242"/>
      <c r="K546" s="242"/>
      <c r="L546" s="242"/>
      <c r="M546" s="242"/>
      <c r="N546" s="242"/>
      <c r="O546" s="242"/>
      <c r="P546" s="242"/>
      <c r="Q546" s="242"/>
      <c r="R546" s="242"/>
      <c r="S546" s="242"/>
      <c r="T546" s="13"/>
      <c r="U546" s="242"/>
      <c r="V546" s="242"/>
      <c r="W546" s="242"/>
      <c r="X546" s="242"/>
      <c r="Y546" s="242"/>
      <c r="Z546" s="242"/>
    </row>
    <row r="547">
      <c r="A547" s="242"/>
      <c r="B547" s="13"/>
      <c r="C547" s="13"/>
      <c r="D547" s="242"/>
      <c r="E547" s="242"/>
      <c r="F547" s="242"/>
      <c r="G547" s="242"/>
      <c r="H547" s="242"/>
      <c r="I547" s="242"/>
      <c r="J547" s="242"/>
      <c r="K547" s="242"/>
      <c r="L547" s="242"/>
      <c r="M547" s="242"/>
      <c r="N547" s="242"/>
      <c r="O547" s="242"/>
      <c r="P547" s="242"/>
      <c r="Q547" s="242"/>
      <c r="R547" s="242"/>
      <c r="S547" s="242"/>
      <c r="T547" s="13"/>
      <c r="U547" s="242"/>
      <c r="V547" s="242"/>
      <c r="W547" s="242"/>
      <c r="X547" s="242"/>
      <c r="Y547" s="242"/>
      <c r="Z547" s="242"/>
    </row>
    <row r="548">
      <c r="A548" s="242"/>
      <c r="B548" s="13"/>
      <c r="C548" s="13"/>
      <c r="D548" s="242"/>
      <c r="E548" s="242"/>
      <c r="F548" s="242"/>
      <c r="G548" s="242"/>
      <c r="H548" s="242"/>
      <c r="I548" s="242"/>
      <c r="J548" s="242"/>
      <c r="K548" s="242"/>
      <c r="L548" s="242"/>
      <c r="M548" s="242"/>
      <c r="N548" s="242"/>
      <c r="O548" s="242"/>
      <c r="P548" s="242"/>
      <c r="Q548" s="242"/>
      <c r="R548" s="242"/>
      <c r="S548" s="242"/>
      <c r="T548" s="13"/>
      <c r="U548" s="242"/>
      <c r="V548" s="242"/>
      <c r="W548" s="242"/>
      <c r="X548" s="242"/>
      <c r="Y548" s="242"/>
      <c r="Z548" s="242"/>
    </row>
    <row r="549">
      <c r="A549" s="242"/>
      <c r="B549" s="13"/>
      <c r="C549" s="13"/>
      <c r="D549" s="242"/>
      <c r="E549" s="242"/>
      <c r="F549" s="242"/>
      <c r="G549" s="242"/>
      <c r="H549" s="242"/>
      <c r="I549" s="242"/>
      <c r="J549" s="242"/>
      <c r="K549" s="242"/>
      <c r="L549" s="242"/>
      <c r="M549" s="242"/>
      <c r="N549" s="242"/>
      <c r="O549" s="242"/>
      <c r="P549" s="242"/>
      <c r="Q549" s="242"/>
      <c r="R549" s="242"/>
      <c r="S549" s="242"/>
      <c r="T549" s="13"/>
      <c r="U549" s="242"/>
      <c r="V549" s="242"/>
      <c r="W549" s="242"/>
      <c r="X549" s="242"/>
      <c r="Y549" s="242"/>
      <c r="Z549" s="242"/>
    </row>
    <row r="550">
      <c r="A550" s="242"/>
      <c r="B550" s="13"/>
      <c r="C550" s="13"/>
      <c r="D550" s="242"/>
      <c r="E550" s="242"/>
      <c r="F550" s="242"/>
      <c r="G550" s="242"/>
      <c r="H550" s="242"/>
      <c r="I550" s="242"/>
      <c r="J550" s="242"/>
      <c r="K550" s="242"/>
      <c r="L550" s="242"/>
      <c r="M550" s="242"/>
      <c r="N550" s="242"/>
      <c r="O550" s="242"/>
      <c r="P550" s="242"/>
      <c r="Q550" s="242"/>
      <c r="R550" s="242"/>
      <c r="S550" s="242"/>
      <c r="T550" s="13"/>
      <c r="U550" s="242"/>
      <c r="V550" s="242"/>
      <c r="W550" s="242"/>
      <c r="X550" s="242"/>
      <c r="Y550" s="242"/>
      <c r="Z550" s="242"/>
    </row>
    <row r="551">
      <c r="A551" s="242"/>
      <c r="B551" s="13"/>
      <c r="C551" s="13"/>
      <c r="D551" s="242"/>
      <c r="E551" s="242"/>
      <c r="F551" s="242"/>
      <c r="G551" s="242"/>
      <c r="H551" s="242"/>
      <c r="I551" s="242"/>
      <c r="J551" s="242"/>
      <c r="K551" s="242"/>
      <c r="L551" s="242"/>
      <c r="M551" s="242"/>
      <c r="N551" s="242"/>
      <c r="O551" s="242"/>
      <c r="P551" s="242"/>
      <c r="Q551" s="242"/>
      <c r="R551" s="242"/>
      <c r="S551" s="242"/>
      <c r="T551" s="13"/>
      <c r="U551" s="242"/>
      <c r="V551" s="242"/>
      <c r="W551" s="242"/>
      <c r="X551" s="242"/>
      <c r="Y551" s="242"/>
      <c r="Z551" s="242"/>
    </row>
    <row r="552">
      <c r="A552" s="242"/>
      <c r="B552" s="13"/>
      <c r="C552" s="13"/>
      <c r="D552" s="242"/>
      <c r="E552" s="242"/>
      <c r="F552" s="242"/>
      <c r="G552" s="242"/>
      <c r="H552" s="242"/>
      <c r="I552" s="242"/>
      <c r="J552" s="242"/>
      <c r="K552" s="242"/>
      <c r="L552" s="242"/>
      <c r="M552" s="242"/>
      <c r="N552" s="242"/>
      <c r="O552" s="242"/>
      <c r="P552" s="242"/>
      <c r="Q552" s="242"/>
      <c r="R552" s="242"/>
      <c r="S552" s="242"/>
      <c r="T552" s="13"/>
      <c r="U552" s="242"/>
      <c r="V552" s="242"/>
      <c r="W552" s="242"/>
      <c r="X552" s="242"/>
      <c r="Y552" s="242"/>
      <c r="Z552" s="242"/>
    </row>
    <row r="553">
      <c r="A553" s="242"/>
      <c r="B553" s="13"/>
      <c r="C553" s="13"/>
      <c r="D553" s="242"/>
      <c r="E553" s="242"/>
      <c r="F553" s="242"/>
      <c r="G553" s="242"/>
      <c r="H553" s="242"/>
      <c r="I553" s="242"/>
      <c r="J553" s="242"/>
      <c r="K553" s="242"/>
      <c r="L553" s="242"/>
      <c r="M553" s="242"/>
      <c r="N553" s="242"/>
      <c r="O553" s="242"/>
      <c r="P553" s="242"/>
      <c r="Q553" s="242"/>
      <c r="R553" s="242"/>
      <c r="S553" s="242"/>
      <c r="T553" s="13"/>
      <c r="U553" s="242"/>
      <c r="V553" s="242"/>
      <c r="W553" s="242"/>
      <c r="X553" s="242"/>
      <c r="Y553" s="242"/>
      <c r="Z553" s="242"/>
    </row>
    <row r="554">
      <c r="A554" s="242"/>
      <c r="B554" s="13"/>
      <c r="C554" s="13"/>
      <c r="D554" s="242"/>
      <c r="E554" s="242"/>
      <c r="F554" s="242"/>
      <c r="G554" s="242"/>
      <c r="H554" s="242"/>
      <c r="I554" s="242"/>
      <c r="J554" s="242"/>
      <c r="K554" s="242"/>
      <c r="L554" s="242"/>
      <c r="M554" s="242"/>
      <c r="N554" s="242"/>
      <c r="O554" s="242"/>
      <c r="P554" s="242"/>
      <c r="Q554" s="242"/>
      <c r="R554" s="242"/>
      <c r="S554" s="242"/>
      <c r="T554" s="13"/>
      <c r="U554" s="242"/>
      <c r="V554" s="242"/>
      <c r="W554" s="242"/>
      <c r="X554" s="242"/>
      <c r="Y554" s="242"/>
      <c r="Z554" s="242"/>
    </row>
    <row r="555">
      <c r="A555" s="242"/>
      <c r="B555" s="13"/>
      <c r="C555" s="13"/>
      <c r="D555" s="242"/>
      <c r="E555" s="242"/>
      <c r="F555" s="242"/>
      <c r="G555" s="242"/>
      <c r="H555" s="242"/>
      <c r="I555" s="242"/>
      <c r="J555" s="242"/>
      <c r="K555" s="242"/>
      <c r="L555" s="242"/>
      <c r="M555" s="242"/>
      <c r="N555" s="242"/>
      <c r="O555" s="242"/>
      <c r="P555" s="242"/>
      <c r="Q555" s="242"/>
      <c r="R555" s="242"/>
      <c r="S555" s="242"/>
      <c r="T555" s="13"/>
      <c r="U555" s="242"/>
      <c r="V555" s="242"/>
      <c r="W555" s="242"/>
      <c r="X555" s="242"/>
      <c r="Y555" s="242"/>
      <c r="Z555" s="242"/>
    </row>
    <row r="556">
      <c r="A556" s="242"/>
      <c r="B556" s="13"/>
      <c r="C556" s="13"/>
      <c r="D556" s="242"/>
      <c r="E556" s="242"/>
      <c r="F556" s="242"/>
      <c r="G556" s="242"/>
      <c r="H556" s="242"/>
      <c r="I556" s="242"/>
      <c r="J556" s="242"/>
      <c r="K556" s="242"/>
      <c r="L556" s="242"/>
      <c r="M556" s="242"/>
      <c r="N556" s="242"/>
      <c r="O556" s="242"/>
      <c r="P556" s="242"/>
      <c r="Q556" s="242"/>
      <c r="R556" s="242"/>
      <c r="S556" s="242"/>
      <c r="T556" s="13"/>
      <c r="U556" s="242"/>
      <c r="V556" s="242"/>
      <c r="W556" s="242"/>
      <c r="X556" s="242"/>
      <c r="Y556" s="242"/>
      <c r="Z556" s="242"/>
    </row>
    <row r="557">
      <c r="A557" s="242"/>
      <c r="B557" s="13"/>
      <c r="C557" s="13"/>
      <c r="D557" s="242"/>
      <c r="E557" s="242"/>
      <c r="F557" s="242"/>
      <c r="G557" s="242"/>
      <c r="H557" s="242"/>
      <c r="I557" s="242"/>
      <c r="J557" s="242"/>
      <c r="K557" s="242"/>
      <c r="L557" s="242"/>
      <c r="M557" s="242"/>
      <c r="N557" s="242"/>
      <c r="O557" s="242"/>
      <c r="P557" s="242"/>
      <c r="Q557" s="242"/>
      <c r="R557" s="242"/>
      <c r="S557" s="242"/>
      <c r="T557" s="13"/>
      <c r="U557" s="242"/>
      <c r="V557" s="242"/>
      <c r="W557" s="242"/>
      <c r="X557" s="242"/>
      <c r="Y557" s="242"/>
      <c r="Z557" s="242"/>
    </row>
    <row r="558">
      <c r="A558" s="242"/>
      <c r="B558" s="13"/>
      <c r="C558" s="13"/>
      <c r="D558" s="242"/>
      <c r="E558" s="242"/>
      <c r="F558" s="242"/>
      <c r="G558" s="242"/>
      <c r="H558" s="242"/>
      <c r="I558" s="242"/>
      <c r="J558" s="242"/>
      <c r="K558" s="242"/>
      <c r="L558" s="242"/>
      <c r="M558" s="242"/>
      <c r="N558" s="242"/>
      <c r="O558" s="242"/>
      <c r="P558" s="242"/>
      <c r="Q558" s="242"/>
      <c r="R558" s="242"/>
      <c r="S558" s="242"/>
      <c r="T558" s="13"/>
      <c r="U558" s="242"/>
      <c r="V558" s="242"/>
      <c r="W558" s="242"/>
      <c r="X558" s="242"/>
      <c r="Y558" s="242"/>
      <c r="Z558" s="242"/>
    </row>
    <row r="559">
      <c r="A559" s="242"/>
      <c r="B559" s="13"/>
      <c r="C559" s="13"/>
      <c r="D559" s="242"/>
      <c r="E559" s="242"/>
      <c r="F559" s="242"/>
      <c r="G559" s="242"/>
      <c r="H559" s="242"/>
      <c r="I559" s="242"/>
      <c r="J559" s="242"/>
      <c r="K559" s="242"/>
      <c r="L559" s="242"/>
      <c r="M559" s="242"/>
      <c r="N559" s="242"/>
      <c r="O559" s="242"/>
      <c r="P559" s="242"/>
      <c r="Q559" s="242"/>
      <c r="R559" s="242"/>
      <c r="S559" s="242"/>
      <c r="T559" s="13"/>
      <c r="U559" s="242"/>
      <c r="V559" s="242"/>
      <c r="W559" s="242"/>
      <c r="X559" s="242"/>
      <c r="Y559" s="242"/>
      <c r="Z559" s="242"/>
    </row>
    <row r="560">
      <c r="A560" s="242"/>
      <c r="B560" s="13"/>
      <c r="C560" s="13"/>
      <c r="D560" s="242"/>
      <c r="E560" s="242"/>
      <c r="F560" s="242"/>
      <c r="G560" s="242"/>
      <c r="H560" s="242"/>
      <c r="I560" s="242"/>
      <c r="J560" s="242"/>
      <c r="K560" s="242"/>
      <c r="L560" s="242"/>
      <c r="M560" s="242"/>
      <c r="N560" s="242"/>
      <c r="O560" s="242"/>
      <c r="P560" s="242"/>
      <c r="Q560" s="242"/>
      <c r="R560" s="242"/>
      <c r="S560" s="242"/>
      <c r="T560" s="13"/>
      <c r="U560" s="242"/>
      <c r="V560" s="242"/>
      <c r="W560" s="242"/>
      <c r="X560" s="242"/>
      <c r="Y560" s="242"/>
      <c r="Z560" s="242"/>
    </row>
    <row r="561">
      <c r="A561" s="242"/>
      <c r="B561" s="13"/>
      <c r="C561" s="13"/>
      <c r="D561" s="242"/>
      <c r="E561" s="242"/>
      <c r="F561" s="242"/>
      <c r="G561" s="242"/>
      <c r="H561" s="242"/>
      <c r="I561" s="242"/>
      <c r="J561" s="242"/>
      <c r="K561" s="242"/>
      <c r="L561" s="242"/>
      <c r="M561" s="242"/>
      <c r="N561" s="242"/>
      <c r="O561" s="242"/>
      <c r="P561" s="242"/>
      <c r="Q561" s="242"/>
      <c r="R561" s="242"/>
      <c r="S561" s="242"/>
      <c r="T561" s="13"/>
      <c r="U561" s="242"/>
      <c r="V561" s="242"/>
      <c r="W561" s="242"/>
      <c r="X561" s="242"/>
      <c r="Y561" s="242"/>
      <c r="Z561" s="242"/>
    </row>
    <row r="562">
      <c r="A562" s="242"/>
      <c r="B562" s="13"/>
      <c r="C562" s="13"/>
      <c r="D562" s="242"/>
      <c r="E562" s="242"/>
      <c r="F562" s="242"/>
      <c r="G562" s="242"/>
      <c r="H562" s="242"/>
      <c r="I562" s="242"/>
      <c r="J562" s="242"/>
      <c r="K562" s="242"/>
      <c r="L562" s="242"/>
      <c r="M562" s="242"/>
      <c r="N562" s="242"/>
      <c r="O562" s="242"/>
      <c r="P562" s="242"/>
      <c r="Q562" s="242"/>
      <c r="R562" s="242"/>
      <c r="S562" s="242"/>
      <c r="T562" s="13"/>
      <c r="U562" s="242"/>
      <c r="V562" s="242"/>
      <c r="W562" s="242"/>
      <c r="X562" s="242"/>
      <c r="Y562" s="242"/>
      <c r="Z562" s="242"/>
    </row>
    <row r="563">
      <c r="A563" s="242"/>
      <c r="B563" s="13"/>
      <c r="C563" s="13"/>
      <c r="D563" s="242"/>
      <c r="E563" s="242"/>
      <c r="F563" s="242"/>
      <c r="G563" s="242"/>
      <c r="H563" s="242"/>
      <c r="I563" s="242"/>
      <c r="J563" s="242"/>
      <c r="K563" s="242"/>
      <c r="L563" s="242"/>
      <c r="M563" s="242"/>
      <c r="N563" s="242"/>
      <c r="O563" s="242"/>
      <c r="P563" s="242"/>
      <c r="Q563" s="242"/>
      <c r="R563" s="242"/>
      <c r="S563" s="242"/>
      <c r="T563" s="13"/>
      <c r="U563" s="242"/>
      <c r="V563" s="242"/>
      <c r="W563" s="242"/>
      <c r="X563" s="242"/>
      <c r="Y563" s="242"/>
      <c r="Z563" s="242"/>
    </row>
    <row r="564">
      <c r="A564" s="242"/>
      <c r="B564" s="13"/>
      <c r="C564" s="13"/>
      <c r="D564" s="242"/>
      <c r="E564" s="242"/>
      <c r="F564" s="242"/>
      <c r="G564" s="242"/>
      <c r="H564" s="242"/>
      <c r="I564" s="242"/>
      <c r="J564" s="242"/>
      <c r="K564" s="242"/>
      <c r="L564" s="242"/>
      <c r="M564" s="242"/>
      <c r="N564" s="242"/>
      <c r="O564" s="242"/>
      <c r="P564" s="242"/>
      <c r="Q564" s="242"/>
      <c r="R564" s="242"/>
      <c r="S564" s="242"/>
      <c r="T564" s="13"/>
      <c r="U564" s="242"/>
      <c r="V564" s="242"/>
      <c r="W564" s="242"/>
      <c r="X564" s="242"/>
      <c r="Y564" s="242"/>
      <c r="Z564" s="242"/>
    </row>
    <row r="565">
      <c r="A565" s="242"/>
      <c r="B565" s="13"/>
      <c r="C565" s="13"/>
      <c r="D565" s="242"/>
      <c r="E565" s="242"/>
      <c r="F565" s="242"/>
      <c r="G565" s="242"/>
      <c r="H565" s="242"/>
      <c r="I565" s="242"/>
      <c r="J565" s="242"/>
      <c r="K565" s="242"/>
      <c r="L565" s="242"/>
      <c r="M565" s="242"/>
      <c r="N565" s="242"/>
      <c r="O565" s="242"/>
      <c r="P565" s="242"/>
      <c r="Q565" s="242"/>
      <c r="R565" s="242"/>
      <c r="S565" s="242"/>
      <c r="T565" s="13"/>
      <c r="U565" s="242"/>
      <c r="V565" s="242"/>
      <c r="W565" s="242"/>
      <c r="X565" s="242"/>
      <c r="Y565" s="242"/>
      <c r="Z565" s="242"/>
    </row>
    <row r="566">
      <c r="A566" s="242"/>
      <c r="B566" s="13"/>
      <c r="C566" s="13"/>
      <c r="D566" s="242"/>
      <c r="E566" s="242"/>
      <c r="F566" s="242"/>
      <c r="G566" s="242"/>
      <c r="H566" s="242"/>
      <c r="I566" s="242"/>
      <c r="J566" s="242"/>
      <c r="K566" s="242"/>
      <c r="L566" s="242"/>
      <c r="M566" s="242"/>
      <c r="N566" s="242"/>
      <c r="O566" s="242"/>
      <c r="P566" s="242"/>
      <c r="Q566" s="242"/>
      <c r="R566" s="242"/>
      <c r="S566" s="242"/>
      <c r="T566" s="13"/>
      <c r="U566" s="242"/>
      <c r="V566" s="242"/>
      <c r="W566" s="242"/>
      <c r="X566" s="242"/>
      <c r="Y566" s="242"/>
      <c r="Z566" s="242"/>
    </row>
    <row r="567">
      <c r="A567" s="242"/>
      <c r="B567" s="13"/>
      <c r="C567" s="13"/>
      <c r="D567" s="242"/>
      <c r="E567" s="242"/>
      <c r="F567" s="242"/>
      <c r="G567" s="242"/>
      <c r="H567" s="242"/>
      <c r="I567" s="242"/>
      <c r="J567" s="242"/>
      <c r="K567" s="242"/>
      <c r="L567" s="242"/>
      <c r="M567" s="242"/>
      <c r="N567" s="242"/>
      <c r="O567" s="242"/>
      <c r="P567" s="242"/>
      <c r="Q567" s="242"/>
      <c r="R567" s="242"/>
      <c r="S567" s="242"/>
      <c r="T567" s="13"/>
      <c r="U567" s="242"/>
      <c r="V567" s="242"/>
      <c r="W567" s="242"/>
      <c r="X567" s="242"/>
      <c r="Y567" s="242"/>
      <c r="Z567" s="242"/>
    </row>
    <row r="568">
      <c r="A568" s="242"/>
      <c r="B568" s="13"/>
      <c r="C568" s="13"/>
      <c r="D568" s="242"/>
      <c r="E568" s="242"/>
      <c r="F568" s="242"/>
      <c r="G568" s="242"/>
      <c r="H568" s="242"/>
      <c r="I568" s="242"/>
      <c r="J568" s="242"/>
      <c r="K568" s="242"/>
      <c r="L568" s="242"/>
      <c r="M568" s="242"/>
      <c r="N568" s="242"/>
      <c r="O568" s="242"/>
      <c r="P568" s="242"/>
      <c r="Q568" s="242"/>
      <c r="R568" s="242"/>
      <c r="S568" s="242"/>
      <c r="T568" s="13"/>
      <c r="U568" s="242"/>
      <c r="V568" s="242"/>
      <c r="W568" s="242"/>
      <c r="X568" s="242"/>
      <c r="Y568" s="242"/>
      <c r="Z568" s="242"/>
    </row>
    <row r="569">
      <c r="A569" s="242"/>
      <c r="B569" s="13"/>
      <c r="C569" s="13"/>
      <c r="D569" s="242"/>
      <c r="E569" s="242"/>
      <c r="F569" s="242"/>
      <c r="G569" s="242"/>
      <c r="H569" s="242"/>
      <c r="I569" s="242"/>
      <c r="J569" s="242"/>
      <c r="K569" s="242"/>
      <c r="L569" s="242"/>
      <c r="M569" s="242"/>
      <c r="N569" s="242"/>
      <c r="O569" s="242"/>
      <c r="P569" s="242"/>
      <c r="Q569" s="242"/>
      <c r="R569" s="242"/>
      <c r="S569" s="242"/>
      <c r="T569" s="13"/>
      <c r="U569" s="242"/>
      <c r="V569" s="242"/>
      <c r="W569" s="242"/>
      <c r="X569" s="242"/>
      <c r="Y569" s="242"/>
      <c r="Z569" s="242"/>
    </row>
    <row r="570">
      <c r="A570" s="242"/>
      <c r="B570" s="13"/>
      <c r="C570" s="13"/>
      <c r="D570" s="242"/>
      <c r="E570" s="242"/>
      <c r="F570" s="242"/>
      <c r="G570" s="242"/>
      <c r="H570" s="242"/>
      <c r="I570" s="242"/>
      <c r="J570" s="242"/>
      <c r="K570" s="242"/>
      <c r="L570" s="242"/>
      <c r="M570" s="242"/>
      <c r="N570" s="242"/>
      <c r="O570" s="242"/>
      <c r="P570" s="242"/>
      <c r="Q570" s="242"/>
      <c r="R570" s="242"/>
      <c r="S570" s="242"/>
      <c r="T570" s="13"/>
      <c r="U570" s="242"/>
      <c r="V570" s="242"/>
      <c r="W570" s="242"/>
      <c r="X570" s="242"/>
      <c r="Y570" s="242"/>
      <c r="Z570" s="242"/>
    </row>
    <row r="571">
      <c r="A571" s="242"/>
      <c r="B571" s="13"/>
      <c r="C571" s="13"/>
      <c r="D571" s="242"/>
      <c r="E571" s="242"/>
      <c r="F571" s="242"/>
      <c r="G571" s="242"/>
      <c r="H571" s="242"/>
      <c r="I571" s="242"/>
      <c r="J571" s="242"/>
      <c r="K571" s="242"/>
      <c r="L571" s="242"/>
      <c r="M571" s="242"/>
      <c r="N571" s="242"/>
      <c r="O571" s="242"/>
      <c r="P571" s="242"/>
      <c r="Q571" s="242"/>
      <c r="R571" s="242"/>
      <c r="S571" s="242"/>
      <c r="T571" s="13"/>
      <c r="U571" s="242"/>
      <c r="V571" s="242"/>
      <c r="W571" s="242"/>
      <c r="X571" s="242"/>
      <c r="Y571" s="242"/>
      <c r="Z571" s="242"/>
    </row>
    <row r="572">
      <c r="A572" s="242"/>
      <c r="B572" s="13"/>
      <c r="C572" s="13"/>
      <c r="D572" s="242"/>
      <c r="E572" s="242"/>
      <c r="F572" s="242"/>
      <c r="G572" s="242"/>
      <c r="H572" s="242"/>
      <c r="I572" s="242"/>
      <c r="J572" s="242"/>
      <c r="K572" s="242"/>
      <c r="L572" s="242"/>
      <c r="M572" s="242"/>
      <c r="N572" s="242"/>
      <c r="O572" s="242"/>
      <c r="P572" s="242"/>
      <c r="Q572" s="242"/>
      <c r="R572" s="242"/>
      <c r="S572" s="242"/>
      <c r="T572" s="13"/>
      <c r="U572" s="242"/>
      <c r="V572" s="242"/>
      <c r="W572" s="242"/>
      <c r="X572" s="242"/>
      <c r="Y572" s="242"/>
      <c r="Z572" s="242"/>
    </row>
    <row r="573">
      <c r="A573" s="242"/>
      <c r="B573" s="13"/>
      <c r="C573" s="13"/>
      <c r="D573" s="242"/>
      <c r="E573" s="242"/>
      <c r="F573" s="242"/>
      <c r="G573" s="242"/>
      <c r="H573" s="242"/>
      <c r="I573" s="242"/>
      <c r="J573" s="242"/>
      <c r="K573" s="242"/>
      <c r="L573" s="242"/>
      <c r="M573" s="242"/>
      <c r="N573" s="242"/>
      <c r="O573" s="242"/>
      <c r="P573" s="242"/>
      <c r="Q573" s="242"/>
      <c r="R573" s="242"/>
      <c r="S573" s="242"/>
      <c r="T573" s="13"/>
      <c r="U573" s="242"/>
      <c r="V573" s="242"/>
      <c r="W573" s="242"/>
      <c r="X573" s="242"/>
      <c r="Y573" s="242"/>
      <c r="Z573" s="242"/>
    </row>
    <row r="574">
      <c r="A574" s="242"/>
      <c r="B574" s="13"/>
      <c r="C574" s="13"/>
      <c r="D574" s="242"/>
      <c r="E574" s="242"/>
      <c r="F574" s="242"/>
      <c r="G574" s="242"/>
      <c r="H574" s="242"/>
      <c r="I574" s="242"/>
      <c r="J574" s="242"/>
      <c r="K574" s="242"/>
      <c r="L574" s="242"/>
      <c r="M574" s="242"/>
      <c r="N574" s="242"/>
      <c r="O574" s="242"/>
      <c r="P574" s="242"/>
      <c r="Q574" s="242"/>
      <c r="R574" s="242"/>
      <c r="S574" s="242"/>
      <c r="T574" s="13"/>
      <c r="U574" s="242"/>
      <c r="V574" s="242"/>
      <c r="W574" s="242"/>
      <c r="X574" s="242"/>
      <c r="Y574" s="242"/>
      <c r="Z574" s="242"/>
    </row>
    <row r="575">
      <c r="A575" s="242"/>
      <c r="B575" s="13"/>
      <c r="C575" s="13"/>
      <c r="D575" s="242"/>
      <c r="E575" s="242"/>
      <c r="F575" s="242"/>
      <c r="G575" s="242"/>
      <c r="H575" s="242"/>
      <c r="I575" s="242"/>
      <c r="J575" s="242"/>
      <c r="K575" s="242"/>
      <c r="L575" s="242"/>
      <c r="M575" s="242"/>
      <c r="N575" s="242"/>
      <c r="O575" s="242"/>
      <c r="P575" s="242"/>
      <c r="Q575" s="242"/>
      <c r="R575" s="242"/>
      <c r="S575" s="242"/>
      <c r="T575" s="13"/>
      <c r="U575" s="242"/>
      <c r="V575" s="242"/>
      <c r="W575" s="242"/>
      <c r="X575" s="242"/>
      <c r="Y575" s="242"/>
      <c r="Z575" s="242"/>
    </row>
    <row r="576">
      <c r="A576" s="242"/>
      <c r="B576" s="13"/>
      <c r="C576" s="13"/>
      <c r="D576" s="242"/>
      <c r="E576" s="242"/>
      <c r="F576" s="242"/>
      <c r="G576" s="242"/>
      <c r="H576" s="242"/>
      <c r="I576" s="242"/>
      <c r="J576" s="242"/>
      <c r="K576" s="242"/>
      <c r="L576" s="242"/>
      <c r="M576" s="242"/>
      <c r="N576" s="242"/>
      <c r="O576" s="242"/>
      <c r="P576" s="242"/>
      <c r="Q576" s="242"/>
      <c r="R576" s="242"/>
      <c r="S576" s="242"/>
      <c r="T576" s="13"/>
      <c r="U576" s="242"/>
      <c r="V576" s="242"/>
      <c r="W576" s="242"/>
      <c r="X576" s="242"/>
      <c r="Y576" s="242"/>
      <c r="Z576" s="242"/>
    </row>
    <row r="577">
      <c r="A577" s="242"/>
      <c r="B577" s="13"/>
      <c r="C577" s="13"/>
      <c r="D577" s="242"/>
      <c r="E577" s="242"/>
      <c r="F577" s="242"/>
      <c r="G577" s="242"/>
      <c r="H577" s="242"/>
      <c r="I577" s="242"/>
      <c r="J577" s="242"/>
      <c r="K577" s="242"/>
      <c r="L577" s="242"/>
      <c r="M577" s="242"/>
      <c r="N577" s="242"/>
      <c r="O577" s="242"/>
      <c r="P577" s="242"/>
      <c r="Q577" s="242"/>
      <c r="R577" s="242"/>
      <c r="S577" s="242"/>
      <c r="T577" s="13"/>
      <c r="U577" s="242"/>
      <c r="V577" s="242"/>
      <c r="W577" s="242"/>
      <c r="X577" s="242"/>
      <c r="Y577" s="242"/>
      <c r="Z577" s="242"/>
    </row>
    <row r="578">
      <c r="A578" s="242"/>
      <c r="B578" s="13"/>
      <c r="C578" s="13"/>
      <c r="D578" s="242"/>
      <c r="E578" s="242"/>
      <c r="F578" s="242"/>
      <c r="G578" s="242"/>
      <c r="H578" s="242"/>
      <c r="I578" s="242"/>
      <c r="J578" s="242"/>
      <c r="K578" s="242"/>
      <c r="L578" s="242"/>
      <c r="M578" s="242"/>
      <c r="N578" s="242"/>
      <c r="O578" s="242"/>
      <c r="P578" s="242"/>
      <c r="Q578" s="242"/>
      <c r="R578" s="242"/>
      <c r="S578" s="242"/>
      <c r="T578" s="13"/>
      <c r="U578" s="242"/>
      <c r="V578" s="242"/>
      <c r="W578" s="242"/>
      <c r="X578" s="242"/>
      <c r="Y578" s="242"/>
      <c r="Z578" s="242"/>
    </row>
    <row r="579">
      <c r="A579" s="242"/>
      <c r="B579" s="13"/>
      <c r="C579" s="13"/>
      <c r="D579" s="242"/>
      <c r="E579" s="242"/>
      <c r="F579" s="242"/>
      <c r="G579" s="242"/>
      <c r="H579" s="242"/>
      <c r="I579" s="242"/>
      <c r="J579" s="242"/>
      <c r="K579" s="242"/>
      <c r="L579" s="242"/>
      <c r="M579" s="242"/>
      <c r="N579" s="242"/>
      <c r="O579" s="242"/>
      <c r="P579" s="242"/>
      <c r="Q579" s="242"/>
      <c r="R579" s="242"/>
      <c r="S579" s="242"/>
      <c r="T579" s="13"/>
      <c r="U579" s="242"/>
      <c r="V579" s="242"/>
      <c r="W579" s="242"/>
      <c r="X579" s="242"/>
      <c r="Y579" s="242"/>
      <c r="Z579" s="242"/>
    </row>
    <row r="580">
      <c r="A580" s="242"/>
      <c r="B580" s="13"/>
      <c r="C580" s="13"/>
      <c r="D580" s="242"/>
      <c r="E580" s="242"/>
      <c r="F580" s="242"/>
      <c r="G580" s="242"/>
      <c r="H580" s="242"/>
      <c r="I580" s="242"/>
      <c r="J580" s="242"/>
      <c r="K580" s="242"/>
      <c r="L580" s="242"/>
      <c r="M580" s="242"/>
      <c r="N580" s="242"/>
      <c r="O580" s="242"/>
      <c r="P580" s="242"/>
      <c r="Q580" s="242"/>
      <c r="R580" s="242"/>
      <c r="S580" s="242"/>
      <c r="T580" s="13"/>
      <c r="U580" s="242"/>
      <c r="V580" s="242"/>
      <c r="W580" s="242"/>
      <c r="X580" s="242"/>
      <c r="Y580" s="242"/>
      <c r="Z580" s="242"/>
    </row>
    <row r="581">
      <c r="A581" s="242"/>
      <c r="B581" s="13"/>
      <c r="C581" s="13"/>
      <c r="D581" s="242"/>
      <c r="E581" s="242"/>
      <c r="F581" s="242"/>
      <c r="G581" s="242"/>
      <c r="H581" s="242"/>
      <c r="I581" s="242"/>
      <c r="J581" s="242"/>
      <c r="K581" s="242"/>
      <c r="L581" s="242"/>
      <c r="M581" s="242"/>
      <c r="N581" s="242"/>
      <c r="O581" s="242"/>
      <c r="P581" s="242"/>
      <c r="Q581" s="242"/>
      <c r="R581" s="242"/>
      <c r="S581" s="242"/>
      <c r="T581" s="13"/>
      <c r="U581" s="242"/>
      <c r="V581" s="242"/>
      <c r="W581" s="242"/>
      <c r="X581" s="242"/>
      <c r="Y581" s="242"/>
      <c r="Z581" s="242"/>
    </row>
    <row r="582">
      <c r="A582" s="242"/>
      <c r="B582" s="13"/>
      <c r="C582" s="13"/>
      <c r="D582" s="242"/>
      <c r="E582" s="242"/>
      <c r="F582" s="242"/>
      <c r="G582" s="242"/>
      <c r="H582" s="242"/>
      <c r="I582" s="242"/>
      <c r="J582" s="242"/>
      <c r="K582" s="242"/>
      <c r="L582" s="242"/>
      <c r="M582" s="242"/>
      <c r="N582" s="242"/>
      <c r="O582" s="242"/>
      <c r="P582" s="242"/>
      <c r="Q582" s="242"/>
      <c r="R582" s="242"/>
      <c r="S582" s="242"/>
      <c r="T582" s="13"/>
      <c r="U582" s="242"/>
      <c r="V582" s="242"/>
      <c r="W582" s="242"/>
      <c r="X582" s="242"/>
      <c r="Y582" s="242"/>
      <c r="Z582" s="242"/>
    </row>
    <row r="583">
      <c r="A583" s="242"/>
      <c r="B583" s="13"/>
      <c r="C583" s="13"/>
      <c r="D583" s="242"/>
      <c r="E583" s="242"/>
      <c r="F583" s="242"/>
      <c r="G583" s="242"/>
      <c r="H583" s="242"/>
      <c r="I583" s="242"/>
      <c r="J583" s="242"/>
      <c r="K583" s="242"/>
      <c r="L583" s="242"/>
      <c r="M583" s="242"/>
      <c r="N583" s="242"/>
      <c r="O583" s="242"/>
      <c r="P583" s="242"/>
      <c r="Q583" s="242"/>
      <c r="R583" s="242"/>
      <c r="S583" s="242"/>
      <c r="T583" s="13"/>
      <c r="U583" s="242"/>
      <c r="V583" s="242"/>
      <c r="W583" s="242"/>
      <c r="X583" s="242"/>
      <c r="Y583" s="242"/>
      <c r="Z583" s="242"/>
    </row>
    <row r="584">
      <c r="A584" s="242"/>
      <c r="B584" s="13"/>
      <c r="C584" s="13"/>
      <c r="D584" s="242"/>
      <c r="E584" s="242"/>
      <c r="F584" s="242"/>
      <c r="G584" s="242"/>
      <c r="H584" s="242"/>
      <c r="I584" s="242"/>
      <c r="J584" s="242"/>
      <c r="K584" s="242"/>
      <c r="L584" s="242"/>
      <c r="M584" s="242"/>
      <c r="N584" s="242"/>
      <c r="O584" s="242"/>
      <c r="P584" s="242"/>
      <c r="Q584" s="242"/>
      <c r="R584" s="242"/>
      <c r="S584" s="242"/>
      <c r="T584" s="13"/>
      <c r="U584" s="242"/>
      <c r="V584" s="242"/>
      <c r="W584" s="242"/>
      <c r="X584" s="242"/>
      <c r="Y584" s="242"/>
      <c r="Z584" s="242"/>
    </row>
    <row r="585">
      <c r="A585" s="242"/>
      <c r="B585" s="13"/>
      <c r="C585" s="13"/>
      <c r="D585" s="242"/>
      <c r="E585" s="242"/>
      <c r="F585" s="242"/>
      <c r="G585" s="242"/>
      <c r="H585" s="242"/>
      <c r="I585" s="242"/>
      <c r="J585" s="242"/>
      <c r="K585" s="242"/>
      <c r="L585" s="242"/>
      <c r="M585" s="242"/>
      <c r="N585" s="242"/>
      <c r="O585" s="242"/>
      <c r="P585" s="242"/>
      <c r="Q585" s="242"/>
      <c r="R585" s="242"/>
      <c r="S585" s="242"/>
      <c r="T585" s="13"/>
      <c r="U585" s="242"/>
      <c r="V585" s="242"/>
      <c r="W585" s="242"/>
      <c r="X585" s="242"/>
      <c r="Y585" s="242"/>
      <c r="Z585" s="242"/>
    </row>
    <row r="586">
      <c r="A586" s="242"/>
      <c r="B586" s="13"/>
      <c r="C586" s="13"/>
      <c r="D586" s="242"/>
      <c r="E586" s="242"/>
      <c r="F586" s="242"/>
      <c r="G586" s="242"/>
      <c r="H586" s="242"/>
      <c r="I586" s="242"/>
      <c r="J586" s="242"/>
      <c r="K586" s="242"/>
      <c r="L586" s="242"/>
      <c r="M586" s="242"/>
      <c r="N586" s="242"/>
      <c r="O586" s="242"/>
      <c r="P586" s="242"/>
      <c r="Q586" s="242"/>
      <c r="R586" s="242"/>
      <c r="S586" s="242"/>
      <c r="T586" s="13"/>
      <c r="U586" s="242"/>
      <c r="V586" s="242"/>
      <c r="W586" s="242"/>
      <c r="X586" s="242"/>
      <c r="Y586" s="242"/>
      <c r="Z586" s="242"/>
    </row>
    <row r="587">
      <c r="A587" s="242"/>
      <c r="B587" s="13"/>
      <c r="C587" s="13"/>
      <c r="D587" s="242"/>
      <c r="E587" s="242"/>
      <c r="F587" s="242"/>
      <c r="G587" s="242"/>
      <c r="H587" s="242"/>
      <c r="I587" s="242"/>
      <c r="J587" s="242"/>
      <c r="K587" s="242"/>
      <c r="L587" s="242"/>
      <c r="M587" s="242"/>
      <c r="N587" s="242"/>
      <c r="O587" s="242"/>
      <c r="P587" s="242"/>
      <c r="Q587" s="242"/>
      <c r="R587" s="242"/>
      <c r="S587" s="242"/>
      <c r="T587" s="13"/>
      <c r="U587" s="242"/>
      <c r="V587" s="242"/>
      <c r="W587" s="242"/>
      <c r="X587" s="242"/>
      <c r="Y587" s="242"/>
      <c r="Z587" s="242"/>
    </row>
    <row r="588">
      <c r="A588" s="242"/>
      <c r="B588" s="13"/>
      <c r="C588" s="13"/>
      <c r="D588" s="242"/>
      <c r="E588" s="242"/>
      <c r="F588" s="242"/>
      <c r="G588" s="242"/>
      <c r="H588" s="242"/>
      <c r="I588" s="242"/>
      <c r="J588" s="242"/>
      <c r="K588" s="242"/>
      <c r="L588" s="242"/>
      <c r="M588" s="242"/>
      <c r="N588" s="242"/>
      <c r="O588" s="242"/>
      <c r="P588" s="242"/>
      <c r="Q588" s="242"/>
      <c r="R588" s="242"/>
      <c r="S588" s="242"/>
      <c r="T588" s="13"/>
      <c r="U588" s="242"/>
      <c r="V588" s="242"/>
      <c r="W588" s="242"/>
      <c r="X588" s="242"/>
      <c r="Y588" s="242"/>
      <c r="Z588" s="242"/>
    </row>
    <row r="589">
      <c r="A589" s="242"/>
      <c r="B589" s="13"/>
      <c r="C589" s="13"/>
      <c r="D589" s="242"/>
      <c r="E589" s="242"/>
      <c r="F589" s="242"/>
      <c r="G589" s="242"/>
      <c r="H589" s="242"/>
      <c r="I589" s="242"/>
      <c r="J589" s="242"/>
      <c r="K589" s="242"/>
      <c r="L589" s="242"/>
      <c r="M589" s="242"/>
      <c r="N589" s="242"/>
      <c r="O589" s="242"/>
      <c r="P589" s="242"/>
      <c r="Q589" s="242"/>
      <c r="R589" s="242"/>
      <c r="S589" s="242"/>
      <c r="T589" s="13"/>
      <c r="U589" s="242"/>
      <c r="V589" s="242"/>
      <c r="W589" s="242"/>
      <c r="X589" s="242"/>
      <c r="Y589" s="242"/>
      <c r="Z589" s="242"/>
    </row>
    <row r="590">
      <c r="A590" s="242"/>
      <c r="B590" s="13"/>
      <c r="C590" s="13"/>
      <c r="D590" s="242"/>
      <c r="E590" s="242"/>
      <c r="F590" s="242"/>
      <c r="G590" s="242"/>
      <c r="H590" s="242"/>
      <c r="I590" s="242"/>
      <c r="J590" s="242"/>
      <c r="K590" s="242"/>
      <c r="L590" s="242"/>
      <c r="M590" s="242"/>
      <c r="N590" s="242"/>
      <c r="O590" s="242"/>
      <c r="P590" s="242"/>
      <c r="Q590" s="242"/>
      <c r="R590" s="242"/>
      <c r="S590" s="242"/>
      <c r="T590" s="13"/>
      <c r="U590" s="242"/>
      <c r="V590" s="242"/>
      <c r="W590" s="242"/>
      <c r="X590" s="242"/>
      <c r="Y590" s="242"/>
      <c r="Z590" s="242"/>
    </row>
    <row r="591">
      <c r="A591" s="242"/>
      <c r="B591" s="13"/>
      <c r="C591" s="13"/>
      <c r="D591" s="242"/>
      <c r="E591" s="242"/>
      <c r="F591" s="242"/>
      <c r="G591" s="242"/>
      <c r="H591" s="242"/>
      <c r="I591" s="242"/>
      <c r="J591" s="242"/>
      <c r="K591" s="242"/>
      <c r="L591" s="242"/>
      <c r="M591" s="242"/>
      <c r="N591" s="242"/>
      <c r="O591" s="242"/>
      <c r="P591" s="242"/>
      <c r="Q591" s="242"/>
      <c r="R591" s="242"/>
      <c r="S591" s="242"/>
      <c r="T591" s="13"/>
      <c r="U591" s="242"/>
      <c r="V591" s="242"/>
      <c r="W591" s="242"/>
      <c r="X591" s="242"/>
      <c r="Y591" s="242"/>
      <c r="Z591" s="242"/>
    </row>
    <row r="592">
      <c r="A592" s="242"/>
      <c r="B592" s="13"/>
      <c r="C592" s="13"/>
      <c r="D592" s="242"/>
      <c r="E592" s="242"/>
      <c r="F592" s="242"/>
      <c r="G592" s="242"/>
      <c r="H592" s="242"/>
      <c r="I592" s="242"/>
      <c r="J592" s="242"/>
      <c r="K592" s="242"/>
      <c r="L592" s="242"/>
      <c r="M592" s="242"/>
      <c r="N592" s="242"/>
      <c r="O592" s="242"/>
      <c r="P592" s="242"/>
      <c r="Q592" s="242"/>
      <c r="R592" s="242"/>
      <c r="S592" s="242"/>
      <c r="T592" s="13"/>
      <c r="U592" s="242"/>
      <c r="V592" s="242"/>
      <c r="W592" s="242"/>
      <c r="X592" s="242"/>
      <c r="Y592" s="242"/>
      <c r="Z592" s="242"/>
    </row>
    <row r="593">
      <c r="A593" s="242"/>
      <c r="B593" s="13"/>
      <c r="C593" s="13"/>
      <c r="D593" s="242"/>
      <c r="E593" s="242"/>
      <c r="F593" s="242"/>
      <c r="G593" s="242"/>
      <c r="H593" s="242"/>
      <c r="I593" s="242"/>
      <c r="J593" s="242"/>
      <c r="K593" s="242"/>
      <c r="L593" s="242"/>
      <c r="M593" s="242"/>
      <c r="N593" s="242"/>
      <c r="O593" s="242"/>
      <c r="P593" s="242"/>
      <c r="Q593" s="242"/>
      <c r="R593" s="242"/>
      <c r="S593" s="242"/>
      <c r="T593" s="13"/>
      <c r="U593" s="242"/>
      <c r="V593" s="242"/>
      <c r="W593" s="242"/>
      <c r="X593" s="242"/>
      <c r="Y593" s="242"/>
      <c r="Z593" s="242"/>
    </row>
    <row r="594">
      <c r="A594" s="242"/>
      <c r="B594" s="13"/>
      <c r="C594" s="13"/>
      <c r="D594" s="242"/>
      <c r="E594" s="242"/>
      <c r="F594" s="242"/>
      <c r="G594" s="242"/>
      <c r="H594" s="242"/>
      <c r="I594" s="242"/>
      <c r="J594" s="242"/>
      <c r="K594" s="242"/>
      <c r="L594" s="242"/>
      <c r="M594" s="242"/>
      <c r="N594" s="242"/>
      <c r="O594" s="242"/>
      <c r="P594" s="242"/>
      <c r="Q594" s="242"/>
      <c r="R594" s="242"/>
      <c r="S594" s="242"/>
      <c r="T594" s="13"/>
      <c r="U594" s="242"/>
      <c r="V594" s="242"/>
      <c r="W594" s="242"/>
      <c r="X594" s="242"/>
      <c r="Y594" s="242"/>
      <c r="Z594" s="242"/>
    </row>
    <row r="595">
      <c r="A595" s="242"/>
      <c r="B595" s="13"/>
      <c r="C595" s="13"/>
      <c r="D595" s="242"/>
      <c r="E595" s="242"/>
      <c r="F595" s="242"/>
      <c r="G595" s="242"/>
      <c r="H595" s="242"/>
      <c r="I595" s="242"/>
      <c r="J595" s="242"/>
      <c r="K595" s="242"/>
      <c r="L595" s="242"/>
      <c r="M595" s="242"/>
      <c r="N595" s="242"/>
      <c r="O595" s="242"/>
      <c r="P595" s="242"/>
      <c r="Q595" s="242"/>
      <c r="R595" s="242"/>
      <c r="S595" s="242"/>
      <c r="T595" s="13"/>
      <c r="U595" s="242"/>
      <c r="V595" s="242"/>
      <c r="W595" s="242"/>
      <c r="X595" s="242"/>
      <c r="Y595" s="242"/>
      <c r="Z595" s="242"/>
    </row>
    <row r="596">
      <c r="A596" s="242"/>
      <c r="B596" s="13"/>
      <c r="C596" s="13"/>
      <c r="D596" s="242"/>
      <c r="E596" s="242"/>
      <c r="F596" s="242"/>
      <c r="G596" s="242"/>
      <c r="H596" s="242"/>
      <c r="I596" s="242"/>
      <c r="J596" s="242"/>
      <c r="K596" s="242"/>
      <c r="L596" s="242"/>
      <c r="M596" s="242"/>
      <c r="N596" s="242"/>
      <c r="O596" s="242"/>
      <c r="P596" s="242"/>
      <c r="Q596" s="242"/>
      <c r="R596" s="242"/>
      <c r="S596" s="242"/>
      <c r="T596" s="13"/>
      <c r="U596" s="242"/>
      <c r="V596" s="242"/>
      <c r="W596" s="242"/>
      <c r="X596" s="242"/>
      <c r="Y596" s="242"/>
      <c r="Z596" s="242"/>
    </row>
    <row r="597">
      <c r="A597" s="242"/>
      <c r="B597" s="13"/>
      <c r="C597" s="13"/>
      <c r="D597" s="242"/>
      <c r="E597" s="242"/>
      <c r="F597" s="242"/>
      <c r="G597" s="242"/>
      <c r="H597" s="242"/>
      <c r="I597" s="242"/>
      <c r="J597" s="242"/>
      <c r="K597" s="242"/>
      <c r="L597" s="242"/>
      <c r="M597" s="242"/>
      <c r="N597" s="242"/>
      <c r="O597" s="242"/>
      <c r="P597" s="242"/>
      <c r="Q597" s="242"/>
      <c r="R597" s="242"/>
      <c r="S597" s="242"/>
      <c r="T597" s="13"/>
      <c r="U597" s="242"/>
      <c r="V597" s="242"/>
      <c r="W597" s="242"/>
      <c r="X597" s="242"/>
      <c r="Y597" s="242"/>
      <c r="Z597" s="242"/>
    </row>
    <row r="598">
      <c r="A598" s="242"/>
      <c r="B598" s="13"/>
      <c r="C598" s="13"/>
      <c r="D598" s="242"/>
      <c r="E598" s="242"/>
      <c r="F598" s="242"/>
      <c r="G598" s="242"/>
      <c r="H598" s="242"/>
      <c r="I598" s="242"/>
      <c r="J598" s="242"/>
      <c r="K598" s="242"/>
      <c r="L598" s="242"/>
      <c r="M598" s="242"/>
      <c r="N598" s="242"/>
      <c r="O598" s="242"/>
      <c r="P598" s="242"/>
      <c r="Q598" s="242"/>
      <c r="R598" s="242"/>
      <c r="S598" s="242"/>
      <c r="T598" s="13"/>
      <c r="U598" s="242"/>
      <c r="V598" s="242"/>
      <c r="W598" s="242"/>
      <c r="X598" s="242"/>
      <c r="Y598" s="242"/>
      <c r="Z598" s="242"/>
    </row>
    <row r="599">
      <c r="A599" s="242"/>
      <c r="B599" s="13"/>
      <c r="C599" s="13"/>
      <c r="D599" s="242"/>
      <c r="E599" s="242"/>
      <c r="F599" s="242"/>
      <c r="G599" s="242"/>
      <c r="H599" s="242"/>
      <c r="I599" s="242"/>
      <c r="J599" s="242"/>
      <c r="K599" s="242"/>
      <c r="L599" s="242"/>
      <c r="M599" s="242"/>
      <c r="N599" s="242"/>
      <c r="O599" s="242"/>
      <c r="P599" s="242"/>
      <c r="Q599" s="242"/>
      <c r="R599" s="242"/>
      <c r="S599" s="242"/>
      <c r="T599" s="13"/>
      <c r="U599" s="242"/>
      <c r="V599" s="242"/>
      <c r="W599" s="242"/>
      <c r="X599" s="242"/>
      <c r="Y599" s="242"/>
      <c r="Z599" s="242"/>
    </row>
    <row r="600">
      <c r="A600" s="242"/>
      <c r="B600" s="13"/>
      <c r="C600" s="13"/>
      <c r="D600" s="242"/>
      <c r="E600" s="242"/>
      <c r="F600" s="242"/>
      <c r="G600" s="242"/>
      <c r="H600" s="242"/>
      <c r="I600" s="242"/>
      <c r="J600" s="242"/>
      <c r="K600" s="242"/>
      <c r="L600" s="242"/>
      <c r="M600" s="242"/>
      <c r="N600" s="242"/>
      <c r="O600" s="242"/>
      <c r="P600" s="242"/>
      <c r="Q600" s="242"/>
      <c r="R600" s="242"/>
      <c r="S600" s="242"/>
      <c r="T600" s="13"/>
      <c r="U600" s="242"/>
      <c r="V600" s="242"/>
      <c r="W600" s="242"/>
      <c r="X600" s="242"/>
      <c r="Y600" s="242"/>
      <c r="Z600" s="242"/>
    </row>
    <row r="601">
      <c r="A601" s="242"/>
      <c r="B601" s="13"/>
      <c r="C601" s="13"/>
      <c r="D601" s="242"/>
      <c r="E601" s="242"/>
      <c r="F601" s="242"/>
      <c r="G601" s="242"/>
      <c r="H601" s="242"/>
      <c r="I601" s="242"/>
      <c r="J601" s="242"/>
      <c r="K601" s="242"/>
      <c r="L601" s="242"/>
      <c r="M601" s="242"/>
      <c r="N601" s="242"/>
      <c r="O601" s="242"/>
      <c r="P601" s="242"/>
      <c r="Q601" s="242"/>
      <c r="R601" s="242"/>
      <c r="S601" s="242"/>
      <c r="T601" s="13"/>
      <c r="U601" s="242"/>
      <c r="V601" s="242"/>
      <c r="W601" s="242"/>
      <c r="X601" s="242"/>
      <c r="Y601" s="242"/>
      <c r="Z601" s="242"/>
    </row>
    <row r="602">
      <c r="A602" s="242"/>
      <c r="B602" s="13"/>
      <c r="C602" s="13"/>
      <c r="D602" s="242"/>
      <c r="E602" s="242"/>
      <c r="F602" s="242"/>
      <c r="G602" s="242"/>
      <c r="H602" s="242"/>
      <c r="I602" s="242"/>
      <c r="J602" s="242"/>
      <c r="K602" s="242"/>
      <c r="L602" s="242"/>
      <c r="M602" s="242"/>
      <c r="N602" s="242"/>
      <c r="O602" s="242"/>
      <c r="P602" s="242"/>
      <c r="Q602" s="242"/>
      <c r="R602" s="242"/>
      <c r="S602" s="242"/>
      <c r="T602" s="13"/>
      <c r="U602" s="242"/>
      <c r="V602" s="242"/>
      <c r="W602" s="242"/>
      <c r="X602" s="242"/>
      <c r="Y602" s="242"/>
      <c r="Z602" s="242"/>
    </row>
    <row r="603">
      <c r="A603" s="242"/>
      <c r="B603" s="13"/>
      <c r="C603" s="13"/>
      <c r="D603" s="242"/>
      <c r="E603" s="242"/>
      <c r="F603" s="242"/>
      <c r="G603" s="242"/>
      <c r="H603" s="242"/>
      <c r="I603" s="242"/>
      <c r="J603" s="242"/>
      <c r="K603" s="242"/>
      <c r="L603" s="242"/>
      <c r="M603" s="242"/>
      <c r="N603" s="242"/>
      <c r="O603" s="242"/>
      <c r="P603" s="242"/>
      <c r="Q603" s="242"/>
      <c r="R603" s="242"/>
      <c r="S603" s="242"/>
      <c r="T603" s="13"/>
      <c r="U603" s="242"/>
      <c r="V603" s="242"/>
      <c r="W603" s="242"/>
      <c r="X603" s="242"/>
      <c r="Y603" s="242"/>
      <c r="Z603" s="242"/>
    </row>
    <row r="604">
      <c r="A604" s="242"/>
      <c r="B604" s="13"/>
      <c r="C604" s="13"/>
      <c r="D604" s="242"/>
      <c r="E604" s="242"/>
      <c r="F604" s="242"/>
      <c r="G604" s="242"/>
      <c r="H604" s="242"/>
      <c r="I604" s="242"/>
      <c r="J604" s="242"/>
      <c r="K604" s="242"/>
      <c r="L604" s="242"/>
      <c r="M604" s="242"/>
      <c r="N604" s="242"/>
      <c r="O604" s="242"/>
      <c r="P604" s="242"/>
      <c r="Q604" s="242"/>
      <c r="R604" s="242"/>
      <c r="S604" s="242"/>
      <c r="T604" s="13"/>
      <c r="U604" s="242"/>
      <c r="V604" s="242"/>
      <c r="W604" s="242"/>
      <c r="X604" s="242"/>
      <c r="Y604" s="242"/>
      <c r="Z604" s="242"/>
    </row>
    <row r="605">
      <c r="A605" s="242"/>
      <c r="B605" s="13"/>
      <c r="C605" s="13"/>
      <c r="D605" s="242"/>
      <c r="E605" s="242"/>
      <c r="F605" s="242"/>
      <c r="G605" s="242"/>
      <c r="H605" s="242"/>
      <c r="I605" s="242"/>
      <c r="J605" s="242"/>
      <c r="K605" s="242"/>
      <c r="L605" s="242"/>
      <c r="M605" s="242"/>
      <c r="N605" s="242"/>
      <c r="O605" s="242"/>
      <c r="P605" s="242"/>
      <c r="Q605" s="242"/>
      <c r="R605" s="242"/>
      <c r="S605" s="242"/>
      <c r="T605" s="13"/>
      <c r="U605" s="242"/>
      <c r="V605" s="242"/>
      <c r="W605" s="242"/>
      <c r="X605" s="242"/>
      <c r="Y605" s="242"/>
      <c r="Z605" s="242"/>
    </row>
    <row r="606">
      <c r="A606" s="242"/>
      <c r="B606" s="13"/>
      <c r="C606" s="13"/>
      <c r="D606" s="242"/>
      <c r="E606" s="242"/>
      <c r="F606" s="242"/>
      <c r="G606" s="242"/>
      <c r="H606" s="242"/>
      <c r="I606" s="242"/>
      <c r="J606" s="242"/>
      <c r="K606" s="242"/>
      <c r="L606" s="242"/>
      <c r="M606" s="242"/>
      <c r="N606" s="242"/>
      <c r="O606" s="242"/>
      <c r="P606" s="242"/>
      <c r="Q606" s="242"/>
      <c r="R606" s="242"/>
      <c r="S606" s="242"/>
      <c r="T606" s="13"/>
      <c r="U606" s="242"/>
      <c r="V606" s="242"/>
      <c r="W606" s="242"/>
      <c r="X606" s="242"/>
      <c r="Y606" s="242"/>
      <c r="Z606" s="242"/>
    </row>
    <row r="607">
      <c r="A607" s="242"/>
      <c r="B607" s="13"/>
      <c r="C607" s="13"/>
      <c r="D607" s="242"/>
      <c r="E607" s="242"/>
      <c r="F607" s="242"/>
      <c r="G607" s="242"/>
      <c r="H607" s="242"/>
      <c r="I607" s="242"/>
      <c r="J607" s="242"/>
      <c r="K607" s="242"/>
      <c r="L607" s="242"/>
      <c r="M607" s="242"/>
      <c r="N607" s="242"/>
      <c r="O607" s="242"/>
      <c r="P607" s="242"/>
      <c r="Q607" s="242"/>
      <c r="R607" s="242"/>
      <c r="S607" s="242"/>
      <c r="T607" s="13"/>
      <c r="U607" s="242"/>
      <c r="V607" s="242"/>
      <c r="W607" s="242"/>
      <c r="X607" s="242"/>
      <c r="Y607" s="242"/>
      <c r="Z607" s="242"/>
    </row>
    <row r="608">
      <c r="A608" s="242"/>
      <c r="B608" s="13"/>
      <c r="C608" s="13"/>
      <c r="D608" s="242"/>
      <c r="E608" s="242"/>
      <c r="F608" s="242"/>
      <c r="G608" s="242"/>
      <c r="H608" s="242"/>
      <c r="I608" s="242"/>
      <c r="J608" s="242"/>
      <c r="K608" s="242"/>
      <c r="L608" s="242"/>
      <c r="M608" s="242"/>
      <c r="N608" s="242"/>
      <c r="O608" s="242"/>
      <c r="P608" s="242"/>
      <c r="Q608" s="242"/>
      <c r="R608" s="242"/>
      <c r="S608" s="242"/>
      <c r="T608" s="13"/>
      <c r="U608" s="242"/>
      <c r="V608" s="242"/>
      <c r="W608" s="242"/>
      <c r="X608" s="242"/>
      <c r="Y608" s="242"/>
      <c r="Z608" s="242"/>
    </row>
    <row r="609">
      <c r="A609" s="242"/>
      <c r="B609" s="13"/>
      <c r="C609" s="13"/>
      <c r="D609" s="242"/>
      <c r="E609" s="242"/>
      <c r="F609" s="242"/>
      <c r="G609" s="242"/>
      <c r="H609" s="242"/>
      <c r="I609" s="242"/>
      <c r="J609" s="242"/>
      <c r="K609" s="242"/>
      <c r="L609" s="242"/>
      <c r="M609" s="242"/>
      <c r="N609" s="242"/>
      <c r="O609" s="242"/>
      <c r="P609" s="242"/>
      <c r="Q609" s="242"/>
      <c r="R609" s="242"/>
      <c r="S609" s="242"/>
      <c r="T609" s="13"/>
      <c r="U609" s="242"/>
      <c r="V609" s="242"/>
      <c r="W609" s="242"/>
      <c r="X609" s="242"/>
      <c r="Y609" s="242"/>
      <c r="Z609" s="242"/>
    </row>
    <row r="610">
      <c r="A610" s="242"/>
      <c r="B610" s="13"/>
      <c r="C610" s="13"/>
      <c r="D610" s="242"/>
      <c r="E610" s="242"/>
      <c r="F610" s="242"/>
      <c r="G610" s="242"/>
      <c r="H610" s="242"/>
      <c r="I610" s="242"/>
      <c r="J610" s="242"/>
      <c r="K610" s="242"/>
      <c r="L610" s="242"/>
      <c r="M610" s="242"/>
      <c r="N610" s="242"/>
      <c r="O610" s="242"/>
      <c r="P610" s="242"/>
      <c r="Q610" s="242"/>
      <c r="R610" s="242"/>
      <c r="S610" s="242"/>
      <c r="T610" s="13"/>
      <c r="U610" s="242"/>
      <c r="V610" s="242"/>
      <c r="W610" s="242"/>
      <c r="X610" s="242"/>
      <c r="Y610" s="242"/>
      <c r="Z610" s="242"/>
    </row>
    <row r="611">
      <c r="A611" s="242"/>
      <c r="B611" s="13"/>
      <c r="C611" s="13"/>
      <c r="D611" s="242"/>
      <c r="E611" s="242"/>
      <c r="F611" s="242"/>
      <c r="G611" s="242"/>
      <c r="H611" s="242"/>
      <c r="I611" s="242"/>
      <c r="J611" s="242"/>
      <c r="K611" s="242"/>
      <c r="L611" s="242"/>
      <c r="M611" s="242"/>
      <c r="N611" s="242"/>
      <c r="O611" s="242"/>
      <c r="P611" s="242"/>
      <c r="Q611" s="242"/>
      <c r="R611" s="242"/>
      <c r="S611" s="242"/>
      <c r="T611" s="13"/>
      <c r="U611" s="242"/>
      <c r="V611" s="242"/>
      <c r="W611" s="242"/>
      <c r="X611" s="242"/>
      <c r="Y611" s="242"/>
      <c r="Z611" s="242"/>
    </row>
    <row r="612">
      <c r="A612" s="242"/>
      <c r="B612" s="13"/>
      <c r="C612" s="13"/>
      <c r="D612" s="242"/>
      <c r="E612" s="242"/>
      <c r="F612" s="242"/>
      <c r="G612" s="242"/>
      <c r="H612" s="242"/>
      <c r="I612" s="242"/>
      <c r="J612" s="242"/>
      <c r="K612" s="242"/>
      <c r="L612" s="242"/>
      <c r="M612" s="242"/>
      <c r="N612" s="242"/>
      <c r="O612" s="242"/>
      <c r="P612" s="242"/>
      <c r="Q612" s="242"/>
      <c r="R612" s="242"/>
      <c r="S612" s="242"/>
      <c r="T612" s="13"/>
      <c r="U612" s="242"/>
      <c r="V612" s="242"/>
      <c r="W612" s="242"/>
      <c r="X612" s="242"/>
      <c r="Y612" s="242"/>
      <c r="Z612" s="242"/>
    </row>
    <row r="613">
      <c r="A613" s="242"/>
      <c r="B613" s="13"/>
      <c r="C613" s="13"/>
      <c r="D613" s="242"/>
      <c r="E613" s="242"/>
      <c r="F613" s="242"/>
      <c r="G613" s="242"/>
      <c r="H613" s="242"/>
      <c r="I613" s="242"/>
      <c r="J613" s="242"/>
      <c r="K613" s="242"/>
      <c r="L613" s="242"/>
      <c r="M613" s="242"/>
      <c r="N613" s="242"/>
      <c r="O613" s="242"/>
      <c r="P613" s="242"/>
      <c r="Q613" s="242"/>
      <c r="R613" s="242"/>
      <c r="S613" s="242"/>
      <c r="T613" s="13"/>
      <c r="U613" s="242"/>
      <c r="V613" s="242"/>
      <c r="W613" s="242"/>
      <c r="X613" s="242"/>
      <c r="Y613" s="242"/>
      <c r="Z613" s="242"/>
    </row>
    <row r="614">
      <c r="A614" s="242"/>
      <c r="B614" s="13"/>
      <c r="C614" s="13"/>
      <c r="D614" s="242"/>
      <c r="E614" s="242"/>
      <c r="F614" s="242"/>
      <c r="G614" s="242"/>
      <c r="H614" s="242"/>
      <c r="I614" s="242"/>
      <c r="J614" s="242"/>
      <c r="K614" s="242"/>
      <c r="L614" s="242"/>
      <c r="M614" s="242"/>
      <c r="N614" s="242"/>
      <c r="O614" s="242"/>
      <c r="P614" s="242"/>
      <c r="Q614" s="242"/>
      <c r="R614" s="242"/>
      <c r="S614" s="242"/>
      <c r="T614" s="13"/>
      <c r="U614" s="242"/>
      <c r="V614" s="242"/>
      <c r="W614" s="242"/>
      <c r="X614" s="242"/>
      <c r="Y614" s="242"/>
      <c r="Z614" s="242"/>
    </row>
    <row r="615">
      <c r="A615" s="242"/>
      <c r="B615" s="13"/>
      <c r="C615" s="13"/>
      <c r="D615" s="242"/>
      <c r="E615" s="242"/>
      <c r="F615" s="242"/>
      <c r="G615" s="242"/>
      <c r="H615" s="242"/>
      <c r="I615" s="242"/>
      <c r="J615" s="242"/>
      <c r="K615" s="242"/>
      <c r="L615" s="242"/>
      <c r="M615" s="242"/>
      <c r="N615" s="242"/>
      <c r="O615" s="242"/>
      <c r="P615" s="242"/>
      <c r="Q615" s="242"/>
      <c r="R615" s="242"/>
      <c r="S615" s="242"/>
      <c r="T615" s="13"/>
      <c r="U615" s="242"/>
      <c r="V615" s="242"/>
      <c r="W615" s="242"/>
      <c r="X615" s="242"/>
      <c r="Y615" s="242"/>
      <c r="Z615" s="242"/>
    </row>
    <row r="616">
      <c r="A616" s="242"/>
      <c r="B616" s="13"/>
      <c r="C616" s="13"/>
      <c r="D616" s="242"/>
      <c r="E616" s="242"/>
      <c r="F616" s="242"/>
      <c r="G616" s="242"/>
      <c r="H616" s="242"/>
      <c r="I616" s="242"/>
      <c r="J616" s="242"/>
      <c r="K616" s="242"/>
      <c r="L616" s="242"/>
      <c r="M616" s="242"/>
      <c r="N616" s="242"/>
      <c r="O616" s="242"/>
      <c r="P616" s="242"/>
      <c r="Q616" s="242"/>
      <c r="R616" s="242"/>
      <c r="S616" s="242"/>
      <c r="T616" s="13"/>
      <c r="U616" s="242"/>
      <c r="V616" s="242"/>
      <c r="W616" s="242"/>
      <c r="X616" s="242"/>
      <c r="Y616" s="242"/>
      <c r="Z616" s="242"/>
    </row>
    <row r="617">
      <c r="A617" s="242"/>
      <c r="B617" s="13"/>
      <c r="C617" s="13"/>
      <c r="D617" s="242"/>
      <c r="E617" s="242"/>
      <c r="F617" s="242"/>
      <c r="G617" s="242"/>
      <c r="H617" s="242"/>
      <c r="I617" s="242"/>
      <c r="J617" s="242"/>
      <c r="K617" s="242"/>
      <c r="L617" s="242"/>
      <c r="M617" s="242"/>
      <c r="N617" s="242"/>
      <c r="O617" s="242"/>
      <c r="P617" s="242"/>
      <c r="Q617" s="242"/>
      <c r="R617" s="242"/>
      <c r="S617" s="242"/>
      <c r="T617" s="13"/>
      <c r="U617" s="242"/>
      <c r="V617" s="242"/>
      <c r="W617" s="242"/>
      <c r="X617" s="242"/>
      <c r="Y617" s="242"/>
      <c r="Z617" s="242"/>
    </row>
    <row r="618">
      <c r="A618" s="242"/>
      <c r="B618" s="13"/>
      <c r="C618" s="13"/>
      <c r="D618" s="242"/>
      <c r="E618" s="242"/>
      <c r="F618" s="242"/>
      <c r="G618" s="242"/>
      <c r="H618" s="242"/>
      <c r="I618" s="242"/>
      <c r="J618" s="242"/>
      <c r="K618" s="242"/>
      <c r="L618" s="242"/>
      <c r="M618" s="242"/>
      <c r="N618" s="242"/>
      <c r="O618" s="242"/>
      <c r="P618" s="242"/>
      <c r="Q618" s="242"/>
      <c r="R618" s="242"/>
      <c r="S618" s="242"/>
      <c r="T618" s="13"/>
      <c r="U618" s="242"/>
      <c r="V618" s="242"/>
      <c r="W618" s="242"/>
      <c r="X618" s="242"/>
      <c r="Y618" s="242"/>
      <c r="Z618" s="242"/>
    </row>
    <row r="619">
      <c r="A619" s="242"/>
      <c r="B619" s="13"/>
      <c r="C619" s="13"/>
      <c r="D619" s="242"/>
      <c r="E619" s="242"/>
      <c r="F619" s="242"/>
      <c r="G619" s="242"/>
      <c r="H619" s="242"/>
      <c r="I619" s="242"/>
      <c r="J619" s="242"/>
      <c r="K619" s="242"/>
      <c r="L619" s="242"/>
      <c r="M619" s="242"/>
      <c r="N619" s="242"/>
      <c r="O619" s="242"/>
      <c r="P619" s="242"/>
      <c r="Q619" s="242"/>
      <c r="R619" s="242"/>
      <c r="S619" s="242"/>
      <c r="T619" s="13"/>
      <c r="U619" s="242"/>
      <c r="V619" s="242"/>
      <c r="W619" s="242"/>
      <c r="X619" s="242"/>
      <c r="Y619" s="242"/>
      <c r="Z619" s="242"/>
    </row>
    <row r="620">
      <c r="A620" s="242"/>
      <c r="B620" s="13"/>
      <c r="C620" s="13"/>
      <c r="D620" s="242"/>
      <c r="E620" s="242"/>
      <c r="F620" s="242"/>
      <c r="G620" s="242"/>
      <c r="H620" s="242"/>
      <c r="I620" s="242"/>
      <c r="J620" s="242"/>
      <c r="K620" s="242"/>
      <c r="L620" s="242"/>
      <c r="M620" s="242"/>
      <c r="N620" s="242"/>
      <c r="O620" s="242"/>
      <c r="P620" s="242"/>
      <c r="Q620" s="242"/>
      <c r="R620" s="242"/>
      <c r="S620" s="242"/>
      <c r="T620" s="13"/>
      <c r="U620" s="242"/>
      <c r="V620" s="242"/>
      <c r="W620" s="242"/>
      <c r="X620" s="242"/>
      <c r="Y620" s="242"/>
      <c r="Z620" s="242"/>
    </row>
    <row r="621">
      <c r="A621" s="242"/>
      <c r="B621" s="13"/>
      <c r="C621" s="13"/>
      <c r="D621" s="242"/>
      <c r="E621" s="242"/>
      <c r="F621" s="242"/>
      <c r="G621" s="242"/>
      <c r="H621" s="242"/>
      <c r="I621" s="242"/>
      <c r="J621" s="242"/>
      <c r="K621" s="242"/>
      <c r="L621" s="242"/>
      <c r="M621" s="242"/>
      <c r="N621" s="242"/>
      <c r="O621" s="242"/>
      <c r="P621" s="242"/>
      <c r="Q621" s="242"/>
      <c r="R621" s="242"/>
      <c r="S621" s="242"/>
      <c r="T621" s="13"/>
      <c r="U621" s="242"/>
      <c r="V621" s="242"/>
      <c r="W621" s="242"/>
      <c r="X621" s="242"/>
      <c r="Y621" s="242"/>
      <c r="Z621" s="242"/>
    </row>
    <row r="622">
      <c r="A622" s="242"/>
      <c r="B622" s="13"/>
      <c r="C622" s="13"/>
      <c r="D622" s="242"/>
      <c r="E622" s="242"/>
      <c r="F622" s="242"/>
      <c r="G622" s="242"/>
      <c r="H622" s="242"/>
      <c r="I622" s="242"/>
      <c r="J622" s="242"/>
      <c r="K622" s="242"/>
      <c r="L622" s="242"/>
      <c r="M622" s="242"/>
      <c r="N622" s="242"/>
      <c r="O622" s="242"/>
      <c r="P622" s="242"/>
      <c r="Q622" s="242"/>
      <c r="R622" s="242"/>
      <c r="S622" s="242"/>
      <c r="T622" s="13"/>
      <c r="U622" s="242"/>
      <c r="V622" s="242"/>
      <c r="W622" s="242"/>
      <c r="X622" s="242"/>
      <c r="Y622" s="242"/>
      <c r="Z622" s="242"/>
    </row>
    <row r="623">
      <c r="A623" s="242"/>
      <c r="B623" s="13"/>
      <c r="C623" s="13"/>
      <c r="D623" s="242"/>
      <c r="E623" s="242"/>
      <c r="F623" s="242"/>
      <c r="G623" s="242"/>
      <c r="H623" s="242"/>
      <c r="I623" s="242"/>
      <c r="J623" s="242"/>
      <c r="K623" s="242"/>
      <c r="L623" s="242"/>
      <c r="M623" s="242"/>
      <c r="N623" s="242"/>
      <c r="O623" s="242"/>
      <c r="P623" s="242"/>
      <c r="Q623" s="242"/>
      <c r="R623" s="242"/>
      <c r="S623" s="242"/>
      <c r="T623" s="13"/>
      <c r="U623" s="242"/>
      <c r="V623" s="242"/>
      <c r="W623" s="242"/>
      <c r="X623" s="242"/>
      <c r="Y623" s="242"/>
      <c r="Z623" s="242"/>
    </row>
    <row r="624">
      <c r="A624" s="242"/>
      <c r="B624" s="13"/>
      <c r="C624" s="13"/>
      <c r="D624" s="242"/>
      <c r="E624" s="242"/>
      <c r="F624" s="242"/>
      <c r="G624" s="242"/>
      <c r="H624" s="242"/>
      <c r="I624" s="242"/>
      <c r="J624" s="242"/>
      <c r="K624" s="242"/>
      <c r="L624" s="242"/>
      <c r="M624" s="242"/>
      <c r="N624" s="242"/>
      <c r="O624" s="242"/>
      <c r="P624" s="242"/>
      <c r="Q624" s="242"/>
      <c r="R624" s="242"/>
      <c r="S624" s="242"/>
      <c r="T624" s="13"/>
      <c r="U624" s="242"/>
      <c r="V624" s="242"/>
      <c r="W624" s="242"/>
      <c r="X624" s="242"/>
      <c r="Y624" s="242"/>
      <c r="Z624" s="242"/>
    </row>
    <row r="625">
      <c r="A625" s="242"/>
      <c r="B625" s="13"/>
      <c r="C625" s="13"/>
      <c r="D625" s="242"/>
      <c r="E625" s="242"/>
      <c r="F625" s="242"/>
      <c r="G625" s="242"/>
      <c r="H625" s="242"/>
      <c r="I625" s="242"/>
      <c r="J625" s="242"/>
      <c r="K625" s="242"/>
      <c r="L625" s="242"/>
      <c r="M625" s="242"/>
      <c r="N625" s="242"/>
      <c r="O625" s="242"/>
      <c r="P625" s="242"/>
      <c r="Q625" s="242"/>
      <c r="R625" s="242"/>
      <c r="S625" s="242"/>
      <c r="T625" s="13"/>
      <c r="U625" s="242"/>
      <c r="V625" s="242"/>
      <c r="W625" s="242"/>
      <c r="X625" s="242"/>
      <c r="Y625" s="242"/>
      <c r="Z625" s="242"/>
    </row>
    <row r="626">
      <c r="A626" s="242"/>
      <c r="B626" s="13"/>
      <c r="C626" s="13"/>
      <c r="D626" s="242"/>
      <c r="E626" s="242"/>
      <c r="F626" s="242"/>
      <c r="G626" s="242"/>
      <c r="H626" s="242"/>
      <c r="I626" s="242"/>
      <c r="J626" s="242"/>
      <c r="K626" s="242"/>
      <c r="L626" s="242"/>
      <c r="M626" s="242"/>
      <c r="N626" s="242"/>
      <c r="O626" s="242"/>
      <c r="P626" s="242"/>
      <c r="Q626" s="242"/>
      <c r="R626" s="242"/>
      <c r="S626" s="242"/>
      <c r="T626" s="13"/>
      <c r="U626" s="242"/>
      <c r="V626" s="242"/>
      <c r="W626" s="242"/>
      <c r="X626" s="242"/>
      <c r="Y626" s="242"/>
      <c r="Z626" s="242"/>
    </row>
    <row r="627">
      <c r="A627" s="242"/>
      <c r="B627" s="13"/>
      <c r="C627" s="13"/>
      <c r="D627" s="242"/>
      <c r="E627" s="242"/>
      <c r="F627" s="242"/>
      <c r="G627" s="242"/>
      <c r="H627" s="242"/>
      <c r="I627" s="242"/>
      <c r="J627" s="242"/>
      <c r="K627" s="242"/>
      <c r="L627" s="242"/>
      <c r="M627" s="242"/>
      <c r="N627" s="242"/>
      <c r="O627" s="242"/>
      <c r="P627" s="242"/>
      <c r="Q627" s="242"/>
      <c r="R627" s="242"/>
      <c r="S627" s="242"/>
      <c r="T627" s="13"/>
      <c r="U627" s="242"/>
      <c r="V627" s="242"/>
      <c r="W627" s="242"/>
      <c r="X627" s="242"/>
      <c r="Y627" s="242"/>
      <c r="Z627" s="242"/>
    </row>
    <row r="628">
      <c r="A628" s="242"/>
      <c r="B628" s="13"/>
      <c r="C628" s="13"/>
      <c r="D628" s="242"/>
      <c r="E628" s="242"/>
      <c r="F628" s="242"/>
      <c r="G628" s="242"/>
      <c r="H628" s="242"/>
      <c r="I628" s="242"/>
      <c r="J628" s="242"/>
      <c r="K628" s="242"/>
      <c r="L628" s="242"/>
      <c r="M628" s="242"/>
      <c r="N628" s="242"/>
      <c r="O628" s="242"/>
      <c r="P628" s="242"/>
      <c r="Q628" s="242"/>
      <c r="R628" s="242"/>
      <c r="S628" s="242"/>
      <c r="T628" s="13"/>
      <c r="U628" s="242"/>
      <c r="V628" s="242"/>
      <c r="W628" s="242"/>
      <c r="X628" s="242"/>
      <c r="Y628" s="242"/>
      <c r="Z628" s="242"/>
    </row>
    <row r="629">
      <c r="A629" s="242"/>
      <c r="B629" s="13"/>
      <c r="C629" s="13"/>
      <c r="D629" s="242"/>
      <c r="E629" s="242"/>
      <c r="F629" s="242"/>
      <c r="G629" s="242"/>
      <c r="H629" s="242"/>
      <c r="I629" s="242"/>
      <c r="J629" s="242"/>
      <c r="K629" s="242"/>
      <c r="L629" s="242"/>
      <c r="M629" s="242"/>
      <c r="N629" s="242"/>
      <c r="O629" s="242"/>
      <c r="P629" s="242"/>
      <c r="Q629" s="242"/>
      <c r="R629" s="242"/>
      <c r="S629" s="242"/>
      <c r="T629" s="13"/>
      <c r="U629" s="242"/>
      <c r="V629" s="242"/>
      <c r="W629" s="242"/>
      <c r="X629" s="242"/>
      <c r="Y629" s="242"/>
      <c r="Z629" s="242"/>
    </row>
    <row r="630">
      <c r="A630" s="242"/>
      <c r="B630" s="13"/>
      <c r="C630" s="13"/>
      <c r="D630" s="242"/>
      <c r="E630" s="242"/>
      <c r="F630" s="242"/>
      <c r="G630" s="242"/>
      <c r="H630" s="242"/>
      <c r="I630" s="242"/>
      <c r="J630" s="242"/>
      <c r="K630" s="242"/>
      <c r="L630" s="242"/>
      <c r="M630" s="242"/>
      <c r="N630" s="242"/>
      <c r="O630" s="242"/>
      <c r="P630" s="242"/>
      <c r="Q630" s="242"/>
      <c r="R630" s="242"/>
      <c r="S630" s="242"/>
      <c r="T630" s="13"/>
      <c r="U630" s="242"/>
      <c r="V630" s="242"/>
      <c r="W630" s="242"/>
      <c r="X630" s="242"/>
      <c r="Y630" s="242"/>
      <c r="Z630" s="242"/>
    </row>
    <row r="631">
      <c r="A631" s="242"/>
      <c r="B631" s="13"/>
      <c r="C631" s="13"/>
      <c r="D631" s="242"/>
      <c r="E631" s="242"/>
      <c r="F631" s="242"/>
      <c r="G631" s="242"/>
      <c r="H631" s="242"/>
      <c r="I631" s="242"/>
      <c r="J631" s="242"/>
      <c r="K631" s="242"/>
      <c r="L631" s="242"/>
      <c r="M631" s="242"/>
      <c r="N631" s="242"/>
      <c r="O631" s="242"/>
      <c r="P631" s="242"/>
      <c r="Q631" s="242"/>
      <c r="R631" s="242"/>
      <c r="S631" s="242"/>
      <c r="T631" s="13"/>
      <c r="U631" s="242"/>
      <c r="V631" s="242"/>
      <c r="W631" s="242"/>
      <c r="X631" s="242"/>
      <c r="Y631" s="242"/>
      <c r="Z631" s="242"/>
    </row>
    <row r="632">
      <c r="A632" s="242"/>
      <c r="B632" s="13"/>
      <c r="C632" s="13"/>
      <c r="D632" s="242"/>
      <c r="E632" s="242"/>
      <c r="F632" s="242"/>
      <c r="G632" s="242"/>
      <c r="H632" s="242"/>
      <c r="I632" s="242"/>
      <c r="J632" s="242"/>
      <c r="K632" s="242"/>
      <c r="L632" s="242"/>
      <c r="M632" s="242"/>
      <c r="N632" s="242"/>
      <c r="O632" s="242"/>
      <c r="P632" s="242"/>
      <c r="Q632" s="242"/>
      <c r="R632" s="242"/>
      <c r="S632" s="242"/>
      <c r="T632" s="13"/>
      <c r="U632" s="242"/>
      <c r="V632" s="242"/>
      <c r="W632" s="242"/>
      <c r="X632" s="242"/>
      <c r="Y632" s="242"/>
      <c r="Z632" s="242"/>
    </row>
    <row r="633">
      <c r="A633" s="242"/>
      <c r="B633" s="13"/>
      <c r="C633" s="13"/>
      <c r="D633" s="242"/>
      <c r="E633" s="242"/>
      <c r="F633" s="242"/>
      <c r="G633" s="242"/>
      <c r="H633" s="242"/>
      <c r="I633" s="242"/>
      <c r="J633" s="242"/>
      <c r="K633" s="242"/>
      <c r="L633" s="242"/>
      <c r="M633" s="242"/>
      <c r="N633" s="242"/>
      <c r="O633" s="242"/>
      <c r="P633" s="242"/>
      <c r="Q633" s="242"/>
      <c r="R633" s="242"/>
      <c r="S633" s="242"/>
      <c r="T633" s="13"/>
      <c r="U633" s="242"/>
      <c r="V633" s="242"/>
      <c r="W633" s="242"/>
      <c r="X633" s="242"/>
      <c r="Y633" s="242"/>
      <c r="Z633" s="242"/>
    </row>
    <row r="634">
      <c r="A634" s="242"/>
      <c r="B634" s="13"/>
      <c r="C634" s="13"/>
      <c r="D634" s="242"/>
      <c r="E634" s="242"/>
      <c r="F634" s="242"/>
      <c r="G634" s="242"/>
      <c r="H634" s="242"/>
      <c r="I634" s="242"/>
      <c r="J634" s="242"/>
      <c r="K634" s="242"/>
      <c r="L634" s="242"/>
      <c r="M634" s="242"/>
      <c r="N634" s="242"/>
      <c r="O634" s="242"/>
      <c r="P634" s="242"/>
      <c r="Q634" s="242"/>
      <c r="R634" s="242"/>
      <c r="S634" s="242"/>
      <c r="T634" s="13"/>
      <c r="U634" s="242"/>
      <c r="V634" s="242"/>
      <c r="W634" s="242"/>
      <c r="X634" s="242"/>
      <c r="Y634" s="242"/>
      <c r="Z634" s="242"/>
    </row>
    <row r="635">
      <c r="A635" s="242"/>
      <c r="B635" s="13"/>
      <c r="C635" s="13"/>
      <c r="D635" s="242"/>
      <c r="E635" s="242"/>
      <c r="F635" s="242"/>
      <c r="G635" s="242"/>
      <c r="H635" s="242"/>
      <c r="I635" s="242"/>
      <c r="J635" s="242"/>
      <c r="K635" s="242"/>
      <c r="L635" s="242"/>
      <c r="M635" s="242"/>
      <c r="N635" s="242"/>
      <c r="O635" s="242"/>
      <c r="P635" s="242"/>
      <c r="Q635" s="242"/>
      <c r="R635" s="242"/>
      <c r="S635" s="242"/>
      <c r="T635" s="13"/>
      <c r="U635" s="242"/>
      <c r="V635" s="242"/>
      <c r="W635" s="242"/>
      <c r="X635" s="242"/>
      <c r="Y635" s="242"/>
      <c r="Z635" s="242"/>
    </row>
    <row r="636">
      <c r="A636" s="242"/>
      <c r="B636" s="13"/>
      <c r="C636" s="13"/>
      <c r="D636" s="242"/>
      <c r="E636" s="242"/>
      <c r="F636" s="242"/>
      <c r="G636" s="242"/>
      <c r="H636" s="242"/>
      <c r="I636" s="242"/>
      <c r="J636" s="242"/>
      <c r="K636" s="242"/>
      <c r="L636" s="242"/>
      <c r="M636" s="242"/>
      <c r="N636" s="242"/>
      <c r="O636" s="242"/>
      <c r="P636" s="242"/>
      <c r="Q636" s="242"/>
      <c r="R636" s="242"/>
      <c r="S636" s="242"/>
      <c r="T636" s="13"/>
      <c r="U636" s="242"/>
      <c r="V636" s="242"/>
      <c r="W636" s="242"/>
      <c r="X636" s="242"/>
      <c r="Y636" s="242"/>
      <c r="Z636" s="242"/>
    </row>
    <row r="637">
      <c r="A637" s="242"/>
      <c r="B637" s="13"/>
      <c r="C637" s="13"/>
      <c r="D637" s="242"/>
      <c r="E637" s="242"/>
      <c r="F637" s="242"/>
      <c r="G637" s="242"/>
      <c r="H637" s="242"/>
      <c r="I637" s="242"/>
      <c r="J637" s="242"/>
      <c r="K637" s="242"/>
      <c r="L637" s="242"/>
      <c r="M637" s="242"/>
      <c r="N637" s="242"/>
      <c r="O637" s="242"/>
      <c r="P637" s="242"/>
      <c r="Q637" s="242"/>
      <c r="R637" s="242"/>
      <c r="S637" s="242"/>
      <c r="T637" s="13"/>
      <c r="U637" s="242"/>
      <c r="V637" s="242"/>
      <c r="W637" s="242"/>
      <c r="X637" s="242"/>
      <c r="Y637" s="242"/>
      <c r="Z637" s="242"/>
    </row>
    <row r="638">
      <c r="A638" s="242"/>
      <c r="B638" s="13"/>
      <c r="C638" s="13"/>
      <c r="D638" s="242"/>
      <c r="E638" s="242"/>
      <c r="F638" s="242"/>
      <c r="G638" s="242"/>
      <c r="H638" s="242"/>
      <c r="I638" s="242"/>
      <c r="J638" s="242"/>
      <c r="K638" s="242"/>
      <c r="L638" s="242"/>
      <c r="M638" s="242"/>
      <c r="N638" s="242"/>
      <c r="O638" s="242"/>
      <c r="P638" s="242"/>
      <c r="Q638" s="242"/>
      <c r="R638" s="242"/>
      <c r="S638" s="242"/>
      <c r="T638" s="13"/>
      <c r="U638" s="242"/>
      <c r="V638" s="242"/>
      <c r="W638" s="242"/>
      <c r="X638" s="242"/>
      <c r="Y638" s="242"/>
      <c r="Z638" s="242"/>
    </row>
    <row r="639">
      <c r="A639" s="242"/>
      <c r="B639" s="13"/>
      <c r="C639" s="13"/>
      <c r="D639" s="242"/>
      <c r="E639" s="242"/>
      <c r="F639" s="242"/>
      <c r="G639" s="242"/>
      <c r="H639" s="242"/>
      <c r="I639" s="242"/>
      <c r="J639" s="242"/>
      <c r="K639" s="242"/>
      <c r="L639" s="242"/>
      <c r="M639" s="242"/>
      <c r="N639" s="242"/>
      <c r="O639" s="242"/>
      <c r="P639" s="242"/>
      <c r="Q639" s="242"/>
      <c r="R639" s="242"/>
      <c r="S639" s="242"/>
      <c r="T639" s="13"/>
      <c r="U639" s="242"/>
      <c r="V639" s="242"/>
      <c r="W639" s="242"/>
      <c r="X639" s="242"/>
      <c r="Y639" s="242"/>
      <c r="Z639" s="242"/>
    </row>
    <row r="640">
      <c r="A640" s="242"/>
      <c r="B640" s="13"/>
      <c r="C640" s="13"/>
      <c r="D640" s="242"/>
      <c r="E640" s="242"/>
      <c r="F640" s="242"/>
      <c r="G640" s="242"/>
      <c r="H640" s="242"/>
      <c r="I640" s="242"/>
      <c r="J640" s="242"/>
      <c r="K640" s="242"/>
      <c r="L640" s="242"/>
      <c r="M640" s="242"/>
      <c r="N640" s="242"/>
      <c r="O640" s="242"/>
      <c r="P640" s="242"/>
      <c r="Q640" s="242"/>
      <c r="R640" s="242"/>
      <c r="S640" s="242"/>
      <c r="T640" s="13"/>
      <c r="U640" s="242"/>
      <c r="V640" s="242"/>
      <c r="W640" s="242"/>
      <c r="X640" s="242"/>
      <c r="Y640" s="242"/>
      <c r="Z640" s="242"/>
    </row>
    <row r="641">
      <c r="A641" s="242"/>
      <c r="B641" s="13"/>
      <c r="C641" s="13"/>
      <c r="D641" s="242"/>
      <c r="E641" s="242"/>
      <c r="F641" s="242"/>
      <c r="G641" s="242"/>
      <c r="H641" s="242"/>
      <c r="I641" s="242"/>
      <c r="J641" s="242"/>
      <c r="K641" s="242"/>
      <c r="L641" s="242"/>
      <c r="M641" s="242"/>
      <c r="N641" s="242"/>
      <c r="O641" s="242"/>
      <c r="P641" s="242"/>
      <c r="Q641" s="242"/>
      <c r="R641" s="242"/>
      <c r="S641" s="242"/>
      <c r="T641" s="13"/>
      <c r="U641" s="242"/>
      <c r="V641" s="242"/>
      <c r="W641" s="242"/>
      <c r="X641" s="242"/>
      <c r="Y641" s="242"/>
      <c r="Z641" s="242"/>
    </row>
    <row r="642">
      <c r="A642" s="242"/>
      <c r="B642" s="13"/>
      <c r="C642" s="13"/>
      <c r="D642" s="242"/>
      <c r="E642" s="242"/>
      <c r="F642" s="242"/>
      <c r="G642" s="242"/>
      <c r="H642" s="242"/>
      <c r="I642" s="242"/>
      <c r="J642" s="242"/>
      <c r="K642" s="242"/>
      <c r="L642" s="242"/>
      <c r="M642" s="242"/>
      <c r="N642" s="242"/>
      <c r="O642" s="242"/>
      <c r="P642" s="242"/>
      <c r="Q642" s="242"/>
      <c r="R642" s="242"/>
      <c r="S642" s="242"/>
      <c r="T642" s="13"/>
      <c r="U642" s="242"/>
      <c r="V642" s="242"/>
      <c r="W642" s="242"/>
      <c r="X642" s="242"/>
      <c r="Y642" s="242"/>
      <c r="Z642" s="242"/>
    </row>
    <row r="643">
      <c r="A643" s="242"/>
      <c r="B643" s="13"/>
      <c r="C643" s="13"/>
      <c r="D643" s="242"/>
      <c r="E643" s="242"/>
      <c r="F643" s="242"/>
      <c r="G643" s="242"/>
      <c r="H643" s="242"/>
      <c r="I643" s="242"/>
      <c r="J643" s="242"/>
      <c r="K643" s="242"/>
      <c r="L643" s="242"/>
      <c r="M643" s="242"/>
      <c r="N643" s="242"/>
      <c r="O643" s="242"/>
      <c r="P643" s="242"/>
      <c r="Q643" s="242"/>
      <c r="R643" s="242"/>
      <c r="S643" s="242"/>
      <c r="T643" s="13"/>
      <c r="U643" s="242"/>
      <c r="V643" s="242"/>
      <c r="W643" s="242"/>
      <c r="X643" s="242"/>
      <c r="Y643" s="242"/>
      <c r="Z643" s="242"/>
    </row>
    <row r="644">
      <c r="A644" s="242"/>
      <c r="B644" s="13"/>
      <c r="C644" s="13"/>
      <c r="D644" s="242"/>
      <c r="E644" s="242"/>
      <c r="F644" s="242"/>
      <c r="G644" s="242"/>
      <c r="H644" s="242"/>
      <c r="I644" s="242"/>
      <c r="J644" s="242"/>
      <c r="K644" s="242"/>
      <c r="L644" s="242"/>
      <c r="M644" s="242"/>
      <c r="N644" s="242"/>
      <c r="O644" s="242"/>
      <c r="P644" s="242"/>
      <c r="Q644" s="242"/>
      <c r="R644" s="242"/>
      <c r="S644" s="242"/>
      <c r="T644" s="13"/>
      <c r="U644" s="242"/>
      <c r="V644" s="242"/>
      <c r="W644" s="242"/>
      <c r="X644" s="242"/>
      <c r="Y644" s="242"/>
      <c r="Z644" s="242"/>
    </row>
    <row r="645">
      <c r="A645" s="242"/>
      <c r="B645" s="13"/>
      <c r="C645" s="13"/>
      <c r="D645" s="242"/>
      <c r="E645" s="242"/>
      <c r="F645" s="242"/>
      <c r="G645" s="242"/>
      <c r="H645" s="242"/>
      <c r="I645" s="242"/>
      <c r="J645" s="242"/>
      <c r="K645" s="242"/>
      <c r="L645" s="242"/>
      <c r="M645" s="242"/>
      <c r="N645" s="242"/>
      <c r="O645" s="242"/>
      <c r="P645" s="242"/>
      <c r="Q645" s="242"/>
      <c r="R645" s="242"/>
      <c r="S645" s="242"/>
      <c r="T645" s="13"/>
      <c r="U645" s="242"/>
      <c r="V645" s="242"/>
      <c r="W645" s="242"/>
      <c r="X645" s="242"/>
      <c r="Y645" s="242"/>
      <c r="Z645" s="242"/>
    </row>
    <row r="646">
      <c r="A646" s="242"/>
      <c r="B646" s="13"/>
      <c r="C646" s="13"/>
      <c r="D646" s="242"/>
      <c r="E646" s="242"/>
      <c r="F646" s="242"/>
      <c r="G646" s="242"/>
      <c r="H646" s="242"/>
      <c r="I646" s="242"/>
      <c r="J646" s="242"/>
      <c r="K646" s="242"/>
      <c r="L646" s="242"/>
      <c r="M646" s="242"/>
      <c r="N646" s="242"/>
      <c r="O646" s="242"/>
      <c r="P646" s="242"/>
      <c r="Q646" s="242"/>
      <c r="R646" s="242"/>
      <c r="S646" s="242"/>
      <c r="T646" s="13"/>
      <c r="U646" s="242"/>
      <c r="V646" s="242"/>
      <c r="W646" s="242"/>
      <c r="X646" s="242"/>
      <c r="Y646" s="242"/>
      <c r="Z646" s="242"/>
    </row>
    <row r="647">
      <c r="A647" s="242"/>
      <c r="B647" s="13"/>
      <c r="C647" s="13"/>
      <c r="D647" s="242"/>
      <c r="E647" s="242"/>
      <c r="F647" s="242"/>
      <c r="G647" s="242"/>
      <c r="H647" s="242"/>
      <c r="I647" s="242"/>
      <c r="J647" s="242"/>
      <c r="K647" s="242"/>
      <c r="L647" s="242"/>
      <c r="M647" s="242"/>
      <c r="N647" s="242"/>
      <c r="O647" s="242"/>
      <c r="P647" s="242"/>
      <c r="Q647" s="242"/>
      <c r="R647" s="242"/>
      <c r="S647" s="242"/>
      <c r="T647" s="13"/>
      <c r="U647" s="242"/>
      <c r="V647" s="242"/>
      <c r="W647" s="242"/>
      <c r="X647" s="242"/>
      <c r="Y647" s="242"/>
      <c r="Z647" s="242"/>
    </row>
    <row r="648">
      <c r="A648" s="242"/>
      <c r="B648" s="13"/>
      <c r="C648" s="13"/>
      <c r="D648" s="242"/>
      <c r="E648" s="242"/>
      <c r="F648" s="242"/>
      <c r="G648" s="242"/>
      <c r="H648" s="242"/>
      <c r="I648" s="242"/>
      <c r="J648" s="242"/>
      <c r="K648" s="242"/>
      <c r="L648" s="242"/>
      <c r="M648" s="242"/>
      <c r="N648" s="242"/>
      <c r="O648" s="242"/>
      <c r="P648" s="242"/>
      <c r="Q648" s="242"/>
      <c r="R648" s="242"/>
      <c r="S648" s="242"/>
      <c r="T648" s="13"/>
      <c r="U648" s="242"/>
      <c r="V648" s="242"/>
      <c r="W648" s="242"/>
      <c r="X648" s="242"/>
      <c r="Y648" s="242"/>
      <c r="Z648" s="242"/>
    </row>
    <row r="649">
      <c r="A649" s="242"/>
      <c r="B649" s="13"/>
      <c r="C649" s="13"/>
      <c r="D649" s="242"/>
      <c r="E649" s="242"/>
      <c r="F649" s="242"/>
      <c r="G649" s="242"/>
      <c r="H649" s="242"/>
      <c r="I649" s="242"/>
      <c r="J649" s="242"/>
      <c r="K649" s="242"/>
      <c r="L649" s="242"/>
      <c r="M649" s="242"/>
      <c r="N649" s="242"/>
      <c r="O649" s="242"/>
      <c r="P649" s="242"/>
      <c r="Q649" s="242"/>
      <c r="R649" s="242"/>
      <c r="S649" s="242"/>
      <c r="T649" s="13"/>
      <c r="U649" s="242"/>
      <c r="V649" s="242"/>
      <c r="W649" s="242"/>
      <c r="X649" s="242"/>
      <c r="Y649" s="242"/>
      <c r="Z649" s="242"/>
    </row>
    <row r="650">
      <c r="A650" s="242"/>
      <c r="B650" s="13"/>
      <c r="C650" s="13"/>
      <c r="D650" s="242"/>
      <c r="E650" s="242"/>
      <c r="F650" s="242"/>
      <c r="G650" s="242"/>
      <c r="H650" s="242"/>
      <c r="I650" s="242"/>
      <c r="J650" s="242"/>
      <c r="K650" s="242"/>
      <c r="L650" s="242"/>
      <c r="M650" s="242"/>
      <c r="N650" s="242"/>
      <c r="O650" s="242"/>
      <c r="P650" s="242"/>
      <c r="Q650" s="242"/>
      <c r="R650" s="242"/>
      <c r="S650" s="242"/>
      <c r="T650" s="13"/>
      <c r="U650" s="242"/>
      <c r="V650" s="242"/>
      <c r="W650" s="242"/>
      <c r="X650" s="242"/>
      <c r="Y650" s="242"/>
      <c r="Z650" s="242"/>
    </row>
    <row r="651">
      <c r="A651" s="242"/>
      <c r="B651" s="13"/>
      <c r="C651" s="13"/>
      <c r="D651" s="242"/>
      <c r="E651" s="242"/>
      <c r="F651" s="242"/>
      <c r="G651" s="242"/>
      <c r="H651" s="242"/>
      <c r="I651" s="242"/>
      <c r="J651" s="242"/>
      <c r="K651" s="242"/>
      <c r="L651" s="242"/>
      <c r="M651" s="242"/>
      <c r="N651" s="242"/>
      <c r="O651" s="242"/>
      <c r="P651" s="242"/>
      <c r="Q651" s="242"/>
      <c r="R651" s="242"/>
      <c r="S651" s="242"/>
      <c r="T651" s="13"/>
      <c r="U651" s="242"/>
      <c r="V651" s="242"/>
      <c r="W651" s="242"/>
      <c r="X651" s="242"/>
      <c r="Y651" s="242"/>
      <c r="Z651" s="242"/>
    </row>
    <row r="652">
      <c r="A652" s="242"/>
      <c r="B652" s="13"/>
      <c r="C652" s="13"/>
      <c r="D652" s="242"/>
      <c r="E652" s="242"/>
      <c r="F652" s="242"/>
      <c r="G652" s="242"/>
      <c r="H652" s="242"/>
      <c r="I652" s="242"/>
      <c r="J652" s="242"/>
      <c r="K652" s="242"/>
      <c r="L652" s="242"/>
      <c r="M652" s="242"/>
      <c r="N652" s="242"/>
      <c r="O652" s="242"/>
      <c r="P652" s="242"/>
      <c r="Q652" s="242"/>
      <c r="R652" s="242"/>
      <c r="S652" s="242"/>
      <c r="T652" s="13"/>
      <c r="U652" s="242"/>
      <c r="V652" s="242"/>
      <c r="W652" s="242"/>
      <c r="X652" s="242"/>
      <c r="Y652" s="242"/>
      <c r="Z652" s="242"/>
    </row>
    <row r="653">
      <c r="A653" s="242"/>
      <c r="B653" s="13"/>
      <c r="C653" s="13"/>
      <c r="D653" s="242"/>
      <c r="E653" s="242"/>
      <c r="F653" s="242"/>
      <c r="G653" s="242"/>
      <c r="H653" s="242"/>
      <c r="I653" s="242"/>
      <c r="J653" s="242"/>
      <c r="K653" s="242"/>
      <c r="L653" s="242"/>
      <c r="M653" s="242"/>
      <c r="N653" s="242"/>
      <c r="O653" s="242"/>
      <c r="P653" s="242"/>
      <c r="Q653" s="242"/>
      <c r="R653" s="242"/>
      <c r="S653" s="242"/>
      <c r="T653" s="13"/>
      <c r="U653" s="242"/>
      <c r="V653" s="242"/>
      <c r="W653" s="242"/>
      <c r="X653" s="242"/>
      <c r="Y653" s="242"/>
      <c r="Z653" s="242"/>
    </row>
    <row r="654">
      <c r="A654" s="242"/>
      <c r="B654" s="13"/>
      <c r="C654" s="13"/>
      <c r="D654" s="242"/>
      <c r="E654" s="242"/>
      <c r="F654" s="242"/>
      <c r="G654" s="242"/>
      <c r="H654" s="242"/>
      <c r="I654" s="242"/>
      <c r="J654" s="242"/>
      <c r="K654" s="242"/>
      <c r="L654" s="242"/>
      <c r="M654" s="242"/>
      <c r="N654" s="242"/>
      <c r="O654" s="242"/>
      <c r="P654" s="242"/>
      <c r="Q654" s="242"/>
      <c r="R654" s="242"/>
      <c r="S654" s="242"/>
      <c r="T654" s="13"/>
      <c r="U654" s="242"/>
      <c r="V654" s="242"/>
      <c r="W654" s="242"/>
      <c r="X654" s="242"/>
      <c r="Y654" s="242"/>
      <c r="Z654" s="242"/>
    </row>
    <row r="655">
      <c r="A655" s="242"/>
      <c r="B655" s="13"/>
      <c r="C655" s="13"/>
      <c r="D655" s="242"/>
      <c r="E655" s="242"/>
      <c r="F655" s="242"/>
      <c r="G655" s="242"/>
      <c r="H655" s="242"/>
      <c r="I655" s="242"/>
      <c r="J655" s="242"/>
      <c r="K655" s="242"/>
      <c r="L655" s="242"/>
      <c r="M655" s="242"/>
      <c r="N655" s="242"/>
      <c r="O655" s="242"/>
      <c r="P655" s="242"/>
      <c r="Q655" s="242"/>
      <c r="R655" s="242"/>
      <c r="S655" s="242"/>
      <c r="T655" s="13"/>
      <c r="U655" s="242"/>
      <c r="V655" s="242"/>
      <c r="W655" s="242"/>
      <c r="X655" s="242"/>
      <c r="Y655" s="242"/>
      <c r="Z655" s="242"/>
    </row>
    <row r="656">
      <c r="A656" s="242"/>
      <c r="B656" s="13"/>
      <c r="C656" s="13"/>
      <c r="D656" s="242"/>
      <c r="E656" s="242"/>
      <c r="F656" s="242"/>
      <c r="G656" s="242"/>
      <c r="H656" s="242"/>
      <c r="I656" s="242"/>
      <c r="J656" s="242"/>
      <c r="K656" s="242"/>
      <c r="L656" s="242"/>
      <c r="M656" s="242"/>
      <c r="N656" s="242"/>
      <c r="O656" s="242"/>
      <c r="P656" s="242"/>
      <c r="Q656" s="242"/>
      <c r="R656" s="242"/>
      <c r="S656" s="242"/>
      <c r="T656" s="13"/>
      <c r="U656" s="242"/>
      <c r="V656" s="242"/>
      <c r="W656" s="242"/>
      <c r="X656" s="242"/>
      <c r="Y656" s="242"/>
      <c r="Z656" s="242"/>
    </row>
    <row r="657">
      <c r="A657" s="242"/>
      <c r="B657" s="13"/>
      <c r="C657" s="13"/>
      <c r="D657" s="242"/>
      <c r="E657" s="242"/>
      <c r="F657" s="242"/>
      <c r="G657" s="242"/>
      <c r="H657" s="242"/>
      <c r="I657" s="242"/>
      <c r="J657" s="242"/>
      <c r="K657" s="242"/>
      <c r="L657" s="242"/>
      <c r="M657" s="242"/>
      <c r="N657" s="242"/>
      <c r="O657" s="242"/>
      <c r="P657" s="242"/>
      <c r="Q657" s="242"/>
      <c r="R657" s="242"/>
      <c r="S657" s="242"/>
      <c r="T657" s="13"/>
      <c r="U657" s="242"/>
      <c r="V657" s="242"/>
      <c r="W657" s="242"/>
      <c r="X657" s="242"/>
      <c r="Y657" s="242"/>
      <c r="Z657" s="242"/>
    </row>
    <row r="658">
      <c r="A658" s="242"/>
      <c r="B658" s="13"/>
      <c r="C658" s="13"/>
      <c r="D658" s="242"/>
      <c r="E658" s="242"/>
      <c r="F658" s="242"/>
      <c r="G658" s="242"/>
      <c r="H658" s="242"/>
      <c r="I658" s="242"/>
      <c r="J658" s="242"/>
      <c r="K658" s="242"/>
      <c r="L658" s="242"/>
      <c r="M658" s="242"/>
      <c r="N658" s="242"/>
      <c r="O658" s="242"/>
      <c r="P658" s="242"/>
      <c r="Q658" s="242"/>
      <c r="R658" s="242"/>
      <c r="S658" s="242"/>
      <c r="T658" s="13"/>
      <c r="U658" s="242"/>
      <c r="V658" s="242"/>
      <c r="W658" s="242"/>
      <c r="X658" s="242"/>
      <c r="Y658" s="242"/>
      <c r="Z658" s="242"/>
    </row>
    <row r="659">
      <c r="A659" s="242"/>
      <c r="B659" s="13"/>
      <c r="C659" s="13"/>
      <c r="D659" s="242"/>
      <c r="E659" s="242"/>
      <c r="F659" s="242"/>
      <c r="G659" s="242"/>
      <c r="H659" s="242"/>
      <c r="I659" s="242"/>
      <c r="J659" s="242"/>
      <c r="K659" s="242"/>
      <c r="L659" s="242"/>
      <c r="M659" s="242"/>
      <c r="N659" s="242"/>
      <c r="O659" s="242"/>
      <c r="P659" s="242"/>
      <c r="Q659" s="242"/>
      <c r="R659" s="242"/>
      <c r="S659" s="242"/>
      <c r="T659" s="13"/>
      <c r="U659" s="242"/>
      <c r="V659" s="242"/>
      <c r="W659" s="242"/>
      <c r="X659" s="242"/>
      <c r="Y659" s="242"/>
      <c r="Z659" s="242"/>
    </row>
    <row r="660">
      <c r="A660" s="242"/>
      <c r="B660" s="13"/>
      <c r="C660" s="13"/>
      <c r="D660" s="242"/>
      <c r="E660" s="242"/>
      <c r="F660" s="242"/>
      <c r="G660" s="242"/>
      <c r="H660" s="242"/>
      <c r="I660" s="242"/>
      <c r="J660" s="242"/>
      <c r="K660" s="242"/>
      <c r="L660" s="242"/>
      <c r="M660" s="242"/>
      <c r="N660" s="242"/>
      <c r="O660" s="242"/>
      <c r="P660" s="242"/>
      <c r="Q660" s="242"/>
      <c r="R660" s="242"/>
      <c r="S660" s="242"/>
      <c r="T660" s="13"/>
      <c r="U660" s="242"/>
      <c r="V660" s="242"/>
      <c r="W660" s="242"/>
      <c r="X660" s="242"/>
      <c r="Y660" s="242"/>
      <c r="Z660" s="242"/>
    </row>
    <row r="661">
      <c r="A661" s="242"/>
      <c r="B661" s="13"/>
      <c r="C661" s="13"/>
      <c r="D661" s="242"/>
      <c r="E661" s="242"/>
      <c r="F661" s="242"/>
      <c r="G661" s="242"/>
      <c r="H661" s="242"/>
      <c r="I661" s="242"/>
      <c r="J661" s="242"/>
      <c r="K661" s="242"/>
      <c r="L661" s="242"/>
      <c r="M661" s="242"/>
      <c r="N661" s="242"/>
      <c r="O661" s="242"/>
      <c r="P661" s="242"/>
      <c r="Q661" s="242"/>
      <c r="R661" s="242"/>
      <c r="S661" s="242"/>
      <c r="T661" s="13"/>
      <c r="U661" s="242"/>
      <c r="V661" s="242"/>
      <c r="W661" s="242"/>
      <c r="X661" s="242"/>
      <c r="Y661" s="242"/>
      <c r="Z661" s="242"/>
    </row>
    <row r="662">
      <c r="A662" s="242"/>
      <c r="B662" s="13"/>
      <c r="C662" s="13"/>
      <c r="D662" s="242"/>
      <c r="E662" s="242"/>
      <c r="F662" s="242"/>
      <c r="G662" s="242"/>
      <c r="H662" s="242"/>
      <c r="I662" s="242"/>
      <c r="J662" s="242"/>
      <c r="K662" s="242"/>
      <c r="L662" s="242"/>
      <c r="M662" s="242"/>
      <c r="N662" s="242"/>
      <c r="O662" s="242"/>
      <c r="P662" s="242"/>
      <c r="Q662" s="242"/>
      <c r="R662" s="242"/>
      <c r="S662" s="242"/>
      <c r="T662" s="13"/>
      <c r="U662" s="242"/>
      <c r="V662" s="242"/>
      <c r="W662" s="242"/>
      <c r="X662" s="242"/>
      <c r="Y662" s="242"/>
      <c r="Z662" s="242"/>
    </row>
    <row r="663">
      <c r="A663" s="242"/>
      <c r="B663" s="13"/>
      <c r="C663" s="13"/>
      <c r="D663" s="242"/>
      <c r="E663" s="242"/>
      <c r="F663" s="242"/>
      <c r="G663" s="242"/>
      <c r="H663" s="242"/>
      <c r="I663" s="242"/>
      <c r="J663" s="242"/>
      <c r="K663" s="242"/>
      <c r="L663" s="242"/>
      <c r="M663" s="242"/>
      <c r="N663" s="242"/>
      <c r="O663" s="242"/>
      <c r="P663" s="242"/>
      <c r="Q663" s="242"/>
      <c r="R663" s="242"/>
      <c r="S663" s="242"/>
      <c r="T663" s="13"/>
      <c r="U663" s="242"/>
      <c r="V663" s="242"/>
      <c r="W663" s="242"/>
      <c r="X663" s="242"/>
      <c r="Y663" s="242"/>
      <c r="Z663" s="242"/>
    </row>
    <row r="664">
      <c r="A664" s="242"/>
      <c r="B664" s="13"/>
      <c r="C664" s="13"/>
      <c r="D664" s="242"/>
      <c r="E664" s="242"/>
      <c r="F664" s="242"/>
      <c r="G664" s="242"/>
      <c r="H664" s="242"/>
      <c r="I664" s="242"/>
      <c r="J664" s="242"/>
      <c r="K664" s="242"/>
      <c r="L664" s="242"/>
      <c r="M664" s="242"/>
      <c r="N664" s="242"/>
      <c r="O664" s="242"/>
      <c r="P664" s="242"/>
      <c r="Q664" s="242"/>
      <c r="R664" s="242"/>
      <c r="S664" s="242"/>
      <c r="T664" s="13"/>
      <c r="U664" s="242"/>
      <c r="V664" s="242"/>
      <c r="W664" s="242"/>
      <c r="X664" s="242"/>
      <c r="Y664" s="242"/>
      <c r="Z664" s="242"/>
    </row>
    <row r="665">
      <c r="A665" s="242"/>
      <c r="B665" s="13"/>
      <c r="C665" s="13"/>
      <c r="D665" s="242"/>
      <c r="E665" s="242"/>
      <c r="F665" s="242"/>
      <c r="G665" s="242"/>
      <c r="H665" s="242"/>
      <c r="I665" s="242"/>
      <c r="J665" s="242"/>
      <c r="K665" s="242"/>
      <c r="L665" s="242"/>
      <c r="M665" s="242"/>
      <c r="N665" s="242"/>
      <c r="O665" s="242"/>
      <c r="P665" s="242"/>
      <c r="Q665" s="242"/>
      <c r="R665" s="242"/>
      <c r="S665" s="242"/>
      <c r="T665" s="13"/>
      <c r="U665" s="242"/>
      <c r="V665" s="242"/>
      <c r="W665" s="242"/>
      <c r="X665" s="242"/>
      <c r="Y665" s="242"/>
      <c r="Z665" s="242"/>
    </row>
    <row r="666">
      <c r="A666" s="242"/>
      <c r="B666" s="13"/>
      <c r="C666" s="13"/>
      <c r="D666" s="242"/>
      <c r="E666" s="242"/>
      <c r="F666" s="242"/>
      <c r="G666" s="242"/>
      <c r="H666" s="242"/>
      <c r="I666" s="242"/>
      <c r="J666" s="242"/>
      <c r="K666" s="242"/>
      <c r="L666" s="242"/>
      <c r="M666" s="242"/>
      <c r="N666" s="242"/>
      <c r="O666" s="242"/>
      <c r="P666" s="242"/>
      <c r="Q666" s="242"/>
      <c r="R666" s="242"/>
      <c r="S666" s="242"/>
      <c r="T666" s="13"/>
      <c r="U666" s="242"/>
      <c r="V666" s="242"/>
      <c r="W666" s="242"/>
      <c r="X666" s="242"/>
      <c r="Y666" s="242"/>
      <c r="Z666" s="242"/>
    </row>
    <row r="667">
      <c r="A667" s="242"/>
      <c r="B667" s="13"/>
      <c r="C667" s="13"/>
      <c r="D667" s="242"/>
      <c r="E667" s="242"/>
      <c r="F667" s="242"/>
      <c r="G667" s="242"/>
      <c r="H667" s="242"/>
      <c r="I667" s="242"/>
      <c r="J667" s="242"/>
      <c r="K667" s="242"/>
      <c r="L667" s="242"/>
      <c r="M667" s="242"/>
      <c r="N667" s="242"/>
      <c r="O667" s="242"/>
      <c r="P667" s="242"/>
      <c r="Q667" s="242"/>
      <c r="R667" s="242"/>
      <c r="S667" s="242"/>
      <c r="T667" s="13"/>
      <c r="U667" s="242"/>
      <c r="V667" s="242"/>
      <c r="W667" s="242"/>
      <c r="X667" s="242"/>
      <c r="Y667" s="242"/>
      <c r="Z667" s="242"/>
    </row>
    <row r="668">
      <c r="A668" s="242"/>
      <c r="B668" s="13"/>
      <c r="C668" s="13"/>
      <c r="D668" s="242"/>
      <c r="E668" s="242"/>
      <c r="F668" s="242"/>
      <c r="G668" s="242"/>
      <c r="H668" s="242"/>
      <c r="I668" s="242"/>
      <c r="J668" s="242"/>
      <c r="K668" s="242"/>
      <c r="L668" s="242"/>
      <c r="M668" s="242"/>
      <c r="N668" s="242"/>
      <c r="O668" s="242"/>
      <c r="P668" s="242"/>
      <c r="Q668" s="242"/>
      <c r="R668" s="242"/>
      <c r="S668" s="242"/>
      <c r="T668" s="13"/>
      <c r="U668" s="242"/>
      <c r="V668" s="242"/>
      <c r="W668" s="242"/>
      <c r="X668" s="242"/>
      <c r="Y668" s="242"/>
      <c r="Z668" s="242"/>
    </row>
    <row r="669">
      <c r="A669" s="242"/>
      <c r="B669" s="13"/>
      <c r="C669" s="13"/>
      <c r="D669" s="242"/>
      <c r="E669" s="242"/>
      <c r="F669" s="242"/>
      <c r="G669" s="242"/>
      <c r="H669" s="242"/>
      <c r="I669" s="242"/>
      <c r="J669" s="242"/>
      <c r="K669" s="242"/>
      <c r="L669" s="242"/>
      <c r="M669" s="242"/>
      <c r="N669" s="242"/>
      <c r="O669" s="242"/>
      <c r="P669" s="242"/>
      <c r="Q669" s="242"/>
      <c r="R669" s="242"/>
      <c r="S669" s="242"/>
      <c r="T669" s="13"/>
      <c r="U669" s="242"/>
      <c r="V669" s="242"/>
      <c r="W669" s="242"/>
      <c r="X669" s="242"/>
      <c r="Y669" s="242"/>
      <c r="Z669" s="242"/>
    </row>
    <row r="670">
      <c r="A670" s="242"/>
      <c r="B670" s="13"/>
      <c r="C670" s="13"/>
      <c r="D670" s="242"/>
      <c r="E670" s="242"/>
      <c r="F670" s="242"/>
      <c r="G670" s="242"/>
      <c r="H670" s="242"/>
      <c r="I670" s="242"/>
      <c r="J670" s="242"/>
      <c r="K670" s="242"/>
      <c r="L670" s="242"/>
      <c r="M670" s="242"/>
      <c r="N670" s="242"/>
      <c r="O670" s="242"/>
      <c r="P670" s="242"/>
      <c r="Q670" s="242"/>
      <c r="R670" s="242"/>
      <c r="S670" s="242"/>
      <c r="T670" s="13"/>
      <c r="U670" s="242"/>
      <c r="V670" s="242"/>
      <c r="W670" s="242"/>
      <c r="X670" s="242"/>
      <c r="Y670" s="242"/>
      <c r="Z670" s="242"/>
    </row>
    <row r="671">
      <c r="A671" s="242"/>
      <c r="B671" s="13"/>
      <c r="C671" s="13"/>
      <c r="D671" s="242"/>
      <c r="E671" s="242"/>
      <c r="F671" s="242"/>
      <c r="G671" s="242"/>
      <c r="H671" s="242"/>
      <c r="I671" s="242"/>
      <c r="J671" s="242"/>
      <c r="K671" s="242"/>
      <c r="L671" s="242"/>
      <c r="M671" s="242"/>
      <c r="N671" s="242"/>
      <c r="O671" s="242"/>
      <c r="P671" s="242"/>
      <c r="Q671" s="242"/>
      <c r="R671" s="242"/>
      <c r="S671" s="242"/>
      <c r="T671" s="13"/>
      <c r="U671" s="242"/>
      <c r="V671" s="242"/>
      <c r="W671" s="242"/>
      <c r="X671" s="242"/>
      <c r="Y671" s="242"/>
      <c r="Z671" s="242"/>
    </row>
    <row r="672">
      <c r="A672" s="242"/>
      <c r="B672" s="13"/>
      <c r="C672" s="13"/>
      <c r="D672" s="242"/>
      <c r="E672" s="242"/>
      <c r="F672" s="242"/>
      <c r="G672" s="242"/>
      <c r="H672" s="242"/>
      <c r="I672" s="242"/>
      <c r="J672" s="242"/>
      <c r="K672" s="242"/>
      <c r="L672" s="242"/>
      <c r="M672" s="242"/>
      <c r="N672" s="242"/>
      <c r="O672" s="242"/>
      <c r="P672" s="242"/>
      <c r="Q672" s="242"/>
      <c r="R672" s="242"/>
      <c r="S672" s="242"/>
      <c r="T672" s="13"/>
      <c r="U672" s="242"/>
      <c r="V672" s="242"/>
      <c r="W672" s="242"/>
      <c r="X672" s="242"/>
      <c r="Y672" s="242"/>
      <c r="Z672" s="242"/>
    </row>
    <row r="673">
      <c r="A673" s="242"/>
      <c r="B673" s="13"/>
      <c r="C673" s="13"/>
      <c r="D673" s="242"/>
      <c r="E673" s="242"/>
      <c r="F673" s="242"/>
      <c r="G673" s="242"/>
      <c r="H673" s="242"/>
      <c r="I673" s="242"/>
      <c r="J673" s="242"/>
      <c r="K673" s="242"/>
      <c r="L673" s="242"/>
      <c r="M673" s="242"/>
      <c r="N673" s="242"/>
      <c r="O673" s="242"/>
      <c r="P673" s="242"/>
      <c r="Q673" s="242"/>
      <c r="R673" s="242"/>
      <c r="S673" s="242"/>
      <c r="T673" s="13"/>
      <c r="U673" s="242"/>
      <c r="V673" s="242"/>
      <c r="W673" s="242"/>
      <c r="X673" s="242"/>
      <c r="Y673" s="242"/>
      <c r="Z673" s="242"/>
    </row>
    <row r="674">
      <c r="A674" s="242"/>
      <c r="B674" s="13"/>
      <c r="C674" s="13"/>
      <c r="D674" s="242"/>
      <c r="E674" s="242"/>
      <c r="F674" s="242"/>
      <c r="G674" s="242"/>
      <c r="H674" s="242"/>
      <c r="I674" s="242"/>
      <c r="J674" s="242"/>
      <c r="K674" s="242"/>
      <c r="L674" s="242"/>
      <c r="M674" s="242"/>
      <c r="N674" s="242"/>
      <c r="O674" s="242"/>
      <c r="P674" s="242"/>
      <c r="Q674" s="242"/>
      <c r="R674" s="242"/>
      <c r="S674" s="242"/>
      <c r="T674" s="13"/>
      <c r="U674" s="242"/>
      <c r="V674" s="242"/>
      <c r="W674" s="242"/>
      <c r="X674" s="242"/>
      <c r="Y674" s="242"/>
      <c r="Z674" s="242"/>
    </row>
    <row r="675">
      <c r="A675" s="242"/>
      <c r="B675" s="13"/>
      <c r="C675" s="13"/>
      <c r="D675" s="242"/>
      <c r="E675" s="242"/>
      <c r="F675" s="242"/>
      <c r="G675" s="242"/>
      <c r="H675" s="242"/>
      <c r="I675" s="242"/>
      <c r="J675" s="242"/>
      <c r="K675" s="242"/>
      <c r="L675" s="242"/>
      <c r="M675" s="242"/>
      <c r="N675" s="242"/>
      <c r="O675" s="242"/>
      <c r="P675" s="242"/>
      <c r="Q675" s="242"/>
      <c r="R675" s="242"/>
      <c r="S675" s="242"/>
      <c r="T675" s="13"/>
      <c r="U675" s="242"/>
      <c r="V675" s="242"/>
      <c r="W675" s="242"/>
      <c r="X675" s="242"/>
      <c r="Y675" s="242"/>
      <c r="Z675" s="242"/>
    </row>
    <row r="676">
      <c r="A676" s="242"/>
      <c r="B676" s="13"/>
      <c r="C676" s="13"/>
      <c r="D676" s="242"/>
      <c r="E676" s="242"/>
      <c r="F676" s="242"/>
      <c r="G676" s="242"/>
      <c r="H676" s="242"/>
      <c r="I676" s="242"/>
      <c r="J676" s="242"/>
      <c r="K676" s="242"/>
      <c r="L676" s="242"/>
      <c r="M676" s="242"/>
      <c r="N676" s="242"/>
      <c r="O676" s="242"/>
      <c r="P676" s="242"/>
      <c r="Q676" s="242"/>
      <c r="R676" s="242"/>
      <c r="S676" s="242"/>
      <c r="T676" s="13"/>
      <c r="U676" s="242"/>
      <c r="V676" s="242"/>
      <c r="W676" s="242"/>
      <c r="X676" s="242"/>
      <c r="Y676" s="242"/>
      <c r="Z676" s="242"/>
    </row>
    <row r="677">
      <c r="A677" s="242"/>
      <c r="B677" s="13"/>
      <c r="C677" s="13"/>
      <c r="D677" s="242"/>
      <c r="E677" s="242"/>
      <c r="F677" s="242"/>
      <c r="G677" s="242"/>
      <c r="H677" s="242"/>
      <c r="I677" s="242"/>
      <c r="J677" s="242"/>
      <c r="K677" s="242"/>
      <c r="L677" s="242"/>
      <c r="M677" s="242"/>
      <c r="N677" s="242"/>
      <c r="O677" s="242"/>
      <c r="P677" s="242"/>
      <c r="Q677" s="242"/>
      <c r="R677" s="242"/>
      <c r="S677" s="242"/>
      <c r="T677" s="13"/>
      <c r="U677" s="242"/>
      <c r="V677" s="242"/>
      <c r="W677" s="242"/>
      <c r="X677" s="242"/>
      <c r="Y677" s="242"/>
      <c r="Z677" s="242"/>
    </row>
    <row r="678">
      <c r="A678" s="242"/>
      <c r="B678" s="13"/>
      <c r="C678" s="13"/>
      <c r="D678" s="242"/>
      <c r="E678" s="242"/>
      <c r="F678" s="242"/>
      <c r="G678" s="242"/>
      <c r="H678" s="242"/>
      <c r="I678" s="242"/>
      <c r="J678" s="242"/>
      <c r="K678" s="242"/>
      <c r="L678" s="242"/>
      <c r="M678" s="242"/>
      <c r="N678" s="242"/>
      <c r="O678" s="242"/>
      <c r="P678" s="242"/>
      <c r="Q678" s="242"/>
      <c r="R678" s="242"/>
      <c r="S678" s="242"/>
      <c r="T678" s="13"/>
      <c r="U678" s="242"/>
      <c r="V678" s="242"/>
      <c r="W678" s="242"/>
      <c r="X678" s="242"/>
      <c r="Y678" s="242"/>
      <c r="Z678" s="242"/>
    </row>
    <row r="679">
      <c r="A679" s="242"/>
      <c r="B679" s="13"/>
      <c r="C679" s="13"/>
      <c r="D679" s="242"/>
      <c r="E679" s="242"/>
      <c r="F679" s="242"/>
      <c r="G679" s="242"/>
      <c r="H679" s="242"/>
      <c r="I679" s="242"/>
      <c r="J679" s="242"/>
      <c r="K679" s="242"/>
      <c r="L679" s="242"/>
      <c r="M679" s="242"/>
      <c r="N679" s="242"/>
      <c r="O679" s="242"/>
      <c r="P679" s="242"/>
      <c r="Q679" s="242"/>
      <c r="R679" s="242"/>
      <c r="S679" s="242"/>
      <c r="T679" s="13"/>
      <c r="U679" s="242"/>
      <c r="V679" s="242"/>
      <c r="W679" s="242"/>
      <c r="X679" s="242"/>
      <c r="Y679" s="242"/>
      <c r="Z679" s="242"/>
    </row>
    <row r="680">
      <c r="A680" s="242"/>
      <c r="B680" s="13"/>
      <c r="C680" s="13"/>
      <c r="D680" s="242"/>
      <c r="E680" s="242"/>
      <c r="F680" s="242"/>
      <c r="G680" s="242"/>
      <c r="H680" s="242"/>
      <c r="I680" s="242"/>
      <c r="J680" s="242"/>
      <c r="K680" s="242"/>
      <c r="L680" s="242"/>
      <c r="M680" s="242"/>
      <c r="N680" s="242"/>
      <c r="O680" s="242"/>
      <c r="P680" s="242"/>
      <c r="Q680" s="242"/>
      <c r="R680" s="242"/>
      <c r="S680" s="242"/>
      <c r="T680" s="13"/>
      <c r="U680" s="242"/>
      <c r="V680" s="242"/>
      <c r="W680" s="242"/>
      <c r="X680" s="242"/>
      <c r="Y680" s="242"/>
      <c r="Z680" s="242"/>
    </row>
    <row r="681">
      <c r="A681" s="242"/>
      <c r="B681" s="13"/>
      <c r="C681" s="13"/>
      <c r="D681" s="242"/>
      <c r="E681" s="242"/>
      <c r="F681" s="242"/>
      <c r="G681" s="242"/>
      <c r="H681" s="242"/>
      <c r="I681" s="242"/>
      <c r="J681" s="242"/>
      <c r="K681" s="242"/>
      <c r="L681" s="242"/>
      <c r="M681" s="242"/>
      <c r="N681" s="242"/>
      <c r="O681" s="242"/>
      <c r="P681" s="242"/>
      <c r="Q681" s="242"/>
      <c r="R681" s="242"/>
      <c r="S681" s="242"/>
      <c r="T681" s="13"/>
      <c r="U681" s="242"/>
      <c r="V681" s="242"/>
      <c r="W681" s="242"/>
      <c r="X681" s="242"/>
      <c r="Y681" s="242"/>
      <c r="Z681" s="242"/>
    </row>
    <row r="682">
      <c r="A682" s="242"/>
      <c r="B682" s="13"/>
      <c r="C682" s="13"/>
      <c r="D682" s="242"/>
      <c r="E682" s="242"/>
      <c r="F682" s="242"/>
      <c r="G682" s="242"/>
      <c r="H682" s="242"/>
      <c r="I682" s="242"/>
      <c r="J682" s="242"/>
      <c r="K682" s="242"/>
      <c r="L682" s="242"/>
      <c r="M682" s="242"/>
      <c r="N682" s="242"/>
      <c r="O682" s="242"/>
      <c r="P682" s="242"/>
      <c r="Q682" s="242"/>
      <c r="R682" s="242"/>
      <c r="S682" s="242"/>
      <c r="T682" s="13"/>
      <c r="U682" s="242"/>
      <c r="V682" s="242"/>
      <c r="W682" s="242"/>
      <c r="X682" s="242"/>
      <c r="Y682" s="242"/>
      <c r="Z682" s="242"/>
    </row>
    <row r="683">
      <c r="A683" s="242"/>
      <c r="B683" s="13"/>
      <c r="C683" s="13"/>
      <c r="D683" s="242"/>
      <c r="E683" s="242"/>
      <c r="F683" s="242"/>
      <c r="G683" s="242"/>
      <c r="H683" s="242"/>
      <c r="I683" s="242"/>
      <c r="J683" s="242"/>
      <c r="K683" s="242"/>
      <c r="L683" s="242"/>
      <c r="M683" s="242"/>
      <c r="N683" s="242"/>
      <c r="O683" s="242"/>
      <c r="P683" s="242"/>
      <c r="Q683" s="242"/>
      <c r="R683" s="242"/>
      <c r="S683" s="242"/>
      <c r="T683" s="13"/>
      <c r="U683" s="242"/>
      <c r="V683" s="242"/>
      <c r="W683" s="242"/>
      <c r="X683" s="242"/>
      <c r="Y683" s="242"/>
      <c r="Z683" s="242"/>
    </row>
    <row r="684">
      <c r="A684" s="242"/>
      <c r="B684" s="13"/>
      <c r="C684" s="13"/>
      <c r="D684" s="242"/>
      <c r="E684" s="242"/>
      <c r="F684" s="242"/>
      <c r="G684" s="242"/>
      <c r="H684" s="242"/>
      <c r="I684" s="242"/>
      <c r="J684" s="242"/>
      <c r="K684" s="242"/>
      <c r="L684" s="242"/>
      <c r="M684" s="242"/>
      <c r="N684" s="242"/>
      <c r="O684" s="242"/>
      <c r="P684" s="242"/>
      <c r="Q684" s="242"/>
      <c r="R684" s="242"/>
      <c r="S684" s="242"/>
      <c r="T684" s="13"/>
      <c r="U684" s="242"/>
      <c r="V684" s="242"/>
      <c r="W684" s="242"/>
      <c r="X684" s="242"/>
      <c r="Y684" s="242"/>
      <c r="Z684" s="242"/>
    </row>
    <row r="685">
      <c r="A685" s="242"/>
      <c r="B685" s="13"/>
      <c r="C685" s="13"/>
      <c r="D685" s="242"/>
      <c r="E685" s="242"/>
      <c r="F685" s="242"/>
      <c r="G685" s="242"/>
      <c r="H685" s="242"/>
      <c r="I685" s="242"/>
      <c r="J685" s="242"/>
      <c r="K685" s="242"/>
      <c r="L685" s="242"/>
      <c r="M685" s="242"/>
      <c r="N685" s="242"/>
      <c r="O685" s="242"/>
      <c r="P685" s="242"/>
      <c r="Q685" s="242"/>
      <c r="R685" s="242"/>
      <c r="S685" s="242"/>
      <c r="T685" s="13"/>
      <c r="U685" s="242"/>
      <c r="V685" s="242"/>
      <c r="W685" s="242"/>
      <c r="X685" s="242"/>
      <c r="Y685" s="242"/>
      <c r="Z685" s="242"/>
    </row>
    <row r="686">
      <c r="A686" s="242"/>
      <c r="B686" s="13"/>
      <c r="C686" s="13"/>
      <c r="D686" s="242"/>
      <c r="E686" s="242"/>
      <c r="F686" s="242"/>
      <c r="G686" s="242"/>
      <c r="H686" s="242"/>
      <c r="I686" s="242"/>
      <c r="J686" s="242"/>
      <c r="K686" s="242"/>
      <c r="L686" s="242"/>
      <c r="M686" s="242"/>
      <c r="N686" s="242"/>
      <c r="O686" s="242"/>
      <c r="P686" s="242"/>
      <c r="Q686" s="242"/>
      <c r="R686" s="242"/>
      <c r="S686" s="242"/>
      <c r="T686" s="13"/>
      <c r="U686" s="242"/>
      <c r="V686" s="242"/>
      <c r="W686" s="242"/>
      <c r="X686" s="242"/>
      <c r="Y686" s="242"/>
      <c r="Z686" s="242"/>
    </row>
    <row r="687">
      <c r="A687" s="242"/>
      <c r="B687" s="13"/>
      <c r="C687" s="13"/>
      <c r="D687" s="242"/>
      <c r="E687" s="242"/>
      <c r="F687" s="242"/>
      <c r="G687" s="242"/>
      <c r="H687" s="242"/>
      <c r="I687" s="242"/>
      <c r="J687" s="242"/>
      <c r="K687" s="242"/>
      <c r="L687" s="242"/>
      <c r="M687" s="242"/>
      <c r="N687" s="242"/>
      <c r="O687" s="242"/>
      <c r="P687" s="242"/>
      <c r="Q687" s="242"/>
      <c r="R687" s="242"/>
      <c r="S687" s="242"/>
      <c r="T687" s="13"/>
      <c r="U687" s="242"/>
      <c r="V687" s="242"/>
      <c r="W687" s="242"/>
      <c r="X687" s="242"/>
      <c r="Y687" s="242"/>
      <c r="Z687" s="242"/>
    </row>
    <row r="688">
      <c r="A688" s="242"/>
      <c r="B688" s="13"/>
      <c r="C688" s="13"/>
      <c r="D688" s="242"/>
      <c r="E688" s="242"/>
      <c r="F688" s="242"/>
      <c r="G688" s="242"/>
      <c r="H688" s="242"/>
      <c r="I688" s="242"/>
      <c r="J688" s="242"/>
      <c r="K688" s="242"/>
      <c r="L688" s="242"/>
      <c r="M688" s="242"/>
      <c r="N688" s="242"/>
      <c r="O688" s="242"/>
      <c r="P688" s="242"/>
      <c r="Q688" s="242"/>
      <c r="R688" s="242"/>
      <c r="S688" s="242"/>
      <c r="T688" s="13"/>
      <c r="U688" s="242"/>
      <c r="V688" s="242"/>
      <c r="W688" s="242"/>
      <c r="X688" s="242"/>
      <c r="Y688" s="242"/>
      <c r="Z688" s="242"/>
    </row>
    <row r="689">
      <c r="A689" s="242"/>
      <c r="B689" s="13"/>
      <c r="C689" s="13"/>
      <c r="D689" s="242"/>
      <c r="E689" s="242"/>
      <c r="F689" s="242"/>
      <c r="G689" s="242"/>
      <c r="H689" s="242"/>
      <c r="I689" s="242"/>
      <c r="J689" s="242"/>
      <c r="K689" s="242"/>
      <c r="L689" s="242"/>
      <c r="M689" s="242"/>
      <c r="N689" s="242"/>
      <c r="O689" s="242"/>
      <c r="P689" s="242"/>
      <c r="Q689" s="242"/>
      <c r="R689" s="242"/>
      <c r="S689" s="242"/>
      <c r="T689" s="13"/>
      <c r="U689" s="242"/>
      <c r="V689" s="242"/>
      <c r="W689" s="242"/>
      <c r="X689" s="242"/>
      <c r="Y689" s="242"/>
      <c r="Z689" s="242"/>
    </row>
    <row r="690">
      <c r="A690" s="242"/>
      <c r="B690" s="13"/>
      <c r="C690" s="13"/>
      <c r="D690" s="242"/>
      <c r="E690" s="242"/>
      <c r="F690" s="242"/>
      <c r="G690" s="242"/>
      <c r="H690" s="242"/>
      <c r="I690" s="242"/>
      <c r="J690" s="242"/>
      <c r="K690" s="242"/>
      <c r="L690" s="242"/>
      <c r="M690" s="242"/>
      <c r="N690" s="242"/>
      <c r="O690" s="242"/>
      <c r="P690" s="242"/>
      <c r="Q690" s="242"/>
      <c r="R690" s="242"/>
      <c r="S690" s="242"/>
      <c r="T690" s="13"/>
      <c r="U690" s="242"/>
      <c r="V690" s="242"/>
      <c r="W690" s="242"/>
      <c r="X690" s="242"/>
      <c r="Y690" s="242"/>
      <c r="Z690" s="242"/>
    </row>
    <row r="691">
      <c r="A691" s="242"/>
      <c r="B691" s="13"/>
      <c r="C691" s="13"/>
      <c r="D691" s="242"/>
      <c r="E691" s="242"/>
      <c r="F691" s="242"/>
      <c r="G691" s="242"/>
      <c r="H691" s="242"/>
      <c r="I691" s="242"/>
      <c r="J691" s="242"/>
      <c r="K691" s="242"/>
      <c r="L691" s="242"/>
      <c r="M691" s="242"/>
      <c r="N691" s="242"/>
      <c r="O691" s="242"/>
      <c r="P691" s="242"/>
      <c r="Q691" s="242"/>
      <c r="R691" s="242"/>
      <c r="S691" s="242"/>
      <c r="T691" s="13"/>
      <c r="U691" s="242"/>
      <c r="V691" s="242"/>
      <c r="W691" s="242"/>
      <c r="X691" s="242"/>
      <c r="Y691" s="242"/>
      <c r="Z691" s="242"/>
    </row>
    <row r="692">
      <c r="A692" s="242"/>
      <c r="B692" s="13"/>
      <c r="C692" s="13"/>
      <c r="D692" s="242"/>
      <c r="E692" s="242"/>
      <c r="F692" s="242"/>
      <c r="G692" s="242"/>
      <c r="H692" s="242"/>
      <c r="I692" s="242"/>
      <c r="J692" s="242"/>
      <c r="K692" s="242"/>
      <c r="L692" s="242"/>
      <c r="M692" s="242"/>
      <c r="N692" s="242"/>
      <c r="O692" s="242"/>
      <c r="P692" s="242"/>
      <c r="Q692" s="242"/>
      <c r="R692" s="242"/>
      <c r="S692" s="242"/>
      <c r="T692" s="13"/>
      <c r="U692" s="242"/>
      <c r="V692" s="242"/>
      <c r="W692" s="242"/>
      <c r="X692" s="242"/>
      <c r="Y692" s="242"/>
      <c r="Z692" s="242"/>
    </row>
    <row r="693">
      <c r="A693" s="242"/>
      <c r="B693" s="13"/>
      <c r="C693" s="13"/>
      <c r="D693" s="242"/>
      <c r="E693" s="242"/>
      <c r="F693" s="242"/>
      <c r="G693" s="242"/>
      <c r="H693" s="242"/>
      <c r="I693" s="242"/>
      <c r="J693" s="242"/>
      <c r="K693" s="242"/>
      <c r="L693" s="242"/>
      <c r="M693" s="242"/>
      <c r="N693" s="242"/>
      <c r="O693" s="242"/>
      <c r="P693" s="242"/>
      <c r="Q693" s="242"/>
      <c r="R693" s="242"/>
      <c r="S693" s="242"/>
      <c r="T693" s="13"/>
      <c r="U693" s="242"/>
      <c r="V693" s="242"/>
      <c r="W693" s="242"/>
      <c r="X693" s="242"/>
      <c r="Y693" s="242"/>
      <c r="Z693" s="242"/>
    </row>
    <row r="694">
      <c r="A694" s="242"/>
      <c r="B694" s="13"/>
      <c r="C694" s="13"/>
      <c r="D694" s="242"/>
      <c r="E694" s="242"/>
      <c r="F694" s="242"/>
      <c r="G694" s="242"/>
      <c r="H694" s="242"/>
      <c r="I694" s="242"/>
      <c r="J694" s="242"/>
      <c r="K694" s="242"/>
      <c r="L694" s="242"/>
      <c r="M694" s="242"/>
      <c r="N694" s="242"/>
      <c r="O694" s="242"/>
      <c r="P694" s="242"/>
      <c r="Q694" s="242"/>
      <c r="R694" s="242"/>
      <c r="S694" s="242"/>
      <c r="T694" s="13"/>
      <c r="U694" s="242"/>
      <c r="V694" s="242"/>
      <c r="W694" s="242"/>
      <c r="X694" s="242"/>
      <c r="Y694" s="242"/>
      <c r="Z694" s="242"/>
    </row>
    <row r="695">
      <c r="A695" s="242"/>
      <c r="B695" s="13"/>
      <c r="C695" s="13"/>
      <c r="D695" s="242"/>
      <c r="E695" s="242"/>
      <c r="F695" s="242"/>
      <c r="G695" s="242"/>
      <c r="H695" s="242"/>
      <c r="I695" s="242"/>
      <c r="J695" s="242"/>
      <c r="K695" s="242"/>
      <c r="L695" s="242"/>
      <c r="M695" s="242"/>
      <c r="N695" s="242"/>
      <c r="O695" s="242"/>
      <c r="P695" s="242"/>
      <c r="Q695" s="242"/>
      <c r="R695" s="242"/>
      <c r="S695" s="242"/>
      <c r="T695" s="13"/>
      <c r="U695" s="242"/>
      <c r="V695" s="242"/>
      <c r="W695" s="242"/>
      <c r="X695" s="242"/>
      <c r="Y695" s="242"/>
      <c r="Z695" s="242"/>
    </row>
    <row r="696">
      <c r="A696" s="242"/>
      <c r="B696" s="13"/>
      <c r="C696" s="13"/>
      <c r="D696" s="242"/>
      <c r="E696" s="242"/>
      <c r="F696" s="242"/>
      <c r="G696" s="242"/>
      <c r="H696" s="242"/>
      <c r="I696" s="242"/>
      <c r="J696" s="242"/>
      <c r="K696" s="242"/>
      <c r="L696" s="242"/>
      <c r="M696" s="242"/>
      <c r="N696" s="242"/>
      <c r="O696" s="242"/>
      <c r="P696" s="242"/>
      <c r="Q696" s="242"/>
      <c r="R696" s="242"/>
      <c r="S696" s="242"/>
      <c r="T696" s="13"/>
      <c r="U696" s="242"/>
      <c r="V696" s="242"/>
      <c r="W696" s="242"/>
      <c r="X696" s="242"/>
      <c r="Y696" s="242"/>
      <c r="Z696" s="242"/>
    </row>
    <row r="697">
      <c r="A697" s="242"/>
      <c r="B697" s="13"/>
      <c r="C697" s="13"/>
      <c r="D697" s="242"/>
      <c r="E697" s="242"/>
      <c r="F697" s="242"/>
      <c r="G697" s="242"/>
      <c r="H697" s="242"/>
      <c r="I697" s="242"/>
      <c r="J697" s="242"/>
      <c r="K697" s="242"/>
      <c r="L697" s="242"/>
      <c r="M697" s="242"/>
      <c r="N697" s="242"/>
      <c r="O697" s="242"/>
      <c r="P697" s="242"/>
      <c r="Q697" s="242"/>
      <c r="R697" s="242"/>
      <c r="S697" s="242"/>
      <c r="T697" s="13"/>
      <c r="U697" s="242"/>
      <c r="V697" s="242"/>
      <c r="W697" s="242"/>
      <c r="X697" s="242"/>
      <c r="Y697" s="242"/>
      <c r="Z697" s="242"/>
    </row>
    <row r="698">
      <c r="A698" s="242"/>
      <c r="B698" s="13"/>
      <c r="C698" s="13"/>
      <c r="D698" s="242"/>
      <c r="E698" s="242"/>
      <c r="F698" s="242"/>
      <c r="G698" s="242"/>
      <c r="H698" s="242"/>
      <c r="I698" s="242"/>
      <c r="J698" s="242"/>
      <c r="K698" s="242"/>
      <c r="L698" s="242"/>
      <c r="M698" s="242"/>
      <c r="N698" s="242"/>
      <c r="O698" s="242"/>
      <c r="P698" s="242"/>
      <c r="Q698" s="242"/>
      <c r="R698" s="242"/>
      <c r="S698" s="242"/>
      <c r="T698" s="13"/>
      <c r="U698" s="242"/>
      <c r="V698" s="242"/>
      <c r="W698" s="242"/>
      <c r="X698" s="242"/>
      <c r="Y698" s="242"/>
      <c r="Z698" s="242"/>
    </row>
    <row r="699">
      <c r="A699" s="242"/>
      <c r="B699" s="13"/>
      <c r="C699" s="13"/>
      <c r="D699" s="242"/>
      <c r="E699" s="242"/>
      <c r="F699" s="242"/>
      <c r="G699" s="242"/>
      <c r="H699" s="242"/>
      <c r="I699" s="242"/>
      <c r="J699" s="242"/>
      <c r="K699" s="242"/>
      <c r="L699" s="242"/>
      <c r="M699" s="242"/>
      <c r="N699" s="242"/>
      <c r="O699" s="242"/>
      <c r="P699" s="242"/>
      <c r="Q699" s="242"/>
      <c r="R699" s="242"/>
      <c r="S699" s="242"/>
      <c r="T699" s="13"/>
      <c r="U699" s="242"/>
      <c r="V699" s="242"/>
      <c r="W699" s="242"/>
      <c r="X699" s="242"/>
      <c r="Y699" s="242"/>
      <c r="Z699" s="242"/>
    </row>
    <row r="700">
      <c r="A700" s="242"/>
      <c r="B700" s="13"/>
      <c r="C700" s="13"/>
      <c r="D700" s="242"/>
      <c r="E700" s="242"/>
      <c r="F700" s="242"/>
      <c r="G700" s="242"/>
      <c r="H700" s="242"/>
      <c r="I700" s="242"/>
      <c r="J700" s="242"/>
      <c r="K700" s="242"/>
      <c r="L700" s="242"/>
      <c r="M700" s="242"/>
      <c r="N700" s="242"/>
      <c r="O700" s="242"/>
      <c r="P700" s="242"/>
      <c r="Q700" s="242"/>
      <c r="R700" s="242"/>
      <c r="S700" s="242"/>
      <c r="T700" s="13"/>
      <c r="U700" s="242"/>
      <c r="V700" s="242"/>
      <c r="W700" s="242"/>
      <c r="X700" s="242"/>
      <c r="Y700" s="242"/>
      <c r="Z700" s="242"/>
    </row>
    <row r="701">
      <c r="A701" s="242"/>
      <c r="B701" s="13"/>
      <c r="C701" s="13"/>
      <c r="D701" s="242"/>
      <c r="E701" s="242"/>
      <c r="F701" s="242"/>
      <c r="G701" s="242"/>
      <c r="H701" s="242"/>
      <c r="I701" s="242"/>
      <c r="J701" s="242"/>
      <c r="K701" s="242"/>
      <c r="L701" s="242"/>
      <c r="M701" s="242"/>
      <c r="N701" s="242"/>
      <c r="O701" s="242"/>
      <c r="P701" s="242"/>
      <c r="Q701" s="242"/>
      <c r="R701" s="242"/>
      <c r="S701" s="242"/>
      <c r="T701" s="13"/>
      <c r="U701" s="242"/>
      <c r="V701" s="242"/>
      <c r="W701" s="242"/>
      <c r="X701" s="242"/>
      <c r="Y701" s="242"/>
      <c r="Z701" s="242"/>
    </row>
    <row r="702">
      <c r="A702" s="242"/>
      <c r="B702" s="13"/>
      <c r="C702" s="13"/>
      <c r="D702" s="242"/>
      <c r="E702" s="242"/>
      <c r="F702" s="242"/>
      <c r="G702" s="242"/>
      <c r="H702" s="242"/>
      <c r="I702" s="242"/>
      <c r="J702" s="242"/>
      <c r="K702" s="242"/>
      <c r="L702" s="242"/>
      <c r="M702" s="242"/>
      <c r="N702" s="242"/>
      <c r="O702" s="242"/>
      <c r="P702" s="242"/>
      <c r="Q702" s="242"/>
      <c r="R702" s="242"/>
      <c r="S702" s="242"/>
      <c r="T702" s="13"/>
      <c r="U702" s="242"/>
      <c r="V702" s="242"/>
      <c r="W702" s="242"/>
      <c r="X702" s="242"/>
      <c r="Y702" s="242"/>
      <c r="Z702" s="242"/>
    </row>
    <row r="703">
      <c r="A703" s="242"/>
      <c r="B703" s="13"/>
      <c r="C703" s="13"/>
      <c r="D703" s="242"/>
      <c r="E703" s="242"/>
      <c r="F703" s="242"/>
      <c r="G703" s="242"/>
      <c r="H703" s="242"/>
      <c r="I703" s="242"/>
      <c r="J703" s="242"/>
      <c r="K703" s="242"/>
      <c r="L703" s="242"/>
      <c r="M703" s="242"/>
      <c r="N703" s="242"/>
      <c r="O703" s="242"/>
      <c r="P703" s="242"/>
      <c r="Q703" s="242"/>
      <c r="R703" s="242"/>
      <c r="S703" s="242"/>
      <c r="T703" s="13"/>
      <c r="U703" s="242"/>
      <c r="V703" s="242"/>
      <c r="W703" s="242"/>
      <c r="X703" s="242"/>
      <c r="Y703" s="242"/>
      <c r="Z703" s="242"/>
    </row>
    <row r="704">
      <c r="A704" s="242"/>
      <c r="B704" s="13"/>
      <c r="C704" s="13"/>
      <c r="D704" s="242"/>
      <c r="E704" s="242"/>
      <c r="F704" s="242"/>
      <c r="G704" s="242"/>
      <c r="H704" s="242"/>
      <c r="I704" s="242"/>
      <c r="J704" s="242"/>
      <c r="K704" s="242"/>
      <c r="L704" s="242"/>
      <c r="M704" s="242"/>
      <c r="N704" s="242"/>
      <c r="O704" s="242"/>
      <c r="P704" s="242"/>
      <c r="Q704" s="242"/>
      <c r="R704" s="242"/>
      <c r="S704" s="242"/>
      <c r="T704" s="13"/>
      <c r="U704" s="242"/>
      <c r="V704" s="242"/>
      <c r="W704" s="242"/>
      <c r="X704" s="242"/>
      <c r="Y704" s="242"/>
      <c r="Z704" s="242"/>
    </row>
    <row r="705">
      <c r="A705" s="242"/>
      <c r="B705" s="13"/>
      <c r="C705" s="13"/>
      <c r="D705" s="242"/>
      <c r="E705" s="242"/>
      <c r="F705" s="242"/>
      <c r="G705" s="242"/>
      <c r="H705" s="242"/>
      <c r="I705" s="242"/>
      <c r="J705" s="242"/>
      <c r="K705" s="242"/>
      <c r="L705" s="242"/>
      <c r="M705" s="242"/>
      <c r="N705" s="242"/>
      <c r="O705" s="242"/>
      <c r="P705" s="242"/>
      <c r="Q705" s="242"/>
      <c r="R705" s="242"/>
      <c r="S705" s="242"/>
      <c r="T705" s="13"/>
      <c r="U705" s="242"/>
      <c r="V705" s="242"/>
      <c r="W705" s="242"/>
      <c r="X705" s="242"/>
      <c r="Y705" s="242"/>
      <c r="Z705" s="242"/>
    </row>
    <row r="706">
      <c r="A706" s="242"/>
      <c r="B706" s="13"/>
      <c r="C706" s="13"/>
      <c r="D706" s="242"/>
      <c r="E706" s="242"/>
      <c r="F706" s="242"/>
      <c r="G706" s="242"/>
      <c r="H706" s="242"/>
      <c r="I706" s="242"/>
      <c r="J706" s="242"/>
      <c r="K706" s="242"/>
      <c r="L706" s="242"/>
      <c r="M706" s="242"/>
      <c r="N706" s="242"/>
      <c r="O706" s="242"/>
      <c r="P706" s="242"/>
      <c r="Q706" s="242"/>
      <c r="R706" s="242"/>
      <c r="S706" s="242"/>
      <c r="T706" s="13"/>
      <c r="U706" s="242"/>
      <c r="V706" s="242"/>
      <c r="W706" s="242"/>
      <c r="X706" s="242"/>
      <c r="Y706" s="242"/>
      <c r="Z706" s="242"/>
    </row>
    <row r="707">
      <c r="A707" s="242"/>
      <c r="B707" s="13"/>
      <c r="C707" s="13"/>
      <c r="D707" s="242"/>
      <c r="E707" s="242"/>
      <c r="F707" s="242"/>
      <c r="G707" s="242"/>
      <c r="H707" s="242"/>
      <c r="I707" s="242"/>
      <c r="J707" s="242"/>
      <c r="K707" s="242"/>
      <c r="L707" s="242"/>
      <c r="M707" s="242"/>
      <c r="N707" s="242"/>
      <c r="O707" s="242"/>
      <c r="P707" s="242"/>
      <c r="Q707" s="242"/>
      <c r="R707" s="242"/>
      <c r="S707" s="242"/>
      <c r="T707" s="13"/>
      <c r="U707" s="242"/>
      <c r="V707" s="242"/>
      <c r="W707" s="242"/>
      <c r="X707" s="242"/>
      <c r="Y707" s="242"/>
      <c r="Z707" s="242"/>
    </row>
    <row r="708">
      <c r="A708" s="242"/>
      <c r="B708" s="13"/>
      <c r="C708" s="13"/>
      <c r="D708" s="242"/>
      <c r="E708" s="242"/>
      <c r="F708" s="242"/>
      <c r="G708" s="242"/>
      <c r="H708" s="242"/>
      <c r="I708" s="242"/>
      <c r="J708" s="242"/>
      <c r="K708" s="242"/>
      <c r="L708" s="242"/>
      <c r="M708" s="242"/>
      <c r="N708" s="242"/>
      <c r="O708" s="242"/>
      <c r="P708" s="242"/>
      <c r="Q708" s="242"/>
      <c r="R708" s="242"/>
      <c r="S708" s="242"/>
      <c r="T708" s="13"/>
      <c r="U708" s="242"/>
      <c r="V708" s="242"/>
      <c r="W708" s="242"/>
      <c r="X708" s="242"/>
      <c r="Y708" s="242"/>
      <c r="Z708" s="242"/>
    </row>
    <row r="709">
      <c r="A709" s="242"/>
      <c r="B709" s="13"/>
      <c r="C709" s="13"/>
      <c r="D709" s="242"/>
      <c r="E709" s="242"/>
      <c r="F709" s="242"/>
      <c r="G709" s="242"/>
      <c r="H709" s="242"/>
      <c r="I709" s="242"/>
      <c r="J709" s="242"/>
      <c r="K709" s="242"/>
      <c r="L709" s="242"/>
      <c r="M709" s="242"/>
      <c r="N709" s="242"/>
      <c r="O709" s="242"/>
      <c r="P709" s="242"/>
      <c r="Q709" s="242"/>
      <c r="R709" s="242"/>
      <c r="S709" s="242"/>
      <c r="T709" s="13"/>
      <c r="U709" s="242"/>
      <c r="V709" s="242"/>
      <c r="W709" s="242"/>
      <c r="X709" s="242"/>
      <c r="Y709" s="242"/>
      <c r="Z709" s="242"/>
    </row>
    <row r="710">
      <c r="A710" s="242"/>
      <c r="B710" s="13"/>
      <c r="C710" s="13"/>
      <c r="D710" s="242"/>
      <c r="E710" s="242"/>
      <c r="F710" s="242"/>
      <c r="G710" s="242"/>
      <c r="H710" s="242"/>
      <c r="I710" s="242"/>
      <c r="J710" s="242"/>
      <c r="K710" s="242"/>
      <c r="L710" s="242"/>
      <c r="M710" s="242"/>
      <c r="N710" s="242"/>
      <c r="O710" s="242"/>
      <c r="P710" s="242"/>
      <c r="Q710" s="242"/>
      <c r="R710" s="242"/>
      <c r="S710" s="242"/>
      <c r="T710" s="13"/>
      <c r="U710" s="242"/>
      <c r="V710" s="242"/>
      <c r="W710" s="242"/>
      <c r="X710" s="242"/>
      <c r="Y710" s="242"/>
      <c r="Z710" s="242"/>
    </row>
    <row r="711">
      <c r="A711" s="242"/>
      <c r="B711" s="13"/>
      <c r="C711" s="13"/>
      <c r="D711" s="242"/>
      <c r="E711" s="242"/>
      <c r="F711" s="242"/>
      <c r="G711" s="242"/>
      <c r="H711" s="242"/>
      <c r="I711" s="242"/>
      <c r="J711" s="242"/>
      <c r="K711" s="242"/>
      <c r="L711" s="242"/>
      <c r="M711" s="242"/>
      <c r="N711" s="242"/>
      <c r="O711" s="242"/>
      <c r="P711" s="242"/>
      <c r="Q711" s="242"/>
      <c r="R711" s="242"/>
      <c r="S711" s="242"/>
      <c r="T711" s="13"/>
      <c r="U711" s="242"/>
      <c r="V711" s="242"/>
      <c r="W711" s="242"/>
      <c r="X711" s="242"/>
      <c r="Y711" s="242"/>
      <c r="Z711" s="242"/>
    </row>
    <row r="712">
      <c r="A712" s="242"/>
      <c r="B712" s="13"/>
      <c r="C712" s="13"/>
      <c r="D712" s="242"/>
      <c r="E712" s="242"/>
      <c r="F712" s="242"/>
      <c r="G712" s="242"/>
      <c r="H712" s="242"/>
      <c r="I712" s="242"/>
      <c r="J712" s="242"/>
      <c r="K712" s="242"/>
      <c r="L712" s="242"/>
      <c r="M712" s="242"/>
      <c r="N712" s="242"/>
      <c r="O712" s="242"/>
      <c r="P712" s="242"/>
      <c r="Q712" s="242"/>
      <c r="R712" s="242"/>
      <c r="S712" s="242"/>
      <c r="T712" s="13"/>
      <c r="U712" s="242"/>
      <c r="V712" s="242"/>
      <c r="W712" s="242"/>
      <c r="X712" s="242"/>
      <c r="Y712" s="242"/>
      <c r="Z712" s="242"/>
    </row>
    <row r="713">
      <c r="A713" s="242"/>
      <c r="B713" s="13"/>
      <c r="C713" s="13"/>
      <c r="D713" s="242"/>
      <c r="E713" s="242"/>
      <c r="F713" s="242"/>
      <c r="G713" s="242"/>
      <c r="H713" s="242"/>
      <c r="I713" s="242"/>
      <c r="J713" s="242"/>
      <c r="K713" s="242"/>
      <c r="L713" s="242"/>
      <c r="M713" s="242"/>
      <c r="N713" s="242"/>
      <c r="O713" s="242"/>
      <c r="P713" s="242"/>
      <c r="Q713" s="242"/>
      <c r="R713" s="242"/>
      <c r="S713" s="242"/>
      <c r="T713" s="13"/>
      <c r="U713" s="242"/>
      <c r="V713" s="242"/>
      <c r="W713" s="242"/>
      <c r="X713" s="242"/>
      <c r="Y713" s="242"/>
      <c r="Z713" s="242"/>
    </row>
    <row r="714">
      <c r="A714" s="242"/>
      <c r="B714" s="13"/>
      <c r="C714" s="13"/>
      <c r="D714" s="242"/>
      <c r="E714" s="242"/>
      <c r="F714" s="242"/>
      <c r="G714" s="242"/>
      <c r="H714" s="242"/>
      <c r="I714" s="242"/>
      <c r="J714" s="242"/>
      <c r="K714" s="242"/>
      <c r="L714" s="242"/>
      <c r="M714" s="242"/>
      <c r="N714" s="242"/>
      <c r="O714" s="242"/>
      <c r="P714" s="242"/>
      <c r="Q714" s="242"/>
      <c r="R714" s="242"/>
      <c r="S714" s="242"/>
      <c r="T714" s="13"/>
      <c r="U714" s="242"/>
      <c r="V714" s="242"/>
      <c r="W714" s="242"/>
      <c r="X714" s="242"/>
      <c r="Y714" s="242"/>
      <c r="Z714" s="242"/>
    </row>
    <row r="715">
      <c r="A715" s="242"/>
      <c r="B715" s="13"/>
      <c r="C715" s="13"/>
      <c r="D715" s="242"/>
      <c r="E715" s="242"/>
      <c r="F715" s="242"/>
      <c r="G715" s="242"/>
      <c r="H715" s="242"/>
      <c r="I715" s="242"/>
      <c r="J715" s="242"/>
      <c r="K715" s="242"/>
      <c r="L715" s="242"/>
      <c r="M715" s="242"/>
      <c r="N715" s="242"/>
      <c r="O715" s="242"/>
      <c r="P715" s="242"/>
      <c r="Q715" s="242"/>
      <c r="R715" s="242"/>
      <c r="S715" s="242"/>
      <c r="T715" s="13"/>
      <c r="U715" s="242"/>
      <c r="V715" s="242"/>
      <c r="W715" s="242"/>
      <c r="X715" s="242"/>
      <c r="Y715" s="242"/>
      <c r="Z715" s="242"/>
    </row>
    <row r="716">
      <c r="A716" s="242"/>
      <c r="B716" s="13"/>
      <c r="C716" s="13"/>
      <c r="D716" s="242"/>
      <c r="E716" s="242"/>
      <c r="F716" s="242"/>
      <c r="G716" s="242"/>
      <c r="H716" s="242"/>
      <c r="I716" s="242"/>
      <c r="J716" s="242"/>
      <c r="K716" s="242"/>
      <c r="L716" s="242"/>
      <c r="M716" s="242"/>
      <c r="N716" s="242"/>
      <c r="O716" s="242"/>
      <c r="P716" s="242"/>
      <c r="Q716" s="242"/>
      <c r="R716" s="242"/>
      <c r="S716" s="242"/>
      <c r="T716" s="13"/>
      <c r="U716" s="242"/>
      <c r="V716" s="242"/>
      <c r="W716" s="242"/>
      <c r="X716" s="242"/>
      <c r="Y716" s="242"/>
      <c r="Z716" s="242"/>
    </row>
    <row r="717">
      <c r="A717" s="242"/>
      <c r="B717" s="13"/>
      <c r="C717" s="13"/>
      <c r="D717" s="242"/>
      <c r="E717" s="242"/>
      <c r="F717" s="242"/>
      <c r="G717" s="242"/>
      <c r="H717" s="242"/>
      <c r="I717" s="242"/>
      <c r="J717" s="242"/>
      <c r="K717" s="242"/>
      <c r="L717" s="242"/>
      <c r="M717" s="242"/>
      <c r="N717" s="242"/>
      <c r="O717" s="242"/>
      <c r="P717" s="242"/>
      <c r="Q717" s="242"/>
      <c r="R717" s="242"/>
      <c r="S717" s="242"/>
      <c r="T717" s="13"/>
      <c r="U717" s="242"/>
      <c r="V717" s="242"/>
      <c r="W717" s="242"/>
      <c r="X717" s="242"/>
      <c r="Y717" s="242"/>
      <c r="Z717" s="242"/>
    </row>
    <row r="718">
      <c r="A718" s="242"/>
      <c r="B718" s="13"/>
      <c r="C718" s="13"/>
      <c r="D718" s="242"/>
      <c r="E718" s="242"/>
      <c r="F718" s="242"/>
      <c r="G718" s="242"/>
      <c r="H718" s="242"/>
      <c r="I718" s="242"/>
      <c r="J718" s="242"/>
      <c r="K718" s="242"/>
      <c r="L718" s="242"/>
      <c r="M718" s="242"/>
      <c r="N718" s="242"/>
      <c r="O718" s="242"/>
      <c r="P718" s="242"/>
      <c r="Q718" s="242"/>
      <c r="R718" s="242"/>
      <c r="S718" s="242"/>
      <c r="T718" s="13"/>
      <c r="U718" s="242"/>
      <c r="V718" s="242"/>
      <c r="W718" s="242"/>
      <c r="X718" s="242"/>
      <c r="Y718" s="242"/>
      <c r="Z718" s="242"/>
    </row>
    <row r="719">
      <c r="A719" s="242"/>
      <c r="B719" s="13"/>
      <c r="C719" s="13"/>
      <c r="D719" s="242"/>
      <c r="E719" s="242"/>
      <c r="F719" s="242"/>
      <c r="G719" s="242"/>
      <c r="H719" s="242"/>
      <c r="I719" s="242"/>
      <c r="J719" s="242"/>
      <c r="K719" s="242"/>
      <c r="L719" s="242"/>
      <c r="M719" s="242"/>
      <c r="N719" s="242"/>
      <c r="O719" s="242"/>
      <c r="P719" s="242"/>
      <c r="Q719" s="242"/>
      <c r="R719" s="242"/>
      <c r="S719" s="242"/>
      <c r="T719" s="13"/>
      <c r="U719" s="242"/>
      <c r="V719" s="242"/>
      <c r="W719" s="242"/>
      <c r="X719" s="242"/>
      <c r="Y719" s="242"/>
      <c r="Z719" s="242"/>
    </row>
    <row r="720">
      <c r="A720" s="242"/>
      <c r="B720" s="13"/>
      <c r="C720" s="13"/>
      <c r="D720" s="242"/>
      <c r="E720" s="242"/>
      <c r="F720" s="242"/>
      <c r="G720" s="242"/>
      <c r="H720" s="242"/>
      <c r="I720" s="242"/>
      <c r="J720" s="242"/>
      <c r="K720" s="242"/>
      <c r="L720" s="242"/>
      <c r="M720" s="242"/>
      <c r="N720" s="242"/>
      <c r="O720" s="242"/>
      <c r="P720" s="242"/>
      <c r="Q720" s="242"/>
      <c r="R720" s="242"/>
      <c r="S720" s="242"/>
      <c r="T720" s="13"/>
      <c r="U720" s="242"/>
      <c r="V720" s="242"/>
      <c r="W720" s="242"/>
      <c r="X720" s="242"/>
      <c r="Y720" s="242"/>
      <c r="Z720" s="242"/>
    </row>
    <row r="721">
      <c r="A721" s="242"/>
      <c r="B721" s="13"/>
      <c r="C721" s="13"/>
      <c r="D721" s="242"/>
      <c r="E721" s="242"/>
      <c r="F721" s="242"/>
      <c r="G721" s="242"/>
      <c r="H721" s="242"/>
      <c r="I721" s="242"/>
      <c r="J721" s="242"/>
      <c r="K721" s="242"/>
      <c r="L721" s="242"/>
      <c r="M721" s="242"/>
      <c r="N721" s="242"/>
      <c r="O721" s="242"/>
      <c r="P721" s="242"/>
      <c r="Q721" s="242"/>
      <c r="R721" s="242"/>
      <c r="S721" s="242"/>
      <c r="T721" s="13"/>
      <c r="U721" s="242"/>
      <c r="V721" s="242"/>
      <c r="W721" s="242"/>
      <c r="X721" s="242"/>
      <c r="Y721" s="242"/>
      <c r="Z721" s="242"/>
    </row>
    <row r="722">
      <c r="A722" s="242"/>
      <c r="B722" s="13"/>
      <c r="C722" s="13"/>
      <c r="D722" s="242"/>
      <c r="E722" s="242"/>
      <c r="F722" s="242"/>
      <c r="G722" s="242"/>
      <c r="H722" s="242"/>
      <c r="I722" s="242"/>
      <c r="J722" s="242"/>
      <c r="K722" s="242"/>
      <c r="L722" s="242"/>
      <c r="M722" s="242"/>
      <c r="N722" s="242"/>
      <c r="O722" s="242"/>
      <c r="P722" s="242"/>
      <c r="Q722" s="242"/>
      <c r="R722" s="242"/>
      <c r="S722" s="242"/>
      <c r="T722" s="13"/>
      <c r="U722" s="242"/>
      <c r="V722" s="242"/>
      <c r="W722" s="242"/>
      <c r="X722" s="242"/>
      <c r="Y722" s="242"/>
      <c r="Z722" s="242"/>
    </row>
    <row r="723">
      <c r="A723" s="242"/>
      <c r="B723" s="13"/>
      <c r="C723" s="13"/>
      <c r="D723" s="242"/>
      <c r="E723" s="242"/>
      <c r="F723" s="242"/>
      <c r="G723" s="242"/>
      <c r="H723" s="242"/>
      <c r="I723" s="242"/>
      <c r="J723" s="242"/>
      <c r="K723" s="242"/>
      <c r="L723" s="242"/>
      <c r="M723" s="242"/>
      <c r="N723" s="242"/>
      <c r="O723" s="242"/>
      <c r="P723" s="242"/>
      <c r="Q723" s="242"/>
      <c r="R723" s="242"/>
      <c r="S723" s="242"/>
      <c r="T723" s="13"/>
      <c r="U723" s="242"/>
      <c r="V723" s="242"/>
      <c r="W723" s="242"/>
      <c r="X723" s="242"/>
      <c r="Y723" s="242"/>
      <c r="Z723" s="242"/>
    </row>
    <row r="724">
      <c r="A724" s="242"/>
      <c r="B724" s="13"/>
      <c r="C724" s="13"/>
      <c r="D724" s="242"/>
      <c r="E724" s="242"/>
      <c r="F724" s="242"/>
      <c r="G724" s="242"/>
      <c r="H724" s="242"/>
      <c r="I724" s="242"/>
      <c r="J724" s="242"/>
      <c r="K724" s="242"/>
      <c r="L724" s="242"/>
      <c r="M724" s="242"/>
      <c r="N724" s="242"/>
      <c r="O724" s="242"/>
      <c r="P724" s="242"/>
      <c r="Q724" s="242"/>
      <c r="R724" s="242"/>
      <c r="S724" s="242"/>
      <c r="T724" s="13"/>
      <c r="U724" s="242"/>
      <c r="V724" s="242"/>
      <c r="W724" s="242"/>
      <c r="X724" s="242"/>
      <c r="Y724" s="242"/>
      <c r="Z724" s="242"/>
    </row>
    <row r="725">
      <c r="A725" s="242"/>
      <c r="B725" s="13"/>
      <c r="C725" s="13"/>
      <c r="D725" s="242"/>
      <c r="E725" s="242"/>
      <c r="F725" s="242"/>
      <c r="G725" s="242"/>
      <c r="H725" s="242"/>
      <c r="I725" s="242"/>
      <c r="J725" s="242"/>
      <c r="K725" s="242"/>
      <c r="L725" s="242"/>
      <c r="M725" s="242"/>
      <c r="N725" s="242"/>
      <c r="O725" s="242"/>
      <c r="P725" s="242"/>
      <c r="Q725" s="242"/>
      <c r="R725" s="242"/>
      <c r="S725" s="242"/>
      <c r="T725" s="13"/>
      <c r="U725" s="242"/>
      <c r="V725" s="242"/>
      <c r="W725" s="242"/>
      <c r="X725" s="242"/>
      <c r="Y725" s="242"/>
      <c r="Z725" s="242"/>
    </row>
    <row r="726">
      <c r="A726" s="242"/>
      <c r="B726" s="13"/>
      <c r="C726" s="13"/>
      <c r="D726" s="242"/>
      <c r="E726" s="242"/>
      <c r="F726" s="242"/>
      <c r="G726" s="242"/>
      <c r="H726" s="242"/>
      <c r="I726" s="242"/>
      <c r="J726" s="242"/>
      <c r="K726" s="242"/>
      <c r="L726" s="242"/>
      <c r="M726" s="242"/>
      <c r="N726" s="242"/>
      <c r="O726" s="242"/>
      <c r="P726" s="242"/>
      <c r="Q726" s="242"/>
      <c r="R726" s="242"/>
      <c r="S726" s="242"/>
      <c r="T726" s="13"/>
      <c r="U726" s="242"/>
      <c r="V726" s="242"/>
      <c r="W726" s="242"/>
      <c r="X726" s="242"/>
      <c r="Y726" s="242"/>
      <c r="Z726" s="242"/>
    </row>
    <row r="727">
      <c r="A727" s="242"/>
      <c r="B727" s="13"/>
      <c r="C727" s="13"/>
      <c r="D727" s="242"/>
      <c r="E727" s="242"/>
      <c r="F727" s="242"/>
      <c r="G727" s="242"/>
      <c r="H727" s="242"/>
      <c r="I727" s="242"/>
      <c r="J727" s="242"/>
      <c r="K727" s="242"/>
      <c r="L727" s="242"/>
      <c r="M727" s="242"/>
      <c r="N727" s="242"/>
      <c r="O727" s="242"/>
      <c r="P727" s="242"/>
      <c r="Q727" s="242"/>
      <c r="R727" s="242"/>
      <c r="S727" s="242"/>
      <c r="T727" s="13"/>
      <c r="U727" s="242"/>
      <c r="V727" s="242"/>
      <c r="W727" s="242"/>
      <c r="X727" s="242"/>
      <c r="Y727" s="242"/>
      <c r="Z727" s="242"/>
    </row>
    <row r="728">
      <c r="A728" s="242"/>
      <c r="B728" s="13"/>
      <c r="C728" s="13"/>
      <c r="D728" s="242"/>
      <c r="E728" s="242"/>
      <c r="F728" s="242"/>
      <c r="G728" s="242"/>
      <c r="H728" s="242"/>
      <c r="I728" s="242"/>
      <c r="J728" s="242"/>
      <c r="K728" s="242"/>
      <c r="L728" s="242"/>
      <c r="M728" s="242"/>
      <c r="N728" s="242"/>
      <c r="O728" s="242"/>
      <c r="P728" s="242"/>
      <c r="Q728" s="242"/>
      <c r="R728" s="242"/>
      <c r="S728" s="242"/>
      <c r="T728" s="13"/>
      <c r="U728" s="242"/>
      <c r="V728" s="242"/>
      <c r="W728" s="242"/>
      <c r="X728" s="242"/>
      <c r="Y728" s="242"/>
      <c r="Z728" s="242"/>
    </row>
    <row r="729">
      <c r="A729" s="242"/>
      <c r="B729" s="13"/>
      <c r="C729" s="13"/>
      <c r="D729" s="242"/>
      <c r="E729" s="242"/>
      <c r="F729" s="242"/>
      <c r="G729" s="242"/>
      <c r="H729" s="242"/>
      <c r="I729" s="242"/>
      <c r="J729" s="242"/>
      <c r="K729" s="242"/>
      <c r="L729" s="242"/>
      <c r="M729" s="242"/>
      <c r="N729" s="242"/>
      <c r="O729" s="242"/>
      <c r="P729" s="242"/>
      <c r="Q729" s="242"/>
      <c r="R729" s="242"/>
      <c r="S729" s="242"/>
      <c r="T729" s="13"/>
      <c r="U729" s="242"/>
      <c r="V729" s="242"/>
      <c r="W729" s="242"/>
      <c r="X729" s="242"/>
      <c r="Y729" s="242"/>
      <c r="Z729" s="242"/>
    </row>
    <row r="730">
      <c r="A730" s="242"/>
      <c r="B730" s="13"/>
      <c r="C730" s="13"/>
      <c r="D730" s="242"/>
      <c r="E730" s="242"/>
      <c r="F730" s="242"/>
      <c r="G730" s="242"/>
      <c r="H730" s="242"/>
      <c r="I730" s="242"/>
      <c r="J730" s="242"/>
      <c r="K730" s="242"/>
      <c r="L730" s="242"/>
      <c r="M730" s="242"/>
      <c r="N730" s="242"/>
      <c r="O730" s="242"/>
      <c r="P730" s="242"/>
      <c r="Q730" s="242"/>
      <c r="R730" s="242"/>
      <c r="S730" s="242"/>
      <c r="T730" s="13"/>
      <c r="U730" s="242"/>
      <c r="V730" s="242"/>
      <c r="W730" s="242"/>
      <c r="X730" s="242"/>
      <c r="Y730" s="242"/>
      <c r="Z730" s="242"/>
    </row>
    <row r="731">
      <c r="A731" s="242"/>
      <c r="B731" s="13"/>
      <c r="C731" s="13"/>
      <c r="D731" s="242"/>
      <c r="E731" s="242"/>
      <c r="F731" s="242"/>
      <c r="G731" s="242"/>
      <c r="H731" s="242"/>
      <c r="I731" s="242"/>
      <c r="J731" s="242"/>
      <c r="K731" s="242"/>
      <c r="L731" s="242"/>
      <c r="M731" s="242"/>
      <c r="N731" s="242"/>
      <c r="O731" s="242"/>
      <c r="P731" s="242"/>
      <c r="Q731" s="242"/>
      <c r="R731" s="242"/>
      <c r="S731" s="242"/>
      <c r="T731" s="13"/>
      <c r="U731" s="242"/>
      <c r="V731" s="242"/>
      <c r="W731" s="242"/>
      <c r="X731" s="242"/>
      <c r="Y731" s="242"/>
      <c r="Z731" s="242"/>
    </row>
    <row r="732">
      <c r="A732" s="242"/>
      <c r="B732" s="13"/>
      <c r="C732" s="13"/>
      <c r="D732" s="242"/>
      <c r="E732" s="242"/>
      <c r="F732" s="242"/>
      <c r="G732" s="242"/>
      <c r="H732" s="242"/>
      <c r="I732" s="242"/>
      <c r="J732" s="242"/>
      <c r="K732" s="242"/>
      <c r="L732" s="242"/>
      <c r="M732" s="242"/>
      <c r="N732" s="242"/>
      <c r="O732" s="242"/>
      <c r="P732" s="242"/>
      <c r="Q732" s="242"/>
      <c r="R732" s="242"/>
      <c r="S732" s="242"/>
      <c r="T732" s="13"/>
      <c r="U732" s="242"/>
      <c r="V732" s="242"/>
      <c r="W732" s="242"/>
      <c r="X732" s="242"/>
      <c r="Y732" s="242"/>
      <c r="Z732" s="242"/>
    </row>
    <row r="733">
      <c r="A733" s="242"/>
      <c r="B733" s="13"/>
      <c r="C733" s="13"/>
      <c r="D733" s="242"/>
      <c r="E733" s="242"/>
      <c r="F733" s="242"/>
      <c r="G733" s="242"/>
      <c r="H733" s="242"/>
      <c r="I733" s="242"/>
      <c r="J733" s="242"/>
      <c r="K733" s="242"/>
      <c r="L733" s="242"/>
      <c r="M733" s="242"/>
      <c r="N733" s="242"/>
      <c r="O733" s="242"/>
      <c r="P733" s="242"/>
      <c r="Q733" s="242"/>
      <c r="R733" s="242"/>
      <c r="S733" s="242"/>
      <c r="T733" s="13"/>
      <c r="U733" s="242"/>
      <c r="V733" s="242"/>
      <c r="W733" s="242"/>
      <c r="X733" s="242"/>
      <c r="Y733" s="242"/>
      <c r="Z733" s="242"/>
    </row>
    <row r="734">
      <c r="A734" s="242"/>
      <c r="B734" s="13"/>
      <c r="C734" s="13"/>
      <c r="D734" s="242"/>
      <c r="E734" s="242"/>
      <c r="F734" s="242"/>
      <c r="G734" s="242"/>
      <c r="H734" s="242"/>
      <c r="I734" s="242"/>
      <c r="J734" s="242"/>
      <c r="K734" s="242"/>
      <c r="L734" s="242"/>
      <c r="M734" s="242"/>
      <c r="N734" s="242"/>
      <c r="O734" s="242"/>
      <c r="P734" s="242"/>
      <c r="Q734" s="242"/>
      <c r="R734" s="242"/>
      <c r="S734" s="242"/>
      <c r="T734" s="13"/>
      <c r="U734" s="242"/>
      <c r="V734" s="242"/>
      <c r="W734" s="242"/>
      <c r="X734" s="242"/>
      <c r="Y734" s="242"/>
      <c r="Z734" s="242"/>
    </row>
    <row r="735">
      <c r="A735" s="242"/>
      <c r="B735" s="13"/>
      <c r="C735" s="13"/>
      <c r="D735" s="242"/>
      <c r="E735" s="242"/>
      <c r="F735" s="242"/>
      <c r="G735" s="242"/>
      <c r="H735" s="242"/>
      <c r="I735" s="242"/>
      <c r="J735" s="242"/>
      <c r="K735" s="242"/>
      <c r="L735" s="242"/>
      <c r="M735" s="242"/>
      <c r="N735" s="242"/>
      <c r="O735" s="242"/>
      <c r="P735" s="242"/>
      <c r="Q735" s="242"/>
      <c r="R735" s="242"/>
      <c r="S735" s="242"/>
      <c r="T735" s="13"/>
      <c r="U735" s="242"/>
      <c r="V735" s="242"/>
      <c r="W735" s="242"/>
      <c r="X735" s="242"/>
      <c r="Y735" s="242"/>
      <c r="Z735" s="242"/>
    </row>
    <row r="736">
      <c r="A736" s="242"/>
      <c r="B736" s="13"/>
      <c r="C736" s="13"/>
      <c r="D736" s="242"/>
      <c r="E736" s="242"/>
      <c r="F736" s="242"/>
      <c r="G736" s="242"/>
      <c r="H736" s="242"/>
      <c r="I736" s="242"/>
      <c r="J736" s="242"/>
      <c r="K736" s="242"/>
      <c r="L736" s="242"/>
      <c r="M736" s="242"/>
      <c r="N736" s="242"/>
      <c r="O736" s="242"/>
      <c r="P736" s="242"/>
      <c r="Q736" s="242"/>
      <c r="R736" s="242"/>
      <c r="S736" s="242"/>
      <c r="T736" s="13"/>
      <c r="U736" s="242"/>
      <c r="V736" s="242"/>
      <c r="W736" s="242"/>
      <c r="X736" s="242"/>
      <c r="Y736" s="242"/>
      <c r="Z736" s="242"/>
    </row>
    <row r="737">
      <c r="A737" s="242"/>
      <c r="B737" s="13"/>
      <c r="C737" s="13"/>
      <c r="D737" s="242"/>
      <c r="E737" s="242"/>
      <c r="F737" s="242"/>
      <c r="G737" s="242"/>
      <c r="H737" s="242"/>
      <c r="I737" s="242"/>
      <c r="J737" s="242"/>
      <c r="K737" s="242"/>
      <c r="L737" s="242"/>
      <c r="M737" s="242"/>
      <c r="N737" s="242"/>
      <c r="O737" s="242"/>
      <c r="P737" s="242"/>
      <c r="Q737" s="242"/>
      <c r="R737" s="242"/>
      <c r="S737" s="242"/>
      <c r="T737" s="13"/>
      <c r="U737" s="242"/>
      <c r="V737" s="242"/>
      <c r="W737" s="242"/>
      <c r="X737" s="242"/>
      <c r="Y737" s="242"/>
      <c r="Z737" s="242"/>
    </row>
    <row r="738">
      <c r="A738" s="242"/>
      <c r="B738" s="13"/>
      <c r="C738" s="13"/>
      <c r="D738" s="242"/>
      <c r="E738" s="242"/>
      <c r="F738" s="242"/>
      <c r="G738" s="242"/>
      <c r="H738" s="242"/>
      <c r="I738" s="242"/>
      <c r="J738" s="242"/>
      <c r="K738" s="242"/>
      <c r="L738" s="242"/>
      <c r="M738" s="242"/>
      <c r="N738" s="242"/>
      <c r="O738" s="242"/>
      <c r="P738" s="242"/>
      <c r="Q738" s="242"/>
      <c r="R738" s="242"/>
      <c r="S738" s="242"/>
      <c r="T738" s="13"/>
      <c r="U738" s="242"/>
      <c r="V738" s="242"/>
      <c r="W738" s="242"/>
      <c r="X738" s="242"/>
      <c r="Y738" s="242"/>
      <c r="Z738" s="242"/>
    </row>
    <row r="739">
      <c r="A739" s="242"/>
      <c r="B739" s="13"/>
      <c r="C739" s="13"/>
      <c r="D739" s="242"/>
      <c r="E739" s="242"/>
      <c r="F739" s="242"/>
      <c r="G739" s="242"/>
      <c r="H739" s="242"/>
      <c r="I739" s="242"/>
      <c r="J739" s="242"/>
      <c r="K739" s="242"/>
      <c r="L739" s="242"/>
      <c r="M739" s="242"/>
      <c r="N739" s="242"/>
      <c r="O739" s="242"/>
      <c r="P739" s="242"/>
      <c r="Q739" s="242"/>
      <c r="R739" s="242"/>
      <c r="S739" s="242"/>
      <c r="T739" s="13"/>
      <c r="U739" s="242"/>
      <c r="V739" s="242"/>
      <c r="W739" s="242"/>
      <c r="X739" s="242"/>
      <c r="Y739" s="242"/>
      <c r="Z739" s="242"/>
    </row>
    <row r="740">
      <c r="A740" s="242"/>
      <c r="B740" s="13"/>
      <c r="C740" s="13"/>
      <c r="D740" s="242"/>
      <c r="E740" s="242"/>
      <c r="F740" s="242"/>
      <c r="G740" s="242"/>
      <c r="H740" s="242"/>
      <c r="I740" s="242"/>
      <c r="J740" s="242"/>
      <c r="K740" s="242"/>
      <c r="L740" s="242"/>
      <c r="M740" s="242"/>
      <c r="N740" s="242"/>
      <c r="O740" s="242"/>
      <c r="P740" s="242"/>
      <c r="Q740" s="242"/>
      <c r="R740" s="242"/>
      <c r="S740" s="242"/>
      <c r="T740" s="13"/>
      <c r="U740" s="242"/>
      <c r="V740" s="242"/>
      <c r="W740" s="242"/>
      <c r="X740" s="242"/>
      <c r="Y740" s="242"/>
      <c r="Z740" s="242"/>
    </row>
    <row r="741">
      <c r="A741" s="242"/>
      <c r="B741" s="13"/>
      <c r="C741" s="13"/>
      <c r="D741" s="242"/>
      <c r="E741" s="242"/>
      <c r="F741" s="242"/>
      <c r="G741" s="242"/>
      <c r="H741" s="242"/>
      <c r="I741" s="242"/>
      <c r="J741" s="242"/>
      <c r="K741" s="242"/>
      <c r="L741" s="242"/>
      <c r="M741" s="242"/>
      <c r="N741" s="242"/>
      <c r="O741" s="242"/>
      <c r="P741" s="242"/>
      <c r="Q741" s="242"/>
      <c r="R741" s="242"/>
      <c r="S741" s="242"/>
      <c r="T741" s="13"/>
      <c r="U741" s="242"/>
      <c r="V741" s="242"/>
      <c r="W741" s="242"/>
      <c r="X741" s="242"/>
      <c r="Y741" s="242"/>
      <c r="Z741" s="242"/>
    </row>
    <row r="742">
      <c r="A742" s="242"/>
      <c r="B742" s="13"/>
      <c r="C742" s="13"/>
      <c r="D742" s="242"/>
      <c r="E742" s="242"/>
      <c r="F742" s="242"/>
      <c r="G742" s="242"/>
      <c r="H742" s="242"/>
      <c r="I742" s="242"/>
      <c r="J742" s="242"/>
      <c r="K742" s="242"/>
      <c r="L742" s="242"/>
      <c r="M742" s="242"/>
      <c r="N742" s="242"/>
      <c r="O742" s="242"/>
      <c r="P742" s="242"/>
      <c r="Q742" s="242"/>
      <c r="R742" s="242"/>
      <c r="S742" s="242"/>
      <c r="T742" s="13"/>
      <c r="U742" s="242"/>
      <c r="V742" s="242"/>
      <c r="W742" s="242"/>
      <c r="X742" s="242"/>
      <c r="Y742" s="242"/>
      <c r="Z742" s="242"/>
    </row>
    <row r="743">
      <c r="A743" s="242"/>
      <c r="B743" s="13"/>
      <c r="C743" s="13"/>
      <c r="D743" s="242"/>
      <c r="E743" s="242"/>
      <c r="F743" s="242"/>
      <c r="G743" s="242"/>
      <c r="H743" s="242"/>
      <c r="I743" s="242"/>
      <c r="J743" s="242"/>
      <c r="K743" s="242"/>
      <c r="L743" s="242"/>
      <c r="M743" s="242"/>
      <c r="N743" s="242"/>
      <c r="O743" s="242"/>
      <c r="P743" s="242"/>
      <c r="Q743" s="242"/>
      <c r="R743" s="242"/>
      <c r="S743" s="242"/>
      <c r="T743" s="13"/>
      <c r="U743" s="242"/>
      <c r="V743" s="242"/>
      <c r="W743" s="242"/>
      <c r="X743" s="242"/>
      <c r="Y743" s="242"/>
      <c r="Z743" s="242"/>
    </row>
    <row r="744">
      <c r="A744" s="242"/>
      <c r="B744" s="13"/>
      <c r="C744" s="13"/>
      <c r="D744" s="242"/>
      <c r="E744" s="242"/>
      <c r="F744" s="242"/>
      <c r="G744" s="242"/>
      <c r="H744" s="242"/>
      <c r="I744" s="242"/>
      <c r="J744" s="242"/>
      <c r="K744" s="242"/>
      <c r="L744" s="242"/>
      <c r="M744" s="242"/>
      <c r="N744" s="242"/>
      <c r="O744" s="242"/>
      <c r="P744" s="242"/>
      <c r="Q744" s="242"/>
      <c r="R744" s="242"/>
      <c r="S744" s="242"/>
      <c r="T744" s="13"/>
      <c r="U744" s="242"/>
      <c r="V744" s="242"/>
      <c r="W744" s="242"/>
      <c r="X744" s="242"/>
      <c r="Y744" s="242"/>
      <c r="Z744" s="242"/>
    </row>
    <row r="745">
      <c r="A745" s="242"/>
      <c r="B745" s="13"/>
      <c r="C745" s="13"/>
      <c r="D745" s="242"/>
      <c r="E745" s="242"/>
      <c r="F745" s="242"/>
      <c r="G745" s="242"/>
      <c r="H745" s="242"/>
      <c r="I745" s="242"/>
      <c r="J745" s="242"/>
      <c r="K745" s="242"/>
      <c r="L745" s="242"/>
      <c r="M745" s="242"/>
      <c r="N745" s="242"/>
      <c r="O745" s="242"/>
      <c r="P745" s="242"/>
      <c r="Q745" s="242"/>
      <c r="R745" s="242"/>
      <c r="S745" s="242"/>
      <c r="T745" s="13"/>
      <c r="U745" s="242"/>
      <c r="V745" s="242"/>
      <c r="W745" s="242"/>
      <c r="X745" s="242"/>
      <c r="Y745" s="242"/>
      <c r="Z745" s="242"/>
    </row>
    <row r="746">
      <c r="A746" s="242"/>
      <c r="B746" s="13"/>
      <c r="C746" s="13"/>
      <c r="D746" s="242"/>
      <c r="E746" s="242"/>
      <c r="F746" s="242"/>
      <c r="G746" s="242"/>
      <c r="H746" s="242"/>
      <c r="I746" s="242"/>
      <c r="J746" s="242"/>
      <c r="K746" s="242"/>
      <c r="L746" s="242"/>
      <c r="M746" s="242"/>
      <c r="N746" s="242"/>
      <c r="O746" s="242"/>
      <c r="P746" s="242"/>
      <c r="Q746" s="242"/>
      <c r="R746" s="242"/>
      <c r="S746" s="242"/>
      <c r="T746" s="13"/>
      <c r="U746" s="242"/>
      <c r="V746" s="242"/>
      <c r="W746" s="242"/>
      <c r="X746" s="242"/>
      <c r="Y746" s="242"/>
      <c r="Z746" s="242"/>
    </row>
    <row r="747">
      <c r="A747" s="242"/>
      <c r="B747" s="13"/>
      <c r="C747" s="13"/>
      <c r="D747" s="242"/>
      <c r="E747" s="242"/>
      <c r="F747" s="242"/>
      <c r="G747" s="242"/>
      <c r="H747" s="242"/>
      <c r="I747" s="242"/>
      <c r="J747" s="242"/>
      <c r="K747" s="242"/>
      <c r="L747" s="242"/>
      <c r="M747" s="242"/>
      <c r="N747" s="242"/>
      <c r="O747" s="242"/>
      <c r="P747" s="242"/>
      <c r="Q747" s="242"/>
      <c r="R747" s="242"/>
      <c r="S747" s="242"/>
      <c r="T747" s="13"/>
      <c r="U747" s="242"/>
      <c r="V747" s="242"/>
      <c r="W747" s="242"/>
      <c r="X747" s="242"/>
      <c r="Y747" s="242"/>
      <c r="Z747" s="242"/>
    </row>
    <row r="748">
      <c r="A748" s="242"/>
      <c r="B748" s="13"/>
      <c r="C748" s="13"/>
      <c r="D748" s="242"/>
      <c r="E748" s="242"/>
      <c r="F748" s="242"/>
      <c r="G748" s="242"/>
      <c r="H748" s="242"/>
      <c r="I748" s="242"/>
      <c r="J748" s="242"/>
      <c r="K748" s="242"/>
      <c r="L748" s="242"/>
      <c r="M748" s="242"/>
      <c r="N748" s="242"/>
      <c r="O748" s="242"/>
      <c r="P748" s="242"/>
      <c r="Q748" s="242"/>
      <c r="R748" s="242"/>
      <c r="S748" s="242"/>
      <c r="T748" s="13"/>
      <c r="U748" s="242"/>
      <c r="V748" s="242"/>
      <c r="W748" s="242"/>
      <c r="X748" s="242"/>
      <c r="Y748" s="242"/>
      <c r="Z748" s="242"/>
    </row>
    <row r="749">
      <c r="A749" s="242"/>
      <c r="B749" s="13"/>
      <c r="C749" s="13"/>
      <c r="D749" s="242"/>
      <c r="E749" s="242"/>
      <c r="F749" s="242"/>
      <c r="G749" s="242"/>
      <c r="H749" s="242"/>
      <c r="I749" s="242"/>
      <c r="J749" s="242"/>
      <c r="K749" s="242"/>
      <c r="L749" s="242"/>
      <c r="M749" s="242"/>
      <c r="N749" s="242"/>
      <c r="O749" s="242"/>
      <c r="P749" s="242"/>
      <c r="Q749" s="242"/>
      <c r="R749" s="242"/>
      <c r="S749" s="242"/>
      <c r="T749" s="13"/>
      <c r="U749" s="242"/>
      <c r="V749" s="242"/>
      <c r="W749" s="242"/>
      <c r="X749" s="242"/>
      <c r="Y749" s="242"/>
      <c r="Z749" s="242"/>
    </row>
    <row r="750">
      <c r="A750" s="242"/>
      <c r="B750" s="13"/>
      <c r="C750" s="13"/>
      <c r="D750" s="242"/>
      <c r="E750" s="242"/>
      <c r="F750" s="242"/>
      <c r="G750" s="242"/>
      <c r="H750" s="242"/>
      <c r="I750" s="242"/>
      <c r="J750" s="242"/>
      <c r="K750" s="242"/>
      <c r="L750" s="242"/>
      <c r="M750" s="242"/>
      <c r="N750" s="242"/>
      <c r="O750" s="242"/>
      <c r="P750" s="242"/>
      <c r="Q750" s="242"/>
      <c r="R750" s="242"/>
      <c r="S750" s="242"/>
      <c r="T750" s="13"/>
      <c r="U750" s="242"/>
      <c r="V750" s="242"/>
      <c r="W750" s="242"/>
      <c r="X750" s="242"/>
      <c r="Y750" s="242"/>
      <c r="Z750" s="242"/>
    </row>
    <row r="751">
      <c r="A751" s="242"/>
      <c r="B751" s="13"/>
      <c r="C751" s="13"/>
      <c r="D751" s="242"/>
      <c r="E751" s="242"/>
      <c r="F751" s="242"/>
      <c r="G751" s="242"/>
      <c r="H751" s="242"/>
      <c r="I751" s="242"/>
      <c r="J751" s="242"/>
      <c r="K751" s="242"/>
      <c r="L751" s="242"/>
      <c r="M751" s="242"/>
      <c r="N751" s="242"/>
      <c r="O751" s="242"/>
      <c r="P751" s="242"/>
      <c r="Q751" s="242"/>
      <c r="R751" s="242"/>
      <c r="S751" s="242"/>
      <c r="T751" s="13"/>
      <c r="U751" s="242"/>
      <c r="V751" s="242"/>
      <c r="W751" s="242"/>
      <c r="X751" s="242"/>
      <c r="Y751" s="242"/>
      <c r="Z751" s="242"/>
    </row>
    <row r="752">
      <c r="A752" s="242"/>
      <c r="B752" s="13"/>
      <c r="C752" s="13"/>
      <c r="D752" s="242"/>
      <c r="E752" s="242"/>
      <c r="F752" s="242"/>
      <c r="G752" s="242"/>
      <c r="H752" s="242"/>
      <c r="I752" s="242"/>
      <c r="J752" s="242"/>
      <c r="K752" s="242"/>
      <c r="L752" s="242"/>
      <c r="M752" s="242"/>
      <c r="N752" s="242"/>
      <c r="O752" s="242"/>
      <c r="P752" s="242"/>
      <c r="Q752" s="242"/>
      <c r="R752" s="242"/>
      <c r="S752" s="242"/>
      <c r="T752" s="13"/>
      <c r="U752" s="242"/>
      <c r="V752" s="242"/>
      <c r="W752" s="242"/>
      <c r="X752" s="242"/>
      <c r="Y752" s="242"/>
      <c r="Z752" s="242"/>
    </row>
    <row r="753">
      <c r="A753" s="242"/>
      <c r="B753" s="13"/>
      <c r="C753" s="13"/>
      <c r="D753" s="242"/>
      <c r="E753" s="242"/>
      <c r="F753" s="242"/>
      <c r="G753" s="242"/>
      <c r="H753" s="242"/>
      <c r="I753" s="242"/>
      <c r="J753" s="242"/>
      <c r="K753" s="242"/>
      <c r="L753" s="242"/>
      <c r="M753" s="242"/>
      <c r="N753" s="242"/>
      <c r="O753" s="242"/>
      <c r="P753" s="242"/>
      <c r="Q753" s="242"/>
      <c r="R753" s="242"/>
      <c r="S753" s="242"/>
      <c r="T753" s="13"/>
      <c r="U753" s="242"/>
      <c r="V753" s="242"/>
      <c r="W753" s="242"/>
      <c r="X753" s="242"/>
      <c r="Y753" s="242"/>
      <c r="Z753" s="242"/>
    </row>
    <row r="754">
      <c r="A754" s="242"/>
      <c r="B754" s="13"/>
      <c r="C754" s="13"/>
      <c r="D754" s="242"/>
      <c r="E754" s="242"/>
      <c r="F754" s="242"/>
      <c r="G754" s="242"/>
      <c r="H754" s="242"/>
      <c r="I754" s="242"/>
      <c r="J754" s="242"/>
      <c r="K754" s="242"/>
      <c r="L754" s="242"/>
      <c r="M754" s="242"/>
      <c r="N754" s="242"/>
      <c r="O754" s="242"/>
      <c r="P754" s="242"/>
      <c r="Q754" s="242"/>
      <c r="R754" s="242"/>
      <c r="S754" s="242"/>
      <c r="T754" s="13"/>
      <c r="U754" s="242"/>
      <c r="V754" s="242"/>
      <c r="W754" s="242"/>
      <c r="X754" s="242"/>
      <c r="Y754" s="242"/>
      <c r="Z754" s="242"/>
    </row>
    <row r="755">
      <c r="A755" s="242"/>
      <c r="B755" s="13"/>
      <c r="C755" s="13"/>
      <c r="D755" s="242"/>
      <c r="E755" s="242"/>
      <c r="F755" s="242"/>
      <c r="G755" s="242"/>
      <c r="H755" s="242"/>
      <c r="I755" s="242"/>
      <c r="J755" s="242"/>
      <c r="K755" s="242"/>
      <c r="L755" s="242"/>
      <c r="M755" s="242"/>
      <c r="N755" s="242"/>
      <c r="O755" s="242"/>
      <c r="P755" s="242"/>
      <c r="Q755" s="242"/>
      <c r="R755" s="242"/>
      <c r="S755" s="242"/>
      <c r="T755" s="13"/>
      <c r="U755" s="242"/>
      <c r="V755" s="242"/>
      <c r="W755" s="242"/>
      <c r="X755" s="242"/>
      <c r="Y755" s="242"/>
      <c r="Z755" s="242"/>
    </row>
    <row r="756">
      <c r="A756" s="242"/>
      <c r="B756" s="13"/>
      <c r="C756" s="13"/>
      <c r="D756" s="242"/>
      <c r="E756" s="242"/>
      <c r="F756" s="242"/>
      <c r="G756" s="242"/>
      <c r="H756" s="242"/>
      <c r="I756" s="242"/>
      <c r="J756" s="242"/>
      <c r="K756" s="242"/>
      <c r="L756" s="242"/>
      <c r="M756" s="242"/>
      <c r="N756" s="242"/>
      <c r="O756" s="242"/>
      <c r="P756" s="242"/>
      <c r="Q756" s="242"/>
      <c r="R756" s="242"/>
      <c r="S756" s="242"/>
      <c r="T756" s="13"/>
      <c r="U756" s="242"/>
      <c r="V756" s="242"/>
      <c r="W756" s="242"/>
      <c r="X756" s="242"/>
      <c r="Y756" s="242"/>
      <c r="Z756" s="242"/>
    </row>
    <row r="757">
      <c r="A757" s="242"/>
      <c r="B757" s="13"/>
      <c r="C757" s="13"/>
      <c r="D757" s="242"/>
      <c r="E757" s="242"/>
      <c r="F757" s="242"/>
      <c r="G757" s="242"/>
      <c r="H757" s="242"/>
      <c r="I757" s="242"/>
      <c r="J757" s="242"/>
      <c r="K757" s="242"/>
      <c r="L757" s="242"/>
      <c r="M757" s="242"/>
      <c r="N757" s="242"/>
      <c r="O757" s="242"/>
      <c r="P757" s="242"/>
      <c r="Q757" s="242"/>
      <c r="R757" s="242"/>
      <c r="S757" s="242"/>
      <c r="T757" s="13"/>
      <c r="U757" s="242"/>
      <c r="V757" s="242"/>
      <c r="W757" s="242"/>
      <c r="X757" s="242"/>
      <c r="Y757" s="242"/>
      <c r="Z757" s="242"/>
    </row>
    <row r="758">
      <c r="A758" s="242"/>
      <c r="B758" s="13"/>
      <c r="C758" s="13"/>
      <c r="D758" s="242"/>
      <c r="E758" s="242"/>
      <c r="F758" s="242"/>
      <c r="G758" s="242"/>
      <c r="H758" s="242"/>
      <c r="I758" s="242"/>
      <c r="J758" s="242"/>
      <c r="K758" s="242"/>
      <c r="L758" s="242"/>
      <c r="M758" s="242"/>
      <c r="N758" s="242"/>
      <c r="O758" s="242"/>
      <c r="P758" s="242"/>
      <c r="Q758" s="242"/>
      <c r="R758" s="242"/>
      <c r="S758" s="242"/>
      <c r="T758" s="13"/>
      <c r="U758" s="242"/>
      <c r="V758" s="242"/>
      <c r="W758" s="242"/>
      <c r="X758" s="242"/>
      <c r="Y758" s="242"/>
      <c r="Z758" s="242"/>
    </row>
    <row r="759">
      <c r="A759" s="242"/>
      <c r="B759" s="13"/>
      <c r="C759" s="13"/>
      <c r="D759" s="242"/>
      <c r="E759" s="242"/>
      <c r="F759" s="242"/>
      <c r="G759" s="242"/>
      <c r="H759" s="242"/>
      <c r="I759" s="242"/>
      <c r="J759" s="242"/>
      <c r="K759" s="242"/>
      <c r="L759" s="242"/>
      <c r="M759" s="242"/>
      <c r="N759" s="242"/>
      <c r="O759" s="242"/>
      <c r="P759" s="242"/>
      <c r="Q759" s="242"/>
      <c r="R759" s="242"/>
      <c r="S759" s="242"/>
      <c r="T759" s="13"/>
      <c r="U759" s="242"/>
      <c r="V759" s="242"/>
      <c r="W759" s="242"/>
      <c r="X759" s="242"/>
      <c r="Y759" s="242"/>
      <c r="Z759" s="242"/>
    </row>
    <row r="760">
      <c r="A760" s="242"/>
      <c r="B760" s="13"/>
      <c r="C760" s="13"/>
      <c r="D760" s="242"/>
      <c r="E760" s="242"/>
      <c r="F760" s="242"/>
      <c r="G760" s="242"/>
      <c r="H760" s="242"/>
      <c r="I760" s="242"/>
      <c r="J760" s="242"/>
      <c r="K760" s="242"/>
      <c r="L760" s="242"/>
      <c r="M760" s="242"/>
      <c r="N760" s="242"/>
      <c r="O760" s="242"/>
      <c r="P760" s="242"/>
      <c r="Q760" s="242"/>
      <c r="R760" s="242"/>
      <c r="S760" s="242"/>
      <c r="T760" s="13"/>
      <c r="U760" s="242"/>
      <c r="V760" s="242"/>
      <c r="W760" s="242"/>
      <c r="X760" s="242"/>
      <c r="Y760" s="242"/>
      <c r="Z760" s="242"/>
    </row>
    <row r="761">
      <c r="A761" s="242"/>
      <c r="B761" s="13"/>
      <c r="C761" s="13"/>
      <c r="D761" s="242"/>
      <c r="E761" s="242"/>
      <c r="F761" s="242"/>
      <c r="G761" s="242"/>
      <c r="H761" s="242"/>
      <c r="I761" s="242"/>
      <c r="J761" s="242"/>
      <c r="K761" s="242"/>
      <c r="L761" s="242"/>
      <c r="M761" s="242"/>
      <c r="N761" s="242"/>
      <c r="O761" s="242"/>
      <c r="P761" s="242"/>
      <c r="Q761" s="242"/>
      <c r="R761" s="242"/>
      <c r="S761" s="242"/>
      <c r="T761" s="13"/>
      <c r="U761" s="242"/>
      <c r="V761" s="242"/>
      <c r="W761" s="242"/>
      <c r="X761" s="242"/>
      <c r="Y761" s="242"/>
      <c r="Z761" s="242"/>
    </row>
    <row r="762">
      <c r="A762" s="242"/>
      <c r="B762" s="13"/>
      <c r="C762" s="13"/>
      <c r="D762" s="242"/>
      <c r="E762" s="242"/>
      <c r="F762" s="242"/>
      <c r="G762" s="242"/>
      <c r="H762" s="242"/>
      <c r="I762" s="242"/>
      <c r="J762" s="242"/>
      <c r="K762" s="242"/>
      <c r="L762" s="242"/>
      <c r="M762" s="242"/>
      <c r="N762" s="242"/>
      <c r="O762" s="242"/>
      <c r="P762" s="242"/>
      <c r="Q762" s="242"/>
      <c r="R762" s="242"/>
      <c r="S762" s="242"/>
      <c r="T762" s="13"/>
      <c r="U762" s="242"/>
      <c r="V762" s="242"/>
      <c r="W762" s="242"/>
      <c r="X762" s="242"/>
      <c r="Y762" s="242"/>
      <c r="Z762" s="242"/>
    </row>
    <row r="763">
      <c r="A763" s="242"/>
      <c r="B763" s="13"/>
      <c r="C763" s="13"/>
      <c r="D763" s="242"/>
      <c r="E763" s="242"/>
      <c r="F763" s="242"/>
      <c r="G763" s="242"/>
      <c r="H763" s="242"/>
      <c r="I763" s="242"/>
      <c r="J763" s="242"/>
      <c r="K763" s="242"/>
      <c r="L763" s="242"/>
      <c r="M763" s="242"/>
      <c r="N763" s="242"/>
      <c r="O763" s="242"/>
      <c r="P763" s="242"/>
      <c r="Q763" s="242"/>
      <c r="R763" s="242"/>
      <c r="S763" s="242"/>
      <c r="T763" s="13"/>
      <c r="U763" s="242"/>
      <c r="V763" s="242"/>
      <c r="W763" s="242"/>
      <c r="X763" s="242"/>
      <c r="Y763" s="242"/>
      <c r="Z763" s="242"/>
    </row>
    <row r="764">
      <c r="A764" s="242"/>
      <c r="B764" s="13"/>
      <c r="C764" s="13"/>
      <c r="D764" s="242"/>
      <c r="E764" s="242"/>
      <c r="F764" s="242"/>
      <c r="G764" s="242"/>
      <c r="H764" s="242"/>
      <c r="I764" s="242"/>
      <c r="J764" s="242"/>
      <c r="K764" s="242"/>
      <c r="L764" s="242"/>
      <c r="M764" s="242"/>
      <c r="N764" s="242"/>
      <c r="O764" s="242"/>
      <c r="P764" s="242"/>
      <c r="Q764" s="242"/>
      <c r="R764" s="242"/>
      <c r="S764" s="242"/>
      <c r="T764" s="13"/>
      <c r="U764" s="242"/>
      <c r="V764" s="242"/>
      <c r="W764" s="242"/>
      <c r="X764" s="242"/>
      <c r="Y764" s="242"/>
      <c r="Z764" s="242"/>
    </row>
    <row r="765">
      <c r="A765" s="242"/>
      <c r="B765" s="13"/>
      <c r="C765" s="13"/>
      <c r="D765" s="242"/>
      <c r="E765" s="242"/>
      <c r="F765" s="242"/>
      <c r="G765" s="242"/>
      <c r="H765" s="242"/>
      <c r="I765" s="242"/>
      <c r="J765" s="242"/>
      <c r="K765" s="242"/>
      <c r="L765" s="242"/>
      <c r="M765" s="242"/>
      <c r="N765" s="242"/>
      <c r="O765" s="242"/>
      <c r="P765" s="242"/>
      <c r="Q765" s="242"/>
      <c r="R765" s="242"/>
      <c r="S765" s="242"/>
      <c r="T765" s="13"/>
      <c r="U765" s="242"/>
      <c r="V765" s="242"/>
      <c r="W765" s="242"/>
      <c r="X765" s="242"/>
      <c r="Y765" s="242"/>
      <c r="Z765" s="242"/>
    </row>
    <row r="766">
      <c r="A766" s="242"/>
      <c r="B766" s="13"/>
      <c r="C766" s="13"/>
      <c r="D766" s="242"/>
      <c r="E766" s="242"/>
      <c r="F766" s="242"/>
      <c r="G766" s="242"/>
      <c r="H766" s="242"/>
      <c r="I766" s="242"/>
      <c r="J766" s="242"/>
      <c r="K766" s="242"/>
      <c r="L766" s="242"/>
      <c r="M766" s="242"/>
      <c r="N766" s="242"/>
      <c r="O766" s="242"/>
      <c r="P766" s="242"/>
      <c r="Q766" s="242"/>
      <c r="R766" s="242"/>
      <c r="S766" s="242"/>
      <c r="T766" s="13"/>
      <c r="U766" s="242"/>
      <c r="V766" s="242"/>
      <c r="W766" s="242"/>
      <c r="X766" s="242"/>
      <c r="Y766" s="242"/>
      <c r="Z766" s="242"/>
    </row>
    <row r="767">
      <c r="A767" s="242"/>
      <c r="B767" s="13"/>
      <c r="C767" s="13"/>
      <c r="D767" s="242"/>
      <c r="E767" s="242"/>
      <c r="F767" s="242"/>
      <c r="G767" s="242"/>
      <c r="H767" s="242"/>
      <c r="I767" s="242"/>
      <c r="J767" s="242"/>
      <c r="K767" s="242"/>
      <c r="L767" s="242"/>
      <c r="M767" s="242"/>
      <c r="N767" s="242"/>
      <c r="O767" s="242"/>
      <c r="P767" s="242"/>
      <c r="Q767" s="242"/>
      <c r="R767" s="242"/>
      <c r="S767" s="242"/>
      <c r="T767" s="13"/>
      <c r="U767" s="242"/>
      <c r="V767" s="242"/>
      <c r="W767" s="242"/>
      <c r="X767" s="242"/>
      <c r="Y767" s="242"/>
      <c r="Z767" s="242"/>
    </row>
    <row r="768">
      <c r="A768" s="242"/>
      <c r="B768" s="13"/>
      <c r="C768" s="13"/>
      <c r="D768" s="242"/>
      <c r="E768" s="242"/>
      <c r="F768" s="242"/>
      <c r="G768" s="242"/>
      <c r="H768" s="242"/>
      <c r="I768" s="242"/>
      <c r="J768" s="242"/>
      <c r="K768" s="242"/>
      <c r="L768" s="242"/>
      <c r="M768" s="242"/>
      <c r="N768" s="242"/>
      <c r="O768" s="242"/>
      <c r="P768" s="242"/>
      <c r="Q768" s="242"/>
      <c r="R768" s="242"/>
      <c r="S768" s="242"/>
      <c r="T768" s="13"/>
      <c r="U768" s="242"/>
      <c r="V768" s="242"/>
      <c r="W768" s="242"/>
      <c r="X768" s="242"/>
      <c r="Y768" s="242"/>
      <c r="Z768" s="242"/>
    </row>
    <row r="769">
      <c r="A769" s="242"/>
      <c r="B769" s="13"/>
      <c r="C769" s="13"/>
      <c r="D769" s="242"/>
      <c r="E769" s="242"/>
      <c r="F769" s="242"/>
      <c r="G769" s="242"/>
      <c r="H769" s="242"/>
      <c r="I769" s="242"/>
      <c r="J769" s="242"/>
      <c r="K769" s="242"/>
      <c r="L769" s="242"/>
      <c r="M769" s="242"/>
      <c r="N769" s="242"/>
      <c r="O769" s="242"/>
      <c r="P769" s="242"/>
      <c r="Q769" s="242"/>
      <c r="R769" s="242"/>
      <c r="S769" s="242"/>
      <c r="T769" s="13"/>
      <c r="U769" s="242"/>
      <c r="V769" s="242"/>
      <c r="W769" s="242"/>
      <c r="X769" s="242"/>
      <c r="Y769" s="242"/>
      <c r="Z769" s="242"/>
    </row>
    <row r="770">
      <c r="A770" s="242"/>
      <c r="B770" s="13"/>
      <c r="C770" s="13"/>
      <c r="D770" s="242"/>
      <c r="E770" s="242"/>
      <c r="F770" s="242"/>
      <c r="G770" s="242"/>
      <c r="H770" s="242"/>
      <c r="I770" s="242"/>
      <c r="J770" s="242"/>
      <c r="K770" s="242"/>
      <c r="L770" s="242"/>
      <c r="M770" s="242"/>
      <c r="N770" s="242"/>
      <c r="O770" s="242"/>
      <c r="P770" s="242"/>
      <c r="Q770" s="242"/>
      <c r="R770" s="242"/>
      <c r="S770" s="242"/>
      <c r="T770" s="13"/>
      <c r="U770" s="242"/>
      <c r="V770" s="242"/>
      <c r="W770" s="242"/>
      <c r="X770" s="242"/>
      <c r="Y770" s="242"/>
      <c r="Z770" s="242"/>
    </row>
    <row r="771">
      <c r="A771" s="242"/>
      <c r="B771" s="13"/>
      <c r="C771" s="13"/>
      <c r="D771" s="242"/>
      <c r="E771" s="242"/>
      <c r="F771" s="242"/>
      <c r="G771" s="242"/>
      <c r="H771" s="242"/>
      <c r="I771" s="242"/>
      <c r="J771" s="242"/>
      <c r="K771" s="242"/>
      <c r="L771" s="242"/>
      <c r="M771" s="242"/>
      <c r="N771" s="242"/>
      <c r="O771" s="242"/>
      <c r="P771" s="242"/>
      <c r="Q771" s="242"/>
      <c r="R771" s="242"/>
      <c r="S771" s="242"/>
      <c r="T771" s="13"/>
      <c r="U771" s="242"/>
      <c r="V771" s="242"/>
      <c r="W771" s="242"/>
      <c r="X771" s="242"/>
      <c r="Y771" s="242"/>
      <c r="Z771" s="242"/>
    </row>
    <row r="772">
      <c r="A772" s="242"/>
      <c r="B772" s="13"/>
      <c r="C772" s="13"/>
      <c r="D772" s="242"/>
      <c r="E772" s="242"/>
      <c r="F772" s="242"/>
      <c r="G772" s="242"/>
      <c r="H772" s="242"/>
      <c r="I772" s="242"/>
      <c r="J772" s="242"/>
      <c r="K772" s="242"/>
      <c r="L772" s="242"/>
      <c r="M772" s="242"/>
      <c r="N772" s="242"/>
      <c r="O772" s="242"/>
      <c r="P772" s="242"/>
      <c r="Q772" s="242"/>
      <c r="R772" s="242"/>
      <c r="S772" s="242"/>
      <c r="T772" s="13"/>
      <c r="U772" s="242"/>
      <c r="V772" s="242"/>
      <c r="W772" s="242"/>
      <c r="X772" s="242"/>
      <c r="Y772" s="242"/>
      <c r="Z772" s="242"/>
    </row>
    <row r="773">
      <c r="A773" s="242"/>
      <c r="B773" s="13"/>
      <c r="C773" s="13"/>
      <c r="D773" s="242"/>
      <c r="E773" s="242"/>
      <c r="F773" s="242"/>
      <c r="G773" s="242"/>
      <c r="H773" s="242"/>
      <c r="I773" s="242"/>
      <c r="J773" s="242"/>
      <c r="K773" s="242"/>
      <c r="L773" s="242"/>
      <c r="M773" s="242"/>
      <c r="N773" s="242"/>
      <c r="O773" s="242"/>
      <c r="P773" s="242"/>
      <c r="Q773" s="242"/>
      <c r="R773" s="242"/>
      <c r="S773" s="242"/>
      <c r="T773" s="13"/>
      <c r="U773" s="242"/>
      <c r="V773" s="242"/>
      <c r="W773" s="242"/>
      <c r="X773" s="242"/>
      <c r="Y773" s="242"/>
      <c r="Z773" s="242"/>
    </row>
    <row r="774">
      <c r="A774" s="242"/>
      <c r="B774" s="13"/>
      <c r="C774" s="13"/>
      <c r="D774" s="242"/>
      <c r="E774" s="242"/>
      <c r="F774" s="242"/>
      <c r="G774" s="242"/>
      <c r="H774" s="242"/>
      <c r="I774" s="242"/>
      <c r="J774" s="242"/>
      <c r="K774" s="242"/>
      <c r="L774" s="242"/>
      <c r="M774" s="242"/>
      <c r="N774" s="242"/>
      <c r="O774" s="242"/>
      <c r="P774" s="242"/>
      <c r="Q774" s="242"/>
      <c r="R774" s="242"/>
      <c r="S774" s="242"/>
      <c r="T774" s="13"/>
      <c r="U774" s="242"/>
      <c r="V774" s="242"/>
      <c r="W774" s="242"/>
      <c r="X774" s="242"/>
      <c r="Y774" s="242"/>
      <c r="Z774" s="242"/>
    </row>
    <row r="775">
      <c r="A775" s="242"/>
      <c r="B775" s="13"/>
      <c r="C775" s="13"/>
      <c r="D775" s="242"/>
      <c r="E775" s="242"/>
      <c r="F775" s="242"/>
      <c r="G775" s="242"/>
      <c r="H775" s="242"/>
      <c r="I775" s="242"/>
      <c r="J775" s="242"/>
      <c r="K775" s="242"/>
      <c r="L775" s="242"/>
      <c r="M775" s="242"/>
      <c r="N775" s="242"/>
      <c r="O775" s="242"/>
      <c r="P775" s="242"/>
      <c r="Q775" s="242"/>
      <c r="R775" s="242"/>
      <c r="S775" s="242"/>
      <c r="T775" s="13"/>
      <c r="U775" s="242"/>
      <c r="V775" s="242"/>
      <c r="W775" s="242"/>
      <c r="X775" s="242"/>
      <c r="Y775" s="242"/>
      <c r="Z775" s="242"/>
    </row>
    <row r="776">
      <c r="A776" s="242"/>
      <c r="B776" s="13"/>
      <c r="C776" s="13"/>
      <c r="D776" s="242"/>
      <c r="E776" s="242"/>
      <c r="F776" s="242"/>
      <c r="G776" s="242"/>
      <c r="H776" s="242"/>
      <c r="I776" s="242"/>
      <c r="J776" s="242"/>
      <c r="K776" s="242"/>
      <c r="L776" s="242"/>
      <c r="M776" s="242"/>
      <c r="N776" s="242"/>
      <c r="O776" s="242"/>
      <c r="P776" s="242"/>
      <c r="Q776" s="242"/>
      <c r="R776" s="242"/>
      <c r="S776" s="242"/>
      <c r="T776" s="13"/>
      <c r="U776" s="242"/>
      <c r="V776" s="242"/>
      <c r="W776" s="242"/>
      <c r="X776" s="242"/>
      <c r="Y776" s="242"/>
      <c r="Z776" s="242"/>
    </row>
    <row r="777">
      <c r="A777" s="242"/>
      <c r="B777" s="13"/>
      <c r="C777" s="13"/>
      <c r="D777" s="242"/>
      <c r="E777" s="242"/>
      <c r="F777" s="242"/>
      <c r="G777" s="242"/>
      <c r="H777" s="242"/>
      <c r="I777" s="242"/>
      <c r="J777" s="242"/>
      <c r="K777" s="242"/>
      <c r="L777" s="242"/>
      <c r="M777" s="242"/>
      <c r="N777" s="242"/>
      <c r="O777" s="242"/>
      <c r="P777" s="242"/>
      <c r="Q777" s="242"/>
      <c r="R777" s="242"/>
      <c r="S777" s="242"/>
      <c r="T777" s="13"/>
      <c r="U777" s="242"/>
      <c r="V777" s="242"/>
      <c r="W777" s="242"/>
      <c r="X777" s="242"/>
      <c r="Y777" s="242"/>
      <c r="Z777" s="242"/>
    </row>
    <row r="778">
      <c r="A778" s="242"/>
      <c r="B778" s="13"/>
      <c r="C778" s="13"/>
      <c r="D778" s="242"/>
      <c r="E778" s="242"/>
      <c r="F778" s="242"/>
      <c r="G778" s="242"/>
      <c r="H778" s="242"/>
      <c r="I778" s="242"/>
      <c r="J778" s="242"/>
      <c r="K778" s="242"/>
      <c r="L778" s="242"/>
      <c r="M778" s="242"/>
      <c r="N778" s="242"/>
      <c r="O778" s="242"/>
      <c r="P778" s="242"/>
      <c r="Q778" s="242"/>
      <c r="R778" s="242"/>
      <c r="S778" s="242"/>
      <c r="T778" s="13"/>
      <c r="U778" s="242"/>
      <c r="V778" s="242"/>
      <c r="W778" s="242"/>
      <c r="X778" s="242"/>
      <c r="Y778" s="242"/>
      <c r="Z778" s="242"/>
    </row>
    <row r="779">
      <c r="A779" s="242"/>
      <c r="B779" s="13"/>
      <c r="C779" s="13"/>
      <c r="D779" s="242"/>
      <c r="E779" s="242"/>
      <c r="F779" s="242"/>
      <c r="G779" s="242"/>
      <c r="H779" s="242"/>
      <c r="I779" s="242"/>
      <c r="J779" s="242"/>
      <c r="K779" s="242"/>
      <c r="L779" s="242"/>
      <c r="M779" s="242"/>
      <c r="N779" s="242"/>
      <c r="O779" s="242"/>
      <c r="P779" s="242"/>
      <c r="Q779" s="242"/>
      <c r="R779" s="242"/>
      <c r="S779" s="242"/>
      <c r="T779" s="13"/>
      <c r="U779" s="242"/>
      <c r="V779" s="242"/>
      <c r="W779" s="242"/>
      <c r="X779" s="242"/>
      <c r="Y779" s="242"/>
      <c r="Z779" s="242"/>
    </row>
    <row r="780">
      <c r="A780" s="242"/>
      <c r="B780" s="13"/>
      <c r="C780" s="13"/>
      <c r="D780" s="242"/>
      <c r="E780" s="242"/>
      <c r="F780" s="242"/>
      <c r="G780" s="242"/>
      <c r="H780" s="242"/>
      <c r="I780" s="242"/>
      <c r="J780" s="242"/>
      <c r="K780" s="242"/>
      <c r="L780" s="242"/>
      <c r="M780" s="242"/>
      <c r="N780" s="242"/>
      <c r="O780" s="242"/>
      <c r="P780" s="242"/>
      <c r="Q780" s="242"/>
      <c r="R780" s="242"/>
      <c r="S780" s="242"/>
      <c r="T780" s="13"/>
      <c r="U780" s="242"/>
      <c r="V780" s="242"/>
      <c r="W780" s="242"/>
      <c r="X780" s="242"/>
      <c r="Y780" s="242"/>
      <c r="Z780" s="242"/>
    </row>
    <row r="781">
      <c r="A781" s="242"/>
      <c r="B781" s="13"/>
      <c r="C781" s="13"/>
      <c r="D781" s="242"/>
      <c r="E781" s="242"/>
      <c r="F781" s="242"/>
      <c r="G781" s="242"/>
      <c r="H781" s="242"/>
      <c r="I781" s="242"/>
      <c r="J781" s="242"/>
      <c r="K781" s="242"/>
      <c r="L781" s="242"/>
      <c r="M781" s="242"/>
      <c r="N781" s="242"/>
      <c r="O781" s="242"/>
      <c r="P781" s="242"/>
      <c r="Q781" s="242"/>
      <c r="R781" s="242"/>
      <c r="S781" s="242"/>
      <c r="T781" s="13"/>
      <c r="U781" s="242"/>
      <c r="V781" s="242"/>
      <c r="W781" s="242"/>
      <c r="X781" s="242"/>
      <c r="Y781" s="242"/>
      <c r="Z781" s="242"/>
    </row>
    <row r="782">
      <c r="A782" s="242"/>
      <c r="B782" s="13"/>
      <c r="C782" s="13"/>
      <c r="D782" s="242"/>
      <c r="E782" s="242"/>
      <c r="F782" s="242"/>
      <c r="G782" s="242"/>
      <c r="H782" s="242"/>
      <c r="I782" s="242"/>
      <c r="J782" s="242"/>
      <c r="K782" s="242"/>
      <c r="L782" s="242"/>
      <c r="M782" s="242"/>
      <c r="N782" s="242"/>
      <c r="O782" s="242"/>
      <c r="P782" s="242"/>
      <c r="Q782" s="242"/>
      <c r="R782" s="242"/>
      <c r="S782" s="242"/>
      <c r="T782" s="13"/>
      <c r="U782" s="242"/>
      <c r="V782" s="242"/>
      <c r="W782" s="242"/>
      <c r="X782" s="242"/>
      <c r="Y782" s="242"/>
      <c r="Z782" s="242"/>
    </row>
    <row r="783">
      <c r="A783" s="242"/>
      <c r="B783" s="13"/>
      <c r="C783" s="13"/>
      <c r="D783" s="242"/>
      <c r="E783" s="242"/>
      <c r="F783" s="242"/>
      <c r="G783" s="242"/>
      <c r="H783" s="242"/>
      <c r="I783" s="242"/>
      <c r="J783" s="242"/>
      <c r="K783" s="242"/>
      <c r="L783" s="242"/>
      <c r="M783" s="242"/>
      <c r="N783" s="242"/>
      <c r="O783" s="242"/>
      <c r="P783" s="242"/>
      <c r="Q783" s="242"/>
      <c r="R783" s="242"/>
      <c r="S783" s="242"/>
      <c r="T783" s="13"/>
      <c r="U783" s="242"/>
      <c r="V783" s="242"/>
      <c r="W783" s="242"/>
      <c r="X783" s="242"/>
      <c r="Y783" s="242"/>
      <c r="Z783" s="242"/>
    </row>
    <row r="784">
      <c r="A784" s="242"/>
      <c r="B784" s="13"/>
      <c r="C784" s="13"/>
      <c r="D784" s="242"/>
      <c r="E784" s="242"/>
      <c r="F784" s="242"/>
      <c r="G784" s="242"/>
      <c r="H784" s="242"/>
      <c r="I784" s="242"/>
      <c r="J784" s="242"/>
      <c r="K784" s="242"/>
      <c r="L784" s="242"/>
      <c r="M784" s="242"/>
      <c r="N784" s="242"/>
      <c r="O784" s="242"/>
      <c r="P784" s="242"/>
      <c r="Q784" s="242"/>
      <c r="R784" s="242"/>
      <c r="S784" s="242"/>
      <c r="T784" s="13"/>
      <c r="U784" s="242"/>
      <c r="V784" s="242"/>
      <c r="W784" s="242"/>
      <c r="X784" s="242"/>
      <c r="Y784" s="242"/>
      <c r="Z784" s="242"/>
    </row>
    <row r="785">
      <c r="A785" s="242"/>
      <c r="B785" s="13"/>
      <c r="C785" s="13"/>
      <c r="D785" s="242"/>
      <c r="E785" s="242"/>
      <c r="F785" s="242"/>
      <c r="G785" s="242"/>
      <c r="H785" s="242"/>
      <c r="I785" s="242"/>
      <c r="J785" s="242"/>
      <c r="K785" s="242"/>
      <c r="L785" s="242"/>
      <c r="M785" s="242"/>
      <c r="N785" s="242"/>
      <c r="O785" s="242"/>
      <c r="P785" s="242"/>
      <c r="Q785" s="242"/>
      <c r="R785" s="242"/>
      <c r="S785" s="242"/>
      <c r="T785" s="13"/>
      <c r="U785" s="242"/>
      <c r="V785" s="242"/>
      <c r="W785" s="242"/>
      <c r="X785" s="242"/>
      <c r="Y785" s="242"/>
      <c r="Z785" s="242"/>
    </row>
    <row r="786">
      <c r="A786" s="242"/>
      <c r="B786" s="13"/>
      <c r="C786" s="13"/>
      <c r="D786" s="242"/>
      <c r="E786" s="242"/>
      <c r="F786" s="242"/>
      <c r="G786" s="242"/>
      <c r="H786" s="242"/>
      <c r="I786" s="242"/>
      <c r="J786" s="242"/>
      <c r="K786" s="242"/>
      <c r="L786" s="242"/>
      <c r="M786" s="242"/>
      <c r="N786" s="242"/>
      <c r="O786" s="242"/>
      <c r="P786" s="242"/>
      <c r="Q786" s="242"/>
      <c r="R786" s="242"/>
      <c r="S786" s="242"/>
      <c r="T786" s="13"/>
      <c r="U786" s="242"/>
      <c r="V786" s="242"/>
      <c r="W786" s="242"/>
      <c r="X786" s="242"/>
      <c r="Y786" s="242"/>
      <c r="Z786" s="242"/>
    </row>
    <row r="787">
      <c r="A787" s="242"/>
      <c r="B787" s="13"/>
      <c r="C787" s="13"/>
      <c r="D787" s="242"/>
      <c r="E787" s="242"/>
      <c r="F787" s="242"/>
      <c r="G787" s="242"/>
      <c r="H787" s="242"/>
      <c r="I787" s="242"/>
      <c r="J787" s="242"/>
      <c r="K787" s="242"/>
      <c r="L787" s="242"/>
      <c r="M787" s="242"/>
      <c r="N787" s="242"/>
      <c r="O787" s="242"/>
      <c r="P787" s="242"/>
      <c r="Q787" s="242"/>
      <c r="R787" s="242"/>
      <c r="S787" s="242"/>
      <c r="T787" s="13"/>
      <c r="U787" s="242"/>
      <c r="V787" s="242"/>
      <c r="W787" s="242"/>
      <c r="X787" s="242"/>
      <c r="Y787" s="242"/>
      <c r="Z787" s="242"/>
    </row>
    <row r="788">
      <c r="A788" s="242"/>
      <c r="B788" s="13"/>
      <c r="C788" s="13"/>
      <c r="D788" s="242"/>
      <c r="E788" s="242"/>
      <c r="F788" s="242"/>
      <c r="G788" s="242"/>
      <c r="H788" s="242"/>
      <c r="I788" s="242"/>
      <c r="J788" s="242"/>
      <c r="K788" s="242"/>
      <c r="L788" s="242"/>
      <c r="M788" s="242"/>
      <c r="N788" s="242"/>
      <c r="O788" s="242"/>
      <c r="P788" s="242"/>
      <c r="Q788" s="242"/>
      <c r="R788" s="242"/>
      <c r="S788" s="242"/>
      <c r="T788" s="13"/>
      <c r="U788" s="242"/>
      <c r="V788" s="242"/>
      <c r="W788" s="242"/>
      <c r="X788" s="242"/>
      <c r="Y788" s="242"/>
      <c r="Z788" s="242"/>
    </row>
    <row r="789">
      <c r="A789" s="242"/>
      <c r="B789" s="13"/>
      <c r="C789" s="13"/>
      <c r="D789" s="242"/>
      <c r="E789" s="242"/>
      <c r="F789" s="242"/>
      <c r="G789" s="242"/>
      <c r="H789" s="242"/>
      <c r="I789" s="242"/>
      <c r="J789" s="242"/>
      <c r="K789" s="242"/>
      <c r="L789" s="242"/>
      <c r="M789" s="242"/>
      <c r="N789" s="242"/>
      <c r="O789" s="242"/>
      <c r="P789" s="242"/>
      <c r="Q789" s="242"/>
      <c r="R789" s="242"/>
      <c r="S789" s="242"/>
      <c r="T789" s="13"/>
      <c r="U789" s="242"/>
      <c r="V789" s="242"/>
      <c r="W789" s="242"/>
      <c r="X789" s="242"/>
      <c r="Y789" s="242"/>
      <c r="Z789" s="242"/>
    </row>
    <row r="790">
      <c r="A790" s="242"/>
      <c r="B790" s="13"/>
      <c r="C790" s="13"/>
      <c r="D790" s="242"/>
      <c r="E790" s="242"/>
      <c r="F790" s="242"/>
      <c r="G790" s="242"/>
      <c r="H790" s="242"/>
      <c r="I790" s="242"/>
      <c r="J790" s="242"/>
      <c r="K790" s="242"/>
      <c r="L790" s="242"/>
      <c r="M790" s="242"/>
      <c r="N790" s="242"/>
      <c r="O790" s="242"/>
      <c r="P790" s="242"/>
      <c r="Q790" s="242"/>
      <c r="R790" s="242"/>
      <c r="S790" s="242"/>
      <c r="T790" s="13"/>
      <c r="U790" s="242"/>
      <c r="V790" s="242"/>
      <c r="W790" s="242"/>
      <c r="X790" s="242"/>
      <c r="Y790" s="242"/>
      <c r="Z790" s="242"/>
    </row>
    <row r="791">
      <c r="A791" s="242"/>
      <c r="B791" s="13"/>
      <c r="C791" s="13"/>
      <c r="D791" s="242"/>
      <c r="E791" s="242"/>
      <c r="F791" s="242"/>
      <c r="G791" s="242"/>
      <c r="H791" s="242"/>
      <c r="I791" s="242"/>
      <c r="J791" s="242"/>
      <c r="K791" s="242"/>
      <c r="L791" s="242"/>
      <c r="M791" s="242"/>
      <c r="N791" s="242"/>
      <c r="O791" s="242"/>
      <c r="P791" s="242"/>
      <c r="Q791" s="242"/>
      <c r="R791" s="242"/>
      <c r="S791" s="242"/>
      <c r="T791" s="13"/>
      <c r="U791" s="242"/>
      <c r="V791" s="242"/>
      <c r="W791" s="242"/>
      <c r="X791" s="242"/>
      <c r="Y791" s="242"/>
      <c r="Z791" s="242"/>
    </row>
    <row r="792">
      <c r="A792" s="242"/>
      <c r="B792" s="13"/>
      <c r="C792" s="13"/>
      <c r="D792" s="242"/>
      <c r="E792" s="242"/>
      <c r="F792" s="242"/>
      <c r="G792" s="242"/>
      <c r="H792" s="242"/>
      <c r="I792" s="242"/>
      <c r="J792" s="242"/>
      <c r="K792" s="242"/>
      <c r="L792" s="242"/>
      <c r="M792" s="242"/>
      <c r="N792" s="242"/>
      <c r="O792" s="242"/>
      <c r="P792" s="242"/>
      <c r="Q792" s="242"/>
      <c r="R792" s="242"/>
      <c r="S792" s="242"/>
      <c r="T792" s="13"/>
      <c r="U792" s="242"/>
      <c r="V792" s="242"/>
      <c r="W792" s="242"/>
      <c r="X792" s="242"/>
      <c r="Y792" s="242"/>
      <c r="Z792" s="242"/>
    </row>
    <row r="793">
      <c r="A793" s="242"/>
      <c r="B793" s="13"/>
      <c r="C793" s="13"/>
      <c r="D793" s="242"/>
      <c r="E793" s="242"/>
      <c r="F793" s="242"/>
      <c r="G793" s="242"/>
      <c r="H793" s="242"/>
      <c r="I793" s="242"/>
      <c r="J793" s="242"/>
      <c r="K793" s="242"/>
      <c r="L793" s="242"/>
      <c r="M793" s="242"/>
      <c r="N793" s="242"/>
      <c r="O793" s="242"/>
      <c r="P793" s="242"/>
      <c r="Q793" s="242"/>
      <c r="R793" s="242"/>
      <c r="S793" s="242"/>
      <c r="T793" s="13"/>
      <c r="U793" s="242"/>
      <c r="V793" s="242"/>
      <c r="W793" s="242"/>
      <c r="X793" s="242"/>
      <c r="Y793" s="242"/>
      <c r="Z793" s="242"/>
    </row>
    <row r="794">
      <c r="A794" s="242"/>
      <c r="B794" s="13"/>
      <c r="C794" s="13"/>
      <c r="D794" s="242"/>
      <c r="E794" s="242"/>
      <c r="F794" s="242"/>
      <c r="G794" s="242"/>
      <c r="H794" s="242"/>
      <c r="I794" s="242"/>
      <c r="J794" s="242"/>
      <c r="K794" s="242"/>
      <c r="L794" s="242"/>
      <c r="M794" s="242"/>
      <c r="N794" s="242"/>
      <c r="O794" s="242"/>
      <c r="P794" s="242"/>
      <c r="Q794" s="242"/>
      <c r="R794" s="242"/>
      <c r="S794" s="242"/>
      <c r="T794" s="13"/>
      <c r="U794" s="242"/>
      <c r="V794" s="242"/>
      <c r="W794" s="242"/>
      <c r="X794" s="242"/>
      <c r="Y794" s="242"/>
      <c r="Z794" s="242"/>
    </row>
    <row r="795">
      <c r="A795" s="242"/>
      <c r="B795" s="13"/>
      <c r="C795" s="13"/>
      <c r="D795" s="242"/>
      <c r="E795" s="242"/>
      <c r="F795" s="242"/>
      <c r="G795" s="242"/>
      <c r="H795" s="242"/>
      <c r="I795" s="242"/>
      <c r="J795" s="242"/>
      <c r="K795" s="242"/>
      <c r="L795" s="242"/>
      <c r="M795" s="242"/>
      <c r="N795" s="242"/>
      <c r="O795" s="242"/>
      <c r="P795" s="242"/>
      <c r="Q795" s="242"/>
      <c r="R795" s="242"/>
      <c r="S795" s="242"/>
      <c r="T795" s="13"/>
      <c r="U795" s="242"/>
      <c r="V795" s="242"/>
      <c r="W795" s="242"/>
      <c r="X795" s="242"/>
      <c r="Y795" s="242"/>
      <c r="Z795" s="242"/>
    </row>
    <row r="796">
      <c r="A796" s="242"/>
      <c r="B796" s="13"/>
      <c r="C796" s="13"/>
      <c r="D796" s="242"/>
      <c r="E796" s="242"/>
      <c r="F796" s="242"/>
      <c r="G796" s="242"/>
      <c r="H796" s="242"/>
      <c r="I796" s="242"/>
      <c r="J796" s="242"/>
      <c r="K796" s="242"/>
      <c r="L796" s="242"/>
      <c r="M796" s="242"/>
      <c r="N796" s="242"/>
      <c r="O796" s="242"/>
      <c r="P796" s="242"/>
      <c r="Q796" s="242"/>
      <c r="R796" s="242"/>
      <c r="S796" s="242"/>
      <c r="T796" s="13"/>
      <c r="U796" s="242"/>
      <c r="V796" s="242"/>
      <c r="W796" s="242"/>
      <c r="X796" s="242"/>
      <c r="Y796" s="242"/>
      <c r="Z796" s="242"/>
    </row>
    <row r="797">
      <c r="A797" s="242"/>
      <c r="B797" s="13"/>
      <c r="C797" s="13"/>
      <c r="D797" s="242"/>
      <c r="E797" s="242"/>
      <c r="F797" s="242"/>
      <c r="G797" s="242"/>
      <c r="H797" s="242"/>
      <c r="I797" s="242"/>
      <c r="J797" s="242"/>
      <c r="K797" s="242"/>
      <c r="L797" s="242"/>
      <c r="M797" s="242"/>
      <c r="N797" s="242"/>
      <c r="O797" s="242"/>
      <c r="P797" s="242"/>
      <c r="Q797" s="242"/>
      <c r="R797" s="242"/>
      <c r="S797" s="242"/>
      <c r="T797" s="13"/>
      <c r="U797" s="242"/>
      <c r="V797" s="242"/>
      <c r="W797" s="242"/>
      <c r="X797" s="242"/>
      <c r="Y797" s="242"/>
      <c r="Z797" s="242"/>
    </row>
    <row r="798">
      <c r="A798" s="242"/>
      <c r="B798" s="13"/>
      <c r="C798" s="13"/>
      <c r="D798" s="242"/>
      <c r="E798" s="242"/>
      <c r="F798" s="242"/>
      <c r="G798" s="242"/>
      <c r="H798" s="242"/>
      <c r="I798" s="242"/>
      <c r="J798" s="242"/>
      <c r="K798" s="242"/>
      <c r="L798" s="242"/>
      <c r="M798" s="242"/>
      <c r="N798" s="242"/>
      <c r="O798" s="242"/>
      <c r="P798" s="242"/>
      <c r="Q798" s="242"/>
      <c r="R798" s="242"/>
      <c r="S798" s="242"/>
      <c r="T798" s="13"/>
      <c r="U798" s="242"/>
      <c r="V798" s="242"/>
      <c r="W798" s="242"/>
      <c r="X798" s="242"/>
      <c r="Y798" s="242"/>
      <c r="Z798" s="242"/>
    </row>
    <row r="799">
      <c r="A799" s="242"/>
      <c r="B799" s="13"/>
      <c r="C799" s="13"/>
      <c r="D799" s="242"/>
      <c r="E799" s="242"/>
      <c r="F799" s="242"/>
      <c r="G799" s="242"/>
      <c r="H799" s="242"/>
      <c r="I799" s="242"/>
      <c r="J799" s="242"/>
      <c r="K799" s="242"/>
      <c r="L799" s="242"/>
      <c r="M799" s="242"/>
      <c r="N799" s="242"/>
      <c r="O799" s="242"/>
      <c r="P799" s="242"/>
      <c r="Q799" s="242"/>
      <c r="R799" s="242"/>
      <c r="S799" s="242"/>
      <c r="T799" s="13"/>
      <c r="U799" s="242"/>
      <c r="V799" s="242"/>
      <c r="W799" s="242"/>
      <c r="X799" s="242"/>
      <c r="Y799" s="242"/>
      <c r="Z799" s="242"/>
    </row>
    <row r="800">
      <c r="A800" s="242"/>
      <c r="B800" s="13"/>
      <c r="C800" s="13"/>
      <c r="D800" s="242"/>
      <c r="E800" s="242"/>
      <c r="F800" s="242"/>
      <c r="G800" s="242"/>
      <c r="H800" s="242"/>
      <c r="I800" s="242"/>
      <c r="J800" s="242"/>
      <c r="K800" s="242"/>
      <c r="L800" s="242"/>
      <c r="M800" s="242"/>
      <c r="N800" s="242"/>
      <c r="O800" s="242"/>
      <c r="P800" s="242"/>
      <c r="Q800" s="242"/>
      <c r="R800" s="242"/>
      <c r="S800" s="242"/>
      <c r="T800" s="13"/>
      <c r="U800" s="242"/>
      <c r="V800" s="242"/>
      <c r="W800" s="242"/>
      <c r="X800" s="242"/>
      <c r="Y800" s="242"/>
      <c r="Z800" s="242"/>
    </row>
    <row r="801">
      <c r="A801" s="242"/>
      <c r="B801" s="13"/>
      <c r="C801" s="13"/>
      <c r="D801" s="242"/>
      <c r="E801" s="242"/>
      <c r="F801" s="242"/>
      <c r="G801" s="242"/>
      <c r="H801" s="242"/>
      <c r="I801" s="242"/>
      <c r="J801" s="242"/>
      <c r="K801" s="242"/>
      <c r="L801" s="242"/>
      <c r="M801" s="242"/>
      <c r="N801" s="242"/>
      <c r="O801" s="242"/>
      <c r="P801" s="242"/>
      <c r="Q801" s="242"/>
      <c r="R801" s="242"/>
      <c r="S801" s="242"/>
      <c r="T801" s="13"/>
      <c r="U801" s="242"/>
      <c r="V801" s="242"/>
      <c r="W801" s="242"/>
      <c r="X801" s="242"/>
      <c r="Y801" s="242"/>
      <c r="Z801" s="242"/>
    </row>
    <row r="802">
      <c r="A802" s="242"/>
      <c r="B802" s="13"/>
      <c r="C802" s="13"/>
      <c r="D802" s="242"/>
      <c r="E802" s="242"/>
      <c r="F802" s="242"/>
      <c r="G802" s="242"/>
      <c r="H802" s="242"/>
      <c r="I802" s="242"/>
      <c r="J802" s="242"/>
      <c r="K802" s="242"/>
      <c r="L802" s="242"/>
      <c r="M802" s="242"/>
      <c r="N802" s="242"/>
      <c r="O802" s="242"/>
      <c r="P802" s="242"/>
      <c r="Q802" s="242"/>
      <c r="R802" s="242"/>
      <c r="S802" s="242"/>
      <c r="T802" s="13"/>
      <c r="U802" s="242"/>
      <c r="V802" s="242"/>
      <c r="W802" s="242"/>
      <c r="X802" s="242"/>
      <c r="Y802" s="242"/>
      <c r="Z802" s="242"/>
    </row>
    <row r="803">
      <c r="A803" s="242"/>
      <c r="B803" s="13"/>
      <c r="C803" s="13"/>
      <c r="D803" s="242"/>
      <c r="E803" s="242"/>
      <c r="F803" s="242"/>
      <c r="G803" s="242"/>
      <c r="H803" s="242"/>
      <c r="I803" s="242"/>
      <c r="J803" s="242"/>
      <c r="K803" s="242"/>
      <c r="L803" s="242"/>
      <c r="M803" s="242"/>
      <c r="N803" s="242"/>
      <c r="O803" s="242"/>
      <c r="P803" s="242"/>
      <c r="Q803" s="242"/>
      <c r="R803" s="242"/>
      <c r="S803" s="242"/>
      <c r="T803" s="13"/>
      <c r="U803" s="242"/>
      <c r="V803" s="242"/>
      <c r="W803" s="242"/>
      <c r="X803" s="242"/>
      <c r="Y803" s="242"/>
      <c r="Z803" s="242"/>
    </row>
    <row r="804">
      <c r="A804" s="242"/>
      <c r="B804" s="13"/>
      <c r="C804" s="13"/>
      <c r="D804" s="242"/>
      <c r="E804" s="242"/>
      <c r="F804" s="242"/>
      <c r="G804" s="242"/>
      <c r="H804" s="242"/>
      <c r="I804" s="242"/>
      <c r="J804" s="242"/>
      <c r="K804" s="242"/>
      <c r="L804" s="242"/>
      <c r="M804" s="242"/>
      <c r="N804" s="242"/>
      <c r="O804" s="242"/>
      <c r="P804" s="242"/>
      <c r="Q804" s="242"/>
      <c r="R804" s="242"/>
      <c r="S804" s="242"/>
      <c r="T804" s="13"/>
      <c r="U804" s="242"/>
      <c r="V804" s="242"/>
      <c r="W804" s="242"/>
      <c r="X804" s="242"/>
      <c r="Y804" s="242"/>
      <c r="Z804" s="242"/>
    </row>
    <row r="805">
      <c r="A805" s="242"/>
      <c r="B805" s="13"/>
      <c r="C805" s="13"/>
      <c r="D805" s="242"/>
      <c r="E805" s="242"/>
      <c r="F805" s="242"/>
      <c r="G805" s="242"/>
      <c r="H805" s="242"/>
      <c r="I805" s="242"/>
      <c r="J805" s="242"/>
      <c r="K805" s="242"/>
      <c r="L805" s="242"/>
      <c r="M805" s="242"/>
      <c r="N805" s="242"/>
      <c r="O805" s="242"/>
      <c r="P805" s="242"/>
      <c r="Q805" s="242"/>
      <c r="R805" s="242"/>
      <c r="S805" s="242"/>
      <c r="T805" s="13"/>
      <c r="U805" s="242"/>
      <c r="V805" s="242"/>
      <c r="W805" s="242"/>
      <c r="X805" s="242"/>
      <c r="Y805" s="242"/>
      <c r="Z805" s="242"/>
    </row>
    <row r="806">
      <c r="A806" s="242"/>
      <c r="B806" s="13"/>
      <c r="C806" s="13"/>
      <c r="D806" s="242"/>
      <c r="E806" s="242"/>
      <c r="F806" s="242"/>
      <c r="G806" s="242"/>
      <c r="H806" s="242"/>
      <c r="I806" s="242"/>
      <c r="J806" s="242"/>
      <c r="K806" s="242"/>
      <c r="L806" s="242"/>
      <c r="M806" s="242"/>
      <c r="N806" s="242"/>
      <c r="O806" s="242"/>
      <c r="P806" s="242"/>
      <c r="Q806" s="242"/>
      <c r="R806" s="242"/>
      <c r="S806" s="242"/>
      <c r="T806" s="13"/>
      <c r="U806" s="242"/>
      <c r="V806" s="242"/>
      <c r="W806" s="242"/>
      <c r="X806" s="242"/>
      <c r="Y806" s="242"/>
      <c r="Z806" s="242"/>
    </row>
    <row r="807">
      <c r="A807" s="242"/>
      <c r="B807" s="13"/>
      <c r="C807" s="13"/>
      <c r="D807" s="242"/>
      <c r="E807" s="242"/>
      <c r="F807" s="242"/>
      <c r="G807" s="242"/>
      <c r="H807" s="242"/>
      <c r="I807" s="242"/>
      <c r="J807" s="242"/>
      <c r="K807" s="242"/>
      <c r="L807" s="242"/>
      <c r="M807" s="242"/>
      <c r="N807" s="242"/>
      <c r="O807" s="242"/>
      <c r="P807" s="242"/>
      <c r="Q807" s="242"/>
      <c r="R807" s="242"/>
      <c r="S807" s="242"/>
      <c r="T807" s="13"/>
      <c r="U807" s="242"/>
      <c r="V807" s="242"/>
      <c r="W807" s="242"/>
      <c r="X807" s="242"/>
      <c r="Y807" s="242"/>
      <c r="Z807" s="242"/>
    </row>
    <row r="808">
      <c r="A808" s="242"/>
      <c r="B808" s="13"/>
      <c r="C808" s="13"/>
      <c r="D808" s="242"/>
      <c r="E808" s="242"/>
      <c r="F808" s="242"/>
      <c r="G808" s="242"/>
      <c r="H808" s="242"/>
      <c r="I808" s="242"/>
      <c r="J808" s="242"/>
      <c r="K808" s="242"/>
      <c r="L808" s="242"/>
      <c r="M808" s="242"/>
      <c r="N808" s="242"/>
      <c r="O808" s="242"/>
      <c r="P808" s="242"/>
      <c r="Q808" s="242"/>
      <c r="R808" s="242"/>
      <c r="S808" s="242"/>
      <c r="T808" s="13"/>
      <c r="U808" s="242"/>
      <c r="V808" s="242"/>
      <c r="W808" s="242"/>
      <c r="X808" s="242"/>
      <c r="Y808" s="242"/>
      <c r="Z808" s="242"/>
    </row>
    <row r="809">
      <c r="A809" s="242"/>
      <c r="B809" s="13"/>
      <c r="C809" s="13"/>
      <c r="D809" s="242"/>
      <c r="E809" s="242"/>
      <c r="F809" s="242"/>
      <c r="G809" s="242"/>
      <c r="H809" s="242"/>
      <c r="I809" s="242"/>
      <c r="J809" s="242"/>
      <c r="K809" s="242"/>
      <c r="L809" s="242"/>
      <c r="M809" s="242"/>
      <c r="N809" s="242"/>
      <c r="O809" s="242"/>
      <c r="P809" s="242"/>
      <c r="Q809" s="242"/>
      <c r="R809" s="242"/>
      <c r="S809" s="242"/>
      <c r="T809" s="13"/>
      <c r="U809" s="242"/>
      <c r="V809" s="242"/>
      <c r="W809" s="242"/>
      <c r="X809" s="242"/>
      <c r="Y809" s="242"/>
      <c r="Z809" s="242"/>
    </row>
    <row r="810">
      <c r="A810" s="242"/>
      <c r="B810" s="13"/>
      <c r="C810" s="13"/>
      <c r="D810" s="242"/>
      <c r="E810" s="242"/>
      <c r="F810" s="242"/>
      <c r="G810" s="242"/>
      <c r="H810" s="242"/>
      <c r="I810" s="242"/>
      <c r="J810" s="242"/>
      <c r="K810" s="242"/>
      <c r="L810" s="242"/>
      <c r="M810" s="242"/>
      <c r="N810" s="242"/>
      <c r="O810" s="242"/>
      <c r="P810" s="242"/>
      <c r="Q810" s="242"/>
      <c r="R810" s="242"/>
      <c r="S810" s="242"/>
      <c r="T810" s="13"/>
      <c r="U810" s="242"/>
      <c r="V810" s="242"/>
      <c r="W810" s="242"/>
      <c r="X810" s="242"/>
      <c r="Y810" s="242"/>
      <c r="Z810" s="242"/>
    </row>
    <row r="811">
      <c r="A811" s="242"/>
      <c r="B811" s="13"/>
      <c r="C811" s="13"/>
      <c r="D811" s="242"/>
      <c r="E811" s="242"/>
      <c r="F811" s="242"/>
      <c r="G811" s="242"/>
      <c r="H811" s="242"/>
      <c r="I811" s="242"/>
      <c r="J811" s="242"/>
      <c r="K811" s="242"/>
      <c r="L811" s="242"/>
      <c r="M811" s="242"/>
      <c r="N811" s="242"/>
      <c r="O811" s="242"/>
      <c r="P811" s="242"/>
      <c r="Q811" s="242"/>
      <c r="R811" s="242"/>
      <c r="S811" s="242"/>
      <c r="T811" s="13"/>
      <c r="U811" s="242"/>
      <c r="V811" s="242"/>
      <c r="W811" s="242"/>
      <c r="X811" s="242"/>
      <c r="Y811" s="242"/>
      <c r="Z811" s="242"/>
    </row>
    <row r="812">
      <c r="A812" s="242"/>
      <c r="B812" s="13"/>
      <c r="C812" s="13"/>
      <c r="D812" s="242"/>
      <c r="E812" s="242"/>
      <c r="F812" s="242"/>
      <c r="G812" s="242"/>
      <c r="H812" s="242"/>
      <c r="I812" s="242"/>
      <c r="J812" s="242"/>
      <c r="K812" s="242"/>
      <c r="L812" s="242"/>
      <c r="M812" s="242"/>
      <c r="N812" s="242"/>
      <c r="O812" s="242"/>
      <c r="P812" s="242"/>
      <c r="Q812" s="242"/>
      <c r="R812" s="242"/>
      <c r="S812" s="242"/>
      <c r="T812" s="13"/>
      <c r="U812" s="242"/>
      <c r="V812" s="242"/>
      <c r="W812" s="242"/>
      <c r="X812" s="242"/>
      <c r="Y812" s="242"/>
      <c r="Z812" s="242"/>
    </row>
    <row r="813">
      <c r="A813" s="242"/>
      <c r="B813" s="13"/>
      <c r="C813" s="13"/>
      <c r="D813" s="242"/>
      <c r="E813" s="242"/>
      <c r="F813" s="242"/>
      <c r="G813" s="242"/>
      <c r="H813" s="242"/>
      <c r="I813" s="242"/>
      <c r="J813" s="242"/>
      <c r="K813" s="242"/>
      <c r="L813" s="242"/>
      <c r="M813" s="242"/>
      <c r="N813" s="242"/>
      <c r="O813" s="242"/>
      <c r="P813" s="242"/>
      <c r="Q813" s="242"/>
      <c r="R813" s="242"/>
      <c r="S813" s="242"/>
      <c r="T813" s="13"/>
      <c r="U813" s="242"/>
      <c r="V813" s="242"/>
      <c r="W813" s="242"/>
      <c r="X813" s="242"/>
      <c r="Y813" s="242"/>
      <c r="Z813" s="242"/>
    </row>
    <row r="814">
      <c r="A814" s="242"/>
      <c r="B814" s="13"/>
      <c r="C814" s="13"/>
      <c r="D814" s="242"/>
      <c r="E814" s="242"/>
      <c r="F814" s="242"/>
      <c r="G814" s="242"/>
      <c r="H814" s="242"/>
      <c r="I814" s="242"/>
      <c r="J814" s="242"/>
      <c r="K814" s="242"/>
      <c r="L814" s="242"/>
      <c r="M814" s="242"/>
      <c r="N814" s="242"/>
      <c r="O814" s="242"/>
      <c r="P814" s="242"/>
      <c r="Q814" s="242"/>
      <c r="R814" s="242"/>
      <c r="S814" s="242"/>
      <c r="T814" s="13"/>
      <c r="U814" s="242"/>
      <c r="V814" s="242"/>
      <c r="W814" s="242"/>
      <c r="X814" s="242"/>
      <c r="Y814" s="242"/>
      <c r="Z814" s="242"/>
    </row>
    <row r="815">
      <c r="A815" s="242"/>
      <c r="B815" s="13"/>
      <c r="C815" s="13"/>
      <c r="D815" s="242"/>
      <c r="E815" s="242"/>
      <c r="F815" s="242"/>
      <c r="G815" s="242"/>
      <c r="H815" s="242"/>
      <c r="I815" s="242"/>
      <c r="J815" s="242"/>
      <c r="K815" s="242"/>
      <c r="L815" s="242"/>
      <c r="M815" s="242"/>
      <c r="N815" s="242"/>
      <c r="O815" s="242"/>
      <c r="P815" s="242"/>
      <c r="Q815" s="242"/>
      <c r="R815" s="242"/>
      <c r="S815" s="242"/>
      <c r="T815" s="13"/>
      <c r="U815" s="242"/>
      <c r="V815" s="242"/>
      <c r="W815" s="242"/>
      <c r="X815" s="242"/>
      <c r="Y815" s="242"/>
      <c r="Z815" s="242"/>
    </row>
    <row r="816">
      <c r="A816" s="242"/>
      <c r="B816" s="13"/>
      <c r="C816" s="13"/>
      <c r="D816" s="242"/>
      <c r="E816" s="242"/>
      <c r="F816" s="242"/>
      <c r="G816" s="242"/>
      <c r="H816" s="242"/>
      <c r="I816" s="242"/>
      <c r="J816" s="242"/>
      <c r="K816" s="242"/>
      <c r="L816" s="242"/>
      <c r="M816" s="242"/>
      <c r="N816" s="242"/>
      <c r="O816" s="242"/>
      <c r="P816" s="242"/>
      <c r="Q816" s="242"/>
      <c r="R816" s="242"/>
      <c r="S816" s="242"/>
      <c r="T816" s="13"/>
      <c r="U816" s="242"/>
      <c r="V816" s="242"/>
      <c r="W816" s="242"/>
      <c r="X816" s="242"/>
      <c r="Y816" s="242"/>
      <c r="Z816" s="242"/>
    </row>
    <row r="817">
      <c r="A817" s="242"/>
      <c r="B817" s="13"/>
      <c r="C817" s="13"/>
      <c r="D817" s="242"/>
      <c r="E817" s="242"/>
      <c r="F817" s="242"/>
      <c r="G817" s="242"/>
      <c r="H817" s="242"/>
      <c r="I817" s="242"/>
      <c r="J817" s="242"/>
      <c r="K817" s="242"/>
      <c r="L817" s="242"/>
      <c r="M817" s="242"/>
      <c r="N817" s="242"/>
      <c r="O817" s="242"/>
      <c r="P817" s="242"/>
      <c r="Q817" s="242"/>
      <c r="R817" s="242"/>
      <c r="S817" s="242"/>
      <c r="T817" s="13"/>
      <c r="U817" s="242"/>
      <c r="V817" s="242"/>
      <c r="W817" s="242"/>
      <c r="X817" s="242"/>
      <c r="Y817" s="242"/>
      <c r="Z817" s="242"/>
    </row>
    <row r="818">
      <c r="A818" s="242"/>
      <c r="B818" s="13"/>
      <c r="C818" s="13"/>
      <c r="D818" s="242"/>
      <c r="E818" s="242"/>
      <c r="F818" s="242"/>
      <c r="G818" s="242"/>
      <c r="H818" s="242"/>
      <c r="I818" s="242"/>
      <c r="J818" s="242"/>
      <c r="K818" s="242"/>
      <c r="L818" s="242"/>
      <c r="M818" s="242"/>
      <c r="N818" s="242"/>
      <c r="O818" s="242"/>
      <c r="P818" s="242"/>
      <c r="Q818" s="242"/>
      <c r="R818" s="242"/>
      <c r="S818" s="242"/>
      <c r="T818" s="13"/>
      <c r="U818" s="242"/>
      <c r="V818" s="242"/>
      <c r="W818" s="242"/>
      <c r="X818" s="242"/>
      <c r="Y818" s="242"/>
      <c r="Z818" s="242"/>
    </row>
    <row r="819">
      <c r="A819" s="242"/>
      <c r="B819" s="13"/>
      <c r="C819" s="13"/>
      <c r="D819" s="242"/>
      <c r="E819" s="242"/>
      <c r="F819" s="242"/>
      <c r="G819" s="242"/>
      <c r="H819" s="242"/>
      <c r="I819" s="242"/>
      <c r="J819" s="242"/>
      <c r="K819" s="242"/>
      <c r="L819" s="242"/>
      <c r="M819" s="242"/>
      <c r="N819" s="242"/>
      <c r="O819" s="242"/>
      <c r="P819" s="242"/>
      <c r="Q819" s="242"/>
      <c r="R819" s="242"/>
      <c r="S819" s="242"/>
      <c r="T819" s="13"/>
      <c r="U819" s="242"/>
      <c r="V819" s="242"/>
      <c r="W819" s="242"/>
      <c r="X819" s="242"/>
      <c r="Y819" s="242"/>
      <c r="Z819" s="242"/>
    </row>
    <row r="820">
      <c r="A820" s="242"/>
      <c r="B820" s="13"/>
      <c r="C820" s="13"/>
      <c r="D820" s="242"/>
      <c r="E820" s="242"/>
      <c r="F820" s="242"/>
      <c r="G820" s="242"/>
      <c r="H820" s="242"/>
      <c r="I820" s="242"/>
      <c r="J820" s="242"/>
      <c r="K820" s="242"/>
      <c r="L820" s="242"/>
      <c r="M820" s="242"/>
      <c r="N820" s="242"/>
      <c r="O820" s="242"/>
      <c r="P820" s="242"/>
      <c r="Q820" s="242"/>
      <c r="R820" s="242"/>
      <c r="S820" s="242"/>
      <c r="T820" s="13"/>
      <c r="U820" s="242"/>
      <c r="V820" s="242"/>
      <c r="W820" s="242"/>
      <c r="X820" s="242"/>
      <c r="Y820" s="242"/>
      <c r="Z820" s="242"/>
    </row>
    <row r="821">
      <c r="A821" s="242"/>
      <c r="B821" s="13"/>
      <c r="C821" s="13"/>
      <c r="D821" s="242"/>
      <c r="E821" s="242"/>
      <c r="F821" s="242"/>
      <c r="G821" s="242"/>
      <c r="H821" s="242"/>
      <c r="I821" s="242"/>
      <c r="J821" s="242"/>
      <c r="K821" s="242"/>
      <c r="L821" s="242"/>
      <c r="M821" s="242"/>
      <c r="N821" s="242"/>
      <c r="O821" s="242"/>
      <c r="P821" s="242"/>
      <c r="Q821" s="242"/>
      <c r="R821" s="242"/>
      <c r="S821" s="242"/>
      <c r="T821" s="13"/>
      <c r="U821" s="242"/>
      <c r="V821" s="242"/>
      <c r="W821" s="242"/>
      <c r="X821" s="242"/>
      <c r="Y821" s="242"/>
      <c r="Z821" s="242"/>
    </row>
    <row r="822">
      <c r="A822" s="242"/>
      <c r="B822" s="13"/>
      <c r="C822" s="13"/>
      <c r="D822" s="242"/>
      <c r="E822" s="242"/>
      <c r="F822" s="242"/>
      <c r="G822" s="242"/>
      <c r="H822" s="242"/>
      <c r="I822" s="242"/>
      <c r="J822" s="242"/>
      <c r="K822" s="242"/>
      <c r="L822" s="242"/>
      <c r="M822" s="242"/>
      <c r="N822" s="242"/>
      <c r="O822" s="242"/>
      <c r="P822" s="242"/>
      <c r="Q822" s="242"/>
      <c r="R822" s="242"/>
      <c r="S822" s="242"/>
      <c r="T822" s="13"/>
      <c r="U822" s="242"/>
      <c r="V822" s="242"/>
      <c r="W822" s="242"/>
      <c r="X822" s="242"/>
      <c r="Y822" s="242"/>
      <c r="Z822" s="242"/>
    </row>
    <row r="823">
      <c r="A823" s="242"/>
      <c r="B823" s="13"/>
      <c r="C823" s="13"/>
      <c r="D823" s="242"/>
      <c r="E823" s="242"/>
      <c r="F823" s="242"/>
      <c r="G823" s="242"/>
      <c r="H823" s="242"/>
      <c r="I823" s="242"/>
      <c r="J823" s="242"/>
      <c r="K823" s="242"/>
      <c r="L823" s="242"/>
      <c r="M823" s="242"/>
      <c r="N823" s="242"/>
      <c r="O823" s="242"/>
      <c r="P823" s="242"/>
      <c r="Q823" s="242"/>
      <c r="R823" s="242"/>
      <c r="S823" s="242"/>
      <c r="T823" s="13"/>
      <c r="U823" s="242"/>
      <c r="V823" s="242"/>
      <c r="W823" s="242"/>
      <c r="X823" s="242"/>
      <c r="Y823" s="242"/>
      <c r="Z823" s="242"/>
    </row>
    <row r="824">
      <c r="A824" s="242"/>
      <c r="B824" s="13"/>
      <c r="C824" s="13"/>
      <c r="D824" s="242"/>
      <c r="E824" s="242"/>
      <c r="F824" s="242"/>
      <c r="G824" s="242"/>
      <c r="H824" s="242"/>
      <c r="I824" s="242"/>
      <c r="J824" s="242"/>
      <c r="K824" s="242"/>
      <c r="L824" s="242"/>
      <c r="M824" s="242"/>
      <c r="N824" s="242"/>
      <c r="O824" s="242"/>
      <c r="P824" s="242"/>
      <c r="Q824" s="242"/>
      <c r="R824" s="242"/>
      <c r="S824" s="242"/>
      <c r="T824" s="13"/>
      <c r="U824" s="242"/>
      <c r="V824" s="242"/>
      <c r="W824" s="242"/>
      <c r="X824" s="242"/>
      <c r="Y824" s="242"/>
      <c r="Z824" s="242"/>
    </row>
    <row r="825">
      <c r="A825" s="242"/>
      <c r="B825" s="13"/>
      <c r="C825" s="13"/>
      <c r="D825" s="242"/>
      <c r="E825" s="242"/>
      <c r="F825" s="242"/>
      <c r="G825" s="242"/>
      <c r="H825" s="242"/>
      <c r="I825" s="242"/>
      <c r="J825" s="242"/>
      <c r="K825" s="242"/>
      <c r="L825" s="242"/>
      <c r="M825" s="242"/>
      <c r="N825" s="242"/>
      <c r="O825" s="242"/>
      <c r="P825" s="242"/>
      <c r="Q825" s="242"/>
      <c r="R825" s="242"/>
      <c r="S825" s="242"/>
      <c r="T825" s="13"/>
      <c r="U825" s="242"/>
      <c r="V825" s="242"/>
      <c r="W825" s="242"/>
      <c r="X825" s="242"/>
      <c r="Y825" s="242"/>
      <c r="Z825" s="242"/>
    </row>
    <row r="826">
      <c r="A826" s="242"/>
      <c r="B826" s="13"/>
      <c r="C826" s="13"/>
      <c r="D826" s="242"/>
      <c r="E826" s="242"/>
      <c r="F826" s="242"/>
      <c r="G826" s="242"/>
      <c r="H826" s="242"/>
      <c r="I826" s="242"/>
      <c r="J826" s="242"/>
      <c r="K826" s="242"/>
      <c r="L826" s="242"/>
      <c r="M826" s="242"/>
      <c r="N826" s="242"/>
      <c r="O826" s="242"/>
      <c r="P826" s="242"/>
      <c r="Q826" s="242"/>
      <c r="R826" s="242"/>
      <c r="S826" s="242"/>
      <c r="T826" s="13"/>
      <c r="U826" s="242"/>
      <c r="V826" s="242"/>
      <c r="W826" s="242"/>
      <c r="X826" s="242"/>
      <c r="Y826" s="242"/>
      <c r="Z826" s="242"/>
    </row>
    <row r="827">
      <c r="A827" s="242"/>
      <c r="B827" s="13"/>
      <c r="C827" s="13"/>
      <c r="D827" s="242"/>
      <c r="E827" s="242"/>
      <c r="F827" s="242"/>
      <c r="G827" s="242"/>
      <c r="H827" s="242"/>
      <c r="I827" s="242"/>
      <c r="J827" s="242"/>
      <c r="K827" s="242"/>
      <c r="L827" s="242"/>
      <c r="M827" s="242"/>
      <c r="N827" s="242"/>
      <c r="O827" s="242"/>
      <c r="P827" s="242"/>
      <c r="Q827" s="242"/>
      <c r="R827" s="242"/>
      <c r="S827" s="242"/>
      <c r="T827" s="13"/>
      <c r="U827" s="242"/>
      <c r="V827" s="242"/>
      <c r="W827" s="242"/>
      <c r="X827" s="242"/>
      <c r="Y827" s="242"/>
      <c r="Z827" s="242"/>
    </row>
    <row r="828">
      <c r="A828" s="242"/>
      <c r="B828" s="13"/>
      <c r="C828" s="13"/>
      <c r="D828" s="242"/>
      <c r="E828" s="242"/>
      <c r="F828" s="242"/>
      <c r="G828" s="242"/>
      <c r="H828" s="242"/>
      <c r="I828" s="242"/>
      <c r="J828" s="242"/>
      <c r="K828" s="242"/>
      <c r="L828" s="242"/>
      <c r="M828" s="242"/>
      <c r="N828" s="242"/>
      <c r="O828" s="242"/>
      <c r="P828" s="242"/>
      <c r="Q828" s="242"/>
      <c r="R828" s="242"/>
      <c r="S828" s="242"/>
      <c r="T828" s="13"/>
      <c r="U828" s="242"/>
      <c r="V828" s="242"/>
      <c r="W828" s="242"/>
      <c r="X828" s="242"/>
      <c r="Y828" s="242"/>
      <c r="Z828" s="242"/>
    </row>
    <row r="829">
      <c r="A829" s="242"/>
      <c r="B829" s="13"/>
      <c r="C829" s="13"/>
      <c r="D829" s="242"/>
      <c r="E829" s="242"/>
      <c r="F829" s="242"/>
      <c r="G829" s="242"/>
      <c r="H829" s="242"/>
      <c r="I829" s="242"/>
      <c r="J829" s="242"/>
      <c r="K829" s="242"/>
      <c r="L829" s="242"/>
      <c r="M829" s="242"/>
      <c r="N829" s="242"/>
      <c r="O829" s="242"/>
      <c r="P829" s="242"/>
      <c r="Q829" s="242"/>
      <c r="R829" s="242"/>
      <c r="S829" s="242"/>
      <c r="T829" s="13"/>
      <c r="U829" s="242"/>
      <c r="V829" s="242"/>
      <c r="W829" s="242"/>
      <c r="X829" s="242"/>
      <c r="Y829" s="242"/>
      <c r="Z829" s="242"/>
    </row>
    <row r="830">
      <c r="A830" s="242"/>
      <c r="B830" s="13"/>
      <c r="C830" s="13"/>
      <c r="D830" s="242"/>
      <c r="E830" s="242"/>
      <c r="F830" s="242"/>
      <c r="G830" s="242"/>
      <c r="H830" s="242"/>
      <c r="I830" s="242"/>
      <c r="J830" s="242"/>
      <c r="K830" s="242"/>
      <c r="L830" s="242"/>
      <c r="M830" s="242"/>
      <c r="N830" s="242"/>
      <c r="O830" s="242"/>
      <c r="P830" s="242"/>
      <c r="Q830" s="242"/>
      <c r="R830" s="242"/>
      <c r="S830" s="242"/>
      <c r="T830" s="13"/>
      <c r="U830" s="242"/>
      <c r="V830" s="242"/>
      <c r="W830" s="242"/>
      <c r="X830" s="242"/>
      <c r="Y830" s="242"/>
      <c r="Z830" s="242"/>
    </row>
    <row r="831">
      <c r="A831" s="242"/>
      <c r="B831" s="13"/>
      <c r="C831" s="13"/>
      <c r="D831" s="242"/>
      <c r="E831" s="242"/>
      <c r="F831" s="242"/>
      <c r="G831" s="242"/>
      <c r="H831" s="242"/>
      <c r="I831" s="242"/>
      <c r="J831" s="242"/>
      <c r="K831" s="242"/>
      <c r="L831" s="242"/>
      <c r="M831" s="242"/>
      <c r="N831" s="242"/>
      <c r="O831" s="242"/>
      <c r="P831" s="242"/>
      <c r="Q831" s="242"/>
      <c r="R831" s="242"/>
      <c r="S831" s="242"/>
      <c r="T831" s="13"/>
      <c r="U831" s="242"/>
      <c r="V831" s="242"/>
      <c r="W831" s="242"/>
      <c r="X831" s="242"/>
      <c r="Y831" s="242"/>
      <c r="Z831" s="242"/>
    </row>
    <row r="832">
      <c r="A832" s="242"/>
      <c r="B832" s="13"/>
      <c r="C832" s="13"/>
      <c r="D832" s="242"/>
      <c r="E832" s="242"/>
      <c r="F832" s="242"/>
      <c r="G832" s="242"/>
      <c r="H832" s="242"/>
      <c r="I832" s="242"/>
      <c r="J832" s="242"/>
      <c r="K832" s="242"/>
      <c r="L832" s="242"/>
      <c r="M832" s="242"/>
      <c r="N832" s="242"/>
      <c r="O832" s="242"/>
      <c r="P832" s="242"/>
      <c r="Q832" s="242"/>
      <c r="R832" s="242"/>
      <c r="S832" s="242"/>
      <c r="T832" s="13"/>
      <c r="U832" s="242"/>
      <c r="V832" s="242"/>
      <c r="W832" s="242"/>
      <c r="X832" s="242"/>
      <c r="Y832" s="242"/>
      <c r="Z832" s="242"/>
    </row>
    <row r="833">
      <c r="A833" s="242"/>
      <c r="B833" s="13"/>
      <c r="C833" s="13"/>
      <c r="D833" s="242"/>
      <c r="E833" s="242"/>
      <c r="F833" s="242"/>
      <c r="G833" s="242"/>
      <c r="H833" s="242"/>
      <c r="I833" s="242"/>
      <c r="J833" s="242"/>
      <c r="K833" s="242"/>
      <c r="L833" s="242"/>
      <c r="M833" s="242"/>
      <c r="N833" s="242"/>
      <c r="O833" s="242"/>
      <c r="P833" s="242"/>
      <c r="Q833" s="242"/>
      <c r="R833" s="242"/>
      <c r="S833" s="242"/>
      <c r="T833" s="13"/>
      <c r="U833" s="242"/>
      <c r="V833" s="242"/>
      <c r="W833" s="242"/>
      <c r="X833" s="242"/>
      <c r="Y833" s="242"/>
      <c r="Z833" s="242"/>
    </row>
    <row r="834">
      <c r="A834" s="242"/>
      <c r="B834" s="13"/>
      <c r="C834" s="13"/>
      <c r="D834" s="242"/>
      <c r="E834" s="242"/>
      <c r="F834" s="242"/>
      <c r="G834" s="242"/>
      <c r="H834" s="242"/>
      <c r="I834" s="242"/>
      <c r="J834" s="242"/>
      <c r="K834" s="242"/>
      <c r="L834" s="242"/>
      <c r="M834" s="242"/>
      <c r="N834" s="242"/>
      <c r="O834" s="242"/>
      <c r="P834" s="242"/>
      <c r="Q834" s="242"/>
      <c r="R834" s="242"/>
      <c r="S834" s="242"/>
      <c r="T834" s="13"/>
      <c r="U834" s="242"/>
      <c r="V834" s="242"/>
      <c r="W834" s="242"/>
      <c r="X834" s="242"/>
      <c r="Y834" s="242"/>
      <c r="Z834" s="242"/>
    </row>
    <row r="835">
      <c r="A835" s="242"/>
      <c r="B835" s="13"/>
      <c r="C835" s="13"/>
      <c r="D835" s="242"/>
      <c r="E835" s="242"/>
      <c r="F835" s="242"/>
      <c r="G835" s="242"/>
      <c r="H835" s="242"/>
      <c r="I835" s="242"/>
      <c r="J835" s="242"/>
      <c r="K835" s="242"/>
      <c r="L835" s="242"/>
      <c r="M835" s="242"/>
      <c r="N835" s="242"/>
      <c r="O835" s="242"/>
      <c r="P835" s="242"/>
      <c r="Q835" s="242"/>
      <c r="R835" s="242"/>
      <c r="S835" s="242"/>
      <c r="T835" s="13"/>
      <c r="U835" s="242"/>
      <c r="V835" s="242"/>
      <c r="W835" s="242"/>
      <c r="X835" s="242"/>
      <c r="Y835" s="242"/>
      <c r="Z835" s="242"/>
    </row>
    <row r="836">
      <c r="A836" s="242"/>
      <c r="B836" s="13"/>
      <c r="C836" s="13"/>
      <c r="D836" s="242"/>
      <c r="E836" s="242"/>
      <c r="F836" s="242"/>
      <c r="G836" s="242"/>
      <c r="H836" s="242"/>
      <c r="I836" s="242"/>
      <c r="J836" s="242"/>
      <c r="K836" s="242"/>
      <c r="L836" s="242"/>
      <c r="M836" s="242"/>
      <c r="N836" s="242"/>
      <c r="O836" s="242"/>
      <c r="P836" s="242"/>
      <c r="Q836" s="242"/>
      <c r="R836" s="242"/>
      <c r="S836" s="242"/>
      <c r="T836" s="13"/>
      <c r="U836" s="242"/>
      <c r="V836" s="242"/>
      <c r="W836" s="242"/>
      <c r="X836" s="242"/>
      <c r="Y836" s="242"/>
      <c r="Z836" s="242"/>
    </row>
    <row r="837">
      <c r="A837" s="242"/>
      <c r="B837" s="13"/>
      <c r="C837" s="13"/>
      <c r="D837" s="242"/>
      <c r="E837" s="242"/>
      <c r="F837" s="242"/>
      <c r="G837" s="242"/>
      <c r="H837" s="242"/>
      <c r="I837" s="242"/>
      <c r="J837" s="242"/>
      <c r="K837" s="242"/>
      <c r="L837" s="242"/>
      <c r="M837" s="242"/>
      <c r="N837" s="242"/>
      <c r="O837" s="242"/>
      <c r="P837" s="242"/>
      <c r="Q837" s="242"/>
      <c r="R837" s="242"/>
      <c r="S837" s="242"/>
      <c r="T837" s="13"/>
      <c r="U837" s="242"/>
      <c r="V837" s="242"/>
      <c r="W837" s="242"/>
      <c r="X837" s="242"/>
      <c r="Y837" s="242"/>
      <c r="Z837" s="242"/>
    </row>
    <row r="838">
      <c r="A838" s="242"/>
      <c r="B838" s="13"/>
      <c r="C838" s="13"/>
      <c r="D838" s="242"/>
      <c r="E838" s="242"/>
      <c r="F838" s="242"/>
      <c r="G838" s="242"/>
      <c r="H838" s="242"/>
      <c r="I838" s="242"/>
      <c r="J838" s="242"/>
      <c r="K838" s="242"/>
      <c r="L838" s="242"/>
      <c r="M838" s="242"/>
      <c r="N838" s="242"/>
      <c r="O838" s="242"/>
      <c r="P838" s="242"/>
      <c r="Q838" s="242"/>
      <c r="R838" s="242"/>
      <c r="S838" s="242"/>
      <c r="T838" s="13"/>
      <c r="U838" s="242"/>
      <c r="V838" s="242"/>
      <c r="W838" s="242"/>
      <c r="X838" s="242"/>
      <c r="Y838" s="242"/>
      <c r="Z838" s="242"/>
    </row>
    <row r="839">
      <c r="A839" s="242"/>
      <c r="B839" s="13"/>
      <c r="C839" s="13"/>
      <c r="D839" s="242"/>
      <c r="E839" s="242"/>
      <c r="F839" s="242"/>
      <c r="G839" s="242"/>
      <c r="H839" s="242"/>
      <c r="I839" s="242"/>
      <c r="J839" s="242"/>
      <c r="K839" s="242"/>
      <c r="L839" s="242"/>
      <c r="M839" s="242"/>
      <c r="N839" s="242"/>
      <c r="O839" s="242"/>
      <c r="P839" s="242"/>
      <c r="Q839" s="242"/>
      <c r="R839" s="242"/>
      <c r="S839" s="242"/>
      <c r="T839" s="13"/>
      <c r="U839" s="242"/>
      <c r="V839" s="242"/>
      <c r="W839" s="242"/>
      <c r="X839" s="242"/>
      <c r="Y839" s="242"/>
      <c r="Z839" s="242"/>
    </row>
    <row r="840">
      <c r="A840" s="242"/>
      <c r="B840" s="13"/>
      <c r="C840" s="13"/>
      <c r="D840" s="242"/>
      <c r="E840" s="242"/>
      <c r="F840" s="242"/>
      <c r="G840" s="242"/>
      <c r="H840" s="242"/>
      <c r="I840" s="242"/>
      <c r="J840" s="242"/>
      <c r="K840" s="242"/>
      <c r="L840" s="242"/>
      <c r="M840" s="242"/>
      <c r="N840" s="242"/>
      <c r="O840" s="242"/>
      <c r="P840" s="242"/>
      <c r="Q840" s="242"/>
      <c r="R840" s="242"/>
      <c r="S840" s="242"/>
      <c r="T840" s="13"/>
      <c r="U840" s="242"/>
      <c r="V840" s="242"/>
      <c r="W840" s="242"/>
      <c r="X840" s="242"/>
      <c r="Y840" s="242"/>
      <c r="Z840" s="242"/>
    </row>
    <row r="841">
      <c r="A841" s="242"/>
      <c r="B841" s="13"/>
      <c r="C841" s="13"/>
      <c r="D841" s="242"/>
      <c r="E841" s="242"/>
      <c r="F841" s="242"/>
      <c r="G841" s="242"/>
      <c r="H841" s="242"/>
      <c r="I841" s="242"/>
      <c r="J841" s="242"/>
      <c r="K841" s="242"/>
      <c r="L841" s="242"/>
      <c r="M841" s="242"/>
      <c r="N841" s="242"/>
      <c r="O841" s="242"/>
      <c r="P841" s="242"/>
      <c r="Q841" s="242"/>
      <c r="R841" s="242"/>
      <c r="S841" s="242"/>
      <c r="T841" s="13"/>
      <c r="U841" s="242"/>
      <c r="V841" s="242"/>
      <c r="W841" s="242"/>
      <c r="X841" s="242"/>
      <c r="Y841" s="242"/>
      <c r="Z841" s="242"/>
    </row>
    <row r="842">
      <c r="A842" s="242"/>
      <c r="B842" s="13"/>
      <c r="C842" s="13"/>
      <c r="D842" s="242"/>
      <c r="E842" s="242"/>
      <c r="F842" s="242"/>
      <c r="G842" s="242"/>
      <c r="H842" s="242"/>
      <c r="I842" s="242"/>
      <c r="J842" s="242"/>
      <c r="K842" s="242"/>
      <c r="L842" s="242"/>
      <c r="M842" s="242"/>
      <c r="N842" s="242"/>
      <c r="O842" s="242"/>
      <c r="P842" s="242"/>
      <c r="Q842" s="242"/>
      <c r="R842" s="242"/>
      <c r="S842" s="242"/>
      <c r="T842" s="13"/>
      <c r="U842" s="242"/>
      <c r="V842" s="242"/>
      <c r="W842" s="242"/>
      <c r="X842" s="242"/>
      <c r="Y842" s="242"/>
      <c r="Z842" s="242"/>
    </row>
    <row r="843">
      <c r="A843" s="242"/>
      <c r="B843" s="13"/>
      <c r="C843" s="13"/>
      <c r="D843" s="242"/>
      <c r="E843" s="242"/>
      <c r="F843" s="242"/>
      <c r="G843" s="242"/>
      <c r="H843" s="242"/>
      <c r="I843" s="242"/>
      <c r="J843" s="242"/>
      <c r="K843" s="242"/>
      <c r="L843" s="242"/>
      <c r="M843" s="242"/>
      <c r="N843" s="242"/>
      <c r="O843" s="242"/>
      <c r="P843" s="242"/>
      <c r="Q843" s="242"/>
      <c r="R843" s="242"/>
      <c r="S843" s="242"/>
      <c r="T843" s="13"/>
      <c r="U843" s="242"/>
      <c r="V843" s="242"/>
      <c r="W843" s="242"/>
      <c r="X843" s="242"/>
      <c r="Y843" s="242"/>
      <c r="Z843" s="242"/>
    </row>
    <row r="844">
      <c r="A844" s="242"/>
      <c r="B844" s="13"/>
      <c r="C844" s="13"/>
      <c r="D844" s="242"/>
      <c r="E844" s="242"/>
      <c r="F844" s="242"/>
      <c r="G844" s="242"/>
      <c r="H844" s="242"/>
      <c r="I844" s="242"/>
      <c r="J844" s="242"/>
      <c r="K844" s="242"/>
      <c r="L844" s="242"/>
      <c r="M844" s="242"/>
      <c r="N844" s="242"/>
      <c r="O844" s="242"/>
      <c r="P844" s="242"/>
      <c r="Q844" s="242"/>
      <c r="R844" s="242"/>
      <c r="S844" s="242"/>
      <c r="T844" s="13"/>
      <c r="U844" s="242"/>
      <c r="V844" s="242"/>
      <c r="W844" s="242"/>
      <c r="X844" s="242"/>
      <c r="Y844" s="242"/>
      <c r="Z844" s="242"/>
    </row>
    <row r="845">
      <c r="A845" s="242"/>
      <c r="B845" s="13"/>
      <c r="C845" s="13"/>
      <c r="D845" s="242"/>
      <c r="E845" s="242"/>
      <c r="F845" s="242"/>
      <c r="G845" s="242"/>
      <c r="H845" s="242"/>
      <c r="I845" s="242"/>
      <c r="J845" s="242"/>
      <c r="K845" s="242"/>
      <c r="L845" s="242"/>
      <c r="M845" s="242"/>
      <c r="N845" s="242"/>
      <c r="O845" s="242"/>
      <c r="P845" s="242"/>
      <c r="Q845" s="242"/>
      <c r="R845" s="242"/>
      <c r="S845" s="242"/>
      <c r="T845" s="13"/>
      <c r="U845" s="242"/>
      <c r="V845" s="242"/>
      <c r="W845" s="242"/>
      <c r="X845" s="242"/>
      <c r="Y845" s="242"/>
      <c r="Z845" s="242"/>
    </row>
    <row r="846">
      <c r="A846" s="242"/>
      <c r="B846" s="13"/>
      <c r="C846" s="13"/>
      <c r="D846" s="242"/>
      <c r="E846" s="242"/>
      <c r="F846" s="242"/>
      <c r="G846" s="242"/>
      <c r="H846" s="242"/>
      <c r="I846" s="242"/>
      <c r="J846" s="242"/>
      <c r="K846" s="242"/>
      <c r="L846" s="242"/>
      <c r="M846" s="242"/>
      <c r="N846" s="242"/>
      <c r="O846" s="242"/>
      <c r="P846" s="242"/>
      <c r="Q846" s="242"/>
      <c r="R846" s="242"/>
      <c r="S846" s="242"/>
      <c r="T846" s="13"/>
      <c r="U846" s="242"/>
      <c r="V846" s="242"/>
      <c r="W846" s="242"/>
      <c r="X846" s="242"/>
      <c r="Y846" s="242"/>
      <c r="Z846" s="242"/>
    </row>
    <row r="847">
      <c r="A847" s="242"/>
      <c r="B847" s="13"/>
      <c r="C847" s="13"/>
      <c r="D847" s="242"/>
      <c r="E847" s="242"/>
      <c r="F847" s="242"/>
      <c r="G847" s="242"/>
      <c r="H847" s="242"/>
      <c r="I847" s="242"/>
      <c r="J847" s="242"/>
      <c r="K847" s="242"/>
      <c r="L847" s="242"/>
      <c r="M847" s="242"/>
      <c r="N847" s="242"/>
      <c r="O847" s="242"/>
      <c r="P847" s="242"/>
      <c r="Q847" s="242"/>
      <c r="R847" s="242"/>
      <c r="S847" s="242"/>
      <c r="T847" s="13"/>
      <c r="U847" s="242"/>
      <c r="V847" s="242"/>
      <c r="W847" s="242"/>
      <c r="X847" s="242"/>
      <c r="Y847" s="242"/>
      <c r="Z847" s="242"/>
    </row>
    <row r="848">
      <c r="A848" s="242"/>
      <c r="B848" s="13"/>
      <c r="C848" s="13"/>
      <c r="D848" s="242"/>
      <c r="E848" s="242"/>
      <c r="F848" s="242"/>
      <c r="G848" s="242"/>
      <c r="H848" s="242"/>
      <c r="I848" s="242"/>
      <c r="J848" s="242"/>
      <c r="K848" s="242"/>
      <c r="L848" s="242"/>
      <c r="M848" s="242"/>
      <c r="N848" s="242"/>
      <c r="O848" s="242"/>
      <c r="P848" s="242"/>
      <c r="Q848" s="242"/>
      <c r="R848" s="242"/>
      <c r="S848" s="242"/>
      <c r="T848" s="13"/>
      <c r="U848" s="242"/>
      <c r="V848" s="242"/>
      <c r="W848" s="242"/>
      <c r="X848" s="242"/>
      <c r="Y848" s="242"/>
      <c r="Z848" s="242"/>
    </row>
    <row r="849">
      <c r="A849" s="242"/>
      <c r="B849" s="13"/>
      <c r="C849" s="13"/>
      <c r="D849" s="242"/>
      <c r="E849" s="242"/>
      <c r="F849" s="242"/>
      <c r="G849" s="242"/>
      <c r="H849" s="242"/>
      <c r="I849" s="242"/>
      <c r="J849" s="242"/>
      <c r="K849" s="242"/>
      <c r="L849" s="242"/>
      <c r="M849" s="242"/>
      <c r="N849" s="242"/>
      <c r="O849" s="242"/>
      <c r="P849" s="242"/>
      <c r="Q849" s="242"/>
      <c r="R849" s="242"/>
      <c r="S849" s="242"/>
      <c r="T849" s="13"/>
      <c r="U849" s="242"/>
      <c r="V849" s="242"/>
      <c r="W849" s="242"/>
      <c r="X849" s="242"/>
      <c r="Y849" s="242"/>
      <c r="Z849" s="242"/>
    </row>
    <row r="850">
      <c r="A850" s="242"/>
      <c r="B850" s="13"/>
      <c r="C850" s="13"/>
      <c r="D850" s="242"/>
      <c r="E850" s="242"/>
      <c r="F850" s="242"/>
      <c r="G850" s="242"/>
      <c r="H850" s="242"/>
      <c r="I850" s="242"/>
      <c r="J850" s="242"/>
      <c r="K850" s="242"/>
      <c r="L850" s="242"/>
      <c r="M850" s="242"/>
      <c r="N850" s="242"/>
      <c r="O850" s="242"/>
      <c r="P850" s="242"/>
      <c r="Q850" s="242"/>
      <c r="R850" s="242"/>
      <c r="S850" s="242"/>
      <c r="T850" s="13"/>
      <c r="U850" s="242"/>
      <c r="V850" s="242"/>
      <c r="W850" s="242"/>
      <c r="X850" s="242"/>
      <c r="Y850" s="242"/>
      <c r="Z850" s="242"/>
    </row>
    <row r="851">
      <c r="A851" s="242"/>
      <c r="B851" s="13"/>
      <c r="C851" s="13"/>
      <c r="D851" s="242"/>
      <c r="E851" s="242"/>
      <c r="F851" s="242"/>
      <c r="G851" s="242"/>
      <c r="H851" s="242"/>
      <c r="I851" s="242"/>
      <c r="J851" s="242"/>
      <c r="K851" s="242"/>
      <c r="L851" s="242"/>
      <c r="M851" s="242"/>
      <c r="N851" s="242"/>
      <c r="O851" s="242"/>
      <c r="P851" s="242"/>
      <c r="Q851" s="242"/>
      <c r="R851" s="242"/>
      <c r="S851" s="242"/>
      <c r="T851" s="13"/>
      <c r="U851" s="242"/>
      <c r="V851" s="242"/>
      <c r="W851" s="242"/>
      <c r="X851" s="242"/>
      <c r="Y851" s="242"/>
      <c r="Z851" s="242"/>
    </row>
    <row r="852">
      <c r="A852" s="242"/>
      <c r="B852" s="13"/>
      <c r="C852" s="13"/>
      <c r="D852" s="242"/>
      <c r="E852" s="242"/>
      <c r="F852" s="242"/>
      <c r="G852" s="242"/>
      <c r="H852" s="242"/>
      <c r="I852" s="242"/>
      <c r="J852" s="242"/>
      <c r="K852" s="242"/>
      <c r="L852" s="242"/>
      <c r="M852" s="242"/>
      <c r="N852" s="242"/>
      <c r="O852" s="242"/>
      <c r="P852" s="242"/>
      <c r="Q852" s="242"/>
      <c r="R852" s="242"/>
      <c r="S852" s="242"/>
      <c r="T852" s="13"/>
      <c r="U852" s="242"/>
      <c r="V852" s="242"/>
      <c r="W852" s="242"/>
      <c r="X852" s="242"/>
      <c r="Y852" s="242"/>
      <c r="Z852" s="242"/>
    </row>
    <row r="853">
      <c r="A853" s="242"/>
      <c r="B853" s="13"/>
      <c r="C853" s="13"/>
      <c r="D853" s="242"/>
      <c r="E853" s="242"/>
      <c r="F853" s="242"/>
      <c r="G853" s="242"/>
      <c r="H853" s="242"/>
      <c r="I853" s="242"/>
      <c r="J853" s="242"/>
      <c r="K853" s="242"/>
      <c r="L853" s="242"/>
      <c r="M853" s="242"/>
      <c r="N853" s="242"/>
      <c r="O853" s="242"/>
      <c r="P853" s="242"/>
      <c r="Q853" s="242"/>
      <c r="R853" s="242"/>
      <c r="S853" s="242"/>
      <c r="T853" s="13"/>
      <c r="U853" s="242"/>
      <c r="V853" s="242"/>
      <c r="W853" s="242"/>
      <c r="X853" s="242"/>
      <c r="Y853" s="242"/>
      <c r="Z853" s="242"/>
    </row>
    <row r="854">
      <c r="A854" s="242"/>
      <c r="B854" s="13"/>
      <c r="C854" s="13"/>
      <c r="D854" s="242"/>
      <c r="E854" s="242"/>
      <c r="F854" s="242"/>
      <c r="G854" s="242"/>
      <c r="H854" s="242"/>
      <c r="I854" s="242"/>
      <c r="J854" s="242"/>
      <c r="K854" s="242"/>
      <c r="L854" s="242"/>
      <c r="M854" s="242"/>
      <c r="N854" s="242"/>
      <c r="O854" s="242"/>
      <c r="P854" s="242"/>
      <c r="Q854" s="242"/>
      <c r="R854" s="242"/>
      <c r="S854" s="242"/>
      <c r="T854" s="13"/>
      <c r="U854" s="242"/>
      <c r="V854" s="242"/>
      <c r="W854" s="242"/>
      <c r="X854" s="242"/>
      <c r="Y854" s="242"/>
      <c r="Z854" s="242"/>
    </row>
    <row r="855">
      <c r="A855" s="242"/>
      <c r="B855" s="13"/>
      <c r="C855" s="13"/>
      <c r="D855" s="242"/>
      <c r="E855" s="242"/>
      <c r="F855" s="242"/>
      <c r="G855" s="242"/>
      <c r="H855" s="242"/>
      <c r="I855" s="242"/>
      <c r="J855" s="242"/>
      <c r="K855" s="242"/>
      <c r="L855" s="242"/>
      <c r="M855" s="242"/>
      <c r="N855" s="242"/>
      <c r="O855" s="242"/>
      <c r="P855" s="242"/>
      <c r="Q855" s="242"/>
      <c r="R855" s="242"/>
      <c r="S855" s="242"/>
      <c r="T855" s="13"/>
      <c r="U855" s="242"/>
      <c r="V855" s="242"/>
      <c r="W855" s="242"/>
      <c r="X855" s="242"/>
      <c r="Y855" s="242"/>
      <c r="Z855" s="242"/>
    </row>
    <row r="856">
      <c r="A856" s="242"/>
      <c r="B856" s="13"/>
      <c r="C856" s="13"/>
      <c r="D856" s="242"/>
      <c r="E856" s="242"/>
      <c r="F856" s="242"/>
      <c r="G856" s="242"/>
      <c r="H856" s="242"/>
      <c r="I856" s="242"/>
      <c r="J856" s="242"/>
      <c r="K856" s="242"/>
      <c r="L856" s="242"/>
      <c r="M856" s="242"/>
      <c r="N856" s="242"/>
      <c r="O856" s="242"/>
      <c r="P856" s="242"/>
      <c r="Q856" s="242"/>
      <c r="R856" s="242"/>
      <c r="S856" s="242"/>
      <c r="T856" s="13"/>
      <c r="U856" s="242"/>
      <c r="V856" s="242"/>
      <c r="W856" s="242"/>
      <c r="X856" s="242"/>
      <c r="Y856" s="242"/>
      <c r="Z856" s="242"/>
    </row>
    <row r="857">
      <c r="A857" s="242"/>
      <c r="B857" s="13"/>
      <c r="C857" s="13"/>
      <c r="D857" s="242"/>
      <c r="E857" s="242"/>
      <c r="F857" s="242"/>
      <c r="G857" s="242"/>
      <c r="H857" s="242"/>
      <c r="I857" s="242"/>
      <c r="J857" s="242"/>
      <c r="K857" s="242"/>
      <c r="L857" s="242"/>
      <c r="M857" s="242"/>
      <c r="N857" s="242"/>
      <c r="O857" s="242"/>
      <c r="P857" s="242"/>
      <c r="Q857" s="242"/>
      <c r="R857" s="242"/>
      <c r="S857" s="242"/>
      <c r="T857" s="13"/>
      <c r="U857" s="242"/>
      <c r="V857" s="242"/>
      <c r="W857" s="242"/>
      <c r="X857" s="242"/>
      <c r="Y857" s="242"/>
      <c r="Z857" s="242"/>
    </row>
    <row r="858">
      <c r="A858" s="242"/>
      <c r="B858" s="13"/>
      <c r="C858" s="13"/>
      <c r="D858" s="242"/>
      <c r="E858" s="242"/>
      <c r="F858" s="242"/>
      <c r="G858" s="242"/>
      <c r="H858" s="242"/>
      <c r="I858" s="242"/>
      <c r="J858" s="242"/>
      <c r="K858" s="242"/>
      <c r="L858" s="242"/>
      <c r="M858" s="242"/>
      <c r="N858" s="242"/>
      <c r="O858" s="242"/>
      <c r="P858" s="242"/>
      <c r="Q858" s="242"/>
      <c r="R858" s="242"/>
      <c r="S858" s="242"/>
      <c r="T858" s="13"/>
      <c r="U858" s="242"/>
      <c r="V858" s="242"/>
      <c r="W858" s="242"/>
      <c r="X858" s="242"/>
      <c r="Y858" s="242"/>
      <c r="Z858" s="242"/>
    </row>
    <row r="859">
      <c r="A859" s="242"/>
      <c r="B859" s="13"/>
      <c r="C859" s="13"/>
      <c r="D859" s="242"/>
      <c r="E859" s="242"/>
      <c r="F859" s="242"/>
      <c r="G859" s="242"/>
      <c r="H859" s="242"/>
      <c r="I859" s="242"/>
      <c r="J859" s="242"/>
      <c r="K859" s="242"/>
      <c r="L859" s="242"/>
      <c r="M859" s="242"/>
      <c r="N859" s="242"/>
      <c r="O859" s="242"/>
      <c r="P859" s="242"/>
      <c r="Q859" s="242"/>
      <c r="R859" s="242"/>
      <c r="S859" s="242"/>
      <c r="T859" s="13"/>
      <c r="U859" s="242"/>
      <c r="V859" s="242"/>
      <c r="W859" s="242"/>
      <c r="X859" s="242"/>
      <c r="Y859" s="242"/>
      <c r="Z859" s="242"/>
    </row>
    <row r="860">
      <c r="A860" s="242"/>
      <c r="B860" s="13"/>
      <c r="C860" s="13"/>
      <c r="D860" s="242"/>
      <c r="E860" s="242"/>
      <c r="F860" s="242"/>
      <c r="G860" s="242"/>
      <c r="H860" s="242"/>
      <c r="I860" s="242"/>
      <c r="J860" s="242"/>
      <c r="K860" s="242"/>
      <c r="L860" s="242"/>
      <c r="M860" s="242"/>
      <c r="N860" s="242"/>
      <c r="O860" s="242"/>
      <c r="P860" s="242"/>
      <c r="Q860" s="242"/>
      <c r="R860" s="242"/>
      <c r="S860" s="242"/>
      <c r="T860" s="13"/>
      <c r="U860" s="242"/>
      <c r="V860" s="242"/>
      <c r="W860" s="242"/>
      <c r="X860" s="242"/>
      <c r="Y860" s="242"/>
      <c r="Z860" s="242"/>
    </row>
    <row r="861">
      <c r="A861" s="242"/>
      <c r="B861" s="13"/>
      <c r="C861" s="13"/>
      <c r="D861" s="242"/>
      <c r="E861" s="242"/>
      <c r="F861" s="242"/>
      <c r="G861" s="242"/>
      <c r="H861" s="242"/>
      <c r="I861" s="242"/>
      <c r="J861" s="242"/>
      <c r="K861" s="242"/>
      <c r="L861" s="242"/>
      <c r="M861" s="242"/>
      <c r="N861" s="242"/>
      <c r="O861" s="242"/>
      <c r="P861" s="242"/>
      <c r="Q861" s="242"/>
      <c r="R861" s="242"/>
      <c r="S861" s="242"/>
      <c r="T861" s="13"/>
      <c r="U861" s="242"/>
      <c r="V861" s="242"/>
      <c r="W861" s="242"/>
      <c r="X861" s="242"/>
      <c r="Y861" s="242"/>
      <c r="Z861" s="242"/>
    </row>
    <row r="862">
      <c r="A862" s="242"/>
      <c r="B862" s="13"/>
      <c r="C862" s="13"/>
      <c r="D862" s="242"/>
      <c r="E862" s="242"/>
      <c r="F862" s="242"/>
      <c r="G862" s="242"/>
      <c r="H862" s="242"/>
      <c r="I862" s="242"/>
      <c r="J862" s="242"/>
      <c r="K862" s="242"/>
      <c r="L862" s="242"/>
      <c r="M862" s="242"/>
      <c r="N862" s="242"/>
      <c r="O862" s="242"/>
      <c r="P862" s="242"/>
      <c r="Q862" s="242"/>
      <c r="R862" s="242"/>
      <c r="S862" s="242"/>
      <c r="T862" s="13"/>
      <c r="U862" s="242"/>
      <c r="V862" s="242"/>
      <c r="W862" s="242"/>
      <c r="X862" s="242"/>
      <c r="Y862" s="242"/>
      <c r="Z862" s="242"/>
    </row>
    <row r="863">
      <c r="A863" s="242"/>
      <c r="B863" s="13"/>
      <c r="C863" s="13"/>
      <c r="D863" s="242"/>
      <c r="E863" s="242"/>
      <c r="F863" s="242"/>
      <c r="G863" s="242"/>
      <c r="H863" s="242"/>
      <c r="I863" s="242"/>
      <c r="J863" s="242"/>
      <c r="K863" s="242"/>
      <c r="L863" s="242"/>
      <c r="M863" s="242"/>
      <c r="N863" s="242"/>
      <c r="O863" s="242"/>
      <c r="P863" s="242"/>
      <c r="Q863" s="242"/>
      <c r="R863" s="242"/>
      <c r="S863" s="242"/>
      <c r="T863" s="13"/>
      <c r="U863" s="242"/>
      <c r="V863" s="242"/>
      <c r="W863" s="242"/>
      <c r="X863" s="242"/>
      <c r="Y863" s="242"/>
      <c r="Z863" s="242"/>
    </row>
    <row r="864">
      <c r="A864" s="242"/>
      <c r="B864" s="13"/>
      <c r="C864" s="13"/>
      <c r="D864" s="242"/>
      <c r="E864" s="242"/>
      <c r="F864" s="242"/>
      <c r="G864" s="242"/>
      <c r="H864" s="242"/>
      <c r="I864" s="242"/>
      <c r="J864" s="242"/>
      <c r="K864" s="242"/>
      <c r="L864" s="242"/>
      <c r="M864" s="242"/>
      <c r="N864" s="242"/>
      <c r="O864" s="242"/>
      <c r="P864" s="242"/>
      <c r="Q864" s="242"/>
      <c r="R864" s="242"/>
      <c r="S864" s="242"/>
      <c r="T864" s="13"/>
      <c r="U864" s="242"/>
      <c r="V864" s="242"/>
      <c r="W864" s="242"/>
      <c r="X864" s="242"/>
      <c r="Y864" s="242"/>
      <c r="Z864" s="242"/>
    </row>
    <row r="865">
      <c r="A865" s="242"/>
      <c r="B865" s="13"/>
      <c r="C865" s="13"/>
      <c r="D865" s="242"/>
      <c r="E865" s="242"/>
      <c r="F865" s="242"/>
      <c r="G865" s="242"/>
      <c r="H865" s="242"/>
      <c r="I865" s="242"/>
      <c r="J865" s="242"/>
      <c r="K865" s="242"/>
      <c r="L865" s="242"/>
      <c r="M865" s="242"/>
      <c r="N865" s="242"/>
      <c r="O865" s="242"/>
      <c r="P865" s="242"/>
      <c r="Q865" s="242"/>
      <c r="R865" s="242"/>
      <c r="S865" s="242"/>
      <c r="T865" s="13"/>
      <c r="U865" s="242"/>
      <c r="V865" s="242"/>
      <c r="W865" s="242"/>
      <c r="X865" s="242"/>
      <c r="Y865" s="242"/>
      <c r="Z865" s="242"/>
    </row>
    <row r="866">
      <c r="A866" s="242"/>
      <c r="B866" s="13"/>
      <c r="C866" s="13"/>
      <c r="D866" s="242"/>
      <c r="E866" s="242"/>
      <c r="F866" s="242"/>
      <c r="G866" s="242"/>
      <c r="H866" s="242"/>
      <c r="I866" s="242"/>
      <c r="J866" s="242"/>
      <c r="K866" s="242"/>
      <c r="L866" s="242"/>
      <c r="M866" s="242"/>
      <c r="N866" s="242"/>
      <c r="O866" s="242"/>
      <c r="P866" s="242"/>
      <c r="Q866" s="242"/>
      <c r="R866" s="242"/>
      <c r="S866" s="242"/>
      <c r="T866" s="13"/>
      <c r="U866" s="242"/>
      <c r="V866" s="242"/>
      <c r="W866" s="242"/>
      <c r="X866" s="242"/>
      <c r="Y866" s="242"/>
      <c r="Z866" s="242"/>
    </row>
    <row r="867">
      <c r="A867" s="242"/>
      <c r="B867" s="13"/>
      <c r="C867" s="13"/>
      <c r="D867" s="242"/>
      <c r="E867" s="242"/>
      <c r="F867" s="242"/>
      <c r="G867" s="242"/>
      <c r="H867" s="242"/>
      <c r="I867" s="242"/>
      <c r="J867" s="242"/>
      <c r="K867" s="242"/>
      <c r="L867" s="242"/>
      <c r="M867" s="242"/>
      <c r="N867" s="242"/>
      <c r="O867" s="242"/>
      <c r="P867" s="242"/>
      <c r="Q867" s="242"/>
      <c r="R867" s="242"/>
      <c r="S867" s="242"/>
      <c r="T867" s="13"/>
      <c r="U867" s="242"/>
      <c r="V867" s="242"/>
      <c r="W867" s="242"/>
      <c r="X867" s="242"/>
      <c r="Y867" s="242"/>
      <c r="Z867" s="242"/>
    </row>
    <row r="868">
      <c r="A868" s="242"/>
      <c r="B868" s="13"/>
      <c r="C868" s="13"/>
      <c r="D868" s="242"/>
      <c r="E868" s="242"/>
      <c r="F868" s="242"/>
      <c r="G868" s="242"/>
      <c r="H868" s="242"/>
      <c r="I868" s="242"/>
      <c r="J868" s="242"/>
      <c r="K868" s="242"/>
      <c r="L868" s="242"/>
      <c r="M868" s="242"/>
      <c r="N868" s="242"/>
      <c r="O868" s="242"/>
      <c r="P868" s="242"/>
      <c r="Q868" s="242"/>
      <c r="R868" s="242"/>
      <c r="S868" s="242"/>
      <c r="T868" s="13"/>
      <c r="U868" s="242"/>
      <c r="V868" s="242"/>
      <c r="W868" s="242"/>
      <c r="X868" s="242"/>
      <c r="Y868" s="242"/>
      <c r="Z868" s="242"/>
    </row>
    <row r="869">
      <c r="A869" s="242"/>
      <c r="B869" s="13"/>
      <c r="C869" s="13"/>
      <c r="D869" s="242"/>
      <c r="E869" s="242"/>
      <c r="F869" s="242"/>
      <c r="G869" s="242"/>
      <c r="H869" s="242"/>
      <c r="I869" s="242"/>
      <c r="J869" s="242"/>
      <c r="K869" s="242"/>
      <c r="L869" s="242"/>
      <c r="M869" s="242"/>
      <c r="N869" s="242"/>
      <c r="O869" s="242"/>
      <c r="P869" s="242"/>
      <c r="Q869" s="242"/>
      <c r="R869" s="242"/>
      <c r="S869" s="242"/>
      <c r="T869" s="13"/>
      <c r="U869" s="242"/>
      <c r="V869" s="242"/>
      <c r="W869" s="242"/>
      <c r="X869" s="242"/>
      <c r="Y869" s="242"/>
      <c r="Z869" s="242"/>
    </row>
    <row r="870">
      <c r="A870" s="242"/>
      <c r="B870" s="13"/>
      <c r="C870" s="13"/>
      <c r="D870" s="242"/>
      <c r="E870" s="242"/>
      <c r="F870" s="242"/>
      <c r="G870" s="242"/>
      <c r="H870" s="242"/>
      <c r="I870" s="242"/>
      <c r="J870" s="242"/>
      <c r="K870" s="242"/>
      <c r="L870" s="242"/>
      <c r="M870" s="242"/>
      <c r="N870" s="242"/>
      <c r="O870" s="242"/>
      <c r="P870" s="242"/>
      <c r="Q870" s="242"/>
      <c r="R870" s="242"/>
      <c r="S870" s="242"/>
      <c r="T870" s="13"/>
      <c r="U870" s="242"/>
      <c r="V870" s="242"/>
      <c r="W870" s="242"/>
      <c r="X870" s="242"/>
      <c r="Y870" s="242"/>
      <c r="Z870" s="242"/>
    </row>
    <row r="871">
      <c r="A871" s="242"/>
      <c r="B871" s="13"/>
      <c r="C871" s="13"/>
      <c r="D871" s="242"/>
      <c r="E871" s="242"/>
      <c r="F871" s="242"/>
      <c r="G871" s="242"/>
      <c r="H871" s="242"/>
      <c r="I871" s="242"/>
      <c r="J871" s="242"/>
      <c r="K871" s="242"/>
      <c r="L871" s="242"/>
      <c r="M871" s="242"/>
      <c r="N871" s="242"/>
      <c r="O871" s="242"/>
      <c r="P871" s="242"/>
      <c r="Q871" s="242"/>
      <c r="R871" s="242"/>
      <c r="S871" s="242"/>
      <c r="T871" s="13"/>
      <c r="U871" s="242"/>
      <c r="V871" s="242"/>
      <c r="W871" s="242"/>
      <c r="X871" s="242"/>
      <c r="Y871" s="242"/>
      <c r="Z871" s="242"/>
    </row>
    <row r="872">
      <c r="A872" s="242"/>
      <c r="B872" s="13"/>
      <c r="C872" s="13"/>
      <c r="D872" s="242"/>
      <c r="E872" s="242"/>
      <c r="F872" s="242"/>
      <c r="G872" s="242"/>
      <c r="H872" s="242"/>
      <c r="I872" s="242"/>
      <c r="J872" s="242"/>
      <c r="K872" s="242"/>
      <c r="L872" s="242"/>
      <c r="M872" s="242"/>
      <c r="N872" s="242"/>
      <c r="O872" s="242"/>
      <c r="P872" s="242"/>
      <c r="Q872" s="242"/>
      <c r="R872" s="242"/>
      <c r="S872" s="242"/>
      <c r="T872" s="13"/>
      <c r="U872" s="242"/>
      <c r="V872" s="242"/>
      <c r="W872" s="242"/>
      <c r="X872" s="242"/>
      <c r="Y872" s="242"/>
      <c r="Z872" s="242"/>
    </row>
    <row r="873">
      <c r="A873" s="242"/>
      <c r="B873" s="13"/>
      <c r="C873" s="13"/>
      <c r="D873" s="242"/>
      <c r="E873" s="242"/>
      <c r="F873" s="242"/>
      <c r="G873" s="242"/>
      <c r="H873" s="242"/>
      <c r="I873" s="242"/>
      <c r="J873" s="242"/>
      <c r="K873" s="242"/>
      <c r="L873" s="242"/>
      <c r="M873" s="242"/>
      <c r="N873" s="242"/>
      <c r="O873" s="242"/>
      <c r="P873" s="242"/>
      <c r="Q873" s="242"/>
      <c r="R873" s="242"/>
      <c r="S873" s="242"/>
      <c r="T873" s="13"/>
      <c r="U873" s="242"/>
      <c r="V873" s="242"/>
      <c r="W873" s="242"/>
      <c r="X873" s="242"/>
      <c r="Y873" s="242"/>
      <c r="Z873" s="242"/>
    </row>
    <row r="874">
      <c r="A874" s="242"/>
      <c r="B874" s="13"/>
      <c r="C874" s="13"/>
      <c r="D874" s="242"/>
      <c r="E874" s="242"/>
      <c r="F874" s="242"/>
      <c r="G874" s="242"/>
      <c r="H874" s="242"/>
      <c r="I874" s="242"/>
      <c r="J874" s="242"/>
      <c r="K874" s="242"/>
      <c r="L874" s="242"/>
      <c r="M874" s="242"/>
      <c r="N874" s="242"/>
      <c r="O874" s="242"/>
      <c r="P874" s="242"/>
      <c r="Q874" s="242"/>
      <c r="R874" s="242"/>
      <c r="S874" s="242"/>
      <c r="T874" s="13"/>
      <c r="U874" s="242"/>
      <c r="V874" s="242"/>
      <c r="W874" s="242"/>
      <c r="X874" s="242"/>
      <c r="Y874" s="242"/>
      <c r="Z874" s="242"/>
    </row>
    <row r="875">
      <c r="A875" s="242"/>
      <c r="B875" s="13"/>
      <c r="C875" s="13"/>
      <c r="D875" s="242"/>
      <c r="E875" s="242"/>
      <c r="F875" s="242"/>
      <c r="G875" s="242"/>
      <c r="H875" s="242"/>
      <c r="I875" s="242"/>
      <c r="J875" s="242"/>
      <c r="K875" s="242"/>
      <c r="L875" s="242"/>
      <c r="M875" s="242"/>
      <c r="N875" s="242"/>
      <c r="O875" s="242"/>
      <c r="P875" s="242"/>
      <c r="Q875" s="242"/>
      <c r="R875" s="242"/>
      <c r="S875" s="242"/>
      <c r="T875" s="13"/>
      <c r="U875" s="242"/>
      <c r="V875" s="242"/>
      <c r="W875" s="242"/>
      <c r="X875" s="242"/>
      <c r="Y875" s="242"/>
      <c r="Z875" s="242"/>
    </row>
    <row r="876">
      <c r="A876" s="242"/>
      <c r="B876" s="13"/>
      <c r="C876" s="13"/>
      <c r="D876" s="242"/>
      <c r="E876" s="242"/>
      <c r="F876" s="242"/>
      <c r="G876" s="242"/>
      <c r="H876" s="242"/>
      <c r="I876" s="242"/>
      <c r="J876" s="242"/>
      <c r="K876" s="242"/>
      <c r="L876" s="242"/>
      <c r="M876" s="242"/>
      <c r="N876" s="242"/>
      <c r="O876" s="242"/>
      <c r="P876" s="242"/>
      <c r="Q876" s="242"/>
      <c r="R876" s="242"/>
      <c r="S876" s="242"/>
      <c r="T876" s="13"/>
      <c r="U876" s="242"/>
      <c r="V876" s="242"/>
      <c r="W876" s="242"/>
      <c r="X876" s="242"/>
      <c r="Y876" s="242"/>
      <c r="Z876" s="242"/>
    </row>
    <row r="877">
      <c r="A877" s="242"/>
      <c r="B877" s="13"/>
      <c r="C877" s="13"/>
      <c r="D877" s="242"/>
      <c r="E877" s="242"/>
      <c r="F877" s="242"/>
      <c r="G877" s="242"/>
      <c r="H877" s="242"/>
      <c r="I877" s="242"/>
      <c r="J877" s="242"/>
      <c r="K877" s="242"/>
      <c r="L877" s="242"/>
      <c r="M877" s="242"/>
      <c r="N877" s="242"/>
      <c r="O877" s="242"/>
      <c r="P877" s="242"/>
      <c r="Q877" s="242"/>
      <c r="R877" s="242"/>
      <c r="S877" s="242"/>
      <c r="T877" s="13"/>
      <c r="U877" s="242"/>
      <c r="V877" s="242"/>
      <c r="W877" s="242"/>
      <c r="X877" s="242"/>
      <c r="Y877" s="242"/>
      <c r="Z877" s="242"/>
    </row>
    <row r="878">
      <c r="A878" s="242"/>
      <c r="B878" s="13"/>
      <c r="C878" s="13"/>
      <c r="D878" s="242"/>
      <c r="E878" s="242"/>
      <c r="F878" s="242"/>
      <c r="G878" s="242"/>
      <c r="H878" s="242"/>
      <c r="I878" s="242"/>
      <c r="J878" s="242"/>
      <c r="K878" s="242"/>
      <c r="L878" s="242"/>
      <c r="M878" s="242"/>
      <c r="N878" s="242"/>
      <c r="O878" s="242"/>
      <c r="P878" s="242"/>
      <c r="Q878" s="242"/>
      <c r="R878" s="242"/>
      <c r="S878" s="242"/>
      <c r="T878" s="13"/>
      <c r="U878" s="242"/>
      <c r="V878" s="242"/>
      <c r="W878" s="242"/>
      <c r="X878" s="242"/>
      <c r="Y878" s="242"/>
      <c r="Z878" s="242"/>
    </row>
    <row r="879">
      <c r="A879" s="242"/>
      <c r="B879" s="13"/>
      <c r="C879" s="13"/>
      <c r="D879" s="242"/>
      <c r="E879" s="242"/>
      <c r="F879" s="242"/>
      <c r="G879" s="242"/>
      <c r="H879" s="242"/>
      <c r="I879" s="242"/>
      <c r="J879" s="242"/>
      <c r="K879" s="242"/>
      <c r="L879" s="242"/>
      <c r="M879" s="242"/>
      <c r="N879" s="242"/>
      <c r="O879" s="242"/>
      <c r="P879" s="242"/>
      <c r="Q879" s="242"/>
      <c r="R879" s="242"/>
      <c r="S879" s="242"/>
      <c r="T879" s="13"/>
      <c r="U879" s="242"/>
      <c r="V879" s="242"/>
      <c r="W879" s="242"/>
      <c r="X879" s="242"/>
      <c r="Y879" s="242"/>
      <c r="Z879" s="242"/>
    </row>
    <row r="880">
      <c r="A880" s="242"/>
      <c r="B880" s="13"/>
      <c r="C880" s="13"/>
      <c r="D880" s="242"/>
      <c r="E880" s="242"/>
      <c r="F880" s="242"/>
      <c r="G880" s="242"/>
      <c r="H880" s="242"/>
      <c r="I880" s="242"/>
      <c r="J880" s="242"/>
      <c r="K880" s="242"/>
      <c r="L880" s="242"/>
      <c r="M880" s="242"/>
      <c r="N880" s="242"/>
      <c r="O880" s="242"/>
      <c r="P880" s="242"/>
      <c r="Q880" s="242"/>
      <c r="R880" s="242"/>
      <c r="S880" s="242"/>
      <c r="T880" s="13"/>
      <c r="U880" s="242"/>
      <c r="V880" s="242"/>
      <c r="W880" s="242"/>
      <c r="X880" s="242"/>
      <c r="Y880" s="242"/>
      <c r="Z880" s="242"/>
    </row>
    <row r="881">
      <c r="A881" s="242"/>
      <c r="B881" s="13"/>
      <c r="C881" s="13"/>
      <c r="D881" s="242"/>
      <c r="E881" s="242"/>
      <c r="F881" s="242"/>
      <c r="G881" s="242"/>
      <c r="H881" s="242"/>
      <c r="I881" s="242"/>
      <c r="J881" s="242"/>
      <c r="K881" s="242"/>
      <c r="L881" s="242"/>
      <c r="M881" s="242"/>
      <c r="N881" s="242"/>
      <c r="O881" s="242"/>
      <c r="P881" s="242"/>
      <c r="Q881" s="242"/>
      <c r="R881" s="242"/>
      <c r="S881" s="242"/>
      <c r="T881" s="13"/>
      <c r="U881" s="242"/>
      <c r="V881" s="242"/>
      <c r="W881" s="242"/>
      <c r="X881" s="242"/>
      <c r="Y881" s="242"/>
      <c r="Z881" s="242"/>
    </row>
    <row r="882">
      <c r="A882" s="242"/>
      <c r="B882" s="13"/>
      <c r="C882" s="13"/>
      <c r="D882" s="242"/>
      <c r="E882" s="242"/>
      <c r="F882" s="242"/>
      <c r="G882" s="242"/>
      <c r="H882" s="242"/>
      <c r="I882" s="242"/>
      <c r="J882" s="242"/>
      <c r="K882" s="242"/>
      <c r="L882" s="242"/>
      <c r="M882" s="242"/>
      <c r="N882" s="242"/>
      <c r="O882" s="242"/>
      <c r="P882" s="242"/>
      <c r="Q882" s="242"/>
      <c r="R882" s="242"/>
      <c r="S882" s="242"/>
      <c r="T882" s="13"/>
      <c r="U882" s="242"/>
      <c r="V882" s="242"/>
      <c r="W882" s="242"/>
      <c r="X882" s="242"/>
      <c r="Y882" s="242"/>
      <c r="Z882" s="242"/>
    </row>
    <row r="883">
      <c r="A883" s="242"/>
      <c r="B883" s="13"/>
      <c r="C883" s="13"/>
      <c r="D883" s="242"/>
      <c r="E883" s="242"/>
      <c r="F883" s="242"/>
      <c r="G883" s="242"/>
      <c r="H883" s="242"/>
      <c r="I883" s="242"/>
      <c r="J883" s="242"/>
      <c r="K883" s="242"/>
      <c r="L883" s="242"/>
      <c r="M883" s="242"/>
      <c r="N883" s="242"/>
      <c r="O883" s="242"/>
      <c r="P883" s="242"/>
      <c r="Q883" s="242"/>
      <c r="R883" s="242"/>
      <c r="S883" s="242"/>
      <c r="T883" s="13"/>
      <c r="U883" s="242"/>
      <c r="V883" s="242"/>
      <c r="W883" s="242"/>
      <c r="X883" s="242"/>
      <c r="Y883" s="242"/>
      <c r="Z883" s="242"/>
    </row>
    <row r="884">
      <c r="A884" s="242"/>
      <c r="B884" s="13"/>
      <c r="C884" s="13"/>
      <c r="D884" s="242"/>
      <c r="E884" s="242"/>
      <c r="F884" s="242"/>
      <c r="G884" s="242"/>
      <c r="H884" s="242"/>
      <c r="I884" s="242"/>
      <c r="J884" s="242"/>
      <c r="K884" s="242"/>
      <c r="L884" s="242"/>
      <c r="M884" s="242"/>
      <c r="N884" s="242"/>
      <c r="O884" s="242"/>
      <c r="P884" s="242"/>
      <c r="Q884" s="242"/>
      <c r="R884" s="242"/>
      <c r="S884" s="242"/>
      <c r="T884" s="13"/>
      <c r="U884" s="242"/>
      <c r="V884" s="242"/>
      <c r="W884" s="242"/>
      <c r="X884" s="242"/>
      <c r="Y884" s="242"/>
      <c r="Z884" s="242"/>
    </row>
    <row r="885">
      <c r="A885" s="242"/>
      <c r="B885" s="13"/>
      <c r="C885" s="13"/>
      <c r="D885" s="242"/>
      <c r="E885" s="242"/>
      <c r="F885" s="242"/>
      <c r="G885" s="242"/>
      <c r="H885" s="242"/>
      <c r="I885" s="242"/>
      <c r="J885" s="242"/>
      <c r="K885" s="242"/>
      <c r="L885" s="242"/>
      <c r="M885" s="242"/>
      <c r="N885" s="242"/>
      <c r="O885" s="242"/>
      <c r="P885" s="242"/>
      <c r="Q885" s="242"/>
      <c r="R885" s="242"/>
      <c r="S885" s="242"/>
      <c r="T885" s="13"/>
      <c r="U885" s="242"/>
      <c r="V885" s="242"/>
      <c r="W885" s="242"/>
      <c r="X885" s="242"/>
      <c r="Y885" s="242"/>
      <c r="Z885" s="242"/>
    </row>
    <row r="886">
      <c r="A886" s="242"/>
      <c r="B886" s="13"/>
      <c r="C886" s="13"/>
      <c r="D886" s="242"/>
      <c r="E886" s="242"/>
      <c r="F886" s="242"/>
      <c r="G886" s="242"/>
      <c r="H886" s="242"/>
      <c r="I886" s="242"/>
      <c r="J886" s="242"/>
      <c r="K886" s="242"/>
      <c r="L886" s="242"/>
      <c r="M886" s="242"/>
      <c r="N886" s="242"/>
      <c r="O886" s="242"/>
      <c r="P886" s="242"/>
      <c r="Q886" s="242"/>
      <c r="R886" s="242"/>
      <c r="S886" s="242"/>
      <c r="T886" s="13"/>
      <c r="U886" s="242"/>
      <c r="V886" s="242"/>
      <c r="W886" s="242"/>
      <c r="X886" s="242"/>
      <c r="Y886" s="242"/>
      <c r="Z886" s="242"/>
    </row>
    <row r="887">
      <c r="A887" s="242"/>
      <c r="B887" s="13"/>
      <c r="C887" s="13"/>
      <c r="D887" s="242"/>
      <c r="E887" s="242"/>
      <c r="F887" s="242"/>
      <c r="G887" s="242"/>
      <c r="H887" s="242"/>
      <c r="I887" s="242"/>
      <c r="J887" s="242"/>
      <c r="K887" s="242"/>
      <c r="L887" s="242"/>
      <c r="M887" s="242"/>
      <c r="N887" s="242"/>
      <c r="O887" s="242"/>
      <c r="P887" s="242"/>
      <c r="Q887" s="242"/>
      <c r="R887" s="242"/>
      <c r="S887" s="242"/>
      <c r="T887" s="13"/>
      <c r="U887" s="242"/>
      <c r="V887" s="242"/>
      <c r="W887" s="242"/>
      <c r="X887" s="242"/>
      <c r="Y887" s="242"/>
      <c r="Z887" s="242"/>
    </row>
    <row r="888">
      <c r="A888" s="242"/>
      <c r="B888" s="13"/>
      <c r="C888" s="13"/>
      <c r="D888" s="242"/>
      <c r="E888" s="242"/>
      <c r="F888" s="242"/>
      <c r="G888" s="242"/>
      <c r="H888" s="242"/>
      <c r="I888" s="242"/>
      <c r="J888" s="242"/>
      <c r="K888" s="242"/>
      <c r="L888" s="242"/>
      <c r="M888" s="242"/>
      <c r="N888" s="242"/>
      <c r="O888" s="242"/>
      <c r="P888" s="242"/>
      <c r="Q888" s="242"/>
      <c r="R888" s="242"/>
      <c r="S888" s="242"/>
      <c r="T888" s="13"/>
      <c r="U888" s="242"/>
      <c r="V888" s="242"/>
      <c r="W888" s="242"/>
      <c r="X888" s="242"/>
      <c r="Y888" s="242"/>
      <c r="Z888" s="242"/>
    </row>
    <row r="889">
      <c r="A889" s="242"/>
      <c r="B889" s="13"/>
      <c r="C889" s="13"/>
      <c r="D889" s="242"/>
      <c r="E889" s="242"/>
      <c r="F889" s="242"/>
      <c r="G889" s="242"/>
      <c r="H889" s="242"/>
      <c r="I889" s="242"/>
      <c r="J889" s="242"/>
      <c r="K889" s="242"/>
      <c r="L889" s="242"/>
      <c r="M889" s="242"/>
      <c r="N889" s="242"/>
      <c r="O889" s="242"/>
      <c r="P889" s="242"/>
      <c r="Q889" s="242"/>
      <c r="R889" s="242"/>
      <c r="S889" s="242"/>
      <c r="T889" s="13"/>
      <c r="U889" s="242"/>
      <c r="V889" s="242"/>
      <c r="W889" s="242"/>
      <c r="X889" s="242"/>
      <c r="Y889" s="242"/>
      <c r="Z889" s="242"/>
    </row>
    <row r="890">
      <c r="A890" s="242"/>
      <c r="B890" s="13"/>
      <c r="C890" s="13"/>
      <c r="D890" s="242"/>
      <c r="E890" s="242"/>
      <c r="F890" s="242"/>
      <c r="G890" s="242"/>
      <c r="H890" s="242"/>
      <c r="I890" s="242"/>
      <c r="J890" s="242"/>
      <c r="K890" s="242"/>
      <c r="L890" s="242"/>
      <c r="M890" s="242"/>
      <c r="N890" s="242"/>
      <c r="O890" s="242"/>
      <c r="P890" s="242"/>
      <c r="Q890" s="242"/>
      <c r="R890" s="242"/>
      <c r="S890" s="242"/>
      <c r="T890" s="13"/>
      <c r="U890" s="242"/>
      <c r="V890" s="242"/>
      <c r="W890" s="242"/>
      <c r="X890" s="242"/>
      <c r="Y890" s="242"/>
      <c r="Z890" s="242"/>
    </row>
    <row r="891">
      <c r="A891" s="242"/>
      <c r="B891" s="13"/>
      <c r="C891" s="13"/>
      <c r="D891" s="242"/>
      <c r="E891" s="242"/>
      <c r="F891" s="242"/>
      <c r="G891" s="242"/>
      <c r="H891" s="242"/>
      <c r="I891" s="242"/>
      <c r="J891" s="242"/>
      <c r="K891" s="242"/>
      <c r="L891" s="242"/>
      <c r="M891" s="242"/>
      <c r="N891" s="242"/>
      <c r="O891" s="242"/>
      <c r="P891" s="242"/>
      <c r="Q891" s="242"/>
      <c r="R891" s="242"/>
      <c r="S891" s="242"/>
      <c r="T891" s="13"/>
      <c r="U891" s="242"/>
      <c r="V891" s="242"/>
      <c r="W891" s="242"/>
      <c r="X891" s="242"/>
      <c r="Y891" s="242"/>
      <c r="Z891" s="242"/>
    </row>
    <row r="892">
      <c r="A892" s="242"/>
      <c r="B892" s="13"/>
      <c r="C892" s="13"/>
      <c r="D892" s="242"/>
      <c r="E892" s="242"/>
      <c r="F892" s="242"/>
      <c r="G892" s="242"/>
      <c r="H892" s="242"/>
      <c r="I892" s="242"/>
      <c r="J892" s="242"/>
      <c r="K892" s="242"/>
      <c r="L892" s="242"/>
      <c r="M892" s="242"/>
      <c r="N892" s="242"/>
      <c r="O892" s="242"/>
      <c r="P892" s="242"/>
      <c r="Q892" s="242"/>
      <c r="R892" s="242"/>
      <c r="S892" s="242"/>
      <c r="T892" s="13"/>
      <c r="U892" s="242"/>
      <c r="V892" s="242"/>
      <c r="W892" s="242"/>
      <c r="X892" s="242"/>
      <c r="Y892" s="242"/>
      <c r="Z892" s="242"/>
    </row>
    <row r="893">
      <c r="A893" s="242"/>
      <c r="B893" s="13"/>
      <c r="C893" s="13"/>
      <c r="D893" s="242"/>
      <c r="E893" s="242"/>
      <c r="F893" s="242"/>
      <c r="G893" s="242"/>
      <c r="H893" s="242"/>
      <c r="I893" s="242"/>
      <c r="J893" s="242"/>
      <c r="K893" s="242"/>
      <c r="L893" s="242"/>
      <c r="M893" s="242"/>
      <c r="N893" s="242"/>
      <c r="O893" s="242"/>
      <c r="P893" s="242"/>
      <c r="Q893" s="242"/>
      <c r="R893" s="242"/>
      <c r="S893" s="242"/>
      <c r="T893" s="13"/>
      <c r="U893" s="242"/>
      <c r="V893" s="242"/>
      <c r="W893" s="242"/>
      <c r="X893" s="242"/>
      <c r="Y893" s="242"/>
      <c r="Z893" s="242"/>
    </row>
    <row r="894">
      <c r="A894" s="242"/>
      <c r="B894" s="13"/>
      <c r="C894" s="13"/>
      <c r="D894" s="242"/>
      <c r="E894" s="242"/>
      <c r="F894" s="242"/>
      <c r="G894" s="242"/>
      <c r="H894" s="242"/>
      <c r="I894" s="242"/>
      <c r="J894" s="242"/>
      <c r="K894" s="242"/>
      <c r="L894" s="242"/>
      <c r="M894" s="242"/>
      <c r="N894" s="242"/>
      <c r="O894" s="242"/>
      <c r="P894" s="242"/>
      <c r="Q894" s="242"/>
      <c r="R894" s="242"/>
      <c r="S894" s="242"/>
      <c r="T894" s="13"/>
      <c r="U894" s="242"/>
      <c r="V894" s="242"/>
      <c r="W894" s="242"/>
      <c r="X894" s="242"/>
      <c r="Y894" s="242"/>
      <c r="Z894" s="242"/>
    </row>
    <row r="895">
      <c r="A895" s="242"/>
      <c r="B895" s="13"/>
      <c r="C895" s="13"/>
      <c r="D895" s="242"/>
      <c r="E895" s="242"/>
      <c r="F895" s="242"/>
      <c r="G895" s="242"/>
      <c r="H895" s="242"/>
      <c r="I895" s="242"/>
      <c r="J895" s="242"/>
      <c r="K895" s="242"/>
      <c r="L895" s="242"/>
      <c r="M895" s="242"/>
      <c r="N895" s="242"/>
      <c r="O895" s="242"/>
      <c r="P895" s="242"/>
      <c r="Q895" s="242"/>
      <c r="R895" s="242"/>
      <c r="S895" s="242"/>
      <c r="T895" s="13"/>
      <c r="U895" s="242"/>
      <c r="V895" s="242"/>
      <c r="W895" s="242"/>
      <c r="X895" s="242"/>
      <c r="Y895" s="242"/>
      <c r="Z895" s="242"/>
    </row>
    <row r="896">
      <c r="A896" s="242"/>
      <c r="B896" s="13"/>
      <c r="C896" s="13"/>
      <c r="D896" s="242"/>
      <c r="E896" s="242"/>
      <c r="F896" s="242"/>
      <c r="G896" s="242"/>
      <c r="H896" s="242"/>
      <c r="I896" s="242"/>
      <c r="J896" s="242"/>
      <c r="K896" s="242"/>
      <c r="L896" s="242"/>
      <c r="M896" s="242"/>
      <c r="N896" s="242"/>
      <c r="O896" s="242"/>
      <c r="P896" s="242"/>
      <c r="Q896" s="242"/>
      <c r="R896" s="242"/>
      <c r="S896" s="242"/>
      <c r="T896" s="13"/>
      <c r="U896" s="242"/>
      <c r="V896" s="242"/>
      <c r="W896" s="242"/>
      <c r="X896" s="242"/>
      <c r="Y896" s="242"/>
      <c r="Z896" s="242"/>
    </row>
    <row r="897">
      <c r="A897" s="242"/>
      <c r="B897" s="13"/>
      <c r="C897" s="13"/>
      <c r="D897" s="242"/>
      <c r="E897" s="242"/>
      <c r="F897" s="242"/>
      <c r="G897" s="242"/>
      <c r="H897" s="242"/>
      <c r="I897" s="242"/>
      <c r="J897" s="242"/>
      <c r="K897" s="242"/>
      <c r="L897" s="242"/>
      <c r="M897" s="242"/>
      <c r="N897" s="242"/>
      <c r="O897" s="242"/>
      <c r="P897" s="242"/>
      <c r="Q897" s="242"/>
      <c r="R897" s="242"/>
      <c r="S897" s="242"/>
      <c r="T897" s="13"/>
      <c r="U897" s="242"/>
      <c r="V897" s="242"/>
      <c r="W897" s="242"/>
      <c r="X897" s="242"/>
      <c r="Y897" s="242"/>
      <c r="Z897" s="242"/>
    </row>
    <row r="898">
      <c r="A898" s="242"/>
      <c r="B898" s="13"/>
      <c r="C898" s="13"/>
      <c r="D898" s="242"/>
      <c r="E898" s="242"/>
      <c r="F898" s="242"/>
      <c r="G898" s="242"/>
      <c r="H898" s="242"/>
      <c r="I898" s="242"/>
      <c r="J898" s="242"/>
      <c r="K898" s="242"/>
      <c r="L898" s="242"/>
      <c r="M898" s="242"/>
      <c r="N898" s="242"/>
      <c r="O898" s="242"/>
      <c r="P898" s="242"/>
      <c r="Q898" s="242"/>
      <c r="R898" s="242"/>
      <c r="S898" s="242"/>
      <c r="T898" s="13"/>
      <c r="U898" s="242"/>
      <c r="V898" s="242"/>
      <c r="W898" s="242"/>
      <c r="X898" s="242"/>
      <c r="Y898" s="242"/>
      <c r="Z898" s="242"/>
    </row>
    <row r="899">
      <c r="A899" s="242"/>
      <c r="B899" s="13"/>
      <c r="C899" s="13"/>
      <c r="D899" s="242"/>
      <c r="E899" s="242"/>
      <c r="F899" s="242"/>
      <c r="G899" s="242"/>
      <c r="H899" s="242"/>
      <c r="I899" s="242"/>
      <c r="J899" s="242"/>
      <c r="K899" s="242"/>
      <c r="L899" s="242"/>
      <c r="M899" s="242"/>
      <c r="N899" s="242"/>
      <c r="O899" s="242"/>
      <c r="P899" s="242"/>
      <c r="Q899" s="242"/>
      <c r="R899" s="242"/>
      <c r="S899" s="242"/>
      <c r="T899" s="13"/>
      <c r="U899" s="242"/>
      <c r="V899" s="242"/>
      <c r="W899" s="242"/>
      <c r="X899" s="242"/>
      <c r="Y899" s="242"/>
      <c r="Z899" s="242"/>
    </row>
    <row r="900">
      <c r="A900" s="242"/>
      <c r="B900" s="13"/>
      <c r="C900" s="13"/>
      <c r="D900" s="242"/>
      <c r="E900" s="242"/>
      <c r="F900" s="242"/>
      <c r="G900" s="242"/>
      <c r="H900" s="242"/>
      <c r="I900" s="242"/>
      <c r="J900" s="242"/>
      <c r="K900" s="242"/>
      <c r="L900" s="242"/>
      <c r="M900" s="242"/>
      <c r="N900" s="242"/>
      <c r="O900" s="242"/>
      <c r="P900" s="242"/>
      <c r="Q900" s="242"/>
      <c r="R900" s="242"/>
      <c r="S900" s="242"/>
      <c r="T900" s="13"/>
      <c r="U900" s="242"/>
      <c r="V900" s="242"/>
      <c r="W900" s="242"/>
      <c r="X900" s="242"/>
      <c r="Y900" s="242"/>
      <c r="Z900" s="242"/>
    </row>
    <row r="901">
      <c r="A901" s="242"/>
      <c r="B901" s="13"/>
      <c r="C901" s="13"/>
      <c r="D901" s="242"/>
      <c r="E901" s="242"/>
      <c r="F901" s="242"/>
      <c r="G901" s="242"/>
      <c r="H901" s="242"/>
      <c r="I901" s="242"/>
      <c r="J901" s="242"/>
      <c r="K901" s="242"/>
      <c r="L901" s="242"/>
      <c r="M901" s="242"/>
      <c r="N901" s="242"/>
      <c r="O901" s="242"/>
      <c r="P901" s="242"/>
      <c r="Q901" s="242"/>
      <c r="R901" s="242"/>
      <c r="S901" s="242"/>
      <c r="T901" s="13"/>
      <c r="U901" s="242"/>
      <c r="V901" s="242"/>
      <c r="W901" s="242"/>
      <c r="X901" s="242"/>
      <c r="Y901" s="242"/>
      <c r="Z901" s="242"/>
    </row>
    <row r="902">
      <c r="A902" s="242"/>
      <c r="B902" s="13"/>
      <c r="C902" s="13"/>
      <c r="D902" s="242"/>
      <c r="E902" s="242"/>
      <c r="F902" s="242"/>
      <c r="G902" s="242"/>
      <c r="H902" s="242"/>
      <c r="I902" s="242"/>
      <c r="J902" s="242"/>
      <c r="K902" s="242"/>
      <c r="L902" s="242"/>
      <c r="M902" s="242"/>
      <c r="N902" s="242"/>
      <c r="O902" s="242"/>
      <c r="P902" s="242"/>
      <c r="Q902" s="242"/>
      <c r="R902" s="242"/>
      <c r="S902" s="242"/>
      <c r="T902" s="13"/>
      <c r="U902" s="242"/>
      <c r="V902" s="242"/>
      <c r="W902" s="242"/>
      <c r="X902" s="242"/>
      <c r="Y902" s="242"/>
      <c r="Z902" s="242"/>
    </row>
    <row r="903">
      <c r="A903" s="242"/>
      <c r="B903" s="13"/>
      <c r="C903" s="13"/>
      <c r="D903" s="242"/>
      <c r="E903" s="242"/>
      <c r="F903" s="242"/>
      <c r="G903" s="242"/>
      <c r="H903" s="242"/>
      <c r="I903" s="242"/>
      <c r="J903" s="242"/>
      <c r="K903" s="242"/>
      <c r="L903" s="242"/>
      <c r="M903" s="242"/>
      <c r="N903" s="242"/>
      <c r="O903" s="242"/>
      <c r="P903" s="242"/>
      <c r="Q903" s="242"/>
      <c r="R903" s="242"/>
      <c r="S903" s="242"/>
      <c r="T903" s="13"/>
      <c r="U903" s="242"/>
      <c r="V903" s="242"/>
      <c r="W903" s="242"/>
      <c r="X903" s="242"/>
      <c r="Y903" s="242"/>
      <c r="Z903" s="242"/>
    </row>
    <row r="904">
      <c r="A904" s="242"/>
      <c r="B904" s="13"/>
      <c r="C904" s="13"/>
      <c r="D904" s="242"/>
      <c r="E904" s="242"/>
      <c r="F904" s="242"/>
      <c r="G904" s="242"/>
      <c r="H904" s="242"/>
      <c r="I904" s="242"/>
      <c r="J904" s="242"/>
      <c r="K904" s="242"/>
      <c r="L904" s="242"/>
      <c r="M904" s="242"/>
      <c r="N904" s="242"/>
      <c r="O904" s="242"/>
      <c r="P904" s="242"/>
      <c r="Q904" s="242"/>
      <c r="R904" s="242"/>
      <c r="S904" s="242"/>
      <c r="T904" s="13"/>
      <c r="U904" s="242"/>
      <c r="V904" s="242"/>
      <c r="W904" s="242"/>
      <c r="X904" s="242"/>
      <c r="Y904" s="242"/>
      <c r="Z904" s="242"/>
    </row>
    <row r="905">
      <c r="A905" s="242"/>
      <c r="B905" s="13"/>
      <c r="C905" s="13"/>
      <c r="D905" s="242"/>
      <c r="E905" s="242"/>
      <c r="F905" s="242"/>
      <c r="G905" s="242"/>
      <c r="H905" s="242"/>
      <c r="I905" s="242"/>
      <c r="J905" s="242"/>
      <c r="K905" s="242"/>
      <c r="L905" s="242"/>
      <c r="M905" s="242"/>
      <c r="N905" s="242"/>
      <c r="O905" s="242"/>
      <c r="P905" s="242"/>
      <c r="Q905" s="242"/>
      <c r="R905" s="242"/>
      <c r="S905" s="242"/>
      <c r="T905" s="13"/>
      <c r="U905" s="242"/>
      <c r="V905" s="242"/>
      <c r="W905" s="242"/>
      <c r="X905" s="242"/>
      <c r="Y905" s="242"/>
      <c r="Z905" s="242"/>
    </row>
    <row r="906">
      <c r="A906" s="242"/>
      <c r="B906" s="13"/>
      <c r="C906" s="13"/>
      <c r="D906" s="242"/>
      <c r="E906" s="242"/>
      <c r="F906" s="242"/>
      <c r="G906" s="242"/>
      <c r="H906" s="242"/>
      <c r="I906" s="242"/>
      <c r="J906" s="242"/>
      <c r="K906" s="242"/>
      <c r="L906" s="242"/>
      <c r="M906" s="242"/>
      <c r="N906" s="242"/>
      <c r="O906" s="242"/>
      <c r="P906" s="242"/>
      <c r="Q906" s="242"/>
      <c r="R906" s="242"/>
      <c r="S906" s="242"/>
      <c r="T906" s="13"/>
      <c r="U906" s="242"/>
      <c r="V906" s="242"/>
      <c r="W906" s="242"/>
      <c r="X906" s="242"/>
      <c r="Y906" s="242"/>
      <c r="Z906" s="242"/>
    </row>
    <row r="907">
      <c r="A907" s="242"/>
      <c r="B907" s="13"/>
      <c r="C907" s="13"/>
      <c r="D907" s="242"/>
      <c r="E907" s="242"/>
      <c r="F907" s="242"/>
      <c r="G907" s="242"/>
      <c r="H907" s="242"/>
      <c r="I907" s="242"/>
      <c r="J907" s="242"/>
      <c r="K907" s="242"/>
      <c r="L907" s="242"/>
      <c r="M907" s="242"/>
      <c r="N907" s="242"/>
      <c r="O907" s="242"/>
      <c r="P907" s="242"/>
      <c r="Q907" s="242"/>
      <c r="R907" s="242"/>
      <c r="S907" s="242"/>
      <c r="T907" s="13"/>
      <c r="U907" s="242"/>
      <c r="V907" s="242"/>
      <c r="W907" s="242"/>
      <c r="X907" s="242"/>
      <c r="Y907" s="242"/>
      <c r="Z907" s="242"/>
    </row>
    <row r="908">
      <c r="A908" s="242"/>
      <c r="B908" s="13"/>
      <c r="C908" s="13"/>
      <c r="D908" s="242"/>
      <c r="E908" s="242"/>
      <c r="F908" s="242"/>
      <c r="G908" s="242"/>
      <c r="H908" s="242"/>
      <c r="I908" s="242"/>
      <c r="J908" s="242"/>
      <c r="K908" s="242"/>
      <c r="L908" s="242"/>
      <c r="M908" s="242"/>
      <c r="N908" s="242"/>
      <c r="O908" s="242"/>
      <c r="P908" s="242"/>
      <c r="Q908" s="242"/>
      <c r="R908" s="242"/>
      <c r="S908" s="242"/>
      <c r="T908" s="13"/>
      <c r="U908" s="242"/>
      <c r="V908" s="242"/>
      <c r="W908" s="242"/>
      <c r="X908" s="242"/>
      <c r="Y908" s="242"/>
      <c r="Z908" s="242"/>
    </row>
    <row r="909">
      <c r="A909" s="242"/>
      <c r="B909" s="13"/>
      <c r="C909" s="13"/>
      <c r="D909" s="242"/>
      <c r="E909" s="242"/>
      <c r="F909" s="242"/>
      <c r="G909" s="242"/>
      <c r="H909" s="242"/>
      <c r="I909" s="242"/>
      <c r="J909" s="242"/>
      <c r="K909" s="242"/>
      <c r="L909" s="242"/>
      <c r="M909" s="242"/>
      <c r="N909" s="242"/>
      <c r="O909" s="242"/>
      <c r="P909" s="242"/>
      <c r="Q909" s="242"/>
      <c r="R909" s="242"/>
      <c r="S909" s="242"/>
      <c r="T909" s="13"/>
      <c r="U909" s="242"/>
      <c r="V909" s="242"/>
      <c r="W909" s="242"/>
      <c r="X909" s="242"/>
      <c r="Y909" s="242"/>
      <c r="Z909" s="242"/>
    </row>
    <row r="910">
      <c r="A910" s="242"/>
      <c r="B910" s="13"/>
      <c r="C910" s="13"/>
      <c r="D910" s="242"/>
      <c r="E910" s="242"/>
      <c r="F910" s="242"/>
      <c r="G910" s="242"/>
      <c r="H910" s="242"/>
      <c r="I910" s="242"/>
      <c r="J910" s="242"/>
      <c r="K910" s="242"/>
      <c r="L910" s="242"/>
      <c r="M910" s="242"/>
      <c r="N910" s="242"/>
      <c r="O910" s="242"/>
      <c r="P910" s="242"/>
      <c r="Q910" s="242"/>
      <c r="R910" s="242"/>
      <c r="S910" s="242"/>
      <c r="T910" s="13"/>
      <c r="U910" s="242"/>
      <c r="V910" s="242"/>
      <c r="W910" s="242"/>
      <c r="X910" s="242"/>
      <c r="Y910" s="242"/>
      <c r="Z910" s="242"/>
    </row>
    <row r="911">
      <c r="A911" s="242"/>
      <c r="B911" s="13"/>
      <c r="C911" s="13"/>
      <c r="D911" s="242"/>
      <c r="E911" s="242"/>
      <c r="F911" s="242"/>
      <c r="G911" s="242"/>
      <c r="H911" s="242"/>
      <c r="I911" s="242"/>
      <c r="J911" s="242"/>
      <c r="K911" s="242"/>
      <c r="L911" s="242"/>
      <c r="M911" s="242"/>
      <c r="N911" s="242"/>
      <c r="O911" s="242"/>
      <c r="P911" s="242"/>
      <c r="Q911" s="242"/>
      <c r="R911" s="242"/>
      <c r="S911" s="242"/>
      <c r="T911" s="13"/>
      <c r="U911" s="242"/>
      <c r="V911" s="242"/>
      <c r="W911" s="242"/>
      <c r="X911" s="242"/>
      <c r="Y911" s="242"/>
      <c r="Z911" s="242"/>
    </row>
    <row r="912">
      <c r="A912" s="242"/>
      <c r="B912" s="13"/>
      <c r="C912" s="13"/>
      <c r="D912" s="242"/>
      <c r="E912" s="242"/>
      <c r="F912" s="242"/>
      <c r="G912" s="242"/>
      <c r="H912" s="242"/>
      <c r="I912" s="242"/>
      <c r="J912" s="242"/>
      <c r="K912" s="242"/>
      <c r="L912" s="242"/>
      <c r="M912" s="242"/>
      <c r="N912" s="242"/>
      <c r="O912" s="242"/>
      <c r="P912" s="242"/>
      <c r="Q912" s="242"/>
      <c r="R912" s="242"/>
      <c r="S912" s="242"/>
      <c r="T912" s="13"/>
      <c r="U912" s="242"/>
      <c r="V912" s="242"/>
      <c r="W912" s="242"/>
      <c r="X912" s="242"/>
      <c r="Y912" s="242"/>
      <c r="Z912" s="242"/>
    </row>
    <row r="913">
      <c r="A913" s="242"/>
      <c r="B913" s="13"/>
      <c r="C913" s="13"/>
      <c r="D913" s="242"/>
      <c r="E913" s="242"/>
      <c r="F913" s="242"/>
      <c r="G913" s="242"/>
      <c r="H913" s="242"/>
      <c r="I913" s="242"/>
      <c r="J913" s="242"/>
      <c r="K913" s="242"/>
      <c r="L913" s="242"/>
      <c r="M913" s="242"/>
      <c r="N913" s="242"/>
      <c r="O913" s="242"/>
      <c r="P913" s="242"/>
      <c r="Q913" s="242"/>
      <c r="R913" s="242"/>
      <c r="S913" s="242"/>
      <c r="T913" s="13"/>
      <c r="U913" s="242"/>
      <c r="V913" s="242"/>
      <c r="W913" s="242"/>
      <c r="X913" s="242"/>
      <c r="Y913" s="242"/>
      <c r="Z913" s="242"/>
    </row>
    <row r="914">
      <c r="A914" s="242"/>
      <c r="B914" s="13"/>
      <c r="C914" s="13"/>
      <c r="D914" s="242"/>
      <c r="E914" s="242"/>
      <c r="F914" s="242"/>
      <c r="G914" s="242"/>
      <c r="H914" s="242"/>
      <c r="I914" s="242"/>
      <c r="J914" s="242"/>
      <c r="K914" s="242"/>
      <c r="L914" s="242"/>
      <c r="M914" s="242"/>
      <c r="N914" s="242"/>
      <c r="O914" s="242"/>
      <c r="P914" s="242"/>
      <c r="Q914" s="242"/>
      <c r="R914" s="242"/>
      <c r="S914" s="242"/>
      <c r="T914" s="13"/>
      <c r="U914" s="242"/>
      <c r="V914" s="242"/>
      <c r="W914" s="242"/>
      <c r="X914" s="242"/>
      <c r="Y914" s="242"/>
      <c r="Z914" s="242"/>
    </row>
    <row r="915">
      <c r="A915" s="242"/>
      <c r="B915" s="13"/>
      <c r="C915" s="13"/>
      <c r="D915" s="242"/>
      <c r="E915" s="242"/>
      <c r="F915" s="242"/>
      <c r="G915" s="242"/>
      <c r="H915" s="242"/>
      <c r="I915" s="242"/>
      <c r="J915" s="242"/>
      <c r="K915" s="242"/>
      <c r="L915" s="242"/>
      <c r="M915" s="242"/>
      <c r="N915" s="242"/>
      <c r="O915" s="242"/>
      <c r="P915" s="242"/>
      <c r="Q915" s="242"/>
      <c r="R915" s="242"/>
      <c r="S915" s="242"/>
      <c r="T915" s="13"/>
      <c r="U915" s="242"/>
      <c r="V915" s="242"/>
      <c r="W915" s="242"/>
      <c r="X915" s="242"/>
      <c r="Y915" s="242"/>
      <c r="Z915" s="242"/>
    </row>
    <row r="916">
      <c r="A916" s="242"/>
      <c r="B916" s="13"/>
      <c r="C916" s="13"/>
      <c r="D916" s="242"/>
      <c r="E916" s="242"/>
      <c r="F916" s="242"/>
      <c r="G916" s="242"/>
      <c r="H916" s="242"/>
      <c r="I916" s="242"/>
      <c r="J916" s="242"/>
      <c r="K916" s="242"/>
      <c r="L916" s="242"/>
      <c r="M916" s="242"/>
      <c r="N916" s="242"/>
      <c r="O916" s="242"/>
      <c r="P916" s="242"/>
      <c r="Q916" s="242"/>
      <c r="R916" s="242"/>
      <c r="S916" s="242"/>
      <c r="T916" s="13"/>
      <c r="U916" s="242"/>
      <c r="V916" s="242"/>
      <c r="W916" s="242"/>
      <c r="X916" s="242"/>
      <c r="Y916" s="242"/>
      <c r="Z916" s="242"/>
    </row>
    <row r="917">
      <c r="A917" s="242"/>
      <c r="B917" s="13"/>
      <c r="C917" s="13"/>
      <c r="D917" s="242"/>
      <c r="E917" s="242"/>
      <c r="F917" s="242"/>
      <c r="G917" s="242"/>
      <c r="H917" s="242"/>
      <c r="I917" s="242"/>
      <c r="J917" s="242"/>
      <c r="K917" s="242"/>
      <c r="L917" s="242"/>
      <c r="M917" s="242"/>
      <c r="N917" s="242"/>
      <c r="O917" s="242"/>
      <c r="P917" s="242"/>
      <c r="Q917" s="242"/>
      <c r="R917" s="242"/>
      <c r="S917" s="242"/>
      <c r="T917" s="13"/>
      <c r="U917" s="242"/>
      <c r="V917" s="242"/>
      <c r="W917" s="242"/>
      <c r="X917" s="242"/>
      <c r="Y917" s="242"/>
      <c r="Z917" s="242"/>
    </row>
    <row r="918">
      <c r="A918" s="242"/>
      <c r="B918" s="13"/>
      <c r="C918" s="13"/>
      <c r="D918" s="242"/>
      <c r="E918" s="242"/>
      <c r="F918" s="242"/>
      <c r="G918" s="242"/>
      <c r="H918" s="242"/>
      <c r="I918" s="242"/>
      <c r="J918" s="242"/>
      <c r="K918" s="242"/>
      <c r="L918" s="242"/>
      <c r="M918" s="242"/>
      <c r="N918" s="242"/>
      <c r="O918" s="242"/>
      <c r="P918" s="242"/>
      <c r="Q918" s="242"/>
      <c r="R918" s="242"/>
      <c r="S918" s="242"/>
      <c r="T918" s="13"/>
      <c r="U918" s="242"/>
      <c r="V918" s="242"/>
      <c r="W918" s="242"/>
      <c r="X918" s="242"/>
      <c r="Y918" s="242"/>
      <c r="Z918" s="242"/>
    </row>
    <row r="919">
      <c r="A919" s="242"/>
      <c r="B919" s="13"/>
      <c r="C919" s="13"/>
      <c r="D919" s="242"/>
      <c r="E919" s="242"/>
      <c r="F919" s="242"/>
      <c r="G919" s="242"/>
      <c r="H919" s="242"/>
      <c r="I919" s="242"/>
      <c r="J919" s="242"/>
      <c r="K919" s="242"/>
      <c r="L919" s="242"/>
      <c r="M919" s="242"/>
      <c r="N919" s="242"/>
      <c r="O919" s="242"/>
      <c r="P919" s="242"/>
      <c r="Q919" s="242"/>
      <c r="R919" s="242"/>
      <c r="S919" s="242"/>
      <c r="T919" s="13"/>
      <c r="U919" s="242"/>
      <c r="V919" s="242"/>
      <c r="W919" s="242"/>
      <c r="X919" s="242"/>
      <c r="Y919" s="242"/>
      <c r="Z919" s="242"/>
    </row>
    <row r="920">
      <c r="A920" s="242"/>
      <c r="B920" s="13"/>
      <c r="C920" s="13"/>
      <c r="D920" s="242"/>
      <c r="E920" s="242"/>
      <c r="F920" s="242"/>
      <c r="G920" s="242"/>
      <c r="H920" s="242"/>
      <c r="I920" s="242"/>
      <c r="J920" s="242"/>
      <c r="K920" s="242"/>
      <c r="L920" s="242"/>
      <c r="M920" s="242"/>
      <c r="N920" s="242"/>
      <c r="O920" s="242"/>
      <c r="P920" s="242"/>
      <c r="Q920" s="242"/>
      <c r="R920" s="242"/>
      <c r="S920" s="242"/>
      <c r="T920" s="13"/>
      <c r="U920" s="242"/>
      <c r="V920" s="242"/>
      <c r="W920" s="242"/>
      <c r="X920" s="242"/>
      <c r="Y920" s="242"/>
      <c r="Z920" s="242"/>
    </row>
    <row r="921">
      <c r="A921" s="242"/>
      <c r="B921" s="13"/>
      <c r="C921" s="13"/>
      <c r="D921" s="242"/>
      <c r="E921" s="242"/>
      <c r="F921" s="242"/>
      <c r="G921" s="242"/>
      <c r="H921" s="242"/>
      <c r="I921" s="242"/>
      <c r="J921" s="242"/>
      <c r="K921" s="242"/>
      <c r="L921" s="242"/>
      <c r="M921" s="242"/>
      <c r="N921" s="242"/>
      <c r="O921" s="242"/>
      <c r="P921" s="242"/>
      <c r="Q921" s="242"/>
      <c r="R921" s="242"/>
      <c r="S921" s="242"/>
      <c r="T921" s="13"/>
      <c r="U921" s="242"/>
      <c r="V921" s="242"/>
      <c r="W921" s="242"/>
      <c r="X921" s="242"/>
      <c r="Y921" s="242"/>
      <c r="Z921" s="242"/>
    </row>
    <row r="922">
      <c r="A922" s="242"/>
      <c r="B922" s="13"/>
      <c r="C922" s="13"/>
      <c r="D922" s="242"/>
      <c r="E922" s="242"/>
      <c r="F922" s="242"/>
      <c r="G922" s="242"/>
      <c r="H922" s="242"/>
      <c r="I922" s="242"/>
      <c r="J922" s="242"/>
      <c r="K922" s="242"/>
      <c r="L922" s="242"/>
      <c r="M922" s="242"/>
      <c r="N922" s="242"/>
      <c r="O922" s="242"/>
      <c r="P922" s="242"/>
      <c r="Q922" s="242"/>
      <c r="R922" s="242"/>
      <c r="S922" s="242"/>
      <c r="T922" s="13"/>
      <c r="U922" s="242"/>
      <c r="V922" s="242"/>
      <c r="W922" s="242"/>
      <c r="X922" s="242"/>
      <c r="Y922" s="242"/>
      <c r="Z922" s="242"/>
    </row>
    <row r="923">
      <c r="A923" s="242"/>
      <c r="B923" s="13"/>
      <c r="C923" s="13"/>
      <c r="D923" s="242"/>
      <c r="E923" s="242"/>
      <c r="F923" s="242"/>
      <c r="G923" s="242"/>
      <c r="H923" s="242"/>
      <c r="I923" s="242"/>
      <c r="J923" s="242"/>
      <c r="K923" s="242"/>
      <c r="L923" s="242"/>
      <c r="M923" s="242"/>
      <c r="N923" s="242"/>
      <c r="O923" s="242"/>
      <c r="P923" s="242"/>
      <c r="Q923" s="242"/>
      <c r="R923" s="242"/>
      <c r="S923" s="242"/>
      <c r="T923" s="13"/>
      <c r="U923" s="242"/>
      <c r="V923" s="242"/>
      <c r="W923" s="242"/>
      <c r="X923" s="242"/>
      <c r="Y923" s="242"/>
      <c r="Z923" s="242"/>
    </row>
    <row r="924">
      <c r="A924" s="242"/>
      <c r="B924" s="13"/>
      <c r="C924" s="13"/>
      <c r="D924" s="242"/>
      <c r="E924" s="242"/>
      <c r="F924" s="242"/>
      <c r="G924" s="242"/>
      <c r="H924" s="242"/>
      <c r="I924" s="242"/>
      <c r="J924" s="242"/>
      <c r="K924" s="242"/>
      <c r="L924" s="242"/>
      <c r="M924" s="242"/>
      <c r="N924" s="242"/>
      <c r="O924" s="242"/>
      <c r="P924" s="242"/>
      <c r="Q924" s="242"/>
      <c r="R924" s="242"/>
      <c r="S924" s="242"/>
      <c r="T924" s="13"/>
      <c r="U924" s="242"/>
      <c r="V924" s="242"/>
      <c r="W924" s="242"/>
      <c r="X924" s="242"/>
      <c r="Y924" s="242"/>
      <c r="Z924" s="242"/>
    </row>
    <row r="925">
      <c r="A925" s="242"/>
      <c r="B925" s="13"/>
      <c r="C925" s="13"/>
      <c r="D925" s="242"/>
      <c r="E925" s="242"/>
      <c r="F925" s="242"/>
      <c r="G925" s="242"/>
      <c r="H925" s="242"/>
      <c r="I925" s="242"/>
      <c r="J925" s="242"/>
      <c r="K925" s="242"/>
      <c r="L925" s="242"/>
      <c r="M925" s="242"/>
      <c r="N925" s="242"/>
      <c r="O925" s="242"/>
      <c r="P925" s="242"/>
      <c r="Q925" s="242"/>
      <c r="R925" s="242"/>
      <c r="S925" s="242"/>
      <c r="T925" s="13"/>
      <c r="U925" s="242"/>
      <c r="V925" s="242"/>
      <c r="W925" s="242"/>
      <c r="X925" s="242"/>
      <c r="Y925" s="242"/>
      <c r="Z925" s="242"/>
    </row>
    <row r="926">
      <c r="A926" s="242"/>
      <c r="B926" s="13"/>
      <c r="C926" s="13"/>
      <c r="D926" s="242"/>
      <c r="E926" s="242"/>
      <c r="F926" s="242"/>
      <c r="G926" s="242"/>
      <c r="H926" s="242"/>
      <c r="I926" s="242"/>
      <c r="J926" s="242"/>
      <c r="K926" s="242"/>
      <c r="L926" s="242"/>
      <c r="M926" s="242"/>
      <c r="N926" s="242"/>
      <c r="O926" s="242"/>
      <c r="P926" s="242"/>
      <c r="Q926" s="242"/>
      <c r="R926" s="242"/>
      <c r="S926" s="242"/>
      <c r="T926" s="13"/>
      <c r="U926" s="242"/>
      <c r="V926" s="242"/>
      <c r="W926" s="242"/>
      <c r="X926" s="242"/>
      <c r="Y926" s="242"/>
      <c r="Z926" s="242"/>
    </row>
    <row r="927">
      <c r="A927" s="242"/>
      <c r="B927" s="13"/>
      <c r="C927" s="13"/>
      <c r="D927" s="242"/>
      <c r="E927" s="242"/>
      <c r="F927" s="242"/>
      <c r="G927" s="242"/>
      <c r="H927" s="242"/>
      <c r="I927" s="242"/>
      <c r="J927" s="242"/>
      <c r="K927" s="242"/>
      <c r="L927" s="242"/>
      <c r="M927" s="242"/>
      <c r="N927" s="242"/>
      <c r="O927" s="242"/>
      <c r="P927" s="242"/>
      <c r="Q927" s="242"/>
      <c r="R927" s="242"/>
      <c r="S927" s="242"/>
      <c r="T927" s="13"/>
      <c r="U927" s="242"/>
      <c r="V927" s="242"/>
      <c r="W927" s="242"/>
      <c r="X927" s="242"/>
      <c r="Y927" s="242"/>
      <c r="Z927" s="242"/>
    </row>
    <row r="928">
      <c r="A928" s="242"/>
      <c r="B928" s="13"/>
      <c r="C928" s="13"/>
      <c r="D928" s="242"/>
      <c r="E928" s="242"/>
      <c r="F928" s="242"/>
      <c r="G928" s="242"/>
      <c r="H928" s="242"/>
      <c r="I928" s="242"/>
      <c r="J928" s="242"/>
      <c r="K928" s="242"/>
      <c r="L928" s="242"/>
      <c r="M928" s="242"/>
      <c r="N928" s="242"/>
      <c r="O928" s="242"/>
      <c r="P928" s="242"/>
      <c r="Q928" s="242"/>
      <c r="R928" s="242"/>
      <c r="S928" s="242"/>
      <c r="T928" s="13"/>
      <c r="U928" s="242"/>
      <c r="V928" s="242"/>
      <c r="W928" s="242"/>
      <c r="X928" s="242"/>
      <c r="Y928" s="242"/>
      <c r="Z928" s="242"/>
    </row>
    <row r="929">
      <c r="A929" s="242"/>
      <c r="B929" s="13"/>
      <c r="C929" s="13"/>
      <c r="D929" s="242"/>
      <c r="E929" s="242"/>
      <c r="F929" s="242"/>
      <c r="G929" s="242"/>
      <c r="H929" s="242"/>
      <c r="I929" s="242"/>
      <c r="J929" s="242"/>
      <c r="K929" s="242"/>
      <c r="L929" s="242"/>
      <c r="M929" s="242"/>
      <c r="N929" s="242"/>
      <c r="O929" s="242"/>
      <c r="P929" s="242"/>
      <c r="Q929" s="242"/>
      <c r="R929" s="242"/>
      <c r="S929" s="242"/>
      <c r="T929" s="13"/>
      <c r="U929" s="242"/>
      <c r="V929" s="242"/>
      <c r="W929" s="242"/>
      <c r="X929" s="242"/>
      <c r="Y929" s="242"/>
      <c r="Z929" s="242"/>
    </row>
    <row r="930">
      <c r="A930" s="242"/>
      <c r="B930" s="13"/>
      <c r="C930" s="13"/>
      <c r="D930" s="242"/>
      <c r="E930" s="242"/>
      <c r="F930" s="242"/>
      <c r="G930" s="242"/>
      <c r="H930" s="242"/>
      <c r="I930" s="242"/>
      <c r="J930" s="242"/>
      <c r="K930" s="242"/>
      <c r="L930" s="242"/>
      <c r="M930" s="242"/>
      <c r="N930" s="242"/>
      <c r="O930" s="242"/>
      <c r="P930" s="242"/>
      <c r="Q930" s="242"/>
      <c r="R930" s="242"/>
      <c r="S930" s="242"/>
      <c r="T930" s="13"/>
      <c r="U930" s="242"/>
      <c r="V930" s="242"/>
      <c r="W930" s="242"/>
      <c r="X930" s="242"/>
      <c r="Y930" s="242"/>
      <c r="Z930" s="242"/>
    </row>
    <row r="931">
      <c r="A931" s="242"/>
      <c r="B931" s="13"/>
      <c r="C931" s="13"/>
      <c r="D931" s="242"/>
      <c r="E931" s="242"/>
      <c r="F931" s="242"/>
      <c r="G931" s="242"/>
      <c r="H931" s="242"/>
      <c r="I931" s="242"/>
      <c r="J931" s="242"/>
      <c r="K931" s="242"/>
      <c r="L931" s="242"/>
      <c r="M931" s="242"/>
      <c r="N931" s="242"/>
      <c r="O931" s="242"/>
      <c r="P931" s="242"/>
      <c r="Q931" s="242"/>
      <c r="R931" s="242"/>
      <c r="S931" s="242"/>
      <c r="T931" s="13"/>
      <c r="U931" s="242"/>
      <c r="V931" s="242"/>
      <c r="W931" s="242"/>
      <c r="X931" s="242"/>
      <c r="Y931" s="242"/>
      <c r="Z931" s="242"/>
    </row>
    <row r="932">
      <c r="A932" s="242"/>
      <c r="B932" s="13"/>
      <c r="C932" s="13"/>
      <c r="D932" s="242"/>
      <c r="E932" s="242"/>
      <c r="F932" s="242"/>
      <c r="G932" s="242"/>
      <c r="H932" s="242"/>
      <c r="I932" s="242"/>
      <c r="J932" s="242"/>
      <c r="K932" s="242"/>
      <c r="L932" s="242"/>
      <c r="M932" s="242"/>
      <c r="N932" s="242"/>
      <c r="O932" s="242"/>
      <c r="P932" s="242"/>
      <c r="Q932" s="242"/>
      <c r="R932" s="242"/>
      <c r="S932" s="242"/>
      <c r="T932" s="13"/>
      <c r="U932" s="242"/>
      <c r="V932" s="242"/>
      <c r="W932" s="242"/>
      <c r="X932" s="242"/>
      <c r="Y932" s="242"/>
      <c r="Z932" s="242"/>
    </row>
    <row r="933">
      <c r="A933" s="242"/>
      <c r="B933" s="13"/>
      <c r="C933" s="13"/>
      <c r="D933" s="242"/>
      <c r="E933" s="242"/>
      <c r="F933" s="242"/>
      <c r="G933" s="242"/>
      <c r="H933" s="242"/>
      <c r="I933" s="242"/>
      <c r="J933" s="242"/>
      <c r="K933" s="242"/>
      <c r="L933" s="242"/>
      <c r="M933" s="242"/>
      <c r="N933" s="242"/>
      <c r="O933" s="242"/>
      <c r="P933" s="242"/>
      <c r="Q933" s="242"/>
      <c r="R933" s="242"/>
      <c r="S933" s="242"/>
      <c r="T933" s="13"/>
      <c r="U933" s="242"/>
      <c r="V933" s="242"/>
      <c r="W933" s="242"/>
      <c r="X933" s="242"/>
      <c r="Y933" s="242"/>
      <c r="Z933" s="242"/>
    </row>
    <row r="934">
      <c r="A934" s="242"/>
      <c r="B934" s="13"/>
      <c r="C934" s="13"/>
      <c r="D934" s="242"/>
      <c r="E934" s="242"/>
      <c r="F934" s="242"/>
      <c r="G934" s="242"/>
      <c r="H934" s="242"/>
      <c r="I934" s="242"/>
      <c r="J934" s="242"/>
      <c r="K934" s="242"/>
      <c r="L934" s="242"/>
      <c r="M934" s="242"/>
      <c r="N934" s="242"/>
      <c r="O934" s="242"/>
      <c r="P934" s="242"/>
      <c r="Q934" s="242"/>
      <c r="R934" s="242"/>
      <c r="S934" s="242"/>
      <c r="T934" s="13"/>
      <c r="U934" s="242"/>
      <c r="V934" s="242"/>
      <c r="W934" s="242"/>
      <c r="X934" s="242"/>
      <c r="Y934" s="242"/>
      <c r="Z934" s="242"/>
    </row>
    <row r="935">
      <c r="A935" s="242"/>
      <c r="B935" s="13"/>
      <c r="C935" s="13"/>
      <c r="D935" s="242"/>
      <c r="E935" s="242"/>
      <c r="F935" s="242"/>
      <c r="G935" s="242"/>
      <c r="H935" s="242"/>
      <c r="I935" s="242"/>
      <c r="J935" s="242"/>
      <c r="K935" s="242"/>
      <c r="L935" s="242"/>
      <c r="M935" s="242"/>
      <c r="N935" s="242"/>
      <c r="O935" s="242"/>
      <c r="P935" s="242"/>
      <c r="Q935" s="242"/>
      <c r="R935" s="242"/>
      <c r="S935" s="242"/>
      <c r="T935" s="13"/>
      <c r="U935" s="242"/>
      <c r="V935" s="242"/>
      <c r="W935" s="242"/>
      <c r="X935" s="242"/>
      <c r="Y935" s="242"/>
      <c r="Z935" s="242"/>
    </row>
    <row r="936">
      <c r="A936" s="242"/>
      <c r="B936" s="13"/>
      <c r="C936" s="13"/>
      <c r="D936" s="242"/>
      <c r="E936" s="242"/>
      <c r="F936" s="242"/>
      <c r="G936" s="242"/>
      <c r="H936" s="242"/>
      <c r="I936" s="242"/>
      <c r="J936" s="242"/>
      <c r="K936" s="242"/>
      <c r="L936" s="242"/>
      <c r="M936" s="242"/>
      <c r="N936" s="242"/>
      <c r="O936" s="242"/>
      <c r="P936" s="242"/>
      <c r="Q936" s="242"/>
      <c r="R936" s="242"/>
      <c r="S936" s="242"/>
      <c r="T936" s="13"/>
      <c r="U936" s="242"/>
      <c r="V936" s="242"/>
      <c r="W936" s="242"/>
      <c r="X936" s="242"/>
      <c r="Y936" s="242"/>
      <c r="Z936" s="242"/>
    </row>
    <row r="937">
      <c r="A937" s="242"/>
      <c r="B937" s="13"/>
      <c r="C937" s="13"/>
      <c r="D937" s="242"/>
      <c r="E937" s="242"/>
      <c r="F937" s="242"/>
      <c r="G937" s="242"/>
      <c r="H937" s="242"/>
      <c r="I937" s="242"/>
      <c r="J937" s="242"/>
      <c r="K937" s="242"/>
      <c r="L937" s="242"/>
      <c r="M937" s="242"/>
      <c r="N937" s="242"/>
      <c r="O937" s="242"/>
      <c r="P937" s="242"/>
      <c r="Q937" s="242"/>
      <c r="R937" s="242"/>
      <c r="S937" s="242"/>
      <c r="T937" s="13"/>
      <c r="U937" s="242"/>
      <c r="V937" s="242"/>
      <c r="W937" s="242"/>
      <c r="X937" s="242"/>
      <c r="Y937" s="242"/>
      <c r="Z937" s="242"/>
    </row>
    <row r="938">
      <c r="A938" s="242"/>
      <c r="B938" s="13"/>
      <c r="C938" s="13"/>
      <c r="D938" s="242"/>
      <c r="E938" s="242"/>
      <c r="F938" s="242"/>
      <c r="G938" s="242"/>
      <c r="H938" s="242"/>
      <c r="I938" s="242"/>
      <c r="J938" s="242"/>
      <c r="K938" s="242"/>
      <c r="L938" s="242"/>
      <c r="M938" s="242"/>
      <c r="N938" s="242"/>
      <c r="O938" s="242"/>
      <c r="P938" s="242"/>
      <c r="Q938" s="242"/>
      <c r="R938" s="242"/>
      <c r="S938" s="242"/>
      <c r="T938" s="13"/>
      <c r="U938" s="242"/>
      <c r="V938" s="242"/>
      <c r="W938" s="242"/>
      <c r="X938" s="242"/>
      <c r="Y938" s="242"/>
      <c r="Z938" s="242"/>
    </row>
    <row r="939">
      <c r="A939" s="242"/>
      <c r="B939" s="13"/>
      <c r="C939" s="13"/>
      <c r="D939" s="242"/>
      <c r="E939" s="242"/>
      <c r="F939" s="242"/>
      <c r="G939" s="242"/>
      <c r="H939" s="242"/>
      <c r="I939" s="242"/>
      <c r="J939" s="242"/>
      <c r="K939" s="242"/>
      <c r="L939" s="242"/>
      <c r="M939" s="242"/>
      <c r="N939" s="242"/>
      <c r="O939" s="242"/>
      <c r="P939" s="242"/>
      <c r="Q939" s="242"/>
      <c r="R939" s="242"/>
      <c r="S939" s="242"/>
      <c r="T939" s="13"/>
      <c r="U939" s="242"/>
      <c r="V939" s="242"/>
      <c r="W939" s="242"/>
      <c r="X939" s="242"/>
      <c r="Y939" s="242"/>
      <c r="Z939" s="242"/>
    </row>
    <row r="940">
      <c r="A940" s="242"/>
      <c r="B940" s="13"/>
      <c r="C940" s="13"/>
      <c r="D940" s="242"/>
      <c r="E940" s="242"/>
      <c r="F940" s="242"/>
      <c r="G940" s="242"/>
      <c r="H940" s="242"/>
      <c r="I940" s="242"/>
      <c r="J940" s="242"/>
      <c r="K940" s="242"/>
      <c r="L940" s="242"/>
      <c r="M940" s="242"/>
      <c r="N940" s="242"/>
      <c r="O940" s="242"/>
      <c r="P940" s="242"/>
      <c r="Q940" s="242"/>
      <c r="R940" s="242"/>
      <c r="S940" s="242"/>
      <c r="T940" s="13"/>
      <c r="U940" s="242"/>
      <c r="V940" s="242"/>
      <c r="W940" s="242"/>
      <c r="X940" s="242"/>
      <c r="Y940" s="242"/>
      <c r="Z940" s="242"/>
    </row>
    <row r="941">
      <c r="A941" s="242"/>
      <c r="B941" s="13"/>
      <c r="C941" s="13"/>
      <c r="D941" s="242"/>
      <c r="E941" s="242"/>
      <c r="F941" s="242"/>
      <c r="G941" s="242"/>
      <c r="H941" s="242"/>
      <c r="I941" s="242"/>
      <c r="J941" s="242"/>
      <c r="K941" s="242"/>
      <c r="L941" s="242"/>
      <c r="M941" s="242"/>
      <c r="N941" s="242"/>
      <c r="O941" s="242"/>
      <c r="P941" s="242"/>
      <c r="Q941" s="242"/>
      <c r="R941" s="242"/>
      <c r="S941" s="242"/>
      <c r="T941" s="13"/>
      <c r="U941" s="242"/>
      <c r="V941" s="242"/>
      <c r="W941" s="242"/>
      <c r="X941" s="242"/>
      <c r="Y941" s="242"/>
      <c r="Z941" s="242"/>
    </row>
    <row r="942">
      <c r="A942" s="242"/>
      <c r="B942" s="13"/>
      <c r="C942" s="13"/>
      <c r="D942" s="242"/>
      <c r="E942" s="242"/>
      <c r="F942" s="242"/>
      <c r="G942" s="242"/>
      <c r="H942" s="242"/>
      <c r="I942" s="242"/>
      <c r="J942" s="242"/>
      <c r="K942" s="242"/>
      <c r="L942" s="242"/>
      <c r="M942" s="242"/>
      <c r="N942" s="242"/>
      <c r="O942" s="242"/>
      <c r="P942" s="242"/>
      <c r="Q942" s="242"/>
      <c r="R942" s="242"/>
      <c r="S942" s="242"/>
      <c r="T942" s="13"/>
      <c r="U942" s="242"/>
      <c r="V942" s="242"/>
      <c r="W942" s="242"/>
      <c r="X942" s="242"/>
      <c r="Y942" s="242"/>
      <c r="Z942" s="242"/>
    </row>
    <row r="943">
      <c r="A943" s="242"/>
      <c r="B943" s="13"/>
      <c r="C943" s="13"/>
      <c r="D943" s="242"/>
      <c r="E943" s="242"/>
      <c r="F943" s="242"/>
      <c r="G943" s="242"/>
      <c r="H943" s="242"/>
      <c r="I943" s="242"/>
      <c r="J943" s="242"/>
      <c r="K943" s="242"/>
      <c r="L943" s="242"/>
      <c r="M943" s="242"/>
      <c r="N943" s="242"/>
      <c r="O943" s="242"/>
      <c r="P943" s="242"/>
      <c r="Q943" s="242"/>
      <c r="R943" s="242"/>
      <c r="S943" s="242"/>
      <c r="T943" s="13"/>
      <c r="U943" s="242"/>
      <c r="V943" s="242"/>
      <c r="W943" s="242"/>
      <c r="X943" s="242"/>
      <c r="Y943" s="242"/>
      <c r="Z943" s="242"/>
    </row>
    <row r="944">
      <c r="A944" s="242"/>
      <c r="B944" s="13"/>
      <c r="C944" s="13"/>
      <c r="D944" s="242"/>
      <c r="E944" s="242"/>
      <c r="F944" s="242"/>
      <c r="G944" s="242"/>
      <c r="H944" s="242"/>
      <c r="I944" s="242"/>
      <c r="J944" s="242"/>
      <c r="K944" s="242"/>
      <c r="L944" s="242"/>
      <c r="M944" s="242"/>
      <c r="N944" s="242"/>
      <c r="O944" s="242"/>
      <c r="P944" s="242"/>
      <c r="Q944" s="242"/>
      <c r="R944" s="242"/>
      <c r="S944" s="242"/>
      <c r="T944" s="13"/>
      <c r="U944" s="242"/>
      <c r="V944" s="242"/>
      <c r="W944" s="242"/>
      <c r="X944" s="242"/>
      <c r="Y944" s="242"/>
      <c r="Z944" s="242"/>
    </row>
    <row r="945">
      <c r="A945" s="242"/>
      <c r="B945" s="13"/>
      <c r="C945" s="13"/>
      <c r="D945" s="242"/>
      <c r="E945" s="242"/>
      <c r="F945" s="242"/>
      <c r="G945" s="242"/>
      <c r="H945" s="242"/>
      <c r="I945" s="242"/>
      <c r="J945" s="242"/>
      <c r="K945" s="242"/>
      <c r="L945" s="242"/>
      <c r="M945" s="242"/>
      <c r="N945" s="242"/>
      <c r="O945" s="242"/>
      <c r="P945" s="242"/>
      <c r="Q945" s="242"/>
      <c r="R945" s="242"/>
      <c r="S945" s="242"/>
      <c r="T945" s="13"/>
      <c r="U945" s="242"/>
      <c r="V945" s="242"/>
      <c r="W945" s="242"/>
      <c r="X945" s="242"/>
      <c r="Y945" s="242"/>
      <c r="Z945" s="242"/>
    </row>
    <row r="946">
      <c r="A946" s="242"/>
      <c r="B946" s="13"/>
      <c r="C946" s="13"/>
      <c r="D946" s="242"/>
      <c r="E946" s="242"/>
      <c r="F946" s="242"/>
      <c r="G946" s="242"/>
      <c r="H946" s="242"/>
      <c r="I946" s="242"/>
      <c r="J946" s="242"/>
      <c r="K946" s="242"/>
      <c r="L946" s="242"/>
      <c r="M946" s="242"/>
      <c r="N946" s="242"/>
      <c r="O946" s="242"/>
      <c r="P946" s="242"/>
      <c r="Q946" s="242"/>
      <c r="R946" s="242"/>
      <c r="S946" s="242"/>
      <c r="T946" s="13"/>
      <c r="U946" s="242"/>
      <c r="V946" s="242"/>
      <c r="W946" s="242"/>
      <c r="X946" s="242"/>
      <c r="Y946" s="242"/>
      <c r="Z946" s="242"/>
    </row>
    <row r="947">
      <c r="A947" s="242"/>
      <c r="B947" s="13"/>
      <c r="C947" s="13"/>
      <c r="D947" s="242"/>
      <c r="E947" s="242"/>
      <c r="F947" s="242"/>
      <c r="G947" s="242"/>
      <c r="H947" s="242"/>
      <c r="I947" s="242"/>
      <c r="J947" s="242"/>
      <c r="K947" s="242"/>
      <c r="L947" s="242"/>
      <c r="M947" s="242"/>
      <c r="N947" s="242"/>
      <c r="O947" s="242"/>
      <c r="P947" s="242"/>
      <c r="Q947" s="242"/>
      <c r="R947" s="242"/>
      <c r="S947" s="242"/>
      <c r="T947" s="13"/>
      <c r="U947" s="242"/>
      <c r="V947" s="242"/>
      <c r="W947" s="242"/>
      <c r="X947" s="242"/>
      <c r="Y947" s="242"/>
      <c r="Z947" s="242"/>
    </row>
    <row r="948">
      <c r="A948" s="242"/>
      <c r="B948" s="13"/>
      <c r="C948" s="13"/>
      <c r="D948" s="242"/>
      <c r="E948" s="242"/>
      <c r="F948" s="242"/>
      <c r="G948" s="242"/>
      <c r="H948" s="242"/>
      <c r="I948" s="242"/>
      <c r="J948" s="242"/>
      <c r="K948" s="242"/>
      <c r="L948" s="242"/>
      <c r="M948" s="242"/>
      <c r="N948" s="242"/>
      <c r="O948" s="242"/>
      <c r="P948" s="242"/>
      <c r="Q948" s="242"/>
      <c r="R948" s="242"/>
      <c r="S948" s="242"/>
      <c r="T948" s="13"/>
      <c r="U948" s="242"/>
      <c r="V948" s="242"/>
      <c r="W948" s="242"/>
      <c r="X948" s="242"/>
      <c r="Y948" s="242"/>
      <c r="Z948" s="242"/>
    </row>
    <row r="949">
      <c r="A949" s="242"/>
      <c r="B949" s="13"/>
      <c r="C949" s="13"/>
      <c r="D949" s="242"/>
      <c r="E949" s="242"/>
      <c r="F949" s="242"/>
      <c r="G949" s="242"/>
      <c r="H949" s="242"/>
      <c r="I949" s="242"/>
      <c r="J949" s="242"/>
      <c r="K949" s="242"/>
      <c r="L949" s="242"/>
      <c r="M949" s="242"/>
      <c r="N949" s="242"/>
      <c r="O949" s="242"/>
      <c r="P949" s="242"/>
      <c r="Q949" s="242"/>
      <c r="R949" s="242"/>
      <c r="S949" s="242"/>
      <c r="T949" s="13"/>
      <c r="U949" s="242"/>
      <c r="V949" s="242"/>
      <c r="W949" s="242"/>
      <c r="X949" s="242"/>
      <c r="Y949" s="242"/>
      <c r="Z949" s="242"/>
    </row>
    <row r="950">
      <c r="A950" s="242"/>
      <c r="B950" s="13"/>
      <c r="C950" s="13"/>
      <c r="D950" s="242"/>
      <c r="E950" s="242"/>
      <c r="F950" s="242"/>
      <c r="G950" s="242"/>
      <c r="H950" s="242"/>
      <c r="I950" s="242"/>
      <c r="J950" s="242"/>
      <c r="K950" s="242"/>
      <c r="L950" s="242"/>
      <c r="M950" s="242"/>
      <c r="N950" s="242"/>
      <c r="O950" s="242"/>
      <c r="P950" s="242"/>
      <c r="Q950" s="242"/>
      <c r="R950" s="242"/>
      <c r="S950" s="242"/>
      <c r="T950" s="13"/>
      <c r="U950" s="242"/>
      <c r="V950" s="242"/>
      <c r="W950" s="242"/>
      <c r="X950" s="242"/>
      <c r="Y950" s="242"/>
      <c r="Z950" s="242"/>
    </row>
    <row r="951">
      <c r="A951" s="242"/>
      <c r="B951" s="13"/>
      <c r="C951" s="13"/>
      <c r="D951" s="242"/>
      <c r="E951" s="242"/>
      <c r="F951" s="242"/>
      <c r="G951" s="242"/>
      <c r="H951" s="242"/>
      <c r="I951" s="242"/>
      <c r="J951" s="242"/>
      <c r="K951" s="242"/>
      <c r="L951" s="242"/>
      <c r="M951" s="242"/>
      <c r="N951" s="242"/>
      <c r="O951" s="242"/>
      <c r="P951" s="242"/>
      <c r="Q951" s="242"/>
      <c r="R951" s="242"/>
      <c r="S951" s="242"/>
      <c r="T951" s="13"/>
      <c r="U951" s="242"/>
      <c r="V951" s="242"/>
      <c r="W951" s="242"/>
      <c r="X951" s="242"/>
      <c r="Y951" s="242"/>
      <c r="Z951" s="242"/>
    </row>
    <row r="952">
      <c r="A952" s="242"/>
      <c r="B952" s="13"/>
      <c r="C952" s="13"/>
      <c r="D952" s="242"/>
      <c r="E952" s="242"/>
      <c r="F952" s="242"/>
      <c r="G952" s="242"/>
      <c r="H952" s="242"/>
      <c r="I952" s="242"/>
      <c r="J952" s="242"/>
      <c r="K952" s="242"/>
      <c r="L952" s="242"/>
      <c r="M952" s="242"/>
      <c r="N952" s="242"/>
      <c r="O952" s="242"/>
      <c r="P952" s="242"/>
      <c r="Q952" s="242"/>
      <c r="R952" s="242"/>
      <c r="S952" s="242"/>
      <c r="T952" s="13"/>
      <c r="U952" s="242"/>
      <c r="V952" s="242"/>
      <c r="W952" s="242"/>
      <c r="X952" s="242"/>
      <c r="Y952" s="242"/>
      <c r="Z952" s="242"/>
    </row>
    <row r="953">
      <c r="A953" s="242"/>
      <c r="B953" s="13"/>
      <c r="C953" s="13"/>
      <c r="D953" s="242"/>
      <c r="E953" s="242"/>
      <c r="F953" s="242"/>
      <c r="G953" s="242"/>
      <c r="H953" s="242"/>
      <c r="I953" s="242"/>
      <c r="J953" s="242"/>
      <c r="K953" s="242"/>
      <c r="L953" s="242"/>
      <c r="M953" s="242"/>
      <c r="N953" s="242"/>
      <c r="O953" s="242"/>
      <c r="P953" s="242"/>
      <c r="Q953" s="242"/>
      <c r="R953" s="242"/>
      <c r="S953" s="242"/>
      <c r="T953" s="13"/>
      <c r="U953" s="242"/>
      <c r="V953" s="242"/>
      <c r="W953" s="242"/>
      <c r="X953" s="242"/>
      <c r="Y953" s="242"/>
      <c r="Z953" s="242"/>
    </row>
    <row r="954">
      <c r="A954" s="242"/>
      <c r="B954" s="13"/>
      <c r="C954" s="13"/>
      <c r="D954" s="242"/>
      <c r="E954" s="242"/>
      <c r="F954" s="242"/>
      <c r="G954" s="242"/>
      <c r="H954" s="242"/>
      <c r="I954" s="242"/>
      <c r="J954" s="242"/>
      <c r="K954" s="242"/>
      <c r="L954" s="242"/>
      <c r="M954" s="242"/>
      <c r="N954" s="242"/>
      <c r="O954" s="242"/>
      <c r="P954" s="242"/>
      <c r="Q954" s="242"/>
      <c r="R954" s="242"/>
      <c r="S954" s="242"/>
      <c r="T954" s="13"/>
      <c r="U954" s="242"/>
      <c r="V954" s="242"/>
      <c r="W954" s="242"/>
      <c r="X954" s="242"/>
      <c r="Y954" s="242"/>
      <c r="Z954" s="242"/>
    </row>
    <row r="955">
      <c r="A955" s="242"/>
      <c r="B955" s="13"/>
      <c r="C955" s="13"/>
      <c r="D955" s="242"/>
      <c r="E955" s="242"/>
      <c r="F955" s="242"/>
      <c r="G955" s="242"/>
      <c r="H955" s="242"/>
      <c r="I955" s="242"/>
      <c r="J955" s="242"/>
      <c r="K955" s="242"/>
      <c r="L955" s="242"/>
      <c r="M955" s="242"/>
      <c r="N955" s="242"/>
      <c r="O955" s="242"/>
      <c r="P955" s="242"/>
      <c r="Q955" s="242"/>
      <c r="R955" s="242"/>
      <c r="S955" s="242"/>
      <c r="T955" s="13"/>
      <c r="U955" s="242"/>
      <c r="V955" s="242"/>
      <c r="W955" s="242"/>
      <c r="X955" s="242"/>
      <c r="Y955" s="242"/>
      <c r="Z955" s="242"/>
    </row>
    <row r="956">
      <c r="A956" s="242"/>
      <c r="B956" s="13"/>
      <c r="C956" s="13"/>
      <c r="D956" s="242"/>
      <c r="E956" s="242"/>
      <c r="F956" s="242"/>
      <c r="G956" s="242"/>
      <c r="H956" s="242"/>
      <c r="I956" s="242"/>
      <c r="J956" s="242"/>
      <c r="K956" s="242"/>
      <c r="L956" s="242"/>
      <c r="M956" s="242"/>
      <c r="N956" s="242"/>
      <c r="O956" s="242"/>
      <c r="P956" s="242"/>
      <c r="Q956" s="242"/>
      <c r="R956" s="242"/>
      <c r="S956" s="242"/>
      <c r="T956" s="13"/>
      <c r="U956" s="242"/>
      <c r="V956" s="242"/>
      <c r="W956" s="242"/>
      <c r="X956" s="242"/>
      <c r="Y956" s="242"/>
      <c r="Z956" s="242"/>
    </row>
    <row r="957">
      <c r="A957" s="242"/>
      <c r="B957" s="13"/>
      <c r="C957" s="13"/>
      <c r="D957" s="242"/>
      <c r="E957" s="242"/>
      <c r="F957" s="242"/>
      <c r="G957" s="242"/>
      <c r="H957" s="242"/>
      <c r="I957" s="242"/>
      <c r="J957" s="242"/>
      <c r="K957" s="242"/>
      <c r="L957" s="242"/>
      <c r="M957" s="242"/>
      <c r="N957" s="242"/>
      <c r="O957" s="242"/>
      <c r="P957" s="242"/>
      <c r="Q957" s="242"/>
      <c r="R957" s="242"/>
      <c r="S957" s="242"/>
      <c r="T957" s="13"/>
      <c r="U957" s="242"/>
      <c r="V957" s="242"/>
      <c r="W957" s="242"/>
      <c r="X957" s="242"/>
      <c r="Y957" s="242"/>
      <c r="Z957" s="242"/>
    </row>
    <row r="958">
      <c r="A958" s="242"/>
      <c r="B958" s="13"/>
      <c r="C958" s="13"/>
      <c r="D958" s="242"/>
      <c r="E958" s="242"/>
      <c r="F958" s="242"/>
      <c r="G958" s="242"/>
      <c r="H958" s="242"/>
      <c r="I958" s="242"/>
      <c r="J958" s="242"/>
      <c r="K958" s="242"/>
      <c r="L958" s="242"/>
      <c r="M958" s="242"/>
      <c r="N958" s="242"/>
      <c r="O958" s="242"/>
      <c r="P958" s="242"/>
      <c r="Q958" s="242"/>
      <c r="R958" s="242"/>
      <c r="S958" s="242"/>
      <c r="T958" s="13"/>
      <c r="U958" s="242"/>
      <c r="V958" s="242"/>
      <c r="W958" s="242"/>
      <c r="X958" s="242"/>
      <c r="Y958" s="242"/>
      <c r="Z958" s="242"/>
    </row>
    <row r="959">
      <c r="A959" s="242"/>
      <c r="B959" s="13"/>
      <c r="C959" s="13"/>
      <c r="D959" s="242"/>
      <c r="E959" s="242"/>
      <c r="F959" s="242"/>
      <c r="G959" s="242"/>
      <c r="H959" s="242"/>
      <c r="I959" s="242"/>
      <c r="J959" s="242"/>
      <c r="K959" s="242"/>
      <c r="L959" s="242"/>
      <c r="M959" s="242"/>
      <c r="N959" s="242"/>
      <c r="O959" s="242"/>
      <c r="P959" s="242"/>
      <c r="Q959" s="242"/>
      <c r="R959" s="242"/>
      <c r="S959" s="242"/>
      <c r="T959" s="13"/>
      <c r="U959" s="242"/>
      <c r="V959" s="242"/>
      <c r="W959" s="242"/>
      <c r="X959" s="242"/>
      <c r="Y959" s="242"/>
      <c r="Z959" s="242"/>
    </row>
    <row r="960">
      <c r="A960" s="242"/>
      <c r="B960" s="13"/>
      <c r="C960" s="13"/>
      <c r="D960" s="242"/>
      <c r="E960" s="242"/>
      <c r="F960" s="242"/>
      <c r="G960" s="242"/>
      <c r="H960" s="242"/>
      <c r="I960" s="242"/>
      <c r="J960" s="242"/>
      <c r="K960" s="242"/>
      <c r="L960" s="242"/>
      <c r="M960" s="242"/>
      <c r="N960" s="242"/>
      <c r="O960" s="242"/>
      <c r="P960" s="242"/>
      <c r="Q960" s="242"/>
      <c r="R960" s="242"/>
      <c r="S960" s="242"/>
      <c r="T960" s="13"/>
      <c r="U960" s="242"/>
      <c r="V960" s="242"/>
      <c r="W960" s="242"/>
      <c r="X960" s="242"/>
      <c r="Y960" s="242"/>
      <c r="Z960" s="242"/>
    </row>
    <row r="961">
      <c r="A961" s="242"/>
      <c r="B961" s="13"/>
      <c r="C961" s="13"/>
      <c r="D961" s="242"/>
      <c r="E961" s="242"/>
      <c r="F961" s="242"/>
      <c r="G961" s="242"/>
      <c r="H961" s="242"/>
      <c r="I961" s="242"/>
      <c r="J961" s="242"/>
      <c r="K961" s="242"/>
      <c r="L961" s="242"/>
      <c r="M961" s="242"/>
      <c r="N961" s="242"/>
      <c r="O961" s="242"/>
      <c r="P961" s="242"/>
      <c r="Q961" s="242"/>
      <c r="R961" s="242"/>
      <c r="S961" s="242"/>
      <c r="T961" s="13"/>
      <c r="U961" s="242"/>
      <c r="V961" s="242"/>
      <c r="W961" s="242"/>
      <c r="X961" s="242"/>
      <c r="Y961" s="242"/>
      <c r="Z961" s="242"/>
    </row>
    <row r="962">
      <c r="A962" s="242"/>
      <c r="B962" s="13"/>
      <c r="C962" s="13"/>
      <c r="D962" s="242"/>
      <c r="E962" s="242"/>
      <c r="F962" s="242"/>
      <c r="G962" s="242"/>
      <c r="H962" s="242"/>
      <c r="I962" s="242"/>
      <c r="J962" s="242"/>
      <c r="K962" s="242"/>
      <c r="L962" s="242"/>
      <c r="M962" s="242"/>
      <c r="N962" s="242"/>
      <c r="O962" s="242"/>
      <c r="P962" s="242"/>
      <c r="Q962" s="242"/>
      <c r="R962" s="242"/>
      <c r="S962" s="242"/>
      <c r="T962" s="13"/>
      <c r="U962" s="242"/>
      <c r="V962" s="242"/>
      <c r="W962" s="242"/>
      <c r="X962" s="242"/>
      <c r="Y962" s="242"/>
      <c r="Z962" s="242"/>
    </row>
    <row r="963">
      <c r="A963" s="242"/>
      <c r="B963" s="13"/>
      <c r="C963" s="13"/>
      <c r="D963" s="242"/>
      <c r="E963" s="242"/>
      <c r="F963" s="242"/>
      <c r="G963" s="242"/>
      <c r="H963" s="242"/>
      <c r="I963" s="242"/>
      <c r="J963" s="242"/>
      <c r="K963" s="242"/>
      <c r="L963" s="242"/>
      <c r="M963" s="242"/>
      <c r="N963" s="242"/>
      <c r="O963" s="242"/>
      <c r="P963" s="242"/>
      <c r="Q963" s="242"/>
      <c r="R963" s="242"/>
      <c r="S963" s="242"/>
      <c r="T963" s="13"/>
      <c r="U963" s="242"/>
      <c r="V963" s="242"/>
      <c r="W963" s="242"/>
      <c r="X963" s="242"/>
      <c r="Y963" s="242"/>
      <c r="Z963" s="242"/>
    </row>
    <row r="964">
      <c r="A964" s="242"/>
      <c r="B964" s="13"/>
      <c r="C964" s="13"/>
      <c r="D964" s="242"/>
      <c r="E964" s="242"/>
      <c r="F964" s="242"/>
      <c r="G964" s="242"/>
      <c r="H964" s="242"/>
      <c r="I964" s="242"/>
      <c r="J964" s="242"/>
      <c r="K964" s="242"/>
      <c r="L964" s="242"/>
      <c r="M964" s="242"/>
      <c r="N964" s="242"/>
      <c r="O964" s="242"/>
      <c r="P964" s="242"/>
      <c r="Q964" s="242"/>
      <c r="R964" s="242"/>
      <c r="S964" s="242"/>
      <c r="T964" s="13"/>
      <c r="U964" s="242"/>
      <c r="V964" s="242"/>
      <c r="W964" s="242"/>
      <c r="X964" s="242"/>
      <c r="Y964" s="242"/>
      <c r="Z964" s="242"/>
    </row>
    <row r="965">
      <c r="A965" s="242"/>
      <c r="B965" s="13"/>
      <c r="C965" s="13"/>
      <c r="D965" s="242"/>
      <c r="E965" s="242"/>
      <c r="F965" s="242"/>
      <c r="G965" s="242"/>
      <c r="H965" s="242"/>
      <c r="I965" s="242"/>
      <c r="J965" s="242"/>
      <c r="K965" s="242"/>
      <c r="L965" s="242"/>
      <c r="M965" s="242"/>
      <c r="N965" s="242"/>
      <c r="O965" s="242"/>
      <c r="P965" s="242"/>
      <c r="Q965" s="242"/>
      <c r="R965" s="242"/>
      <c r="S965" s="242"/>
      <c r="T965" s="13"/>
      <c r="U965" s="242"/>
      <c r="V965" s="242"/>
      <c r="W965" s="242"/>
      <c r="X965" s="242"/>
      <c r="Y965" s="242"/>
      <c r="Z965" s="242"/>
    </row>
    <row r="966">
      <c r="A966" s="242"/>
      <c r="B966" s="13"/>
      <c r="C966" s="13"/>
      <c r="D966" s="242"/>
      <c r="E966" s="242"/>
      <c r="F966" s="242"/>
      <c r="G966" s="242"/>
      <c r="H966" s="242"/>
      <c r="I966" s="242"/>
      <c r="J966" s="242"/>
      <c r="K966" s="242"/>
      <c r="L966" s="242"/>
      <c r="M966" s="242"/>
      <c r="N966" s="242"/>
      <c r="O966" s="242"/>
      <c r="P966" s="242"/>
      <c r="Q966" s="242"/>
      <c r="R966" s="242"/>
      <c r="S966" s="242"/>
      <c r="T966" s="13"/>
      <c r="U966" s="242"/>
      <c r="V966" s="242"/>
      <c r="W966" s="242"/>
      <c r="X966" s="242"/>
      <c r="Y966" s="242"/>
      <c r="Z966" s="242"/>
    </row>
    <row r="967">
      <c r="A967" s="242"/>
      <c r="B967" s="13"/>
      <c r="C967" s="13"/>
      <c r="D967" s="242"/>
      <c r="E967" s="242"/>
      <c r="F967" s="242"/>
      <c r="G967" s="242"/>
      <c r="H967" s="242"/>
      <c r="I967" s="242"/>
      <c r="J967" s="242"/>
      <c r="K967" s="242"/>
      <c r="L967" s="242"/>
      <c r="M967" s="242"/>
      <c r="N967" s="242"/>
      <c r="O967" s="242"/>
      <c r="P967" s="242"/>
      <c r="Q967" s="242"/>
      <c r="R967" s="242"/>
      <c r="S967" s="242"/>
      <c r="T967" s="13"/>
      <c r="U967" s="242"/>
      <c r="V967" s="242"/>
      <c r="W967" s="242"/>
      <c r="X967" s="242"/>
      <c r="Y967" s="242"/>
      <c r="Z967" s="242"/>
    </row>
    <row r="968">
      <c r="A968" s="242"/>
      <c r="B968" s="13"/>
      <c r="C968" s="13"/>
      <c r="D968" s="242"/>
      <c r="E968" s="242"/>
      <c r="F968" s="242"/>
      <c r="G968" s="242"/>
      <c r="H968" s="242"/>
      <c r="I968" s="242"/>
      <c r="J968" s="242"/>
      <c r="K968" s="242"/>
      <c r="L968" s="242"/>
      <c r="M968" s="242"/>
      <c r="N968" s="242"/>
      <c r="O968" s="242"/>
      <c r="P968" s="242"/>
      <c r="Q968" s="242"/>
      <c r="R968" s="242"/>
      <c r="S968" s="242"/>
      <c r="T968" s="13"/>
      <c r="U968" s="242"/>
      <c r="V968" s="242"/>
      <c r="W968" s="242"/>
      <c r="X968" s="242"/>
      <c r="Y968" s="242"/>
      <c r="Z968" s="242"/>
    </row>
    <row r="969">
      <c r="A969" s="242"/>
      <c r="B969" s="13"/>
      <c r="C969" s="13"/>
      <c r="D969" s="242"/>
      <c r="E969" s="242"/>
      <c r="F969" s="242"/>
      <c r="G969" s="242"/>
      <c r="H969" s="242"/>
      <c r="I969" s="242"/>
      <c r="J969" s="242"/>
      <c r="K969" s="242"/>
      <c r="L969" s="242"/>
      <c r="M969" s="242"/>
      <c r="N969" s="242"/>
      <c r="O969" s="242"/>
      <c r="P969" s="242"/>
      <c r="Q969" s="242"/>
      <c r="R969" s="242"/>
      <c r="S969" s="242"/>
      <c r="T969" s="13"/>
      <c r="U969" s="242"/>
      <c r="V969" s="242"/>
      <c r="W969" s="242"/>
      <c r="X969" s="242"/>
      <c r="Y969" s="242"/>
      <c r="Z969" s="242"/>
    </row>
    <row r="970">
      <c r="A970" s="242"/>
      <c r="B970" s="13"/>
      <c r="C970" s="13"/>
      <c r="D970" s="242"/>
      <c r="E970" s="242"/>
      <c r="F970" s="242"/>
      <c r="G970" s="242"/>
      <c r="H970" s="242"/>
      <c r="I970" s="242"/>
      <c r="J970" s="242"/>
      <c r="K970" s="242"/>
      <c r="L970" s="242"/>
      <c r="M970" s="242"/>
      <c r="N970" s="242"/>
      <c r="O970" s="242"/>
      <c r="P970" s="242"/>
      <c r="Q970" s="242"/>
      <c r="R970" s="242"/>
      <c r="S970" s="242"/>
      <c r="T970" s="13"/>
      <c r="U970" s="242"/>
      <c r="V970" s="242"/>
      <c r="W970" s="242"/>
      <c r="X970" s="242"/>
      <c r="Y970" s="242"/>
      <c r="Z970" s="242"/>
    </row>
    <row r="971">
      <c r="A971" s="242"/>
      <c r="B971" s="13"/>
      <c r="C971" s="13"/>
      <c r="D971" s="242"/>
      <c r="E971" s="242"/>
      <c r="F971" s="242"/>
      <c r="G971" s="242"/>
      <c r="H971" s="242"/>
      <c r="I971" s="242"/>
      <c r="J971" s="242"/>
      <c r="K971" s="242"/>
      <c r="L971" s="242"/>
      <c r="M971" s="242"/>
      <c r="N971" s="242"/>
      <c r="O971" s="242"/>
      <c r="P971" s="242"/>
      <c r="Q971" s="242"/>
      <c r="R971" s="242"/>
      <c r="S971" s="242"/>
      <c r="T971" s="13"/>
      <c r="U971" s="242"/>
      <c r="V971" s="242"/>
      <c r="W971" s="242"/>
      <c r="X971" s="242"/>
      <c r="Y971" s="242"/>
      <c r="Z971" s="242"/>
    </row>
    <row r="972">
      <c r="A972" s="242"/>
      <c r="B972" s="13"/>
      <c r="C972" s="13"/>
      <c r="D972" s="242"/>
      <c r="E972" s="242"/>
      <c r="F972" s="242"/>
      <c r="G972" s="242"/>
      <c r="H972" s="242"/>
      <c r="I972" s="242"/>
      <c r="J972" s="242"/>
      <c r="K972" s="242"/>
      <c r="L972" s="242"/>
      <c r="M972" s="242"/>
      <c r="N972" s="242"/>
      <c r="O972" s="242"/>
      <c r="P972" s="242"/>
      <c r="Q972" s="242"/>
      <c r="R972" s="242"/>
      <c r="S972" s="242"/>
      <c r="T972" s="13"/>
      <c r="U972" s="242"/>
      <c r="V972" s="242"/>
      <c r="W972" s="242"/>
      <c r="X972" s="242"/>
      <c r="Y972" s="242"/>
      <c r="Z972" s="242"/>
    </row>
    <row r="973">
      <c r="A973" s="242"/>
      <c r="B973" s="13"/>
      <c r="C973" s="13"/>
      <c r="D973" s="242"/>
      <c r="E973" s="242"/>
      <c r="F973" s="242"/>
      <c r="G973" s="242"/>
      <c r="H973" s="242"/>
      <c r="I973" s="242"/>
      <c r="J973" s="242"/>
      <c r="K973" s="242"/>
      <c r="L973" s="242"/>
      <c r="M973" s="242"/>
      <c r="N973" s="242"/>
      <c r="O973" s="242"/>
      <c r="P973" s="242"/>
      <c r="Q973" s="242"/>
      <c r="R973" s="242"/>
      <c r="S973" s="242"/>
      <c r="T973" s="13"/>
      <c r="U973" s="242"/>
      <c r="V973" s="242"/>
      <c r="W973" s="242"/>
      <c r="X973" s="242"/>
      <c r="Y973" s="242"/>
      <c r="Z973" s="242"/>
    </row>
    <row r="974">
      <c r="A974" s="242"/>
      <c r="B974" s="13"/>
      <c r="C974" s="13"/>
      <c r="D974" s="242"/>
      <c r="E974" s="242"/>
      <c r="F974" s="242"/>
      <c r="G974" s="242"/>
      <c r="H974" s="242"/>
      <c r="I974" s="242"/>
      <c r="J974" s="242"/>
      <c r="K974" s="242"/>
      <c r="L974" s="242"/>
      <c r="M974" s="242"/>
      <c r="N974" s="242"/>
      <c r="O974" s="242"/>
      <c r="P974" s="242"/>
      <c r="Q974" s="242"/>
      <c r="R974" s="242"/>
      <c r="S974" s="242"/>
      <c r="T974" s="13"/>
      <c r="U974" s="242"/>
      <c r="V974" s="242"/>
      <c r="W974" s="242"/>
      <c r="X974" s="242"/>
      <c r="Y974" s="242"/>
      <c r="Z974" s="242"/>
    </row>
    <row r="975">
      <c r="A975" s="242"/>
      <c r="B975" s="13"/>
      <c r="C975" s="13"/>
      <c r="D975" s="242"/>
      <c r="E975" s="242"/>
      <c r="F975" s="242"/>
      <c r="G975" s="242"/>
      <c r="H975" s="242"/>
      <c r="I975" s="242"/>
      <c r="J975" s="242"/>
      <c r="K975" s="242"/>
      <c r="L975" s="242"/>
      <c r="M975" s="242"/>
      <c r="N975" s="242"/>
      <c r="O975" s="242"/>
      <c r="P975" s="242"/>
      <c r="Q975" s="242"/>
      <c r="R975" s="242"/>
      <c r="S975" s="242"/>
      <c r="T975" s="13"/>
      <c r="U975" s="242"/>
      <c r="V975" s="242"/>
      <c r="W975" s="242"/>
      <c r="X975" s="242"/>
      <c r="Y975" s="242"/>
      <c r="Z975" s="242"/>
    </row>
    <row r="976">
      <c r="A976" s="242"/>
      <c r="B976" s="13"/>
      <c r="C976" s="13"/>
      <c r="D976" s="242"/>
      <c r="E976" s="242"/>
      <c r="F976" s="242"/>
      <c r="G976" s="242"/>
      <c r="H976" s="242"/>
      <c r="I976" s="242"/>
      <c r="J976" s="242"/>
      <c r="K976" s="242"/>
      <c r="L976" s="242"/>
      <c r="M976" s="242"/>
      <c r="N976" s="242"/>
      <c r="O976" s="242"/>
      <c r="P976" s="242"/>
      <c r="Q976" s="242"/>
      <c r="R976" s="242"/>
      <c r="S976" s="242"/>
      <c r="T976" s="13"/>
      <c r="U976" s="242"/>
      <c r="V976" s="242"/>
      <c r="W976" s="242"/>
      <c r="X976" s="242"/>
      <c r="Y976" s="242"/>
      <c r="Z976" s="242"/>
    </row>
    <row r="977">
      <c r="A977" s="242"/>
      <c r="B977" s="13"/>
      <c r="C977" s="13"/>
      <c r="D977" s="242"/>
      <c r="E977" s="242"/>
      <c r="F977" s="242"/>
      <c r="G977" s="242"/>
      <c r="H977" s="242"/>
      <c r="I977" s="242"/>
      <c r="J977" s="242"/>
      <c r="K977" s="242"/>
      <c r="L977" s="242"/>
      <c r="M977" s="242"/>
      <c r="N977" s="242"/>
      <c r="O977" s="242"/>
      <c r="P977" s="242"/>
      <c r="Q977" s="242"/>
      <c r="R977" s="242"/>
      <c r="S977" s="242"/>
      <c r="T977" s="13"/>
      <c r="U977" s="242"/>
      <c r="V977" s="242"/>
      <c r="W977" s="242"/>
      <c r="X977" s="242"/>
      <c r="Y977" s="242"/>
      <c r="Z977" s="242"/>
    </row>
    <row r="978">
      <c r="A978" s="242"/>
      <c r="B978" s="13"/>
      <c r="C978" s="13"/>
      <c r="D978" s="242"/>
      <c r="E978" s="242"/>
      <c r="F978" s="242"/>
      <c r="G978" s="242"/>
      <c r="H978" s="242"/>
      <c r="I978" s="242"/>
      <c r="J978" s="242"/>
      <c r="K978" s="242"/>
      <c r="L978" s="242"/>
      <c r="M978" s="242"/>
      <c r="N978" s="242"/>
      <c r="O978" s="242"/>
      <c r="P978" s="242"/>
      <c r="Q978" s="242"/>
      <c r="R978" s="242"/>
      <c r="S978" s="242"/>
      <c r="T978" s="13"/>
      <c r="U978" s="242"/>
      <c r="V978" s="242"/>
      <c r="W978" s="242"/>
      <c r="X978" s="242"/>
      <c r="Y978" s="242"/>
      <c r="Z978" s="242"/>
    </row>
    <row r="979">
      <c r="A979" s="242"/>
      <c r="B979" s="13"/>
      <c r="C979" s="13"/>
      <c r="D979" s="242"/>
      <c r="E979" s="242"/>
      <c r="F979" s="242"/>
      <c r="G979" s="242"/>
      <c r="H979" s="242"/>
      <c r="I979" s="242"/>
      <c r="J979" s="242"/>
      <c r="K979" s="242"/>
      <c r="L979" s="242"/>
      <c r="M979" s="242"/>
      <c r="N979" s="242"/>
      <c r="O979" s="242"/>
      <c r="P979" s="242"/>
      <c r="Q979" s="242"/>
      <c r="R979" s="242"/>
      <c r="S979" s="242"/>
      <c r="T979" s="13"/>
      <c r="U979" s="242"/>
      <c r="V979" s="242"/>
      <c r="W979" s="242"/>
      <c r="X979" s="242"/>
      <c r="Y979" s="242"/>
      <c r="Z979" s="242"/>
    </row>
    <row r="980">
      <c r="A980" s="242"/>
      <c r="B980" s="13"/>
      <c r="C980" s="13"/>
      <c r="D980" s="242"/>
      <c r="E980" s="242"/>
      <c r="F980" s="242"/>
      <c r="G980" s="242"/>
      <c r="H980" s="242"/>
      <c r="I980" s="242"/>
      <c r="J980" s="242"/>
      <c r="K980" s="242"/>
      <c r="L980" s="242"/>
      <c r="M980" s="242"/>
      <c r="N980" s="242"/>
      <c r="O980" s="242"/>
      <c r="P980" s="242"/>
      <c r="Q980" s="242"/>
      <c r="R980" s="242"/>
      <c r="S980" s="242"/>
      <c r="T980" s="13"/>
      <c r="U980" s="242"/>
      <c r="V980" s="242"/>
      <c r="W980" s="242"/>
      <c r="X980" s="242"/>
      <c r="Y980" s="242"/>
      <c r="Z980" s="242"/>
    </row>
    <row r="981">
      <c r="A981" s="242"/>
      <c r="B981" s="13"/>
      <c r="C981" s="13"/>
      <c r="D981" s="242"/>
      <c r="E981" s="242"/>
      <c r="F981" s="242"/>
      <c r="G981" s="242"/>
      <c r="H981" s="242"/>
      <c r="I981" s="242"/>
      <c r="J981" s="242"/>
      <c r="K981" s="242"/>
      <c r="L981" s="242"/>
      <c r="M981" s="242"/>
      <c r="N981" s="242"/>
      <c r="O981" s="242"/>
      <c r="P981" s="242"/>
      <c r="Q981" s="242"/>
      <c r="R981" s="242"/>
      <c r="S981" s="242"/>
      <c r="T981" s="13"/>
      <c r="U981" s="242"/>
      <c r="V981" s="242"/>
      <c r="W981" s="242"/>
      <c r="X981" s="242"/>
      <c r="Y981" s="242"/>
      <c r="Z981" s="242"/>
    </row>
    <row r="982">
      <c r="A982" s="242"/>
      <c r="B982" s="13"/>
      <c r="C982" s="13"/>
      <c r="D982" s="242"/>
      <c r="E982" s="242"/>
      <c r="F982" s="242"/>
      <c r="G982" s="242"/>
      <c r="H982" s="242"/>
      <c r="I982" s="242"/>
      <c r="J982" s="242"/>
      <c r="K982" s="242"/>
      <c r="L982" s="242"/>
      <c r="M982" s="242"/>
      <c r="N982" s="242"/>
      <c r="O982" s="242"/>
      <c r="P982" s="242"/>
      <c r="Q982" s="242"/>
      <c r="R982" s="242"/>
      <c r="S982" s="242"/>
      <c r="T982" s="13"/>
      <c r="U982" s="242"/>
      <c r="V982" s="242"/>
      <c r="W982" s="242"/>
      <c r="X982" s="242"/>
      <c r="Y982" s="242"/>
      <c r="Z982" s="242"/>
    </row>
    <row r="983">
      <c r="A983" s="242"/>
      <c r="B983" s="13"/>
      <c r="C983" s="13"/>
      <c r="D983" s="242"/>
      <c r="E983" s="242"/>
      <c r="F983" s="242"/>
      <c r="G983" s="242"/>
      <c r="H983" s="242"/>
      <c r="I983" s="242"/>
      <c r="J983" s="242"/>
      <c r="K983" s="242"/>
      <c r="L983" s="242"/>
      <c r="M983" s="242"/>
      <c r="N983" s="242"/>
      <c r="O983" s="242"/>
      <c r="P983" s="242"/>
      <c r="Q983" s="242"/>
      <c r="R983" s="242"/>
      <c r="S983" s="242"/>
      <c r="T983" s="13"/>
      <c r="U983" s="242"/>
      <c r="V983" s="242"/>
      <c r="W983" s="242"/>
      <c r="X983" s="242"/>
      <c r="Y983" s="242"/>
      <c r="Z983" s="242"/>
    </row>
    <row r="984">
      <c r="A984" s="242"/>
      <c r="B984" s="13"/>
      <c r="C984" s="13"/>
      <c r="D984" s="242"/>
      <c r="E984" s="242"/>
      <c r="F984" s="242"/>
      <c r="G984" s="242"/>
      <c r="H984" s="242"/>
      <c r="I984" s="242"/>
      <c r="J984" s="242"/>
      <c r="K984" s="242"/>
      <c r="L984" s="242"/>
      <c r="M984" s="242"/>
      <c r="N984" s="242"/>
      <c r="O984" s="242"/>
      <c r="P984" s="242"/>
      <c r="Q984" s="242"/>
      <c r="R984" s="242"/>
      <c r="S984" s="242"/>
      <c r="T984" s="13"/>
      <c r="U984" s="242"/>
      <c r="V984" s="242"/>
      <c r="W984" s="242"/>
      <c r="X984" s="242"/>
      <c r="Y984" s="242"/>
      <c r="Z984" s="242"/>
    </row>
    <row r="985">
      <c r="A985" s="242"/>
      <c r="B985" s="13"/>
      <c r="C985" s="13"/>
      <c r="D985" s="242"/>
      <c r="E985" s="242"/>
      <c r="F985" s="242"/>
      <c r="G985" s="242"/>
      <c r="H985" s="242"/>
      <c r="I985" s="242"/>
      <c r="J985" s="242"/>
      <c r="K985" s="242"/>
      <c r="L985" s="242"/>
      <c r="M985" s="242"/>
      <c r="N985" s="242"/>
      <c r="O985" s="242"/>
      <c r="P985" s="242"/>
      <c r="Q985" s="242"/>
      <c r="R985" s="242"/>
      <c r="S985" s="242"/>
      <c r="T985" s="13"/>
      <c r="U985" s="242"/>
      <c r="V985" s="242"/>
      <c r="W985" s="242"/>
      <c r="X985" s="242"/>
      <c r="Y985" s="242"/>
      <c r="Z985" s="242"/>
    </row>
    <row r="986">
      <c r="A986" s="242"/>
      <c r="B986" s="13"/>
      <c r="C986" s="13"/>
      <c r="D986" s="242"/>
      <c r="E986" s="242"/>
      <c r="F986" s="242"/>
      <c r="G986" s="242"/>
      <c r="H986" s="242"/>
      <c r="I986" s="242"/>
      <c r="J986" s="242"/>
      <c r="K986" s="242"/>
      <c r="L986" s="242"/>
      <c r="M986" s="242"/>
      <c r="N986" s="242"/>
      <c r="O986" s="242"/>
      <c r="P986" s="242"/>
      <c r="Q986" s="242"/>
      <c r="R986" s="242"/>
      <c r="S986" s="242"/>
      <c r="T986" s="13"/>
      <c r="U986" s="242"/>
      <c r="V986" s="242"/>
      <c r="W986" s="242"/>
      <c r="X986" s="242"/>
      <c r="Y986" s="242"/>
      <c r="Z986" s="242"/>
    </row>
    <row r="987">
      <c r="A987" s="242"/>
      <c r="B987" s="13"/>
      <c r="C987" s="13"/>
      <c r="D987" s="242"/>
      <c r="E987" s="242"/>
      <c r="F987" s="242"/>
      <c r="G987" s="242"/>
      <c r="H987" s="242"/>
      <c r="I987" s="242"/>
      <c r="J987" s="242"/>
      <c r="K987" s="242"/>
      <c r="L987" s="242"/>
      <c r="M987" s="242"/>
      <c r="N987" s="242"/>
      <c r="O987" s="242"/>
      <c r="P987" s="242"/>
      <c r="Q987" s="242"/>
      <c r="R987" s="242"/>
      <c r="S987" s="242"/>
      <c r="T987" s="13"/>
      <c r="U987" s="242"/>
      <c r="V987" s="242"/>
      <c r="W987" s="242"/>
      <c r="X987" s="242"/>
      <c r="Y987" s="242"/>
      <c r="Z987" s="242"/>
    </row>
    <row r="988">
      <c r="A988" s="242"/>
      <c r="B988" s="13"/>
      <c r="C988" s="13"/>
      <c r="D988" s="242"/>
      <c r="E988" s="242"/>
      <c r="F988" s="242"/>
      <c r="G988" s="242"/>
      <c r="H988" s="242"/>
      <c r="I988" s="242"/>
      <c r="J988" s="242"/>
      <c r="K988" s="242"/>
      <c r="L988" s="242"/>
      <c r="M988" s="242"/>
      <c r="N988" s="242"/>
      <c r="O988" s="242"/>
      <c r="P988" s="242"/>
      <c r="Q988" s="242"/>
      <c r="R988" s="242"/>
      <c r="S988" s="242"/>
      <c r="T988" s="13"/>
      <c r="U988" s="242"/>
      <c r="V988" s="242"/>
      <c r="W988" s="242"/>
      <c r="X988" s="242"/>
      <c r="Y988" s="242"/>
      <c r="Z988" s="242"/>
    </row>
    <row r="989">
      <c r="A989" s="242"/>
      <c r="B989" s="13"/>
      <c r="C989" s="13"/>
      <c r="D989" s="242"/>
      <c r="E989" s="242"/>
      <c r="F989" s="242"/>
      <c r="G989" s="242"/>
      <c r="H989" s="242"/>
      <c r="I989" s="242"/>
      <c r="J989" s="242"/>
      <c r="K989" s="242"/>
      <c r="L989" s="242"/>
      <c r="M989" s="242"/>
      <c r="N989" s="242"/>
      <c r="O989" s="242"/>
      <c r="P989" s="242"/>
      <c r="Q989" s="242"/>
      <c r="R989" s="242"/>
      <c r="S989" s="242"/>
      <c r="T989" s="13"/>
      <c r="U989" s="242"/>
      <c r="V989" s="242"/>
      <c r="W989" s="242"/>
      <c r="X989" s="242"/>
      <c r="Y989" s="242"/>
      <c r="Z989" s="242"/>
    </row>
    <row r="990">
      <c r="A990" s="242"/>
      <c r="B990" s="13"/>
      <c r="C990" s="13"/>
      <c r="D990" s="242"/>
      <c r="E990" s="242"/>
      <c r="F990" s="242"/>
      <c r="G990" s="242"/>
      <c r="H990" s="242"/>
      <c r="I990" s="242"/>
      <c r="J990" s="242"/>
      <c r="K990" s="242"/>
      <c r="L990" s="242"/>
      <c r="M990" s="242"/>
      <c r="N990" s="242"/>
      <c r="O990" s="242"/>
      <c r="P990" s="242"/>
      <c r="Q990" s="242"/>
      <c r="R990" s="242"/>
      <c r="S990" s="242"/>
      <c r="T990" s="13"/>
      <c r="U990" s="242"/>
      <c r="V990" s="242"/>
      <c r="W990" s="242"/>
      <c r="X990" s="242"/>
      <c r="Y990" s="242"/>
      <c r="Z990" s="242"/>
    </row>
    <row r="991">
      <c r="A991" s="242"/>
      <c r="B991" s="13"/>
      <c r="C991" s="13"/>
      <c r="D991" s="242"/>
      <c r="E991" s="242"/>
      <c r="F991" s="242"/>
      <c r="G991" s="242"/>
      <c r="H991" s="242"/>
      <c r="I991" s="242"/>
      <c r="J991" s="242"/>
      <c r="K991" s="242"/>
      <c r="L991" s="242"/>
      <c r="M991" s="242"/>
      <c r="N991" s="242"/>
      <c r="O991" s="242"/>
      <c r="P991" s="242"/>
      <c r="Q991" s="242"/>
      <c r="R991" s="242"/>
      <c r="S991" s="242"/>
      <c r="T991" s="13"/>
      <c r="U991" s="242"/>
      <c r="V991" s="242"/>
      <c r="W991" s="242"/>
      <c r="X991" s="242"/>
      <c r="Y991" s="242"/>
      <c r="Z991" s="242"/>
    </row>
    <row r="992">
      <c r="A992" s="242"/>
      <c r="B992" s="13"/>
      <c r="C992" s="13"/>
      <c r="D992" s="242"/>
      <c r="E992" s="242"/>
      <c r="F992" s="242"/>
      <c r="G992" s="242"/>
      <c r="H992" s="242"/>
      <c r="I992" s="242"/>
      <c r="J992" s="242"/>
      <c r="K992" s="242"/>
      <c r="L992" s="242"/>
      <c r="M992" s="242"/>
      <c r="N992" s="242"/>
      <c r="O992" s="242"/>
      <c r="P992" s="242"/>
      <c r="Q992" s="242"/>
      <c r="R992" s="242"/>
      <c r="S992" s="242"/>
      <c r="T992" s="13"/>
      <c r="U992" s="242"/>
      <c r="V992" s="242"/>
      <c r="W992" s="242"/>
      <c r="X992" s="242"/>
      <c r="Y992" s="242"/>
      <c r="Z992" s="242"/>
    </row>
    <row r="993">
      <c r="A993" s="242"/>
      <c r="B993" s="13"/>
      <c r="C993" s="13"/>
      <c r="D993" s="242"/>
      <c r="E993" s="242"/>
      <c r="F993" s="242"/>
      <c r="G993" s="242"/>
      <c r="H993" s="242"/>
      <c r="I993" s="242"/>
      <c r="J993" s="242"/>
      <c r="K993" s="242"/>
      <c r="L993" s="242"/>
      <c r="M993" s="242"/>
      <c r="N993" s="242"/>
      <c r="O993" s="242"/>
      <c r="P993" s="242"/>
      <c r="Q993" s="242"/>
      <c r="R993" s="242"/>
      <c r="S993" s="242"/>
      <c r="T993" s="13"/>
      <c r="U993" s="242"/>
      <c r="V993" s="242"/>
      <c r="W993" s="242"/>
      <c r="X993" s="242"/>
      <c r="Y993" s="242"/>
      <c r="Z993" s="242"/>
    </row>
    <row r="994">
      <c r="A994" s="242"/>
      <c r="B994" s="13"/>
      <c r="C994" s="13"/>
      <c r="D994" s="242"/>
      <c r="E994" s="242"/>
      <c r="F994" s="242"/>
      <c r="G994" s="242"/>
      <c r="H994" s="242"/>
      <c r="I994" s="242"/>
      <c r="J994" s="242"/>
      <c r="K994" s="242"/>
      <c r="L994" s="242"/>
      <c r="M994" s="242"/>
      <c r="N994" s="242"/>
      <c r="O994" s="242"/>
      <c r="P994" s="242"/>
      <c r="Q994" s="242"/>
      <c r="R994" s="242"/>
      <c r="S994" s="242"/>
      <c r="T994" s="13"/>
      <c r="U994" s="242"/>
      <c r="V994" s="242"/>
      <c r="W994" s="242"/>
      <c r="X994" s="242"/>
      <c r="Y994" s="242"/>
      <c r="Z994" s="242"/>
    </row>
    <row r="995">
      <c r="A995" s="242"/>
      <c r="B995" s="13"/>
      <c r="C995" s="13"/>
      <c r="D995" s="242"/>
      <c r="E995" s="242"/>
      <c r="F995" s="242"/>
      <c r="G995" s="242"/>
      <c r="H995" s="242"/>
      <c r="I995" s="242"/>
      <c r="J995" s="242"/>
      <c r="K995" s="242"/>
      <c r="L995" s="242"/>
      <c r="M995" s="242"/>
      <c r="N995" s="242"/>
      <c r="O995" s="242"/>
      <c r="P995" s="242"/>
      <c r="Q995" s="242"/>
      <c r="R995" s="242"/>
      <c r="S995" s="242"/>
      <c r="T995" s="13"/>
      <c r="U995" s="242"/>
      <c r="V995" s="242"/>
      <c r="W995" s="242"/>
      <c r="X995" s="242"/>
      <c r="Y995" s="242"/>
      <c r="Z995" s="242"/>
    </row>
    <row r="996">
      <c r="A996" s="242"/>
      <c r="B996" s="13"/>
      <c r="C996" s="13"/>
      <c r="D996" s="242"/>
      <c r="E996" s="242"/>
      <c r="F996" s="242"/>
      <c r="G996" s="242"/>
      <c r="H996" s="242"/>
      <c r="I996" s="242"/>
      <c r="J996" s="242"/>
      <c r="K996" s="242"/>
      <c r="L996" s="242"/>
      <c r="M996" s="242"/>
      <c r="N996" s="242"/>
      <c r="O996" s="242"/>
      <c r="P996" s="242"/>
      <c r="Q996" s="242"/>
      <c r="R996" s="242"/>
      <c r="S996" s="242"/>
      <c r="T996" s="13"/>
      <c r="U996" s="242"/>
      <c r="V996" s="242"/>
      <c r="W996" s="242"/>
      <c r="X996" s="242"/>
      <c r="Y996" s="242"/>
      <c r="Z996" s="242"/>
    </row>
    <row r="997">
      <c r="A997" s="242"/>
      <c r="B997" s="13"/>
      <c r="C997" s="13"/>
      <c r="D997" s="242"/>
      <c r="E997" s="242"/>
      <c r="F997" s="242"/>
      <c r="G997" s="242"/>
      <c r="H997" s="242"/>
      <c r="I997" s="242"/>
      <c r="J997" s="242"/>
      <c r="K997" s="242"/>
      <c r="L997" s="242"/>
      <c r="M997" s="242"/>
      <c r="N997" s="242"/>
      <c r="O997" s="242"/>
      <c r="P997" s="242"/>
      <c r="Q997" s="242"/>
      <c r="R997" s="242"/>
      <c r="S997" s="242"/>
      <c r="T997" s="13"/>
      <c r="U997" s="242"/>
      <c r="V997" s="242"/>
      <c r="W997" s="242"/>
      <c r="X997" s="242"/>
      <c r="Y997" s="242"/>
      <c r="Z997" s="242"/>
    </row>
    <row r="998">
      <c r="A998" s="242"/>
      <c r="B998" s="13"/>
      <c r="C998" s="13"/>
      <c r="D998" s="242"/>
      <c r="E998" s="242"/>
      <c r="F998" s="242"/>
      <c r="G998" s="242"/>
      <c r="H998" s="242"/>
      <c r="I998" s="242"/>
      <c r="J998" s="242"/>
      <c r="K998" s="242"/>
      <c r="L998" s="242"/>
      <c r="M998" s="242"/>
      <c r="N998" s="242"/>
      <c r="O998" s="242"/>
      <c r="P998" s="242"/>
      <c r="Q998" s="242"/>
      <c r="R998" s="242"/>
      <c r="S998" s="242"/>
      <c r="T998" s="13"/>
      <c r="U998" s="242"/>
      <c r="V998" s="242"/>
      <c r="W998" s="242"/>
      <c r="X998" s="242"/>
      <c r="Y998" s="242"/>
      <c r="Z998" s="242"/>
    </row>
  </sheetData>
  <mergeCells count="11">
    <mergeCell ref="Q2:S2"/>
    <mergeCell ref="B4:S4"/>
    <mergeCell ref="B16:S16"/>
    <mergeCell ref="B28:S28"/>
    <mergeCell ref="B2:B3"/>
    <mergeCell ref="C2:C3"/>
    <mergeCell ref="D2:D3"/>
    <mergeCell ref="E2:G2"/>
    <mergeCell ref="H2:J2"/>
    <mergeCell ref="K2:M2"/>
    <mergeCell ref="N2:P2"/>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5"/>
    <col customWidth="1" min="2" max="2" width="12.25"/>
    <col customWidth="1" min="5" max="5" width="8.5"/>
    <col customWidth="1" min="6" max="6" width="35.13"/>
    <col customWidth="1" min="7" max="7" width="11.25"/>
    <col customWidth="1" min="8" max="11" width="15.5"/>
    <col customWidth="1" hidden="1" min="12" max="12" width="13.75"/>
    <col customWidth="1" min="13" max="13" width="13.75"/>
  </cols>
  <sheetData>
    <row r="1">
      <c r="A1" s="340"/>
      <c r="C1" s="242"/>
      <c r="D1" s="242"/>
      <c r="E1" s="242"/>
      <c r="F1" s="443"/>
      <c r="G1" s="13"/>
      <c r="H1" s="747"/>
      <c r="I1" s="583"/>
      <c r="J1" s="583"/>
      <c r="K1" s="583"/>
      <c r="L1" s="13"/>
      <c r="M1" s="13"/>
      <c r="N1" s="13"/>
      <c r="O1" s="748">
        <v>45748.0</v>
      </c>
      <c r="P1" s="749">
        <v>45839.0</v>
      </c>
      <c r="Q1" s="242"/>
      <c r="R1" s="242"/>
      <c r="S1" s="242"/>
      <c r="T1" s="242"/>
      <c r="U1" s="242"/>
      <c r="V1" s="242"/>
      <c r="W1" s="242"/>
    </row>
    <row r="2" ht="30.0" customHeight="1">
      <c r="A2" s="340"/>
      <c r="B2" s="750" t="s">
        <v>4666</v>
      </c>
      <c r="C2" s="750" t="s">
        <v>18</v>
      </c>
      <c r="D2" s="750" t="s">
        <v>4667</v>
      </c>
      <c r="E2" s="750" t="s">
        <v>4668</v>
      </c>
      <c r="F2" s="751" t="s">
        <v>4669</v>
      </c>
      <c r="G2" s="750" t="s">
        <v>3528</v>
      </c>
      <c r="H2" s="752" t="s">
        <v>2519</v>
      </c>
      <c r="I2" s="753" t="s">
        <v>4157</v>
      </c>
      <c r="J2" s="753"/>
      <c r="K2" s="753"/>
      <c r="L2" s="3">
        <v>0.8</v>
      </c>
      <c r="M2" s="630" t="s">
        <v>4670</v>
      </c>
      <c r="N2" s="630" t="s">
        <v>4612</v>
      </c>
      <c r="O2" s="630" t="s">
        <v>4609</v>
      </c>
      <c r="P2" s="754" t="s">
        <v>4610</v>
      </c>
      <c r="Q2" s="242"/>
      <c r="R2" s="242"/>
      <c r="S2" s="242"/>
      <c r="T2" s="242"/>
      <c r="U2" s="242"/>
      <c r="V2" s="242"/>
      <c r="W2" s="242"/>
    </row>
    <row r="3">
      <c r="A3" s="755"/>
      <c r="C3" s="756" t="s">
        <v>4671</v>
      </c>
      <c r="D3" s="45"/>
      <c r="E3" s="45"/>
      <c r="F3" s="45"/>
      <c r="G3" s="45"/>
      <c r="H3" s="46"/>
      <c r="I3" s="757"/>
      <c r="J3" s="757">
        <v>0.9</v>
      </c>
      <c r="K3" s="757">
        <v>0.8</v>
      </c>
      <c r="L3" s="630" t="s">
        <v>4602</v>
      </c>
      <c r="M3" s="630"/>
      <c r="N3" s="530"/>
      <c r="O3" s="630"/>
      <c r="P3" s="758"/>
      <c r="Q3" s="534"/>
      <c r="R3" s="534"/>
      <c r="S3" s="534"/>
      <c r="T3" s="534"/>
      <c r="U3" s="534"/>
      <c r="V3" s="534"/>
      <c r="W3" s="534"/>
    </row>
    <row r="4">
      <c r="A4" s="755" t="str">
        <f t="shared" ref="A4:A53" si="1">D4&amp;F4</f>
        <v>40COUPLER</v>
      </c>
      <c r="B4" s="759"/>
      <c r="C4" s="739" t="s">
        <v>4233</v>
      </c>
      <c r="D4" s="760">
        <v>40.0</v>
      </c>
      <c r="E4" s="761"/>
      <c r="F4" s="762" t="s">
        <v>2061</v>
      </c>
      <c r="G4" s="763">
        <v>41.37</v>
      </c>
      <c r="H4" s="764">
        <v>36.5</v>
      </c>
      <c r="I4" s="765">
        <f t="shared" ref="I4:I53" si="2">IFERROR(H4/G4,"")*1000</f>
        <v>882.2818467</v>
      </c>
      <c r="J4" s="765">
        <f t="shared" ref="J4:J53" si="3">IFERROR(G4*$J$3,"")</f>
        <v>37.233</v>
      </c>
      <c r="K4" s="765">
        <f t="shared" ref="K4:K53" si="4">IFERROR(G4*$K$3,"")</f>
        <v>33.096</v>
      </c>
      <c r="L4" s="759">
        <v>48.0</v>
      </c>
      <c r="M4" s="735"/>
      <c r="N4" s="530"/>
      <c r="O4" s="630">
        <v>161.0</v>
      </c>
      <c r="P4" s="758"/>
      <c r="Q4" s="534"/>
      <c r="R4" s="534"/>
      <c r="S4" s="534"/>
      <c r="T4" s="534"/>
      <c r="U4" s="534"/>
      <c r="V4" s="534"/>
      <c r="W4" s="534"/>
    </row>
    <row r="5">
      <c r="A5" s="755" t="str">
        <f t="shared" si="1"/>
        <v>50COUPLER</v>
      </c>
      <c r="B5" s="759"/>
      <c r="C5" s="739" t="s">
        <v>4235</v>
      </c>
      <c r="D5" s="739">
        <v>50.0</v>
      </c>
      <c r="E5" s="743"/>
      <c r="F5" s="762" t="s">
        <v>2061</v>
      </c>
      <c r="G5" s="763">
        <v>58.2</v>
      </c>
      <c r="H5" s="764">
        <v>48.5</v>
      </c>
      <c r="I5" s="765">
        <f t="shared" si="2"/>
        <v>833.3333333</v>
      </c>
      <c r="J5" s="765">
        <f t="shared" si="3"/>
        <v>52.38</v>
      </c>
      <c r="K5" s="765">
        <f t="shared" si="4"/>
        <v>46.56</v>
      </c>
      <c r="L5" s="759">
        <v>52.0</v>
      </c>
      <c r="M5" s="735"/>
      <c r="N5" s="530"/>
      <c r="O5" s="630">
        <v>162.0</v>
      </c>
      <c r="P5" s="758"/>
      <c r="Q5" s="534"/>
      <c r="R5" s="534"/>
      <c r="S5" s="534"/>
      <c r="T5" s="534"/>
      <c r="U5" s="534"/>
      <c r="V5" s="534"/>
      <c r="W5" s="534"/>
    </row>
    <row r="6">
      <c r="A6" s="755" t="str">
        <f t="shared" si="1"/>
        <v>75COUPLER</v>
      </c>
      <c r="B6" s="759"/>
      <c r="C6" s="739" t="s">
        <v>4236</v>
      </c>
      <c r="D6" s="739">
        <v>75.0</v>
      </c>
      <c r="E6" s="743"/>
      <c r="F6" s="762" t="s">
        <v>2061</v>
      </c>
      <c r="G6" s="763">
        <v>81.9</v>
      </c>
      <c r="H6" s="764">
        <v>69.5</v>
      </c>
      <c r="I6" s="765">
        <f t="shared" si="2"/>
        <v>848.5958486</v>
      </c>
      <c r="J6" s="765">
        <f t="shared" si="3"/>
        <v>73.71</v>
      </c>
      <c r="K6" s="765">
        <f t="shared" si="4"/>
        <v>65.52</v>
      </c>
      <c r="L6" s="759">
        <v>108.0</v>
      </c>
      <c r="M6" s="736">
        <v>64.0</v>
      </c>
      <c r="N6" s="530"/>
      <c r="O6" s="630">
        <v>293.0</v>
      </c>
      <c r="P6" s="758"/>
      <c r="Q6" s="534"/>
      <c r="R6" s="534"/>
      <c r="S6" s="534"/>
      <c r="T6" s="534"/>
      <c r="U6" s="534"/>
      <c r="V6" s="534"/>
      <c r="W6" s="534"/>
    </row>
    <row r="7">
      <c r="A7" s="755" t="str">
        <f t="shared" si="1"/>
        <v>110COUPLER</v>
      </c>
      <c r="B7" s="759"/>
      <c r="C7" s="739" t="s">
        <v>4237</v>
      </c>
      <c r="D7" s="739">
        <v>110.0</v>
      </c>
      <c r="E7" s="743"/>
      <c r="F7" s="762" t="s">
        <v>2061</v>
      </c>
      <c r="G7" s="763">
        <v>209.18</v>
      </c>
      <c r="H7" s="764">
        <v>168.5</v>
      </c>
      <c r="I7" s="765">
        <f t="shared" si="2"/>
        <v>805.526341</v>
      </c>
      <c r="J7" s="765">
        <f t="shared" si="3"/>
        <v>188.262</v>
      </c>
      <c r="K7" s="765">
        <f t="shared" si="4"/>
        <v>167.344</v>
      </c>
      <c r="L7" s="759">
        <v>194.0</v>
      </c>
      <c r="M7" s="736">
        <v>134.0</v>
      </c>
      <c r="N7" s="530"/>
      <c r="O7" s="630">
        <v>533.0</v>
      </c>
      <c r="P7" s="758"/>
      <c r="Q7" s="534"/>
      <c r="R7" s="534"/>
      <c r="S7" s="534"/>
      <c r="T7" s="534"/>
      <c r="U7" s="534"/>
      <c r="V7" s="534"/>
      <c r="W7" s="534"/>
    </row>
    <row r="8">
      <c r="A8" s="755" t="str">
        <f t="shared" si="1"/>
        <v>160COUPLER</v>
      </c>
      <c r="B8" s="759"/>
      <c r="C8" s="739" t="s">
        <v>4238</v>
      </c>
      <c r="D8" s="739">
        <v>160.0</v>
      </c>
      <c r="E8" s="743"/>
      <c r="F8" s="762" t="s">
        <v>2061</v>
      </c>
      <c r="G8" s="763">
        <v>448.03</v>
      </c>
      <c r="H8" s="764">
        <v>368.0</v>
      </c>
      <c r="I8" s="765">
        <f t="shared" si="2"/>
        <v>821.3735687</v>
      </c>
      <c r="J8" s="765">
        <f t="shared" si="3"/>
        <v>403.227</v>
      </c>
      <c r="K8" s="765">
        <f t="shared" si="4"/>
        <v>358.424</v>
      </c>
      <c r="L8" s="759">
        <v>496.0</v>
      </c>
      <c r="M8" s="736">
        <v>306.0</v>
      </c>
      <c r="N8" s="530"/>
      <c r="O8" s="630">
        <v>1431.0</v>
      </c>
      <c r="P8" s="758"/>
      <c r="Q8" s="534"/>
      <c r="R8" s="534"/>
      <c r="S8" s="534"/>
      <c r="T8" s="534"/>
      <c r="U8" s="534"/>
      <c r="V8" s="534"/>
      <c r="W8" s="534"/>
    </row>
    <row r="9">
      <c r="A9" s="755" t="str">
        <f t="shared" si="1"/>
        <v>40ELBOW 90°</v>
      </c>
      <c r="B9" s="759"/>
      <c r="C9" s="739" t="s">
        <v>4239</v>
      </c>
      <c r="D9" s="760">
        <v>40.0</v>
      </c>
      <c r="E9" s="743"/>
      <c r="F9" s="766" t="s">
        <v>4672</v>
      </c>
      <c r="G9" s="763">
        <v>47.8</v>
      </c>
      <c r="H9" s="764">
        <v>39.5</v>
      </c>
      <c r="I9" s="765">
        <f t="shared" si="2"/>
        <v>826.3598326</v>
      </c>
      <c r="J9" s="765">
        <f t="shared" si="3"/>
        <v>43.02</v>
      </c>
      <c r="K9" s="765">
        <f t="shared" si="4"/>
        <v>38.24</v>
      </c>
      <c r="L9" s="759">
        <v>52.0</v>
      </c>
      <c r="M9" s="735"/>
      <c r="N9" s="530"/>
      <c r="O9" s="630">
        <v>85.0</v>
      </c>
      <c r="P9" s="758"/>
      <c r="Q9" s="534"/>
      <c r="R9" s="534"/>
      <c r="S9" s="534"/>
      <c r="T9" s="534"/>
      <c r="U9" s="534"/>
      <c r="V9" s="534"/>
      <c r="W9" s="534"/>
    </row>
    <row r="10">
      <c r="A10" s="755" t="str">
        <f t="shared" si="1"/>
        <v>50ELBOW 90°</v>
      </c>
      <c r="B10" s="759"/>
      <c r="C10" s="739" t="s">
        <v>4241</v>
      </c>
      <c r="D10" s="739">
        <v>50.0</v>
      </c>
      <c r="E10" s="743"/>
      <c r="F10" s="766" t="s">
        <v>4672</v>
      </c>
      <c r="G10" s="763">
        <v>69.08</v>
      </c>
      <c r="H10" s="764">
        <v>58.5</v>
      </c>
      <c r="I10" s="765">
        <f t="shared" si="2"/>
        <v>846.8442386</v>
      </c>
      <c r="J10" s="765">
        <f t="shared" si="3"/>
        <v>62.172</v>
      </c>
      <c r="K10" s="765">
        <f t="shared" si="4"/>
        <v>55.264</v>
      </c>
      <c r="L10" s="759">
        <v>56.0</v>
      </c>
      <c r="M10" s="735"/>
      <c r="N10" s="530"/>
      <c r="O10" s="630">
        <v>119.0</v>
      </c>
      <c r="P10" s="758"/>
      <c r="Q10" s="534"/>
      <c r="R10" s="534"/>
      <c r="S10" s="534"/>
      <c r="T10" s="534"/>
      <c r="U10" s="534"/>
      <c r="V10" s="534"/>
      <c r="W10" s="534"/>
    </row>
    <row r="11">
      <c r="A11" s="755" t="str">
        <f t="shared" si="1"/>
        <v>75ELBOW 90°</v>
      </c>
      <c r="B11" s="759"/>
      <c r="C11" s="739" t="s">
        <v>4242</v>
      </c>
      <c r="D11" s="739">
        <v>75.0</v>
      </c>
      <c r="E11" s="743"/>
      <c r="F11" s="766" t="s">
        <v>4672</v>
      </c>
      <c r="G11" s="763">
        <v>124.74</v>
      </c>
      <c r="H11" s="764">
        <v>99.8</v>
      </c>
      <c r="I11" s="765">
        <f t="shared" si="2"/>
        <v>800.0641334</v>
      </c>
      <c r="J11" s="765">
        <f t="shared" si="3"/>
        <v>112.266</v>
      </c>
      <c r="K11" s="765">
        <f t="shared" si="4"/>
        <v>99.792</v>
      </c>
      <c r="L11" s="759">
        <v>136.0</v>
      </c>
      <c r="M11" s="736">
        <v>88.0</v>
      </c>
      <c r="N11" s="530"/>
      <c r="O11" s="630">
        <v>187.0</v>
      </c>
      <c r="P11" s="758"/>
      <c r="Q11" s="534"/>
      <c r="R11" s="534"/>
      <c r="S11" s="534"/>
      <c r="T11" s="534"/>
      <c r="U11" s="534"/>
      <c r="V11" s="534"/>
      <c r="W11" s="534"/>
    </row>
    <row r="12">
      <c r="A12" s="755" t="str">
        <f t="shared" si="1"/>
        <v>110ELBOW 90°</v>
      </c>
      <c r="B12" s="759"/>
      <c r="C12" s="739" t="s">
        <v>4244</v>
      </c>
      <c r="D12" s="739">
        <v>110.0</v>
      </c>
      <c r="E12" s="743"/>
      <c r="F12" s="766" t="s">
        <v>4672</v>
      </c>
      <c r="G12" s="763">
        <v>344.38</v>
      </c>
      <c r="H12" s="764">
        <v>286.5</v>
      </c>
      <c r="I12" s="765">
        <f t="shared" si="2"/>
        <v>831.9298449</v>
      </c>
      <c r="J12" s="765">
        <f t="shared" si="3"/>
        <v>309.942</v>
      </c>
      <c r="K12" s="765">
        <f t="shared" si="4"/>
        <v>275.504</v>
      </c>
      <c r="L12" s="759">
        <v>268.0</v>
      </c>
      <c r="M12" s="736">
        <v>188.0</v>
      </c>
      <c r="N12" s="530"/>
      <c r="O12" s="630">
        <v>581.0</v>
      </c>
      <c r="P12" s="758"/>
      <c r="Q12" s="534"/>
      <c r="R12" s="534"/>
      <c r="S12" s="534"/>
      <c r="T12" s="534"/>
      <c r="U12" s="534"/>
      <c r="V12" s="534"/>
      <c r="W12" s="534"/>
    </row>
    <row r="13">
      <c r="A13" s="755" t="str">
        <f t="shared" si="1"/>
        <v>160ELBOW 90°</v>
      </c>
      <c r="B13" s="759"/>
      <c r="C13" s="739" t="s">
        <v>4245</v>
      </c>
      <c r="D13" s="739">
        <v>160.0</v>
      </c>
      <c r="E13" s="743"/>
      <c r="F13" s="766" t="s">
        <v>4672</v>
      </c>
      <c r="G13" s="763">
        <v>688.67</v>
      </c>
      <c r="H13" s="764">
        <v>542.0</v>
      </c>
      <c r="I13" s="765">
        <f t="shared" si="2"/>
        <v>787.0242642</v>
      </c>
      <c r="J13" s="765">
        <f t="shared" si="3"/>
        <v>619.803</v>
      </c>
      <c r="K13" s="765">
        <f t="shared" si="4"/>
        <v>550.936</v>
      </c>
      <c r="L13" s="759">
        <v>618.0</v>
      </c>
      <c r="M13" s="736">
        <v>478.0</v>
      </c>
      <c r="N13" s="530"/>
      <c r="O13" s="630">
        <v>1768.0</v>
      </c>
      <c r="P13" s="758"/>
      <c r="Q13" s="534"/>
      <c r="R13" s="534"/>
      <c r="S13" s="534"/>
      <c r="T13" s="534"/>
      <c r="U13" s="534"/>
      <c r="V13" s="534"/>
      <c r="W13" s="534"/>
    </row>
    <row r="14">
      <c r="A14" s="755" t="str">
        <f t="shared" si="1"/>
        <v>40ELBOW 45°</v>
      </c>
      <c r="B14" s="759"/>
      <c r="C14" s="739" t="s">
        <v>4247</v>
      </c>
      <c r="D14" s="760">
        <v>40.0</v>
      </c>
      <c r="E14" s="743"/>
      <c r="F14" s="766" t="s">
        <v>4673</v>
      </c>
      <c r="G14" s="763">
        <v>42.15</v>
      </c>
      <c r="H14" s="764">
        <v>38.5</v>
      </c>
      <c r="I14" s="765">
        <f t="shared" si="2"/>
        <v>913.4045077</v>
      </c>
      <c r="J14" s="765">
        <f t="shared" si="3"/>
        <v>37.935</v>
      </c>
      <c r="K14" s="765">
        <f t="shared" si="4"/>
        <v>33.72</v>
      </c>
      <c r="L14" s="759">
        <v>48.0</v>
      </c>
      <c r="M14" s="735"/>
      <c r="N14" s="530"/>
      <c r="O14" s="630">
        <v>68.0</v>
      </c>
      <c r="P14" s="758"/>
      <c r="Q14" s="534"/>
      <c r="R14" s="534"/>
      <c r="S14" s="534"/>
      <c r="T14" s="534"/>
      <c r="U14" s="534"/>
      <c r="V14" s="534"/>
      <c r="W14" s="534"/>
    </row>
    <row r="15">
      <c r="A15" s="755" t="str">
        <f t="shared" si="1"/>
        <v>50ELBOW 45°</v>
      </c>
      <c r="B15" s="759"/>
      <c r="C15" s="739" t="s">
        <v>4249</v>
      </c>
      <c r="D15" s="739">
        <v>50.0</v>
      </c>
      <c r="E15" s="743"/>
      <c r="F15" s="766" t="s">
        <v>4673</v>
      </c>
      <c r="G15" s="763">
        <v>60.6</v>
      </c>
      <c r="H15" s="764">
        <v>46.5</v>
      </c>
      <c r="I15" s="765">
        <f t="shared" si="2"/>
        <v>767.3267327</v>
      </c>
      <c r="J15" s="765">
        <f t="shared" si="3"/>
        <v>54.54</v>
      </c>
      <c r="K15" s="765">
        <f t="shared" si="4"/>
        <v>48.48</v>
      </c>
      <c r="L15" s="759">
        <v>50.0</v>
      </c>
      <c r="M15" s="735"/>
      <c r="N15" s="530"/>
      <c r="O15" s="630">
        <v>102.0</v>
      </c>
      <c r="P15" s="758"/>
      <c r="Q15" s="534"/>
      <c r="R15" s="534"/>
      <c r="S15" s="534"/>
      <c r="T15" s="534"/>
      <c r="U15" s="534"/>
      <c r="V15" s="534"/>
      <c r="W15" s="534"/>
    </row>
    <row r="16">
      <c r="A16" s="755" t="str">
        <f t="shared" si="1"/>
        <v>75ELBOW 45°</v>
      </c>
      <c r="B16" s="759"/>
      <c r="C16" s="739" t="s">
        <v>4250</v>
      </c>
      <c r="D16" s="739">
        <v>75.0</v>
      </c>
      <c r="E16" s="743"/>
      <c r="F16" s="766" t="s">
        <v>4673</v>
      </c>
      <c r="G16" s="763">
        <v>103.52</v>
      </c>
      <c r="H16" s="764">
        <v>96.5</v>
      </c>
      <c r="I16" s="765">
        <f t="shared" si="2"/>
        <v>932.187017</v>
      </c>
      <c r="J16" s="765">
        <f t="shared" si="3"/>
        <v>93.168</v>
      </c>
      <c r="K16" s="765">
        <f t="shared" si="4"/>
        <v>82.816</v>
      </c>
      <c r="L16" s="759">
        <v>118.0</v>
      </c>
      <c r="M16" s="736">
        <v>72.7</v>
      </c>
      <c r="N16" s="530"/>
      <c r="O16" s="630">
        <v>171.0</v>
      </c>
      <c r="P16" s="758"/>
      <c r="Q16" s="534"/>
      <c r="R16" s="534"/>
      <c r="S16" s="534"/>
      <c r="T16" s="534"/>
      <c r="U16" s="534"/>
      <c r="V16" s="534"/>
      <c r="W16" s="534"/>
    </row>
    <row r="17">
      <c r="A17" s="755" t="str">
        <f t="shared" si="1"/>
        <v>110ELBOW 45°</v>
      </c>
      <c r="B17" s="759"/>
      <c r="C17" s="739" t="s">
        <v>4251</v>
      </c>
      <c r="D17" s="739">
        <v>110.0</v>
      </c>
      <c r="E17" s="743"/>
      <c r="F17" s="766" t="s">
        <v>4673</v>
      </c>
      <c r="G17" s="763">
        <v>275.94</v>
      </c>
      <c r="H17" s="764">
        <v>248.5</v>
      </c>
      <c r="I17" s="765">
        <f t="shared" si="2"/>
        <v>900.5580923</v>
      </c>
      <c r="J17" s="765">
        <f t="shared" si="3"/>
        <v>248.346</v>
      </c>
      <c r="K17" s="765">
        <f t="shared" si="4"/>
        <v>220.752</v>
      </c>
      <c r="L17" s="759">
        <v>216.0</v>
      </c>
      <c r="M17" s="736">
        <v>152.8</v>
      </c>
      <c r="N17" s="530"/>
      <c r="O17" s="630">
        <v>534.0</v>
      </c>
      <c r="P17" s="758"/>
      <c r="Q17" s="534"/>
      <c r="R17" s="534"/>
      <c r="S17" s="534"/>
      <c r="T17" s="534"/>
      <c r="U17" s="534"/>
      <c r="V17" s="534"/>
      <c r="W17" s="534"/>
    </row>
    <row r="18">
      <c r="A18" s="755" t="str">
        <f t="shared" si="1"/>
        <v>160ELBOW 45°</v>
      </c>
      <c r="B18" s="759"/>
      <c r="C18" s="739" t="s">
        <v>4252</v>
      </c>
      <c r="D18" s="739">
        <v>160.0</v>
      </c>
      <c r="E18" s="743"/>
      <c r="F18" s="766" t="s">
        <v>4673</v>
      </c>
      <c r="G18" s="763">
        <v>542.12</v>
      </c>
      <c r="H18" s="764">
        <v>488.5</v>
      </c>
      <c r="I18" s="765">
        <f t="shared" si="2"/>
        <v>901.0920091</v>
      </c>
      <c r="J18" s="765">
        <f t="shared" si="3"/>
        <v>487.908</v>
      </c>
      <c r="K18" s="765">
        <f t="shared" si="4"/>
        <v>433.696</v>
      </c>
      <c r="L18" s="759">
        <v>558.0</v>
      </c>
      <c r="M18" s="736">
        <v>370.0</v>
      </c>
      <c r="N18" s="530"/>
      <c r="O18" s="630">
        <v>1002.0</v>
      </c>
      <c r="P18" s="758"/>
      <c r="Q18" s="534"/>
      <c r="R18" s="534"/>
      <c r="S18" s="534"/>
      <c r="T18" s="534"/>
      <c r="U18" s="534"/>
      <c r="V18" s="534"/>
      <c r="W18" s="534"/>
    </row>
    <row r="19">
      <c r="A19" s="755" t="str">
        <f t="shared" si="1"/>
        <v>40TEE</v>
      </c>
      <c r="B19" s="759"/>
      <c r="C19" s="739" t="s">
        <v>4253</v>
      </c>
      <c r="D19" s="760">
        <v>40.0</v>
      </c>
      <c r="E19" s="743"/>
      <c r="F19" s="766" t="s">
        <v>2998</v>
      </c>
      <c r="G19" s="763">
        <v>74.58</v>
      </c>
      <c r="H19" s="764">
        <v>64.4</v>
      </c>
      <c r="I19" s="765">
        <f t="shared" si="2"/>
        <v>863.5022794</v>
      </c>
      <c r="J19" s="765">
        <f t="shared" si="3"/>
        <v>67.122</v>
      </c>
      <c r="K19" s="765">
        <f t="shared" si="4"/>
        <v>59.664</v>
      </c>
      <c r="L19" s="759">
        <v>68.0</v>
      </c>
      <c r="M19" s="735"/>
      <c r="N19" s="530"/>
      <c r="O19" s="630">
        <v>260.0</v>
      </c>
      <c r="P19" s="758"/>
      <c r="Q19" s="534"/>
      <c r="R19" s="534"/>
      <c r="S19" s="534"/>
      <c r="T19" s="534"/>
      <c r="U19" s="534"/>
      <c r="V19" s="534"/>
      <c r="W19" s="534"/>
    </row>
    <row r="20">
      <c r="A20" s="755" t="str">
        <f t="shared" si="1"/>
        <v>50TEE</v>
      </c>
      <c r="B20" s="759"/>
      <c r="C20" s="739" t="s">
        <v>4255</v>
      </c>
      <c r="D20" s="739">
        <v>50.0</v>
      </c>
      <c r="E20" s="743"/>
      <c r="F20" s="766" t="s">
        <v>2998</v>
      </c>
      <c r="G20" s="763">
        <v>99.66</v>
      </c>
      <c r="H20" s="764">
        <v>88.6</v>
      </c>
      <c r="I20" s="765">
        <f t="shared" si="2"/>
        <v>889.0226771</v>
      </c>
      <c r="J20" s="765">
        <f t="shared" si="3"/>
        <v>89.694</v>
      </c>
      <c r="K20" s="765">
        <f t="shared" si="4"/>
        <v>79.728</v>
      </c>
      <c r="L20" s="759">
        <v>82.0</v>
      </c>
      <c r="M20" s="735"/>
      <c r="N20" s="530"/>
      <c r="O20" s="630">
        <v>293.0</v>
      </c>
      <c r="P20" s="758"/>
      <c r="Q20" s="534"/>
      <c r="R20" s="534"/>
      <c r="S20" s="534"/>
      <c r="T20" s="534"/>
      <c r="U20" s="534"/>
      <c r="V20" s="534"/>
      <c r="W20" s="534"/>
    </row>
    <row r="21">
      <c r="A21" s="755" t="str">
        <f t="shared" si="1"/>
        <v>75TEE</v>
      </c>
      <c r="B21" s="759"/>
      <c r="C21" s="739" t="s">
        <v>4257</v>
      </c>
      <c r="D21" s="739">
        <v>75.0</v>
      </c>
      <c r="E21" s="743"/>
      <c r="F21" s="766" t="s">
        <v>2998</v>
      </c>
      <c r="G21" s="763">
        <v>169.99</v>
      </c>
      <c r="H21" s="764">
        <v>148.8</v>
      </c>
      <c r="I21" s="765">
        <f t="shared" si="2"/>
        <v>875.3456086</v>
      </c>
      <c r="J21" s="765">
        <f t="shared" si="3"/>
        <v>152.991</v>
      </c>
      <c r="K21" s="765">
        <f t="shared" si="4"/>
        <v>135.992</v>
      </c>
      <c r="L21" s="759">
        <v>226.0</v>
      </c>
      <c r="M21" s="736">
        <v>121.0</v>
      </c>
      <c r="N21" s="530"/>
      <c r="O21" s="630">
        <v>651.0</v>
      </c>
      <c r="P21" s="758"/>
      <c r="Q21" s="534"/>
      <c r="R21" s="534"/>
      <c r="S21" s="534"/>
      <c r="T21" s="534"/>
      <c r="U21" s="534"/>
      <c r="V21" s="534"/>
      <c r="W21" s="534"/>
    </row>
    <row r="22">
      <c r="A22" s="755" t="str">
        <f t="shared" si="1"/>
        <v>110TEE</v>
      </c>
      <c r="B22" s="759"/>
      <c r="C22" s="739" t="s">
        <v>4258</v>
      </c>
      <c r="D22" s="739">
        <v>110.0</v>
      </c>
      <c r="E22" s="743"/>
      <c r="F22" s="766" t="s">
        <v>2998</v>
      </c>
      <c r="G22" s="763">
        <v>514.95</v>
      </c>
      <c r="H22" s="764">
        <v>448.0</v>
      </c>
      <c r="I22" s="765">
        <f t="shared" si="2"/>
        <v>869.9873774</v>
      </c>
      <c r="J22" s="765">
        <f t="shared" si="3"/>
        <v>463.455</v>
      </c>
      <c r="K22" s="765">
        <f t="shared" si="4"/>
        <v>411.96</v>
      </c>
      <c r="L22" s="759">
        <v>428.0</v>
      </c>
      <c r="M22" s="736">
        <v>248.0</v>
      </c>
      <c r="N22" s="530"/>
      <c r="O22" s="630">
        <v>901.0</v>
      </c>
      <c r="P22" s="758"/>
      <c r="Q22" s="534"/>
      <c r="R22" s="534"/>
      <c r="S22" s="534"/>
      <c r="T22" s="534"/>
      <c r="U22" s="534"/>
      <c r="V22" s="534"/>
      <c r="W22" s="534"/>
    </row>
    <row r="23">
      <c r="A23" s="755" t="str">
        <f t="shared" si="1"/>
        <v>160TEE</v>
      </c>
      <c r="B23" s="759"/>
      <c r="C23" s="739" t="s">
        <v>4259</v>
      </c>
      <c r="D23" s="739">
        <v>160.0</v>
      </c>
      <c r="E23" s="743"/>
      <c r="F23" s="766" t="s">
        <v>2998</v>
      </c>
      <c r="G23" s="763">
        <v>973.25</v>
      </c>
      <c r="H23" s="764">
        <v>796.0</v>
      </c>
      <c r="I23" s="765">
        <f t="shared" si="2"/>
        <v>817.878243</v>
      </c>
      <c r="J23" s="765">
        <f t="shared" si="3"/>
        <v>875.925</v>
      </c>
      <c r="K23" s="765">
        <f t="shared" si="4"/>
        <v>778.6</v>
      </c>
      <c r="L23" s="759">
        <v>890.0</v>
      </c>
      <c r="M23" s="736">
        <v>632.0</v>
      </c>
      <c r="N23" s="530"/>
      <c r="O23" s="630">
        <v>2600.0</v>
      </c>
      <c r="P23" s="758"/>
      <c r="Q23" s="534"/>
      <c r="R23" s="534"/>
      <c r="S23" s="534"/>
      <c r="T23" s="534"/>
      <c r="U23" s="534"/>
      <c r="V23" s="534"/>
      <c r="W23" s="534"/>
    </row>
    <row r="24">
      <c r="A24" s="755" t="str">
        <f t="shared" si="1"/>
        <v>110SWEEP TEE</v>
      </c>
      <c r="B24" s="767" t="s">
        <v>4674</v>
      </c>
      <c r="C24" s="768"/>
      <c r="D24" s="739">
        <v>110.0</v>
      </c>
      <c r="E24" s="743"/>
      <c r="F24" s="766" t="s">
        <v>4675</v>
      </c>
      <c r="G24" s="763">
        <v>557.6</v>
      </c>
      <c r="H24" s="764">
        <v>496.0</v>
      </c>
      <c r="I24" s="765">
        <f t="shared" si="2"/>
        <v>889.5265423</v>
      </c>
      <c r="J24" s="765">
        <f t="shared" si="3"/>
        <v>501.84</v>
      </c>
      <c r="K24" s="765">
        <f t="shared" si="4"/>
        <v>446.08</v>
      </c>
      <c r="L24" s="759">
        <v>74.0</v>
      </c>
      <c r="M24" s="735"/>
      <c r="N24" s="530"/>
      <c r="O24" s="530"/>
      <c r="P24" s="758"/>
      <c r="Q24" s="534"/>
      <c r="R24" s="534"/>
      <c r="S24" s="534"/>
      <c r="T24" s="534"/>
      <c r="U24" s="534"/>
      <c r="V24" s="534"/>
      <c r="W24" s="534"/>
    </row>
    <row r="25">
      <c r="A25" s="755" t="str">
        <f t="shared" si="1"/>
        <v>110X75SWEEP TEE</v>
      </c>
      <c r="B25" s="767" t="s">
        <v>4674</v>
      </c>
      <c r="C25" s="768"/>
      <c r="D25" s="760" t="s">
        <v>4676</v>
      </c>
      <c r="E25" s="743"/>
      <c r="F25" s="766" t="s">
        <v>4675</v>
      </c>
      <c r="G25" s="763">
        <v>478.5</v>
      </c>
      <c r="H25" s="764">
        <v>436.0</v>
      </c>
      <c r="I25" s="765">
        <f t="shared" si="2"/>
        <v>911.1807732</v>
      </c>
      <c r="J25" s="765">
        <f t="shared" si="3"/>
        <v>430.65</v>
      </c>
      <c r="K25" s="765">
        <f t="shared" si="4"/>
        <v>382.8</v>
      </c>
      <c r="L25" s="759"/>
      <c r="M25" s="735"/>
      <c r="N25" s="530"/>
      <c r="O25" s="530"/>
      <c r="P25" s="758"/>
      <c r="Q25" s="534"/>
      <c r="R25" s="534"/>
      <c r="S25" s="534"/>
      <c r="T25" s="534"/>
      <c r="U25" s="534"/>
      <c r="V25" s="534"/>
      <c r="W25" s="534"/>
    </row>
    <row r="26">
      <c r="A26" s="755" t="str">
        <f t="shared" si="1"/>
        <v>40Y</v>
      </c>
      <c r="B26" s="769"/>
      <c r="C26" s="739" t="s">
        <v>4261</v>
      </c>
      <c r="D26" s="760">
        <v>40.0</v>
      </c>
      <c r="E26" s="743"/>
      <c r="F26" s="766" t="s">
        <v>4677</v>
      </c>
      <c r="G26" s="763">
        <v>82.3</v>
      </c>
      <c r="H26" s="764">
        <v>78.4</v>
      </c>
      <c r="I26" s="765">
        <f t="shared" si="2"/>
        <v>952.6123937</v>
      </c>
      <c r="J26" s="765">
        <f t="shared" si="3"/>
        <v>74.07</v>
      </c>
      <c r="K26" s="765">
        <f t="shared" si="4"/>
        <v>65.84</v>
      </c>
      <c r="L26" s="759">
        <v>92.0</v>
      </c>
      <c r="M26" s="735"/>
      <c r="N26" s="530"/>
      <c r="O26" s="530"/>
      <c r="P26" s="758"/>
      <c r="Q26" s="534"/>
      <c r="R26" s="534"/>
      <c r="S26" s="534"/>
      <c r="T26" s="534"/>
      <c r="U26" s="534"/>
      <c r="V26" s="534"/>
      <c r="W26" s="534"/>
    </row>
    <row r="27">
      <c r="A27" s="755" t="str">
        <f t="shared" si="1"/>
        <v>50Y</v>
      </c>
      <c r="B27" s="759"/>
      <c r="C27" s="739" t="s">
        <v>4263</v>
      </c>
      <c r="D27" s="739">
        <v>50.0</v>
      </c>
      <c r="E27" s="743"/>
      <c r="F27" s="766" t="s">
        <v>4677</v>
      </c>
      <c r="G27" s="763">
        <v>119.8</v>
      </c>
      <c r="H27" s="764">
        <v>109.8</v>
      </c>
      <c r="I27" s="765">
        <f t="shared" si="2"/>
        <v>916.5275459</v>
      </c>
      <c r="J27" s="765">
        <f t="shared" si="3"/>
        <v>107.82</v>
      </c>
      <c r="K27" s="765">
        <f t="shared" si="4"/>
        <v>95.84</v>
      </c>
      <c r="L27" s="759">
        <v>228.0</v>
      </c>
      <c r="M27" s="736">
        <v>152.2</v>
      </c>
      <c r="N27" s="530"/>
      <c r="O27" s="530"/>
      <c r="P27" s="758"/>
      <c r="Q27" s="534"/>
      <c r="R27" s="534"/>
      <c r="S27" s="534"/>
      <c r="T27" s="534"/>
      <c r="U27" s="534"/>
      <c r="V27" s="534"/>
      <c r="W27" s="534"/>
    </row>
    <row r="28">
      <c r="A28" s="755" t="str">
        <f t="shared" si="1"/>
        <v>75Y</v>
      </c>
      <c r="B28" s="759"/>
      <c r="C28" s="739" t="s">
        <v>4264</v>
      </c>
      <c r="D28" s="739">
        <v>75.0</v>
      </c>
      <c r="E28" s="743"/>
      <c r="F28" s="766" t="s">
        <v>4677</v>
      </c>
      <c r="G28" s="763">
        <v>220.4</v>
      </c>
      <c r="H28" s="764">
        <v>198.4</v>
      </c>
      <c r="I28" s="765">
        <f t="shared" si="2"/>
        <v>900.1814882</v>
      </c>
      <c r="J28" s="765">
        <f t="shared" si="3"/>
        <v>198.36</v>
      </c>
      <c r="K28" s="765">
        <f t="shared" si="4"/>
        <v>176.32</v>
      </c>
      <c r="L28" s="759">
        <v>438.0</v>
      </c>
      <c r="M28" s="736">
        <v>314.2</v>
      </c>
      <c r="N28" s="530"/>
      <c r="O28" s="530"/>
      <c r="P28" s="758"/>
      <c r="Q28" s="534"/>
      <c r="R28" s="534"/>
      <c r="S28" s="534"/>
      <c r="T28" s="534"/>
      <c r="U28" s="534"/>
      <c r="V28" s="534"/>
      <c r="W28" s="534"/>
    </row>
    <row r="29">
      <c r="A29" s="755" t="str">
        <f t="shared" si="1"/>
        <v>110Y</v>
      </c>
      <c r="B29" s="759"/>
      <c r="C29" s="739" t="s">
        <v>4265</v>
      </c>
      <c r="D29" s="739">
        <v>110.0</v>
      </c>
      <c r="E29" s="743"/>
      <c r="F29" s="766" t="s">
        <v>4677</v>
      </c>
      <c r="G29" s="763">
        <v>619.09</v>
      </c>
      <c r="H29" s="764">
        <v>548.0</v>
      </c>
      <c r="I29" s="765">
        <f t="shared" si="2"/>
        <v>885.1701691</v>
      </c>
      <c r="J29" s="765">
        <f t="shared" si="3"/>
        <v>557.181</v>
      </c>
      <c r="K29" s="765">
        <f t="shared" si="4"/>
        <v>495.272</v>
      </c>
      <c r="L29" s="759">
        <v>940.0</v>
      </c>
      <c r="M29" s="736">
        <v>929.2</v>
      </c>
      <c r="N29" s="530"/>
      <c r="O29" s="530"/>
      <c r="P29" s="758"/>
      <c r="Q29" s="534"/>
      <c r="R29" s="534"/>
      <c r="S29" s="534"/>
      <c r="T29" s="534"/>
      <c r="U29" s="534"/>
      <c r="V29" s="534"/>
      <c r="W29" s="534"/>
    </row>
    <row r="30">
      <c r="A30" s="755" t="str">
        <f t="shared" si="1"/>
        <v>160Y</v>
      </c>
      <c r="B30" s="759"/>
      <c r="C30" s="739" t="s">
        <v>4266</v>
      </c>
      <c r="D30" s="739">
        <v>160.0</v>
      </c>
      <c r="E30" s="743"/>
      <c r="F30" s="766" t="s">
        <v>4677</v>
      </c>
      <c r="G30" s="763">
        <v>1253.18</v>
      </c>
      <c r="H30" s="764">
        <v>1184.0</v>
      </c>
      <c r="I30" s="765">
        <f t="shared" si="2"/>
        <v>944.7964379</v>
      </c>
      <c r="J30" s="765">
        <f t="shared" si="3"/>
        <v>1127.862</v>
      </c>
      <c r="K30" s="765">
        <f t="shared" si="4"/>
        <v>1002.544</v>
      </c>
      <c r="L30" s="759">
        <v>160.0</v>
      </c>
      <c r="M30" s="735"/>
      <c r="N30" s="530"/>
      <c r="O30" s="530"/>
      <c r="P30" s="758"/>
      <c r="Q30" s="534"/>
      <c r="R30" s="534"/>
      <c r="S30" s="534"/>
      <c r="T30" s="534"/>
      <c r="U30" s="534"/>
      <c r="V30" s="534"/>
      <c r="W30" s="534"/>
    </row>
    <row r="31">
      <c r="A31" s="755" t="str">
        <f t="shared" si="1"/>
        <v>110X50RED Y</v>
      </c>
      <c r="B31" s="767" t="s">
        <v>4674</v>
      </c>
      <c r="C31" s="768"/>
      <c r="D31" s="739" t="s">
        <v>4678</v>
      </c>
      <c r="E31" s="743"/>
      <c r="F31" s="766" t="s">
        <v>4679</v>
      </c>
      <c r="G31" s="763">
        <v>408.4</v>
      </c>
      <c r="H31" s="764">
        <v>382.0</v>
      </c>
      <c r="I31" s="765">
        <f t="shared" si="2"/>
        <v>935.3574927</v>
      </c>
      <c r="J31" s="765">
        <f t="shared" si="3"/>
        <v>367.56</v>
      </c>
      <c r="K31" s="765">
        <f t="shared" si="4"/>
        <v>326.72</v>
      </c>
      <c r="N31" s="530"/>
      <c r="O31" s="530"/>
      <c r="P31" s="758"/>
      <c r="Q31" s="534"/>
      <c r="R31" s="534"/>
      <c r="S31" s="534"/>
      <c r="T31" s="534"/>
      <c r="U31" s="534"/>
      <c r="V31" s="534"/>
      <c r="W31" s="534"/>
    </row>
    <row r="32">
      <c r="A32" s="755" t="str">
        <f t="shared" si="1"/>
        <v>110X75RED Y</v>
      </c>
      <c r="B32" s="767" t="s">
        <v>4674</v>
      </c>
      <c r="C32" s="768"/>
      <c r="D32" s="739" t="s">
        <v>4676</v>
      </c>
      <c r="E32" s="743"/>
      <c r="F32" s="766" t="s">
        <v>4679</v>
      </c>
      <c r="G32" s="763">
        <v>425.5</v>
      </c>
      <c r="H32" s="764">
        <v>388.0</v>
      </c>
      <c r="I32" s="765">
        <f t="shared" si="2"/>
        <v>911.8683901</v>
      </c>
      <c r="J32" s="765">
        <f t="shared" si="3"/>
        <v>382.95</v>
      </c>
      <c r="K32" s="765">
        <f t="shared" si="4"/>
        <v>340.4</v>
      </c>
      <c r="N32" s="530"/>
      <c r="O32" s="530"/>
      <c r="P32" s="758"/>
      <c r="Q32" s="534"/>
      <c r="R32" s="534"/>
      <c r="S32" s="534"/>
      <c r="T32" s="534"/>
      <c r="U32" s="534"/>
      <c r="V32" s="534"/>
      <c r="W32" s="534"/>
    </row>
    <row r="33">
      <c r="A33" s="755" t="str">
        <f t="shared" si="1"/>
        <v>160X110RED Y</v>
      </c>
      <c r="B33" s="767" t="s">
        <v>4674</v>
      </c>
      <c r="C33" s="768"/>
      <c r="D33" s="739" t="s">
        <v>4680</v>
      </c>
      <c r="E33" s="743"/>
      <c r="F33" s="766" t="s">
        <v>4679</v>
      </c>
      <c r="G33" s="763">
        <v>941.5</v>
      </c>
      <c r="H33" s="764">
        <v>884.0</v>
      </c>
      <c r="I33" s="765">
        <f t="shared" si="2"/>
        <v>938.9272438</v>
      </c>
      <c r="J33" s="765">
        <f t="shared" si="3"/>
        <v>847.35</v>
      </c>
      <c r="K33" s="765">
        <f t="shared" si="4"/>
        <v>753.2</v>
      </c>
      <c r="N33" s="530"/>
      <c r="O33" s="530"/>
      <c r="P33" s="758"/>
      <c r="Q33" s="534"/>
      <c r="R33" s="534"/>
      <c r="S33" s="534"/>
      <c r="T33" s="534"/>
      <c r="U33" s="534"/>
      <c r="V33" s="534"/>
      <c r="W33" s="534"/>
    </row>
    <row r="34">
      <c r="A34" s="755" t="str">
        <f t="shared" si="1"/>
        <v>110X75REDUCER BUSH</v>
      </c>
      <c r="B34" s="759"/>
      <c r="C34" s="739" t="s">
        <v>4267</v>
      </c>
      <c r="D34" s="739" t="s">
        <v>4676</v>
      </c>
      <c r="E34" s="743"/>
      <c r="F34" s="766" t="s">
        <v>4681</v>
      </c>
      <c r="G34" s="765"/>
      <c r="H34" s="770"/>
      <c r="I34" s="765">
        <f t="shared" si="2"/>
        <v>0</v>
      </c>
      <c r="J34" s="765">
        <f t="shared" si="3"/>
        <v>0</v>
      </c>
      <c r="K34" s="765">
        <f t="shared" si="4"/>
        <v>0</v>
      </c>
      <c r="L34" s="759">
        <v>338.0</v>
      </c>
      <c r="M34" s="530"/>
      <c r="N34" s="530"/>
      <c r="O34" s="530"/>
      <c r="P34" s="758"/>
      <c r="Q34" s="534"/>
      <c r="R34" s="534"/>
      <c r="S34" s="534"/>
      <c r="T34" s="534"/>
      <c r="U34" s="534"/>
      <c r="V34" s="534"/>
      <c r="W34" s="534"/>
    </row>
    <row r="35">
      <c r="A35" s="755" t="str">
        <f t="shared" si="1"/>
        <v>160X110REDUCER BUSH</v>
      </c>
      <c r="B35" s="759"/>
      <c r="C35" s="739" t="s">
        <v>4269</v>
      </c>
      <c r="D35" s="739" t="s">
        <v>4680</v>
      </c>
      <c r="E35" s="743"/>
      <c r="F35" s="766" t="s">
        <v>4681</v>
      </c>
      <c r="G35" s="765"/>
      <c r="H35" s="770"/>
      <c r="I35" s="765">
        <f t="shared" si="2"/>
        <v>0</v>
      </c>
      <c r="J35" s="765">
        <f t="shared" si="3"/>
        <v>0</v>
      </c>
      <c r="K35" s="765">
        <f t="shared" si="4"/>
        <v>0</v>
      </c>
      <c r="L35" s="759">
        <v>316.0</v>
      </c>
      <c r="M35" s="530"/>
      <c r="N35" s="530"/>
      <c r="O35" s="530"/>
      <c r="P35" s="758"/>
      <c r="Q35" s="534"/>
      <c r="R35" s="534"/>
      <c r="S35" s="534"/>
      <c r="T35" s="534"/>
      <c r="U35" s="534"/>
      <c r="V35" s="534"/>
      <c r="W35" s="534"/>
    </row>
    <row r="36">
      <c r="A36" s="755" t="str">
        <f t="shared" si="1"/>
        <v>50X40REDUCER BUSH</v>
      </c>
      <c r="B36" s="759"/>
      <c r="C36" s="768"/>
      <c r="D36" s="739" t="s">
        <v>4682</v>
      </c>
      <c r="E36" s="743"/>
      <c r="F36" s="766" t="s">
        <v>4681</v>
      </c>
      <c r="G36" s="765"/>
      <c r="H36" s="770"/>
      <c r="I36" s="765">
        <f t="shared" si="2"/>
        <v>0</v>
      </c>
      <c r="J36" s="765">
        <f t="shared" si="3"/>
        <v>0</v>
      </c>
      <c r="K36" s="765">
        <f t="shared" si="4"/>
        <v>0</v>
      </c>
      <c r="L36" s="759">
        <v>554.0</v>
      </c>
      <c r="M36" s="530"/>
      <c r="N36" s="530"/>
      <c r="O36" s="530"/>
      <c r="P36" s="758"/>
      <c r="Q36" s="534"/>
      <c r="R36" s="534"/>
      <c r="S36" s="534"/>
      <c r="T36" s="534"/>
      <c r="U36" s="534"/>
      <c r="V36" s="534"/>
      <c r="W36" s="534"/>
    </row>
    <row r="37">
      <c r="A37" s="755" t="str">
        <f t="shared" si="1"/>
        <v>75X50REDUCER BUSH</v>
      </c>
      <c r="B37" s="759"/>
      <c r="C37" s="768"/>
      <c r="D37" s="739" t="s">
        <v>4683</v>
      </c>
      <c r="E37" s="743"/>
      <c r="F37" s="766" t="s">
        <v>4681</v>
      </c>
      <c r="G37" s="765"/>
      <c r="H37" s="770"/>
      <c r="I37" s="765">
        <f t="shared" si="2"/>
        <v>0</v>
      </c>
      <c r="J37" s="765">
        <f t="shared" si="3"/>
        <v>0</v>
      </c>
      <c r="K37" s="765">
        <f t="shared" si="4"/>
        <v>0</v>
      </c>
      <c r="L37" s="759">
        <v>896.0</v>
      </c>
      <c r="M37" s="530"/>
      <c r="N37" s="530"/>
      <c r="O37" s="530"/>
      <c r="P37" s="758"/>
      <c r="Q37" s="534"/>
      <c r="R37" s="534"/>
      <c r="S37" s="534"/>
      <c r="T37" s="534"/>
      <c r="U37" s="534"/>
      <c r="V37" s="534"/>
      <c r="W37" s="534"/>
    </row>
    <row r="38">
      <c r="A38" s="755" t="str">
        <f t="shared" si="1"/>
        <v>160X75REDUCER BUSH</v>
      </c>
      <c r="B38" s="759"/>
      <c r="C38" s="739" t="s">
        <v>4270</v>
      </c>
      <c r="D38" s="739" t="s">
        <v>4684</v>
      </c>
      <c r="E38" s="743"/>
      <c r="F38" s="766" t="s">
        <v>4681</v>
      </c>
      <c r="G38" s="765"/>
      <c r="H38" s="770"/>
      <c r="I38" s="765">
        <f t="shared" si="2"/>
        <v>0</v>
      </c>
      <c r="J38" s="765">
        <f t="shared" si="3"/>
        <v>0</v>
      </c>
      <c r="K38" s="765">
        <f t="shared" si="4"/>
        <v>0</v>
      </c>
      <c r="L38" s="759">
        <v>816.0</v>
      </c>
      <c r="M38" s="530"/>
      <c r="N38" s="530"/>
      <c r="O38" s="530"/>
      <c r="P38" s="758"/>
      <c r="Q38" s="534"/>
      <c r="R38" s="534"/>
      <c r="S38" s="534"/>
      <c r="T38" s="534"/>
      <c r="U38" s="534"/>
      <c r="V38" s="534"/>
      <c r="W38" s="534"/>
    </row>
    <row r="39">
      <c r="A39" s="755" t="str">
        <f t="shared" si="1"/>
        <v>110X75REDUCER TEE</v>
      </c>
      <c r="B39" s="759"/>
      <c r="C39" s="739" t="s">
        <v>4271</v>
      </c>
      <c r="D39" s="739" t="s">
        <v>4676</v>
      </c>
      <c r="E39" s="743"/>
      <c r="F39" s="766" t="s">
        <v>2271</v>
      </c>
      <c r="G39" s="763">
        <v>349.38</v>
      </c>
      <c r="H39" s="764">
        <v>324.0</v>
      </c>
      <c r="I39" s="765">
        <f t="shared" si="2"/>
        <v>927.3570325</v>
      </c>
      <c r="J39" s="765">
        <f t="shared" si="3"/>
        <v>314.442</v>
      </c>
      <c r="K39" s="765">
        <f t="shared" si="4"/>
        <v>279.504</v>
      </c>
      <c r="L39" s="759">
        <v>262.0</v>
      </c>
      <c r="M39" s="530"/>
      <c r="N39" s="530"/>
      <c r="O39" s="530"/>
      <c r="P39" s="758"/>
      <c r="Q39" s="534"/>
      <c r="R39" s="534"/>
      <c r="S39" s="534"/>
      <c r="T39" s="534"/>
      <c r="U39" s="534"/>
      <c r="V39" s="534"/>
      <c r="W39" s="534"/>
    </row>
    <row r="40">
      <c r="A40" s="755" t="str">
        <f t="shared" si="1"/>
        <v>160X110REDUCER TEE</v>
      </c>
      <c r="B40" s="759"/>
      <c r="C40" s="739" t="s">
        <v>4273</v>
      </c>
      <c r="D40" s="739" t="s">
        <v>4680</v>
      </c>
      <c r="E40" s="743"/>
      <c r="F40" s="766" t="s">
        <v>2271</v>
      </c>
      <c r="G40" s="763">
        <v>703.96</v>
      </c>
      <c r="H40" s="764">
        <v>638.0</v>
      </c>
      <c r="I40" s="765">
        <f t="shared" si="2"/>
        <v>906.3014944</v>
      </c>
      <c r="J40" s="765">
        <f t="shared" si="3"/>
        <v>633.564</v>
      </c>
      <c r="K40" s="765">
        <f t="shared" si="4"/>
        <v>563.168</v>
      </c>
      <c r="L40" s="759">
        <v>208.0</v>
      </c>
      <c r="M40" s="530"/>
      <c r="N40" s="530"/>
      <c r="O40" s="530"/>
      <c r="P40" s="758"/>
      <c r="Q40" s="534"/>
      <c r="R40" s="534"/>
      <c r="S40" s="534"/>
      <c r="T40" s="534"/>
      <c r="U40" s="534"/>
      <c r="V40" s="534"/>
      <c r="W40" s="534"/>
    </row>
    <row r="41">
      <c r="A41" s="755" t="str">
        <f t="shared" si="1"/>
        <v>160X75REDUCER TEE</v>
      </c>
      <c r="B41" s="759"/>
      <c r="C41" s="739" t="s">
        <v>4275</v>
      </c>
      <c r="D41" s="739" t="s">
        <v>4684</v>
      </c>
      <c r="E41" s="743"/>
      <c r="F41" s="766" t="s">
        <v>2271</v>
      </c>
      <c r="G41" s="763">
        <v>578.87</v>
      </c>
      <c r="H41" s="764">
        <v>538.0</v>
      </c>
      <c r="I41" s="765">
        <f t="shared" si="2"/>
        <v>929.3969285</v>
      </c>
      <c r="J41" s="765">
        <f t="shared" si="3"/>
        <v>520.983</v>
      </c>
      <c r="K41" s="765">
        <f t="shared" si="4"/>
        <v>463.096</v>
      </c>
      <c r="L41" s="759">
        <v>590.0</v>
      </c>
      <c r="M41" s="630">
        <v>351.4</v>
      </c>
      <c r="N41" s="530"/>
      <c r="O41" s="530"/>
      <c r="P41" s="758"/>
      <c r="Q41" s="534"/>
      <c r="R41" s="534"/>
      <c r="S41" s="534"/>
      <c r="T41" s="534"/>
      <c r="U41" s="534"/>
      <c r="V41" s="534"/>
      <c r="W41" s="534"/>
    </row>
    <row r="42">
      <c r="A42" s="755" t="str">
        <f t="shared" si="1"/>
        <v>50X40REDUCER COUPLER</v>
      </c>
      <c r="B42" s="759"/>
      <c r="C42" s="739"/>
      <c r="D42" s="739" t="s">
        <v>4682</v>
      </c>
      <c r="E42" s="743"/>
      <c r="F42" s="766" t="s">
        <v>2308</v>
      </c>
      <c r="G42" s="763">
        <v>48.6</v>
      </c>
      <c r="H42" s="764">
        <v>44.4</v>
      </c>
      <c r="I42" s="765">
        <f t="shared" si="2"/>
        <v>913.5802469</v>
      </c>
      <c r="J42" s="765">
        <f t="shared" si="3"/>
        <v>43.74</v>
      </c>
      <c r="K42" s="765">
        <f t="shared" si="4"/>
        <v>38.88</v>
      </c>
      <c r="L42" s="759"/>
      <c r="M42" s="630"/>
      <c r="N42" s="530"/>
      <c r="O42" s="530"/>
      <c r="P42" s="758"/>
      <c r="Q42" s="534"/>
      <c r="R42" s="534"/>
      <c r="S42" s="534"/>
      <c r="T42" s="534"/>
      <c r="U42" s="534"/>
      <c r="V42" s="534"/>
      <c r="W42" s="534"/>
    </row>
    <row r="43">
      <c r="A43" s="755" t="str">
        <f t="shared" si="1"/>
        <v>75X40REDUCER COUPLER</v>
      </c>
      <c r="B43" s="759"/>
      <c r="C43" s="739"/>
      <c r="D43" s="739" t="s">
        <v>4685</v>
      </c>
      <c r="E43" s="743"/>
      <c r="F43" s="766" t="s">
        <v>2308</v>
      </c>
      <c r="G43" s="763">
        <v>73.35</v>
      </c>
      <c r="H43" s="764">
        <v>68.2</v>
      </c>
      <c r="I43" s="765">
        <f t="shared" si="2"/>
        <v>929.7886844</v>
      </c>
      <c r="J43" s="765">
        <f t="shared" si="3"/>
        <v>66.015</v>
      </c>
      <c r="K43" s="765">
        <f t="shared" si="4"/>
        <v>58.68</v>
      </c>
      <c r="L43" s="759"/>
      <c r="M43" s="630"/>
      <c r="N43" s="530"/>
      <c r="O43" s="530"/>
      <c r="P43" s="758"/>
      <c r="Q43" s="534"/>
      <c r="R43" s="534"/>
      <c r="S43" s="534"/>
      <c r="T43" s="534"/>
      <c r="U43" s="534"/>
      <c r="V43" s="534"/>
      <c r="W43" s="534"/>
    </row>
    <row r="44">
      <c r="A44" s="755" t="str">
        <f t="shared" si="1"/>
        <v>110X75REDUCER COUPLER</v>
      </c>
      <c r="B44" s="759"/>
      <c r="C44" s="739"/>
      <c r="D44" s="739" t="s">
        <v>4676</v>
      </c>
      <c r="E44" s="743"/>
      <c r="F44" s="766" t="s">
        <v>2308</v>
      </c>
      <c r="G44" s="763">
        <v>173.89</v>
      </c>
      <c r="H44" s="764">
        <v>164.4</v>
      </c>
      <c r="I44" s="765">
        <f t="shared" si="2"/>
        <v>945.4252688</v>
      </c>
      <c r="J44" s="765">
        <f t="shared" si="3"/>
        <v>156.501</v>
      </c>
      <c r="K44" s="765">
        <f t="shared" si="4"/>
        <v>139.112</v>
      </c>
      <c r="L44" s="759"/>
      <c r="M44" s="630"/>
      <c r="N44" s="530"/>
      <c r="O44" s="530"/>
      <c r="P44" s="758"/>
      <c r="Q44" s="534"/>
      <c r="R44" s="534"/>
      <c r="S44" s="534"/>
      <c r="T44" s="534"/>
      <c r="U44" s="534"/>
      <c r="V44" s="534"/>
      <c r="W44" s="534"/>
    </row>
    <row r="45">
      <c r="A45" s="755" t="str">
        <f t="shared" si="1"/>
        <v>160X75REDUCER COUPLER</v>
      </c>
      <c r="B45" s="759"/>
      <c r="C45" s="739"/>
      <c r="D45" s="739" t="s">
        <v>4684</v>
      </c>
      <c r="E45" s="743"/>
      <c r="F45" s="766" t="s">
        <v>2308</v>
      </c>
      <c r="G45" s="763">
        <v>352.93</v>
      </c>
      <c r="H45" s="764">
        <v>324.4</v>
      </c>
      <c r="I45" s="765">
        <f t="shared" si="2"/>
        <v>919.1624401</v>
      </c>
      <c r="J45" s="765">
        <f t="shared" si="3"/>
        <v>317.637</v>
      </c>
      <c r="K45" s="765">
        <f t="shared" si="4"/>
        <v>282.344</v>
      </c>
      <c r="L45" s="759"/>
      <c r="M45" s="630"/>
      <c r="N45" s="530"/>
      <c r="O45" s="530"/>
      <c r="P45" s="758"/>
      <c r="Q45" s="534"/>
      <c r="R45" s="534"/>
      <c r="S45" s="534"/>
      <c r="T45" s="534"/>
      <c r="U45" s="534"/>
      <c r="V45" s="534"/>
      <c r="W45" s="534"/>
    </row>
    <row r="46">
      <c r="A46" s="755" t="str">
        <f t="shared" si="1"/>
        <v>160X110REDUCER COUPLER</v>
      </c>
      <c r="B46" s="759"/>
      <c r="C46" s="739"/>
      <c r="D46" s="739" t="s">
        <v>4680</v>
      </c>
      <c r="E46" s="743"/>
      <c r="F46" s="766" t="s">
        <v>2308</v>
      </c>
      <c r="G46" s="763">
        <v>378.44</v>
      </c>
      <c r="H46" s="764">
        <v>348.8</v>
      </c>
      <c r="I46" s="765">
        <f t="shared" si="2"/>
        <v>921.6784695</v>
      </c>
      <c r="J46" s="765">
        <f t="shared" si="3"/>
        <v>340.596</v>
      </c>
      <c r="K46" s="765">
        <f t="shared" si="4"/>
        <v>302.752</v>
      </c>
      <c r="L46" s="759"/>
      <c r="M46" s="630"/>
      <c r="N46" s="530"/>
      <c r="O46" s="530"/>
      <c r="P46" s="758"/>
      <c r="Q46" s="534"/>
      <c r="R46" s="534"/>
      <c r="S46" s="534"/>
      <c r="T46" s="534"/>
      <c r="U46" s="534"/>
      <c r="V46" s="534"/>
      <c r="W46" s="534"/>
    </row>
    <row r="47">
      <c r="A47" s="755" t="str">
        <f t="shared" si="1"/>
        <v>110X110NAHANI TRAP</v>
      </c>
      <c r="B47" s="759"/>
      <c r="C47" s="739" t="s">
        <v>4277</v>
      </c>
      <c r="D47" s="739" t="s">
        <v>4686</v>
      </c>
      <c r="E47" s="743"/>
      <c r="F47" s="766" t="s">
        <v>4687</v>
      </c>
      <c r="G47" s="765"/>
      <c r="H47" s="770"/>
      <c r="I47" s="765">
        <f t="shared" si="2"/>
        <v>0</v>
      </c>
      <c r="J47" s="765">
        <f t="shared" si="3"/>
        <v>0</v>
      </c>
      <c r="K47" s="765">
        <f t="shared" si="4"/>
        <v>0</v>
      </c>
      <c r="L47" s="759">
        <v>630.0</v>
      </c>
      <c r="M47" s="630">
        <v>398.4</v>
      </c>
      <c r="N47" s="530"/>
      <c r="O47" s="530"/>
      <c r="P47" s="758"/>
      <c r="Q47" s="534"/>
      <c r="R47" s="534"/>
      <c r="S47" s="534"/>
      <c r="T47" s="534"/>
      <c r="U47" s="534"/>
      <c r="V47" s="534"/>
      <c r="W47" s="534"/>
    </row>
    <row r="48">
      <c r="A48" s="755" t="str">
        <f t="shared" si="1"/>
        <v>110X75NAHANI TRAP</v>
      </c>
      <c r="B48" s="534"/>
      <c r="C48" s="739" t="s">
        <v>4280</v>
      </c>
      <c r="D48" s="739" t="s">
        <v>4676</v>
      </c>
      <c r="E48" s="743"/>
      <c r="F48" s="766" t="s">
        <v>4687</v>
      </c>
      <c r="G48" s="765"/>
      <c r="H48" s="770"/>
      <c r="I48" s="765">
        <f t="shared" si="2"/>
        <v>0</v>
      </c>
      <c r="J48" s="765">
        <f t="shared" si="3"/>
        <v>0</v>
      </c>
      <c r="K48" s="765">
        <f t="shared" si="4"/>
        <v>0</v>
      </c>
      <c r="L48" s="759">
        <v>158.0</v>
      </c>
      <c r="M48" s="530"/>
      <c r="N48" s="530"/>
      <c r="O48" s="530"/>
      <c r="P48" s="758"/>
      <c r="Q48" s="534"/>
      <c r="R48" s="534"/>
      <c r="S48" s="534"/>
      <c r="T48" s="534"/>
      <c r="U48" s="534"/>
      <c r="V48" s="534"/>
      <c r="W48" s="534"/>
    </row>
    <row r="49">
      <c r="A49" s="755" t="str">
        <f t="shared" si="1"/>
        <v>110X110P-TRAP</v>
      </c>
      <c r="B49" s="771"/>
      <c r="C49" s="739" t="s">
        <v>4281</v>
      </c>
      <c r="D49" s="739" t="s">
        <v>4686</v>
      </c>
      <c r="E49" s="743"/>
      <c r="F49" s="766" t="s">
        <v>4688</v>
      </c>
      <c r="G49" s="765"/>
      <c r="H49" s="770"/>
      <c r="I49" s="765">
        <f t="shared" si="2"/>
        <v>0</v>
      </c>
      <c r="J49" s="765">
        <f t="shared" si="3"/>
        <v>0</v>
      </c>
      <c r="K49" s="765">
        <f t="shared" si="4"/>
        <v>0</v>
      </c>
      <c r="L49" s="759">
        <v>284.0</v>
      </c>
      <c r="M49" s="530"/>
      <c r="N49" s="530"/>
      <c r="O49" s="530"/>
      <c r="P49" s="758"/>
      <c r="Q49" s="534"/>
      <c r="R49" s="534"/>
      <c r="S49" s="534"/>
      <c r="T49" s="534"/>
      <c r="U49" s="534"/>
      <c r="V49" s="534"/>
      <c r="W49" s="534"/>
    </row>
    <row r="50">
      <c r="A50" s="755" t="str">
        <f t="shared" si="1"/>
        <v>125X110P-TRAP</v>
      </c>
      <c r="B50" s="771"/>
      <c r="C50" s="739" t="s">
        <v>4283</v>
      </c>
      <c r="D50" s="739" t="s">
        <v>4689</v>
      </c>
      <c r="E50" s="743"/>
      <c r="F50" s="766" t="s">
        <v>4688</v>
      </c>
      <c r="G50" s="765"/>
      <c r="H50" s="770"/>
      <c r="I50" s="765">
        <f t="shared" si="2"/>
        <v>0</v>
      </c>
      <c r="J50" s="765">
        <f t="shared" si="3"/>
        <v>0</v>
      </c>
      <c r="K50" s="765">
        <f t="shared" si="4"/>
        <v>0</v>
      </c>
      <c r="L50" s="759">
        <v>628.0</v>
      </c>
      <c r="M50" s="630"/>
      <c r="N50" s="530"/>
      <c r="O50" s="530"/>
      <c r="P50" s="758"/>
      <c r="Q50" s="534"/>
      <c r="R50" s="534"/>
      <c r="S50" s="534"/>
      <c r="T50" s="534"/>
      <c r="U50" s="534"/>
      <c r="V50" s="534"/>
      <c r="W50" s="534"/>
    </row>
    <row r="51">
      <c r="A51" s="755" t="str">
        <f t="shared" si="1"/>
        <v>75SOCKET PLUG WITH LOCK</v>
      </c>
      <c r="B51" s="759"/>
      <c r="C51" s="739" t="s">
        <v>4284</v>
      </c>
      <c r="D51" s="739">
        <v>75.0</v>
      </c>
      <c r="E51" s="743"/>
      <c r="F51" s="766" t="s">
        <v>4690</v>
      </c>
      <c r="G51" s="765"/>
      <c r="H51" s="770"/>
      <c r="I51" s="765">
        <f t="shared" si="2"/>
        <v>0</v>
      </c>
      <c r="J51" s="765">
        <f t="shared" si="3"/>
        <v>0</v>
      </c>
      <c r="K51" s="765">
        <f t="shared" si="4"/>
        <v>0</v>
      </c>
      <c r="L51" s="630">
        <v>158.0</v>
      </c>
      <c r="M51" s="530"/>
      <c r="N51" s="530"/>
      <c r="O51" s="530"/>
      <c r="P51" s="758"/>
      <c r="Q51" s="534"/>
      <c r="R51" s="534"/>
      <c r="S51" s="534"/>
      <c r="T51" s="534"/>
      <c r="U51" s="534"/>
      <c r="V51" s="534"/>
      <c r="W51" s="534"/>
    </row>
    <row r="52">
      <c r="A52" s="755" t="str">
        <f t="shared" si="1"/>
        <v>110SOCKET PLUG WITH LOCK</v>
      </c>
      <c r="B52" s="759"/>
      <c r="C52" s="739" t="s">
        <v>4286</v>
      </c>
      <c r="D52" s="739">
        <v>110.0</v>
      </c>
      <c r="E52" s="743"/>
      <c r="F52" s="766" t="s">
        <v>4690</v>
      </c>
      <c r="G52" s="765"/>
      <c r="H52" s="770"/>
      <c r="I52" s="765">
        <f t="shared" si="2"/>
        <v>0</v>
      </c>
      <c r="J52" s="765">
        <f t="shared" si="3"/>
        <v>0</v>
      </c>
      <c r="K52" s="765">
        <f t="shared" si="4"/>
        <v>0</v>
      </c>
      <c r="L52" s="630">
        <v>284.0</v>
      </c>
      <c r="M52" s="530"/>
      <c r="N52" s="530"/>
      <c r="O52" s="530"/>
      <c r="P52" s="758"/>
      <c r="Q52" s="534"/>
      <c r="R52" s="534"/>
      <c r="S52" s="534"/>
      <c r="T52" s="534"/>
      <c r="U52" s="534"/>
      <c r="V52" s="534"/>
      <c r="W52" s="534"/>
    </row>
    <row r="53">
      <c r="A53" s="755" t="str">
        <f t="shared" si="1"/>
        <v>160SOCKET PLUG</v>
      </c>
      <c r="B53" s="759"/>
      <c r="C53" s="739" t="s">
        <v>4287</v>
      </c>
      <c r="D53" s="739">
        <v>160.0</v>
      </c>
      <c r="E53" s="743"/>
      <c r="F53" s="766" t="s">
        <v>4691</v>
      </c>
      <c r="G53" s="765"/>
      <c r="H53" s="770"/>
      <c r="I53" s="765">
        <f t="shared" si="2"/>
        <v>0</v>
      </c>
      <c r="J53" s="765">
        <f t="shared" si="3"/>
        <v>0</v>
      </c>
      <c r="K53" s="765">
        <f t="shared" si="4"/>
        <v>0</v>
      </c>
      <c r="L53" s="630">
        <v>628.0</v>
      </c>
      <c r="M53" s="630">
        <v>78.0</v>
      </c>
      <c r="N53" s="530"/>
      <c r="O53" s="530"/>
      <c r="P53" s="758"/>
      <c r="Q53" s="534"/>
      <c r="R53" s="534"/>
      <c r="S53" s="534"/>
      <c r="T53" s="534"/>
      <c r="U53" s="534"/>
      <c r="V53" s="534"/>
      <c r="W53" s="534"/>
    </row>
    <row r="54">
      <c r="A54" s="755"/>
      <c r="B54" s="759"/>
      <c r="C54" s="769"/>
      <c r="D54" s="759"/>
      <c r="E54" s="769"/>
      <c r="F54" s="772"/>
      <c r="G54" s="769"/>
      <c r="H54" s="770"/>
      <c r="I54" s="765"/>
      <c r="J54" s="765"/>
      <c r="K54" s="765"/>
      <c r="L54" s="530"/>
      <c r="M54" s="530"/>
      <c r="N54" s="530"/>
      <c r="O54" s="530"/>
      <c r="P54" s="758"/>
      <c r="Q54" s="534"/>
      <c r="R54" s="534"/>
      <c r="S54" s="534"/>
      <c r="T54" s="534"/>
      <c r="U54" s="534"/>
      <c r="V54" s="534"/>
      <c r="W54" s="534"/>
    </row>
    <row r="55">
      <c r="A55" s="755"/>
      <c r="C55" s="756" t="s">
        <v>4692</v>
      </c>
      <c r="D55" s="45"/>
      <c r="E55" s="45"/>
      <c r="F55" s="45"/>
      <c r="G55" s="45"/>
      <c r="H55" s="46"/>
      <c r="I55" s="757"/>
      <c r="J55" s="757"/>
      <c r="K55" s="757"/>
      <c r="L55" s="530"/>
      <c r="M55" s="530"/>
      <c r="N55" s="530"/>
      <c r="O55" s="530"/>
      <c r="P55" s="758"/>
      <c r="Q55" s="534"/>
      <c r="R55" s="534"/>
      <c r="S55" s="534"/>
      <c r="T55" s="534"/>
      <c r="U55" s="534"/>
      <c r="V55" s="534"/>
      <c r="W55" s="534"/>
    </row>
    <row r="56">
      <c r="A56" s="755"/>
      <c r="B56" s="759"/>
      <c r="C56" s="773" t="s">
        <v>18</v>
      </c>
      <c r="D56" s="773" t="s">
        <v>4667</v>
      </c>
      <c r="E56" s="773" t="s">
        <v>4668</v>
      </c>
      <c r="F56" s="774" t="s">
        <v>4669</v>
      </c>
      <c r="G56" s="765"/>
      <c r="H56" s="764">
        <v>2.1</v>
      </c>
      <c r="I56" s="765"/>
      <c r="J56" s="757">
        <v>1.4</v>
      </c>
      <c r="K56" s="757">
        <v>1.25</v>
      </c>
      <c r="L56" s="630"/>
      <c r="N56" s="530"/>
      <c r="O56" s="530"/>
      <c r="P56" s="758"/>
      <c r="Q56" s="534"/>
      <c r="R56" s="534"/>
      <c r="S56" s="534"/>
      <c r="T56" s="534"/>
      <c r="U56" s="534"/>
      <c r="V56" s="534"/>
      <c r="W56" s="534"/>
    </row>
    <row r="57">
      <c r="A57" s="755" t="str">
        <f t="shared" ref="A57:A89" si="5">D57&amp;F57</f>
        <v>40COUPLER</v>
      </c>
      <c r="B57" s="759"/>
      <c r="C57" s="775" t="s">
        <v>4289</v>
      </c>
      <c r="D57" s="776">
        <v>40.0</v>
      </c>
      <c r="E57" s="777"/>
      <c r="F57" s="778" t="s">
        <v>2061</v>
      </c>
      <c r="G57" s="763">
        <v>58.46</v>
      </c>
      <c r="H57" s="764">
        <f t="shared" ref="H57:H99" si="6">H4*$H$56</f>
        <v>76.65</v>
      </c>
      <c r="I57" s="765">
        <f t="shared" ref="I57:I89" si="7">IFERROR(H57/G57,"")*1000</f>
        <v>1311.152925</v>
      </c>
      <c r="J57" s="765">
        <f t="shared" ref="J57:J89" si="8">IFERROR(G57*$J$56,"")</f>
        <v>81.844</v>
      </c>
      <c r="K57" s="765">
        <f t="shared" ref="K57:K89" si="9">IFERROR(G57*$K$56,"")</f>
        <v>73.075</v>
      </c>
      <c r="L57" s="735"/>
      <c r="M57" s="735"/>
      <c r="N57" s="630">
        <v>229.0</v>
      </c>
      <c r="O57" s="630">
        <v>161.0</v>
      </c>
      <c r="P57" s="754">
        <v>51.0</v>
      </c>
      <c r="Q57" s="633"/>
      <c r="R57" s="534"/>
      <c r="S57" s="534"/>
      <c r="T57" s="534"/>
      <c r="U57" s="534"/>
      <c r="V57" s="534"/>
      <c r="W57" s="534"/>
    </row>
    <row r="58">
      <c r="A58" s="755" t="str">
        <f t="shared" si="5"/>
        <v>50COUPLER</v>
      </c>
      <c r="B58" s="759"/>
      <c r="C58" s="775" t="s">
        <v>4291</v>
      </c>
      <c r="D58" s="775">
        <v>50.0</v>
      </c>
      <c r="E58" s="779"/>
      <c r="F58" s="778" t="s">
        <v>2061</v>
      </c>
      <c r="G58" s="763">
        <v>82.24</v>
      </c>
      <c r="H58" s="764">
        <f t="shared" si="6"/>
        <v>101.85</v>
      </c>
      <c r="I58" s="765">
        <f t="shared" si="7"/>
        <v>1238.448444</v>
      </c>
      <c r="J58" s="765">
        <f t="shared" si="8"/>
        <v>115.136</v>
      </c>
      <c r="K58" s="765">
        <f t="shared" si="9"/>
        <v>102.8</v>
      </c>
      <c r="L58" s="735"/>
      <c r="M58" s="735"/>
      <c r="N58" s="630">
        <v>209.0</v>
      </c>
      <c r="O58" s="630">
        <v>162.0</v>
      </c>
      <c r="P58" s="754">
        <v>56.0</v>
      </c>
      <c r="Q58" s="633"/>
      <c r="R58" s="534"/>
      <c r="S58" s="534"/>
      <c r="T58" s="534"/>
      <c r="U58" s="534"/>
      <c r="V58" s="534"/>
      <c r="W58" s="534"/>
    </row>
    <row r="59">
      <c r="A59" s="755" t="str">
        <f t="shared" si="5"/>
        <v>75COUPLER</v>
      </c>
      <c r="B59" s="759"/>
      <c r="C59" s="775" t="s">
        <v>4292</v>
      </c>
      <c r="D59" s="775">
        <v>75.0</v>
      </c>
      <c r="E59" s="779"/>
      <c r="F59" s="778" t="s">
        <v>2061</v>
      </c>
      <c r="G59" s="763">
        <v>115.73</v>
      </c>
      <c r="H59" s="764">
        <f t="shared" si="6"/>
        <v>145.95</v>
      </c>
      <c r="I59" s="765">
        <f t="shared" si="7"/>
        <v>1261.125032</v>
      </c>
      <c r="J59" s="765">
        <f t="shared" si="8"/>
        <v>162.022</v>
      </c>
      <c r="K59" s="765">
        <f t="shared" si="9"/>
        <v>144.6625</v>
      </c>
      <c r="L59" s="736"/>
      <c r="M59" s="736">
        <v>64.0</v>
      </c>
      <c r="N59" s="630">
        <v>277.0</v>
      </c>
      <c r="O59" s="630">
        <v>293.0</v>
      </c>
      <c r="P59" s="754">
        <v>118.0</v>
      </c>
      <c r="Q59" s="633"/>
      <c r="R59" s="534"/>
      <c r="S59" s="534"/>
      <c r="T59" s="534"/>
      <c r="U59" s="534"/>
      <c r="V59" s="534"/>
      <c r="W59" s="534"/>
    </row>
    <row r="60">
      <c r="A60" s="755" t="str">
        <f t="shared" si="5"/>
        <v>110COUPLER</v>
      </c>
      <c r="B60" s="759"/>
      <c r="C60" s="775" t="s">
        <v>4293</v>
      </c>
      <c r="D60" s="775">
        <v>110.0</v>
      </c>
      <c r="E60" s="779"/>
      <c r="F60" s="778" t="s">
        <v>2061</v>
      </c>
      <c r="G60" s="763">
        <v>295.58</v>
      </c>
      <c r="H60" s="764">
        <f t="shared" si="6"/>
        <v>353.85</v>
      </c>
      <c r="I60" s="765">
        <f t="shared" si="7"/>
        <v>1197.137831</v>
      </c>
      <c r="J60" s="765">
        <f t="shared" si="8"/>
        <v>413.812</v>
      </c>
      <c r="K60" s="765">
        <f t="shared" si="9"/>
        <v>369.475</v>
      </c>
      <c r="L60" s="736"/>
      <c r="M60" s="736">
        <v>134.0</v>
      </c>
      <c r="N60" s="630">
        <v>504.0</v>
      </c>
      <c r="O60" s="630">
        <v>533.0</v>
      </c>
      <c r="P60" s="754">
        <v>201.0</v>
      </c>
      <c r="Q60" s="633"/>
      <c r="R60" s="534"/>
      <c r="S60" s="534"/>
      <c r="T60" s="534"/>
      <c r="U60" s="534"/>
      <c r="V60" s="534"/>
      <c r="W60" s="534"/>
    </row>
    <row r="61">
      <c r="A61" s="755" t="str">
        <f t="shared" si="5"/>
        <v>160COUPLER</v>
      </c>
      <c r="B61" s="759"/>
      <c r="C61" s="775" t="s">
        <v>4294</v>
      </c>
      <c r="D61" s="775">
        <v>160.0</v>
      </c>
      <c r="E61" s="779"/>
      <c r="F61" s="778" t="s">
        <v>2061</v>
      </c>
      <c r="G61" s="763">
        <v>633.09</v>
      </c>
      <c r="H61" s="764">
        <f t="shared" si="6"/>
        <v>772.8</v>
      </c>
      <c r="I61" s="765">
        <f t="shared" si="7"/>
        <v>1220.679524</v>
      </c>
      <c r="J61" s="765">
        <f t="shared" si="8"/>
        <v>886.326</v>
      </c>
      <c r="K61" s="765">
        <f t="shared" si="9"/>
        <v>791.3625</v>
      </c>
      <c r="L61" s="736"/>
      <c r="M61" s="736">
        <v>306.0</v>
      </c>
      <c r="N61" s="630">
        <v>1136.0</v>
      </c>
      <c r="O61" s="630">
        <v>1431.0</v>
      </c>
      <c r="P61" s="754">
        <v>521.0</v>
      </c>
      <c r="Q61" s="633"/>
      <c r="R61" s="534"/>
      <c r="S61" s="534"/>
      <c r="T61" s="534"/>
      <c r="U61" s="534"/>
      <c r="V61" s="534"/>
      <c r="W61" s="534"/>
    </row>
    <row r="62">
      <c r="A62" s="755" t="str">
        <f t="shared" si="5"/>
        <v>40ELBOW 90°</v>
      </c>
      <c r="B62" s="759"/>
      <c r="C62" s="775" t="s">
        <v>4295</v>
      </c>
      <c r="D62" s="776">
        <v>40.0</v>
      </c>
      <c r="E62" s="779"/>
      <c r="F62" s="766" t="s">
        <v>4672</v>
      </c>
      <c r="G62" s="763">
        <v>66.53</v>
      </c>
      <c r="H62" s="764">
        <f t="shared" si="6"/>
        <v>82.95</v>
      </c>
      <c r="I62" s="765">
        <f t="shared" si="7"/>
        <v>1246.805952</v>
      </c>
      <c r="J62" s="765">
        <f t="shared" si="8"/>
        <v>93.142</v>
      </c>
      <c r="K62" s="765">
        <f t="shared" si="9"/>
        <v>83.1625</v>
      </c>
      <c r="L62" s="735"/>
      <c r="M62" s="735"/>
      <c r="N62" s="630">
        <v>99.0</v>
      </c>
      <c r="O62" s="630">
        <v>85.0</v>
      </c>
      <c r="P62" s="754">
        <v>55.0</v>
      </c>
      <c r="Q62" s="633"/>
      <c r="R62" s="534"/>
      <c r="S62" s="534"/>
      <c r="T62" s="534"/>
      <c r="U62" s="534"/>
      <c r="V62" s="534"/>
      <c r="W62" s="534"/>
    </row>
    <row r="63">
      <c r="A63" s="755" t="str">
        <f t="shared" si="5"/>
        <v>50ELBOW 90°</v>
      </c>
      <c r="B63" s="759"/>
      <c r="C63" s="775" t="s">
        <v>4297</v>
      </c>
      <c r="D63" s="775">
        <v>50.0</v>
      </c>
      <c r="E63" s="779"/>
      <c r="F63" s="766" t="s">
        <v>4672</v>
      </c>
      <c r="G63" s="763">
        <v>97.61</v>
      </c>
      <c r="H63" s="764">
        <f t="shared" si="6"/>
        <v>122.85</v>
      </c>
      <c r="I63" s="765">
        <f t="shared" si="7"/>
        <v>1258.580064</v>
      </c>
      <c r="J63" s="765">
        <f t="shared" si="8"/>
        <v>136.654</v>
      </c>
      <c r="K63" s="765">
        <f t="shared" si="9"/>
        <v>122.0125</v>
      </c>
      <c r="L63" s="735"/>
      <c r="M63" s="735"/>
      <c r="N63" s="630">
        <v>113.0</v>
      </c>
      <c r="O63" s="630">
        <v>119.0</v>
      </c>
      <c r="P63" s="754">
        <v>60.0</v>
      </c>
      <c r="Q63" s="633"/>
      <c r="R63" s="534"/>
      <c r="S63" s="534"/>
      <c r="T63" s="534"/>
      <c r="U63" s="534"/>
      <c r="V63" s="534"/>
      <c r="W63" s="534"/>
    </row>
    <row r="64">
      <c r="A64" s="755" t="str">
        <f t="shared" si="5"/>
        <v>75ELBOW 90°</v>
      </c>
      <c r="B64" s="759"/>
      <c r="C64" s="775" t="s">
        <v>4299</v>
      </c>
      <c r="D64" s="775">
        <v>75.0</v>
      </c>
      <c r="E64" s="779"/>
      <c r="F64" s="766" t="s">
        <v>4672</v>
      </c>
      <c r="G64" s="763">
        <v>176.26</v>
      </c>
      <c r="H64" s="764">
        <f t="shared" si="6"/>
        <v>209.58</v>
      </c>
      <c r="I64" s="765">
        <f t="shared" si="7"/>
        <v>1189.03892</v>
      </c>
      <c r="J64" s="765">
        <f t="shared" si="8"/>
        <v>246.764</v>
      </c>
      <c r="K64" s="765">
        <f t="shared" si="9"/>
        <v>220.325</v>
      </c>
      <c r="L64" s="736"/>
      <c r="M64" s="736">
        <v>88.0</v>
      </c>
      <c r="N64" s="630">
        <v>233.0</v>
      </c>
      <c r="O64" s="630">
        <v>187.0</v>
      </c>
      <c r="P64" s="754">
        <v>145.0</v>
      </c>
      <c r="Q64" s="633"/>
      <c r="R64" s="534"/>
      <c r="S64" s="534"/>
      <c r="T64" s="534"/>
      <c r="U64" s="534"/>
      <c r="V64" s="534"/>
      <c r="W64" s="534"/>
    </row>
    <row r="65">
      <c r="A65" s="755" t="str">
        <f t="shared" si="5"/>
        <v>110ELBOW 90°</v>
      </c>
      <c r="B65" s="759"/>
      <c r="C65" s="775" t="s">
        <v>4300</v>
      </c>
      <c r="D65" s="775">
        <v>110.0</v>
      </c>
      <c r="E65" s="779"/>
      <c r="F65" s="766" t="s">
        <v>4672</v>
      </c>
      <c r="G65" s="763">
        <v>486.63</v>
      </c>
      <c r="H65" s="764">
        <f t="shared" si="6"/>
        <v>601.65</v>
      </c>
      <c r="I65" s="765">
        <f t="shared" si="7"/>
        <v>1236.360274</v>
      </c>
      <c r="J65" s="765">
        <f t="shared" si="8"/>
        <v>681.282</v>
      </c>
      <c r="K65" s="765">
        <f t="shared" si="9"/>
        <v>608.2875</v>
      </c>
      <c r="L65" s="736"/>
      <c r="M65" s="736">
        <v>188.0</v>
      </c>
      <c r="N65" s="630">
        <v>418.0</v>
      </c>
      <c r="O65" s="630">
        <v>581.0</v>
      </c>
      <c r="P65" s="754">
        <v>284.0</v>
      </c>
      <c r="Q65" s="633"/>
      <c r="R65" s="534"/>
      <c r="S65" s="534"/>
      <c r="T65" s="534"/>
      <c r="U65" s="534"/>
      <c r="V65" s="534"/>
      <c r="W65" s="534"/>
    </row>
    <row r="66">
      <c r="A66" s="755" t="str">
        <f t="shared" si="5"/>
        <v>160ELBOW 90°</v>
      </c>
      <c r="B66" s="759"/>
      <c r="C66" s="775" t="s">
        <v>4301</v>
      </c>
      <c r="D66" s="775">
        <v>160.0</v>
      </c>
      <c r="E66" s="779"/>
      <c r="F66" s="766" t="s">
        <v>4672</v>
      </c>
      <c r="G66" s="763">
        <v>973.11</v>
      </c>
      <c r="H66" s="764">
        <f t="shared" si="6"/>
        <v>1138.2</v>
      </c>
      <c r="I66" s="765">
        <f t="shared" si="7"/>
        <v>1169.651941</v>
      </c>
      <c r="J66" s="765">
        <f t="shared" si="8"/>
        <v>1362.354</v>
      </c>
      <c r="K66" s="765">
        <f t="shared" si="9"/>
        <v>1216.3875</v>
      </c>
      <c r="L66" s="736"/>
      <c r="M66" s="736">
        <v>478.0</v>
      </c>
      <c r="N66" s="630">
        <v>1253.0</v>
      </c>
      <c r="O66" s="630">
        <v>1768.0</v>
      </c>
      <c r="P66" s="754">
        <v>660.0</v>
      </c>
      <c r="Q66" s="633"/>
      <c r="R66" s="534"/>
      <c r="S66" s="534"/>
      <c r="T66" s="534"/>
      <c r="U66" s="534"/>
      <c r="V66" s="534"/>
      <c r="W66" s="534"/>
    </row>
    <row r="67">
      <c r="A67" s="755" t="str">
        <f t="shared" si="5"/>
        <v>40ELBOW 45°</v>
      </c>
      <c r="B67" s="759"/>
      <c r="C67" s="775" t="s">
        <v>4303</v>
      </c>
      <c r="D67" s="776">
        <v>40.0</v>
      </c>
      <c r="E67" s="779"/>
      <c r="F67" s="780" t="s">
        <v>4673</v>
      </c>
      <c r="G67" s="763">
        <v>59.56</v>
      </c>
      <c r="H67" s="764">
        <f t="shared" si="6"/>
        <v>80.85</v>
      </c>
      <c r="I67" s="765">
        <f t="shared" si="7"/>
        <v>1357.454668</v>
      </c>
      <c r="J67" s="765">
        <f t="shared" si="8"/>
        <v>83.384</v>
      </c>
      <c r="K67" s="765">
        <f t="shared" si="9"/>
        <v>74.45</v>
      </c>
      <c r="L67" s="735"/>
      <c r="M67" s="735"/>
      <c r="N67" s="630">
        <v>94.0</v>
      </c>
      <c r="O67" s="630">
        <v>68.0</v>
      </c>
      <c r="P67" s="754">
        <v>51.0</v>
      </c>
      <c r="Q67" s="633"/>
      <c r="R67" s="534"/>
      <c r="S67" s="534"/>
      <c r="T67" s="534"/>
      <c r="U67" s="534"/>
      <c r="V67" s="534"/>
      <c r="W67" s="534"/>
    </row>
    <row r="68">
      <c r="A68" s="755" t="str">
        <f t="shared" si="5"/>
        <v>50ELBOW 45°</v>
      </c>
      <c r="B68" s="759"/>
      <c r="C68" s="775" t="s">
        <v>4310</v>
      </c>
      <c r="D68" s="775">
        <v>50.0</v>
      </c>
      <c r="E68" s="779"/>
      <c r="F68" s="780" t="s">
        <v>4673</v>
      </c>
      <c r="G68" s="763">
        <v>85.62</v>
      </c>
      <c r="H68" s="764">
        <f t="shared" si="6"/>
        <v>97.65</v>
      </c>
      <c r="I68" s="765">
        <f t="shared" si="7"/>
        <v>1140.504555</v>
      </c>
      <c r="J68" s="765">
        <f t="shared" si="8"/>
        <v>119.868</v>
      </c>
      <c r="K68" s="765">
        <f t="shared" si="9"/>
        <v>107.025</v>
      </c>
      <c r="L68" s="735"/>
      <c r="M68" s="735"/>
      <c r="N68" s="630">
        <v>88.0</v>
      </c>
      <c r="O68" s="630">
        <v>102.0</v>
      </c>
      <c r="P68" s="754">
        <v>53.0</v>
      </c>
      <c r="Q68" s="633"/>
      <c r="R68" s="534"/>
      <c r="S68" s="534"/>
      <c r="T68" s="534"/>
      <c r="U68" s="534"/>
      <c r="V68" s="534"/>
      <c r="W68" s="534"/>
    </row>
    <row r="69">
      <c r="A69" s="755" t="str">
        <f t="shared" si="5"/>
        <v>75ELBOW 45°</v>
      </c>
      <c r="B69" s="759"/>
      <c r="C69" s="775" t="s">
        <v>4316</v>
      </c>
      <c r="D69" s="775">
        <v>75.0</v>
      </c>
      <c r="E69" s="779"/>
      <c r="F69" s="780" t="s">
        <v>4673</v>
      </c>
      <c r="G69" s="763">
        <v>146.28</v>
      </c>
      <c r="H69" s="764">
        <f t="shared" si="6"/>
        <v>202.65</v>
      </c>
      <c r="I69" s="765">
        <f t="shared" si="7"/>
        <v>1385.35685</v>
      </c>
      <c r="J69" s="765">
        <f t="shared" si="8"/>
        <v>204.792</v>
      </c>
      <c r="K69" s="765">
        <f t="shared" si="9"/>
        <v>182.85</v>
      </c>
      <c r="L69" s="736"/>
      <c r="M69" s="736">
        <v>72.7</v>
      </c>
      <c r="N69" s="630">
        <v>201.0</v>
      </c>
      <c r="O69" s="630">
        <v>171.0</v>
      </c>
      <c r="P69" s="754">
        <v>124.0</v>
      </c>
      <c r="Q69" s="633"/>
      <c r="R69" s="534"/>
      <c r="S69" s="534"/>
      <c r="T69" s="534"/>
      <c r="U69" s="534"/>
      <c r="V69" s="534"/>
      <c r="W69" s="534"/>
    </row>
    <row r="70">
      <c r="A70" s="755" t="str">
        <f t="shared" si="5"/>
        <v>110ELBOW 45°</v>
      </c>
      <c r="B70" s="759"/>
      <c r="C70" s="775" t="s">
        <v>4319</v>
      </c>
      <c r="D70" s="775">
        <v>110.0</v>
      </c>
      <c r="E70" s="779"/>
      <c r="F70" s="780" t="s">
        <v>4673</v>
      </c>
      <c r="G70" s="763">
        <v>389.92</v>
      </c>
      <c r="H70" s="764">
        <f t="shared" si="6"/>
        <v>521.85</v>
      </c>
      <c r="I70" s="765">
        <f t="shared" si="7"/>
        <v>1338.351457</v>
      </c>
      <c r="J70" s="765">
        <f t="shared" si="8"/>
        <v>545.888</v>
      </c>
      <c r="K70" s="765">
        <f t="shared" si="9"/>
        <v>487.4</v>
      </c>
      <c r="L70" s="736"/>
      <c r="M70" s="736">
        <v>152.8</v>
      </c>
      <c r="N70" s="630">
        <v>360.0</v>
      </c>
      <c r="O70" s="630">
        <v>534.0</v>
      </c>
      <c r="P70" s="754">
        <v>227.0</v>
      </c>
      <c r="Q70" s="633"/>
      <c r="R70" s="534"/>
      <c r="S70" s="534"/>
      <c r="T70" s="534"/>
      <c r="U70" s="534"/>
      <c r="V70" s="534"/>
      <c r="W70" s="534"/>
    </row>
    <row r="71">
      <c r="A71" s="755" t="str">
        <f t="shared" si="5"/>
        <v>160ELBOW 45°</v>
      </c>
      <c r="B71" s="759"/>
      <c r="C71" s="775" t="s">
        <v>4322</v>
      </c>
      <c r="D71" s="775">
        <v>160.0</v>
      </c>
      <c r="E71" s="779"/>
      <c r="F71" s="780" t="s">
        <v>4673</v>
      </c>
      <c r="G71" s="763">
        <v>766.04</v>
      </c>
      <c r="H71" s="764">
        <f t="shared" si="6"/>
        <v>1025.85</v>
      </c>
      <c r="I71" s="765">
        <f t="shared" si="7"/>
        <v>1339.159835</v>
      </c>
      <c r="J71" s="765">
        <f t="shared" si="8"/>
        <v>1072.456</v>
      </c>
      <c r="K71" s="765">
        <f t="shared" si="9"/>
        <v>957.55</v>
      </c>
      <c r="L71" s="736"/>
      <c r="M71" s="736">
        <v>370.0</v>
      </c>
      <c r="N71" s="630">
        <v>988.0</v>
      </c>
      <c r="O71" s="630">
        <v>1002.0</v>
      </c>
      <c r="P71" s="754">
        <v>595.0</v>
      </c>
      <c r="Q71" s="633"/>
      <c r="R71" s="534"/>
      <c r="S71" s="534"/>
      <c r="T71" s="534"/>
      <c r="U71" s="534"/>
      <c r="V71" s="534"/>
      <c r="W71" s="534"/>
    </row>
    <row r="72">
      <c r="A72" s="755" t="str">
        <f t="shared" si="5"/>
        <v>40TEE</v>
      </c>
      <c r="B72" s="769"/>
      <c r="C72" s="775" t="s">
        <v>4323</v>
      </c>
      <c r="D72" s="776">
        <v>40.0</v>
      </c>
      <c r="E72" s="779"/>
      <c r="F72" s="780" t="s">
        <v>2998</v>
      </c>
      <c r="G72" s="763">
        <v>105.39</v>
      </c>
      <c r="H72" s="764">
        <f t="shared" si="6"/>
        <v>135.24</v>
      </c>
      <c r="I72" s="765">
        <f t="shared" si="7"/>
        <v>1283.233703</v>
      </c>
      <c r="J72" s="765">
        <f t="shared" si="8"/>
        <v>147.546</v>
      </c>
      <c r="K72" s="765">
        <f t="shared" si="9"/>
        <v>131.7375</v>
      </c>
      <c r="L72" s="735"/>
      <c r="M72" s="735"/>
      <c r="N72" s="630">
        <v>238.0</v>
      </c>
      <c r="O72" s="630">
        <v>260.0</v>
      </c>
      <c r="P72" s="754">
        <v>73.0</v>
      </c>
      <c r="Q72" s="633"/>
      <c r="R72" s="534"/>
      <c r="S72" s="534"/>
      <c r="T72" s="534"/>
      <c r="U72" s="534"/>
      <c r="V72" s="534"/>
      <c r="W72" s="534"/>
    </row>
    <row r="73">
      <c r="A73" s="755" t="str">
        <f t="shared" si="5"/>
        <v>50TEE</v>
      </c>
      <c r="B73" s="759"/>
      <c r="C73" s="775" t="s">
        <v>4327</v>
      </c>
      <c r="D73" s="775">
        <v>50.0</v>
      </c>
      <c r="E73" s="779"/>
      <c r="F73" s="780" t="s">
        <v>2998</v>
      </c>
      <c r="G73" s="763">
        <v>140.82</v>
      </c>
      <c r="H73" s="764">
        <f t="shared" si="6"/>
        <v>186.06</v>
      </c>
      <c r="I73" s="765">
        <f t="shared" si="7"/>
        <v>1321.261184</v>
      </c>
      <c r="J73" s="765">
        <f t="shared" si="8"/>
        <v>197.148</v>
      </c>
      <c r="K73" s="765">
        <f t="shared" si="9"/>
        <v>176.025</v>
      </c>
      <c r="L73" s="735"/>
      <c r="M73" s="735"/>
      <c r="N73" s="630">
        <v>266.0</v>
      </c>
      <c r="O73" s="630">
        <v>293.0</v>
      </c>
      <c r="P73" s="754">
        <v>86.0</v>
      </c>
      <c r="Q73" s="633"/>
      <c r="R73" s="534"/>
      <c r="S73" s="534"/>
      <c r="T73" s="534"/>
      <c r="U73" s="534"/>
      <c r="V73" s="534"/>
      <c r="W73" s="534"/>
    </row>
    <row r="74">
      <c r="A74" s="755" t="str">
        <f t="shared" si="5"/>
        <v>75TEE</v>
      </c>
      <c r="B74" s="759"/>
      <c r="C74" s="775" t="s">
        <v>4329</v>
      </c>
      <c r="D74" s="775">
        <v>75.0</v>
      </c>
      <c r="E74" s="779"/>
      <c r="F74" s="780" t="s">
        <v>2998</v>
      </c>
      <c r="G74" s="763">
        <v>240.21</v>
      </c>
      <c r="H74" s="764">
        <f t="shared" si="6"/>
        <v>312.48</v>
      </c>
      <c r="I74" s="765">
        <f t="shared" si="7"/>
        <v>1300.861746</v>
      </c>
      <c r="J74" s="765">
        <f t="shared" si="8"/>
        <v>336.294</v>
      </c>
      <c r="K74" s="765">
        <f t="shared" si="9"/>
        <v>300.2625</v>
      </c>
      <c r="L74" s="736"/>
      <c r="M74" s="736">
        <v>121.0</v>
      </c>
      <c r="N74" s="630">
        <v>388.0</v>
      </c>
      <c r="O74" s="630">
        <v>651.0</v>
      </c>
      <c r="P74" s="754">
        <v>241.0</v>
      </c>
      <c r="Q74" s="633"/>
      <c r="R74" s="534"/>
      <c r="S74" s="534"/>
      <c r="T74" s="534"/>
      <c r="U74" s="534"/>
      <c r="V74" s="534"/>
      <c r="W74" s="534"/>
    </row>
    <row r="75">
      <c r="A75" s="755" t="str">
        <f t="shared" si="5"/>
        <v>110TEE</v>
      </c>
      <c r="B75" s="759"/>
      <c r="C75" s="775" t="s">
        <v>4333</v>
      </c>
      <c r="D75" s="775">
        <v>110.0</v>
      </c>
      <c r="E75" s="779"/>
      <c r="F75" s="780" t="s">
        <v>2998</v>
      </c>
      <c r="G75" s="763">
        <v>727.64</v>
      </c>
      <c r="H75" s="764">
        <f t="shared" si="6"/>
        <v>940.8</v>
      </c>
      <c r="I75" s="765">
        <f t="shared" si="7"/>
        <v>1292.947062</v>
      </c>
      <c r="J75" s="765">
        <f t="shared" si="8"/>
        <v>1018.696</v>
      </c>
      <c r="K75" s="765">
        <f t="shared" si="9"/>
        <v>909.55</v>
      </c>
      <c r="L75" s="736"/>
      <c r="M75" s="736">
        <v>248.0</v>
      </c>
      <c r="N75" s="630">
        <v>899.0</v>
      </c>
      <c r="O75" s="630">
        <v>901.0</v>
      </c>
      <c r="P75" s="754">
        <v>453.0</v>
      </c>
      <c r="Q75" s="633"/>
      <c r="R75" s="534"/>
      <c r="S75" s="534"/>
      <c r="T75" s="534"/>
      <c r="U75" s="534"/>
      <c r="V75" s="534"/>
      <c r="W75" s="534"/>
    </row>
    <row r="76">
      <c r="A76" s="755" t="str">
        <f t="shared" si="5"/>
        <v>160TEE</v>
      </c>
      <c r="B76" s="759"/>
      <c r="C76" s="775" t="s">
        <v>4335</v>
      </c>
      <c r="D76" s="775">
        <v>160.0</v>
      </c>
      <c r="E76" s="779"/>
      <c r="F76" s="780" t="s">
        <v>2998</v>
      </c>
      <c r="G76" s="763">
        <v>1375.24</v>
      </c>
      <c r="H76" s="764">
        <f t="shared" si="6"/>
        <v>1671.6</v>
      </c>
      <c r="I76" s="765">
        <f t="shared" si="7"/>
        <v>1215.496931</v>
      </c>
      <c r="J76" s="765">
        <f t="shared" si="8"/>
        <v>1925.336</v>
      </c>
      <c r="K76" s="765">
        <f t="shared" si="9"/>
        <v>1719.05</v>
      </c>
      <c r="L76" s="736"/>
      <c r="M76" s="736">
        <v>632.0</v>
      </c>
      <c r="N76" s="630">
        <v>5180.0</v>
      </c>
      <c r="O76" s="630">
        <v>2600.0</v>
      </c>
      <c r="P76" s="754">
        <v>1210.0</v>
      </c>
      <c r="Q76" s="633"/>
      <c r="R76" s="534"/>
      <c r="S76" s="534"/>
      <c r="T76" s="534"/>
      <c r="U76" s="534"/>
      <c r="V76" s="534"/>
      <c r="W76" s="534"/>
    </row>
    <row r="77">
      <c r="A77" s="755" t="str">
        <f t="shared" si="5"/>
        <v>110SWEEP TEE</v>
      </c>
      <c r="B77" s="759"/>
      <c r="C77" s="775"/>
      <c r="D77" s="739">
        <v>110.0</v>
      </c>
      <c r="E77" s="743"/>
      <c r="F77" s="766" t="s">
        <v>4675</v>
      </c>
      <c r="G77" s="763">
        <v>787.9</v>
      </c>
      <c r="H77" s="764">
        <f t="shared" si="6"/>
        <v>1041.6</v>
      </c>
      <c r="I77" s="765">
        <f t="shared" si="7"/>
        <v>1321.995177</v>
      </c>
      <c r="J77" s="765">
        <f t="shared" si="8"/>
        <v>1103.06</v>
      </c>
      <c r="K77" s="765">
        <f t="shared" si="9"/>
        <v>984.875</v>
      </c>
      <c r="L77" s="736"/>
      <c r="M77" s="736"/>
      <c r="N77" s="630"/>
      <c r="O77" s="630"/>
      <c r="P77" s="754"/>
      <c r="Q77" s="633"/>
      <c r="R77" s="534"/>
      <c r="S77" s="534"/>
      <c r="T77" s="534"/>
      <c r="U77" s="534"/>
      <c r="V77" s="534"/>
      <c r="W77" s="534"/>
    </row>
    <row r="78">
      <c r="A78" s="755" t="str">
        <f t="shared" si="5"/>
        <v>110X75SWEEP TEE</v>
      </c>
      <c r="B78" s="759"/>
      <c r="C78" s="775"/>
      <c r="D78" s="760" t="s">
        <v>4676</v>
      </c>
      <c r="E78" s="743"/>
      <c r="F78" s="766" t="s">
        <v>4675</v>
      </c>
      <c r="G78" s="763">
        <v>676.0</v>
      </c>
      <c r="H78" s="764">
        <f t="shared" si="6"/>
        <v>915.6</v>
      </c>
      <c r="I78" s="765">
        <f t="shared" si="7"/>
        <v>1354.43787</v>
      </c>
      <c r="J78" s="765">
        <f t="shared" si="8"/>
        <v>946.4</v>
      </c>
      <c r="K78" s="765">
        <f t="shared" si="9"/>
        <v>845</v>
      </c>
      <c r="L78" s="736"/>
      <c r="M78" s="736"/>
      <c r="N78" s="630"/>
      <c r="O78" s="630"/>
      <c r="P78" s="754"/>
      <c r="Q78" s="633"/>
      <c r="R78" s="534"/>
      <c r="S78" s="534"/>
      <c r="T78" s="534"/>
      <c r="U78" s="534"/>
      <c r="V78" s="534"/>
      <c r="W78" s="534"/>
    </row>
    <row r="79">
      <c r="A79" s="755" t="str">
        <f t="shared" si="5"/>
        <v>40Y-TEE</v>
      </c>
      <c r="B79" s="759"/>
      <c r="C79" s="775" t="s">
        <v>4336</v>
      </c>
      <c r="D79" s="775">
        <v>40.0</v>
      </c>
      <c r="E79" s="779"/>
      <c r="F79" s="780" t="s">
        <v>4693</v>
      </c>
      <c r="G79" s="763">
        <v>116.3</v>
      </c>
      <c r="H79" s="764">
        <f t="shared" si="6"/>
        <v>164.64</v>
      </c>
      <c r="I79" s="765">
        <f t="shared" si="7"/>
        <v>1415.649183</v>
      </c>
      <c r="J79" s="765">
        <f t="shared" si="8"/>
        <v>162.82</v>
      </c>
      <c r="K79" s="765">
        <f t="shared" si="9"/>
        <v>145.375</v>
      </c>
      <c r="L79" s="735"/>
      <c r="M79" s="735"/>
      <c r="N79" s="630">
        <v>164.0</v>
      </c>
      <c r="O79" s="630">
        <v>228.0</v>
      </c>
      <c r="P79" s="754">
        <v>78.0</v>
      </c>
      <c r="Q79" s="633"/>
      <c r="R79" s="534"/>
      <c r="S79" s="534"/>
      <c r="T79" s="534"/>
      <c r="U79" s="534"/>
      <c r="V79" s="534"/>
      <c r="W79" s="534"/>
    </row>
    <row r="80">
      <c r="A80" s="755" t="str">
        <f t="shared" si="5"/>
        <v>50Y-TEE</v>
      </c>
      <c r="B80" s="759"/>
      <c r="C80" s="775" t="s">
        <v>4358</v>
      </c>
      <c r="D80" s="775">
        <v>50.0</v>
      </c>
      <c r="E80" s="779"/>
      <c r="F80" s="780" t="s">
        <v>4693</v>
      </c>
      <c r="G80" s="763">
        <v>169.2</v>
      </c>
      <c r="H80" s="764">
        <f t="shared" si="6"/>
        <v>230.58</v>
      </c>
      <c r="I80" s="765">
        <f t="shared" si="7"/>
        <v>1362.765957</v>
      </c>
      <c r="J80" s="765">
        <f t="shared" si="8"/>
        <v>236.88</v>
      </c>
      <c r="K80" s="765">
        <f t="shared" si="9"/>
        <v>211.5</v>
      </c>
      <c r="L80" s="735"/>
      <c r="M80" s="735"/>
      <c r="N80" s="630">
        <v>205.0</v>
      </c>
      <c r="O80" s="630">
        <v>325.0</v>
      </c>
      <c r="P80" s="754">
        <v>98.0</v>
      </c>
      <c r="Q80" s="633"/>
      <c r="R80" s="534"/>
      <c r="S80" s="534"/>
      <c r="T80" s="534"/>
      <c r="U80" s="534"/>
      <c r="V80" s="534"/>
      <c r="W80" s="534"/>
    </row>
    <row r="81">
      <c r="A81" s="755" t="str">
        <f t="shared" si="5"/>
        <v>75Y-TEE</v>
      </c>
      <c r="B81" s="759"/>
      <c r="C81" s="775" t="s">
        <v>4359</v>
      </c>
      <c r="D81" s="775">
        <v>75.0</v>
      </c>
      <c r="E81" s="779"/>
      <c r="F81" s="780" t="s">
        <v>4693</v>
      </c>
      <c r="G81" s="763">
        <v>311.44</v>
      </c>
      <c r="H81" s="764">
        <f t="shared" si="6"/>
        <v>416.64</v>
      </c>
      <c r="I81" s="765">
        <f t="shared" si="7"/>
        <v>1337.785769</v>
      </c>
      <c r="J81" s="765">
        <f t="shared" si="8"/>
        <v>436.016</v>
      </c>
      <c r="K81" s="765">
        <f t="shared" si="9"/>
        <v>389.3</v>
      </c>
      <c r="L81" s="736"/>
      <c r="M81" s="736">
        <v>152.2</v>
      </c>
      <c r="N81" s="630">
        <v>451.0</v>
      </c>
      <c r="O81" s="630">
        <v>582.0</v>
      </c>
      <c r="P81" s="754">
        <v>242.0</v>
      </c>
      <c r="Q81" s="633"/>
      <c r="R81" s="534"/>
      <c r="S81" s="534"/>
      <c r="T81" s="534"/>
      <c r="U81" s="534"/>
      <c r="V81" s="534"/>
      <c r="W81" s="534"/>
    </row>
    <row r="82">
      <c r="A82" s="755" t="str">
        <f t="shared" si="5"/>
        <v>110Y-TEE</v>
      </c>
      <c r="B82" s="759"/>
      <c r="C82" s="775" t="s">
        <v>4360</v>
      </c>
      <c r="D82" s="775">
        <v>110.0</v>
      </c>
      <c r="E82" s="779"/>
      <c r="F82" s="780" t="s">
        <v>4693</v>
      </c>
      <c r="G82" s="763">
        <v>874.79</v>
      </c>
      <c r="H82" s="764">
        <f t="shared" si="6"/>
        <v>1150.8</v>
      </c>
      <c r="I82" s="765">
        <f t="shared" si="7"/>
        <v>1315.515724</v>
      </c>
      <c r="J82" s="765">
        <f t="shared" si="8"/>
        <v>1224.706</v>
      </c>
      <c r="K82" s="765">
        <f t="shared" si="9"/>
        <v>1093.4875</v>
      </c>
      <c r="L82" s="736"/>
      <c r="M82" s="736">
        <v>314.2</v>
      </c>
      <c r="N82" s="630">
        <v>894.0</v>
      </c>
      <c r="O82" s="630">
        <v>986.0</v>
      </c>
      <c r="P82" s="754">
        <v>466.0</v>
      </c>
      <c r="Q82" s="633"/>
      <c r="R82" s="534"/>
      <c r="S82" s="534"/>
      <c r="T82" s="534"/>
      <c r="U82" s="534"/>
      <c r="V82" s="534"/>
      <c r="W82" s="534"/>
    </row>
    <row r="83">
      <c r="A83" s="755" t="str">
        <f t="shared" si="5"/>
        <v>160Y-TEE</v>
      </c>
      <c r="B83" s="759"/>
      <c r="C83" s="775" t="s">
        <v>4361</v>
      </c>
      <c r="D83" s="775">
        <v>160.0</v>
      </c>
      <c r="E83" s="779"/>
      <c r="F83" s="780" t="s">
        <v>4693</v>
      </c>
      <c r="G83" s="763">
        <v>1770.8</v>
      </c>
      <c r="H83" s="764">
        <f t="shared" si="6"/>
        <v>2486.4</v>
      </c>
      <c r="I83" s="765">
        <f t="shared" si="7"/>
        <v>1404.111136</v>
      </c>
      <c r="J83" s="765">
        <f t="shared" si="8"/>
        <v>2479.12</v>
      </c>
      <c r="K83" s="765">
        <f t="shared" si="9"/>
        <v>2213.5</v>
      </c>
      <c r="L83" s="736"/>
      <c r="M83" s="736">
        <v>929.2</v>
      </c>
      <c r="N83" s="630">
        <v>2100.0</v>
      </c>
      <c r="O83" s="630">
        <v>3044.0</v>
      </c>
      <c r="P83" s="754">
        <v>1288.0</v>
      </c>
      <c r="Q83" s="633"/>
      <c r="R83" s="534"/>
      <c r="S83" s="534"/>
      <c r="T83" s="534"/>
      <c r="U83" s="534"/>
      <c r="V83" s="534"/>
      <c r="W83" s="534"/>
    </row>
    <row r="84">
      <c r="A84" s="755" t="str">
        <f t="shared" si="5"/>
        <v>110X50RED Y</v>
      </c>
      <c r="B84" s="759"/>
      <c r="C84" s="775"/>
      <c r="D84" s="739" t="s">
        <v>4678</v>
      </c>
      <c r="E84" s="743"/>
      <c r="F84" s="766" t="s">
        <v>4679</v>
      </c>
      <c r="G84" s="763">
        <v>601.2</v>
      </c>
      <c r="H84" s="764">
        <f t="shared" si="6"/>
        <v>802.2</v>
      </c>
      <c r="I84" s="765">
        <f t="shared" si="7"/>
        <v>1334.331337</v>
      </c>
      <c r="J84" s="765">
        <f t="shared" si="8"/>
        <v>841.68</v>
      </c>
      <c r="K84" s="765">
        <f t="shared" si="9"/>
        <v>751.5</v>
      </c>
      <c r="L84" s="736"/>
      <c r="M84" s="736"/>
      <c r="N84" s="630"/>
      <c r="O84" s="630"/>
      <c r="P84" s="754"/>
      <c r="Q84" s="633"/>
      <c r="R84" s="534"/>
      <c r="S84" s="534"/>
      <c r="T84" s="534"/>
      <c r="U84" s="534"/>
      <c r="V84" s="534"/>
      <c r="W84" s="534"/>
    </row>
    <row r="85">
      <c r="A85" s="755" t="str">
        <f t="shared" si="5"/>
        <v>110X75RED Y</v>
      </c>
      <c r="B85" s="759"/>
      <c r="C85" s="775"/>
      <c r="D85" s="739" t="s">
        <v>4676</v>
      </c>
      <c r="E85" s="743"/>
      <c r="F85" s="766" t="s">
        <v>4679</v>
      </c>
      <c r="G85" s="763">
        <v>577.0</v>
      </c>
      <c r="H85" s="764">
        <f t="shared" si="6"/>
        <v>814.8</v>
      </c>
      <c r="I85" s="765">
        <f t="shared" si="7"/>
        <v>1412.131716</v>
      </c>
      <c r="J85" s="765">
        <f t="shared" si="8"/>
        <v>807.8</v>
      </c>
      <c r="K85" s="765">
        <f t="shared" si="9"/>
        <v>721.25</v>
      </c>
      <c r="L85" s="736"/>
      <c r="M85" s="736"/>
      <c r="N85" s="630"/>
      <c r="O85" s="630"/>
      <c r="P85" s="754"/>
      <c r="Q85" s="633"/>
      <c r="R85" s="534"/>
      <c r="S85" s="534"/>
      <c r="T85" s="534"/>
      <c r="U85" s="534"/>
      <c r="V85" s="534"/>
      <c r="W85" s="534"/>
    </row>
    <row r="86">
      <c r="A86" s="755" t="str">
        <f t="shared" si="5"/>
        <v>160X110RED Y</v>
      </c>
      <c r="B86" s="759"/>
      <c r="C86" s="775"/>
      <c r="D86" s="739" t="s">
        <v>4680</v>
      </c>
      <c r="E86" s="743"/>
      <c r="F86" s="766" t="s">
        <v>4679</v>
      </c>
      <c r="G86" s="763">
        <v>1330.4</v>
      </c>
      <c r="H86" s="764">
        <f t="shared" si="6"/>
        <v>1856.4</v>
      </c>
      <c r="I86" s="765">
        <f t="shared" si="7"/>
        <v>1395.369814</v>
      </c>
      <c r="J86" s="765">
        <f t="shared" si="8"/>
        <v>1862.56</v>
      </c>
      <c r="K86" s="765">
        <f t="shared" si="9"/>
        <v>1663</v>
      </c>
      <c r="L86" s="736"/>
      <c r="M86" s="736"/>
      <c r="N86" s="630"/>
      <c r="O86" s="630"/>
      <c r="P86" s="754"/>
      <c r="Q86" s="633"/>
      <c r="R86" s="534"/>
      <c r="S86" s="534"/>
      <c r="T86" s="534"/>
      <c r="U86" s="534"/>
      <c r="V86" s="534"/>
      <c r="W86" s="534"/>
    </row>
    <row r="87">
      <c r="A87" s="755" t="str">
        <f t="shared" si="5"/>
        <v>110X75REDUCER BUSH</v>
      </c>
      <c r="B87" s="759"/>
      <c r="C87" s="775" t="s">
        <v>4362</v>
      </c>
      <c r="D87" s="775" t="s">
        <v>4676</v>
      </c>
      <c r="E87" s="779"/>
      <c r="F87" s="780" t="s">
        <v>4681</v>
      </c>
      <c r="G87" s="763"/>
      <c r="H87" s="764">
        <f t="shared" si="6"/>
        <v>0</v>
      </c>
      <c r="I87" s="765">
        <f t="shared" si="7"/>
        <v>0</v>
      </c>
      <c r="J87" s="765">
        <f t="shared" si="8"/>
        <v>0</v>
      </c>
      <c r="K87" s="765">
        <f t="shared" si="9"/>
        <v>0</v>
      </c>
      <c r="L87" s="735"/>
      <c r="M87" s="735"/>
      <c r="N87" s="630">
        <v>362.0</v>
      </c>
      <c r="O87" s="630">
        <v>409.0</v>
      </c>
      <c r="P87" s="754">
        <v>170.0</v>
      </c>
      <c r="Q87" s="633"/>
      <c r="R87" s="534"/>
      <c r="S87" s="534"/>
      <c r="T87" s="534"/>
      <c r="U87" s="534"/>
      <c r="V87" s="534"/>
      <c r="W87" s="534"/>
    </row>
    <row r="88">
      <c r="A88" s="755" t="str">
        <f t="shared" si="5"/>
        <v>160X110REDUCER BUSH</v>
      </c>
      <c r="B88" s="759"/>
      <c r="C88" s="775" t="s">
        <v>4364</v>
      </c>
      <c r="D88" s="775" t="s">
        <v>4680</v>
      </c>
      <c r="E88" s="779"/>
      <c r="F88" s="780" t="s">
        <v>4681</v>
      </c>
      <c r="G88" s="763"/>
      <c r="H88" s="764">
        <f t="shared" si="6"/>
        <v>0</v>
      </c>
      <c r="I88" s="765">
        <f t="shared" si="7"/>
        <v>0</v>
      </c>
      <c r="J88" s="765">
        <f t="shared" si="8"/>
        <v>0</v>
      </c>
      <c r="K88" s="765">
        <f t="shared" si="9"/>
        <v>0</v>
      </c>
      <c r="L88" s="530"/>
      <c r="M88" s="530"/>
      <c r="N88" s="630">
        <v>796.0</v>
      </c>
      <c r="O88" s="630">
        <v>851.0</v>
      </c>
      <c r="P88" s="754">
        <v>357.0</v>
      </c>
      <c r="Q88" s="633"/>
      <c r="R88" s="534"/>
      <c r="S88" s="534"/>
      <c r="T88" s="534"/>
      <c r="U88" s="534"/>
      <c r="V88" s="534"/>
      <c r="W88" s="534"/>
    </row>
    <row r="89">
      <c r="A89" s="755" t="str">
        <f t="shared" si="5"/>
        <v>160X75REDUCER BUSH</v>
      </c>
      <c r="B89" s="759"/>
      <c r="C89" s="775" t="s">
        <v>4365</v>
      </c>
      <c r="D89" s="775" t="s">
        <v>4684</v>
      </c>
      <c r="E89" s="779"/>
      <c r="F89" s="780" t="s">
        <v>4681</v>
      </c>
      <c r="G89" s="763"/>
      <c r="H89" s="764">
        <f t="shared" si="6"/>
        <v>0</v>
      </c>
      <c r="I89" s="765">
        <f t="shared" si="7"/>
        <v>0</v>
      </c>
      <c r="J89" s="765">
        <f t="shared" si="8"/>
        <v>0</v>
      </c>
      <c r="K89" s="765">
        <f t="shared" si="9"/>
        <v>0</v>
      </c>
      <c r="L89" s="530"/>
      <c r="M89" s="530"/>
      <c r="N89" s="530"/>
      <c r="O89" s="530"/>
      <c r="P89" s="758"/>
      <c r="Q89" s="633"/>
      <c r="R89" s="534"/>
      <c r="S89" s="534"/>
      <c r="T89" s="534"/>
      <c r="U89" s="534"/>
      <c r="V89" s="534"/>
      <c r="W89" s="534"/>
    </row>
    <row r="90">
      <c r="A90" s="755"/>
      <c r="B90" s="759"/>
      <c r="C90" s="775"/>
      <c r="D90" s="775"/>
      <c r="E90" s="779"/>
      <c r="F90" s="780"/>
      <c r="G90" s="763"/>
      <c r="H90" s="764">
        <f t="shared" si="6"/>
        <v>0</v>
      </c>
      <c r="I90" s="765"/>
      <c r="J90" s="765"/>
      <c r="K90" s="765"/>
      <c r="L90" s="530"/>
      <c r="M90" s="530"/>
      <c r="N90" s="530"/>
      <c r="O90" s="530"/>
      <c r="P90" s="758"/>
      <c r="Q90" s="633"/>
      <c r="R90" s="534"/>
      <c r="S90" s="534"/>
      <c r="T90" s="534"/>
      <c r="U90" s="534"/>
      <c r="V90" s="534"/>
      <c r="W90" s="534"/>
    </row>
    <row r="91">
      <c r="A91" s="755"/>
      <c r="B91" s="759"/>
      <c r="C91" s="775"/>
      <c r="D91" s="775"/>
      <c r="E91" s="779"/>
      <c r="F91" s="780"/>
      <c r="G91" s="763"/>
      <c r="H91" s="764">
        <f t="shared" si="6"/>
        <v>0</v>
      </c>
      <c r="I91" s="765"/>
      <c r="J91" s="765"/>
      <c r="K91" s="765"/>
      <c r="L91" s="530"/>
      <c r="M91" s="530"/>
      <c r="N91" s="530"/>
      <c r="O91" s="530"/>
      <c r="P91" s="758"/>
      <c r="Q91" s="633"/>
      <c r="R91" s="534"/>
      <c r="S91" s="534"/>
      <c r="T91" s="534"/>
      <c r="U91" s="534"/>
      <c r="V91" s="534"/>
      <c r="W91" s="534"/>
    </row>
    <row r="92">
      <c r="A92" s="755" t="str">
        <f t="shared" ref="A92:A106" si="10">D92&amp;F92</f>
        <v>110X75REDUCER TEE</v>
      </c>
      <c r="B92" s="759"/>
      <c r="C92" s="775" t="s">
        <v>4366</v>
      </c>
      <c r="D92" s="775" t="s">
        <v>4676</v>
      </c>
      <c r="E92" s="779"/>
      <c r="F92" s="780" t="s">
        <v>2271</v>
      </c>
      <c r="G92" s="763">
        <v>493.69</v>
      </c>
      <c r="H92" s="764">
        <f t="shared" si="6"/>
        <v>680.4</v>
      </c>
      <c r="I92" s="765">
        <f t="shared" ref="I92:I122" si="11">IFERROR(H92/G92,"")*1000</f>
        <v>1378.192793</v>
      </c>
      <c r="J92" s="765">
        <f t="shared" ref="J92:J122" si="12">IFERROR(G92*$J$56,"")</f>
        <v>691.166</v>
      </c>
      <c r="K92" s="765">
        <f t="shared" ref="K92:K122" si="13">IFERROR(G92*$K$56,"")</f>
        <v>617.1125</v>
      </c>
      <c r="L92" s="530"/>
      <c r="M92" s="530"/>
      <c r="N92" s="630">
        <v>703.0</v>
      </c>
      <c r="O92" s="530"/>
      <c r="P92" s="754">
        <v>461.0</v>
      </c>
      <c r="Q92" s="633"/>
      <c r="R92" s="534"/>
      <c r="S92" s="534"/>
      <c r="T92" s="534"/>
      <c r="U92" s="534"/>
      <c r="V92" s="534"/>
      <c r="W92" s="534"/>
    </row>
    <row r="93">
      <c r="A93" s="755" t="str">
        <f t="shared" si="10"/>
        <v>160X110REDUCER TEE</v>
      </c>
      <c r="B93" s="759"/>
      <c r="C93" s="775" t="s">
        <v>4368</v>
      </c>
      <c r="D93" s="775" t="s">
        <v>4680</v>
      </c>
      <c r="E93" s="779"/>
      <c r="F93" s="780" t="s">
        <v>2271</v>
      </c>
      <c r="G93" s="763">
        <v>994.72</v>
      </c>
      <c r="H93" s="764">
        <f t="shared" si="6"/>
        <v>1339.8</v>
      </c>
      <c r="I93" s="765">
        <f t="shared" si="11"/>
        <v>1346.911694</v>
      </c>
      <c r="J93" s="765">
        <f t="shared" si="12"/>
        <v>1392.608</v>
      </c>
      <c r="K93" s="765">
        <f t="shared" si="13"/>
        <v>1243.4</v>
      </c>
      <c r="L93" s="530"/>
      <c r="M93" s="530"/>
      <c r="N93" s="630">
        <v>4956.0</v>
      </c>
      <c r="O93" s="530"/>
      <c r="P93" s="754">
        <v>865.0</v>
      </c>
      <c r="Q93" s="633"/>
      <c r="R93" s="534"/>
      <c r="S93" s="534"/>
      <c r="T93" s="534"/>
      <c r="U93" s="534"/>
      <c r="V93" s="534"/>
      <c r="W93" s="534"/>
    </row>
    <row r="94">
      <c r="A94" s="755" t="str">
        <f t="shared" si="10"/>
        <v>160X75REDUCER TEE</v>
      </c>
      <c r="B94" s="759"/>
      <c r="C94" s="775" t="s">
        <v>4369</v>
      </c>
      <c r="D94" s="775" t="s">
        <v>4684</v>
      </c>
      <c r="E94" s="779"/>
      <c r="F94" s="780" t="s">
        <v>2271</v>
      </c>
      <c r="G94" s="763">
        <v>817.97</v>
      </c>
      <c r="H94" s="764">
        <f t="shared" si="6"/>
        <v>1129.8</v>
      </c>
      <c r="I94" s="765">
        <f t="shared" si="11"/>
        <v>1381.22425</v>
      </c>
      <c r="J94" s="765">
        <f t="shared" si="12"/>
        <v>1145.158</v>
      </c>
      <c r="K94" s="765">
        <f t="shared" si="13"/>
        <v>1022.4625</v>
      </c>
      <c r="L94" s="530"/>
      <c r="M94" s="530"/>
      <c r="N94" s="530"/>
      <c r="O94" s="530"/>
      <c r="P94" s="754">
        <v>806.0</v>
      </c>
      <c r="Q94" s="633"/>
      <c r="R94" s="534"/>
      <c r="S94" s="534"/>
      <c r="T94" s="534"/>
      <c r="U94" s="534"/>
      <c r="V94" s="534"/>
      <c r="W94" s="534"/>
    </row>
    <row r="95">
      <c r="A95" s="755" t="str">
        <f t="shared" si="10"/>
        <v>50X40REDUCER COUPLER</v>
      </c>
      <c r="B95" s="759"/>
      <c r="C95" s="775"/>
      <c r="D95" s="739" t="s">
        <v>4682</v>
      </c>
      <c r="E95" s="743"/>
      <c r="F95" s="766" t="s">
        <v>2308</v>
      </c>
      <c r="G95" s="763">
        <v>68.62</v>
      </c>
      <c r="H95" s="764">
        <f t="shared" si="6"/>
        <v>93.24</v>
      </c>
      <c r="I95" s="765">
        <f t="shared" si="11"/>
        <v>1358.787526</v>
      </c>
      <c r="J95" s="765">
        <f t="shared" si="12"/>
        <v>96.068</v>
      </c>
      <c r="K95" s="765">
        <f t="shared" si="13"/>
        <v>85.775</v>
      </c>
      <c r="L95" s="530"/>
      <c r="M95" s="530"/>
      <c r="N95" s="530"/>
      <c r="O95" s="530"/>
      <c r="P95" s="754"/>
      <c r="Q95" s="633"/>
      <c r="R95" s="534"/>
      <c r="S95" s="534"/>
      <c r="T95" s="534"/>
      <c r="U95" s="534"/>
      <c r="V95" s="534"/>
      <c r="W95" s="534"/>
    </row>
    <row r="96">
      <c r="A96" s="755" t="str">
        <f t="shared" si="10"/>
        <v>75X40REDUCER COUPLER</v>
      </c>
      <c r="B96" s="759"/>
      <c r="C96" s="775"/>
      <c r="D96" s="739" t="s">
        <v>4685</v>
      </c>
      <c r="E96" s="743"/>
      <c r="F96" s="766" t="s">
        <v>2308</v>
      </c>
      <c r="G96" s="763">
        <v>103.65</v>
      </c>
      <c r="H96" s="764">
        <f t="shared" si="6"/>
        <v>143.22</v>
      </c>
      <c r="I96" s="765">
        <f t="shared" si="11"/>
        <v>1381.765557</v>
      </c>
      <c r="J96" s="765">
        <f t="shared" si="12"/>
        <v>145.11</v>
      </c>
      <c r="K96" s="765">
        <f t="shared" si="13"/>
        <v>129.5625</v>
      </c>
      <c r="L96" s="530"/>
      <c r="M96" s="530"/>
      <c r="N96" s="530"/>
      <c r="O96" s="530"/>
      <c r="P96" s="754"/>
      <c r="Q96" s="633"/>
      <c r="R96" s="534"/>
      <c r="S96" s="534"/>
      <c r="T96" s="534"/>
      <c r="U96" s="534"/>
      <c r="V96" s="534"/>
      <c r="W96" s="534"/>
    </row>
    <row r="97">
      <c r="A97" s="755" t="str">
        <f t="shared" si="10"/>
        <v>110X75REDUCER COUPLER</v>
      </c>
      <c r="B97" s="759"/>
      <c r="C97" s="775"/>
      <c r="D97" s="739" t="s">
        <v>4676</v>
      </c>
      <c r="E97" s="743"/>
      <c r="F97" s="766" t="s">
        <v>2308</v>
      </c>
      <c r="G97" s="763">
        <v>245.72</v>
      </c>
      <c r="H97" s="764">
        <f t="shared" si="6"/>
        <v>345.24</v>
      </c>
      <c r="I97" s="765">
        <f t="shared" si="11"/>
        <v>1405.013837</v>
      </c>
      <c r="J97" s="765">
        <f t="shared" si="12"/>
        <v>344.008</v>
      </c>
      <c r="K97" s="765">
        <f t="shared" si="13"/>
        <v>307.15</v>
      </c>
      <c r="L97" s="530"/>
      <c r="M97" s="530"/>
      <c r="N97" s="530"/>
      <c r="O97" s="530"/>
      <c r="P97" s="754"/>
      <c r="Q97" s="633"/>
      <c r="R97" s="534"/>
      <c r="S97" s="534"/>
      <c r="T97" s="534"/>
      <c r="U97" s="534"/>
      <c r="V97" s="534"/>
      <c r="W97" s="534"/>
    </row>
    <row r="98">
      <c r="A98" s="755" t="str">
        <f t="shared" si="10"/>
        <v>160X75REDUCER COUPLER</v>
      </c>
      <c r="B98" s="759"/>
      <c r="C98" s="775"/>
      <c r="D98" s="739" t="s">
        <v>4684</v>
      </c>
      <c r="E98" s="743"/>
      <c r="F98" s="766" t="s">
        <v>2308</v>
      </c>
      <c r="G98" s="763">
        <v>498.7</v>
      </c>
      <c r="H98" s="764">
        <f t="shared" si="6"/>
        <v>681.24</v>
      </c>
      <c r="I98" s="765">
        <f t="shared" si="11"/>
        <v>1366.031682</v>
      </c>
      <c r="J98" s="765">
        <f t="shared" si="12"/>
        <v>698.18</v>
      </c>
      <c r="K98" s="765">
        <f t="shared" si="13"/>
        <v>623.375</v>
      </c>
      <c r="L98" s="530"/>
      <c r="M98" s="530"/>
      <c r="N98" s="530"/>
      <c r="O98" s="530"/>
      <c r="P98" s="754"/>
      <c r="Q98" s="633"/>
      <c r="R98" s="534"/>
      <c r="S98" s="534"/>
      <c r="T98" s="534"/>
      <c r="U98" s="534"/>
      <c r="V98" s="534"/>
      <c r="W98" s="534"/>
    </row>
    <row r="99">
      <c r="A99" s="755" t="str">
        <f t="shared" si="10"/>
        <v>160X110REDUCER COUPLER</v>
      </c>
      <c r="B99" s="759"/>
      <c r="C99" s="775"/>
      <c r="D99" s="739" t="s">
        <v>4680</v>
      </c>
      <c r="E99" s="743"/>
      <c r="F99" s="766" t="s">
        <v>2308</v>
      </c>
      <c r="G99" s="763">
        <v>534.75</v>
      </c>
      <c r="H99" s="764">
        <f t="shared" si="6"/>
        <v>732.48</v>
      </c>
      <c r="I99" s="765">
        <f t="shared" si="11"/>
        <v>1369.761571</v>
      </c>
      <c r="J99" s="765">
        <f t="shared" si="12"/>
        <v>748.65</v>
      </c>
      <c r="K99" s="765">
        <f t="shared" si="13"/>
        <v>668.4375</v>
      </c>
      <c r="L99" s="530"/>
      <c r="M99" s="530"/>
      <c r="N99" s="530"/>
      <c r="O99" s="530"/>
      <c r="P99" s="754"/>
      <c r="Q99" s="633"/>
      <c r="R99" s="534"/>
      <c r="S99" s="534"/>
      <c r="T99" s="534"/>
      <c r="U99" s="534"/>
      <c r="V99" s="534"/>
      <c r="W99" s="534"/>
    </row>
    <row r="100">
      <c r="A100" s="755" t="str">
        <f t="shared" si="10"/>
        <v>110X110NAHANI TRAP</v>
      </c>
      <c r="B100" s="759"/>
      <c r="C100" s="775" t="s">
        <v>4370</v>
      </c>
      <c r="D100" s="775" t="s">
        <v>4686</v>
      </c>
      <c r="E100" s="779"/>
      <c r="F100" s="780" t="s">
        <v>4687</v>
      </c>
      <c r="G100" s="763"/>
      <c r="H100" s="764"/>
      <c r="I100" s="765">
        <f t="shared" si="11"/>
        <v>0</v>
      </c>
      <c r="J100" s="765">
        <f t="shared" si="12"/>
        <v>0</v>
      </c>
      <c r="K100" s="765">
        <f t="shared" si="13"/>
        <v>0</v>
      </c>
      <c r="L100" s="530"/>
      <c r="M100" s="530"/>
      <c r="N100" s="530"/>
      <c r="O100" s="630"/>
      <c r="P100" s="754">
        <v>278.0</v>
      </c>
      <c r="Q100" s="633"/>
      <c r="R100" s="534"/>
      <c r="S100" s="534"/>
      <c r="T100" s="534"/>
      <c r="U100" s="534"/>
      <c r="V100" s="534"/>
      <c r="W100" s="534"/>
    </row>
    <row r="101">
      <c r="A101" s="755" t="str">
        <f t="shared" si="10"/>
        <v>110X75NAHANI TRAP</v>
      </c>
      <c r="B101" s="759"/>
      <c r="C101" s="775" t="s">
        <v>4372</v>
      </c>
      <c r="D101" s="775" t="s">
        <v>4676</v>
      </c>
      <c r="E101" s="779"/>
      <c r="F101" s="780" t="s">
        <v>4687</v>
      </c>
      <c r="G101" s="763"/>
      <c r="H101" s="764"/>
      <c r="I101" s="765">
        <f t="shared" si="11"/>
        <v>0</v>
      </c>
      <c r="J101" s="765">
        <f t="shared" si="12"/>
        <v>0</v>
      </c>
      <c r="K101" s="765">
        <f t="shared" si="13"/>
        <v>0</v>
      </c>
      <c r="L101" s="530"/>
      <c r="M101" s="530"/>
      <c r="N101" s="530"/>
      <c r="O101" s="630">
        <v>651.0</v>
      </c>
      <c r="P101" s="754">
        <v>222.0</v>
      </c>
      <c r="Q101" s="633"/>
      <c r="R101" s="534"/>
      <c r="S101" s="534"/>
      <c r="T101" s="534"/>
      <c r="U101" s="534"/>
      <c r="V101" s="534"/>
      <c r="W101" s="534"/>
    </row>
    <row r="102">
      <c r="A102" s="755" t="str">
        <f t="shared" si="10"/>
        <v>110X110P-TRAP</v>
      </c>
      <c r="B102" s="759"/>
      <c r="C102" s="775" t="s">
        <v>4373</v>
      </c>
      <c r="D102" s="775" t="s">
        <v>4686</v>
      </c>
      <c r="E102" s="779"/>
      <c r="F102" s="780" t="s">
        <v>4688</v>
      </c>
      <c r="G102" s="763"/>
      <c r="H102" s="764"/>
      <c r="I102" s="765">
        <f t="shared" si="11"/>
        <v>0</v>
      </c>
      <c r="J102" s="765">
        <f t="shared" si="12"/>
        <v>0</v>
      </c>
      <c r="K102" s="765">
        <f t="shared" si="13"/>
        <v>0</v>
      </c>
      <c r="L102" s="630"/>
      <c r="M102" s="736">
        <v>351.4</v>
      </c>
      <c r="N102" s="530"/>
      <c r="O102" s="630">
        <v>1196.0</v>
      </c>
      <c r="P102" s="754">
        <v>1881.0</v>
      </c>
      <c r="Q102" s="633"/>
      <c r="R102" s="534"/>
      <c r="S102" s="534"/>
      <c r="T102" s="534"/>
      <c r="U102" s="534"/>
      <c r="V102" s="534"/>
      <c r="W102" s="534"/>
    </row>
    <row r="103">
      <c r="A103" s="755" t="str">
        <f t="shared" si="10"/>
        <v>125X110P-TRAP</v>
      </c>
      <c r="B103" s="534"/>
      <c r="C103" s="775" t="s">
        <v>4375</v>
      </c>
      <c r="D103" s="775" t="s">
        <v>4689</v>
      </c>
      <c r="E103" s="779"/>
      <c r="F103" s="780" t="s">
        <v>4688</v>
      </c>
      <c r="G103" s="763"/>
      <c r="H103" s="764"/>
      <c r="I103" s="765">
        <f t="shared" si="11"/>
        <v>0</v>
      </c>
      <c r="J103" s="765">
        <f t="shared" si="12"/>
        <v>0</v>
      </c>
      <c r="K103" s="765">
        <f t="shared" si="13"/>
        <v>0</v>
      </c>
      <c r="L103" s="630"/>
      <c r="M103" s="736">
        <v>398.4</v>
      </c>
      <c r="N103" s="530"/>
      <c r="O103" s="530"/>
      <c r="P103" s="758"/>
      <c r="Q103" s="633"/>
      <c r="R103" s="534"/>
      <c r="S103" s="534"/>
      <c r="T103" s="534"/>
      <c r="U103" s="534"/>
      <c r="V103" s="534"/>
      <c r="W103" s="534"/>
    </row>
    <row r="104">
      <c r="A104" s="755" t="str">
        <f t="shared" si="10"/>
        <v>75SOCKET PLUG WITH LOCK</v>
      </c>
      <c r="B104" s="771"/>
      <c r="C104" s="775" t="s">
        <v>4376</v>
      </c>
      <c r="D104" s="775">
        <v>75.0</v>
      </c>
      <c r="E104" s="781"/>
      <c r="F104" s="780" t="s">
        <v>4690</v>
      </c>
      <c r="G104" s="763"/>
      <c r="H104" s="764"/>
      <c r="I104" s="765">
        <f t="shared" si="11"/>
        <v>0</v>
      </c>
      <c r="J104" s="765">
        <f t="shared" si="12"/>
        <v>0</v>
      </c>
      <c r="K104" s="765">
        <f t="shared" si="13"/>
        <v>0</v>
      </c>
      <c r="L104" s="530"/>
      <c r="M104" s="530"/>
      <c r="N104" s="630">
        <v>256.0</v>
      </c>
      <c r="O104" s="630">
        <v>131.0</v>
      </c>
      <c r="P104" s="754">
        <v>356.0</v>
      </c>
      <c r="Q104" s="633"/>
      <c r="R104" s="534"/>
      <c r="S104" s="534"/>
      <c r="T104" s="534"/>
      <c r="U104" s="534"/>
      <c r="V104" s="534"/>
      <c r="W104" s="534"/>
    </row>
    <row r="105">
      <c r="A105" s="755" t="str">
        <f t="shared" si="10"/>
        <v>110SOCKET PLUG WITH LOCK</v>
      </c>
      <c r="B105" s="771"/>
      <c r="C105" s="775" t="s">
        <v>4378</v>
      </c>
      <c r="D105" s="775">
        <v>110.0</v>
      </c>
      <c r="E105" s="781"/>
      <c r="F105" s="780" t="s">
        <v>4690</v>
      </c>
      <c r="G105" s="763"/>
      <c r="H105" s="764"/>
      <c r="I105" s="765">
        <f t="shared" si="11"/>
        <v>0</v>
      </c>
      <c r="J105" s="765">
        <f t="shared" si="12"/>
        <v>0</v>
      </c>
      <c r="K105" s="765">
        <f t="shared" si="13"/>
        <v>0</v>
      </c>
      <c r="L105" s="530"/>
      <c r="M105" s="530"/>
      <c r="N105" s="630">
        <v>505.0</v>
      </c>
      <c r="O105" s="630">
        <v>293.0</v>
      </c>
      <c r="P105" s="754">
        <v>471.0</v>
      </c>
      <c r="Q105" s="633"/>
      <c r="R105" s="534"/>
      <c r="S105" s="534"/>
      <c r="T105" s="534"/>
      <c r="U105" s="534"/>
      <c r="V105" s="534"/>
      <c r="W105" s="534"/>
    </row>
    <row r="106">
      <c r="A106" s="755" t="str">
        <f t="shared" si="10"/>
        <v>160SOCKET PLUG</v>
      </c>
      <c r="B106" s="759"/>
      <c r="C106" s="775" t="s">
        <v>4379</v>
      </c>
      <c r="D106" s="775">
        <v>160.0</v>
      </c>
      <c r="E106" s="779"/>
      <c r="F106" s="780" t="s">
        <v>4691</v>
      </c>
      <c r="G106" s="763"/>
      <c r="H106" s="764"/>
      <c r="I106" s="765">
        <f t="shared" si="11"/>
        <v>0</v>
      </c>
      <c r="J106" s="765">
        <f t="shared" si="12"/>
        <v>0</v>
      </c>
      <c r="K106" s="765">
        <f t="shared" si="13"/>
        <v>0</v>
      </c>
      <c r="L106" s="630"/>
      <c r="M106" s="630">
        <v>78.0</v>
      </c>
      <c r="N106" s="630">
        <v>882.0</v>
      </c>
      <c r="O106" s="630">
        <v>640.0</v>
      </c>
      <c r="P106" s="754">
        <v>615.0</v>
      </c>
      <c r="Q106" s="633"/>
      <c r="R106" s="534"/>
      <c r="S106" s="534"/>
      <c r="T106" s="534"/>
      <c r="U106" s="534"/>
      <c r="V106" s="534"/>
      <c r="W106" s="534"/>
    </row>
    <row r="107">
      <c r="A107" s="755"/>
      <c r="B107" s="782" t="s">
        <v>4694</v>
      </c>
      <c r="C107" s="775"/>
      <c r="D107" s="775">
        <v>75.0</v>
      </c>
      <c r="E107" s="779"/>
      <c r="F107" s="780" t="s">
        <v>4695</v>
      </c>
      <c r="G107" s="763"/>
      <c r="H107" s="764"/>
      <c r="I107" s="765">
        <f t="shared" si="11"/>
        <v>0</v>
      </c>
      <c r="J107" s="765">
        <f t="shared" si="12"/>
        <v>0</v>
      </c>
      <c r="K107" s="765">
        <f t="shared" si="13"/>
        <v>0</v>
      </c>
      <c r="L107" s="630"/>
      <c r="M107" s="630"/>
      <c r="N107" s="630"/>
      <c r="O107" s="630">
        <v>362.0</v>
      </c>
      <c r="P107" s="754"/>
      <c r="Q107" s="633"/>
      <c r="R107" s="534"/>
      <c r="S107" s="534"/>
      <c r="T107" s="534"/>
      <c r="U107" s="534"/>
      <c r="V107" s="534"/>
      <c r="W107" s="534"/>
    </row>
    <row r="108">
      <c r="A108" s="755"/>
      <c r="C108" s="775"/>
      <c r="D108" s="775">
        <v>110.0</v>
      </c>
      <c r="E108" s="779"/>
      <c r="F108" s="780" t="s">
        <v>4695</v>
      </c>
      <c r="G108" s="763"/>
      <c r="H108" s="764"/>
      <c r="I108" s="765">
        <f t="shared" si="11"/>
        <v>0</v>
      </c>
      <c r="J108" s="765">
        <f t="shared" si="12"/>
        <v>0</v>
      </c>
      <c r="K108" s="765">
        <f t="shared" si="13"/>
        <v>0</v>
      </c>
      <c r="L108" s="630"/>
      <c r="M108" s="630"/>
      <c r="N108" s="630"/>
      <c r="O108" s="630">
        <v>804.0</v>
      </c>
      <c r="P108" s="754"/>
      <c r="Q108" s="633"/>
      <c r="R108" s="534"/>
      <c r="S108" s="534"/>
      <c r="T108" s="534"/>
      <c r="U108" s="534"/>
      <c r="V108" s="534"/>
      <c r="W108" s="534"/>
    </row>
    <row r="109">
      <c r="A109" s="755"/>
      <c r="C109" s="775"/>
      <c r="D109" s="775">
        <v>160.0</v>
      </c>
      <c r="E109" s="779"/>
      <c r="F109" s="780" t="s">
        <v>4695</v>
      </c>
      <c r="G109" s="763"/>
      <c r="H109" s="764"/>
      <c r="I109" s="765">
        <f t="shared" si="11"/>
        <v>0</v>
      </c>
      <c r="J109" s="765">
        <f t="shared" si="12"/>
        <v>0</v>
      </c>
      <c r="K109" s="765">
        <f t="shared" si="13"/>
        <v>0</v>
      </c>
      <c r="L109" s="630"/>
      <c r="M109" s="630"/>
      <c r="N109" s="630"/>
      <c r="O109" s="630">
        <v>1143.0</v>
      </c>
      <c r="P109" s="754"/>
      <c r="Q109" s="633"/>
      <c r="R109" s="534"/>
      <c r="S109" s="534"/>
      <c r="T109" s="534"/>
      <c r="U109" s="534"/>
      <c r="V109" s="534"/>
      <c r="W109" s="534"/>
    </row>
    <row r="110">
      <c r="A110" s="755"/>
      <c r="C110" s="775"/>
      <c r="D110" s="775">
        <v>75.0</v>
      </c>
      <c r="E110" s="779"/>
      <c r="F110" s="780" t="s">
        <v>4696</v>
      </c>
      <c r="G110" s="763"/>
      <c r="H110" s="764"/>
      <c r="I110" s="765">
        <f t="shared" si="11"/>
        <v>0</v>
      </c>
      <c r="J110" s="765">
        <f t="shared" si="12"/>
        <v>0</v>
      </c>
      <c r="K110" s="765">
        <f t="shared" si="13"/>
        <v>0</v>
      </c>
      <c r="L110" s="630"/>
      <c r="M110" s="630"/>
      <c r="N110" s="630"/>
      <c r="O110" s="630"/>
      <c r="P110" s="754"/>
      <c r="Q110" s="633"/>
      <c r="R110" s="534"/>
      <c r="S110" s="534"/>
      <c r="T110" s="534"/>
      <c r="U110" s="534"/>
      <c r="V110" s="534"/>
      <c r="W110" s="534"/>
    </row>
    <row r="111">
      <c r="A111" s="755"/>
      <c r="C111" s="775"/>
      <c r="D111" s="775">
        <v>110.0</v>
      </c>
      <c r="E111" s="779"/>
      <c r="F111" s="780" t="s">
        <v>4696</v>
      </c>
      <c r="G111" s="763"/>
      <c r="H111" s="764"/>
      <c r="I111" s="765">
        <f t="shared" si="11"/>
        <v>0</v>
      </c>
      <c r="J111" s="765">
        <f t="shared" si="12"/>
        <v>0</v>
      </c>
      <c r="K111" s="765">
        <f t="shared" si="13"/>
        <v>0</v>
      </c>
      <c r="L111" s="630"/>
      <c r="M111" s="630"/>
      <c r="N111" s="630"/>
      <c r="O111" s="630">
        <v>1265.0</v>
      </c>
      <c r="P111" s="754"/>
      <c r="Q111" s="633"/>
      <c r="R111" s="534"/>
      <c r="S111" s="534"/>
      <c r="T111" s="534"/>
      <c r="U111" s="534"/>
      <c r="V111" s="534"/>
      <c r="W111" s="534"/>
    </row>
    <row r="112">
      <c r="A112" s="755"/>
      <c r="C112" s="775"/>
      <c r="D112" s="783">
        <v>160.0</v>
      </c>
      <c r="E112" s="784"/>
      <c r="F112" s="785" t="s">
        <v>4696</v>
      </c>
      <c r="G112" s="763"/>
      <c r="H112" s="764"/>
      <c r="I112" s="765">
        <f t="shared" si="11"/>
        <v>0</v>
      </c>
      <c r="J112" s="765">
        <f t="shared" si="12"/>
        <v>0</v>
      </c>
      <c r="K112" s="765">
        <f t="shared" si="13"/>
        <v>0</v>
      </c>
      <c r="L112" s="630"/>
      <c r="M112" s="630"/>
      <c r="N112" s="630"/>
      <c r="O112" s="630">
        <v>1418.0</v>
      </c>
      <c r="P112" s="754"/>
      <c r="Q112" s="633"/>
      <c r="R112" s="534"/>
      <c r="S112" s="534"/>
      <c r="T112" s="534"/>
      <c r="U112" s="534"/>
      <c r="V112" s="534"/>
      <c r="W112" s="534"/>
    </row>
    <row r="113">
      <c r="A113" s="755"/>
      <c r="C113" s="775"/>
      <c r="D113" s="775">
        <v>50.0</v>
      </c>
      <c r="E113" s="779"/>
      <c r="F113" s="786" t="s">
        <v>4697</v>
      </c>
      <c r="G113" s="763"/>
      <c r="H113" s="764"/>
      <c r="I113" s="765">
        <f t="shared" si="11"/>
        <v>0</v>
      </c>
      <c r="J113" s="765">
        <f t="shared" si="12"/>
        <v>0</v>
      </c>
      <c r="K113" s="765">
        <f t="shared" si="13"/>
        <v>0</v>
      </c>
      <c r="L113" s="630"/>
      <c r="M113" s="630"/>
      <c r="N113" s="630"/>
      <c r="O113" s="630">
        <v>215.0</v>
      </c>
      <c r="P113" s="754"/>
      <c r="Q113" s="633"/>
      <c r="R113" s="534"/>
      <c r="S113" s="534"/>
      <c r="T113" s="534"/>
      <c r="U113" s="534"/>
      <c r="V113" s="534"/>
      <c r="W113" s="534"/>
    </row>
    <row r="114">
      <c r="A114" s="755"/>
      <c r="C114" s="775"/>
      <c r="D114" s="775">
        <v>75.0</v>
      </c>
      <c r="E114" s="779"/>
      <c r="F114" s="786" t="s">
        <v>4697</v>
      </c>
      <c r="G114" s="763"/>
      <c r="H114" s="764"/>
      <c r="I114" s="765">
        <f t="shared" si="11"/>
        <v>0</v>
      </c>
      <c r="J114" s="765">
        <f t="shared" si="12"/>
        <v>0</v>
      </c>
      <c r="K114" s="765">
        <f t="shared" si="13"/>
        <v>0</v>
      </c>
      <c r="L114" s="630"/>
      <c r="M114" s="630"/>
      <c r="N114" s="630"/>
      <c r="O114" s="630">
        <v>260.0</v>
      </c>
      <c r="P114" s="754"/>
      <c r="Q114" s="633"/>
      <c r="R114" s="534"/>
      <c r="S114" s="534"/>
      <c r="T114" s="534"/>
      <c r="U114" s="534"/>
      <c r="V114" s="534"/>
      <c r="W114" s="534"/>
    </row>
    <row r="115">
      <c r="A115" s="755"/>
      <c r="C115" s="775"/>
      <c r="D115" s="775">
        <v>110.0</v>
      </c>
      <c r="E115" s="779"/>
      <c r="F115" s="786" t="s">
        <v>4697</v>
      </c>
      <c r="G115" s="763"/>
      <c r="H115" s="764"/>
      <c r="I115" s="765">
        <f t="shared" si="11"/>
        <v>0</v>
      </c>
      <c r="J115" s="765">
        <f t="shared" si="12"/>
        <v>0</v>
      </c>
      <c r="K115" s="765">
        <f t="shared" si="13"/>
        <v>0</v>
      </c>
      <c r="L115" s="630"/>
      <c r="M115" s="630"/>
      <c r="N115" s="630"/>
      <c r="O115" s="630">
        <v>340.0</v>
      </c>
      <c r="P115" s="754"/>
      <c r="Q115" s="633"/>
      <c r="R115" s="534"/>
      <c r="S115" s="534"/>
      <c r="T115" s="534"/>
      <c r="U115" s="534"/>
      <c r="V115" s="534"/>
      <c r="W115" s="534"/>
    </row>
    <row r="116">
      <c r="A116" s="755"/>
      <c r="C116" s="775"/>
      <c r="D116" s="775">
        <v>160.0</v>
      </c>
      <c r="E116" s="779"/>
      <c r="F116" s="786" t="s">
        <v>4697</v>
      </c>
      <c r="G116" s="763"/>
      <c r="H116" s="764"/>
      <c r="I116" s="765">
        <f t="shared" si="11"/>
        <v>0</v>
      </c>
      <c r="J116" s="765">
        <f t="shared" si="12"/>
        <v>0</v>
      </c>
      <c r="K116" s="765">
        <f t="shared" si="13"/>
        <v>0</v>
      </c>
      <c r="L116" s="630"/>
      <c r="M116" s="630"/>
      <c r="N116" s="630"/>
      <c r="O116" s="630">
        <v>450.0</v>
      </c>
      <c r="P116" s="754"/>
      <c r="Q116" s="633"/>
      <c r="R116" s="534"/>
      <c r="S116" s="534"/>
      <c r="T116" s="534"/>
      <c r="U116" s="534"/>
      <c r="V116" s="534"/>
      <c r="W116" s="534"/>
    </row>
    <row r="117">
      <c r="A117" s="755"/>
      <c r="C117" s="775"/>
      <c r="D117" s="775"/>
      <c r="E117" s="779"/>
      <c r="F117" s="786" t="s">
        <v>4698</v>
      </c>
      <c r="G117" s="763"/>
      <c r="H117" s="764"/>
      <c r="I117" s="765">
        <f t="shared" si="11"/>
        <v>0</v>
      </c>
      <c r="J117" s="765">
        <f t="shared" si="12"/>
        <v>0</v>
      </c>
      <c r="K117" s="765">
        <f t="shared" si="13"/>
        <v>0</v>
      </c>
      <c r="L117" s="630"/>
      <c r="M117" s="630"/>
      <c r="N117" s="630"/>
      <c r="O117" s="630">
        <v>160.0</v>
      </c>
      <c r="P117" s="754"/>
      <c r="Q117" s="633"/>
      <c r="R117" s="534"/>
      <c r="S117" s="534"/>
      <c r="T117" s="534"/>
      <c r="U117" s="534"/>
      <c r="V117" s="534"/>
      <c r="W117" s="534"/>
    </row>
    <row r="118">
      <c r="A118" s="755"/>
      <c r="C118" s="775"/>
      <c r="D118" s="775"/>
      <c r="E118" s="779"/>
      <c r="F118" s="786" t="s">
        <v>4699</v>
      </c>
      <c r="G118" s="763"/>
      <c r="H118" s="764"/>
      <c r="I118" s="765">
        <f t="shared" si="11"/>
        <v>0</v>
      </c>
      <c r="J118" s="765">
        <f t="shared" si="12"/>
        <v>0</v>
      </c>
      <c r="K118" s="765">
        <f t="shared" si="13"/>
        <v>0</v>
      </c>
      <c r="L118" s="630"/>
      <c r="M118" s="630"/>
      <c r="N118" s="630"/>
      <c r="O118" s="630">
        <v>348.0</v>
      </c>
      <c r="P118" s="754"/>
      <c r="Q118" s="633"/>
      <c r="R118" s="534"/>
      <c r="S118" s="534"/>
      <c r="T118" s="534"/>
      <c r="U118" s="534"/>
      <c r="V118" s="534"/>
      <c r="W118" s="534"/>
    </row>
    <row r="119">
      <c r="A119" s="755"/>
      <c r="C119" s="775"/>
      <c r="D119" s="775">
        <v>50.0</v>
      </c>
      <c r="E119" s="779"/>
      <c r="F119" s="786" t="s">
        <v>4700</v>
      </c>
      <c r="G119" s="763"/>
      <c r="H119" s="764"/>
      <c r="I119" s="765">
        <f t="shared" si="11"/>
        <v>0</v>
      </c>
      <c r="J119" s="765">
        <f t="shared" si="12"/>
        <v>0</v>
      </c>
      <c r="K119" s="765">
        <f t="shared" si="13"/>
        <v>0</v>
      </c>
      <c r="L119" s="630"/>
      <c r="M119" s="630"/>
      <c r="N119" s="630"/>
      <c r="O119" s="630">
        <v>199.0</v>
      </c>
      <c r="P119" s="754"/>
      <c r="Q119" s="633"/>
      <c r="R119" s="534"/>
      <c r="S119" s="534"/>
      <c r="T119" s="534"/>
      <c r="U119" s="534"/>
      <c r="V119" s="534"/>
      <c r="W119" s="534"/>
    </row>
    <row r="120">
      <c r="A120" s="755"/>
      <c r="C120" s="775"/>
      <c r="D120" s="775">
        <v>75.0</v>
      </c>
      <c r="E120" s="779"/>
      <c r="F120" s="786" t="s">
        <v>4700</v>
      </c>
      <c r="G120" s="763"/>
      <c r="H120" s="764"/>
      <c r="I120" s="765">
        <f t="shared" si="11"/>
        <v>0</v>
      </c>
      <c r="J120" s="765">
        <f t="shared" si="12"/>
        <v>0</v>
      </c>
      <c r="K120" s="765">
        <f t="shared" si="13"/>
        <v>0</v>
      </c>
      <c r="L120" s="630"/>
      <c r="M120" s="630">
        <v>19.2</v>
      </c>
      <c r="N120" s="630"/>
      <c r="O120" s="630">
        <v>154.0</v>
      </c>
      <c r="P120" s="754">
        <v>303.0</v>
      </c>
      <c r="Q120" s="633"/>
      <c r="R120" s="534"/>
      <c r="S120" s="534"/>
      <c r="T120" s="534"/>
      <c r="U120" s="534"/>
      <c r="V120" s="534"/>
      <c r="W120" s="534"/>
    </row>
    <row r="121">
      <c r="A121" s="755"/>
      <c r="C121" s="775"/>
      <c r="D121" s="775">
        <v>110.0</v>
      </c>
      <c r="E121" s="779"/>
      <c r="F121" s="786" t="s">
        <v>4700</v>
      </c>
      <c r="G121" s="763"/>
      <c r="H121" s="764"/>
      <c r="I121" s="765">
        <f t="shared" si="11"/>
        <v>0</v>
      </c>
      <c r="J121" s="765">
        <f t="shared" si="12"/>
        <v>0</v>
      </c>
      <c r="K121" s="765">
        <f t="shared" si="13"/>
        <v>0</v>
      </c>
      <c r="L121" s="630"/>
      <c r="M121" s="630">
        <v>37.4</v>
      </c>
      <c r="N121" s="630"/>
      <c r="O121" s="630">
        <v>162.0</v>
      </c>
      <c r="P121" s="754">
        <v>367.0</v>
      </c>
      <c r="Q121" s="633"/>
      <c r="R121" s="534"/>
      <c r="S121" s="534"/>
      <c r="T121" s="534"/>
      <c r="U121" s="534"/>
      <c r="V121" s="534"/>
      <c r="W121" s="534"/>
    </row>
    <row r="122">
      <c r="A122" s="755"/>
      <c r="C122" s="775"/>
      <c r="D122" s="775">
        <v>160.0</v>
      </c>
      <c r="E122" s="779"/>
      <c r="F122" s="786" t="s">
        <v>4700</v>
      </c>
      <c r="G122" s="763"/>
      <c r="H122" s="764"/>
      <c r="I122" s="765">
        <f t="shared" si="11"/>
        <v>0</v>
      </c>
      <c r="J122" s="765">
        <f t="shared" si="12"/>
        <v>0</v>
      </c>
      <c r="K122" s="765">
        <f t="shared" si="13"/>
        <v>0</v>
      </c>
      <c r="L122" s="630"/>
      <c r="M122" s="630">
        <v>84.6</v>
      </c>
      <c r="N122" s="630"/>
      <c r="O122" s="630">
        <v>344.0</v>
      </c>
      <c r="P122" s="754"/>
      <c r="Q122" s="633"/>
      <c r="R122" s="534"/>
      <c r="S122" s="534"/>
      <c r="T122" s="534"/>
      <c r="U122" s="534"/>
      <c r="V122" s="534"/>
      <c r="W122" s="534"/>
    </row>
    <row r="123">
      <c r="A123" s="755"/>
      <c r="B123" s="759"/>
      <c r="C123" s="769"/>
      <c r="D123" s="759"/>
      <c r="E123" s="769"/>
      <c r="F123" s="772"/>
      <c r="G123" s="769"/>
      <c r="H123" s="770"/>
      <c r="I123" s="765"/>
      <c r="J123" s="765"/>
      <c r="K123" s="765"/>
      <c r="L123" s="530"/>
      <c r="M123" s="530"/>
      <c r="N123" s="530"/>
      <c r="O123" s="530"/>
      <c r="P123" s="758"/>
      <c r="Q123" s="534"/>
      <c r="R123" s="534"/>
      <c r="S123" s="534"/>
      <c r="T123" s="534"/>
      <c r="U123" s="534"/>
      <c r="V123" s="534"/>
      <c r="W123" s="534"/>
    </row>
    <row r="124">
      <c r="A124" s="755"/>
      <c r="C124" s="756" t="s">
        <v>4701</v>
      </c>
      <c r="D124" s="45"/>
      <c r="E124" s="45"/>
      <c r="F124" s="45"/>
      <c r="G124" s="45"/>
      <c r="H124" s="46"/>
      <c r="I124" s="757"/>
      <c r="J124" s="757"/>
      <c r="K124" s="757"/>
      <c r="L124" s="530"/>
      <c r="M124" s="530"/>
      <c r="N124" s="530"/>
      <c r="O124" s="530"/>
      <c r="P124" s="758"/>
      <c r="Q124" s="534"/>
      <c r="R124" s="534"/>
      <c r="S124" s="534"/>
      <c r="T124" s="534"/>
      <c r="U124" s="534"/>
      <c r="V124" s="534"/>
      <c r="W124" s="534"/>
    </row>
    <row r="125">
      <c r="A125" s="755"/>
      <c r="B125" s="759"/>
      <c r="C125" s="773" t="s">
        <v>18</v>
      </c>
      <c r="D125" s="773" t="s">
        <v>4667</v>
      </c>
      <c r="E125" s="773" t="s">
        <v>4668</v>
      </c>
      <c r="F125" s="774" t="s">
        <v>4669</v>
      </c>
      <c r="G125" s="763"/>
      <c r="H125" s="764">
        <v>3.8</v>
      </c>
      <c r="I125" s="763"/>
      <c r="J125" s="757">
        <v>1.8</v>
      </c>
      <c r="K125" s="757">
        <v>1.6</v>
      </c>
      <c r="L125" s="630" t="s">
        <v>4602</v>
      </c>
      <c r="M125" s="630" t="s">
        <v>4670</v>
      </c>
      <c r="N125" s="530"/>
      <c r="O125" s="787">
        <v>46113.0</v>
      </c>
      <c r="P125" s="754"/>
      <c r="Q125" s="534"/>
      <c r="R125" s="534"/>
      <c r="S125" s="534"/>
      <c r="T125" s="534"/>
      <c r="U125" s="534"/>
      <c r="V125" s="534"/>
      <c r="W125" s="534"/>
    </row>
    <row r="126">
      <c r="A126" s="755" t="str">
        <f t="shared" ref="A126:A158" si="14">D126&amp;F126</f>
        <v>40COUPLER</v>
      </c>
      <c r="B126" s="759"/>
      <c r="C126" s="739" t="s">
        <v>4381</v>
      </c>
      <c r="D126" s="739">
        <v>40.0</v>
      </c>
      <c r="E126" s="743"/>
      <c r="F126" s="766" t="s">
        <v>2061</v>
      </c>
      <c r="G126" s="763">
        <v>74.19</v>
      </c>
      <c r="H126" s="764">
        <f t="shared" ref="H126:H168" si="15">H4*$H$125</f>
        <v>138.7</v>
      </c>
      <c r="I126" s="765">
        <f t="shared" ref="I126:I158" si="16">IFERROR(H126/G126,"")*1000</f>
        <v>1869.524195</v>
      </c>
      <c r="J126" s="765">
        <f t="shared" ref="J126:J158" si="17">IFERROR(G126*$J$125,"")</f>
        <v>133.542</v>
      </c>
      <c r="K126" s="765">
        <f t="shared" ref="K126:K158" si="18">IFERROR(G126*$K$125,"")</f>
        <v>118.704</v>
      </c>
      <c r="L126" s="759">
        <v>48.0</v>
      </c>
      <c r="M126" s="735"/>
      <c r="N126" s="530"/>
      <c r="O126" s="630">
        <v>193.0</v>
      </c>
      <c r="P126" s="754">
        <v>342.0</v>
      </c>
      <c r="Q126" s="788">
        <f t="shared" ref="Q126:Q175" si="19">IFERROR((P126-H126)/H126,)</f>
        <v>1.465753425</v>
      </c>
      <c r="R126" s="534"/>
      <c r="S126" s="534"/>
      <c r="T126" s="534"/>
      <c r="U126" s="534"/>
      <c r="V126" s="534"/>
      <c r="W126" s="534"/>
    </row>
    <row r="127">
      <c r="A127" s="755" t="str">
        <f t="shared" si="14"/>
        <v>50COUPLER</v>
      </c>
      <c r="B127" s="759"/>
      <c r="C127" s="739" t="s">
        <v>4383</v>
      </c>
      <c r="D127" s="739">
        <v>50.0</v>
      </c>
      <c r="E127" s="743"/>
      <c r="F127" s="766" t="s">
        <v>2061</v>
      </c>
      <c r="G127" s="763">
        <v>104.39</v>
      </c>
      <c r="H127" s="764">
        <f t="shared" si="15"/>
        <v>184.3</v>
      </c>
      <c r="I127" s="765">
        <f t="shared" si="16"/>
        <v>1765.494779</v>
      </c>
      <c r="J127" s="765">
        <f t="shared" si="17"/>
        <v>187.902</v>
      </c>
      <c r="K127" s="765">
        <f t="shared" si="18"/>
        <v>167.024</v>
      </c>
      <c r="L127" s="759">
        <v>52.0</v>
      </c>
      <c r="M127" s="735"/>
      <c r="N127" s="630">
        <v>505.0</v>
      </c>
      <c r="O127" s="630">
        <v>194.0</v>
      </c>
      <c r="P127" s="754">
        <v>504.0</v>
      </c>
      <c r="Q127" s="788">
        <f t="shared" si="19"/>
        <v>1.734671731</v>
      </c>
      <c r="R127" s="534"/>
      <c r="S127" s="534"/>
      <c r="T127" s="534"/>
      <c r="U127" s="534"/>
      <c r="V127" s="534"/>
      <c r="W127" s="534"/>
    </row>
    <row r="128">
      <c r="A128" s="755" t="str">
        <f t="shared" si="14"/>
        <v>75COUPLER</v>
      </c>
      <c r="B128" s="759"/>
      <c r="C128" s="739" t="s">
        <v>4384</v>
      </c>
      <c r="D128" s="739">
        <v>75.0</v>
      </c>
      <c r="E128" s="743"/>
      <c r="F128" s="766" t="s">
        <v>2061</v>
      </c>
      <c r="G128" s="763">
        <v>146.89</v>
      </c>
      <c r="H128" s="764">
        <f t="shared" si="15"/>
        <v>264.1</v>
      </c>
      <c r="I128" s="765">
        <f t="shared" si="16"/>
        <v>1797.94404</v>
      </c>
      <c r="J128" s="765">
        <f t="shared" si="17"/>
        <v>264.402</v>
      </c>
      <c r="K128" s="765">
        <f t="shared" si="18"/>
        <v>235.024</v>
      </c>
      <c r="L128" s="759">
        <v>108.0</v>
      </c>
      <c r="M128" s="736">
        <v>64.0</v>
      </c>
      <c r="N128" s="630">
        <v>584.0</v>
      </c>
      <c r="O128" s="630">
        <v>352.0</v>
      </c>
      <c r="P128" s="754">
        <v>508.0</v>
      </c>
      <c r="Q128" s="788">
        <f t="shared" si="19"/>
        <v>0.9235138205</v>
      </c>
      <c r="R128" s="534"/>
      <c r="S128" s="534"/>
      <c r="T128" s="534"/>
      <c r="U128" s="534"/>
      <c r="V128" s="534"/>
      <c r="W128" s="534"/>
    </row>
    <row r="129">
      <c r="A129" s="755" t="str">
        <f t="shared" si="14"/>
        <v>110COUPLER</v>
      </c>
      <c r="B129" s="759"/>
      <c r="C129" s="739" t="s">
        <v>4385</v>
      </c>
      <c r="D129" s="739">
        <v>110.0</v>
      </c>
      <c r="E129" s="743"/>
      <c r="F129" s="766" t="s">
        <v>2061</v>
      </c>
      <c r="G129" s="763">
        <v>375.17</v>
      </c>
      <c r="H129" s="764">
        <f t="shared" si="15"/>
        <v>640.3</v>
      </c>
      <c r="I129" s="765">
        <f t="shared" si="16"/>
        <v>1706.692966</v>
      </c>
      <c r="J129" s="765">
        <f t="shared" si="17"/>
        <v>675.306</v>
      </c>
      <c r="K129" s="765">
        <f t="shared" si="18"/>
        <v>600.272</v>
      </c>
      <c r="L129" s="759">
        <v>194.0</v>
      </c>
      <c r="M129" s="736">
        <v>134.0</v>
      </c>
      <c r="N129" s="630">
        <v>818.0</v>
      </c>
      <c r="O129" s="630">
        <v>640.0</v>
      </c>
      <c r="P129" s="754">
        <v>640.0</v>
      </c>
      <c r="Q129" s="788">
        <f t="shared" si="19"/>
        <v>-0.0004685303764</v>
      </c>
      <c r="R129" s="534"/>
      <c r="S129" s="534"/>
      <c r="T129" s="534"/>
      <c r="U129" s="534"/>
      <c r="V129" s="534"/>
      <c r="W129" s="534"/>
    </row>
    <row r="130">
      <c r="A130" s="755" t="str">
        <f t="shared" si="14"/>
        <v>160COUPLER</v>
      </c>
      <c r="B130" s="759"/>
      <c r="C130" s="739" t="s">
        <v>4386</v>
      </c>
      <c r="D130" s="739">
        <v>160.0</v>
      </c>
      <c r="E130" s="743"/>
      <c r="F130" s="766" t="s">
        <v>2061</v>
      </c>
      <c r="G130" s="763">
        <v>803.54</v>
      </c>
      <c r="H130" s="764">
        <f t="shared" si="15"/>
        <v>1398.4</v>
      </c>
      <c r="I130" s="765">
        <f t="shared" si="16"/>
        <v>1740.299176</v>
      </c>
      <c r="J130" s="765">
        <f t="shared" si="17"/>
        <v>1446.372</v>
      </c>
      <c r="K130" s="765">
        <f t="shared" si="18"/>
        <v>1285.664</v>
      </c>
      <c r="L130" s="759">
        <v>496.0</v>
      </c>
      <c r="M130" s="736">
        <v>306.0</v>
      </c>
      <c r="N130" s="630">
        <v>1568.0</v>
      </c>
      <c r="O130" s="630">
        <v>1717.0</v>
      </c>
      <c r="P130" s="754">
        <v>1270.0</v>
      </c>
      <c r="Q130" s="788">
        <f t="shared" si="19"/>
        <v>-0.09181922197</v>
      </c>
      <c r="R130" s="534"/>
      <c r="S130" s="534"/>
      <c r="T130" s="534"/>
      <c r="U130" s="534"/>
      <c r="V130" s="534"/>
      <c r="W130" s="534"/>
    </row>
    <row r="131">
      <c r="A131" s="755" t="str">
        <f t="shared" si="14"/>
        <v>40ELBOW 90°</v>
      </c>
      <c r="B131" s="759"/>
      <c r="C131" s="739" t="s">
        <v>4387</v>
      </c>
      <c r="D131" s="739">
        <v>40.0</v>
      </c>
      <c r="E131" s="743"/>
      <c r="F131" s="766" t="s">
        <v>4672</v>
      </c>
      <c r="G131" s="763">
        <v>84.44</v>
      </c>
      <c r="H131" s="764">
        <f t="shared" si="15"/>
        <v>150.1</v>
      </c>
      <c r="I131" s="765">
        <f t="shared" si="16"/>
        <v>1777.593558</v>
      </c>
      <c r="J131" s="765">
        <f t="shared" si="17"/>
        <v>151.992</v>
      </c>
      <c r="K131" s="765">
        <f t="shared" si="18"/>
        <v>135.104</v>
      </c>
      <c r="L131" s="759">
        <v>52.0</v>
      </c>
      <c r="M131" s="735"/>
      <c r="N131" s="630"/>
      <c r="O131" s="530"/>
      <c r="P131" s="754">
        <v>198.0</v>
      </c>
      <c r="Q131" s="788">
        <f t="shared" si="19"/>
        <v>0.3191205863</v>
      </c>
      <c r="R131" s="534"/>
      <c r="S131" s="534"/>
      <c r="T131" s="534"/>
      <c r="U131" s="534"/>
      <c r="V131" s="534"/>
      <c r="W131" s="534"/>
    </row>
    <row r="132">
      <c r="A132" s="755" t="str">
        <f t="shared" si="14"/>
        <v>50ELBOW 90°</v>
      </c>
      <c r="B132" s="759"/>
      <c r="C132" s="739" t="s">
        <v>4389</v>
      </c>
      <c r="D132" s="739">
        <v>50.0</v>
      </c>
      <c r="E132" s="743"/>
      <c r="F132" s="766" t="s">
        <v>4672</v>
      </c>
      <c r="G132" s="763">
        <v>123.9</v>
      </c>
      <c r="H132" s="764">
        <f t="shared" si="15"/>
        <v>222.3</v>
      </c>
      <c r="I132" s="765">
        <f t="shared" si="16"/>
        <v>1794.188862</v>
      </c>
      <c r="J132" s="765">
        <f t="shared" si="17"/>
        <v>223.02</v>
      </c>
      <c r="K132" s="765">
        <f t="shared" si="18"/>
        <v>198.24</v>
      </c>
      <c r="L132" s="759">
        <v>56.0</v>
      </c>
      <c r="M132" s="735"/>
      <c r="N132" s="630">
        <v>400.0</v>
      </c>
      <c r="O132" s="530"/>
      <c r="P132" s="754">
        <v>395.0</v>
      </c>
      <c r="Q132" s="788">
        <f t="shared" si="19"/>
        <v>0.7768780927</v>
      </c>
      <c r="R132" s="534"/>
      <c r="S132" s="534"/>
      <c r="T132" s="534"/>
      <c r="U132" s="534"/>
      <c r="V132" s="534"/>
      <c r="W132" s="534"/>
    </row>
    <row r="133">
      <c r="A133" s="755" t="str">
        <f t="shared" si="14"/>
        <v>75ELBOW 90°</v>
      </c>
      <c r="B133" s="759"/>
      <c r="C133" s="739" t="s">
        <v>4390</v>
      </c>
      <c r="D133" s="739">
        <v>75.0</v>
      </c>
      <c r="E133" s="743"/>
      <c r="F133" s="766" t="s">
        <v>4672</v>
      </c>
      <c r="G133" s="763">
        <v>223.72</v>
      </c>
      <c r="H133" s="764">
        <f t="shared" si="15"/>
        <v>379.24</v>
      </c>
      <c r="I133" s="765">
        <f t="shared" si="16"/>
        <v>1695.154658</v>
      </c>
      <c r="J133" s="765">
        <f t="shared" si="17"/>
        <v>402.696</v>
      </c>
      <c r="K133" s="765">
        <f t="shared" si="18"/>
        <v>357.952</v>
      </c>
      <c r="L133" s="759">
        <v>136.0</v>
      </c>
      <c r="M133" s="736">
        <v>88.0</v>
      </c>
      <c r="N133" s="630">
        <v>546.0</v>
      </c>
      <c r="O133" s="530"/>
      <c r="P133" s="754">
        <v>580.0</v>
      </c>
      <c r="Q133" s="788">
        <f t="shared" si="19"/>
        <v>0.5293745386</v>
      </c>
      <c r="R133" s="534"/>
      <c r="S133" s="534"/>
      <c r="T133" s="534"/>
      <c r="U133" s="534"/>
      <c r="V133" s="534"/>
      <c r="W133" s="534"/>
    </row>
    <row r="134">
      <c r="A134" s="755" t="str">
        <f t="shared" si="14"/>
        <v>110ELBOW 90°</v>
      </c>
      <c r="B134" s="759"/>
      <c r="C134" s="739" t="s">
        <v>4391</v>
      </c>
      <c r="D134" s="739">
        <v>110.0</v>
      </c>
      <c r="E134" s="743"/>
      <c r="F134" s="766" t="s">
        <v>4672</v>
      </c>
      <c r="G134" s="763">
        <v>617.64</v>
      </c>
      <c r="H134" s="764">
        <f t="shared" si="15"/>
        <v>1088.7</v>
      </c>
      <c r="I134" s="765">
        <f t="shared" si="16"/>
        <v>1762.677288</v>
      </c>
      <c r="J134" s="765">
        <f t="shared" si="17"/>
        <v>1111.752</v>
      </c>
      <c r="K134" s="765">
        <f t="shared" si="18"/>
        <v>988.224</v>
      </c>
      <c r="L134" s="759">
        <v>268.0</v>
      </c>
      <c r="M134" s="736">
        <v>188.0</v>
      </c>
      <c r="N134" s="630">
        <v>828.0</v>
      </c>
      <c r="O134" s="530"/>
      <c r="P134" s="754">
        <v>792.0</v>
      </c>
      <c r="Q134" s="788">
        <f t="shared" si="19"/>
        <v>-0.2725268669</v>
      </c>
      <c r="R134" s="534"/>
      <c r="S134" s="534"/>
      <c r="T134" s="534"/>
      <c r="U134" s="534"/>
      <c r="V134" s="534"/>
      <c r="W134" s="534"/>
    </row>
    <row r="135">
      <c r="A135" s="755" t="str">
        <f t="shared" si="14"/>
        <v>160ELBOW 90°</v>
      </c>
      <c r="B135" s="759"/>
      <c r="C135" s="739" t="s">
        <v>4392</v>
      </c>
      <c r="D135" s="739">
        <v>160.0</v>
      </c>
      <c r="E135" s="743"/>
      <c r="F135" s="766" t="s">
        <v>4672</v>
      </c>
      <c r="G135" s="763">
        <v>1235.11</v>
      </c>
      <c r="H135" s="764">
        <f t="shared" si="15"/>
        <v>2059.6</v>
      </c>
      <c r="I135" s="765">
        <f t="shared" si="16"/>
        <v>1667.543782</v>
      </c>
      <c r="J135" s="765">
        <f t="shared" si="17"/>
        <v>2223.198</v>
      </c>
      <c r="K135" s="765">
        <f t="shared" si="18"/>
        <v>1976.176</v>
      </c>
      <c r="L135" s="759">
        <v>618.0</v>
      </c>
      <c r="M135" s="736">
        <v>478.0</v>
      </c>
      <c r="N135" s="630">
        <v>2130.0</v>
      </c>
      <c r="O135" s="530"/>
      <c r="P135" s="754">
        <v>1440.0</v>
      </c>
      <c r="Q135" s="788">
        <f t="shared" si="19"/>
        <v>-0.3008351136</v>
      </c>
      <c r="R135" s="534"/>
      <c r="S135" s="534"/>
      <c r="T135" s="534"/>
      <c r="U135" s="534"/>
      <c r="V135" s="534"/>
      <c r="W135" s="534"/>
    </row>
    <row r="136">
      <c r="A136" s="755" t="str">
        <f t="shared" si="14"/>
        <v>40ELBOW 45°</v>
      </c>
      <c r="B136" s="759"/>
      <c r="C136" s="739" t="s">
        <v>4393</v>
      </c>
      <c r="D136" s="739">
        <v>40.0</v>
      </c>
      <c r="E136" s="743"/>
      <c r="F136" s="766" t="s">
        <v>4673</v>
      </c>
      <c r="G136" s="763">
        <v>75.59</v>
      </c>
      <c r="H136" s="764">
        <f t="shared" si="15"/>
        <v>146.3</v>
      </c>
      <c r="I136" s="765">
        <f t="shared" si="16"/>
        <v>1935.441196</v>
      </c>
      <c r="J136" s="765">
        <f t="shared" si="17"/>
        <v>136.062</v>
      </c>
      <c r="K136" s="765">
        <f t="shared" si="18"/>
        <v>120.944</v>
      </c>
      <c r="L136" s="759">
        <v>48.0</v>
      </c>
      <c r="M136" s="735"/>
      <c r="N136" s="530"/>
      <c r="O136" s="630">
        <v>82.0</v>
      </c>
      <c r="P136" s="754">
        <v>198.0</v>
      </c>
      <c r="Q136" s="788">
        <f t="shared" si="19"/>
        <v>0.3533834586</v>
      </c>
      <c r="R136" s="534"/>
      <c r="S136" s="534"/>
      <c r="T136" s="534"/>
      <c r="U136" s="534"/>
      <c r="V136" s="534"/>
      <c r="W136" s="534"/>
    </row>
    <row r="137">
      <c r="A137" s="755" t="str">
        <f t="shared" si="14"/>
        <v>50ELBOW 45°</v>
      </c>
      <c r="B137" s="759"/>
      <c r="C137" s="739" t="s">
        <v>4395</v>
      </c>
      <c r="D137" s="739">
        <v>50.0</v>
      </c>
      <c r="E137" s="743"/>
      <c r="F137" s="766" t="s">
        <v>4673</v>
      </c>
      <c r="G137" s="763">
        <v>108.68</v>
      </c>
      <c r="H137" s="764">
        <f t="shared" si="15"/>
        <v>176.7</v>
      </c>
      <c r="I137" s="765">
        <f t="shared" si="16"/>
        <v>1625.874126</v>
      </c>
      <c r="J137" s="765">
        <f t="shared" si="17"/>
        <v>195.624</v>
      </c>
      <c r="K137" s="765">
        <f t="shared" si="18"/>
        <v>173.888</v>
      </c>
      <c r="L137" s="759">
        <v>50.0</v>
      </c>
      <c r="M137" s="735"/>
      <c r="N137" s="630">
        <v>364.0</v>
      </c>
      <c r="O137" s="630">
        <v>122.0</v>
      </c>
      <c r="P137" s="754">
        <v>400.0</v>
      </c>
      <c r="Q137" s="788">
        <f t="shared" si="19"/>
        <v>1.263723826</v>
      </c>
      <c r="R137" s="534"/>
      <c r="S137" s="534"/>
      <c r="T137" s="534"/>
      <c r="U137" s="534"/>
      <c r="V137" s="534"/>
      <c r="W137" s="534"/>
    </row>
    <row r="138">
      <c r="A138" s="755" t="str">
        <f t="shared" si="14"/>
        <v>75ELBOW 45°</v>
      </c>
      <c r="B138" s="759"/>
      <c r="C138" s="739" t="s">
        <v>4396</v>
      </c>
      <c r="D138" s="739">
        <v>75.0</v>
      </c>
      <c r="E138" s="743"/>
      <c r="F138" s="766" t="s">
        <v>4673</v>
      </c>
      <c r="G138" s="763">
        <v>185.66</v>
      </c>
      <c r="H138" s="764">
        <f t="shared" si="15"/>
        <v>366.7</v>
      </c>
      <c r="I138" s="765">
        <f t="shared" si="16"/>
        <v>1975.115803</v>
      </c>
      <c r="J138" s="765">
        <f t="shared" si="17"/>
        <v>334.188</v>
      </c>
      <c r="K138" s="765">
        <f t="shared" si="18"/>
        <v>297.056</v>
      </c>
      <c r="L138" s="759">
        <v>118.0</v>
      </c>
      <c r="M138" s="736">
        <v>72.7</v>
      </c>
      <c r="N138" s="630">
        <v>425.0</v>
      </c>
      <c r="O138" s="630">
        <v>205.0</v>
      </c>
      <c r="P138" s="754">
        <v>701.0</v>
      </c>
      <c r="Q138" s="788">
        <f t="shared" si="19"/>
        <v>0.911644396</v>
      </c>
      <c r="R138" s="534"/>
      <c r="S138" s="534"/>
      <c r="T138" s="534"/>
      <c r="U138" s="534"/>
      <c r="V138" s="534"/>
      <c r="W138" s="534"/>
    </row>
    <row r="139">
      <c r="A139" s="755" t="str">
        <f t="shared" si="14"/>
        <v>110ELBOW 45°</v>
      </c>
      <c r="B139" s="759"/>
      <c r="C139" s="739" t="s">
        <v>4397</v>
      </c>
      <c r="D139" s="739">
        <v>110.0</v>
      </c>
      <c r="E139" s="743"/>
      <c r="F139" s="766" t="s">
        <v>4673</v>
      </c>
      <c r="G139" s="763">
        <v>494.9</v>
      </c>
      <c r="H139" s="764">
        <f t="shared" si="15"/>
        <v>944.3</v>
      </c>
      <c r="I139" s="765">
        <f t="shared" si="16"/>
        <v>1908.062235</v>
      </c>
      <c r="J139" s="765">
        <f t="shared" si="17"/>
        <v>890.82</v>
      </c>
      <c r="K139" s="765">
        <f t="shared" si="18"/>
        <v>791.84</v>
      </c>
      <c r="L139" s="759">
        <v>216.0</v>
      </c>
      <c r="M139" s="736">
        <v>152.8</v>
      </c>
      <c r="N139" s="630">
        <v>719.0</v>
      </c>
      <c r="O139" s="630">
        <v>641.0</v>
      </c>
      <c r="P139" s="754">
        <v>729.0</v>
      </c>
      <c r="Q139" s="788">
        <f t="shared" si="19"/>
        <v>-0.2279995764</v>
      </c>
      <c r="R139" s="534"/>
      <c r="S139" s="534"/>
      <c r="T139" s="534"/>
      <c r="U139" s="534"/>
      <c r="V139" s="534"/>
      <c r="W139" s="534"/>
    </row>
    <row r="140">
      <c r="A140" s="755" t="str">
        <f t="shared" si="14"/>
        <v>160ELBOW 45°</v>
      </c>
      <c r="B140" s="759"/>
      <c r="C140" s="739" t="s">
        <v>4398</v>
      </c>
      <c r="D140" s="739">
        <v>160.0</v>
      </c>
      <c r="E140" s="743"/>
      <c r="F140" s="766" t="s">
        <v>4673</v>
      </c>
      <c r="G140" s="763">
        <v>972.28</v>
      </c>
      <c r="H140" s="764">
        <f t="shared" si="15"/>
        <v>1856.3</v>
      </c>
      <c r="I140" s="765">
        <f t="shared" si="16"/>
        <v>1909.22368</v>
      </c>
      <c r="J140" s="765">
        <f t="shared" si="17"/>
        <v>1750.104</v>
      </c>
      <c r="K140" s="765">
        <f t="shared" si="18"/>
        <v>1555.648</v>
      </c>
      <c r="L140" s="759">
        <v>558.0</v>
      </c>
      <c r="M140" s="736">
        <v>370.0</v>
      </c>
      <c r="N140" s="630">
        <v>1936.0</v>
      </c>
      <c r="O140" s="630">
        <v>1202.0</v>
      </c>
      <c r="P140" s="754">
        <v>1192.0</v>
      </c>
      <c r="Q140" s="788">
        <f t="shared" si="19"/>
        <v>-0.3578624145</v>
      </c>
      <c r="R140" s="534"/>
      <c r="S140" s="534"/>
      <c r="T140" s="534"/>
      <c r="U140" s="534"/>
      <c r="V140" s="534"/>
      <c r="W140" s="534"/>
    </row>
    <row r="141">
      <c r="A141" s="755" t="str">
        <f t="shared" si="14"/>
        <v>40TEE</v>
      </c>
      <c r="B141" s="759"/>
      <c r="C141" s="739" t="s">
        <v>4399</v>
      </c>
      <c r="D141" s="739">
        <v>40.0</v>
      </c>
      <c r="E141" s="743"/>
      <c r="F141" s="766" t="s">
        <v>2998</v>
      </c>
      <c r="G141" s="763">
        <v>133.76</v>
      </c>
      <c r="H141" s="764">
        <f t="shared" si="15"/>
        <v>244.72</v>
      </c>
      <c r="I141" s="765">
        <f t="shared" si="16"/>
        <v>1829.545455</v>
      </c>
      <c r="J141" s="765">
        <f t="shared" si="17"/>
        <v>240.768</v>
      </c>
      <c r="K141" s="765">
        <f t="shared" si="18"/>
        <v>214.016</v>
      </c>
      <c r="L141" s="759">
        <v>68.0</v>
      </c>
      <c r="M141" s="735"/>
      <c r="N141" s="530"/>
      <c r="O141" s="630">
        <v>312.0</v>
      </c>
      <c r="P141" s="754">
        <v>502.0</v>
      </c>
      <c r="Q141" s="788">
        <f t="shared" si="19"/>
        <v>1.051323962</v>
      </c>
      <c r="R141" s="534"/>
      <c r="S141" s="534"/>
      <c r="T141" s="534"/>
      <c r="U141" s="534"/>
      <c r="V141" s="534"/>
      <c r="W141" s="534"/>
    </row>
    <row r="142">
      <c r="A142" s="755" t="str">
        <f t="shared" si="14"/>
        <v>50TEE</v>
      </c>
      <c r="B142" s="759"/>
      <c r="C142" s="739" t="s">
        <v>4401</v>
      </c>
      <c r="D142" s="739">
        <v>50.0</v>
      </c>
      <c r="E142" s="743"/>
      <c r="F142" s="766" t="s">
        <v>2998</v>
      </c>
      <c r="G142" s="763">
        <v>178.74</v>
      </c>
      <c r="H142" s="764">
        <f t="shared" si="15"/>
        <v>336.68</v>
      </c>
      <c r="I142" s="765">
        <f t="shared" si="16"/>
        <v>1883.629853</v>
      </c>
      <c r="J142" s="765">
        <f t="shared" si="17"/>
        <v>321.732</v>
      </c>
      <c r="K142" s="765">
        <f t="shared" si="18"/>
        <v>285.984</v>
      </c>
      <c r="L142" s="759">
        <v>82.0</v>
      </c>
      <c r="M142" s="735"/>
      <c r="N142" s="630">
        <v>888.0</v>
      </c>
      <c r="O142" s="630">
        <v>352.0</v>
      </c>
      <c r="P142" s="754">
        <v>538.0</v>
      </c>
      <c r="Q142" s="788">
        <f t="shared" si="19"/>
        <v>0.5979565166</v>
      </c>
      <c r="R142" s="534"/>
      <c r="S142" s="534"/>
      <c r="T142" s="534"/>
      <c r="U142" s="534"/>
      <c r="V142" s="534"/>
      <c r="W142" s="534"/>
    </row>
    <row r="143">
      <c r="A143" s="755" t="str">
        <f t="shared" si="14"/>
        <v>75TEE</v>
      </c>
      <c r="B143" s="759"/>
      <c r="C143" s="739" t="s">
        <v>4402</v>
      </c>
      <c r="D143" s="739">
        <v>75.0</v>
      </c>
      <c r="E143" s="743"/>
      <c r="F143" s="766" t="s">
        <v>2998</v>
      </c>
      <c r="G143" s="763">
        <v>304.88</v>
      </c>
      <c r="H143" s="764">
        <f t="shared" si="15"/>
        <v>565.44</v>
      </c>
      <c r="I143" s="765">
        <f t="shared" si="16"/>
        <v>1854.63133</v>
      </c>
      <c r="J143" s="765">
        <f t="shared" si="17"/>
        <v>548.784</v>
      </c>
      <c r="K143" s="765">
        <f t="shared" si="18"/>
        <v>487.808</v>
      </c>
      <c r="L143" s="759">
        <v>226.0</v>
      </c>
      <c r="M143" s="736">
        <v>121.0</v>
      </c>
      <c r="N143" s="630">
        <v>932.0</v>
      </c>
      <c r="O143" s="630">
        <v>781.0</v>
      </c>
      <c r="P143" s="754">
        <v>711.0</v>
      </c>
      <c r="Q143" s="788">
        <f t="shared" si="19"/>
        <v>0.2574278438</v>
      </c>
      <c r="R143" s="534"/>
      <c r="S143" s="534"/>
      <c r="T143" s="534"/>
      <c r="U143" s="534"/>
      <c r="V143" s="534"/>
      <c r="W143" s="534"/>
    </row>
    <row r="144">
      <c r="A144" s="755" t="str">
        <f t="shared" si="14"/>
        <v>110TEE</v>
      </c>
      <c r="B144" s="759"/>
      <c r="C144" s="739" t="s">
        <v>4333</v>
      </c>
      <c r="D144" s="739">
        <v>110.0</v>
      </c>
      <c r="E144" s="743"/>
      <c r="F144" s="766" t="s">
        <v>2998</v>
      </c>
      <c r="G144" s="763">
        <v>923.54</v>
      </c>
      <c r="H144" s="764">
        <f t="shared" si="15"/>
        <v>1702.4</v>
      </c>
      <c r="I144" s="765">
        <f t="shared" si="16"/>
        <v>1843.341923</v>
      </c>
      <c r="J144" s="765">
        <f t="shared" si="17"/>
        <v>1662.372</v>
      </c>
      <c r="K144" s="765">
        <f t="shared" si="18"/>
        <v>1477.664</v>
      </c>
      <c r="L144" s="759">
        <v>428.0</v>
      </c>
      <c r="M144" s="736">
        <v>248.0</v>
      </c>
      <c r="N144" s="630">
        <v>1283.0</v>
      </c>
      <c r="O144" s="630">
        <v>898.0</v>
      </c>
      <c r="P144" s="754">
        <v>1034.0</v>
      </c>
      <c r="Q144" s="788">
        <f t="shared" si="19"/>
        <v>-0.3926221805</v>
      </c>
      <c r="R144" s="534"/>
      <c r="S144" s="534"/>
      <c r="T144" s="534"/>
      <c r="U144" s="534"/>
      <c r="V144" s="534"/>
      <c r="W144" s="534"/>
    </row>
    <row r="145">
      <c r="A145" s="755" t="str">
        <f t="shared" si="14"/>
        <v>160TEE</v>
      </c>
      <c r="B145" s="759"/>
      <c r="C145" s="739" t="s">
        <v>4335</v>
      </c>
      <c r="D145" s="739">
        <v>160.0</v>
      </c>
      <c r="E145" s="743"/>
      <c r="F145" s="766" t="s">
        <v>2998</v>
      </c>
      <c r="G145" s="763">
        <v>1745.49</v>
      </c>
      <c r="H145" s="764">
        <f t="shared" si="15"/>
        <v>3024.8</v>
      </c>
      <c r="I145" s="765">
        <f t="shared" si="16"/>
        <v>1732.923133</v>
      </c>
      <c r="J145" s="765">
        <f t="shared" si="17"/>
        <v>3141.882</v>
      </c>
      <c r="K145" s="765">
        <f t="shared" si="18"/>
        <v>2792.784</v>
      </c>
      <c r="L145" s="759">
        <v>890.0</v>
      </c>
      <c r="M145" s="736">
        <v>632.0</v>
      </c>
      <c r="N145" s="630">
        <v>2056.0</v>
      </c>
      <c r="O145" s="630">
        <v>3122.0</v>
      </c>
      <c r="P145" s="754">
        <v>3003.0</v>
      </c>
      <c r="Q145" s="788">
        <f t="shared" si="19"/>
        <v>-0.007207088072</v>
      </c>
      <c r="R145" s="534"/>
      <c r="S145" s="534"/>
      <c r="T145" s="534"/>
      <c r="U145" s="534"/>
      <c r="V145" s="534"/>
      <c r="W145" s="534"/>
    </row>
    <row r="146">
      <c r="A146" s="755" t="str">
        <f t="shared" si="14"/>
        <v>110SWEEP TEE</v>
      </c>
      <c r="B146" s="759"/>
      <c r="C146" s="739"/>
      <c r="D146" s="739">
        <v>110.0</v>
      </c>
      <c r="E146" s="743"/>
      <c r="F146" s="766" t="s">
        <v>4675</v>
      </c>
      <c r="G146" s="763">
        <v>1000.0</v>
      </c>
      <c r="H146" s="764">
        <f t="shared" si="15"/>
        <v>1884.8</v>
      </c>
      <c r="I146" s="765">
        <f t="shared" si="16"/>
        <v>1884.8</v>
      </c>
      <c r="J146" s="765">
        <f t="shared" si="17"/>
        <v>1800</v>
      </c>
      <c r="K146" s="765">
        <f t="shared" si="18"/>
        <v>1600</v>
      </c>
      <c r="L146" s="759"/>
      <c r="M146" s="736"/>
      <c r="N146" s="630"/>
      <c r="O146" s="530"/>
      <c r="P146" s="754"/>
      <c r="Q146" s="788">
        <f t="shared" si="19"/>
        <v>-1</v>
      </c>
      <c r="R146" s="534"/>
      <c r="S146" s="534"/>
      <c r="T146" s="534"/>
      <c r="U146" s="534"/>
      <c r="V146" s="534"/>
      <c r="W146" s="534"/>
    </row>
    <row r="147">
      <c r="A147" s="755" t="str">
        <f t="shared" si="14"/>
        <v>110X75SWEEP TEE</v>
      </c>
      <c r="B147" s="759"/>
      <c r="C147" s="739"/>
      <c r="D147" s="760" t="s">
        <v>4676</v>
      </c>
      <c r="E147" s="743"/>
      <c r="F147" s="766" t="s">
        <v>4675</v>
      </c>
      <c r="G147" s="763">
        <v>858.0</v>
      </c>
      <c r="H147" s="764">
        <f t="shared" si="15"/>
        <v>1656.8</v>
      </c>
      <c r="I147" s="765">
        <f t="shared" si="16"/>
        <v>1931.002331</v>
      </c>
      <c r="J147" s="765">
        <f t="shared" si="17"/>
        <v>1544.4</v>
      </c>
      <c r="K147" s="765">
        <f t="shared" si="18"/>
        <v>1372.8</v>
      </c>
      <c r="L147" s="759"/>
      <c r="M147" s="736"/>
      <c r="N147" s="630"/>
      <c r="O147" s="530"/>
      <c r="P147" s="754"/>
      <c r="Q147" s="788">
        <f t="shared" si="19"/>
        <v>-1</v>
      </c>
      <c r="R147" s="534"/>
      <c r="S147" s="534"/>
      <c r="T147" s="534"/>
      <c r="U147" s="534"/>
      <c r="V147" s="534"/>
      <c r="W147" s="534"/>
    </row>
    <row r="148">
      <c r="A148" s="755" t="str">
        <f t="shared" si="14"/>
        <v>40Y-TEE</v>
      </c>
      <c r="B148" s="759"/>
      <c r="C148" s="739" t="s">
        <v>4336</v>
      </c>
      <c r="D148" s="739">
        <v>40.0</v>
      </c>
      <c r="E148" s="743"/>
      <c r="F148" s="766" t="s">
        <v>4693</v>
      </c>
      <c r="G148" s="763">
        <v>147.61</v>
      </c>
      <c r="H148" s="764">
        <f t="shared" si="15"/>
        <v>297.92</v>
      </c>
      <c r="I148" s="765">
        <f t="shared" si="16"/>
        <v>2018.291444</v>
      </c>
      <c r="J148" s="765">
        <f t="shared" si="17"/>
        <v>265.698</v>
      </c>
      <c r="K148" s="765">
        <f t="shared" si="18"/>
        <v>236.176</v>
      </c>
      <c r="L148" s="759">
        <v>74.0</v>
      </c>
      <c r="M148" s="735"/>
      <c r="N148" s="530"/>
      <c r="O148" s="630">
        <v>274.0</v>
      </c>
      <c r="P148" s="754">
        <v>502.0</v>
      </c>
      <c r="Q148" s="788">
        <f t="shared" si="19"/>
        <v>0.6850161117</v>
      </c>
      <c r="R148" s="534"/>
      <c r="S148" s="534"/>
      <c r="T148" s="534"/>
      <c r="U148" s="534"/>
      <c r="V148" s="534"/>
      <c r="W148" s="534"/>
    </row>
    <row r="149">
      <c r="A149" s="755" t="str">
        <f t="shared" si="14"/>
        <v>50Y-TEE</v>
      </c>
      <c r="B149" s="759"/>
      <c r="C149" s="739" t="s">
        <v>4358</v>
      </c>
      <c r="D149" s="739">
        <v>50.0</v>
      </c>
      <c r="E149" s="743"/>
      <c r="F149" s="766" t="s">
        <v>4693</v>
      </c>
      <c r="G149" s="763">
        <v>214.8</v>
      </c>
      <c r="H149" s="764">
        <f t="shared" si="15"/>
        <v>417.24</v>
      </c>
      <c r="I149" s="765">
        <f t="shared" si="16"/>
        <v>1942.458101</v>
      </c>
      <c r="J149" s="765">
        <f t="shared" si="17"/>
        <v>386.64</v>
      </c>
      <c r="K149" s="765">
        <f t="shared" si="18"/>
        <v>343.68</v>
      </c>
      <c r="L149" s="759">
        <v>92.0</v>
      </c>
      <c r="M149" s="735"/>
      <c r="N149" s="630">
        <v>622.0</v>
      </c>
      <c r="O149" s="630">
        <v>390.0</v>
      </c>
      <c r="P149" s="754">
        <v>559.0</v>
      </c>
      <c r="Q149" s="788">
        <f t="shared" si="19"/>
        <v>0.3397564951</v>
      </c>
      <c r="R149" s="534"/>
      <c r="S149" s="534"/>
      <c r="T149" s="534"/>
      <c r="U149" s="534"/>
      <c r="V149" s="534"/>
      <c r="W149" s="534"/>
    </row>
    <row r="150">
      <c r="A150" s="755" t="str">
        <f t="shared" si="14"/>
        <v>75Y-TEE</v>
      </c>
      <c r="B150" s="759"/>
      <c r="C150" s="739" t="s">
        <v>4359</v>
      </c>
      <c r="D150" s="739">
        <v>75.0</v>
      </c>
      <c r="E150" s="743"/>
      <c r="F150" s="766" t="s">
        <v>4693</v>
      </c>
      <c r="G150" s="763">
        <v>395.29</v>
      </c>
      <c r="H150" s="764">
        <f t="shared" si="15"/>
        <v>753.92</v>
      </c>
      <c r="I150" s="765">
        <f t="shared" si="16"/>
        <v>1907.257963</v>
      </c>
      <c r="J150" s="765">
        <f t="shared" si="17"/>
        <v>711.522</v>
      </c>
      <c r="K150" s="765">
        <f t="shared" si="18"/>
        <v>632.464</v>
      </c>
      <c r="L150" s="759">
        <v>228.0</v>
      </c>
      <c r="M150" s="736">
        <v>152.2</v>
      </c>
      <c r="N150" s="630">
        <v>726.0</v>
      </c>
      <c r="O150" s="630">
        <v>698.0</v>
      </c>
      <c r="P150" s="754">
        <v>766.0</v>
      </c>
      <c r="Q150" s="788">
        <f t="shared" si="19"/>
        <v>0.0160229202</v>
      </c>
      <c r="R150" s="534"/>
      <c r="S150" s="534"/>
      <c r="T150" s="534"/>
      <c r="U150" s="534"/>
      <c r="V150" s="534"/>
      <c r="W150" s="534"/>
    </row>
    <row r="151">
      <c r="A151" s="755" t="str">
        <f t="shared" si="14"/>
        <v>110Y-TEE</v>
      </c>
      <c r="B151" s="759"/>
      <c r="C151" s="739" t="s">
        <v>4403</v>
      </c>
      <c r="D151" s="739">
        <v>110.0</v>
      </c>
      <c r="E151" s="743"/>
      <c r="F151" s="766" t="s">
        <v>4693</v>
      </c>
      <c r="G151" s="763">
        <v>1110.32</v>
      </c>
      <c r="H151" s="764">
        <f t="shared" si="15"/>
        <v>2082.4</v>
      </c>
      <c r="I151" s="765">
        <f t="shared" si="16"/>
        <v>1875.495353</v>
      </c>
      <c r="J151" s="765">
        <f t="shared" si="17"/>
        <v>1998.576</v>
      </c>
      <c r="K151" s="765">
        <f t="shared" si="18"/>
        <v>1776.512</v>
      </c>
      <c r="L151" s="759">
        <v>438.0</v>
      </c>
      <c r="M151" s="736">
        <v>314.2</v>
      </c>
      <c r="N151" s="630">
        <v>1345.0</v>
      </c>
      <c r="O151" s="630">
        <v>1183.0</v>
      </c>
      <c r="P151" s="754">
        <v>1237.0</v>
      </c>
      <c r="Q151" s="788">
        <f t="shared" si="19"/>
        <v>-0.4059738763</v>
      </c>
      <c r="R151" s="534"/>
      <c r="S151" s="534"/>
      <c r="T151" s="534"/>
      <c r="U151" s="534"/>
      <c r="V151" s="534"/>
      <c r="W151" s="534"/>
    </row>
    <row r="152">
      <c r="A152" s="755" t="str">
        <f t="shared" si="14"/>
        <v>160Y-TEE</v>
      </c>
      <c r="B152" s="759"/>
      <c r="C152" s="739" t="s">
        <v>4405</v>
      </c>
      <c r="D152" s="739">
        <v>160.0</v>
      </c>
      <c r="E152" s="743"/>
      <c r="F152" s="766" t="s">
        <v>4693</v>
      </c>
      <c r="G152" s="763">
        <v>2247.55</v>
      </c>
      <c r="H152" s="764">
        <f t="shared" si="15"/>
        <v>4499.2</v>
      </c>
      <c r="I152" s="765">
        <f t="shared" si="16"/>
        <v>2001.824209</v>
      </c>
      <c r="J152" s="765">
        <f t="shared" si="17"/>
        <v>4045.59</v>
      </c>
      <c r="K152" s="765">
        <f t="shared" si="18"/>
        <v>3596.08</v>
      </c>
      <c r="L152" s="759">
        <v>940.0</v>
      </c>
      <c r="M152" s="736">
        <v>929.2</v>
      </c>
      <c r="N152" s="630">
        <v>2994.0</v>
      </c>
      <c r="O152" s="630">
        <v>3653.0</v>
      </c>
      <c r="P152" s="754">
        <v>1984.0</v>
      </c>
      <c r="Q152" s="788">
        <f t="shared" si="19"/>
        <v>-0.5590327169</v>
      </c>
      <c r="R152" s="534"/>
      <c r="S152" s="534"/>
      <c r="T152" s="534"/>
      <c r="U152" s="534"/>
      <c r="V152" s="534"/>
      <c r="W152" s="534"/>
    </row>
    <row r="153">
      <c r="A153" s="755" t="str">
        <f t="shared" si="14"/>
        <v>110X50RED Y</v>
      </c>
      <c r="B153" s="759"/>
      <c r="C153" s="739"/>
      <c r="D153" s="739" t="s">
        <v>4678</v>
      </c>
      <c r="E153" s="743"/>
      <c r="F153" s="766" t="s">
        <v>4679</v>
      </c>
      <c r="G153" s="763">
        <v>763.0</v>
      </c>
      <c r="H153" s="764">
        <f t="shared" si="15"/>
        <v>1451.6</v>
      </c>
      <c r="I153" s="765">
        <f t="shared" si="16"/>
        <v>1902.49017</v>
      </c>
      <c r="J153" s="765">
        <f t="shared" si="17"/>
        <v>1373.4</v>
      </c>
      <c r="K153" s="765">
        <f t="shared" si="18"/>
        <v>1220.8</v>
      </c>
      <c r="L153" s="759"/>
      <c r="M153" s="736"/>
      <c r="N153" s="630"/>
      <c r="O153" s="530"/>
      <c r="P153" s="754"/>
      <c r="Q153" s="788">
        <f t="shared" si="19"/>
        <v>-1</v>
      </c>
      <c r="R153" s="534"/>
      <c r="S153" s="534"/>
      <c r="T153" s="534"/>
      <c r="U153" s="534"/>
      <c r="V153" s="534"/>
      <c r="W153" s="534"/>
    </row>
    <row r="154">
      <c r="A154" s="755" t="str">
        <f t="shared" si="14"/>
        <v>110X75RED Y</v>
      </c>
      <c r="B154" s="759"/>
      <c r="C154" s="739"/>
      <c r="D154" s="739" t="s">
        <v>4676</v>
      </c>
      <c r="E154" s="743"/>
      <c r="F154" s="766" t="s">
        <v>4679</v>
      </c>
      <c r="G154" s="763">
        <v>732.4</v>
      </c>
      <c r="H154" s="764">
        <f t="shared" si="15"/>
        <v>1474.4</v>
      </c>
      <c r="I154" s="765">
        <f t="shared" si="16"/>
        <v>2013.107591</v>
      </c>
      <c r="J154" s="765">
        <f t="shared" si="17"/>
        <v>1318.32</v>
      </c>
      <c r="K154" s="765">
        <f t="shared" si="18"/>
        <v>1171.84</v>
      </c>
      <c r="L154" s="759"/>
      <c r="M154" s="736"/>
      <c r="N154" s="630"/>
      <c r="O154" s="530"/>
      <c r="P154" s="754"/>
      <c r="Q154" s="788">
        <f t="shared" si="19"/>
        <v>-1</v>
      </c>
      <c r="R154" s="534"/>
      <c r="S154" s="534"/>
      <c r="T154" s="534"/>
      <c r="U154" s="534"/>
      <c r="V154" s="534"/>
      <c r="W154" s="534"/>
    </row>
    <row r="155">
      <c r="A155" s="755" t="str">
        <f t="shared" si="14"/>
        <v>160X110RED Y</v>
      </c>
      <c r="B155" s="759"/>
      <c r="C155" s="739"/>
      <c r="D155" s="739" t="s">
        <v>4680</v>
      </c>
      <c r="E155" s="743"/>
      <c r="F155" s="766" t="s">
        <v>4679</v>
      </c>
      <c r="G155" s="763">
        <v>1688.6</v>
      </c>
      <c r="H155" s="764">
        <f t="shared" si="15"/>
        <v>3359.2</v>
      </c>
      <c r="I155" s="765">
        <f t="shared" si="16"/>
        <v>1989.340282</v>
      </c>
      <c r="J155" s="765">
        <f t="shared" si="17"/>
        <v>3039.48</v>
      </c>
      <c r="K155" s="765">
        <f t="shared" si="18"/>
        <v>2701.76</v>
      </c>
      <c r="L155" s="759"/>
      <c r="M155" s="736"/>
      <c r="N155" s="630"/>
      <c r="O155" s="530"/>
      <c r="P155" s="754"/>
      <c r="Q155" s="788">
        <f t="shared" si="19"/>
        <v>-1</v>
      </c>
      <c r="R155" s="534"/>
      <c r="S155" s="534"/>
      <c r="T155" s="534"/>
      <c r="U155" s="534"/>
      <c r="V155" s="534"/>
      <c r="W155" s="534"/>
    </row>
    <row r="156">
      <c r="A156" s="755" t="str">
        <f t="shared" si="14"/>
        <v>110X75REDUCER BUSH</v>
      </c>
      <c r="B156" s="759"/>
      <c r="C156" s="739" t="s">
        <v>4406</v>
      </c>
      <c r="D156" s="739" t="s">
        <v>4676</v>
      </c>
      <c r="E156" s="743"/>
      <c r="F156" s="766" t="s">
        <v>4681</v>
      </c>
      <c r="G156" s="763"/>
      <c r="H156" s="764">
        <f t="shared" si="15"/>
        <v>0</v>
      </c>
      <c r="I156" s="765">
        <f t="shared" si="16"/>
        <v>0</v>
      </c>
      <c r="J156" s="765">
        <f t="shared" si="17"/>
        <v>0</v>
      </c>
      <c r="K156" s="765">
        <f t="shared" si="18"/>
        <v>0</v>
      </c>
      <c r="L156" s="759">
        <v>160.0</v>
      </c>
      <c r="M156" s="735"/>
      <c r="N156" s="530"/>
      <c r="O156" s="530"/>
      <c r="P156" s="758"/>
      <c r="Q156" s="788" t="str">
        <f t="shared" si="19"/>
        <v/>
      </c>
      <c r="R156" s="534"/>
      <c r="S156" s="534"/>
      <c r="T156" s="534"/>
      <c r="U156" s="534"/>
      <c r="V156" s="534"/>
      <c r="W156" s="534"/>
    </row>
    <row r="157">
      <c r="A157" s="755" t="str">
        <f t="shared" si="14"/>
        <v>160X110REDUCER BUSH</v>
      </c>
      <c r="B157" s="759"/>
      <c r="C157" s="739" t="s">
        <v>4408</v>
      </c>
      <c r="D157" s="739" t="s">
        <v>4680</v>
      </c>
      <c r="E157" s="743"/>
      <c r="F157" s="766" t="s">
        <v>4681</v>
      </c>
      <c r="G157" s="763"/>
      <c r="H157" s="764">
        <f t="shared" si="15"/>
        <v>0</v>
      </c>
      <c r="I157" s="765">
        <f t="shared" si="16"/>
        <v>0</v>
      </c>
      <c r="J157" s="765">
        <f t="shared" si="17"/>
        <v>0</v>
      </c>
      <c r="K157" s="765">
        <f t="shared" si="18"/>
        <v>0</v>
      </c>
      <c r="L157" s="759">
        <v>338.0</v>
      </c>
      <c r="M157" s="530"/>
      <c r="N157" s="530"/>
      <c r="O157" s="530"/>
      <c r="P157" s="758"/>
      <c r="Q157" s="788" t="str">
        <f t="shared" si="19"/>
        <v/>
      </c>
      <c r="R157" s="534"/>
      <c r="S157" s="534"/>
      <c r="T157" s="534"/>
      <c r="U157" s="534"/>
      <c r="V157" s="534"/>
      <c r="W157" s="534"/>
    </row>
    <row r="158">
      <c r="A158" s="755" t="str">
        <f t="shared" si="14"/>
        <v>160X75REDUCER BUSH</v>
      </c>
      <c r="B158" s="759"/>
      <c r="C158" s="739" t="s">
        <v>4409</v>
      </c>
      <c r="D158" s="739" t="s">
        <v>4684</v>
      </c>
      <c r="E158" s="743"/>
      <c r="F158" s="766" t="s">
        <v>4681</v>
      </c>
      <c r="G158" s="763"/>
      <c r="H158" s="764">
        <f t="shared" si="15"/>
        <v>0</v>
      </c>
      <c r="I158" s="765">
        <f t="shared" si="16"/>
        <v>0</v>
      </c>
      <c r="J158" s="765">
        <f t="shared" si="17"/>
        <v>0</v>
      </c>
      <c r="K158" s="765">
        <f t="shared" si="18"/>
        <v>0</v>
      </c>
      <c r="L158" s="759">
        <v>316.0</v>
      </c>
      <c r="M158" s="530"/>
      <c r="N158" s="530"/>
      <c r="O158" s="530"/>
      <c r="P158" s="758"/>
      <c r="Q158" s="788" t="str">
        <f t="shared" si="19"/>
        <v/>
      </c>
      <c r="R158" s="534"/>
      <c r="S158" s="534"/>
      <c r="T158" s="534"/>
      <c r="U158" s="534"/>
      <c r="V158" s="534"/>
      <c r="W158" s="534"/>
    </row>
    <row r="159">
      <c r="A159" s="755"/>
      <c r="B159" s="759"/>
      <c r="C159" s="739"/>
      <c r="D159" s="739"/>
      <c r="E159" s="743"/>
      <c r="F159" s="766"/>
      <c r="G159" s="763"/>
      <c r="H159" s="764">
        <f t="shared" si="15"/>
        <v>0</v>
      </c>
      <c r="I159" s="765"/>
      <c r="J159" s="765"/>
      <c r="K159" s="765"/>
      <c r="L159" s="759"/>
      <c r="M159" s="530"/>
      <c r="N159" s="530"/>
      <c r="O159" s="530"/>
      <c r="P159" s="758"/>
      <c r="Q159" s="788" t="str">
        <f t="shared" si="19"/>
        <v/>
      </c>
      <c r="R159" s="534"/>
      <c r="S159" s="534"/>
      <c r="T159" s="534"/>
      <c r="U159" s="534"/>
      <c r="V159" s="534"/>
      <c r="W159" s="534"/>
    </row>
    <row r="160">
      <c r="A160" s="755"/>
      <c r="B160" s="759"/>
      <c r="C160" s="739"/>
      <c r="D160" s="739"/>
      <c r="E160" s="743"/>
      <c r="F160" s="766"/>
      <c r="G160" s="763"/>
      <c r="H160" s="764">
        <f t="shared" si="15"/>
        <v>0</v>
      </c>
      <c r="I160" s="765"/>
      <c r="J160" s="765"/>
      <c r="K160" s="765"/>
      <c r="L160" s="759"/>
      <c r="M160" s="530"/>
      <c r="N160" s="530"/>
      <c r="O160" s="530"/>
      <c r="P160" s="758"/>
      <c r="Q160" s="788" t="str">
        <f t="shared" si="19"/>
        <v/>
      </c>
      <c r="R160" s="534"/>
      <c r="S160" s="534"/>
      <c r="T160" s="534"/>
      <c r="U160" s="534"/>
      <c r="V160" s="534"/>
      <c r="W160" s="534"/>
    </row>
    <row r="161">
      <c r="A161" s="755" t="str">
        <f t="shared" ref="A161:A175" si="20">D161&amp;F161</f>
        <v>110X75REDUCER TEE</v>
      </c>
      <c r="B161" s="759"/>
      <c r="C161" s="739" t="s">
        <v>4410</v>
      </c>
      <c r="D161" s="739" t="s">
        <v>4676</v>
      </c>
      <c r="E161" s="743"/>
      <c r="F161" s="766" t="s">
        <v>2271</v>
      </c>
      <c r="G161" s="763">
        <v>626.61</v>
      </c>
      <c r="H161" s="764">
        <f t="shared" si="15"/>
        <v>1231.2</v>
      </c>
      <c r="I161" s="765">
        <f t="shared" ref="I161:I175" si="21">IFERROR(H161/G161,"")*1000</f>
        <v>1964.858524</v>
      </c>
      <c r="J161" s="765">
        <f t="shared" ref="J161:J175" si="22">IFERROR(G161*$J$125,"")</f>
        <v>1127.898</v>
      </c>
      <c r="K161" s="765">
        <f t="shared" ref="K161:K175" si="23">IFERROR(G161*$K$125,"")</f>
        <v>1002.576</v>
      </c>
      <c r="L161" s="759">
        <v>554.0</v>
      </c>
      <c r="M161" s="530"/>
      <c r="N161" s="530"/>
      <c r="O161" s="530"/>
      <c r="P161" s="758"/>
      <c r="Q161" s="788">
        <f t="shared" si="19"/>
        <v>-1</v>
      </c>
      <c r="R161" s="534"/>
      <c r="S161" s="534"/>
      <c r="T161" s="534"/>
      <c r="U161" s="534"/>
      <c r="V161" s="534"/>
      <c r="W161" s="534"/>
    </row>
    <row r="162">
      <c r="A162" s="755" t="str">
        <f t="shared" si="20"/>
        <v>160X110REDUCER TEE</v>
      </c>
      <c r="B162" s="759"/>
      <c r="C162" s="739" t="s">
        <v>4412</v>
      </c>
      <c r="D162" s="739" t="s">
        <v>4680</v>
      </c>
      <c r="E162" s="743"/>
      <c r="F162" s="766" t="s">
        <v>2271</v>
      </c>
      <c r="G162" s="763">
        <v>1262.53</v>
      </c>
      <c r="H162" s="764">
        <f t="shared" si="15"/>
        <v>2424.4</v>
      </c>
      <c r="I162" s="765">
        <f t="shared" si="21"/>
        <v>1920.271201</v>
      </c>
      <c r="J162" s="765">
        <f t="shared" si="22"/>
        <v>2272.554</v>
      </c>
      <c r="K162" s="765">
        <f t="shared" si="23"/>
        <v>2020.048</v>
      </c>
      <c r="L162" s="759">
        <v>896.0</v>
      </c>
      <c r="M162" s="530"/>
      <c r="N162" s="530"/>
      <c r="O162" s="530"/>
      <c r="P162" s="758"/>
      <c r="Q162" s="788">
        <f t="shared" si="19"/>
        <v>-1</v>
      </c>
      <c r="R162" s="534"/>
      <c r="S162" s="534"/>
      <c r="T162" s="534"/>
      <c r="U162" s="534"/>
      <c r="V162" s="534"/>
      <c r="W162" s="534"/>
    </row>
    <row r="163">
      <c r="A163" s="755" t="str">
        <f t="shared" si="20"/>
        <v>160X75REDUCER TEE</v>
      </c>
      <c r="B163" s="759"/>
      <c r="C163" s="739" t="s">
        <v>4413</v>
      </c>
      <c r="D163" s="739" t="s">
        <v>4684</v>
      </c>
      <c r="E163" s="743"/>
      <c r="F163" s="766" t="s">
        <v>2271</v>
      </c>
      <c r="G163" s="763">
        <v>1038.2</v>
      </c>
      <c r="H163" s="764">
        <f t="shared" si="15"/>
        <v>2044.4</v>
      </c>
      <c r="I163" s="765">
        <f t="shared" si="21"/>
        <v>1969.177422</v>
      </c>
      <c r="J163" s="765">
        <f t="shared" si="22"/>
        <v>1868.76</v>
      </c>
      <c r="K163" s="765">
        <f t="shared" si="23"/>
        <v>1661.12</v>
      </c>
      <c r="L163" s="759">
        <v>816.0</v>
      </c>
      <c r="M163" s="530"/>
      <c r="N163" s="530"/>
      <c r="O163" s="530"/>
      <c r="P163" s="758"/>
      <c r="Q163" s="788">
        <f t="shared" si="19"/>
        <v>-1</v>
      </c>
      <c r="R163" s="534"/>
      <c r="S163" s="534"/>
      <c r="T163" s="534"/>
      <c r="U163" s="534"/>
      <c r="V163" s="534"/>
      <c r="W163" s="534"/>
    </row>
    <row r="164">
      <c r="A164" s="755" t="str">
        <f t="shared" si="20"/>
        <v>50X40REDUCER COUPLER</v>
      </c>
      <c r="B164" s="759"/>
      <c r="C164" s="739"/>
      <c r="D164" s="739" t="s">
        <v>4682</v>
      </c>
      <c r="E164" s="743"/>
      <c r="F164" s="766" t="s">
        <v>2308</v>
      </c>
      <c r="G164" s="763">
        <v>87.1</v>
      </c>
      <c r="H164" s="764">
        <f t="shared" si="15"/>
        <v>168.72</v>
      </c>
      <c r="I164" s="765">
        <f t="shared" si="21"/>
        <v>1937.083812</v>
      </c>
      <c r="J164" s="765">
        <f t="shared" si="22"/>
        <v>156.78</v>
      </c>
      <c r="K164" s="765">
        <f t="shared" si="23"/>
        <v>139.36</v>
      </c>
      <c r="L164" s="759"/>
      <c r="M164" s="530"/>
      <c r="N164" s="530"/>
      <c r="O164" s="530"/>
      <c r="P164" s="758"/>
      <c r="Q164" s="788">
        <f t="shared" si="19"/>
        <v>-1</v>
      </c>
      <c r="R164" s="534"/>
      <c r="S164" s="534"/>
      <c r="T164" s="534"/>
      <c r="U164" s="534"/>
      <c r="V164" s="534"/>
      <c r="W164" s="534"/>
    </row>
    <row r="165">
      <c r="A165" s="755" t="str">
        <f t="shared" si="20"/>
        <v>75X40REDUCER COUPLER</v>
      </c>
      <c r="B165" s="759"/>
      <c r="C165" s="739"/>
      <c r="D165" s="739" t="s">
        <v>4685</v>
      </c>
      <c r="E165" s="743"/>
      <c r="F165" s="766" t="s">
        <v>2308</v>
      </c>
      <c r="G165" s="763">
        <v>131.55</v>
      </c>
      <c r="H165" s="764">
        <f t="shared" si="15"/>
        <v>259.16</v>
      </c>
      <c r="I165" s="765">
        <f t="shared" si="21"/>
        <v>1970.049411</v>
      </c>
      <c r="J165" s="765">
        <f t="shared" si="22"/>
        <v>236.79</v>
      </c>
      <c r="K165" s="765">
        <f t="shared" si="23"/>
        <v>210.48</v>
      </c>
      <c r="L165" s="759"/>
      <c r="M165" s="530"/>
      <c r="N165" s="530"/>
      <c r="O165" s="530"/>
      <c r="P165" s="758"/>
      <c r="Q165" s="788">
        <f t="shared" si="19"/>
        <v>-1</v>
      </c>
      <c r="R165" s="534"/>
      <c r="S165" s="534"/>
      <c r="T165" s="534"/>
      <c r="U165" s="534"/>
      <c r="V165" s="534"/>
      <c r="W165" s="534"/>
    </row>
    <row r="166">
      <c r="A166" s="755" t="str">
        <f t="shared" si="20"/>
        <v>110X75REDUCER COUPLER</v>
      </c>
      <c r="B166" s="759"/>
      <c r="C166" s="739"/>
      <c r="D166" s="739" t="s">
        <v>4676</v>
      </c>
      <c r="E166" s="743"/>
      <c r="F166" s="766" t="s">
        <v>2308</v>
      </c>
      <c r="G166" s="763">
        <v>311.87</v>
      </c>
      <c r="H166" s="764">
        <f t="shared" si="15"/>
        <v>624.72</v>
      </c>
      <c r="I166" s="765">
        <f t="shared" si="21"/>
        <v>2003.142335</v>
      </c>
      <c r="J166" s="765">
        <f t="shared" si="22"/>
        <v>561.366</v>
      </c>
      <c r="K166" s="765">
        <f t="shared" si="23"/>
        <v>498.992</v>
      </c>
      <c r="L166" s="759"/>
      <c r="M166" s="530"/>
      <c r="N166" s="530"/>
      <c r="O166" s="530"/>
      <c r="P166" s="758"/>
      <c r="Q166" s="788">
        <f t="shared" si="19"/>
        <v>-1</v>
      </c>
      <c r="R166" s="534"/>
      <c r="S166" s="534"/>
      <c r="T166" s="534"/>
      <c r="U166" s="534"/>
      <c r="V166" s="534"/>
      <c r="W166" s="534"/>
    </row>
    <row r="167">
      <c r="A167" s="755" t="str">
        <f t="shared" si="20"/>
        <v>160X75REDUCER COUPLER</v>
      </c>
      <c r="B167" s="759"/>
      <c r="C167" s="739"/>
      <c r="D167" s="739" t="s">
        <v>4684</v>
      </c>
      <c r="E167" s="743"/>
      <c r="F167" s="766" t="s">
        <v>2308</v>
      </c>
      <c r="G167" s="763">
        <v>632.97</v>
      </c>
      <c r="H167" s="764">
        <f t="shared" si="15"/>
        <v>1232.72</v>
      </c>
      <c r="I167" s="765">
        <f t="shared" si="21"/>
        <v>1947.51726</v>
      </c>
      <c r="J167" s="765">
        <f t="shared" si="22"/>
        <v>1139.346</v>
      </c>
      <c r="K167" s="765">
        <f t="shared" si="23"/>
        <v>1012.752</v>
      </c>
      <c r="L167" s="759"/>
      <c r="M167" s="530"/>
      <c r="N167" s="530"/>
      <c r="O167" s="530"/>
      <c r="P167" s="758"/>
      <c r="Q167" s="788">
        <f t="shared" si="19"/>
        <v>-1</v>
      </c>
      <c r="R167" s="534"/>
      <c r="S167" s="534"/>
      <c r="T167" s="534"/>
      <c r="U167" s="534"/>
      <c r="V167" s="534"/>
      <c r="W167" s="534"/>
    </row>
    <row r="168">
      <c r="A168" s="755" t="str">
        <f t="shared" si="20"/>
        <v>160X110REDUCER COUPLER</v>
      </c>
      <c r="B168" s="759"/>
      <c r="C168" s="739"/>
      <c r="D168" s="739" t="s">
        <v>4680</v>
      </c>
      <c r="E168" s="743"/>
      <c r="F168" s="766" t="s">
        <v>2308</v>
      </c>
      <c r="G168" s="763">
        <v>678.73</v>
      </c>
      <c r="H168" s="764">
        <f t="shared" si="15"/>
        <v>1325.44</v>
      </c>
      <c r="I168" s="765">
        <f t="shared" si="21"/>
        <v>1952.823656</v>
      </c>
      <c r="J168" s="765">
        <f t="shared" si="22"/>
        <v>1221.714</v>
      </c>
      <c r="K168" s="765">
        <f t="shared" si="23"/>
        <v>1085.968</v>
      </c>
      <c r="L168" s="759"/>
      <c r="M168" s="530"/>
      <c r="N168" s="530"/>
      <c r="O168" s="530"/>
      <c r="P168" s="758"/>
      <c r="Q168" s="788">
        <f t="shared" si="19"/>
        <v>-1</v>
      </c>
      <c r="R168" s="534"/>
      <c r="S168" s="534"/>
      <c r="T168" s="534"/>
      <c r="U168" s="534"/>
      <c r="V168" s="534"/>
      <c r="W168" s="534"/>
    </row>
    <row r="169">
      <c r="A169" s="755" t="str">
        <f t="shared" si="20"/>
        <v>110X110NAHANI TRAP</v>
      </c>
      <c r="B169" s="759"/>
      <c r="C169" s="739" t="s">
        <v>4414</v>
      </c>
      <c r="D169" s="739" t="s">
        <v>4686</v>
      </c>
      <c r="E169" s="743"/>
      <c r="F169" s="766" t="s">
        <v>4687</v>
      </c>
      <c r="G169" s="763"/>
      <c r="H169" s="764"/>
      <c r="I169" s="765">
        <f t="shared" si="21"/>
        <v>0</v>
      </c>
      <c r="J169" s="765">
        <f t="shared" si="22"/>
        <v>0</v>
      </c>
      <c r="K169" s="765">
        <f t="shared" si="23"/>
        <v>0</v>
      </c>
      <c r="L169" s="759">
        <v>262.0</v>
      </c>
      <c r="M169" s="530"/>
      <c r="N169" s="530"/>
      <c r="O169" s="530"/>
      <c r="P169" s="758"/>
      <c r="Q169" s="788" t="str">
        <f t="shared" si="19"/>
        <v/>
      </c>
      <c r="R169" s="534"/>
      <c r="S169" s="534"/>
      <c r="T169" s="534"/>
      <c r="U169" s="534"/>
      <c r="V169" s="534"/>
      <c r="W169" s="534"/>
    </row>
    <row r="170">
      <c r="A170" s="755" t="str">
        <f t="shared" si="20"/>
        <v>110X75NAHANI TRAP</v>
      </c>
      <c r="B170" s="759"/>
      <c r="C170" s="739" t="s">
        <v>4416</v>
      </c>
      <c r="D170" s="739" t="s">
        <v>4676</v>
      </c>
      <c r="E170" s="743"/>
      <c r="F170" s="766" t="s">
        <v>4687</v>
      </c>
      <c r="G170" s="763"/>
      <c r="H170" s="764"/>
      <c r="I170" s="765">
        <f t="shared" si="21"/>
        <v>0</v>
      </c>
      <c r="J170" s="765">
        <f t="shared" si="22"/>
        <v>0</v>
      </c>
      <c r="K170" s="765">
        <f t="shared" si="23"/>
        <v>0</v>
      </c>
      <c r="L170" s="759">
        <v>208.0</v>
      </c>
      <c r="M170" s="530"/>
      <c r="N170" s="530"/>
      <c r="O170" s="530"/>
      <c r="P170" s="758"/>
      <c r="Q170" s="788" t="str">
        <f t="shared" si="19"/>
        <v/>
      </c>
      <c r="R170" s="534"/>
      <c r="S170" s="534"/>
      <c r="T170" s="534"/>
      <c r="U170" s="534"/>
      <c r="V170" s="534"/>
      <c r="W170" s="534"/>
    </row>
    <row r="171">
      <c r="A171" s="755" t="str">
        <f t="shared" si="20"/>
        <v>110X110P-TRAP</v>
      </c>
      <c r="B171" s="759"/>
      <c r="C171" s="739" t="s">
        <v>4417</v>
      </c>
      <c r="D171" s="739" t="s">
        <v>4686</v>
      </c>
      <c r="E171" s="743"/>
      <c r="F171" s="766" t="s">
        <v>4688</v>
      </c>
      <c r="G171" s="763"/>
      <c r="H171" s="764"/>
      <c r="I171" s="765">
        <f t="shared" si="21"/>
        <v>0</v>
      </c>
      <c r="J171" s="765">
        <f t="shared" si="22"/>
        <v>0</v>
      </c>
      <c r="K171" s="765">
        <f t="shared" si="23"/>
        <v>0</v>
      </c>
      <c r="L171" s="759">
        <v>590.0</v>
      </c>
      <c r="M171" s="630">
        <v>351.4</v>
      </c>
      <c r="N171" s="530"/>
      <c r="O171" s="530"/>
      <c r="P171" s="758"/>
      <c r="Q171" s="788" t="str">
        <f t="shared" si="19"/>
        <v/>
      </c>
      <c r="R171" s="534"/>
      <c r="S171" s="534"/>
      <c r="T171" s="534"/>
      <c r="U171" s="534"/>
      <c r="V171" s="534"/>
      <c r="W171" s="534"/>
    </row>
    <row r="172">
      <c r="A172" s="755" t="str">
        <f t="shared" si="20"/>
        <v>125X110P-TRAP</v>
      </c>
      <c r="B172" s="759"/>
      <c r="C172" s="739" t="s">
        <v>4419</v>
      </c>
      <c r="D172" s="739" t="s">
        <v>4689</v>
      </c>
      <c r="E172" s="743"/>
      <c r="F172" s="766" t="s">
        <v>4688</v>
      </c>
      <c r="G172" s="763"/>
      <c r="H172" s="764"/>
      <c r="I172" s="765">
        <f t="shared" si="21"/>
        <v>0</v>
      </c>
      <c r="J172" s="765">
        <f t="shared" si="22"/>
        <v>0</v>
      </c>
      <c r="K172" s="765">
        <f t="shared" si="23"/>
        <v>0</v>
      </c>
      <c r="L172" s="759">
        <v>630.0</v>
      </c>
      <c r="M172" s="630">
        <v>398.4</v>
      </c>
      <c r="N172" s="530"/>
      <c r="O172" s="530"/>
      <c r="P172" s="758"/>
      <c r="Q172" s="788" t="str">
        <f t="shared" si="19"/>
        <v/>
      </c>
      <c r="R172" s="534"/>
      <c r="S172" s="534"/>
      <c r="T172" s="534"/>
      <c r="U172" s="534"/>
      <c r="V172" s="534"/>
      <c r="W172" s="534"/>
    </row>
    <row r="173">
      <c r="A173" s="755" t="str">
        <f t="shared" si="20"/>
        <v>75SOCKET PLUG WITH LOCK</v>
      </c>
      <c r="B173" s="759"/>
      <c r="C173" s="739" t="s">
        <v>4420</v>
      </c>
      <c r="D173" s="739">
        <v>75.0</v>
      </c>
      <c r="E173" s="743"/>
      <c r="F173" s="790" t="s">
        <v>4690</v>
      </c>
      <c r="G173" s="763"/>
      <c r="H173" s="764"/>
      <c r="I173" s="765">
        <f t="shared" si="21"/>
        <v>0</v>
      </c>
      <c r="J173" s="765">
        <f t="shared" si="22"/>
        <v>0</v>
      </c>
      <c r="K173" s="765">
        <f t="shared" si="23"/>
        <v>0</v>
      </c>
      <c r="L173" s="759">
        <v>158.0</v>
      </c>
      <c r="M173" s="530"/>
      <c r="N173" s="530"/>
      <c r="O173" s="530"/>
      <c r="P173" s="758"/>
      <c r="Q173" s="788" t="str">
        <f t="shared" si="19"/>
        <v/>
      </c>
      <c r="R173" s="534"/>
      <c r="S173" s="534"/>
      <c r="T173" s="534"/>
      <c r="U173" s="534"/>
      <c r="V173" s="534"/>
      <c r="W173" s="534"/>
    </row>
    <row r="174">
      <c r="A174" s="755" t="str">
        <f t="shared" si="20"/>
        <v>110SOCKET PLUG WITH LOCK</v>
      </c>
      <c r="B174" s="759"/>
      <c r="C174" s="739" t="s">
        <v>4422</v>
      </c>
      <c r="D174" s="739">
        <v>110.0</v>
      </c>
      <c r="E174" s="743"/>
      <c r="F174" s="790" t="s">
        <v>4690</v>
      </c>
      <c r="G174" s="763"/>
      <c r="H174" s="764"/>
      <c r="I174" s="765">
        <f t="shared" si="21"/>
        <v>0</v>
      </c>
      <c r="J174" s="765">
        <f t="shared" si="22"/>
        <v>0</v>
      </c>
      <c r="K174" s="765">
        <f t="shared" si="23"/>
        <v>0</v>
      </c>
      <c r="L174" s="759">
        <v>284.0</v>
      </c>
      <c r="M174" s="530"/>
      <c r="N174" s="530"/>
      <c r="O174" s="530"/>
      <c r="P174" s="758"/>
      <c r="Q174" s="788" t="str">
        <f t="shared" si="19"/>
        <v/>
      </c>
      <c r="R174" s="534"/>
      <c r="S174" s="534"/>
      <c r="T174" s="534"/>
      <c r="U174" s="534"/>
      <c r="V174" s="534"/>
      <c r="W174" s="534"/>
    </row>
    <row r="175">
      <c r="A175" s="755" t="str">
        <f t="shared" si="20"/>
        <v>160SOCKET PLUG</v>
      </c>
      <c r="B175" s="534"/>
      <c r="C175" s="739" t="s">
        <v>4423</v>
      </c>
      <c r="D175" s="737">
        <v>160.0</v>
      </c>
      <c r="E175" s="744"/>
      <c r="F175" s="791" t="s">
        <v>4691</v>
      </c>
      <c r="G175" s="763"/>
      <c r="H175" s="764"/>
      <c r="I175" s="765">
        <f t="shared" si="21"/>
        <v>0</v>
      </c>
      <c r="J175" s="765">
        <f t="shared" si="22"/>
        <v>0</v>
      </c>
      <c r="K175" s="765">
        <f t="shared" si="23"/>
        <v>0</v>
      </c>
      <c r="L175" s="759">
        <v>628.0</v>
      </c>
      <c r="M175" s="630">
        <v>78.0</v>
      </c>
      <c r="N175" s="530"/>
      <c r="O175" s="530"/>
      <c r="P175" s="758"/>
      <c r="Q175" s="788" t="str">
        <f t="shared" si="19"/>
        <v/>
      </c>
      <c r="R175" s="534"/>
      <c r="S175" s="534"/>
      <c r="T175" s="534"/>
      <c r="U175" s="534"/>
      <c r="V175" s="534"/>
      <c r="W175" s="534"/>
    </row>
    <row r="176">
      <c r="A176" s="755"/>
      <c r="B176" s="534"/>
      <c r="C176" s="534"/>
      <c r="D176" s="792"/>
      <c r="E176" s="793"/>
      <c r="F176" s="794"/>
      <c r="G176" s="795"/>
      <c r="H176" s="796"/>
      <c r="I176" s="797"/>
      <c r="J176" s="797"/>
      <c r="K176" s="797"/>
      <c r="L176" s="759"/>
      <c r="M176" s="630"/>
      <c r="N176" s="530"/>
      <c r="O176" s="530"/>
      <c r="P176" s="758"/>
      <c r="Q176" s="534"/>
      <c r="R176" s="534"/>
      <c r="S176" s="534"/>
      <c r="T176" s="534"/>
      <c r="U176" s="534"/>
      <c r="V176" s="534"/>
      <c r="W176" s="534"/>
    </row>
    <row r="177">
      <c r="A177" s="755"/>
      <c r="B177" s="534"/>
      <c r="C177" s="534"/>
      <c r="D177" s="798"/>
      <c r="E177" s="799"/>
      <c r="F177" s="800"/>
      <c r="G177" s="795"/>
      <c r="H177" s="796"/>
      <c r="I177" s="797"/>
      <c r="J177" s="797"/>
      <c r="K177" s="797"/>
      <c r="L177" s="759"/>
      <c r="M177" s="630"/>
      <c r="N177" s="530"/>
      <c r="O177" s="530"/>
      <c r="P177" s="758"/>
      <c r="Q177" s="534"/>
      <c r="R177" s="534"/>
      <c r="S177" s="534"/>
      <c r="T177" s="534"/>
      <c r="U177" s="534"/>
      <c r="V177" s="534"/>
      <c r="W177" s="534"/>
    </row>
    <row r="178">
      <c r="A178" s="755"/>
      <c r="B178" s="534"/>
      <c r="C178" s="534"/>
      <c r="D178" s="798"/>
      <c r="E178" s="799"/>
      <c r="F178" s="800"/>
      <c r="G178" s="795"/>
      <c r="H178" s="796"/>
      <c r="I178" s="797"/>
      <c r="J178" s="797"/>
      <c r="K178" s="797"/>
      <c r="L178" s="759"/>
      <c r="M178" s="630"/>
      <c r="N178" s="530"/>
      <c r="O178" s="530"/>
      <c r="P178" s="758"/>
      <c r="Q178" s="534"/>
      <c r="R178" s="534"/>
      <c r="S178" s="534"/>
      <c r="T178" s="534"/>
      <c r="U178" s="534"/>
      <c r="V178" s="534"/>
      <c r="W178" s="534"/>
    </row>
    <row r="179">
      <c r="A179" s="755"/>
      <c r="B179" s="534"/>
      <c r="C179" s="534"/>
      <c r="D179" s="798"/>
      <c r="E179" s="799"/>
      <c r="F179" s="800"/>
      <c r="G179" s="795"/>
      <c r="H179" s="796"/>
      <c r="I179" s="797"/>
      <c r="J179" s="797"/>
      <c r="K179" s="797"/>
      <c r="L179" s="759"/>
      <c r="M179" s="630"/>
      <c r="N179" s="530"/>
      <c r="O179" s="530"/>
      <c r="P179" s="758"/>
      <c r="Q179" s="534"/>
      <c r="R179" s="534"/>
      <c r="S179" s="534"/>
      <c r="T179" s="534"/>
      <c r="U179" s="534"/>
      <c r="V179" s="534"/>
      <c r="W179" s="534"/>
    </row>
    <row r="180">
      <c r="A180" s="755"/>
      <c r="B180" s="534"/>
      <c r="C180" s="534"/>
      <c r="D180" s="798"/>
      <c r="E180" s="799"/>
      <c r="F180" s="800"/>
      <c r="G180" s="795"/>
      <c r="H180" s="796"/>
      <c r="I180" s="797"/>
      <c r="J180" s="797"/>
      <c r="K180" s="797"/>
      <c r="L180" s="759"/>
      <c r="M180" s="630"/>
      <c r="N180" s="530"/>
      <c r="O180" s="530"/>
      <c r="P180" s="758"/>
      <c r="Q180" s="534"/>
      <c r="R180" s="534"/>
      <c r="S180" s="534"/>
      <c r="T180" s="534"/>
      <c r="U180" s="534"/>
      <c r="V180" s="534"/>
      <c r="W180" s="534"/>
    </row>
    <row r="181">
      <c r="A181" s="755"/>
      <c r="B181" s="534"/>
      <c r="C181" s="534"/>
      <c r="D181" s="798"/>
      <c r="E181" s="799"/>
      <c r="F181" s="800"/>
      <c r="G181" s="795"/>
      <c r="H181" s="796"/>
      <c r="I181" s="797"/>
      <c r="J181" s="797"/>
      <c r="K181" s="797"/>
      <c r="L181" s="759"/>
      <c r="M181" s="630"/>
      <c r="N181" s="530"/>
      <c r="O181" s="530"/>
      <c r="P181" s="758"/>
      <c r="Q181" s="534"/>
      <c r="R181" s="534"/>
      <c r="S181" s="534"/>
      <c r="T181" s="534"/>
      <c r="U181" s="534"/>
      <c r="V181" s="534"/>
      <c r="W181" s="534"/>
    </row>
    <row r="182">
      <c r="A182" s="755"/>
      <c r="B182" s="534"/>
      <c r="C182" s="534"/>
      <c r="D182" s="798"/>
      <c r="E182" s="799"/>
      <c r="F182" s="801"/>
      <c r="G182" s="795"/>
      <c r="H182" s="796"/>
      <c r="I182" s="797"/>
      <c r="J182" s="797"/>
      <c r="K182" s="797"/>
      <c r="L182" s="759"/>
      <c r="M182" s="630"/>
      <c r="N182" s="530"/>
      <c r="O182" s="530"/>
      <c r="P182" s="758"/>
      <c r="Q182" s="534"/>
      <c r="R182" s="534"/>
      <c r="S182" s="534"/>
      <c r="T182" s="534"/>
      <c r="U182" s="534"/>
      <c r="V182" s="534"/>
      <c r="W182" s="534"/>
    </row>
    <row r="183">
      <c r="A183" s="755"/>
      <c r="B183" s="534"/>
      <c r="C183" s="534"/>
      <c r="D183" s="798"/>
      <c r="E183" s="799"/>
      <c r="F183" s="801"/>
      <c r="G183" s="795"/>
      <c r="H183" s="796"/>
      <c r="I183" s="797"/>
      <c r="J183" s="797"/>
      <c r="K183" s="797"/>
      <c r="L183" s="759"/>
      <c r="M183" s="630"/>
      <c r="N183" s="530"/>
      <c r="O183" s="530"/>
      <c r="P183" s="758"/>
      <c r="Q183" s="534"/>
      <c r="R183" s="534"/>
      <c r="S183" s="534"/>
      <c r="T183" s="534"/>
      <c r="U183" s="534"/>
      <c r="V183" s="534"/>
      <c r="W183" s="534"/>
    </row>
    <row r="184">
      <c r="A184" s="755"/>
      <c r="B184" s="534"/>
      <c r="C184" s="534"/>
      <c r="D184" s="798"/>
      <c r="E184" s="799"/>
      <c r="F184" s="801"/>
      <c r="G184" s="795"/>
      <c r="H184" s="796"/>
      <c r="I184" s="797"/>
      <c r="J184" s="797"/>
      <c r="K184" s="797"/>
      <c r="L184" s="759"/>
      <c r="M184" s="630"/>
      <c r="N184" s="530"/>
      <c r="O184" s="530"/>
      <c r="P184" s="758"/>
      <c r="Q184" s="534"/>
      <c r="R184" s="534"/>
      <c r="S184" s="534"/>
      <c r="T184" s="534"/>
      <c r="U184" s="534"/>
      <c r="V184" s="534"/>
      <c r="W184" s="534"/>
    </row>
    <row r="185">
      <c r="A185" s="755"/>
      <c r="B185" s="534"/>
      <c r="C185" s="534"/>
      <c r="D185" s="798"/>
      <c r="E185" s="799"/>
      <c r="F185" s="801"/>
      <c r="G185" s="795"/>
      <c r="H185" s="796"/>
      <c r="I185" s="797"/>
      <c r="J185" s="797"/>
      <c r="K185" s="797"/>
      <c r="L185" s="759"/>
      <c r="M185" s="630"/>
      <c r="N185" s="530"/>
      <c r="O185" s="530"/>
      <c r="P185" s="758"/>
      <c r="Q185" s="534"/>
      <c r="R185" s="534"/>
      <c r="S185" s="534"/>
      <c r="T185" s="534"/>
      <c r="U185" s="534"/>
      <c r="V185" s="534"/>
      <c r="W185" s="534"/>
    </row>
    <row r="186">
      <c r="A186" s="755"/>
      <c r="B186" s="534"/>
      <c r="C186" s="534"/>
      <c r="D186" s="798"/>
      <c r="E186" s="799"/>
      <c r="F186" s="801"/>
      <c r="G186" s="795"/>
      <c r="H186" s="796"/>
      <c r="I186" s="797"/>
      <c r="J186" s="797"/>
      <c r="K186" s="797"/>
      <c r="L186" s="759"/>
      <c r="M186" s="630"/>
      <c r="N186" s="530"/>
      <c r="O186" s="530"/>
      <c r="P186" s="758"/>
      <c r="Q186" s="534"/>
      <c r="R186" s="534"/>
      <c r="S186" s="534"/>
      <c r="T186" s="534"/>
      <c r="U186" s="534"/>
      <c r="V186" s="534"/>
      <c r="W186" s="534"/>
    </row>
    <row r="187">
      <c r="A187" s="755"/>
      <c r="B187" s="534"/>
      <c r="C187" s="534"/>
      <c r="D187" s="798"/>
      <c r="E187" s="799"/>
      <c r="F187" s="801"/>
      <c r="G187" s="795"/>
      <c r="H187" s="796"/>
      <c r="I187" s="797"/>
      <c r="J187" s="797"/>
      <c r="K187" s="797"/>
      <c r="L187" s="759"/>
      <c r="M187" s="630"/>
      <c r="N187" s="530"/>
      <c r="O187" s="530"/>
      <c r="P187" s="758"/>
      <c r="Q187" s="534"/>
      <c r="R187" s="534"/>
      <c r="S187" s="534"/>
      <c r="T187" s="534"/>
      <c r="U187" s="534"/>
      <c r="V187" s="534"/>
      <c r="W187" s="534"/>
    </row>
    <row r="188">
      <c r="A188" s="755"/>
      <c r="B188" s="534"/>
      <c r="C188" s="534"/>
      <c r="D188" s="798"/>
      <c r="E188" s="799"/>
      <c r="F188" s="801"/>
      <c r="G188" s="795"/>
      <c r="H188" s="796"/>
      <c r="I188" s="797"/>
      <c r="J188" s="797"/>
      <c r="K188" s="797"/>
      <c r="L188" s="759"/>
      <c r="M188" s="630"/>
      <c r="N188" s="530"/>
      <c r="O188" s="530"/>
      <c r="P188" s="758"/>
      <c r="Q188" s="534"/>
      <c r="R188" s="534"/>
      <c r="S188" s="534"/>
      <c r="T188" s="534"/>
      <c r="U188" s="534"/>
      <c r="V188" s="534"/>
      <c r="W188" s="534"/>
    </row>
    <row r="189">
      <c r="A189" s="755"/>
      <c r="B189" s="534"/>
      <c r="C189" s="534"/>
      <c r="D189" s="798"/>
      <c r="E189" s="799"/>
      <c r="F189" s="801"/>
      <c r="G189" s="795"/>
      <c r="H189" s="796"/>
      <c r="I189" s="797"/>
      <c r="J189" s="797"/>
      <c r="K189" s="797"/>
      <c r="L189" s="759"/>
      <c r="M189" s="630"/>
      <c r="N189" s="530"/>
      <c r="O189" s="530"/>
      <c r="P189" s="758"/>
      <c r="Q189" s="534"/>
      <c r="R189" s="534"/>
      <c r="S189" s="534"/>
      <c r="T189" s="534"/>
      <c r="U189" s="534"/>
      <c r="V189" s="534"/>
      <c r="W189" s="534"/>
    </row>
    <row r="190">
      <c r="A190" s="755"/>
      <c r="B190" s="534"/>
      <c r="C190" s="534"/>
      <c r="D190" s="798"/>
      <c r="E190" s="799"/>
      <c r="F190" s="801"/>
      <c r="G190" s="795"/>
      <c r="H190" s="796"/>
      <c r="I190" s="797"/>
      <c r="J190" s="797"/>
      <c r="K190" s="797"/>
      <c r="L190" s="759"/>
      <c r="M190" s="630"/>
      <c r="N190" s="530"/>
      <c r="O190" s="530"/>
      <c r="P190" s="758"/>
      <c r="Q190" s="534"/>
      <c r="R190" s="534"/>
      <c r="S190" s="534"/>
      <c r="T190" s="534"/>
      <c r="U190" s="534"/>
      <c r="V190" s="534"/>
      <c r="W190" s="534"/>
    </row>
    <row r="191">
      <c r="A191" s="755"/>
      <c r="B191" s="534"/>
      <c r="C191" s="534"/>
      <c r="D191" s="798"/>
      <c r="E191" s="799"/>
      <c r="F191" s="801"/>
      <c r="G191" s="795"/>
      <c r="H191" s="796"/>
      <c r="I191" s="797"/>
      <c r="J191" s="797"/>
      <c r="K191" s="797"/>
      <c r="L191" s="759"/>
      <c r="M191" s="630"/>
      <c r="N191" s="530"/>
      <c r="O191" s="530"/>
      <c r="P191" s="758"/>
      <c r="Q191" s="534"/>
      <c r="R191" s="534"/>
      <c r="S191" s="534"/>
      <c r="T191" s="534"/>
      <c r="U191" s="534"/>
      <c r="V191" s="534"/>
      <c r="W191" s="534"/>
    </row>
    <row r="192">
      <c r="A192" s="755"/>
      <c r="B192" s="534"/>
      <c r="C192" s="534"/>
      <c r="D192" s="534"/>
      <c r="E192" s="534"/>
      <c r="F192" s="802"/>
      <c r="G192" s="630"/>
      <c r="H192" s="803"/>
      <c r="I192" s="617"/>
      <c r="J192" s="617"/>
      <c r="K192" s="617"/>
      <c r="L192" s="630"/>
      <c r="M192" s="630"/>
      <c r="N192" s="530"/>
      <c r="O192" s="530"/>
      <c r="P192" s="758"/>
      <c r="Q192" s="534"/>
      <c r="R192" s="534"/>
      <c r="S192" s="534"/>
      <c r="T192" s="534"/>
      <c r="U192" s="534"/>
      <c r="V192" s="534"/>
      <c r="W192" s="534"/>
    </row>
    <row r="193">
      <c r="A193" s="755"/>
      <c r="B193" s="534"/>
      <c r="C193" s="534"/>
      <c r="D193" s="534"/>
      <c r="E193" s="534"/>
      <c r="F193" s="802"/>
      <c r="G193" s="530"/>
      <c r="H193" s="804"/>
      <c r="I193" s="631"/>
      <c r="J193" s="631"/>
      <c r="K193" s="631"/>
      <c r="L193" s="530"/>
      <c r="M193" s="530"/>
      <c r="N193" s="530"/>
      <c r="O193" s="530"/>
      <c r="P193" s="758"/>
      <c r="Q193" s="534"/>
      <c r="R193" s="534"/>
      <c r="S193" s="534"/>
      <c r="T193" s="534"/>
      <c r="U193" s="534"/>
      <c r="V193" s="534"/>
      <c r="W193" s="534"/>
    </row>
    <row r="194">
      <c r="A194" s="755"/>
      <c r="B194" s="534"/>
      <c r="C194" s="534"/>
      <c r="D194" s="534"/>
      <c r="E194" s="534"/>
      <c r="F194" s="802"/>
      <c r="G194" s="530"/>
      <c r="H194" s="804"/>
      <c r="I194" s="631"/>
      <c r="J194" s="631"/>
      <c r="K194" s="631"/>
      <c r="L194" s="530"/>
      <c r="M194" s="530"/>
      <c r="N194" s="530"/>
      <c r="O194" s="530"/>
      <c r="P194" s="758"/>
      <c r="Q194" s="534"/>
      <c r="R194" s="534"/>
      <c r="S194" s="534"/>
      <c r="T194" s="534"/>
      <c r="U194" s="534"/>
      <c r="V194" s="534"/>
      <c r="W194" s="534"/>
    </row>
    <row r="195">
      <c r="A195" s="755"/>
      <c r="B195" s="534"/>
      <c r="C195" s="534"/>
      <c r="D195" s="534"/>
      <c r="E195" s="534"/>
      <c r="F195" s="802"/>
      <c r="G195" s="530"/>
      <c r="H195" s="804"/>
      <c r="I195" s="631"/>
      <c r="J195" s="631"/>
      <c r="K195" s="631"/>
      <c r="L195" s="530"/>
      <c r="M195" s="530"/>
      <c r="N195" s="530"/>
      <c r="O195" s="530"/>
      <c r="P195" s="758"/>
      <c r="Q195" s="534"/>
      <c r="R195" s="534"/>
      <c r="S195" s="534"/>
      <c r="T195" s="534"/>
      <c r="U195" s="534"/>
      <c r="V195" s="534"/>
      <c r="W195" s="534"/>
    </row>
    <row r="196">
      <c r="A196" s="755"/>
      <c r="B196" s="534"/>
      <c r="C196" s="534"/>
      <c r="D196" s="534"/>
      <c r="E196" s="534"/>
      <c r="F196" s="802"/>
      <c r="G196" s="530"/>
      <c r="H196" s="804"/>
      <c r="I196" s="631"/>
      <c r="J196" s="631"/>
      <c r="K196" s="631"/>
      <c r="L196" s="530"/>
      <c r="M196" s="530"/>
      <c r="N196" s="530"/>
      <c r="O196" s="530"/>
      <c r="P196" s="758"/>
      <c r="Q196" s="534"/>
      <c r="R196" s="534"/>
      <c r="S196" s="534"/>
      <c r="T196" s="534"/>
      <c r="U196" s="534"/>
      <c r="V196" s="534"/>
      <c r="W196" s="534"/>
    </row>
    <row r="197">
      <c r="A197" s="755"/>
      <c r="B197" s="534"/>
      <c r="C197" s="534"/>
      <c r="D197" s="534"/>
      <c r="E197" s="534"/>
      <c r="F197" s="802"/>
      <c r="G197" s="530"/>
      <c r="H197" s="804"/>
      <c r="I197" s="631"/>
      <c r="J197" s="631"/>
      <c r="K197" s="631"/>
      <c r="L197" s="530"/>
      <c r="M197" s="530"/>
      <c r="N197" s="530"/>
      <c r="O197" s="530"/>
      <c r="P197" s="758"/>
      <c r="Q197" s="534"/>
      <c r="R197" s="534"/>
      <c r="S197" s="534"/>
      <c r="T197" s="534"/>
      <c r="U197" s="534"/>
      <c r="V197" s="534"/>
      <c r="W197" s="534"/>
    </row>
    <row r="198">
      <c r="A198" s="755"/>
      <c r="B198" s="534"/>
      <c r="C198" s="534"/>
      <c r="D198" s="534"/>
      <c r="E198" s="534"/>
      <c r="F198" s="802"/>
      <c r="G198" s="530"/>
      <c r="H198" s="804"/>
      <c r="I198" s="631"/>
      <c r="J198" s="631"/>
      <c r="K198" s="631"/>
      <c r="L198" s="530"/>
      <c r="M198" s="530"/>
      <c r="N198" s="530"/>
      <c r="O198" s="530"/>
      <c r="P198" s="758"/>
      <c r="Q198" s="534"/>
      <c r="R198" s="534"/>
      <c r="S198" s="534"/>
      <c r="T198" s="534"/>
      <c r="U198" s="534"/>
      <c r="V198" s="534"/>
      <c r="W198" s="534"/>
    </row>
    <row r="199">
      <c r="A199" s="755"/>
      <c r="B199" s="534"/>
      <c r="C199" s="534"/>
      <c r="D199" s="534"/>
      <c r="E199" s="534"/>
      <c r="F199" s="802"/>
      <c r="G199" s="530"/>
      <c r="H199" s="804"/>
      <c r="I199" s="631"/>
      <c r="J199" s="631"/>
      <c r="K199" s="631"/>
      <c r="L199" s="530"/>
      <c r="M199" s="530"/>
      <c r="N199" s="530"/>
      <c r="O199" s="530"/>
      <c r="P199" s="758"/>
      <c r="Q199" s="534"/>
      <c r="R199" s="534"/>
      <c r="S199" s="534"/>
      <c r="T199" s="534"/>
      <c r="U199" s="534"/>
      <c r="V199" s="534"/>
      <c r="W199" s="534"/>
    </row>
    <row r="200">
      <c r="A200" s="755"/>
      <c r="B200" s="534"/>
      <c r="C200" s="534"/>
      <c r="D200" s="534"/>
      <c r="E200" s="534"/>
      <c r="F200" s="802"/>
      <c r="G200" s="530"/>
      <c r="H200" s="804"/>
      <c r="I200" s="631"/>
      <c r="J200" s="631"/>
      <c r="K200" s="631"/>
      <c r="L200" s="530"/>
      <c r="M200" s="530"/>
      <c r="N200" s="530"/>
      <c r="O200" s="530"/>
      <c r="P200" s="758"/>
      <c r="Q200" s="534"/>
      <c r="R200" s="534"/>
      <c r="S200" s="534"/>
      <c r="T200" s="534"/>
      <c r="U200" s="534"/>
      <c r="V200" s="534"/>
      <c r="W200" s="534"/>
    </row>
    <row r="201">
      <c r="A201" s="755"/>
      <c r="B201" s="534"/>
      <c r="C201" s="534"/>
      <c r="D201" s="534"/>
      <c r="E201" s="534"/>
      <c r="F201" s="802"/>
      <c r="G201" s="530"/>
      <c r="H201" s="804"/>
      <c r="I201" s="631"/>
      <c r="J201" s="631"/>
      <c r="K201" s="631"/>
      <c r="L201" s="530"/>
      <c r="M201" s="530"/>
      <c r="N201" s="530"/>
      <c r="O201" s="530"/>
      <c r="P201" s="758"/>
      <c r="Q201" s="534"/>
      <c r="R201" s="534"/>
      <c r="S201" s="534"/>
      <c r="T201" s="534"/>
      <c r="U201" s="534"/>
      <c r="V201" s="534"/>
      <c r="W201" s="534"/>
    </row>
    <row r="202">
      <c r="A202" s="755"/>
      <c r="B202" s="534"/>
      <c r="C202" s="534"/>
      <c r="D202" s="534"/>
      <c r="E202" s="534"/>
      <c r="F202" s="802"/>
      <c r="G202" s="530"/>
      <c r="H202" s="804"/>
      <c r="I202" s="631"/>
      <c r="J202" s="631"/>
      <c r="K202" s="631"/>
      <c r="L202" s="530"/>
      <c r="M202" s="530"/>
      <c r="N202" s="530"/>
      <c r="O202" s="530"/>
      <c r="P202" s="758"/>
      <c r="Q202" s="534"/>
      <c r="R202" s="534"/>
      <c r="S202" s="534"/>
      <c r="T202" s="534"/>
      <c r="U202" s="534"/>
      <c r="V202" s="534"/>
      <c r="W202" s="534"/>
    </row>
    <row r="203">
      <c r="A203" s="755"/>
      <c r="B203" s="534"/>
      <c r="C203" s="534"/>
      <c r="D203" s="534"/>
      <c r="E203" s="534"/>
      <c r="F203" s="802"/>
      <c r="G203" s="530"/>
      <c r="H203" s="804"/>
      <c r="I203" s="631"/>
      <c r="J203" s="631"/>
      <c r="K203" s="631"/>
      <c r="L203" s="530"/>
      <c r="M203" s="530"/>
      <c r="N203" s="530"/>
      <c r="O203" s="530"/>
      <c r="P203" s="758"/>
      <c r="Q203" s="534"/>
      <c r="R203" s="534"/>
      <c r="S203" s="534"/>
      <c r="T203" s="534"/>
      <c r="U203" s="534"/>
      <c r="V203" s="534"/>
      <c r="W203" s="534"/>
    </row>
    <row r="204">
      <c r="A204" s="755"/>
      <c r="B204" s="534"/>
      <c r="C204" s="534"/>
      <c r="D204" s="534"/>
      <c r="E204" s="534"/>
      <c r="F204" s="802"/>
      <c r="G204" s="530"/>
      <c r="H204" s="804"/>
      <c r="I204" s="631"/>
      <c r="J204" s="631"/>
      <c r="K204" s="631"/>
      <c r="L204" s="530"/>
      <c r="M204" s="530"/>
      <c r="N204" s="530"/>
      <c r="O204" s="530"/>
      <c r="P204" s="758"/>
      <c r="Q204" s="534"/>
      <c r="R204" s="534"/>
      <c r="S204" s="534"/>
      <c r="T204" s="534"/>
      <c r="U204" s="534"/>
      <c r="V204" s="534"/>
      <c r="W204" s="534"/>
    </row>
    <row r="205">
      <c r="A205" s="755"/>
      <c r="B205" s="534"/>
      <c r="C205" s="534"/>
      <c r="D205" s="534"/>
      <c r="E205" s="534"/>
      <c r="F205" s="802"/>
      <c r="G205" s="530"/>
      <c r="H205" s="804"/>
      <c r="I205" s="631"/>
      <c r="J205" s="631"/>
      <c r="K205" s="631"/>
      <c r="L205" s="530"/>
      <c r="M205" s="530"/>
      <c r="N205" s="530"/>
      <c r="O205" s="530"/>
      <c r="P205" s="758"/>
      <c r="Q205" s="534"/>
      <c r="R205" s="534"/>
      <c r="S205" s="534"/>
      <c r="T205" s="534"/>
      <c r="U205" s="534"/>
      <c r="V205" s="534"/>
      <c r="W205" s="534"/>
    </row>
    <row r="206">
      <c r="A206" s="755"/>
      <c r="B206" s="534"/>
      <c r="C206" s="534"/>
      <c r="D206" s="534"/>
      <c r="E206" s="534"/>
      <c r="F206" s="802"/>
      <c r="G206" s="530"/>
      <c r="H206" s="804"/>
      <c r="I206" s="631"/>
      <c r="J206" s="631"/>
      <c r="K206" s="631"/>
      <c r="L206" s="530"/>
      <c r="M206" s="530"/>
      <c r="N206" s="530"/>
      <c r="O206" s="530"/>
      <c r="P206" s="758"/>
      <c r="Q206" s="534"/>
      <c r="R206" s="534"/>
      <c r="S206" s="534"/>
      <c r="T206" s="534"/>
      <c r="U206" s="534"/>
      <c r="V206" s="534"/>
      <c r="W206" s="534"/>
    </row>
    <row r="207">
      <c r="A207" s="755"/>
      <c r="B207" s="534"/>
      <c r="C207" s="534"/>
      <c r="D207" s="534"/>
      <c r="E207" s="534"/>
      <c r="F207" s="802"/>
      <c r="G207" s="530"/>
      <c r="H207" s="804"/>
      <c r="I207" s="631"/>
      <c r="J207" s="631"/>
      <c r="K207" s="631"/>
      <c r="L207" s="530"/>
      <c r="M207" s="530"/>
      <c r="N207" s="530"/>
      <c r="O207" s="530"/>
      <c r="P207" s="758"/>
      <c r="Q207" s="534"/>
      <c r="R207" s="534"/>
      <c r="S207" s="534"/>
      <c r="T207" s="534"/>
      <c r="U207" s="534"/>
      <c r="V207" s="534"/>
      <c r="W207" s="534"/>
    </row>
    <row r="208">
      <c r="A208" s="755"/>
      <c r="B208" s="534"/>
      <c r="C208" s="534"/>
      <c r="D208" s="534"/>
      <c r="E208" s="534"/>
      <c r="F208" s="802"/>
      <c r="G208" s="530"/>
      <c r="H208" s="804"/>
      <c r="I208" s="631"/>
      <c r="J208" s="631"/>
      <c r="K208" s="631"/>
      <c r="L208" s="530"/>
      <c r="M208" s="530"/>
      <c r="N208" s="530"/>
      <c r="O208" s="530"/>
      <c r="P208" s="758"/>
      <c r="Q208" s="534"/>
      <c r="R208" s="534"/>
      <c r="S208" s="534"/>
      <c r="T208" s="534"/>
      <c r="U208" s="534"/>
      <c r="V208" s="534"/>
      <c r="W208" s="534"/>
    </row>
    <row r="209">
      <c r="A209" s="755"/>
      <c r="B209" s="534"/>
      <c r="C209" s="534"/>
      <c r="D209" s="534"/>
      <c r="E209" s="534"/>
      <c r="F209" s="802"/>
      <c r="G209" s="530"/>
      <c r="H209" s="804"/>
      <c r="I209" s="631"/>
      <c r="J209" s="631"/>
      <c r="K209" s="631"/>
      <c r="L209" s="530"/>
      <c r="M209" s="530"/>
      <c r="N209" s="530"/>
      <c r="O209" s="530"/>
      <c r="P209" s="758"/>
      <c r="Q209" s="534"/>
      <c r="R209" s="534"/>
      <c r="S209" s="534"/>
      <c r="T209" s="534"/>
      <c r="U209" s="534"/>
      <c r="V209" s="534"/>
      <c r="W209" s="534"/>
    </row>
    <row r="210">
      <c r="A210" s="755"/>
      <c r="B210" s="534"/>
      <c r="C210" s="534"/>
      <c r="D210" s="534"/>
      <c r="E210" s="534"/>
      <c r="F210" s="802"/>
      <c r="G210" s="530"/>
      <c r="H210" s="804"/>
      <c r="I210" s="631"/>
      <c r="J210" s="631"/>
      <c r="K210" s="631"/>
      <c r="L210" s="530"/>
      <c r="M210" s="530"/>
      <c r="N210" s="530"/>
      <c r="O210" s="530"/>
      <c r="P210" s="758"/>
      <c r="Q210" s="534"/>
      <c r="R210" s="534"/>
      <c r="S210" s="534"/>
      <c r="T210" s="534"/>
      <c r="U210" s="534"/>
      <c r="V210" s="534"/>
      <c r="W210" s="534"/>
    </row>
    <row r="211">
      <c r="A211" s="755"/>
      <c r="B211" s="534"/>
      <c r="C211" s="534"/>
      <c r="D211" s="534"/>
      <c r="E211" s="534"/>
      <c r="F211" s="802"/>
      <c r="G211" s="530"/>
      <c r="H211" s="804"/>
      <c r="I211" s="631"/>
      <c r="J211" s="631"/>
      <c r="K211" s="631"/>
      <c r="L211" s="530"/>
      <c r="M211" s="530"/>
      <c r="N211" s="530"/>
      <c r="O211" s="530"/>
      <c r="P211" s="758"/>
      <c r="Q211" s="534"/>
      <c r="R211" s="534"/>
      <c r="S211" s="534"/>
      <c r="T211" s="534"/>
      <c r="U211" s="534"/>
      <c r="V211" s="534"/>
      <c r="W211" s="534"/>
    </row>
    <row r="212">
      <c r="A212" s="755"/>
      <c r="B212" s="534"/>
      <c r="C212" s="534"/>
      <c r="D212" s="534"/>
      <c r="E212" s="534"/>
      <c r="F212" s="802"/>
      <c r="G212" s="530"/>
      <c r="H212" s="804"/>
      <c r="I212" s="631"/>
      <c r="J212" s="631"/>
      <c r="K212" s="631"/>
      <c r="L212" s="530"/>
      <c r="M212" s="530"/>
      <c r="N212" s="530"/>
      <c r="O212" s="530"/>
      <c r="P212" s="758"/>
      <c r="Q212" s="534"/>
      <c r="R212" s="534"/>
      <c r="S212" s="534"/>
      <c r="T212" s="534"/>
      <c r="U212" s="534"/>
      <c r="V212" s="534"/>
      <c r="W212" s="534"/>
    </row>
    <row r="213">
      <c r="A213" s="755"/>
      <c r="B213" s="534"/>
      <c r="C213" s="534"/>
      <c r="D213" s="534"/>
      <c r="E213" s="534"/>
      <c r="F213" s="802"/>
      <c r="G213" s="530"/>
      <c r="H213" s="804"/>
      <c r="I213" s="631"/>
      <c r="J213" s="631"/>
      <c r="K213" s="631"/>
      <c r="L213" s="530"/>
      <c r="M213" s="530"/>
      <c r="N213" s="530"/>
      <c r="O213" s="530"/>
      <c r="P213" s="758"/>
      <c r="Q213" s="534"/>
      <c r="R213" s="534"/>
      <c r="S213" s="534"/>
      <c r="T213" s="534"/>
      <c r="U213" s="534"/>
      <c r="V213" s="534"/>
      <c r="W213" s="534"/>
    </row>
    <row r="214">
      <c r="A214" s="755"/>
      <c r="B214" s="534"/>
      <c r="C214" s="534"/>
      <c r="D214" s="534"/>
      <c r="E214" s="534"/>
      <c r="F214" s="802"/>
      <c r="G214" s="530"/>
      <c r="H214" s="804"/>
      <c r="I214" s="631"/>
      <c r="J214" s="631"/>
      <c r="K214" s="631"/>
      <c r="L214" s="530"/>
      <c r="M214" s="530"/>
      <c r="N214" s="530"/>
      <c r="O214" s="530"/>
      <c r="P214" s="758"/>
      <c r="Q214" s="534"/>
      <c r="R214" s="534"/>
      <c r="S214" s="534"/>
      <c r="T214" s="534"/>
      <c r="U214" s="534"/>
      <c r="V214" s="534"/>
      <c r="W214" s="534"/>
    </row>
    <row r="215">
      <c r="A215" s="755"/>
      <c r="B215" s="534"/>
      <c r="C215" s="534"/>
      <c r="D215" s="534"/>
      <c r="E215" s="534"/>
      <c r="F215" s="802"/>
      <c r="G215" s="530"/>
      <c r="H215" s="804"/>
      <c r="I215" s="631"/>
      <c r="J215" s="631"/>
      <c r="K215" s="631"/>
      <c r="L215" s="530"/>
      <c r="M215" s="530"/>
      <c r="N215" s="530"/>
      <c r="O215" s="530"/>
      <c r="P215" s="758"/>
      <c r="Q215" s="534"/>
      <c r="R215" s="534"/>
      <c r="S215" s="534"/>
      <c r="T215" s="534"/>
      <c r="U215" s="534"/>
      <c r="V215" s="534"/>
      <c r="W215" s="534"/>
    </row>
    <row r="216">
      <c r="A216" s="755"/>
      <c r="B216" s="534"/>
      <c r="C216" s="534"/>
      <c r="D216" s="534"/>
      <c r="E216" s="534"/>
      <c r="F216" s="802"/>
      <c r="G216" s="530"/>
      <c r="H216" s="804"/>
      <c r="I216" s="631"/>
      <c r="J216" s="631"/>
      <c r="K216" s="631"/>
      <c r="L216" s="530"/>
      <c r="M216" s="530"/>
      <c r="N216" s="530"/>
      <c r="O216" s="530"/>
      <c r="P216" s="758"/>
      <c r="Q216" s="534"/>
      <c r="R216" s="534"/>
      <c r="S216" s="534"/>
      <c r="T216" s="534"/>
      <c r="U216" s="534"/>
      <c r="V216" s="534"/>
      <c r="W216" s="534"/>
    </row>
    <row r="217">
      <c r="A217" s="755"/>
      <c r="B217" s="534"/>
      <c r="C217" s="534"/>
      <c r="D217" s="534"/>
      <c r="E217" s="534"/>
      <c r="F217" s="802"/>
      <c r="G217" s="530"/>
      <c r="H217" s="804"/>
      <c r="I217" s="631"/>
      <c r="J217" s="631"/>
      <c r="K217" s="631"/>
      <c r="L217" s="530"/>
      <c r="M217" s="530"/>
      <c r="N217" s="530"/>
      <c r="O217" s="530"/>
      <c r="P217" s="758"/>
      <c r="Q217" s="534"/>
      <c r="R217" s="534"/>
      <c r="S217" s="534"/>
      <c r="T217" s="534"/>
      <c r="U217" s="534"/>
      <c r="V217" s="534"/>
      <c r="W217" s="534"/>
    </row>
    <row r="218">
      <c r="A218" s="755"/>
      <c r="B218" s="534"/>
      <c r="C218" s="534"/>
      <c r="D218" s="534"/>
      <c r="E218" s="534"/>
      <c r="F218" s="802"/>
      <c r="G218" s="530"/>
      <c r="H218" s="804"/>
      <c r="I218" s="631"/>
      <c r="J218" s="631"/>
      <c r="K218" s="631"/>
      <c r="L218" s="530"/>
      <c r="M218" s="530"/>
      <c r="N218" s="530"/>
      <c r="O218" s="530"/>
      <c r="P218" s="758"/>
      <c r="Q218" s="534"/>
      <c r="R218" s="534"/>
      <c r="S218" s="534"/>
      <c r="T218" s="534"/>
      <c r="U218" s="534"/>
      <c r="V218" s="534"/>
      <c r="W218" s="534"/>
    </row>
    <row r="219">
      <c r="A219" s="755"/>
      <c r="B219" s="534"/>
      <c r="C219" s="534"/>
      <c r="D219" s="534"/>
      <c r="E219" s="534"/>
      <c r="F219" s="802"/>
      <c r="G219" s="530"/>
      <c r="H219" s="804"/>
      <c r="I219" s="631"/>
      <c r="J219" s="631"/>
      <c r="K219" s="631"/>
      <c r="L219" s="530"/>
      <c r="M219" s="530"/>
      <c r="N219" s="530"/>
      <c r="O219" s="530"/>
      <c r="P219" s="758"/>
      <c r="Q219" s="534"/>
      <c r="R219" s="534"/>
      <c r="S219" s="534"/>
      <c r="T219" s="534"/>
      <c r="U219" s="534"/>
      <c r="V219" s="534"/>
      <c r="W219" s="534"/>
    </row>
    <row r="220">
      <c r="A220" s="755"/>
      <c r="B220" s="534"/>
      <c r="C220" s="534"/>
      <c r="D220" s="534"/>
      <c r="E220" s="534"/>
      <c r="F220" s="802"/>
      <c r="G220" s="530"/>
      <c r="H220" s="804"/>
      <c r="I220" s="631"/>
      <c r="J220" s="631"/>
      <c r="K220" s="631"/>
      <c r="L220" s="530"/>
      <c r="M220" s="530"/>
      <c r="N220" s="530"/>
      <c r="O220" s="530"/>
      <c r="P220" s="758"/>
      <c r="Q220" s="534"/>
      <c r="R220" s="534"/>
      <c r="S220" s="534"/>
      <c r="T220" s="534"/>
      <c r="U220" s="534"/>
      <c r="V220" s="534"/>
      <c r="W220" s="534"/>
    </row>
    <row r="221">
      <c r="A221" s="755"/>
      <c r="B221" s="534"/>
      <c r="C221" s="534"/>
      <c r="D221" s="534"/>
      <c r="E221" s="534"/>
      <c r="F221" s="802"/>
      <c r="G221" s="530"/>
      <c r="H221" s="804"/>
      <c r="I221" s="631"/>
      <c r="J221" s="631"/>
      <c r="K221" s="631"/>
      <c r="L221" s="530"/>
      <c r="M221" s="530"/>
      <c r="N221" s="530"/>
      <c r="O221" s="530"/>
      <c r="P221" s="758"/>
      <c r="Q221" s="534"/>
      <c r="R221" s="534"/>
      <c r="S221" s="534"/>
      <c r="T221" s="534"/>
      <c r="U221" s="534"/>
      <c r="V221" s="534"/>
      <c r="W221" s="534"/>
    </row>
    <row r="222">
      <c r="A222" s="755"/>
      <c r="B222" s="534"/>
      <c r="C222" s="534"/>
      <c r="D222" s="534"/>
      <c r="E222" s="534"/>
      <c r="F222" s="802"/>
      <c r="G222" s="530"/>
      <c r="H222" s="804"/>
      <c r="I222" s="631"/>
      <c r="J222" s="631"/>
      <c r="K222" s="631"/>
      <c r="L222" s="530"/>
      <c r="M222" s="530"/>
      <c r="N222" s="530"/>
      <c r="O222" s="530"/>
      <c r="P222" s="758"/>
      <c r="Q222" s="534"/>
      <c r="R222" s="534"/>
      <c r="S222" s="534"/>
      <c r="T222" s="534"/>
      <c r="U222" s="534"/>
      <c r="V222" s="534"/>
      <c r="W222" s="534"/>
    </row>
    <row r="223">
      <c r="A223" s="755"/>
      <c r="B223" s="534"/>
      <c r="C223" s="534"/>
      <c r="D223" s="534"/>
      <c r="E223" s="534"/>
      <c r="F223" s="802"/>
      <c r="G223" s="530"/>
      <c r="H223" s="804"/>
      <c r="I223" s="631"/>
      <c r="J223" s="631"/>
      <c r="K223" s="631"/>
      <c r="L223" s="530"/>
      <c r="M223" s="530"/>
      <c r="N223" s="530"/>
      <c r="O223" s="530"/>
      <c r="P223" s="758"/>
      <c r="Q223" s="534"/>
      <c r="R223" s="534"/>
      <c r="S223" s="534"/>
      <c r="T223" s="534"/>
      <c r="U223" s="534"/>
      <c r="V223" s="534"/>
      <c r="W223" s="534"/>
    </row>
    <row r="224">
      <c r="A224" s="755"/>
      <c r="B224" s="534"/>
      <c r="C224" s="534"/>
      <c r="D224" s="534"/>
      <c r="E224" s="534"/>
      <c r="F224" s="802"/>
      <c r="G224" s="530"/>
      <c r="H224" s="804"/>
      <c r="I224" s="631"/>
      <c r="J224" s="631"/>
      <c r="K224" s="631"/>
      <c r="L224" s="530"/>
      <c r="M224" s="530"/>
      <c r="N224" s="530"/>
      <c r="O224" s="530"/>
      <c r="P224" s="758"/>
      <c r="Q224" s="534"/>
      <c r="R224" s="534"/>
      <c r="S224" s="534"/>
      <c r="T224" s="534"/>
      <c r="U224" s="534"/>
      <c r="V224" s="534"/>
      <c r="W224" s="534"/>
    </row>
    <row r="225">
      <c r="A225" s="755"/>
      <c r="B225" s="534"/>
      <c r="C225" s="534"/>
      <c r="D225" s="534"/>
      <c r="E225" s="534"/>
      <c r="F225" s="802"/>
      <c r="G225" s="530"/>
      <c r="H225" s="804"/>
      <c r="I225" s="631"/>
      <c r="J225" s="631"/>
      <c r="K225" s="631"/>
      <c r="L225" s="530"/>
      <c r="M225" s="530"/>
      <c r="N225" s="530"/>
      <c r="O225" s="530"/>
      <c r="P225" s="758"/>
      <c r="Q225" s="534"/>
      <c r="R225" s="534"/>
      <c r="S225" s="534"/>
      <c r="T225" s="534"/>
      <c r="U225" s="534"/>
      <c r="V225" s="534"/>
      <c r="W225" s="534"/>
    </row>
    <row r="226">
      <c r="A226" s="755"/>
      <c r="B226" s="534"/>
      <c r="C226" s="534"/>
      <c r="D226" s="534"/>
      <c r="E226" s="534"/>
      <c r="F226" s="802"/>
      <c r="G226" s="530"/>
      <c r="H226" s="804"/>
      <c r="I226" s="631"/>
      <c r="J226" s="631"/>
      <c r="K226" s="631"/>
      <c r="L226" s="530"/>
      <c r="M226" s="530"/>
      <c r="N226" s="530"/>
      <c r="O226" s="530"/>
      <c r="P226" s="758"/>
      <c r="Q226" s="534"/>
      <c r="R226" s="534"/>
      <c r="S226" s="534"/>
      <c r="T226" s="534"/>
      <c r="U226" s="534"/>
      <c r="V226" s="534"/>
      <c r="W226" s="534"/>
    </row>
    <row r="227">
      <c r="A227" s="755"/>
      <c r="B227" s="534"/>
      <c r="C227" s="534"/>
      <c r="D227" s="534"/>
      <c r="E227" s="534"/>
      <c r="F227" s="802"/>
      <c r="G227" s="530"/>
      <c r="H227" s="804"/>
      <c r="I227" s="631"/>
      <c r="J227" s="631"/>
      <c r="K227" s="631"/>
      <c r="L227" s="530"/>
      <c r="M227" s="530"/>
      <c r="N227" s="530"/>
      <c r="O227" s="530"/>
      <c r="P227" s="758"/>
      <c r="Q227" s="534"/>
      <c r="R227" s="534"/>
      <c r="S227" s="534"/>
      <c r="T227" s="534"/>
      <c r="U227" s="534"/>
      <c r="V227" s="534"/>
      <c r="W227" s="534"/>
    </row>
    <row r="228">
      <c r="A228" s="755"/>
      <c r="B228" s="534"/>
      <c r="C228" s="534"/>
      <c r="D228" s="534"/>
      <c r="E228" s="534"/>
      <c r="F228" s="802"/>
      <c r="G228" s="530"/>
      <c r="H228" s="804"/>
      <c r="I228" s="631"/>
      <c r="J228" s="631"/>
      <c r="K228" s="631"/>
      <c r="L228" s="530"/>
      <c r="M228" s="530"/>
      <c r="N228" s="530"/>
      <c r="O228" s="530"/>
      <c r="P228" s="758"/>
      <c r="Q228" s="534"/>
      <c r="R228" s="534"/>
      <c r="S228" s="534"/>
      <c r="T228" s="534"/>
      <c r="U228" s="534"/>
      <c r="V228" s="534"/>
      <c r="W228" s="534"/>
    </row>
    <row r="229">
      <c r="A229" s="755"/>
      <c r="B229" s="534"/>
      <c r="C229" s="534"/>
      <c r="D229" s="534"/>
      <c r="E229" s="534"/>
      <c r="F229" s="802"/>
      <c r="G229" s="530"/>
      <c r="H229" s="804"/>
      <c r="I229" s="631"/>
      <c r="J229" s="631"/>
      <c r="K229" s="631"/>
      <c r="L229" s="530"/>
      <c r="M229" s="530"/>
      <c r="N229" s="530"/>
      <c r="O229" s="530"/>
      <c r="P229" s="758"/>
      <c r="Q229" s="534"/>
      <c r="R229" s="534"/>
      <c r="S229" s="534"/>
      <c r="T229" s="534"/>
      <c r="U229" s="534"/>
      <c r="V229" s="534"/>
      <c r="W229" s="534"/>
    </row>
    <row r="230">
      <c r="A230" s="755"/>
      <c r="B230" s="534"/>
      <c r="C230" s="534"/>
      <c r="D230" s="534"/>
      <c r="E230" s="534"/>
      <c r="F230" s="802"/>
      <c r="G230" s="530"/>
      <c r="H230" s="804"/>
      <c r="I230" s="631"/>
      <c r="J230" s="631"/>
      <c r="K230" s="631"/>
      <c r="L230" s="530"/>
      <c r="M230" s="530"/>
      <c r="N230" s="530"/>
      <c r="O230" s="530"/>
      <c r="P230" s="758"/>
      <c r="Q230" s="534"/>
      <c r="R230" s="534"/>
      <c r="S230" s="534"/>
      <c r="T230" s="534"/>
      <c r="U230" s="534"/>
      <c r="V230" s="534"/>
      <c r="W230" s="534"/>
    </row>
    <row r="231">
      <c r="A231" s="755"/>
      <c r="B231" s="534"/>
      <c r="C231" s="534"/>
      <c r="D231" s="534"/>
      <c r="E231" s="534"/>
      <c r="F231" s="802"/>
      <c r="G231" s="530"/>
      <c r="H231" s="804"/>
      <c r="I231" s="631"/>
      <c r="J231" s="631"/>
      <c r="K231" s="631"/>
      <c r="L231" s="530"/>
      <c r="M231" s="530"/>
      <c r="N231" s="530"/>
      <c r="O231" s="530"/>
      <c r="P231" s="758"/>
      <c r="Q231" s="534"/>
      <c r="R231" s="534"/>
      <c r="S231" s="534"/>
      <c r="T231" s="534"/>
      <c r="U231" s="534"/>
      <c r="V231" s="534"/>
      <c r="W231" s="534"/>
    </row>
    <row r="232">
      <c r="A232" s="755"/>
      <c r="B232" s="534"/>
      <c r="C232" s="534"/>
      <c r="D232" s="534"/>
      <c r="E232" s="534"/>
      <c r="F232" s="802"/>
      <c r="G232" s="530"/>
      <c r="H232" s="804"/>
      <c r="I232" s="631"/>
      <c r="J232" s="631"/>
      <c r="K232" s="631"/>
      <c r="L232" s="530"/>
      <c r="M232" s="530"/>
      <c r="N232" s="530"/>
      <c r="O232" s="530"/>
      <c r="P232" s="758"/>
      <c r="Q232" s="534"/>
      <c r="R232" s="534"/>
      <c r="S232" s="534"/>
      <c r="T232" s="534"/>
      <c r="U232" s="534"/>
      <c r="V232" s="534"/>
      <c r="W232" s="534"/>
    </row>
    <row r="233">
      <c r="A233" s="755"/>
      <c r="B233" s="534"/>
      <c r="C233" s="534"/>
      <c r="D233" s="534"/>
      <c r="E233" s="534"/>
      <c r="F233" s="802"/>
      <c r="G233" s="530"/>
      <c r="H233" s="804"/>
      <c r="I233" s="631"/>
      <c r="J233" s="631"/>
      <c r="K233" s="631"/>
      <c r="L233" s="530"/>
      <c r="M233" s="530"/>
      <c r="N233" s="530"/>
      <c r="O233" s="530"/>
      <c r="P233" s="758"/>
      <c r="Q233" s="534"/>
      <c r="R233" s="534"/>
      <c r="S233" s="534"/>
      <c r="T233" s="534"/>
      <c r="U233" s="534"/>
      <c r="V233" s="534"/>
      <c r="W233" s="534"/>
    </row>
    <row r="234">
      <c r="A234" s="755"/>
      <c r="B234" s="534"/>
      <c r="C234" s="534"/>
      <c r="D234" s="534"/>
      <c r="E234" s="534"/>
      <c r="F234" s="802"/>
      <c r="G234" s="530"/>
      <c r="H234" s="804"/>
      <c r="I234" s="631"/>
      <c r="J234" s="631"/>
      <c r="K234" s="631"/>
      <c r="L234" s="530"/>
      <c r="M234" s="530"/>
      <c r="N234" s="530"/>
      <c r="O234" s="530"/>
      <c r="P234" s="758"/>
      <c r="Q234" s="534"/>
      <c r="R234" s="534"/>
      <c r="S234" s="534"/>
      <c r="T234" s="534"/>
      <c r="U234" s="534"/>
      <c r="V234" s="534"/>
      <c r="W234" s="534"/>
    </row>
    <row r="235">
      <c r="A235" s="755"/>
      <c r="B235" s="534"/>
      <c r="C235" s="534"/>
      <c r="D235" s="534"/>
      <c r="E235" s="534"/>
      <c r="F235" s="802"/>
      <c r="G235" s="530"/>
      <c r="H235" s="804"/>
      <c r="I235" s="631"/>
      <c r="J235" s="631"/>
      <c r="K235" s="631"/>
      <c r="L235" s="530"/>
      <c r="M235" s="530"/>
      <c r="N235" s="530"/>
      <c r="O235" s="530"/>
      <c r="P235" s="758"/>
      <c r="Q235" s="534"/>
      <c r="R235" s="534"/>
      <c r="S235" s="534"/>
      <c r="T235" s="534"/>
      <c r="U235" s="534"/>
      <c r="V235" s="534"/>
      <c r="W235" s="534"/>
    </row>
    <row r="236">
      <c r="A236" s="755"/>
      <c r="B236" s="534"/>
      <c r="C236" s="534"/>
      <c r="D236" s="534"/>
      <c r="E236" s="534"/>
      <c r="F236" s="802"/>
      <c r="G236" s="530"/>
      <c r="H236" s="804"/>
      <c r="I236" s="631"/>
      <c r="J236" s="631"/>
      <c r="K236" s="631"/>
      <c r="L236" s="530"/>
      <c r="M236" s="530"/>
      <c r="N236" s="530"/>
      <c r="O236" s="530"/>
      <c r="P236" s="758"/>
      <c r="Q236" s="534"/>
      <c r="R236" s="534"/>
      <c r="S236" s="534"/>
      <c r="T236" s="534"/>
      <c r="U236" s="534"/>
      <c r="V236" s="534"/>
      <c r="W236" s="534"/>
    </row>
    <row r="237">
      <c r="A237" s="755"/>
      <c r="B237" s="534"/>
      <c r="C237" s="534"/>
      <c r="D237" s="534"/>
      <c r="E237" s="534"/>
      <c r="F237" s="802"/>
      <c r="G237" s="530"/>
      <c r="H237" s="804"/>
      <c r="I237" s="631"/>
      <c r="J237" s="631"/>
      <c r="K237" s="631"/>
      <c r="L237" s="530"/>
      <c r="M237" s="530"/>
      <c r="N237" s="530"/>
      <c r="O237" s="530"/>
      <c r="P237" s="758"/>
      <c r="Q237" s="534"/>
      <c r="R237" s="534"/>
      <c r="S237" s="534"/>
      <c r="T237" s="534"/>
      <c r="U237" s="534"/>
      <c r="V237" s="534"/>
      <c r="W237" s="534"/>
    </row>
    <row r="238">
      <c r="A238" s="755"/>
      <c r="B238" s="534"/>
      <c r="C238" s="534"/>
      <c r="D238" s="534"/>
      <c r="E238" s="534"/>
      <c r="F238" s="802"/>
      <c r="G238" s="530"/>
      <c r="H238" s="804"/>
      <c r="I238" s="631"/>
      <c r="J238" s="631"/>
      <c r="K238" s="631"/>
      <c r="L238" s="530"/>
      <c r="M238" s="530"/>
      <c r="N238" s="530"/>
      <c r="O238" s="530"/>
      <c r="P238" s="758"/>
      <c r="Q238" s="534"/>
      <c r="R238" s="534"/>
      <c r="S238" s="534"/>
      <c r="T238" s="534"/>
      <c r="U238" s="534"/>
      <c r="V238" s="534"/>
      <c r="W238" s="534"/>
    </row>
    <row r="239">
      <c r="A239" s="755"/>
      <c r="B239" s="534"/>
      <c r="C239" s="534"/>
      <c r="D239" s="534"/>
      <c r="E239" s="534"/>
      <c r="F239" s="802"/>
      <c r="G239" s="530"/>
      <c r="H239" s="804"/>
      <c r="I239" s="631"/>
      <c r="J239" s="631"/>
      <c r="K239" s="631"/>
      <c r="L239" s="530"/>
      <c r="M239" s="530"/>
      <c r="N239" s="530"/>
      <c r="O239" s="530"/>
      <c r="P239" s="758"/>
      <c r="Q239" s="534"/>
      <c r="R239" s="534"/>
      <c r="S239" s="534"/>
      <c r="T239" s="534"/>
      <c r="U239" s="534"/>
      <c r="V239" s="534"/>
      <c r="W239" s="534"/>
    </row>
    <row r="240">
      <c r="A240" s="755"/>
      <c r="B240" s="534"/>
      <c r="C240" s="534"/>
      <c r="D240" s="534"/>
      <c r="E240" s="534"/>
      <c r="F240" s="802"/>
      <c r="G240" s="530"/>
      <c r="H240" s="804"/>
      <c r="I240" s="631"/>
      <c r="J240" s="631"/>
      <c r="K240" s="631"/>
      <c r="L240" s="530"/>
      <c r="M240" s="530"/>
      <c r="N240" s="530"/>
      <c r="O240" s="530"/>
      <c r="P240" s="758"/>
      <c r="Q240" s="534"/>
      <c r="R240" s="534"/>
      <c r="S240" s="534"/>
      <c r="T240" s="534"/>
      <c r="U240" s="534"/>
      <c r="V240" s="534"/>
      <c r="W240" s="534"/>
    </row>
    <row r="241">
      <c r="A241" s="755"/>
      <c r="B241" s="534"/>
      <c r="C241" s="534"/>
      <c r="D241" s="534"/>
      <c r="E241" s="534"/>
      <c r="F241" s="802"/>
      <c r="G241" s="530"/>
      <c r="H241" s="804"/>
      <c r="I241" s="631"/>
      <c r="J241" s="631"/>
      <c r="K241" s="631"/>
      <c r="L241" s="530"/>
      <c r="M241" s="530"/>
      <c r="N241" s="530"/>
      <c r="O241" s="530"/>
      <c r="P241" s="758"/>
      <c r="Q241" s="534"/>
      <c r="R241" s="534"/>
      <c r="S241" s="534"/>
      <c r="T241" s="534"/>
      <c r="U241" s="534"/>
      <c r="V241" s="534"/>
      <c r="W241" s="534"/>
    </row>
    <row r="242">
      <c r="A242" s="755"/>
      <c r="B242" s="534"/>
      <c r="C242" s="534"/>
      <c r="D242" s="534"/>
      <c r="E242" s="534"/>
      <c r="F242" s="802"/>
      <c r="G242" s="530"/>
      <c r="H242" s="804"/>
      <c r="I242" s="631"/>
      <c r="J242" s="631"/>
      <c r="K242" s="631"/>
      <c r="L242" s="530"/>
      <c r="M242" s="530"/>
      <c r="N242" s="530"/>
      <c r="O242" s="530"/>
      <c r="P242" s="758"/>
      <c r="Q242" s="534"/>
      <c r="R242" s="534"/>
      <c r="S242" s="534"/>
      <c r="T242" s="534"/>
      <c r="U242" s="534"/>
      <c r="V242" s="534"/>
      <c r="W242" s="534"/>
    </row>
    <row r="243">
      <c r="A243" s="755"/>
      <c r="B243" s="534"/>
      <c r="C243" s="534"/>
      <c r="D243" s="534"/>
      <c r="E243" s="534"/>
      <c r="F243" s="802"/>
      <c r="G243" s="530"/>
      <c r="H243" s="804"/>
      <c r="I243" s="631"/>
      <c r="J243" s="631"/>
      <c r="K243" s="631"/>
      <c r="L243" s="530"/>
      <c r="M243" s="530"/>
      <c r="N243" s="530"/>
      <c r="O243" s="530"/>
      <c r="P243" s="758"/>
      <c r="Q243" s="534"/>
      <c r="R243" s="534"/>
      <c r="S243" s="534"/>
      <c r="T243" s="534"/>
      <c r="U243" s="534"/>
      <c r="V243" s="534"/>
      <c r="W243" s="534"/>
    </row>
    <row r="244">
      <c r="A244" s="755"/>
      <c r="B244" s="534"/>
      <c r="C244" s="534"/>
      <c r="D244" s="534"/>
      <c r="E244" s="534"/>
      <c r="F244" s="802"/>
      <c r="G244" s="530"/>
      <c r="H244" s="804"/>
      <c r="I244" s="631"/>
      <c r="J244" s="631"/>
      <c r="K244" s="631"/>
      <c r="L244" s="530"/>
      <c r="M244" s="530"/>
      <c r="N244" s="530"/>
      <c r="O244" s="530"/>
      <c r="P244" s="758"/>
      <c r="Q244" s="534"/>
      <c r="R244" s="534"/>
      <c r="S244" s="534"/>
      <c r="T244" s="534"/>
      <c r="U244" s="534"/>
      <c r="V244" s="534"/>
      <c r="W244" s="534"/>
    </row>
    <row r="245">
      <c r="A245" s="755"/>
      <c r="B245" s="534"/>
      <c r="C245" s="534"/>
      <c r="D245" s="534"/>
      <c r="E245" s="534"/>
      <c r="F245" s="802"/>
      <c r="G245" s="530"/>
      <c r="H245" s="804"/>
      <c r="I245" s="631"/>
      <c r="J245" s="631"/>
      <c r="K245" s="631"/>
      <c r="L245" s="530"/>
      <c r="M245" s="530"/>
      <c r="N245" s="530"/>
      <c r="O245" s="530"/>
      <c r="P245" s="758"/>
      <c r="Q245" s="534"/>
      <c r="R245" s="534"/>
      <c r="S245" s="534"/>
      <c r="T245" s="534"/>
      <c r="U245" s="534"/>
      <c r="V245" s="534"/>
      <c r="W245" s="534"/>
    </row>
    <row r="246">
      <c r="A246" s="755"/>
      <c r="B246" s="534"/>
      <c r="C246" s="534"/>
      <c r="D246" s="534"/>
      <c r="E246" s="534"/>
      <c r="F246" s="802"/>
      <c r="G246" s="530"/>
      <c r="H246" s="804"/>
      <c r="I246" s="631"/>
      <c r="J246" s="631"/>
      <c r="K246" s="631"/>
      <c r="L246" s="530"/>
      <c r="M246" s="530"/>
      <c r="N246" s="530"/>
      <c r="O246" s="530"/>
      <c r="P246" s="758"/>
      <c r="Q246" s="534"/>
      <c r="R246" s="534"/>
      <c r="S246" s="534"/>
      <c r="T246" s="534"/>
      <c r="U246" s="534"/>
      <c r="V246" s="534"/>
      <c r="W246" s="534"/>
    </row>
    <row r="247">
      <c r="A247" s="755"/>
      <c r="B247" s="534"/>
      <c r="C247" s="534"/>
      <c r="D247" s="534"/>
      <c r="E247" s="534"/>
      <c r="F247" s="802"/>
      <c r="G247" s="530"/>
      <c r="H247" s="804"/>
      <c r="I247" s="631"/>
      <c r="J247" s="631"/>
      <c r="K247" s="631"/>
      <c r="L247" s="530"/>
      <c r="M247" s="530"/>
      <c r="N247" s="530"/>
      <c r="O247" s="530"/>
      <c r="P247" s="758"/>
      <c r="Q247" s="534"/>
      <c r="R247" s="534"/>
      <c r="S247" s="534"/>
      <c r="T247" s="534"/>
      <c r="U247" s="534"/>
      <c r="V247" s="534"/>
      <c r="W247" s="534"/>
    </row>
    <row r="248">
      <c r="A248" s="755"/>
      <c r="B248" s="534"/>
      <c r="C248" s="534"/>
      <c r="D248" s="534"/>
      <c r="E248" s="534"/>
      <c r="F248" s="802"/>
      <c r="G248" s="530"/>
      <c r="H248" s="804"/>
      <c r="I248" s="631"/>
      <c r="J248" s="631"/>
      <c r="K248" s="631"/>
      <c r="L248" s="530"/>
      <c r="M248" s="530"/>
      <c r="N248" s="530"/>
      <c r="O248" s="530"/>
      <c r="P248" s="758"/>
      <c r="Q248" s="534"/>
      <c r="R248" s="534"/>
      <c r="S248" s="534"/>
      <c r="T248" s="534"/>
      <c r="U248" s="534"/>
      <c r="V248" s="534"/>
      <c r="W248" s="534"/>
    </row>
    <row r="249">
      <c r="A249" s="755"/>
      <c r="B249" s="534"/>
      <c r="C249" s="534"/>
      <c r="D249" s="534"/>
      <c r="E249" s="534"/>
      <c r="F249" s="802"/>
      <c r="G249" s="530"/>
      <c r="H249" s="804"/>
      <c r="I249" s="631"/>
      <c r="J249" s="631"/>
      <c r="K249" s="631"/>
      <c r="L249" s="530"/>
      <c r="M249" s="530"/>
      <c r="N249" s="530"/>
      <c r="O249" s="530"/>
      <c r="P249" s="758"/>
      <c r="Q249" s="534"/>
      <c r="R249" s="534"/>
      <c r="S249" s="534"/>
      <c r="T249" s="534"/>
      <c r="U249" s="534"/>
      <c r="V249" s="534"/>
      <c r="W249" s="534"/>
    </row>
    <row r="250">
      <c r="A250" s="755"/>
      <c r="B250" s="534"/>
      <c r="C250" s="534"/>
      <c r="D250" s="534"/>
      <c r="E250" s="534"/>
      <c r="F250" s="802"/>
      <c r="G250" s="530"/>
      <c r="H250" s="804"/>
      <c r="I250" s="631"/>
      <c r="J250" s="631"/>
      <c r="K250" s="631"/>
      <c r="L250" s="530"/>
      <c r="M250" s="530"/>
      <c r="N250" s="530"/>
      <c r="O250" s="530"/>
      <c r="P250" s="758"/>
      <c r="Q250" s="534"/>
      <c r="R250" s="534"/>
      <c r="S250" s="534"/>
      <c r="T250" s="534"/>
      <c r="U250" s="534"/>
      <c r="V250" s="534"/>
      <c r="W250" s="534"/>
    </row>
    <row r="251">
      <c r="A251" s="755"/>
      <c r="B251" s="534"/>
      <c r="C251" s="534"/>
      <c r="D251" s="534"/>
      <c r="E251" s="534"/>
      <c r="F251" s="802"/>
      <c r="G251" s="530"/>
      <c r="H251" s="804"/>
      <c r="I251" s="631"/>
      <c r="J251" s="631"/>
      <c r="K251" s="631"/>
      <c r="L251" s="530"/>
      <c r="M251" s="530"/>
      <c r="N251" s="530"/>
      <c r="O251" s="530"/>
      <c r="P251" s="758"/>
      <c r="Q251" s="534"/>
      <c r="R251" s="534"/>
      <c r="S251" s="534"/>
      <c r="T251" s="534"/>
      <c r="U251" s="534"/>
      <c r="V251" s="534"/>
      <c r="W251" s="534"/>
    </row>
    <row r="252">
      <c r="A252" s="755"/>
      <c r="B252" s="534"/>
      <c r="C252" s="534"/>
      <c r="D252" s="534"/>
      <c r="E252" s="534"/>
      <c r="F252" s="802"/>
      <c r="G252" s="530"/>
      <c r="H252" s="804"/>
      <c r="I252" s="631"/>
      <c r="J252" s="631"/>
      <c r="K252" s="631"/>
      <c r="L252" s="530"/>
      <c r="M252" s="530"/>
      <c r="N252" s="530"/>
      <c r="O252" s="530"/>
      <c r="P252" s="758"/>
      <c r="Q252" s="534"/>
      <c r="R252" s="534"/>
      <c r="S252" s="534"/>
      <c r="T252" s="534"/>
      <c r="U252" s="534"/>
      <c r="V252" s="534"/>
      <c r="W252" s="534"/>
    </row>
    <row r="253">
      <c r="A253" s="755"/>
      <c r="B253" s="534"/>
      <c r="C253" s="534"/>
      <c r="D253" s="534"/>
      <c r="E253" s="534"/>
      <c r="F253" s="802"/>
      <c r="G253" s="530"/>
      <c r="H253" s="804"/>
      <c r="I253" s="631"/>
      <c r="J253" s="631"/>
      <c r="K253" s="631"/>
      <c r="L253" s="530"/>
      <c r="M253" s="530"/>
      <c r="N253" s="530"/>
      <c r="O253" s="530"/>
      <c r="P253" s="758"/>
      <c r="Q253" s="534"/>
      <c r="R253" s="534"/>
      <c r="S253" s="534"/>
      <c r="T253" s="534"/>
      <c r="U253" s="534"/>
      <c r="V253" s="534"/>
      <c r="W253" s="534"/>
    </row>
    <row r="254">
      <c r="A254" s="755"/>
      <c r="B254" s="534"/>
      <c r="C254" s="534"/>
      <c r="D254" s="534"/>
      <c r="E254" s="534"/>
      <c r="F254" s="802"/>
      <c r="G254" s="530"/>
      <c r="H254" s="804"/>
      <c r="I254" s="631"/>
      <c r="J254" s="631"/>
      <c r="K254" s="631"/>
      <c r="L254" s="530"/>
      <c r="M254" s="530"/>
      <c r="N254" s="530"/>
      <c r="O254" s="530"/>
      <c r="P254" s="758"/>
      <c r="Q254" s="534"/>
      <c r="R254" s="534"/>
      <c r="S254" s="534"/>
      <c r="T254" s="534"/>
      <c r="U254" s="534"/>
      <c r="V254" s="534"/>
      <c r="W254" s="534"/>
    </row>
    <row r="255">
      <c r="A255" s="755"/>
      <c r="B255" s="534"/>
      <c r="C255" s="534"/>
      <c r="D255" s="534"/>
      <c r="E255" s="534"/>
      <c r="F255" s="802"/>
      <c r="G255" s="530"/>
      <c r="H255" s="804"/>
      <c r="I255" s="631"/>
      <c r="J255" s="631"/>
      <c r="K255" s="631"/>
      <c r="L255" s="530"/>
      <c r="M255" s="530"/>
      <c r="N255" s="530"/>
      <c r="O255" s="530"/>
      <c r="P255" s="758"/>
      <c r="Q255" s="534"/>
      <c r="R255" s="534"/>
      <c r="S255" s="534"/>
      <c r="T255" s="534"/>
      <c r="U255" s="534"/>
      <c r="V255" s="534"/>
      <c r="W255" s="534"/>
    </row>
    <row r="256">
      <c r="A256" s="755"/>
      <c r="B256" s="534"/>
      <c r="C256" s="534"/>
      <c r="D256" s="534"/>
      <c r="E256" s="534"/>
      <c r="F256" s="802"/>
      <c r="G256" s="530"/>
      <c r="H256" s="804"/>
      <c r="I256" s="631"/>
      <c r="J256" s="631"/>
      <c r="K256" s="631"/>
      <c r="L256" s="530"/>
      <c r="M256" s="530"/>
      <c r="N256" s="530"/>
      <c r="O256" s="530"/>
      <c r="P256" s="758"/>
      <c r="Q256" s="534"/>
      <c r="R256" s="534"/>
      <c r="S256" s="534"/>
      <c r="T256" s="534"/>
      <c r="U256" s="534"/>
      <c r="V256" s="534"/>
      <c r="W256" s="534"/>
    </row>
    <row r="257">
      <c r="A257" s="755"/>
      <c r="B257" s="534"/>
      <c r="C257" s="534"/>
      <c r="D257" s="534"/>
      <c r="E257" s="534"/>
      <c r="F257" s="802"/>
      <c r="G257" s="530"/>
      <c r="H257" s="804"/>
      <c r="I257" s="631"/>
      <c r="J257" s="631"/>
      <c r="K257" s="631"/>
      <c r="L257" s="530"/>
      <c r="M257" s="530"/>
      <c r="N257" s="530"/>
      <c r="O257" s="530"/>
      <c r="P257" s="758"/>
      <c r="Q257" s="534"/>
      <c r="R257" s="534"/>
      <c r="S257" s="534"/>
      <c r="T257" s="534"/>
      <c r="U257" s="534"/>
      <c r="V257" s="534"/>
      <c r="W257" s="534"/>
    </row>
    <row r="258">
      <c r="A258" s="755"/>
      <c r="B258" s="534"/>
      <c r="C258" s="534"/>
      <c r="D258" s="534"/>
      <c r="E258" s="534"/>
      <c r="F258" s="802"/>
      <c r="G258" s="530"/>
      <c r="H258" s="804"/>
      <c r="I258" s="631"/>
      <c r="J258" s="631"/>
      <c r="K258" s="631"/>
      <c r="L258" s="530"/>
      <c r="M258" s="530"/>
      <c r="N258" s="530"/>
      <c r="O258" s="530"/>
      <c r="P258" s="758"/>
      <c r="Q258" s="534"/>
      <c r="R258" s="534"/>
      <c r="S258" s="534"/>
      <c r="T258" s="534"/>
      <c r="U258" s="534"/>
      <c r="V258" s="534"/>
      <c r="W258" s="534"/>
    </row>
    <row r="259">
      <c r="A259" s="755"/>
      <c r="B259" s="534"/>
      <c r="C259" s="534"/>
      <c r="D259" s="534"/>
      <c r="E259" s="534"/>
      <c r="F259" s="802"/>
      <c r="G259" s="530"/>
      <c r="H259" s="804"/>
      <c r="I259" s="631"/>
      <c r="J259" s="631"/>
      <c r="K259" s="631"/>
      <c r="L259" s="530"/>
      <c r="M259" s="530"/>
      <c r="N259" s="530"/>
      <c r="O259" s="530"/>
      <c r="P259" s="758"/>
      <c r="Q259" s="534"/>
      <c r="R259" s="534"/>
      <c r="S259" s="534"/>
      <c r="T259" s="534"/>
      <c r="U259" s="534"/>
      <c r="V259" s="534"/>
      <c r="W259" s="534"/>
    </row>
    <row r="260">
      <c r="A260" s="755"/>
      <c r="B260" s="534"/>
      <c r="C260" s="534"/>
      <c r="D260" s="534"/>
      <c r="E260" s="534"/>
      <c r="F260" s="802"/>
      <c r="G260" s="530"/>
      <c r="H260" s="804"/>
      <c r="I260" s="631"/>
      <c r="J260" s="631"/>
      <c r="K260" s="631"/>
      <c r="L260" s="530"/>
      <c r="M260" s="530"/>
      <c r="N260" s="530"/>
      <c r="O260" s="530"/>
      <c r="P260" s="758"/>
      <c r="Q260" s="534"/>
      <c r="R260" s="534"/>
      <c r="S260" s="534"/>
      <c r="T260" s="534"/>
      <c r="U260" s="534"/>
      <c r="V260" s="534"/>
      <c r="W260" s="534"/>
    </row>
    <row r="261">
      <c r="A261" s="755"/>
      <c r="B261" s="534"/>
      <c r="C261" s="534"/>
      <c r="D261" s="534"/>
      <c r="E261" s="534"/>
      <c r="F261" s="802"/>
      <c r="G261" s="530"/>
      <c r="H261" s="804"/>
      <c r="I261" s="631"/>
      <c r="J261" s="631"/>
      <c r="K261" s="631"/>
      <c r="L261" s="530"/>
      <c r="M261" s="530"/>
      <c r="N261" s="530"/>
      <c r="O261" s="530"/>
      <c r="P261" s="758"/>
      <c r="Q261" s="534"/>
      <c r="R261" s="534"/>
      <c r="S261" s="534"/>
      <c r="T261" s="534"/>
      <c r="U261" s="534"/>
      <c r="V261" s="534"/>
      <c r="W261" s="534"/>
    </row>
    <row r="262">
      <c r="A262" s="755"/>
      <c r="B262" s="534"/>
      <c r="C262" s="534"/>
      <c r="D262" s="534"/>
      <c r="E262" s="534"/>
      <c r="F262" s="802"/>
      <c r="G262" s="530"/>
      <c r="H262" s="804"/>
      <c r="I262" s="631"/>
      <c r="J262" s="631"/>
      <c r="K262" s="631"/>
      <c r="L262" s="530"/>
      <c r="M262" s="530"/>
      <c r="N262" s="530"/>
      <c r="O262" s="530"/>
      <c r="P262" s="758"/>
      <c r="Q262" s="534"/>
      <c r="R262" s="534"/>
      <c r="S262" s="534"/>
      <c r="T262" s="534"/>
      <c r="U262" s="534"/>
      <c r="V262" s="534"/>
      <c r="W262" s="534"/>
    </row>
    <row r="263">
      <c r="A263" s="755"/>
      <c r="B263" s="534"/>
      <c r="C263" s="534"/>
      <c r="D263" s="534"/>
      <c r="E263" s="534"/>
      <c r="F263" s="802"/>
      <c r="G263" s="530"/>
      <c r="H263" s="804"/>
      <c r="I263" s="631"/>
      <c r="J263" s="631"/>
      <c r="K263" s="631"/>
      <c r="L263" s="530"/>
      <c r="M263" s="530"/>
      <c r="N263" s="530"/>
      <c r="O263" s="530"/>
      <c r="P263" s="758"/>
      <c r="Q263" s="534"/>
      <c r="R263" s="534"/>
      <c r="S263" s="534"/>
      <c r="T263" s="534"/>
      <c r="U263" s="534"/>
      <c r="V263" s="534"/>
      <c r="W263" s="534"/>
    </row>
    <row r="264">
      <c r="A264" s="755"/>
      <c r="B264" s="534"/>
      <c r="C264" s="534"/>
      <c r="D264" s="534"/>
      <c r="E264" s="534"/>
      <c r="F264" s="802"/>
      <c r="G264" s="530"/>
      <c r="H264" s="804"/>
      <c r="I264" s="631"/>
      <c r="J264" s="631"/>
      <c r="K264" s="631"/>
      <c r="L264" s="530"/>
      <c r="M264" s="530"/>
      <c r="N264" s="530"/>
      <c r="O264" s="530"/>
      <c r="P264" s="758"/>
      <c r="Q264" s="534"/>
      <c r="R264" s="534"/>
      <c r="S264" s="534"/>
      <c r="T264" s="534"/>
      <c r="U264" s="534"/>
      <c r="V264" s="534"/>
      <c r="W264" s="534"/>
    </row>
    <row r="265">
      <c r="A265" s="755"/>
      <c r="B265" s="534"/>
      <c r="C265" s="534"/>
      <c r="D265" s="534"/>
      <c r="E265" s="534"/>
      <c r="F265" s="802"/>
      <c r="G265" s="530"/>
      <c r="H265" s="804"/>
      <c r="I265" s="631"/>
      <c r="J265" s="631"/>
      <c r="K265" s="631"/>
      <c r="L265" s="530"/>
      <c r="M265" s="530"/>
      <c r="N265" s="530"/>
      <c r="O265" s="530"/>
      <c r="P265" s="758"/>
      <c r="Q265" s="534"/>
      <c r="R265" s="534"/>
      <c r="S265" s="534"/>
      <c r="T265" s="534"/>
      <c r="U265" s="534"/>
      <c r="V265" s="534"/>
      <c r="W265" s="534"/>
    </row>
    <row r="266">
      <c r="A266" s="755"/>
      <c r="B266" s="534"/>
      <c r="C266" s="534"/>
      <c r="D266" s="534"/>
      <c r="E266" s="534"/>
      <c r="F266" s="802"/>
      <c r="G266" s="530"/>
      <c r="H266" s="804"/>
      <c r="I266" s="631"/>
      <c r="J266" s="631"/>
      <c r="K266" s="631"/>
      <c r="L266" s="530"/>
      <c r="M266" s="530"/>
      <c r="N266" s="530"/>
      <c r="O266" s="530"/>
      <c r="P266" s="758"/>
      <c r="Q266" s="534"/>
      <c r="R266" s="534"/>
      <c r="S266" s="534"/>
      <c r="T266" s="534"/>
      <c r="U266" s="534"/>
      <c r="V266" s="534"/>
      <c r="W266" s="534"/>
    </row>
    <row r="267">
      <c r="A267" s="755"/>
      <c r="B267" s="534"/>
      <c r="C267" s="534"/>
      <c r="D267" s="534"/>
      <c r="E267" s="534"/>
      <c r="F267" s="802"/>
      <c r="G267" s="530"/>
      <c r="H267" s="804"/>
      <c r="I267" s="631"/>
      <c r="J267" s="631"/>
      <c r="K267" s="631"/>
      <c r="L267" s="530"/>
      <c r="M267" s="530"/>
      <c r="N267" s="530"/>
      <c r="O267" s="530"/>
      <c r="P267" s="758"/>
      <c r="Q267" s="534"/>
      <c r="R267" s="534"/>
      <c r="S267" s="534"/>
      <c r="T267" s="534"/>
      <c r="U267" s="534"/>
      <c r="V267" s="534"/>
      <c r="W267" s="534"/>
    </row>
    <row r="268">
      <c r="A268" s="755"/>
      <c r="B268" s="534"/>
      <c r="C268" s="534"/>
      <c r="D268" s="534"/>
      <c r="E268" s="534"/>
      <c r="F268" s="802"/>
      <c r="G268" s="530"/>
      <c r="H268" s="804"/>
      <c r="I268" s="631"/>
      <c r="J268" s="631"/>
      <c r="K268" s="631"/>
      <c r="L268" s="530"/>
      <c r="M268" s="530"/>
      <c r="N268" s="530"/>
      <c r="O268" s="530"/>
      <c r="P268" s="758"/>
      <c r="Q268" s="534"/>
      <c r="R268" s="534"/>
      <c r="S268" s="534"/>
      <c r="T268" s="534"/>
      <c r="U268" s="534"/>
      <c r="V268" s="534"/>
      <c r="W268" s="534"/>
    </row>
    <row r="269">
      <c r="A269" s="755"/>
      <c r="B269" s="534"/>
      <c r="C269" s="534"/>
      <c r="D269" s="534"/>
      <c r="E269" s="534"/>
      <c r="F269" s="802"/>
      <c r="G269" s="530"/>
      <c r="H269" s="804"/>
      <c r="I269" s="631"/>
      <c r="J269" s="631"/>
      <c r="K269" s="631"/>
      <c r="L269" s="530"/>
      <c r="M269" s="530"/>
      <c r="N269" s="530"/>
      <c r="O269" s="530"/>
      <c r="P269" s="758"/>
      <c r="Q269" s="534"/>
      <c r="R269" s="534"/>
      <c r="S269" s="534"/>
      <c r="T269" s="534"/>
      <c r="U269" s="534"/>
      <c r="V269" s="534"/>
      <c r="W269" s="534"/>
    </row>
    <row r="270">
      <c r="A270" s="755"/>
      <c r="B270" s="534"/>
      <c r="C270" s="534"/>
      <c r="D270" s="534"/>
      <c r="E270" s="534"/>
      <c r="F270" s="802"/>
      <c r="G270" s="530"/>
      <c r="H270" s="804"/>
      <c r="I270" s="631"/>
      <c r="J270" s="631"/>
      <c r="K270" s="631"/>
      <c r="L270" s="530"/>
      <c r="M270" s="530"/>
      <c r="N270" s="530"/>
      <c r="O270" s="530"/>
      <c r="P270" s="758"/>
      <c r="Q270" s="534"/>
      <c r="R270" s="534"/>
      <c r="S270" s="534"/>
      <c r="T270" s="534"/>
      <c r="U270" s="534"/>
      <c r="V270" s="534"/>
      <c r="W270" s="534"/>
    </row>
    <row r="271">
      <c r="A271" s="755"/>
      <c r="B271" s="534"/>
      <c r="C271" s="534"/>
      <c r="D271" s="534"/>
      <c r="E271" s="534"/>
      <c r="F271" s="802"/>
      <c r="G271" s="530"/>
      <c r="H271" s="804"/>
      <c r="I271" s="631"/>
      <c r="J271" s="631"/>
      <c r="K271" s="631"/>
      <c r="L271" s="530"/>
      <c r="M271" s="530"/>
      <c r="N271" s="530"/>
      <c r="O271" s="530"/>
      <c r="P271" s="758"/>
      <c r="Q271" s="534"/>
      <c r="R271" s="534"/>
      <c r="S271" s="534"/>
      <c r="T271" s="534"/>
      <c r="U271" s="534"/>
      <c r="V271" s="534"/>
      <c r="W271" s="534"/>
    </row>
    <row r="272">
      <c r="A272" s="755"/>
      <c r="B272" s="534"/>
      <c r="C272" s="534"/>
      <c r="D272" s="534"/>
      <c r="E272" s="534"/>
      <c r="F272" s="802"/>
      <c r="G272" s="530"/>
      <c r="H272" s="804"/>
      <c r="I272" s="631"/>
      <c r="J272" s="631"/>
      <c r="K272" s="631"/>
      <c r="L272" s="530"/>
      <c r="M272" s="530"/>
      <c r="N272" s="530"/>
      <c r="O272" s="530"/>
      <c r="P272" s="758"/>
      <c r="Q272" s="534"/>
      <c r="R272" s="534"/>
      <c r="S272" s="534"/>
      <c r="T272" s="534"/>
      <c r="U272" s="534"/>
      <c r="V272" s="534"/>
      <c r="W272" s="534"/>
    </row>
    <row r="273">
      <c r="A273" s="755"/>
      <c r="B273" s="534"/>
      <c r="C273" s="534"/>
      <c r="D273" s="534"/>
      <c r="E273" s="534"/>
      <c r="F273" s="802"/>
      <c r="G273" s="530"/>
      <c r="H273" s="804"/>
      <c r="I273" s="631"/>
      <c r="J273" s="631"/>
      <c r="K273" s="631"/>
      <c r="L273" s="530"/>
      <c r="M273" s="530"/>
      <c r="N273" s="530"/>
      <c r="O273" s="530"/>
      <c r="P273" s="758"/>
      <c r="Q273" s="534"/>
      <c r="R273" s="534"/>
      <c r="S273" s="534"/>
      <c r="T273" s="534"/>
      <c r="U273" s="534"/>
      <c r="V273" s="534"/>
      <c r="W273" s="534"/>
    </row>
    <row r="274">
      <c r="A274" s="755"/>
      <c r="B274" s="534"/>
      <c r="C274" s="534"/>
      <c r="D274" s="534"/>
      <c r="E274" s="534"/>
      <c r="F274" s="802"/>
      <c r="G274" s="530"/>
      <c r="H274" s="804"/>
      <c r="I274" s="631"/>
      <c r="J274" s="631"/>
      <c r="K274" s="631"/>
      <c r="L274" s="530"/>
      <c r="M274" s="530"/>
      <c r="N274" s="530"/>
      <c r="O274" s="530"/>
      <c r="P274" s="758"/>
      <c r="Q274" s="534"/>
      <c r="R274" s="534"/>
      <c r="S274" s="534"/>
      <c r="T274" s="534"/>
      <c r="U274" s="534"/>
      <c r="V274" s="534"/>
      <c r="W274" s="534"/>
    </row>
    <row r="275">
      <c r="A275" s="755"/>
      <c r="B275" s="534"/>
      <c r="C275" s="534"/>
      <c r="D275" s="534"/>
      <c r="E275" s="534"/>
      <c r="F275" s="802"/>
      <c r="G275" s="530"/>
      <c r="H275" s="804"/>
      <c r="I275" s="631"/>
      <c r="J275" s="631"/>
      <c r="K275" s="631"/>
      <c r="L275" s="530"/>
      <c r="M275" s="530"/>
      <c r="N275" s="530"/>
      <c r="O275" s="530"/>
      <c r="P275" s="758"/>
      <c r="Q275" s="534"/>
      <c r="R275" s="534"/>
      <c r="S275" s="534"/>
      <c r="T275" s="534"/>
      <c r="U275" s="534"/>
      <c r="V275" s="534"/>
      <c r="W275" s="534"/>
    </row>
    <row r="276">
      <c r="A276" s="755"/>
      <c r="B276" s="534"/>
      <c r="C276" s="534"/>
      <c r="D276" s="534"/>
      <c r="E276" s="534"/>
      <c r="F276" s="802"/>
      <c r="G276" s="530"/>
      <c r="H276" s="804"/>
      <c r="I276" s="631"/>
      <c r="J276" s="631"/>
      <c r="K276" s="631"/>
      <c r="L276" s="530"/>
      <c r="M276" s="530"/>
      <c r="N276" s="530"/>
      <c r="O276" s="530"/>
      <c r="P276" s="758"/>
      <c r="Q276" s="534"/>
      <c r="R276" s="534"/>
      <c r="S276" s="534"/>
      <c r="T276" s="534"/>
      <c r="U276" s="534"/>
      <c r="V276" s="534"/>
      <c r="W276" s="534"/>
    </row>
    <row r="277">
      <c r="A277" s="755"/>
      <c r="B277" s="534"/>
      <c r="C277" s="534"/>
      <c r="D277" s="534"/>
      <c r="E277" s="534"/>
      <c r="F277" s="802"/>
      <c r="G277" s="530"/>
      <c r="H277" s="804"/>
      <c r="I277" s="631"/>
      <c r="J277" s="631"/>
      <c r="K277" s="631"/>
      <c r="L277" s="530"/>
      <c r="M277" s="530"/>
      <c r="N277" s="530"/>
      <c r="O277" s="530"/>
      <c r="P277" s="758"/>
      <c r="Q277" s="534"/>
      <c r="R277" s="534"/>
      <c r="S277" s="534"/>
      <c r="T277" s="534"/>
      <c r="U277" s="534"/>
      <c r="V277" s="534"/>
      <c r="W277" s="534"/>
    </row>
    <row r="278">
      <c r="A278" s="755"/>
      <c r="B278" s="534"/>
      <c r="C278" s="534"/>
      <c r="D278" s="534"/>
      <c r="E278" s="534"/>
      <c r="F278" s="802"/>
      <c r="G278" s="530"/>
      <c r="H278" s="804"/>
      <c r="I278" s="631"/>
      <c r="J278" s="631"/>
      <c r="K278" s="631"/>
      <c r="L278" s="530"/>
      <c r="M278" s="530"/>
      <c r="N278" s="530"/>
      <c r="O278" s="530"/>
      <c r="P278" s="758"/>
      <c r="Q278" s="534"/>
      <c r="R278" s="534"/>
      <c r="S278" s="534"/>
      <c r="T278" s="534"/>
      <c r="U278" s="534"/>
      <c r="V278" s="534"/>
      <c r="W278" s="534"/>
    </row>
    <row r="279">
      <c r="A279" s="755"/>
      <c r="B279" s="534"/>
      <c r="C279" s="534"/>
      <c r="D279" s="534"/>
      <c r="E279" s="534"/>
      <c r="F279" s="802"/>
      <c r="G279" s="530"/>
      <c r="H279" s="804"/>
      <c r="I279" s="631"/>
      <c r="J279" s="631"/>
      <c r="K279" s="631"/>
      <c r="L279" s="530"/>
      <c r="M279" s="530"/>
      <c r="N279" s="530"/>
      <c r="O279" s="530"/>
      <c r="P279" s="758"/>
      <c r="Q279" s="534"/>
      <c r="R279" s="534"/>
      <c r="S279" s="534"/>
      <c r="T279" s="534"/>
      <c r="U279" s="534"/>
      <c r="V279" s="534"/>
      <c r="W279" s="534"/>
    </row>
    <row r="280">
      <c r="A280" s="755"/>
      <c r="B280" s="534"/>
      <c r="C280" s="534"/>
      <c r="D280" s="534"/>
      <c r="E280" s="534"/>
      <c r="F280" s="802"/>
      <c r="G280" s="530"/>
      <c r="H280" s="804"/>
      <c r="I280" s="631"/>
      <c r="J280" s="631"/>
      <c r="K280" s="631"/>
      <c r="L280" s="530"/>
      <c r="M280" s="530"/>
      <c r="N280" s="530"/>
      <c r="O280" s="530"/>
      <c r="P280" s="758"/>
      <c r="Q280" s="534"/>
      <c r="R280" s="534"/>
      <c r="S280" s="534"/>
      <c r="T280" s="534"/>
      <c r="U280" s="534"/>
      <c r="V280" s="534"/>
      <c r="W280" s="534"/>
    </row>
    <row r="281">
      <c r="A281" s="755"/>
      <c r="B281" s="534"/>
      <c r="C281" s="534"/>
      <c r="D281" s="534"/>
      <c r="E281" s="534"/>
      <c r="F281" s="802"/>
      <c r="G281" s="530"/>
      <c r="H281" s="804"/>
      <c r="I281" s="631"/>
      <c r="J281" s="631"/>
      <c r="K281" s="631"/>
      <c r="L281" s="530"/>
      <c r="M281" s="530"/>
      <c r="N281" s="530"/>
      <c r="O281" s="530"/>
      <c r="P281" s="758"/>
      <c r="Q281" s="534"/>
      <c r="R281" s="534"/>
      <c r="S281" s="534"/>
      <c r="T281" s="534"/>
      <c r="U281" s="534"/>
      <c r="V281" s="534"/>
      <c r="W281" s="534"/>
    </row>
    <row r="282">
      <c r="A282" s="755"/>
      <c r="B282" s="534"/>
      <c r="C282" s="534"/>
      <c r="D282" s="534"/>
      <c r="E282" s="534"/>
      <c r="F282" s="802"/>
      <c r="G282" s="530"/>
      <c r="H282" s="804"/>
      <c r="I282" s="631"/>
      <c r="J282" s="631"/>
      <c r="K282" s="631"/>
      <c r="L282" s="530"/>
      <c r="M282" s="530"/>
      <c r="N282" s="530"/>
      <c r="O282" s="530"/>
      <c r="P282" s="758"/>
      <c r="Q282" s="534"/>
      <c r="R282" s="534"/>
      <c r="S282" s="534"/>
      <c r="T282" s="534"/>
      <c r="U282" s="534"/>
      <c r="V282" s="534"/>
      <c r="W282" s="534"/>
    </row>
    <row r="283">
      <c r="A283" s="755"/>
      <c r="B283" s="534"/>
      <c r="C283" s="534"/>
      <c r="D283" s="534"/>
      <c r="E283" s="534"/>
      <c r="F283" s="802"/>
      <c r="G283" s="530"/>
      <c r="H283" s="804"/>
      <c r="I283" s="631"/>
      <c r="J283" s="631"/>
      <c r="K283" s="631"/>
      <c r="L283" s="530"/>
      <c r="M283" s="530"/>
      <c r="N283" s="530"/>
      <c r="O283" s="530"/>
      <c r="P283" s="758"/>
      <c r="Q283" s="534"/>
      <c r="R283" s="534"/>
      <c r="S283" s="534"/>
      <c r="T283" s="534"/>
      <c r="U283" s="534"/>
      <c r="V283" s="534"/>
      <c r="W283" s="534"/>
    </row>
    <row r="284">
      <c r="A284" s="755"/>
      <c r="B284" s="534"/>
      <c r="C284" s="534"/>
      <c r="D284" s="534"/>
      <c r="E284" s="534"/>
      <c r="F284" s="802"/>
      <c r="G284" s="530"/>
      <c r="H284" s="804"/>
      <c r="I284" s="631"/>
      <c r="J284" s="631"/>
      <c r="K284" s="631"/>
      <c r="L284" s="530"/>
      <c r="M284" s="530"/>
      <c r="N284" s="530"/>
      <c r="O284" s="530"/>
      <c r="P284" s="758"/>
      <c r="Q284" s="534"/>
      <c r="R284" s="534"/>
      <c r="S284" s="534"/>
      <c r="T284" s="534"/>
      <c r="U284" s="534"/>
      <c r="V284" s="534"/>
      <c r="W284" s="534"/>
    </row>
    <row r="285">
      <c r="A285" s="755"/>
      <c r="B285" s="534"/>
      <c r="C285" s="534"/>
      <c r="D285" s="534"/>
      <c r="E285" s="534"/>
      <c r="F285" s="802"/>
      <c r="G285" s="530"/>
      <c r="H285" s="804"/>
      <c r="I285" s="631"/>
      <c r="J285" s="631"/>
      <c r="K285" s="631"/>
      <c r="L285" s="530"/>
      <c r="M285" s="530"/>
      <c r="N285" s="530"/>
      <c r="O285" s="530"/>
      <c r="P285" s="758"/>
      <c r="Q285" s="534"/>
      <c r="R285" s="534"/>
      <c r="S285" s="534"/>
      <c r="T285" s="534"/>
      <c r="U285" s="534"/>
      <c r="V285" s="534"/>
      <c r="W285" s="534"/>
    </row>
    <row r="286">
      <c r="A286" s="755"/>
      <c r="B286" s="534"/>
      <c r="C286" s="534"/>
      <c r="D286" s="534"/>
      <c r="E286" s="534"/>
      <c r="F286" s="802"/>
      <c r="G286" s="530"/>
      <c r="H286" s="804"/>
      <c r="I286" s="631"/>
      <c r="J286" s="631"/>
      <c r="K286" s="631"/>
      <c r="L286" s="530"/>
      <c r="M286" s="530"/>
      <c r="N286" s="530"/>
      <c r="O286" s="530"/>
      <c r="P286" s="758"/>
      <c r="Q286" s="534"/>
      <c r="R286" s="534"/>
      <c r="S286" s="534"/>
      <c r="T286" s="534"/>
      <c r="U286" s="534"/>
      <c r="V286" s="534"/>
      <c r="W286" s="534"/>
    </row>
    <row r="287">
      <c r="A287" s="755"/>
      <c r="B287" s="534"/>
      <c r="C287" s="534"/>
      <c r="D287" s="534"/>
      <c r="E287" s="534"/>
      <c r="F287" s="802"/>
      <c r="G287" s="530"/>
      <c r="H287" s="804"/>
      <c r="I287" s="631"/>
      <c r="J287" s="631"/>
      <c r="K287" s="631"/>
      <c r="L287" s="530"/>
      <c r="M287" s="530"/>
      <c r="N287" s="530"/>
      <c r="O287" s="530"/>
      <c r="P287" s="758"/>
      <c r="Q287" s="534"/>
      <c r="R287" s="534"/>
      <c r="S287" s="534"/>
      <c r="T287" s="534"/>
      <c r="U287" s="534"/>
      <c r="V287" s="534"/>
      <c r="W287" s="534"/>
    </row>
    <row r="288">
      <c r="A288" s="755"/>
      <c r="B288" s="534"/>
      <c r="C288" s="534"/>
      <c r="D288" s="534"/>
      <c r="E288" s="534"/>
      <c r="F288" s="802"/>
      <c r="G288" s="530"/>
      <c r="H288" s="804"/>
      <c r="I288" s="631"/>
      <c r="J288" s="631"/>
      <c r="K288" s="631"/>
      <c r="L288" s="530"/>
      <c r="M288" s="530"/>
      <c r="N288" s="530"/>
      <c r="O288" s="530"/>
      <c r="P288" s="758"/>
      <c r="Q288" s="534"/>
      <c r="R288" s="534"/>
      <c r="S288" s="534"/>
      <c r="T288" s="534"/>
      <c r="U288" s="534"/>
      <c r="V288" s="534"/>
      <c r="W288" s="534"/>
    </row>
    <row r="289">
      <c r="A289" s="755"/>
      <c r="B289" s="534"/>
      <c r="C289" s="534"/>
      <c r="D289" s="534"/>
      <c r="E289" s="534"/>
      <c r="F289" s="802"/>
      <c r="G289" s="530"/>
      <c r="H289" s="804"/>
      <c r="I289" s="631"/>
      <c r="J289" s="631"/>
      <c r="K289" s="631"/>
      <c r="L289" s="530"/>
      <c r="M289" s="530"/>
      <c r="N289" s="530"/>
      <c r="O289" s="530"/>
      <c r="P289" s="758"/>
      <c r="Q289" s="534"/>
      <c r="R289" s="534"/>
      <c r="S289" s="534"/>
      <c r="T289" s="534"/>
      <c r="U289" s="534"/>
      <c r="V289" s="534"/>
      <c r="W289" s="534"/>
    </row>
    <row r="290">
      <c r="A290" s="755"/>
      <c r="B290" s="534"/>
      <c r="C290" s="534"/>
      <c r="D290" s="534"/>
      <c r="E290" s="534"/>
      <c r="F290" s="802"/>
      <c r="G290" s="530"/>
      <c r="H290" s="804"/>
      <c r="I290" s="631"/>
      <c r="J290" s="631"/>
      <c r="K290" s="631"/>
      <c r="L290" s="530"/>
      <c r="M290" s="530"/>
      <c r="N290" s="530"/>
      <c r="O290" s="530"/>
      <c r="P290" s="758"/>
      <c r="Q290" s="534"/>
      <c r="R290" s="534"/>
      <c r="S290" s="534"/>
      <c r="T290" s="534"/>
      <c r="U290" s="534"/>
      <c r="V290" s="534"/>
      <c r="W290" s="534"/>
    </row>
    <row r="291">
      <c r="A291" s="755"/>
      <c r="B291" s="534"/>
      <c r="C291" s="534"/>
      <c r="D291" s="534"/>
      <c r="E291" s="534"/>
      <c r="F291" s="802"/>
      <c r="G291" s="530"/>
      <c r="H291" s="804"/>
      <c r="I291" s="631"/>
      <c r="J291" s="631"/>
      <c r="K291" s="631"/>
      <c r="L291" s="530"/>
      <c r="M291" s="530"/>
      <c r="N291" s="530"/>
      <c r="O291" s="530"/>
      <c r="P291" s="758"/>
      <c r="Q291" s="534"/>
      <c r="R291" s="534"/>
      <c r="S291" s="534"/>
      <c r="T291" s="534"/>
      <c r="U291" s="534"/>
      <c r="V291" s="534"/>
      <c r="W291" s="534"/>
    </row>
    <row r="292">
      <c r="A292" s="755"/>
      <c r="B292" s="534"/>
      <c r="C292" s="534"/>
      <c r="D292" s="534"/>
      <c r="E292" s="534"/>
      <c r="F292" s="802"/>
      <c r="G292" s="530"/>
      <c r="H292" s="804"/>
      <c r="I292" s="631"/>
      <c r="J292" s="631"/>
      <c r="K292" s="631"/>
      <c r="L292" s="530"/>
      <c r="M292" s="530"/>
      <c r="N292" s="530"/>
      <c r="O292" s="530"/>
      <c r="P292" s="758"/>
      <c r="Q292" s="534"/>
      <c r="R292" s="534"/>
      <c r="S292" s="534"/>
      <c r="T292" s="534"/>
      <c r="U292" s="534"/>
      <c r="V292" s="534"/>
      <c r="W292" s="534"/>
    </row>
    <row r="293">
      <c r="A293" s="755"/>
      <c r="B293" s="534"/>
      <c r="C293" s="534"/>
      <c r="D293" s="534"/>
      <c r="E293" s="534"/>
      <c r="F293" s="802"/>
      <c r="G293" s="530"/>
      <c r="H293" s="804"/>
      <c r="I293" s="631"/>
      <c r="J293" s="631"/>
      <c r="K293" s="631"/>
      <c r="L293" s="530"/>
      <c r="M293" s="530"/>
      <c r="N293" s="530"/>
      <c r="O293" s="530"/>
      <c r="P293" s="758"/>
      <c r="Q293" s="534"/>
      <c r="R293" s="534"/>
      <c r="S293" s="534"/>
      <c r="T293" s="534"/>
      <c r="U293" s="534"/>
      <c r="V293" s="534"/>
      <c r="W293" s="534"/>
    </row>
    <row r="294">
      <c r="A294" s="755"/>
      <c r="B294" s="534"/>
      <c r="C294" s="534"/>
      <c r="D294" s="534"/>
      <c r="E294" s="534"/>
      <c r="F294" s="802"/>
      <c r="G294" s="530"/>
      <c r="H294" s="804"/>
      <c r="I294" s="631"/>
      <c r="J294" s="631"/>
      <c r="K294" s="631"/>
      <c r="L294" s="530"/>
      <c r="M294" s="530"/>
      <c r="N294" s="530"/>
      <c r="O294" s="530"/>
      <c r="P294" s="758"/>
      <c r="Q294" s="534"/>
      <c r="R294" s="534"/>
      <c r="S294" s="534"/>
      <c r="T294" s="534"/>
      <c r="U294" s="534"/>
      <c r="V294" s="534"/>
      <c r="W294" s="534"/>
    </row>
    <row r="295">
      <c r="A295" s="755"/>
      <c r="B295" s="534"/>
      <c r="C295" s="534"/>
      <c r="D295" s="534"/>
      <c r="E295" s="534"/>
      <c r="F295" s="802"/>
      <c r="G295" s="530"/>
      <c r="H295" s="804"/>
      <c r="I295" s="631"/>
      <c r="J295" s="631"/>
      <c r="K295" s="631"/>
      <c r="L295" s="530"/>
      <c r="M295" s="530"/>
      <c r="N295" s="530"/>
      <c r="O295" s="530"/>
      <c r="P295" s="758"/>
      <c r="Q295" s="534"/>
      <c r="R295" s="534"/>
      <c r="S295" s="534"/>
      <c r="T295" s="534"/>
      <c r="U295" s="534"/>
      <c r="V295" s="534"/>
      <c r="W295" s="534"/>
    </row>
    <row r="296">
      <c r="A296" s="755"/>
      <c r="B296" s="534"/>
      <c r="C296" s="534"/>
      <c r="D296" s="534"/>
      <c r="E296" s="534"/>
      <c r="F296" s="802"/>
      <c r="G296" s="530"/>
      <c r="H296" s="804"/>
      <c r="I296" s="631"/>
      <c r="J296" s="631"/>
      <c r="K296" s="631"/>
      <c r="L296" s="530"/>
      <c r="M296" s="530"/>
      <c r="N296" s="530"/>
      <c r="O296" s="530"/>
      <c r="P296" s="758"/>
      <c r="Q296" s="534"/>
      <c r="R296" s="534"/>
      <c r="S296" s="534"/>
      <c r="T296" s="534"/>
      <c r="U296" s="534"/>
      <c r="V296" s="534"/>
      <c r="W296" s="534"/>
    </row>
    <row r="297">
      <c r="A297" s="755"/>
      <c r="B297" s="534"/>
      <c r="C297" s="534"/>
      <c r="D297" s="534"/>
      <c r="E297" s="534"/>
      <c r="F297" s="802"/>
      <c r="G297" s="530"/>
      <c r="H297" s="804"/>
      <c r="I297" s="631"/>
      <c r="J297" s="631"/>
      <c r="K297" s="631"/>
      <c r="L297" s="530"/>
      <c r="M297" s="530"/>
      <c r="N297" s="530"/>
      <c r="O297" s="530"/>
      <c r="P297" s="758"/>
      <c r="Q297" s="534"/>
      <c r="R297" s="534"/>
      <c r="S297" s="534"/>
      <c r="T297" s="534"/>
      <c r="U297" s="534"/>
      <c r="V297" s="534"/>
      <c r="W297" s="534"/>
    </row>
    <row r="298">
      <c r="A298" s="755"/>
      <c r="B298" s="534"/>
      <c r="C298" s="534"/>
      <c r="D298" s="534"/>
      <c r="E298" s="534"/>
      <c r="F298" s="802"/>
      <c r="G298" s="530"/>
      <c r="H298" s="804"/>
      <c r="I298" s="631"/>
      <c r="J298" s="631"/>
      <c r="K298" s="631"/>
      <c r="L298" s="530"/>
      <c r="M298" s="530"/>
      <c r="N298" s="530"/>
      <c r="O298" s="530"/>
      <c r="P298" s="758"/>
      <c r="Q298" s="534"/>
      <c r="R298" s="534"/>
      <c r="S298" s="534"/>
      <c r="T298" s="534"/>
      <c r="U298" s="534"/>
      <c r="V298" s="534"/>
      <c r="W298" s="534"/>
    </row>
    <row r="299">
      <c r="A299" s="755"/>
      <c r="B299" s="534"/>
      <c r="C299" s="534"/>
      <c r="D299" s="534"/>
      <c r="E299" s="534"/>
      <c r="F299" s="802"/>
      <c r="G299" s="530"/>
      <c r="H299" s="804"/>
      <c r="I299" s="631"/>
      <c r="J299" s="631"/>
      <c r="K299" s="631"/>
      <c r="L299" s="530"/>
      <c r="M299" s="530"/>
      <c r="N299" s="530"/>
      <c r="O299" s="530"/>
      <c r="P299" s="758"/>
      <c r="Q299" s="534"/>
      <c r="R299" s="534"/>
      <c r="S299" s="534"/>
      <c r="T299" s="534"/>
      <c r="U299" s="534"/>
      <c r="V299" s="534"/>
      <c r="W299" s="534"/>
    </row>
    <row r="300">
      <c r="A300" s="755"/>
      <c r="B300" s="534"/>
      <c r="C300" s="534"/>
      <c r="D300" s="534"/>
      <c r="E300" s="534"/>
      <c r="F300" s="802"/>
      <c r="G300" s="530"/>
      <c r="H300" s="804"/>
      <c r="I300" s="631"/>
      <c r="J300" s="631"/>
      <c r="K300" s="631"/>
      <c r="L300" s="530"/>
      <c r="M300" s="530"/>
      <c r="N300" s="530"/>
      <c r="O300" s="530"/>
      <c r="P300" s="758"/>
      <c r="Q300" s="534"/>
      <c r="R300" s="534"/>
      <c r="S300" s="534"/>
      <c r="T300" s="534"/>
      <c r="U300" s="534"/>
      <c r="V300" s="534"/>
      <c r="W300" s="534"/>
    </row>
    <row r="301">
      <c r="A301" s="755"/>
      <c r="B301" s="534"/>
      <c r="C301" s="534"/>
      <c r="D301" s="534"/>
      <c r="E301" s="534"/>
      <c r="F301" s="802"/>
      <c r="G301" s="530"/>
      <c r="H301" s="804"/>
      <c r="I301" s="631"/>
      <c r="J301" s="631"/>
      <c r="K301" s="631"/>
      <c r="L301" s="530"/>
      <c r="M301" s="530"/>
      <c r="N301" s="530"/>
      <c r="O301" s="530"/>
      <c r="P301" s="758"/>
      <c r="Q301" s="534"/>
      <c r="R301" s="534"/>
      <c r="S301" s="534"/>
      <c r="T301" s="534"/>
      <c r="U301" s="534"/>
      <c r="V301" s="534"/>
      <c r="W301" s="534"/>
    </row>
    <row r="302">
      <c r="A302" s="755"/>
      <c r="B302" s="534"/>
      <c r="C302" s="534"/>
      <c r="D302" s="534"/>
      <c r="E302" s="534"/>
      <c r="F302" s="802"/>
      <c r="G302" s="530"/>
      <c r="H302" s="804"/>
      <c r="I302" s="631"/>
      <c r="J302" s="631"/>
      <c r="K302" s="631"/>
      <c r="L302" s="530"/>
      <c r="M302" s="530"/>
      <c r="N302" s="530"/>
      <c r="O302" s="530"/>
      <c r="P302" s="758"/>
      <c r="Q302" s="534"/>
      <c r="R302" s="534"/>
      <c r="S302" s="534"/>
      <c r="T302" s="534"/>
      <c r="U302" s="534"/>
      <c r="V302" s="534"/>
      <c r="W302" s="534"/>
    </row>
    <row r="303">
      <c r="A303" s="755"/>
      <c r="B303" s="534"/>
      <c r="C303" s="534"/>
      <c r="D303" s="534"/>
      <c r="E303" s="534"/>
      <c r="F303" s="802"/>
      <c r="G303" s="530"/>
      <c r="H303" s="804"/>
      <c r="I303" s="631"/>
      <c r="J303" s="631"/>
      <c r="K303" s="631"/>
      <c r="L303" s="530"/>
      <c r="M303" s="530"/>
      <c r="N303" s="530"/>
      <c r="O303" s="530"/>
      <c r="P303" s="758"/>
      <c r="Q303" s="534"/>
      <c r="R303" s="534"/>
      <c r="S303" s="534"/>
      <c r="T303" s="534"/>
      <c r="U303" s="534"/>
      <c r="V303" s="534"/>
      <c r="W303" s="534"/>
    </row>
    <row r="304">
      <c r="A304" s="755"/>
      <c r="B304" s="534"/>
      <c r="C304" s="534"/>
      <c r="D304" s="534"/>
      <c r="E304" s="534"/>
      <c r="F304" s="802"/>
      <c r="G304" s="530"/>
      <c r="H304" s="804"/>
      <c r="I304" s="631"/>
      <c r="J304" s="631"/>
      <c r="K304" s="631"/>
      <c r="L304" s="530"/>
      <c r="M304" s="530"/>
      <c r="N304" s="530"/>
      <c r="O304" s="530"/>
      <c r="P304" s="758"/>
      <c r="Q304" s="534"/>
      <c r="R304" s="534"/>
      <c r="S304" s="534"/>
      <c r="T304" s="534"/>
      <c r="U304" s="534"/>
      <c r="V304" s="534"/>
      <c r="W304" s="534"/>
    </row>
    <row r="305">
      <c r="A305" s="755"/>
      <c r="B305" s="534"/>
      <c r="C305" s="534"/>
      <c r="D305" s="534"/>
      <c r="E305" s="534"/>
      <c r="F305" s="802"/>
      <c r="G305" s="530"/>
      <c r="H305" s="804"/>
      <c r="I305" s="631"/>
      <c r="J305" s="631"/>
      <c r="K305" s="631"/>
      <c r="L305" s="530"/>
      <c r="M305" s="530"/>
      <c r="N305" s="530"/>
      <c r="O305" s="530"/>
      <c r="P305" s="758"/>
      <c r="Q305" s="534"/>
      <c r="R305" s="534"/>
      <c r="S305" s="534"/>
      <c r="T305" s="534"/>
      <c r="U305" s="534"/>
      <c r="V305" s="534"/>
      <c r="W305" s="534"/>
    </row>
    <row r="306">
      <c r="A306" s="755"/>
      <c r="B306" s="534"/>
      <c r="C306" s="534"/>
      <c r="D306" s="534"/>
      <c r="E306" s="534"/>
      <c r="F306" s="802"/>
      <c r="G306" s="530"/>
      <c r="H306" s="804"/>
      <c r="I306" s="631"/>
      <c r="J306" s="631"/>
      <c r="K306" s="631"/>
      <c r="L306" s="530"/>
      <c r="M306" s="530"/>
      <c r="N306" s="530"/>
      <c r="O306" s="530"/>
      <c r="P306" s="758"/>
      <c r="Q306" s="534"/>
      <c r="R306" s="534"/>
      <c r="S306" s="534"/>
      <c r="T306" s="534"/>
      <c r="U306" s="534"/>
      <c r="V306" s="534"/>
      <c r="W306" s="534"/>
    </row>
    <row r="307">
      <c r="A307" s="755"/>
      <c r="B307" s="534"/>
      <c r="C307" s="534"/>
      <c r="D307" s="534"/>
      <c r="E307" s="534"/>
      <c r="F307" s="802"/>
      <c r="G307" s="530"/>
      <c r="H307" s="804"/>
      <c r="I307" s="631"/>
      <c r="J307" s="631"/>
      <c r="K307" s="631"/>
      <c r="L307" s="530"/>
      <c r="M307" s="530"/>
      <c r="N307" s="530"/>
      <c r="O307" s="530"/>
      <c r="P307" s="758"/>
      <c r="Q307" s="534"/>
      <c r="R307" s="534"/>
      <c r="S307" s="534"/>
      <c r="T307" s="534"/>
      <c r="U307" s="534"/>
      <c r="V307" s="534"/>
      <c r="W307" s="534"/>
    </row>
    <row r="308">
      <c r="A308" s="755"/>
      <c r="B308" s="534"/>
      <c r="C308" s="534"/>
      <c r="D308" s="534"/>
      <c r="E308" s="534"/>
      <c r="F308" s="802"/>
      <c r="G308" s="530"/>
      <c r="H308" s="804"/>
      <c r="I308" s="631"/>
      <c r="J308" s="631"/>
      <c r="K308" s="631"/>
      <c r="L308" s="530"/>
      <c r="M308" s="530"/>
      <c r="N308" s="530"/>
      <c r="O308" s="530"/>
      <c r="P308" s="758"/>
      <c r="Q308" s="534"/>
      <c r="R308" s="534"/>
      <c r="S308" s="534"/>
      <c r="T308" s="534"/>
      <c r="U308" s="534"/>
      <c r="V308" s="534"/>
      <c r="W308" s="534"/>
    </row>
    <row r="309">
      <c r="A309" s="755"/>
      <c r="B309" s="534"/>
      <c r="C309" s="534"/>
      <c r="D309" s="534"/>
      <c r="E309" s="534"/>
      <c r="F309" s="802"/>
      <c r="G309" s="530"/>
      <c r="H309" s="804"/>
      <c r="I309" s="631"/>
      <c r="J309" s="631"/>
      <c r="K309" s="631"/>
      <c r="L309" s="530"/>
      <c r="M309" s="530"/>
      <c r="N309" s="530"/>
      <c r="O309" s="530"/>
      <c r="P309" s="758"/>
      <c r="Q309" s="534"/>
      <c r="R309" s="534"/>
      <c r="S309" s="534"/>
      <c r="T309" s="534"/>
      <c r="U309" s="534"/>
      <c r="V309" s="534"/>
      <c r="W309" s="534"/>
    </row>
    <row r="310">
      <c r="A310" s="755"/>
      <c r="B310" s="534"/>
      <c r="C310" s="534"/>
      <c r="D310" s="534"/>
      <c r="E310" s="534"/>
      <c r="F310" s="802"/>
      <c r="G310" s="530"/>
      <c r="H310" s="804"/>
      <c r="I310" s="631"/>
      <c r="J310" s="631"/>
      <c r="K310" s="631"/>
      <c r="L310" s="530"/>
      <c r="M310" s="530"/>
      <c r="N310" s="530"/>
      <c r="O310" s="530"/>
      <c r="P310" s="758"/>
      <c r="Q310" s="534"/>
      <c r="R310" s="534"/>
      <c r="S310" s="534"/>
      <c r="T310" s="534"/>
      <c r="U310" s="534"/>
      <c r="V310" s="534"/>
      <c r="W310" s="534"/>
    </row>
    <row r="311">
      <c r="A311" s="755"/>
      <c r="B311" s="534"/>
      <c r="C311" s="534"/>
      <c r="D311" s="534"/>
      <c r="E311" s="534"/>
      <c r="F311" s="802"/>
      <c r="G311" s="530"/>
      <c r="H311" s="804"/>
      <c r="I311" s="631"/>
      <c r="J311" s="631"/>
      <c r="K311" s="631"/>
      <c r="L311" s="530"/>
      <c r="M311" s="530"/>
      <c r="N311" s="530"/>
      <c r="O311" s="530"/>
      <c r="P311" s="758"/>
      <c r="Q311" s="534"/>
      <c r="R311" s="534"/>
      <c r="S311" s="534"/>
      <c r="T311" s="534"/>
      <c r="U311" s="534"/>
      <c r="V311" s="534"/>
      <c r="W311" s="534"/>
    </row>
    <row r="312">
      <c r="A312" s="755"/>
      <c r="B312" s="534"/>
      <c r="C312" s="534"/>
      <c r="D312" s="534"/>
      <c r="E312" s="534"/>
      <c r="F312" s="802"/>
      <c r="G312" s="530"/>
      <c r="H312" s="804"/>
      <c r="I312" s="631"/>
      <c r="J312" s="631"/>
      <c r="K312" s="631"/>
      <c r="L312" s="530"/>
      <c r="M312" s="530"/>
      <c r="N312" s="530"/>
      <c r="O312" s="530"/>
      <c r="P312" s="758"/>
      <c r="Q312" s="534"/>
      <c r="R312" s="534"/>
      <c r="S312" s="534"/>
      <c r="T312" s="534"/>
      <c r="U312" s="534"/>
      <c r="V312" s="534"/>
      <c r="W312" s="534"/>
    </row>
    <row r="313">
      <c r="A313" s="755"/>
      <c r="B313" s="534"/>
      <c r="C313" s="534"/>
      <c r="D313" s="534"/>
      <c r="E313" s="534"/>
      <c r="F313" s="802"/>
      <c r="G313" s="530"/>
      <c r="H313" s="804"/>
      <c r="I313" s="631"/>
      <c r="J313" s="631"/>
      <c r="K313" s="631"/>
      <c r="L313" s="530"/>
      <c r="M313" s="530"/>
      <c r="N313" s="530"/>
      <c r="O313" s="530"/>
      <c r="P313" s="758"/>
      <c r="Q313" s="534"/>
      <c r="R313" s="534"/>
      <c r="S313" s="534"/>
      <c r="T313" s="534"/>
      <c r="U313" s="534"/>
      <c r="V313" s="534"/>
      <c r="W313" s="534"/>
    </row>
    <row r="314">
      <c r="A314" s="755"/>
      <c r="B314" s="534"/>
      <c r="C314" s="534"/>
      <c r="D314" s="534"/>
      <c r="E314" s="534"/>
      <c r="F314" s="802"/>
      <c r="G314" s="530"/>
      <c r="H314" s="804"/>
      <c r="I314" s="631"/>
      <c r="J314" s="631"/>
      <c r="K314" s="631"/>
      <c r="L314" s="530"/>
      <c r="M314" s="530"/>
      <c r="N314" s="530"/>
      <c r="O314" s="530"/>
      <c r="P314" s="758"/>
      <c r="Q314" s="534"/>
      <c r="R314" s="534"/>
      <c r="S314" s="534"/>
      <c r="T314" s="534"/>
      <c r="U314" s="534"/>
      <c r="V314" s="534"/>
      <c r="W314" s="534"/>
    </row>
    <row r="315">
      <c r="A315" s="755"/>
      <c r="B315" s="534"/>
      <c r="C315" s="534"/>
      <c r="D315" s="534"/>
      <c r="E315" s="534"/>
      <c r="F315" s="802"/>
      <c r="G315" s="530"/>
      <c r="H315" s="804"/>
      <c r="I315" s="631"/>
      <c r="J315" s="631"/>
      <c r="K315" s="631"/>
      <c r="L315" s="530"/>
      <c r="M315" s="530"/>
      <c r="N315" s="530"/>
      <c r="O315" s="530"/>
      <c r="P315" s="758"/>
      <c r="Q315" s="534"/>
      <c r="R315" s="534"/>
      <c r="S315" s="534"/>
      <c r="T315" s="534"/>
      <c r="U315" s="534"/>
      <c r="V315" s="534"/>
      <c r="W315" s="534"/>
    </row>
    <row r="316">
      <c r="A316" s="755"/>
      <c r="B316" s="534"/>
      <c r="C316" s="534"/>
      <c r="D316" s="534"/>
      <c r="E316" s="534"/>
      <c r="F316" s="802"/>
      <c r="G316" s="530"/>
      <c r="H316" s="804"/>
      <c r="I316" s="631"/>
      <c r="J316" s="631"/>
      <c r="K316" s="631"/>
      <c r="L316" s="530"/>
      <c r="M316" s="530"/>
      <c r="N316" s="530"/>
      <c r="O316" s="530"/>
      <c r="P316" s="758"/>
      <c r="Q316" s="534"/>
      <c r="R316" s="534"/>
      <c r="S316" s="534"/>
      <c r="T316" s="534"/>
      <c r="U316" s="534"/>
      <c r="V316" s="534"/>
      <c r="W316" s="534"/>
    </row>
    <row r="317">
      <c r="A317" s="755"/>
      <c r="B317" s="534"/>
      <c r="C317" s="534"/>
      <c r="D317" s="534"/>
      <c r="E317" s="534"/>
      <c r="F317" s="802"/>
      <c r="G317" s="530"/>
      <c r="H317" s="804"/>
      <c r="I317" s="631"/>
      <c r="J317" s="631"/>
      <c r="K317" s="631"/>
      <c r="L317" s="530"/>
      <c r="M317" s="530"/>
      <c r="N317" s="530"/>
      <c r="O317" s="530"/>
      <c r="P317" s="758"/>
      <c r="Q317" s="534"/>
      <c r="R317" s="534"/>
      <c r="S317" s="534"/>
      <c r="T317" s="534"/>
      <c r="U317" s="534"/>
      <c r="V317" s="534"/>
      <c r="W317" s="534"/>
    </row>
    <row r="318">
      <c r="A318" s="755"/>
      <c r="B318" s="534"/>
      <c r="C318" s="534"/>
      <c r="D318" s="534"/>
      <c r="E318" s="534"/>
      <c r="F318" s="802"/>
      <c r="G318" s="530"/>
      <c r="H318" s="804"/>
      <c r="I318" s="631"/>
      <c r="J318" s="631"/>
      <c r="K318" s="631"/>
      <c r="L318" s="530"/>
      <c r="M318" s="530"/>
      <c r="N318" s="530"/>
      <c r="O318" s="530"/>
      <c r="P318" s="758"/>
      <c r="Q318" s="534"/>
      <c r="R318" s="534"/>
      <c r="S318" s="534"/>
      <c r="T318" s="534"/>
      <c r="U318" s="534"/>
      <c r="V318" s="534"/>
      <c r="W318" s="534"/>
    </row>
    <row r="319">
      <c r="A319" s="755"/>
      <c r="B319" s="534"/>
      <c r="C319" s="534"/>
      <c r="D319" s="534"/>
      <c r="E319" s="534"/>
      <c r="F319" s="802"/>
      <c r="G319" s="530"/>
      <c r="H319" s="804"/>
      <c r="I319" s="631"/>
      <c r="J319" s="631"/>
      <c r="K319" s="631"/>
      <c r="L319" s="530"/>
      <c r="M319" s="530"/>
      <c r="N319" s="530"/>
      <c r="O319" s="530"/>
      <c r="P319" s="758"/>
      <c r="Q319" s="534"/>
      <c r="R319" s="534"/>
      <c r="S319" s="534"/>
      <c r="T319" s="534"/>
      <c r="U319" s="534"/>
      <c r="V319" s="534"/>
      <c r="W319" s="534"/>
    </row>
    <row r="320">
      <c r="A320" s="755"/>
      <c r="B320" s="534"/>
      <c r="C320" s="534"/>
      <c r="D320" s="534"/>
      <c r="E320" s="534"/>
      <c r="F320" s="802"/>
      <c r="G320" s="530"/>
      <c r="H320" s="804"/>
      <c r="I320" s="631"/>
      <c r="J320" s="631"/>
      <c r="K320" s="631"/>
      <c r="L320" s="530"/>
      <c r="M320" s="530"/>
      <c r="N320" s="530"/>
      <c r="O320" s="530"/>
      <c r="P320" s="758"/>
      <c r="Q320" s="534"/>
      <c r="R320" s="534"/>
      <c r="S320" s="534"/>
      <c r="T320" s="534"/>
      <c r="U320" s="534"/>
      <c r="V320" s="534"/>
      <c r="W320" s="534"/>
    </row>
    <row r="321">
      <c r="A321" s="755"/>
      <c r="B321" s="534"/>
      <c r="C321" s="534"/>
      <c r="D321" s="534"/>
      <c r="E321" s="534"/>
      <c r="F321" s="802"/>
      <c r="G321" s="530"/>
      <c r="H321" s="804"/>
      <c r="I321" s="631"/>
      <c r="J321" s="631"/>
      <c r="K321" s="631"/>
      <c r="L321" s="530"/>
      <c r="M321" s="530"/>
      <c r="N321" s="530"/>
      <c r="O321" s="530"/>
      <c r="P321" s="758"/>
      <c r="Q321" s="534"/>
      <c r="R321" s="534"/>
      <c r="S321" s="534"/>
      <c r="T321" s="534"/>
      <c r="U321" s="534"/>
      <c r="V321" s="534"/>
      <c r="W321" s="534"/>
    </row>
    <row r="322">
      <c r="A322" s="755"/>
      <c r="B322" s="534"/>
      <c r="C322" s="534"/>
      <c r="D322" s="534"/>
      <c r="E322" s="534"/>
      <c r="F322" s="802"/>
      <c r="G322" s="530"/>
      <c r="H322" s="804"/>
      <c r="I322" s="631"/>
      <c r="J322" s="631"/>
      <c r="K322" s="631"/>
      <c r="L322" s="530"/>
      <c r="M322" s="530"/>
      <c r="N322" s="530"/>
      <c r="O322" s="530"/>
      <c r="P322" s="758"/>
      <c r="Q322" s="534"/>
      <c r="R322" s="534"/>
      <c r="S322" s="534"/>
      <c r="T322" s="534"/>
      <c r="U322" s="534"/>
      <c r="V322" s="534"/>
      <c r="W322" s="534"/>
    </row>
    <row r="323">
      <c r="A323" s="755"/>
      <c r="B323" s="534"/>
      <c r="C323" s="534"/>
      <c r="D323" s="534"/>
      <c r="E323" s="534"/>
      <c r="F323" s="802"/>
      <c r="G323" s="530"/>
      <c r="H323" s="804"/>
      <c r="I323" s="631"/>
      <c r="J323" s="631"/>
      <c r="K323" s="631"/>
      <c r="L323" s="530"/>
      <c r="M323" s="530"/>
      <c r="N323" s="530"/>
      <c r="O323" s="530"/>
      <c r="P323" s="758"/>
      <c r="Q323" s="534"/>
      <c r="R323" s="534"/>
      <c r="S323" s="534"/>
      <c r="T323" s="534"/>
      <c r="U323" s="534"/>
      <c r="V323" s="534"/>
      <c r="W323" s="534"/>
    </row>
    <row r="324">
      <c r="A324" s="755"/>
      <c r="B324" s="534"/>
      <c r="C324" s="534"/>
      <c r="D324" s="534"/>
      <c r="E324" s="534"/>
      <c r="F324" s="802"/>
      <c r="G324" s="530"/>
      <c r="H324" s="804"/>
      <c r="I324" s="631"/>
      <c r="J324" s="631"/>
      <c r="K324" s="631"/>
      <c r="L324" s="530"/>
      <c r="M324" s="530"/>
      <c r="N324" s="530"/>
      <c r="O324" s="530"/>
      <c r="P324" s="758"/>
      <c r="Q324" s="534"/>
      <c r="R324" s="534"/>
      <c r="S324" s="534"/>
      <c r="T324" s="534"/>
      <c r="U324" s="534"/>
      <c r="V324" s="534"/>
      <c r="W324" s="534"/>
    </row>
    <row r="325">
      <c r="A325" s="755"/>
      <c r="B325" s="534"/>
      <c r="C325" s="534"/>
      <c r="D325" s="534"/>
      <c r="E325" s="534"/>
      <c r="F325" s="802"/>
      <c r="G325" s="530"/>
      <c r="H325" s="804"/>
      <c r="I325" s="631"/>
      <c r="J325" s="631"/>
      <c r="K325" s="631"/>
      <c r="L325" s="530"/>
      <c r="M325" s="530"/>
      <c r="N325" s="530"/>
      <c r="O325" s="530"/>
      <c r="P325" s="758"/>
      <c r="Q325" s="534"/>
      <c r="R325" s="534"/>
      <c r="S325" s="534"/>
      <c r="T325" s="534"/>
      <c r="U325" s="534"/>
      <c r="V325" s="534"/>
      <c r="W325" s="534"/>
    </row>
    <row r="326">
      <c r="A326" s="755"/>
      <c r="B326" s="534"/>
      <c r="C326" s="534"/>
      <c r="D326" s="534"/>
      <c r="E326" s="534"/>
      <c r="F326" s="802"/>
      <c r="G326" s="530"/>
      <c r="H326" s="804"/>
      <c r="I326" s="631"/>
      <c r="J326" s="631"/>
      <c r="K326" s="631"/>
      <c r="L326" s="530"/>
      <c r="M326" s="530"/>
      <c r="N326" s="530"/>
      <c r="O326" s="530"/>
      <c r="P326" s="758"/>
      <c r="Q326" s="534"/>
      <c r="R326" s="534"/>
      <c r="S326" s="534"/>
      <c r="T326" s="534"/>
      <c r="U326" s="534"/>
      <c r="V326" s="534"/>
      <c r="W326" s="534"/>
    </row>
    <row r="327">
      <c r="A327" s="755"/>
      <c r="B327" s="534"/>
      <c r="C327" s="534"/>
      <c r="D327" s="534"/>
      <c r="E327" s="534"/>
      <c r="F327" s="802"/>
      <c r="G327" s="530"/>
      <c r="H327" s="804"/>
      <c r="I327" s="631"/>
      <c r="J327" s="631"/>
      <c r="K327" s="631"/>
      <c r="L327" s="530"/>
      <c r="M327" s="530"/>
      <c r="N327" s="530"/>
      <c r="O327" s="530"/>
      <c r="P327" s="758"/>
      <c r="Q327" s="534"/>
      <c r="R327" s="534"/>
      <c r="S327" s="534"/>
      <c r="T327" s="534"/>
      <c r="U327" s="534"/>
      <c r="V327" s="534"/>
      <c r="W327" s="534"/>
    </row>
    <row r="328">
      <c r="A328" s="755"/>
      <c r="B328" s="534"/>
      <c r="C328" s="534"/>
      <c r="D328" s="534"/>
      <c r="E328" s="534"/>
      <c r="F328" s="802"/>
      <c r="G328" s="530"/>
      <c r="H328" s="804"/>
      <c r="I328" s="631"/>
      <c r="J328" s="631"/>
      <c r="K328" s="631"/>
      <c r="L328" s="530"/>
      <c r="M328" s="530"/>
      <c r="N328" s="530"/>
      <c r="O328" s="530"/>
      <c r="P328" s="758"/>
      <c r="Q328" s="534"/>
      <c r="R328" s="534"/>
      <c r="S328" s="534"/>
      <c r="T328" s="534"/>
      <c r="U328" s="534"/>
      <c r="V328" s="534"/>
      <c r="W328" s="534"/>
    </row>
    <row r="329">
      <c r="A329" s="755"/>
      <c r="B329" s="534"/>
      <c r="C329" s="534"/>
      <c r="D329" s="534"/>
      <c r="E329" s="534"/>
      <c r="F329" s="802"/>
      <c r="G329" s="530"/>
      <c r="H329" s="804"/>
      <c r="I329" s="631"/>
      <c r="J329" s="631"/>
      <c r="K329" s="631"/>
      <c r="L329" s="530"/>
      <c r="M329" s="530"/>
      <c r="N329" s="530"/>
      <c r="O329" s="530"/>
      <c r="P329" s="758"/>
      <c r="Q329" s="534"/>
      <c r="R329" s="534"/>
      <c r="S329" s="534"/>
      <c r="T329" s="534"/>
      <c r="U329" s="534"/>
      <c r="V329" s="534"/>
      <c r="W329" s="534"/>
    </row>
    <row r="330">
      <c r="A330" s="755"/>
      <c r="B330" s="534"/>
      <c r="C330" s="534"/>
      <c r="D330" s="534"/>
      <c r="E330" s="534"/>
      <c r="F330" s="802"/>
      <c r="G330" s="530"/>
      <c r="H330" s="804"/>
      <c r="I330" s="631"/>
      <c r="J330" s="631"/>
      <c r="K330" s="631"/>
      <c r="L330" s="530"/>
      <c r="M330" s="530"/>
      <c r="N330" s="530"/>
      <c r="O330" s="530"/>
      <c r="P330" s="758"/>
      <c r="Q330" s="534"/>
      <c r="R330" s="534"/>
      <c r="S330" s="534"/>
      <c r="T330" s="534"/>
      <c r="U330" s="534"/>
      <c r="V330" s="534"/>
      <c r="W330" s="534"/>
    </row>
    <row r="331">
      <c r="A331" s="755"/>
      <c r="B331" s="534"/>
      <c r="C331" s="534"/>
      <c r="D331" s="534"/>
      <c r="E331" s="534"/>
      <c r="F331" s="802"/>
      <c r="G331" s="530"/>
      <c r="H331" s="804"/>
      <c r="I331" s="631"/>
      <c r="J331" s="631"/>
      <c r="K331" s="631"/>
      <c r="L331" s="530"/>
      <c r="M331" s="530"/>
      <c r="N331" s="530"/>
      <c r="O331" s="530"/>
      <c r="P331" s="758"/>
      <c r="Q331" s="534"/>
      <c r="R331" s="534"/>
      <c r="S331" s="534"/>
      <c r="T331" s="534"/>
      <c r="U331" s="534"/>
      <c r="V331" s="534"/>
      <c r="W331" s="534"/>
    </row>
    <row r="332">
      <c r="A332" s="755"/>
      <c r="B332" s="534"/>
      <c r="C332" s="534"/>
      <c r="D332" s="534"/>
      <c r="E332" s="534"/>
      <c r="F332" s="802"/>
      <c r="G332" s="530"/>
      <c r="H332" s="804"/>
      <c r="I332" s="631"/>
      <c r="J332" s="631"/>
      <c r="K332" s="631"/>
      <c r="L332" s="530"/>
      <c r="M332" s="530"/>
      <c r="N332" s="530"/>
      <c r="O332" s="530"/>
      <c r="P332" s="758"/>
      <c r="Q332" s="534"/>
      <c r="R332" s="534"/>
      <c r="S332" s="534"/>
      <c r="T332" s="534"/>
      <c r="U332" s="534"/>
      <c r="V332" s="534"/>
      <c r="W332" s="534"/>
    </row>
    <row r="333">
      <c r="A333" s="755"/>
      <c r="B333" s="534"/>
      <c r="C333" s="534"/>
      <c r="D333" s="534"/>
      <c r="E333" s="534"/>
      <c r="F333" s="802"/>
      <c r="G333" s="530"/>
      <c r="H333" s="804"/>
      <c r="I333" s="631"/>
      <c r="J333" s="631"/>
      <c r="K333" s="631"/>
      <c r="L333" s="530"/>
      <c r="M333" s="530"/>
      <c r="N333" s="530"/>
      <c r="O333" s="530"/>
      <c r="P333" s="758"/>
      <c r="Q333" s="534"/>
      <c r="R333" s="534"/>
      <c r="S333" s="534"/>
      <c r="T333" s="534"/>
      <c r="U333" s="534"/>
      <c r="V333" s="534"/>
      <c r="W333" s="534"/>
    </row>
    <row r="334">
      <c r="A334" s="755"/>
      <c r="B334" s="534"/>
      <c r="C334" s="534"/>
      <c r="D334" s="534"/>
      <c r="E334" s="534"/>
      <c r="F334" s="802"/>
      <c r="G334" s="530"/>
      <c r="H334" s="804"/>
      <c r="I334" s="631"/>
      <c r="J334" s="631"/>
      <c r="K334" s="631"/>
      <c r="L334" s="530"/>
      <c r="M334" s="530"/>
      <c r="N334" s="530"/>
      <c r="O334" s="530"/>
      <c r="P334" s="758"/>
      <c r="Q334" s="534"/>
      <c r="R334" s="534"/>
      <c r="S334" s="534"/>
      <c r="T334" s="534"/>
      <c r="U334" s="534"/>
      <c r="V334" s="534"/>
      <c r="W334" s="534"/>
    </row>
    <row r="335">
      <c r="A335" s="755"/>
      <c r="B335" s="534"/>
      <c r="C335" s="534"/>
      <c r="D335" s="534"/>
      <c r="E335" s="534"/>
      <c r="F335" s="802"/>
      <c r="G335" s="530"/>
      <c r="H335" s="804"/>
      <c r="I335" s="631"/>
      <c r="J335" s="631"/>
      <c r="K335" s="631"/>
      <c r="L335" s="530"/>
      <c r="M335" s="530"/>
      <c r="N335" s="530"/>
      <c r="O335" s="530"/>
      <c r="P335" s="758"/>
      <c r="Q335" s="534"/>
      <c r="R335" s="534"/>
      <c r="S335" s="534"/>
      <c r="T335" s="534"/>
      <c r="U335" s="534"/>
      <c r="V335" s="534"/>
      <c r="W335" s="534"/>
    </row>
    <row r="336">
      <c r="A336" s="755"/>
      <c r="B336" s="534"/>
      <c r="C336" s="534"/>
      <c r="D336" s="534"/>
      <c r="E336" s="534"/>
      <c r="F336" s="802"/>
      <c r="G336" s="530"/>
      <c r="H336" s="804"/>
      <c r="I336" s="631"/>
      <c r="J336" s="631"/>
      <c r="K336" s="631"/>
      <c r="L336" s="530"/>
      <c r="M336" s="530"/>
      <c r="N336" s="530"/>
      <c r="O336" s="530"/>
      <c r="P336" s="758"/>
      <c r="Q336" s="534"/>
      <c r="R336" s="534"/>
      <c r="S336" s="534"/>
      <c r="T336" s="534"/>
      <c r="U336" s="534"/>
      <c r="V336" s="534"/>
      <c r="W336" s="534"/>
    </row>
    <row r="337">
      <c r="A337" s="755"/>
      <c r="B337" s="534"/>
      <c r="C337" s="534"/>
      <c r="D337" s="534"/>
      <c r="E337" s="534"/>
      <c r="F337" s="802"/>
      <c r="G337" s="530"/>
      <c r="H337" s="804"/>
      <c r="I337" s="631"/>
      <c r="J337" s="631"/>
      <c r="K337" s="631"/>
      <c r="L337" s="530"/>
      <c r="M337" s="530"/>
      <c r="N337" s="530"/>
      <c r="O337" s="530"/>
      <c r="P337" s="758"/>
      <c r="Q337" s="534"/>
      <c r="R337" s="534"/>
      <c r="S337" s="534"/>
      <c r="T337" s="534"/>
      <c r="U337" s="534"/>
      <c r="V337" s="534"/>
      <c r="W337" s="534"/>
    </row>
    <row r="338">
      <c r="A338" s="755"/>
      <c r="B338" s="534"/>
      <c r="C338" s="534"/>
      <c r="D338" s="534"/>
      <c r="E338" s="534"/>
      <c r="F338" s="802"/>
      <c r="G338" s="530"/>
      <c r="H338" s="804"/>
      <c r="I338" s="631"/>
      <c r="J338" s="631"/>
      <c r="K338" s="631"/>
      <c r="L338" s="530"/>
      <c r="M338" s="530"/>
      <c r="N338" s="530"/>
      <c r="O338" s="530"/>
      <c r="P338" s="758"/>
      <c r="Q338" s="534"/>
      <c r="R338" s="534"/>
      <c r="S338" s="534"/>
      <c r="T338" s="534"/>
      <c r="U338" s="534"/>
      <c r="V338" s="534"/>
      <c r="W338" s="534"/>
    </row>
    <row r="339">
      <c r="A339" s="755"/>
      <c r="B339" s="534"/>
      <c r="C339" s="534"/>
      <c r="D339" s="534"/>
      <c r="E339" s="534"/>
      <c r="F339" s="802"/>
      <c r="G339" s="530"/>
      <c r="H339" s="804"/>
      <c r="I339" s="631"/>
      <c r="J339" s="631"/>
      <c r="K339" s="631"/>
      <c r="L339" s="530"/>
      <c r="M339" s="530"/>
      <c r="N339" s="530"/>
      <c r="O339" s="530"/>
      <c r="P339" s="758"/>
      <c r="Q339" s="534"/>
      <c r="R339" s="534"/>
      <c r="S339" s="534"/>
      <c r="T339" s="534"/>
      <c r="U339" s="534"/>
      <c r="V339" s="534"/>
      <c r="W339" s="534"/>
    </row>
    <row r="340">
      <c r="A340" s="755"/>
      <c r="B340" s="534"/>
      <c r="C340" s="534"/>
      <c r="D340" s="534"/>
      <c r="E340" s="534"/>
      <c r="F340" s="802"/>
      <c r="G340" s="530"/>
      <c r="H340" s="804"/>
      <c r="I340" s="631"/>
      <c r="J340" s="631"/>
      <c r="K340" s="631"/>
      <c r="L340" s="530"/>
      <c r="M340" s="530"/>
      <c r="N340" s="530"/>
      <c r="O340" s="530"/>
      <c r="P340" s="758"/>
      <c r="Q340" s="534"/>
      <c r="R340" s="534"/>
      <c r="S340" s="534"/>
      <c r="T340" s="534"/>
      <c r="U340" s="534"/>
      <c r="V340" s="534"/>
      <c r="W340" s="534"/>
    </row>
    <row r="341">
      <c r="A341" s="755"/>
      <c r="B341" s="534"/>
      <c r="C341" s="534"/>
      <c r="D341" s="534"/>
      <c r="E341" s="534"/>
      <c r="F341" s="802"/>
      <c r="G341" s="530"/>
      <c r="H341" s="804"/>
      <c r="I341" s="631"/>
      <c r="J341" s="631"/>
      <c r="K341" s="631"/>
      <c r="L341" s="530"/>
      <c r="M341" s="530"/>
      <c r="N341" s="530"/>
      <c r="O341" s="530"/>
      <c r="P341" s="758"/>
      <c r="Q341" s="534"/>
      <c r="R341" s="534"/>
      <c r="S341" s="534"/>
      <c r="T341" s="534"/>
      <c r="U341" s="534"/>
      <c r="V341" s="534"/>
      <c r="W341" s="534"/>
    </row>
    <row r="342">
      <c r="A342" s="755"/>
      <c r="B342" s="534"/>
      <c r="C342" s="534"/>
      <c r="D342" s="534"/>
      <c r="E342" s="534"/>
      <c r="F342" s="802"/>
      <c r="G342" s="530"/>
      <c r="H342" s="804"/>
      <c r="I342" s="631"/>
      <c r="J342" s="631"/>
      <c r="K342" s="631"/>
      <c r="L342" s="530"/>
      <c r="M342" s="530"/>
      <c r="N342" s="530"/>
      <c r="O342" s="530"/>
      <c r="P342" s="758"/>
      <c r="Q342" s="534"/>
      <c r="R342" s="534"/>
      <c r="S342" s="534"/>
      <c r="T342" s="534"/>
      <c r="U342" s="534"/>
      <c r="V342" s="534"/>
      <c r="W342" s="534"/>
    </row>
    <row r="343">
      <c r="A343" s="755"/>
      <c r="B343" s="534"/>
      <c r="C343" s="534"/>
      <c r="D343" s="534"/>
      <c r="E343" s="534"/>
      <c r="F343" s="802"/>
      <c r="G343" s="530"/>
      <c r="H343" s="804"/>
      <c r="I343" s="631"/>
      <c r="J343" s="631"/>
      <c r="K343" s="631"/>
      <c r="L343" s="530"/>
      <c r="M343" s="530"/>
      <c r="N343" s="530"/>
      <c r="O343" s="530"/>
      <c r="P343" s="758"/>
      <c r="Q343" s="534"/>
      <c r="R343" s="534"/>
      <c r="S343" s="534"/>
      <c r="T343" s="534"/>
      <c r="U343" s="534"/>
      <c r="V343" s="534"/>
      <c r="W343" s="534"/>
    </row>
    <row r="344">
      <c r="A344" s="755"/>
      <c r="B344" s="534"/>
      <c r="C344" s="534"/>
      <c r="D344" s="534"/>
      <c r="E344" s="534"/>
      <c r="F344" s="802"/>
      <c r="G344" s="530"/>
      <c r="H344" s="804"/>
      <c r="I344" s="631"/>
      <c r="J344" s="631"/>
      <c r="K344" s="631"/>
      <c r="L344" s="530"/>
      <c r="M344" s="530"/>
      <c r="N344" s="530"/>
      <c r="O344" s="530"/>
      <c r="P344" s="758"/>
      <c r="Q344" s="534"/>
      <c r="R344" s="534"/>
      <c r="S344" s="534"/>
      <c r="T344" s="534"/>
      <c r="U344" s="534"/>
      <c r="V344" s="534"/>
      <c r="W344" s="534"/>
    </row>
    <row r="345">
      <c r="A345" s="755"/>
      <c r="B345" s="534"/>
      <c r="C345" s="534"/>
      <c r="D345" s="534"/>
      <c r="E345" s="534"/>
      <c r="F345" s="802"/>
      <c r="G345" s="530"/>
      <c r="H345" s="804"/>
      <c r="I345" s="631"/>
      <c r="J345" s="631"/>
      <c r="K345" s="631"/>
      <c r="L345" s="530"/>
      <c r="M345" s="530"/>
      <c r="N345" s="530"/>
      <c r="O345" s="530"/>
      <c r="P345" s="758"/>
      <c r="Q345" s="534"/>
      <c r="R345" s="534"/>
      <c r="S345" s="534"/>
      <c r="T345" s="534"/>
      <c r="U345" s="534"/>
      <c r="V345" s="534"/>
      <c r="W345" s="534"/>
    </row>
    <row r="346">
      <c r="A346" s="755"/>
      <c r="B346" s="534"/>
      <c r="C346" s="534"/>
      <c r="D346" s="534"/>
      <c r="E346" s="534"/>
      <c r="F346" s="802"/>
      <c r="G346" s="530"/>
      <c r="H346" s="804"/>
      <c r="I346" s="631"/>
      <c r="J346" s="631"/>
      <c r="K346" s="631"/>
      <c r="L346" s="530"/>
      <c r="M346" s="530"/>
      <c r="N346" s="530"/>
      <c r="O346" s="530"/>
      <c r="P346" s="758"/>
      <c r="Q346" s="534"/>
      <c r="R346" s="534"/>
      <c r="S346" s="534"/>
      <c r="T346" s="534"/>
      <c r="U346" s="534"/>
      <c r="V346" s="534"/>
      <c r="W346" s="534"/>
    </row>
    <row r="347">
      <c r="A347" s="755"/>
      <c r="B347" s="534"/>
      <c r="C347" s="534"/>
      <c r="D347" s="534"/>
      <c r="E347" s="534"/>
      <c r="F347" s="802"/>
      <c r="G347" s="530"/>
      <c r="H347" s="804"/>
      <c r="I347" s="631"/>
      <c r="J347" s="631"/>
      <c r="K347" s="631"/>
      <c r="L347" s="530"/>
      <c r="M347" s="530"/>
      <c r="N347" s="530"/>
      <c r="O347" s="530"/>
      <c r="P347" s="758"/>
      <c r="Q347" s="534"/>
      <c r="R347" s="534"/>
      <c r="S347" s="534"/>
      <c r="T347" s="534"/>
      <c r="U347" s="534"/>
      <c r="V347" s="534"/>
      <c r="W347" s="534"/>
    </row>
    <row r="348">
      <c r="A348" s="755"/>
      <c r="B348" s="534"/>
      <c r="C348" s="534"/>
      <c r="D348" s="534"/>
      <c r="E348" s="534"/>
      <c r="F348" s="802"/>
      <c r="G348" s="530"/>
      <c r="H348" s="804"/>
      <c r="I348" s="631"/>
      <c r="J348" s="631"/>
      <c r="K348" s="631"/>
      <c r="L348" s="530"/>
      <c r="M348" s="530"/>
      <c r="N348" s="530"/>
      <c r="O348" s="530"/>
      <c r="P348" s="758"/>
      <c r="Q348" s="534"/>
      <c r="R348" s="534"/>
      <c r="S348" s="534"/>
      <c r="T348" s="534"/>
      <c r="U348" s="534"/>
      <c r="V348" s="534"/>
      <c r="W348" s="534"/>
    </row>
    <row r="349">
      <c r="A349" s="755"/>
      <c r="B349" s="534"/>
      <c r="C349" s="534"/>
      <c r="D349" s="534"/>
      <c r="E349" s="534"/>
      <c r="F349" s="802"/>
      <c r="G349" s="530"/>
      <c r="H349" s="804"/>
      <c r="I349" s="631"/>
      <c r="J349" s="631"/>
      <c r="K349" s="631"/>
      <c r="L349" s="530"/>
      <c r="M349" s="530"/>
      <c r="N349" s="530"/>
      <c r="O349" s="530"/>
      <c r="P349" s="758"/>
      <c r="Q349" s="534"/>
      <c r="R349" s="534"/>
      <c r="S349" s="534"/>
      <c r="T349" s="534"/>
      <c r="U349" s="534"/>
      <c r="V349" s="534"/>
      <c r="W349" s="534"/>
    </row>
    <row r="350">
      <c r="A350" s="755"/>
      <c r="B350" s="534"/>
      <c r="C350" s="534"/>
      <c r="D350" s="534"/>
      <c r="E350" s="534"/>
      <c r="F350" s="802"/>
      <c r="G350" s="530"/>
      <c r="H350" s="804"/>
      <c r="I350" s="631"/>
      <c r="J350" s="631"/>
      <c r="K350" s="631"/>
      <c r="L350" s="530"/>
      <c r="M350" s="530"/>
      <c r="N350" s="530"/>
      <c r="O350" s="530"/>
      <c r="P350" s="758"/>
      <c r="Q350" s="534"/>
      <c r="R350" s="534"/>
      <c r="S350" s="534"/>
      <c r="T350" s="534"/>
      <c r="U350" s="534"/>
      <c r="V350" s="534"/>
      <c r="W350" s="534"/>
    </row>
    <row r="351">
      <c r="A351" s="755"/>
      <c r="B351" s="534"/>
      <c r="C351" s="534"/>
      <c r="D351" s="534"/>
      <c r="E351" s="534"/>
      <c r="F351" s="802"/>
      <c r="G351" s="530"/>
      <c r="H351" s="804"/>
      <c r="I351" s="631"/>
      <c r="J351" s="631"/>
      <c r="K351" s="631"/>
      <c r="L351" s="530"/>
      <c r="M351" s="530"/>
      <c r="N351" s="530"/>
      <c r="O351" s="530"/>
      <c r="P351" s="758"/>
      <c r="Q351" s="534"/>
      <c r="R351" s="534"/>
      <c r="S351" s="534"/>
      <c r="T351" s="534"/>
      <c r="U351" s="534"/>
      <c r="V351" s="534"/>
      <c r="W351" s="534"/>
    </row>
    <row r="352">
      <c r="A352" s="755"/>
      <c r="B352" s="534"/>
      <c r="C352" s="534"/>
      <c r="D352" s="534"/>
      <c r="E352" s="534"/>
      <c r="F352" s="802"/>
      <c r="G352" s="530"/>
      <c r="H352" s="804"/>
      <c r="I352" s="631"/>
      <c r="J352" s="631"/>
      <c r="K352" s="631"/>
      <c r="L352" s="530"/>
      <c r="M352" s="530"/>
      <c r="N352" s="530"/>
      <c r="O352" s="530"/>
      <c r="P352" s="758"/>
      <c r="Q352" s="534"/>
      <c r="R352" s="534"/>
      <c r="S352" s="534"/>
      <c r="T352" s="534"/>
      <c r="U352" s="534"/>
      <c r="V352" s="534"/>
      <c r="W352" s="534"/>
    </row>
    <row r="353">
      <c r="A353" s="755"/>
      <c r="B353" s="534"/>
      <c r="C353" s="534"/>
      <c r="D353" s="534"/>
      <c r="E353" s="534"/>
      <c r="F353" s="802"/>
      <c r="G353" s="530"/>
      <c r="H353" s="804"/>
      <c r="I353" s="631"/>
      <c r="J353" s="631"/>
      <c r="K353" s="631"/>
      <c r="L353" s="530"/>
      <c r="M353" s="530"/>
      <c r="N353" s="530"/>
      <c r="O353" s="530"/>
      <c r="P353" s="758"/>
      <c r="Q353" s="534"/>
      <c r="R353" s="534"/>
      <c r="S353" s="534"/>
      <c r="T353" s="534"/>
      <c r="U353" s="534"/>
      <c r="V353" s="534"/>
      <c r="W353" s="534"/>
    </row>
    <row r="354">
      <c r="A354" s="755"/>
      <c r="B354" s="534"/>
      <c r="C354" s="534"/>
      <c r="D354" s="534"/>
      <c r="E354" s="534"/>
      <c r="F354" s="802"/>
      <c r="G354" s="530"/>
      <c r="H354" s="804"/>
      <c r="I354" s="631"/>
      <c r="J354" s="631"/>
      <c r="K354" s="631"/>
      <c r="L354" s="530"/>
      <c r="M354" s="530"/>
      <c r="N354" s="530"/>
      <c r="O354" s="530"/>
      <c r="P354" s="758"/>
      <c r="Q354" s="534"/>
      <c r="R354" s="534"/>
      <c r="S354" s="534"/>
      <c r="T354" s="534"/>
      <c r="U354" s="534"/>
      <c r="V354" s="534"/>
      <c r="W354" s="534"/>
    </row>
    <row r="355">
      <c r="A355" s="755"/>
      <c r="B355" s="534"/>
      <c r="C355" s="534"/>
      <c r="D355" s="534"/>
      <c r="E355" s="534"/>
      <c r="F355" s="802"/>
      <c r="G355" s="530"/>
      <c r="H355" s="804"/>
      <c r="I355" s="631"/>
      <c r="J355" s="631"/>
      <c r="K355" s="631"/>
      <c r="L355" s="530"/>
      <c r="M355" s="530"/>
      <c r="N355" s="530"/>
      <c r="O355" s="530"/>
      <c r="P355" s="758"/>
      <c r="Q355" s="534"/>
      <c r="R355" s="534"/>
      <c r="S355" s="534"/>
      <c r="T355" s="534"/>
      <c r="U355" s="534"/>
      <c r="V355" s="534"/>
      <c r="W355" s="534"/>
    </row>
    <row r="356">
      <c r="A356" s="755"/>
      <c r="B356" s="534"/>
      <c r="C356" s="534"/>
      <c r="D356" s="534"/>
      <c r="E356" s="534"/>
      <c r="F356" s="802"/>
      <c r="G356" s="530"/>
      <c r="H356" s="804"/>
      <c r="I356" s="631"/>
      <c r="J356" s="631"/>
      <c r="K356" s="631"/>
      <c r="L356" s="530"/>
      <c r="M356" s="530"/>
      <c r="N356" s="530"/>
      <c r="O356" s="530"/>
      <c r="P356" s="758"/>
      <c r="Q356" s="534"/>
      <c r="R356" s="534"/>
      <c r="S356" s="534"/>
      <c r="T356" s="534"/>
      <c r="U356" s="534"/>
      <c r="V356" s="534"/>
      <c r="W356" s="534"/>
    </row>
    <row r="357">
      <c r="A357" s="755"/>
      <c r="B357" s="534"/>
      <c r="C357" s="534"/>
      <c r="D357" s="534"/>
      <c r="E357" s="534"/>
      <c r="F357" s="802"/>
      <c r="G357" s="530"/>
      <c r="H357" s="804"/>
      <c r="I357" s="631"/>
      <c r="J357" s="631"/>
      <c r="K357" s="631"/>
      <c r="L357" s="530"/>
      <c r="M357" s="530"/>
      <c r="N357" s="530"/>
      <c r="O357" s="530"/>
      <c r="P357" s="758"/>
      <c r="Q357" s="534"/>
      <c r="R357" s="534"/>
      <c r="S357" s="534"/>
      <c r="T357" s="534"/>
      <c r="U357" s="534"/>
      <c r="V357" s="534"/>
      <c r="W357" s="534"/>
    </row>
    <row r="358">
      <c r="A358" s="755"/>
      <c r="B358" s="534"/>
      <c r="C358" s="534"/>
      <c r="D358" s="534"/>
      <c r="E358" s="534"/>
      <c r="F358" s="802"/>
      <c r="G358" s="530"/>
      <c r="H358" s="804"/>
      <c r="I358" s="631"/>
      <c r="J358" s="631"/>
      <c r="K358" s="631"/>
      <c r="L358" s="530"/>
      <c r="M358" s="530"/>
      <c r="N358" s="530"/>
      <c r="O358" s="530"/>
      <c r="P358" s="758"/>
      <c r="Q358" s="534"/>
      <c r="R358" s="534"/>
      <c r="S358" s="534"/>
      <c r="T358" s="534"/>
      <c r="U358" s="534"/>
      <c r="V358" s="534"/>
      <c r="W358" s="534"/>
    </row>
    <row r="359">
      <c r="A359" s="755"/>
      <c r="B359" s="534"/>
      <c r="C359" s="534"/>
      <c r="D359" s="534"/>
      <c r="E359" s="534"/>
      <c r="F359" s="802"/>
      <c r="G359" s="530"/>
      <c r="H359" s="804"/>
      <c r="I359" s="631"/>
      <c r="J359" s="631"/>
      <c r="K359" s="631"/>
      <c r="L359" s="530"/>
      <c r="M359" s="530"/>
      <c r="N359" s="530"/>
      <c r="O359" s="530"/>
      <c r="P359" s="758"/>
      <c r="Q359" s="534"/>
      <c r="R359" s="534"/>
      <c r="S359" s="534"/>
      <c r="T359" s="534"/>
      <c r="U359" s="534"/>
      <c r="V359" s="534"/>
      <c r="W359" s="534"/>
    </row>
    <row r="360">
      <c r="A360" s="755"/>
      <c r="B360" s="534"/>
      <c r="C360" s="534"/>
      <c r="D360" s="534"/>
      <c r="E360" s="534"/>
      <c r="F360" s="802"/>
      <c r="G360" s="530"/>
      <c r="H360" s="804"/>
      <c r="I360" s="631"/>
      <c r="J360" s="631"/>
      <c r="K360" s="631"/>
      <c r="L360" s="530"/>
      <c r="M360" s="530"/>
      <c r="N360" s="530"/>
      <c r="O360" s="530"/>
      <c r="P360" s="758"/>
      <c r="Q360" s="534"/>
      <c r="R360" s="534"/>
      <c r="S360" s="534"/>
      <c r="T360" s="534"/>
      <c r="U360" s="534"/>
      <c r="V360" s="534"/>
      <c r="W360" s="534"/>
    </row>
    <row r="361">
      <c r="A361" s="755"/>
      <c r="B361" s="534"/>
      <c r="C361" s="534"/>
      <c r="D361" s="534"/>
      <c r="E361" s="534"/>
      <c r="F361" s="802"/>
      <c r="G361" s="530"/>
      <c r="H361" s="804"/>
      <c r="I361" s="631"/>
      <c r="J361" s="631"/>
      <c r="K361" s="631"/>
      <c r="L361" s="530"/>
      <c r="M361" s="530"/>
      <c r="N361" s="530"/>
      <c r="O361" s="530"/>
      <c r="P361" s="758"/>
      <c r="Q361" s="534"/>
      <c r="R361" s="534"/>
      <c r="S361" s="534"/>
      <c r="T361" s="534"/>
      <c r="U361" s="534"/>
      <c r="V361" s="534"/>
      <c r="W361" s="534"/>
    </row>
    <row r="362">
      <c r="A362" s="755"/>
      <c r="B362" s="534"/>
      <c r="C362" s="534"/>
      <c r="D362" s="534"/>
      <c r="E362" s="534"/>
      <c r="F362" s="802"/>
      <c r="G362" s="530"/>
      <c r="H362" s="804"/>
      <c r="I362" s="631"/>
      <c r="J362" s="631"/>
      <c r="K362" s="631"/>
      <c r="L362" s="530"/>
      <c r="M362" s="530"/>
      <c r="N362" s="530"/>
      <c r="O362" s="530"/>
      <c r="P362" s="758"/>
      <c r="Q362" s="534"/>
      <c r="R362" s="534"/>
      <c r="S362" s="534"/>
      <c r="T362" s="534"/>
      <c r="U362" s="534"/>
      <c r="V362" s="534"/>
      <c r="W362" s="534"/>
    </row>
    <row r="363">
      <c r="A363" s="755"/>
      <c r="B363" s="534"/>
      <c r="C363" s="534"/>
      <c r="D363" s="534"/>
      <c r="E363" s="534"/>
      <c r="F363" s="802"/>
      <c r="G363" s="530"/>
      <c r="H363" s="804"/>
      <c r="I363" s="631"/>
      <c r="J363" s="631"/>
      <c r="K363" s="631"/>
      <c r="L363" s="530"/>
      <c r="M363" s="530"/>
      <c r="N363" s="530"/>
      <c r="O363" s="530"/>
      <c r="P363" s="758"/>
      <c r="Q363" s="534"/>
      <c r="R363" s="534"/>
      <c r="S363" s="534"/>
      <c r="T363" s="534"/>
      <c r="U363" s="534"/>
      <c r="V363" s="534"/>
      <c r="W363" s="534"/>
    </row>
    <row r="364">
      <c r="A364" s="755"/>
      <c r="B364" s="534"/>
      <c r="C364" s="534"/>
      <c r="D364" s="534"/>
      <c r="E364" s="534"/>
      <c r="F364" s="802"/>
      <c r="G364" s="530"/>
      <c r="H364" s="804"/>
      <c r="I364" s="631"/>
      <c r="J364" s="631"/>
      <c r="K364" s="631"/>
      <c r="L364" s="530"/>
      <c r="M364" s="530"/>
      <c r="N364" s="530"/>
      <c r="O364" s="530"/>
      <c r="P364" s="758"/>
      <c r="Q364" s="534"/>
      <c r="R364" s="534"/>
      <c r="S364" s="534"/>
      <c r="T364" s="534"/>
      <c r="U364" s="534"/>
      <c r="V364" s="534"/>
      <c r="W364" s="534"/>
    </row>
    <row r="365">
      <c r="A365" s="755"/>
      <c r="B365" s="534"/>
      <c r="C365" s="534"/>
      <c r="D365" s="534"/>
      <c r="E365" s="534"/>
      <c r="F365" s="802"/>
      <c r="G365" s="530"/>
      <c r="H365" s="804"/>
      <c r="I365" s="631"/>
      <c r="J365" s="631"/>
      <c r="K365" s="631"/>
      <c r="L365" s="530"/>
      <c r="M365" s="530"/>
      <c r="N365" s="530"/>
      <c r="O365" s="530"/>
      <c r="P365" s="758"/>
      <c r="Q365" s="534"/>
      <c r="R365" s="534"/>
      <c r="S365" s="534"/>
      <c r="T365" s="534"/>
      <c r="U365" s="534"/>
      <c r="V365" s="534"/>
      <c r="W365" s="534"/>
    </row>
    <row r="366">
      <c r="A366" s="755"/>
      <c r="B366" s="534"/>
      <c r="C366" s="534"/>
      <c r="D366" s="534"/>
      <c r="E366" s="534"/>
      <c r="F366" s="802"/>
      <c r="G366" s="530"/>
      <c r="H366" s="804"/>
      <c r="I366" s="631"/>
      <c r="J366" s="631"/>
      <c r="K366" s="631"/>
      <c r="L366" s="530"/>
      <c r="M366" s="530"/>
      <c r="N366" s="530"/>
      <c r="O366" s="530"/>
      <c r="P366" s="758"/>
      <c r="Q366" s="534"/>
      <c r="R366" s="534"/>
      <c r="S366" s="534"/>
      <c r="T366" s="534"/>
      <c r="U366" s="534"/>
      <c r="V366" s="534"/>
      <c r="W366" s="534"/>
    </row>
    <row r="367">
      <c r="A367" s="755"/>
      <c r="B367" s="534"/>
      <c r="C367" s="534"/>
      <c r="D367" s="534"/>
      <c r="E367" s="534"/>
      <c r="F367" s="802"/>
      <c r="G367" s="530"/>
      <c r="H367" s="804"/>
      <c r="I367" s="631"/>
      <c r="J367" s="631"/>
      <c r="K367" s="631"/>
      <c r="L367" s="530"/>
      <c r="M367" s="530"/>
      <c r="N367" s="530"/>
      <c r="O367" s="530"/>
      <c r="P367" s="758"/>
      <c r="Q367" s="534"/>
      <c r="R367" s="534"/>
      <c r="S367" s="534"/>
      <c r="T367" s="534"/>
      <c r="U367" s="534"/>
      <c r="V367" s="534"/>
      <c r="W367" s="534"/>
    </row>
    <row r="368">
      <c r="A368" s="755"/>
      <c r="B368" s="534"/>
      <c r="C368" s="534"/>
      <c r="D368" s="534"/>
      <c r="E368" s="534"/>
      <c r="F368" s="802"/>
      <c r="G368" s="530"/>
      <c r="H368" s="804"/>
      <c r="I368" s="631"/>
      <c r="J368" s="631"/>
      <c r="K368" s="631"/>
      <c r="L368" s="530"/>
      <c r="M368" s="530"/>
      <c r="N368" s="530"/>
      <c r="O368" s="530"/>
      <c r="P368" s="758"/>
      <c r="Q368" s="534"/>
      <c r="R368" s="534"/>
      <c r="S368" s="534"/>
      <c r="T368" s="534"/>
      <c r="U368" s="534"/>
      <c r="V368" s="534"/>
      <c r="W368" s="534"/>
    </row>
    <row r="369">
      <c r="A369" s="755"/>
      <c r="B369" s="534"/>
      <c r="C369" s="534"/>
      <c r="D369" s="534"/>
      <c r="E369" s="534"/>
      <c r="F369" s="802"/>
      <c r="G369" s="530"/>
      <c r="H369" s="804"/>
      <c r="I369" s="631"/>
      <c r="J369" s="631"/>
      <c r="K369" s="631"/>
      <c r="L369" s="530"/>
      <c r="M369" s="530"/>
      <c r="N369" s="530"/>
      <c r="O369" s="530"/>
      <c r="P369" s="758"/>
      <c r="Q369" s="534"/>
      <c r="R369" s="534"/>
      <c r="S369" s="534"/>
      <c r="T369" s="534"/>
      <c r="U369" s="534"/>
      <c r="V369" s="534"/>
      <c r="W369" s="534"/>
    </row>
    <row r="370">
      <c r="A370" s="755"/>
      <c r="B370" s="534"/>
      <c r="C370" s="534"/>
      <c r="D370" s="534"/>
      <c r="E370" s="534"/>
      <c r="F370" s="802"/>
      <c r="G370" s="530"/>
      <c r="H370" s="804"/>
      <c r="I370" s="631"/>
      <c r="J370" s="631"/>
      <c r="K370" s="631"/>
      <c r="L370" s="530"/>
      <c r="M370" s="530"/>
      <c r="N370" s="530"/>
      <c r="O370" s="530"/>
      <c r="P370" s="758"/>
      <c r="Q370" s="534"/>
      <c r="R370" s="534"/>
      <c r="S370" s="534"/>
      <c r="T370" s="534"/>
      <c r="U370" s="534"/>
      <c r="V370" s="534"/>
      <c r="W370" s="534"/>
    </row>
    <row r="371">
      <c r="A371" s="755"/>
      <c r="B371" s="534"/>
      <c r="C371" s="534"/>
      <c r="D371" s="534"/>
      <c r="E371" s="534"/>
      <c r="F371" s="802"/>
      <c r="G371" s="530"/>
      <c r="H371" s="804"/>
      <c r="I371" s="631"/>
      <c r="J371" s="631"/>
      <c r="K371" s="631"/>
      <c r="L371" s="530"/>
      <c r="M371" s="530"/>
      <c r="N371" s="530"/>
      <c r="O371" s="530"/>
      <c r="P371" s="758"/>
      <c r="Q371" s="534"/>
      <c r="R371" s="534"/>
      <c r="S371" s="534"/>
      <c r="T371" s="534"/>
      <c r="U371" s="534"/>
      <c r="V371" s="534"/>
      <c r="W371" s="534"/>
    </row>
    <row r="372">
      <c r="A372" s="755"/>
      <c r="B372" s="534"/>
      <c r="C372" s="534"/>
      <c r="D372" s="534"/>
      <c r="E372" s="534"/>
      <c r="F372" s="802"/>
      <c r="G372" s="530"/>
      <c r="H372" s="804"/>
      <c r="I372" s="631"/>
      <c r="J372" s="631"/>
      <c r="K372" s="631"/>
      <c r="L372" s="530"/>
      <c r="M372" s="530"/>
      <c r="N372" s="530"/>
      <c r="O372" s="530"/>
      <c r="P372" s="758"/>
      <c r="Q372" s="534"/>
      <c r="R372" s="534"/>
      <c r="S372" s="534"/>
      <c r="T372" s="534"/>
      <c r="U372" s="534"/>
      <c r="V372" s="534"/>
      <c r="W372" s="534"/>
    </row>
    <row r="373">
      <c r="A373" s="755"/>
      <c r="B373" s="534"/>
      <c r="C373" s="534"/>
      <c r="D373" s="534"/>
      <c r="E373" s="534"/>
      <c r="F373" s="802"/>
      <c r="G373" s="530"/>
      <c r="H373" s="804"/>
      <c r="I373" s="631"/>
      <c r="J373" s="631"/>
      <c r="K373" s="631"/>
      <c r="L373" s="530"/>
      <c r="M373" s="530"/>
      <c r="N373" s="530"/>
      <c r="O373" s="530"/>
      <c r="P373" s="758"/>
      <c r="Q373" s="534"/>
      <c r="R373" s="534"/>
      <c r="S373" s="534"/>
      <c r="T373" s="534"/>
      <c r="U373" s="534"/>
      <c r="V373" s="534"/>
      <c r="W373" s="534"/>
    </row>
    <row r="374">
      <c r="A374" s="755"/>
      <c r="B374" s="534"/>
      <c r="C374" s="534"/>
      <c r="D374" s="534"/>
      <c r="E374" s="534"/>
      <c r="F374" s="802"/>
      <c r="G374" s="530"/>
      <c r="H374" s="804"/>
      <c r="I374" s="631"/>
      <c r="J374" s="631"/>
      <c r="K374" s="631"/>
      <c r="L374" s="530"/>
      <c r="M374" s="530"/>
      <c r="N374" s="530"/>
      <c r="O374" s="530"/>
      <c r="P374" s="758"/>
      <c r="Q374" s="534"/>
      <c r="R374" s="534"/>
      <c r="S374" s="534"/>
      <c r="T374" s="534"/>
      <c r="U374" s="534"/>
      <c r="V374" s="534"/>
      <c r="W374" s="534"/>
    </row>
    <row r="375">
      <c r="A375" s="755"/>
      <c r="B375" s="534"/>
      <c r="C375" s="534"/>
      <c r="D375" s="534"/>
      <c r="E375" s="534"/>
      <c r="F375" s="802"/>
      <c r="G375" s="530"/>
      <c r="H375" s="804"/>
      <c r="I375" s="631"/>
      <c r="J375" s="631"/>
      <c r="K375" s="631"/>
      <c r="L375" s="530"/>
      <c r="M375" s="530"/>
      <c r="N375" s="530"/>
      <c r="O375" s="530"/>
      <c r="P375" s="758"/>
      <c r="Q375" s="534"/>
      <c r="R375" s="534"/>
      <c r="S375" s="534"/>
      <c r="T375" s="534"/>
      <c r="U375" s="534"/>
      <c r="V375" s="534"/>
      <c r="W375" s="534"/>
    </row>
    <row r="376">
      <c r="A376" s="755"/>
      <c r="B376" s="534"/>
      <c r="C376" s="534"/>
      <c r="D376" s="534"/>
      <c r="E376" s="534"/>
      <c r="F376" s="802"/>
      <c r="G376" s="530"/>
      <c r="H376" s="804"/>
      <c r="I376" s="631"/>
      <c r="J376" s="631"/>
      <c r="K376" s="631"/>
      <c r="L376" s="530"/>
      <c r="M376" s="530"/>
      <c r="N376" s="530"/>
      <c r="O376" s="530"/>
      <c r="P376" s="758"/>
      <c r="Q376" s="534"/>
      <c r="R376" s="534"/>
      <c r="S376" s="534"/>
      <c r="T376" s="534"/>
      <c r="U376" s="534"/>
      <c r="V376" s="534"/>
      <c r="W376" s="534"/>
    </row>
    <row r="377">
      <c r="A377" s="755"/>
      <c r="B377" s="534"/>
      <c r="C377" s="534"/>
      <c r="D377" s="534"/>
      <c r="E377" s="534"/>
      <c r="F377" s="802"/>
      <c r="G377" s="530"/>
      <c r="H377" s="804"/>
      <c r="I377" s="631"/>
      <c r="J377" s="631"/>
      <c r="K377" s="631"/>
      <c r="L377" s="530"/>
      <c r="M377" s="530"/>
      <c r="N377" s="530"/>
      <c r="O377" s="530"/>
      <c r="P377" s="758"/>
      <c r="Q377" s="534"/>
      <c r="R377" s="534"/>
      <c r="S377" s="534"/>
      <c r="T377" s="534"/>
      <c r="U377" s="534"/>
      <c r="V377" s="534"/>
      <c r="W377" s="534"/>
    </row>
    <row r="378">
      <c r="A378" s="755"/>
      <c r="B378" s="534"/>
      <c r="C378" s="534"/>
      <c r="D378" s="534"/>
      <c r="E378" s="534"/>
      <c r="F378" s="802"/>
      <c r="G378" s="530"/>
      <c r="H378" s="804"/>
      <c r="I378" s="631"/>
      <c r="J378" s="631"/>
      <c r="K378" s="631"/>
      <c r="L378" s="530"/>
      <c r="M378" s="530"/>
      <c r="N378" s="530"/>
      <c r="O378" s="530"/>
      <c r="P378" s="758"/>
      <c r="Q378" s="534"/>
      <c r="R378" s="534"/>
      <c r="S378" s="534"/>
      <c r="T378" s="534"/>
      <c r="U378" s="534"/>
      <c r="V378" s="534"/>
      <c r="W378" s="534"/>
    </row>
    <row r="379">
      <c r="A379" s="755"/>
      <c r="B379" s="534"/>
      <c r="C379" s="534"/>
      <c r="D379" s="534"/>
      <c r="E379" s="534"/>
      <c r="F379" s="802"/>
      <c r="G379" s="530"/>
      <c r="H379" s="804"/>
      <c r="I379" s="631"/>
      <c r="J379" s="631"/>
      <c r="K379" s="631"/>
      <c r="L379" s="530"/>
      <c r="M379" s="530"/>
      <c r="N379" s="530"/>
      <c r="O379" s="530"/>
      <c r="P379" s="758"/>
      <c r="Q379" s="534"/>
      <c r="R379" s="534"/>
      <c r="S379" s="534"/>
      <c r="T379" s="534"/>
      <c r="U379" s="534"/>
      <c r="V379" s="534"/>
      <c r="W379" s="534"/>
    </row>
    <row r="380">
      <c r="A380" s="755"/>
      <c r="B380" s="534"/>
      <c r="C380" s="534"/>
      <c r="D380" s="534"/>
      <c r="E380" s="534"/>
      <c r="F380" s="802"/>
      <c r="G380" s="530"/>
      <c r="H380" s="804"/>
      <c r="I380" s="631"/>
      <c r="J380" s="631"/>
      <c r="K380" s="631"/>
      <c r="L380" s="530"/>
      <c r="M380" s="530"/>
      <c r="N380" s="530"/>
      <c r="O380" s="530"/>
      <c r="P380" s="758"/>
      <c r="Q380" s="534"/>
      <c r="R380" s="534"/>
      <c r="S380" s="534"/>
      <c r="T380" s="534"/>
      <c r="U380" s="534"/>
      <c r="V380" s="534"/>
      <c r="W380" s="534"/>
    </row>
    <row r="381">
      <c r="A381" s="755"/>
      <c r="B381" s="534"/>
      <c r="C381" s="534"/>
      <c r="D381" s="534"/>
      <c r="E381" s="534"/>
      <c r="F381" s="802"/>
      <c r="G381" s="530"/>
      <c r="H381" s="804"/>
      <c r="I381" s="631"/>
      <c r="J381" s="631"/>
      <c r="K381" s="631"/>
      <c r="L381" s="530"/>
      <c r="M381" s="530"/>
      <c r="N381" s="530"/>
      <c r="O381" s="530"/>
      <c r="P381" s="758"/>
      <c r="Q381" s="534"/>
      <c r="R381" s="534"/>
      <c r="S381" s="534"/>
      <c r="T381" s="534"/>
      <c r="U381" s="534"/>
      <c r="V381" s="534"/>
      <c r="W381" s="534"/>
    </row>
    <row r="382">
      <c r="A382" s="755"/>
      <c r="B382" s="534"/>
      <c r="C382" s="534"/>
      <c r="D382" s="534"/>
      <c r="E382" s="534"/>
      <c r="F382" s="802"/>
      <c r="G382" s="530"/>
      <c r="H382" s="804"/>
      <c r="I382" s="631"/>
      <c r="J382" s="631"/>
      <c r="K382" s="631"/>
      <c r="L382" s="530"/>
      <c r="M382" s="530"/>
      <c r="N382" s="530"/>
      <c r="O382" s="530"/>
      <c r="P382" s="758"/>
      <c r="Q382" s="534"/>
      <c r="R382" s="534"/>
      <c r="S382" s="534"/>
      <c r="T382" s="534"/>
      <c r="U382" s="534"/>
      <c r="V382" s="534"/>
      <c r="W382" s="534"/>
    </row>
    <row r="383">
      <c r="A383" s="755"/>
      <c r="B383" s="534"/>
      <c r="C383" s="534"/>
      <c r="D383" s="534"/>
      <c r="E383" s="534"/>
      <c r="F383" s="802"/>
      <c r="G383" s="530"/>
      <c r="H383" s="804"/>
      <c r="I383" s="631"/>
      <c r="J383" s="631"/>
      <c r="K383" s="631"/>
      <c r="L383" s="530"/>
      <c r="M383" s="530"/>
      <c r="N383" s="530"/>
      <c r="O383" s="530"/>
      <c r="P383" s="758"/>
      <c r="Q383" s="534"/>
      <c r="R383" s="534"/>
      <c r="S383" s="534"/>
      <c r="T383" s="534"/>
      <c r="U383" s="534"/>
      <c r="V383" s="534"/>
      <c r="W383" s="534"/>
    </row>
    <row r="384">
      <c r="A384" s="755"/>
      <c r="B384" s="534"/>
      <c r="C384" s="534"/>
      <c r="D384" s="534"/>
      <c r="E384" s="534"/>
      <c r="F384" s="802"/>
      <c r="G384" s="530"/>
      <c r="H384" s="804"/>
      <c r="I384" s="631"/>
      <c r="J384" s="631"/>
      <c r="K384" s="631"/>
      <c r="L384" s="530"/>
      <c r="M384" s="530"/>
      <c r="N384" s="530"/>
      <c r="O384" s="530"/>
      <c r="P384" s="758"/>
      <c r="Q384" s="534"/>
      <c r="R384" s="534"/>
      <c r="S384" s="534"/>
      <c r="T384" s="534"/>
      <c r="U384" s="534"/>
      <c r="V384" s="534"/>
      <c r="W384" s="534"/>
    </row>
    <row r="385">
      <c r="A385" s="755"/>
      <c r="B385" s="534"/>
      <c r="C385" s="534"/>
      <c r="D385" s="534"/>
      <c r="E385" s="534"/>
      <c r="F385" s="802"/>
      <c r="G385" s="530"/>
      <c r="H385" s="804"/>
      <c r="I385" s="631"/>
      <c r="J385" s="631"/>
      <c r="K385" s="631"/>
      <c r="L385" s="530"/>
      <c r="M385" s="530"/>
      <c r="N385" s="530"/>
      <c r="O385" s="530"/>
      <c r="P385" s="758"/>
      <c r="Q385" s="534"/>
      <c r="R385" s="534"/>
      <c r="S385" s="534"/>
      <c r="T385" s="534"/>
      <c r="U385" s="534"/>
      <c r="V385" s="534"/>
      <c r="W385" s="534"/>
    </row>
    <row r="386">
      <c r="A386" s="755"/>
      <c r="B386" s="534"/>
      <c r="C386" s="534"/>
      <c r="D386" s="534"/>
      <c r="E386" s="534"/>
      <c r="F386" s="802"/>
      <c r="G386" s="530"/>
      <c r="H386" s="804"/>
      <c r="I386" s="631"/>
      <c r="J386" s="631"/>
      <c r="K386" s="631"/>
      <c r="L386" s="530"/>
      <c r="M386" s="530"/>
      <c r="N386" s="530"/>
      <c r="O386" s="530"/>
      <c r="P386" s="758"/>
      <c r="Q386" s="534"/>
      <c r="R386" s="534"/>
      <c r="S386" s="534"/>
      <c r="T386" s="534"/>
      <c r="U386" s="534"/>
      <c r="V386" s="534"/>
      <c r="W386" s="534"/>
    </row>
    <row r="387">
      <c r="A387" s="755"/>
      <c r="B387" s="534"/>
      <c r="C387" s="534"/>
      <c r="D387" s="534"/>
      <c r="E387" s="534"/>
      <c r="F387" s="802"/>
      <c r="G387" s="530"/>
      <c r="H387" s="804"/>
      <c r="I387" s="631"/>
      <c r="J387" s="631"/>
      <c r="K387" s="631"/>
      <c r="L387" s="530"/>
      <c r="M387" s="530"/>
      <c r="N387" s="530"/>
      <c r="O387" s="530"/>
      <c r="P387" s="758"/>
      <c r="Q387" s="534"/>
      <c r="R387" s="534"/>
      <c r="S387" s="534"/>
      <c r="T387" s="534"/>
      <c r="U387" s="534"/>
      <c r="V387" s="534"/>
      <c r="W387" s="534"/>
    </row>
    <row r="388">
      <c r="A388" s="755"/>
      <c r="B388" s="534"/>
      <c r="C388" s="534"/>
      <c r="D388" s="534"/>
      <c r="E388" s="534"/>
      <c r="F388" s="802"/>
      <c r="G388" s="530"/>
      <c r="H388" s="804"/>
      <c r="I388" s="631"/>
      <c r="J388" s="631"/>
      <c r="K388" s="631"/>
      <c r="L388" s="530"/>
      <c r="M388" s="530"/>
      <c r="N388" s="530"/>
      <c r="O388" s="530"/>
      <c r="P388" s="758"/>
      <c r="Q388" s="534"/>
      <c r="R388" s="534"/>
      <c r="S388" s="534"/>
      <c r="T388" s="534"/>
      <c r="U388" s="534"/>
      <c r="V388" s="534"/>
      <c r="W388" s="534"/>
    </row>
    <row r="389">
      <c r="A389" s="755"/>
      <c r="B389" s="534"/>
      <c r="C389" s="534"/>
      <c r="D389" s="534"/>
      <c r="E389" s="534"/>
      <c r="F389" s="802"/>
      <c r="G389" s="530"/>
      <c r="H389" s="804"/>
      <c r="I389" s="631"/>
      <c r="J389" s="631"/>
      <c r="K389" s="631"/>
      <c r="L389" s="530"/>
      <c r="M389" s="530"/>
      <c r="N389" s="530"/>
      <c r="O389" s="530"/>
      <c r="P389" s="758"/>
      <c r="Q389" s="534"/>
      <c r="R389" s="534"/>
      <c r="S389" s="534"/>
      <c r="T389" s="534"/>
      <c r="U389" s="534"/>
      <c r="V389" s="534"/>
      <c r="W389" s="534"/>
    </row>
    <row r="390">
      <c r="A390" s="755"/>
      <c r="B390" s="534"/>
      <c r="C390" s="534"/>
      <c r="D390" s="534"/>
      <c r="E390" s="534"/>
      <c r="F390" s="802"/>
      <c r="G390" s="530"/>
      <c r="H390" s="804"/>
      <c r="I390" s="631"/>
      <c r="J390" s="631"/>
      <c r="K390" s="631"/>
      <c r="L390" s="530"/>
      <c r="M390" s="530"/>
      <c r="N390" s="530"/>
      <c r="O390" s="530"/>
      <c r="P390" s="758"/>
      <c r="Q390" s="534"/>
      <c r="R390" s="534"/>
      <c r="S390" s="534"/>
      <c r="T390" s="534"/>
      <c r="U390" s="534"/>
      <c r="V390" s="534"/>
      <c r="W390" s="534"/>
    </row>
    <row r="391">
      <c r="A391" s="755"/>
      <c r="B391" s="534"/>
      <c r="C391" s="534"/>
      <c r="D391" s="534"/>
      <c r="E391" s="534"/>
      <c r="F391" s="802"/>
      <c r="G391" s="530"/>
      <c r="H391" s="804"/>
      <c r="I391" s="631"/>
      <c r="J391" s="631"/>
      <c r="K391" s="631"/>
      <c r="L391" s="530"/>
      <c r="M391" s="530"/>
      <c r="N391" s="530"/>
      <c r="O391" s="530"/>
      <c r="P391" s="758"/>
      <c r="Q391" s="534"/>
      <c r="R391" s="534"/>
      <c r="S391" s="534"/>
      <c r="T391" s="534"/>
      <c r="U391" s="534"/>
      <c r="V391" s="534"/>
      <c r="W391" s="534"/>
    </row>
    <row r="392">
      <c r="A392" s="755"/>
      <c r="B392" s="534"/>
      <c r="C392" s="534"/>
      <c r="D392" s="534"/>
      <c r="E392" s="534"/>
      <c r="F392" s="802"/>
      <c r="G392" s="530"/>
      <c r="H392" s="804"/>
      <c r="I392" s="631"/>
      <c r="J392" s="631"/>
      <c r="K392" s="631"/>
      <c r="L392" s="530"/>
      <c r="M392" s="530"/>
      <c r="N392" s="530"/>
      <c r="O392" s="530"/>
      <c r="P392" s="758"/>
      <c r="Q392" s="534"/>
      <c r="R392" s="534"/>
      <c r="S392" s="534"/>
      <c r="T392" s="534"/>
      <c r="U392" s="534"/>
      <c r="V392" s="534"/>
      <c r="W392" s="534"/>
    </row>
    <row r="393">
      <c r="A393" s="755"/>
      <c r="B393" s="534"/>
      <c r="C393" s="534"/>
      <c r="D393" s="534"/>
      <c r="E393" s="534"/>
      <c r="F393" s="802"/>
      <c r="G393" s="530"/>
      <c r="H393" s="804"/>
      <c r="I393" s="631"/>
      <c r="J393" s="631"/>
      <c r="K393" s="631"/>
      <c r="L393" s="530"/>
      <c r="M393" s="530"/>
      <c r="N393" s="530"/>
      <c r="O393" s="530"/>
      <c r="P393" s="758"/>
      <c r="Q393" s="534"/>
      <c r="R393" s="534"/>
      <c r="S393" s="534"/>
      <c r="T393" s="534"/>
      <c r="U393" s="534"/>
      <c r="V393" s="534"/>
      <c r="W393" s="534"/>
    </row>
    <row r="394">
      <c r="A394" s="755"/>
      <c r="B394" s="534"/>
      <c r="C394" s="534"/>
      <c r="D394" s="534"/>
      <c r="E394" s="534"/>
      <c r="F394" s="802"/>
      <c r="G394" s="530"/>
      <c r="H394" s="804"/>
      <c r="I394" s="631"/>
      <c r="J394" s="631"/>
      <c r="K394" s="631"/>
      <c r="L394" s="530"/>
      <c r="M394" s="530"/>
      <c r="N394" s="530"/>
      <c r="O394" s="530"/>
      <c r="P394" s="758"/>
      <c r="Q394" s="534"/>
      <c r="R394" s="534"/>
      <c r="S394" s="534"/>
      <c r="T394" s="534"/>
      <c r="U394" s="534"/>
      <c r="V394" s="534"/>
      <c r="W394" s="534"/>
    </row>
    <row r="395">
      <c r="A395" s="755"/>
      <c r="B395" s="534"/>
      <c r="C395" s="534"/>
      <c r="D395" s="534"/>
      <c r="E395" s="534"/>
      <c r="F395" s="802"/>
      <c r="G395" s="530"/>
      <c r="H395" s="804"/>
      <c r="I395" s="631"/>
      <c r="J395" s="631"/>
      <c r="K395" s="631"/>
      <c r="L395" s="530"/>
      <c r="M395" s="530"/>
      <c r="N395" s="530"/>
      <c r="O395" s="530"/>
      <c r="P395" s="758"/>
      <c r="Q395" s="534"/>
      <c r="R395" s="534"/>
      <c r="S395" s="534"/>
      <c r="T395" s="534"/>
      <c r="U395" s="534"/>
      <c r="V395" s="534"/>
      <c r="W395" s="534"/>
    </row>
    <row r="396">
      <c r="A396" s="755"/>
      <c r="B396" s="534"/>
      <c r="C396" s="534"/>
      <c r="D396" s="534"/>
      <c r="E396" s="534"/>
      <c r="F396" s="802"/>
      <c r="G396" s="530"/>
      <c r="H396" s="804"/>
      <c r="I396" s="631"/>
      <c r="J396" s="631"/>
      <c r="K396" s="631"/>
      <c r="L396" s="530"/>
      <c r="M396" s="530"/>
      <c r="N396" s="530"/>
      <c r="O396" s="530"/>
      <c r="P396" s="758"/>
      <c r="Q396" s="534"/>
      <c r="R396" s="534"/>
      <c r="S396" s="534"/>
      <c r="T396" s="534"/>
      <c r="U396" s="534"/>
      <c r="V396" s="534"/>
      <c r="W396" s="534"/>
    </row>
    <row r="397">
      <c r="A397" s="755"/>
      <c r="B397" s="534"/>
      <c r="C397" s="534"/>
      <c r="D397" s="534"/>
      <c r="E397" s="534"/>
      <c r="F397" s="802"/>
      <c r="G397" s="530"/>
      <c r="H397" s="804"/>
      <c r="I397" s="631"/>
      <c r="J397" s="631"/>
      <c r="K397" s="631"/>
      <c r="L397" s="530"/>
      <c r="M397" s="530"/>
      <c r="N397" s="530"/>
      <c r="O397" s="530"/>
      <c r="P397" s="758"/>
      <c r="Q397" s="534"/>
      <c r="R397" s="534"/>
      <c r="S397" s="534"/>
      <c r="T397" s="534"/>
      <c r="U397" s="534"/>
      <c r="V397" s="534"/>
      <c r="W397" s="534"/>
    </row>
    <row r="398">
      <c r="A398" s="755"/>
      <c r="B398" s="534"/>
      <c r="C398" s="534"/>
      <c r="D398" s="534"/>
      <c r="E398" s="534"/>
      <c r="F398" s="802"/>
      <c r="G398" s="530"/>
      <c r="H398" s="804"/>
      <c r="I398" s="631"/>
      <c r="J398" s="631"/>
      <c r="K398" s="631"/>
      <c r="L398" s="530"/>
      <c r="M398" s="530"/>
      <c r="N398" s="530"/>
      <c r="O398" s="530"/>
      <c r="P398" s="758"/>
      <c r="Q398" s="534"/>
      <c r="R398" s="534"/>
      <c r="S398" s="534"/>
      <c r="T398" s="534"/>
      <c r="U398" s="534"/>
      <c r="V398" s="534"/>
      <c r="W398" s="534"/>
    </row>
    <row r="399">
      <c r="A399" s="755"/>
      <c r="B399" s="534"/>
      <c r="C399" s="534"/>
      <c r="D399" s="534"/>
      <c r="E399" s="534"/>
      <c r="F399" s="802"/>
      <c r="G399" s="530"/>
      <c r="H399" s="804"/>
      <c r="I399" s="631"/>
      <c r="J399" s="631"/>
      <c r="K399" s="631"/>
      <c r="L399" s="530"/>
      <c r="M399" s="530"/>
      <c r="N399" s="530"/>
      <c r="O399" s="530"/>
      <c r="P399" s="758"/>
      <c r="Q399" s="534"/>
      <c r="R399" s="534"/>
      <c r="S399" s="534"/>
      <c r="T399" s="534"/>
      <c r="U399" s="534"/>
      <c r="V399" s="534"/>
      <c r="W399" s="534"/>
    </row>
    <row r="400">
      <c r="A400" s="755"/>
      <c r="B400" s="534"/>
      <c r="C400" s="534"/>
      <c r="D400" s="534"/>
      <c r="E400" s="534"/>
      <c r="F400" s="802"/>
      <c r="G400" s="530"/>
      <c r="H400" s="804"/>
      <c r="I400" s="631"/>
      <c r="J400" s="631"/>
      <c r="K400" s="631"/>
      <c r="L400" s="530"/>
      <c r="M400" s="530"/>
      <c r="N400" s="530"/>
      <c r="O400" s="530"/>
      <c r="P400" s="758"/>
      <c r="Q400" s="534"/>
      <c r="R400" s="534"/>
      <c r="S400" s="534"/>
      <c r="T400" s="534"/>
      <c r="U400" s="534"/>
      <c r="V400" s="534"/>
      <c r="W400" s="534"/>
    </row>
    <row r="401">
      <c r="A401" s="755"/>
      <c r="B401" s="534"/>
      <c r="C401" s="534"/>
      <c r="D401" s="534"/>
      <c r="E401" s="534"/>
      <c r="F401" s="802"/>
      <c r="G401" s="530"/>
      <c r="H401" s="804"/>
      <c r="I401" s="631"/>
      <c r="J401" s="631"/>
      <c r="K401" s="631"/>
      <c r="L401" s="530"/>
      <c r="M401" s="530"/>
      <c r="N401" s="530"/>
      <c r="O401" s="530"/>
      <c r="P401" s="758"/>
      <c r="Q401" s="534"/>
      <c r="R401" s="534"/>
      <c r="S401" s="534"/>
      <c r="T401" s="534"/>
      <c r="U401" s="534"/>
      <c r="V401" s="534"/>
      <c r="W401" s="534"/>
    </row>
    <row r="402">
      <c r="A402" s="755"/>
      <c r="B402" s="534"/>
      <c r="C402" s="534"/>
      <c r="D402" s="534"/>
      <c r="E402" s="534"/>
      <c r="F402" s="802"/>
      <c r="G402" s="530"/>
      <c r="H402" s="804"/>
      <c r="I402" s="631"/>
      <c r="J402" s="631"/>
      <c r="K402" s="631"/>
      <c r="L402" s="530"/>
      <c r="M402" s="530"/>
      <c r="N402" s="530"/>
      <c r="O402" s="530"/>
      <c r="P402" s="758"/>
      <c r="Q402" s="534"/>
      <c r="R402" s="534"/>
      <c r="S402" s="534"/>
      <c r="T402" s="534"/>
      <c r="U402" s="534"/>
      <c r="V402" s="534"/>
      <c r="W402" s="534"/>
    </row>
    <row r="403">
      <c r="A403" s="755"/>
      <c r="B403" s="534"/>
      <c r="C403" s="534"/>
      <c r="D403" s="534"/>
      <c r="E403" s="534"/>
      <c r="F403" s="802"/>
      <c r="G403" s="530"/>
      <c r="H403" s="804"/>
      <c r="I403" s="631"/>
      <c r="J403" s="631"/>
      <c r="K403" s="631"/>
      <c r="L403" s="530"/>
      <c r="M403" s="530"/>
      <c r="N403" s="530"/>
      <c r="O403" s="530"/>
      <c r="P403" s="758"/>
      <c r="Q403" s="534"/>
      <c r="R403" s="534"/>
      <c r="S403" s="534"/>
      <c r="T403" s="534"/>
      <c r="U403" s="534"/>
      <c r="V403" s="534"/>
      <c r="W403" s="534"/>
    </row>
    <row r="404">
      <c r="A404" s="755"/>
      <c r="B404" s="534"/>
      <c r="C404" s="534"/>
      <c r="D404" s="534"/>
      <c r="E404" s="534"/>
      <c r="F404" s="802"/>
      <c r="G404" s="530"/>
      <c r="H404" s="804"/>
      <c r="I404" s="631"/>
      <c r="J404" s="631"/>
      <c r="K404" s="631"/>
      <c r="L404" s="530"/>
      <c r="M404" s="530"/>
      <c r="N404" s="530"/>
      <c r="O404" s="530"/>
      <c r="P404" s="758"/>
      <c r="Q404" s="534"/>
      <c r="R404" s="534"/>
      <c r="S404" s="534"/>
      <c r="T404" s="534"/>
      <c r="U404" s="534"/>
      <c r="V404" s="534"/>
      <c r="W404" s="534"/>
    </row>
    <row r="405">
      <c r="A405" s="755"/>
      <c r="B405" s="534"/>
      <c r="C405" s="534"/>
      <c r="D405" s="534"/>
      <c r="E405" s="534"/>
      <c r="F405" s="802"/>
      <c r="G405" s="530"/>
      <c r="H405" s="804"/>
      <c r="I405" s="631"/>
      <c r="J405" s="631"/>
      <c r="K405" s="631"/>
      <c r="L405" s="530"/>
      <c r="M405" s="530"/>
      <c r="N405" s="530"/>
      <c r="O405" s="530"/>
      <c r="P405" s="758"/>
      <c r="Q405" s="534"/>
      <c r="R405" s="534"/>
      <c r="S405" s="534"/>
      <c r="T405" s="534"/>
      <c r="U405" s="534"/>
      <c r="V405" s="534"/>
      <c r="W405" s="534"/>
    </row>
    <row r="406">
      <c r="A406" s="755"/>
      <c r="B406" s="534"/>
      <c r="C406" s="534"/>
      <c r="D406" s="534"/>
      <c r="E406" s="534"/>
      <c r="F406" s="802"/>
      <c r="G406" s="530"/>
      <c r="H406" s="804"/>
      <c r="I406" s="631"/>
      <c r="J406" s="631"/>
      <c r="K406" s="631"/>
      <c r="L406" s="530"/>
      <c r="M406" s="530"/>
      <c r="N406" s="530"/>
      <c r="O406" s="530"/>
      <c r="P406" s="758"/>
      <c r="Q406" s="534"/>
      <c r="R406" s="534"/>
      <c r="S406" s="534"/>
      <c r="T406" s="534"/>
      <c r="U406" s="534"/>
      <c r="V406" s="534"/>
      <c r="W406" s="534"/>
    </row>
    <row r="407">
      <c r="A407" s="755"/>
      <c r="B407" s="534"/>
      <c r="C407" s="534"/>
      <c r="D407" s="534"/>
      <c r="E407" s="534"/>
      <c r="F407" s="802"/>
      <c r="G407" s="530"/>
      <c r="H407" s="804"/>
      <c r="I407" s="631"/>
      <c r="J407" s="631"/>
      <c r="K407" s="631"/>
      <c r="L407" s="530"/>
      <c r="M407" s="530"/>
      <c r="N407" s="530"/>
      <c r="O407" s="530"/>
      <c r="P407" s="758"/>
      <c r="Q407" s="534"/>
      <c r="R407" s="534"/>
      <c r="S407" s="534"/>
      <c r="T407" s="534"/>
      <c r="U407" s="534"/>
      <c r="V407" s="534"/>
      <c r="W407" s="534"/>
    </row>
    <row r="408">
      <c r="A408" s="755"/>
      <c r="B408" s="534"/>
      <c r="C408" s="534"/>
      <c r="D408" s="534"/>
      <c r="E408" s="534"/>
      <c r="F408" s="802"/>
      <c r="G408" s="530"/>
      <c r="H408" s="804"/>
      <c r="I408" s="631"/>
      <c r="J408" s="631"/>
      <c r="K408" s="631"/>
      <c r="L408" s="530"/>
      <c r="M408" s="530"/>
      <c r="N408" s="530"/>
      <c r="O408" s="530"/>
      <c r="P408" s="758"/>
      <c r="Q408" s="534"/>
      <c r="R408" s="534"/>
      <c r="S408" s="534"/>
      <c r="T408" s="534"/>
      <c r="U408" s="534"/>
      <c r="V408" s="534"/>
      <c r="W408" s="534"/>
    </row>
    <row r="409">
      <c r="A409" s="755"/>
      <c r="B409" s="534"/>
      <c r="C409" s="534"/>
      <c r="D409" s="534"/>
      <c r="E409" s="534"/>
      <c r="F409" s="802"/>
      <c r="G409" s="530"/>
      <c r="H409" s="804"/>
      <c r="I409" s="631"/>
      <c r="J409" s="631"/>
      <c r="K409" s="631"/>
      <c r="L409" s="530"/>
      <c r="M409" s="530"/>
      <c r="N409" s="530"/>
      <c r="O409" s="530"/>
      <c r="P409" s="758"/>
      <c r="Q409" s="534"/>
      <c r="R409" s="534"/>
      <c r="S409" s="534"/>
      <c r="T409" s="534"/>
      <c r="U409" s="534"/>
      <c r="V409" s="534"/>
      <c r="W409" s="534"/>
    </row>
    <row r="410">
      <c r="A410" s="755"/>
      <c r="B410" s="534"/>
      <c r="C410" s="534"/>
      <c r="D410" s="534"/>
      <c r="E410" s="534"/>
      <c r="F410" s="802"/>
      <c r="G410" s="530"/>
      <c r="H410" s="804"/>
      <c r="I410" s="631"/>
      <c r="J410" s="631"/>
      <c r="K410" s="631"/>
      <c r="L410" s="530"/>
      <c r="M410" s="530"/>
      <c r="N410" s="530"/>
      <c r="O410" s="530"/>
      <c r="P410" s="758"/>
      <c r="Q410" s="534"/>
      <c r="R410" s="534"/>
      <c r="S410" s="534"/>
      <c r="T410" s="534"/>
      <c r="U410" s="534"/>
      <c r="V410" s="534"/>
      <c r="W410" s="534"/>
    </row>
    <row r="411">
      <c r="A411" s="755"/>
      <c r="B411" s="534"/>
      <c r="C411" s="534"/>
      <c r="D411" s="534"/>
      <c r="E411" s="534"/>
      <c r="F411" s="802"/>
      <c r="G411" s="530"/>
      <c r="H411" s="804"/>
      <c r="I411" s="631"/>
      <c r="J411" s="631"/>
      <c r="K411" s="631"/>
      <c r="L411" s="530"/>
      <c r="M411" s="530"/>
      <c r="N411" s="530"/>
      <c r="O411" s="530"/>
      <c r="P411" s="758"/>
      <c r="Q411" s="534"/>
      <c r="R411" s="534"/>
      <c r="S411" s="534"/>
      <c r="T411" s="534"/>
      <c r="U411" s="534"/>
      <c r="V411" s="534"/>
      <c r="W411" s="534"/>
    </row>
    <row r="412">
      <c r="A412" s="755"/>
      <c r="B412" s="534"/>
      <c r="C412" s="534"/>
      <c r="D412" s="534"/>
      <c r="E412" s="534"/>
      <c r="F412" s="802"/>
      <c r="G412" s="530"/>
      <c r="H412" s="804"/>
      <c r="I412" s="631"/>
      <c r="J412" s="631"/>
      <c r="K412" s="631"/>
      <c r="L412" s="530"/>
      <c r="M412" s="530"/>
      <c r="N412" s="530"/>
      <c r="O412" s="530"/>
      <c r="P412" s="758"/>
      <c r="Q412" s="534"/>
      <c r="R412" s="534"/>
      <c r="S412" s="534"/>
      <c r="T412" s="534"/>
      <c r="U412" s="534"/>
      <c r="V412" s="534"/>
      <c r="W412" s="534"/>
    </row>
    <row r="413">
      <c r="A413" s="755"/>
      <c r="B413" s="534"/>
      <c r="C413" s="534"/>
      <c r="D413" s="534"/>
      <c r="E413" s="534"/>
      <c r="F413" s="802"/>
      <c r="G413" s="530"/>
      <c r="H413" s="804"/>
      <c r="I413" s="631"/>
      <c r="J413" s="631"/>
      <c r="K413" s="631"/>
      <c r="L413" s="530"/>
      <c r="M413" s="530"/>
      <c r="N413" s="530"/>
      <c r="O413" s="530"/>
      <c r="P413" s="758"/>
      <c r="Q413" s="534"/>
      <c r="R413" s="534"/>
      <c r="S413" s="534"/>
      <c r="T413" s="534"/>
      <c r="U413" s="534"/>
      <c r="V413" s="534"/>
      <c r="W413" s="534"/>
    </row>
    <row r="414">
      <c r="A414" s="755"/>
      <c r="B414" s="534"/>
      <c r="C414" s="534"/>
      <c r="D414" s="534"/>
      <c r="E414" s="534"/>
      <c r="F414" s="802"/>
      <c r="G414" s="530"/>
      <c r="H414" s="804"/>
      <c r="I414" s="631"/>
      <c r="J414" s="631"/>
      <c r="K414" s="631"/>
      <c r="L414" s="530"/>
      <c r="M414" s="530"/>
      <c r="N414" s="530"/>
      <c r="O414" s="530"/>
      <c r="P414" s="758"/>
      <c r="Q414" s="534"/>
      <c r="R414" s="534"/>
      <c r="S414" s="534"/>
      <c r="T414" s="534"/>
      <c r="U414" s="534"/>
      <c r="V414" s="534"/>
      <c r="W414" s="534"/>
    </row>
    <row r="415">
      <c r="A415" s="755"/>
      <c r="B415" s="534"/>
      <c r="C415" s="534"/>
      <c r="D415" s="534"/>
      <c r="E415" s="534"/>
      <c r="F415" s="802"/>
      <c r="G415" s="530"/>
      <c r="H415" s="804"/>
      <c r="I415" s="631"/>
      <c r="J415" s="631"/>
      <c r="K415" s="631"/>
      <c r="L415" s="530"/>
      <c r="M415" s="530"/>
      <c r="N415" s="530"/>
      <c r="O415" s="530"/>
      <c r="P415" s="758"/>
      <c r="Q415" s="534"/>
      <c r="R415" s="534"/>
      <c r="S415" s="534"/>
      <c r="T415" s="534"/>
      <c r="U415" s="534"/>
      <c r="V415" s="534"/>
      <c r="W415" s="534"/>
    </row>
    <row r="416">
      <c r="A416" s="755"/>
      <c r="B416" s="534"/>
      <c r="C416" s="534"/>
      <c r="D416" s="534"/>
      <c r="E416" s="534"/>
      <c r="F416" s="802"/>
      <c r="G416" s="530"/>
      <c r="H416" s="804"/>
      <c r="I416" s="631"/>
      <c r="J416" s="631"/>
      <c r="K416" s="631"/>
      <c r="L416" s="530"/>
      <c r="M416" s="530"/>
      <c r="N416" s="530"/>
      <c r="O416" s="530"/>
      <c r="P416" s="758"/>
      <c r="Q416" s="534"/>
      <c r="R416" s="534"/>
      <c r="S416" s="534"/>
      <c r="T416" s="534"/>
      <c r="U416" s="534"/>
      <c r="V416" s="534"/>
      <c r="W416" s="534"/>
    </row>
    <row r="417">
      <c r="A417" s="755"/>
      <c r="B417" s="534"/>
      <c r="C417" s="534"/>
      <c r="D417" s="534"/>
      <c r="E417" s="534"/>
      <c r="F417" s="802"/>
      <c r="G417" s="530"/>
      <c r="H417" s="804"/>
      <c r="I417" s="631"/>
      <c r="J417" s="631"/>
      <c r="K417" s="631"/>
      <c r="L417" s="530"/>
      <c r="M417" s="530"/>
      <c r="N417" s="530"/>
      <c r="O417" s="530"/>
      <c r="P417" s="758"/>
      <c r="Q417" s="534"/>
      <c r="R417" s="534"/>
      <c r="S417" s="534"/>
      <c r="T417" s="534"/>
      <c r="U417" s="534"/>
      <c r="V417" s="534"/>
      <c r="W417" s="534"/>
    </row>
    <row r="418">
      <c r="A418" s="755"/>
      <c r="B418" s="534"/>
      <c r="C418" s="534"/>
      <c r="D418" s="534"/>
      <c r="E418" s="534"/>
      <c r="F418" s="802"/>
      <c r="G418" s="530"/>
      <c r="H418" s="804"/>
      <c r="I418" s="631"/>
      <c r="J418" s="631"/>
      <c r="K418" s="631"/>
      <c r="L418" s="530"/>
      <c r="M418" s="530"/>
      <c r="N418" s="530"/>
      <c r="O418" s="530"/>
      <c r="P418" s="758"/>
      <c r="Q418" s="534"/>
      <c r="R418" s="534"/>
      <c r="S418" s="534"/>
      <c r="T418" s="534"/>
      <c r="U418" s="534"/>
      <c r="V418" s="534"/>
      <c r="W418" s="534"/>
    </row>
    <row r="419">
      <c r="A419" s="755"/>
      <c r="B419" s="534"/>
      <c r="C419" s="534"/>
      <c r="D419" s="534"/>
      <c r="E419" s="534"/>
      <c r="F419" s="802"/>
      <c r="G419" s="530"/>
      <c r="H419" s="804"/>
      <c r="I419" s="631"/>
      <c r="J419" s="631"/>
      <c r="K419" s="631"/>
      <c r="L419" s="530"/>
      <c r="M419" s="530"/>
      <c r="N419" s="530"/>
      <c r="O419" s="530"/>
      <c r="P419" s="758"/>
      <c r="Q419" s="534"/>
      <c r="R419" s="534"/>
      <c r="S419" s="534"/>
      <c r="T419" s="534"/>
      <c r="U419" s="534"/>
      <c r="V419" s="534"/>
      <c r="W419" s="534"/>
    </row>
    <row r="420">
      <c r="A420" s="755"/>
      <c r="B420" s="534"/>
      <c r="C420" s="534"/>
      <c r="D420" s="534"/>
      <c r="E420" s="534"/>
      <c r="F420" s="802"/>
      <c r="G420" s="530"/>
      <c r="H420" s="804"/>
      <c r="I420" s="631"/>
      <c r="J420" s="631"/>
      <c r="K420" s="631"/>
      <c r="L420" s="530"/>
      <c r="M420" s="530"/>
      <c r="N420" s="530"/>
      <c r="O420" s="530"/>
      <c r="P420" s="758"/>
      <c r="Q420" s="534"/>
      <c r="R420" s="534"/>
      <c r="S420" s="534"/>
      <c r="T420" s="534"/>
      <c r="U420" s="534"/>
      <c r="V420" s="534"/>
      <c r="W420" s="534"/>
    </row>
    <row r="421">
      <c r="A421" s="755"/>
      <c r="B421" s="534"/>
      <c r="C421" s="534"/>
      <c r="D421" s="534"/>
      <c r="E421" s="534"/>
      <c r="F421" s="802"/>
      <c r="G421" s="530"/>
      <c r="H421" s="804"/>
      <c r="I421" s="631"/>
      <c r="J421" s="631"/>
      <c r="K421" s="631"/>
      <c r="L421" s="530"/>
      <c r="M421" s="530"/>
      <c r="N421" s="530"/>
      <c r="O421" s="530"/>
      <c r="P421" s="758"/>
      <c r="Q421" s="534"/>
      <c r="R421" s="534"/>
      <c r="S421" s="534"/>
      <c r="T421" s="534"/>
      <c r="U421" s="534"/>
      <c r="V421" s="534"/>
      <c r="W421" s="534"/>
    </row>
    <row r="422">
      <c r="A422" s="755"/>
      <c r="B422" s="534"/>
      <c r="C422" s="534"/>
      <c r="D422" s="534"/>
      <c r="E422" s="534"/>
      <c r="F422" s="802"/>
      <c r="G422" s="530"/>
      <c r="H422" s="804"/>
      <c r="I422" s="631"/>
      <c r="J422" s="631"/>
      <c r="K422" s="631"/>
      <c r="L422" s="530"/>
      <c r="M422" s="530"/>
      <c r="N422" s="530"/>
      <c r="O422" s="530"/>
      <c r="P422" s="758"/>
      <c r="Q422" s="534"/>
      <c r="R422" s="534"/>
      <c r="S422" s="534"/>
      <c r="T422" s="534"/>
      <c r="U422" s="534"/>
      <c r="V422" s="534"/>
      <c r="W422" s="534"/>
    </row>
    <row r="423">
      <c r="A423" s="755"/>
      <c r="B423" s="534"/>
      <c r="C423" s="534"/>
      <c r="D423" s="534"/>
      <c r="E423" s="534"/>
      <c r="F423" s="802"/>
      <c r="G423" s="530"/>
      <c r="H423" s="804"/>
      <c r="I423" s="631"/>
      <c r="J423" s="631"/>
      <c r="K423" s="631"/>
      <c r="L423" s="530"/>
      <c r="M423" s="530"/>
      <c r="N423" s="530"/>
      <c r="O423" s="530"/>
      <c r="P423" s="758"/>
      <c r="Q423" s="534"/>
      <c r="R423" s="534"/>
      <c r="S423" s="534"/>
      <c r="T423" s="534"/>
      <c r="U423" s="534"/>
      <c r="V423" s="534"/>
      <c r="W423" s="534"/>
    </row>
    <row r="424">
      <c r="A424" s="755"/>
      <c r="B424" s="534"/>
      <c r="C424" s="534"/>
      <c r="D424" s="534"/>
      <c r="E424" s="534"/>
      <c r="F424" s="802"/>
      <c r="G424" s="530"/>
      <c r="H424" s="804"/>
      <c r="I424" s="631"/>
      <c r="J424" s="631"/>
      <c r="K424" s="631"/>
      <c r="L424" s="530"/>
      <c r="M424" s="530"/>
      <c r="N424" s="530"/>
      <c r="O424" s="530"/>
      <c r="P424" s="758"/>
      <c r="Q424" s="534"/>
      <c r="R424" s="534"/>
      <c r="S424" s="534"/>
      <c r="T424" s="534"/>
      <c r="U424" s="534"/>
      <c r="V424" s="534"/>
      <c r="W424" s="534"/>
    </row>
    <row r="425">
      <c r="A425" s="755"/>
      <c r="B425" s="534"/>
      <c r="C425" s="534"/>
      <c r="D425" s="534"/>
      <c r="E425" s="534"/>
      <c r="F425" s="802"/>
      <c r="G425" s="530"/>
      <c r="H425" s="804"/>
      <c r="I425" s="631"/>
      <c r="J425" s="631"/>
      <c r="K425" s="631"/>
      <c r="L425" s="530"/>
      <c r="M425" s="530"/>
      <c r="N425" s="530"/>
      <c r="O425" s="530"/>
      <c r="P425" s="758"/>
      <c r="Q425" s="534"/>
      <c r="R425" s="534"/>
      <c r="S425" s="534"/>
      <c r="T425" s="534"/>
      <c r="U425" s="534"/>
      <c r="V425" s="534"/>
      <c r="W425" s="534"/>
    </row>
    <row r="426">
      <c r="A426" s="755"/>
      <c r="B426" s="534"/>
      <c r="C426" s="534"/>
      <c r="D426" s="534"/>
      <c r="E426" s="534"/>
      <c r="F426" s="802"/>
      <c r="G426" s="530"/>
      <c r="H426" s="804"/>
      <c r="I426" s="631"/>
      <c r="J426" s="631"/>
      <c r="K426" s="631"/>
      <c r="L426" s="530"/>
      <c r="M426" s="530"/>
      <c r="N426" s="530"/>
      <c r="O426" s="530"/>
      <c r="P426" s="758"/>
      <c r="Q426" s="534"/>
      <c r="R426" s="534"/>
      <c r="S426" s="534"/>
      <c r="T426" s="534"/>
      <c r="U426" s="534"/>
      <c r="V426" s="534"/>
      <c r="W426" s="534"/>
    </row>
    <row r="427">
      <c r="A427" s="755"/>
      <c r="B427" s="534"/>
      <c r="C427" s="534"/>
      <c r="D427" s="534"/>
      <c r="E427" s="534"/>
      <c r="F427" s="802"/>
      <c r="G427" s="530"/>
      <c r="H427" s="804"/>
      <c r="I427" s="631"/>
      <c r="J427" s="631"/>
      <c r="K427" s="631"/>
      <c r="L427" s="530"/>
      <c r="M427" s="530"/>
      <c r="N427" s="530"/>
      <c r="O427" s="530"/>
      <c r="P427" s="758"/>
      <c r="Q427" s="534"/>
      <c r="R427" s="534"/>
      <c r="S427" s="534"/>
      <c r="T427" s="534"/>
      <c r="U427" s="534"/>
      <c r="V427" s="534"/>
      <c r="W427" s="534"/>
    </row>
    <row r="428">
      <c r="A428" s="755"/>
      <c r="B428" s="534"/>
      <c r="C428" s="534"/>
      <c r="D428" s="534"/>
      <c r="E428" s="534"/>
      <c r="F428" s="802"/>
      <c r="G428" s="530"/>
      <c r="H428" s="804"/>
      <c r="I428" s="631"/>
      <c r="J428" s="631"/>
      <c r="K428" s="631"/>
      <c r="L428" s="530"/>
      <c r="M428" s="530"/>
      <c r="N428" s="530"/>
      <c r="O428" s="530"/>
      <c r="P428" s="758"/>
      <c r="Q428" s="534"/>
      <c r="R428" s="534"/>
      <c r="S428" s="534"/>
      <c r="T428" s="534"/>
      <c r="U428" s="534"/>
      <c r="V428" s="534"/>
      <c r="W428" s="534"/>
    </row>
    <row r="429">
      <c r="A429" s="755"/>
      <c r="B429" s="534"/>
      <c r="C429" s="534"/>
      <c r="D429" s="534"/>
      <c r="E429" s="534"/>
      <c r="F429" s="802"/>
      <c r="G429" s="530"/>
      <c r="H429" s="804"/>
      <c r="I429" s="631"/>
      <c r="J429" s="631"/>
      <c r="K429" s="631"/>
      <c r="L429" s="530"/>
      <c r="M429" s="530"/>
      <c r="N429" s="530"/>
      <c r="O429" s="530"/>
      <c r="P429" s="758"/>
      <c r="Q429" s="534"/>
      <c r="R429" s="534"/>
      <c r="S429" s="534"/>
      <c r="T429" s="534"/>
      <c r="U429" s="534"/>
      <c r="V429" s="534"/>
      <c r="W429" s="534"/>
    </row>
    <row r="430">
      <c r="A430" s="755"/>
      <c r="B430" s="534"/>
      <c r="C430" s="534"/>
      <c r="D430" s="534"/>
      <c r="E430" s="534"/>
      <c r="F430" s="802"/>
      <c r="G430" s="530"/>
      <c r="H430" s="804"/>
      <c r="I430" s="631"/>
      <c r="J430" s="631"/>
      <c r="K430" s="631"/>
      <c r="L430" s="530"/>
      <c r="M430" s="530"/>
      <c r="N430" s="530"/>
      <c r="O430" s="530"/>
      <c r="P430" s="758"/>
      <c r="Q430" s="534"/>
      <c r="R430" s="534"/>
      <c r="S430" s="534"/>
      <c r="T430" s="534"/>
      <c r="U430" s="534"/>
      <c r="V430" s="534"/>
      <c r="W430" s="534"/>
    </row>
    <row r="431">
      <c r="A431" s="755"/>
      <c r="B431" s="534"/>
      <c r="C431" s="534"/>
      <c r="D431" s="534"/>
      <c r="E431" s="534"/>
      <c r="F431" s="802"/>
      <c r="G431" s="530"/>
      <c r="H431" s="804"/>
      <c r="I431" s="631"/>
      <c r="J431" s="631"/>
      <c r="K431" s="631"/>
      <c r="L431" s="530"/>
      <c r="M431" s="530"/>
      <c r="N431" s="530"/>
      <c r="O431" s="530"/>
      <c r="P431" s="758"/>
      <c r="Q431" s="534"/>
      <c r="R431" s="534"/>
      <c r="S431" s="534"/>
      <c r="T431" s="534"/>
      <c r="U431" s="534"/>
      <c r="V431" s="534"/>
      <c r="W431" s="534"/>
    </row>
    <row r="432">
      <c r="A432" s="755"/>
      <c r="B432" s="534"/>
      <c r="C432" s="534"/>
      <c r="D432" s="534"/>
      <c r="E432" s="534"/>
      <c r="F432" s="802"/>
      <c r="G432" s="530"/>
      <c r="H432" s="804"/>
      <c r="I432" s="631"/>
      <c r="J432" s="631"/>
      <c r="K432" s="631"/>
      <c r="L432" s="530"/>
      <c r="M432" s="530"/>
      <c r="N432" s="530"/>
      <c r="O432" s="530"/>
      <c r="P432" s="758"/>
      <c r="Q432" s="534"/>
      <c r="R432" s="534"/>
      <c r="S432" s="534"/>
      <c r="T432" s="534"/>
      <c r="U432" s="534"/>
      <c r="V432" s="534"/>
      <c r="W432" s="534"/>
    </row>
    <row r="433">
      <c r="A433" s="755"/>
      <c r="B433" s="534"/>
      <c r="C433" s="534"/>
      <c r="D433" s="534"/>
      <c r="E433" s="534"/>
      <c r="F433" s="802"/>
      <c r="G433" s="530"/>
      <c r="H433" s="804"/>
      <c r="I433" s="631"/>
      <c r="J433" s="631"/>
      <c r="K433" s="631"/>
      <c r="L433" s="530"/>
      <c r="M433" s="530"/>
      <c r="N433" s="530"/>
      <c r="O433" s="530"/>
      <c r="P433" s="758"/>
      <c r="Q433" s="534"/>
      <c r="R433" s="534"/>
      <c r="S433" s="534"/>
      <c r="T433" s="534"/>
      <c r="U433" s="534"/>
      <c r="V433" s="534"/>
      <c r="W433" s="534"/>
    </row>
    <row r="434">
      <c r="A434" s="755"/>
      <c r="B434" s="534"/>
      <c r="C434" s="534"/>
      <c r="D434" s="534"/>
      <c r="E434" s="534"/>
      <c r="F434" s="802"/>
      <c r="G434" s="530"/>
      <c r="H434" s="804"/>
      <c r="I434" s="631"/>
      <c r="J434" s="631"/>
      <c r="K434" s="631"/>
      <c r="L434" s="530"/>
      <c r="M434" s="530"/>
      <c r="N434" s="530"/>
      <c r="O434" s="530"/>
      <c r="P434" s="758"/>
      <c r="Q434" s="534"/>
      <c r="R434" s="534"/>
      <c r="S434" s="534"/>
      <c r="T434" s="534"/>
      <c r="U434" s="534"/>
      <c r="V434" s="534"/>
      <c r="W434" s="534"/>
    </row>
    <row r="435">
      <c r="A435" s="755"/>
      <c r="B435" s="534"/>
      <c r="C435" s="534"/>
      <c r="D435" s="534"/>
      <c r="E435" s="534"/>
      <c r="F435" s="802"/>
      <c r="G435" s="530"/>
      <c r="H435" s="804"/>
      <c r="I435" s="631"/>
      <c r="J435" s="631"/>
      <c r="K435" s="631"/>
      <c r="L435" s="530"/>
      <c r="M435" s="530"/>
      <c r="N435" s="530"/>
      <c r="O435" s="530"/>
      <c r="P435" s="758"/>
      <c r="Q435" s="534"/>
      <c r="R435" s="534"/>
      <c r="S435" s="534"/>
      <c r="T435" s="534"/>
      <c r="U435" s="534"/>
      <c r="V435" s="534"/>
      <c r="W435" s="534"/>
    </row>
    <row r="436">
      <c r="A436" s="755"/>
      <c r="B436" s="534"/>
      <c r="C436" s="534"/>
      <c r="D436" s="534"/>
      <c r="E436" s="534"/>
      <c r="F436" s="802"/>
      <c r="G436" s="530"/>
      <c r="H436" s="804"/>
      <c r="I436" s="631"/>
      <c r="J436" s="631"/>
      <c r="K436" s="631"/>
      <c r="L436" s="530"/>
      <c r="M436" s="530"/>
      <c r="N436" s="530"/>
      <c r="O436" s="530"/>
      <c r="P436" s="758"/>
      <c r="Q436" s="534"/>
      <c r="R436" s="534"/>
      <c r="S436" s="534"/>
      <c r="T436" s="534"/>
      <c r="U436" s="534"/>
      <c r="V436" s="534"/>
      <c r="W436" s="534"/>
    </row>
    <row r="437">
      <c r="A437" s="755"/>
      <c r="B437" s="534"/>
      <c r="C437" s="534"/>
      <c r="D437" s="534"/>
      <c r="E437" s="534"/>
      <c r="F437" s="802"/>
      <c r="G437" s="530"/>
      <c r="H437" s="804"/>
      <c r="I437" s="631"/>
      <c r="J437" s="631"/>
      <c r="K437" s="631"/>
      <c r="L437" s="530"/>
      <c r="M437" s="530"/>
      <c r="N437" s="530"/>
      <c r="O437" s="530"/>
      <c r="P437" s="758"/>
      <c r="Q437" s="534"/>
      <c r="R437" s="534"/>
      <c r="S437" s="534"/>
      <c r="T437" s="534"/>
      <c r="U437" s="534"/>
      <c r="V437" s="534"/>
      <c r="W437" s="534"/>
    </row>
    <row r="438">
      <c r="A438" s="755"/>
      <c r="B438" s="534"/>
      <c r="C438" s="534"/>
      <c r="D438" s="534"/>
      <c r="E438" s="534"/>
      <c r="F438" s="802"/>
      <c r="G438" s="530"/>
      <c r="H438" s="804"/>
      <c r="I438" s="631"/>
      <c r="J438" s="631"/>
      <c r="K438" s="631"/>
      <c r="L438" s="530"/>
      <c r="M438" s="530"/>
      <c r="N438" s="530"/>
      <c r="O438" s="530"/>
      <c r="P438" s="758"/>
      <c r="Q438" s="534"/>
      <c r="R438" s="534"/>
      <c r="S438" s="534"/>
      <c r="T438" s="534"/>
      <c r="U438" s="534"/>
      <c r="V438" s="534"/>
      <c r="W438" s="534"/>
    </row>
    <row r="439">
      <c r="A439" s="755"/>
      <c r="B439" s="534"/>
      <c r="C439" s="534"/>
      <c r="D439" s="534"/>
      <c r="E439" s="534"/>
      <c r="F439" s="802"/>
      <c r="G439" s="530"/>
      <c r="H439" s="804"/>
      <c r="I439" s="631"/>
      <c r="J439" s="631"/>
      <c r="K439" s="631"/>
      <c r="L439" s="530"/>
      <c r="M439" s="530"/>
      <c r="N439" s="530"/>
      <c r="O439" s="530"/>
      <c r="P439" s="758"/>
      <c r="Q439" s="534"/>
      <c r="R439" s="534"/>
      <c r="S439" s="534"/>
      <c r="T439" s="534"/>
      <c r="U439" s="534"/>
      <c r="V439" s="534"/>
      <c r="W439" s="534"/>
    </row>
    <row r="440">
      <c r="A440" s="755"/>
      <c r="B440" s="534"/>
      <c r="C440" s="534"/>
      <c r="D440" s="534"/>
      <c r="E440" s="534"/>
      <c r="F440" s="802"/>
      <c r="G440" s="530"/>
      <c r="H440" s="804"/>
      <c r="I440" s="631"/>
      <c r="J440" s="631"/>
      <c r="K440" s="631"/>
      <c r="L440" s="530"/>
      <c r="M440" s="530"/>
      <c r="N440" s="530"/>
      <c r="O440" s="530"/>
      <c r="P440" s="758"/>
      <c r="Q440" s="534"/>
      <c r="R440" s="534"/>
      <c r="S440" s="534"/>
      <c r="T440" s="534"/>
      <c r="U440" s="534"/>
      <c r="V440" s="534"/>
      <c r="W440" s="534"/>
    </row>
    <row r="441">
      <c r="A441" s="755"/>
      <c r="B441" s="534"/>
      <c r="C441" s="534"/>
      <c r="D441" s="534"/>
      <c r="E441" s="534"/>
      <c r="F441" s="802"/>
      <c r="G441" s="530"/>
      <c r="H441" s="804"/>
      <c r="I441" s="631"/>
      <c r="J441" s="631"/>
      <c r="K441" s="631"/>
      <c r="L441" s="530"/>
      <c r="M441" s="530"/>
      <c r="N441" s="530"/>
      <c r="O441" s="530"/>
      <c r="P441" s="758"/>
      <c r="Q441" s="534"/>
      <c r="R441" s="534"/>
      <c r="S441" s="534"/>
      <c r="T441" s="534"/>
      <c r="U441" s="534"/>
      <c r="V441" s="534"/>
      <c r="W441" s="534"/>
    </row>
    <row r="442">
      <c r="A442" s="755"/>
      <c r="B442" s="534"/>
      <c r="C442" s="534"/>
      <c r="D442" s="534"/>
      <c r="E442" s="534"/>
      <c r="F442" s="802"/>
      <c r="G442" s="530"/>
      <c r="H442" s="804"/>
      <c r="I442" s="631"/>
      <c r="J442" s="631"/>
      <c r="K442" s="631"/>
      <c r="L442" s="530"/>
      <c r="M442" s="530"/>
      <c r="N442" s="530"/>
      <c r="O442" s="530"/>
      <c r="P442" s="758"/>
      <c r="Q442" s="534"/>
      <c r="R442" s="534"/>
      <c r="S442" s="534"/>
      <c r="T442" s="534"/>
      <c r="U442" s="534"/>
      <c r="V442" s="534"/>
      <c r="W442" s="534"/>
    </row>
    <row r="443">
      <c r="A443" s="755"/>
      <c r="B443" s="534"/>
      <c r="C443" s="534"/>
      <c r="D443" s="534"/>
      <c r="E443" s="534"/>
      <c r="F443" s="802"/>
      <c r="G443" s="530"/>
      <c r="H443" s="804"/>
      <c r="I443" s="631"/>
      <c r="J443" s="631"/>
      <c r="K443" s="631"/>
      <c r="L443" s="530"/>
      <c r="M443" s="530"/>
      <c r="N443" s="530"/>
      <c r="O443" s="530"/>
      <c r="P443" s="758"/>
      <c r="Q443" s="534"/>
      <c r="R443" s="534"/>
      <c r="S443" s="534"/>
      <c r="T443" s="534"/>
      <c r="U443" s="534"/>
      <c r="V443" s="534"/>
      <c r="W443" s="534"/>
    </row>
    <row r="444">
      <c r="A444" s="755"/>
      <c r="B444" s="534"/>
      <c r="C444" s="534"/>
      <c r="D444" s="534"/>
      <c r="E444" s="534"/>
      <c r="F444" s="802"/>
      <c r="G444" s="530"/>
      <c r="H444" s="804"/>
      <c r="I444" s="631"/>
      <c r="J444" s="631"/>
      <c r="K444" s="631"/>
      <c r="L444" s="530"/>
      <c r="M444" s="530"/>
      <c r="N444" s="530"/>
      <c r="O444" s="530"/>
      <c r="P444" s="758"/>
      <c r="Q444" s="534"/>
      <c r="R444" s="534"/>
      <c r="S444" s="534"/>
      <c r="T444" s="534"/>
      <c r="U444" s="534"/>
      <c r="V444" s="534"/>
      <c r="W444" s="534"/>
    </row>
    <row r="445">
      <c r="A445" s="755"/>
      <c r="B445" s="534"/>
      <c r="C445" s="534"/>
      <c r="D445" s="534"/>
      <c r="E445" s="534"/>
      <c r="F445" s="802"/>
      <c r="G445" s="530"/>
      <c r="H445" s="804"/>
      <c r="I445" s="631"/>
      <c r="J445" s="631"/>
      <c r="K445" s="631"/>
      <c r="L445" s="530"/>
      <c r="M445" s="530"/>
      <c r="N445" s="530"/>
      <c r="O445" s="530"/>
      <c r="P445" s="758"/>
      <c r="Q445" s="534"/>
      <c r="R445" s="534"/>
      <c r="S445" s="534"/>
      <c r="T445" s="534"/>
      <c r="U445" s="534"/>
      <c r="V445" s="534"/>
      <c r="W445" s="534"/>
    </row>
    <row r="446">
      <c r="A446" s="755"/>
      <c r="B446" s="534"/>
      <c r="C446" s="534"/>
      <c r="D446" s="534"/>
      <c r="E446" s="534"/>
      <c r="F446" s="802"/>
      <c r="G446" s="530"/>
      <c r="H446" s="804"/>
      <c r="I446" s="631"/>
      <c r="J446" s="631"/>
      <c r="K446" s="631"/>
      <c r="L446" s="530"/>
      <c r="M446" s="530"/>
      <c r="N446" s="530"/>
      <c r="O446" s="530"/>
      <c r="P446" s="758"/>
      <c r="Q446" s="534"/>
      <c r="R446" s="534"/>
      <c r="S446" s="534"/>
      <c r="T446" s="534"/>
      <c r="U446" s="534"/>
      <c r="V446" s="534"/>
      <c r="W446" s="534"/>
    </row>
    <row r="447">
      <c r="A447" s="755"/>
      <c r="B447" s="534"/>
      <c r="C447" s="534"/>
      <c r="D447" s="534"/>
      <c r="E447" s="534"/>
      <c r="F447" s="802"/>
      <c r="G447" s="530"/>
      <c r="H447" s="804"/>
      <c r="I447" s="631"/>
      <c r="J447" s="631"/>
      <c r="K447" s="631"/>
      <c r="L447" s="530"/>
      <c r="M447" s="530"/>
      <c r="N447" s="530"/>
      <c r="O447" s="530"/>
      <c r="P447" s="758"/>
      <c r="Q447" s="534"/>
      <c r="R447" s="534"/>
      <c r="S447" s="534"/>
      <c r="T447" s="534"/>
      <c r="U447" s="534"/>
      <c r="V447" s="534"/>
      <c r="W447" s="534"/>
    </row>
    <row r="448">
      <c r="A448" s="755"/>
      <c r="B448" s="534"/>
      <c r="C448" s="534"/>
      <c r="D448" s="534"/>
      <c r="E448" s="534"/>
      <c r="F448" s="802"/>
      <c r="G448" s="530"/>
      <c r="H448" s="804"/>
      <c r="I448" s="631"/>
      <c r="J448" s="631"/>
      <c r="K448" s="631"/>
      <c r="L448" s="530"/>
      <c r="M448" s="530"/>
      <c r="N448" s="530"/>
      <c r="O448" s="530"/>
      <c r="P448" s="758"/>
      <c r="Q448" s="534"/>
      <c r="R448" s="534"/>
      <c r="S448" s="534"/>
      <c r="T448" s="534"/>
      <c r="U448" s="534"/>
      <c r="V448" s="534"/>
      <c r="W448" s="534"/>
    </row>
    <row r="449">
      <c r="A449" s="755"/>
      <c r="B449" s="534"/>
      <c r="C449" s="534"/>
      <c r="D449" s="534"/>
      <c r="E449" s="534"/>
      <c r="F449" s="802"/>
      <c r="G449" s="530"/>
      <c r="H449" s="804"/>
      <c r="I449" s="631"/>
      <c r="J449" s="631"/>
      <c r="K449" s="631"/>
      <c r="L449" s="530"/>
      <c r="M449" s="530"/>
      <c r="N449" s="530"/>
      <c r="O449" s="530"/>
      <c r="P449" s="758"/>
      <c r="Q449" s="534"/>
      <c r="R449" s="534"/>
      <c r="S449" s="534"/>
      <c r="T449" s="534"/>
      <c r="U449" s="534"/>
      <c r="V449" s="534"/>
      <c r="W449" s="534"/>
    </row>
    <row r="450">
      <c r="A450" s="755"/>
      <c r="B450" s="534"/>
      <c r="C450" s="534"/>
      <c r="D450" s="534"/>
      <c r="E450" s="534"/>
      <c r="F450" s="802"/>
      <c r="G450" s="530"/>
      <c r="H450" s="804"/>
      <c r="I450" s="631"/>
      <c r="J450" s="631"/>
      <c r="K450" s="631"/>
      <c r="L450" s="530"/>
      <c r="M450" s="530"/>
      <c r="N450" s="530"/>
      <c r="O450" s="530"/>
      <c r="P450" s="758"/>
      <c r="Q450" s="534"/>
      <c r="R450" s="534"/>
      <c r="S450" s="534"/>
      <c r="T450" s="534"/>
      <c r="U450" s="534"/>
      <c r="V450" s="534"/>
      <c r="W450" s="534"/>
    </row>
    <row r="451">
      <c r="A451" s="755"/>
      <c r="B451" s="534"/>
      <c r="C451" s="534"/>
      <c r="D451" s="534"/>
      <c r="E451" s="534"/>
      <c r="F451" s="802"/>
      <c r="G451" s="530"/>
      <c r="H451" s="804"/>
      <c r="I451" s="631"/>
      <c r="J451" s="631"/>
      <c r="K451" s="631"/>
      <c r="L451" s="530"/>
      <c r="M451" s="530"/>
      <c r="N451" s="530"/>
      <c r="O451" s="530"/>
      <c r="P451" s="758"/>
      <c r="Q451" s="534"/>
      <c r="R451" s="534"/>
      <c r="S451" s="534"/>
      <c r="T451" s="534"/>
      <c r="U451" s="534"/>
      <c r="V451" s="534"/>
      <c r="W451" s="534"/>
    </row>
    <row r="452">
      <c r="A452" s="755"/>
      <c r="B452" s="534"/>
      <c r="C452" s="534"/>
      <c r="D452" s="534"/>
      <c r="E452" s="534"/>
      <c r="F452" s="802"/>
      <c r="G452" s="530"/>
      <c r="H452" s="804"/>
      <c r="I452" s="631"/>
      <c r="J452" s="631"/>
      <c r="K452" s="631"/>
      <c r="L452" s="530"/>
      <c r="M452" s="530"/>
      <c r="N452" s="530"/>
      <c r="O452" s="530"/>
      <c r="P452" s="758"/>
      <c r="Q452" s="534"/>
      <c r="R452" s="534"/>
      <c r="S452" s="534"/>
      <c r="T452" s="534"/>
      <c r="U452" s="534"/>
      <c r="V452" s="534"/>
      <c r="W452" s="534"/>
    </row>
    <row r="453">
      <c r="A453" s="755"/>
      <c r="B453" s="534"/>
      <c r="C453" s="534"/>
      <c r="D453" s="534"/>
      <c r="E453" s="534"/>
      <c r="F453" s="802"/>
      <c r="G453" s="530"/>
      <c r="H453" s="804"/>
      <c r="I453" s="631"/>
      <c r="J453" s="631"/>
      <c r="K453" s="631"/>
      <c r="L453" s="530"/>
      <c r="M453" s="530"/>
      <c r="N453" s="530"/>
      <c r="O453" s="530"/>
      <c r="P453" s="758"/>
      <c r="Q453" s="534"/>
      <c r="R453" s="534"/>
      <c r="S453" s="534"/>
      <c r="T453" s="534"/>
      <c r="U453" s="534"/>
      <c r="V453" s="534"/>
      <c r="W453" s="534"/>
    </row>
    <row r="454">
      <c r="A454" s="755"/>
      <c r="B454" s="534"/>
      <c r="C454" s="534"/>
      <c r="D454" s="534"/>
      <c r="E454" s="534"/>
      <c r="F454" s="802"/>
      <c r="G454" s="530"/>
      <c r="H454" s="804"/>
      <c r="I454" s="631"/>
      <c r="J454" s="631"/>
      <c r="K454" s="631"/>
      <c r="L454" s="530"/>
      <c r="M454" s="530"/>
      <c r="N454" s="530"/>
      <c r="O454" s="530"/>
      <c r="P454" s="758"/>
      <c r="Q454" s="534"/>
      <c r="R454" s="534"/>
      <c r="S454" s="534"/>
      <c r="T454" s="534"/>
      <c r="U454" s="534"/>
      <c r="V454" s="534"/>
      <c r="W454" s="534"/>
    </row>
    <row r="455">
      <c r="A455" s="755"/>
      <c r="B455" s="534"/>
      <c r="C455" s="534"/>
      <c r="D455" s="534"/>
      <c r="E455" s="534"/>
      <c r="F455" s="802"/>
      <c r="G455" s="530"/>
      <c r="H455" s="804"/>
      <c r="I455" s="631"/>
      <c r="J455" s="631"/>
      <c r="K455" s="631"/>
      <c r="L455" s="530"/>
      <c r="M455" s="530"/>
      <c r="N455" s="530"/>
      <c r="O455" s="530"/>
      <c r="P455" s="758"/>
      <c r="Q455" s="534"/>
      <c r="R455" s="534"/>
      <c r="S455" s="534"/>
      <c r="T455" s="534"/>
      <c r="U455" s="534"/>
      <c r="V455" s="534"/>
      <c r="W455" s="534"/>
    </row>
    <row r="456">
      <c r="A456" s="755"/>
      <c r="B456" s="534"/>
      <c r="C456" s="534"/>
      <c r="D456" s="534"/>
      <c r="E456" s="534"/>
      <c r="F456" s="802"/>
      <c r="G456" s="530"/>
      <c r="H456" s="804"/>
      <c r="I456" s="631"/>
      <c r="J456" s="631"/>
      <c r="K456" s="631"/>
      <c r="L456" s="530"/>
      <c r="M456" s="530"/>
      <c r="N456" s="530"/>
      <c r="O456" s="530"/>
      <c r="P456" s="758"/>
      <c r="Q456" s="534"/>
      <c r="R456" s="534"/>
      <c r="S456" s="534"/>
      <c r="T456" s="534"/>
      <c r="U456" s="534"/>
      <c r="V456" s="534"/>
      <c r="W456" s="534"/>
    </row>
    <row r="457">
      <c r="A457" s="755"/>
      <c r="B457" s="534"/>
      <c r="C457" s="534"/>
      <c r="D457" s="534"/>
      <c r="E457" s="534"/>
      <c r="F457" s="802"/>
      <c r="G457" s="530"/>
      <c r="H457" s="804"/>
      <c r="I457" s="631"/>
      <c r="J457" s="631"/>
      <c r="K457" s="631"/>
      <c r="L457" s="530"/>
      <c r="M457" s="530"/>
      <c r="N457" s="530"/>
      <c r="O457" s="530"/>
      <c r="P457" s="758"/>
      <c r="Q457" s="534"/>
      <c r="R457" s="534"/>
      <c r="S457" s="534"/>
      <c r="T457" s="534"/>
      <c r="U457" s="534"/>
      <c r="V457" s="534"/>
      <c r="W457" s="534"/>
    </row>
    <row r="458">
      <c r="A458" s="755"/>
      <c r="B458" s="534"/>
      <c r="C458" s="534"/>
      <c r="D458" s="534"/>
      <c r="E458" s="534"/>
      <c r="F458" s="802"/>
      <c r="G458" s="530"/>
      <c r="H458" s="804"/>
      <c r="I458" s="631"/>
      <c r="J458" s="631"/>
      <c r="K458" s="631"/>
      <c r="L458" s="530"/>
      <c r="M458" s="530"/>
      <c r="N458" s="530"/>
      <c r="O458" s="530"/>
      <c r="P458" s="758"/>
      <c r="Q458" s="534"/>
      <c r="R458" s="534"/>
      <c r="S458" s="534"/>
      <c r="T458" s="534"/>
      <c r="U458" s="534"/>
      <c r="V458" s="534"/>
      <c r="W458" s="534"/>
    </row>
    <row r="459">
      <c r="A459" s="755"/>
      <c r="B459" s="534"/>
      <c r="C459" s="534"/>
      <c r="D459" s="534"/>
      <c r="E459" s="534"/>
      <c r="F459" s="802"/>
      <c r="G459" s="530"/>
      <c r="H459" s="804"/>
      <c r="I459" s="631"/>
      <c r="J459" s="631"/>
      <c r="K459" s="631"/>
      <c r="L459" s="530"/>
      <c r="M459" s="530"/>
      <c r="N459" s="530"/>
      <c r="O459" s="530"/>
      <c r="P459" s="758"/>
      <c r="Q459" s="534"/>
      <c r="R459" s="534"/>
      <c r="S459" s="534"/>
      <c r="T459" s="534"/>
      <c r="U459" s="534"/>
      <c r="V459" s="534"/>
      <c r="W459" s="534"/>
    </row>
    <row r="460">
      <c r="A460" s="755"/>
      <c r="B460" s="534"/>
      <c r="C460" s="534"/>
      <c r="D460" s="534"/>
      <c r="E460" s="534"/>
      <c r="F460" s="802"/>
      <c r="G460" s="530"/>
      <c r="H460" s="804"/>
      <c r="I460" s="631"/>
      <c r="J460" s="631"/>
      <c r="K460" s="631"/>
      <c r="L460" s="530"/>
      <c r="M460" s="530"/>
      <c r="N460" s="530"/>
      <c r="O460" s="530"/>
      <c r="P460" s="758"/>
      <c r="Q460" s="534"/>
      <c r="R460" s="534"/>
      <c r="S460" s="534"/>
      <c r="T460" s="534"/>
      <c r="U460" s="534"/>
      <c r="V460" s="534"/>
      <c r="W460" s="534"/>
    </row>
    <row r="461">
      <c r="A461" s="755"/>
      <c r="B461" s="534"/>
      <c r="C461" s="534"/>
      <c r="D461" s="534"/>
      <c r="E461" s="534"/>
      <c r="F461" s="802"/>
      <c r="G461" s="530"/>
      <c r="H461" s="804"/>
      <c r="I461" s="631"/>
      <c r="J461" s="631"/>
      <c r="K461" s="631"/>
      <c r="L461" s="530"/>
      <c r="M461" s="530"/>
      <c r="N461" s="530"/>
      <c r="O461" s="530"/>
      <c r="P461" s="758"/>
      <c r="Q461" s="534"/>
      <c r="R461" s="534"/>
      <c r="S461" s="534"/>
      <c r="T461" s="534"/>
      <c r="U461" s="534"/>
      <c r="V461" s="534"/>
      <c r="W461" s="534"/>
    </row>
    <row r="462">
      <c r="A462" s="755"/>
      <c r="B462" s="534"/>
      <c r="C462" s="534"/>
      <c r="D462" s="534"/>
      <c r="E462" s="534"/>
      <c r="F462" s="802"/>
      <c r="G462" s="530"/>
      <c r="H462" s="804"/>
      <c r="I462" s="631"/>
      <c r="J462" s="631"/>
      <c r="K462" s="631"/>
      <c r="L462" s="530"/>
      <c r="M462" s="530"/>
      <c r="N462" s="530"/>
      <c r="O462" s="530"/>
      <c r="P462" s="758"/>
      <c r="Q462" s="534"/>
      <c r="R462" s="534"/>
      <c r="S462" s="534"/>
      <c r="T462" s="534"/>
      <c r="U462" s="534"/>
      <c r="V462" s="534"/>
      <c r="W462" s="534"/>
    </row>
    <row r="463">
      <c r="A463" s="755"/>
      <c r="B463" s="534"/>
      <c r="C463" s="534"/>
      <c r="D463" s="534"/>
      <c r="E463" s="534"/>
      <c r="F463" s="802"/>
      <c r="G463" s="530"/>
      <c r="H463" s="804"/>
      <c r="I463" s="631"/>
      <c r="J463" s="631"/>
      <c r="K463" s="631"/>
      <c r="L463" s="530"/>
      <c r="M463" s="530"/>
      <c r="N463" s="530"/>
      <c r="O463" s="530"/>
      <c r="P463" s="758"/>
      <c r="Q463" s="534"/>
      <c r="R463" s="534"/>
      <c r="S463" s="534"/>
      <c r="T463" s="534"/>
      <c r="U463" s="534"/>
      <c r="V463" s="534"/>
      <c r="W463" s="534"/>
    </row>
    <row r="464">
      <c r="A464" s="755"/>
      <c r="B464" s="534"/>
      <c r="C464" s="534"/>
      <c r="D464" s="534"/>
      <c r="E464" s="534"/>
      <c r="F464" s="802"/>
      <c r="G464" s="530"/>
      <c r="H464" s="804"/>
      <c r="I464" s="631"/>
      <c r="J464" s="631"/>
      <c r="K464" s="631"/>
      <c r="L464" s="530"/>
      <c r="M464" s="530"/>
      <c r="N464" s="530"/>
      <c r="O464" s="530"/>
      <c r="P464" s="758"/>
      <c r="Q464" s="534"/>
      <c r="R464" s="534"/>
      <c r="S464" s="534"/>
      <c r="T464" s="534"/>
      <c r="U464" s="534"/>
      <c r="V464" s="534"/>
      <c r="W464" s="534"/>
    </row>
    <row r="465">
      <c r="A465" s="755"/>
      <c r="B465" s="534"/>
      <c r="C465" s="534"/>
      <c r="D465" s="534"/>
      <c r="E465" s="534"/>
      <c r="F465" s="802"/>
      <c r="G465" s="530"/>
      <c r="H465" s="804"/>
      <c r="I465" s="631"/>
      <c r="J465" s="631"/>
      <c r="K465" s="631"/>
      <c r="L465" s="530"/>
      <c r="M465" s="530"/>
      <c r="N465" s="530"/>
      <c r="O465" s="530"/>
      <c r="P465" s="758"/>
      <c r="Q465" s="534"/>
      <c r="R465" s="534"/>
      <c r="S465" s="534"/>
      <c r="T465" s="534"/>
      <c r="U465" s="534"/>
      <c r="V465" s="534"/>
      <c r="W465" s="534"/>
    </row>
    <row r="466">
      <c r="A466" s="755"/>
      <c r="B466" s="534"/>
      <c r="C466" s="534"/>
      <c r="D466" s="534"/>
      <c r="E466" s="534"/>
      <c r="F466" s="802"/>
      <c r="G466" s="530"/>
      <c r="H466" s="804"/>
      <c r="I466" s="631"/>
      <c r="J466" s="631"/>
      <c r="K466" s="631"/>
      <c r="L466" s="530"/>
      <c r="M466" s="530"/>
      <c r="N466" s="530"/>
      <c r="O466" s="530"/>
      <c r="P466" s="758"/>
      <c r="Q466" s="534"/>
      <c r="R466" s="534"/>
      <c r="S466" s="534"/>
      <c r="T466" s="534"/>
      <c r="U466" s="534"/>
      <c r="V466" s="534"/>
      <c r="W466" s="534"/>
    </row>
    <row r="467">
      <c r="A467" s="755"/>
      <c r="B467" s="534"/>
      <c r="C467" s="534"/>
      <c r="D467" s="534"/>
      <c r="E467" s="534"/>
      <c r="F467" s="802"/>
      <c r="G467" s="530"/>
      <c r="H467" s="804"/>
      <c r="I467" s="631"/>
      <c r="J467" s="631"/>
      <c r="K467" s="631"/>
      <c r="L467" s="530"/>
      <c r="M467" s="530"/>
      <c r="N467" s="530"/>
      <c r="O467" s="530"/>
      <c r="P467" s="758"/>
      <c r="Q467" s="534"/>
      <c r="R467" s="534"/>
      <c r="S467" s="534"/>
      <c r="T467" s="534"/>
      <c r="U467" s="534"/>
      <c r="V467" s="534"/>
      <c r="W467" s="534"/>
    </row>
    <row r="468">
      <c r="A468" s="755"/>
      <c r="B468" s="534"/>
      <c r="C468" s="534"/>
      <c r="D468" s="534"/>
      <c r="E468" s="534"/>
      <c r="F468" s="802"/>
      <c r="G468" s="530"/>
      <c r="H468" s="804"/>
      <c r="I468" s="631"/>
      <c r="J468" s="631"/>
      <c r="K468" s="631"/>
      <c r="L468" s="530"/>
      <c r="M468" s="530"/>
      <c r="N468" s="530"/>
      <c r="O468" s="530"/>
      <c r="P468" s="758"/>
      <c r="Q468" s="534"/>
      <c r="R468" s="534"/>
      <c r="S468" s="534"/>
      <c r="T468" s="534"/>
      <c r="U468" s="534"/>
      <c r="V468" s="534"/>
      <c r="W468" s="534"/>
    </row>
    <row r="469">
      <c r="A469" s="755"/>
      <c r="B469" s="534"/>
      <c r="C469" s="534"/>
      <c r="D469" s="534"/>
      <c r="E469" s="534"/>
      <c r="F469" s="802"/>
      <c r="G469" s="530"/>
      <c r="H469" s="804"/>
      <c r="I469" s="631"/>
      <c r="J469" s="631"/>
      <c r="K469" s="631"/>
      <c r="L469" s="530"/>
      <c r="M469" s="530"/>
      <c r="N469" s="530"/>
      <c r="O469" s="530"/>
      <c r="P469" s="758"/>
      <c r="Q469" s="534"/>
      <c r="R469" s="534"/>
      <c r="S469" s="534"/>
      <c r="T469" s="534"/>
      <c r="U469" s="534"/>
      <c r="V469" s="534"/>
      <c r="W469" s="534"/>
    </row>
    <row r="470">
      <c r="A470" s="755"/>
      <c r="B470" s="534"/>
      <c r="C470" s="534"/>
      <c r="D470" s="534"/>
      <c r="E470" s="534"/>
      <c r="F470" s="802"/>
      <c r="G470" s="530"/>
      <c r="H470" s="804"/>
      <c r="I470" s="631"/>
      <c r="J470" s="631"/>
      <c r="K470" s="631"/>
      <c r="L470" s="530"/>
      <c r="M470" s="530"/>
      <c r="N470" s="530"/>
      <c r="O470" s="530"/>
      <c r="P470" s="758"/>
      <c r="Q470" s="534"/>
      <c r="R470" s="534"/>
      <c r="S470" s="534"/>
      <c r="T470" s="534"/>
      <c r="U470" s="534"/>
      <c r="V470" s="534"/>
      <c r="W470" s="534"/>
    </row>
    <row r="471">
      <c r="A471" s="755"/>
      <c r="B471" s="534"/>
      <c r="C471" s="534"/>
      <c r="D471" s="534"/>
      <c r="E471" s="534"/>
      <c r="F471" s="802"/>
      <c r="G471" s="530"/>
      <c r="H471" s="804"/>
      <c r="I471" s="631"/>
      <c r="J471" s="631"/>
      <c r="K471" s="631"/>
      <c r="L471" s="530"/>
      <c r="M471" s="530"/>
      <c r="N471" s="530"/>
      <c r="O471" s="530"/>
      <c r="P471" s="758"/>
      <c r="Q471" s="534"/>
      <c r="R471" s="534"/>
      <c r="S471" s="534"/>
      <c r="T471" s="534"/>
      <c r="U471" s="534"/>
      <c r="V471" s="534"/>
      <c r="W471" s="534"/>
    </row>
    <row r="472">
      <c r="A472" s="755"/>
      <c r="B472" s="534"/>
      <c r="C472" s="534"/>
      <c r="D472" s="534"/>
      <c r="E472" s="534"/>
      <c r="F472" s="802"/>
      <c r="G472" s="530"/>
      <c r="H472" s="804"/>
      <c r="I472" s="631"/>
      <c r="J472" s="631"/>
      <c r="K472" s="631"/>
      <c r="L472" s="530"/>
      <c r="M472" s="530"/>
      <c r="N472" s="530"/>
      <c r="O472" s="530"/>
      <c r="P472" s="758"/>
      <c r="Q472" s="534"/>
      <c r="R472" s="534"/>
      <c r="S472" s="534"/>
      <c r="T472" s="534"/>
      <c r="U472" s="534"/>
      <c r="V472" s="534"/>
      <c r="W472" s="534"/>
    </row>
    <row r="473">
      <c r="A473" s="755"/>
      <c r="B473" s="534"/>
      <c r="C473" s="534"/>
      <c r="D473" s="534"/>
      <c r="E473" s="534"/>
      <c r="F473" s="802"/>
      <c r="G473" s="530"/>
      <c r="H473" s="804"/>
      <c r="I473" s="631"/>
      <c r="J473" s="631"/>
      <c r="K473" s="631"/>
      <c r="L473" s="530"/>
      <c r="M473" s="530"/>
      <c r="N473" s="530"/>
      <c r="O473" s="530"/>
      <c r="P473" s="758"/>
      <c r="Q473" s="534"/>
      <c r="R473" s="534"/>
      <c r="S473" s="534"/>
      <c r="T473" s="534"/>
      <c r="U473" s="534"/>
      <c r="V473" s="534"/>
      <c r="W473" s="534"/>
    </row>
    <row r="474">
      <c r="A474" s="755"/>
      <c r="B474" s="534"/>
      <c r="C474" s="534"/>
      <c r="D474" s="534"/>
      <c r="E474" s="534"/>
      <c r="F474" s="802"/>
      <c r="G474" s="530"/>
      <c r="H474" s="804"/>
      <c r="I474" s="631"/>
      <c r="J474" s="631"/>
      <c r="K474" s="631"/>
      <c r="L474" s="530"/>
      <c r="M474" s="530"/>
      <c r="N474" s="530"/>
      <c r="O474" s="530"/>
      <c r="P474" s="758"/>
      <c r="Q474" s="534"/>
      <c r="R474" s="534"/>
      <c r="S474" s="534"/>
      <c r="T474" s="534"/>
      <c r="U474" s="534"/>
      <c r="V474" s="534"/>
      <c r="W474" s="534"/>
    </row>
    <row r="475">
      <c r="A475" s="755"/>
      <c r="B475" s="534"/>
      <c r="C475" s="534"/>
      <c r="D475" s="534"/>
      <c r="E475" s="534"/>
      <c r="F475" s="802"/>
      <c r="G475" s="530"/>
      <c r="H475" s="804"/>
      <c r="I475" s="631"/>
      <c r="J475" s="631"/>
      <c r="K475" s="631"/>
      <c r="L475" s="530"/>
      <c r="M475" s="530"/>
      <c r="N475" s="530"/>
      <c r="O475" s="530"/>
      <c r="P475" s="758"/>
      <c r="Q475" s="534"/>
      <c r="R475" s="534"/>
      <c r="S475" s="534"/>
      <c r="T475" s="534"/>
      <c r="U475" s="534"/>
      <c r="V475" s="534"/>
      <c r="W475" s="534"/>
    </row>
    <row r="476">
      <c r="A476" s="755"/>
      <c r="B476" s="534"/>
      <c r="C476" s="534"/>
      <c r="D476" s="534"/>
      <c r="E476" s="534"/>
      <c r="F476" s="802"/>
      <c r="G476" s="530"/>
      <c r="H476" s="804"/>
      <c r="I476" s="631"/>
      <c r="J476" s="631"/>
      <c r="K476" s="631"/>
      <c r="L476" s="530"/>
      <c r="M476" s="530"/>
      <c r="N476" s="530"/>
      <c r="O476" s="530"/>
      <c r="P476" s="758"/>
      <c r="Q476" s="534"/>
      <c r="R476" s="534"/>
      <c r="S476" s="534"/>
      <c r="T476" s="534"/>
      <c r="U476" s="534"/>
      <c r="V476" s="534"/>
      <c r="W476" s="534"/>
    </row>
    <row r="477">
      <c r="A477" s="755"/>
      <c r="B477" s="534"/>
      <c r="C477" s="534"/>
      <c r="D477" s="534"/>
      <c r="E477" s="534"/>
      <c r="F477" s="802"/>
      <c r="G477" s="530"/>
      <c r="H477" s="804"/>
      <c r="I477" s="631"/>
      <c r="J477" s="631"/>
      <c r="K477" s="631"/>
      <c r="L477" s="530"/>
      <c r="M477" s="530"/>
      <c r="N477" s="530"/>
      <c r="O477" s="530"/>
      <c r="P477" s="758"/>
      <c r="Q477" s="534"/>
      <c r="R477" s="534"/>
      <c r="S477" s="534"/>
      <c r="T477" s="534"/>
      <c r="U477" s="534"/>
      <c r="V477" s="534"/>
      <c r="W477" s="534"/>
    </row>
    <row r="478">
      <c r="A478" s="755"/>
      <c r="B478" s="534"/>
      <c r="C478" s="534"/>
      <c r="D478" s="534"/>
      <c r="E478" s="534"/>
      <c r="F478" s="802"/>
      <c r="G478" s="530"/>
      <c r="H478" s="804"/>
      <c r="I478" s="631"/>
      <c r="J478" s="631"/>
      <c r="K478" s="631"/>
      <c r="L478" s="530"/>
      <c r="M478" s="530"/>
      <c r="N478" s="530"/>
      <c r="O478" s="530"/>
      <c r="P478" s="758"/>
      <c r="Q478" s="534"/>
      <c r="R478" s="534"/>
      <c r="S478" s="534"/>
      <c r="T478" s="534"/>
      <c r="U478" s="534"/>
      <c r="V478" s="534"/>
      <c r="W478" s="534"/>
    </row>
    <row r="479">
      <c r="A479" s="755"/>
      <c r="B479" s="534"/>
      <c r="C479" s="534"/>
      <c r="D479" s="534"/>
      <c r="E479" s="534"/>
      <c r="F479" s="802"/>
      <c r="G479" s="530"/>
      <c r="H479" s="804"/>
      <c r="I479" s="631"/>
      <c r="J479" s="631"/>
      <c r="K479" s="631"/>
      <c r="L479" s="530"/>
      <c r="M479" s="530"/>
      <c r="N479" s="530"/>
      <c r="O479" s="530"/>
      <c r="P479" s="758"/>
      <c r="Q479" s="534"/>
      <c r="R479" s="534"/>
      <c r="S479" s="534"/>
      <c r="T479" s="534"/>
      <c r="U479" s="534"/>
      <c r="V479" s="534"/>
      <c r="W479" s="534"/>
    </row>
    <row r="480">
      <c r="A480" s="755"/>
      <c r="B480" s="534"/>
      <c r="C480" s="534"/>
      <c r="D480" s="534"/>
      <c r="E480" s="534"/>
      <c r="F480" s="802"/>
      <c r="G480" s="530"/>
      <c r="H480" s="804"/>
      <c r="I480" s="631"/>
      <c r="J480" s="631"/>
      <c r="K480" s="631"/>
      <c r="L480" s="530"/>
      <c r="M480" s="530"/>
      <c r="N480" s="530"/>
      <c r="O480" s="530"/>
      <c r="P480" s="758"/>
      <c r="Q480" s="534"/>
      <c r="R480" s="534"/>
      <c r="S480" s="534"/>
      <c r="T480" s="534"/>
      <c r="U480" s="534"/>
      <c r="V480" s="534"/>
      <c r="W480" s="534"/>
    </row>
    <row r="481">
      <c r="A481" s="755"/>
      <c r="B481" s="534"/>
      <c r="C481" s="534"/>
      <c r="D481" s="534"/>
      <c r="E481" s="534"/>
      <c r="F481" s="802"/>
      <c r="G481" s="530"/>
      <c r="H481" s="804"/>
      <c r="I481" s="631"/>
      <c r="J481" s="631"/>
      <c r="K481" s="631"/>
      <c r="L481" s="530"/>
      <c r="M481" s="530"/>
      <c r="N481" s="530"/>
      <c r="O481" s="530"/>
      <c r="P481" s="758"/>
      <c r="Q481" s="534"/>
      <c r="R481" s="534"/>
      <c r="S481" s="534"/>
      <c r="T481" s="534"/>
      <c r="U481" s="534"/>
      <c r="V481" s="534"/>
      <c r="W481" s="534"/>
    </row>
    <row r="482">
      <c r="A482" s="755"/>
      <c r="B482" s="534"/>
      <c r="C482" s="534"/>
      <c r="D482" s="534"/>
      <c r="E482" s="534"/>
      <c r="F482" s="802"/>
      <c r="G482" s="530"/>
      <c r="H482" s="804"/>
      <c r="I482" s="631"/>
      <c r="J482" s="631"/>
      <c r="K482" s="631"/>
      <c r="L482" s="530"/>
      <c r="M482" s="530"/>
      <c r="N482" s="530"/>
      <c r="O482" s="530"/>
      <c r="P482" s="758"/>
      <c r="Q482" s="534"/>
      <c r="R482" s="534"/>
      <c r="S482" s="534"/>
      <c r="T482" s="534"/>
      <c r="U482" s="534"/>
      <c r="V482" s="534"/>
      <c r="W482" s="534"/>
    </row>
    <row r="483">
      <c r="A483" s="755"/>
      <c r="B483" s="534"/>
      <c r="C483" s="534"/>
      <c r="D483" s="534"/>
      <c r="E483" s="534"/>
      <c r="F483" s="802"/>
      <c r="G483" s="530"/>
      <c r="H483" s="804"/>
      <c r="I483" s="631"/>
      <c r="J483" s="631"/>
      <c r="K483" s="631"/>
      <c r="L483" s="530"/>
      <c r="M483" s="530"/>
      <c r="N483" s="530"/>
      <c r="O483" s="530"/>
      <c r="P483" s="758"/>
      <c r="Q483" s="534"/>
      <c r="R483" s="534"/>
      <c r="S483" s="534"/>
      <c r="T483" s="534"/>
      <c r="U483" s="534"/>
      <c r="V483" s="534"/>
      <c r="W483" s="534"/>
    </row>
    <row r="484">
      <c r="A484" s="755"/>
      <c r="B484" s="534"/>
      <c r="C484" s="534"/>
      <c r="D484" s="534"/>
      <c r="E484" s="534"/>
      <c r="F484" s="802"/>
      <c r="G484" s="530"/>
      <c r="H484" s="804"/>
      <c r="I484" s="631"/>
      <c r="J484" s="631"/>
      <c r="K484" s="631"/>
      <c r="L484" s="530"/>
      <c r="M484" s="530"/>
      <c r="N484" s="530"/>
      <c r="O484" s="530"/>
      <c r="P484" s="758"/>
      <c r="Q484" s="534"/>
      <c r="R484" s="534"/>
      <c r="S484" s="534"/>
      <c r="T484" s="534"/>
      <c r="U484" s="534"/>
      <c r="V484" s="534"/>
      <c r="W484" s="534"/>
    </row>
    <row r="485">
      <c r="A485" s="755"/>
      <c r="B485" s="534"/>
      <c r="C485" s="534"/>
      <c r="D485" s="534"/>
      <c r="E485" s="534"/>
      <c r="F485" s="802"/>
      <c r="G485" s="530"/>
      <c r="H485" s="804"/>
      <c r="I485" s="631"/>
      <c r="J485" s="631"/>
      <c r="K485" s="631"/>
      <c r="L485" s="530"/>
      <c r="M485" s="530"/>
      <c r="N485" s="530"/>
      <c r="O485" s="530"/>
      <c r="P485" s="758"/>
      <c r="Q485" s="534"/>
      <c r="R485" s="534"/>
      <c r="S485" s="534"/>
      <c r="T485" s="534"/>
      <c r="U485" s="534"/>
      <c r="V485" s="534"/>
      <c r="W485" s="534"/>
    </row>
    <row r="486">
      <c r="A486" s="755"/>
      <c r="B486" s="534"/>
      <c r="C486" s="534"/>
      <c r="D486" s="534"/>
      <c r="E486" s="534"/>
      <c r="F486" s="802"/>
      <c r="G486" s="530"/>
      <c r="H486" s="804"/>
      <c r="I486" s="631"/>
      <c r="J486" s="631"/>
      <c r="K486" s="631"/>
      <c r="L486" s="530"/>
      <c r="M486" s="530"/>
      <c r="N486" s="530"/>
      <c r="O486" s="530"/>
      <c r="P486" s="758"/>
      <c r="Q486" s="534"/>
      <c r="R486" s="534"/>
      <c r="S486" s="534"/>
      <c r="T486" s="534"/>
      <c r="U486" s="534"/>
      <c r="V486" s="534"/>
      <c r="W486" s="534"/>
    </row>
    <row r="487">
      <c r="A487" s="755"/>
      <c r="B487" s="534"/>
      <c r="C487" s="534"/>
      <c r="D487" s="534"/>
      <c r="E487" s="534"/>
      <c r="F487" s="802"/>
      <c r="G487" s="530"/>
      <c r="H487" s="804"/>
      <c r="I487" s="631"/>
      <c r="J487" s="631"/>
      <c r="K487" s="631"/>
      <c r="L487" s="530"/>
      <c r="M487" s="530"/>
      <c r="N487" s="530"/>
      <c r="O487" s="530"/>
      <c r="P487" s="758"/>
      <c r="Q487" s="534"/>
      <c r="R487" s="534"/>
      <c r="S487" s="534"/>
      <c r="T487" s="534"/>
      <c r="U487" s="534"/>
      <c r="V487" s="534"/>
      <c r="W487" s="534"/>
    </row>
    <row r="488">
      <c r="A488" s="755"/>
      <c r="B488" s="534"/>
      <c r="C488" s="534"/>
      <c r="D488" s="534"/>
      <c r="E488" s="534"/>
      <c r="F488" s="802"/>
      <c r="G488" s="530"/>
      <c r="H488" s="804"/>
      <c r="I488" s="631"/>
      <c r="J488" s="631"/>
      <c r="K488" s="631"/>
      <c r="L488" s="530"/>
      <c r="M488" s="530"/>
      <c r="N488" s="530"/>
      <c r="O488" s="530"/>
      <c r="P488" s="758"/>
      <c r="Q488" s="534"/>
      <c r="R488" s="534"/>
      <c r="S488" s="534"/>
      <c r="T488" s="534"/>
      <c r="U488" s="534"/>
      <c r="V488" s="534"/>
      <c r="W488" s="534"/>
    </row>
    <row r="489">
      <c r="A489" s="755"/>
      <c r="B489" s="534"/>
      <c r="C489" s="534"/>
      <c r="D489" s="534"/>
      <c r="E489" s="534"/>
      <c r="F489" s="802"/>
      <c r="G489" s="530"/>
      <c r="H489" s="804"/>
      <c r="I489" s="631"/>
      <c r="J489" s="631"/>
      <c r="K489" s="631"/>
      <c r="L489" s="530"/>
      <c r="M489" s="530"/>
      <c r="N489" s="530"/>
      <c r="O489" s="530"/>
      <c r="P489" s="758"/>
      <c r="Q489" s="534"/>
      <c r="R489" s="534"/>
      <c r="S489" s="534"/>
      <c r="T489" s="534"/>
      <c r="U489" s="534"/>
      <c r="V489" s="534"/>
      <c r="W489" s="534"/>
    </row>
    <row r="490">
      <c r="A490" s="755"/>
      <c r="B490" s="534"/>
      <c r="C490" s="534"/>
      <c r="D490" s="534"/>
      <c r="E490" s="534"/>
      <c r="F490" s="802"/>
      <c r="G490" s="530"/>
      <c r="H490" s="804"/>
      <c r="I490" s="631"/>
      <c r="J490" s="631"/>
      <c r="K490" s="631"/>
      <c r="L490" s="530"/>
      <c r="M490" s="530"/>
      <c r="N490" s="530"/>
      <c r="O490" s="530"/>
      <c r="P490" s="758"/>
      <c r="Q490" s="534"/>
      <c r="R490" s="534"/>
      <c r="S490" s="534"/>
      <c r="T490" s="534"/>
      <c r="U490" s="534"/>
      <c r="V490" s="534"/>
      <c r="W490" s="534"/>
    </row>
    <row r="491">
      <c r="A491" s="755"/>
      <c r="B491" s="534"/>
      <c r="C491" s="534"/>
      <c r="D491" s="534"/>
      <c r="E491" s="534"/>
      <c r="F491" s="802"/>
      <c r="G491" s="530"/>
      <c r="H491" s="804"/>
      <c r="I491" s="631"/>
      <c r="J491" s="631"/>
      <c r="K491" s="631"/>
      <c r="L491" s="530"/>
      <c r="M491" s="530"/>
      <c r="N491" s="530"/>
      <c r="O491" s="530"/>
      <c r="P491" s="758"/>
      <c r="Q491" s="534"/>
      <c r="R491" s="534"/>
      <c r="S491" s="534"/>
      <c r="T491" s="534"/>
      <c r="U491" s="534"/>
      <c r="V491" s="534"/>
      <c r="W491" s="534"/>
    </row>
    <row r="492">
      <c r="A492" s="755"/>
      <c r="B492" s="534"/>
      <c r="C492" s="534"/>
      <c r="D492" s="534"/>
      <c r="E492" s="534"/>
      <c r="F492" s="802"/>
      <c r="G492" s="530"/>
      <c r="H492" s="804"/>
      <c r="I492" s="631"/>
      <c r="J492" s="631"/>
      <c r="K492" s="631"/>
      <c r="L492" s="530"/>
      <c r="M492" s="530"/>
      <c r="N492" s="530"/>
      <c r="O492" s="530"/>
      <c r="P492" s="758"/>
      <c r="Q492" s="534"/>
      <c r="R492" s="534"/>
      <c r="S492" s="534"/>
      <c r="T492" s="534"/>
      <c r="U492" s="534"/>
      <c r="V492" s="534"/>
      <c r="W492" s="534"/>
    </row>
    <row r="493">
      <c r="A493" s="755"/>
      <c r="B493" s="534"/>
      <c r="C493" s="534"/>
      <c r="D493" s="534"/>
      <c r="E493" s="534"/>
      <c r="F493" s="802"/>
      <c r="G493" s="530"/>
      <c r="H493" s="804"/>
      <c r="I493" s="631"/>
      <c r="J493" s="631"/>
      <c r="K493" s="631"/>
      <c r="L493" s="530"/>
      <c r="M493" s="530"/>
      <c r="N493" s="530"/>
      <c r="O493" s="530"/>
      <c r="P493" s="758"/>
      <c r="Q493" s="534"/>
      <c r="R493" s="534"/>
      <c r="S493" s="534"/>
      <c r="T493" s="534"/>
      <c r="U493" s="534"/>
      <c r="V493" s="534"/>
      <c r="W493" s="534"/>
    </row>
    <row r="494">
      <c r="A494" s="755"/>
      <c r="B494" s="534"/>
      <c r="C494" s="534"/>
      <c r="D494" s="534"/>
      <c r="E494" s="534"/>
      <c r="F494" s="802"/>
      <c r="G494" s="530"/>
      <c r="H494" s="804"/>
      <c r="I494" s="631"/>
      <c r="J494" s="631"/>
      <c r="K494" s="631"/>
      <c r="L494" s="530"/>
      <c r="M494" s="530"/>
      <c r="N494" s="530"/>
      <c r="O494" s="530"/>
      <c r="P494" s="758"/>
      <c r="Q494" s="534"/>
      <c r="R494" s="534"/>
      <c r="S494" s="534"/>
      <c r="T494" s="534"/>
      <c r="U494" s="534"/>
      <c r="V494" s="534"/>
      <c r="W494" s="534"/>
    </row>
    <row r="495">
      <c r="A495" s="755"/>
      <c r="B495" s="534"/>
      <c r="C495" s="534"/>
      <c r="D495" s="534"/>
      <c r="E495" s="534"/>
      <c r="F495" s="802"/>
      <c r="G495" s="530"/>
      <c r="H495" s="804"/>
      <c r="I495" s="631"/>
      <c r="J495" s="631"/>
      <c r="K495" s="631"/>
      <c r="L495" s="530"/>
      <c r="M495" s="530"/>
      <c r="N495" s="530"/>
      <c r="O495" s="530"/>
      <c r="P495" s="758"/>
      <c r="Q495" s="534"/>
      <c r="R495" s="534"/>
      <c r="S495" s="534"/>
      <c r="T495" s="534"/>
      <c r="U495" s="534"/>
      <c r="V495" s="534"/>
      <c r="W495" s="534"/>
    </row>
    <row r="496">
      <c r="A496" s="755"/>
      <c r="B496" s="534"/>
      <c r="C496" s="534"/>
      <c r="D496" s="534"/>
      <c r="E496" s="534"/>
      <c r="F496" s="802"/>
      <c r="G496" s="530"/>
      <c r="H496" s="804"/>
      <c r="I496" s="631"/>
      <c r="J496" s="631"/>
      <c r="K496" s="631"/>
      <c r="L496" s="530"/>
      <c r="M496" s="530"/>
      <c r="N496" s="530"/>
      <c r="O496" s="530"/>
      <c r="P496" s="758"/>
      <c r="Q496" s="534"/>
      <c r="R496" s="534"/>
      <c r="S496" s="534"/>
      <c r="T496" s="534"/>
      <c r="U496" s="534"/>
      <c r="V496" s="534"/>
      <c r="W496" s="534"/>
    </row>
    <row r="497">
      <c r="A497" s="755"/>
      <c r="B497" s="534"/>
      <c r="C497" s="534"/>
      <c r="D497" s="534"/>
      <c r="E497" s="534"/>
      <c r="F497" s="802"/>
      <c r="G497" s="530"/>
      <c r="H497" s="804"/>
      <c r="I497" s="631"/>
      <c r="J497" s="631"/>
      <c r="K497" s="631"/>
      <c r="L497" s="530"/>
      <c r="M497" s="530"/>
      <c r="N497" s="530"/>
      <c r="O497" s="530"/>
      <c r="P497" s="758"/>
      <c r="Q497" s="534"/>
      <c r="R497" s="534"/>
      <c r="S497" s="534"/>
      <c r="T497" s="534"/>
      <c r="U497" s="534"/>
      <c r="V497" s="534"/>
      <c r="W497" s="534"/>
    </row>
    <row r="498">
      <c r="A498" s="755"/>
      <c r="B498" s="534"/>
      <c r="C498" s="534"/>
      <c r="D498" s="534"/>
      <c r="E498" s="534"/>
      <c r="F498" s="802"/>
      <c r="G498" s="530"/>
      <c r="H498" s="804"/>
      <c r="I498" s="631"/>
      <c r="J498" s="631"/>
      <c r="K498" s="631"/>
      <c r="L498" s="530"/>
      <c r="M498" s="530"/>
      <c r="N498" s="530"/>
      <c r="O498" s="530"/>
      <c r="P498" s="758"/>
      <c r="Q498" s="534"/>
      <c r="R498" s="534"/>
      <c r="S498" s="534"/>
      <c r="T498" s="534"/>
      <c r="U498" s="534"/>
      <c r="V498" s="534"/>
      <c r="W498" s="534"/>
    </row>
    <row r="499">
      <c r="A499" s="755"/>
      <c r="B499" s="534"/>
      <c r="C499" s="534"/>
      <c r="D499" s="534"/>
      <c r="E499" s="534"/>
      <c r="F499" s="802"/>
      <c r="G499" s="530"/>
      <c r="H499" s="804"/>
      <c r="I499" s="631"/>
      <c r="J499" s="631"/>
      <c r="K499" s="631"/>
      <c r="L499" s="530"/>
      <c r="M499" s="530"/>
      <c r="N499" s="530"/>
      <c r="O499" s="530"/>
      <c r="P499" s="758"/>
      <c r="Q499" s="534"/>
      <c r="R499" s="534"/>
      <c r="S499" s="534"/>
      <c r="T499" s="534"/>
      <c r="U499" s="534"/>
      <c r="V499" s="534"/>
      <c r="W499" s="534"/>
    </row>
    <row r="500">
      <c r="A500" s="755"/>
      <c r="B500" s="534"/>
      <c r="C500" s="534"/>
      <c r="D500" s="534"/>
      <c r="E500" s="534"/>
      <c r="F500" s="802"/>
      <c r="G500" s="530"/>
      <c r="H500" s="804"/>
      <c r="I500" s="631"/>
      <c r="J500" s="631"/>
      <c r="K500" s="631"/>
      <c r="L500" s="530"/>
      <c r="M500" s="530"/>
      <c r="N500" s="530"/>
      <c r="O500" s="530"/>
      <c r="P500" s="758"/>
      <c r="Q500" s="534"/>
      <c r="R500" s="534"/>
      <c r="S500" s="534"/>
      <c r="T500" s="534"/>
      <c r="U500" s="534"/>
      <c r="V500" s="534"/>
      <c r="W500" s="534"/>
    </row>
    <row r="501">
      <c r="A501" s="755"/>
      <c r="B501" s="534"/>
      <c r="C501" s="534"/>
      <c r="D501" s="534"/>
      <c r="E501" s="534"/>
      <c r="F501" s="802"/>
      <c r="G501" s="530"/>
      <c r="H501" s="804"/>
      <c r="I501" s="631"/>
      <c r="J501" s="631"/>
      <c r="K501" s="631"/>
      <c r="L501" s="530"/>
      <c r="M501" s="530"/>
      <c r="N501" s="530"/>
      <c r="O501" s="530"/>
      <c r="P501" s="758"/>
      <c r="Q501" s="534"/>
      <c r="R501" s="534"/>
      <c r="S501" s="534"/>
      <c r="T501" s="534"/>
      <c r="U501" s="534"/>
      <c r="V501" s="534"/>
      <c r="W501" s="534"/>
    </row>
    <row r="502">
      <c r="A502" s="755"/>
      <c r="B502" s="534"/>
      <c r="C502" s="534"/>
      <c r="D502" s="534"/>
      <c r="E502" s="534"/>
      <c r="F502" s="802"/>
      <c r="G502" s="530"/>
      <c r="H502" s="804"/>
      <c r="I502" s="631"/>
      <c r="J502" s="631"/>
      <c r="K502" s="631"/>
      <c r="L502" s="530"/>
      <c r="M502" s="530"/>
      <c r="N502" s="530"/>
      <c r="O502" s="530"/>
      <c r="P502" s="758"/>
      <c r="Q502" s="534"/>
      <c r="R502" s="534"/>
      <c r="S502" s="534"/>
      <c r="T502" s="534"/>
      <c r="U502" s="534"/>
      <c r="V502" s="534"/>
      <c r="W502" s="534"/>
    </row>
    <row r="503">
      <c r="A503" s="755"/>
      <c r="B503" s="534"/>
      <c r="C503" s="534"/>
      <c r="D503" s="534"/>
      <c r="E503" s="534"/>
      <c r="F503" s="802"/>
      <c r="G503" s="530"/>
      <c r="H503" s="804"/>
      <c r="I503" s="631"/>
      <c r="J503" s="631"/>
      <c r="K503" s="631"/>
      <c r="L503" s="530"/>
      <c r="M503" s="530"/>
      <c r="N503" s="530"/>
      <c r="O503" s="530"/>
      <c r="P503" s="758"/>
      <c r="Q503" s="534"/>
      <c r="R503" s="534"/>
      <c r="S503" s="534"/>
      <c r="T503" s="534"/>
      <c r="U503" s="534"/>
      <c r="V503" s="534"/>
      <c r="W503" s="534"/>
    </row>
    <row r="504">
      <c r="A504" s="755"/>
      <c r="B504" s="534"/>
      <c r="C504" s="534"/>
      <c r="D504" s="534"/>
      <c r="E504" s="534"/>
      <c r="F504" s="802"/>
      <c r="G504" s="530"/>
      <c r="H504" s="804"/>
      <c r="I504" s="631"/>
      <c r="J504" s="631"/>
      <c r="K504" s="631"/>
      <c r="L504" s="530"/>
      <c r="M504" s="530"/>
      <c r="N504" s="530"/>
      <c r="O504" s="530"/>
      <c r="P504" s="758"/>
      <c r="Q504" s="534"/>
      <c r="R504" s="534"/>
      <c r="S504" s="534"/>
      <c r="T504" s="534"/>
      <c r="U504" s="534"/>
      <c r="V504" s="534"/>
      <c r="W504" s="534"/>
    </row>
    <row r="505">
      <c r="A505" s="755"/>
      <c r="B505" s="534"/>
      <c r="C505" s="534"/>
      <c r="D505" s="534"/>
      <c r="E505" s="534"/>
      <c r="F505" s="802"/>
      <c r="G505" s="530"/>
      <c r="H505" s="804"/>
      <c r="I505" s="631"/>
      <c r="J505" s="631"/>
      <c r="K505" s="631"/>
      <c r="L505" s="530"/>
      <c r="M505" s="530"/>
      <c r="N505" s="530"/>
      <c r="O505" s="530"/>
      <c r="P505" s="758"/>
      <c r="Q505" s="534"/>
      <c r="R505" s="534"/>
      <c r="S505" s="534"/>
      <c r="T505" s="534"/>
      <c r="U505" s="534"/>
      <c r="V505" s="534"/>
      <c r="W505" s="534"/>
    </row>
    <row r="506">
      <c r="A506" s="755"/>
      <c r="B506" s="534"/>
      <c r="C506" s="534"/>
      <c r="D506" s="534"/>
      <c r="E506" s="534"/>
      <c r="F506" s="802"/>
      <c r="G506" s="530"/>
      <c r="H506" s="804"/>
      <c r="I506" s="631"/>
      <c r="J506" s="631"/>
      <c r="K506" s="631"/>
      <c r="L506" s="530"/>
      <c r="M506" s="530"/>
      <c r="N506" s="530"/>
      <c r="O506" s="530"/>
      <c r="P506" s="758"/>
      <c r="Q506" s="534"/>
      <c r="R506" s="534"/>
      <c r="S506" s="534"/>
      <c r="T506" s="534"/>
      <c r="U506" s="534"/>
      <c r="V506" s="534"/>
      <c r="W506" s="534"/>
    </row>
    <row r="507">
      <c r="A507" s="755"/>
      <c r="B507" s="534"/>
      <c r="C507" s="534"/>
      <c r="D507" s="534"/>
      <c r="E507" s="534"/>
      <c r="F507" s="802"/>
      <c r="G507" s="530"/>
      <c r="H507" s="804"/>
      <c r="I507" s="631"/>
      <c r="J507" s="631"/>
      <c r="K507" s="631"/>
      <c r="L507" s="530"/>
      <c r="M507" s="530"/>
      <c r="N507" s="530"/>
      <c r="O507" s="530"/>
      <c r="P507" s="758"/>
      <c r="Q507" s="534"/>
      <c r="R507" s="534"/>
      <c r="S507" s="534"/>
      <c r="T507" s="534"/>
      <c r="U507" s="534"/>
      <c r="V507" s="534"/>
      <c r="W507" s="534"/>
    </row>
    <row r="508">
      <c r="A508" s="755"/>
      <c r="B508" s="534"/>
      <c r="C508" s="534"/>
      <c r="D508" s="534"/>
      <c r="E508" s="534"/>
      <c r="F508" s="802"/>
      <c r="G508" s="530"/>
      <c r="H508" s="804"/>
      <c r="I508" s="631"/>
      <c r="J508" s="631"/>
      <c r="K508" s="631"/>
      <c r="L508" s="530"/>
      <c r="M508" s="530"/>
      <c r="N508" s="530"/>
      <c r="O508" s="530"/>
      <c r="P508" s="758"/>
      <c r="Q508" s="534"/>
      <c r="R508" s="534"/>
      <c r="S508" s="534"/>
      <c r="T508" s="534"/>
      <c r="U508" s="534"/>
      <c r="V508" s="534"/>
      <c r="W508" s="534"/>
    </row>
    <row r="509">
      <c r="A509" s="755"/>
      <c r="B509" s="534"/>
      <c r="C509" s="534"/>
      <c r="D509" s="534"/>
      <c r="E509" s="534"/>
      <c r="F509" s="802"/>
      <c r="G509" s="530"/>
      <c r="H509" s="804"/>
      <c r="I509" s="631"/>
      <c r="J509" s="631"/>
      <c r="K509" s="631"/>
      <c r="L509" s="530"/>
      <c r="M509" s="530"/>
      <c r="N509" s="530"/>
      <c r="O509" s="530"/>
      <c r="P509" s="758"/>
      <c r="Q509" s="534"/>
      <c r="R509" s="534"/>
      <c r="S509" s="534"/>
      <c r="T509" s="534"/>
      <c r="U509" s="534"/>
      <c r="V509" s="534"/>
      <c r="W509" s="534"/>
    </row>
    <row r="510">
      <c r="A510" s="755"/>
      <c r="B510" s="534"/>
      <c r="C510" s="534"/>
      <c r="D510" s="534"/>
      <c r="E510" s="534"/>
      <c r="F510" s="802"/>
      <c r="G510" s="530"/>
      <c r="H510" s="804"/>
      <c r="I510" s="631"/>
      <c r="J510" s="631"/>
      <c r="K510" s="631"/>
      <c r="L510" s="530"/>
      <c r="M510" s="530"/>
      <c r="N510" s="530"/>
      <c r="O510" s="530"/>
      <c r="P510" s="758"/>
      <c r="Q510" s="534"/>
      <c r="R510" s="534"/>
      <c r="S510" s="534"/>
      <c r="T510" s="534"/>
      <c r="U510" s="534"/>
      <c r="V510" s="534"/>
      <c r="W510" s="534"/>
    </row>
    <row r="511">
      <c r="A511" s="755"/>
      <c r="B511" s="534"/>
      <c r="C511" s="534"/>
      <c r="D511" s="534"/>
      <c r="E511" s="534"/>
      <c r="F511" s="802"/>
      <c r="G511" s="530"/>
      <c r="H511" s="804"/>
      <c r="I511" s="631"/>
      <c r="J511" s="631"/>
      <c r="K511" s="631"/>
      <c r="L511" s="530"/>
      <c r="M511" s="530"/>
      <c r="N511" s="530"/>
      <c r="O511" s="530"/>
      <c r="P511" s="758"/>
      <c r="Q511" s="534"/>
      <c r="R511" s="534"/>
      <c r="S511" s="534"/>
      <c r="T511" s="534"/>
      <c r="U511" s="534"/>
      <c r="V511" s="534"/>
      <c r="W511" s="534"/>
    </row>
    <row r="512">
      <c r="A512" s="755"/>
      <c r="B512" s="534"/>
      <c r="C512" s="534"/>
      <c r="D512" s="534"/>
      <c r="E512" s="534"/>
      <c r="F512" s="802"/>
      <c r="G512" s="530"/>
      <c r="H512" s="804"/>
      <c r="I512" s="631"/>
      <c r="J512" s="631"/>
      <c r="K512" s="631"/>
      <c r="L512" s="530"/>
      <c r="M512" s="530"/>
      <c r="N512" s="530"/>
      <c r="O512" s="530"/>
      <c r="P512" s="758"/>
      <c r="Q512" s="534"/>
      <c r="R512" s="534"/>
      <c r="S512" s="534"/>
      <c r="T512" s="534"/>
      <c r="U512" s="534"/>
      <c r="V512" s="534"/>
      <c r="W512" s="534"/>
    </row>
    <row r="513">
      <c r="A513" s="755"/>
      <c r="B513" s="534"/>
      <c r="C513" s="534"/>
      <c r="D513" s="534"/>
      <c r="E513" s="534"/>
      <c r="F513" s="802"/>
      <c r="G513" s="530"/>
      <c r="H513" s="804"/>
      <c r="I513" s="631"/>
      <c r="J513" s="631"/>
      <c r="K513" s="631"/>
      <c r="L513" s="530"/>
      <c r="M513" s="530"/>
      <c r="N513" s="530"/>
      <c r="O513" s="530"/>
      <c r="P513" s="758"/>
      <c r="Q513" s="534"/>
      <c r="R513" s="534"/>
      <c r="S513" s="534"/>
      <c r="T513" s="534"/>
      <c r="U513" s="534"/>
      <c r="V513" s="534"/>
      <c r="W513" s="534"/>
    </row>
    <row r="514">
      <c r="A514" s="755"/>
      <c r="B514" s="534"/>
      <c r="C514" s="534"/>
      <c r="D514" s="534"/>
      <c r="E514" s="534"/>
      <c r="F514" s="802"/>
      <c r="G514" s="530"/>
      <c r="H514" s="804"/>
      <c r="I514" s="631"/>
      <c r="J514" s="631"/>
      <c r="K514" s="631"/>
      <c r="L514" s="530"/>
      <c r="M514" s="530"/>
      <c r="N514" s="530"/>
      <c r="O514" s="530"/>
      <c r="P514" s="758"/>
      <c r="Q514" s="534"/>
      <c r="R514" s="534"/>
      <c r="S514" s="534"/>
      <c r="T514" s="534"/>
      <c r="U514" s="534"/>
      <c r="V514" s="534"/>
      <c r="W514" s="534"/>
    </row>
    <row r="515">
      <c r="A515" s="755"/>
      <c r="B515" s="534"/>
      <c r="C515" s="534"/>
      <c r="D515" s="534"/>
      <c r="E515" s="534"/>
      <c r="F515" s="802"/>
      <c r="G515" s="530"/>
      <c r="H515" s="804"/>
      <c r="I515" s="631"/>
      <c r="J515" s="631"/>
      <c r="K515" s="631"/>
      <c r="L515" s="530"/>
      <c r="M515" s="530"/>
      <c r="N515" s="530"/>
      <c r="O515" s="530"/>
      <c r="P515" s="758"/>
      <c r="Q515" s="534"/>
      <c r="R515" s="534"/>
      <c r="S515" s="534"/>
      <c r="T515" s="534"/>
      <c r="U515" s="534"/>
      <c r="V515" s="534"/>
      <c r="W515" s="534"/>
    </row>
    <row r="516">
      <c r="A516" s="755"/>
      <c r="B516" s="534"/>
      <c r="C516" s="534"/>
      <c r="D516" s="534"/>
      <c r="E516" s="534"/>
      <c r="F516" s="802"/>
      <c r="G516" s="530"/>
      <c r="H516" s="804"/>
      <c r="I516" s="631"/>
      <c r="J516" s="631"/>
      <c r="K516" s="631"/>
      <c r="L516" s="530"/>
      <c r="M516" s="530"/>
      <c r="N516" s="530"/>
      <c r="O516" s="530"/>
      <c r="P516" s="758"/>
      <c r="Q516" s="534"/>
      <c r="R516" s="534"/>
      <c r="S516" s="534"/>
      <c r="T516" s="534"/>
      <c r="U516" s="534"/>
      <c r="V516" s="534"/>
      <c r="W516" s="534"/>
    </row>
    <row r="517">
      <c r="A517" s="755"/>
      <c r="B517" s="534"/>
      <c r="C517" s="534"/>
      <c r="D517" s="534"/>
      <c r="E517" s="534"/>
      <c r="F517" s="802"/>
      <c r="G517" s="530"/>
      <c r="H517" s="804"/>
      <c r="I517" s="631"/>
      <c r="J517" s="631"/>
      <c r="K517" s="631"/>
      <c r="L517" s="530"/>
      <c r="M517" s="530"/>
      <c r="N517" s="530"/>
      <c r="O517" s="530"/>
      <c r="P517" s="758"/>
      <c r="Q517" s="534"/>
      <c r="R517" s="534"/>
      <c r="S517" s="534"/>
      <c r="T517" s="534"/>
      <c r="U517" s="534"/>
      <c r="V517" s="534"/>
      <c r="W517" s="534"/>
    </row>
    <row r="518">
      <c r="A518" s="755"/>
      <c r="B518" s="534"/>
      <c r="C518" s="534"/>
      <c r="D518" s="534"/>
      <c r="E518" s="534"/>
      <c r="F518" s="802"/>
      <c r="G518" s="530"/>
      <c r="H518" s="804"/>
      <c r="I518" s="631"/>
      <c r="J518" s="631"/>
      <c r="K518" s="631"/>
      <c r="L518" s="530"/>
      <c r="M518" s="530"/>
      <c r="N518" s="530"/>
      <c r="O518" s="530"/>
      <c r="P518" s="758"/>
      <c r="Q518" s="534"/>
      <c r="R518" s="534"/>
      <c r="S518" s="534"/>
      <c r="T518" s="534"/>
      <c r="U518" s="534"/>
      <c r="V518" s="534"/>
      <c r="W518" s="534"/>
    </row>
    <row r="519">
      <c r="A519" s="755"/>
      <c r="B519" s="534"/>
      <c r="C519" s="534"/>
      <c r="D519" s="534"/>
      <c r="E519" s="534"/>
      <c r="F519" s="802"/>
      <c r="G519" s="530"/>
      <c r="H519" s="804"/>
      <c r="I519" s="631"/>
      <c r="J519" s="631"/>
      <c r="K519" s="631"/>
      <c r="L519" s="530"/>
      <c r="M519" s="530"/>
      <c r="N519" s="530"/>
      <c r="O519" s="530"/>
      <c r="P519" s="758"/>
      <c r="Q519" s="534"/>
      <c r="R519" s="534"/>
      <c r="S519" s="534"/>
      <c r="T519" s="534"/>
      <c r="U519" s="534"/>
      <c r="V519" s="534"/>
      <c r="W519" s="534"/>
    </row>
    <row r="520">
      <c r="A520" s="755"/>
      <c r="B520" s="534"/>
      <c r="C520" s="534"/>
      <c r="D520" s="534"/>
      <c r="E520" s="534"/>
      <c r="F520" s="802"/>
      <c r="G520" s="530"/>
      <c r="H520" s="804"/>
      <c r="I520" s="631"/>
      <c r="J520" s="631"/>
      <c r="K520" s="631"/>
      <c r="L520" s="530"/>
      <c r="M520" s="530"/>
      <c r="N520" s="530"/>
      <c r="O520" s="530"/>
      <c r="P520" s="758"/>
      <c r="Q520" s="534"/>
      <c r="R520" s="534"/>
      <c r="S520" s="534"/>
      <c r="T520" s="534"/>
      <c r="U520" s="534"/>
      <c r="V520" s="534"/>
      <c r="W520" s="534"/>
    </row>
    <row r="521">
      <c r="A521" s="755"/>
      <c r="B521" s="534"/>
      <c r="C521" s="534"/>
      <c r="D521" s="534"/>
      <c r="E521" s="534"/>
      <c r="F521" s="802"/>
      <c r="G521" s="530"/>
      <c r="H521" s="804"/>
      <c r="I521" s="631"/>
      <c r="J521" s="631"/>
      <c r="K521" s="631"/>
      <c r="L521" s="530"/>
      <c r="M521" s="530"/>
      <c r="N521" s="530"/>
      <c r="O521" s="530"/>
      <c r="P521" s="758"/>
      <c r="Q521" s="534"/>
      <c r="R521" s="534"/>
      <c r="S521" s="534"/>
      <c r="T521" s="534"/>
      <c r="U521" s="534"/>
      <c r="V521" s="534"/>
      <c r="W521" s="534"/>
    </row>
    <row r="522">
      <c r="A522" s="755"/>
      <c r="B522" s="534"/>
      <c r="C522" s="534"/>
      <c r="D522" s="534"/>
      <c r="E522" s="534"/>
      <c r="F522" s="802"/>
      <c r="G522" s="530"/>
      <c r="H522" s="804"/>
      <c r="I522" s="631"/>
      <c r="J522" s="631"/>
      <c r="K522" s="631"/>
      <c r="L522" s="530"/>
      <c r="M522" s="530"/>
      <c r="N522" s="530"/>
      <c r="O522" s="530"/>
      <c r="P522" s="758"/>
      <c r="Q522" s="534"/>
      <c r="R522" s="534"/>
      <c r="S522" s="534"/>
      <c r="T522" s="534"/>
      <c r="U522" s="534"/>
      <c r="V522" s="534"/>
      <c r="W522" s="534"/>
    </row>
    <row r="523">
      <c r="A523" s="755"/>
      <c r="B523" s="534"/>
      <c r="C523" s="534"/>
      <c r="D523" s="534"/>
      <c r="E523" s="534"/>
      <c r="F523" s="802"/>
      <c r="G523" s="530"/>
      <c r="H523" s="804"/>
      <c r="I523" s="631"/>
      <c r="J523" s="631"/>
      <c r="K523" s="631"/>
      <c r="L523" s="530"/>
      <c r="M523" s="530"/>
      <c r="N523" s="530"/>
      <c r="O523" s="530"/>
      <c r="P523" s="758"/>
      <c r="Q523" s="534"/>
      <c r="R523" s="534"/>
      <c r="S523" s="534"/>
      <c r="T523" s="534"/>
      <c r="U523" s="534"/>
      <c r="V523" s="534"/>
      <c r="W523" s="534"/>
    </row>
    <row r="524">
      <c r="A524" s="755"/>
      <c r="B524" s="534"/>
      <c r="C524" s="534"/>
      <c r="D524" s="534"/>
      <c r="E524" s="534"/>
      <c r="F524" s="802"/>
      <c r="G524" s="530"/>
      <c r="H524" s="804"/>
      <c r="I524" s="631"/>
      <c r="J524" s="631"/>
      <c r="K524" s="631"/>
      <c r="L524" s="530"/>
      <c r="M524" s="530"/>
      <c r="N524" s="530"/>
      <c r="O524" s="530"/>
      <c r="P524" s="758"/>
      <c r="Q524" s="534"/>
      <c r="R524" s="534"/>
      <c r="S524" s="534"/>
      <c r="T524" s="534"/>
      <c r="U524" s="534"/>
      <c r="V524" s="534"/>
      <c r="W524" s="534"/>
    </row>
    <row r="525">
      <c r="A525" s="755"/>
      <c r="B525" s="534"/>
      <c r="C525" s="534"/>
      <c r="D525" s="534"/>
      <c r="E525" s="534"/>
      <c r="F525" s="802"/>
      <c r="G525" s="530"/>
      <c r="H525" s="804"/>
      <c r="I525" s="631"/>
      <c r="J525" s="631"/>
      <c r="K525" s="631"/>
      <c r="L525" s="530"/>
      <c r="M525" s="530"/>
      <c r="N525" s="530"/>
      <c r="O525" s="530"/>
      <c r="P525" s="758"/>
      <c r="Q525" s="534"/>
      <c r="R525" s="534"/>
      <c r="S525" s="534"/>
      <c r="T525" s="534"/>
      <c r="U525" s="534"/>
      <c r="V525" s="534"/>
      <c r="W525" s="534"/>
    </row>
    <row r="526">
      <c r="A526" s="755"/>
      <c r="B526" s="534"/>
      <c r="C526" s="534"/>
      <c r="D526" s="534"/>
      <c r="E526" s="534"/>
      <c r="F526" s="802"/>
      <c r="G526" s="530"/>
      <c r="H526" s="804"/>
      <c r="I526" s="631"/>
      <c r="J526" s="631"/>
      <c r="K526" s="631"/>
      <c r="L526" s="530"/>
      <c r="M526" s="530"/>
      <c r="N526" s="530"/>
      <c r="O526" s="530"/>
      <c r="P526" s="758"/>
      <c r="Q526" s="534"/>
      <c r="R526" s="534"/>
      <c r="S526" s="534"/>
      <c r="T526" s="534"/>
      <c r="U526" s="534"/>
      <c r="V526" s="534"/>
      <c r="W526" s="534"/>
    </row>
    <row r="527">
      <c r="A527" s="755"/>
      <c r="B527" s="534"/>
      <c r="C527" s="534"/>
      <c r="D527" s="534"/>
      <c r="E527" s="534"/>
      <c r="F527" s="802"/>
      <c r="G527" s="530"/>
      <c r="H527" s="804"/>
      <c r="I527" s="631"/>
      <c r="J527" s="631"/>
      <c r="K527" s="631"/>
      <c r="L527" s="530"/>
      <c r="M527" s="530"/>
      <c r="N527" s="530"/>
      <c r="O527" s="530"/>
      <c r="P527" s="758"/>
      <c r="Q527" s="534"/>
      <c r="R527" s="534"/>
      <c r="S527" s="534"/>
      <c r="T527" s="534"/>
      <c r="U527" s="534"/>
      <c r="V527" s="534"/>
      <c r="W527" s="534"/>
    </row>
    <row r="528">
      <c r="A528" s="755"/>
      <c r="B528" s="534"/>
      <c r="C528" s="534"/>
      <c r="D528" s="534"/>
      <c r="E528" s="534"/>
      <c r="F528" s="802"/>
      <c r="G528" s="530"/>
      <c r="H528" s="804"/>
      <c r="I528" s="631"/>
      <c r="J528" s="631"/>
      <c r="K528" s="631"/>
      <c r="L528" s="530"/>
      <c r="M528" s="530"/>
      <c r="N528" s="530"/>
      <c r="O528" s="530"/>
      <c r="P528" s="758"/>
      <c r="Q528" s="534"/>
      <c r="R528" s="534"/>
      <c r="S528" s="534"/>
      <c r="T528" s="534"/>
      <c r="U528" s="534"/>
      <c r="V528" s="534"/>
      <c r="W528" s="534"/>
    </row>
    <row r="529">
      <c r="A529" s="755"/>
      <c r="B529" s="534"/>
      <c r="C529" s="534"/>
      <c r="D529" s="534"/>
      <c r="E529" s="534"/>
      <c r="F529" s="802"/>
      <c r="G529" s="530"/>
      <c r="H529" s="804"/>
      <c r="I529" s="631"/>
      <c r="J529" s="631"/>
      <c r="K529" s="631"/>
      <c r="L529" s="530"/>
      <c r="M529" s="530"/>
      <c r="N529" s="530"/>
      <c r="O529" s="530"/>
      <c r="P529" s="758"/>
      <c r="Q529" s="534"/>
      <c r="R529" s="534"/>
      <c r="S529" s="534"/>
      <c r="T529" s="534"/>
      <c r="U529" s="534"/>
      <c r="V529" s="534"/>
      <c r="W529" s="534"/>
    </row>
    <row r="530">
      <c r="A530" s="755"/>
      <c r="B530" s="534"/>
      <c r="C530" s="534"/>
      <c r="D530" s="534"/>
      <c r="E530" s="534"/>
      <c r="F530" s="802"/>
      <c r="G530" s="530"/>
      <c r="H530" s="804"/>
      <c r="I530" s="631"/>
      <c r="J530" s="631"/>
      <c r="K530" s="631"/>
      <c r="L530" s="530"/>
      <c r="M530" s="530"/>
      <c r="N530" s="530"/>
      <c r="O530" s="530"/>
      <c r="P530" s="758"/>
      <c r="Q530" s="534"/>
      <c r="R530" s="534"/>
      <c r="S530" s="534"/>
      <c r="T530" s="534"/>
      <c r="U530" s="534"/>
      <c r="V530" s="534"/>
      <c r="W530" s="534"/>
    </row>
    <row r="531">
      <c r="A531" s="755"/>
      <c r="B531" s="534"/>
      <c r="C531" s="534"/>
      <c r="D531" s="534"/>
      <c r="E531" s="534"/>
      <c r="F531" s="802"/>
      <c r="G531" s="530"/>
      <c r="H531" s="804"/>
      <c r="I531" s="631"/>
      <c r="J531" s="631"/>
      <c r="K531" s="631"/>
      <c r="L531" s="530"/>
      <c r="M531" s="530"/>
      <c r="N531" s="530"/>
      <c r="O531" s="530"/>
      <c r="P531" s="758"/>
      <c r="Q531" s="534"/>
      <c r="R531" s="534"/>
      <c r="S531" s="534"/>
      <c r="T531" s="534"/>
      <c r="U531" s="534"/>
      <c r="V531" s="534"/>
      <c r="W531" s="534"/>
    </row>
    <row r="532">
      <c r="A532" s="755"/>
      <c r="B532" s="534"/>
      <c r="C532" s="534"/>
      <c r="D532" s="534"/>
      <c r="E532" s="534"/>
      <c r="F532" s="802"/>
      <c r="G532" s="530"/>
      <c r="H532" s="804"/>
      <c r="I532" s="631"/>
      <c r="J532" s="631"/>
      <c r="K532" s="631"/>
      <c r="L532" s="530"/>
      <c r="M532" s="530"/>
      <c r="N532" s="530"/>
      <c r="O532" s="530"/>
      <c r="P532" s="758"/>
      <c r="Q532" s="534"/>
      <c r="R532" s="534"/>
      <c r="S532" s="534"/>
      <c r="T532" s="534"/>
      <c r="U532" s="534"/>
      <c r="V532" s="534"/>
      <c r="W532" s="534"/>
    </row>
    <row r="533">
      <c r="A533" s="755"/>
      <c r="B533" s="534"/>
      <c r="C533" s="534"/>
      <c r="D533" s="534"/>
      <c r="E533" s="534"/>
      <c r="F533" s="802"/>
      <c r="G533" s="530"/>
      <c r="H533" s="804"/>
      <c r="I533" s="631"/>
      <c r="J533" s="631"/>
      <c r="K533" s="631"/>
      <c r="L533" s="530"/>
      <c r="M533" s="530"/>
      <c r="N533" s="530"/>
      <c r="O533" s="530"/>
      <c r="P533" s="758"/>
      <c r="Q533" s="534"/>
      <c r="R533" s="534"/>
      <c r="S533" s="534"/>
      <c r="T533" s="534"/>
      <c r="U533" s="534"/>
      <c r="V533" s="534"/>
      <c r="W533" s="534"/>
    </row>
    <row r="534">
      <c r="A534" s="755"/>
      <c r="B534" s="534"/>
      <c r="C534" s="534"/>
      <c r="D534" s="534"/>
      <c r="E534" s="534"/>
      <c r="F534" s="802"/>
      <c r="G534" s="530"/>
      <c r="H534" s="804"/>
      <c r="I534" s="631"/>
      <c r="J534" s="631"/>
      <c r="K534" s="631"/>
      <c r="L534" s="530"/>
      <c r="M534" s="530"/>
      <c r="N534" s="530"/>
      <c r="O534" s="530"/>
      <c r="P534" s="758"/>
      <c r="Q534" s="534"/>
      <c r="R534" s="534"/>
      <c r="S534" s="534"/>
      <c r="T534" s="534"/>
      <c r="U534" s="534"/>
      <c r="V534" s="534"/>
      <c r="W534" s="534"/>
    </row>
    <row r="535">
      <c r="A535" s="755"/>
      <c r="B535" s="534"/>
      <c r="C535" s="534"/>
      <c r="D535" s="534"/>
      <c r="E535" s="534"/>
      <c r="F535" s="802"/>
      <c r="G535" s="530"/>
      <c r="H535" s="804"/>
      <c r="I535" s="631"/>
      <c r="J535" s="631"/>
      <c r="K535" s="631"/>
      <c r="L535" s="530"/>
      <c r="M535" s="530"/>
      <c r="N535" s="530"/>
      <c r="O535" s="530"/>
      <c r="P535" s="758"/>
      <c r="Q535" s="534"/>
      <c r="R535" s="534"/>
      <c r="S535" s="534"/>
      <c r="T535" s="534"/>
      <c r="U535" s="534"/>
      <c r="V535" s="534"/>
      <c r="W535" s="534"/>
    </row>
    <row r="536">
      <c r="A536" s="755"/>
      <c r="B536" s="534"/>
      <c r="C536" s="534"/>
      <c r="D536" s="534"/>
      <c r="E536" s="534"/>
      <c r="F536" s="802"/>
      <c r="G536" s="530"/>
      <c r="H536" s="804"/>
      <c r="I536" s="631"/>
      <c r="J536" s="631"/>
      <c r="K536" s="631"/>
      <c r="L536" s="530"/>
      <c r="M536" s="530"/>
      <c r="N536" s="530"/>
      <c r="O536" s="530"/>
      <c r="P536" s="758"/>
      <c r="Q536" s="534"/>
      <c r="R536" s="534"/>
      <c r="S536" s="534"/>
      <c r="T536" s="534"/>
      <c r="U536" s="534"/>
      <c r="V536" s="534"/>
      <c r="W536" s="534"/>
    </row>
    <row r="537">
      <c r="A537" s="755"/>
      <c r="B537" s="534"/>
      <c r="C537" s="534"/>
      <c r="D537" s="534"/>
      <c r="E537" s="534"/>
      <c r="F537" s="802"/>
      <c r="G537" s="530"/>
      <c r="H537" s="804"/>
      <c r="I537" s="631"/>
      <c r="J537" s="631"/>
      <c r="K537" s="631"/>
      <c r="L537" s="530"/>
      <c r="M537" s="530"/>
      <c r="N537" s="530"/>
      <c r="O537" s="530"/>
      <c r="P537" s="758"/>
      <c r="Q537" s="534"/>
      <c r="R537" s="534"/>
      <c r="S537" s="534"/>
      <c r="T537" s="534"/>
      <c r="U537" s="534"/>
      <c r="V537" s="534"/>
      <c r="W537" s="534"/>
    </row>
    <row r="538">
      <c r="A538" s="755"/>
      <c r="B538" s="534"/>
      <c r="C538" s="534"/>
      <c r="D538" s="534"/>
      <c r="E538" s="534"/>
      <c r="F538" s="802"/>
      <c r="G538" s="530"/>
      <c r="H538" s="804"/>
      <c r="I538" s="631"/>
      <c r="J538" s="631"/>
      <c r="K538" s="631"/>
      <c r="L538" s="530"/>
      <c r="M538" s="530"/>
      <c r="N538" s="530"/>
      <c r="O538" s="530"/>
      <c r="P538" s="758"/>
      <c r="Q538" s="534"/>
      <c r="R538" s="534"/>
      <c r="S538" s="534"/>
      <c r="T538" s="534"/>
      <c r="U538" s="534"/>
      <c r="V538" s="534"/>
      <c r="W538" s="534"/>
    </row>
    <row r="539">
      <c r="A539" s="755"/>
      <c r="B539" s="534"/>
      <c r="C539" s="534"/>
      <c r="D539" s="534"/>
      <c r="E539" s="534"/>
      <c r="F539" s="802"/>
      <c r="G539" s="530"/>
      <c r="H539" s="804"/>
      <c r="I539" s="631"/>
      <c r="J539" s="631"/>
      <c r="K539" s="631"/>
      <c r="L539" s="530"/>
      <c r="M539" s="530"/>
      <c r="N539" s="530"/>
      <c r="O539" s="530"/>
      <c r="P539" s="758"/>
      <c r="Q539" s="534"/>
      <c r="R539" s="534"/>
      <c r="S539" s="534"/>
      <c r="T539" s="534"/>
      <c r="U539" s="534"/>
      <c r="V539" s="534"/>
      <c r="W539" s="534"/>
    </row>
    <row r="540">
      <c r="A540" s="755"/>
      <c r="B540" s="534"/>
      <c r="C540" s="534"/>
      <c r="D540" s="534"/>
      <c r="E540" s="534"/>
      <c r="F540" s="802"/>
      <c r="G540" s="530"/>
      <c r="H540" s="804"/>
      <c r="I540" s="631"/>
      <c r="J540" s="631"/>
      <c r="K540" s="631"/>
      <c r="L540" s="530"/>
      <c r="M540" s="530"/>
      <c r="N540" s="530"/>
      <c r="O540" s="530"/>
      <c r="P540" s="758"/>
      <c r="Q540" s="534"/>
      <c r="R540" s="534"/>
      <c r="S540" s="534"/>
      <c r="T540" s="534"/>
      <c r="U540" s="534"/>
      <c r="V540" s="534"/>
      <c r="W540" s="534"/>
    </row>
    <row r="541">
      <c r="A541" s="755"/>
      <c r="B541" s="534"/>
      <c r="C541" s="534"/>
      <c r="D541" s="534"/>
      <c r="E541" s="534"/>
      <c r="F541" s="802"/>
      <c r="G541" s="530"/>
      <c r="H541" s="804"/>
      <c r="I541" s="631"/>
      <c r="J541" s="631"/>
      <c r="K541" s="631"/>
      <c r="L541" s="530"/>
      <c r="M541" s="530"/>
      <c r="N541" s="530"/>
      <c r="O541" s="530"/>
      <c r="P541" s="758"/>
      <c r="Q541" s="534"/>
      <c r="R541" s="534"/>
      <c r="S541" s="534"/>
      <c r="T541" s="534"/>
      <c r="U541" s="534"/>
      <c r="V541" s="534"/>
      <c r="W541" s="534"/>
    </row>
    <row r="542">
      <c r="A542" s="755"/>
      <c r="B542" s="534"/>
      <c r="C542" s="534"/>
      <c r="D542" s="534"/>
      <c r="E542" s="534"/>
      <c r="F542" s="802"/>
      <c r="G542" s="530"/>
      <c r="H542" s="804"/>
      <c r="I542" s="631"/>
      <c r="J542" s="631"/>
      <c r="K542" s="631"/>
      <c r="L542" s="530"/>
      <c r="M542" s="530"/>
      <c r="N542" s="530"/>
      <c r="O542" s="530"/>
      <c r="P542" s="758"/>
      <c r="Q542" s="534"/>
      <c r="R542" s="534"/>
      <c r="S542" s="534"/>
      <c r="T542" s="534"/>
      <c r="U542" s="534"/>
      <c r="V542" s="534"/>
      <c r="W542" s="534"/>
    </row>
    <row r="543">
      <c r="A543" s="755"/>
      <c r="B543" s="534"/>
      <c r="C543" s="534"/>
      <c r="D543" s="534"/>
      <c r="E543" s="534"/>
      <c r="F543" s="802"/>
      <c r="G543" s="530"/>
      <c r="H543" s="804"/>
      <c r="I543" s="631"/>
      <c r="J543" s="631"/>
      <c r="K543" s="631"/>
      <c r="L543" s="530"/>
      <c r="M543" s="530"/>
      <c r="N543" s="530"/>
      <c r="O543" s="530"/>
      <c r="P543" s="758"/>
      <c r="Q543" s="534"/>
      <c r="R543" s="534"/>
      <c r="S543" s="534"/>
      <c r="T543" s="534"/>
      <c r="U543" s="534"/>
      <c r="V543" s="534"/>
      <c r="W543" s="534"/>
    </row>
    <row r="544">
      <c r="A544" s="755"/>
      <c r="B544" s="534"/>
      <c r="C544" s="534"/>
      <c r="D544" s="534"/>
      <c r="E544" s="534"/>
      <c r="F544" s="802"/>
      <c r="G544" s="530"/>
      <c r="H544" s="804"/>
      <c r="I544" s="631"/>
      <c r="J544" s="631"/>
      <c r="K544" s="631"/>
      <c r="L544" s="530"/>
      <c r="M544" s="530"/>
      <c r="N544" s="530"/>
      <c r="O544" s="530"/>
      <c r="P544" s="758"/>
      <c r="Q544" s="534"/>
      <c r="R544" s="534"/>
      <c r="S544" s="534"/>
      <c r="T544" s="534"/>
      <c r="U544" s="534"/>
      <c r="V544" s="534"/>
      <c r="W544" s="534"/>
    </row>
    <row r="545">
      <c r="A545" s="755"/>
      <c r="B545" s="534"/>
      <c r="C545" s="534"/>
      <c r="D545" s="534"/>
      <c r="E545" s="534"/>
      <c r="F545" s="802"/>
      <c r="G545" s="530"/>
      <c r="H545" s="804"/>
      <c r="I545" s="631"/>
      <c r="J545" s="631"/>
      <c r="K545" s="631"/>
      <c r="L545" s="530"/>
      <c r="M545" s="530"/>
      <c r="N545" s="530"/>
      <c r="O545" s="530"/>
      <c r="P545" s="758"/>
      <c r="Q545" s="534"/>
      <c r="R545" s="534"/>
      <c r="S545" s="534"/>
      <c r="T545" s="534"/>
      <c r="U545" s="534"/>
      <c r="V545" s="534"/>
      <c r="W545" s="534"/>
    </row>
    <row r="546">
      <c r="A546" s="755"/>
      <c r="B546" s="534"/>
      <c r="C546" s="534"/>
      <c r="D546" s="534"/>
      <c r="E546" s="534"/>
      <c r="F546" s="802"/>
      <c r="G546" s="530"/>
      <c r="H546" s="804"/>
      <c r="I546" s="631"/>
      <c r="J546" s="631"/>
      <c r="K546" s="631"/>
      <c r="L546" s="530"/>
      <c r="M546" s="530"/>
      <c r="N546" s="530"/>
      <c r="O546" s="530"/>
      <c r="P546" s="758"/>
      <c r="Q546" s="534"/>
      <c r="R546" s="534"/>
      <c r="S546" s="534"/>
      <c r="T546" s="534"/>
      <c r="U546" s="534"/>
      <c r="V546" s="534"/>
      <c r="W546" s="534"/>
    </row>
    <row r="547">
      <c r="A547" s="755"/>
      <c r="B547" s="534"/>
      <c r="C547" s="534"/>
      <c r="D547" s="534"/>
      <c r="E547" s="534"/>
      <c r="F547" s="802"/>
      <c r="G547" s="530"/>
      <c r="H547" s="804"/>
      <c r="I547" s="631"/>
      <c r="J547" s="631"/>
      <c r="K547" s="631"/>
      <c r="L547" s="530"/>
      <c r="M547" s="530"/>
      <c r="N547" s="530"/>
      <c r="O547" s="530"/>
      <c r="P547" s="758"/>
      <c r="Q547" s="534"/>
      <c r="R547" s="534"/>
      <c r="S547" s="534"/>
      <c r="T547" s="534"/>
      <c r="U547" s="534"/>
      <c r="V547" s="534"/>
      <c r="W547" s="534"/>
    </row>
    <row r="548">
      <c r="A548" s="755"/>
      <c r="B548" s="534"/>
      <c r="C548" s="534"/>
      <c r="D548" s="534"/>
      <c r="E548" s="534"/>
      <c r="F548" s="802"/>
      <c r="G548" s="530"/>
      <c r="H548" s="804"/>
      <c r="I548" s="631"/>
      <c r="J548" s="631"/>
      <c r="K548" s="631"/>
      <c r="L548" s="530"/>
      <c r="M548" s="530"/>
      <c r="N548" s="530"/>
      <c r="O548" s="530"/>
      <c r="P548" s="758"/>
      <c r="Q548" s="534"/>
      <c r="R548" s="534"/>
      <c r="S548" s="534"/>
      <c r="T548" s="534"/>
      <c r="U548" s="534"/>
      <c r="V548" s="534"/>
      <c r="W548" s="534"/>
    </row>
    <row r="549">
      <c r="A549" s="755"/>
      <c r="B549" s="534"/>
      <c r="C549" s="534"/>
      <c r="D549" s="534"/>
      <c r="E549" s="534"/>
      <c r="F549" s="802"/>
      <c r="G549" s="530"/>
      <c r="H549" s="804"/>
      <c r="I549" s="631"/>
      <c r="J549" s="631"/>
      <c r="K549" s="631"/>
      <c r="L549" s="530"/>
      <c r="M549" s="530"/>
      <c r="N549" s="530"/>
      <c r="O549" s="530"/>
      <c r="P549" s="758"/>
      <c r="Q549" s="534"/>
      <c r="R549" s="534"/>
      <c r="S549" s="534"/>
      <c r="T549" s="534"/>
      <c r="U549" s="534"/>
      <c r="V549" s="534"/>
      <c r="W549" s="534"/>
    </row>
    <row r="550">
      <c r="A550" s="755"/>
      <c r="B550" s="534"/>
      <c r="C550" s="534"/>
      <c r="D550" s="534"/>
      <c r="E550" s="534"/>
      <c r="F550" s="802"/>
      <c r="G550" s="530"/>
      <c r="H550" s="804"/>
      <c r="I550" s="631"/>
      <c r="J550" s="631"/>
      <c r="K550" s="631"/>
      <c r="L550" s="530"/>
      <c r="M550" s="530"/>
      <c r="N550" s="530"/>
      <c r="O550" s="530"/>
      <c r="P550" s="758"/>
      <c r="Q550" s="534"/>
      <c r="R550" s="534"/>
      <c r="S550" s="534"/>
      <c r="T550" s="534"/>
      <c r="U550" s="534"/>
      <c r="V550" s="534"/>
      <c r="W550" s="534"/>
    </row>
    <row r="551">
      <c r="A551" s="755"/>
      <c r="B551" s="534"/>
      <c r="C551" s="534"/>
      <c r="D551" s="534"/>
      <c r="E551" s="534"/>
      <c r="F551" s="802"/>
      <c r="G551" s="530"/>
      <c r="H551" s="804"/>
      <c r="I551" s="631"/>
      <c r="J551" s="631"/>
      <c r="K551" s="631"/>
      <c r="L551" s="530"/>
      <c r="M551" s="530"/>
      <c r="N551" s="530"/>
      <c r="O551" s="530"/>
      <c r="P551" s="758"/>
      <c r="Q551" s="534"/>
      <c r="R551" s="534"/>
      <c r="S551" s="534"/>
      <c r="T551" s="534"/>
      <c r="U551" s="534"/>
      <c r="V551" s="534"/>
      <c r="W551" s="534"/>
    </row>
    <row r="552">
      <c r="A552" s="755"/>
      <c r="B552" s="534"/>
      <c r="C552" s="534"/>
      <c r="D552" s="534"/>
      <c r="E552" s="534"/>
      <c r="F552" s="802"/>
      <c r="G552" s="530"/>
      <c r="H552" s="804"/>
      <c r="I552" s="631"/>
      <c r="J552" s="631"/>
      <c r="K552" s="631"/>
      <c r="L552" s="530"/>
      <c r="M552" s="530"/>
      <c r="N552" s="530"/>
      <c r="O552" s="530"/>
      <c r="P552" s="758"/>
      <c r="Q552" s="534"/>
      <c r="R552" s="534"/>
      <c r="S552" s="534"/>
      <c r="T552" s="534"/>
      <c r="U552" s="534"/>
      <c r="V552" s="534"/>
      <c r="W552" s="534"/>
    </row>
    <row r="553">
      <c r="A553" s="755"/>
      <c r="B553" s="534"/>
      <c r="C553" s="534"/>
      <c r="D553" s="534"/>
      <c r="E553" s="534"/>
      <c r="F553" s="802"/>
      <c r="G553" s="530"/>
      <c r="H553" s="804"/>
      <c r="I553" s="631"/>
      <c r="J553" s="631"/>
      <c r="K553" s="631"/>
      <c r="L553" s="530"/>
      <c r="M553" s="530"/>
      <c r="N553" s="530"/>
      <c r="O553" s="530"/>
      <c r="P553" s="758"/>
      <c r="Q553" s="534"/>
      <c r="R553" s="534"/>
      <c r="S553" s="534"/>
      <c r="T553" s="534"/>
      <c r="U553" s="534"/>
      <c r="V553" s="534"/>
      <c r="W553" s="534"/>
    </row>
    <row r="554">
      <c r="A554" s="755"/>
      <c r="B554" s="534"/>
      <c r="C554" s="534"/>
      <c r="D554" s="534"/>
      <c r="E554" s="534"/>
      <c r="F554" s="802"/>
      <c r="G554" s="530"/>
      <c r="H554" s="804"/>
      <c r="I554" s="631"/>
      <c r="J554" s="631"/>
      <c r="K554" s="631"/>
      <c r="L554" s="530"/>
      <c r="M554" s="530"/>
      <c r="N554" s="530"/>
      <c r="O554" s="530"/>
      <c r="P554" s="758"/>
      <c r="Q554" s="534"/>
      <c r="R554" s="534"/>
      <c r="S554" s="534"/>
      <c r="T554" s="534"/>
      <c r="U554" s="534"/>
      <c r="V554" s="534"/>
      <c r="W554" s="534"/>
    </row>
    <row r="555">
      <c r="A555" s="755"/>
      <c r="B555" s="534"/>
      <c r="C555" s="534"/>
      <c r="D555" s="534"/>
      <c r="E555" s="534"/>
      <c r="F555" s="802"/>
      <c r="G555" s="530"/>
      <c r="H555" s="804"/>
      <c r="I555" s="631"/>
      <c r="J555" s="631"/>
      <c r="K555" s="631"/>
      <c r="L555" s="530"/>
      <c r="M555" s="530"/>
      <c r="N555" s="530"/>
      <c r="O555" s="530"/>
      <c r="P555" s="758"/>
      <c r="Q555" s="534"/>
      <c r="R555" s="534"/>
      <c r="S555" s="534"/>
      <c r="T555" s="534"/>
      <c r="U555" s="534"/>
      <c r="V555" s="534"/>
      <c r="W555" s="534"/>
    </row>
    <row r="556">
      <c r="A556" s="755"/>
      <c r="B556" s="534"/>
      <c r="C556" s="534"/>
      <c r="D556" s="534"/>
      <c r="E556" s="534"/>
      <c r="F556" s="802"/>
      <c r="G556" s="530"/>
      <c r="H556" s="804"/>
      <c r="I556" s="631"/>
      <c r="J556" s="631"/>
      <c r="K556" s="631"/>
      <c r="L556" s="530"/>
      <c r="M556" s="530"/>
      <c r="N556" s="530"/>
      <c r="O556" s="530"/>
      <c r="P556" s="758"/>
      <c r="Q556" s="534"/>
      <c r="R556" s="534"/>
      <c r="S556" s="534"/>
      <c r="T556" s="534"/>
      <c r="U556" s="534"/>
      <c r="V556" s="534"/>
      <c r="W556" s="534"/>
    </row>
    <row r="557">
      <c r="A557" s="755"/>
      <c r="B557" s="534"/>
      <c r="C557" s="534"/>
      <c r="D557" s="534"/>
      <c r="E557" s="534"/>
      <c r="F557" s="802"/>
      <c r="G557" s="530"/>
      <c r="H557" s="804"/>
      <c r="I557" s="631"/>
      <c r="J557" s="631"/>
      <c r="K557" s="631"/>
      <c r="L557" s="530"/>
      <c r="M557" s="530"/>
      <c r="N557" s="530"/>
      <c r="O557" s="530"/>
      <c r="P557" s="758"/>
      <c r="Q557" s="534"/>
      <c r="R557" s="534"/>
      <c r="S557" s="534"/>
      <c r="T557" s="534"/>
      <c r="U557" s="534"/>
      <c r="V557" s="534"/>
      <c r="W557" s="534"/>
    </row>
    <row r="558">
      <c r="A558" s="755"/>
      <c r="B558" s="534"/>
      <c r="C558" s="534"/>
      <c r="D558" s="534"/>
      <c r="E558" s="534"/>
      <c r="F558" s="802"/>
      <c r="G558" s="530"/>
      <c r="H558" s="804"/>
      <c r="I558" s="631"/>
      <c r="J558" s="631"/>
      <c r="K558" s="631"/>
      <c r="L558" s="530"/>
      <c r="M558" s="530"/>
      <c r="N558" s="530"/>
      <c r="O558" s="530"/>
      <c r="P558" s="758"/>
      <c r="Q558" s="534"/>
      <c r="R558" s="534"/>
      <c r="S558" s="534"/>
      <c r="T558" s="534"/>
      <c r="U558" s="534"/>
      <c r="V558" s="534"/>
      <c r="W558" s="534"/>
    </row>
    <row r="559">
      <c r="A559" s="755"/>
      <c r="B559" s="534"/>
      <c r="C559" s="534"/>
      <c r="D559" s="534"/>
      <c r="E559" s="534"/>
      <c r="F559" s="802"/>
      <c r="G559" s="530"/>
      <c r="H559" s="804"/>
      <c r="I559" s="631"/>
      <c r="J559" s="631"/>
      <c r="K559" s="631"/>
      <c r="L559" s="530"/>
      <c r="M559" s="530"/>
      <c r="N559" s="530"/>
      <c r="O559" s="530"/>
      <c r="P559" s="758"/>
      <c r="Q559" s="534"/>
      <c r="R559" s="534"/>
      <c r="S559" s="534"/>
      <c r="T559" s="534"/>
      <c r="U559" s="534"/>
      <c r="V559" s="534"/>
      <c r="W559" s="534"/>
    </row>
    <row r="560">
      <c r="A560" s="755"/>
      <c r="B560" s="534"/>
      <c r="C560" s="534"/>
      <c r="D560" s="534"/>
      <c r="E560" s="534"/>
      <c r="F560" s="802"/>
      <c r="G560" s="530"/>
      <c r="H560" s="804"/>
      <c r="I560" s="631"/>
      <c r="J560" s="631"/>
      <c r="K560" s="631"/>
      <c r="L560" s="530"/>
      <c r="M560" s="530"/>
      <c r="N560" s="530"/>
      <c r="O560" s="530"/>
      <c r="P560" s="758"/>
      <c r="Q560" s="534"/>
      <c r="R560" s="534"/>
      <c r="S560" s="534"/>
      <c r="T560" s="534"/>
      <c r="U560" s="534"/>
      <c r="V560" s="534"/>
      <c r="W560" s="534"/>
    </row>
    <row r="561">
      <c r="A561" s="755"/>
      <c r="B561" s="534"/>
      <c r="C561" s="534"/>
      <c r="D561" s="534"/>
      <c r="E561" s="534"/>
      <c r="F561" s="802"/>
      <c r="G561" s="530"/>
      <c r="H561" s="804"/>
      <c r="I561" s="631"/>
      <c r="J561" s="631"/>
      <c r="K561" s="631"/>
      <c r="L561" s="530"/>
      <c r="M561" s="530"/>
      <c r="N561" s="530"/>
      <c r="O561" s="530"/>
      <c r="P561" s="758"/>
      <c r="Q561" s="534"/>
      <c r="R561" s="534"/>
      <c r="S561" s="534"/>
      <c r="T561" s="534"/>
      <c r="U561" s="534"/>
      <c r="V561" s="534"/>
      <c r="W561" s="534"/>
    </row>
    <row r="562">
      <c r="A562" s="755"/>
      <c r="B562" s="534"/>
      <c r="C562" s="534"/>
      <c r="D562" s="534"/>
      <c r="E562" s="534"/>
      <c r="F562" s="802"/>
      <c r="G562" s="530"/>
      <c r="H562" s="804"/>
      <c r="I562" s="631"/>
      <c r="J562" s="631"/>
      <c r="K562" s="631"/>
      <c r="L562" s="530"/>
      <c r="M562" s="530"/>
      <c r="N562" s="530"/>
      <c r="O562" s="530"/>
      <c r="P562" s="758"/>
      <c r="Q562" s="534"/>
      <c r="R562" s="534"/>
      <c r="S562" s="534"/>
      <c r="T562" s="534"/>
      <c r="U562" s="534"/>
      <c r="V562" s="534"/>
      <c r="W562" s="534"/>
    </row>
    <row r="563">
      <c r="A563" s="755"/>
      <c r="B563" s="534"/>
      <c r="C563" s="534"/>
      <c r="D563" s="534"/>
      <c r="E563" s="534"/>
      <c r="F563" s="802"/>
      <c r="G563" s="530"/>
      <c r="H563" s="804"/>
      <c r="I563" s="631"/>
      <c r="J563" s="631"/>
      <c r="K563" s="631"/>
      <c r="L563" s="530"/>
      <c r="M563" s="530"/>
      <c r="N563" s="530"/>
      <c r="O563" s="530"/>
      <c r="P563" s="758"/>
      <c r="Q563" s="534"/>
      <c r="R563" s="534"/>
      <c r="S563" s="534"/>
      <c r="T563" s="534"/>
      <c r="U563" s="534"/>
      <c r="V563" s="534"/>
      <c r="W563" s="534"/>
    </row>
    <row r="564">
      <c r="A564" s="755"/>
      <c r="B564" s="534"/>
      <c r="C564" s="534"/>
      <c r="D564" s="534"/>
      <c r="E564" s="534"/>
      <c r="F564" s="802"/>
      <c r="G564" s="530"/>
      <c r="H564" s="804"/>
      <c r="I564" s="631"/>
      <c r="J564" s="631"/>
      <c r="K564" s="631"/>
      <c r="L564" s="530"/>
      <c r="M564" s="530"/>
      <c r="N564" s="530"/>
      <c r="O564" s="530"/>
      <c r="P564" s="758"/>
      <c r="Q564" s="534"/>
      <c r="R564" s="534"/>
      <c r="S564" s="534"/>
      <c r="T564" s="534"/>
      <c r="U564" s="534"/>
      <c r="V564" s="534"/>
      <c r="W564" s="534"/>
    </row>
    <row r="565">
      <c r="A565" s="755"/>
      <c r="B565" s="534"/>
      <c r="C565" s="534"/>
      <c r="D565" s="534"/>
      <c r="E565" s="534"/>
      <c r="F565" s="802"/>
      <c r="G565" s="530"/>
      <c r="H565" s="804"/>
      <c r="I565" s="631"/>
      <c r="J565" s="631"/>
      <c r="K565" s="631"/>
      <c r="L565" s="530"/>
      <c r="M565" s="530"/>
      <c r="N565" s="530"/>
      <c r="O565" s="530"/>
      <c r="P565" s="758"/>
      <c r="Q565" s="534"/>
      <c r="R565" s="534"/>
      <c r="S565" s="534"/>
      <c r="T565" s="534"/>
      <c r="U565" s="534"/>
      <c r="V565" s="534"/>
      <c r="W565" s="534"/>
    </row>
    <row r="566">
      <c r="A566" s="755"/>
      <c r="B566" s="534"/>
      <c r="C566" s="534"/>
      <c r="D566" s="534"/>
      <c r="E566" s="534"/>
      <c r="F566" s="802"/>
      <c r="G566" s="530"/>
      <c r="H566" s="804"/>
      <c r="I566" s="631"/>
      <c r="J566" s="631"/>
      <c r="K566" s="631"/>
      <c r="L566" s="530"/>
      <c r="M566" s="530"/>
      <c r="N566" s="530"/>
      <c r="O566" s="530"/>
      <c r="P566" s="758"/>
      <c r="Q566" s="534"/>
      <c r="R566" s="534"/>
      <c r="S566" s="534"/>
      <c r="T566" s="534"/>
      <c r="U566" s="534"/>
      <c r="V566" s="534"/>
      <c r="W566" s="534"/>
    </row>
    <row r="567">
      <c r="A567" s="755"/>
      <c r="B567" s="534"/>
      <c r="C567" s="534"/>
      <c r="D567" s="534"/>
      <c r="E567" s="534"/>
      <c r="F567" s="802"/>
      <c r="G567" s="530"/>
      <c r="H567" s="804"/>
      <c r="I567" s="631"/>
      <c r="J567" s="631"/>
      <c r="K567" s="631"/>
      <c r="L567" s="530"/>
      <c r="M567" s="530"/>
      <c r="N567" s="530"/>
      <c r="O567" s="530"/>
      <c r="P567" s="758"/>
      <c r="Q567" s="534"/>
      <c r="R567" s="534"/>
      <c r="S567" s="534"/>
      <c r="T567" s="534"/>
      <c r="U567" s="534"/>
      <c r="V567" s="534"/>
      <c r="W567" s="534"/>
    </row>
    <row r="568">
      <c r="A568" s="755"/>
      <c r="B568" s="534"/>
      <c r="C568" s="534"/>
      <c r="D568" s="534"/>
      <c r="E568" s="534"/>
      <c r="F568" s="802"/>
      <c r="G568" s="530"/>
      <c r="H568" s="804"/>
      <c r="I568" s="631"/>
      <c r="J568" s="631"/>
      <c r="K568" s="631"/>
      <c r="L568" s="530"/>
      <c r="M568" s="530"/>
      <c r="N568" s="530"/>
      <c r="O568" s="530"/>
      <c r="P568" s="758"/>
      <c r="Q568" s="534"/>
      <c r="R568" s="534"/>
      <c r="S568" s="534"/>
      <c r="T568" s="534"/>
      <c r="U568" s="534"/>
      <c r="V568" s="534"/>
      <c r="W568" s="534"/>
    </row>
    <row r="569">
      <c r="A569" s="755"/>
      <c r="B569" s="534"/>
      <c r="C569" s="534"/>
      <c r="D569" s="534"/>
      <c r="E569" s="534"/>
      <c r="F569" s="802"/>
      <c r="G569" s="530"/>
      <c r="H569" s="804"/>
      <c r="I569" s="631"/>
      <c r="J569" s="631"/>
      <c r="K569" s="631"/>
      <c r="L569" s="530"/>
      <c r="M569" s="530"/>
      <c r="N569" s="530"/>
      <c r="O569" s="530"/>
      <c r="P569" s="758"/>
      <c r="Q569" s="534"/>
      <c r="R569" s="534"/>
      <c r="S569" s="534"/>
      <c r="T569" s="534"/>
      <c r="U569" s="534"/>
      <c r="V569" s="534"/>
      <c r="W569" s="534"/>
    </row>
    <row r="570">
      <c r="A570" s="755"/>
      <c r="B570" s="534"/>
      <c r="C570" s="534"/>
      <c r="D570" s="534"/>
      <c r="E570" s="534"/>
      <c r="F570" s="802"/>
      <c r="G570" s="530"/>
      <c r="H570" s="804"/>
      <c r="I570" s="631"/>
      <c r="J570" s="631"/>
      <c r="K570" s="631"/>
      <c r="L570" s="530"/>
      <c r="M570" s="530"/>
      <c r="N570" s="530"/>
      <c r="O570" s="530"/>
      <c r="P570" s="758"/>
      <c r="Q570" s="534"/>
      <c r="R570" s="534"/>
      <c r="S570" s="534"/>
      <c r="T570" s="534"/>
      <c r="U570" s="534"/>
      <c r="V570" s="534"/>
      <c r="W570" s="534"/>
    </row>
    <row r="571">
      <c r="A571" s="755"/>
      <c r="B571" s="534"/>
      <c r="C571" s="534"/>
      <c r="D571" s="534"/>
      <c r="E571" s="534"/>
      <c r="F571" s="802"/>
      <c r="G571" s="530"/>
      <c r="H571" s="804"/>
      <c r="I571" s="631"/>
      <c r="J571" s="631"/>
      <c r="K571" s="631"/>
      <c r="L571" s="530"/>
      <c r="M571" s="530"/>
      <c r="N571" s="530"/>
      <c r="O571" s="530"/>
      <c r="P571" s="758"/>
      <c r="Q571" s="534"/>
      <c r="R571" s="534"/>
      <c r="S571" s="534"/>
      <c r="T571" s="534"/>
      <c r="U571" s="534"/>
      <c r="V571" s="534"/>
      <c r="W571" s="534"/>
    </row>
    <row r="572">
      <c r="A572" s="755"/>
      <c r="B572" s="534"/>
      <c r="C572" s="534"/>
      <c r="D572" s="534"/>
      <c r="E572" s="534"/>
      <c r="F572" s="802"/>
      <c r="G572" s="530"/>
      <c r="H572" s="804"/>
      <c r="I572" s="631"/>
      <c r="J572" s="631"/>
      <c r="K572" s="631"/>
      <c r="L572" s="530"/>
      <c r="M572" s="530"/>
      <c r="N572" s="530"/>
      <c r="O572" s="530"/>
      <c r="P572" s="758"/>
      <c r="Q572" s="534"/>
      <c r="R572" s="534"/>
      <c r="S572" s="534"/>
      <c r="T572" s="534"/>
      <c r="U572" s="534"/>
      <c r="V572" s="534"/>
      <c r="W572" s="534"/>
    </row>
    <row r="573">
      <c r="A573" s="755"/>
      <c r="B573" s="534"/>
      <c r="C573" s="534"/>
      <c r="D573" s="534"/>
      <c r="E573" s="534"/>
      <c r="F573" s="802"/>
      <c r="G573" s="530"/>
      <c r="H573" s="804"/>
      <c r="I573" s="631"/>
      <c r="J573" s="631"/>
      <c r="K573" s="631"/>
      <c r="L573" s="530"/>
      <c r="M573" s="530"/>
      <c r="N573" s="530"/>
      <c r="O573" s="530"/>
      <c r="P573" s="758"/>
      <c r="Q573" s="534"/>
      <c r="R573" s="534"/>
      <c r="S573" s="534"/>
      <c r="T573" s="534"/>
      <c r="U573" s="534"/>
      <c r="V573" s="534"/>
      <c r="W573" s="534"/>
    </row>
    <row r="574">
      <c r="A574" s="755"/>
      <c r="B574" s="534"/>
      <c r="C574" s="534"/>
      <c r="D574" s="534"/>
      <c r="E574" s="534"/>
      <c r="F574" s="802"/>
      <c r="G574" s="530"/>
      <c r="H574" s="804"/>
      <c r="I574" s="631"/>
      <c r="J574" s="631"/>
      <c r="K574" s="631"/>
      <c r="L574" s="530"/>
      <c r="M574" s="530"/>
      <c r="N574" s="530"/>
      <c r="O574" s="530"/>
      <c r="P574" s="758"/>
      <c r="Q574" s="534"/>
      <c r="R574" s="534"/>
      <c r="S574" s="534"/>
      <c r="T574" s="534"/>
      <c r="U574" s="534"/>
      <c r="V574" s="534"/>
      <c r="W574" s="534"/>
    </row>
    <row r="575">
      <c r="A575" s="755"/>
      <c r="B575" s="534"/>
      <c r="C575" s="534"/>
      <c r="D575" s="534"/>
      <c r="E575" s="534"/>
      <c r="F575" s="802"/>
      <c r="G575" s="530"/>
      <c r="H575" s="804"/>
      <c r="I575" s="631"/>
      <c r="J575" s="631"/>
      <c r="K575" s="631"/>
      <c r="L575" s="530"/>
      <c r="M575" s="530"/>
      <c r="N575" s="530"/>
      <c r="O575" s="530"/>
      <c r="P575" s="758"/>
      <c r="Q575" s="534"/>
      <c r="R575" s="534"/>
      <c r="S575" s="534"/>
      <c r="T575" s="534"/>
      <c r="U575" s="534"/>
      <c r="V575" s="534"/>
      <c r="W575" s="534"/>
    </row>
    <row r="576">
      <c r="A576" s="755"/>
      <c r="B576" s="534"/>
      <c r="C576" s="534"/>
      <c r="D576" s="534"/>
      <c r="E576" s="534"/>
      <c r="F576" s="802"/>
      <c r="G576" s="530"/>
      <c r="H576" s="804"/>
      <c r="I576" s="631"/>
      <c r="J576" s="631"/>
      <c r="K576" s="631"/>
      <c r="L576" s="530"/>
      <c r="M576" s="530"/>
      <c r="N576" s="530"/>
      <c r="O576" s="530"/>
      <c r="P576" s="758"/>
      <c r="Q576" s="534"/>
      <c r="R576" s="534"/>
      <c r="S576" s="534"/>
      <c r="T576" s="534"/>
      <c r="U576" s="534"/>
      <c r="V576" s="534"/>
      <c r="W576" s="534"/>
    </row>
    <row r="577">
      <c r="A577" s="755"/>
      <c r="B577" s="534"/>
      <c r="C577" s="534"/>
      <c r="D577" s="534"/>
      <c r="E577" s="534"/>
      <c r="F577" s="802"/>
      <c r="G577" s="530"/>
      <c r="H577" s="804"/>
      <c r="I577" s="631"/>
      <c r="J577" s="631"/>
      <c r="K577" s="631"/>
      <c r="L577" s="530"/>
      <c r="M577" s="530"/>
      <c r="N577" s="530"/>
      <c r="O577" s="530"/>
      <c r="P577" s="758"/>
      <c r="Q577" s="534"/>
      <c r="R577" s="534"/>
      <c r="S577" s="534"/>
      <c r="T577" s="534"/>
      <c r="U577" s="534"/>
      <c r="V577" s="534"/>
      <c r="W577" s="534"/>
    </row>
    <row r="578">
      <c r="A578" s="755"/>
      <c r="B578" s="534"/>
      <c r="C578" s="534"/>
      <c r="D578" s="534"/>
      <c r="E578" s="534"/>
      <c r="F578" s="802"/>
      <c r="G578" s="530"/>
      <c r="H578" s="804"/>
      <c r="I578" s="631"/>
      <c r="J578" s="631"/>
      <c r="K578" s="631"/>
      <c r="L578" s="530"/>
      <c r="M578" s="530"/>
      <c r="N578" s="530"/>
      <c r="O578" s="530"/>
      <c r="P578" s="758"/>
      <c r="Q578" s="534"/>
      <c r="R578" s="534"/>
      <c r="S578" s="534"/>
      <c r="T578" s="534"/>
      <c r="U578" s="534"/>
      <c r="V578" s="534"/>
      <c r="W578" s="534"/>
    </row>
    <row r="579">
      <c r="A579" s="755"/>
      <c r="B579" s="534"/>
      <c r="C579" s="534"/>
      <c r="D579" s="534"/>
      <c r="E579" s="534"/>
      <c r="F579" s="802"/>
      <c r="G579" s="530"/>
      <c r="H579" s="804"/>
      <c r="I579" s="631"/>
      <c r="J579" s="631"/>
      <c r="K579" s="631"/>
      <c r="L579" s="530"/>
      <c r="M579" s="530"/>
      <c r="N579" s="530"/>
      <c r="O579" s="530"/>
      <c r="P579" s="758"/>
      <c r="Q579" s="534"/>
      <c r="R579" s="534"/>
      <c r="S579" s="534"/>
      <c r="T579" s="534"/>
      <c r="U579" s="534"/>
      <c r="V579" s="534"/>
      <c r="W579" s="534"/>
    </row>
    <row r="580">
      <c r="A580" s="755"/>
      <c r="B580" s="534"/>
      <c r="C580" s="534"/>
      <c r="D580" s="534"/>
      <c r="E580" s="534"/>
      <c r="F580" s="802"/>
      <c r="G580" s="530"/>
      <c r="H580" s="804"/>
      <c r="I580" s="631"/>
      <c r="J580" s="631"/>
      <c r="K580" s="631"/>
      <c r="L580" s="530"/>
      <c r="M580" s="530"/>
      <c r="N580" s="530"/>
      <c r="O580" s="530"/>
      <c r="P580" s="758"/>
      <c r="Q580" s="534"/>
      <c r="R580" s="534"/>
      <c r="S580" s="534"/>
      <c r="T580" s="534"/>
      <c r="U580" s="534"/>
      <c r="V580" s="534"/>
      <c r="W580" s="534"/>
    </row>
    <row r="581">
      <c r="A581" s="755"/>
      <c r="B581" s="534"/>
      <c r="C581" s="534"/>
      <c r="D581" s="534"/>
      <c r="E581" s="534"/>
      <c r="F581" s="802"/>
      <c r="G581" s="530"/>
      <c r="H581" s="804"/>
      <c r="I581" s="631"/>
      <c r="J581" s="631"/>
      <c r="K581" s="631"/>
      <c r="L581" s="530"/>
      <c r="M581" s="530"/>
      <c r="N581" s="530"/>
      <c r="O581" s="530"/>
      <c r="P581" s="758"/>
      <c r="Q581" s="534"/>
      <c r="R581" s="534"/>
      <c r="S581" s="534"/>
      <c r="T581" s="534"/>
      <c r="U581" s="534"/>
      <c r="V581" s="534"/>
      <c r="W581" s="534"/>
    </row>
    <row r="582">
      <c r="A582" s="755"/>
      <c r="B582" s="534"/>
      <c r="C582" s="534"/>
      <c r="D582" s="534"/>
      <c r="E582" s="534"/>
      <c r="F582" s="802"/>
      <c r="G582" s="530"/>
      <c r="H582" s="804"/>
      <c r="I582" s="631"/>
      <c r="J582" s="631"/>
      <c r="K582" s="631"/>
      <c r="L582" s="530"/>
      <c r="M582" s="530"/>
      <c r="N582" s="530"/>
      <c r="O582" s="530"/>
      <c r="P582" s="758"/>
      <c r="Q582" s="534"/>
      <c r="R582" s="534"/>
      <c r="S582" s="534"/>
      <c r="T582" s="534"/>
      <c r="U582" s="534"/>
      <c r="V582" s="534"/>
      <c r="W582" s="534"/>
    </row>
    <row r="583">
      <c r="A583" s="755"/>
      <c r="B583" s="534"/>
      <c r="C583" s="534"/>
      <c r="D583" s="534"/>
      <c r="E583" s="534"/>
      <c r="F583" s="802"/>
      <c r="G583" s="530"/>
      <c r="H583" s="804"/>
      <c r="I583" s="631"/>
      <c r="J583" s="631"/>
      <c r="K583" s="631"/>
      <c r="L583" s="530"/>
      <c r="M583" s="530"/>
      <c r="N583" s="530"/>
      <c r="O583" s="530"/>
      <c r="P583" s="758"/>
      <c r="Q583" s="534"/>
      <c r="R583" s="534"/>
      <c r="S583" s="534"/>
      <c r="T583" s="534"/>
      <c r="U583" s="534"/>
      <c r="V583" s="534"/>
      <c r="W583" s="534"/>
    </row>
    <row r="584">
      <c r="A584" s="755"/>
      <c r="B584" s="534"/>
      <c r="C584" s="534"/>
      <c r="D584" s="534"/>
      <c r="E584" s="534"/>
      <c r="F584" s="802"/>
      <c r="G584" s="530"/>
      <c r="H584" s="804"/>
      <c r="I584" s="631"/>
      <c r="J584" s="631"/>
      <c r="K584" s="631"/>
      <c r="L584" s="530"/>
      <c r="M584" s="530"/>
      <c r="N584" s="530"/>
      <c r="O584" s="530"/>
      <c r="P584" s="758"/>
      <c r="Q584" s="534"/>
      <c r="R584" s="534"/>
      <c r="S584" s="534"/>
      <c r="T584" s="534"/>
      <c r="U584" s="534"/>
      <c r="V584" s="534"/>
      <c r="W584" s="534"/>
    </row>
    <row r="585">
      <c r="A585" s="755"/>
      <c r="B585" s="534"/>
      <c r="C585" s="534"/>
      <c r="D585" s="534"/>
      <c r="E585" s="534"/>
      <c r="F585" s="802"/>
      <c r="G585" s="530"/>
      <c r="H585" s="804"/>
      <c r="I585" s="631"/>
      <c r="J585" s="631"/>
      <c r="K585" s="631"/>
      <c r="L585" s="530"/>
      <c r="M585" s="530"/>
      <c r="N585" s="530"/>
      <c r="O585" s="530"/>
      <c r="P585" s="758"/>
      <c r="Q585" s="534"/>
      <c r="R585" s="534"/>
      <c r="S585" s="534"/>
      <c r="T585" s="534"/>
      <c r="U585" s="534"/>
      <c r="V585" s="534"/>
      <c r="W585" s="534"/>
    </row>
    <row r="586">
      <c r="A586" s="755"/>
      <c r="B586" s="534"/>
      <c r="C586" s="534"/>
      <c r="D586" s="534"/>
      <c r="E586" s="534"/>
      <c r="F586" s="802"/>
      <c r="G586" s="530"/>
      <c r="H586" s="804"/>
      <c r="I586" s="631"/>
      <c r="J586" s="631"/>
      <c r="K586" s="631"/>
      <c r="L586" s="530"/>
      <c r="M586" s="530"/>
      <c r="N586" s="530"/>
      <c r="O586" s="530"/>
      <c r="P586" s="758"/>
      <c r="Q586" s="534"/>
      <c r="R586" s="534"/>
      <c r="S586" s="534"/>
      <c r="T586" s="534"/>
      <c r="U586" s="534"/>
      <c r="V586" s="534"/>
      <c r="W586" s="534"/>
    </row>
    <row r="587">
      <c r="A587" s="755"/>
      <c r="B587" s="534"/>
      <c r="C587" s="534"/>
      <c r="D587" s="534"/>
      <c r="E587" s="534"/>
      <c r="F587" s="802"/>
      <c r="G587" s="530"/>
      <c r="H587" s="804"/>
      <c r="I587" s="631"/>
      <c r="J587" s="631"/>
      <c r="K587" s="631"/>
      <c r="L587" s="530"/>
      <c r="M587" s="530"/>
      <c r="N587" s="530"/>
      <c r="O587" s="530"/>
      <c r="P587" s="758"/>
      <c r="Q587" s="534"/>
      <c r="R587" s="534"/>
      <c r="S587" s="534"/>
      <c r="T587" s="534"/>
      <c r="U587" s="534"/>
      <c r="V587" s="534"/>
      <c r="W587" s="534"/>
    </row>
    <row r="588">
      <c r="A588" s="755"/>
      <c r="B588" s="534"/>
      <c r="C588" s="534"/>
      <c r="D588" s="534"/>
      <c r="E588" s="534"/>
      <c r="F588" s="802"/>
      <c r="G588" s="530"/>
      <c r="H588" s="804"/>
      <c r="I588" s="631"/>
      <c r="J588" s="631"/>
      <c r="K588" s="631"/>
      <c r="L588" s="530"/>
      <c r="M588" s="530"/>
      <c r="N588" s="530"/>
      <c r="O588" s="530"/>
      <c r="P588" s="758"/>
      <c r="Q588" s="534"/>
      <c r="R588" s="534"/>
      <c r="S588" s="534"/>
      <c r="T588" s="534"/>
      <c r="U588" s="534"/>
      <c r="V588" s="534"/>
      <c r="W588" s="534"/>
    </row>
    <row r="589">
      <c r="A589" s="755"/>
      <c r="B589" s="534"/>
      <c r="C589" s="534"/>
      <c r="D589" s="534"/>
      <c r="E589" s="534"/>
      <c r="F589" s="802"/>
      <c r="G589" s="530"/>
      <c r="H589" s="804"/>
      <c r="I589" s="631"/>
      <c r="J589" s="631"/>
      <c r="K589" s="631"/>
      <c r="L589" s="530"/>
      <c r="M589" s="530"/>
      <c r="N589" s="530"/>
      <c r="O589" s="530"/>
      <c r="P589" s="758"/>
      <c r="Q589" s="534"/>
      <c r="R589" s="534"/>
      <c r="S589" s="534"/>
      <c r="T589" s="534"/>
      <c r="U589" s="534"/>
      <c r="V589" s="534"/>
      <c r="W589" s="534"/>
    </row>
    <row r="590">
      <c r="A590" s="755"/>
      <c r="B590" s="534"/>
      <c r="C590" s="534"/>
      <c r="D590" s="534"/>
      <c r="E590" s="534"/>
      <c r="F590" s="802"/>
      <c r="G590" s="530"/>
      <c r="H590" s="804"/>
      <c r="I590" s="631"/>
      <c r="J590" s="631"/>
      <c r="K590" s="631"/>
      <c r="L590" s="530"/>
      <c r="M590" s="530"/>
      <c r="N590" s="530"/>
      <c r="O590" s="530"/>
      <c r="P590" s="758"/>
      <c r="Q590" s="534"/>
      <c r="R590" s="534"/>
      <c r="S590" s="534"/>
      <c r="T590" s="534"/>
      <c r="U590" s="534"/>
      <c r="V590" s="534"/>
      <c r="W590" s="534"/>
    </row>
    <row r="591">
      <c r="A591" s="755"/>
      <c r="B591" s="534"/>
      <c r="C591" s="534"/>
      <c r="D591" s="534"/>
      <c r="E591" s="534"/>
      <c r="F591" s="802"/>
      <c r="G591" s="530"/>
      <c r="H591" s="804"/>
      <c r="I591" s="631"/>
      <c r="J591" s="631"/>
      <c r="K591" s="631"/>
      <c r="L591" s="530"/>
      <c r="M591" s="530"/>
      <c r="N591" s="530"/>
      <c r="O591" s="530"/>
      <c r="P591" s="758"/>
      <c r="Q591" s="534"/>
      <c r="R591" s="534"/>
      <c r="S591" s="534"/>
      <c r="T591" s="534"/>
      <c r="U591" s="534"/>
      <c r="V591" s="534"/>
      <c r="W591" s="534"/>
    </row>
    <row r="592">
      <c r="A592" s="755"/>
      <c r="B592" s="534"/>
      <c r="C592" s="534"/>
      <c r="D592" s="534"/>
      <c r="E592" s="534"/>
      <c r="F592" s="802"/>
      <c r="G592" s="530"/>
      <c r="H592" s="804"/>
      <c r="I592" s="631"/>
      <c r="J592" s="631"/>
      <c r="K592" s="631"/>
      <c r="L592" s="530"/>
      <c r="M592" s="530"/>
      <c r="N592" s="530"/>
      <c r="O592" s="530"/>
      <c r="P592" s="758"/>
      <c r="Q592" s="534"/>
      <c r="R592" s="534"/>
      <c r="S592" s="534"/>
      <c r="T592" s="534"/>
      <c r="U592" s="534"/>
      <c r="V592" s="534"/>
      <c r="W592" s="534"/>
    </row>
    <row r="593">
      <c r="A593" s="755"/>
      <c r="B593" s="534"/>
      <c r="C593" s="534"/>
      <c r="D593" s="534"/>
      <c r="E593" s="534"/>
      <c r="F593" s="802"/>
      <c r="G593" s="530"/>
      <c r="H593" s="804"/>
      <c r="I593" s="631"/>
      <c r="J593" s="631"/>
      <c r="K593" s="631"/>
      <c r="L593" s="530"/>
      <c r="M593" s="530"/>
      <c r="N593" s="530"/>
      <c r="O593" s="530"/>
      <c r="P593" s="758"/>
      <c r="Q593" s="534"/>
      <c r="R593" s="534"/>
      <c r="S593" s="534"/>
      <c r="T593" s="534"/>
      <c r="U593" s="534"/>
      <c r="V593" s="534"/>
      <c r="W593" s="534"/>
    </row>
    <row r="594">
      <c r="A594" s="755"/>
      <c r="B594" s="534"/>
      <c r="C594" s="534"/>
      <c r="D594" s="534"/>
      <c r="E594" s="534"/>
      <c r="F594" s="802"/>
      <c r="G594" s="530"/>
      <c r="H594" s="804"/>
      <c r="I594" s="631"/>
      <c r="J594" s="631"/>
      <c r="K594" s="631"/>
      <c r="L594" s="530"/>
      <c r="M594" s="530"/>
      <c r="N594" s="530"/>
      <c r="O594" s="530"/>
      <c r="P594" s="758"/>
      <c r="Q594" s="534"/>
      <c r="R594" s="534"/>
      <c r="S594" s="534"/>
      <c r="T594" s="534"/>
      <c r="U594" s="534"/>
      <c r="V594" s="534"/>
      <c r="W594" s="534"/>
    </row>
    <row r="595">
      <c r="A595" s="755"/>
      <c r="B595" s="534"/>
      <c r="C595" s="534"/>
      <c r="D595" s="534"/>
      <c r="E595" s="534"/>
      <c r="F595" s="802"/>
      <c r="G595" s="530"/>
      <c r="H595" s="804"/>
      <c r="I595" s="631"/>
      <c r="J595" s="631"/>
      <c r="K595" s="631"/>
      <c r="L595" s="530"/>
      <c r="M595" s="530"/>
      <c r="N595" s="530"/>
      <c r="O595" s="530"/>
      <c r="P595" s="758"/>
      <c r="Q595" s="534"/>
      <c r="R595" s="534"/>
      <c r="S595" s="534"/>
      <c r="T595" s="534"/>
      <c r="U595" s="534"/>
      <c r="V595" s="534"/>
      <c r="W595" s="534"/>
    </row>
    <row r="596">
      <c r="A596" s="755"/>
      <c r="B596" s="534"/>
      <c r="C596" s="534"/>
      <c r="D596" s="534"/>
      <c r="E596" s="534"/>
      <c r="F596" s="802"/>
      <c r="G596" s="530"/>
      <c r="H596" s="804"/>
      <c r="I596" s="631"/>
      <c r="J596" s="631"/>
      <c r="K596" s="631"/>
      <c r="L596" s="530"/>
      <c r="M596" s="530"/>
      <c r="N596" s="530"/>
      <c r="O596" s="530"/>
      <c r="P596" s="758"/>
      <c r="Q596" s="534"/>
      <c r="R596" s="534"/>
      <c r="S596" s="534"/>
      <c r="T596" s="534"/>
      <c r="U596" s="534"/>
      <c r="V596" s="534"/>
      <c r="W596" s="534"/>
    </row>
    <row r="597">
      <c r="A597" s="755"/>
      <c r="B597" s="534"/>
      <c r="C597" s="534"/>
      <c r="D597" s="534"/>
      <c r="E597" s="534"/>
      <c r="F597" s="802"/>
      <c r="G597" s="530"/>
      <c r="H597" s="804"/>
      <c r="I597" s="631"/>
      <c r="J597" s="631"/>
      <c r="K597" s="631"/>
      <c r="L597" s="530"/>
      <c r="M597" s="530"/>
      <c r="N597" s="530"/>
      <c r="O597" s="530"/>
      <c r="P597" s="758"/>
      <c r="Q597" s="534"/>
      <c r="R597" s="534"/>
      <c r="S597" s="534"/>
      <c r="T597" s="534"/>
      <c r="U597" s="534"/>
      <c r="V597" s="534"/>
      <c r="W597" s="534"/>
    </row>
    <row r="598">
      <c r="A598" s="755"/>
      <c r="B598" s="534"/>
      <c r="C598" s="534"/>
      <c r="D598" s="534"/>
      <c r="E598" s="534"/>
      <c r="F598" s="802"/>
      <c r="G598" s="530"/>
      <c r="H598" s="804"/>
      <c r="I598" s="631"/>
      <c r="J598" s="631"/>
      <c r="K598" s="631"/>
      <c r="L598" s="530"/>
      <c r="M598" s="530"/>
      <c r="N598" s="530"/>
      <c r="O598" s="530"/>
      <c r="P598" s="758"/>
      <c r="Q598" s="534"/>
      <c r="R598" s="534"/>
      <c r="S598" s="534"/>
      <c r="T598" s="534"/>
      <c r="U598" s="534"/>
      <c r="V598" s="534"/>
      <c r="W598" s="534"/>
    </row>
    <row r="599">
      <c r="A599" s="755"/>
      <c r="B599" s="534"/>
      <c r="C599" s="534"/>
      <c r="D599" s="534"/>
      <c r="E599" s="534"/>
      <c r="F599" s="802"/>
      <c r="G599" s="530"/>
      <c r="H599" s="804"/>
      <c r="I599" s="631"/>
      <c r="J599" s="631"/>
      <c r="K599" s="631"/>
      <c r="L599" s="530"/>
      <c r="M599" s="530"/>
      <c r="N599" s="530"/>
      <c r="O599" s="530"/>
      <c r="P599" s="758"/>
      <c r="Q599" s="534"/>
      <c r="R599" s="534"/>
      <c r="S599" s="534"/>
      <c r="T599" s="534"/>
      <c r="U599" s="534"/>
      <c r="V599" s="534"/>
      <c r="W599" s="534"/>
    </row>
    <row r="600">
      <c r="A600" s="755"/>
      <c r="B600" s="534"/>
      <c r="C600" s="534"/>
      <c r="D600" s="534"/>
      <c r="E600" s="534"/>
      <c r="F600" s="802"/>
      <c r="G600" s="530"/>
      <c r="H600" s="804"/>
      <c r="I600" s="631"/>
      <c r="J600" s="631"/>
      <c r="K600" s="631"/>
      <c r="L600" s="530"/>
      <c r="M600" s="530"/>
      <c r="N600" s="530"/>
      <c r="O600" s="530"/>
      <c r="P600" s="758"/>
      <c r="Q600" s="534"/>
      <c r="R600" s="534"/>
      <c r="S600" s="534"/>
      <c r="T600" s="534"/>
      <c r="U600" s="534"/>
      <c r="V600" s="534"/>
      <c r="W600" s="534"/>
    </row>
    <row r="601">
      <c r="A601" s="755"/>
      <c r="B601" s="534"/>
      <c r="C601" s="534"/>
      <c r="D601" s="534"/>
      <c r="E601" s="534"/>
      <c r="F601" s="802"/>
      <c r="G601" s="530"/>
      <c r="H601" s="804"/>
      <c r="I601" s="631"/>
      <c r="J601" s="631"/>
      <c r="K601" s="631"/>
      <c r="L601" s="530"/>
      <c r="M601" s="530"/>
      <c r="N601" s="530"/>
      <c r="O601" s="530"/>
      <c r="P601" s="758"/>
      <c r="Q601" s="534"/>
      <c r="R601" s="534"/>
      <c r="S601" s="534"/>
      <c r="T601" s="534"/>
      <c r="U601" s="534"/>
      <c r="V601" s="534"/>
      <c r="W601" s="534"/>
    </row>
    <row r="602">
      <c r="A602" s="755"/>
      <c r="B602" s="534"/>
      <c r="C602" s="534"/>
      <c r="D602" s="534"/>
      <c r="E602" s="534"/>
      <c r="F602" s="802"/>
      <c r="G602" s="530"/>
      <c r="H602" s="804"/>
      <c r="I602" s="631"/>
      <c r="J602" s="631"/>
      <c r="K602" s="631"/>
      <c r="L602" s="530"/>
      <c r="M602" s="530"/>
      <c r="N602" s="530"/>
      <c r="O602" s="530"/>
      <c r="P602" s="758"/>
      <c r="Q602" s="534"/>
      <c r="R602" s="534"/>
      <c r="S602" s="534"/>
      <c r="T602" s="534"/>
      <c r="U602" s="534"/>
      <c r="V602" s="534"/>
      <c r="W602" s="534"/>
    </row>
    <row r="603">
      <c r="A603" s="755"/>
      <c r="B603" s="534"/>
      <c r="C603" s="534"/>
      <c r="D603" s="534"/>
      <c r="E603" s="534"/>
      <c r="F603" s="802"/>
      <c r="G603" s="530"/>
      <c r="H603" s="804"/>
      <c r="I603" s="631"/>
      <c r="J603" s="631"/>
      <c r="K603" s="631"/>
      <c r="L603" s="530"/>
      <c r="M603" s="530"/>
      <c r="N603" s="530"/>
      <c r="O603" s="530"/>
      <c r="P603" s="758"/>
      <c r="Q603" s="534"/>
      <c r="R603" s="534"/>
      <c r="S603" s="534"/>
      <c r="T603" s="534"/>
      <c r="U603" s="534"/>
      <c r="V603" s="534"/>
      <c r="W603" s="534"/>
    </row>
    <row r="604">
      <c r="A604" s="755"/>
      <c r="B604" s="534"/>
      <c r="C604" s="534"/>
      <c r="D604" s="534"/>
      <c r="E604" s="534"/>
      <c r="F604" s="802"/>
      <c r="G604" s="530"/>
      <c r="H604" s="804"/>
      <c r="I604" s="631"/>
      <c r="J604" s="631"/>
      <c r="K604" s="631"/>
      <c r="L604" s="530"/>
      <c r="M604" s="530"/>
      <c r="N604" s="530"/>
      <c r="O604" s="530"/>
      <c r="P604" s="758"/>
      <c r="Q604" s="534"/>
      <c r="R604" s="534"/>
      <c r="S604" s="534"/>
      <c r="T604" s="534"/>
      <c r="U604" s="534"/>
      <c r="V604" s="534"/>
      <c r="W604" s="534"/>
    </row>
    <row r="605">
      <c r="A605" s="755"/>
      <c r="B605" s="534"/>
      <c r="C605" s="534"/>
      <c r="D605" s="534"/>
      <c r="E605" s="534"/>
      <c r="F605" s="802"/>
      <c r="G605" s="530"/>
      <c r="H605" s="804"/>
      <c r="I605" s="631"/>
      <c r="J605" s="631"/>
      <c r="K605" s="631"/>
      <c r="L605" s="530"/>
      <c r="M605" s="530"/>
      <c r="N605" s="530"/>
      <c r="O605" s="530"/>
      <c r="P605" s="758"/>
      <c r="Q605" s="534"/>
      <c r="R605" s="534"/>
      <c r="S605" s="534"/>
      <c r="T605" s="534"/>
      <c r="U605" s="534"/>
      <c r="V605" s="534"/>
      <c r="W605" s="534"/>
    </row>
    <row r="606">
      <c r="A606" s="755"/>
      <c r="B606" s="534"/>
      <c r="C606" s="534"/>
      <c r="D606" s="534"/>
      <c r="E606" s="534"/>
      <c r="F606" s="802"/>
      <c r="G606" s="530"/>
      <c r="H606" s="804"/>
      <c r="I606" s="631"/>
      <c r="J606" s="631"/>
      <c r="K606" s="631"/>
      <c r="L606" s="530"/>
      <c r="M606" s="530"/>
      <c r="N606" s="530"/>
      <c r="O606" s="530"/>
      <c r="P606" s="758"/>
      <c r="Q606" s="534"/>
      <c r="R606" s="534"/>
      <c r="S606" s="534"/>
      <c r="T606" s="534"/>
      <c r="U606" s="534"/>
      <c r="V606" s="534"/>
      <c r="W606" s="534"/>
    </row>
    <row r="607">
      <c r="A607" s="755"/>
      <c r="B607" s="534"/>
      <c r="C607" s="534"/>
      <c r="D607" s="534"/>
      <c r="E607" s="534"/>
      <c r="F607" s="802"/>
      <c r="G607" s="530"/>
      <c r="H607" s="804"/>
      <c r="I607" s="631"/>
      <c r="J607" s="631"/>
      <c r="K607" s="631"/>
      <c r="L607" s="530"/>
      <c r="M607" s="530"/>
      <c r="N607" s="530"/>
      <c r="O607" s="530"/>
      <c r="P607" s="758"/>
      <c r="Q607" s="534"/>
      <c r="R607" s="534"/>
      <c r="S607" s="534"/>
      <c r="T607" s="534"/>
      <c r="U607" s="534"/>
      <c r="V607" s="534"/>
      <c r="W607" s="534"/>
    </row>
    <row r="608">
      <c r="A608" s="755"/>
      <c r="B608" s="534"/>
      <c r="C608" s="534"/>
      <c r="D608" s="534"/>
      <c r="E608" s="534"/>
      <c r="F608" s="802"/>
      <c r="G608" s="530"/>
      <c r="H608" s="804"/>
      <c r="I608" s="631"/>
      <c r="J608" s="631"/>
      <c r="K608" s="631"/>
      <c r="L608" s="530"/>
      <c r="M608" s="530"/>
      <c r="N608" s="530"/>
      <c r="O608" s="530"/>
      <c r="P608" s="758"/>
      <c r="Q608" s="534"/>
      <c r="R608" s="534"/>
      <c r="S608" s="534"/>
      <c r="T608" s="534"/>
      <c r="U608" s="534"/>
      <c r="V608" s="534"/>
      <c r="W608" s="534"/>
    </row>
    <row r="609">
      <c r="A609" s="755"/>
      <c r="B609" s="534"/>
      <c r="C609" s="534"/>
      <c r="D609" s="534"/>
      <c r="E609" s="534"/>
      <c r="F609" s="802"/>
      <c r="G609" s="530"/>
      <c r="H609" s="804"/>
      <c r="I609" s="631"/>
      <c r="J609" s="631"/>
      <c r="K609" s="631"/>
      <c r="L609" s="530"/>
      <c r="M609" s="530"/>
      <c r="N609" s="530"/>
      <c r="O609" s="530"/>
      <c r="P609" s="758"/>
      <c r="Q609" s="534"/>
      <c r="R609" s="534"/>
      <c r="S609" s="534"/>
      <c r="T609" s="534"/>
      <c r="U609" s="534"/>
      <c r="V609" s="534"/>
      <c r="W609" s="534"/>
    </row>
    <row r="610">
      <c r="A610" s="755"/>
      <c r="B610" s="534"/>
      <c r="C610" s="534"/>
      <c r="D610" s="534"/>
      <c r="E610" s="534"/>
      <c r="F610" s="802"/>
      <c r="G610" s="530"/>
      <c r="H610" s="804"/>
      <c r="I610" s="631"/>
      <c r="J610" s="631"/>
      <c r="K610" s="631"/>
      <c r="L610" s="530"/>
      <c r="M610" s="530"/>
      <c r="N610" s="530"/>
      <c r="O610" s="530"/>
      <c r="P610" s="758"/>
      <c r="Q610" s="534"/>
      <c r="R610" s="534"/>
      <c r="S610" s="534"/>
      <c r="T610" s="534"/>
      <c r="U610" s="534"/>
      <c r="V610" s="534"/>
      <c r="W610" s="534"/>
    </row>
    <row r="611">
      <c r="A611" s="755"/>
      <c r="B611" s="534"/>
      <c r="C611" s="534"/>
      <c r="D611" s="534"/>
      <c r="E611" s="534"/>
      <c r="F611" s="802"/>
      <c r="G611" s="530"/>
      <c r="H611" s="804"/>
      <c r="I611" s="631"/>
      <c r="J611" s="631"/>
      <c r="K611" s="631"/>
      <c r="L611" s="530"/>
      <c r="M611" s="530"/>
      <c r="N611" s="530"/>
      <c r="O611" s="530"/>
      <c r="P611" s="758"/>
      <c r="Q611" s="534"/>
      <c r="R611" s="534"/>
      <c r="S611" s="534"/>
      <c r="T611" s="534"/>
      <c r="U611" s="534"/>
      <c r="V611" s="534"/>
      <c r="W611" s="534"/>
    </row>
    <row r="612">
      <c r="A612" s="755"/>
      <c r="B612" s="534"/>
      <c r="C612" s="534"/>
      <c r="D612" s="534"/>
      <c r="E612" s="534"/>
      <c r="F612" s="802"/>
      <c r="G612" s="530"/>
      <c r="H612" s="804"/>
      <c r="I612" s="631"/>
      <c r="J612" s="631"/>
      <c r="K612" s="631"/>
      <c r="L612" s="530"/>
      <c r="M612" s="530"/>
      <c r="N612" s="530"/>
      <c r="O612" s="530"/>
      <c r="P612" s="758"/>
      <c r="Q612" s="534"/>
      <c r="R612" s="534"/>
      <c r="S612" s="534"/>
      <c r="T612" s="534"/>
      <c r="U612" s="534"/>
      <c r="V612" s="534"/>
      <c r="W612" s="534"/>
    </row>
    <row r="613">
      <c r="A613" s="755"/>
      <c r="B613" s="534"/>
      <c r="C613" s="534"/>
      <c r="D613" s="534"/>
      <c r="E613" s="534"/>
      <c r="F613" s="802"/>
      <c r="G613" s="530"/>
      <c r="H613" s="804"/>
      <c r="I613" s="631"/>
      <c r="J613" s="631"/>
      <c r="K613" s="631"/>
      <c r="L613" s="530"/>
      <c r="M613" s="530"/>
      <c r="N613" s="530"/>
      <c r="O613" s="530"/>
      <c r="P613" s="758"/>
      <c r="Q613" s="534"/>
      <c r="R613" s="534"/>
      <c r="S613" s="534"/>
      <c r="T613" s="534"/>
      <c r="U613" s="534"/>
      <c r="V613" s="534"/>
      <c r="W613" s="534"/>
    </row>
    <row r="614">
      <c r="A614" s="755"/>
      <c r="B614" s="534"/>
      <c r="C614" s="534"/>
      <c r="D614" s="534"/>
      <c r="E614" s="534"/>
      <c r="F614" s="802"/>
      <c r="G614" s="530"/>
      <c r="H614" s="804"/>
      <c r="I614" s="631"/>
      <c r="J614" s="631"/>
      <c r="K614" s="631"/>
      <c r="L614" s="530"/>
      <c r="M614" s="530"/>
      <c r="N614" s="530"/>
      <c r="O614" s="530"/>
      <c r="P614" s="758"/>
      <c r="Q614" s="534"/>
      <c r="R614" s="534"/>
      <c r="S614" s="534"/>
      <c r="T614" s="534"/>
      <c r="U614" s="534"/>
      <c r="V614" s="534"/>
      <c r="W614" s="534"/>
    </row>
    <row r="615">
      <c r="A615" s="755"/>
      <c r="B615" s="534"/>
      <c r="C615" s="534"/>
      <c r="D615" s="534"/>
      <c r="E615" s="534"/>
      <c r="F615" s="802"/>
      <c r="G615" s="530"/>
      <c r="H615" s="804"/>
      <c r="I615" s="631"/>
      <c r="J615" s="631"/>
      <c r="K615" s="631"/>
      <c r="L615" s="530"/>
      <c r="M615" s="530"/>
      <c r="N615" s="530"/>
      <c r="O615" s="530"/>
      <c r="P615" s="758"/>
      <c r="Q615" s="534"/>
      <c r="R615" s="534"/>
      <c r="S615" s="534"/>
      <c r="T615" s="534"/>
      <c r="U615" s="534"/>
      <c r="V615" s="534"/>
      <c r="W615" s="534"/>
    </row>
    <row r="616">
      <c r="A616" s="755"/>
      <c r="B616" s="534"/>
      <c r="C616" s="534"/>
      <c r="D616" s="534"/>
      <c r="E616" s="534"/>
      <c r="F616" s="802"/>
      <c r="G616" s="530"/>
      <c r="H616" s="804"/>
      <c r="I616" s="631"/>
      <c r="J616" s="631"/>
      <c r="K616" s="631"/>
      <c r="L616" s="530"/>
      <c r="M616" s="530"/>
      <c r="N616" s="530"/>
      <c r="O616" s="530"/>
      <c r="P616" s="758"/>
      <c r="Q616" s="534"/>
      <c r="R616" s="534"/>
      <c r="S616" s="534"/>
      <c r="T616" s="534"/>
      <c r="U616" s="534"/>
      <c r="V616" s="534"/>
      <c r="W616" s="534"/>
    </row>
    <row r="617">
      <c r="A617" s="755"/>
      <c r="B617" s="534"/>
      <c r="C617" s="534"/>
      <c r="D617" s="534"/>
      <c r="E617" s="534"/>
      <c r="F617" s="802"/>
      <c r="G617" s="530"/>
      <c r="H617" s="804"/>
      <c r="I617" s="631"/>
      <c r="J617" s="631"/>
      <c r="K617" s="631"/>
      <c r="L617" s="530"/>
      <c r="M617" s="530"/>
      <c r="N617" s="530"/>
      <c r="O617" s="530"/>
      <c r="P617" s="758"/>
      <c r="Q617" s="534"/>
      <c r="R617" s="534"/>
      <c r="S617" s="534"/>
      <c r="T617" s="534"/>
      <c r="U617" s="534"/>
      <c r="V617" s="534"/>
      <c r="W617" s="534"/>
    </row>
    <row r="618">
      <c r="A618" s="755"/>
      <c r="B618" s="534"/>
      <c r="C618" s="534"/>
      <c r="D618" s="534"/>
      <c r="E618" s="534"/>
      <c r="F618" s="802"/>
      <c r="G618" s="530"/>
      <c r="H618" s="804"/>
      <c r="I618" s="631"/>
      <c r="J618" s="631"/>
      <c r="K618" s="631"/>
      <c r="L618" s="530"/>
      <c r="M618" s="530"/>
      <c r="N618" s="530"/>
      <c r="O618" s="530"/>
      <c r="P618" s="758"/>
      <c r="Q618" s="534"/>
      <c r="R618" s="534"/>
      <c r="S618" s="534"/>
      <c r="T618" s="534"/>
      <c r="U618" s="534"/>
      <c r="V618" s="534"/>
      <c r="W618" s="534"/>
    </row>
    <row r="619">
      <c r="A619" s="755"/>
      <c r="B619" s="534"/>
      <c r="C619" s="534"/>
      <c r="D619" s="534"/>
      <c r="E619" s="534"/>
      <c r="F619" s="802"/>
      <c r="G619" s="530"/>
      <c r="H619" s="804"/>
      <c r="I619" s="631"/>
      <c r="J619" s="631"/>
      <c r="K619" s="631"/>
      <c r="L619" s="530"/>
      <c r="M619" s="530"/>
      <c r="N619" s="530"/>
      <c r="O619" s="530"/>
      <c r="P619" s="758"/>
      <c r="Q619" s="534"/>
      <c r="R619" s="534"/>
      <c r="S619" s="534"/>
      <c r="T619" s="534"/>
      <c r="U619" s="534"/>
      <c r="V619" s="534"/>
      <c r="W619" s="534"/>
    </row>
    <row r="620">
      <c r="A620" s="755"/>
      <c r="B620" s="534"/>
      <c r="C620" s="534"/>
      <c r="D620" s="534"/>
      <c r="E620" s="534"/>
      <c r="F620" s="802"/>
      <c r="G620" s="530"/>
      <c r="H620" s="804"/>
      <c r="I620" s="631"/>
      <c r="J620" s="631"/>
      <c r="K620" s="631"/>
      <c r="L620" s="530"/>
      <c r="M620" s="530"/>
      <c r="N620" s="530"/>
      <c r="O620" s="530"/>
      <c r="P620" s="758"/>
      <c r="Q620" s="534"/>
      <c r="R620" s="534"/>
      <c r="S620" s="534"/>
      <c r="T620" s="534"/>
      <c r="U620" s="534"/>
      <c r="V620" s="534"/>
      <c r="W620" s="534"/>
    </row>
    <row r="621">
      <c r="A621" s="755"/>
      <c r="B621" s="534"/>
      <c r="C621" s="534"/>
      <c r="D621" s="534"/>
      <c r="E621" s="534"/>
      <c r="F621" s="802"/>
      <c r="G621" s="530"/>
      <c r="H621" s="804"/>
      <c r="I621" s="631"/>
      <c r="J621" s="631"/>
      <c r="K621" s="631"/>
      <c r="L621" s="530"/>
      <c r="M621" s="530"/>
      <c r="N621" s="530"/>
      <c r="O621" s="530"/>
      <c r="P621" s="758"/>
      <c r="Q621" s="534"/>
      <c r="R621" s="534"/>
      <c r="S621" s="534"/>
      <c r="T621" s="534"/>
      <c r="U621" s="534"/>
      <c r="V621" s="534"/>
      <c r="W621" s="534"/>
    </row>
    <row r="622">
      <c r="A622" s="755"/>
      <c r="B622" s="534"/>
      <c r="C622" s="534"/>
      <c r="D622" s="534"/>
      <c r="E622" s="534"/>
      <c r="F622" s="802"/>
      <c r="G622" s="530"/>
      <c r="H622" s="804"/>
      <c r="I622" s="631"/>
      <c r="J622" s="631"/>
      <c r="K622" s="631"/>
      <c r="L622" s="530"/>
      <c r="M622" s="530"/>
      <c r="N622" s="530"/>
      <c r="O622" s="530"/>
      <c r="P622" s="758"/>
      <c r="Q622" s="534"/>
      <c r="R622" s="534"/>
      <c r="S622" s="534"/>
      <c r="T622" s="534"/>
      <c r="U622" s="534"/>
      <c r="V622" s="534"/>
      <c r="W622" s="534"/>
    </row>
    <row r="623">
      <c r="A623" s="755"/>
      <c r="B623" s="534"/>
      <c r="C623" s="534"/>
      <c r="D623" s="534"/>
      <c r="E623" s="534"/>
      <c r="F623" s="802"/>
      <c r="G623" s="530"/>
      <c r="H623" s="804"/>
      <c r="I623" s="631"/>
      <c r="J623" s="631"/>
      <c r="K623" s="631"/>
      <c r="L623" s="530"/>
      <c r="M623" s="530"/>
      <c r="N623" s="530"/>
      <c r="O623" s="530"/>
      <c r="P623" s="758"/>
      <c r="Q623" s="534"/>
      <c r="R623" s="534"/>
      <c r="S623" s="534"/>
      <c r="T623" s="534"/>
      <c r="U623" s="534"/>
      <c r="V623" s="534"/>
      <c r="W623" s="534"/>
    </row>
    <row r="624">
      <c r="A624" s="755"/>
      <c r="B624" s="534"/>
      <c r="C624" s="534"/>
      <c r="D624" s="534"/>
      <c r="E624" s="534"/>
      <c r="F624" s="802"/>
      <c r="G624" s="530"/>
      <c r="H624" s="804"/>
      <c r="I624" s="631"/>
      <c r="J624" s="631"/>
      <c r="K624" s="631"/>
      <c r="L624" s="530"/>
      <c r="M624" s="530"/>
      <c r="N624" s="530"/>
      <c r="O624" s="530"/>
      <c r="P624" s="758"/>
      <c r="Q624" s="534"/>
      <c r="R624" s="534"/>
      <c r="S624" s="534"/>
      <c r="T624" s="534"/>
      <c r="U624" s="534"/>
      <c r="V624" s="534"/>
      <c r="W624" s="534"/>
    </row>
    <row r="625">
      <c r="A625" s="755"/>
      <c r="B625" s="534"/>
      <c r="C625" s="534"/>
      <c r="D625" s="534"/>
      <c r="E625" s="534"/>
      <c r="F625" s="802"/>
      <c r="G625" s="530"/>
      <c r="H625" s="804"/>
      <c r="I625" s="631"/>
      <c r="J625" s="631"/>
      <c r="K625" s="631"/>
      <c r="L625" s="530"/>
      <c r="M625" s="530"/>
      <c r="N625" s="530"/>
      <c r="O625" s="530"/>
      <c r="P625" s="758"/>
      <c r="Q625" s="534"/>
      <c r="R625" s="534"/>
      <c r="S625" s="534"/>
      <c r="T625" s="534"/>
      <c r="U625" s="534"/>
      <c r="V625" s="534"/>
      <c r="W625" s="534"/>
    </row>
    <row r="626">
      <c r="A626" s="755"/>
      <c r="B626" s="534"/>
      <c r="C626" s="534"/>
      <c r="D626" s="534"/>
      <c r="E626" s="534"/>
      <c r="F626" s="802"/>
      <c r="G626" s="530"/>
      <c r="H626" s="804"/>
      <c r="I626" s="631"/>
      <c r="J626" s="631"/>
      <c r="K626" s="631"/>
      <c r="L626" s="530"/>
      <c r="M626" s="530"/>
      <c r="N626" s="530"/>
      <c r="O626" s="530"/>
      <c r="P626" s="758"/>
      <c r="Q626" s="534"/>
      <c r="R626" s="534"/>
      <c r="S626" s="534"/>
      <c r="T626" s="534"/>
      <c r="U626" s="534"/>
      <c r="V626" s="534"/>
      <c r="W626" s="534"/>
    </row>
    <row r="627">
      <c r="A627" s="755"/>
      <c r="B627" s="534"/>
      <c r="C627" s="534"/>
      <c r="D627" s="534"/>
      <c r="E627" s="534"/>
      <c r="F627" s="802"/>
      <c r="G627" s="530"/>
      <c r="H627" s="804"/>
      <c r="I627" s="631"/>
      <c r="J627" s="631"/>
      <c r="K627" s="631"/>
      <c r="L627" s="530"/>
      <c r="M627" s="530"/>
      <c r="N627" s="530"/>
      <c r="O627" s="530"/>
      <c r="P627" s="758"/>
      <c r="Q627" s="534"/>
      <c r="R627" s="534"/>
      <c r="S627" s="534"/>
      <c r="T627" s="534"/>
      <c r="U627" s="534"/>
      <c r="V627" s="534"/>
      <c r="W627" s="534"/>
    </row>
    <row r="628">
      <c r="A628" s="755"/>
      <c r="B628" s="534"/>
      <c r="C628" s="534"/>
      <c r="D628" s="534"/>
      <c r="E628" s="534"/>
      <c r="F628" s="802"/>
      <c r="G628" s="530"/>
      <c r="H628" s="804"/>
      <c r="I628" s="631"/>
      <c r="J628" s="631"/>
      <c r="K628" s="631"/>
      <c r="L628" s="530"/>
      <c r="M628" s="530"/>
      <c r="N628" s="530"/>
      <c r="O628" s="530"/>
      <c r="P628" s="758"/>
      <c r="Q628" s="534"/>
      <c r="R628" s="534"/>
      <c r="S628" s="534"/>
      <c r="T628" s="534"/>
      <c r="U628" s="534"/>
      <c r="V628" s="534"/>
      <c r="W628" s="534"/>
    </row>
    <row r="629">
      <c r="A629" s="755"/>
      <c r="B629" s="534"/>
      <c r="C629" s="534"/>
      <c r="D629" s="534"/>
      <c r="E629" s="534"/>
      <c r="F629" s="802"/>
      <c r="G629" s="530"/>
      <c r="H629" s="804"/>
      <c r="I629" s="631"/>
      <c r="J629" s="631"/>
      <c r="K629" s="631"/>
      <c r="L629" s="530"/>
      <c r="M629" s="530"/>
      <c r="N629" s="530"/>
      <c r="O629" s="530"/>
      <c r="P629" s="758"/>
      <c r="Q629" s="534"/>
      <c r="R629" s="534"/>
      <c r="S629" s="534"/>
      <c r="T629" s="534"/>
      <c r="U629" s="534"/>
      <c r="V629" s="534"/>
      <c r="W629" s="534"/>
    </row>
    <row r="630">
      <c r="A630" s="755"/>
      <c r="B630" s="534"/>
      <c r="C630" s="534"/>
      <c r="D630" s="534"/>
      <c r="E630" s="534"/>
      <c r="F630" s="802"/>
      <c r="G630" s="530"/>
      <c r="H630" s="804"/>
      <c r="I630" s="631"/>
      <c r="J630" s="631"/>
      <c r="K630" s="631"/>
      <c r="L630" s="530"/>
      <c r="M630" s="530"/>
      <c r="N630" s="530"/>
      <c r="O630" s="530"/>
      <c r="P630" s="758"/>
      <c r="Q630" s="534"/>
      <c r="R630" s="534"/>
      <c r="S630" s="534"/>
      <c r="T630" s="534"/>
      <c r="U630" s="534"/>
      <c r="V630" s="534"/>
      <c r="W630" s="534"/>
    </row>
    <row r="631">
      <c r="A631" s="755"/>
      <c r="B631" s="534"/>
      <c r="C631" s="534"/>
      <c r="D631" s="534"/>
      <c r="E631" s="534"/>
      <c r="F631" s="802"/>
      <c r="G631" s="530"/>
      <c r="H631" s="804"/>
      <c r="I631" s="631"/>
      <c r="J631" s="631"/>
      <c r="K631" s="631"/>
      <c r="L631" s="530"/>
      <c r="M631" s="530"/>
      <c r="N631" s="530"/>
      <c r="O631" s="530"/>
      <c r="P631" s="758"/>
      <c r="Q631" s="534"/>
      <c r="R631" s="534"/>
      <c r="S631" s="534"/>
      <c r="T631" s="534"/>
      <c r="U631" s="534"/>
      <c r="V631" s="534"/>
      <c r="W631" s="534"/>
    </row>
    <row r="632">
      <c r="A632" s="755"/>
      <c r="B632" s="534"/>
      <c r="C632" s="534"/>
      <c r="D632" s="534"/>
      <c r="E632" s="534"/>
      <c r="F632" s="802"/>
      <c r="G632" s="530"/>
      <c r="H632" s="804"/>
      <c r="I632" s="631"/>
      <c r="J632" s="631"/>
      <c r="K632" s="631"/>
      <c r="L632" s="530"/>
      <c r="M632" s="530"/>
      <c r="N632" s="530"/>
      <c r="O632" s="530"/>
      <c r="P632" s="758"/>
      <c r="Q632" s="534"/>
      <c r="R632" s="534"/>
      <c r="S632" s="534"/>
      <c r="T632" s="534"/>
      <c r="U632" s="534"/>
      <c r="V632" s="534"/>
      <c r="W632" s="534"/>
    </row>
    <row r="633">
      <c r="A633" s="755"/>
      <c r="B633" s="534"/>
      <c r="C633" s="534"/>
      <c r="D633" s="534"/>
      <c r="E633" s="534"/>
      <c r="F633" s="802"/>
      <c r="G633" s="530"/>
      <c r="H633" s="804"/>
      <c r="I633" s="631"/>
      <c r="J633" s="631"/>
      <c r="K633" s="631"/>
      <c r="L633" s="530"/>
      <c r="M633" s="530"/>
      <c r="N633" s="530"/>
      <c r="O633" s="530"/>
      <c r="P633" s="758"/>
      <c r="Q633" s="534"/>
      <c r="R633" s="534"/>
      <c r="S633" s="534"/>
      <c r="T633" s="534"/>
      <c r="U633" s="534"/>
      <c r="V633" s="534"/>
      <c r="W633" s="534"/>
    </row>
    <row r="634">
      <c r="A634" s="755"/>
      <c r="B634" s="534"/>
      <c r="C634" s="534"/>
      <c r="D634" s="534"/>
      <c r="E634" s="534"/>
      <c r="F634" s="802"/>
      <c r="G634" s="530"/>
      <c r="H634" s="804"/>
      <c r="I634" s="631"/>
      <c r="J634" s="631"/>
      <c r="K634" s="631"/>
      <c r="L634" s="530"/>
      <c r="M634" s="530"/>
      <c r="N634" s="530"/>
      <c r="O634" s="530"/>
      <c r="P634" s="758"/>
      <c r="Q634" s="534"/>
      <c r="R634" s="534"/>
      <c r="S634" s="534"/>
      <c r="T634" s="534"/>
      <c r="U634" s="534"/>
      <c r="V634" s="534"/>
      <c r="W634" s="534"/>
    </row>
    <row r="635">
      <c r="A635" s="755"/>
      <c r="B635" s="534"/>
      <c r="C635" s="534"/>
      <c r="D635" s="534"/>
      <c r="E635" s="534"/>
      <c r="F635" s="802"/>
      <c r="G635" s="530"/>
      <c r="H635" s="804"/>
      <c r="I635" s="631"/>
      <c r="J635" s="631"/>
      <c r="K635" s="631"/>
      <c r="L635" s="530"/>
      <c r="M635" s="530"/>
      <c r="N635" s="530"/>
      <c r="O635" s="530"/>
      <c r="P635" s="758"/>
      <c r="Q635" s="534"/>
      <c r="R635" s="534"/>
      <c r="S635" s="534"/>
      <c r="T635" s="534"/>
      <c r="U635" s="534"/>
      <c r="V635" s="534"/>
      <c r="W635" s="534"/>
    </row>
    <row r="636">
      <c r="A636" s="755"/>
      <c r="B636" s="534"/>
      <c r="C636" s="534"/>
      <c r="D636" s="534"/>
      <c r="E636" s="534"/>
      <c r="F636" s="802"/>
      <c r="G636" s="530"/>
      <c r="H636" s="804"/>
      <c r="I636" s="631"/>
      <c r="J636" s="631"/>
      <c r="K636" s="631"/>
      <c r="L636" s="530"/>
      <c r="M636" s="530"/>
      <c r="N636" s="530"/>
      <c r="O636" s="530"/>
      <c r="P636" s="758"/>
      <c r="Q636" s="534"/>
      <c r="R636" s="534"/>
      <c r="S636" s="534"/>
      <c r="T636" s="534"/>
      <c r="U636" s="534"/>
      <c r="V636" s="534"/>
      <c r="W636" s="534"/>
    </row>
    <row r="637">
      <c r="A637" s="755"/>
      <c r="B637" s="534"/>
      <c r="C637" s="534"/>
      <c r="D637" s="534"/>
      <c r="E637" s="534"/>
      <c r="F637" s="802"/>
      <c r="G637" s="530"/>
      <c r="H637" s="804"/>
      <c r="I637" s="631"/>
      <c r="J637" s="631"/>
      <c r="K637" s="631"/>
      <c r="L637" s="530"/>
      <c r="M637" s="530"/>
      <c r="N637" s="530"/>
      <c r="O637" s="530"/>
      <c r="P637" s="758"/>
      <c r="Q637" s="534"/>
      <c r="R637" s="534"/>
      <c r="S637" s="534"/>
      <c r="T637" s="534"/>
      <c r="U637" s="534"/>
      <c r="V637" s="534"/>
      <c r="W637" s="534"/>
    </row>
    <row r="638">
      <c r="A638" s="755"/>
      <c r="B638" s="534"/>
      <c r="C638" s="534"/>
      <c r="D638" s="534"/>
      <c r="E638" s="534"/>
      <c r="F638" s="802"/>
      <c r="G638" s="530"/>
      <c r="H638" s="804"/>
      <c r="I638" s="631"/>
      <c r="J638" s="631"/>
      <c r="K638" s="631"/>
      <c r="L638" s="530"/>
      <c r="M638" s="530"/>
      <c r="N638" s="530"/>
      <c r="O638" s="530"/>
      <c r="P638" s="758"/>
      <c r="Q638" s="534"/>
      <c r="R638" s="534"/>
      <c r="S638" s="534"/>
      <c r="T638" s="534"/>
      <c r="U638" s="534"/>
      <c r="V638" s="534"/>
      <c r="W638" s="534"/>
    </row>
    <row r="639">
      <c r="A639" s="755"/>
      <c r="B639" s="534"/>
      <c r="C639" s="534"/>
      <c r="D639" s="534"/>
      <c r="E639" s="534"/>
      <c r="F639" s="802"/>
      <c r="G639" s="530"/>
      <c r="H639" s="804"/>
      <c r="I639" s="631"/>
      <c r="J639" s="631"/>
      <c r="K639" s="631"/>
      <c r="L639" s="530"/>
      <c r="M639" s="530"/>
      <c r="N639" s="530"/>
      <c r="O639" s="530"/>
      <c r="P639" s="758"/>
      <c r="Q639" s="534"/>
      <c r="R639" s="534"/>
      <c r="S639" s="534"/>
      <c r="T639" s="534"/>
      <c r="U639" s="534"/>
      <c r="V639" s="534"/>
      <c r="W639" s="534"/>
    </row>
    <row r="640">
      <c r="A640" s="755"/>
      <c r="B640" s="534"/>
      <c r="C640" s="534"/>
      <c r="D640" s="534"/>
      <c r="E640" s="534"/>
      <c r="F640" s="802"/>
      <c r="G640" s="530"/>
      <c r="H640" s="804"/>
      <c r="I640" s="631"/>
      <c r="J640" s="631"/>
      <c r="K640" s="631"/>
      <c r="L640" s="530"/>
      <c r="M640" s="530"/>
      <c r="N640" s="530"/>
      <c r="O640" s="530"/>
      <c r="P640" s="758"/>
      <c r="Q640" s="534"/>
      <c r="R640" s="534"/>
      <c r="S640" s="534"/>
      <c r="T640" s="534"/>
      <c r="U640" s="534"/>
      <c r="V640" s="534"/>
      <c r="W640" s="534"/>
    </row>
    <row r="641">
      <c r="A641" s="755"/>
      <c r="B641" s="534"/>
      <c r="C641" s="534"/>
      <c r="D641" s="534"/>
      <c r="E641" s="534"/>
      <c r="F641" s="802"/>
      <c r="G641" s="530"/>
      <c r="H641" s="804"/>
      <c r="I641" s="631"/>
      <c r="J641" s="631"/>
      <c r="K641" s="631"/>
      <c r="L641" s="530"/>
      <c r="M641" s="530"/>
      <c r="N641" s="530"/>
      <c r="O641" s="530"/>
      <c r="P641" s="758"/>
      <c r="Q641" s="534"/>
      <c r="R641" s="534"/>
      <c r="S641" s="534"/>
      <c r="T641" s="534"/>
      <c r="U641" s="534"/>
      <c r="V641" s="534"/>
      <c r="W641" s="534"/>
    </row>
    <row r="642">
      <c r="A642" s="755"/>
      <c r="B642" s="534"/>
      <c r="C642" s="534"/>
      <c r="D642" s="534"/>
      <c r="E642" s="534"/>
      <c r="F642" s="802"/>
      <c r="G642" s="530"/>
      <c r="H642" s="804"/>
      <c r="I642" s="631"/>
      <c r="J642" s="631"/>
      <c r="K642" s="631"/>
      <c r="L642" s="530"/>
      <c r="M642" s="530"/>
      <c r="N642" s="530"/>
      <c r="O642" s="530"/>
      <c r="P642" s="758"/>
      <c r="Q642" s="534"/>
      <c r="R642" s="534"/>
      <c r="S642" s="534"/>
      <c r="T642" s="534"/>
      <c r="U642" s="534"/>
      <c r="V642" s="534"/>
      <c r="W642" s="534"/>
    </row>
    <row r="643">
      <c r="A643" s="755"/>
      <c r="B643" s="534"/>
      <c r="C643" s="534"/>
      <c r="D643" s="534"/>
      <c r="E643" s="534"/>
      <c r="F643" s="802"/>
      <c r="G643" s="530"/>
      <c r="H643" s="804"/>
      <c r="I643" s="631"/>
      <c r="J643" s="631"/>
      <c r="K643" s="631"/>
      <c r="L643" s="530"/>
      <c r="M643" s="530"/>
      <c r="N643" s="530"/>
      <c r="O643" s="530"/>
      <c r="P643" s="758"/>
      <c r="Q643" s="534"/>
      <c r="R643" s="534"/>
      <c r="S643" s="534"/>
      <c r="T643" s="534"/>
      <c r="U643" s="534"/>
      <c r="V643" s="534"/>
      <c r="W643" s="534"/>
    </row>
    <row r="644">
      <c r="A644" s="755"/>
      <c r="B644" s="534"/>
      <c r="C644" s="534"/>
      <c r="D644" s="534"/>
      <c r="E644" s="534"/>
      <c r="F644" s="802"/>
      <c r="G644" s="530"/>
      <c r="H644" s="804"/>
      <c r="I644" s="631"/>
      <c r="J644" s="631"/>
      <c r="K644" s="631"/>
      <c r="L644" s="530"/>
      <c r="M644" s="530"/>
      <c r="N644" s="530"/>
      <c r="O644" s="530"/>
      <c r="P644" s="758"/>
      <c r="Q644" s="534"/>
      <c r="R644" s="534"/>
      <c r="S644" s="534"/>
      <c r="T644" s="534"/>
      <c r="U644" s="534"/>
      <c r="V644" s="534"/>
      <c r="W644" s="534"/>
    </row>
    <row r="645">
      <c r="A645" s="755"/>
      <c r="B645" s="534"/>
      <c r="C645" s="534"/>
      <c r="D645" s="534"/>
      <c r="E645" s="534"/>
      <c r="F645" s="802"/>
      <c r="G645" s="530"/>
      <c r="H645" s="804"/>
      <c r="I645" s="631"/>
      <c r="J645" s="631"/>
      <c r="K645" s="631"/>
      <c r="L645" s="530"/>
      <c r="M645" s="530"/>
      <c r="N645" s="530"/>
      <c r="O645" s="530"/>
      <c r="P645" s="758"/>
      <c r="Q645" s="534"/>
      <c r="R645" s="534"/>
      <c r="S645" s="534"/>
      <c r="T645" s="534"/>
      <c r="U645" s="534"/>
      <c r="V645" s="534"/>
      <c r="W645" s="534"/>
    </row>
    <row r="646">
      <c r="A646" s="755"/>
      <c r="B646" s="534"/>
      <c r="C646" s="534"/>
      <c r="D646" s="534"/>
      <c r="E646" s="534"/>
      <c r="F646" s="802"/>
      <c r="G646" s="530"/>
      <c r="H646" s="804"/>
      <c r="I646" s="631"/>
      <c r="J646" s="631"/>
      <c r="K646" s="631"/>
      <c r="L646" s="530"/>
      <c r="M646" s="530"/>
      <c r="N646" s="530"/>
      <c r="O646" s="530"/>
      <c r="P646" s="758"/>
      <c r="Q646" s="534"/>
      <c r="R646" s="534"/>
      <c r="S646" s="534"/>
      <c r="T646" s="534"/>
      <c r="U646" s="534"/>
      <c r="V646" s="534"/>
      <c r="W646" s="534"/>
    </row>
    <row r="647">
      <c r="A647" s="755"/>
      <c r="B647" s="534"/>
      <c r="C647" s="534"/>
      <c r="D647" s="534"/>
      <c r="E647" s="534"/>
      <c r="F647" s="802"/>
      <c r="G647" s="530"/>
      <c r="H647" s="804"/>
      <c r="I647" s="631"/>
      <c r="J647" s="631"/>
      <c r="K647" s="631"/>
      <c r="L647" s="530"/>
      <c r="M647" s="530"/>
      <c r="N647" s="530"/>
      <c r="O647" s="530"/>
      <c r="P647" s="758"/>
      <c r="Q647" s="534"/>
      <c r="R647" s="534"/>
      <c r="S647" s="534"/>
      <c r="T647" s="534"/>
      <c r="U647" s="534"/>
      <c r="V647" s="534"/>
      <c r="W647" s="534"/>
    </row>
    <row r="648">
      <c r="A648" s="755"/>
      <c r="B648" s="534"/>
      <c r="C648" s="534"/>
      <c r="D648" s="534"/>
      <c r="E648" s="534"/>
      <c r="F648" s="802"/>
      <c r="G648" s="530"/>
      <c r="H648" s="804"/>
      <c r="I648" s="631"/>
      <c r="J648" s="631"/>
      <c r="K648" s="631"/>
      <c r="L648" s="530"/>
      <c r="M648" s="530"/>
      <c r="N648" s="530"/>
      <c r="O648" s="530"/>
      <c r="P648" s="758"/>
      <c r="Q648" s="534"/>
      <c r="R648" s="534"/>
      <c r="S648" s="534"/>
      <c r="T648" s="534"/>
      <c r="U648" s="534"/>
      <c r="V648" s="534"/>
      <c r="W648" s="534"/>
    </row>
    <row r="649">
      <c r="A649" s="755"/>
      <c r="B649" s="534"/>
      <c r="C649" s="534"/>
      <c r="D649" s="534"/>
      <c r="E649" s="534"/>
      <c r="F649" s="802"/>
      <c r="G649" s="530"/>
      <c r="H649" s="804"/>
      <c r="I649" s="631"/>
      <c r="J649" s="631"/>
      <c r="K649" s="631"/>
      <c r="L649" s="530"/>
      <c r="M649" s="530"/>
      <c r="N649" s="530"/>
      <c r="O649" s="530"/>
      <c r="P649" s="758"/>
      <c r="Q649" s="534"/>
      <c r="R649" s="534"/>
      <c r="S649" s="534"/>
      <c r="T649" s="534"/>
      <c r="U649" s="534"/>
      <c r="V649" s="534"/>
      <c r="W649" s="534"/>
    </row>
    <row r="650">
      <c r="A650" s="755"/>
      <c r="B650" s="534"/>
      <c r="C650" s="534"/>
      <c r="D650" s="534"/>
      <c r="E650" s="534"/>
      <c r="F650" s="802"/>
      <c r="G650" s="530"/>
      <c r="H650" s="804"/>
      <c r="I650" s="631"/>
      <c r="J650" s="631"/>
      <c r="K650" s="631"/>
      <c r="L650" s="530"/>
      <c r="M650" s="530"/>
      <c r="N650" s="530"/>
      <c r="O650" s="530"/>
      <c r="P650" s="758"/>
      <c r="Q650" s="534"/>
      <c r="R650" s="534"/>
      <c r="S650" s="534"/>
      <c r="T650" s="534"/>
      <c r="U650" s="534"/>
      <c r="V650" s="534"/>
      <c r="W650" s="534"/>
    </row>
    <row r="651">
      <c r="A651" s="755"/>
      <c r="B651" s="534"/>
      <c r="C651" s="534"/>
      <c r="D651" s="534"/>
      <c r="E651" s="534"/>
      <c r="F651" s="802"/>
      <c r="G651" s="530"/>
      <c r="H651" s="804"/>
      <c r="I651" s="631"/>
      <c r="J651" s="631"/>
      <c r="K651" s="631"/>
      <c r="L651" s="530"/>
      <c r="M651" s="530"/>
      <c r="N651" s="530"/>
      <c r="O651" s="530"/>
      <c r="P651" s="758"/>
      <c r="Q651" s="534"/>
      <c r="R651" s="534"/>
      <c r="S651" s="534"/>
      <c r="T651" s="534"/>
      <c r="U651" s="534"/>
      <c r="V651" s="534"/>
      <c r="W651" s="534"/>
    </row>
    <row r="652">
      <c r="A652" s="755"/>
      <c r="B652" s="534"/>
      <c r="C652" s="534"/>
      <c r="D652" s="534"/>
      <c r="E652" s="534"/>
      <c r="F652" s="802"/>
      <c r="G652" s="530"/>
      <c r="H652" s="804"/>
      <c r="I652" s="631"/>
      <c r="J652" s="631"/>
      <c r="K652" s="631"/>
      <c r="L652" s="530"/>
      <c r="M652" s="530"/>
      <c r="N652" s="530"/>
      <c r="O652" s="530"/>
      <c r="P652" s="758"/>
      <c r="Q652" s="534"/>
      <c r="R652" s="534"/>
      <c r="S652" s="534"/>
      <c r="T652" s="534"/>
      <c r="U652" s="534"/>
      <c r="V652" s="534"/>
      <c r="W652" s="534"/>
    </row>
    <row r="653">
      <c r="A653" s="755"/>
      <c r="B653" s="534"/>
      <c r="C653" s="534"/>
      <c r="D653" s="534"/>
      <c r="E653" s="534"/>
      <c r="F653" s="802"/>
      <c r="G653" s="530"/>
      <c r="H653" s="804"/>
      <c r="I653" s="631"/>
      <c r="J653" s="631"/>
      <c r="K653" s="631"/>
      <c r="L653" s="530"/>
      <c r="M653" s="530"/>
      <c r="N653" s="530"/>
      <c r="O653" s="530"/>
      <c r="P653" s="758"/>
      <c r="Q653" s="534"/>
      <c r="R653" s="534"/>
      <c r="S653" s="534"/>
      <c r="T653" s="534"/>
      <c r="U653" s="534"/>
      <c r="V653" s="534"/>
      <c r="W653" s="534"/>
    </row>
    <row r="654">
      <c r="A654" s="755"/>
      <c r="B654" s="534"/>
      <c r="C654" s="534"/>
      <c r="D654" s="534"/>
      <c r="E654" s="534"/>
      <c r="F654" s="802"/>
      <c r="G654" s="530"/>
      <c r="H654" s="804"/>
      <c r="I654" s="631"/>
      <c r="J654" s="631"/>
      <c r="K654" s="631"/>
      <c r="L654" s="530"/>
      <c r="M654" s="530"/>
      <c r="N654" s="530"/>
      <c r="O654" s="530"/>
      <c r="P654" s="758"/>
      <c r="Q654" s="534"/>
      <c r="R654" s="534"/>
      <c r="S654" s="534"/>
      <c r="T654" s="534"/>
      <c r="U654" s="534"/>
      <c r="V654" s="534"/>
      <c r="W654" s="534"/>
    </row>
    <row r="655">
      <c r="A655" s="755"/>
      <c r="B655" s="534"/>
      <c r="C655" s="534"/>
      <c r="D655" s="534"/>
      <c r="E655" s="534"/>
      <c r="F655" s="802"/>
      <c r="G655" s="530"/>
      <c r="H655" s="804"/>
      <c r="I655" s="631"/>
      <c r="J655" s="631"/>
      <c r="K655" s="631"/>
      <c r="L655" s="530"/>
      <c r="M655" s="530"/>
      <c r="N655" s="530"/>
      <c r="O655" s="530"/>
      <c r="P655" s="758"/>
      <c r="Q655" s="534"/>
      <c r="R655" s="534"/>
      <c r="S655" s="534"/>
      <c r="T655" s="534"/>
      <c r="U655" s="534"/>
      <c r="V655" s="534"/>
      <c r="W655" s="534"/>
    </row>
    <row r="656">
      <c r="A656" s="755"/>
      <c r="B656" s="534"/>
      <c r="C656" s="534"/>
      <c r="D656" s="534"/>
      <c r="E656" s="534"/>
      <c r="F656" s="802"/>
      <c r="G656" s="530"/>
      <c r="H656" s="804"/>
      <c r="I656" s="631"/>
      <c r="J656" s="631"/>
      <c r="K656" s="631"/>
      <c r="L656" s="530"/>
      <c r="M656" s="530"/>
      <c r="N656" s="530"/>
      <c r="O656" s="530"/>
      <c r="P656" s="758"/>
      <c r="Q656" s="534"/>
      <c r="R656" s="534"/>
      <c r="S656" s="534"/>
      <c r="T656" s="534"/>
      <c r="U656" s="534"/>
      <c r="V656" s="534"/>
      <c r="W656" s="534"/>
    </row>
    <row r="657">
      <c r="A657" s="755"/>
      <c r="B657" s="534"/>
      <c r="C657" s="534"/>
      <c r="D657" s="534"/>
      <c r="E657" s="534"/>
      <c r="F657" s="802"/>
      <c r="G657" s="530"/>
      <c r="H657" s="804"/>
      <c r="I657" s="631"/>
      <c r="J657" s="631"/>
      <c r="K657" s="631"/>
      <c r="L657" s="530"/>
      <c r="M657" s="530"/>
      <c r="N657" s="530"/>
      <c r="O657" s="530"/>
      <c r="P657" s="758"/>
      <c r="Q657" s="534"/>
      <c r="R657" s="534"/>
      <c r="S657" s="534"/>
      <c r="T657" s="534"/>
      <c r="U657" s="534"/>
      <c r="V657" s="534"/>
      <c r="W657" s="534"/>
    </row>
    <row r="658">
      <c r="A658" s="755"/>
      <c r="B658" s="534"/>
      <c r="C658" s="534"/>
      <c r="D658" s="534"/>
      <c r="E658" s="534"/>
      <c r="F658" s="802"/>
      <c r="G658" s="530"/>
      <c r="H658" s="804"/>
      <c r="I658" s="631"/>
      <c r="J658" s="631"/>
      <c r="K658" s="631"/>
      <c r="L658" s="530"/>
      <c r="M658" s="530"/>
      <c r="N658" s="530"/>
      <c r="O658" s="530"/>
      <c r="P658" s="758"/>
      <c r="Q658" s="534"/>
      <c r="R658" s="534"/>
      <c r="S658" s="534"/>
      <c r="T658" s="534"/>
      <c r="U658" s="534"/>
      <c r="V658" s="534"/>
      <c r="W658" s="534"/>
    </row>
    <row r="659">
      <c r="A659" s="755"/>
      <c r="B659" s="534"/>
      <c r="C659" s="534"/>
      <c r="D659" s="534"/>
      <c r="E659" s="534"/>
      <c r="F659" s="802"/>
      <c r="G659" s="530"/>
      <c r="H659" s="804"/>
      <c r="I659" s="631"/>
      <c r="J659" s="631"/>
      <c r="K659" s="631"/>
      <c r="L659" s="530"/>
      <c r="M659" s="530"/>
      <c r="N659" s="530"/>
      <c r="O659" s="530"/>
      <c r="P659" s="758"/>
      <c r="Q659" s="534"/>
      <c r="R659" s="534"/>
      <c r="S659" s="534"/>
      <c r="T659" s="534"/>
      <c r="U659" s="534"/>
      <c r="V659" s="534"/>
      <c r="W659" s="534"/>
    </row>
    <row r="660">
      <c r="A660" s="755"/>
      <c r="B660" s="534"/>
      <c r="C660" s="534"/>
      <c r="D660" s="534"/>
      <c r="E660" s="534"/>
      <c r="F660" s="802"/>
      <c r="G660" s="530"/>
      <c r="H660" s="804"/>
      <c r="I660" s="631"/>
      <c r="J660" s="631"/>
      <c r="K660" s="631"/>
      <c r="L660" s="530"/>
      <c r="M660" s="530"/>
      <c r="N660" s="530"/>
      <c r="O660" s="530"/>
      <c r="P660" s="758"/>
      <c r="Q660" s="534"/>
      <c r="R660" s="534"/>
      <c r="S660" s="534"/>
      <c r="T660" s="534"/>
      <c r="U660" s="534"/>
      <c r="V660" s="534"/>
      <c r="W660" s="534"/>
    </row>
    <row r="661">
      <c r="A661" s="755"/>
      <c r="B661" s="534"/>
      <c r="C661" s="534"/>
      <c r="D661" s="534"/>
      <c r="E661" s="534"/>
      <c r="F661" s="802"/>
      <c r="G661" s="530"/>
      <c r="H661" s="804"/>
      <c r="I661" s="631"/>
      <c r="J661" s="631"/>
      <c r="K661" s="631"/>
      <c r="L661" s="530"/>
      <c r="M661" s="530"/>
      <c r="N661" s="530"/>
      <c r="O661" s="530"/>
      <c r="P661" s="758"/>
      <c r="Q661" s="534"/>
      <c r="R661" s="534"/>
      <c r="S661" s="534"/>
      <c r="T661" s="534"/>
      <c r="U661" s="534"/>
      <c r="V661" s="534"/>
      <c r="W661" s="534"/>
    </row>
    <row r="662">
      <c r="A662" s="755"/>
      <c r="B662" s="534"/>
      <c r="C662" s="534"/>
      <c r="D662" s="534"/>
      <c r="E662" s="534"/>
      <c r="F662" s="802"/>
      <c r="G662" s="530"/>
      <c r="H662" s="804"/>
      <c r="I662" s="631"/>
      <c r="J662" s="631"/>
      <c r="K662" s="631"/>
      <c r="L662" s="530"/>
      <c r="M662" s="530"/>
      <c r="N662" s="530"/>
      <c r="O662" s="530"/>
      <c r="P662" s="758"/>
      <c r="Q662" s="534"/>
      <c r="R662" s="534"/>
      <c r="S662" s="534"/>
      <c r="T662" s="534"/>
      <c r="U662" s="534"/>
      <c r="V662" s="534"/>
      <c r="W662" s="534"/>
    </row>
    <row r="663">
      <c r="A663" s="755"/>
      <c r="B663" s="534"/>
      <c r="C663" s="534"/>
      <c r="D663" s="534"/>
      <c r="E663" s="534"/>
      <c r="F663" s="802"/>
      <c r="G663" s="530"/>
      <c r="H663" s="804"/>
      <c r="I663" s="631"/>
      <c r="J663" s="631"/>
      <c r="K663" s="631"/>
      <c r="L663" s="530"/>
      <c r="M663" s="530"/>
      <c r="N663" s="530"/>
      <c r="O663" s="530"/>
      <c r="P663" s="758"/>
      <c r="Q663" s="534"/>
      <c r="R663" s="534"/>
      <c r="S663" s="534"/>
      <c r="T663" s="534"/>
      <c r="U663" s="534"/>
      <c r="V663" s="534"/>
      <c r="W663" s="534"/>
    </row>
    <row r="664">
      <c r="A664" s="755"/>
      <c r="B664" s="534"/>
      <c r="C664" s="534"/>
      <c r="D664" s="534"/>
      <c r="E664" s="534"/>
      <c r="F664" s="802"/>
      <c r="G664" s="530"/>
      <c r="H664" s="804"/>
      <c r="I664" s="631"/>
      <c r="J664" s="631"/>
      <c r="K664" s="631"/>
      <c r="L664" s="530"/>
      <c r="M664" s="530"/>
      <c r="N664" s="530"/>
      <c r="O664" s="530"/>
      <c r="P664" s="758"/>
      <c r="Q664" s="534"/>
      <c r="R664" s="534"/>
      <c r="S664" s="534"/>
      <c r="T664" s="534"/>
      <c r="U664" s="534"/>
      <c r="V664" s="534"/>
      <c r="W664" s="534"/>
    </row>
    <row r="665">
      <c r="A665" s="755"/>
      <c r="B665" s="534"/>
      <c r="C665" s="534"/>
      <c r="D665" s="534"/>
      <c r="E665" s="534"/>
      <c r="F665" s="802"/>
      <c r="G665" s="530"/>
      <c r="H665" s="804"/>
      <c r="I665" s="631"/>
      <c r="J665" s="631"/>
      <c r="K665" s="631"/>
      <c r="L665" s="530"/>
      <c r="M665" s="530"/>
      <c r="N665" s="530"/>
      <c r="O665" s="530"/>
      <c r="P665" s="758"/>
      <c r="Q665" s="534"/>
      <c r="R665" s="534"/>
      <c r="S665" s="534"/>
      <c r="T665" s="534"/>
      <c r="U665" s="534"/>
      <c r="V665" s="534"/>
      <c r="W665" s="534"/>
    </row>
    <row r="666">
      <c r="A666" s="755"/>
      <c r="B666" s="534"/>
      <c r="C666" s="534"/>
      <c r="D666" s="534"/>
      <c r="E666" s="534"/>
      <c r="F666" s="802"/>
      <c r="G666" s="530"/>
      <c r="H666" s="804"/>
      <c r="I666" s="631"/>
      <c r="J666" s="631"/>
      <c r="K666" s="631"/>
      <c r="L666" s="530"/>
      <c r="M666" s="530"/>
      <c r="N666" s="530"/>
      <c r="O666" s="530"/>
      <c r="P666" s="758"/>
      <c r="Q666" s="534"/>
      <c r="R666" s="534"/>
      <c r="S666" s="534"/>
      <c r="T666" s="534"/>
      <c r="U666" s="534"/>
      <c r="V666" s="534"/>
      <c r="W666" s="534"/>
    </row>
    <row r="667">
      <c r="A667" s="755"/>
      <c r="B667" s="534"/>
      <c r="C667" s="534"/>
      <c r="D667" s="534"/>
      <c r="E667" s="534"/>
      <c r="F667" s="802"/>
      <c r="G667" s="530"/>
      <c r="H667" s="804"/>
      <c r="I667" s="631"/>
      <c r="J667" s="631"/>
      <c r="K667" s="631"/>
      <c r="L667" s="530"/>
      <c r="M667" s="530"/>
      <c r="N667" s="530"/>
      <c r="O667" s="530"/>
      <c r="P667" s="758"/>
      <c r="Q667" s="534"/>
      <c r="R667" s="534"/>
      <c r="S667" s="534"/>
      <c r="T667" s="534"/>
      <c r="U667" s="534"/>
      <c r="V667" s="534"/>
      <c r="W667" s="534"/>
    </row>
    <row r="668">
      <c r="A668" s="755"/>
      <c r="B668" s="534"/>
      <c r="C668" s="534"/>
      <c r="D668" s="534"/>
      <c r="E668" s="534"/>
      <c r="F668" s="802"/>
      <c r="G668" s="530"/>
      <c r="H668" s="804"/>
      <c r="I668" s="631"/>
      <c r="J668" s="631"/>
      <c r="K668" s="631"/>
      <c r="L668" s="530"/>
      <c r="M668" s="530"/>
      <c r="N668" s="530"/>
      <c r="O668" s="530"/>
      <c r="P668" s="758"/>
      <c r="Q668" s="534"/>
      <c r="R668" s="534"/>
      <c r="S668" s="534"/>
      <c r="T668" s="534"/>
      <c r="U668" s="534"/>
      <c r="V668" s="534"/>
      <c r="W668" s="534"/>
    </row>
    <row r="669">
      <c r="A669" s="755"/>
      <c r="B669" s="534"/>
      <c r="C669" s="534"/>
      <c r="D669" s="534"/>
      <c r="E669" s="534"/>
      <c r="F669" s="802"/>
      <c r="G669" s="530"/>
      <c r="H669" s="804"/>
      <c r="I669" s="631"/>
      <c r="J669" s="631"/>
      <c r="K669" s="631"/>
      <c r="L669" s="530"/>
      <c r="M669" s="530"/>
      <c r="N669" s="530"/>
      <c r="O669" s="530"/>
      <c r="P669" s="758"/>
      <c r="Q669" s="534"/>
      <c r="R669" s="534"/>
      <c r="S669" s="534"/>
      <c r="T669" s="534"/>
      <c r="U669" s="534"/>
      <c r="V669" s="534"/>
      <c r="W669" s="534"/>
    </row>
    <row r="670">
      <c r="A670" s="755"/>
      <c r="B670" s="534"/>
      <c r="C670" s="534"/>
      <c r="D670" s="534"/>
      <c r="E670" s="534"/>
      <c r="F670" s="802"/>
      <c r="G670" s="530"/>
      <c r="H670" s="804"/>
      <c r="I670" s="631"/>
      <c r="J670" s="631"/>
      <c r="K670" s="631"/>
      <c r="L670" s="530"/>
      <c r="M670" s="530"/>
      <c r="N670" s="530"/>
      <c r="O670" s="530"/>
      <c r="P670" s="758"/>
      <c r="Q670" s="534"/>
      <c r="R670" s="534"/>
      <c r="S670" s="534"/>
      <c r="T670" s="534"/>
      <c r="U670" s="534"/>
      <c r="V670" s="534"/>
      <c r="W670" s="534"/>
    </row>
    <row r="671">
      <c r="A671" s="755"/>
      <c r="B671" s="534"/>
      <c r="C671" s="534"/>
      <c r="D671" s="534"/>
      <c r="E671" s="534"/>
      <c r="F671" s="802"/>
      <c r="G671" s="530"/>
      <c r="H671" s="804"/>
      <c r="I671" s="631"/>
      <c r="J671" s="631"/>
      <c r="K671" s="631"/>
      <c r="L671" s="530"/>
      <c r="M671" s="530"/>
      <c r="N671" s="530"/>
      <c r="O671" s="530"/>
      <c r="P671" s="758"/>
      <c r="Q671" s="534"/>
      <c r="R671" s="534"/>
      <c r="S671" s="534"/>
      <c r="T671" s="534"/>
      <c r="U671" s="534"/>
      <c r="V671" s="534"/>
      <c r="W671" s="534"/>
    </row>
    <row r="672">
      <c r="A672" s="755"/>
      <c r="B672" s="534"/>
      <c r="C672" s="534"/>
      <c r="D672" s="534"/>
      <c r="E672" s="534"/>
      <c r="F672" s="802"/>
      <c r="G672" s="530"/>
      <c r="H672" s="804"/>
      <c r="I672" s="631"/>
      <c r="J672" s="631"/>
      <c r="K672" s="631"/>
      <c r="L672" s="530"/>
      <c r="M672" s="530"/>
      <c r="N672" s="530"/>
      <c r="O672" s="530"/>
      <c r="P672" s="758"/>
      <c r="Q672" s="534"/>
      <c r="R672" s="534"/>
      <c r="S672" s="534"/>
      <c r="T672" s="534"/>
      <c r="U672" s="534"/>
      <c r="V672" s="534"/>
      <c r="W672" s="534"/>
    </row>
    <row r="673">
      <c r="A673" s="755"/>
      <c r="B673" s="534"/>
      <c r="C673" s="534"/>
      <c r="D673" s="534"/>
      <c r="E673" s="534"/>
      <c r="F673" s="802"/>
      <c r="G673" s="530"/>
      <c r="H673" s="804"/>
      <c r="I673" s="631"/>
      <c r="J673" s="631"/>
      <c r="K673" s="631"/>
      <c r="L673" s="530"/>
      <c r="M673" s="530"/>
      <c r="N673" s="530"/>
      <c r="O673" s="530"/>
      <c r="P673" s="758"/>
      <c r="Q673" s="534"/>
      <c r="R673" s="534"/>
      <c r="S673" s="534"/>
      <c r="T673" s="534"/>
      <c r="U673" s="534"/>
      <c r="V673" s="534"/>
      <c r="W673" s="534"/>
    </row>
    <row r="674">
      <c r="A674" s="755"/>
      <c r="B674" s="534"/>
      <c r="C674" s="534"/>
      <c r="D674" s="534"/>
      <c r="E674" s="534"/>
      <c r="F674" s="802"/>
      <c r="G674" s="530"/>
      <c r="H674" s="804"/>
      <c r="I674" s="631"/>
      <c r="J674" s="631"/>
      <c r="K674" s="631"/>
      <c r="L674" s="530"/>
      <c r="M674" s="530"/>
      <c r="N674" s="530"/>
      <c r="O674" s="530"/>
      <c r="P674" s="758"/>
      <c r="Q674" s="534"/>
      <c r="R674" s="534"/>
      <c r="S674" s="534"/>
      <c r="T674" s="534"/>
      <c r="U674" s="534"/>
      <c r="V674" s="534"/>
      <c r="W674" s="534"/>
    </row>
    <row r="675">
      <c r="A675" s="755"/>
      <c r="B675" s="534"/>
      <c r="C675" s="534"/>
      <c r="D675" s="534"/>
      <c r="E675" s="534"/>
      <c r="F675" s="802"/>
      <c r="G675" s="530"/>
      <c r="H675" s="804"/>
      <c r="I675" s="631"/>
      <c r="J675" s="631"/>
      <c r="K675" s="631"/>
      <c r="L675" s="530"/>
      <c r="M675" s="530"/>
      <c r="N675" s="530"/>
      <c r="O675" s="530"/>
      <c r="P675" s="758"/>
      <c r="Q675" s="534"/>
      <c r="R675" s="534"/>
      <c r="S675" s="534"/>
      <c r="T675" s="534"/>
      <c r="U675" s="534"/>
      <c r="V675" s="534"/>
      <c r="W675" s="534"/>
    </row>
    <row r="676">
      <c r="A676" s="755"/>
      <c r="B676" s="534"/>
      <c r="C676" s="534"/>
      <c r="D676" s="534"/>
      <c r="E676" s="534"/>
      <c r="F676" s="802"/>
      <c r="G676" s="530"/>
      <c r="H676" s="804"/>
      <c r="I676" s="631"/>
      <c r="J676" s="631"/>
      <c r="K676" s="631"/>
      <c r="L676" s="530"/>
      <c r="M676" s="530"/>
      <c r="N676" s="530"/>
      <c r="O676" s="530"/>
      <c r="P676" s="758"/>
      <c r="Q676" s="534"/>
      <c r="R676" s="534"/>
      <c r="S676" s="534"/>
      <c r="T676" s="534"/>
      <c r="U676" s="534"/>
      <c r="V676" s="534"/>
      <c r="W676" s="534"/>
    </row>
    <row r="677">
      <c r="A677" s="755"/>
      <c r="B677" s="534"/>
      <c r="C677" s="534"/>
      <c r="D677" s="534"/>
      <c r="E677" s="534"/>
      <c r="F677" s="802"/>
      <c r="G677" s="530"/>
      <c r="H677" s="804"/>
      <c r="I677" s="631"/>
      <c r="J677" s="631"/>
      <c r="K677" s="631"/>
      <c r="L677" s="530"/>
      <c r="M677" s="530"/>
      <c r="N677" s="530"/>
      <c r="O677" s="530"/>
      <c r="P677" s="758"/>
      <c r="Q677" s="534"/>
      <c r="R677" s="534"/>
      <c r="S677" s="534"/>
      <c r="T677" s="534"/>
      <c r="U677" s="534"/>
      <c r="V677" s="534"/>
      <c r="W677" s="534"/>
    </row>
    <row r="678">
      <c r="A678" s="755"/>
      <c r="B678" s="534"/>
      <c r="C678" s="534"/>
      <c r="D678" s="534"/>
      <c r="E678" s="534"/>
      <c r="F678" s="802"/>
      <c r="G678" s="530"/>
      <c r="H678" s="804"/>
      <c r="I678" s="631"/>
      <c r="J678" s="631"/>
      <c r="K678" s="631"/>
      <c r="L678" s="530"/>
      <c r="M678" s="530"/>
      <c r="N678" s="530"/>
      <c r="O678" s="530"/>
      <c r="P678" s="758"/>
      <c r="Q678" s="534"/>
      <c r="R678" s="534"/>
      <c r="S678" s="534"/>
      <c r="T678" s="534"/>
      <c r="U678" s="534"/>
      <c r="V678" s="534"/>
      <c r="W678" s="534"/>
    </row>
    <row r="679">
      <c r="A679" s="755"/>
      <c r="B679" s="534"/>
      <c r="C679" s="534"/>
      <c r="D679" s="534"/>
      <c r="E679" s="534"/>
      <c r="F679" s="802"/>
      <c r="G679" s="530"/>
      <c r="H679" s="804"/>
      <c r="I679" s="631"/>
      <c r="J679" s="631"/>
      <c r="K679" s="631"/>
      <c r="L679" s="530"/>
      <c r="M679" s="530"/>
      <c r="N679" s="530"/>
      <c r="O679" s="530"/>
      <c r="P679" s="758"/>
      <c r="Q679" s="534"/>
      <c r="R679" s="534"/>
      <c r="S679" s="534"/>
      <c r="T679" s="534"/>
      <c r="U679" s="534"/>
      <c r="V679" s="534"/>
      <c r="W679" s="534"/>
    </row>
    <row r="680">
      <c r="A680" s="755"/>
      <c r="B680" s="534"/>
      <c r="C680" s="534"/>
      <c r="D680" s="534"/>
      <c r="E680" s="534"/>
      <c r="F680" s="802"/>
      <c r="G680" s="530"/>
      <c r="H680" s="804"/>
      <c r="I680" s="631"/>
      <c r="J680" s="631"/>
      <c r="K680" s="631"/>
      <c r="L680" s="530"/>
      <c r="M680" s="530"/>
      <c r="N680" s="530"/>
      <c r="O680" s="530"/>
      <c r="P680" s="758"/>
      <c r="Q680" s="534"/>
      <c r="R680" s="534"/>
      <c r="S680" s="534"/>
      <c r="T680" s="534"/>
      <c r="U680" s="534"/>
      <c r="V680" s="534"/>
      <c r="W680" s="534"/>
    </row>
    <row r="681">
      <c r="A681" s="755"/>
      <c r="B681" s="534"/>
      <c r="C681" s="534"/>
      <c r="D681" s="534"/>
      <c r="E681" s="534"/>
      <c r="F681" s="802"/>
      <c r="G681" s="530"/>
      <c r="H681" s="804"/>
      <c r="I681" s="631"/>
      <c r="J681" s="631"/>
      <c r="K681" s="631"/>
      <c r="L681" s="530"/>
      <c r="M681" s="530"/>
      <c r="N681" s="530"/>
      <c r="O681" s="530"/>
      <c r="P681" s="758"/>
      <c r="Q681" s="534"/>
      <c r="R681" s="534"/>
      <c r="S681" s="534"/>
      <c r="T681" s="534"/>
      <c r="U681" s="534"/>
      <c r="V681" s="534"/>
      <c r="W681" s="534"/>
    </row>
    <row r="682">
      <c r="A682" s="755"/>
      <c r="B682" s="534"/>
      <c r="C682" s="534"/>
      <c r="D682" s="534"/>
      <c r="E682" s="534"/>
      <c r="F682" s="802"/>
      <c r="G682" s="530"/>
      <c r="H682" s="804"/>
      <c r="I682" s="631"/>
      <c r="J682" s="631"/>
      <c r="K682" s="631"/>
      <c r="L682" s="530"/>
      <c r="M682" s="530"/>
      <c r="N682" s="530"/>
      <c r="O682" s="530"/>
      <c r="P682" s="758"/>
      <c r="Q682" s="534"/>
      <c r="R682" s="534"/>
      <c r="S682" s="534"/>
      <c r="T682" s="534"/>
      <c r="U682" s="534"/>
      <c r="V682" s="534"/>
      <c r="W682" s="534"/>
    </row>
    <row r="683">
      <c r="A683" s="755"/>
      <c r="B683" s="534"/>
      <c r="C683" s="534"/>
      <c r="D683" s="534"/>
      <c r="E683" s="534"/>
      <c r="F683" s="802"/>
      <c r="G683" s="530"/>
      <c r="H683" s="804"/>
      <c r="I683" s="631"/>
      <c r="J683" s="631"/>
      <c r="K683" s="631"/>
      <c r="L683" s="530"/>
      <c r="M683" s="530"/>
      <c r="N683" s="530"/>
      <c r="O683" s="530"/>
      <c r="P683" s="758"/>
      <c r="Q683" s="534"/>
      <c r="R683" s="534"/>
      <c r="S683" s="534"/>
      <c r="T683" s="534"/>
      <c r="U683" s="534"/>
      <c r="V683" s="534"/>
      <c r="W683" s="534"/>
    </row>
    <row r="684">
      <c r="A684" s="755"/>
      <c r="B684" s="534"/>
      <c r="C684" s="534"/>
      <c r="D684" s="534"/>
      <c r="E684" s="534"/>
      <c r="F684" s="802"/>
      <c r="G684" s="530"/>
      <c r="H684" s="804"/>
      <c r="I684" s="631"/>
      <c r="J684" s="631"/>
      <c r="K684" s="631"/>
      <c r="L684" s="530"/>
      <c r="M684" s="530"/>
      <c r="N684" s="530"/>
      <c r="O684" s="530"/>
      <c r="P684" s="758"/>
      <c r="Q684" s="534"/>
      <c r="R684" s="534"/>
      <c r="S684" s="534"/>
      <c r="T684" s="534"/>
      <c r="U684" s="534"/>
      <c r="V684" s="534"/>
      <c r="W684" s="534"/>
    </row>
    <row r="685">
      <c r="A685" s="755"/>
      <c r="B685" s="534"/>
      <c r="C685" s="534"/>
      <c r="D685" s="534"/>
      <c r="E685" s="534"/>
      <c r="F685" s="802"/>
      <c r="G685" s="530"/>
      <c r="H685" s="804"/>
      <c r="I685" s="631"/>
      <c r="J685" s="631"/>
      <c r="K685" s="631"/>
      <c r="L685" s="530"/>
      <c r="M685" s="530"/>
      <c r="N685" s="530"/>
      <c r="O685" s="530"/>
      <c r="P685" s="758"/>
      <c r="Q685" s="534"/>
      <c r="R685" s="534"/>
      <c r="S685" s="534"/>
      <c r="T685" s="534"/>
      <c r="U685" s="534"/>
      <c r="V685" s="534"/>
      <c r="W685" s="534"/>
    </row>
    <row r="686">
      <c r="A686" s="755"/>
      <c r="B686" s="534"/>
      <c r="C686" s="534"/>
      <c r="D686" s="534"/>
      <c r="E686" s="534"/>
      <c r="F686" s="802"/>
      <c r="G686" s="530"/>
      <c r="H686" s="804"/>
      <c r="I686" s="631"/>
      <c r="J686" s="631"/>
      <c r="K686" s="631"/>
      <c r="L686" s="530"/>
      <c r="M686" s="530"/>
      <c r="N686" s="530"/>
      <c r="O686" s="530"/>
      <c r="P686" s="758"/>
      <c r="Q686" s="534"/>
      <c r="R686" s="534"/>
      <c r="S686" s="534"/>
      <c r="T686" s="534"/>
      <c r="U686" s="534"/>
      <c r="V686" s="534"/>
      <c r="W686" s="534"/>
    </row>
    <row r="687">
      <c r="A687" s="755"/>
      <c r="B687" s="534"/>
      <c r="C687" s="534"/>
      <c r="D687" s="534"/>
      <c r="E687" s="534"/>
      <c r="F687" s="802"/>
      <c r="G687" s="530"/>
      <c r="H687" s="804"/>
      <c r="I687" s="631"/>
      <c r="J687" s="631"/>
      <c r="K687" s="631"/>
      <c r="L687" s="530"/>
      <c r="M687" s="530"/>
      <c r="N687" s="530"/>
      <c r="O687" s="530"/>
      <c r="P687" s="758"/>
      <c r="Q687" s="534"/>
      <c r="R687" s="534"/>
      <c r="S687" s="534"/>
      <c r="T687" s="534"/>
      <c r="U687" s="534"/>
      <c r="V687" s="534"/>
      <c r="W687" s="534"/>
    </row>
    <row r="688">
      <c r="A688" s="755"/>
      <c r="B688" s="534"/>
      <c r="C688" s="534"/>
      <c r="D688" s="534"/>
      <c r="E688" s="534"/>
      <c r="F688" s="802"/>
      <c r="G688" s="530"/>
      <c r="H688" s="804"/>
      <c r="I688" s="631"/>
      <c r="J688" s="631"/>
      <c r="K688" s="631"/>
      <c r="L688" s="530"/>
      <c r="M688" s="530"/>
      <c r="N688" s="530"/>
      <c r="O688" s="530"/>
      <c r="P688" s="758"/>
      <c r="Q688" s="534"/>
      <c r="R688" s="534"/>
      <c r="S688" s="534"/>
      <c r="T688" s="534"/>
      <c r="U688" s="534"/>
      <c r="V688" s="534"/>
      <c r="W688" s="534"/>
    </row>
    <row r="689">
      <c r="A689" s="755"/>
      <c r="B689" s="534"/>
      <c r="C689" s="534"/>
      <c r="D689" s="534"/>
      <c r="E689" s="534"/>
      <c r="F689" s="802"/>
      <c r="G689" s="530"/>
      <c r="H689" s="804"/>
      <c r="I689" s="631"/>
      <c r="J689" s="631"/>
      <c r="K689" s="631"/>
      <c r="L689" s="530"/>
      <c r="M689" s="530"/>
      <c r="N689" s="530"/>
      <c r="O689" s="530"/>
      <c r="P689" s="758"/>
      <c r="Q689" s="534"/>
      <c r="R689" s="534"/>
      <c r="S689" s="534"/>
      <c r="T689" s="534"/>
      <c r="U689" s="534"/>
      <c r="V689" s="534"/>
      <c r="W689" s="534"/>
    </row>
    <row r="690">
      <c r="A690" s="755"/>
      <c r="B690" s="534"/>
      <c r="C690" s="534"/>
      <c r="D690" s="534"/>
      <c r="E690" s="534"/>
      <c r="F690" s="802"/>
      <c r="G690" s="530"/>
      <c r="H690" s="804"/>
      <c r="I690" s="631"/>
      <c r="J690" s="631"/>
      <c r="K690" s="631"/>
      <c r="L690" s="530"/>
      <c r="M690" s="530"/>
      <c r="N690" s="530"/>
      <c r="O690" s="530"/>
      <c r="P690" s="758"/>
      <c r="Q690" s="534"/>
      <c r="R690" s="534"/>
      <c r="S690" s="534"/>
      <c r="T690" s="534"/>
      <c r="U690" s="534"/>
      <c r="V690" s="534"/>
      <c r="W690" s="534"/>
    </row>
    <row r="691">
      <c r="A691" s="755"/>
      <c r="B691" s="534"/>
      <c r="C691" s="534"/>
      <c r="D691" s="534"/>
      <c r="E691" s="534"/>
      <c r="F691" s="802"/>
      <c r="G691" s="530"/>
      <c r="H691" s="804"/>
      <c r="I691" s="631"/>
      <c r="J691" s="631"/>
      <c r="K691" s="631"/>
      <c r="L691" s="530"/>
      <c r="M691" s="530"/>
      <c r="N691" s="530"/>
      <c r="O691" s="530"/>
      <c r="P691" s="758"/>
      <c r="Q691" s="534"/>
      <c r="R691" s="534"/>
      <c r="S691" s="534"/>
      <c r="T691" s="534"/>
      <c r="U691" s="534"/>
      <c r="V691" s="534"/>
      <c r="W691" s="534"/>
    </row>
    <row r="692">
      <c r="A692" s="755"/>
      <c r="B692" s="534"/>
      <c r="C692" s="534"/>
      <c r="D692" s="534"/>
      <c r="E692" s="534"/>
      <c r="F692" s="802"/>
      <c r="G692" s="530"/>
      <c r="H692" s="804"/>
      <c r="I692" s="631"/>
      <c r="J692" s="631"/>
      <c r="K692" s="631"/>
      <c r="L692" s="530"/>
      <c r="M692" s="530"/>
      <c r="N692" s="530"/>
      <c r="O692" s="530"/>
      <c r="P692" s="758"/>
      <c r="Q692" s="534"/>
      <c r="R692" s="534"/>
      <c r="S692" s="534"/>
      <c r="T692" s="534"/>
      <c r="U692" s="534"/>
      <c r="V692" s="534"/>
      <c r="W692" s="534"/>
    </row>
    <row r="693">
      <c r="A693" s="755"/>
      <c r="B693" s="534"/>
      <c r="C693" s="534"/>
      <c r="D693" s="534"/>
      <c r="E693" s="534"/>
      <c r="F693" s="802"/>
      <c r="G693" s="530"/>
      <c r="H693" s="804"/>
      <c r="I693" s="631"/>
      <c r="J693" s="631"/>
      <c r="K693" s="631"/>
      <c r="L693" s="530"/>
      <c r="M693" s="530"/>
      <c r="N693" s="530"/>
      <c r="O693" s="530"/>
      <c r="P693" s="758"/>
      <c r="Q693" s="534"/>
      <c r="R693" s="534"/>
      <c r="S693" s="534"/>
      <c r="T693" s="534"/>
      <c r="U693" s="534"/>
      <c r="V693" s="534"/>
      <c r="W693" s="534"/>
    </row>
    <row r="694">
      <c r="A694" s="755"/>
      <c r="B694" s="534"/>
      <c r="C694" s="534"/>
      <c r="D694" s="534"/>
      <c r="E694" s="534"/>
      <c r="F694" s="802"/>
      <c r="G694" s="530"/>
      <c r="H694" s="804"/>
      <c r="I694" s="631"/>
      <c r="J694" s="631"/>
      <c r="K694" s="631"/>
      <c r="L694" s="530"/>
      <c r="M694" s="530"/>
      <c r="N694" s="530"/>
      <c r="O694" s="530"/>
      <c r="P694" s="758"/>
      <c r="Q694" s="534"/>
      <c r="R694" s="534"/>
      <c r="S694" s="534"/>
      <c r="T694" s="534"/>
      <c r="U694" s="534"/>
      <c r="V694" s="534"/>
      <c r="W694" s="534"/>
    </row>
    <row r="695">
      <c r="A695" s="755"/>
      <c r="B695" s="534"/>
      <c r="C695" s="534"/>
      <c r="D695" s="534"/>
      <c r="E695" s="534"/>
      <c r="F695" s="802"/>
      <c r="G695" s="530"/>
      <c r="H695" s="804"/>
      <c r="I695" s="631"/>
      <c r="J695" s="631"/>
      <c r="K695" s="631"/>
      <c r="L695" s="530"/>
      <c r="M695" s="530"/>
      <c r="N695" s="530"/>
      <c r="O695" s="530"/>
      <c r="P695" s="758"/>
      <c r="Q695" s="534"/>
      <c r="R695" s="534"/>
      <c r="S695" s="534"/>
      <c r="T695" s="534"/>
      <c r="U695" s="534"/>
      <c r="V695" s="534"/>
      <c r="W695" s="534"/>
    </row>
    <row r="696">
      <c r="A696" s="755"/>
      <c r="B696" s="534"/>
      <c r="C696" s="534"/>
      <c r="D696" s="534"/>
      <c r="E696" s="534"/>
      <c r="F696" s="802"/>
      <c r="G696" s="530"/>
      <c r="H696" s="804"/>
      <c r="I696" s="631"/>
      <c r="J696" s="631"/>
      <c r="K696" s="631"/>
      <c r="L696" s="530"/>
      <c r="M696" s="530"/>
      <c r="N696" s="530"/>
      <c r="O696" s="530"/>
      <c r="P696" s="758"/>
      <c r="Q696" s="534"/>
      <c r="R696" s="534"/>
      <c r="S696" s="534"/>
      <c r="T696" s="534"/>
      <c r="U696" s="534"/>
      <c r="V696" s="534"/>
      <c r="W696" s="534"/>
    </row>
    <row r="697">
      <c r="A697" s="755"/>
      <c r="B697" s="534"/>
      <c r="C697" s="534"/>
      <c r="D697" s="534"/>
      <c r="E697" s="534"/>
      <c r="F697" s="802"/>
      <c r="G697" s="530"/>
      <c r="H697" s="804"/>
      <c r="I697" s="631"/>
      <c r="J697" s="631"/>
      <c r="K697" s="631"/>
      <c r="L697" s="530"/>
      <c r="M697" s="530"/>
      <c r="N697" s="530"/>
      <c r="O697" s="530"/>
      <c r="P697" s="758"/>
      <c r="Q697" s="534"/>
      <c r="R697" s="534"/>
      <c r="S697" s="534"/>
      <c r="T697" s="534"/>
      <c r="U697" s="534"/>
      <c r="V697" s="534"/>
      <c r="W697" s="534"/>
    </row>
    <row r="698">
      <c r="A698" s="755"/>
      <c r="B698" s="534"/>
      <c r="C698" s="534"/>
      <c r="D698" s="534"/>
      <c r="E698" s="534"/>
      <c r="F698" s="802"/>
      <c r="G698" s="530"/>
      <c r="H698" s="804"/>
      <c r="I698" s="631"/>
      <c r="J698" s="631"/>
      <c r="K698" s="631"/>
      <c r="L698" s="530"/>
      <c r="M698" s="530"/>
      <c r="N698" s="530"/>
      <c r="O698" s="530"/>
      <c r="P698" s="758"/>
      <c r="Q698" s="534"/>
      <c r="R698" s="534"/>
      <c r="S698" s="534"/>
      <c r="T698" s="534"/>
      <c r="U698" s="534"/>
      <c r="V698" s="534"/>
      <c r="W698" s="534"/>
    </row>
    <row r="699">
      <c r="A699" s="755"/>
      <c r="B699" s="534"/>
      <c r="C699" s="534"/>
      <c r="D699" s="534"/>
      <c r="E699" s="534"/>
      <c r="F699" s="802"/>
      <c r="G699" s="530"/>
      <c r="H699" s="804"/>
      <c r="I699" s="631"/>
      <c r="J699" s="631"/>
      <c r="K699" s="631"/>
      <c r="L699" s="530"/>
      <c r="M699" s="530"/>
      <c r="N699" s="530"/>
      <c r="O699" s="530"/>
      <c r="P699" s="758"/>
      <c r="Q699" s="534"/>
      <c r="R699" s="534"/>
      <c r="S699" s="534"/>
      <c r="T699" s="534"/>
      <c r="U699" s="534"/>
      <c r="V699" s="534"/>
      <c r="W699" s="534"/>
    </row>
    <row r="700">
      <c r="A700" s="755"/>
      <c r="B700" s="534"/>
      <c r="C700" s="534"/>
      <c r="D700" s="534"/>
      <c r="E700" s="534"/>
      <c r="F700" s="802"/>
      <c r="G700" s="530"/>
      <c r="H700" s="804"/>
      <c r="I700" s="631"/>
      <c r="J700" s="631"/>
      <c r="K700" s="631"/>
      <c r="L700" s="530"/>
      <c r="M700" s="530"/>
      <c r="N700" s="530"/>
      <c r="O700" s="530"/>
      <c r="P700" s="758"/>
      <c r="Q700" s="534"/>
      <c r="R700" s="534"/>
      <c r="S700" s="534"/>
      <c r="T700" s="534"/>
      <c r="U700" s="534"/>
      <c r="V700" s="534"/>
      <c r="W700" s="534"/>
    </row>
    <row r="701">
      <c r="A701" s="755"/>
      <c r="B701" s="534"/>
      <c r="C701" s="534"/>
      <c r="D701" s="534"/>
      <c r="E701" s="534"/>
      <c r="F701" s="802"/>
      <c r="G701" s="530"/>
      <c r="H701" s="804"/>
      <c r="I701" s="631"/>
      <c r="J701" s="631"/>
      <c r="K701" s="631"/>
      <c r="L701" s="530"/>
      <c r="M701" s="530"/>
      <c r="N701" s="530"/>
      <c r="O701" s="530"/>
      <c r="P701" s="758"/>
      <c r="Q701" s="534"/>
      <c r="R701" s="534"/>
      <c r="S701" s="534"/>
      <c r="T701" s="534"/>
      <c r="U701" s="534"/>
      <c r="V701" s="534"/>
      <c r="W701" s="534"/>
    </row>
    <row r="702">
      <c r="A702" s="755"/>
      <c r="B702" s="534"/>
      <c r="C702" s="534"/>
      <c r="D702" s="534"/>
      <c r="E702" s="534"/>
      <c r="F702" s="802"/>
      <c r="G702" s="530"/>
      <c r="H702" s="804"/>
      <c r="I702" s="631"/>
      <c r="J702" s="631"/>
      <c r="K702" s="631"/>
      <c r="L702" s="530"/>
      <c r="M702" s="530"/>
      <c r="N702" s="530"/>
      <c r="O702" s="530"/>
      <c r="P702" s="758"/>
      <c r="Q702" s="534"/>
      <c r="R702" s="534"/>
      <c r="S702" s="534"/>
      <c r="T702" s="534"/>
      <c r="U702" s="534"/>
      <c r="V702" s="534"/>
      <c r="W702" s="534"/>
    </row>
    <row r="703">
      <c r="A703" s="755"/>
      <c r="B703" s="534"/>
      <c r="C703" s="534"/>
      <c r="D703" s="534"/>
      <c r="E703" s="534"/>
      <c r="F703" s="802"/>
      <c r="G703" s="530"/>
      <c r="H703" s="804"/>
      <c r="I703" s="631"/>
      <c r="J703" s="631"/>
      <c r="K703" s="631"/>
      <c r="L703" s="530"/>
      <c r="M703" s="530"/>
      <c r="N703" s="530"/>
      <c r="O703" s="530"/>
      <c r="P703" s="758"/>
      <c r="Q703" s="534"/>
      <c r="R703" s="534"/>
      <c r="S703" s="534"/>
      <c r="T703" s="534"/>
      <c r="U703" s="534"/>
      <c r="V703" s="534"/>
      <c r="W703" s="534"/>
    </row>
    <row r="704">
      <c r="A704" s="755"/>
      <c r="B704" s="534"/>
      <c r="C704" s="534"/>
      <c r="D704" s="534"/>
      <c r="E704" s="534"/>
      <c r="F704" s="802"/>
      <c r="G704" s="530"/>
      <c r="H704" s="804"/>
      <c r="I704" s="631"/>
      <c r="J704" s="631"/>
      <c r="K704" s="631"/>
      <c r="L704" s="530"/>
      <c r="M704" s="530"/>
      <c r="N704" s="530"/>
      <c r="O704" s="530"/>
      <c r="P704" s="758"/>
      <c r="Q704" s="534"/>
      <c r="R704" s="534"/>
      <c r="S704" s="534"/>
      <c r="T704" s="534"/>
      <c r="U704" s="534"/>
      <c r="V704" s="534"/>
      <c r="W704" s="534"/>
    </row>
    <row r="705">
      <c r="A705" s="755"/>
      <c r="B705" s="534"/>
      <c r="C705" s="534"/>
      <c r="D705" s="534"/>
      <c r="E705" s="534"/>
      <c r="F705" s="802"/>
      <c r="G705" s="530"/>
      <c r="H705" s="804"/>
      <c r="I705" s="631"/>
      <c r="J705" s="631"/>
      <c r="K705" s="631"/>
      <c r="L705" s="530"/>
      <c r="M705" s="530"/>
      <c r="N705" s="530"/>
      <c r="O705" s="530"/>
      <c r="P705" s="758"/>
      <c r="Q705" s="534"/>
      <c r="R705" s="534"/>
      <c r="S705" s="534"/>
      <c r="T705" s="534"/>
      <c r="U705" s="534"/>
      <c r="V705" s="534"/>
      <c r="W705" s="534"/>
    </row>
    <row r="706">
      <c r="A706" s="755"/>
      <c r="B706" s="534"/>
      <c r="C706" s="534"/>
      <c r="D706" s="534"/>
      <c r="E706" s="534"/>
      <c r="F706" s="802"/>
      <c r="G706" s="530"/>
      <c r="H706" s="804"/>
      <c r="I706" s="631"/>
      <c r="J706" s="631"/>
      <c r="K706" s="631"/>
      <c r="L706" s="530"/>
      <c r="M706" s="530"/>
      <c r="N706" s="530"/>
      <c r="O706" s="530"/>
      <c r="P706" s="758"/>
      <c r="Q706" s="534"/>
      <c r="R706" s="534"/>
      <c r="S706" s="534"/>
      <c r="T706" s="534"/>
      <c r="U706" s="534"/>
      <c r="V706" s="534"/>
      <c r="W706" s="534"/>
    </row>
    <row r="707">
      <c r="A707" s="755"/>
      <c r="B707" s="534"/>
      <c r="C707" s="534"/>
      <c r="D707" s="534"/>
      <c r="E707" s="534"/>
      <c r="F707" s="802"/>
      <c r="G707" s="530"/>
      <c r="H707" s="804"/>
      <c r="I707" s="631"/>
      <c r="J707" s="631"/>
      <c r="K707" s="631"/>
      <c r="L707" s="530"/>
      <c r="M707" s="530"/>
      <c r="N707" s="530"/>
      <c r="O707" s="530"/>
      <c r="P707" s="758"/>
      <c r="Q707" s="534"/>
      <c r="R707" s="534"/>
      <c r="S707" s="534"/>
      <c r="T707" s="534"/>
      <c r="U707" s="534"/>
      <c r="V707" s="534"/>
      <c r="W707" s="534"/>
    </row>
    <row r="708">
      <c r="A708" s="755"/>
      <c r="B708" s="534"/>
      <c r="C708" s="534"/>
      <c r="D708" s="534"/>
      <c r="E708" s="534"/>
      <c r="F708" s="802"/>
      <c r="G708" s="530"/>
      <c r="H708" s="804"/>
      <c r="I708" s="631"/>
      <c r="J708" s="631"/>
      <c r="K708" s="631"/>
      <c r="L708" s="530"/>
      <c r="M708" s="530"/>
      <c r="N708" s="530"/>
      <c r="O708" s="530"/>
      <c r="P708" s="758"/>
      <c r="Q708" s="534"/>
      <c r="R708" s="534"/>
      <c r="S708" s="534"/>
      <c r="T708" s="534"/>
      <c r="U708" s="534"/>
      <c r="V708" s="534"/>
      <c r="W708" s="534"/>
    </row>
    <row r="709">
      <c r="A709" s="755"/>
      <c r="B709" s="534"/>
      <c r="C709" s="534"/>
      <c r="D709" s="534"/>
      <c r="E709" s="534"/>
      <c r="F709" s="802"/>
      <c r="G709" s="530"/>
      <c r="H709" s="804"/>
      <c r="I709" s="631"/>
      <c r="J709" s="631"/>
      <c r="K709" s="631"/>
      <c r="L709" s="530"/>
      <c r="M709" s="530"/>
      <c r="N709" s="530"/>
      <c r="O709" s="530"/>
      <c r="P709" s="758"/>
      <c r="Q709" s="534"/>
      <c r="R709" s="534"/>
      <c r="S709" s="534"/>
      <c r="T709" s="534"/>
      <c r="U709" s="534"/>
      <c r="V709" s="534"/>
      <c r="W709" s="534"/>
    </row>
    <row r="710">
      <c r="A710" s="755"/>
      <c r="B710" s="534"/>
      <c r="C710" s="534"/>
      <c r="D710" s="534"/>
      <c r="E710" s="534"/>
      <c r="F710" s="802"/>
      <c r="G710" s="530"/>
      <c r="H710" s="804"/>
      <c r="I710" s="631"/>
      <c r="J710" s="631"/>
      <c r="K710" s="631"/>
      <c r="L710" s="530"/>
      <c r="M710" s="530"/>
      <c r="N710" s="530"/>
      <c r="O710" s="530"/>
      <c r="P710" s="758"/>
      <c r="Q710" s="534"/>
      <c r="R710" s="534"/>
      <c r="S710" s="534"/>
      <c r="T710" s="534"/>
      <c r="U710" s="534"/>
      <c r="V710" s="534"/>
      <c r="W710" s="534"/>
    </row>
    <row r="711">
      <c r="A711" s="755"/>
      <c r="B711" s="534"/>
      <c r="C711" s="534"/>
      <c r="D711" s="534"/>
      <c r="E711" s="534"/>
      <c r="F711" s="802"/>
      <c r="G711" s="530"/>
      <c r="H711" s="804"/>
      <c r="I711" s="631"/>
      <c r="J711" s="631"/>
      <c r="K711" s="631"/>
      <c r="L711" s="530"/>
      <c r="M711" s="530"/>
      <c r="N711" s="530"/>
      <c r="O711" s="530"/>
      <c r="P711" s="758"/>
      <c r="Q711" s="534"/>
      <c r="R711" s="534"/>
      <c r="S711" s="534"/>
      <c r="T711" s="534"/>
      <c r="U711" s="534"/>
      <c r="V711" s="534"/>
      <c r="W711" s="534"/>
    </row>
    <row r="712">
      <c r="A712" s="755"/>
      <c r="B712" s="534"/>
      <c r="C712" s="534"/>
      <c r="D712" s="534"/>
      <c r="E712" s="534"/>
      <c r="F712" s="802"/>
      <c r="G712" s="530"/>
      <c r="H712" s="804"/>
      <c r="I712" s="631"/>
      <c r="J712" s="631"/>
      <c r="K712" s="631"/>
      <c r="L712" s="530"/>
      <c r="M712" s="530"/>
      <c r="N712" s="530"/>
      <c r="O712" s="530"/>
      <c r="P712" s="758"/>
      <c r="Q712" s="534"/>
      <c r="R712" s="534"/>
      <c r="S712" s="534"/>
      <c r="T712" s="534"/>
      <c r="U712" s="534"/>
      <c r="V712" s="534"/>
      <c r="W712" s="534"/>
    </row>
    <row r="713">
      <c r="A713" s="755"/>
      <c r="B713" s="534"/>
      <c r="C713" s="534"/>
      <c r="D713" s="534"/>
      <c r="E713" s="534"/>
      <c r="F713" s="802"/>
      <c r="G713" s="530"/>
      <c r="H713" s="804"/>
      <c r="I713" s="631"/>
      <c r="J713" s="631"/>
      <c r="K713" s="631"/>
      <c r="L713" s="530"/>
      <c r="M713" s="530"/>
      <c r="N713" s="530"/>
      <c r="O713" s="530"/>
      <c r="P713" s="758"/>
      <c r="Q713" s="534"/>
      <c r="R713" s="534"/>
      <c r="S713" s="534"/>
      <c r="T713" s="534"/>
      <c r="U713" s="534"/>
      <c r="V713" s="534"/>
      <c r="W713" s="534"/>
    </row>
    <row r="714">
      <c r="A714" s="755"/>
      <c r="B714" s="534"/>
      <c r="C714" s="534"/>
      <c r="D714" s="534"/>
      <c r="E714" s="534"/>
      <c r="F714" s="802"/>
      <c r="G714" s="530"/>
      <c r="H714" s="804"/>
      <c r="I714" s="631"/>
      <c r="J714" s="631"/>
      <c r="K714" s="631"/>
      <c r="L714" s="530"/>
      <c r="M714" s="530"/>
      <c r="N714" s="530"/>
      <c r="O714" s="530"/>
      <c r="P714" s="758"/>
      <c r="Q714" s="534"/>
      <c r="R714" s="534"/>
      <c r="S714" s="534"/>
      <c r="T714" s="534"/>
      <c r="U714" s="534"/>
      <c r="V714" s="534"/>
      <c r="W714" s="534"/>
    </row>
    <row r="715">
      <c r="A715" s="755"/>
      <c r="B715" s="534"/>
      <c r="C715" s="534"/>
      <c r="D715" s="534"/>
      <c r="E715" s="534"/>
      <c r="F715" s="802"/>
      <c r="G715" s="530"/>
      <c r="H715" s="804"/>
      <c r="I715" s="631"/>
      <c r="J715" s="631"/>
      <c r="K715" s="631"/>
      <c r="L715" s="530"/>
      <c r="M715" s="530"/>
      <c r="N715" s="530"/>
      <c r="O715" s="530"/>
      <c r="P715" s="758"/>
      <c r="Q715" s="534"/>
      <c r="R715" s="534"/>
      <c r="S715" s="534"/>
      <c r="T715" s="534"/>
      <c r="U715" s="534"/>
      <c r="V715" s="534"/>
      <c r="W715" s="534"/>
    </row>
    <row r="716">
      <c r="A716" s="755"/>
      <c r="B716" s="534"/>
      <c r="C716" s="534"/>
      <c r="D716" s="534"/>
      <c r="E716" s="534"/>
      <c r="F716" s="802"/>
      <c r="G716" s="530"/>
      <c r="H716" s="804"/>
      <c r="I716" s="631"/>
      <c r="J716" s="631"/>
      <c r="K716" s="631"/>
      <c r="L716" s="530"/>
      <c r="M716" s="530"/>
      <c r="N716" s="530"/>
      <c r="O716" s="530"/>
      <c r="P716" s="758"/>
      <c r="Q716" s="534"/>
      <c r="R716" s="534"/>
      <c r="S716" s="534"/>
      <c r="T716" s="534"/>
      <c r="U716" s="534"/>
      <c r="V716" s="534"/>
      <c r="W716" s="534"/>
    </row>
    <row r="717">
      <c r="A717" s="755"/>
      <c r="B717" s="534"/>
      <c r="C717" s="534"/>
      <c r="D717" s="534"/>
      <c r="E717" s="534"/>
      <c r="F717" s="802"/>
      <c r="G717" s="530"/>
      <c r="H717" s="804"/>
      <c r="I717" s="631"/>
      <c r="J717" s="631"/>
      <c r="K717" s="631"/>
      <c r="L717" s="530"/>
      <c r="M717" s="530"/>
      <c r="N717" s="530"/>
      <c r="O717" s="530"/>
      <c r="P717" s="758"/>
      <c r="Q717" s="534"/>
      <c r="R717" s="534"/>
      <c r="S717" s="534"/>
      <c r="T717" s="534"/>
      <c r="U717" s="534"/>
      <c r="V717" s="534"/>
      <c r="W717" s="534"/>
    </row>
    <row r="718">
      <c r="A718" s="755"/>
      <c r="B718" s="534"/>
      <c r="C718" s="534"/>
      <c r="D718" s="534"/>
      <c r="E718" s="534"/>
      <c r="F718" s="802"/>
      <c r="G718" s="530"/>
      <c r="H718" s="804"/>
      <c r="I718" s="631"/>
      <c r="J718" s="631"/>
      <c r="K718" s="631"/>
      <c r="L718" s="530"/>
      <c r="M718" s="530"/>
      <c r="N718" s="530"/>
      <c r="O718" s="530"/>
      <c r="P718" s="758"/>
      <c r="Q718" s="534"/>
      <c r="R718" s="534"/>
      <c r="S718" s="534"/>
      <c r="T718" s="534"/>
      <c r="U718" s="534"/>
      <c r="V718" s="534"/>
      <c r="W718" s="534"/>
    </row>
    <row r="719">
      <c r="A719" s="755"/>
      <c r="B719" s="534"/>
      <c r="C719" s="534"/>
      <c r="D719" s="534"/>
      <c r="E719" s="534"/>
      <c r="F719" s="802"/>
      <c r="G719" s="530"/>
      <c r="H719" s="804"/>
      <c r="I719" s="631"/>
      <c r="J719" s="631"/>
      <c r="K719" s="631"/>
      <c r="L719" s="530"/>
      <c r="M719" s="530"/>
      <c r="N719" s="530"/>
      <c r="O719" s="530"/>
      <c r="P719" s="758"/>
      <c r="Q719" s="534"/>
      <c r="R719" s="534"/>
      <c r="S719" s="534"/>
      <c r="T719" s="534"/>
      <c r="U719" s="534"/>
      <c r="V719" s="534"/>
      <c r="W719" s="534"/>
    </row>
    <row r="720">
      <c r="A720" s="755"/>
      <c r="B720" s="534"/>
      <c r="C720" s="534"/>
      <c r="D720" s="534"/>
      <c r="E720" s="534"/>
      <c r="F720" s="802"/>
      <c r="G720" s="530"/>
      <c r="H720" s="804"/>
      <c r="I720" s="631"/>
      <c r="J720" s="631"/>
      <c r="K720" s="631"/>
      <c r="L720" s="530"/>
      <c r="M720" s="530"/>
      <c r="N720" s="530"/>
      <c r="O720" s="530"/>
      <c r="P720" s="758"/>
      <c r="Q720" s="534"/>
      <c r="R720" s="534"/>
      <c r="S720" s="534"/>
      <c r="T720" s="534"/>
      <c r="U720" s="534"/>
      <c r="V720" s="534"/>
      <c r="W720" s="534"/>
    </row>
    <row r="721">
      <c r="A721" s="755"/>
      <c r="B721" s="534"/>
      <c r="C721" s="534"/>
      <c r="D721" s="534"/>
      <c r="E721" s="534"/>
      <c r="F721" s="802"/>
      <c r="G721" s="530"/>
      <c r="H721" s="804"/>
      <c r="I721" s="631"/>
      <c r="J721" s="631"/>
      <c r="K721" s="631"/>
      <c r="L721" s="530"/>
      <c r="M721" s="530"/>
      <c r="N721" s="530"/>
      <c r="O721" s="530"/>
      <c r="P721" s="758"/>
      <c r="Q721" s="534"/>
      <c r="R721" s="534"/>
      <c r="S721" s="534"/>
      <c r="T721" s="534"/>
      <c r="U721" s="534"/>
      <c r="V721" s="534"/>
      <c r="W721" s="534"/>
    </row>
    <row r="722">
      <c r="A722" s="755"/>
      <c r="B722" s="534"/>
      <c r="C722" s="534"/>
      <c r="D722" s="534"/>
      <c r="E722" s="534"/>
      <c r="F722" s="802"/>
      <c r="G722" s="530"/>
      <c r="H722" s="804"/>
      <c r="I722" s="631"/>
      <c r="J722" s="631"/>
      <c r="K722" s="631"/>
      <c r="L722" s="530"/>
      <c r="M722" s="530"/>
      <c r="N722" s="530"/>
      <c r="O722" s="530"/>
      <c r="P722" s="758"/>
      <c r="Q722" s="534"/>
      <c r="R722" s="534"/>
      <c r="S722" s="534"/>
      <c r="T722" s="534"/>
      <c r="U722" s="534"/>
      <c r="V722" s="534"/>
      <c r="W722" s="534"/>
    </row>
    <row r="723">
      <c r="A723" s="755"/>
      <c r="B723" s="534"/>
      <c r="C723" s="534"/>
      <c r="D723" s="534"/>
      <c r="E723" s="534"/>
      <c r="F723" s="802"/>
      <c r="G723" s="530"/>
      <c r="H723" s="804"/>
      <c r="I723" s="631"/>
      <c r="J723" s="631"/>
      <c r="K723" s="631"/>
      <c r="L723" s="530"/>
      <c r="M723" s="530"/>
      <c r="N723" s="530"/>
      <c r="O723" s="530"/>
      <c r="P723" s="758"/>
      <c r="Q723" s="534"/>
      <c r="R723" s="534"/>
      <c r="S723" s="534"/>
      <c r="T723" s="534"/>
      <c r="U723" s="534"/>
      <c r="V723" s="534"/>
      <c r="W723" s="534"/>
    </row>
    <row r="724">
      <c r="A724" s="755"/>
      <c r="B724" s="534"/>
      <c r="C724" s="534"/>
      <c r="D724" s="534"/>
      <c r="E724" s="534"/>
      <c r="F724" s="802"/>
      <c r="G724" s="530"/>
      <c r="H724" s="804"/>
      <c r="I724" s="631"/>
      <c r="J724" s="631"/>
      <c r="K724" s="631"/>
      <c r="L724" s="530"/>
      <c r="M724" s="530"/>
      <c r="N724" s="530"/>
      <c r="O724" s="530"/>
      <c r="P724" s="758"/>
      <c r="Q724" s="534"/>
      <c r="R724" s="534"/>
      <c r="S724" s="534"/>
      <c r="T724" s="534"/>
      <c r="U724" s="534"/>
      <c r="V724" s="534"/>
      <c r="W724" s="534"/>
    </row>
    <row r="725">
      <c r="A725" s="755"/>
      <c r="B725" s="534"/>
      <c r="C725" s="534"/>
      <c r="D725" s="534"/>
      <c r="E725" s="534"/>
      <c r="F725" s="802"/>
      <c r="G725" s="530"/>
      <c r="H725" s="804"/>
      <c r="I725" s="631"/>
      <c r="J725" s="631"/>
      <c r="K725" s="631"/>
      <c r="L725" s="530"/>
      <c r="M725" s="530"/>
      <c r="N725" s="530"/>
      <c r="O725" s="530"/>
      <c r="P725" s="758"/>
      <c r="Q725" s="534"/>
      <c r="R725" s="534"/>
      <c r="S725" s="534"/>
      <c r="T725" s="534"/>
      <c r="U725" s="534"/>
      <c r="V725" s="534"/>
      <c r="W725" s="534"/>
    </row>
    <row r="726">
      <c r="A726" s="755"/>
      <c r="B726" s="534"/>
      <c r="C726" s="534"/>
      <c r="D726" s="534"/>
      <c r="E726" s="534"/>
      <c r="F726" s="802"/>
      <c r="G726" s="530"/>
      <c r="H726" s="804"/>
      <c r="I726" s="631"/>
      <c r="J726" s="631"/>
      <c r="K726" s="631"/>
      <c r="L726" s="530"/>
      <c r="M726" s="530"/>
      <c r="N726" s="530"/>
      <c r="O726" s="530"/>
      <c r="P726" s="758"/>
      <c r="Q726" s="534"/>
      <c r="R726" s="534"/>
      <c r="S726" s="534"/>
      <c r="T726" s="534"/>
      <c r="U726" s="534"/>
      <c r="V726" s="534"/>
      <c r="W726" s="534"/>
    </row>
    <row r="727">
      <c r="A727" s="755"/>
      <c r="B727" s="534"/>
      <c r="C727" s="534"/>
      <c r="D727" s="534"/>
      <c r="E727" s="534"/>
      <c r="F727" s="802"/>
      <c r="G727" s="530"/>
      <c r="H727" s="804"/>
      <c r="I727" s="631"/>
      <c r="J727" s="631"/>
      <c r="K727" s="631"/>
      <c r="L727" s="530"/>
      <c r="M727" s="530"/>
      <c r="N727" s="530"/>
      <c r="O727" s="530"/>
      <c r="P727" s="758"/>
      <c r="Q727" s="534"/>
      <c r="R727" s="534"/>
      <c r="S727" s="534"/>
      <c r="T727" s="534"/>
      <c r="U727" s="534"/>
      <c r="V727" s="534"/>
      <c r="W727" s="534"/>
    </row>
    <row r="728">
      <c r="A728" s="755"/>
      <c r="B728" s="534"/>
      <c r="C728" s="534"/>
      <c r="D728" s="534"/>
      <c r="E728" s="534"/>
      <c r="F728" s="802"/>
      <c r="G728" s="530"/>
      <c r="H728" s="804"/>
      <c r="I728" s="631"/>
      <c r="J728" s="631"/>
      <c r="K728" s="631"/>
      <c r="L728" s="530"/>
      <c r="M728" s="530"/>
      <c r="N728" s="530"/>
      <c r="O728" s="530"/>
      <c r="P728" s="758"/>
      <c r="Q728" s="534"/>
      <c r="R728" s="534"/>
      <c r="S728" s="534"/>
      <c r="T728" s="534"/>
      <c r="U728" s="534"/>
      <c r="V728" s="534"/>
      <c r="W728" s="534"/>
    </row>
    <row r="729">
      <c r="A729" s="755"/>
      <c r="B729" s="534"/>
      <c r="C729" s="534"/>
      <c r="D729" s="534"/>
      <c r="E729" s="534"/>
      <c r="F729" s="802"/>
      <c r="G729" s="530"/>
      <c r="H729" s="804"/>
      <c r="I729" s="631"/>
      <c r="J729" s="631"/>
      <c r="K729" s="631"/>
      <c r="L729" s="530"/>
      <c r="M729" s="530"/>
      <c r="N729" s="530"/>
      <c r="O729" s="530"/>
      <c r="P729" s="758"/>
      <c r="Q729" s="534"/>
      <c r="R729" s="534"/>
      <c r="S729" s="534"/>
      <c r="T729" s="534"/>
      <c r="U729" s="534"/>
      <c r="V729" s="534"/>
      <c r="W729" s="534"/>
    </row>
    <row r="730">
      <c r="A730" s="755"/>
      <c r="B730" s="534"/>
      <c r="C730" s="534"/>
      <c r="D730" s="534"/>
      <c r="E730" s="534"/>
      <c r="F730" s="802"/>
      <c r="G730" s="530"/>
      <c r="H730" s="804"/>
      <c r="I730" s="631"/>
      <c r="J730" s="631"/>
      <c r="K730" s="631"/>
      <c r="L730" s="530"/>
      <c r="M730" s="530"/>
      <c r="N730" s="530"/>
      <c r="O730" s="530"/>
      <c r="P730" s="758"/>
      <c r="Q730" s="534"/>
      <c r="R730" s="534"/>
      <c r="S730" s="534"/>
      <c r="T730" s="534"/>
      <c r="U730" s="534"/>
      <c r="V730" s="534"/>
      <c r="W730" s="534"/>
    </row>
    <row r="731">
      <c r="A731" s="755"/>
      <c r="B731" s="534"/>
      <c r="C731" s="534"/>
      <c r="D731" s="534"/>
      <c r="E731" s="534"/>
      <c r="F731" s="802"/>
      <c r="G731" s="530"/>
      <c r="H731" s="804"/>
      <c r="I731" s="631"/>
      <c r="J731" s="631"/>
      <c r="K731" s="631"/>
      <c r="L731" s="530"/>
      <c r="M731" s="530"/>
      <c r="N731" s="530"/>
      <c r="O731" s="530"/>
      <c r="P731" s="758"/>
      <c r="Q731" s="534"/>
      <c r="R731" s="534"/>
      <c r="S731" s="534"/>
      <c r="T731" s="534"/>
      <c r="U731" s="534"/>
      <c r="V731" s="534"/>
      <c r="W731" s="534"/>
    </row>
    <row r="732">
      <c r="A732" s="755"/>
      <c r="B732" s="534"/>
      <c r="C732" s="534"/>
      <c r="D732" s="534"/>
      <c r="E732" s="534"/>
      <c r="F732" s="802"/>
      <c r="G732" s="530"/>
      <c r="H732" s="804"/>
      <c r="I732" s="631"/>
      <c r="J732" s="631"/>
      <c r="K732" s="631"/>
      <c r="L732" s="530"/>
      <c r="M732" s="530"/>
      <c r="N732" s="530"/>
      <c r="O732" s="530"/>
      <c r="P732" s="758"/>
      <c r="Q732" s="534"/>
      <c r="R732" s="534"/>
      <c r="S732" s="534"/>
      <c r="T732" s="534"/>
      <c r="U732" s="534"/>
      <c r="V732" s="534"/>
      <c r="W732" s="534"/>
    </row>
    <row r="733">
      <c r="A733" s="755"/>
      <c r="B733" s="534"/>
      <c r="C733" s="534"/>
      <c r="D733" s="534"/>
      <c r="E733" s="534"/>
      <c r="F733" s="802"/>
      <c r="G733" s="530"/>
      <c r="H733" s="804"/>
      <c r="I733" s="631"/>
      <c r="J733" s="631"/>
      <c r="K733" s="631"/>
      <c r="L733" s="530"/>
      <c r="M733" s="530"/>
      <c r="N733" s="530"/>
      <c r="O733" s="530"/>
      <c r="P733" s="758"/>
      <c r="Q733" s="534"/>
      <c r="R733" s="534"/>
      <c r="S733" s="534"/>
      <c r="T733" s="534"/>
      <c r="U733" s="534"/>
      <c r="V733" s="534"/>
      <c r="W733" s="534"/>
    </row>
    <row r="734">
      <c r="A734" s="755"/>
      <c r="B734" s="534"/>
      <c r="C734" s="534"/>
      <c r="D734" s="534"/>
      <c r="E734" s="534"/>
      <c r="F734" s="802"/>
      <c r="G734" s="530"/>
      <c r="H734" s="804"/>
      <c r="I734" s="631"/>
      <c r="J734" s="631"/>
      <c r="K734" s="631"/>
      <c r="L734" s="530"/>
      <c r="M734" s="530"/>
      <c r="N734" s="530"/>
      <c r="O734" s="530"/>
      <c r="P734" s="758"/>
      <c r="Q734" s="534"/>
      <c r="R734" s="534"/>
      <c r="S734" s="534"/>
      <c r="T734" s="534"/>
      <c r="U734" s="534"/>
      <c r="V734" s="534"/>
      <c r="W734" s="534"/>
    </row>
    <row r="735">
      <c r="A735" s="755"/>
      <c r="B735" s="534"/>
      <c r="C735" s="534"/>
      <c r="D735" s="534"/>
      <c r="E735" s="534"/>
      <c r="F735" s="802"/>
      <c r="G735" s="530"/>
      <c r="H735" s="804"/>
      <c r="I735" s="631"/>
      <c r="J735" s="631"/>
      <c r="K735" s="631"/>
      <c r="L735" s="530"/>
      <c r="M735" s="530"/>
      <c r="N735" s="530"/>
      <c r="O735" s="530"/>
      <c r="P735" s="758"/>
      <c r="Q735" s="534"/>
      <c r="R735" s="534"/>
      <c r="S735" s="534"/>
      <c r="T735" s="534"/>
      <c r="U735" s="534"/>
      <c r="V735" s="534"/>
      <c r="W735" s="534"/>
    </row>
    <row r="736">
      <c r="A736" s="755"/>
      <c r="B736" s="534"/>
      <c r="C736" s="534"/>
      <c r="D736" s="534"/>
      <c r="E736" s="534"/>
      <c r="F736" s="802"/>
      <c r="G736" s="530"/>
      <c r="H736" s="804"/>
      <c r="I736" s="631"/>
      <c r="J736" s="631"/>
      <c r="K736" s="631"/>
      <c r="L736" s="530"/>
      <c r="M736" s="530"/>
      <c r="N736" s="530"/>
      <c r="O736" s="530"/>
      <c r="P736" s="758"/>
      <c r="Q736" s="534"/>
      <c r="R736" s="534"/>
      <c r="S736" s="534"/>
      <c r="T736" s="534"/>
      <c r="U736" s="534"/>
      <c r="V736" s="534"/>
      <c r="W736" s="534"/>
    </row>
    <row r="737">
      <c r="A737" s="755"/>
      <c r="B737" s="534"/>
      <c r="C737" s="534"/>
      <c r="D737" s="534"/>
      <c r="E737" s="534"/>
      <c r="F737" s="802"/>
      <c r="G737" s="530"/>
      <c r="H737" s="804"/>
      <c r="I737" s="631"/>
      <c r="J737" s="631"/>
      <c r="K737" s="631"/>
      <c r="L737" s="530"/>
      <c r="M737" s="530"/>
      <c r="N737" s="530"/>
      <c r="O737" s="530"/>
      <c r="P737" s="758"/>
      <c r="Q737" s="534"/>
      <c r="R737" s="534"/>
      <c r="S737" s="534"/>
      <c r="T737" s="534"/>
      <c r="U737" s="534"/>
      <c r="V737" s="534"/>
      <c r="W737" s="534"/>
    </row>
    <row r="738">
      <c r="A738" s="755"/>
      <c r="B738" s="534"/>
      <c r="C738" s="534"/>
      <c r="D738" s="534"/>
      <c r="E738" s="534"/>
      <c r="F738" s="802"/>
      <c r="G738" s="530"/>
      <c r="H738" s="804"/>
      <c r="I738" s="631"/>
      <c r="J738" s="631"/>
      <c r="K738" s="631"/>
      <c r="L738" s="530"/>
      <c r="M738" s="530"/>
      <c r="N738" s="530"/>
      <c r="O738" s="530"/>
      <c r="P738" s="758"/>
      <c r="Q738" s="534"/>
      <c r="R738" s="534"/>
      <c r="S738" s="534"/>
      <c r="T738" s="534"/>
      <c r="U738" s="534"/>
      <c r="V738" s="534"/>
      <c r="W738" s="534"/>
    </row>
    <row r="739">
      <c r="A739" s="755"/>
      <c r="B739" s="534"/>
      <c r="C739" s="534"/>
      <c r="D739" s="534"/>
      <c r="E739" s="534"/>
      <c r="F739" s="802"/>
      <c r="G739" s="530"/>
      <c r="H739" s="804"/>
      <c r="I739" s="631"/>
      <c r="J739" s="631"/>
      <c r="K739" s="631"/>
      <c r="L739" s="530"/>
      <c r="M739" s="530"/>
      <c r="N739" s="530"/>
      <c r="O739" s="530"/>
      <c r="P739" s="758"/>
      <c r="Q739" s="534"/>
      <c r="R739" s="534"/>
      <c r="S739" s="534"/>
      <c r="T739" s="534"/>
      <c r="U739" s="534"/>
      <c r="V739" s="534"/>
      <c r="W739" s="534"/>
    </row>
    <row r="740">
      <c r="A740" s="755"/>
      <c r="B740" s="534"/>
      <c r="C740" s="534"/>
      <c r="D740" s="534"/>
      <c r="E740" s="534"/>
      <c r="F740" s="802"/>
      <c r="G740" s="530"/>
      <c r="H740" s="804"/>
      <c r="I740" s="631"/>
      <c r="J740" s="631"/>
      <c r="K740" s="631"/>
      <c r="L740" s="530"/>
      <c r="M740" s="530"/>
      <c r="N740" s="530"/>
      <c r="O740" s="530"/>
      <c r="P740" s="758"/>
      <c r="Q740" s="534"/>
      <c r="R740" s="534"/>
      <c r="S740" s="534"/>
      <c r="T740" s="534"/>
      <c r="U740" s="534"/>
      <c r="V740" s="534"/>
      <c r="W740" s="534"/>
    </row>
    <row r="741">
      <c r="A741" s="755"/>
      <c r="B741" s="534"/>
      <c r="C741" s="534"/>
      <c r="D741" s="534"/>
      <c r="E741" s="534"/>
      <c r="F741" s="802"/>
      <c r="G741" s="530"/>
      <c r="H741" s="804"/>
      <c r="I741" s="631"/>
      <c r="J741" s="631"/>
      <c r="K741" s="631"/>
      <c r="L741" s="530"/>
      <c r="M741" s="530"/>
      <c r="N741" s="530"/>
      <c r="O741" s="530"/>
      <c r="P741" s="758"/>
      <c r="Q741" s="534"/>
      <c r="R741" s="534"/>
      <c r="S741" s="534"/>
      <c r="T741" s="534"/>
      <c r="U741" s="534"/>
      <c r="V741" s="534"/>
      <c r="W741" s="534"/>
    </row>
    <row r="742">
      <c r="A742" s="755"/>
      <c r="B742" s="534"/>
      <c r="C742" s="534"/>
      <c r="D742" s="534"/>
      <c r="E742" s="534"/>
      <c r="F742" s="802"/>
      <c r="G742" s="530"/>
      <c r="H742" s="804"/>
      <c r="I742" s="631"/>
      <c r="J742" s="631"/>
      <c r="K742" s="631"/>
      <c r="L742" s="530"/>
      <c r="M742" s="530"/>
      <c r="N742" s="530"/>
      <c r="O742" s="530"/>
      <c r="P742" s="758"/>
      <c r="Q742" s="534"/>
      <c r="R742" s="534"/>
      <c r="S742" s="534"/>
      <c r="T742" s="534"/>
      <c r="U742" s="534"/>
      <c r="V742" s="534"/>
      <c r="W742" s="534"/>
    </row>
    <row r="743">
      <c r="A743" s="755"/>
      <c r="B743" s="534"/>
      <c r="C743" s="534"/>
      <c r="D743" s="534"/>
      <c r="E743" s="534"/>
      <c r="F743" s="802"/>
      <c r="G743" s="530"/>
      <c r="H743" s="804"/>
      <c r="I743" s="631"/>
      <c r="J743" s="631"/>
      <c r="K743" s="631"/>
      <c r="L743" s="530"/>
      <c r="M743" s="530"/>
      <c r="N743" s="530"/>
      <c r="O743" s="530"/>
      <c r="P743" s="758"/>
      <c r="Q743" s="534"/>
      <c r="R743" s="534"/>
      <c r="S743" s="534"/>
      <c r="T743" s="534"/>
      <c r="U743" s="534"/>
      <c r="V743" s="534"/>
      <c r="W743" s="534"/>
    </row>
    <row r="744">
      <c r="A744" s="755"/>
      <c r="B744" s="534"/>
      <c r="C744" s="534"/>
      <c r="D744" s="534"/>
      <c r="E744" s="534"/>
      <c r="F744" s="802"/>
      <c r="G744" s="530"/>
      <c r="H744" s="804"/>
      <c r="I744" s="631"/>
      <c r="J744" s="631"/>
      <c r="K744" s="631"/>
      <c r="L744" s="530"/>
      <c r="M744" s="530"/>
      <c r="N744" s="530"/>
      <c r="O744" s="530"/>
      <c r="P744" s="758"/>
      <c r="Q744" s="534"/>
      <c r="R744" s="534"/>
      <c r="S744" s="534"/>
      <c r="T744" s="534"/>
      <c r="U744" s="534"/>
      <c r="V744" s="534"/>
      <c r="W744" s="534"/>
    </row>
    <row r="745">
      <c r="A745" s="755"/>
      <c r="B745" s="534"/>
      <c r="C745" s="534"/>
      <c r="D745" s="534"/>
      <c r="E745" s="534"/>
      <c r="F745" s="802"/>
      <c r="G745" s="530"/>
      <c r="H745" s="804"/>
      <c r="I745" s="631"/>
      <c r="J745" s="631"/>
      <c r="K745" s="631"/>
      <c r="L745" s="530"/>
      <c r="M745" s="530"/>
      <c r="N745" s="530"/>
      <c r="O745" s="530"/>
      <c r="P745" s="758"/>
      <c r="Q745" s="534"/>
      <c r="R745" s="534"/>
      <c r="S745" s="534"/>
      <c r="T745" s="534"/>
      <c r="U745" s="534"/>
      <c r="V745" s="534"/>
      <c r="W745" s="534"/>
    </row>
    <row r="746">
      <c r="A746" s="755"/>
      <c r="B746" s="534"/>
      <c r="C746" s="534"/>
      <c r="D746" s="534"/>
      <c r="E746" s="534"/>
      <c r="F746" s="802"/>
      <c r="G746" s="530"/>
      <c r="H746" s="804"/>
      <c r="I746" s="631"/>
      <c r="J746" s="631"/>
      <c r="K746" s="631"/>
      <c r="L746" s="530"/>
      <c r="M746" s="530"/>
      <c r="N746" s="530"/>
      <c r="O746" s="530"/>
      <c r="P746" s="758"/>
      <c r="Q746" s="534"/>
      <c r="R746" s="534"/>
      <c r="S746" s="534"/>
      <c r="T746" s="534"/>
      <c r="U746" s="534"/>
      <c r="V746" s="534"/>
      <c r="W746" s="534"/>
    </row>
    <row r="747">
      <c r="A747" s="755"/>
      <c r="B747" s="534"/>
      <c r="C747" s="534"/>
      <c r="D747" s="534"/>
      <c r="E747" s="534"/>
      <c r="F747" s="802"/>
      <c r="G747" s="530"/>
      <c r="H747" s="804"/>
      <c r="I747" s="631"/>
      <c r="J747" s="631"/>
      <c r="K747" s="631"/>
      <c r="L747" s="530"/>
      <c r="M747" s="530"/>
      <c r="N747" s="530"/>
      <c r="O747" s="530"/>
      <c r="P747" s="758"/>
      <c r="Q747" s="534"/>
      <c r="R747" s="534"/>
      <c r="S747" s="534"/>
      <c r="T747" s="534"/>
      <c r="U747" s="534"/>
      <c r="V747" s="534"/>
      <c r="W747" s="534"/>
    </row>
    <row r="748">
      <c r="A748" s="755"/>
      <c r="B748" s="534"/>
      <c r="C748" s="534"/>
      <c r="D748" s="534"/>
      <c r="E748" s="534"/>
      <c r="F748" s="802"/>
      <c r="G748" s="530"/>
      <c r="H748" s="804"/>
      <c r="I748" s="631"/>
      <c r="J748" s="631"/>
      <c r="K748" s="631"/>
      <c r="L748" s="530"/>
      <c r="M748" s="530"/>
      <c r="N748" s="530"/>
      <c r="O748" s="530"/>
      <c r="P748" s="758"/>
      <c r="Q748" s="534"/>
      <c r="R748" s="534"/>
      <c r="S748" s="534"/>
      <c r="T748" s="534"/>
      <c r="U748" s="534"/>
      <c r="V748" s="534"/>
      <c r="W748" s="534"/>
    </row>
    <row r="749">
      <c r="A749" s="755"/>
      <c r="B749" s="534"/>
      <c r="C749" s="534"/>
      <c r="D749" s="534"/>
      <c r="E749" s="534"/>
      <c r="F749" s="802"/>
      <c r="G749" s="530"/>
      <c r="H749" s="804"/>
      <c r="I749" s="631"/>
      <c r="J749" s="631"/>
      <c r="K749" s="631"/>
      <c r="L749" s="530"/>
      <c r="M749" s="530"/>
      <c r="N749" s="530"/>
      <c r="O749" s="530"/>
      <c r="P749" s="758"/>
      <c r="Q749" s="534"/>
      <c r="R749" s="534"/>
      <c r="S749" s="534"/>
      <c r="T749" s="534"/>
      <c r="U749" s="534"/>
      <c r="V749" s="534"/>
      <c r="W749" s="534"/>
    </row>
    <row r="750">
      <c r="A750" s="755"/>
      <c r="B750" s="534"/>
      <c r="C750" s="534"/>
      <c r="D750" s="534"/>
      <c r="E750" s="534"/>
      <c r="F750" s="802"/>
      <c r="G750" s="530"/>
      <c r="H750" s="804"/>
      <c r="I750" s="631"/>
      <c r="J750" s="631"/>
      <c r="K750" s="631"/>
      <c r="L750" s="530"/>
      <c r="M750" s="530"/>
      <c r="N750" s="530"/>
      <c r="O750" s="530"/>
      <c r="P750" s="758"/>
      <c r="Q750" s="534"/>
      <c r="R750" s="534"/>
      <c r="S750" s="534"/>
      <c r="T750" s="534"/>
      <c r="U750" s="534"/>
      <c r="V750" s="534"/>
      <c r="W750" s="534"/>
    </row>
    <row r="751">
      <c r="A751" s="755"/>
      <c r="B751" s="534"/>
      <c r="C751" s="534"/>
      <c r="D751" s="534"/>
      <c r="E751" s="534"/>
      <c r="F751" s="802"/>
      <c r="G751" s="530"/>
      <c r="H751" s="804"/>
      <c r="I751" s="631"/>
      <c r="J751" s="631"/>
      <c r="K751" s="631"/>
      <c r="L751" s="530"/>
      <c r="M751" s="530"/>
      <c r="N751" s="530"/>
      <c r="O751" s="530"/>
      <c r="P751" s="758"/>
      <c r="Q751" s="534"/>
      <c r="R751" s="534"/>
      <c r="S751" s="534"/>
      <c r="T751" s="534"/>
      <c r="U751" s="534"/>
      <c r="V751" s="534"/>
      <c r="W751" s="534"/>
    </row>
    <row r="752">
      <c r="A752" s="755"/>
      <c r="B752" s="534"/>
      <c r="C752" s="534"/>
      <c r="D752" s="534"/>
      <c r="E752" s="534"/>
      <c r="F752" s="802"/>
      <c r="G752" s="530"/>
      <c r="H752" s="804"/>
      <c r="I752" s="631"/>
      <c r="J752" s="631"/>
      <c r="K752" s="631"/>
      <c r="L752" s="530"/>
      <c r="M752" s="530"/>
      <c r="N752" s="530"/>
      <c r="O752" s="530"/>
      <c r="P752" s="758"/>
      <c r="Q752" s="534"/>
      <c r="R752" s="534"/>
      <c r="S752" s="534"/>
      <c r="T752" s="534"/>
      <c r="U752" s="534"/>
      <c r="V752" s="534"/>
      <c r="W752" s="534"/>
    </row>
    <row r="753">
      <c r="A753" s="755"/>
      <c r="B753" s="534"/>
      <c r="C753" s="534"/>
      <c r="D753" s="534"/>
      <c r="E753" s="534"/>
      <c r="F753" s="802"/>
      <c r="G753" s="530"/>
      <c r="H753" s="804"/>
      <c r="I753" s="631"/>
      <c r="J753" s="631"/>
      <c r="K753" s="631"/>
      <c r="L753" s="530"/>
      <c r="M753" s="530"/>
      <c r="N753" s="530"/>
      <c r="O753" s="530"/>
      <c r="P753" s="758"/>
      <c r="Q753" s="534"/>
      <c r="R753" s="534"/>
      <c r="S753" s="534"/>
      <c r="T753" s="534"/>
      <c r="U753" s="534"/>
      <c r="V753" s="534"/>
      <c r="W753" s="534"/>
    </row>
    <row r="754">
      <c r="A754" s="755"/>
      <c r="B754" s="534"/>
      <c r="C754" s="534"/>
      <c r="D754" s="534"/>
      <c r="E754" s="534"/>
      <c r="F754" s="802"/>
      <c r="G754" s="530"/>
      <c r="H754" s="804"/>
      <c r="I754" s="631"/>
      <c r="J754" s="631"/>
      <c r="K754" s="631"/>
      <c r="L754" s="530"/>
      <c r="M754" s="530"/>
      <c r="N754" s="530"/>
      <c r="O754" s="530"/>
      <c r="P754" s="758"/>
      <c r="Q754" s="534"/>
      <c r="R754" s="534"/>
      <c r="S754" s="534"/>
      <c r="T754" s="534"/>
      <c r="U754" s="534"/>
      <c r="V754" s="534"/>
      <c r="W754" s="534"/>
    </row>
    <row r="755">
      <c r="A755" s="755"/>
      <c r="B755" s="534"/>
      <c r="C755" s="534"/>
      <c r="D755" s="534"/>
      <c r="E755" s="534"/>
      <c r="F755" s="802"/>
      <c r="G755" s="530"/>
      <c r="H755" s="804"/>
      <c r="I755" s="631"/>
      <c r="J755" s="631"/>
      <c r="K755" s="631"/>
      <c r="L755" s="530"/>
      <c r="M755" s="530"/>
      <c r="N755" s="530"/>
      <c r="O755" s="530"/>
      <c r="P755" s="758"/>
      <c r="Q755" s="534"/>
      <c r="R755" s="534"/>
      <c r="S755" s="534"/>
      <c r="T755" s="534"/>
      <c r="U755" s="534"/>
      <c r="V755" s="534"/>
      <c r="W755" s="534"/>
    </row>
    <row r="756">
      <c r="A756" s="755"/>
      <c r="B756" s="534"/>
      <c r="C756" s="534"/>
      <c r="D756" s="534"/>
      <c r="E756" s="534"/>
      <c r="F756" s="802"/>
      <c r="G756" s="530"/>
      <c r="H756" s="804"/>
      <c r="I756" s="631"/>
      <c r="J756" s="631"/>
      <c r="K756" s="631"/>
      <c r="L756" s="530"/>
      <c r="M756" s="530"/>
      <c r="N756" s="530"/>
      <c r="O756" s="530"/>
      <c r="P756" s="758"/>
      <c r="Q756" s="534"/>
      <c r="R756" s="534"/>
      <c r="S756" s="534"/>
      <c r="T756" s="534"/>
      <c r="U756" s="534"/>
      <c r="V756" s="534"/>
      <c r="W756" s="534"/>
    </row>
    <row r="757">
      <c r="A757" s="755"/>
      <c r="B757" s="534"/>
      <c r="C757" s="534"/>
      <c r="D757" s="534"/>
      <c r="E757" s="534"/>
      <c r="F757" s="802"/>
      <c r="G757" s="530"/>
      <c r="H757" s="804"/>
      <c r="I757" s="631"/>
      <c r="J757" s="631"/>
      <c r="K757" s="631"/>
      <c r="L757" s="530"/>
      <c r="M757" s="530"/>
      <c r="N757" s="530"/>
      <c r="O757" s="530"/>
      <c r="P757" s="758"/>
      <c r="Q757" s="534"/>
      <c r="R757" s="534"/>
      <c r="S757" s="534"/>
      <c r="T757" s="534"/>
      <c r="U757" s="534"/>
      <c r="V757" s="534"/>
      <c r="W757" s="534"/>
    </row>
    <row r="758">
      <c r="A758" s="755"/>
      <c r="B758" s="534"/>
      <c r="C758" s="534"/>
      <c r="D758" s="534"/>
      <c r="E758" s="534"/>
      <c r="F758" s="802"/>
      <c r="G758" s="530"/>
      <c r="H758" s="804"/>
      <c r="I758" s="631"/>
      <c r="J758" s="631"/>
      <c r="K758" s="631"/>
      <c r="L758" s="530"/>
      <c r="M758" s="530"/>
      <c r="N758" s="530"/>
      <c r="O758" s="530"/>
      <c r="P758" s="758"/>
      <c r="Q758" s="534"/>
      <c r="R758" s="534"/>
      <c r="S758" s="534"/>
      <c r="T758" s="534"/>
      <c r="U758" s="534"/>
      <c r="V758" s="534"/>
      <c r="W758" s="534"/>
    </row>
    <row r="759">
      <c r="A759" s="755"/>
      <c r="B759" s="534"/>
      <c r="C759" s="534"/>
      <c r="D759" s="534"/>
      <c r="E759" s="534"/>
      <c r="F759" s="802"/>
      <c r="G759" s="530"/>
      <c r="H759" s="804"/>
      <c r="I759" s="631"/>
      <c r="J759" s="631"/>
      <c r="K759" s="631"/>
      <c r="L759" s="530"/>
      <c r="M759" s="530"/>
      <c r="N759" s="530"/>
      <c r="O759" s="530"/>
      <c r="P759" s="758"/>
      <c r="Q759" s="534"/>
      <c r="R759" s="534"/>
      <c r="S759" s="534"/>
      <c r="T759" s="534"/>
      <c r="U759" s="534"/>
      <c r="V759" s="534"/>
      <c r="W759" s="534"/>
    </row>
    <row r="760">
      <c r="A760" s="755"/>
      <c r="B760" s="534"/>
      <c r="C760" s="534"/>
      <c r="D760" s="534"/>
      <c r="E760" s="534"/>
      <c r="F760" s="802"/>
      <c r="G760" s="530"/>
      <c r="H760" s="804"/>
      <c r="I760" s="631"/>
      <c r="J760" s="631"/>
      <c r="K760" s="631"/>
      <c r="L760" s="530"/>
      <c r="M760" s="530"/>
      <c r="N760" s="530"/>
      <c r="O760" s="530"/>
      <c r="P760" s="758"/>
      <c r="Q760" s="534"/>
      <c r="R760" s="534"/>
      <c r="S760" s="534"/>
      <c r="T760" s="534"/>
      <c r="U760" s="534"/>
      <c r="V760" s="534"/>
      <c r="W760" s="534"/>
    </row>
    <row r="761">
      <c r="A761" s="755"/>
      <c r="B761" s="534"/>
      <c r="C761" s="534"/>
      <c r="D761" s="534"/>
      <c r="E761" s="534"/>
      <c r="F761" s="802"/>
      <c r="G761" s="530"/>
      <c r="H761" s="804"/>
      <c r="I761" s="631"/>
      <c r="J761" s="631"/>
      <c r="K761" s="631"/>
      <c r="L761" s="530"/>
      <c r="M761" s="530"/>
      <c r="N761" s="530"/>
      <c r="O761" s="530"/>
      <c r="P761" s="758"/>
      <c r="Q761" s="534"/>
      <c r="R761" s="534"/>
      <c r="S761" s="534"/>
      <c r="T761" s="534"/>
      <c r="U761" s="534"/>
      <c r="V761" s="534"/>
      <c r="W761" s="534"/>
    </row>
    <row r="762">
      <c r="A762" s="755"/>
      <c r="B762" s="534"/>
      <c r="C762" s="534"/>
      <c r="D762" s="534"/>
      <c r="E762" s="534"/>
      <c r="F762" s="802"/>
      <c r="G762" s="530"/>
      <c r="H762" s="804"/>
      <c r="I762" s="631"/>
      <c r="J762" s="631"/>
      <c r="K762" s="631"/>
      <c r="L762" s="530"/>
      <c r="M762" s="530"/>
      <c r="N762" s="530"/>
      <c r="O762" s="530"/>
      <c r="P762" s="758"/>
      <c r="Q762" s="534"/>
      <c r="R762" s="534"/>
      <c r="S762" s="534"/>
      <c r="T762" s="534"/>
      <c r="U762" s="534"/>
      <c r="V762" s="534"/>
      <c r="W762" s="534"/>
    </row>
    <row r="763">
      <c r="A763" s="755"/>
      <c r="B763" s="534"/>
      <c r="C763" s="534"/>
      <c r="D763" s="534"/>
      <c r="E763" s="534"/>
      <c r="F763" s="802"/>
      <c r="G763" s="530"/>
      <c r="H763" s="804"/>
      <c r="I763" s="631"/>
      <c r="J763" s="631"/>
      <c r="K763" s="631"/>
      <c r="L763" s="530"/>
      <c r="M763" s="530"/>
      <c r="N763" s="530"/>
      <c r="O763" s="530"/>
      <c r="P763" s="758"/>
      <c r="Q763" s="534"/>
      <c r="R763" s="534"/>
      <c r="S763" s="534"/>
      <c r="T763" s="534"/>
      <c r="U763" s="534"/>
      <c r="V763" s="534"/>
      <c r="W763" s="534"/>
    </row>
    <row r="764">
      <c r="A764" s="755"/>
      <c r="B764" s="534"/>
      <c r="C764" s="534"/>
      <c r="D764" s="534"/>
      <c r="E764" s="534"/>
      <c r="F764" s="802"/>
      <c r="G764" s="530"/>
      <c r="H764" s="804"/>
      <c r="I764" s="631"/>
      <c r="J764" s="631"/>
      <c r="K764" s="631"/>
      <c r="L764" s="530"/>
      <c r="M764" s="530"/>
      <c r="N764" s="530"/>
      <c r="O764" s="530"/>
      <c r="P764" s="758"/>
      <c r="Q764" s="534"/>
      <c r="R764" s="534"/>
      <c r="S764" s="534"/>
      <c r="T764" s="534"/>
      <c r="U764" s="534"/>
      <c r="V764" s="534"/>
      <c r="W764" s="534"/>
    </row>
    <row r="765">
      <c r="A765" s="755"/>
      <c r="B765" s="534"/>
      <c r="C765" s="534"/>
      <c r="D765" s="534"/>
      <c r="E765" s="534"/>
      <c r="F765" s="802"/>
      <c r="G765" s="530"/>
      <c r="H765" s="804"/>
      <c r="I765" s="631"/>
      <c r="J765" s="631"/>
      <c r="K765" s="631"/>
      <c r="L765" s="530"/>
      <c r="M765" s="530"/>
      <c r="N765" s="530"/>
      <c r="O765" s="530"/>
      <c r="P765" s="758"/>
      <c r="Q765" s="534"/>
      <c r="R765" s="534"/>
      <c r="S765" s="534"/>
      <c r="T765" s="534"/>
      <c r="U765" s="534"/>
      <c r="V765" s="534"/>
      <c r="W765" s="534"/>
    </row>
    <row r="766">
      <c r="A766" s="755"/>
      <c r="B766" s="534"/>
      <c r="C766" s="534"/>
      <c r="D766" s="534"/>
      <c r="E766" s="534"/>
      <c r="F766" s="802"/>
      <c r="G766" s="530"/>
      <c r="H766" s="804"/>
      <c r="I766" s="631"/>
      <c r="J766" s="631"/>
      <c r="K766" s="631"/>
      <c r="L766" s="530"/>
      <c r="M766" s="530"/>
      <c r="N766" s="530"/>
      <c r="O766" s="530"/>
      <c r="P766" s="758"/>
      <c r="Q766" s="534"/>
      <c r="R766" s="534"/>
      <c r="S766" s="534"/>
      <c r="T766" s="534"/>
      <c r="U766" s="534"/>
      <c r="V766" s="534"/>
      <c r="W766" s="534"/>
    </row>
    <row r="767">
      <c r="A767" s="755"/>
      <c r="B767" s="534"/>
      <c r="C767" s="534"/>
      <c r="D767" s="534"/>
      <c r="E767" s="534"/>
      <c r="F767" s="802"/>
      <c r="G767" s="530"/>
      <c r="H767" s="804"/>
      <c r="I767" s="631"/>
      <c r="J767" s="631"/>
      <c r="K767" s="631"/>
      <c r="L767" s="530"/>
      <c r="M767" s="530"/>
      <c r="N767" s="530"/>
      <c r="O767" s="530"/>
      <c r="P767" s="758"/>
      <c r="Q767" s="534"/>
      <c r="R767" s="534"/>
      <c r="S767" s="534"/>
      <c r="T767" s="534"/>
      <c r="U767" s="534"/>
      <c r="V767" s="534"/>
      <c r="W767" s="534"/>
    </row>
    <row r="768">
      <c r="A768" s="755"/>
      <c r="B768" s="534"/>
      <c r="C768" s="534"/>
      <c r="D768" s="534"/>
      <c r="E768" s="534"/>
      <c r="F768" s="802"/>
      <c r="G768" s="530"/>
      <c r="H768" s="804"/>
      <c r="I768" s="631"/>
      <c r="J768" s="631"/>
      <c r="K768" s="631"/>
      <c r="L768" s="530"/>
      <c r="M768" s="530"/>
      <c r="N768" s="530"/>
      <c r="O768" s="530"/>
      <c r="P768" s="758"/>
      <c r="Q768" s="534"/>
      <c r="R768" s="534"/>
      <c r="S768" s="534"/>
      <c r="T768" s="534"/>
      <c r="U768" s="534"/>
      <c r="V768" s="534"/>
      <c r="W768" s="534"/>
    </row>
    <row r="769">
      <c r="A769" s="755"/>
      <c r="B769" s="534"/>
      <c r="C769" s="534"/>
      <c r="D769" s="534"/>
      <c r="E769" s="534"/>
      <c r="F769" s="802"/>
      <c r="G769" s="530"/>
      <c r="H769" s="804"/>
      <c r="I769" s="631"/>
      <c r="J769" s="631"/>
      <c r="K769" s="631"/>
      <c r="L769" s="530"/>
      <c r="M769" s="530"/>
      <c r="N769" s="530"/>
      <c r="O769" s="530"/>
      <c r="P769" s="758"/>
      <c r="Q769" s="534"/>
      <c r="R769" s="534"/>
      <c r="S769" s="534"/>
      <c r="T769" s="534"/>
      <c r="U769" s="534"/>
      <c r="V769" s="534"/>
      <c r="W769" s="534"/>
    </row>
    <row r="770">
      <c r="A770" s="755"/>
      <c r="B770" s="534"/>
      <c r="C770" s="534"/>
      <c r="D770" s="534"/>
      <c r="E770" s="534"/>
      <c r="F770" s="802"/>
      <c r="G770" s="530"/>
      <c r="H770" s="804"/>
      <c r="I770" s="631"/>
      <c r="J770" s="631"/>
      <c r="K770" s="631"/>
      <c r="L770" s="530"/>
      <c r="M770" s="530"/>
      <c r="N770" s="530"/>
      <c r="O770" s="530"/>
      <c r="P770" s="758"/>
      <c r="Q770" s="534"/>
      <c r="R770" s="534"/>
      <c r="S770" s="534"/>
      <c r="T770" s="534"/>
      <c r="U770" s="534"/>
      <c r="V770" s="534"/>
      <c r="W770" s="534"/>
    </row>
    <row r="771">
      <c r="A771" s="755"/>
      <c r="B771" s="534"/>
      <c r="C771" s="534"/>
      <c r="D771" s="534"/>
      <c r="E771" s="534"/>
      <c r="F771" s="802"/>
      <c r="G771" s="530"/>
      <c r="H771" s="804"/>
      <c r="I771" s="631"/>
      <c r="J771" s="631"/>
      <c r="K771" s="631"/>
      <c r="L771" s="530"/>
      <c r="M771" s="530"/>
      <c r="N771" s="530"/>
      <c r="O771" s="530"/>
      <c r="P771" s="758"/>
      <c r="Q771" s="534"/>
      <c r="R771" s="534"/>
      <c r="S771" s="534"/>
      <c r="T771" s="534"/>
      <c r="U771" s="534"/>
      <c r="V771" s="534"/>
      <c r="W771" s="534"/>
    </row>
    <row r="772">
      <c r="A772" s="755"/>
      <c r="B772" s="534"/>
      <c r="C772" s="534"/>
      <c r="D772" s="534"/>
      <c r="E772" s="534"/>
      <c r="F772" s="802"/>
      <c r="G772" s="530"/>
      <c r="H772" s="804"/>
      <c r="I772" s="631"/>
      <c r="J772" s="631"/>
      <c r="K772" s="631"/>
      <c r="L772" s="530"/>
      <c r="M772" s="530"/>
      <c r="N772" s="530"/>
      <c r="O772" s="530"/>
      <c r="P772" s="758"/>
      <c r="Q772" s="534"/>
      <c r="R772" s="534"/>
      <c r="S772" s="534"/>
      <c r="T772" s="534"/>
      <c r="U772" s="534"/>
      <c r="V772" s="534"/>
      <c r="W772" s="534"/>
    </row>
    <row r="773">
      <c r="A773" s="755"/>
      <c r="B773" s="534"/>
      <c r="C773" s="534"/>
      <c r="D773" s="534"/>
      <c r="E773" s="534"/>
      <c r="F773" s="802"/>
      <c r="G773" s="530"/>
      <c r="H773" s="804"/>
      <c r="I773" s="631"/>
      <c r="J773" s="631"/>
      <c r="K773" s="631"/>
      <c r="L773" s="530"/>
      <c r="M773" s="530"/>
      <c r="N773" s="530"/>
      <c r="O773" s="530"/>
      <c r="P773" s="758"/>
      <c r="Q773" s="534"/>
      <c r="R773" s="534"/>
      <c r="S773" s="534"/>
      <c r="T773" s="534"/>
      <c r="U773" s="534"/>
      <c r="V773" s="534"/>
      <c r="W773" s="534"/>
    </row>
    <row r="774">
      <c r="A774" s="755"/>
      <c r="B774" s="534"/>
      <c r="C774" s="534"/>
      <c r="D774" s="534"/>
      <c r="E774" s="534"/>
      <c r="F774" s="802"/>
      <c r="G774" s="530"/>
      <c r="H774" s="804"/>
      <c r="I774" s="631"/>
      <c r="J774" s="631"/>
      <c r="K774" s="631"/>
      <c r="L774" s="530"/>
      <c r="M774" s="530"/>
      <c r="N774" s="530"/>
      <c r="O774" s="530"/>
      <c r="P774" s="758"/>
      <c r="Q774" s="534"/>
      <c r="R774" s="534"/>
      <c r="S774" s="534"/>
      <c r="T774" s="534"/>
      <c r="U774" s="534"/>
      <c r="V774" s="534"/>
      <c r="W774" s="534"/>
    </row>
    <row r="775">
      <c r="A775" s="755"/>
      <c r="B775" s="534"/>
      <c r="C775" s="534"/>
      <c r="D775" s="534"/>
      <c r="E775" s="534"/>
      <c r="F775" s="802"/>
      <c r="G775" s="530"/>
      <c r="H775" s="804"/>
      <c r="I775" s="631"/>
      <c r="J775" s="631"/>
      <c r="K775" s="631"/>
      <c r="L775" s="530"/>
      <c r="M775" s="530"/>
      <c r="N775" s="530"/>
      <c r="O775" s="530"/>
      <c r="P775" s="758"/>
      <c r="Q775" s="534"/>
      <c r="R775" s="534"/>
      <c r="S775" s="534"/>
      <c r="T775" s="534"/>
      <c r="U775" s="534"/>
      <c r="V775" s="534"/>
      <c r="W775" s="534"/>
    </row>
    <row r="776">
      <c r="A776" s="755"/>
      <c r="B776" s="534"/>
      <c r="C776" s="534"/>
      <c r="D776" s="534"/>
      <c r="E776" s="534"/>
      <c r="F776" s="802"/>
      <c r="G776" s="530"/>
      <c r="H776" s="804"/>
      <c r="I776" s="631"/>
      <c r="J776" s="631"/>
      <c r="K776" s="631"/>
      <c r="L776" s="530"/>
      <c r="M776" s="530"/>
      <c r="N776" s="530"/>
      <c r="O776" s="530"/>
      <c r="P776" s="758"/>
      <c r="Q776" s="534"/>
      <c r="R776" s="534"/>
      <c r="S776" s="534"/>
      <c r="T776" s="534"/>
      <c r="U776" s="534"/>
      <c r="V776" s="534"/>
      <c r="W776" s="534"/>
    </row>
    <row r="777">
      <c r="A777" s="755"/>
      <c r="B777" s="534"/>
      <c r="C777" s="534"/>
      <c r="D777" s="534"/>
      <c r="E777" s="534"/>
      <c r="F777" s="802"/>
      <c r="G777" s="530"/>
      <c r="H777" s="804"/>
      <c r="I777" s="631"/>
      <c r="J777" s="631"/>
      <c r="K777" s="631"/>
      <c r="L777" s="530"/>
      <c r="M777" s="530"/>
      <c r="N777" s="530"/>
      <c r="O777" s="530"/>
      <c r="P777" s="758"/>
      <c r="Q777" s="534"/>
      <c r="R777" s="534"/>
      <c r="S777" s="534"/>
      <c r="T777" s="534"/>
      <c r="U777" s="534"/>
      <c r="V777" s="534"/>
      <c r="W777" s="534"/>
    </row>
    <row r="778">
      <c r="A778" s="755"/>
      <c r="B778" s="534"/>
      <c r="C778" s="534"/>
      <c r="D778" s="534"/>
      <c r="E778" s="534"/>
      <c r="F778" s="802"/>
      <c r="G778" s="530"/>
      <c r="H778" s="804"/>
      <c r="I778" s="631"/>
      <c r="J778" s="631"/>
      <c r="K778" s="631"/>
      <c r="L778" s="530"/>
      <c r="M778" s="530"/>
      <c r="N778" s="530"/>
      <c r="O778" s="530"/>
      <c r="P778" s="758"/>
      <c r="Q778" s="534"/>
      <c r="R778" s="534"/>
      <c r="S778" s="534"/>
      <c r="T778" s="534"/>
      <c r="U778" s="534"/>
      <c r="V778" s="534"/>
      <c r="W778" s="534"/>
    </row>
    <row r="779">
      <c r="A779" s="755"/>
      <c r="B779" s="534"/>
      <c r="C779" s="534"/>
      <c r="D779" s="534"/>
      <c r="E779" s="534"/>
      <c r="F779" s="802"/>
      <c r="G779" s="530"/>
      <c r="H779" s="804"/>
      <c r="I779" s="631"/>
      <c r="J779" s="631"/>
      <c r="K779" s="631"/>
      <c r="L779" s="530"/>
      <c r="M779" s="530"/>
      <c r="N779" s="530"/>
      <c r="O779" s="530"/>
      <c r="P779" s="758"/>
      <c r="Q779" s="534"/>
      <c r="R779" s="534"/>
      <c r="S779" s="534"/>
      <c r="T779" s="534"/>
      <c r="U779" s="534"/>
      <c r="V779" s="534"/>
      <c r="W779" s="534"/>
    </row>
    <row r="780">
      <c r="A780" s="755"/>
      <c r="B780" s="534"/>
      <c r="C780" s="534"/>
      <c r="D780" s="534"/>
      <c r="E780" s="534"/>
      <c r="F780" s="802"/>
      <c r="G780" s="530"/>
      <c r="H780" s="804"/>
      <c r="I780" s="631"/>
      <c r="J780" s="631"/>
      <c r="K780" s="631"/>
      <c r="L780" s="530"/>
      <c r="M780" s="530"/>
      <c r="N780" s="530"/>
      <c r="O780" s="530"/>
      <c r="P780" s="758"/>
      <c r="Q780" s="534"/>
      <c r="R780" s="534"/>
      <c r="S780" s="534"/>
      <c r="T780" s="534"/>
      <c r="U780" s="534"/>
      <c r="V780" s="534"/>
      <c r="W780" s="534"/>
    </row>
    <row r="781">
      <c r="A781" s="755"/>
      <c r="B781" s="534"/>
      <c r="C781" s="534"/>
      <c r="D781" s="534"/>
      <c r="E781" s="534"/>
      <c r="F781" s="802"/>
      <c r="G781" s="530"/>
      <c r="H781" s="804"/>
      <c r="I781" s="631"/>
      <c r="J781" s="631"/>
      <c r="K781" s="631"/>
      <c r="L781" s="530"/>
      <c r="M781" s="530"/>
      <c r="N781" s="530"/>
      <c r="O781" s="530"/>
      <c r="P781" s="758"/>
      <c r="Q781" s="534"/>
      <c r="R781" s="534"/>
      <c r="S781" s="534"/>
      <c r="T781" s="534"/>
      <c r="U781" s="534"/>
      <c r="V781" s="534"/>
      <c r="W781" s="534"/>
    </row>
    <row r="782">
      <c r="A782" s="755"/>
      <c r="B782" s="534"/>
      <c r="C782" s="534"/>
      <c r="D782" s="534"/>
      <c r="E782" s="534"/>
      <c r="F782" s="802"/>
      <c r="G782" s="530"/>
      <c r="H782" s="804"/>
      <c r="I782" s="631"/>
      <c r="J782" s="631"/>
      <c r="K782" s="631"/>
      <c r="L782" s="530"/>
      <c r="M782" s="530"/>
      <c r="N782" s="530"/>
      <c r="O782" s="530"/>
      <c r="P782" s="758"/>
      <c r="Q782" s="534"/>
      <c r="R782" s="534"/>
      <c r="S782" s="534"/>
      <c r="T782" s="534"/>
      <c r="U782" s="534"/>
      <c r="V782" s="534"/>
      <c r="W782" s="534"/>
    </row>
    <row r="783">
      <c r="A783" s="755"/>
      <c r="B783" s="534"/>
      <c r="C783" s="534"/>
      <c r="D783" s="534"/>
      <c r="E783" s="534"/>
      <c r="F783" s="802"/>
      <c r="G783" s="530"/>
      <c r="H783" s="804"/>
      <c r="I783" s="631"/>
      <c r="J783" s="631"/>
      <c r="K783" s="631"/>
      <c r="L783" s="530"/>
      <c r="M783" s="530"/>
      <c r="N783" s="530"/>
      <c r="O783" s="530"/>
      <c r="P783" s="758"/>
      <c r="Q783" s="534"/>
      <c r="R783" s="534"/>
      <c r="S783" s="534"/>
      <c r="T783" s="534"/>
      <c r="U783" s="534"/>
      <c r="V783" s="534"/>
      <c r="W783" s="534"/>
    </row>
    <row r="784">
      <c r="A784" s="755"/>
      <c r="B784" s="534"/>
      <c r="C784" s="534"/>
      <c r="D784" s="534"/>
      <c r="E784" s="534"/>
      <c r="F784" s="802"/>
      <c r="G784" s="530"/>
      <c r="H784" s="804"/>
      <c r="I784" s="631"/>
      <c r="J784" s="631"/>
      <c r="K784" s="631"/>
      <c r="L784" s="530"/>
      <c r="M784" s="530"/>
      <c r="N784" s="530"/>
      <c r="O784" s="530"/>
      <c r="P784" s="758"/>
      <c r="Q784" s="534"/>
      <c r="R784" s="534"/>
      <c r="S784" s="534"/>
      <c r="T784" s="534"/>
      <c r="U784" s="534"/>
      <c r="V784" s="534"/>
      <c r="W784" s="534"/>
    </row>
    <row r="785">
      <c r="A785" s="755"/>
      <c r="B785" s="534"/>
      <c r="C785" s="534"/>
      <c r="D785" s="534"/>
      <c r="E785" s="534"/>
      <c r="F785" s="802"/>
      <c r="G785" s="530"/>
      <c r="H785" s="804"/>
      <c r="I785" s="631"/>
      <c r="J785" s="631"/>
      <c r="K785" s="631"/>
      <c r="L785" s="530"/>
      <c r="M785" s="530"/>
      <c r="N785" s="530"/>
      <c r="O785" s="530"/>
      <c r="P785" s="758"/>
      <c r="Q785" s="534"/>
      <c r="R785" s="534"/>
      <c r="S785" s="534"/>
      <c r="T785" s="534"/>
      <c r="U785" s="534"/>
      <c r="V785" s="534"/>
      <c r="W785" s="534"/>
    </row>
    <row r="786">
      <c r="A786" s="755"/>
      <c r="B786" s="534"/>
      <c r="C786" s="534"/>
      <c r="D786" s="534"/>
      <c r="E786" s="534"/>
      <c r="F786" s="802"/>
      <c r="G786" s="530"/>
      <c r="H786" s="804"/>
      <c r="I786" s="631"/>
      <c r="J786" s="631"/>
      <c r="K786" s="631"/>
      <c r="L786" s="530"/>
      <c r="M786" s="530"/>
      <c r="N786" s="530"/>
      <c r="O786" s="530"/>
      <c r="P786" s="758"/>
      <c r="Q786" s="534"/>
      <c r="R786" s="534"/>
      <c r="S786" s="534"/>
      <c r="T786" s="534"/>
      <c r="U786" s="534"/>
      <c r="V786" s="534"/>
      <c r="W786" s="534"/>
    </row>
    <row r="787">
      <c r="A787" s="755"/>
      <c r="B787" s="534"/>
      <c r="C787" s="534"/>
      <c r="D787" s="534"/>
      <c r="E787" s="534"/>
      <c r="F787" s="802"/>
      <c r="G787" s="530"/>
      <c r="H787" s="804"/>
      <c r="I787" s="631"/>
      <c r="J787" s="631"/>
      <c r="K787" s="631"/>
      <c r="L787" s="530"/>
      <c r="M787" s="530"/>
      <c r="N787" s="530"/>
      <c r="O787" s="530"/>
      <c r="P787" s="758"/>
      <c r="Q787" s="534"/>
      <c r="R787" s="534"/>
      <c r="S787" s="534"/>
      <c r="T787" s="534"/>
      <c r="U787" s="534"/>
      <c r="V787" s="534"/>
      <c r="W787" s="534"/>
    </row>
    <row r="788">
      <c r="A788" s="755"/>
      <c r="B788" s="534"/>
      <c r="C788" s="534"/>
      <c r="D788" s="534"/>
      <c r="E788" s="534"/>
      <c r="F788" s="802"/>
      <c r="G788" s="530"/>
      <c r="H788" s="804"/>
      <c r="I788" s="631"/>
      <c r="J788" s="631"/>
      <c r="K788" s="631"/>
      <c r="L788" s="530"/>
      <c r="M788" s="530"/>
      <c r="N788" s="530"/>
      <c r="O788" s="530"/>
      <c r="P788" s="758"/>
      <c r="Q788" s="534"/>
      <c r="R788" s="534"/>
      <c r="S788" s="534"/>
      <c r="T788" s="534"/>
      <c r="U788" s="534"/>
      <c r="V788" s="534"/>
      <c r="W788" s="534"/>
    </row>
    <row r="789">
      <c r="A789" s="755"/>
      <c r="B789" s="534"/>
      <c r="C789" s="534"/>
      <c r="D789" s="534"/>
      <c r="E789" s="534"/>
      <c r="F789" s="802"/>
      <c r="G789" s="530"/>
      <c r="H789" s="804"/>
      <c r="I789" s="631"/>
      <c r="J789" s="631"/>
      <c r="K789" s="631"/>
      <c r="L789" s="530"/>
      <c r="M789" s="530"/>
      <c r="N789" s="530"/>
      <c r="O789" s="530"/>
      <c r="P789" s="758"/>
      <c r="Q789" s="534"/>
      <c r="R789" s="534"/>
      <c r="S789" s="534"/>
      <c r="T789" s="534"/>
      <c r="U789" s="534"/>
      <c r="V789" s="534"/>
      <c r="W789" s="534"/>
    </row>
    <row r="790">
      <c r="A790" s="755"/>
      <c r="B790" s="534"/>
      <c r="C790" s="534"/>
      <c r="D790" s="534"/>
      <c r="E790" s="534"/>
      <c r="F790" s="802"/>
      <c r="G790" s="530"/>
      <c r="H790" s="804"/>
      <c r="I790" s="631"/>
      <c r="J790" s="631"/>
      <c r="K790" s="631"/>
      <c r="L790" s="530"/>
      <c r="M790" s="530"/>
      <c r="N790" s="530"/>
      <c r="O790" s="530"/>
      <c r="P790" s="758"/>
      <c r="Q790" s="534"/>
      <c r="R790" s="534"/>
      <c r="S790" s="534"/>
      <c r="T790" s="534"/>
      <c r="U790" s="534"/>
      <c r="V790" s="534"/>
      <c r="W790" s="534"/>
    </row>
    <row r="791">
      <c r="A791" s="755"/>
      <c r="B791" s="534"/>
      <c r="C791" s="534"/>
      <c r="D791" s="534"/>
      <c r="E791" s="534"/>
      <c r="F791" s="802"/>
      <c r="G791" s="530"/>
      <c r="H791" s="804"/>
      <c r="I791" s="631"/>
      <c r="J791" s="631"/>
      <c r="K791" s="631"/>
      <c r="L791" s="530"/>
      <c r="M791" s="530"/>
      <c r="N791" s="530"/>
      <c r="O791" s="530"/>
      <c r="P791" s="758"/>
      <c r="Q791" s="534"/>
      <c r="R791" s="534"/>
      <c r="S791" s="534"/>
      <c r="T791" s="534"/>
      <c r="U791" s="534"/>
      <c r="V791" s="534"/>
      <c r="W791" s="534"/>
    </row>
    <row r="792">
      <c r="A792" s="755"/>
      <c r="B792" s="534"/>
      <c r="C792" s="534"/>
      <c r="D792" s="534"/>
      <c r="E792" s="534"/>
      <c r="F792" s="802"/>
      <c r="G792" s="530"/>
      <c r="H792" s="804"/>
      <c r="I792" s="631"/>
      <c r="J792" s="631"/>
      <c r="K792" s="631"/>
      <c r="L792" s="530"/>
      <c r="M792" s="530"/>
      <c r="N792" s="530"/>
      <c r="O792" s="530"/>
      <c r="P792" s="758"/>
      <c r="Q792" s="534"/>
      <c r="R792" s="534"/>
      <c r="S792" s="534"/>
      <c r="T792" s="534"/>
      <c r="U792" s="534"/>
      <c r="V792" s="534"/>
      <c r="W792" s="534"/>
    </row>
    <row r="793">
      <c r="A793" s="755"/>
      <c r="B793" s="534"/>
      <c r="C793" s="534"/>
      <c r="D793" s="534"/>
      <c r="E793" s="534"/>
      <c r="F793" s="802"/>
      <c r="G793" s="530"/>
      <c r="H793" s="804"/>
      <c r="I793" s="631"/>
      <c r="J793" s="631"/>
      <c r="K793" s="631"/>
      <c r="L793" s="530"/>
      <c r="M793" s="530"/>
      <c r="N793" s="530"/>
      <c r="O793" s="530"/>
      <c r="P793" s="758"/>
      <c r="Q793" s="534"/>
      <c r="R793" s="534"/>
      <c r="S793" s="534"/>
      <c r="T793" s="534"/>
      <c r="U793" s="534"/>
      <c r="V793" s="534"/>
      <c r="W793" s="534"/>
    </row>
    <row r="794">
      <c r="A794" s="755"/>
      <c r="B794" s="534"/>
      <c r="C794" s="534"/>
      <c r="D794" s="534"/>
      <c r="E794" s="534"/>
      <c r="F794" s="802"/>
      <c r="G794" s="530"/>
      <c r="H794" s="804"/>
      <c r="I794" s="631"/>
      <c r="J794" s="631"/>
      <c r="K794" s="631"/>
      <c r="L794" s="530"/>
      <c r="M794" s="530"/>
      <c r="N794" s="530"/>
      <c r="O794" s="530"/>
      <c r="P794" s="758"/>
      <c r="Q794" s="534"/>
      <c r="R794" s="534"/>
      <c r="S794" s="534"/>
      <c r="T794" s="534"/>
      <c r="U794" s="534"/>
      <c r="V794" s="534"/>
      <c r="W794" s="534"/>
    </row>
    <row r="795">
      <c r="A795" s="755"/>
      <c r="B795" s="534"/>
      <c r="C795" s="534"/>
      <c r="D795" s="534"/>
      <c r="E795" s="534"/>
      <c r="F795" s="802"/>
      <c r="G795" s="530"/>
      <c r="H795" s="804"/>
      <c r="I795" s="631"/>
      <c r="J795" s="631"/>
      <c r="K795" s="631"/>
      <c r="L795" s="530"/>
      <c r="M795" s="530"/>
      <c r="N795" s="530"/>
      <c r="O795" s="530"/>
      <c r="P795" s="758"/>
      <c r="Q795" s="534"/>
      <c r="R795" s="534"/>
      <c r="S795" s="534"/>
      <c r="T795" s="534"/>
      <c r="U795" s="534"/>
      <c r="V795" s="534"/>
      <c r="W795" s="534"/>
    </row>
    <row r="796">
      <c r="A796" s="755"/>
      <c r="B796" s="534"/>
      <c r="C796" s="534"/>
      <c r="D796" s="534"/>
      <c r="E796" s="534"/>
      <c r="F796" s="802"/>
      <c r="G796" s="530"/>
      <c r="H796" s="804"/>
      <c r="I796" s="631"/>
      <c r="J796" s="631"/>
      <c r="K796" s="631"/>
      <c r="L796" s="530"/>
      <c r="M796" s="530"/>
      <c r="N796" s="530"/>
      <c r="O796" s="530"/>
      <c r="P796" s="758"/>
      <c r="Q796" s="534"/>
      <c r="R796" s="534"/>
      <c r="S796" s="534"/>
      <c r="T796" s="534"/>
      <c r="U796" s="534"/>
      <c r="V796" s="534"/>
      <c r="W796" s="534"/>
    </row>
    <row r="797">
      <c r="A797" s="755"/>
      <c r="B797" s="534"/>
      <c r="C797" s="534"/>
      <c r="D797" s="534"/>
      <c r="E797" s="534"/>
      <c r="F797" s="802"/>
      <c r="G797" s="530"/>
      <c r="H797" s="804"/>
      <c r="I797" s="631"/>
      <c r="J797" s="631"/>
      <c r="K797" s="631"/>
      <c r="L797" s="530"/>
      <c r="M797" s="530"/>
      <c r="N797" s="530"/>
      <c r="O797" s="530"/>
      <c r="P797" s="758"/>
      <c r="Q797" s="534"/>
      <c r="R797" s="534"/>
      <c r="S797" s="534"/>
      <c r="T797" s="534"/>
      <c r="U797" s="534"/>
      <c r="V797" s="534"/>
      <c r="W797" s="534"/>
    </row>
    <row r="798">
      <c r="A798" s="755"/>
      <c r="B798" s="534"/>
      <c r="C798" s="534"/>
      <c r="D798" s="534"/>
      <c r="E798" s="534"/>
      <c r="F798" s="802"/>
      <c r="G798" s="530"/>
      <c r="H798" s="804"/>
      <c r="I798" s="631"/>
      <c r="J798" s="631"/>
      <c r="K798" s="631"/>
      <c r="L798" s="530"/>
      <c r="M798" s="530"/>
      <c r="N798" s="530"/>
      <c r="O798" s="530"/>
      <c r="P798" s="758"/>
      <c r="Q798" s="534"/>
      <c r="R798" s="534"/>
      <c r="S798" s="534"/>
      <c r="T798" s="534"/>
      <c r="U798" s="534"/>
      <c r="V798" s="534"/>
      <c r="W798" s="534"/>
    </row>
    <row r="799">
      <c r="A799" s="755"/>
      <c r="B799" s="534"/>
      <c r="C799" s="534"/>
      <c r="D799" s="534"/>
      <c r="E799" s="534"/>
      <c r="F799" s="802"/>
      <c r="G799" s="530"/>
      <c r="H799" s="804"/>
      <c r="I799" s="631"/>
      <c r="J799" s="631"/>
      <c r="K799" s="631"/>
      <c r="L799" s="530"/>
      <c r="M799" s="530"/>
      <c r="N799" s="530"/>
      <c r="O799" s="530"/>
      <c r="P799" s="758"/>
      <c r="Q799" s="534"/>
      <c r="R799" s="534"/>
      <c r="S799" s="534"/>
      <c r="T799" s="534"/>
      <c r="U799" s="534"/>
      <c r="V799" s="534"/>
      <c r="W799" s="534"/>
    </row>
    <row r="800">
      <c r="A800" s="755"/>
      <c r="B800" s="534"/>
      <c r="C800" s="534"/>
      <c r="D800" s="534"/>
      <c r="E800" s="534"/>
      <c r="F800" s="802"/>
      <c r="G800" s="530"/>
      <c r="H800" s="804"/>
      <c r="I800" s="631"/>
      <c r="J800" s="631"/>
      <c r="K800" s="631"/>
      <c r="L800" s="530"/>
      <c r="M800" s="530"/>
      <c r="N800" s="530"/>
      <c r="O800" s="530"/>
      <c r="P800" s="758"/>
      <c r="Q800" s="534"/>
      <c r="R800" s="534"/>
      <c r="S800" s="534"/>
      <c r="T800" s="534"/>
      <c r="U800" s="534"/>
      <c r="V800" s="534"/>
      <c r="W800" s="534"/>
    </row>
    <row r="801">
      <c r="A801" s="755"/>
      <c r="B801" s="534"/>
      <c r="C801" s="534"/>
      <c r="D801" s="534"/>
      <c r="E801" s="534"/>
      <c r="F801" s="802"/>
      <c r="G801" s="530"/>
      <c r="H801" s="804"/>
      <c r="I801" s="631"/>
      <c r="J801" s="631"/>
      <c r="K801" s="631"/>
      <c r="L801" s="530"/>
      <c r="M801" s="530"/>
      <c r="N801" s="530"/>
      <c r="O801" s="530"/>
      <c r="P801" s="758"/>
      <c r="Q801" s="534"/>
      <c r="R801" s="534"/>
      <c r="S801" s="534"/>
      <c r="T801" s="534"/>
      <c r="U801" s="534"/>
      <c r="V801" s="534"/>
      <c r="W801" s="534"/>
    </row>
    <row r="802">
      <c r="A802" s="755"/>
      <c r="B802" s="534"/>
      <c r="C802" s="534"/>
      <c r="D802" s="534"/>
      <c r="E802" s="534"/>
      <c r="F802" s="802"/>
      <c r="G802" s="530"/>
      <c r="H802" s="804"/>
      <c r="I802" s="631"/>
      <c r="J802" s="631"/>
      <c r="K802" s="631"/>
      <c r="L802" s="530"/>
      <c r="M802" s="530"/>
      <c r="N802" s="530"/>
      <c r="O802" s="530"/>
      <c r="P802" s="758"/>
      <c r="Q802" s="534"/>
      <c r="R802" s="534"/>
      <c r="S802" s="534"/>
      <c r="T802" s="534"/>
      <c r="U802" s="534"/>
      <c r="V802" s="534"/>
      <c r="W802" s="534"/>
    </row>
    <row r="803">
      <c r="A803" s="755"/>
      <c r="B803" s="534"/>
      <c r="C803" s="534"/>
      <c r="D803" s="534"/>
      <c r="E803" s="534"/>
      <c r="F803" s="802"/>
      <c r="G803" s="530"/>
      <c r="H803" s="804"/>
      <c r="I803" s="631"/>
      <c r="J803" s="631"/>
      <c r="K803" s="631"/>
      <c r="L803" s="530"/>
      <c r="M803" s="530"/>
      <c r="N803" s="530"/>
      <c r="O803" s="530"/>
      <c r="P803" s="758"/>
      <c r="Q803" s="534"/>
      <c r="R803" s="534"/>
      <c r="S803" s="534"/>
      <c r="T803" s="534"/>
      <c r="U803" s="534"/>
      <c r="V803" s="534"/>
      <c r="W803" s="534"/>
    </row>
    <row r="804">
      <c r="A804" s="755"/>
      <c r="B804" s="534"/>
      <c r="C804" s="534"/>
      <c r="D804" s="534"/>
      <c r="E804" s="534"/>
      <c r="F804" s="802"/>
      <c r="G804" s="530"/>
      <c r="H804" s="804"/>
      <c r="I804" s="631"/>
      <c r="J804" s="631"/>
      <c r="K804" s="631"/>
      <c r="L804" s="530"/>
      <c r="M804" s="530"/>
      <c r="N804" s="530"/>
      <c r="O804" s="530"/>
      <c r="P804" s="758"/>
      <c r="Q804" s="534"/>
      <c r="R804" s="534"/>
      <c r="S804" s="534"/>
      <c r="T804" s="534"/>
      <c r="U804" s="534"/>
      <c r="V804" s="534"/>
      <c r="W804" s="534"/>
    </row>
    <row r="805">
      <c r="A805" s="755"/>
      <c r="B805" s="534"/>
      <c r="C805" s="534"/>
      <c r="D805" s="534"/>
      <c r="E805" s="534"/>
      <c r="F805" s="802"/>
      <c r="G805" s="530"/>
      <c r="H805" s="804"/>
      <c r="I805" s="631"/>
      <c r="J805" s="631"/>
      <c r="K805" s="631"/>
      <c r="L805" s="530"/>
      <c r="M805" s="530"/>
      <c r="N805" s="530"/>
      <c r="O805" s="530"/>
      <c r="P805" s="758"/>
      <c r="Q805" s="534"/>
      <c r="R805" s="534"/>
      <c r="S805" s="534"/>
      <c r="T805" s="534"/>
      <c r="U805" s="534"/>
      <c r="V805" s="534"/>
      <c r="W805" s="534"/>
    </row>
    <row r="806">
      <c r="A806" s="755"/>
      <c r="B806" s="534"/>
      <c r="C806" s="534"/>
      <c r="D806" s="534"/>
      <c r="E806" s="534"/>
      <c r="F806" s="802"/>
      <c r="G806" s="530"/>
      <c r="H806" s="804"/>
      <c r="I806" s="631"/>
      <c r="J806" s="631"/>
      <c r="K806" s="631"/>
      <c r="L806" s="530"/>
      <c r="M806" s="530"/>
      <c r="N806" s="530"/>
      <c r="O806" s="530"/>
      <c r="P806" s="758"/>
      <c r="Q806" s="534"/>
      <c r="R806" s="534"/>
      <c r="S806" s="534"/>
      <c r="T806" s="534"/>
      <c r="U806" s="534"/>
      <c r="V806" s="534"/>
      <c r="W806" s="534"/>
    </row>
    <row r="807">
      <c r="A807" s="755"/>
      <c r="B807" s="534"/>
      <c r="C807" s="534"/>
      <c r="D807" s="534"/>
      <c r="E807" s="534"/>
      <c r="F807" s="802"/>
      <c r="G807" s="530"/>
      <c r="H807" s="804"/>
      <c r="I807" s="631"/>
      <c r="J807" s="631"/>
      <c r="K807" s="631"/>
      <c r="L807" s="530"/>
      <c r="M807" s="530"/>
      <c r="N807" s="530"/>
      <c r="O807" s="530"/>
      <c r="P807" s="758"/>
      <c r="Q807" s="534"/>
      <c r="R807" s="534"/>
      <c r="S807" s="534"/>
      <c r="T807" s="534"/>
      <c r="U807" s="534"/>
      <c r="V807" s="534"/>
      <c r="W807" s="534"/>
    </row>
    <row r="808">
      <c r="A808" s="755"/>
      <c r="B808" s="534"/>
      <c r="C808" s="534"/>
      <c r="D808" s="534"/>
      <c r="E808" s="534"/>
      <c r="F808" s="802"/>
      <c r="G808" s="530"/>
      <c r="H808" s="804"/>
      <c r="I808" s="631"/>
      <c r="J808" s="631"/>
      <c r="K808" s="631"/>
      <c r="L808" s="530"/>
      <c r="M808" s="530"/>
      <c r="N808" s="530"/>
      <c r="O808" s="530"/>
      <c r="P808" s="758"/>
      <c r="Q808" s="534"/>
      <c r="R808" s="534"/>
      <c r="S808" s="534"/>
      <c r="T808" s="534"/>
      <c r="U808" s="534"/>
      <c r="V808" s="534"/>
      <c r="W808" s="534"/>
    </row>
    <row r="809">
      <c r="A809" s="755"/>
      <c r="B809" s="534"/>
      <c r="C809" s="534"/>
      <c r="D809" s="534"/>
      <c r="E809" s="534"/>
      <c r="F809" s="802"/>
      <c r="G809" s="530"/>
      <c r="H809" s="804"/>
      <c r="I809" s="631"/>
      <c r="J809" s="631"/>
      <c r="K809" s="631"/>
      <c r="L809" s="530"/>
      <c r="M809" s="530"/>
      <c r="N809" s="530"/>
      <c r="O809" s="530"/>
      <c r="P809" s="758"/>
      <c r="Q809" s="534"/>
      <c r="R809" s="534"/>
      <c r="S809" s="534"/>
      <c r="T809" s="534"/>
      <c r="U809" s="534"/>
      <c r="V809" s="534"/>
      <c r="W809" s="534"/>
    </row>
    <row r="810">
      <c r="A810" s="755"/>
      <c r="B810" s="534"/>
      <c r="C810" s="534"/>
      <c r="D810" s="534"/>
      <c r="E810" s="534"/>
      <c r="F810" s="802"/>
      <c r="G810" s="530"/>
      <c r="H810" s="804"/>
      <c r="I810" s="631"/>
      <c r="J810" s="631"/>
      <c r="K810" s="631"/>
      <c r="L810" s="530"/>
      <c r="M810" s="530"/>
      <c r="N810" s="530"/>
      <c r="O810" s="530"/>
      <c r="P810" s="758"/>
      <c r="Q810" s="534"/>
      <c r="R810" s="534"/>
      <c r="S810" s="534"/>
      <c r="T810" s="534"/>
      <c r="U810" s="534"/>
      <c r="V810" s="534"/>
      <c r="W810" s="534"/>
    </row>
    <row r="811">
      <c r="A811" s="755"/>
      <c r="B811" s="534"/>
      <c r="C811" s="534"/>
      <c r="D811" s="534"/>
      <c r="E811" s="534"/>
      <c r="F811" s="802"/>
      <c r="G811" s="530"/>
      <c r="H811" s="804"/>
      <c r="I811" s="631"/>
      <c r="J811" s="631"/>
      <c r="K811" s="631"/>
      <c r="L811" s="530"/>
      <c r="M811" s="530"/>
      <c r="N811" s="530"/>
      <c r="O811" s="530"/>
      <c r="P811" s="758"/>
      <c r="Q811" s="534"/>
      <c r="R811" s="534"/>
      <c r="S811" s="534"/>
      <c r="T811" s="534"/>
      <c r="U811" s="534"/>
      <c r="V811" s="534"/>
      <c r="W811" s="534"/>
    </row>
    <row r="812">
      <c r="A812" s="755"/>
      <c r="B812" s="534"/>
      <c r="C812" s="534"/>
      <c r="D812" s="534"/>
      <c r="E812" s="534"/>
      <c r="F812" s="802"/>
      <c r="G812" s="530"/>
      <c r="H812" s="804"/>
      <c r="I812" s="631"/>
      <c r="J812" s="631"/>
      <c r="K812" s="631"/>
      <c r="L812" s="530"/>
      <c r="M812" s="530"/>
      <c r="N812" s="530"/>
      <c r="O812" s="530"/>
      <c r="P812" s="758"/>
      <c r="Q812" s="534"/>
      <c r="R812" s="534"/>
      <c r="S812" s="534"/>
      <c r="T812" s="534"/>
      <c r="U812" s="534"/>
      <c r="V812" s="534"/>
      <c r="W812" s="534"/>
    </row>
    <row r="813">
      <c r="A813" s="755"/>
      <c r="B813" s="534"/>
      <c r="C813" s="534"/>
      <c r="D813" s="534"/>
      <c r="E813" s="534"/>
      <c r="F813" s="802"/>
      <c r="G813" s="530"/>
      <c r="H813" s="804"/>
      <c r="I813" s="631"/>
      <c r="J813" s="631"/>
      <c r="K813" s="631"/>
      <c r="L813" s="530"/>
      <c r="M813" s="530"/>
      <c r="N813" s="530"/>
      <c r="O813" s="530"/>
      <c r="P813" s="758"/>
      <c r="Q813" s="534"/>
      <c r="R813" s="534"/>
      <c r="S813" s="534"/>
      <c r="T813" s="534"/>
      <c r="U813" s="534"/>
      <c r="V813" s="534"/>
      <c r="W813" s="534"/>
    </row>
    <row r="814">
      <c r="A814" s="755"/>
      <c r="B814" s="534"/>
      <c r="C814" s="534"/>
      <c r="D814" s="534"/>
      <c r="E814" s="534"/>
      <c r="F814" s="802"/>
      <c r="G814" s="530"/>
      <c r="H814" s="804"/>
      <c r="I814" s="631"/>
      <c r="J814" s="631"/>
      <c r="K814" s="631"/>
      <c r="L814" s="530"/>
      <c r="M814" s="530"/>
      <c r="N814" s="530"/>
      <c r="O814" s="530"/>
      <c r="P814" s="758"/>
      <c r="Q814" s="534"/>
      <c r="R814" s="534"/>
      <c r="S814" s="534"/>
      <c r="T814" s="534"/>
      <c r="U814" s="534"/>
      <c r="V814" s="534"/>
      <c r="W814" s="534"/>
    </row>
    <row r="815">
      <c r="A815" s="755"/>
      <c r="B815" s="534"/>
      <c r="C815" s="534"/>
      <c r="D815" s="534"/>
      <c r="E815" s="534"/>
      <c r="F815" s="802"/>
      <c r="G815" s="530"/>
      <c r="H815" s="804"/>
      <c r="I815" s="631"/>
      <c r="J815" s="631"/>
      <c r="K815" s="631"/>
      <c r="L815" s="530"/>
      <c r="M815" s="530"/>
      <c r="N815" s="530"/>
      <c r="O815" s="530"/>
      <c r="P815" s="758"/>
      <c r="Q815" s="534"/>
      <c r="R815" s="534"/>
      <c r="S815" s="534"/>
      <c r="T815" s="534"/>
      <c r="U815" s="534"/>
      <c r="V815" s="534"/>
      <c r="W815" s="534"/>
    </row>
    <row r="816">
      <c r="A816" s="755"/>
      <c r="B816" s="534"/>
      <c r="C816" s="534"/>
      <c r="D816" s="534"/>
      <c r="E816" s="534"/>
      <c r="F816" s="802"/>
      <c r="G816" s="530"/>
      <c r="H816" s="804"/>
      <c r="I816" s="631"/>
      <c r="J816" s="631"/>
      <c r="K816" s="631"/>
      <c r="L816" s="530"/>
      <c r="M816" s="530"/>
      <c r="N816" s="530"/>
      <c r="O816" s="530"/>
      <c r="P816" s="758"/>
      <c r="Q816" s="534"/>
      <c r="R816" s="534"/>
      <c r="S816" s="534"/>
      <c r="T816" s="534"/>
      <c r="U816" s="534"/>
      <c r="V816" s="534"/>
      <c r="W816" s="534"/>
    </row>
    <row r="817">
      <c r="A817" s="755"/>
      <c r="B817" s="534"/>
      <c r="C817" s="534"/>
      <c r="D817" s="534"/>
      <c r="E817" s="534"/>
      <c r="F817" s="802"/>
      <c r="G817" s="530"/>
      <c r="H817" s="804"/>
      <c r="I817" s="631"/>
      <c r="J817" s="631"/>
      <c r="K817" s="631"/>
      <c r="L817" s="530"/>
      <c r="M817" s="530"/>
      <c r="N817" s="530"/>
      <c r="O817" s="530"/>
      <c r="P817" s="758"/>
      <c r="Q817" s="534"/>
      <c r="R817" s="534"/>
      <c r="S817" s="534"/>
      <c r="T817" s="534"/>
      <c r="U817" s="534"/>
      <c r="V817" s="534"/>
      <c r="W817" s="534"/>
    </row>
    <row r="818">
      <c r="A818" s="755"/>
      <c r="B818" s="534"/>
      <c r="C818" s="534"/>
      <c r="D818" s="534"/>
      <c r="E818" s="534"/>
      <c r="F818" s="802"/>
      <c r="G818" s="530"/>
      <c r="H818" s="804"/>
      <c r="I818" s="631"/>
      <c r="J818" s="631"/>
      <c r="K818" s="631"/>
      <c r="L818" s="530"/>
      <c r="M818" s="530"/>
      <c r="N818" s="530"/>
      <c r="O818" s="530"/>
      <c r="P818" s="758"/>
      <c r="Q818" s="534"/>
      <c r="R818" s="534"/>
      <c r="S818" s="534"/>
      <c r="T818" s="534"/>
      <c r="U818" s="534"/>
      <c r="V818" s="534"/>
      <c r="W818" s="534"/>
    </row>
    <row r="819">
      <c r="A819" s="755"/>
      <c r="B819" s="534"/>
      <c r="C819" s="534"/>
      <c r="D819" s="534"/>
      <c r="E819" s="534"/>
      <c r="F819" s="802"/>
      <c r="G819" s="530"/>
      <c r="H819" s="804"/>
      <c r="I819" s="631"/>
      <c r="J819" s="631"/>
      <c r="K819" s="631"/>
      <c r="L819" s="530"/>
      <c r="M819" s="530"/>
      <c r="N819" s="530"/>
      <c r="O819" s="530"/>
      <c r="P819" s="758"/>
      <c r="Q819" s="534"/>
      <c r="R819" s="534"/>
      <c r="S819" s="534"/>
      <c r="T819" s="534"/>
      <c r="U819" s="534"/>
      <c r="V819" s="534"/>
      <c r="W819" s="534"/>
    </row>
    <row r="820">
      <c r="A820" s="755"/>
      <c r="B820" s="534"/>
      <c r="C820" s="534"/>
      <c r="D820" s="534"/>
      <c r="E820" s="534"/>
      <c r="F820" s="802"/>
      <c r="G820" s="530"/>
      <c r="H820" s="804"/>
      <c r="I820" s="631"/>
      <c r="J820" s="631"/>
      <c r="K820" s="631"/>
      <c r="L820" s="530"/>
      <c r="M820" s="530"/>
      <c r="N820" s="530"/>
      <c r="O820" s="530"/>
      <c r="P820" s="758"/>
      <c r="Q820" s="534"/>
      <c r="R820" s="534"/>
      <c r="S820" s="534"/>
      <c r="T820" s="534"/>
      <c r="U820" s="534"/>
      <c r="V820" s="534"/>
      <c r="W820" s="534"/>
    </row>
    <row r="821">
      <c r="A821" s="755"/>
      <c r="B821" s="534"/>
      <c r="C821" s="534"/>
      <c r="D821" s="534"/>
      <c r="E821" s="534"/>
      <c r="F821" s="802"/>
      <c r="G821" s="530"/>
      <c r="H821" s="804"/>
      <c r="I821" s="631"/>
      <c r="J821" s="631"/>
      <c r="K821" s="631"/>
      <c r="L821" s="530"/>
      <c r="M821" s="530"/>
      <c r="N821" s="530"/>
      <c r="O821" s="530"/>
      <c r="P821" s="758"/>
      <c r="Q821" s="534"/>
      <c r="R821" s="534"/>
      <c r="S821" s="534"/>
      <c r="T821" s="534"/>
      <c r="U821" s="534"/>
      <c r="V821" s="534"/>
      <c r="W821" s="534"/>
    </row>
    <row r="822">
      <c r="A822" s="755"/>
      <c r="B822" s="534"/>
      <c r="C822" s="534"/>
      <c r="D822" s="534"/>
      <c r="E822" s="534"/>
      <c r="F822" s="802"/>
      <c r="G822" s="530"/>
      <c r="H822" s="804"/>
      <c r="I822" s="631"/>
      <c r="J822" s="631"/>
      <c r="K822" s="631"/>
      <c r="L822" s="530"/>
      <c r="M822" s="530"/>
      <c r="N822" s="530"/>
      <c r="O822" s="530"/>
      <c r="P822" s="758"/>
      <c r="Q822" s="534"/>
      <c r="R822" s="534"/>
      <c r="S822" s="534"/>
      <c r="T822" s="534"/>
      <c r="U822" s="534"/>
      <c r="V822" s="534"/>
      <c r="W822" s="534"/>
    </row>
    <row r="823">
      <c r="A823" s="755"/>
      <c r="B823" s="534"/>
      <c r="C823" s="534"/>
      <c r="D823" s="534"/>
      <c r="E823" s="534"/>
      <c r="F823" s="802"/>
      <c r="G823" s="530"/>
      <c r="H823" s="804"/>
      <c r="I823" s="631"/>
      <c r="J823" s="631"/>
      <c r="K823" s="631"/>
      <c r="L823" s="530"/>
      <c r="M823" s="530"/>
      <c r="N823" s="530"/>
      <c r="O823" s="530"/>
      <c r="P823" s="758"/>
      <c r="Q823" s="534"/>
      <c r="R823" s="534"/>
      <c r="S823" s="534"/>
      <c r="T823" s="534"/>
      <c r="U823" s="534"/>
      <c r="V823" s="534"/>
      <c r="W823" s="534"/>
    </row>
    <row r="824">
      <c r="A824" s="755"/>
      <c r="B824" s="534"/>
      <c r="C824" s="534"/>
      <c r="D824" s="534"/>
      <c r="E824" s="534"/>
      <c r="F824" s="802"/>
      <c r="G824" s="530"/>
      <c r="H824" s="804"/>
      <c r="I824" s="631"/>
      <c r="J824" s="631"/>
      <c r="K824" s="631"/>
      <c r="L824" s="530"/>
      <c r="M824" s="530"/>
      <c r="N824" s="530"/>
      <c r="O824" s="530"/>
      <c r="P824" s="758"/>
      <c r="Q824" s="534"/>
      <c r="R824" s="534"/>
      <c r="S824" s="534"/>
      <c r="T824" s="534"/>
      <c r="U824" s="534"/>
      <c r="V824" s="534"/>
      <c r="W824" s="534"/>
    </row>
    <row r="825">
      <c r="A825" s="755"/>
      <c r="B825" s="534"/>
      <c r="C825" s="534"/>
      <c r="D825" s="534"/>
      <c r="E825" s="534"/>
      <c r="F825" s="802"/>
      <c r="G825" s="530"/>
      <c r="H825" s="804"/>
      <c r="I825" s="631"/>
      <c r="J825" s="631"/>
      <c r="K825" s="631"/>
      <c r="L825" s="530"/>
      <c r="M825" s="530"/>
      <c r="N825" s="530"/>
      <c r="O825" s="530"/>
      <c r="P825" s="758"/>
      <c r="Q825" s="534"/>
      <c r="R825" s="534"/>
      <c r="S825" s="534"/>
      <c r="T825" s="534"/>
      <c r="U825" s="534"/>
      <c r="V825" s="534"/>
      <c r="W825" s="534"/>
    </row>
    <row r="826">
      <c r="A826" s="755"/>
      <c r="B826" s="534"/>
      <c r="C826" s="534"/>
      <c r="D826" s="534"/>
      <c r="E826" s="534"/>
      <c r="F826" s="802"/>
      <c r="G826" s="530"/>
      <c r="H826" s="804"/>
      <c r="I826" s="631"/>
      <c r="J826" s="631"/>
      <c r="K826" s="631"/>
      <c r="L826" s="530"/>
      <c r="M826" s="530"/>
      <c r="N826" s="530"/>
      <c r="O826" s="530"/>
      <c r="P826" s="758"/>
      <c r="Q826" s="534"/>
      <c r="R826" s="534"/>
      <c r="S826" s="534"/>
      <c r="T826" s="534"/>
      <c r="U826" s="534"/>
      <c r="V826" s="534"/>
      <c r="W826" s="534"/>
    </row>
    <row r="827">
      <c r="A827" s="755"/>
      <c r="B827" s="534"/>
      <c r="C827" s="534"/>
      <c r="D827" s="534"/>
      <c r="E827" s="534"/>
      <c r="F827" s="802"/>
      <c r="G827" s="530"/>
      <c r="H827" s="804"/>
      <c r="I827" s="631"/>
      <c r="J827" s="631"/>
      <c r="K827" s="631"/>
      <c r="L827" s="530"/>
      <c r="M827" s="530"/>
      <c r="N827" s="530"/>
      <c r="O827" s="530"/>
      <c r="P827" s="758"/>
      <c r="Q827" s="534"/>
      <c r="R827" s="534"/>
      <c r="S827" s="534"/>
      <c r="T827" s="534"/>
      <c r="U827" s="534"/>
      <c r="V827" s="534"/>
      <c r="W827" s="534"/>
    </row>
    <row r="828">
      <c r="A828" s="755"/>
      <c r="B828" s="534"/>
      <c r="C828" s="534"/>
      <c r="D828" s="534"/>
      <c r="E828" s="534"/>
      <c r="F828" s="802"/>
      <c r="G828" s="530"/>
      <c r="H828" s="804"/>
      <c r="I828" s="631"/>
      <c r="J828" s="631"/>
      <c r="K828" s="631"/>
      <c r="L828" s="530"/>
      <c r="M828" s="530"/>
      <c r="N828" s="530"/>
      <c r="O828" s="530"/>
      <c r="P828" s="758"/>
      <c r="Q828" s="534"/>
      <c r="R828" s="534"/>
      <c r="S828" s="534"/>
      <c r="T828" s="534"/>
      <c r="U828" s="534"/>
      <c r="V828" s="534"/>
      <c r="W828" s="534"/>
    </row>
    <row r="829">
      <c r="A829" s="755"/>
      <c r="B829" s="534"/>
      <c r="C829" s="534"/>
      <c r="D829" s="534"/>
      <c r="E829" s="534"/>
      <c r="F829" s="802"/>
      <c r="G829" s="530"/>
      <c r="H829" s="804"/>
      <c r="I829" s="631"/>
      <c r="J829" s="631"/>
      <c r="K829" s="631"/>
      <c r="L829" s="530"/>
      <c r="M829" s="530"/>
      <c r="N829" s="530"/>
      <c r="O829" s="530"/>
      <c r="P829" s="758"/>
      <c r="Q829" s="534"/>
      <c r="R829" s="534"/>
      <c r="S829" s="534"/>
      <c r="T829" s="534"/>
      <c r="U829" s="534"/>
      <c r="V829" s="534"/>
      <c r="W829" s="534"/>
    </row>
    <row r="830">
      <c r="A830" s="755"/>
      <c r="B830" s="534"/>
      <c r="C830" s="534"/>
      <c r="D830" s="534"/>
      <c r="E830" s="534"/>
      <c r="F830" s="802"/>
      <c r="G830" s="530"/>
      <c r="H830" s="804"/>
      <c r="I830" s="631"/>
      <c r="J830" s="631"/>
      <c r="K830" s="631"/>
      <c r="L830" s="530"/>
      <c r="M830" s="530"/>
      <c r="N830" s="530"/>
      <c r="O830" s="530"/>
      <c r="P830" s="758"/>
      <c r="Q830" s="534"/>
      <c r="R830" s="534"/>
      <c r="S830" s="534"/>
      <c r="T830" s="534"/>
      <c r="U830" s="534"/>
      <c r="V830" s="534"/>
      <c r="W830" s="534"/>
    </row>
    <row r="831">
      <c r="A831" s="755"/>
      <c r="B831" s="534"/>
      <c r="C831" s="534"/>
      <c r="D831" s="534"/>
      <c r="E831" s="534"/>
      <c r="F831" s="802"/>
      <c r="G831" s="530"/>
      <c r="H831" s="804"/>
      <c r="I831" s="631"/>
      <c r="J831" s="631"/>
      <c r="K831" s="631"/>
      <c r="L831" s="530"/>
      <c r="M831" s="530"/>
      <c r="N831" s="530"/>
      <c r="O831" s="530"/>
      <c r="P831" s="758"/>
      <c r="Q831" s="534"/>
      <c r="R831" s="534"/>
      <c r="S831" s="534"/>
      <c r="T831" s="534"/>
      <c r="U831" s="534"/>
      <c r="V831" s="534"/>
      <c r="W831" s="534"/>
    </row>
    <row r="832">
      <c r="A832" s="755"/>
      <c r="B832" s="534"/>
      <c r="C832" s="534"/>
      <c r="D832" s="534"/>
      <c r="E832" s="534"/>
      <c r="F832" s="802"/>
      <c r="G832" s="530"/>
      <c r="H832" s="804"/>
      <c r="I832" s="631"/>
      <c r="J832" s="631"/>
      <c r="K832" s="631"/>
      <c r="L832" s="530"/>
      <c r="M832" s="530"/>
      <c r="N832" s="530"/>
      <c r="O832" s="530"/>
      <c r="P832" s="758"/>
      <c r="Q832" s="534"/>
      <c r="R832" s="534"/>
      <c r="S832" s="534"/>
      <c r="T832" s="534"/>
      <c r="U832" s="534"/>
      <c r="V832" s="534"/>
      <c r="W832" s="534"/>
    </row>
    <row r="833">
      <c r="A833" s="755"/>
      <c r="B833" s="534"/>
      <c r="C833" s="534"/>
      <c r="D833" s="534"/>
      <c r="E833" s="534"/>
      <c r="F833" s="802"/>
      <c r="G833" s="530"/>
      <c r="H833" s="804"/>
      <c r="I833" s="631"/>
      <c r="J833" s="631"/>
      <c r="K833" s="631"/>
      <c r="L833" s="530"/>
      <c r="M833" s="530"/>
      <c r="N833" s="530"/>
      <c r="O833" s="530"/>
      <c r="P833" s="758"/>
      <c r="Q833" s="534"/>
      <c r="R833" s="534"/>
      <c r="S833" s="534"/>
      <c r="T833" s="534"/>
      <c r="U833" s="534"/>
      <c r="V833" s="534"/>
      <c r="W833" s="534"/>
    </row>
    <row r="834">
      <c r="A834" s="755"/>
      <c r="B834" s="534"/>
      <c r="C834" s="534"/>
      <c r="D834" s="534"/>
      <c r="E834" s="534"/>
      <c r="F834" s="802"/>
      <c r="G834" s="530"/>
      <c r="H834" s="804"/>
      <c r="I834" s="631"/>
      <c r="J834" s="631"/>
      <c r="K834" s="631"/>
      <c r="L834" s="530"/>
      <c r="M834" s="530"/>
      <c r="N834" s="530"/>
      <c r="O834" s="530"/>
      <c r="P834" s="758"/>
      <c r="Q834" s="534"/>
      <c r="R834" s="534"/>
      <c r="S834" s="534"/>
      <c r="T834" s="534"/>
      <c r="U834" s="534"/>
      <c r="V834" s="534"/>
      <c r="W834" s="534"/>
    </row>
    <row r="835">
      <c r="A835" s="755"/>
      <c r="B835" s="534"/>
      <c r="C835" s="534"/>
      <c r="D835" s="534"/>
      <c r="E835" s="534"/>
      <c r="F835" s="802"/>
      <c r="G835" s="530"/>
      <c r="H835" s="804"/>
      <c r="I835" s="631"/>
      <c r="J835" s="631"/>
      <c r="K835" s="631"/>
      <c r="L835" s="530"/>
      <c r="M835" s="530"/>
      <c r="N835" s="530"/>
      <c r="O835" s="530"/>
      <c r="P835" s="758"/>
      <c r="Q835" s="534"/>
      <c r="R835" s="534"/>
      <c r="S835" s="534"/>
      <c r="T835" s="534"/>
      <c r="U835" s="534"/>
      <c r="V835" s="534"/>
      <c r="W835" s="534"/>
    </row>
    <row r="836">
      <c r="A836" s="755"/>
      <c r="B836" s="534"/>
      <c r="C836" s="534"/>
      <c r="D836" s="534"/>
      <c r="E836" s="534"/>
      <c r="F836" s="802"/>
      <c r="G836" s="530"/>
      <c r="H836" s="804"/>
      <c r="I836" s="631"/>
      <c r="J836" s="631"/>
      <c r="K836" s="631"/>
      <c r="L836" s="530"/>
      <c r="M836" s="530"/>
      <c r="N836" s="530"/>
      <c r="O836" s="530"/>
      <c r="P836" s="758"/>
      <c r="Q836" s="534"/>
      <c r="R836" s="534"/>
      <c r="S836" s="534"/>
      <c r="T836" s="534"/>
      <c r="U836" s="534"/>
      <c r="V836" s="534"/>
      <c r="W836" s="534"/>
    </row>
    <row r="837">
      <c r="A837" s="755"/>
      <c r="B837" s="534"/>
      <c r="C837" s="534"/>
      <c r="D837" s="534"/>
      <c r="E837" s="534"/>
      <c r="F837" s="802"/>
      <c r="G837" s="530"/>
      <c r="H837" s="804"/>
      <c r="I837" s="631"/>
      <c r="J837" s="631"/>
      <c r="K837" s="631"/>
      <c r="L837" s="530"/>
      <c r="M837" s="530"/>
      <c r="N837" s="530"/>
      <c r="O837" s="530"/>
      <c r="P837" s="758"/>
      <c r="Q837" s="534"/>
      <c r="R837" s="534"/>
      <c r="S837" s="534"/>
      <c r="T837" s="534"/>
      <c r="U837" s="534"/>
      <c r="V837" s="534"/>
      <c r="W837" s="534"/>
    </row>
    <row r="838">
      <c r="A838" s="755"/>
      <c r="B838" s="534"/>
      <c r="C838" s="534"/>
      <c r="D838" s="534"/>
      <c r="E838" s="534"/>
      <c r="F838" s="802"/>
      <c r="G838" s="530"/>
      <c r="H838" s="804"/>
      <c r="I838" s="631"/>
      <c r="J838" s="631"/>
      <c r="K838" s="631"/>
      <c r="L838" s="530"/>
      <c r="M838" s="530"/>
      <c r="N838" s="530"/>
      <c r="O838" s="530"/>
      <c r="P838" s="758"/>
      <c r="Q838" s="534"/>
      <c r="R838" s="534"/>
      <c r="S838" s="534"/>
      <c r="T838" s="534"/>
      <c r="U838" s="534"/>
      <c r="V838" s="534"/>
      <c r="W838" s="534"/>
    </row>
    <row r="839">
      <c r="A839" s="755"/>
      <c r="B839" s="534"/>
      <c r="C839" s="534"/>
      <c r="D839" s="534"/>
      <c r="E839" s="534"/>
      <c r="F839" s="802"/>
      <c r="G839" s="530"/>
      <c r="H839" s="804"/>
      <c r="I839" s="631"/>
      <c r="J839" s="631"/>
      <c r="K839" s="631"/>
      <c r="L839" s="530"/>
      <c r="M839" s="530"/>
      <c r="N839" s="530"/>
      <c r="O839" s="530"/>
      <c r="P839" s="758"/>
      <c r="Q839" s="534"/>
      <c r="R839" s="534"/>
      <c r="S839" s="534"/>
      <c r="T839" s="534"/>
      <c r="U839" s="534"/>
      <c r="V839" s="534"/>
      <c r="W839" s="534"/>
    </row>
    <row r="840">
      <c r="A840" s="755"/>
      <c r="B840" s="534"/>
      <c r="C840" s="534"/>
      <c r="D840" s="534"/>
      <c r="E840" s="534"/>
      <c r="F840" s="802"/>
      <c r="G840" s="530"/>
      <c r="H840" s="804"/>
      <c r="I840" s="631"/>
      <c r="J840" s="631"/>
      <c r="K840" s="631"/>
      <c r="L840" s="530"/>
      <c r="M840" s="530"/>
      <c r="N840" s="530"/>
      <c r="O840" s="530"/>
      <c r="P840" s="758"/>
      <c r="Q840" s="534"/>
      <c r="R840" s="534"/>
      <c r="S840" s="534"/>
      <c r="T840" s="534"/>
      <c r="U840" s="534"/>
      <c r="V840" s="534"/>
      <c r="W840" s="534"/>
    </row>
    <row r="841">
      <c r="A841" s="755"/>
      <c r="B841" s="534"/>
      <c r="C841" s="534"/>
      <c r="D841" s="534"/>
      <c r="E841" s="534"/>
      <c r="F841" s="802"/>
      <c r="G841" s="530"/>
      <c r="H841" s="804"/>
      <c r="I841" s="631"/>
      <c r="J841" s="631"/>
      <c r="K841" s="631"/>
      <c r="L841" s="530"/>
      <c r="M841" s="530"/>
      <c r="N841" s="530"/>
      <c r="O841" s="530"/>
      <c r="P841" s="758"/>
      <c r="Q841" s="534"/>
      <c r="R841" s="534"/>
      <c r="S841" s="534"/>
      <c r="T841" s="534"/>
      <c r="U841" s="534"/>
      <c r="V841" s="534"/>
      <c r="W841" s="534"/>
    </row>
    <row r="842">
      <c r="A842" s="755"/>
      <c r="B842" s="534"/>
      <c r="C842" s="534"/>
      <c r="D842" s="534"/>
      <c r="E842" s="534"/>
      <c r="F842" s="802"/>
      <c r="G842" s="530"/>
      <c r="H842" s="804"/>
      <c r="I842" s="631"/>
      <c r="J842" s="631"/>
      <c r="K842" s="631"/>
      <c r="L842" s="530"/>
      <c r="M842" s="530"/>
      <c r="N842" s="530"/>
      <c r="O842" s="530"/>
      <c r="P842" s="758"/>
      <c r="Q842" s="534"/>
      <c r="R842" s="534"/>
      <c r="S842" s="534"/>
      <c r="T842" s="534"/>
      <c r="U842" s="534"/>
      <c r="V842" s="534"/>
      <c r="W842" s="534"/>
    </row>
    <row r="843">
      <c r="A843" s="755"/>
      <c r="B843" s="534"/>
      <c r="C843" s="534"/>
      <c r="D843" s="534"/>
      <c r="E843" s="534"/>
      <c r="F843" s="802"/>
      <c r="G843" s="530"/>
      <c r="H843" s="804"/>
      <c r="I843" s="631"/>
      <c r="J843" s="631"/>
      <c r="K843" s="631"/>
      <c r="L843" s="530"/>
      <c r="M843" s="530"/>
      <c r="N843" s="530"/>
      <c r="O843" s="530"/>
      <c r="P843" s="758"/>
      <c r="Q843" s="534"/>
      <c r="R843" s="534"/>
      <c r="S843" s="534"/>
      <c r="T843" s="534"/>
      <c r="U843" s="534"/>
      <c r="V843" s="534"/>
      <c r="W843" s="534"/>
    </row>
    <row r="844">
      <c r="A844" s="755"/>
      <c r="B844" s="534"/>
      <c r="C844" s="534"/>
      <c r="D844" s="534"/>
      <c r="E844" s="534"/>
      <c r="F844" s="802"/>
      <c r="G844" s="530"/>
      <c r="H844" s="804"/>
      <c r="I844" s="631"/>
      <c r="J844" s="631"/>
      <c r="K844" s="631"/>
      <c r="L844" s="530"/>
      <c r="M844" s="530"/>
      <c r="N844" s="530"/>
      <c r="O844" s="530"/>
      <c r="P844" s="758"/>
      <c r="Q844" s="534"/>
      <c r="R844" s="534"/>
      <c r="S844" s="534"/>
      <c r="T844" s="534"/>
      <c r="U844" s="534"/>
      <c r="V844" s="534"/>
      <c r="W844" s="534"/>
    </row>
    <row r="845">
      <c r="A845" s="755"/>
      <c r="B845" s="534"/>
      <c r="C845" s="534"/>
      <c r="D845" s="534"/>
      <c r="E845" s="534"/>
      <c r="F845" s="802"/>
      <c r="G845" s="530"/>
      <c r="H845" s="804"/>
      <c r="I845" s="631"/>
      <c r="J845" s="631"/>
      <c r="K845" s="631"/>
      <c r="L845" s="530"/>
      <c r="M845" s="530"/>
      <c r="N845" s="530"/>
      <c r="O845" s="530"/>
      <c r="P845" s="758"/>
      <c r="Q845" s="534"/>
      <c r="R845" s="534"/>
      <c r="S845" s="534"/>
      <c r="T845" s="534"/>
      <c r="U845" s="534"/>
      <c r="V845" s="534"/>
      <c r="W845" s="534"/>
    </row>
    <row r="846">
      <c r="A846" s="755"/>
      <c r="B846" s="534"/>
      <c r="C846" s="534"/>
      <c r="D846" s="534"/>
      <c r="E846" s="534"/>
      <c r="F846" s="802"/>
      <c r="G846" s="530"/>
      <c r="H846" s="804"/>
      <c r="I846" s="631"/>
      <c r="J846" s="631"/>
      <c r="K846" s="631"/>
      <c r="L846" s="530"/>
      <c r="M846" s="530"/>
      <c r="N846" s="530"/>
      <c r="O846" s="530"/>
      <c r="P846" s="758"/>
      <c r="Q846" s="534"/>
      <c r="R846" s="534"/>
      <c r="S846" s="534"/>
      <c r="T846" s="534"/>
      <c r="U846" s="534"/>
      <c r="V846" s="534"/>
      <c r="W846" s="534"/>
    </row>
    <row r="847">
      <c r="A847" s="755"/>
      <c r="B847" s="534"/>
      <c r="C847" s="534"/>
      <c r="D847" s="534"/>
      <c r="E847" s="534"/>
      <c r="F847" s="802"/>
      <c r="G847" s="530"/>
      <c r="H847" s="804"/>
      <c r="I847" s="631"/>
      <c r="J847" s="631"/>
      <c r="K847" s="631"/>
      <c r="L847" s="530"/>
      <c r="M847" s="530"/>
      <c r="N847" s="530"/>
      <c r="O847" s="530"/>
      <c r="P847" s="758"/>
      <c r="Q847" s="534"/>
      <c r="R847" s="534"/>
      <c r="S847" s="534"/>
      <c r="T847" s="534"/>
      <c r="U847" s="534"/>
      <c r="V847" s="534"/>
      <c r="W847" s="534"/>
    </row>
    <row r="848">
      <c r="A848" s="755"/>
      <c r="B848" s="534"/>
      <c r="C848" s="534"/>
      <c r="D848" s="534"/>
      <c r="E848" s="534"/>
      <c r="F848" s="802"/>
      <c r="G848" s="530"/>
      <c r="H848" s="804"/>
      <c r="I848" s="631"/>
      <c r="J848" s="631"/>
      <c r="K848" s="631"/>
      <c r="L848" s="530"/>
      <c r="M848" s="530"/>
      <c r="N848" s="530"/>
      <c r="O848" s="530"/>
      <c r="P848" s="758"/>
      <c r="Q848" s="534"/>
      <c r="R848" s="534"/>
      <c r="S848" s="534"/>
      <c r="T848" s="534"/>
      <c r="U848" s="534"/>
      <c r="V848" s="534"/>
      <c r="W848" s="534"/>
    </row>
    <row r="849">
      <c r="A849" s="755"/>
      <c r="B849" s="534"/>
      <c r="C849" s="534"/>
      <c r="D849" s="534"/>
      <c r="E849" s="534"/>
      <c r="F849" s="802"/>
      <c r="G849" s="530"/>
      <c r="H849" s="804"/>
      <c r="I849" s="631"/>
      <c r="J849" s="631"/>
      <c r="K849" s="631"/>
      <c r="L849" s="530"/>
      <c r="M849" s="530"/>
      <c r="N849" s="530"/>
      <c r="O849" s="530"/>
      <c r="P849" s="758"/>
      <c r="Q849" s="534"/>
      <c r="R849" s="534"/>
      <c r="S849" s="534"/>
      <c r="T849" s="534"/>
      <c r="U849" s="534"/>
      <c r="V849" s="534"/>
      <c r="W849" s="534"/>
    </row>
    <row r="850">
      <c r="A850" s="755"/>
      <c r="B850" s="534"/>
      <c r="C850" s="534"/>
      <c r="D850" s="534"/>
      <c r="E850" s="534"/>
      <c r="F850" s="802"/>
      <c r="G850" s="530"/>
      <c r="H850" s="804"/>
      <c r="I850" s="631"/>
      <c r="J850" s="631"/>
      <c r="K850" s="631"/>
      <c r="L850" s="530"/>
      <c r="M850" s="530"/>
      <c r="N850" s="530"/>
      <c r="O850" s="530"/>
      <c r="P850" s="758"/>
      <c r="Q850" s="534"/>
      <c r="R850" s="534"/>
      <c r="S850" s="534"/>
      <c r="T850" s="534"/>
      <c r="U850" s="534"/>
      <c r="V850" s="534"/>
      <c r="W850" s="534"/>
    </row>
    <row r="851">
      <c r="A851" s="755"/>
      <c r="B851" s="534"/>
      <c r="C851" s="534"/>
      <c r="D851" s="534"/>
      <c r="E851" s="534"/>
      <c r="F851" s="802"/>
      <c r="G851" s="530"/>
      <c r="H851" s="804"/>
      <c r="I851" s="631"/>
      <c r="J851" s="631"/>
      <c r="K851" s="631"/>
      <c r="L851" s="530"/>
      <c r="M851" s="530"/>
      <c r="N851" s="530"/>
      <c r="O851" s="530"/>
      <c r="P851" s="758"/>
      <c r="Q851" s="534"/>
      <c r="R851" s="534"/>
      <c r="S851" s="534"/>
      <c r="T851" s="534"/>
      <c r="U851" s="534"/>
      <c r="V851" s="534"/>
      <c r="W851" s="534"/>
    </row>
    <row r="852">
      <c r="A852" s="755"/>
      <c r="B852" s="534"/>
      <c r="C852" s="534"/>
      <c r="D852" s="534"/>
      <c r="E852" s="534"/>
      <c r="F852" s="802"/>
      <c r="G852" s="530"/>
      <c r="H852" s="804"/>
      <c r="I852" s="631"/>
      <c r="J852" s="631"/>
      <c r="K852" s="631"/>
      <c r="L852" s="530"/>
      <c r="M852" s="530"/>
      <c r="N852" s="530"/>
      <c r="O852" s="530"/>
      <c r="P852" s="758"/>
      <c r="Q852" s="534"/>
      <c r="R852" s="534"/>
      <c r="S852" s="534"/>
      <c r="T852" s="534"/>
      <c r="U852" s="534"/>
      <c r="V852" s="534"/>
      <c r="W852" s="534"/>
    </row>
    <row r="853">
      <c r="A853" s="755"/>
      <c r="B853" s="534"/>
      <c r="C853" s="534"/>
      <c r="D853" s="534"/>
      <c r="E853" s="534"/>
      <c r="F853" s="802"/>
      <c r="G853" s="530"/>
      <c r="H853" s="804"/>
      <c r="I853" s="631"/>
      <c r="J853" s="631"/>
      <c r="K853" s="631"/>
      <c r="L853" s="530"/>
      <c r="M853" s="530"/>
      <c r="N853" s="530"/>
      <c r="O853" s="530"/>
      <c r="P853" s="758"/>
      <c r="Q853" s="534"/>
      <c r="R853" s="534"/>
      <c r="S853" s="534"/>
      <c r="T853" s="534"/>
      <c r="U853" s="534"/>
      <c r="V853" s="534"/>
      <c r="W853" s="534"/>
    </row>
    <row r="854">
      <c r="A854" s="755"/>
      <c r="B854" s="534"/>
      <c r="C854" s="534"/>
      <c r="D854" s="534"/>
      <c r="E854" s="534"/>
      <c r="F854" s="802"/>
      <c r="G854" s="530"/>
      <c r="H854" s="804"/>
      <c r="I854" s="631"/>
      <c r="J854" s="631"/>
      <c r="K854" s="631"/>
      <c r="L854" s="530"/>
      <c r="M854" s="530"/>
      <c r="N854" s="530"/>
      <c r="O854" s="530"/>
      <c r="P854" s="758"/>
      <c r="Q854" s="534"/>
      <c r="R854" s="534"/>
      <c r="S854" s="534"/>
      <c r="T854" s="534"/>
      <c r="U854" s="534"/>
      <c r="V854" s="534"/>
      <c r="W854" s="534"/>
    </row>
    <row r="855">
      <c r="A855" s="755"/>
      <c r="B855" s="534"/>
      <c r="C855" s="534"/>
      <c r="D855" s="534"/>
      <c r="E855" s="534"/>
      <c r="F855" s="802"/>
      <c r="G855" s="530"/>
      <c r="H855" s="804"/>
      <c r="I855" s="631"/>
      <c r="J855" s="631"/>
      <c r="K855" s="631"/>
      <c r="L855" s="530"/>
      <c r="M855" s="530"/>
      <c r="N855" s="530"/>
      <c r="O855" s="530"/>
      <c r="P855" s="758"/>
      <c r="Q855" s="534"/>
      <c r="R855" s="534"/>
      <c r="S855" s="534"/>
      <c r="T855" s="534"/>
      <c r="U855" s="534"/>
      <c r="V855" s="534"/>
      <c r="W855" s="534"/>
    </row>
    <row r="856">
      <c r="A856" s="755"/>
      <c r="B856" s="534"/>
      <c r="C856" s="534"/>
      <c r="D856" s="534"/>
      <c r="E856" s="534"/>
      <c r="F856" s="802"/>
      <c r="G856" s="530"/>
      <c r="H856" s="804"/>
      <c r="I856" s="631"/>
      <c r="J856" s="631"/>
      <c r="K856" s="631"/>
      <c r="L856" s="530"/>
      <c r="M856" s="530"/>
      <c r="N856" s="530"/>
      <c r="O856" s="530"/>
      <c r="P856" s="758"/>
      <c r="Q856" s="534"/>
      <c r="R856" s="534"/>
      <c r="S856" s="534"/>
      <c r="T856" s="534"/>
      <c r="U856" s="534"/>
      <c r="V856" s="534"/>
      <c r="W856" s="534"/>
    </row>
    <row r="857">
      <c r="A857" s="755"/>
      <c r="B857" s="534"/>
      <c r="C857" s="534"/>
      <c r="D857" s="534"/>
      <c r="E857" s="534"/>
      <c r="F857" s="802"/>
      <c r="G857" s="530"/>
      <c r="H857" s="804"/>
      <c r="I857" s="631"/>
      <c r="J857" s="631"/>
      <c r="K857" s="631"/>
      <c r="L857" s="530"/>
      <c r="M857" s="530"/>
      <c r="N857" s="530"/>
      <c r="O857" s="530"/>
      <c r="P857" s="758"/>
      <c r="Q857" s="534"/>
      <c r="R857" s="534"/>
      <c r="S857" s="534"/>
      <c r="T857" s="534"/>
      <c r="U857" s="534"/>
      <c r="V857" s="534"/>
      <c r="W857" s="534"/>
    </row>
    <row r="858">
      <c r="A858" s="755"/>
      <c r="B858" s="534"/>
      <c r="C858" s="534"/>
      <c r="D858" s="534"/>
      <c r="E858" s="534"/>
      <c r="F858" s="802"/>
      <c r="G858" s="530"/>
      <c r="H858" s="804"/>
      <c r="I858" s="631"/>
      <c r="J858" s="631"/>
      <c r="K858" s="631"/>
      <c r="L858" s="530"/>
      <c r="M858" s="530"/>
      <c r="N858" s="530"/>
      <c r="O858" s="530"/>
      <c r="P858" s="758"/>
      <c r="Q858" s="534"/>
      <c r="R858" s="534"/>
      <c r="S858" s="534"/>
      <c r="T858" s="534"/>
      <c r="U858" s="534"/>
      <c r="V858" s="534"/>
      <c r="W858" s="534"/>
    </row>
    <row r="859">
      <c r="A859" s="755"/>
      <c r="B859" s="534"/>
      <c r="C859" s="534"/>
      <c r="D859" s="534"/>
      <c r="E859" s="534"/>
      <c r="F859" s="802"/>
      <c r="G859" s="530"/>
      <c r="H859" s="804"/>
      <c r="I859" s="631"/>
      <c r="J859" s="631"/>
      <c r="K859" s="631"/>
      <c r="L859" s="530"/>
      <c r="M859" s="530"/>
      <c r="N859" s="530"/>
      <c r="O859" s="530"/>
      <c r="P859" s="758"/>
      <c r="Q859" s="534"/>
      <c r="R859" s="534"/>
      <c r="S859" s="534"/>
      <c r="T859" s="534"/>
      <c r="U859" s="534"/>
      <c r="V859" s="534"/>
      <c r="W859" s="534"/>
    </row>
    <row r="860">
      <c r="A860" s="755"/>
      <c r="B860" s="534"/>
      <c r="C860" s="534"/>
      <c r="D860" s="534"/>
      <c r="E860" s="534"/>
      <c r="F860" s="802"/>
      <c r="G860" s="530"/>
      <c r="H860" s="804"/>
      <c r="I860" s="631"/>
      <c r="J860" s="631"/>
      <c r="K860" s="631"/>
      <c r="L860" s="530"/>
      <c r="M860" s="530"/>
      <c r="N860" s="530"/>
      <c r="O860" s="530"/>
      <c r="P860" s="758"/>
      <c r="Q860" s="534"/>
      <c r="R860" s="534"/>
      <c r="S860" s="534"/>
      <c r="T860" s="534"/>
      <c r="U860" s="534"/>
      <c r="V860" s="534"/>
      <c r="W860" s="534"/>
    </row>
    <row r="861">
      <c r="A861" s="755"/>
      <c r="B861" s="534"/>
      <c r="C861" s="534"/>
      <c r="D861" s="534"/>
      <c r="E861" s="534"/>
      <c r="F861" s="802"/>
      <c r="G861" s="530"/>
      <c r="H861" s="804"/>
      <c r="I861" s="631"/>
      <c r="J861" s="631"/>
      <c r="K861" s="631"/>
      <c r="L861" s="530"/>
      <c r="M861" s="530"/>
      <c r="N861" s="530"/>
      <c r="O861" s="530"/>
      <c r="P861" s="758"/>
      <c r="Q861" s="534"/>
      <c r="R861" s="534"/>
      <c r="S861" s="534"/>
      <c r="T861" s="534"/>
      <c r="U861" s="534"/>
      <c r="V861" s="534"/>
      <c r="W861" s="534"/>
    </row>
    <row r="862">
      <c r="A862" s="755"/>
      <c r="B862" s="534"/>
      <c r="C862" s="534"/>
      <c r="D862" s="534"/>
      <c r="E862" s="534"/>
      <c r="F862" s="802"/>
      <c r="G862" s="530"/>
      <c r="H862" s="804"/>
      <c r="I862" s="631"/>
      <c r="J862" s="631"/>
      <c r="K862" s="631"/>
      <c r="L862" s="530"/>
      <c r="M862" s="530"/>
      <c r="N862" s="530"/>
      <c r="O862" s="530"/>
      <c r="P862" s="758"/>
      <c r="Q862" s="534"/>
      <c r="R862" s="534"/>
      <c r="S862" s="534"/>
      <c r="T862" s="534"/>
      <c r="U862" s="534"/>
      <c r="V862" s="534"/>
      <c r="W862" s="534"/>
    </row>
    <row r="863">
      <c r="A863" s="755"/>
      <c r="B863" s="534"/>
      <c r="C863" s="534"/>
      <c r="D863" s="534"/>
      <c r="E863" s="534"/>
      <c r="F863" s="802"/>
      <c r="G863" s="530"/>
      <c r="H863" s="804"/>
      <c r="I863" s="631"/>
      <c r="J863" s="631"/>
      <c r="K863" s="631"/>
      <c r="L863" s="530"/>
      <c r="M863" s="530"/>
      <c r="N863" s="530"/>
      <c r="O863" s="530"/>
      <c r="P863" s="758"/>
      <c r="Q863" s="534"/>
      <c r="R863" s="534"/>
      <c r="S863" s="534"/>
      <c r="T863" s="534"/>
      <c r="U863" s="534"/>
      <c r="V863" s="534"/>
      <c r="W863" s="534"/>
    </row>
    <row r="864">
      <c r="A864" s="755"/>
      <c r="B864" s="534"/>
      <c r="C864" s="534"/>
      <c r="D864" s="534"/>
      <c r="E864" s="534"/>
      <c r="F864" s="802"/>
      <c r="G864" s="530"/>
      <c r="H864" s="804"/>
      <c r="I864" s="631"/>
      <c r="J864" s="631"/>
      <c r="K864" s="631"/>
      <c r="L864" s="530"/>
      <c r="M864" s="530"/>
      <c r="N864" s="530"/>
      <c r="O864" s="530"/>
      <c r="P864" s="758"/>
      <c r="Q864" s="534"/>
      <c r="R864" s="534"/>
      <c r="S864" s="534"/>
      <c r="T864" s="534"/>
      <c r="U864" s="534"/>
      <c r="V864" s="534"/>
      <c r="W864" s="534"/>
    </row>
    <row r="865">
      <c r="A865" s="755"/>
      <c r="B865" s="534"/>
      <c r="C865" s="534"/>
      <c r="D865" s="534"/>
      <c r="E865" s="534"/>
      <c r="F865" s="802"/>
      <c r="G865" s="530"/>
      <c r="H865" s="804"/>
      <c r="I865" s="631"/>
      <c r="J865" s="631"/>
      <c r="K865" s="631"/>
      <c r="L865" s="530"/>
      <c r="M865" s="530"/>
      <c r="N865" s="530"/>
      <c r="O865" s="530"/>
      <c r="P865" s="758"/>
      <c r="Q865" s="534"/>
      <c r="R865" s="534"/>
      <c r="S865" s="534"/>
      <c r="T865" s="534"/>
      <c r="U865" s="534"/>
      <c r="V865" s="534"/>
      <c r="W865" s="534"/>
    </row>
    <row r="866">
      <c r="A866" s="755"/>
      <c r="B866" s="534"/>
      <c r="C866" s="534"/>
      <c r="D866" s="534"/>
      <c r="E866" s="534"/>
      <c r="F866" s="802"/>
      <c r="G866" s="530"/>
      <c r="H866" s="804"/>
      <c r="I866" s="631"/>
      <c r="J866" s="631"/>
      <c r="K866" s="631"/>
      <c r="L866" s="530"/>
      <c r="M866" s="530"/>
      <c r="N866" s="530"/>
      <c r="O866" s="530"/>
      <c r="P866" s="758"/>
      <c r="Q866" s="534"/>
      <c r="R866" s="534"/>
      <c r="S866" s="534"/>
      <c r="T866" s="534"/>
      <c r="U866" s="534"/>
      <c r="V866" s="534"/>
      <c r="W866" s="534"/>
    </row>
    <row r="867">
      <c r="A867" s="755"/>
      <c r="B867" s="534"/>
      <c r="C867" s="534"/>
      <c r="D867" s="534"/>
      <c r="E867" s="534"/>
      <c r="F867" s="802"/>
      <c r="G867" s="530"/>
      <c r="H867" s="804"/>
      <c r="I867" s="631"/>
      <c r="J867" s="631"/>
      <c r="K867" s="631"/>
      <c r="L867" s="530"/>
      <c r="M867" s="530"/>
      <c r="N867" s="530"/>
      <c r="O867" s="530"/>
      <c r="P867" s="758"/>
      <c r="Q867" s="534"/>
      <c r="R867" s="534"/>
      <c r="S867" s="534"/>
      <c r="T867" s="534"/>
      <c r="U867" s="534"/>
      <c r="V867" s="534"/>
      <c r="W867" s="534"/>
    </row>
    <row r="868">
      <c r="A868" s="755"/>
      <c r="B868" s="534"/>
      <c r="C868" s="534"/>
      <c r="D868" s="534"/>
      <c r="E868" s="534"/>
      <c r="F868" s="802"/>
      <c r="G868" s="530"/>
      <c r="H868" s="804"/>
      <c r="I868" s="631"/>
      <c r="J868" s="631"/>
      <c r="K868" s="631"/>
      <c r="L868" s="530"/>
      <c r="M868" s="530"/>
      <c r="N868" s="530"/>
      <c r="O868" s="530"/>
      <c r="P868" s="758"/>
      <c r="Q868" s="534"/>
      <c r="R868" s="534"/>
      <c r="S868" s="534"/>
      <c r="T868" s="534"/>
      <c r="U868" s="534"/>
      <c r="V868" s="534"/>
      <c r="W868" s="534"/>
    </row>
    <row r="869">
      <c r="A869" s="755"/>
      <c r="B869" s="534"/>
      <c r="C869" s="534"/>
      <c r="D869" s="534"/>
      <c r="E869" s="534"/>
      <c r="F869" s="802"/>
      <c r="G869" s="530"/>
      <c r="H869" s="804"/>
      <c r="I869" s="631"/>
      <c r="J869" s="631"/>
      <c r="K869" s="631"/>
      <c r="L869" s="530"/>
      <c r="M869" s="530"/>
      <c r="N869" s="530"/>
      <c r="O869" s="530"/>
      <c r="P869" s="758"/>
      <c r="Q869" s="534"/>
      <c r="R869" s="534"/>
      <c r="S869" s="534"/>
      <c r="T869" s="534"/>
      <c r="U869" s="534"/>
      <c r="V869" s="534"/>
      <c r="W869" s="534"/>
    </row>
    <row r="870">
      <c r="A870" s="755"/>
      <c r="B870" s="534"/>
      <c r="C870" s="534"/>
      <c r="D870" s="534"/>
      <c r="E870" s="534"/>
      <c r="F870" s="802"/>
      <c r="G870" s="530"/>
      <c r="H870" s="804"/>
      <c r="I870" s="631"/>
      <c r="J870" s="631"/>
      <c r="K870" s="631"/>
      <c r="L870" s="530"/>
      <c r="M870" s="530"/>
      <c r="N870" s="530"/>
      <c r="O870" s="530"/>
      <c r="P870" s="758"/>
      <c r="Q870" s="534"/>
      <c r="R870" s="534"/>
      <c r="S870" s="534"/>
      <c r="T870" s="534"/>
      <c r="U870" s="534"/>
      <c r="V870" s="534"/>
      <c r="W870" s="534"/>
    </row>
    <row r="871">
      <c r="A871" s="755"/>
      <c r="B871" s="534"/>
      <c r="C871" s="534"/>
      <c r="D871" s="534"/>
      <c r="E871" s="534"/>
      <c r="F871" s="802"/>
      <c r="G871" s="530"/>
      <c r="H871" s="804"/>
      <c r="I871" s="631"/>
      <c r="J871" s="631"/>
      <c r="K871" s="631"/>
      <c r="L871" s="530"/>
      <c r="M871" s="530"/>
      <c r="N871" s="530"/>
      <c r="O871" s="530"/>
      <c r="P871" s="758"/>
      <c r="Q871" s="534"/>
      <c r="R871" s="534"/>
      <c r="S871" s="534"/>
      <c r="T871" s="534"/>
      <c r="U871" s="534"/>
      <c r="V871" s="534"/>
      <c r="W871" s="534"/>
    </row>
    <row r="872">
      <c r="A872" s="755"/>
      <c r="B872" s="534"/>
      <c r="C872" s="534"/>
      <c r="D872" s="534"/>
      <c r="E872" s="534"/>
      <c r="F872" s="802"/>
      <c r="G872" s="530"/>
      <c r="H872" s="804"/>
      <c r="I872" s="631"/>
      <c r="J872" s="631"/>
      <c r="K872" s="631"/>
      <c r="L872" s="530"/>
      <c r="M872" s="530"/>
      <c r="N872" s="530"/>
      <c r="O872" s="530"/>
      <c r="P872" s="758"/>
      <c r="Q872" s="534"/>
      <c r="R872" s="534"/>
      <c r="S872" s="534"/>
      <c r="T872" s="534"/>
      <c r="U872" s="534"/>
      <c r="V872" s="534"/>
      <c r="W872" s="534"/>
    </row>
    <row r="873">
      <c r="A873" s="755"/>
      <c r="B873" s="534"/>
      <c r="C873" s="534"/>
      <c r="D873" s="534"/>
      <c r="E873" s="534"/>
      <c r="F873" s="802"/>
      <c r="G873" s="530"/>
      <c r="H873" s="804"/>
      <c r="I873" s="631"/>
      <c r="J873" s="631"/>
      <c r="K873" s="631"/>
      <c r="L873" s="530"/>
      <c r="M873" s="530"/>
      <c r="N873" s="530"/>
      <c r="O873" s="530"/>
      <c r="P873" s="758"/>
      <c r="Q873" s="534"/>
      <c r="R873" s="534"/>
      <c r="S873" s="534"/>
      <c r="T873" s="534"/>
      <c r="U873" s="534"/>
      <c r="V873" s="534"/>
      <c r="W873" s="534"/>
    </row>
    <row r="874">
      <c r="A874" s="755"/>
      <c r="B874" s="534"/>
      <c r="C874" s="534"/>
      <c r="D874" s="534"/>
      <c r="E874" s="534"/>
      <c r="F874" s="802"/>
      <c r="G874" s="530"/>
      <c r="H874" s="804"/>
      <c r="I874" s="631"/>
      <c r="J874" s="631"/>
      <c r="K874" s="631"/>
      <c r="L874" s="530"/>
      <c r="M874" s="530"/>
      <c r="N874" s="530"/>
      <c r="O874" s="530"/>
      <c r="P874" s="758"/>
      <c r="Q874" s="534"/>
      <c r="R874" s="534"/>
      <c r="S874" s="534"/>
      <c r="T874" s="534"/>
      <c r="U874" s="534"/>
      <c r="V874" s="534"/>
      <c r="W874" s="534"/>
    </row>
    <row r="875">
      <c r="A875" s="755"/>
      <c r="B875" s="534"/>
      <c r="C875" s="534"/>
      <c r="D875" s="534"/>
      <c r="E875" s="534"/>
      <c r="F875" s="802"/>
      <c r="G875" s="530"/>
      <c r="H875" s="804"/>
      <c r="I875" s="631"/>
      <c r="J875" s="631"/>
      <c r="K875" s="631"/>
      <c r="L875" s="530"/>
      <c r="M875" s="530"/>
      <c r="N875" s="530"/>
      <c r="O875" s="530"/>
      <c r="P875" s="758"/>
      <c r="Q875" s="534"/>
      <c r="R875" s="534"/>
      <c r="S875" s="534"/>
      <c r="T875" s="534"/>
      <c r="U875" s="534"/>
      <c r="V875" s="534"/>
      <c r="W875" s="534"/>
    </row>
    <row r="876">
      <c r="A876" s="755"/>
      <c r="B876" s="534"/>
      <c r="C876" s="534"/>
      <c r="D876" s="534"/>
      <c r="E876" s="534"/>
      <c r="F876" s="802"/>
      <c r="G876" s="530"/>
      <c r="H876" s="804"/>
      <c r="I876" s="631"/>
      <c r="J876" s="631"/>
      <c r="K876" s="631"/>
      <c r="L876" s="530"/>
      <c r="M876" s="530"/>
      <c r="N876" s="530"/>
      <c r="O876" s="530"/>
      <c r="P876" s="758"/>
      <c r="Q876" s="534"/>
      <c r="R876" s="534"/>
      <c r="S876" s="534"/>
      <c r="T876" s="534"/>
      <c r="U876" s="534"/>
      <c r="V876" s="534"/>
      <c r="W876" s="534"/>
    </row>
    <row r="877">
      <c r="A877" s="755"/>
      <c r="B877" s="534"/>
      <c r="C877" s="534"/>
      <c r="D877" s="534"/>
      <c r="E877" s="534"/>
      <c r="F877" s="802"/>
      <c r="G877" s="530"/>
      <c r="H877" s="804"/>
      <c r="I877" s="631"/>
      <c r="J877" s="631"/>
      <c r="K877" s="631"/>
      <c r="L877" s="530"/>
      <c r="M877" s="530"/>
      <c r="N877" s="530"/>
      <c r="O877" s="530"/>
      <c r="P877" s="758"/>
      <c r="Q877" s="534"/>
      <c r="R877" s="534"/>
      <c r="S877" s="534"/>
      <c r="T877" s="534"/>
      <c r="U877" s="534"/>
      <c r="V877" s="534"/>
      <c r="W877" s="534"/>
    </row>
    <row r="878">
      <c r="A878" s="755"/>
      <c r="B878" s="534"/>
      <c r="C878" s="534"/>
      <c r="D878" s="534"/>
      <c r="E878" s="534"/>
      <c r="F878" s="802"/>
      <c r="G878" s="530"/>
      <c r="H878" s="804"/>
      <c r="I878" s="631"/>
      <c r="J878" s="631"/>
      <c r="K878" s="631"/>
      <c r="L878" s="530"/>
      <c r="M878" s="530"/>
      <c r="N878" s="530"/>
      <c r="O878" s="530"/>
      <c r="P878" s="758"/>
      <c r="Q878" s="534"/>
      <c r="R878" s="534"/>
      <c r="S878" s="534"/>
      <c r="T878" s="534"/>
      <c r="U878" s="534"/>
      <c r="V878" s="534"/>
      <c r="W878" s="534"/>
    </row>
    <row r="879">
      <c r="A879" s="755"/>
      <c r="B879" s="534"/>
      <c r="C879" s="534"/>
      <c r="D879" s="534"/>
      <c r="E879" s="534"/>
      <c r="F879" s="802"/>
      <c r="G879" s="530"/>
      <c r="H879" s="804"/>
      <c r="I879" s="631"/>
      <c r="J879" s="631"/>
      <c r="K879" s="631"/>
      <c r="L879" s="530"/>
      <c r="M879" s="530"/>
      <c r="N879" s="530"/>
      <c r="O879" s="530"/>
      <c r="P879" s="758"/>
      <c r="Q879" s="534"/>
      <c r="R879" s="534"/>
      <c r="S879" s="534"/>
      <c r="T879" s="534"/>
      <c r="U879" s="534"/>
      <c r="V879" s="534"/>
      <c r="W879" s="534"/>
    </row>
    <row r="880">
      <c r="A880" s="755"/>
      <c r="B880" s="534"/>
      <c r="C880" s="534"/>
      <c r="D880" s="534"/>
      <c r="E880" s="534"/>
      <c r="F880" s="802"/>
      <c r="G880" s="530"/>
      <c r="H880" s="804"/>
      <c r="I880" s="631"/>
      <c r="J880" s="631"/>
      <c r="K880" s="631"/>
      <c r="L880" s="530"/>
      <c r="M880" s="530"/>
      <c r="N880" s="530"/>
      <c r="O880" s="530"/>
      <c r="P880" s="758"/>
      <c r="Q880" s="534"/>
      <c r="R880" s="534"/>
      <c r="S880" s="534"/>
      <c r="T880" s="534"/>
      <c r="U880" s="534"/>
      <c r="V880" s="534"/>
      <c r="W880" s="534"/>
    </row>
    <row r="881">
      <c r="A881" s="755"/>
      <c r="B881" s="534"/>
      <c r="C881" s="534"/>
      <c r="D881" s="534"/>
      <c r="E881" s="534"/>
      <c r="F881" s="802"/>
      <c r="G881" s="530"/>
      <c r="H881" s="804"/>
      <c r="I881" s="631"/>
      <c r="J881" s="631"/>
      <c r="K881" s="631"/>
      <c r="L881" s="530"/>
      <c r="M881" s="530"/>
      <c r="N881" s="530"/>
      <c r="O881" s="530"/>
      <c r="P881" s="758"/>
      <c r="Q881" s="534"/>
      <c r="R881" s="534"/>
      <c r="S881" s="534"/>
      <c r="T881" s="534"/>
      <c r="U881" s="534"/>
      <c r="V881" s="534"/>
      <c r="W881" s="534"/>
    </row>
    <row r="882">
      <c r="A882" s="755"/>
      <c r="B882" s="534"/>
      <c r="C882" s="534"/>
      <c r="D882" s="534"/>
      <c r="E882" s="534"/>
      <c r="F882" s="802"/>
      <c r="G882" s="530"/>
      <c r="H882" s="804"/>
      <c r="I882" s="631"/>
      <c r="J882" s="631"/>
      <c r="K882" s="631"/>
      <c r="L882" s="530"/>
      <c r="M882" s="530"/>
      <c r="N882" s="530"/>
      <c r="O882" s="530"/>
      <c r="P882" s="758"/>
      <c r="Q882" s="534"/>
      <c r="R882" s="534"/>
      <c r="S882" s="534"/>
      <c r="T882" s="534"/>
      <c r="U882" s="534"/>
      <c r="V882" s="534"/>
      <c r="W882" s="534"/>
    </row>
    <row r="883">
      <c r="A883" s="755"/>
      <c r="B883" s="534"/>
      <c r="C883" s="534"/>
      <c r="D883" s="534"/>
      <c r="E883" s="534"/>
      <c r="F883" s="802"/>
      <c r="G883" s="530"/>
      <c r="H883" s="804"/>
      <c r="I883" s="631"/>
      <c r="J883" s="631"/>
      <c r="K883" s="631"/>
      <c r="L883" s="530"/>
      <c r="M883" s="530"/>
      <c r="N883" s="530"/>
      <c r="O883" s="530"/>
      <c r="P883" s="758"/>
      <c r="Q883" s="534"/>
      <c r="R883" s="534"/>
      <c r="S883" s="534"/>
      <c r="T883" s="534"/>
      <c r="U883" s="534"/>
      <c r="V883" s="534"/>
      <c r="W883" s="534"/>
    </row>
    <row r="884">
      <c r="A884" s="755"/>
      <c r="B884" s="534"/>
      <c r="C884" s="534"/>
      <c r="D884" s="534"/>
      <c r="E884" s="534"/>
      <c r="F884" s="802"/>
      <c r="G884" s="530"/>
      <c r="H884" s="804"/>
      <c r="I884" s="631"/>
      <c r="J884" s="631"/>
      <c r="K884" s="631"/>
      <c r="L884" s="530"/>
      <c r="M884" s="530"/>
      <c r="N884" s="530"/>
      <c r="O884" s="530"/>
      <c r="P884" s="758"/>
      <c r="Q884" s="534"/>
      <c r="R884" s="534"/>
      <c r="S884" s="534"/>
      <c r="T884" s="534"/>
      <c r="U884" s="534"/>
      <c r="V884" s="534"/>
      <c r="W884" s="534"/>
    </row>
    <row r="885">
      <c r="A885" s="755"/>
      <c r="B885" s="534"/>
      <c r="C885" s="534"/>
      <c r="D885" s="534"/>
      <c r="E885" s="534"/>
      <c r="F885" s="802"/>
      <c r="G885" s="530"/>
      <c r="H885" s="804"/>
      <c r="I885" s="631"/>
      <c r="J885" s="631"/>
      <c r="K885" s="631"/>
      <c r="L885" s="530"/>
      <c r="M885" s="530"/>
      <c r="N885" s="530"/>
      <c r="O885" s="530"/>
      <c r="P885" s="758"/>
      <c r="Q885" s="534"/>
      <c r="R885" s="534"/>
      <c r="S885" s="534"/>
      <c r="T885" s="534"/>
      <c r="U885" s="534"/>
      <c r="V885" s="534"/>
      <c r="W885" s="534"/>
    </row>
    <row r="886">
      <c r="A886" s="755"/>
      <c r="B886" s="534"/>
      <c r="C886" s="534"/>
      <c r="D886" s="534"/>
      <c r="E886" s="534"/>
      <c r="F886" s="802"/>
      <c r="G886" s="530"/>
      <c r="H886" s="804"/>
      <c r="I886" s="631"/>
      <c r="J886" s="631"/>
      <c r="K886" s="631"/>
      <c r="L886" s="530"/>
      <c r="M886" s="530"/>
      <c r="N886" s="530"/>
      <c r="O886" s="530"/>
      <c r="P886" s="758"/>
      <c r="Q886" s="534"/>
      <c r="R886" s="534"/>
      <c r="S886" s="534"/>
      <c r="T886" s="534"/>
      <c r="U886" s="534"/>
      <c r="V886" s="534"/>
      <c r="W886" s="534"/>
    </row>
    <row r="887">
      <c r="A887" s="755"/>
      <c r="B887" s="534"/>
      <c r="C887" s="534"/>
      <c r="D887" s="534"/>
      <c r="E887" s="534"/>
      <c r="F887" s="802"/>
      <c r="G887" s="530"/>
      <c r="H887" s="804"/>
      <c r="I887" s="631"/>
      <c r="J887" s="631"/>
      <c r="K887" s="631"/>
      <c r="L887" s="530"/>
      <c r="M887" s="530"/>
      <c r="N887" s="530"/>
      <c r="O887" s="530"/>
      <c r="P887" s="758"/>
      <c r="Q887" s="534"/>
      <c r="R887" s="534"/>
      <c r="S887" s="534"/>
      <c r="T887" s="534"/>
      <c r="U887" s="534"/>
      <c r="V887" s="534"/>
      <c r="W887" s="534"/>
    </row>
    <row r="888">
      <c r="A888" s="755"/>
      <c r="B888" s="534"/>
      <c r="C888" s="534"/>
      <c r="D888" s="534"/>
      <c r="E888" s="534"/>
      <c r="F888" s="802"/>
      <c r="G888" s="530"/>
      <c r="H888" s="804"/>
      <c r="I888" s="631"/>
      <c r="J888" s="631"/>
      <c r="K888" s="631"/>
      <c r="L888" s="530"/>
      <c r="M888" s="530"/>
      <c r="N888" s="530"/>
      <c r="O888" s="530"/>
      <c r="P888" s="758"/>
      <c r="Q888" s="534"/>
      <c r="R888" s="534"/>
      <c r="S888" s="534"/>
      <c r="T888" s="534"/>
      <c r="U888" s="534"/>
      <c r="V888" s="534"/>
      <c r="W888" s="534"/>
    </row>
    <row r="889">
      <c r="A889" s="755"/>
      <c r="B889" s="534"/>
      <c r="C889" s="534"/>
      <c r="D889" s="534"/>
      <c r="E889" s="534"/>
      <c r="F889" s="802"/>
      <c r="G889" s="530"/>
      <c r="H889" s="804"/>
      <c r="I889" s="631"/>
      <c r="J889" s="631"/>
      <c r="K889" s="631"/>
      <c r="L889" s="530"/>
      <c r="M889" s="530"/>
      <c r="N889" s="530"/>
      <c r="O889" s="530"/>
      <c r="P889" s="758"/>
      <c r="Q889" s="534"/>
      <c r="R889" s="534"/>
      <c r="S889" s="534"/>
      <c r="T889" s="534"/>
      <c r="U889" s="534"/>
      <c r="V889" s="534"/>
      <c r="W889" s="534"/>
    </row>
    <row r="890">
      <c r="A890" s="755"/>
      <c r="B890" s="534"/>
      <c r="C890" s="534"/>
      <c r="D890" s="534"/>
      <c r="E890" s="534"/>
      <c r="F890" s="802"/>
      <c r="G890" s="530"/>
      <c r="H890" s="804"/>
      <c r="I890" s="631"/>
      <c r="J890" s="631"/>
      <c r="K890" s="631"/>
      <c r="L890" s="530"/>
      <c r="M890" s="530"/>
      <c r="N890" s="530"/>
      <c r="O890" s="530"/>
      <c r="P890" s="758"/>
      <c r="Q890" s="534"/>
      <c r="R890" s="534"/>
      <c r="S890" s="534"/>
      <c r="T890" s="534"/>
      <c r="U890" s="534"/>
      <c r="V890" s="534"/>
      <c r="W890" s="534"/>
    </row>
    <row r="891">
      <c r="A891" s="755"/>
      <c r="B891" s="534"/>
      <c r="C891" s="534"/>
      <c r="D891" s="534"/>
      <c r="E891" s="534"/>
      <c r="F891" s="802"/>
      <c r="G891" s="530"/>
      <c r="H891" s="804"/>
      <c r="I891" s="631"/>
      <c r="J891" s="631"/>
      <c r="K891" s="631"/>
      <c r="L891" s="530"/>
      <c r="M891" s="530"/>
      <c r="N891" s="530"/>
      <c r="O891" s="530"/>
      <c r="P891" s="758"/>
      <c r="Q891" s="534"/>
      <c r="R891" s="534"/>
      <c r="S891" s="534"/>
      <c r="T891" s="534"/>
      <c r="U891" s="534"/>
      <c r="V891" s="534"/>
      <c r="W891" s="534"/>
    </row>
    <row r="892">
      <c r="A892" s="755"/>
      <c r="B892" s="534"/>
      <c r="C892" s="534"/>
      <c r="D892" s="534"/>
      <c r="E892" s="534"/>
      <c r="F892" s="802"/>
      <c r="G892" s="530"/>
      <c r="H892" s="804"/>
      <c r="I892" s="631"/>
      <c r="J892" s="631"/>
      <c r="K892" s="631"/>
      <c r="L892" s="530"/>
      <c r="M892" s="530"/>
      <c r="N892" s="530"/>
      <c r="O892" s="530"/>
      <c r="P892" s="758"/>
      <c r="Q892" s="534"/>
      <c r="R892" s="534"/>
      <c r="S892" s="534"/>
      <c r="T892" s="534"/>
      <c r="U892" s="534"/>
      <c r="V892" s="534"/>
      <c r="W892" s="534"/>
    </row>
    <row r="893">
      <c r="A893" s="755"/>
      <c r="B893" s="534"/>
      <c r="C893" s="534"/>
      <c r="D893" s="534"/>
      <c r="E893" s="534"/>
      <c r="F893" s="802"/>
      <c r="G893" s="530"/>
      <c r="H893" s="804"/>
      <c r="I893" s="631"/>
      <c r="J893" s="631"/>
      <c r="K893" s="631"/>
      <c r="L893" s="530"/>
      <c r="M893" s="530"/>
      <c r="N893" s="530"/>
      <c r="O893" s="530"/>
      <c r="P893" s="758"/>
      <c r="Q893" s="534"/>
      <c r="R893" s="534"/>
      <c r="S893" s="534"/>
      <c r="T893" s="534"/>
      <c r="U893" s="534"/>
      <c r="V893" s="534"/>
      <c r="W893" s="534"/>
    </row>
    <row r="894">
      <c r="A894" s="755"/>
      <c r="B894" s="534"/>
      <c r="C894" s="534"/>
      <c r="D894" s="534"/>
      <c r="E894" s="534"/>
      <c r="F894" s="802"/>
      <c r="G894" s="530"/>
      <c r="H894" s="804"/>
      <c r="I894" s="631"/>
      <c r="J894" s="631"/>
      <c r="K894" s="631"/>
      <c r="L894" s="530"/>
      <c r="M894" s="530"/>
      <c r="N894" s="530"/>
      <c r="O894" s="530"/>
      <c r="P894" s="758"/>
      <c r="Q894" s="534"/>
      <c r="R894" s="534"/>
      <c r="S894" s="534"/>
      <c r="T894" s="534"/>
      <c r="U894" s="534"/>
      <c r="V894" s="534"/>
      <c r="W894" s="534"/>
    </row>
    <row r="895">
      <c r="A895" s="755"/>
      <c r="B895" s="534"/>
      <c r="C895" s="534"/>
      <c r="D895" s="534"/>
      <c r="E895" s="534"/>
      <c r="F895" s="802"/>
      <c r="G895" s="530"/>
      <c r="H895" s="804"/>
      <c r="I895" s="631"/>
      <c r="J895" s="631"/>
      <c r="K895" s="631"/>
      <c r="L895" s="530"/>
      <c r="M895" s="530"/>
      <c r="N895" s="530"/>
      <c r="O895" s="530"/>
      <c r="P895" s="758"/>
      <c r="Q895" s="534"/>
      <c r="R895" s="534"/>
      <c r="S895" s="534"/>
      <c r="T895" s="534"/>
      <c r="U895" s="534"/>
      <c r="V895" s="534"/>
      <c r="W895" s="534"/>
    </row>
    <row r="896">
      <c r="A896" s="755"/>
      <c r="B896" s="534"/>
      <c r="C896" s="534"/>
      <c r="D896" s="534"/>
      <c r="E896" s="534"/>
      <c r="F896" s="802"/>
      <c r="G896" s="530"/>
      <c r="H896" s="804"/>
      <c r="I896" s="631"/>
      <c r="J896" s="631"/>
      <c r="K896" s="631"/>
      <c r="L896" s="530"/>
      <c r="M896" s="530"/>
      <c r="N896" s="530"/>
      <c r="O896" s="530"/>
      <c r="P896" s="758"/>
      <c r="Q896" s="534"/>
      <c r="R896" s="534"/>
      <c r="S896" s="534"/>
      <c r="T896" s="534"/>
      <c r="U896" s="534"/>
      <c r="V896" s="534"/>
      <c r="W896" s="534"/>
    </row>
    <row r="897">
      <c r="A897" s="755"/>
      <c r="B897" s="534"/>
      <c r="C897" s="534"/>
      <c r="D897" s="534"/>
      <c r="E897" s="534"/>
      <c r="F897" s="802"/>
      <c r="G897" s="530"/>
      <c r="H897" s="804"/>
      <c r="I897" s="631"/>
      <c r="J897" s="631"/>
      <c r="K897" s="631"/>
      <c r="L897" s="530"/>
      <c r="M897" s="530"/>
      <c r="N897" s="530"/>
      <c r="O897" s="530"/>
      <c r="P897" s="758"/>
      <c r="Q897" s="534"/>
      <c r="R897" s="534"/>
      <c r="S897" s="534"/>
      <c r="T897" s="534"/>
      <c r="U897" s="534"/>
      <c r="V897" s="534"/>
      <c r="W897" s="534"/>
    </row>
    <row r="898">
      <c r="A898" s="755"/>
      <c r="B898" s="534"/>
      <c r="C898" s="534"/>
      <c r="D898" s="534"/>
      <c r="E898" s="534"/>
      <c r="F898" s="802"/>
      <c r="G898" s="530"/>
      <c r="H898" s="804"/>
      <c r="I898" s="631"/>
      <c r="J898" s="631"/>
      <c r="K898" s="631"/>
      <c r="L898" s="530"/>
      <c r="M898" s="530"/>
      <c r="N898" s="530"/>
      <c r="O898" s="530"/>
      <c r="P898" s="758"/>
      <c r="Q898" s="534"/>
      <c r="R898" s="534"/>
      <c r="S898" s="534"/>
      <c r="T898" s="534"/>
      <c r="U898" s="534"/>
      <c r="V898" s="534"/>
      <c r="W898" s="534"/>
    </row>
    <row r="899">
      <c r="A899" s="755"/>
      <c r="B899" s="534"/>
      <c r="C899" s="534"/>
      <c r="D899" s="534"/>
      <c r="E899" s="534"/>
      <c r="F899" s="802"/>
      <c r="G899" s="530"/>
      <c r="H899" s="804"/>
      <c r="I899" s="631"/>
      <c r="J899" s="631"/>
      <c r="K899" s="631"/>
      <c r="L899" s="530"/>
      <c r="M899" s="530"/>
      <c r="N899" s="530"/>
      <c r="O899" s="530"/>
      <c r="P899" s="758"/>
      <c r="Q899" s="534"/>
      <c r="R899" s="534"/>
      <c r="S899" s="534"/>
      <c r="T899" s="534"/>
      <c r="U899" s="534"/>
      <c r="V899" s="534"/>
      <c r="W899" s="534"/>
    </row>
    <row r="900">
      <c r="A900" s="755"/>
      <c r="B900" s="534"/>
      <c r="C900" s="534"/>
      <c r="D900" s="534"/>
      <c r="E900" s="534"/>
      <c r="F900" s="802"/>
      <c r="G900" s="530"/>
      <c r="H900" s="804"/>
      <c r="I900" s="631"/>
      <c r="J900" s="631"/>
      <c r="K900" s="631"/>
      <c r="L900" s="530"/>
      <c r="M900" s="530"/>
      <c r="N900" s="530"/>
      <c r="O900" s="530"/>
      <c r="P900" s="758"/>
      <c r="Q900" s="534"/>
      <c r="R900" s="534"/>
      <c r="S900" s="534"/>
      <c r="T900" s="534"/>
      <c r="U900" s="534"/>
      <c r="V900" s="534"/>
      <c r="W900" s="534"/>
    </row>
    <row r="901">
      <c r="A901" s="755"/>
      <c r="B901" s="534"/>
      <c r="C901" s="534"/>
      <c r="D901" s="534"/>
      <c r="E901" s="534"/>
      <c r="F901" s="802"/>
      <c r="G901" s="530"/>
      <c r="H901" s="804"/>
      <c r="I901" s="631"/>
      <c r="J901" s="631"/>
      <c r="K901" s="631"/>
      <c r="L901" s="530"/>
      <c r="M901" s="530"/>
      <c r="N901" s="530"/>
      <c r="O901" s="530"/>
      <c r="P901" s="758"/>
      <c r="Q901" s="534"/>
      <c r="R901" s="534"/>
      <c r="S901" s="534"/>
      <c r="T901" s="534"/>
      <c r="U901" s="534"/>
      <c r="V901" s="534"/>
      <c r="W901" s="534"/>
    </row>
    <row r="902">
      <c r="A902" s="755"/>
      <c r="B902" s="534"/>
      <c r="C902" s="534"/>
      <c r="D902" s="534"/>
      <c r="E902" s="534"/>
      <c r="F902" s="802"/>
      <c r="G902" s="530"/>
      <c r="H902" s="804"/>
      <c r="I902" s="631"/>
      <c r="J902" s="631"/>
      <c r="K902" s="631"/>
      <c r="L902" s="530"/>
      <c r="M902" s="530"/>
      <c r="N902" s="530"/>
      <c r="O902" s="530"/>
      <c r="P902" s="758"/>
      <c r="Q902" s="534"/>
      <c r="R902" s="534"/>
      <c r="S902" s="534"/>
      <c r="T902" s="534"/>
      <c r="U902" s="534"/>
      <c r="V902" s="534"/>
      <c r="W902" s="534"/>
    </row>
    <row r="903">
      <c r="A903" s="755"/>
      <c r="B903" s="534"/>
      <c r="C903" s="534"/>
      <c r="D903" s="534"/>
      <c r="E903" s="534"/>
      <c r="F903" s="802"/>
      <c r="G903" s="530"/>
      <c r="H903" s="804"/>
      <c r="I903" s="631"/>
      <c r="J903" s="631"/>
      <c r="K903" s="631"/>
      <c r="L903" s="530"/>
      <c r="M903" s="530"/>
      <c r="N903" s="530"/>
      <c r="O903" s="530"/>
      <c r="P903" s="758"/>
      <c r="Q903" s="534"/>
      <c r="R903" s="534"/>
      <c r="S903" s="534"/>
      <c r="T903" s="534"/>
      <c r="U903" s="534"/>
      <c r="V903" s="534"/>
      <c r="W903" s="534"/>
    </row>
    <row r="904">
      <c r="A904" s="755"/>
      <c r="B904" s="534"/>
      <c r="C904" s="534"/>
      <c r="D904" s="534"/>
      <c r="E904" s="534"/>
      <c r="F904" s="802"/>
      <c r="G904" s="530"/>
      <c r="H904" s="804"/>
      <c r="I904" s="631"/>
      <c r="J904" s="631"/>
      <c r="K904" s="631"/>
      <c r="L904" s="530"/>
      <c r="M904" s="530"/>
      <c r="N904" s="530"/>
      <c r="O904" s="530"/>
      <c r="P904" s="758"/>
      <c r="Q904" s="534"/>
      <c r="R904" s="534"/>
      <c r="S904" s="534"/>
      <c r="T904" s="534"/>
      <c r="U904" s="534"/>
      <c r="V904" s="534"/>
      <c r="W904" s="534"/>
    </row>
    <row r="905">
      <c r="A905" s="755"/>
      <c r="B905" s="534"/>
      <c r="C905" s="534"/>
      <c r="D905" s="534"/>
      <c r="E905" s="534"/>
      <c r="F905" s="802"/>
      <c r="G905" s="530"/>
      <c r="H905" s="804"/>
      <c r="I905" s="631"/>
      <c r="J905" s="631"/>
      <c r="K905" s="631"/>
      <c r="L905" s="530"/>
      <c r="M905" s="530"/>
      <c r="N905" s="530"/>
      <c r="O905" s="530"/>
      <c r="P905" s="758"/>
      <c r="Q905" s="534"/>
      <c r="R905" s="534"/>
      <c r="S905" s="534"/>
      <c r="T905" s="534"/>
      <c r="U905" s="534"/>
      <c r="V905" s="534"/>
      <c r="W905" s="534"/>
    </row>
    <row r="906">
      <c r="A906" s="755"/>
      <c r="B906" s="534"/>
      <c r="C906" s="534"/>
      <c r="D906" s="534"/>
      <c r="E906" s="534"/>
      <c r="F906" s="802"/>
      <c r="G906" s="530"/>
      <c r="H906" s="804"/>
      <c r="I906" s="631"/>
      <c r="J906" s="631"/>
      <c r="K906" s="631"/>
      <c r="L906" s="530"/>
      <c r="M906" s="530"/>
      <c r="N906" s="530"/>
      <c r="O906" s="530"/>
      <c r="P906" s="758"/>
      <c r="Q906" s="534"/>
      <c r="R906" s="534"/>
      <c r="S906" s="534"/>
      <c r="T906" s="534"/>
      <c r="U906" s="534"/>
      <c r="V906" s="534"/>
      <c r="W906" s="534"/>
    </row>
    <row r="907">
      <c r="A907" s="755"/>
      <c r="B907" s="534"/>
      <c r="C907" s="534"/>
      <c r="D907" s="534"/>
      <c r="E907" s="534"/>
      <c r="F907" s="802"/>
      <c r="G907" s="530"/>
      <c r="H907" s="804"/>
      <c r="I907" s="631"/>
      <c r="J907" s="631"/>
      <c r="K907" s="631"/>
      <c r="L907" s="530"/>
      <c r="M907" s="530"/>
      <c r="N907" s="530"/>
      <c r="O907" s="530"/>
      <c r="P907" s="758"/>
      <c r="Q907" s="534"/>
      <c r="R907" s="534"/>
      <c r="S907" s="534"/>
      <c r="T907" s="534"/>
      <c r="U907" s="534"/>
      <c r="V907" s="534"/>
      <c r="W907" s="534"/>
    </row>
    <row r="908">
      <c r="A908" s="755"/>
      <c r="B908" s="534"/>
      <c r="C908" s="534"/>
      <c r="D908" s="534"/>
      <c r="E908" s="534"/>
      <c r="F908" s="802"/>
      <c r="G908" s="530"/>
      <c r="H908" s="804"/>
      <c r="I908" s="631"/>
      <c r="J908" s="631"/>
      <c r="K908" s="631"/>
      <c r="L908" s="530"/>
      <c r="M908" s="530"/>
      <c r="N908" s="530"/>
      <c r="O908" s="530"/>
      <c r="P908" s="758"/>
      <c r="Q908" s="534"/>
      <c r="R908" s="534"/>
      <c r="S908" s="534"/>
      <c r="T908" s="534"/>
      <c r="U908" s="534"/>
      <c r="V908" s="534"/>
      <c r="W908" s="534"/>
    </row>
    <row r="909">
      <c r="A909" s="755"/>
      <c r="B909" s="534"/>
      <c r="C909" s="534"/>
      <c r="D909" s="534"/>
      <c r="E909" s="534"/>
      <c r="F909" s="802"/>
      <c r="G909" s="530"/>
      <c r="H909" s="804"/>
      <c r="I909" s="631"/>
      <c r="J909" s="631"/>
      <c r="K909" s="631"/>
      <c r="L909" s="530"/>
      <c r="M909" s="530"/>
      <c r="N909" s="530"/>
      <c r="O909" s="530"/>
      <c r="P909" s="758"/>
      <c r="Q909" s="534"/>
      <c r="R909" s="534"/>
      <c r="S909" s="534"/>
      <c r="T909" s="534"/>
      <c r="U909" s="534"/>
      <c r="V909" s="534"/>
      <c r="W909" s="534"/>
    </row>
    <row r="910">
      <c r="A910" s="755"/>
      <c r="B910" s="534"/>
      <c r="C910" s="534"/>
      <c r="D910" s="534"/>
      <c r="E910" s="534"/>
      <c r="F910" s="802"/>
      <c r="G910" s="530"/>
      <c r="H910" s="804"/>
      <c r="I910" s="631"/>
      <c r="J910" s="631"/>
      <c r="K910" s="631"/>
      <c r="L910" s="530"/>
      <c r="M910" s="530"/>
      <c r="N910" s="530"/>
      <c r="O910" s="530"/>
      <c r="P910" s="758"/>
      <c r="Q910" s="534"/>
      <c r="R910" s="534"/>
      <c r="S910" s="534"/>
      <c r="T910" s="534"/>
      <c r="U910" s="534"/>
      <c r="V910" s="534"/>
      <c r="W910" s="534"/>
    </row>
    <row r="911">
      <c r="A911" s="755"/>
      <c r="B911" s="534"/>
      <c r="C911" s="534"/>
      <c r="D911" s="534"/>
      <c r="E911" s="534"/>
      <c r="F911" s="802"/>
      <c r="G911" s="530"/>
      <c r="H911" s="804"/>
      <c r="I911" s="631"/>
      <c r="J911" s="631"/>
      <c r="K911" s="631"/>
      <c r="L911" s="530"/>
      <c r="M911" s="530"/>
      <c r="N911" s="530"/>
      <c r="O911" s="530"/>
      <c r="P911" s="758"/>
      <c r="Q911" s="534"/>
      <c r="R911" s="534"/>
      <c r="S911" s="534"/>
      <c r="T911" s="534"/>
      <c r="U911" s="534"/>
      <c r="V911" s="534"/>
      <c r="W911" s="534"/>
    </row>
    <row r="912">
      <c r="A912" s="755"/>
      <c r="B912" s="534"/>
      <c r="C912" s="534"/>
      <c r="D912" s="534"/>
      <c r="E912" s="534"/>
      <c r="F912" s="802"/>
      <c r="G912" s="530"/>
      <c r="H912" s="804"/>
      <c r="I912" s="631"/>
      <c r="J912" s="631"/>
      <c r="K912" s="631"/>
      <c r="L912" s="530"/>
      <c r="M912" s="530"/>
      <c r="N912" s="530"/>
      <c r="O912" s="530"/>
      <c r="P912" s="758"/>
      <c r="Q912" s="534"/>
      <c r="R912" s="534"/>
      <c r="S912" s="534"/>
      <c r="T912" s="534"/>
      <c r="U912" s="534"/>
      <c r="V912" s="534"/>
      <c r="W912" s="534"/>
    </row>
    <row r="913">
      <c r="A913" s="755"/>
      <c r="B913" s="534"/>
      <c r="C913" s="534"/>
      <c r="D913" s="534"/>
      <c r="E913" s="534"/>
      <c r="F913" s="802"/>
      <c r="G913" s="530"/>
      <c r="H913" s="804"/>
      <c r="I913" s="631"/>
      <c r="J913" s="631"/>
      <c r="K913" s="631"/>
      <c r="L913" s="530"/>
      <c r="M913" s="530"/>
      <c r="N913" s="530"/>
      <c r="O913" s="530"/>
      <c r="P913" s="758"/>
      <c r="Q913" s="534"/>
      <c r="R913" s="534"/>
      <c r="S913" s="534"/>
      <c r="T913" s="534"/>
      <c r="U913" s="534"/>
      <c r="V913" s="534"/>
      <c r="W913" s="534"/>
    </row>
    <row r="914">
      <c r="A914" s="755"/>
      <c r="B914" s="534"/>
      <c r="C914" s="534"/>
      <c r="D914" s="534"/>
      <c r="E914" s="534"/>
      <c r="F914" s="802"/>
      <c r="G914" s="530"/>
      <c r="H914" s="804"/>
      <c r="I914" s="631"/>
      <c r="J914" s="631"/>
      <c r="K914" s="631"/>
      <c r="L914" s="530"/>
      <c r="M914" s="530"/>
      <c r="N914" s="530"/>
      <c r="O914" s="530"/>
      <c r="P914" s="758"/>
      <c r="Q914" s="534"/>
      <c r="R914" s="534"/>
      <c r="S914" s="534"/>
      <c r="T914" s="534"/>
      <c r="U914" s="534"/>
      <c r="V914" s="534"/>
      <c r="W914" s="534"/>
    </row>
    <row r="915">
      <c r="A915" s="755"/>
      <c r="B915" s="534"/>
      <c r="C915" s="534"/>
      <c r="D915" s="534"/>
      <c r="E915" s="534"/>
      <c r="F915" s="802"/>
      <c r="G915" s="530"/>
      <c r="H915" s="804"/>
      <c r="I915" s="631"/>
      <c r="J915" s="631"/>
      <c r="K915" s="631"/>
      <c r="L915" s="530"/>
      <c r="M915" s="530"/>
      <c r="N915" s="530"/>
      <c r="O915" s="530"/>
      <c r="P915" s="758"/>
      <c r="Q915" s="534"/>
      <c r="R915" s="534"/>
      <c r="S915" s="534"/>
      <c r="T915" s="534"/>
      <c r="U915" s="534"/>
      <c r="V915" s="534"/>
      <c r="W915" s="534"/>
    </row>
    <row r="916">
      <c r="A916" s="755"/>
      <c r="B916" s="534"/>
      <c r="C916" s="534"/>
      <c r="D916" s="534"/>
      <c r="E916" s="534"/>
      <c r="F916" s="802"/>
      <c r="G916" s="530"/>
      <c r="H916" s="804"/>
      <c r="I916" s="631"/>
      <c r="J916" s="631"/>
      <c r="K916" s="631"/>
      <c r="L916" s="530"/>
      <c r="M916" s="530"/>
      <c r="N916" s="530"/>
      <c r="O916" s="530"/>
      <c r="P916" s="758"/>
      <c r="Q916" s="534"/>
      <c r="R916" s="534"/>
      <c r="S916" s="534"/>
      <c r="T916" s="534"/>
      <c r="U916" s="534"/>
      <c r="V916" s="534"/>
      <c r="W916" s="534"/>
    </row>
    <row r="917">
      <c r="A917" s="755"/>
      <c r="B917" s="534"/>
      <c r="C917" s="534"/>
      <c r="D917" s="534"/>
      <c r="E917" s="534"/>
      <c r="F917" s="802"/>
      <c r="G917" s="530"/>
      <c r="H917" s="804"/>
      <c r="I917" s="631"/>
      <c r="J917" s="631"/>
      <c r="K917" s="631"/>
      <c r="L917" s="530"/>
      <c r="M917" s="530"/>
      <c r="N917" s="530"/>
      <c r="O917" s="530"/>
      <c r="P917" s="758"/>
      <c r="Q917" s="534"/>
      <c r="R917" s="534"/>
      <c r="S917" s="534"/>
      <c r="T917" s="534"/>
      <c r="U917" s="534"/>
      <c r="V917" s="534"/>
      <c r="W917" s="534"/>
    </row>
    <row r="918">
      <c r="A918" s="755"/>
      <c r="B918" s="534"/>
      <c r="C918" s="534"/>
      <c r="D918" s="534"/>
      <c r="E918" s="534"/>
      <c r="F918" s="802"/>
      <c r="G918" s="530"/>
      <c r="H918" s="804"/>
      <c r="I918" s="631"/>
      <c r="J918" s="631"/>
      <c r="K918" s="631"/>
      <c r="L918" s="530"/>
      <c r="M918" s="530"/>
      <c r="N918" s="530"/>
      <c r="O918" s="530"/>
      <c r="P918" s="758"/>
      <c r="Q918" s="534"/>
      <c r="R918" s="534"/>
      <c r="S918" s="534"/>
      <c r="T918" s="534"/>
      <c r="U918" s="534"/>
      <c r="V918" s="534"/>
      <c r="W918" s="534"/>
    </row>
    <row r="919">
      <c r="A919" s="755"/>
      <c r="B919" s="534"/>
      <c r="C919" s="534"/>
      <c r="D919" s="534"/>
      <c r="E919" s="534"/>
      <c r="F919" s="802"/>
      <c r="G919" s="530"/>
      <c r="H919" s="804"/>
      <c r="I919" s="631"/>
      <c r="J919" s="631"/>
      <c r="K919" s="631"/>
      <c r="L919" s="530"/>
      <c r="M919" s="530"/>
      <c r="N919" s="530"/>
      <c r="O919" s="530"/>
      <c r="P919" s="758"/>
      <c r="Q919" s="534"/>
      <c r="R919" s="534"/>
      <c r="S919" s="534"/>
      <c r="T919" s="534"/>
      <c r="U919" s="534"/>
      <c r="V919" s="534"/>
      <c r="W919" s="534"/>
    </row>
    <row r="920">
      <c r="A920" s="755"/>
      <c r="B920" s="534"/>
      <c r="C920" s="534"/>
      <c r="D920" s="534"/>
      <c r="E920" s="534"/>
      <c r="F920" s="802"/>
      <c r="G920" s="530"/>
      <c r="H920" s="804"/>
      <c r="I920" s="631"/>
      <c r="J920" s="631"/>
      <c r="K920" s="631"/>
      <c r="L920" s="530"/>
      <c r="M920" s="530"/>
      <c r="N920" s="530"/>
      <c r="O920" s="530"/>
      <c r="P920" s="758"/>
      <c r="Q920" s="534"/>
      <c r="R920" s="534"/>
      <c r="S920" s="534"/>
      <c r="T920" s="534"/>
      <c r="U920" s="534"/>
      <c r="V920" s="534"/>
      <c r="W920" s="534"/>
    </row>
    <row r="921">
      <c r="A921" s="755"/>
      <c r="B921" s="534"/>
      <c r="C921" s="534"/>
      <c r="D921" s="534"/>
      <c r="E921" s="534"/>
      <c r="F921" s="802"/>
      <c r="G921" s="530"/>
      <c r="H921" s="804"/>
      <c r="I921" s="631"/>
      <c r="J921" s="631"/>
      <c r="K921" s="631"/>
      <c r="L921" s="530"/>
      <c r="M921" s="530"/>
      <c r="N921" s="530"/>
      <c r="O921" s="530"/>
      <c r="P921" s="758"/>
      <c r="Q921" s="534"/>
      <c r="R921" s="534"/>
      <c r="S921" s="534"/>
      <c r="T921" s="534"/>
      <c r="U921" s="534"/>
      <c r="V921" s="534"/>
      <c r="W921" s="534"/>
    </row>
    <row r="922">
      <c r="A922" s="755"/>
      <c r="B922" s="534"/>
      <c r="C922" s="534"/>
      <c r="D922" s="534"/>
      <c r="E922" s="534"/>
      <c r="F922" s="802"/>
      <c r="G922" s="530"/>
      <c r="H922" s="804"/>
      <c r="I922" s="631"/>
      <c r="J922" s="631"/>
      <c r="K922" s="631"/>
      <c r="L922" s="530"/>
      <c r="M922" s="530"/>
      <c r="N922" s="530"/>
      <c r="O922" s="530"/>
      <c r="P922" s="758"/>
      <c r="Q922" s="534"/>
      <c r="R922" s="534"/>
      <c r="S922" s="534"/>
      <c r="T922" s="534"/>
      <c r="U922" s="534"/>
      <c r="V922" s="534"/>
      <c r="W922" s="534"/>
    </row>
    <row r="923">
      <c r="A923" s="755"/>
      <c r="B923" s="534"/>
      <c r="C923" s="534"/>
      <c r="D923" s="534"/>
      <c r="E923" s="534"/>
      <c r="F923" s="802"/>
      <c r="G923" s="530"/>
      <c r="H923" s="804"/>
      <c r="I923" s="631"/>
      <c r="J923" s="631"/>
      <c r="K923" s="631"/>
      <c r="L923" s="530"/>
      <c r="M923" s="530"/>
      <c r="N923" s="530"/>
      <c r="O923" s="530"/>
      <c r="P923" s="758"/>
      <c r="Q923" s="534"/>
      <c r="R923" s="534"/>
      <c r="S923" s="534"/>
      <c r="T923" s="534"/>
      <c r="U923" s="534"/>
      <c r="V923" s="534"/>
      <c r="W923" s="534"/>
    </row>
    <row r="924">
      <c r="A924" s="755"/>
      <c r="B924" s="534"/>
      <c r="C924" s="534"/>
      <c r="D924" s="534"/>
      <c r="E924" s="534"/>
      <c r="F924" s="802"/>
      <c r="G924" s="530"/>
      <c r="H924" s="804"/>
      <c r="I924" s="631"/>
      <c r="J924" s="631"/>
      <c r="K924" s="631"/>
      <c r="L924" s="530"/>
      <c r="M924" s="530"/>
      <c r="N924" s="530"/>
      <c r="O924" s="530"/>
      <c r="P924" s="758"/>
      <c r="Q924" s="534"/>
      <c r="R924" s="534"/>
      <c r="S924" s="534"/>
      <c r="T924" s="534"/>
      <c r="U924" s="534"/>
      <c r="V924" s="534"/>
      <c r="W924" s="534"/>
    </row>
    <row r="925">
      <c r="A925" s="755"/>
      <c r="B925" s="534"/>
      <c r="C925" s="534"/>
      <c r="D925" s="534"/>
      <c r="E925" s="534"/>
      <c r="F925" s="802"/>
      <c r="G925" s="530"/>
      <c r="H925" s="804"/>
      <c r="I925" s="631"/>
      <c r="J925" s="631"/>
      <c r="K925" s="631"/>
      <c r="L925" s="530"/>
      <c r="M925" s="530"/>
      <c r="N925" s="530"/>
      <c r="O925" s="530"/>
      <c r="P925" s="758"/>
      <c r="Q925" s="534"/>
      <c r="R925" s="534"/>
      <c r="S925" s="534"/>
      <c r="T925" s="534"/>
      <c r="U925" s="534"/>
      <c r="V925" s="534"/>
      <c r="W925" s="534"/>
    </row>
    <row r="926">
      <c r="A926" s="755"/>
      <c r="B926" s="534"/>
      <c r="C926" s="534"/>
      <c r="D926" s="534"/>
      <c r="E926" s="534"/>
      <c r="F926" s="802"/>
      <c r="G926" s="530"/>
      <c r="H926" s="804"/>
      <c r="I926" s="631"/>
      <c r="J926" s="631"/>
      <c r="K926" s="631"/>
      <c r="L926" s="530"/>
      <c r="M926" s="530"/>
      <c r="N926" s="530"/>
      <c r="O926" s="530"/>
      <c r="P926" s="758"/>
      <c r="Q926" s="534"/>
      <c r="R926" s="534"/>
      <c r="S926" s="534"/>
      <c r="T926" s="534"/>
      <c r="U926" s="534"/>
      <c r="V926" s="534"/>
      <c r="W926" s="534"/>
    </row>
    <row r="927">
      <c r="A927" s="755"/>
      <c r="B927" s="534"/>
      <c r="C927" s="534"/>
      <c r="D927" s="534"/>
      <c r="E927" s="534"/>
      <c r="F927" s="802"/>
      <c r="G927" s="530"/>
      <c r="H927" s="804"/>
      <c r="I927" s="631"/>
      <c r="J927" s="631"/>
      <c r="K927" s="631"/>
      <c r="L927" s="530"/>
      <c r="M927" s="530"/>
      <c r="N927" s="530"/>
      <c r="O927" s="530"/>
      <c r="P927" s="758"/>
      <c r="Q927" s="534"/>
      <c r="R927" s="534"/>
      <c r="S927" s="534"/>
      <c r="T927" s="534"/>
      <c r="U927" s="534"/>
      <c r="V927" s="534"/>
      <c r="W927" s="534"/>
    </row>
    <row r="928">
      <c r="A928" s="755"/>
      <c r="B928" s="534"/>
      <c r="C928" s="534"/>
      <c r="D928" s="534"/>
      <c r="E928" s="534"/>
      <c r="F928" s="802"/>
      <c r="G928" s="530"/>
      <c r="H928" s="804"/>
      <c r="I928" s="631"/>
      <c r="J928" s="631"/>
      <c r="K928" s="631"/>
      <c r="L928" s="530"/>
      <c r="M928" s="530"/>
      <c r="N928" s="530"/>
      <c r="O928" s="530"/>
      <c r="P928" s="758"/>
      <c r="Q928" s="534"/>
      <c r="R928" s="534"/>
      <c r="S928" s="534"/>
      <c r="T928" s="534"/>
      <c r="U928" s="534"/>
      <c r="V928" s="534"/>
      <c r="W928" s="534"/>
    </row>
    <row r="929">
      <c r="A929" s="755"/>
      <c r="B929" s="534"/>
      <c r="C929" s="534"/>
      <c r="D929" s="534"/>
      <c r="E929" s="534"/>
      <c r="F929" s="802"/>
      <c r="G929" s="530"/>
      <c r="H929" s="804"/>
      <c r="I929" s="631"/>
      <c r="J929" s="631"/>
      <c r="K929" s="631"/>
      <c r="L929" s="530"/>
      <c r="M929" s="530"/>
      <c r="N929" s="530"/>
      <c r="O929" s="530"/>
      <c r="P929" s="758"/>
      <c r="Q929" s="534"/>
      <c r="R929" s="534"/>
      <c r="S929" s="534"/>
      <c r="T929" s="534"/>
      <c r="U929" s="534"/>
      <c r="V929" s="534"/>
      <c r="W929" s="534"/>
    </row>
    <row r="930">
      <c r="A930" s="755"/>
      <c r="B930" s="534"/>
      <c r="C930" s="534"/>
      <c r="D930" s="534"/>
      <c r="E930" s="534"/>
      <c r="F930" s="802"/>
      <c r="G930" s="530"/>
      <c r="H930" s="804"/>
      <c r="I930" s="631"/>
      <c r="J930" s="631"/>
      <c r="K930" s="631"/>
      <c r="L930" s="530"/>
      <c r="M930" s="530"/>
      <c r="N930" s="530"/>
      <c r="O930" s="530"/>
      <c r="P930" s="758"/>
      <c r="Q930" s="534"/>
      <c r="R930" s="534"/>
      <c r="S930" s="534"/>
      <c r="T930" s="534"/>
      <c r="U930" s="534"/>
      <c r="V930" s="534"/>
      <c r="W930" s="534"/>
    </row>
    <row r="931">
      <c r="A931" s="755"/>
      <c r="B931" s="534"/>
      <c r="C931" s="534"/>
      <c r="D931" s="534"/>
      <c r="E931" s="534"/>
      <c r="F931" s="802"/>
      <c r="G931" s="530"/>
      <c r="H931" s="804"/>
      <c r="I931" s="631"/>
      <c r="J931" s="631"/>
      <c r="K931" s="631"/>
      <c r="L931" s="530"/>
      <c r="M931" s="530"/>
      <c r="N931" s="530"/>
      <c r="O931" s="530"/>
      <c r="P931" s="758"/>
      <c r="Q931" s="534"/>
      <c r="R931" s="534"/>
      <c r="S931" s="534"/>
      <c r="T931" s="534"/>
      <c r="U931" s="534"/>
      <c r="V931" s="534"/>
      <c r="W931" s="534"/>
    </row>
    <row r="932">
      <c r="A932" s="755"/>
      <c r="B932" s="534"/>
      <c r="C932" s="534"/>
      <c r="D932" s="534"/>
      <c r="E932" s="534"/>
      <c r="F932" s="802"/>
      <c r="G932" s="530"/>
      <c r="H932" s="804"/>
      <c r="I932" s="631"/>
      <c r="J932" s="631"/>
      <c r="K932" s="631"/>
      <c r="L932" s="530"/>
      <c r="M932" s="530"/>
      <c r="N932" s="530"/>
      <c r="O932" s="530"/>
      <c r="P932" s="758"/>
      <c r="Q932" s="534"/>
      <c r="R932" s="534"/>
      <c r="S932" s="534"/>
      <c r="T932" s="534"/>
      <c r="U932" s="534"/>
      <c r="V932" s="534"/>
      <c r="W932" s="534"/>
    </row>
    <row r="933">
      <c r="A933" s="755"/>
      <c r="B933" s="534"/>
      <c r="C933" s="534"/>
      <c r="D933" s="534"/>
      <c r="E933" s="534"/>
      <c r="F933" s="802"/>
      <c r="G933" s="530"/>
      <c r="H933" s="804"/>
      <c r="I933" s="631"/>
      <c r="J933" s="631"/>
      <c r="K933" s="631"/>
      <c r="L933" s="530"/>
      <c r="M933" s="530"/>
      <c r="N933" s="530"/>
      <c r="O933" s="530"/>
      <c r="P933" s="758"/>
      <c r="Q933" s="534"/>
      <c r="R933" s="534"/>
      <c r="S933" s="534"/>
      <c r="T933" s="534"/>
      <c r="U933" s="534"/>
      <c r="V933" s="534"/>
      <c r="W933" s="534"/>
    </row>
    <row r="934">
      <c r="A934" s="755"/>
      <c r="B934" s="534"/>
      <c r="C934" s="534"/>
      <c r="D934" s="534"/>
      <c r="E934" s="534"/>
      <c r="F934" s="802"/>
      <c r="G934" s="530"/>
      <c r="H934" s="804"/>
      <c r="I934" s="631"/>
      <c r="J934" s="631"/>
      <c r="K934" s="631"/>
      <c r="L934" s="530"/>
      <c r="M934" s="530"/>
      <c r="N934" s="530"/>
      <c r="O934" s="530"/>
      <c r="P934" s="758"/>
      <c r="Q934" s="534"/>
      <c r="R934" s="534"/>
      <c r="S934" s="534"/>
      <c r="T934" s="534"/>
      <c r="U934" s="534"/>
      <c r="V934" s="534"/>
      <c r="W934" s="534"/>
    </row>
    <row r="935">
      <c r="A935" s="755"/>
      <c r="B935" s="534"/>
      <c r="C935" s="534"/>
      <c r="D935" s="534"/>
      <c r="E935" s="534"/>
      <c r="F935" s="802"/>
      <c r="G935" s="530"/>
      <c r="H935" s="804"/>
      <c r="I935" s="631"/>
      <c r="J935" s="631"/>
      <c r="K935" s="631"/>
      <c r="L935" s="530"/>
      <c r="M935" s="530"/>
      <c r="N935" s="530"/>
      <c r="O935" s="530"/>
      <c r="P935" s="758"/>
      <c r="Q935" s="534"/>
      <c r="R935" s="534"/>
      <c r="S935" s="534"/>
      <c r="T935" s="534"/>
      <c r="U935" s="534"/>
      <c r="V935" s="534"/>
      <c r="W935" s="534"/>
    </row>
    <row r="936">
      <c r="A936" s="755"/>
      <c r="B936" s="534"/>
      <c r="C936" s="534"/>
      <c r="D936" s="534"/>
      <c r="E936" s="534"/>
      <c r="F936" s="802"/>
      <c r="G936" s="530"/>
      <c r="H936" s="804"/>
      <c r="I936" s="631"/>
      <c r="J936" s="631"/>
      <c r="K936" s="631"/>
      <c r="L936" s="530"/>
      <c r="M936" s="530"/>
      <c r="N936" s="530"/>
      <c r="O936" s="530"/>
      <c r="P936" s="758"/>
      <c r="Q936" s="534"/>
      <c r="R936" s="534"/>
      <c r="S936" s="534"/>
      <c r="T936" s="534"/>
      <c r="U936" s="534"/>
      <c r="V936" s="534"/>
      <c r="W936" s="534"/>
    </row>
    <row r="937">
      <c r="A937" s="755"/>
      <c r="B937" s="534"/>
      <c r="C937" s="534"/>
      <c r="D937" s="534"/>
      <c r="E937" s="534"/>
      <c r="F937" s="802"/>
      <c r="G937" s="530"/>
      <c r="H937" s="804"/>
      <c r="I937" s="631"/>
      <c r="J937" s="631"/>
      <c r="K937" s="631"/>
      <c r="L937" s="530"/>
      <c r="M937" s="530"/>
      <c r="N937" s="530"/>
      <c r="O937" s="530"/>
      <c r="P937" s="758"/>
      <c r="Q937" s="534"/>
      <c r="R937" s="534"/>
      <c r="S937" s="534"/>
      <c r="T937" s="534"/>
      <c r="U937" s="534"/>
      <c r="V937" s="534"/>
      <c r="W937" s="534"/>
    </row>
    <row r="938">
      <c r="A938" s="755"/>
      <c r="B938" s="534"/>
      <c r="C938" s="534"/>
      <c r="D938" s="534"/>
      <c r="E938" s="534"/>
      <c r="F938" s="802"/>
      <c r="G938" s="530"/>
      <c r="H938" s="804"/>
      <c r="I938" s="631"/>
      <c r="J938" s="631"/>
      <c r="K938" s="631"/>
      <c r="L938" s="530"/>
      <c r="M938" s="530"/>
      <c r="N938" s="530"/>
      <c r="O938" s="530"/>
      <c r="P938" s="758"/>
      <c r="Q938" s="534"/>
      <c r="R938" s="534"/>
      <c r="S938" s="534"/>
      <c r="T938" s="534"/>
      <c r="U938" s="534"/>
      <c r="V938" s="534"/>
      <c r="W938" s="534"/>
    </row>
    <row r="939">
      <c r="A939" s="755"/>
      <c r="B939" s="534"/>
      <c r="C939" s="534"/>
      <c r="D939" s="534"/>
      <c r="E939" s="534"/>
      <c r="F939" s="802"/>
      <c r="G939" s="530"/>
      <c r="H939" s="804"/>
      <c r="I939" s="631"/>
      <c r="J939" s="631"/>
      <c r="K939" s="631"/>
      <c r="L939" s="530"/>
      <c r="M939" s="530"/>
      <c r="N939" s="530"/>
      <c r="O939" s="530"/>
      <c r="P939" s="758"/>
      <c r="Q939" s="534"/>
      <c r="R939" s="534"/>
      <c r="S939" s="534"/>
      <c r="T939" s="534"/>
      <c r="U939" s="534"/>
      <c r="V939" s="534"/>
      <c r="W939" s="534"/>
    </row>
    <row r="940">
      <c r="A940" s="755"/>
      <c r="B940" s="534"/>
      <c r="C940" s="534"/>
      <c r="D940" s="534"/>
      <c r="E940" s="534"/>
      <c r="F940" s="802"/>
      <c r="G940" s="530"/>
      <c r="H940" s="804"/>
      <c r="I940" s="631"/>
      <c r="J940" s="631"/>
      <c r="K940" s="631"/>
      <c r="L940" s="530"/>
      <c r="M940" s="530"/>
      <c r="N940" s="530"/>
      <c r="O940" s="530"/>
      <c r="P940" s="758"/>
      <c r="Q940" s="534"/>
      <c r="R940" s="534"/>
      <c r="S940" s="534"/>
      <c r="T940" s="534"/>
      <c r="U940" s="534"/>
      <c r="V940" s="534"/>
      <c r="W940" s="534"/>
    </row>
    <row r="941">
      <c r="A941" s="755"/>
      <c r="B941" s="534"/>
      <c r="C941" s="534"/>
      <c r="D941" s="534"/>
      <c r="E941" s="534"/>
      <c r="F941" s="802"/>
      <c r="G941" s="530"/>
      <c r="H941" s="804"/>
      <c r="I941" s="631"/>
      <c r="J941" s="631"/>
      <c r="K941" s="631"/>
      <c r="L941" s="530"/>
      <c r="M941" s="530"/>
      <c r="N941" s="530"/>
      <c r="O941" s="530"/>
      <c r="P941" s="758"/>
      <c r="Q941" s="534"/>
      <c r="R941" s="534"/>
      <c r="S941" s="534"/>
      <c r="T941" s="534"/>
      <c r="U941" s="534"/>
      <c r="V941" s="534"/>
      <c r="W941" s="534"/>
    </row>
    <row r="942">
      <c r="A942" s="755"/>
      <c r="B942" s="534"/>
      <c r="C942" s="534"/>
      <c r="D942" s="534"/>
      <c r="E942" s="534"/>
      <c r="F942" s="802"/>
      <c r="G942" s="530"/>
      <c r="H942" s="804"/>
      <c r="I942" s="631"/>
      <c r="J942" s="631"/>
      <c r="K942" s="631"/>
      <c r="L942" s="530"/>
      <c r="M942" s="530"/>
      <c r="N942" s="530"/>
      <c r="O942" s="530"/>
      <c r="P942" s="758"/>
      <c r="Q942" s="534"/>
      <c r="R942" s="534"/>
      <c r="S942" s="534"/>
      <c r="T942" s="534"/>
      <c r="U942" s="534"/>
      <c r="V942" s="534"/>
      <c r="W942" s="534"/>
    </row>
    <row r="943">
      <c r="A943" s="755"/>
      <c r="B943" s="534"/>
      <c r="C943" s="534"/>
      <c r="D943" s="534"/>
      <c r="E943" s="534"/>
      <c r="F943" s="802"/>
      <c r="G943" s="530"/>
      <c r="H943" s="804"/>
      <c r="I943" s="631"/>
      <c r="J943" s="631"/>
      <c r="K943" s="631"/>
      <c r="L943" s="530"/>
      <c r="M943" s="530"/>
      <c r="N943" s="530"/>
      <c r="O943" s="530"/>
      <c r="P943" s="758"/>
      <c r="Q943" s="534"/>
      <c r="R943" s="534"/>
      <c r="S943" s="534"/>
      <c r="T943" s="534"/>
      <c r="U943" s="534"/>
      <c r="V943" s="534"/>
      <c r="W943" s="534"/>
    </row>
    <row r="944">
      <c r="A944" s="755"/>
      <c r="B944" s="534"/>
      <c r="C944" s="534"/>
      <c r="D944" s="534"/>
      <c r="E944" s="534"/>
      <c r="F944" s="802"/>
      <c r="G944" s="530"/>
      <c r="H944" s="804"/>
      <c r="I944" s="631"/>
      <c r="J944" s="631"/>
      <c r="K944" s="631"/>
      <c r="L944" s="530"/>
      <c r="M944" s="530"/>
      <c r="N944" s="530"/>
      <c r="O944" s="530"/>
      <c r="P944" s="758"/>
      <c r="Q944" s="534"/>
      <c r="R944" s="534"/>
      <c r="S944" s="534"/>
      <c r="T944" s="534"/>
      <c r="U944" s="534"/>
      <c r="V944" s="534"/>
      <c r="W944" s="534"/>
    </row>
    <row r="945">
      <c r="A945" s="755"/>
      <c r="B945" s="534"/>
      <c r="C945" s="534"/>
      <c r="D945" s="534"/>
      <c r="E945" s="534"/>
      <c r="F945" s="802"/>
      <c r="G945" s="530"/>
      <c r="H945" s="804"/>
      <c r="I945" s="631"/>
      <c r="J945" s="631"/>
      <c r="K945" s="631"/>
      <c r="L945" s="530"/>
      <c r="M945" s="530"/>
      <c r="N945" s="530"/>
      <c r="O945" s="530"/>
      <c r="P945" s="758"/>
      <c r="Q945" s="534"/>
      <c r="R945" s="534"/>
      <c r="S945" s="534"/>
      <c r="T945" s="534"/>
      <c r="U945" s="534"/>
      <c r="V945" s="534"/>
      <c r="W945" s="534"/>
    </row>
    <row r="946">
      <c r="A946" s="755"/>
      <c r="B946" s="534"/>
      <c r="C946" s="534"/>
      <c r="D946" s="534"/>
      <c r="E946" s="534"/>
      <c r="F946" s="802"/>
      <c r="G946" s="530"/>
      <c r="H946" s="804"/>
      <c r="I946" s="631"/>
      <c r="J946" s="631"/>
      <c r="K946" s="631"/>
      <c r="L946" s="530"/>
      <c r="M946" s="530"/>
      <c r="N946" s="530"/>
      <c r="O946" s="530"/>
      <c r="P946" s="758"/>
      <c r="Q946" s="534"/>
      <c r="R946" s="534"/>
      <c r="S946" s="534"/>
      <c r="T946" s="534"/>
      <c r="U946" s="534"/>
      <c r="V946" s="534"/>
      <c r="W946" s="534"/>
    </row>
    <row r="947">
      <c r="A947" s="755"/>
      <c r="B947" s="534"/>
      <c r="C947" s="534"/>
      <c r="D947" s="534"/>
      <c r="E947" s="534"/>
      <c r="F947" s="802"/>
      <c r="G947" s="530"/>
      <c r="H947" s="804"/>
      <c r="I947" s="631"/>
      <c r="J947" s="631"/>
      <c r="K947" s="631"/>
      <c r="L947" s="530"/>
      <c r="M947" s="530"/>
      <c r="N947" s="530"/>
      <c r="O947" s="530"/>
      <c r="P947" s="758"/>
      <c r="Q947" s="534"/>
      <c r="R947" s="534"/>
      <c r="S947" s="534"/>
      <c r="T947" s="534"/>
      <c r="U947" s="534"/>
      <c r="V947" s="534"/>
      <c r="W947" s="534"/>
    </row>
    <row r="948">
      <c r="A948" s="755"/>
      <c r="B948" s="534"/>
      <c r="C948" s="534"/>
      <c r="D948" s="534"/>
      <c r="E948" s="534"/>
      <c r="F948" s="802"/>
      <c r="G948" s="530"/>
      <c r="H948" s="804"/>
      <c r="I948" s="631"/>
      <c r="J948" s="631"/>
      <c r="K948" s="631"/>
      <c r="L948" s="530"/>
      <c r="M948" s="530"/>
      <c r="N948" s="530"/>
      <c r="O948" s="530"/>
      <c r="P948" s="758"/>
      <c r="Q948" s="534"/>
      <c r="R948" s="534"/>
      <c r="S948" s="534"/>
      <c r="T948" s="534"/>
      <c r="U948" s="534"/>
      <c r="V948" s="534"/>
      <c r="W948" s="534"/>
    </row>
    <row r="949">
      <c r="A949" s="755"/>
      <c r="B949" s="534"/>
      <c r="C949" s="534"/>
      <c r="D949" s="534"/>
      <c r="E949" s="534"/>
      <c r="F949" s="802"/>
      <c r="G949" s="530"/>
      <c r="H949" s="804"/>
      <c r="I949" s="631"/>
      <c r="J949" s="631"/>
      <c r="K949" s="631"/>
      <c r="L949" s="530"/>
      <c r="M949" s="530"/>
      <c r="N949" s="530"/>
      <c r="O949" s="530"/>
      <c r="P949" s="758"/>
      <c r="Q949" s="534"/>
      <c r="R949" s="534"/>
      <c r="S949" s="534"/>
      <c r="T949" s="534"/>
      <c r="U949" s="534"/>
      <c r="V949" s="534"/>
      <c r="W949" s="534"/>
    </row>
    <row r="950">
      <c r="A950" s="755"/>
      <c r="B950" s="534"/>
      <c r="C950" s="534"/>
      <c r="D950" s="534"/>
      <c r="E950" s="534"/>
      <c r="F950" s="802"/>
      <c r="G950" s="530"/>
      <c r="H950" s="804"/>
      <c r="I950" s="631"/>
      <c r="J950" s="631"/>
      <c r="K950" s="631"/>
      <c r="L950" s="530"/>
      <c r="M950" s="530"/>
      <c r="N950" s="530"/>
      <c r="O950" s="530"/>
      <c r="P950" s="758"/>
      <c r="Q950" s="534"/>
      <c r="R950" s="534"/>
      <c r="S950" s="534"/>
      <c r="T950" s="534"/>
      <c r="U950" s="534"/>
      <c r="V950" s="534"/>
      <c r="W950" s="534"/>
    </row>
    <row r="951">
      <c r="A951" s="755"/>
      <c r="B951" s="534"/>
      <c r="C951" s="534"/>
      <c r="D951" s="534"/>
      <c r="E951" s="534"/>
      <c r="F951" s="802"/>
      <c r="G951" s="530"/>
      <c r="H951" s="804"/>
      <c r="I951" s="631"/>
      <c r="J951" s="631"/>
      <c r="K951" s="631"/>
      <c r="L951" s="530"/>
      <c r="M951" s="530"/>
      <c r="N951" s="530"/>
      <c r="O951" s="530"/>
      <c r="P951" s="758"/>
      <c r="Q951" s="534"/>
      <c r="R951" s="534"/>
      <c r="S951" s="534"/>
      <c r="T951" s="534"/>
      <c r="U951" s="534"/>
      <c r="V951" s="534"/>
      <c r="W951" s="534"/>
    </row>
    <row r="952">
      <c r="A952" s="755"/>
      <c r="B952" s="534"/>
      <c r="C952" s="534"/>
      <c r="D952" s="534"/>
      <c r="E952" s="534"/>
      <c r="F952" s="802"/>
      <c r="G952" s="530"/>
      <c r="H952" s="804"/>
      <c r="I952" s="631"/>
      <c r="J952" s="631"/>
      <c r="K952" s="631"/>
      <c r="L952" s="530"/>
      <c r="M952" s="530"/>
      <c r="N952" s="530"/>
      <c r="O952" s="530"/>
      <c r="P952" s="758"/>
      <c r="Q952" s="534"/>
      <c r="R952" s="534"/>
      <c r="S952" s="534"/>
      <c r="T952" s="534"/>
      <c r="U952" s="534"/>
      <c r="V952" s="534"/>
      <c r="W952" s="534"/>
    </row>
    <row r="953">
      <c r="A953" s="755"/>
      <c r="B953" s="534"/>
      <c r="C953" s="534"/>
      <c r="D953" s="534"/>
      <c r="E953" s="534"/>
      <c r="F953" s="802"/>
      <c r="G953" s="530"/>
      <c r="H953" s="804"/>
      <c r="I953" s="631"/>
      <c r="J953" s="631"/>
      <c r="K953" s="631"/>
      <c r="L953" s="530"/>
      <c r="M953" s="530"/>
      <c r="N953" s="530"/>
      <c r="O953" s="530"/>
      <c r="P953" s="758"/>
      <c r="Q953" s="534"/>
      <c r="R953" s="534"/>
      <c r="S953" s="534"/>
      <c r="T953" s="534"/>
      <c r="U953" s="534"/>
      <c r="V953" s="534"/>
      <c r="W953" s="534"/>
    </row>
    <row r="954">
      <c r="A954" s="755"/>
      <c r="B954" s="534"/>
      <c r="C954" s="534"/>
      <c r="D954" s="534"/>
      <c r="E954" s="534"/>
      <c r="F954" s="802"/>
      <c r="G954" s="530"/>
      <c r="H954" s="804"/>
      <c r="I954" s="631"/>
      <c r="J954" s="631"/>
      <c r="K954" s="631"/>
      <c r="L954" s="530"/>
      <c r="M954" s="530"/>
      <c r="N954" s="530"/>
      <c r="O954" s="530"/>
      <c r="P954" s="758"/>
      <c r="Q954" s="534"/>
      <c r="R954" s="534"/>
      <c r="S954" s="534"/>
      <c r="T954" s="534"/>
      <c r="U954" s="534"/>
      <c r="V954" s="534"/>
      <c r="W954" s="534"/>
    </row>
    <row r="955">
      <c r="A955" s="755"/>
      <c r="B955" s="534"/>
      <c r="C955" s="534"/>
      <c r="D955" s="534"/>
      <c r="E955" s="534"/>
      <c r="F955" s="802"/>
      <c r="G955" s="530"/>
      <c r="H955" s="804"/>
      <c r="I955" s="631"/>
      <c r="J955" s="631"/>
      <c r="K955" s="631"/>
      <c r="L955" s="530"/>
      <c r="M955" s="530"/>
      <c r="N955" s="530"/>
      <c r="O955" s="530"/>
      <c r="P955" s="758"/>
      <c r="Q955" s="534"/>
      <c r="R955" s="534"/>
      <c r="S955" s="534"/>
      <c r="T955" s="534"/>
      <c r="U955" s="534"/>
      <c r="V955" s="534"/>
      <c r="W955" s="534"/>
    </row>
    <row r="956">
      <c r="A956" s="755"/>
      <c r="B956" s="534"/>
      <c r="C956" s="534"/>
      <c r="D956" s="534"/>
      <c r="E956" s="534"/>
      <c r="F956" s="802"/>
      <c r="G956" s="530"/>
      <c r="H956" s="804"/>
      <c r="I956" s="631"/>
      <c r="J956" s="631"/>
      <c r="K956" s="631"/>
      <c r="L956" s="530"/>
      <c r="M956" s="530"/>
      <c r="N956" s="530"/>
      <c r="O956" s="530"/>
      <c r="P956" s="758"/>
      <c r="Q956" s="534"/>
      <c r="R956" s="534"/>
      <c r="S956" s="534"/>
      <c r="T956" s="534"/>
      <c r="U956" s="534"/>
      <c r="V956" s="534"/>
      <c r="W956" s="534"/>
    </row>
    <row r="957">
      <c r="A957" s="755"/>
      <c r="B957" s="534"/>
      <c r="C957" s="534"/>
      <c r="D957" s="534"/>
      <c r="E957" s="534"/>
      <c r="F957" s="802"/>
      <c r="G957" s="530"/>
      <c r="H957" s="804"/>
      <c r="I957" s="631"/>
      <c r="J957" s="631"/>
      <c r="K957" s="631"/>
      <c r="L957" s="530"/>
      <c r="M957" s="530"/>
      <c r="N957" s="530"/>
      <c r="O957" s="530"/>
      <c r="P957" s="758"/>
      <c r="Q957" s="534"/>
      <c r="R957" s="534"/>
      <c r="S957" s="534"/>
      <c r="T957" s="534"/>
      <c r="U957" s="534"/>
      <c r="V957" s="534"/>
      <c r="W957" s="534"/>
    </row>
    <row r="958">
      <c r="A958" s="755"/>
      <c r="B958" s="534"/>
      <c r="C958" s="534"/>
      <c r="D958" s="534"/>
      <c r="E958" s="534"/>
      <c r="F958" s="802"/>
      <c r="G958" s="530"/>
      <c r="H958" s="804"/>
      <c r="I958" s="631"/>
      <c r="J958" s="631"/>
      <c r="K958" s="631"/>
      <c r="L958" s="530"/>
      <c r="M958" s="530"/>
      <c r="N958" s="530"/>
      <c r="O958" s="530"/>
      <c r="P958" s="758"/>
      <c r="Q958" s="534"/>
      <c r="R958" s="534"/>
      <c r="S958" s="534"/>
      <c r="T958" s="534"/>
      <c r="U958" s="534"/>
      <c r="V958" s="534"/>
      <c r="W958" s="534"/>
    </row>
    <row r="959">
      <c r="A959" s="755"/>
      <c r="B959" s="534"/>
      <c r="C959" s="534"/>
      <c r="D959" s="534"/>
      <c r="E959" s="534"/>
      <c r="F959" s="802"/>
      <c r="G959" s="530"/>
      <c r="H959" s="804"/>
      <c r="I959" s="631"/>
      <c r="J959" s="631"/>
      <c r="K959" s="631"/>
      <c r="L959" s="530"/>
      <c r="M959" s="530"/>
      <c r="N959" s="530"/>
      <c r="O959" s="530"/>
      <c r="P959" s="758"/>
      <c r="Q959" s="534"/>
      <c r="R959" s="534"/>
      <c r="S959" s="534"/>
      <c r="T959" s="534"/>
      <c r="U959" s="534"/>
      <c r="V959" s="534"/>
      <c r="W959" s="534"/>
    </row>
    <row r="960">
      <c r="A960" s="755"/>
      <c r="B960" s="534"/>
      <c r="C960" s="534"/>
      <c r="D960" s="534"/>
      <c r="E960" s="534"/>
      <c r="F960" s="802"/>
      <c r="G960" s="530"/>
      <c r="H960" s="804"/>
      <c r="I960" s="631"/>
      <c r="J960" s="631"/>
      <c r="K960" s="631"/>
      <c r="L960" s="530"/>
      <c r="M960" s="530"/>
      <c r="N960" s="530"/>
      <c r="O960" s="530"/>
      <c r="P960" s="758"/>
      <c r="Q960" s="534"/>
      <c r="R960" s="534"/>
      <c r="S960" s="534"/>
      <c r="T960" s="534"/>
      <c r="U960" s="534"/>
      <c r="V960" s="534"/>
      <c r="W960" s="534"/>
    </row>
    <row r="961">
      <c r="A961" s="755"/>
      <c r="B961" s="534"/>
      <c r="C961" s="534"/>
      <c r="D961" s="534"/>
      <c r="E961" s="534"/>
      <c r="F961" s="802"/>
      <c r="G961" s="530"/>
      <c r="H961" s="804"/>
      <c r="I961" s="631"/>
      <c r="J961" s="631"/>
      <c r="K961" s="631"/>
      <c r="L961" s="530"/>
      <c r="M961" s="530"/>
      <c r="N961" s="530"/>
      <c r="O961" s="530"/>
      <c r="P961" s="758"/>
      <c r="Q961" s="534"/>
      <c r="R961" s="534"/>
      <c r="S961" s="534"/>
      <c r="T961" s="534"/>
      <c r="U961" s="534"/>
      <c r="V961" s="534"/>
      <c r="W961" s="534"/>
    </row>
    <row r="962">
      <c r="A962" s="755"/>
      <c r="B962" s="534"/>
      <c r="C962" s="534"/>
      <c r="D962" s="534"/>
      <c r="E962" s="534"/>
      <c r="F962" s="802"/>
      <c r="G962" s="530"/>
      <c r="H962" s="804"/>
      <c r="I962" s="631"/>
      <c r="J962" s="631"/>
      <c r="K962" s="631"/>
      <c r="L962" s="530"/>
      <c r="M962" s="530"/>
      <c r="N962" s="530"/>
      <c r="O962" s="530"/>
      <c r="P962" s="758"/>
      <c r="Q962" s="534"/>
      <c r="R962" s="534"/>
      <c r="S962" s="534"/>
      <c r="T962" s="534"/>
      <c r="U962" s="534"/>
      <c r="V962" s="534"/>
      <c r="W962" s="534"/>
    </row>
    <row r="963">
      <c r="A963" s="755"/>
      <c r="B963" s="534"/>
      <c r="C963" s="534"/>
      <c r="D963" s="534"/>
      <c r="E963" s="534"/>
      <c r="F963" s="802"/>
      <c r="G963" s="530"/>
      <c r="H963" s="804"/>
      <c r="I963" s="631"/>
      <c r="J963" s="631"/>
      <c r="K963" s="631"/>
      <c r="L963" s="530"/>
      <c r="M963" s="530"/>
      <c r="N963" s="530"/>
      <c r="O963" s="530"/>
      <c r="P963" s="758"/>
      <c r="Q963" s="534"/>
      <c r="R963" s="534"/>
      <c r="S963" s="534"/>
      <c r="T963" s="534"/>
      <c r="U963" s="534"/>
      <c r="V963" s="534"/>
      <c r="W963" s="534"/>
    </row>
    <row r="964">
      <c r="A964" s="755"/>
      <c r="B964" s="534"/>
      <c r="C964" s="534"/>
      <c r="D964" s="534"/>
      <c r="E964" s="534"/>
      <c r="F964" s="802"/>
      <c r="G964" s="530"/>
      <c r="H964" s="804"/>
      <c r="I964" s="631"/>
      <c r="J964" s="631"/>
      <c r="K964" s="631"/>
      <c r="L964" s="530"/>
      <c r="M964" s="530"/>
      <c r="N964" s="530"/>
      <c r="O964" s="530"/>
      <c r="P964" s="758"/>
      <c r="Q964" s="534"/>
      <c r="R964" s="534"/>
      <c r="S964" s="534"/>
      <c r="T964" s="534"/>
      <c r="U964" s="534"/>
      <c r="V964" s="534"/>
      <c r="W964" s="534"/>
    </row>
    <row r="965">
      <c r="A965" s="755"/>
      <c r="B965" s="534"/>
      <c r="C965" s="534"/>
      <c r="D965" s="534"/>
      <c r="E965" s="534"/>
      <c r="F965" s="802"/>
      <c r="G965" s="530"/>
      <c r="H965" s="804"/>
      <c r="I965" s="631"/>
      <c r="J965" s="631"/>
      <c r="K965" s="631"/>
      <c r="L965" s="530"/>
      <c r="M965" s="530"/>
      <c r="N965" s="530"/>
      <c r="O965" s="530"/>
      <c r="P965" s="758"/>
      <c r="Q965" s="534"/>
      <c r="R965" s="534"/>
      <c r="S965" s="534"/>
      <c r="T965" s="534"/>
      <c r="U965" s="534"/>
      <c r="V965" s="534"/>
      <c r="W965" s="534"/>
    </row>
    <row r="966">
      <c r="A966" s="755"/>
      <c r="B966" s="534"/>
      <c r="C966" s="534"/>
      <c r="D966" s="534"/>
      <c r="E966" s="534"/>
      <c r="F966" s="802"/>
      <c r="G966" s="530"/>
      <c r="H966" s="804"/>
      <c r="I966" s="631"/>
      <c r="J966" s="631"/>
      <c r="K966" s="631"/>
      <c r="L966" s="530"/>
      <c r="M966" s="530"/>
      <c r="N966" s="530"/>
      <c r="O966" s="530"/>
      <c r="P966" s="758"/>
      <c r="Q966" s="534"/>
      <c r="R966" s="534"/>
      <c r="S966" s="534"/>
      <c r="T966" s="534"/>
      <c r="U966" s="534"/>
      <c r="V966" s="534"/>
      <c r="W966" s="534"/>
    </row>
    <row r="967">
      <c r="A967" s="755"/>
      <c r="B967" s="534"/>
      <c r="C967" s="534"/>
      <c r="D967" s="534"/>
      <c r="E967" s="534"/>
      <c r="F967" s="802"/>
      <c r="G967" s="530"/>
      <c r="H967" s="804"/>
      <c r="I967" s="631"/>
      <c r="J967" s="631"/>
      <c r="K967" s="631"/>
      <c r="L967" s="530"/>
      <c r="M967" s="530"/>
      <c r="N967" s="530"/>
      <c r="O967" s="530"/>
      <c r="P967" s="758"/>
      <c r="Q967" s="534"/>
      <c r="R967" s="534"/>
      <c r="S967" s="534"/>
      <c r="T967" s="534"/>
      <c r="U967" s="534"/>
      <c r="V967" s="534"/>
      <c r="W967" s="534"/>
    </row>
    <row r="968">
      <c r="A968" s="755"/>
      <c r="B968" s="534"/>
      <c r="C968" s="534"/>
      <c r="D968" s="534"/>
      <c r="E968" s="534"/>
      <c r="F968" s="802"/>
      <c r="G968" s="530"/>
      <c r="H968" s="804"/>
      <c r="I968" s="631"/>
      <c r="J968" s="631"/>
      <c r="K968" s="631"/>
      <c r="L968" s="530"/>
      <c r="M968" s="530"/>
      <c r="N968" s="530"/>
      <c r="O968" s="530"/>
      <c r="P968" s="758"/>
      <c r="Q968" s="534"/>
      <c r="R968" s="534"/>
      <c r="S968" s="534"/>
      <c r="T968" s="534"/>
      <c r="U968" s="534"/>
      <c r="V968" s="534"/>
      <c r="W968" s="534"/>
    </row>
    <row r="969">
      <c r="A969" s="755"/>
      <c r="B969" s="534"/>
      <c r="C969" s="534"/>
      <c r="D969" s="534"/>
      <c r="E969" s="534"/>
      <c r="F969" s="802"/>
      <c r="G969" s="530"/>
      <c r="H969" s="804"/>
      <c r="I969" s="631"/>
      <c r="J969" s="631"/>
      <c r="K969" s="631"/>
      <c r="L969" s="530"/>
      <c r="M969" s="530"/>
      <c r="N969" s="530"/>
      <c r="O969" s="530"/>
      <c r="P969" s="758"/>
      <c r="Q969" s="534"/>
      <c r="R969" s="534"/>
      <c r="S969" s="534"/>
      <c r="T969" s="534"/>
      <c r="U969" s="534"/>
      <c r="V969" s="534"/>
      <c r="W969" s="534"/>
    </row>
    <row r="970">
      <c r="A970" s="755"/>
      <c r="B970" s="534"/>
      <c r="C970" s="534"/>
      <c r="D970" s="534"/>
      <c r="E970" s="534"/>
      <c r="F970" s="802"/>
      <c r="G970" s="530"/>
      <c r="H970" s="804"/>
      <c r="I970" s="631"/>
      <c r="J970" s="631"/>
      <c r="K970" s="631"/>
      <c r="L970" s="530"/>
      <c r="M970" s="530"/>
      <c r="N970" s="530"/>
      <c r="O970" s="530"/>
      <c r="P970" s="758"/>
      <c r="Q970" s="534"/>
      <c r="R970" s="534"/>
      <c r="S970" s="534"/>
      <c r="T970" s="534"/>
      <c r="U970" s="534"/>
      <c r="V970" s="534"/>
      <c r="W970" s="534"/>
    </row>
    <row r="971">
      <c r="A971" s="755"/>
      <c r="B971" s="534"/>
      <c r="C971" s="534"/>
      <c r="D971" s="534"/>
      <c r="E971" s="534"/>
      <c r="F971" s="802"/>
      <c r="G971" s="530"/>
      <c r="H971" s="804"/>
      <c r="I971" s="631"/>
      <c r="J971" s="631"/>
      <c r="K971" s="631"/>
      <c r="L971" s="530"/>
      <c r="M971" s="530"/>
      <c r="N971" s="530"/>
      <c r="O971" s="530"/>
      <c r="P971" s="758"/>
      <c r="Q971" s="534"/>
      <c r="R971" s="534"/>
      <c r="S971" s="534"/>
      <c r="T971" s="534"/>
      <c r="U971" s="534"/>
      <c r="V971" s="534"/>
      <c r="W971" s="534"/>
    </row>
    <row r="972">
      <c r="A972" s="755"/>
      <c r="B972" s="534"/>
      <c r="C972" s="534"/>
      <c r="D972" s="534"/>
      <c r="E972" s="534"/>
      <c r="F972" s="802"/>
      <c r="G972" s="530"/>
      <c r="H972" s="804"/>
      <c r="I972" s="631"/>
      <c r="J972" s="631"/>
      <c r="K972" s="631"/>
      <c r="L972" s="530"/>
      <c r="M972" s="530"/>
      <c r="N972" s="530"/>
      <c r="O972" s="530"/>
      <c r="P972" s="758"/>
      <c r="Q972" s="534"/>
      <c r="R972" s="534"/>
      <c r="S972" s="534"/>
      <c r="T972" s="534"/>
      <c r="U972" s="534"/>
      <c r="V972" s="534"/>
      <c r="W972" s="534"/>
    </row>
    <row r="973">
      <c r="A973" s="755"/>
      <c r="B973" s="534"/>
      <c r="C973" s="534"/>
      <c r="D973" s="534"/>
      <c r="E973" s="534"/>
      <c r="F973" s="802"/>
      <c r="G973" s="530"/>
      <c r="H973" s="804"/>
      <c r="I973" s="631"/>
      <c r="J973" s="631"/>
      <c r="K973" s="631"/>
      <c r="L973" s="530"/>
      <c r="M973" s="530"/>
      <c r="N973" s="530"/>
      <c r="O973" s="530"/>
      <c r="P973" s="758"/>
      <c r="Q973" s="534"/>
      <c r="R973" s="534"/>
      <c r="S973" s="534"/>
      <c r="T973" s="534"/>
      <c r="U973" s="534"/>
      <c r="V973" s="534"/>
      <c r="W973" s="534"/>
    </row>
    <row r="974">
      <c r="A974" s="755"/>
      <c r="B974" s="534"/>
      <c r="C974" s="534"/>
      <c r="D974" s="534"/>
      <c r="E974" s="534"/>
      <c r="F974" s="802"/>
      <c r="G974" s="530"/>
      <c r="H974" s="804"/>
      <c r="I974" s="631"/>
      <c r="J974" s="631"/>
      <c r="K974" s="631"/>
      <c r="L974" s="530"/>
      <c r="M974" s="530"/>
      <c r="N974" s="530"/>
      <c r="O974" s="530"/>
      <c r="P974" s="758"/>
      <c r="Q974" s="534"/>
      <c r="R974" s="534"/>
      <c r="S974" s="534"/>
      <c r="T974" s="534"/>
      <c r="U974" s="534"/>
      <c r="V974" s="534"/>
      <c r="W974" s="534"/>
    </row>
    <row r="975">
      <c r="A975" s="755"/>
      <c r="B975" s="534"/>
      <c r="C975" s="534"/>
      <c r="D975" s="534"/>
      <c r="E975" s="534"/>
      <c r="F975" s="802"/>
      <c r="G975" s="530"/>
      <c r="H975" s="804"/>
      <c r="I975" s="631"/>
      <c r="J975" s="631"/>
      <c r="K975" s="631"/>
      <c r="L975" s="530"/>
      <c r="M975" s="530"/>
      <c r="N975" s="530"/>
      <c r="O975" s="530"/>
      <c r="P975" s="758"/>
      <c r="Q975" s="534"/>
      <c r="R975" s="534"/>
      <c r="S975" s="534"/>
      <c r="T975" s="534"/>
      <c r="U975" s="534"/>
      <c r="V975" s="534"/>
      <c r="W975" s="534"/>
    </row>
    <row r="976">
      <c r="A976" s="755"/>
      <c r="B976" s="534"/>
      <c r="C976" s="534"/>
      <c r="D976" s="534"/>
      <c r="E976" s="534"/>
      <c r="F976" s="802"/>
      <c r="G976" s="530"/>
      <c r="H976" s="804"/>
      <c r="I976" s="631"/>
      <c r="J976" s="631"/>
      <c r="K976" s="631"/>
      <c r="L976" s="530"/>
      <c r="M976" s="530"/>
      <c r="N976" s="530"/>
      <c r="O976" s="530"/>
      <c r="P976" s="758"/>
      <c r="Q976" s="534"/>
      <c r="R976" s="534"/>
      <c r="S976" s="534"/>
      <c r="T976" s="534"/>
      <c r="U976" s="534"/>
      <c r="V976" s="534"/>
      <c r="W976" s="534"/>
    </row>
    <row r="977">
      <c r="A977" s="755"/>
      <c r="B977" s="534"/>
      <c r="C977" s="534"/>
      <c r="D977" s="534"/>
      <c r="E977" s="534"/>
      <c r="F977" s="802"/>
      <c r="G977" s="530"/>
      <c r="H977" s="804"/>
      <c r="I977" s="631"/>
      <c r="J977" s="631"/>
      <c r="K977" s="631"/>
      <c r="L977" s="530"/>
      <c r="M977" s="530"/>
      <c r="N977" s="530"/>
      <c r="O977" s="530"/>
      <c r="P977" s="758"/>
      <c r="Q977" s="534"/>
      <c r="R977" s="534"/>
      <c r="S977" s="534"/>
      <c r="T977" s="534"/>
      <c r="U977" s="534"/>
      <c r="V977" s="534"/>
      <c r="W977" s="534"/>
    </row>
    <row r="978">
      <c r="A978" s="755"/>
      <c r="B978" s="534"/>
      <c r="C978" s="534"/>
      <c r="D978" s="534"/>
      <c r="E978" s="534"/>
      <c r="F978" s="802"/>
      <c r="G978" s="530"/>
      <c r="H978" s="804"/>
      <c r="I978" s="631"/>
      <c r="J978" s="631"/>
      <c r="K978" s="631"/>
      <c r="L978" s="530"/>
      <c r="M978" s="530"/>
      <c r="N978" s="530"/>
      <c r="O978" s="530"/>
      <c r="P978" s="758"/>
      <c r="Q978" s="534"/>
      <c r="R978" s="534"/>
      <c r="S978" s="534"/>
      <c r="T978" s="534"/>
      <c r="U978" s="534"/>
      <c r="V978" s="534"/>
      <c r="W978" s="534"/>
    </row>
    <row r="979">
      <c r="A979" s="755"/>
      <c r="B979" s="534"/>
      <c r="C979" s="534"/>
      <c r="D979" s="534"/>
      <c r="E979" s="534"/>
      <c r="F979" s="802"/>
      <c r="G979" s="530"/>
      <c r="H979" s="804"/>
      <c r="I979" s="631"/>
      <c r="J979" s="631"/>
      <c r="K979" s="631"/>
      <c r="L979" s="530"/>
      <c r="M979" s="530"/>
      <c r="N979" s="530"/>
      <c r="O979" s="530"/>
      <c r="P979" s="758"/>
      <c r="Q979" s="534"/>
      <c r="R979" s="534"/>
      <c r="S979" s="534"/>
      <c r="T979" s="534"/>
      <c r="U979" s="534"/>
      <c r="V979" s="534"/>
      <c r="W979" s="534"/>
    </row>
    <row r="980">
      <c r="A980" s="755"/>
      <c r="B980" s="534"/>
      <c r="C980" s="534"/>
      <c r="D980" s="534"/>
      <c r="E980" s="534"/>
      <c r="F980" s="802"/>
      <c r="G980" s="530"/>
      <c r="H980" s="804"/>
      <c r="I980" s="631"/>
      <c r="J980" s="631"/>
      <c r="K980" s="631"/>
      <c r="L980" s="530"/>
      <c r="M980" s="530"/>
      <c r="N980" s="530"/>
      <c r="O980" s="530"/>
      <c r="P980" s="758"/>
      <c r="Q980" s="534"/>
      <c r="R980" s="534"/>
      <c r="S980" s="534"/>
      <c r="T980" s="534"/>
      <c r="U980" s="534"/>
      <c r="V980" s="534"/>
      <c r="W980" s="534"/>
    </row>
    <row r="981">
      <c r="A981" s="755"/>
      <c r="B981" s="534"/>
      <c r="C981" s="534"/>
      <c r="D981" s="534"/>
      <c r="E981" s="534"/>
      <c r="F981" s="802"/>
      <c r="G981" s="530"/>
      <c r="H981" s="804"/>
      <c r="I981" s="631"/>
      <c r="J981" s="631"/>
      <c r="K981" s="631"/>
      <c r="L981" s="530"/>
      <c r="M981" s="530"/>
      <c r="N981" s="530"/>
      <c r="O981" s="530"/>
      <c r="P981" s="758"/>
      <c r="Q981" s="534"/>
      <c r="R981" s="534"/>
      <c r="S981" s="534"/>
      <c r="T981" s="534"/>
      <c r="U981" s="534"/>
      <c r="V981" s="534"/>
      <c r="W981" s="534"/>
    </row>
    <row r="982">
      <c r="A982" s="755"/>
      <c r="B982" s="534"/>
      <c r="C982" s="534"/>
      <c r="D982" s="534"/>
      <c r="E982" s="534"/>
      <c r="F982" s="802"/>
      <c r="G982" s="530"/>
      <c r="H982" s="804"/>
      <c r="I982" s="631"/>
      <c r="J982" s="631"/>
      <c r="K982" s="631"/>
      <c r="L982" s="530"/>
      <c r="M982" s="530"/>
      <c r="N982" s="530"/>
      <c r="O982" s="530"/>
      <c r="P982" s="758"/>
      <c r="Q982" s="534"/>
      <c r="R982" s="534"/>
      <c r="S982" s="534"/>
      <c r="T982" s="534"/>
      <c r="U982" s="534"/>
      <c r="V982" s="534"/>
      <c r="W982" s="534"/>
    </row>
    <row r="983">
      <c r="A983" s="755"/>
      <c r="B983" s="534"/>
      <c r="C983" s="534"/>
      <c r="D983" s="534"/>
      <c r="E983" s="534"/>
      <c r="F983" s="802"/>
      <c r="G983" s="530"/>
      <c r="H983" s="804"/>
      <c r="I983" s="631"/>
      <c r="J983" s="631"/>
      <c r="K983" s="631"/>
      <c r="L983" s="530"/>
      <c r="M983" s="530"/>
      <c r="N983" s="530"/>
      <c r="O983" s="530"/>
      <c r="P983" s="758"/>
      <c r="Q983" s="534"/>
      <c r="R983" s="534"/>
      <c r="S983" s="534"/>
      <c r="T983" s="534"/>
      <c r="U983" s="534"/>
      <c r="V983" s="534"/>
      <c r="W983" s="534"/>
    </row>
    <row r="984">
      <c r="A984" s="755"/>
      <c r="B984" s="534"/>
      <c r="C984" s="534"/>
      <c r="D984" s="534"/>
      <c r="E984" s="534"/>
      <c r="F984" s="802"/>
      <c r="G984" s="530"/>
      <c r="H984" s="804"/>
      <c r="I984" s="631"/>
      <c r="J984" s="631"/>
      <c r="K984" s="631"/>
      <c r="L984" s="530"/>
      <c r="M984" s="530"/>
      <c r="N984" s="530"/>
      <c r="O984" s="530"/>
      <c r="P984" s="758"/>
      <c r="Q984" s="534"/>
      <c r="R984" s="534"/>
      <c r="S984" s="534"/>
      <c r="T984" s="534"/>
      <c r="U984" s="534"/>
      <c r="V984" s="534"/>
      <c r="W984" s="534"/>
    </row>
    <row r="985">
      <c r="A985" s="755"/>
      <c r="B985" s="534"/>
      <c r="C985" s="534"/>
      <c r="D985" s="534"/>
      <c r="E985" s="534"/>
      <c r="F985" s="802"/>
      <c r="G985" s="530"/>
      <c r="H985" s="804"/>
      <c r="I985" s="631"/>
      <c r="J985" s="631"/>
      <c r="K985" s="631"/>
      <c r="L985" s="530"/>
      <c r="M985" s="530"/>
      <c r="N985" s="530"/>
      <c r="O985" s="530"/>
      <c r="P985" s="758"/>
      <c r="Q985" s="534"/>
      <c r="R985" s="534"/>
      <c r="S985" s="534"/>
      <c r="T985" s="534"/>
      <c r="U985" s="534"/>
      <c r="V985" s="534"/>
      <c r="W985" s="534"/>
    </row>
    <row r="986">
      <c r="A986" s="755"/>
      <c r="B986" s="534"/>
      <c r="C986" s="534"/>
      <c r="D986" s="534"/>
      <c r="E986" s="534"/>
      <c r="F986" s="802"/>
      <c r="G986" s="530"/>
      <c r="H986" s="804"/>
      <c r="I986" s="631"/>
      <c r="J986" s="631"/>
      <c r="K986" s="631"/>
      <c r="L986" s="530"/>
      <c r="M986" s="530"/>
      <c r="N986" s="530"/>
      <c r="O986" s="530"/>
      <c r="P986" s="758"/>
      <c r="Q986" s="534"/>
      <c r="R986" s="534"/>
      <c r="S986" s="534"/>
      <c r="T986" s="534"/>
      <c r="U986" s="534"/>
      <c r="V986" s="534"/>
      <c r="W986" s="534"/>
    </row>
    <row r="987">
      <c r="A987" s="755"/>
      <c r="B987" s="534"/>
      <c r="C987" s="534"/>
      <c r="D987" s="534"/>
      <c r="E987" s="534"/>
      <c r="F987" s="802"/>
      <c r="G987" s="530"/>
      <c r="H987" s="804"/>
      <c r="I987" s="631"/>
      <c r="J987" s="631"/>
      <c r="K987" s="631"/>
      <c r="L987" s="530"/>
      <c r="M987" s="530"/>
      <c r="N987" s="530"/>
      <c r="O987" s="530"/>
      <c r="P987" s="758"/>
      <c r="Q987" s="534"/>
      <c r="R987" s="534"/>
      <c r="S987" s="534"/>
      <c r="T987" s="534"/>
      <c r="U987" s="534"/>
      <c r="V987" s="534"/>
      <c r="W987" s="534"/>
    </row>
    <row r="988">
      <c r="A988" s="755"/>
      <c r="B988" s="534"/>
      <c r="C988" s="534"/>
      <c r="D988" s="534"/>
      <c r="E988" s="534"/>
      <c r="F988" s="802"/>
      <c r="G988" s="530"/>
      <c r="H988" s="804"/>
      <c r="I988" s="631"/>
      <c r="J988" s="631"/>
      <c r="K988" s="631"/>
      <c r="L988" s="530"/>
      <c r="M988" s="530"/>
      <c r="N988" s="530"/>
      <c r="O988" s="530"/>
      <c r="P988" s="758"/>
      <c r="Q988" s="534"/>
      <c r="R988" s="534"/>
      <c r="S988" s="534"/>
      <c r="T988" s="534"/>
      <c r="U988" s="534"/>
      <c r="V988" s="534"/>
      <c r="W988" s="534"/>
    </row>
    <row r="989">
      <c r="A989" s="755"/>
      <c r="B989" s="534"/>
      <c r="C989" s="534"/>
      <c r="D989" s="534"/>
      <c r="E989" s="534"/>
      <c r="F989" s="802"/>
      <c r="G989" s="530"/>
      <c r="H989" s="804"/>
      <c r="I989" s="631"/>
      <c r="J989" s="631"/>
      <c r="K989" s="631"/>
      <c r="L989" s="530"/>
      <c r="M989" s="530"/>
      <c r="N989" s="530"/>
      <c r="O989" s="530"/>
      <c r="P989" s="758"/>
      <c r="Q989" s="534"/>
      <c r="R989" s="534"/>
      <c r="S989" s="534"/>
      <c r="T989" s="534"/>
      <c r="U989" s="534"/>
      <c r="V989" s="534"/>
      <c r="W989" s="534"/>
    </row>
    <row r="990">
      <c r="A990" s="755"/>
      <c r="B990" s="534"/>
      <c r="C990" s="534"/>
      <c r="D990" s="534"/>
      <c r="E990" s="534"/>
      <c r="F990" s="802"/>
      <c r="G990" s="530"/>
      <c r="H990" s="804"/>
      <c r="I990" s="631"/>
      <c r="J990" s="631"/>
      <c r="K990" s="631"/>
      <c r="L990" s="530"/>
      <c r="M990" s="530"/>
      <c r="N990" s="530"/>
      <c r="O990" s="530"/>
      <c r="P990" s="758"/>
      <c r="Q990" s="534"/>
      <c r="R990" s="534"/>
      <c r="S990" s="534"/>
      <c r="T990" s="534"/>
      <c r="U990" s="534"/>
      <c r="V990" s="534"/>
      <c r="W990" s="534"/>
    </row>
    <row r="991">
      <c r="A991" s="755"/>
      <c r="B991" s="534"/>
      <c r="C991" s="534"/>
      <c r="D991" s="534"/>
      <c r="E991" s="534"/>
      <c r="F991" s="802"/>
      <c r="G991" s="530"/>
      <c r="H991" s="804"/>
      <c r="I991" s="631"/>
      <c r="J991" s="631"/>
      <c r="K991" s="631"/>
      <c r="L991" s="530"/>
      <c r="M991" s="530"/>
      <c r="N991" s="530"/>
      <c r="O991" s="530"/>
      <c r="P991" s="758"/>
      <c r="Q991" s="534"/>
      <c r="R991" s="534"/>
      <c r="S991" s="534"/>
      <c r="T991" s="534"/>
      <c r="U991" s="534"/>
      <c r="V991" s="534"/>
      <c r="W991" s="534"/>
    </row>
    <row r="992">
      <c r="A992" s="755"/>
      <c r="B992" s="534"/>
      <c r="C992" s="534"/>
      <c r="D992" s="534"/>
      <c r="E992" s="534"/>
      <c r="F992" s="802"/>
      <c r="G992" s="530"/>
      <c r="H992" s="804"/>
      <c r="I992" s="631"/>
      <c r="J992" s="631"/>
      <c r="K992" s="631"/>
      <c r="L992" s="530"/>
      <c r="M992" s="530"/>
      <c r="N992" s="530"/>
      <c r="O992" s="530"/>
      <c r="P992" s="758"/>
      <c r="Q992" s="534"/>
      <c r="R992" s="534"/>
      <c r="S992" s="534"/>
      <c r="T992" s="534"/>
      <c r="U992" s="534"/>
      <c r="V992" s="534"/>
      <c r="W992" s="534"/>
    </row>
    <row r="993">
      <c r="A993" s="755"/>
      <c r="B993" s="534"/>
      <c r="C993" s="534"/>
      <c r="D993" s="534"/>
      <c r="E993" s="534"/>
      <c r="F993" s="802"/>
      <c r="G993" s="530"/>
      <c r="H993" s="804"/>
      <c r="I993" s="631"/>
      <c r="J993" s="631"/>
      <c r="K993" s="631"/>
      <c r="L993" s="530"/>
      <c r="M993" s="530"/>
      <c r="N993" s="530"/>
      <c r="O993" s="530"/>
      <c r="P993" s="758"/>
      <c r="Q993" s="534"/>
      <c r="R993" s="534"/>
      <c r="S993" s="534"/>
      <c r="T993" s="534"/>
      <c r="U993" s="534"/>
      <c r="V993" s="534"/>
      <c r="W993" s="534"/>
    </row>
    <row r="994">
      <c r="A994" s="755"/>
      <c r="B994" s="534"/>
      <c r="C994" s="534"/>
      <c r="D994" s="534"/>
      <c r="E994" s="534"/>
      <c r="F994" s="802"/>
      <c r="G994" s="530"/>
      <c r="H994" s="804"/>
      <c r="I994" s="631"/>
      <c r="J994" s="631"/>
      <c r="K994" s="631"/>
      <c r="L994" s="530"/>
      <c r="M994" s="530"/>
      <c r="N994" s="530"/>
      <c r="O994" s="530"/>
      <c r="P994" s="758"/>
      <c r="Q994" s="534"/>
      <c r="R994" s="534"/>
      <c r="S994" s="534"/>
      <c r="T994" s="534"/>
      <c r="U994" s="534"/>
      <c r="V994" s="534"/>
      <c r="W994" s="534"/>
    </row>
    <row r="995">
      <c r="A995" s="755"/>
      <c r="B995" s="534"/>
      <c r="C995" s="534"/>
      <c r="D995" s="534"/>
      <c r="E995" s="534"/>
      <c r="F995" s="802"/>
      <c r="G995" s="530"/>
      <c r="H995" s="804"/>
      <c r="I995" s="631"/>
      <c r="J995" s="631"/>
      <c r="K995" s="631"/>
      <c r="L995" s="530"/>
      <c r="M995" s="530"/>
      <c r="N995" s="530"/>
      <c r="O995" s="530"/>
      <c r="P995" s="758"/>
      <c r="Q995" s="534"/>
      <c r="R995" s="534"/>
      <c r="S995" s="534"/>
      <c r="T995" s="534"/>
      <c r="U995" s="534"/>
      <c r="V995" s="534"/>
      <c r="W995" s="534"/>
    </row>
    <row r="996">
      <c r="A996" s="755"/>
      <c r="B996" s="534"/>
      <c r="C996" s="534"/>
      <c r="D996" s="534"/>
      <c r="E996" s="534"/>
      <c r="F996" s="802"/>
      <c r="G996" s="530"/>
      <c r="H996" s="804"/>
      <c r="I996" s="631"/>
      <c r="J996" s="631"/>
      <c r="K996" s="631"/>
      <c r="L996" s="530"/>
      <c r="M996" s="530"/>
      <c r="N996" s="530"/>
      <c r="O996" s="530"/>
      <c r="P996" s="758"/>
      <c r="Q996" s="534"/>
      <c r="R996" s="534"/>
      <c r="S996" s="534"/>
      <c r="T996" s="534"/>
      <c r="U996" s="534"/>
      <c r="V996" s="534"/>
      <c r="W996" s="534"/>
    </row>
    <row r="997">
      <c r="A997" s="755"/>
      <c r="B997" s="534"/>
      <c r="C997" s="534"/>
      <c r="D997" s="534"/>
      <c r="E997" s="534"/>
      <c r="F997" s="802"/>
      <c r="G997" s="530"/>
      <c r="H997" s="804"/>
      <c r="I997" s="631"/>
      <c r="J997" s="631"/>
      <c r="K997" s="631"/>
      <c r="L997" s="530"/>
      <c r="M997" s="530"/>
      <c r="N997" s="530"/>
      <c r="O997" s="530"/>
      <c r="P997" s="758"/>
      <c r="Q997" s="534"/>
      <c r="R997" s="534"/>
      <c r="S997" s="534"/>
      <c r="T997" s="534"/>
      <c r="U997" s="534"/>
      <c r="V997" s="534"/>
      <c r="W997" s="534"/>
    </row>
    <row r="998">
      <c r="A998" s="755"/>
      <c r="B998" s="534"/>
      <c r="C998" s="534"/>
      <c r="D998" s="534"/>
      <c r="E998" s="534"/>
      <c r="F998" s="802"/>
      <c r="G998" s="530"/>
      <c r="H998" s="804"/>
      <c r="I998" s="631"/>
      <c r="J998" s="631"/>
      <c r="K998" s="631"/>
      <c r="L998" s="530"/>
      <c r="M998" s="530"/>
      <c r="N998" s="530"/>
      <c r="O998" s="530"/>
      <c r="P998" s="758"/>
      <c r="Q998" s="534"/>
      <c r="R998" s="534"/>
      <c r="S998" s="534"/>
      <c r="T998" s="534"/>
      <c r="U998" s="534"/>
      <c r="V998" s="534"/>
      <c r="W998" s="534"/>
    </row>
    <row r="999">
      <c r="A999" s="755"/>
      <c r="B999" s="534"/>
      <c r="C999" s="534"/>
      <c r="D999" s="534"/>
      <c r="E999" s="534"/>
      <c r="F999" s="802"/>
      <c r="G999" s="530"/>
      <c r="H999" s="804"/>
      <c r="I999" s="631"/>
      <c r="J999" s="631"/>
      <c r="K999" s="631"/>
      <c r="L999" s="530"/>
      <c r="M999" s="530"/>
      <c r="N999" s="530"/>
      <c r="O999" s="530"/>
      <c r="P999" s="758"/>
      <c r="Q999" s="534"/>
      <c r="R999" s="534"/>
      <c r="S999" s="534"/>
      <c r="T999" s="534"/>
      <c r="U999" s="534"/>
      <c r="V999" s="534"/>
      <c r="W999" s="534"/>
    </row>
    <row r="1000">
      <c r="A1000" s="755"/>
      <c r="B1000" s="534"/>
      <c r="C1000" s="534"/>
      <c r="D1000" s="534"/>
      <c r="E1000" s="534"/>
      <c r="F1000" s="802"/>
      <c r="G1000" s="530"/>
      <c r="H1000" s="804"/>
      <c r="I1000" s="631"/>
      <c r="J1000" s="631"/>
      <c r="K1000" s="631"/>
      <c r="L1000" s="530"/>
      <c r="M1000" s="530"/>
      <c r="N1000" s="530"/>
      <c r="O1000" s="530"/>
      <c r="P1000" s="758"/>
      <c r="Q1000" s="534"/>
      <c r="R1000" s="534"/>
      <c r="S1000" s="534"/>
      <c r="T1000" s="534"/>
      <c r="U1000" s="534"/>
      <c r="V1000" s="534"/>
      <c r="W1000" s="534"/>
    </row>
    <row r="1001">
      <c r="A1001" s="755"/>
      <c r="B1001" s="534"/>
      <c r="C1001" s="534"/>
      <c r="D1001" s="534"/>
      <c r="E1001" s="534"/>
      <c r="F1001" s="802"/>
      <c r="G1001" s="530"/>
      <c r="H1001" s="804"/>
      <c r="I1001" s="631"/>
      <c r="J1001" s="631"/>
      <c r="K1001" s="631"/>
      <c r="L1001" s="530"/>
      <c r="M1001" s="530"/>
      <c r="N1001" s="530"/>
      <c r="O1001" s="530"/>
      <c r="P1001" s="758"/>
      <c r="Q1001" s="534"/>
      <c r="R1001" s="534"/>
      <c r="S1001" s="534"/>
      <c r="T1001" s="534"/>
      <c r="U1001" s="534"/>
      <c r="V1001" s="534"/>
      <c r="W1001" s="534"/>
    </row>
    <row r="1002">
      <c r="A1002" s="755"/>
      <c r="B1002" s="534"/>
      <c r="C1002" s="534"/>
      <c r="D1002" s="534"/>
      <c r="E1002" s="534"/>
      <c r="F1002" s="802"/>
      <c r="G1002" s="530"/>
      <c r="H1002" s="804"/>
      <c r="I1002" s="631"/>
      <c r="J1002" s="631"/>
      <c r="K1002" s="631"/>
      <c r="L1002" s="530"/>
      <c r="M1002" s="530"/>
      <c r="N1002" s="530"/>
      <c r="O1002" s="530"/>
      <c r="P1002" s="758"/>
      <c r="Q1002" s="534"/>
      <c r="R1002" s="534"/>
      <c r="S1002" s="534"/>
      <c r="T1002" s="534"/>
      <c r="U1002" s="534"/>
      <c r="V1002" s="534"/>
      <c r="W1002" s="534"/>
    </row>
    <row r="1003">
      <c r="A1003" s="755"/>
      <c r="B1003" s="534"/>
      <c r="C1003" s="534"/>
      <c r="D1003" s="534"/>
      <c r="E1003" s="534"/>
      <c r="F1003" s="802"/>
      <c r="G1003" s="530"/>
      <c r="H1003" s="804"/>
      <c r="I1003" s="631"/>
      <c r="J1003" s="631"/>
      <c r="K1003" s="631"/>
      <c r="L1003" s="530"/>
      <c r="M1003" s="530"/>
      <c r="N1003" s="530"/>
      <c r="O1003" s="530"/>
      <c r="P1003" s="758"/>
      <c r="Q1003" s="534"/>
      <c r="R1003" s="534"/>
      <c r="S1003" s="534"/>
      <c r="T1003" s="534"/>
      <c r="U1003" s="534"/>
      <c r="V1003" s="534"/>
      <c r="W1003" s="534"/>
    </row>
    <row r="1004">
      <c r="A1004" s="755"/>
      <c r="B1004" s="534"/>
      <c r="C1004" s="534"/>
      <c r="D1004" s="534"/>
      <c r="E1004" s="534"/>
      <c r="F1004" s="802"/>
      <c r="G1004" s="530"/>
      <c r="H1004" s="804"/>
      <c r="I1004" s="631"/>
      <c r="J1004" s="631"/>
      <c r="K1004" s="631"/>
      <c r="L1004" s="530"/>
      <c r="M1004" s="530"/>
      <c r="N1004" s="530"/>
      <c r="O1004" s="530"/>
      <c r="P1004" s="758"/>
      <c r="Q1004" s="534"/>
      <c r="R1004" s="534"/>
      <c r="S1004" s="534"/>
      <c r="T1004" s="534"/>
      <c r="U1004" s="534"/>
      <c r="V1004" s="534"/>
      <c r="W1004" s="534"/>
    </row>
    <row r="1005">
      <c r="A1005" s="755"/>
      <c r="B1005" s="534"/>
      <c r="C1005" s="534"/>
      <c r="D1005" s="534"/>
      <c r="E1005" s="534"/>
      <c r="F1005" s="802"/>
      <c r="G1005" s="530"/>
      <c r="H1005" s="804"/>
      <c r="I1005" s="631"/>
      <c r="J1005" s="631"/>
      <c r="K1005" s="631"/>
      <c r="L1005" s="530"/>
      <c r="M1005" s="530"/>
      <c r="N1005" s="530"/>
      <c r="O1005" s="530"/>
      <c r="P1005" s="758"/>
      <c r="Q1005" s="534"/>
      <c r="R1005" s="534"/>
      <c r="S1005" s="534"/>
      <c r="T1005" s="534"/>
      <c r="U1005" s="534"/>
      <c r="V1005" s="534"/>
      <c r="W1005" s="534"/>
    </row>
    <row r="1006">
      <c r="A1006" s="755"/>
      <c r="B1006" s="534"/>
      <c r="C1006" s="534"/>
      <c r="D1006" s="534"/>
      <c r="E1006" s="534"/>
      <c r="F1006" s="802"/>
      <c r="G1006" s="530"/>
      <c r="H1006" s="804"/>
      <c r="I1006" s="631"/>
      <c r="J1006" s="631"/>
      <c r="K1006" s="631"/>
      <c r="L1006" s="530"/>
      <c r="M1006" s="530"/>
      <c r="N1006" s="530"/>
      <c r="O1006" s="530"/>
      <c r="P1006" s="758"/>
      <c r="Q1006" s="534"/>
      <c r="R1006" s="534"/>
      <c r="S1006" s="534"/>
      <c r="T1006" s="534"/>
      <c r="U1006" s="534"/>
      <c r="V1006" s="534"/>
      <c r="W1006" s="534"/>
    </row>
    <row r="1007">
      <c r="A1007" s="755"/>
      <c r="B1007" s="534"/>
      <c r="C1007" s="534"/>
      <c r="D1007" s="534"/>
      <c r="E1007" s="534"/>
      <c r="F1007" s="802"/>
      <c r="G1007" s="530"/>
      <c r="H1007" s="804"/>
      <c r="I1007" s="631"/>
      <c r="J1007" s="631"/>
      <c r="K1007" s="631"/>
      <c r="L1007" s="530"/>
      <c r="M1007" s="530"/>
      <c r="N1007" s="530"/>
      <c r="O1007" s="530"/>
      <c r="P1007" s="758"/>
      <c r="Q1007" s="534"/>
      <c r="R1007" s="534"/>
      <c r="S1007" s="534"/>
      <c r="T1007" s="534"/>
      <c r="U1007" s="534"/>
      <c r="V1007" s="534"/>
      <c r="W1007" s="534"/>
    </row>
    <row r="1008">
      <c r="A1008" s="755"/>
      <c r="B1008" s="534"/>
      <c r="C1008" s="534"/>
      <c r="D1008" s="534"/>
      <c r="E1008" s="534"/>
      <c r="F1008" s="802"/>
      <c r="G1008" s="530"/>
      <c r="H1008" s="804"/>
      <c r="I1008" s="631"/>
      <c r="J1008" s="631"/>
      <c r="K1008" s="631"/>
      <c r="L1008" s="530"/>
      <c r="M1008" s="530"/>
      <c r="N1008" s="530"/>
      <c r="O1008" s="530"/>
      <c r="P1008" s="758"/>
      <c r="Q1008" s="534"/>
      <c r="R1008" s="534"/>
      <c r="S1008" s="534"/>
      <c r="T1008" s="534"/>
      <c r="U1008" s="534"/>
      <c r="V1008" s="534"/>
      <c r="W1008" s="534"/>
    </row>
    <row r="1009">
      <c r="A1009" s="755"/>
      <c r="B1009" s="534"/>
      <c r="C1009" s="534"/>
      <c r="D1009" s="534"/>
      <c r="E1009" s="534"/>
      <c r="F1009" s="802"/>
      <c r="G1009" s="530"/>
      <c r="H1009" s="804"/>
      <c r="I1009" s="631"/>
      <c r="J1009" s="631"/>
      <c r="K1009" s="631"/>
      <c r="L1009" s="530"/>
      <c r="M1009" s="530"/>
      <c r="N1009" s="530"/>
      <c r="O1009" s="530"/>
      <c r="P1009" s="758"/>
      <c r="Q1009" s="534"/>
      <c r="R1009" s="534"/>
      <c r="S1009" s="534"/>
      <c r="T1009" s="534"/>
      <c r="U1009" s="534"/>
      <c r="V1009" s="534"/>
      <c r="W1009" s="534"/>
    </row>
    <row r="1010">
      <c r="A1010" s="755"/>
      <c r="B1010" s="534"/>
      <c r="C1010" s="534"/>
      <c r="D1010" s="534"/>
      <c r="E1010" s="534"/>
      <c r="F1010" s="802"/>
      <c r="G1010" s="530"/>
      <c r="H1010" s="804"/>
      <c r="I1010" s="631"/>
      <c r="J1010" s="631"/>
      <c r="K1010" s="631"/>
      <c r="L1010" s="530"/>
      <c r="M1010" s="530"/>
      <c r="N1010" s="530"/>
      <c r="O1010" s="530"/>
      <c r="P1010" s="758"/>
      <c r="Q1010" s="534"/>
      <c r="R1010" s="534"/>
      <c r="S1010" s="534"/>
      <c r="T1010" s="534"/>
      <c r="U1010" s="534"/>
      <c r="V1010" s="534"/>
      <c r="W1010" s="534"/>
    </row>
    <row r="1011">
      <c r="A1011" s="755"/>
      <c r="B1011" s="534"/>
      <c r="C1011" s="534"/>
      <c r="D1011" s="534"/>
      <c r="E1011" s="534"/>
      <c r="F1011" s="802"/>
      <c r="G1011" s="530"/>
      <c r="H1011" s="804"/>
      <c r="I1011" s="631"/>
      <c r="J1011" s="631"/>
      <c r="K1011" s="631"/>
      <c r="L1011" s="530"/>
      <c r="M1011" s="530"/>
      <c r="N1011" s="530"/>
      <c r="O1011" s="530"/>
      <c r="P1011" s="758"/>
      <c r="Q1011" s="534"/>
      <c r="R1011" s="534"/>
      <c r="S1011" s="534"/>
      <c r="T1011" s="534"/>
      <c r="U1011" s="534"/>
      <c r="V1011" s="534"/>
      <c r="W1011" s="534"/>
    </row>
    <row r="1012">
      <c r="A1012" s="755"/>
      <c r="B1012" s="534"/>
      <c r="C1012" s="534"/>
      <c r="D1012" s="534"/>
      <c r="E1012" s="534"/>
      <c r="F1012" s="802"/>
      <c r="G1012" s="530"/>
      <c r="H1012" s="804"/>
      <c r="I1012" s="631"/>
      <c r="J1012" s="631"/>
      <c r="K1012" s="631"/>
      <c r="L1012" s="530"/>
      <c r="M1012" s="530"/>
      <c r="N1012" s="530"/>
      <c r="O1012" s="530"/>
      <c r="P1012" s="758"/>
      <c r="Q1012" s="534"/>
      <c r="R1012" s="534"/>
      <c r="S1012" s="534"/>
      <c r="T1012" s="534"/>
      <c r="U1012" s="534"/>
      <c r="V1012" s="534"/>
      <c r="W1012" s="534"/>
    </row>
    <row r="1013">
      <c r="A1013" s="755"/>
      <c r="B1013" s="534"/>
      <c r="C1013" s="534"/>
      <c r="D1013" s="534"/>
      <c r="E1013" s="534"/>
      <c r="F1013" s="802"/>
      <c r="G1013" s="530"/>
      <c r="H1013" s="804"/>
      <c r="I1013" s="631"/>
      <c r="J1013" s="631"/>
      <c r="K1013" s="631"/>
      <c r="L1013" s="530"/>
      <c r="M1013" s="530"/>
      <c r="N1013" s="530"/>
      <c r="O1013" s="530"/>
      <c r="P1013" s="758"/>
      <c r="Q1013" s="534"/>
      <c r="R1013" s="534"/>
      <c r="S1013" s="534"/>
      <c r="T1013" s="534"/>
      <c r="U1013" s="534"/>
      <c r="V1013" s="534"/>
      <c r="W1013" s="534"/>
    </row>
    <row r="1014">
      <c r="A1014" s="755"/>
      <c r="B1014" s="534"/>
      <c r="C1014" s="534"/>
      <c r="D1014" s="534"/>
      <c r="E1014" s="534"/>
      <c r="F1014" s="802"/>
      <c r="G1014" s="530"/>
      <c r="H1014" s="804"/>
      <c r="I1014" s="631"/>
      <c r="J1014" s="631"/>
      <c r="K1014" s="631"/>
      <c r="L1014" s="530"/>
      <c r="M1014" s="530"/>
      <c r="N1014" s="530"/>
      <c r="O1014" s="530"/>
      <c r="P1014" s="758"/>
      <c r="Q1014" s="534"/>
      <c r="R1014" s="534"/>
      <c r="S1014" s="534"/>
      <c r="T1014" s="534"/>
      <c r="U1014" s="534"/>
      <c r="V1014" s="534"/>
      <c r="W1014" s="534"/>
    </row>
    <row r="1015">
      <c r="A1015" s="755"/>
      <c r="B1015" s="534"/>
      <c r="C1015" s="534"/>
      <c r="D1015" s="534"/>
      <c r="E1015" s="534"/>
      <c r="F1015" s="802"/>
      <c r="G1015" s="530"/>
      <c r="H1015" s="804"/>
      <c r="I1015" s="631"/>
      <c r="J1015" s="631"/>
      <c r="K1015" s="631"/>
      <c r="L1015" s="530"/>
      <c r="M1015" s="530"/>
      <c r="N1015" s="530"/>
      <c r="O1015" s="530"/>
      <c r="P1015" s="758"/>
      <c r="Q1015" s="534"/>
      <c r="R1015" s="534"/>
      <c r="S1015" s="534"/>
      <c r="T1015" s="534"/>
      <c r="U1015" s="534"/>
      <c r="V1015" s="534"/>
      <c r="W1015" s="534"/>
    </row>
    <row r="1016">
      <c r="A1016" s="755"/>
      <c r="B1016" s="534"/>
      <c r="C1016" s="534"/>
      <c r="D1016" s="534"/>
      <c r="E1016" s="534"/>
      <c r="F1016" s="802"/>
      <c r="G1016" s="530"/>
      <c r="H1016" s="804"/>
      <c r="I1016" s="631"/>
      <c r="J1016" s="631"/>
      <c r="K1016" s="631"/>
      <c r="L1016" s="530"/>
      <c r="M1016" s="530"/>
      <c r="N1016" s="530"/>
      <c r="O1016" s="530"/>
      <c r="P1016" s="758"/>
      <c r="Q1016" s="534"/>
      <c r="R1016" s="534"/>
      <c r="S1016" s="534"/>
      <c r="T1016" s="534"/>
      <c r="U1016" s="534"/>
      <c r="V1016" s="534"/>
      <c r="W1016" s="534"/>
    </row>
    <row r="1017">
      <c r="A1017" s="755"/>
      <c r="B1017" s="534"/>
      <c r="C1017" s="534"/>
      <c r="D1017" s="534"/>
      <c r="E1017" s="534"/>
      <c r="F1017" s="802"/>
      <c r="G1017" s="530"/>
      <c r="H1017" s="804"/>
      <c r="I1017" s="631"/>
      <c r="J1017" s="631"/>
      <c r="K1017" s="631"/>
      <c r="L1017" s="530"/>
      <c r="M1017" s="530"/>
      <c r="N1017" s="530"/>
      <c r="O1017" s="530"/>
      <c r="P1017" s="758"/>
      <c r="Q1017" s="534"/>
      <c r="R1017" s="534"/>
      <c r="S1017" s="534"/>
      <c r="T1017" s="534"/>
      <c r="U1017" s="534"/>
      <c r="V1017" s="534"/>
      <c r="W1017" s="534"/>
    </row>
    <row r="1018">
      <c r="A1018" s="755"/>
      <c r="B1018" s="534"/>
      <c r="C1018" s="534"/>
      <c r="D1018" s="534"/>
      <c r="E1018" s="534"/>
      <c r="F1018" s="802"/>
      <c r="G1018" s="530"/>
      <c r="H1018" s="804"/>
      <c r="I1018" s="631"/>
      <c r="J1018" s="631"/>
      <c r="K1018" s="631"/>
      <c r="L1018" s="530"/>
      <c r="M1018" s="530"/>
      <c r="N1018" s="530"/>
      <c r="O1018" s="530"/>
      <c r="P1018" s="758"/>
      <c r="Q1018" s="534"/>
      <c r="R1018" s="534"/>
      <c r="S1018" s="534"/>
      <c r="T1018" s="534"/>
      <c r="U1018" s="534"/>
      <c r="V1018" s="534"/>
      <c r="W1018" s="534"/>
    </row>
    <row r="1019">
      <c r="A1019" s="755"/>
      <c r="B1019" s="534"/>
      <c r="C1019" s="534"/>
      <c r="D1019" s="534"/>
      <c r="E1019" s="534"/>
      <c r="F1019" s="802"/>
      <c r="G1019" s="530"/>
      <c r="H1019" s="804"/>
      <c r="I1019" s="631"/>
      <c r="J1019" s="631"/>
      <c r="K1019" s="631"/>
      <c r="L1019" s="530"/>
      <c r="M1019" s="530"/>
      <c r="N1019" s="530"/>
      <c r="O1019" s="530"/>
      <c r="P1019" s="758"/>
      <c r="Q1019" s="534"/>
      <c r="R1019" s="534"/>
      <c r="S1019" s="534"/>
      <c r="T1019" s="534"/>
      <c r="U1019" s="534"/>
      <c r="V1019" s="534"/>
      <c r="W1019" s="534"/>
    </row>
    <row r="1020">
      <c r="A1020" s="755"/>
      <c r="B1020" s="534"/>
      <c r="C1020" s="534"/>
      <c r="D1020" s="534"/>
      <c r="E1020" s="534"/>
      <c r="F1020" s="802"/>
      <c r="G1020" s="530"/>
      <c r="H1020" s="804"/>
      <c r="I1020" s="631"/>
      <c r="J1020" s="631"/>
      <c r="K1020" s="631"/>
      <c r="L1020" s="530"/>
      <c r="M1020" s="530"/>
      <c r="N1020" s="530"/>
      <c r="O1020" s="530"/>
      <c r="P1020" s="758"/>
      <c r="Q1020" s="534"/>
      <c r="R1020" s="534"/>
      <c r="S1020" s="534"/>
      <c r="T1020" s="534"/>
      <c r="U1020" s="534"/>
      <c r="V1020" s="534"/>
      <c r="W1020" s="534"/>
    </row>
    <row r="1021">
      <c r="A1021" s="755"/>
      <c r="B1021" s="534"/>
      <c r="C1021" s="534"/>
      <c r="D1021" s="534"/>
      <c r="E1021" s="534"/>
      <c r="F1021" s="802"/>
      <c r="G1021" s="530"/>
      <c r="H1021" s="804"/>
      <c r="I1021" s="631"/>
      <c r="J1021" s="631"/>
      <c r="K1021" s="631"/>
      <c r="L1021" s="530"/>
      <c r="M1021" s="530"/>
      <c r="N1021" s="530"/>
      <c r="O1021" s="530"/>
      <c r="P1021" s="758"/>
      <c r="Q1021" s="534"/>
      <c r="R1021" s="534"/>
      <c r="S1021" s="534"/>
      <c r="T1021" s="534"/>
      <c r="U1021" s="534"/>
      <c r="V1021" s="534"/>
      <c r="W1021" s="534"/>
    </row>
    <row r="1022">
      <c r="A1022" s="755"/>
      <c r="B1022" s="534"/>
      <c r="C1022" s="534"/>
      <c r="D1022" s="534"/>
      <c r="E1022" s="534"/>
      <c r="F1022" s="802"/>
      <c r="G1022" s="530"/>
      <c r="H1022" s="804"/>
      <c r="I1022" s="631"/>
      <c r="J1022" s="631"/>
      <c r="K1022" s="631"/>
      <c r="L1022" s="530"/>
      <c r="M1022" s="530"/>
      <c r="N1022" s="530"/>
      <c r="O1022" s="530"/>
      <c r="P1022" s="758"/>
      <c r="Q1022" s="534"/>
      <c r="R1022" s="534"/>
      <c r="S1022" s="534"/>
      <c r="T1022" s="534"/>
      <c r="U1022" s="534"/>
      <c r="V1022" s="534"/>
      <c r="W1022" s="534"/>
    </row>
    <row r="1023">
      <c r="A1023" s="755"/>
      <c r="B1023" s="534"/>
      <c r="C1023" s="534"/>
      <c r="D1023" s="534"/>
      <c r="E1023" s="534"/>
      <c r="F1023" s="802"/>
      <c r="G1023" s="530"/>
      <c r="H1023" s="804"/>
      <c r="I1023" s="631"/>
      <c r="J1023" s="631"/>
      <c r="K1023" s="631"/>
      <c r="L1023" s="530"/>
      <c r="M1023" s="530"/>
      <c r="N1023" s="530"/>
      <c r="O1023" s="530"/>
      <c r="P1023" s="758"/>
      <c r="Q1023" s="534"/>
      <c r="R1023" s="534"/>
      <c r="S1023" s="534"/>
      <c r="T1023" s="534"/>
      <c r="U1023" s="534"/>
      <c r="V1023" s="534"/>
      <c r="W1023" s="534"/>
    </row>
    <row r="1024">
      <c r="A1024" s="755"/>
      <c r="B1024" s="534"/>
      <c r="C1024" s="534"/>
      <c r="D1024" s="534"/>
      <c r="E1024" s="534"/>
      <c r="F1024" s="802"/>
      <c r="G1024" s="530"/>
      <c r="H1024" s="804"/>
      <c r="I1024" s="631"/>
      <c r="J1024" s="631"/>
      <c r="K1024" s="631"/>
      <c r="L1024" s="530"/>
      <c r="M1024" s="530"/>
      <c r="N1024" s="530"/>
      <c r="O1024" s="530"/>
      <c r="P1024" s="758"/>
      <c r="Q1024" s="534"/>
      <c r="R1024" s="534"/>
      <c r="S1024" s="534"/>
      <c r="T1024" s="534"/>
      <c r="U1024" s="534"/>
      <c r="V1024" s="534"/>
      <c r="W1024" s="534"/>
    </row>
    <row r="1025">
      <c r="A1025" s="755"/>
      <c r="B1025" s="534"/>
      <c r="C1025" s="534"/>
      <c r="D1025" s="534"/>
      <c r="E1025" s="534"/>
      <c r="F1025" s="802"/>
      <c r="G1025" s="530"/>
      <c r="H1025" s="804"/>
      <c r="I1025" s="631"/>
      <c r="J1025" s="631"/>
      <c r="K1025" s="631"/>
      <c r="L1025" s="530"/>
      <c r="M1025" s="530"/>
      <c r="N1025" s="530"/>
      <c r="O1025" s="530"/>
      <c r="P1025" s="758"/>
      <c r="Q1025" s="534"/>
      <c r="R1025" s="534"/>
      <c r="S1025" s="534"/>
      <c r="T1025" s="534"/>
      <c r="U1025" s="534"/>
      <c r="V1025" s="534"/>
      <c r="W1025" s="534"/>
    </row>
    <row r="1026">
      <c r="A1026" s="755"/>
      <c r="B1026" s="534"/>
      <c r="C1026" s="534"/>
      <c r="D1026" s="534"/>
      <c r="E1026" s="534"/>
      <c r="F1026" s="802"/>
      <c r="G1026" s="530"/>
      <c r="H1026" s="804"/>
      <c r="I1026" s="631"/>
      <c r="J1026" s="631"/>
      <c r="K1026" s="631"/>
      <c r="L1026" s="530"/>
      <c r="M1026" s="530"/>
      <c r="N1026" s="530"/>
      <c r="O1026" s="530"/>
      <c r="P1026" s="758"/>
      <c r="Q1026" s="534"/>
      <c r="R1026" s="534"/>
      <c r="S1026" s="534"/>
      <c r="T1026" s="534"/>
      <c r="U1026" s="534"/>
      <c r="V1026" s="534"/>
      <c r="W1026" s="534"/>
    </row>
    <row r="1027">
      <c r="A1027" s="755"/>
      <c r="B1027" s="534"/>
      <c r="C1027" s="534"/>
      <c r="D1027" s="534"/>
      <c r="E1027" s="534"/>
      <c r="F1027" s="802"/>
      <c r="G1027" s="530"/>
      <c r="H1027" s="804"/>
      <c r="I1027" s="631"/>
      <c r="J1027" s="631"/>
      <c r="K1027" s="631"/>
      <c r="L1027" s="530"/>
      <c r="M1027" s="530"/>
      <c r="N1027" s="530"/>
      <c r="O1027" s="530"/>
      <c r="P1027" s="758"/>
      <c r="Q1027" s="534"/>
      <c r="R1027" s="534"/>
      <c r="S1027" s="534"/>
      <c r="T1027" s="534"/>
      <c r="U1027" s="534"/>
      <c r="V1027" s="534"/>
      <c r="W1027" s="534"/>
    </row>
    <row r="1028">
      <c r="A1028" s="755"/>
      <c r="B1028" s="534"/>
      <c r="C1028" s="534"/>
      <c r="D1028" s="534"/>
      <c r="E1028" s="534"/>
      <c r="F1028" s="802"/>
      <c r="G1028" s="530"/>
      <c r="H1028" s="804"/>
      <c r="I1028" s="631"/>
      <c r="J1028" s="631"/>
      <c r="K1028" s="631"/>
      <c r="L1028" s="530"/>
      <c r="M1028" s="530"/>
      <c r="N1028" s="530"/>
      <c r="O1028" s="530"/>
      <c r="P1028" s="758"/>
      <c r="Q1028" s="534"/>
      <c r="R1028" s="534"/>
      <c r="S1028" s="534"/>
      <c r="T1028" s="534"/>
      <c r="U1028" s="534"/>
      <c r="V1028" s="534"/>
      <c r="W1028" s="534"/>
    </row>
    <row r="1029">
      <c r="A1029" s="755"/>
      <c r="B1029" s="534"/>
      <c r="C1029" s="534"/>
      <c r="D1029" s="534"/>
      <c r="E1029" s="534"/>
      <c r="F1029" s="802"/>
      <c r="G1029" s="530"/>
      <c r="H1029" s="804"/>
      <c r="I1029" s="631"/>
      <c r="J1029" s="631"/>
      <c r="K1029" s="631"/>
      <c r="L1029" s="530"/>
      <c r="M1029" s="530"/>
      <c r="N1029" s="530"/>
      <c r="O1029" s="530"/>
      <c r="P1029" s="758"/>
      <c r="Q1029" s="534"/>
      <c r="R1029" s="534"/>
      <c r="S1029" s="534"/>
      <c r="T1029" s="534"/>
      <c r="U1029" s="534"/>
      <c r="V1029" s="534"/>
      <c r="W1029" s="534"/>
    </row>
    <row r="1030">
      <c r="A1030" s="755"/>
      <c r="B1030" s="534"/>
      <c r="C1030" s="534"/>
      <c r="D1030" s="534"/>
      <c r="E1030" s="534"/>
      <c r="F1030" s="802"/>
      <c r="G1030" s="530"/>
      <c r="H1030" s="804"/>
      <c r="I1030" s="631"/>
      <c r="J1030" s="631"/>
      <c r="K1030" s="631"/>
      <c r="L1030" s="530"/>
      <c r="M1030" s="530"/>
      <c r="N1030" s="530"/>
      <c r="O1030" s="530"/>
      <c r="P1030" s="758"/>
      <c r="Q1030" s="534"/>
      <c r="R1030" s="534"/>
      <c r="S1030" s="534"/>
      <c r="T1030" s="534"/>
      <c r="U1030" s="534"/>
      <c r="V1030" s="534"/>
      <c r="W1030" s="534"/>
    </row>
    <row r="1031">
      <c r="A1031" s="755"/>
      <c r="B1031" s="534"/>
      <c r="C1031" s="534"/>
      <c r="D1031" s="534"/>
      <c r="E1031" s="534"/>
      <c r="F1031" s="802"/>
      <c r="G1031" s="530"/>
      <c r="H1031" s="804"/>
      <c r="I1031" s="631"/>
      <c r="J1031" s="631"/>
      <c r="K1031" s="631"/>
      <c r="L1031" s="530"/>
      <c r="M1031" s="530"/>
      <c r="N1031" s="530"/>
      <c r="O1031" s="530"/>
      <c r="P1031" s="758"/>
      <c r="Q1031" s="534"/>
      <c r="R1031" s="534"/>
      <c r="S1031" s="534"/>
      <c r="T1031" s="534"/>
      <c r="U1031" s="534"/>
      <c r="V1031" s="534"/>
      <c r="W1031" s="534"/>
    </row>
    <row r="1032">
      <c r="A1032" s="755"/>
      <c r="B1032" s="534"/>
      <c r="C1032" s="534"/>
      <c r="D1032" s="534"/>
      <c r="E1032" s="534"/>
      <c r="F1032" s="802"/>
      <c r="G1032" s="530"/>
      <c r="H1032" s="804"/>
      <c r="I1032" s="631"/>
      <c r="J1032" s="631"/>
      <c r="K1032" s="631"/>
      <c r="L1032" s="530"/>
      <c r="M1032" s="530"/>
      <c r="N1032" s="530"/>
      <c r="O1032" s="530"/>
      <c r="P1032" s="758"/>
      <c r="Q1032" s="534"/>
      <c r="R1032" s="534"/>
      <c r="S1032" s="534"/>
      <c r="T1032" s="534"/>
      <c r="U1032" s="534"/>
      <c r="V1032" s="534"/>
      <c r="W1032" s="534"/>
    </row>
    <row r="1033">
      <c r="A1033" s="755"/>
      <c r="B1033" s="534"/>
      <c r="C1033" s="534"/>
      <c r="D1033" s="534"/>
      <c r="E1033" s="534"/>
      <c r="F1033" s="802"/>
      <c r="G1033" s="530"/>
      <c r="H1033" s="804"/>
      <c r="I1033" s="631"/>
      <c r="J1033" s="631"/>
      <c r="K1033" s="631"/>
      <c r="L1033" s="530"/>
      <c r="M1033" s="530"/>
      <c r="N1033" s="530"/>
      <c r="O1033" s="530"/>
      <c r="P1033" s="758"/>
      <c r="Q1033" s="534"/>
      <c r="R1033" s="534"/>
      <c r="S1033" s="534"/>
      <c r="T1033" s="534"/>
      <c r="U1033" s="534"/>
      <c r="V1033" s="534"/>
      <c r="W1033" s="534"/>
    </row>
    <row r="1034">
      <c r="A1034" s="755"/>
      <c r="B1034" s="534"/>
      <c r="C1034" s="534"/>
      <c r="D1034" s="534"/>
      <c r="E1034" s="534"/>
      <c r="F1034" s="802"/>
      <c r="G1034" s="530"/>
      <c r="H1034" s="804"/>
      <c r="I1034" s="631"/>
      <c r="J1034" s="631"/>
      <c r="K1034" s="631"/>
      <c r="L1034" s="530"/>
      <c r="M1034" s="530"/>
      <c r="N1034" s="530"/>
      <c r="O1034" s="530"/>
      <c r="P1034" s="758"/>
      <c r="Q1034" s="534"/>
      <c r="R1034" s="534"/>
      <c r="S1034" s="534"/>
      <c r="T1034" s="534"/>
      <c r="U1034" s="534"/>
      <c r="V1034" s="534"/>
      <c r="W1034" s="534"/>
    </row>
    <row r="1035">
      <c r="A1035" s="755"/>
      <c r="B1035" s="534"/>
      <c r="C1035" s="534"/>
      <c r="D1035" s="534"/>
      <c r="E1035" s="534"/>
      <c r="F1035" s="802"/>
      <c r="G1035" s="530"/>
      <c r="H1035" s="804"/>
      <c r="I1035" s="631"/>
      <c r="J1035" s="631"/>
      <c r="K1035" s="631"/>
      <c r="L1035" s="530"/>
      <c r="M1035" s="530"/>
      <c r="N1035" s="530"/>
      <c r="O1035" s="530"/>
      <c r="P1035" s="758"/>
      <c r="Q1035" s="534"/>
      <c r="R1035" s="534"/>
      <c r="S1035" s="534"/>
      <c r="T1035" s="534"/>
      <c r="U1035" s="534"/>
      <c r="V1035" s="534"/>
      <c r="W1035" s="534"/>
    </row>
    <row r="1036">
      <c r="A1036" s="755"/>
      <c r="B1036" s="534"/>
      <c r="C1036" s="534"/>
      <c r="D1036" s="534"/>
      <c r="E1036" s="534"/>
      <c r="F1036" s="802"/>
      <c r="G1036" s="530"/>
      <c r="H1036" s="804"/>
      <c r="I1036" s="631"/>
      <c r="J1036" s="631"/>
      <c r="K1036" s="631"/>
      <c r="L1036" s="530"/>
      <c r="M1036" s="530"/>
      <c r="N1036" s="530"/>
      <c r="O1036" s="530"/>
      <c r="P1036" s="758"/>
      <c r="Q1036" s="534"/>
      <c r="R1036" s="534"/>
      <c r="S1036" s="534"/>
      <c r="T1036" s="534"/>
      <c r="U1036" s="534"/>
      <c r="V1036" s="534"/>
      <c r="W1036" s="534"/>
    </row>
    <row r="1037">
      <c r="A1037" s="755"/>
      <c r="B1037" s="534"/>
      <c r="C1037" s="534"/>
      <c r="D1037" s="534"/>
      <c r="E1037" s="534"/>
      <c r="F1037" s="802"/>
      <c r="G1037" s="530"/>
      <c r="H1037" s="804"/>
      <c r="I1037" s="631"/>
      <c r="J1037" s="631"/>
      <c r="K1037" s="631"/>
      <c r="L1037" s="530"/>
      <c r="M1037" s="530"/>
      <c r="N1037" s="530"/>
      <c r="O1037" s="530"/>
      <c r="P1037" s="758"/>
      <c r="Q1037" s="534"/>
      <c r="R1037" s="534"/>
      <c r="S1037" s="534"/>
      <c r="T1037" s="534"/>
      <c r="U1037" s="534"/>
      <c r="V1037" s="534"/>
      <c r="W1037" s="534"/>
    </row>
    <row r="1038">
      <c r="A1038" s="755"/>
      <c r="B1038" s="534"/>
      <c r="C1038" s="534"/>
      <c r="D1038" s="534"/>
      <c r="E1038" s="534"/>
      <c r="F1038" s="802"/>
      <c r="G1038" s="530"/>
      <c r="H1038" s="804"/>
      <c r="I1038" s="631"/>
      <c r="J1038" s="631"/>
      <c r="K1038" s="631"/>
      <c r="L1038" s="530"/>
      <c r="M1038" s="530"/>
      <c r="N1038" s="530"/>
      <c r="O1038" s="530"/>
      <c r="P1038" s="758"/>
      <c r="Q1038" s="534"/>
      <c r="R1038" s="534"/>
      <c r="S1038" s="534"/>
      <c r="T1038" s="534"/>
      <c r="U1038" s="534"/>
      <c r="V1038" s="534"/>
      <c r="W1038" s="534"/>
    </row>
    <row r="1039">
      <c r="A1039" s="755"/>
      <c r="B1039" s="534"/>
      <c r="C1039" s="534"/>
      <c r="D1039" s="534"/>
      <c r="E1039" s="534"/>
      <c r="F1039" s="802"/>
      <c r="G1039" s="530"/>
      <c r="H1039" s="804"/>
      <c r="I1039" s="631"/>
      <c r="J1039" s="631"/>
      <c r="K1039" s="631"/>
      <c r="L1039" s="530"/>
      <c r="M1039" s="530"/>
      <c r="N1039" s="530"/>
      <c r="O1039" s="530"/>
      <c r="P1039" s="758"/>
      <c r="Q1039" s="534"/>
      <c r="R1039" s="534"/>
      <c r="S1039" s="534"/>
      <c r="T1039" s="534"/>
      <c r="U1039" s="534"/>
      <c r="V1039" s="534"/>
      <c r="W1039" s="534"/>
    </row>
    <row r="1040">
      <c r="A1040" s="755"/>
      <c r="B1040" s="534"/>
      <c r="C1040" s="534"/>
      <c r="D1040" s="534"/>
      <c r="E1040" s="534"/>
      <c r="F1040" s="802"/>
      <c r="G1040" s="530"/>
      <c r="H1040" s="804"/>
      <c r="I1040" s="631"/>
      <c r="J1040" s="631"/>
      <c r="K1040" s="631"/>
      <c r="L1040" s="530"/>
      <c r="M1040" s="530"/>
      <c r="N1040" s="530"/>
      <c r="O1040" s="530"/>
      <c r="P1040" s="758"/>
      <c r="Q1040" s="534"/>
      <c r="R1040" s="534"/>
      <c r="S1040" s="534"/>
      <c r="T1040" s="534"/>
      <c r="U1040" s="534"/>
      <c r="V1040" s="534"/>
      <c r="W1040" s="534"/>
    </row>
    <row r="1041">
      <c r="A1041" s="755"/>
      <c r="B1041" s="534"/>
      <c r="C1041" s="534"/>
      <c r="D1041" s="534"/>
      <c r="E1041" s="534"/>
      <c r="F1041" s="802"/>
      <c r="G1041" s="530"/>
      <c r="H1041" s="804"/>
      <c r="I1041" s="631"/>
      <c r="J1041" s="631"/>
      <c r="K1041" s="631"/>
      <c r="L1041" s="530"/>
      <c r="M1041" s="530"/>
      <c r="N1041" s="530"/>
      <c r="O1041" s="530"/>
      <c r="P1041" s="758"/>
      <c r="Q1041" s="534"/>
      <c r="R1041" s="534"/>
      <c r="S1041" s="534"/>
      <c r="T1041" s="534"/>
      <c r="U1041" s="534"/>
      <c r="V1041" s="534"/>
      <c r="W1041" s="534"/>
    </row>
    <row r="1042">
      <c r="A1042" s="755"/>
      <c r="B1042" s="534"/>
      <c r="C1042" s="534"/>
      <c r="D1042" s="534"/>
      <c r="E1042" s="534"/>
      <c r="F1042" s="802"/>
      <c r="G1042" s="530"/>
      <c r="H1042" s="804"/>
      <c r="I1042" s="631"/>
      <c r="J1042" s="631"/>
      <c r="K1042" s="631"/>
      <c r="L1042" s="530"/>
      <c r="M1042" s="530"/>
      <c r="N1042" s="530"/>
      <c r="O1042" s="530"/>
      <c r="P1042" s="758"/>
      <c r="Q1042" s="534"/>
      <c r="R1042" s="534"/>
      <c r="S1042" s="534"/>
      <c r="T1042" s="534"/>
      <c r="U1042" s="534"/>
      <c r="V1042" s="534"/>
      <c r="W1042" s="534"/>
    </row>
    <row r="1043">
      <c r="A1043" s="755"/>
      <c r="B1043" s="534"/>
      <c r="C1043" s="534"/>
      <c r="D1043" s="534"/>
      <c r="E1043" s="534"/>
      <c r="F1043" s="802"/>
      <c r="G1043" s="530"/>
      <c r="H1043" s="804"/>
      <c r="I1043" s="631"/>
      <c r="J1043" s="631"/>
      <c r="K1043" s="631"/>
      <c r="L1043" s="530"/>
      <c r="M1043" s="530"/>
      <c r="N1043" s="530"/>
      <c r="O1043" s="530"/>
      <c r="P1043" s="758"/>
      <c r="Q1043" s="534"/>
      <c r="R1043" s="534"/>
      <c r="S1043" s="534"/>
      <c r="T1043" s="534"/>
      <c r="U1043" s="534"/>
      <c r="V1043" s="534"/>
      <c r="W1043" s="534"/>
    </row>
    <row r="1044">
      <c r="A1044" s="755"/>
      <c r="B1044" s="534"/>
      <c r="C1044" s="534"/>
      <c r="D1044" s="534"/>
      <c r="E1044" s="534"/>
      <c r="F1044" s="802"/>
      <c r="G1044" s="530"/>
      <c r="H1044" s="804"/>
      <c r="I1044" s="631"/>
      <c r="J1044" s="631"/>
      <c r="K1044" s="631"/>
      <c r="L1044" s="530"/>
      <c r="M1044" s="530"/>
      <c r="N1044" s="530"/>
      <c r="O1044" s="530"/>
      <c r="P1044" s="758"/>
      <c r="Q1044" s="534"/>
      <c r="R1044" s="534"/>
      <c r="S1044" s="534"/>
      <c r="T1044" s="534"/>
      <c r="U1044" s="534"/>
      <c r="V1044" s="534"/>
      <c r="W1044" s="534"/>
    </row>
    <row r="1045">
      <c r="A1045" s="755"/>
      <c r="B1045" s="534"/>
      <c r="C1045" s="534"/>
      <c r="D1045" s="534"/>
      <c r="E1045" s="534"/>
      <c r="F1045" s="802"/>
      <c r="G1045" s="530"/>
      <c r="H1045" s="804"/>
      <c r="I1045" s="631"/>
      <c r="J1045" s="631"/>
      <c r="K1045" s="631"/>
      <c r="L1045" s="530"/>
      <c r="M1045" s="530"/>
      <c r="N1045" s="530"/>
      <c r="O1045" s="530"/>
      <c r="P1045" s="758"/>
      <c r="Q1045" s="534"/>
      <c r="R1045" s="534"/>
      <c r="S1045" s="534"/>
      <c r="T1045" s="534"/>
      <c r="U1045" s="534"/>
      <c r="V1045" s="534"/>
      <c r="W1045" s="534"/>
    </row>
    <row r="1046">
      <c r="A1046" s="755"/>
      <c r="B1046" s="534"/>
      <c r="C1046" s="534"/>
      <c r="D1046" s="534"/>
      <c r="E1046" s="534"/>
      <c r="F1046" s="802"/>
      <c r="G1046" s="530"/>
      <c r="H1046" s="804"/>
      <c r="I1046" s="631"/>
      <c r="J1046" s="631"/>
      <c r="K1046" s="631"/>
      <c r="L1046" s="530"/>
      <c r="M1046" s="530"/>
      <c r="N1046" s="530"/>
      <c r="O1046" s="530"/>
      <c r="P1046" s="758"/>
      <c r="Q1046" s="534"/>
      <c r="R1046" s="534"/>
      <c r="S1046" s="534"/>
      <c r="T1046" s="534"/>
      <c r="U1046" s="534"/>
      <c r="V1046" s="534"/>
      <c r="W1046" s="534"/>
    </row>
    <row r="1047">
      <c r="A1047" s="755"/>
      <c r="B1047" s="534"/>
      <c r="C1047" s="534"/>
      <c r="D1047" s="534"/>
      <c r="E1047" s="534"/>
      <c r="F1047" s="802"/>
      <c r="G1047" s="530"/>
      <c r="H1047" s="804"/>
      <c r="I1047" s="631"/>
      <c r="J1047" s="631"/>
      <c r="K1047" s="631"/>
      <c r="L1047" s="530"/>
      <c r="M1047" s="530"/>
      <c r="N1047" s="530"/>
      <c r="O1047" s="530"/>
      <c r="P1047" s="758"/>
      <c r="Q1047" s="534"/>
      <c r="R1047" s="534"/>
      <c r="S1047" s="534"/>
      <c r="T1047" s="534"/>
      <c r="U1047" s="534"/>
      <c r="V1047" s="534"/>
      <c r="W1047" s="534"/>
    </row>
  </sheetData>
  <mergeCells count="4">
    <mergeCell ref="C3:H3"/>
    <mergeCell ref="C55:H55"/>
    <mergeCell ref="B107:B122"/>
    <mergeCell ref="C124:H124"/>
  </mergeCells>
  <conditionalFormatting sqref="Q126:Q175">
    <cfRule type="cellIs" dxfId="4" priority="1" operator="lessThan">
      <formula>0</formula>
    </cfRule>
  </conditionalFormatting>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38"/>
    <col customWidth="1" min="4" max="4" width="26.88"/>
    <col customWidth="1" min="5" max="5" width="12.38"/>
    <col hidden="1" min="6" max="6" width="12.63"/>
    <col customWidth="1" min="7" max="7" width="11.25"/>
    <col hidden="1" min="8" max="8" width="12.63"/>
    <col customWidth="1" min="9" max="9" width="15.75"/>
    <col hidden="1" min="10" max="10" width="12.63"/>
  </cols>
  <sheetData>
    <row r="1">
      <c r="A1" s="340"/>
      <c r="B1" s="242"/>
      <c r="C1" s="242"/>
      <c r="D1" s="242"/>
      <c r="E1" s="3">
        <v>150.0</v>
      </c>
      <c r="F1" s="3"/>
      <c r="G1" s="3">
        <v>175.0</v>
      </c>
      <c r="H1" s="3"/>
      <c r="I1" s="3">
        <v>200.0</v>
      </c>
      <c r="J1" s="3"/>
      <c r="K1" s="583"/>
      <c r="L1" s="583"/>
      <c r="M1" s="242"/>
      <c r="N1" s="242"/>
      <c r="O1" s="242"/>
      <c r="P1" s="242"/>
      <c r="Q1" s="242"/>
      <c r="R1" s="242"/>
      <c r="S1" s="242"/>
      <c r="T1" s="242"/>
      <c r="U1" s="242"/>
      <c r="V1" s="242"/>
      <c r="W1" s="242"/>
      <c r="X1" s="242"/>
      <c r="Y1" s="242"/>
      <c r="Z1" s="242"/>
    </row>
    <row r="2">
      <c r="A2" s="340"/>
      <c r="B2" s="242"/>
      <c r="C2" s="242"/>
      <c r="D2" s="242"/>
      <c r="E2" s="3">
        <v>0.92</v>
      </c>
      <c r="F2" s="3"/>
      <c r="G2" s="3">
        <v>1.3</v>
      </c>
      <c r="H2" s="3"/>
      <c r="I2" s="3">
        <v>1.65</v>
      </c>
      <c r="J2" s="3"/>
      <c r="K2" s="583">
        <f>IFERROR((G2-E2)/E2*100,0)</f>
        <v>41.30434783</v>
      </c>
      <c r="L2" s="583">
        <f>IFERROR((I2-E2)/E2*100,0)</f>
        <v>79.34782609</v>
      </c>
      <c r="M2" s="242"/>
      <c r="N2" s="242"/>
      <c r="O2" s="242"/>
      <c r="P2" s="242"/>
      <c r="Q2" s="242"/>
      <c r="R2" s="242"/>
      <c r="S2" s="242"/>
      <c r="T2" s="242"/>
      <c r="U2" s="242"/>
      <c r="V2" s="242"/>
      <c r="W2" s="242"/>
      <c r="X2" s="242"/>
      <c r="Y2" s="242"/>
      <c r="Z2" s="242"/>
    </row>
    <row r="3">
      <c r="A3" s="340"/>
      <c r="B3" s="242"/>
      <c r="C3" s="242"/>
      <c r="D3" s="242"/>
      <c r="E3" s="3" t="s">
        <v>4671</v>
      </c>
      <c r="G3" s="3" t="s">
        <v>4692</v>
      </c>
      <c r="I3" s="3" t="s">
        <v>4701</v>
      </c>
      <c r="K3" s="13"/>
      <c r="L3" s="242"/>
      <c r="M3" s="242"/>
      <c r="N3" s="242"/>
      <c r="O3" s="242"/>
      <c r="P3" s="242"/>
      <c r="Q3" s="242"/>
      <c r="R3" s="242"/>
      <c r="S3" s="242"/>
      <c r="T3" s="242"/>
      <c r="U3" s="242"/>
      <c r="V3" s="242"/>
      <c r="W3" s="242"/>
      <c r="X3" s="242"/>
      <c r="Y3" s="242"/>
      <c r="Z3" s="242"/>
    </row>
    <row r="4">
      <c r="A4" s="340"/>
      <c r="B4" s="750" t="s">
        <v>4667</v>
      </c>
      <c r="C4" s="750" t="s">
        <v>4668</v>
      </c>
      <c r="D4" s="751" t="s">
        <v>4669</v>
      </c>
      <c r="E4" s="750" t="s">
        <v>3528</v>
      </c>
      <c r="F4" s="750" t="s">
        <v>2519</v>
      </c>
      <c r="G4" s="750" t="s">
        <v>3528</v>
      </c>
      <c r="H4" s="750" t="s">
        <v>2519</v>
      </c>
      <c r="I4" s="750" t="s">
        <v>3528</v>
      </c>
      <c r="J4" s="750" t="s">
        <v>2519</v>
      </c>
      <c r="K4" s="13"/>
      <c r="L4" s="242"/>
      <c r="M4" s="242"/>
      <c r="N4" s="242"/>
      <c r="O4" s="242"/>
      <c r="P4" s="242"/>
      <c r="Q4" s="242"/>
      <c r="R4" s="242"/>
      <c r="S4" s="242"/>
      <c r="T4" s="242"/>
      <c r="U4" s="242"/>
      <c r="V4" s="242"/>
      <c r="W4" s="242"/>
      <c r="X4" s="242"/>
      <c r="Y4" s="242"/>
      <c r="Z4" s="242"/>
    </row>
    <row r="5">
      <c r="A5" s="340" t="str">
        <f t="shared" ref="A5:A54" si="1">B5&amp;D5</f>
        <v>40COUPLER</v>
      </c>
      <c r="B5" s="739">
        <v>40.0</v>
      </c>
      <c r="C5" s="743"/>
      <c r="D5" s="766" t="s">
        <v>2061</v>
      </c>
      <c r="E5" s="617">
        <v>41.37</v>
      </c>
      <c r="F5" s="735">
        <v>38.400000000000006</v>
      </c>
      <c r="G5" s="530">
        <f t="array" ref="G5:H5">IFERROR(VLOOKUP(A5,'SILENT FITTINGS'!$A$57:$H$106,{7,8},0),"")</f>
        <v>58.46</v>
      </c>
      <c r="H5" s="530">
        <v>76.65</v>
      </c>
      <c r="I5" s="530">
        <f t="array" ref="I5:J5">IFERROR(VLOOKUP(A5,'SILENT FITTINGS'!$A$126:$H$175,{7,8},0),"")</f>
        <v>74.19</v>
      </c>
      <c r="J5" s="530">
        <v>138.7</v>
      </c>
      <c r="K5" s="789">
        <f t="shared" ref="K5:K54" si="2">IFERROR((G5-E5)/E5*100,0)</f>
        <v>41.31012811</v>
      </c>
      <c r="L5" s="631">
        <f t="shared" ref="L5:L54" si="3">IFERROR((I5-E5)/E5*100,0)</f>
        <v>79.33284989</v>
      </c>
      <c r="M5" s="242"/>
      <c r="N5" s="242"/>
      <c r="O5" s="242"/>
      <c r="P5" s="242"/>
      <c r="Q5" s="242"/>
      <c r="R5" s="242"/>
      <c r="S5" s="242"/>
      <c r="T5" s="242"/>
      <c r="U5" s="242"/>
      <c r="V5" s="242"/>
      <c r="W5" s="242"/>
      <c r="X5" s="242"/>
      <c r="Y5" s="242"/>
      <c r="Z5" s="242"/>
    </row>
    <row r="6">
      <c r="A6" s="340" t="str">
        <f t="shared" si="1"/>
        <v>50COUPLER</v>
      </c>
      <c r="B6" s="739">
        <v>50.0</v>
      </c>
      <c r="C6" s="743"/>
      <c r="D6" s="766" t="s">
        <v>2061</v>
      </c>
      <c r="E6" s="617">
        <v>58.2</v>
      </c>
      <c r="F6" s="735">
        <v>41.6</v>
      </c>
      <c r="G6" s="530">
        <f t="array" ref="G6:H6">IFERROR(VLOOKUP(A6,'SILENT FITTINGS'!$A$57:$H$106,{7,8},0),"")</f>
        <v>82.24</v>
      </c>
      <c r="H6" s="530">
        <v>101.85000000000001</v>
      </c>
      <c r="I6" s="530">
        <f t="array" ref="I6:J6">IFERROR(VLOOKUP(A6,'SILENT FITTINGS'!$A$126:$H$175,{7,8},0),"")</f>
        <v>104.39</v>
      </c>
      <c r="J6" s="530">
        <v>184.29999999999998</v>
      </c>
      <c r="K6" s="789">
        <f t="shared" si="2"/>
        <v>41.30584192</v>
      </c>
      <c r="L6" s="631">
        <f t="shared" si="3"/>
        <v>79.36426117</v>
      </c>
      <c r="M6" s="242"/>
      <c r="N6" s="242"/>
      <c r="O6" s="242"/>
      <c r="P6" s="242"/>
      <c r="Q6" s="242"/>
      <c r="R6" s="242"/>
      <c r="S6" s="242"/>
      <c r="T6" s="242"/>
      <c r="U6" s="242"/>
      <c r="V6" s="242"/>
      <c r="W6" s="242"/>
      <c r="X6" s="242"/>
      <c r="Y6" s="242"/>
      <c r="Z6" s="242"/>
    </row>
    <row r="7">
      <c r="A7" s="340" t="str">
        <f t="shared" si="1"/>
        <v>75COUPLER</v>
      </c>
      <c r="B7" s="739">
        <v>75.0</v>
      </c>
      <c r="C7" s="743"/>
      <c r="D7" s="766" t="s">
        <v>2061</v>
      </c>
      <c r="E7" s="617">
        <v>81.9</v>
      </c>
      <c r="F7" s="735">
        <v>86.4</v>
      </c>
      <c r="G7" s="530">
        <f t="array" ref="G7:H7">IFERROR(VLOOKUP(A7,'SILENT FITTINGS'!$A$57:$H$106,{7,8},0),"")</f>
        <v>115.73</v>
      </c>
      <c r="H7" s="530">
        <v>145.95000000000002</v>
      </c>
      <c r="I7" s="530">
        <f t="array" ref="I7:J7">IFERROR(VLOOKUP(A7,'SILENT FITTINGS'!$A$126:$H$175,{7,8},0),"")</f>
        <v>146.89</v>
      </c>
      <c r="J7" s="530">
        <v>264.09999999999997</v>
      </c>
      <c r="K7" s="789">
        <f t="shared" si="2"/>
        <v>41.30647131</v>
      </c>
      <c r="L7" s="631">
        <f t="shared" si="3"/>
        <v>79.35286935</v>
      </c>
      <c r="M7" s="242"/>
      <c r="N7" s="242"/>
      <c r="O7" s="242"/>
      <c r="P7" s="242"/>
      <c r="Q7" s="242"/>
      <c r="R7" s="242"/>
      <c r="S7" s="242"/>
      <c r="T7" s="242"/>
      <c r="U7" s="242"/>
      <c r="V7" s="242"/>
      <c r="W7" s="242"/>
      <c r="X7" s="242"/>
      <c r="Y7" s="242"/>
      <c r="Z7" s="242"/>
    </row>
    <row r="8">
      <c r="A8" s="340" t="str">
        <f t="shared" si="1"/>
        <v>110COUPLER</v>
      </c>
      <c r="B8" s="739">
        <v>110.0</v>
      </c>
      <c r="C8" s="743"/>
      <c r="D8" s="766" t="s">
        <v>2061</v>
      </c>
      <c r="E8" s="617">
        <v>209.18</v>
      </c>
      <c r="F8" s="735">
        <v>155.20000000000002</v>
      </c>
      <c r="G8" s="530">
        <f t="array" ref="G8:H8">IFERROR(VLOOKUP(A8,'SILENT FITTINGS'!$A$57:$H$106,{7,8},0),"")</f>
        <v>295.58</v>
      </c>
      <c r="H8" s="530">
        <v>353.85</v>
      </c>
      <c r="I8" s="530">
        <f t="array" ref="I8:J8">IFERROR(VLOOKUP(A8,'SILENT FITTINGS'!$A$126:$H$175,{7,8},0),"")</f>
        <v>375.17</v>
      </c>
      <c r="J8" s="530">
        <v>640.3</v>
      </c>
      <c r="K8" s="789">
        <f t="shared" si="2"/>
        <v>41.30413998</v>
      </c>
      <c r="L8" s="631">
        <f t="shared" si="3"/>
        <v>79.35271058</v>
      </c>
      <c r="M8" s="242"/>
      <c r="N8" s="242"/>
      <c r="O8" s="242"/>
      <c r="P8" s="242"/>
      <c r="Q8" s="242"/>
      <c r="R8" s="242"/>
      <c r="S8" s="242"/>
      <c r="T8" s="242"/>
      <c r="U8" s="242"/>
      <c r="V8" s="242"/>
      <c r="W8" s="242"/>
      <c r="X8" s="242"/>
      <c r="Y8" s="242"/>
      <c r="Z8" s="242"/>
    </row>
    <row r="9">
      <c r="A9" s="340" t="str">
        <f t="shared" si="1"/>
        <v>160COUPLER</v>
      </c>
      <c r="B9" s="739">
        <v>160.0</v>
      </c>
      <c r="C9" s="743"/>
      <c r="D9" s="766" t="s">
        <v>2061</v>
      </c>
      <c r="E9" s="617">
        <v>448.03</v>
      </c>
      <c r="F9" s="735">
        <v>396.8</v>
      </c>
      <c r="G9" s="530">
        <f t="array" ref="G9:H9">IFERROR(VLOOKUP(A9,'SILENT FITTINGS'!$A$57:$H$106,{7,8},0),"")</f>
        <v>633.09</v>
      </c>
      <c r="H9" s="530">
        <v>772.8000000000001</v>
      </c>
      <c r="I9" s="530">
        <f t="array" ref="I9:J9">IFERROR(VLOOKUP(A9,'SILENT FITTINGS'!$A$126:$H$175,{7,8},0),"")</f>
        <v>803.54</v>
      </c>
      <c r="J9" s="530">
        <v>1398.3999999999999</v>
      </c>
      <c r="K9" s="789">
        <f t="shared" si="2"/>
        <v>41.30526974</v>
      </c>
      <c r="L9" s="631">
        <f t="shared" si="3"/>
        <v>79.34959713</v>
      </c>
      <c r="M9" s="242"/>
      <c r="N9" s="242"/>
      <c r="O9" s="242"/>
      <c r="P9" s="242"/>
      <c r="Q9" s="242"/>
      <c r="R9" s="242"/>
      <c r="S9" s="242"/>
      <c r="T9" s="242"/>
      <c r="U9" s="242"/>
      <c r="V9" s="242"/>
      <c r="W9" s="242"/>
      <c r="X9" s="242"/>
      <c r="Y9" s="242"/>
      <c r="Z9" s="242"/>
    </row>
    <row r="10">
      <c r="A10" s="340" t="str">
        <f t="shared" si="1"/>
        <v>40ELBOW 90°</v>
      </c>
      <c r="B10" s="739">
        <v>40.0</v>
      </c>
      <c r="C10" s="743"/>
      <c r="D10" s="766" t="s">
        <v>4672</v>
      </c>
      <c r="E10" s="617">
        <v>47.8</v>
      </c>
      <c r="F10" s="735">
        <v>41.6</v>
      </c>
      <c r="G10" s="530">
        <f t="array" ref="G10:H10">IFERROR(VLOOKUP(A10,'SILENT FITTINGS'!$A$57:$H$106,{7,8},0),"")</f>
        <v>66.53</v>
      </c>
      <c r="H10" s="530">
        <v>82.95</v>
      </c>
      <c r="I10" s="530">
        <f t="array" ref="I10:J10">IFERROR(VLOOKUP(A10,'SILENT FITTINGS'!$A$126:$H$175,{7,8},0),"")</f>
        <v>84.44</v>
      </c>
      <c r="J10" s="530">
        <v>150.1</v>
      </c>
      <c r="K10" s="805">
        <f t="shared" si="2"/>
        <v>39.18410042</v>
      </c>
      <c r="L10" s="805">
        <f t="shared" si="3"/>
        <v>76.65271967</v>
      </c>
      <c r="M10" s="242"/>
      <c r="N10" s="242"/>
      <c r="O10" s="242"/>
      <c r="P10" s="242"/>
      <c r="Q10" s="242"/>
      <c r="R10" s="242"/>
      <c r="S10" s="242"/>
      <c r="T10" s="242"/>
      <c r="U10" s="242"/>
      <c r="V10" s="242"/>
      <c r="W10" s="242"/>
      <c r="X10" s="242"/>
      <c r="Y10" s="242"/>
      <c r="Z10" s="242"/>
    </row>
    <row r="11">
      <c r="A11" s="340" t="str">
        <f t="shared" si="1"/>
        <v>50ELBOW 90°</v>
      </c>
      <c r="B11" s="739">
        <v>50.0</v>
      </c>
      <c r="C11" s="743"/>
      <c r="D11" s="766" t="s">
        <v>4672</v>
      </c>
      <c r="E11" s="617">
        <v>69.08</v>
      </c>
      <c r="F11" s="735">
        <v>44.800000000000004</v>
      </c>
      <c r="G11" s="530">
        <f t="array" ref="G11:H11">IFERROR(VLOOKUP(A11,'SILENT FITTINGS'!$A$57:$H$106,{7,8},0),"")</f>
        <v>97.61</v>
      </c>
      <c r="H11" s="530">
        <v>122.85000000000001</v>
      </c>
      <c r="I11" s="530">
        <f t="array" ref="I11:J11">IFERROR(VLOOKUP(A11,'SILENT FITTINGS'!$A$126:$H$175,{7,8},0),"")</f>
        <v>123.9</v>
      </c>
      <c r="J11" s="530">
        <v>222.29999999999998</v>
      </c>
      <c r="K11" s="789">
        <f t="shared" si="2"/>
        <v>41.2999421</v>
      </c>
      <c r="L11" s="631">
        <f t="shared" si="3"/>
        <v>79.35726694</v>
      </c>
      <c r="M11" s="242"/>
      <c r="N11" s="242"/>
      <c r="O11" s="242"/>
      <c r="P11" s="242"/>
      <c r="Q11" s="242"/>
      <c r="R11" s="242"/>
      <c r="S11" s="242"/>
      <c r="T11" s="242"/>
      <c r="U11" s="242"/>
      <c r="V11" s="242"/>
      <c r="W11" s="242"/>
      <c r="X11" s="242"/>
      <c r="Y11" s="242"/>
      <c r="Z11" s="242"/>
    </row>
    <row r="12">
      <c r="A12" s="340" t="str">
        <f t="shared" si="1"/>
        <v>75ELBOW 90°</v>
      </c>
      <c r="B12" s="739">
        <v>75.0</v>
      </c>
      <c r="C12" s="743"/>
      <c r="D12" s="766" t="s">
        <v>4672</v>
      </c>
      <c r="E12" s="617">
        <v>124.74</v>
      </c>
      <c r="F12" s="735">
        <v>108.80000000000001</v>
      </c>
      <c r="G12" s="530">
        <f t="array" ref="G12:H12">IFERROR(VLOOKUP(A12,'SILENT FITTINGS'!$A$57:$H$106,{7,8},0),"")</f>
        <v>176.26</v>
      </c>
      <c r="H12" s="530">
        <v>209.58</v>
      </c>
      <c r="I12" s="530">
        <f t="array" ref="I12:J12">IFERROR(VLOOKUP(A12,'SILENT FITTINGS'!$A$126:$H$175,{7,8},0),"")</f>
        <v>223.72</v>
      </c>
      <c r="J12" s="530">
        <v>379.23999999999995</v>
      </c>
      <c r="K12" s="789">
        <f t="shared" si="2"/>
        <v>41.30190797</v>
      </c>
      <c r="L12" s="631">
        <f t="shared" si="3"/>
        <v>79.34904602</v>
      </c>
      <c r="M12" s="242"/>
      <c r="N12" s="242"/>
      <c r="O12" s="242"/>
      <c r="P12" s="242"/>
      <c r="Q12" s="242"/>
      <c r="R12" s="242"/>
      <c r="S12" s="242"/>
      <c r="T12" s="242"/>
      <c r="U12" s="242"/>
      <c r="V12" s="242"/>
      <c r="W12" s="242"/>
      <c r="X12" s="242"/>
      <c r="Y12" s="242"/>
      <c r="Z12" s="242"/>
    </row>
    <row r="13">
      <c r="A13" s="340" t="str">
        <f t="shared" si="1"/>
        <v>110ELBOW 90°</v>
      </c>
      <c r="B13" s="739">
        <v>110.0</v>
      </c>
      <c r="C13" s="743"/>
      <c r="D13" s="766" t="s">
        <v>4672</v>
      </c>
      <c r="E13" s="617">
        <v>344.38</v>
      </c>
      <c r="F13" s="735">
        <v>214.4</v>
      </c>
      <c r="G13" s="530">
        <f t="array" ref="G13:H13">IFERROR(VLOOKUP(A13,'SILENT FITTINGS'!$A$57:$H$106,{7,8},0),"")</f>
        <v>486.63</v>
      </c>
      <c r="H13" s="530">
        <v>601.65</v>
      </c>
      <c r="I13" s="530">
        <f t="array" ref="I13:J13">IFERROR(VLOOKUP(A13,'SILENT FITTINGS'!$A$126:$H$175,{7,8},0),"")</f>
        <v>617.64</v>
      </c>
      <c r="J13" s="530">
        <v>1088.7</v>
      </c>
      <c r="K13" s="789">
        <f t="shared" si="2"/>
        <v>41.30611534</v>
      </c>
      <c r="L13" s="631">
        <f t="shared" si="3"/>
        <v>79.34839422</v>
      </c>
      <c r="M13" s="242"/>
      <c r="N13" s="242"/>
      <c r="O13" s="242"/>
      <c r="P13" s="242"/>
      <c r="Q13" s="242"/>
      <c r="R13" s="242"/>
      <c r="S13" s="242"/>
      <c r="T13" s="242"/>
      <c r="U13" s="242"/>
      <c r="V13" s="242"/>
      <c r="W13" s="242"/>
      <c r="X13" s="242"/>
      <c r="Y13" s="242"/>
      <c r="Z13" s="242"/>
    </row>
    <row r="14">
      <c r="A14" s="340" t="str">
        <f t="shared" si="1"/>
        <v>160ELBOW 90°</v>
      </c>
      <c r="B14" s="739">
        <v>160.0</v>
      </c>
      <c r="C14" s="743"/>
      <c r="D14" s="766" t="s">
        <v>4672</v>
      </c>
      <c r="E14" s="617">
        <v>688.67</v>
      </c>
      <c r="F14" s="735">
        <v>494.40000000000003</v>
      </c>
      <c r="G14" s="530">
        <f t="array" ref="G14:H14">IFERROR(VLOOKUP(A14,'SILENT FITTINGS'!$A$57:$H$106,{7,8},0),"")</f>
        <v>973.11</v>
      </c>
      <c r="H14" s="530">
        <v>1138.2</v>
      </c>
      <c r="I14" s="530">
        <f t="array" ref="I14:J14">IFERROR(VLOOKUP(A14,'SILENT FITTINGS'!$A$126:$H$175,{7,8},0),"")</f>
        <v>1235.11</v>
      </c>
      <c r="J14" s="530">
        <v>2059.6</v>
      </c>
      <c r="K14" s="789">
        <f t="shared" si="2"/>
        <v>41.30280105</v>
      </c>
      <c r="L14" s="631">
        <f t="shared" si="3"/>
        <v>79.3471474</v>
      </c>
      <c r="M14" s="242"/>
      <c r="N14" s="242"/>
      <c r="O14" s="242"/>
      <c r="P14" s="242"/>
      <c r="Q14" s="242"/>
      <c r="R14" s="242"/>
      <c r="S14" s="242"/>
      <c r="T14" s="242"/>
      <c r="U14" s="242"/>
      <c r="V14" s="242"/>
      <c r="W14" s="242"/>
      <c r="X14" s="242"/>
      <c r="Y14" s="242"/>
      <c r="Z14" s="242"/>
    </row>
    <row r="15">
      <c r="A15" s="340" t="str">
        <f t="shared" si="1"/>
        <v>40ELBOW 45°</v>
      </c>
      <c r="B15" s="739">
        <v>40.0</v>
      </c>
      <c r="C15" s="743"/>
      <c r="D15" s="766" t="s">
        <v>4673</v>
      </c>
      <c r="E15" s="617">
        <v>42.15</v>
      </c>
      <c r="F15" s="735">
        <v>38.400000000000006</v>
      </c>
      <c r="G15" s="530">
        <f t="array" ref="G15:H15">IFERROR(VLOOKUP(A15,'SILENT FITTINGS'!$A$57:$H$106,{7,8},0),"")</f>
        <v>59.56</v>
      </c>
      <c r="H15" s="530">
        <v>80.85000000000001</v>
      </c>
      <c r="I15" s="530">
        <f t="array" ref="I15:J15">IFERROR(VLOOKUP(A15,'SILENT FITTINGS'!$A$126:$H$175,{7,8},0),"")</f>
        <v>75.59</v>
      </c>
      <c r="J15" s="530">
        <v>146.29999999999998</v>
      </c>
      <c r="K15" s="789">
        <f t="shared" si="2"/>
        <v>41.30486358</v>
      </c>
      <c r="L15" s="631">
        <f t="shared" si="3"/>
        <v>79.33570581</v>
      </c>
      <c r="M15" s="242"/>
      <c r="N15" s="242"/>
      <c r="O15" s="242"/>
      <c r="P15" s="242"/>
      <c r="Q15" s="242"/>
      <c r="R15" s="242"/>
      <c r="S15" s="242"/>
      <c r="T15" s="242"/>
      <c r="U15" s="242"/>
      <c r="V15" s="242"/>
      <c r="W15" s="242"/>
      <c r="X15" s="242"/>
      <c r="Y15" s="242"/>
      <c r="Z15" s="242"/>
    </row>
    <row r="16">
      <c r="A16" s="340" t="str">
        <f t="shared" si="1"/>
        <v>50ELBOW 45°</v>
      </c>
      <c r="B16" s="739">
        <v>50.0</v>
      </c>
      <c r="C16" s="743"/>
      <c r="D16" s="766" t="s">
        <v>4673</v>
      </c>
      <c r="E16" s="617">
        <v>60.6</v>
      </c>
      <c r="F16" s="735">
        <v>40.0</v>
      </c>
      <c r="G16" s="530">
        <f t="array" ref="G16:H16">IFERROR(VLOOKUP(A16,'SILENT FITTINGS'!$A$57:$H$106,{7,8},0),"")</f>
        <v>85.62</v>
      </c>
      <c r="H16" s="530">
        <v>97.65</v>
      </c>
      <c r="I16" s="530">
        <f t="array" ref="I16:J16">IFERROR(VLOOKUP(A16,'SILENT FITTINGS'!$A$126:$H$175,{7,8},0),"")</f>
        <v>108.68</v>
      </c>
      <c r="J16" s="530">
        <v>176.7</v>
      </c>
      <c r="K16" s="789">
        <f t="shared" si="2"/>
        <v>41.28712871</v>
      </c>
      <c r="L16" s="631">
        <f t="shared" si="3"/>
        <v>79.33993399</v>
      </c>
      <c r="M16" s="242"/>
      <c r="N16" s="242"/>
      <c r="O16" s="242"/>
      <c r="P16" s="242"/>
      <c r="Q16" s="242"/>
      <c r="R16" s="242"/>
      <c r="S16" s="242"/>
      <c r="T16" s="242"/>
      <c r="U16" s="242"/>
      <c r="V16" s="242"/>
      <c r="W16" s="242"/>
      <c r="X16" s="242"/>
      <c r="Y16" s="242"/>
      <c r="Z16" s="242"/>
    </row>
    <row r="17">
      <c r="A17" s="340" t="str">
        <f t="shared" si="1"/>
        <v>75ELBOW 45°</v>
      </c>
      <c r="B17" s="739">
        <v>75.0</v>
      </c>
      <c r="C17" s="743"/>
      <c r="D17" s="766" t="s">
        <v>4673</v>
      </c>
      <c r="E17" s="617">
        <v>103.52</v>
      </c>
      <c r="F17" s="735">
        <v>94.4</v>
      </c>
      <c r="G17" s="530">
        <f t="array" ref="G17:H17">IFERROR(VLOOKUP(A17,'SILENT FITTINGS'!$A$57:$H$106,{7,8},0),"")</f>
        <v>146.28</v>
      </c>
      <c r="H17" s="530">
        <v>202.65</v>
      </c>
      <c r="I17" s="530">
        <f t="array" ref="I17:J17">IFERROR(VLOOKUP(A17,'SILENT FITTINGS'!$A$126:$H$175,{7,8},0),"")</f>
        <v>185.66</v>
      </c>
      <c r="J17" s="530">
        <v>366.7</v>
      </c>
      <c r="K17" s="789">
        <f t="shared" si="2"/>
        <v>41.30602782</v>
      </c>
      <c r="L17" s="631">
        <f t="shared" si="3"/>
        <v>79.34698609</v>
      </c>
      <c r="M17" s="242"/>
      <c r="N17" s="242"/>
      <c r="O17" s="242"/>
      <c r="P17" s="242"/>
      <c r="Q17" s="242"/>
      <c r="R17" s="242"/>
      <c r="S17" s="242"/>
      <c r="T17" s="242"/>
      <c r="U17" s="242"/>
      <c r="V17" s="242"/>
      <c r="W17" s="242"/>
      <c r="X17" s="242"/>
      <c r="Y17" s="242"/>
      <c r="Z17" s="242"/>
    </row>
    <row r="18">
      <c r="A18" s="340" t="str">
        <f t="shared" si="1"/>
        <v>110ELBOW 45°</v>
      </c>
      <c r="B18" s="739">
        <v>110.0</v>
      </c>
      <c r="C18" s="743"/>
      <c r="D18" s="766" t="s">
        <v>4673</v>
      </c>
      <c r="E18" s="617">
        <v>275.94</v>
      </c>
      <c r="F18" s="735">
        <v>172.8</v>
      </c>
      <c r="G18" s="530">
        <f t="array" ref="G18:H18">IFERROR(VLOOKUP(A18,'SILENT FITTINGS'!$A$57:$H$106,{7,8},0),"")</f>
        <v>389.92</v>
      </c>
      <c r="H18" s="530">
        <v>521.85</v>
      </c>
      <c r="I18" s="530">
        <f t="array" ref="I18:J18">IFERROR(VLOOKUP(A18,'SILENT FITTINGS'!$A$126:$H$175,{7,8},0),"")</f>
        <v>494.9</v>
      </c>
      <c r="J18" s="530">
        <v>944.3</v>
      </c>
      <c r="K18" s="789">
        <f t="shared" si="2"/>
        <v>41.30608103</v>
      </c>
      <c r="L18" s="631">
        <f t="shared" si="3"/>
        <v>79.35058346</v>
      </c>
      <c r="M18" s="242"/>
      <c r="N18" s="242"/>
      <c r="O18" s="242"/>
      <c r="P18" s="242"/>
      <c r="Q18" s="242"/>
      <c r="R18" s="242"/>
      <c r="S18" s="242"/>
      <c r="T18" s="242"/>
      <c r="U18" s="242"/>
      <c r="V18" s="242"/>
      <c r="W18" s="242"/>
      <c r="X18" s="242"/>
      <c r="Y18" s="242"/>
      <c r="Z18" s="242"/>
    </row>
    <row r="19">
      <c r="A19" s="340" t="str">
        <f t="shared" si="1"/>
        <v>160ELBOW 45°</v>
      </c>
      <c r="B19" s="739">
        <v>160.0</v>
      </c>
      <c r="C19" s="743"/>
      <c r="D19" s="766" t="s">
        <v>4673</v>
      </c>
      <c r="E19" s="617">
        <v>542.12</v>
      </c>
      <c r="F19" s="735">
        <v>446.40000000000003</v>
      </c>
      <c r="G19" s="530">
        <f t="array" ref="G19:H19">IFERROR(VLOOKUP(A19,'SILENT FITTINGS'!$A$57:$H$106,{7,8},0),"")</f>
        <v>766.04</v>
      </c>
      <c r="H19" s="530">
        <v>1025.8500000000001</v>
      </c>
      <c r="I19" s="530">
        <f t="array" ref="I19:J19">IFERROR(VLOOKUP(A19,'SILENT FITTINGS'!$A$126:$H$175,{7,8},0),"")</f>
        <v>972.28</v>
      </c>
      <c r="J19" s="530">
        <v>1856.3</v>
      </c>
      <c r="K19" s="789">
        <f t="shared" si="2"/>
        <v>41.30450823</v>
      </c>
      <c r="L19" s="631">
        <f t="shared" si="3"/>
        <v>79.34774589</v>
      </c>
      <c r="M19" s="242"/>
      <c r="N19" s="242"/>
      <c r="O19" s="242"/>
      <c r="P19" s="242"/>
      <c r="Q19" s="242"/>
      <c r="R19" s="242"/>
      <c r="S19" s="242"/>
      <c r="T19" s="242"/>
      <c r="U19" s="242"/>
      <c r="V19" s="242"/>
      <c r="W19" s="242"/>
      <c r="X19" s="242"/>
      <c r="Y19" s="242"/>
      <c r="Z19" s="242"/>
    </row>
    <row r="20">
      <c r="A20" s="340" t="str">
        <f t="shared" si="1"/>
        <v>40TEE</v>
      </c>
      <c r="B20" s="739">
        <v>40.0</v>
      </c>
      <c r="C20" s="743"/>
      <c r="D20" s="766" t="s">
        <v>2998</v>
      </c>
      <c r="E20" s="617">
        <v>74.58</v>
      </c>
      <c r="F20" s="735">
        <v>54.400000000000006</v>
      </c>
      <c r="G20" s="530">
        <f t="array" ref="G20:H20">IFERROR(VLOOKUP(A20,'SILENT FITTINGS'!$A$57:$H$106,{7,8},0),"")</f>
        <v>105.39</v>
      </c>
      <c r="H20" s="530">
        <v>135.24</v>
      </c>
      <c r="I20" s="530">
        <f t="array" ref="I20:J20">IFERROR(VLOOKUP(A20,'SILENT FITTINGS'!$A$126:$H$175,{7,8},0),"")</f>
        <v>133.76</v>
      </c>
      <c r="J20" s="530">
        <v>244.72</v>
      </c>
      <c r="K20" s="789">
        <f t="shared" si="2"/>
        <v>41.31134352</v>
      </c>
      <c r="L20" s="631">
        <f t="shared" si="3"/>
        <v>79.35103245</v>
      </c>
      <c r="M20" s="242"/>
      <c r="N20" s="242"/>
      <c r="O20" s="242"/>
      <c r="P20" s="242"/>
      <c r="Q20" s="242"/>
      <c r="R20" s="242"/>
      <c r="S20" s="242"/>
      <c r="T20" s="242"/>
      <c r="U20" s="242"/>
      <c r="V20" s="242"/>
      <c r="W20" s="242"/>
      <c r="X20" s="242"/>
      <c r="Y20" s="242"/>
      <c r="Z20" s="242"/>
    </row>
    <row r="21">
      <c r="A21" s="340" t="str">
        <f t="shared" si="1"/>
        <v>50TEE</v>
      </c>
      <c r="B21" s="739">
        <v>50.0</v>
      </c>
      <c r="C21" s="743"/>
      <c r="D21" s="766" t="s">
        <v>2998</v>
      </c>
      <c r="E21" s="617">
        <v>99.66</v>
      </c>
      <c r="F21" s="735">
        <v>65.60000000000001</v>
      </c>
      <c r="G21" s="530">
        <f t="array" ref="G21:H21">IFERROR(VLOOKUP(A21,'SILENT FITTINGS'!$A$57:$H$106,{7,8},0),"")</f>
        <v>140.82</v>
      </c>
      <c r="H21" s="530">
        <v>186.06</v>
      </c>
      <c r="I21" s="530">
        <f t="array" ref="I21:J21">IFERROR(VLOOKUP(A21,'SILENT FITTINGS'!$A$126:$H$175,{7,8},0),"")</f>
        <v>178.74</v>
      </c>
      <c r="J21" s="530">
        <v>336.67999999999995</v>
      </c>
      <c r="K21" s="789">
        <f t="shared" si="2"/>
        <v>41.30042143</v>
      </c>
      <c r="L21" s="631">
        <f t="shared" si="3"/>
        <v>79.34978928</v>
      </c>
      <c r="M21" s="242"/>
      <c r="N21" s="242"/>
      <c r="O21" s="242"/>
      <c r="P21" s="242"/>
      <c r="Q21" s="242"/>
      <c r="R21" s="242"/>
      <c r="S21" s="242"/>
      <c r="T21" s="242"/>
      <c r="U21" s="242"/>
      <c r="V21" s="242"/>
      <c r="W21" s="242"/>
      <c r="X21" s="242"/>
      <c r="Y21" s="242"/>
      <c r="Z21" s="242"/>
    </row>
    <row r="22">
      <c r="A22" s="340" t="str">
        <f t="shared" si="1"/>
        <v>75TEE</v>
      </c>
      <c r="B22" s="739">
        <v>75.0</v>
      </c>
      <c r="C22" s="743"/>
      <c r="D22" s="766" t="s">
        <v>2998</v>
      </c>
      <c r="E22" s="617">
        <v>169.99</v>
      </c>
      <c r="F22" s="735">
        <v>180.8</v>
      </c>
      <c r="G22" s="530">
        <f t="array" ref="G22:H22">IFERROR(VLOOKUP(A22,'SILENT FITTINGS'!$A$57:$H$106,{7,8},0),"")</f>
        <v>240.21</v>
      </c>
      <c r="H22" s="530">
        <v>312.48</v>
      </c>
      <c r="I22" s="530">
        <f t="array" ref="I22:J22">IFERROR(VLOOKUP(A22,'SILENT FITTINGS'!$A$126:$H$175,{7,8},0),"")</f>
        <v>304.88</v>
      </c>
      <c r="J22" s="530">
        <v>565.44</v>
      </c>
      <c r="K22" s="789">
        <f t="shared" si="2"/>
        <v>41.30831225</v>
      </c>
      <c r="L22" s="631">
        <f t="shared" si="3"/>
        <v>79.35172657</v>
      </c>
      <c r="M22" s="242"/>
      <c r="N22" s="242"/>
      <c r="O22" s="242"/>
      <c r="P22" s="242"/>
      <c r="Q22" s="242"/>
      <c r="R22" s="242"/>
      <c r="S22" s="242"/>
      <c r="T22" s="242"/>
      <c r="U22" s="242"/>
      <c r="V22" s="242"/>
      <c r="W22" s="242"/>
      <c r="X22" s="242"/>
      <c r="Y22" s="242"/>
      <c r="Z22" s="242"/>
    </row>
    <row r="23">
      <c r="A23" s="340" t="str">
        <f t="shared" si="1"/>
        <v>110TEE</v>
      </c>
      <c r="B23" s="739">
        <v>110.0</v>
      </c>
      <c r="C23" s="743"/>
      <c r="D23" s="766" t="s">
        <v>2998</v>
      </c>
      <c r="E23" s="617">
        <v>514.95</v>
      </c>
      <c r="F23" s="735">
        <v>342.40000000000003</v>
      </c>
      <c r="G23" s="530">
        <f t="array" ref="G23:H23">IFERROR(VLOOKUP(A23,'SILENT FITTINGS'!$A$57:$H$106,{7,8},0),"")</f>
        <v>727.64</v>
      </c>
      <c r="H23" s="530">
        <v>940.8000000000001</v>
      </c>
      <c r="I23" s="530">
        <f t="array" ref="I23:J23">IFERROR(VLOOKUP(A23,'SILENT FITTINGS'!$A$126:$H$175,{7,8},0),"")</f>
        <v>923.54</v>
      </c>
      <c r="J23" s="530">
        <v>1702.3999999999999</v>
      </c>
      <c r="K23" s="789">
        <f t="shared" si="2"/>
        <v>41.30303913</v>
      </c>
      <c r="L23" s="631">
        <f t="shared" si="3"/>
        <v>79.34556753</v>
      </c>
      <c r="M23" s="242"/>
      <c r="N23" s="242"/>
      <c r="O23" s="242"/>
      <c r="P23" s="242"/>
      <c r="Q23" s="242"/>
      <c r="R23" s="242"/>
      <c r="S23" s="242"/>
      <c r="T23" s="242"/>
      <c r="U23" s="242"/>
      <c r="V23" s="242"/>
      <c r="W23" s="242"/>
      <c r="X23" s="242"/>
      <c r="Y23" s="242"/>
      <c r="Z23" s="242"/>
    </row>
    <row r="24">
      <c r="A24" s="340" t="str">
        <f t="shared" si="1"/>
        <v>160TEE</v>
      </c>
      <c r="B24" s="739">
        <v>160.0</v>
      </c>
      <c r="C24" s="743"/>
      <c r="D24" s="766" t="s">
        <v>2998</v>
      </c>
      <c r="E24" s="617">
        <v>973.25</v>
      </c>
      <c r="F24" s="735">
        <v>712.0</v>
      </c>
      <c r="G24" s="530">
        <f t="array" ref="G24:H24">IFERROR(VLOOKUP(A24,'SILENT FITTINGS'!$A$57:$H$106,{7,8},0),"")</f>
        <v>1375.24</v>
      </c>
      <c r="H24" s="530">
        <v>1671.6000000000001</v>
      </c>
      <c r="I24" s="530">
        <f t="array" ref="I24:J24">IFERROR(VLOOKUP(A24,'SILENT FITTINGS'!$A$126:$H$175,{7,8},0),"")</f>
        <v>1745.49</v>
      </c>
      <c r="J24" s="530">
        <v>3024.7999999999997</v>
      </c>
      <c r="K24" s="789">
        <f t="shared" si="2"/>
        <v>41.30387876</v>
      </c>
      <c r="L24" s="631">
        <f t="shared" si="3"/>
        <v>79.34651939</v>
      </c>
      <c r="M24" s="242"/>
      <c r="N24" s="242"/>
      <c r="O24" s="242"/>
      <c r="P24" s="242"/>
      <c r="Q24" s="242"/>
      <c r="R24" s="242"/>
      <c r="S24" s="242"/>
      <c r="T24" s="242"/>
      <c r="U24" s="242"/>
      <c r="V24" s="242"/>
      <c r="W24" s="242"/>
      <c r="X24" s="242"/>
      <c r="Y24" s="242"/>
      <c r="Z24" s="242"/>
    </row>
    <row r="25">
      <c r="A25" s="340" t="str">
        <f t="shared" si="1"/>
        <v>110SWEEP TEE</v>
      </c>
      <c r="B25" s="739">
        <v>110.0</v>
      </c>
      <c r="C25" s="743"/>
      <c r="D25" s="766" t="s">
        <v>4675</v>
      </c>
      <c r="E25" s="617">
        <v>557.6</v>
      </c>
      <c r="F25" s="735">
        <v>59.2</v>
      </c>
      <c r="G25" s="530">
        <f t="array" ref="G25:H25">IFERROR(VLOOKUP(A25,'SILENT FITTINGS'!$A$57:$H$106,{7,8},0),"")</f>
        <v>787.9</v>
      </c>
      <c r="H25" s="530">
        <v>1041.6000000000001</v>
      </c>
      <c r="I25" s="530">
        <f t="array" ref="I25:J25">IFERROR(VLOOKUP(A25,'SILENT FITTINGS'!$A$126:$H$175,{7,8},0),"")</f>
        <v>1000</v>
      </c>
      <c r="J25" s="530">
        <v>1884.8</v>
      </c>
      <c r="K25" s="789">
        <f t="shared" si="2"/>
        <v>41.30200861</v>
      </c>
      <c r="L25" s="631">
        <f t="shared" si="3"/>
        <v>79.34002869</v>
      </c>
      <c r="M25" s="242"/>
      <c r="N25" s="242"/>
      <c r="O25" s="242"/>
      <c r="P25" s="242"/>
      <c r="Q25" s="242"/>
      <c r="R25" s="242"/>
      <c r="S25" s="242"/>
      <c r="T25" s="242"/>
      <c r="U25" s="242"/>
      <c r="V25" s="242"/>
      <c r="W25" s="242"/>
      <c r="X25" s="242"/>
      <c r="Y25" s="242"/>
      <c r="Z25" s="242"/>
    </row>
    <row r="26">
      <c r="A26" s="340" t="str">
        <f t="shared" si="1"/>
        <v>110X75SWEEP TEE</v>
      </c>
      <c r="B26" s="739" t="s">
        <v>4676</v>
      </c>
      <c r="C26" s="743"/>
      <c r="D26" s="766" t="s">
        <v>4675</v>
      </c>
      <c r="E26" s="617">
        <v>478.5</v>
      </c>
      <c r="F26" s="735"/>
      <c r="G26" s="530">
        <f t="array" ref="G26:H26">IFERROR(VLOOKUP(A26,'SILENT FITTINGS'!$A$57:$H$106,{7,8},0),"")</f>
        <v>676</v>
      </c>
      <c r="H26" s="530">
        <v>915.6</v>
      </c>
      <c r="I26" s="530">
        <f t="array" ref="I26:J26">IFERROR(VLOOKUP(A26,'SILENT FITTINGS'!$A$126:$H$175,{7,8},0),"")</f>
        <v>858</v>
      </c>
      <c r="J26" s="530">
        <v>1656.8</v>
      </c>
      <c r="K26" s="789">
        <f t="shared" si="2"/>
        <v>41.27481714</v>
      </c>
      <c r="L26" s="631">
        <f t="shared" si="3"/>
        <v>79.31034483</v>
      </c>
      <c r="M26" s="242"/>
      <c r="N26" s="242"/>
      <c r="O26" s="242"/>
      <c r="P26" s="242"/>
      <c r="Q26" s="242"/>
      <c r="R26" s="242"/>
      <c r="S26" s="242"/>
      <c r="T26" s="242"/>
      <c r="U26" s="242"/>
      <c r="V26" s="242"/>
      <c r="W26" s="242"/>
      <c r="X26" s="242"/>
      <c r="Y26" s="242"/>
      <c r="Z26" s="242"/>
    </row>
    <row r="27">
      <c r="A27" s="340" t="str">
        <f t="shared" si="1"/>
        <v>40Y-TEE</v>
      </c>
      <c r="B27" s="739">
        <v>40.0</v>
      </c>
      <c r="C27" s="743"/>
      <c r="D27" s="766" t="s">
        <v>4693</v>
      </c>
      <c r="E27" s="617">
        <v>82.3</v>
      </c>
      <c r="F27" s="735">
        <v>73.60000000000001</v>
      </c>
      <c r="G27" s="530">
        <f t="array" ref="G27:H27">IFERROR(VLOOKUP(A27,'SILENT FITTINGS'!$A$57:$H$106,{7,8},0),"")</f>
        <v>116.3</v>
      </c>
      <c r="H27" s="530">
        <v>164.64000000000001</v>
      </c>
      <c r="I27" s="530">
        <f t="array" ref="I27:J27">IFERROR(VLOOKUP(A27,'SILENT FITTINGS'!$A$126:$H$175,{7,8},0),"")</f>
        <v>147.61</v>
      </c>
      <c r="J27" s="530">
        <v>297.92</v>
      </c>
      <c r="K27" s="789">
        <f t="shared" si="2"/>
        <v>41.31227217</v>
      </c>
      <c r="L27" s="631">
        <f t="shared" si="3"/>
        <v>79.35601458</v>
      </c>
      <c r="M27" s="242"/>
      <c r="N27" s="242"/>
      <c r="O27" s="242"/>
      <c r="P27" s="242"/>
      <c r="Q27" s="242"/>
      <c r="R27" s="242"/>
      <c r="S27" s="242"/>
      <c r="T27" s="242"/>
      <c r="U27" s="242"/>
      <c r="V27" s="242"/>
      <c r="W27" s="242"/>
      <c r="X27" s="242"/>
      <c r="Y27" s="242"/>
      <c r="Z27" s="242"/>
    </row>
    <row r="28">
      <c r="A28" s="340" t="str">
        <f t="shared" si="1"/>
        <v>50Y-TEE</v>
      </c>
      <c r="B28" s="739">
        <v>50.0</v>
      </c>
      <c r="C28" s="743"/>
      <c r="D28" s="766" t="s">
        <v>4693</v>
      </c>
      <c r="E28" s="617">
        <v>119.8</v>
      </c>
      <c r="F28" s="735">
        <v>182.4</v>
      </c>
      <c r="G28" s="530">
        <f t="array" ref="G28:H28">IFERROR(VLOOKUP(A28,'SILENT FITTINGS'!$A$57:$H$106,{7,8},0),"")</f>
        <v>169.2</v>
      </c>
      <c r="H28" s="530">
        <v>230.58</v>
      </c>
      <c r="I28" s="530">
        <f t="array" ref="I28:J28">IFERROR(VLOOKUP(A28,'SILENT FITTINGS'!$A$126:$H$175,{7,8},0),"")</f>
        <v>214.8</v>
      </c>
      <c r="J28" s="530">
        <v>417.23999999999995</v>
      </c>
      <c r="K28" s="789">
        <f t="shared" si="2"/>
        <v>41.23539232</v>
      </c>
      <c r="L28" s="631">
        <f t="shared" si="3"/>
        <v>79.29883139</v>
      </c>
      <c r="M28" s="242"/>
      <c r="N28" s="242"/>
      <c r="O28" s="242"/>
      <c r="P28" s="242"/>
      <c r="Q28" s="242"/>
      <c r="R28" s="242"/>
      <c r="S28" s="242"/>
      <c r="T28" s="242"/>
      <c r="U28" s="242"/>
      <c r="V28" s="242"/>
      <c r="W28" s="242"/>
      <c r="X28" s="242"/>
      <c r="Y28" s="242"/>
      <c r="Z28" s="242"/>
    </row>
    <row r="29">
      <c r="A29" s="340" t="str">
        <f t="shared" si="1"/>
        <v>75Y-TEE</v>
      </c>
      <c r="B29" s="739">
        <v>75.0</v>
      </c>
      <c r="C29" s="743"/>
      <c r="D29" s="766" t="s">
        <v>4693</v>
      </c>
      <c r="E29" s="617">
        <v>220.4</v>
      </c>
      <c r="F29" s="735">
        <v>350.40000000000003</v>
      </c>
      <c r="G29" s="530">
        <f t="array" ref="G29:H29">IFERROR(VLOOKUP(A29,'SILENT FITTINGS'!$A$57:$H$106,{7,8},0),"")</f>
        <v>311.44</v>
      </c>
      <c r="H29" s="530">
        <v>416.64000000000004</v>
      </c>
      <c r="I29" s="530">
        <f t="array" ref="I29:J29">IFERROR(VLOOKUP(A29,'SILENT FITTINGS'!$A$126:$H$175,{7,8},0),"")</f>
        <v>395.29</v>
      </c>
      <c r="J29" s="530">
        <v>753.92</v>
      </c>
      <c r="K29" s="789">
        <f t="shared" si="2"/>
        <v>41.30671506</v>
      </c>
      <c r="L29" s="631">
        <f t="shared" si="3"/>
        <v>79.35117967</v>
      </c>
      <c r="M29" s="242"/>
      <c r="N29" s="242"/>
      <c r="O29" s="242"/>
      <c r="P29" s="242"/>
      <c r="Q29" s="242"/>
      <c r="R29" s="242"/>
      <c r="S29" s="242"/>
      <c r="T29" s="242"/>
      <c r="U29" s="242"/>
      <c r="V29" s="242"/>
      <c r="W29" s="242"/>
      <c r="X29" s="242"/>
      <c r="Y29" s="242"/>
      <c r="Z29" s="242"/>
    </row>
    <row r="30">
      <c r="A30" s="340" t="str">
        <f t="shared" si="1"/>
        <v>110Y-TEE</v>
      </c>
      <c r="B30" s="739">
        <v>110.0</v>
      </c>
      <c r="C30" s="743"/>
      <c r="D30" s="766" t="s">
        <v>4693</v>
      </c>
      <c r="E30" s="617">
        <v>619.09</v>
      </c>
      <c r="F30" s="735">
        <v>752.0</v>
      </c>
      <c r="G30" s="530">
        <f t="array" ref="G30:H30">IFERROR(VLOOKUP(A30,'SILENT FITTINGS'!$A$57:$H$106,{7,8},0),"")</f>
        <v>874.79</v>
      </c>
      <c r="H30" s="530">
        <v>1150.8</v>
      </c>
      <c r="I30" s="530">
        <f t="array" ref="I30:J30">IFERROR(VLOOKUP(A30,'SILENT FITTINGS'!$A$126:$H$175,{7,8},0),"")</f>
        <v>1110.32</v>
      </c>
      <c r="J30" s="530">
        <v>2082.4</v>
      </c>
      <c r="K30" s="789">
        <f t="shared" si="2"/>
        <v>41.30255698</v>
      </c>
      <c r="L30" s="631">
        <f t="shared" si="3"/>
        <v>79.34710624</v>
      </c>
      <c r="M30" s="242"/>
      <c r="N30" s="242"/>
      <c r="O30" s="242"/>
      <c r="P30" s="242"/>
      <c r="Q30" s="242"/>
      <c r="R30" s="242"/>
      <c r="S30" s="242"/>
      <c r="T30" s="242"/>
      <c r="U30" s="242"/>
      <c r="V30" s="242"/>
      <c r="W30" s="242"/>
      <c r="X30" s="242"/>
      <c r="Y30" s="242"/>
      <c r="Z30" s="242"/>
    </row>
    <row r="31">
      <c r="A31" s="340" t="str">
        <f t="shared" si="1"/>
        <v>160Y-TEE</v>
      </c>
      <c r="B31" s="739">
        <v>160.0</v>
      </c>
      <c r="C31" s="743"/>
      <c r="D31" s="766" t="s">
        <v>4693</v>
      </c>
      <c r="E31" s="617">
        <v>1253.18</v>
      </c>
      <c r="F31" s="735">
        <v>128.0</v>
      </c>
      <c r="G31" s="530">
        <f t="array" ref="G31:H31">IFERROR(VLOOKUP(A31,'SILENT FITTINGS'!$A$57:$H$106,{7,8},0),"")</f>
        <v>1770.8</v>
      </c>
      <c r="H31" s="530">
        <v>2486.4</v>
      </c>
      <c r="I31" s="530">
        <f t="array" ref="I31:J31">IFERROR(VLOOKUP(A31,'SILENT FITTINGS'!$A$126:$H$175,{7,8},0),"")</f>
        <v>2247.55</v>
      </c>
      <c r="J31" s="530">
        <v>4499.2</v>
      </c>
      <c r="K31" s="789">
        <f t="shared" si="2"/>
        <v>41.3045213</v>
      </c>
      <c r="L31" s="631">
        <f t="shared" si="3"/>
        <v>79.34773935</v>
      </c>
      <c r="M31" s="242"/>
      <c r="N31" s="242"/>
      <c r="O31" s="242"/>
      <c r="P31" s="242"/>
      <c r="Q31" s="242"/>
      <c r="R31" s="242"/>
      <c r="S31" s="242"/>
      <c r="T31" s="242"/>
      <c r="U31" s="242"/>
      <c r="V31" s="242"/>
      <c r="W31" s="242"/>
      <c r="X31" s="242"/>
      <c r="Y31" s="242"/>
      <c r="Z31" s="242"/>
    </row>
    <row r="32">
      <c r="A32" s="340" t="str">
        <f t="shared" si="1"/>
        <v>110X50RED Y</v>
      </c>
      <c r="B32" s="739" t="s">
        <v>4678</v>
      </c>
      <c r="C32" s="743"/>
      <c r="D32" s="766" t="s">
        <v>4679</v>
      </c>
      <c r="E32" s="806">
        <v>408.4</v>
      </c>
      <c r="F32" s="807">
        <v>0.0</v>
      </c>
      <c r="G32" s="808">
        <f t="array" ref="G32:H32">IFERROR(VLOOKUP(A32,'SILENT FITTINGS'!$A$57:$H$106,{7,8},0),"")</f>
        <v>601.2</v>
      </c>
      <c r="H32" s="808">
        <v>802.2</v>
      </c>
      <c r="I32" s="808">
        <f t="array" ref="I32:J32">IFERROR(VLOOKUP(A32,'SILENT FITTINGS'!$A$126:$H$175,{7,8},0),"")</f>
        <v>763</v>
      </c>
      <c r="J32" s="530">
        <v>1451.6</v>
      </c>
      <c r="K32" s="805">
        <f t="shared" si="2"/>
        <v>47.208619</v>
      </c>
      <c r="L32" s="805">
        <f t="shared" si="3"/>
        <v>86.82664055</v>
      </c>
      <c r="M32" s="242"/>
      <c r="N32" s="242"/>
      <c r="O32" s="242"/>
      <c r="P32" s="242"/>
      <c r="Q32" s="242"/>
      <c r="R32" s="242"/>
      <c r="S32" s="242"/>
      <c r="T32" s="242"/>
      <c r="U32" s="242"/>
      <c r="V32" s="242"/>
      <c r="W32" s="242"/>
      <c r="X32" s="242"/>
      <c r="Y32" s="242"/>
      <c r="Z32" s="242"/>
    </row>
    <row r="33">
      <c r="A33" s="340" t="str">
        <f t="shared" si="1"/>
        <v>110X75RED Y</v>
      </c>
      <c r="B33" s="739" t="s">
        <v>4676</v>
      </c>
      <c r="C33" s="743"/>
      <c r="D33" s="766" t="s">
        <v>4679</v>
      </c>
      <c r="E33" s="806">
        <v>425.5</v>
      </c>
      <c r="F33" s="807">
        <v>0.0</v>
      </c>
      <c r="G33" s="808">
        <f t="array" ref="G33:H33">IFERROR(VLOOKUP(A33,'SILENT FITTINGS'!$A$57:$H$106,{7,8},0),"")</f>
        <v>577</v>
      </c>
      <c r="H33" s="808">
        <v>814.8000000000001</v>
      </c>
      <c r="I33" s="808">
        <f t="array" ref="I33:J33">IFERROR(VLOOKUP(A33,'SILENT FITTINGS'!$A$126:$H$175,{7,8},0),"")</f>
        <v>732.4</v>
      </c>
      <c r="J33" s="530">
        <v>1474.3999999999999</v>
      </c>
      <c r="K33" s="805">
        <f t="shared" si="2"/>
        <v>35.60517039</v>
      </c>
      <c r="L33" s="805">
        <f t="shared" si="3"/>
        <v>72.12690952</v>
      </c>
      <c r="M33" s="242"/>
      <c r="N33" s="242"/>
      <c r="O33" s="242"/>
      <c r="P33" s="242"/>
      <c r="Q33" s="242"/>
      <c r="R33" s="242"/>
      <c r="S33" s="242"/>
      <c r="T33" s="242"/>
      <c r="U33" s="242"/>
      <c r="V33" s="242"/>
      <c r="W33" s="242"/>
      <c r="X33" s="242"/>
      <c r="Y33" s="242"/>
      <c r="Z33" s="242"/>
    </row>
    <row r="34">
      <c r="A34" s="340" t="str">
        <f t="shared" si="1"/>
        <v>160X110RED Y</v>
      </c>
      <c r="B34" s="739" t="s">
        <v>4680</v>
      </c>
      <c r="C34" s="743"/>
      <c r="D34" s="766" t="s">
        <v>4679</v>
      </c>
      <c r="E34" s="617">
        <v>941.5</v>
      </c>
      <c r="F34" s="735">
        <v>0.0</v>
      </c>
      <c r="G34" s="530">
        <f t="array" ref="G34:H34">IFERROR(VLOOKUP(A34,'SILENT FITTINGS'!$A$57:$H$106,{7,8},0),"")</f>
        <v>1330.4</v>
      </c>
      <c r="H34" s="530">
        <v>1856.4</v>
      </c>
      <c r="I34" s="530">
        <f t="array" ref="I34:J34">IFERROR(VLOOKUP(A34,'SILENT FITTINGS'!$A$126:$H$175,{7,8},0),"")</f>
        <v>1688.6</v>
      </c>
      <c r="J34" s="530">
        <v>3359.2</v>
      </c>
      <c r="K34" s="789">
        <f t="shared" si="2"/>
        <v>41.30642592</v>
      </c>
      <c r="L34" s="631">
        <f t="shared" si="3"/>
        <v>79.35209772</v>
      </c>
      <c r="M34" s="242"/>
      <c r="N34" s="242"/>
      <c r="O34" s="242"/>
      <c r="P34" s="242"/>
      <c r="Q34" s="242"/>
      <c r="R34" s="242"/>
      <c r="S34" s="242"/>
      <c r="T34" s="242"/>
      <c r="U34" s="242"/>
      <c r="V34" s="242"/>
      <c r="W34" s="242"/>
      <c r="X34" s="242"/>
      <c r="Y34" s="242"/>
      <c r="Z34" s="242"/>
    </row>
    <row r="35">
      <c r="A35" s="340" t="str">
        <f t="shared" si="1"/>
        <v>110X75REDUCER BUSH</v>
      </c>
      <c r="B35" s="739" t="s">
        <v>4676</v>
      </c>
      <c r="C35" s="743"/>
      <c r="D35" s="766" t="s">
        <v>4681</v>
      </c>
      <c r="E35" s="631"/>
      <c r="F35" s="735">
        <v>270.40000000000003</v>
      </c>
      <c r="G35" s="530" t="str">
        <f t="array" ref="G35:H35">IFERROR(VLOOKUP(A35,'SILENT FITTINGS'!$A$57:$H$106,{7,8},0),"")</f>
        <v/>
      </c>
      <c r="H35" s="530">
        <v>0.0</v>
      </c>
      <c r="I35" s="530" t="str">
        <f t="array" ref="I35:J35">IFERROR(VLOOKUP(A35,'SILENT FITTINGS'!$A$126:$H$175,{7,8},0),"")</f>
        <v/>
      </c>
      <c r="J35" s="530">
        <v>0.0</v>
      </c>
      <c r="K35" s="789">
        <f t="shared" si="2"/>
        <v>0</v>
      </c>
      <c r="L35" s="631">
        <f t="shared" si="3"/>
        <v>0</v>
      </c>
      <c r="M35" s="242"/>
      <c r="N35" s="242"/>
      <c r="O35" s="242"/>
      <c r="P35" s="242"/>
      <c r="Q35" s="242"/>
      <c r="R35" s="242"/>
      <c r="S35" s="242"/>
      <c r="T35" s="242"/>
      <c r="U35" s="242"/>
      <c r="V35" s="242"/>
      <c r="W35" s="242"/>
      <c r="X35" s="242"/>
      <c r="Y35" s="242"/>
      <c r="Z35" s="242"/>
    </row>
    <row r="36">
      <c r="A36" s="340" t="str">
        <f t="shared" si="1"/>
        <v>160X110REDUCER BUSH</v>
      </c>
      <c r="B36" s="739" t="s">
        <v>4680</v>
      </c>
      <c r="C36" s="743"/>
      <c r="D36" s="766" t="s">
        <v>4681</v>
      </c>
      <c r="E36" s="631"/>
      <c r="F36" s="735">
        <v>252.8</v>
      </c>
      <c r="G36" s="530" t="str">
        <f t="array" ref="G36:H36">IFERROR(VLOOKUP(A36,'SILENT FITTINGS'!$A$57:$H$106,{7,8},0),"")</f>
        <v/>
      </c>
      <c r="H36" s="530">
        <v>0.0</v>
      </c>
      <c r="I36" s="530" t="str">
        <f t="array" ref="I36:J36">IFERROR(VLOOKUP(A36,'SILENT FITTINGS'!$A$126:$H$175,{7,8},0),"")</f>
        <v/>
      </c>
      <c r="J36" s="530">
        <v>0.0</v>
      </c>
      <c r="K36" s="789">
        <f t="shared" si="2"/>
        <v>0</v>
      </c>
      <c r="L36" s="631">
        <f t="shared" si="3"/>
        <v>0</v>
      </c>
      <c r="M36" s="242"/>
      <c r="N36" s="242"/>
      <c r="O36" s="242"/>
      <c r="P36" s="242"/>
      <c r="Q36" s="242"/>
      <c r="R36" s="242"/>
      <c r="S36" s="242"/>
      <c r="T36" s="242"/>
      <c r="U36" s="242"/>
      <c r="V36" s="242"/>
      <c r="W36" s="242"/>
      <c r="X36" s="242"/>
      <c r="Y36" s="242"/>
      <c r="Z36" s="242"/>
    </row>
    <row r="37">
      <c r="A37" s="340" t="str">
        <f t="shared" si="1"/>
        <v>50X40REDUCER BUSH</v>
      </c>
      <c r="B37" s="739" t="s">
        <v>4682</v>
      </c>
      <c r="C37" s="743"/>
      <c r="D37" s="766" t="s">
        <v>4681</v>
      </c>
      <c r="E37" s="631"/>
      <c r="F37" s="735">
        <v>443.20000000000005</v>
      </c>
      <c r="G37" s="530" t="str">
        <f t="array" ref="G37:H37">IFERROR(VLOOKUP(A37,'SILENT FITTINGS'!$A$57:$H$106,{7,8},0),"")</f>
        <v/>
      </c>
      <c r="H37" s="530"/>
      <c r="I37" s="530" t="str">
        <f t="array" ref="I37:J37">IFERROR(VLOOKUP(A37,'SILENT FITTINGS'!$A$126:$H$175,{7,8},0),"")</f>
        <v/>
      </c>
      <c r="J37" s="530"/>
      <c r="K37" s="789">
        <f t="shared" si="2"/>
        <v>0</v>
      </c>
      <c r="L37" s="631">
        <f t="shared" si="3"/>
        <v>0</v>
      </c>
      <c r="M37" s="242"/>
      <c r="N37" s="242"/>
      <c r="O37" s="242"/>
      <c r="P37" s="242"/>
      <c r="Q37" s="242"/>
      <c r="R37" s="242"/>
      <c r="S37" s="242"/>
      <c r="T37" s="242"/>
      <c r="U37" s="242"/>
      <c r="V37" s="242"/>
      <c r="W37" s="242"/>
      <c r="X37" s="242"/>
      <c r="Y37" s="242"/>
      <c r="Z37" s="242"/>
    </row>
    <row r="38">
      <c r="A38" s="340" t="str">
        <f t="shared" si="1"/>
        <v>75X50REDUCER BUSH</v>
      </c>
      <c r="B38" s="739" t="s">
        <v>4683</v>
      </c>
      <c r="C38" s="743"/>
      <c r="D38" s="766" t="s">
        <v>4681</v>
      </c>
      <c r="E38" s="631"/>
      <c r="F38" s="735">
        <v>716.8000000000001</v>
      </c>
      <c r="G38" s="530" t="str">
        <f t="array" ref="G38:H38">IFERROR(VLOOKUP(A38,'SILENT FITTINGS'!$A$57:$H$106,{7,8},0),"")</f>
        <v/>
      </c>
      <c r="H38" s="530"/>
      <c r="I38" s="530" t="str">
        <f t="array" ref="I38:J38">IFERROR(VLOOKUP(A38,'SILENT FITTINGS'!$A$126:$H$175,{7,8},0),"")</f>
        <v/>
      </c>
      <c r="J38" s="530"/>
      <c r="K38" s="789">
        <f t="shared" si="2"/>
        <v>0</v>
      </c>
      <c r="L38" s="631">
        <f t="shared" si="3"/>
        <v>0</v>
      </c>
      <c r="M38" s="242"/>
      <c r="N38" s="242"/>
      <c r="O38" s="242"/>
      <c r="P38" s="242"/>
      <c r="Q38" s="242"/>
      <c r="R38" s="242"/>
      <c r="S38" s="242"/>
      <c r="T38" s="242"/>
      <c r="U38" s="242"/>
      <c r="V38" s="242"/>
      <c r="W38" s="242"/>
      <c r="X38" s="242"/>
      <c r="Y38" s="242"/>
      <c r="Z38" s="242"/>
    </row>
    <row r="39">
      <c r="A39" s="340" t="str">
        <f t="shared" si="1"/>
        <v>160X75REDUCER BUSH</v>
      </c>
      <c r="B39" s="739" t="s">
        <v>4684</v>
      </c>
      <c r="C39" s="743"/>
      <c r="D39" s="766" t="s">
        <v>4681</v>
      </c>
      <c r="E39" s="631"/>
      <c r="F39" s="735">
        <v>652.8000000000001</v>
      </c>
      <c r="G39" s="530" t="str">
        <f t="array" ref="G39:H39">IFERROR(VLOOKUP(A39,'SILENT FITTINGS'!$A$57:$H$106,{7,8},0),"")</f>
        <v/>
      </c>
      <c r="H39" s="530">
        <v>0.0</v>
      </c>
      <c r="I39" s="530" t="str">
        <f t="array" ref="I39:J39">IFERROR(VLOOKUP(A39,'SILENT FITTINGS'!$A$126:$H$175,{7,8},0),"")</f>
        <v/>
      </c>
      <c r="J39" s="530">
        <v>0.0</v>
      </c>
      <c r="K39" s="789">
        <f t="shared" si="2"/>
        <v>0</v>
      </c>
      <c r="L39" s="631">
        <f t="shared" si="3"/>
        <v>0</v>
      </c>
      <c r="M39" s="242"/>
      <c r="N39" s="242"/>
      <c r="O39" s="242"/>
      <c r="P39" s="242"/>
      <c r="Q39" s="242"/>
      <c r="R39" s="242"/>
      <c r="S39" s="242"/>
      <c r="T39" s="242"/>
      <c r="U39" s="242"/>
      <c r="V39" s="242"/>
      <c r="W39" s="242"/>
      <c r="X39" s="242"/>
      <c r="Y39" s="242"/>
      <c r="Z39" s="242"/>
    </row>
    <row r="40">
      <c r="A40" s="340" t="str">
        <f t="shared" si="1"/>
        <v>110X75REDUCER TEE</v>
      </c>
      <c r="B40" s="739" t="s">
        <v>4676</v>
      </c>
      <c r="C40" s="743"/>
      <c r="D40" s="766" t="s">
        <v>2271</v>
      </c>
      <c r="E40" s="617">
        <v>349.38</v>
      </c>
      <c r="F40" s="735">
        <v>209.60000000000002</v>
      </c>
      <c r="G40" s="530">
        <f t="array" ref="G40:H40">IFERROR(VLOOKUP(A40,'SILENT FITTINGS'!$A$57:$H$106,{7,8},0),"")</f>
        <v>493.69</v>
      </c>
      <c r="H40" s="530">
        <v>680.4</v>
      </c>
      <c r="I40" s="530">
        <f t="array" ref="I40:J40">IFERROR(VLOOKUP(A40,'SILENT FITTINGS'!$A$126:$H$175,{7,8},0),"")</f>
        <v>626.61</v>
      </c>
      <c r="J40" s="530">
        <v>1231.2</v>
      </c>
      <c r="K40" s="789">
        <f t="shared" si="2"/>
        <v>41.30459671</v>
      </c>
      <c r="L40" s="631">
        <f t="shared" si="3"/>
        <v>79.34913275</v>
      </c>
      <c r="M40" s="242"/>
      <c r="N40" s="242"/>
      <c r="O40" s="242"/>
      <c r="P40" s="242"/>
      <c r="Q40" s="242"/>
      <c r="R40" s="242"/>
      <c r="S40" s="242"/>
      <c r="T40" s="242"/>
      <c r="U40" s="242"/>
      <c r="V40" s="242"/>
      <c r="W40" s="242"/>
      <c r="X40" s="242"/>
      <c r="Y40" s="242"/>
      <c r="Z40" s="242"/>
    </row>
    <row r="41">
      <c r="A41" s="340" t="str">
        <f t="shared" si="1"/>
        <v>160X110REDUCER TEE</v>
      </c>
      <c r="B41" s="739" t="s">
        <v>4680</v>
      </c>
      <c r="C41" s="743"/>
      <c r="D41" s="766" t="s">
        <v>2271</v>
      </c>
      <c r="E41" s="617">
        <v>703.96</v>
      </c>
      <c r="F41" s="735">
        <v>166.4</v>
      </c>
      <c r="G41" s="530">
        <f t="array" ref="G41:H41">IFERROR(VLOOKUP(A41,'SILENT FITTINGS'!$A$57:$H$106,{7,8},0),"")</f>
        <v>994.72</v>
      </c>
      <c r="H41" s="530">
        <v>1339.8</v>
      </c>
      <c r="I41" s="530">
        <f t="array" ref="I41:J41">IFERROR(VLOOKUP(A41,'SILENT FITTINGS'!$A$126:$H$175,{7,8},0),"")</f>
        <v>1262.53</v>
      </c>
      <c r="J41" s="530">
        <v>2424.4</v>
      </c>
      <c r="K41" s="789">
        <f t="shared" si="2"/>
        <v>41.30348315</v>
      </c>
      <c r="L41" s="631">
        <f t="shared" si="3"/>
        <v>79.34683789</v>
      </c>
      <c r="M41" s="242"/>
      <c r="N41" s="242"/>
      <c r="O41" s="242"/>
      <c r="P41" s="242"/>
      <c r="Q41" s="242"/>
      <c r="R41" s="242"/>
      <c r="S41" s="242"/>
      <c r="T41" s="242"/>
      <c r="U41" s="242"/>
      <c r="V41" s="242"/>
      <c r="W41" s="242"/>
      <c r="X41" s="242"/>
      <c r="Y41" s="242"/>
      <c r="Z41" s="242"/>
    </row>
    <row r="42">
      <c r="A42" s="340" t="str">
        <f t="shared" si="1"/>
        <v>160X75REDUCER TEE</v>
      </c>
      <c r="B42" s="739" t="s">
        <v>4684</v>
      </c>
      <c r="C42" s="743"/>
      <c r="D42" s="766" t="s">
        <v>2271</v>
      </c>
      <c r="E42" s="617">
        <v>578.87</v>
      </c>
      <c r="F42" s="735">
        <v>472.0</v>
      </c>
      <c r="G42" s="530">
        <f t="array" ref="G42:H42">IFERROR(VLOOKUP(A42,'SILENT FITTINGS'!$A$57:$H$106,{7,8},0),"")</f>
        <v>817.97</v>
      </c>
      <c r="H42" s="530">
        <v>1129.8</v>
      </c>
      <c r="I42" s="530">
        <f t="array" ref="I42:J42">IFERROR(VLOOKUP(A42,'SILENT FITTINGS'!$A$126:$H$175,{7,8},0),"")</f>
        <v>1038.2</v>
      </c>
      <c r="J42" s="530">
        <v>2044.3999999999999</v>
      </c>
      <c r="K42" s="789">
        <f t="shared" si="2"/>
        <v>41.30461071</v>
      </c>
      <c r="L42" s="631">
        <f t="shared" si="3"/>
        <v>79.34942215</v>
      </c>
      <c r="M42" s="242"/>
      <c r="N42" s="242"/>
      <c r="O42" s="242"/>
      <c r="P42" s="242"/>
      <c r="Q42" s="242"/>
      <c r="R42" s="242"/>
      <c r="S42" s="242"/>
      <c r="T42" s="242"/>
      <c r="U42" s="242"/>
      <c r="V42" s="242"/>
      <c r="W42" s="242"/>
      <c r="X42" s="242"/>
      <c r="Y42" s="242"/>
      <c r="Z42" s="242"/>
    </row>
    <row r="43">
      <c r="A43" s="340" t="str">
        <f t="shared" si="1"/>
        <v>50X40REDUCER COUPLER</v>
      </c>
      <c r="B43" s="739" t="s">
        <v>4682</v>
      </c>
      <c r="C43" s="743"/>
      <c r="D43" s="766" t="s">
        <v>2308</v>
      </c>
      <c r="E43" s="617">
        <v>48.6</v>
      </c>
      <c r="F43" s="735"/>
      <c r="G43" s="530">
        <f t="array" ref="G43:H43">IFERROR(VLOOKUP(A43,'SILENT FITTINGS'!$A$57:$H$106,{7,8},0),"")</f>
        <v>68.62</v>
      </c>
      <c r="H43" s="530">
        <v>93.24</v>
      </c>
      <c r="I43" s="530">
        <f t="array" ref="I43:J43">IFERROR(VLOOKUP(A43,'SILENT FITTINGS'!$A$126:$H$175,{7,8},0),"")</f>
        <v>87.1</v>
      </c>
      <c r="J43" s="530">
        <v>168.72</v>
      </c>
      <c r="K43" s="789">
        <f t="shared" si="2"/>
        <v>41.19341564</v>
      </c>
      <c r="L43" s="631">
        <f t="shared" si="3"/>
        <v>79.218107</v>
      </c>
      <c r="M43" s="242"/>
      <c r="N43" s="242"/>
      <c r="O43" s="242"/>
      <c r="P43" s="242"/>
      <c r="Q43" s="242"/>
      <c r="R43" s="242"/>
      <c r="S43" s="242"/>
      <c r="T43" s="242"/>
      <c r="U43" s="242"/>
      <c r="V43" s="242"/>
      <c r="W43" s="242"/>
      <c r="X43" s="242"/>
      <c r="Y43" s="242"/>
      <c r="Z43" s="242"/>
    </row>
    <row r="44">
      <c r="A44" s="340" t="str">
        <f t="shared" si="1"/>
        <v>75X40REDUCER COUPLER</v>
      </c>
      <c r="B44" s="739" t="s">
        <v>4685</v>
      </c>
      <c r="C44" s="743"/>
      <c r="D44" s="766" t="s">
        <v>2308</v>
      </c>
      <c r="E44" s="617">
        <v>73.35</v>
      </c>
      <c r="F44" s="735"/>
      <c r="G44" s="530">
        <f t="array" ref="G44:H44">IFERROR(VLOOKUP(A44,'SILENT FITTINGS'!$A$57:$H$106,{7,8},0),"")</f>
        <v>103.65</v>
      </c>
      <c r="H44" s="530">
        <v>143.22</v>
      </c>
      <c r="I44" s="530">
        <f t="array" ref="I44:J44">IFERROR(VLOOKUP(A44,'SILENT FITTINGS'!$A$126:$H$175,{7,8},0),"")</f>
        <v>131.55</v>
      </c>
      <c r="J44" s="530">
        <v>259.16</v>
      </c>
      <c r="K44" s="789">
        <f t="shared" si="2"/>
        <v>41.30879346</v>
      </c>
      <c r="L44" s="631">
        <f t="shared" si="3"/>
        <v>79.34560327</v>
      </c>
      <c r="M44" s="242"/>
      <c r="N44" s="242"/>
      <c r="O44" s="242"/>
      <c r="P44" s="242"/>
      <c r="Q44" s="242"/>
      <c r="R44" s="242"/>
      <c r="S44" s="242"/>
      <c r="T44" s="242"/>
      <c r="U44" s="242"/>
      <c r="V44" s="242"/>
      <c r="W44" s="242"/>
      <c r="X44" s="242"/>
      <c r="Y44" s="242"/>
      <c r="Z44" s="242"/>
    </row>
    <row r="45">
      <c r="A45" s="340" t="str">
        <f t="shared" si="1"/>
        <v>110X75REDUCER COUPLER</v>
      </c>
      <c r="B45" s="739" t="s">
        <v>4676</v>
      </c>
      <c r="C45" s="743"/>
      <c r="D45" s="766" t="s">
        <v>2308</v>
      </c>
      <c r="E45" s="617">
        <v>173.89</v>
      </c>
      <c r="F45" s="735"/>
      <c r="G45" s="530">
        <f t="array" ref="G45:H45">IFERROR(VLOOKUP(A45,'SILENT FITTINGS'!$A$57:$H$106,{7,8},0),"")</f>
        <v>245.72</v>
      </c>
      <c r="H45" s="530">
        <v>345.24</v>
      </c>
      <c r="I45" s="530">
        <f t="array" ref="I45:J45">IFERROR(VLOOKUP(A45,'SILENT FITTINGS'!$A$126:$H$175,{7,8},0),"")</f>
        <v>311.87</v>
      </c>
      <c r="J45" s="530">
        <v>624.72</v>
      </c>
      <c r="K45" s="789">
        <f t="shared" si="2"/>
        <v>41.30772327</v>
      </c>
      <c r="L45" s="631">
        <f t="shared" si="3"/>
        <v>79.34901374</v>
      </c>
      <c r="M45" s="242"/>
      <c r="N45" s="242"/>
      <c r="O45" s="242"/>
      <c r="P45" s="242"/>
      <c r="Q45" s="242"/>
      <c r="R45" s="242"/>
      <c r="S45" s="242"/>
      <c r="T45" s="242"/>
      <c r="U45" s="242"/>
      <c r="V45" s="242"/>
      <c r="W45" s="242"/>
      <c r="X45" s="242"/>
      <c r="Y45" s="242"/>
      <c r="Z45" s="242"/>
    </row>
    <row r="46">
      <c r="A46" s="340" t="str">
        <f t="shared" si="1"/>
        <v>160X75REDUCER COUPLER</v>
      </c>
      <c r="B46" s="739" t="s">
        <v>4684</v>
      </c>
      <c r="C46" s="743"/>
      <c r="D46" s="766" t="s">
        <v>2308</v>
      </c>
      <c r="E46" s="617">
        <v>352.93</v>
      </c>
      <c r="F46" s="735"/>
      <c r="G46" s="530">
        <f t="array" ref="G46:H46">IFERROR(VLOOKUP(A46,'SILENT FITTINGS'!$A$57:$H$106,{7,8},0),"")</f>
        <v>498.7</v>
      </c>
      <c r="H46" s="530">
        <v>681.24</v>
      </c>
      <c r="I46" s="530">
        <f t="array" ref="I46:J46">IFERROR(VLOOKUP(A46,'SILENT FITTINGS'!$A$126:$H$175,{7,8},0),"")</f>
        <v>632.97</v>
      </c>
      <c r="J46" s="530">
        <v>1232.7199999999998</v>
      </c>
      <c r="K46" s="789">
        <f t="shared" si="2"/>
        <v>41.30280792</v>
      </c>
      <c r="L46" s="631">
        <f t="shared" si="3"/>
        <v>79.34717933</v>
      </c>
      <c r="M46" s="242"/>
      <c r="N46" s="242"/>
      <c r="O46" s="242"/>
      <c r="P46" s="242"/>
      <c r="Q46" s="242"/>
      <c r="R46" s="242"/>
      <c r="S46" s="242"/>
      <c r="T46" s="242"/>
      <c r="U46" s="242"/>
      <c r="V46" s="242"/>
      <c r="W46" s="242"/>
      <c r="X46" s="242"/>
      <c r="Y46" s="242"/>
      <c r="Z46" s="242"/>
    </row>
    <row r="47">
      <c r="A47" s="340" t="str">
        <f t="shared" si="1"/>
        <v>160X110REDUCER COUPLER</v>
      </c>
      <c r="B47" s="739" t="s">
        <v>4680</v>
      </c>
      <c r="C47" s="743"/>
      <c r="D47" s="766" t="s">
        <v>2308</v>
      </c>
      <c r="E47" s="617">
        <v>378.44</v>
      </c>
      <c r="F47" s="735"/>
      <c r="G47" s="530">
        <f t="array" ref="G47:H47">IFERROR(VLOOKUP(A47,'SILENT FITTINGS'!$A$57:$H$106,{7,8},0),"")</f>
        <v>534.75</v>
      </c>
      <c r="H47" s="530">
        <v>732.48</v>
      </c>
      <c r="I47" s="530">
        <f t="array" ref="I47:J47">IFERROR(VLOOKUP(A47,'SILENT FITTINGS'!$A$126:$H$175,{7,8},0),"")</f>
        <v>678.73</v>
      </c>
      <c r="J47" s="530">
        <v>1325.44</v>
      </c>
      <c r="K47" s="789">
        <f t="shared" si="2"/>
        <v>41.30377339</v>
      </c>
      <c r="L47" s="631">
        <f t="shared" si="3"/>
        <v>79.34943452</v>
      </c>
      <c r="M47" s="242"/>
      <c r="N47" s="242"/>
      <c r="O47" s="242"/>
      <c r="P47" s="242"/>
      <c r="Q47" s="242"/>
      <c r="R47" s="242"/>
      <c r="S47" s="242"/>
      <c r="T47" s="242"/>
      <c r="U47" s="242"/>
      <c r="V47" s="242"/>
      <c r="W47" s="242"/>
      <c r="X47" s="242"/>
      <c r="Y47" s="242"/>
      <c r="Z47" s="242"/>
    </row>
    <row r="48">
      <c r="A48" s="340" t="str">
        <f t="shared" si="1"/>
        <v>110X110NAHANI TRAP</v>
      </c>
      <c r="B48" s="739" t="s">
        <v>4686</v>
      </c>
      <c r="C48" s="743"/>
      <c r="D48" s="766" t="s">
        <v>4687</v>
      </c>
      <c r="E48" s="631"/>
      <c r="F48" s="735">
        <v>504.0</v>
      </c>
      <c r="G48" s="530" t="str">
        <f t="array" ref="G48:H48">IFERROR(VLOOKUP(A48,'SILENT FITTINGS'!$A$57:$H$106,{7,8},0),"")</f>
        <v/>
      </c>
      <c r="H48" s="530"/>
      <c r="I48" s="530" t="str">
        <f t="array" ref="I48:J48">IFERROR(VLOOKUP(A48,'SILENT FITTINGS'!$A$126:$H$175,{7,8},0),"")</f>
        <v/>
      </c>
      <c r="J48" s="530"/>
      <c r="K48" s="789">
        <f t="shared" si="2"/>
        <v>0</v>
      </c>
      <c r="L48" s="631">
        <f t="shared" si="3"/>
        <v>0</v>
      </c>
      <c r="M48" s="242"/>
      <c r="N48" s="242"/>
      <c r="O48" s="242"/>
      <c r="P48" s="242"/>
      <c r="Q48" s="242"/>
      <c r="R48" s="242"/>
      <c r="S48" s="242"/>
      <c r="T48" s="242"/>
      <c r="U48" s="242"/>
      <c r="V48" s="242"/>
      <c r="W48" s="242"/>
      <c r="X48" s="242"/>
      <c r="Y48" s="242"/>
      <c r="Z48" s="242"/>
    </row>
    <row r="49">
      <c r="A49" s="340" t="str">
        <f t="shared" si="1"/>
        <v>110X75NAHANI TRAP</v>
      </c>
      <c r="B49" s="739" t="s">
        <v>4676</v>
      </c>
      <c r="C49" s="743"/>
      <c r="D49" s="766" t="s">
        <v>4687</v>
      </c>
      <c r="E49" s="631"/>
      <c r="F49" s="735">
        <v>126.4</v>
      </c>
      <c r="G49" s="530" t="str">
        <f t="array" ref="G49:H49">IFERROR(VLOOKUP(A49,'SILENT FITTINGS'!$A$57:$H$106,{7,8},0),"")</f>
        <v/>
      </c>
      <c r="H49" s="530"/>
      <c r="I49" s="530" t="str">
        <f t="array" ref="I49:J49">IFERROR(VLOOKUP(A49,'SILENT FITTINGS'!$A$126:$H$175,{7,8},0),"")</f>
        <v/>
      </c>
      <c r="J49" s="530"/>
      <c r="K49" s="789">
        <f t="shared" si="2"/>
        <v>0</v>
      </c>
      <c r="L49" s="631">
        <f t="shared" si="3"/>
        <v>0</v>
      </c>
      <c r="M49" s="242"/>
      <c r="N49" s="242"/>
      <c r="O49" s="242"/>
      <c r="P49" s="242"/>
      <c r="Q49" s="242"/>
      <c r="R49" s="242"/>
      <c r="S49" s="242"/>
      <c r="T49" s="242"/>
      <c r="U49" s="242"/>
      <c r="V49" s="242"/>
      <c r="W49" s="242"/>
      <c r="X49" s="242"/>
      <c r="Y49" s="242"/>
      <c r="Z49" s="242"/>
    </row>
    <row r="50">
      <c r="A50" s="340" t="str">
        <f t="shared" si="1"/>
        <v>110X110P-TRAP</v>
      </c>
      <c r="B50" s="739" t="s">
        <v>4686</v>
      </c>
      <c r="C50" s="743"/>
      <c r="D50" s="766" t="s">
        <v>4688</v>
      </c>
      <c r="E50" s="631"/>
      <c r="F50" s="735">
        <v>227.20000000000002</v>
      </c>
      <c r="G50" s="530" t="str">
        <f t="array" ref="G50:H50">IFERROR(VLOOKUP(A50,'SILENT FITTINGS'!$A$57:$H$106,{7,8},0),"")</f>
        <v/>
      </c>
      <c r="H50" s="530"/>
      <c r="I50" s="530" t="str">
        <f t="array" ref="I50:J50">IFERROR(VLOOKUP(A50,'SILENT FITTINGS'!$A$126:$H$175,{7,8},0),"")</f>
        <v/>
      </c>
      <c r="J50" s="530"/>
      <c r="K50" s="789">
        <f t="shared" si="2"/>
        <v>0</v>
      </c>
      <c r="L50" s="631">
        <f t="shared" si="3"/>
        <v>0</v>
      </c>
      <c r="M50" s="242"/>
      <c r="N50" s="242"/>
      <c r="O50" s="242"/>
      <c r="P50" s="242"/>
      <c r="Q50" s="242"/>
      <c r="R50" s="242"/>
      <c r="S50" s="242"/>
      <c r="T50" s="242"/>
      <c r="U50" s="242"/>
      <c r="V50" s="242"/>
      <c r="W50" s="242"/>
      <c r="X50" s="242"/>
      <c r="Y50" s="242"/>
      <c r="Z50" s="242"/>
    </row>
    <row r="51">
      <c r="A51" s="340" t="str">
        <f t="shared" si="1"/>
        <v>125X110P-TRAP</v>
      </c>
      <c r="B51" s="739" t="s">
        <v>4689</v>
      </c>
      <c r="C51" s="743"/>
      <c r="D51" s="766" t="s">
        <v>4688</v>
      </c>
      <c r="E51" s="631"/>
      <c r="F51" s="735">
        <v>502.40000000000003</v>
      </c>
      <c r="G51" s="530" t="str">
        <f t="array" ref="G51:H51">IFERROR(VLOOKUP(A51,'SILENT FITTINGS'!$A$57:$H$106,{7,8},0),"")</f>
        <v/>
      </c>
      <c r="H51" s="530"/>
      <c r="I51" s="530" t="str">
        <f t="array" ref="I51:J51">IFERROR(VLOOKUP(A51,'SILENT FITTINGS'!$A$126:$H$175,{7,8},0),"")</f>
        <v/>
      </c>
      <c r="J51" s="530"/>
      <c r="K51" s="789">
        <f t="shared" si="2"/>
        <v>0</v>
      </c>
      <c r="L51" s="631">
        <f t="shared" si="3"/>
        <v>0</v>
      </c>
      <c r="M51" s="242"/>
      <c r="N51" s="242"/>
      <c r="O51" s="242"/>
      <c r="P51" s="242"/>
      <c r="Q51" s="242"/>
      <c r="R51" s="242"/>
      <c r="S51" s="242"/>
      <c r="T51" s="242"/>
      <c r="U51" s="242"/>
      <c r="V51" s="242"/>
      <c r="W51" s="242"/>
      <c r="X51" s="242"/>
      <c r="Y51" s="242"/>
      <c r="Z51" s="242"/>
    </row>
    <row r="52">
      <c r="A52" s="340" t="str">
        <f t="shared" si="1"/>
        <v>75SOCKET PLUG WITH LOCK</v>
      </c>
      <c r="B52" s="739">
        <v>75.0</v>
      </c>
      <c r="C52" s="743"/>
      <c r="D52" s="766" t="s">
        <v>4690</v>
      </c>
      <c r="E52" s="631"/>
      <c r="F52" s="735">
        <v>126.4</v>
      </c>
      <c r="G52" s="530" t="str">
        <f t="array" ref="G52:H52">IFERROR(VLOOKUP(A52,'SILENT FITTINGS'!$A$57:$H$106,{7,8},0),"")</f>
        <v/>
      </c>
      <c r="H52" s="530"/>
      <c r="I52" s="530" t="str">
        <f t="array" ref="I52:J52">IFERROR(VLOOKUP(A52,'SILENT FITTINGS'!$A$126:$H$175,{7,8},0),"")</f>
        <v/>
      </c>
      <c r="J52" s="530"/>
      <c r="K52" s="789">
        <f t="shared" si="2"/>
        <v>0</v>
      </c>
      <c r="L52" s="631">
        <f t="shared" si="3"/>
        <v>0</v>
      </c>
      <c r="M52" s="242"/>
      <c r="N52" s="242"/>
      <c r="O52" s="242"/>
      <c r="P52" s="242"/>
      <c r="Q52" s="242"/>
      <c r="R52" s="242"/>
      <c r="S52" s="242"/>
      <c r="T52" s="242"/>
      <c r="U52" s="242"/>
      <c r="V52" s="242"/>
      <c r="W52" s="242"/>
      <c r="X52" s="242"/>
      <c r="Y52" s="242"/>
      <c r="Z52" s="242"/>
    </row>
    <row r="53">
      <c r="A53" s="340" t="str">
        <f t="shared" si="1"/>
        <v>110SOCKET PLUG WITH LOCK</v>
      </c>
      <c r="B53" s="739">
        <v>110.0</v>
      </c>
      <c r="C53" s="743"/>
      <c r="D53" s="766" t="s">
        <v>4690</v>
      </c>
      <c r="E53" s="631"/>
      <c r="F53" s="735">
        <v>227.20000000000002</v>
      </c>
      <c r="G53" s="530" t="str">
        <f t="array" ref="G53:H53">IFERROR(VLOOKUP(A53,'SILENT FITTINGS'!$A$57:$H$106,{7,8},0),"")</f>
        <v/>
      </c>
      <c r="H53" s="530"/>
      <c r="I53" s="530" t="str">
        <f t="array" ref="I53:J53">IFERROR(VLOOKUP(A53,'SILENT FITTINGS'!$A$126:$H$175,{7,8},0),"")</f>
        <v/>
      </c>
      <c r="J53" s="530"/>
      <c r="K53" s="789">
        <f t="shared" si="2"/>
        <v>0</v>
      </c>
      <c r="L53" s="631">
        <f t="shared" si="3"/>
        <v>0</v>
      </c>
      <c r="M53" s="242"/>
      <c r="N53" s="242"/>
      <c r="O53" s="242"/>
      <c r="P53" s="242"/>
      <c r="Q53" s="242"/>
      <c r="R53" s="242"/>
      <c r="S53" s="242"/>
      <c r="T53" s="242"/>
      <c r="U53" s="242"/>
      <c r="V53" s="242"/>
      <c r="W53" s="242"/>
      <c r="X53" s="242"/>
      <c r="Y53" s="242"/>
      <c r="Z53" s="242"/>
    </row>
    <row r="54">
      <c r="A54" s="340" t="str">
        <f t="shared" si="1"/>
        <v>160SOCKET PLUG</v>
      </c>
      <c r="B54" s="739">
        <v>160.0</v>
      </c>
      <c r="C54" s="743"/>
      <c r="D54" s="766" t="s">
        <v>4691</v>
      </c>
      <c r="E54" s="631"/>
      <c r="F54" s="735">
        <v>502.40000000000003</v>
      </c>
      <c r="G54" s="530" t="str">
        <f t="array" ref="G54:H54">IFERROR(VLOOKUP(A54,'SILENT FITTINGS'!$A$57:$H$106,{7,8},0),"")</f>
        <v/>
      </c>
      <c r="H54" s="530"/>
      <c r="I54" s="530" t="str">
        <f t="array" ref="I54:J54">IFERROR(VLOOKUP(A54,'SILENT FITTINGS'!$A$126:$H$175,{7,8},0),"")</f>
        <v/>
      </c>
      <c r="J54" s="530"/>
      <c r="K54" s="789">
        <f t="shared" si="2"/>
        <v>0</v>
      </c>
      <c r="L54" s="631">
        <f t="shared" si="3"/>
        <v>0</v>
      </c>
      <c r="M54" s="242"/>
      <c r="N54" s="242"/>
      <c r="O54" s="242"/>
      <c r="P54" s="242"/>
      <c r="Q54" s="242"/>
      <c r="R54" s="242"/>
      <c r="S54" s="242"/>
      <c r="T54" s="242"/>
      <c r="U54" s="242"/>
      <c r="V54" s="242"/>
      <c r="W54" s="242"/>
      <c r="X54" s="242"/>
      <c r="Y54" s="242"/>
      <c r="Z54" s="242"/>
    </row>
    <row r="55">
      <c r="A55" s="340"/>
      <c r="B55" s="242"/>
      <c r="C55" s="242"/>
      <c r="D55" s="242"/>
      <c r="E55" s="13"/>
      <c r="F55" s="13"/>
      <c r="G55" s="13"/>
      <c r="H55" s="13"/>
      <c r="I55" s="13"/>
      <c r="J55" s="13"/>
      <c r="K55" s="583"/>
      <c r="L55" s="583"/>
      <c r="M55" s="242"/>
      <c r="N55" s="242"/>
      <c r="O55" s="242"/>
      <c r="P55" s="242"/>
      <c r="Q55" s="242"/>
      <c r="R55" s="242"/>
      <c r="S55" s="242"/>
      <c r="T55" s="242"/>
      <c r="U55" s="242"/>
      <c r="V55" s="242"/>
      <c r="W55" s="242"/>
      <c r="X55" s="242"/>
      <c r="Y55" s="242"/>
      <c r="Z55" s="242"/>
    </row>
    <row r="56">
      <c r="A56" s="340"/>
      <c r="B56" s="242"/>
      <c r="C56" s="242"/>
      <c r="D56" s="242"/>
      <c r="E56" s="13"/>
      <c r="F56" s="13"/>
      <c r="G56" s="13"/>
      <c r="H56" s="13"/>
      <c r="I56" s="13"/>
      <c r="J56" s="13"/>
      <c r="K56" s="13"/>
      <c r="L56" s="242"/>
      <c r="M56" s="242"/>
      <c r="N56" s="242"/>
      <c r="O56" s="242"/>
      <c r="P56" s="242"/>
      <c r="Q56" s="242"/>
      <c r="R56" s="242"/>
      <c r="S56" s="242"/>
      <c r="T56" s="242"/>
      <c r="U56" s="242"/>
      <c r="V56" s="242"/>
      <c r="W56" s="242"/>
      <c r="X56" s="242"/>
      <c r="Y56" s="242"/>
      <c r="Z56" s="242"/>
    </row>
    <row r="57">
      <c r="A57" s="340"/>
      <c r="B57" s="242"/>
      <c r="C57" s="242"/>
      <c r="D57" s="242"/>
      <c r="E57" s="13"/>
      <c r="F57" s="13"/>
      <c r="G57" s="13"/>
      <c r="H57" s="13"/>
      <c r="I57" s="13"/>
      <c r="J57" s="13"/>
      <c r="K57" s="13"/>
      <c r="L57" s="242"/>
      <c r="M57" s="242"/>
      <c r="N57" s="242"/>
      <c r="O57" s="242"/>
      <c r="P57" s="242"/>
      <c r="Q57" s="242"/>
      <c r="R57" s="242"/>
      <c r="S57" s="242"/>
      <c r="T57" s="242"/>
      <c r="U57" s="242"/>
      <c r="V57" s="242"/>
      <c r="W57" s="242"/>
      <c r="X57" s="242"/>
      <c r="Y57" s="242"/>
      <c r="Z57" s="242"/>
    </row>
    <row r="58">
      <c r="A58" s="340"/>
      <c r="B58" s="242"/>
      <c r="C58" s="242"/>
      <c r="D58" s="242"/>
      <c r="E58" s="13"/>
      <c r="F58" s="13"/>
      <c r="G58" s="13"/>
      <c r="H58" s="13"/>
      <c r="I58" s="13"/>
      <c r="J58" s="13"/>
      <c r="K58" s="13"/>
      <c r="L58" s="242"/>
      <c r="M58" s="242"/>
      <c r="N58" s="242"/>
      <c r="O58" s="242"/>
      <c r="P58" s="242"/>
      <c r="Q58" s="242"/>
      <c r="R58" s="242"/>
      <c r="S58" s="242"/>
      <c r="T58" s="242"/>
      <c r="U58" s="242"/>
      <c r="V58" s="242"/>
      <c r="W58" s="242"/>
      <c r="X58" s="242"/>
      <c r="Y58" s="242"/>
      <c r="Z58" s="242"/>
    </row>
    <row r="59">
      <c r="A59" s="340"/>
      <c r="B59" s="242"/>
      <c r="C59" s="242"/>
      <c r="D59" s="242"/>
      <c r="E59" s="13"/>
      <c r="F59" s="13"/>
      <c r="G59" s="13"/>
      <c r="H59" s="13"/>
      <c r="I59" s="13"/>
      <c r="J59" s="13"/>
      <c r="K59" s="13"/>
      <c r="L59" s="242"/>
      <c r="M59" s="242"/>
      <c r="N59" s="242"/>
      <c r="O59" s="242"/>
      <c r="P59" s="242"/>
      <c r="Q59" s="242"/>
      <c r="R59" s="242"/>
      <c r="S59" s="242"/>
      <c r="T59" s="242"/>
      <c r="U59" s="242"/>
      <c r="V59" s="242"/>
      <c r="W59" s="242"/>
      <c r="X59" s="242"/>
      <c r="Y59" s="242"/>
      <c r="Z59" s="242"/>
    </row>
    <row r="60">
      <c r="A60" s="340"/>
      <c r="B60" s="242"/>
      <c r="C60" s="242"/>
      <c r="D60" s="242"/>
      <c r="E60" s="13"/>
      <c r="F60" s="13"/>
      <c r="G60" s="13"/>
      <c r="H60" s="13"/>
      <c r="I60" s="13"/>
      <c r="J60" s="13"/>
      <c r="K60" s="13"/>
      <c r="L60" s="242"/>
      <c r="M60" s="242"/>
      <c r="N60" s="242"/>
      <c r="O60" s="242"/>
      <c r="P60" s="242"/>
      <c r="Q60" s="242"/>
      <c r="R60" s="242"/>
      <c r="S60" s="242"/>
      <c r="T60" s="242"/>
      <c r="U60" s="242"/>
      <c r="V60" s="242"/>
      <c r="W60" s="242"/>
      <c r="X60" s="242"/>
      <c r="Y60" s="242"/>
      <c r="Z60" s="242"/>
    </row>
    <row r="61">
      <c r="A61" s="340"/>
      <c r="B61" s="242"/>
      <c r="C61" s="242"/>
      <c r="D61" s="242"/>
      <c r="E61" s="13"/>
      <c r="F61" s="13"/>
      <c r="G61" s="13"/>
      <c r="H61" s="13"/>
      <c r="I61" s="13"/>
      <c r="J61" s="13"/>
      <c r="K61" s="13"/>
      <c r="L61" s="242"/>
      <c r="M61" s="242"/>
      <c r="N61" s="242"/>
      <c r="O61" s="242"/>
      <c r="P61" s="242"/>
      <c r="Q61" s="242"/>
      <c r="R61" s="242"/>
      <c r="S61" s="242"/>
      <c r="T61" s="242"/>
      <c r="U61" s="242"/>
      <c r="V61" s="242"/>
      <c r="W61" s="242"/>
      <c r="X61" s="242"/>
      <c r="Y61" s="242"/>
      <c r="Z61" s="242"/>
    </row>
    <row r="62">
      <c r="A62" s="340"/>
      <c r="B62" s="242"/>
      <c r="C62" s="242"/>
      <c r="D62" s="242"/>
      <c r="E62" s="13"/>
      <c r="F62" s="13"/>
      <c r="G62" s="13"/>
      <c r="H62" s="13"/>
      <c r="I62" s="13"/>
      <c r="J62" s="13"/>
      <c r="K62" s="13"/>
      <c r="L62" s="242"/>
      <c r="M62" s="242"/>
      <c r="N62" s="242"/>
      <c r="O62" s="242"/>
      <c r="P62" s="242"/>
      <c r="Q62" s="242"/>
      <c r="R62" s="242"/>
      <c r="S62" s="242"/>
      <c r="T62" s="242"/>
      <c r="U62" s="242"/>
      <c r="V62" s="242"/>
      <c r="W62" s="242"/>
      <c r="X62" s="242"/>
      <c r="Y62" s="242"/>
      <c r="Z62" s="242"/>
    </row>
    <row r="63">
      <c r="A63" s="340"/>
      <c r="B63" s="242"/>
      <c r="C63" s="242"/>
      <c r="D63" s="242"/>
      <c r="E63" s="13"/>
      <c r="F63" s="13"/>
      <c r="G63" s="13"/>
      <c r="H63" s="13"/>
      <c r="I63" s="13"/>
      <c r="J63" s="13"/>
      <c r="K63" s="13"/>
      <c r="L63" s="242"/>
      <c r="M63" s="242"/>
      <c r="N63" s="242"/>
      <c r="O63" s="242"/>
      <c r="P63" s="242"/>
      <c r="Q63" s="242"/>
      <c r="R63" s="242"/>
      <c r="S63" s="242"/>
      <c r="T63" s="242"/>
      <c r="U63" s="242"/>
      <c r="V63" s="242"/>
      <c r="W63" s="242"/>
      <c r="X63" s="242"/>
      <c r="Y63" s="242"/>
      <c r="Z63" s="242"/>
    </row>
    <row r="64">
      <c r="A64" s="340"/>
      <c r="B64" s="242"/>
      <c r="C64" s="242"/>
      <c r="D64" s="242"/>
      <c r="E64" s="13"/>
      <c r="F64" s="13"/>
      <c r="G64" s="13"/>
      <c r="H64" s="13"/>
      <c r="I64" s="13"/>
      <c r="J64" s="13"/>
      <c r="K64" s="13"/>
      <c r="L64" s="242"/>
      <c r="M64" s="242"/>
      <c r="N64" s="242"/>
      <c r="O64" s="242"/>
      <c r="P64" s="242"/>
      <c r="Q64" s="242"/>
      <c r="R64" s="242"/>
      <c r="S64" s="242"/>
      <c r="T64" s="242"/>
      <c r="U64" s="242"/>
      <c r="V64" s="242"/>
      <c r="W64" s="242"/>
      <c r="X64" s="242"/>
      <c r="Y64" s="242"/>
      <c r="Z64" s="242"/>
    </row>
    <row r="65">
      <c r="A65" s="340"/>
      <c r="B65" s="242"/>
      <c r="C65" s="242"/>
      <c r="D65" s="242"/>
      <c r="E65" s="13"/>
      <c r="F65" s="13"/>
      <c r="G65" s="13"/>
      <c r="H65" s="13"/>
      <c r="I65" s="13"/>
      <c r="J65" s="13"/>
      <c r="K65" s="13"/>
      <c r="L65" s="242"/>
      <c r="M65" s="242"/>
      <c r="N65" s="242"/>
      <c r="O65" s="242"/>
      <c r="P65" s="242"/>
      <c r="Q65" s="242"/>
      <c r="R65" s="242"/>
      <c r="S65" s="242"/>
      <c r="T65" s="242"/>
      <c r="U65" s="242"/>
      <c r="V65" s="242"/>
      <c r="W65" s="242"/>
      <c r="X65" s="242"/>
      <c r="Y65" s="242"/>
      <c r="Z65" s="242"/>
    </row>
    <row r="66">
      <c r="A66" s="340"/>
      <c r="B66" s="242"/>
      <c r="C66" s="242"/>
      <c r="D66" s="242"/>
      <c r="E66" s="13"/>
      <c r="F66" s="13"/>
      <c r="G66" s="13"/>
      <c r="H66" s="13"/>
      <c r="I66" s="13"/>
      <c r="J66" s="13"/>
      <c r="K66" s="13"/>
      <c r="L66" s="242"/>
      <c r="M66" s="242"/>
      <c r="N66" s="242"/>
      <c r="O66" s="242"/>
      <c r="P66" s="242"/>
      <c r="Q66" s="242"/>
      <c r="R66" s="242"/>
      <c r="S66" s="242"/>
      <c r="T66" s="242"/>
      <c r="U66" s="242"/>
      <c r="V66" s="242"/>
      <c r="W66" s="242"/>
      <c r="X66" s="242"/>
      <c r="Y66" s="242"/>
      <c r="Z66" s="242"/>
    </row>
    <row r="67">
      <c r="A67" s="340"/>
      <c r="B67" s="242"/>
      <c r="C67" s="242"/>
      <c r="D67" s="242"/>
      <c r="E67" s="13"/>
      <c r="F67" s="13"/>
      <c r="G67" s="13"/>
      <c r="H67" s="13"/>
      <c r="I67" s="13"/>
      <c r="J67" s="13"/>
      <c r="K67" s="13"/>
      <c r="L67" s="242"/>
      <c r="M67" s="242"/>
      <c r="N67" s="242"/>
      <c r="O67" s="242"/>
      <c r="P67" s="242"/>
      <c r="Q67" s="242"/>
      <c r="R67" s="242"/>
      <c r="S67" s="242"/>
      <c r="T67" s="242"/>
      <c r="U67" s="242"/>
      <c r="V67" s="242"/>
      <c r="W67" s="242"/>
      <c r="X67" s="242"/>
      <c r="Y67" s="242"/>
      <c r="Z67" s="242"/>
    </row>
    <row r="68">
      <c r="A68" s="340"/>
      <c r="B68" s="242"/>
      <c r="C68" s="242"/>
      <c r="D68" s="242"/>
      <c r="E68" s="13"/>
      <c r="F68" s="13"/>
      <c r="G68" s="13"/>
      <c r="H68" s="13"/>
      <c r="I68" s="13"/>
      <c r="J68" s="13"/>
      <c r="K68" s="13"/>
      <c r="L68" s="242"/>
      <c r="M68" s="242"/>
      <c r="N68" s="242"/>
      <c r="O68" s="242"/>
      <c r="P68" s="242"/>
      <c r="Q68" s="242"/>
      <c r="R68" s="242"/>
      <c r="S68" s="242"/>
      <c r="T68" s="242"/>
      <c r="U68" s="242"/>
      <c r="V68" s="242"/>
      <c r="W68" s="242"/>
      <c r="X68" s="242"/>
      <c r="Y68" s="242"/>
      <c r="Z68" s="242"/>
    </row>
    <row r="69">
      <c r="A69" s="340"/>
      <c r="B69" s="242"/>
      <c r="C69" s="242"/>
      <c r="D69" s="242"/>
      <c r="E69" s="13"/>
      <c r="F69" s="13"/>
      <c r="G69" s="13"/>
      <c r="H69" s="13"/>
      <c r="I69" s="13"/>
      <c r="J69" s="13"/>
      <c r="K69" s="13"/>
      <c r="L69" s="242"/>
      <c r="M69" s="242"/>
      <c r="N69" s="242"/>
      <c r="O69" s="242"/>
      <c r="P69" s="242"/>
      <c r="Q69" s="242"/>
      <c r="R69" s="242"/>
      <c r="S69" s="242"/>
      <c r="T69" s="242"/>
      <c r="U69" s="242"/>
      <c r="V69" s="242"/>
      <c r="W69" s="242"/>
      <c r="X69" s="242"/>
      <c r="Y69" s="242"/>
      <c r="Z69" s="242"/>
    </row>
    <row r="70">
      <c r="A70" s="340"/>
      <c r="B70" s="242"/>
      <c r="C70" s="242"/>
      <c r="D70" s="242"/>
      <c r="E70" s="13"/>
      <c r="F70" s="13"/>
      <c r="G70" s="13"/>
      <c r="H70" s="13"/>
      <c r="I70" s="13"/>
      <c r="J70" s="13"/>
      <c r="K70" s="13"/>
      <c r="L70" s="242"/>
      <c r="M70" s="242"/>
      <c r="N70" s="242"/>
      <c r="O70" s="242"/>
      <c r="P70" s="242"/>
      <c r="Q70" s="242"/>
      <c r="R70" s="242"/>
      <c r="S70" s="242"/>
      <c r="T70" s="242"/>
      <c r="U70" s="242"/>
      <c r="V70" s="242"/>
      <c r="W70" s="242"/>
      <c r="X70" s="242"/>
      <c r="Y70" s="242"/>
      <c r="Z70" s="242"/>
    </row>
    <row r="71">
      <c r="A71" s="340"/>
      <c r="B71" s="242"/>
      <c r="C71" s="242"/>
      <c r="D71" s="242"/>
      <c r="E71" s="13"/>
      <c r="F71" s="13"/>
      <c r="G71" s="13"/>
      <c r="H71" s="13"/>
      <c r="I71" s="13"/>
      <c r="J71" s="13"/>
      <c r="K71" s="13"/>
      <c r="L71" s="242"/>
      <c r="M71" s="242"/>
      <c r="N71" s="242"/>
      <c r="O71" s="242"/>
      <c r="P71" s="242"/>
      <c r="Q71" s="242"/>
      <c r="R71" s="242"/>
      <c r="S71" s="242"/>
      <c r="T71" s="242"/>
      <c r="U71" s="242"/>
      <c r="V71" s="242"/>
      <c r="W71" s="242"/>
      <c r="X71" s="242"/>
      <c r="Y71" s="242"/>
      <c r="Z71" s="242"/>
    </row>
    <row r="72">
      <c r="A72" s="340"/>
      <c r="B72" s="242"/>
      <c r="C72" s="242"/>
      <c r="D72" s="242"/>
      <c r="E72" s="13"/>
      <c r="F72" s="13"/>
      <c r="G72" s="13"/>
      <c r="H72" s="13"/>
      <c r="I72" s="13"/>
      <c r="J72" s="13"/>
      <c r="K72" s="13"/>
      <c r="L72" s="242"/>
      <c r="M72" s="242"/>
      <c r="N72" s="242"/>
      <c r="O72" s="242"/>
      <c r="P72" s="242"/>
      <c r="Q72" s="242"/>
      <c r="R72" s="242"/>
      <c r="S72" s="242"/>
      <c r="T72" s="242"/>
      <c r="U72" s="242"/>
      <c r="V72" s="242"/>
      <c r="W72" s="242"/>
      <c r="X72" s="242"/>
      <c r="Y72" s="242"/>
      <c r="Z72" s="242"/>
    </row>
    <row r="73">
      <c r="A73" s="340"/>
      <c r="B73" s="242"/>
      <c r="C73" s="242"/>
      <c r="D73" s="242"/>
      <c r="E73" s="13"/>
      <c r="F73" s="13"/>
      <c r="G73" s="13"/>
      <c r="H73" s="13"/>
      <c r="I73" s="13"/>
      <c r="J73" s="13"/>
      <c r="K73" s="13"/>
      <c r="L73" s="242"/>
      <c r="M73" s="242"/>
      <c r="N73" s="242"/>
      <c r="O73" s="242"/>
      <c r="P73" s="242"/>
      <c r="Q73" s="242"/>
      <c r="R73" s="242"/>
      <c r="S73" s="242"/>
      <c r="T73" s="242"/>
      <c r="U73" s="242"/>
      <c r="V73" s="242"/>
      <c r="W73" s="242"/>
      <c r="X73" s="242"/>
      <c r="Y73" s="242"/>
      <c r="Z73" s="242"/>
    </row>
    <row r="74">
      <c r="A74" s="340"/>
      <c r="B74" s="242"/>
      <c r="C74" s="242"/>
      <c r="D74" s="242"/>
      <c r="E74" s="13"/>
      <c r="F74" s="13"/>
      <c r="G74" s="13"/>
      <c r="H74" s="13"/>
      <c r="I74" s="13"/>
      <c r="J74" s="13"/>
      <c r="K74" s="13"/>
      <c r="L74" s="242"/>
      <c r="M74" s="242"/>
      <c r="N74" s="242"/>
      <c r="O74" s="242"/>
      <c r="P74" s="242"/>
      <c r="Q74" s="242"/>
      <c r="R74" s="242"/>
      <c r="S74" s="242"/>
      <c r="T74" s="242"/>
      <c r="U74" s="242"/>
      <c r="V74" s="242"/>
      <c r="W74" s="242"/>
      <c r="X74" s="242"/>
      <c r="Y74" s="242"/>
      <c r="Z74" s="242"/>
    </row>
    <row r="75">
      <c r="A75" s="340"/>
      <c r="B75" s="242"/>
      <c r="C75" s="242"/>
      <c r="D75" s="242"/>
      <c r="E75" s="13"/>
      <c r="F75" s="13"/>
      <c r="G75" s="13"/>
      <c r="H75" s="13"/>
      <c r="I75" s="13"/>
      <c r="J75" s="13"/>
      <c r="K75" s="13"/>
      <c r="L75" s="242"/>
      <c r="M75" s="242"/>
      <c r="N75" s="242"/>
      <c r="O75" s="242"/>
      <c r="P75" s="242"/>
      <c r="Q75" s="242"/>
      <c r="R75" s="242"/>
      <c r="S75" s="242"/>
      <c r="T75" s="242"/>
      <c r="U75" s="242"/>
      <c r="V75" s="242"/>
      <c r="W75" s="242"/>
      <c r="X75" s="242"/>
      <c r="Y75" s="242"/>
      <c r="Z75" s="242"/>
    </row>
    <row r="76">
      <c r="A76" s="340"/>
      <c r="B76" s="242"/>
      <c r="C76" s="242"/>
      <c r="D76" s="242"/>
      <c r="E76" s="13"/>
      <c r="F76" s="13"/>
      <c r="G76" s="13"/>
      <c r="H76" s="13"/>
      <c r="I76" s="13"/>
      <c r="J76" s="13"/>
      <c r="K76" s="13"/>
      <c r="L76" s="242"/>
      <c r="M76" s="242"/>
      <c r="N76" s="242"/>
      <c r="O76" s="242"/>
      <c r="P76" s="242"/>
      <c r="Q76" s="242"/>
      <c r="R76" s="242"/>
      <c r="S76" s="242"/>
      <c r="T76" s="242"/>
      <c r="U76" s="242"/>
      <c r="V76" s="242"/>
      <c r="W76" s="242"/>
      <c r="X76" s="242"/>
      <c r="Y76" s="242"/>
      <c r="Z76" s="242"/>
    </row>
    <row r="77">
      <c r="A77" s="340"/>
      <c r="B77" s="242"/>
      <c r="C77" s="242"/>
      <c r="D77" s="242"/>
      <c r="E77" s="13"/>
      <c r="F77" s="13"/>
      <c r="G77" s="13"/>
      <c r="H77" s="13"/>
      <c r="I77" s="13"/>
      <c r="J77" s="13"/>
      <c r="K77" s="13"/>
      <c r="L77" s="242"/>
      <c r="M77" s="242"/>
      <c r="N77" s="242"/>
      <c r="O77" s="242"/>
      <c r="P77" s="242"/>
      <c r="Q77" s="242"/>
      <c r="R77" s="242"/>
      <c r="S77" s="242"/>
      <c r="T77" s="242"/>
      <c r="U77" s="242"/>
      <c r="V77" s="242"/>
      <c r="W77" s="242"/>
      <c r="X77" s="242"/>
      <c r="Y77" s="242"/>
      <c r="Z77" s="242"/>
    </row>
    <row r="78">
      <c r="A78" s="340"/>
      <c r="B78" s="242"/>
      <c r="C78" s="242"/>
      <c r="D78" s="242"/>
      <c r="E78" s="13"/>
      <c r="F78" s="13"/>
      <c r="G78" s="13"/>
      <c r="H78" s="13"/>
      <c r="I78" s="13"/>
      <c r="J78" s="13"/>
      <c r="K78" s="13"/>
      <c r="L78" s="242"/>
      <c r="M78" s="242"/>
      <c r="N78" s="242"/>
      <c r="O78" s="242"/>
      <c r="P78" s="242"/>
      <c r="Q78" s="242"/>
      <c r="R78" s="242"/>
      <c r="S78" s="242"/>
      <c r="T78" s="242"/>
      <c r="U78" s="242"/>
      <c r="V78" s="242"/>
      <c r="W78" s="242"/>
      <c r="X78" s="242"/>
      <c r="Y78" s="242"/>
      <c r="Z78" s="242"/>
    </row>
    <row r="79">
      <c r="A79" s="340"/>
      <c r="B79" s="242"/>
      <c r="C79" s="242"/>
      <c r="D79" s="242"/>
      <c r="E79" s="13"/>
      <c r="F79" s="13"/>
      <c r="G79" s="13"/>
      <c r="H79" s="13"/>
      <c r="I79" s="13"/>
      <c r="J79" s="13"/>
      <c r="K79" s="13"/>
      <c r="L79" s="242"/>
      <c r="M79" s="242"/>
      <c r="N79" s="242"/>
      <c r="O79" s="242"/>
      <c r="P79" s="242"/>
      <c r="Q79" s="242"/>
      <c r="R79" s="242"/>
      <c r="S79" s="242"/>
      <c r="T79" s="242"/>
      <c r="U79" s="242"/>
      <c r="V79" s="242"/>
      <c r="W79" s="242"/>
      <c r="X79" s="242"/>
      <c r="Y79" s="242"/>
      <c r="Z79" s="242"/>
    </row>
    <row r="80">
      <c r="A80" s="340"/>
      <c r="B80" s="242"/>
      <c r="C80" s="242"/>
      <c r="D80" s="242"/>
      <c r="E80" s="13"/>
      <c r="F80" s="13"/>
      <c r="G80" s="13"/>
      <c r="H80" s="13"/>
      <c r="I80" s="13"/>
      <c r="J80" s="13"/>
      <c r="K80" s="13"/>
      <c r="L80" s="242"/>
      <c r="M80" s="242"/>
      <c r="N80" s="242"/>
      <c r="O80" s="242"/>
      <c r="P80" s="242"/>
      <c r="Q80" s="242"/>
      <c r="R80" s="242"/>
      <c r="S80" s="242"/>
      <c r="T80" s="242"/>
      <c r="U80" s="242"/>
      <c r="V80" s="242"/>
      <c r="W80" s="242"/>
      <c r="X80" s="242"/>
      <c r="Y80" s="242"/>
      <c r="Z80" s="242"/>
    </row>
    <row r="81">
      <c r="A81" s="340"/>
      <c r="B81" s="242"/>
      <c r="C81" s="242"/>
      <c r="D81" s="242"/>
      <c r="E81" s="13"/>
      <c r="F81" s="13"/>
      <c r="G81" s="13"/>
      <c r="H81" s="13"/>
      <c r="I81" s="13"/>
      <c r="J81" s="13"/>
      <c r="K81" s="13"/>
      <c r="L81" s="242"/>
      <c r="M81" s="242"/>
      <c r="N81" s="242"/>
      <c r="O81" s="242"/>
      <c r="P81" s="242"/>
      <c r="Q81" s="242"/>
      <c r="R81" s="242"/>
      <c r="S81" s="242"/>
      <c r="T81" s="242"/>
      <c r="U81" s="242"/>
      <c r="V81" s="242"/>
      <c r="W81" s="242"/>
      <c r="X81" s="242"/>
      <c r="Y81" s="242"/>
      <c r="Z81" s="242"/>
    </row>
    <row r="82">
      <c r="A82" s="340"/>
      <c r="B82" s="242"/>
      <c r="C82" s="242"/>
      <c r="D82" s="242"/>
      <c r="E82" s="13"/>
      <c r="F82" s="13"/>
      <c r="G82" s="13"/>
      <c r="H82" s="13"/>
      <c r="I82" s="13"/>
      <c r="J82" s="13"/>
      <c r="K82" s="13"/>
      <c r="L82" s="242"/>
      <c r="M82" s="242"/>
      <c r="N82" s="242"/>
      <c r="O82" s="242"/>
      <c r="P82" s="242"/>
      <c r="Q82" s="242"/>
      <c r="R82" s="242"/>
      <c r="S82" s="242"/>
      <c r="T82" s="242"/>
      <c r="U82" s="242"/>
      <c r="V82" s="242"/>
      <c r="W82" s="242"/>
      <c r="X82" s="242"/>
      <c r="Y82" s="242"/>
      <c r="Z82" s="242"/>
    </row>
    <row r="83">
      <c r="A83" s="340"/>
      <c r="B83" s="242"/>
      <c r="C83" s="242"/>
      <c r="D83" s="242"/>
      <c r="E83" s="13"/>
      <c r="F83" s="13"/>
      <c r="G83" s="13"/>
      <c r="H83" s="13"/>
      <c r="I83" s="13"/>
      <c r="J83" s="13"/>
      <c r="K83" s="13"/>
      <c r="L83" s="242"/>
      <c r="M83" s="242"/>
      <c r="N83" s="242"/>
      <c r="O83" s="242"/>
      <c r="P83" s="242"/>
      <c r="Q83" s="242"/>
      <c r="R83" s="242"/>
      <c r="S83" s="242"/>
      <c r="T83" s="242"/>
      <c r="U83" s="242"/>
      <c r="V83" s="242"/>
      <c r="W83" s="242"/>
      <c r="X83" s="242"/>
      <c r="Y83" s="242"/>
      <c r="Z83" s="242"/>
    </row>
    <row r="84">
      <c r="A84" s="340"/>
      <c r="B84" s="242"/>
      <c r="C84" s="242"/>
      <c r="D84" s="242"/>
      <c r="E84" s="13"/>
      <c r="F84" s="13"/>
      <c r="G84" s="13"/>
      <c r="H84" s="13"/>
      <c r="I84" s="13"/>
      <c r="J84" s="13"/>
      <c r="K84" s="13"/>
      <c r="L84" s="242"/>
      <c r="M84" s="242"/>
      <c r="N84" s="242"/>
      <c r="O84" s="242"/>
      <c r="P84" s="242"/>
      <c r="Q84" s="242"/>
      <c r="R84" s="242"/>
      <c r="S84" s="242"/>
      <c r="T84" s="242"/>
      <c r="U84" s="242"/>
      <c r="V84" s="242"/>
      <c r="W84" s="242"/>
      <c r="X84" s="242"/>
      <c r="Y84" s="242"/>
      <c r="Z84" s="242"/>
    </row>
    <row r="85">
      <c r="A85" s="340"/>
      <c r="B85" s="242"/>
      <c r="C85" s="242"/>
      <c r="D85" s="242"/>
      <c r="E85" s="13"/>
      <c r="F85" s="13"/>
      <c r="G85" s="13"/>
      <c r="H85" s="13"/>
      <c r="I85" s="13"/>
      <c r="J85" s="13"/>
      <c r="K85" s="13"/>
      <c r="L85" s="242"/>
      <c r="M85" s="242"/>
      <c r="N85" s="242"/>
      <c r="O85" s="242"/>
      <c r="P85" s="242"/>
      <c r="Q85" s="242"/>
      <c r="R85" s="242"/>
      <c r="S85" s="242"/>
      <c r="T85" s="242"/>
      <c r="U85" s="242"/>
      <c r="V85" s="242"/>
      <c r="W85" s="242"/>
      <c r="X85" s="242"/>
      <c r="Y85" s="242"/>
      <c r="Z85" s="242"/>
    </row>
    <row r="86">
      <c r="A86" s="340"/>
      <c r="B86" s="242"/>
      <c r="C86" s="242"/>
      <c r="D86" s="242"/>
      <c r="E86" s="13"/>
      <c r="F86" s="13"/>
      <c r="G86" s="13"/>
      <c r="H86" s="13"/>
      <c r="I86" s="13"/>
      <c r="J86" s="13"/>
      <c r="K86" s="13"/>
      <c r="L86" s="242"/>
      <c r="M86" s="242"/>
      <c r="N86" s="242"/>
      <c r="O86" s="242"/>
      <c r="P86" s="242"/>
      <c r="Q86" s="242"/>
      <c r="R86" s="242"/>
      <c r="S86" s="242"/>
      <c r="T86" s="242"/>
      <c r="U86" s="242"/>
      <c r="V86" s="242"/>
      <c r="W86" s="242"/>
      <c r="X86" s="242"/>
      <c r="Y86" s="242"/>
      <c r="Z86" s="242"/>
    </row>
    <row r="87">
      <c r="A87" s="340"/>
      <c r="B87" s="242"/>
      <c r="C87" s="242"/>
      <c r="D87" s="242"/>
      <c r="E87" s="13"/>
      <c r="F87" s="13"/>
      <c r="G87" s="13"/>
      <c r="H87" s="13"/>
      <c r="I87" s="13"/>
      <c r="J87" s="13"/>
      <c r="K87" s="13"/>
      <c r="L87" s="242"/>
      <c r="M87" s="242"/>
      <c r="N87" s="242"/>
      <c r="O87" s="242"/>
      <c r="P87" s="242"/>
      <c r="Q87" s="242"/>
      <c r="R87" s="242"/>
      <c r="S87" s="242"/>
      <c r="T87" s="242"/>
      <c r="U87" s="242"/>
      <c r="V87" s="242"/>
      <c r="W87" s="242"/>
      <c r="X87" s="242"/>
      <c r="Y87" s="242"/>
      <c r="Z87" s="242"/>
    </row>
    <row r="88">
      <c r="A88" s="340"/>
      <c r="B88" s="242"/>
      <c r="C88" s="242"/>
      <c r="D88" s="242"/>
      <c r="E88" s="13"/>
      <c r="F88" s="13"/>
      <c r="G88" s="13"/>
      <c r="H88" s="13"/>
      <c r="I88" s="13"/>
      <c r="J88" s="13"/>
      <c r="K88" s="13"/>
      <c r="L88" s="242"/>
      <c r="M88" s="242"/>
      <c r="N88" s="242"/>
      <c r="O88" s="242"/>
      <c r="P88" s="242"/>
      <c r="Q88" s="242"/>
      <c r="R88" s="242"/>
      <c r="S88" s="242"/>
      <c r="T88" s="242"/>
      <c r="U88" s="242"/>
      <c r="V88" s="242"/>
      <c r="W88" s="242"/>
      <c r="X88" s="242"/>
      <c r="Y88" s="242"/>
      <c r="Z88" s="242"/>
    </row>
    <row r="89">
      <c r="A89" s="340"/>
      <c r="B89" s="242"/>
      <c r="C89" s="242"/>
      <c r="D89" s="242"/>
      <c r="E89" s="13"/>
      <c r="F89" s="13"/>
      <c r="G89" s="13"/>
      <c r="H89" s="13"/>
      <c r="I89" s="13"/>
      <c r="J89" s="13"/>
      <c r="K89" s="13"/>
      <c r="L89" s="242"/>
      <c r="M89" s="242"/>
      <c r="N89" s="242"/>
      <c r="O89" s="242"/>
      <c r="P89" s="242"/>
      <c r="Q89" s="242"/>
      <c r="R89" s="242"/>
      <c r="S89" s="242"/>
      <c r="T89" s="242"/>
      <c r="U89" s="242"/>
      <c r="V89" s="242"/>
      <c r="W89" s="242"/>
      <c r="X89" s="242"/>
      <c r="Y89" s="242"/>
      <c r="Z89" s="242"/>
    </row>
    <row r="90">
      <c r="A90" s="340"/>
      <c r="B90" s="242"/>
      <c r="C90" s="242"/>
      <c r="D90" s="242"/>
      <c r="E90" s="13"/>
      <c r="F90" s="13"/>
      <c r="G90" s="13"/>
      <c r="H90" s="13"/>
      <c r="I90" s="13"/>
      <c r="J90" s="13"/>
      <c r="K90" s="13"/>
      <c r="L90" s="242"/>
      <c r="M90" s="242"/>
      <c r="N90" s="242"/>
      <c r="O90" s="242"/>
      <c r="P90" s="242"/>
      <c r="Q90" s="242"/>
      <c r="R90" s="242"/>
      <c r="S90" s="242"/>
      <c r="T90" s="242"/>
      <c r="U90" s="242"/>
      <c r="V90" s="242"/>
      <c r="W90" s="242"/>
      <c r="X90" s="242"/>
      <c r="Y90" s="242"/>
      <c r="Z90" s="242"/>
    </row>
    <row r="91">
      <c r="A91" s="340"/>
      <c r="B91" s="242"/>
      <c r="C91" s="242"/>
      <c r="D91" s="242"/>
      <c r="E91" s="13"/>
      <c r="F91" s="13"/>
      <c r="G91" s="13"/>
      <c r="H91" s="13"/>
      <c r="I91" s="13"/>
      <c r="J91" s="13"/>
      <c r="K91" s="13"/>
      <c r="L91" s="242"/>
      <c r="M91" s="242"/>
      <c r="N91" s="242"/>
      <c r="O91" s="242"/>
      <c r="P91" s="242"/>
      <c r="Q91" s="242"/>
      <c r="R91" s="242"/>
      <c r="S91" s="242"/>
      <c r="T91" s="242"/>
      <c r="U91" s="242"/>
      <c r="V91" s="242"/>
      <c r="W91" s="242"/>
      <c r="X91" s="242"/>
      <c r="Y91" s="242"/>
      <c r="Z91" s="242"/>
    </row>
    <row r="92">
      <c r="A92" s="340"/>
      <c r="B92" s="242"/>
      <c r="C92" s="242"/>
      <c r="D92" s="242"/>
      <c r="E92" s="13"/>
      <c r="F92" s="13"/>
      <c r="G92" s="13"/>
      <c r="H92" s="13"/>
      <c r="I92" s="13"/>
      <c r="J92" s="13"/>
      <c r="K92" s="13"/>
      <c r="L92" s="242"/>
      <c r="M92" s="242"/>
      <c r="N92" s="242"/>
      <c r="O92" s="242"/>
      <c r="P92" s="242"/>
      <c r="Q92" s="242"/>
      <c r="R92" s="242"/>
      <c r="S92" s="242"/>
      <c r="T92" s="242"/>
      <c r="U92" s="242"/>
      <c r="V92" s="242"/>
      <c r="W92" s="242"/>
      <c r="X92" s="242"/>
      <c r="Y92" s="242"/>
      <c r="Z92" s="242"/>
    </row>
    <row r="93">
      <c r="A93" s="340"/>
      <c r="B93" s="242"/>
      <c r="C93" s="242"/>
      <c r="D93" s="242"/>
      <c r="E93" s="13"/>
      <c r="F93" s="13"/>
      <c r="G93" s="13"/>
      <c r="H93" s="13"/>
      <c r="I93" s="13"/>
      <c r="J93" s="13"/>
      <c r="K93" s="13"/>
      <c r="L93" s="242"/>
      <c r="M93" s="242"/>
      <c r="N93" s="242"/>
      <c r="O93" s="242"/>
      <c r="P93" s="242"/>
      <c r="Q93" s="242"/>
      <c r="R93" s="242"/>
      <c r="S93" s="242"/>
      <c r="T93" s="242"/>
      <c r="U93" s="242"/>
      <c r="V93" s="242"/>
      <c r="W93" s="242"/>
      <c r="X93" s="242"/>
      <c r="Y93" s="242"/>
      <c r="Z93" s="242"/>
    </row>
    <row r="94">
      <c r="A94" s="340"/>
      <c r="B94" s="242"/>
      <c r="C94" s="242"/>
      <c r="D94" s="242"/>
      <c r="E94" s="13"/>
      <c r="F94" s="13"/>
      <c r="G94" s="13"/>
      <c r="H94" s="13"/>
      <c r="I94" s="13"/>
      <c r="J94" s="13"/>
      <c r="K94" s="13"/>
      <c r="L94" s="242"/>
      <c r="M94" s="242"/>
      <c r="N94" s="242"/>
      <c r="O94" s="242"/>
      <c r="P94" s="242"/>
      <c r="Q94" s="242"/>
      <c r="R94" s="242"/>
      <c r="S94" s="242"/>
      <c r="T94" s="242"/>
      <c r="U94" s="242"/>
      <c r="V94" s="242"/>
      <c r="W94" s="242"/>
      <c r="X94" s="242"/>
      <c r="Y94" s="242"/>
      <c r="Z94" s="242"/>
    </row>
    <row r="95">
      <c r="A95" s="340"/>
      <c r="B95" s="242"/>
      <c r="C95" s="242"/>
      <c r="D95" s="242"/>
      <c r="E95" s="13"/>
      <c r="F95" s="13"/>
      <c r="G95" s="13"/>
      <c r="H95" s="13"/>
      <c r="I95" s="13"/>
      <c r="J95" s="13"/>
      <c r="K95" s="13"/>
      <c r="L95" s="242"/>
      <c r="M95" s="242"/>
      <c r="N95" s="242"/>
      <c r="O95" s="242"/>
      <c r="P95" s="242"/>
      <c r="Q95" s="242"/>
      <c r="R95" s="242"/>
      <c r="S95" s="242"/>
      <c r="T95" s="242"/>
      <c r="U95" s="242"/>
      <c r="V95" s="242"/>
      <c r="W95" s="242"/>
      <c r="X95" s="242"/>
      <c r="Y95" s="242"/>
      <c r="Z95" s="242"/>
    </row>
    <row r="96">
      <c r="A96" s="340"/>
      <c r="B96" s="242"/>
      <c r="C96" s="242"/>
      <c r="D96" s="242"/>
      <c r="E96" s="13"/>
      <c r="F96" s="13"/>
      <c r="G96" s="13"/>
      <c r="H96" s="13"/>
      <c r="I96" s="13"/>
      <c r="J96" s="13"/>
      <c r="K96" s="13"/>
      <c r="L96" s="242"/>
      <c r="M96" s="242"/>
      <c r="N96" s="242"/>
      <c r="O96" s="242"/>
      <c r="P96" s="242"/>
      <c r="Q96" s="242"/>
      <c r="R96" s="242"/>
      <c r="S96" s="242"/>
      <c r="T96" s="242"/>
      <c r="U96" s="242"/>
      <c r="V96" s="242"/>
      <c r="W96" s="242"/>
      <c r="X96" s="242"/>
      <c r="Y96" s="242"/>
      <c r="Z96" s="242"/>
    </row>
    <row r="97">
      <c r="A97" s="340"/>
      <c r="B97" s="242"/>
      <c r="C97" s="242"/>
      <c r="D97" s="242"/>
      <c r="E97" s="13"/>
      <c r="F97" s="13"/>
      <c r="G97" s="13"/>
      <c r="H97" s="13"/>
      <c r="I97" s="13"/>
      <c r="J97" s="13"/>
      <c r="K97" s="13"/>
      <c r="L97" s="242"/>
      <c r="M97" s="242"/>
      <c r="N97" s="242"/>
      <c r="O97" s="242"/>
      <c r="P97" s="242"/>
      <c r="Q97" s="242"/>
      <c r="R97" s="242"/>
      <c r="S97" s="242"/>
      <c r="T97" s="242"/>
      <c r="U97" s="242"/>
      <c r="V97" s="242"/>
      <c r="W97" s="242"/>
      <c r="X97" s="242"/>
      <c r="Y97" s="242"/>
      <c r="Z97" s="242"/>
    </row>
    <row r="98">
      <c r="A98" s="340"/>
      <c r="B98" s="242"/>
      <c r="C98" s="242"/>
      <c r="D98" s="242"/>
      <c r="E98" s="13"/>
      <c r="F98" s="13"/>
      <c r="G98" s="13"/>
      <c r="H98" s="13"/>
      <c r="I98" s="13"/>
      <c r="J98" s="13"/>
      <c r="K98" s="13"/>
      <c r="L98" s="242"/>
      <c r="M98" s="242"/>
      <c r="N98" s="242"/>
      <c r="O98" s="242"/>
      <c r="P98" s="242"/>
      <c r="Q98" s="242"/>
      <c r="R98" s="242"/>
      <c r="S98" s="242"/>
      <c r="T98" s="242"/>
      <c r="U98" s="242"/>
      <c r="V98" s="242"/>
      <c r="W98" s="242"/>
      <c r="X98" s="242"/>
      <c r="Y98" s="242"/>
      <c r="Z98" s="242"/>
    </row>
    <row r="99">
      <c r="A99" s="340"/>
      <c r="B99" s="242"/>
      <c r="C99" s="242"/>
      <c r="D99" s="242"/>
      <c r="E99" s="13"/>
      <c r="F99" s="13"/>
      <c r="G99" s="13"/>
      <c r="H99" s="13"/>
      <c r="I99" s="13"/>
      <c r="J99" s="13"/>
      <c r="K99" s="13"/>
      <c r="L99" s="242"/>
      <c r="M99" s="242"/>
      <c r="N99" s="242"/>
      <c r="O99" s="242"/>
      <c r="P99" s="242"/>
      <c r="Q99" s="242"/>
      <c r="R99" s="242"/>
      <c r="S99" s="242"/>
      <c r="T99" s="242"/>
      <c r="U99" s="242"/>
      <c r="V99" s="242"/>
      <c r="W99" s="242"/>
      <c r="X99" s="242"/>
      <c r="Y99" s="242"/>
      <c r="Z99" s="242"/>
    </row>
    <row r="100">
      <c r="A100" s="340"/>
      <c r="B100" s="242"/>
      <c r="C100" s="242"/>
      <c r="D100" s="242"/>
      <c r="E100" s="13"/>
      <c r="F100" s="13"/>
      <c r="G100" s="13"/>
      <c r="H100" s="13"/>
      <c r="I100" s="13"/>
      <c r="J100" s="13"/>
      <c r="K100" s="13"/>
      <c r="L100" s="242"/>
      <c r="M100" s="242"/>
      <c r="N100" s="242"/>
      <c r="O100" s="242"/>
      <c r="P100" s="242"/>
      <c r="Q100" s="242"/>
      <c r="R100" s="242"/>
      <c r="S100" s="242"/>
      <c r="T100" s="242"/>
      <c r="U100" s="242"/>
      <c r="V100" s="242"/>
      <c r="W100" s="242"/>
      <c r="X100" s="242"/>
      <c r="Y100" s="242"/>
      <c r="Z100" s="242"/>
    </row>
    <row r="101">
      <c r="A101" s="340"/>
      <c r="B101" s="242"/>
      <c r="C101" s="242"/>
      <c r="D101" s="242"/>
      <c r="E101" s="13"/>
      <c r="F101" s="13"/>
      <c r="G101" s="13"/>
      <c r="H101" s="13"/>
      <c r="I101" s="13"/>
      <c r="J101" s="13"/>
      <c r="K101" s="13"/>
      <c r="L101" s="242"/>
      <c r="M101" s="242"/>
      <c r="N101" s="242"/>
      <c r="O101" s="242"/>
      <c r="P101" s="242"/>
      <c r="Q101" s="242"/>
      <c r="R101" s="242"/>
      <c r="S101" s="242"/>
      <c r="T101" s="242"/>
      <c r="U101" s="242"/>
      <c r="V101" s="242"/>
      <c r="W101" s="242"/>
      <c r="X101" s="242"/>
      <c r="Y101" s="242"/>
      <c r="Z101" s="242"/>
    </row>
    <row r="102">
      <c r="A102" s="340"/>
      <c r="B102" s="242"/>
      <c r="C102" s="242"/>
      <c r="D102" s="242"/>
      <c r="E102" s="13"/>
      <c r="F102" s="13"/>
      <c r="G102" s="13"/>
      <c r="H102" s="13"/>
      <c r="I102" s="13"/>
      <c r="J102" s="13"/>
      <c r="K102" s="13"/>
      <c r="L102" s="242"/>
      <c r="M102" s="242"/>
      <c r="N102" s="242"/>
      <c r="O102" s="242"/>
      <c r="P102" s="242"/>
      <c r="Q102" s="242"/>
      <c r="R102" s="242"/>
      <c r="S102" s="242"/>
      <c r="T102" s="242"/>
      <c r="U102" s="242"/>
      <c r="V102" s="242"/>
      <c r="W102" s="242"/>
      <c r="X102" s="242"/>
      <c r="Y102" s="242"/>
      <c r="Z102" s="242"/>
    </row>
    <row r="103">
      <c r="A103" s="340"/>
      <c r="B103" s="242"/>
      <c r="C103" s="242"/>
      <c r="D103" s="242"/>
      <c r="E103" s="13"/>
      <c r="F103" s="13"/>
      <c r="G103" s="13"/>
      <c r="H103" s="13"/>
      <c r="I103" s="13"/>
      <c r="J103" s="13"/>
      <c r="K103" s="13"/>
      <c r="L103" s="242"/>
      <c r="M103" s="242"/>
      <c r="N103" s="242"/>
      <c r="O103" s="242"/>
      <c r="P103" s="242"/>
      <c r="Q103" s="242"/>
      <c r="R103" s="242"/>
      <c r="S103" s="242"/>
      <c r="T103" s="242"/>
      <c r="U103" s="242"/>
      <c r="V103" s="242"/>
      <c r="W103" s="242"/>
      <c r="X103" s="242"/>
      <c r="Y103" s="242"/>
      <c r="Z103" s="242"/>
    </row>
    <row r="104">
      <c r="A104" s="340"/>
      <c r="B104" s="242"/>
      <c r="C104" s="242"/>
      <c r="D104" s="242"/>
      <c r="E104" s="13"/>
      <c r="F104" s="13"/>
      <c r="G104" s="13"/>
      <c r="H104" s="13"/>
      <c r="I104" s="13"/>
      <c r="J104" s="13"/>
      <c r="K104" s="13"/>
      <c r="L104" s="242"/>
      <c r="M104" s="242"/>
      <c r="N104" s="242"/>
      <c r="O104" s="242"/>
      <c r="P104" s="242"/>
      <c r="Q104" s="242"/>
      <c r="R104" s="242"/>
      <c r="S104" s="242"/>
      <c r="T104" s="242"/>
      <c r="U104" s="242"/>
      <c r="V104" s="242"/>
      <c r="W104" s="242"/>
      <c r="X104" s="242"/>
      <c r="Y104" s="242"/>
      <c r="Z104" s="242"/>
    </row>
    <row r="105">
      <c r="A105" s="340"/>
      <c r="B105" s="242"/>
      <c r="C105" s="242"/>
      <c r="D105" s="242"/>
      <c r="E105" s="13"/>
      <c r="F105" s="13"/>
      <c r="G105" s="13"/>
      <c r="H105" s="13"/>
      <c r="I105" s="13"/>
      <c r="J105" s="13"/>
      <c r="K105" s="13"/>
      <c r="L105" s="242"/>
      <c r="M105" s="242"/>
      <c r="N105" s="242"/>
      <c r="O105" s="242"/>
      <c r="P105" s="242"/>
      <c r="Q105" s="242"/>
      <c r="R105" s="242"/>
      <c r="S105" s="242"/>
      <c r="T105" s="242"/>
      <c r="U105" s="242"/>
      <c r="V105" s="242"/>
      <c r="W105" s="242"/>
      <c r="X105" s="242"/>
      <c r="Y105" s="242"/>
      <c r="Z105" s="242"/>
    </row>
    <row r="106">
      <c r="A106" s="340"/>
      <c r="B106" s="242"/>
      <c r="C106" s="242"/>
      <c r="D106" s="242"/>
      <c r="E106" s="13"/>
      <c r="F106" s="13"/>
      <c r="G106" s="13"/>
      <c r="H106" s="13"/>
      <c r="I106" s="13"/>
      <c r="J106" s="13"/>
      <c r="K106" s="13"/>
      <c r="L106" s="242"/>
      <c r="M106" s="242"/>
      <c r="N106" s="242"/>
      <c r="O106" s="242"/>
      <c r="P106" s="242"/>
      <c r="Q106" s="242"/>
      <c r="R106" s="242"/>
      <c r="S106" s="242"/>
      <c r="T106" s="242"/>
      <c r="U106" s="242"/>
      <c r="V106" s="242"/>
      <c r="W106" s="242"/>
      <c r="X106" s="242"/>
      <c r="Y106" s="242"/>
      <c r="Z106" s="242"/>
    </row>
    <row r="107">
      <c r="A107" s="340"/>
      <c r="B107" s="242"/>
      <c r="C107" s="242"/>
      <c r="D107" s="242"/>
      <c r="E107" s="13"/>
      <c r="F107" s="13"/>
      <c r="G107" s="13"/>
      <c r="H107" s="13"/>
      <c r="I107" s="13"/>
      <c r="J107" s="13"/>
      <c r="K107" s="13"/>
      <c r="L107" s="242"/>
      <c r="M107" s="242"/>
      <c r="N107" s="242"/>
      <c r="O107" s="242"/>
      <c r="P107" s="242"/>
      <c r="Q107" s="242"/>
      <c r="R107" s="242"/>
      <c r="S107" s="242"/>
      <c r="T107" s="242"/>
      <c r="U107" s="242"/>
      <c r="V107" s="242"/>
      <c r="W107" s="242"/>
      <c r="X107" s="242"/>
      <c r="Y107" s="242"/>
      <c r="Z107" s="242"/>
    </row>
    <row r="108">
      <c r="A108" s="340"/>
      <c r="B108" s="242"/>
      <c r="C108" s="242"/>
      <c r="D108" s="242"/>
      <c r="E108" s="13"/>
      <c r="F108" s="13"/>
      <c r="G108" s="13"/>
      <c r="H108" s="13"/>
      <c r="I108" s="13"/>
      <c r="J108" s="13"/>
      <c r="K108" s="13"/>
      <c r="L108" s="242"/>
      <c r="M108" s="242"/>
      <c r="N108" s="242"/>
      <c r="O108" s="242"/>
      <c r="P108" s="242"/>
      <c r="Q108" s="242"/>
      <c r="R108" s="242"/>
      <c r="S108" s="242"/>
      <c r="T108" s="242"/>
      <c r="U108" s="242"/>
      <c r="V108" s="242"/>
      <c r="W108" s="242"/>
      <c r="X108" s="242"/>
      <c r="Y108" s="242"/>
      <c r="Z108" s="242"/>
    </row>
    <row r="109">
      <c r="A109" s="340"/>
      <c r="B109" s="242"/>
      <c r="C109" s="242"/>
      <c r="D109" s="242"/>
      <c r="E109" s="13"/>
      <c r="F109" s="13"/>
      <c r="G109" s="13"/>
      <c r="H109" s="13"/>
      <c r="I109" s="13"/>
      <c r="J109" s="13"/>
      <c r="K109" s="13"/>
      <c r="L109" s="242"/>
      <c r="M109" s="242"/>
      <c r="N109" s="242"/>
      <c r="O109" s="242"/>
      <c r="P109" s="242"/>
      <c r="Q109" s="242"/>
      <c r="R109" s="242"/>
      <c r="S109" s="242"/>
      <c r="T109" s="242"/>
      <c r="U109" s="242"/>
      <c r="V109" s="242"/>
      <c r="W109" s="242"/>
      <c r="X109" s="242"/>
      <c r="Y109" s="242"/>
      <c r="Z109" s="242"/>
    </row>
    <row r="110">
      <c r="A110" s="340"/>
      <c r="B110" s="242"/>
      <c r="C110" s="242"/>
      <c r="D110" s="242"/>
      <c r="E110" s="13"/>
      <c r="F110" s="13"/>
      <c r="G110" s="13"/>
      <c r="H110" s="13"/>
      <c r="I110" s="13"/>
      <c r="J110" s="13"/>
      <c r="K110" s="13"/>
      <c r="L110" s="242"/>
      <c r="M110" s="242"/>
      <c r="N110" s="242"/>
      <c r="O110" s="242"/>
      <c r="P110" s="242"/>
      <c r="Q110" s="242"/>
      <c r="R110" s="242"/>
      <c r="S110" s="242"/>
      <c r="T110" s="242"/>
      <c r="U110" s="242"/>
      <c r="V110" s="242"/>
      <c r="W110" s="242"/>
      <c r="X110" s="242"/>
      <c r="Y110" s="242"/>
      <c r="Z110" s="242"/>
    </row>
    <row r="111">
      <c r="A111" s="340"/>
      <c r="B111" s="242"/>
      <c r="C111" s="242"/>
      <c r="D111" s="242"/>
      <c r="E111" s="13"/>
      <c r="F111" s="13"/>
      <c r="G111" s="13"/>
      <c r="H111" s="13"/>
      <c r="I111" s="13"/>
      <c r="J111" s="13"/>
      <c r="K111" s="13"/>
      <c r="L111" s="242"/>
      <c r="M111" s="242"/>
      <c r="N111" s="242"/>
      <c r="O111" s="242"/>
      <c r="P111" s="242"/>
      <c r="Q111" s="242"/>
      <c r="R111" s="242"/>
      <c r="S111" s="242"/>
      <c r="T111" s="242"/>
      <c r="U111" s="242"/>
      <c r="V111" s="242"/>
      <c r="W111" s="242"/>
      <c r="X111" s="242"/>
      <c r="Y111" s="242"/>
      <c r="Z111" s="242"/>
    </row>
    <row r="112">
      <c r="A112" s="340"/>
      <c r="B112" s="242"/>
      <c r="C112" s="242"/>
      <c r="D112" s="242"/>
      <c r="E112" s="13"/>
      <c r="F112" s="13"/>
      <c r="G112" s="13"/>
      <c r="H112" s="13"/>
      <c r="I112" s="13"/>
      <c r="J112" s="13"/>
      <c r="K112" s="13"/>
      <c r="L112" s="242"/>
      <c r="M112" s="242"/>
      <c r="N112" s="242"/>
      <c r="O112" s="242"/>
      <c r="P112" s="242"/>
      <c r="Q112" s="242"/>
      <c r="R112" s="242"/>
      <c r="S112" s="242"/>
      <c r="T112" s="242"/>
      <c r="U112" s="242"/>
      <c r="V112" s="242"/>
      <c r="W112" s="242"/>
      <c r="X112" s="242"/>
      <c r="Y112" s="242"/>
      <c r="Z112" s="242"/>
    </row>
    <row r="113">
      <c r="A113" s="340"/>
      <c r="B113" s="242"/>
      <c r="C113" s="242"/>
      <c r="D113" s="242"/>
      <c r="E113" s="13"/>
      <c r="F113" s="13"/>
      <c r="G113" s="13"/>
      <c r="H113" s="13"/>
      <c r="I113" s="13"/>
      <c r="J113" s="13"/>
      <c r="K113" s="13"/>
      <c r="L113" s="242"/>
      <c r="M113" s="242"/>
      <c r="N113" s="242"/>
      <c r="O113" s="242"/>
      <c r="P113" s="242"/>
      <c r="Q113" s="242"/>
      <c r="R113" s="242"/>
      <c r="S113" s="242"/>
      <c r="T113" s="242"/>
      <c r="U113" s="242"/>
      <c r="V113" s="242"/>
      <c r="W113" s="242"/>
      <c r="X113" s="242"/>
      <c r="Y113" s="242"/>
      <c r="Z113" s="242"/>
    </row>
    <row r="114">
      <c r="A114" s="340"/>
      <c r="B114" s="242"/>
      <c r="C114" s="242"/>
      <c r="D114" s="242"/>
      <c r="E114" s="13"/>
      <c r="F114" s="13"/>
      <c r="G114" s="13"/>
      <c r="H114" s="13"/>
      <c r="I114" s="13"/>
      <c r="J114" s="13"/>
      <c r="K114" s="13"/>
      <c r="L114" s="242"/>
      <c r="M114" s="242"/>
      <c r="N114" s="242"/>
      <c r="O114" s="242"/>
      <c r="P114" s="242"/>
      <c r="Q114" s="242"/>
      <c r="R114" s="242"/>
      <c r="S114" s="242"/>
      <c r="T114" s="242"/>
      <c r="U114" s="242"/>
      <c r="V114" s="242"/>
      <c r="W114" s="242"/>
      <c r="X114" s="242"/>
      <c r="Y114" s="242"/>
      <c r="Z114" s="242"/>
    </row>
    <row r="115">
      <c r="A115" s="340"/>
      <c r="B115" s="242"/>
      <c r="C115" s="242"/>
      <c r="D115" s="242"/>
      <c r="E115" s="13"/>
      <c r="F115" s="13"/>
      <c r="G115" s="13"/>
      <c r="H115" s="13"/>
      <c r="I115" s="13"/>
      <c r="J115" s="13"/>
      <c r="K115" s="13"/>
      <c r="L115" s="242"/>
      <c r="M115" s="242"/>
      <c r="N115" s="242"/>
      <c r="O115" s="242"/>
      <c r="P115" s="242"/>
      <c r="Q115" s="242"/>
      <c r="R115" s="242"/>
      <c r="S115" s="242"/>
      <c r="T115" s="242"/>
      <c r="U115" s="242"/>
      <c r="V115" s="242"/>
      <c r="W115" s="242"/>
      <c r="X115" s="242"/>
      <c r="Y115" s="242"/>
      <c r="Z115" s="242"/>
    </row>
    <row r="116">
      <c r="A116" s="340"/>
      <c r="B116" s="242"/>
      <c r="C116" s="242"/>
      <c r="D116" s="242"/>
      <c r="E116" s="13"/>
      <c r="F116" s="13"/>
      <c r="G116" s="13"/>
      <c r="H116" s="13"/>
      <c r="I116" s="13"/>
      <c r="J116" s="13"/>
      <c r="K116" s="13"/>
      <c r="L116" s="242"/>
      <c r="M116" s="242"/>
      <c r="N116" s="242"/>
      <c r="O116" s="242"/>
      <c r="P116" s="242"/>
      <c r="Q116" s="242"/>
      <c r="R116" s="242"/>
      <c r="S116" s="242"/>
      <c r="T116" s="242"/>
      <c r="U116" s="242"/>
      <c r="V116" s="242"/>
      <c r="W116" s="242"/>
      <c r="X116" s="242"/>
      <c r="Y116" s="242"/>
      <c r="Z116" s="242"/>
    </row>
    <row r="117">
      <c r="A117" s="340"/>
      <c r="B117" s="242"/>
      <c r="C117" s="242"/>
      <c r="D117" s="242"/>
      <c r="E117" s="13"/>
      <c r="F117" s="13"/>
      <c r="G117" s="13"/>
      <c r="H117" s="13"/>
      <c r="I117" s="13"/>
      <c r="J117" s="13"/>
      <c r="K117" s="13"/>
      <c r="L117" s="242"/>
      <c r="M117" s="242"/>
      <c r="N117" s="242"/>
      <c r="O117" s="242"/>
      <c r="P117" s="242"/>
      <c r="Q117" s="242"/>
      <c r="R117" s="242"/>
      <c r="S117" s="242"/>
      <c r="T117" s="242"/>
      <c r="U117" s="242"/>
      <c r="V117" s="242"/>
      <c r="W117" s="242"/>
      <c r="X117" s="242"/>
      <c r="Y117" s="242"/>
      <c r="Z117" s="242"/>
    </row>
    <row r="118">
      <c r="A118" s="340"/>
      <c r="B118" s="242"/>
      <c r="C118" s="242"/>
      <c r="D118" s="242"/>
      <c r="E118" s="13"/>
      <c r="F118" s="13"/>
      <c r="G118" s="13"/>
      <c r="H118" s="13"/>
      <c r="I118" s="13"/>
      <c r="J118" s="13"/>
      <c r="K118" s="13"/>
      <c r="L118" s="242"/>
      <c r="M118" s="242"/>
      <c r="N118" s="242"/>
      <c r="O118" s="242"/>
      <c r="P118" s="242"/>
      <c r="Q118" s="242"/>
      <c r="R118" s="242"/>
      <c r="S118" s="242"/>
      <c r="T118" s="242"/>
      <c r="U118" s="242"/>
      <c r="V118" s="242"/>
      <c r="W118" s="242"/>
      <c r="X118" s="242"/>
      <c r="Y118" s="242"/>
      <c r="Z118" s="242"/>
    </row>
    <row r="119">
      <c r="A119" s="340"/>
      <c r="B119" s="242"/>
      <c r="C119" s="242"/>
      <c r="D119" s="242"/>
      <c r="E119" s="13"/>
      <c r="F119" s="13"/>
      <c r="G119" s="13"/>
      <c r="H119" s="13"/>
      <c r="I119" s="13"/>
      <c r="J119" s="13"/>
      <c r="K119" s="13"/>
      <c r="L119" s="242"/>
      <c r="M119" s="242"/>
      <c r="N119" s="242"/>
      <c r="O119" s="242"/>
      <c r="P119" s="242"/>
      <c r="Q119" s="242"/>
      <c r="R119" s="242"/>
      <c r="S119" s="242"/>
      <c r="T119" s="242"/>
      <c r="U119" s="242"/>
      <c r="V119" s="242"/>
      <c r="W119" s="242"/>
      <c r="X119" s="242"/>
      <c r="Y119" s="242"/>
      <c r="Z119" s="242"/>
    </row>
    <row r="120">
      <c r="A120" s="340"/>
      <c r="B120" s="242"/>
      <c r="C120" s="242"/>
      <c r="D120" s="242"/>
      <c r="E120" s="13"/>
      <c r="F120" s="13"/>
      <c r="G120" s="13"/>
      <c r="H120" s="13"/>
      <c r="I120" s="13"/>
      <c r="J120" s="13"/>
      <c r="K120" s="13"/>
      <c r="L120" s="242"/>
      <c r="M120" s="242"/>
      <c r="N120" s="242"/>
      <c r="O120" s="242"/>
      <c r="P120" s="242"/>
      <c r="Q120" s="242"/>
      <c r="R120" s="242"/>
      <c r="S120" s="242"/>
      <c r="T120" s="242"/>
      <c r="U120" s="242"/>
      <c r="V120" s="242"/>
      <c r="W120" s="242"/>
      <c r="X120" s="242"/>
      <c r="Y120" s="242"/>
      <c r="Z120" s="242"/>
    </row>
    <row r="121">
      <c r="A121" s="340"/>
      <c r="B121" s="242"/>
      <c r="C121" s="242"/>
      <c r="D121" s="242"/>
      <c r="E121" s="13"/>
      <c r="F121" s="13"/>
      <c r="G121" s="13"/>
      <c r="H121" s="13"/>
      <c r="I121" s="13"/>
      <c r="J121" s="13"/>
      <c r="K121" s="13"/>
      <c r="L121" s="242"/>
      <c r="M121" s="242"/>
      <c r="N121" s="242"/>
      <c r="O121" s="242"/>
      <c r="P121" s="242"/>
      <c r="Q121" s="242"/>
      <c r="R121" s="242"/>
      <c r="S121" s="242"/>
      <c r="T121" s="242"/>
      <c r="U121" s="242"/>
      <c r="V121" s="242"/>
      <c r="W121" s="242"/>
      <c r="X121" s="242"/>
      <c r="Y121" s="242"/>
      <c r="Z121" s="242"/>
    </row>
    <row r="122">
      <c r="A122" s="340"/>
      <c r="B122" s="242"/>
      <c r="C122" s="242"/>
      <c r="D122" s="242"/>
      <c r="E122" s="13"/>
      <c r="F122" s="13"/>
      <c r="G122" s="13"/>
      <c r="H122" s="13"/>
      <c r="I122" s="13"/>
      <c r="J122" s="13"/>
      <c r="K122" s="13"/>
      <c r="L122" s="242"/>
      <c r="M122" s="242"/>
      <c r="N122" s="242"/>
      <c r="O122" s="242"/>
      <c r="P122" s="242"/>
      <c r="Q122" s="242"/>
      <c r="R122" s="242"/>
      <c r="S122" s="242"/>
      <c r="T122" s="242"/>
      <c r="U122" s="242"/>
      <c r="V122" s="242"/>
      <c r="W122" s="242"/>
      <c r="X122" s="242"/>
      <c r="Y122" s="242"/>
      <c r="Z122" s="242"/>
    </row>
    <row r="123">
      <c r="A123" s="340"/>
      <c r="B123" s="242"/>
      <c r="C123" s="242"/>
      <c r="D123" s="242"/>
      <c r="E123" s="13"/>
      <c r="F123" s="13"/>
      <c r="G123" s="13"/>
      <c r="H123" s="13"/>
      <c r="I123" s="13"/>
      <c r="J123" s="13"/>
      <c r="K123" s="13"/>
      <c r="L123" s="242"/>
      <c r="M123" s="242"/>
      <c r="N123" s="242"/>
      <c r="O123" s="242"/>
      <c r="P123" s="242"/>
      <c r="Q123" s="242"/>
      <c r="R123" s="242"/>
      <c r="S123" s="242"/>
      <c r="T123" s="242"/>
      <c r="U123" s="242"/>
      <c r="V123" s="242"/>
      <c r="W123" s="242"/>
      <c r="X123" s="242"/>
      <c r="Y123" s="242"/>
      <c r="Z123" s="242"/>
    </row>
    <row r="124">
      <c r="A124" s="340"/>
      <c r="B124" s="242"/>
      <c r="C124" s="242"/>
      <c r="D124" s="242"/>
      <c r="E124" s="13"/>
      <c r="F124" s="13"/>
      <c r="G124" s="13"/>
      <c r="H124" s="13"/>
      <c r="I124" s="13"/>
      <c r="J124" s="13"/>
      <c r="K124" s="13"/>
      <c r="L124" s="242"/>
      <c r="M124" s="242"/>
      <c r="N124" s="242"/>
      <c r="O124" s="242"/>
      <c r="P124" s="242"/>
      <c r="Q124" s="242"/>
      <c r="R124" s="242"/>
      <c r="S124" s="242"/>
      <c r="T124" s="242"/>
      <c r="U124" s="242"/>
      <c r="V124" s="242"/>
      <c r="W124" s="242"/>
      <c r="X124" s="242"/>
      <c r="Y124" s="242"/>
      <c r="Z124" s="242"/>
    </row>
    <row r="125">
      <c r="A125" s="340"/>
      <c r="B125" s="242"/>
      <c r="C125" s="242"/>
      <c r="D125" s="242"/>
      <c r="E125" s="13"/>
      <c r="F125" s="13"/>
      <c r="G125" s="13"/>
      <c r="H125" s="13"/>
      <c r="I125" s="13"/>
      <c r="J125" s="13"/>
      <c r="K125" s="13"/>
      <c r="L125" s="242"/>
      <c r="M125" s="242"/>
      <c r="N125" s="242"/>
      <c r="O125" s="242"/>
      <c r="P125" s="242"/>
      <c r="Q125" s="242"/>
      <c r="R125" s="242"/>
      <c r="S125" s="242"/>
      <c r="T125" s="242"/>
      <c r="U125" s="242"/>
      <c r="V125" s="242"/>
      <c r="W125" s="242"/>
      <c r="X125" s="242"/>
      <c r="Y125" s="242"/>
      <c r="Z125" s="242"/>
    </row>
    <row r="126">
      <c r="A126" s="340"/>
      <c r="B126" s="242"/>
      <c r="C126" s="242"/>
      <c r="D126" s="242"/>
      <c r="E126" s="13"/>
      <c r="F126" s="13"/>
      <c r="G126" s="13"/>
      <c r="H126" s="13"/>
      <c r="I126" s="13"/>
      <c r="J126" s="13"/>
      <c r="K126" s="13"/>
      <c r="L126" s="242"/>
      <c r="M126" s="242"/>
      <c r="N126" s="242"/>
      <c r="O126" s="242"/>
      <c r="P126" s="242"/>
      <c r="Q126" s="242"/>
      <c r="R126" s="242"/>
      <c r="S126" s="242"/>
      <c r="T126" s="242"/>
      <c r="U126" s="242"/>
      <c r="V126" s="242"/>
      <c r="W126" s="242"/>
      <c r="X126" s="242"/>
      <c r="Y126" s="242"/>
      <c r="Z126" s="242"/>
    </row>
    <row r="127">
      <c r="A127" s="340"/>
      <c r="B127" s="242"/>
      <c r="C127" s="242"/>
      <c r="D127" s="242"/>
      <c r="E127" s="13"/>
      <c r="F127" s="13"/>
      <c r="G127" s="13"/>
      <c r="H127" s="13"/>
      <c r="I127" s="13"/>
      <c r="J127" s="13"/>
      <c r="K127" s="13"/>
      <c r="L127" s="242"/>
      <c r="M127" s="242"/>
      <c r="N127" s="242"/>
      <c r="O127" s="242"/>
      <c r="P127" s="242"/>
      <c r="Q127" s="242"/>
      <c r="R127" s="242"/>
      <c r="S127" s="242"/>
      <c r="T127" s="242"/>
      <c r="U127" s="242"/>
      <c r="V127" s="242"/>
      <c r="W127" s="242"/>
      <c r="X127" s="242"/>
      <c r="Y127" s="242"/>
      <c r="Z127" s="242"/>
    </row>
    <row r="128">
      <c r="A128" s="340"/>
      <c r="B128" s="242"/>
      <c r="C128" s="242"/>
      <c r="D128" s="242"/>
      <c r="E128" s="13"/>
      <c r="F128" s="13"/>
      <c r="G128" s="13"/>
      <c r="H128" s="13"/>
      <c r="I128" s="13"/>
      <c r="J128" s="13"/>
      <c r="K128" s="13"/>
      <c r="L128" s="242"/>
      <c r="M128" s="242"/>
      <c r="N128" s="242"/>
      <c r="O128" s="242"/>
      <c r="P128" s="242"/>
      <c r="Q128" s="242"/>
      <c r="R128" s="242"/>
      <c r="S128" s="242"/>
      <c r="T128" s="242"/>
      <c r="U128" s="242"/>
      <c r="V128" s="242"/>
      <c r="W128" s="242"/>
      <c r="X128" s="242"/>
      <c r="Y128" s="242"/>
      <c r="Z128" s="242"/>
    </row>
    <row r="129">
      <c r="A129" s="340"/>
      <c r="B129" s="242"/>
      <c r="C129" s="242"/>
      <c r="D129" s="242"/>
      <c r="E129" s="13"/>
      <c r="F129" s="13"/>
      <c r="G129" s="13"/>
      <c r="H129" s="13"/>
      <c r="I129" s="13"/>
      <c r="J129" s="13"/>
      <c r="K129" s="13"/>
      <c r="L129" s="242"/>
      <c r="M129" s="242"/>
      <c r="N129" s="242"/>
      <c r="O129" s="242"/>
      <c r="P129" s="242"/>
      <c r="Q129" s="242"/>
      <c r="R129" s="242"/>
      <c r="S129" s="242"/>
      <c r="T129" s="242"/>
      <c r="U129" s="242"/>
      <c r="V129" s="242"/>
      <c r="W129" s="242"/>
      <c r="X129" s="242"/>
      <c r="Y129" s="242"/>
      <c r="Z129" s="242"/>
    </row>
    <row r="130">
      <c r="A130" s="340"/>
      <c r="B130" s="242"/>
      <c r="C130" s="242"/>
      <c r="D130" s="242"/>
      <c r="E130" s="13"/>
      <c r="F130" s="13"/>
      <c r="G130" s="13"/>
      <c r="H130" s="13"/>
      <c r="I130" s="13"/>
      <c r="J130" s="13"/>
      <c r="K130" s="13"/>
      <c r="L130" s="242"/>
      <c r="M130" s="242"/>
      <c r="N130" s="242"/>
      <c r="O130" s="242"/>
      <c r="P130" s="242"/>
      <c r="Q130" s="242"/>
      <c r="R130" s="242"/>
      <c r="S130" s="242"/>
      <c r="T130" s="242"/>
      <c r="U130" s="242"/>
      <c r="V130" s="242"/>
      <c r="W130" s="242"/>
      <c r="X130" s="242"/>
      <c r="Y130" s="242"/>
      <c r="Z130" s="242"/>
    </row>
    <row r="131">
      <c r="A131" s="340"/>
      <c r="B131" s="242"/>
      <c r="C131" s="242"/>
      <c r="D131" s="242"/>
      <c r="E131" s="13"/>
      <c r="F131" s="13"/>
      <c r="G131" s="13"/>
      <c r="H131" s="13"/>
      <c r="I131" s="13"/>
      <c r="J131" s="13"/>
      <c r="K131" s="13"/>
      <c r="L131" s="242"/>
      <c r="M131" s="242"/>
      <c r="N131" s="242"/>
      <c r="O131" s="242"/>
      <c r="P131" s="242"/>
      <c r="Q131" s="242"/>
      <c r="R131" s="242"/>
      <c r="S131" s="242"/>
      <c r="T131" s="242"/>
      <c r="U131" s="242"/>
      <c r="V131" s="242"/>
      <c r="W131" s="242"/>
      <c r="X131" s="242"/>
      <c r="Y131" s="242"/>
      <c r="Z131" s="242"/>
    </row>
    <row r="132">
      <c r="A132" s="340"/>
      <c r="B132" s="242"/>
      <c r="C132" s="242"/>
      <c r="D132" s="242"/>
      <c r="E132" s="13"/>
      <c r="F132" s="13"/>
      <c r="G132" s="13"/>
      <c r="H132" s="13"/>
      <c r="I132" s="13"/>
      <c r="J132" s="13"/>
      <c r="K132" s="13"/>
      <c r="L132" s="242"/>
      <c r="M132" s="242"/>
      <c r="N132" s="242"/>
      <c r="O132" s="242"/>
      <c r="P132" s="242"/>
      <c r="Q132" s="242"/>
      <c r="R132" s="242"/>
      <c r="S132" s="242"/>
      <c r="T132" s="242"/>
      <c r="U132" s="242"/>
      <c r="V132" s="242"/>
      <c r="W132" s="242"/>
      <c r="X132" s="242"/>
      <c r="Y132" s="242"/>
      <c r="Z132" s="242"/>
    </row>
    <row r="133">
      <c r="A133" s="340"/>
      <c r="B133" s="242"/>
      <c r="C133" s="242"/>
      <c r="D133" s="242"/>
      <c r="E133" s="13"/>
      <c r="F133" s="13"/>
      <c r="G133" s="13"/>
      <c r="H133" s="13"/>
      <c r="I133" s="13"/>
      <c r="J133" s="13"/>
      <c r="K133" s="13"/>
      <c r="L133" s="242"/>
      <c r="M133" s="242"/>
      <c r="N133" s="242"/>
      <c r="O133" s="242"/>
      <c r="P133" s="242"/>
      <c r="Q133" s="242"/>
      <c r="R133" s="242"/>
      <c r="S133" s="242"/>
      <c r="T133" s="242"/>
      <c r="U133" s="242"/>
      <c r="V133" s="242"/>
      <c r="W133" s="242"/>
      <c r="X133" s="242"/>
      <c r="Y133" s="242"/>
      <c r="Z133" s="242"/>
    </row>
    <row r="134">
      <c r="A134" s="340"/>
      <c r="B134" s="242"/>
      <c r="C134" s="242"/>
      <c r="D134" s="242"/>
      <c r="E134" s="13"/>
      <c r="F134" s="13"/>
      <c r="G134" s="13"/>
      <c r="H134" s="13"/>
      <c r="I134" s="13"/>
      <c r="J134" s="13"/>
      <c r="K134" s="13"/>
      <c r="L134" s="242"/>
      <c r="M134" s="242"/>
      <c r="N134" s="242"/>
      <c r="O134" s="242"/>
      <c r="P134" s="242"/>
      <c r="Q134" s="242"/>
      <c r="R134" s="242"/>
      <c r="S134" s="242"/>
      <c r="T134" s="242"/>
      <c r="U134" s="242"/>
      <c r="V134" s="242"/>
      <c r="W134" s="242"/>
      <c r="X134" s="242"/>
      <c r="Y134" s="242"/>
      <c r="Z134" s="242"/>
    </row>
    <row r="135">
      <c r="A135" s="340"/>
      <c r="B135" s="242"/>
      <c r="C135" s="242"/>
      <c r="D135" s="242"/>
      <c r="E135" s="13"/>
      <c r="F135" s="13"/>
      <c r="G135" s="13"/>
      <c r="H135" s="13"/>
      <c r="I135" s="13"/>
      <c r="J135" s="13"/>
      <c r="K135" s="13"/>
      <c r="L135" s="242"/>
      <c r="M135" s="242"/>
      <c r="N135" s="242"/>
      <c r="O135" s="242"/>
      <c r="P135" s="242"/>
      <c r="Q135" s="242"/>
      <c r="R135" s="242"/>
      <c r="S135" s="242"/>
      <c r="T135" s="242"/>
      <c r="U135" s="242"/>
      <c r="V135" s="242"/>
      <c r="W135" s="242"/>
      <c r="X135" s="242"/>
      <c r="Y135" s="242"/>
      <c r="Z135" s="242"/>
    </row>
    <row r="136">
      <c r="A136" s="340"/>
      <c r="B136" s="242"/>
      <c r="C136" s="242"/>
      <c r="D136" s="242"/>
      <c r="E136" s="13"/>
      <c r="F136" s="13"/>
      <c r="G136" s="13"/>
      <c r="H136" s="13"/>
      <c r="I136" s="13"/>
      <c r="J136" s="13"/>
      <c r="K136" s="13"/>
      <c r="L136" s="242"/>
      <c r="M136" s="242"/>
      <c r="N136" s="242"/>
      <c r="O136" s="242"/>
      <c r="P136" s="242"/>
      <c r="Q136" s="242"/>
      <c r="R136" s="242"/>
      <c r="S136" s="242"/>
      <c r="T136" s="242"/>
      <c r="U136" s="242"/>
      <c r="V136" s="242"/>
      <c r="W136" s="242"/>
      <c r="X136" s="242"/>
      <c r="Y136" s="242"/>
      <c r="Z136" s="242"/>
    </row>
    <row r="137">
      <c r="A137" s="340"/>
      <c r="B137" s="242"/>
      <c r="C137" s="242"/>
      <c r="D137" s="242"/>
      <c r="E137" s="13"/>
      <c r="F137" s="13"/>
      <c r="G137" s="13"/>
      <c r="H137" s="13"/>
      <c r="I137" s="13"/>
      <c r="J137" s="13"/>
      <c r="K137" s="13"/>
      <c r="L137" s="242"/>
      <c r="M137" s="242"/>
      <c r="N137" s="242"/>
      <c r="O137" s="242"/>
      <c r="P137" s="242"/>
      <c r="Q137" s="242"/>
      <c r="R137" s="242"/>
      <c r="S137" s="242"/>
      <c r="T137" s="242"/>
      <c r="U137" s="242"/>
      <c r="V137" s="242"/>
      <c r="W137" s="242"/>
      <c r="X137" s="242"/>
      <c r="Y137" s="242"/>
      <c r="Z137" s="242"/>
    </row>
    <row r="138">
      <c r="A138" s="340"/>
      <c r="B138" s="242"/>
      <c r="C138" s="242"/>
      <c r="D138" s="242"/>
      <c r="E138" s="13"/>
      <c r="F138" s="13"/>
      <c r="G138" s="13"/>
      <c r="H138" s="13"/>
      <c r="I138" s="13"/>
      <c r="J138" s="13"/>
      <c r="K138" s="13"/>
      <c r="L138" s="242"/>
      <c r="M138" s="242"/>
      <c r="N138" s="242"/>
      <c r="O138" s="242"/>
      <c r="P138" s="242"/>
      <c r="Q138" s="242"/>
      <c r="R138" s="242"/>
      <c r="S138" s="242"/>
      <c r="T138" s="242"/>
      <c r="U138" s="242"/>
      <c r="V138" s="242"/>
      <c r="W138" s="242"/>
      <c r="X138" s="242"/>
      <c r="Y138" s="242"/>
      <c r="Z138" s="242"/>
    </row>
    <row r="139">
      <c r="A139" s="340"/>
      <c r="B139" s="242"/>
      <c r="C139" s="242"/>
      <c r="D139" s="242"/>
      <c r="E139" s="13"/>
      <c r="F139" s="13"/>
      <c r="G139" s="13"/>
      <c r="H139" s="13"/>
      <c r="I139" s="13"/>
      <c r="J139" s="13"/>
      <c r="K139" s="13"/>
      <c r="L139" s="242"/>
      <c r="M139" s="242"/>
      <c r="N139" s="242"/>
      <c r="O139" s="242"/>
      <c r="P139" s="242"/>
      <c r="Q139" s="242"/>
      <c r="R139" s="242"/>
      <c r="S139" s="242"/>
      <c r="T139" s="242"/>
      <c r="U139" s="242"/>
      <c r="V139" s="242"/>
      <c r="W139" s="242"/>
      <c r="X139" s="242"/>
      <c r="Y139" s="242"/>
      <c r="Z139" s="242"/>
    </row>
    <row r="140">
      <c r="A140" s="340"/>
      <c r="B140" s="242"/>
      <c r="C140" s="242"/>
      <c r="D140" s="242"/>
      <c r="E140" s="13"/>
      <c r="F140" s="13"/>
      <c r="G140" s="13"/>
      <c r="H140" s="13"/>
      <c r="I140" s="13"/>
      <c r="J140" s="13"/>
      <c r="K140" s="13"/>
      <c r="L140" s="242"/>
      <c r="M140" s="242"/>
      <c r="N140" s="242"/>
      <c r="O140" s="242"/>
      <c r="P140" s="242"/>
      <c r="Q140" s="242"/>
      <c r="R140" s="242"/>
      <c r="S140" s="242"/>
      <c r="T140" s="242"/>
      <c r="U140" s="242"/>
      <c r="V140" s="242"/>
      <c r="W140" s="242"/>
      <c r="X140" s="242"/>
      <c r="Y140" s="242"/>
      <c r="Z140" s="242"/>
    </row>
    <row r="141">
      <c r="A141" s="340"/>
      <c r="B141" s="242"/>
      <c r="C141" s="242"/>
      <c r="D141" s="242"/>
      <c r="E141" s="13"/>
      <c r="F141" s="13"/>
      <c r="G141" s="13"/>
      <c r="H141" s="13"/>
      <c r="I141" s="13"/>
      <c r="J141" s="13"/>
      <c r="K141" s="13"/>
      <c r="L141" s="242"/>
      <c r="M141" s="242"/>
      <c r="N141" s="242"/>
      <c r="O141" s="242"/>
      <c r="P141" s="242"/>
      <c r="Q141" s="242"/>
      <c r="R141" s="242"/>
      <c r="S141" s="242"/>
      <c r="T141" s="242"/>
      <c r="U141" s="242"/>
      <c r="V141" s="242"/>
      <c r="W141" s="242"/>
      <c r="X141" s="242"/>
      <c r="Y141" s="242"/>
      <c r="Z141" s="242"/>
    </row>
    <row r="142">
      <c r="A142" s="340"/>
      <c r="B142" s="242"/>
      <c r="C142" s="242"/>
      <c r="D142" s="242"/>
      <c r="E142" s="13"/>
      <c r="F142" s="13"/>
      <c r="G142" s="13"/>
      <c r="H142" s="13"/>
      <c r="I142" s="13"/>
      <c r="J142" s="13"/>
      <c r="K142" s="13"/>
      <c r="L142" s="242"/>
      <c r="M142" s="242"/>
      <c r="N142" s="242"/>
      <c r="O142" s="242"/>
      <c r="P142" s="242"/>
      <c r="Q142" s="242"/>
      <c r="R142" s="242"/>
      <c r="S142" s="242"/>
      <c r="T142" s="242"/>
      <c r="U142" s="242"/>
      <c r="V142" s="242"/>
      <c r="W142" s="242"/>
      <c r="X142" s="242"/>
      <c r="Y142" s="242"/>
      <c r="Z142" s="242"/>
    </row>
    <row r="143">
      <c r="A143" s="340"/>
      <c r="B143" s="242"/>
      <c r="C143" s="242"/>
      <c r="D143" s="242"/>
      <c r="E143" s="13"/>
      <c r="F143" s="13"/>
      <c r="G143" s="13"/>
      <c r="H143" s="13"/>
      <c r="I143" s="13"/>
      <c r="J143" s="13"/>
      <c r="K143" s="13"/>
      <c r="L143" s="242"/>
      <c r="M143" s="242"/>
      <c r="N143" s="242"/>
      <c r="O143" s="242"/>
      <c r="P143" s="242"/>
      <c r="Q143" s="242"/>
      <c r="R143" s="242"/>
      <c r="S143" s="242"/>
      <c r="T143" s="242"/>
      <c r="U143" s="242"/>
      <c r="V143" s="242"/>
      <c r="W143" s="242"/>
      <c r="X143" s="242"/>
      <c r="Y143" s="242"/>
      <c r="Z143" s="242"/>
    </row>
    <row r="144">
      <c r="A144" s="340"/>
      <c r="B144" s="242"/>
      <c r="C144" s="242"/>
      <c r="D144" s="242"/>
      <c r="E144" s="13"/>
      <c r="F144" s="13"/>
      <c r="G144" s="13"/>
      <c r="H144" s="13"/>
      <c r="I144" s="13"/>
      <c r="J144" s="13"/>
      <c r="K144" s="13"/>
      <c r="L144" s="242"/>
      <c r="M144" s="242"/>
      <c r="N144" s="242"/>
      <c r="O144" s="242"/>
      <c r="P144" s="242"/>
      <c r="Q144" s="242"/>
      <c r="R144" s="242"/>
      <c r="S144" s="242"/>
      <c r="T144" s="242"/>
      <c r="U144" s="242"/>
      <c r="V144" s="242"/>
      <c r="W144" s="242"/>
      <c r="X144" s="242"/>
      <c r="Y144" s="242"/>
      <c r="Z144" s="242"/>
    </row>
    <row r="145">
      <c r="A145" s="340"/>
      <c r="B145" s="242"/>
      <c r="C145" s="242"/>
      <c r="D145" s="242"/>
      <c r="E145" s="13"/>
      <c r="F145" s="13"/>
      <c r="G145" s="13"/>
      <c r="H145" s="13"/>
      <c r="I145" s="13"/>
      <c r="J145" s="13"/>
      <c r="K145" s="13"/>
      <c r="L145" s="242"/>
      <c r="M145" s="242"/>
      <c r="N145" s="242"/>
      <c r="O145" s="242"/>
      <c r="P145" s="242"/>
      <c r="Q145" s="242"/>
      <c r="R145" s="242"/>
      <c r="S145" s="242"/>
      <c r="T145" s="242"/>
      <c r="U145" s="242"/>
      <c r="V145" s="242"/>
      <c r="W145" s="242"/>
      <c r="X145" s="242"/>
      <c r="Y145" s="242"/>
      <c r="Z145" s="242"/>
    </row>
    <row r="146">
      <c r="A146" s="340"/>
      <c r="B146" s="242"/>
      <c r="C146" s="242"/>
      <c r="D146" s="242"/>
      <c r="E146" s="13"/>
      <c r="F146" s="13"/>
      <c r="G146" s="13"/>
      <c r="H146" s="13"/>
      <c r="I146" s="13"/>
      <c r="J146" s="13"/>
      <c r="K146" s="13"/>
      <c r="L146" s="242"/>
      <c r="M146" s="242"/>
      <c r="N146" s="242"/>
      <c r="O146" s="242"/>
      <c r="P146" s="242"/>
      <c r="Q146" s="242"/>
      <c r="R146" s="242"/>
      <c r="S146" s="242"/>
      <c r="T146" s="242"/>
      <c r="U146" s="242"/>
      <c r="V146" s="242"/>
      <c r="W146" s="242"/>
      <c r="X146" s="242"/>
      <c r="Y146" s="242"/>
      <c r="Z146" s="242"/>
    </row>
    <row r="147">
      <c r="A147" s="340"/>
      <c r="B147" s="242"/>
      <c r="C147" s="242"/>
      <c r="D147" s="242"/>
      <c r="E147" s="13"/>
      <c r="F147" s="13"/>
      <c r="G147" s="13"/>
      <c r="H147" s="13"/>
      <c r="I147" s="13"/>
      <c r="J147" s="13"/>
      <c r="K147" s="13"/>
      <c r="L147" s="242"/>
      <c r="M147" s="242"/>
      <c r="N147" s="242"/>
      <c r="O147" s="242"/>
      <c r="P147" s="242"/>
      <c r="Q147" s="242"/>
      <c r="R147" s="242"/>
      <c r="S147" s="242"/>
      <c r="T147" s="242"/>
      <c r="U147" s="242"/>
      <c r="V147" s="242"/>
      <c r="W147" s="242"/>
      <c r="X147" s="242"/>
      <c r="Y147" s="242"/>
      <c r="Z147" s="242"/>
    </row>
    <row r="148">
      <c r="A148" s="340"/>
      <c r="B148" s="242"/>
      <c r="C148" s="242"/>
      <c r="D148" s="242"/>
      <c r="E148" s="13"/>
      <c r="F148" s="13"/>
      <c r="G148" s="13"/>
      <c r="H148" s="13"/>
      <c r="I148" s="13"/>
      <c r="J148" s="13"/>
      <c r="K148" s="13"/>
      <c r="L148" s="242"/>
      <c r="M148" s="242"/>
      <c r="N148" s="242"/>
      <c r="O148" s="242"/>
      <c r="P148" s="242"/>
      <c r="Q148" s="242"/>
      <c r="R148" s="242"/>
      <c r="S148" s="242"/>
      <c r="T148" s="242"/>
      <c r="U148" s="242"/>
      <c r="V148" s="242"/>
      <c r="W148" s="242"/>
      <c r="X148" s="242"/>
      <c r="Y148" s="242"/>
      <c r="Z148" s="242"/>
    </row>
    <row r="149">
      <c r="A149" s="340"/>
      <c r="B149" s="242"/>
      <c r="C149" s="242"/>
      <c r="D149" s="242"/>
      <c r="E149" s="13"/>
      <c r="F149" s="13"/>
      <c r="G149" s="13"/>
      <c r="H149" s="13"/>
      <c r="I149" s="13"/>
      <c r="J149" s="13"/>
      <c r="K149" s="13"/>
      <c r="L149" s="242"/>
      <c r="M149" s="242"/>
      <c r="N149" s="242"/>
      <c r="O149" s="242"/>
      <c r="P149" s="242"/>
      <c r="Q149" s="242"/>
      <c r="R149" s="242"/>
      <c r="S149" s="242"/>
      <c r="T149" s="242"/>
      <c r="U149" s="242"/>
      <c r="V149" s="242"/>
      <c r="W149" s="242"/>
      <c r="X149" s="242"/>
      <c r="Y149" s="242"/>
      <c r="Z149" s="242"/>
    </row>
    <row r="150">
      <c r="A150" s="340"/>
      <c r="B150" s="242"/>
      <c r="C150" s="242"/>
      <c r="D150" s="242"/>
      <c r="E150" s="13"/>
      <c r="F150" s="13"/>
      <c r="G150" s="13"/>
      <c r="H150" s="13"/>
      <c r="I150" s="13"/>
      <c r="J150" s="13"/>
      <c r="K150" s="13"/>
      <c r="L150" s="242"/>
      <c r="M150" s="242"/>
      <c r="N150" s="242"/>
      <c r="O150" s="242"/>
      <c r="P150" s="242"/>
      <c r="Q150" s="242"/>
      <c r="R150" s="242"/>
      <c r="S150" s="242"/>
      <c r="T150" s="242"/>
      <c r="U150" s="242"/>
      <c r="V150" s="242"/>
      <c r="W150" s="242"/>
      <c r="X150" s="242"/>
      <c r="Y150" s="242"/>
      <c r="Z150" s="242"/>
    </row>
    <row r="151">
      <c r="A151" s="340"/>
      <c r="B151" s="242"/>
      <c r="C151" s="242"/>
      <c r="D151" s="242"/>
      <c r="E151" s="13"/>
      <c r="F151" s="13"/>
      <c r="G151" s="13"/>
      <c r="H151" s="13"/>
      <c r="I151" s="13"/>
      <c r="J151" s="13"/>
      <c r="K151" s="13"/>
      <c r="L151" s="242"/>
      <c r="M151" s="242"/>
      <c r="N151" s="242"/>
      <c r="O151" s="242"/>
      <c r="P151" s="242"/>
      <c r="Q151" s="242"/>
      <c r="R151" s="242"/>
      <c r="S151" s="242"/>
      <c r="T151" s="242"/>
      <c r="U151" s="242"/>
      <c r="V151" s="242"/>
      <c r="W151" s="242"/>
      <c r="X151" s="242"/>
      <c r="Y151" s="242"/>
      <c r="Z151" s="242"/>
    </row>
    <row r="152">
      <c r="A152" s="340"/>
      <c r="B152" s="242"/>
      <c r="C152" s="242"/>
      <c r="D152" s="242"/>
      <c r="E152" s="13"/>
      <c r="F152" s="13"/>
      <c r="G152" s="13"/>
      <c r="H152" s="13"/>
      <c r="I152" s="13"/>
      <c r="J152" s="13"/>
      <c r="K152" s="13"/>
      <c r="L152" s="242"/>
      <c r="M152" s="242"/>
      <c r="N152" s="242"/>
      <c r="O152" s="242"/>
      <c r="P152" s="242"/>
      <c r="Q152" s="242"/>
      <c r="R152" s="242"/>
      <c r="S152" s="242"/>
      <c r="T152" s="242"/>
      <c r="U152" s="242"/>
      <c r="V152" s="242"/>
      <c r="W152" s="242"/>
      <c r="X152" s="242"/>
      <c r="Y152" s="242"/>
      <c r="Z152" s="242"/>
    </row>
    <row r="153">
      <c r="A153" s="340"/>
      <c r="B153" s="242"/>
      <c r="C153" s="242"/>
      <c r="D153" s="242"/>
      <c r="E153" s="13"/>
      <c r="F153" s="13"/>
      <c r="G153" s="13"/>
      <c r="H153" s="13"/>
      <c r="I153" s="13"/>
      <c r="J153" s="13"/>
      <c r="K153" s="13"/>
      <c r="L153" s="242"/>
      <c r="M153" s="242"/>
      <c r="N153" s="242"/>
      <c r="O153" s="242"/>
      <c r="P153" s="242"/>
      <c r="Q153" s="242"/>
      <c r="R153" s="242"/>
      <c r="S153" s="242"/>
      <c r="T153" s="242"/>
      <c r="U153" s="242"/>
      <c r="V153" s="242"/>
      <c r="W153" s="242"/>
      <c r="X153" s="242"/>
      <c r="Y153" s="242"/>
      <c r="Z153" s="242"/>
    </row>
    <row r="154">
      <c r="A154" s="340"/>
      <c r="B154" s="242"/>
      <c r="C154" s="242"/>
      <c r="D154" s="242"/>
      <c r="E154" s="13"/>
      <c r="F154" s="13"/>
      <c r="G154" s="13"/>
      <c r="H154" s="13"/>
      <c r="I154" s="13"/>
      <c r="J154" s="13"/>
      <c r="K154" s="13"/>
      <c r="L154" s="242"/>
      <c r="M154" s="242"/>
      <c r="N154" s="242"/>
      <c r="O154" s="242"/>
      <c r="P154" s="242"/>
      <c r="Q154" s="242"/>
      <c r="R154" s="242"/>
      <c r="S154" s="242"/>
      <c r="T154" s="242"/>
      <c r="U154" s="242"/>
      <c r="V154" s="242"/>
      <c r="W154" s="242"/>
      <c r="X154" s="242"/>
      <c r="Y154" s="242"/>
      <c r="Z154" s="242"/>
    </row>
    <row r="155">
      <c r="A155" s="340"/>
      <c r="B155" s="242"/>
      <c r="C155" s="242"/>
      <c r="D155" s="242"/>
      <c r="E155" s="13"/>
      <c r="F155" s="13"/>
      <c r="G155" s="13"/>
      <c r="H155" s="13"/>
      <c r="I155" s="13"/>
      <c r="J155" s="13"/>
      <c r="K155" s="13"/>
      <c r="L155" s="242"/>
      <c r="M155" s="242"/>
      <c r="N155" s="242"/>
      <c r="O155" s="242"/>
      <c r="P155" s="242"/>
      <c r="Q155" s="242"/>
      <c r="R155" s="242"/>
      <c r="S155" s="242"/>
      <c r="T155" s="242"/>
      <c r="U155" s="242"/>
      <c r="V155" s="242"/>
      <c r="W155" s="242"/>
      <c r="X155" s="242"/>
      <c r="Y155" s="242"/>
      <c r="Z155" s="242"/>
    </row>
    <row r="156">
      <c r="A156" s="340"/>
      <c r="B156" s="242"/>
      <c r="C156" s="242"/>
      <c r="D156" s="242"/>
      <c r="E156" s="13"/>
      <c r="F156" s="13"/>
      <c r="G156" s="13"/>
      <c r="H156" s="13"/>
      <c r="I156" s="13"/>
      <c r="J156" s="13"/>
      <c r="K156" s="13"/>
      <c r="L156" s="242"/>
      <c r="M156" s="242"/>
      <c r="N156" s="242"/>
      <c r="O156" s="242"/>
      <c r="P156" s="242"/>
      <c r="Q156" s="242"/>
      <c r="R156" s="242"/>
      <c r="S156" s="242"/>
      <c r="T156" s="242"/>
      <c r="U156" s="242"/>
      <c r="V156" s="242"/>
      <c r="W156" s="242"/>
      <c r="X156" s="242"/>
      <c r="Y156" s="242"/>
      <c r="Z156" s="242"/>
    </row>
    <row r="157">
      <c r="A157" s="340"/>
      <c r="B157" s="242"/>
      <c r="C157" s="242"/>
      <c r="D157" s="242"/>
      <c r="E157" s="13"/>
      <c r="F157" s="13"/>
      <c r="G157" s="13"/>
      <c r="H157" s="13"/>
      <c r="I157" s="13"/>
      <c r="J157" s="13"/>
      <c r="K157" s="13"/>
      <c r="L157" s="242"/>
      <c r="M157" s="242"/>
      <c r="N157" s="242"/>
      <c r="O157" s="242"/>
      <c r="P157" s="242"/>
      <c r="Q157" s="242"/>
      <c r="R157" s="242"/>
      <c r="S157" s="242"/>
      <c r="T157" s="242"/>
      <c r="U157" s="242"/>
      <c r="V157" s="242"/>
      <c r="W157" s="242"/>
      <c r="X157" s="242"/>
      <c r="Y157" s="242"/>
      <c r="Z157" s="242"/>
    </row>
    <row r="158">
      <c r="A158" s="340"/>
      <c r="B158" s="242"/>
      <c r="C158" s="242"/>
      <c r="D158" s="242"/>
      <c r="E158" s="13"/>
      <c r="F158" s="13"/>
      <c r="G158" s="13"/>
      <c r="H158" s="13"/>
      <c r="I158" s="13"/>
      <c r="J158" s="13"/>
      <c r="K158" s="13"/>
      <c r="L158" s="242"/>
      <c r="M158" s="242"/>
      <c r="N158" s="242"/>
      <c r="O158" s="242"/>
      <c r="P158" s="242"/>
      <c r="Q158" s="242"/>
      <c r="R158" s="242"/>
      <c r="S158" s="242"/>
      <c r="T158" s="242"/>
      <c r="U158" s="242"/>
      <c r="V158" s="242"/>
      <c r="W158" s="242"/>
      <c r="X158" s="242"/>
      <c r="Y158" s="242"/>
      <c r="Z158" s="242"/>
    </row>
    <row r="159">
      <c r="A159" s="340"/>
      <c r="B159" s="242"/>
      <c r="C159" s="242"/>
      <c r="D159" s="242"/>
      <c r="E159" s="13"/>
      <c r="F159" s="13"/>
      <c r="G159" s="13"/>
      <c r="H159" s="13"/>
      <c r="I159" s="13"/>
      <c r="J159" s="13"/>
      <c r="K159" s="13"/>
      <c r="L159" s="242"/>
      <c r="M159" s="242"/>
      <c r="N159" s="242"/>
      <c r="O159" s="242"/>
      <c r="P159" s="242"/>
      <c r="Q159" s="242"/>
      <c r="R159" s="242"/>
      <c r="S159" s="242"/>
      <c r="T159" s="242"/>
      <c r="U159" s="242"/>
      <c r="V159" s="242"/>
      <c r="W159" s="242"/>
      <c r="X159" s="242"/>
      <c r="Y159" s="242"/>
      <c r="Z159" s="242"/>
    </row>
    <row r="160">
      <c r="A160" s="340"/>
      <c r="B160" s="242"/>
      <c r="C160" s="242"/>
      <c r="D160" s="242"/>
      <c r="E160" s="13"/>
      <c r="F160" s="13"/>
      <c r="G160" s="13"/>
      <c r="H160" s="13"/>
      <c r="I160" s="13"/>
      <c r="J160" s="13"/>
      <c r="K160" s="13"/>
      <c r="L160" s="242"/>
      <c r="M160" s="242"/>
      <c r="N160" s="242"/>
      <c r="O160" s="242"/>
      <c r="P160" s="242"/>
      <c r="Q160" s="242"/>
      <c r="R160" s="242"/>
      <c r="S160" s="242"/>
      <c r="T160" s="242"/>
      <c r="U160" s="242"/>
      <c r="V160" s="242"/>
      <c r="W160" s="242"/>
      <c r="X160" s="242"/>
      <c r="Y160" s="242"/>
      <c r="Z160" s="242"/>
    </row>
    <row r="161">
      <c r="A161" s="340"/>
      <c r="B161" s="242"/>
      <c r="C161" s="242"/>
      <c r="D161" s="242"/>
      <c r="E161" s="13"/>
      <c r="F161" s="13"/>
      <c r="G161" s="13"/>
      <c r="H161" s="13"/>
      <c r="I161" s="13"/>
      <c r="J161" s="13"/>
      <c r="K161" s="13"/>
      <c r="L161" s="242"/>
      <c r="M161" s="242"/>
      <c r="N161" s="242"/>
      <c r="O161" s="242"/>
      <c r="P161" s="242"/>
      <c r="Q161" s="242"/>
      <c r="R161" s="242"/>
      <c r="S161" s="242"/>
      <c r="T161" s="242"/>
      <c r="U161" s="242"/>
      <c r="V161" s="242"/>
      <c r="W161" s="242"/>
      <c r="X161" s="242"/>
      <c r="Y161" s="242"/>
      <c r="Z161" s="242"/>
    </row>
    <row r="162">
      <c r="A162" s="340"/>
      <c r="B162" s="242"/>
      <c r="C162" s="242"/>
      <c r="D162" s="242"/>
      <c r="E162" s="13"/>
      <c r="F162" s="13"/>
      <c r="G162" s="13"/>
      <c r="H162" s="13"/>
      <c r="I162" s="13"/>
      <c r="J162" s="13"/>
      <c r="K162" s="13"/>
      <c r="L162" s="242"/>
      <c r="M162" s="242"/>
      <c r="N162" s="242"/>
      <c r="O162" s="242"/>
      <c r="P162" s="242"/>
      <c r="Q162" s="242"/>
      <c r="R162" s="242"/>
      <c r="S162" s="242"/>
      <c r="T162" s="242"/>
      <c r="U162" s="242"/>
      <c r="V162" s="242"/>
      <c r="W162" s="242"/>
      <c r="X162" s="242"/>
      <c r="Y162" s="242"/>
      <c r="Z162" s="242"/>
    </row>
    <row r="163">
      <c r="A163" s="340"/>
      <c r="B163" s="242"/>
      <c r="C163" s="242"/>
      <c r="D163" s="242"/>
      <c r="E163" s="13"/>
      <c r="F163" s="13"/>
      <c r="G163" s="13"/>
      <c r="H163" s="13"/>
      <c r="I163" s="13"/>
      <c r="J163" s="13"/>
      <c r="K163" s="13"/>
      <c r="L163" s="242"/>
      <c r="M163" s="242"/>
      <c r="N163" s="242"/>
      <c r="O163" s="242"/>
      <c r="P163" s="242"/>
      <c r="Q163" s="242"/>
      <c r="R163" s="242"/>
      <c r="S163" s="242"/>
      <c r="T163" s="242"/>
      <c r="U163" s="242"/>
      <c r="V163" s="242"/>
      <c r="W163" s="242"/>
      <c r="X163" s="242"/>
      <c r="Y163" s="242"/>
      <c r="Z163" s="242"/>
    </row>
    <row r="164">
      <c r="A164" s="340"/>
      <c r="B164" s="242"/>
      <c r="C164" s="242"/>
      <c r="D164" s="242"/>
      <c r="E164" s="13"/>
      <c r="F164" s="13"/>
      <c r="G164" s="13"/>
      <c r="H164" s="13"/>
      <c r="I164" s="13"/>
      <c r="J164" s="13"/>
      <c r="K164" s="13"/>
      <c r="L164" s="242"/>
      <c r="M164" s="242"/>
      <c r="N164" s="242"/>
      <c r="O164" s="242"/>
      <c r="P164" s="242"/>
      <c r="Q164" s="242"/>
      <c r="R164" s="242"/>
      <c r="S164" s="242"/>
      <c r="T164" s="242"/>
      <c r="U164" s="242"/>
      <c r="V164" s="242"/>
      <c r="W164" s="242"/>
      <c r="X164" s="242"/>
      <c r="Y164" s="242"/>
      <c r="Z164" s="242"/>
    </row>
    <row r="165">
      <c r="A165" s="340"/>
      <c r="B165" s="242"/>
      <c r="C165" s="242"/>
      <c r="D165" s="242"/>
      <c r="E165" s="13"/>
      <c r="F165" s="13"/>
      <c r="G165" s="13"/>
      <c r="H165" s="13"/>
      <c r="I165" s="13"/>
      <c r="J165" s="13"/>
      <c r="K165" s="13"/>
      <c r="L165" s="242"/>
      <c r="M165" s="242"/>
      <c r="N165" s="242"/>
      <c r="O165" s="242"/>
      <c r="P165" s="242"/>
      <c r="Q165" s="242"/>
      <c r="R165" s="242"/>
      <c r="S165" s="242"/>
      <c r="T165" s="242"/>
      <c r="U165" s="242"/>
      <c r="V165" s="242"/>
      <c r="W165" s="242"/>
      <c r="X165" s="242"/>
      <c r="Y165" s="242"/>
      <c r="Z165" s="242"/>
    </row>
    <row r="166">
      <c r="A166" s="340"/>
      <c r="B166" s="242"/>
      <c r="C166" s="242"/>
      <c r="D166" s="242"/>
      <c r="E166" s="13"/>
      <c r="F166" s="13"/>
      <c r="G166" s="13"/>
      <c r="H166" s="13"/>
      <c r="I166" s="13"/>
      <c r="J166" s="13"/>
      <c r="K166" s="13"/>
      <c r="L166" s="242"/>
      <c r="M166" s="242"/>
      <c r="N166" s="242"/>
      <c r="O166" s="242"/>
      <c r="P166" s="242"/>
      <c r="Q166" s="242"/>
      <c r="R166" s="242"/>
      <c r="S166" s="242"/>
      <c r="T166" s="242"/>
      <c r="U166" s="242"/>
      <c r="V166" s="242"/>
      <c r="W166" s="242"/>
      <c r="X166" s="242"/>
      <c r="Y166" s="242"/>
      <c r="Z166" s="242"/>
    </row>
    <row r="167">
      <c r="A167" s="340"/>
      <c r="B167" s="242"/>
      <c r="C167" s="242"/>
      <c r="D167" s="242"/>
      <c r="E167" s="13"/>
      <c r="F167" s="13"/>
      <c r="G167" s="13"/>
      <c r="H167" s="13"/>
      <c r="I167" s="13"/>
      <c r="J167" s="13"/>
      <c r="K167" s="13"/>
      <c r="L167" s="242"/>
      <c r="M167" s="242"/>
      <c r="N167" s="242"/>
      <c r="O167" s="242"/>
      <c r="P167" s="242"/>
      <c r="Q167" s="242"/>
      <c r="R167" s="242"/>
      <c r="S167" s="242"/>
      <c r="T167" s="242"/>
      <c r="U167" s="242"/>
      <c r="V167" s="242"/>
      <c r="W167" s="242"/>
      <c r="X167" s="242"/>
      <c r="Y167" s="242"/>
      <c r="Z167" s="242"/>
    </row>
    <row r="168">
      <c r="A168" s="340"/>
      <c r="B168" s="242"/>
      <c r="C168" s="242"/>
      <c r="D168" s="242"/>
      <c r="E168" s="13"/>
      <c r="F168" s="13"/>
      <c r="G168" s="13"/>
      <c r="H168" s="13"/>
      <c r="I168" s="13"/>
      <c r="J168" s="13"/>
      <c r="K168" s="13"/>
      <c r="L168" s="242"/>
      <c r="M168" s="242"/>
      <c r="N168" s="242"/>
      <c r="O168" s="242"/>
      <c r="P168" s="242"/>
      <c r="Q168" s="242"/>
      <c r="R168" s="242"/>
      <c r="S168" s="242"/>
      <c r="T168" s="242"/>
      <c r="U168" s="242"/>
      <c r="V168" s="242"/>
      <c r="W168" s="242"/>
      <c r="X168" s="242"/>
      <c r="Y168" s="242"/>
      <c r="Z168" s="242"/>
    </row>
    <row r="169">
      <c r="A169" s="340"/>
      <c r="B169" s="242"/>
      <c r="C169" s="242"/>
      <c r="D169" s="242"/>
      <c r="E169" s="13"/>
      <c r="F169" s="13"/>
      <c r="G169" s="13"/>
      <c r="H169" s="13"/>
      <c r="I169" s="13"/>
      <c r="J169" s="13"/>
      <c r="K169" s="13"/>
      <c r="L169" s="242"/>
      <c r="M169" s="242"/>
      <c r="N169" s="242"/>
      <c r="O169" s="242"/>
      <c r="P169" s="242"/>
      <c r="Q169" s="242"/>
      <c r="R169" s="242"/>
      <c r="S169" s="242"/>
      <c r="T169" s="242"/>
      <c r="U169" s="242"/>
      <c r="V169" s="242"/>
      <c r="W169" s="242"/>
      <c r="X169" s="242"/>
      <c r="Y169" s="242"/>
      <c r="Z169" s="242"/>
    </row>
    <row r="170">
      <c r="A170" s="340"/>
      <c r="B170" s="242"/>
      <c r="C170" s="242"/>
      <c r="D170" s="242"/>
      <c r="E170" s="13"/>
      <c r="F170" s="13"/>
      <c r="G170" s="13"/>
      <c r="H170" s="13"/>
      <c r="I170" s="13"/>
      <c r="J170" s="13"/>
      <c r="K170" s="13"/>
      <c r="L170" s="242"/>
      <c r="M170" s="242"/>
      <c r="N170" s="242"/>
      <c r="O170" s="242"/>
      <c r="P170" s="242"/>
      <c r="Q170" s="242"/>
      <c r="R170" s="242"/>
      <c r="S170" s="242"/>
      <c r="T170" s="242"/>
      <c r="U170" s="242"/>
      <c r="V170" s="242"/>
      <c r="W170" s="242"/>
      <c r="X170" s="242"/>
      <c r="Y170" s="242"/>
      <c r="Z170" s="242"/>
    </row>
    <row r="171">
      <c r="A171" s="340"/>
      <c r="B171" s="242"/>
      <c r="C171" s="242"/>
      <c r="D171" s="242"/>
      <c r="E171" s="13"/>
      <c r="F171" s="13"/>
      <c r="G171" s="13"/>
      <c r="H171" s="13"/>
      <c r="I171" s="13"/>
      <c r="J171" s="13"/>
      <c r="K171" s="13"/>
      <c r="L171" s="242"/>
      <c r="M171" s="242"/>
      <c r="N171" s="242"/>
      <c r="O171" s="242"/>
      <c r="P171" s="242"/>
      <c r="Q171" s="242"/>
      <c r="R171" s="242"/>
      <c r="S171" s="242"/>
      <c r="T171" s="242"/>
      <c r="U171" s="242"/>
      <c r="V171" s="242"/>
      <c r="W171" s="242"/>
      <c r="X171" s="242"/>
      <c r="Y171" s="242"/>
      <c r="Z171" s="242"/>
    </row>
    <row r="172">
      <c r="A172" s="340"/>
      <c r="B172" s="242"/>
      <c r="C172" s="242"/>
      <c r="D172" s="242"/>
      <c r="E172" s="13"/>
      <c r="F172" s="13"/>
      <c r="G172" s="13"/>
      <c r="H172" s="13"/>
      <c r="I172" s="13"/>
      <c r="J172" s="13"/>
      <c r="K172" s="13"/>
      <c r="L172" s="242"/>
      <c r="M172" s="242"/>
      <c r="N172" s="242"/>
      <c r="O172" s="242"/>
      <c r="P172" s="242"/>
      <c r="Q172" s="242"/>
      <c r="R172" s="242"/>
      <c r="S172" s="242"/>
      <c r="T172" s="242"/>
      <c r="U172" s="242"/>
      <c r="V172" s="242"/>
      <c r="W172" s="242"/>
      <c r="X172" s="242"/>
      <c r="Y172" s="242"/>
      <c r="Z172" s="242"/>
    </row>
    <row r="173">
      <c r="A173" s="340"/>
      <c r="B173" s="242"/>
      <c r="C173" s="242"/>
      <c r="D173" s="242"/>
      <c r="E173" s="13"/>
      <c r="F173" s="13"/>
      <c r="G173" s="13"/>
      <c r="H173" s="13"/>
      <c r="I173" s="13"/>
      <c r="J173" s="13"/>
      <c r="K173" s="13"/>
      <c r="L173" s="242"/>
      <c r="M173" s="242"/>
      <c r="N173" s="242"/>
      <c r="O173" s="242"/>
      <c r="P173" s="242"/>
      <c r="Q173" s="242"/>
      <c r="R173" s="242"/>
      <c r="S173" s="242"/>
      <c r="T173" s="242"/>
      <c r="U173" s="242"/>
      <c r="V173" s="242"/>
      <c r="W173" s="242"/>
      <c r="X173" s="242"/>
      <c r="Y173" s="242"/>
      <c r="Z173" s="242"/>
    </row>
    <row r="174">
      <c r="A174" s="340"/>
      <c r="B174" s="242"/>
      <c r="C174" s="242"/>
      <c r="D174" s="242"/>
      <c r="E174" s="13"/>
      <c r="F174" s="13"/>
      <c r="G174" s="13"/>
      <c r="H174" s="13"/>
      <c r="I174" s="13"/>
      <c r="J174" s="13"/>
      <c r="K174" s="13"/>
      <c r="L174" s="242"/>
      <c r="M174" s="242"/>
      <c r="N174" s="242"/>
      <c r="O174" s="242"/>
      <c r="P174" s="242"/>
      <c r="Q174" s="242"/>
      <c r="R174" s="242"/>
      <c r="S174" s="242"/>
      <c r="T174" s="242"/>
      <c r="U174" s="242"/>
      <c r="V174" s="242"/>
      <c r="W174" s="242"/>
      <c r="X174" s="242"/>
      <c r="Y174" s="242"/>
      <c r="Z174" s="242"/>
    </row>
    <row r="175">
      <c r="A175" s="340"/>
      <c r="B175" s="242"/>
      <c r="C175" s="242"/>
      <c r="D175" s="242"/>
      <c r="E175" s="13"/>
      <c r="F175" s="13"/>
      <c r="G175" s="13"/>
      <c r="H175" s="13"/>
      <c r="I175" s="13"/>
      <c r="J175" s="13"/>
      <c r="K175" s="13"/>
      <c r="L175" s="242"/>
      <c r="M175" s="242"/>
      <c r="N175" s="242"/>
      <c r="O175" s="242"/>
      <c r="P175" s="242"/>
      <c r="Q175" s="242"/>
      <c r="R175" s="242"/>
      <c r="S175" s="242"/>
      <c r="T175" s="242"/>
      <c r="U175" s="242"/>
      <c r="V175" s="242"/>
      <c r="W175" s="242"/>
      <c r="X175" s="242"/>
      <c r="Y175" s="242"/>
      <c r="Z175" s="242"/>
    </row>
    <row r="176">
      <c r="A176" s="340"/>
      <c r="B176" s="242"/>
      <c r="C176" s="242"/>
      <c r="D176" s="242"/>
      <c r="E176" s="13"/>
      <c r="F176" s="13"/>
      <c r="G176" s="13"/>
      <c r="H176" s="13"/>
      <c r="I176" s="13"/>
      <c r="J176" s="13"/>
      <c r="K176" s="13"/>
      <c r="L176" s="242"/>
      <c r="M176" s="242"/>
      <c r="N176" s="242"/>
      <c r="O176" s="242"/>
      <c r="P176" s="242"/>
      <c r="Q176" s="242"/>
      <c r="R176" s="242"/>
      <c r="S176" s="242"/>
      <c r="T176" s="242"/>
      <c r="U176" s="242"/>
      <c r="V176" s="242"/>
      <c r="W176" s="242"/>
      <c r="X176" s="242"/>
      <c r="Y176" s="242"/>
      <c r="Z176" s="242"/>
    </row>
    <row r="177">
      <c r="A177" s="340"/>
      <c r="B177" s="242"/>
      <c r="C177" s="242"/>
      <c r="D177" s="242"/>
      <c r="E177" s="13"/>
      <c r="F177" s="13"/>
      <c r="G177" s="13"/>
      <c r="H177" s="13"/>
      <c r="I177" s="13"/>
      <c r="J177" s="13"/>
      <c r="K177" s="13"/>
      <c r="L177" s="242"/>
      <c r="M177" s="242"/>
      <c r="N177" s="242"/>
      <c r="O177" s="242"/>
      <c r="P177" s="242"/>
      <c r="Q177" s="242"/>
      <c r="R177" s="242"/>
      <c r="S177" s="242"/>
      <c r="T177" s="242"/>
      <c r="U177" s="242"/>
      <c r="V177" s="242"/>
      <c r="W177" s="242"/>
      <c r="X177" s="242"/>
      <c r="Y177" s="242"/>
      <c r="Z177" s="242"/>
    </row>
    <row r="178">
      <c r="A178" s="340"/>
      <c r="B178" s="242"/>
      <c r="C178" s="242"/>
      <c r="D178" s="242"/>
      <c r="E178" s="13"/>
      <c r="F178" s="13"/>
      <c r="G178" s="13"/>
      <c r="H178" s="13"/>
      <c r="I178" s="13"/>
      <c r="J178" s="13"/>
      <c r="K178" s="13"/>
      <c r="L178" s="242"/>
      <c r="M178" s="242"/>
      <c r="N178" s="242"/>
      <c r="O178" s="242"/>
      <c r="P178" s="242"/>
      <c r="Q178" s="242"/>
      <c r="R178" s="242"/>
      <c r="S178" s="242"/>
      <c r="T178" s="242"/>
      <c r="U178" s="242"/>
      <c r="V178" s="242"/>
      <c r="W178" s="242"/>
      <c r="X178" s="242"/>
      <c r="Y178" s="242"/>
      <c r="Z178" s="242"/>
    </row>
    <row r="179">
      <c r="A179" s="340"/>
      <c r="B179" s="242"/>
      <c r="C179" s="242"/>
      <c r="D179" s="242"/>
      <c r="E179" s="13"/>
      <c r="F179" s="13"/>
      <c r="G179" s="13"/>
      <c r="H179" s="13"/>
      <c r="I179" s="13"/>
      <c r="J179" s="13"/>
      <c r="K179" s="13"/>
      <c r="L179" s="242"/>
      <c r="M179" s="242"/>
      <c r="N179" s="242"/>
      <c r="O179" s="242"/>
      <c r="P179" s="242"/>
      <c r="Q179" s="242"/>
      <c r="R179" s="242"/>
      <c r="S179" s="242"/>
      <c r="T179" s="242"/>
      <c r="U179" s="242"/>
      <c r="V179" s="242"/>
      <c r="W179" s="242"/>
      <c r="X179" s="242"/>
      <c r="Y179" s="242"/>
      <c r="Z179" s="242"/>
    </row>
    <row r="180">
      <c r="A180" s="340"/>
      <c r="B180" s="242"/>
      <c r="C180" s="242"/>
      <c r="D180" s="242"/>
      <c r="E180" s="13"/>
      <c r="F180" s="13"/>
      <c r="G180" s="13"/>
      <c r="H180" s="13"/>
      <c r="I180" s="13"/>
      <c r="J180" s="13"/>
      <c r="K180" s="13"/>
      <c r="L180" s="242"/>
      <c r="M180" s="242"/>
      <c r="N180" s="242"/>
      <c r="O180" s="242"/>
      <c r="P180" s="242"/>
      <c r="Q180" s="242"/>
      <c r="R180" s="242"/>
      <c r="S180" s="242"/>
      <c r="T180" s="242"/>
      <c r="U180" s="242"/>
      <c r="V180" s="242"/>
      <c r="W180" s="242"/>
      <c r="X180" s="242"/>
      <c r="Y180" s="242"/>
      <c r="Z180" s="242"/>
    </row>
    <row r="181">
      <c r="A181" s="340"/>
      <c r="B181" s="242"/>
      <c r="C181" s="242"/>
      <c r="D181" s="242"/>
      <c r="E181" s="13"/>
      <c r="F181" s="13"/>
      <c r="G181" s="13"/>
      <c r="H181" s="13"/>
      <c r="I181" s="13"/>
      <c r="J181" s="13"/>
      <c r="K181" s="13"/>
      <c r="L181" s="242"/>
      <c r="M181" s="242"/>
      <c r="N181" s="242"/>
      <c r="O181" s="242"/>
      <c r="P181" s="242"/>
      <c r="Q181" s="242"/>
      <c r="R181" s="242"/>
      <c r="S181" s="242"/>
      <c r="T181" s="242"/>
      <c r="U181" s="242"/>
      <c r="V181" s="242"/>
      <c r="W181" s="242"/>
      <c r="X181" s="242"/>
      <c r="Y181" s="242"/>
      <c r="Z181" s="242"/>
    </row>
    <row r="182">
      <c r="A182" s="340"/>
      <c r="B182" s="242"/>
      <c r="C182" s="242"/>
      <c r="D182" s="242"/>
      <c r="E182" s="13"/>
      <c r="F182" s="13"/>
      <c r="G182" s="13"/>
      <c r="H182" s="13"/>
      <c r="I182" s="13"/>
      <c r="J182" s="13"/>
      <c r="K182" s="13"/>
      <c r="L182" s="242"/>
      <c r="M182" s="242"/>
      <c r="N182" s="242"/>
      <c r="O182" s="242"/>
      <c r="P182" s="242"/>
      <c r="Q182" s="242"/>
      <c r="R182" s="242"/>
      <c r="S182" s="242"/>
      <c r="T182" s="242"/>
      <c r="U182" s="242"/>
      <c r="V182" s="242"/>
      <c r="W182" s="242"/>
      <c r="X182" s="242"/>
      <c r="Y182" s="242"/>
      <c r="Z182" s="242"/>
    </row>
    <row r="183">
      <c r="A183" s="340"/>
      <c r="B183" s="242"/>
      <c r="C183" s="242"/>
      <c r="D183" s="242"/>
      <c r="E183" s="13"/>
      <c r="F183" s="13"/>
      <c r="G183" s="13"/>
      <c r="H183" s="13"/>
      <c r="I183" s="13"/>
      <c r="J183" s="13"/>
      <c r="K183" s="13"/>
      <c r="L183" s="242"/>
      <c r="M183" s="242"/>
      <c r="N183" s="242"/>
      <c r="O183" s="242"/>
      <c r="P183" s="242"/>
      <c r="Q183" s="242"/>
      <c r="R183" s="242"/>
      <c r="S183" s="242"/>
      <c r="T183" s="242"/>
      <c r="U183" s="242"/>
      <c r="V183" s="242"/>
      <c r="W183" s="242"/>
      <c r="X183" s="242"/>
      <c r="Y183" s="242"/>
      <c r="Z183" s="242"/>
    </row>
    <row r="184">
      <c r="A184" s="340"/>
      <c r="B184" s="242"/>
      <c r="C184" s="242"/>
      <c r="D184" s="242"/>
      <c r="E184" s="13"/>
      <c r="F184" s="13"/>
      <c r="G184" s="13"/>
      <c r="H184" s="13"/>
      <c r="I184" s="13"/>
      <c r="J184" s="13"/>
      <c r="K184" s="13"/>
      <c r="L184" s="242"/>
      <c r="M184" s="242"/>
      <c r="N184" s="242"/>
      <c r="O184" s="242"/>
      <c r="P184" s="242"/>
      <c r="Q184" s="242"/>
      <c r="R184" s="242"/>
      <c r="S184" s="242"/>
      <c r="T184" s="242"/>
      <c r="U184" s="242"/>
      <c r="V184" s="242"/>
      <c r="W184" s="242"/>
      <c r="X184" s="242"/>
      <c r="Y184" s="242"/>
      <c r="Z184" s="242"/>
    </row>
    <row r="185">
      <c r="A185" s="340"/>
      <c r="B185" s="242"/>
      <c r="C185" s="242"/>
      <c r="D185" s="242"/>
      <c r="E185" s="13"/>
      <c r="F185" s="13"/>
      <c r="G185" s="13"/>
      <c r="H185" s="13"/>
      <c r="I185" s="13"/>
      <c r="J185" s="13"/>
      <c r="K185" s="13"/>
      <c r="L185" s="242"/>
      <c r="M185" s="242"/>
      <c r="N185" s="242"/>
      <c r="O185" s="242"/>
      <c r="P185" s="242"/>
      <c r="Q185" s="242"/>
      <c r="R185" s="242"/>
      <c r="S185" s="242"/>
      <c r="T185" s="242"/>
      <c r="U185" s="242"/>
      <c r="V185" s="242"/>
      <c r="W185" s="242"/>
      <c r="X185" s="242"/>
      <c r="Y185" s="242"/>
      <c r="Z185" s="242"/>
    </row>
    <row r="186">
      <c r="A186" s="340"/>
      <c r="B186" s="242"/>
      <c r="C186" s="242"/>
      <c r="D186" s="242"/>
      <c r="E186" s="13"/>
      <c r="F186" s="13"/>
      <c r="G186" s="13"/>
      <c r="H186" s="13"/>
      <c r="I186" s="13"/>
      <c r="J186" s="13"/>
      <c r="K186" s="13"/>
      <c r="L186" s="242"/>
      <c r="M186" s="242"/>
      <c r="N186" s="242"/>
      <c r="O186" s="242"/>
      <c r="P186" s="242"/>
      <c r="Q186" s="242"/>
      <c r="R186" s="242"/>
      <c r="S186" s="242"/>
      <c r="T186" s="242"/>
      <c r="U186" s="242"/>
      <c r="V186" s="242"/>
      <c r="W186" s="242"/>
      <c r="X186" s="242"/>
      <c r="Y186" s="242"/>
      <c r="Z186" s="242"/>
    </row>
    <row r="187">
      <c r="A187" s="340"/>
      <c r="B187" s="242"/>
      <c r="C187" s="242"/>
      <c r="D187" s="242"/>
      <c r="E187" s="13"/>
      <c r="F187" s="13"/>
      <c r="G187" s="13"/>
      <c r="H187" s="13"/>
      <c r="I187" s="13"/>
      <c r="J187" s="13"/>
      <c r="K187" s="13"/>
      <c r="L187" s="242"/>
      <c r="M187" s="242"/>
      <c r="N187" s="242"/>
      <c r="O187" s="242"/>
      <c r="P187" s="242"/>
      <c r="Q187" s="242"/>
      <c r="R187" s="242"/>
      <c r="S187" s="242"/>
      <c r="T187" s="242"/>
      <c r="U187" s="242"/>
      <c r="V187" s="242"/>
      <c r="W187" s="242"/>
      <c r="X187" s="242"/>
      <c r="Y187" s="242"/>
      <c r="Z187" s="242"/>
    </row>
    <row r="188">
      <c r="A188" s="340"/>
      <c r="B188" s="242"/>
      <c r="C188" s="242"/>
      <c r="D188" s="242"/>
      <c r="E188" s="13"/>
      <c r="F188" s="13"/>
      <c r="G188" s="13"/>
      <c r="H188" s="13"/>
      <c r="I188" s="13"/>
      <c r="J188" s="13"/>
      <c r="K188" s="13"/>
      <c r="L188" s="242"/>
      <c r="M188" s="242"/>
      <c r="N188" s="242"/>
      <c r="O188" s="242"/>
      <c r="P188" s="242"/>
      <c r="Q188" s="242"/>
      <c r="R188" s="242"/>
      <c r="S188" s="242"/>
      <c r="T188" s="242"/>
      <c r="U188" s="242"/>
      <c r="V188" s="242"/>
      <c r="W188" s="242"/>
      <c r="X188" s="242"/>
      <c r="Y188" s="242"/>
      <c r="Z188" s="242"/>
    </row>
    <row r="189">
      <c r="A189" s="340"/>
      <c r="B189" s="242"/>
      <c r="C189" s="242"/>
      <c r="D189" s="242"/>
      <c r="E189" s="13"/>
      <c r="F189" s="13"/>
      <c r="G189" s="13"/>
      <c r="H189" s="13"/>
      <c r="I189" s="13"/>
      <c r="J189" s="13"/>
      <c r="K189" s="13"/>
      <c r="L189" s="242"/>
      <c r="M189" s="242"/>
      <c r="N189" s="242"/>
      <c r="O189" s="242"/>
      <c r="P189" s="242"/>
      <c r="Q189" s="242"/>
      <c r="R189" s="242"/>
      <c r="S189" s="242"/>
      <c r="T189" s="242"/>
      <c r="U189" s="242"/>
      <c r="V189" s="242"/>
      <c r="W189" s="242"/>
      <c r="X189" s="242"/>
      <c r="Y189" s="242"/>
      <c r="Z189" s="242"/>
    </row>
    <row r="190">
      <c r="A190" s="340"/>
      <c r="B190" s="242"/>
      <c r="C190" s="242"/>
      <c r="D190" s="242"/>
      <c r="E190" s="13"/>
      <c r="F190" s="13"/>
      <c r="G190" s="13"/>
      <c r="H190" s="13"/>
      <c r="I190" s="13"/>
      <c r="J190" s="13"/>
      <c r="K190" s="13"/>
      <c r="L190" s="242"/>
      <c r="M190" s="242"/>
      <c r="N190" s="242"/>
      <c r="O190" s="242"/>
      <c r="P190" s="242"/>
      <c r="Q190" s="242"/>
      <c r="R190" s="242"/>
      <c r="S190" s="242"/>
      <c r="T190" s="242"/>
      <c r="U190" s="242"/>
      <c r="V190" s="242"/>
      <c r="W190" s="242"/>
      <c r="X190" s="242"/>
      <c r="Y190" s="242"/>
      <c r="Z190" s="242"/>
    </row>
    <row r="191">
      <c r="A191" s="340"/>
      <c r="B191" s="242"/>
      <c r="C191" s="242"/>
      <c r="D191" s="242"/>
      <c r="E191" s="13"/>
      <c r="F191" s="13"/>
      <c r="G191" s="13"/>
      <c r="H191" s="13"/>
      <c r="I191" s="13"/>
      <c r="J191" s="13"/>
      <c r="K191" s="13"/>
      <c r="L191" s="242"/>
      <c r="M191" s="242"/>
      <c r="N191" s="242"/>
      <c r="O191" s="242"/>
      <c r="P191" s="242"/>
      <c r="Q191" s="242"/>
      <c r="R191" s="242"/>
      <c r="S191" s="242"/>
      <c r="T191" s="242"/>
      <c r="U191" s="242"/>
      <c r="V191" s="242"/>
      <c r="W191" s="242"/>
      <c r="X191" s="242"/>
      <c r="Y191" s="242"/>
      <c r="Z191" s="242"/>
    </row>
    <row r="192">
      <c r="A192" s="340"/>
      <c r="B192" s="242"/>
      <c r="C192" s="242"/>
      <c r="D192" s="242"/>
      <c r="E192" s="13"/>
      <c r="F192" s="13"/>
      <c r="G192" s="13"/>
      <c r="H192" s="13"/>
      <c r="I192" s="13"/>
      <c r="J192" s="13"/>
      <c r="K192" s="13"/>
      <c r="L192" s="242"/>
      <c r="M192" s="242"/>
      <c r="N192" s="242"/>
      <c r="O192" s="242"/>
      <c r="P192" s="242"/>
      <c r="Q192" s="242"/>
      <c r="R192" s="242"/>
      <c r="S192" s="242"/>
      <c r="T192" s="242"/>
      <c r="U192" s="242"/>
      <c r="V192" s="242"/>
      <c r="W192" s="242"/>
      <c r="X192" s="242"/>
      <c r="Y192" s="242"/>
      <c r="Z192" s="242"/>
    </row>
    <row r="193">
      <c r="A193" s="340"/>
      <c r="B193" s="242"/>
      <c r="C193" s="242"/>
      <c r="D193" s="242"/>
      <c r="E193" s="13"/>
      <c r="F193" s="13"/>
      <c r="G193" s="13"/>
      <c r="H193" s="13"/>
      <c r="I193" s="13"/>
      <c r="J193" s="13"/>
      <c r="K193" s="13"/>
      <c r="L193" s="242"/>
      <c r="M193" s="242"/>
      <c r="N193" s="242"/>
      <c r="O193" s="242"/>
      <c r="P193" s="242"/>
      <c r="Q193" s="242"/>
      <c r="R193" s="242"/>
      <c r="S193" s="242"/>
      <c r="T193" s="242"/>
      <c r="U193" s="242"/>
      <c r="V193" s="242"/>
      <c r="W193" s="242"/>
      <c r="X193" s="242"/>
      <c r="Y193" s="242"/>
      <c r="Z193" s="242"/>
    </row>
    <row r="194">
      <c r="A194" s="340"/>
      <c r="B194" s="242"/>
      <c r="C194" s="242"/>
      <c r="D194" s="242"/>
      <c r="E194" s="13"/>
      <c r="F194" s="13"/>
      <c r="G194" s="13"/>
      <c r="H194" s="13"/>
      <c r="I194" s="13"/>
      <c r="J194" s="13"/>
      <c r="K194" s="13"/>
      <c r="L194" s="242"/>
      <c r="M194" s="242"/>
      <c r="N194" s="242"/>
      <c r="O194" s="242"/>
      <c r="P194" s="242"/>
      <c r="Q194" s="242"/>
      <c r="R194" s="242"/>
      <c r="S194" s="242"/>
      <c r="T194" s="242"/>
      <c r="U194" s="242"/>
      <c r="V194" s="242"/>
      <c r="W194" s="242"/>
      <c r="X194" s="242"/>
      <c r="Y194" s="242"/>
      <c r="Z194" s="242"/>
    </row>
    <row r="195">
      <c r="A195" s="340"/>
      <c r="B195" s="242"/>
      <c r="C195" s="242"/>
      <c r="D195" s="242"/>
      <c r="E195" s="13"/>
      <c r="F195" s="13"/>
      <c r="G195" s="13"/>
      <c r="H195" s="13"/>
      <c r="I195" s="13"/>
      <c r="J195" s="13"/>
      <c r="K195" s="13"/>
      <c r="L195" s="242"/>
      <c r="M195" s="242"/>
      <c r="N195" s="242"/>
      <c r="O195" s="242"/>
      <c r="P195" s="242"/>
      <c r="Q195" s="242"/>
      <c r="R195" s="242"/>
      <c r="S195" s="242"/>
      <c r="T195" s="242"/>
      <c r="U195" s="242"/>
      <c r="V195" s="242"/>
      <c r="W195" s="242"/>
      <c r="X195" s="242"/>
      <c r="Y195" s="242"/>
      <c r="Z195" s="242"/>
    </row>
    <row r="196">
      <c r="A196" s="340"/>
      <c r="B196" s="242"/>
      <c r="C196" s="242"/>
      <c r="D196" s="242"/>
      <c r="E196" s="13"/>
      <c r="F196" s="13"/>
      <c r="G196" s="13"/>
      <c r="H196" s="13"/>
      <c r="I196" s="13"/>
      <c r="J196" s="13"/>
      <c r="K196" s="13"/>
      <c r="L196" s="242"/>
      <c r="M196" s="242"/>
      <c r="N196" s="242"/>
      <c r="O196" s="242"/>
      <c r="P196" s="242"/>
      <c r="Q196" s="242"/>
      <c r="R196" s="242"/>
      <c r="S196" s="242"/>
      <c r="T196" s="242"/>
      <c r="U196" s="242"/>
      <c r="V196" s="242"/>
      <c r="W196" s="242"/>
      <c r="X196" s="242"/>
      <c r="Y196" s="242"/>
      <c r="Z196" s="242"/>
    </row>
    <row r="197">
      <c r="A197" s="340"/>
      <c r="B197" s="242"/>
      <c r="C197" s="242"/>
      <c r="D197" s="242"/>
      <c r="E197" s="13"/>
      <c r="F197" s="13"/>
      <c r="G197" s="13"/>
      <c r="H197" s="13"/>
      <c r="I197" s="13"/>
      <c r="J197" s="13"/>
      <c r="K197" s="13"/>
      <c r="L197" s="242"/>
      <c r="M197" s="242"/>
      <c r="N197" s="242"/>
      <c r="O197" s="242"/>
      <c r="P197" s="242"/>
      <c r="Q197" s="242"/>
      <c r="R197" s="242"/>
      <c r="S197" s="242"/>
      <c r="T197" s="242"/>
      <c r="U197" s="242"/>
      <c r="V197" s="242"/>
      <c r="W197" s="242"/>
      <c r="X197" s="242"/>
      <c r="Y197" s="242"/>
      <c r="Z197" s="242"/>
    </row>
    <row r="198">
      <c r="A198" s="340"/>
      <c r="B198" s="242"/>
      <c r="C198" s="242"/>
      <c r="D198" s="242"/>
      <c r="E198" s="13"/>
      <c r="F198" s="13"/>
      <c r="G198" s="13"/>
      <c r="H198" s="13"/>
      <c r="I198" s="13"/>
      <c r="J198" s="13"/>
      <c r="K198" s="13"/>
      <c r="L198" s="242"/>
      <c r="M198" s="242"/>
      <c r="N198" s="242"/>
      <c r="O198" s="242"/>
      <c r="P198" s="242"/>
      <c r="Q198" s="242"/>
      <c r="R198" s="242"/>
      <c r="S198" s="242"/>
      <c r="T198" s="242"/>
      <c r="U198" s="242"/>
      <c r="V198" s="242"/>
      <c r="W198" s="242"/>
      <c r="X198" s="242"/>
      <c r="Y198" s="242"/>
      <c r="Z198" s="242"/>
    </row>
    <row r="199">
      <c r="A199" s="340"/>
      <c r="B199" s="242"/>
      <c r="C199" s="242"/>
      <c r="D199" s="242"/>
      <c r="E199" s="13"/>
      <c r="F199" s="13"/>
      <c r="G199" s="13"/>
      <c r="H199" s="13"/>
      <c r="I199" s="13"/>
      <c r="J199" s="13"/>
      <c r="K199" s="13"/>
      <c r="L199" s="242"/>
      <c r="M199" s="242"/>
      <c r="N199" s="242"/>
      <c r="O199" s="242"/>
      <c r="P199" s="242"/>
      <c r="Q199" s="242"/>
      <c r="R199" s="242"/>
      <c r="S199" s="242"/>
      <c r="T199" s="242"/>
      <c r="U199" s="242"/>
      <c r="V199" s="242"/>
      <c r="W199" s="242"/>
      <c r="X199" s="242"/>
      <c r="Y199" s="242"/>
      <c r="Z199" s="242"/>
    </row>
    <row r="200">
      <c r="A200" s="340"/>
      <c r="B200" s="242"/>
      <c r="C200" s="242"/>
      <c r="D200" s="242"/>
      <c r="E200" s="13"/>
      <c r="F200" s="13"/>
      <c r="G200" s="13"/>
      <c r="H200" s="13"/>
      <c r="I200" s="13"/>
      <c r="J200" s="13"/>
      <c r="K200" s="13"/>
      <c r="L200" s="242"/>
      <c r="M200" s="242"/>
      <c r="N200" s="242"/>
      <c r="O200" s="242"/>
      <c r="P200" s="242"/>
      <c r="Q200" s="242"/>
      <c r="R200" s="242"/>
      <c r="S200" s="242"/>
      <c r="T200" s="242"/>
      <c r="U200" s="242"/>
      <c r="V200" s="242"/>
      <c r="W200" s="242"/>
      <c r="X200" s="242"/>
      <c r="Y200" s="242"/>
      <c r="Z200" s="242"/>
    </row>
    <row r="201">
      <c r="A201" s="340"/>
      <c r="B201" s="242"/>
      <c r="C201" s="242"/>
      <c r="D201" s="242"/>
      <c r="E201" s="13"/>
      <c r="F201" s="13"/>
      <c r="G201" s="13"/>
      <c r="H201" s="13"/>
      <c r="I201" s="13"/>
      <c r="J201" s="13"/>
      <c r="K201" s="13"/>
      <c r="L201" s="242"/>
      <c r="M201" s="242"/>
      <c r="N201" s="242"/>
      <c r="O201" s="242"/>
      <c r="P201" s="242"/>
      <c r="Q201" s="242"/>
      <c r="R201" s="242"/>
      <c r="S201" s="242"/>
      <c r="T201" s="242"/>
      <c r="U201" s="242"/>
      <c r="V201" s="242"/>
      <c r="W201" s="242"/>
      <c r="X201" s="242"/>
      <c r="Y201" s="242"/>
      <c r="Z201" s="242"/>
    </row>
    <row r="202">
      <c r="A202" s="340"/>
      <c r="B202" s="242"/>
      <c r="C202" s="242"/>
      <c r="D202" s="242"/>
      <c r="E202" s="13"/>
      <c r="F202" s="13"/>
      <c r="G202" s="13"/>
      <c r="H202" s="13"/>
      <c r="I202" s="13"/>
      <c r="J202" s="13"/>
      <c r="K202" s="13"/>
      <c r="L202" s="242"/>
      <c r="M202" s="242"/>
      <c r="N202" s="242"/>
      <c r="O202" s="242"/>
      <c r="P202" s="242"/>
      <c r="Q202" s="242"/>
      <c r="R202" s="242"/>
      <c r="S202" s="242"/>
      <c r="T202" s="242"/>
      <c r="U202" s="242"/>
      <c r="V202" s="242"/>
      <c r="W202" s="242"/>
      <c r="X202" s="242"/>
      <c r="Y202" s="242"/>
      <c r="Z202" s="242"/>
    </row>
    <row r="203">
      <c r="A203" s="340"/>
      <c r="B203" s="242"/>
      <c r="C203" s="242"/>
      <c r="D203" s="242"/>
      <c r="E203" s="13"/>
      <c r="F203" s="13"/>
      <c r="G203" s="13"/>
      <c r="H203" s="13"/>
      <c r="I203" s="13"/>
      <c r="J203" s="13"/>
      <c r="K203" s="13"/>
      <c r="L203" s="242"/>
      <c r="M203" s="242"/>
      <c r="N203" s="242"/>
      <c r="O203" s="242"/>
      <c r="P203" s="242"/>
      <c r="Q203" s="242"/>
      <c r="R203" s="242"/>
      <c r="S203" s="242"/>
      <c r="T203" s="242"/>
      <c r="U203" s="242"/>
      <c r="V203" s="242"/>
      <c r="W203" s="242"/>
      <c r="X203" s="242"/>
      <c r="Y203" s="242"/>
      <c r="Z203" s="242"/>
    </row>
    <row r="204">
      <c r="A204" s="340"/>
      <c r="B204" s="242"/>
      <c r="C204" s="242"/>
      <c r="D204" s="242"/>
      <c r="E204" s="13"/>
      <c r="F204" s="13"/>
      <c r="G204" s="13"/>
      <c r="H204" s="13"/>
      <c r="I204" s="13"/>
      <c r="J204" s="13"/>
      <c r="K204" s="13"/>
      <c r="L204" s="242"/>
      <c r="M204" s="242"/>
      <c r="N204" s="242"/>
      <c r="O204" s="242"/>
      <c r="P204" s="242"/>
      <c r="Q204" s="242"/>
      <c r="R204" s="242"/>
      <c r="S204" s="242"/>
      <c r="T204" s="242"/>
      <c r="U204" s="242"/>
      <c r="V204" s="242"/>
      <c r="W204" s="242"/>
      <c r="X204" s="242"/>
      <c r="Y204" s="242"/>
      <c r="Z204" s="242"/>
    </row>
    <row r="205">
      <c r="A205" s="340"/>
      <c r="B205" s="242"/>
      <c r="C205" s="242"/>
      <c r="D205" s="242"/>
      <c r="E205" s="13"/>
      <c r="F205" s="13"/>
      <c r="G205" s="13"/>
      <c r="H205" s="13"/>
      <c r="I205" s="13"/>
      <c r="J205" s="13"/>
      <c r="K205" s="13"/>
      <c r="L205" s="242"/>
      <c r="M205" s="242"/>
      <c r="N205" s="242"/>
      <c r="O205" s="242"/>
      <c r="P205" s="242"/>
      <c r="Q205" s="242"/>
      <c r="R205" s="242"/>
      <c r="S205" s="242"/>
      <c r="T205" s="242"/>
      <c r="U205" s="242"/>
      <c r="V205" s="242"/>
      <c r="W205" s="242"/>
      <c r="X205" s="242"/>
      <c r="Y205" s="242"/>
      <c r="Z205" s="242"/>
    </row>
    <row r="206">
      <c r="A206" s="340"/>
      <c r="B206" s="242"/>
      <c r="C206" s="242"/>
      <c r="D206" s="242"/>
      <c r="E206" s="13"/>
      <c r="F206" s="13"/>
      <c r="G206" s="13"/>
      <c r="H206" s="13"/>
      <c r="I206" s="13"/>
      <c r="J206" s="13"/>
      <c r="K206" s="13"/>
      <c r="L206" s="242"/>
      <c r="M206" s="242"/>
      <c r="N206" s="242"/>
      <c r="O206" s="242"/>
      <c r="P206" s="242"/>
      <c r="Q206" s="242"/>
      <c r="R206" s="242"/>
      <c r="S206" s="242"/>
      <c r="T206" s="242"/>
      <c r="U206" s="242"/>
      <c r="V206" s="242"/>
      <c r="W206" s="242"/>
      <c r="X206" s="242"/>
      <c r="Y206" s="242"/>
      <c r="Z206" s="242"/>
    </row>
    <row r="207">
      <c r="A207" s="340"/>
      <c r="B207" s="242"/>
      <c r="C207" s="242"/>
      <c r="D207" s="242"/>
      <c r="E207" s="13"/>
      <c r="F207" s="13"/>
      <c r="G207" s="13"/>
      <c r="H207" s="13"/>
      <c r="I207" s="13"/>
      <c r="J207" s="13"/>
      <c r="K207" s="13"/>
      <c r="L207" s="242"/>
      <c r="M207" s="242"/>
      <c r="N207" s="242"/>
      <c r="O207" s="242"/>
      <c r="P207" s="242"/>
      <c r="Q207" s="242"/>
      <c r="R207" s="242"/>
      <c r="S207" s="242"/>
      <c r="T207" s="242"/>
      <c r="U207" s="242"/>
      <c r="V207" s="242"/>
      <c r="W207" s="242"/>
      <c r="X207" s="242"/>
      <c r="Y207" s="242"/>
      <c r="Z207" s="242"/>
    </row>
    <row r="208">
      <c r="A208" s="340"/>
      <c r="B208" s="242"/>
      <c r="C208" s="242"/>
      <c r="D208" s="242"/>
      <c r="E208" s="13"/>
      <c r="F208" s="13"/>
      <c r="G208" s="13"/>
      <c r="H208" s="13"/>
      <c r="I208" s="13"/>
      <c r="J208" s="13"/>
      <c r="K208" s="13"/>
      <c r="L208" s="242"/>
      <c r="M208" s="242"/>
      <c r="N208" s="242"/>
      <c r="O208" s="242"/>
      <c r="P208" s="242"/>
      <c r="Q208" s="242"/>
      <c r="R208" s="242"/>
      <c r="S208" s="242"/>
      <c r="T208" s="242"/>
      <c r="U208" s="242"/>
      <c r="V208" s="242"/>
      <c r="W208" s="242"/>
      <c r="X208" s="242"/>
      <c r="Y208" s="242"/>
      <c r="Z208" s="242"/>
    </row>
    <row r="209">
      <c r="A209" s="340"/>
      <c r="B209" s="242"/>
      <c r="C209" s="242"/>
      <c r="D209" s="242"/>
      <c r="E209" s="13"/>
      <c r="F209" s="13"/>
      <c r="G209" s="13"/>
      <c r="H209" s="13"/>
      <c r="I209" s="13"/>
      <c r="J209" s="13"/>
      <c r="K209" s="13"/>
      <c r="L209" s="242"/>
      <c r="M209" s="242"/>
      <c r="N209" s="242"/>
      <c r="O209" s="242"/>
      <c r="P209" s="242"/>
      <c r="Q209" s="242"/>
      <c r="R209" s="242"/>
      <c r="S209" s="242"/>
      <c r="T209" s="242"/>
      <c r="U209" s="242"/>
      <c r="V209" s="242"/>
      <c r="W209" s="242"/>
      <c r="X209" s="242"/>
      <c r="Y209" s="242"/>
      <c r="Z209" s="242"/>
    </row>
    <row r="210">
      <c r="A210" s="340"/>
      <c r="B210" s="242"/>
      <c r="C210" s="242"/>
      <c r="D210" s="242"/>
      <c r="E210" s="13"/>
      <c r="F210" s="13"/>
      <c r="G210" s="13"/>
      <c r="H210" s="13"/>
      <c r="I210" s="13"/>
      <c r="J210" s="13"/>
      <c r="K210" s="13"/>
      <c r="L210" s="242"/>
      <c r="M210" s="242"/>
      <c r="N210" s="242"/>
      <c r="O210" s="242"/>
      <c r="P210" s="242"/>
      <c r="Q210" s="242"/>
      <c r="R210" s="242"/>
      <c r="S210" s="242"/>
      <c r="T210" s="242"/>
      <c r="U210" s="242"/>
      <c r="V210" s="242"/>
      <c r="W210" s="242"/>
      <c r="X210" s="242"/>
      <c r="Y210" s="242"/>
      <c r="Z210" s="242"/>
    </row>
    <row r="211">
      <c r="A211" s="340"/>
      <c r="B211" s="242"/>
      <c r="C211" s="242"/>
      <c r="D211" s="242"/>
      <c r="E211" s="13"/>
      <c r="F211" s="13"/>
      <c r="G211" s="13"/>
      <c r="H211" s="13"/>
      <c r="I211" s="13"/>
      <c r="J211" s="13"/>
      <c r="K211" s="13"/>
      <c r="L211" s="242"/>
      <c r="M211" s="242"/>
      <c r="N211" s="242"/>
      <c r="O211" s="242"/>
      <c r="P211" s="242"/>
      <c r="Q211" s="242"/>
      <c r="R211" s="242"/>
      <c r="S211" s="242"/>
      <c r="T211" s="242"/>
      <c r="U211" s="242"/>
      <c r="V211" s="242"/>
      <c r="W211" s="242"/>
      <c r="X211" s="242"/>
      <c r="Y211" s="242"/>
      <c r="Z211" s="242"/>
    </row>
    <row r="212">
      <c r="A212" s="340"/>
      <c r="B212" s="242"/>
      <c r="C212" s="242"/>
      <c r="D212" s="242"/>
      <c r="E212" s="13"/>
      <c r="F212" s="13"/>
      <c r="G212" s="13"/>
      <c r="H212" s="13"/>
      <c r="I212" s="13"/>
      <c r="J212" s="13"/>
      <c r="K212" s="13"/>
      <c r="L212" s="242"/>
      <c r="M212" s="242"/>
      <c r="N212" s="242"/>
      <c r="O212" s="242"/>
      <c r="P212" s="242"/>
      <c r="Q212" s="242"/>
      <c r="R212" s="242"/>
      <c r="S212" s="242"/>
      <c r="T212" s="242"/>
      <c r="U212" s="242"/>
      <c r="V212" s="242"/>
      <c r="W212" s="242"/>
      <c r="X212" s="242"/>
      <c r="Y212" s="242"/>
      <c r="Z212" s="242"/>
    </row>
    <row r="213">
      <c r="A213" s="340"/>
      <c r="B213" s="242"/>
      <c r="C213" s="242"/>
      <c r="D213" s="242"/>
      <c r="E213" s="13"/>
      <c r="F213" s="13"/>
      <c r="G213" s="13"/>
      <c r="H213" s="13"/>
      <c r="I213" s="13"/>
      <c r="J213" s="13"/>
      <c r="K213" s="13"/>
      <c r="L213" s="242"/>
      <c r="M213" s="242"/>
      <c r="N213" s="242"/>
      <c r="O213" s="242"/>
      <c r="P213" s="242"/>
      <c r="Q213" s="242"/>
      <c r="R213" s="242"/>
      <c r="S213" s="242"/>
      <c r="T213" s="242"/>
      <c r="U213" s="242"/>
      <c r="V213" s="242"/>
      <c r="W213" s="242"/>
      <c r="X213" s="242"/>
      <c r="Y213" s="242"/>
      <c r="Z213" s="242"/>
    </row>
    <row r="214">
      <c r="A214" s="340"/>
      <c r="B214" s="242"/>
      <c r="C214" s="242"/>
      <c r="D214" s="242"/>
      <c r="E214" s="13"/>
      <c r="F214" s="13"/>
      <c r="G214" s="13"/>
      <c r="H214" s="13"/>
      <c r="I214" s="13"/>
      <c r="J214" s="13"/>
      <c r="K214" s="13"/>
      <c r="L214" s="242"/>
      <c r="M214" s="242"/>
      <c r="N214" s="242"/>
      <c r="O214" s="242"/>
      <c r="P214" s="242"/>
      <c r="Q214" s="242"/>
      <c r="R214" s="242"/>
      <c r="S214" s="242"/>
      <c r="T214" s="242"/>
      <c r="U214" s="242"/>
      <c r="V214" s="242"/>
      <c r="W214" s="242"/>
      <c r="X214" s="242"/>
      <c r="Y214" s="242"/>
      <c r="Z214" s="242"/>
    </row>
    <row r="215">
      <c r="A215" s="340"/>
      <c r="B215" s="242"/>
      <c r="C215" s="242"/>
      <c r="D215" s="242"/>
      <c r="E215" s="13"/>
      <c r="F215" s="13"/>
      <c r="G215" s="13"/>
      <c r="H215" s="13"/>
      <c r="I215" s="13"/>
      <c r="J215" s="13"/>
      <c r="K215" s="13"/>
      <c r="L215" s="242"/>
      <c r="M215" s="242"/>
      <c r="N215" s="242"/>
      <c r="O215" s="242"/>
      <c r="P215" s="242"/>
      <c r="Q215" s="242"/>
      <c r="R215" s="242"/>
      <c r="S215" s="242"/>
      <c r="T215" s="242"/>
      <c r="U215" s="242"/>
      <c r="V215" s="242"/>
      <c r="W215" s="242"/>
      <c r="X215" s="242"/>
      <c r="Y215" s="242"/>
      <c r="Z215" s="242"/>
    </row>
    <row r="216">
      <c r="A216" s="340"/>
      <c r="B216" s="242"/>
      <c r="C216" s="242"/>
      <c r="D216" s="242"/>
      <c r="E216" s="13"/>
      <c r="F216" s="13"/>
      <c r="G216" s="13"/>
      <c r="H216" s="13"/>
      <c r="I216" s="13"/>
      <c r="J216" s="13"/>
      <c r="K216" s="13"/>
      <c r="L216" s="242"/>
      <c r="M216" s="242"/>
      <c r="N216" s="242"/>
      <c r="O216" s="242"/>
      <c r="P216" s="242"/>
      <c r="Q216" s="242"/>
      <c r="R216" s="242"/>
      <c r="S216" s="242"/>
      <c r="T216" s="242"/>
      <c r="U216" s="242"/>
      <c r="V216" s="242"/>
      <c r="W216" s="242"/>
      <c r="X216" s="242"/>
      <c r="Y216" s="242"/>
      <c r="Z216" s="242"/>
    </row>
    <row r="217">
      <c r="A217" s="340"/>
      <c r="B217" s="242"/>
      <c r="C217" s="242"/>
      <c r="D217" s="242"/>
      <c r="E217" s="13"/>
      <c r="F217" s="13"/>
      <c r="G217" s="13"/>
      <c r="H217" s="13"/>
      <c r="I217" s="13"/>
      <c r="J217" s="13"/>
      <c r="K217" s="13"/>
      <c r="L217" s="242"/>
      <c r="M217" s="242"/>
      <c r="N217" s="242"/>
      <c r="O217" s="242"/>
      <c r="P217" s="242"/>
      <c r="Q217" s="242"/>
      <c r="R217" s="242"/>
      <c r="S217" s="242"/>
      <c r="T217" s="242"/>
      <c r="U217" s="242"/>
      <c r="V217" s="242"/>
      <c r="W217" s="242"/>
      <c r="X217" s="242"/>
      <c r="Y217" s="242"/>
      <c r="Z217" s="242"/>
    </row>
    <row r="218">
      <c r="A218" s="340"/>
      <c r="B218" s="242"/>
      <c r="C218" s="242"/>
      <c r="D218" s="242"/>
      <c r="E218" s="13"/>
      <c r="F218" s="13"/>
      <c r="G218" s="13"/>
      <c r="H218" s="13"/>
      <c r="I218" s="13"/>
      <c r="J218" s="13"/>
      <c r="K218" s="13"/>
      <c r="L218" s="242"/>
      <c r="M218" s="242"/>
      <c r="N218" s="242"/>
      <c r="O218" s="242"/>
      <c r="P218" s="242"/>
      <c r="Q218" s="242"/>
      <c r="R218" s="242"/>
      <c r="S218" s="242"/>
      <c r="T218" s="242"/>
      <c r="U218" s="242"/>
      <c r="V218" s="242"/>
      <c r="W218" s="242"/>
      <c r="X218" s="242"/>
      <c r="Y218" s="242"/>
      <c r="Z218" s="242"/>
    </row>
    <row r="219">
      <c r="A219" s="340"/>
      <c r="B219" s="242"/>
      <c r="C219" s="242"/>
      <c r="D219" s="242"/>
      <c r="E219" s="13"/>
      <c r="F219" s="13"/>
      <c r="G219" s="13"/>
      <c r="H219" s="13"/>
      <c r="I219" s="13"/>
      <c r="J219" s="13"/>
      <c r="K219" s="13"/>
      <c r="L219" s="242"/>
      <c r="M219" s="242"/>
      <c r="N219" s="242"/>
      <c r="O219" s="242"/>
      <c r="P219" s="242"/>
      <c r="Q219" s="242"/>
      <c r="R219" s="242"/>
      <c r="S219" s="242"/>
      <c r="T219" s="242"/>
      <c r="U219" s="242"/>
      <c r="V219" s="242"/>
      <c r="W219" s="242"/>
      <c r="X219" s="242"/>
      <c r="Y219" s="242"/>
      <c r="Z219" s="242"/>
    </row>
    <row r="220">
      <c r="A220" s="340"/>
      <c r="B220" s="242"/>
      <c r="C220" s="242"/>
      <c r="D220" s="242"/>
      <c r="E220" s="13"/>
      <c r="F220" s="13"/>
      <c r="G220" s="13"/>
      <c r="H220" s="13"/>
      <c r="I220" s="13"/>
      <c r="J220" s="13"/>
      <c r="K220" s="13"/>
      <c r="L220" s="242"/>
      <c r="M220" s="242"/>
      <c r="N220" s="242"/>
      <c r="O220" s="242"/>
      <c r="P220" s="242"/>
      <c r="Q220" s="242"/>
      <c r="R220" s="242"/>
      <c r="S220" s="242"/>
      <c r="T220" s="242"/>
      <c r="U220" s="242"/>
      <c r="V220" s="242"/>
      <c r="W220" s="242"/>
      <c r="X220" s="242"/>
      <c r="Y220" s="242"/>
      <c r="Z220" s="242"/>
    </row>
    <row r="221">
      <c r="A221" s="340"/>
      <c r="B221" s="242"/>
      <c r="C221" s="242"/>
      <c r="D221" s="242"/>
      <c r="E221" s="13"/>
      <c r="F221" s="13"/>
      <c r="G221" s="13"/>
      <c r="H221" s="13"/>
      <c r="I221" s="13"/>
      <c r="J221" s="13"/>
      <c r="K221" s="13"/>
      <c r="L221" s="242"/>
      <c r="M221" s="242"/>
      <c r="N221" s="242"/>
      <c r="O221" s="242"/>
      <c r="P221" s="242"/>
      <c r="Q221" s="242"/>
      <c r="R221" s="242"/>
      <c r="S221" s="242"/>
      <c r="T221" s="242"/>
      <c r="U221" s="242"/>
      <c r="V221" s="242"/>
      <c r="W221" s="242"/>
      <c r="X221" s="242"/>
      <c r="Y221" s="242"/>
      <c r="Z221" s="242"/>
    </row>
    <row r="222">
      <c r="A222" s="340"/>
      <c r="B222" s="242"/>
      <c r="C222" s="242"/>
      <c r="D222" s="242"/>
      <c r="E222" s="13"/>
      <c r="F222" s="13"/>
      <c r="G222" s="13"/>
      <c r="H222" s="13"/>
      <c r="I222" s="13"/>
      <c r="J222" s="13"/>
      <c r="K222" s="13"/>
      <c r="L222" s="242"/>
      <c r="M222" s="242"/>
      <c r="N222" s="242"/>
      <c r="O222" s="242"/>
      <c r="P222" s="242"/>
      <c r="Q222" s="242"/>
      <c r="R222" s="242"/>
      <c r="S222" s="242"/>
      <c r="T222" s="242"/>
      <c r="U222" s="242"/>
      <c r="V222" s="242"/>
      <c r="W222" s="242"/>
      <c r="X222" s="242"/>
      <c r="Y222" s="242"/>
      <c r="Z222" s="242"/>
    </row>
    <row r="223">
      <c r="A223" s="340"/>
      <c r="B223" s="242"/>
      <c r="C223" s="242"/>
      <c r="D223" s="242"/>
      <c r="E223" s="13"/>
      <c r="F223" s="13"/>
      <c r="G223" s="13"/>
      <c r="H223" s="13"/>
      <c r="I223" s="13"/>
      <c r="J223" s="13"/>
      <c r="K223" s="13"/>
      <c r="L223" s="242"/>
      <c r="M223" s="242"/>
      <c r="N223" s="242"/>
      <c r="O223" s="242"/>
      <c r="P223" s="242"/>
      <c r="Q223" s="242"/>
      <c r="R223" s="242"/>
      <c r="S223" s="242"/>
      <c r="T223" s="242"/>
      <c r="U223" s="242"/>
      <c r="V223" s="242"/>
      <c r="W223" s="242"/>
      <c r="X223" s="242"/>
      <c r="Y223" s="242"/>
      <c r="Z223" s="242"/>
    </row>
    <row r="224">
      <c r="A224" s="340"/>
      <c r="B224" s="242"/>
      <c r="C224" s="242"/>
      <c r="D224" s="242"/>
      <c r="E224" s="13"/>
      <c r="F224" s="13"/>
      <c r="G224" s="13"/>
      <c r="H224" s="13"/>
      <c r="I224" s="13"/>
      <c r="J224" s="13"/>
      <c r="K224" s="13"/>
      <c r="L224" s="242"/>
      <c r="M224" s="242"/>
      <c r="N224" s="242"/>
      <c r="O224" s="242"/>
      <c r="P224" s="242"/>
      <c r="Q224" s="242"/>
      <c r="R224" s="242"/>
      <c r="S224" s="242"/>
      <c r="T224" s="242"/>
      <c r="U224" s="242"/>
      <c r="V224" s="242"/>
      <c r="W224" s="242"/>
      <c r="X224" s="242"/>
      <c r="Y224" s="242"/>
      <c r="Z224" s="242"/>
    </row>
    <row r="225">
      <c r="A225" s="340"/>
      <c r="B225" s="242"/>
      <c r="C225" s="242"/>
      <c r="D225" s="242"/>
      <c r="E225" s="13"/>
      <c r="F225" s="13"/>
      <c r="G225" s="13"/>
      <c r="H225" s="13"/>
      <c r="I225" s="13"/>
      <c r="J225" s="13"/>
      <c r="K225" s="13"/>
      <c r="L225" s="242"/>
      <c r="M225" s="242"/>
      <c r="N225" s="242"/>
      <c r="O225" s="242"/>
      <c r="P225" s="242"/>
      <c r="Q225" s="242"/>
      <c r="R225" s="242"/>
      <c r="S225" s="242"/>
      <c r="T225" s="242"/>
      <c r="U225" s="242"/>
      <c r="V225" s="242"/>
      <c r="W225" s="242"/>
      <c r="X225" s="242"/>
      <c r="Y225" s="242"/>
      <c r="Z225" s="242"/>
    </row>
    <row r="226">
      <c r="A226" s="340"/>
      <c r="B226" s="242"/>
      <c r="C226" s="242"/>
      <c r="D226" s="242"/>
      <c r="E226" s="13"/>
      <c r="F226" s="13"/>
      <c r="G226" s="13"/>
      <c r="H226" s="13"/>
      <c r="I226" s="13"/>
      <c r="J226" s="13"/>
      <c r="K226" s="13"/>
      <c r="L226" s="242"/>
      <c r="M226" s="242"/>
      <c r="N226" s="242"/>
      <c r="O226" s="242"/>
      <c r="P226" s="242"/>
      <c r="Q226" s="242"/>
      <c r="R226" s="242"/>
      <c r="S226" s="242"/>
      <c r="T226" s="242"/>
      <c r="U226" s="242"/>
      <c r="V226" s="242"/>
      <c r="W226" s="242"/>
      <c r="X226" s="242"/>
      <c r="Y226" s="242"/>
      <c r="Z226" s="242"/>
    </row>
    <row r="227">
      <c r="A227" s="340"/>
      <c r="B227" s="242"/>
      <c r="C227" s="242"/>
      <c r="D227" s="242"/>
      <c r="E227" s="13"/>
      <c r="F227" s="13"/>
      <c r="G227" s="13"/>
      <c r="H227" s="13"/>
      <c r="I227" s="13"/>
      <c r="J227" s="13"/>
      <c r="K227" s="13"/>
      <c r="L227" s="242"/>
      <c r="M227" s="242"/>
      <c r="N227" s="242"/>
      <c r="O227" s="242"/>
      <c r="P227" s="242"/>
      <c r="Q227" s="242"/>
      <c r="R227" s="242"/>
      <c r="S227" s="242"/>
      <c r="T227" s="242"/>
      <c r="U227" s="242"/>
      <c r="V227" s="242"/>
      <c r="W227" s="242"/>
      <c r="X227" s="242"/>
      <c r="Y227" s="242"/>
      <c r="Z227" s="242"/>
    </row>
    <row r="228">
      <c r="A228" s="340"/>
      <c r="B228" s="242"/>
      <c r="C228" s="242"/>
      <c r="D228" s="242"/>
      <c r="E228" s="13"/>
      <c r="F228" s="13"/>
      <c r="G228" s="13"/>
      <c r="H228" s="13"/>
      <c r="I228" s="13"/>
      <c r="J228" s="13"/>
      <c r="K228" s="13"/>
      <c r="L228" s="242"/>
      <c r="M228" s="242"/>
      <c r="N228" s="242"/>
      <c r="O228" s="242"/>
      <c r="P228" s="242"/>
      <c r="Q228" s="242"/>
      <c r="R228" s="242"/>
      <c r="S228" s="242"/>
      <c r="T228" s="242"/>
      <c r="U228" s="242"/>
      <c r="V228" s="242"/>
      <c r="W228" s="242"/>
      <c r="X228" s="242"/>
      <c r="Y228" s="242"/>
      <c r="Z228" s="242"/>
    </row>
    <row r="229">
      <c r="A229" s="340"/>
      <c r="B229" s="242"/>
      <c r="C229" s="242"/>
      <c r="D229" s="242"/>
      <c r="E229" s="13"/>
      <c r="F229" s="13"/>
      <c r="G229" s="13"/>
      <c r="H229" s="13"/>
      <c r="I229" s="13"/>
      <c r="J229" s="13"/>
      <c r="K229" s="13"/>
      <c r="L229" s="242"/>
      <c r="M229" s="242"/>
      <c r="N229" s="242"/>
      <c r="O229" s="242"/>
      <c r="P229" s="242"/>
      <c r="Q229" s="242"/>
      <c r="R229" s="242"/>
      <c r="S229" s="242"/>
      <c r="T229" s="242"/>
      <c r="U229" s="242"/>
      <c r="V229" s="242"/>
      <c r="W229" s="242"/>
      <c r="X229" s="242"/>
      <c r="Y229" s="242"/>
      <c r="Z229" s="242"/>
    </row>
    <row r="230">
      <c r="A230" s="340"/>
      <c r="B230" s="242"/>
      <c r="C230" s="242"/>
      <c r="D230" s="242"/>
      <c r="E230" s="13"/>
      <c r="F230" s="13"/>
      <c r="G230" s="13"/>
      <c r="H230" s="13"/>
      <c r="I230" s="13"/>
      <c r="J230" s="13"/>
      <c r="K230" s="13"/>
      <c r="L230" s="242"/>
      <c r="M230" s="242"/>
      <c r="N230" s="242"/>
      <c r="O230" s="242"/>
      <c r="P230" s="242"/>
      <c r="Q230" s="242"/>
      <c r="R230" s="242"/>
      <c r="S230" s="242"/>
      <c r="T230" s="242"/>
      <c r="U230" s="242"/>
      <c r="V230" s="242"/>
      <c r="W230" s="242"/>
      <c r="X230" s="242"/>
      <c r="Y230" s="242"/>
      <c r="Z230" s="242"/>
    </row>
    <row r="231">
      <c r="A231" s="340"/>
      <c r="B231" s="242"/>
      <c r="C231" s="242"/>
      <c r="D231" s="242"/>
      <c r="E231" s="13"/>
      <c r="F231" s="13"/>
      <c r="G231" s="13"/>
      <c r="H231" s="13"/>
      <c r="I231" s="13"/>
      <c r="J231" s="13"/>
      <c r="K231" s="13"/>
      <c r="L231" s="242"/>
      <c r="M231" s="242"/>
      <c r="N231" s="242"/>
      <c r="O231" s="242"/>
      <c r="P231" s="242"/>
      <c r="Q231" s="242"/>
      <c r="R231" s="242"/>
      <c r="S231" s="242"/>
      <c r="T231" s="242"/>
      <c r="U231" s="242"/>
      <c r="V231" s="242"/>
      <c r="W231" s="242"/>
      <c r="X231" s="242"/>
      <c r="Y231" s="242"/>
      <c r="Z231" s="242"/>
    </row>
    <row r="232">
      <c r="A232" s="340"/>
      <c r="B232" s="242"/>
      <c r="C232" s="242"/>
      <c r="D232" s="242"/>
      <c r="E232" s="13"/>
      <c r="F232" s="13"/>
      <c r="G232" s="13"/>
      <c r="H232" s="13"/>
      <c r="I232" s="13"/>
      <c r="J232" s="13"/>
      <c r="K232" s="13"/>
      <c r="L232" s="242"/>
      <c r="M232" s="242"/>
      <c r="N232" s="242"/>
      <c r="O232" s="242"/>
      <c r="P232" s="242"/>
      <c r="Q232" s="242"/>
      <c r="R232" s="242"/>
      <c r="S232" s="242"/>
      <c r="T232" s="242"/>
      <c r="U232" s="242"/>
      <c r="V232" s="242"/>
      <c r="W232" s="242"/>
      <c r="X232" s="242"/>
      <c r="Y232" s="242"/>
      <c r="Z232" s="242"/>
    </row>
    <row r="233">
      <c r="A233" s="340"/>
      <c r="B233" s="242"/>
      <c r="C233" s="242"/>
      <c r="D233" s="242"/>
      <c r="E233" s="13"/>
      <c r="F233" s="13"/>
      <c r="G233" s="13"/>
      <c r="H233" s="13"/>
      <c r="I233" s="13"/>
      <c r="J233" s="13"/>
      <c r="K233" s="13"/>
      <c r="L233" s="242"/>
      <c r="M233" s="242"/>
      <c r="N233" s="242"/>
      <c r="O233" s="242"/>
      <c r="P233" s="242"/>
      <c r="Q233" s="242"/>
      <c r="R233" s="242"/>
      <c r="S233" s="242"/>
      <c r="T233" s="242"/>
      <c r="U233" s="242"/>
      <c r="V233" s="242"/>
      <c r="W233" s="242"/>
      <c r="X233" s="242"/>
      <c r="Y233" s="242"/>
      <c r="Z233" s="242"/>
    </row>
    <row r="234">
      <c r="A234" s="340"/>
      <c r="B234" s="242"/>
      <c r="C234" s="242"/>
      <c r="D234" s="242"/>
      <c r="E234" s="13"/>
      <c r="F234" s="13"/>
      <c r="G234" s="13"/>
      <c r="H234" s="13"/>
      <c r="I234" s="13"/>
      <c r="J234" s="13"/>
      <c r="K234" s="13"/>
      <c r="L234" s="242"/>
      <c r="M234" s="242"/>
      <c r="N234" s="242"/>
      <c r="O234" s="242"/>
      <c r="P234" s="242"/>
      <c r="Q234" s="242"/>
      <c r="R234" s="242"/>
      <c r="S234" s="242"/>
      <c r="T234" s="242"/>
      <c r="U234" s="242"/>
      <c r="V234" s="242"/>
      <c r="W234" s="242"/>
      <c r="X234" s="242"/>
      <c r="Y234" s="242"/>
      <c r="Z234" s="242"/>
    </row>
    <row r="235">
      <c r="A235" s="340"/>
      <c r="B235" s="242"/>
      <c r="C235" s="242"/>
      <c r="D235" s="242"/>
      <c r="E235" s="13"/>
      <c r="F235" s="13"/>
      <c r="G235" s="13"/>
      <c r="H235" s="13"/>
      <c r="I235" s="13"/>
      <c r="J235" s="13"/>
      <c r="K235" s="13"/>
      <c r="L235" s="242"/>
      <c r="M235" s="242"/>
      <c r="N235" s="242"/>
      <c r="O235" s="242"/>
      <c r="P235" s="242"/>
      <c r="Q235" s="242"/>
      <c r="R235" s="242"/>
      <c r="S235" s="242"/>
      <c r="T235" s="242"/>
      <c r="U235" s="242"/>
      <c r="V235" s="242"/>
      <c r="W235" s="242"/>
      <c r="X235" s="242"/>
      <c r="Y235" s="242"/>
      <c r="Z235" s="242"/>
    </row>
    <row r="236">
      <c r="A236" s="340"/>
      <c r="B236" s="242"/>
      <c r="C236" s="242"/>
      <c r="D236" s="242"/>
      <c r="E236" s="13"/>
      <c r="F236" s="13"/>
      <c r="G236" s="13"/>
      <c r="H236" s="13"/>
      <c r="I236" s="13"/>
      <c r="J236" s="13"/>
      <c r="K236" s="13"/>
      <c r="L236" s="242"/>
      <c r="M236" s="242"/>
      <c r="N236" s="242"/>
      <c r="O236" s="242"/>
      <c r="P236" s="242"/>
      <c r="Q236" s="242"/>
      <c r="R236" s="242"/>
      <c r="S236" s="242"/>
      <c r="T236" s="242"/>
      <c r="U236" s="242"/>
      <c r="V236" s="242"/>
      <c r="W236" s="242"/>
      <c r="X236" s="242"/>
      <c r="Y236" s="242"/>
      <c r="Z236" s="242"/>
    </row>
    <row r="237">
      <c r="A237" s="340"/>
      <c r="B237" s="242"/>
      <c r="C237" s="242"/>
      <c r="D237" s="242"/>
      <c r="E237" s="13"/>
      <c r="F237" s="13"/>
      <c r="G237" s="13"/>
      <c r="H237" s="13"/>
      <c r="I237" s="13"/>
      <c r="J237" s="13"/>
      <c r="K237" s="13"/>
      <c r="L237" s="242"/>
      <c r="M237" s="242"/>
      <c r="N237" s="242"/>
      <c r="O237" s="242"/>
      <c r="P237" s="242"/>
      <c r="Q237" s="242"/>
      <c r="R237" s="242"/>
      <c r="S237" s="242"/>
      <c r="T237" s="242"/>
      <c r="U237" s="242"/>
      <c r="V237" s="242"/>
      <c r="W237" s="242"/>
      <c r="X237" s="242"/>
      <c r="Y237" s="242"/>
      <c r="Z237" s="242"/>
    </row>
    <row r="238">
      <c r="A238" s="340"/>
      <c r="B238" s="242"/>
      <c r="C238" s="242"/>
      <c r="D238" s="242"/>
      <c r="E238" s="13"/>
      <c r="F238" s="13"/>
      <c r="G238" s="13"/>
      <c r="H238" s="13"/>
      <c r="I238" s="13"/>
      <c r="J238" s="13"/>
      <c r="K238" s="13"/>
      <c r="L238" s="242"/>
      <c r="M238" s="242"/>
      <c r="N238" s="242"/>
      <c r="O238" s="242"/>
      <c r="P238" s="242"/>
      <c r="Q238" s="242"/>
      <c r="R238" s="242"/>
      <c r="S238" s="242"/>
      <c r="T238" s="242"/>
      <c r="U238" s="242"/>
      <c r="V238" s="242"/>
      <c r="W238" s="242"/>
      <c r="X238" s="242"/>
      <c r="Y238" s="242"/>
      <c r="Z238" s="242"/>
    </row>
    <row r="239">
      <c r="A239" s="340"/>
      <c r="B239" s="242"/>
      <c r="C239" s="242"/>
      <c r="D239" s="242"/>
      <c r="E239" s="13"/>
      <c r="F239" s="13"/>
      <c r="G239" s="13"/>
      <c r="H239" s="13"/>
      <c r="I239" s="13"/>
      <c r="J239" s="13"/>
      <c r="K239" s="13"/>
      <c r="L239" s="242"/>
      <c r="M239" s="242"/>
      <c r="N239" s="242"/>
      <c r="O239" s="242"/>
      <c r="P239" s="242"/>
      <c r="Q239" s="242"/>
      <c r="R239" s="242"/>
      <c r="S239" s="242"/>
      <c r="T239" s="242"/>
      <c r="U239" s="242"/>
      <c r="V239" s="242"/>
      <c r="W239" s="242"/>
      <c r="X239" s="242"/>
      <c r="Y239" s="242"/>
      <c r="Z239" s="242"/>
    </row>
    <row r="240">
      <c r="A240" s="340"/>
      <c r="B240" s="242"/>
      <c r="C240" s="242"/>
      <c r="D240" s="242"/>
      <c r="E240" s="13"/>
      <c r="F240" s="13"/>
      <c r="G240" s="13"/>
      <c r="H240" s="13"/>
      <c r="I240" s="13"/>
      <c r="J240" s="13"/>
      <c r="K240" s="13"/>
      <c r="L240" s="242"/>
      <c r="M240" s="242"/>
      <c r="N240" s="242"/>
      <c r="O240" s="242"/>
      <c r="P240" s="242"/>
      <c r="Q240" s="242"/>
      <c r="R240" s="242"/>
      <c r="S240" s="242"/>
      <c r="T240" s="242"/>
      <c r="U240" s="242"/>
      <c r="V240" s="242"/>
      <c r="W240" s="242"/>
      <c r="X240" s="242"/>
      <c r="Y240" s="242"/>
      <c r="Z240" s="242"/>
    </row>
    <row r="241">
      <c r="A241" s="340"/>
      <c r="B241" s="242"/>
      <c r="C241" s="242"/>
      <c r="D241" s="242"/>
      <c r="E241" s="13"/>
      <c r="F241" s="13"/>
      <c r="G241" s="13"/>
      <c r="H241" s="13"/>
      <c r="I241" s="13"/>
      <c r="J241" s="13"/>
      <c r="K241" s="13"/>
      <c r="L241" s="242"/>
      <c r="M241" s="242"/>
      <c r="N241" s="242"/>
      <c r="O241" s="242"/>
      <c r="P241" s="242"/>
      <c r="Q241" s="242"/>
      <c r="R241" s="242"/>
      <c r="S241" s="242"/>
      <c r="T241" s="242"/>
      <c r="U241" s="242"/>
      <c r="V241" s="242"/>
      <c r="W241" s="242"/>
      <c r="X241" s="242"/>
      <c r="Y241" s="242"/>
      <c r="Z241" s="242"/>
    </row>
    <row r="242">
      <c r="A242" s="340"/>
      <c r="B242" s="242"/>
      <c r="C242" s="242"/>
      <c r="D242" s="242"/>
      <c r="E242" s="13"/>
      <c r="F242" s="13"/>
      <c r="G242" s="13"/>
      <c r="H242" s="13"/>
      <c r="I242" s="13"/>
      <c r="J242" s="13"/>
      <c r="K242" s="13"/>
      <c r="L242" s="242"/>
      <c r="M242" s="242"/>
      <c r="N242" s="242"/>
      <c r="O242" s="242"/>
      <c r="P242" s="242"/>
      <c r="Q242" s="242"/>
      <c r="R242" s="242"/>
      <c r="S242" s="242"/>
      <c r="T242" s="242"/>
      <c r="U242" s="242"/>
      <c r="V242" s="242"/>
      <c r="W242" s="242"/>
      <c r="X242" s="242"/>
      <c r="Y242" s="242"/>
      <c r="Z242" s="242"/>
    </row>
    <row r="243">
      <c r="A243" s="340"/>
      <c r="B243" s="242"/>
      <c r="C243" s="242"/>
      <c r="D243" s="242"/>
      <c r="E243" s="13"/>
      <c r="F243" s="13"/>
      <c r="G243" s="13"/>
      <c r="H243" s="13"/>
      <c r="I243" s="13"/>
      <c r="J243" s="13"/>
      <c r="K243" s="13"/>
      <c r="L243" s="242"/>
      <c r="M243" s="242"/>
      <c r="N243" s="242"/>
      <c r="O243" s="242"/>
      <c r="P243" s="242"/>
      <c r="Q243" s="242"/>
      <c r="R243" s="242"/>
      <c r="S243" s="242"/>
      <c r="T243" s="242"/>
      <c r="U243" s="242"/>
      <c r="V243" s="242"/>
      <c r="W243" s="242"/>
      <c r="X243" s="242"/>
      <c r="Y243" s="242"/>
      <c r="Z243" s="242"/>
    </row>
    <row r="244">
      <c r="A244" s="340"/>
      <c r="B244" s="242"/>
      <c r="C244" s="242"/>
      <c r="D244" s="242"/>
      <c r="E244" s="13"/>
      <c r="F244" s="13"/>
      <c r="G244" s="13"/>
      <c r="H244" s="13"/>
      <c r="I244" s="13"/>
      <c r="J244" s="13"/>
      <c r="K244" s="13"/>
      <c r="L244" s="242"/>
      <c r="M244" s="242"/>
      <c r="N244" s="242"/>
      <c r="O244" s="242"/>
      <c r="P244" s="242"/>
      <c r="Q244" s="242"/>
      <c r="R244" s="242"/>
      <c r="S244" s="242"/>
      <c r="T244" s="242"/>
      <c r="U244" s="242"/>
      <c r="V244" s="242"/>
      <c r="W244" s="242"/>
      <c r="X244" s="242"/>
      <c r="Y244" s="242"/>
      <c r="Z244" s="242"/>
    </row>
    <row r="245">
      <c r="A245" s="340"/>
      <c r="B245" s="242"/>
      <c r="C245" s="242"/>
      <c r="D245" s="242"/>
      <c r="E245" s="13"/>
      <c r="F245" s="13"/>
      <c r="G245" s="13"/>
      <c r="H245" s="13"/>
      <c r="I245" s="13"/>
      <c r="J245" s="13"/>
      <c r="K245" s="13"/>
      <c r="L245" s="242"/>
      <c r="M245" s="242"/>
      <c r="N245" s="242"/>
      <c r="O245" s="242"/>
      <c r="P245" s="242"/>
      <c r="Q245" s="242"/>
      <c r="R245" s="242"/>
      <c r="S245" s="242"/>
      <c r="T245" s="242"/>
      <c r="U245" s="242"/>
      <c r="V245" s="242"/>
      <c r="W245" s="242"/>
      <c r="X245" s="242"/>
      <c r="Y245" s="242"/>
      <c r="Z245" s="242"/>
    </row>
    <row r="246">
      <c r="A246" s="340"/>
      <c r="B246" s="242"/>
      <c r="C246" s="242"/>
      <c r="D246" s="242"/>
      <c r="E246" s="13"/>
      <c r="F246" s="13"/>
      <c r="G246" s="13"/>
      <c r="H246" s="13"/>
      <c r="I246" s="13"/>
      <c r="J246" s="13"/>
      <c r="K246" s="13"/>
      <c r="L246" s="242"/>
      <c r="M246" s="242"/>
      <c r="N246" s="242"/>
      <c r="O246" s="242"/>
      <c r="P246" s="242"/>
      <c r="Q246" s="242"/>
      <c r="R246" s="242"/>
      <c r="S246" s="242"/>
      <c r="T246" s="242"/>
      <c r="U246" s="242"/>
      <c r="V246" s="242"/>
      <c r="W246" s="242"/>
      <c r="X246" s="242"/>
      <c r="Y246" s="242"/>
      <c r="Z246" s="242"/>
    </row>
    <row r="247">
      <c r="A247" s="340"/>
      <c r="B247" s="242"/>
      <c r="C247" s="242"/>
      <c r="D247" s="242"/>
      <c r="E247" s="13"/>
      <c r="F247" s="13"/>
      <c r="G247" s="13"/>
      <c r="H247" s="13"/>
      <c r="I247" s="13"/>
      <c r="J247" s="13"/>
      <c r="K247" s="13"/>
      <c r="L247" s="242"/>
      <c r="M247" s="242"/>
      <c r="N247" s="242"/>
      <c r="O247" s="242"/>
      <c r="P247" s="242"/>
      <c r="Q247" s="242"/>
      <c r="R247" s="242"/>
      <c r="S247" s="242"/>
      <c r="T247" s="242"/>
      <c r="U247" s="242"/>
      <c r="V247" s="242"/>
      <c r="W247" s="242"/>
      <c r="X247" s="242"/>
      <c r="Y247" s="242"/>
      <c r="Z247" s="242"/>
    </row>
    <row r="248">
      <c r="A248" s="340"/>
      <c r="B248" s="242"/>
      <c r="C248" s="242"/>
      <c r="D248" s="242"/>
      <c r="E248" s="13"/>
      <c r="F248" s="13"/>
      <c r="G248" s="13"/>
      <c r="H248" s="13"/>
      <c r="I248" s="13"/>
      <c r="J248" s="13"/>
      <c r="K248" s="13"/>
      <c r="L248" s="242"/>
      <c r="M248" s="242"/>
      <c r="N248" s="242"/>
      <c r="O248" s="242"/>
      <c r="P248" s="242"/>
      <c r="Q248" s="242"/>
      <c r="R248" s="242"/>
      <c r="S248" s="242"/>
      <c r="T248" s="242"/>
      <c r="U248" s="242"/>
      <c r="V248" s="242"/>
      <c r="W248" s="242"/>
      <c r="X248" s="242"/>
      <c r="Y248" s="242"/>
      <c r="Z248" s="242"/>
    </row>
    <row r="249">
      <c r="A249" s="340"/>
      <c r="B249" s="242"/>
      <c r="C249" s="242"/>
      <c r="D249" s="242"/>
      <c r="E249" s="13"/>
      <c r="F249" s="13"/>
      <c r="G249" s="13"/>
      <c r="H249" s="13"/>
      <c r="I249" s="13"/>
      <c r="J249" s="13"/>
      <c r="K249" s="13"/>
      <c r="L249" s="242"/>
      <c r="M249" s="242"/>
      <c r="N249" s="242"/>
      <c r="O249" s="242"/>
      <c r="P249" s="242"/>
      <c r="Q249" s="242"/>
      <c r="R249" s="242"/>
      <c r="S249" s="242"/>
      <c r="T249" s="242"/>
      <c r="U249" s="242"/>
      <c r="V249" s="242"/>
      <c r="W249" s="242"/>
      <c r="X249" s="242"/>
      <c r="Y249" s="242"/>
      <c r="Z249" s="242"/>
    </row>
    <row r="250">
      <c r="A250" s="340"/>
      <c r="B250" s="242"/>
      <c r="C250" s="242"/>
      <c r="D250" s="242"/>
      <c r="E250" s="13"/>
      <c r="F250" s="13"/>
      <c r="G250" s="13"/>
      <c r="H250" s="13"/>
      <c r="I250" s="13"/>
      <c r="J250" s="13"/>
      <c r="K250" s="13"/>
      <c r="L250" s="242"/>
      <c r="M250" s="242"/>
      <c r="N250" s="242"/>
      <c r="O250" s="242"/>
      <c r="P250" s="242"/>
      <c r="Q250" s="242"/>
      <c r="R250" s="242"/>
      <c r="S250" s="242"/>
      <c r="T250" s="242"/>
      <c r="U250" s="242"/>
      <c r="V250" s="242"/>
      <c r="W250" s="242"/>
      <c r="X250" s="242"/>
      <c r="Y250" s="242"/>
      <c r="Z250" s="242"/>
    </row>
    <row r="251">
      <c r="A251" s="340"/>
      <c r="B251" s="242"/>
      <c r="C251" s="242"/>
      <c r="D251" s="242"/>
      <c r="E251" s="13"/>
      <c r="F251" s="13"/>
      <c r="G251" s="13"/>
      <c r="H251" s="13"/>
      <c r="I251" s="13"/>
      <c r="J251" s="13"/>
      <c r="K251" s="13"/>
      <c r="L251" s="242"/>
      <c r="M251" s="242"/>
      <c r="N251" s="242"/>
      <c r="O251" s="242"/>
      <c r="P251" s="242"/>
      <c r="Q251" s="242"/>
      <c r="R251" s="242"/>
      <c r="S251" s="242"/>
      <c r="T251" s="242"/>
      <c r="U251" s="242"/>
      <c r="V251" s="242"/>
      <c r="W251" s="242"/>
      <c r="X251" s="242"/>
      <c r="Y251" s="242"/>
      <c r="Z251" s="242"/>
    </row>
    <row r="252">
      <c r="A252" s="340"/>
      <c r="B252" s="242"/>
      <c r="C252" s="242"/>
      <c r="D252" s="242"/>
      <c r="E252" s="13"/>
      <c r="F252" s="13"/>
      <c r="G252" s="13"/>
      <c r="H252" s="13"/>
      <c r="I252" s="13"/>
      <c r="J252" s="13"/>
      <c r="K252" s="13"/>
      <c r="L252" s="242"/>
      <c r="M252" s="242"/>
      <c r="N252" s="242"/>
      <c r="O252" s="242"/>
      <c r="P252" s="242"/>
      <c r="Q252" s="242"/>
      <c r="R252" s="242"/>
      <c r="S252" s="242"/>
      <c r="T252" s="242"/>
      <c r="U252" s="242"/>
      <c r="V252" s="242"/>
      <c r="W252" s="242"/>
      <c r="X252" s="242"/>
      <c r="Y252" s="242"/>
      <c r="Z252" s="242"/>
    </row>
    <row r="253">
      <c r="A253" s="340"/>
      <c r="B253" s="242"/>
      <c r="C253" s="242"/>
      <c r="D253" s="242"/>
      <c r="E253" s="13"/>
      <c r="F253" s="13"/>
      <c r="G253" s="13"/>
      <c r="H253" s="13"/>
      <c r="I253" s="13"/>
      <c r="J253" s="13"/>
      <c r="K253" s="13"/>
      <c r="L253" s="242"/>
      <c r="M253" s="242"/>
      <c r="N253" s="242"/>
      <c r="O253" s="242"/>
      <c r="P253" s="242"/>
      <c r="Q253" s="242"/>
      <c r="R253" s="242"/>
      <c r="S253" s="242"/>
      <c r="T253" s="242"/>
      <c r="U253" s="242"/>
      <c r="V253" s="242"/>
      <c r="W253" s="242"/>
      <c r="X253" s="242"/>
      <c r="Y253" s="242"/>
      <c r="Z253" s="242"/>
    </row>
    <row r="254">
      <c r="A254" s="340"/>
      <c r="B254" s="242"/>
      <c r="C254" s="242"/>
      <c r="D254" s="242"/>
      <c r="E254" s="13"/>
      <c r="F254" s="13"/>
      <c r="G254" s="13"/>
      <c r="H254" s="13"/>
      <c r="I254" s="13"/>
      <c r="J254" s="13"/>
      <c r="K254" s="13"/>
      <c r="L254" s="242"/>
      <c r="M254" s="242"/>
      <c r="N254" s="242"/>
      <c r="O254" s="242"/>
      <c r="P254" s="242"/>
      <c r="Q254" s="242"/>
      <c r="R254" s="242"/>
      <c r="S254" s="242"/>
      <c r="T254" s="242"/>
      <c r="U254" s="242"/>
      <c r="V254" s="242"/>
      <c r="W254" s="242"/>
      <c r="X254" s="242"/>
      <c r="Y254" s="242"/>
      <c r="Z254" s="242"/>
    </row>
    <row r="255">
      <c r="A255" s="340"/>
      <c r="B255" s="242"/>
      <c r="C255" s="242"/>
      <c r="D255" s="242"/>
      <c r="E255" s="13"/>
      <c r="F255" s="13"/>
      <c r="G255" s="13"/>
      <c r="H255" s="13"/>
      <c r="I255" s="13"/>
      <c r="J255" s="13"/>
      <c r="K255" s="13"/>
      <c r="L255" s="242"/>
      <c r="M255" s="242"/>
      <c r="N255" s="242"/>
      <c r="O255" s="242"/>
      <c r="P255" s="242"/>
      <c r="Q255" s="242"/>
      <c r="R255" s="242"/>
      <c r="S255" s="242"/>
      <c r="T255" s="242"/>
      <c r="U255" s="242"/>
      <c r="V255" s="242"/>
      <c r="W255" s="242"/>
      <c r="X255" s="242"/>
      <c r="Y255" s="242"/>
      <c r="Z255" s="242"/>
    </row>
    <row r="256">
      <c r="A256" s="340"/>
      <c r="B256" s="242"/>
      <c r="C256" s="242"/>
      <c r="D256" s="242"/>
      <c r="E256" s="13"/>
      <c r="F256" s="13"/>
      <c r="G256" s="13"/>
      <c r="H256" s="13"/>
      <c r="I256" s="13"/>
      <c r="J256" s="13"/>
      <c r="K256" s="13"/>
      <c r="L256" s="242"/>
      <c r="M256" s="242"/>
      <c r="N256" s="242"/>
      <c r="O256" s="242"/>
      <c r="P256" s="242"/>
      <c r="Q256" s="242"/>
      <c r="R256" s="242"/>
      <c r="S256" s="242"/>
      <c r="T256" s="242"/>
      <c r="U256" s="242"/>
      <c r="V256" s="242"/>
      <c r="W256" s="242"/>
      <c r="X256" s="242"/>
      <c r="Y256" s="242"/>
      <c r="Z256" s="242"/>
    </row>
    <row r="257">
      <c r="A257" s="340"/>
      <c r="B257" s="242"/>
      <c r="C257" s="242"/>
      <c r="D257" s="242"/>
      <c r="E257" s="13"/>
      <c r="F257" s="13"/>
      <c r="G257" s="13"/>
      <c r="H257" s="13"/>
      <c r="I257" s="13"/>
      <c r="J257" s="13"/>
      <c r="K257" s="13"/>
      <c r="L257" s="242"/>
      <c r="M257" s="242"/>
      <c r="N257" s="242"/>
      <c r="O257" s="242"/>
      <c r="P257" s="242"/>
      <c r="Q257" s="242"/>
      <c r="R257" s="242"/>
      <c r="S257" s="242"/>
      <c r="T257" s="242"/>
      <c r="U257" s="242"/>
      <c r="V257" s="242"/>
      <c r="W257" s="242"/>
      <c r="X257" s="242"/>
      <c r="Y257" s="242"/>
      <c r="Z257" s="242"/>
    </row>
    <row r="258">
      <c r="A258" s="340"/>
      <c r="B258" s="242"/>
      <c r="C258" s="242"/>
      <c r="D258" s="242"/>
      <c r="E258" s="13"/>
      <c r="F258" s="13"/>
      <c r="G258" s="13"/>
      <c r="H258" s="13"/>
      <c r="I258" s="13"/>
      <c r="J258" s="13"/>
      <c r="K258" s="13"/>
      <c r="L258" s="242"/>
      <c r="M258" s="242"/>
      <c r="N258" s="242"/>
      <c r="O258" s="242"/>
      <c r="P258" s="242"/>
      <c r="Q258" s="242"/>
      <c r="R258" s="242"/>
      <c r="S258" s="242"/>
      <c r="T258" s="242"/>
      <c r="U258" s="242"/>
      <c r="V258" s="242"/>
      <c r="W258" s="242"/>
      <c r="X258" s="242"/>
      <c r="Y258" s="242"/>
      <c r="Z258" s="242"/>
    </row>
    <row r="259">
      <c r="A259" s="340"/>
      <c r="B259" s="242"/>
      <c r="C259" s="242"/>
      <c r="D259" s="242"/>
      <c r="E259" s="13"/>
      <c r="F259" s="13"/>
      <c r="G259" s="13"/>
      <c r="H259" s="13"/>
      <c r="I259" s="13"/>
      <c r="J259" s="13"/>
      <c r="K259" s="13"/>
      <c r="L259" s="242"/>
      <c r="M259" s="242"/>
      <c r="N259" s="242"/>
      <c r="O259" s="242"/>
      <c r="P259" s="242"/>
      <c r="Q259" s="242"/>
      <c r="R259" s="242"/>
      <c r="S259" s="242"/>
      <c r="T259" s="242"/>
      <c r="U259" s="242"/>
      <c r="V259" s="242"/>
      <c r="W259" s="242"/>
      <c r="X259" s="242"/>
      <c r="Y259" s="242"/>
      <c r="Z259" s="242"/>
    </row>
    <row r="260">
      <c r="A260" s="340"/>
      <c r="B260" s="242"/>
      <c r="C260" s="242"/>
      <c r="D260" s="242"/>
      <c r="E260" s="13"/>
      <c r="F260" s="13"/>
      <c r="G260" s="13"/>
      <c r="H260" s="13"/>
      <c r="I260" s="13"/>
      <c r="J260" s="13"/>
      <c r="K260" s="13"/>
      <c r="L260" s="242"/>
      <c r="M260" s="242"/>
      <c r="N260" s="242"/>
      <c r="O260" s="242"/>
      <c r="P260" s="242"/>
      <c r="Q260" s="242"/>
      <c r="R260" s="242"/>
      <c r="S260" s="242"/>
      <c r="T260" s="242"/>
      <c r="U260" s="242"/>
      <c r="V260" s="242"/>
      <c r="W260" s="242"/>
      <c r="X260" s="242"/>
      <c r="Y260" s="242"/>
      <c r="Z260" s="242"/>
    </row>
    <row r="261">
      <c r="A261" s="340"/>
      <c r="B261" s="242"/>
      <c r="C261" s="242"/>
      <c r="D261" s="242"/>
      <c r="E261" s="13"/>
      <c r="F261" s="13"/>
      <c r="G261" s="13"/>
      <c r="H261" s="13"/>
      <c r="I261" s="13"/>
      <c r="J261" s="13"/>
      <c r="K261" s="13"/>
      <c r="L261" s="242"/>
      <c r="M261" s="242"/>
      <c r="N261" s="242"/>
      <c r="O261" s="242"/>
      <c r="P261" s="242"/>
      <c r="Q261" s="242"/>
      <c r="R261" s="242"/>
      <c r="S261" s="242"/>
      <c r="T261" s="242"/>
      <c r="U261" s="242"/>
      <c r="V261" s="242"/>
      <c r="W261" s="242"/>
      <c r="X261" s="242"/>
      <c r="Y261" s="242"/>
      <c r="Z261" s="242"/>
    </row>
    <row r="262">
      <c r="A262" s="340"/>
      <c r="B262" s="242"/>
      <c r="C262" s="242"/>
      <c r="D262" s="242"/>
      <c r="E262" s="13"/>
      <c r="F262" s="13"/>
      <c r="G262" s="13"/>
      <c r="H262" s="13"/>
      <c r="I262" s="13"/>
      <c r="J262" s="13"/>
      <c r="K262" s="13"/>
      <c r="L262" s="242"/>
      <c r="M262" s="242"/>
      <c r="N262" s="242"/>
      <c r="O262" s="242"/>
      <c r="P262" s="242"/>
      <c r="Q262" s="242"/>
      <c r="R262" s="242"/>
      <c r="S262" s="242"/>
      <c r="T262" s="242"/>
      <c r="U262" s="242"/>
      <c r="V262" s="242"/>
      <c r="W262" s="242"/>
      <c r="X262" s="242"/>
      <c r="Y262" s="242"/>
      <c r="Z262" s="242"/>
    </row>
    <row r="263">
      <c r="A263" s="340"/>
      <c r="B263" s="242"/>
      <c r="C263" s="242"/>
      <c r="D263" s="242"/>
      <c r="E263" s="13"/>
      <c r="F263" s="13"/>
      <c r="G263" s="13"/>
      <c r="H263" s="13"/>
      <c r="I263" s="13"/>
      <c r="J263" s="13"/>
      <c r="K263" s="13"/>
      <c r="L263" s="242"/>
      <c r="M263" s="242"/>
      <c r="N263" s="242"/>
      <c r="O263" s="242"/>
      <c r="P263" s="242"/>
      <c r="Q263" s="242"/>
      <c r="R263" s="242"/>
      <c r="S263" s="242"/>
      <c r="T263" s="242"/>
      <c r="U263" s="242"/>
      <c r="V263" s="242"/>
      <c r="W263" s="242"/>
      <c r="X263" s="242"/>
      <c r="Y263" s="242"/>
      <c r="Z263" s="242"/>
    </row>
    <row r="264">
      <c r="A264" s="340"/>
      <c r="B264" s="242"/>
      <c r="C264" s="242"/>
      <c r="D264" s="242"/>
      <c r="E264" s="13"/>
      <c r="F264" s="13"/>
      <c r="G264" s="13"/>
      <c r="H264" s="13"/>
      <c r="I264" s="13"/>
      <c r="J264" s="13"/>
      <c r="K264" s="13"/>
      <c r="L264" s="242"/>
      <c r="M264" s="242"/>
      <c r="N264" s="242"/>
      <c r="O264" s="242"/>
      <c r="P264" s="242"/>
      <c r="Q264" s="242"/>
      <c r="R264" s="242"/>
      <c r="S264" s="242"/>
      <c r="T264" s="242"/>
      <c r="U264" s="242"/>
      <c r="V264" s="242"/>
      <c r="W264" s="242"/>
      <c r="X264" s="242"/>
      <c r="Y264" s="242"/>
      <c r="Z264" s="242"/>
    </row>
    <row r="265">
      <c r="A265" s="340"/>
      <c r="B265" s="242"/>
      <c r="C265" s="242"/>
      <c r="D265" s="242"/>
      <c r="E265" s="13"/>
      <c r="F265" s="13"/>
      <c r="G265" s="13"/>
      <c r="H265" s="13"/>
      <c r="I265" s="13"/>
      <c r="J265" s="13"/>
      <c r="K265" s="13"/>
      <c r="L265" s="242"/>
      <c r="M265" s="242"/>
      <c r="N265" s="242"/>
      <c r="O265" s="242"/>
      <c r="P265" s="242"/>
      <c r="Q265" s="242"/>
      <c r="R265" s="242"/>
      <c r="S265" s="242"/>
      <c r="T265" s="242"/>
      <c r="U265" s="242"/>
      <c r="V265" s="242"/>
      <c r="W265" s="242"/>
      <c r="X265" s="242"/>
      <c r="Y265" s="242"/>
      <c r="Z265" s="242"/>
    </row>
    <row r="266">
      <c r="A266" s="340"/>
      <c r="B266" s="242"/>
      <c r="C266" s="242"/>
      <c r="D266" s="242"/>
      <c r="E266" s="13"/>
      <c r="F266" s="13"/>
      <c r="G266" s="13"/>
      <c r="H266" s="13"/>
      <c r="I266" s="13"/>
      <c r="J266" s="13"/>
      <c r="K266" s="13"/>
      <c r="L266" s="242"/>
      <c r="M266" s="242"/>
      <c r="N266" s="242"/>
      <c r="O266" s="242"/>
      <c r="P266" s="242"/>
      <c r="Q266" s="242"/>
      <c r="R266" s="242"/>
      <c r="S266" s="242"/>
      <c r="T266" s="242"/>
      <c r="U266" s="242"/>
      <c r="V266" s="242"/>
      <c r="W266" s="242"/>
      <c r="X266" s="242"/>
      <c r="Y266" s="242"/>
      <c r="Z266" s="242"/>
    </row>
    <row r="267">
      <c r="A267" s="340"/>
      <c r="B267" s="242"/>
      <c r="C267" s="242"/>
      <c r="D267" s="242"/>
      <c r="E267" s="13"/>
      <c r="F267" s="13"/>
      <c r="G267" s="13"/>
      <c r="H267" s="13"/>
      <c r="I267" s="13"/>
      <c r="J267" s="13"/>
      <c r="K267" s="13"/>
      <c r="L267" s="242"/>
      <c r="M267" s="242"/>
      <c r="N267" s="242"/>
      <c r="O267" s="242"/>
      <c r="P267" s="242"/>
      <c r="Q267" s="242"/>
      <c r="R267" s="242"/>
      <c r="S267" s="242"/>
      <c r="T267" s="242"/>
      <c r="U267" s="242"/>
      <c r="V267" s="242"/>
      <c r="W267" s="242"/>
      <c r="X267" s="242"/>
      <c r="Y267" s="242"/>
      <c r="Z267" s="242"/>
    </row>
    <row r="268">
      <c r="A268" s="340"/>
      <c r="B268" s="242"/>
      <c r="C268" s="242"/>
      <c r="D268" s="242"/>
      <c r="E268" s="13"/>
      <c r="F268" s="13"/>
      <c r="G268" s="13"/>
      <c r="H268" s="13"/>
      <c r="I268" s="13"/>
      <c r="J268" s="13"/>
      <c r="K268" s="13"/>
      <c r="L268" s="242"/>
      <c r="M268" s="242"/>
      <c r="N268" s="242"/>
      <c r="O268" s="242"/>
      <c r="P268" s="242"/>
      <c r="Q268" s="242"/>
      <c r="R268" s="242"/>
      <c r="S268" s="242"/>
      <c r="T268" s="242"/>
      <c r="U268" s="242"/>
      <c r="V268" s="242"/>
      <c r="W268" s="242"/>
      <c r="X268" s="242"/>
      <c r="Y268" s="242"/>
      <c r="Z268" s="242"/>
    </row>
    <row r="269">
      <c r="A269" s="340"/>
      <c r="B269" s="242"/>
      <c r="C269" s="242"/>
      <c r="D269" s="242"/>
      <c r="E269" s="13"/>
      <c r="F269" s="13"/>
      <c r="G269" s="13"/>
      <c r="H269" s="13"/>
      <c r="I269" s="13"/>
      <c r="J269" s="13"/>
      <c r="K269" s="13"/>
      <c r="L269" s="242"/>
      <c r="M269" s="242"/>
      <c r="N269" s="242"/>
      <c r="O269" s="242"/>
      <c r="P269" s="242"/>
      <c r="Q269" s="242"/>
      <c r="R269" s="242"/>
      <c r="S269" s="242"/>
      <c r="T269" s="242"/>
      <c r="U269" s="242"/>
      <c r="V269" s="242"/>
      <c r="W269" s="242"/>
      <c r="X269" s="242"/>
      <c r="Y269" s="242"/>
      <c r="Z269" s="242"/>
    </row>
    <row r="270">
      <c r="A270" s="340"/>
      <c r="B270" s="242"/>
      <c r="C270" s="242"/>
      <c r="D270" s="242"/>
      <c r="E270" s="13"/>
      <c r="F270" s="13"/>
      <c r="G270" s="13"/>
      <c r="H270" s="13"/>
      <c r="I270" s="13"/>
      <c r="J270" s="13"/>
      <c r="K270" s="13"/>
      <c r="L270" s="242"/>
      <c r="M270" s="242"/>
      <c r="N270" s="242"/>
      <c r="O270" s="242"/>
      <c r="P270" s="242"/>
      <c r="Q270" s="242"/>
      <c r="R270" s="242"/>
      <c r="S270" s="242"/>
      <c r="T270" s="242"/>
      <c r="U270" s="242"/>
      <c r="V270" s="242"/>
      <c r="W270" s="242"/>
      <c r="X270" s="242"/>
      <c r="Y270" s="242"/>
      <c r="Z270" s="242"/>
    </row>
    <row r="271">
      <c r="A271" s="340"/>
      <c r="B271" s="242"/>
      <c r="C271" s="242"/>
      <c r="D271" s="242"/>
      <c r="E271" s="13"/>
      <c r="F271" s="13"/>
      <c r="G271" s="13"/>
      <c r="H271" s="13"/>
      <c r="I271" s="13"/>
      <c r="J271" s="13"/>
      <c r="K271" s="13"/>
      <c r="L271" s="242"/>
      <c r="M271" s="242"/>
      <c r="N271" s="242"/>
      <c r="O271" s="242"/>
      <c r="P271" s="242"/>
      <c r="Q271" s="242"/>
      <c r="R271" s="242"/>
      <c r="S271" s="242"/>
      <c r="T271" s="242"/>
      <c r="U271" s="242"/>
      <c r="V271" s="242"/>
      <c r="W271" s="242"/>
      <c r="X271" s="242"/>
      <c r="Y271" s="242"/>
      <c r="Z271" s="242"/>
    </row>
    <row r="272">
      <c r="A272" s="340"/>
      <c r="B272" s="242"/>
      <c r="C272" s="242"/>
      <c r="D272" s="242"/>
      <c r="E272" s="13"/>
      <c r="F272" s="13"/>
      <c r="G272" s="13"/>
      <c r="H272" s="13"/>
      <c r="I272" s="13"/>
      <c r="J272" s="13"/>
      <c r="K272" s="13"/>
      <c r="L272" s="242"/>
      <c r="M272" s="242"/>
      <c r="N272" s="242"/>
      <c r="O272" s="242"/>
      <c r="P272" s="242"/>
      <c r="Q272" s="242"/>
      <c r="R272" s="242"/>
      <c r="S272" s="242"/>
      <c r="T272" s="242"/>
      <c r="U272" s="242"/>
      <c r="V272" s="242"/>
      <c r="W272" s="242"/>
      <c r="X272" s="242"/>
      <c r="Y272" s="242"/>
      <c r="Z272" s="242"/>
    </row>
    <row r="273">
      <c r="A273" s="340"/>
      <c r="B273" s="242"/>
      <c r="C273" s="242"/>
      <c r="D273" s="242"/>
      <c r="E273" s="13"/>
      <c r="F273" s="13"/>
      <c r="G273" s="13"/>
      <c r="H273" s="13"/>
      <c r="I273" s="13"/>
      <c r="J273" s="13"/>
      <c r="K273" s="13"/>
      <c r="L273" s="242"/>
      <c r="M273" s="242"/>
      <c r="N273" s="242"/>
      <c r="O273" s="242"/>
      <c r="P273" s="242"/>
      <c r="Q273" s="242"/>
      <c r="R273" s="242"/>
      <c r="S273" s="242"/>
      <c r="T273" s="242"/>
      <c r="U273" s="242"/>
      <c r="V273" s="242"/>
      <c r="W273" s="242"/>
      <c r="X273" s="242"/>
      <c r="Y273" s="242"/>
      <c r="Z273" s="242"/>
    </row>
    <row r="274">
      <c r="A274" s="340"/>
      <c r="B274" s="242"/>
      <c r="C274" s="242"/>
      <c r="D274" s="242"/>
      <c r="E274" s="13"/>
      <c r="F274" s="13"/>
      <c r="G274" s="13"/>
      <c r="H274" s="13"/>
      <c r="I274" s="13"/>
      <c r="J274" s="13"/>
      <c r="K274" s="13"/>
      <c r="L274" s="242"/>
      <c r="M274" s="242"/>
      <c r="N274" s="242"/>
      <c r="O274" s="242"/>
      <c r="P274" s="242"/>
      <c r="Q274" s="242"/>
      <c r="R274" s="242"/>
      <c r="S274" s="242"/>
      <c r="T274" s="242"/>
      <c r="U274" s="242"/>
      <c r="V274" s="242"/>
      <c r="W274" s="242"/>
      <c r="X274" s="242"/>
      <c r="Y274" s="242"/>
      <c r="Z274" s="242"/>
    </row>
    <row r="275">
      <c r="A275" s="340"/>
      <c r="B275" s="242"/>
      <c r="C275" s="242"/>
      <c r="D275" s="242"/>
      <c r="E275" s="13"/>
      <c r="F275" s="13"/>
      <c r="G275" s="13"/>
      <c r="H275" s="13"/>
      <c r="I275" s="13"/>
      <c r="J275" s="13"/>
      <c r="K275" s="13"/>
      <c r="L275" s="242"/>
      <c r="M275" s="242"/>
      <c r="N275" s="242"/>
      <c r="O275" s="242"/>
      <c r="P275" s="242"/>
      <c r="Q275" s="242"/>
      <c r="R275" s="242"/>
      <c r="S275" s="242"/>
      <c r="T275" s="242"/>
      <c r="U275" s="242"/>
      <c r="V275" s="242"/>
      <c r="W275" s="242"/>
      <c r="X275" s="242"/>
      <c r="Y275" s="242"/>
      <c r="Z275" s="242"/>
    </row>
    <row r="276">
      <c r="A276" s="340"/>
      <c r="B276" s="242"/>
      <c r="C276" s="242"/>
      <c r="D276" s="242"/>
      <c r="E276" s="13"/>
      <c r="F276" s="13"/>
      <c r="G276" s="13"/>
      <c r="H276" s="13"/>
      <c r="I276" s="13"/>
      <c r="J276" s="13"/>
      <c r="K276" s="13"/>
      <c r="L276" s="242"/>
      <c r="M276" s="242"/>
      <c r="N276" s="242"/>
      <c r="O276" s="242"/>
      <c r="P276" s="242"/>
      <c r="Q276" s="242"/>
      <c r="R276" s="242"/>
      <c r="S276" s="242"/>
      <c r="T276" s="242"/>
      <c r="U276" s="242"/>
      <c r="V276" s="242"/>
      <c r="W276" s="242"/>
      <c r="X276" s="242"/>
      <c r="Y276" s="242"/>
      <c r="Z276" s="242"/>
    </row>
    <row r="277">
      <c r="A277" s="340"/>
      <c r="B277" s="242"/>
      <c r="C277" s="242"/>
      <c r="D277" s="242"/>
      <c r="E277" s="13"/>
      <c r="F277" s="13"/>
      <c r="G277" s="13"/>
      <c r="H277" s="13"/>
      <c r="I277" s="13"/>
      <c r="J277" s="13"/>
      <c r="K277" s="13"/>
      <c r="L277" s="242"/>
      <c r="M277" s="242"/>
      <c r="N277" s="242"/>
      <c r="O277" s="242"/>
      <c r="P277" s="242"/>
      <c r="Q277" s="242"/>
      <c r="R277" s="242"/>
      <c r="S277" s="242"/>
      <c r="T277" s="242"/>
      <c r="U277" s="242"/>
      <c r="V277" s="242"/>
      <c r="W277" s="242"/>
      <c r="X277" s="242"/>
      <c r="Y277" s="242"/>
      <c r="Z277" s="242"/>
    </row>
    <row r="278">
      <c r="A278" s="340"/>
      <c r="B278" s="242"/>
      <c r="C278" s="242"/>
      <c r="D278" s="242"/>
      <c r="E278" s="13"/>
      <c r="F278" s="13"/>
      <c r="G278" s="13"/>
      <c r="H278" s="13"/>
      <c r="I278" s="13"/>
      <c r="J278" s="13"/>
      <c r="K278" s="13"/>
      <c r="L278" s="242"/>
      <c r="M278" s="242"/>
      <c r="N278" s="242"/>
      <c r="O278" s="242"/>
      <c r="P278" s="242"/>
      <c r="Q278" s="242"/>
      <c r="R278" s="242"/>
      <c r="S278" s="242"/>
      <c r="T278" s="242"/>
      <c r="U278" s="242"/>
      <c r="V278" s="242"/>
      <c r="W278" s="242"/>
      <c r="X278" s="242"/>
      <c r="Y278" s="242"/>
      <c r="Z278" s="242"/>
    </row>
    <row r="279">
      <c r="A279" s="340"/>
      <c r="B279" s="242"/>
      <c r="C279" s="242"/>
      <c r="D279" s="242"/>
      <c r="E279" s="13"/>
      <c r="F279" s="13"/>
      <c r="G279" s="13"/>
      <c r="H279" s="13"/>
      <c r="I279" s="13"/>
      <c r="J279" s="13"/>
      <c r="K279" s="13"/>
      <c r="L279" s="242"/>
      <c r="M279" s="242"/>
      <c r="N279" s="242"/>
      <c r="O279" s="242"/>
      <c r="P279" s="242"/>
      <c r="Q279" s="242"/>
      <c r="R279" s="242"/>
      <c r="S279" s="242"/>
      <c r="T279" s="242"/>
      <c r="U279" s="242"/>
      <c r="V279" s="242"/>
      <c r="W279" s="242"/>
      <c r="X279" s="242"/>
      <c r="Y279" s="242"/>
      <c r="Z279" s="242"/>
    </row>
    <row r="280">
      <c r="A280" s="340"/>
      <c r="B280" s="242"/>
      <c r="C280" s="242"/>
      <c r="D280" s="242"/>
      <c r="E280" s="13"/>
      <c r="F280" s="13"/>
      <c r="G280" s="13"/>
      <c r="H280" s="13"/>
      <c r="I280" s="13"/>
      <c r="J280" s="13"/>
      <c r="K280" s="13"/>
      <c r="L280" s="242"/>
      <c r="M280" s="242"/>
      <c r="N280" s="242"/>
      <c r="O280" s="242"/>
      <c r="P280" s="242"/>
      <c r="Q280" s="242"/>
      <c r="R280" s="242"/>
      <c r="S280" s="242"/>
      <c r="T280" s="242"/>
      <c r="U280" s="242"/>
      <c r="V280" s="242"/>
      <c r="W280" s="242"/>
      <c r="X280" s="242"/>
      <c r="Y280" s="242"/>
      <c r="Z280" s="242"/>
    </row>
    <row r="281">
      <c r="A281" s="340"/>
      <c r="B281" s="242"/>
      <c r="C281" s="242"/>
      <c r="D281" s="242"/>
      <c r="E281" s="13"/>
      <c r="F281" s="13"/>
      <c r="G281" s="13"/>
      <c r="H281" s="13"/>
      <c r="I281" s="13"/>
      <c r="J281" s="13"/>
      <c r="K281" s="13"/>
      <c r="L281" s="242"/>
      <c r="M281" s="242"/>
      <c r="N281" s="242"/>
      <c r="O281" s="242"/>
      <c r="P281" s="242"/>
      <c r="Q281" s="242"/>
      <c r="R281" s="242"/>
      <c r="S281" s="242"/>
      <c r="T281" s="242"/>
      <c r="U281" s="242"/>
      <c r="V281" s="242"/>
      <c r="W281" s="242"/>
      <c r="X281" s="242"/>
      <c r="Y281" s="242"/>
      <c r="Z281" s="242"/>
    </row>
    <row r="282">
      <c r="A282" s="340"/>
      <c r="B282" s="242"/>
      <c r="C282" s="242"/>
      <c r="D282" s="242"/>
      <c r="E282" s="13"/>
      <c r="F282" s="13"/>
      <c r="G282" s="13"/>
      <c r="H282" s="13"/>
      <c r="I282" s="13"/>
      <c r="J282" s="13"/>
      <c r="K282" s="13"/>
      <c r="L282" s="242"/>
      <c r="M282" s="242"/>
      <c r="N282" s="242"/>
      <c r="O282" s="242"/>
      <c r="P282" s="242"/>
      <c r="Q282" s="242"/>
      <c r="R282" s="242"/>
      <c r="S282" s="242"/>
      <c r="T282" s="242"/>
      <c r="U282" s="242"/>
      <c r="V282" s="242"/>
      <c r="W282" s="242"/>
      <c r="X282" s="242"/>
      <c r="Y282" s="242"/>
      <c r="Z282" s="242"/>
    </row>
    <row r="283">
      <c r="A283" s="340"/>
      <c r="B283" s="242"/>
      <c r="C283" s="242"/>
      <c r="D283" s="242"/>
      <c r="E283" s="13"/>
      <c r="F283" s="13"/>
      <c r="G283" s="13"/>
      <c r="H283" s="13"/>
      <c r="I283" s="13"/>
      <c r="J283" s="13"/>
      <c r="K283" s="13"/>
      <c r="L283" s="242"/>
      <c r="M283" s="242"/>
      <c r="N283" s="242"/>
      <c r="O283" s="242"/>
      <c r="P283" s="242"/>
      <c r="Q283" s="242"/>
      <c r="R283" s="242"/>
      <c r="S283" s="242"/>
      <c r="T283" s="242"/>
      <c r="U283" s="242"/>
      <c r="V283" s="242"/>
      <c r="W283" s="242"/>
      <c r="X283" s="242"/>
      <c r="Y283" s="242"/>
      <c r="Z283" s="242"/>
    </row>
    <row r="284">
      <c r="A284" s="340"/>
      <c r="B284" s="242"/>
      <c r="C284" s="242"/>
      <c r="D284" s="242"/>
      <c r="E284" s="13"/>
      <c r="F284" s="13"/>
      <c r="G284" s="13"/>
      <c r="H284" s="13"/>
      <c r="I284" s="13"/>
      <c r="J284" s="13"/>
      <c r="K284" s="13"/>
      <c r="L284" s="242"/>
      <c r="M284" s="242"/>
      <c r="N284" s="242"/>
      <c r="O284" s="242"/>
      <c r="P284" s="242"/>
      <c r="Q284" s="242"/>
      <c r="R284" s="242"/>
      <c r="S284" s="242"/>
      <c r="T284" s="242"/>
      <c r="U284" s="242"/>
      <c r="V284" s="242"/>
      <c r="W284" s="242"/>
      <c r="X284" s="242"/>
      <c r="Y284" s="242"/>
      <c r="Z284" s="242"/>
    </row>
    <row r="285">
      <c r="A285" s="340"/>
      <c r="B285" s="242"/>
      <c r="C285" s="242"/>
      <c r="D285" s="242"/>
      <c r="E285" s="13"/>
      <c r="F285" s="13"/>
      <c r="G285" s="13"/>
      <c r="H285" s="13"/>
      <c r="I285" s="13"/>
      <c r="J285" s="13"/>
      <c r="K285" s="13"/>
      <c r="L285" s="242"/>
      <c r="M285" s="242"/>
      <c r="N285" s="242"/>
      <c r="O285" s="242"/>
      <c r="P285" s="242"/>
      <c r="Q285" s="242"/>
      <c r="R285" s="242"/>
      <c r="S285" s="242"/>
      <c r="T285" s="242"/>
      <c r="U285" s="242"/>
      <c r="V285" s="242"/>
      <c r="W285" s="242"/>
      <c r="X285" s="242"/>
      <c r="Y285" s="242"/>
      <c r="Z285" s="242"/>
    </row>
    <row r="286">
      <c r="A286" s="340"/>
      <c r="B286" s="242"/>
      <c r="C286" s="242"/>
      <c r="D286" s="242"/>
      <c r="E286" s="13"/>
      <c r="F286" s="13"/>
      <c r="G286" s="13"/>
      <c r="H286" s="13"/>
      <c r="I286" s="13"/>
      <c r="J286" s="13"/>
      <c r="K286" s="13"/>
      <c r="L286" s="242"/>
      <c r="M286" s="242"/>
      <c r="N286" s="242"/>
      <c r="O286" s="242"/>
      <c r="P286" s="242"/>
      <c r="Q286" s="242"/>
      <c r="R286" s="242"/>
      <c r="S286" s="242"/>
      <c r="T286" s="242"/>
      <c r="U286" s="242"/>
      <c r="V286" s="242"/>
      <c r="W286" s="242"/>
      <c r="X286" s="242"/>
      <c r="Y286" s="242"/>
      <c r="Z286" s="242"/>
    </row>
    <row r="287">
      <c r="A287" s="340"/>
      <c r="B287" s="242"/>
      <c r="C287" s="242"/>
      <c r="D287" s="242"/>
      <c r="E287" s="13"/>
      <c r="F287" s="13"/>
      <c r="G287" s="13"/>
      <c r="H287" s="13"/>
      <c r="I287" s="13"/>
      <c r="J287" s="13"/>
      <c r="K287" s="13"/>
      <c r="L287" s="242"/>
      <c r="M287" s="242"/>
      <c r="N287" s="242"/>
      <c r="O287" s="242"/>
      <c r="P287" s="242"/>
      <c r="Q287" s="242"/>
      <c r="R287" s="242"/>
      <c r="S287" s="242"/>
      <c r="T287" s="242"/>
      <c r="U287" s="242"/>
      <c r="V287" s="242"/>
      <c r="W287" s="242"/>
      <c r="X287" s="242"/>
      <c r="Y287" s="242"/>
      <c r="Z287" s="242"/>
    </row>
    <row r="288">
      <c r="A288" s="340"/>
      <c r="B288" s="242"/>
      <c r="C288" s="242"/>
      <c r="D288" s="242"/>
      <c r="E288" s="13"/>
      <c r="F288" s="13"/>
      <c r="G288" s="13"/>
      <c r="H288" s="13"/>
      <c r="I288" s="13"/>
      <c r="J288" s="13"/>
      <c r="K288" s="13"/>
      <c r="L288" s="242"/>
      <c r="M288" s="242"/>
      <c r="N288" s="242"/>
      <c r="O288" s="242"/>
      <c r="P288" s="242"/>
      <c r="Q288" s="242"/>
      <c r="R288" s="242"/>
      <c r="S288" s="242"/>
      <c r="T288" s="242"/>
      <c r="U288" s="242"/>
      <c r="V288" s="242"/>
      <c r="W288" s="242"/>
      <c r="X288" s="242"/>
      <c r="Y288" s="242"/>
      <c r="Z288" s="242"/>
    </row>
    <row r="289">
      <c r="A289" s="340"/>
      <c r="B289" s="242"/>
      <c r="C289" s="242"/>
      <c r="D289" s="242"/>
      <c r="E289" s="13"/>
      <c r="F289" s="13"/>
      <c r="G289" s="13"/>
      <c r="H289" s="13"/>
      <c r="I289" s="13"/>
      <c r="J289" s="13"/>
      <c r="K289" s="13"/>
      <c r="L289" s="242"/>
      <c r="M289" s="242"/>
      <c r="N289" s="242"/>
      <c r="O289" s="242"/>
      <c r="P289" s="242"/>
      <c r="Q289" s="242"/>
      <c r="R289" s="242"/>
      <c r="S289" s="242"/>
      <c r="T289" s="242"/>
      <c r="U289" s="242"/>
      <c r="V289" s="242"/>
      <c r="W289" s="242"/>
      <c r="X289" s="242"/>
      <c r="Y289" s="242"/>
      <c r="Z289" s="242"/>
    </row>
    <row r="290">
      <c r="A290" s="340"/>
      <c r="B290" s="242"/>
      <c r="C290" s="242"/>
      <c r="D290" s="242"/>
      <c r="E290" s="13"/>
      <c r="F290" s="13"/>
      <c r="G290" s="13"/>
      <c r="H290" s="13"/>
      <c r="I290" s="13"/>
      <c r="J290" s="13"/>
      <c r="K290" s="13"/>
      <c r="L290" s="242"/>
      <c r="M290" s="242"/>
      <c r="N290" s="242"/>
      <c r="O290" s="242"/>
      <c r="P290" s="242"/>
      <c r="Q290" s="242"/>
      <c r="R290" s="242"/>
      <c r="S290" s="242"/>
      <c r="T290" s="242"/>
      <c r="U290" s="242"/>
      <c r="V290" s="242"/>
      <c r="W290" s="242"/>
      <c r="X290" s="242"/>
      <c r="Y290" s="242"/>
      <c r="Z290" s="242"/>
    </row>
    <row r="291">
      <c r="A291" s="340"/>
      <c r="B291" s="242"/>
      <c r="C291" s="242"/>
      <c r="D291" s="242"/>
      <c r="E291" s="13"/>
      <c r="F291" s="13"/>
      <c r="G291" s="13"/>
      <c r="H291" s="13"/>
      <c r="I291" s="13"/>
      <c r="J291" s="13"/>
      <c r="K291" s="13"/>
      <c r="L291" s="242"/>
      <c r="M291" s="242"/>
      <c r="N291" s="242"/>
      <c r="O291" s="242"/>
      <c r="P291" s="242"/>
      <c r="Q291" s="242"/>
      <c r="R291" s="242"/>
      <c r="S291" s="242"/>
      <c r="T291" s="242"/>
      <c r="U291" s="242"/>
      <c r="V291" s="242"/>
      <c r="W291" s="242"/>
      <c r="X291" s="242"/>
      <c r="Y291" s="242"/>
      <c r="Z291" s="242"/>
    </row>
    <row r="292">
      <c r="A292" s="340"/>
      <c r="B292" s="242"/>
      <c r="C292" s="242"/>
      <c r="D292" s="242"/>
      <c r="E292" s="13"/>
      <c r="F292" s="13"/>
      <c r="G292" s="13"/>
      <c r="H292" s="13"/>
      <c r="I292" s="13"/>
      <c r="J292" s="13"/>
      <c r="K292" s="13"/>
      <c r="L292" s="242"/>
      <c r="M292" s="242"/>
      <c r="N292" s="242"/>
      <c r="O292" s="242"/>
      <c r="P292" s="242"/>
      <c r="Q292" s="242"/>
      <c r="R292" s="242"/>
      <c r="S292" s="242"/>
      <c r="T292" s="242"/>
      <c r="U292" s="242"/>
      <c r="V292" s="242"/>
      <c r="W292" s="242"/>
      <c r="X292" s="242"/>
      <c r="Y292" s="242"/>
      <c r="Z292" s="242"/>
    </row>
    <row r="293">
      <c r="A293" s="340"/>
      <c r="B293" s="242"/>
      <c r="C293" s="242"/>
      <c r="D293" s="242"/>
      <c r="E293" s="13"/>
      <c r="F293" s="13"/>
      <c r="G293" s="13"/>
      <c r="H293" s="13"/>
      <c r="I293" s="13"/>
      <c r="J293" s="13"/>
      <c r="K293" s="13"/>
      <c r="L293" s="242"/>
      <c r="M293" s="242"/>
      <c r="N293" s="242"/>
      <c r="O293" s="242"/>
      <c r="P293" s="242"/>
      <c r="Q293" s="242"/>
      <c r="R293" s="242"/>
      <c r="S293" s="242"/>
      <c r="T293" s="242"/>
      <c r="U293" s="242"/>
      <c r="V293" s="242"/>
      <c r="W293" s="242"/>
      <c r="X293" s="242"/>
      <c r="Y293" s="242"/>
      <c r="Z293" s="242"/>
    </row>
    <row r="294">
      <c r="A294" s="340"/>
      <c r="B294" s="242"/>
      <c r="C294" s="242"/>
      <c r="D294" s="242"/>
      <c r="E294" s="13"/>
      <c r="F294" s="13"/>
      <c r="G294" s="13"/>
      <c r="H294" s="13"/>
      <c r="I294" s="13"/>
      <c r="J294" s="13"/>
      <c r="K294" s="13"/>
      <c r="L294" s="242"/>
      <c r="M294" s="242"/>
      <c r="N294" s="242"/>
      <c r="O294" s="242"/>
      <c r="P294" s="242"/>
      <c r="Q294" s="242"/>
      <c r="R294" s="242"/>
      <c r="S294" s="242"/>
      <c r="T294" s="242"/>
      <c r="U294" s="242"/>
      <c r="V294" s="242"/>
      <c r="W294" s="242"/>
      <c r="X294" s="242"/>
      <c r="Y294" s="242"/>
      <c r="Z294" s="242"/>
    </row>
    <row r="295">
      <c r="A295" s="340"/>
      <c r="B295" s="242"/>
      <c r="C295" s="242"/>
      <c r="D295" s="242"/>
      <c r="E295" s="13"/>
      <c r="F295" s="13"/>
      <c r="G295" s="13"/>
      <c r="H295" s="13"/>
      <c r="I295" s="13"/>
      <c r="J295" s="13"/>
      <c r="K295" s="13"/>
      <c r="L295" s="242"/>
      <c r="M295" s="242"/>
      <c r="N295" s="242"/>
      <c r="O295" s="242"/>
      <c r="P295" s="242"/>
      <c r="Q295" s="242"/>
      <c r="R295" s="242"/>
      <c r="S295" s="242"/>
      <c r="T295" s="242"/>
      <c r="U295" s="242"/>
      <c r="V295" s="242"/>
      <c r="W295" s="242"/>
      <c r="X295" s="242"/>
      <c r="Y295" s="242"/>
      <c r="Z295" s="242"/>
    </row>
    <row r="296">
      <c r="A296" s="340"/>
      <c r="B296" s="242"/>
      <c r="C296" s="242"/>
      <c r="D296" s="242"/>
      <c r="E296" s="13"/>
      <c r="F296" s="13"/>
      <c r="G296" s="13"/>
      <c r="H296" s="13"/>
      <c r="I296" s="13"/>
      <c r="J296" s="13"/>
      <c r="K296" s="13"/>
      <c r="L296" s="242"/>
      <c r="M296" s="242"/>
      <c r="N296" s="242"/>
      <c r="O296" s="242"/>
      <c r="P296" s="242"/>
      <c r="Q296" s="242"/>
      <c r="R296" s="242"/>
      <c r="S296" s="242"/>
      <c r="T296" s="242"/>
      <c r="U296" s="242"/>
      <c r="V296" s="242"/>
      <c r="W296" s="242"/>
      <c r="X296" s="242"/>
      <c r="Y296" s="242"/>
      <c r="Z296" s="242"/>
    </row>
    <row r="297">
      <c r="A297" s="340"/>
      <c r="B297" s="242"/>
      <c r="C297" s="242"/>
      <c r="D297" s="242"/>
      <c r="E297" s="13"/>
      <c r="F297" s="13"/>
      <c r="G297" s="13"/>
      <c r="H297" s="13"/>
      <c r="I297" s="13"/>
      <c r="J297" s="13"/>
      <c r="K297" s="13"/>
      <c r="L297" s="242"/>
      <c r="M297" s="242"/>
      <c r="N297" s="242"/>
      <c r="O297" s="242"/>
      <c r="P297" s="242"/>
      <c r="Q297" s="242"/>
      <c r="R297" s="242"/>
      <c r="S297" s="242"/>
      <c r="T297" s="242"/>
      <c r="U297" s="242"/>
      <c r="V297" s="242"/>
      <c r="W297" s="242"/>
      <c r="X297" s="242"/>
      <c r="Y297" s="242"/>
      <c r="Z297" s="242"/>
    </row>
    <row r="298">
      <c r="A298" s="340"/>
      <c r="B298" s="242"/>
      <c r="C298" s="242"/>
      <c r="D298" s="242"/>
      <c r="E298" s="13"/>
      <c r="F298" s="13"/>
      <c r="G298" s="13"/>
      <c r="H298" s="13"/>
      <c r="I298" s="13"/>
      <c r="J298" s="13"/>
      <c r="K298" s="13"/>
      <c r="L298" s="242"/>
      <c r="M298" s="242"/>
      <c r="N298" s="242"/>
      <c r="O298" s="242"/>
      <c r="P298" s="242"/>
      <c r="Q298" s="242"/>
      <c r="R298" s="242"/>
      <c r="S298" s="242"/>
      <c r="T298" s="242"/>
      <c r="U298" s="242"/>
      <c r="V298" s="242"/>
      <c r="W298" s="242"/>
      <c r="X298" s="242"/>
      <c r="Y298" s="242"/>
      <c r="Z298" s="242"/>
    </row>
    <row r="299">
      <c r="A299" s="340"/>
      <c r="B299" s="242"/>
      <c r="C299" s="242"/>
      <c r="D299" s="242"/>
      <c r="E299" s="13"/>
      <c r="F299" s="13"/>
      <c r="G299" s="13"/>
      <c r="H299" s="13"/>
      <c r="I299" s="13"/>
      <c r="J299" s="13"/>
      <c r="K299" s="13"/>
      <c r="L299" s="242"/>
      <c r="M299" s="242"/>
      <c r="N299" s="242"/>
      <c r="O299" s="242"/>
      <c r="P299" s="242"/>
      <c r="Q299" s="242"/>
      <c r="R299" s="242"/>
      <c r="S299" s="242"/>
      <c r="T299" s="242"/>
      <c r="U299" s="242"/>
      <c r="V299" s="242"/>
      <c r="W299" s="242"/>
      <c r="X299" s="242"/>
      <c r="Y299" s="242"/>
      <c r="Z299" s="242"/>
    </row>
    <row r="300">
      <c r="A300" s="340"/>
      <c r="B300" s="242"/>
      <c r="C300" s="242"/>
      <c r="D300" s="242"/>
      <c r="E300" s="13"/>
      <c r="F300" s="13"/>
      <c r="G300" s="13"/>
      <c r="H300" s="13"/>
      <c r="I300" s="13"/>
      <c r="J300" s="13"/>
      <c r="K300" s="13"/>
      <c r="L300" s="242"/>
      <c r="M300" s="242"/>
      <c r="N300" s="242"/>
      <c r="O300" s="242"/>
      <c r="P300" s="242"/>
      <c r="Q300" s="242"/>
      <c r="R300" s="242"/>
      <c r="S300" s="242"/>
      <c r="T300" s="242"/>
      <c r="U300" s="242"/>
      <c r="V300" s="242"/>
      <c r="W300" s="242"/>
      <c r="X300" s="242"/>
      <c r="Y300" s="242"/>
      <c r="Z300" s="242"/>
    </row>
    <row r="301">
      <c r="A301" s="340"/>
      <c r="B301" s="242"/>
      <c r="C301" s="242"/>
      <c r="D301" s="242"/>
      <c r="E301" s="13"/>
      <c r="F301" s="13"/>
      <c r="G301" s="13"/>
      <c r="H301" s="13"/>
      <c r="I301" s="13"/>
      <c r="J301" s="13"/>
      <c r="K301" s="13"/>
      <c r="L301" s="242"/>
      <c r="M301" s="242"/>
      <c r="N301" s="242"/>
      <c r="O301" s="242"/>
      <c r="P301" s="242"/>
      <c r="Q301" s="242"/>
      <c r="R301" s="242"/>
      <c r="S301" s="242"/>
      <c r="T301" s="242"/>
      <c r="U301" s="242"/>
      <c r="V301" s="242"/>
      <c r="W301" s="242"/>
      <c r="X301" s="242"/>
      <c r="Y301" s="242"/>
      <c r="Z301" s="242"/>
    </row>
    <row r="302">
      <c r="A302" s="340"/>
      <c r="B302" s="242"/>
      <c r="C302" s="242"/>
      <c r="D302" s="242"/>
      <c r="E302" s="13"/>
      <c r="F302" s="13"/>
      <c r="G302" s="13"/>
      <c r="H302" s="13"/>
      <c r="I302" s="13"/>
      <c r="J302" s="13"/>
      <c r="K302" s="13"/>
      <c r="L302" s="242"/>
      <c r="M302" s="242"/>
      <c r="N302" s="242"/>
      <c r="O302" s="242"/>
      <c r="P302" s="242"/>
      <c r="Q302" s="242"/>
      <c r="R302" s="242"/>
      <c r="S302" s="242"/>
      <c r="T302" s="242"/>
      <c r="U302" s="242"/>
      <c r="V302" s="242"/>
      <c r="W302" s="242"/>
      <c r="X302" s="242"/>
      <c r="Y302" s="242"/>
      <c r="Z302" s="242"/>
    </row>
    <row r="303">
      <c r="A303" s="340"/>
      <c r="B303" s="242"/>
      <c r="C303" s="242"/>
      <c r="D303" s="242"/>
      <c r="E303" s="13"/>
      <c r="F303" s="13"/>
      <c r="G303" s="13"/>
      <c r="H303" s="13"/>
      <c r="I303" s="13"/>
      <c r="J303" s="13"/>
      <c r="K303" s="13"/>
      <c r="L303" s="242"/>
      <c r="M303" s="242"/>
      <c r="N303" s="242"/>
      <c r="O303" s="242"/>
      <c r="P303" s="242"/>
      <c r="Q303" s="242"/>
      <c r="R303" s="242"/>
      <c r="S303" s="242"/>
      <c r="T303" s="242"/>
      <c r="U303" s="242"/>
      <c r="V303" s="242"/>
      <c r="W303" s="242"/>
      <c r="X303" s="242"/>
      <c r="Y303" s="242"/>
      <c r="Z303" s="242"/>
    </row>
    <row r="304">
      <c r="A304" s="340"/>
      <c r="B304" s="242"/>
      <c r="C304" s="242"/>
      <c r="D304" s="242"/>
      <c r="E304" s="13"/>
      <c r="F304" s="13"/>
      <c r="G304" s="13"/>
      <c r="H304" s="13"/>
      <c r="I304" s="13"/>
      <c r="J304" s="13"/>
      <c r="K304" s="13"/>
      <c r="L304" s="242"/>
      <c r="M304" s="242"/>
      <c r="N304" s="242"/>
      <c r="O304" s="242"/>
      <c r="P304" s="242"/>
      <c r="Q304" s="242"/>
      <c r="R304" s="242"/>
      <c r="S304" s="242"/>
      <c r="T304" s="242"/>
      <c r="U304" s="242"/>
      <c r="V304" s="242"/>
      <c r="W304" s="242"/>
      <c r="X304" s="242"/>
      <c r="Y304" s="242"/>
      <c r="Z304" s="242"/>
    </row>
    <row r="305">
      <c r="A305" s="340"/>
      <c r="B305" s="242"/>
      <c r="C305" s="242"/>
      <c r="D305" s="242"/>
      <c r="E305" s="13"/>
      <c r="F305" s="13"/>
      <c r="G305" s="13"/>
      <c r="H305" s="13"/>
      <c r="I305" s="13"/>
      <c r="J305" s="13"/>
      <c r="K305" s="13"/>
      <c r="L305" s="242"/>
      <c r="M305" s="242"/>
      <c r="N305" s="242"/>
      <c r="O305" s="242"/>
      <c r="P305" s="242"/>
      <c r="Q305" s="242"/>
      <c r="R305" s="242"/>
      <c r="S305" s="242"/>
      <c r="T305" s="242"/>
      <c r="U305" s="242"/>
      <c r="V305" s="242"/>
      <c r="W305" s="242"/>
      <c r="X305" s="242"/>
      <c r="Y305" s="242"/>
      <c r="Z305" s="242"/>
    </row>
    <row r="306">
      <c r="A306" s="340"/>
      <c r="B306" s="242"/>
      <c r="C306" s="242"/>
      <c r="D306" s="242"/>
      <c r="E306" s="13"/>
      <c r="F306" s="13"/>
      <c r="G306" s="13"/>
      <c r="H306" s="13"/>
      <c r="I306" s="13"/>
      <c r="J306" s="13"/>
      <c r="K306" s="13"/>
      <c r="L306" s="242"/>
      <c r="M306" s="242"/>
      <c r="N306" s="242"/>
      <c r="O306" s="242"/>
      <c r="P306" s="242"/>
      <c r="Q306" s="242"/>
      <c r="R306" s="242"/>
      <c r="S306" s="242"/>
      <c r="T306" s="242"/>
      <c r="U306" s="242"/>
      <c r="V306" s="242"/>
      <c r="W306" s="242"/>
      <c r="X306" s="242"/>
      <c r="Y306" s="242"/>
      <c r="Z306" s="242"/>
    </row>
    <row r="307">
      <c r="A307" s="340"/>
      <c r="B307" s="242"/>
      <c r="C307" s="242"/>
      <c r="D307" s="242"/>
      <c r="E307" s="13"/>
      <c r="F307" s="13"/>
      <c r="G307" s="13"/>
      <c r="H307" s="13"/>
      <c r="I307" s="13"/>
      <c r="J307" s="13"/>
      <c r="K307" s="13"/>
      <c r="L307" s="242"/>
      <c r="M307" s="242"/>
      <c r="N307" s="242"/>
      <c r="O307" s="242"/>
      <c r="P307" s="242"/>
      <c r="Q307" s="242"/>
      <c r="R307" s="242"/>
      <c r="S307" s="242"/>
      <c r="T307" s="242"/>
      <c r="U307" s="242"/>
      <c r="V307" s="242"/>
      <c r="W307" s="242"/>
      <c r="X307" s="242"/>
      <c r="Y307" s="242"/>
      <c r="Z307" s="242"/>
    </row>
    <row r="308">
      <c r="A308" s="340"/>
      <c r="B308" s="242"/>
      <c r="C308" s="242"/>
      <c r="D308" s="242"/>
      <c r="E308" s="13"/>
      <c r="F308" s="13"/>
      <c r="G308" s="13"/>
      <c r="H308" s="13"/>
      <c r="I308" s="13"/>
      <c r="J308" s="13"/>
      <c r="K308" s="13"/>
      <c r="L308" s="242"/>
      <c r="M308" s="242"/>
      <c r="N308" s="242"/>
      <c r="O308" s="242"/>
      <c r="P308" s="242"/>
      <c r="Q308" s="242"/>
      <c r="R308" s="242"/>
      <c r="S308" s="242"/>
      <c r="T308" s="242"/>
      <c r="U308" s="242"/>
      <c r="V308" s="242"/>
      <c r="W308" s="242"/>
      <c r="X308" s="242"/>
      <c r="Y308" s="242"/>
      <c r="Z308" s="242"/>
    </row>
    <row r="309">
      <c r="A309" s="340"/>
      <c r="B309" s="242"/>
      <c r="C309" s="242"/>
      <c r="D309" s="242"/>
      <c r="E309" s="13"/>
      <c r="F309" s="13"/>
      <c r="G309" s="13"/>
      <c r="H309" s="13"/>
      <c r="I309" s="13"/>
      <c r="J309" s="13"/>
      <c r="K309" s="13"/>
      <c r="L309" s="242"/>
      <c r="M309" s="242"/>
      <c r="N309" s="242"/>
      <c r="O309" s="242"/>
      <c r="P309" s="242"/>
      <c r="Q309" s="242"/>
      <c r="R309" s="242"/>
      <c r="S309" s="242"/>
      <c r="T309" s="242"/>
      <c r="U309" s="242"/>
      <c r="V309" s="242"/>
      <c r="W309" s="242"/>
      <c r="X309" s="242"/>
      <c r="Y309" s="242"/>
      <c r="Z309" s="242"/>
    </row>
    <row r="310">
      <c r="A310" s="340"/>
      <c r="B310" s="242"/>
      <c r="C310" s="242"/>
      <c r="D310" s="242"/>
      <c r="E310" s="13"/>
      <c r="F310" s="13"/>
      <c r="G310" s="13"/>
      <c r="H310" s="13"/>
      <c r="I310" s="13"/>
      <c r="J310" s="13"/>
      <c r="K310" s="13"/>
      <c r="L310" s="242"/>
      <c r="M310" s="242"/>
      <c r="N310" s="242"/>
      <c r="O310" s="242"/>
      <c r="P310" s="242"/>
      <c r="Q310" s="242"/>
      <c r="R310" s="242"/>
      <c r="S310" s="242"/>
      <c r="T310" s="242"/>
      <c r="U310" s="242"/>
      <c r="V310" s="242"/>
      <c r="W310" s="242"/>
      <c r="X310" s="242"/>
      <c r="Y310" s="242"/>
      <c r="Z310" s="242"/>
    </row>
    <row r="311">
      <c r="A311" s="340"/>
      <c r="B311" s="242"/>
      <c r="C311" s="242"/>
      <c r="D311" s="242"/>
      <c r="E311" s="13"/>
      <c r="F311" s="13"/>
      <c r="G311" s="13"/>
      <c r="H311" s="13"/>
      <c r="I311" s="13"/>
      <c r="J311" s="13"/>
      <c r="K311" s="13"/>
      <c r="L311" s="242"/>
      <c r="M311" s="242"/>
      <c r="N311" s="242"/>
      <c r="O311" s="242"/>
      <c r="P311" s="242"/>
      <c r="Q311" s="242"/>
      <c r="R311" s="242"/>
      <c r="S311" s="242"/>
      <c r="T311" s="242"/>
      <c r="U311" s="242"/>
      <c r="V311" s="242"/>
      <c r="W311" s="242"/>
      <c r="X311" s="242"/>
      <c r="Y311" s="242"/>
      <c r="Z311" s="242"/>
    </row>
    <row r="312">
      <c r="A312" s="340"/>
      <c r="B312" s="242"/>
      <c r="C312" s="242"/>
      <c r="D312" s="242"/>
      <c r="E312" s="13"/>
      <c r="F312" s="13"/>
      <c r="G312" s="13"/>
      <c r="H312" s="13"/>
      <c r="I312" s="13"/>
      <c r="J312" s="13"/>
      <c r="K312" s="13"/>
      <c r="L312" s="242"/>
      <c r="M312" s="242"/>
      <c r="N312" s="242"/>
      <c r="O312" s="242"/>
      <c r="P312" s="242"/>
      <c r="Q312" s="242"/>
      <c r="R312" s="242"/>
      <c r="S312" s="242"/>
      <c r="T312" s="242"/>
      <c r="U312" s="242"/>
      <c r="V312" s="242"/>
      <c r="W312" s="242"/>
      <c r="X312" s="242"/>
      <c r="Y312" s="242"/>
      <c r="Z312" s="242"/>
    </row>
    <row r="313">
      <c r="A313" s="340"/>
      <c r="B313" s="242"/>
      <c r="C313" s="242"/>
      <c r="D313" s="242"/>
      <c r="E313" s="13"/>
      <c r="F313" s="13"/>
      <c r="G313" s="13"/>
      <c r="H313" s="13"/>
      <c r="I313" s="13"/>
      <c r="J313" s="13"/>
      <c r="K313" s="13"/>
      <c r="L313" s="242"/>
      <c r="M313" s="242"/>
      <c r="N313" s="242"/>
      <c r="O313" s="242"/>
      <c r="P313" s="242"/>
      <c r="Q313" s="242"/>
      <c r="R313" s="242"/>
      <c r="S313" s="242"/>
      <c r="T313" s="242"/>
      <c r="U313" s="242"/>
      <c r="V313" s="242"/>
      <c r="W313" s="242"/>
      <c r="X313" s="242"/>
      <c r="Y313" s="242"/>
      <c r="Z313" s="242"/>
    </row>
    <row r="314">
      <c r="A314" s="340"/>
      <c r="B314" s="242"/>
      <c r="C314" s="242"/>
      <c r="D314" s="242"/>
      <c r="E314" s="13"/>
      <c r="F314" s="13"/>
      <c r="G314" s="13"/>
      <c r="H314" s="13"/>
      <c r="I314" s="13"/>
      <c r="J314" s="13"/>
      <c r="K314" s="13"/>
      <c r="L314" s="242"/>
      <c r="M314" s="242"/>
      <c r="N314" s="242"/>
      <c r="O314" s="242"/>
      <c r="P314" s="242"/>
      <c r="Q314" s="242"/>
      <c r="R314" s="242"/>
      <c r="S314" s="242"/>
      <c r="T314" s="242"/>
      <c r="U314" s="242"/>
      <c r="V314" s="242"/>
      <c r="W314" s="242"/>
      <c r="X314" s="242"/>
      <c r="Y314" s="242"/>
      <c r="Z314" s="242"/>
    </row>
    <row r="315">
      <c r="A315" s="340"/>
      <c r="B315" s="242"/>
      <c r="C315" s="242"/>
      <c r="D315" s="242"/>
      <c r="E315" s="13"/>
      <c r="F315" s="13"/>
      <c r="G315" s="13"/>
      <c r="H315" s="13"/>
      <c r="I315" s="13"/>
      <c r="J315" s="13"/>
      <c r="K315" s="13"/>
      <c r="L315" s="242"/>
      <c r="M315" s="242"/>
      <c r="N315" s="242"/>
      <c r="O315" s="242"/>
      <c r="P315" s="242"/>
      <c r="Q315" s="242"/>
      <c r="R315" s="242"/>
      <c r="S315" s="242"/>
      <c r="T315" s="242"/>
      <c r="U315" s="242"/>
      <c r="V315" s="242"/>
      <c r="W315" s="242"/>
      <c r="X315" s="242"/>
      <c r="Y315" s="242"/>
      <c r="Z315" s="242"/>
    </row>
    <row r="316">
      <c r="A316" s="340"/>
      <c r="B316" s="242"/>
      <c r="C316" s="242"/>
      <c r="D316" s="242"/>
      <c r="E316" s="13"/>
      <c r="F316" s="13"/>
      <c r="G316" s="13"/>
      <c r="H316" s="13"/>
      <c r="I316" s="13"/>
      <c r="J316" s="13"/>
      <c r="K316" s="13"/>
      <c r="L316" s="242"/>
      <c r="M316" s="242"/>
      <c r="N316" s="242"/>
      <c r="O316" s="242"/>
      <c r="P316" s="242"/>
      <c r="Q316" s="242"/>
      <c r="R316" s="242"/>
      <c r="S316" s="242"/>
      <c r="T316" s="242"/>
      <c r="U316" s="242"/>
      <c r="V316" s="242"/>
      <c r="W316" s="242"/>
      <c r="X316" s="242"/>
      <c r="Y316" s="242"/>
      <c r="Z316" s="242"/>
    </row>
    <row r="317">
      <c r="A317" s="340"/>
      <c r="B317" s="242"/>
      <c r="C317" s="242"/>
      <c r="D317" s="242"/>
      <c r="E317" s="13"/>
      <c r="F317" s="13"/>
      <c r="G317" s="13"/>
      <c r="H317" s="13"/>
      <c r="I317" s="13"/>
      <c r="J317" s="13"/>
      <c r="K317" s="13"/>
      <c r="L317" s="242"/>
      <c r="M317" s="242"/>
      <c r="N317" s="242"/>
      <c r="O317" s="242"/>
      <c r="P317" s="242"/>
      <c r="Q317" s="242"/>
      <c r="R317" s="242"/>
      <c r="S317" s="242"/>
      <c r="T317" s="242"/>
      <c r="U317" s="242"/>
      <c r="V317" s="242"/>
      <c r="W317" s="242"/>
      <c r="X317" s="242"/>
      <c r="Y317" s="242"/>
      <c r="Z317" s="242"/>
    </row>
    <row r="318">
      <c r="A318" s="340"/>
      <c r="B318" s="242"/>
      <c r="C318" s="242"/>
      <c r="D318" s="242"/>
      <c r="E318" s="13"/>
      <c r="F318" s="13"/>
      <c r="G318" s="13"/>
      <c r="H318" s="13"/>
      <c r="I318" s="13"/>
      <c r="J318" s="13"/>
      <c r="K318" s="13"/>
      <c r="L318" s="242"/>
      <c r="M318" s="242"/>
      <c r="N318" s="242"/>
      <c r="O318" s="242"/>
      <c r="P318" s="242"/>
      <c r="Q318" s="242"/>
      <c r="R318" s="242"/>
      <c r="S318" s="242"/>
      <c r="T318" s="242"/>
      <c r="U318" s="242"/>
      <c r="V318" s="242"/>
      <c r="W318" s="242"/>
      <c r="X318" s="242"/>
      <c r="Y318" s="242"/>
      <c r="Z318" s="242"/>
    </row>
    <row r="319">
      <c r="A319" s="340"/>
      <c r="B319" s="242"/>
      <c r="C319" s="242"/>
      <c r="D319" s="242"/>
      <c r="E319" s="13"/>
      <c r="F319" s="13"/>
      <c r="G319" s="13"/>
      <c r="H319" s="13"/>
      <c r="I319" s="13"/>
      <c r="J319" s="13"/>
      <c r="K319" s="13"/>
      <c r="L319" s="242"/>
      <c r="M319" s="242"/>
      <c r="N319" s="242"/>
      <c r="O319" s="242"/>
      <c r="P319" s="242"/>
      <c r="Q319" s="242"/>
      <c r="R319" s="242"/>
      <c r="S319" s="242"/>
      <c r="T319" s="242"/>
      <c r="U319" s="242"/>
      <c r="V319" s="242"/>
      <c r="W319" s="242"/>
      <c r="X319" s="242"/>
      <c r="Y319" s="242"/>
      <c r="Z319" s="242"/>
    </row>
    <row r="320">
      <c r="A320" s="340"/>
      <c r="B320" s="242"/>
      <c r="C320" s="242"/>
      <c r="D320" s="242"/>
      <c r="E320" s="13"/>
      <c r="F320" s="13"/>
      <c r="G320" s="13"/>
      <c r="H320" s="13"/>
      <c r="I320" s="13"/>
      <c r="J320" s="13"/>
      <c r="K320" s="13"/>
      <c r="L320" s="242"/>
      <c r="M320" s="242"/>
      <c r="N320" s="242"/>
      <c r="O320" s="242"/>
      <c r="P320" s="242"/>
      <c r="Q320" s="242"/>
      <c r="R320" s="242"/>
      <c r="S320" s="242"/>
      <c r="T320" s="242"/>
      <c r="U320" s="242"/>
      <c r="V320" s="242"/>
      <c r="W320" s="242"/>
      <c r="X320" s="242"/>
      <c r="Y320" s="242"/>
      <c r="Z320" s="242"/>
    </row>
    <row r="321">
      <c r="A321" s="340"/>
      <c r="B321" s="242"/>
      <c r="C321" s="242"/>
      <c r="D321" s="242"/>
      <c r="E321" s="13"/>
      <c r="F321" s="13"/>
      <c r="G321" s="13"/>
      <c r="H321" s="13"/>
      <c r="I321" s="13"/>
      <c r="J321" s="13"/>
      <c r="K321" s="13"/>
      <c r="L321" s="242"/>
      <c r="M321" s="242"/>
      <c r="N321" s="242"/>
      <c r="O321" s="242"/>
      <c r="P321" s="242"/>
      <c r="Q321" s="242"/>
      <c r="R321" s="242"/>
      <c r="S321" s="242"/>
      <c r="T321" s="242"/>
      <c r="U321" s="242"/>
      <c r="V321" s="242"/>
      <c r="W321" s="242"/>
      <c r="X321" s="242"/>
      <c r="Y321" s="242"/>
      <c r="Z321" s="242"/>
    </row>
    <row r="322">
      <c r="A322" s="340"/>
      <c r="B322" s="242"/>
      <c r="C322" s="242"/>
      <c r="D322" s="242"/>
      <c r="E322" s="13"/>
      <c r="F322" s="13"/>
      <c r="G322" s="13"/>
      <c r="H322" s="13"/>
      <c r="I322" s="13"/>
      <c r="J322" s="13"/>
      <c r="K322" s="13"/>
      <c r="L322" s="242"/>
      <c r="M322" s="242"/>
      <c r="N322" s="242"/>
      <c r="O322" s="242"/>
      <c r="P322" s="242"/>
      <c r="Q322" s="242"/>
      <c r="R322" s="242"/>
      <c r="S322" s="242"/>
      <c r="T322" s="242"/>
      <c r="U322" s="242"/>
      <c r="V322" s="242"/>
      <c r="W322" s="242"/>
      <c r="X322" s="242"/>
      <c r="Y322" s="242"/>
      <c r="Z322" s="242"/>
    </row>
    <row r="323">
      <c r="A323" s="340"/>
      <c r="B323" s="242"/>
      <c r="C323" s="242"/>
      <c r="D323" s="242"/>
      <c r="E323" s="13"/>
      <c r="F323" s="13"/>
      <c r="G323" s="13"/>
      <c r="H323" s="13"/>
      <c r="I323" s="13"/>
      <c r="J323" s="13"/>
      <c r="K323" s="13"/>
      <c r="L323" s="242"/>
      <c r="M323" s="242"/>
      <c r="N323" s="242"/>
      <c r="O323" s="242"/>
      <c r="P323" s="242"/>
      <c r="Q323" s="242"/>
      <c r="R323" s="242"/>
      <c r="S323" s="242"/>
      <c r="T323" s="242"/>
      <c r="U323" s="242"/>
      <c r="V323" s="242"/>
      <c r="W323" s="242"/>
      <c r="X323" s="242"/>
      <c r="Y323" s="242"/>
      <c r="Z323" s="242"/>
    </row>
    <row r="324">
      <c r="A324" s="340"/>
      <c r="B324" s="242"/>
      <c r="C324" s="242"/>
      <c r="D324" s="242"/>
      <c r="E324" s="13"/>
      <c r="F324" s="13"/>
      <c r="G324" s="13"/>
      <c r="H324" s="13"/>
      <c r="I324" s="13"/>
      <c r="J324" s="13"/>
      <c r="K324" s="13"/>
      <c r="L324" s="242"/>
      <c r="M324" s="242"/>
      <c r="N324" s="242"/>
      <c r="O324" s="242"/>
      <c r="P324" s="242"/>
      <c r="Q324" s="242"/>
      <c r="R324" s="242"/>
      <c r="S324" s="242"/>
      <c r="T324" s="242"/>
      <c r="U324" s="242"/>
      <c r="V324" s="242"/>
      <c r="W324" s="242"/>
      <c r="X324" s="242"/>
      <c r="Y324" s="242"/>
      <c r="Z324" s="242"/>
    </row>
    <row r="325">
      <c r="A325" s="340"/>
      <c r="B325" s="242"/>
      <c r="C325" s="242"/>
      <c r="D325" s="242"/>
      <c r="E325" s="13"/>
      <c r="F325" s="13"/>
      <c r="G325" s="13"/>
      <c r="H325" s="13"/>
      <c r="I325" s="13"/>
      <c r="J325" s="13"/>
      <c r="K325" s="13"/>
      <c r="L325" s="242"/>
      <c r="M325" s="242"/>
      <c r="N325" s="242"/>
      <c r="O325" s="242"/>
      <c r="P325" s="242"/>
      <c r="Q325" s="242"/>
      <c r="R325" s="242"/>
      <c r="S325" s="242"/>
      <c r="T325" s="242"/>
      <c r="U325" s="242"/>
      <c r="V325" s="242"/>
      <c r="W325" s="242"/>
      <c r="X325" s="242"/>
      <c r="Y325" s="242"/>
      <c r="Z325" s="242"/>
    </row>
    <row r="326">
      <c r="A326" s="340"/>
      <c r="B326" s="242"/>
      <c r="C326" s="242"/>
      <c r="D326" s="242"/>
      <c r="E326" s="13"/>
      <c r="F326" s="13"/>
      <c r="G326" s="13"/>
      <c r="H326" s="13"/>
      <c r="I326" s="13"/>
      <c r="J326" s="13"/>
      <c r="K326" s="13"/>
      <c r="L326" s="242"/>
      <c r="M326" s="242"/>
      <c r="N326" s="242"/>
      <c r="O326" s="242"/>
      <c r="P326" s="242"/>
      <c r="Q326" s="242"/>
      <c r="R326" s="242"/>
      <c r="S326" s="242"/>
      <c r="T326" s="242"/>
      <c r="U326" s="242"/>
      <c r="V326" s="242"/>
      <c r="W326" s="242"/>
      <c r="X326" s="242"/>
      <c r="Y326" s="242"/>
      <c r="Z326" s="242"/>
    </row>
    <row r="327">
      <c r="A327" s="340"/>
      <c r="B327" s="242"/>
      <c r="C327" s="242"/>
      <c r="D327" s="242"/>
      <c r="E327" s="13"/>
      <c r="F327" s="13"/>
      <c r="G327" s="13"/>
      <c r="H327" s="13"/>
      <c r="I327" s="13"/>
      <c r="J327" s="13"/>
      <c r="K327" s="13"/>
      <c r="L327" s="242"/>
      <c r="M327" s="242"/>
      <c r="N327" s="242"/>
      <c r="O327" s="242"/>
      <c r="P327" s="242"/>
      <c r="Q327" s="242"/>
      <c r="R327" s="242"/>
      <c r="S327" s="242"/>
      <c r="T327" s="242"/>
      <c r="U327" s="242"/>
      <c r="V327" s="242"/>
      <c r="W327" s="242"/>
      <c r="X327" s="242"/>
      <c r="Y327" s="242"/>
      <c r="Z327" s="242"/>
    </row>
    <row r="328">
      <c r="A328" s="340"/>
      <c r="B328" s="242"/>
      <c r="C328" s="242"/>
      <c r="D328" s="242"/>
      <c r="E328" s="13"/>
      <c r="F328" s="13"/>
      <c r="G328" s="13"/>
      <c r="H328" s="13"/>
      <c r="I328" s="13"/>
      <c r="J328" s="13"/>
      <c r="K328" s="13"/>
      <c r="L328" s="242"/>
      <c r="M328" s="242"/>
      <c r="N328" s="242"/>
      <c r="O328" s="242"/>
      <c r="P328" s="242"/>
      <c r="Q328" s="242"/>
      <c r="R328" s="242"/>
      <c r="S328" s="242"/>
      <c r="T328" s="242"/>
      <c r="U328" s="242"/>
      <c r="V328" s="242"/>
      <c r="W328" s="242"/>
      <c r="X328" s="242"/>
      <c r="Y328" s="242"/>
      <c r="Z328" s="242"/>
    </row>
    <row r="329">
      <c r="A329" s="340"/>
      <c r="B329" s="242"/>
      <c r="C329" s="242"/>
      <c r="D329" s="242"/>
      <c r="E329" s="13"/>
      <c r="F329" s="13"/>
      <c r="G329" s="13"/>
      <c r="H329" s="13"/>
      <c r="I329" s="13"/>
      <c r="J329" s="13"/>
      <c r="K329" s="13"/>
      <c r="L329" s="242"/>
      <c r="M329" s="242"/>
      <c r="N329" s="242"/>
      <c r="O329" s="242"/>
      <c r="P329" s="242"/>
      <c r="Q329" s="242"/>
      <c r="R329" s="242"/>
      <c r="S329" s="242"/>
      <c r="T329" s="242"/>
      <c r="U329" s="242"/>
      <c r="V329" s="242"/>
      <c r="W329" s="242"/>
      <c r="X329" s="242"/>
      <c r="Y329" s="242"/>
      <c r="Z329" s="242"/>
    </row>
    <row r="330">
      <c r="A330" s="340"/>
      <c r="B330" s="242"/>
      <c r="C330" s="242"/>
      <c r="D330" s="242"/>
      <c r="E330" s="13"/>
      <c r="F330" s="13"/>
      <c r="G330" s="13"/>
      <c r="H330" s="13"/>
      <c r="I330" s="13"/>
      <c r="J330" s="13"/>
      <c r="K330" s="13"/>
      <c r="L330" s="242"/>
      <c r="M330" s="242"/>
      <c r="N330" s="242"/>
      <c r="O330" s="242"/>
      <c r="P330" s="242"/>
      <c r="Q330" s="242"/>
      <c r="R330" s="242"/>
      <c r="S330" s="242"/>
      <c r="T330" s="242"/>
      <c r="U330" s="242"/>
      <c r="V330" s="242"/>
      <c r="W330" s="242"/>
      <c r="X330" s="242"/>
      <c r="Y330" s="242"/>
      <c r="Z330" s="242"/>
    </row>
    <row r="331">
      <c r="A331" s="340"/>
      <c r="B331" s="242"/>
      <c r="C331" s="242"/>
      <c r="D331" s="242"/>
      <c r="E331" s="13"/>
      <c r="F331" s="13"/>
      <c r="G331" s="13"/>
      <c r="H331" s="13"/>
      <c r="I331" s="13"/>
      <c r="J331" s="13"/>
      <c r="K331" s="13"/>
      <c r="L331" s="242"/>
      <c r="M331" s="242"/>
      <c r="N331" s="242"/>
      <c r="O331" s="242"/>
      <c r="P331" s="242"/>
      <c r="Q331" s="242"/>
      <c r="R331" s="242"/>
      <c r="S331" s="242"/>
      <c r="T331" s="242"/>
      <c r="U331" s="242"/>
      <c r="V331" s="242"/>
      <c r="W331" s="242"/>
      <c r="X331" s="242"/>
      <c r="Y331" s="242"/>
      <c r="Z331" s="242"/>
    </row>
    <row r="332">
      <c r="A332" s="340"/>
      <c r="B332" s="242"/>
      <c r="C332" s="242"/>
      <c r="D332" s="242"/>
      <c r="E332" s="13"/>
      <c r="F332" s="13"/>
      <c r="G332" s="13"/>
      <c r="H332" s="13"/>
      <c r="I332" s="13"/>
      <c r="J332" s="13"/>
      <c r="K332" s="13"/>
      <c r="L332" s="242"/>
      <c r="M332" s="242"/>
      <c r="N332" s="242"/>
      <c r="O332" s="242"/>
      <c r="P332" s="242"/>
      <c r="Q332" s="242"/>
      <c r="R332" s="242"/>
      <c r="S332" s="242"/>
      <c r="T332" s="242"/>
      <c r="U332" s="242"/>
      <c r="V332" s="242"/>
      <c r="W332" s="242"/>
      <c r="X332" s="242"/>
      <c r="Y332" s="242"/>
      <c r="Z332" s="242"/>
    </row>
    <row r="333">
      <c r="A333" s="340"/>
      <c r="B333" s="242"/>
      <c r="C333" s="242"/>
      <c r="D333" s="242"/>
      <c r="E333" s="13"/>
      <c r="F333" s="13"/>
      <c r="G333" s="13"/>
      <c r="H333" s="13"/>
      <c r="I333" s="13"/>
      <c r="J333" s="13"/>
      <c r="K333" s="13"/>
      <c r="L333" s="242"/>
      <c r="M333" s="242"/>
      <c r="N333" s="242"/>
      <c r="O333" s="242"/>
      <c r="P333" s="242"/>
      <c r="Q333" s="242"/>
      <c r="R333" s="242"/>
      <c r="S333" s="242"/>
      <c r="T333" s="242"/>
      <c r="U333" s="242"/>
      <c r="V333" s="242"/>
      <c r="W333" s="242"/>
      <c r="X333" s="242"/>
      <c r="Y333" s="242"/>
      <c r="Z333" s="242"/>
    </row>
    <row r="334">
      <c r="A334" s="340"/>
      <c r="B334" s="242"/>
      <c r="C334" s="242"/>
      <c r="D334" s="242"/>
      <c r="E334" s="13"/>
      <c r="F334" s="13"/>
      <c r="G334" s="13"/>
      <c r="H334" s="13"/>
      <c r="I334" s="13"/>
      <c r="J334" s="13"/>
      <c r="K334" s="13"/>
      <c r="L334" s="242"/>
      <c r="M334" s="242"/>
      <c r="N334" s="242"/>
      <c r="O334" s="242"/>
      <c r="P334" s="242"/>
      <c r="Q334" s="242"/>
      <c r="R334" s="242"/>
      <c r="S334" s="242"/>
      <c r="T334" s="242"/>
      <c r="U334" s="242"/>
      <c r="V334" s="242"/>
      <c r="W334" s="242"/>
      <c r="X334" s="242"/>
      <c r="Y334" s="242"/>
      <c r="Z334" s="242"/>
    </row>
    <row r="335">
      <c r="A335" s="340"/>
      <c r="B335" s="242"/>
      <c r="C335" s="242"/>
      <c r="D335" s="242"/>
      <c r="E335" s="13"/>
      <c r="F335" s="13"/>
      <c r="G335" s="13"/>
      <c r="H335" s="13"/>
      <c r="I335" s="13"/>
      <c r="J335" s="13"/>
      <c r="K335" s="13"/>
      <c r="L335" s="242"/>
      <c r="M335" s="242"/>
      <c r="N335" s="242"/>
      <c r="O335" s="242"/>
      <c r="P335" s="242"/>
      <c r="Q335" s="242"/>
      <c r="R335" s="242"/>
      <c r="S335" s="242"/>
      <c r="T335" s="242"/>
      <c r="U335" s="242"/>
      <c r="V335" s="242"/>
      <c r="W335" s="242"/>
      <c r="X335" s="242"/>
      <c r="Y335" s="242"/>
      <c r="Z335" s="242"/>
    </row>
    <row r="336">
      <c r="A336" s="340"/>
      <c r="B336" s="242"/>
      <c r="C336" s="242"/>
      <c r="D336" s="242"/>
      <c r="E336" s="13"/>
      <c r="F336" s="13"/>
      <c r="G336" s="13"/>
      <c r="H336" s="13"/>
      <c r="I336" s="13"/>
      <c r="J336" s="13"/>
      <c r="K336" s="13"/>
      <c r="L336" s="242"/>
      <c r="M336" s="242"/>
      <c r="N336" s="242"/>
      <c r="O336" s="242"/>
      <c r="P336" s="242"/>
      <c r="Q336" s="242"/>
      <c r="R336" s="242"/>
      <c r="S336" s="242"/>
      <c r="T336" s="242"/>
      <c r="U336" s="242"/>
      <c r="V336" s="242"/>
      <c r="W336" s="242"/>
      <c r="X336" s="242"/>
      <c r="Y336" s="242"/>
      <c r="Z336" s="242"/>
    </row>
    <row r="337">
      <c r="A337" s="340"/>
      <c r="B337" s="242"/>
      <c r="C337" s="242"/>
      <c r="D337" s="242"/>
      <c r="E337" s="13"/>
      <c r="F337" s="13"/>
      <c r="G337" s="13"/>
      <c r="H337" s="13"/>
      <c r="I337" s="13"/>
      <c r="J337" s="13"/>
      <c r="K337" s="13"/>
      <c r="L337" s="242"/>
      <c r="M337" s="242"/>
      <c r="N337" s="242"/>
      <c r="O337" s="242"/>
      <c r="P337" s="242"/>
      <c r="Q337" s="242"/>
      <c r="R337" s="242"/>
      <c r="S337" s="242"/>
      <c r="T337" s="242"/>
      <c r="U337" s="242"/>
      <c r="V337" s="242"/>
      <c r="W337" s="242"/>
      <c r="X337" s="242"/>
      <c r="Y337" s="242"/>
      <c r="Z337" s="242"/>
    </row>
    <row r="338">
      <c r="A338" s="340"/>
      <c r="B338" s="242"/>
      <c r="C338" s="242"/>
      <c r="D338" s="242"/>
      <c r="E338" s="13"/>
      <c r="F338" s="13"/>
      <c r="G338" s="13"/>
      <c r="H338" s="13"/>
      <c r="I338" s="13"/>
      <c r="J338" s="13"/>
      <c r="K338" s="13"/>
      <c r="L338" s="242"/>
      <c r="M338" s="242"/>
      <c r="N338" s="242"/>
      <c r="O338" s="242"/>
      <c r="P338" s="242"/>
      <c r="Q338" s="242"/>
      <c r="R338" s="242"/>
      <c r="S338" s="242"/>
      <c r="T338" s="242"/>
      <c r="U338" s="242"/>
      <c r="V338" s="242"/>
      <c r="W338" s="242"/>
      <c r="X338" s="242"/>
      <c r="Y338" s="242"/>
      <c r="Z338" s="242"/>
    </row>
    <row r="339">
      <c r="A339" s="340"/>
      <c r="B339" s="242"/>
      <c r="C339" s="242"/>
      <c r="D339" s="242"/>
      <c r="E339" s="13"/>
      <c r="F339" s="13"/>
      <c r="G339" s="13"/>
      <c r="H339" s="13"/>
      <c r="I339" s="13"/>
      <c r="J339" s="13"/>
      <c r="K339" s="13"/>
      <c r="L339" s="242"/>
      <c r="M339" s="242"/>
      <c r="N339" s="242"/>
      <c r="O339" s="242"/>
      <c r="P339" s="242"/>
      <c r="Q339" s="242"/>
      <c r="R339" s="242"/>
      <c r="S339" s="242"/>
      <c r="T339" s="242"/>
      <c r="U339" s="242"/>
      <c r="V339" s="242"/>
      <c r="W339" s="242"/>
      <c r="X339" s="242"/>
      <c r="Y339" s="242"/>
      <c r="Z339" s="242"/>
    </row>
    <row r="340">
      <c r="A340" s="340"/>
      <c r="B340" s="242"/>
      <c r="C340" s="242"/>
      <c r="D340" s="242"/>
      <c r="E340" s="13"/>
      <c r="F340" s="13"/>
      <c r="G340" s="13"/>
      <c r="H340" s="13"/>
      <c r="I340" s="13"/>
      <c r="J340" s="13"/>
      <c r="K340" s="13"/>
      <c r="L340" s="242"/>
      <c r="M340" s="242"/>
      <c r="N340" s="242"/>
      <c r="O340" s="242"/>
      <c r="P340" s="242"/>
      <c r="Q340" s="242"/>
      <c r="R340" s="242"/>
      <c r="S340" s="242"/>
      <c r="T340" s="242"/>
      <c r="U340" s="242"/>
      <c r="V340" s="242"/>
      <c r="W340" s="242"/>
      <c r="X340" s="242"/>
      <c r="Y340" s="242"/>
      <c r="Z340" s="242"/>
    </row>
    <row r="341">
      <c r="A341" s="340"/>
      <c r="B341" s="242"/>
      <c r="C341" s="242"/>
      <c r="D341" s="242"/>
      <c r="E341" s="13"/>
      <c r="F341" s="13"/>
      <c r="G341" s="13"/>
      <c r="H341" s="13"/>
      <c r="I341" s="13"/>
      <c r="J341" s="13"/>
      <c r="K341" s="13"/>
      <c r="L341" s="242"/>
      <c r="M341" s="242"/>
      <c r="N341" s="242"/>
      <c r="O341" s="242"/>
      <c r="P341" s="242"/>
      <c r="Q341" s="242"/>
      <c r="R341" s="242"/>
      <c r="S341" s="242"/>
      <c r="T341" s="242"/>
      <c r="U341" s="242"/>
      <c r="V341" s="242"/>
      <c r="W341" s="242"/>
      <c r="X341" s="242"/>
      <c r="Y341" s="242"/>
      <c r="Z341" s="242"/>
    </row>
    <row r="342">
      <c r="A342" s="340"/>
      <c r="B342" s="242"/>
      <c r="C342" s="242"/>
      <c r="D342" s="242"/>
      <c r="E342" s="13"/>
      <c r="F342" s="13"/>
      <c r="G342" s="13"/>
      <c r="H342" s="13"/>
      <c r="I342" s="13"/>
      <c r="J342" s="13"/>
      <c r="K342" s="13"/>
      <c r="L342" s="242"/>
      <c r="M342" s="242"/>
      <c r="N342" s="242"/>
      <c r="O342" s="242"/>
      <c r="P342" s="242"/>
      <c r="Q342" s="242"/>
      <c r="R342" s="242"/>
      <c r="S342" s="242"/>
      <c r="T342" s="242"/>
      <c r="U342" s="242"/>
      <c r="V342" s="242"/>
      <c r="W342" s="242"/>
      <c r="X342" s="242"/>
      <c r="Y342" s="242"/>
      <c r="Z342" s="242"/>
    </row>
    <row r="343">
      <c r="A343" s="340"/>
      <c r="B343" s="242"/>
      <c r="C343" s="242"/>
      <c r="D343" s="242"/>
      <c r="E343" s="13"/>
      <c r="F343" s="13"/>
      <c r="G343" s="13"/>
      <c r="H343" s="13"/>
      <c r="I343" s="13"/>
      <c r="J343" s="13"/>
      <c r="K343" s="13"/>
      <c r="L343" s="242"/>
      <c r="M343" s="242"/>
      <c r="N343" s="242"/>
      <c r="O343" s="242"/>
      <c r="P343" s="242"/>
      <c r="Q343" s="242"/>
      <c r="R343" s="242"/>
      <c r="S343" s="242"/>
      <c r="T343" s="242"/>
      <c r="U343" s="242"/>
      <c r="V343" s="242"/>
      <c r="W343" s="242"/>
      <c r="X343" s="242"/>
      <c r="Y343" s="242"/>
      <c r="Z343" s="242"/>
    </row>
    <row r="344">
      <c r="A344" s="340"/>
      <c r="B344" s="242"/>
      <c r="C344" s="242"/>
      <c r="D344" s="242"/>
      <c r="E344" s="13"/>
      <c r="F344" s="13"/>
      <c r="G344" s="13"/>
      <c r="H344" s="13"/>
      <c r="I344" s="13"/>
      <c r="J344" s="13"/>
      <c r="K344" s="13"/>
      <c r="L344" s="242"/>
      <c r="M344" s="242"/>
      <c r="N344" s="242"/>
      <c r="O344" s="242"/>
      <c r="P344" s="242"/>
      <c r="Q344" s="242"/>
      <c r="R344" s="242"/>
      <c r="S344" s="242"/>
      <c r="T344" s="242"/>
      <c r="U344" s="242"/>
      <c r="V344" s="242"/>
      <c r="W344" s="242"/>
      <c r="X344" s="242"/>
      <c r="Y344" s="242"/>
      <c r="Z344" s="242"/>
    </row>
    <row r="345">
      <c r="A345" s="340"/>
      <c r="B345" s="242"/>
      <c r="C345" s="242"/>
      <c r="D345" s="242"/>
      <c r="E345" s="13"/>
      <c r="F345" s="13"/>
      <c r="G345" s="13"/>
      <c r="H345" s="13"/>
      <c r="I345" s="13"/>
      <c r="J345" s="13"/>
      <c r="K345" s="13"/>
      <c r="L345" s="242"/>
      <c r="M345" s="242"/>
      <c r="N345" s="242"/>
      <c r="O345" s="242"/>
      <c r="P345" s="242"/>
      <c r="Q345" s="242"/>
      <c r="R345" s="242"/>
      <c r="S345" s="242"/>
      <c r="T345" s="242"/>
      <c r="U345" s="242"/>
      <c r="V345" s="242"/>
      <c r="W345" s="242"/>
      <c r="X345" s="242"/>
      <c r="Y345" s="242"/>
      <c r="Z345" s="242"/>
    </row>
    <row r="346">
      <c r="A346" s="340"/>
      <c r="B346" s="242"/>
      <c r="C346" s="242"/>
      <c r="D346" s="242"/>
      <c r="E346" s="13"/>
      <c r="F346" s="13"/>
      <c r="G346" s="13"/>
      <c r="H346" s="13"/>
      <c r="I346" s="13"/>
      <c r="J346" s="13"/>
      <c r="K346" s="13"/>
      <c r="L346" s="242"/>
      <c r="M346" s="242"/>
      <c r="N346" s="242"/>
      <c r="O346" s="242"/>
      <c r="P346" s="242"/>
      <c r="Q346" s="242"/>
      <c r="R346" s="242"/>
      <c r="S346" s="242"/>
      <c r="T346" s="242"/>
      <c r="U346" s="242"/>
      <c r="V346" s="242"/>
      <c r="W346" s="242"/>
      <c r="X346" s="242"/>
      <c r="Y346" s="242"/>
      <c r="Z346" s="242"/>
    </row>
    <row r="347">
      <c r="A347" s="340"/>
      <c r="B347" s="242"/>
      <c r="C347" s="242"/>
      <c r="D347" s="242"/>
      <c r="E347" s="13"/>
      <c r="F347" s="13"/>
      <c r="G347" s="13"/>
      <c r="H347" s="13"/>
      <c r="I347" s="13"/>
      <c r="J347" s="13"/>
      <c r="K347" s="13"/>
      <c r="L347" s="242"/>
      <c r="M347" s="242"/>
      <c r="N347" s="242"/>
      <c r="O347" s="242"/>
      <c r="P347" s="242"/>
      <c r="Q347" s="242"/>
      <c r="R347" s="242"/>
      <c r="S347" s="242"/>
      <c r="T347" s="242"/>
      <c r="U347" s="242"/>
      <c r="V347" s="242"/>
      <c r="W347" s="242"/>
      <c r="X347" s="242"/>
      <c r="Y347" s="242"/>
      <c r="Z347" s="242"/>
    </row>
    <row r="348">
      <c r="A348" s="340"/>
      <c r="B348" s="242"/>
      <c r="C348" s="242"/>
      <c r="D348" s="242"/>
      <c r="E348" s="13"/>
      <c r="F348" s="13"/>
      <c r="G348" s="13"/>
      <c r="H348" s="13"/>
      <c r="I348" s="13"/>
      <c r="J348" s="13"/>
      <c r="K348" s="13"/>
      <c r="L348" s="242"/>
      <c r="M348" s="242"/>
      <c r="N348" s="242"/>
      <c r="O348" s="242"/>
      <c r="P348" s="242"/>
      <c r="Q348" s="242"/>
      <c r="R348" s="242"/>
      <c r="S348" s="242"/>
      <c r="T348" s="242"/>
      <c r="U348" s="242"/>
      <c r="V348" s="242"/>
      <c r="W348" s="242"/>
      <c r="X348" s="242"/>
      <c r="Y348" s="242"/>
      <c r="Z348" s="242"/>
    </row>
    <row r="349">
      <c r="A349" s="340"/>
      <c r="B349" s="242"/>
      <c r="C349" s="242"/>
      <c r="D349" s="242"/>
      <c r="E349" s="13"/>
      <c r="F349" s="13"/>
      <c r="G349" s="13"/>
      <c r="H349" s="13"/>
      <c r="I349" s="13"/>
      <c r="J349" s="13"/>
      <c r="K349" s="13"/>
      <c r="L349" s="242"/>
      <c r="M349" s="242"/>
      <c r="N349" s="242"/>
      <c r="O349" s="242"/>
      <c r="P349" s="242"/>
      <c r="Q349" s="242"/>
      <c r="R349" s="242"/>
      <c r="S349" s="242"/>
      <c r="T349" s="242"/>
      <c r="U349" s="242"/>
      <c r="V349" s="242"/>
      <c r="W349" s="242"/>
      <c r="X349" s="242"/>
      <c r="Y349" s="242"/>
      <c r="Z349" s="242"/>
    </row>
    <row r="350">
      <c r="A350" s="340"/>
      <c r="B350" s="242"/>
      <c r="C350" s="242"/>
      <c r="D350" s="242"/>
      <c r="E350" s="13"/>
      <c r="F350" s="13"/>
      <c r="G350" s="13"/>
      <c r="H350" s="13"/>
      <c r="I350" s="13"/>
      <c r="J350" s="13"/>
      <c r="K350" s="13"/>
      <c r="L350" s="242"/>
      <c r="M350" s="242"/>
      <c r="N350" s="242"/>
      <c r="O350" s="242"/>
      <c r="P350" s="242"/>
      <c r="Q350" s="242"/>
      <c r="R350" s="242"/>
      <c r="S350" s="242"/>
      <c r="T350" s="242"/>
      <c r="U350" s="242"/>
      <c r="V350" s="242"/>
      <c r="W350" s="242"/>
      <c r="X350" s="242"/>
      <c r="Y350" s="242"/>
      <c r="Z350" s="242"/>
    </row>
    <row r="351">
      <c r="A351" s="340"/>
      <c r="B351" s="242"/>
      <c r="C351" s="242"/>
      <c r="D351" s="242"/>
      <c r="E351" s="13"/>
      <c r="F351" s="13"/>
      <c r="G351" s="13"/>
      <c r="H351" s="13"/>
      <c r="I351" s="13"/>
      <c r="J351" s="13"/>
      <c r="K351" s="13"/>
      <c r="L351" s="242"/>
      <c r="M351" s="242"/>
      <c r="N351" s="242"/>
      <c r="O351" s="242"/>
      <c r="P351" s="242"/>
      <c r="Q351" s="242"/>
      <c r="R351" s="242"/>
      <c r="S351" s="242"/>
      <c r="T351" s="242"/>
      <c r="U351" s="242"/>
      <c r="V351" s="242"/>
      <c r="W351" s="242"/>
      <c r="X351" s="242"/>
      <c r="Y351" s="242"/>
      <c r="Z351" s="242"/>
    </row>
    <row r="352">
      <c r="A352" s="340"/>
      <c r="B352" s="242"/>
      <c r="C352" s="242"/>
      <c r="D352" s="242"/>
      <c r="E352" s="13"/>
      <c r="F352" s="13"/>
      <c r="G352" s="13"/>
      <c r="H352" s="13"/>
      <c r="I352" s="13"/>
      <c r="J352" s="13"/>
      <c r="K352" s="13"/>
      <c r="L352" s="242"/>
      <c r="M352" s="242"/>
      <c r="N352" s="242"/>
      <c r="O352" s="242"/>
      <c r="P352" s="242"/>
      <c r="Q352" s="242"/>
      <c r="R352" s="242"/>
      <c r="S352" s="242"/>
      <c r="T352" s="242"/>
      <c r="U352" s="242"/>
      <c r="V352" s="242"/>
      <c r="W352" s="242"/>
      <c r="X352" s="242"/>
      <c r="Y352" s="242"/>
      <c r="Z352" s="242"/>
    </row>
    <row r="353">
      <c r="A353" s="340"/>
      <c r="B353" s="242"/>
      <c r="C353" s="242"/>
      <c r="D353" s="242"/>
      <c r="E353" s="13"/>
      <c r="F353" s="13"/>
      <c r="G353" s="13"/>
      <c r="H353" s="13"/>
      <c r="I353" s="13"/>
      <c r="J353" s="13"/>
      <c r="K353" s="13"/>
      <c r="L353" s="242"/>
      <c r="M353" s="242"/>
      <c r="N353" s="242"/>
      <c r="O353" s="242"/>
      <c r="P353" s="242"/>
      <c r="Q353" s="242"/>
      <c r="R353" s="242"/>
      <c r="S353" s="242"/>
      <c r="T353" s="242"/>
      <c r="U353" s="242"/>
      <c r="V353" s="242"/>
      <c r="W353" s="242"/>
      <c r="X353" s="242"/>
      <c r="Y353" s="242"/>
      <c r="Z353" s="242"/>
    </row>
    <row r="354">
      <c r="A354" s="340"/>
      <c r="B354" s="242"/>
      <c r="C354" s="242"/>
      <c r="D354" s="242"/>
      <c r="E354" s="13"/>
      <c r="F354" s="13"/>
      <c r="G354" s="13"/>
      <c r="H354" s="13"/>
      <c r="I354" s="13"/>
      <c r="J354" s="13"/>
      <c r="K354" s="13"/>
      <c r="L354" s="242"/>
      <c r="M354" s="242"/>
      <c r="N354" s="242"/>
      <c r="O354" s="242"/>
      <c r="P354" s="242"/>
      <c r="Q354" s="242"/>
      <c r="R354" s="242"/>
      <c r="S354" s="242"/>
      <c r="T354" s="242"/>
      <c r="U354" s="242"/>
      <c r="V354" s="242"/>
      <c r="W354" s="242"/>
      <c r="X354" s="242"/>
      <c r="Y354" s="242"/>
      <c r="Z354" s="242"/>
    </row>
    <row r="355">
      <c r="A355" s="340"/>
      <c r="B355" s="242"/>
      <c r="C355" s="242"/>
      <c r="D355" s="242"/>
      <c r="E355" s="13"/>
      <c r="F355" s="13"/>
      <c r="G355" s="13"/>
      <c r="H355" s="13"/>
      <c r="I355" s="13"/>
      <c r="J355" s="13"/>
      <c r="K355" s="13"/>
      <c r="L355" s="242"/>
      <c r="M355" s="242"/>
      <c r="N355" s="242"/>
      <c r="O355" s="242"/>
      <c r="P355" s="242"/>
      <c r="Q355" s="242"/>
      <c r="R355" s="242"/>
      <c r="S355" s="242"/>
      <c r="T355" s="242"/>
      <c r="U355" s="242"/>
      <c r="V355" s="242"/>
      <c r="W355" s="242"/>
      <c r="X355" s="242"/>
      <c r="Y355" s="242"/>
      <c r="Z355" s="242"/>
    </row>
    <row r="356">
      <c r="A356" s="340"/>
      <c r="B356" s="242"/>
      <c r="C356" s="242"/>
      <c r="D356" s="242"/>
      <c r="E356" s="13"/>
      <c r="F356" s="13"/>
      <c r="G356" s="13"/>
      <c r="H356" s="13"/>
      <c r="I356" s="13"/>
      <c r="J356" s="13"/>
      <c r="K356" s="13"/>
      <c r="L356" s="242"/>
      <c r="M356" s="242"/>
      <c r="N356" s="242"/>
      <c r="O356" s="242"/>
      <c r="P356" s="242"/>
      <c r="Q356" s="242"/>
      <c r="R356" s="242"/>
      <c r="S356" s="242"/>
      <c r="T356" s="242"/>
      <c r="U356" s="242"/>
      <c r="V356" s="242"/>
      <c r="W356" s="242"/>
      <c r="X356" s="242"/>
      <c r="Y356" s="242"/>
      <c r="Z356" s="242"/>
    </row>
    <row r="357">
      <c r="A357" s="340"/>
      <c r="B357" s="242"/>
      <c r="C357" s="242"/>
      <c r="D357" s="242"/>
      <c r="E357" s="13"/>
      <c r="F357" s="13"/>
      <c r="G357" s="13"/>
      <c r="H357" s="13"/>
      <c r="I357" s="13"/>
      <c r="J357" s="13"/>
      <c r="K357" s="13"/>
      <c r="L357" s="242"/>
      <c r="M357" s="242"/>
      <c r="N357" s="242"/>
      <c r="O357" s="242"/>
      <c r="P357" s="242"/>
      <c r="Q357" s="242"/>
      <c r="R357" s="242"/>
      <c r="S357" s="242"/>
      <c r="T357" s="242"/>
      <c r="U357" s="242"/>
      <c r="V357" s="242"/>
      <c r="W357" s="242"/>
      <c r="X357" s="242"/>
      <c r="Y357" s="242"/>
      <c r="Z357" s="242"/>
    </row>
    <row r="358">
      <c r="A358" s="340"/>
      <c r="B358" s="242"/>
      <c r="C358" s="242"/>
      <c r="D358" s="242"/>
      <c r="E358" s="13"/>
      <c r="F358" s="13"/>
      <c r="G358" s="13"/>
      <c r="H358" s="13"/>
      <c r="I358" s="13"/>
      <c r="J358" s="13"/>
      <c r="K358" s="13"/>
      <c r="L358" s="242"/>
      <c r="M358" s="242"/>
      <c r="N358" s="242"/>
      <c r="O358" s="242"/>
      <c r="P358" s="242"/>
      <c r="Q358" s="242"/>
      <c r="R358" s="242"/>
      <c r="S358" s="242"/>
      <c r="T358" s="242"/>
      <c r="U358" s="242"/>
      <c r="V358" s="242"/>
      <c r="W358" s="242"/>
      <c r="X358" s="242"/>
      <c r="Y358" s="242"/>
      <c r="Z358" s="242"/>
    </row>
    <row r="359">
      <c r="A359" s="340"/>
      <c r="B359" s="242"/>
      <c r="C359" s="242"/>
      <c r="D359" s="242"/>
      <c r="E359" s="13"/>
      <c r="F359" s="13"/>
      <c r="G359" s="13"/>
      <c r="H359" s="13"/>
      <c r="I359" s="13"/>
      <c r="J359" s="13"/>
      <c r="K359" s="13"/>
      <c r="L359" s="242"/>
      <c r="M359" s="242"/>
      <c r="N359" s="242"/>
      <c r="O359" s="242"/>
      <c r="P359" s="242"/>
      <c r="Q359" s="242"/>
      <c r="R359" s="242"/>
      <c r="S359" s="242"/>
      <c r="T359" s="242"/>
      <c r="U359" s="242"/>
      <c r="V359" s="242"/>
      <c r="W359" s="242"/>
      <c r="X359" s="242"/>
      <c r="Y359" s="242"/>
      <c r="Z359" s="242"/>
    </row>
    <row r="360">
      <c r="A360" s="340"/>
      <c r="B360" s="242"/>
      <c r="C360" s="242"/>
      <c r="D360" s="242"/>
      <c r="E360" s="13"/>
      <c r="F360" s="13"/>
      <c r="G360" s="13"/>
      <c r="H360" s="13"/>
      <c r="I360" s="13"/>
      <c r="J360" s="13"/>
      <c r="K360" s="13"/>
      <c r="L360" s="242"/>
      <c r="M360" s="242"/>
      <c r="N360" s="242"/>
      <c r="O360" s="242"/>
      <c r="P360" s="242"/>
      <c r="Q360" s="242"/>
      <c r="R360" s="242"/>
      <c r="S360" s="242"/>
      <c r="T360" s="242"/>
      <c r="U360" s="242"/>
      <c r="V360" s="242"/>
      <c r="W360" s="242"/>
      <c r="X360" s="242"/>
      <c r="Y360" s="242"/>
      <c r="Z360" s="242"/>
    </row>
    <row r="361">
      <c r="A361" s="340"/>
      <c r="B361" s="242"/>
      <c r="C361" s="242"/>
      <c r="D361" s="242"/>
      <c r="E361" s="13"/>
      <c r="F361" s="13"/>
      <c r="G361" s="13"/>
      <c r="H361" s="13"/>
      <c r="I361" s="13"/>
      <c r="J361" s="13"/>
      <c r="K361" s="13"/>
      <c r="L361" s="242"/>
      <c r="M361" s="242"/>
      <c r="N361" s="242"/>
      <c r="O361" s="242"/>
      <c r="P361" s="242"/>
      <c r="Q361" s="242"/>
      <c r="R361" s="242"/>
      <c r="S361" s="242"/>
      <c r="T361" s="242"/>
      <c r="U361" s="242"/>
      <c r="V361" s="242"/>
      <c r="W361" s="242"/>
      <c r="X361" s="242"/>
      <c r="Y361" s="242"/>
      <c r="Z361" s="242"/>
    </row>
    <row r="362">
      <c r="A362" s="340"/>
      <c r="B362" s="242"/>
      <c r="C362" s="242"/>
      <c r="D362" s="242"/>
      <c r="E362" s="13"/>
      <c r="F362" s="13"/>
      <c r="G362" s="13"/>
      <c r="H362" s="13"/>
      <c r="I362" s="13"/>
      <c r="J362" s="13"/>
      <c r="K362" s="13"/>
      <c r="L362" s="242"/>
      <c r="M362" s="242"/>
      <c r="N362" s="242"/>
      <c r="O362" s="242"/>
      <c r="P362" s="242"/>
      <c r="Q362" s="242"/>
      <c r="R362" s="242"/>
      <c r="S362" s="242"/>
      <c r="T362" s="242"/>
      <c r="U362" s="242"/>
      <c r="V362" s="242"/>
      <c r="W362" s="242"/>
      <c r="X362" s="242"/>
      <c r="Y362" s="242"/>
      <c r="Z362" s="242"/>
    </row>
    <row r="363">
      <c r="A363" s="340"/>
      <c r="B363" s="242"/>
      <c r="C363" s="242"/>
      <c r="D363" s="242"/>
      <c r="E363" s="13"/>
      <c r="F363" s="13"/>
      <c r="G363" s="13"/>
      <c r="H363" s="13"/>
      <c r="I363" s="13"/>
      <c r="J363" s="13"/>
      <c r="K363" s="13"/>
      <c r="L363" s="242"/>
      <c r="M363" s="242"/>
      <c r="N363" s="242"/>
      <c r="O363" s="242"/>
      <c r="P363" s="242"/>
      <c r="Q363" s="242"/>
      <c r="R363" s="242"/>
      <c r="S363" s="242"/>
      <c r="T363" s="242"/>
      <c r="U363" s="242"/>
      <c r="V363" s="242"/>
      <c r="W363" s="242"/>
      <c r="X363" s="242"/>
      <c r="Y363" s="242"/>
      <c r="Z363" s="242"/>
    </row>
    <row r="364">
      <c r="A364" s="340"/>
      <c r="B364" s="242"/>
      <c r="C364" s="242"/>
      <c r="D364" s="242"/>
      <c r="E364" s="13"/>
      <c r="F364" s="13"/>
      <c r="G364" s="13"/>
      <c r="H364" s="13"/>
      <c r="I364" s="13"/>
      <c r="J364" s="13"/>
      <c r="K364" s="13"/>
      <c r="L364" s="242"/>
      <c r="M364" s="242"/>
      <c r="N364" s="242"/>
      <c r="O364" s="242"/>
      <c r="P364" s="242"/>
      <c r="Q364" s="242"/>
      <c r="R364" s="242"/>
      <c r="S364" s="242"/>
      <c r="T364" s="242"/>
      <c r="U364" s="242"/>
      <c r="V364" s="242"/>
      <c r="W364" s="242"/>
      <c r="X364" s="242"/>
      <c r="Y364" s="242"/>
      <c r="Z364" s="242"/>
    </row>
    <row r="365">
      <c r="A365" s="340"/>
      <c r="B365" s="242"/>
      <c r="C365" s="242"/>
      <c r="D365" s="242"/>
      <c r="E365" s="13"/>
      <c r="F365" s="13"/>
      <c r="G365" s="13"/>
      <c r="H365" s="13"/>
      <c r="I365" s="13"/>
      <c r="J365" s="13"/>
      <c r="K365" s="13"/>
      <c r="L365" s="242"/>
      <c r="M365" s="242"/>
      <c r="N365" s="242"/>
      <c r="O365" s="242"/>
      <c r="P365" s="242"/>
      <c r="Q365" s="242"/>
      <c r="R365" s="242"/>
      <c r="S365" s="242"/>
      <c r="T365" s="242"/>
      <c r="U365" s="242"/>
      <c r="V365" s="242"/>
      <c r="W365" s="242"/>
      <c r="X365" s="242"/>
      <c r="Y365" s="242"/>
      <c r="Z365" s="242"/>
    </row>
    <row r="366">
      <c r="A366" s="340"/>
      <c r="B366" s="242"/>
      <c r="C366" s="242"/>
      <c r="D366" s="242"/>
      <c r="E366" s="13"/>
      <c r="F366" s="13"/>
      <c r="G366" s="13"/>
      <c r="H366" s="13"/>
      <c r="I366" s="13"/>
      <c r="J366" s="13"/>
      <c r="K366" s="13"/>
      <c r="L366" s="242"/>
      <c r="M366" s="242"/>
      <c r="N366" s="242"/>
      <c r="O366" s="242"/>
      <c r="P366" s="242"/>
      <c r="Q366" s="242"/>
      <c r="R366" s="242"/>
      <c r="S366" s="242"/>
      <c r="T366" s="242"/>
      <c r="U366" s="242"/>
      <c r="V366" s="242"/>
      <c r="W366" s="242"/>
      <c r="X366" s="242"/>
      <c r="Y366" s="242"/>
      <c r="Z366" s="242"/>
    </row>
    <row r="367">
      <c r="A367" s="340"/>
      <c r="B367" s="242"/>
      <c r="C367" s="242"/>
      <c r="D367" s="242"/>
      <c r="E367" s="13"/>
      <c r="F367" s="13"/>
      <c r="G367" s="13"/>
      <c r="H367" s="13"/>
      <c r="I367" s="13"/>
      <c r="J367" s="13"/>
      <c r="K367" s="13"/>
      <c r="L367" s="242"/>
      <c r="M367" s="242"/>
      <c r="N367" s="242"/>
      <c r="O367" s="242"/>
      <c r="P367" s="242"/>
      <c r="Q367" s="242"/>
      <c r="R367" s="242"/>
      <c r="S367" s="242"/>
      <c r="T367" s="242"/>
      <c r="U367" s="242"/>
      <c r="V367" s="242"/>
      <c r="W367" s="242"/>
      <c r="X367" s="242"/>
      <c r="Y367" s="242"/>
      <c r="Z367" s="242"/>
    </row>
    <row r="368">
      <c r="A368" s="340"/>
      <c r="B368" s="242"/>
      <c r="C368" s="242"/>
      <c r="D368" s="242"/>
      <c r="E368" s="13"/>
      <c r="F368" s="13"/>
      <c r="G368" s="13"/>
      <c r="H368" s="13"/>
      <c r="I368" s="13"/>
      <c r="J368" s="13"/>
      <c r="K368" s="13"/>
      <c r="L368" s="242"/>
      <c r="M368" s="242"/>
      <c r="N368" s="242"/>
      <c r="O368" s="242"/>
      <c r="P368" s="242"/>
      <c r="Q368" s="242"/>
      <c r="R368" s="242"/>
      <c r="S368" s="242"/>
      <c r="T368" s="242"/>
      <c r="U368" s="242"/>
      <c r="V368" s="242"/>
      <c r="W368" s="242"/>
      <c r="X368" s="242"/>
      <c r="Y368" s="242"/>
      <c r="Z368" s="242"/>
    </row>
    <row r="369">
      <c r="A369" s="340"/>
      <c r="B369" s="242"/>
      <c r="C369" s="242"/>
      <c r="D369" s="242"/>
      <c r="E369" s="13"/>
      <c r="F369" s="13"/>
      <c r="G369" s="13"/>
      <c r="H369" s="13"/>
      <c r="I369" s="13"/>
      <c r="J369" s="13"/>
      <c r="K369" s="13"/>
      <c r="L369" s="242"/>
      <c r="M369" s="242"/>
      <c r="N369" s="242"/>
      <c r="O369" s="242"/>
      <c r="P369" s="242"/>
      <c r="Q369" s="242"/>
      <c r="R369" s="242"/>
      <c r="S369" s="242"/>
      <c r="T369" s="242"/>
      <c r="U369" s="242"/>
      <c r="V369" s="242"/>
      <c r="W369" s="242"/>
      <c r="X369" s="242"/>
      <c r="Y369" s="242"/>
      <c r="Z369" s="242"/>
    </row>
    <row r="370">
      <c r="A370" s="340"/>
      <c r="B370" s="242"/>
      <c r="C370" s="242"/>
      <c r="D370" s="242"/>
      <c r="E370" s="13"/>
      <c r="F370" s="13"/>
      <c r="G370" s="13"/>
      <c r="H370" s="13"/>
      <c r="I370" s="13"/>
      <c r="J370" s="13"/>
      <c r="K370" s="13"/>
      <c r="L370" s="242"/>
      <c r="M370" s="242"/>
      <c r="N370" s="242"/>
      <c r="O370" s="242"/>
      <c r="P370" s="242"/>
      <c r="Q370" s="242"/>
      <c r="R370" s="242"/>
      <c r="S370" s="242"/>
      <c r="T370" s="242"/>
      <c r="U370" s="242"/>
      <c r="V370" s="242"/>
      <c r="W370" s="242"/>
      <c r="X370" s="242"/>
      <c r="Y370" s="242"/>
      <c r="Z370" s="242"/>
    </row>
    <row r="371">
      <c r="A371" s="340"/>
      <c r="B371" s="242"/>
      <c r="C371" s="242"/>
      <c r="D371" s="242"/>
      <c r="E371" s="13"/>
      <c r="F371" s="13"/>
      <c r="G371" s="13"/>
      <c r="H371" s="13"/>
      <c r="I371" s="13"/>
      <c r="J371" s="13"/>
      <c r="K371" s="13"/>
      <c r="L371" s="242"/>
      <c r="M371" s="242"/>
      <c r="N371" s="242"/>
      <c r="O371" s="242"/>
      <c r="P371" s="242"/>
      <c r="Q371" s="242"/>
      <c r="R371" s="242"/>
      <c r="S371" s="242"/>
      <c r="T371" s="242"/>
      <c r="U371" s="242"/>
      <c r="V371" s="242"/>
      <c r="W371" s="242"/>
      <c r="X371" s="242"/>
      <c r="Y371" s="242"/>
      <c r="Z371" s="242"/>
    </row>
    <row r="372">
      <c r="A372" s="340"/>
      <c r="B372" s="242"/>
      <c r="C372" s="242"/>
      <c r="D372" s="242"/>
      <c r="E372" s="13"/>
      <c r="F372" s="13"/>
      <c r="G372" s="13"/>
      <c r="H372" s="13"/>
      <c r="I372" s="13"/>
      <c r="J372" s="13"/>
      <c r="K372" s="13"/>
      <c r="L372" s="242"/>
      <c r="M372" s="242"/>
      <c r="N372" s="242"/>
      <c r="O372" s="242"/>
      <c r="P372" s="242"/>
      <c r="Q372" s="242"/>
      <c r="R372" s="242"/>
      <c r="S372" s="242"/>
      <c r="T372" s="242"/>
      <c r="U372" s="242"/>
      <c r="V372" s="242"/>
      <c r="W372" s="242"/>
      <c r="X372" s="242"/>
      <c r="Y372" s="242"/>
      <c r="Z372" s="242"/>
    </row>
    <row r="373">
      <c r="A373" s="340"/>
      <c r="B373" s="242"/>
      <c r="C373" s="242"/>
      <c r="D373" s="242"/>
      <c r="E373" s="13"/>
      <c r="F373" s="13"/>
      <c r="G373" s="13"/>
      <c r="H373" s="13"/>
      <c r="I373" s="13"/>
      <c r="J373" s="13"/>
      <c r="K373" s="13"/>
      <c r="L373" s="242"/>
      <c r="M373" s="242"/>
      <c r="N373" s="242"/>
      <c r="O373" s="242"/>
      <c r="P373" s="242"/>
      <c r="Q373" s="242"/>
      <c r="R373" s="242"/>
      <c r="S373" s="242"/>
      <c r="T373" s="242"/>
      <c r="U373" s="242"/>
      <c r="V373" s="242"/>
      <c r="W373" s="242"/>
      <c r="X373" s="242"/>
      <c r="Y373" s="242"/>
      <c r="Z373" s="242"/>
    </row>
    <row r="374">
      <c r="A374" s="340"/>
      <c r="B374" s="242"/>
      <c r="C374" s="242"/>
      <c r="D374" s="242"/>
      <c r="E374" s="13"/>
      <c r="F374" s="13"/>
      <c r="G374" s="13"/>
      <c r="H374" s="13"/>
      <c r="I374" s="13"/>
      <c r="J374" s="13"/>
      <c r="K374" s="13"/>
      <c r="L374" s="242"/>
      <c r="M374" s="242"/>
      <c r="N374" s="242"/>
      <c r="O374" s="242"/>
      <c r="P374" s="242"/>
      <c r="Q374" s="242"/>
      <c r="R374" s="242"/>
      <c r="S374" s="242"/>
      <c r="T374" s="242"/>
      <c r="U374" s="242"/>
      <c r="V374" s="242"/>
      <c r="W374" s="242"/>
      <c r="X374" s="242"/>
      <c r="Y374" s="242"/>
      <c r="Z374" s="242"/>
    </row>
    <row r="375">
      <c r="A375" s="340"/>
      <c r="B375" s="242"/>
      <c r="C375" s="242"/>
      <c r="D375" s="242"/>
      <c r="E375" s="13"/>
      <c r="F375" s="13"/>
      <c r="G375" s="13"/>
      <c r="H375" s="13"/>
      <c r="I375" s="13"/>
      <c r="J375" s="13"/>
      <c r="K375" s="13"/>
      <c r="L375" s="242"/>
      <c r="M375" s="242"/>
      <c r="N375" s="242"/>
      <c r="O375" s="242"/>
      <c r="P375" s="242"/>
      <c r="Q375" s="242"/>
      <c r="R375" s="242"/>
      <c r="S375" s="242"/>
      <c r="T375" s="242"/>
      <c r="U375" s="242"/>
      <c r="V375" s="242"/>
      <c r="W375" s="242"/>
      <c r="X375" s="242"/>
      <c r="Y375" s="242"/>
      <c r="Z375" s="242"/>
    </row>
    <row r="376">
      <c r="A376" s="340"/>
      <c r="B376" s="242"/>
      <c r="C376" s="242"/>
      <c r="D376" s="242"/>
      <c r="E376" s="13"/>
      <c r="F376" s="13"/>
      <c r="G376" s="13"/>
      <c r="H376" s="13"/>
      <c r="I376" s="13"/>
      <c r="J376" s="13"/>
      <c r="K376" s="13"/>
      <c r="L376" s="242"/>
      <c r="M376" s="242"/>
      <c r="N376" s="242"/>
      <c r="O376" s="242"/>
      <c r="P376" s="242"/>
      <c r="Q376" s="242"/>
      <c r="R376" s="242"/>
      <c r="S376" s="242"/>
      <c r="T376" s="242"/>
      <c r="U376" s="242"/>
      <c r="V376" s="242"/>
      <c r="W376" s="242"/>
      <c r="X376" s="242"/>
      <c r="Y376" s="242"/>
      <c r="Z376" s="242"/>
    </row>
    <row r="377">
      <c r="A377" s="340"/>
      <c r="B377" s="242"/>
      <c r="C377" s="242"/>
      <c r="D377" s="242"/>
      <c r="E377" s="13"/>
      <c r="F377" s="13"/>
      <c r="G377" s="13"/>
      <c r="H377" s="13"/>
      <c r="I377" s="13"/>
      <c r="J377" s="13"/>
      <c r="K377" s="13"/>
      <c r="L377" s="242"/>
      <c r="M377" s="242"/>
      <c r="N377" s="242"/>
      <c r="O377" s="242"/>
      <c r="P377" s="242"/>
      <c r="Q377" s="242"/>
      <c r="R377" s="242"/>
      <c r="S377" s="242"/>
      <c r="T377" s="242"/>
      <c r="U377" s="242"/>
      <c r="V377" s="242"/>
      <c r="W377" s="242"/>
      <c r="X377" s="242"/>
      <c r="Y377" s="242"/>
      <c r="Z377" s="242"/>
    </row>
    <row r="378">
      <c r="A378" s="340"/>
      <c r="B378" s="242"/>
      <c r="C378" s="242"/>
      <c r="D378" s="242"/>
      <c r="E378" s="13"/>
      <c r="F378" s="13"/>
      <c r="G378" s="13"/>
      <c r="H378" s="13"/>
      <c r="I378" s="13"/>
      <c r="J378" s="13"/>
      <c r="K378" s="13"/>
      <c r="L378" s="242"/>
      <c r="M378" s="242"/>
      <c r="N378" s="242"/>
      <c r="O378" s="242"/>
      <c r="P378" s="242"/>
      <c r="Q378" s="242"/>
      <c r="R378" s="242"/>
      <c r="S378" s="242"/>
      <c r="T378" s="242"/>
      <c r="U378" s="242"/>
      <c r="V378" s="242"/>
      <c r="W378" s="242"/>
      <c r="X378" s="242"/>
      <c r="Y378" s="242"/>
      <c r="Z378" s="242"/>
    </row>
    <row r="379">
      <c r="A379" s="340"/>
      <c r="B379" s="242"/>
      <c r="C379" s="242"/>
      <c r="D379" s="242"/>
      <c r="E379" s="13"/>
      <c r="F379" s="13"/>
      <c r="G379" s="13"/>
      <c r="H379" s="13"/>
      <c r="I379" s="13"/>
      <c r="J379" s="13"/>
      <c r="K379" s="13"/>
      <c r="L379" s="242"/>
      <c r="M379" s="242"/>
      <c r="N379" s="242"/>
      <c r="O379" s="242"/>
      <c r="P379" s="242"/>
      <c r="Q379" s="242"/>
      <c r="R379" s="242"/>
      <c r="S379" s="242"/>
      <c r="T379" s="242"/>
      <c r="U379" s="242"/>
      <c r="V379" s="242"/>
      <c r="W379" s="242"/>
      <c r="X379" s="242"/>
      <c r="Y379" s="242"/>
      <c r="Z379" s="242"/>
    </row>
    <row r="380">
      <c r="A380" s="340"/>
      <c r="B380" s="242"/>
      <c r="C380" s="242"/>
      <c r="D380" s="242"/>
      <c r="E380" s="13"/>
      <c r="F380" s="13"/>
      <c r="G380" s="13"/>
      <c r="H380" s="13"/>
      <c r="I380" s="13"/>
      <c r="J380" s="13"/>
      <c r="K380" s="13"/>
      <c r="L380" s="242"/>
      <c r="M380" s="242"/>
      <c r="N380" s="242"/>
      <c r="O380" s="242"/>
      <c r="P380" s="242"/>
      <c r="Q380" s="242"/>
      <c r="R380" s="242"/>
      <c r="S380" s="242"/>
      <c r="T380" s="242"/>
      <c r="U380" s="242"/>
      <c r="V380" s="242"/>
      <c r="W380" s="242"/>
      <c r="X380" s="242"/>
      <c r="Y380" s="242"/>
      <c r="Z380" s="242"/>
    </row>
    <row r="381">
      <c r="A381" s="340"/>
      <c r="B381" s="242"/>
      <c r="C381" s="242"/>
      <c r="D381" s="242"/>
      <c r="E381" s="13"/>
      <c r="F381" s="13"/>
      <c r="G381" s="13"/>
      <c r="H381" s="13"/>
      <c r="I381" s="13"/>
      <c r="J381" s="13"/>
      <c r="K381" s="13"/>
      <c r="L381" s="242"/>
      <c r="M381" s="242"/>
      <c r="N381" s="242"/>
      <c r="O381" s="242"/>
      <c r="P381" s="242"/>
      <c r="Q381" s="242"/>
      <c r="R381" s="242"/>
      <c r="S381" s="242"/>
      <c r="T381" s="242"/>
      <c r="U381" s="242"/>
      <c r="V381" s="242"/>
      <c r="W381" s="242"/>
      <c r="X381" s="242"/>
      <c r="Y381" s="242"/>
      <c r="Z381" s="242"/>
    </row>
    <row r="382">
      <c r="A382" s="340"/>
      <c r="B382" s="242"/>
      <c r="C382" s="242"/>
      <c r="D382" s="242"/>
      <c r="E382" s="13"/>
      <c r="F382" s="13"/>
      <c r="G382" s="13"/>
      <c r="H382" s="13"/>
      <c r="I382" s="13"/>
      <c r="J382" s="13"/>
      <c r="K382" s="13"/>
      <c r="L382" s="242"/>
      <c r="M382" s="242"/>
      <c r="N382" s="242"/>
      <c r="O382" s="242"/>
      <c r="P382" s="242"/>
      <c r="Q382" s="242"/>
      <c r="R382" s="242"/>
      <c r="S382" s="242"/>
      <c r="T382" s="242"/>
      <c r="U382" s="242"/>
      <c r="V382" s="242"/>
      <c r="W382" s="242"/>
      <c r="X382" s="242"/>
      <c r="Y382" s="242"/>
      <c r="Z382" s="242"/>
    </row>
    <row r="383">
      <c r="A383" s="340"/>
      <c r="B383" s="242"/>
      <c r="C383" s="242"/>
      <c r="D383" s="242"/>
      <c r="E383" s="13"/>
      <c r="F383" s="13"/>
      <c r="G383" s="13"/>
      <c r="H383" s="13"/>
      <c r="I383" s="13"/>
      <c r="J383" s="13"/>
      <c r="K383" s="13"/>
      <c r="L383" s="242"/>
      <c r="M383" s="242"/>
      <c r="N383" s="242"/>
      <c r="O383" s="242"/>
      <c r="P383" s="242"/>
      <c r="Q383" s="242"/>
      <c r="R383" s="242"/>
      <c r="S383" s="242"/>
      <c r="T383" s="242"/>
      <c r="U383" s="242"/>
      <c r="V383" s="242"/>
      <c r="W383" s="242"/>
      <c r="X383" s="242"/>
      <c r="Y383" s="242"/>
      <c r="Z383" s="242"/>
    </row>
    <row r="384">
      <c r="A384" s="340"/>
      <c r="B384" s="242"/>
      <c r="C384" s="242"/>
      <c r="D384" s="242"/>
      <c r="E384" s="13"/>
      <c r="F384" s="13"/>
      <c r="G384" s="13"/>
      <c r="H384" s="13"/>
      <c r="I384" s="13"/>
      <c r="J384" s="13"/>
      <c r="K384" s="13"/>
      <c r="L384" s="242"/>
      <c r="M384" s="242"/>
      <c r="N384" s="242"/>
      <c r="O384" s="242"/>
      <c r="P384" s="242"/>
      <c r="Q384" s="242"/>
      <c r="R384" s="242"/>
      <c r="S384" s="242"/>
      <c r="T384" s="242"/>
      <c r="U384" s="242"/>
      <c r="V384" s="242"/>
      <c r="W384" s="242"/>
      <c r="X384" s="242"/>
      <c r="Y384" s="242"/>
      <c r="Z384" s="242"/>
    </row>
    <row r="385">
      <c r="A385" s="340"/>
      <c r="B385" s="242"/>
      <c r="C385" s="242"/>
      <c r="D385" s="242"/>
      <c r="E385" s="13"/>
      <c r="F385" s="13"/>
      <c r="G385" s="13"/>
      <c r="H385" s="13"/>
      <c r="I385" s="13"/>
      <c r="J385" s="13"/>
      <c r="K385" s="13"/>
      <c r="L385" s="242"/>
      <c r="M385" s="242"/>
      <c r="N385" s="242"/>
      <c r="O385" s="242"/>
      <c r="P385" s="242"/>
      <c r="Q385" s="242"/>
      <c r="R385" s="242"/>
      <c r="S385" s="242"/>
      <c r="T385" s="242"/>
      <c r="U385" s="242"/>
      <c r="V385" s="242"/>
      <c r="W385" s="242"/>
      <c r="X385" s="242"/>
      <c r="Y385" s="242"/>
      <c r="Z385" s="242"/>
    </row>
    <row r="386">
      <c r="A386" s="340"/>
      <c r="B386" s="242"/>
      <c r="C386" s="242"/>
      <c r="D386" s="242"/>
      <c r="E386" s="13"/>
      <c r="F386" s="13"/>
      <c r="G386" s="13"/>
      <c r="H386" s="13"/>
      <c r="I386" s="13"/>
      <c r="J386" s="13"/>
      <c r="K386" s="13"/>
      <c r="L386" s="242"/>
      <c r="M386" s="242"/>
      <c r="N386" s="242"/>
      <c r="O386" s="242"/>
      <c r="P386" s="242"/>
      <c r="Q386" s="242"/>
      <c r="R386" s="242"/>
      <c r="S386" s="242"/>
      <c r="T386" s="242"/>
      <c r="U386" s="242"/>
      <c r="V386" s="242"/>
      <c r="W386" s="242"/>
      <c r="X386" s="242"/>
      <c r="Y386" s="242"/>
      <c r="Z386" s="242"/>
    </row>
    <row r="387">
      <c r="A387" s="340"/>
      <c r="B387" s="242"/>
      <c r="C387" s="242"/>
      <c r="D387" s="242"/>
      <c r="E387" s="13"/>
      <c r="F387" s="13"/>
      <c r="G387" s="13"/>
      <c r="H387" s="13"/>
      <c r="I387" s="13"/>
      <c r="J387" s="13"/>
      <c r="K387" s="13"/>
      <c r="L387" s="242"/>
      <c r="M387" s="242"/>
      <c r="N387" s="242"/>
      <c r="O387" s="242"/>
      <c r="P387" s="242"/>
      <c r="Q387" s="242"/>
      <c r="R387" s="242"/>
      <c r="S387" s="242"/>
      <c r="T387" s="242"/>
      <c r="U387" s="242"/>
      <c r="V387" s="242"/>
      <c r="W387" s="242"/>
      <c r="X387" s="242"/>
      <c r="Y387" s="242"/>
      <c r="Z387" s="242"/>
    </row>
    <row r="388">
      <c r="A388" s="340"/>
      <c r="B388" s="242"/>
      <c r="C388" s="242"/>
      <c r="D388" s="242"/>
      <c r="E388" s="13"/>
      <c r="F388" s="13"/>
      <c r="G388" s="13"/>
      <c r="H388" s="13"/>
      <c r="I388" s="13"/>
      <c r="J388" s="13"/>
      <c r="K388" s="13"/>
      <c r="L388" s="242"/>
      <c r="M388" s="242"/>
      <c r="N388" s="242"/>
      <c r="O388" s="242"/>
      <c r="P388" s="242"/>
      <c r="Q388" s="242"/>
      <c r="R388" s="242"/>
      <c r="S388" s="242"/>
      <c r="T388" s="242"/>
      <c r="U388" s="242"/>
      <c r="V388" s="242"/>
      <c r="W388" s="242"/>
      <c r="X388" s="242"/>
      <c r="Y388" s="242"/>
      <c r="Z388" s="242"/>
    </row>
    <row r="389">
      <c r="A389" s="340"/>
      <c r="B389" s="242"/>
      <c r="C389" s="242"/>
      <c r="D389" s="242"/>
      <c r="E389" s="13"/>
      <c r="F389" s="13"/>
      <c r="G389" s="13"/>
      <c r="H389" s="13"/>
      <c r="I389" s="13"/>
      <c r="J389" s="13"/>
      <c r="K389" s="13"/>
      <c r="L389" s="242"/>
      <c r="M389" s="242"/>
      <c r="N389" s="242"/>
      <c r="O389" s="242"/>
      <c r="P389" s="242"/>
      <c r="Q389" s="242"/>
      <c r="R389" s="242"/>
      <c r="S389" s="242"/>
      <c r="T389" s="242"/>
      <c r="U389" s="242"/>
      <c r="V389" s="242"/>
      <c r="W389" s="242"/>
      <c r="X389" s="242"/>
      <c r="Y389" s="242"/>
      <c r="Z389" s="242"/>
    </row>
    <row r="390">
      <c r="A390" s="340"/>
      <c r="B390" s="242"/>
      <c r="C390" s="242"/>
      <c r="D390" s="242"/>
      <c r="E390" s="13"/>
      <c r="F390" s="13"/>
      <c r="G390" s="13"/>
      <c r="H390" s="13"/>
      <c r="I390" s="13"/>
      <c r="J390" s="13"/>
      <c r="K390" s="13"/>
      <c r="L390" s="242"/>
      <c r="M390" s="242"/>
      <c r="N390" s="242"/>
      <c r="O390" s="242"/>
      <c r="P390" s="242"/>
      <c r="Q390" s="242"/>
      <c r="R390" s="242"/>
      <c r="S390" s="242"/>
      <c r="T390" s="242"/>
      <c r="U390" s="242"/>
      <c r="V390" s="242"/>
      <c r="W390" s="242"/>
      <c r="X390" s="242"/>
      <c r="Y390" s="242"/>
      <c r="Z390" s="242"/>
    </row>
    <row r="391">
      <c r="A391" s="340"/>
      <c r="B391" s="242"/>
      <c r="C391" s="242"/>
      <c r="D391" s="242"/>
      <c r="E391" s="13"/>
      <c r="F391" s="13"/>
      <c r="G391" s="13"/>
      <c r="H391" s="13"/>
      <c r="I391" s="13"/>
      <c r="J391" s="13"/>
      <c r="K391" s="13"/>
      <c r="L391" s="242"/>
      <c r="M391" s="242"/>
      <c r="N391" s="242"/>
      <c r="O391" s="242"/>
      <c r="P391" s="242"/>
      <c r="Q391" s="242"/>
      <c r="R391" s="242"/>
      <c r="S391" s="242"/>
      <c r="T391" s="242"/>
      <c r="U391" s="242"/>
      <c r="V391" s="242"/>
      <c r="W391" s="242"/>
      <c r="X391" s="242"/>
      <c r="Y391" s="242"/>
      <c r="Z391" s="242"/>
    </row>
    <row r="392">
      <c r="A392" s="340"/>
      <c r="B392" s="242"/>
      <c r="C392" s="242"/>
      <c r="D392" s="242"/>
      <c r="E392" s="13"/>
      <c r="F392" s="13"/>
      <c r="G392" s="13"/>
      <c r="H392" s="13"/>
      <c r="I392" s="13"/>
      <c r="J392" s="13"/>
      <c r="K392" s="13"/>
      <c r="L392" s="242"/>
      <c r="M392" s="242"/>
      <c r="N392" s="242"/>
      <c r="O392" s="242"/>
      <c r="P392" s="242"/>
      <c r="Q392" s="242"/>
      <c r="R392" s="242"/>
      <c r="S392" s="242"/>
      <c r="T392" s="242"/>
      <c r="U392" s="242"/>
      <c r="V392" s="242"/>
      <c r="W392" s="242"/>
      <c r="X392" s="242"/>
      <c r="Y392" s="242"/>
      <c r="Z392" s="242"/>
    </row>
    <row r="393">
      <c r="A393" s="340"/>
      <c r="B393" s="242"/>
      <c r="C393" s="242"/>
      <c r="D393" s="242"/>
      <c r="E393" s="13"/>
      <c r="F393" s="13"/>
      <c r="G393" s="13"/>
      <c r="H393" s="13"/>
      <c r="I393" s="13"/>
      <c r="J393" s="13"/>
      <c r="K393" s="13"/>
      <c r="L393" s="242"/>
      <c r="M393" s="242"/>
      <c r="N393" s="242"/>
      <c r="O393" s="242"/>
      <c r="P393" s="242"/>
      <c r="Q393" s="242"/>
      <c r="R393" s="242"/>
      <c r="S393" s="242"/>
      <c r="T393" s="242"/>
      <c r="U393" s="242"/>
      <c r="V393" s="242"/>
      <c r="W393" s="242"/>
      <c r="X393" s="242"/>
      <c r="Y393" s="242"/>
      <c r="Z393" s="242"/>
    </row>
    <row r="394">
      <c r="A394" s="340"/>
      <c r="B394" s="242"/>
      <c r="C394" s="242"/>
      <c r="D394" s="242"/>
      <c r="E394" s="13"/>
      <c r="F394" s="13"/>
      <c r="G394" s="13"/>
      <c r="H394" s="13"/>
      <c r="I394" s="13"/>
      <c r="J394" s="13"/>
      <c r="K394" s="13"/>
      <c r="L394" s="242"/>
      <c r="M394" s="242"/>
      <c r="N394" s="242"/>
      <c r="O394" s="242"/>
      <c r="P394" s="242"/>
      <c r="Q394" s="242"/>
      <c r="R394" s="242"/>
      <c r="S394" s="242"/>
      <c r="T394" s="242"/>
      <c r="U394" s="242"/>
      <c r="V394" s="242"/>
      <c r="W394" s="242"/>
      <c r="X394" s="242"/>
      <c r="Y394" s="242"/>
      <c r="Z394" s="242"/>
    </row>
    <row r="395">
      <c r="A395" s="340"/>
      <c r="B395" s="242"/>
      <c r="C395" s="242"/>
      <c r="D395" s="242"/>
      <c r="E395" s="13"/>
      <c r="F395" s="13"/>
      <c r="G395" s="13"/>
      <c r="H395" s="13"/>
      <c r="I395" s="13"/>
      <c r="J395" s="13"/>
      <c r="K395" s="13"/>
      <c r="L395" s="242"/>
      <c r="M395" s="242"/>
      <c r="N395" s="242"/>
      <c r="O395" s="242"/>
      <c r="P395" s="242"/>
      <c r="Q395" s="242"/>
      <c r="R395" s="242"/>
      <c r="S395" s="242"/>
      <c r="T395" s="242"/>
      <c r="U395" s="242"/>
      <c r="V395" s="242"/>
      <c r="W395" s="242"/>
      <c r="X395" s="242"/>
      <c r="Y395" s="242"/>
      <c r="Z395" s="242"/>
    </row>
    <row r="396">
      <c r="A396" s="340"/>
      <c r="B396" s="242"/>
      <c r="C396" s="242"/>
      <c r="D396" s="242"/>
      <c r="E396" s="13"/>
      <c r="F396" s="13"/>
      <c r="G396" s="13"/>
      <c r="H396" s="13"/>
      <c r="I396" s="13"/>
      <c r="J396" s="13"/>
      <c r="K396" s="13"/>
      <c r="L396" s="242"/>
      <c r="M396" s="242"/>
      <c r="N396" s="242"/>
      <c r="O396" s="242"/>
      <c r="P396" s="242"/>
      <c r="Q396" s="242"/>
      <c r="R396" s="242"/>
      <c r="S396" s="242"/>
      <c r="T396" s="242"/>
      <c r="U396" s="242"/>
      <c r="V396" s="242"/>
      <c r="W396" s="242"/>
      <c r="X396" s="242"/>
      <c r="Y396" s="242"/>
      <c r="Z396" s="242"/>
    </row>
    <row r="397">
      <c r="A397" s="340"/>
      <c r="B397" s="242"/>
      <c r="C397" s="242"/>
      <c r="D397" s="242"/>
      <c r="E397" s="13"/>
      <c r="F397" s="13"/>
      <c r="G397" s="13"/>
      <c r="H397" s="13"/>
      <c r="I397" s="13"/>
      <c r="J397" s="13"/>
      <c r="K397" s="13"/>
      <c r="L397" s="242"/>
      <c r="M397" s="242"/>
      <c r="N397" s="242"/>
      <c r="O397" s="242"/>
      <c r="P397" s="242"/>
      <c r="Q397" s="242"/>
      <c r="R397" s="242"/>
      <c r="S397" s="242"/>
      <c r="T397" s="242"/>
      <c r="U397" s="242"/>
      <c r="V397" s="242"/>
      <c r="W397" s="242"/>
      <c r="X397" s="242"/>
      <c r="Y397" s="242"/>
      <c r="Z397" s="242"/>
    </row>
    <row r="398">
      <c r="A398" s="340"/>
      <c r="B398" s="242"/>
      <c r="C398" s="242"/>
      <c r="D398" s="242"/>
      <c r="E398" s="13"/>
      <c r="F398" s="13"/>
      <c r="G398" s="13"/>
      <c r="H398" s="13"/>
      <c r="I398" s="13"/>
      <c r="J398" s="13"/>
      <c r="K398" s="13"/>
      <c r="L398" s="242"/>
      <c r="M398" s="242"/>
      <c r="N398" s="242"/>
      <c r="O398" s="242"/>
      <c r="P398" s="242"/>
      <c r="Q398" s="242"/>
      <c r="R398" s="242"/>
      <c r="S398" s="242"/>
      <c r="T398" s="242"/>
      <c r="U398" s="242"/>
      <c r="V398" s="242"/>
      <c r="W398" s="242"/>
      <c r="X398" s="242"/>
      <c r="Y398" s="242"/>
      <c r="Z398" s="242"/>
    </row>
    <row r="399">
      <c r="A399" s="340"/>
      <c r="B399" s="242"/>
      <c r="C399" s="242"/>
      <c r="D399" s="242"/>
      <c r="E399" s="13"/>
      <c r="F399" s="13"/>
      <c r="G399" s="13"/>
      <c r="H399" s="13"/>
      <c r="I399" s="13"/>
      <c r="J399" s="13"/>
      <c r="K399" s="13"/>
      <c r="L399" s="242"/>
      <c r="M399" s="242"/>
      <c r="N399" s="242"/>
      <c r="O399" s="242"/>
      <c r="P399" s="242"/>
      <c r="Q399" s="242"/>
      <c r="R399" s="242"/>
      <c r="S399" s="242"/>
      <c r="T399" s="242"/>
      <c r="U399" s="242"/>
      <c r="V399" s="242"/>
      <c r="W399" s="242"/>
      <c r="X399" s="242"/>
      <c r="Y399" s="242"/>
      <c r="Z399" s="242"/>
    </row>
    <row r="400">
      <c r="A400" s="340"/>
      <c r="B400" s="242"/>
      <c r="C400" s="242"/>
      <c r="D400" s="242"/>
      <c r="E400" s="13"/>
      <c r="F400" s="13"/>
      <c r="G400" s="13"/>
      <c r="H400" s="13"/>
      <c r="I400" s="13"/>
      <c r="J400" s="13"/>
      <c r="K400" s="13"/>
      <c r="L400" s="242"/>
      <c r="M400" s="242"/>
      <c r="N400" s="242"/>
      <c r="O400" s="242"/>
      <c r="P400" s="242"/>
      <c r="Q400" s="242"/>
      <c r="R400" s="242"/>
      <c r="S400" s="242"/>
      <c r="T400" s="242"/>
      <c r="U400" s="242"/>
      <c r="V400" s="242"/>
      <c r="W400" s="242"/>
      <c r="X400" s="242"/>
      <c r="Y400" s="242"/>
      <c r="Z400" s="242"/>
    </row>
    <row r="401">
      <c r="A401" s="340"/>
      <c r="B401" s="242"/>
      <c r="C401" s="242"/>
      <c r="D401" s="242"/>
      <c r="E401" s="13"/>
      <c r="F401" s="13"/>
      <c r="G401" s="13"/>
      <c r="H401" s="13"/>
      <c r="I401" s="13"/>
      <c r="J401" s="13"/>
      <c r="K401" s="13"/>
      <c r="L401" s="242"/>
      <c r="M401" s="242"/>
      <c r="N401" s="242"/>
      <c r="O401" s="242"/>
      <c r="P401" s="242"/>
      <c r="Q401" s="242"/>
      <c r="R401" s="242"/>
      <c r="S401" s="242"/>
      <c r="T401" s="242"/>
      <c r="U401" s="242"/>
      <c r="V401" s="242"/>
      <c r="W401" s="242"/>
      <c r="X401" s="242"/>
      <c r="Y401" s="242"/>
      <c r="Z401" s="242"/>
    </row>
    <row r="402">
      <c r="A402" s="340"/>
      <c r="B402" s="242"/>
      <c r="C402" s="242"/>
      <c r="D402" s="242"/>
      <c r="E402" s="13"/>
      <c r="F402" s="13"/>
      <c r="G402" s="13"/>
      <c r="H402" s="13"/>
      <c r="I402" s="13"/>
      <c r="J402" s="13"/>
      <c r="K402" s="13"/>
      <c r="L402" s="242"/>
      <c r="M402" s="242"/>
      <c r="N402" s="242"/>
      <c r="O402" s="242"/>
      <c r="P402" s="242"/>
      <c r="Q402" s="242"/>
      <c r="R402" s="242"/>
      <c r="S402" s="242"/>
      <c r="T402" s="242"/>
      <c r="U402" s="242"/>
      <c r="V402" s="242"/>
      <c r="W402" s="242"/>
      <c r="X402" s="242"/>
      <c r="Y402" s="242"/>
      <c r="Z402" s="242"/>
    </row>
    <row r="403">
      <c r="A403" s="340"/>
      <c r="B403" s="242"/>
      <c r="C403" s="242"/>
      <c r="D403" s="242"/>
      <c r="E403" s="13"/>
      <c r="F403" s="13"/>
      <c r="G403" s="13"/>
      <c r="H403" s="13"/>
      <c r="I403" s="13"/>
      <c r="J403" s="13"/>
      <c r="K403" s="13"/>
      <c r="L403" s="242"/>
      <c r="M403" s="242"/>
      <c r="N403" s="242"/>
      <c r="O403" s="242"/>
      <c r="P403" s="242"/>
      <c r="Q403" s="242"/>
      <c r="R403" s="242"/>
      <c r="S403" s="242"/>
      <c r="T403" s="242"/>
      <c r="U403" s="242"/>
      <c r="V403" s="242"/>
      <c r="W403" s="242"/>
      <c r="X403" s="242"/>
      <c r="Y403" s="242"/>
      <c r="Z403" s="242"/>
    </row>
    <row r="404">
      <c r="A404" s="340"/>
      <c r="B404" s="242"/>
      <c r="C404" s="242"/>
      <c r="D404" s="242"/>
      <c r="E404" s="13"/>
      <c r="F404" s="13"/>
      <c r="G404" s="13"/>
      <c r="H404" s="13"/>
      <c r="I404" s="13"/>
      <c r="J404" s="13"/>
      <c r="K404" s="13"/>
      <c r="L404" s="242"/>
      <c r="M404" s="242"/>
      <c r="N404" s="242"/>
      <c r="O404" s="242"/>
      <c r="P404" s="242"/>
      <c r="Q404" s="242"/>
      <c r="R404" s="242"/>
      <c r="S404" s="242"/>
      <c r="T404" s="242"/>
      <c r="U404" s="242"/>
      <c r="V404" s="242"/>
      <c r="W404" s="242"/>
      <c r="X404" s="242"/>
      <c r="Y404" s="242"/>
      <c r="Z404" s="242"/>
    </row>
    <row r="405">
      <c r="A405" s="340"/>
      <c r="B405" s="242"/>
      <c r="C405" s="242"/>
      <c r="D405" s="242"/>
      <c r="E405" s="13"/>
      <c r="F405" s="13"/>
      <c r="G405" s="13"/>
      <c r="H405" s="13"/>
      <c r="I405" s="13"/>
      <c r="J405" s="13"/>
      <c r="K405" s="13"/>
      <c r="L405" s="242"/>
      <c r="M405" s="242"/>
      <c r="N405" s="242"/>
      <c r="O405" s="242"/>
      <c r="P405" s="242"/>
      <c r="Q405" s="242"/>
      <c r="R405" s="242"/>
      <c r="S405" s="242"/>
      <c r="T405" s="242"/>
      <c r="U405" s="242"/>
      <c r="V405" s="242"/>
      <c r="W405" s="242"/>
      <c r="X405" s="242"/>
      <c r="Y405" s="242"/>
      <c r="Z405" s="242"/>
    </row>
    <row r="406">
      <c r="A406" s="340"/>
      <c r="B406" s="242"/>
      <c r="C406" s="242"/>
      <c r="D406" s="242"/>
      <c r="E406" s="13"/>
      <c r="F406" s="13"/>
      <c r="G406" s="13"/>
      <c r="H406" s="13"/>
      <c r="I406" s="13"/>
      <c r="J406" s="13"/>
      <c r="K406" s="13"/>
      <c r="L406" s="242"/>
      <c r="M406" s="242"/>
      <c r="N406" s="242"/>
      <c r="O406" s="242"/>
      <c r="P406" s="242"/>
      <c r="Q406" s="242"/>
      <c r="R406" s="242"/>
      <c r="S406" s="242"/>
      <c r="T406" s="242"/>
      <c r="U406" s="242"/>
      <c r="V406" s="242"/>
      <c r="W406" s="242"/>
      <c r="X406" s="242"/>
      <c r="Y406" s="242"/>
      <c r="Z406" s="242"/>
    </row>
    <row r="407">
      <c r="A407" s="340"/>
      <c r="B407" s="242"/>
      <c r="C407" s="242"/>
      <c r="D407" s="242"/>
      <c r="E407" s="13"/>
      <c r="F407" s="13"/>
      <c r="G407" s="13"/>
      <c r="H407" s="13"/>
      <c r="I407" s="13"/>
      <c r="J407" s="13"/>
      <c r="K407" s="13"/>
      <c r="L407" s="242"/>
      <c r="M407" s="242"/>
      <c r="N407" s="242"/>
      <c r="O407" s="242"/>
      <c r="P407" s="242"/>
      <c r="Q407" s="242"/>
      <c r="R407" s="242"/>
      <c r="S407" s="242"/>
      <c r="T407" s="242"/>
      <c r="U407" s="242"/>
      <c r="V407" s="242"/>
      <c r="W407" s="242"/>
      <c r="X407" s="242"/>
      <c r="Y407" s="242"/>
      <c r="Z407" s="242"/>
    </row>
    <row r="408">
      <c r="A408" s="340"/>
      <c r="B408" s="242"/>
      <c r="C408" s="242"/>
      <c r="D408" s="242"/>
      <c r="E408" s="13"/>
      <c r="F408" s="13"/>
      <c r="G408" s="13"/>
      <c r="H408" s="13"/>
      <c r="I408" s="13"/>
      <c r="J408" s="13"/>
      <c r="K408" s="13"/>
      <c r="L408" s="242"/>
      <c r="M408" s="242"/>
      <c r="N408" s="242"/>
      <c r="O408" s="242"/>
      <c r="P408" s="242"/>
      <c r="Q408" s="242"/>
      <c r="R408" s="242"/>
      <c r="S408" s="242"/>
      <c r="T408" s="242"/>
      <c r="U408" s="242"/>
      <c r="V408" s="242"/>
      <c r="W408" s="242"/>
      <c r="X408" s="242"/>
      <c r="Y408" s="242"/>
      <c r="Z408" s="242"/>
    </row>
    <row r="409">
      <c r="A409" s="340"/>
      <c r="B409" s="242"/>
      <c r="C409" s="242"/>
      <c r="D409" s="242"/>
      <c r="E409" s="13"/>
      <c r="F409" s="13"/>
      <c r="G409" s="13"/>
      <c r="H409" s="13"/>
      <c r="I409" s="13"/>
      <c r="J409" s="13"/>
      <c r="K409" s="13"/>
      <c r="L409" s="242"/>
      <c r="M409" s="242"/>
      <c r="N409" s="242"/>
      <c r="O409" s="242"/>
      <c r="P409" s="242"/>
      <c r="Q409" s="242"/>
      <c r="R409" s="242"/>
      <c r="S409" s="242"/>
      <c r="T409" s="242"/>
      <c r="U409" s="242"/>
      <c r="V409" s="242"/>
      <c r="W409" s="242"/>
      <c r="X409" s="242"/>
      <c r="Y409" s="242"/>
      <c r="Z409" s="242"/>
    </row>
    <row r="410">
      <c r="A410" s="340"/>
      <c r="B410" s="242"/>
      <c r="C410" s="242"/>
      <c r="D410" s="242"/>
      <c r="E410" s="13"/>
      <c r="F410" s="13"/>
      <c r="G410" s="13"/>
      <c r="H410" s="13"/>
      <c r="I410" s="13"/>
      <c r="J410" s="13"/>
      <c r="K410" s="13"/>
      <c r="L410" s="242"/>
      <c r="M410" s="242"/>
      <c r="N410" s="242"/>
      <c r="O410" s="242"/>
      <c r="P410" s="242"/>
      <c r="Q410" s="242"/>
      <c r="R410" s="242"/>
      <c r="S410" s="242"/>
      <c r="T410" s="242"/>
      <c r="U410" s="242"/>
      <c r="V410" s="242"/>
      <c r="W410" s="242"/>
      <c r="X410" s="242"/>
      <c r="Y410" s="242"/>
      <c r="Z410" s="242"/>
    </row>
    <row r="411">
      <c r="A411" s="340"/>
      <c r="B411" s="242"/>
      <c r="C411" s="242"/>
      <c r="D411" s="242"/>
      <c r="E411" s="13"/>
      <c r="F411" s="13"/>
      <c r="G411" s="13"/>
      <c r="H411" s="13"/>
      <c r="I411" s="13"/>
      <c r="J411" s="13"/>
      <c r="K411" s="13"/>
      <c r="L411" s="242"/>
      <c r="M411" s="242"/>
      <c r="N411" s="242"/>
      <c r="O411" s="242"/>
      <c r="P411" s="242"/>
      <c r="Q411" s="242"/>
      <c r="R411" s="242"/>
      <c r="S411" s="242"/>
      <c r="T411" s="242"/>
      <c r="U411" s="242"/>
      <c r="V411" s="242"/>
      <c r="W411" s="242"/>
      <c r="X411" s="242"/>
      <c r="Y411" s="242"/>
      <c r="Z411" s="242"/>
    </row>
    <row r="412">
      <c r="A412" s="340"/>
      <c r="B412" s="242"/>
      <c r="C412" s="242"/>
      <c r="D412" s="242"/>
      <c r="E412" s="13"/>
      <c r="F412" s="13"/>
      <c r="G412" s="13"/>
      <c r="H412" s="13"/>
      <c r="I412" s="13"/>
      <c r="J412" s="13"/>
      <c r="K412" s="13"/>
      <c r="L412" s="242"/>
      <c r="M412" s="242"/>
      <c r="N412" s="242"/>
      <c r="O412" s="242"/>
      <c r="P412" s="242"/>
      <c r="Q412" s="242"/>
      <c r="R412" s="242"/>
      <c r="S412" s="242"/>
      <c r="T412" s="242"/>
      <c r="U412" s="242"/>
      <c r="V412" s="242"/>
      <c r="W412" s="242"/>
      <c r="X412" s="242"/>
      <c r="Y412" s="242"/>
      <c r="Z412" s="242"/>
    </row>
    <row r="413">
      <c r="A413" s="340"/>
      <c r="B413" s="242"/>
      <c r="C413" s="242"/>
      <c r="D413" s="242"/>
      <c r="E413" s="13"/>
      <c r="F413" s="13"/>
      <c r="G413" s="13"/>
      <c r="H413" s="13"/>
      <c r="I413" s="13"/>
      <c r="J413" s="13"/>
      <c r="K413" s="13"/>
      <c r="L413" s="242"/>
      <c r="M413" s="242"/>
      <c r="N413" s="242"/>
      <c r="O413" s="242"/>
      <c r="P413" s="242"/>
      <c r="Q413" s="242"/>
      <c r="R413" s="242"/>
      <c r="S413" s="242"/>
      <c r="T413" s="242"/>
      <c r="U413" s="242"/>
      <c r="V413" s="242"/>
      <c r="W413" s="242"/>
      <c r="X413" s="242"/>
      <c r="Y413" s="242"/>
      <c r="Z413" s="242"/>
    </row>
    <row r="414">
      <c r="A414" s="340"/>
      <c r="B414" s="242"/>
      <c r="C414" s="242"/>
      <c r="D414" s="242"/>
      <c r="E414" s="13"/>
      <c r="F414" s="13"/>
      <c r="G414" s="13"/>
      <c r="H414" s="13"/>
      <c r="I414" s="13"/>
      <c r="J414" s="13"/>
      <c r="K414" s="13"/>
      <c r="L414" s="242"/>
      <c r="M414" s="242"/>
      <c r="N414" s="242"/>
      <c r="O414" s="242"/>
      <c r="P414" s="242"/>
      <c r="Q414" s="242"/>
      <c r="R414" s="242"/>
      <c r="S414" s="242"/>
      <c r="T414" s="242"/>
      <c r="U414" s="242"/>
      <c r="V414" s="242"/>
      <c r="W414" s="242"/>
      <c r="X414" s="242"/>
      <c r="Y414" s="242"/>
      <c r="Z414" s="242"/>
    </row>
    <row r="415">
      <c r="A415" s="340"/>
      <c r="B415" s="242"/>
      <c r="C415" s="242"/>
      <c r="D415" s="242"/>
      <c r="E415" s="13"/>
      <c r="F415" s="13"/>
      <c r="G415" s="13"/>
      <c r="H415" s="13"/>
      <c r="I415" s="13"/>
      <c r="J415" s="13"/>
      <c r="K415" s="13"/>
      <c r="L415" s="242"/>
      <c r="M415" s="242"/>
      <c r="N415" s="242"/>
      <c r="O415" s="242"/>
      <c r="P415" s="242"/>
      <c r="Q415" s="242"/>
      <c r="R415" s="242"/>
      <c r="S415" s="242"/>
      <c r="T415" s="242"/>
      <c r="U415" s="242"/>
      <c r="V415" s="242"/>
      <c r="W415" s="242"/>
      <c r="X415" s="242"/>
      <c r="Y415" s="242"/>
      <c r="Z415" s="242"/>
    </row>
    <row r="416">
      <c r="A416" s="340"/>
      <c r="B416" s="242"/>
      <c r="C416" s="242"/>
      <c r="D416" s="242"/>
      <c r="E416" s="13"/>
      <c r="F416" s="13"/>
      <c r="G416" s="13"/>
      <c r="H416" s="13"/>
      <c r="I416" s="13"/>
      <c r="J416" s="13"/>
      <c r="K416" s="13"/>
      <c r="L416" s="242"/>
      <c r="M416" s="242"/>
      <c r="N416" s="242"/>
      <c r="O416" s="242"/>
      <c r="P416" s="242"/>
      <c r="Q416" s="242"/>
      <c r="R416" s="242"/>
      <c r="S416" s="242"/>
      <c r="T416" s="242"/>
      <c r="U416" s="242"/>
      <c r="V416" s="242"/>
      <c r="W416" s="242"/>
      <c r="X416" s="242"/>
      <c r="Y416" s="242"/>
      <c r="Z416" s="242"/>
    </row>
    <row r="417">
      <c r="A417" s="340"/>
      <c r="B417" s="242"/>
      <c r="C417" s="242"/>
      <c r="D417" s="242"/>
      <c r="E417" s="13"/>
      <c r="F417" s="13"/>
      <c r="G417" s="13"/>
      <c r="H417" s="13"/>
      <c r="I417" s="13"/>
      <c r="J417" s="13"/>
      <c r="K417" s="13"/>
      <c r="L417" s="242"/>
      <c r="M417" s="242"/>
      <c r="N417" s="242"/>
      <c r="O417" s="242"/>
      <c r="P417" s="242"/>
      <c r="Q417" s="242"/>
      <c r="R417" s="242"/>
      <c r="S417" s="242"/>
      <c r="T417" s="242"/>
      <c r="U417" s="242"/>
      <c r="V417" s="242"/>
      <c r="W417" s="242"/>
      <c r="X417" s="242"/>
      <c r="Y417" s="242"/>
      <c r="Z417" s="242"/>
    </row>
    <row r="418">
      <c r="A418" s="340"/>
      <c r="B418" s="242"/>
      <c r="C418" s="242"/>
      <c r="D418" s="242"/>
      <c r="E418" s="13"/>
      <c r="F418" s="13"/>
      <c r="G418" s="13"/>
      <c r="H418" s="13"/>
      <c r="I418" s="13"/>
      <c r="J418" s="13"/>
      <c r="K418" s="13"/>
      <c r="L418" s="242"/>
      <c r="M418" s="242"/>
      <c r="N418" s="242"/>
      <c r="O418" s="242"/>
      <c r="P418" s="242"/>
      <c r="Q418" s="242"/>
      <c r="R418" s="242"/>
      <c r="S418" s="242"/>
      <c r="T418" s="242"/>
      <c r="U418" s="242"/>
      <c r="V418" s="242"/>
      <c r="W418" s="242"/>
      <c r="X418" s="242"/>
      <c r="Y418" s="242"/>
      <c r="Z418" s="242"/>
    </row>
    <row r="419">
      <c r="A419" s="340"/>
      <c r="B419" s="242"/>
      <c r="C419" s="242"/>
      <c r="D419" s="242"/>
      <c r="E419" s="13"/>
      <c r="F419" s="13"/>
      <c r="G419" s="13"/>
      <c r="H419" s="13"/>
      <c r="I419" s="13"/>
      <c r="J419" s="13"/>
      <c r="K419" s="13"/>
      <c r="L419" s="242"/>
      <c r="M419" s="242"/>
      <c r="N419" s="242"/>
      <c r="O419" s="242"/>
      <c r="P419" s="242"/>
      <c r="Q419" s="242"/>
      <c r="R419" s="242"/>
      <c r="S419" s="242"/>
      <c r="T419" s="242"/>
      <c r="U419" s="242"/>
      <c r="V419" s="242"/>
      <c r="W419" s="242"/>
      <c r="X419" s="242"/>
      <c r="Y419" s="242"/>
      <c r="Z419" s="242"/>
    </row>
    <row r="420">
      <c r="A420" s="340"/>
      <c r="B420" s="242"/>
      <c r="C420" s="242"/>
      <c r="D420" s="242"/>
      <c r="E420" s="13"/>
      <c r="F420" s="13"/>
      <c r="G420" s="13"/>
      <c r="H420" s="13"/>
      <c r="I420" s="13"/>
      <c r="J420" s="13"/>
      <c r="K420" s="13"/>
      <c r="L420" s="242"/>
      <c r="M420" s="242"/>
      <c r="N420" s="242"/>
      <c r="O420" s="242"/>
      <c r="P420" s="242"/>
      <c r="Q420" s="242"/>
      <c r="R420" s="242"/>
      <c r="S420" s="242"/>
      <c r="T420" s="242"/>
      <c r="U420" s="242"/>
      <c r="V420" s="242"/>
      <c r="W420" s="242"/>
      <c r="X420" s="242"/>
      <c r="Y420" s="242"/>
      <c r="Z420" s="242"/>
    </row>
    <row r="421">
      <c r="A421" s="340"/>
      <c r="B421" s="242"/>
      <c r="C421" s="242"/>
      <c r="D421" s="242"/>
      <c r="E421" s="13"/>
      <c r="F421" s="13"/>
      <c r="G421" s="13"/>
      <c r="H421" s="13"/>
      <c r="I421" s="13"/>
      <c r="J421" s="13"/>
      <c r="K421" s="13"/>
      <c r="L421" s="242"/>
      <c r="M421" s="242"/>
      <c r="N421" s="242"/>
      <c r="O421" s="242"/>
      <c r="P421" s="242"/>
      <c r="Q421" s="242"/>
      <c r="R421" s="242"/>
      <c r="S421" s="242"/>
      <c r="T421" s="242"/>
      <c r="U421" s="242"/>
      <c r="V421" s="242"/>
      <c r="W421" s="242"/>
      <c r="X421" s="242"/>
      <c r="Y421" s="242"/>
      <c r="Z421" s="242"/>
    </row>
    <row r="422">
      <c r="A422" s="340"/>
      <c r="B422" s="242"/>
      <c r="C422" s="242"/>
      <c r="D422" s="242"/>
      <c r="E422" s="13"/>
      <c r="F422" s="13"/>
      <c r="G422" s="13"/>
      <c r="H422" s="13"/>
      <c r="I422" s="13"/>
      <c r="J422" s="13"/>
      <c r="K422" s="13"/>
      <c r="L422" s="242"/>
      <c r="M422" s="242"/>
      <c r="N422" s="242"/>
      <c r="O422" s="242"/>
      <c r="P422" s="242"/>
      <c r="Q422" s="242"/>
      <c r="R422" s="242"/>
      <c r="S422" s="242"/>
      <c r="T422" s="242"/>
      <c r="U422" s="242"/>
      <c r="V422" s="242"/>
      <c r="W422" s="242"/>
      <c r="X422" s="242"/>
      <c r="Y422" s="242"/>
      <c r="Z422" s="242"/>
    </row>
    <row r="423">
      <c r="A423" s="340"/>
      <c r="B423" s="242"/>
      <c r="C423" s="242"/>
      <c r="D423" s="242"/>
      <c r="E423" s="13"/>
      <c r="F423" s="13"/>
      <c r="G423" s="13"/>
      <c r="H423" s="13"/>
      <c r="I423" s="13"/>
      <c r="J423" s="13"/>
      <c r="K423" s="13"/>
      <c r="L423" s="242"/>
      <c r="M423" s="242"/>
      <c r="N423" s="242"/>
      <c r="O423" s="242"/>
      <c r="P423" s="242"/>
      <c r="Q423" s="242"/>
      <c r="R423" s="242"/>
      <c r="S423" s="242"/>
      <c r="T423" s="242"/>
      <c r="U423" s="242"/>
      <c r="V423" s="242"/>
      <c r="W423" s="242"/>
      <c r="X423" s="242"/>
      <c r="Y423" s="242"/>
      <c r="Z423" s="242"/>
    </row>
    <row r="424">
      <c r="A424" s="340"/>
      <c r="B424" s="242"/>
      <c r="C424" s="242"/>
      <c r="D424" s="242"/>
      <c r="E424" s="13"/>
      <c r="F424" s="13"/>
      <c r="G424" s="13"/>
      <c r="H424" s="13"/>
      <c r="I424" s="13"/>
      <c r="J424" s="13"/>
      <c r="K424" s="13"/>
      <c r="L424" s="242"/>
      <c r="M424" s="242"/>
      <c r="N424" s="242"/>
      <c r="O424" s="242"/>
      <c r="P424" s="242"/>
      <c r="Q424" s="242"/>
      <c r="R424" s="242"/>
      <c r="S424" s="242"/>
      <c r="T424" s="242"/>
      <c r="U424" s="242"/>
      <c r="V424" s="242"/>
      <c r="W424" s="242"/>
      <c r="X424" s="242"/>
      <c r="Y424" s="242"/>
      <c r="Z424" s="242"/>
    </row>
    <row r="425">
      <c r="A425" s="340"/>
      <c r="B425" s="242"/>
      <c r="C425" s="242"/>
      <c r="D425" s="242"/>
      <c r="E425" s="13"/>
      <c r="F425" s="13"/>
      <c r="G425" s="13"/>
      <c r="H425" s="13"/>
      <c r="I425" s="13"/>
      <c r="J425" s="13"/>
      <c r="K425" s="13"/>
      <c r="L425" s="242"/>
      <c r="M425" s="242"/>
      <c r="N425" s="242"/>
      <c r="O425" s="242"/>
      <c r="P425" s="242"/>
      <c r="Q425" s="242"/>
      <c r="R425" s="242"/>
      <c r="S425" s="242"/>
      <c r="T425" s="242"/>
      <c r="U425" s="242"/>
      <c r="V425" s="242"/>
      <c r="W425" s="242"/>
      <c r="X425" s="242"/>
      <c r="Y425" s="242"/>
      <c r="Z425" s="242"/>
    </row>
    <row r="426">
      <c r="A426" s="340"/>
      <c r="B426" s="242"/>
      <c r="C426" s="242"/>
      <c r="D426" s="242"/>
      <c r="E426" s="13"/>
      <c r="F426" s="13"/>
      <c r="G426" s="13"/>
      <c r="H426" s="13"/>
      <c r="I426" s="13"/>
      <c r="J426" s="13"/>
      <c r="K426" s="13"/>
      <c r="L426" s="242"/>
      <c r="M426" s="242"/>
      <c r="N426" s="242"/>
      <c r="O426" s="242"/>
      <c r="P426" s="242"/>
      <c r="Q426" s="242"/>
      <c r="R426" s="242"/>
      <c r="S426" s="242"/>
      <c r="T426" s="242"/>
      <c r="U426" s="242"/>
      <c r="V426" s="242"/>
      <c r="W426" s="242"/>
      <c r="X426" s="242"/>
      <c r="Y426" s="242"/>
      <c r="Z426" s="242"/>
    </row>
    <row r="427">
      <c r="A427" s="340"/>
      <c r="B427" s="242"/>
      <c r="C427" s="242"/>
      <c r="D427" s="242"/>
      <c r="E427" s="13"/>
      <c r="F427" s="13"/>
      <c r="G427" s="13"/>
      <c r="H427" s="13"/>
      <c r="I427" s="13"/>
      <c r="J427" s="13"/>
      <c r="K427" s="13"/>
      <c r="L427" s="242"/>
      <c r="M427" s="242"/>
      <c r="N427" s="242"/>
      <c r="O427" s="242"/>
      <c r="P427" s="242"/>
      <c r="Q427" s="242"/>
      <c r="R427" s="242"/>
      <c r="S427" s="242"/>
      <c r="T427" s="242"/>
      <c r="U427" s="242"/>
      <c r="V427" s="242"/>
      <c r="W427" s="242"/>
      <c r="X427" s="242"/>
      <c r="Y427" s="242"/>
      <c r="Z427" s="242"/>
    </row>
    <row r="428">
      <c r="A428" s="340"/>
      <c r="B428" s="242"/>
      <c r="C428" s="242"/>
      <c r="D428" s="242"/>
      <c r="E428" s="13"/>
      <c r="F428" s="13"/>
      <c r="G428" s="13"/>
      <c r="H428" s="13"/>
      <c r="I428" s="13"/>
      <c r="J428" s="13"/>
      <c r="K428" s="13"/>
      <c r="L428" s="242"/>
      <c r="M428" s="242"/>
      <c r="N428" s="242"/>
      <c r="O428" s="242"/>
      <c r="P428" s="242"/>
      <c r="Q428" s="242"/>
      <c r="R428" s="242"/>
      <c r="S428" s="242"/>
      <c r="T428" s="242"/>
      <c r="U428" s="242"/>
      <c r="V428" s="242"/>
      <c r="W428" s="242"/>
      <c r="X428" s="242"/>
      <c r="Y428" s="242"/>
      <c r="Z428" s="242"/>
    </row>
    <row r="429">
      <c r="A429" s="340"/>
      <c r="B429" s="242"/>
      <c r="C429" s="242"/>
      <c r="D429" s="242"/>
      <c r="E429" s="13"/>
      <c r="F429" s="13"/>
      <c r="G429" s="13"/>
      <c r="H429" s="13"/>
      <c r="I429" s="13"/>
      <c r="J429" s="13"/>
      <c r="K429" s="13"/>
      <c r="L429" s="242"/>
      <c r="M429" s="242"/>
      <c r="N429" s="242"/>
      <c r="O429" s="242"/>
      <c r="P429" s="242"/>
      <c r="Q429" s="242"/>
      <c r="R429" s="242"/>
      <c r="S429" s="242"/>
      <c r="T429" s="242"/>
      <c r="U429" s="242"/>
      <c r="V429" s="242"/>
      <c r="W429" s="242"/>
      <c r="X429" s="242"/>
      <c r="Y429" s="242"/>
      <c r="Z429" s="242"/>
    </row>
    <row r="430">
      <c r="A430" s="340"/>
      <c r="B430" s="242"/>
      <c r="C430" s="242"/>
      <c r="D430" s="242"/>
      <c r="E430" s="13"/>
      <c r="F430" s="13"/>
      <c r="G430" s="13"/>
      <c r="H430" s="13"/>
      <c r="I430" s="13"/>
      <c r="J430" s="13"/>
      <c r="K430" s="13"/>
      <c r="L430" s="242"/>
      <c r="M430" s="242"/>
      <c r="N430" s="242"/>
      <c r="O430" s="242"/>
      <c r="P430" s="242"/>
      <c r="Q430" s="242"/>
      <c r="R430" s="242"/>
      <c r="S430" s="242"/>
      <c r="T430" s="242"/>
      <c r="U430" s="242"/>
      <c r="V430" s="242"/>
      <c r="W430" s="242"/>
      <c r="X430" s="242"/>
      <c r="Y430" s="242"/>
      <c r="Z430" s="242"/>
    </row>
    <row r="431">
      <c r="A431" s="340"/>
      <c r="B431" s="242"/>
      <c r="C431" s="242"/>
      <c r="D431" s="242"/>
      <c r="E431" s="13"/>
      <c r="F431" s="13"/>
      <c r="G431" s="13"/>
      <c r="H431" s="13"/>
      <c r="I431" s="13"/>
      <c r="J431" s="13"/>
      <c r="K431" s="13"/>
      <c r="L431" s="242"/>
      <c r="M431" s="242"/>
      <c r="N431" s="242"/>
      <c r="O431" s="242"/>
      <c r="P431" s="242"/>
      <c r="Q431" s="242"/>
      <c r="R431" s="242"/>
      <c r="S431" s="242"/>
      <c r="T431" s="242"/>
      <c r="U431" s="242"/>
      <c r="V431" s="242"/>
      <c r="W431" s="242"/>
      <c r="X431" s="242"/>
      <c r="Y431" s="242"/>
      <c r="Z431" s="242"/>
    </row>
    <row r="432">
      <c r="A432" s="340"/>
      <c r="B432" s="242"/>
      <c r="C432" s="242"/>
      <c r="D432" s="242"/>
      <c r="E432" s="13"/>
      <c r="F432" s="13"/>
      <c r="G432" s="13"/>
      <c r="H432" s="13"/>
      <c r="I432" s="13"/>
      <c r="J432" s="13"/>
      <c r="K432" s="13"/>
      <c r="L432" s="242"/>
      <c r="M432" s="242"/>
      <c r="N432" s="242"/>
      <c r="O432" s="242"/>
      <c r="P432" s="242"/>
      <c r="Q432" s="242"/>
      <c r="R432" s="242"/>
      <c r="S432" s="242"/>
      <c r="T432" s="242"/>
      <c r="U432" s="242"/>
      <c r="V432" s="242"/>
      <c r="W432" s="242"/>
      <c r="X432" s="242"/>
      <c r="Y432" s="242"/>
      <c r="Z432" s="242"/>
    </row>
    <row r="433">
      <c r="A433" s="340"/>
      <c r="B433" s="242"/>
      <c r="C433" s="242"/>
      <c r="D433" s="242"/>
      <c r="E433" s="13"/>
      <c r="F433" s="13"/>
      <c r="G433" s="13"/>
      <c r="H433" s="13"/>
      <c r="I433" s="13"/>
      <c r="J433" s="13"/>
      <c r="K433" s="13"/>
      <c r="L433" s="242"/>
      <c r="M433" s="242"/>
      <c r="N433" s="242"/>
      <c r="O433" s="242"/>
      <c r="P433" s="242"/>
      <c r="Q433" s="242"/>
      <c r="R433" s="242"/>
      <c r="S433" s="242"/>
      <c r="T433" s="242"/>
      <c r="U433" s="242"/>
      <c r="V433" s="242"/>
      <c r="W433" s="242"/>
      <c r="X433" s="242"/>
      <c r="Y433" s="242"/>
      <c r="Z433" s="242"/>
    </row>
    <row r="434">
      <c r="A434" s="340"/>
      <c r="B434" s="242"/>
      <c r="C434" s="242"/>
      <c r="D434" s="242"/>
      <c r="E434" s="13"/>
      <c r="F434" s="13"/>
      <c r="G434" s="13"/>
      <c r="H434" s="13"/>
      <c r="I434" s="13"/>
      <c r="J434" s="13"/>
      <c r="K434" s="13"/>
      <c r="L434" s="242"/>
      <c r="M434" s="242"/>
      <c r="N434" s="242"/>
      <c r="O434" s="242"/>
      <c r="P434" s="242"/>
      <c r="Q434" s="242"/>
      <c r="R434" s="242"/>
      <c r="S434" s="242"/>
      <c r="T434" s="242"/>
      <c r="U434" s="242"/>
      <c r="V434" s="242"/>
      <c r="W434" s="242"/>
      <c r="X434" s="242"/>
      <c r="Y434" s="242"/>
      <c r="Z434" s="242"/>
    </row>
    <row r="435">
      <c r="A435" s="340"/>
      <c r="B435" s="242"/>
      <c r="C435" s="242"/>
      <c r="D435" s="242"/>
      <c r="E435" s="13"/>
      <c r="F435" s="13"/>
      <c r="G435" s="13"/>
      <c r="H435" s="13"/>
      <c r="I435" s="13"/>
      <c r="J435" s="13"/>
      <c r="K435" s="13"/>
      <c r="L435" s="242"/>
      <c r="M435" s="242"/>
      <c r="N435" s="242"/>
      <c r="O435" s="242"/>
      <c r="P435" s="242"/>
      <c r="Q435" s="242"/>
      <c r="R435" s="242"/>
      <c r="S435" s="242"/>
      <c r="T435" s="242"/>
      <c r="U435" s="242"/>
      <c r="V435" s="242"/>
      <c r="W435" s="242"/>
      <c r="X435" s="242"/>
      <c r="Y435" s="242"/>
      <c r="Z435" s="242"/>
    </row>
    <row r="436">
      <c r="A436" s="340"/>
      <c r="B436" s="242"/>
      <c r="C436" s="242"/>
      <c r="D436" s="242"/>
      <c r="E436" s="13"/>
      <c r="F436" s="13"/>
      <c r="G436" s="13"/>
      <c r="H436" s="13"/>
      <c r="I436" s="13"/>
      <c r="J436" s="13"/>
      <c r="K436" s="13"/>
      <c r="L436" s="242"/>
      <c r="M436" s="242"/>
      <c r="N436" s="242"/>
      <c r="O436" s="242"/>
      <c r="P436" s="242"/>
      <c r="Q436" s="242"/>
      <c r="R436" s="242"/>
      <c r="S436" s="242"/>
      <c r="T436" s="242"/>
      <c r="U436" s="242"/>
      <c r="V436" s="242"/>
      <c r="W436" s="242"/>
      <c r="X436" s="242"/>
      <c r="Y436" s="242"/>
      <c r="Z436" s="242"/>
    </row>
    <row r="437">
      <c r="A437" s="340"/>
      <c r="B437" s="242"/>
      <c r="C437" s="242"/>
      <c r="D437" s="242"/>
      <c r="E437" s="13"/>
      <c r="F437" s="13"/>
      <c r="G437" s="13"/>
      <c r="H437" s="13"/>
      <c r="I437" s="13"/>
      <c r="J437" s="13"/>
      <c r="K437" s="13"/>
      <c r="L437" s="242"/>
      <c r="M437" s="242"/>
      <c r="N437" s="242"/>
      <c r="O437" s="242"/>
      <c r="P437" s="242"/>
      <c r="Q437" s="242"/>
      <c r="R437" s="242"/>
      <c r="S437" s="242"/>
      <c r="T437" s="242"/>
      <c r="U437" s="242"/>
      <c r="V437" s="242"/>
      <c r="W437" s="242"/>
      <c r="X437" s="242"/>
      <c r="Y437" s="242"/>
      <c r="Z437" s="242"/>
    </row>
    <row r="438">
      <c r="A438" s="340"/>
      <c r="B438" s="242"/>
      <c r="C438" s="242"/>
      <c r="D438" s="242"/>
      <c r="E438" s="13"/>
      <c r="F438" s="13"/>
      <c r="G438" s="13"/>
      <c r="H438" s="13"/>
      <c r="I438" s="13"/>
      <c r="J438" s="13"/>
      <c r="K438" s="13"/>
      <c r="L438" s="242"/>
      <c r="M438" s="242"/>
      <c r="N438" s="242"/>
      <c r="O438" s="242"/>
      <c r="P438" s="242"/>
      <c r="Q438" s="242"/>
      <c r="R438" s="242"/>
      <c r="S438" s="242"/>
      <c r="T438" s="242"/>
      <c r="U438" s="242"/>
      <c r="V438" s="242"/>
      <c r="W438" s="242"/>
      <c r="X438" s="242"/>
      <c r="Y438" s="242"/>
      <c r="Z438" s="242"/>
    </row>
    <row r="439">
      <c r="A439" s="340"/>
      <c r="B439" s="242"/>
      <c r="C439" s="242"/>
      <c r="D439" s="242"/>
      <c r="E439" s="13"/>
      <c r="F439" s="13"/>
      <c r="G439" s="13"/>
      <c r="H439" s="13"/>
      <c r="I439" s="13"/>
      <c r="J439" s="13"/>
      <c r="K439" s="13"/>
      <c r="L439" s="242"/>
      <c r="M439" s="242"/>
      <c r="N439" s="242"/>
      <c r="O439" s="242"/>
      <c r="P439" s="242"/>
      <c r="Q439" s="242"/>
      <c r="R439" s="242"/>
      <c r="S439" s="242"/>
      <c r="T439" s="242"/>
      <c r="U439" s="242"/>
      <c r="V439" s="242"/>
      <c r="W439" s="242"/>
      <c r="X439" s="242"/>
      <c r="Y439" s="242"/>
      <c r="Z439" s="242"/>
    </row>
    <row r="440">
      <c r="A440" s="340"/>
      <c r="B440" s="242"/>
      <c r="C440" s="242"/>
      <c r="D440" s="242"/>
      <c r="E440" s="13"/>
      <c r="F440" s="13"/>
      <c r="G440" s="13"/>
      <c r="H440" s="13"/>
      <c r="I440" s="13"/>
      <c r="J440" s="13"/>
      <c r="K440" s="13"/>
      <c r="L440" s="242"/>
      <c r="M440" s="242"/>
      <c r="N440" s="242"/>
      <c r="O440" s="242"/>
      <c r="P440" s="242"/>
      <c r="Q440" s="242"/>
      <c r="R440" s="242"/>
      <c r="S440" s="242"/>
      <c r="T440" s="242"/>
      <c r="U440" s="242"/>
      <c r="V440" s="242"/>
      <c r="W440" s="242"/>
      <c r="X440" s="242"/>
      <c r="Y440" s="242"/>
      <c r="Z440" s="242"/>
    </row>
    <row r="441">
      <c r="A441" s="340"/>
      <c r="B441" s="242"/>
      <c r="C441" s="242"/>
      <c r="D441" s="242"/>
      <c r="E441" s="13"/>
      <c r="F441" s="13"/>
      <c r="G441" s="13"/>
      <c r="H441" s="13"/>
      <c r="I441" s="13"/>
      <c r="J441" s="13"/>
      <c r="K441" s="13"/>
      <c r="L441" s="242"/>
      <c r="M441" s="242"/>
      <c r="N441" s="242"/>
      <c r="O441" s="242"/>
      <c r="P441" s="242"/>
      <c r="Q441" s="242"/>
      <c r="R441" s="242"/>
      <c r="S441" s="242"/>
      <c r="T441" s="242"/>
      <c r="U441" s="242"/>
      <c r="V441" s="242"/>
      <c r="W441" s="242"/>
      <c r="X441" s="242"/>
      <c r="Y441" s="242"/>
      <c r="Z441" s="242"/>
    </row>
    <row r="442">
      <c r="A442" s="340"/>
      <c r="B442" s="242"/>
      <c r="C442" s="242"/>
      <c r="D442" s="242"/>
      <c r="E442" s="13"/>
      <c r="F442" s="13"/>
      <c r="G442" s="13"/>
      <c r="H442" s="13"/>
      <c r="I442" s="13"/>
      <c r="J442" s="13"/>
      <c r="K442" s="13"/>
      <c r="L442" s="242"/>
      <c r="M442" s="242"/>
      <c r="N442" s="242"/>
      <c r="O442" s="242"/>
      <c r="P442" s="242"/>
      <c r="Q442" s="242"/>
      <c r="R442" s="242"/>
      <c r="S442" s="242"/>
      <c r="T442" s="242"/>
      <c r="U442" s="242"/>
      <c r="V442" s="242"/>
      <c r="W442" s="242"/>
      <c r="X442" s="242"/>
      <c r="Y442" s="242"/>
      <c r="Z442" s="242"/>
    </row>
    <row r="443">
      <c r="A443" s="340"/>
      <c r="B443" s="242"/>
      <c r="C443" s="242"/>
      <c r="D443" s="242"/>
      <c r="E443" s="13"/>
      <c r="F443" s="13"/>
      <c r="G443" s="13"/>
      <c r="H443" s="13"/>
      <c r="I443" s="13"/>
      <c r="J443" s="13"/>
      <c r="K443" s="13"/>
      <c r="L443" s="242"/>
      <c r="M443" s="242"/>
      <c r="N443" s="242"/>
      <c r="O443" s="242"/>
      <c r="P443" s="242"/>
      <c r="Q443" s="242"/>
      <c r="R443" s="242"/>
      <c r="S443" s="242"/>
      <c r="T443" s="242"/>
      <c r="U443" s="242"/>
      <c r="V443" s="242"/>
      <c r="W443" s="242"/>
      <c r="X443" s="242"/>
      <c r="Y443" s="242"/>
      <c r="Z443" s="242"/>
    </row>
    <row r="444">
      <c r="A444" s="340"/>
      <c r="B444" s="242"/>
      <c r="C444" s="242"/>
      <c r="D444" s="242"/>
      <c r="E444" s="13"/>
      <c r="F444" s="13"/>
      <c r="G444" s="13"/>
      <c r="H444" s="13"/>
      <c r="I444" s="13"/>
      <c r="J444" s="13"/>
      <c r="K444" s="13"/>
      <c r="L444" s="242"/>
      <c r="M444" s="242"/>
      <c r="N444" s="242"/>
      <c r="O444" s="242"/>
      <c r="P444" s="242"/>
      <c r="Q444" s="242"/>
      <c r="R444" s="242"/>
      <c r="S444" s="242"/>
      <c r="T444" s="242"/>
      <c r="U444" s="242"/>
      <c r="V444" s="242"/>
      <c r="W444" s="242"/>
      <c r="X444" s="242"/>
      <c r="Y444" s="242"/>
      <c r="Z444" s="242"/>
    </row>
    <row r="445">
      <c r="A445" s="340"/>
      <c r="B445" s="242"/>
      <c r="C445" s="242"/>
      <c r="D445" s="242"/>
      <c r="E445" s="13"/>
      <c r="F445" s="13"/>
      <c r="G445" s="13"/>
      <c r="H445" s="13"/>
      <c r="I445" s="13"/>
      <c r="J445" s="13"/>
      <c r="K445" s="13"/>
      <c r="L445" s="242"/>
      <c r="M445" s="242"/>
      <c r="N445" s="242"/>
      <c r="O445" s="242"/>
      <c r="P445" s="242"/>
      <c r="Q445" s="242"/>
      <c r="R445" s="242"/>
      <c r="S445" s="242"/>
      <c r="T445" s="242"/>
      <c r="U445" s="242"/>
      <c r="V445" s="242"/>
      <c r="W445" s="242"/>
      <c r="X445" s="242"/>
      <c r="Y445" s="242"/>
      <c r="Z445" s="242"/>
    </row>
    <row r="446">
      <c r="A446" s="340"/>
      <c r="B446" s="242"/>
      <c r="C446" s="242"/>
      <c r="D446" s="242"/>
      <c r="E446" s="13"/>
      <c r="F446" s="13"/>
      <c r="G446" s="13"/>
      <c r="H446" s="13"/>
      <c r="I446" s="13"/>
      <c r="J446" s="13"/>
      <c r="K446" s="13"/>
      <c r="L446" s="242"/>
      <c r="M446" s="242"/>
      <c r="N446" s="242"/>
      <c r="O446" s="242"/>
      <c r="P446" s="242"/>
      <c r="Q446" s="242"/>
      <c r="R446" s="242"/>
      <c r="S446" s="242"/>
      <c r="T446" s="242"/>
      <c r="U446" s="242"/>
      <c r="V446" s="242"/>
      <c r="W446" s="242"/>
      <c r="X446" s="242"/>
      <c r="Y446" s="242"/>
      <c r="Z446" s="242"/>
    </row>
    <row r="447">
      <c r="A447" s="340"/>
      <c r="B447" s="242"/>
      <c r="C447" s="242"/>
      <c r="D447" s="242"/>
      <c r="E447" s="13"/>
      <c r="F447" s="13"/>
      <c r="G447" s="13"/>
      <c r="H447" s="13"/>
      <c r="I447" s="13"/>
      <c r="J447" s="13"/>
      <c r="K447" s="13"/>
      <c r="L447" s="242"/>
      <c r="M447" s="242"/>
      <c r="N447" s="242"/>
      <c r="O447" s="242"/>
      <c r="P447" s="242"/>
      <c r="Q447" s="242"/>
      <c r="R447" s="242"/>
      <c r="S447" s="242"/>
      <c r="T447" s="242"/>
      <c r="U447" s="242"/>
      <c r="V447" s="242"/>
      <c r="W447" s="242"/>
      <c r="X447" s="242"/>
      <c r="Y447" s="242"/>
      <c r="Z447" s="242"/>
    </row>
    <row r="448">
      <c r="A448" s="340"/>
      <c r="B448" s="242"/>
      <c r="C448" s="242"/>
      <c r="D448" s="242"/>
      <c r="E448" s="13"/>
      <c r="F448" s="13"/>
      <c r="G448" s="13"/>
      <c r="H448" s="13"/>
      <c r="I448" s="13"/>
      <c r="J448" s="13"/>
      <c r="K448" s="13"/>
      <c r="L448" s="242"/>
      <c r="M448" s="242"/>
      <c r="N448" s="242"/>
      <c r="O448" s="242"/>
      <c r="P448" s="242"/>
      <c r="Q448" s="242"/>
      <c r="R448" s="242"/>
      <c r="S448" s="242"/>
      <c r="T448" s="242"/>
      <c r="U448" s="242"/>
      <c r="V448" s="242"/>
      <c r="W448" s="242"/>
      <c r="X448" s="242"/>
      <c r="Y448" s="242"/>
      <c r="Z448" s="242"/>
    </row>
    <row r="449">
      <c r="A449" s="340"/>
      <c r="B449" s="242"/>
      <c r="C449" s="242"/>
      <c r="D449" s="242"/>
      <c r="E449" s="13"/>
      <c r="F449" s="13"/>
      <c r="G449" s="13"/>
      <c r="H449" s="13"/>
      <c r="I449" s="13"/>
      <c r="J449" s="13"/>
      <c r="K449" s="13"/>
      <c r="L449" s="242"/>
      <c r="M449" s="242"/>
      <c r="N449" s="242"/>
      <c r="O449" s="242"/>
      <c r="P449" s="242"/>
      <c r="Q449" s="242"/>
      <c r="R449" s="242"/>
      <c r="S449" s="242"/>
      <c r="T449" s="242"/>
      <c r="U449" s="242"/>
      <c r="V449" s="242"/>
      <c r="W449" s="242"/>
      <c r="X449" s="242"/>
      <c r="Y449" s="242"/>
      <c r="Z449" s="242"/>
    </row>
    <row r="450">
      <c r="A450" s="340"/>
      <c r="B450" s="242"/>
      <c r="C450" s="242"/>
      <c r="D450" s="242"/>
      <c r="E450" s="13"/>
      <c r="F450" s="13"/>
      <c r="G450" s="13"/>
      <c r="H450" s="13"/>
      <c r="I450" s="13"/>
      <c r="J450" s="13"/>
      <c r="K450" s="13"/>
      <c r="L450" s="242"/>
      <c r="M450" s="242"/>
      <c r="N450" s="242"/>
      <c r="O450" s="242"/>
      <c r="P450" s="242"/>
      <c r="Q450" s="242"/>
      <c r="R450" s="242"/>
      <c r="S450" s="242"/>
      <c r="T450" s="242"/>
      <c r="U450" s="242"/>
      <c r="V450" s="242"/>
      <c r="W450" s="242"/>
      <c r="X450" s="242"/>
      <c r="Y450" s="242"/>
      <c r="Z450" s="242"/>
    </row>
    <row r="451">
      <c r="A451" s="340"/>
      <c r="B451" s="242"/>
      <c r="C451" s="242"/>
      <c r="D451" s="242"/>
      <c r="E451" s="13"/>
      <c r="F451" s="13"/>
      <c r="G451" s="13"/>
      <c r="H451" s="13"/>
      <c r="I451" s="13"/>
      <c r="J451" s="13"/>
      <c r="K451" s="13"/>
      <c r="L451" s="242"/>
      <c r="M451" s="242"/>
      <c r="N451" s="242"/>
      <c r="O451" s="242"/>
      <c r="P451" s="242"/>
      <c r="Q451" s="242"/>
      <c r="R451" s="242"/>
      <c r="S451" s="242"/>
      <c r="T451" s="242"/>
      <c r="U451" s="242"/>
      <c r="V451" s="242"/>
      <c r="W451" s="242"/>
      <c r="X451" s="242"/>
      <c r="Y451" s="242"/>
      <c r="Z451" s="242"/>
    </row>
    <row r="452">
      <c r="A452" s="340"/>
      <c r="B452" s="242"/>
      <c r="C452" s="242"/>
      <c r="D452" s="242"/>
      <c r="E452" s="13"/>
      <c r="F452" s="13"/>
      <c r="G452" s="13"/>
      <c r="H452" s="13"/>
      <c r="I452" s="13"/>
      <c r="J452" s="13"/>
      <c r="K452" s="13"/>
      <c r="L452" s="242"/>
      <c r="M452" s="242"/>
      <c r="N452" s="242"/>
      <c r="O452" s="242"/>
      <c r="P452" s="242"/>
      <c r="Q452" s="242"/>
      <c r="R452" s="242"/>
      <c r="S452" s="242"/>
      <c r="T452" s="242"/>
      <c r="U452" s="242"/>
      <c r="V452" s="242"/>
      <c r="W452" s="242"/>
      <c r="X452" s="242"/>
      <c r="Y452" s="242"/>
      <c r="Z452" s="242"/>
    </row>
    <row r="453">
      <c r="A453" s="340"/>
      <c r="B453" s="242"/>
      <c r="C453" s="242"/>
      <c r="D453" s="242"/>
      <c r="E453" s="13"/>
      <c r="F453" s="13"/>
      <c r="G453" s="13"/>
      <c r="H453" s="13"/>
      <c r="I453" s="13"/>
      <c r="J453" s="13"/>
      <c r="K453" s="13"/>
      <c r="L453" s="242"/>
      <c r="M453" s="242"/>
      <c r="N453" s="242"/>
      <c r="O453" s="242"/>
      <c r="P453" s="242"/>
      <c r="Q453" s="242"/>
      <c r="R453" s="242"/>
      <c r="S453" s="242"/>
      <c r="T453" s="242"/>
      <c r="U453" s="242"/>
      <c r="V453" s="242"/>
      <c r="W453" s="242"/>
      <c r="X453" s="242"/>
      <c r="Y453" s="242"/>
      <c r="Z453" s="242"/>
    </row>
    <row r="454">
      <c r="A454" s="340"/>
      <c r="B454" s="242"/>
      <c r="C454" s="242"/>
      <c r="D454" s="242"/>
      <c r="E454" s="13"/>
      <c r="F454" s="13"/>
      <c r="G454" s="13"/>
      <c r="H454" s="13"/>
      <c r="I454" s="13"/>
      <c r="J454" s="13"/>
      <c r="K454" s="13"/>
      <c r="L454" s="242"/>
      <c r="M454" s="242"/>
      <c r="N454" s="242"/>
      <c r="O454" s="242"/>
      <c r="P454" s="242"/>
      <c r="Q454" s="242"/>
      <c r="R454" s="242"/>
      <c r="S454" s="242"/>
      <c r="T454" s="242"/>
      <c r="U454" s="242"/>
      <c r="V454" s="242"/>
      <c r="W454" s="242"/>
      <c r="X454" s="242"/>
      <c r="Y454" s="242"/>
      <c r="Z454" s="242"/>
    </row>
    <row r="455">
      <c r="A455" s="340"/>
      <c r="B455" s="242"/>
      <c r="C455" s="242"/>
      <c r="D455" s="242"/>
      <c r="E455" s="13"/>
      <c r="F455" s="13"/>
      <c r="G455" s="13"/>
      <c r="H455" s="13"/>
      <c r="I455" s="13"/>
      <c r="J455" s="13"/>
      <c r="K455" s="13"/>
      <c r="L455" s="242"/>
      <c r="M455" s="242"/>
      <c r="N455" s="242"/>
      <c r="O455" s="242"/>
      <c r="P455" s="242"/>
      <c r="Q455" s="242"/>
      <c r="R455" s="242"/>
      <c r="S455" s="242"/>
      <c r="T455" s="242"/>
      <c r="U455" s="242"/>
      <c r="V455" s="242"/>
      <c r="W455" s="242"/>
      <c r="X455" s="242"/>
      <c r="Y455" s="242"/>
      <c r="Z455" s="242"/>
    </row>
    <row r="456">
      <c r="A456" s="340"/>
      <c r="B456" s="242"/>
      <c r="C456" s="242"/>
      <c r="D456" s="242"/>
      <c r="E456" s="13"/>
      <c r="F456" s="13"/>
      <c r="G456" s="13"/>
      <c r="H456" s="13"/>
      <c r="I456" s="13"/>
      <c r="J456" s="13"/>
      <c r="K456" s="13"/>
      <c r="L456" s="242"/>
      <c r="M456" s="242"/>
      <c r="N456" s="242"/>
      <c r="O456" s="242"/>
      <c r="P456" s="242"/>
      <c r="Q456" s="242"/>
      <c r="R456" s="242"/>
      <c r="S456" s="242"/>
      <c r="T456" s="242"/>
      <c r="U456" s="242"/>
      <c r="V456" s="242"/>
      <c r="W456" s="242"/>
      <c r="X456" s="242"/>
      <c r="Y456" s="242"/>
      <c r="Z456" s="242"/>
    </row>
    <row r="457">
      <c r="A457" s="340"/>
      <c r="B457" s="242"/>
      <c r="C457" s="242"/>
      <c r="D457" s="242"/>
      <c r="E457" s="13"/>
      <c r="F457" s="13"/>
      <c r="G457" s="13"/>
      <c r="H457" s="13"/>
      <c r="I457" s="13"/>
      <c r="J457" s="13"/>
      <c r="K457" s="13"/>
      <c r="L457" s="242"/>
      <c r="M457" s="242"/>
      <c r="N457" s="242"/>
      <c r="O457" s="242"/>
      <c r="P457" s="242"/>
      <c r="Q457" s="242"/>
      <c r="R457" s="242"/>
      <c r="S457" s="242"/>
      <c r="T457" s="242"/>
      <c r="U457" s="242"/>
      <c r="V457" s="242"/>
      <c r="W457" s="242"/>
      <c r="X457" s="242"/>
      <c r="Y457" s="242"/>
      <c r="Z457" s="242"/>
    </row>
    <row r="458">
      <c r="A458" s="340"/>
      <c r="B458" s="242"/>
      <c r="C458" s="242"/>
      <c r="D458" s="242"/>
      <c r="E458" s="13"/>
      <c r="F458" s="13"/>
      <c r="G458" s="13"/>
      <c r="H458" s="13"/>
      <c r="I458" s="13"/>
      <c r="J458" s="13"/>
      <c r="K458" s="13"/>
      <c r="L458" s="242"/>
      <c r="M458" s="242"/>
      <c r="N458" s="242"/>
      <c r="O458" s="242"/>
      <c r="P458" s="242"/>
      <c r="Q458" s="242"/>
      <c r="R458" s="242"/>
      <c r="S458" s="242"/>
      <c r="T458" s="242"/>
      <c r="U458" s="242"/>
      <c r="V458" s="242"/>
      <c r="W458" s="242"/>
      <c r="X458" s="242"/>
      <c r="Y458" s="242"/>
      <c r="Z458" s="242"/>
    </row>
    <row r="459">
      <c r="A459" s="340"/>
      <c r="B459" s="242"/>
      <c r="C459" s="242"/>
      <c r="D459" s="242"/>
      <c r="E459" s="13"/>
      <c r="F459" s="13"/>
      <c r="G459" s="13"/>
      <c r="H459" s="13"/>
      <c r="I459" s="13"/>
      <c r="J459" s="13"/>
      <c r="K459" s="13"/>
      <c r="L459" s="242"/>
      <c r="M459" s="242"/>
      <c r="N459" s="242"/>
      <c r="O459" s="242"/>
      <c r="P459" s="242"/>
      <c r="Q459" s="242"/>
      <c r="R459" s="242"/>
      <c r="S459" s="242"/>
      <c r="T459" s="242"/>
      <c r="U459" s="242"/>
      <c r="V459" s="242"/>
      <c r="W459" s="242"/>
      <c r="X459" s="242"/>
      <c r="Y459" s="242"/>
      <c r="Z459" s="242"/>
    </row>
    <row r="460">
      <c r="A460" s="340"/>
      <c r="B460" s="242"/>
      <c r="C460" s="242"/>
      <c r="D460" s="242"/>
      <c r="E460" s="13"/>
      <c r="F460" s="13"/>
      <c r="G460" s="13"/>
      <c r="H460" s="13"/>
      <c r="I460" s="13"/>
      <c r="J460" s="13"/>
      <c r="K460" s="13"/>
      <c r="L460" s="242"/>
      <c r="M460" s="242"/>
      <c r="N460" s="242"/>
      <c r="O460" s="242"/>
      <c r="P460" s="242"/>
      <c r="Q460" s="242"/>
      <c r="R460" s="242"/>
      <c r="S460" s="242"/>
      <c r="T460" s="242"/>
      <c r="U460" s="242"/>
      <c r="V460" s="242"/>
      <c r="W460" s="242"/>
      <c r="X460" s="242"/>
      <c r="Y460" s="242"/>
      <c r="Z460" s="242"/>
    </row>
    <row r="461">
      <c r="A461" s="340"/>
      <c r="B461" s="242"/>
      <c r="C461" s="242"/>
      <c r="D461" s="242"/>
      <c r="E461" s="13"/>
      <c r="F461" s="13"/>
      <c r="G461" s="13"/>
      <c r="H461" s="13"/>
      <c r="I461" s="13"/>
      <c r="J461" s="13"/>
      <c r="K461" s="13"/>
      <c r="L461" s="242"/>
      <c r="M461" s="242"/>
      <c r="N461" s="242"/>
      <c r="O461" s="242"/>
      <c r="P461" s="242"/>
      <c r="Q461" s="242"/>
      <c r="R461" s="242"/>
      <c r="S461" s="242"/>
      <c r="T461" s="242"/>
      <c r="U461" s="242"/>
      <c r="V461" s="242"/>
      <c r="W461" s="242"/>
      <c r="X461" s="242"/>
      <c r="Y461" s="242"/>
      <c r="Z461" s="242"/>
    </row>
    <row r="462">
      <c r="A462" s="340"/>
      <c r="B462" s="242"/>
      <c r="C462" s="242"/>
      <c r="D462" s="242"/>
      <c r="E462" s="13"/>
      <c r="F462" s="13"/>
      <c r="G462" s="13"/>
      <c r="H462" s="13"/>
      <c r="I462" s="13"/>
      <c r="J462" s="13"/>
      <c r="K462" s="13"/>
      <c r="L462" s="242"/>
      <c r="M462" s="242"/>
      <c r="N462" s="242"/>
      <c r="O462" s="242"/>
      <c r="P462" s="242"/>
      <c r="Q462" s="242"/>
      <c r="R462" s="242"/>
      <c r="S462" s="242"/>
      <c r="T462" s="242"/>
      <c r="U462" s="242"/>
      <c r="V462" s="242"/>
      <c r="W462" s="242"/>
      <c r="X462" s="242"/>
      <c r="Y462" s="242"/>
      <c r="Z462" s="242"/>
    </row>
    <row r="463">
      <c r="A463" s="340"/>
      <c r="B463" s="242"/>
      <c r="C463" s="242"/>
      <c r="D463" s="242"/>
      <c r="E463" s="13"/>
      <c r="F463" s="13"/>
      <c r="G463" s="13"/>
      <c r="H463" s="13"/>
      <c r="I463" s="13"/>
      <c r="J463" s="13"/>
      <c r="K463" s="13"/>
      <c r="L463" s="242"/>
      <c r="M463" s="242"/>
      <c r="N463" s="242"/>
      <c r="O463" s="242"/>
      <c r="P463" s="242"/>
      <c r="Q463" s="242"/>
      <c r="R463" s="242"/>
      <c r="S463" s="242"/>
      <c r="T463" s="242"/>
      <c r="U463" s="242"/>
      <c r="V463" s="242"/>
      <c r="W463" s="242"/>
      <c r="X463" s="242"/>
      <c r="Y463" s="242"/>
      <c r="Z463" s="242"/>
    </row>
    <row r="464">
      <c r="A464" s="340"/>
      <c r="B464" s="242"/>
      <c r="C464" s="242"/>
      <c r="D464" s="242"/>
      <c r="E464" s="13"/>
      <c r="F464" s="13"/>
      <c r="G464" s="13"/>
      <c r="H464" s="13"/>
      <c r="I464" s="13"/>
      <c r="J464" s="13"/>
      <c r="K464" s="13"/>
      <c r="L464" s="242"/>
      <c r="M464" s="242"/>
      <c r="N464" s="242"/>
      <c r="O464" s="242"/>
      <c r="P464" s="242"/>
      <c r="Q464" s="242"/>
      <c r="R464" s="242"/>
      <c r="S464" s="242"/>
      <c r="T464" s="242"/>
      <c r="U464" s="242"/>
      <c r="V464" s="242"/>
      <c r="W464" s="242"/>
      <c r="X464" s="242"/>
      <c r="Y464" s="242"/>
      <c r="Z464" s="242"/>
    </row>
    <row r="465">
      <c r="A465" s="340"/>
      <c r="B465" s="242"/>
      <c r="C465" s="242"/>
      <c r="D465" s="242"/>
      <c r="E465" s="13"/>
      <c r="F465" s="13"/>
      <c r="G465" s="13"/>
      <c r="H465" s="13"/>
      <c r="I465" s="13"/>
      <c r="J465" s="13"/>
      <c r="K465" s="13"/>
      <c r="L465" s="242"/>
      <c r="M465" s="242"/>
      <c r="N465" s="242"/>
      <c r="O465" s="242"/>
      <c r="P465" s="242"/>
      <c r="Q465" s="242"/>
      <c r="R465" s="242"/>
      <c r="S465" s="242"/>
      <c r="T465" s="242"/>
      <c r="U465" s="242"/>
      <c r="V465" s="242"/>
      <c r="W465" s="242"/>
      <c r="X465" s="242"/>
      <c r="Y465" s="242"/>
      <c r="Z465" s="242"/>
    </row>
    <row r="466">
      <c r="A466" s="340"/>
      <c r="B466" s="242"/>
      <c r="C466" s="242"/>
      <c r="D466" s="242"/>
      <c r="E466" s="13"/>
      <c r="F466" s="13"/>
      <c r="G466" s="13"/>
      <c r="H466" s="13"/>
      <c r="I466" s="13"/>
      <c r="J466" s="13"/>
      <c r="K466" s="13"/>
      <c r="L466" s="242"/>
      <c r="M466" s="242"/>
      <c r="N466" s="242"/>
      <c r="O466" s="242"/>
      <c r="P466" s="242"/>
      <c r="Q466" s="242"/>
      <c r="R466" s="242"/>
      <c r="S466" s="242"/>
      <c r="T466" s="242"/>
      <c r="U466" s="242"/>
      <c r="V466" s="242"/>
      <c r="W466" s="242"/>
      <c r="X466" s="242"/>
      <c r="Y466" s="242"/>
      <c r="Z466" s="242"/>
    </row>
    <row r="467">
      <c r="A467" s="340"/>
      <c r="B467" s="242"/>
      <c r="C467" s="242"/>
      <c r="D467" s="242"/>
      <c r="E467" s="13"/>
      <c r="F467" s="13"/>
      <c r="G467" s="13"/>
      <c r="H467" s="13"/>
      <c r="I467" s="13"/>
      <c r="J467" s="13"/>
      <c r="K467" s="13"/>
      <c r="L467" s="242"/>
      <c r="M467" s="242"/>
      <c r="N467" s="242"/>
      <c r="O467" s="242"/>
      <c r="P467" s="242"/>
      <c r="Q467" s="242"/>
      <c r="R467" s="242"/>
      <c r="S467" s="242"/>
      <c r="T467" s="242"/>
      <c r="U467" s="242"/>
      <c r="V467" s="242"/>
      <c r="W467" s="242"/>
      <c r="X467" s="242"/>
      <c r="Y467" s="242"/>
      <c r="Z467" s="242"/>
    </row>
    <row r="468">
      <c r="A468" s="340"/>
      <c r="B468" s="242"/>
      <c r="C468" s="242"/>
      <c r="D468" s="242"/>
      <c r="E468" s="13"/>
      <c r="F468" s="13"/>
      <c r="G468" s="13"/>
      <c r="H468" s="13"/>
      <c r="I468" s="13"/>
      <c r="J468" s="13"/>
      <c r="K468" s="13"/>
      <c r="L468" s="242"/>
      <c r="M468" s="242"/>
      <c r="N468" s="242"/>
      <c r="O468" s="242"/>
      <c r="P468" s="242"/>
      <c r="Q468" s="242"/>
      <c r="R468" s="242"/>
      <c r="S468" s="242"/>
      <c r="T468" s="242"/>
      <c r="U468" s="242"/>
      <c r="V468" s="242"/>
      <c r="W468" s="242"/>
      <c r="X468" s="242"/>
      <c r="Y468" s="242"/>
      <c r="Z468" s="242"/>
    </row>
    <row r="469">
      <c r="A469" s="340"/>
      <c r="B469" s="242"/>
      <c r="C469" s="242"/>
      <c r="D469" s="242"/>
      <c r="E469" s="13"/>
      <c r="F469" s="13"/>
      <c r="G469" s="13"/>
      <c r="H469" s="13"/>
      <c r="I469" s="13"/>
      <c r="J469" s="13"/>
      <c r="K469" s="13"/>
      <c r="L469" s="242"/>
      <c r="M469" s="242"/>
      <c r="N469" s="242"/>
      <c r="O469" s="242"/>
      <c r="P469" s="242"/>
      <c r="Q469" s="242"/>
      <c r="R469" s="242"/>
      <c r="S469" s="242"/>
      <c r="T469" s="242"/>
      <c r="U469" s="242"/>
      <c r="V469" s="242"/>
      <c r="W469" s="242"/>
      <c r="X469" s="242"/>
      <c r="Y469" s="242"/>
      <c r="Z469" s="242"/>
    </row>
    <row r="470">
      <c r="A470" s="340"/>
      <c r="B470" s="242"/>
      <c r="C470" s="242"/>
      <c r="D470" s="242"/>
      <c r="E470" s="13"/>
      <c r="F470" s="13"/>
      <c r="G470" s="13"/>
      <c r="H470" s="13"/>
      <c r="I470" s="13"/>
      <c r="J470" s="13"/>
      <c r="K470" s="13"/>
      <c r="L470" s="242"/>
      <c r="M470" s="242"/>
      <c r="N470" s="242"/>
      <c r="O470" s="242"/>
      <c r="P470" s="242"/>
      <c r="Q470" s="242"/>
      <c r="R470" s="242"/>
      <c r="S470" s="242"/>
      <c r="T470" s="242"/>
      <c r="U470" s="242"/>
      <c r="V470" s="242"/>
      <c r="W470" s="242"/>
      <c r="X470" s="242"/>
      <c r="Y470" s="242"/>
      <c r="Z470" s="242"/>
    </row>
    <row r="471">
      <c r="A471" s="340"/>
      <c r="B471" s="242"/>
      <c r="C471" s="242"/>
      <c r="D471" s="242"/>
      <c r="E471" s="13"/>
      <c r="F471" s="13"/>
      <c r="G471" s="13"/>
      <c r="H471" s="13"/>
      <c r="I471" s="13"/>
      <c r="J471" s="13"/>
      <c r="K471" s="13"/>
      <c r="L471" s="242"/>
      <c r="M471" s="242"/>
      <c r="N471" s="242"/>
      <c r="O471" s="242"/>
      <c r="P471" s="242"/>
      <c r="Q471" s="242"/>
      <c r="R471" s="242"/>
      <c r="S471" s="242"/>
      <c r="T471" s="242"/>
      <c r="U471" s="242"/>
      <c r="V471" s="242"/>
      <c r="W471" s="242"/>
      <c r="X471" s="242"/>
      <c r="Y471" s="242"/>
      <c r="Z471" s="242"/>
    </row>
    <row r="472">
      <c r="A472" s="340"/>
      <c r="B472" s="242"/>
      <c r="C472" s="242"/>
      <c r="D472" s="242"/>
      <c r="E472" s="13"/>
      <c r="F472" s="13"/>
      <c r="G472" s="13"/>
      <c r="H472" s="13"/>
      <c r="I472" s="13"/>
      <c r="J472" s="13"/>
      <c r="K472" s="13"/>
      <c r="L472" s="242"/>
      <c r="M472" s="242"/>
      <c r="N472" s="242"/>
      <c r="O472" s="242"/>
      <c r="P472" s="242"/>
      <c r="Q472" s="242"/>
      <c r="R472" s="242"/>
      <c r="S472" s="242"/>
      <c r="T472" s="242"/>
      <c r="U472" s="242"/>
      <c r="V472" s="242"/>
      <c r="W472" s="242"/>
      <c r="X472" s="242"/>
      <c r="Y472" s="242"/>
      <c r="Z472" s="242"/>
    </row>
    <row r="473">
      <c r="A473" s="340"/>
      <c r="B473" s="242"/>
      <c r="C473" s="242"/>
      <c r="D473" s="242"/>
      <c r="E473" s="13"/>
      <c r="F473" s="13"/>
      <c r="G473" s="13"/>
      <c r="H473" s="13"/>
      <c r="I473" s="13"/>
      <c r="J473" s="13"/>
      <c r="K473" s="13"/>
      <c r="L473" s="242"/>
      <c r="M473" s="242"/>
      <c r="N473" s="242"/>
      <c r="O473" s="242"/>
      <c r="P473" s="242"/>
      <c r="Q473" s="242"/>
      <c r="R473" s="242"/>
      <c r="S473" s="242"/>
      <c r="T473" s="242"/>
      <c r="U473" s="242"/>
      <c r="V473" s="242"/>
      <c r="W473" s="242"/>
      <c r="X473" s="242"/>
      <c r="Y473" s="242"/>
      <c r="Z473" s="242"/>
    </row>
    <row r="474">
      <c r="A474" s="340"/>
      <c r="B474" s="242"/>
      <c r="C474" s="242"/>
      <c r="D474" s="242"/>
      <c r="E474" s="13"/>
      <c r="F474" s="13"/>
      <c r="G474" s="13"/>
      <c r="H474" s="13"/>
      <c r="I474" s="13"/>
      <c r="J474" s="13"/>
      <c r="K474" s="13"/>
      <c r="L474" s="242"/>
      <c r="M474" s="242"/>
      <c r="N474" s="242"/>
      <c r="O474" s="242"/>
      <c r="P474" s="242"/>
      <c r="Q474" s="242"/>
      <c r="R474" s="242"/>
      <c r="S474" s="242"/>
      <c r="T474" s="242"/>
      <c r="U474" s="242"/>
      <c r="V474" s="242"/>
      <c r="W474" s="242"/>
      <c r="X474" s="242"/>
      <c r="Y474" s="242"/>
      <c r="Z474" s="242"/>
    </row>
    <row r="475">
      <c r="A475" s="340"/>
      <c r="B475" s="242"/>
      <c r="C475" s="242"/>
      <c r="D475" s="242"/>
      <c r="E475" s="13"/>
      <c r="F475" s="13"/>
      <c r="G475" s="13"/>
      <c r="H475" s="13"/>
      <c r="I475" s="13"/>
      <c r="J475" s="13"/>
      <c r="K475" s="13"/>
      <c r="L475" s="242"/>
      <c r="M475" s="242"/>
      <c r="N475" s="242"/>
      <c r="O475" s="242"/>
      <c r="P475" s="242"/>
      <c r="Q475" s="242"/>
      <c r="R475" s="242"/>
      <c r="S475" s="242"/>
      <c r="T475" s="242"/>
      <c r="U475" s="242"/>
      <c r="V475" s="242"/>
      <c r="W475" s="242"/>
      <c r="X475" s="242"/>
      <c r="Y475" s="242"/>
      <c r="Z475" s="242"/>
    </row>
    <row r="476">
      <c r="A476" s="340"/>
      <c r="B476" s="242"/>
      <c r="C476" s="242"/>
      <c r="D476" s="242"/>
      <c r="E476" s="13"/>
      <c r="F476" s="13"/>
      <c r="G476" s="13"/>
      <c r="H476" s="13"/>
      <c r="I476" s="13"/>
      <c r="J476" s="13"/>
      <c r="K476" s="13"/>
      <c r="L476" s="242"/>
      <c r="M476" s="242"/>
      <c r="N476" s="242"/>
      <c r="O476" s="242"/>
      <c r="P476" s="242"/>
      <c r="Q476" s="242"/>
      <c r="R476" s="242"/>
      <c r="S476" s="242"/>
      <c r="T476" s="242"/>
      <c r="U476" s="242"/>
      <c r="V476" s="242"/>
      <c r="W476" s="242"/>
      <c r="X476" s="242"/>
      <c r="Y476" s="242"/>
      <c r="Z476" s="242"/>
    </row>
    <row r="477">
      <c r="A477" s="340"/>
      <c r="B477" s="242"/>
      <c r="C477" s="242"/>
      <c r="D477" s="242"/>
      <c r="E477" s="13"/>
      <c r="F477" s="13"/>
      <c r="G477" s="13"/>
      <c r="H477" s="13"/>
      <c r="I477" s="13"/>
      <c r="J477" s="13"/>
      <c r="K477" s="13"/>
      <c r="L477" s="242"/>
      <c r="M477" s="242"/>
      <c r="N477" s="242"/>
      <c r="O477" s="242"/>
      <c r="P477" s="242"/>
      <c r="Q477" s="242"/>
      <c r="R477" s="242"/>
      <c r="S477" s="242"/>
      <c r="T477" s="242"/>
      <c r="U477" s="242"/>
      <c r="V477" s="242"/>
      <c r="W477" s="242"/>
      <c r="X477" s="242"/>
      <c r="Y477" s="242"/>
      <c r="Z477" s="242"/>
    </row>
    <row r="478">
      <c r="A478" s="340"/>
      <c r="B478" s="242"/>
      <c r="C478" s="242"/>
      <c r="D478" s="242"/>
      <c r="E478" s="13"/>
      <c r="F478" s="13"/>
      <c r="G478" s="13"/>
      <c r="H478" s="13"/>
      <c r="I478" s="13"/>
      <c r="J478" s="13"/>
      <c r="K478" s="13"/>
      <c r="L478" s="242"/>
      <c r="M478" s="242"/>
      <c r="N478" s="242"/>
      <c r="O478" s="242"/>
      <c r="P478" s="242"/>
      <c r="Q478" s="242"/>
      <c r="R478" s="242"/>
      <c r="S478" s="242"/>
      <c r="T478" s="242"/>
      <c r="U478" s="242"/>
      <c r="V478" s="242"/>
      <c r="W478" s="242"/>
      <c r="X478" s="242"/>
      <c r="Y478" s="242"/>
      <c r="Z478" s="242"/>
    </row>
    <row r="479">
      <c r="A479" s="340"/>
      <c r="B479" s="242"/>
      <c r="C479" s="242"/>
      <c r="D479" s="242"/>
      <c r="E479" s="13"/>
      <c r="F479" s="13"/>
      <c r="G479" s="13"/>
      <c r="H479" s="13"/>
      <c r="I479" s="13"/>
      <c r="J479" s="13"/>
      <c r="K479" s="13"/>
      <c r="L479" s="242"/>
      <c r="M479" s="242"/>
      <c r="N479" s="242"/>
      <c r="O479" s="242"/>
      <c r="P479" s="242"/>
      <c r="Q479" s="242"/>
      <c r="R479" s="242"/>
      <c r="S479" s="242"/>
      <c r="T479" s="242"/>
      <c r="U479" s="242"/>
      <c r="V479" s="242"/>
      <c r="W479" s="242"/>
      <c r="X479" s="242"/>
      <c r="Y479" s="242"/>
      <c r="Z479" s="242"/>
    </row>
    <row r="480">
      <c r="A480" s="340"/>
      <c r="B480" s="242"/>
      <c r="C480" s="242"/>
      <c r="D480" s="242"/>
      <c r="E480" s="13"/>
      <c r="F480" s="13"/>
      <c r="G480" s="13"/>
      <c r="H480" s="13"/>
      <c r="I480" s="13"/>
      <c r="J480" s="13"/>
      <c r="K480" s="13"/>
      <c r="L480" s="242"/>
      <c r="M480" s="242"/>
      <c r="N480" s="242"/>
      <c r="O480" s="242"/>
      <c r="P480" s="242"/>
      <c r="Q480" s="242"/>
      <c r="R480" s="242"/>
      <c r="S480" s="242"/>
      <c r="T480" s="242"/>
      <c r="U480" s="242"/>
      <c r="V480" s="242"/>
      <c r="W480" s="242"/>
      <c r="X480" s="242"/>
      <c r="Y480" s="242"/>
      <c r="Z480" s="242"/>
    </row>
    <row r="481">
      <c r="A481" s="340"/>
      <c r="B481" s="242"/>
      <c r="C481" s="242"/>
      <c r="D481" s="242"/>
      <c r="E481" s="13"/>
      <c r="F481" s="13"/>
      <c r="G481" s="13"/>
      <c r="H481" s="13"/>
      <c r="I481" s="13"/>
      <c r="J481" s="13"/>
      <c r="K481" s="13"/>
      <c r="L481" s="242"/>
      <c r="M481" s="242"/>
      <c r="N481" s="242"/>
      <c r="O481" s="242"/>
      <c r="P481" s="242"/>
      <c r="Q481" s="242"/>
      <c r="R481" s="242"/>
      <c r="S481" s="242"/>
      <c r="T481" s="242"/>
      <c r="U481" s="242"/>
      <c r="V481" s="242"/>
      <c r="W481" s="242"/>
      <c r="X481" s="242"/>
      <c r="Y481" s="242"/>
      <c r="Z481" s="242"/>
    </row>
    <row r="482">
      <c r="A482" s="340"/>
      <c r="B482" s="242"/>
      <c r="C482" s="242"/>
      <c r="D482" s="242"/>
      <c r="E482" s="13"/>
      <c r="F482" s="13"/>
      <c r="G482" s="13"/>
      <c r="H482" s="13"/>
      <c r="I482" s="13"/>
      <c r="J482" s="13"/>
      <c r="K482" s="13"/>
      <c r="L482" s="242"/>
      <c r="M482" s="242"/>
      <c r="N482" s="242"/>
      <c r="O482" s="242"/>
      <c r="P482" s="242"/>
      <c r="Q482" s="242"/>
      <c r="R482" s="242"/>
      <c r="S482" s="242"/>
      <c r="T482" s="242"/>
      <c r="U482" s="242"/>
      <c r="V482" s="242"/>
      <c r="W482" s="242"/>
      <c r="X482" s="242"/>
      <c r="Y482" s="242"/>
      <c r="Z482" s="242"/>
    </row>
    <row r="483">
      <c r="A483" s="340"/>
      <c r="B483" s="242"/>
      <c r="C483" s="242"/>
      <c r="D483" s="242"/>
      <c r="E483" s="13"/>
      <c r="F483" s="13"/>
      <c r="G483" s="13"/>
      <c r="H483" s="13"/>
      <c r="I483" s="13"/>
      <c r="J483" s="13"/>
      <c r="K483" s="13"/>
      <c r="L483" s="242"/>
      <c r="M483" s="242"/>
      <c r="N483" s="242"/>
      <c r="O483" s="242"/>
      <c r="P483" s="242"/>
      <c r="Q483" s="242"/>
      <c r="R483" s="242"/>
      <c r="S483" s="242"/>
      <c r="T483" s="242"/>
      <c r="U483" s="242"/>
      <c r="V483" s="242"/>
      <c r="W483" s="242"/>
      <c r="X483" s="242"/>
      <c r="Y483" s="242"/>
      <c r="Z483" s="242"/>
    </row>
    <row r="484">
      <c r="A484" s="340"/>
      <c r="B484" s="242"/>
      <c r="C484" s="242"/>
      <c r="D484" s="242"/>
      <c r="E484" s="13"/>
      <c r="F484" s="13"/>
      <c r="G484" s="13"/>
      <c r="H484" s="13"/>
      <c r="I484" s="13"/>
      <c r="J484" s="13"/>
      <c r="K484" s="13"/>
      <c r="L484" s="242"/>
      <c r="M484" s="242"/>
      <c r="N484" s="242"/>
      <c r="O484" s="242"/>
      <c r="P484" s="242"/>
      <c r="Q484" s="242"/>
      <c r="R484" s="242"/>
      <c r="S484" s="242"/>
      <c r="T484" s="242"/>
      <c r="U484" s="242"/>
      <c r="V484" s="242"/>
      <c r="W484" s="242"/>
      <c r="X484" s="242"/>
      <c r="Y484" s="242"/>
      <c r="Z484" s="242"/>
    </row>
    <row r="485">
      <c r="A485" s="340"/>
      <c r="B485" s="242"/>
      <c r="C485" s="242"/>
      <c r="D485" s="242"/>
      <c r="E485" s="13"/>
      <c r="F485" s="13"/>
      <c r="G485" s="13"/>
      <c r="H485" s="13"/>
      <c r="I485" s="13"/>
      <c r="J485" s="13"/>
      <c r="K485" s="13"/>
      <c r="L485" s="242"/>
      <c r="M485" s="242"/>
      <c r="N485" s="242"/>
      <c r="O485" s="242"/>
      <c r="P485" s="242"/>
      <c r="Q485" s="242"/>
      <c r="R485" s="242"/>
      <c r="S485" s="242"/>
      <c r="T485" s="242"/>
      <c r="U485" s="242"/>
      <c r="V485" s="242"/>
      <c r="W485" s="242"/>
      <c r="X485" s="242"/>
      <c r="Y485" s="242"/>
      <c r="Z485" s="242"/>
    </row>
    <row r="486">
      <c r="A486" s="340"/>
      <c r="B486" s="242"/>
      <c r="C486" s="242"/>
      <c r="D486" s="242"/>
      <c r="E486" s="13"/>
      <c r="F486" s="13"/>
      <c r="G486" s="13"/>
      <c r="H486" s="13"/>
      <c r="I486" s="13"/>
      <c r="J486" s="13"/>
      <c r="K486" s="13"/>
      <c r="L486" s="242"/>
      <c r="M486" s="242"/>
      <c r="N486" s="242"/>
      <c r="O486" s="242"/>
      <c r="P486" s="242"/>
      <c r="Q486" s="242"/>
      <c r="R486" s="242"/>
      <c r="S486" s="242"/>
      <c r="T486" s="242"/>
      <c r="U486" s="242"/>
      <c r="V486" s="242"/>
      <c r="W486" s="242"/>
      <c r="X486" s="242"/>
      <c r="Y486" s="242"/>
      <c r="Z486" s="242"/>
    </row>
    <row r="487">
      <c r="A487" s="340"/>
      <c r="B487" s="242"/>
      <c r="C487" s="242"/>
      <c r="D487" s="242"/>
      <c r="E487" s="13"/>
      <c r="F487" s="13"/>
      <c r="G487" s="13"/>
      <c r="H487" s="13"/>
      <c r="I487" s="13"/>
      <c r="J487" s="13"/>
      <c r="K487" s="13"/>
      <c r="L487" s="242"/>
      <c r="M487" s="242"/>
      <c r="N487" s="242"/>
      <c r="O487" s="242"/>
      <c r="P487" s="242"/>
      <c r="Q487" s="242"/>
      <c r="R487" s="242"/>
      <c r="S487" s="242"/>
      <c r="T487" s="242"/>
      <c r="U487" s="242"/>
      <c r="V487" s="242"/>
      <c r="W487" s="242"/>
      <c r="X487" s="242"/>
      <c r="Y487" s="242"/>
      <c r="Z487" s="242"/>
    </row>
    <row r="488">
      <c r="A488" s="340"/>
      <c r="B488" s="242"/>
      <c r="C488" s="242"/>
      <c r="D488" s="242"/>
      <c r="E488" s="13"/>
      <c r="F488" s="13"/>
      <c r="G488" s="13"/>
      <c r="H488" s="13"/>
      <c r="I488" s="13"/>
      <c r="J488" s="13"/>
      <c r="K488" s="13"/>
      <c r="L488" s="242"/>
      <c r="M488" s="242"/>
      <c r="N488" s="242"/>
      <c r="O488" s="242"/>
      <c r="P488" s="242"/>
      <c r="Q488" s="242"/>
      <c r="R488" s="242"/>
      <c r="S488" s="242"/>
      <c r="T488" s="242"/>
      <c r="U488" s="242"/>
      <c r="V488" s="242"/>
      <c r="W488" s="242"/>
      <c r="X488" s="242"/>
      <c r="Y488" s="242"/>
      <c r="Z488" s="242"/>
    </row>
    <row r="489">
      <c r="A489" s="340"/>
      <c r="B489" s="242"/>
      <c r="C489" s="242"/>
      <c r="D489" s="242"/>
      <c r="E489" s="13"/>
      <c r="F489" s="13"/>
      <c r="G489" s="13"/>
      <c r="H489" s="13"/>
      <c r="I489" s="13"/>
      <c r="J489" s="13"/>
      <c r="K489" s="13"/>
      <c r="L489" s="242"/>
      <c r="M489" s="242"/>
      <c r="N489" s="242"/>
      <c r="O489" s="242"/>
      <c r="P489" s="242"/>
      <c r="Q489" s="242"/>
      <c r="R489" s="242"/>
      <c r="S489" s="242"/>
      <c r="T489" s="242"/>
      <c r="U489" s="242"/>
      <c r="V489" s="242"/>
      <c r="W489" s="242"/>
      <c r="X489" s="242"/>
      <c r="Y489" s="242"/>
      <c r="Z489" s="242"/>
    </row>
    <row r="490">
      <c r="A490" s="340"/>
      <c r="B490" s="242"/>
      <c r="C490" s="242"/>
      <c r="D490" s="242"/>
      <c r="E490" s="13"/>
      <c r="F490" s="13"/>
      <c r="G490" s="13"/>
      <c r="H490" s="13"/>
      <c r="I490" s="13"/>
      <c r="J490" s="13"/>
      <c r="K490" s="13"/>
      <c r="L490" s="242"/>
      <c r="M490" s="242"/>
      <c r="N490" s="242"/>
      <c r="O490" s="242"/>
      <c r="P490" s="242"/>
      <c r="Q490" s="242"/>
      <c r="R490" s="242"/>
      <c r="S490" s="242"/>
      <c r="T490" s="242"/>
      <c r="U490" s="242"/>
      <c r="V490" s="242"/>
      <c r="W490" s="242"/>
      <c r="X490" s="242"/>
      <c r="Y490" s="242"/>
      <c r="Z490" s="242"/>
    </row>
    <row r="491">
      <c r="A491" s="340"/>
      <c r="B491" s="242"/>
      <c r="C491" s="242"/>
      <c r="D491" s="242"/>
      <c r="E491" s="13"/>
      <c r="F491" s="13"/>
      <c r="G491" s="13"/>
      <c r="H491" s="13"/>
      <c r="I491" s="13"/>
      <c r="J491" s="13"/>
      <c r="K491" s="13"/>
      <c r="L491" s="242"/>
      <c r="M491" s="242"/>
      <c r="N491" s="242"/>
      <c r="O491" s="242"/>
      <c r="P491" s="242"/>
      <c r="Q491" s="242"/>
      <c r="R491" s="242"/>
      <c r="S491" s="242"/>
      <c r="T491" s="242"/>
      <c r="U491" s="242"/>
      <c r="V491" s="242"/>
      <c r="W491" s="242"/>
      <c r="X491" s="242"/>
      <c r="Y491" s="242"/>
      <c r="Z491" s="242"/>
    </row>
    <row r="492">
      <c r="A492" s="340"/>
      <c r="B492" s="242"/>
      <c r="C492" s="242"/>
      <c r="D492" s="242"/>
      <c r="E492" s="13"/>
      <c r="F492" s="13"/>
      <c r="G492" s="13"/>
      <c r="H492" s="13"/>
      <c r="I492" s="13"/>
      <c r="J492" s="13"/>
      <c r="K492" s="13"/>
      <c r="L492" s="242"/>
      <c r="M492" s="242"/>
      <c r="N492" s="242"/>
      <c r="O492" s="242"/>
      <c r="P492" s="242"/>
      <c r="Q492" s="242"/>
      <c r="R492" s="242"/>
      <c r="S492" s="242"/>
      <c r="T492" s="242"/>
      <c r="U492" s="242"/>
      <c r="V492" s="242"/>
      <c r="W492" s="242"/>
      <c r="X492" s="242"/>
      <c r="Y492" s="242"/>
      <c r="Z492" s="242"/>
    </row>
    <row r="493">
      <c r="A493" s="340"/>
      <c r="B493" s="242"/>
      <c r="C493" s="242"/>
      <c r="D493" s="242"/>
      <c r="E493" s="13"/>
      <c r="F493" s="13"/>
      <c r="G493" s="13"/>
      <c r="H493" s="13"/>
      <c r="I493" s="13"/>
      <c r="J493" s="13"/>
      <c r="K493" s="13"/>
      <c r="L493" s="242"/>
      <c r="M493" s="242"/>
      <c r="N493" s="242"/>
      <c r="O493" s="242"/>
      <c r="P493" s="242"/>
      <c r="Q493" s="242"/>
      <c r="R493" s="242"/>
      <c r="S493" s="242"/>
      <c r="T493" s="242"/>
      <c r="U493" s="242"/>
      <c r="V493" s="242"/>
      <c r="W493" s="242"/>
      <c r="X493" s="242"/>
      <c r="Y493" s="242"/>
      <c r="Z493" s="242"/>
    </row>
    <row r="494">
      <c r="A494" s="340"/>
      <c r="B494" s="242"/>
      <c r="C494" s="242"/>
      <c r="D494" s="242"/>
      <c r="E494" s="13"/>
      <c r="F494" s="13"/>
      <c r="G494" s="13"/>
      <c r="H494" s="13"/>
      <c r="I494" s="13"/>
      <c r="J494" s="13"/>
      <c r="K494" s="13"/>
      <c r="L494" s="242"/>
      <c r="M494" s="242"/>
      <c r="N494" s="242"/>
      <c r="O494" s="242"/>
      <c r="P494" s="242"/>
      <c r="Q494" s="242"/>
      <c r="R494" s="242"/>
      <c r="S494" s="242"/>
      <c r="T494" s="242"/>
      <c r="U494" s="242"/>
      <c r="V494" s="242"/>
      <c r="W494" s="242"/>
      <c r="X494" s="242"/>
      <c r="Y494" s="242"/>
      <c r="Z494" s="242"/>
    </row>
    <row r="495">
      <c r="A495" s="340"/>
      <c r="B495" s="242"/>
      <c r="C495" s="242"/>
      <c r="D495" s="242"/>
      <c r="E495" s="13"/>
      <c r="F495" s="13"/>
      <c r="G495" s="13"/>
      <c r="H495" s="13"/>
      <c r="I495" s="13"/>
      <c r="J495" s="13"/>
      <c r="K495" s="13"/>
      <c r="L495" s="242"/>
      <c r="M495" s="242"/>
      <c r="N495" s="242"/>
      <c r="O495" s="242"/>
      <c r="P495" s="242"/>
      <c r="Q495" s="242"/>
      <c r="R495" s="242"/>
      <c r="S495" s="242"/>
      <c r="T495" s="242"/>
      <c r="U495" s="242"/>
      <c r="V495" s="242"/>
      <c r="W495" s="242"/>
      <c r="X495" s="242"/>
      <c r="Y495" s="242"/>
      <c r="Z495" s="242"/>
    </row>
    <row r="496">
      <c r="A496" s="340"/>
      <c r="B496" s="242"/>
      <c r="C496" s="242"/>
      <c r="D496" s="242"/>
      <c r="E496" s="13"/>
      <c r="F496" s="13"/>
      <c r="G496" s="13"/>
      <c r="H496" s="13"/>
      <c r="I496" s="13"/>
      <c r="J496" s="13"/>
      <c r="K496" s="13"/>
      <c r="L496" s="242"/>
      <c r="M496" s="242"/>
      <c r="N496" s="242"/>
      <c r="O496" s="242"/>
      <c r="P496" s="242"/>
      <c r="Q496" s="242"/>
      <c r="R496" s="242"/>
      <c r="S496" s="242"/>
      <c r="T496" s="242"/>
      <c r="U496" s="242"/>
      <c r="V496" s="242"/>
      <c r="W496" s="242"/>
      <c r="X496" s="242"/>
      <c r="Y496" s="242"/>
      <c r="Z496" s="242"/>
    </row>
    <row r="497">
      <c r="A497" s="340"/>
      <c r="B497" s="242"/>
      <c r="C497" s="242"/>
      <c r="D497" s="242"/>
      <c r="E497" s="13"/>
      <c r="F497" s="13"/>
      <c r="G497" s="13"/>
      <c r="H497" s="13"/>
      <c r="I497" s="13"/>
      <c r="J497" s="13"/>
      <c r="K497" s="13"/>
      <c r="L497" s="242"/>
      <c r="M497" s="242"/>
      <c r="N497" s="242"/>
      <c r="O497" s="242"/>
      <c r="P497" s="242"/>
      <c r="Q497" s="242"/>
      <c r="R497" s="242"/>
      <c r="S497" s="242"/>
      <c r="T497" s="242"/>
      <c r="U497" s="242"/>
      <c r="V497" s="242"/>
      <c r="W497" s="242"/>
      <c r="X497" s="242"/>
      <c r="Y497" s="242"/>
      <c r="Z497" s="242"/>
    </row>
    <row r="498">
      <c r="A498" s="340"/>
      <c r="B498" s="242"/>
      <c r="C498" s="242"/>
      <c r="D498" s="242"/>
      <c r="E498" s="13"/>
      <c r="F498" s="13"/>
      <c r="G498" s="13"/>
      <c r="H498" s="13"/>
      <c r="I498" s="13"/>
      <c r="J498" s="13"/>
      <c r="K498" s="13"/>
      <c r="L498" s="242"/>
      <c r="M498" s="242"/>
      <c r="N498" s="242"/>
      <c r="O498" s="242"/>
      <c r="P498" s="242"/>
      <c r="Q498" s="242"/>
      <c r="R498" s="242"/>
      <c r="S498" s="242"/>
      <c r="T498" s="242"/>
      <c r="U498" s="242"/>
      <c r="V498" s="242"/>
      <c r="W498" s="242"/>
      <c r="X498" s="242"/>
      <c r="Y498" s="242"/>
      <c r="Z498" s="242"/>
    </row>
    <row r="499">
      <c r="A499" s="340"/>
      <c r="B499" s="242"/>
      <c r="C499" s="242"/>
      <c r="D499" s="242"/>
      <c r="E499" s="13"/>
      <c r="F499" s="13"/>
      <c r="G499" s="13"/>
      <c r="H499" s="13"/>
      <c r="I499" s="13"/>
      <c r="J499" s="13"/>
      <c r="K499" s="13"/>
      <c r="L499" s="242"/>
      <c r="M499" s="242"/>
      <c r="N499" s="242"/>
      <c r="O499" s="242"/>
      <c r="P499" s="242"/>
      <c r="Q499" s="242"/>
      <c r="R499" s="242"/>
      <c r="S499" s="242"/>
      <c r="T499" s="242"/>
      <c r="U499" s="242"/>
      <c r="V499" s="242"/>
      <c r="W499" s="242"/>
      <c r="X499" s="242"/>
      <c r="Y499" s="242"/>
      <c r="Z499" s="242"/>
    </row>
    <row r="500">
      <c r="A500" s="340"/>
      <c r="B500" s="242"/>
      <c r="C500" s="242"/>
      <c r="D500" s="242"/>
      <c r="E500" s="13"/>
      <c r="F500" s="13"/>
      <c r="G500" s="13"/>
      <c r="H500" s="13"/>
      <c r="I500" s="13"/>
      <c r="J500" s="13"/>
      <c r="K500" s="13"/>
      <c r="L500" s="242"/>
      <c r="M500" s="242"/>
      <c r="N500" s="242"/>
      <c r="O500" s="242"/>
      <c r="P500" s="242"/>
      <c r="Q500" s="242"/>
      <c r="R500" s="242"/>
      <c r="S500" s="242"/>
      <c r="T500" s="242"/>
      <c r="U500" s="242"/>
      <c r="V500" s="242"/>
      <c r="W500" s="242"/>
      <c r="X500" s="242"/>
      <c r="Y500" s="242"/>
      <c r="Z500" s="242"/>
    </row>
    <row r="501">
      <c r="A501" s="340"/>
      <c r="B501" s="242"/>
      <c r="C501" s="242"/>
      <c r="D501" s="242"/>
      <c r="E501" s="13"/>
      <c r="F501" s="13"/>
      <c r="G501" s="13"/>
      <c r="H501" s="13"/>
      <c r="I501" s="13"/>
      <c r="J501" s="13"/>
      <c r="K501" s="13"/>
      <c r="L501" s="242"/>
      <c r="M501" s="242"/>
      <c r="N501" s="242"/>
      <c r="O501" s="242"/>
      <c r="P501" s="242"/>
      <c r="Q501" s="242"/>
      <c r="R501" s="242"/>
      <c r="S501" s="242"/>
      <c r="T501" s="242"/>
      <c r="U501" s="242"/>
      <c r="V501" s="242"/>
      <c r="W501" s="242"/>
      <c r="X501" s="242"/>
      <c r="Y501" s="242"/>
      <c r="Z501" s="242"/>
    </row>
    <row r="502">
      <c r="A502" s="340"/>
      <c r="B502" s="242"/>
      <c r="C502" s="242"/>
      <c r="D502" s="242"/>
      <c r="E502" s="13"/>
      <c r="F502" s="13"/>
      <c r="G502" s="13"/>
      <c r="H502" s="13"/>
      <c r="I502" s="13"/>
      <c r="J502" s="13"/>
      <c r="K502" s="13"/>
      <c r="L502" s="242"/>
      <c r="M502" s="242"/>
      <c r="N502" s="242"/>
      <c r="O502" s="242"/>
      <c r="P502" s="242"/>
      <c r="Q502" s="242"/>
      <c r="R502" s="242"/>
      <c r="S502" s="242"/>
      <c r="T502" s="242"/>
      <c r="U502" s="242"/>
      <c r="V502" s="242"/>
      <c r="W502" s="242"/>
      <c r="X502" s="242"/>
      <c r="Y502" s="242"/>
      <c r="Z502" s="242"/>
    </row>
    <row r="503">
      <c r="A503" s="340"/>
      <c r="B503" s="242"/>
      <c r="C503" s="242"/>
      <c r="D503" s="242"/>
      <c r="E503" s="13"/>
      <c r="F503" s="13"/>
      <c r="G503" s="13"/>
      <c r="H503" s="13"/>
      <c r="I503" s="13"/>
      <c r="J503" s="13"/>
      <c r="K503" s="13"/>
      <c r="L503" s="242"/>
      <c r="M503" s="242"/>
      <c r="N503" s="242"/>
      <c r="O503" s="242"/>
      <c r="P503" s="242"/>
      <c r="Q503" s="242"/>
      <c r="R503" s="242"/>
      <c r="S503" s="242"/>
      <c r="T503" s="242"/>
      <c r="U503" s="242"/>
      <c r="V503" s="242"/>
      <c r="W503" s="242"/>
      <c r="X503" s="242"/>
      <c r="Y503" s="242"/>
      <c r="Z503" s="242"/>
    </row>
    <row r="504">
      <c r="A504" s="340"/>
      <c r="B504" s="242"/>
      <c r="C504" s="242"/>
      <c r="D504" s="242"/>
      <c r="E504" s="13"/>
      <c r="F504" s="13"/>
      <c r="G504" s="13"/>
      <c r="H504" s="13"/>
      <c r="I504" s="13"/>
      <c r="J504" s="13"/>
      <c r="K504" s="13"/>
      <c r="L504" s="242"/>
      <c r="M504" s="242"/>
      <c r="N504" s="242"/>
      <c r="O504" s="242"/>
      <c r="P504" s="242"/>
      <c r="Q504" s="242"/>
      <c r="R504" s="242"/>
      <c r="S504" s="242"/>
      <c r="T504" s="242"/>
      <c r="U504" s="242"/>
      <c r="V504" s="242"/>
      <c r="W504" s="242"/>
      <c r="X504" s="242"/>
      <c r="Y504" s="242"/>
      <c r="Z504" s="242"/>
    </row>
    <row r="505">
      <c r="A505" s="340"/>
      <c r="B505" s="242"/>
      <c r="C505" s="242"/>
      <c r="D505" s="242"/>
      <c r="E505" s="13"/>
      <c r="F505" s="13"/>
      <c r="G505" s="13"/>
      <c r="H505" s="13"/>
      <c r="I505" s="13"/>
      <c r="J505" s="13"/>
      <c r="K505" s="13"/>
      <c r="L505" s="242"/>
      <c r="M505" s="242"/>
      <c r="N505" s="242"/>
      <c r="O505" s="242"/>
      <c r="P505" s="242"/>
      <c r="Q505" s="242"/>
      <c r="R505" s="242"/>
      <c r="S505" s="242"/>
      <c r="T505" s="242"/>
      <c r="U505" s="242"/>
      <c r="V505" s="242"/>
      <c r="W505" s="242"/>
      <c r="X505" s="242"/>
      <c r="Y505" s="242"/>
      <c r="Z505" s="242"/>
    </row>
    <row r="506">
      <c r="A506" s="340"/>
      <c r="B506" s="242"/>
      <c r="C506" s="242"/>
      <c r="D506" s="242"/>
      <c r="E506" s="13"/>
      <c r="F506" s="13"/>
      <c r="G506" s="13"/>
      <c r="H506" s="13"/>
      <c r="I506" s="13"/>
      <c r="J506" s="13"/>
      <c r="K506" s="13"/>
      <c r="L506" s="242"/>
      <c r="M506" s="242"/>
      <c r="N506" s="242"/>
      <c r="O506" s="242"/>
      <c r="P506" s="242"/>
      <c r="Q506" s="242"/>
      <c r="R506" s="242"/>
      <c r="S506" s="242"/>
      <c r="T506" s="242"/>
      <c r="U506" s="242"/>
      <c r="V506" s="242"/>
      <c r="W506" s="242"/>
      <c r="X506" s="242"/>
      <c r="Y506" s="242"/>
      <c r="Z506" s="242"/>
    </row>
    <row r="507">
      <c r="A507" s="340"/>
      <c r="B507" s="242"/>
      <c r="C507" s="242"/>
      <c r="D507" s="242"/>
      <c r="E507" s="13"/>
      <c r="F507" s="13"/>
      <c r="G507" s="13"/>
      <c r="H507" s="13"/>
      <c r="I507" s="13"/>
      <c r="J507" s="13"/>
      <c r="K507" s="13"/>
      <c r="L507" s="242"/>
      <c r="M507" s="242"/>
      <c r="N507" s="242"/>
      <c r="O507" s="242"/>
      <c r="P507" s="242"/>
      <c r="Q507" s="242"/>
      <c r="R507" s="242"/>
      <c r="S507" s="242"/>
      <c r="T507" s="242"/>
      <c r="U507" s="242"/>
      <c r="V507" s="242"/>
      <c r="W507" s="242"/>
      <c r="X507" s="242"/>
      <c r="Y507" s="242"/>
      <c r="Z507" s="242"/>
    </row>
    <row r="508">
      <c r="A508" s="340"/>
      <c r="B508" s="242"/>
      <c r="C508" s="242"/>
      <c r="D508" s="242"/>
      <c r="E508" s="13"/>
      <c r="F508" s="13"/>
      <c r="G508" s="13"/>
      <c r="H508" s="13"/>
      <c r="I508" s="13"/>
      <c r="J508" s="13"/>
      <c r="K508" s="13"/>
      <c r="L508" s="242"/>
      <c r="M508" s="242"/>
      <c r="N508" s="242"/>
      <c r="O508" s="242"/>
      <c r="P508" s="242"/>
      <c r="Q508" s="242"/>
      <c r="R508" s="242"/>
      <c r="S508" s="242"/>
      <c r="T508" s="242"/>
      <c r="U508" s="242"/>
      <c r="V508" s="242"/>
      <c r="W508" s="242"/>
      <c r="X508" s="242"/>
      <c r="Y508" s="242"/>
      <c r="Z508" s="242"/>
    </row>
    <row r="509">
      <c r="A509" s="340"/>
      <c r="B509" s="242"/>
      <c r="C509" s="242"/>
      <c r="D509" s="242"/>
      <c r="E509" s="13"/>
      <c r="F509" s="13"/>
      <c r="G509" s="13"/>
      <c r="H509" s="13"/>
      <c r="I509" s="13"/>
      <c r="J509" s="13"/>
      <c r="K509" s="13"/>
      <c r="L509" s="242"/>
      <c r="M509" s="242"/>
      <c r="N509" s="242"/>
      <c r="O509" s="242"/>
      <c r="P509" s="242"/>
      <c r="Q509" s="242"/>
      <c r="R509" s="242"/>
      <c r="S509" s="242"/>
      <c r="T509" s="242"/>
      <c r="U509" s="242"/>
      <c r="V509" s="242"/>
      <c r="W509" s="242"/>
      <c r="X509" s="242"/>
      <c r="Y509" s="242"/>
      <c r="Z509" s="242"/>
    </row>
    <row r="510">
      <c r="A510" s="340"/>
      <c r="B510" s="242"/>
      <c r="C510" s="242"/>
      <c r="D510" s="242"/>
      <c r="E510" s="13"/>
      <c r="F510" s="13"/>
      <c r="G510" s="13"/>
      <c r="H510" s="13"/>
      <c r="I510" s="13"/>
      <c r="J510" s="13"/>
      <c r="K510" s="13"/>
      <c r="L510" s="242"/>
      <c r="M510" s="242"/>
      <c r="N510" s="242"/>
      <c r="O510" s="242"/>
      <c r="P510" s="242"/>
      <c r="Q510" s="242"/>
      <c r="R510" s="242"/>
      <c r="S510" s="242"/>
      <c r="T510" s="242"/>
      <c r="U510" s="242"/>
      <c r="V510" s="242"/>
      <c r="W510" s="242"/>
      <c r="X510" s="242"/>
      <c r="Y510" s="242"/>
      <c r="Z510" s="242"/>
    </row>
    <row r="511">
      <c r="A511" s="340"/>
      <c r="B511" s="242"/>
      <c r="C511" s="242"/>
      <c r="D511" s="242"/>
      <c r="E511" s="13"/>
      <c r="F511" s="13"/>
      <c r="G511" s="13"/>
      <c r="H511" s="13"/>
      <c r="I511" s="13"/>
      <c r="J511" s="13"/>
      <c r="K511" s="13"/>
      <c r="L511" s="242"/>
      <c r="M511" s="242"/>
      <c r="N511" s="242"/>
      <c r="O511" s="242"/>
      <c r="P511" s="242"/>
      <c r="Q511" s="242"/>
      <c r="R511" s="242"/>
      <c r="S511" s="242"/>
      <c r="T511" s="242"/>
      <c r="U511" s="242"/>
      <c r="V511" s="242"/>
      <c r="W511" s="242"/>
      <c r="X511" s="242"/>
      <c r="Y511" s="242"/>
      <c r="Z511" s="242"/>
    </row>
    <row r="512">
      <c r="A512" s="340"/>
      <c r="B512" s="242"/>
      <c r="C512" s="242"/>
      <c r="D512" s="242"/>
      <c r="E512" s="13"/>
      <c r="F512" s="13"/>
      <c r="G512" s="13"/>
      <c r="H512" s="13"/>
      <c r="I512" s="13"/>
      <c r="J512" s="13"/>
      <c r="K512" s="13"/>
      <c r="L512" s="242"/>
      <c r="M512" s="242"/>
      <c r="N512" s="242"/>
      <c r="O512" s="242"/>
      <c r="P512" s="242"/>
      <c r="Q512" s="242"/>
      <c r="R512" s="242"/>
      <c r="S512" s="242"/>
      <c r="T512" s="242"/>
      <c r="U512" s="242"/>
      <c r="V512" s="242"/>
      <c r="W512" s="242"/>
      <c r="X512" s="242"/>
      <c r="Y512" s="242"/>
      <c r="Z512" s="242"/>
    </row>
    <row r="513">
      <c r="A513" s="340"/>
      <c r="B513" s="242"/>
      <c r="C513" s="242"/>
      <c r="D513" s="242"/>
      <c r="E513" s="13"/>
      <c r="F513" s="13"/>
      <c r="G513" s="13"/>
      <c r="H513" s="13"/>
      <c r="I513" s="13"/>
      <c r="J513" s="13"/>
      <c r="K513" s="13"/>
      <c r="L513" s="242"/>
      <c r="M513" s="242"/>
      <c r="N513" s="242"/>
      <c r="O513" s="242"/>
      <c r="P513" s="242"/>
      <c r="Q513" s="242"/>
      <c r="R513" s="242"/>
      <c r="S513" s="242"/>
      <c r="T513" s="242"/>
      <c r="U513" s="242"/>
      <c r="V513" s="242"/>
      <c r="W513" s="242"/>
      <c r="X513" s="242"/>
      <c r="Y513" s="242"/>
      <c r="Z513" s="242"/>
    </row>
    <row r="514">
      <c r="A514" s="340"/>
      <c r="B514" s="242"/>
      <c r="C514" s="242"/>
      <c r="D514" s="242"/>
      <c r="E514" s="13"/>
      <c r="F514" s="13"/>
      <c r="G514" s="13"/>
      <c r="H514" s="13"/>
      <c r="I514" s="13"/>
      <c r="J514" s="13"/>
      <c r="K514" s="13"/>
      <c r="L514" s="242"/>
      <c r="M514" s="242"/>
      <c r="N514" s="242"/>
      <c r="O514" s="242"/>
      <c r="P514" s="242"/>
      <c r="Q514" s="242"/>
      <c r="R514" s="242"/>
      <c r="S514" s="242"/>
      <c r="T514" s="242"/>
      <c r="U514" s="242"/>
      <c r="V514" s="242"/>
      <c r="W514" s="242"/>
      <c r="X514" s="242"/>
      <c r="Y514" s="242"/>
      <c r="Z514" s="242"/>
    </row>
    <row r="515">
      <c r="A515" s="340"/>
      <c r="B515" s="242"/>
      <c r="C515" s="242"/>
      <c r="D515" s="242"/>
      <c r="E515" s="13"/>
      <c r="F515" s="13"/>
      <c r="G515" s="13"/>
      <c r="H515" s="13"/>
      <c r="I515" s="13"/>
      <c r="J515" s="13"/>
      <c r="K515" s="13"/>
      <c r="L515" s="242"/>
      <c r="M515" s="242"/>
      <c r="N515" s="242"/>
      <c r="O515" s="242"/>
      <c r="P515" s="242"/>
      <c r="Q515" s="242"/>
      <c r="R515" s="242"/>
      <c r="S515" s="242"/>
      <c r="T515" s="242"/>
      <c r="U515" s="242"/>
      <c r="V515" s="242"/>
      <c r="W515" s="242"/>
      <c r="X515" s="242"/>
      <c r="Y515" s="242"/>
      <c r="Z515" s="242"/>
    </row>
    <row r="516">
      <c r="A516" s="340"/>
      <c r="B516" s="242"/>
      <c r="C516" s="242"/>
      <c r="D516" s="242"/>
      <c r="E516" s="13"/>
      <c r="F516" s="13"/>
      <c r="G516" s="13"/>
      <c r="H516" s="13"/>
      <c r="I516" s="13"/>
      <c r="J516" s="13"/>
      <c r="K516" s="13"/>
      <c r="L516" s="242"/>
      <c r="M516" s="242"/>
      <c r="N516" s="242"/>
      <c r="O516" s="242"/>
      <c r="P516" s="242"/>
      <c r="Q516" s="242"/>
      <c r="R516" s="242"/>
      <c r="S516" s="242"/>
      <c r="T516" s="242"/>
      <c r="U516" s="242"/>
      <c r="V516" s="242"/>
      <c r="W516" s="242"/>
      <c r="X516" s="242"/>
      <c r="Y516" s="242"/>
      <c r="Z516" s="242"/>
    </row>
    <row r="517">
      <c r="A517" s="340"/>
      <c r="B517" s="242"/>
      <c r="C517" s="242"/>
      <c r="D517" s="242"/>
      <c r="E517" s="13"/>
      <c r="F517" s="13"/>
      <c r="G517" s="13"/>
      <c r="H517" s="13"/>
      <c r="I517" s="13"/>
      <c r="J517" s="13"/>
      <c r="K517" s="13"/>
      <c r="L517" s="242"/>
      <c r="M517" s="242"/>
      <c r="N517" s="242"/>
      <c r="O517" s="242"/>
      <c r="P517" s="242"/>
      <c r="Q517" s="242"/>
      <c r="R517" s="242"/>
      <c r="S517" s="242"/>
      <c r="T517" s="242"/>
      <c r="U517" s="242"/>
      <c r="V517" s="242"/>
      <c r="W517" s="242"/>
      <c r="X517" s="242"/>
      <c r="Y517" s="242"/>
      <c r="Z517" s="242"/>
    </row>
    <row r="518">
      <c r="A518" s="340"/>
      <c r="B518" s="242"/>
      <c r="C518" s="242"/>
      <c r="D518" s="242"/>
      <c r="E518" s="13"/>
      <c r="F518" s="13"/>
      <c r="G518" s="13"/>
      <c r="H518" s="13"/>
      <c r="I518" s="13"/>
      <c r="J518" s="13"/>
      <c r="K518" s="13"/>
      <c r="L518" s="242"/>
      <c r="M518" s="242"/>
      <c r="N518" s="242"/>
      <c r="O518" s="242"/>
      <c r="P518" s="242"/>
      <c r="Q518" s="242"/>
      <c r="R518" s="242"/>
      <c r="S518" s="242"/>
      <c r="T518" s="242"/>
      <c r="U518" s="242"/>
      <c r="V518" s="242"/>
      <c r="W518" s="242"/>
      <c r="X518" s="242"/>
      <c r="Y518" s="242"/>
      <c r="Z518" s="242"/>
    </row>
    <row r="519">
      <c r="A519" s="340"/>
      <c r="B519" s="242"/>
      <c r="C519" s="242"/>
      <c r="D519" s="242"/>
      <c r="E519" s="13"/>
      <c r="F519" s="13"/>
      <c r="G519" s="13"/>
      <c r="H519" s="13"/>
      <c r="I519" s="13"/>
      <c r="J519" s="13"/>
      <c r="K519" s="13"/>
      <c r="L519" s="242"/>
      <c r="M519" s="242"/>
      <c r="N519" s="242"/>
      <c r="O519" s="242"/>
      <c r="P519" s="242"/>
      <c r="Q519" s="242"/>
      <c r="R519" s="242"/>
      <c r="S519" s="242"/>
      <c r="T519" s="242"/>
      <c r="U519" s="242"/>
      <c r="V519" s="242"/>
      <c r="W519" s="242"/>
      <c r="X519" s="242"/>
      <c r="Y519" s="242"/>
      <c r="Z519" s="242"/>
    </row>
    <row r="520">
      <c r="A520" s="340"/>
      <c r="B520" s="242"/>
      <c r="C520" s="242"/>
      <c r="D520" s="242"/>
      <c r="E520" s="13"/>
      <c r="F520" s="13"/>
      <c r="G520" s="13"/>
      <c r="H520" s="13"/>
      <c r="I520" s="13"/>
      <c r="J520" s="13"/>
      <c r="K520" s="13"/>
      <c r="L520" s="242"/>
      <c r="M520" s="242"/>
      <c r="N520" s="242"/>
      <c r="O520" s="242"/>
      <c r="P520" s="242"/>
      <c r="Q520" s="242"/>
      <c r="R520" s="242"/>
      <c r="S520" s="242"/>
      <c r="T520" s="242"/>
      <c r="U520" s="242"/>
      <c r="V520" s="242"/>
      <c r="W520" s="242"/>
      <c r="X520" s="242"/>
      <c r="Y520" s="242"/>
      <c r="Z520" s="242"/>
    </row>
    <row r="521">
      <c r="A521" s="340"/>
      <c r="B521" s="242"/>
      <c r="C521" s="242"/>
      <c r="D521" s="242"/>
      <c r="E521" s="13"/>
      <c r="F521" s="13"/>
      <c r="G521" s="13"/>
      <c r="H521" s="13"/>
      <c r="I521" s="13"/>
      <c r="J521" s="13"/>
      <c r="K521" s="13"/>
      <c r="L521" s="242"/>
      <c r="M521" s="242"/>
      <c r="N521" s="242"/>
      <c r="O521" s="242"/>
      <c r="P521" s="242"/>
      <c r="Q521" s="242"/>
      <c r="R521" s="242"/>
      <c r="S521" s="242"/>
      <c r="T521" s="242"/>
      <c r="U521" s="242"/>
      <c r="V521" s="242"/>
      <c r="W521" s="242"/>
      <c r="X521" s="242"/>
      <c r="Y521" s="242"/>
      <c r="Z521" s="242"/>
    </row>
    <row r="522">
      <c r="A522" s="340"/>
      <c r="B522" s="242"/>
      <c r="C522" s="242"/>
      <c r="D522" s="242"/>
      <c r="E522" s="13"/>
      <c r="F522" s="13"/>
      <c r="G522" s="13"/>
      <c r="H522" s="13"/>
      <c r="I522" s="13"/>
      <c r="J522" s="13"/>
      <c r="K522" s="13"/>
      <c r="L522" s="242"/>
      <c r="M522" s="242"/>
      <c r="N522" s="242"/>
      <c r="O522" s="242"/>
      <c r="P522" s="242"/>
      <c r="Q522" s="242"/>
      <c r="R522" s="242"/>
      <c r="S522" s="242"/>
      <c r="T522" s="242"/>
      <c r="U522" s="242"/>
      <c r="V522" s="242"/>
      <c r="W522" s="242"/>
      <c r="X522" s="242"/>
      <c r="Y522" s="242"/>
      <c r="Z522" s="242"/>
    </row>
    <row r="523">
      <c r="A523" s="340"/>
      <c r="B523" s="242"/>
      <c r="C523" s="242"/>
      <c r="D523" s="242"/>
      <c r="E523" s="13"/>
      <c r="F523" s="13"/>
      <c r="G523" s="13"/>
      <c r="H523" s="13"/>
      <c r="I523" s="13"/>
      <c r="J523" s="13"/>
      <c r="K523" s="13"/>
      <c r="L523" s="242"/>
      <c r="M523" s="242"/>
      <c r="N523" s="242"/>
      <c r="O523" s="242"/>
      <c r="P523" s="242"/>
      <c r="Q523" s="242"/>
      <c r="R523" s="242"/>
      <c r="S523" s="242"/>
      <c r="T523" s="242"/>
      <c r="U523" s="242"/>
      <c r="V523" s="242"/>
      <c r="W523" s="242"/>
      <c r="X523" s="242"/>
      <c r="Y523" s="242"/>
      <c r="Z523" s="242"/>
    </row>
    <row r="524">
      <c r="A524" s="340"/>
      <c r="B524" s="242"/>
      <c r="C524" s="242"/>
      <c r="D524" s="242"/>
      <c r="E524" s="13"/>
      <c r="F524" s="13"/>
      <c r="G524" s="13"/>
      <c r="H524" s="13"/>
      <c r="I524" s="13"/>
      <c r="J524" s="13"/>
      <c r="K524" s="13"/>
      <c r="L524" s="242"/>
      <c r="M524" s="242"/>
      <c r="N524" s="242"/>
      <c r="O524" s="242"/>
      <c r="P524" s="242"/>
      <c r="Q524" s="242"/>
      <c r="R524" s="242"/>
      <c r="S524" s="242"/>
      <c r="T524" s="242"/>
      <c r="U524" s="242"/>
      <c r="V524" s="242"/>
      <c r="W524" s="242"/>
      <c r="X524" s="242"/>
      <c r="Y524" s="242"/>
      <c r="Z524" s="242"/>
    </row>
    <row r="525">
      <c r="A525" s="340"/>
      <c r="B525" s="242"/>
      <c r="C525" s="242"/>
      <c r="D525" s="242"/>
      <c r="E525" s="13"/>
      <c r="F525" s="13"/>
      <c r="G525" s="13"/>
      <c r="H525" s="13"/>
      <c r="I525" s="13"/>
      <c r="J525" s="13"/>
      <c r="K525" s="13"/>
      <c r="L525" s="242"/>
      <c r="M525" s="242"/>
      <c r="N525" s="242"/>
      <c r="O525" s="242"/>
      <c r="P525" s="242"/>
      <c r="Q525" s="242"/>
      <c r="R525" s="242"/>
      <c r="S525" s="242"/>
      <c r="T525" s="242"/>
      <c r="U525" s="242"/>
      <c r="V525" s="242"/>
      <c r="W525" s="242"/>
      <c r="X525" s="242"/>
      <c r="Y525" s="242"/>
      <c r="Z525" s="242"/>
    </row>
    <row r="526">
      <c r="A526" s="340"/>
      <c r="B526" s="242"/>
      <c r="C526" s="242"/>
      <c r="D526" s="242"/>
      <c r="E526" s="13"/>
      <c r="F526" s="13"/>
      <c r="G526" s="13"/>
      <c r="H526" s="13"/>
      <c r="I526" s="13"/>
      <c r="J526" s="13"/>
      <c r="K526" s="13"/>
      <c r="L526" s="242"/>
      <c r="M526" s="242"/>
      <c r="N526" s="242"/>
      <c r="O526" s="242"/>
      <c r="P526" s="242"/>
      <c r="Q526" s="242"/>
      <c r="R526" s="242"/>
      <c r="S526" s="242"/>
      <c r="T526" s="242"/>
      <c r="U526" s="242"/>
      <c r="V526" s="242"/>
      <c r="W526" s="242"/>
      <c r="X526" s="242"/>
      <c r="Y526" s="242"/>
      <c r="Z526" s="242"/>
    </row>
    <row r="527">
      <c r="A527" s="340"/>
      <c r="B527" s="242"/>
      <c r="C527" s="242"/>
      <c r="D527" s="242"/>
      <c r="E527" s="13"/>
      <c r="F527" s="13"/>
      <c r="G527" s="13"/>
      <c r="H527" s="13"/>
      <c r="I527" s="13"/>
      <c r="J527" s="13"/>
      <c r="K527" s="13"/>
      <c r="L527" s="242"/>
      <c r="M527" s="242"/>
      <c r="N527" s="242"/>
      <c r="O527" s="242"/>
      <c r="P527" s="242"/>
      <c r="Q527" s="242"/>
      <c r="R527" s="242"/>
      <c r="S527" s="242"/>
      <c r="T527" s="242"/>
      <c r="U527" s="242"/>
      <c r="V527" s="242"/>
      <c r="W527" s="242"/>
      <c r="X527" s="242"/>
      <c r="Y527" s="242"/>
      <c r="Z527" s="242"/>
    </row>
    <row r="528">
      <c r="A528" s="340"/>
      <c r="B528" s="242"/>
      <c r="C528" s="242"/>
      <c r="D528" s="242"/>
      <c r="E528" s="13"/>
      <c r="F528" s="13"/>
      <c r="G528" s="13"/>
      <c r="H528" s="13"/>
      <c r="I528" s="13"/>
      <c r="J528" s="13"/>
      <c r="K528" s="13"/>
      <c r="L528" s="242"/>
      <c r="M528" s="242"/>
      <c r="N528" s="242"/>
      <c r="O528" s="242"/>
      <c r="P528" s="242"/>
      <c r="Q528" s="242"/>
      <c r="R528" s="242"/>
      <c r="S528" s="242"/>
      <c r="T528" s="242"/>
      <c r="U528" s="242"/>
      <c r="V528" s="242"/>
      <c r="W528" s="242"/>
      <c r="X528" s="242"/>
      <c r="Y528" s="242"/>
      <c r="Z528" s="242"/>
    </row>
    <row r="529">
      <c r="A529" s="340"/>
      <c r="B529" s="242"/>
      <c r="C529" s="242"/>
      <c r="D529" s="242"/>
      <c r="E529" s="13"/>
      <c r="F529" s="13"/>
      <c r="G529" s="13"/>
      <c r="H529" s="13"/>
      <c r="I529" s="13"/>
      <c r="J529" s="13"/>
      <c r="K529" s="13"/>
      <c r="L529" s="242"/>
      <c r="M529" s="242"/>
      <c r="N529" s="242"/>
      <c r="O529" s="242"/>
      <c r="P529" s="242"/>
      <c r="Q529" s="242"/>
      <c r="R529" s="242"/>
      <c r="S529" s="242"/>
      <c r="T529" s="242"/>
      <c r="U529" s="242"/>
      <c r="V529" s="242"/>
      <c r="W529" s="242"/>
      <c r="X529" s="242"/>
      <c r="Y529" s="242"/>
      <c r="Z529" s="242"/>
    </row>
    <row r="530">
      <c r="A530" s="340"/>
      <c r="B530" s="242"/>
      <c r="C530" s="242"/>
      <c r="D530" s="242"/>
      <c r="E530" s="13"/>
      <c r="F530" s="13"/>
      <c r="G530" s="13"/>
      <c r="H530" s="13"/>
      <c r="I530" s="13"/>
      <c r="J530" s="13"/>
      <c r="K530" s="13"/>
      <c r="L530" s="242"/>
      <c r="M530" s="242"/>
      <c r="N530" s="242"/>
      <c r="O530" s="242"/>
      <c r="P530" s="242"/>
      <c r="Q530" s="242"/>
      <c r="R530" s="242"/>
      <c r="S530" s="242"/>
      <c r="T530" s="242"/>
      <c r="U530" s="242"/>
      <c r="V530" s="242"/>
      <c r="W530" s="242"/>
      <c r="X530" s="242"/>
      <c r="Y530" s="242"/>
      <c r="Z530" s="242"/>
    </row>
    <row r="531">
      <c r="A531" s="340"/>
      <c r="B531" s="242"/>
      <c r="C531" s="242"/>
      <c r="D531" s="242"/>
      <c r="E531" s="13"/>
      <c r="F531" s="13"/>
      <c r="G531" s="13"/>
      <c r="H531" s="13"/>
      <c r="I531" s="13"/>
      <c r="J531" s="13"/>
      <c r="K531" s="13"/>
      <c r="L531" s="242"/>
      <c r="M531" s="242"/>
      <c r="N531" s="242"/>
      <c r="O531" s="242"/>
      <c r="P531" s="242"/>
      <c r="Q531" s="242"/>
      <c r="R531" s="242"/>
      <c r="S531" s="242"/>
      <c r="T531" s="242"/>
      <c r="U531" s="242"/>
      <c r="V531" s="242"/>
      <c r="W531" s="242"/>
      <c r="X531" s="242"/>
      <c r="Y531" s="242"/>
      <c r="Z531" s="242"/>
    </row>
    <row r="532">
      <c r="A532" s="340"/>
      <c r="B532" s="242"/>
      <c r="C532" s="242"/>
      <c r="D532" s="242"/>
      <c r="E532" s="13"/>
      <c r="F532" s="13"/>
      <c r="G532" s="13"/>
      <c r="H532" s="13"/>
      <c r="I532" s="13"/>
      <c r="J532" s="13"/>
      <c r="K532" s="13"/>
      <c r="L532" s="242"/>
      <c r="M532" s="242"/>
      <c r="N532" s="242"/>
      <c r="O532" s="242"/>
      <c r="P532" s="242"/>
      <c r="Q532" s="242"/>
      <c r="R532" s="242"/>
      <c r="S532" s="242"/>
      <c r="T532" s="242"/>
      <c r="U532" s="242"/>
      <c r="V532" s="242"/>
      <c r="W532" s="242"/>
      <c r="X532" s="242"/>
      <c r="Y532" s="242"/>
      <c r="Z532" s="242"/>
    </row>
    <row r="533">
      <c r="A533" s="340"/>
      <c r="B533" s="242"/>
      <c r="C533" s="242"/>
      <c r="D533" s="242"/>
      <c r="E533" s="13"/>
      <c r="F533" s="13"/>
      <c r="G533" s="13"/>
      <c r="H533" s="13"/>
      <c r="I533" s="13"/>
      <c r="J533" s="13"/>
      <c r="K533" s="13"/>
      <c r="L533" s="242"/>
      <c r="M533" s="242"/>
      <c r="N533" s="242"/>
      <c r="O533" s="242"/>
      <c r="P533" s="242"/>
      <c r="Q533" s="242"/>
      <c r="R533" s="242"/>
      <c r="S533" s="242"/>
      <c r="T533" s="242"/>
      <c r="U533" s="242"/>
      <c r="V533" s="242"/>
      <c r="W533" s="242"/>
      <c r="X533" s="242"/>
      <c r="Y533" s="242"/>
      <c r="Z533" s="242"/>
    </row>
    <row r="534">
      <c r="A534" s="340"/>
      <c r="B534" s="242"/>
      <c r="C534" s="242"/>
      <c r="D534" s="242"/>
      <c r="E534" s="13"/>
      <c r="F534" s="13"/>
      <c r="G534" s="13"/>
      <c r="H534" s="13"/>
      <c r="I534" s="13"/>
      <c r="J534" s="13"/>
      <c r="K534" s="13"/>
      <c r="L534" s="242"/>
      <c r="M534" s="242"/>
      <c r="N534" s="242"/>
      <c r="O534" s="242"/>
      <c r="P534" s="242"/>
      <c r="Q534" s="242"/>
      <c r="R534" s="242"/>
      <c r="S534" s="242"/>
      <c r="T534" s="242"/>
      <c r="U534" s="242"/>
      <c r="V534" s="242"/>
      <c r="W534" s="242"/>
      <c r="X534" s="242"/>
      <c r="Y534" s="242"/>
      <c r="Z534" s="242"/>
    </row>
    <row r="535">
      <c r="A535" s="340"/>
      <c r="B535" s="242"/>
      <c r="C535" s="242"/>
      <c r="D535" s="242"/>
      <c r="E535" s="13"/>
      <c r="F535" s="13"/>
      <c r="G535" s="13"/>
      <c r="H535" s="13"/>
      <c r="I535" s="13"/>
      <c r="J535" s="13"/>
      <c r="K535" s="13"/>
      <c r="L535" s="242"/>
      <c r="M535" s="242"/>
      <c r="N535" s="242"/>
      <c r="O535" s="242"/>
      <c r="P535" s="242"/>
      <c r="Q535" s="242"/>
      <c r="R535" s="242"/>
      <c r="S535" s="242"/>
      <c r="T535" s="242"/>
      <c r="U535" s="242"/>
      <c r="V535" s="242"/>
      <c r="W535" s="242"/>
      <c r="X535" s="242"/>
      <c r="Y535" s="242"/>
      <c r="Z535" s="242"/>
    </row>
    <row r="536">
      <c r="A536" s="340"/>
      <c r="B536" s="242"/>
      <c r="C536" s="242"/>
      <c r="D536" s="242"/>
      <c r="E536" s="13"/>
      <c r="F536" s="13"/>
      <c r="G536" s="13"/>
      <c r="H536" s="13"/>
      <c r="I536" s="13"/>
      <c r="J536" s="13"/>
      <c r="K536" s="13"/>
      <c r="L536" s="242"/>
      <c r="M536" s="242"/>
      <c r="N536" s="242"/>
      <c r="O536" s="242"/>
      <c r="P536" s="242"/>
      <c r="Q536" s="242"/>
      <c r="R536" s="242"/>
      <c r="S536" s="242"/>
      <c r="T536" s="242"/>
      <c r="U536" s="242"/>
      <c r="V536" s="242"/>
      <c r="W536" s="242"/>
      <c r="X536" s="242"/>
      <c r="Y536" s="242"/>
      <c r="Z536" s="242"/>
    </row>
    <row r="537">
      <c r="A537" s="340"/>
      <c r="B537" s="242"/>
      <c r="C537" s="242"/>
      <c r="D537" s="242"/>
      <c r="E537" s="13"/>
      <c r="F537" s="13"/>
      <c r="G537" s="13"/>
      <c r="H537" s="13"/>
      <c r="I537" s="13"/>
      <c r="J537" s="13"/>
      <c r="K537" s="13"/>
      <c r="L537" s="242"/>
      <c r="M537" s="242"/>
      <c r="N537" s="242"/>
      <c r="O537" s="242"/>
      <c r="P537" s="242"/>
      <c r="Q537" s="242"/>
      <c r="R537" s="242"/>
      <c r="S537" s="242"/>
      <c r="T537" s="242"/>
      <c r="U537" s="242"/>
      <c r="V537" s="242"/>
      <c r="W537" s="242"/>
      <c r="X537" s="242"/>
      <c r="Y537" s="242"/>
      <c r="Z537" s="242"/>
    </row>
    <row r="538">
      <c r="A538" s="340"/>
      <c r="B538" s="242"/>
      <c r="C538" s="242"/>
      <c r="D538" s="242"/>
      <c r="E538" s="13"/>
      <c r="F538" s="13"/>
      <c r="G538" s="13"/>
      <c r="H538" s="13"/>
      <c r="I538" s="13"/>
      <c r="J538" s="13"/>
      <c r="K538" s="13"/>
      <c r="L538" s="242"/>
      <c r="M538" s="242"/>
      <c r="N538" s="242"/>
      <c r="O538" s="242"/>
      <c r="P538" s="242"/>
      <c r="Q538" s="242"/>
      <c r="R538" s="242"/>
      <c r="S538" s="242"/>
      <c r="T538" s="242"/>
      <c r="U538" s="242"/>
      <c r="V538" s="242"/>
      <c r="W538" s="242"/>
      <c r="X538" s="242"/>
      <c r="Y538" s="242"/>
      <c r="Z538" s="242"/>
    </row>
    <row r="539">
      <c r="A539" s="340"/>
      <c r="B539" s="242"/>
      <c r="C539" s="242"/>
      <c r="D539" s="242"/>
      <c r="E539" s="13"/>
      <c r="F539" s="13"/>
      <c r="G539" s="13"/>
      <c r="H539" s="13"/>
      <c r="I539" s="13"/>
      <c r="J539" s="13"/>
      <c r="K539" s="13"/>
      <c r="L539" s="242"/>
      <c r="M539" s="242"/>
      <c r="N539" s="242"/>
      <c r="O539" s="242"/>
      <c r="P539" s="242"/>
      <c r="Q539" s="242"/>
      <c r="R539" s="242"/>
      <c r="S539" s="242"/>
      <c r="T539" s="242"/>
      <c r="U539" s="242"/>
      <c r="V539" s="242"/>
      <c r="W539" s="242"/>
      <c r="X539" s="242"/>
      <c r="Y539" s="242"/>
      <c r="Z539" s="242"/>
    </row>
    <row r="540">
      <c r="A540" s="340"/>
      <c r="B540" s="242"/>
      <c r="C540" s="242"/>
      <c r="D540" s="242"/>
      <c r="E540" s="13"/>
      <c r="F540" s="13"/>
      <c r="G540" s="13"/>
      <c r="H540" s="13"/>
      <c r="I540" s="13"/>
      <c r="J540" s="13"/>
      <c r="K540" s="13"/>
      <c r="L540" s="242"/>
      <c r="M540" s="242"/>
      <c r="N540" s="242"/>
      <c r="O540" s="242"/>
      <c r="P540" s="242"/>
      <c r="Q540" s="242"/>
      <c r="R540" s="242"/>
      <c r="S540" s="242"/>
      <c r="T540" s="242"/>
      <c r="U540" s="242"/>
      <c r="V540" s="242"/>
      <c r="W540" s="242"/>
      <c r="X540" s="242"/>
      <c r="Y540" s="242"/>
      <c r="Z540" s="242"/>
    </row>
    <row r="541">
      <c r="A541" s="340"/>
      <c r="B541" s="242"/>
      <c r="C541" s="242"/>
      <c r="D541" s="242"/>
      <c r="E541" s="13"/>
      <c r="F541" s="13"/>
      <c r="G541" s="13"/>
      <c r="H541" s="13"/>
      <c r="I541" s="13"/>
      <c r="J541" s="13"/>
      <c r="K541" s="13"/>
      <c r="L541" s="242"/>
      <c r="M541" s="242"/>
      <c r="N541" s="242"/>
      <c r="O541" s="242"/>
      <c r="P541" s="242"/>
      <c r="Q541" s="242"/>
      <c r="R541" s="242"/>
      <c r="S541" s="242"/>
      <c r="T541" s="242"/>
      <c r="U541" s="242"/>
      <c r="V541" s="242"/>
      <c r="W541" s="242"/>
      <c r="X541" s="242"/>
      <c r="Y541" s="242"/>
      <c r="Z541" s="242"/>
    </row>
    <row r="542">
      <c r="A542" s="340"/>
      <c r="B542" s="242"/>
      <c r="C542" s="242"/>
      <c r="D542" s="242"/>
      <c r="E542" s="13"/>
      <c r="F542" s="13"/>
      <c r="G542" s="13"/>
      <c r="H542" s="13"/>
      <c r="I542" s="13"/>
      <c r="J542" s="13"/>
      <c r="K542" s="13"/>
      <c r="L542" s="242"/>
      <c r="M542" s="242"/>
      <c r="N542" s="242"/>
      <c r="O542" s="242"/>
      <c r="P542" s="242"/>
      <c r="Q542" s="242"/>
      <c r="R542" s="242"/>
      <c r="S542" s="242"/>
      <c r="T542" s="242"/>
      <c r="U542" s="242"/>
      <c r="V542" s="242"/>
      <c r="W542" s="242"/>
      <c r="X542" s="242"/>
      <c r="Y542" s="242"/>
      <c r="Z542" s="242"/>
    </row>
    <row r="543">
      <c r="A543" s="340"/>
      <c r="B543" s="242"/>
      <c r="C543" s="242"/>
      <c r="D543" s="242"/>
      <c r="E543" s="13"/>
      <c r="F543" s="13"/>
      <c r="G543" s="13"/>
      <c r="H543" s="13"/>
      <c r="I543" s="13"/>
      <c r="J543" s="13"/>
      <c r="K543" s="13"/>
      <c r="L543" s="242"/>
      <c r="M543" s="242"/>
      <c r="N543" s="242"/>
      <c r="O543" s="242"/>
      <c r="P543" s="242"/>
      <c r="Q543" s="242"/>
      <c r="R543" s="242"/>
      <c r="S543" s="242"/>
      <c r="T543" s="242"/>
      <c r="U543" s="242"/>
      <c r="V543" s="242"/>
      <c r="W543" s="242"/>
      <c r="X543" s="242"/>
      <c r="Y543" s="242"/>
      <c r="Z543" s="242"/>
    </row>
    <row r="544">
      <c r="A544" s="340"/>
      <c r="B544" s="242"/>
      <c r="C544" s="242"/>
      <c r="D544" s="242"/>
      <c r="E544" s="13"/>
      <c r="F544" s="13"/>
      <c r="G544" s="13"/>
      <c r="H544" s="13"/>
      <c r="I544" s="13"/>
      <c r="J544" s="13"/>
      <c r="K544" s="13"/>
      <c r="L544" s="242"/>
      <c r="M544" s="242"/>
      <c r="N544" s="242"/>
      <c r="O544" s="242"/>
      <c r="P544" s="242"/>
      <c r="Q544" s="242"/>
      <c r="R544" s="242"/>
      <c r="S544" s="242"/>
      <c r="T544" s="242"/>
      <c r="U544" s="242"/>
      <c r="V544" s="242"/>
      <c r="W544" s="242"/>
      <c r="X544" s="242"/>
      <c r="Y544" s="242"/>
      <c r="Z544" s="242"/>
    </row>
    <row r="545">
      <c r="A545" s="340"/>
      <c r="B545" s="242"/>
      <c r="C545" s="242"/>
      <c r="D545" s="242"/>
      <c r="E545" s="13"/>
      <c r="F545" s="13"/>
      <c r="G545" s="13"/>
      <c r="H545" s="13"/>
      <c r="I545" s="13"/>
      <c r="J545" s="13"/>
      <c r="K545" s="13"/>
      <c r="L545" s="242"/>
      <c r="M545" s="242"/>
      <c r="N545" s="242"/>
      <c r="O545" s="242"/>
      <c r="P545" s="242"/>
      <c r="Q545" s="242"/>
      <c r="R545" s="242"/>
      <c r="S545" s="242"/>
      <c r="T545" s="242"/>
      <c r="U545" s="242"/>
      <c r="V545" s="242"/>
      <c r="W545" s="242"/>
      <c r="X545" s="242"/>
      <c r="Y545" s="242"/>
      <c r="Z545" s="242"/>
    </row>
    <row r="546">
      <c r="A546" s="340"/>
      <c r="B546" s="242"/>
      <c r="C546" s="242"/>
      <c r="D546" s="242"/>
      <c r="E546" s="13"/>
      <c r="F546" s="13"/>
      <c r="G546" s="13"/>
      <c r="H546" s="13"/>
      <c r="I546" s="13"/>
      <c r="J546" s="13"/>
      <c r="K546" s="13"/>
      <c r="L546" s="242"/>
      <c r="M546" s="242"/>
      <c r="N546" s="242"/>
      <c r="O546" s="242"/>
      <c r="P546" s="242"/>
      <c r="Q546" s="242"/>
      <c r="R546" s="242"/>
      <c r="S546" s="242"/>
      <c r="T546" s="242"/>
      <c r="U546" s="242"/>
      <c r="V546" s="242"/>
      <c r="W546" s="242"/>
      <c r="X546" s="242"/>
      <c r="Y546" s="242"/>
      <c r="Z546" s="242"/>
    </row>
    <row r="547">
      <c r="A547" s="340"/>
      <c r="B547" s="242"/>
      <c r="C547" s="242"/>
      <c r="D547" s="242"/>
      <c r="E547" s="13"/>
      <c r="F547" s="13"/>
      <c r="G547" s="13"/>
      <c r="H547" s="13"/>
      <c r="I547" s="13"/>
      <c r="J547" s="13"/>
      <c r="K547" s="13"/>
      <c r="L547" s="242"/>
      <c r="M547" s="242"/>
      <c r="N547" s="242"/>
      <c r="O547" s="242"/>
      <c r="P547" s="242"/>
      <c r="Q547" s="242"/>
      <c r="R547" s="242"/>
      <c r="S547" s="242"/>
      <c r="T547" s="242"/>
      <c r="U547" s="242"/>
      <c r="V547" s="242"/>
      <c r="W547" s="242"/>
      <c r="X547" s="242"/>
      <c r="Y547" s="242"/>
      <c r="Z547" s="242"/>
    </row>
    <row r="548">
      <c r="A548" s="340"/>
      <c r="B548" s="242"/>
      <c r="C548" s="242"/>
      <c r="D548" s="242"/>
      <c r="E548" s="13"/>
      <c r="F548" s="13"/>
      <c r="G548" s="13"/>
      <c r="H548" s="13"/>
      <c r="I548" s="13"/>
      <c r="J548" s="13"/>
      <c r="K548" s="13"/>
      <c r="L548" s="242"/>
      <c r="M548" s="242"/>
      <c r="N548" s="242"/>
      <c r="O548" s="242"/>
      <c r="P548" s="242"/>
      <c r="Q548" s="242"/>
      <c r="R548" s="242"/>
      <c r="S548" s="242"/>
      <c r="T548" s="242"/>
      <c r="U548" s="242"/>
      <c r="V548" s="242"/>
      <c r="W548" s="242"/>
      <c r="X548" s="242"/>
      <c r="Y548" s="242"/>
      <c r="Z548" s="242"/>
    </row>
    <row r="549">
      <c r="A549" s="340"/>
      <c r="B549" s="242"/>
      <c r="C549" s="242"/>
      <c r="D549" s="242"/>
      <c r="E549" s="13"/>
      <c r="F549" s="13"/>
      <c r="G549" s="13"/>
      <c r="H549" s="13"/>
      <c r="I549" s="13"/>
      <c r="J549" s="13"/>
      <c r="K549" s="13"/>
      <c r="L549" s="242"/>
      <c r="M549" s="242"/>
      <c r="N549" s="242"/>
      <c r="O549" s="242"/>
      <c r="P549" s="242"/>
      <c r="Q549" s="242"/>
      <c r="R549" s="242"/>
      <c r="S549" s="242"/>
      <c r="T549" s="242"/>
      <c r="U549" s="242"/>
      <c r="V549" s="242"/>
      <c r="W549" s="242"/>
      <c r="X549" s="242"/>
      <c r="Y549" s="242"/>
      <c r="Z549" s="242"/>
    </row>
    <row r="550">
      <c r="A550" s="340"/>
      <c r="B550" s="242"/>
      <c r="C550" s="242"/>
      <c r="D550" s="242"/>
      <c r="E550" s="13"/>
      <c r="F550" s="13"/>
      <c r="G550" s="13"/>
      <c r="H550" s="13"/>
      <c r="I550" s="13"/>
      <c r="J550" s="13"/>
      <c r="K550" s="13"/>
      <c r="L550" s="242"/>
      <c r="M550" s="242"/>
      <c r="N550" s="242"/>
      <c r="O550" s="242"/>
      <c r="P550" s="242"/>
      <c r="Q550" s="242"/>
      <c r="R550" s="242"/>
      <c r="S550" s="242"/>
      <c r="T550" s="242"/>
      <c r="U550" s="242"/>
      <c r="V550" s="242"/>
      <c r="W550" s="242"/>
      <c r="X550" s="242"/>
      <c r="Y550" s="242"/>
      <c r="Z550" s="242"/>
    </row>
    <row r="551">
      <c r="A551" s="340"/>
      <c r="B551" s="242"/>
      <c r="C551" s="242"/>
      <c r="D551" s="242"/>
      <c r="E551" s="13"/>
      <c r="F551" s="13"/>
      <c r="G551" s="13"/>
      <c r="H551" s="13"/>
      <c r="I551" s="13"/>
      <c r="J551" s="13"/>
      <c r="K551" s="13"/>
      <c r="L551" s="242"/>
      <c r="M551" s="242"/>
      <c r="N551" s="242"/>
      <c r="O551" s="242"/>
      <c r="P551" s="242"/>
      <c r="Q551" s="242"/>
      <c r="R551" s="242"/>
      <c r="S551" s="242"/>
      <c r="T551" s="242"/>
      <c r="U551" s="242"/>
      <c r="V551" s="242"/>
      <c r="W551" s="242"/>
      <c r="X551" s="242"/>
      <c r="Y551" s="242"/>
      <c r="Z551" s="242"/>
    </row>
    <row r="552">
      <c r="A552" s="340"/>
      <c r="B552" s="242"/>
      <c r="C552" s="242"/>
      <c r="D552" s="242"/>
      <c r="E552" s="13"/>
      <c r="F552" s="13"/>
      <c r="G552" s="13"/>
      <c r="H552" s="13"/>
      <c r="I552" s="13"/>
      <c r="J552" s="13"/>
      <c r="K552" s="13"/>
      <c r="L552" s="242"/>
      <c r="M552" s="242"/>
      <c r="N552" s="242"/>
      <c r="O552" s="242"/>
      <c r="P552" s="242"/>
      <c r="Q552" s="242"/>
      <c r="R552" s="242"/>
      <c r="S552" s="242"/>
      <c r="T552" s="242"/>
      <c r="U552" s="242"/>
      <c r="V552" s="242"/>
      <c r="W552" s="242"/>
      <c r="X552" s="242"/>
      <c r="Y552" s="242"/>
      <c r="Z552" s="242"/>
    </row>
    <row r="553">
      <c r="A553" s="340"/>
      <c r="B553" s="242"/>
      <c r="C553" s="242"/>
      <c r="D553" s="242"/>
      <c r="E553" s="13"/>
      <c r="F553" s="13"/>
      <c r="G553" s="13"/>
      <c r="H553" s="13"/>
      <c r="I553" s="13"/>
      <c r="J553" s="13"/>
      <c r="K553" s="13"/>
      <c r="L553" s="242"/>
      <c r="M553" s="242"/>
      <c r="N553" s="242"/>
      <c r="O553" s="242"/>
      <c r="P553" s="242"/>
      <c r="Q553" s="242"/>
      <c r="R553" s="242"/>
      <c r="S553" s="242"/>
      <c r="T553" s="242"/>
      <c r="U553" s="242"/>
      <c r="V553" s="242"/>
      <c r="W553" s="242"/>
      <c r="X553" s="242"/>
      <c r="Y553" s="242"/>
      <c r="Z553" s="242"/>
    </row>
    <row r="554">
      <c r="A554" s="340"/>
      <c r="B554" s="242"/>
      <c r="C554" s="242"/>
      <c r="D554" s="242"/>
      <c r="E554" s="13"/>
      <c r="F554" s="13"/>
      <c r="G554" s="13"/>
      <c r="H554" s="13"/>
      <c r="I554" s="13"/>
      <c r="J554" s="13"/>
      <c r="K554" s="13"/>
      <c r="L554" s="242"/>
      <c r="M554" s="242"/>
      <c r="N554" s="242"/>
      <c r="O554" s="242"/>
      <c r="P554" s="242"/>
      <c r="Q554" s="242"/>
      <c r="R554" s="242"/>
      <c r="S554" s="242"/>
      <c r="T554" s="242"/>
      <c r="U554" s="242"/>
      <c r="V554" s="242"/>
      <c r="W554" s="242"/>
      <c r="X554" s="242"/>
      <c r="Y554" s="242"/>
      <c r="Z554" s="242"/>
    </row>
    <row r="555">
      <c r="A555" s="340"/>
      <c r="B555" s="242"/>
      <c r="C555" s="242"/>
      <c r="D555" s="242"/>
      <c r="E555" s="13"/>
      <c r="F555" s="13"/>
      <c r="G555" s="13"/>
      <c r="H555" s="13"/>
      <c r="I555" s="13"/>
      <c r="J555" s="13"/>
      <c r="K555" s="13"/>
      <c r="L555" s="242"/>
      <c r="M555" s="242"/>
      <c r="N555" s="242"/>
      <c r="O555" s="242"/>
      <c r="P555" s="242"/>
      <c r="Q555" s="242"/>
      <c r="R555" s="242"/>
      <c r="S555" s="242"/>
      <c r="T555" s="242"/>
      <c r="U555" s="242"/>
      <c r="V555" s="242"/>
      <c r="W555" s="242"/>
      <c r="X555" s="242"/>
      <c r="Y555" s="242"/>
      <c r="Z555" s="242"/>
    </row>
    <row r="556">
      <c r="A556" s="340"/>
      <c r="B556" s="242"/>
      <c r="C556" s="242"/>
      <c r="D556" s="242"/>
      <c r="E556" s="13"/>
      <c r="F556" s="13"/>
      <c r="G556" s="13"/>
      <c r="H556" s="13"/>
      <c r="I556" s="13"/>
      <c r="J556" s="13"/>
      <c r="K556" s="13"/>
      <c r="L556" s="242"/>
      <c r="M556" s="242"/>
      <c r="N556" s="242"/>
      <c r="O556" s="242"/>
      <c r="P556" s="242"/>
      <c r="Q556" s="242"/>
      <c r="R556" s="242"/>
      <c r="S556" s="242"/>
      <c r="T556" s="242"/>
      <c r="U556" s="242"/>
      <c r="V556" s="242"/>
      <c r="W556" s="242"/>
      <c r="X556" s="242"/>
      <c r="Y556" s="242"/>
      <c r="Z556" s="242"/>
    </row>
    <row r="557">
      <c r="A557" s="340"/>
      <c r="B557" s="242"/>
      <c r="C557" s="242"/>
      <c r="D557" s="242"/>
      <c r="E557" s="13"/>
      <c r="F557" s="13"/>
      <c r="G557" s="13"/>
      <c r="H557" s="13"/>
      <c r="I557" s="13"/>
      <c r="J557" s="13"/>
      <c r="K557" s="13"/>
      <c r="L557" s="242"/>
      <c r="M557" s="242"/>
      <c r="N557" s="242"/>
      <c r="O557" s="242"/>
      <c r="P557" s="242"/>
      <c r="Q557" s="242"/>
      <c r="R557" s="242"/>
      <c r="S557" s="242"/>
      <c r="T557" s="242"/>
      <c r="U557" s="242"/>
      <c r="V557" s="242"/>
      <c r="W557" s="242"/>
      <c r="X557" s="242"/>
      <c r="Y557" s="242"/>
      <c r="Z557" s="242"/>
    </row>
    <row r="558">
      <c r="A558" s="340"/>
      <c r="B558" s="242"/>
      <c r="C558" s="242"/>
      <c r="D558" s="242"/>
      <c r="E558" s="13"/>
      <c r="F558" s="13"/>
      <c r="G558" s="13"/>
      <c r="H558" s="13"/>
      <c r="I558" s="13"/>
      <c r="J558" s="13"/>
      <c r="K558" s="13"/>
      <c r="L558" s="242"/>
      <c r="M558" s="242"/>
      <c r="N558" s="242"/>
      <c r="O558" s="242"/>
      <c r="P558" s="242"/>
      <c r="Q558" s="242"/>
      <c r="R558" s="242"/>
      <c r="S558" s="242"/>
      <c r="T558" s="242"/>
      <c r="U558" s="242"/>
      <c r="V558" s="242"/>
      <c r="W558" s="242"/>
      <c r="X558" s="242"/>
      <c r="Y558" s="242"/>
      <c r="Z558" s="242"/>
    </row>
    <row r="559">
      <c r="A559" s="340"/>
      <c r="B559" s="242"/>
      <c r="C559" s="242"/>
      <c r="D559" s="242"/>
      <c r="E559" s="13"/>
      <c r="F559" s="13"/>
      <c r="G559" s="13"/>
      <c r="H559" s="13"/>
      <c r="I559" s="13"/>
      <c r="J559" s="13"/>
      <c r="K559" s="13"/>
      <c r="L559" s="242"/>
      <c r="M559" s="242"/>
      <c r="N559" s="242"/>
      <c r="O559" s="242"/>
      <c r="P559" s="242"/>
      <c r="Q559" s="242"/>
      <c r="R559" s="242"/>
      <c r="S559" s="242"/>
      <c r="T559" s="242"/>
      <c r="U559" s="242"/>
      <c r="V559" s="242"/>
      <c r="W559" s="242"/>
      <c r="X559" s="242"/>
      <c r="Y559" s="242"/>
      <c r="Z559" s="242"/>
    </row>
    <row r="560">
      <c r="A560" s="340"/>
      <c r="B560" s="242"/>
      <c r="C560" s="242"/>
      <c r="D560" s="242"/>
      <c r="E560" s="13"/>
      <c r="F560" s="13"/>
      <c r="G560" s="13"/>
      <c r="H560" s="13"/>
      <c r="I560" s="13"/>
      <c r="J560" s="13"/>
      <c r="K560" s="13"/>
      <c r="L560" s="242"/>
      <c r="M560" s="242"/>
      <c r="N560" s="242"/>
      <c r="O560" s="242"/>
      <c r="P560" s="242"/>
      <c r="Q560" s="242"/>
      <c r="R560" s="242"/>
      <c r="S560" s="242"/>
      <c r="T560" s="242"/>
      <c r="U560" s="242"/>
      <c r="V560" s="242"/>
      <c r="W560" s="242"/>
      <c r="X560" s="242"/>
      <c r="Y560" s="242"/>
      <c r="Z560" s="242"/>
    </row>
    <row r="561">
      <c r="A561" s="340"/>
      <c r="B561" s="242"/>
      <c r="C561" s="242"/>
      <c r="D561" s="242"/>
      <c r="E561" s="13"/>
      <c r="F561" s="13"/>
      <c r="G561" s="13"/>
      <c r="H561" s="13"/>
      <c r="I561" s="13"/>
      <c r="J561" s="13"/>
      <c r="K561" s="13"/>
      <c r="L561" s="242"/>
      <c r="M561" s="242"/>
      <c r="N561" s="242"/>
      <c r="O561" s="242"/>
      <c r="P561" s="242"/>
      <c r="Q561" s="242"/>
      <c r="R561" s="242"/>
      <c r="S561" s="242"/>
      <c r="T561" s="242"/>
      <c r="U561" s="242"/>
      <c r="V561" s="242"/>
      <c r="W561" s="242"/>
      <c r="X561" s="242"/>
      <c r="Y561" s="242"/>
      <c r="Z561" s="242"/>
    </row>
    <row r="562">
      <c r="A562" s="340"/>
      <c r="B562" s="242"/>
      <c r="C562" s="242"/>
      <c r="D562" s="242"/>
      <c r="E562" s="13"/>
      <c r="F562" s="13"/>
      <c r="G562" s="13"/>
      <c r="H562" s="13"/>
      <c r="I562" s="13"/>
      <c r="J562" s="13"/>
      <c r="K562" s="13"/>
      <c r="L562" s="242"/>
      <c r="M562" s="242"/>
      <c r="N562" s="242"/>
      <c r="O562" s="242"/>
      <c r="P562" s="242"/>
      <c r="Q562" s="242"/>
      <c r="R562" s="242"/>
      <c r="S562" s="242"/>
      <c r="T562" s="242"/>
      <c r="U562" s="242"/>
      <c r="V562" s="242"/>
      <c r="W562" s="242"/>
      <c r="X562" s="242"/>
      <c r="Y562" s="242"/>
      <c r="Z562" s="242"/>
    </row>
    <row r="563">
      <c r="A563" s="340"/>
      <c r="B563" s="242"/>
      <c r="C563" s="242"/>
      <c r="D563" s="242"/>
      <c r="E563" s="13"/>
      <c r="F563" s="13"/>
      <c r="G563" s="13"/>
      <c r="H563" s="13"/>
      <c r="I563" s="13"/>
      <c r="J563" s="13"/>
      <c r="K563" s="13"/>
      <c r="L563" s="242"/>
      <c r="M563" s="242"/>
      <c r="N563" s="242"/>
      <c r="O563" s="242"/>
      <c r="P563" s="242"/>
      <c r="Q563" s="242"/>
      <c r="R563" s="242"/>
      <c r="S563" s="242"/>
      <c r="T563" s="242"/>
      <c r="U563" s="242"/>
      <c r="V563" s="242"/>
      <c r="W563" s="242"/>
      <c r="X563" s="242"/>
      <c r="Y563" s="242"/>
      <c r="Z563" s="242"/>
    </row>
    <row r="564">
      <c r="A564" s="340"/>
      <c r="B564" s="242"/>
      <c r="C564" s="242"/>
      <c r="D564" s="242"/>
      <c r="E564" s="13"/>
      <c r="F564" s="13"/>
      <c r="G564" s="13"/>
      <c r="H564" s="13"/>
      <c r="I564" s="13"/>
      <c r="J564" s="13"/>
      <c r="K564" s="13"/>
      <c r="L564" s="242"/>
      <c r="M564" s="242"/>
      <c r="N564" s="242"/>
      <c r="O564" s="242"/>
      <c r="P564" s="242"/>
      <c r="Q564" s="242"/>
      <c r="R564" s="242"/>
      <c r="S564" s="242"/>
      <c r="T564" s="242"/>
      <c r="U564" s="242"/>
      <c r="V564" s="242"/>
      <c r="W564" s="242"/>
      <c r="X564" s="242"/>
      <c r="Y564" s="242"/>
      <c r="Z564" s="242"/>
    </row>
    <row r="565">
      <c r="A565" s="340"/>
      <c r="B565" s="242"/>
      <c r="C565" s="242"/>
      <c r="D565" s="242"/>
      <c r="E565" s="13"/>
      <c r="F565" s="13"/>
      <c r="G565" s="13"/>
      <c r="H565" s="13"/>
      <c r="I565" s="13"/>
      <c r="J565" s="13"/>
      <c r="K565" s="13"/>
      <c r="L565" s="242"/>
      <c r="M565" s="242"/>
      <c r="N565" s="242"/>
      <c r="O565" s="242"/>
      <c r="P565" s="242"/>
      <c r="Q565" s="242"/>
      <c r="R565" s="242"/>
      <c r="S565" s="242"/>
      <c r="T565" s="242"/>
      <c r="U565" s="242"/>
      <c r="V565" s="242"/>
      <c r="W565" s="242"/>
      <c r="X565" s="242"/>
      <c r="Y565" s="242"/>
      <c r="Z565" s="242"/>
    </row>
    <row r="566">
      <c r="A566" s="340"/>
      <c r="B566" s="242"/>
      <c r="C566" s="242"/>
      <c r="D566" s="242"/>
      <c r="E566" s="13"/>
      <c r="F566" s="13"/>
      <c r="G566" s="13"/>
      <c r="H566" s="13"/>
      <c r="I566" s="13"/>
      <c r="J566" s="13"/>
      <c r="K566" s="13"/>
      <c r="L566" s="242"/>
      <c r="M566" s="242"/>
      <c r="N566" s="242"/>
      <c r="O566" s="242"/>
      <c r="P566" s="242"/>
      <c r="Q566" s="242"/>
      <c r="R566" s="242"/>
      <c r="S566" s="242"/>
      <c r="T566" s="242"/>
      <c r="U566" s="242"/>
      <c r="V566" s="242"/>
      <c r="W566" s="242"/>
      <c r="X566" s="242"/>
      <c r="Y566" s="242"/>
      <c r="Z566" s="242"/>
    </row>
    <row r="567">
      <c r="A567" s="340"/>
      <c r="B567" s="242"/>
      <c r="C567" s="242"/>
      <c r="D567" s="242"/>
      <c r="E567" s="13"/>
      <c r="F567" s="13"/>
      <c r="G567" s="13"/>
      <c r="H567" s="13"/>
      <c r="I567" s="13"/>
      <c r="J567" s="13"/>
      <c r="K567" s="13"/>
      <c r="L567" s="242"/>
      <c r="M567" s="242"/>
      <c r="N567" s="242"/>
      <c r="O567" s="242"/>
      <c r="P567" s="242"/>
      <c r="Q567" s="242"/>
      <c r="R567" s="242"/>
      <c r="S567" s="242"/>
      <c r="T567" s="242"/>
      <c r="U567" s="242"/>
      <c r="V567" s="242"/>
      <c r="W567" s="242"/>
      <c r="X567" s="242"/>
      <c r="Y567" s="242"/>
      <c r="Z567" s="242"/>
    </row>
    <row r="568">
      <c r="A568" s="340"/>
      <c r="B568" s="242"/>
      <c r="C568" s="242"/>
      <c r="D568" s="242"/>
      <c r="E568" s="13"/>
      <c r="F568" s="13"/>
      <c r="G568" s="13"/>
      <c r="H568" s="13"/>
      <c r="I568" s="13"/>
      <c r="J568" s="13"/>
      <c r="K568" s="13"/>
      <c r="L568" s="242"/>
      <c r="M568" s="242"/>
      <c r="N568" s="242"/>
      <c r="O568" s="242"/>
      <c r="P568" s="242"/>
      <c r="Q568" s="242"/>
      <c r="R568" s="242"/>
      <c r="S568" s="242"/>
      <c r="T568" s="242"/>
      <c r="U568" s="242"/>
      <c r="V568" s="242"/>
      <c r="W568" s="242"/>
      <c r="X568" s="242"/>
      <c r="Y568" s="242"/>
      <c r="Z568" s="242"/>
    </row>
    <row r="569">
      <c r="A569" s="340"/>
      <c r="B569" s="242"/>
      <c r="C569" s="242"/>
      <c r="D569" s="242"/>
      <c r="E569" s="13"/>
      <c r="F569" s="13"/>
      <c r="G569" s="13"/>
      <c r="H569" s="13"/>
      <c r="I569" s="13"/>
      <c r="J569" s="13"/>
      <c r="K569" s="13"/>
      <c r="L569" s="242"/>
      <c r="M569" s="242"/>
      <c r="N569" s="242"/>
      <c r="O569" s="242"/>
      <c r="P569" s="242"/>
      <c r="Q569" s="242"/>
      <c r="R569" s="242"/>
      <c r="S569" s="242"/>
      <c r="T569" s="242"/>
      <c r="U569" s="242"/>
      <c r="V569" s="242"/>
      <c r="W569" s="242"/>
      <c r="X569" s="242"/>
      <c r="Y569" s="242"/>
      <c r="Z569" s="242"/>
    </row>
    <row r="570">
      <c r="A570" s="340"/>
      <c r="B570" s="242"/>
      <c r="C570" s="242"/>
      <c r="D570" s="242"/>
      <c r="E570" s="13"/>
      <c r="F570" s="13"/>
      <c r="G570" s="13"/>
      <c r="H570" s="13"/>
      <c r="I570" s="13"/>
      <c r="J570" s="13"/>
      <c r="K570" s="13"/>
      <c r="L570" s="242"/>
      <c r="M570" s="242"/>
      <c r="N570" s="242"/>
      <c r="O570" s="242"/>
      <c r="P570" s="242"/>
      <c r="Q570" s="242"/>
      <c r="R570" s="242"/>
      <c r="S570" s="242"/>
      <c r="T570" s="242"/>
      <c r="U570" s="242"/>
      <c r="V570" s="242"/>
      <c r="W570" s="242"/>
      <c r="X570" s="242"/>
      <c r="Y570" s="242"/>
      <c r="Z570" s="242"/>
    </row>
    <row r="571">
      <c r="A571" s="340"/>
      <c r="B571" s="242"/>
      <c r="C571" s="242"/>
      <c r="D571" s="242"/>
      <c r="E571" s="13"/>
      <c r="F571" s="13"/>
      <c r="G571" s="13"/>
      <c r="H571" s="13"/>
      <c r="I571" s="13"/>
      <c r="J571" s="13"/>
      <c r="K571" s="13"/>
      <c r="L571" s="242"/>
      <c r="M571" s="242"/>
      <c r="N571" s="242"/>
      <c r="O571" s="242"/>
      <c r="P571" s="242"/>
      <c r="Q571" s="242"/>
      <c r="R571" s="242"/>
      <c r="S571" s="242"/>
      <c r="T571" s="242"/>
      <c r="U571" s="242"/>
      <c r="V571" s="242"/>
      <c r="W571" s="242"/>
      <c r="X571" s="242"/>
      <c r="Y571" s="242"/>
      <c r="Z571" s="242"/>
    </row>
    <row r="572">
      <c r="A572" s="340"/>
      <c r="B572" s="242"/>
      <c r="C572" s="242"/>
      <c r="D572" s="242"/>
      <c r="E572" s="13"/>
      <c r="F572" s="13"/>
      <c r="G572" s="13"/>
      <c r="H572" s="13"/>
      <c r="I572" s="13"/>
      <c r="J572" s="13"/>
      <c r="K572" s="13"/>
      <c r="L572" s="242"/>
      <c r="M572" s="242"/>
      <c r="N572" s="242"/>
      <c r="O572" s="242"/>
      <c r="P572" s="242"/>
      <c r="Q572" s="242"/>
      <c r="R572" s="242"/>
      <c r="S572" s="242"/>
      <c r="T572" s="242"/>
      <c r="U572" s="242"/>
      <c r="V572" s="242"/>
      <c r="W572" s="242"/>
      <c r="X572" s="242"/>
      <c r="Y572" s="242"/>
      <c r="Z572" s="242"/>
    </row>
    <row r="573">
      <c r="A573" s="340"/>
      <c r="B573" s="242"/>
      <c r="C573" s="242"/>
      <c r="D573" s="242"/>
      <c r="E573" s="13"/>
      <c r="F573" s="13"/>
      <c r="G573" s="13"/>
      <c r="H573" s="13"/>
      <c r="I573" s="13"/>
      <c r="J573" s="13"/>
      <c r="K573" s="13"/>
      <c r="L573" s="242"/>
      <c r="M573" s="242"/>
      <c r="N573" s="242"/>
      <c r="O573" s="242"/>
      <c r="P573" s="242"/>
      <c r="Q573" s="242"/>
      <c r="R573" s="242"/>
      <c r="S573" s="242"/>
      <c r="T573" s="242"/>
      <c r="U573" s="242"/>
      <c r="V573" s="242"/>
      <c r="W573" s="242"/>
      <c r="X573" s="242"/>
      <c r="Y573" s="242"/>
      <c r="Z573" s="242"/>
    </row>
    <row r="574">
      <c r="A574" s="340"/>
      <c r="B574" s="242"/>
      <c r="C574" s="242"/>
      <c r="D574" s="242"/>
      <c r="E574" s="13"/>
      <c r="F574" s="13"/>
      <c r="G574" s="13"/>
      <c r="H574" s="13"/>
      <c r="I574" s="13"/>
      <c r="J574" s="13"/>
      <c r="K574" s="13"/>
      <c r="L574" s="242"/>
      <c r="M574" s="242"/>
      <c r="N574" s="242"/>
      <c r="O574" s="242"/>
      <c r="P574" s="242"/>
      <c r="Q574" s="242"/>
      <c r="R574" s="242"/>
      <c r="S574" s="242"/>
      <c r="T574" s="242"/>
      <c r="U574" s="242"/>
      <c r="V574" s="242"/>
      <c r="W574" s="242"/>
      <c r="X574" s="242"/>
      <c r="Y574" s="242"/>
      <c r="Z574" s="242"/>
    </row>
    <row r="575">
      <c r="A575" s="340"/>
      <c r="B575" s="242"/>
      <c r="C575" s="242"/>
      <c r="D575" s="242"/>
      <c r="E575" s="13"/>
      <c r="F575" s="13"/>
      <c r="G575" s="13"/>
      <c r="H575" s="13"/>
      <c r="I575" s="13"/>
      <c r="J575" s="13"/>
      <c r="K575" s="13"/>
      <c r="L575" s="242"/>
      <c r="M575" s="242"/>
      <c r="N575" s="242"/>
      <c r="O575" s="242"/>
      <c r="P575" s="242"/>
      <c r="Q575" s="242"/>
      <c r="R575" s="242"/>
      <c r="S575" s="242"/>
      <c r="T575" s="242"/>
      <c r="U575" s="242"/>
      <c r="V575" s="242"/>
      <c r="W575" s="242"/>
      <c r="X575" s="242"/>
      <c r="Y575" s="242"/>
      <c r="Z575" s="242"/>
    </row>
    <row r="576">
      <c r="A576" s="340"/>
      <c r="B576" s="242"/>
      <c r="C576" s="242"/>
      <c r="D576" s="242"/>
      <c r="E576" s="13"/>
      <c r="F576" s="13"/>
      <c r="G576" s="13"/>
      <c r="H576" s="13"/>
      <c r="I576" s="13"/>
      <c r="J576" s="13"/>
      <c r="K576" s="13"/>
      <c r="L576" s="242"/>
      <c r="M576" s="242"/>
      <c r="N576" s="242"/>
      <c r="O576" s="242"/>
      <c r="P576" s="242"/>
      <c r="Q576" s="242"/>
      <c r="R576" s="242"/>
      <c r="S576" s="242"/>
      <c r="T576" s="242"/>
      <c r="U576" s="242"/>
      <c r="V576" s="242"/>
      <c r="W576" s="242"/>
      <c r="X576" s="242"/>
      <c r="Y576" s="242"/>
      <c r="Z576" s="242"/>
    </row>
    <row r="577">
      <c r="A577" s="340"/>
      <c r="B577" s="242"/>
      <c r="C577" s="242"/>
      <c r="D577" s="242"/>
      <c r="E577" s="13"/>
      <c r="F577" s="13"/>
      <c r="G577" s="13"/>
      <c r="H577" s="13"/>
      <c r="I577" s="13"/>
      <c r="J577" s="13"/>
      <c r="K577" s="13"/>
      <c r="L577" s="242"/>
      <c r="M577" s="242"/>
      <c r="N577" s="242"/>
      <c r="O577" s="242"/>
      <c r="P577" s="242"/>
      <c r="Q577" s="242"/>
      <c r="R577" s="242"/>
      <c r="S577" s="242"/>
      <c r="T577" s="242"/>
      <c r="U577" s="242"/>
      <c r="V577" s="242"/>
      <c r="W577" s="242"/>
      <c r="X577" s="242"/>
      <c r="Y577" s="242"/>
      <c r="Z577" s="242"/>
    </row>
    <row r="578">
      <c r="A578" s="340"/>
      <c r="B578" s="242"/>
      <c r="C578" s="242"/>
      <c r="D578" s="242"/>
      <c r="E578" s="13"/>
      <c r="F578" s="13"/>
      <c r="G578" s="13"/>
      <c r="H578" s="13"/>
      <c r="I578" s="13"/>
      <c r="J578" s="13"/>
      <c r="K578" s="13"/>
      <c r="L578" s="242"/>
      <c r="M578" s="242"/>
      <c r="N578" s="242"/>
      <c r="O578" s="242"/>
      <c r="P578" s="242"/>
      <c r="Q578" s="242"/>
      <c r="R578" s="242"/>
      <c r="S578" s="242"/>
      <c r="T578" s="242"/>
      <c r="U578" s="242"/>
      <c r="V578" s="242"/>
      <c r="W578" s="242"/>
      <c r="X578" s="242"/>
      <c r="Y578" s="242"/>
      <c r="Z578" s="242"/>
    </row>
    <row r="579">
      <c r="A579" s="340"/>
      <c r="B579" s="242"/>
      <c r="C579" s="242"/>
      <c r="D579" s="242"/>
      <c r="E579" s="13"/>
      <c r="F579" s="13"/>
      <c r="G579" s="13"/>
      <c r="H579" s="13"/>
      <c r="I579" s="13"/>
      <c r="J579" s="13"/>
      <c r="K579" s="13"/>
      <c r="L579" s="242"/>
      <c r="M579" s="242"/>
      <c r="N579" s="242"/>
      <c r="O579" s="242"/>
      <c r="P579" s="242"/>
      <c r="Q579" s="242"/>
      <c r="R579" s="242"/>
      <c r="S579" s="242"/>
      <c r="T579" s="242"/>
      <c r="U579" s="242"/>
      <c r="V579" s="242"/>
      <c r="W579" s="242"/>
      <c r="X579" s="242"/>
      <c r="Y579" s="242"/>
      <c r="Z579" s="242"/>
    </row>
    <row r="580">
      <c r="A580" s="340"/>
      <c r="B580" s="242"/>
      <c r="C580" s="242"/>
      <c r="D580" s="242"/>
      <c r="E580" s="13"/>
      <c r="F580" s="13"/>
      <c r="G580" s="13"/>
      <c r="H580" s="13"/>
      <c r="I580" s="13"/>
      <c r="J580" s="13"/>
      <c r="K580" s="13"/>
      <c r="L580" s="242"/>
      <c r="M580" s="242"/>
      <c r="N580" s="242"/>
      <c r="O580" s="242"/>
      <c r="P580" s="242"/>
      <c r="Q580" s="242"/>
      <c r="R580" s="242"/>
      <c r="S580" s="242"/>
      <c r="T580" s="242"/>
      <c r="U580" s="242"/>
      <c r="V580" s="242"/>
      <c r="W580" s="242"/>
      <c r="X580" s="242"/>
      <c r="Y580" s="242"/>
      <c r="Z580" s="242"/>
    </row>
    <row r="581">
      <c r="A581" s="340"/>
      <c r="B581" s="242"/>
      <c r="C581" s="242"/>
      <c r="D581" s="242"/>
      <c r="E581" s="13"/>
      <c r="F581" s="13"/>
      <c r="G581" s="13"/>
      <c r="H581" s="13"/>
      <c r="I581" s="13"/>
      <c r="J581" s="13"/>
      <c r="K581" s="13"/>
      <c r="L581" s="242"/>
      <c r="M581" s="242"/>
      <c r="N581" s="242"/>
      <c r="O581" s="242"/>
      <c r="P581" s="242"/>
      <c r="Q581" s="242"/>
      <c r="R581" s="242"/>
      <c r="S581" s="242"/>
      <c r="T581" s="242"/>
      <c r="U581" s="242"/>
      <c r="V581" s="242"/>
      <c r="W581" s="242"/>
      <c r="X581" s="242"/>
      <c r="Y581" s="242"/>
      <c r="Z581" s="242"/>
    </row>
    <row r="582">
      <c r="A582" s="340"/>
      <c r="B582" s="242"/>
      <c r="C582" s="242"/>
      <c r="D582" s="242"/>
      <c r="E582" s="13"/>
      <c r="F582" s="13"/>
      <c r="G582" s="13"/>
      <c r="H582" s="13"/>
      <c r="I582" s="13"/>
      <c r="J582" s="13"/>
      <c r="K582" s="13"/>
      <c r="L582" s="242"/>
      <c r="M582" s="242"/>
      <c r="N582" s="242"/>
      <c r="O582" s="242"/>
      <c r="P582" s="242"/>
      <c r="Q582" s="242"/>
      <c r="R582" s="242"/>
      <c r="S582" s="242"/>
      <c r="T582" s="242"/>
      <c r="U582" s="242"/>
      <c r="V582" s="242"/>
      <c r="W582" s="242"/>
      <c r="X582" s="242"/>
      <c r="Y582" s="242"/>
      <c r="Z582" s="242"/>
    </row>
    <row r="583">
      <c r="A583" s="340"/>
      <c r="B583" s="242"/>
      <c r="C583" s="242"/>
      <c r="D583" s="242"/>
      <c r="E583" s="13"/>
      <c r="F583" s="13"/>
      <c r="G583" s="13"/>
      <c r="H583" s="13"/>
      <c r="I583" s="13"/>
      <c r="J583" s="13"/>
      <c r="K583" s="13"/>
      <c r="L583" s="242"/>
      <c r="M583" s="242"/>
      <c r="N583" s="242"/>
      <c r="O583" s="242"/>
      <c r="P583" s="242"/>
      <c r="Q583" s="242"/>
      <c r="R583" s="242"/>
      <c r="S583" s="242"/>
      <c r="T583" s="242"/>
      <c r="U583" s="242"/>
      <c r="V583" s="242"/>
      <c r="W583" s="242"/>
      <c r="X583" s="242"/>
      <c r="Y583" s="242"/>
      <c r="Z583" s="242"/>
    </row>
    <row r="584">
      <c r="A584" s="340"/>
      <c r="B584" s="242"/>
      <c r="C584" s="242"/>
      <c r="D584" s="242"/>
      <c r="E584" s="13"/>
      <c r="F584" s="13"/>
      <c r="G584" s="13"/>
      <c r="H584" s="13"/>
      <c r="I584" s="13"/>
      <c r="J584" s="13"/>
      <c r="K584" s="13"/>
      <c r="L584" s="242"/>
      <c r="M584" s="242"/>
      <c r="N584" s="242"/>
      <c r="O584" s="242"/>
      <c r="P584" s="242"/>
      <c r="Q584" s="242"/>
      <c r="R584" s="242"/>
      <c r="S584" s="242"/>
      <c r="T584" s="242"/>
      <c r="U584" s="242"/>
      <c r="V584" s="242"/>
      <c r="W584" s="242"/>
      <c r="X584" s="242"/>
      <c r="Y584" s="242"/>
      <c r="Z584" s="242"/>
    </row>
    <row r="585">
      <c r="A585" s="340"/>
      <c r="B585" s="242"/>
      <c r="C585" s="242"/>
      <c r="D585" s="242"/>
      <c r="E585" s="13"/>
      <c r="F585" s="13"/>
      <c r="G585" s="13"/>
      <c r="H585" s="13"/>
      <c r="I585" s="13"/>
      <c r="J585" s="13"/>
      <c r="K585" s="13"/>
      <c r="L585" s="242"/>
      <c r="M585" s="242"/>
      <c r="N585" s="242"/>
      <c r="O585" s="242"/>
      <c r="P585" s="242"/>
      <c r="Q585" s="242"/>
      <c r="R585" s="242"/>
      <c r="S585" s="242"/>
      <c r="T585" s="242"/>
      <c r="U585" s="242"/>
      <c r="V585" s="242"/>
      <c r="W585" s="242"/>
      <c r="X585" s="242"/>
      <c r="Y585" s="242"/>
      <c r="Z585" s="242"/>
    </row>
    <row r="586">
      <c r="A586" s="340"/>
      <c r="B586" s="242"/>
      <c r="C586" s="242"/>
      <c r="D586" s="242"/>
      <c r="E586" s="13"/>
      <c r="F586" s="13"/>
      <c r="G586" s="13"/>
      <c r="H586" s="13"/>
      <c r="I586" s="13"/>
      <c r="J586" s="13"/>
      <c r="K586" s="13"/>
      <c r="L586" s="242"/>
      <c r="M586" s="242"/>
      <c r="N586" s="242"/>
      <c r="O586" s="242"/>
      <c r="P586" s="242"/>
      <c r="Q586" s="242"/>
      <c r="R586" s="242"/>
      <c r="S586" s="242"/>
      <c r="T586" s="242"/>
      <c r="U586" s="242"/>
      <c r="V586" s="242"/>
      <c r="W586" s="242"/>
      <c r="X586" s="242"/>
      <c r="Y586" s="242"/>
      <c r="Z586" s="242"/>
    </row>
    <row r="587">
      <c r="A587" s="340"/>
      <c r="B587" s="242"/>
      <c r="C587" s="242"/>
      <c r="D587" s="242"/>
      <c r="E587" s="13"/>
      <c r="F587" s="13"/>
      <c r="G587" s="13"/>
      <c r="H587" s="13"/>
      <c r="I587" s="13"/>
      <c r="J587" s="13"/>
      <c r="K587" s="13"/>
      <c r="L587" s="242"/>
      <c r="M587" s="242"/>
      <c r="N587" s="242"/>
      <c r="O587" s="242"/>
      <c r="P587" s="242"/>
      <c r="Q587" s="242"/>
      <c r="R587" s="242"/>
      <c r="S587" s="242"/>
      <c r="T587" s="242"/>
      <c r="U587" s="242"/>
      <c r="V587" s="242"/>
      <c r="W587" s="242"/>
      <c r="X587" s="242"/>
      <c r="Y587" s="242"/>
      <c r="Z587" s="242"/>
    </row>
    <row r="588">
      <c r="A588" s="340"/>
      <c r="B588" s="242"/>
      <c r="C588" s="242"/>
      <c r="D588" s="242"/>
      <c r="E588" s="13"/>
      <c r="F588" s="13"/>
      <c r="G588" s="13"/>
      <c r="H588" s="13"/>
      <c r="I588" s="13"/>
      <c r="J588" s="13"/>
      <c r="K588" s="13"/>
      <c r="L588" s="242"/>
      <c r="M588" s="242"/>
      <c r="N588" s="242"/>
      <c r="O588" s="242"/>
      <c r="P588" s="242"/>
      <c r="Q588" s="242"/>
      <c r="R588" s="242"/>
      <c r="S588" s="242"/>
      <c r="T588" s="242"/>
      <c r="U588" s="242"/>
      <c r="V588" s="242"/>
      <c r="W588" s="242"/>
      <c r="X588" s="242"/>
      <c r="Y588" s="242"/>
      <c r="Z588" s="242"/>
    </row>
    <row r="589">
      <c r="A589" s="340"/>
      <c r="B589" s="242"/>
      <c r="C589" s="242"/>
      <c r="D589" s="242"/>
      <c r="E589" s="13"/>
      <c r="F589" s="13"/>
      <c r="G589" s="13"/>
      <c r="H589" s="13"/>
      <c r="I589" s="13"/>
      <c r="J589" s="13"/>
      <c r="K589" s="13"/>
      <c r="L589" s="242"/>
      <c r="M589" s="242"/>
      <c r="N589" s="242"/>
      <c r="O589" s="242"/>
      <c r="P589" s="242"/>
      <c r="Q589" s="242"/>
      <c r="R589" s="242"/>
      <c r="S589" s="242"/>
      <c r="T589" s="242"/>
      <c r="U589" s="242"/>
      <c r="V589" s="242"/>
      <c r="W589" s="242"/>
      <c r="X589" s="242"/>
      <c r="Y589" s="242"/>
      <c r="Z589" s="242"/>
    </row>
    <row r="590">
      <c r="A590" s="340"/>
      <c r="B590" s="242"/>
      <c r="C590" s="242"/>
      <c r="D590" s="242"/>
      <c r="E590" s="13"/>
      <c r="F590" s="13"/>
      <c r="G590" s="13"/>
      <c r="H590" s="13"/>
      <c r="I590" s="13"/>
      <c r="J590" s="13"/>
      <c r="K590" s="13"/>
      <c r="L590" s="242"/>
      <c r="M590" s="242"/>
      <c r="N590" s="242"/>
      <c r="O590" s="242"/>
      <c r="P590" s="242"/>
      <c r="Q590" s="242"/>
      <c r="R590" s="242"/>
      <c r="S590" s="242"/>
      <c r="T590" s="242"/>
      <c r="U590" s="242"/>
      <c r="V590" s="242"/>
      <c r="W590" s="242"/>
      <c r="X590" s="242"/>
      <c r="Y590" s="242"/>
      <c r="Z590" s="242"/>
    </row>
    <row r="591">
      <c r="A591" s="340"/>
      <c r="B591" s="242"/>
      <c r="C591" s="242"/>
      <c r="D591" s="242"/>
      <c r="E591" s="13"/>
      <c r="F591" s="13"/>
      <c r="G591" s="13"/>
      <c r="H591" s="13"/>
      <c r="I591" s="13"/>
      <c r="J591" s="13"/>
      <c r="K591" s="13"/>
      <c r="L591" s="242"/>
      <c r="M591" s="242"/>
      <c r="N591" s="242"/>
      <c r="O591" s="242"/>
      <c r="P591" s="242"/>
      <c r="Q591" s="242"/>
      <c r="R591" s="242"/>
      <c r="S591" s="242"/>
      <c r="T591" s="242"/>
      <c r="U591" s="242"/>
      <c r="V591" s="242"/>
      <c r="W591" s="242"/>
      <c r="X591" s="242"/>
      <c r="Y591" s="242"/>
      <c r="Z591" s="242"/>
    </row>
    <row r="592">
      <c r="A592" s="340"/>
      <c r="B592" s="242"/>
      <c r="C592" s="242"/>
      <c r="D592" s="242"/>
      <c r="E592" s="13"/>
      <c r="F592" s="13"/>
      <c r="G592" s="13"/>
      <c r="H592" s="13"/>
      <c r="I592" s="13"/>
      <c r="J592" s="13"/>
      <c r="K592" s="13"/>
      <c r="L592" s="242"/>
      <c r="M592" s="242"/>
      <c r="N592" s="242"/>
      <c r="O592" s="242"/>
      <c r="P592" s="242"/>
      <c r="Q592" s="242"/>
      <c r="R592" s="242"/>
      <c r="S592" s="242"/>
      <c r="T592" s="242"/>
      <c r="U592" s="242"/>
      <c r="V592" s="242"/>
      <c r="W592" s="242"/>
      <c r="X592" s="242"/>
      <c r="Y592" s="242"/>
      <c r="Z592" s="242"/>
    </row>
    <row r="593">
      <c r="A593" s="340"/>
      <c r="B593" s="242"/>
      <c r="C593" s="242"/>
      <c r="D593" s="242"/>
      <c r="E593" s="13"/>
      <c r="F593" s="13"/>
      <c r="G593" s="13"/>
      <c r="H593" s="13"/>
      <c r="I593" s="13"/>
      <c r="J593" s="13"/>
      <c r="K593" s="13"/>
      <c r="L593" s="242"/>
      <c r="M593" s="242"/>
      <c r="N593" s="242"/>
      <c r="O593" s="242"/>
      <c r="P593" s="242"/>
      <c r="Q593" s="242"/>
      <c r="R593" s="242"/>
      <c r="S593" s="242"/>
      <c r="T593" s="242"/>
      <c r="U593" s="242"/>
      <c r="V593" s="242"/>
      <c r="W593" s="242"/>
      <c r="X593" s="242"/>
      <c r="Y593" s="242"/>
      <c r="Z593" s="242"/>
    </row>
    <row r="594">
      <c r="A594" s="340"/>
      <c r="B594" s="242"/>
      <c r="C594" s="242"/>
      <c r="D594" s="242"/>
      <c r="E594" s="13"/>
      <c r="F594" s="13"/>
      <c r="G594" s="13"/>
      <c r="H594" s="13"/>
      <c r="I594" s="13"/>
      <c r="J594" s="13"/>
      <c r="K594" s="13"/>
      <c r="L594" s="242"/>
      <c r="M594" s="242"/>
      <c r="N594" s="242"/>
      <c r="O594" s="242"/>
      <c r="P594" s="242"/>
      <c r="Q594" s="242"/>
      <c r="R594" s="242"/>
      <c r="S594" s="242"/>
      <c r="T594" s="242"/>
      <c r="U594" s="242"/>
      <c r="V594" s="242"/>
      <c r="W594" s="242"/>
      <c r="X594" s="242"/>
      <c r="Y594" s="242"/>
      <c r="Z594" s="242"/>
    </row>
    <row r="595">
      <c r="A595" s="340"/>
      <c r="B595" s="242"/>
      <c r="C595" s="242"/>
      <c r="D595" s="242"/>
      <c r="E595" s="13"/>
      <c r="F595" s="13"/>
      <c r="G595" s="13"/>
      <c r="H595" s="13"/>
      <c r="I595" s="13"/>
      <c r="J595" s="13"/>
      <c r="K595" s="13"/>
      <c r="L595" s="242"/>
      <c r="M595" s="242"/>
      <c r="N595" s="242"/>
      <c r="O595" s="242"/>
      <c r="P595" s="242"/>
      <c r="Q595" s="242"/>
      <c r="R595" s="242"/>
      <c r="S595" s="242"/>
      <c r="T595" s="242"/>
      <c r="U595" s="242"/>
      <c r="V595" s="242"/>
      <c r="W595" s="242"/>
      <c r="X595" s="242"/>
      <c r="Y595" s="242"/>
      <c r="Z595" s="242"/>
    </row>
    <row r="596">
      <c r="A596" s="340"/>
      <c r="B596" s="242"/>
      <c r="C596" s="242"/>
      <c r="D596" s="242"/>
      <c r="E596" s="13"/>
      <c r="F596" s="13"/>
      <c r="G596" s="13"/>
      <c r="H596" s="13"/>
      <c r="I596" s="13"/>
      <c r="J596" s="13"/>
      <c r="K596" s="13"/>
      <c r="L596" s="242"/>
      <c r="M596" s="242"/>
      <c r="N596" s="242"/>
      <c r="O596" s="242"/>
      <c r="P596" s="242"/>
      <c r="Q596" s="242"/>
      <c r="R596" s="242"/>
      <c r="S596" s="242"/>
      <c r="T596" s="242"/>
      <c r="U596" s="242"/>
      <c r="V596" s="242"/>
      <c r="W596" s="242"/>
      <c r="X596" s="242"/>
      <c r="Y596" s="242"/>
      <c r="Z596" s="242"/>
    </row>
    <row r="597">
      <c r="A597" s="340"/>
      <c r="B597" s="242"/>
      <c r="C597" s="242"/>
      <c r="D597" s="242"/>
      <c r="E597" s="13"/>
      <c r="F597" s="13"/>
      <c r="G597" s="13"/>
      <c r="H597" s="13"/>
      <c r="I597" s="13"/>
      <c r="J597" s="13"/>
      <c r="K597" s="13"/>
      <c r="L597" s="242"/>
      <c r="M597" s="242"/>
      <c r="N597" s="242"/>
      <c r="O597" s="242"/>
      <c r="P597" s="242"/>
      <c r="Q597" s="242"/>
      <c r="R597" s="242"/>
      <c r="S597" s="242"/>
      <c r="T597" s="242"/>
      <c r="U597" s="242"/>
      <c r="V597" s="242"/>
      <c r="W597" s="242"/>
      <c r="X597" s="242"/>
      <c r="Y597" s="242"/>
      <c r="Z597" s="242"/>
    </row>
    <row r="598">
      <c r="A598" s="340"/>
      <c r="B598" s="242"/>
      <c r="C598" s="242"/>
      <c r="D598" s="242"/>
      <c r="E598" s="13"/>
      <c r="F598" s="13"/>
      <c r="G598" s="13"/>
      <c r="H598" s="13"/>
      <c r="I598" s="13"/>
      <c r="J598" s="13"/>
      <c r="K598" s="13"/>
      <c r="L598" s="242"/>
      <c r="M598" s="242"/>
      <c r="N598" s="242"/>
      <c r="O598" s="242"/>
      <c r="P598" s="242"/>
      <c r="Q598" s="242"/>
      <c r="R598" s="242"/>
      <c r="S598" s="242"/>
      <c r="T598" s="242"/>
      <c r="U598" s="242"/>
      <c r="V598" s="242"/>
      <c r="W598" s="242"/>
      <c r="X598" s="242"/>
      <c r="Y598" s="242"/>
      <c r="Z598" s="242"/>
    </row>
    <row r="599">
      <c r="A599" s="340"/>
      <c r="B599" s="242"/>
      <c r="C599" s="242"/>
      <c r="D599" s="242"/>
      <c r="E599" s="13"/>
      <c r="F599" s="13"/>
      <c r="G599" s="13"/>
      <c r="H599" s="13"/>
      <c r="I599" s="13"/>
      <c r="J599" s="13"/>
      <c r="K599" s="13"/>
      <c r="L599" s="242"/>
      <c r="M599" s="242"/>
      <c r="N599" s="242"/>
      <c r="O599" s="242"/>
      <c r="P599" s="242"/>
      <c r="Q599" s="242"/>
      <c r="R599" s="242"/>
      <c r="S599" s="242"/>
      <c r="T599" s="242"/>
      <c r="U599" s="242"/>
      <c r="V599" s="242"/>
      <c r="W599" s="242"/>
      <c r="X599" s="242"/>
      <c r="Y599" s="242"/>
      <c r="Z599" s="242"/>
    </row>
    <row r="600">
      <c r="A600" s="340"/>
      <c r="B600" s="242"/>
      <c r="C600" s="242"/>
      <c r="D600" s="242"/>
      <c r="E600" s="13"/>
      <c r="F600" s="13"/>
      <c r="G600" s="13"/>
      <c r="H600" s="13"/>
      <c r="I600" s="13"/>
      <c r="J600" s="13"/>
      <c r="K600" s="13"/>
      <c r="L600" s="242"/>
      <c r="M600" s="242"/>
      <c r="N600" s="242"/>
      <c r="O600" s="242"/>
      <c r="P600" s="242"/>
      <c r="Q600" s="242"/>
      <c r="R600" s="242"/>
      <c r="S600" s="242"/>
      <c r="T600" s="242"/>
      <c r="U600" s="242"/>
      <c r="V600" s="242"/>
      <c r="W600" s="242"/>
      <c r="X600" s="242"/>
      <c r="Y600" s="242"/>
      <c r="Z600" s="242"/>
    </row>
    <row r="601">
      <c r="A601" s="340"/>
      <c r="B601" s="242"/>
      <c r="C601" s="242"/>
      <c r="D601" s="242"/>
      <c r="E601" s="13"/>
      <c r="F601" s="13"/>
      <c r="G601" s="13"/>
      <c r="H601" s="13"/>
      <c r="I601" s="13"/>
      <c r="J601" s="13"/>
      <c r="K601" s="13"/>
      <c r="L601" s="242"/>
      <c r="M601" s="242"/>
      <c r="N601" s="242"/>
      <c r="O601" s="242"/>
      <c r="P601" s="242"/>
      <c r="Q601" s="242"/>
      <c r="R601" s="242"/>
      <c r="S601" s="242"/>
      <c r="T601" s="242"/>
      <c r="U601" s="242"/>
      <c r="V601" s="242"/>
      <c r="W601" s="242"/>
      <c r="X601" s="242"/>
      <c r="Y601" s="242"/>
      <c r="Z601" s="242"/>
    </row>
    <row r="602">
      <c r="A602" s="340"/>
      <c r="B602" s="242"/>
      <c r="C602" s="242"/>
      <c r="D602" s="242"/>
      <c r="E602" s="13"/>
      <c r="F602" s="13"/>
      <c r="G602" s="13"/>
      <c r="H602" s="13"/>
      <c r="I602" s="13"/>
      <c r="J602" s="13"/>
      <c r="K602" s="13"/>
      <c r="L602" s="242"/>
      <c r="M602" s="242"/>
      <c r="N602" s="242"/>
      <c r="O602" s="242"/>
      <c r="P602" s="242"/>
      <c r="Q602" s="242"/>
      <c r="R602" s="242"/>
      <c r="S602" s="242"/>
      <c r="T602" s="242"/>
      <c r="U602" s="242"/>
      <c r="V602" s="242"/>
      <c r="W602" s="242"/>
      <c r="X602" s="242"/>
      <c r="Y602" s="242"/>
      <c r="Z602" s="242"/>
    </row>
    <row r="603">
      <c r="A603" s="340"/>
      <c r="B603" s="242"/>
      <c r="C603" s="242"/>
      <c r="D603" s="242"/>
      <c r="E603" s="13"/>
      <c r="F603" s="13"/>
      <c r="G603" s="13"/>
      <c r="H603" s="13"/>
      <c r="I603" s="13"/>
      <c r="J603" s="13"/>
      <c r="K603" s="13"/>
      <c r="L603" s="242"/>
      <c r="M603" s="242"/>
      <c r="N603" s="242"/>
      <c r="O603" s="242"/>
      <c r="P603" s="242"/>
      <c r="Q603" s="242"/>
      <c r="R603" s="242"/>
      <c r="S603" s="242"/>
      <c r="T603" s="242"/>
      <c r="U603" s="242"/>
      <c r="V603" s="242"/>
      <c r="W603" s="242"/>
      <c r="X603" s="242"/>
      <c r="Y603" s="242"/>
      <c r="Z603" s="242"/>
    </row>
    <row r="604">
      <c r="A604" s="340"/>
      <c r="B604" s="242"/>
      <c r="C604" s="242"/>
      <c r="D604" s="242"/>
      <c r="E604" s="13"/>
      <c r="F604" s="13"/>
      <c r="G604" s="13"/>
      <c r="H604" s="13"/>
      <c r="I604" s="13"/>
      <c r="J604" s="13"/>
      <c r="K604" s="13"/>
      <c r="L604" s="242"/>
      <c r="M604" s="242"/>
      <c r="N604" s="242"/>
      <c r="O604" s="242"/>
      <c r="P604" s="242"/>
      <c r="Q604" s="242"/>
      <c r="R604" s="242"/>
      <c r="S604" s="242"/>
      <c r="T604" s="242"/>
      <c r="U604" s="242"/>
      <c r="V604" s="242"/>
      <c r="W604" s="242"/>
      <c r="X604" s="242"/>
      <c r="Y604" s="242"/>
      <c r="Z604" s="242"/>
    </row>
    <row r="605">
      <c r="A605" s="340"/>
      <c r="B605" s="242"/>
      <c r="C605" s="242"/>
      <c r="D605" s="242"/>
      <c r="E605" s="13"/>
      <c r="F605" s="13"/>
      <c r="G605" s="13"/>
      <c r="H605" s="13"/>
      <c r="I605" s="13"/>
      <c r="J605" s="13"/>
      <c r="K605" s="13"/>
      <c r="L605" s="242"/>
      <c r="M605" s="242"/>
      <c r="N605" s="242"/>
      <c r="O605" s="242"/>
      <c r="P605" s="242"/>
      <c r="Q605" s="242"/>
      <c r="R605" s="242"/>
      <c r="S605" s="242"/>
      <c r="T605" s="242"/>
      <c r="U605" s="242"/>
      <c r="V605" s="242"/>
      <c r="W605" s="242"/>
      <c r="X605" s="242"/>
      <c r="Y605" s="242"/>
      <c r="Z605" s="242"/>
    </row>
    <row r="606">
      <c r="A606" s="340"/>
      <c r="B606" s="242"/>
      <c r="C606" s="242"/>
      <c r="D606" s="242"/>
      <c r="E606" s="13"/>
      <c r="F606" s="13"/>
      <c r="G606" s="13"/>
      <c r="H606" s="13"/>
      <c r="I606" s="13"/>
      <c r="J606" s="13"/>
      <c r="K606" s="13"/>
      <c r="L606" s="242"/>
      <c r="M606" s="242"/>
      <c r="N606" s="242"/>
      <c r="O606" s="242"/>
      <c r="P606" s="242"/>
      <c r="Q606" s="242"/>
      <c r="R606" s="242"/>
      <c r="S606" s="242"/>
      <c r="T606" s="242"/>
      <c r="U606" s="242"/>
      <c r="V606" s="242"/>
      <c r="W606" s="242"/>
      <c r="X606" s="242"/>
      <c r="Y606" s="242"/>
      <c r="Z606" s="242"/>
    </row>
    <row r="607">
      <c r="A607" s="340"/>
      <c r="B607" s="242"/>
      <c r="C607" s="242"/>
      <c r="D607" s="242"/>
      <c r="E607" s="13"/>
      <c r="F607" s="13"/>
      <c r="G607" s="13"/>
      <c r="H607" s="13"/>
      <c r="I607" s="13"/>
      <c r="J607" s="13"/>
      <c r="K607" s="13"/>
      <c r="L607" s="242"/>
      <c r="M607" s="242"/>
      <c r="N607" s="242"/>
      <c r="O607" s="242"/>
      <c r="P607" s="242"/>
      <c r="Q607" s="242"/>
      <c r="R607" s="242"/>
      <c r="S607" s="242"/>
      <c r="T607" s="242"/>
      <c r="U607" s="242"/>
      <c r="V607" s="242"/>
      <c r="W607" s="242"/>
      <c r="X607" s="242"/>
      <c r="Y607" s="242"/>
      <c r="Z607" s="242"/>
    </row>
    <row r="608">
      <c r="A608" s="340"/>
      <c r="B608" s="242"/>
      <c r="C608" s="242"/>
      <c r="D608" s="242"/>
      <c r="E608" s="13"/>
      <c r="F608" s="13"/>
      <c r="G608" s="13"/>
      <c r="H608" s="13"/>
      <c r="I608" s="13"/>
      <c r="J608" s="13"/>
      <c r="K608" s="13"/>
      <c r="L608" s="242"/>
      <c r="M608" s="242"/>
      <c r="N608" s="242"/>
      <c r="O608" s="242"/>
      <c r="P608" s="242"/>
      <c r="Q608" s="242"/>
      <c r="R608" s="242"/>
      <c r="S608" s="242"/>
      <c r="T608" s="242"/>
      <c r="U608" s="242"/>
      <c r="V608" s="242"/>
      <c r="W608" s="242"/>
      <c r="X608" s="242"/>
      <c r="Y608" s="242"/>
      <c r="Z608" s="242"/>
    </row>
    <row r="609">
      <c r="A609" s="340"/>
      <c r="B609" s="242"/>
      <c r="C609" s="242"/>
      <c r="D609" s="242"/>
      <c r="E609" s="13"/>
      <c r="F609" s="13"/>
      <c r="G609" s="13"/>
      <c r="H609" s="13"/>
      <c r="I609" s="13"/>
      <c r="J609" s="13"/>
      <c r="K609" s="13"/>
      <c r="L609" s="242"/>
      <c r="M609" s="242"/>
      <c r="N609" s="242"/>
      <c r="O609" s="242"/>
      <c r="P609" s="242"/>
      <c r="Q609" s="242"/>
      <c r="R609" s="242"/>
      <c r="S609" s="242"/>
      <c r="T609" s="242"/>
      <c r="U609" s="242"/>
      <c r="V609" s="242"/>
      <c r="W609" s="242"/>
      <c r="X609" s="242"/>
      <c r="Y609" s="242"/>
      <c r="Z609" s="242"/>
    </row>
    <row r="610">
      <c r="A610" s="340"/>
      <c r="B610" s="242"/>
      <c r="C610" s="242"/>
      <c r="D610" s="242"/>
      <c r="E610" s="13"/>
      <c r="F610" s="13"/>
      <c r="G610" s="13"/>
      <c r="H610" s="13"/>
      <c r="I610" s="13"/>
      <c r="J610" s="13"/>
      <c r="K610" s="13"/>
      <c r="L610" s="242"/>
      <c r="M610" s="242"/>
      <c r="N610" s="242"/>
      <c r="O610" s="242"/>
      <c r="P610" s="242"/>
      <c r="Q610" s="242"/>
      <c r="R610" s="242"/>
      <c r="S610" s="242"/>
      <c r="T610" s="242"/>
      <c r="U610" s="242"/>
      <c r="V610" s="242"/>
      <c r="W610" s="242"/>
      <c r="X610" s="242"/>
      <c r="Y610" s="242"/>
      <c r="Z610" s="242"/>
    </row>
    <row r="611">
      <c r="A611" s="340"/>
      <c r="B611" s="242"/>
      <c r="C611" s="242"/>
      <c r="D611" s="242"/>
      <c r="E611" s="13"/>
      <c r="F611" s="13"/>
      <c r="G611" s="13"/>
      <c r="H611" s="13"/>
      <c r="I611" s="13"/>
      <c r="J611" s="13"/>
      <c r="K611" s="13"/>
      <c r="L611" s="242"/>
      <c r="M611" s="242"/>
      <c r="N611" s="242"/>
      <c r="O611" s="242"/>
      <c r="P611" s="242"/>
      <c r="Q611" s="242"/>
      <c r="R611" s="242"/>
      <c r="S611" s="242"/>
      <c r="T611" s="242"/>
      <c r="U611" s="242"/>
      <c r="V611" s="242"/>
      <c r="W611" s="242"/>
      <c r="X611" s="242"/>
      <c r="Y611" s="242"/>
      <c r="Z611" s="242"/>
    </row>
    <row r="612">
      <c r="A612" s="340"/>
      <c r="B612" s="242"/>
      <c r="C612" s="242"/>
      <c r="D612" s="242"/>
      <c r="E612" s="13"/>
      <c r="F612" s="13"/>
      <c r="G612" s="13"/>
      <c r="H612" s="13"/>
      <c r="I612" s="13"/>
      <c r="J612" s="13"/>
      <c r="K612" s="13"/>
      <c r="L612" s="242"/>
      <c r="M612" s="242"/>
      <c r="N612" s="242"/>
      <c r="O612" s="242"/>
      <c r="P612" s="242"/>
      <c r="Q612" s="242"/>
      <c r="R612" s="242"/>
      <c r="S612" s="242"/>
      <c r="T612" s="242"/>
      <c r="U612" s="242"/>
      <c r="V612" s="242"/>
      <c r="W612" s="242"/>
      <c r="X612" s="242"/>
      <c r="Y612" s="242"/>
      <c r="Z612" s="242"/>
    </row>
    <row r="613">
      <c r="A613" s="340"/>
      <c r="B613" s="242"/>
      <c r="C613" s="242"/>
      <c r="D613" s="242"/>
      <c r="E613" s="13"/>
      <c r="F613" s="13"/>
      <c r="G613" s="13"/>
      <c r="H613" s="13"/>
      <c r="I613" s="13"/>
      <c r="J613" s="13"/>
      <c r="K613" s="13"/>
      <c r="L613" s="242"/>
      <c r="M613" s="242"/>
      <c r="N613" s="242"/>
      <c r="O613" s="242"/>
      <c r="P613" s="242"/>
      <c r="Q613" s="242"/>
      <c r="R613" s="242"/>
      <c r="S613" s="242"/>
      <c r="T613" s="242"/>
      <c r="U613" s="242"/>
      <c r="V613" s="242"/>
      <c r="W613" s="242"/>
      <c r="X613" s="242"/>
      <c r="Y613" s="242"/>
      <c r="Z613" s="242"/>
    </row>
    <row r="614">
      <c r="A614" s="340"/>
      <c r="B614" s="242"/>
      <c r="C614" s="242"/>
      <c r="D614" s="242"/>
      <c r="E614" s="13"/>
      <c r="F614" s="13"/>
      <c r="G614" s="13"/>
      <c r="H614" s="13"/>
      <c r="I614" s="13"/>
      <c r="J614" s="13"/>
      <c r="K614" s="13"/>
      <c r="L614" s="242"/>
      <c r="M614" s="242"/>
      <c r="N614" s="242"/>
      <c r="O614" s="242"/>
      <c r="P614" s="242"/>
      <c r="Q614" s="242"/>
      <c r="R614" s="242"/>
      <c r="S614" s="242"/>
      <c r="T614" s="242"/>
      <c r="U614" s="242"/>
      <c r="V614" s="242"/>
      <c r="W614" s="242"/>
      <c r="X614" s="242"/>
      <c r="Y614" s="242"/>
      <c r="Z614" s="242"/>
    </row>
    <row r="615">
      <c r="A615" s="340"/>
      <c r="B615" s="242"/>
      <c r="C615" s="242"/>
      <c r="D615" s="242"/>
      <c r="E615" s="13"/>
      <c r="F615" s="13"/>
      <c r="G615" s="13"/>
      <c r="H615" s="13"/>
      <c r="I615" s="13"/>
      <c r="J615" s="13"/>
      <c r="K615" s="13"/>
      <c r="L615" s="242"/>
      <c r="M615" s="242"/>
      <c r="N615" s="242"/>
      <c r="O615" s="242"/>
      <c r="P615" s="242"/>
      <c r="Q615" s="242"/>
      <c r="R615" s="242"/>
      <c r="S615" s="242"/>
      <c r="T615" s="242"/>
      <c r="U615" s="242"/>
      <c r="V615" s="242"/>
      <c r="W615" s="242"/>
      <c r="X615" s="242"/>
      <c r="Y615" s="242"/>
      <c r="Z615" s="242"/>
    </row>
    <row r="616">
      <c r="A616" s="340"/>
      <c r="B616" s="242"/>
      <c r="C616" s="242"/>
      <c r="D616" s="242"/>
      <c r="E616" s="13"/>
      <c r="F616" s="13"/>
      <c r="G616" s="13"/>
      <c r="H616" s="13"/>
      <c r="I616" s="13"/>
      <c r="J616" s="13"/>
      <c r="K616" s="13"/>
      <c r="L616" s="242"/>
      <c r="M616" s="242"/>
      <c r="N616" s="242"/>
      <c r="O616" s="242"/>
      <c r="P616" s="242"/>
      <c r="Q616" s="242"/>
      <c r="R616" s="242"/>
      <c r="S616" s="242"/>
      <c r="T616" s="242"/>
      <c r="U616" s="242"/>
      <c r="V616" s="242"/>
      <c r="W616" s="242"/>
      <c r="X616" s="242"/>
      <c r="Y616" s="242"/>
      <c r="Z616" s="242"/>
    </row>
    <row r="617">
      <c r="A617" s="340"/>
      <c r="B617" s="242"/>
      <c r="C617" s="242"/>
      <c r="D617" s="242"/>
      <c r="E617" s="13"/>
      <c r="F617" s="13"/>
      <c r="G617" s="13"/>
      <c r="H617" s="13"/>
      <c r="I617" s="13"/>
      <c r="J617" s="13"/>
      <c r="K617" s="13"/>
      <c r="L617" s="242"/>
      <c r="M617" s="242"/>
      <c r="N617" s="242"/>
      <c r="O617" s="242"/>
      <c r="P617" s="242"/>
      <c r="Q617" s="242"/>
      <c r="R617" s="242"/>
      <c r="S617" s="242"/>
      <c r="T617" s="242"/>
      <c r="U617" s="242"/>
      <c r="V617" s="242"/>
      <c r="W617" s="242"/>
      <c r="X617" s="242"/>
      <c r="Y617" s="242"/>
      <c r="Z617" s="242"/>
    </row>
    <row r="618">
      <c r="A618" s="340"/>
      <c r="B618" s="242"/>
      <c r="C618" s="242"/>
      <c r="D618" s="242"/>
      <c r="E618" s="13"/>
      <c r="F618" s="13"/>
      <c r="G618" s="13"/>
      <c r="H618" s="13"/>
      <c r="I618" s="13"/>
      <c r="J618" s="13"/>
      <c r="K618" s="13"/>
      <c r="L618" s="242"/>
      <c r="M618" s="242"/>
      <c r="N618" s="242"/>
      <c r="O618" s="242"/>
      <c r="P618" s="242"/>
      <c r="Q618" s="242"/>
      <c r="R618" s="242"/>
      <c r="S618" s="242"/>
      <c r="T618" s="242"/>
      <c r="U618" s="242"/>
      <c r="V618" s="242"/>
      <c r="W618" s="242"/>
      <c r="X618" s="242"/>
      <c r="Y618" s="242"/>
      <c r="Z618" s="242"/>
    </row>
    <row r="619">
      <c r="A619" s="340"/>
      <c r="B619" s="242"/>
      <c r="C619" s="242"/>
      <c r="D619" s="242"/>
      <c r="E619" s="13"/>
      <c r="F619" s="13"/>
      <c r="G619" s="13"/>
      <c r="H619" s="13"/>
      <c r="I619" s="13"/>
      <c r="J619" s="13"/>
      <c r="K619" s="13"/>
      <c r="L619" s="242"/>
      <c r="M619" s="242"/>
      <c r="N619" s="242"/>
      <c r="O619" s="242"/>
      <c r="P619" s="242"/>
      <c r="Q619" s="242"/>
      <c r="R619" s="242"/>
      <c r="S619" s="242"/>
      <c r="T619" s="242"/>
      <c r="U619" s="242"/>
      <c r="V619" s="242"/>
      <c r="W619" s="242"/>
      <c r="X619" s="242"/>
      <c r="Y619" s="242"/>
      <c r="Z619" s="242"/>
    </row>
    <row r="620">
      <c r="A620" s="340"/>
      <c r="B620" s="242"/>
      <c r="C620" s="242"/>
      <c r="D620" s="242"/>
      <c r="E620" s="13"/>
      <c r="F620" s="13"/>
      <c r="G620" s="13"/>
      <c r="H620" s="13"/>
      <c r="I620" s="13"/>
      <c r="J620" s="13"/>
      <c r="K620" s="13"/>
      <c r="L620" s="242"/>
      <c r="M620" s="242"/>
      <c r="N620" s="242"/>
      <c r="O620" s="242"/>
      <c r="P620" s="242"/>
      <c r="Q620" s="242"/>
      <c r="R620" s="242"/>
      <c r="S620" s="242"/>
      <c r="T620" s="242"/>
      <c r="U620" s="242"/>
      <c r="V620" s="242"/>
      <c r="W620" s="242"/>
      <c r="X620" s="242"/>
      <c r="Y620" s="242"/>
      <c r="Z620" s="242"/>
    </row>
    <row r="621">
      <c r="A621" s="340"/>
      <c r="B621" s="242"/>
      <c r="C621" s="242"/>
      <c r="D621" s="242"/>
      <c r="E621" s="13"/>
      <c r="F621" s="13"/>
      <c r="G621" s="13"/>
      <c r="H621" s="13"/>
      <c r="I621" s="13"/>
      <c r="J621" s="13"/>
      <c r="K621" s="13"/>
      <c r="L621" s="242"/>
      <c r="M621" s="242"/>
      <c r="N621" s="242"/>
      <c r="O621" s="242"/>
      <c r="P621" s="242"/>
      <c r="Q621" s="242"/>
      <c r="R621" s="242"/>
      <c r="S621" s="242"/>
      <c r="T621" s="242"/>
      <c r="U621" s="242"/>
      <c r="V621" s="242"/>
      <c r="W621" s="242"/>
      <c r="X621" s="242"/>
      <c r="Y621" s="242"/>
      <c r="Z621" s="242"/>
    </row>
    <row r="622">
      <c r="A622" s="340"/>
      <c r="B622" s="242"/>
      <c r="C622" s="242"/>
      <c r="D622" s="242"/>
      <c r="E622" s="13"/>
      <c r="F622" s="13"/>
      <c r="G622" s="13"/>
      <c r="H622" s="13"/>
      <c r="I622" s="13"/>
      <c r="J622" s="13"/>
      <c r="K622" s="13"/>
      <c r="L622" s="242"/>
      <c r="M622" s="242"/>
      <c r="N622" s="242"/>
      <c r="O622" s="242"/>
      <c r="P622" s="242"/>
      <c r="Q622" s="242"/>
      <c r="R622" s="242"/>
      <c r="S622" s="242"/>
      <c r="T622" s="242"/>
      <c r="U622" s="242"/>
      <c r="V622" s="242"/>
      <c r="W622" s="242"/>
      <c r="X622" s="242"/>
      <c r="Y622" s="242"/>
      <c r="Z622" s="242"/>
    </row>
    <row r="623">
      <c r="A623" s="340"/>
      <c r="B623" s="242"/>
      <c r="C623" s="242"/>
      <c r="D623" s="242"/>
      <c r="E623" s="13"/>
      <c r="F623" s="13"/>
      <c r="G623" s="13"/>
      <c r="H623" s="13"/>
      <c r="I623" s="13"/>
      <c r="J623" s="13"/>
      <c r="K623" s="13"/>
      <c r="L623" s="242"/>
      <c r="M623" s="242"/>
      <c r="N623" s="242"/>
      <c r="O623" s="242"/>
      <c r="P623" s="242"/>
      <c r="Q623" s="242"/>
      <c r="R623" s="242"/>
      <c r="S623" s="242"/>
      <c r="T623" s="242"/>
      <c r="U623" s="242"/>
      <c r="V623" s="242"/>
      <c r="W623" s="242"/>
      <c r="X623" s="242"/>
      <c r="Y623" s="242"/>
      <c r="Z623" s="242"/>
    </row>
    <row r="624">
      <c r="A624" s="340"/>
      <c r="B624" s="242"/>
      <c r="C624" s="242"/>
      <c r="D624" s="242"/>
      <c r="E624" s="13"/>
      <c r="F624" s="13"/>
      <c r="G624" s="13"/>
      <c r="H624" s="13"/>
      <c r="I624" s="13"/>
      <c r="J624" s="13"/>
      <c r="K624" s="13"/>
      <c r="L624" s="242"/>
      <c r="M624" s="242"/>
      <c r="N624" s="242"/>
      <c r="O624" s="242"/>
      <c r="P624" s="242"/>
      <c r="Q624" s="242"/>
      <c r="R624" s="242"/>
      <c r="S624" s="242"/>
      <c r="T624" s="242"/>
      <c r="U624" s="242"/>
      <c r="V624" s="242"/>
      <c r="W624" s="242"/>
      <c r="X624" s="242"/>
      <c r="Y624" s="242"/>
      <c r="Z624" s="242"/>
    </row>
    <row r="625">
      <c r="A625" s="340"/>
      <c r="B625" s="242"/>
      <c r="C625" s="242"/>
      <c r="D625" s="242"/>
      <c r="E625" s="13"/>
      <c r="F625" s="13"/>
      <c r="G625" s="13"/>
      <c r="H625" s="13"/>
      <c r="I625" s="13"/>
      <c r="J625" s="13"/>
      <c r="K625" s="13"/>
      <c r="L625" s="242"/>
      <c r="M625" s="242"/>
      <c r="N625" s="242"/>
      <c r="O625" s="242"/>
      <c r="P625" s="242"/>
      <c r="Q625" s="242"/>
      <c r="R625" s="242"/>
      <c r="S625" s="242"/>
      <c r="T625" s="242"/>
      <c r="U625" s="242"/>
      <c r="V625" s="242"/>
      <c r="W625" s="242"/>
      <c r="X625" s="242"/>
      <c r="Y625" s="242"/>
      <c r="Z625" s="242"/>
    </row>
    <row r="626">
      <c r="A626" s="340"/>
      <c r="B626" s="242"/>
      <c r="C626" s="242"/>
      <c r="D626" s="242"/>
      <c r="E626" s="13"/>
      <c r="F626" s="13"/>
      <c r="G626" s="13"/>
      <c r="H626" s="13"/>
      <c r="I626" s="13"/>
      <c r="J626" s="13"/>
      <c r="K626" s="13"/>
      <c r="L626" s="242"/>
      <c r="M626" s="242"/>
      <c r="N626" s="242"/>
      <c r="O626" s="242"/>
      <c r="P626" s="242"/>
      <c r="Q626" s="242"/>
      <c r="R626" s="242"/>
      <c r="S626" s="242"/>
      <c r="T626" s="242"/>
      <c r="U626" s="242"/>
      <c r="V626" s="242"/>
      <c r="W626" s="242"/>
      <c r="X626" s="242"/>
      <c r="Y626" s="242"/>
      <c r="Z626" s="242"/>
    </row>
    <row r="627">
      <c r="A627" s="340"/>
      <c r="B627" s="242"/>
      <c r="C627" s="242"/>
      <c r="D627" s="242"/>
      <c r="E627" s="13"/>
      <c r="F627" s="13"/>
      <c r="G627" s="13"/>
      <c r="H627" s="13"/>
      <c r="I627" s="13"/>
      <c r="J627" s="13"/>
      <c r="K627" s="13"/>
      <c r="L627" s="242"/>
      <c r="M627" s="242"/>
      <c r="N627" s="242"/>
      <c r="O627" s="242"/>
      <c r="P627" s="242"/>
      <c r="Q627" s="242"/>
      <c r="R627" s="242"/>
      <c r="S627" s="242"/>
      <c r="T627" s="242"/>
      <c r="U627" s="242"/>
      <c r="V627" s="242"/>
      <c r="W627" s="242"/>
      <c r="X627" s="242"/>
      <c r="Y627" s="242"/>
      <c r="Z627" s="242"/>
    </row>
    <row r="628">
      <c r="A628" s="340"/>
      <c r="B628" s="242"/>
      <c r="C628" s="242"/>
      <c r="D628" s="242"/>
      <c r="E628" s="13"/>
      <c r="F628" s="13"/>
      <c r="G628" s="13"/>
      <c r="H628" s="13"/>
      <c r="I628" s="13"/>
      <c r="J628" s="13"/>
      <c r="K628" s="13"/>
      <c r="L628" s="242"/>
      <c r="M628" s="242"/>
      <c r="N628" s="242"/>
      <c r="O628" s="242"/>
      <c r="P628" s="242"/>
      <c r="Q628" s="242"/>
      <c r="R628" s="242"/>
      <c r="S628" s="242"/>
      <c r="T628" s="242"/>
      <c r="U628" s="242"/>
      <c r="V628" s="242"/>
      <c r="W628" s="242"/>
      <c r="X628" s="242"/>
      <c r="Y628" s="242"/>
      <c r="Z628" s="242"/>
    </row>
    <row r="629">
      <c r="A629" s="340"/>
      <c r="B629" s="242"/>
      <c r="C629" s="242"/>
      <c r="D629" s="242"/>
      <c r="E629" s="13"/>
      <c r="F629" s="13"/>
      <c r="G629" s="13"/>
      <c r="H629" s="13"/>
      <c r="I629" s="13"/>
      <c r="J629" s="13"/>
      <c r="K629" s="13"/>
      <c r="L629" s="242"/>
      <c r="M629" s="242"/>
      <c r="N629" s="242"/>
      <c r="O629" s="242"/>
      <c r="P629" s="242"/>
      <c r="Q629" s="242"/>
      <c r="R629" s="242"/>
      <c r="S629" s="242"/>
      <c r="T629" s="242"/>
      <c r="U629" s="242"/>
      <c r="V629" s="242"/>
      <c r="W629" s="242"/>
      <c r="X629" s="242"/>
      <c r="Y629" s="242"/>
      <c r="Z629" s="242"/>
    </row>
    <row r="630">
      <c r="A630" s="340"/>
      <c r="B630" s="242"/>
      <c r="C630" s="242"/>
      <c r="D630" s="242"/>
      <c r="E630" s="13"/>
      <c r="F630" s="13"/>
      <c r="G630" s="13"/>
      <c r="H630" s="13"/>
      <c r="I630" s="13"/>
      <c r="J630" s="13"/>
      <c r="K630" s="13"/>
      <c r="L630" s="242"/>
      <c r="M630" s="242"/>
      <c r="N630" s="242"/>
      <c r="O630" s="242"/>
      <c r="P630" s="242"/>
      <c r="Q630" s="242"/>
      <c r="R630" s="242"/>
      <c r="S630" s="242"/>
      <c r="T630" s="242"/>
      <c r="U630" s="242"/>
      <c r="V630" s="242"/>
      <c r="W630" s="242"/>
      <c r="X630" s="242"/>
      <c r="Y630" s="242"/>
      <c r="Z630" s="242"/>
    </row>
    <row r="631">
      <c r="A631" s="340"/>
      <c r="B631" s="242"/>
      <c r="C631" s="242"/>
      <c r="D631" s="242"/>
      <c r="E631" s="13"/>
      <c r="F631" s="13"/>
      <c r="G631" s="13"/>
      <c r="H631" s="13"/>
      <c r="I631" s="13"/>
      <c r="J631" s="13"/>
      <c r="K631" s="13"/>
      <c r="L631" s="242"/>
      <c r="M631" s="242"/>
      <c r="N631" s="242"/>
      <c r="O631" s="242"/>
      <c r="P631" s="242"/>
      <c r="Q631" s="242"/>
      <c r="R631" s="242"/>
      <c r="S631" s="242"/>
      <c r="T631" s="242"/>
      <c r="U631" s="242"/>
      <c r="V631" s="242"/>
      <c r="W631" s="242"/>
      <c r="X631" s="242"/>
      <c r="Y631" s="242"/>
      <c r="Z631" s="242"/>
    </row>
    <row r="632">
      <c r="A632" s="340"/>
      <c r="B632" s="242"/>
      <c r="C632" s="242"/>
      <c r="D632" s="242"/>
      <c r="E632" s="13"/>
      <c r="F632" s="13"/>
      <c r="G632" s="13"/>
      <c r="H632" s="13"/>
      <c r="I632" s="13"/>
      <c r="J632" s="13"/>
      <c r="K632" s="13"/>
      <c r="L632" s="242"/>
      <c r="M632" s="242"/>
      <c r="N632" s="242"/>
      <c r="O632" s="242"/>
      <c r="P632" s="242"/>
      <c r="Q632" s="242"/>
      <c r="R632" s="242"/>
      <c r="S632" s="242"/>
      <c r="T632" s="242"/>
      <c r="U632" s="242"/>
      <c r="V632" s="242"/>
      <c r="W632" s="242"/>
      <c r="X632" s="242"/>
      <c r="Y632" s="242"/>
      <c r="Z632" s="242"/>
    </row>
    <row r="633">
      <c r="A633" s="340"/>
      <c r="B633" s="242"/>
      <c r="C633" s="242"/>
      <c r="D633" s="242"/>
      <c r="E633" s="13"/>
      <c r="F633" s="13"/>
      <c r="G633" s="13"/>
      <c r="H633" s="13"/>
      <c r="I633" s="13"/>
      <c r="J633" s="13"/>
      <c r="K633" s="13"/>
      <c r="L633" s="242"/>
      <c r="M633" s="242"/>
      <c r="N633" s="242"/>
      <c r="O633" s="242"/>
      <c r="P633" s="242"/>
      <c r="Q633" s="242"/>
      <c r="R633" s="242"/>
      <c r="S633" s="242"/>
      <c r="T633" s="242"/>
      <c r="U633" s="242"/>
      <c r="V633" s="242"/>
      <c r="W633" s="242"/>
      <c r="X633" s="242"/>
      <c r="Y633" s="242"/>
      <c r="Z633" s="242"/>
    </row>
    <row r="634">
      <c r="A634" s="340"/>
      <c r="B634" s="242"/>
      <c r="C634" s="242"/>
      <c r="D634" s="242"/>
      <c r="E634" s="13"/>
      <c r="F634" s="13"/>
      <c r="G634" s="13"/>
      <c r="H634" s="13"/>
      <c r="I634" s="13"/>
      <c r="J634" s="13"/>
      <c r="K634" s="13"/>
      <c r="L634" s="242"/>
      <c r="M634" s="242"/>
      <c r="N634" s="242"/>
      <c r="O634" s="242"/>
      <c r="P634" s="242"/>
      <c r="Q634" s="242"/>
      <c r="R634" s="242"/>
      <c r="S634" s="242"/>
      <c r="T634" s="242"/>
      <c r="U634" s="242"/>
      <c r="V634" s="242"/>
      <c r="W634" s="242"/>
      <c r="X634" s="242"/>
      <c r="Y634" s="242"/>
      <c r="Z634" s="242"/>
    </row>
    <row r="635">
      <c r="A635" s="340"/>
      <c r="B635" s="242"/>
      <c r="C635" s="242"/>
      <c r="D635" s="242"/>
      <c r="E635" s="13"/>
      <c r="F635" s="13"/>
      <c r="G635" s="13"/>
      <c r="H635" s="13"/>
      <c r="I635" s="13"/>
      <c r="J635" s="13"/>
      <c r="K635" s="13"/>
      <c r="L635" s="242"/>
      <c r="M635" s="242"/>
      <c r="N635" s="242"/>
      <c r="O635" s="242"/>
      <c r="P635" s="242"/>
      <c r="Q635" s="242"/>
      <c r="R635" s="242"/>
      <c r="S635" s="242"/>
      <c r="T635" s="242"/>
      <c r="U635" s="242"/>
      <c r="V635" s="242"/>
      <c r="W635" s="242"/>
      <c r="X635" s="242"/>
      <c r="Y635" s="242"/>
      <c r="Z635" s="242"/>
    </row>
    <row r="636">
      <c r="A636" s="340"/>
      <c r="B636" s="242"/>
      <c r="C636" s="242"/>
      <c r="D636" s="242"/>
      <c r="E636" s="13"/>
      <c r="F636" s="13"/>
      <c r="G636" s="13"/>
      <c r="H636" s="13"/>
      <c r="I636" s="13"/>
      <c r="J636" s="13"/>
      <c r="K636" s="13"/>
      <c r="L636" s="242"/>
      <c r="M636" s="242"/>
      <c r="N636" s="242"/>
      <c r="O636" s="242"/>
      <c r="P636" s="242"/>
      <c r="Q636" s="242"/>
      <c r="R636" s="242"/>
      <c r="S636" s="242"/>
      <c r="T636" s="242"/>
      <c r="U636" s="242"/>
      <c r="V636" s="242"/>
      <c r="W636" s="242"/>
      <c r="X636" s="242"/>
      <c r="Y636" s="242"/>
      <c r="Z636" s="242"/>
    </row>
    <row r="637">
      <c r="A637" s="340"/>
      <c r="B637" s="242"/>
      <c r="C637" s="242"/>
      <c r="D637" s="242"/>
      <c r="E637" s="13"/>
      <c r="F637" s="13"/>
      <c r="G637" s="13"/>
      <c r="H637" s="13"/>
      <c r="I637" s="13"/>
      <c r="J637" s="13"/>
      <c r="K637" s="13"/>
      <c r="L637" s="242"/>
      <c r="M637" s="242"/>
      <c r="N637" s="242"/>
      <c r="O637" s="242"/>
      <c r="P637" s="242"/>
      <c r="Q637" s="242"/>
      <c r="R637" s="242"/>
      <c r="S637" s="242"/>
      <c r="T637" s="242"/>
      <c r="U637" s="242"/>
      <c r="V637" s="242"/>
      <c r="W637" s="242"/>
      <c r="X637" s="242"/>
      <c r="Y637" s="242"/>
      <c r="Z637" s="242"/>
    </row>
    <row r="638">
      <c r="A638" s="340"/>
      <c r="B638" s="242"/>
      <c r="C638" s="242"/>
      <c r="D638" s="242"/>
      <c r="E638" s="13"/>
      <c r="F638" s="13"/>
      <c r="G638" s="13"/>
      <c r="H638" s="13"/>
      <c r="I638" s="13"/>
      <c r="J638" s="13"/>
      <c r="K638" s="13"/>
      <c r="L638" s="242"/>
      <c r="M638" s="242"/>
      <c r="N638" s="242"/>
      <c r="O638" s="242"/>
      <c r="P638" s="242"/>
      <c r="Q638" s="242"/>
      <c r="R638" s="242"/>
      <c r="S638" s="242"/>
      <c r="T638" s="242"/>
      <c r="U638" s="242"/>
      <c r="V638" s="242"/>
      <c r="W638" s="242"/>
      <c r="X638" s="242"/>
      <c r="Y638" s="242"/>
      <c r="Z638" s="242"/>
    </row>
    <row r="639">
      <c r="A639" s="340"/>
      <c r="B639" s="242"/>
      <c r="C639" s="242"/>
      <c r="D639" s="242"/>
      <c r="E639" s="13"/>
      <c r="F639" s="13"/>
      <c r="G639" s="13"/>
      <c r="H639" s="13"/>
      <c r="I639" s="13"/>
      <c r="J639" s="13"/>
      <c r="K639" s="13"/>
      <c r="L639" s="242"/>
      <c r="M639" s="242"/>
      <c r="N639" s="242"/>
      <c r="O639" s="242"/>
      <c r="P639" s="242"/>
      <c r="Q639" s="242"/>
      <c r="R639" s="242"/>
      <c r="S639" s="242"/>
      <c r="T639" s="242"/>
      <c r="U639" s="242"/>
      <c r="V639" s="242"/>
      <c r="W639" s="242"/>
      <c r="X639" s="242"/>
      <c r="Y639" s="242"/>
      <c r="Z639" s="242"/>
    </row>
    <row r="640">
      <c r="A640" s="340"/>
      <c r="B640" s="242"/>
      <c r="C640" s="242"/>
      <c r="D640" s="242"/>
      <c r="E640" s="13"/>
      <c r="F640" s="13"/>
      <c r="G640" s="13"/>
      <c r="H640" s="13"/>
      <c r="I640" s="13"/>
      <c r="J640" s="13"/>
      <c r="K640" s="13"/>
      <c r="L640" s="242"/>
      <c r="M640" s="242"/>
      <c r="N640" s="242"/>
      <c r="O640" s="242"/>
      <c r="P640" s="242"/>
      <c r="Q640" s="242"/>
      <c r="R640" s="242"/>
      <c r="S640" s="242"/>
      <c r="T640" s="242"/>
      <c r="U640" s="242"/>
      <c r="V640" s="242"/>
      <c r="W640" s="242"/>
      <c r="X640" s="242"/>
      <c r="Y640" s="242"/>
      <c r="Z640" s="242"/>
    </row>
    <row r="641">
      <c r="A641" s="340"/>
      <c r="B641" s="242"/>
      <c r="C641" s="242"/>
      <c r="D641" s="242"/>
      <c r="E641" s="13"/>
      <c r="F641" s="13"/>
      <c r="G641" s="13"/>
      <c r="H641" s="13"/>
      <c r="I641" s="13"/>
      <c r="J641" s="13"/>
      <c r="K641" s="13"/>
      <c r="L641" s="242"/>
      <c r="M641" s="242"/>
      <c r="N641" s="242"/>
      <c r="O641" s="242"/>
      <c r="P641" s="242"/>
      <c r="Q641" s="242"/>
      <c r="R641" s="242"/>
      <c r="S641" s="242"/>
      <c r="T641" s="242"/>
      <c r="U641" s="242"/>
      <c r="V641" s="242"/>
      <c r="W641" s="242"/>
      <c r="X641" s="242"/>
      <c r="Y641" s="242"/>
      <c r="Z641" s="242"/>
    </row>
    <row r="642">
      <c r="A642" s="340"/>
      <c r="B642" s="242"/>
      <c r="C642" s="242"/>
      <c r="D642" s="242"/>
      <c r="E642" s="13"/>
      <c r="F642" s="13"/>
      <c r="G642" s="13"/>
      <c r="H642" s="13"/>
      <c r="I642" s="13"/>
      <c r="J642" s="13"/>
      <c r="K642" s="13"/>
      <c r="L642" s="242"/>
      <c r="M642" s="242"/>
      <c r="N642" s="242"/>
      <c r="O642" s="242"/>
      <c r="P642" s="242"/>
      <c r="Q642" s="242"/>
      <c r="R642" s="242"/>
      <c r="S642" s="242"/>
      <c r="T642" s="242"/>
      <c r="U642" s="242"/>
      <c r="V642" s="242"/>
      <c r="W642" s="242"/>
      <c r="X642" s="242"/>
      <c r="Y642" s="242"/>
      <c r="Z642" s="242"/>
    </row>
    <row r="643">
      <c r="A643" s="340"/>
      <c r="B643" s="242"/>
      <c r="C643" s="242"/>
      <c r="D643" s="242"/>
      <c r="E643" s="13"/>
      <c r="F643" s="13"/>
      <c r="G643" s="13"/>
      <c r="H643" s="13"/>
      <c r="I643" s="13"/>
      <c r="J643" s="13"/>
      <c r="K643" s="13"/>
      <c r="L643" s="242"/>
      <c r="M643" s="242"/>
      <c r="N643" s="242"/>
      <c r="O643" s="242"/>
      <c r="P643" s="242"/>
      <c r="Q643" s="242"/>
      <c r="R643" s="242"/>
      <c r="S643" s="242"/>
      <c r="T643" s="242"/>
      <c r="U643" s="242"/>
      <c r="V643" s="242"/>
      <c r="W643" s="242"/>
      <c r="X643" s="242"/>
      <c r="Y643" s="242"/>
      <c r="Z643" s="242"/>
    </row>
    <row r="644">
      <c r="A644" s="340"/>
      <c r="B644" s="242"/>
      <c r="C644" s="242"/>
      <c r="D644" s="242"/>
      <c r="E644" s="13"/>
      <c r="F644" s="13"/>
      <c r="G644" s="13"/>
      <c r="H644" s="13"/>
      <c r="I644" s="13"/>
      <c r="J644" s="13"/>
      <c r="K644" s="13"/>
      <c r="L644" s="242"/>
      <c r="M644" s="242"/>
      <c r="N644" s="242"/>
      <c r="O644" s="242"/>
      <c r="P644" s="242"/>
      <c r="Q644" s="242"/>
      <c r="R644" s="242"/>
      <c r="S644" s="242"/>
      <c r="T644" s="242"/>
      <c r="U644" s="242"/>
      <c r="V644" s="242"/>
      <c r="W644" s="242"/>
      <c r="X644" s="242"/>
      <c r="Y644" s="242"/>
      <c r="Z644" s="242"/>
    </row>
    <row r="645">
      <c r="A645" s="340"/>
      <c r="B645" s="242"/>
      <c r="C645" s="242"/>
      <c r="D645" s="242"/>
      <c r="E645" s="13"/>
      <c r="F645" s="13"/>
      <c r="G645" s="13"/>
      <c r="H645" s="13"/>
      <c r="I645" s="13"/>
      <c r="J645" s="13"/>
      <c r="K645" s="13"/>
      <c r="L645" s="242"/>
      <c r="M645" s="242"/>
      <c r="N645" s="242"/>
      <c r="O645" s="242"/>
      <c r="P645" s="242"/>
      <c r="Q645" s="242"/>
      <c r="R645" s="242"/>
      <c r="S645" s="242"/>
      <c r="T645" s="242"/>
      <c r="U645" s="242"/>
      <c r="V645" s="242"/>
      <c r="W645" s="242"/>
      <c r="X645" s="242"/>
      <c r="Y645" s="242"/>
      <c r="Z645" s="242"/>
    </row>
    <row r="646">
      <c r="A646" s="340"/>
      <c r="B646" s="242"/>
      <c r="C646" s="242"/>
      <c r="D646" s="242"/>
      <c r="E646" s="13"/>
      <c r="F646" s="13"/>
      <c r="G646" s="13"/>
      <c r="H646" s="13"/>
      <c r="I646" s="13"/>
      <c r="J646" s="13"/>
      <c r="K646" s="13"/>
      <c r="L646" s="242"/>
      <c r="M646" s="242"/>
      <c r="N646" s="242"/>
      <c r="O646" s="242"/>
      <c r="P646" s="242"/>
      <c r="Q646" s="242"/>
      <c r="R646" s="242"/>
      <c r="S646" s="242"/>
      <c r="T646" s="242"/>
      <c r="U646" s="242"/>
      <c r="V646" s="242"/>
      <c r="W646" s="242"/>
      <c r="X646" s="242"/>
      <c r="Y646" s="242"/>
      <c r="Z646" s="242"/>
    </row>
    <row r="647">
      <c r="A647" s="340"/>
      <c r="B647" s="242"/>
      <c r="C647" s="242"/>
      <c r="D647" s="242"/>
      <c r="E647" s="13"/>
      <c r="F647" s="13"/>
      <c r="G647" s="13"/>
      <c r="H647" s="13"/>
      <c r="I647" s="13"/>
      <c r="J647" s="13"/>
      <c r="K647" s="13"/>
      <c r="L647" s="242"/>
      <c r="M647" s="242"/>
      <c r="N647" s="242"/>
      <c r="O647" s="242"/>
      <c r="P647" s="242"/>
      <c r="Q647" s="242"/>
      <c r="R647" s="242"/>
      <c r="S647" s="242"/>
      <c r="T647" s="242"/>
      <c r="U647" s="242"/>
      <c r="V647" s="242"/>
      <c r="W647" s="242"/>
      <c r="X647" s="242"/>
      <c r="Y647" s="242"/>
      <c r="Z647" s="242"/>
    </row>
    <row r="648">
      <c r="A648" s="340"/>
      <c r="B648" s="242"/>
      <c r="C648" s="242"/>
      <c r="D648" s="242"/>
      <c r="E648" s="13"/>
      <c r="F648" s="13"/>
      <c r="G648" s="13"/>
      <c r="H648" s="13"/>
      <c r="I648" s="13"/>
      <c r="J648" s="13"/>
      <c r="K648" s="13"/>
      <c r="L648" s="242"/>
      <c r="M648" s="242"/>
      <c r="N648" s="242"/>
      <c r="O648" s="242"/>
      <c r="P648" s="242"/>
      <c r="Q648" s="242"/>
      <c r="R648" s="242"/>
      <c r="S648" s="242"/>
      <c r="T648" s="242"/>
      <c r="U648" s="242"/>
      <c r="V648" s="242"/>
      <c r="W648" s="242"/>
      <c r="X648" s="242"/>
      <c r="Y648" s="242"/>
      <c r="Z648" s="242"/>
    </row>
    <row r="649">
      <c r="A649" s="340"/>
      <c r="B649" s="242"/>
      <c r="C649" s="242"/>
      <c r="D649" s="242"/>
      <c r="E649" s="13"/>
      <c r="F649" s="13"/>
      <c r="G649" s="13"/>
      <c r="H649" s="13"/>
      <c r="I649" s="13"/>
      <c r="J649" s="13"/>
      <c r="K649" s="13"/>
      <c r="L649" s="242"/>
      <c r="M649" s="242"/>
      <c r="N649" s="242"/>
      <c r="O649" s="242"/>
      <c r="P649" s="242"/>
      <c r="Q649" s="242"/>
      <c r="R649" s="242"/>
      <c r="S649" s="242"/>
      <c r="T649" s="242"/>
      <c r="U649" s="242"/>
      <c r="V649" s="242"/>
      <c r="W649" s="242"/>
      <c r="X649" s="242"/>
      <c r="Y649" s="242"/>
      <c r="Z649" s="242"/>
    </row>
    <row r="650">
      <c r="A650" s="340"/>
      <c r="B650" s="242"/>
      <c r="C650" s="242"/>
      <c r="D650" s="242"/>
      <c r="E650" s="13"/>
      <c r="F650" s="13"/>
      <c r="G650" s="13"/>
      <c r="H650" s="13"/>
      <c r="I650" s="13"/>
      <c r="J650" s="13"/>
      <c r="K650" s="13"/>
      <c r="L650" s="242"/>
      <c r="M650" s="242"/>
      <c r="N650" s="242"/>
      <c r="O650" s="242"/>
      <c r="P650" s="242"/>
      <c r="Q650" s="242"/>
      <c r="R650" s="242"/>
      <c r="S650" s="242"/>
      <c r="T650" s="242"/>
      <c r="U650" s="242"/>
      <c r="V650" s="242"/>
      <c r="W650" s="242"/>
      <c r="X650" s="242"/>
      <c r="Y650" s="242"/>
      <c r="Z650" s="242"/>
    </row>
    <row r="651">
      <c r="A651" s="340"/>
      <c r="B651" s="242"/>
      <c r="C651" s="242"/>
      <c r="D651" s="242"/>
      <c r="E651" s="13"/>
      <c r="F651" s="13"/>
      <c r="G651" s="13"/>
      <c r="H651" s="13"/>
      <c r="I651" s="13"/>
      <c r="J651" s="13"/>
      <c r="K651" s="13"/>
      <c r="L651" s="242"/>
      <c r="M651" s="242"/>
      <c r="N651" s="242"/>
      <c r="O651" s="242"/>
      <c r="P651" s="242"/>
      <c r="Q651" s="242"/>
      <c r="R651" s="242"/>
      <c r="S651" s="242"/>
      <c r="T651" s="242"/>
      <c r="U651" s="242"/>
      <c r="V651" s="242"/>
      <c r="W651" s="242"/>
      <c r="X651" s="242"/>
      <c r="Y651" s="242"/>
      <c r="Z651" s="242"/>
    </row>
    <row r="652">
      <c r="A652" s="340"/>
      <c r="B652" s="242"/>
      <c r="C652" s="242"/>
      <c r="D652" s="242"/>
      <c r="E652" s="13"/>
      <c r="F652" s="13"/>
      <c r="G652" s="13"/>
      <c r="H652" s="13"/>
      <c r="I652" s="13"/>
      <c r="J652" s="13"/>
      <c r="K652" s="13"/>
      <c r="L652" s="242"/>
      <c r="M652" s="242"/>
      <c r="N652" s="242"/>
      <c r="O652" s="242"/>
      <c r="P652" s="242"/>
      <c r="Q652" s="242"/>
      <c r="R652" s="242"/>
      <c r="S652" s="242"/>
      <c r="T652" s="242"/>
      <c r="U652" s="242"/>
      <c r="V652" s="242"/>
      <c r="W652" s="242"/>
      <c r="X652" s="242"/>
      <c r="Y652" s="242"/>
      <c r="Z652" s="242"/>
    </row>
    <row r="653">
      <c r="A653" s="340"/>
      <c r="B653" s="242"/>
      <c r="C653" s="242"/>
      <c r="D653" s="242"/>
      <c r="E653" s="13"/>
      <c r="F653" s="13"/>
      <c r="G653" s="13"/>
      <c r="H653" s="13"/>
      <c r="I653" s="13"/>
      <c r="J653" s="13"/>
      <c r="K653" s="13"/>
      <c r="L653" s="242"/>
      <c r="M653" s="242"/>
      <c r="N653" s="242"/>
      <c r="O653" s="242"/>
      <c r="P653" s="242"/>
      <c r="Q653" s="242"/>
      <c r="R653" s="242"/>
      <c r="S653" s="242"/>
      <c r="T653" s="242"/>
      <c r="U653" s="242"/>
      <c r="V653" s="242"/>
      <c r="W653" s="242"/>
      <c r="X653" s="242"/>
      <c r="Y653" s="242"/>
      <c r="Z653" s="242"/>
    </row>
    <row r="654">
      <c r="A654" s="340"/>
      <c r="B654" s="242"/>
      <c r="C654" s="242"/>
      <c r="D654" s="242"/>
      <c r="E654" s="13"/>
      <c r="F654" s="13"/>
      <c r="G654" s="13"/>
      <c r="H654" s="13"/>
      <c r="I654" s="13"/>
      <c r="J654" s="13"/>
      <c r="K654" s="13"/>
      <c r="L654" s="242"/>
      <c r="M654" s="242"/>
      <c r="N654" s="242"/>
      <c r="O654" s="242"/>
      <c r="P654" s="242"/>
      <c r="Q654" s="242"/>
      <c r="R654" s="242"/>
      <c r="S654" s="242"/>
      <c r="T654" s="242"/>
      <c r="U654" s="242"/>
      <c r="V654" s="242"/>
      <c r="W654" s="242"/>
      <c r="X654" s="242"/>
      <c r="Y654" s="242"/>
      <c r="Z654" s="242"/>
    </row>
    <row r="655">
      <c r="A655" s="340"/>
      <c r="B655" s="242"/>
      <c r="C655" s="242"/>
      <c r="D655" s="242"/>
      <c r="E655" s="13"/>
      <c r="F655" s="13"/>
      <c r="G655" s="13"/>
      <c r="H655" s="13"/>
      <c r="I655" s="13"/>
      <c r="J655" s="13"/>
      <c r="K655" s="13"/>
      <c r="L655" s="242"/>
      <c r="M655" s="242"/>
      <c r="N655" s="242"/>
      <c r="O655" s="242"/>
      <c r="P655" s="242"/>
      <c r="Q655" s="242"/>
      <c r="R655" s="242"/>
      <c r="S655" s="242"/>
      <c r="T655" s="242"/>
      <c r="U655" s="242"/>
      <c r="V655" s="242"/>
      <c r="W655" s="242"/>
      <c r="X655" s="242"/>
      <c r="Y655" s="242"/>
      <c r="Z655" s="242"/>
    </row>
    <row r="656">
      <c r="A656" s="340"/>
      <c r="B656" s="242"/>
      <c r="C656" s="242"/>
      <c r="D656" s="242"/>
      <c r="E656" s="13"/>
      <c r="F656" s="13"/>
      <c r="G656" s="13"/>
      <c r="H656" s="13"/>
      <c r="I656" s="13"/>
      <c r="J656" s="13"/>
      <c r="K656" s="13"/>
      <c r="L656" s="242"/>
      <c r="M656" s="242"/>
      <c r="N656" s="242"/>
      <c r="O656" s="242"/>
      <c r="P656" s="242"/>
      <c r="Q656" s="242"/>
      <c r="R656" s="242"/>
      <c r="S656" s="242"/>
      <c r="T656" s="242"/>
      <c r="U656" s="242"/>
      <c r="V656" s="242"/>
      <c r="W656" s="242"/>
      <c r="X656" s="242"/>
      <c r="Y656" s="242"/>
      <c r="Z656" s="242"/>
    </row>
    <row r="657">
      <c r="A657" s="340"/>
      <c r="B657" s="242"/>
      <c r="C657" s="242"/>
      <c r="D657" s="242"/>
      <c r="E657" s="13"/>
      <c r="F657" s="13"/>
      <c r="G657" s="13"/>
      <c r="H657" s="13"/>
      <c r="I657" s="13"/>
      <c r="J657" s="13"/>
      <c r="K657" s="13"/>
      <c r="L657" s="242"/>
      <c r="M657" s="242"/>
      <c r="N657" s="242"/>
      <c r="O657" s="242"/>
      <c r="P657" s="242"/>
      <c r="Q657" s="242"/>
      <c r="R657" s="242"/>
      <c r="S657" s="242"/>
      <c r="T657" s="242"/>
      <c r="U657" s="242"/>
      <c r="V657" s="242"/>
      <c r="W657" s="242"/>
      <c r="X657" s="242"/>
      <c r="Y657" s="242"/>
      <c r="Z657" s="242"/>
    </row>
    <row r="658">
      <c r="A658" s="340"/>
      <c r="B658" s="242"/>
      <c r="C658" s="242"/>
      <c r="D658" s="242"/>
      <c r="E658" s="13"/>
      <c r="F658" s="13"/>
      <c r="G658" s="13"/>
      <c r="H658" s="13"/>
      <c r="I658" s="13"/>
      <c r="J658" s="13"/>
      <c r="K658" s="13"/>
      <c r="L658" s="242"/>
      <c r="M658" s="242"/>
      <c r="N658" s="242"/>
      <c r="O658" s="242"/>
      <c r="P658" s="242"/>
      <c r="Q658" s="242"/>
      <c r="R658" s="242"/>
      <c r="S658" s="242"/>
      <c r="T658" s="242"/>
      <c r="U658" s="242"/>
      <c r="V658" s="242"/>
      <c r="W658" s="242"/>
      <c r="X658" s="242"/>
      <c r="Y658" s="242"/>
      <c r="Z658" s="242"/>
    </row>
    <row r="659">
      <c r="A659" s="340"/>
      <c r="B659" s="242"/>
      <c r="C659" s="242"/>
      <c r="D659" s="242"/>
      <c r="E659" s="13"/>
      <c r="F659" s="13"/>
      <c r="G659" s="13"/>
      <c r="H659" s="13"/>
      <c r="I659" s="13"/>
      <c r="J659" s="13"/>
      <c r="K659" s="13"/>
      <c r="L659" s="242"/>
      <c r="M659" s="242"/>
      <c r="N659" s="242"/>
      <c r="O659" s="242"/>
      <c r="P659" s="242"/>
      <c r="Q659" s="242"/>
      <c r="R659" s="242"/>
      <c r="S659" s="242"/>
      <c r="T659" s="242"/>
      <c r="U659" s="242"/>
      <c r="V659" s="242"/>
      <c r="W659" s="242"/>
      <c r="X659" s="242"/>
      <c r="Y659" s="242"/>
      <c r="Z659" s="242"/>
    </row>
    <row r="660">
      <c r="A660" s="340"/>
      <c r="B660" s="242"/>
      <c r="C660" s="242"/>
      <c r="D660" s="242"/>
      <c r="E660" s="13"/>
      <c r="F660" s="13"/>
      <c r="G660" s="13"/>
      <c r="H660" s="13"/>
      <c r="I660" s="13"/>
      <c r="J660" s="13"/>
      <c r="K660" s="13"/>
      <c r="L660" s="242"/>
      <c r="M660" s="242"/>
      <c r="N660" s="242"/>
      <c r="O660" s="242"/>
      <c r="P660" s="242"/>
      <c r="Q660" s="242"/>
      <c r="R660" s="242"/>
      <c r="S660" s="242"/>
      <c r="T660" s="242"/>
      <c r="U660" s="242"/>
      <c r="V660" s="242"/>
      <c r="W660" s="242"/>
      <c r="X660" s="242"/>
      <c r="Y660" s="242"/>
      <c r="Z660" s="242"/>
    </row>
    <row r="661">
      <c r="A661" s="340"/>
      <c r="B661" s="242"/>
      <c r="C661" s="242"/>
      <c r="D661" s="242"/>
      <c r="E661" s="13"/>
      <c r="F661" s="13"/>
      <c r="G661" s="13"/>
      <c r="H661" s="13"/>
      <c r="I661" s="13"/>
      <c r="J661" s="13"/>
      <c r="K661" s="13"/>
      <c r="L661" s="242"/>
      <c r="M661" s="242"/>
      <c r="N661" s="242"/>
      <c r="O661" s="242"/>
      <c r="P661" s="242"/>
      <c r="Q661" s="242"/>
      <c r="R661" s="242"/>
      <c r="S661" s="242"/>
      <c r="T661" s="242"/>
      <c r="U661" s="242"/>
      <c r="V661" s="242"/>
      <c r="W661" s="242"/>
      <c r="X661" s="242"/>
      <c r="Y661" s="242"/>
      <c r="Z661" s="242"/>
    </row>
    <row r="662">
      <c r="A662" s="340"/>
      <c r="B662" s="242"/>
      <c r="C662" s="242"/>
      <c r="D662" s="242"/>
      <c r="E662" s="13"/>
      <c r="F662" s="13"/>
      <c r="G662" s="13"/>
      <c r="H662" s="13"/>
      <c r="I662" s="13"/>
      <c r="J662" s="13"/>
      <c r="K662" s="13"/>
      <c r="L662" s="242"/>
      <c r="M662" s="242"/>
      <c r="N662" s="242"/>
      <c r="O662" s="242"/>
      <c r="P662" s="242"/>
      <c r="Q662" s="242"/>
      <c r="R662" s="242"/>
      <c r="S662" s="242"/>
      <c r="T662" s="242"/>
      <c r="U662" s="242"/>
      <c r="V662" s="242"/>
      <c r="W662" s="242"/>
      <c r="X662" s="242"/>
      <c r="Y662" s="242"/>
      <c r="Z662" s="242"/>
    </row>
    <row r="663">
      <c r="A663" s="340"/>
      <c r="B663" s="242"/>
      <c r="C663" s="242"/>
      <c r="D663" s="242"/>
      <c r="E663" s="13"/>
      <c r="F663" s="13"/>
      <c r="G663" s="13"/>
      <c r="H663" s="13"/>
      <c r="I663" s="13"/>
      <c r="J663" s="13"/>
      <c r="K663" s="13"/>
      <c r="L663" s="242"/>
      <c r="M663" s="242"/>
      <c r="N663" s="242"/>
      <c r="O663" s="242"/>
      <c r="P663" s="242"/>
      <c r="Q663" s="242"/>
      <c r="R663" s="242"/>
      <c r="S663" s="242"/>
      <c r="T663" s="242"/>
      <c r="U663" s="242"/>
      <c r="V663" s="242"/>
      <c r="W663" s="242"/>
      <c r="X663" s="242"/>
      <c r="Y663" s="242"/>
      <c r="Z663" s="242"/>
    </row>
    <row r="664">
      <c r="A664" s="340"/>
      <c r="B664" s="242"/>
      <c r="C664" s="242"/>
      <c r="D664" s="242"/>
      <c r="E664" s="13"/>
      <c r="F664" s="13"/>
      <c r="G664" s="13"/>
      <c r="H664" s="13"/>
      <c r="I664" s="13"/>
      <c r="J664" s="13"/>
      <c r="K664" s="13"/>
      <c r="L664" s="242"/>
      <c r="M664" s="242"/>
      <c r="N664" s="242"/>
      <c r="O664" s="242"/>
      <c r="P664" s="242"/>
      <c r="Q664" s="242"/>
      <c r="R664" s="242"/>
      <c r="S664" s="242"/>
      <c r="T664" s="242"/>
      <c r="U664" s="242"/>
      <c r="V664" s="242"/>
      <c r="W664" s="242"/>
      <c r="X664" s="242"/>
      <c r="Y664" s="242"/>
      <c r="Z664" s="242"/>
    </row>
    <row r="665">
      <c r="A665" s="340"/>
      <c r="B665" s="242"/>
      <c r="C665" s="242"/>
      <c r="D665" s="242"/>
      <c r="E665" s="13"/>
      <c r="F665" s="13"/>
      <c r="G665" s="13"/>
      <c r="H665" s="13"/>
      <c r="I665" s="13"/>
      <c r="J665" s="13"/>
      <c r="K665" s="13"/>
      <c r="L665" s="242"/>
      <c r="M665" s="242"/>
      <c r="N665" s="242"/>
      <c r="O665" s="242"/>
      <c r="P665" s="242"/>
      <c r="Q665" s="242"/>
      <c r="R665" s="242"/>
      <c r="S665" s="242"/>
      <c r="T665" s="242"/>
      <c r="U665" s="242"/>
      <c r="V665" s="242"/>
      <c r="W665" s="242"/>
      <c r="X665" s="242"/>
      <c r="Y665" s="242"/>
      <c r="Z665" s="242"/>
    </row>
    <row r="666">
      <c r="A666" s="340"/>
      <c r="B666" s="242"/>
      <c r="C666" s="242"/>
      <c r="D666" s="242"/>
      <c r="E666" s="13"/>
      <c r="F666" s="13"/>
      <c r="G666" s="13"/>
      <c r="H666" s="13"/>
      <c r="I666" s="13"/>
      <c r="J666" s="13"/>
      <c r="K666" s="13"/>
      <c r="L666" s="242"/>
      <c r="M666" s="242"/>
      <c r="N666" s="242"/>
      <c r="O666" s="242"/>
      <c r="P666" s="242"/>
      <c r="Q666" s="242"/>
      <c r="R666" s="242"/>
      <c r="S666" s="242"/>
      <c r="T666" s="242"/>
      <c r="U666" s="242"/>
      <c r="V666" s="242"/>
      <c r="W666" s="242"/>
      <c r="X666" s="242"/>
      <c r="Y666" s="242"/>
      <c r="Z666" s="242"/>
    </row>
    <row r="667">
      <c r="A667" s="340"/>
      <c r="B667" s="242"/>
      <c r="C667" s="242"/>
      <c r="D667" s="242"/>
      <c r="E667" s="13"/>
      <c r="F667" s="13"/>
      <c r="G667" s="13"/>
      <c r="H667" s="13"/>
      <c r="I667" s="13"/>
      <c r="J667" s="13"/>
      <c r="K667" s="13"/>
      <c r="L667" s="242"/>
      <c r="M667" s="242"/>
      <c r="N667" s="242"/>
      <c r="O667" s="242"/>
      <c r="P667" s="242"/>
      <c r="Q667" s="242"/>
      <c r="R667" s="242"/>
      <c r="S667" s="242"/>
      <c r="T667" s="242"/>
      <c r="U667" s="242"/>
      <c r="V667" s="242"/>
      <c r="W667" s="242"/>
      <c r="X667" s="242"/>
      <c r="Y667" s="242"/>
      <c r="Z667" s="242"/>
    </row>
    <row r="668">
      <c r="A668" s="340"/>
      <c r="B668" s="242"/>
      <c r="C668" s="242"/>
      <c r="D668" s="242"/>
      <c r="E668" s="13"/>
      <c r="F668" s="13"/>
      <c r="G668" s="13"/>
      <c r="H668" s="13"/>
      <c r="I668" s="13"/>
      <c r="J668" s="13"/>
      <c r="K668" s="13"/>
      <c r="L668" s="242"/>
      <c r="M668" s="242"/>
      <c r="N668" s="242"/>
      <c r="O668" s="242"/>
      <c r="P668" s="242"/>
      <c r="Q668" s="242"/>
      <c r="R668" s="242"/>
      <c r="S668" s="242"/>
      <c r="T668" s="242"/>
      <c r="U668" s="242"/>
      <c r="V668" s="242"/>
      <c r="W668" s="242"/>
      <c r="X668" s="242"/>
      <c r="Y668" s="242"/>
      <c r="Z668" s="242"/>
    </row>
    <row r="669">
      <c r="A669" s="340"/>
      <c r="B669" s="242"/>
      <c r="C669" s="242"/>
      <c r="D669" s="242"/>
      <c r="E669" s="13"/>
      <c r="F669" s="13"/>
      <c r="G669" s="13"/>
      <c r="H669" s="13"/>
      <c r="I669" s="13"/>
      <c r="J669" s="13"/>
      <c r="K669" s="13"/>
      <c r="L669" s="242"/>
      <c r="M669" s="242"/>
      <c r="N669" s="242"/>
      <c r="O669" s="242"/>
      <c r="P669" s="242"/>
      <c r="Q669" s="242"/>
      <c r="R669" s="242"/>
      <c r="S669" s="242"/>
      <c r="T669" s="242"/>
      <c r="U669" s="242"/>
      <c r="V669" s="242"/>
      <c r="W669" s="242"/>
      <c r="X669" s="242"/>
      <c r="Y669" s="242"/>
      <c r="Z669" s="242"/>
    </row>
    <row r="670">
      <c r="A670" s="340"/>
      <c r="B670" s="242"/>
      <c r="C670" s="242"/>
      <c r="D670" s="242"/>
      <c r="E670" s="13"/>
      <c r="F670" s="13"/>
      <c r="G670" s="13"/>
      <c r="H670" s="13"/>
      <c r="I670" s="13"/>
      <c r="J670" s="13"/>
      <c r="K670" s="13"/>
      <c r="L670" s="242"/>
      <c r="M670" s="242"/>
      <c r="N670" s="242"/>
      <c r="O670" s="242"/>
      <c r="P670" s="242"/>
      <c r="Q670" s="242"/>
      <c r="R670" s="242"/>
      <c r="S670" s="242"/>
      <c r="T670" s="242"/>
      <c r="U670" s="242"/>
      <c r="V670" s="242"/>
      <c r="W670" s="242"/>
      <c r="X670" s="242"/>
      <c r="Y670" s="242"/>
      <c r="Z670" s="242"/>
    </row>
    <row r="671">
      <c r="A671" s="340"/>
      <c r="B671" s="242"/>
      <c r="C671" s="242"/>
      <c r="D671" s="242"/>
      <c r="E671" s="13"/>
      <c r="F671" s="13"/>
      <c r="G671" s="13"/>
      <c r="H671" s="13"/>
      <c r="I671" s="13"/>
      <c r="J671" s="13"/>
      <c r="K671" s="13"/>
      <c r="L671" s="242"/>
      <c r="M671" s="242"/>
      <c r="N671" s="242"/>
      <c r="O671" s="242"/>
      <c r="P671" s="242"/>
      <c r="Q671" s="242"/>
      <c r="R671" s="242"/>
      <c r="S671" s="242"/>
      <c r="T671" s="242"/>
      <c r="U671" s="242"/>
      <c r="V671" s="242"/>
      <c r="W671" s="242"/>
      <c r="X671" s="242"/>
      <c r="Y671" s="242"/>
      <c r="Z671" s="242"/>
    </row>
    <row r="672">
      <c r="A672" s="340"/>
      <c r="B672" s="242"/>
      <c r="C672" s="242"/>
      <c r="D672" s="242"/>
      <c r="E672" s="13"/>
      <c r="F672" s="13"/>
      <c r="G672" s="13"/>
      <c r="H672" s="13"/>
      <c r="I672" s="13"/>
      <c r="J672" s="13"/>
      <c r="K672" s="13"/>
      <c r="L672" s="242"/>
      <c r="M672" s="242"/>
      <c r="N672" s="242"/>
      <c r="O672" s="242"/>
      <c r="P672" s="242"/>
      <c r="Q672" s="242"/>
      <c r="R672" s="242"/>
      <c r="S672" s="242"/>
      <c r="T672" s="242"/>
      <c r="U672" s="242"/>
      <c r="V672" s="242"/>
      <c r="W672" s="242"/>
      <c r="X672" s="242"/>
      <c r="Y672" s="242"/>
      <c r="Z672" s="242"/>
    </row>
    <row r="673">
      <c r="A673" s="340"/>
      <c r="B673" s="242"/>
      <c r="C673" s="242"/>
      <c r="D673" s="242"/>
      <c r="E673" s="13"/>
      <c r="F673" s="13"/>
      <c r="G673" s="13"/>
      <c r="H673" s="13"/>
      <c r="I673" s="13"/>
      <c r="J673" s="13"/>
      <c r="K673" s="13"/>
      <c r="L673" s="242"/>
      <c r="M673" s="242"/>
      <c r="N673" s="242"/>
      <c r="O673" s="242"/>
      <c r="P673" s="242"/>
      <c r="Q673" s="242"/>
      <c r="R673" s="242"/>
      <c r="S673" s="242"/>
      <c r="T673" s="242"/>
      <c r="U673" s="242"/>
      <c r="V673" s="242"/>
      <c r="W673" s="242"/>
      <c r="X673" s="242"/>
      <c r="Y673" s="242"/>
      <c r="Z673" s="242"/>
    </row>
    <row r="674">
      <c r="A674" s="340"/>
      <c r="B674" s="242"/>
      <c r="C674" s="242"/>
      <c r="D674" s="242"/>
      <c r="E674" s="13"/>
      <c r="F674" s="13"/>
      <c r="G674" s="13"/>
      <c r="H674" s="13"/>
      <c r="I674" s="13"/>
      <c r="J674" s="13"/>
      <c r="K674" s="13"/>
      <c r="L674" s="242"/>
      <c r="M674" s="242"/>
      <c r="N674" s="242"/>
      <c r="O674" s="242"/>
      <c r="P674" s="242"/>
      <c r="Q674" s="242"/>
      <c r="R674" s="242"/>
      <c r="S674" s="242"/>
      <c r="T674" s="242"/>
      <c r="U674" s="242"/>
      <c r="V674" s="242"/>
      <c r="W674" s="242"/>
      <c r="X674" s="242"/>
      <c r="Y674" s="242"/>
      <c r="Z674" s="242"/>
    </row>
    <row r="675">
      <c r="A675" s="340"/>
      <c r="B675" s="242"/>
      <c r="C675" s="242"/>
      <c r="D675" s="242"/>
      <c r="E675" s="13"/>
      <c r="F675" s="13"/>
      <c r="G675" s="13"/>
      <c r="H675" s="13"/>
      <c r="I675" s="13"/>
      <c r="J675" s="13"/>
      <c r="K675" s="13"/>
      <c r="L675" s="242"/>
      <c r="M675" s="242"/>
      <c r="N675" s="242"/>
      <c r="O675" s="242"/>
      <c r="P675" s="242"/>
      <c r="Q675" s="242"/>
      <c r="R675" s="242"/>
      <c r="S675" s="242"/>
      <c r="T675" s="242"/>
      <c r="U675" s="242"/>
      <c r="V675" s="242"/>
      <c r="W675" s="242"/>
      <c r="X675" s="242"/>
      <c r="Y675" s="242"/>
      <c r="Z675" s="242"/>
    </row>
    <row r="676">
      <c r="A676" s="340"/>
      <c r="B676" s="242"/>
      <c r="C676" s="242"/>
      <c r="D676" s="242"/>
      <c r="E676" s="13"/>
      <c r="F676" s="13"/>
      <c r="G676" s="13"/>
      <c r="H676" s="13"/>
      <c r="I676" s="13"/>
      <c r="J676" s="13"/>
      <c r="K676" s="13"/>
      <c r="L676" s="242"/>
      <c r="M676" s="242"/>
      <c r="N676" s="242"/>
      <c r="O676" s="242"/>
      <c r="P676" s="242"/>
      <c r="Q676" s="242"/>
      <c r="R676" s="242"/>
      <c r="S676" s="242"/>
      <c r="T676" s="242"/>
      <c r="U676" s="242"/>
      <c r="V676" s="242"/>
      <c r="W676" s="242"/>
      <c r="X676" s="242"/>
      <c r="Y676" s="242"/>
      <c r="Z676" s="242"/>
    </row>
    <row r="677">
      <c r="A677" s="340"/>
      <c r="B677" s="242"/>
      <c r="C677" s="242"/>
      <c r="D677" s="242"/>
      <c r="E677" s="13"/>
      <c r="F677" s="13"/>
      <c r="G677" s="13"/>
      <c r="H677" s="13"/>
      <c r="I677" s="13"/>
      <c r="J677" s="13"/>
      <c r="K677" s="13"/>
      <c r="L677" s="242"/>
      <c r="M677" s="242"/>
      <c r="N677" s="242"/>
      <c r="O677" s="242"/>
      <c r="P677" s="242"/>
      <c r="Q677" s="242"/>
      <c r="R677" s="242"/>
      <c r="S677" s="242"/>
      <c r="T677" s="242"/>
      <c r="U677" s="242"/>
      <c r="V677" s="242"/>
      <c r="W677" s="242"/>
      <c r="X677" s="242"/>
      <c r="Y677" s="242"/>
      <c r="Z677" s="242"/>
    </row>
    <row r="678">
      <c r="A678" s="340"/>
      <c r="B678" s="242"/>
      <c r="C678" s="242"/>
      <c r="D678" s="242"/>
      <c r="E678" s="13"/>
      <c r="F678" s="13"/>
      <c r="G678" s="13"/>
      <c r="H678" s="13"/>
      <c r="I678" s="13"/>
      <c r="J678" s="13"/>
      <c r="K678" s="13"/>
      <c r="L678" s="242"/>
      <c r="M678" s="242"/>
      <c r="N678" s="242"/>
      <c r="O678" s="242"/>
      <c r="P678" s="242"/>
      <c r="Q678" s="242"/>
      <c r="R678" s="242"/>
      <c r="S678" s="242"/>
      <c r="T678" s="242"/>
      <c r="U678" s="242"/>
      <c r="V678" s="242"/>
      <c r="W678" s="242"/>
      <c r="X678" s="242"/>
      <c r="Y678" s="242"/>
      <c r="Z678" s="242"/>
    </row>
    <row r="679">
      <c r="A679" s="340"/>
      <c r="B679" s="242"/>
      <c r="C679" s="242"/>
      <c r="D679" s="242"/>
      <c r="E679" s="13"/>
      <c r="F679" s="13"/>
      <c r="G679" s="13"/>
      <c r="H679" s="13"/>
      <c r="I679" s="13"/>
      <c r="J679" s="13"/>
      <c r="K679" s="13"/>
      <c r="L679" s="242"/>
      <c r="M679" s="242"/>
      <c r="N679" s="242"/>
      <c r="O679" s="242"/>
      <c r="P679" s="242"/>
      <c r="Q679" s="242"/>
      <c r="R679" s="242"/>
      <c r="S679" s="242"/>
      <c r="T679" s="242"/>
      <c r="U679" s="242"/>
      <c r="V679" s="242"/>
      <c r="W679" s="242"/>
      <c r="X679" s="242"/>
      <c r="Y679" s="242"/>
      <c r="Z679" s="242"/>
    </row>
    <row r="680">
      <c r="A680" s="340"/>
      <c r="B680" s="242"/>
      <c r="C680" s="242"/>
      <c r="D680" s="242"/>
      <c r="E680" s="13"/>
      <c r="F680" s="13"/>
      <c r="G680" s="13"/>
      <c r="H680" s="13"/>
      <c r="I680" s="13"/>
      <c r="J680" s="13"/>
      <c r="K680" s="13"/>
      <c r="L680" s="242"/>
      <c r="M680" s="242"/>
      <c r="N680" s="242"/>
      <c r="O680" s="242"/>
      <c r="P680" s="242"/>
      <c r="Q680" s="242"/>
      <c r="R680" s="242"/>
      <c r="S680" s="242"/>
      <c r="T680" s="242"/>
      <c r="U680" s="242"/>
      <c r="V680" s="242"/>
      <c r="W680" s="242"/>
      <c r="X680" s="242"/>
      <c r="Y680" s="242"/>
      <c r="Z680" s="242"/>
    </row>
    <row r="681">
      <c r="A681" s="340"/>
      <c r="B681" s="242"/>
      <c r="C681" s="242"/>
      <c r="D681" s="242"/>
      <c r="E681" s="13"/>
      <c r="F681" s="13"/>
      <c r="G681" s="13"/>
      <c r="H681" s="13"/>
      <c r="I681" s="13"/>
      <c r="J681" s="13"/>
      <c r="K681" s="13"/>
      <c r="L681" s="242"/>
      <c r="M681" s="242"/>
      <c r="N681" s="242"/>
      <c r="O681" s="242"/>
      <c r="P681" s="242"/>
      <c r="Q681" s="242"/>
      <c r="R681" s="242"/>
      <c r="S681" s="242"/>
      <c r="T681" s="242"/>
      <c r="U681" s="242"/>
      <c r="V681" s="242"/>
      <c r="W681" s="242"/>
      <c r="X681" s="242"/>
      <c r="Y681" s="242"/>
      <c r="Z681" s="242"/>
    </row>
    <row r="682">
      <c r="A682" s="340"/>
      <c r="B682" s="242"/>
      <c r="C682" s="242"/>
      <c r="D682" s="242"/>
      <c r="E682" s="13"/>
      <c r="F682" s="13"/>
      <c r="G682" s="13"/>
      <c r="H682" s="13"/>
      <c r="I682" s="13"/>
      <c r="J682" s="13"/>
      <c r="K682" s="13"/>
      <c r="L682" s="242"/>
      <c r="M682" s="242"/>
      <c r="N682" s="242"/>
      <c r="O682" s="242"/>
      <c r="P682" s="242"/>
      <c r="Q682" s="242"/>
      <c r="R682" s="242"/>
      <c r="S682" s="242"/>
      <c r="T682" s="242"/>
      <c r="U682" s="242"/>
      <c r="V682" s="242"/>
      <c r="W682" s="242"/>
      <c r="X682" s="242"/>
      <c r="Y682" s="242"/>
      <c r="Z682" s="242"/>
    </row>
    <row r="683">
      <c r="A683" s="340"/>
      <c r="B683" s="242"/>
      <c r="C683" s="242"/>
      <c r="D683" s="242"/>
      <c r="E683" s="13"/>
      <c r="F683" s="13"/>
      <c r="G683" s="13"/>
      <c r="H683" s="13"/>
      <c r="I683" s="13"/>
      <c r="J683" s="13"/>
      <c r="K683" s="13"/>
      <c r="L683" s="242"/>
      <c r="M683" s="242"/>
      <c r="N683" s="242"/>
      <c r="O683" s="242"/>
      <c r="P683" s="242"/>
      <c r="Q683" s="242"/>
      <c r="R683" s="242"/>
      <c r="S683" s="242"/>
      <c r="T683" s="242"/>
      <c r="U683" s="242"/>
      <c r="V683" s="242"/>
      <c r="W683" s="242"/>
      <c r="X683" s="242"/>
      <c r="Y683" s="242"/>
      <c r="Z683" s="242"/>
    </row>
    <row r="684">
      <c r="A684" s="340"/>
      <c r="B684" s="242"/>
      <c r="C684" s="242"/>
      <c r="D684" s="242"/>
      <c r="E684" s="13"/>
      <c r="F684" s="13"/>
      <c r="G684" s="13"/>
      <c r="H684" s="13"/>
      <c r="I684" s="13"/>
      <c r="J684" s="13"/>
      <c r="K684" s="13"/>
      <c r="L684" s="242"/>
      <c r="M684" s="242"/>
      <c r="N684" s="242"/>
      <c r="O684" s="242"/>
      <c r="P684" s="242"/>
      <c r="Q684" s="242"/>
      <c r="R684" s="242"/>
      <c r="S684" s="242"/>
      <c r="T684" s="242"/>
      <c r="U684" s="242"/>
      <c r="V684" s="242"/>
      <c r="W684" s="242"/>
      <c r="X684" s="242"/>
      <c r="Y684" s="242"/>
      <c r="Z684" s="242"/>
    </row>
    <row r="685">
      <c r="A685" s="340"/>
      <c r="B685" s="242"/>
      <c r="C685" s="242"/>
      <c r="D685" s="242"/>
      <c r="E685" s="13"/>
      <c r="F685" s="13"/>
      <c r="G685" s="13"/>
      <c r="H685" s="13"/>
      <c r="I685" s="13"/>
      <c r="J685" s="13"/>
      <c r="K685" s="13"/>
      <c r="L685" s="242"/>
      <c r="M685" s="242"/>
      <c r="N685" s="242"/>
      <c r="O685" s="242"/>
      <c r="P685" s="242"/>
      <c r="Q685" s="242"/>
      <c r="R685" s="242"/>
      <c r="S685" s="242"/>
      <c r="T685" s="242"/>
      <c r="U685" s="242"/>
      <c r="V685" s="242"/>
      <c r="W685" s="242"/>
      <c r="X685" s="242"/>
      <c r="Y685" s="242"/>
      <c r="Z685" s="242"/>
    </row>
    <row r="686">
      <c r="A686" s="340"/>
      <c r="B686" s="242"/>
      <c r="C686" s="242"/>
      <c r="D686" s="242"/>
      <c r="E686" s="13"/>
      <c r="F686" s="13"/>
      <c r="G686" s="13"/>
      <c r="H686" s="13"/>
      <c r="I686" s="13"/>
      <c r="J686" s="13"/>
      <c r="K686" s="13"/>
      <c r="L686" s="242"/>
      <c r="M686" s="242"/>
      <c r="N686" s="242"/>
      <c r="O686" s="242"/>
      <c r="P686" s="242"/>
      <c r="Q686" s="242"/>
      <c r="R686" s="242"/>
      <c r="S686" s="242"/>
      <c r="T686" s="242"/>
      <c r="U686" s="242"/>
      <c r="V686" s="242"/>
      <c r="W686" s="242"/>
      <c r="X686" s="242"/>
      <c r="Y686" s="242"/>
      <c r="Z686" s="242"/>
    </row>
    <row r="687">
      <c r="A687" s="340"/>
      <c r="B687" s="242"/>
      <c r="C687" s="242"/>
      <c r="D687" s="242"/>
      <c r="E687" s="13"/>
      <c r="F687" s="13"/>
      <c r="G687" s="13"/>
      <c r="H687" s="13"/>
      <c r="I687" s="13"/>
      <c r="J687" s="13"/>
      <c r="K687" s="13"/>
      <c r="L687" s="242"/>
      <c r="M687" s="242"/>
      <c r="N687" s="242"/>
      <c r="O687" s="242"/>
      <c r="P687" s="242"/>
      <c r="Q687" s="242"/>
      <c r="R687" s="242"/>
      <c r="S687" s="242"/>
      <c r="T687" s="242"/>
      <c r="U687" s="242"/>
      <c r="V687" s="242"/>
      <c r="W687" s="242"/>
      <c r="X687" s="242"/>
      <c r="Y687" s="242"/>
      <c r="Z687" s="242"/>
    </row>
    <row r="688">
      <c r="A688" s="340"/>
      <c r="B688" s="242"/>
      <c r="C688" s="242"/>
      <c r="D688" s="242"/>
      <c r="E688" s="13"/>
      <c r="F688" s="13"/>
      <c r="G688" s="13"/>
      <c r="H688" s="13"/>
      <c r="I688" s="13"/>
      <c r="J688" s="13"/>
      <c r="K688" s="13"/>
      <c r="L688" s="242"/>
      <c r="M688" s="242"/>
      <c r="N688" s="242"/>
      <c r="O688" s="242"/>
      <c r="P688" s="242"/>
      <c r="Q688" s="242"/>
      <c r="R688" s="242"/>
      <c r="S688" s="242"/>
      <c r="T688" s="242"/>
      <c r="U688" s="242"/>
      <c r="V688" s="242"/>
      <c r="W688" s="242"/>
      <c r="X688" s="242"/>
      <c r="Y688" s="242"/>
      <c r="Z688" s="242"/>
    </row>
    <row r="689">
      <c r="A689" s="340"/>
      <c r="B689" s="242"/>
      <c r="C689" s="242"/>
      <c r="D689" s="242"/>
      <c r="E689" s="13"/>
      <c r="F689" s="13"/>
      <c r="G689" s="13"/>
      <c r="H689" s="13"/>
      <c r="I689" s="13"/>
      <c r="J689" s="13"/>
      <c r="K689" s="13"/>
      <c r="L689" s="242"/>
      <c r="M689" s="242"/>
      <c r="N689" s="242"/>
      <c r="O689" s="242"/>
      <c r="P689" s="242"/>
      <c r="Q689" s="242"/>
      <c r="R689" s="242"/>
      <c r="S689" s="242"/>
      <c r="T689" s="242"/>
      <c r="U689" s="242"/>
      <c r="V689" s="242"/>
      <c r="W689" s="242"/>
      <c r="X689" s="242"/>
      <c r="Y689" s="242"/>
      <c r="Z689" s="242"/>
    </row>
    <row r="690">
      <c r="A690" s="340"/>
      <c r="B690" s="242"/>
      <c r="C690" s="242"/>
      <c r="D690" s="242"/>
      <c r="E690" s="13"/>
      <c r="F690" s="13"/>
      <c r="G690" s="13"/>
      <c r="H690" s="13"/>
      <c r="I690" s="13"/>
      <c r="J690" s="13"/>
      <c r="K690" s="13"/>
      <c r="L690" s="242"/>
      <c r="M690" s="242"/>
      <c r="N690" s="242"/>
      <c r="O690" s="242"/>
      <c r="P690" s="242"/>
      <c r="Q690" s="242"/>
      <c r="R690" s="242"/>
      <c r="S690" s="242"/>
      <c r="T690" s="242"/>
      <c r="U690" s="242"/>
      <c r="V690" s="242"/>
      <c r="W690" s="242"/>
      <c r="X690" s="242"/>
      <c r="Y690" s="242"/>
      <c r="Z690" s="242"/>
    </row>
    <row r="691">
      <c r="A691" s="340"/>
      <c r="B691" s="242"/>
      <c r="C691" s="242"/>
      <c r="D691" s="242"/>
      <c r="E691" s="13"/>
      <c r="F691" s="13"/>
      <c r="G691" s="13"/>
      <c r="H691" s="13"/>
      <c r="I691" s="13"/>
      <c r="J691" s="13"/>
      <c r="K691" s="13"/>
      <c r="L691" s="242"/>
      <c r="M691" s="242"/>
      <c r="N691" s="242"/>
      <c r="O691" s="242"/>
      <c r="P691" s="242"/>
      <c r="Q691" s="242"/>
      <c r="R691" s="242"/>
      <c r="S691" s="242"/>
      <c r="T691" s="242"/>
      <c r="U691" s="242"/>
      <c r="V691" s="242"/>
      <c r="W691" s="242"/>
      <c r="X691" s="242"/>
      <c r="Y691" s="242"/>
      <c r="Z691" s="242"/>
    </row>
    <row r="692">
      <c r="A692" s="340"/>
      <c r="B692" s="242"/>
      <c r="C692" s="242"/>
      <c r="D692" s="242"/>
      <c r="E692" s="13"/>
      <c r="F692" s="13"/>
      <c r="G692" s="13"/>
      <c r="H692" s="13"/>
      <c r="I692" s="13"/>
      <c r="J692" s="13"/>
      <c r="K692" s="13"/>
      <c r="L692" s="242"/>
      <c r="M692" s="242"/>
      <c r="N692" s="242"/>
      <c r="O692" s="242"/>
      <c r="P692" s="242"/>
      <c r="Q692" s="242"/>
      <c r="R692" s="242"/>
      <c r="S692" s="242"/>
      <c r="T692" s="242"/>
      <c r="U692" s="242"/>
      <c r="V692" s="242"/>
      <c r="W692" s="242"/>
      <c r="X692" s="242"/>
      <c r="Y692" s="242"/>
      <c r="Z692" s="242"/>
    </row>
    <row r="693">
      <c r="A693" s="340"/>
      <c r="B693" s="242"/>
      <c r="C693" s="242"/>
      <c r="D693" s="242"/>
      <c r="E693" s="13"/>
      <c r="F693" s="13"/>
      <c r="G693" s="13"/>
      <c r="H693" s="13"/>
      <c r="I693" s="13"/>
      <c r="J693" s="13"/>
      <c r="K693" s="13"/>
      <c r="L693" s="242"/>
      <c r="M693" s="242"/>
      <c r="N693" s="242"/>
      <c r="O693" s="242"/>
      <c r="P693" s="242"/>
      <c r="Q693" s="242"/>
      <c r="R693" s="242"/>
      <c r="S693" s="242"/>
      <c r="T693" s="242"/>
      <c r="U693" s="242"/>
      <c r="V693" s="242"/>
      <c r="W693" s="242"/>
      <c r="X693" s="242"/>
      <c r="Y693" s="242"/>
      <c r="Z693" s="242"/>
    </row>
    <row r="694">
      <c r="A694" s="340"/>
      <c r="B694" s="242"/>
      <c r="C694" s="242"/>
      <c r="D694" s="242"/>
      <c r="E694" s="13"/>
      <c r="F694" s="13"/>
      <c r="G694" s="13"/>
      <c r="H694" s="13"/>
      <c r="I694" s="13"/>
      <c r="J694" s="13"/>
      <c r="K694" s="13"/>
      <c r="L694" s="242"/>
      <c r="M694" s="242"/>
      <c r="N694" s="242"/>
      <c r="O694" s="242"/>
      <c r="P694" s="242"/>
      <c r="Q694" s="242"/>
      <c r="R694" s="242"/>
      <c r="S694" s="242"/>
      <c r="T694" s="242"/>
      <c r="U694" s="242"/>
      <c r="V694" s="242"/>
      <c r="W694" s="242"/>
      <c r="X694" s="242"/>
      <c r="Y694" s="242"/>
      <c r="Z694" s="242"/>
    </row>
    <row r="695">
      <c r="A695" s="340"/>
      <c r="B695" s="242"/>
      <c r="C695" s="242"/>
      <c r="D695" s="242"/>
      <c r="E695" s="13"/>
      <c r="F695" s="13"/>
      <c r="G695" s="13"/>
      <c r="H695" s="13"/>
      <c r="I695" s="13"/>
      <c r="J695" s="13"/>
      <c r="K695" s="13"/>
      <c r="L695" s="242"/>
      <c r="M695" s="242"/>
      <c r="N695" s="242"/>
      <c r="O695" s="242"/>
      <c r="P695" s="242"/>
      <c r="Q695" s="242"/>
      <c r="R695" s="242"/>
      <c r="S695" s="242"/>
      <c r="T695" s="242"/>
      <c r="U695" s="242"/>
      <c r="V695" s="242"/>
      <c r="W695" s="242"/>
      <c r="X695" s="242"/>
      <c r="Y695" s="242"/>
      <c r="Z695" s="242"/>
    </row>
    <row r="696">
      <c r="A696" s="340"/>
      <c r="B696" s="242"/>
      <c r="C696" s="242"/>
      <c r="D696" s="242"/>
      <c r="E696" s="13"/>
      <c r="F696" s="13"/>
      <c r="G696" s="13"/>
      <c r="H696" s="13"/>
      <c r="I696" s="13"/>
      <c r="J696" s="13"/>
      <c r="K696" s="13"/>
      <c r="L696" s="242"/>
      <c r="M696" s="242"/>
      <c r="N696" s="242"/>
      <c r="O696" s="242"/>
      <c r="P696" s="242"/>
      <c r="Q696" s="242"/>
      <c r="R696" s="242"/>
      <c r="S696" s="242"/>
      <c r="T696" s="242"/>
      <c r="U696" s="242"/>
      <c r="V696" s="242"/>
      <c r="W696" s="242"/>
      <c r="X696" s="242"/>
      <c r="Y696" s="242"/>
      <c r="Z696" s="242"/>
    </row>
    <row r="697">
      <c r="A697" s="340"/>
      <c r="B697" s="242"/>
      <c r="C697" s="242"/>
      <c r="D697" s="242"/>
      <c r="E697" s="13"/>
      <c r="F697" s="13"/>
      <c r="G697" s="13"/>
      <c r="H697" s="13"/>
      <c r="I697" s="13"/>
      <c r="J697" s="13"/>
      <c r="K697" s="13"/>
      <c r="L697" s="242"/>
      <c r="M697" s="242"/>
      <c r="N697" s="242"/>
      <c r="O697" s="242"/>
      <c r="P697" s="242"/>
      <c r="Q697" s="242"/>
      <c r="R697" s="242"/>
      <c r="S697" s="242"/>
      <c r="T697" s="242"/>
      <c r="U697" s="242"/>
      <c r="V697" s="242"/>
      <c r="W697" s="242"/>
      <c r="X697" s="242"/>
      <c r="Y697" s="242"/>
      <c r="Z697" s="242"/>
    </row>
    <row r="698">
      <c r="A698" s="340"/>
      <c r="B698" s="242"/>
      <c r="C698" s="242"/>
      <c r="D698" s="242"/>
      <c r="E698" s="13"/>
      <c r="F698" s="13"/>
      <c r="G698" s="13"/>
      <c r="H698" s="13"/>
      <c r="I698" s="13"/>
      <c r="J698" s="13"/>
      <c r="K698" s="13"/>
      <c r="L698" s="242"/>
      <c r="M698" s="242"/>
      <c r="N698" s="242"/>
      <c r="O698" s="242"/>
      <c r="P698" s="242"/>
      <c r="Q698" s="242"/>
      <c r="R698" s="242"/>
      <c r="S698" s="242"/>
      <c r="T698" s="242"/>
      <c r="U698" s="242"/>
      <c r="V698" s="242"/>
      <c r="W698" s="242"/>
      <c r="X698" s="242"/>
      <c r="Y698" s="242"/>
      <c r="Z698" s="242"/>
    </row>
    <row r="699">
      <c r="A699" s="340"/>
      <c r="B699" s="242"/>
      <c r="C699" s="242"/>
      <c r="D699" s="242"/>
      <c r="E699" s="13"/>
      <c r="F699" s="13"/>
      <c r="G699" s="13"/>
      <c r="H699" s="13"/>
      <c r="I699" s="13"/>
      <c r="J699" s="13"/>
      <c r="K699" s="13"/>
      <c r="L699" s="242"/>
      <c r="M699" s="242"/>
      <c r="N699" s="242"/>
      <c r="O699" s="242"/>
      <c r="P699" s="242"/>
      <c r="Q699" s="242"/>
      <c r="R699" s="242"/>
      <c r="S699" s="242"/>
      <c r="T699" s="242"/>
      <c r="U699" s="242"/>
      <c r="V699" s="242"/>
      <c r="W699" s="242"/>
      <c r="X699" s="242"/>
      <c r="Y699" s="242"/>
      <c r="Z699" s="242"/>
    </row>
    <row r="700">
      <c r="A700" s="340"/>
      <c r="B700" s="242"/>
      <c r="C700" s="242"/>
      <c r="D700" s="242"/>
      <c r="E700" s="13"/>
      <c r="F700" s="13"/>
      <c r="G700" s="13"/>
      <c r="H700" s="13"/>
      <c r="I700" s="13"/>
      <c r="J700" s="13"/>
      <c r="K700" s="13"/>
      <c r="L700" s="242"/>
      <c r="M700" s="242"/>
      <c r="N700" s="242"/>
      <c r="O700" s="242"/>
      <c r="P700" s="242"/>
      <c r="Q700" s="242"/>
      <c r="R700" s="242"/>
      <c r="S700" s="242"/>
      <c r="T700" s="242"/>
      <c r="U700" s="242"/>
      <c r="V700" s="242"/>
      <c r="W700" s="242"/>
      <c r="X700" s="242"/>
      <c r="Y700" s="242"/>
      <c r="Z700" s="242"/>
    </row>
    <row r="701">
      <c r="A701" s="340"/>
      <c r="B701" s="242"/>
      <c r="C701" s="242"/>
      <c r="D701" s="242"/>
      <c r="E701" s="13"/>
      <c r="F701" s="13"/>
      <c r="G701" s="13"/>
      <c r="H701" s="13"/>
      <c r="I701" s="13"/>
      <c r="J701" s="13"/>
      <c r="K701" s="13"/>
      <c r="L701" s="242"/>
      <c r="M701" s="242"/>
      <c r="N701" s="242"/>
      <c r="O701" s="242"/>
      <c r="P701" s="242"/>
      <c r="Q701" s="242"/>
      <c r="R701" s="242"/>
      <c r="S701" s="242"/>
      <c r="T701" s="242"/>
      <c r="U701" s="242"/>
      <c r="V701" s="242"/>
      <c r="W701" s="242"/>
      <c r="X701" s="242"/>
      <c r="Y701" s="242"/>
      <c r="Z701" s="242"/>
    </row>
    <row r="702">
      <c r="A702" s="340"/>
      <c r="B702" s="242"/>
      <c r="C702" s="242"/>
      <c r="D702" s="242"/>
      <c r="E702" s="13"/>
      <c r="F702" s="13"/>
      <c r="G702" s="13"/>
      <c r="H702" s="13"/>
      <c r="I702" s="13"/>
      <c r="J702" s="13"/>
      <c r="K702" s="13"/>
      <c r="L702" s="242"/>
      <c r="M702" s="242"/>
      <c r="N702" s="242"/>
      <c r="O702" s="242"/>
      <c r="P702" s="242"/>
      <c r="Q702" s="242"/>
      <c r="R702" s="242"/>
      <c r="S702" s="242"/>
      <c r="T702" s="242"/>
      <c r="U702" s="242"/>
      <c r="V702" s="242"/>
      <c r="W702" s="242"/>
      <c r="X702" s="242"/>
      <c r="Y702" s="242"/>
      <c r="Z702" s="242"/>
    </row>
    <row r="703">
      <c r="A703" s="340"/>
      <c r="B703" s="242"/>
      <c r="C703" s="242"/>
      <c r="D703" s="242"/>
      <c r="E703" s="13"/>
      <c r="F703" s="13"/>
      <c r="G703" s="13"/>
      <c r="H703" s="13"/>
      <c r="I703" s="13"/>
      <c r="J703" s="13"/>
      <c r="K703" s="13"/>
      <c r="L703" s="242"/>
      <c r="M703" s="242"/>
      <c r="N703" s="242"/>
      <c r="O703" s="242"/>
      <c r="P703" s="242"/>
      <c r="Q703" s="242"/>
      <c r="R703" s="242"/>
      <c r="S703" s="242"/>
      <c r="T703" s="242"/>
      <c r="U703" s="242"/>
      <c r="V703" s="242"/>
      <c r="W703" s="242"/>
      <c r="X703" s="242"/>
      <c r="Y703" s="242"/>
      <c r="Z703" s="242"/>
    </row>
    <row r="704">
      <c r="A704" s="340"/>
      <c r="B704" s="242"/>
      <c r="C704" s="242"/>
      <c r="D704" s="242"/>
      <c r="E704" s="13"/>
      <c r="F704" s="13"/>
      <c r="G704" s="13"/>
      <c r="H704" s="13"/>
      <c r="I704" s="13"/>
      <c r="J704" s="13"/>
      <c r="K704" s="13"/>
      <c r="L704" s="242"/>
      <c r="M704" s="242"/>
      <c r="N704" s="242"/>
      <c r="O704" s="242"/>
      <c r="P704" s="242"/>
      <c r="Q704" s="242"/>
      <c r="R704" s="242"/>
      <c r="S704" s="242"/>
      <c r="T704" s="242"/>
      <c r="U704" s="242"/>
      <c r="V704" s="242"/>
      <c r="W704" s="242"/>
      <c r="X704" s="242"/>
      <c r="Y704" s="242"/>
      <c r="Z704" s="242"/>
    </row>
    <row r="705">
      <c r="A705" s="340"/>
      <c r="B705" s="242"/>
      <c r="C705" s="242"/>
      <c r="D705" s="242"/>
      <c r="E705" s="13"/>
      <c r="F705" s="13"/>
      <c r="G705" s="13"/>
      <c r="H705" s="13"/>
      <c r="I705" s="13"/>
      <c r="J705" s="13"/>
      <c r="K705" s="13"/>
      <c r="L705" s="242"/>
      <c r="M705" s="242"/>
      <c r="N705" s="242"/>
      <c r="O705" s="242"/>
      <c r="P705" s="242"/>
      <c r="Q705" s="242"/>
      <c r="R705" s="242"/>
      <c r="S705" s="242"/>
      <c r="T705" s="242"/>
      <c r="U705" s="242"/>
      <c r="V705" s="242"/>
      <c r="W705" s="242"/>
      <c r="X705" s="242"/>
      <c r="Y705" s="242"/>
      <c r="Z705" s="242"/>
    </row>
    <row r="706">
      <c r="A706" s="340"/>
      <c r="B706" s="242"/>
      <c r="C706" s="242"/>
      <c r="D706" s="242"/>
      <c r="E706" s="13"/>
      <c r="F706" s="13"/>
      <c r="G706" s="13"/>
      <c r="H706" s="13"/>
      <c r="I706" s="13"/>
      <c r="J706" s="13"/>
      <c r="K706" s="13"/>
      <c r="L706" s="242"/>
      <c r="M706" s="242"/>
      <c r="N706" s="242"/>
      <c r="O706" s="242"/>
      <c r="P706" s="242"/>
      <c r="Q706" s="242"/>
      <c r="R706" s="242"/>
      <c r="S706" s="242"/>
      <c r="T706" s="242"/>
      <c r="U706" s="242"/>
      <c r="V706" s="242"/>
      <c r="W706" s="242"/>
      <c r="X706" s="242"/>
      <c r="Y706" s="242"/>
      <c r="Z706" s="242"/>
    </row>
    <row r="707">
      <c r="A707" s="340"/>
      <c r="B707" s="242"/>
      <c r="C707" s="242"/>
      <c r="D707" s="242"/>
      <c r="E707" s="13"/>
      <c r="F707" s="13"/>
      <c r="G707" s="13"/>
      <c r="H707" s="13"/>
      <c r="I707" s="13"/>
      <c r="J707" s="13"/>
      <c r="K707" s="13"/>
      <c r="L707" s="242"/>
      <c r="M707" s="242"/>
      <c r="N707" s="242"/>
      <c r="O707" s="242"/>
      <c r="P707" s="242"/>
      <c r="Q707" s="242"/>
      <c r="R707" s="242"/>
      <c r="S707" s="242"/>
      <c r="T707" s="242"/>
      <c r="U707" s="242"/>
      <c r="V707" s="242"/>
      <c r="W707" s="242"/>
      <c r="X707" s="242"/>
      <c r="Y707" s="242"/>
      <c r="Z707" s="242"/>
    </row>
    <row r="708">
      <c r="A708" s="340"/>
      <c r="B708" s="242"/>
      <c r="C708" s="242"/>
      <c r="D708" s="242"/>
      <c r="E708" s="13"/>
      <c r="F708" s="13"/>
      <c r="G708" s="13"/>
      <c r="H708" s="13"/>
      <c r="I708" s="13"/>
      <c r="J708" s="13"/>
      <c r="K708" s="13"/>
      <c r="L708" s="242"/>
      <c r="M708" s="242"/>
      <c r="N708" s="242"/>
      <c r="O708" s="242"/>
      <c r="P708" s="242"/>
      <c r="Q708" s="242"/>
      <c r="R708" s="242"/>
      <c r="S708" s="242"/>
      <c r="T708" s="242"/>
      <c r="U708" s="242"/>
      <c r="V708" s="242"/>
      <c r="W708" s="242"/>
      <c r="X708" s="242"/>
      <c r="Y708" s="242"/>
      <c r="Z708" s="242"/>
    </row>
    <row r="709">
      <c r="A709" s="340"/>
      <c r="B709" s="242"/>
      <c r="C709" s="242"/>
      <c r="D709" s="242"/>
      <c r="E709" s="13"/>
      <c r="F709" s="13"/>
      <c r="G709" s="13"/>
      <c r="H709" s="13"/>
      <c r="I709" s="13"/>
      <c r="J709" s="13"/>
      <c r="K709" s="13"/>
      <c r="L709" s="242"/>
      <c r="M709" s="242"/>
      <c r="N709" s="242"/>
      <c r="O709" s="242"/>
      <c r="P709" s="242"/>
      <c r="Q709" s="242"/>
      <c r="R709" s="242"/>
      <c r="S709" s="242"/>
      <c r="T709" s="242"/>
      <c r="U709" s="242"/>
      <c r="V709" s="242"/>
      <c r="W709" s="242"/>
      <c r="X709" s="242"/>
      <c r="Y709" s="242"/>
      <c r="Z709" s="242"/>
    </row>
    <row r="710">
      <c r="A710" s="340"/>
      <c r="B710" s="242"/>
      <c r="C710" s="242"/>
      <c r="D710" s="242"/>
      <c r="E710" s="13"/>
      <c r="F710" s="13"/>
      <c r="G710" s="13"/>
      <c r="H710" s="13"/>
      <c r="I710" s="13"/>
      <c r="J710" s="13"/>
      <c r="K710" s="13"/>
      <c r="L710" s="242"/>
      <c r="M710" s="242"/>
      <c r="N710" s="242"/>
      <c r="O710" s="242"/>
      <c r="P710" s="242"/>
      <c r="Q710" s="242"/>
      <c r="R710" s="242"/>
      <c r="S710" s="242"/>
      <c r="T710" s="242"/>
      <c r="U710" s="242"/>
      <c r="V710" s="242"/>
      <c r="W710" s="242"/>
      <c r="X710" s="242"/>
      <c r="Y710" s="242"/>
      <c r="Z710" s="242"/>
    </row>
    <row r="711">
      <c r="A711" s="340"/>
      <c r="B711" s="242"/>
      <c r="C711" s="242"/>
      <c r="D711" s="242"/>
      <c r="E711" s="13"/>
      <c r="F711" s="13"/>
      <c r="G711" s="13"/>
      <c r="H711" s="13"/>
      <c r="I711" s="13"/>
      <c r="J711" s="13"/>
      <c r="K711" s="13"/>
      <c r="L711" s="242"/>
      <c r="M711" s="242"/>
      <c r="N711" s="242"/>
      <c r="O711" s="242"/>
      <c r="P711" s="242"/>
      <c r="Q711" s="242"/>
      <c r="R711" s="242"/>
      <c r="S711" s="242"/>
      <c r="T711" s="242"/>
      <c r="U711" s="242"/>
      <c r="V711" s="242"/>
      <c r="W711" s="242"/>
      <c r="X711" s="242"/>
      <c r="Y711" s="242"/>
      <c r="Z711" s="242"/>
    </row>
    <row r="712">
      <c r="A712" s="340"/>
      <c r="B712" s="242"/>
      <c r="C712" s="242"/>
      <c r="D712" s="242"/>
      <c r="E712" s="13"/>
      <c r="F712" s="13"/>
      <c r="G712" s="13"/>
      <c r="H712" s="13"/>
      <c r="I712" s="13"/>
      <c r="J712" s="13"/>
      <c r="K712" s="13"/>
      <c r="L712" s="242"/>
      <c r="M712" s="242"/>
      <c r="N712" s="242"/>
      <c r="O712" s="242"/>
      <c r="P712" s="242"/>
      <c r="Q712" s="242"/>
      <c r="R712" s="242"/>
      <c r="S712" s="242"/>
      <c r="T712" s="242"/>
      <c r="U712" s="242"/>
      <c r="V712" s="242"/>
      <c r="W712" s="242"/>
      <c r="X712" s="242"/>
      <c r="Y712" s="242"/>
      <c r="Z712" s="242"/>
    </row>
    <row r="713">
      <c r="A713" s="340"/>
      <c r="B713" s="242"/>
      <c r="C713" s="242"/>
      <c r="D713" s="242"/>
      <c r="E713" s="13"/>
      <c r="F713" s="13"/>
      <c r="G713" s="13"/>
      <c r="H713" s="13"/>
      <c r="I713" s="13"/>
      <c r="J713" s="13"/>
      <c r="K713" s="13"/>
      <c r="L713" s="242"/>
      <c r="M713" s="242"/>
      <c r="N713" s="242"/>
      <c r="O713" s="242"/>
      <c r="P713" s="242"/>
      <c r="Q713" s="242"/>
      <c r="R713" s="242"/>
      <c r="S713" s="242"/>
      <c r="T713" s="242"/>
      <c r="U713" s="242"/>
      <c r="V713" s="242"/>
      <c r="W713" s="242"/>
      <c r="X713" s="242"/>
      <c r="Y713" s="242"/>
      <c r="Z713" s="242"/>
    </row>
    <row r="714">
      <c r="A714" s="340"/>
      <c r="B714" s="242"/>
      <c r="C714" s="242"/>
      <c r="D714" s="242"/>
      <c r="E714" s="13"/>
      <c r="F714" s="13"/>
      <c r="G714" s="13"/>
      <c r="H714" s="13"/>
      <c r="I714" s="13"/>
      <c r="J714" s="13"/>
      <c r="K714" s="13"/>
      <c r="L714" s="242"/>
      <c r="M714" s="242"/>
      <c r="N714" s="242"/>
      <c r="O714" s="242"/>
      <c r="P714" s="242"/>
      <c r="Q714" s="242"/>
      <c r="R714" s="242"/>
      <c r="S714" s="242"/>
      <c r="T714" s="242"/>
      <c r="U714" s="242"/>
      <c r="V714" s="242"/>
      <c r="W714" s="242"/>
      <c r="X714" s="242"/>
      <c r="Y714" s="242"/>
      <c r="Z714" s="242"/>
    </row>
    <row r="715">
      <c r="A715" s="340"/>
      <c r="B715" s="242"/>
      <c r="C715" s="242"/>
      <c r="D715" s="242"/>
      <c r="E715" s="13"/>
      <c r="F715" s="13"/>
      <c r="G715" s="13"/>
      <c r="H715" s="13"/>
      <c r="I715" s="13"/>
      <c r="J715" s="13"/>
      <c r="K715" s="13"/>
      <c r="L715" s="242"/>
      <c r="M715" s="242"/>
      <c r="N715" s="242"/>
      <c r="O715" s="242"/>
      <c r="P715" s="242"/>
      <c r="Q715" s="242"/>
      <c r="R715" s="242"/>
      <c r="S715" s="242"/>
      <c r="T715" s="242"/>
      <c r="U715" s="242"/>
      <c r="V715" s="242"/>
      <c r="W715" s="242"/>
      <c r="X715" s="242"/>
      <c r="Y715" s="242"/>
      <c r="Z715" s="242"/>
    </row>
    <row r="716">
      <c r="A716" s="340"/>
      <c r="B716" s="242"/>
      <c r="C716" s="242"/>
      <c r="D716" s="242"/>
      <c r="E716" s="13"/>
      <c r="F716" s="13"/>
      <c r="G716" s="13"/>
      <c r="H716" s="13"/>
      <c r="I716" s="13"/>
      <c r="J716" s="13"/>
      <c r="K716" s="13"/>
      <c r="L716" s="242"/>
      <c r="M716" s="242"/>
      <c r="N716" s="242"/>
      <c r="O716" s="242"/>
      <c r="P716" s="242"/>
      <c r="Q716" s="242"/>
      <c r="R716" s="242"/>
      <c r="S716" s="242"/>
      <c r="T716" s="242"/>
      <c r="U716" s="242"/>
      <c r="V716" s="242"/>
      <c r="W716" s="242"/>
      <c r="X716" s="242"/>
      <c r="Y716" s="242"/>
      <c r="Z716" s="242"/>
    </row>
    <row r="717">
      <c r="A717" s="340"/>
      <c r="B717" s="242"/>
      <c r="C717" s="242"/>
      <c r="D717" s="242"/>
      <c r="E717" s="13"/>
      <c r="F717" s="13"/>
      <c r="G717" s="13"/>
      <c r="H717" s="13"/>
      <c r="I717" s="13"/>
      <c r="J717" s="13"/>
      <c r="K717" s="13"/>
      <c r="L717" s="242"/>
      <c r="M717" s="242"/>
      <c r="N717" s="242"/>
      <c r="O717" s="242"/>
      <c r="P717" s="242"/>
      <c r="Q717" s="242"/>
      <c r="R717" s="242"/>
      <c r="S717" s="242"/>
      <c r="T717" s="242"/>
      <c r="U717" s="242"/>
      <c r="V717" s="242"/>
      <c r="W717" s="242"/>
      <c r="X717" s="242"/>
      <c r="Y717" s="242"/>
      <c r="Z717" s="242"/>
    </row>
    <row r="718">
      <c r="A718" s="340"/>
      <c r="B718" s="242"/>
      <c r="C718" s="242"/>
      <c r="D718" s="242"/>
      <c r="E718" s="13"/>
      <c r="F718" s="13"/>
      <c r="G718" s="13"/>
      <c r="H718" s="13"/>
      <c r="I718" s="13"/>
      <c r="J718" s="13"/>
      <c r="K718" s="13"/>
      <c r="L718" s="242"/>
      <c r="M718" s="242"/>
      <c r="N718" s="242"/>
      <c r="O718" s="242"/>
      <c r="P718" s="242"/>
      <c r="Q718" s="242"/>
      <c r="R718" s="242"/>
      <c r="S718" s="242"/>
      <c r="T718" s="242"/>
      <c r="U718" s="242"/>
      <c r="V718" s="242"/>
      <c r="W718" s="242"/>
      <c r="X718" s="242"/>
      <c r="Y718" s="242"/>
      <c r="Z718" s="242"/>
    </row>
    <row r="719">
      <c r="A719" s="340"/>
      <c r="B719" s="242"/>
      <c r="C719" s="242"/>
      <c r="D719" s="242"/>
      <c r="E719" s="13"/>
      <c r="F719" s="13"/>
      <c r="G719" s="13"/>
      <c r="H719" s="13"/>
      <c r="I719" s="13"/>
      <c r="J719" s="13"/>
      <c r="K719" s="13"/>
      <c r="L719" s="242"/>
      <c r="M719" s="242"/>
      <c r="N719" s="242"/>
      <c r="O719" s="242"/>
      <c r="P719" s="242"/>
      <c r="Q719" s="242"/>
      <c r="R719" s="242"/>
      <c r="S719" s="242"/>
      <c r="T719" s="242"/>
      <c r="U719" s="242"/>
      <c r="V719" s="242"/>
      <c r="W719" s="242"/>
      <c r="X719" s="242"/>
      <c r="Y719" s="242"/>
      <c r="Z719" s="242"/>
    </row>
    <row r="720">
      <c r="A720" s="340"/>
      <c r="B720" s="242"/>
      <c r="C720" s="242"/>
      <c r="D720" s="242"/>
      <c r="E720" s="13"/>
      <c r="F720" s="13"/>
      <c r="G720" s="13"/>
      <c r="H720" s="13"/>
      <c r="I720" s="13"/>
      <c r="J720" s="13"/>
      <c r="K720" s="13"/>
      <c r="L720" s="242"/>
      <c r="M720" s="242"/>
      <c r="N720" s="242"/>
      <c r="O720" s="242"/>
      <c r="P720" s="242"/>
      <c r="Q720" s="242"/>
      <c r="R720" s="242"/>
      <c r="S720" s="242"/>
      <c r="T720" s="242"/>
      <c r="U720" s="242"/>
      <c r="V720" s="242"/>
      <c r="W720" s="242"/>
      <c r="X720" s="242"/>
      <c r="Y720" s="242"/>
      <c r="Z720" s="242"/>
    </row>
    <row r="721">
      <c r="A721" s="340"/>
      <c r="B721" s="242"/>
      <c r="C721" s="242"/>
      <c r="D721" s="242"/>
      <c r="E721" s="13"/>
      <c r="F721" s="13"/>
      <c r="G721" s="13"/>
      <c r="H721" s="13"/>
      <c r="I721" s="13"/>
      <c r="J721" s="13"/>
      <c r="K721" s="13"/>
      <c r="L721" s="242"/>
      <c r="M721" s="242"/>
      <c r="N721" s="242"/>
      <c r="O721" s="242"/>
      <c r="P721" s="242"/>
      <c r="Q721" s="242"/>
      <c r="R721" s="242"/>
      <c r="S721" s="242"/>
      <c r="T721" s="242"/>
      <c r="U721" s="242"/>
      <c r="V721" s="242"/>
      <c r="W721" s="242"/>
      <c r="X721" s="242"/>
      <c r="Y721" s="242"/>
      <c r="Z721" s="242"/>
    </row>
    <row r="722">
      <c r="A722" s="340"/>
      <c r="B722" s="242"/>
      <c r="C722" s="242"/>
      <c r="D722" s="242"/>
      <c r="E722" s="13"/>
      <c r="F722" s="13"/>
      <c r="G722" s="13"/>
      <c r="H722" s="13"/>
      <c r="I722" s="13"/>
      <c r="J722" s="13"/>
      <c r="K722" s="13"/>
      <c r="L722" s="242"/>
      <c r="M722" s="242"/>
      <c r="N722" s="242"/>
      <c r="O722" s="242"/>
      <c r="P722" s="242"/>
      <c r="Q722" s="242"/>
      <c r="R722" s="242"/>
      <c r="S722" s="242"/>
      <c r="T722" s="242"/>
      <c r="U722" s="242"/>
      <c r="V722" s="242"/>
      <c r="W722" s="242"/>
      <c r="X722" s="242"/>
      <c r="Y722" s="242"/>
      <c r="Z722" s="242"/>
    </row>
    <row r="723">
      <c r="A723" s="340"/>
      <c r="B723" s="242"/>
      <c r="C723" s="242"/>
      <c r="D723" s="242"/>
      <c r="E723" s="13"/>
      <c r="F723" s="13"/>
      <c r="G723" s="13"/>
      <c r="H723" s="13"/>
      <c r="I723" s="13"/>
      <c r="J723" s="13"/>
      <c r="K723" s="13"/>
      <c r="L723" s="242"/>
      <c r="M723" s="242"/>
      <c r="N723" s="242"/>
      <c r="O723" s="242"/>
      <c r="P723" s="242"/>
      <c r="Q723" s="242"/>
      <c r="R723" s="242"/>
      <c r="S723" s="242"/>
      <c r="T723" s="242"/>
      <c r="U723" s="242"/>
      <c r="V723" s="242"/>
      <c r="W723" s="242"/>
      <c r="X723" s="242"/>
      <c r="Y723" s="242"/>
      <c r="Z723" s="242"/>
    </row>
    <row r="724">
      <c r="A724" s="340"/>
      <c r="B724" s="242"/>
      <c r="C724" s="242"/>
      <c r="D724" s="242"/>
      <c r="E724" s="13"/>
      <c r="F724" s="13"/>
      <c r="G724" s="13"/>
      <c r="H724" s="13"/>
      <c r="I724" s="13"/>
      <c r="J724" s="13"/>
      <c r="K724" s="13"/>
      <c r="L724" s="242"/>
      <c r="M724" s="242"/>
      <c r="N724" s="242"/>
      <c r="O724" s="242"/>
      <c r="P724" s="242"/>
      <c r="Q724" s="242"/>
      <c r="R724" s="242"/>
      <c r="S724" s="242"/>
      <c r="T724" s="242"/>
      <c r="U724" s="242"/>
      <c r="V724" s="242"/>
      <c r="W724" s="242"/>
      <c r="X724" s="242"/>
      <c r="Y724" s="242"/>
      <c r="Z724" s="242"/>
    </row>
    <row r="725">
      <c r="A725" s="340"/>
      <c r="B725" s="242"/>
      <c r="C725" s="242"/>
      <c r="D725" s="242"/>
      <c r="E725" s="13"/>
      <c r="F725" s="13"/>
      <c r="G725" s="13"/>
      <c r="H725" s="13"/>
      <c r="I725" s="13"/>
      <c r="J725" s="13"/>
      <c r="K725" s="13"/>
      <c r="L725" s="242"/>
      <c r="M725" s="242"/>
      <c r="N725" s="242"/>
      <c r="O725" s="242"/>
      <c r="P725" s="242"/>
      <c r="Q725" s="242"/>
      <c r="R725" s="242"/>
      <c r="S725" s="242"/>
      <c r="T725" s="242"/>
      <c r="U725" s="242"/>
      <c r="V725" s="242"/>
      <c r="W725" s="242"/>
      <c r="X725" s="242"/>
      <c r="Y725" s="242"/>
      <c r="Z725" s="242"/>
    </row>
    <row r="726">
      <c r="A726" s="340"/>
      <c r="B726" s="242"/>
      <c r="C726" s="242"/>
      <c r="D726" s="242"/>
      <c r="E726" s="13"/>
      <c r="F726" s="13"/>
      <c r="G726" s="13"/>
      <c r="H726" s="13"/>
      <c r="I726" s="13"/>
      <c r="J726" s="13"/>
      <c r="K726" s="13"/>
      <c r="L726" s="242"/>
      <c r="M726" s="242"/>
      <c r="N726" s="242"/>
      <c r="O726" s="242"/>
      <c r="P726" s="242"/>
      <c r="Q726" s="242"/>
      <c r="R726" s="242"/>
      <c r="S726" s="242"/>
      <c r="T726" s="242"/>
      <c r="U726" s="242"/>
      <c r="V726" s="242"/>
      <c r="W726" s="242"/>
      <c r="X726" s="242"/>
      <c r="Y726" s="242"/>
      <c r="Z726" s="242"/>
    </row>
    <row r="727">
      <c r="A727" s="340"/>
      <c r="B727" s="242"/>
      <c r="C727" s="242"/>
      <c r="D727" s="242"/>
      <c r="E727" s="13"/>
      <c r="F727" s="13"/>
      <c r="G727" s="13"/>
      <c r="H727" s="13"/>
      <c r="I727" s="13"/>
      <c r="J727" s="13"/>
      <c r="K727" s="13"/>
      <c r="L727" s="242"/>
      <c r="M727" s="242"/>
      <c r="N727" s="242"/>
      <c r="O727" s="242"/>
      <c r="P727" s="242"/>
      <c r="Q727" s="242"/>
      <c r="R727" s="242"/>
      <c r="S727" s="242"/>
      <c r="T727" s="242"/>
      <c r="U727" s="242"/>
      <c r="V727" s="242"/>
      <c r="W727" s="242"/>
      <c r="X727" s="242"/>
      <c r="Y727" s="242"/>
      <c r="Z727" s="242"/>
    </row>
    <row r="728">
      <c r="A728" s="340"/>
      <c r="B728" s="242"/>
      <c r="C728" s="242"/>
      <c r="D728" s="242"/>
      <c r="E728" s="13"/>
      <c r="F728" s="13"/>
      <c r="G728" s="13"/>
      <c r="H728" s="13"/>
      <c r="I728" s="13"/>
      <c r="J728" s="13"/>
      <c r="K728" s="13"/>
      <c r="L728" s="242"/>
      <c r="M728" s="242"/>
      <c r="N728" s="242"/>
      <c r="O728" s="242"/>
      <c r="P728" s="242"/>
      <c r="Q728" s="242"/>
      <c r="R728" s="242"/>
      <c r="S728" s="242"/>
      <c r="T728" s="242"/>
      <c r="U728" s="242"/>
      <c r="V728" s="242"/>
      <c r="W728" s="242"/>
      <c r="X728" s="242"/>
      <c r="Y728" s="242"/>
      <c r="Z728" s="242"/>
    </row>
    <row r="729">
      <c r="A729" s="340"/>
      <c r="B729" s="242"/>
      <c r="C729" s="242"/>
      <c r="D729" s="242"/>
      <c r="E729" s="13"/>
      <c r="F729" s="13"/>
      <c r="G729" s="13"/>
      <c r="H729" s="13"/>
      <c r="I729" s="13"/>
      <c r="J729" s="13"/>
      <c r="K729" s="13"/>
      <c r="L729" s="242"/>
      <c r="M729" s="242"/>
      <c r="N729" s="242"/>
      <c r="O729" s="242"/>
      <c r="P729" s="242"/>
      <c r="Q729" s="242"/>
      <c r="R729" s="242"/>
      <c r="S729" s="242"/>
      <c r="T729" s="242"/>
      <c r="U729" s="242"/>
      <c r="V729" s="242"/>
      <c r="W729" s="242"/>
      <c r="X729" s="242"/>
      <c r="Y729" s="242"/>
      <c r="Z729" s="242"/>
    </row>
    <row r="730">
      <c r="A730" s="340"/>
      <c r="B730" s="242"/>
      <c r="C730" s="242"/>
      <c r="D730" s="242"/>
      <c r="E730" s="13"/>
      <c r="F730" s="13"/>
      <c r="G730" s="13"/>
      <c r="H730" s="13"/>
      <c r="I730" s="13"/>
      <c r="J730" s="13"/>
      <c r="K730" s="13"/>
      <c r="L730" s="242"/>
      <c r="M730" s="242"/>
      <c r="N730" s="242"/>
      <c r="O730" s="242"/>
      <c r="P730" s="242"/>
      <c r="Q730" s="242"/>
      <c r="R730" s="242"/>
      <c r="S730" s="242"/>
      <c r="T730" s="242"/>
      <c r="U730" s="242"/>
      <c r="V730" s="242"/>
      <c r="W730" s="242"/>
      <c r="X730" s="242"/>
      <c r="Y730" s="242"/>
      <c r="Z730" s="242"/>
    </row>
    <row r="731">
      <c r="A731" s="340"/>
      <c r="B731" s="242"/>
      <c r="C731" s="242"/>
      <c r="D731" s="242"/>
      <c r="E731" s="13"/>
      <c r="F731" s="13"/>
      <c r="G731" s="13"/>
      <c r="H731" s="13"/>
      <c r="I731" s="13"/>
      <c r="J731" s="13"/>
      <c r="K731" s="13"/>
      <c r="L731" s="242"/>
      <c r="M731" s="242"/>
      <c r="N731" s="242"/>
      <c r="O731" s="242"/>
      <c r="P731" s="242"/>
      <c r="Q731" s="242"/>
      <c r="R731" s="242"/>
      <c r="S731" s="242"/>
      <c r="T731" s="242"/>
      <c r="U731" s="242"/>
      <c r="V731" s="242"/>
      <c r="W731" s="242"/>
      <c r="X731" s="242"/>
      <c r="Y731" s="242"/>
      <c r="Z731" s="242"/>
    </row>
    <row r="732">
      <c r="A732" s="340"/>
      <c r="B732" s="242"/>
      <c r="C732" s="242"/>
      <c r="D732" s="242"/>
      <c r="E732" s="13"/>
      <c r="F732" s="13"/>
      <c r="G732" s="13"/>
      <c r="H732" s="13"/>
      <c r="I732" s="13"/>
      <c r="J732" s="13"/>
      <c r="K732" s="13"/>
      <c r="L732" s="242"/>
      <c r="M732" s="242"/>
      <c r="N732" s="242"/>
      <c r="O732" s="242"/>
      <c r="P732" s="242"/>
      <c r="Q732" s="242"/>
      <c r="R732" s="242"/>
      <c r="S732" s="242"/>
      <c r="T732" s="242"/>
      <c r="U732" s="242"/>
      <c r="V732" s="242"/>
      <c r="W732" s="242"/>
      <c r="X732" s="242"/>
      <c r="Y732" s="242"/>
      <c r="Z732" s="242"/>
    </row>
    <row r="733">
      <c r="A733" s="340"/>
      <c r="B733" s="242"/>
      <c r="C733" s="242"/>
      <c r="D733" s="242"/>
      <c r="E733" s="13"/>
      <c r="F733" s="13"/>
      <c r="G733" s="13"/>
      <c r="H733" s="13"/>
      <c r="I733" s="13"/>
      <c r="J733" s="13"/>
      <c r="K733" s="13"/>
      <c r="L733" s="242"/>
      <c r="M733" s="242"/>
      <c r="N733" s="242"/>
      <c r="O733" s="242"/>
      <c r="P733" s="242"/>
      <c r="Q733" s="242"/>
      <c r="R733" s="242"/>
      <c r="S733" s="242"/>
      <c r="T733" s="242"/>
      <c r="U733" s="242"/>
      <c r="V733" s="242"/>
      <c r="W733" s="242"/>
      <c r="X733" s="242"/>
      <c r="Y733" s="242"/>
      <c r="Z733" s="242"/>
    </row>
    <row r="734">
      <c r="A734" s="340"/>
      <c r="B734" s="242"/>
      <c r="C734" s="242"/>
      <c r="D734" s="242"/>
      <c r="E734" s="13"/>
      <c r="F734" s="13"/>
      <c r="G734" s="13"/>
      <c r="H734" s="13"/>
      <c r="I734" s="13"/>
      <c r="J734" s="13"/>
      <c r="K734" s="13"/>
      <c r="L734" s="242"/>
      <c r="M734" s="242"/>
      <c r="N734" s="242"/>
      <c r="O734" s="242"/>
      <c r="P734" s="242"/>
      <c r="Q734" s="242"/>
      <c r="R734" s="242"/>
      <c r="S734" s="242"/>
      <c r="T734" s="242"/>
      <c r="U734" s="242"/>
      <c r="V734" s="242"/>
      <c r="W734" s="242"/>
      <c r="X734" s="242"/>
      <c r="Y734" s="242"/>
      <c r="Z734" s="242"/>
    </row>
    <row r="735">
      <c r="A735" s="340"/>
      <c r="B735" s="242"/>
      <c r="C735" s="242"/>
      <c r="D735" s="242"/>
      <c r="E735" s="13"/>
      <c r="F735" s="13"/>
      <c r="G735" s="13"/>
      <c r="H735" s="13"/>
      <c r="I735" s="13"/>
      <c r="J735" s="13"/>
      <c r="K735" s="13"/>
      <c r="L735" s="242"/>
      <c r="M735" s="242"/>
      <c r="N735" s="242"/>
      <c r="O735" s="242"/>
      <c r="P735" s="242"/>
      <c r="Q735" s="242"/>
      <c r="R735" s="242"/>
      <c r="S735" s="242"/>
      <c r="T735" s="242"/>
      <c r="U735" s="242"/>
      <c r="V735" s="242"/>
      <c r="W735" s="242"/>
      <c r="X735" s="242"/>
      <c r="Y735" s="242"/>
      <c r="Z735" s="242"/>
    </row>
    <row r="736">
      <c r="A736" s="340"/>
      <c r="B736" s="242"/>
      <c r="C736" s="242"/>
      <c r="D736" s="242"/>
      <c r="E736" s="13"/>
      <c r="F736" s="13"/>
      <c r="G736" s="13"/>
      <c r="H736" s="13"/>
      <c r="I736" s="13"/>
      <c r="J736" s="13"/>
      <c r="K736" s="13"/>
      <c r="L736" s="242"/>
      <c r="M736" s="242"/>
      <c r="N736" s="242"/>
      <c r="O736" s="242"/>
      <c r="P736" s="242"/>
      <c r="Q736" s="242"/>
      <c r="R736" s="242"/>
      <c r="S736" s="242"/>
      <c r="T736" s="242"/>
      <c r="U736" s="242"/>
      <c r="V736" s="242"/>
      <c r="W736" s="242"/>
      <c r="X736" s="242"/>
      <c r="Y736" s="242"/>
      <c r="Z736" s="242"/>
    </row>
    <row r="737">
      <c r="A737" s="340"/>
      <c r="B737" s="242"/>
      <c r="C737" s="242"/>
      <c r="D737" s="242"/>
      <c r="E737" s="13"/>
      <c r="F737" s="13"/>
      <c r="G737" s="13"/>
      <c r="H737" s="13"/>
      <c r="I737" s="13"/>
      <c r="J737" s="13"/>
      <c r="K737" s="13"/>
      <c r="L737" s="242"/>
      <c r="M737" s="242"/>
      <c r="N737" s="242"/>
      <c r="O737" s="242"/>
      <c r="P737" s="242"/>
      <c r="Q737" s="242"/>
      <c r="R737" s="242"/>
      <c r="S737" s="242"/>
      <c r="T737" s="242"/>
      <c r="U737" s="242"/>
      <c r="V737" s="242"/>
      <c r="W737" s="242"/>
      <c r="X737" s="242"/>
      <c r="Y737" s="242"/>
      <c r="Z737" s="242"/>
    </row>
    <row r="738">
      <c r="A738" s="340"/>
      <c r="B738" s="242"/>
      <c r="C738" s="242"/>
      <c r="D738" s="242"/>
      <c r="E738" s="13"/>
      <c r="F738" s="13"/>
      <c r="G738" s="13"/>
      <c r="H738" s="13"/>
      <c r="I738" s="13"/>
      <c r="J738" s="13"/>
      <c r="K738" s="13"/>
      <c r="L738" s="242"/>
      <c r="M738" s="242"/>
      <c r="N738" s="242"/>
      <c r="O738" s="242"/>
      <c r="P738" s="242"/>
      <c r="Q738" s="242"/>
      <c r="R738" s="242"/>
      <c r="S738" s="242"/>
      <c r="T738" s="242"/>
      <c r="U738" s="242"/>
      <c r="V738" s="242"/>
      <c r="W738" s="242"/>
      <c r="X738" s="242"/>
      <c r="Y738" s="242"/>
      <c r="Z738" s="242"/>
    </row>
    <row r="739">
      <c r="A739" s="340"/>
      <c r="B739" s="242"/>
      <c r="C739" s="242"/>
      <c r="D739" s="242"/>
      <c r="E739" s="13"/>
      <c r="F739" s="13"/>
      <c r="G739" s="13"/>
      <c r="H739" s="13"/>
      <c r="I739" s="13"/>
      <c r="J739" s="13"/>
      <c r="K739" s="13"/>
      <c r="L739" s="242"/>
      <c r="M739" s="242"/>
      <c r="N739" s="242"/>
      <c r="O739" s="242"/>
      <c r="P739" s="242"/>
      <c r="Q739" s="242"/>
      <c r="R739" s="242"/>
      <c r="S739" s="242"/>
      <c r="T739" s="242"/>
      <c r="U739" s="242"/>
      <c r="V739" s="242"/>
      <c r="W739" s="242"/>
      <c r="X739" s="242"/>
      <c r="Y739" s="242"/>
      <c r="Z739" s="242"/>
    </row>
    <row r="740">
      <c r="A740" s="340"/>
      <c r="B740" s="242"/>
      <c r="C740" s="242"/>
      <c r="D740" s="242"/>
      <c r="E740" s="13"/>
      <c r="F740" s="13"/>
      <c r="G740" s="13"/>
      <c r="H740" s="13"/>
      <c r="I740" s="13"/>
      <c r="J740" s="13"/>
      <c r="K740" s="13"/>
      <c r="L740" s="242"/>
      <c r="M740" s="242"/>
      <c r="N740" s="242"/>
      <c r="O740" s="242"/>
      <c r="P740" s="242"/>
      <c r="Q740" s="242"/>
      <c r="R740" s="242"/>
      <c r="S740" s="242"/>
      <c r="T740" s="242"/>
      <c r="U740" s="242"/>
      <c r="V740" s="242"/>
      <c r="W740" s="242"/>
      <c r="X740" s="242"/>
      <c r="Y740" s="242"/>
      <c r="Z740" s="242"/>
    </row>
    <row r="741">
      <c r="A741" s="340"/>
      <c r="B741" s="242"/>
      <c r="C741" s="242"/>
      <c r="D741" s="242"/>
      <c r="E741" s="13"/>
      <c r="F741" s="13"/>
      <c r="G741" s="13"/>
      <c r="H741" s="13"/>
      <c r="I741" s="13"/>
      <c r="J741" s="13"/>
      <c r="K741" s="13"/>
      <c r="L741" s="242"/>
      <c r="M741" s="242"/>
      <c r="N741" s="242"/>
      <c r="O741" s="242"/>
      <c r="P741" s="242"/>
      <c r="Q741" s="242"/>
      <c r="R741" s="242"/>
      <c r="S741" s="242"/>
      <c r="T741" s="242"/>
      <c r="U741" s="242"/>
      <c r="V741" s="242"/>
      <c r="W741" s="242"/>
      <c r="X741" s="242"/>
      <c r="Y741" s="242"/>
      <c r="Z741" s="242"/>
    </row>
    <row r="742">
      <c r="A742" s="340"/>
      <c r="B742" s="242"/>
      <c r="C742" s="242"/>
      <c r="D742" s="242"/>
      <c r="E742" s="13"/>
      <c r="F742" s="13"/>
      <c r="G742" s="13"/>
      <c r="H742" s="13"/>
      <c r="I742" s="13"/>
      <c r="J742" s="13"/>
      <c r="K742" s="13"/>
      <c r="L742" s="242"/>
      <c r="M742" s="242"/>
      <c r="N742" s="242"/>
      <c r="O742" s="242"/>
      <c r="P742" s="242"/>
      <c r="Q742" s="242"/>
      <c r="R742" s="242"/>
      <c r="S742" s="242"/>
      <c r="T742" s="242"/>
      <c r="U742" s="242"/>
      <c r="V742" s="242"/>
      <c r="W742" s="242"/>
      <c r="X742" s="242"/>
      <c r="Y742" s="242"/>
      <c r="Z742" s="242"/>
    </row>
    <row r="743">
      <c r="A743" s="340"/>
      <c r="B743" s="242"/>
      <c r="C743" s="242"/>
      <c r="D743" s="242"/>
      <c r="E743" s="13"/>
      <c r="F743" s="13"/>
      <c r="G743" s="13"/>
      <c r="H743" s="13"/>
      <c r="I743" s="13"/>
      <c r="J743" s="13"/>
      <c r="K743" s="13"/>
      <c r="L743" s="242"/>
      <c r="M743" s="242"/>
      <c r="N743" s="242"/>
      <c r="O743" s="242"/>
      <c r="P743" s="242"/>
      <c r="Q743" s="242"/>
      <c r="R743" s="242"/>
      <c r="S743" s="242"/>
      <c r="T743" s="242"/>
      <c r="U743" s="242"/>
      <c r="V743" s="242"/>
      <c r="W743" s="242"/>
      <c r="X743" s="242"/>
      <c r="Y743" s="242"/>
      <c r="Z743" s="242"/>
    </row>
    <row r="744">
      <c r="A744" s="340"/>
      <c r="B744" s="242"/>
      <c r="C744" s="242"/>
      <c r="D744" s="242"/>
      <c r="E744" s="13"/>
      <c r="F744" s="13"/>
      <c r="G744" s="13"/>
      <c r="H744" s="13"/>
      <c r="I744" s="13"/>
      <c r="J744" s="13"/>
      <c r="K744" s="13"/>
      <c r="L744" s="242"/>
      <c r="M744" s="242"/>
      <c r="N744" s="242"/>
      <c r="O744" s="242"/>
      <c r="P744" s="242"/>
      <c r="Q744" s="242"/>
      <c r="R744" s="242"/>
      <c r="S744" s="242"/>
      <c r="T744" s="242"/>
      <c r="U744" s="242"/>
      <c r="V744" s="242"/>
      <c r="W744" s="242"/>
      <c r="X744" s="242"/>
      <c r="Y744" s="242"/>
      <c r="Z744" s="242"/>
    </row>
    <row r="745">
      <c r="A745" s="340"/>
      <c r="B745" s="242"/>
      <c r="C745" s="242"/>
      <c r="D745" s="242"/>
      <c r="E745" s="13"/>
      <c r="F745" s="13"/>
      <c r="G745" s="13"/>
      <c r="H745" s="13"/>
      <c r="I745" s="13"/>
      <c r="J745" s="13"/>
      <c r="K745" s="13"/>
      <c r="L745" s="242"/>
      <c r="M745" s="242"/>
      <c r="N745" s="242"/>
      <c r="O745" s="242"/>
      <c r="P745" s="242"/>
      <c r="Q745" s="242"/>
      <c r="R745" s="242"/>
      <c r="S745" s="242"/>
      <c r="T745" s="242"/>
      <c r="U745" s="242"/>
      <c r="V745" s="242"/>
      <c r="W745" s="242"/>
      <c r="X745" s="242"/>
      <c r="Y745" s="242"/>
      <c r="Z745" s="242"/>
    </row>
    <row r="746">
      <c r="A746" s="340"/>
      <c r="B746" s="242"/>
      <c r="C746" s="242"/>
      <c r="D746" s="242"/>
      <c r="E746" s="13"/>
      <c r="F746" s="13"/>
      <c r="G746" s="13"/>
      <c r="H746" s="13"/>
      <c r="I746" s="13"/>
      <c r="J746" s="13"/>
      <c r="K746" s="13"/>
      <c r="L746" s="242"/>
      <c r="M746" s="242"/>
      <c r="N746" s="242"/>
      <c r="O746" s="242"/>
      <c r="P746" s="242"/>
      <c r="Q746" s="242"/>
      <c r="R746" s="242"/>
      <c r="S746" s="242"/>
      <c r="T746" s="242"/>
      <c r="U746" s="242"/>
      <c r="V746" s="242"/>
      <c r="W746" s="242"/>
      <c r="X746" s="242"/>
      <c r="Y746" s="242"/>
      <c r="Z746" s="242"/>
    </row>
    <row r="747">
      <c r="A747" s="340"/>
      <c r="B747" s="242"/>
      <c r="C747" s="242"/>
      <c r="D747" s="242"/>
      <c r="E747" s="13"/>
      <c r="F747" s="13"/>
      <c r="G747" s="13"/>
      <c r="H747" s="13"/>
      <c r="I747" s="13"/>
      <c r="J747" s="13"/>
      <c r="K747" s="13"/>
      <c r="L747" s="242"/>
      <c r="M747" s="242"/>
      <c r="N747" s="242"/>
      <c r="O747" s="242"/>
      <c r="P747" s="242"/>
      <c r="Q747" s="242"/>
      <c r="R747" s="242"/>
      <c r="S747" s="242"/>
      <c r="T747" s="242"/>
      <c r="U747" s="242"/>
      <c r="V747" s="242"/>
      <c r="W747" s="242"/>
      <c r="X747" s="242"/>
      <c r="Y747" s="242"/>
      <c r="Z747" s="242"/>
    </row>
    <row r="748">
      <c r="A748" s="340"/>
      <c r="B748" s="242"/>
      <c r="C748" s="242"/>
      <c r="D748" s="242"/>
      <c r="E748" s="13"/>
      <c r="F748" s="13"/>
      <c r="G748" s="13"/>
      <c r="H748" s="13"/>
      <c r="I748" s="13"/>
      <c r="J748" s="13"/>
      <c r="K748" s="13"/>
      <c r="L748" s="242"/>
      <c r="M748" s="242"/>
      <c r="N748" s="242"/>
      <c r="O748" s="242"/>
      <c r="P748" s="242"/>
      <c r="Q748" s="242"/>
      <c r="R748" s="242"/>
      <c r="S748" s="242"/>
      <c r="T748" s="242"/>
      <c r="U748" s="242"/>
      <c r="V748" s="242"/>
      <c r="W748" s="242"/>
      <c r="X748" s="242"/>
      <c r="Y748" s="242"/>
      <c r="Z748" s="242"/>
    </row>
    <row r="749">
      <c r="A749" s="340"/>
      <c r="B749" s="242"/>
      <c r="C749" s="242"/>
      <c r="D749" s="242"/>
      <c r="E749" s="13"/>
      <c r="F749" s="13"/>
      <c r="G749" s="13"/>
      <c r="H749" s="13"/>
      <c r="I749" s="13"/>
      <c r="J749" s="13"/>
      <c r="K749" s="13"/>
      <c r="L749" s="242"/>
      <c r="M749" s="242"/>
      <c r="N749" s="242"/>
      <c r="O749" s="242"/>
      <c r="P749" s="242"/>
      <c r="Q749" s="242"/>
      <c r="R749" s="242"/>
      <c r="S749" s="242"/>
      <c r="T749" s="242"/>
      <c r="U749" s="242"/>
      <c r="V749" s="242"/>
      <c r="W749" s="242"/>
      <c r="X749" s="242"/>
      <c r="Y749" s="242"/>
      <c r="Z749" s="242"/>
    </row>
    <row r="750">
      <c r="A750" s="340"/>
      <c r="B750" s="242"/>
      <c r="C750" s="242"/>
      <c r="D750" s="242"/>
      <c r="E750" s="13"/>
      <c r="F750" s="13"/>
      <c r="G750" s="13"/>
      <c r="H750" s="13"/>
      <c r="I750" s="13"/>
      <c r="J750" s="13"/>
      <c r="K750" s="13"/>
      <c r="L750" s="242"/>
      <c r="M750" s="242"/>
      <c r="N750" s="242"/>
      <c r="O750" s="242"/>
      <c r="P750" s="242"/>
      <c r="Q750" s="242"/>
      <c r="R750" s="242"/>
      <c r="S750" s="242"/>
      <c r="T750" s="242"/>
      <c r="U750" s="242"/>
      <c r="V750" s="242"/>
      <c r="W750" s="242"/>
      <c r="X750" s="242"/>
      <c r="Y750" s="242"/>
      <c r="Z750" s="242"/>
    </row>
    <row r="751">
      <c r="A751" s="340"/>
      <c r="B751" s="242"/>
      <c r="C751" s="242"/>
      <c r="D751" s="242"/>
      <c r="E751" s="13"/>
      <c r="F751" s="13"/>
      <c r="G751" s="13"/>
      <c r="H751" s="13"/>
      <c r="I751" s="13"/>
      <c r="J751" s="13"/>
      <c r="K751" s="13"/>
      <c r="L751" s="242"/>
      <c r="M751" s="242"/>
      <c r="N751" s="242"/>
      <c r="O751" s="242"/>
      <c r="P751" s="242"/>
      <c r="Q751" s="242"/>
      <c r="R751" s="242"/>
      <c r="S751" s="242"/>
      <c r="T751" s="242"/>
      <c r="U751" s="242"/>
      <c r="V751" s="242"/>
      <c r="W751" s="242"/>
      <c r="X751" s="242"/>
      <c r="Y751" s="242"/>
      <c r="Z751" s="242"/>
    </row>
    <row r="752">
      <c r="A752" s="340"/>
      <c r="B752" s="242"/>
      <c r="C752" s="242"/>
      <c r="D752" s="242"/>
      <c r="E752" s="13"/>
      <c r="F752" s="13"/>
      <c r="G752" s="13"/>
      <c r="H752" s="13"/>
      <c r="I752" s="13"/>
      <c r="J752" s="13"/>
      <c r="K752" s="13"/>
      <c r="L752" s="242"/>
      <c r="M752" s="242"/>
      <c r="N752" s="242"/>
      <c r="O752" s="242"/>
      <c r="P752" s="242"/>
      <c r="Q752" s="242"/>
      <c r="R752" s="242"/>
      <c r="S752" s="242"/>
      <c r="T752" s="242"/>
      <c r="U752" s="242"/>
      <c r="V752" s="242"/>
      <c r="W752" s="242"/>
      <c r="X752" s="242"/>
      <c r="Y752" s="242"/>
      <c r="Z752" s="242"/>
    </row>
    <row r="753">
      <c r="A753" s="340"/>
      <c r="B753" s="242"/>
      <c r="C753" s="242"/>
      <c r="D753" s="242"/>
      <c r="E753" s="13"/>
      <c r="F753" s="13"/>
      <c r="G753" s="13"/>
      <c r="H753" s="13"/>
      <c r="I753" s="13"/>
      <c r="J753" s="13"/>
      <c r="K753" s="13"/>
      <c r="L753" s="242"/>
      <c r="M753" s="242"/>
      <c r="N753" s="242"/>
      <c r="O753" s="242"/>
      <c r="P753" s="242"/>
      <c r="Q753" s="242"/>
      <c r="R753" s="242"/>
      <c r="S753" s="242"/>
      <c r="T753" s="242"/>
      <c r="U753" s="242"/>
      <c r="V753" s="242"/>
      <c r="W753" s="242"/>
      <c r="X753" s="242"/>
      <c r="Y753" s="242"/>
      <c r="Z753" s="242"/>
    </row>
    <row r="754">
      <c r="A754" s="340"/>
      <c r="B754" s="242"/>
      <c r="C754" s="242"/>
      <c r="D754" s="242"/>
      <c r="E754" s="13"/>
      <c r="F754" s="13"/>
      <c r="G754" s="13"/>
      <c r="H754" s="13"/>
      <c r="I754" s="13"/>
      <c r="J754" s="13"/>
      <c r="K754" s="13"/>
      <c r="L754" s="242"/>
      <c r="M754" s="242"/>
      <c r="N754" s="242"/>
      <c r="O754" s="242"/>
      <c r="P754" s="242"/>
      <c r="Q754" s="242"/>
      <c r="R754" s="242"/>
      <c r="S754" s="242"/>
      <c r="T754" s="242"/>
      <c r="U754" s="242"/>
      <c r="V754" s="242"/>
      <c r="W754" s="242"/>
      <c r="X754" s="242"/>
      <c r="Y754" s="242"/>
      <c r="Z754" s="242"/>
    </row>
    <row r="755">
      <c r="A755" s="340"/>
      <c r="B755" s="242"/>
      <c r="C755" s="242"/>
      <c r="D755" s="242"/>
      <c r="E755" s="13"/>
      <c r="F755" s="13"/>
      <c r="G755" s="13"/>
      <c r="H755" s="13"/>
      <c r="I755" s="13"/>
      <c r="J755" s="13"/>
      <c r="K755" s="13"/>
      <c r="L755" s="242"/>
      <c r="M755" s="242"/>
      <c r="N755" s="242"/>
      <c r="O755" s="242"/>
      <c r="P755" s="242"/>
      <c r="Q755" s="242"/>
      <c r="R755" s="242"/>
      <c r="S755" s="242"/>
      <c r="T755" s="242"/>
      <c r="U755" s="242"/>
      <c r="V755" s="242"/>
      <c r="W755" s="242"/>
      <c r="X755" s="242"/>
      <c r="Y755" s="242"/>
      <c r="Z755" s="242"/>
    </row>
    <row r="756">
      <c r="A756" s="340"/>
      <c r="B756" s="242"/>
      <c r="C756" s="242"/>
      <c r="D756" s="242"/>
      <c r="E756" s="13"/>
      <c r="F756" s="13"/>
      <c r="G756" s="13"/>
      <c r="H756" s="13"/>
      <c r="I756" s="13"/>
      <c r="J756" s="13"/>
      <c r="K756" s="13"/>
      <c r="L756" s="242"/>
      <c r="M756" s="242"/>
      <c r="N756" s="242"/>
      <c r="O756" s="242"/>
      <c r="P756" s="242"/>
      <c r="Q756" s="242"/>
      <c r="R756" s="242"/>
      <c r="S756" s="242"/>
      <c r="T756" s="242"/>
      <c r="U756" s="242"/>
      <c r="V756" s="242"/>
      <c r="W756" s="242"/>
      <c r="X756" s="242"/>
      <c r="Y756" s="242"/>
      <c r="Z756" s="242"/>
    </row>
    <row r="757">
      <c r="A757" s="340"/>
      <c r="B757" s="242"/>
      <c r="C757" s="242"/>
      <c r="D757" s="242"/>
      <c r="E757" s="13"/>
      <c r="F757" s="13"/>
      <c r="G757" s="13"/>
      <c r="H757" s="13"/>
      <c r="I757" s="13"/>
      <c r="J757" s="13"/>
      <c r="K757" s="13"/>
      <c r="L757" s="242"/>
      <c r="M757" s="242"/>
      <c r="N757" s="242"/>
      <c r="O757" s="242"/>
      <c r="P757" s="242"/>
      <c r="Q757" s="242"/>
      <c r="R757" s="242"/>
      <c r="S757" s="242"/>
      <c r="T757" s="242"/>
      <c r="U757" s="242"/>
      <c r="V757" s="242"/>
      <c r="W757" s="242"/>
      <c r="X757" s="242"/>
      <c r="Y757" s="242"/>
      <c r="Z757" s="242"/>
    </row>
    <row r="758">
      <c r="A758" s="340"/>
      <c r="B758" s="242"/>
      <c r="C758" s="242"/>
      <c r="D758" s="242"/>
      <c r="E758" s="13"/>
      <c r="F758" s="13"/>
      <c r="G758" s="13"/>
      <c r="H758" s="13"/>
      <c r="I758" s="13"/>
      <c r="J758" s="13"/>
      <c r="K758" s="13"/>
      <c r="L758" s="242"/>
      <c r="M758" s="242"/>
      <c r="N758" s="242"/>
      <c r="O758" s="242"/>
      <c r="P758" s="242"/>
      <c r="Q758" s="242"/>
      <c r="R758" s="242"/>
      <c r="S758" s="242"/>
      <c r="T758" s="242"/>
      <c r="U758" s="242"/>
      <c r="V758" s="242"/>
      <c r="W758" s="242"/>
      <c r="X758" s="242"/>
      <c r="Y758" s="242"/>
      <c r="Z758" s="242"/>
    </row>
    <row r="759">
      <c r="A759" s="340"/>
      <c r="B759" s="242"/>
      <c r="C759" s="242"/>
      <c r="D759" s="242"/>
      <c r="E759" s="13"/>
      <c r="F759" s="13"/>
      <c r="G759" s="13"/>
      <c r="H759" s="13"/>
      <c r="I759" s="13"/>
      <c r="J759" s="13"/>
      <c r="K759" s="13"/>
      <c r="L759" s="242"/>
      <c r="M759" s="242"/>
      <c r="N759" s="242"/>
      <c r="O759" s="242"/>
      <c r="P759" s="242"/>
      <c r="Q759" s="242"/>
      <c r="R759" s="242"/>
      <c r="S759" s="242"/>
      <c r="T759" s="242"/>
      <c r="U759" s="242"/>
      <c r="V759" s="242"/>
      <c r="W759" s="242"/>
      <c r="X759" s="242"/>
      <c r="Y759" s="242"/>
      <c r="Z759" s="242"/>
    </row>
    <row r="760">
      <c r="A760" s="340"/>
      <c r="B760" s="242"/>
      <c r="C760" s="242"/>
      <c r="D760" s="242"/>
      <c r="E760" s="13"/>
      <c r="F760" s="13"/>
      <c r="G760" s="13"/>
      <c r="H760" s="13"/>
      <c r="I760" s="13"/>
      <c r="J760" s="13"/>
      <c r="K760" s="13"/>
      <c r="L760" s="242"/>
      <c r="M760" s="242"/>
      <c r="N760" s="242"/>
      <c r="O760" s="242"/>
      <c r="P760" s="242"/>
      <c r="Q760" s="242"/>
      <c r="R760" s="242"/>
      <c r="S760" s="242"/>
      <c r="T760" s="242"/>
      <c r="U760" s="242"/>
      <c r="V760" s="242"/>
      <c r="W760" s="242"/>
      <c r="X760" s="242"/>
      <c r="Y760" s="242"/>
      <c r="Z760" s="242"/>
    </row>
    <row r="761">
      <c r="A761" s="340"/>
      <c r="B761" s="242"/>
      <c r="C761" s="242"/>
      <c r="D761" s="242"/>
      <c r="E761" s="13"/>
      <c r="F761" s="13"/>
      <c r="G761" s="13"/>
      <c r="H761" s="13"/>
      <c r="I761" s="13"/>
      <c r="J761" s="13"/>
      <c r="K761" s="13"/>
      <c r="L761" s="242"/>
      <c r="M761" s="242"/>
      <c r="N761" s="242"/>
      <c r="O761" s="242"/>
      <c r="P761" s="242"/>
      <c r="Q761" s="242"/>
      <c r="R761" s="242"/>
      <c r="S761" s="242"/>
      <c r="T761" s="242"/>
      <c r="U761" s="242"/>
      <c r="V761" s="242"/>
      <c r="W761" s="242"/>
      <c r="X761" s="242"/>
      <c r="Y761" s="242"/>
      <c r="Z761" s="242"/>
    </row>
    <row r="762">
      <c r="A762" s="340"/>
      <c r="B762" s="242"/>
      <c r="C762" s="242"/>
      <c r="D762" s="242"/>
      <c r="E762" s="13"/>
      <c r="F762" s="13"/>
      <c r="G762" s="13"/>
      <c r="H762" s="13"/>
      <c r="I762" s="13"/>
      <c r="J762" s="13"/>
      <c r="K762" s="13"/>
      <c r="L762" s="242"/>
      <c r="M762" s="242"/>
      <c r="N762" s="242"/>
      <c r="O762" s="242"/>
      <c r="P762" s="242"/>
      <c r="Q762" s="242"/>
      <c r="R762" s="242"/>
      <c r="S762" s="242"/>
      <c r="T762" s="242"/>
      <c r="U762" s="242"/>
      <c r="V762" s="242"/>
      <c r="W762" s="242"/>
      <c r="X762" s="242"/>
      <c r="Y762" s="242"/>
      <c r="Z762" s="242"/>
    </row>
    <row r="763">
      <c r="A763" s="340"/>
      <c r="B763" s="242"/>
      <c r="C763" s="242"/>
      <c r="D763" s="242"/>
      <c r="E763" s="13"/>
      <c r="F763" s="13"/>
      <c r="G763" s="13"/>
      <c r="H763" s="13"/>
      <c r="I763" s="13"/>
      <c r="J763" s="13"/>
      <c r="K763" s="13"/>
      <c r="L763" s="242"/>
      <c r="M763" s="242"/>
      <c r="N763" s="242"/>
      <c r="O763" s="242"/>
      <c r="P763" s="242"/>
      <c r="Q763" s="242"/>
      <c r="R763" s="242"/>
      <c r="S763" s="242"/>
      <c r="T763" s="242"/>
      <c r="U763" s="242"/>
      <c r="V763" s="242"/>
      <c r="W763" s="242"/>
      <c r="X763" s="242"/>
      <c r="Y763" s="242"/>
      <c r="Z763" s="242"/>
    </row>
    <row r="764">
      <c r="A764" s="340"/>
      <c r="B764" s="242"/>
      <c r="C764" s="242"/>
      <c r="D764" s="242"/>
      <c r="E764" s="13"/>
      <c r="F764" s="13"/>
      <c r="G764" s="13"/>
      <c r="H764" s="13"/>
      <c r="I764" s="13"/>
      <c r="J764" s="13"/>
      <c r="K764" s="13"/>
      <c r="L764" s="242"/>
      <c r="M764" s="242"/>
      <c r="N764" s="242"/>
      <c r="O764" s="242"/>
      <c r="P764" s="242"/>
      <c r="Q764" s="242"/>
      <c r="R764" s="242"/>
      <c r="S764" s="242"/>
      <c r="T764" s="242"/>
      <c r="U764" s="242"/>
      <c r="V764" s="242"/>
      <c r="W764" s="242"/>
      <c r="X764" s="242"/>
      <c r="Y764" s="242"/>
      <c r="Z764" s="242"/>
    </row>
    <row r="765">
      <c r="A765" s="340"/>
      <c r="B765" s="242"/>
      <c r="C765" s="242"/>
      <c r="D765" s="242"/>
      <c r="E765" s="13"/>
      <c r="F765" s="13"/>
      <c r="G765" s="13"/>
      <c r="H765" s="13"/>
      <c r="I765" s="13"/>
      <c r="J765" s="13"/>
      <c r="K765" s="13"/>
      <c r="L765" s="242"/>
      <c r="M765" s="242"/>
      <c r="N765" s="242"/>
      <c r="O765" s="242"/>
      <c r="P765" s="242"/>
      <c r="Q765" s="242"/>
      <c r="R765" s="242"/>
      <c r="S765" s="242"/>
      <c r="T765" s="242"/>
      <c r="U765" s="242"/>
      <c r="V765" s="242"/>
      <c r="W765" s="242"/>
      <c r="X765" s="242"/>
      <c r="Y765" s="242"/>
      <c r="Z765" s="242"/>
    </row>
    <row r="766">
      <c r="A766" s="340"/>
      <c r="B766" s="242"/>
      <c r="C766" s="242"/>
      <c r="D766" s="242"/>
      <c r="E766" s="13"/>
      <c r="F766" s="13"/>
      <c r="G766" s="13"/>
      <c r="H766" s="13"/>
      <c r="I766" s="13"/>
      <c r="J766" s="13"/>
      <c r="K766" s="13"/>
      <c r="L766" s="242"/>
      <c r="M766" s="242"/>
      <c r="N766" s="242"/>
      <c r="O766" s="242"/>
      <c r="P766" s="242"/>
      <c r="Q766" s="242"/>
      <c r="R766" s="242"/>
      <c r="S766" s="242"/>
      <c r="T766" s="242"/>
      <c r="U766" s="242"/>
      <c r="V766" s="242"/>
      <c r="W766" s="242"/>
      <c r="X766" s="242"/>
      <c r="Y766" s="242"/>
      <c r="Z766" s="242"/>
    </row>
    <row r="767">
      <c r="A767" s="340"/>
      <c r="B767" s="242"/>
      <c r="C767" s="242"/>
      <c r="D767" s="242"/>
      <c r="E767" s="13"/>
      <c r="F767" s="13"/>
      <c r="G767" s="13"/>
      <c r="H767" s="13"/>
      <c r="I767" s="13"/>
      <c r="J767" s="13"/>
      <c r="K767" s="13"/>
      <c r="L767" s="242"/>
      <c r="M767" s="242"/>
      <c r="N767" s="242"/>
      <c r="O767" s="242"/>
      <c r="P767" s="242"/>
      <c r="Q767" s="242"/>
      <c r="R767" s="242"/>
      <c r="S767" s="242"/>
      <c r="T767" s="242"/>
      <c r="U767" s="242"/>
      <c r="V767" s="242"/>
      <c r="W767" s="242"/>
      <c r="X767" s="242"/>
      <c r="Y767" s="242"/>
      <c r="Z767" s="242"/>
    </row>
    <row r="768">
      <c r="A768" s="340"/>
      <c r="B768" s="242"/>
      <c r="C768" s="242"/>
      <c r="D768" s="242"/>
      <c r="E768" s="13"/>
      <c r="F768" s="13"/>
      <c r="G768" s="13"/>
      <c r="H768" s="13"/>
      <c r="I768" s="13"/>
      <c r="J768" s="13"/>
      <c r="K768" s="13"/>
      <c r="L768" s="242"/>
      <c r="M768" s="242"/>
      <c r="N768" s="242"/>
      <c r="O768" s="242"/>
      <c r="P768" s="242"/>
      <c r="Q768" s="242"/>
      <c r="R768" s="242"/>
      <c r="S768" s="242"/>
      <c r="T768" s="242"/>
      <c r="U768" s="242"/>
      <c r="V768" s="242"/>
      <c r="W768" s="242"/>
      <c r="X768" s="242"/>
      <c r="Y768" s="242"/>
      <c r="Z768" s="242"/>
    </row>
    <row r="769">
      <c r="A769" s="340"/>
      <c r="B769" s="242"/>
      <c r="C769" s="242"/>
      <c r="D769" s="242"/>
      <c r="E769" s="13"/>
      <c r="F769" s="13"/>
      <c r="G769" s="13"/>
      <c r="H769" s="13"/>
      <c r="I769" s="13"/>
      <c r="J769" s="13"/>
      <c r="K769" s="13"/>
      <c r="L769" s="242"/>
      <c r="M769" s="242"/>
      <c r="N769" s="242"/>
      <c r="O769" s="242"/>
      <c r="P769" s="242"/>
      <c r="Q769" s="242"/>
      <c r="R769" s="242"/>
      <c r="S769" s="242"/>
      <c r="T769" s="242"/>
      <c r="U769" s="242"/>
      <c r="V769" s="242"/>
      <c r="W769" s="242"/>
      <c r="X769" s="242"/>
      <c r="Y769" s="242"/>
      <c r="Z769" s="242"/>
    </row>
    <row r="770">
      <c r="A770" s="340"/>
      <c r="B770" s="242"/>
      <c r="C770" s="242"/>
      <c r="D770" s="242"/>
      <c r="E770" s="13"/>
      <c r="F770" s="13"/>
      <c r="G770" s="13"/>
      <c r="H770" s="13"/>
      <c r="I770" s="13"/>
      <c r="J770" s="13"/>
      <c r="K770" s="13"/>
      <c r="L770" s="242"/>
      <c r="M770" s="242"/>
      <c r="N770" s="242"/>
      <c r="O770" s="242"/>
      <c r="P770" s="242"/>
      <c r="Q770" s="242"/>
      <c r="R770" s="242"/>
      <c r="S770" s="242"/>
      <c r="T770" s="242"/>
      <c r="U770" s="242"/>
      <c r="V770" s="242"/>
      <c r="W770" s="242"/>
      <c r="X770" s="242"/>
      <c r="Y770" s="242"/>
      <c r="Z770" s="242"/>
    </row>
    <row r="771">
      <c r="A771" s="340"/>
      <c r="B771" s="242"/>
      <c r="C771" s="242"/>
      <c r="D771" s="242"/>
      <c r="E771" s="13"/>
      <c r="F771" s="13"/>
      <c r="G771" s="13"/>
      <c r="H771" s="13"/>
      <c r="I771" s="13"/>
      <c r="J771" s="13"/>
      <c r="K771" s="13"/>
      <c r="L771" s="242"/>
      <c r="M771" s="242"/>
      <c r="N771" s="242"/>
      <c r="O771" s="242"/>
      <c r="P771" s="242"/>
      <c r="Q771" s="242"/>
      <c r="R771" s="242"/>
      <c r="S771" s="242"/>
      <c r="T771" s="242"/>
      <c r="U771" s="242"/>
      <c r="V771" s="242"/>
      <c r="W771" s="242"/>
      <c r="X771" s="242"/>
      <c r="Y771" s="242"/>
      <c r="Z771" s="242"/>
    </row>
    <row r="772">
      <c r="A772" s="340"/>
      <c r="B772" s="242"/>
      <c r="C772" s="242"/>
      <c r="D772" s="242"/>
      <c r="E772" s="13"/>
      <c r="F772" s="13"/>
      <c r="G772" s="13"/>
      <c r="H772" s="13"/>
      <c r="I772" s="13"/>
      <c r="J772" s="13"/>
      <c r="K772" s="13"/>
      <c r="L772" s="242"/>
      <c r="M772" s="242"/>
      <c r="N772" s="242"/>
      <c r="O772" s="242"/>
      <c r="P772" s="242"/>
      <c r="Q772" s="242"/>
      <c r="R772" s="242"/>
      <c r="S772" s="242"/>
      <c r="T772" s="242"/>
      <c r="U772" s="242"/>
      <c r="V772" s="242"/>
      <c r="W772" s="242"/>
      <c r="X772" s="242"/>
      <c r="Y772" s="242"/>
      <c r="Z772" s="242"/>
    </row>
    <row r="773">
      <c r="A773" s="340"/>
      <c r="B773" s="242"/>
      <c r="C773" s="242"/>
      <c r="D773" s="242"/>
      <c r="E773" s="13"/>
      <c r="F773" s="13"/>
      <c r="G773" s="13"/>
      <c r="H773" s="13"/>
      <c r="I773" s="13"/>
      <c r="J773" s="13"/>
      <c r="K773" s="13"/>
      <c r="L773" s="242"/>
      <c r="M773" s="242"/>
      <c r="N773" s="242"/>
      <c r="O773" s="242"/>
      <c r="P773" s="242"/>
      <c r="Q773" s="242"/>
      <c r="R773" s="242"/>
      <c r="S773" s="242"/>
      <c r="T773" s="242"/>
      <c r="U773" s="242"/>
      <c r="V773" s="242"/>
      <c r="W773" s="242"/>
      <c r="X773" s="242"/>
      <c r="Y773" s="242"/>
      <c r="Z773" s="242"/>
    </row>
    <row r="774">
      <c r="A774" s="340"/>
      <c r="B774" s="242"/>
      <c r="C774" s="242"/>
      <c r="D774" s="242"/>
      <c r="E774" s="13"/>
      <c r="F774" s="13"/>
      <c r="G774" s="13"/>
      <c r="H774" s="13"/>
      <c r="I774" s="13"/>
      <c r="J774" s="13"/>
      <c r="K774" s="13"/>
      <c r="L774" s="242"/>
      <c r="M774" s="242"/>
      <c r="N774" s="242"/>
      <c r="O774" s="242"/>
      <c r="P774" s="242"/>
      <c r="Q774" s="242"/>
      <c r="R774" s="242"/>
      <c r="S774" s="242"/>
      <c r="T774" s="242"/>
      <c r="U774" s="242"/>
      <c r="V774" s="242"/>
      <c r="W774" s="242"/>
      <c r="X774" s="242"/>
      <c r="Y774" s="242"/>
      <c r="Z774" s="242"/>
    </row>
    <row r="775">
      <c r="A775" s="340"/>
      <c r="B775" s="242"/>
      <c r="C775" s="242"/>
      <c r="D775" s="242"/>
      <c r="E775" s="13"/>
      <c r="F775" s="13"/>
      <c r="G775" s="13"/>
      <c r="H775" s="13"/>
      <c r="I775" s="13"/>
      <c r="J775" s="13"/>
      <c r="K775" s="13"/>
      <c r="L775" s="242"/>
      <c r="M775" s="242"/>
      <c r="N775" s="242"/>
      <c r="O775" s="242"/>
      <c r="P775" s="242"/>
      <c r="Q775" s="242"/>
      <c r="R775" s="242"/>
      <c r="S775" s="242"/>
      <c r="T775" s="242"/>
      <c r="U775" s="242"/>
      <c r="V775" s="242"/>
      <c r="W775" s="242"/>
      <c r="X775" s="242"/>
      <c r="Y775" s="242"/>
      <c r="Z775" s="242"/>
    </row>
    <row r="776">
      <c r="A776" s="340"/>
      <c r="B776" s="242"/>
      <c r="C776" s="242"/>
      <c r="D776" s="242"/>
      <c r="E776" s="13"/>
      <c r="F776" s="13"/>
      <c r="G776" s="13"/>
      <c r="H776" s="13"/>
      <c r="I776" s="13"/>
      <c r="J776" s="13"/>
      <c r="K776" s="13"/>
      <c r="L776" s="242"/>
      <c r="M776" s="242"/>
      <c r="N776" s="242"/>
      <c r="O776" s="242"/>
      <c r="P776" s="242"/>
      <c r="Q776" s="242"/>
      <c r="R776" s="242"/>
      <c r="S776" s="242"/>
      <c r="T776" s="242"/>
      <c r="U776" s="242"/>
      <c r="V776" s="242"/>
      <c r="W776" s="242"/>
      <c r="X776" s="242"/>
      <c r="Y776" s="242"/>
      <c r="Z776" s="242"/>
    </row>
    <row r="777">
      <c r="A777" s="340"/>
      <c r="B777" s="242"/>
      <c r="C777" s="242"/>
      <c r="D777" s="242"/>
      <c r="E777" s="13"/>
      <c r="F777" s="13"/>
      <c r="G777" s="13"/>
      <c r="H777" s="13"/>
      <c r="I777" s="13"/>
      <c r="J777" s="13"/>
      <c r="K777" s="13"/>
      <c r="L777" s="242"/>
      <c r="M777" s="242"/>
      <c r="N777" s="242"/>
      <c r="O777" s="242"/>
      <c r="P777" s="242"/>
      <c r="Q777" s="242"/>
      <c r="R777" s="242"/>
      <c r="S777" s="242"/>
      <c r="T777" s="242"/>
      <c r="U777" s="242"/>
      <c r="V777" s="242"/>
      <c r="W777" s="242"/>
      <c r="X777" s="242"/>
      <c r="Y777" s="242"/>
      <c r="Z777" s="242"/>
    </row>
    <row r="778">
      <c r="A778" s="340"/>
      <c r="B778" s="242"/>
      <c r="C778" s="242"/>
      <c r="D778" s="242"/>
      <c r="E778" s="13"/>
      <c r="F778" s="13"/>
      <c r="G778" s="13"/>
      <c r="H778" s="13"/>
      <c r="I778" s="13"/>
      <c r="J778" s="13"/>
      <c r="K778" s="13"/>
      <c r="L778" s="242"/>
      <c r="M778" s="242"/>
      <c r="N778" s="242"/>
      <c r="O778" s="242"/>
      <c r="P778" s="242"/>
      <c r="Q778" s="242"/>
      <c r="R778" s="242"/>
      <c r="S778" s="242"/>
      <c r="T778" s="242"/>
      <c r="U778" s="242"/>
      <c r="V778" s="242"/>
      <c r="W778" s="242"/>
      <c r="X778" s="242"/>
      <c r="Y778" s="242"/>
      <c r="Z778" s="242"/>
    </row>
    <row r="779">
      <c r="A779" s="340"/>
      <c r="B779" s="242"/>
      <c r="C779" s="242"/>
      <c r="D779" s="242"/>
      <c r="E779" s="13"/>
      <c r="F779" s="13"/>
      <c r="G779" s="13"/>
      <c r="H779" s="13"/>
      <c r="I779" s="13"/>
      <c r="J779" s="13"/>
      <c r="K779" s="13"/>
      <c r="L779" s="242"/>
      <c r="M779" s="242"/>
      <c r="N779" s="242"/>
      <c r="O779" s="242"/>
      <c r="P779" s="242"/>
      <c r="Q779" s="242"/>
      <c r="R779" s="242"/>
      <c r="S779" s="242"/>
      <c r="T779" s="242"/>
      <c r="U779" s="242"/>
      <c r="V779" s="242"/>
      <c r="W779" s="242"/>
      <c r="X779" s="242"/>
      <c r="Y779" s="242"/>
      <c r="Z779" s="242"/>
    </row>
    <row r="780">
      <c r="A780" s="340"/>
      <c r="B780" s="242"/>
      <c r="C780" s="242"/>
      <c r="D780" s="242"/>
      <c r="E780" s="13"/>
      <c r="F780" s="13"/>
      <c r="G780" s="13"/>
      <c r="H780" s="13"/>
      <c r="I780" s="13"/>
      <c r="J780" s="13"/>
      <c r="K780" s="13"/>
      <c r="L780" s="242"/>
      <c r="M780" s="242"/>
      <c r="N780" s="242"/>
      <c r="O780" s="242"/>
      <c r="P780" s="242"/>
      <c r="Q780" s="242"/>
      <c r="R780" s="242"/>
      <c r="S780" s="242"/>
      <c r="T780" s="242"/>
      <c r="U780" s="242"/>
      <c r="V780" s="242"/>
      <c r="W780" s="242"/>
      <c r="X780" s="242"/>
      <c r="Y780" s="242"/>
      <c r="Z780" s="242"/>
    </row>
    <row r="781">
      <c r="A781" s="340"/>
      <c r="B781" s="242"/>
      <c r="C781" s="242"/>
      <c r="D781" s="242"/>
      <c r="E781" s="13"/>
      <c r="F781" s="13"/>
      <c r="G781" s="13"/>
      <c r="H781" s="13"/>
      <c r="I781" s="13"/>
      <c r="J781" s="13"/>
      <c r="K781" s="13"/>
      <c r="L781" s="242"/>
      <c r="M781" s="242"/>
      <c r="N781" s="242"/>
      <c r="O781" s="242"/>
      <c r="P781" s="242"/>
      <c r="Q781" s="242"/>
      <c r="R781" s="242"/>
      <c r="S781" s="242"/>
      <c r="T781" s="242"/>
      <c r="U781" s="242"/>
      <c r="V781" s="242"/>
      <c r="W781" s="242"/>
      <c r="X781" s="242"/>
      <c r="Y781" s="242"/>
      <c r="Z781" s="242"/>
    </row>
    <row r="782">
      <c r="A782" s="340"/>
      <c r="B782" s="242"/>
      <c r="C782" s="242"/>
      <c r="D782" s="242"/>
      <c r="E782" s="13"/>
      <c r="F782" s="13"/>
      <c r="G782" s="13"/>
      <c r="H782" s="13"/>
      <c r="I782" s="13"/>
      <c r="J782" s="13"/>
      <c r="K782" s="13"/>
      <c r="L782" s="242"/>
      <c r="M782" s="242"/>
      <c r="N782" s="242"/>
      <c r="O782" s="242"/>
      <c r="P782" s="242"/>
      <c r="Q782" s="242"/>
      <c r="R782" s="242"/>
      <c r="S782" s="242"/>
      <c r="T782" s="242"/>
      <c r="U782" s="242"/>
      <c r="V782" s="242"/>
      <c r="W782" s="242"/>
      <c r="X782" s="242"/>
      <c r="Y782" s="242"/>
      <c r="Z782" s="242"/>
    </row>
    <row r="783">
      <c r="A783" s="340"/>
      <c r="B783" s="242"/>
      <c r="C783" s="242"/>
      <c r="D783" s="242"/>
      <c r="E783" s="13"/>
      <c r="F783" s="13"/>
      <c r="G783" s="13"/>
      <c r="H783" s="13"/>
      <c r="I783" s="13"/>
      <c r="J783" s="13"/>
      <c r="K783" s="13"/>
      <c r="L783" s="242"/>
      <c r="M783" s="242"/>
      <c r="N783" s="242"/>
      <c r="O783" s="242"/>
      <c r="P783" s="242"/>
      <c r="Q783" s="242"/>
      <c r="R783" s="242"/>
      <c r="S783" s="242"/>
      <c r="T783" s="242"/>
      <c r="U783" s="242"/>
      <c r="V783" s="242"/>
      <c r="W783" s="242"/>
      <c r="X783" s="242"/>
      <c r="Y783" s="242"/>
      <c r="Z783" s="242"/>
    </row>
    <row r="784">
      <c r="A784" s="340"/>
      <c r="B784" s="242"/>
      <c r="C784" s="242"/>
      <c r="D784" s="242"/>
      <c r="E784" s="13"/>
      <c r="F784" s="13"/>
      <c r="G784" s="13"/>
      <c r="H784" s="13"/>
      <c r="I784" s="13"/>
      <c r="J784" s="13"/>
      <c r="K784" s="13"/>
      <c r="L784" s="242"/>
      <c r="M784" s="242"/>
      <c r="N784" s="242"/>
      <c r="O784" s="242"/>
      <c r="P784" s="242"/>
      <c r="Q784" s="242"/>
      <c r="R784" s="242"/>
      <c r="S784" s="242"/>
      <c r="T784" s="242"/>
      <c r="U784" s="242"/>
      <c r="V784" s="242"/>
      <c r="W784" s="242"/>
      <c r="X784" s="242"/>
      <c r="Y784" s="242"/>
      <c r="Z784" s="242"/>
    </row>
    <row r="785">
      <c r="A785" s="340"/>
      <c r="B785" s="242"/>
      <c r="C785" s="242"/>
      <c r="D785" s="242"/>
      <c r="E785" s="13"/>
      <c r="F785" s="13"/>
      <c r="G785" s="13"/>
      <c r="H785" s="13"/>
      <c r="I785" s="13"/>
      <c r="J785" s="13"/>
      <c r="K785" s="13"/>
      <c r="L785" s="242"/>
      <c r="M785" s="242"/>
      <c r="N785" s="242"/>
      <c r="O785" s="242"/>
      <c r="P785" s="242"/>
      <c r="Q785" s="242"/>
      <c r="R785" s="242"/>
      <c r="S785" s="242"/>
      <c r="T785" s="242"/>
      <c r="U785" s="242"/>
      <c r="V785" s="242"/>
      <c r="W785" s="242"/>
      <c r="X785" s="242"/>
      <c r="Y785" s="242"/>
      <c r="Z785" s="242"/>
    </row>
    <row r="786">
      <c r="A786" s="340"/>
      <c r="B786" s="242"/>
      <c r="C786" s="242"/>
      <c r="D786" s="242"/>
      <c r="E786" s="13"/>
      <c r="F786" s="13"/>
      <c r="G786" s="13"/>
      <c r="H786" s="13"/>
      <c r="I786" s="13"/>
      <c r="J786" s="13"/>
      <c r="K786" s="13"/>
      <c r="L786" s="242"/>
      <c r="M786" s="242"/>
      <c r="N786" s="242"/>
      <c r="O786" s="242"/>
      <c r="P786" s="242"/>
      <c r="Q786" s="242"/>
      <c r="R786" s="242"/>
      <c r="S786" s="242"/>
      <c r="T786" s="242"/>
      <c r="U786" s="242"/>
      <c r="V786" s="242"/>
      <c r="W786" s="242"/>
      <c r="X786" s="242"/>
      <c r="Y786" s="242"/>
      <c r="Z786" s="242"/>
    </row>
    <row r="787">
      <c r="A787" s="340"/>
      <c r="B787" s="242"/>
      <c r="C787" s="242"/>
      <c r="D787" s="242"/>
      <c r="E787" s="13"/>
      <c r="F787" s="13"/>
      <c r="G787" s="13"/>
      <c r="H787" s="13"/>
      <c r="I787" s="13"/>
      <c r="J787" s="13"/>
      <c r="K787" s="13"/>
      <c r="L787" s="242"/>
      <c r="M787" s="242"/>
      <c r="N787" s="242"/>
      <c r="O787" s="242"/>
      <c r="P787" s="242"/>
      <c r="Q787" s="242"/>
      <c r="R787" s="242"/>
      <c r="S787" s="242"/>
      <c r="T787" s="242"/>
      <c r="U787" s="242"/>
      <c r="V787" s="242"/>
      <c r="W787" s="242"/>
      <c r="X787" s="242"/>
      <c r="Y787" s="242"/>
      <c r="Z787" s="242"/>
    </row>
    <row r="788">
      <c r="A788" s="340"/>
      <c r="B788" s="242"/>
      <c r="C788" s="242"/>
      <c r="D788" s="242"/>
      <c r="E788" s="13"/>
      <c r="F788" s="13"/>
      <c r="G788" s="13"/>
      <c r="H788" s="13"/>
      <c r="I788" s="13"/>
      <c r="J788" s="13"/>
      <c r="K788" s="13"/>
      <c r="L788" s="242"/>
      <c r="M788" s="242"/>
      <c r="N788" s="242"/>
      <c r="O788" s="242"/>
      <c r="P788" s="242"/>
      <c r="Q788" s="242"/>
      <c r="R788" s="242"/>
      <c r="S788" s="242"/>
      <c r="T788" s="242"/>
      <c r="U788" s="242"/>
      <c r="V788" s="242"/>
      <c r="W788" s="242"/>
      <c r="X788" s="242"/>
      <c r="Y788" s="242"/>
      <c r="Z788" s="242"/>
    </row>
    <row r="789">
      <c r="A789" s="340"/>
      <c r="B789" s="242"/>
      <c r="C789" s="242"/>
      <c r="D789" s="242"/>
      <c r="E789" s="13"/>
      <c r="F789" s="13"/>
      <c r="G789" s="13"/>
      <c r="H789" s="13"/>
      <c r="I789" s="13"/>
      <c r="J789" s="13"/>
      <c r="K789" s="13"/>
      <c r="L789" s="242"/>
      <c r="M789" s="242"/>
      <c r="N789" s="242"/>
      <c r="O789" s="242"/>
      <c r="P789" s="242"/>
      <c r="Q789" s="242"/>
      <c r="R789" s="242"/>
      <c r="S789" s="242"/>
      <c r="T789" s="242"/>
      <c r="U789" s="242"/>
      <c r="V789" s="242"/>
      <c r="W789" s="242"/>
      <c r="X789" s="242"/>
      <c r="Y789" s="242"/>
      <c r="Z789" s="242"/>
    </row>
    <row r="790">
      <c r="A790" s="340"/>
      <c r="B790" s="242"/>
      <c r="C790" s="242"/>
      <c r="D790" s="242"/>
      <c r="E790" s="13"/>
      <c r="F790" s="13"/>
      <c r="G790" s="13"/>
      <c r="H790" s="13"/>
      <c r="I790" s="13"/>
      <c r="J790" s="13"/>
      <c r="K790" s="13"/>
      <c r="L790" s="242"/>
      <c r="M790" s="242"/>
      <c r="N790" s="242"/>
      <c r="O790" s="242"/>
      <c r="P790" s="242"/>
      <c r="Q790" s="242"/>
      <c r="R790" s="242"/>
      <c r="S790" s="242"/>
      <c r="T790" s="242"/>
      <c r="U790" s="242"/>
      <c r="V790" s="242"/>
      <c r="W790" s="242"/>
      <c r="X790" s="242"/>
      <c r="Y790" s="242"/>
      <c r="Z790" s="242"/>
    </row>
    <row r="791">
      <c r="A791" s="340"/>
      <c r="B791" s="242"/>
      <c r="C791" s="242"/>
      <c r="D791" s="242"/>
      <c r="E791" s="13"/>
      <c r="F791" s="13"/>
      <c r="G791" s="13"/>
      <c r="H791" s="13"/>
      <c r="I791" s="13"/>
      <c r="J791" s="13"/>
      <c r="K791" s="13"/>
      <c r="L791" s="242"/>
      <c r="M791" s="242"/>
      <c r="N791" s="242"/>
      <c r="O791" s="242"/>
      <c r="P791" s="242"/>
      <c r="Q791" s="242"/>
      <c r="R791" s="242"/>
      <c r="S791" s="242"/>
      <c r="T791" s="242"/>
      <c r="U791" s="242"/>
      <c r="V791" s="242"/>
      <c r="W791" s="242"/>
      <c r="X791" s="242"/>
      <c r="Y791" s="242"/>
      <c r="Z791" s="242"/>
    </row>
    <row r="792">
      <c r="A792" s="340"/>
      <c r="B792" s="242"/>
      <c r="C792" s="242"/>
      <c r="D792" s="242"/>
      <c r="E792" s="13"/>
      <c r="F792" s="13"/>
      <c r="G792" s="13"/>
      <c r="H792" s="13"/>
      <c r="I792" s="13"/>
      <c r="J792" s="13"/>
      <c r="K792" s="13"/>
      <c r="L792" s="242"/>
      <c r="M792" s="242"/>
      <c r="N792" s="242"/>
      <c r="O792" s="242"/>
      <c r="P792" s="242"/>
      <c r="Q792" s="242"/>
      <c r="R792" s="242"/>
      <c r="S792" s="242"/>
      <c r="T792" s="242"/>
      <c r="U792" s="242"/>
      <c r="V792" s="242"/>
      <c r="W792" s="242"/>
      <c r="X792" s="242"/>
      <c r="Y792" s="242"/>
      <c r="Z792" s="242"/>
    </row>
    <row r="793">
      <c r="A793" s="340"/>
      <c r="B793" s="242"/>
      <c r="C793" s="242"/>
      <c r="D793" s="242"/>
      <c r="E793" s="13"/>
      <c r="F793" s="13"/>
      <c r="G793" s="13"/>
      <c r="H793" s="13"/>
      <c r="I793" s="13"/>
      <c r="J793" s="13"/>
      <c r="K793" s="13"/>
      <c r="L793" s="242"/>
      <c r="M793" s="242"/>
      <c r="N793" s="242"/>
      <c r="O793" s="242"/>
      <c r="P793" s="242"/>
      <c r="Q793" s="242"/>
      <c r="R793" s="242"/>
      <c r="S793" s="242"/>
      <c r="T793" s="242"/>
      <c r="U793" s="242"/>
      <c r="V793" s="242"/>
      <c r="W793" s="242"/>
      <c r="X793" s="242"/>
      <c r="Y793" s="242"/>
      <c r="Z793" s="242"/>
    </row>
    <row r="794">
      <c r="A794" s="340"/>
      <c r="B794" s="242"/>
      <c r="C794" s="242"/>
      <c r="D794" s="242"/>
      <c r="E794" s="13"/>
      <c r="F794" s="13"/>
      <c r="G794" s="13"/>
      <c r="H794" s="13"/>
      <c r="I794" s="13"/>
      <c r="J794" s="13"/>
      <c r="K794" s="13"/>
      <c r="L794" s="242"/>
      <c r="M794" s="242"/>
      <c r="N794" s="242"/>
      <c r="O794" s="242"/>
      <c r="P794" s="242"/>
      <c r="Q794" s="242"/>
      <c r="R794" s="242"/>
      <c r="S794" s="242"/>
      <c r="T794" s="242"/>
      <c r="U794" s="242"/>
      <c r="V794" s="242"/>
      <c r="W794" s="242"/>
      <c r="X794" s="242"/>
      <c r="Y794" s="242"/>
      <c r="Z794" s="242"/>
    </row>
    <row r="795">
      <c r="A795" s="340"/>
      <c r="B795" s="242"/>
      <c r="C795" s="242"/>
      <c r="D795" s="242"/>
      <c r="E795" s="13"/>
      <c r="F795" s="13"/>
      <c r="G795" s="13"/>
      <c r="H795" s="13"/>
      <c r="I795" s="13"/>
      <c r="J795" s="13"/>
      <c r="K795" s="13"/>
      <c r="L795" s="242"/>
      <c r="M795" s="242"/>
      <c r="N795" s="242"/>
      <c r="O795" s="242"/>
      <c r="P795" s="242"/>
      <c r="Q795" s="242"/>
      <c r="R795" s="242"/>
      <c r="S795" s="242"/>
      <c r="T795" s="242"/>
      <c r="U795" s="242"/>
      <c r="V795" s="242"/>
      <c r="W795" s="242"/>
      <c r="X795" s="242"/>
      <c r="Y795" s="242"/>
      <c r="Z795" s="242"/>
    </row>
    <row r="796">
      <c r="A796" s="340"/>
      <c r="B796" s="242"/>
      <c r="C796" s="242"/>
      <c r="D796" s="242"/>
      <c r="E796" s="13"/>
      <c r="F796" s="13"/>
      <c r="G796" s="13"/>
      <c r="H796" s="13"/>
      <c r="I796" s="13"/>
      <c r="J796" s="13"/>
      <c r="K796" s="13"/>
      <c r="L796" s="242"/>
      <c r="M796" s="242"/>
      <c r="N796" s="242"/>
      <c r="O796" s="242"/>
      <c r="P796" s="242"/>
      <c r="Q796" s="242"/>
      <c r="R796" s="242"/>
      <c r="S796" s="242"/>
      <c r="T796" s="242"/>
      <c r="U796" s="242"/>
      <c r="V796" s="242"/>
      <c r="W796" s="242"/>
      <c r="X796" s="242"/>
      <c r="Y796" s="242"/>
      <c r="Z796" s="242"/>
    </row>
    <row r="797">
      <c r="A797" s="340"/>
      <c r="B797" s="242"/>
      <c r="C797" s="242"/>
      <c r="D797" s="242"/>
      <c r="E797" s="13"/>
      <c r="F797" s="13"/>
      <c r="G797" s="13"/>
      <c r="H797" s="13"/>
      <c r="I797" s="13"/>
      <c r="J797" s="13"/>
      <c r="K797" s="13"/>
      <c r="L797" s="242"/>
      <c r="M797" s="242"/>
      <c r="N797" s="242"/>
      <c r="O797" s="242"/>
      <c r="P797" s="242"/>
      <c r="Q797" s="242"/>
      <c r="R797" s="242"/>
      <c r="S797" s="242"/>
      <c r="T797" s="242"/>
      <c r="U797" s="242"/>
      <c r="V797" s="242"/>
      <c r="W797" s="242"/>
      <c r="X797" s="242"/>
      <c r="Y797" s="242"/>
      <c r="Z797" s="242"/>
    </row>
    <row r="798">
      <c r="A798" s="340"/>
      <c r="B798" s="242"/>
      <c r="C798" s="242"/>
      <c r="D798" s="242"/>
      <c r="E798" s="13"/>
      <c r="F798" s="13"/>
      <c r="G798" s="13"/>
      <c r="H798" s="13"/>
      <c r="I798" s="13"/>
      <c r="J798" s="13"/>
      <c r="K798" s="13"/>
      <c r="L798" s="242"/>
      <c r="M798" s="242"/>
      <c r="N798" s="242"/>
      <c r="O798" s="242"/>
      <c r="P798" s="242"/>
      <c r="Q798" s="242"/>
      <c r="R798" s="242"/>
      <c r="S798" s="242"/>
      <c r="T798" s="242"/>
      <c r="U798" s="242"/>
      <c r="V798" s="242"/>
      <c r="W798" s="242"/>
      <c r="X798" s="242"/>
      <c r="Y798" s="242"/>
      <c r="Z798" s="242"/>
    </row>
    <row r="799">
      <c r="A799" s="340"/>
      <c r="B799" s="242"/>
      <c r="C799" s="242"/>
      <c r="D799" s="242"/>
      <c r="E799" s="13"/>
      <c r="F799" s="13"/>
      <c r="G799" s="13"/>
      <c r="H799" s="13"/>
      <c r="I799" s="13"/>
      <c r="J799" s="13"/>
      <c r="K799" s="13"/>
      <c r="L799" s="242"/>
      <c r="M799" s="242"/>
      <c r="N799" s="242"/>
      <c r="O799" s="242"/>
      <c r="P799" s="242"/>
      <c r="Q799" s="242"/>
      <c r="R799" s="242"/>
      <c r="S799" s="242"/>
      <c r="T799" s="242"/>
      <c r="U799" s="242"/>
      <c r="V799" s="242"/>
      <c r="W799" s="242"/>
      <c r="X799" s="242"/>
      <c r="Y799" s="242"/>
      <c r="Z799" s="242"/>
    </row>
    <row r="800">
      <c r="A800" s="340"/>
      <c r="B800" s="242"/>
      <c r="C800" s="242"/>
      <c r="D800" s="242"/>
      <c r="E800" s="13"/>
      <c r="F800" s="13"/>
      <c r="G800" s="13"/>
      <c r="H800" s="13"/>
      <c r="I800" s="13"/>
      <c r="J800" s="13"/>
      <c r="K800" s="13"/>
      <c r="L800" s="242"/>
      <c r="M800" s="242"/>
      <c r="N800" s="242"/>
      <c r="O800" s="242"/>
      <c r="P800" s="242"/>
      <c r="Q800" s="242"/>
      <c r="R800" s="242"/>
      <c r="S800" s="242"/>
      <c r="T800" s="242"/>
      <c r="U800" s="242"/>
      <c r="V800" s="242"/>
      <c r="W800" s="242"/>
      <c r="X800" s="242"/>
      <c r="Y800" s="242"/>
      <c r="Z800" s="242"/>
    </row>
    <row r="801">
      <c r="A801" s="340"/>
      <c r="B801" s="242"/>
      <c r="C801" s="242"/>
      <c r="D801" s="242"/>
      <c r="E801" s="13"/>
      <c r="F801" s="13"/>
      <c r="G801" s="13"/>
      <c r="H801" s="13"/>
      <c r="I801" s="13"/>
      <c r="J801" s="13"/>
      <c r="K801" s="13"/>
      <c r="L801" s="242"/>
      <c r="M801" s="242"/>
      <c r="N801" s="242"/>
      <c r="O801" s="242"/>
      <c r="P801" s="242"/>
      <c r="Q801" s="242"/>
      <c r="R801" s="242"/>
      <c r="S801" s="242"/>
      <c r="T801" s="242"/>
      <c r="U801" s="242"/>
      <c r="V801" s="242"/>
      <c r="W801" s="242"/>
      <c r="X801" s="242"/>
      <c r="Y801" s="242"/>
      <c r="Z801" s="242"/>
    </row>
    <row r="802">
      <c r="A802" s="340"/>
      <c r="B802" s="242"/>
      <c r="C802" s="242"/>
      <c r="D802" s="242"/>
      <c r="E802" s="13"/>
      <c r="F802" s="13"/>
      <c r="G802" s="13"/>
      <c r="H802" s="13"/>
      <c r="I802" s="13"/>
      <c r="J802" s="13"/>
      <c r="K802" s="13"/>
      <c r="L802" s="242"/>
      <c r="M802" s="242"/>
      <c r="N802" s="242"/>
      <c r="O802" s="242"/>
      <c r="P802" s="242"/>
      <c r="Q802" s="242"/>
      <c r="R802" s="242"/>
      <c r="S802" s="242"/>
      <c r="T802" s="242"/>
      <c r="U802" s="242"/>
      <c r="V802" s="242"/>
      <c r="W802" s="242"/>
      <c r="X802" s="242"/>
      <c r="Y802" s="242"/>
      <c r="Z802" s="242"/>
    </row>
    <row r="803">
      <c r="A803" s="340"/>
      <c r="B803" s="242"/>
      <c r="C803" s="242"/>
      <c r="D803" s="242"/>
      <c r="E803" s="13"/>
      <c r="F803" s="13"/>
      <c r="G803" s="13"/>
      <c r="H803" s="13"/>
      <c r="I803" s="13"/>
      <c r="J803" s="13"/>
      <c r="K803" s="13"/>
      <c r="L803" s="242"/>
      <c r="M803" s="242"/>
      <c r="N803" s="242"/>
      <c r="O803" s="242"/>
      <c r="P803" s="242"/>
      <c r="Q803" s="242"/>
      <c r="R803" s="242"/>
      <c r="S803" s="242"/>
      <c r="T803" s="242"/>
      <c r="U803" s="242"/>
      <c r="V803" s="242"/>
      <c r="W803" s="242"/>
      <c r="X803" s="242"/>
      <c r="Y803" s="242"/>
      <c r="Z803" s="242"/>
    </row>
    <row r="804">
      <c r="A804" s="340"/>
      <c r="B804" s="242"/>
      <c r="C804" s="242"/>
      <c r="D804" s="242"/>
      <c r="E804" s="13"/>
      <c r="F804" s="13"/>
      <c r="G804" s="13"/>
      <c r="H804" s="13"/>
      <c r="I804" s="13"/>
      <c r="J804" s="13"/>
      <c r="K804" s="13"/>
      <c r="L804" s="242"/>
      <c r="M804" s="242"/>
      <c r="N804" s="242"/>
      <c r="O804" s="242"/>
      <c r="P804" s="242"/>
      <c r="Q804" s="242"/>
      <c r="R804" s="242"/>
      <c r="S804" s="242"/>
      <c r="T804" s="242"/>
      <c r="U804" s="242"/>
      <c r="V804" s="242"/>
      <c r="W804" s="242"/>
      <c r="X804" s="242"/>
      <c r="Y804" s="242"/>
      <c r="Z804" s="242"/>
    </row>
    <row r="805">
      <c r="A805" s="340"/>
      <c r="B805" s="242"/>
      <c r="C805" s="242"/>
      <c r="D805" s="242"/>
      <c r="E805" s="13"/>
      <c r="F805" s="13"/>
      <c r="G805" s="13"/>
      <c r="H805" s="13"/>
      <c r="I805" s="13"/>
      <c r="J805" s="13"/>
      <c r="K805" s="13"/>
      <c r="L805" s="242"/>
      <c r="M805" s="242"/>
      <c r="N805" s="242"/>
      <c r="O805" s="242"/>
      <c r="P805" s="242"/>
      <c r="Q805" s="242"/>
      <c r="R805" s="242"/>
      <c r="S805" s="242"/>
      <c r="T805" s="242"/>
      <c r="U805" s="242"/>
      <c r="V805" s="242"/>
      <c r="W805" s="242"/>
      <c r="X805" s="242"/>
      <c r="Y805" s="242"/>
      <c r="Z805" s="242"/>
    </row>
    <row r="806">
      <c r="A806" s="340"/>
      <c r="B806" s="242"/>
      <c r="C806" s="242"/>
      <c r="D806" s="242"/>
      <c r="E806" s="13"/>
      <c r="F806" s="13"/>
      <c r="G806" s="13"/>
      <c r="H806" s="13"/>
      <c r="I806" s="13"/>
      <c r="J806" s="13"/>
      <c r="K806" s="13"/>
      <c r="L806" s="242"/>
      <c r="M806" s="242"/>
      <c r="N806" s="242"/>
      <c r="O806" s="242"/>
      <c r="P806" s="242"/>
      <c r="Q806" s="242"/>
      <c r="R806" s="242"/>
      <c r="S806" s="242"/>
      <c r="T806" s="242"/>
      <c r="U806" s="242"/>
      <c r="V806" s="242"/>
      <c r="W806" s="242"/>
      <c r="X806" s="242"/>
      <c r="Y806" s="242"/>
      <c r="Z806" s="242"/>
    </row>
    <row r="807">
      <c r="A807" s="340"/>
      <c r="B807" s="242"/>
      <c r="C807" s="242"/>
      <c r="D807" s="242"/>
      <c r="E807" s="13"/>
      <c r="F807" s="13"/>
      <c r="G807" s="13"/>
      <c r="H807" s="13"/>
      <c r="I807" s="13"/>
      <c r="J807" s="13"/>
      <c r="K807" s="13"/>
      <c r="L807" s="242"/>
      <c r="M807" s="242"/>
      <c r="N807" s="242"/>
      <c r="O807" s="242"/>
      <c r="P807" s="242"/>
      <c r="Q807" s="242"/>
      <c r="R807" s="242"/>
      <c r="S807" s="242"/>
      <c r="T807" s="242"/>
      <c r="U807" s="242"/>
      <c r="V807" s="242"/>
      <c r="W807" s="242"/>
      <c r="X807" s="242"/>
      <c r="Y807" s="242"/>
      <c r="Z807" s="242"/>
    </row>
    <row r="808">
      <c r="A808" s="340"/>
      <c r="B808" s="242"/>
      <c r="C808" s="242"/>
      <c r="D808" s="242"/>
      <c r="E808" s="13"/>
      <c r="F808" s="13"/>
      <c r="G808" s="13"/>
      <c r="H808" s="13"/>
      <c r="I808" s="13"/>
      <c r="J808" s="13"/>
      <c r="K808" s="13"/>
      <c r="L808" s="242"/>
      <c r="M808" s="242"/>
      <c r="N808" s="242"/>
      <c r="O808" s="242"/>
      <c r="P808" s="242"/>
      <c r="Q808" s="242"/>
      <c r="R808" s="242"/>
      <c r="S808" s="242"/>
      <c r="T808" s="242"/>
      <c r="U808" s="242"/>
      <c r="V808" s="242"/>
      <c r="W808" s="242"/>
      <c r="X808" s="242"/>
      <c r="Y808" s="242"/>
      <c r="Z808" s="242"/>
    </row>
    <row r="809">
      <c r="A809" s="340"/>
      <c r="B809" s="242"/>
      <c r="C809" s="242"/>
      <c r="D809" s="242"/>
      <c r="E809" s="13"/>
      <c r="F809" s="13"/>
      <c r="G809" s="13"/>
      <c r="H809" s="13"/>
      <c r="I809" s="13"/>
      <c r="J809" s="13"/>
      <c r="K809" s="13"/>
      <c r="L809" s="242"/>
      <c r="M809" s="242"/>
      <c r="N809" s="242"/>
      <c r="O809" s="242"/>
      <c r="P809" s="242"/>
      <c r="Q809" s="242"/>
      <c r="R809" s="242"/>
      <c r="S809" s="242"/>
      <c r="T809" s="242"/>
      <c r="U809" s="242"/>
      <c r="V809" s="242"/>
      <c r="W809" s="242"/>
      <c r="X809" s="242"/>
      <c r="Y809" s="242"/>
      <c r="Z809" s="242"/>
    </row>
    <row r="810">
      <c r="A810" s="340"/>
      <c r="B810" s="242"/>
      <c r="C810" s="242"/>
      <c r="D810" s="242"/>
      <c r="E810" s="13"/>
      <c r="F810" s="13"/>
      <c r="G810" s="13"/>
      <c r="H810" s="13"/>
      <c r="I810" s="13"/>
      <c r="J810" s="13"/>
      <c r="K810" s="13"/>
      <c r="L810" s="242"/>
      <c r="M810" s="242"/>
      <c r="N810" s="242"/>
      <c r="O810" s="242"/>
      <c r="P810" s="242"/>
      <c r="Q810" s="242"/>
      <c r="R810" s="242"/>
      <c r="S810" s="242"/>
      <c r="T810" s="242"/>
      <c r="U810" s="242"/>
      <c r="V810" s="242"/>
      <c r="W810" s="242"/>
      <c r="X810" s="242"/>
      <c r="Y810" s="242"/>
      <c r="Z810" s="242"/>
    </row>
    <row r="811">
      <c r="A811" s="340"/>
      <c r="B811" s="242"/>
      <c r="C811" s="242"/>
      <c r="D811" s="242"/>
      <c r="E811" s="13"/>
      <c r="F811" s="13"/>
      <c r="G811" s="13"/>
      <c r="H811" s="13"/>
      <c r="I811" s="13"/>
      <c r="J811" s="13"/>
      <c r="K811" s="13"/>
      <c r="L811" s="242"/>
      <c r="M811" s="242"/>
      <c r="N811" s="242"/>
      <c r="O811" s="242"/>
      <c r="P811" s="242"/>
      <c r="Q811" s="242"/>
      <c r="R811" s="242"/>
      <c r="S811" s="242"/>
      <c r="T811" s="242"/>
      <c r="U811" s="242"/>
      <c r="V811" s="242"/>
      <c r="W811" s="242"/>
      <c r="X811" s="242"/>
      <c r="Y811" s="242"/>
      <c r="Z811" s="242"/>
    </row>
    <row r="812">
      <c r="A812" s="340"/>
      <c r="B812" s="242"/>
      <c r="C812" s="242"/>
      <c r="D812" s="242"/>
      <c r="E812" s="13"/>
      <c r="F812" s="13"/>
      <c r="G812" s="13"/>
      <c r="H812" s="13"/>
      <c r="I812" s="13"/>
      <c r="J812" s="13"/>
      <c r="K812" s="13"/>
      <c r="L812" s="242"/>
      <c r="M812" s="242"/>
      <c r="N812" s="242"/>
      <c r="O812" s="242"/>
      <c r="P812" s="242"/>
      <c r="Q812" s="242"/>
      <c r="R812" s="242"/>
      <c r="S812" s="242"/>
      <c r="T812" s="242"/>
      <c r="U812" s="242"/>
      <c r="V812" s="242"/>
      <c r="W812" s="242"/>
      <c r="X812" s="242"/>
      <c r="Y812" s="242"/>
      <c r="Z812" s="242"/>
    </row>
    <row r="813">
      <c r="A813" s="340"/>
      <c r="B813" s="242"/>
      <c r="C813" s="242"/>
      <c r="D813" s="242"/>
      <c r="E813" s="13"/>
      <c r="F813" s="13"/>
      <c r="G813" s="13"/>
      <c r="H813" s="13"/>
      <c r="I813" s="13"/>
      <c r="J813" s="13"/>
      <c r="K813" s="13"/>
      <c r="L813" s="242"/>
      <c r="M813" s="242"/>
      <c r="N813" s="242"/>
      <c r="O813" s="242"/>
      <c r="P813" s="242"/>
      <c r="Q813" s="242"/>
      <c r="R813" s="242"/>
      <c r="S813" s="242"/>
      <c r="T813" s="242"/>
      <c r="U813" s="242"/>
      <c r="V813" s="242"/>
      <c r="W813" s="242"/>
      <c r="X813" s="242"/>
      <c r="Y813" s="242"/>
      <c r="Z813" s="242"/>
    </row>
    <row r="814">
      <c r="A814" s="340"/>
      <c r="B814" s="242"/>
      <c r="C814" s="242"/>
      <c r="D814" s="242"/>
      <c r="E814" s="13"/>
      <c r="F814" s="13"/>
      <c r="G814" s="13"/>
      <c r="H814" s="13"/>
      <c r="I814" s="13"/>
      <c r="J814" s="13"/>
      <c r="K814" s="13"/>
      <c r="L814" s="242"/>
      <c r="M814" s="242"/>
      <c r="N814" s="242"/>
      <c r="O814" s="242"/>
      <c r="P814" s="242"/>
      <c r="Q814" s="242"/>
      <c r="R814" s="242"/>
      <c r="S814" s="242"/>
      <c r="T814" s="242"/>
      <c r="U814" s="242"/>
      <c r="V814" s="242"/>
      <c r="W814" s="242"/>
      <c r="X814" s="242"/>
      <c r="Y814" s="242"/>
      <c r="Z814" s="242"/>
    </row>
    <row r="815">
      <c r="A815" s="340"/>
      <c r="B815" s="242"/>
      <c r="C815" s="242"/>
      <c r="D815" s="242"/>
      <c r="E815" s="13"/>
      <c r="F815" s="13"/>
      <c r="G815" s="13"/>
      <c r="H815" s="13"/>
      <c r="I815" s="13"/>
      <c r="J815" s="13"/>
      <c r="K815" s="13"/>
      <c r="L815" s="242"/>
      <c r="M815" s="242"/>
      <c r="N815" s="242"/>
      <c r="O815" s="242"/>
      <c r="P815" s="242"/>
      <c r="Q815" s="242"/>
      <c r="R815" s="242"/>
      <c r="S815" s="242"/>
      <c r="T815" s="242"/>
      <c r="U815" s="242"/>
      <c r="V815" s="242"/>
      <c r="W815" s="242"/>
      <c r="X815" s="242"/>
      <c r="Y815" s="242"/>
      <c r="Z815" s="242"/>
    </row>
    <row r="816">
      <c r="A816" s="340"/>
      <c r="B816" s="242"/>
      <c r="C816" s="242"/>
      <c r="D816" s="242"/>
      <c r="E816" s="13"/>
      <c r="F816" s="13"/>
      <c r="G816" s="13"/>
      <c r="H816" s="13"/>
      <c r="I816" s="13"/>
      <c r="J816" s="13"/>
      <c r="K816" s="13"/>
      <c r="L816" s="242"/>
      <c r="M816" s="242"/>
      <c r="N816" s="242"/>
      <c r="O816" s="242"/>
      <c r="P816" s="242"/>
      <c r="Q816" s="242"/>
      <c r="R816" s="242"/>
      <c r="S816" s="242"/>
      <c r="T816" s="242"/>
      <c r="U816" s="242"/>
      <c r="V816" s="242"/>
      <c r="W816" s="242"/>
      <c r="X816" s="242"/>
      <c r="Y816" s="242"/>
      <c r="Z816" s="242"/>
    </row>
    <row r="817">
      <c r="A817" s="340"/>
      <c r="B817" s="242"/>
      <c r="C817" s="242"/>
      <c r="D817" s="242"/>
      <c r="E817" s="13"/>
      <c r="F817" s="13"/>
      <c r="G817" s="13"/>
      <c r="H817" s="13"/>
      <c r="I817" s="13"/>
      <c r="J817" s="13"/>
      <c r="K817" s="13"/>
      <c r="L817" s="242"/>
      <c r="M817" s="242"/>
      <c r="N817" s="242"/>
      <c r="O817" s="242"/>
      <c r="P817" s="242"/>
      <c r="Q817" s="242"/>
      <c r="R817" s="242"/>
      <c r="S817" s="242"/>
      <c r="T817" s="242"/>
      <c r="U817" s="242"/>
      <c r="V817" s="242"/>
      <c r="W817" s="242"/>
      <c r="X817" s="242"/>
      <c r="Y817" s="242"/>
      <c r="Z817" s="242"/>
    </row>
    <row r="818">
      <c r="A818" s="340"/>
      <c r="B818" s="242"/>
      <c r="C818" s="242"/>
      <c r="D818" s="242"/>
      <c r="E818" s="13"/>
      <c r="F818" s="13"/>
      <c r="G818" s="13"/>
      <c r="H818" s="13"/>
      <c r="I818" s="13"/>
      <c r="J818" s="13"/>
      <c r="K818" s="13"/>
      <c r="L818" s="242"/>
      <c r="M818" s="242"/>
      <c r="N818" s="242"/>
      <c r="O818" s="242"/>
      <c r="P818" s="242"/>
      <c r="Q818" s="242"/>
      <c r="R818" s="242"/>
      <c r="S818" s="242"/>
      <c r="T818" s="242"/>
      <c r="U818" s="242"/>
      <c r="V818" s="242"/>
      <c r="W818" s="242"/>
      <c r="X818" s="242"/>
      <c r="Y818" s="242"/>
      <c r="Z818" s="242"/>
    </row>
    <row r="819">
      <c r="A819" s="340"/>
      <c r="B819" s="242"/>
      <c r="C819" s="242"/>
      <c r="D819" s="242"/>
      <c r="E819" s="13"/>
      <c r="F819" s="13"/>
      <c r="G819" s="13"/>
      <c r="H819" s="13"/>
      <c r="I819" s="13"/>
      <c r="J819" s="13"/>
      <c r="K819" s="13"/>
      <c r="L819" s="242"/>
      <c r="M819" s="242"/>
      <c r="N819" s="242"/>
      <c r="O819" s="242"/>
      <c r="P819" s="242"/>
      <c r="Q819" s="242"/>
      <c r="R819" s="242"/>
      <c r="S819" s="242"/>
      <c r="T819" s="242"/>
      <c r="U819" s="242"/>
      <c r="V819" s="242"/>
      <c r="W819" s="242"/>
      <c r="X819" s="242"/>
      <c r="Y819" s="242"/>
      <c r="Z819" s="242"/>
    </row>
    <row r="820">
      <c r="A820" s="340"/>
      <c r="B820" s="242"/>
      <c r="C820" s="242"/>
      <c r="D820" s="242"/>
      <c r="E820" s="13"/>
      <c r="F820" s="13"/>
      <c r="G820" s="13"/>
      <c r="H820" s="13"/>
      <c r="I820" s="13"/>
      <c r="J820" s="13"/>
      <c r="K820" s="13"/>
      <c r="L820" s="242"/>
      <c r="M820" s="242"/>
      <c r="N820" s="242"/>
      <c r="O820" s="242"/>
      <c r="P820" s="242"/>
      <c r="Q820" s="242"/>
      <c r="R820" s="242"/>
      <c r="S820" s="242"/>
      <c r="T820" s="242"/>
      <c r="U820" s="242"/>
      <c r="V820" s="242"/>
      <c r="W820" s="242"/>
      <c r="X820" s="242"/>
      <c r="Y820" s="242"/>
      <c r="Z820" s="242"/>
    </row>
    <row r="821">
      <c r="A821" s="340"/>
      <c r="B821" s="242"/>
      <c r="C821" s="242"/>
      <c r="D821" s="242"/>
      <c r="E821" s="13"/>
      <c r="F821" s="13"/>
      <c r="G821" s="13"/>
      <c r="H821" s="13"/>
      <c r="I821" s="13"/>
      <c r="J821" s="13"/>
      <c r="K821" s="13"/>
      <c r="L821" s="242"/>
      <c r="M821" s="242"/>
      <c r="N821" s="242"/>
      <c r="O821" s="242"/>
      <c r="P821" s="242"/>
      <c r="Q821" s="242"/>
      <c r="R821" s="242"/>
      <c r="S821" s="242"/>
      <c r="T821" s="242"/>
      <c r="U821" s="242"/>
      <c r="V821" s="242"/>
      <c r="W821" s="242"/>
      <c r="X821" s="242"/>
      <c r="Y821" s="242"/>
      <c r="Z821" s="242"/>
    </row>
    <row r="822">
      <c r="A822" s="340"/>
      <c r="B822" s="242"/>
      <c r="C822" s="242"/>
      <c r="D822" s="242"/>
      <c r="E822" s="13"/>
      <c r="F822" s="13"/>
      <c r="G822" s="13"/>
      <c r="H822" s="13"/>
      <c r="I822" s="13"/>
      <c r="J822" s="13"/>
      <c r="K822" s="13"/>
      <c r="L822" s="242"/>
      <c r="M822" s="242"/>
      <c r="N822" s="242"/>
      <c r="O822" s="242"/>
      <c r="P822" s="242"/>
      <c r="Q822" s="242"/>
      <c r="R822" s="242"/>
      <c r="S822" s="242"/>
      <c r="T822" s="242"/>
      <c r="U822" s="242"/>
      <c r="V822" s="242"/>
      <c r="W822" s="242"/>
      <c r="X822" s="242"/>
      <c r="Y822" s="242"/>
      <c r="Z822" s="242"/>
    </row>
    <row r="823">
      <c r="A823" s="340"/>
      <c r="B823" s="242"/>
      <c r="C823" s="242"/>
      <c r="D823" s="242"/>
      <c r="E823" s="13"/>
      <c r="F823" s="13"/>
      <c r="G823" s="13"/>
      <c r="H823" s="13"/>
      <c r="I823" s="13"/>
      <c r="J823" s="13"/>
      <c r="K823" s="13"/>
      <c r="L823" s="242"/>
      <c r="M823" s="242"/>
      <c r="N823" s="242"/>
      <c r="O823" s="242"/>
      <c r="P823" s="242"/>
      <c r="Q823" s="242"/>
      <c r="R823" s="242"/>
      <c r="S823" s="242"/>
      <c r="T823" s="242"/>
      <c r="U823" s="242"/>
      <c r="V823" s="242"/>
      <c r="W823" s="242"/>
      <c r="X823" s="242"/>
      <c r="Y823" s="242"/>
      <c r="Z823" s="242"/>
    </row>
    <row r="824">
      <c r="A824" s="340"/>
      <c r="B824" s="242"/>
      <c r="C824" s="242"/>
      <c r="D824" s="242"/>
      <c r="E824" s="13"/>
      <c r="F824" s="13"/>
      <c r="G824" s="13"/>
      <c r="H824" s="13"/>
      <c r="I824" s="13"/>
      <c r="J824" s="13"/>
      <c r="K824" s="13"/>
      <c r="L824" s="242"/>
      <c r="M824" s="242"/>
      <c r="N824" s="242"/>
      <c r="O824" s="242"/>
      <c r="P824" s="242"/>
      <c r="Q824" s="242"/>
      <c r="R824" s="242"/>
      <c r="S824" s="242"/>
      <c r="T824" s="242"/>
      <c r="U824" s="242"/>
      <c r="V824" s="242"/>
      <c r="W824" s="242"/>
      <c r="X824" s="242"/>
      <c r="Y824" s="242"/>
      <c r="Z824" s="242"/>
    </row>
    <row r="825">
      <c r="A825" s="340"/>
      <c r="B825" s="242"/>
      <c r="C825" s="242"/>
      <c r="D825" s="242"/>
      <c r="E825" s="13"/>
      <c r="F825" s="13"/>
      <c r="G825" s="13"/>
      <c r="H825" s="13"/>
      <c r="I825" s="13"/>
      <c r="J825" s="13"/>
      <c r="K825" s="13"/>
      <c r="L825" s="242"/>
      <c r="M825" s="242"/>
      <c r="N825" s="242"/>
      <c r="O825" s="242"/>
      <c r="P825" s="242"/>
      <c r="Q825" s="242"/>
      <c r="R825" s="242"/>
      <c r="S825" s="242"/>
      <c r="T825" s="242"/>
      <c r="U825" s="242"/>
      <c r="V825" s="242"/>
      <c r="W825" s="242"/>
      <c r="X825" s="242"/>
      <c r="Y825" s="242"/>
      <c r="Z825" s="242"/>
    </row>
    <row r="826">
      <c r="A826" s="340"/>
      <c r="B826" s="242"/>
      <c r="C826" s="242"/>
      <c r="D826" s="242"/>
      <c r="E826" s="13"/>
      <c r="F826" s="13"/>
      <c r="G826" s="13"/>
      <c r="H826" s="13"/>
      <c r="I826" s="13"/>
      <c r="J826" s="13"/>
      <c r="K826" s="13"/>
      <c r="L826" s="242"/>
      <c r="M826" s="242"/>
      <c r="N826" s="242"/>
      <c r="O826" s="242"/>
      <c r="P826" s="242"/>
      <c r="Q826" s="242"/>
      <c r="R826" s="242"/>
      <c r="S826" s="242"/>
      <c r="T826" s="242"/>
      <c r="U826" s="242"/>
      <c r="V826" s="242"/>
      <c r="W826" s="242"/>
      <c r="X826" s="242"/>
      <c r="Y826" s="242"/>
      <c r="Z826" s="242"/>
    </row>
    <row r="827">
      <c r="A827" s="340"/>
      <c r="B827" s="242"/>
      <c r="C827" s="242"/>
      <c r="D827" s="242"/>
      <c r="E827" s="13"/>
      <c r="F827" s="13"/>
      <c r="G827" s="13"/>
      <c r="H827" s="13"/>
      <c r="I827" s="13"/>
      <c r="J827" s="13"/>
      <c r="K827" s="13"/>
      <c r="L827" s="242"/>
      <c r="M827" s="242"/>
      <c r="N827" s="242"/>
      <c r="O827" s="242"/>
      <c r="P827" s="242"/>
      <c r="Q827" s="242"/>
      <c r="R827" s="242"/>
      <c r="S827" s="242"/>
      <c r="T827" s="242"/>
      <c r="U827" s="242"/>
      <c r="V827" s="242"/>
      <c r="W827" s="242"/>
      <c r="X827" s="242"/>
      <c r="Y827" s="242"/>
      <c r="Z827" s="242"/>
    </row>
    <row r="828">
      <c r="A828" s="340"/>
      <c r="B828" s="242"/>
      <c r="C828" s="242"/>
      <c r="D828" s="242"/>
      <c r="E828" s="13"/>
      <c r="F828" s="13"/>
      <c r="G828" s="13"/>
      <c r="H828" s="13"/>
      <c r="I828" s="13"/>
      <c r="J828" s="13"/>
      <c r="K828" s="13"/>
      <c r="L828" s="242"/>
      <c r="M828" s="242"/>
      <c r="N828" s="242"/>
      <c r="O828" s="242"/>
      <c r="P828" s="242"/>
      <c r="Q828" s="242"/>
      <c r="R828" s="242"/>
      <c r="S828" s="242"/>
      <c r="T828" s="242"/>
      <c r="U828" s="242"/>
      <c r="V828" s="242"/>
      <c r="W828" s="242"/>
      <c r="X828" s="242"/>
      <c r="Y828" s="242"/>
      <c r="Z828" s="242"/>
    </row>
    <row r="829">
      <c r="A829" s="340"/>
      <c r="B829" s="242"/>
      <c r="C829" s="242"/>
      <c r="D829" s="242"/>
      <c r="E829" s="13"/>
      <c r="F829" s="13"/>
      <c r="G829" s="13"/>
      <c r="H829" s="13"/>
      <c r="I829" s="13"/>
      <c r="J829" s="13"/>
      <c r="K829" s="13"/>
      <c r="L829" s="242"/>
      <c r="M829" s="242"/>
      <c r="N829" s="242"/>
      <c r="O829" s="242"/>
      <c r="P829" s="242"/>
      <c r="Q829" s="242"/>
      <c r="R829" s="242"/>
      <c r="S829" s="242"/>
      <c r="T829" s="242"/>
      <c r="U829" s="242"/>
      <c r="V829" s="242"/>
      <c r="W829" s="242"/>
      <c r="X829" s="242"/>
      <c r="Y829" s="242"/>
      <c r="Z829" s="242"/>
    </row>
    <row r="830">
      <c r="A830" s="340"/>
      <c r="B830" s="242"/>
      <c r="C830" s="242"/>
      <c r="D830" s="242"/>
      <c r="E830" s="13"/>
      <c r="F830" s="13"/>
      <c r="G830" s="13"/>
      <c r="H830" s="13"/>
      <c r="I830" s="13"/>
      <c r="J830" s="13"/>
      <c r="K830" s="13"/>
      <c r="L830" s="242"/>
      <c r="M830" s="242"/>
      <c r="N830" s="242"/>
      <c r="O830" s="242"/>
      <c r="P830" s="242"/>
      <c r="Q830" s="242"/>
      <c r="R830" s="242"/>
      <c r="S830" s="242"/>
      <c r="T830" s="242"/>
      <c r="U830" s="242"/>
      <c r="V830" s="242"/>
      <c r="W830" s="242"/>
      <c r="X830" s="242"/>
      <c r="Y830" s="242"/>
      <c r="Z830" s="242"/>
    </row>
    <row r="831">
      <c r="A831" s="340"/>
      <c r="B831" s="242"/>
      <c r="C831" s="242"/>
      <c r="D831" s="242"/>
      <c r="E831" s="13"/>
      <c r="F831" s="13"/>
      <c r="G831" s="13"/>
      <c r="H831" s="13"/>
      <c r="I831" s="13"/>
      <c r="J831" s="13"/>
      <c r="K831" s="13"/>
      <c r="L831" s="242"/>
      <c r="M831" s="242"/>
      <c r="N831" s="242"/>
      <c r="O831" s="242"/>
      <c r="P831" s="242"/>
      <c r="Q831" s="242"/>
      <c r="R831" s="242"/>
      <c r="S831" s="242"/>
      <c r="T831" s="242"/>
      <c r="U831" s="242"/>
      <c r="V831" s="242"/>
      <c r="W831" s="242"/>
      <c r="X831" s="242"/>
      <c r="Y831" s="242"/>
      <c r="Z831" s="242"/>
    </row>
    <row r="832">
      <c r="A832" s="340"/>
      <c r="B832" s="242"/>
      <c r="C832" s="242"/>
      <c r="D832" s="242"/>
      <c r="E832" s="13"/>
      <c r="F832" s="13"/>
      <c r="G832" s="13"/>
      <c r="H832" s="13"/>
      <c r="I832" s="13"/>
      <c r="J832" s="13"/>
      <c r="K832" s="13"/>
      <c r="L832" s="242"/>
      <c r="M832" s="242"/>
      <c r="N832" s="242"/>
      <c r="O832" s="242"/>
      <c r="P832" s="242"/>
      <c r="Q832" s="242"/>
      <c r="R832" s="242"/>
      <c r="S832" s="242"/>
      <c r="T832" s="242"/>
      <c r="U832" s="242"/>
      <c r="V832" s="242"/>
      <c r="W832" s="242"/>
      <c r="X832" s="242"/>
      <c r="Y832" s="242"/>
      <c r="Z832" s="242"/>
    </row>
    <row r="833">
      <c r="A833" s="340"/>
      <c r="B833" s="242"/>
      <c r="C833" s="242"/>
      <c r="D833" s="242"/>
      <c r="E833" s="13"/>
      <c r="F833" s="13"/>
      <c r="G833" s="13"/>
      <c r="H833" s="13"/>
      <c r="I833" s="13"/>
      <c r="J833" s="13"/>
      <c r="K833" s="13"/>
      <c r="L833" s="242"/>
      <c r="M833" s="242"/>
      <c r="N833" s="242"/>
      <c r="O833" s="242"/>
      <c r="P833" s="242"/>
      <c r="Q833" s="242"/>
      <c r="R833" s="242"/>
      <c r="S833" s="242"/>
      <c r="T833" s="242"/>
      <c r="U833" s="242"/>
      <c r="V833" s="242"/>
      <c r="W833" s="242"/>
      <c r="X833" s="242"/>
      <c r="Y833" s="242"/>
      <c r="Z833" s="242"/>
    </row>
    <row r="834">
      <c r="A834" s="340"/>
      <c r="B834" s="242"/>
      <c r="C834" s="242"/>
      <c r="D834" s="242"/>
      <c r="E834" s="13"/>
      <c r="F834" s="13"/>
      <c r="G834" s="13"/>
      <c r="H834" s="13"/>
      <c r="I834" s="13"/>
      <c r="J834" s="13"/>
      <c r="K834" s="13"/>
      <c r="L834" s="242"/>
      <c r="M834" s="242"/>
      <c r="N834" s="242"/>
      <c r="O834" s="242"/>
      <c r="P834" s="242"/>
      <c r="Q834" s="242"/>
      <c r="R834" s="242"/>
      <c r="S834" s="242"/>
      <c r="T834" s="242"/>
      <c r="U834" s="242"/>
      <c r="V834" s="242"/>
      <c r="W834" s="242"/>
      <c r="X834" s="242"/>
      <c r="Y834" s="242"/>
      <c r="Z834" s="242"/>
    </row>
    <row r="835">
      <c r="A835" s="340"/>
      <c r="B835" s="242"/>
      <c r="C835" s="242"/>
      <c r="D835" s="242"/>
      <c r="E835" s="13"/>
      <c r="F835" s="13"/>
      <c r="G835" s="13"/>
      <c r="H835" s="13"/>
      <c r="I835" s="13"/>
      <c r="J835" s="13"/>
      <c r="K835" s="13"/>
      <c r="L835" s="242"/>
      <c r="M835" s="242"/>
      <c r="N835" s="242"/>
      <c r="O835" s="242"/>
      <c r="P835" s="242"/>
      <c r="Q835" s="242"/>
      <c r="R835" s="242"/>
      <c r="S835" s="242"/>
      <c r="T835" s="242"/>
      <c r="U835" s="242"/>
      <c r="V835" s="242"/>
      <c r="W835" s="242"/>
      <c r="X835" s="242"/>
      <c r="Y835" s="242"/>
      <c r="Z835" s="242"/>
    </row>
    <row r="836">
      <c r="A836" s="340"/>
      <c r="B836" s="242"/>
      <c r="C836" s="242"/>
      <c r="D836" s="242"/>
      <c r="E836" s="13"/>
      <c r="F836" s="13"/>
      <c r="G836" s="13"/>
      <c r="H836" s="13"/>
      <c r="I836" s="13"/>
      <c r="J836" s="13"/>
      <c r="K836" s="13"/>
      <c r="L836" s="242"/>
      <c r="M836" s="242"/>
      <c r="N836" s="242"/>
      <c r="O836" s="242"/>
      <c r="P836" s="242"/>
      <c r="Q836" s="242"/>
      <c r="R836" s="242"/>
      <c r="S836" s="242"/>
      <c r="T836" s="242"/>
      <c r="U836" s="242"/>
      <c r="V836" s="242"/>
      <c r="W836" s="242"/>
      <c r="X836" s="242"/>
      <c r="Y836" s="242"/>
      <c r="Z836" s="242"/>
    </row>
    <row r="837">
      <c r="A837" s="340"/>
      <c r="B837" s="242"/>
      <c r="C837" s="242"/>
      <c r="D837" s="242"/>
      <c r="E837" s="13"/>
      <c r="F837" s="13"/>
      <c r="G837" s="13"/>
      <c r="H837" s="13"/>
      <c r="I837" s="13"/>
      <c r="J837" s="13"/>
      <c r="K837" s="13"/>
      <c r="L837" s="242"/>
      <c r="M837" s="242"/>
      <c r="N837" s="242"/>
      <c r="O837" s="242"/>
      <c r="P837" s="242"/>
      <c r="Q837" s="242"/>
      <c r="R837" s="242"/>
      <c r="S837" s="242"/>
      <c r="T837" s="242"/>
      <c r="U837" s="242"/>
      <c r="V837" s="242"/>
      <c r="W837" s="242"/>
      <c r="X837" s="242"/>
      <c r="Y837" s="242"/>
      <c r="Z837" s="242"/>
    </row>
    <row r="838">
      <c r="A838" s="340"/>
      <c r="B838" s="242"/>
      <c r="C838" s="242"/>
      <c r="D838" s="242"/>
      <c r="E838" s="13"/>
      <c r="F838" s="13"/>
      <c r="G838" s="13"/>
      <c r="H838" s="13"/>
      <c r="I838" s="13"/>
      <c r="J838" s="13"/>
      <c r="K838" s="13"/>
      <c r="L838" s="242"/>
      <c r="M838" s="242"/>
      <c r="N838" s="242"/>
      <c r="O838" s="242"/>
      <c r="P838" s="242"/>
      <c r="Q838" s="242"/>
      <c r="R838" s="242"/>
      <c r="S838" s="242"/>
      <c r="T838" s="242"/>
      <c r="U838" s="242"/>
      <c r="V838" s="242"/>
      <c r="W838" s="242"/>
      <c r="X838" s="242"/>
      <c r="Y838" s="242"/>
      <c r="Z838" s="242"/>
    </row>
    <row r="839">
      <c r="A839" s="340"/>
      <c r="B839" s="242"/>
      <c r="C839" s="242"/>
      <c r="D839" s="242"/>
      <c r="E839" s="13"/>
      <c r="F839" s="13"/>
      <c r="G839" s="13"/>
      <c r="H839" s="13"/>
      <c r="I839" s="13"/>
      <c r="J839" s="13"/>
      <c r="K839" s="13"/>
      <c r="L839" s="242"/>
      <c r="M839" s="242"/>
      <c r="N839" s="242"/>
      <c r="O839" s="242"/>
      <c r="P839" s="242"/>
      <c r="Q839" s="242"/>
      <c r="R839" s="242"/>
      <c r="S839" s="242"/>
      <c r="T839" s="242"/>
      <c r="U839" s="242"/>
      <c r="V839" s="242"/>
      <c r="W839" s="242"/>
      <c r="X839" s="242"/>
      <c r="Y839" s="242"/>
      <c r="Z839" s="242"/>
    </row>
    <row r="840">
      <c r="A840" s="340"/>
      <c r="B840" s="242"/>
      <c r="C840" s="242"/>
      <c r="D840" s="242"/>
      <c r="E840" s="13"/>
      <c r="F840" s="13"/>
      <c r="G840" s="13"/>
      <c r="H840" s="13"/>
      <c r="I840" s="13"/>
      <c r="J840" s="13"/>
      <c r="K840" s="13"/>
      <c r="L840" s="242"/>
      <c r="M840" s="242"/>
      <c r="N840" s="242"/>
      <c r="O840" s="242"/>
      <c r="P840" s="242"/>
      <c r="Q840" s="242"/>
      <c r="R840" s="242"/>
      <c r="S840" s="242"/>
      <c r="T840" s="242"/>
      <c r="U840" s="242"/>
      <c r="V840" s="242"/>
      <c r="W840" s="242"/>
      <c r="X840" s="242"/>
      <c r="Y840" s="242"/>
      <c r="Z840" s="242"/>
    </row>
    <row r="841">
      <c r="A841" s="340"/>
      <c r="B841" s="242"/>
      <c r="C841" s="242"/>
      <c r="D841" s="242"/>
      <c r="E841" s="13"/>
      <c r="F841" s="13"/>
      <c r="G841" s="13"/>
      <c r="H841" s="13"/>
      <c r="I841" s="13"/>
      <c r="J841" s="13"/>
      <c r="K841" s="13"/>
      <c r="L841" s="242"/>
      <c r="M841" s="242"/>
      <c r="N841" s="242"/>
      <c r="O841" s="242"/>
      <c r="P841" s="242"/>
      <c r="Q841" s="242"/>
      <c r="R841" s="242"/>
      <c r="S841" s="242"/>
      <c r="T841" s="242"/>
      <c r="U841" s="242"/>
      <c r="V841" s="242"/>
      <c r="W841" s="242"/>
      <c r="X841" s="242"/>
      <c r="Y841" s="242"/>
      <c r="Z841" s="242"/>
    </row>
    <row r="842">
      <c r="A842" s="340"/>
      <c r="B842" s="242"/>
      <c r="C842" s="242"/>
      <c r="D842" s="242"/>
      <c r="E842" s="13"/>
      <c r="F842" s="13"/>
      <c r="G842" s="13"/>
      <c r="H842" s="13"/>
      <c r="I842" s="13"/>
      <c r="J842" s="13"/>
      <c r="K842" s="13"/>
      <c r="L842" s="242"/>
      <c r="M842" s="242"/>
      <c r="N842" s="242"/>
      <c r="O842" s="242"/>
      <c r="P842" s="242"/>
      <c r="Q842" s="242"/>
      <c r="R842" s="242"/>
      <c r="S842" s="242"/>
      <c r="T842" s="242"/>
      <c r="U842" s="242"/>
      <c r="V842" s="242"/>
      <c r="W842" s="242"/>
      <c r="X842" s="242"/>
      <c r="Y842" s="242"/>
      <c r="Z842" s="242"/>
    </row>
    <row r="843">
      <c r="A843" s="340"/>
      <c r="B843" s="242"/>
      <c r="C843" s="242"/>
      <c r="D843" s="242"/>
      <c r="E843" s="13"/>
      <c r="F843" s="13"/>
      <c r="G843" s="13"/>
      <c r="H843" s="13"/>
      <c r="I843" s="13"/>
      <c r="J843" s="13"/>
      <c r="K843" s="13"/>
      <c r="L843" s="242"/>
      <c r="M843" s="242"/>
      <c r="N843" s="242"/>
      <c r="O843" s="242"/>
      <c r="P843" s="242"/>
      <c r="Q843" s="242"/>
      <c r="R843" s="242"/>
      <c r="S843" s="242"/>
      <c r="T843" s="242"/>
      <c r="U843" s="242"/>
      <c r="V843" s="242"/>
      <c r="W843" s="242"/>
      <c r="X843" s="242"/>
      <c r="Y843" s="242"/>
      <c r="Z843" s="242"/>
    </row>
    <row r="844">
      <c r="A844" s="340"/>
      <c r="B844" s="242"/>
      <c r="C844" s="242"/>
      <c r="D844" s="242"/>
      <c r="E844" s="13"/>
      <c r="F844" s="13"/>
      <c r="G844" s="13"/>
      <c r="H844" s="13"/>
      <c r="I844" s="13"/>
      <c r="J844" s="13"/>
      <c r="K844" s="13"/>
      <c r="L844" s="242"/>
      <c r="M844" s="242"/>
      <c r="N844" s="242"/>
      <c r="O844" s="242"/>
      <c r="P844" s="242"/>
      <c r="Q844" s="242"/>
      <c r="R844" s="242"/>
      <c r="S844" s="242"/>
      <c r="T844" s="242"/>
      <c r="U844" s="242"/>
      <c r="V844" s="242"/>
      <c r="W844" s="242"/>
      <c r="X844" s="242"/>
      <c r="Y844" s="242"/>
      <c r="Z844" s="242"/>
    </row>
    <row r="845">
      <c r="A845" s="340"/>
      <c r="B845" s="242"/>
      <c r="C845" s="242"/>
      <c r="D845" s="242"/>
      <c r="E845" s="13"/>
      <c r="F845" s="13"/>
      <c r="G845" s="13"/>
      <c r="H845" s="13"/>
      <c r="I845" s="13"/>
      <c r="J845" s="13"/>
      <c r="K845" s="13"/>
      <c r="L845" s="242"/>
      <c r="M845" s="242"/>
      <c r="N845" s="242"/>
      <c r="O845" s="242"/>
      <c r="P845" s="242"/>
      <c r="Q845" s="242"/>
      <c r="R845" s="242"/>
      <c r="S845" s="242"/>
      <c r="T845" s="242"/>
      <c r="U845" s="242"/>
      <c r="V845" s="242"/>
      <c r="W845" s="242"/>
      <c r="X845" s="242"/>
      <c r="Y845" s="242"/>
      <c r="Z845" s="242"/>
    </row>
    <row r="846">
      <c r="A846" s="340"/>
      <c r="B846" s="242"/>
      <c r="C846" s="242"/>
      <c r="D846" s="242"/>
      <c r="E846" s="13"/>
      <c r="F846" s="13"/>
      <c r="G846" s="13"/>
      <c r="H846" s="13"/>
      <c r="I846" s="13"/>
      <c r="J846" s="13"/>
      <c r="K846" s="13"/>
      <c r="L846" s="242"/>
      <c r="M846" s="242"/>
      <c r="N846" s="242"/>
      <c r="O846" s="242"/>
      <c r="P846" s="242"/>
      <c r="Q846" s="242"/>
      <c r="R846" s="242"/>
      <c r="S846" s="242"/>
      <c r="T846" s="242"/>
      <c r="U846" s="242"/>
      <c r="V846" s="242"/>
      <c r="W846" s="242"/>
      <c r="X846" s="242"/>
      <c r="Y846" s="242"/>
      <c r="Z846" s="242"/>
    </row>
    <row r="847">
      <c r="A847" s="340"/>
      <c r="B847" s="242"/>
      <c r="C847" s="242"/>
      <c r="D847" s="242"/>
      <c r="E847" s="13"/>
      <c r="F847" s="13"/>
      <c r="G847" s="13"/>
      <c r="H847" s="13"/>
      <c r="I847" s="13"/>
      <c r="J847" s="13"/>
      <c r="K847" s="13"/>
      <c r="L847" s="242"/>
      <c r="M847" s="242"/>
      <c r="N847" s="242"/>
      <c r="O847" s="242"/>
      <c r="P847" s="242"/>
      <c r="Q847" s="242"/>
      <c r="R847" s="242"/>
      <c r="S847" s="242"/>
      <c r="T847" s="242"/>
      <c r="U847" s="242"/>
      <c r="V847" s="242"/>
      <c r="W847" s="242"/>
      <c r="X847" s="242"/>
      <c r="Y847" s="242"/>
      <c r="Z847" s="242"/>
    </row>
    <row r="848">
      <c r="A848" s="340"/>
      <c r="B848" s="242"/>
      <c r="C848" s="242"/>
      <c r="D848" s="242"/>
      <c r="E848" s="13"/>
      <c r="F848" s="13"/>
      <c r="G848" s="13"/>
      <c r="H848" s="13"/>
      <c r="I848" s="13"/>
      <c r="J848" s="13"/>
      <c r="K848" s="13"/>
      <c r="L848" s="242"/>
      <c r="M848" s="242"/>
      <c r="N848" s="242"/>
      <c r="O848" s="242"/>
      <c r="P848" s="242"/>
      <c r="Q848" s="242"/>
      <c r="R848" s="242"/>
      <c r="S848" s="242"/>
      <c r="T848" s="242"/>
      <c r="U848" s="242"/>
      <c r="V848" s="242"/>
      <c r="W848" s="242"/>
      <c r="X848" s="242"/>
      <c r="Y848" s="242"/>
      <c r="Z848" s="242"/>
    </row>
    <row r="849">
      <c r="A849" s="340"/>
      <c r="B849" s="242"/>
      <c r="C849" s="242"/>
      <c r="D849" s="242"/>
      <c r="E849" s="13"/>
      <c r="F849" s="13"/>
      <c r="G849" s="13"/>
      <c r="H849" s="13"/>
      <c r="I849" s="13"/>
      <c r="J849" s="13"/>
      <c r="K849" s="13"/>
      <c r="L849" s="242"/>
      <c r="M849" s="242"/>
      <c r="N849" s="242"/>
      <c r="O849" s="242"/>
      <c r="P849" s="242"/>
      <c r="Q849" s="242"/>
      <c r="R849" s="242"/>
      <c r="S849" s="242"/>
      <c r="T849" s="242"/>
      <c r="U849" s="242"/>
      <c r="V849" s="242"/>
      <c r="W849" s="242"/>
      <c r="X849" s="242"/>
      <c r="Y849" s="242"/>
      <c r="Z849" s="242"/>
    </row>
    <row r="850">
      <c r="A850" s="340"/>
      <c r="B850" s="242"/>
      <c r="C850" s="242"/>
      <c r="D850" s="242"/>
      <c r="E850" s="13"/>
      <c r="F850" s="13"/>
      <c r="G850" s="13"/>
      <c r="H850" s="13"/>
      <c r="I850" s="13"/>
      <c r="J850" s="13"/>
      <c r="K850" s="13"/>
      <c r="L850" s="242"/>
      <c r="M850" s="242"/>
      <c r="N850" s="242"/>
      <c r="O850" s="242"/>
      <c r="P850" s="242"/>
      <c r="Q850" s="242"/>
      <c r="R850" s="242"/>
      <c r="S850" s="242"/>
      <c r="T850" s="242"/>
      <c r="U850" s="242"/>
      <c r="V850" s="242"/>
      <c r="W850" s="242"/>
      <c r="X850" s="242"/>
      <c r="Y850" s="242"/>
      <c r="Z850" s="242"/>
    </row>
    <row r="851">
      <c r="A851" s="340"/>
      <c r="B851" s="242"/>
      <c r="C851" s="242"/>
      <c r="D851" s="242"/>
      <c r="E851" s="13"/>
      <c r="F851" s="13"/>
      <c r="G851" s="13"/>
      <c r="H851" s="13"/>
      <c r="I851" s="13"/>
      <c r="J851" s="13"/>
      <c r="K851" s="13"/>
      <c r="L851" s="242"/>
      <c r="M851" s="242"/>
      <c r="N851" s="242"/>
      <c r="O851" s="242"/>
      <c r="P851" s="242"/>
      <c r="Q851" s="242"/>
      <c r="R851" s="242"/>
      <c r="S851" s="242"/>
      <c r="T851" s="242"/>
      <c r="U851" s="242"/>
      <c r="V851" s="242"/>
      <c r="W851" s="242"/>
      <c r="X851" s="242"/>
      <c r="Y851" s="242"/>
      <c r="Z851" s="242"/>
    </row>
    <row r="852">
      <c r="A852" s="340"/>
      <c r="B852" s="242"/>
      <c r="C852" s="242"/>
      <c r="D852" s="242"/>
      <c r="E852" s="13"/>
      <c r="F852" s="13"/>
      <c r="G852" s="13"/>
      <c r="H852" s="13"/>
      <c r="I852" s="13"/>
      <c r="J852" s="13"/>
      <c r="K852" s="13"/>
      <c r="L852" s="242"/>
      <c r="M852" s="242"/>
      <c r="N852" s="242"/>
      <c r="O852" s="242"/>
      <c r="P852" s="242"/>
      <c r="Q852" s="242"/>
      <c r="R852" s="242"/>
      <c r="S852" s="242"/>
      <c r="T852" s="242"/>
      <c r="U852" s="242"/>
      <c r="V852" s="242"/>
      <c r="W852" s="242"/>
      <c r="X852" s="242"/>
      <c r="Y852" s="242"/>
      <c r="Z852" s="242"/>
    </row>
    <row r="853">
      <c r="A853" s="340"/>
      <c r="B853" s="242"/>
      <c r="C853" s="242"/>
      <c r="D853" s="242"/>
      <c r="E853" s="13"/>
      <c r="F853" s="13"/>
      <c r="G853" s="13"/>
      <c r="H853" s="13"/>
      <c r="I853" s="13"/>
      <c r="J853" s="13"/>
      <c r="K853" s="13"/>
      <c r="L853" s="242"/>
      <c r="M853" s="242"/>
      <c r="N853" s="242"/>
      <c r="O853" s="242"/>
      <c r="P853" s="242"/>
      <c r="Q853" s="242"/>
      <c r="R853" s="242"/>
      <c r="S853" s="242"/>
      <c r="T853" s="242"/>
      <c r="U853" s="242"/>
      <c r="V853" s="242"/>
      <c r="W853" s="242"/>
      <c r="X853" s="242"/>
      <c r="Y853" s="242"/>
      <c r="Z853" s="242"/>
    </row>
    <row r="854">
      <c r="A854" s="340"/>
      <c r="B854" s="242"/>
      <c r="C854" s="242"/>
      <c r="D854" s="242"/>
      <c r="E854" s="13"/>
      <c r="F854" s="13"/>
      <c r="G854" s="13"/>
      <c r="H854" s="13"/>
      <c r="I854" s="13"/>
      <c r="J854" s="13"/>
      <c r="K854" s="13"/>
      <c r="L854" s="242"/>
      <c r="M854" s="242"/>
      <c r="N854" s="242"/>
      <c r="O854" s="242"/>
      <c r="P854" s="242"/>
      <c r="Q854" s="242"/>
      <c r="R854" s="242"/>
      <c r="S854" s="242"/>
      <c r="T854" s="242"/>
      <c r="U854" s="242"/>
      <c r="V854" s="242"/>
      <c r="W854" s="242"/>
      <c r="X854" s="242"/>
      <c r="Y854" s="242"/>
      <c r="Z854" s="242"/>
    </row>
    <row r="855">
      <c r="A855" s="340"/>
      <c r="B855" s="242"/>
      <c r="C855" s="242"/>
      <c r="D855" s="242"/>
      <c r="E855" s="13"/>
      <c r="F855" s="13"/>
      <c r="G855" s="13"/>
      <c r="H855" s="13"/>
      <c r="I855" s="13"/>
      <c r="J855" s="13"/>
      <c r="K855" s="13"/>
      <c r="L855" s="242"/>
      <c r="M855" s="242"/>
      <c r="N855" s="242"/>
      <c r="O855" s="242"/>
      <c r="P855" s="242"/>
      <c r="Q855" s="242"/>
      <c r="R855" s="242"/>
      <c r="S855" s="242"/>
      <c r="T855" s="242"/>
      <c r="U855" s="242"/>
      <c r="V855" s="242"/>
      <c r="W855" s="242"/>
      <c r="X855" s="242"/>
      <c r="Y855" s="242"/>
      <c r="Z855" s="242"/>
    </row>
    <row r="856">
      <c r="A856" s="340"/>
      <c r="B856" s="242"/>
      <c r="C856" s="242"/>
      <c r="D856" s="242"/>
      <c r="E856" s="13"/>
      <c r="F856" s="13"/>
      <c r="G856" s="13"/>
      <c r="H856" s="13"/>
      <c r="I856" s="13"/>
      <c r="J856" s="13"/>
      <c r="K856" s="13"/>
      <c r="L856" s="242"/>
      <c r="M856" s="242"/>
      <c r="N856" s="242"/>
      <c r="O856" s="242"/>
      <c r="P856" s="242"/>
      <c r="Q856" s="242"/>
      <c r="R856" s="242"/>
      <c r="S856" s="242"/>
      <c r="T856" s="242"/>
      <c r="U856" s="242"/>
      <c r="V856" s="242"/>
      <c r="W856" s="242"/>
      <c r="X856" s="242"/>
      <c r="Y856" s="242"/>
      <c r="Z856" s="242"/>
    </row>
    <row r="857">
      <c r="A857" s="340"/>
      <c r="B857" s="242"/>
      <c r="C857" s="242"/>
      <c r="D857" s="242"/>
      <c r="E857" s="13"/>
      <c r="F857" s="13"/>
      <c r="G857" s="13"/>
      <c r="H857" s="13"/>
      <c r="I857" s="13"/>
      <c r="J857" s="13"/>
      <c r="K857" s="13"/>
      <c r="L857" s="242"/>
      <c r="M857" s="242"/>
      <c r="N857" s="242"/>
      <c r="O857" s="242"/>
      <c r="P857" s="242"/>
      <c r="Q857" s="242"/>
      <c r="R857" s="242"/>
      <c r="S857" s="242"/>
      <c r="T857" s="242"/>
      <c r="U857" s="242"/>
      <c r="V857" s="242"/>
      <c r="W857" s="242"/>
      <c r="X857" s="242"/>
      <c r="Y857" s="242"/>
      <c r="Z857" s="242"/>
    </row>
    <row r="858">
      <c r="A858" s="340"/>
      <c r="B858" s="242"/>
      <c r="C858" s="242"/>
      <c r="D858" s="242"/>
      <c r="E858" s="13"/>
      <c r="F858" s="13"/>
      <c r="G858" s="13"/>
      <c r="H858" s="13"/>
      <c r="I858" s="13"/>
      <c r="J858" s="13"/>
      <c r="K858" s="13"/>
      <c r="L858" s="242"/>
      <c r="M858" s="242"/>
      <c r="N858" s="242"/>
      <c r="O858" s="242"/>
      <c r="P858" s="242"/>
      <c r="Q858" s="242"/>
      <c r="R858" s="242"/>
      <c r="S858" s="242"/>
      <c r="T858" s="242"/>
      <c r="U858" s="242"/>
      <c r="V858" s="242"/>
      <c r="W858" s="242"/>
      <c r="X858" s="242"/>
      <c r="Y858" s="242"/>
      <c r="Z858" s="242"/>
    </row>
    <row r="859">
      <c r="A859" s="340"/>
      <c r="B859" s="242"/>
      <c r="C859" s="242"/>
      <c r="D859" s="242"/>
      <c r="E859" s="13"/>
      <c r="F859" s="13"/>
      <c r="G859" s="13"/>
      <c r="H859" s="13"/>
      <c r="I859" s="13"/>
      <c r="J859" s="13"/>
      <c r="K859" s="13"/>
      <c r="L859" s="242"/>
      <c r="M859" s="242"/>
      <c r="N859" s="242"/>
      <c r="O859" s="242"/>
      <c r="P859" s="242"/>
      <c r="Q859" s="242"/>
      <c r="R859" s="242"/>
      <c r="S859" s="242"/>
      <c r="T859" s="242"/>
      <c r="U859" s="242"/>
      <c r="V859" s="242"/>
      <c r="W859" s="242"/>
      <c r="X859" s="242"/>
      <c r="Y859" s="242"/>
      <c r="Z859" s="242"/>
    </row>
    <row r="860">
      <c r="A860" s="340"/>
      <c r="B860" s="242"/>
      <c r="C860" s="242"/>
      <c r="D860" s="242"/>
      <c r="E860" s="13"/>
      <c r="F860" s="13"/>
      <c r="G860" s="13"/>
      <c r="H860" s="13"/>
      <c r="I860" s="13"/>
      <c r="J860" s="13"/>
      <c r="K860" s="13"/>
      <c r="L860" s="242"/>
      <c r="M860" s="242"/>
      <c r="N860" s="242"/>
      <c r="O860" s="242"/>
      <c r="P860" s="242"/>
      <c r="Q860" s="242"/>
      <c r="R860" s="242"/>
      <c r="S860" s="242"/>
      <c r="T860" s="242"/>
      <c r="U860" s="242"/>
      <c r="V860" s="242"/>
      <c r="W860" s="242"/>
      <c r="X860" s="242"/>
      <c r="Y860" s="242"/>
      <c r="Z860" s="242"/>
    </row>
    <row r="861">
      <c r="A861" s="340"/>
      <c r="B861" s="242"/>
      <c r="C861" s="242"/>
      <c r="D861" s="242"/>
      <c r="E861" s="13"/>
      <c r="F861" s="13"/>
      <c r="G861" s="13"/>
      <c r="H861" s="13"/>
      <c r="I861" s="13"/>
      <c r="J861" s="13"/>
      <c r="K861" s="13"/>
      <c r="L861" s="242"/>
      <c r="M861" s="242"/>
      <c r="N861" s="242"/>
      <c r="O861" s="242"/>
      <c r="P861" s="242"/>
      <c r="Q861" s="242"/>
      <c r="R861" s="242"/>
      <c r="S861" s="242"/>
      <c r="T861" s="242"/>
      <c r="U861" s="242"/>
      <c r="V861" s="242"/>
      <c r="W861" s="242"/>
      <c r="X861" s="242"/>
      <c r="Y861" s="242"/>
      <c r="Z861" s="242"/>
    </row>
    <row r="862">
      <c r="A862" s="340"/>
      <c r="B862" s="242"/>
      <c r="C862" s="242"/>
      <c r="D862" s="242"/>
      <c r="E862" s="13"/>
      <c r="F862" s="13"/>
      <c r="G862" s="13"/>
      <c r="H862" s="13"/>
      <c r="I862" s="13"/>
      <c r="J862" s="13"/>
      <c r="K862" s="13"/>
      <c r="L862" s="242"/>
      <c r="M862" s="242"/>
      <c r="N862" s="242"/>
      <c r="O862" s="242"/>
      <c r="P862" s="242"/>
      <c r="Q862" s="242"/>
      <c r="R862" s="242"/>
      <c r="S862" s="242"/>
      <c r="T862" s="242"/>
      <c r="U862" s="242"/>
      <c r="V862" s="242"/>
      <c r="W862" s="242"/>
      <c r="X862" s="242"/>
      <c r="Y862" s="242"/>
      <c r="Z862" s="242"/>
    </row>
    <row r="863">
      <c r="A863" s="340"/>
      <c r="B863" s="242"/>
      <c r="C863" s="242"/>
      <c r="D863" s="242"/>
      <c r="E863" s="13"/>
      <c r="F863" s="13"/>
      <c r="G863" s="13"/>
      <c r="H863" s="13"/>
      <c r="I863" s="13"/>
      <c r="J863" s="13"/>
      <c r="K863" s="13"/>
      <c r="L863" s="242"/>
      <c r="M863" s="242"/>
      <c r="N863" s="242"/>
      <c r="O863" s="242"/>
      <c r="P863" s="242"/>
      <c r="Q863" s="242"/>
      <c r="R863" s="242"/>
      <c r="S863" s="242"/>
      <c r="T863" s="242"/>
      <c r="U863" s="242"/>
      <c r="V863" s="242"/>
      <c r="W863" s="242"/>
      <c r="X863" s="242"/>
      <c r="Y863" s="242"/>
      <c r="Z863" s="242"/>
    </row>
    <row r="864">
      <c r="A864" s="340"/>
      <c r="B864" s="242"/>
      <c r="C864" s="242"/>
      <c r="D864" s="242"/>
      <c r="E864" s="13"/>
      <c r="F864" s="13"/>
      <c r="G864" s="13"/>
      <c r="H864" s="13"/>
      <c r="I864" s="13"/>
      <c r="J864" s="13"/>
      <c r="K864" s="13"/>
      <c r="L864" s="242"/>
      <c r="M864" s="242"/>
      <c r="N864" s="242"/>
      <c r="O864" s="242"/>
      <c r="P864" s="242"/>
      <c r="Q864" s="242"/>
      <c r="R864" s="242"/>
      <c r="S864" s="242"/>
      <c r="T864" s="242"/>
      <c r="U864" s="242"/>
      <c r="V864" s="242"/>
      <c r="W864" s="242"/>
      <c r="X864" s="242"/>
      <c r="Y864" s="242"/>
      <c r="Z864" s="242"/>
    </row>
    <row r="865">
      <c r="A865" s="340"/>
      <c r="B865" s="242"/>
      <c r="C865" s="242"/>
      <c r="D865" s="242"/>
      <c r="E865" s="13"/>
      <c r="F865" s="13"/>
      <c r="G865" s="13"/>
      <c r="H865" s="13"/>
      <c r="I865" s="13"/>
      <c r="J865" s="13"/>
      <c r="K865" s="13"/>
      <c r="L865" s="242"/>
      <c r="M865" s="242"/>
      <c r="N865" s="242"/>
      <c r="O865" s="242"/>
      <c r="P865" s="242"/>
      <c r="Q865" s="242"/>
      <c r="R865" s="242"/>
      <c r="S865" s="242"/>
      <c r="T865" s="242"/>
      <c r="U865" s="242"/>
      <c r="V865" s="242"/>
      <c r="W865" s="242"/>
      <c r="X865" s="242"/>
      <c r="Y865" s="242"/>
      <c r="Z865" s="242"/>
    </row>
    <row r="866">
      <c r="A866" s="340"/>
      <c r="B866" s="242"/>
      <c r="C866" s="242"/>
      <c r="D866" s="242"/>
      <c r="E866" s="13"/>
      <c r="F866" s="13"/>
      <c r="G866" s="13"/>
      <c r="H866" s="13"/>
      <c r="I866" s="13"/>
      <c r="J866" s="13"/>
      <c r="K866" s="13"/>
      <c r="L866" s="242"/>
      <c r="M866" s="242"/>
      <c r="N866" s="242"/>
      <c r="O866" s="242"/>
      <c r="P866" s="242"/>
      <c r="Q866" s="242"/>
      <c r="R866" s="242"/>
      <c r="S866" s="242"/>
      <c r="T866" s="242"/>
      <c r="U866" s="242"/>
      <c r="V866" s="242"/>
      <c r="W866" s="242"/>
      <c r="X866" s="242"/>
      <c r="Y866" s="242"/>
      <c r="Z866" s="242"/>
    </row>
    <row r="867">
      <c r="A867" s="340"/>
      <c r="B867" s="242"/>
      <c r="C867" s="242"/>
      <c r="D867" s="242"/>
      <c r="E867" s="13"/>
      <c r="F867" s="13"/>
      <c r="G867" s="13"/>
      <c r="H867" s="13"/>
      <c r="I867" s="13"/>
      <c r="J867" s="13"/>
      <c r="K867" s="13"/>
      <c r="L867" s="242"/>
      <c r="M867" s="242"/>
      <c r="N867" s="242"/>
      <c r="O867" s="242"/>
      <c r="P867" s="242"/>
      <c r="Q867" s="242"/>
      <c r="R867" s="242"/>
      <c r="S867" s="242"/>
      <c r="T867" s="242"/>
      <c r="U867" s="242"/>
      <c r="V867" s="242"/>
      <c r="W867" s="242"/>
      <c r="X867" s="242"/>
      <c r="Y867" s="242"/>
      <c r="Z867" s="242"/>
    </row>
    <row r="868">
      <c r="A868" s="340"/>
      <c r="B868" s="242"/>
      <c r="C868" s="242"/>
      <c r="D868" s="242"/>
      <c r="E868" s="13"/>
      <c r="F868" s="13"/>
      <c r="G868" s="13"/>
      <c r="H868" s="13"/>
      <c r="I868" s="13"/>
      <c r="J868" s="13"/>
      <c r="K868" s="13"/>
      <c r="L868" s="242"/>
      <c r="M868" s="242"/>
      <c r="N868" s="242"/>
      <c r="O868" s="242"/>
      <c r="P868" s="242"/>
      <c r="Q868" s="242"/>
      <c r="R868" s="242"/>
      <c r="S868" s="242"/>
      <c r="T868" s="242"/>
      <c r="U868" s="242"/>
      <c r="V868" s="242"/>
      <c r="W868" s="242"/>
      <c r="X868" s="242"/>
      <c r="Y868" s="242"/>
      <c r="Z868" s="242"/>
    </row>
    <row r="869">
      <c r="A869" s="340"/>
      <c r="B869" s="242"/>
      <c r="C869" s="242"/>
      <c r="D869" s="242"/>
      <c r="E869" s="13"/>
      <c r="F869" s="13"/>
      <c r="G869" s="13"/>
      <c r="H869" s="13"/>
      <c r="I869" s="13"/>
      <c r="J869" s="13"/>
      <c r="K869" s="13"/>
      <c r="L869" s="242"/>
      <c r="M869" s="242"/>
      <c r="N869" s="242"/>
      <c r="O869" s="242"/>
      <c r="P869" s="242"/>
      <c r="Q869" s="242"/>
      <c r="R869" s="242"/>
      <c r="S869" s="242"/>
      <c r="T869" s="242"/>
      <c r="U869" s="242"/>
      <c r="V869" s="242"/>
      <c r="W869" s="242"/>
      <c r="X869" s="242"/>
      <c r="Y869" s="242"/>
      <c r="Z869" s="242"/>
    </row>
    <row r="870">
      <c r="A870" s="340"/>
      <c r="B870" s="242"/>
      <c r="C870" s="242"/>
      <c r="D870" s="242"/>
      <c r="E870" s="13"/>
      <c r="F870" s="13"/>
      <c r="G870" s="13"/>
      <c r="H870" s="13"/>
      <c r="I870" s="13"/>
      <c r="J870" s="13"/>
      <c r="K870" s="13"/>
      <c r="L870" s="242"/>
      <c r="M870" s="242"/>
      <c r="N870" s="242"/>
      <c r="O870" s="242"/>
      <c r="P870" s="242"/>
      <c r="Q870" s="242"/>
      <c r="R870" s="242"/>
      <c r="S870" s="242"/>
      <c r="T870" s="242"/>
      <c r="U870" s="242"/>
      <c r="V870" s="242"/>
      <c r="W870" s="242"/>
      <c r="X870" s="242"/>
      <c r="Y870" s="242"/>
      <c r="Z870" s="242"/>
    </row>
    <row r="871">
      <c r="A871" s="340"/>
      <c r="B871" s="242"/>
      <c r="C871" s="242"/>
      <c r="D871" s="242"/>
      <c r="E871" s="13"/>
      <c r="F871" s="13"/>
      <c r="G871" s="13"/>
      <c r="H871" s="13"/>
      <c r="I871" s="13"/>
      <c r="J871" s="13"/>
      <c r="K871" s="13"/>
      <c r="L871" s="242"/>
      <c r="M871" s="242"/>
      <c r="N871" s="242"/>
      <c r="O871" s="242"/>
      <c r="P871" s="242"/>
      <c r="Q871" s="242"/>
      <c r="R871" s="242"/>
      <c r="S871" s="242"/>
      <c r="T871" s="242"/>
      <c r="U871" s="242"/>
      <c r="V871" s="242"/>
      <c r="W871" s="242"/>
      <c r="X871" s="242"/>
      <c r="Y871" s="242"/>
      <c r="Z871" s="242"/>
    </row>
    <row r="872">
      <c r="A872" s="340"/>
      <c r="B872" s="242"/>
      <c r="C872" s="242"/>
      <c r="D872" s="242"/>
      <c r="E872" s="13"/>
      <c r="F872" s="13"/>
      <c r="G872" s="13"/>
      <c r="H872" s="13"/>
      <c r="I872" s="13"/>
      <c r="J872" s="13"/>
      <c r="K872" s="13"/>
      <c r="L872" s="242"/>
      <c r="M872" s="242"/>
      <c r="N872" s="242"/>
      <c r="O872" s="242"/>
      <c r="P872" s="242"/>
      <c r="Q872" s="242"/>
      <c r="R872" s="242"/>
      <c r="S872" s="242"/>
      <c r="T872" s="242"/>
      <c r="U872" s="242"/>
      <c r="V872" s="242"/>
      <c r="W872" s="242"/>
      <c r="X872" s="242"/>
      <c r="Y872" s="242"/>
      <c r="Z872" s="242"/>
    </row>
    <row r="873">
      <c r="A873" s="340"/>
      <c r="B873" s="242"/>
      <c r="C873" s="242"/>
      <c r="D873" s="242"/>
      <c r="E873" s="13"/>
      <c r="F873" s="13"/>
      <c r="G873" s="13"/>
      <c r="H873" s="13"/>
      <c r="I873" s="13"/>
      <c r="J873" s="13"/>
      <c r="K873" s="13"/>
      <c r="L873" s="242"/>
      <c r="M873" s="242"/>
      <c r="N873" s="242"/>
      <c r="O873" s="242"/>
      <c r="P873" s="242"/>
      <c r="Q873" s="242"/>
      <c r="R873" s="242"/>
      <c r="S873" s="242"/>
      <c r="T873" s="242"/>
      <c r="U873" s="242"/>
      <c r="V873" s="242"/>
      <c r="W873" s="242"/>
      <c r="X873" s="242"/>
      <c r="Y873" s="242"/>
      <c r="Z873" s="242"/>
    </row>
    <row r="874">
      <c r="A874" s="340"/>
      <c r="B874" s="242"/>
      <c r="C874" s="242"/>
      <c r="D874" s="242"/>
      <c r="E874" s="13"/>
      <c r="F874" s="13"/>
      <c r="G874" s="13"/>
      <c r="H874" s="13"/>
      <c r="I874" s="13"/>
      <c r="J874" s="13"/>
      <c r="K874" s="13"/>
      <c r="L874" s="242"/>
      <c r="M874" s="242"/>
      <c r="N874" s="242"/>
      <c r="O874" s="242"/>
      <c r="P874" s="242"/>
      <c r="Q874" s="242"/>
      <c r="R874" s="242"/>
      <c r="S874" s="242"/>
      <c r="T874" s="242"/>
      <c r="U874" s="242"/>
      <c r="V874" s="242"/>
      <c r="W874" s="242"/>
      <c r="X874" s="242"/>
      <c r="Y874" s="242"/>
      <c r="Z874" s="242"/>
    </row>
    <row r="875">
      <c r="A875" s="340"/>
      <c r="B875" s="242"/>
      <c r="C875" s="242"/>
      <c r="D875" s="242"/>
      <c r="E875" s="13"/>
      <c r="F875" s="13"/>
      <c r="G875" s="13"/>
      <c r="H875" s="13"/>
      <c r="I875" s="13"/>
      <c r="J875" s="13"/>
      <c r="K875" s="13"/>
      <c r="L875" s="242"/>
      <c r="M875" s="242"/>
      <c r="N875" s="242"/>
      <c r="O875" s="242"/>
      <c r="P875" s="242"/>
      <c r="Q875" s="242"/>
      <c r="R875" s="242"/>
      <c r="S875" s="242"/>
      <c r="T875" s="242"/>
      <c r="U875" s="242"/>
      <c r="V875" s="242"/>
      <c r="W875" s="242"/>
      <c r="X875" s="242"/>
      <c r="Y875" s="242"/>
      <c r="Z875" s="242"/>
    </row>
    <row r="876">
      <c r="A876" s="340"/>
      <c r="B876" s="242"/>
      <c r="C876" s="242"/>
      <c r="D876" s="242"/>
      <c r="E876" s="13"/>
      <c r="F876" s="13"/>
      <c r="G876" s="13"/>
      <c r="H876" s="13"/>
      <c r="I876" s="13"/>
      <c r="J876" s="13"/>
      <c r="K876" s="13"/>
      <c r="L876" s="242"/>
      <c r="M876" s="242"/>
      <c r="N876" s="242"/>
      <c r="O876" s="242"/>
      <c r="P876" s="242"/>
      <c r="Q876" s="242"/>
      <c r="R876" s="242"/>
      <c r="S876" s="242"/>
      <c r="T876" s="242"/>
      <c r="U876" s="242"/>
      <c r="V876" s="242"/>
      <c r="W876" s="242"/>
      <c r="X876" s="242"/>
      <c r="Y876" s="242"/>
      <c r="Z876" s="242"/>
    </row>
    <row r="877">
      <c r="A877" s="340"/>
      <c r="B877" s="242"/>
      <c r="C877" s="242"/>
      <c r="D877" s="242"/>
      <c r="E877" s="13"/>
      <c r="F877" s="13"/>
      <c r="G877" s="13"/>
      <c r="H877" s="13"/>
      <c r="I877" s="13"/>
      <c r="J877" s="13"/>
      <c r="K877" s="13"/>
      <c r="L877" s="242"/>
      <c r="M877" s="242"/>
      <c r="N877" s="242"/>
      <c r="O877" s="242"/>
      <c r="P877" s="242"/>
      <c r="Q877" s="242"/>
      <c r="R877" s="242"/>
      <c r="S877" s="242"/>
      <c r="T877" s="242"/>
      <c r="U877" s="242"/>
      <c r="V877" s="242"/>
      <c r="W877" s="242"/>
      <c r="X877" s="242"/>
      <c r="Y877" s="242"/>
      <c r="Z877" s="242"/>
    </row>
    <row r="878">
      <c r="A878" s="340"/>
      <c r="B878" s="242"/>
      <c r="C878" s="242"/>
      <c r="D878" s="242"/>
      <c r="E878" s="13"/>
      <c r="F878" s="13"/>
      <c r="G878" s="13"/>
      <c r="H878" s="13"/>
      <c r="I878" s="13"/>
      <c r="J878" s="13"/>
      <c r="K878" s="13"/>
      <c r="L878" s="242"/>
      <c r="M878" s="242"/>
      <c r="N878" s="242"/>
      <c r="O878" s="242"/>
      <c r="P878" s="242"/>
      <c r="Q878" s="242"/>
      <c r="R878" s="242"/>
      <c r="S878" s="242"/>
      <c r="T878" s="242"/>
      <c r="U878" s="242"/>
      <c r="V878" s="242"/>
      <c r="W878" s="242"/>
      <c r="X878" s="242"/>
      <c r="Y878" s="242"/>
      <c r="Z878" s="242"/>
    </row>
    <row r="879">
      <c r="A879" s="340"/>
      <c r="B879" s="242"/>
      <c r="C879" s="242"/>
      <c r="D879" s="242"/>
      <c r="E879" s="13"/>
      <c r="F879" s="13"/>
      <c r="G879" s="13"/>
      <c r="H879" s="13"/>
      <c r="I879" s="13"/>
      <c r="J879" s="13"/>
      <c r="K879" s="13"/>
      <c r="L879" s="242"/>
      <c r="M879" s="242"/>
      <c r="N879" s="242"/>
      <c r="O879" s="242"/>
      <c r="P879" s="242"/>
      <c r="Q879" s="242"/>
      <c r="R879" s="242"/>
      <c r="S879" s="242"/>
      <c r="T879" s="242"/>
      <c r="U879" s="242"/>
      <c r="V879" s="242"/>
      <c r="W879" s="242"/>
      <c r="X879" s="242"/>
      <c r="Y879" s="242"/>
      <c r="Z879" s="242"/>
    </row>
    <row r="880">
      <c r="A880" s="340"/>
      <c r="B880" s="242"/>
      <c r="C880" s="242"/>
      <c r="D880" s="242"/>
      <c r="E880" s="13"/>
      <c r="F880" s="13"/>
      <c r="G880" s="13"/>
      <c r="H880" s="13"/>
      <c r="I880" s="13"/>
      <c r="J880" s="13"/>
      <c r="K880" s="13"/>
      <c r="L880" s="242"/>
      <c r="M880" s="242"/>
      <c r="N880" s="242"/>
      <c r="O880" s="242"/>
      <c r="P880" s="242"/>
      <c r="Q880" s="242"/>
      <c r="R880" s="242"/>
      <c r="S880" s="242"/>
      <c r="T880" s="242"/>
      <c r="U880" s="242"/>
      <c r="V880" s="242"/>
      <c r="W880" s="242"/>
      <c r="X880" s="242"/>
      <c r="Y880" s="242"/>
      <c r="Z880" s="242"/>
    </row>
    <row r="881">
      <c r="A881" s="340"/>
      <c r="B881" s="242"/>
      <c r="C881" s="242"/>
      <c r="D881" s="242"/>
      <c r="E881" s="13"/>
      <c r="F881" s="13"/>
      <c r="G881" s="13"/>
      <c r="H881" s="13"/>
      <c r="I881" s="13"/>
      <c r="J881" s="13"/>
      <c r="K881" s="13"/>
      <c r="L881" s="242"/>
      <c r="M881" s="242"/>
      <c r="N881" s="242"/>
      <c r="O881" s="242"/>
      <c r="P881" s="242"/>
      <c r="Q881" s="242"/>
      <c r="R881" s="242"/>
      <c r="S881" s="242"/>
      <c r="T881" s="242"/>
      <c r="U881" s="242"/>
      <c r="V881" s="242"/>
      <c r="W881" s="242"/>
      <c r="X881" s="242"/>
      <c r="Y881" s="242"/>
      <c r="Z881" s="242"/>
    </row>
    <row r="882">
      <c r="A882" s="340"/>
      <c r="B882" s="242"/>
      <c r="C882" s="242"/>
      <c r="D882" s="242"/>
      <c r="E882" s="13"/>
      <c r="F882" s="13"/>
      <c r="G882" s="13"/>
      <c r="H882" s="13"/>
      <c r="I882" s="13"/>
      <c r="J882" s="13"/>
      <c r="K882" s="13"/>
      <c r="L882" s="242"/>
      <c r="M882" s="242"/>
      <c r="N882" s="242"/>
      <c r="O882" s="242"/>
      <c r="P882" s="242"/>
      <c r="Q882" s="242"/>
      <c r="R882" s="242"/>
      <c r="S882" s="242"/>
      <c r="T882" s="242"/>
      <c r="U882" s="242"/>
      <c r="V882" s="242"/>
      <c r="W882" s="242"/>
      <c r="X882" s="242"/>
      <c r="Y882" s="242"/>
      <c r="Z882" s="242"/>
    </row>
    <row r="883">
      <c r="A883" s="340"/>
      <c r="B883" s="242"/>
      <c r="C883" s="242"/>
      <c r="D883" s="242"/>
      <c r="E883" s="13"/>
      <c r="F883" s="13"/>
      <c r="G883" s="13"/>
      <c r="H883" s="13"/>
      <c r="I883" s="13"/>
      <c r="J883" s="13"/>
      <c r="K883" s="13"/>
      <c r="L883" s="242"/>
      <c r="M883" s="242"/>
      <c r="N883" s="242"/>
      <c r="O883" s="242"/>
      <c r="P883" s="242"/>
      <c r="Q883" s="242"/>
      <c r="R883" s="242"/>
      <c r="S883" s="242"/>
      <c r="T883" s="242"/>
      <c r="U883" s="242"/>
      <c r="V883" s="242"/>
      <c r="W883" s="242"/>
      <c r="X883" s="242"/>
      <c r="Y883" s="242"/>
      <c r="Z883" s="242"/>
    </row>
    <row r="884">
      <c r="A884" s="340"/>
      <c r="B884" s="242"/>
      <c r="C884" s="242"/>
      <c r="D884" s="242"/>
      <c r="E884" s="13"/>
      <c r="F884" s="13"/>
      <c r="G884" s="13"/>
      <c r="H884" s="13"/>
      <c r="I884" s="13"/>
      <c r="J884" s="13"/>
      <c r="K884" s="13"/>
      <c r="L884" s="242"/>
      <c r="M884" s="242"/>
      <c r="N884" s="242"/>
      <c r="O884" s="242"/>
      <c r="P884" s="242"/>
      <c r="Q884" s="242"/>
      <c r="R884" s="242"/>
      <c r="S884" s="242"/>
      <c r="T884" s="242"/>
      <c r="U884" s="242"/>
      <c r="V884" s="242"/>
      <c r="W884" s="242"/>
      <c r="X884" s="242"/>
      <c r="Y884" s="242"/>
      <c r="Z884" s="242"/>
    </row>
    <row r="885">
      <c r="A885" s="340"/>
      <c r="B885" s="242"/>
      <c r="C885" s="242"/>
      <c r="D885" s="242"/>
      <c r="E885" s="13"/>
      <c r="F885" s="13"/>
      <c r="G885" s="13"/>
      <c r="H885" s="13"/>
      <c r="I885" s="13"/>
      <c r="J885" s="13"/>
      <c r="K885" s="13"/>
      <c r="L885" s="242"/>
      <c r="M885" s="242"/>
      <c r="N885" s="242"/>
      <c r="O885" s="242"/>
      <c r="P885" s="242"/>
      <c r="Q885" s="242"/>
      <c r="R885" s="242"/>
      <c r="S885" s="242"/>
      <c r="T885" s="242"/>
      <c r="U885" s="242"/>
      <c r="V885" s="242"/>
      <c r="W885" s="242"/>
      <c r="X885" s="242"/>
      <c r="Y885" s="242"/>
      <c r="Z885" s="242"/>
    </row>
    <row r="886">
      <c r="A886" s="340"/>
      <c r="B886" s="242"/>
      <c r="C886" s="242"/>
      <c r="D886" s="242"/>
      <c r="E886" s="13"/>
      <c r="F886" s="13"/>
      <c r="G886" s="13"/>
      <c r="H886" s="13"/>
      <c r="I886" s="13"/>
      <c r="J886" s="13"/>
      <c r="K886" s="13"/>
      <c r="L886" s="242"/>
      <c r="M886" s="242"/>
      <c r="N886" s="242"/>
      <c r="O886" s="242"/>
      <c r="P886" s="242"/>
      <c r="Q886" s="242"/>
      <c r="R886" s="242"/>
      <c r="S886" s="242"/>
      <c r="T886" s="242"/>
      <c r="U886" s="242"/>
      <c r="V886" s="242"/>
      <c r="W886" s="242"/>
      <c r="X886" s="242"/>
      <c r="Y886" s="242"/>
      <c r="Z886" s="242"/>
    </row>
    <row r="887">
      <c r="A887" s="340"/>
      <c r="B887" s="242"/>
      <c r="C887" s="242"/>
      <c r="D887" s="242"/>
      <c r="E887" s="13"/>
      <c r="F887" s="13"/>
      <c r="G887" s="13"/>
      <c r="H887" s="13"/>
      <c r="I887" s="13"/>
      <c r="J887" s="13"/>
      <c r="K887" s="13"/>
      <c r="L887" s="242"/>
      <c r="M887" s="242"/>
      <c r="N887" s="242"/>
      <c r="O887" s="242"/>
      <c r="P887" s="242"/>
      <c r="Q887" s="242"/>
      <c r="R887" s="242"/>
      <c r="S887" s="242"/>
      <c r="T887" s="242"/>
      <c r="U887" s="242"/>
      <c r="V887" s="242"/>
      <c r="W887" s="242"/>
      <c r="X887" s="242"/>
      <c r="Y887" s="242"/>
      <c r="Z887" s="242"/>
    </row>
    <row r="888">
      <c r="A888" s="340"/>
      <c r="B888" s="242"/>
      <c r="C888" s="242"/>
      <c r="D888" s="242"/>
      <c r="E888" s="13"/>
      <c r="F888" s="13"/>
      <c r="G888" s="13"/>
      <c r="H888" s="13"/>
      <c r="I888" s="13"/>
      <c r="J888" s="13"/>
      <c r="K888" s="13"/>
      <c r="L888" s="242"/>
      <c r="M888" s="242"/>
      <c r="N888" s="242"/>
      <c r="O888" s="242"/>
      <c r="P888" s="242"/>
      <c r="Q888" s="242"/>
      <c r="R888" s="242"/>
      <c r="S888" s="242"/>
      <c r="T888" s="242"/>
      <c r="U888" s="242"/>
      <c r="V888" s="242"/>
      <c r="W888" s="242"/>
      <c r="X888" s="242"/>
      <c r="Y888" s="242"/>
      <c r="Z888" s="242"/>
    </row>
    <row r="889">
      <c r="A889" s="340"/>
      <c r="B889" s="242"/>
      <c r="C889" s="242"/>
      <c r="D889" s="242"/>
      <c r="E889" s="13"/>
      <c r="F889" s="13"/>
      <c r="G889" s="13"/>
      <c r="H889" s="13"/>
      <c r="I889" s="13"/>
      <c r="J889" s="13"/>
      <c r="K889" s="13"/>
      <c r="L889" s="242"/>
      <c r="M889" s="242"/>
      <c r="N889" s="242"/>
      <c r="O889" s="242"/>
      <c r="P889" s="242"/>
      <c r="Q889" s="242"/>
      <c r="R889" s="242"/>
      <c r="S889" s="242"/>
      <c r="T889" s="242"/>
      <c r="U889" s="242"/>
      <c r="V889" s="242"/>
      <c r="W889" s="242"/>
      <c r="X889" s="242"/>
      <c r="Y889" s="242"/>
      <c r="Z889" s="242"/>
    </row>
    <row r="890">
      <c r="A890" s="340"/>
      <c r="B890" s="242"/>
      <c r="C890" s="242"/>
      <c r="D890" s="242"/>
      <c r="E890" s="13"/>
      <c r="F890" s="13"/>
      <c r="G890" s="13"/>
      <c r="H890" s="13"/>
      <c r="I890" s="13"/>
      <c r="J890" s="13"/>
      <c r="K890" s="13"/>
      <c r="L890" s="242"/>
      <c r="M890" s="242"/>
      <c r="N890" s="242"/>
      <c r="O890" s="242"/>
      <c r="P890" s="242"/>
      <c r="Q890" s="242"/>
      <c r="R890" s="242"/>
      <c r="S890" s="242"/>
      <c r="T890" s="242"/>
      <c r="U890" s="242"/>
      <c r="V890" s="242"/>
      <c r="W890" s="242"/>
      <c r="X890" s="242"/>
      <c r="Y890" s="242"/>
      <c r="Z890" s="242"/>
    </row>
    <row r="891">
      <c r="A891" s="340"/>
      <c r="B891" s="242"/>
      <c r="C891" s="242"/>
      <c r="D891" s="242"/>
      <c r="E891" s="13"/>
      <c r="F891" s="13"/>
      <c r="G891" s="13"/>
      <c r="H891" s="13"/>
      <c r="I891" s="13"/>
      <c r="J891" s="13"/>
      <c r="K891" s="13"/>
      <c r="L891" s="242"/>
      <c r="M891" s="242"/>
      <c r="N891" s="242"/>
      <c r="O891" s="242"/>
      <c r="P891" s="242"/>
      <c r="Q891" s="242"/>
      <c r="R891" s="242"/>
      <c r="S891" s="242"/>
      <c r="T891" s="242"/>
      <c r="U891" s="242"/>
      <c r="V891" s="242"/>
      <c r="W891" s="242"/>
      <c r="X891" s="242"/>
      <c r="Y891" s="242"/>
      <c r="Z891" s="242"/>
    </row>
    <row r="892">
      <c r="A892" s="340"/>
      <c r="B892" s="242"/>
      <c r="C892" s="242"/>
      <c r="D892" s="242"/>
      <c r="E892" s="13"/>
      <c r="F892" s="13"/>
      <c r="G892" s="13"/>
      <c r="H892" s="13"/>
      <c r="I892" s="13"/>
      <c r="J892" s="13"/>
      <c r="K892" s="13"/>
      <c r="L892" s="242"/>
      <c r="M892" s="242"/>
      <c r="N892" s="242"/>
      <c r="O892" s="242"/>
      <c r="P892" s="242"/>
      <c r="Q892" s="242"/>
      <c r="R892" s="242"/>
      <c r="S892" s="242"/>
      <c r="T892" s="242"/>
      <c r="U892" s="242"/>
      <c r="V892" s="242"/>
      <c r="W892" s="242"/>
      <c r="X892" s="242"/>
      <c r="Y892" s="242"/>
      <c r="Z892" s="242"/>
    </row>
    <row r="893">
      <c r="A893" s="340"/>
      <c r="B893" s="242"/>
      <c r="C893" s="242"/>
      <c r="D893" s="242"/>
      <c r="E893" s="13"/>
      <c r="F893" s="13"/>
      <c r="G893" s="13"/>
      <c r="H893" s="13"/>
      <c r="I893" s="13"/>
      <c r="J893" s="13"/>
      <c r="K893" s="13"/>
      <c r="L893" s="242"/>
      <c r="M893" s="242"/>
      <c r="N893" s="242"/>
      <c r="O893" s="242"/>
      <c r="P893" s="242"/>
      <c r="Q893" s="242"/>
      <c r="R893" s="242"/>
      <c r="S893" s="242"/>
      <c r="T893" s="242"/>
      <c r="U893" s="242"/>
      <c r="V893" s="242"/>
      <c r="W893" s="242"/>
      <c r="X893" s="242"/>
      <c r="Y893" s="242"/>
      <c r="Z893" s="242"/>
    </row>
    <row r="894">
      <c r="A894" s="340"/>
      <c r="B894" s="242"/>
      <c r="C894" s="242"/>
      <c r="D894" s="242"/>
      <c r="E894" s="13"/>
      <c r="F894" s="13"/>
      <c r="G894" s="13"/>
      <c r="H894" s="13"/>
      <c r="I894" s="13"/>
      <c r="J894" s="13"/>
      <c r="K894" s="13"/>
      <c r="L894" s="242"/>
      <c r="M894" s="242"/>
      <c r="N894" s="242"/>
      <c r="O894" s="242"/>
      <c r="P894" s="242"/>
      <c r="Q894" s="242"/>
      <c r="R894" s="242"/>
      <c r="S894" s="242"/>
      <c r="T894" s="242"/>
      <c r="U894" s="242"/>
      <c r="V894" s="242"/>
      <c r="W894" s="242"/>
      <c r="X894" s="242"/>
      <c r="Y894" s="242"/>
      <c r="Z894" s="242"/>
    </row>
    <row r="895">
      <c r="A895" s="340"/>
      <c r="B895" s="242"/>
      <c r="C895" s="242"/>
      <c r="D895" s="242"/>
      <c r="E895" s="13"/>
      <c r="F895" s="13"/>
      <c r="G895" s="13"/>
      <c r="H895" s="13"/>
      <c r="I895" s="13"/>
      <c r="J895" s="13"/>
      <c r="K895" s="13"/>
      <c r="L895" s="242"/>
      <c r="M895" s="242"/>
      <c r="N895" s="242"/>
      <c r="O895" s="242"/>
      <c r="P895" s="242"/>
      <c r="Q895" s="242"/>
      <c r="R895" s="242"/>
      <c r="S895" s="242"/>
      <c r="T895" s="242"/>
      <c r="U895" s="242"/>
      <c r="V895" s="242"/>
      <c r="W895" s="242"/>
      <c r="X895" s="242"/>
      <c r="Y895" s="242"/>
      <c r="Z895" s="242"/>
    </row>
    <row r="896">
      <c r="A896" s="340"/>
      <c r="B896" s="242"/>
      <c r="C896" s="242"/>
      <c r="D896" s="242"/>
      <c r="E896" s="13"/>
      <c r="F896" s="13"/>
      <c r="G896" s="13"/>
      <c r="H896" s="13"/>
      <c r="I896" s="13"/>
      <c r="J896" s="13"/>
      <c r="K896" s="13"/>
      <c r="L896" s="242"/>
      <c r="M896" s="242"/>
      <c r="N896" s="242"/>
      <c r="O896" s="242"/>
      <c r="P896" s="242"/>
      <c r="Q896" s="242"/>
      <c r="R896" s="242"/>
      <c r="S896" s="242"/>
      <c r="T896" s="242"/>
      <c r="U896" s="242"/>
      <c r="V896" s="242"/>
      <c r="W896" s="242"/>
      <c r="X896" s="242"/>
      <c r="Y896" s="242"/>
      <c r="Z896" s="242"/>
    </row>
    <row r="897">
      <c r="A897" s="340"/>
      <c r="B897" s="242"/>
      <c r="C897" s="242"/>
      <c r="D897" s="242"/>
      <c r="E897" s="13"/>
      <c r="F897" s="13"/>
      <c r="G897" s="13"/>
      <c r="H897" s="13"/>
      <c r="I897" s="13"/>
      <c r="J897" s="13"/>
      <c r="K897" s="13"/>
      <c r="L897" s="242"/>
      <c r="M897" s="242"/>
      <c r="N897" s="242"/>
      <c r="O897" s="242"/>
      <c r="P897" s="242"/>
      <c r="Q897" s="242"/>
      <c r="R897" s="242"/>
      <c r="S897" s="242"/>
      <c r="T897" s="242"/>
      <c r="U897" s="242"/>
      <c r="V897" s="242"/>
      <c r="W897" s="242"/>
      <c r="X897" s="242"/>
      <c r="Y897" s="242"/>
      <c r="Z897" s="242"/>
    </row>
    <row r="898">
      <c r="A898" s="340"/>
      <c r="B898" s="242"/>
      <c r="C898" s="242"/>
      <c r="D898" s="242"/>
      <c r="E898" s="13"/>
      <c r="F898" s="13"/>
      <c r="G898" s="13"/>
      <c r="H898" s="13"/>
      <c r="I898" s="13"/>
      <c r="J898" s="13"/>
      <c r="K898" s="13"/>
      <c r="L898" s="242"/>
      <c r="M898" s="242"/>
      <c r="N898" s="242"/>
      <c r="O898" s="242"/>
      <c r="P898" s="242"/>
      <c r="Q898" s="242"/>
      <c r="R898" s="242"/>
      <c r="S898" s="242"/>
      <c r="T898" s="242"/>
      <c r="U898" s="242"/>
      <c r="V898" s="242"/>
      <c r="W898" s="242"/>
      <c r="X898" s="242"/>
      <c r="Y898" s="242"/>
      <c r="Z898" s="242"/>
    </row>
    <row r="899">
      <c r="A899" s="340"/>
      <c r="B899" s="242"/>
      <c r="C899" s="242"/>
      <c r="D899" s="242"/>
      <c r="E899" s="13"/>
      <c r="F899" s="13"/>
      <c r="G899" s="13"/>
      <c r="H899" s="13"/>
      <c r="I899" s="13"/>
      <c r="J899" s="13"/>
      <c r="K899" s="13"/>
      <c r="L899" s="242"/>
      <c r="M899" s="242"/>
      <c r="N899" s="242"/>
      <c r="O899" s="242"/>
      <c r="P899" s="242"/>
      <c r="Q899" s="242"/>
      <c r="R899" s="242"/>
      <c r="S899" s="242"/>
      <c r="T899" s="242"/>
      <c r="U899" s="242"/>
      <c r="V899" s="242"/>
      <c r="W899" s="242"/>
      <c r="X899" s="242"/>
      <c r="Y899" s="242"/>
      <c r="Z899" s="242"/>
    </row>
    <row r="900">
      <c r="A900" s="340"/>
      <c r="B900" s="242"/>
      <c r="C900" s="242"/>
      <c r="D900" s="242"/>
      <c r="E900" s="13"/>
      <c r="F900" s="13"/>
      <c r="G900" s="13"/>
      <c r="H900" s="13"/>
      <c r="I900" s="13"/>
      <c r="J900" s="13"/>
      <c r="K900" s="13"/>
      <c r="L900" s="242"/>
      <c r="M900" s="242"/>
      <c r="N900" s="242"/>
      <c r="O900" s="242"/>
      <c r="P900" s="242"/>
      <c r="Q900" s="242"/>
      <c r="R900" s="242"/>
      <c r="S900" s="242"/>
      <c r="T900" s="242"/>
      <c r="U900" s="242"/>
      <c r="V900" s="242"/>
      <c r="W900" s="242"/>
      <c r="X900" s="242"/>
      <c r="Y900" s="242"/>
      <c r="Z900" s="242"/>
    </row>
    <row r="901">
      <c r="A901" s="340"/>
      <c r="B901" s="242"/>
      <c r="C901" s="242"/>
      <c r="D901" s="242"/>
      <c r="E901" s="13"/>
      <c r="F901" s="13"/>
      <c r="G901" s="13"/>
      <c r="H901" s="13"/>
      <c r="I901" s="13"/>
      <c r="J901" s="13"/>
      <c r="K901" s="13"/>
      <c r="L901" s="242"/>
      <c r="M901" s="242"/>
      <c r="N901" s="242"/>
      <c r="O901" s="242"/>
      <c r="P901" s="242"/>
      <c r="Q901" s="242"/>
      <c r="R901" s="242"/>
      <c r="S901" s="242"/>
      <c r="T901" s="242"/>
      <c r="U901" s="242"/>
      <c r="V901" s="242"/>
      <c r="W901" s="242"/>
      <c r="X901" s="242"/>
      <c r="Y901" s="242"/>
      <c r="Z901" s="242"/>
    </row>
    <row r="902">
      <c r="A902" s="340"/>
      <c r="B902" s="242"/>
      <c r="C902" s="242"/>
      <c r="D902" s="242"/>
      <c r="E902" s="13"/>
      <c r="F902" s="13"/>
      <c r="G902" s="13"/>
      <c r="H902" s="13"/>
      <c r="I902" s="13"/>
      <c r="J902" s="13"/>
      <c r="K902" s="13"/>
      <c r="L902" s="242"/>
      <c r="M902" s="242"/>
      <c r="N902" s="242"/>
      <c r="O902" s="242"/>
      <c r="P902" s="242"/>
      <c r="Q902" s="242"/>
      <c r="R902" s="242"/>
      <c r="S902" s="242"/>
      <c r="T902" s="242"/>
      <c r="U902" s="242"/>
      <c r="V902" s="242"/>
      <c r="W902" s="242"/>
      <c r="X902" s="242"/>
      <c r="Y902" s="242"/>
      <c r="Z902" s="242"/>
    </row>
    <row r="903">
      <c r="A903" s="340"/>
      <c r="B903" s="242"/>
      <c r="C903" s="242"/>
      <c r="D903" s="242"/>
      <c r="E903" s="13"/>
      <c r="F903" s="13"/>
      <c r="G903" s="13"/>
      <c r="H903" s="13"/>
      <c r="I903" s="13"/>
      <c r="J903" s="13"/>
      <c r="K903" s="13"/>
      <c r="L903" s="242"/>
      <c r="M903" s="242"/>
      <c r="N903" s="242"/>
      <c r="O903" s="242"/>
      <c r="P903" s="242"/>
      <c r="Q903" s="242"/>
      <c r="R903" s="242"/>
      <c r="S903" s="242"/>
      <c r="T903" s="242"/>
      <c r="U903" s="242"/>
      <c r="V903" s="242"/>
      <c r="W903" s="242"/>
      <c r="X903" s="242"/>
      <c r="Y903" s="242"/>
      <c r="Z903" s="242"/>
    </row>
    <row r="904">
      <c r="A904" s="340"/>
      <c r="B904" s="242"/>
      <c r="C904" s="242"/>
      <c r="D904" s="242"/>
      <c r="E904" s="13"/>
      <c r="F904" s="13"/>
      <c r="G904" s="13"/>
      <c r="H904" s="13"/>
      <c r="I904" s="13"/>
      <c r="J904" s="13"/>
      <c r="K904" s="13"/>
      <c r="L904" s="242"/>
      <c r="M904" s="242"/>
      <c r="N904" s="242"/>
      <c r="O904" s="242"/>
      <c r="P904" s="242"/>
      <c r="Q904" s="242"/>
      <c r="R904" s="242"/>
      <c r="S904" s="242"/>
      <c r="T904" s="242"/>
      <c r="U904" s="242"/>
      <c r="V904" s="242"/>
      <c r="W904" s="242"/>
      <c r="X904" s="242"/>
      <c r="Y904" s="242"/>
      <c r="Z904" s="242"/>
    </row>
    <row r="905">
      <c r="A905" s="340"/>
      <c r="B905" s="242"/>
      <c r="C905" s="242"/>
      <c r="D905" s="242"/>
      <c r="E905" s="13"/>
      <c r="F905" s="13"/>
      <c r="G905" s="13"/>
      <c r="H905" s="13"/>
      <c r="I905" s="13"/>
      <c r="J905" s="13"/>
      <c r="K905" s="13"/>
      <c r="L905" s="242"/>
      <c r="M905" s="242"/>
      <c r="N905" s="242"/>
      <c r="O905" s="242"/>
      <c r="P905" s="242"/>
      <c r="Q905" s="242"/>
      <c r="R905" s="242"/>
      <c r="S905" s="242"/>
      <c r="T905" s="242"/>
      <c r="U905" s="242"/>
      <c r="V905" s="242"/>
      <c r="W905" s="242"/>
      <c r="X905" s="242"/>
      <c r="Y905" s="242"/>
      <c r="Z905" s="242"/>
    </row>
    <row r="906">
      <c r="A906" s="340"/>
      <c r="B906" s="242"/>
      <c r="C906" s="242"/>
      <c r="D906" s="242"/>
      <c r="E906" s="13"/>
      <c r="F906" s="13"/>
      <c r="G906" s="13"/>
      <c r="H906" s="13"/>
      <c r="I906" s="13"/>
      <c r="J906" s="13"/>
      <c r="K906" s="13"/>
      <c r="L906" s="242"/>
      <c r="M906" s="242"/>
      <c r="N906" s="242"/>
      <c r="O906" s="242"/>
      <c r="P906" s="242"/>
      <c r="Q906" s="242"/>
      <c r="R906" s="242"/>
      <c r="S906" s="242"/>
      <c r="T906" s="242"/>
      <c r="U906" s="242"/>
      <c r="V906" s="242"/>
      <c r="W906" s="242"/>
      <c r="X906" s="242"/>
      <c r="Y906" s="242"/>
      <c r="Z906" s="242"/>
    </row>
    <row r="907">
      <c r="A907" s="340"/>
      <c r="B907" s="242"/>
      <c r="C907" s="242"/>
      <c r="D907" s="242"/>
      <c r="E907" s="13"/>
      <c r="F907" s="13"/>
      <c r="G907" s="13"/>
      <c r="H907" s="13"/>
      <c r="I907" s="13"/>
      <c r="J907" s="13"/>
      <c r="K907" s="13"/>
      <c r="L907" s="242"/>
      <c r="M907" s="242"/>
      <c r="N907" s="242"/>
      <c r="O907" s="242"/>
      <c r="P907" s="242"/>
      <c r="Q907" s="242"/>
      <c r="R907" s="242"/>
      <c r="S907" s="242"/>
      <c r="T907" s="242"/>
      <c r="U907" s="242"/>
      <c r="V907" s="242"/>
      <c r="W907" s="242"/>
      <c r="X907" s="242"/>
      <c r="Y907" s="242"/>
      <c r="Z907" s="242"/>
    </row>
    <row r="908">
      <c r="A908" s="340"/>
      <c r="B908" s="242"/>
      <c r="C908" s="242"/>
      <c r="D908" s="242"/>
      <c r="E908" s="13"/>
      <c r="F908" s="13"/>
      <c r="G908" s="13"/>
      <c r="H908" s="13"/>
      <c r="I908" s="13"/>
      <c r="J908" s="13"/>
      <c r="K908" s="13"/>
      <c r="L908" s="242"/>
      <c r="M908" s="242"/>
      <c r="N908" s="242"/>
      <c r="O908" s="242"/>
      <c r="P908" s="242"/>
      <c r="Q908" s="242"/>
      <c r="R908" s="242"/>
      <c r="S908" s="242"/>
      <c r="T908" s="242"/>
      <c r="U908" s="242"/>
      <c r="V908" s="242"/>
      <c r="W908" s="242"/>
      <c r="X908" s="242"/>
      <c r="Y908" s="242"/>
      <c r="Z908" s="242"/>
    </row>
    <row r="909">
      <c r="A909" s="340"/>
      <c r="B909" s="242"/>
      <c r="C909" s="242"/>
      <c r="D909" s="242"/>
      <c r="E909" s="13"/>
      <c r="F909" s="13"/>
      <c r="G909" s="13"/>
      <c r="H909" s="13"/>
      <c r="I909" s="13"/>
      <c r="J909" s="13"/>
      <c r="K909" s="13"/>
      <c r="L909" s="242"/>
      <c r="M909" s="242"/>
      <c r="N909" s="242"/>
      <c r="O909" s="242"/>
      <c r="P909" s="242"/>
      <c r="Q909" s="242"/>
      <c r="R909" s="242"/>
      <c r="S909" s="242"/>
      <c r="T909" s="242"/>
      <c r="U909" s="242"/>
      <c r="V909" s="242"/>
      <c r="W909" s="242"/>
      <c r="X909" s="242"/>
      <c r="Y909" s="242"/>
      <c r="Z909" s="242"/>
    </row>
    <row r="910">
      <c r="A910" s="340"/>
      <c r="B910" s="242"/>
      <c r="C910" s="242"/>
      <c r="D910" s="242"/>
      <c r="E910" s="13"/>
      <c r="F910" s="13"/>
      <c r="G910" s="13"/>
      <c r="H910" s="13"/>
      <c r="I910" s="13"/>
      <c r="J910" s="13"/>
      <c r="K910" s="13"/>
      <c r="L910" s="242"/>
      <c r="M910" s="242"/>
      <c r="N910" s="242"/>
      <c r="O910" s="242"/>
      <c r="P910" s="242"/>
      <c r="Q910" s="242"/>
      <c r="R910" s="242"/>
      <c r="S910" s="242"/>
      <c r="T910" s="242"/>
      <c r="U910" s="242"/>
      <c r="V910" s="242"/>
      <c r="W910" s="242"/>
      <c r="X910" s="242"/>
      <c r="Y910" s="242"/>
      <c r="Z910" s="242"/>
    </row>
    <row r="911">
      <c r="A911" s="340"/>
      <c r="B911" s="242"/>
      <c r="C911" s="242"/>
      <c r="D911" s="242"/>
      <c r="E911" s="13"/>
      <c r="F911" s="13"/>
      <c r="G911" s="13"/>
      <c r="H911" s="13"/>
      <c r="I911" s="13"/>
      <c r="J911" s="13"/>
      <c r="K911" s="13"/>
      <c r="L911" s="242"/>
      <c r="M911" s="242"/>
      <c r="N911" s="242"/>
      <c r="O911" s="242"/>
      <c r="P911" s="242"/>
      <c r="Q911" s="242"/>
      <c r="R911" s="242"/>
      <c r="S911" s="242"/>
      <c r="T911" s="242"/>
      <c r="U911" s="242"/>
      <c r="V911" s="242"/>
      <c r="W911" s="242"/>
      <c r="X911" s="242"/>
      <c r="Y911" s="242"/>
      <c r="Z911" s="242"/>
    </row>
    <row r="912">
      <c r="A912" s="340"/>
      <c r="B912" s="242"/>
      <c r="C912" s="242"/>
      <c r="D912" s="242"/>
      <c r="E912" s="13"/>
      <c r="F912" s="13"/>
      <c r="G912" s="13"/>
      <c r="H912" s="13"/>
      <c r="I912" s="13"/>
      <c r="J912" s="13"/>
      <c r="K912" s="13"/>
      <c r="L912" s="242"/>
      <c r="M912" s="242"/>
      <c r="N912" s="242"/>
      <c r="O912" s="242"/>
      <c r="P912" s="242"/>
      <c r="Q912" s="242"/>
      <c r="R912" s="242"/>
      <c r="S912" s="242"/>
      <c r="T912" s="242"/>
      <c r="U912" s="242"/>
      <c r="V912" s="242"/>
      <c r="W912" s="242"/>
      <c r="X912" s="242"/>
      <c r="Y912" s="242"/>
      <c r="Z912" s="242"/>
    </row>
    <row r="913">
      <c r="A913" s="340"/>
      <c r="B913" s="242"/>
      <c r="C913" s="242"/>
      <c r="D913" s="242"/>
      <c r="E913" s="13"/>
      <c r="F913" s="13"/>
      <c r="G913" s="13"/>
      <c r="H913" s="13"/>
      <c r="I913" s="13"/>
      <c r="J913" s="13"/>
      <c r="K913" s="13"/>
      <c r="L913" s="242"/>
      <c r="M913" s="242"/>
      <c r="N913" s="242"/>
      <c r="O913" s="242"/>
      <c r="P913" s="242"/>
      <c r="Q913" s="242"/>
      <c r="R913" s="242"/>
      <c r="S913" s="242"/>
      <c r="T913" s="242"/>
      <c r="U913" s="242"/>
      <c r="V913" s="242"/>
      <c r="W913" s="242"/>
      <c r="X913" s="242"/>
      <c r="Y913" s="242"/>
      <c r="Z913" s="242"/>
    </row>
    <row r="914">
      <c r="A914" s="340"/>
      <c r="B914" s="242"/>
      <c r="C914" s="242"/>
      <c r="D914" s="242"/>
      <c r="E914" s="13"/>
      <c r="F914" s="13"/>
      <c r="G914" s="13"/>
      <c r="H914" s="13"/>
      <c r="I914" s="13"/>
      <c r="J914" s="13"/>
      <c r="K914" s="13"/>
      <c r="L914" s="242"/>
      <c r="M914" s="242"/>
      <c r="N914" s="242"/>
      <c r="O914" s="242"/>
      <c r="P914" s="242"/>
      <c r="Q914" s="242"/>
      <c r="R914" s="242"/>
      <c r="S914" s="242"/>
      <c r="T914" s="242"/>
      <c r="U914" s="242"/>
      <c r="V914" s="242"/>
      <c r="W914" s="242"/>
      <c r="X914" s="242"/>
      <c r="Y914" s="242"/>
      <c r="Z914" s="242"/>
    </row>
    <row r="915">
      <c r="A915" s="340"/>
      <c r="B915" s="242"/>
      <c r="C915" s="242"/>
      <c r="D915" s="242"/>
      <c r="E915" s="13"/>
      <c r="F915" s="13"/>
      <c r="G915" s="13"/>
      <c r="H915" s="13"/>
      <c r="I915" s="13"/>
      <c r="J915" s="13"/>
      <c r="K915" s="13"/>
      <c r="L915" s="242"/>
      <c r="M915" s="242"/>
      <c r="N915" s="242"/>
      <c r="O915" s="242"/>
      <c r="P915" s="242"/>
      <c r="Q915" s="242"/>
      <c r="R915" s="242"/>
      <c r="S915" s="242"/>
      <c r="T915" s="242"/>
      <c r="U915" s="242"/>
      <c r="V915" s="242"/>
      <c r="W915" s="242"/>
      <c r="X915" s="242"/>
      <c r="Y915" s="242"/>
      <c r="Z915" s="242"/>
    </row>
    <row r="916">
      <c r="A916" s="340"/>
      <c r="B916" s="242"/>
      <c r="C916" s="242"/>
      <c r="D916" s="242"/>
      <c r="E916" s="13"/>
      <c r="F916" s="13"/>
      <c r="G916" s="13"/>
      <c r="H916" s="13"/>
      <c r="I916" s="13"/>
      <c r="J916" s="13"/>
      <c r="K916" s="13"/>
      <c r="L916" s="242"/>
      <c r="M916" s="242"/>
      <c r="N916" s="242"/>
      <c r="O916" s="242"/>
      <c r="P916" s="242"/>
      <c r="Q916" s="242"/>
      <c r="R916" s="242"/>
      <c r="S916" s="242"/>
      <c r="T916" s="242"/>
      <c r="U916" s="242"/>
      <c r="V916" s="242"/>
      <c r="W916" s="242"/>
      <c r="X916" s="242"/>
      <c r="Y916" s="242"/>
      <c r="Z916" s="242"/>
    </row>
    <row r="917">
      <c r="A917" s="340"/>
      <c r="B917" s="242"/>
      <c r="C917" s="242"/>
      <c r="D917" s="242"/>
      <c r="E917" s="13"/>
      <c r="F917" s="13"/>
      <c r="G917" s="13"/>
      <c r="H917" s="13"/>
      <c r="I917" s="13"/>
      <c r="J917" s="13"/>
      <c r="K917" s="13"/>
      <c r="L917" s="242"/>
      <c r="M917" s="242"/>
      <c r="N917" s="242"/>
      <c r="O917" s="242"/>
      <c r="P917" s="242"/>
      <c r="Q917" s="242"/>
      <c r="R917" s="242"/>
      <c r="S917" s="242"/>
      <c r="T917" s="242"/>
      <c r="U917" s="242"/>
      <c r="V917" s="242"/>
      <c r="W917" s="242"/>
      <c r="X917" s="242"/>
      <c r="Y917" s="242"/>
      <c r="Z917" s="242"/>
    </row>
    <row r="918">
      <c r="A918" s="340"/>
      <c r="B918" s="242"/>
      <c r="C918" s="242"/>
      <c r="D918" s="242"/>
      <c r="E918" s="13"/>
      <c r="F918" s="13"/>
      <c r="G918" s="13"/>
      <c r="H918" s="13"/>
      <c r="I918" s="13"/>
      <c r="J918" s="13"/>
      <c r="K918" s="13"/>
      <c r="L918" s="242"/>
      <c r="M918" s="242"/>
      <c r="N918" s="242"/>
      <c r="O918" s="242"/>
      <c r="P918" s="242"/>
      <c r="Q918" s="242"/>
      <c r="R918" s="242"/>
      <c r="S918" s="242"/>
      <c r="T918" s="242"/>
      <c r="U918" s="242"/>
      <c r="V918" s="242"/>
      <c r="W918" s="242"/>
      <c r="X918" s="242"/>
      <c r="Y918" s="242"/>
      <c r="Z918" s="242"/>
    </row>
    <row r="919">
      <c r="A919" s="340"/>
      <c r="B919" s="242"/>
      <c r="C919" s="242"/>
      <c r="D919" s="242"/>
      <c r="E919" s="13"/>
      <c r="F919" s="13"/>
      <c r="G919" s="13"/>
      <c r="H919" s="13"/>
      <c r="I919" s="13"/>
      <c r="J919" s="13"/>
      <c r="K919" s="13"/>
      <c r="L919" s="242"/>
      <c r="M919" s="242"/>
      <c r="N919" s="242"/>
      <c r="O919" s="242"/>
      <c r="P919" s="242"/>
      <c r="Q919" s="242"/>
      <c r="R919" s="242"/>
      <c r="S919" s="242"/>
      <c r="T919" s="242"/>
      <c r="U919" s="242"/>
      <c r="V919" s="242"/>
      <c r="W919" s="242"/>
      <c r="X919" s="242"/>
      <c r="Y919" s="242"/>
      <c r="Z919" s="242"/>
    </row>
    <row r="920">
      <c r="A920" s="340"/>
      <c r="B920" s="242"/>
      <c r="C920" s="242"/>
      <c r="D920" s="242"/>
      <c r="E920" s="13"/>
      <c r="F920" s="13"/>
      <c r="G920" s="13"/>
      <c r="H920" s="13"/>
      <c r="I920" s="13"/>
      <c r="J920" s="13"/>
      <c r="K920" s="13"/>
      <c r="L920" s="242"/>
      <c r="M920" s="242"/>
      <c r="N920" s="242"/>
      <c r="O920" s="242"/>
      <c r="P920" s="242"/>
      <c r="Q920" s="242"/>
      <c r="R920" s="242"/>
      <c r="S920" s="242"/>
      <c r="T920" s="242"/>
      <c r="U920" s="242"/>
      <c r="V920" s="242"/>
      <c r="W920" s="242"/>
      <c r="X920" s="242"/>
      <c r="Y920" s="242"/>
      <c r="Z920" s="242"/>
    </row>
    <row r="921">
      <c r="A921" s="340"/>
      <c r="B921" s="242"/>
      <c r="C921" s="242"/>
      <c r="D921" s="242"/>
      <c r="E921" s="13"/>
      <c r="F921" s="13"/>
      <c r="G921" s="13"/>
      <c r="H921" s="13"/>
      <c r="I921" s="13"/>
      <c r="J921" s="13"/>
      <c r="K921" s="13"/>
      <c r="L921" s="242"/>
      <c r="M921" s="242"/>
      <c r="N921" s="242"/>
      <c r="O921" s="242"/>
      <c r="P921" s="242"/>
      <c r="Q921" s="242"/>
      <c r="R921" s="242"/>
      <c r="S921" s="242"/>
      <c r="T921" s="242"/>
      <c r="U921" s="242"/>
      <c r="V921" s="242"/>
      <c r="W921" s="242"/>
      <c r="X921" s="242"/>
      <c r="Y921" s="242"/>
      <c r="Z921" s="242"/>
    </row>
    <row r="922">
      <c r="A922" s="340"/>
      <c r="B922" s="242"/>
      <c r="C922" s="242"/>
      <c r="D922" s="242"/>
      <c r="E922" s="13"/>
      <c r="F922" s="13"/>
      <c r="G922" s="13"/>
      <c r="H922" s="13"/>
      <c r="I922" s="13"/>
      <c r="J922" s="13"/>
      <c r="K922" s="13"/>
      <c r="L922" s="242"/>
      <c r="M922" s="242"/>
      <c r="N922" s="242"/>
      <c r="O922" s="242"/>
      <c r="P922" s="242"/>
      <c r="Q922" s="242"/>
      <c r="R922" s="242"/>
      <c r="S922" s="242"/>
      <c r="T922" s="242"/>
      <c r="U922" s="242"/>
      <c r="V922" s="242"/>
      <c r="W922" s="242"/>
      <c r="X922" s="242"/>
      <c r="Y922" s="242"/>
      <c r="Z922" s="242"/>
    </row>
    <row r="923">
      <c r="A923" s="340"/>
      <c r="B923" s="242"/>
      <c r="C923" s="242"/>
      <c r="D923" s="242"/>
      <c r="E923" s="13"/>
      <c r="F923" s="13"/>
      <c r="G923" s="13"/>
      <c r="H923" s="13"/>
      <c r="I923" s="13"/>
      <c r="J923" s="13"/>
      <c r="K923" s="13"/>
      <c r="L923" s="242"/>
      <c r="M923" s="242"/>
      <c r="N923" s="242"/>
      <c r="O923" s="242"/>
      <c r="P923" s="242"/>
      <c r="Q923" s="242"/>
      <c r="R923" s="242"/>
      <c r="S923" s="242"/>
      <c r="T923" s="242"/>
      <c r="U923" s="242"/>
      <c r="V923" s="242"/>
      <c r="W923" s="242"/>
      <c r="X923" s="242"/>
      <c r="Y923" s="242"/>
      <c r="Z923" s="242"/>
    </row>
    <row r="924">
      <c r="A924" s="340"/>
      <c r="B924" s="242"/>
      <c r="C924" s="242"/>
      <c r="D924" s="242"/>
      <c r="E924" s="13"/>
      <c r="F924" s="13"/>
      <c r="G924" s="13"/>
      <c r="H924" s="13"/>
      <c r="I924" s="13"/>
      <c r="J924" s="13"/>
      <c r="K924" s="13"/>
      <c r="L924" s="242"/>
      <c r="M924" s="242"/>
      <c r="N924" s="242"/>
      <c r="O924" s="242"/>
      <c r="P924" s="242"/>
      <c r="Q924" s="242"/>
      <c r="R924" s="242"/>
      <c r="S924" s="242"/>
      <c r="T924" s="242"/>
      <c r="U924" s="242"/>
      <c r="V924" s="242"/>
      <c r="W924" s="242"/>
      <c r="X924" s="242"/>
      <c r="Y924" s="242"/>
      <c r="Z924" s="242"/>
    </row>
    <row r="925">
      <c r="A925" s="340"/>
      <c r="B925" s="242"/>
      <c r="C925" s="242"/>
      <c r="D925" s="242"/>
      <c r="E925" s="13"/>
      <c r="F925" s="13"/>
      <c r="G925" s="13"/>
      <c r="H925" s="13"/>
      <c r="I925" s="13"/>
      <c r="J925" s="13"/>
      <c r="K925" s="13"/>
      <c r="L925" s="242"/>
      <c r="M925" s="242"/>
      <c r="N925" s="242"/>
      <c r="O925" s="242"/>
      <c r="P925" s="242"/>
      <c r="Q925" s="242"/>
      <c r="R925" s="242"/>
      <c r="S925" s="242"/>
      <c r="T925" s="242"/>
      <c r="U925" s="242"/>
      <c r="V925" s="242"/>
      <c r="W925" s="242"/>
      <c r="X925" s="242"/>
      <c r="Y925" s="242"/>
      <c r="Z925" s="242"/>
    </row>
    <row r="926">
      <c r="A926" s="340"/>
      <c r="B926" s="242"/>
      <c r="C926" s="242"/>
      <c r="D926" s="242"/>
      <c r="E926" s="13"/>
      <c r="F926" s="13"/>
      <c r="G926" s="13"/>
      <c r="H926" s="13"/>
      <c r="I926" s="13"/>
      <c r="J926" s="13"/>
      <c r="K926" s="13"/>
      <c r="L926" s="242"/>
      <c r="M926" s="242"/>
      <c r="N926" s="242"/>
      <c r="O926" s="242"/>
      <c r="P926" s="242"/>
      <c r="Q926" s="242"/>
      <c r="R926" s="242"/>
      <c r="S926" s="242"/>
      <c r="T926" s="242"/>
      <c r="U926" s="242"/>
      <c r="V926" s="242"/>
      <c r="W926" s="242"/>
      <c r="X926" s="242"/>
      <c r="Y926" s="242"/>
      <c r="Z926" s="242"/>
    </row>
    <row r="927">
      <c r="A927" s="340"/>
      <c r="B927" s="242"/>
      <c r="C927" s="242"/>
      <c r="D927" s="242"/>
      <c r="E927" s="13"/>
      <c r="F927" s="13"/>
      <c r="G927" s="13"/>
      <c r="H927" s="13"/>
      <c r="I927" s="13"/>
      <c r="J927" s="13"/>
      <c r="K927" s="13"/>
      <c r="L927" s="242"/>
      <c r="M927" s="242"/>
      <c r="N927" s="242"/>
      <c r="O927" s="242"/>
      <c r="P927" s="242"/>
      <c r="Q927" s="242"/>
      <c r="R927" s="242"/>
      <c r="S927" s="242"/>
      <c r="T927" s="242"/>
      <c r="U927" s="242"/>
      <c r="V927" s="242"/>
      <c r="W927" s="242"/>
      <c r="X927" s="242"/>
      <c r="Y927" s="242"/>
      <c r="Z927" s="242"/>
    </row>
    <row r="928">
      <c r="A928" s="340"/>
      <c r="B928" s="242"/>
      <c r="C928" s="242"/>
      <c r="D928" s="242"/>
      <c r="E928" s="13"/>
      <c r="F928" s="13"/>
      <c r="G928" s="13"/>
      <c r="H928" s="13"/>
      <c r="I928" s="13"/>
      <c r="J928" s="13"/>
      <c r="K928" s="13"/>
      <c r="L928" s="242"/>
      <c r="M928" s="242"/>
      <c r="N928" s="242"/>
      <c r="O928" s="242"/>
      <c r="P928" s="242"/>
      <c r="Q928" s="242"/>
      <c r="R928" s="242"/>
      <c r="S928" s="242"/>
      <c r="T928" s="242"/>
      <c r="U928" s="242"/>
      <c r="V928" s="242"/>
      <c r="W928" s="242"/>
      <c r="X928" s="242"/>
      <c r="Y928" s="242"/>
      <c r="Z928" s="242"/>
    </row>
    <row r="929">
      <c r="A929" s="340"/>
      <c r="B929" s="242"/>
      <c r="C929" s="242"/>
      <c r="D929" s="242"/>
      <c r="E929" s="13"/>
      <c r="F929" s="13"/>
      <c r="G929" s="13"/>
      <c r="H929" s="13"/>
      <c r="I929" s="13"/>
      <c r="J929" s="13"/>
      <c r="K929" s="13"/>
      <c r="L929" s="242"/>
      <c r="M929" s="242"/>
      <c r="N929" s="242"/>
      <c r="O929" s="242"/>
      <c r="P929" s="242"/>
      <c r="Q929" s="242"/>
      <c r="R929" s="242"/>
      <c r="S929" s="242"/>
      <c r="T929" s="242"/>
      <c r="U929" s="242"/>
      <c r="V929" s="242"/>
      <c r="W929" s="242"/>
      <c r="X929" s="242"/>
      <c r="Y929" s="242"/>
      <c r="Z929" s="242"/>
    </row>
    <row r="930">
      <c r="A930" s="340"/>
      <c r="B930" s="242"/>
      <c r="C930" s="242"/>
      <c r="D930" s="242"/>
      <c r="E930" s="13"/>
      <c r="F930" s="13"/>
      <c r="G930" s="13"/>
      <c r="H930" s="13"/>
      <c r="I930" s="13"/>
      <c r="J930" s="13"/>
      <c r="K930" s="13"/>
      <c r="L930" s="242"/>
      <c r="M930" s="242"/>
      <c r="N930" s="242"/>
      <c r="O930" s="242"/>
      <c r="P930" s="242"/>
      <c r="Q930" s="242"/>
      <c r="R930" s="242"/>
      <c r="S930" s="242"/>
      <c r="T930" s="242"/>
      <c r="U930" s="242"/>
      <c r="V930" s="242"/>
      <c r="W930" s="242"/>
      <c r="X930" s="242"/>
      <c r="Y930" s="242"/>
      <c r="Z930" s="242"/>
    </row>
    <row r="931">
      <c r="A931" s="340"/>
      <c r="B931" s="242"/>
      <c r="C931" s="242"/>
      <c r="D931" s="242"/>
      <c r="E931" s="13"/>
      <c r="F931" s="13"/>
      <c r="G931" s="13"/>
      <c r="H931" s="13"/>
      <c r="I931" s="13"/>
      <c r="J931" s="13"/>
      <c r="K931" s="13"/>
      <c r="L931" s="242"/>
      <c r="M931" s="242"/>
      <c r="N931" s="242"/>
      <c r="O931" s="242"/>
      <c r="P931" s="242"/>
      <c r="Q931" s="242"/>
      <c r="R931" s="242"/>
      <c r="S931" s="242"/>
      <c r="T931" s="242"/>
      <c r="U931" s="242"/>
      <c r="V931" s="242"/>
      <c r="W931" s="242"/>
      <c r="X931" s="242"/>
      <c r="Y931" s="242"/>
      <c r="Z931" s="242"/>
    </row>
    <row r="932">
      <c r="A932" s="340"/>
      <c r="B932" s="242"/>
      <c r="C932" s="242"/>
      <c r="D932" s="242"/>
      <c r="E932" s="13"/>
      <c r="F932" s="13"/>
      <c r="G932" s="13"/>
      <c r="H932" s="13"/>
      <c r="I932" s="13"/>
      <c r="J932" s="13"/>
      <c r="K932" s="13"/>
      <c r="L932" s="242"/>
      <c r="M932" s="242"/>
      <c r="N932" s="242"/>
      <c r="O932" s="242"/>
      <c r="P932" s="242"/>
      <c r="Q932" s="242"/>
      <c r="R932" s="242"/>
      <c r="S932" s="242"/>
      <c r="T932" s="242"/>
      <c r="U932" s="242"/>
      <c r="V932" s="242"/>
      <c r="W932" s="242"/>
      <c r="X932" s="242"/>
      <c r="Y932" s="242"/>
      <c r="Z932" s="242"/>
    </row>
    <row r="933">
      <c r="A933" s="340"/>
      <c r="B933" s="242"/>
      <c r="C933" s="242"/>
      <c r="D933" s="242"/>
      <c r="E933" s="13"/>
      <c r="F933" s="13"/>
      <c r="G933" s="13"/>
      <c r="H933" s="13"/>
      <c r="I933" s="13"/>
      <c r="J933" s="13"/>
      <c r="K933" s="13"/>
      <c r="L933" s="242"/>
      <c r="M933" s="242"/>
      <c r="N933" s="242"/>
      <c r="O933" s="242"/>
      <c r="P933" s="242"/>
      <c r="Q933" s="242"/>
      <c r="R933" s="242"/>
      <c r="S933" s="242"/>
      <c r="T933" s="242"/>
      <c r="U933" s="242"/>
      <c r="V933" s="242"/>
      <c r="W933" s="242"/>
      <c r="X933" s="242"/>
      <c r="Y933" s="242"/>
      <c r="Z933" s="242"/>
    </row>
    <row r="934">
      <c r="A934" s="340"/>
      <c r="B934" s="242"/>
      <c r="C934" s="242"/>
      <c r="D934" s="242"/>
      <c r="E934" s="13"/>
      <c r="F934" s="13"/>
      <c r="G934" s="13"/>
      <c r="H934" s="13"/>
      <c r="I934" s="13"/>
      <c r="J934" s="13"/>
      <c r="K934" s="13"/>
      <c r="L934" s="242"/>
      <c r="M934" s="242"/>
      <c r="N934" s="242"/>
      <c r="O934" s="242"/>
      <c r="P934" s="242"/>
      <c r="Q934" s="242"/>
      <c r="R934" s="242"/>
      <c r="S934" s="242"/>
      <c r="T934" s="242"/>
      <c r="U934" s="242"/>
      <c r="V934" s="242"/>
      <c r="W934" s="242"/>
      <c r="X934" s="242"/>
      <c r="Y934" s="242"/>
      <c r="Z934" s="242"/>
    </row>
    <row r="935">
      <c r="A935" s="340"/>
      <c r="B935" s="242"/>
      <c r="C935" s="242"/>
      <c r="D935" s="242"/>
      <c r="E935" s="13"/>
      <c r="F935" s="13"/>
      <c r="G935" s="13"/>
      <c r="H935" s="13"/>
      <c r="I935" s="13"/>
      <c r="J935" s="13"/>
      <c r="K935" s="13"/>
      <c r="L935" s="242"/>
      <c r="M935" s="242"/>
      <c r="N935" s="242"/>
      <c r="O935" s="242"/>
      <c r="P935" s="242"/>
      <c r="Q935" s="242"/>
      <c r="R935" s="242"/>
      <c r="S935" s="242"/>
      <c r="T935" s="242"/>
      <c r="U935" s="242"/>
      <c r="V935" s="242"/>
      <c r="W935" s="242"/>
      <c r="X935" s="242"/>
      <c r="Y935" s="242"/>
      <c r="Z935" s="242"/>
    </row>
    <row r="936">
      <c r="A936" s="340"/>
      <c r="B936" s="242"/>
      <c r="C936" s="242"/>
      <c r="D936" s="242"/>
      <c r="E936" s="13"/>
      <c r="F936" s="13"/>
      <c r="G936" s="13"/>
      <c r="H936" s="13"/>
      <c r="I936" s="13"/>
      <c r="J936" s="13"/>
      <c r="K936" s="13"/>
      <c r="L936" s="242"/>
      <c r="M936" s="242"/>
      <c r="N936" s="242"/>
      <c r="O936" s="242"/>
      <c r="P936" s="242"/>
      <c r="Q936" s="242"/>
      <c r="R936" s="242"/>
      <c r="S936" s="242"/>
      <c r="T936" s="242"/>
      <c r="U936" s="242"/>
      <c r="V936" s="242"/>
      <c r="W936" s="242"/>
      <c r="X936" s="242"/>
      <c r="Y936" s="242"/>
      <c r="Z936" s="242"/>
    </row>
    <row r="937">
      <c r="A937" s="340"/>
      <c r="B937" s="242"/>
      <c r="C937" s="242"/>
      <c r="D937" s="242"/>
      <c r="E937" s="13"/>
      <c r="F937" s="13"/>
      <c r="G937" s="13"/>
      <c r="H937" s="13"/>
      <c r="I937" s="13"/>
      <c r="J937" s="13"/>
      <c r="K937" s="13"/>
      <c r="L937" s="242"/>
      <c r="M937" s="242"/>
      <c r="N937" s="242"/>
      <c r="O937" s="242"/>
      <c r="P937" s="242"/>
      <c r="Q937" s="242"/>
      <c r="R937" s="242"/>
      <c r="S937" s="242"/>
      <c r="T937" s="242"/>
      <c r="U937" s="242"/>
      <c r="V937" s="242"/>
      <c r="W937" s="242"/>
      <c r="X937" s="242"/>
      <c r="Y937" s="242"/>
      <c r="Z937" s="242"/>
    </row>
    <row r="938">
      <c r="A938" s="340"/>
      <c r="B938" s="242"/>
      <c r="C938" s="242"/>
      <c r="D938" s="242"/>
      <c r="E938" s="13"/>
      <c r="F938" s="13"/>
      <c r="G938" s="13"/>
      <c r="H938" s="13"/>
      <c r="I938" s="13"/>
      <c r="J938" s="13"/>
      <c r="K938" s="13"/>
      <c r="L938" s="242"/>
      <c r="M938" s="242"/>
      <c r="N938" s="242"/>
      <c r="O938" s="242"/>
      <c r="P938" s="242"/>
      <c r="Q938" s="242"/>
      <c r="R938" s="242"/>
      <c r="S938" s="242"/>
      <c r="T938" s="242"/>
      <c r="U938" s="242"/>
      <c r="V938" s="242"/>
      <c r="W938" s="242"/>
      <c r="X938" s="242"/>
      <c r="Y938" s="242"/>
      <c r="Z938" s="242"/>
    </row>
    <row r="939">
      <c r="A939" s="340"/>
      <c r="B939" s="242"/>
      <c r="C939" s="242"/>
      <c r="D939" s="242"/>
      <c r="E939" s="13"/>
      <c r="F939" s="13"/>
      <c r="G939" s="13"/>
      <c r="H939" s="13"/>
      <c r="I939" s="13"/>
      <c r="J939" s="13"/>
      <c r="K939" s="13"/>
      <c r="L939" s="242"/>
      <c r="M939" s="242"/>
      <c r="N939" s="242"/>
      <c r="O939" s="242"/>
      <c r="P939" s="242"/>
      <c r="Q939" s="242"/>
      <c r="R939" s="242"/>
      <c r="S939" s="242"/>
      <c r="T939" s="242"/>
      <c r="U939" s="242"/>
      <c r="V939" s="242"/>
      <c r="W939" s="242"/>
      <c r="X939" s="242"/>
      <c r="Y939" s="242"/>
      <c r="Z939" s="242"/>
    </row>
    <row r="940">
      <c r="A940" s="340"/>
      <c r="B940" s="242"/>
      <c r="C940" s="242"/>
      <c r="D940" s="242"/>
      <c r="E940" s="13"/>
      <c r="F940" s="13"/>
      <c r="G940" s="13"/>
      <c r="H940" s="13"/>
      <c r="I940" s="13"/>
      <c r="J940" s="13"/>
      <c r="K940" s="13"/>
      <c r="L940" s="242"/>
      <c r="M940" s="242"/>
      <c r="N940" s="242"/>
      <c r="O940" s="242"/>
      <c r="P940" s="242"/>
      <c r="Q940" s="242"/>
      <c r="R940" s="242"/>
      <c r="S940" s="242"/>
      <c r="T940" s="242"/>
      <c r="U940" s="242"/>
      <c r="V940" s="242"/>
      <c r="W940" s="242"/>
      <c r="X940" s="242"/>
      <c r="Y940" s="242"/>
      <c r="Z940" s="242"/>
    </row>
    <row r="941">
      <c r="A941" s="340"/>
      <c r="B941" s="242"/>
      <c r="C941" s="242"/>
      <c r="D941" s="242"/>
      <c r="E941" s="13"/>
      <c r="F941" s="13"/>
      <c r="G941" s="13"/>
      <c r="H941" s="13"/>
      <c r="I941" s="13"/>
      <c r="J941" s="13"/>
      <c r="K941" s="13"/>
      <c r="L941" s="242"/>
      <c r="M941" s="242"/>
      <c r="N941" s="242"/>
      <c r="O941" s="242"/>
      <c r="P941" s="242"/>
      <c r="Q941" s="242"/>
      <c r="R941" s="242"/>
      <c r="S941" s="242"/>
      <c r="T941" s="242"/>
      <c r="U941" s="242"/>
      <c r="V941" s="242"/>
      <c r="W941" s="242"/>
      <c r="X941" s="242"/>
      <c r="Y941" s="242"/>
      <c r="Z941" s="242"/>
    </row>
    <row r="942">
      <c r="A942" s="340"/>
      <c r="B942" s="242"/>
      <c r="C942" s="242"/>
      <c r="D942" s="242"/>
      <c r="E942" s="13"/>
      <c r="F942" s="13"/>
      <c r="G942" s="13"/>
      <c r="H942" s="13"/>
      <c r="I942" s="13"/>
      <c r="J942" s="13"/>
      <c r="K942" s="13"/>
      <c r="L942" s="242"/>
      <c r="M942" s="242"/>
      <c r="N942" s="242"/>
      <c r="O942" s="242"/>
      <c r="P942" s="242"/>
      <c r="Q942" s="242"/>
      <c r="R942" s="242"/>
      <c r="S942" s="242"/>
      <c r="T942" s="242"/>
      <c r="U942" s="242"/>
      <c r="V942" s="242"/>
      <c r="W942" s="242"/>
      <c r="X942" s="242"/>
      <c r="Y942" s="242"/>
      <c r="Z942" s="242"/>
    </row>
    <row r="943">
      <c r="A943" s="340"/>
      <c r="B943" s="242"/>
      <c r="C943" s="242"/>
      <c r="D943" s="242"/>
      <c r="E943" s="13"/>
      <c r="F943" s="13"/>
      <c r="G943" s="13"/>
      <c r="H943" s="13"/>
      <c r="I943" s="13"/>
      <c r="J943" s="13"/>
      <c r="K943" s="13"/>
      <c r="L943" s="242"/>
      <c r="M943" s="242"/>
      <c r="N943" s="242"/>
      <c r="O943" s="242"/>
      <c r="P943" s="242"/>
      <c r="Q943" s="242"/>
      <c r="R943" s="242"/>
      <c r="S943" s="242"/>
      <c r="T943" s="242"/>
      <c r="U943" s="242"/>
      <c r="V943" s="242"/>
      <c r="W943" s="242"/>
      <c r="X943" s="242"/>
      <c r="Y943" s="242"/>
      <c r="Z943" s="242"/>
    </row>
    <row r="944">
      <c r="A944" s="340"/>
      <c r="B944" s="242"/>
      <c r="C944" s="242"/>
      <c r="D944" s="242"/>
      <c r="E944" s="13"/>
      <c r="F944" s="13"/>
      <c r="G944" s="13"/>
      <c r="H944" s="13"/>
      <c r="I944" s="13"/>
      <c r="J944" s="13"/>
      <c r="K944" s="13"/>
      <c r="L944" s="242"/>
      <c r="M944" s="242"/>
      <c r="N944" s="242"/>
      <c r="O944" s="242"/>
      <c r="P944" s="242"/>
      <c r="Q944" s="242"/>
      <c r="R944" s="242"/>
      <c r="S944" s="242"/>
      <c r="T944" s="242"/>
      <c r="U944" s="242"/>
      <c r="V944" s="242"/>
      <c r="W944" s="242"/>
      <c r="X944" s="242"/>
      <c r="Y944" s="242"/>
      <c r="Z944" s="242"/>
    </row>
    <row r="945">
      <c r="A945" s="340"/>
      <c r="B945" s="242"/>
      <c r="C945" s="242"/>
      <c r="D945" s="242"/>
      <c r="E945" s="13"/>
      <c r="F945" s="13"/>
      <c r="G945" s="13"/>
      <c r="H945" s="13"/>
      <c r="I945" s="13"/>
      <c r="J945" s="13"/>
      <c r="K945" s="13"/>
      <c r="L945" s="242"/>
      <c r="M945" s="242"/>
      <c r="N945" s="242"/>
      <c r="O945" s="242"/>
      <c r="P945" s="242"/>
      <c r="Q945" s="242"/>
      <c r="R945" s="242"/>
      <c r="S945" s="242"/>
      <c r="T945" s="242"/>
      <c r="U945" s="242"/>
      <c r="V945" s="242"/>
      <c r="W945" s="242"/>
      <c r="X945" s="242"/>
      <c r="Y945" s="242"/>
      <c r="Z945" s="242"/>
    </row>
    <row r="946">
      <c r="A946" s="340"/>
      <c r="B946" s="242"/>
      <c r="C946" s="242"/>
      <c r="D946" s="242"/>
      <c r="E946" s="13"/>
      <c r="F946" s="13"/>
      <c r="G946" s="13"/>
      <c r="H946" s="13"/>
      <c r="I946" s="13"/>
      <c r="J946" s="13"/>
      <c r="K946" s="13"/>
      <c r="L946" s="242"/>
      <c r="M946" s="242"/>
      <c r="N946" s="242"/>
      <c r="O946" s="242"/>
      <c r="P946" s="242"/>
      <c r="Q946" s="242"/>
      <c r="R946" s="242"/>
      <c r="S946" s="242"/>
      <c r="T946" s="242"/>
      <c r="U946" s="242"/>
      <c r="V946" s="242"/>
      <c r="W946" s="242"/>
      <c r="X946" s="242"/>
      <c r="Y946" s="242"/>
      <c r="Z946" s="242"/>
    </row>
    <row r="947">
      <c r="A947" s="340"/>
      <c r="B947" s="242"/>
      <c r="C947" s="242"/>
      <c r="D947" s="242"/>
      <c r="E947" s="13"/>
      <c r="F947" s="13"/>
      <c r="G947" s="13"/>
      <c r="H947" s="13"/>
      <c r="I947" s="13"/>
      <c r="J947" s="13"/>
      <c r="K947" s="13"/>
      <c r="L947" s="242"/>
      <c r="M947" s="242"/>
      <c r="N947" s="242"/>
      <c r="O947" s="242"/>
      <c r="P947" s="242"/>
      <c r="Q947" s="242"/>
      <c r="R947" s="242"/>
      <c r="S947" s="242"/>
      <c r="T947" s="242"/>
      <c r="U947" s="242"/>
      <c r="V947" s="242"/>
      <c r="W947" s="242"/>
      <c r="X947" s="242"/>
      <c r="Y947" s="242"/>
      <c r="Z947" s="242"/>
    </row>
    <row r="948">
      <c r="A948" s="340"/>
      <c r="B948" s="242"/>
      <c r="C948" s="242"/>
      <c r="D948" s="242"/>
      <c r="E948" s="13"/>
      <c r="F948" s="13"/>
      <c r="G948" s="13"/>
      <c r="H948" s="13"/>
      <c r="I948" s="13"/>
      <c r="J948" s="13"/>
      <c r="K948" s="13"/>
      <c r="L948" s="242"/>
      <c r="M948" s="242"/>
      <c r="N948" s="242"/>
      <c r="O948" s="242"/>
      <c r="P948" s="242"/>
      <c r="Q948" s="242"/>
      <c r="R948" s="242"/>
      <c r="S948" s="242"/>
      <c r="T948" s="242"/>
      <c r="U948" s="242"/>
      <c r="V948" s="242"/>
      <c r="W948" s="242"/>
      <c r="X948" s="242"/>
      <c r="Y948" s="242"/>
      <c r="Z948" s="242"/>
    </row>
    <row r="949">
      <c r="A949" s="340"/>
      <c r="B949" s="242"/>
      <c r="C949" s="242"/>
      <c r="D949" s="242"/>
      <c r="E949" s="13"/>
      <c r="F949" s="13"/>
      <c r="G949" s="13"/>
      <c r="H949" s="13"/>
      <c r="I949" s="13"/>
      <c r="J949" s="13"/>
      <c r="K949" s="13"/>
      <c r="L949" s="242"/>
      <c r="M949" s="242"/>
      <c r="N949" s="242"/>
      <c r="O949" s="242"/>
      <c r="P949" s="242"/>
      <c r="Q949" s="242"/>
      <c r="R949" s="242"/>
      <c r="S949" s="242"/>
      <c r="T949" s="242"/>
      <c r="U949" s="242"/>
      <c r="V949" s="242"/>
      <c r="W949" s="242"/>
      <c r="X949" s="242"/>
      <c r="Y949" s="242"/>
      <c r="Z949" s="242"/>
    </row>
    <row r="950">
      <c r="A950" s="340"/>
      <c r="B950" s="242"/>
      <c r="C950" s="242"/>
      <c r="D950" s="242"/>
      <c r="E950" s="13"/>
      <c r="F950" s="13"/>
      <c r="G950" s="13"/>
      <c r="H950" s="13"/>
      <c r="I950" s="13"/>
      <c r="J950" s="13"/>
      <c r="K950" s="13"/>
      <c r="L950" s="242"/>
      <c r="M950" s="242"/>
      <c r="N950" s="242"/>
      <c r="O950" s="242"/>
      <c r="P950" s="242"/>
      <c r="Q950" s="242"/>
      <c r="R950" s="242"/>
      <c r="S950" s="242"/>
      <c r="T950" s="242"/>
      <c r="U950" s="242"/>
      <c r="V950" s="242"/>
      <c r="W950" s="242"/>
      <c r="X950" s="242"/>
      <c r="Y950" s="242"/>
      <c r="Z950" s="242"/>
    </row>
    <row r="951">
      <c r="A951" s="340"/>
      <c r="B951" s="242"/>
      <c r="C951" s="242"/>
      <c r="D951" s="242"/>
      <c r="E951" s="13"/>
      <c r="F951" s="13"/>
      <c r="G951" s="13"/>
      <c r="H951" s="13"/>
      <c r="I951" s="13"/>
      <c r="J951" s="13"/>
      <c r="K951" s="13"/>
      <c r="L951" s="242"/>
      <c r="M951" s="242"/>
      <c r="N951" s="242"/>
      <c r="O951" s="242"/>
      <c r="P951" s="242"/>
      <c r="Q951" s="242"/>
      <c r="R951" s="242"/>
      <c r="S951" s="242"/>
      <c r="T951" s="242"/>
      <c r="U951" s="242"/>
      <c r="V951" s="242"/>
      <c r="W951" s="242"/>
      <c r="X951" s="242"/>
      <c r="Y951" s="242"/>
      <c r="Z951" s="242"/>
    </row>
    <row r="952">
      <c r="A952" s="340"/>
      <c r="B952" s="242"/>
      <c r="C952" s="242"/>
      <c r="D952" s="242"/>
      <c r="E952" s="13"/>
      <c r="F952" s="13"/>
      <c r="G952" s="13"/>
      <c r="H952" s="13"/>
      <c r="I952" s="13"/>
      <c r="J952" s="13"/>
      <c r="K952" s="13"/>
      <c r="L952" s="242"/>
      <c r="M952" s="242"/>
      <c r="N952" s="242"/>
      <c r="O952" s="242"/>
      <c r="P952" s="242"/>
      <c r="Q952" s="242"/>
      <c r="R952" s="242"/>
      <c r="S952" s="242"/>
      <c r="T952" s="242"/>
      <c r="U952" s="242"/>
      <c r="V952" s="242"/>
      <c r="W952" s="242"/>
      <c r="X952" s="242"/>
      <c r="Y952" s="242"/>
      <c r="Z952" s="242"/>
    </row>
    <row r="953">
      <c r="A953" s="340"/>
      <c r="B953" s="242"/>
      <c r="C953" s="242"/>
      <c r="D953" s="242"/>
      <c r="E953" s="13"/>
      <c r="F953" s="13"/>
      <c r="G953" s="13"/>
      <c r="H953" s="13"/>
      <c r="I953" s="13"/>
      <c r="J953" s="13"/>
      <c r="K953" s="13"/>
      <c r="L953" s="242"/>
      <c r="M953" s="242"/>
      <c r="N953" s="242"/>
      <c r="O953" s="242"/>
      <c r="P953" s="242"/>
      <c r="Q953" s="242"/>
      <c r="R953" s="242"/>
      <c r="S953" s="242"/>
      <c r="T953" s="242"/>
      <c r="U953" s="242"/>
      <c r="V953" s="242"/>
      <c r="W953" s="242"/>
      <c r="X953" s="242"/>
      <c r="Y953" s="242"/>
      <c r="Z953" s="242"/>
    </row>
    <row r="954">
      <c r="A954" s="340"/>
      <c r="B954" s="242"/>
      <c r="C954" s="242"/>
      <c r="D954" s="242"/>
      <c r="E954" s="13"/>
      <c r="F954" s="13"/>
      <c r="G954" s="13"/>
      <c r="H954" s="13"/>
      <c r="I954" s="13"/>
      <c r="J954" s="13"/>
      <c r="K954" s="13"/>
      <c r="L954" s="242"/>
      <c r="M954" s="242"/>
      <c r="N954" s="242"/>
      <c r="O954" s="242"/>
      <c r="P954" s="242"/>
      <c r="Q954" s="242"/>
      <c r="R954" s="242"/>
      <c r="S954" s="242"/>
      <c r="T954" s="242"/>
      <c r="U954" s="242"/>
      <c r="V954" s="242"/>
      <c r="W954" s="242"/>
      <c r="X954" s="242"/>
      <c r="Y954" s="242"/>
      <c r="Z954" s="242"/>
    </row>
    <row r="955">
      <c r="A955" s="340"/>
      <c r="B955" s="242"/>
      <c r="C955" s="242"/>
      <c r="D955" s="242"/>
      <c r="E955" s="13"/>
      <c r="F955" s="13"/>
      <c r="G955" s="13"/>
      <c r="H955" s="13"/>
      <c r="I955" s="13"/>
      <c r="J955" s="13"/>
      <c r="K955" s="13"/>
      <c r="L955" s="242"/>
      <c r="M955" s="242"/>
      <c r="N955" s="242"/>
      <c r="O955" s="242"/>
      <c r="P955" s="242"/>
      <c r="Q955" s="242"/>
      <c r="R955" s="242"/>
      <c r="S955" s="242"/>
      <c r="T955" s="242"/>
      <c r="U955" s="242"/>
      <c r="V955" s="242"/>
      <c r="W955" s="242"/>
      <c r="X955" s="242"/>
      <c r="Y955" s="242"/>
      <c r="Z955" s="242"/>
    </row>
    <row r="956">
      <c r="A956" s="340"/>
      <c r="B956" s="242"/>
      <c r="C956" s="242"/>
      <c r="D956" s="242"/>
      <c r="E956" s="13"/>
      <c r="F956" s="13"/>
      <c r="G956" s="13"/>
      <c r="H956" s="13"/>
      <c r="I956" s="13"/>
      <c r="J956" s="13"/>
      <c r="K956" s="13"/>
      <c r="L956" s="242"/>
      <c r="M956" s="242"/>
      <c r="N956" s="242"/>
      <c r="O956" s="242"/>
      <c r="P956" s="242"/>
      <c r="Q956" s="242"/>
      <c r="R956" s="242"/>
      <c r="S956" s="242"/>
      <c r="T956" s="242"/>
      <c r="U956" s="242"/>
      <c r="V956" s="242"/>
      <c r="W956" s="242"/>
      <c r="X956" s="242"/>
      <c r="Y956" s="242"/>
      <c r="Z956" s="242"/>
    </row>
    <row r="957">
      <c r="A957" s="340"/>
      <c r="B957" s="242"/>
      <c r="C957" s="242"/>
      <c r="D957" s="242"/>
      <c r="E957" s="13"/>
      <c r="F957" s="13"/>
      <c r="G957" s="13"/>
      <c r="H957" s="13"/>
      <c r="I957" s="13"/>
      <c r="J957" s="13"/>
      <c r="K957" s="13"/>
      <c r="L957" s="242"/>
      <c r="M957" s="242"/>
      <c r="N957" s="242"/>
      <c r="O957" s="242"/>
      <c r="P957" s="242"/>
      <c r="Q957" s="242"/>
      <c r="R957" s="242"/>
      <c r="S957" s="242"/>
      <c r="T957" s="242"/>
      <c r="U957" s="242"/>
      <c r="V957" s="242"/>
      <c r="W957" s="242"/>
      <c r="X957" s="242"/>
      <c r="Y957" s="242"/>
      <c r="Z957" s="242"/>
    </row>
    <row r="958">
      <c r="A958" s="340"/>
      <c r="B958" s="242"/>
      <c r="C958" s="242"/>
      <c r="D958" s="242"/>
      <c r="E958" s="13"/>
      <c r="F958" s="13"/>
      <c r="G958" s="13"/>
      <c r="H958" s="13"/>
      <c r="I958" s="13"/>
      <c r="J958" s="13"/>
      <c r="K958" s="13"/>
      <c r="L958" s="242"/>
      <c r="M958" s="242"/>
      <c r="N958" s="242"/>
      <c r="O958" s="242"/>
      <c r="P958" s="242"/>
      <c r="Q958" s="242"/>
      <c r="R958" s="242"/>
      <c r="S958" s="242"/>
      <c r="T958" s="242"/>
      <c r="U958" s="242"/>
      <c r="V958" s="242"/>
      <c r="W958" s="242"/>
      <c r="X958" s="242"/>
      <c r="Y958" s="242"/>
      <c r="Z958" s="242"/>
    </row>
    <row r="959">
      <c r="A959" s="340"/>
      <c r="B959" s="242"/>
      <c r="C959" s="242"/>
      <c r="D959" s="242"/>
      <c r="E959" s="13"/>
      <c r="F959" s="13"/>
      <c r="G959" s="13"/>
      <c r="H959" s="13"/>
      <c r="I959" s="13"/>
      <c r="J959" s="13"/>
      <c r="K959" s="13"/>
      <c r="L959" s="242"/>
      <c r="M959" s="242"/>
      <c r="N959" s="242"/>
      <c r="O959" s="242"/>
      <c r="P959" s="242"/>
      <c r="Q959" s="242"/>
      <c r="R959" s="242"/>
      <c r="S959" s="242"/>
      <c r="T959" s="242"/>
      <c r="U959" s="242"/>
      <c r="V959" s="242"/>
      <c r="W959" s="242"/>
      <c r="X959" s="242"/>
      <c r="Y959" s="242"/>
      <c r="Z959" s="242"/>
    </row>
    <row r="960">
      <c r="A960" s="340"/>
      <c r="B960" s="242"/>
      <c r="C960" s="242"/>
      <c r="D960" s="242"/>
      <c r="E960" s="13"/>
      <c r="F960" s="13"/>
      <c r="G960" s="13"/>
      <c r="H960" s="13"/>
      <c r="I960" s="13"/>
      <c r="J960" s="13"/>
      <c r="K960" s="13"/>
      <c r="L960" s="242"/>
      <c r="M960" s="242"/>
      <c r="N960" s="242"/>
      <c r="O960" s="242"/>
      <c r="P960" s="242"/>
      <c r="Q960" s="242"/>
      <c r="R960" s="242"/>
      <c r="S960" s="242"/>
      <c r="T960" s="242"/>
      <c r="U960" s="242"/>
      <c r="V960" s="242"/>
      <c r="W960" s="242"/>
      <c r="X960" s="242"/>
      <c r="Y960" s="242"/>
      <c r="Z960" s="242"/>
    </row>
    <row r="961">
      <c r="A961" s="340"/>
      <c r="B961" s="242"/>
      <c r="C961" s="242"/>
      <c r="D961" s="242"/>
      <c r="E961" s="13"/>
      <c r="F961" s="13"/>
      <c r="G961" s="13"/>
      <c r="H961" s="13"/>
      <c r="I961" s="13"/>
      <c r="J961" s="13"/>
      <c r="K961" s="13"/>
      <c r="L961" s="242"/>
      <c r="M961" s="242"/>
      <c r="N961" s="242"/>
      <c r="O961" s="242"/>
      <c r="P961" s="242"/>
      <c r="Q961" s="242"/>
      <c r="R961" s="242"/>
      <c r="S961" s="242"/>
      <c r="T961" s="242"/>
      <c r="U961" s="242"/>
      <c r="V961" s="242"/>
      <c r="W961" s="242"/>
      <c r="X961" s="242"/>
      <c r="Y961" s="242"/>
      <c r="Z961" s="242"/>
    </row>
    <row r="962">
      <c r="A962" s="340"/>
      <c r="B962" s="242"/>
      <c r="C962" s="242"/>
      <c r="D962" s="242"/>
      <c r="E962" s="13"/>
      <c r="F962" s="13"/>
      <c r="G962" s="13"/>
      <c r="H962" s="13"/>
      <c r="I962" s="13"/>
      <c r="J962" s="13"/>
      <c r="K962" s="13"/>
      <c r="L962" s="242"/>
      <c r="M962" s="242"/>
      <c r="N962" s="242"/>
      <c r="O962" s="242"/>
      <c r="P962" s="242"/>
      <c r="Q962" s="242"/>
      <c r="R962" s="242"/>
      <c r="S962" s="242"/>
      <c r="T962" s="242"/>
      <c r="U962" s="242"/>
      <c r="V962" s="242"/>
      <c r="W962" s="242"/>
      <c r="X962" s="242"/>
      <c r="Y962" s="242"/>
      <c r="Z962" s="242"/>
    </row>
    <row r="963">
      <c r="A963" s="340"/>
      <c r="B963" s="242"/>
      <c r="C963" s="242"/>
      <c r="D963" s="242"/>
      <c r="E963" s="13"/>
      <c r="F963" s="13"/>
      <c r="G963" s="13"/>
      <c r="H963" s="13"/>
      <c r="I963" s="13"/>
      <c r="J963" s="13"/>
      <c r="K963" s="13"/>
      <c r="L963" s="242"/>
      <c r="M963" s="242"/>
      <c r="N963" s="242"/>
      <c r="O963" s="242"/>
      <c r="P963" s="242"/>
      <c r="Q963" s="242"/>
      <c r="R963" s="242"/>
      <c r="S963" s="242"/>
      <c r="T963" s="242"/>
      <c r="U963" s="242"/>
      <c r="V963" s="242"/>
      <c r="W963" s="242"/>
      <c r="X963" s="242"/>
      <c r="Y963" s="242"/>
      <c r="Z963" s="242"/>
    </row>
    <row r="964">
      <c r="A964" s="340"/>
      <c r="B964" s="242"/>
      <c r="C964" s="242"/>
      <c r="D964" s="242"/>
      <c r="E964" s="13"/>
      <c r="F964" s="13"/>
      <c r="G964" s="13"/>
      <c r="H964" s="13"/>
      <c r="I964" s="13"/>
      <c r="J964" s="13"/>
      <c r="K964" s="13"/>
      <c r="L964" s="242"/>
      <c r="M964" s="242"/>
      <c r="N964" s="242"/>
      <c r="O964" s="242"/>
      <c r="P964" s="242"/>
      <c r="Q964" s="242"/>
      <c r="R964" s="242"/>
      <c r="S964" s="242"/>
      <c r="T964" s="242"/>
      <c r="U964" s="242"/>
      <c r="V964" s="242"/>
      <c r="W964" s="242"/>
      <c r="X964" s="242"/>
      <c r="Y964" s="242"/>
      <c r="Z964" s="242"/>
    </row>
    <row r="965">
      <c r="A965" s="340"/>
      <c r="B965" s="242"/>
      <c r="C965" s="242"/>
      <c r="D965" s="242"/>
      <c r="E965" s="13"/>
      <c r="F965" s="13"/>
      <c r="G965" s="13"/>
      <c r="H965" s="13"/>
      <c r="I965" s="13"/>
      <c r="J965" s="13"/>
      <c r="K965" s="13"/>
      <c r="L965" s="242"/>
      <c r="M965" s="242"/>
      <c r="N965" s="242"/>
      <c r="O965" s="242"/>
      <c r="P965" s="242"/>
      <c r="Q965" s="242"/>
      <c r="R965" s="242"/>
      <c r="S965" s="242"/>
      <c r="T965" s="242"/>
      <c r="U965" s="242"/>
      <c r="V965" s="242"/>
      <c r="W965" s="242"/>
      <c r="X965" s="242"/>
      <c r="Y965" s="242"/>
      <c r="Z965" s="242"/>
    </row>
    <row r="966">
      <c r="A966" s="340"/>
      <c r="B966" s="242"/>
      <c r="C966" s="242"/>
      <c r="D966" s="242"/>
      <c r="E966" s="13"/>
      <c r="F966" s="13"/>
      <c r="G966" s="13"/>
      <c r="H966" s="13"/>
      <c r="I966" s="13"/>
      <c r="J966" s="13"/>
      <c r="K966" s="13"/>
      <c r="L966" s="242"/>
      <c r="M966" s="242"/>
      <c r="N966" s="242"/>
      <c r="O966" s="242"/>
      <c r="P966" s="242"/>
      <c r="Q966" s="242"/>
      <c r="R966" s="242"/>
      <c r="S966" s="242"/>
      <c r="T966" s="242"/>
      <c r="U966" s="242"/>
      <c r="V966" s="242"/>
      <c r="W966" s="242"/>
      <c r="X966" s="242"/>
      <c r="Y966" s="242"/>
      <c r="Z966" s="242"/>
    </row>
    <row r="967">
      <c r="A967" s="340"/>
      <c r="B967" s="242"/>
      <c r="C967" s="242"/>
      <c r="D967" s="242"/>
      <c r="E967" s="13"/>
      <c r="F967" s="13"/>
      <c r="G967" s="13"/>
      <c r="H967" s="13"/>
      <c r="I967" s="13"/>
      <c r="J967" s="13"/>
      <c r="K967" s="13"/>
      <c r="L967" s="242"/>
      <c r="M967" s="242"/>
      <c r="N967" s="242"/>
      <c r="O967" s="242"/>
      <c r="P967" s="242"/>
      <c r="Q967" s="242"/>
      <c r="R967" s="242"/>
      <c r="S967" s="242"/>
      <c r="T967" s="242"/>
      <c r="U967" s="242"/>
      <c r="V967" s="242"/>
      <c r="W967" s="242"/>
      <c r="X967" s="242"/>
      <c r="Y967" s="242"/>
      <c r="Z967" s="242"/>
    </row>
    <row r="968">
      <c r="A968" s="340"/>
      <c r="B968" s="242"/>
      <c r="C968" s="242"/>
      <c r="D968" s="242"/>
      <c r="E968" s="13"/>
      <c r="F968" s="13"/>
      <c r="G968" s="13"/>
      <c r="H968" s="13"/>
      <c r="I968" s="13"/>
      <c r="J968" s="13"/>
      <c r="K968" s="13"/>
      <c r="L968" s="242"/>
      <c r="M968" s="242"/>
      <c r="N968" s="242"/>
      <c r="O968" s="242"/>
      <c r="P968" s="242"/>
      <c r="Q968" s="242"/>
      <c r="R968" s="242"/>
      <c r="S968" s="242"/>
      <c r="T968" s="242"/>
      <c r="U968" s="242"/>
      <c r="V968" s="242"/>
      <c r="W968" s="242"/>
      <c r="X968" s="242"/>
      <c r="Y968" s="242"/>
      <c r="Z968" s="242"/>
    </row>
    <row r="969">
      <c r="A969" s="340"/>
      <c r="B969" s="242"/>
      <c r="C969" s="242"/>
      <c r="D969" s="242"/>
      <c r="E969" s="13"/>
      <c r="F969" s="13"/>
      <c r="G969" s="13"/>
      <c r="H969" s="13"/>
      <c r="I969" s="13"/>
      <c r="J969" s="13"/>
      <c r="K969" s="13"/>
      <c r="L969" s="242"/>
      <c r="M969" s="242"/>
      <c r="N969" s="242"/>
      <c r="O969" s="242"/>
      <c r="P969" s="242"/>
      <c r="Q969" s="242"/>
      <c r="R969" s="242"/>
      <c r="S969" s="242"/>
      <c r="T969" s="242"/>
      <c r="U969" s="242"/>
      <c r="V969" s="242"/>
      <c r="W969" s="242"/>
      <c r="X969" s="242"/>
      <c r="Y969" s="242"/>
      <c r="Z969" s="242"/>
    </row>
    <row r="970">
      <c r="A970" s="340"/>
      <c r="B970" s="242"/>
      <c r="C970" s="242"/>
      <c r="D970" s="242"/>
      <c r="E970" s="13"/>
      <c r="F970" s="13"/>
      <c r="G970" s="13"/>
      <c r="H970" s="13"/>
      <c r="I970" s="13"/>
      <c r="J970" s="13"/>
      <c r="K970" s="13"/>
      <c r="L970" s="242"/>
      <c r="M970" s="242"/>
      <c r="N970" s="242"/>
      <c r="O970" s="242"/>
      <c r="P970" s="242"/>
      <c r="Q970" s="242"/>
      <c r="R970" s="242"/>
      <c r="S970" s="242"/>
      <c r="T970" s="242"/>
      <c r="U970" s="242"/>
      <c r="V970" s="242"/>
      <c r="W970" s="242"/>
      <c r="X970" s="242"/>
      <c r="Y970" s="242"/>
      <c r="Z970" s="242"/>
    </row>
    <row r="971">
      <c r="A971" s="340"/>
      <c r="B971" s="242"/>
      <c r="C971" s="242"/>
      <c r="D971" s="242"/>
      <c r="E971" s="13"/>
      <c r="F971" s="13"/>
      <c r="G971" s="13"/>
      <c r="H971" s="13"/>
      <c r="I971" s="13"/>
      <c r="J971" s="13"/>
      <c r="K971" s="13"/>
      <c r="L971" s="242"/>
      <c r="M971" s="242"/>
      <c r="N971" s="242"/>
      <c r="O971" s="242"/>
      <c r="P971" s="242"/>
      <c r="Q971" s="242"/>
      <c r="R971" s="242"/>
      <c r="S971" s="242"/>
      <c r="T971" s="242"/>
      <c r="U971" s="242"/>
      <c r="V971" s="242"/>
      <c r="W971" s="242"/>
      <c r="X971" s="242"/>
      <c r="Y971" s="242"/>
      <c r="Z971" s="242"/>
    </row>
    <row r="972">
      <c r="A972" s="340"/>
      <c r="B972" s="242"/>
      <c r="C972" s="242"/>
      <c r="D972" s="242"/>
      <c r="E972" s="13"/>
      <c r="F972" s="13"/>
      <c r="G972" s="13"/>
      <c r="H972" s="13"/>
      <c r="I972" s="13"/>
      <c r="J972" s="13"/>
      <c r="K972" s="13"/>
      <c r="L972" s="242"/>
      <c r="M972" s="242"/>
      <c r="N972" s="242"/>
      <c r="O972" s="242"/>
      <c r="P972" s="242"/>
      <c r="Q972" s="242"/>
      <c r="R972" s="242"/>
      <c r="S972" s="242"/>
      <c r="T972" s="242"/>
      <c r="U972" s="242"/>
      <c r="V972" s="242"/>
      <c r="W972" s="242"/>
      <c r="X972" s="242"/>
      <c r="Y972" s="242"/>
      <c r="Z972" s="242"/>
    </row>
    <row r="973">
      <c r="A973" s="340"/>
      <c r="B973" s="242"/>
      <c r="C973" s="242"/>
      <c r="D973" s="242"/>
      <c r="E973" s="13"/>
      <c r="F973" s="13"/>
      <c r="G973" s="13"/>
      <c r="H973" s="13"/>
      <c r="I973" s="13"/>
      <c r="J973" s="13"/>
      <c r="K973" s="13"/>
      <c r="L973" s="242"/>
      <c r="M973" s="242"/>
      <c r="N973" s="242"/>
      <c r="O973" s="242"/>
      <c r="P973" s="242"/>
      <c r="Q973" s="242"/>
      <c r="R973" s="242"/>
      <c r="S973" s="242"/>
      <c r="T973" s="242"/>
      <c r="U973" s="242"/>
      <c r="V973" s="242"/>
      <c r="W973" s="242"/>
      <c r="X973" s="242"/>
      <c r="Y973" s="242"/>
      <c r="Z973" s="242"/>
    </row>
    <row r="974">
      <c r="A974" s="340"/>
      <c r="B974" s="242"/>
      <c r="C974" s="242"/>
      <c r="D974" s="242"/>
      <c r="E974" s="13"/>
      <c r="F974" s="13"/>
      <c r="G974" s="13"/>
      <c r="H974" s="13"/>
      <c r="I974" s="13"/>
      <c r="J974" s="13"/>
      <c r="K974" s="13"/>
      <c r="L974" s="242"/>
      <c r="M974" s="242"/>
      <c r="N974" s="242"/>
      <c r="O974" s="242"/>
      <c r="P974" s="242"/>
      <c r="Q974" s="242"/>
      <c r="R974" s="242"/>
      <c r="S974" s="242"/>
      <c r="T974" s="242"/>
      <c r="U974" s="242"/>
      <c r="V974" s="242"/>
      <c r="W974" s="242"/>
      <c r="X974" s="242"/>
      <c r="Y974" s="242"/>
      <c r="Z974" s="242"/>
    </row>
    <row r="975">
      <c r="A975" s="340"/>
      <c r="B975" s="242"/>
      <c r="C975" s="242"/>
      <c r="D975" s="242"/>
      <c r="E975" s="13"/>
      <c r="F975" s="13"/>
      <c r="G975" s="13"/>
      <c r="H975" s="13"/>
      <c r="I975" s="13"/>
      <c r="J975" s="13"/>
      <c r="K975" s="13"/>
      <c r="L975" s="242"/>
      <c r="M975" s="242"/>
      <c r="N975" s="242"/>
      <c r="O975" s="242"/>
      <c r="P975" s="242"/>
      <c r="Q975" s="242"/>
      <c r="R975" s="242"/>
      <c r="S975" s="242"/>
      <c r="T975" s="242"/>
      <c r="U975" s="242"/>
      <c r="V975" s="242"/>
      <c r="W975" s="242"/>
      <c r="X975" s="242"/>
      <c r="Y975" s="242"/>
      <c r="Z975" s="242"/>
    </row>
    <row r="976">
      <c r="A976" s="340"/>
      <c r="B976" s="242"/>
      <c r="C976" s="242"/>
      <c r="D976" s="242"/>
      <c r="E976" s="13"/>
      <c r="F976" s="13"/>
      <c r="G976" s="13"/>
      <c r="H976" s="13"/>
      <c r="I976" s="13"/>
      <c r="J976" s="13"/>
      <c r="K976" s="13"/>
      <c r="L976" s="242"/>
      <c r="M976" s="242"/>
      <c r="N976" s="242"/>
      <c r="O976" s="242"/>
      <c r="P976" s="242"/>
      <c r="Q976" s="242"/>
      <c r="R976" s="242"/>
      <c r="S976" s="242"/>
      <c r="T976" s="242"/>
      <c r="U976" s="242"/>
      <c r="V976" s="242"/>
      <c r="W976" s="242"/>
      <c r="X976" s="242"/>
      <c r="Y976" s="242"/>
      <c r="Z976" s="242"/>
    </row>
    <row r="977">
      <c r="A977" s="340"/>
      <c r="B977" s="242"/>
      <c r="C977" s="242"/>
      <c r="D977" s="242"/>
      <c r="E977" s="13"/>
      <c r="F977" s="13"/>
      <c r="G977" s="13"/>
      <c r="H977" s="13"/>
      <c r="I977" s="13"/>
      <c r="J977" s="13"/>
      <c r="K977" s="13"/>
      <c r="L977" s="242"/>
      <c r="M977" s="242"/>
      <c r="N977" s="242"/>
      <c r="O977" s="242"/>
      <c r="P977" s="242"/>
      <c r="Q977" s="242"/>
      <c r="R977" s="242"/>
      <c r="S977" s="242"/>
      <c r="T977" s="242"/>
      <c r="U977" s="242"/>
      <c r="V977" s="242"/>
      <c r="W977" s="242"/>
      <c r="X977" s="242"/>
      <c r="Y977" s="242"/>
      <c r="Z977" s="242"/>
    </row>
    <row r="978">
      <c r="A978" s="340"/>
      <c r="B978" s="242"/>
      <c r="C978" s="242"/>
      <c r="D978" s="242"/>
      <c r="E978" s="13"/>
      <c r="F978" s="13"/>
      <c r="G978" s="13"/>
      <c r="H978" s="13"/>
      <c r="I978" s="13"/>
      <c r="J978" s="13"/>
      <c r="K978" s="13"/>
      <c r="L978" s="242"/>
      <c r="M978" s="242"/>
      <c r="N978" s="242"/>
      <c r="O978" s="242"/>
      <c r="P978" s="242"/>
      <c r="Q978" s="242"/>
      <c r="R978" s="242"/>
      <c r="S978" s="242"/>
      <c r="T978" s="242"/>
      <c r="U978" s="242"/>
      <c r="V978" s="242"/>
      <c r="W978" s="242"/>
      <c r="X978" s="242"/>
      <c r="Y978" s="242"/>
      <c r="Z978" s="242"/>
    </row>
    <row r="979">
      <c r="A979" s="340"/>
      <c r="B979" s="242"/>
      <c r="C979" s="242"/>
      <c r="D979" s="242"/>
      <c r="E979" s="13"/>
      <c r="F979" s="13"/>
      <c r="G979" s="13"/>
      <c r="H979" s="13"/>
      <c r="I979" s="13"/>
      <c r="J979" s="13"/>
      <c r="K979" s="13"/>
      <c r="L979" s="242"/>
      <c r="M979" s="242"/>
      <c r="N979" s="242"/>
      <c r="O979" s="242"/>
      <c r="P979" s="242"/>
      <c r="Q979" s="242"/>
      <c r="R979" s="242"/>
      <c r="S979" s="242"/>
      <c r="T979" s="242"/>
      <c r="U979" s="242"/>
      <c r="V979" s="242"/>
      <c r="W979" s="242"/>
      <c r="X979" s="242"/>
      <c r="Y979" s="242"/>
      <c r="Z979" s="242"/>
    </row>
    <row r="980">
      <c r="A980" s="340"/>
      <c r="B980" s="242"/>
      <c r="C980" s="242"/>
      <c r="D980" s="242"/>
      <c r="E980" s="13"/>
      <c r="F980" s="13"/>
      <c r="G980" s="13"/>
      <c r="H980" s="13"/>
      <c r="I980" s="13"/>
      <c r="J980" s="13"/>
      <c r="K980" s="13"/>
      <c r="L980" s="242"/>
      <c r="M980" s="242"/>
      <c r="N980" s="242"/>
      <c r="O980" s="242"/>
      <c r="P980" s="242"/>
      <c r="Q980" s="242"/>
      <c r="R980" s="242"/>
      <c r="S980" s="242"/>
      <c r="T980" s="242"/>
      <c r="U980" s="242"/>
      <c r="V980" s="242"/>
      <c r="W980" s="242"/>
      <c r="X980" s="242"/>
      <c r="Y980" s="242"/>
      <c r="Z980" s="242"/>
    </row>
    <row r="981">
      <c r="A981" s="340"/>
      <c r="B981" s="242"/>
      <c r="C981" s="242"/>
      <c r="D981" s="242"/>
      <c r="E981" s="13"/>
      <c r="F981" s="13"/>
      <c r="G981" s="13"/>
      <c r="H981" s="13"/>
      <c r="I981" s="13"/>
      <c r="J981" s="13"/>
      <c r="K981" s="13"/>
      <c r="L981" s="242"/>
      <c r="M981" s="242"/>
      <c r="N981" s="242"/>
      <c r="O981" s="242"/>
      <c r="P981" s="242"/>
      <c r="Q981" s="242"/>
      <c r="R981" s="242"/>
      <c r="S981" s="242"/>
      <c r="T981" s="242"/>
      <c r="U981" s="242"/>
      <c r="V981" s="242"/>
      <c r="W981" s="242"/>
      <c r="X981" s="242"/>
      <c r="Y981" s="242"/>
      <c r="Z981" s="242"/>
    </row>
    <row r="982">
      <c r="A982" s="340"/>
      <c r="B982" s="242"/>
      <c r="C982" s="242"/>
      <c r="D982" s="242"/>
      <c r="E982" s="13"/>
      <c r="F982" s="13"/>
      <c r="G982" s="13"/>
      <c r="H982" s="13"/>
      <c r="I982" s="13"/>
      <c r="J982" s="13"/>
      <c r="K982" s="13"/>
      <c r="L982" s="242"/>
      <c r="M982" s="242"/>
      <c r="N982" s="242"/>
      <c r="O982" s="242"/>
      <c r="P982" s="242"/>
      <c r="Q982" s="242"/>
      <c r="R982" s="242"/>
      <c r="S982" s="242"/>
      <c r="T982" s="242"/>
      <c r="U982" s="242"/>
      <c r="V982" s="242"/>
      <c r="W982" s="242"/>
      <c r="X982" s="242"/>
      <c r="Y982" s="242"/>
      <c r="Z982" s="242"/>
    </row>
    <row r="983">
      <c r="A983" s="340"/>
      <c r="B983" s="242"/>
      <c r="C983" s="242"/>
      <c r="D983" s="242"/>
      <c r="E983" s="13"/>
      <c r="F983" s="13"/>
      <c r="G983" s="13"/>
      <c r="H983" s="13"/>
      <c r="I983" s="13"/>
      <c r="J983" s="13"/>
      <c r="K983" s="13"/>
      <c r="L983" s="242"/>
      <c r="M983" s="242"/>
      <c r="N983" s="242"/>
      <c r="O983" s="242"/>
      <c r="P983" s="242"/>
      <c r="Q983" s="242"/>
      <c r="R983" s="242"/>
      <c r="S983" s="242"/>
      <c r="T983" s="242"/>
      <c r="U983" s="242"/>
      <c r="V983" s="242"/>
      <c r="W983" s="242"/>
      <c r="X983" s="242"/>
      <c r="Y983" s="242"/>
      <c r="Z983" s="242"/>
    </row>
    <row r="984">
      <c r="A984" s="340"/>
      <c r="B984" s="242"/>
      <c r="C984" s="242"/>
      <c r="D984" s="242"/>
      <c r="E984" s="13"/>
      <c r="F984" s="13"/>
      <c r="G984" s="13"/>
      <c r="H984" s="13"/>
      <c r="I984" s="13"/>
      <c r="J984" s="13"/>
      <c r="K984" s="13"/>
      <c r="L984" s="242"/>
      <c r="M984" s="242"/>
      <c r="N984" s="242"/>
      <c r="O984" s="242"/>
      <c r="P984" s="242"/>
      <c r="Q984" s="242"/>
      <c r="R984" s="242"/>
      <c r="S984" s="242"/>
      <c r="T984" s="242"/>
      <c r="U984" s="242"/>
      <c r="V984" s="242"/>
      <c r="W984" s="242"/>
      <c r="X984" s="242"/>
      <c r="Y984" s="242"/>
      <c r="Z984" s="242"/>
    </row>
    <row r="985">
      <c r="A985" s="340"/>
      <c r="B985" s="242"/>
      <c r="C985" s="242"/>
      <c r="D985" s="242"/>
      <c r="E985" s="13"/>
      <c r="F985" s="13"/>
      <c r="G985" s="13"/>
      <c r="H985" s="13"/>
      <c r="I985" s="13"/>
      <c r="J985" s="13"/>
      <c r="K985" s="13"/>
      <c r="L985" s="242"/>
      <c r="M985" s="242"/>
      <c r="N985" s="242"/>
      <c r="O985" s="242"/>
      <c r="P985" s="242"/>
      <c r="Q985" s="242"/>
      <c r="R985" s="242"/>
      <c r="S985" s="242"/>
      <c r="T985" s="242"/>
      <c r="U985" s="242"/>
      <c r="V985" s="242"/>
      <c r="W985" s="242"/>
      <c r="X985" s="242"/>
      <c r="Y985" s="242"/>
      <c r="Z985" s="242"/>
    </row>
    <row r="986">
      <c r="A986" s="340"/>
      <c r="B986" s="242"/>
      <c r="C986" s="242"/>
      <c r="D986" s="242"/>
      <c r="E986" s="13"/>
      <c r="F986" s="13"/>
      <c r="G986" s="13"/>
      <c r="H986" s="13"/>
      <c r="I986" s="13"/>
      <c r="J986" s="13"/>
      <c r="K986" s="13"/>
      <c r="L986" s="242"/>
      <c r="M986" s="242"/>
      <c r="N986" s="242"/>
      <c r="O986" s="242"/>
      <c r="P986" s="242"/>
      <c r="Q986" s="242"/>
      <c r="R986" s="242"/>
      <c r="S986" s="242"/>
      <c r="T986" s="242"/>
      <c r="U986" s="242"/>
      <c r="V986" s="242"/>
      <c r="W986" s="242"/>
      <c r="X986" s="242"/>
      <c r="Y986" s="242"/>
      <c r="Z986" s="242"/>
    </row>
    <row r="987">
      <c r="A987" s="340"/>
      <c r="B987" s="242"/>
      <c r="C987" s="242"/>
      <c r="D987" s="242"/>
      <c r="E987" s="13"/>
      <c r="F987" s="13"/>
      <c r="G987" s="13"/>
      <c r="H987" s="13"/>
      <c r="I987" s="13"/>
      <c r="J987" s="13"/>
      <c r="K987" s="13"/>
      <c r="L987" s="242"/>
      <c r="M987" s="242"/>
      <c r="N987" s="242"/>
      <c r="O987" s="242"/>
      <c r="P987" s="242"/>
      <c r="Q987" s="242"/>
      <c r="R987" s="242"/>
      <c r="S987" s="242"/>
      <c r="T987" s="242"/>
      <c r="U987" s="242"/>
      <c r="V987" s="242"/>
      <c r="W987" s="242"/>
      <c r="X987" s="242"/>
      <c r="Y987" s="242"/>
      <c r="Z987" s="242"/>
    </row>
    <row r="988">
      <c r="A988" s="340"/>
      <c r="B988" s="242"/>
      <c r="C988" s="242"/>
      <c r="D988" s="242"/>
      <c r="E988" s="13"/>
      <c r="F988" s="13"/>
      <c r="G988" s="13"/>
      <c r="H988" s="13"/>
      <c r="I988" s="13"/>
      <c r="J988" s="13"/>
      <c r="K988" s="13"/>
      <c r="L988" s="242"/>
      <c r="M988" s="242"/>
      <c r="N988" s="242"/>
      <c r="O988" s="242"/>
      <c r="P988" s="242"/>
      <c r="Q988" s="242"/>
      <c r="R988" s="242"/>
      <c r="S988" s="242"/>
      <c r="T988" s="242"/>
      <c r="U988" s="242"/>
      <c r="V988" s="242"/>
      <c r="W988" s="242"/>
      <c r="X988" s="242"/>
      <c r="Y988" s="242"/>
      <c r="Z988" s="242"/>
    </row>
    <row r="989">
      <c r="A989" s="340"/>
      <c r="B989" s="242"/>
      <c r="C989" s="242"/>
      <c r="D989" s="242"/>
      <c r="E989" s="13"/>
      <c r="F989" s="13"/>
      <c r="G989" s="13"/>
      <c r="H989" s="13"/>
      <c r="I989" s="13"/>
      <c r="J989" s="13"/>
      <c r="K989" s="13"/>
      <c r="L989" s="242"/>
      <c r="M989" s="242"/>
      <c r="N989" s="242"/>
      <c r="O989" s="242"/>
      <c r="P989" s="242"/>
      <c r="Q989" s="242"/>
      <c r="R989" s="242"/>
      <c r="S989" s="242"/>
      <c r="T989" s="242"/>
      <c r="U989" s="242"/>
      <c r="V989" s="242"/>
      <c r="W989" s="242"/>
      <c r="X989" s="242"/>
      <c r="Y989" s="242"/>
      <c r="Z989" s="242"/>
    </row>
    <row r="990">
      <c r="A990" s="340"/>
      <c r="B990" s="242"/>
      <c r="C990" s="242"/>
      <c r="D990" s="242"/>
      <c r="E990" s="13"/>
      <c r="F990" s="13"/>
      <c r="G990" s="13"/>
      <c r="H990" s="13"/>
      <c r="I990" s="13"/>
      <c r="J990" s="13"/>
      <c r="K990" s="13"/>
      <c r="L990" s="242"/>
      <c r="M990" s="242"/>
      <c r="N990" s="242"/>
      <c r="O990" s="242"/>
      <c r="P990" s="242"/>
      <c r="Q990" s="242"/>
      <c r="R990" s="242"/>
      <c r="S990" s="242"/>
      <c r="T990" s="242"/>
      <c r="U990" s="242"/>
      <c r="V990" s="242"/>
      <c r="W990" s="242"/>
      <c r="X990" s="242"/>
      <c r="Y990" s="242"/>
      <c r="Z990" s="242"/>
    </row>
    <row r="991">
      <c r="A991" s="340"/>
      <c r="B991" s="242"/>
      <c r="C991" s="242"/>
      <c r="D991" s="242"/>
      <c r="E991" s="13"/>
      <c r="F991" s="13"/>
      <c r="G991" s="13"/>
      <c r="H991" s="13"/>
      <c r="I991" s="13"/>
      <c r="J991" s="13"/>
      <c r="K991" s="13"/>
      <c r="L991" s="242"/>
      <c r="M991" s="242"/>
      <c r="N991" s="242"/>
      <c r="O991" s="242"/>
      <c r="P991" s="242"/>
      <c r="Q991" s="242"/>
      <c r="R991" s="242"/>
      <c r="S991" s="242"/>
      <c r="T991" s="242"/>
      <c r="U991" s="242"/>
      <c r="V991" s="242"/>
      <c r="W991" s="242"/>
      <c r="X991" s="242"/>
      <c r="Y991" s="242"/>
      <c r="Z991" s="242"/>
    </row>
    <row r="992">
      <c r="A992" s="340"/>
      <c r="B992" s="242"/>
      <c r="C992" s="242"/>
      <c r="D992" s="242"/>
      <c r="E992" s="13"/>
      <c r="F992" s="13"/>
      <c r="G992" s="13"/>
      <c r="H992" s="13"/>
      <c r="I992" s="13"/>
      <c r="J992" s="13"/>
      <c r="K992" s="13"/>
      <c r="L992" s="242"/>
      <c r="M992" s="242"/>
      <c r="N992" s="242"/>
      <c r="O992" s="242"/>
      <c r="P992" s="242"/>
      <c r="Q992" s="242"/>
      <c r="R992" s="242"/>
      <c r="S992" s="242"/>
      <c r="T992" s="242"/>
      <c r="U992" s="242"/>
      <c r="V992" s="242"/>
      <c r="W992" s="242"/>
      <c r="X992" s="242"/>
      <c r="Y992" s="242"/>
      <c r="Z992" s="242"/>
    </row>
    <row r="993">
      <c r="A993" s="340"/>
      <c r="B993" s="242"/>
      <c r="C993" s="242"/>
      <c r="D993" s="242"/>
      <c r="E993" s="13"/>
      <c r="F993" s="13"/>
      <c r="G993" s="13"/>
      <c r="H993" s="13"/>
      <c r="I993" s="13"/>
      <c r="J993" s="13"/>
      <c r="K993" s="13"/>
      <c r="L993" s="242"/>
      <c r="M993" s="242"/>
      <c r="N993" s="242"/>
      <c r="O993" s="242"/>
      <c r="P993" s="242"/>
      <c r="Q993" s="242"/>
      <c r="R993" s="242"/>
      <c r="S993" s="242"/>
      <c r="T993" s="242"/>
      <c r="U993" s="242"/>
      <c r="V993" s="242"/>
      <c r="W993" s="242"/>
      <c r="X993" s="242"/>
      <c r="Y993" s="242"/>
      <c r="Z993" s="242"/>
    </row>
    <row r="994">
      <c r="A994" s="340"/>
      <c r="B994" s="242"/>
      <c r="C994" s="242"/>
      <c r="D994" s="242"/>
      <c r="E994" s="13"/>
      <c r="F994" s="13"/>
      <c r="G994" s="13"/>
      <c r="H994" s="13"/>
      <c r="I994" s="13"/>
      <c r="J994" s="13"/>
      <c r="K994" s="13"/>
      <c r="L994" s="242"/>
      <c r="M994" s="242"/>
      <c r="N994" s="242"/>
      <c r="O994" s="242"/>
      <c r="P994" s="242"/>
      <c r="Q994" s="242"/>
      <c r="R994" s="242"/>
      <c r="S994" s="242"/>
      <c r="T994" s="242"/>
      <c r="U994" s="242"/>
      <c r="V994" s="242"/>
      <c r="W994" s="242"/>
      <c r="X994" s="242"/>
      <c r="Y994" s="242"/>
      <c r="Z994" s="242"/>
    </row>
    <row r="995">
      <c r="A995" s="340"/>
      <c r="B995" s="242"/>
      <c r="C995" s="242"/>
      <c r="D995" s="242"/>
      <c r="E995" s="13"/>
      <c r="F995" s="13"/>
      <c r="G995" s="13"/>
      <c r="H995" s="13"/>
      <c r="I995" s="13"/>
      <c r="J995" s="13"/>
      <c r="K995" s="13"/>
      <c r="L995" s="242"/>
      <c r="M995" s="242"/>
      <c r="N995" s="242"/>
      <c r="O995" s="242"/>
      <c r="P995" s="242"/>
      <c r="Q995" s="242"/>
      <c r="R995" s="242"/>
      <c r="S995" s="242"/>
      <c r="T995" s="242"/>
      <c r="U995" s="242"/>
      <c r="V995" s="242"/>
      <c r="W995" s="242"/>
      <c r="X995" s="242"/>
      <c r="Y995" s="242"/>
      <c r="Z995" s="242"/>
    </row>
    <row r="996">
      <c r="A996" s="340"/>
      <c r="B996" s="242"/>
      <c r="C996" s="242"/>
      <c r="D996" s="242"/>
      <c r="E996" s="13"/>
      <c r="F996" s="13"/>
      <c r="G996" s="13"/>
      <c r="H996" s="13"/>
      <c r="I996" s="13"/>
      <c r="J996" s="13"/>
      <c r="K996" s="13"/>
      <c r="L996" s="242"/>
      <c r="M996" s="242"/>
      <c r="N996" s="242"/>
      <c r="O996" s="242"/>
      <c r="P996" s="242"/>
      <c r="Q996" s="242"/>
      <c r="R996" s="242"/>
      <c r="S996" s="242"/>
      <c r="T996" s="242"/>
      <c r="U996" s="242"/>
      <c r="V996" s="242"/>
      <c r="W996" s="242"/>
      <c r="X996" s="242"/>
      <c r="Y996" s="242"/>
      <c r="Z996" s="242"/>
    </row>
    <row r="997">
      <c r="A997" s="340"/>
      <c r="B997" s="242"/>
      <c r="C997" s="242"/>
      <c r="D997" s="242"/>
      <c r="E997" s="13"/>
      <c r="F997" s="13"/>
      <c r="G997" s="13"/>
      <c r="H997" s="13"/>
      <c r="I997" s="13"/>
      <c r="J997" s="13"/>
      <c r="K997" s="13"/>
      <c r="L997" s="242"/>
      <c r="M997" s="242"/>
      <c r="N997" s="242"/>
      <c r="O997" s="242"/>
      <c r="P997" s="242"/>
      <c r="Q997" s="242"/>
      <c r="R997" s="242"/>
      <c r="S997" s="242"/>
      <c r="T997" s="242"/>
      <c r="U997" s="242"/>
      <c r="V997" s="242"/>
      <c r="W997" s="242"/>
      <c r="X997" s="242"/>
      <c r="Y997" s="242"/>
      <c r="Z997" s="242"/>
    </row>
    <row r="998">
      <c r="A998" s="340"/>
      <c r="B998" s="242"/>
      <c r="C998" s="242"/>
      <c r="D998" s="242"/>
      <c r="E998" s="13"/>
      <c r="F998" s="13"/>
      <c r="G998" s="13"/>
      <c r="H998" s="13"/>
      <c r="I998" s="13"/>
      <c r="J998" s="13"/>
      <c r="K998" s="13"/>
      <c r="L998" s="242"/>
      <c r="M998" s="242"/>
      <c r="N998" s="242"/>
      <c r="O998" s="242"/>
      <c r="P998" s="242"/>
      <c r="Q998" s="242"/>
      <c r="R998" s="242"/>
      <c r="S998" s="242"/>
      <c r="T998" s="242"/>
      <c r="U998" s="242"/>
      <c r="V998" s="242"/>
      <c r="W998" s="242"/>
      <c r="X998" s="242"/>
      <c r="Y998" s="242"/>
      <c r="Z998" s="242"/>
    </row>
    <row r="999">
      <c r="A999" s="340"/>
      <c r="B999" s="242"/>
      <c r="C999" s="242"/>
      <c r="D999" s="242"/>
      <c r="E999" s="13"/>
      <c r="F999" s="13"/>
      <c r="G999" s="13"/>
      <c r="H999" s="13"/>
      <c r="I999" s="13"/>
      <c r="J999" s="13"/>
      <c r="K999" s="13"/>
      <c r="L999" s="242"/>
      <c r="M999" s="242"/>
      <c r="N999" s="242"/>
      <c r="O999" s="242"/>
      <c r="P999" s="242"/>
      <c r="Q999" s="242"/>
      <c r="R999" s="242"/>
      <c r="S999" s="242"/>
      <c r="T999" s="242"/>
      <c r="U999" s="242"/>
      <c r="V999" s="242"/>
      <c r="W999" s="242"/>
      <c r="X999" s="242"/>
      <c r="Y999" s="242"/>
      <c r="Z999" s="242"/>
    </row>
    <row r="1000">
      <c r="A1000" s="340"/>
      <c r="B1000" s="242"/>
      <c r="C1000" s="242"/>
      <c r="D1000" s="242"/>
      <c r="E1000" s="13"/>
      <c r="F1000" s="13"/>
      <c r="G1000" s="13"/>
      <c r="H1000" s="13"/>
      <c r="I1000" s="13"/>
      <c r="J1000" s="13"/>
      <c r="K1000" s="13"/>
      <c r="L1000" s="242"/>
      <c r="M1000" s="242"/>
      <c r="N1000" s="242"/>
      <c r="O1000" s="242"/>
      <c r="P1000" s="242"/>
      <c r="Q1000" s="242"/>
      <c r="R1000" s="242"/>
      <c r="S1000" s="242"/>
      <c r="T1000" s="242"/>
      <c r="U1000" s="242"/>
      <c r="V1000" s="242"/>
      <c r="W1000" s="242"/>
      <c r="X1000" s="242"/>
      <c r="Y1000" s="242"/>
      <c r="Z1000" s="242"/>
    </row>
    <row r="1001">
      <c r="A1001" s="340"/>
      <c r="B1001" s="242"/>
      <c r="C1001" s="242"/>
      <c r="D1001" s="242"/>
      <c r="E1001" s="13"/>
      <c r="F1001" s="13"/>
      <c r="G1001" s="13"/>
      <c r="H1001" s="13"/>
      <c r="I1001" s="13"/>
      <c r="J1001" s="13"/>
      <c r="K1001" s="13"/>
      <c r="L1001" s="242"/>
      <c r="M1001" s="242"/>
      <c r="N1001" s="242"/>
      <c r="O1001" s="242"/>
      <c r="P1001" s="242"/>
      <c r="Q1001" s="242"/>
      <c r="R1001" s="242"/>
      <c r="S1001" s="242"/>
      <c r="T1001" s="242"/>
      <c r="U1001" s="242"/>
      <c r="V1001" s="242"/>
      <c r="W1001" s="242"/>
      <c r="X1001" s="242"/>
      <c r="Y1001" s="242"/>
      <c r="Z1001" s="242"/>
    </row>
    <row r="1002">
      <c r="A1002" s="340"/>
      <c r="B1002" s="242"/>
      <c r="C1002" s="242"/>
      <c r="D1002" s="242"/>
      <c r="E1002" s="13"/>
      <c r="F1002" s="13"/>
      <c r="G1002" s="13"/>
      <c r="H1002" s="13"/>
      <c r="I1002" s="13"/>
      <c r="J1002" s="13"/>
      <c r="K1002" s="13"/>
      <c r="L1002" s="242"/>
      <c r="M1002" s="242"/>
      <c r="N1002" s="242"/>
      <c r="O1002" s="242"/>
      <c r="P1002" s="242"/>
      <c r="Q1002" s="242"/>
      <c r="R1002" s="242"/>
      <c r="S1002" s="242"/>
      <c r="T1002" s="242"/>
      <c r="U1002" s="242"/>
      <c r="V1002" s="242"/>
      <c r="W1002" s="242"/>
      <c r="X1002" s="242"/>
      <c r="Y1002" s="242"/>
      <c r="Z1002" s="242"/>
    </row>
  </sheetData>
  <mergeCells count="3">
    <mergeCell ref="E3:F3"/>
    <mergeCell ref="G3:H3"/>
    <mergeCell ref="I3:J3"/>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1" width="3.13"/>
    <col customWidth="1" min="2" max="2" width="5.88"/>
    <col customWidth="1" min="3" max="3" width="8.5"/>
    <col customWidth="1" min="4" max="4" width="10.5"/>
    <col customWidth="1" min="5" max="5" width="11.63"/>
    <col customWidth="1" min="6" max="6" width="8.63"/>
    <col customWidth="1" min="7" max="7" width="9.75"/>
    <col customWidth="1" min="8" max="8" width="9.13"/>
    <col customWidth="1" hidden="1" min="9" max="9" width="8.63"/>
    <col customWidth="1" min="10" max="10" width="7.63"/>
    <col customWidth="1" min="11" max="11" width="12.0"/>
    <col customWidth="1" min="12" max="12" width="8.0"/>
    <col customWidth="1" min="13" max="13" width="9.13"/>
    <col customWidth="1" min="14" max="14" width="9.75"/>
    <col customWidth="1" hidden="1" min="15" max="15" width="8.63"/>
    <col customWidth="1" hidden="1" min="16" max="16" width="7.63"/>
    <col customWidth="1" min="17" max="17" width="12.0"/>
    <col customWidth="1" min="18" max="18" width="9.25"/>
    <col customWidth="1" min="19" max="19" width="10.0"/>
    <col customWidth="1" min="20" max="20" width="9.25"/>
    <col customWidth="1" hidden="1" min="21" max="21" width="8.63"/>
    <col customWidth="1" hidden="1" min="22" max="22" width="7.63"/>
    <col customWidth="1" min="23" max="23" width="12.0"/>
    <col customWidth="1" min="24" max="24" width="8.25"/>
    <col customWidth="1" min="25" max="25" width="9.75"/>
    <col customWidth="1" min="26" max="26" width="10.13"/>
    <col customWidth="1" hidden="1" min="27" max="27" width="8.63"/>
    <col customWidth="1" hidden="1" min="28" max="28" width="7.63"/>
    <col customWidth="1" min="29" max="29" width="12.0"/>
    <col customWidth="1" min="30" max="30" width="7.88"/>
    <col customWidth="1" min="31" max="31" width="9.5"/>
    <col customWidth="1" min="32" max="32" width="9.38"/>
    <col customWidth="1" hidden="1" min="33" max="33" width="8.63"/>
    <col customWidth="1" hidden="1" min="34" max="34" width="7.63"/>
    <col customWidth="1" min="35" max="35" width="12.0"/>
    <col customWidth="1" min="36" max="36" width="7.88"/>
    <col customWidth="1" min="37" max="37" width="9.63"/>
    <col customWidth="1" min="38" max="38" width="9.13"/>
    <col customWidth="1" hidden="1" min="39" max="39" width="8.63"/>
    <col customWidth="1" hidden="1" min="40" max="40" width="7.63"/>
    <col customWidth="1" min="41" max="41" width="12.0"/>
  </cols>
  <sheetData>
    <row r="1">
      <c r="A1" s="242"/>
      <c r="B1" s="13"/>
      <c r="C1" s="242"/>
      <c r="D1" s="242"/>
      <c r="E1" s="242"/>
      <c r="F1" s="242"/>
      <c r="G1" s="13"/>
      <c r="H1" s="13"/>
      <c r="I1" s="13"/>
      <c r="J1" s="13"/>
      <c r="K1" s="13"/>
      <c r="L1" s="242"/>
      <c r="M1" s="242"/>
      <c r="N1" s="242"/>
      <c r="O1" s="242"/>
      <c r="P1" s="242"/>
      <c r="Q1" s="525"/>
      <c r="R1" s="242"/>
      <c r="S1" s="242"/>
      <c r="T1" s="242"/>
      <c r="U1" s="242"/>
      <c r="V1" s="242"/>
      <c r="W1" s="242"/>
      <c r="X1" s="242"/>
      <c r="Y1" s="242"/>
      <c r="Z1" s="242"/>
      <c r="AA1" s="242"/>
      <c r="AB1" s="242"/>
      <c r="AC1" s="242"/>
      <c r="AD1" s="242"/>
      <c r="AE1" s="242"/>
      <c r="AF1" s="242"/>
      <c r="AG1" s="242"/>
      <c r="AH1" s="242"/>
      <c r="AI1" s="242"/>
      <c r="AJ1" s="13"/>
      <c r="AK1" s="242"/>
      <c r="AL1" s="242"/>
      <c r="AM1" s="242"/>
      <c r="AN1" s="242"/>
      <c r="AO1" s="242"/>
    </row>
    <row r="2">
      <c r="A2" s="242"/>
      <c r="B2" s="809"/>
      <c r="C2" s="554"/>
      <c r="D2" s="554"/>
      <c r="E2" s="554"/>
      <c r="F2" s="810" t="s">
        <v>4702</v>
      </c>
      <c r="G2" s="45"/>
      <c r="H2" s="45"/>
      <c r="I2" s="45"/>
      <c r="J2" s="45"/>
      <c r="K2" s="45"/>
      <c r="L2" s="45"/>
      <c r="M2" s="45"/>
      <c r="N2" s="45"/>
      <c r="O2" s="45"/>
      <c r="P2" s="45"/>
      <c r="Q2" s="45"/>
      <c r="R2" s="45"/>
      <c r="S2" s="45"/>
      <c r="T2" s="45"/>
      <c r="U2" s="45"/>
      <c r="V2" s="45"/>
      <c r="W2" s="46"/>
      <c r="X2" s="811"/>
      <c r="Y2" s="812"/>
      <c r="Z2" s="812"/>
      <c r="AA2" s="812"/>
      <c r="AB2" s="812"/>
      <c r="AC2" s="812"/>
      <c r="AD2" s="812"/>
      <c r="AE2" s="812"/>
      <c r="AF2" s="812"/>
      <c r="AG2" s="812"/>
      <c r="AH2" s="812"/>
      <c r="AI2" s="812"/>
      <c r="AJ2" s="812"/>
      <c r="AK2" s="812"/>
      <c r="AL2" s="812"/>
      <c r="AM2" s="812"/>
      <c r="AN2" s="812"/>
      <c r="AO2" s="812"/>
    </row>
    <row r="3">
      <c r="A3" s="242"/>
      <c r="B3" s="813">
        <v>380.0</v>
      </c>
      <c r="C3" s="814"/>
      <c r="D3" s="814"/>
      <c r="E3" s="814"/>
      <c r="F3" s="815" t="s">
        <v>4703</v>
      </c>
      <c r="G3" s="45"/>
      <c r="H3" s="45"/>
      <c r="I3" s="45"/>
      <c r="J3" s="45"/>
      <c r="K3" s="46"/>
      <c r="L3" s="816" t="s">
        <v>4704</v>
      </c>
      <c r="M3" s="45"/>
      <c r="N3" s="45"/>
      <c r="O3" s="45"/>
      <c r="P3" s="45"/>
      <c r="Q3" s="46"/>
      <c r="R3" s="816" t="s">
        <v>4705</v>
      </c>
      <c r="S3" s="45"/>
      <c r="T3" s="45"/>
      <c r="U3" s="45"/>
      <c r="V3" s="45"/>
      <c r="W3" s="46"/>
      <c r="X3" s="812"/>
      <c r="Y3" s="812"/>
      <c r="Z3" s="812"/>
      <c r="AA3" s="812"/>
      <c r="AB3" s="812"/>
      <c r="AC3" s="812"/>
      <c r="AD3" s="812"/>
      <c r="AE3" s="812"/>
      <c r="AF3" s="812"/>
      <c r="AG3" s="812"/>
      <c r="AH3" s="812"/>
      <c r="AI3" s="812"/>
      <c r="AJ3" s="812"/>
      <c r="AK3" s="812"/>
      <c r="AL3" s="812"/>
      <c r="AM3" s="812"/>
      <c r="AN3" s="812"/>
      <c r="AO3" s="812"/>
    </row>
    <row r="4">
      <c r="A4" s="242"/>
      <c r="B4" s="817"/>
      <c r="C4" s="818"/>
      <c r="D4" s="818"/>
      <c r="E4" s="819"/>
      <c r="F4" s="820" t="s">
        <v>4706</v>
      </c>
      <c r="G4" s="45"/>
      <c r="H4" s="45"/>
      <c r="I4" s="45"/>
      <c r="J4" s="45"/>
      <c r="K4" s="46"/>
      <c r="L4" s="821" t="s">
        <v>4707</v>
      </c>
      <c r="M4" s="45"/>
      <c r="N4" s="45"/>
      <c r="O4" s="45"/>
      <c r="P4" s="45"/>
      <c r="Q4" s="46"/>
      <c r="R4" s="821" t="s">
        <v>4708</v>
      </c>
      <c r="S4" s="45"/>
      <c r="T4" s="45"/>
      <c r="U4" s="45"/>
      <c r="V4" s="45"/>
      <c r="W4" s="46"/>
      <c r="X4" s="812"/>
      <c r="Y4" s="812"/>
      <c r="Z4" s="812"/>
      <c r="AA4" s="812"/>
      <c r="AB4" s="812"/>
      <c r="AC4" s="812"/>
      <c r="AD4" s="812"/>
      <c r="AE4" s="812"/>
      <c r="AF4" s="812"/>
      <c r="AG4" s="812"/>
      <c r="AH4" s="812"/>
      <c r="AI4" s="812"/>
      <c r="AJ4" s="812"/>
      <c r="AK4" s="812"/>
      <c r="AL4" s="812"/>
      <c r="AM4" s="812"/>
      <c r="AN4" s="812"/>
      <c r="AO4" s="812"/>
    </row>
    <row r="5">
      <c r="A5" s="242"/>
      <c r="B5" s="822" t="s">
        <v>4709</v>
      </c>
      <c r="C5" s="823" t="s">
        <v>4710</v>
      </c>
      <c r="D5" s="823" t="s">
        <v>4711</v>
      </c>
      <c r="E5" s="822" t="s">
        <v>4712</v>
      </c>
      <c r="F5" s="824" t="s">
        <v>4</v>
      </c>
      <c r="G5" s="825" t="s">
        <v>4713</v>
      </c>
      <c r="H5" s="825" t="s">
        <v>4714</v>
      </c>
      <c r="I5" s="826" t="s">
        <v>4715</v>
      </c>
      <c r="J5" s="827" t="s">
        <v>6</v>
      </c>
      <c r="K5" s="828" t="s">
        <v>3452</v>
      </c>
      <c r="L5" s="824" t="s">
        <v>4</v>
      </c>
      <c r="M5" s="825" t="s">
        <v>4713</v>
      </c>
      <c r="N5" s="825" t="s">
        <v>4714</v>
      </c>
      <c r="O5" s="824" t="s">
        <v>4715</v>
      </c>
      <c r="P5" s="824" t="s">
        <v>6</v>
      </c>
      <c r="Q5" s="828" t="s">
        <v>3452</v>
      </c>
      <c r="R5" s="824" t="s">
        <v>4</v>
      </c>
      <c r="S5" s="825" t="s">
        <v>4713</v>
      </c>
      <c r="T5" s="825" t="s">
        <v>4714</v>
      </c>
      <c r="U5" s="824" t="s">
        <v>4715</v>
      </c>
      <c r="V5" s="824" t="s">
        <v>6</v>
      </c>
      <c r="W5" s="828" t="s">
        <v>3452</v>
      </c>
      <c r="X5" s="812"/>
      <c r="Y5" s="812"/>
      <c r="Z5" s="812"/>
      <c r="AA5" s="812"/>
      <c r="AB5" s="812"/>
      <c r="AC5" s="812"/>
      <c r="AD5" s="812"/>
      <c r="AE5" s="812"/>
      <c r="AF5" s="812"/>
      <c r="AG5" s="812"/>
      <c r="AH5" s="812"/>
      <c r="AI5" s="812"/>
      <c r="AJ5" s="812"/>
      <c r="AK5" s="812"/>
      <c r="AL5" s="812"/>
      <c r="AM5" s="812"/>
      <c r="AN5" s="812"/>
      <c r="AO5" s="812"/>
    </row>
    <row r="6">
      <c r="A6" s="242"/>
      <c r="B6" s="829">
        <v>20.0</v>
      </c>
      <c r="C6" s="829">
        <v>0.3</v>
      </c>
      <c r="D6" s="830">
        <v>20.15</v>
      </c>
      <c r="E6" s="831">
        <v>1.2</v>
      </c>
      <c r="F6" s="510"/>
      <c r="G6" s="510"/>
      <c r="H6" s="510"/>
      <c r="I6" s="510"/>
      <c r="J6" s="510"/>
      <c r="K6" s="832"/>
      <c r="L6" s="510"/>
      <c r="M6" s="510"/>
      <c r="N6" s="510"/>
      <c r="O6" s="510"/>
      <c r="P6" s="510"/>
      <c r="Q6" s="832"/>
      <c r="R6" s="510" t="s">
        <v>4458</v>
      </c>
      <c r="S6" s="510">
        <v>2.0</v>
      </c>
      <c r="T6" s="510">
        <v>2.3</v>
      </c>
      <c r="U6" s="510">
        <v>2.15</v>
      </c>
      <c r="V6" s="510">
        <v>0.117</v>
      </c>
      <c r="W6" s="833">
        <v>44.5</v>
      </c>
      <c r="X6" s="812"/>
      <c r="Y6" s="812"/>
      <c r="Z6" s="812"/>
      <c r="AA6" s="812"/>
      <c r="AB6" s="812"/>
      <c r="AC6" s="812"/>
      <c r="AD6" s="812"/>
      <c r="AE6" s="812"/>
      <c r="AF6" s="812"/>
      <c r="AG6" s="812"/>
      <c r="AH6" s="812"/>
      <c r="AI6" s="812"/>
      <c r="AJ6" s="812"/>
      <c r="AK6" s="812"/>
      <c r="AL6" s="812"/>
      <c r="AM6" s="812"/>
      <c r="AN6" s="812"/>
      <c r="AO6" s="812"/>
    </row>
    <row r="7">
      <c r="A7" s="242"/>
      <c r="B7" s="829">
        <v>25.0</v>
      </c>
      <c r="C7" s="829">
        <v>0.3</v>
      </c>
      <c r="D7" s="830">
        <v>25.15</v>
      </c>
      <c r="E7" s="831">
        <v>1.2</v>
      </c>
      <c r="F7" s="510"/>
      <c r="G7" s="510"/>
      <c r="H7" s="510"/>
      <c r="I7" s="510"/>
      <c r="J7" s="510"/>
      <c r="K7" s="832"/>
      <c r="L7" s="510" t="s">
        <v>4441</v>
      </c>
      <c r="M7" s="510">
        <v>2.0</v>
      </c>
      <c r="N7" s="510">
        <v>2.3</v>
      </c>
      <c r="O7" s="510">
        <v>2.15</v>
      </c>
      <c r="P7" s="510">
        <v>0.149</v>
      </c>
      <c r="Q7" s="833">
        <v>56.6</v>
      </c>
      <c r="R7" s="510" t="s">
        <v>4459</v>
      </c>
      <c r="S7" s="510">
        <v>2.3</v>
      </c>
      <c r="T7" s="510">
        <v>2.7</v>
      </c>
      <c r="U7" s="510">
        <v>2.5</v>
      </c>
      <c r="V7" s="510">
        <v>0.171</v>
      </c>
      <c r="W7" s="833">
        <v>65.0</v>
      </c>
      <c r="X7" s="812"/>
      <c r="Y7" s="812"/>
      <c r="Z7" s="812"/>
      <c r="AA7" s="812"/>
      <c r="AB7" s="812"/>
      <c r="AC7" s="812"/>
      <c r="AD7" s="812"/>
      <c r="AE7" s="812"/>
      <c r="AF7" s="812"/>
      <c r="AG7" s="812"/>
      <c r="AH7" s="812"/>
      <c r="AI7" s="812"/>
      <c r="AJ7" s="812"/>
      <c r="AK7" s="812"/>
      <c r="AL7" s="812"/>
      <c r="AM7" s="812"/>
      <c r="AN7" s="812"/>
      <c r="AO7" s="812"/>
    </row>
    <row r="8">
      <c r="A8" s="242"/>
      <c r="B8" s="829">
        <v>32.0</v>
      </c>
      <c r="C8" s="829">
        <v>0.3</v>
      </c>
      <c r="D8" s="830">
        <v>32.15</v>
      </c>
      <c r="E8" s="831">
        <v>1.3</v>
      </c>
      <c r="F8" s="510"/>
      <c r="G8" s="510"/>
      <c r="H8" s="510"/>
      <c r="I8" s="510"/>
      <c r="J8" s="510"/>
      <c r="K8" s="832"/>
      <c r="L8" s="510" t="s">
        <v>4442</v>
      </c>
      <c r="M8" s="510">
        <v>2.4</v>
      </c>
      <c r="N8" s="510">
        <v>2.8</v>
      </c>
      <c r="O8" s="510">
        <v>2.6</v>
      </c>
      <c r="P8" s="510">
        <v>0.232</v>
      </c>
      <c r="Q8" s="833">
        <v>88.15</v>
      </c>
      <c r="R8" s="510" t="s">
        <v>4460</v>
      </c>
      <c r="S8" s="510">
        <v>3.0</v>
      </c>
      <c r="T8" s="510">
        <v>3.4</v>
      </c>
      <c r="U8" s="510">
        <v>3.2</v>
      </c>
      <c r="V8" s="510">
        <v>0.279</v>
      </c>
      <c r="W8" s="833">
        <v>106.0</v>
      </c>
      <c r="X8" s="812"/>
      <c r="Y8" s="812"/>
      <c r="Z8" s="812"/>
      <c r="AA8" s="812"/>
      <c r="AB8" s="812"/>
      <c r="AC8" s="812"/>
      <c r="AD8" s="812"/>
      <c r="AE8" s="812"/>
      <c r="AF8" s="812"/>
      <c r="AG8" s="812"/>
      <c r="AH8" s="812"/>
      <c r="AI8" s="812"/>
      <c r="AJ8" s="812"/>
      <c r="AK8" s="812"/>
      <c r="AL8" s="812"/>
      <c r="AM8" s="812"/>
      <c r="AN8" s="812"/>
      <c r="AO8" s="812"/>
    </row>
    <row r="9">
      <c r="A9" s="242"/>
      <c r="B9" s="829">
        <v>40.0</v>
      </c>
      <c r="C9" s="829">
        <v>0.4</v>
      </c>
      <c r="D9" s="830">
        <v>40.2</v>
      </c>
      <c r="E9" s="831">
        <v>1.4</v>
      </c>
      <c r="F9" s="510" t="s">
        <v>4716</v>
      </c>
      <c r="G9" s="510">
        <v>2.0</v>
      </c>
      <c r="H9" s="510">
        <v>2.3</v>
      </c>
      <c r="I9" s="510">
        <v>2.15</v>
      </c>
      <c r="J9" s="510">
        <v>0.247</v>
      </c>
      <c r="K9" s="833">
        <v>93.85</v>
      </c>
      <c r="L9" s="510" t="s">
        <v>4443</v>
      </c>
      <c r="M9" s="510">
        <v>3.0</v>
      </c>
      <c r="N9" s="510">
        <v>3.4</v>
      </c>
      <c r="O9" s="510">
        <v>3.2</v>
      </c>
      <c r="P9" s="510">
        <v>0.357</v>
      </c>
      <c r="Q9" s="833">
        <v>135.65</v>
      </c>
      <c r="R9" s="510" t="s">
        <v>4461</v>
      </c>
      <c r="S9" s="510">
        <v>3.7</v>
      </c>
      <c r="T9" s="510">
        <v>4.2</v>
      </c>
      <c r="U9" s="510">
        <v>3.95</v>
      </c>
      <c r="V9" s="510">
        <v>0.432</v>
      </c>
      <c r="W9" s="833">
        <v>164.2</v>
      </c>
      <c r="X9" s="812"/>
      <c r="Y9" s="812"/>
      <c r="Z9" s="812"/>
      <c r="AA9" s="812"/>
      <c r="AB9" s="812"/>
      <c r="AC9" s="812"/>
      <c r="AD9" s="812"/>
      <c r="AE9" s="812"/>
      <c r="AF9" s="812"/>
      <c r="AG9" s="812"/>
      <c r="AH9" s="812"/>
      <c r="AI9" s="812"/>
      <c r="AJ9" s="812"/>
      <c r="AK9" s="812"/>
      <c r="AL9" s="812"/>
      <c r="AM9" s="812"/>
      <c r="AN9" s="812"/>
      <c r="AO9" s="812"/>
    </row>
    <row r="10">
      <c r="A10" s="242"/>
      <c r="B10" s="829">
        <v>50.0</v>
      </c>
      <c r="C10" s="829">
        <v>0.4</v>
      </c>
      <c r="D10" s="830">
        <v>50.2</v>
      </c>
      <c r="E10" s="831">
        <v>1.4</v>
      </c>
      <c r="F10" s="510" t="s">
        <v>4717</v>
      </c>
      <c r="G10" s="834">
        <v>2.4</v>
      </c>
      <c r="H10" s="834">
        <v>2.8</v>
      </c>
      <c r="I10" s="832">
        <v>2.6</v>
      </c>
      <c r="J10" s="835">
        <v>0.373</v>
      </c>
      <c r="K10" s="833">
        <v>141.75</v>
      </c>
      <c r="L10" s="510" t="s">
        <v>4444</v>
      </c>
      <c r="M10" s="834">
        <v>3.7</v>
      </c>
      <c r="N10" s="834">
        <v>4.2</v>
      </c>
      <c r="O10" s="832">
        <v>3.95</v>
      </c>
      <c r="P10" s="835">
        <v>0.551</v>
      </c>
      <c r="Q10" s="833">
        <v>209.4</v>
      </c>
      <c r="R10" s="510" t="s">
        <v>4462</v>
      </c>
      <c r="S10" s="834">
        <v>4.6</v>
      </c>
      <c r="T10" s="834">
        <v>5.2</v>
      </c>
      <c r="U10" s="832">
        <v>4.9</v>
      </c>
      <c r="V10" s="835">
        <v>0.67</v>
      </c>
      <c r="W10" s="832">
        <v>254.60000000000002</v>
      </c>
      <c r="X10" s="812"/>
      <c r="Y10" s="812"/>
      <c r="Z10" s="812"/>
      <c r="AA10" s="812"/>
      <c r="AB10" s="812"/>
      <c r="AC10" s="812"/>
      <c r="AD10" s="812"/>
      <c r="AE10" s="812"/>
      <c r="AF10" s="812"/>
      <c r="AG10" s="812"/>
      <c r="AH10" s="812"/>
      <c r="AI10" s="812"/>
      <c r="AJ10" s="812"/>
      <c r="AK10" s="812"/>
      <c r="AL10" s="812"/>
      <c r="AM10" s="812"/>
      <c r="AN10" s="812"/>
      <c r="AO10" s="812"/>
    </row>
    <row r="11">
      <c r="A11" s="242"/>
      <c r="B11" s="829">
        <v>63.0</v>
      </c>
      <c r="C11" s="829">
        <v>0.4</v>
      </c>
      <c r="D11" s="830">
        <v>63.2</v>
      </c>
      <c r="E11" s="831">
        <v>1.5</v>
      </c>
      <c r="F11" s="510" t="s">
        <v>4718</v>
      </c>
      <c r="G11" s="834">
        <v>3.0</v>
      </c>
      <c r="H11" s="834">
        <v>3.4</v>
      </c>
      <c r="I11" s="832">
        <v>3.2</v>
      </c>
      <c r="J11" s="835">
        <v>0.579</v>
      </c>
      <c r="K11" s="833">
        <v>220.0</v>
      </c>
      <c r="L11" s="510" t="s">
        <v>4445</v>
      </c>
      <c r="M11" s="834">
        <v>4.7</v>
      </c>
      <c r="N11" s="834">
        <v>5.3</v>
      </c>
      <c r="O11" s="832">
        <v>5.0</v>
      </c>
      <c r="P11" s="835">
        <v>0.878</v>
      </c>
      <c r="Q11" s="833">
        <v>333.65</v>
      </c>
      <c r="R11" s="510" t="s">
        <v>4463</v>
      </c>
      <c r="S11" s="834">
        <v>5.8</v>
      </c>
      <c r="T11" s="834">
        <v>6.5</v>
      </c>
      <c r="U11" s="832">
        <v>6.15</v>
      </c>
      <c r="V11" s="835">
        <v>1.058</v>
      </c>
      <c r="W11" s="833">
        <v>402.05</v>
      </c>
      <c r="X11" s="812"/>
      <c r="Y11" s="812"/>
      <c r="Z11" s="812"/>
      <c r="AA11" s="812"/>
      <c r="AB11" s="812"/>
      <c r="AC11" s="812"/>
      <c r="AD11" s="812"/>
      <c r="AE11" s="812"/>
      <c r="AF11" s="812"/>
      <c r="AG11" s="812"/>
      <c r="AH11" s="812"/>
      <c r="AI11" s="812"/>
      <c r="AJ11" s="812"/>
      <c r="AK11" s="812"/>
      <c r="AL11" s="812"/>
      <c r="AM11" s="812"/>
      <c r="AN11" s="812"/>
      <c r="AO11" s="812"/>
    </row>
    <row r="12">
      <c r="A12" s="242"/>
      <c r="B12" s="829">
        <v>75.0</v>
      </c>
      <c r="C12" s="829">
        <v>0.5</v>
      </c>
      <c r="D12" s="830">
        <v>75.25</v>
      </c>
      <c r="E12" s="831">
        <v>1.6</v>
      </c>
      <c r="F12" s="510" t="s">
        <v>4719</v>
      </c>
      <c r="G12" s="834">
        <v>3.6</v>
      </c>
      <c r="H12" s="834">
        <v>4.1</v>
      </c>
      <c r="I12" s="832">
        <v>3.85</v>
      </c>
      <c r="J12" s="835">
        <v>0.829</v>
      </c>
      <c r="K12" s="833">
        <v>315.0</v>
      </c>
      <c r="L12" s="510" t="s">
        <v>4446</v>
      </c>
      <c r="M12" s="834">
        <v>5.6</v>
      </c>
      <c r="N12" s="834">
        <v>6.3</v>
      </c>
      <c r="O12" s="832">
        <v>5.95</v>
      </c>
      <c r="P12" s="835">
        <v>1.244</v>
      </c>
      <c r="Q12" s="833">
        <v>472.7</v>
      </c>
      <c r="R12" s="510" t="s">
        <v>4464</v>
      </c>
      <c r="S12" s="834">
        <v>6.9</v>
      </c>
      <c r="T12" s="834">
        <v>7.7</v>
      </c>
      <c r="U12" s="832">
        <v>7.3</v>
      </c>
      <c r="V12" s="835">
        <v>1.496</v>
      </c>
      <c r="W12" s="833">
        <v>568.5</v>
      </c>
      <c r="X12" s="812"/>
      <c r="Y12" s="812"/>
      <c r="Z12" s="812"/>
      <c r="AA12" s="812"/>
      <c r="AB12" s="812"/>
      <c r="AC12" s="812"/>
      <c r="AD12" s="812"/>
      <c r="AE12" s="812"/>
      <c r="AF12" s="812"/>
      <c r="AG12" s="812"/>
      <c r="AH12" s="812"/>
      <c r="AI12" s="812"/>
      <c r="AJ12" s="812"/>
      <c r="AK12" s="812"/>
      <c r="AL12" s="812"/>
      <c r="AM12" s="812"/>
      <c r="AN12" s="812"/>
      <c r="AO12" s="812"/>
    </row>
    <row r="13">
      <c r="A13" s="242"/>
      <c r="B13" s="829">
        <v>90.0</v>
      </c>
      <c r="C13" s="829">
        <v>0.6</v>
      </c>
      <c r="D13" s="830">
        <v>90.3</v>
      </c>
      <c r="E13" s="831">
        <v>1.8</v>
      </c>
      <c r="F13" s="510" t="s">
        <v>4720</v>
      </c>
      <c r="G13" s="834">
        <v>4.3</v>
      </c>
      <c r="H13" s="834">
        <v>4.9</v>
      </c>
      <c r="I13" s="832">
        <v>4.6</v>
      </c>
      <c r="J13" s="835">
        <v>1.189</v>
      </c>
      <c r="K13" s="833">
        <v>451.8</v>
      </c>
      <c r="L13" s="510" t="s">
        <v>4447</v>
      </c>
      <c r="M13" s="834">
        <v>6.7</v>
      </c>
      <c r="N13" s="834">
        <v>7.5</v>
      </c>
      <c r="O13" s="832">
        <v>7.1</v>
      </c>
      <c r="P13" s="835">
        <v>1.782</v>
      </c>
      <c r="Q13" s="833">
        <v>677.15</v>
      </c>
      <c r="R13" s="510" t="s">
        <v>4465</v>
      </c>
      <c r="S13" s="834">
        <v>8.2</v>
      </c>
      <c r="T13" s="834">
        <v>9.2</v>
      </c>
      <c r="U13" s="832">
        <v>8.7</v>
      </c>
      <c r="V13" s="835">
        <v>2.141</v>
      </c>
      <c r="W13" s="833">
        <v>813.6</v>
      </c>
      <c r="X13" s="812"/>
      <c r="Y13" s="812"/>
      <c r="Z13" s="812"/>
      <c r="AA13" s="812"/>
      <c r="AB13" s="812"/>
      <c r="AC13" s="812"/>
      <c r="AD13" s="812"/>
      <c r="AE13" s="812"/>
      <c r="AF13" s="812"/>
      <c r="AG13" s="812"/>
      <c r="AH13" s="812"/>
      <c r="AI13" s="812"/>
      <c r="AJ13" s="812"/>
      <c r="AK13" s="812"/>
      <c r="AL13" s="812"/>
      <c r="AM13" s="812"/>
      <c r="AN13" s="812"/>
      <c r="AO13" s="812"/>
    </row>
    <row r="14">
      <c r="A14" s="242"/>
      <c r="B14" s="829">
        <v>110.0</v>
      </c>
      <c r="C14" s="829">
        <v>0.7</v>
      </c>
      <c r="D14" s="830">
        <v>110.35</v>
      </c>
      <c r="E14" s="831">
        <v>2.2</v>
      </c>
      <c r="F14" s="510" t="s">
        <v>4721</v>
      </c>
      <c r="G14" s="834">
        <v>5.3</v>
      </c>
      <c r="H14" s="834">
        <v>6.0</v>
      </c>
      <c r="I14" s="832">
        <v>5.65</v>
      </c>
      <c r="J14" s="835">
        <v>1.784</v>
      </c>
      <c r="K14" s="833">
        <v>677.9</v>
      </c>
      <c r="L14" s="510" t="s">
        <v>4448</v>
      </c>
      <c r="M14" s="834">
        <v>8.1</v>
      </c>
      <c r="N14" s="834">
        <v>9.1</v>
      </c>
      <c r="O14" s="832">
        <v>8.6</v>
      </c>
      <c r="P14" s="835">
        <v>2.639</v>
      </c>
      <c r="Q14" s="833">
        <v>1002.8</v>
      </c>
      <c r="R14" s="510" t="s">
        <v>4466</v>
      </c>
      <c r="S14" s="834">
        <v>10.0</v>
      </c>
      <c r="T14" s="834">
        <v>11.1</v>
      </c>
      <c r="U14" s="832">
        <v>10.55</v>
      </c>
      <c r="V14" s="835">
        <v>3.176</v>
      </c>
      <c r="W14" s="833">
        <v>1206.9</v>
      </c>
      <c r="X14" s="812"/>
      <c r="Y14" s="812"/>
      <c r="Z14" s="812"/>
      <c r="AA14" s="812"/>
      <c r="AB14" s="812"/>
      <c r="AC14" s="812"/>
      <c r="AD14" s="812"/>
      <c r="AE14" s="812"/>
      <c r="AF14" s="812"/>
      <c r="AG14" s="812"/>
      <c r="AH14" s="812"/>
      <c r="AI14" s="812"/>
      <c r="AJ14" s="812"/>
      <c r="AK14" s="812"/>
      <c r="AL14" s="812"/>
      <c r="AM14" s="812"/>
      <c r="AN14" s="812"/>
      <c r="AO14" s="812"/>
    </row>
    <row r="15">
      <c r="A15" s="242"/>
      <c r="B15" s="829">
        <v>125.0</v>
      </c>
      <c r="C15" s="829">
        <v>0.8</v>
      </c>
      <c r="D15" s="830">
        <v>125.4</v>
      </c>
      <c r="E15" s="831">
        <v>2.5</v>
      </c>
      <c r="F15" s="510" t="s">
        <v>4722</v>
      </c>
      <c r="G15" s="834">
        <v>6.0</v>
      </c>
      <c r="H15" s="834">
        <v>6.7</v>
      </c>
      <c r="I15" s="832">
        <v>6.35</v>
      </c>
      <c r="J15" s="835">
        <v>2.28</v>
      </c>
      <c r="K15" s="832">
        <v>866.4</v>
      </c>
      <c r="L15" s="510" t="s">
        <v>4449</v>
      </c>
      <c r="M15" s="834">
        <v>9.2</v>
      </c>
      <c r="N15" s="834">
        <v>10.3</v>
      </c>
      <c r="O15" s="832">
        <v>9.75</v>
      </c>
      <c r="P15" s="835">
        <v>3.401</v>
      </c>
      <c r="Q15" s="833">
        <v>1292.4</v>
      </c>
      <c r="R15" s="510" t="s">
        <v>4467</v>
      </c>
      <c r="S15" s="834">
        <v>11.4</v>
      </c>
      <c r="T15" s="834">
        <v>12.7</v>
      </c>
      <c r="U15" s="832">
        <v>12.05</v>
      </c>
      <c r="V15" s="835">
        <v>4.12</v>
      </c>
      <c r="W15" s="832">
        <v>1565.6000000000001</v>
      </c>
      <c r="X15" s="812"/>
      <c r="Y15" s="812"/>
      <c r="Z15" s="812"/>
      <c r="AA15" s="812"/>
      <c r="AB15" s="812"/>
      <c r="AC15" s="812"/>
      <c r="AD15" s="812"/>
      <c r="AE15" s="812"/>
      <c r="AF15" s="812"/>
      <c r="AG15" s="812"/>
      <c r="AH15" s="812"/>
      <c r="AI15" s="812"/>
      <c r="AJ15" s="812"/>
      <c r="AK15" s="812"/>
      <c r="AL15" s="812"/>
      <c r="AM15" s="812"/>
      <c r="AN15" s="812"/>
      <c r="AO15" s="812"/>
    </row>
    <row r="16">
      <c r="A16" s="242"/>
      <c r="B16" s="829">
        <v>140.0</v>
      </c>
      <c r="C16" s="829">
        <v>0.9</v>
      </c>
      <c r="D16" s="830">
        <v>140.45</v>
      </c>
      <c r="E16" s="831">
        <v>2.8</v>
      </c>
      <c r="F16" s="510" t="s">
        <v>4723</v>
      </c>
      <c r="G16" s="834">
        <v>6.7</v>
      </c>
      <c r="H16" s="834">
        <v>7.5</v>
      </c>
      <c r="I16" s="832">
        <v>7.1</v>
      </c>
      <c r="J16" s="835">
        <v>2.856</v>
      </c>
      <c r="K16" s="833">
        <v>1085.3</v>
      </c>
      <c r="L16" s="510" t="s">
        <v>4450</v>
      </c>
      <c r="M16" s="834">
        <v>10.3</v>
      </c>
      <c r="N16" s="834">
        <v>11.5</v>
      </c>
      <c r="O16" s="832">
        <v>10.9</v>
      </c>
      <c r="P16" s="835">
        <v>4.259</v>
      </c>
      <c r="Q16" s="833">
        <v>1618.4</v>
      </c>
      <c r="R16" s="510" t="s">
        <v>4468</v>
      </c>
      <c r="S16" s="834">
        <v>12.8</v>
      </c>
      <c r="T16" s="834">
        <v>14.2</v>
      </c>
      <c r="U16" s="832">
        <v>13.5</v>
      </c>
      <c r="V16" s="835">
        <v>5.169</v>
      </c>
      <c r="W16" s="833">
        <v>1964.2</v>
      </c>
      <c r="X16" s="812"/>
      <c r="Y16" s="812"/>
      <c r="Z16" s="812"/>
      <c r="AA16" s="812"/>
      <c r="AB16" s="812"/>
      <c r="AC16" s="812"/>
      <c r="AD16" s="812"/>
      <c r="AE16" s="812"/>
      <c r="AF16" s="812"/>
      <c r="AG16" s="812"/>
      <c r="AH16" s="812"/>
      <c r="AI16" s="812"/>
      <c r="AJ16" s="812"/>
      <c r="AK16" s="812"/>
      <c r="AL16" s="812"/>
      <c r="AM16" s="812"/>
      <c r="AN16" s="812"/>
      <c r="AO16" s="812"/>
    </row>
    <row r="17">
      <c r="A17" s="242"/>
      <c r="B17" s="829">
        <v>160.0</v>
      </c>
      <c r="C17" s="831">
        <v>1.0</v>
      </c>
      <c r="D17" s="830">
        <v>160.5</v>
      </c>
      <c r="E17" s="831">
        <v>3.2</v>
      </c>
      <c r="F17" s="510" t="s">
        <v>4724</v>
      </c>
      <c r="G17" s="834">
        <v>7.7</v>
      </c>
      <c r="H17" s="834">
        <v>8.6</v>
      </c>
      <c r="I17" s="832">
        <v>8.15</v>
      </c>
      <c r="J17" s="835">
        <v>3.745</v>
      </c>
      <c r="K17" s="832">
        <v>1423.1000000000001</v>
      </c>
      <c r="L17" s="510" t="s">
        <v>4451</v>
      </c>
      <c r="M17" s="834">
        <v>11.8</v>
      </c>
      <c r="N17" s="834">
        <v>13.1</v>
      </c>
      <c r="O17" s="832">
        <v>12.45</v>
      </c>
      <c r="P17" s="835">
        <v>5.56</v>
      </c>
      <c r="Q17" s="832">
        <v>2112.7999999999997</v>
      </c>
      <c r="R17" s="510" t="s">
        <v>4469</v>
      </c>
      <c r="S17" s="834">
        <v>14.6</v>
      </c>
      <c r="T17" s="834">
        <v>16.2</v>
      </c>
      <c r="U17" s="832">
        <v>15.4</v>
      </c>
      <c r="V17" s="835">
        <v>6.74</v>
      </c>
      <c r="W17" s="832">
        <v>2561.2000000000003</v>
      </c>
      <c r="X17" s="812"/>
      <c r="Y17" s="812"/>
      <c r="Z17" s="812"/>
      <c r="AA17" s="812"/>
      <c r="AB17" s="812"/>
      <c r="AC17" s="812"/>
      <c r="AD17" s="812"/>
      <c r="AE17" s="812"/>
      <c r="AF17" s="812"/>
      <c r="AG17" s="812"/>
      <c r="AH17" s="812"/>
      <c r="AI17" s="812"/>
      <c r="AJ17" s="812"/>
      <c r="AK17" s="812"/>
      <c r="AL17" s="812"/>
      <c r="AM17" s="812"/>
      <c r="AN17" s="812"/>
      <c r="AO17" s="812"/>
    </row>
    <row r="18">
      <c r="A18" s="242"/>
      <c r="B18" s="829">
        <v>180.0</v>
      </c>
      <c r="C18" s="829">
        <v>1.1</v>
      </c>
      <c r="D18" s="830">
        <v>180.55</v>
      </c>
      <c r="E18" s="831">
        <v>3.6</v>
      </c>
      <c r="F18" s="510" t="s">
        <v>4725</v>
      </c>
      <c r="G18" s="834">
        <v>8.6</v>
      </c>
      <c r="H18" s="834">
        <v>9.6</v>
      </c>
      <c r="I18" s="832">
        <v>9.1</v>
      </c>
      <c r="J18" s="835">
        <v>4.706</v>
      </c>
      <c r="K18" s="833">
        <v>1788.3</v>
      </c>
      <c r="L18" s="510" t="s">
        <v>4452</v>
      </c>
      <c r="M18" s="834">
        <v>13.3</v>
      </c>
      <c r="N18" s="834">
        <v>14.8</v>
      </c>
      <c r="O18" s="832">
        <v>14.05</v>
      </c>
      <c r="P18" s="835">
        <v>7.056</v>
      </c>
      <c r="Q18" s="833">
        <v>2681.3</v>
      </c>
      <c r="R18" s="510" t="s">
        <v>4470</v>
      </c>
      <c r="S18" s="834">
        <v>16.4</v>
      </c>
      <c r="T18" s="834">
        <v>18.2</v>
      </c>
      <c r="U18" s="832">
        <v>17.3</v>
      </c>
      <c r="V18" s="835">
        <v>8.519</v>
      </c>
      <c r="W18" s="833">
        <v>3237.2</v>
      </c>
      <c r="X18" s="812"/>
      <c r="Y18" s="812"/>
      <c r="Z18" s="812"/>
      <c r="AA18" s="812"/>
      <c r="AB18" s="812"/>
      <c r="AC18" s="812"/>
      <c r="AD18" s="812"/>
      <c r="AE18" s="812"/>
      <c r="AF18" s="812"/>
      <c r="AG18" s="812"/>
      <c r="AH18" s="812"/>
      <c r="AI18" s="812"/>
      <c r="AJ18" s="812"/>
      <c r="AK18" s="812"/>
      <c r="AL18" s="812"/>
      <c r="AM18" s="812"/>
      <c r="AN18" s="812"/>
      <c r="AO18" s="812"/>
    </row>
    <row r="19">
      <c r="A19" s="242"/>
      <c r="B19" s="829">
        <v>200.0</v>
      </c>
      <c r="C19" s="829">
        <v>1.2</v>
      </c>
      <c r="D19" s="830">
        <v>200.6</v>
      </c>
      <c r="E19" s="831">
        <v>4.0</v>
      </c>
      <c r="F19" s="510" t="s">
        <v>4726</v>
      </c>
      <c r="G19" s="834">
        <v>9.6</v>
      </c>
      <c r="H19" s="834">
        <v>10.7</v>
      </c>
      <c r="I19" s="832">
        <v>10.15</v>
      </c>
      <c r="J19" s="835">
        <v>5.831</v>
      </c>
      <c r="K19" s="833">
        <v>2215.8</v>
      </c>
      <c r="L19" s="510" t="s">
        <v>4453</v>
      </c>
      <c r="M19" s="834">
        <v>14.8</v>
      </c>
      <c r="N19" s="834">
        <v>16.4</v>
      </c>
      <c r="O19" s="832">
        <v>15.6</v>
      </c>
      <c r="P19" s="835">
        <v>8.705</v>
      </c>
      <c r="Q19" s="832">
        <v>3307.9</v>
      </c>
      <c r="R19" s="510" t="s">
        <v>4471</v>
      </c>
      <c r="S19" s="834">
        <v>18.2</v>
      </c>
      <c r="T19" s="834">
        <v>20.2</v>
      </c>
      <c r="U19" s="832">
        <v>19.2</v>
      </c>
      <c r="V19" s="835">
        <v>10.505</v>
      </c>
      <c r="W19" s="832">
        <v>3991.9</v>
      </c>
      <c r="X19" s="812"/>
      <c r="Y19" s="812"/>
      <c r="Z19" s="812"/>
      <c r="AA19" s="812"/>
      <c r="AB19" s="812"/>
      <c r="AC19" s="812"/>
      <c r="AD19" s="812"/>
      <c r="AE19" s="812"/>
      <c r="AF19" s="812"/>
      <c r="AG19" s="812"/>
      <c r="AH19" s="812"/>
      <c r="AI19" s="812"/>
      <c r="AJ19" s="812"/>
      <c r="AK19" s="812"/>
      <c r="AL19" s="812"/>
      <c r="AM19" s="812"/>
      <c r="AN19" s="812"/>
      <c r="AO19" s="812"/>
    </row>
    <row r="20">
      <c r="A20" s="242"/>
      <c r="B20" s="829">
        <v>225.0</v>
      </c>
      <c r="C20" s="829">
        <v>1.4</v>
      </c>
      <c r="D20" s="830">
        <v>225.7</v>
      </c>
      <c r="E20" s="831">
        <v>4.5</v>
      </c>
      <c r="F20" s="510" t="s">
        <v>4727</v>
      </c>
      <c r="G20" s="834">
        <v>10.8</v>
      </c>
      <c r="H20" s="834">
        <v>12.0</v>
      </c>
      <c r="I20" s="832">
        <v>11.4</v>
      </c>
      <c r="J20" s="835">
        <v>7.369</v>
      </c>
      <c r="K20" s="833">
        <v>2800.2</v>
      </c>
      <c r="L20" s="510" t="s">
        <v>4454</v>
      </c>
      <c r="M20" s="834">
        <v>16.6</v>
      </c>
      <c r="N20" s="834">
        <v>18.4</v>
      </c>
      <c r="O20" s="832">
        <v>17.5</v>
      </c>
      <c r="P20" s="835">
        <v>10.99</v>
      </c>
      <c r="Q20" s="832">
        <v>4176.2</v>
      </c>
      <c r="R20" s="510" t="s">
        <v>4472</v>
      </c>
      <c r="S20" s="834">
        <v>20.5</v>
      </c>
      <c r="T20" s="834">
        <v>22.7</v>
      </c>
      <c r="U20" s="832">
        <v>21.6</v>
      </c>
      <c r="V20" s="835">
        <v>13.298</v>
      </c>
      <c r="W20" s="833">
        <v>5053.25</v>
      </c>
      <c r="X20" s="812"/>
      <c r="Y20" s="812"/>
      <c r="Z20" s="812"/>
      <c r="AA20" s="812"/>
      <c r="AB20" s="812"/>
      <c r="AC20" s="812"/>
      <c r="AD20" s="812"/>
      <c r="AE20" s="812"/>
      <c r="AF20" s="812"/>
      <c r="AG20" s="812"/>
      <c r="AH20" s="812"/>
      <c r="AI20" s="812"/>
      <c r="AJ20" s="812"/>
      <c r="AK20" s="812"/>
      <c r="AL20" s="812"/>
      <c r="AM20" s="812"/>
      <c r="AN20" s="812"/>
      <c r="AO20" s="812"/>
    </row>
    <row r="21">
      <c r="A21" s="242"/>
      <c r="B21" s="829">
        <v>250.0</v>
      </c>
      <c r="C21" s="829">
        <v>1.5</v>
      </c>
      <c r="D21" s="830">
        <v>250.7</v>
      </c>
      <c r="E21" s="831">
        <v>5.0</v>
      </c>
      <c r="F21" s="510" t="s">
        <v>4728</v>
      </c>
      <c r="G21" s="834">
        <v>12.0</v>
      </c>
      <c r="H21" s="834">
        <v>13.3</v>
      </c>
      <c r="I21" s="832">
        <v>12.65</v>
      </c>
      <c r="J21" s="835">
        <v>9.083</v>
      </c>
      <c r="K21" s="833">
        <v>3451.55</v>
      </c>
      <c r="L21" s="510" t="s">
        <v>4455</v>
      </c>
      <c r="M21" s="834">
        <v>18.4</v>
      </c>
      <c r="N21" s="834">
        <v>20.4</v>
      </c>
      <c r="O21" s="832">
        <v>19.4</v>
      </c>
      <c r="P21" s="835">
        <v>13.535</v>
      </c>
      <c r="Q21" s="832">
        <v>5143.3</v>
      </c>
      <c r="R21" s="510" t="s">
        <v>4473</v>
      </c>
      <c r="S21" s="834">
        <v>22.8</v>
      </c>
      <c r="T21" s="834">
        <v>25.2</v>
      </c>
      <c r="U21" s="832">
        <v>24.0</v>
      </c>
      <c r="V21" s="835">
        <v>16.411</v>
      </c>
      <c r="W21" s="833">
        <v>6236.2</v>
      </c>
      <c r="X21" s="812"/>
      <c r="Y21" s="812"/>
      <c r="Z21" s="812"/>
      <c r="AA21" s="812"/>
      <c r="AB21" s="812"/>
      <c r="AC21" s="812"/>
      <c r="AD21" s="812"/>
      <c r="AE21" s="812"/>
      <c r="AF21" s="812"/>
      <c r="AG21" s="812"/>
      <c r="AH21" s="812"/>
      <c r="AI21" s="812"/>
      <c r="AJ21" s="812"/>
      <c r="AK21" s="812"/>
      <c r="AL21" s="812"/>
      <c r="AM21" s="812"/>
      <c r="AN21" s="812"/>
      <c r="AO21" s="812"/>
    </row>
    <row r="22">
      <c r="A22" s="242"/>
      <c r="B22" s="829">
        <v>280.0</v>
      </c>
      <c r="C22" s="829">
        <v>1.7</v>
      </c>
      <c r="D22" s="830">
        <v>280.85</v>
      </c>
      <c r="E22" s="831">
        <v>9.8</v>
      </c>
      <c r="F22" s="510" t="s">
        <v>4729</v>
      </c>
      <c r="G22" s="834">
        <v>13.4</v>
      </c>
      <c r="H22" s="834">
        <v>14.9</v>
      </c>
      <c r="I22" s="832">
        <v>14.15</v>
      </c>
      <c r="J22" s="835">
        <v>11.383</v>
      </c>
      <c r="K22" s="833">
        <v>4325.55</v>
      </c>
      <c r="L22" s="510" t="s">
        <v>4456</v>
      </c>
      <c r="M22" s="834">
        <v>20.6</v>
      </c>
      <c r="N22" s="834">
        <v>22.8</v>
      </c>
      <c r="O22" s="832">
        <v>21.7</v>
      </c>
      <c r="P22" s="835">
        <v>16.962</v>
      </c>
      <c r="Q22" s="833">
        <v>6445.6</v>
      </c>
      <c r="R22" s="510" t="s">
        <v>4474</v>
      </c>
      <c r="S22" s="834">
        <v>25.5</v>
      </c>
      <c r="T22" s="834">
        <v>28.2</v>
      </c>
      <c r="U22" s="832">
        <v>26.85</v>
      </c>
      <c r="V22" s="835">
        <v>20.571</v>
      </c>
      <c r="W22" s="833">
        <v>7817.0</v>
      </c>
      <c r="X22" s="812"/>
      <c r="Y22" s="812"/>
      <c r="Z22" s="812"/>
      <c r="AA22" s="812"/>
      <c r="AB22" s="812"/>
      <c r="AC22" s="812"/>
      <c r="AD22" s="812"/>
      <c r="AE22" s="812"/>
      <c r="AF22" s="812"/>
      <c r="AG22" s="812"/>
      <c r="AH22" s="812"/>
      <c r="AI22" s="812"/>
      <c r="AJ22" s="812"/>
      <c r="AK22" s="812"/>
      <c r="AL22" s="812"/>
      <c r="AM22" s="812"/>
      <c r="AN22" s="812"/>
      <c r="AO22" s="812"/>
    </row>
    <row r="23">
      <c r="A23" s="242"/>
      <c r="B23" s="829">
        <v>315.0</v>
      </c>
      <c r="C23" s="829">
        <v>1.9</v>
      </c>
      <c r="D23" s="830">
        <v>315.93</v>
      </c>
      <c r="E23" s="831">
        <v>11.1</v>
      </c>
      <c r="F23" s="510" t="s">
        <v>4440</v>
      </c>
      <c r="G23" s="834">
        <v>15.0</v>
      </c>
      <c r="H23" s="834">
        <v>16.6</v>
      </c>
      <c r="I23" s="832">
        <v>15.8</v>
      </c>
      <c r="J23" s="835">
        <v>14.304</v>
      </c>
      <c r="K23" s="833">
        <v>5435.5</v>
      </c>
      <c r="L23" s="510" t="s">
        <v>4457</v>
      </c>
      <c r="M23" s="834">
        <v>23.2</v>
      </c>
      <c r="N23" s="834">
        <v>25.7</v>
      </c>
      <c r="O23" s="832">
        <v>24.45</v>
      </c>
      <c r="P23" s="835">
        <v>21.496</v>
      </c>
      <c r="Q23" s="833">
        <v>8168.9</v>
      </c>
      <c r="R23" s="510" t="s">
        <v>4475</v>
      </c>
      <c r="S23" s="834">
        <v>28.7</v>
      </c>
      <c r="T23" s="834">
        <v>31.7</v>
      </c>
      <c r="U23" s="832">
        <v>30.2</v>
      </c>
      <c r="V23" s="835">
        <v>26.028</v>
      </c>
      <c r="W23" s="833">
        <v>9890.6</v>
      </c>
      <c r="X23" s="812"/>
      <c r="Y23" s="812"/>
      <c r="Z23" s="812"/>
      <c r="AA23" s="812"/>
      <c r="AB23" s="812"/>
      <c r="AC23" s="812"/>
      <c r="AD23" s="812"/>
      <c r="AE23" s="812"/>
      <c r="AF23" s="812"/>
      <c r="AG23" s="812"/>
      <c r="AH23" s="812"/>
      <c r="AI23" s="812"/>
      <c r="AJ23" s="812"/>
      <c r="AK23" s="812"/>
      <c r="AL23" s="812"/>
      <c r="AM23" s="812"/>
      <c r="AN23" s="812"/>
      <c r="AO23" s="812"/>
    </row>
    <row r="24" ht="32.25" customHeight="1">
      <c r="A24" s="242"/>
      <c r="B24" s="809"/>
      <c r="C24" s="554"/>
      <c r="D24" s="554"/>
      <c r="E24" s="554"/>
      <c r="F24" s="810" t="s">
        <v>4730</v>
      </c>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6"/>
      <c r="AJ24" s="812"/>
      <c r="AK24" s="812"/>
      <c r="AL24" s="812"/>
      <c r="AM24" s="812"/>
      <c r="AN24" s="812"/>
      <c r="AO24" s="812"/>
    </row>
    <row r="25">
      <c r="A25" s="242"/>
      <c r="B25" s="813">
        <v>380.0</v>
      </c>
      <c r="C25" s="814"/>
      <c r="D25" s="814"/>
      <c r="E25" s="814"/>
      <c r="F25" s="815" t="s">
        <v>4703</v>
      </c>
      <c r="G25" s="45"/>
      <c r="H25" s="45"/>
      <c r="I25" s="45"/>
      <c r="J25" s="45"/>
      <c r="K25" s="46"/>
      <c r="L25" s="816" t="s">
        <v>4704</v>
      </c>
      <c r="M25" s="45"/>
      <c r="N25" s="45"/>
      <c r="O25" s="45"/>
      <c r="P25" s="45"/>
      <c r="Q25" s="46"/>
      <c r="R25" s="816" t="s">
        <v>4705</v>
      </c>
      <c r="S25" s="45"/>
      <c r="T25" s="45"/>
      <c r="U25" s="45"/>
      <c r="V25" s="45"/>
      <c r="W25" s="46"/>
      <c r="X25" s="816" t="s">
        <v>4731</v>
      </c>
      <c r="Y25" s="45"/>
      <c r="Z25" s="45"/>
      <c r="AA25" s="45"/>
      <c r="AB25" s="45"/>
      <c r="AC25" s="46"/>
      <c r="AD25" s="816" t="s">
        <v>4732</v>
      </c>
      <c r="AE25" s="45"/>
      <c r="AF25" s="45"/>
      <c r="AG25" s="45"/>
      <c r="AH25" s="45"/>
      <c r="AI25" s="46"/>
      <c r="AJ25" s="836"/>
      <c r="AK25" s="836"/>
      <c r="AL25" s="836"/>
      <c r="AM25" s="836"/>
      <c r="AN25" s="836"/>
      <c r="AO25" s="836"/>
    </row>
    <row r="26">
      <c r="A26" s="242"/>
      <c r="B26" s="817"/>
      <c r="C26" s="818"/>
      <c r="D26" s="818"/>
      <c r="E26" s="819"/>
      <c r="F26" s="820" t="s">
        <v>4706</v>
      </c>
      <c r="G26" s="45"/>
      <c r="H26" s="45"/>
      <c r="I26" s="45"/>
      <c r="J26" s="45"/>
      <c r="K26" s="46"/>
      <c r="L26" s="821" t="s">
        <v>4707</v>
      </c>
      <c r="M26" s="45"/>
      <c r="N26" s="45"/>
      <c r="O26" s="45"/>
      <c r="P26" s="45"/>
      <c r="Q26" s="46"/>
      <c r="R26" s="821" t="s">
        <v>4708</v>
      </c>
      <c r="S26" s="45"/>
      <c r="T26" s="45"/>
      <c r="U26" s="45"/>
      <c r="V26" s="45"/>
      <c r="W26" s="46"/>
      <c r="X26" s="820" t="s">
        <v>4733</v>
      </c>
      <c r="Y26" s="45"/>
      <c r="Z26" s="45"/>
      <c r="AA26" s="45"/>
      <c r="AB26" s="45"/>
      <c r="AC26" s="46"/>
      <c r="AD26" s="821" t="s">
        <v>3145</v>
      </c>
      <c r="AE26" s="45"/>
      <c r="AF26" s="45"/>
      <c r="AG26" s="45"/>
      <c r="AH26" s="45"/>
      <c r="AI26" s="46"/>
      <c r="AJ26" s="105"/>
      <c r="AK26" s="105"/>
      <c r="AL26" s="105"/>
      <c r="AM26" s="105"/>
      <c r="AN26" s="105"/>
      <c r="AO26" s="105"/>
    </row>
    <row r="27">
      <c r="A27" s="242"/>
      <c r="B27" s="822" t="s">
        <v>4709</v>
      </c>
      <c r="C27" s="823" t="s">
        <v>4710</v>
      </c>
      <c r="D27" s="823" t="s">
        <v>4711</v>
      </c>
      <c r="E27" s="822" t="s">
        <v>4712</v>
      </c>
      <c r="F27" s="824" t="s">
        <v>4</v>
      </c>
      <c r="G27" s="825" t="s">
        <v>4713</v>
      </c>
      <c r="H27" s="825" t="s">
        <v>4714</v>
      </c>
      <c r="I27" s="826" t="s">
        <v>4715</v>
      </c>
      <c r="J27" s="827" t="s">
        <v>6</v>
      </c>
      <c r="K27" s="828" t="s">
        <v>3452</v>
      </c>
      <c r="L27" s="824" t="s">
        <v>4</v>
      </c>
      <c r="M27" s="825" t="s">
        <v>4713</v>
      </c>
      <c r="N27" s="825" t="s">
        <v>4714</v>
      </c>
      <c r="O27" s="824" t="s">
        <v>4715</v>
      </c>
      <c r="P27" s="824" t="s">
        <v>6</v>
      </c>
      <c r="Q27" s="828" t="s">
        <v>3452</v>
      </c>
      <c r="R27" s="824" t="s">
        <v>4</v>
      </c>
      <c r="S27" s="825" t="s">
        <v>4713</v>
      </c>
      <c r="T27" s="825" t="s">
        <v>4714</v>
      </c>
      <c r="U27" s="824" t="s">
        <v>4715</v>
      </c>
      <c r="V27" s="824" t="s">
        <v>6</v>
      </c>
      <c r="W27" s="828" t="s">
        <v>3452</v>
      </c>
      <c r="X27" s="824" t="s">
        <v>4</v>
      </c>
      <c r="Y27" s="825" t="s">
        <v>4713</v>
      </c>
      <c r="Z27" s="825" t="s">
        <v>4714</v>
      </c>
      <c r="AA27" s="824" t="s">
        <v>4715</v>
      </c>
      <c r="AB27" s="824" t="s">
        <v>6</v>
      </c>
      <c r="AC27" s="828" t="s">
        <v>3452</v>
      </c>
      <c r="AD27" s="824" t="s">
        <v>4</v>
      </c>
      <c r="AE27" s="825" t="s">
        <v>4713</v>
      </c>
      <c r="AF27" s="825" t="s">
        <v>4714</v>
      </c>
      <c r="AG27" s="824" t="s">
        <v>4715</v>
      </c>
      <c r="AH27" s="824" t="s">
        <v>6</v>
      </c>
      <c r="AI27" s="828" t="s">
        <v>3452</v>
      </c>
      <c r="AJ27" s="837"/>
      <c r="AK27" s="837"/>
      <c r="AL27" s="837"/>
      <c r="AM27" s="837"/>
      <c r="AN27" s="837"/>
      <c r="AO27" s="837"/>
    </row>
    <row r="28">
      <c r="A28" s="242"/>
      <c r="B28" s="829">
        <v>20.0</v>
      </c>
      <c r="C28" s="829">
        <v>0.3</v>
      </c>
      <c r="D28" s="830">
        <v>20.15</v>
      </c>
      <c r="E28" s="831">
        <v>1.2</v>
      </c>
      <c r="F28" s="510"/>
      <c r="G28" s="510"/>
      <c r="H28" s="510"/>
      <c r="I28" s="510"/>
      <c r="J28" s="510"/>
      <c r="K28" s="832"/>
      <c r="L28" s="510"/>
      <c r="M28" s="838"/>
      <c r="N28" s="705"/>
      <c r="O28" s="705"/>
      <c r="P28" s="705"/>
      <c r="Q28" s="839"/>
      <c r="R28" s="510"/>
      <c r="S28" s="705"/>
      <c r="T28" s="705"/>
      <c r="U28" s="705"/>
      <c r="V28" s="705"/>
      <c r="W28" s="832"/>
      <c r="X28" s="510" t="s">
        <v>4509</v>
      </c>
      <c r="Y28" s="834">
        <v>2.0</v>
      </c>
      <c r="Z28" s="510">
        <v>2.3</v>
      </c>
      <c r="AA28" s="832">
        <f t="shared" ref="AA28:AA45" si="1">(Z28-Y28)/2+Y28</f>
        <v>2.15</v>
      </c>
      <c r="AB28" s="835">
        <f t="shared" ref="AB28:AB45" si="2">(D28-AA28)*AA28*3.142*0.96/1000</f>
        <v>0.116731584</v>
      </c>
      <c r="AC28" s="833">
        <v>44.5</v>
      </c>
      <c r="AD28" s="510" t="s">
        <v>4527</v>
      </c>
      <c r="AE28" s="834">
        <v>2.3</v>
      </c>
      <c r="AF28" s="834">
        <v>2.7</v>
      </c>
      <c r="AG28" s="832">
        <f t="shared" ref="AG28:AG45" si="3">(AF28-AE28)/2+AE28</f>
        <v>2.5</v>
      </c>
      <c r="AH28" s="835">
        <f t="shared" ref="AH28:AH45" si="4">(D28-AG28)*AG28*3.142*0.96/1000</f>
        <v>0.13309512</v>
      </c>
      <c r="AI28" s="833">
        <v>50.5</v>
      </c>
      <c r="AJ28" s="841"/>
      <c r="AK28" s="843"/>
      <c r="AL28" s="843"/>
      <c r="AM28" s="843"/>
      <c r="AN28" s="843"/>
      <c r="AO28" s="843"/>
    </row>
    <row r="29">
      <c r="A29" s="242"/>
      <c r="B29" s="829">
        <v>25.0</v>
      </c>
      <c r="C29" s="829">
        <v>0.3</v>
      </c>
      <c r="D29" s="830">
        <v>25.15</v>
      </c>
      <c r="E29" s="831">
        <v>1.2</v>
      </c>
      <c r="F29" s="510"/>
      <c r="G29" s="510"/>
      <c r="H29" s="510"/>
      <c r="I29" s="510"/>
      <c r="J29" s="510"/>
      <c r="K29" s="832"/>
      <c r="L29" s="510"/>
      <c r="M29" s="838"/>
      <c r="N29" s="705"/>
      <c r="O29" s="705"/>
      <c r="P29" s="705"/>
      <c r="Q29" s="839"/>
      <c r="R29" s="510" t="s">
        <v>4492</v>
      </c>
      <c r="S29" s="510">
        <v>2.0</v>
      </c>
      <c r="T29" s="510">
        <v>2.3</v>
      </c>
      <c r="U29" s="832">
        <f t="shared" ref="U29:U45" si="5">(T29-S29)/2+S29</f>
        <v>2.15</v>
      </c>
      <c r="V29" s="835">
        <f t="shared" ref="V29:V45" si="6">(D29-U29)*U29*3.142*0.96/1000</f>
        <v>0.149157024</v>
      </c>
      <c r="W29" s="833">
        <v>56.75</v>
      </c>
      <c r="X29" s="510" t="s">
        <v>4510</v>
      </c>
      <c r="Y29" s="834">
        <v>2.3</v>
      </c>
      <c r="Z29" s="510">
        <v>2.7</v>
      </c>
      <c r="AA29" s="832">
        <f t="shared" si="1"/>
        <v>2.5</v>
      </c>
      <c r="AB29" s="835">
        <f t="shared" si="2"/>
        <v>0.17079912</v>
      </c>
      <c r="AC29" s="833">
        <v>65.0</v>
      </c>
      <c r="AD29" s="510" t="s">
        <v>4528</v>
      </c>
      <c r="AE29" s="834">
        <v>2.8</v>
      </c>
      <c r="AF29" s="834">
        <v>3.2</v>
      </c>
      <c r="AG29" s="832">
        <f t="shared" si="3"/>
        <v>3</v>
      </c>
      <c r="AH29" s="835">
        <f t="shared" si="4"/>
        <v>0.200434464</v>
      </c>
      <c r="AI29" s="833">
        <v>76.25</v>
      </c>
      <c r="AJ29" s="841"/>
      <c r="AK29" s="843"/>
      <c r="AL29" s="843"/>
      <c r="AM29" s="843"/>
      <c r="AN29" s="843"/>
      <c r="AO29" s="843"/>
    </row>
    <row r="30">
      <c r="A30" s="242"/>
      <c r="B30" s="829">
        <v>32.0</v>
      </c>
      <c r="C30" s="829">
        <v>0.3</v>
      </c>
      <c r="D30" s="830">
        <v>32.15</v>
      </c>
      <c r="E30" s="831">
        <v>1.3</v>
      </c>
      <c r="F30" s="510"/>
      <c r="G30" s="510"/>
      <c r="H30" s="510"/>
      <c r="I30" s="510"/>
      <c r="J30" s="510"/>
      <c r="K30" s="832"/>
      <c r="L30" s="510" t="s">
        <v>4476</v>
      </c>
      <c r="M30" s="834">
        <v>2.0</v>
      </c>
      <c r="N30" s="510">
        <v>2.3</v>
      </c>
      <c r="O30" s="832">
        <f t="shared" ref="O30:O45" si="7">(N30-M30)/2+M30</f>
        <v>2.15</v>
      </c>
      <c r="P30" s="835">
        <f t="shared" ref="P30:P45" si="8">(D30-O30)*O30*3.142*0.96/1000</f>
        <v>0.19455264</v>
      </c>
      <c r="Q30" s="851">
        <v>74.0</v>
      </c>
      <c r="R30" s="510" t="s">
        <v>4493</v>
      </c>
      <c r="S30" s="510">
        <v>2.4</v>
      </c>
      <c r="T30" s="510">
        <v>2.8</v>
      </c>
      <c r="U30" s="832">
        <f t="shared" si="5"/>
        <v>2.6</v>
      </c>
      <c r="V30" s="835">
        <f t="shared" si="6"/>
        <v>0.2317438656</v>
      </c>
      <c r="W30" s="833">
        <v>88.25</v>
      </c>
      <c r="X30" s="510" t="s">
        <v>4511</v>
      </c>
      <c r="Y30" s="834">
        <v>3.0</v>
      </c>
      <c r="Z30" s="510">
        <v>3.4</v>
      </c>
      <c r="AA30" s="832">
        <f t="shared" si="1"/>
        <v>3.2</v>
      </c>
      <c r="AB30" s="835">
        <f t="shared" si="2"/>
        <v>0.2794318848</v>
      </c>
      <c r="AC30" s="833">
        <v>106.25</v>
      </c>
      <c r="AD30" s="510" t="s">
        <v>4529</v>
      </c>
      <c r="AE30" s="834">
        <v>3.6</v>
      </c>
      <c r="AF30" s="834">
        <v>4.1</v>
      </c>
      <c r="AG30" s="832">
        <f t="shared" si="3"/>
        <v>3.85</v>
      </c>
      <c r="AH30" s="835">
        <f t="shared" si="4"/>
        <v>0.3286431456</v>
      </c>
      <c r="AI30" s="833">
        <v>125.0</v>
      </c>
      <c r="AJ30" s="841"/>
      <c r="AK30" s="843"/>
      <c r="AL30" s="843"/>
      <c r="AM30" s="843"/>
      <c r="AN30" s="843"/>
      <c r="AO30" s="843"/>
    </row>
    <row r="31">
      <c r="A31" s="242"/>
      <c r="B31" s="829">
        <v>40.0</v>
      </c>
      <c r="C31" s="829">
        <v>0.4</v>
      </c>
      <c r="D31" s="830">
        <v>40.2</v>
      </c>
      <c r="E31" s="831">
        <v>1.4</v>
      </c>
      <c r="F31" s="510"/>
      <c r="G31" s="510"/>
      <c r="H31" s="510"/>
      <c r="I31" s="510"/>
      <c r="J31" s="510"/>
      <c r="K31" s="832"/>
      <c r="L31" s="510" t="s">
        <v>4477</v>
      </c>
      <c r="M31" s="834">
        <v>2.4</v>
      </c>
      <c r="N31" s="834">
        <v>2.8</v>
      </c>
      <c r="O31" s="832">
        <f t="shared" si="7"/>
        <v>2.6</v>
      </c>
      <c r="P31" s="835">
        <f t="shared" si="8"/>
        <v>0.2948754432</v>
      </c>
      <c r="Q31" s="851">
        <v>112.25</v>
      </c>
      <c r="R31" s="510" t="s">
        <v>4494</v>
      </c>
      <c r="S31" s="834">
        <v>3.0</v>
      </c>
      <c r="T31" s="834">
        <v>3.4</v>
      </c>
      <c r="U31" s="832">
        <f t="shared" si="5"/>
        <v>3.2</v>
      </c>
      <c r="V31" s="835">
        <f t="shared" si="6"/>
        <v>0.357132288</v>
      </c>
      <c r="W31" s="833">
        <v>135.75</v>
      </c>
      <c r="X31" s="510" t="s">
        <v>4512</v>
      </c>
      <c r="Y31" s="834">
        <v>3.7</v>
      </c>
      <c r="Z31" s="834">
        <v>4.2</v>
      </c>
      <c r="AA31" s="832">
        <f t="shared" si="1"/>
        <v>3.95</v>
      </c>
      <c r="AB31" s="835">
        <f t="shared" si="2"/>
        <v>0.43189932</v>
      </c>
      <c r="AC31" s="833">
        <v>164.25</v>
      </c>
      <c r="AD31" s="510" t="s">
        <v>4530</v>
      </c>
      <c r="AE31" s="834">
        <v>4.5</v>
      </c>
      <c r="AF31" s="834">
        <v>5.1</v>
      </c>
      <c r="AG31" s="832">
        <f t="shared" si="3"/>
        <v>4.8</v>
      </c>
      <c r="AH31" s="835">
        <f t="shared" si="4"/>
        <v>0.5125330944</v>
      </c>
      <c r="AI31" s="833">
        <v>194.75</v>
      </c>
      <c r="AJ31" s="841"/>
      <c r="AK31" s="843"/>
      <c r="AL31" s="843"/>
      <c r="AM31" s="843"/>
      <c r="AN31" s="843"/>
      <c r="AO31" s="843"/>
    </row>
    <row r="32">
      <c r="A32" s="242"/>
      <c r="B32" s="829">
        <v>50.0</v>
      </c>
      <c r="C32" s="829">
        <v>0.4</v>
      </c>
      <c r="D32" s="830">
        <v>50.2</v>
      </c>
      <c r="E32" s="831">
        <v>1.4</v>
      </c>
      <c r="F32" s="510" t="s">
        <v>4426</v>
      </c>
      <c r="G32" s="834">
        <v>2.0</v>
      </c>
      <c r="H32" s="834">
        <v>2.3</v>
      </c>
      <c r="I32" s="832">
        <f t="shared" ref="I32:I45" si="9">(H32-G32)/2+G32</f>
        <v>2.15</v>
      </c>
      <c r="J32" s="835">
        <f t="shared" ref="J32:J45" si="10">(D32-I32)*I32*3.142*0.96/1000</f>
        <v>0.3116084784</v>
      </c>
      <c r="K32" s="833">
        <v>118.5</v>
      </c>
      <c r="L32" s="510" t="s">
        <v>4478</v>
      </c>
      <c r="M32" s="834">
        <v>3.0</v>
      </c>
      <c r="N32" s="834">
        <v>3.4</v>
      </c>
      <c r="O32" s="832">
        <f t="shared" si="7"/>
        <v>3.2</v>
      </c>
      <c r="P32" s="835">
        <f t="shared" si="8"/>
        <v>0.453654528</v>
      </c>
      <c r="Q32" s="851">
        <v>172.5</v>
      </c>
      <c r="R32" s="510" t="s">
        <v>4495</v>
      </c>
      <c r="S32" s="834">
        <v>3.7</v>
      </c>
      <c r="T32" s="834">
        <v>4.2</v>
      </c>
      <c r="U32" s="832">
        <f t="shared" si="5"/>
        <v>3.95</v>
      </c>
      <c r="V32" s="835">
        <f t="shared" si="6"/>
        <v>0.55104396</v>
      </c>
      <c r="W32" s="833">
        <v>209.5</v>
      </c>
      <c r="X32" s="510" t="s">
        <v>4513</v>
      </c>
      <c r="Y32" s="834">
        <v>4.6</v>
      </c>
      <c r="Z32" s="834">
        <v>5.2</v>
      </c>
      <c r="AA32" s="832">
        <f t="shared" si="1"/>
        <v>4.9</v>
      </c>
      <c r="AB32" s="835">
        <f t="shared" si="2"/>
        <v>0.6695325504</v>
      </c>
      <c r="AC32" s="833">
        <v>254.5</v>
      </c>
      <c r="AD32" s="510" t="s">
        <v>4531</v>
      </c>
      <c r="AE32" s="834">
        <v>5.6</v>
      </c>
      <c r="AF32" s="834">
        <v>6.3</v>
      </c>
      <c r="AG32" s="832">
        <f t="shared" si="3"/>
        <v>5.95</v>
      </c>
      <c r="AH32" s="835">
        <f t="shared" si="4"/>
        <v>0.794159352</v>
      </c>
      <c r="AI32" s="833">
        <v>301.75</v>
      </c>
      <c r="AJ32" s="841"/>
      <c r="AK32" s="843"/>
      <c r="AL32" s="843"/>
      <c r="AM32" s="843"/>
      <c r="AN32" s="843"/>
      <c r="AO32" s="843"/>
    </row>
    <row r="33">
      <c r="A33" s="242"/>
      <c r="B33" s="829">
        <v>63.0</v>
      </c>
      <c r="C33" s="829">
        <v>0.4</v>
      </c>
      <c r="D33" s="830">
        <v>63.2</v>
      </c>
      <c r="E33" s="831">
        <v>1.5</v>
      </c>
      <c r="F33" s="510" t="s">
        <v>4427</v>
      </c>
      <c r="G33" s="834">
        <v>2.5</v>
      </c>
      <c r="H33" s="834">
        <v>2.9</v>
      </c>
      <c r="I33" s="832">
        <f t="shared" si="9"/>
        <v>2.7</v>
      </c>
      <c r="J33" s="835">
        <f t="shared" si="10"/>
        <v>0.492715872</v>
      </c>
      <c r="K33" s="833">
        <v>187.25</v>
      </c>
      <c r="L33" s="510" t="s">
        <v>4479</v>
      </c>
      <c r="M33" s="834">
        <v>3.8</v>
      </c>
      <c r="N33" s="834">
        <v>4.3</v>
      </c>
      <c r="O33" s="832">
        <f t="shared" si="7"/>
        <v>4.05</v>
      </c>
      <c r="P33" s="835">
        <f t="shared" si="8"/>
        <v>0.7225820784</v>
      </c>
      <c r="Q33" s="851">
        <v>274.5</v>
      </c>
      <c r="R33" s="510" t="s">
        <v>4496</v>
      </c>
      <c r="S33" s="834">
        <v>4.7</v>
      </c>
      <c r="T33" s="834">
        <v>5.3</v>
      </c>
      <c r="U33" s="832">
        <f t="shared" si="5"/>
        <v>5</v>
      </c>
      <c r="V33" s="835">
        <f t="shared" si="6"/>
        <v>0.87774912</v>
      </c>
      <c r="W33" s="833">
        <v>333.5</v>
      </c>
      <c r="X33" s="510" t="s">
        <v>4514</v>
      </c>
      <c r="Y33" s="834">
        <v>5.8</v>
      </c>
      <c r="Z33" s="834">
        <v>6.5</v>
      </c>
      <c r="AA33" s="832">
        <f t="shared" si="1"/>
        <v>6.15</v>
      </c>
      <c r="AB33" s="835">
        <f t="shared" si="2"/>
        <v>1.058298494</v>
      </c>
      <c r="AC33" s="833">
        <v>402.25</v>
      </c>
      <c r="AD33" s="510" t="s">
        <v>4532</v>
      </c>
      <c r="AE33" s="834">
        <v>7.0</v>
      </c>
      <c r="AF33" s="834">
        <v>7.8</v>
      </c>
      <c r="AG33" s="832">
        <f t="shared" si="3"/>
        <v>7.4</v>
      </c>
      <c r="AH33" s="835">
        <f t="shared" si="4"/>
        <v>1.245498854</v>
      </c>
      <c r="AI33" s="833">
        <v>473.25</v>
      </c>
      <c r="AJ33" s="841"/>
      <c r="AK33" s="843"/>
      <c r="AL33" s="843"/>
      <c r="AM33" s="843"/>
      <c r="AN33" s="843"/>
      <c r="AO33" s="843"/>
    </row>
    <row r="34">
      <c r="A34" s="242"/>
      <c r="B34" s="829">
        <v>75.0</v>
      </c>
      <c r="C34" s="829">
        <v>0.5</v>
      </c>
      <c r="D34" s="830">
        <v>75.25</v>
      </c>
      <c r="E34" s="831">
        <v>1.6</v>
      </c>
      <c r="F34" s="510" t="s">
        <v>4428</v>
      </c>
      <c r="G34" s="834">
        <v>2.9</v>
      </c>
      <c r="H34" s="834">
        <v>3.3</v>
      </c>
      <c r="I34" s="832">
        <f t="shared" si="9"/>
        <v>3.1</v>
      </c>
      <c r="J34" s="835">
        <f t="shared" si="10"/>
        <v>0.6746452128</v>
      </c>
      <c r="K34" s="833">
        <v>256.5</v>
      </c>
      <c r="L34" s="510" t="s">
        <v>4480</v>
      </c>
      <c r="M34" s="834">
        <v>4.5</v>
      </c>
      <c r="N34" s="834">
        <v>5.1</v>
      </c>
      <c r="O34" s="832">
        <f t="shared" si="7"/>
        <v>4.8</v>
      </c>
      <c r="P34" s="835">
        <f t="shared" si="8"/>
        <v>1.019998771</v>
      </c>
      <c r="Q34" s="851">
        <v>387.5</v>
      </c>
      <c r="R34" s="510" t="s">
        <v>4497</v>
      </c>
      <c r="S34" s="834">
        <v>5.6</v>
      </c>
      <c r="T34" s="834">
        <v>6.3</v>
      </c>
      <c r="U34" s="832">
        <f t="shared" si="5"/>
        <v>5.95</v>
      </c>
      <c r="V34" s="835">
        <f t="shared" si="6"/>
        <v>1.243734307</v>
      </c>
      <c r="W34" s="833">
        <v>472.75</v>
      </c>
      <c r="X34" s="510" t="s">
        <v>4515</v>
      </c>
      <c r="Y34" s="834">
        <v>6.9</v>
      </c>
      <c r="Z34" s="834">
        <v>7.7</v>
      </c>
      <c r="AA34" s="832">
        <f t="shared" si="1"/>
        <v>7.3</v>
      </c>
      <c r="AB34" s="835">
        <f t="shared" si="2"/>
        <v>1.496200291</v>
      </c>
      <c r="AC34" s="833">
        <v>568.5</v>
      </c>
      <c r="AD34" s="510" t="s">
        <v>4533</v>
      </c>
      <c r="AE34" s="834">
        <v>8.4</v>
      </c>
      <c r="AF34" s="834">
        <v>9.4</v>
      </c>
      <c r="AG34" s="832">
        <f t="shared" si="3"/>
        <v>8.9</v>
      </c>
      <c r="AH34" s="835">
        <f t="shared" si="4"/>
        <v>1.781182205</v>
      </c>
      <c r="AI34" s="833">
        <v>676.75</v>
      </c>
      <c r="AJ34" s="841"/>
      <c r="AK34" s="843"/>
      <c r="AL34" s="843"/>
      <c r="AM34" s="843"/>
      <c r="AN34" s="843"/>
      <c r="AO34" s="843"/>
    </row>
    <row r="35">
      <c r="A35" s="242"/>
      <c r="B35" s="829">
        <v>90.0</v>
      </c>
      <c r="C35" s="829">
        <v>0.6</v>
      </c>
      <c r="D35" s="830">
        <v>90.3</v>
      </c>
      <c r="E35" s="831">
        <v>1.8</v>
      </c>
      <c r="F35" s="510" t="s">
        <v>4429</v>
      </c>
      <c r="G35" s="834">
        <v>3.5</v>
      </c>
      <c r="H35" s="834">
        <v>4.0</v>
      </c>
      <c r="I35" s="832">
        <f t="shared" si="9"/>
        <v>3.75</v>
      </c>
      <c r="J35" s="835">
        <f t="shared" si="10"/>
        <v>0.97898436</v>
      </c>
      <c r="K35" s="833">
        <v>372.0</v>
      </c>
      <c r="L35" s="510" t="s">
        <v>4481</v>
      </c>
      <c r="M35" s="834">
        <v>5.3</v>
      </c>
      <c r="N35" s="834">
        <v>6.0</v>
      </c>
      <c r="O35" s="832">
        <f t="shared" si="7"/>
        <v>5.65</v>
      </c>
      <c r="P35" s="835">
        <f t="shared" si="8"/>
        <v>1.442622907</v>
      </c>
      <c r="Q35" s="851">
        <v>548.25</v>
      </c>
      <c r="R35" s="510" t="s">
        <v>4498</v>
      </c>
      <c r="S35" s="834">
        <v>6.7</v>
      </c>
      <c r="T35" s="834">
        <v>7.5</v>
      </c>
      <c r="U35" s="832">
        <f t="shared" si="5"/>
        <v>7.1</v>
      </c>
      <c r="V35" s="835">
        <f t="shared" si="6"/>
        <v>1.78180055</v>
      </c>
      <c r="W35" s="833">
        <v>677.25</v>
      </c>
      <c r="X35" s="510" t="s">
        <v>4516</v>
      </c>
      <c r="Y35" s="834">
        <v>8.2</v>
      </c>
      <c r="Z35" s="834">
        <v>9.2</v>
      </c>
      <c r="AA35" s="832">
        <f t="shared" si="1"/>
        <v>8.7</v>
      </c>
      <c r="AB35" s="835">
        <f t="shared" si="2"/>
        <v>2.141345894</v>
      </c>
      <c r="AC35" s="833">
        <v>813.75</v>
      </c>
      <c r="AD35" s="510" t="s">
        <v>4534</v>
      </c>
      <c r="AE35" s="834">
        <v>10.0</v>
      </c>
      <c r="AF35" s="834">
        <v>11.1</v>
      </c>
      <c r="AG35" s="832">
        <f t="shared" si="3"/>
        <v>10.55</v>
      </c>
      <c r="AH35" s="835">
        <f t="shared" si="4"/>
        <v>2.537818536</v>
      </c>
      <c r="AI35" s="833">
        <v>964.25</v>
      </c>
      <c r="AJ35" s="841"/>
      <c r="AK35" s="843"/>
      <c r="AL35" s="843"/>
      <c r="AM35" s="843"/>
      <c r="AN35" s="843"/>
      <c r="AO35" s="843"/>
    </row>
    <row r="36">
      <c r="A36" s="242"/>
      <c r="B36" s="829">
        <v>110.0</v>
      </c>
      <c r="C36" s="829">
        <v>0.7</v>
      </c>
      <c r="D36" s="830">
        <v>110.35</v>
      </c>
      <c r="E36" s="831">
        <v>2.2</v>
      </c>
      <c r="F36" s="510" t="s">
        <v>4430</v>
      </c>
      <c r="G36" s="834">
        <v>4.3</v>
      </c>
      <c r="H36" s="834">
        <v>4.9</v>
      </c>
      <c r="I36" s="832">
        <f t="shared" si="9"/>
        <v>4.6</v>
      </c>
      <c r="J36" s="835">
        <f t="shared" si="10"/>
        <v>1.467288864</v>
      </c>
      <c r="K36" s="833">
        <v>557.5</v>
      </c>
      <c r="L36" s="510" t="s">
        <v>4482</v>
      </c>
      <c r="M36" s="834">
        <v>6.5</v>
      </c>
      <c r="N36" s="834">
        <v>7.3</v>
      </c>
      <c r="O36" s="832">
        <f t="shared" si="7"/>
        <v>6.9</v>
      </c>
      <c r="P36" s="835">
        <f t="shared" si="8"/>
        <v>2.153064298</v>
      </c>
      <c r="Q36" s="851">
        <v>818.25</v>
      </c>
      <c r="R36" s="510" t="s">
        <v>4499</v>
      </c>
      <c r="S36" s="834">
        <v>8.1</v>
      </c>
      <c r="T36" s="834">
        <v>9.1</v>
      </c>
      <c r="U36" s="832">
        <f t="shared" si="5"/>
        <v>8.6</v>
      </c>
      <c r="V36" s="835">
        <f t="shared" si="6"/>
        <v>2.639430816</v>
      </c>
      <c r="W36" s="833">
        <v>1003.0</v>
      </c>
      <c r="X36" s="510" t="s">
        <v>4517</v>
      </c>
      <c r="Y36" s="834">
        <v>10.0</v>
      </c>
      <c r="Z36" s="834">
        <v>11.1</v>
      </c>
      <c r="AA36" s="832">
        <f t="shared" si="1"/>
        <v>10.55</v>
      </c>
      <c r="AB36" s="835">
        <f t="shared" si="2"/>
        <v>3.175853165</v>
      </c>
      <c r="AC36" s="833">
        <v>1206.75</v>
      </c>
      <c r="AD36" s="510" t="s">
        <v>4535</v>
      </c>
      <c r="AE36" s="834">
        <v>12.3</v>
      </c>
      <c r="AF36" s="834">
        <v>13.7</v>
      </c>
      <c r="AG36" s="832">
        <f t="shared" si="3"/>
        <v>13</v>
      </c>
      <c r="AH36" s="835">
        <f t="shared" si="4"/>
        <v>3.817303776</v>
      </c>
      <c r="AI36" s="833">
        <v>1450.5</v>
      </c>
      <c r="AJ36" s="841"/>
      <c r="AK36" s="843"/>
      <c r="AL36" s="843"/>
      <c r="AM36" s="843"/>
      <c r="AN36" s="843"/>
      <c r="AO36" s="843"/>
    </row>
    <row r="37">
      <c r="A37" s="242"/>
      <c r="B37" s="829">
        <v>125.0</v>
      </c>
      <c r="C37" s="829">
        <v>0.8</v>
      </c>
      <c r="D37" s="830">
        <v>125.4</v>
      </c>
      <c r="E37" s="831">
        <v>2.5</v>
      </c>
      <c r="F37" s="510" t="s">
        <v>4431</v>
      </c>
      <c r="G37" s="834">
        <v>4.9</v>
      </c>
      <c r="H37" s="834">
        <v>5.5</v>
      </c>
      <c r="I37" s="832">
        <f t="shared" si="9"/>
        <v>5.2</v>
      </c>
      <c r="J37" s="835">
        <f t="shared" si="10"/>
        <v>1.885320653</v>
      </c>
      <c r="K37" s="833">
        <v>716.5</v>
      </c>
      <c r="L37" s="510" t="s">
        <v>4483</v>
      </c>
      <c r="M37" s="834">
        <v>7.4</v>
      </c>
      <c r="N37" s="834">
        <v>8.3</v>
      </c>
      <c r="O37" s="832">
        <f t="shared" si="7"/>
        <v>7.85</v>
      </c>
      <c r="P37" s="835">
        <f t="shared" si="8"/>
        <v>2.783362066</v>
      </c>
      <c r="Q37" s="851">
        <v>1057.75</v>
      </c>
      <c r="R37" s="510" t="s">
        <v>4500</v>
      </c>
      <c r="S37" s="834">
        <v>9.2</v>
      </c>
      <c r="T37" s="834">
        <v>10.3</v>
      </c>
      <c r="U37" s="832">
        <f t="shared" si="5"/>
        <v>9.75</v>
      </c>
      <c r="V37" s="835">
        <f t="shared" si="6"/>
        <v>3.401164728</v>
      </c>
      <c r="W37" s="833">
        <v>1292.5</v>
      </c>
      <c r="X37" s="510" t="s">
        <v>4518</v>
      </c>
      <c r="Y37" s="834">
        <v>11.4</v>
      </c>
      <c r="Z37" s="834">
        <v>12.7</v>
      </c>
      <c r="AA37" s="832">
        <f t="shared" si="1"/>
        <v>12.05</v>
      </c>
      <c r="AB37" s="835">
        <f t="shared" si="2"/>
        <v>4.119893458</v>
      </c>
      <c r="AC37" s="833">
        <v>1565.5</v>
      </c>
      <c r="AD37" s="510" t="s">
        <v>4536</v>
      </c>
      <c r="AE37" s="834">
        <v>13.9</v>
      </c>
      <c r="AF37" s="834">
        <v>15.4</v>
      </c>
      <c r="AG37" s="832">
        <f t="shared" si="3"/>
        <v>14.65</v>
      </c>
      <c r="AH37" s="835">
        <f t="shared" si="4"/>
        <v>4.893941496</v>
      </c>
      <c r="AI37" s="833">
        <v>1859.75</v>
      </c>
      <c r="AJ37" s="841"/>
      <c r="AK37" s="843"/>
      <c r="AL37" s="843"/>
      <c r="AM37" s="843"/>
      <c r="AN37" s="843"/>
      <c r="AO37" s="843"/>
    </row>
    <row r="38">
      <c r="A38" s="242"/>
      <c r="B38" s="829">
        <v>140.0</v>
      </c>
      <c r="C38" s="829">
        <v>0.9</v>
      </c>
      <c r="D38" s="830">
        <v>140.45</v>
      </c>
      <c r="E38" s="831">
        <v>2.8</v>
      </c>
      <c r="F38" s="510" t="s">
        <v>4432</v>
      </c>
      <c r="G38" s="834">
        <v>5.4</v>
      </c>
      <c r="H38" s="834">
        <v>6.1</v>
      </c>
      <c r="I38" s="832">
        <f t="shared" si="9"/>
        <v>5.75</v>
      </c>
      <c r="J38" s="835">
        <f t="shared" si="10"/>
        <v>2.336215248</v>
      </c>
      <c r="K38" s="833">
        <v>887.75</v>
      </c>
      <c r="L38" s="510" t="s">
        <v>4484</v>
      </c>
      <c r="M38" s="834">
        <v>8.3</v>
      </c>
      <c r="N38" s="834">
        <v>9.3</v>
      </c>
      <c r="O38" s="832">
        <f t="shared" si="7"/>
        <v>8.8</v>
      </c>
      <c r="P38" s="835">
        <f t="shared" si="8"/>
        <v>3.494467046</v>
      </c>
      <c r="Q38" s="851">
        <v>1328.0</v>
      </c>
      <c r="R38" s="510" t="s">
        <v>4501</v>
      </c>
      <c r="S38" s="834">
        <v>10.3</v>
      </c>
      <c r="T38" s="834">
        <v>11.5</v>
      </c>
      <c r="U38" s="832">
        <f t="shared" si="5"/>
        <v>10.9</v>
      </c>
      <c r="V38" s="835">
        <f t="shared" si="6"/>
        <v>4.25933039</v>
      </c>
      <c r="W38" s="833">
        <v>1618.5</v>
      </c>
      <c r="X38" s="510" t="s">
        <v>4519</v>
      </c>
      <c r="Y38" s="834">
        <v>12.8</v>
      </c>
      <c r="Z38" s="834">
        <v>14.2</v>
      </c>
      <c r="AA38" s="832">
        <f t="shared" si="1"/>
        <v>13.5</v>
      </c>
      <c r="AB38" s="835">
        <f t="shared" si="2"/>
        <v>5.169444624</v>
      </c>
      <c r="AC38" s="833">
        <v>1964.5</v>
      </c>
      <c r="AD38" s="510" t="s">
        <v>4537</v>
      </c>
      <c r="AE38" s="834">
        <v>15.6</v>
      </c>
      <c r="AF38" s="834">
        <v>17.3</v>
      </c>
      <c r="AG38" s="832">
        <f t="shared" si="3"/>
        <v>16.45</v>
      </c>
      <c r="AH38" s="835">
        <f t="shared" si="4"/>
        <v>6.152689536</v>
      </c>
      <c r="AI38" s="833">
        <v>2338.0</v>
      </c>
      <c r="AJ38" s="841"/>
      <c r="AK38" s="843"/>
      <c r="AL38" s="843"/>
      <c r="AM38" s="843"/>
      <c r="AN38" s="843"/>
      <c r="AO38" s="843"/>
    </row>
    <row r="39">
      <c r="A39" s="242"/>
      <c r="B39" s="829">
        <v>160.0</v>
      </c>
      <c r="C39" s="831">
        <v>1.0</v>
      </c>
      <c r="D39" s="830">
        <v>160.5</v>
      </c>
      <c r="E39" s="831">
        <v>3.2</v>
      </c>
      <c r="F39" s="510" t="s">
        <v>4433</v>
      </c>
      <c r="G39" s="834">
        <v>6.2</v>
      </c>
      <c r="H39" s="834">
        <v>7.0</v>
      </c>
      <c r="I39" s="832">
        <f t="shared" si="9"/>
        <v>6.6</v>
      </c>
      <c r="J39" s="835">
        <f t="shared" si="10"/>
        <v>3.063796877</v>
      </c>
      <c r="K39" s="833">
        <v>1164.25</v>
      </c>
      <c r="L39" s="510" t="s">
        <v>4485</v>
      </c>
      <c r="M39" s="834">
        <v>9.5</v>
      </c>
      <c r="N39" s="834">
        <v>10.6</v>
      </c>
      <c r="O39" s="832">
        <f t="shared" si="7"/>
        <v>10.05</v>
      </c>
      <c r="P39" s="835">
        <f t="shared" si="8"/>
        <v>4.560743707</v>
      </c>
      <c r="Q39" s="851">
        <v>1733.25</v>
      </c>
      <c r="R39" s="510" t="s">
        <v>4502</v>
      </c>
      <c r="S39" s="834">
        <v>11.8</v>
      </c>
      <c r="T39" s="834">
        <v>13.1</v>
      </c>
      <c r="U39" s="832">
        <f t="shared" si="5"/>
        <v>12.45</v>
      </c>
      <c r="V39" s="835">
        <f t="shared" si="6"/>
        <v>5.559748891</v>
      </c>
      <c r="W39" s="833">
        <v>2112.75</v>
      </c>
      <c r="X39" s="510" t="s">
        <v>4520</v>
      </c>
      <c r="Y39" s="834">
        <v>14.6</v>
      </c>
      <c r="Z39" s="834">
        <v>16.2</v>
      </c>
      <c r="AA39" s="832">
        <f t="shared" si="1"/>
        <v>15.4</v>
      </c>
      <c r="AB39" s="835">
        <f t="shared" si="2"/>
        <v>6.740087693</v>
      </c>
      <c r="AC39" s="833">
        <v>2561.25</v>
      </c>
      <c r="AD39" s="510" t="s">
        <v>4538</v>
      </c>
      <c r="AE39" s="834">
        <v>17.8</v>
      </c>
      <c r="AF39" s="834">
        <v>19.7</v>
      </c>
      <c r="AG39" s="832">
        <f t="shared" si="3"/>
        <v>18.75</v>
      </c>
      <c r="AH39" s="835">
        <f t="shared" si="4"/>
        <v>8.016813</v>
      </c>
      <c r="AI39" s="833">
        <v>3046.25</v>
      </c>
      <c r="AJ39" s="841"/>
      <c r="AK39" s="843"/>
      <c r="AL39" s="843"/>
      <c r="AM39" s="843"/>
      <c r="AN39" s="843"/>
      <c r="AO39" s="843"/>
    </row>
    <row r="40">
      <c r="A40" s="242"/>
      <c r="B40" s="829">
        <v>180.0</v>
      </c>
      <c r="C40" s="829">
        <v>1.1</v>
      </c>
      <c r="D40" s="830">
        <v>180.55</v>
      </c>
      <c r="E40" s="831">
        <v>3.6</v>
      </c>
      <c r="F40" s="510" t="s">
        <v>4434</v>
      </c>
      <c r="G40" s="834">
        <v>7.0</v>
      </c>
      <c r="H40" s="834">
        <v>7.8</v>
      </c>
      <c r="I40" s="832">
        <f t="shared" si="9"/>
        <v>7.4</v>
      </c>
      <c r="J40" s="835">
        <f t="shared" si="10"/>
        <v>3.864840979</v>
      </c>
      <c r="K40" s="833">
        <v>1468.75</v>
      </c>
      <c r="L40" s="510" t="s">
        <v>4486</v>
      </c>
      <c r="M40" s="834">
        <v>10.6</v>
      </c>
      <c r="N40" s="834">
        <v>11.8</v>
      </c>
      <c r="O40" s="832">
        <f t="shared" si="7"/>
        <v>11.2</v>
      </c>
      <c r="P40" s="835">
        <f t="shared" si="8"/>
        <v>5.72111447</v>
      </c>
      <c r="Q40" s="851">
        <v>2174.0</v>
      </c>
      <c r="R40" s="510" t="s">
        <v>4503</v>
      </c>
      <c r="S40" s="834">
        <v>13.3</v>
      </c>
      <c r="T40" s="834">
        <v>14.8</v>
      </c>
      <c r="U40" s="832">
        <f t="shared" si="5"/>
        <v>14.05</v>
      </c>
      <c r="V40" s="835">
        <f t="shared" si="6"/>
        <v>7.056152784</v>
      </c>
      <c r="W40" s="833">
        <v>2681.5</v>
      </c>
      <c r="X40" s="510" t="s">
        <v>4521</v>
      </c>
      <c r="Y40" s="834">
        <v>16.4</v>
      </c>
      <c r="Z40" s="834">
        <v>18.2</v>
      </c>
      <c r="AA40" s="832">
        <f t="shared" si="1"/>
        <v>17.3</v>
      </c>
      <c r="AB40" s="835">
        <f t="shared" si="2"/>
        <v>8.518766352</v>
      </c>
      <c r="AC40" s="833">
        <v>3237.25</v>
      </c>
      <c r="AD40" s="510" t="s">
        <v>4539</v>
      </c>
      <c r="AE40" s="834">
        <v>20.0</v>
      </c>
      <c r="AF40" s="834">
        <v>22.1</v>
      </c>
      <c r="AG40" s="832">
        <f t="shared" si="3"/>
        <v>21.05</v>
      </c>
      <c r="AH40" s="835">
        <f t="shared" si="4"/>
        <v>10.12721899</v>
      </c>
      <c r="AI40" s="833">
        <v>3848.25</v>
      </c>
      <c r="AJ40" s="841"/>
      <c r="AK40" s="843"/>
      <c r="AL40" s="843"/>
      <c r="AM40" s="843"/>
      <c r="AN40" s="843"/>
      <c r="AO40" s="843"/>
    </row>
    <row r="41">
      <c r="A41" s="242"/>
      <c r="B41" s="829">
        <v>200.0</v>
      </c>
      <c r="C41" s="829">
        <v>1.2</v>
      </c>
      <c r="D41" s="830">
        <v>200.6</v>
      </c>
      <c r="E41" s="831">
        <v>4.0</v>
      </c>
      <c r="F41" s="510" t="s">
        <v>4435</v>
      </c>
      <c r="G41" s="834">
        <v>7.7</v>
      </c>
      <c r="H41" s="834">
        <v>8.6</v>
      </c>
      <c r="I41" s="832">
        <f t="shared" si="9"/>
        <v>8.15</v>
      </c>
      <c r="J41" s="835">
        <f t="shared" si="10"/>
        <v>4.73099989</v>
      </c>
      <c r="K41" s="833">
        <v>1797.75</v>
      </c>
      <c r="L41" s="510" t="s">
        <v>4487</v>
      </c>
      <c r="M41" s="834">
        <v>11.8</v>
      </c>
      <c r="N41" s="834">
        <v>13.1</v>
      </c>
      <c r="O41" s="832">
        <f t="shared" si="7"/>
        <v>12.45</v>
      </c>
      <c r="P41" s="835">
        <f t="shared" si="8"/>
        <v>7.06563157</v>
      </c>
      <c r="Q41" s="851">
        <v>2685.0</v>
      </c>
      <c r="R41" s="510" t="s">
        <v>4504</v>
      </c>
      <c r="S41" s="834">
        <v>14.8</v>
      </c>
      <c r="T41" s="834">
        <v>16.4</v>
      </c>
      <c r="U41" s="832">
        <f t="shared" si="5"/>
        <v>15.6</v>
      </c>
      <c r="V41" s="835">
        <f t="shared" si="6"/>
        <v>8.70509952</v>
      </c>
      <c r="W41" s="833">
        <v>3308.0</v>
      </c>
      <c r="X41" s="510" t="s">
        <v>4522</v>
      </c>
      <c r="Y41" s="834">
        <v>18.2</v>
      </c>
      <c r="Z41" s="834">
        <v>20.2</v>
      </c>
      <c r="AA41" s="832">
        <f t="shared" si="1"/>
        <v>19.2</v>
      </c>
      <c r="AB41" s="835">
        <f t="shared" si="2"/>
        <v>10.5054806</v>
      </c>
      <c r="AC41" s="833">
        <v>3992.25</v>
      </c>
      <c r="AD41" s="510" t="s">
        <v>4540</v>
      </c>
      <c r="AE41" s="834">
        <v>22.3</v>
      </c>
      <c r="AF41" s="834">
        <v>24.7</v>
      </c>
      <c r="AG41" s="832">
        <f t="shared" si="3"/>
        <v>23.5</v>
      </c>
      <c r="AH41" s="835">
        <f t="shared" si="4"/>
        <v>12.55347139</v>
      </c>
      <c r="AI41" s="833">
        <v>4770.25</v>
      </c>
      <c r="AJ41" s="841"/>
      <c r="AK41" s="843"/>
      <c r="AL41" s="843"/>
      <c r="AM41" s="843"/>
      <c r="AN41" s="843"/>
      <c r="AO41" s="843"/>
    </row>
    <row r="42">
      <c r="A42" s="242"/>
      <c r="B42" s="829">
        <v>225.0</v>
      </c>
      <c r="C42" s="829">
        <v>1.4</v>
      </c>
      <c r="D42" s="830">
        <v>225.7</v>
      </c>
      <c r="E42" s="831">
        <v>4.5</v>
      </c>
      <c r="F42" s="510" t="s">
        <v>4436</v>
      </c>
      <c r="G42" s="834">
        <v>8.7</v>
      </c>
      <c r="H42" s="834">
        <v>9.7</v>
      </c>
      <c r="I42" s="832">
        <f t="shared" si="9"/>
        <v>9.2</v>
      </c>
      <c r="J42" s="835">
        <f t="shared" si="10"/>
        <v>6.007906176</v>
      </c>
      <c r="K42" s="833">
        <v>2283.0</v>
      </c>
      <c r="L42" s="510" t="s">
        <v>4488</v>
      </c>
      <c r="M42" s="834">
        <v>13.3</v>
      </c>
      <c r="N42" s="834">
        <v>14.8</v>
      </c>
      <c r="O42" s="832">
        <f t="shared" si="7"/>
        <v>14.05</v>
      </c>
      <c r="P42" s="835">
        <f t="shared" si="8"/>
        <v>8.969577998</v>
      </c>
      <c r="Q42" s="851">
        <v>3408.5</v>
      </c>
      <c r="R42" s="510" t="s">
        <v>4505</v>
      </c>
      <c r="S42" s="834">
        <v>16.6</v>
      </c>
      <c r="T42" s="834">
        <v>18.4</v>
      </c>
      <c r="U42" s="832">
        <f t="shared" si="5"/>
        <v>17.5</v>
      </c>
      <c r="V42" s="835">
        <f t="shared" si="6"/>
        <v>10.98996192</v>
      </c>
      <c r="W42" s="833">
        <v>4176.25</v>
      </c>
      <c r="X42" s="510" t="s">
        <v>4523</v>
      </c>
      <c r="Y42" s="834">
        <v>20.5</v>
      </c>
      <c r="Z42" s="834">
        <v>22.7</v>
      </c>
      <c r="AA42" s="832">
        <f t="shared" si="1"/>
        <v>21.6</v>
      </c>
      <c r="AB42" s="835">
        <f t="shared" si="2"/>
        <v>13.2976277</v>
      </c>
      <c r="AC42" s="833">
        <v>5053.25</v>
      </c>
      <c r="AD42" s="510" t="s">
        <v>4541</v>
      </c>
      <c r="AE42" s="834">
        <v>25.0</v>
      </c>
      <c r="AF42" s="834">
        <v>27.6</v>
      </c>
      <c r="AG42" s="832">
        <f t="shared" si="3"/>
        <v>26.3</v>
      </c>
      <c r="AH42" s="835">
        <f t="shared" si="4"/>
        <v>15.81824567</v>
      </c>
      <c r="AI42" s="833">
        <v>6011.0</v>
      </c>
      <c r="AJ42" s="841"/>
      <c r="AK42" s="843"/>
      <c r="AL42" s="843"/>
      <c r="AM42" s="843"/>
      <c r="AN42" s="843"/>
      <c r="AO42" s="843"/>
    </row>
    <row r="43">
      <c r="A43" s="242"/>
      <c r="B43" s="829">
        <v>250.0</v>
      </c>
      <c r="C43" s="829">
        <v>1.5</v>
      </c>
      <c r="D43" s="830">
        <v>250.7</v>
      </c>
      <c r="E43" s="831">
        <v>5.0</v>
      </c>
      <c r="F43" s="510" t="s">
        <v>4437</v>
      </c>
      <c r="G43" s="834">
        <v>9.7</v>
      </c>
      <c r="H43" s="834">
        <v>10.8</v>
      </c>
      <c r="I43" s="832">
        <f t="shared" si="9"/>
        <v>10.25</v>
      </c>
      <c r="J43" s="835">
        <f t="shared" si="10"/>
        <v>7.434059976</v>
      </c>
      <c r="K43" s="833">
        <v>2825.0</v>
      </c>
      <c r="L43" s="510" t="s">
        <v>4489</v>
      </c>
      <c r="M43" s="834">
        <v>14.8</v>
      </c>
      <c r="N43" s="834">
        <v>16.4</v>
      </c>
      <c r="O43" s="832">
        <f t="shared" si="7"/>
        <v>15.6</v>
      </c>
      <c r="P43" s="835">
        <f t="shared" si="8"/>
        <v>11.06253458</v>
      </c>
      <c r="Q43" s="851">
        <v>4203.75</v>
      </c>
      <c r="R43" s="510" t="s">
        <v>4506</v>
      </c>
      <c r="S43" s="834">
        <v>18.4</v>
      </c>
      <c r="T43" s="834">
        <v>20.4</v>
      </c>
      <c r="U43" s="832">
        <f t="shared" si="5"/>
        <v>19.4</v>
      </c>
      <c r="V43" s="835">
        <f t="shared" si="6"/>
        <v>13.53489143</v>
      </c>
      <c r="W43" s="833">
        <v>5143.25</v>
      </c>
      <c r="X43" s="510" t="s">
        <v>4524</v>
      </c>
      <c r="Y43" s="834">
        <v>22.8</v>
      </c>
      <c r="Z43" s="834">
        <v>25.2</v>
      </c>
      <c r="AA43" s="832">
        <f t="shared" si="1"/>
        <v>24</v>
      </c>
      <c r="AB43" s="835">
        <f t="shared" si="2"/>
        <v>16.41119386</v>
      </c>
      <c r="AC43" s="833">
        <v>6263.25</v>
      </c>
      <c r="AD43" s="510" t="s">
        <v>4542</v>
      </c>
      <c r="AE43" s="834">
        <v>27.8</v>
      </c>
      <c r="AF43" s="834">
        <v>30.7</v>
      </c>
      <c r="AG43" s="832">
        <f t="shared" si="3"/>
        <v>29.25</v>
      </c>
      <c r="AH43" s="835">
        <f t="shared" si="4"/>
        <v>19.53794887</v>
      </c>
      <c r="AI43" s="833">
        <v>7424.5</v>
      </c>
      <c r="AJ43" s="841"/>
      <c r="AK43" s="843"/>
      <c r="AL43" s="843"/>
      <c r="AM43" s="843"/>
      <c r="AN43" s="843"/>
      <c r="AO43" s="843"/>
    </row>
    <row r="44">
      <c r="A44" s="242"/>
      <c r="B44" s="829">
        <v>280.0</v>
      </c>
      <c r="C44" s="829">
        <v>1.7</v>
      </c>
      <c r="D44" s="830">
        <v>280.85</v>
      </c>
      <c r="E44" s="831">
        <v>9.8</v>
      </c>
      <c r="F44" s="510" t="s">
        <v>4438</v>
      </c>
      <c r="G44" s="834">
        <v>10.8</v>
      </c>
      <c r="H44" s="834">
        <v>12.0</v>
      </c>
      <c r="I44" s="832">
        <f t="shared" si="9"/>
        <v>11.4</v>
      </c>
      <c r="J44" s="835">
        <f t="shared" si="10"/>
        <v>9.265320634</v>
      </c>
      <c r="K44" s="833">
        <v>3520.75</v>
      </c>
      <c r="L44" s="510" t="s">
        <v>4490</v>
      </c>
      <c r="M44" s="834">
        <v>16.5</v>
      </c>
      <c r="N44" s="834">
        <v>18.3</v>
      </c>
      <c r="O44" s="832">
        <f t="shared" si="7"/>
        <v>17.4</v>
      </c>
      <c r="P44" s="835">
        <f t="shared" si="8"/>
        <v>13.82690137</v>
      </c>
      <c r="Q44" s="851">
        <v>5254.25</v>
      </c>
      <c r="R44" s="510" t="s">
        <v>4507</v>
      </c>
      <c r="S44" s="834">
        <v>20.6</v>
      </c>
      <c r="T44" s="834">
        <v>22.8</v>
      </c>
      <c r="U44" s="832">
        <f t="shared" si="5"/>
        <v>21.7</v>
      </c>
      <c r="V44" s="835">
        <f t="shared" si="6"/>
        <v>16.96244142</v>
      </c>
      <c r="W44" s="833">
        <v>6445.75</v>
      </c>
      <c r="X44" s="510" t="s">
        <v>4525</v>
      </c>
      <c r="Y44" s="834">
        <v>25.5</v>
      </c>
      <c r="Z44" s="834">
        <v>28.2</v>
      </c>
      <c r="AA44" s="832">
        <f t="shared" si="1"/>
        <v>26.85</v>
      </c>
      <c r="AB44" s="835">
        <f t="shared" si="2"/>
        <v>20.57100077</v>
      </c>
      <c r="AC44" s="833">
        <v>7817.0</v>
      </c>
      <c r="AD44" s="510" t="s">
        <v>4543</v>
      </c>
      <c r="AE44" s="834">
        <v>31.2</v>
      </c>
      <c r="AF44" s="834">
        <v>34.5</v>
      </c>
      <c r="AG44" s="832">
        <f t="shared" si="3"/>
        <v>32.85</v>
      </c>
      <c r="AH44" s="835">
        <f t="shared" si="4"/>
        <v>24.57335578</v>
      </c>
      <c r="AI44" s="833">
        <v>9338.0</v>
      </c>
      <c r="AJ44" s="841"/>
      <c r="AK44" s="843"/>
      <c r="AL44" s="843"/>
      <c r="AM44" s="843"/>
      <c r="AN44" s="843"/>
      <c r="AO44" s="843"/>
    </row>
    <row r="45">
      <c r="A45" s="242"/>
      <c r="B45" s="829">
        <v>315.0</v>
      </c>
      <c r="C45" s="829">
        <v>1.9</v>
      </c>
      <c r="D45" s="830">
        <v>315.93</v>
      </c>
      <c r="E45" s="831">
        <v>11.1</v>
      </c>
      <c r="F45" s="510" t="s">
        <v>4439</v>
      </c>
      <c r="G45" s="834">
        <v>12.2</v>
      </c>
      <c r="H45" s="834">
        <v>13.6</v>
      </c>
      <c r="I45" s="832">
        <f t="shared" si="9"/>
        <v>12.9</v>
      </c>
      <c r="J45" s="835">
        <f t="shared" si="10"/>
        <v>11.7910573</v>
      </c>
      <c r="K45" s="833">
        <v>4480.75</v>
      </c>
      <c r="L45" s="510" t="s">
        <v>4491</v>
      </c>
      <c r="M45" s="834">
        <v>18.6</v>
      </c>
      <c r="N45" s="834">
        <v>20.6</v>
      </c>
      <c r="O45" s="832">
        <f t="shared" si="7"/>
        <v>19.6</v>
      </c>
      <c r="P45" s="835">
        <f t="shared" si="8"/>
        <v>17.51899167</v>
      </c>
      <c r="Q45" s="851">
        <v>6657.25</v>
      </c>
      <c r="R45" s="510" t="s">
        <v>4508</v>
      </c>
      <c r="S45" s="834">
        <v>23.2</v>
      </c>
      <c r="T45" s="834">
        <v>25.7</v>
      </c>
      <c r="U45" s="832">
        <f t="shared" si="5"/>
        <v>24.45</v>
      </c>
      <c r="V45" s="835">
        <f t="shared" si="6"/>
        <v>21.49636552</v>
      </c>
      <c r="W45" s="833">
        <v>8168.75</v>
      </c>
      <c r="X45" s="510" t="s">
        <v>4526</v>
      </c>
      <c r="Y45" s="834">
        <v>28.7</v>
      </c>
      <c r="Z45" s="834">
        <v>31.7</v>
      </c>
      <c r="AA45" s="832">
        <f t="shared" si="1"/>
        <v>30.2</v>
      </c>
      <c r="AB45" s="835">
        <f t="shared" si="2"/>
        <v>26.02796403</v>
      </c>
      <c r="AC45" s="833">
        <v>9890.75</v>
      </c>
      <c r="AD45" s="510" t="s">
        <v>4544</v>
      </c>
      <c r="AE45" s="834">
        <v>35.0</v>
      </c>
      <c r="AF45" s="834">
        <v>38.6</v>
      </c>
      <c r="AG45" s="832">
        <f t="shared" si="3"/>
        <v>36.8</v>
      </c>
      <c r="AH45" s="835">
        <f t="shared" si="4"/>
        <v>30.98359078</v>
      </c>
      <c r="AI45" s="833">
        <v>11773.75</v>
      </c>
      <c r="AJ45" s="841"/>
      <c r="AK45" s="843"/>
      <c r="AL45" s="843"/>
      <c r="AM45" s="843"/>
      <c r="AN45" s="843"/>
      <c r="AO45" s="843"/>
    </row>
    <row r="46" ht="33.0" customHeight="1">
      <c r="A46" s="242"/>
      <c r="B46" s="856"/>
      <c r="C46" s="554"/>
      <c r="D46" s="554"/>
      <c r="E46" s="554"/>
      <c r="F46" s="810" t="s">
        <v>4761</v>
      </c>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6"/>
    </row>
    <row r="47">
      <c r="A47" s="242"/>
      <c r="B47" s="813">
        <v>380.0</v>
      </c>
      <c r="C47" s="814"/>
      <c r="D47" s="814"/>
      <c r="E47" s="814"/>
      <c r="F47" s="857" t="s">
        <v>4762</v>
      </c>
      <c r="G47" s="45"/>
      <c r="H47" s="45"/>
      <c r="I47" s="45"/>
      <c r="J47" s="45"/>
      <c r="K47" s="46"/>
      <c r="L47" s="857" t="s">
        <v>4763</v>
      </c>
      <c r="M47" s="45"/>
      <c r="N47" s="45"/>
      <c r="O47" s="45"/>
      <c r="P47" s="45"/>
      <c r="Q47" s="46"/>
      <c r="R47" s="857" t="s">
        <v>4704</v>
      </c>
      <c r="S47" s="45"/>
      <c r="T47" s="45"/>
      <c r="U47" s="45"/>
      <c r="V47" s="45"/>
      <c r="W47" s="46"/>
      <c r="X47" s="816" t="s">
        <v>4705</v>
      </c>
      <c r="Y47" s="45"/>
      <c r="Z47" s="45"/>
      <c r="AA47" s="45"/>
      <c r="AB47" s="45"/>
      <c r="AC47" s="46"/>
      <c r="AD47" s="858" t="s">
        <v>4731</v>
      </c>
      <c r="AE47" s="45"/>
      <c r="AF47" s="45"/>
      <c r="AG47" s="45"/>
      <c r="AH47" s="45"/>
      <c r="AI47" s="46"/>
      <c r="AJ47" s="816" t="s">
        <v>4732</v>
      </c>
      <c r="AK47" s="45"/>
      <c r="AL47" s="45"/>
      <c r="AM47" s="45"/>
      <c r="AN47" s="45"/>
      <c r="AO47" s="46"/>
    </row>
    <row r="48">
      <c r="A48" s="242"/>
      <c r="B48" s="817"/>
      <c r="C48" s="818"/>
      <c r="D48" s="818"/>
      <c r="E48" s="819"/>
      <c r="F48" s="859" t="s">
        <v>4706</v>
      </c>
      <c r="G48" s="45"/>
      <c r="H48" s="45"/>
      <c r="I48" s="45"/>
      <c r="J48" s="45"/>
      <c r="K48" s="46"/>
      <c r="L48" s="860" t="s">
        <v>4707</v>
      </c>
      <c r="M48" s="45"/>
      <c r="N48" s="45"/>
      <c r="O48" s="45"/>
      <c r="P48" s="45"/>
      <c r="Q48" s="46"/>
      <c r="R48" s="859" t="s">
        <v>4708</v>
      </c>
      <c r="S48" s="45"/>
      <c r="T48" s="45"/>
      <c r="U48" s="45"/>
      <c r="V48" s="45"/>
      <c r="W48" s="46"/>
      <c r="X48" s="821" t="s">
        <v>4733</v>
      </c>
      <c r="Y48" s="45"/>
      <c r="Z48" s="45"/>
      <c r="AA48" s="45"/>
      <c r="AB48" s="45"/>
      <c r="AC48" s="46"/>
      <c r="AD48" s="820" t="s">
        <v>3145</v>
      </c>
      <c r="AE48" s="45"/>
      <c r="AF48" s="45"/>
      <c r="AG48" s="45"/>
      <c r="AH48" s="45"/>
      <c r="AI48" s="46"/>
      <c r="AJ48" s="821" t="s">
        <v>3171</v>
      </c>
      <c r="AK48" s="45"/>
      <c r="AL48" s="45"/>
      <c r="AM48" s="45"/>
      <c r="AN48" s="45"/>
      <c r="AO48" s="46"/>
    </row>
    <row r="49">
      <c r="A49" s="242"/>
      <c r="B49" s="822" t="s">
        <v>4709</v>
      </c>
      <c r="C49" s="823" t="s">
        <v>4710</v>
      </c>
      <c r="D49" s="823" t="s">
        <v>4711</v>
      </c>
      <c r="E49" s="822" t="s">
        <v>4712</v>
      </c>
      <c r="F49" s="825" t="s">
        <v>4</v>
      </c>
      <c r="G49" s="825" t="s">
        <v>4713</v>
      </c>
      <c r="H49" s="825" t="s">
        <v>4714</v>
      </c>
      <c r="I49" s="828" t="s">
        <v>4715</v>
      </c>
      <c r="J49" s="861" t="s">
        <v>6</v>
      </c>
      <c r="K49" s="828" t="s">
        <v>3452</v>
      </c>
      <c r="L49" s="825" t="s">
        <v>4</v>
      </c>
      <c r="M49" s="825" t="s">
        <v>4713</v>
      </c>
      <c r="N49" s="825" t="s">
        <v>4714</v>
      </c>
      <c r="O49" s="825" t="s">
        <v>4715</v>
      </c>
      <c r="P49" s="825" t="s">
        <v>6</v>
      </c>
      <c r="Q49" s="828" t="s">
        <v>3452</v>
      </c>
      <c r="R49" s="824" t="s">
        <v>4</v>
      </c>
      <c r="S49" s="825" t="s">
        <v>4713</v>
      </c>
      <c r="T49" s="825" t="s">
        <v>4714</v>
      </c>
      <c r="U49" s="824" t="s">
        <v>4715</v>
      </c>
      <c r="V49" s="824" t="s">
        <v>6</v>
      </c>
      <c r="W49" s="828" t="s">
        <v>3452</v>
      </c>
      <c r="X49" s="824" t="s">
        <v>4</v>
      </c>
      <c r="Y49" s="825" t="s">
        <v>4713</v>
      </c>
      <c r="Z49" s="825" t="s">
        <v>4714</v>
      </c>
      <c r="AA49" s="824" t="s">
        <v>4715</v>
      </c>
      <c r="AB49" s="824" t="s">
        <v>6</v>
      </c>
      <c r="AC49" s="828" t="s">
        <v>3452</v>
      </c>
      <c r="AD49" s="824" t="s">
        <v>4</v>
      </c>
      <c r="AE49" s="825" t="s">
        <v>4713</v>
      </c>
      <c r="AF49" s="825" t="s">
        <v>4714</v>
      </c>
      <c r="AG49" s="824" t="s">
        <v>4715</v>
      </c>
      <c r="AH49" s="824" t="s">
        <v>6</v>
      </c>
      <c r="AI49" s="828" t="s">
        <v>3452</v>
      </c>
      <c r="AJ49" s="824" t="s">
        <v>4</v>
      </c>
      <c r="AK49" s="825" t="s">
        <v>4713</v>
      </c>
      <c r="AL49" s="825" t="s">
        <v>4714</v>
      </c>
      <c r="AM49" s="824" t="s">
        <v>4715</v>
      </c>
      <c r="AN49" s="824" t="s">
        <v>6</v>
      </c>
      <c r="AO49" s="828" t="s">
        <v>3452</v>
      </c>
    </row>
    <row r="50">
      <c r="A50" s="242"/>
      <c r="B50" s="829">
        <v>20.0</v>
      </c>
      <c r="C50" s="831">
        <v>0.3</v>
      </c>
      <c r="D50" s="830">
        <v>20.15</v>
      </c>
      <c r="E50" s="831">
        <v>1.2</v>
      </c>
      <c r="F50" s="508"/>
      <c r="G50" s="508"/>
      <c r="H50" s="508"/>
      <c r="I50" s="833"/>
      <c r="J50" s="862"/>
      <c r="K50" s="862"/>
      <c r="L50" s="508"/>
      <c r="M50" s="512"/>
      <c r="N50" s="508"/>
      <c r="O50" s="508"/>
      <c r="P50" s="508"/>
      <c r="Q50" s="851"/>
      <c r="R50" s="510"/>
      <c r="S50" s="510"/>
      <c r="T50" s="510"/>
      <c r="U50" s="510"/>
      <c r="V50" s="510"/>
      <c r="W50" s="832"/>
      <c r="X50" s="510"/>
      <c r="Y50" s="510"/>
      <c r="Z50" s="510"/>
      <c r="AA50" s="510"/>
      <c r="AB50" s="510"/>
      <c r="AC50" s="832"/>
      <c r="AD50" s="510" t="s">
        <v>4614</v>
      </c>
      <c r="AE50" s="834">
        <v>2.0</v>
      </c>
      <c r="AF50" s="510">
        <v>2.3</v>
      </c>
      <c r="AG50" s="832">
        <f t="shared" ref="AG50:AG67" si="11">(AF50-AE50)/2+AE50</f>
        <v>2.15</v>
      </c>
      <c r="AH50" s="835">
        <f t="shared" ref="AH50:AH67" si="12">(D50-AG50)*AG50*3.142*0.96/1000</f>
        <v>0.116731584</v>
      </c>
      <c r="AI50" s="833">
        <v>44.5</v>
      </c>
      <c r="AJ50" s="510" t="s">
        <v>4632</v>
      </c>
      <c r="AK50" s="834">
        <v>2.3</v>
      </c>
      <c r="AL50" s="834">
        <v>2.7</v>
      </c>
      <c r="AM50" s="832">
        <f t="shared" ref="AM50:AM67" si="13">(AL50-AK50)/2+AK50</f>
        <v>2.5</v>
      </c>
      <c r="AN50" s="835">
        <f t="shared" ref="AN50:AN67" si="14">(D50-AM50)*AM50*3.142*0.96/1000</f>
        <v>0.13309512</v>
      </c>
      <c r="AO50" s="833">
        <v>50.5</v>
      </c>
    </row>
    <row r="51">
      <c r="A51" s="242"/>
      <c r="B51" s="829">
        <v>25.0</v>
      </c>
      <c r="C51" s="831">
        <v>0.3</v>
      </c>
      <c r="D51" s="830">
        <v>25.15</v>
      </c>
      <c r="E51" s="831">
        <v>1.2</v>
      </c>
      <c r="F51" s="508"/>
      <c r="G51" s="508"/>
      <c r="H51" s="508"/>
      <c r="I51" s="833"/>
      <c r="J51" s="862"/>
      <c r="K51" s="862"/>
      <c r="L51" s="508"/>
      <c r="M51" s="512"/>
      <c r="N51" s="508"/>
      <c r="O51" s="508"/>
      <c r="P51" s="508"/>
      <c r="Q51" s="851"/>
      <c r="R51" s="510"/>
      <c r="S51" s="510"/>
      <c r="T51" s="510"/>
      <c r="U51" s="832"/>
      <c r="V51" s="835"/>
      <c r="W51" s="832"/>
      <c r="X51" s="510" t="s">
        <v>4588</v>
      </c>
      <c r="Y51" s="510">
        <v>2.0</v>
      </c>
      <c r="Z51" s="510">
        <v>2.3</v>
      </c>
      <c r="AA51" s="832">
        <f t="shared" ref="AA51:AA67" si="15">(Z51-Y51)/2+Y51</f>
        <v>2.15</v>
      </c>
      <c r="AB51" s="835">
        <f t="shared" ref="AB51:AB67" si="16">(D51-AA51)*AA51*3.142*0.96/1000</f>
        <v>0.149157024</v>
      </c>
      <c r="AC51" s="833">
        <v>56.75</v>
      </c>
      <c r="AD51" s="510" t="s">
        <v>4615</v>
      </c>
      <c r="AE51" s="834">
        <v>2.3</v>
      </c>
      <c r="AF51" s="510">
        <v>2.7</v>
      </c>
      <c r="AG51" s="832">
        <f t="shared" si="11"/>
        <v>2.5</v>
      </c>
      <c r="AH51" s="835">
        <f t="shared" si="12"/>
        <v>0.17079912</v>
      </c>
      <c r="AI51" s="833">
        <v>65.0</v>
      </c>
      <c r="AJ51" s="510" t="s">
        <v>4633</v>
      </c>
      <c r="AK51" s="834">
        <v>2.8</v>
      </c>
      <c r="AL51" s="834">
        <v>3.2</v>
      </c>
      <c r="AM51" s="832">
        <f t="shared" si="13"/>
        <v>3</v>
      </c>
      <c r="AN51" s="835">
        <f t="shared" si="14"/>
        <v>0.200434464</v>
      </c>
      <c r="AO51" s="833">
        <v>76.25</v>
      </c>
    </row>
    <row r="52">
      <c r="A52" s="242"/>
      <c r="B52" s="829">
        <v>32.0</v>
      </c>
      <c r="C52" s="831">
        <v>0.3</v>
      </c>
      <c r="D52" s="830">
        <v>32.15</v>
      </c>
      <c r="E52" s="831">
        <v>1.3</v>
      </c>
      <c r="F52" s="508"/>
      <c r="G52" s="508"/>
      <c r="H52" s="508"/>
      <c r="I52" s="833"/>
      <c r="J52" s="862"/>
      <c r="K52" s="862"/>
      <c r="L52" s="508"/>
      <c r="M52" s="512"/>
      <c r="N52" s="508"/>
      <c r="O52" s="833"/>
      <c r="P52" s="862"/>
      <c r="Q52" s="851"/>
      <c r="R52" s="510" t="s">
        <v>4572</v>
      </c>
      <c r="S52" s="510">
        <v>2.0</v>
      </c>
      <c r="T52" s="510">
        <v>2.3</v>
      </c>
      <c r="U52" s="832">
        <v>2.15</v>
      </c>
      <c r="V52" s="835">
        <v>0.195</v>
      </c>
      <c r="W52" s="833">
        <v>74.25</v>
      </c>
      <c r="X52" s="510" t="s">
        <v>4589</v>
      </c>
      <c r="Y52" s="510">
        <v>2.4</v>
      </c>
      <c r="Z52" s="510">
        <v>2.8</v>
      </c>
      <c r="AA52" s="832">
        <f t="shared" si="15"/>
        <v>2.6</v>
      </c>
      <c r="AB52" s="835">
        <f t="shared" si="16"/>
        <v>0.2317438656</v>
      </c>
      <c r="AC52" s="833">
        <v>88.0</v>
      </c>
      <c r="AD52" s="510" t="s">
        <v>4616</v>
      </c>
      <c r="AE52" s="834">
        <v>3.0</v>
      </c>
      <c r="AF52" s="510">
        <v>3.4</v>
      </c>
      <c r="AG52" s="832">
        <f t="shared" si="11"/>
        <v>3.2</v>
      </c>
      <c r="AH52" s="835">
        <f t="shared" si="12"/>
        <v>0.2794318848</v>
      </c>
      <c r="AI52" s="833">
        <v>106.25</v>
      </c>
      <c r="AJ52" s="510" t="s">
        <v>4634</v>
      </c>
      <c r="AK52" s="834">
        <v>3.6</v>
      </c>
      <c r="AL52" s="834">
        <v>4.1</v>
      </c>
      <c r="AM52" s="832">
        <f t="shared" si="13"/>
        <v>3.85</v>
      </c>
      <c r="AN52" s="835">
        <f t="shared" si="14"/>
        <v>0.3286431456</v>
      </c>
      <c r="AO52" s="833">
        <v>124.75</v>
      </c>
    </row>
    <row r="53">
      <c r="A53" s="242"/>
      <c r="B53" s="829">
        <v>40.0</v>
      </c>
      <c r="C53" s="831">
        <v>0.4</v>
      </c>
      <c r="D53" s="830">
        <v>40.2</v>
      </c>
      <c r="E53" s="831">
        <v>1.4</v>
      </c>
      <c r="F53" s="508"/>
      <c r="G53" s="508"/>
      <c r="H53" s="508"/>
      <c r="I53" s="833"/>
      <c r="J53" s="862"/>
      <c r="K53" s="862"/>
      <c r="L53" s="508" t="s">
        <v>4557</v>
      </c>
      <c r="M53" s="512">
        <v>2.0</v>
      </c>
      <c r="N53" s="512">
        <v>2.3</v>
      </c>
      <c r="O53" s="833">
        <v>2.15</v>
      </c>
      <c r="P53" s="862">
        <v>0.247</v>
      </c>
      <c r="Q53" s="851">
        <v>93.75</v>
      </c>
      <c r="R53" s="510" t="s">
        <v>4573</v>
      </c>
      <c r="S53" s="834">
        <v>2.4</v>
      </c>
      <c r="T53" s="834">
        <v>2.8</v>
      </c>
      <c r="U53" s="832">
        <v>2.6</v>
      </c>
      <c r="V53" s="835">
        <v>0.295</v>
      </c>
      <c r="W53" s="833">
        <v>112.25</v>
      </c>
      <c r="X53" s="510" t="s">
        <v>4590</v>
      </c>
      <c r="Y53" s="834">
        <v>3.0</v>
      </c>
      <c r="Z53" s="834">
        <v>3.4</v>
      </c>
      <c r="AA53" s="832">
        <f t="shared" si="15"/>
        <v>3.2</v>
      </c>
      <c r="AB53" s="835">
        <f t="shared" si="16"/>
        <v>0.357132288</v>
      </c>
      <c r="AC53" s="833">
        <v>135.75</v>
      </c>
      <c r="AD53" s="510" t="s">
        <v>4617</v>
      </c>
      <c r="AE53" s="834">
        <v>3.7</v>
      </c>
      <c r="AF53" s="834">
        <v>4.2</v>
      </c>
      <c r="AG53" s="832">
        <f t="shared" si="11"/>
        <v>3.95</v>
      </c>
      <c r="AH53" s="835">
        <f t="shared" si="12"/>
        <v>0.43189932</v>
      </c>
      <c r="AI53" s="833">
        <v>164.25</v>
      </c>
      <c r="AJ53" s="510" t="s">
        <v>4635</v>
      </c>
      <c r="AK53" s="834">
        <v>4.5</v>
      </c>
      <c r="AL53" s="834">
        <v>5.1</v>
      </c>
      <c r="AM53" s="832">
        <f t="shared" si="13"/>
        <v>4.8</v>
      </c>
      <c r="AN53" s="835">
        <f t="shared" si="14"/>
        <v>0.5125330944</v>
      </c>
      <c r="AO53" s="833">
        <v>194.75</v>
      </c>
    </row>
    <row r="54">
      <c r="A54" s="242"/>
      <c r="B54" s="829">
        <v>50.0</v>
      </c>
      <c r="C54" s="831">
        <v>0.4</v>
      </c>
      <c r="D54" s="830">
        <v>50.2</v>
      </c>
      <c r="E54" s="831">
        <v>1.4</v>
      </c>
      <c r="F54" s="508"/>
      <c r="G54" s="512"/>
      <c r="H54" s="512"/>
      <c r="I54" s="833"/>
      <c r="J54" s="862"/>
      <c r="K54" s="862"/>
      <c r="L54" s="508" t="s">
        <v>4558</v>
      </c>
      <c r="M54" s="512">
        <v>2.4</v>
      </c>
      <c r="N54" s="512">
        <v>2.8</v>
      </c>
      <c r="O54" s="833">
        <v>2.6</v>
      </c>
      <c r="P54" s="862">
        <v>0.373</v>
      </c>
      <c r="Q54" s="851">
        <v>141.75</v>
      </c>
      <c r="R54" s="510" t="s">
        <v>4574</v>
      </c>
      <c r="S54" s="834">
        <v>3.0</v>
      </c>
      <c r="T54" s="834">
        <v>3.4</v>
      </c>
      <c r="U54" s="832">
        <v>3.2</v>
      </c>
      <c r="V54" s="835">
        <v>0.454</v>
      </c>
      <c r="W54" s="833">
        <v>172.5</v>
      </c>
      <c r="X54" s="510" t="s">
        <v>4591</v>
      </c>
      <c r="Y54" s="834">
        <v>3.7</v>
      </c>
      <c r="Z54" s="834">
        <v>4.2</v>
      </c>
      <c r="AA54" s="832">
        <f t="shared" si="15"/>
        <v>3.95</v>
      </c>
      <c r="AB54" s="835">
        <f t="shared" si="16"/>
        <v>0.55104396</v>
      </c>
      <c r="AC54" s="833">
        <v>209.5</v>
      </c>
      <c r="AD54" s="510" t="s">
        <v>4618</v>
      </c>
      <c r="AE54" s="834">
        <v>4.6</v>
      </c>
      <c r="AF54" s="834">
        <v>5.2</v>
      </c>
      <c r="AG54" s="832">
        <f t="shared" si="11"/>
        <v>4.9</v>
      </c>
      <c r="AH54" s="835">
        <f t="shared" si="12"/>
        <v>0.6695325504</v>
      </c>
      <c r="AI54" s="833">
        <v>254.5</v>
      </c>
      <c r="AJ54" s="510" t="s">
        <v>4636</v>
      </c>
      <c r="AK54" s="834">
        <v>5.6</v>
      </c>
      <c r="AL54" s="834">
        <v>6.3</v>
      </c>
      <c r="AM54" s="832">
        <f t="shared" si="13"/>
        <v>5.95</v>
      </c>
      <c r="AN54" s="835">
        <f t="shared" si="14"/>
        <v>0.794159352</v>
      </c>
      <c r="AO54" s="833">
        <v>301.75</v>
      </c>
    </row>
    <row r="55">
      <c r="A55" s="242"/>
      <c r="B55" s="829">
        <v>63.0</v>
      </c>
      <c r="C55" s="831">
        <v>0.4</v>
      </c>
      <c r="D55" s="830">
        <v>63.2</v>
      </c>
      <c r="E55" s="831">
        <v>1.5</v>
      </c>
      <c r="F55" s="508"/>
      <c r="G55" s="512"/>
      <c r="H55" s="512"/>
      <c r="I55" s="833"/>
      <c r="J55" s="862"/>
      <c r="K55" s="862"/>
      <c r="L55" s="508" t="s">
        <v>4559</v>
      </c>
      <c r="M55" s="512">
        <v>3.0</v>
      </c>
      <c r="N55" s="512">
        <v>3.4</v>
      </c>
      <c r="O55" s="833">
        <v>3.2</v>
      </c>
      <c r="P55" s="862">
        <v>0.579</v>
      </c>
      <c r="Q55" s="851">
        <v>220.0</v>
      </c>
      <c r="R55" s="510" t="s">
        <v>4575</v>
      </c>
      <c r="S55" s="834">
        <v>3.8</v>
      </c>
      <c r="T55" s="834">
        <v>4.3</v>
      </c>
      <c r="U55" s="832">
        <v>4.05</v>
      </c>
      <c r="V55" s="835">
        <v>0.723</v>
      </c>
      <c r="W55" s="833">
        <v>274.75</v>
      </c>
      <c r="X55" s="510" t="s">
        <v>4592</v>
      </c>
      <c r="Y55" s="834">
        <v>4.7</v>
      </c>
      <c r="Z55" s="834">
        <v>5.3</v>
      </c>
      <c r="AA55" s="832">
        <f t="shared" si="15"/>
        <v>5</v>
      </c>
      <c r="AB55" s="835">
        <f t="shared" si="16"/>
        <v>0.87774912</v>
      </c>
      <c r="AC55" s="833">
        <v>333.5</v>
      </c>
      <c r="AD55" s="510" t="s">
        <v>4619</v>
      </c>
      <c r="AE55" s="834">
        <v>5.8</v>
      </c>
      <c r="AF55" s="834">
        <v>6.5</v>
      </c>
      <c r="AG55" s="832">
        <f t="shared" si="11"/>
        <v>6.15</v>
      </c>
      <c r="AH55" s="835">
        <f t="shared" si="12"/>
        <v>1.058298494</v>
      </c>
      <c r="AI55" s="833">
        <v>402.25</v>
      </c>
      <c r="AJ55" s="510" t="s">
        <v>4637</v>
      </c>
      <c r="AK55" s="834">
        <v>7.0</v>
      </c>
      <c r="AL55" s="834">
        <v>7.8</v>
      </c>
      <c r="AM55" s="832">
        <f t="shared" si="13"/>
        <v>7.4</v>
      </c>
      <c r="AN55" s="835">
        <f t="shared" si="14"/>
        <v>1.245498854</v>
      </c>
      <c r="AO55" s="833">
        <v>473.25</v>
      </c>
    </row>
    <row r="56">
      <c r="A56" s="242"/>
      <c r="B56" s="829">
        <v>75.0</v>
      </c>
      <c r="C56" s="831">
        <v>0.5</v>
      </c>
      <c r="D56" s="830">
        <v>75.25</v>
      </c>
      <c r="E56" s="831">
        <v>1.6</v>
      </c>
      <c r="F56" s="508" t="s">
        <v>4545</v>
      </c>
      <c r="G56" s="512">
        <v>2.3</v>
      </c>
      <c r="H56" s="512">
        <v>2.7</v>
      </c>
      <c r="I56" s="833">
        <v>2.5</v>
      </c>
      <c r="J56" s="862">
        <v>0.549</v>
      </c>
      <c r="K56" s="833">
        <v>208.75</v>
      </c>
      <c r="L56" s="508" t="s">
        <v>4560</v>
      </c>
      <c r="M56" s="512">
        <v>3.6</v>
      </c>
      <c r="N56" s="512">
        <v>4.1</v>
      </c>
      <c r="O56" s="833">
        <v>3.85</v>
      </c>
      <c r="P56" s="862">
        <v>0.829</v>
      </c>
      <c r="Q56" s="851">
        <v>315.0</v>
      </c>
      <c r="R56" s="510" t="s">
        <v>4576</v>
      </c>
      <c r="S56" s="834">
        <v>4.5</v>
      </c>
      <c r="T56" s="834">
        <v>5.1</v>
      </c>
      <c r="U56" s="832">
        <v>4.8</v>
      </c>
      <c r="V56" s="835">
        <v>1.02</v>
      </c>
      <c r="W56" s="833">
        <v>387.5</v>
      </c>
      <c r="X56" s="510" t="s">
        <v>4593</v>
      </c>
      <c r="Y56" s="834">
        <v>5.6</v>
      </c>
      <c r="Z56" s="834">
        <v>6.3</v>
      </c>
      <c r="AA56" s="832">
        <f t="shared" si="15"/>
        <v>5.95</v>
      </c>
      <c r="AB56" s="835">
        <f t="shared" si="16"/>
        <v>1.243734307</v>
      </c>
      <c r="AC56" s="833">
        <v>475.5</v>
      </c>
      <c r="AD56" s="510" t="s">
        <v>4620</v>
      </c>
      <c r="AE56" s="834">
        <v>6.9</v>
      </c>
      <c r="AF56" s="834">
        <v>7.7</v>
      </c>
      <c r="AG56" s="832">
        <f t="shared" si="11"/>
        <v>7.3</v>
      </c>
      <c r="AH56" s="835">
        <f t="shared" si="12"/>
        <v>1.496200291</v>
      </c>
      <c r="AI56" s="833">
        <v>568.5</v>
      </c>
      <c r="AJ56" s="510" t="s">
        <v>4638</v>
      </c>
      <c r="AK56" s="834">
        <v>8.4</v>
      </c>
      <c r="AL56" s="834">
        <v>9.4</v>
      </c>
      <c r="AM56" s="832">
        <f t="shared" si="13"/>
        <v>8.9</v>
      </c>
      <c r="AN56" s="835">
        <f t="shared" si="14"/>
        <v>1.781182205</v>
      </c>
      <c r="AO56" s="833">
        <v>676.75</v>
      </c>
    </row>
    <row r="57">
      <c r="A57" s="242"/>
      <c r="B57" s="829">
        <v>90.0</v>
      </c>
      <c r="C57" s="831">
        <v>0.6</v>
      </c>
      <c r="D57" s="830">
        <v>90.3</v>
      </c>
      <c r="E57" s="831">
        <v>1.8</v>
      </c>
      <c r="F57" s="508" t="s">
        <v>4546</v>
      </c>
      <c r="G57" s="512">
        <v>2.8</v>
      </c>
      <c r="H57" s="512">
        <v>3.2</v>
      </c>
      <c r="I57" s="833">
        <v>3.0</v>
      </c>
      <c r="J57" s="862">
        <v>0.79</v>
      </c>
      <c r="K57" s="833">
        <v>300.25</v>
      </c>
      <c r="L57" s="508" t="s">
        <v>4561</v>
      </c>
      <c r="M57" s="512">
        <v>4.3</v>
      </c>
      <c r="N57" s="512">
        <v>4.9</v>
      </c>
      <c r="O57" s="833">
        <v>4.6</v>
      </c>
      <c r="P57" s="862">
        <v>1.189</v>
      </c>
      <c r="Q57" s="851">
        <v>451.75</v>
      </c>
      <c r="R57" s="510" t="s">
        <v>4577</v>
      </c>
      <c r="S57" s="834">
        <v>5.3</v>
      </c>
      <c r="T57" s="834">
        <v>6.0</v>
      </c>
      <c r="U57" s="832">
        <v>5.65</v>
      </c>
      <c r="V57" s="835">
        <v>1.443</v>
      </c>
      <c r="W57" s="833">
        <v>548.25</v>
      </c>
      <c r="X57" s="510" t="s">
        <v>4594</v>
      </c>
      <c r="Y57" s="834">
        <v>6.7</v>
      </c>
      <c r="Z57" s="834">
        <v>7.5</v>
      </c>
      <c r="AA57" s="832">
        <f t="shared" si="15"/>
        <v>7.1</v>
      </c>
      <c r="AB57" s="835">
        <f t="shared" si="16"/>
        <v>1.78180055</v>
      </c>
      <c r="AC57" s="833">
        <v>677.0</v>
      </c>
      <c r="AD57" s="510" t="s">
        <v>4621</v>
      </c>
      <c r="AE57" s="834">
        <v>8.2</v>
      </c>
      <c r="AF57" s="834">
        <v>9.2</v>
      </c>
      <c r="AG57" s="832">
        <f t="shared" si="11"/>
        <v>8.7</v>
      </c>
      <c r="AH57" s="835">
        <f t="shared" si="12"/>
        <v>2.141345894</v>
      </c>
      <c r="AI57" s="833">
        <v>813.75</v>
      </c>
      <c r="AJ57" s="510" t="s">
        <v>4639</v>
      </c>
      <c r="AK57" s="834">
        <v>10.0</v>
      </c>
      <c r="AL57" s="834">
        <v>11.1</v>
      </c>
      <c r="AM57" s="832">
        <f t="shared" si="13"/>
        <v>10.55</v>
      </c>
      <c r="AN57" s="835">
        <f t="shared" si="14"/>
        <v>2.537818536</v>
      </c>
      <c r="AO57" s="833">
        <v>964.25</v>
      </c>
    </row>
    <row r="58">
      <c r="A58" s="242"/>
      <c r="B58" s="829">
        <v>110.0</v>
      </c>
      <c r="C58" s="831">
        <v>0.7</v>
      </c>
      <c r="D58" s="830">
        <v>110.35</v>
      </c>
      <c r="E58" s="831">
        <v>2.2</v>
      </c>
      <c r="F58" s="508" t="s">
        <v>4547</v>
      </c>
      <c r="G58" s="512">
        <v>3.4</v>
      </c>
      <c r="H58" s="512">
        <v>3.9</v>
      </c>
      <c r="I58" s="833">
        <v>3.65</v>
      </c>
      <c r="J58" s="862">
        <v>1.175</v>
      </c>
      <c r="K58" s="833">
        <v>446.5</v>
      </c>
      <c r="L58" s="508" t="s">
        <v>4562</v>
      </c>
      <c r="M58" s="512">
        <v>5.3</v>
      </c>
      <c r="N58" s="512">
        <v>6.0</v>
      </c>
      <c r="O58" s="833">
        <v>5.65</v>
      </c>
      <c r="P58" s="862">
        <v>1.784</v>
      </c>
      <c r="Q58" s="851">
        <v>678.0</v>
      </c>
      <c r="R58" s="510" t="s">
        <v>4578</v>
      </c>
      <c r="S58" s="834">
        <v>6.5</v>
      </c>
      <c r="T58" s="834">
        <v>7.3</v>
      </c>
      <c r="U58" s="832">
        <v>6.9</v>
      </c>
      <c r="V58" s="835">
        <v>2.153</v>
      </c>
      <c r="W58" s="833">
        <v>818.25</v>
      </c>
      <c r="X58" s="510" t="s">
        <v>4595</v>
      </c>
      <c r="Y58" s="834">
        <v>8.1</v>
      </c>
      <c r="Z58" s="834">
        <v>9.1</v>
      </c>
      <c r="AA58" s="832">
        <f t="shared" si="15"/>
        <v>8.6</v>
      </c>
      <c r="AB58" s="835">
        <f t="shared" si="16"/>
        <v>2.639430816</v>
      </c>
      <c r="AC58" s="833">
        <v>1003.0</v>
      </c>
      <c r="AD58" s="510" t="s">
        <v>4622</v>
      </c>
      <c r="AE58" s="834">
        <v>10.0</v>
      </c>
      <c r="AF58" s="834">
        <v>11.1</v>
      </c>
      <c r="AG58" s="832">
        <f t="shared" si="11"/>
        <v>10.55</v>
      </c>
      <c r="AH58" s="835">
        <f t="shared" si="12"/>
        <v>3.175853165</v>
      </c>
      <c r="AI58" s="833">
        <v>1206.75</v>
      </c>
      <c r="AJ58" s="510" t="s">
        <v>4640</v>
      </c>
      <c r="AK58" s="834">
        <v>12.3</v>
      </c>
      <c r="AL58" s="834">
        <v>13.7</v>
      </c>
      <c r="AM58" s="832">
        <f t="shared" si="13"/>
        <v>13</v>
      </c>
      <c r="AN58" s="835">
        <f t="shared" si="14"/>
        <v>3.817303776</v>
      </c>
      <c r="AO58" s="833">
        <v>1450.5</v>
      </c>
    </row>
    <row r="59">
      <c r="A59" s="242"/>
      <c r="B59" s="829">
        <v>125.0</v>
      </c>
      <c r="C59" s="831">
        <v>0.8</v>
      </c>
      <c r="D59" s="830">
        <v>125.4</v>
      </c>
      <c r="E59" s="831">
        <v>2.5</v>
      </c>
      <c r="F59" s="508" t="s">
        <v>4548</v>
      </c>
      <c r="G59" s="512">
        <v>3.8</v>
      </c>
      <c r="H59" s="512">
        <v>4.3</v>
      </c>
      <c r="I59" s="833">
        <v>4.05</v>
      </c>
      <c r="J59" s="862">
        <v>1.482</v>
      </c>
      <c r="K59" s="833">
        <v>563.25</v>
      </c>
      <c r="L59" s="508" t="s">
        <v>4563</v>
      </c>
      <c r="M59" s="512">
        <v>6.0</v>
      </c>
      <c r="N59" s="512">
        <v>6.7</v>
      </c>
      <c r="O59" s="833">
        <v>6.35</v>
      </c>
      <c r="P59" s="862">
        <v>2.28</v>
      </c>
      <c r="Q59" s="851">
        <v>866.5</v>
      </c>
      <c r="R59" s="510" t="s">
        <v>4579</v>
      </c>
      <c r="S59" s="834">
        <v>7.4</v>
      </c>
      <c r="T59" s="834">
        <v>8.3</v>
      </c>
      <c r="U59" s="832">
        <v>7.85</v>
      </c>
      <c r="V59" s="835">
        <v>2.783</v>
      </c>
      <c r="W59" s="833">
        <v>1057.5</v>
      </c>
      <c r="X59" s="510" t="s">
        <v>4596</v>
      </c>
      <c r="Y59" s="834">
        <v>9.2</v>
      </c>
      <c r="Z59" s="834">
        <v>10.3</v>
      </c>
      <c r="AA59" s="832">
        <f t="shared" si="15"/>
        <v>9.75</v>
      </c>
      <c r="AB59" s="835">
        <f t="shared" si="16"/>
        <v>3.401164728</v>
      </c>
      <c r="AC59" s="833">
        <v>1292.5</v>
      </c>
      <c r="AD59" s="510" t="s">
        <v>4623</v>
      </c>
      <c r="AE59" s="834">
        <v>11.4</v>
      </c>
      <c r="AF59" s="834">
        <v>12.7</v>
      </c>
      <c r="AG59" s="832">
        <f t="shared" si="11"/>
        <v>12.05</v>
      </c>
      <c r="AH59" s="835">
        <f t="shared" si="12"/>
        <v>4.119893458</v>
      </c>
      <c r="AI59" s="833">
        <v>1565.5</v>
      </c>
      <c r="AJ59" s="510" t="s">
        <v>4641</v>
      </c>
      <c r="AK59" s="834">
        <v>13.9</v>
      </c>
      <c r="AL59" s="834">
        <v>15.4</v>
      </c>
      <c r="AM59" s="832">
        <f t="shared" si="13"/>
        <v>14.65</v>
      </c>
      <c r="AN59" s="835">
        <f t="shared" si="14"/>
        <v>4.893941496</v>
      </c>
      <c r="AO59" s="833">
        <v>1859.75</v>
      </c>
    </row>
    <row r="60">
      <c r="A60" s="242"/>
      <c r="B60" s="829">
        <v>140.0</v>
      </c>
      <c r="C60" s="831">
        <v>0.9</v>
      </c>
      <c r="D60" s="830">
        <v>140.45</v>
      </c>
      <c r="E60" s="831">
        <v>2.8</v>
      </c>
      <c r="F60" s="508" t="s">
        <v>4549</v>
      </c>
      <c r="G60" s="512">
        <v>4.3</v>
      </c>
      <c r="H60" s="512">
        <v>4.9</v>
      </c>
      <c r="I60" s="833">
        <v>4.6</v>
      </c>
      <c r="J60" s="862">
        <v>1.885</v>
      </c>
      <c r="K60" s="833">
        <v>716.25</v>
      </c>
      <c r="L60" s="508" t="s">
        <v>4564</v>
      </c>
      <c r="M60" s="512">
        <v>6.7</v>
      </c>
      <c r="N60" s="512">
        <v>7.5</v>
      </c>
      <c r="O60" s="833">
        <v>7.1</v>
      </c>
      <c r="P60" s="862">
        <v>2.856</v>
      </c>
      <c r="Q60" s="851">
        <v>1085.25</v>
      </c>
      <c r="R60" s="510" t="s">
        <v>4580</v>
      </c>
      <c r="S60" s="834">
        <v>8.3</v>
      </c>
      <c r="T60" s="834">
        <v>9.3</v>
      </c>
      <c r="U60" s="832">
        <v>8.8</v>
      </c>
      <c r="V60" s="835">
        <v>3.494</v>
      </c>
      <c r="W60" s="833">
        <v>1327.75</v>
      </c>
      <c r="X60" s="510" t="s">
        <v>4597</v>
      </c>
      <c r="Y60" s="834">
        <v>10.3</v>
      </c>
      <c r="Z60" s="834">
        <v>11.5</v>
      </c>
      <c r="AA60" s="832">
        <f t="shared" si="15"/>
        <v>10.9</v>
      </c>
      <c r="AB60" s="835">
        <f t="shared" si="16"/>
        <v>4.25933039</v>
      </c>
      <c r="AC60" s="833">
        <v>1618.5</v>
      </c>
      <c r="AD60" s="510" t="s">
        <v>4624</v>
      </c>
      <c r="AE60" s="834">
        <v>12.8</v>
      </c>
      <c r="AF60" s="834">
        <v>14.2</v>
      </c>
      <c r="AG60" s="832">
        <f t="shared" si="11"/>
        <v>13.5</v>
      </c>
      <c r="AH60" s="835">
        <f t="shared" si="12"/>
        <v>5.169444624</v>
      </c>
      <c r="AI60" s="833">
        <v>1964.5</v>
      </c>
      <c r="AJ60" s="510" t="s">
        <v>4642</v>
      </c>
      <c r="AK60" s="834">
        <v>15.6</v>
      </c>
      <c r="AL60" s="834">
        <v>17.3</v>
      </c>
      <c r="AM60" s="832">
        <f t="shared" si="13"/>
        <v>16.45</v>
      </c>
      <c r="AN60" s="835">
        <f t="shared" si="14"/>
        <v>6.152689536</v>
      </c>
      <c r="AO60" s="833">
        <v>2338.0</v>
      </c>
    </row>
    <row r="61">
      <c r="A61" s="242"/>
      <c r="B61" s="829">
        <v>160.0</v>
      </c>
      <c r="C61" s="831">
        <v>1.0</v>
      </c>
      <c r="D61" s="830">
        <v>160.5</v>
      </c>
      <c r="E61" s="831">
        <v>3.2</v>
      </c>
      <c r="F61" s="508" t="s">
        <v>4550</v>
      </c>
      <c r="G61" s="512">
        <v>4.9</v>
      </c>
      <c r="H61" s="512">
        <v>5.5</v>
      </c>
      <c r="I61" s="833">
        <v>5.2</v>
      </c>
      <c r="J61" s="862">
        <v>2.436</v>
      </c>
      <c r="K61" s="833">
        <v>925.75</v>
      </c>
      <c r="L61" s="508" t="s">
        <v>4565</v>
      </c>
      <c r="M61" s="512">
        <v>7.7</v>
      </c>
      <c r="N61" s="512">
        <v>8.6</v>
      </c>
      <c r="O61" s="833">
        <v>8.15</v>
      </c>
      <c r="P61" s="862">
        <v>3.745</v>
      </c>
      <c r="Q61" s="851">
        <v>1423.25</v>
      </c>
      <c r="R61" s="510" t="s">
        <v>4581</v>
      </c>
      <c r="S61" s="834">
        <v>9.5</v>
      </c>
      <c r="T61" s="834">
        <v>10.6</v>
      </c>
      <c r="U61" s="832">
        <v>10.05</v>
      </c>
      <c r="V61" s="835">
        <v>4.561</v>
      </c>
      <c r="W61" s="833">
        <v>1733.25</v>
      </c>
      <c r="X61" s="510" t="s">
        <v>4598</v>
      </c>
      <c r="Y61" s="834">
        <v>11.8</v>
      </c>
      <c r="Z61" s="834">
        <v>13.1</v>
      </c>
      <c r="AA61" s="832">
        <f t="shared" si="15"/>
        <v>12.45</v>
      </c>
      <c r="AB61" s="835">
        <f t="shared" si="16"/>
        <v>5.559748891</v>
      </c>
      <c r="AC61" s="833">
        <v>2112.75</v>
      </c>
      <c r="AD61" s="510" t="s">
        <v>4625</v>
      </c>
      <c r="AE61" s="834">
        <v>14.6</v>
      </c>
      <c r="AF61" s="834">
        <v>16.2</v>
      </c>
      <c r="AG61" s="832">
        <f t="shared" si="11"/>
        <v>15.4</v>
      </c>
      <c r="AH61" s="835">
        <f t="shared" si="12"/>
        <v>6.740087693</v>
      </c>
      <c r="AI61" s="833">
        <v>2561.25</v>
      </c>
      <c r="AJ61" s="510" t="s">
        <v>4643</v>
      </c>
      <c r="AK61" s="834">
        <v>17.8</v>
      </c>
      <c r="AL61" s="834">
        <v>19.7</v>
      </c>
      <c r="AM61" s="832">
        <f t="shared" si="13"/>
        <v>18.75</v>
      </c>
      <c r="AN61" s="835">
        <f t="shared" si="14"/>
        <v>8.016813</v>
      </c>
      <c r="AO61" s="833">
        <v>3046.5</v>
      </c>
    </row>
    <row r="62">
      <c r="A62" s="242"/>
      <c r="B62" s="829">
        <v>180.0</v>
      </c>
      <c r="C62" s="831">
        <v>1.1</v>
      </c>
      <c r="D62" s="830">
        <v>180.55</v>
      </c>
      <c r="E62" s="831">
        <v>3.6</v>
      </c>
      <c r="F62" s="508" t="s">
        <v>4551</v>
      </c>
      <c r="G62" s="512">
        <v>5.5</v>
      </c>
      <c r="H62" s="512">
        <v>6.2</v>
      </c>
      <c r="I62" s="833">
        <v>5.85</v>
      </c>
      <c r="J62" s="862">
        <v>3.083</v>
      </c>
      <c r="K62" s="833">
        <v>1171.5</v>
      </c>
      <c r="L62" s="508" t="s">
        <v>4566</v>
      </c>
      <c r="M62" s="512">
        <v>8.6</v>
      </c>
      <c r="N62" s="512">
        <v>9.6</v>
      </c>
      <c r="O62" s="833">
        <v>9.1</v>
      </c>
      <c r="P62" s="862">
        <v>4.706</v>
      </c>
      <c r="Q62" s="851">
        <v>1788.25</v>
      </c>
      <c r="R62" s="510" t="s">
        <v>4582</v>
      </c>
      <c r="S62" s="834">
        <v>10.6</v>
      </c>
      <c r="T62" s="834">
        <v>11.8</v>
      </c>
      <c r="U62" s="832">
        <v>11.2</v>
      </c>
      <c r="V62" s="835">
        <v>5.721</v>
      </c>
      <c r="W62" s="833">
        <v>2174.0</v>
      </c>
      <c r="X62" s="510" t="s">
        <v>4599</v>
      </c>
      <c r="Y62" s="834">
        <v>13.3</v>
      </c>
      <c r="Z62" s="834">
        <v>14.8</v>
      </c>
      <c r="AA62" s="832">
        <f t="shared" si="15"/>
        <v>14.05</v>
      </c>
      <c r="AB62" s="835">
        <f t="shared" si="16"/>
        <v>7.056152784</v>
      </c>
      <c r="AC62" s="833">
        <v>2681.5</v>
      </c>
      <c r="AD62" s="510" t="s">
        <v>4626</v>
      </c>
      <c r="AE62" s="834">
        <v>16.4</v>
      </c>
      <c r="AF62" s="834">
        <v>18.2</v>
      </c>
      <c r="AG62" s="832">
        <f t="shared" si="11"/>
        <v>17.3</v>
      </c>
      <c r="AH62" s="835">
        <f t="shared" si="12"/>
        <v>8.518766352</v>
      </c>
      <c r="AI62" s="833">
        <v>3237.25</v>
      </c>
      <c r="AJ62" s="510" t="s">
        <v>4644</v>
      </c>
      <c r="AK62" s="834">
        <v>20.0</v>
      </c>
      <c r="AL62" s="834">
        <v>22.1</v>
      </c>
      <c r="AM62" s="832">
        <f t="shared" si="13"/>
        <v>21.05</v>
      </c>
      <c r="AN62" s="835">
        <f t="shared" si="14"/>
        <v>10.12721899</v>
      </c>
      <c r="AO62" s="833">
        <v>3848.5</v>
      </c>
    </row>
    <row r="63">
      <c r="A63" s="242"/>
      <c r="B63" s="829">
        <v>200.0</v>
      </c>
      <c r="C63" s="831">
        <v>1.2</v>
      </c>
      <c r="D63" s="830">
        <v>200.6</v>
      </c>
      <c r="E63" s="831">
        <v>4.0</v>
      </c>
      <c r="F63" s="508" t="s">
        <v>4552</v>
      </c>
      <c r="G63" s="512">
        <v>6.1</v>
      </c>
      <c r="H63" s="512">
        <v>6.9</v>
      </c>
      <c r="I63" s="833">
        <v>6.5</v>
      </c>
      <c r="J63" s="862">
        <v>3.806</v>
      </c>
      <c r="K63" s="833">
        <v>1446.25</v>
      </c>
      <c r="L63" s="508" t="s">
        <v>4567</v>
      </c>
      <c r="M63" s="512">
        <v>9.6</v>
      </c>
      <c r="N63" s="512">
        <v>10.7</v>
      </c>
      <c r="O63" s="833">
        <v>10.15</v>
      </c>
      <c r="P63" s="862">
        <v>5.831</v>
      </c>
      <c r="Q63" s="851">
        <v>2215.75</v>
      </c>
      <c r="R63" s="510" t="s">
        <v>4583</v>
      </c>
      <c r="S63" s="834">
        <v>11.8</v>
      </c>
      <c r="T63" s="834">
        <v>13.1</v>
      </c>
      <c r="U63" s="832">
        <v>12.45</v>
      </c>
      <c r="V63" s="835">
        <v>7.066</v>
      </c>
      <c r="W63" s="833">
        <v>2685.0</v>
      </c>
      <c r="X63" s="510" t="s">
        <v>4601</v>
      </c>
      <c r="Y63" s="834">
        <v>14.8</v>
      </c>
      <c r="Z63" s="834">
        <v>16.4</v>
      </c>
      <c r="AA63" s="832">
        <f t="shared" si="15"/>
        <v>15.6</v>
      </c>
      <c r="AB63" s="835">
        <f t="shared" si="16"/>
        <v>8.70509952</v>
      </c>
      <c r="AC63" s="833">
        <v>3308.0</v>
      </c>
      <c r="AD63" s="510" t="s">
        <v>4627</v>
      </c>
      <c r="AE63" s="834">
        <v>18.2</v>
      </c>
      <c r="AF63" s="834">
        <v>20.2</v>
      </c>
      <c r="AG63" s="832">
        <f t="shared" si="11"/>
        <v>19.2</v>
      </c>
      <c r="AH63" s="835">
        <f t="shared" si="12"/>
        <v>10.5054806</v>
      </c>
      <c r="AI63" s="833">
        <v>3992.0</v>
      </c>
      <c r="AJ63" s="510" t="s">
        <v>4645</v>
      </c>
      <c r="AK63" s="834">
        <v>22.3</v>
      </c>
      <c r="AL63" s="834">
        <v>24.7</v>
      </c>
      <c r="AM63" s="832">
        <f t="shared" si="13"/>
        <v>23.5</v>
      </c>
      <c r="AN63" s="835">
        <f t="shared" si="14"/>
        <v>12.55347139</v>
      </c>
      <c r="AO63" s="833">
        <v>4770.5</v>
      </c>
    </row>
    <row r="64">
      <c r="A64" s="242"/>
      <c r="B64" s="829">
        <v>225.0</v>
      </c>
      <c r="C64" s="831">
        <v>1.4</v>
      </c>
      <c r="D64" s="830">
        <v>225.7</v>
      </c>
      <c r="E64" s="831">
        <v>4.5</v>
      </c>
      <c r="F64" s="508" t="s">
        <v>4553</v>
      </c>
      <c r="G64" s="512">
        <v>6.9</v>
      </c>
      <c r="H64" s="512">
        <v>7.7</v>
      </c>
      <c r="I64" s="833">
        <v>7.3</v>
      </c>
      <c r="J64" s="862">
        <v>4.809</v>
      </c>
      <c r="K64" s="833">
        <v>1827.5</v>
      </c>
      <c r="L64" s="508" t="s">
        <v>4568</v>
      </c>
      <c r="M64" s="512">
        <v>10.8</v>
      </c>
      <c r="N64" s="512">
        <v>12.0</v>
      </c>
      <c r="O64" s="833">
        <v>11.4</v>
      </c>
      <c r="P64" s="862">
        <v>7.369</v>
      </c>
      <c r="Q64" s="851">
        <v>2800.25</v>
      </c>
      <c r="R64" s="510" t="s">
        <v>4584</v>
      </c>
      <c r="S64" s="834">
        <v>13.3</v>
      </c>
      <c r="T64" s="834">
        <v>14.8</v>
      </c>
      <c r="U64" s="832">
        <v>14.05</v>
      </c>
      <c r="V64" s="835">
        <v>8.97</v>
      </c>
      <c r="W64" s="833">
        <v>3408.5</v>
      </c>
      <c r="X64" s="510" t="s">
        <v>4604</v>
      </c>
      <c r="Y64" s="834">
        <v>16.6</v>
      </c>
      <c r="Z64" s="834">
        <v>18.4</v>
      </c>
      <c r="AA64" s="832">
        <f t="shared" si="15"/>
        <v>17.5</v>
      </c>
      <c r="AB64" s="835">
        <f t="shared" si="16"/>
        <v>10.98996192</v>
      </c>
      <c r="AC64" s="833">
        <v>4176.25</v>
      </c>
      <c r="AD64" s="510" t="s">
        <v>4628</v>
      </c>
      <c r="AE64" s="834">
        <v>20.5</v>
      </c>
      <c r="AF64" s="834">
        <v>22.7</v>
      </c>
      <c r="AG64" s="832">
        <f t="shared" si="11"/>
        <v>21.6</v>
      </c>
      <c r="AH64" s="835">
        <f t="shared" si="12"/>
        <v>13.2976277</v>
      </c>
      <c r="AI64" s="833">
        <v>5053.25</v>
      </c>
      <c r="AJ64" s="510" t="s">
        <v>4646</v>
      </c>
      <c r="AK64" s="834">
        <v>25.0</v>
      </c>
      <c r="AL64" s="834">
        <v>27.6</v>
      </c>
      <c r="AM64" s="832">
        <f t="shared" si="13"/>
        <v>26.3</v>
      </c>
      <c r="AN64" s="835">
        <f t="shared" si="14"/>
        <v>15.81824567</v>
      </c>
      <c r="AO64" s="833">
        <v>6011.0</v>
      </c>
    </row>
    <row r="65">
      <c r="A65" s="242"/>
      <c r="B65" s="829">
        <v>250.0</v>
      </c>
      <c r="C65" s="831">
        <v>1.5</v>
      </c>
      <c r="D65" s="830">
        <v>250.7</v>
      </c>
      <c r="E65" s="831">
        <v>5.0</v>
      </c>
      <c r="F65" s="508" t="s">
        <v>4554</v>
      </c>
      <c r="G65" s="512">
        <v>7.6</v>
      </c>
      <c r="H65" s="512">
        <v>8.5</v>
      </c>
      <c r="I65" s="833">
        <v>8.05</v>
      </c>
      <c r="J65" s="862">
        <v>5.892</v>
      </c>
      <c r="K65" s="833">
        <v>2239.0</v>
      </c>
      <c r="L65" s="508" t="s">
        <v>4569</v>
      </c>
      <c r="M65" s="512">
        <v>12.0</v>
      </c>
      <c r="N65" s="512">
        <v>13.3</v>
      </c>
      <c r="O65" s="833">
        <v>12.65</v>
      </c>
      <c r="P65" s="862">
        <v>9.083</v>
      </c>
      <c r="Q65" s="851">
        <v>3451.5</v>
      </c>
      <c r="R65" s="510" t="s">
        <v>4585</v>
      </c>
      <c r="S65" s="834">
        <v>14.8</v>
      </c>
      <c r="T65" s="834">
        <v>16.4</v>
      </c>
      <c r="U65" s="832">
        <v>15.6</v>
      </c>
      <c r="V65" s="835">
        <v>11.063</v>
      </c>
      <c r="W65" s="833">
        <v>4204.0</v>
      </c>
      <c r="X65" s="510" t="s">
        <v>4607</v>
      </c>
      <c r="Y65" s="834">
        <v>18.4</v>
      </c>
      <c r="Z65" s="834">
        <v>20.4</v>
      </c>
      <c r="AA65" s="832">
        <f t="shared" si="15"/>
        <v>19.4</v>
      </c>
      <c r="AB65" s="835">
        <f t="shared" si="16"/>
        <v>13.53489143</v>
      </c>
      <c r="AC65" s="833">
        <v>5143.25</v>
      </c>
      <c r="AD65" s="510" t="s">
        <v>4629</v>
      </c>
      <c r="AE65" s="834">
        <v>22.8</v>
      </c>
      <c r="AF65" s="834">
        <v>25.2</v>
      </c>
      <c r="AG65" s="832">
        <f t="shared" si="11"/>
        <v>24</v>
      </c>
      <c r="AH65" s="835">
        <f t="shared" si="12"/>
        <v>16.41119386</v>
      </c>
      <c r="AI65" s="833">
        <v>6236.253665279999</v>
      </c>
      <c r="AJ65" s="510" t="s">
        <v>4647</v>
      </c>
      <c r="AK65" s="834">
        <v>27.8</v>
      </c>
      <c r="AL65" s="834">
        <v>30.7</v>
      </c>
      <c r="AM65" s="832">
        <f t="shared" si="13"/>
        <v>29.25</v>
      </c>
      <c r="AN65" s="835">
        <f t="shared" si="14"/>
        <v>19.53794887</v>
      </c>
      <c r="AO65" s="833">
        <v>7424.5</v>
      </c>
    </row>
    <row r="66">
      <c r="A66" s="242"/>
      <c r="B66" s="829">
        <v>280.0</v>
      </c>
      <c r="C66" s="831">
        <v>1.7</v>
      </c>
      <c r="D66" s="830">
        <v>280.85</v>
      </c>
      <c r="E66" s="831">
        <v>9.8</v>
      </c>
      <c r="F66" s="508" t="s">
        <v>4555</v>
      </c>
      <c r="G66" s="512">
        <v>8.5</v>
      </c>
      <c r="H66" s="512">
        <v>9.5</v>
      </c>
      <c r="I66" s="833">
        <v>9.0</v>
      </c>
      <c r="J66" s="862">
        <v>7.38</v>
      </c>
      <c r="K66" s="833">
        <v>2804.5</v>
      </c>
      <c r="L66" s="508" t="s">
        <v>4570</v>
      </c>
      <c r="M66" s="512">
        <v>13.4</v>
      </c>
      <c r="N66" s="512">
        <v>14.9</v>
      </c>
      <c r="O66" s="833">
        <v>14.15</v>
      </c>
      <c r="P66" s="862">
        <v>11.383</v>
      </c>
      <c r="Q66" s="851">
        <v>4325.5</v>
      </c>
      <c r="R66" s="510" t="s">
        <v>4586</v>
      </c>
      <c r="S66" s="834">
        <v>16.5</v>
      </c>
      <c r="T66" s="834">
        <v>18.3</v>
      </c>
      <c r="U66" s="832">
        <v>17.4</v>
      </c>
      <c r="V66" s="835">
        <v>13.827</v>
      </c>
      <c r="W66" s="833">
        <v>5254.25</v>
      </c>
      <c r="X66" s="510" t="s">
        <v>4611</v>
      </c>
      <c r="Y66" s="834">
        <v>20.6</v>
      </c>
      <c r="Z66" s="834">
        <v>22.8</v>
      </c>
      <c r="AA66" s="832">
        <f t="shared" si="15"/>
        <v>21.7</v>
      </c>
      <c r="AB66" s="835">
        <f t="shared" si="16"/>
        <v>16.96244142</v>
      </c>
      <c r="AC66" s="833">
        <v>6445.75</v>
      </c>
      <c r="AD66" s="510" t="s">
        <v>4630</v>
      </c>
      <c r="AE66" s="834">
        <v>25.5</v>
      </c>
      <c r="AF66" s="834">
        <v>28.2</v>
      </c>
      <c r="AG66" s="832">
        <f t="shared" si="11"/>
        <v>26.85</v>
      </c>
      <c r="AH66" s="835">
        <f t="shared" si="12"/>
        <v>20.57100077</v>
      </c>
      <c r="AI66" s="833">
        <v>7817.0</v>
      </c>
      <c r="AJ66" s="510" t="s">
        <v>4648</v>
      </c>
      <c r="AK66" s="834">
        <v>31.2</v>
      </c>
      <c r="AL66" s="834">
        <v>34.5</v>
      </c>
      <c r="AM66" s="832">
        <f t="shared" si="13"/>
        <v>32.85</v>
      </c>
      <c r="AN66" s="835">
        <f t="shared" si="14"/>
        <v>24.57335578</v>
      </c>
      <c r="AO66" s="833">
        <v>9337.75</v>
      </c>
    </row>
    <row r="67">
      <c r="A67" s="242"/>
      <c r="B67" s="829">
        <v>315.0</v>
      </c>
      <c r="C67" s="831">
        <v>1.9</v>
      </c>
      <c r="D67" s="830">
        <v>315.93</v>
      </c>
      <c r="E67" s="831">
        <v>11.1</v>
      </c>
      <c r="F67" s="508" t="s">
        <v>4556</v>
      </c>
      <c r="G67" s="512">
        <v>9.6</v>
      </c>
      <c r="H67" s="512">
        <v>10.7</v>
      </c>
      <c r="I67" s="833">
        <v>10.15</v>
      </c>
      <c r="J67" s="862">
        <v>9.362</v>
      </c>
      <c r="K67" s="833">
        <v>3557.5</v>
      </c>
      <c r="L67" s="508" t="s">
        <v>4571</v>
      </c>
      <c r="M67" s="512">
        <v>15.0</v>
      </c>
      <c r="N67" s="512">
        <v>16.6</v>
      </c>
      <c r="O67" s="833">
        <v>15.8</v>
      </c>
      <c r="P67" s="862">
        <v>14.304</v>
      </c>
      <c r="Q67" s="851">
        <v>5435.5</v>
      </c>
      <c r="R67" s="510" t="s">
        <v>4587</v>
      </c>
      <c r="S67" s="834">
        <v>18.6</v>
      </c>
      <c r="T67" s="834">
        <v>20.6</v>
      </c>
      <c r="U67" s="832">
        <v>19.6</v>
      </c>
      <c r="V67" s="835">
        <v>17.519</v>
      </c>
      <c r="W67" s="833">
        <v>6657.25</v>
      </c>
      <c r="X67" s="510" t="s">
        <v>4613</v>
      </c>
      <c r="Y67" s="834">
        <v>23.2</v>
      </c>
      <c r="Z67" s="834">
        <v>25.7</v>
      </c>
      <c r="AA67" s="832">
        <f t="shared" si="15"/>
        <v>24.45</v>
      </c>
      <c r="AB67" s="835">
        <f t="shared" si="16"/>
        <v>21.49636552</v>
      </c>
      <c r="AC67" s="833">
        <v>8168.75</v>
      </c>
      <c r="AD67" s="510" t="s">
        <v>4631</v>
      </c>
      <c r="AE67" s="834">
        <v>28.7</v>
      </c>
      <c r="AF67" s="834">
        <v>31.7</v>
      </c>
      <c r="AG67" s="832">
        <f t="shared" si="11"/>
        <v>30.2</v>
      </c>
      <c r="AH67" s="835">
        <f t="shared" si="12"/>
        <v>26.02796403</v>
      </c>
      <c r="AI67" s="833">
        <v>9890.75</v>
      </c>
      <c r="AJ67" s="510" t="s">
        <v>4649</v>
      </c>
      <c r="AK67" s="834">
        <v>35.0</v>
      </c>
      <c r="AL67" s="834">
        <v>38.6</v>
      </c>
      <c r="AM67" s="832">
        <f t="shared" si="13"/>
        <v>36.8</v>
      </c>
      <c r="AN67" s="835">
        <f t="shared" si="14"/>
        <v>30.98359078</v>
      </c>
      <c r="AO67" s="833">
        <v>11773.75</v>
      </c>
    </row>
    <row r="68">
      <c r="A68" s="242"/>
      <c r="B68" s="13"/>
      <c r="C68" s="242"/>
      <c r="D68" s="242"/>
      <c r="E68" s="242"/>
      <c r="F68" s="242"/>
      <c r="G68" s="13"/>
      <c r="H68" s="13"/>
      <c r="I68" s="13"/>
      <c r="J68" s="13"/>
      <c r="K68" s="13"/>
      <c r="L68" s="242"/>
      <c r="M68" s="242"/>
      <c r="N68" s="242"/>
      <c r="O68" s="242"/>
      <c r="P68" s="242"/>
      <c r="Q68" s="525"/>
      <c r="R68" s="242"/>
      <c r="S68" s="242"/>
      <c r="T68" s="242"/>
      <c r="U68" s="242"/>
      <c r="V68" s="242"/>
      <c r="W68" s="242"/>
      <c r="X68" s="242"/>
      <c r="Y68" s="242"/>
      <c r="Z68" s="242"/>
      <c r="AA68" s="242"/>
      <c r="AB68" s="242"/>
      <c r="AC68" s="242"/>
      <c r="AD68" s="242"/>
      <c r="AE68" s="242"/>
      <c r="AF68" s="242"/>
      <c r="AG68" s="242"/>
      <c r="AH68" s="242"/>
      <c r="AI68" s="242"/>
      <c r="AJ68" s="13"/>
      <c r="AK68" s="242"/>
      <c r="AL68" s="242"/>
      <c r="AM68" s="242"/>
      <c r="AN68" s="242"/>
      <c r="AO68" s="242"/>
    </row>
    <row r="69">
      <c r="A69" s="242"/>
      <c r="B69" s="13"/>
      <c r="C69" s="242"/>
      <c r="D69" s="242"/>
      <c r="E69" s="242"/>
      <c r="F69" s="242"/>
      <c r="G69" s="13"/>
      <c r="H69" s="13"/>
      <c r="I69" s="13"/>
      <c r="J69" s="13"/>
      <c r="K69" s="13"/>
      <c r="L69" s="242"/>
      <c r="M69" s="242"/>
      <c r="N69" s="242"/>
      <c r="O69" s="242"/>
      <c r="P69" s="242"/>
      <c r="Q69" s="525"/>
      <c r="R69" s="242"/>
      <c r="S69" s="242"/>
      <c r="T69" s="242"/>
      <c r="U69" s="242"/>
      <c r="V69" s="242"/>
      <c r="W69" s="242"/>
      <c r="X69" s="242"/>
      <c r="Y69" s="242"/>
      <c r="Z69" s="242"/>
      <c r="AA69" s="242"/>
      <c r="AB69" s="242"/>
      <c r="AC69" s="242"/>
      <c r="AD69" s="242"/>
      <c r="AE69" s="242"/>
      <c r="AF69" s="242"/>
      <c r="AG69" s="242"/>
      <c r="AH69" s="242"/>
      <c r="AI69" s="242"/>
      <c r="AJ69" s="13"/>
      <c r="AK69" s="242"/>
      <c r="AL69" s="242"/>
      <c r="AM69" s="242"/>
      <c r="AN69" s="242"/>
      <c r="AO69" s="242"/>
    </row>
    <row r="70">
      <c r="A70" s="242"/>
      <c r="B70" s="13"/>
      <c r="C70" s="242"/>
      <c r="D70" s="242"/>
      <c r="E70" s="242"/>
      <c r="F70" s="242"/>
      <c r="G70" s="13"/>
      <c r="H70" s="13"/>
      <c r="I70" s="13"/>
      <c r="J70" s="13"/>
      <c r="K70" s="13"/>
      <c r="L70" s="242"/>
      <c r="M70" s="242"/>
      <c r="N70" s="242"/>
      <c r="O70" s="242"/>
      <c r="P70" s="242"/>
      <c r="Q70" s="525"/>
      <c r="R70" s="242"/>
      <c r="S70" s="242"/>
      <c r="T70" s="242"/>
      <c r="U70" s="242"/>
      <c r="V70" s="242"/>
      <c r="W70" s="242"/>
      <c r="X70" s="242"/>
      <c r="Y70" s="242"/>
      <c r="Z70" s="242"/>
      <c r="AA70" s="242"/>
      <c r="AB70" s="242"/>
      <c r="AC70" s="242"/>
      <c r="AD70" s="242"/>
      <c r="AE70" s="242"/>
      <c r="AF70" s="242"/>
      <c r="AG70" s="242"/>
      <c r="AH70" s="242"/>
      <c r="AI70" s="242"/>
      <c r="AJ70" s="13"/>
      <c r="AK70" s="242"/>
      <c r="AL70" s="242"/>
      <c r="AM70" s="242"/>
      <c r="AN70" s="242"/>
      <c r="AO70" s="242"/>
    </row>
    <row r="71">
      <c r="A71" s="242"/>
      <c r="B71" s="13"/>
      <c r="C71" s="242"/>
      <c r="D71" s="242"/>
      <c r="E71" s="242"/>
      <c r="F71" s="242"/>
      <c r="G71" s="13"/>
      <c r="H71" s="13"/>
      <c r="I71" s="13"/>
      <c r="J71" s="13"/>
      <c r="K71" s="13"/>
      <c r="L71" s="242"/>
      <c r="M71" s="242"/>
      <c r="N71" s="242"/>
      <c r="O71" s="242"/>
      <c r="P71" s="242"/>
      <c r="Q71" s="525"/>
      <c r="R71" s="242"/>
      <c r="S71" s="242"/>
      <c r="T71" s="242"/>
      <c r="U71" s="242"/>
      <c r="V71" s="242"/>
      <c r="W71" s="242"/>
      <c r="X71" s="242"/>
      <c r="Y71" s="242"/>
      <c r="Z71" s="242"/>
      <c r="AA71" s="242"/>
      <c r="AB71" s="242"/>
      <c r="AC71" s="242"/>
      <c r="AD71" s="242"/>
      <c r="AE71" s="242"/>
      <c r="AF71" s="242"/>
      <c r="AG71" s="242"/>
      <c r="AH71" s="242"/>
      <c r="AI71" s="242"/>
      <c r="AJ71" s="13"/>
      <c r="AK71" s="242"/>
      <c r="AL71" s="242"/>
      <c r="AM71" s="242"/>
      <c r="AN71" s="242"/>
      <c r="AO71" s="242"/>
    </row>
    <row r="72">
      <c r="A72" s="242"/>
      <c r="B72" s="13"/>
      <c r="C72" s="242"/>
      <c r="D72" s="242"/>
      <c r="E72" s="242"/>
      <c r="F72" s="242"/>
      <c r="G72" s="13"/>
      <c r="H72" s="13"/>
      <c r="I72" s="13"/>
      <c r="J72" s="13"/>
      <c r="K72" s="13"/>
      <c r="L72" s="242"/>
      <c r="M72" s="242"/>
      <c r="N72" s="242"/>
      <c r="O72" s="242"/>
      <c r="P72" s="242"/>
      <c r="Q72" s="525"/>
      <c r="R72" s="242"/>
      <c r="S72" s="242"/>
      <c r="T72" s="242"/>
      <c r="U72" s="242"/>
      <c r="V72" s="242"/>
      <c r="W72" s="242"/>
      <c r="X72" s="242"/>
      <c r="Y72" s="242"/>
      <c r="Z72" s="242"/>
      <c r="AA72" s="242"/>
      <c r="AB72" s="242"/>
      <c r="AC72" s="242"/>
      <c r="AD72" s="242"/>
      <c r="AE72" s="242"/>
      <c r="AF72" s="242"/>
      <c r="AG72" s="242"/>
      <c r="AH72" s="242"/>
      <c r="AI72" s="242"/>
      <c r="AJ72" s="13"/>
      <c r="AK72" s="242"/>
      <c r="AL72" s="242"/>
      <c r="AM72" s="242"/>
      <c r="AN72" s="242"/>
      <c r="AO72" s="242"/>
    </row>
    <row r="73">
      <c r="A73" s="242"/>
      <c r="B73" s="13"/>
      <c r="C73" s="242"/>
      <c r="D73" s="242"/>
      <c r="E73" s="242"/>
      <c r="F73" s="242"/>
      <c r="G73" s="13"/>
      <c r="H73" s="13"/>
      <c r="I73" s="13"/>
      <c r="J73" s="13"/>
      <c r="K73" s="13"/>
      <c r="L73" s="242"/>
      <c r="M73" s="242"/>
      <c r="N73" s="242"/>
      <c r="O73" s="242"/>
      <c r="P73" s="242"/>
      <c r="Q73" s="525"/>
      <c r="R73" s="242"/>
      <c r="S73" s="242"/>
      <c r="T73" s="242"/>
      <c r="U73" s="242"/>
      <c r="V73" s="242"/>
      <c r="W73" s="242"/>
      <c r="X73" s="242"/>
      <c r="Y73" s="242"/>
      <c r="Z73" s="242"/>
      <c r="AA73" s="242"/>
      <c r="AB73" s="242"/>
      <c r="AC73" s="242"/>
      <c r="AD73" s="242"/>
      <c r="AE73" s="242"/>
      <c r="AF73" s="242"/>
      <c r="AG73" s="242"/>
      <c r="AH73" s="242"/>
      <c r="AI73" s="242"/>
      <c r="AJ73" s="13"/>
      <c r="AK73" s="242"/>
      <c r="AL73" s="242"/>
      <c r="AM73" s="242"/>
      <c r="AN73" s="242"/>
      <c r="AO73" s="242"/>
    </row>
    <row r="74">
      <c r="A74" s="242"/>
      <c r="B74" s="13"/>
      <c r="C74" s="242"/>
      <c r="D74" s="242"/>
      <c r="E74" s="242"/>
      <c r="F74" s="242"/>
      <c r="G74" s="13"/>
      <c r="H74" s="13"/>
      <c r="I74" s="13"/>
      <c r="J74" s="13"/>
      <c r="K74" s="13"/>
      <c r="L74" s="242"/>
      <c r="M74" s="242"/>
      <c r="N74" s="242"/>
      <c r="O74" s="242"/>
      <c r="P74" s="242"/>
      <c r="Q74" s="525"/>
      <c r="R74" s="242"/>
      <c r="S74" s="242"/>
      <c r="T74" s="242"/>
      <c r="U74" s="242"/>
      <c r="V74" s="242"/>
      <c r="W74" s="242"/>
      <c r="X74" s="242"/>
      <c r="Y74" s="242"/>
      <c r="Z74" s="242"/>
      <c r="AA74" s="242"/>
      <c r="AB74" s="242"/>
      <c r="AC74" s="242"/>
      <c r="AD74" s="242"/>
      <c r="AE74" s="242"/>
      <c r="AF74" s="242"/>
      <c r="AG74" s="242"/>
      <c r="AH74" s="242"/>
      <c r="AI74" s="242"/>
      <c r="AJ74" s="13"/>
      <c r="AK74" s="242"/>
      <c r="AL74" s="242"/>
      <c r="AM74" s="242"/>
      <c r="AN74" s="242"/>
      <c r="AO74" s="242"/>
    </row>
    <row r="75">
      <c r="A75" s="242"/>
      <c r="B75" s="13"/>
      <c r="C75" s="242"/>
      <c r="D75" s="242"/>
      <c r="E75" s="242"/>
      <c r="F75" s="242"/>
      <c r="G75" s="13"/>
      <c r="H75" s="13"/>
      <c r="I75" s="13"/>
      <c r="J75" s="13"/>
      <c r="K75" s="13"/>
      <c r="L75" s="242"/>
      <c r="M75" s="242"/>
      <c r="N75" s="242"/>
      <c r="O75" s="242"/>
      <c r="P75" s="242"/>
      <c r="Q75" s="525"/>
      <c r="R75" s="242"/>
      <c r="S75" s="242"/>
      <c r="T75" s="242"/>
      <c r="U75" s="242"/>
      <c r="V75" s="242"/>
      <c r="W75" s="242"/>
      <c r="X75" s="242"/>
      <c r="Y75" s="242"/>
      <c r="Z75" s="242"/>
      <c r="AA75" s="242"/>
      <c r="AB75" s="242"/>
      <c r="AC75" s="242"/>
      <c r="AD75" s="242"/>
      <c r="AE75" s="242"/>
      <c r="AF75" s="242"/>
      <c r="AG75" s="242"/>
      <c r="AH75" s="242"/>
      <c r="AI75" s="242"/>
      <c r="AJ75" s="13"/>
      <c r="AK75" s="242"/>
      <c r="AL75" s="242"/>
      <c r="AM75" s="242"/>
      <c r="AN75" s="242"/>
      <c r="AO75" s="242"/>
    </row>
    <row r="76">
      <c r="A76" s="242"/>
      <c r="B76" s="13"/>
      <c r="C76" s="242"/>
      <c r="D76" s="242"/>
      <c r="E76" s="242"/>
      <c r="F76" s="242"/>
      <c r="G76" s="13"/>
      <c r="H76" s="13"/>
      <c r="I76" s="13"/>
      <c r="J76" s="13"/>
      <c r="K76" s="13"/>
      <c r="L76" s="242"/>
      <c r="M76" s="242"/>
      <c r="N76" s="242"/>
      <c r="O76" s="242"/>
      <c r="P76" s="242"/>
      <c r="Q76" s="525"/>
      <c r="R76" s="242"/>
      <c r="S76" s="242"/>
      <c r="T76" s="242"/>
      <c r="U76" s="242"/>
      <c r="V76" s="242"/>
      <c r="W76" s="242"/>
      <c r="X76" s="242"/>
      <c r="Y76" s="242"/>
      <c r="Z76" s="242"/>
      <c r="AA76" s="242"/>
      <c r="AB76" s="242"/>
      <c r="AC76" s="242"/>
      <c r="AD76" s="242"/>
      <c r="AE76" s="242"/>
      <c r="AF76" s="242"/>
      <c r="AG76" s="242"/>
      <c r="AH76" s="242"/>
      <c r="AI76" s="242"/>
      <c r="AJ76" s="13"/>
      <c r="AK76" s="242"/>
      <c r="AL76" s="242"/>
      <c r="AM76" s="242"/>
      <c r="AN76" s="242"/>
      <c r="AO76" s="242"/>
    </row>
    <row r="77">
      <c r="A77" s="242"/>
      <c r="B77" s="13"/>
      <c r="C77" s="242"/>
      <c r="D77" s="242"/>
      <c r="E77" s="242"/>
      <c r="F77" s="242"/>
      <c r="G77" s="13"/>
      <c r="H77" s="13"/>
      <c r="I77" s="13"/>
      <c r="J77" s="13"/>
      <c r="K77" s="13"/>
      <c r="L77" s="242"/>
      <c r="M77" s="242"/>
      <c r="N77" s="242"/>
      <c r="O77" s="242"/>
      <c r="P77" s="242"/>
      <c r="Q77" s="525"/>
      <c r="R77" s="242"/>
      <c r="S77" s="242"/>
      <c r="T77" s="242"/>
      <c r="U77" s="242"/>
      <c r="V77" s="242"/>
      <c r="W77" s="242"/>
      <c r="X77" s="242"/>
      <c r="Y77" s="242"/>
      <c r="Z77" s="242"/>
      <c r="AA77" s="242"/>
      <c r="AB77" s="242"/>
      <c r="AC77" s="242"/>
      <c r="AD77" s="242"/>
      <c r="AE77" s="242"/>
      <c r="AF77" s="242"/>
      <c r="AG77" s="242"/>
      <c r="AH77" s="242"/>
      <c r="AI77" s="242"/>
      <c r="AJ77" s="13"/>
      <c r="AK77" s="242"/>
      <c r="AL77" s="242"/>
      <c r="AM77" s="242"/>
      <c r="AN77" s="242"/>
      <c r="AO77" s="242"/>
    </row>
    <row r="78">
      <c r="A78" s="242"/>
      <c r="B78" s="13"/>
      <c r="C78" s="242"/>
      <c r="D78" s="242"/>
      <c r="E78" s="242"/>
      <c r="F78" s="242"/>
      <c r="G78" s="13"/>
      <c r="H78" s="13"/>
      <c r="I78" s="13"/>
      <c r="J78" s="13"/>
      <c r="K78" s="13"/>
      <c r="L78" s="242"/>
      <c r="M78" s="242"/>
      <c r="N78" s="242"/>
      <c r="O78" s="242"/>
      <c r="P78" s="242"/>
      <c r="Q78" s="525"/>
      <c r="R78" s="242"/>
      <c r="S78" s="242"/>
      <c r="T78" s="242"/>
      <c r="U78" s="242"/>
      <c r="V78" s="242"/>
      <c r="W78" s="242"/>
      <c r="X78" s="242"/>
      <c r="Y78" s="242"/>
      <c r="Z78" s="242"/>
      <c r="AA78" s="242"/>
      <c r="AB78" s="242"/>
      <c r="AC78" s="242"/>
      <c r="AD78" s="242"/>
      <c r="AE78" s="242"/>
      <c r="AF78" s="242"/>
      <c r="AG78" s="242"/>
      <c r="AH78" s="242"/>
      <c r="AI78" s="242"/>
      <c r="AJ78" s="13"/>
      <c r="AK78" s="242"/>
      <c r="AL78" s="242"/>
      <c r="AM78" s="242"/>
      <c r="AN78" s="242"/>
      <c r="AO78" s="242"/>
    </row>
    <row r="79">
      <c r="A79" s="242"/>
      <c r="B79" s="13"/>
      <c r="C79" s="242"/>
      <c r="D79" s="242"/>
      <c r="E79" s="242"/>
      <c r="F79" s="242"/>
      <c r="G79" s="13"/>
      <c r="H79" s="13"/>
      <c r="I79" s="13"/>
      <c r="J79" s="13"/>
      <c r="K79" s="13"/>
      <c r="L79" s="242"/>
      <c r="M79" s="242"/>
      <c r="N79" s="242"/>
      <c r="O79" s="242"/>
      <c r="P79" s="242"/>
      <c r="Q79" s="525"/>
      <c r="R79" s="242"/>
      <c r="S79" s="242"/>
      <c r="T79" s="242"/>
      <c r="U79" s="242"/>
      <c r="V79" s="242"/>
      <c r="W79" s="242"/>
      <c r="X79" s="242"/>
      <c r="Y79" s="242"/>
      <c r="Z79" s="242"/>
      <c r="AA79" s="242"/>
      <c r="AB79" s="242"/>
      <c r="AC79" s="242"/>
      <c r="AD79" s="242"/>
      <c r="AE79" s="242"/>
      <c r="AF79" s="242"/>
      <c r="AG79" s="242"/>
      <c r="AH79" s="242"/>
      <c r="AI79" s="242"/>
      <c r="AJ79" s="13"/>
      <c r="AK79" s="242"/>
      <c r="AL79" s="242"/>
      <c r="AM79" s="242"/>
      <c r="AN79" s="242"/>
      <c r="AO79" s="242"/>
    </row>
    <row r="80">
      <c r="A80" s="242"/>
      <c r="B80" s="13"/>
      <c r="C80" s="242"/>
      <c r="D80" s="242"/>
      <c r="E80" s="242"/>
      <c r="F80" s="242"/>
      <c r="G80" s="13"/>
      <c r="H80" s="13"/>
      <c r="I80" s="13"/>
      <c r="J80" s="13"/>
      <c r="K80" s="13"/>
      <c r="L80" s="242"/>
      <c r="M80" s="242"/>
      <c r="N80" s="242"/>
      <c r="O80" s="242"/>
      <c r="P80" s="242"/>
      <c r="Q80" s="525"/>
      <c r="R80" s="242"/>
      <c r="S80" s="242"/>
      <c r="T80" s="242"/>
      <c r="U80" s="242"/>
      <c r="V80" s="242"/>
      <c r="W80" s="242"/>
      <c r="X80" s="242"/>
      <c r="Y80" s="242"/>
      <c r="Z80" s="242"/>
      <c r="AA80" s="242"/>
      <c r="AB80" s="242"/>
      <c r="AC80" s="242"/>
      <c r="AD80" s="242"/>
      <c r="AE80" s="242"/>
      <c r="AF80" s="242"/>
      <c r="AG80" s="242"/>
      <c r="AH80" s="242"/>
      <c r="AI80" s="242"/>
      <c r="AJ80" s="13"/>
      <c r="AK80" s="242"/>
      <c r="AL80" s="242"/>
      <c r="AM80" s="242"/>
      <c r="AN80" s="242"/>
      <c r="AO80" s="242"/>
    </row>
    <row r="81">
      <c r="A81" s="242"/>
      <c r="B81" s="13"/>
      <c r="C81" s="242"/>
      <c r="D81" s="242"/>
      <c r="E81" s="242"/>
      <c r="F81" s="242"/>
      <c r="G81" s="13"/>
      <c r="H81" s="13"/>
      <c r="I81" s="13"/>
      <c r="J81" s="13"/>
      <c r="K81" s="13"/>
      <c r="L81" s="242"/>
      <c r="M81" s="242"/>
      <c r="N81" s="242"/>
      <c r="O81" s="242"/>
      <c r="P81" s="242"/>
      <c r="Q81" s="525"/>
      <c r="R81" s="242"/>
      <c r="S81" s="242"/>
      <c r="T81" s="242"/>
      <c r="U81" s="242"/>
      <c r="V81" s="242"/>
      <c r="W81" s="242"/>
      <c r="X81" s="242"/>
      <c r="Y81" s="242"/>
      <c r="Z81" s="242"/>
      <c r="AA81" s="242"/>
      <c r="AB81" s="242"/>
      <c r="AC81" s="242"/>
      <c r="AD81" s="242"/>
      <c r="AE81" s="242"/>
      <c r="AF81" s="242"/>
      <c r="AG81" s="242"/>
      <c r="AH81" s="242"/>
      <c r="AI81" s="242"/>
      <c r="AJ81" s="13"/>
      <c r="AK81" s="242"/>
      <c r="AL81" s="242"/>
      <c r="AM81" s="242"/>
      <c r="AN81" s="242"/>
      <c r="AO81" s="242"/>
    </row>
    <row r="82">
      <c r="A82" s="242"/>
      <c r="B82" s="13"/>
      <c r="C82" s="242"/>
      <c r="D82" s="242"/>
      <c r="E82" s="242"/>
      <c r="F82" s="242"/>
      <c r="G82" s="13"/>
      <c r="H82" s="13"/>
      <c r="I82" s="13"/>
      <c r="J82" s="13"/>
      <c r="K82" s="13"/>
      <c r="L82" s="242"/>
      <c r="M82" s="242"/>
      <c r="N82" s="242"/>
      <c r="O82" s="242"/>
      <c r="P82" s="242"/>
      <c r="Q82" s="525"/>
      <c r="R82" s="242"/>
      <c r="S82" s="242"/>
      <c r="T82" s="242"/>
      <c r="U82" s="242"/>
      <c r="V82" s="242"/>
      <c r="W82" s="242"/>
      <c r="X82" s="242"/>
      <c r="Y82" s="242"/>
      <c r="Z82" s="242"/>
      <c r="AA82" s="242"/>
      <c r="AB82" s="242"/>
      <c r="AC82" s="242"/>
      <c r="AD82" s="242"/>
      <c r="AE82" s="242"/>
      <c r="AF82" s="242"/>
      <c r="AG82" s="242"/>
      <c r="AH82" s="242"/>
      <c r="AI82" s="242"/>
      <c r="AJ82" s="13"/>
      <c r="AK82" s="242"/>
      <c r="AL82" s="242"/>
      <c r="AM82" s="242"/>
      <c r="AN82" s="242"/>
      <c r="AO82" s="242"/>
    </row>
    <row r="83">
      <c r="A83" s="242"/>
      <c r="B83" s="13"/>
      <c r="C83" s="242"/>
      <c r="D83" s="242"/>
      <c r="E83" s="242"/>
      <c r="F83" s="242"/>
      <c r="G83" s="13"/>
      <c r="H83" s="13"/>
      <c r="I83" s="13"/>
      <c r="J83" s="13"/>
      <c r="K83" s="13"/>
      <c r="L83" s="242"/>
      <c r="M83" s="242"/>
      <c r="N83" s="242"/>
      <c r="O83" s="242"/>
      <c r="P83" s="242"/>
      <c r="Q83" s="525"/>
      <c r="R83" s="242"/>
      <c r="S83" s="242"/>
      <c r="T83" s="242"/>
      <c r="U83" s="242"/>
      <c r="V83" s="242"/>
      <c r="W83" s="242"/>
      <c r="X83" s="242"/>
      <c r="Y83" s="242"/>
      <c r="Z83" s="242"/>
      <c r="AA83" s="242"/>
      <c r="AB83" s="242"/>
      <c r="AC83" s="242"/>
      <c r="AD83" s="242"/>
      <c r="AE83" s="242"/>
      <c r="AF83" s="242"/>
      <c r="AG83" s="242"/>
      <c r="AH83" s="242"/>
      <c r="AI83" s="242"/>
      <c r="AJ83" s="13"/>
      <c r="AK83" s="242"/>
      <c r="AL83" s="242"/>
      <c r="AM83" s="242"/>
      <c r="AN83" s="242"/>
      <c r="AO83" s="242"/>
    </row>
    <row r="84">
      <c r="A84" s="242"/>
      <c r="B84" s="13"/>
      <c r="C84" s="242"/>
      <c r="D84" s="242"/>
      <c r="E84" s="242"/>
      <c r="F84" s="242"/>
      <c r="G84" s="13"/>
      <c r="H84" s="13"/>
      <c r="I84" s="13"/>
      <c r="J84" s="13"/>
      <c r="K84" s="13"/>
      <c r="L84" s="242"/>
      <c r="M84" s="242"/>
      <c r="N84" s="242"/>
      <c r="O84" s="242"/>
      <c r="P84" s="242"/>
      <c r="Q84" s="525"/>
      <c r="R84" s="242"/>
      <c r="S84" s="242"/>
      <c r="T84" s="242"/>
      <c r="U84" s="242"/>
      <c r="V84" s="242"/>
      <c r="W84" s="242"/>
      <c r="X84" s="242"/>
      <c r="Y84" s="242"/>
      <c r="Z84" s="242"/>
      <c r="AA84" s="242"/>
      <c r="AB84" s="242"/>
      <c r="AC84" s="242"/>
      <c r="AD84" s="242"/>
      <c r="AE84" s="242"/>
      <c r="AF84" s="242"/>
      <c r="AG84" s="242"/>
      <c r="AH84" s="242"/>
      <c r="AI84" s="242"/>
      <c r="AJ84" s="13"/>
      <c r="AK84" s="242"/>
      <c r="AL84" s="242"/>
      <c r="AM84" s="242"/>
      <c r="AN84" s="242"/>
      <c r="AO84" s="242"/>
    </row>
    <row r="85">
      <c r="A85" s="242"/>
      <c r="B85" s="13"/>
      <c r="C85" s="242"/>
      <c r="D85" s="242"/>
      <c r="E85" s="242"/>
      <c r="F85" s="242"/>
      <c r="G85" s="13"/>
      <c r="H85" s="13"/>
      <c r="I85" s="13"/>
      <c r="J85" s="13"/>
      <c r="K85" s="13"/>
      <c r="L85" s="242"/>
      <c r="M85" s="242"/>
      <c r="N85" s="242"/>
      <c r="O85" s="242"/>
      <c r="P85" s="242"/>
      <c r="Q85" s="525"/>
      <c r="R85" s="242"/>
      <c r="S85" s="242"/>
      <c r="T85" s="242"/>
      <c r="U85" s="242"/>
      <c r="V85" s="242"/>
      <c r="W85" s="242"/>
      <c r="X85" s="242"/>
      <c r="Y85" s="242"/>
      <c r="Z85" s="242"/>
      <c r="AA85" s="242"/>
      <c r="AB85" s="242"/>
      <c r="AC85" s="242"/>
      <c r="AD85" s="242"/>
      <c r="AE85" s="242"/>
      <c r="AF85" s="242"/>
      <c r="AG85" s="242"/>
      <c r="AH85" s="242"/>
      <c r="AI85" s="242"/>
      <c r="AJ85" s="13"/>
      <c r="AK85" s="242"/>
      <c r="AL85" s="242"/>
      <c r="AM85" s="242"/>
      <c r="AN85" s="242"/>
      <c r="AO85" s="242"/>
    </row>
    <row r="86">
      <c r="A86" s="242"/>
      <c r="B86" s="13"/>
      <c r="C86" s="242"/>
      <c r="D86" s="242"/>
      <c r="E86" s="242"/>
      <c r="F86" s="242"/>
      <c r="G86" s="13"/>
      <c r="H86" s="13"/>
      <c r="I86" s="13"/>
      <c r="J86" s="13"/>
      <c r="K86" s="13"/>
      <c r="L86" s="242"/>
      <c r="M86" s="242"/>
      <c r="N86" s="242"/>
      <c r="O86" s="242"/>
      <c r="P86" s="242"/>
      <c r="Q86" s="525"/>
      <c r="R86" s="242"/>
      <c r="S86" s="242"/>
      <c r="T86" s="242"/>
      <c r="U86" s="242"/>
      <c r="V86" s="242"/>
      <c r="W86" s="242"/>
      <c r="X86" s="242"/>
      <c r="Y86" s="242"/>
      <c r="Z86" s="242"/>
      <c r="AA86" s="242"/>
      <c r="AB86" s="242"/>
      <c r="AC86" s="242"/>
      <c r="AD86" s="242"/>
      <c r="AE86" s="242"/>
      <c r="AF86" s="242"/>
      <c r="AG86" s="242"/>
      <c r="AH86" s="242"/>
      <c r="AI86" s="242"/>
      <c r="AJ86" s="13"/>
      <c r="AK86" s="242"/>
      <c r="AL86" s="242"/>
      <c r="AM86" s="242"/>
      <c r="AN86" s="242"/>
      <c r="AO86" s="242"/>
    </row>
    <row r="87">
      <c r="A87" s="242"/>
      <c r="B87" s="13"/>
      <c r="C87" s="242"/>
      <c r="D87" s="242"/>
      <c r="E87" s="242"/>
      <c r="F87" s="242"/>
      <c r="G87" s="13"/>
      <c r="H87" s="13"/>
      <c r="I87" s="13"/>
      <c r="J87" s="13"/>
      <c r="K87" s="13"/>
      <c r="L87" s="242"/>
      <c r="M87" s="242"/>
      <c r="N87" s="242"/>
      <c r="O87" s="242"/>
      <c r="P87" s="242"/>
      <c r="Q87" s="525"/>
      <c r="R87" s="242"/>
      <c r="S87" s="242"/>
      <c r="T87" s="242"/>
      <c r="U87" s="242"/>
      <c r="V87" s="242"/>
      <c r="W87" s="242"/>
      <c r="X87" s="242"/>
      <c r="Y87" s="242"/>
      <c r="Z87" s="242"/>
      <c r="AA87" s="242"/>
      <c r="AB87" s="242"/>
      <c r="AC87" s="242"/>
      <c r="AD87" s="242"/>
      <c r="AE87" s="242"/>
      <c r="AF87" s="242"/>
      <c r="AG87" s="242"/>
      <c r="AH87" s="242"/>
      <c r="AI87" s="242"/>
      <c r="AJ87" s="13"/>
      <c r="AK87" s="242"/>
      <c r="AL87" s="242"/>
      <c r="AM87" s="242"/>
      <c r="AN87" s="242"/>
      <c r="AO87" s="242"/>
    </row>
    <row r="88">
      <c r="A88" s="242"/>
      <c r="B88" s="13"/>
      <c r="C88" s="242"/>
      <c r="D88" s="242"/>
      <c r="E88" s="242"/>
      <c r="F88" s="242"/>
      <c r="G88" s="13"/>
      <c r="H88" s="13"/>
      <c r="I88" s="13"/>
      <c r="J88" s="13"/>
      <c r="K88" s="13"/>
      <c r="L88" s="242"/>
      <c r="M88" s="242"/>
      <c r="N88" s="242"/>
      <c r="O88" s="242"/>
      <c r="P88" s="242"/>
      <c r="Q88" s="525"/>
      <c r="R88" s="242"/>
      <c r="S88" s="242"/>
      <c r="T88" s="242"/>
      <c r="U88" s="242"/>
      <c r="V88" s="242"/>
      <c r="W88" s="242"/>
      <c r="X88" s="242"/>
      <c r="Y88" s="242"/>
      <c r="Z88" s="242"/>
      <c r="AA88" s="242"/>
      <c r="AB88" s="242"/>
      <c r="AC88" s="242"/>
      <c r="AD88" s="242"/>
      <c r="AE88" s="242"/>
      <c r="AF88" s="242"/>
      <c r="AG88" s="242"/>
      <c r="AH88" s="242"/>
      <c r="AI88" s="242"/>
      <c r="AJ88" s="13"/>
      <c r="AK88" s="242"/>
      <c r="AL88" s="242"/>
      <c r="AM88" s="242"/>
      <c r="AN88" s="242"/>
      <c r="AO88" s="242"/>
    </row>
    <row r="89">
      <c r="A89" s="242"/>
      <c r="B89" s="13"/>
      <c r="C89" s="242"/>
      <c r="D89" s="242"/>
      <c r="E89" s="242"/>
      <c r="F89" s="242"/>
      <c r="G89" s="13"/>
      <c r="H89" s="13"/>
      <c r="I89" s="13"/>
      <c r="J89" s="13"/>
      <c r="K89" s="13"/>
      <c r="L89" s="242"/>
      <c r="M89" s="242"/>
      <c r="N89" s="242"/>
      <c r="O89" s="242"/>
      <c r="P89" s="242"/>
      <c r="Q89" s="525"/>
      <c r="R89" s="242"/>
      <c r="S89" s="242"/>
      <c r="T89" s="242"/>
      <c r="U89" s="242"/>
      <c r="V89" s="242"/>
      <c r="W89" s="242"/>
      <c r="X89" s="242"/>
      <c r="Y89" s="242"/>
      <c r="Z89" s="242"/>
      <c r="AA89" s="242"/>
      <c r="AB89" s="242"/>
      <c r="AC89" s="242"/>
      <c r="AD89" s="242"/>
      <c r="AE89" s="242"/>
      <c r="AF89" s="242"/>
      <c r="AG89" s="242"/>
      <c r="AH89" s="242"/>
      <c r="AI89" s="242"/>
      <c r="AJ89" s="13"/>
      <c r="AK89" s="242"/>
      <c r="AL89" s="242"/>
      <c r="AM89" s="242"/>
      <c r="AN89" s="242"/>
      <c r="AO89" s="242"/>
    </row>
    <row r="90">
      <c r="A90" s="242"/>
      <c r="B90" s="13"/>
      <c r="C90" s="242"/>
      <c r="D90" s="242"/>
      <c r="E90" s="242"/>
      <c r="F90" s="242"/>
      <c r="G90" s="13"/>
      <c r="H90" s="13"/>
      <c r="I90" s="13"/>
      <c r="J90" s="13"/>
      <c r="K90" s="13"/>
      <c r="L90" s="242"/>
      <c r="M90" s="242"/>
      <c r="N90" s="242"/>
      <c r="O90" s="242"/>
      <c r="P90" s="242"/>
      <c r="Q90" s="525"/>
      <c r="R90" s="242"/>
      <c r="S90" s="242"/>
      <c r="T90" s="242"/>
      <c r="U90" s="242"/>
      <c r="V90" s="242"/>
      <c r="W90" s="242"/>
      <c r="X90" s="242"/>
      <c r="Y90" s="242"/>
      <c r="Z90" s="242"/>
      <c r="AA90" s="242"/>
      <c r="AB90" s="242"/>
      <c r="AC90" s="242"/>
      <c r="AD90" s="242"/>
      <c r="AE90" s="242"/>
      <c r="AF90" s="242"/>
      <c r="AG90" s="242"/>
      <c r="AH90" s="242"/>
      <c r="AI90" s="242"/>
      <c r="AJ90" s="13"/>
      <c r="AK90" s="242"/>
      <c r="AL90" s="242"/>
      <c r="AM90" s="242"/>
      <c r="AN90" s="242"/>
      <c r="AO90" s="242"/>
    </row>
    <row r="91">
      <c r="A91" s="242"/>
      <c r="B91" s="13"/>
      <c r="C91" s="242"/>
      <c r="D91" s="242"/>
      <c r="E91" s="242"/>
      <c r="F91" s="242"/>
      <c r="G91" s="13"/>
      <c r="H91" s="13"/>
      <c r="I91" s="13"/>
      <c r="J91" s="13"/>
      <c r="K91" s="13"/>
      <c r="L91" s="242"/>
      <c r="M91" s="242"/>
      <c r="N91" s="242"/>
      <c r="O91" s="242"/>
      <c r="P91" s="242"/>
      <c r="Q91" s="525"/>
      <c r="R91" s="242"/>
      <c r="S91" s="242"/>
      <c r="T91" s="242"/>
      <c r="U91" s="242"/>
      <c r="V91" s="242"/>
      <c r="W91" s="242"/>
      <c r="X91" s="242"/>
      <c r="Y91" s="242"/>
      <c r="Z91" s="242"/>
      <c r="AA91" s="242"/>
      <c r="AB91" s="242"/>
      <c r="AC91" s="242"/>
      <c r="AD91" s="242"/>
      <c r="AE91" s="242"/>
      <c r="AF91" s="242"/>
      <c r="AG91" s="242"/>
      <c r="AH91" s="242"/>
      <c r="AI91" s="242"/>
      <c r="AJ91" s="13"/>
      <c r="AK91" s="242"/>
      <c r="AL91" s="242"/>
      <c r="AM91" s="242"/>
      <c r="AN91" s="242"/>
      <c r="AO91" s="242"/>
    </row>
    <row r="92">
      <c r="A92" s="242"/>
      <c r="B92" s="13"/>
      <c r="C92" s="242"/>
      <c r="D92" s="242"/>
      <c r="E92" s="242"/>
      <c r="F92" s="242"/>
      <c r="G92" s="13"/>
      <c r="H92" s="13"/>
      <c r="I92" s="13"/>
      <c r="J92" s="13"/>
      <c r="K92" s="13"/>
      <c r="L92" s="242"/>
      <c r="M92" s="242"/>
      <c r="N92" s="242"/>
      <c r="O92" s="242"/>
      <c r="P92" s="242"/>
      <c r="Q92" s="525"/>
      <c r="R92" s="242"/>
      <c r="S92" s="242"/>
      <c r="T92" s="242"/>
      <c r="U92" s="242"/>
      <c r="V92" s="242"/>
      <c r="W92" s="242"/>
      <c r="X92" s="242"/>
      <c r="Y92" s="242"/>
      <c r="Z92" s="242"/>
      <c r="AA92" s="242"/>
      <c r="AB92" s="242"/>
      <c r="AC92" s="242"/>
      <c r="AD92" s="242"/>
      <c r="AE92" s="242"/>
      <c r="AF92" s="242"/>
      <c r="AG92" s="242"/>
      <c r="AH92" s="242"/>
      <c r="AI92" s="242"/>
      <c r="AJ92" s="13"/>
      <c r="AK92" s="242"/>
      <c r="AL92" s="242"/>
      <c r="AM92" s="242"/>
      <c r="AN92" s="242"/>
      <c r="AO92" s="242"/>
    </row>
    <row r="93">
      <c r="A93" s="242"/>
      <c r="B93" s="13"/>
      <c r="C93" s="242"/>
      <c r="D93" s="242"/>
      <c r="E93" s="242"/>
      <c r="F93" s="242"/>
      <c r="G93" s="13"/>
      <c r="H93" s="13"/>
      <c r="I93" s="13"/>
      <c r="J93" s="13"/>
      <c r="K93" s="13"/>
      <c r="L93" s="242"/>
      <c r="M93" s="242"/>
      <c r="N93" s="242"/>
      <c r="O93" s="242"/>
      <c r="P93" s="242"/>
      <c r="Q93" s="525"/>
      <c r="R93" s="242"/>
      <c r="S93" s="242"/>
      <c r="T93" s="242"/>
      <c r="U93" s="242"/>
      <c r="V93" s="242"/>
      <c r="W93" s="242"/>
      <c r="X93" s="242"/>
      <c r="Y93" s="242"/>
      <c r="Z93" s="242"/>
      <c r="AA93" s="242"/>
      <c r="AB93" s="242"/>
      <c r="AC93" s="242"/>
      <c r="AD93" s="242"/>
      <c r="AE93" s="242"/>
      <c r="AF93" s="242"/>
      <c r="AG93" s="242"/>
      <c r="AH93" s="242"/>
      <c r="AI93" s="242"/>
      <c r="AJ93" s="13"/>
      <c r="AK93" s="242"/>
      <c r="AL93" s="242"/>
      <c r="AM93" s="242"/>
      <c r="AN93" s="242"/>
      <c r="AO93" s="242"/>
    </row>
    <row r="94">
      <c r="A94" s="242"/>
      <c r="B94" s="13"/>
      <c r="C94" s="242"/>
      <c r="D94" s="242"/>
      <c r="E94" s="242"/>
      <c r="F94" s="242"/>
      <c r="G94" s="13"/>
      <c r="H94" s="13"/>
      <c r="I94" s="13"/>
      <c r="J94" s="13"/>
      <c r="K94" s="13"/>
      <c r="L94" s="242"/>
      <c r="M94" s="242"/>
      <c r="N94" s="242"/>
      <c r="O94" s="242"/>
      <c r="P94" s="242"/>
      <c r="Q94" s="525"/>
      <c r="R94" s="242"/>
      <c r="S94" s="242"/>
      <c r="T94" s="242"/>
      <c r="U94" s="242"/>
      <c r="V94" s="242"/>
      <c r="W94" s="242"/>
      <c r="X94" s="242"/>
      <c r="Y94" s="242"/>
      <c r="Z94" s="242"/>
      <c r="AA94" s="242"/>
      <c r="AB94" s="242"/>
      <c r="AC94" s="242"/>
      <c r="AD94" s="242"/>
      <c r="AE94" s="242"/>
      <c r="AF94" s="242"/>
      <c r="AG94" s="242"/>
      <c r="AH94" s="242"/>
      <c r="AI94" s="242"/>
      <c r="AJ94" s="13"/>
      <c r="AK94" s="242"/>
      <c r="AL94" s="242"/>
      <c r="AM94" s="242"/>
      <c r="AN94" s="242"/>
      <c r="AO94" s="242"/>
    </row>
    <row r="95">
      <c r="A95" s="242"/>
      <c r="B95" s="13"/>
      <c r="C95" s="242"/>
      <c r="D95" s="242"/>
      <c r="E95" s="242"/>
      <c r="F95" s="242"/>
      <c r="G95" s="13"/>
      <c r="H95" s="13"/>
      <c r="I95" s="13"/>
      <c r="J95" s="13"/>
      <c r="K95" s="13"/>
      <c r="L95" s="242"/>
      <c r="M95" s="242"/>
      <c r="N95" s="242"/>
      <c r="O95" s="242"/>
      <c r="P95" s="242"/>
      <c r="Q95" s="525"/>
      <c r="R95" s="242"/>
      <c r="S95" s="242"/>
      <c r="T95" s="242"/>
      <c r="U95" s="242"/>
      <c r="V95" s="242"/>
      <c r="W95" s="242"/>
      <c r="X95" s="242"/>
      <c r="Y95" s="242"/>
      <c r="Z95" s="242"/>
      <c r="AA95" s="242"/>
      <c r="AB95" s="242"/>
      <c r="AC95" s="242"/>
      <c r="AD95" s="242"/>
      <c r="AE95" s="242"/>
      <c r="AF95" s="242"/>
      <c r="AG95" s="242"/>
      <c r="AH95" s="242"/>
      <c r="AI95" s="242"/>
      <c r="AJ95" s="13"/>
      <c r="AK95" s="242"/>
      <c r="AL95" s="242"/>
      <c r="AM95" s="242"/>
      <c r="AN95" s="242"/>
      <c r="AO95" s="242"/>
    </row>
    <row r="96">
      <c r="A96" s="242"/>
      <c r="B96" s="13"/>
      <c r="C96" s="242"/>
      <c r="D96" s="242"/>
      <c r="E96" s="242"/>
      <c r="F96" s="242"/>
      <c r="G96" s="13"/>
      <c r="H96" s="13"/>
      <c r="I96" s="13"/>
      <c r="J96" s="13"/>
      <c r="K96" s="13"/>
      <c r="L96" s="242"/>
      <c r="M96" s="242"/>
      <c r="N96" s="242"/>
      <c r="O96" s="242"/>
      <c r="P96" s="242"/>
      <c r="Q96" s="525"/>
      <c r="R96" s="242"/>
      <c r="S96" s="242"/>
      <c r="T96" s="242"/>
      <c r="U96" s="242"/>
      <c r="V96" s="242"/>
      <c r="W96" s="242"/>
      <c r="X96" s="242"/>
      <c r="Y96" s="242"/>
      <c r="Z96" s="242"/>
      <c r="AA96" s="242"/>
      <c r="AB96" s="242"/>
      <c r="AC96" s="242"/>
      <c r="AD96" s="242"/>
      <c r="AE96" s="242"/>
      <c r="AF96" s="242"/>
      <c r="AG96" s="242"/>
      <c r="AH96" s="242"/>
      <c r="AI96" s="242"/>
      <c r="AJ96" s="13"/>
      <c r="AK96" s="242"/>
      <c r="AL96" s="242"/>
      <c r="AM96" s="242"/>
      <c r="AN96" s="242"/>
      <c r="AO96" s="242"/>
    </row>
    <row r="97">
      <c r="A97" s="242"/>
      <c r="B97" s="13"/>
      <c r="C97" s="242"/>
      <c r="D97" s="242"/>
      <c r="E97" s="242"/>
      <c r="F97" s="242"/>
      <c r="G97" s="13"/>
      <c r="H97" s="13"/>
      <c r="I97" s="13"/>
      <c r="J97" s="13"/>
      <c r="K97" s="13"/>
      <c r="L97" s="242"/>
      <c r="M97" s="242"/>
      <c r="N97" s="242"/>
      <c r="O97" s="242"/>
      <c r="P97" s="242"/>
      <c r="Q97" s="525"/>
      <c r="R97" s="242"/>
      <c r="S97" s="242"/>
      <c r="T97" s="242"/>
      <c r="U97" s="242"/>
      <c r="V97" s="242"/>
      <c r="W97" s="242"/>
      <c r="X97" s="242"/>
      <c r="Y97" s="242"/>
      <c r="Z97" s="242"/>
      <c r="AA97" s="242"/>
      <c r="AB97" s="242"/>
      <c r="AC97" s="242"/>
      <c r="AD97" s="242"/>
      <c r="AE97" s="242"/>
      <c r="AF97" s="242"/>
      <c r="AG97" s="242"/>
      <c r="AH97" s="242"/>
      <c r="AI97" s="242"/>
      <c r="AJ97" s="13"/>
      <c r="AK97" s="242"/>
      <c r="AL97" s="242"/>
      <c r="AM97" s="242"/>
      <c r="AN97" s="242"/>
      <c r="AO97" s="242"/>
    </row>
    <row r="98">
      <c r="A98" s="242"/>
      <c r="B98" s="13"/>
      <c r="C98" s="242"/>
      <c r="D98" s="242"/>
      <c r="E98" s="242"/>
      <c r="F98" s="242"/>
      <c r="G98" s="13"/>
      <c r="H98" s="13"/>
      <c r="I98" s="13"/>
      <c r="J98" s="13"/>
      <c r="K98" s="13"/>
      <c r="L98" s="242"/>
      <c r="M98" s="242"/>
      <c r="N98" s="242"/>
      <c r="O98" s="242"/>
      <c r="P98" s="242"/>
      <c r="Q98" s="525"/>
      <c r="R98" s="242"/>
      <c r="S98" s="242"/>
      <c r="T98" s="242"/>
      <c r="U98" s="242"/>
      <c r="V98" s="242"/>
      <c r="W98" s="242"/>
      <c r="X98" s="242"/>
      <c r="Y98" s="242"/>
      <c r="Z98" s="242"/>
      <c r="AA98" s="242"/>
      <c r="AB98" s="242"/>
      <c r="AC98" s="242"/>
      <c r="AD98" s="242"/>
      <c r="AE98" s="242"/>
      <c r="AF98" s="242"/>
      <c r="AG98" s="242"/>
      <c r="AH98" s="242"/>
      <c r="AI98" s="242"/>
      <c r="AJ98" s="13"/>
      <c r="AK98" s="242"/>
      <c r="AL98" s="242"/>
      <c r="AM98" s="242"/>
      <c r="AN98" s="242"/>
      <c r="AO98" s="242"/>
    </row>
    <row r="99">
      <c r="A99" s="242"/>
      <c r="B99" s="13"/>
      <c r="C99" s="242"/>
      <c r="D99" s="242"/>
      <c r="E99" s="242"/>
      <c r="F99" s="242"/>
      <c r="G99" s="13"/>
      <c r="H99" s="13"/>
      <c r="I99" s="13"/>
      <c r="J99" s="13"/>
      <c r="K99" s="13"/>
      <c r="L99" s="242"/>
      <c r="M99" s="242"/>
      <c r="N99" s="242"/>
      <c r="O99" s="242"/>
      <c r="P99" s="242"/>
      <c r="Q99" s="525"/>
      <c r="R99" s="242"/>
      <c r="S99" s="242"/>
      <c r="T99" s="242"/>
      <c r="U99" s="242"/>
      <c r="V99" s="242"/>
      <c r="W99" s="242"/>
      <c r="X99" s="242"/>
      <c r="Y99" s="242"/>
      <c r="Z99" s="242"/>
      <c r="AA99" s="242"/>
      <c r="AB99" s="242"/>
      <c r="AC99" s="242"/>
      <c r="AD99" s="242"/>
      <c r="AE99" s="242"/>
      <c r="AF99" s="242"/>
      <c r="AG99" s="242"/>
      <c r="AH99" s="242"/>
      <c r="AI99" s="242"/>
      <c r="AJ99" s="13"/>
      <c r="AK99" s="242"/>
      <c r="AL99" s="242"/>
      <c r="AM99" s="242"/>
      <c r="AN99" s="242"/>
      <c r="AO99" s="242"/>
    </row>
    <row r="100">
      <c r="A100" s="242"/>
      <c r="B100" s="13"/>
      <c r="C100" s="242"/>
      <c r="D100" s="242"/>
      <c r="E100" s="242"/>
      <c r="F100" s="242"/>
      <c r="G100" s="13"/>
      <c r="H100" s="13"/>
      <c r="I100" s="13"/>
      <c r="J100" s="13"/>
      <c r="K100" s="13"/>
      <c r="L100" s="242"/>
      <c r="M100" s="242"/>
      <c r="N100" s="242"/>
      <c r="O100" s="242"/>
      <c r="P100" s="242"/>
      <c r="Q100" s="525"/>
      <c r="R100" s="242"/>
      <c r="S100" s="242"/>
      <c r="T100" s="242"/>
      <c r="U100" s="242"/>
      <c r="V100" s="242"/>
      <c r="W100" s="242"/>
      <c r="X100" s="242"/>
      <c r="Y100" s="242"/>
      <c r="Z100" s="242"/>
      <c r="AA100" s="242"/>
      <c r="AB100" s="242"/>
      <c r="AC100" s="242"/>
      <c r="AD100" s="242"/>
      <c r="AE100" s="242"/>
      <c r="AF100" s="242"/>
      <c r="AG100" s="242"/>
      <c r="AH100" s="242"/>
      <c r="AI100" s="242"/>
      <c r="AJ100" s="13"/>
      <c r="AK100" s="242"/>
      <c r="AL100" s="242"/>
      <c r="AM100" s="242"/>
      <c r="AN100" s="242"/>
      <c r="AO100" s="242"/>
    </row>
    <row r="101">
      <c r="A101" s="242"/>
      <c r="B101" s="13"/>
      <c r="C101" s="242"/>
      <c r="D101" s="242"/>
      <c r="E101" s="242"/>
      <c r="F101" s="242"/>
      <c r="G101" s="13"/>
      <c r="H101" s="13"/>
      <c r="I101" s="13"/>
      <c r="J101" s="13"/>
      <c r="K101" s="13"/>
      <c r="L101" s="242"/>
      <c r="M101" s="242"/>
      <c r="N101" s="242"/>
      <c r="O101" s="242"/>
      <c r="P101" s="242"/>
      <c r="Q101" s="525"/>
      <c r="R101" s="242"/>
      <c r="S101" s="242"/>
      <c r="T101" s="242"/>
      <c r="U101" s="242"/>
      <c r="V101" s="242"/>
      <c r="W101" s="242"/>
      <c r="X101" s="242"/>
      <c r="Y101" s="242"/>
      <c r="Z101" s="242"/>
      <c r="AA101" s="242"/>
      <c r="AB101" s="242"/>
      <c r="AC101" s="242"/>
      <c r="AD101" s="242"/>
      <c r="AE101" s="242"/>
      <c r="AF101" s="242"/>
      <c r="AG101" s="242"/>
      <c r="AH101" s="242"/>
      <c r="AI101" s="242"/>
      <c r="AJ101" s="13"/>
      <c r="AK101" s="242"/>
      <c r="AL101" s="242"/>
      <c r="AM101" s="242"/>
      <c r="AN101" s="242"/>
      <c r="AO101" s="242"/>
    </row>
    <row r="102">
      <c r="A102" s="242"/>
      <c r="B102" s="13"/>
      <c r="C102" s="242"/>
      <c r="D102" s="242"/>
      <c r="E102" s="242"/>
      <c r="F102" s="242"/>
      <c r="G102" s="13"/>
      <c r="H102" s="13"/>
      <c r="I102" s="13"/>
      <c r="J102" s="13"/>
      <c r="K102" s="13"/>
      <c r="L102" s="242"/>
      <c r="M102" s="242"/>
      <c r="N102" s="242"/>
      <c r="O102" s="242"/>
      <c r="P102" s="242"/>
      <c r="Q102" s="525"/>
      <c r="R102" s="242"/>
      <c r="S102" s="242"/>
      <c r="T102" s="242"/>
      <c r="U102" s="242"/>
      <c r="V102" s="242"/>
      <c r="W102" s="242"/>
      <c r="X102" s="242"/>
      <c r="Y102" s="242"/>
      <c r="Z102" s="242"/>
      <c r="AA102" s="242"/>
      <c r="AB102" s="242"/>
      <c r="AC102" s="242"/>
      <c r="AD102" s="242"/>
      <c r="AE102" s="242"/>
      <c r="AF102" s="242"/>
      <c r="AG102" s="242"/>
      <c r="AH102" s="242"/>
      <c r="AI102" s="242"/>
      <c r="AJ102" s="13"/>
      <c r="AK102" s="242"/>
      <c r="AL102" s="242"/>
      <c r="AM102" s="242"/>
      <c r="AN102" s="242"/>
      <c r="AO102" s="242"/>
    </row>
    <row r="103">
      <c r="A103" s="242"/>
      <c r="B103" s="13"/>
      <c r="C103" s="242"/>
      <c r="D103" s="242"/>
      <c r="E103" s="242"/>
      <c r="F103" s="242"/>
      <c r="G103" s="13"/>
      <c r="H103" s="13"/>
      <c r="I103" s="13"/>
      <c r="J103" s="13"/>
      <c r="K103" s="13"/>
      <c r="L103" s="242"/>
      <c r="M103" s="242"/>
      <c r="N103" s="242"/>
      <c r="O103" s="242"/>
      <c r="P103" s="242"/>
      <c r="Q103" s="525"/>
      <c r="R103" s="242"/>
      <c r="S103" s="242"/>
      <c r="T103" s="242"/>
      <c r="U103" s="242"/>
      <c r="V103" s="242"/>
      <c r="W103" s="242"/>
      <c r="X103" s="242"/>
      <c r="Y103" s="242"/>
      <c r="Z103" s="242"/>
      <c r="AA103" s="242"/>
      <c r="AB103" s="242"/>
      <c r="AC103" s="242"/>
      <c r="AD103" s="242"/>
      <c r="AE103" s="242"/>
      <c r="AF103" s="242"/>
      <c r="AG103" s="242"/>
      <c r="AH103" s="242"/>
      <c r="AI103" s="242"/>
      <c r="AJ103" s="13"/>
      <c r="AK103" s="242"/>
      <c r="AL103" s="242"/>
      <c r="AM103" s="242"/>
      <c r="AN103" s="242"/>
      <c r="AO103" s="242"/>
    </row>
    <row r="104">
      <c r="A104" s="242"/>
      <c r="B104" s="13"/>
      <c r="C104" s="242"/>
      <c r="D104" s="242"/>
      <c r="E104" s="242"/>
      <c r="F104" s="242"/>
      <c r="G104" s="13"/>
      <c r="H104" s="13"/>
      <c r="I104" s="13"/>
      <c r="J104" s="13"/>
      <c r="K104" s="13"/>
      <c r="L104" s="242"/>
      <c r="M104" s="242"/>
      <c r="N104" s="242"/>
      <c r="O104" s="242"/>
      <c r="P104" s="242"/>
      <c r="Q104" s="525"/>
      <c r="R104" s="242"/>
      <c r="S104" s="242"/>
      <c r="T104" s="242"/>
      <c r="U104" s="242"/>
      <c r="V104" s="242"/>
      <c r="W104" s="242"/>
      <c r="X104" s="242"/>
      <c r="Y104" s="242"/>
      <c r="Z104" s="242"/>
      <c r="AA104" s="242"/>
      <c r="AB104" s="242"/>
      <c r="AC104" s="242"/>
      <c r="AD104" s="242"/>
      <c r="AE104" s="242"/>
      <c r="AF104" s="242"/>
      <c r="AG104" s="242"/>
      <c r="AH104" s="242"/>
      <c r="AI104" s="242"/>
      <c r="AJ104" s="13"/>
      <c r="AK104" s="242"/>
      <c r="AL104" s="242"/>
      <c r="AM104" s="242"/>
      <c r="AN104" s="242"/>
      <c r="AO104" s="242"/>
    </row>
    <row r="105">
      <c r="A105" s="242"/>
      <c r="B105" s="13"/>
      <c r="C105" s="242"/>
      <c r="D105" s="242"/>
      <c r="E105" s="242"/>
      <c r="F105" s="242"/>
      <c r="G105" s="13"/>
      <c r="H105" s="13"/>
      <c r="I105" s="13"/>
      <c r="J105" s="13"/>
      <c r="K105" s="13"/>
      <c r="L105" s="242"/>
      <c r="M105" s="242"/>
      <c r="N105" s="242"/>
      <c r="O105" s="242"/>
      <c r="P105" s="242"/>
      <c r="Q105" s="525"/>
      <c r="R105" s="242"/>
      <c r="S105" s="242"/>
      <c r="T105" s="242"/>
      <c r="U105" s="242"/>
      <c r="V105" s="242"/>
      <c r="W105" s="242"/>
      <c r="X105" s="242"/>
      <c r="Y105" s="242"/>
      <c r="Z105" s="242"/>
      <c r="AA105" s="242"/>
      <c r="AB105" s="242"/>
      <c r="AC105" s="242"/>
      <c r="AD105" s="242"/>
      <c r="AE105" s="242"/>
      <c r="AF105" s="242"/>
      <c r="AG105" s="242"/>
      <c r="AH105" s="242"/>
      <c r="AI105" s="242"/>
      <c r="AJ105" s="13"/>
      <c r="AK105" s="242"/>
      <c r="AL105" s="242"/>
      <c r="AM105" s="242"/>
      <c r="AN105" s="242"/>
      <c r="AO105" s="242"/>
    </row>
    <row r="106">
      <c r="A106" s="242"/>
      <c r="B106" s="13"/>
      <c r="C106" s="242"/>
      <c r="D106" s="242"/>
      <c r="E106" s="242"/>
      <c r="F106" s="242"/>
      <c r="G106" s="13"/>
      <c r="H106" s="13"/>
      <c r="I106" s="13"/>
      <c r="J106" s="13"/>
      <c r="K106" s="13"/>
      <c r="L106" s="242"/>
      <c r="M106" s="242"/>
      <c r="N106" s="242"/>
      <c r="O106" s="242"/>
      <c r="P106" s="242"/>
      <c r="Q106" s="525"/>
      <c r="R106" s="242"/>
      <c r="S106" s="242"/>
      <c r="T106" s="242"/>
      <c r="U106" s="242"/>
      <c r="V106" s="242"/>
      <c r="W106" s="242"/>
      <c r="X106" s="242"/>
      <c r="Y106" s="242"/>
      <c r="Z106" s="242"/>
      <c r="AA106" s="242"/>
      <c r="AB106" s="242"/>
      <c r="AC106" s="242"/>
      <c r="AD106" s="242"/>
      <c r="AE106" s="242"/>
      <c r="AF106" s="242"/>
      <c r="AG106" s="242"/>
      <c r="AH106" s="242"/>
      <c r="AI106" s="242"/>
      <c r="AJ106" s="13"/>
      <c r="AK106" s="242"/>
      <c r="AL106" s="242"/>
      <c r="AM106" s="242"/>
      <c r="AN106" s="242"/>
      <c r="AO106" s="242"/>
    </row>
    <row r="107">
      <c r="A107" s="242"/>
      <c r="B107" s="13"/>
      <c r="C107" s="242"/>
      <c r="D107" s="242"/>
      <c r="E107" s="242"/>
      <c r="F107" s="242"/>
      <c r="G107" s="13"/>
      <c r="H107" s="13"/>
      <c r="I107" s="13"/>
      <c r="J107" s="13"/>
      <c r="K107" s="13"/>
      <c r="L107" s="242"/>
      <c r="M107" s="242"/>
      <c r="N107" s="242"/>
      <c r="O107" s="242"/>
      <c r="P107" s="242"/>
      <c r="Q107" s="525"/>
      <c r="R107" s="242"/>
      <c r="S107" s="242"/>
      <c r="T107" s="242"/>
      <c r="U107" s="242"/>
      <c r="V107" s="242"/>
      <c r="W107" s="242"/>
      <c r="X107" s="242"/>
      <c r="Y107" s="242"/>
      <c r="Z107" s="242"/>
      <c r="AA107" s="242"/>
      <c r="AB107" s="242"/>
      <c r="AC107" s="242"/>
      <c r="AD107" s="242"/>
      <c r="AE107" s="242"/>
      <c r="AF107" s="242"/>
      <c r="AG107" s="242"/>
      <c r="AH107" s="242"/>
      <c r="AI107" s="242"/>
      <c r="AJ107" s="13"/>
      <c r="AK107" s="242"/>
      <c r="AL107" s="242"/>
      <c r="AM107" s="242"/>
      <c r="AN107" s="242"/>
      <c r="AO107" s="242"/>
    </row>
    <row r="108">
      <c r="A108" s="242"/>
      <c r="B108" s="13"/>
      <c r="C108" s="242"/>
      <c r="D108" s="242"/>
      <c r="E108" s="242"/>
      <c r="F108" s="242"/>
      <c r="G108" s="13"/>
      <c r="H108" s="13"/>
      <c r="I108" s="13"/>
      <c r="J108" s="13"/>
      <c r="K108" s="13"/>
      <c r="L108" s="242"/>
      <c r="M108" s="242"/>
      <c r="N108" s="242"/>
      <c r="O108" s="242"/>
      <c r="P108" s="242"/>
      <c r="Q108" s="525"/>
      <c r="R108" s="242"/>
      <c r="S108" s="242"/>
      <c r="T108" s="242"/>
      <c r="U108" s="242"/>
      <c r="V108" s="242"/>
      <c r="W108" s="242"/>
      <c r="X108" s="242"/>
      <c r="Y108" s="242"/>
      <c r="Z108" s="242"/>
      <c r="AA108" s="242"/>
      <c r="AB108" s="242"/>
      <c r="AC108" s="242"/>
      <c r="AD108" s="242"/>
      <c r="AE108" s="242"/>
      <c r="AF108" s="242"/>
      <c r="AG108" s="242"/>
      <c r="AH108" s="242"/>
      <c r="AI108" s="242"/>
      <c r="AJ108" s="13"/>
      <c r="AK108" s="242"/>
      <c r="AL108" s="242"/>
      <c r="AM108" s="242"/>
      <c r="AN108" s="242"/>
      <c r="AO108" s="242"/>
    </row>
    <row r="109">
      <c r="A109" s="242"/>
      <c r="B109" s="13"/>
      <c r="C109" s="242"/>
      <c r="D109" s="242"/>
      <c r="E109" s="242"/>
      <c r="F109" s="242"/>
      <c r="G109" s="13"/>
      <c r="H109" s="13"/>
      <c r="I109" s="13"/>
      <c r="J109" s="13"/>
      <c r="K109" s="13"/>
      <c r="L109" s="242"/>
      <c r="M109" s="242"/>
      <c r="N109" s="242"/>
      <c r="O109" s="242"/>
      <c r="P109" s="242"/>
      <c r="Q109" s="525"/>
      <c r="R109" s="242"/>
      <c r="S109" s="242"/>
      <c r="T109" s="242"/>
      <c r="U109" s="242"/>
      <c r="V109" s="242"/>
      <c r="W109" s="242"/>
      <c r="X109" s="242"/>
      <c r="Y109" s="242"/>
      <c r="Z109" s="242"/>
      <c r="AA109" s="242"/>
      <c r="AB109" s="242"/>
      <c r="AC109" s="242"/>
      <c r="AD109" s="242"/>
      <c r="AE109" s="242"/>
      <c r="AF109" s="242"/>
      <c r="AG109" s="242"/>
      <c r="AH109" s="242"/>
      <c r="AI109" s="242"/>
      <c r="AJ109" s="13"/>
      <c r="AK109" s="242"/>
      <c r="AL109" s="242"/>
      <c r="AM109" s="242"/>
      <c r="AN109" s="242"/>
      <c r="AO109" s="242"/>
    </row>
    <row r="110">
      <c r="A110" s="242"/>
      <c r="B110" s="13"/>
      <c r="C110" s="242"/>
      <c r="D110" s="242"/>
      <c r="E110" s="242"/>
      <c r="F110" s="242"/>
      <c r="G110" s="13"/>
      <c r="H110" s="13"/>
      <c r="I110" s="13"/>
      <c r="J110" s="13"/>
      <c r="K110" s="13"/>
      <c r="L110" s="242"/>
      <c r="M110" s="242"/>
      <c r="N110" s="242"/>
      <c r="O110" s="242"/>
      <c r="P110" s="242"/>
      <c r="Q110" s="525"/>
      <c r="R110" s="242"/>
      <c r="S110" s="242"/>
      <c r="T110" s="242"/>
      <c r="U110" s="242"/>
      <c r="V110" s="242"/>
      <c r="W110" s="242"/>
      <c r="X110" s="242"/>
      <c r="Y110" s="242"/>
      <c r="Z110" s="242"/>
      <c r="AA110" s="242"/>
      <c r="AB110" s="242"/>
      <c r="AC110" s="242"/>
      <c r="AD110" s="242"/>
      <c r="AE110" s="242"/>
      <c r="AF110" s="242"/>
      <c r="AG110" s="242"/>
      <c r="AH110" s="242"/>
      <c r="AI110" s="242"/>
      <c r="AJ110" s="13"/>
      <c r="AK110" s="242"/>
      <c r="AL110" s="242"/>
      <c r="AM110" s="242"/>
      <c r="AN110" s="242"/>
      <c r="AO110" s="242"/>
    </row>
    <row r="111">
      <c r="A111" s="242"/>
      <c r="B111" s="13"/>
      <c r="C111" s="242"/>
      <c r="D111" s="242"/>
      <c r="E111" s="242"/>
      <c r="F111" s="242"/>
      <c r="G111" s="13"/>
      <c r="H111" s="13"/>
      <c r="I111" s="13"/>
      <c r="J111" s="13"/>
      <c r="K111" s="13"/>
      <c r="L111" s="242"/>
      <c r="M111" s="242"/>
      <c r="N111" s="242"/>
      <c r="O111" s="242"/>
      <c r="P111" s="242"/>
      <c r="Q111" s="525"/>
      <c r="R111" s="242"/>
      <c r="S111" s="242"/>
      <c r="T111" s="242"/>
      <c r="U111" s="242"/>
      <c r="V111" s="242"/>
      <c r="W111" s="242"/>
      <c r="X111" s="242"/>
      <c r="Y111" s="242"/>
      <c r="Z111" s="242"/>
      <c r="AA111" s="242"/>
      <c r="AB111" s="242"/>
      <c r="AC111" s="242"/>
      <c r="AD111" s="242"/>
      <c r="AE111" s="242"/>
      <c r="AF111" s="242"/>
      <c r="AG111" s="242"/>
      <c r="AH111" s="242"/>
      <c r="AI111" s="242"/>
      <c r="AJ111" s="13"/>
      <c r="AK111" s="242"/>
      <c r="AL111" s="242"/>
      <c r="AM111" s="242"/>
      <c r="AN111" s="242"/>
      <c r="AO111" s="242"/>
    </row>
    <row r="112">
      <c r="A112" s="242"/>
      <c r="B112" s="13"/>
      <c r="C112" s="242"/>
      <c r="D112" s="242"/>
      <c r="E112" s="242"/>
      <c r="F112" s="242"/>
      <c r="G112" s="13"/>
      <c r="H112" s="13"/>
      <c r="I112" s="13"/>
      <c r="J112" s="13"/>
      <c r="K112" s="13"/>
      <c r="L112" s="242"/>
      <c r="M112" s="242"/>
      <c r="N112" s="242"/>
      <c r="O112" s="242"/>
      <c r="P112" s="242"/>
      <c r="Q112" s="525"/>
      <c r="R112" s="242"/>
      <c r="S112" s="242"/>
      <c r="T112" s="242"/>
      <c r="U112" s="242"/>
      <c r="V112" s="242"/>
      <c r="W112" s="242"/>
      <c r="X112" s="242"/>
      <c r="Y112" s="242"/>
      <c r="Z112" s="242"/>
      <c r="AA112" s="242"/>
      <c r="AB112" s="242"/>
      <c r="AC112" s="242"/>
      <c r="AD112" s="242"/>
      <c r="AE112" s="242"/>
      <c r="AF112" s="242"/>
      <c r="AG112" s="242"/>
      <c r="AH112" s="242"/>
      <c r="AI112" s="242"/>
      <c r="AJ112" s="13"/>
      <c r="AK112" s="242"/>
      <c r="AL112" s="242"/>
      <c r="AM112" s="242"/>
      <c r="AN112" s="242"/>
      <c r="AO112" s="242"/>
    </row>
    <row r="113">
      <c r="A113" s="242"/>
      <c r="B113" s="13"/>
      <c r="C113" s="242"/>
      <c r="D113" s="242"/>
      <c r="E113" s="242"/>
      <c r="F113" s="242"/>
      <c r="G113" s="13"/>
      <c r="H113" s="13"/>
      <c r="I113" s="13"/>
      <c r="J113" s="13"/>
      <c r="K113" s="13"/>
      <c r="L113" s="242"/>
      <c r="M113" s="242"/>
      <c r="N113" s="242"/>
      <c r="O113" s="242"/>
      <c r="P113" s="242"/>
      <c r="Q113" s="525"/>
      <c r="R113" s="242"/>
      <c r="S113" s="242"/>
      <c r="T113" s="242"/>
      <c r="U113" s="242"/>
      <c r="V113" s="242"/>
      <c r="W113" s="242"/>
      <c r="X113" s="242"/>
      <c r="Y113" s="242"/>
      <c r="Z113" s="242"/>
      <c r="AA113" s="242"/>
      <c r="AB113" s="242"/>
      <c r="AC113" s="242"/>
      <c r="AD113" s="242"/>
      <c r="AE113" s="242"/>
      <c r="AF113" s="242"/>
      <c r="AG113" s="242"/>
      <c r="AH113" s="242"/>
      <c r="AI113" s="242"/>
      <c r="AJ113" s="13"/>
      <c r="AK113" s="242"/>
      <c r="AL113" s="242"/>
      <c r="AM113" s="242"/>
      <c r="AN113" s="242"/>
      <c r="AO113" s="242"/>
    </row>
    <row r="114">
      <c r="A114" s="242"/>
      <c r="B114" s="13"/>
      <c r="C114" s="242"/>
      <c r="D114" s="242"/>
      <c r="E114" s="242"/>
      <c r="F114" s="242"/>
      <c r="G114" s="13"/>
      <c r="H114" s="13"/>
      <c r="I114" s="13"/>
      <c r="J114" s="13"/>
      <c r="K114" s="13"/>
      <c r="L114" s="242"/>
      <c r="M114" s="242"/>
      <c r="N114" s="242"/>
      <c r="O114" s="242"/>
      <c r="P114" s="242"/>
      <c r="Q114" s="525"/>
      <c r="R114" s="242"/>
      <c r="S114" s="242"/>
      <c r="T114" s="242"/>
      <c r="U114" s="242"/>
      <c r="V114" s="242"/>
      <c r="W114" s="242"/>
      <c r="X114" s="242"/>
      <c r="Y114" s="242"/>
      <c r="Z114" s="242"/>
      <c r="AA114" s="242"/>
      <c r="AB114" s="242"/>
      <c r="AC114" s="242"/>
      <c r="AD114" s="242"/>
      <c r="AE114" s="242"/>
      <c r="AF114" s="242"/>
      <c r="AG114" s="242"/>
      <c r="AH114" s="242"/>
      <c r="AI114" s="242"/>
      <c r="AJ114" s="13"/>
      <c r="AK114" s="242"/>
      <c r="AL114" s="242"/>
      <c r="AM114" s="242"/>
      <c r="AN114" s="242"/>
      <c r="AO114" s="242"/>
    </row>
    <row r="115">
      <c r="A115" s="242"/>
      <c r="B115" s="13"/>
      <c r="C115" s="242"/>
      <c r="D115" s="242"/>
      <c r="E115" s="242"/>
      <c r="F115" s="242"/>
      <c r="G115" s="13"/>
      <c r="H115" s="13"/>
      <c r="I115" s="13"/>
      <c r="J115" s="13"/>
      <c r="K115" s="13"/>
      <c r="L115" s="242"/>
      <c r="M115" s="242"/>
      <c r="N115" s="242"/>
      <c r="O115" s="242"/>
      <c r="P115" s="242"/>
      <c r="Q115" s="525"/>
      <c r="R115" s="242"/>
      <c r="S115" s="242"/>
      <c r="T115" s="242"/>
      <c r="U115" s="242"/>
      <c r="V115" s="242"/>
      <c r="W115" s="242"/>
      <c r="X115" s="242"/>
      <c r="Y115" s="242"/>
      <c r="Z115" s="242"/>
      <c r="AA115" s="242"/>
      <c r="AB115" s="242"/>
      <c r="AC115" s="242"/>
      <c r="AD115" s="242"/>
      <c r="AE115" s="242"/>
      <c r="AF115" s="242"/>
      <c r="AG115" s="242"/>
      <c r="AH115" s="242"/>
      <c r="AI115" s="242"/>
      <c r="AJ115" s="13"/>
      <c r="AK115" s="242"/>
      <c r="AL115" s="242"/>
      <c r="AM115" s="242"/>
      <c r="AN115" s="242"/>
      <c r="AO115" s="242"/>
    </row>
    <row r="116">
      <c r="A116" s="242"/>
      <c r="B116" s="13"/>
      <c r="C116" s="242"/>
      <c r="D116" s="242"/>
      <c r="E116" s="242"/>
      <c r="F116" s="242"/>
      <c r="G116" s="13"/>
      <c r="H116" s="13"/>
      <c r="I116" s="13"/>
      <c r="J116" s="13"/>
      <c r="K116" s="13"/>
      <c r="L116" s="242"/>
      <c r="M116" s="242"/>
      <c r="N116" s="242"/>
      <c r="O116" s="242"/>
      <c r="P116" s="242"/>
      <c r="Q116" s="525"/>
      <c r="R116" s="242"/>
      <c r="S116" s="242"/>
      <c r="T116" s="242"/>
      <c r="U116" s="242"/>
      <c r="V116" s="242"/>
      <c r="W116" s="242"/>
      <c r="X116" s="242"/>
      <c r="Y116" s="242"/>
      <c r="Z116" s="242"/>
      <c r="AA116" s="242"/>
      <c r="AB116" s="242"/>
      <c r="AC116" s="242"/>
      <c r="AD116" s="242"/>
      <c r="AE116" s="242"/>
      <c r="AF116" s="242"/>
      <c r="AG116" s="242"/>
      <c r="AH116" s="242"/>
      <c r="AI116" s="242"/>
      <c r="AJ116" s="13"/>
      <c r="AK116" s="242"/>
      <c r="AL116" s="242"/>
      <c r="AM116" s="242"/>
      <c r="AN116" s="242"/>
      <c r="AO116" s="242"/>
    </row>
    <row r="117">
      <c r="A117" s="242"/>
      <c r="B117" s="13"/>
      <c r="C117" s="242"/>
      <c r="D117" s="242"/>
      <c r="E117" s="242"/>
      <c r="F117" s="242"/>
      <c r="G117" s="13"/>
      <c r="H117" s="13"/>
      <c r="I117" s="13"/>
      <c r="J117" s="13"/>
      <c r="K117" s="13"/>
      <c r="L117" s="242"/>
      <c r="M117" s="242"/>
      <c r="N117" s="242"/>
      <c r="O117" s="242"/>
      <c r="P117" s="242"/>
      <c r="Q117" s="525"/>
      <c r="R117" s="242"/>
      <c r="S117" s="242"/>
      <c r="T117" s="242"/>
      <c r="U117" s="242"/>
      <c r="V117" s="242"/>
      <c r="W117" s="242"/>
      <c r="X117" s="242"/>
      <c r="Y117" s="242"/>
      <c r="Z117" s="242"/>
      <c r="AA117" s="242"/>
      <c r="AB117" s="242"/>
      <c r="AC117" s="242"/>
      <c r="AD117" s="242"/>
      <c r="AE117" s="242"/>
      <c r="AF117" s="242"/>
      <c r="AG117" s="242"/>
      <c r="AH117" s="242"/>
      <c r="AI117" s="242"/>
      <c r="AJ117" s="13"/>
      <c r="AK117" s="242"/>
      <c r="AL117" s="242"/>
      <c r="AM117" s="242"/>
      <c r="AN117" s="242"/>
      <c r="AO117" s="242"/>
    </row>
    <row r="118">
      <c r="A118" s="242"/>
      <c r="B118" s="13"/>
      <c r="C118" s="242"/>
      <c r="D118" s="242"/>
      <c r="E118" s="242"/>
      <c r="F118" s="242"/>
      <c r="G118" s="13"/>
      <c r="H118" s="13"/>
      <c r="I118" s="13"/>
      <c r="J118" s="13"/>
      <c r="K118" s="13"/>
      <c r="L118" s="242"/>
      <c r="M118" s="242"/>
      <c r="N118" s="242"/>
      <c r="O118" s="242"/>
      <c r="P118" s="242"/>
      <c r="Q118" s="525"/>
      <c r="R118" s="242"/>
      <c r="S118" s="242"/>
      <c r="T118" s="242"/>
      <c r="U118" s="242"/>
      <c r="V118" s="242"/>
      <c r="W118" s="242"/>
      <c r="X118" s="242"/>
      <c r="Y118" s="242"/>
      <c r="Z118" s="242"/>
      <c r="AA118" s="242"/>
      <c r="AB118" s="242"/>
      <c r="AC118" s="242"/>
      <c r="AD118" s="242"/>
      <c r="AE118" s="242"/>
      <c r="AF118" s="242"/>
      <c r="AG118" s="242"/>
      <c r="AH118" s="242"/>
      <c r="AI118" s="242"/>
      <c r="AJ118" s="13"/>
      <c r="AK118" s="242"/>
      <c r="AL118" s="242"/>
      <c r="AM118" s="242"/>
      <c r="AN118" s="242"/>
      <c r="AO118" s="242"/>
    </row>
    <row r="119">
      <c r="A119" s="242"/>
      <c r="B119" s="13"/>
      <c r="C119" s="242"/>
      <c r="D119" s="242"/>
      <c r="E119" s="242"/>
      <c r="F119" s="242"/>
      <c r="G119" s="13"/>
      <c r="H119" s="13"/>
      <c r="I119" s="13"/>
      <c r="J119" s="13"/>
      <c r="K119" s="13"/>
      <c r="L119" s="242"/>
      <c r="M119" s="242"/>
      <c r="N119" s="242"/>
      <c r="O119" s="242"/>
      <c r="P119" s="242"/>
      <c r="Q119" s="525"/>
      <c r="R119" s="242"/>
      <c r="S119" s="242"/>
      <c r="T119" s="242"/>
      <c r="U119" s="242"/>
      <c r="V119" s="242"/>
      <c r="W119" s="242"/>
      <c r="X119" s="242"/>
      <c r="Y119" s="242"/>
      <c r="Z119" s="242"/>
      <c r="AA119" s="242"/>
      <c r="AB119" s="242"/>
      <c r="AC119" s="242"/>
      <c r="AD119" s="242"/>
      <c r="AE119" s="242"/>
      <c r="AF119" s="242"/>
      <c r="AG119" s="242"/>
      <c r="AH119" s="242"/>
      <c r="AI119" s="242"/>
      <c r="AJ119" s="13"/>
      <c r="AK119" s="242"/>
      <c r="AL119" s="242"/>
      <c r="AM119" s="242"/>
      <c r="AN119" s="242"/>
      <c r="AO119" s="242"/>
    </row>
    <row r="120">
      <c r="A120" s="242"/>
      <c r="B120" s="13"/>
      <c r="C120" s="242"/>
      <c r="D120" s="242"/>
      <c r="E120" s="242"/>
      <c r="F120" s="242"/>
      <c r="G120" s="13"/>
      <c r="H120" s="13"/>
      <c r="I120" s="13"/>
      <c r="J120" s="13"/>
      <c r="K120" s="13"/>
      <c r="L120" s="242"/>
      <c r="M120" s="242"/>
      <c r="N120" s="242"/>
      <c r="O120" s="242"/>
      <c r="P120" s="242"/>
      <c r="Q120" s="525"/>
      <c r="R120" s="242"/>
      <c r="S120" s="242"/>
      <c r="T120" s="242"/>
      <c r="U120" s="242"/>
      <c r="V120" s="242"/>
      <c r="W120" s="242"/>
      <c r="X120" s="242"/>
      <c r="Y120" s="242"/>
      <c r="Z120" s="242"/>
      <c r="AA120" s="242"/>
      <c r="AB120" s="242"/>
      <c r="AC120" s="242"/>
      <c r="AD120" s="242"/>
      <c r="AE120" s="242"/>
      <c r="AF120" s="242"/>
      <c r="AG120" s="242"/>
      <c r="AH120" s="242"/>
      <c r="AI120" s="242"/>
      <c r="AJ120" s="13"/>
      <c r="AK120" s="242"/>
      <c r="AL120" s="242"/>
      <c r="AM120" s="242"/>
      <c r="AN120" s="242"/>
      <c r="AO120" s="242"/>
    </row>
    <row r="121">
      <c r="A121" s="242"/>
      <c r="B121" s="13"/>
      <c r="C121" s="242"/>
      <c r="D121" s="242"/>
      <c r="E121" s="242"/>
      <c r="F121" s="242"/>
      <c r="G121" s="13"/>
      <c r="H121" s="13"/>
      <c r="I121" s="13"/>
      <c r="J121" s="13"/>
      <c r="K121" s="13"/>
      <c r="L121" s="242"/>
      <c r="M121" s="242"/>
      <c r="N121" s="242"/>
      <c r="O121" s="242"/>
      <c r="P121" s="242"/>
      <c r="Q121" s="525"/>
      <c r="R121" s="242"/>
      <c r="S121" s="242"/>
      <c r="T121" s="242"/>
      <c r="U121" s="242"/>
      <c r="V121" s="242"/>
      <c r="W121" s="242"/>
      <c r="X121" s="242"/>
      <c r="Y121" s="242"/>
      <c r="Z121" s="242"/>
      <c r="AA121" s="242"/>
      <c r="AB121" s="242"/>
      <c r="AC121" s="242"/>
      <c r="AD121" s="242"/>
      <c r="AE121" s="242"/>
      <c r="AF121" s="242"/>
      <c r="AG121" s="242"/>
      <c r="AH121" s="242"/>
      <c r="AI121" s="242"/>
      <c r="AJ121" s="13"/>
      <c r="AK121" s="242"/>
      <c r="AL121" s="242"/>
      <c r="AM121" s="242"/>
      <c r="AN121" s="242"/>
      <c r="AO121" s="242"/>
    </row>
    <row r="122">
      <c r="A122" s="242"/>
      <c r="B122" s="13"/>
      <c r="C122" s="242"/>
      <c r="D122" s="242"/>
      <c r="E122" s="242"/>
      <c r="F122" s="242"/>
      <c r="G122" s="13"/>
      <c r="H122" s="13"/>
      <c r="I122" s="13"/>
      <c r="J122" s="13"/>
      <c r="K122" s="13"/>
      <c r="L122" s="242"/>
      <c r="M122" s="242"/>
      <c r="N122" s="242"/>
      <c r="O122" s="242"/>
      <c r="P122" s="242"/>
      <c r="Q122" s="525"/>
      <c r="R122" s="242"/>
      <c r="S122" s="242"/>
      <c r="T122" s="242"/>
      <c r="U122" s="242"/>
      <c r="V122" s="242"/>
      <c r="W122" s="242"/>
      <c r="X122" s="242"/>
      <c r="Y122" s="242"/>
      <c r="Z122" s="242"/>
      <c r="AA122" s="242"/>
      <c r="AB122" s="242"/>
      <c r="AC122" s="242"/>
      <c r="AD122" s="242"/>
      <c r="AE122" s="242"/>
      <c r="AF122" s="242"/>
      <c r="AG122" s="242"/>
      <c r="AH122" s="242"/>
      <c r="AI122" s="242"/>
      <c r="AJ122" s="13"/>
      <c r="AK122" s="242"/>
      <c r="AL122" s="242"/>
      <c r="AM122" s="242"/>
      <c r="AN122" s="242"/>
      <c r="AO122" s="242"/>
    </row>
    <row r="123">
      <c r="A123" s="242"/>
      <c r="B123" s="13"/>
      <c r="C123" s="242"/>
      <c r="D123" s="242"/>
      <c r="E123" s="242"/>
      <c r="F123" s="242"/>
      <c r="G123" s="13"/>
      <c r="H123" s="13"/>
      <c r="I123" s="13"/>
      <c r="J123" s="13"/>
      <c r="K123" s="13"/>
      <c r="L123" s="242"/>
      <c r="M123" s="242"/>
      <c r="N123" s="242"/>
      <c r="O123" s="242"/>
      <c r="P123" s="242"/>
      <c r="Q123" s="525"/>
      <c r="R123" s="242"/>
      <c r="S123" s="242"/>
      <c r="T123" s="242"/>
      <c r="U123" s="242"/>
      <c r="V123" s="242"/>
      <c r="W123" s="242"/>
      <c r="X123" s="242"/>
      <c r="Y123" s="242"/>
      <c r="Z123" s="242"/>
      <c r="AA123" s="242"/>
      <c r="AB123" s="242"/>
      <c r="AC123" s="242"/>
      <c r="AD123" s="242"/>
      <c r="AE123" s="242"/>
      <c r="AF123" s="242"/>
      <c r="AG123" s="242"/>
      <c r="AH123" s="242"/>
      <c r="AI123" s="242"/>
      <c r="AJ123" s="13"/>
      <c r="AK123" s="242"/>
      <c r="AL123" s="242"/>
      <c r="AM123" s="242"/>
      <c r="AN123" s="242"/>
      <c r="AO123" s="242"/>
    </row>
    <row r="124">
      <c r="A124" s="242"/>
      <c r="B124" s="13"/>
      <c r="C124" s="242"/>
      <c r="D124" s="242"/>
      <c r="E124" s="242"/>
      <c r="F124" s="242"/>
      <c r="G124" s="13"/>
      <c r="H124" s="13"/>
      <c r="I124" s="13"/>
      <c r="J124" s="13"/>
      <c r="K124" s="13"/>
      <c r="L124" s="242"/>
      <c r="M124" s="242"/>
      <c r="N124" s="242"/>
      <c r="O124" s="242"/>
      <c r="P124" s="242"/>
      <c r="Q124" s="525"/>
      <c r="R124" s="242"/>
      <c r="S124" s="242"/>
      <c r="T124" s="242"/>
      <c r="U124" s="242"/>
      <c r="V124" s="242"/>
      <c r="W124" s="242"/>
      <c r="X124" s="242"/>
      <c r="Y124" s="242"/>
      <c r="Z124" s="242"/>
      <c r="AA124" s="242"/>
      <c r="AB124" s="242"/>
      <c r="AC124" s="242"/>
      <c r="AD124" s="242"/>
      <c r="AE124" s="242"/>
      <c r="AF124" s="242"/>
      <c r="AG124" s="242"/>
      <c r="AH124" s="242"/>
      <c r="AI124" s="242"/>
      <c r="AJ124" s="13"/>
      <c r="AK124" s="242"/>
      <c r="AL124" s="242"/>
      <c r="AM124" s="242"/>
      <c r="AN124" s="242"/>
      <c r="AO124" s="242"/>
    </row>
    <row r="125">
      <c r="A125" s="242"/>
      <c r="B125" s="13"/>
      <c r="C125" s="242"/>
      <c r="D125" s="242"/>
      <c r="E125" s="242"/>
      <c r="F125" s="242"/>
      <c r="G125" s="13"/>
      <c r="H125" s="13"/>
      <c r="I125" s="13"/>
      <c r="J125" s="13"/>
      <c r="K125" s="13"/>
      <c r="L125" s="242"/>
      <c r="M125" s="242"/>
      <c r="N125" s="242"/>
      <c r="O125" s="242"/>
      <c r="P125" s="242"/>
      <c r="Q125" s="525"/>
      <c r="R125" s="242"/>
      <c r="S125" s="242"/>
      <c r="T125" s="242"/>
      <c r="U125" s="242"/>
      <c r="V125" s="242"/>
      <c r="W125" s="242"/>
      <c r="X125" s="242"/>
      <c r="Y125" s="242"/>
      <c r="Z125" s="242"/>
      <c r="AA125" s="242"/>
      <c r="AB125" s="242"/>
      <c r="AC125" s="242"/>
      <c r="AD125" s="242"/>
      <c r="AE125" s="242"/>
      <c r="AF125" s="242"/>
      <c r="AG125" s="242"/>
      <c r="AH125" s="242"/>
      <c r="AI125" s="242"/>
      <c r="AJ125" s="13"/>
      <c r="AK125" s="242"/>
      <c r="AL125" s="242"/>
      <c r="AM125" s="242"/>
      <c r="AN125" s="242"/>
      <c r="AO125" s="242"/>
    </row>
    <row r="126">
      <c r="A126" s="242"/>
      <c r="B126" s="13"/>
      <c r="C126" s="242"/>
      <c r="D126" s="242"/>
      <c r="E126" s="242"/>
      <c r="F126" s="242"/>
      <c r="G126" s="13"/>
      <c r="H126" s="13"/>
      <c r="I126" s="13"/>
      <c r="J126" s="13"/>
      <c r="K126" s="13"/>
      <c r="L126" s="242"/>
      <c r="M126" s="242"/>
      <c r="N126" s="242"/>
      <c r="O126" s="242"/>
      <c r="P126" s="242"/>
      <c r="Q126" s="525"/>
      <c r="R126" s="242"/>
      <c r="S126" s="242"/>
      <c r="T126" s="242"/>
      <c r="U126" s="242"/>
      <c r="V126" s="242"/>
      <c r="W126" s="242"/>
      <c r="X126" s="242"/>
      <c r="Y126" s="242"/>
      <c r="Z126" s="242"/>
      <c r="AA126" s="242"/>
      <c r="AB126" s="242"/>
      <c r="AC126" s="242"/>
      <c r="AD126" s="242"/>
      <c r="AE126" s="242"/>
      <c r="AF126" s="242"/>
      <c r="AG126" s="242"/>
      <c r="AH126" s="242"/>
      <c r="AI126" s="242"/>
      <c r="AJ126" s="13"/>
      <c r="AK126" s="242"/>
      <c r="AL126" s="242"/>
      <c r="AM126" s="242"/>
      <c r="AN126" s="242"/>
      <c r="AO126" s="242"/>
    </row>
    <row r="127">
      <c r="A127" s="242"/>
      <c r="B127" s="13"/>
      <c r="C127" s="242"/>
      <c r="D127" s="242"/>
      <c r="E127" s="242"/>
      <c r="F127" s="242"/>
      <c r="G127" s="13"/>
      <c r="H127" s="13"/>
      <c r="I127" s="13"/>
      <c r="J127" s="13"/>
      <c r="K127" s="13"/>
      <c r="L127" s="242"/>
      <c r="M127" s="242"/>
      <c r="N127" s="242"/>
      <c r="O127" s="242"/>
      <c r="P127" s="242"/>
      <c r="Q127" s="525"/>
      <c r="R127" s="242"/>
      <c r="S127" s="242"/>
      <c r="T127" s="242"/>
      <c r="U127" s="242"/>
      <c r="V127" s="242"/>
      <c r="W127" s="242"/>
      <c r="X127" s="242"/>
      <c r="Y127" s="242"/>
      <c r="Z127" s="242"/>
      <c r="AA127" s="242"/>
      <c r="AB127" s="242"/>
      <c r="AC127" s="242"/>
      <c r="AD127" s="242"/>
      <c r="AE127" s="242"/>
      <c r="AF127" s="242"/>
      <c r="AG127" s="242"/>
      <c r="AH127" s="242"/>
      <c r="AI127" s="242"/>
      <c r="AJ127" s="13"/>
      <c r="AK127" s="242"/>
      <c r="AL127" s="242"/>
      <c r="AM127" s="242"/>
      <c r="AN127" s="242"/>
      <c r="AO127" s="242"/>
    </row>
    <row r="128">
      <c r="A128" s="242"/>
      <c r="B128" s="13"/>
      <c r="C128" s="242"/>
      <c r="D128" s="242"/>
      <c r="E128" s="242"/>
      <c r="F128" s="242"/>
      <c r="G128" s="13"/>
      <c r="H128" s="13"/>
      <c r="I128" s="13"/>
      <c r="J128" s="13"/>
      <c r="K128" s="13"/>
      <c r="L128" s="242"/>
      <c r="M128" s="242"/>
      <c r="N128" s="242"/>
      <c r="O128" s="242"/>
      <c r="P128" s="242"/>
      <c r="Q128" s="525"/>
      <c r="R128" s="242"/>
      <c r="S128" s="242"/>
      <c r="T128" s="242"/>
      <c r="U128" s="242"/>
      <c r="V128" s="242"/>
      <c r="W128" s="242"/>
      <c r="X128" s="242"/>
      <c r="Y128" s="242"/>
      <c r="Z128" s="242"/>
      <c r="AA128" s="242"/>
      <c r="AB128" s="242"/>
      <c r="AC128" s="242"/>
      <c r="AD128" s="242"/>
      <c r="AE128" s="242"/>
      <c r="AF128" s="242"/>
      <c r="AG128" s="242"/>
      <c r="AH128" s="242"/>
      <c r="AI128" s="242"/>
      <c r="AJ128" s="13"/>
      <c r="AK128" s="242"/>
      <c r="AL128" s="242"/>
      <c r="AM128" s="242"/>
      <c r="AN128" s="242"/>
      <c r="AO128" s="242"/>
    </row>
    <row r="129">
      <c r="A129" s="242"/>
      <c r="B129" s="13"/>
      <c r="C129" s="242"/>
      <c r="D129" s="242"/>
      <c r="E129" s="242"/>
      <c r="F129" s="242"/>
      <c r="G129" s="13"/>
      <c r="H129" s="13"/>
      <c r="I129" s="13"/>
      <c r="J129" s="13"/>
      <c r="K129" s="13"/>
      <c r="L129" s="242"/>
      <c r="M129" s="242"/>
      <c r="N129" s="242"/>
      <c r="O129" s="242"/>
      <c r="P129" s="242"/>
      <c r="Q129" s="525"/>
      <c r="R129" s="242"/>
      <c r="S129" s="242"/>
      <c r="T129" s="242"/>
      <c r="U129" s="242"/>
      <c r="V129" s="242"/>
      <c r="W129" s="242"/>
      <c r="X129" s="242"/>
      <c r="Y129" s="242"/>
      <c r="Z129" s="242"/>
      <c r="AA129" s="242"/>
      <c r="AB129" s="242"/>
      <c r="AC129" s="242"/>
      <c r="AD129" s="242"/>
      <c r="AE129" s="242"/>
      <c r="AF129" s="242"/>
      <c r="AG129" s="242"/>
      <c r="AH129" s="242"/>
      <c r="AI129" s="242"/>
      <c r="AJ129" s="13"/>
      <c r="AK129" s="242"/>
      <c r="AL129" s="242"/>
      <c r="AM129" s="242"/>
      <c r="AN129" s="242"/>
      <c r="AO129" s="242"/>
    </row>
    <row r="130">
      <c r="A130" s="242"/>
      <c r="B130" s="13"/>
      <c r="C130" s="242"/>
      <c r="D130" s="242"/>
      <c r="E130" s="242"/>
      <c r="F130" s="242"/>
      <c r="G130" s="13"/>
      <c r="H130" s="13"/>
      <c r="I130" s="13"/>
      <c r="J130" s="13"/>
      <c r="K130" s="13"/>
      <c r="L130" s="242"/>
      <c r="M130" s="242"/>
      <c r="N130" s="242"/>
      <c r="O130" s="242"/>
      <c r="P130" s="242"/>
      <c r="Q130" s="525"/>
      <c r="R130" s="242"/>
      <c r="S130" s="242"/>
      <c r="T130" s="242"/>
      <c r="U130" s="242"/>
      <c r="V130" s="242"/>
      <c r="W130" s="242"/>
      <c r="X130" s="242"/>
      <c r="Y130" s="242"/>
      <c r="Z130" s="242"/>
      <c r="AA130" s="242"/>
      <c r="AB130" s="242"/>
      <c r="AC130" s="242"/>
      <c r="AD130" s="242"/>
      <c r="AE130" s="242"/>
      <c r="AF130" s="242"/>
      <c r="AG130" s="242"/>
      <c r="AH130" s="242"/>
      <c r="AI130" s="242"/>
      <c r="AJ130" s="13"/>
      <c r="AK130" s="242"/>
      <c r="AL130" s="242"/>
      <c r="AM130" s="242"/>
      <c r="AN130" s="242"/>
      <c r="AO130" s="242"/>
    </row>
    <row r="131">
      <c r="A131" s="242"/>
      <c r="B131" s="13"/>
      <c r="C131" s="242"/>
      <c r="D131" s="242"/>
      <c r="E131" s="242"/>
      <c r="F131" s="242"/>
      <c r="G131" s="13"/>
      <c r="H131" s="13"/>
      <c r="I131" s="13"/>
      <c r="J131" s="13"/>
      <c r="K131" s="13"/>
      <c r="L131" s="242"/>
      <c r="M131" s="242"/>
      <c r="N131" s="242"/>
      <c r="O131" s="242"/>
      <c r="P131" s="242"/>
      <c r="Q131" s="525"/>
      <c r="R131" s="242"/>
      <c r="S131" s="242"/>
      <c r="T131" s="242"/>
      <c r="U131" s="242"/>
      <c r="V131" s="242"/>
      <c r="W131" s="242"/>
      <c r="X131" s="242"/>
      <c r="Y131" s="242"/>
      <c r="Z131" s="242"/>
      <c r="AA131" s="242"/>
      <c r="AB131" s="242"/>
      <c r="AC131" s="242"/>
      <c r="AD131" s="242"/>
      <c r="AE131" s="242"/>
      <c r="AF131" s="242"/>
      <c r="AG131" s="242"/>
      <c r="AH131" s="242"/>
      <c r="AI131" s="242"/>
      <c r="AJ131" s="13"/>
      <c r="AK131" s="242"/>
      <c r="AL131" s="242"/>
      <c r="AM131" s="242"/>
      <c r="AN131" s="242"/>
      <c r="AO131" s="242"/>
    </row>
    <row r="132">
      <c r="A132" s="242"/>
      <c r="B132" s="13"/>
      <c r="C132" s="242"/>
      <c r="D132" s="242"/>
      <c r="E132" s="242"/>
      <c r="F132" s="242"/>
      <c r="G132" s="13"/>
      <c r="H132" s="13"/>
      <c r="I132" s="13"/>
      <c r="J132" s="13"/>
      <c r="K132" s="13"/>
      <c r="L132" s="242"/>
      <c r="M132" s="242"/>
      <c r="N132" s="242"/>
      <c r="O132" s="242"/>
      <c r="P132" s="242"/>
      <c r="Q132" s="525"/>
      <c r="R132" s="242"/>
      <c r="S132" s="242"/>
      <c r="T132" s="242"/>
      <c r="U132" s="242"/>
      <c r="V132" s="242"/>
      <c r="W132" s="242"/>
      <c r="X132" s="242"/>
      <c r="Y132" s="242"/>
      <c r="Z132" s="242"/>
      <c r="AA132" s="242"/>
      <c r="AB132" s="242"/>
      <c r="AC132" s="242"/>
      <c r="AD132" s="242"/>
      <c r="AE132" s="242"/>
      <c r="AF132" s="242"/>
      <c r="AG132" s="242"/>
      <c r="AH132" s="242"/>
      <c r="AI132" s="242"/>
      <c r="AJ132" s="13"/>
      <c r="AK132" s="242"/>
      <c r="AL132" s="242"/>
      <c r="AM132" s="242"/>
      <c r="AN132" s="242"/>
      <c r="AO132" s="242"/>
    </row>
    <row r="133">
      <c r="A133" s="242"/>
      <c r="B133" s="13"/>
      <c r="C133" s="242"/>
      <c r="D133" s="242"/>
      <c r="E133" s="242"/>
      <c r="F133" s="242"/>
      <c r="G133" s="13"/>
      <c r="H133" s="13"/>
      <c r="I133" s="13"/>
      <c r="J133" s="13"/>
      <c r="K133" s="13"/>
      <c r="L133" s="242"/>
      <c r="M133" s="242"/>
      <c r="N133" s="242"/>
      <c r="O133" s="242"/>
      <c r="P133" s="242"/>
      <c r="Q133" s="525"/>
      <c r="R133" s="242"/>
      <c r="S133" s="242"/>
      <c r="T133" s="242"/>
      <c r="U133" s="242"/>
      <c r="V133" s="242"/>
      <c r="W133" s="242"/>
      <c r="X133" s="242"/>
      <c r="Y133" s="242"/>
      <c r="Z133" s="242"/>
      <c r="AA133" s="242"/>
      <c r="AB133" s="242"/>
      <c r="AC133" s="242"/>
      <c r="AD133" s="242"/>
      <c r="AE133" s="242"/>
      <c r="AF133" s="242"/>
      <c r="AG133" s="242"/>
      <c r="AH133" s="242"/>
      <c r="AI133" s="242"/>
      <c r="AJ133" s="13"/>
      <c r="AK133" s="242"/>
      <c r="AL133" s="242"/>
      <c r="AM133" s="242"/>
      <c r="AN133" s="242"/>
      <c r="AO133" s="242"/>
    </row>
    <row r="134">
      <c r="A134" s="242"/>
      <c r="B134" s="13"/>
      <c r="C134" s="242"/>
      <c r="D134" s="242"/>
      <c r="E134" s="242"/>
      <c r="F134" s="242"/>
      <c r="G134" s="13"/>
      <c r="H134" s="13"/>
      <c r="I134" s="13"/>
      <c r="J134" s="13"/>
      <c r="K134" s="13"/>
      <c r="L134" s="242"/>
      <c r="M134" s="242"/>
      <c r="N134" s="242"/>
      <c r="O134" s="242"/>
      <c r="P134" s="242"/>
      <c r="Q134" s="525"/>
      <c r="R134" s="242"/>
      <c r="S134" s="242"/>
      <c r="T134" s="242"/>
      <c r="U134" s="242"/>
      <c r="V134" s="242"/>
      <c r="W134" s="242"/>
      <c r="X134" s="242"/>
      <c r="Y134" s="242"/>
      <c r="Z134" s="242"/>
      <c r="AA134" s="242"/>
      <c r="AB134" s="242"/>
      <c r="AC134" s="242"/>
      <c r="AD134" s="242"/>
      <c r="AE134" s="242"/>
      <c r="AF134" s="242"/>
      <c r="AG134" s="242"/>
      <c r="AH134" s="242"/>
      <c r="AI134" s="242"/>
      <c r="AJ134" s="13"/>
      <c r="AK134" s="242"/>
      <c r="AL134" s="242"/>
      <c r="AM134" s="242"/>
      <c r="AN134" s="242"/>
      <c r="AO134" s="242"/>
    </row>
    <row r="135">
      <c r="A135" s="242"/>
      <c r="B135" s="13"/>
      <c r="C135" s="242"/>
      <c r="D135" s="242"/>
      <c r="E135" s="242"/>
      <c r="F135" s="242"/>
      <c r="G135" s="13"/>
      <c r="H135" s="13"/>
      <c r="I135" s="13"/>
      <c r="J135" s="13"/>
      <c r="K135" s="13"/>
      <c r="L135" s="242"/>
      <c r="M135" s="242"/>
      <c r="N135" s="242"/>
      <c r="O135" s="242"/>
      <c r="P135" s="242"/>
      <c r="Q135" s="525"/>
      <c r="R135" s="242"/>
      <c r="S135" s="242"/>
      <c r="T135" s="242"/>
      <c r="U135" s="242"/>
      <c r="V135" s="242"/>
      <c r="W135" s="242"/>
      <c r="X135" s="242"/>
      <c r="Y135" s="242"/>
      <c r="Z135" s="242"/>
      <c r="AA135" s="242"/>
      <c r="AB135" s="242"/>
      <c r="AC135" s="242"/>
      <c r="AD135" s="242"/>
      <c r="AE135" s="242"/>
      <c r="AF135" s="242"/>
      <c r="AG135" s="242"/>
      <c r="AH135" s="242"/>
      <c r="AI135" s="242"/>
      <c r="AJ135" s="13"/>
      <c r="AK135" s="242"/>
      <c r="AL135" s="242"/>
      <c r="AM135" s="242"/>
      <c r="AN135" s="242"/>
      <c r="AO135" s="242"/>
    </row>
    <row r="136">
      <c r="A136" s="242"/>
      <c r="B136" s="13"/>
      <c r="C136" s="242"/>
      <c r="D136" s="242"/>
      <c r="E136" s="242"/>
      <c r="F136" s="242"/>
      <c r="G136" s="13"/>
      <c r="H136" s="13"/>
      <c r="I136" s="13"/>
      <c r="J136" s="13"/>
      <c r="K136" s="13"/>
      <c r="L136" s="242"/>
      <c r="M136" s="242"/>
      <c r="N136" s="242"/>
      <c r="O136" s="242"/>
      <c r="P136" s="242"/>
      <c r="Q136" s="525"/>
      <c r="R136" s="242"/>
      <c r="S136" s="242"/>
      <c r="T136" s="242"/>
      <c r="U136" s="242"/>
      <c r="V136" s="242"/>
      <c r="W136" s="242"/>
      <c r="X136" s="242"/>
      <c r="Y136" s="242"/>
      <c r="Z136" s="242"/>
      <c r="AA136" s="242"/>
      <c r="AB136" s="242"/>
      <c r="AC136" s="242"/>
      <c r="AD136" s="242"/>
      <c r="AE136" s="242"/>
      <c r="AF136" s="242"/>
      <c r="AG136" s="242"/>
      <c r="AH136" s="242"/>
      <c r="AI136" s="242"/>
      <c r="AJ136" s="13"/>
      <c r="AK136" s="242"/>
      <c r="AL136" s="242"/>
      <c r="AM136" s="242"/>
      <c r="AN136" s="242"/>
      <c r="AO136" s="242"/>
    </row>
    <row r="137">
      <c r="A137" s="242"/>
      <c r="B137" s="13"/>
      <c r="C137" s="242"/>
      <c r="D137" s="242"/>
      <c r="E137" s="242"/>
      <c r="F137" s="242"/>
      <c r="G137" s="13"/>
      <c r="H137" s="13"/>
      <c r="I137" s="13"/>
      <c r="J137" s="13"/>
      <c r="K137" s="13"/>
      <c r="L137" s="242"/>
      <c r="M137" s="242"/>
      <c r="N137" s="242"/>
      <c r="O137" s="242"/>
      <c r="P137" s="242"/>
      <c r="Q137" s="525"/>
      <c r="R137" s="242"/>
      <c r="S137" s="242"/>
      <c r="T137" s="242"/>
      <c r="U137" s="242"/>
      <c r="V137" s="242"/>
      <c r="W137" s="242"/>
      <c r="X137" s="242"/>
      <c r="Y137" s="242"/>
      <c r="Z137" s="242"/>
      <c r="AA137" s="242"/>
      <c r="AB137" s="242"/>
      <c r="AC137" s="242"/>
      <c r="AD137" s="242"/>
      <c r="AE137" s="242"/>
      <c r="AF137" s="242"/>
      <c r="AG137" s="242"/>
      <c r="AH137" s="242"/>
      <c r="AI137" s="242"/>
      <c r="AJ137" s="13"/>
      <c r="AK137" s="242"/>
      <c r="AL137" s="242"/>
      <c r="AM137" s="242"/>
      <c r="AN137" s="242"/>
      <c r="AO137" s="242"/>
    </row>
    <row r="138">
      <c r="A138" s="242"/>
      <c r="B138" s="13"/>
      <c r="C138" s="242"/>
      <c r="D138" s="242"/>
      <c r="E138" s="242"/>
      <c r="F138" s="242"/>
      <c r="G138" s="13"/>
      <c r="H138" s="13"/>
      <c r="I138" s="13"/>
      <c r="J138" s="13"/>
      <c r="K138" s="13"/>
      <c r="L138" s="242"/>
      <c r="M138" s="242"/>
      <c r="N138" s="242"/>
      <c r="O138" s="242"/>
      <c r="P138" s="242"/>
      <c r="Q138" s="525"/>
      <c r="R138" s="242"/>
      <c r="S138" s="242"/>
      <c r="T138" s="242"/>
      <c r="U138" s="242"/>
      <c r="V138" s="242"/>
      <c r="W138" s="242"/>
      <c r="X138" s="242"/>
      <c r="Y138" s="242"/>
      <c r="Z138" s="242"/>
      <c r="AA138" s="242"/>
      <c r="AB138" s="242"/>
      <c r="AC138" s="242"/>
      <c r="AD138" s="242"/>
      <c r="AE138" s="242"/>
      <c r="AF138" s="242"/>
      <c r="AG138" s="242"/>
      <c r="AH138" s="242"/>
      <c r="AI138" s="242"/>
      <c r="AJ138" s="13"/>
      <c r="AK138" s="242"/>
      <c r="AL138" s="242"/>
      <c r="AM138" s="242"/>
      <c r="AN138" s="242"/>
      <c r="AO138" s="242"/>
    </row>
    <row r="139">
      <c r="A139" s="242"/>
      <c r="B139" s="13"/>
      <c r="C139" s="242"/>
      <c r="D139" s="242"/>
      <c r="E139" s="242"/>
      <c r="F139" s="242"/>
      <c r="G139" s="13"/>
      <c r="H139" s="13"/>
      <c r="I139" s="13"/>
      <c r="J139" s="13"/>
      <c r="K139" s="13"/>
      <c r="L139" s="242"/>
      <c r="M139" s="242"/>
      <c r="N139" s="242"/>
      <c r="O139" s="242"/>
      <c r="P139" s="242"/>
      <c r="Q139" s="525"/>
      <c r="R139" s="242"/>
      <c r="S139" s="242"/>
      <c r="T139" s="242"/>
      <c r="U139" s="242"/>
      <c r="V139" s="242"/>
      <c r="W139" s="242"/>
      <c r="X139" s="242"/>
      <c r="Y139" s="242"/>
      <c r="Z139" s="242"/>
      <c r="AA139" s="242"/>
      <c r="AB139" s="242"/>
      <c r="AC139" s="242"/>
      <c r="AD139" s="242"/>
      <c r="AE139" s="242"/>
      <c r="AF139" s="242"/>
      <c r="AG139" s="242"/>
      <c r="AH139" s="242"/>
      <c r="AI139" s="242"/>
      <c r="AJ139" s="13"/>
      <c r="AK139" s="242"/>
      <c r="AL139" s="242"/>
      <c r="AM139" s="242"/>
      <c r="AN139" s="242"/>
      <c r="AO139" s="242"/>
    </row>
    <row r="140">
      <c r="A140" s="242"/>
      <c r="B140" s="13"/>
      <c r="C140" s="242"/>
      <c r="D140" s="242"/>
      <c r="E140" s="242"/>
      <c r="F140" s="242"/>
      <c r="G140" s="13"/>
      <c r="H140" s="13"/>
      <c r="I140" s="13"/>
      <c r="J140" s="13"/>
      <c r="K140" s="13"/>
      <c r="L140" s="242"/>
      <c r="M140" s="242"/>
      <c r="N140" s="242"/>
      <c r="O140" s="242"/>
      <c r="P140" s="242"/>
      <c r="Q140" s="525"/>
      <c r="R140" s="242"/>
      <c r="S140" s="242"/>
      <c r="T140" s="242"/>
      <c r="U140" s="242"/>
      <c r="V140" s="242"/>
      <c r="W140" s="242"/>
      <c r="X140" s="242"/>
      <c r="Y140" s="242"/>
      <c r="Z140" s="242"/>
      <c r="AA140" s="242"/>
      <c r="AB140" s="242"/>
      <c r="AC140" s="242"/>
      <c r="AD140" s="242"/>
      <c r="AE140" s="242"/>
      <c r="AF140" s="242"/>
      <c r="AG140" s="242"/>
      <c r="AH140" s="242"/>
      <c r="AI140" s="242"/>
      <c r="AJ140" s="13"/>
      <c r="AK140" s="242"/>
      <c r="AL140" s="242"/>
      <c r="AM140" s="242"/>
      <c r="AN140" s="242"/>
      <c r="AO140" s="242"/>
    </row>
    <row r="141">
      <c r="A141" s="242"/>
      <c r="B141" s="13"/>
      <c r="C141" s="242"/>
      <c r="D141" s="242"/>
      <c r="E141" s="242"/>
      <c r="F141" s="242"/>
      <c r="G141" s="13"/>
      <c r="H141" s="13"/>
      <c r="I141" s="13"/>
      <c r="J141" s="13"/>
      <c r="K141" s="13"/>
      <c r="L141" s="242"/>
      <c r="M141" s="242"/>
      <c r="N141" s="242"/>
      <c r="O141" s="242"/>
      <c r="P141" s="242"/>
      <c r="Q141" s="525"/>
      <c r="R141" s="242"/>
      <c r="S141" s="242"/>
      <c r="T141" s="242"/>
      <c r="U141" s="242"/>
      <c r="V141" s="242"/>
      <c r="W141" s="242"/>
      <c r="X141" s="242"/>
      <c r="Y141" s="242"/>
      <c r="Z141" s="242"/>
      <c r="AA141" s="242"/>
      <c r="AB141" s="242"/>
      <c r="AC141" s="242"/>
      <c r="AD141" s="242"/>
      <c r="AE141" s="242"/>
      <c r="AF141" s="242"/>
      <c r="AG141" s="242"/>
      <c r="AH141" s="242"/>
      <c r="AI141" s="242"/>
      <c r="AJ141" s="13"/>
      <c r="AK141" s="242"/>
      <c r="AL141" s="242"/>
      <c r="AM141" s="242"/>
      <c r="AN141" s="242"/>
      <c r="AO141" s="242"/>
    </row>
    <row r="142">
      <c r="A142" s="242"/>
      <c r="B142" s="13"/>
      <c r="C142" s="242"/>
      <c r="D142" s="242"/>
      <c r="E142" s="242"/>
      <c r="F142" s="242"/>
      <c r="G142" s="13"/>
      <c r="H142" s="13"/>
      <c r="I142" s="13"/>
      <c r="J142" s="13"/>
      <c r="K142" s="13"/>
      <c r="L142" s="242"/>
      <c r="M142" s="242"/>
      <c r="N142" s="242"/>
      <c r="O142" s="242"/>
      <c r="P142" s="242"/>
      <c r="Q142" s="525"/>
      <c r="R142" s="242"/>
      <c r="S142" s="242"/>
      <c r="T142" s="242"/>
      <c r="U142" s="242"/>
      <c r="V142" s="242"/>
      <c r="W142" s="242"/>
      <c r="X142" s="242"/>
      <c r="Y142" s="242"/>
      <c r="Z142" s="242"/>
      <c r="AA142" s="242"/>
      <c r="AB142" s="242"/>
      <c r="AC142" s="242"/>
      <c r="AD142" s="242"/>
      <c r="AE142" s="242"/>
      <c r="AF142" s="242"/>
      <c r="AG142" s="242"/>
      <c r="AH142" s="242"/>
      <c r="AI142" s="242"/>
      <c r="AJ142" s="13"/>
      <c r="AK142" s="242"/>
      <c r="AL142" s="242"/>
      <c r="AM142" s="242"/>
      <c r="AN142" s="242"/>
      <c r="AO142" s="242"/>
    </row>
    <row r="143">
      <c r="A143" s="242"/>
      <c r="B143" s="13"/>
      <c r="C143" s="242"/>
      <c r="D143" s="242"/>
      <c r="E143" s="242"/>
      <c r="F143" s="242"/>
      <c r="G143" s="13"/>
      <c r="H143" s="13"/>
      <c r="I143" s="13"/>
      <c r="J143" s="13"/>
      <c r="K143" s="13"/>
      <c r="L143" s="242"/>
      <c r="M143" s="242"/>
      <c r="N143" s="242"/>
      <c r="O143" s="242"/>
      <c r="P143" s="242"/>
      <c r="Q143" s="525"/>
      <c r="R143" s="242"/>
      <c r="S143" s="242"/>
      <c r="T143" s="242"/>
      <c r="U143" s="242"/>
      <c r="V143" s="242"/>
      <c r="W143" s="242"/>
      <c r="X143" s="242"/>
      <c r="Y143" s="242"/>
      <c r="Z143" s="242"/>
      <c r="AA143" s="242"/>
      <c r="AB143" s="242"/>
      <c r="AC143" s="242"/>
      <c r="AD143" s="242"/>
      <c r="AE143" s="242"/>
      <c r="AF143" s="242"/>
      <c r="AG143" s="242"/>
      <c r="AH143" s="242"/>
      <c r="AI143" s="242"/>
      <c r="AJ143" s="13"/>
      <c r="AK143" s="242"/>
      <c r="AL143" s="242"/>
      <c r="AM143" s="242"/>
      <c r="AN143" s="242"/>
      <c r="AO143" s="242"/>
    </row>
    <row r="144">
      <c r="A144" s="242"/>
      <c r="B144" s="13"/>
      <c r="C144" s="242"/>
      <c r="D144" s="242"/>
      <c r="E144" s="242"/>
      <c r="F144" s="242"/>
      <c r="G144" s="13"/>
      <c r="H144" s="13"/>
      <c r="I144" s="13"/>
      <c r="J144" s="13"/>
      <c r="K144" s="13"/>
      <c r="L144" s="242"/>
      <c r="M144" s="242"/>
      <c r="N144" s="242"/>
      <c r="O144" s="242"/>
      <c r="P144" s="242"/>
      <c r="Q144" s="525"/>
      <c r="R144" s="242"/>
      <c r="S144" s="242"/>
      <c r="T144" s="242"/>
      <c r="U144" s="242"/>
      <c r="V144" s="242"/>
      <c r="W144" s="242"/>
      <c r="X144" s="242"/>
      <c r="Y144" s="242"/>
      <c r="Z144" s="242"/>
      <c r="AA144" s="242"/>
      <c r="AB144" s="242"/>
      <c r="AC144" s="242"/>
      <c r="AD144" s="242"/>
      <c r="AE144" s="242"/>
      <c r="AF144" s="242"/>
      <c r="AG144" s="242"/>
      <c r="AH144" s="242"/>
      <c r="AI144" s="242"/>
      <c r="AJ144" s="13"/>
      <c r="AK144" s="242"/>
      <c r="AL144" s="242"/>
      <c r="AM144" s="242"/>
      <c r="AN144" s="242"/>
      <c r="AO144" s="242"/>
    </row>
    <row r="145">
      <c r="A145" s="242"/>
      <c r="B145" s="13"/>
      <c r="C145" s="242"/>
      <c r="D145" s="242"/>
      <c r="E145" s="242"/>
      <c r="F145" s="242"/>
      <c r="G145" s="13"/>
      <c r="H145" s="13"/>
      <c r="I145" s="13"/>
      <c r="J145" s="13"/>
      <c r="K145" s="13"/>
      <c r="L145" s="242"/>
      <c r="M145" s="242"/>
      <c r="N145" s="242"/>
      <c r="O145" s="242"/>
      <c r="P145" s="242"/>
      <c r="Q145" s="525"/>
      <c r="R145" s="242"/>
      <c r="S145" s="242"/>
      <c r="T145" s="242"/>
      <c r="U145" s="242"/>
      <c r="V145" s="242"/>
      <c r="W145" s="242"/>
      <c r="X145" s="242"/>
      <c r="Y145" s="242"/>
      <c r="Z145" s="242"/>
      <c r="AA145" s="242"/>
      <c r="AB145" s="242"/>
      <c r="AC145" s="242"/>
      <c r="AD145" s="242"/>
      <c r="AE145" s="242"/>
      <c r="AF145" s="242"/>
      <c r="AG145" s="242"/>
      <c r="AH145" s="242"/>
      <c r="AI145" s="242"/>
      <c r="AJ145" s="13"/>
      <c r="AK145" s="242"/>
      <c r="AL145" s="242"/>
      <c r="AM145" s="242"/>
      <c r="AN145" s="242"/>
      <c r="AO145" s="242"/>
    </row>
    <row r="146">
      <c r="A146" s="242"/>
      <c r="B146" s="13"/>
      <c r="C146" s="242"/>
      <c r="D146" s="242"/>
      <c r="E146" s="242"/>
      <c r="F146" s="242"/>
      <c r="G146" s="13"/>
      <c r="H146" s="13"/>
      <c r="I146" s="13"/>
      <c r="J146" s="13"/>
      <c r="K146" s="13"/>
      <c r="L146" s="242"/>
      <c r="M146" s="242"/>
      <c r="N146" s="242"/>
      <c r="O146" s="242"/>
      <c r="P146" s="242"/>
      <c r="Q146" s="525"/>
      <c r="R146" s="242"/>
      <c r="S146" s="242"/>
      <c r="T146" s="242"/>
      <c r="U146" s="242"/>
      <c r="V146" s="242"/>
      <c r="W146" s="242"/>
      <c r="X146" s="242"/>
      <c r="Y146" s="242"/>
      <c r="Z146" s="242"/>
      <c r="AA146" s="242"/>
      <c r="AB146" s="242"/>
      <c r="AC146" s="242"/>
      <c r="AD146" s="242"/>
      <c r="AE146" s="242"/>
      <c r="AF146" s="242"/>
      <c r="AG146" s="242"/>
      <c r="AH146" s="242"/>
      <c r="AI146" s="242"/>
      <c r="AJ146" s="13"/>
      <c r="AK146" s="242"/>
      <c r="AL146" s="242"/>
      <c r="AM146" s="242"/>
      <c r="AN146" s="242"/>
      <c r="AO146" s="242"/>
    </row>
    <row r="147">
      <c r="A147" s="242"/>
      <c r="B147" s="13"/>
      <c r="C147" s="242"/>
      <c r="D147" s="242"/>
      <c r="E147" s="242"/>
      <c r="F147" s="242"/>
      <c r="G147" s="13"/>
      <c r="H147" s="13"/>
      <c r="I147" s="13"/>
      <c r="J147" s="13"/>
      <c r="K147" s="13"/>
      <c r="L147" s="242"/>
      <c r="M147" s="242"/>
      <c r="N147" s="242"/>
      <c r="O147" s="242"/>
      <c r="P147" s="242"/>
      <c r="Q147" s="525"/>
      <c r="R147" s="242"/>
      <c r="S147" s="242"/>
      <c r="T147" s="242"/>
      <c r="U147" s="242"/>
      <c r="V147" s="242"/>
      <c r="W147" s="242"/>
      <c r="X147" s="242"/>
      <c r="Y147" s="242"/>
      <c r="Z147" s="242"/>
      <c r="AA147" s="242"/>
      <c r="AB147" s="242"/>
      <c r="AC147" s="242"/>
      <c r="AD147" s="242"/>
      <c r="AE147" s="242"/>
      <c r="AF147" s="242"/>
      <c r="AG147" s="242"/>
      <c r="AH147" s="242"/>
      <c r="AI147" s="242"/>
      <c r="AJ147" s="13"/>
      <c r="AK147" s="242"/>
      <c r="AL147" s="242"/>
      <c r="AM147" s="242"/>
      <c r="AN147" s="242"/>
      <c r="AO147" s="242"/>
    </row>
    <row r="148">
      <c r="A148" s="242"/>
      <c r="B148" s="13"/>
      <c r="C148" s="242"/>
      <c r="D148" s="242"/>
      <c r="E148" s="242"/>
      <c r="F148" s="242"/>
      <c r="G148" s="13"/>
      <c r="H148" s="13"/>
      <c r="I148" s="13"/>
      <c r="J148" s="13"/>
      <c r="K148" s="13"/>
      <c r="L148" s="242"/>
      <c r="M148" s="242"/>
      <c r="N148" s="242"/>
      <c r="O148" s="242"/>
      <c r="P148" s="242"/>
      <c r="Q148" s="525"/>
      <c r="R148" s="242"/>
      <c r="S148" s="242"/>
      <c r="T148" s="242"/>
      <c r="U148" s="242"/>
      <c r="V148" s="242"/>
      <c r="W148" s="242"/>
      <c r="X148" s="242"/>
      <c r="Y148" s="242"/>
      <c r="Z148" s="242"/>
      <c r="AA148" s="242"/>
      <c r="AB148" s="242"/>
      <c r="AC148" s="242"/>
      <c r="AD148" s="242"/>
      <c r="AE148" s="242"/>
      <c r="AF148" s="242"/>
      <c r="AG148" s="242"/>
      <c r="AH148" s="242"/>
      <c r="AI148" s="242"/>
      <c r="AJ148" s="13"/>
      <c r="AK148" s="242"/>
      <c r="AL148" s="242"/>
      <c r="AM148" s="242"/>
      <c r="AN148" s="242"/>
      <c r="AO148" s="242"/>
    </row>
    <row r="149">
      <c r="A149" s="242"/>
      <c r="B149" s="13"/>
      <c r="C149" s="242"/>
      <c r="D149" s="242"/>
      <c r="E149" s="242"/>
      <c r="F149" s="242"/>
      <c r="G149" s="13"/>
      <c r="H149" s="13"/>
      <c r="I149" s="13"/>
      <c r="J149" s="13"/>
      <c r="K149" s="13"/>
      <c r="L149" s="242"/>
      <c r="M149" s="242"/>
      <c r="N149" s="242"/>
      <c r="O149" s="242"/>
      <c r="P149" s="242"/>
      <c r="Q149" s="525"/>
      <c r="R149" s="242"/>
      <c r="S149" s="242"/>
      <c r="T149" s="242"/>
      <c r="U149" s="242"/>
      <c r="V149" s="242"/>
      <c r="W149" s="242"/>
      <c r="X149" s="242"/>
      <c r="Y149" s="242"/>
      <c r="Z149" s="242"/>
      <c r="AA149" s="242"/>
      <c r="AB149" s="242"/>
      <c r="AC149" s="242"/>
      <c r="AD149" s="242"/>
      <c r="AE149" s="242"/>
      <c r="AF149" s="242"/>
      <c r="AG149" s="242"/>
      <c r="AH149" s="242"/>
      <c r="AI149" s="242"/>
      <c r="AJ149" s="13"/>
      <c r="AK149" s="242"/>
      <c r="AL149" s="242"/>
      <c r="AM149" s="242"/>
      <c r="AN149" s="242"/>
      <c r="AO149" s="242"/>
    </row>
    <row r="150">
      <c r="A150" s="242"/>
      <c r="B150" s="13"/>
      <c r="C150" s="242"/>
      <c r="D150" s="242"/>
      <c r="E150" s="242"/>
      <c r="F150" s="242"/>
      <c r="G150" s="13"/>
      <c r="H150" s="13"/>
      <c r="I150" s="13"/>
      <c r="J150" s="13"/>
      <c r="K150" s="13"/>
      <c r="L150" s="242"/>
      <c r="M150" s="242"/>
      <c r="N150" s="242"/>
      <c r="O150" s="242"/>
      <c r="P150" s="242"/>
      <c r="Q150" s="525"/>
      <c r="R150" s="242"/>
      <c r="S150" s="242"/>
      <c r="T150" s="242"/>
      <c r="U150" s="242"/>
      <c r="V150" s="242"/>
      <c r="W150" s="242"/>
      <c r="X150" s="242"/>
      <c r="Y150" s="242"/>
      <c r="Z150" s="242"/>
      <c r="AA150" s="242"/>
      <c r="AB150" s="242"/>
      <c r="AC150" s="242"/>
      <c r="AD150" s="242"/>
      <c r="AE150" s="242"/>
      <c r="AF150" s="242"/>
      <c r="AG150" s="242"/>
      <c r="AH150" s="242"/>
      <c r="AI150" s="242"/>
      <c r="AJ150" s="13"/>
      <c r="AK150" s="242"/>
      <c r="AL150" s="242"/>
      <c r="AM150" s="242"/>
      <c r="AN150" s="242"/>
      <c r="AO150" s="242"/>
    </row>
    <row r="151">
      <c r="A151" s="242"/>
      <c r="B151" s="13"/>
      <c r="C151" s="242"/>
      <c r="D151" s="242"/>
      <c r="E151" s="242"/>
      <c r="F151" s="242"/>
      <c r="G151" s="13"/>
      <c r="H151" s="13"/>
      <c r="I151" s="13"/>
      <c r="J151" s="13"/>
      <c r="K151" s="13"/>
      <c r="L151" s="242"/>
      <c r="M151" s="242"/>
      <c r="N151" s="242"/>
      <c r="O151" s="242"/>
      <c r="P151" s="242"/>
      <c r="Q151" s="525"/>
      <c r="R151" s="242"/>
      <c r="S151" s="242"/>
      <c r="T151" s="242"/>
      <c r="U151" s="242"/>
      <c r="V151" s="242"/>
      <c r="W151" s="242"/>
      <c r="X151" s="242"/>
      <c r="Y151" s="242"/>
      <c r="Z151" s="242"/>
      <c r="AA151" s="242"/>
      <c r="AB151" s="242"/>
      <c r="AC151" s="242"/>
      <c r="AD151" s="242"/>
      <c r="AE151" s="242"/>
      <c r="AF151" s="242"/>
      <c r="AG151" s="242"/>
      <c r="AH151" s="242"/>
      <c r="AI151" s="242"/>
      <c r="AJ151" s="13"/>
      <c r="AK151" s="242"/>
      <c r="AL151" s="242"/>
      <c r="AM151" s="242"/>
      <c r="AN151" s="242"/>
      <c r="AO151" s="242"/>
    </row>
    <row r="152">
      <c r="A152" s="242"/>
      <c r="B152" s="13"/>
      <c r="C152" s="242"/>
      <c r="D152" s="242"/>
      <c r="E152" s="242"/>
      <c r="F152" s="242"/>
      <c r="G152" s="13"/>
      <c r="H152" s="13"/>
      <c r="I152" s="13"/>
      <c r="J152" s="13"/>
      <c r="K152" s="13"/>
      <c r="L152" s="242"/>
      <c r="M152" s="242"/>
      <c r="N152" s="242"/>
      <c r="O152" s="242"/>
      <c r="P152" s="242"/>
      <c r="Q152" s="525"/>
      <c r="R152" s="242"/>
      <c r="S152" s="242"/>
      <c r="T152" s="242"/>
      <c r="U152" s="242"/>
      <c r="V152" s="242"/>
      <c r="W152" s="242"/>
      <c r="X152" s="242"/>
      <c r="Y152" s="242"/>
      <c r="Z152" s="242"/>
      <c r="AA152" s="242"/>
      <c r="AB152" s="242"/>
      <c r="AC152" s="242"/>
      <c r="AD152" s="242"/>
      <c r="AE152" s="242"/>
      <c r="AF152" s="242"/>
      <c r="AG152" s="242"/>
      <c r="AH152" s="242"/>
      <c r="AI152" s="242"/>
      <c r="AJ152" s="13"/>
      <c r="AK152" s="242"/>
      <c r="AL152" s="242"/>
      <c r="AM152" s="242"/>
      <c r="AN152" s="242"/>
      <c r="AO152" s="242"/>
    </row>
    <row r="153">
      <c r="A153" s="242"/>
      <c r="B153" s="13"/>
      <c r="C153" s="242"/>
      <c r="D153" s="242"/>
      <c r="E153" s="242"/>
      <c r="F153" s="242"/>
      <c r="G153" s="13"/>
      <c r="H153" s="13"/>
      <c r="I153" s="13"/>
      <c r="J153" s="13"/>
      <c r="K153" s="13"/>
      <c r="L153" s="242"/>
      <c r="M153" s="242"/>
      <c r="N153" s="242"/>
      <c r="O153" s="242"/>
      <c r="P153" s="242"/>
      <c r="Q153" s="525"/>
      <c r="R153" s="242"/>
      <c r="S153" s="242"/>
      <c r="T153" s="242"/>
      <c r="U153" s="242"/>
      <c r="V153" s="242"/>
      <c r="W153" s="242"/>
      <c r="X153" s="242"/>
      <c r="Y153" s="242"/>
      <c r="Z153" s="242"/>
      <c r="AA153" s="242"/>
      <c r="AB153" s="242"/>
      <c r="AC153" s="242"/>
      <c r="AD153" s="242"/>
      <c r="AE153" s="242"/>
      <c r="AF153" s="242"/>
      <c r="AG153" s="242"/>
      <c r="AH153" s="242"/>
      <c r="AI153" s="242"/>
      <c r="AJ153" s="13"/>
      <c r="AK153" s="242"/>
      <c r="AL153" s="242"/>
      <c r="AM153" s="242"/>
      <c r="AN153" s="242"/>
      <c r="AO153" s="242"/>
    </row>
    <row r="154">
      <c r="A154" s="242"/>
      <c r="B154" s="13"/>
      <c r="C154" s="242"/>
      <c r="D154" s="242"/>
      <c r="E154" s="242"/>
      <c r="F154" s="242"/>
      <c r="G154" s="13"/>
      <c r="H154" s="13"/>
      <c r="I154" s="13"/>
      <c r="J154" s="13"/>
      <c r="K154" s="13"/>
      <c r="L154" s="242"/>
      <c r="M154" s="242"/>
      <c r="N154" s="242"/>
      <c r="O154" s="242"/>
      <c r="P154" s="242"/>
      <c r="Q154" s="525"/>
      <c r="R154" s="242"/>
      <c r="S154" s="242"/>
      <c r="T154" s="242"/>
      <c r="U154" s="242"/>
      <c r="V154" s="242"/>
      <c r="W154" s="242"/>
      <c r="X154" s="242"/>
      <c r="Y154" s="242"/>
      <c r="Z154" s="242"/>
      <c r="AA154" s="242"/>
      <c r="AB154" s="242"/>
      <c r="AC154" s="242"/>
      <c r="AD154" s="242"/>
      <c r="AE154" s="242"/>
      <c r="AF154" s="242"/>
      <c r="AG154" s="242"/>
      <c r="AH154" s="242"/>
      <c r="AI154" s="242"/>
      <c r="AJ154" s="13"/>
      <c r="AK154" s="242"/>
      <c r="AL154" s="242"/>
      <c r="AM154" s="242"/>
      <c r="AN154" s="242"/>
      <c r="AO154" s="242"/>
    </row>
    <row r="155">
      <c r="A155" s="242"/>
      <c r="B155" s="13"/>
      <c r="C155" s="242"/>
      <c r="D155" s="242"/>
      <c r="E155" s="242"/>
      <c r="F155" s="242"/>
      <c r="G155" s="13"/>
      <c r="H155" s="13"/>
      <c r="I155" s="13"/>
      <c r="J155" s="13"/>
      <c r="K155" s="13"/>
      <c r="L155" s="242"/>
      <c r="M155" s="242"/>
      <c r="N155" s="242"/>
      <c r="O155" s="242"/>
      <c r="P155" s="242"/>
      <c r="Q155" s="525"/>
      <c r="R155" s="242"/>
      <c r="S155" s="242"/>
      <c r="T155" s="242"/>
      <c r="U155" s="242"/>
      <c r="V155" s="242"/>
      <c r="W155" s="242"/>
      <c r="X155" s="242"/>
      <c r="Y155" s="242"/>
      <c r="Z155" s="242"/>
      <c r="AA155" s="242"/>
      <c r="AB155" s="242"/>
      <c r="AC155" s="242"/>
      <c r="AD155" s="242"/>
      <c r="AE155" s="242"/>
      <c r="AF155" s="242"/>
      <c r="AG155" s="242"/>
      <c r="AH155" s="242"/>
      <c r="AI155" s="242"/>
      <c r="AJ155" s="13"/>
      <c r="AK155" s="242"/>
      <c r="AL155" s="242"/>
      <c r="AM155" s="242"/>
      <c r="AN155" s="242"/>
      <c r="AO155" s="242"/>
    </row>
    <row r="156">
      <c r="A156" s="242"/>
      <c r="B156" s="13"/>
      <c r="C156" s="242"/>
      <c r="D156" s="242"/>
      <c r="E156" s="242"/>
      <c r="F156" s="242"/>
      <c r="G156" s="13"/>
      <c r="H156" s="13"/>
      <c r="I156" s="13"/>
      <c r="J156" s="13"/>
      <c r="K156" s="13"/>
      <c r="L156" s="242"/>
      <c r="M156" s="242"/>
      <c r="N156" s="242"/>
      <c r="O156" s="242"/>
      <c r="P156" s="242"/>
      <c r="Q156" s="525"/>
      <c r="R156" s="242"/>
      <c r="S156" s="242"/>
      <c r="T156" s="242"/>
      <c r="U156" s="242"/>
      <c r="V156" s="242"/>
      <c r="W156" s="242"/>
      <c r="X156" s="242"/>
      <c r="Y156" s="242"/>
      <c r="Z156" s="242"/>
      <c r="AA156" s="242"/>
      <c r="AB156" s="242"/>
      <c r="AC156" s="242"/>
      <c r="AD156" s="242"/>
      <c r="AE156" s="242"/>
      <c r="AF156" s="242"/>
      <c r="AG156" s="242"/>
      <c r="AH156" s="242"/>
      <c r="AI156" s="242"/>
      <c r="AJ156" s="13"/>
      <c r="AK156" s="242"/>
      <c r="AL156" s="242"/>
      <c r="AM156" s="242"/>
      <c r="AN156" s="242"/>
      <c r="AO156" s="242"/>
    </row>
    <row r="157">
      <c r="A157" s="242"/>
      <c r="B157" s="13"/>
      <c r="C157" s="242"/>
      <c r="D157" s="242"/>
      <c r="E157" s="242"/>
      <c r="F157" s="242"/>
      <c r="G157" s="13"/>
      <c r="H157" s="13"/>
      <c r="I157" s="13"/>
      <c r="J157" s="13"/>
      <c r="K157" s="13"/>
      <c r="L157" s="242"/>
      <c r="M157" s="242"/>
      <c r="N157" s="242"/>
      <c r="O157" s="242"/>
      <c r="P157" s="242"/>
      <c r="Q157" s="525"/>
      <c r="R157" s="242"/>
      <c r="S157" s="242"/>
      <c r="T157" s="242"/>
      <c r="U157" s="242"/>
      <c r="V157" s="242"/>
      <c r="W157" s="242"/>
      <c r="X157" s="242"/>
      <c r="Y157" s="242"/>
      <c r="Z157" s="242"/>
      <c r="AA157" s="242"/>
      <c r="AB157" s="242"/>
      <c r="AC157" s="242"/>
      <c r="AD157" s="242"/>
      <c r="AE157" s="242"/>
      <c r="AF157" s="242"/>
      <c r="AG157" s="242"/>
      <c r="AH157" s="242"/>
      <c r="AI157" s="242"/>
      <c r="AJ157" s="13"/>
      <c r="AK157" s="242"/>
      <c r="AL157" s="242"/>
      <c r="AM157" s="242"/>
      <c r="AN157" s="242"/>
      <c r="AO157" s="242"/>
    </row>
    <row r="158">
      <c r="A158" s="242"/>
      <c r="B158" s="13"/>
      <c r="C158" s="242"/>
      <c r="D158" s="242"/>
      <c r="E158" s="242"/>
      <c r="F158" s="242"/>
      <c r="G158" s="13"/>
      <c r="H158" s="13"/>
      <c r="I158" s="13"/>
      <c r="J158" s="13"/>
      <c r="K158" s="13"/>
      <c r="L158" s="242"/>
      <c r="M158" s="242"/>
      <c r="N158" s="242"/>
      <c r="O158" s="242"/>
      <c r="P158" s="242"/>
      <c r="Q158" s="525"/>
      <c r="R158" s="242"/>
      <c r="S158" s="242"/>
      <c r="T158" s="242"/>
      <c r="U158" s="242"/>
      <c r="V158" s="242"/>
      <c r="W158" s="242"/>
      <c r="X158" s="242"/>
      <c r="Y158" s="242"/>
      <c r="Z158" s="242"/>
      <c r="AA158" s="242"/>
      <c r="AB158" s="242"/>
      <c r="AC158" s="242"/>
      <c r="AD158" s="242"/>
      <c r="AE158" s="242"/>
      <c r="AF158" s="242"/>
      <c r="AG158" s="242"/>
      <c r="AH158" s="242"/>
      <c r="AI158" s="242"/>
      <c r="AJ158" s="13"/>
      <c r="AK158" s="242"/>
      <c r="AL158" s="242"/>
      <c r="AM158" s="242"/>
      <c r="AN158" s="242"/>
      <c r="AO158" s="242"/>
    </row>
    <row r="159">
      <c r="A159" s="242"/>
      <c r="B159" s="13"/>
      <c r="C159" s="242"/>
      <c r="D159" s="242"/>
      <c r="E159" s="242"/>
      <c r="F159" s="242"/>
      <c r="G159" s="13"/>
      <c r="H159" s="13"/>
      <c r="I159" s="13"/>
      <c r="J159" s="13"/>
      <c r="K159" s="13"/>
      <c r="L159" s="242"/>
      <c r="M159" s="242"/>
      <c r="N159" s="242"/>
      <c r="O159" s="242"/>
      <c r="P159" s="242"/>
      <c r="Q159" s="525"/>
      <c r="R159" s="242"/>
      <c r="S159" s="242"/>
      <c r="T159" s="242"/>
      <c r="U159" s="242"/>
      <c r="V159" s="242"/>
      <c r="W159" s="242"/>
      <c r="X159" s="242"/>
      <c r="Y159" s="242"/>
      <c r="Z159" s="242"/>
      <c r="AA159" s="242"/>
      <c r="AB159" s="242"/>
      <c r="AC159" s="242"/>
      <c r="AD159" s="242"/>
      <c r="AE159" s="242"/>
      <c r="AF159" s="242"/>
      <c r="AG159" s="242"/>
      <c r="AH159" s="242"/>
      <c r="AI159" s="242"/>
      <c r="AJ159" s="13"/>
      <c r="AK159" s="242"/>
      <c r="AL159" s="242"/>
      <c r="AM159" s="242"/>
      <c r="AN159" s="242"/>
      <c r="AO159" s="242"/>
    </row>
    <row r="160">
      <c r="A160" s="242"/>
      <c r="B160" s="13"/>
      <c r="C160" s="242"/>
      <c r="D160" s="242"/>
      <c r="E160" s="242"/>
      <c r="F160" s="242"/>
      <c r="G160" s="13"/>
      <c r="H160" s="13"/>
      <c r="I160" s="13"/>
      <c r="J160" s="13"/>
      <c r="K160" s="13"/>
      <c r="L160" s="242"/>
      <c r="M160" s="242"/>
      <c r="N160" s="242"/>
      <c r="O160" s="242"/>
      <c r="P160" s="242"/>
      <c r="Q160" s="525"/>
      <c r="R160" s="242"/>
      <c r="S160" s="242"/>
      <c r="T160" s="242"/>
      <c r="U160" s="242"/>
      <c r="V160" s="242"/>
      <c r="W160" s="242"/>
      <c r="X160" s="242"/>
      <c r="Y160" s="242"/>
      <c r="Z160" s="242"/>
      <c r="AA160" s="242"/>
      <c r="AB160" s="242"/>
      <c r="AC160" s="242"/>
      <c r="AD160" s="242"/>
      <c r="AE160" s="242"/>
      <c r="AF160" s="242"/>
      <c r="AG160" s="242"/>
      <c r="AH160" s="242"/>
      <c r="AI160" s="242"/>
      <c r="AJ160" s="13"/>
      <c r="AK160" s="242"/>
      <c r="AL160" s="242"/>
      <c r="AM160" s="242"/>
      <c r="AN160" s="242"/>
      <c r="AO160" s="242"/>
    </row>
    <row r="161">
      <c r="A161" s="242"/>
      <c r="B161" s="13"/>
      <c r="C161" s="242"/>
      <c r="D161" s="242"/>
      <c r="E161" s="242"/>
      <c r="F161" s="242"/>
      <c r="G161" s="13"/>
      <c r="H161" s="13"/>
      <c r="I161" s="13"/>
      <c r="J161" s="13"/>
      <c r="K161" s="13"/>
      <c r="L161" s="242"/>
      <c r="M161" s="242"/>
      <c r="N161" s="242"/>
      <c r="O161" s="242"/>
      <c r="P161" s="242"/>
      <c r="Q161" s="525"/>
      <c r="R161" s="242"/>
      <c r="S161" s="242"/>
      <c r="T161" s="242"/>
      <c r="U161" s="242"/>
      <c r="V161" s="242"/>
      <c r="W161" s="242"/>
      <c r="X161" s="242"/>
      <c r="Y161" s="242"/>
      <c r="Z161" s="242"/>
      <c r="AA161" s="242"/>
      <c r="AB161" s="242"/>
      <c r="AC161" s="242"/>
      <c r="AD161" s="242"/>
      <c r="AE161" s="242"/>
      <c r="AF161" s="242"/>
      <c r="AG161" s="242"/>
      <c r="AH161" s="242"/>
      <c r="AI161" s="242"/>
      <c r="AJ161" s="13"/>
      <c r="AK161" s="242"/>
      <c r="AL161" s="242"/>
      <c r="AM161" s="242"/>
      <c r="AN161" s="242"/>
      <c r="AO161" s="242"/>
    </row>
    <row r="162">
      <c r="A162" s="242"/>
      <c r="B162" s="13"/>
      <c r="C162" s="242"/>
      <c r="D162" s="242"/>
      <c r="E162" s="242"/>
      <c r="F162" s="242"/>
      <c r="G162" s="13"/>
      <c r="H162" s="13"/>
      <c r="I162" s="13"/>
      <c r="J162" s="13"/>
      <c r="K162" s="13"/>
      <c r="L162" s="242"/>
      <c r="M162" s="242"/>
      <c r="N162" s="242"/>
      <c r="O162" s="242"/>
      <c r="P162" s="242"/>
      <c r="Q162" s="525"/>
      <c r="R162" s="242"/>
      <c r="S162" s="242"/>
      <c r="T162" s="242"/>
      <c r="U162" s="242"/>
      <c r="V162" s="242"/>
      <c r="W162" s="242"/>
      <c r="X162" s="242"/>
      <c r="Y162" s="242"/>
      <c r="Z162" s="242"/>
      <c r="AA162" s="242"/>
      <c r="AB162" s="242"/>
      <c r="AC162" s="242"/>
      <c r="AD162" s="242"/>
      <c r="AE162" s="242"/>
      <c r="AF162" s="242"/>
      <c r="AG162" s="242"/>
      <c r="AH162" s="242"/>
      <c r="AI162" s="242"/>
      <c r="AJ162" s="13"/>
      <c r="AK162" s="242"/>
      <c r="AL162" s="242"/>
      <c r="AM162" s="242"/>
      <c r="AN162" s="242"/>
      <c r="AO162" s="242"/>
    </row>
    <row r="163">
      <c r="A163" s="242"/>
      <c r="B163" s="13"/>
      <c r="C163" s="242"/>
      <c r="D163" s="242"/>
      <c r="E163" s="242"/>
      <c r="F163" s="242"/>
      <c r="G163" s="13"/>
      <c r="H163" s="13"/>
      <c r="I163" s="13"/>
      <c r="J163" s="13"/>
      <c r="K163" s="13"/>
      <c r="L163" s="242"/>
      <c r="M163" s="242"/>
      <c r="N163" s="242"/>
      <c r="O163" s="242"/>
      <c r="P163" s="242"/>
      <c r="Q163" s="525"/>
      <c r="R163" s="242"/>
      <c r="S163" s="242"/>
      <c r="T163" s="242"/>
      <c r="U163" s="242"/>
      <c r="V163" s="242"/>
      <c r="W163" s="242"/>
      <c r="X163" s="242"/>
      <c r="Y163" s="242"/>
      <c r="Z163" s="242"/>
      <c r="AA163" s="242"/>
      <c r="AB163" s="242"/>
      <c r="AC163" s="242"/>
      <c r="AD163" s="242"/>
      <c r="AE163" s="242"/>
      <c r="AF163" s="242"/>
      <c r="AG163" s="242"/>
      <c r="AH163" s="242"/>
      <c r="AI163" s="242"/>
      <c r="AJ163" s="13"/>
      <c r="AK163" s="242"/>
      <c r="AL163" s="242"/>
      <c r="AM163" s="242"/>
      <c r="AN163" s="242"/>
      <c r="AO163" s="242"/>
    </row>
    <row r="164">
      <c r="A164" s="242"/>
      <c r="B164" s="13"/>
      <c r="C164" s="242"/>
      <c r="D164" s="242"/>
      <c r="E164" s="242"/>
      <c r="F164" s="242"/>
      <c r="G164" s="13"/>
      <c r="H164" s="13"/>
      <c r="I164" s="13"/>
      <c r="J164" s="13"/>
      <c r="K164" s="13"/>
      <c r="L164" s="242"/>
      <c r="M164" s="242"/>
      <c r="N164" s="242"/>
      <c r="O164" s="242"/>
      <c r="P164" s="242"/>
      <c r="Q164" s="525"/>
      <c r="R164" s="242"/>
      <c r="S164" s="242"/>
      <c r="T164" s="242"/>
      <c r="U164" s="242"/>
      <c r="V164" s="242"/>
      <c r="W164" s="242"/>
      <c r="X164" s="242"/>
      <c r="Y164" s="242"/>
      <c r="Z164" s="242"/>
      <c r="AA164" s="242"/>
      <c r="AB164" s="242"/>
      <c r="AC164" s="242"/>
      <c r="AD164" s="242"/>
      <c r="AE164" s="242"/>
      <c r="AF164" s="242"/>
      <c r="AG164" s="242"/>
      <c r="AH164" s="242"/>
      <c r="AI164" s="242"/>
      <c r="AJ164" s="13"/>
      <c r="AK164" s="242"/>
      <c r="AL164" s="242"/>
      <c r="AM164" s="242"/>
      <c r="AN164" s="242"/>
      <c r="AO164" s="242"/>
    </row>
    <row r="165">
      <c r="A165" s="242"/>
      <c r="B165" s="13"/>
      <c r="C165" s="242"/>
      <c r="D165" s="242"/>
      <c r="E165" s="242"/>
      <c r="F165" s="242"/>
      <c r="G165" s="13"/>
      <c r="H165" s="13"/>
      <c r="I165" s="13"/>
      <c r="J165" s="13"/>
      <c r="K165" s="13"/>
      <c r="L165" s="242"/>
      <c r="M165" s="242"/>
      <c r="N165" s="242"/>
      <c r="O165" s="242"/>
      <c r="P165" s="242"/>
      <c r="Q165" s="525"/>
      <c r="R165" s="242"/>
      <c r="S165" s="242"/>
      <c r="T165" s="242"/>
      <c r="U165" s="242"/>
      <c r="V165" s="242"/>
      <c r="W165" s="242"/>
      <c r="X165" s="242"/>
      <c r="Y165" s="242"/>
      <c r="Z165" s="242"/>
      <c r="AA165" s="242"/>
      <c r="AB165" s="242"/>
      <c r="AC165" s="242"/>
      <c r="AD165" s="242"/>
      <c r="AE165" s="242"/>
      <c r="AF165" s="242"/>
      <c r="AG165" s="242"/>
      <c r="AH165" s="242"/>
      <c r="AI165" s="242"/>
      <c r="AJ165" s="13"/>
      <c r="AK165" s="242"/>
      <c r="AL165" s="242"/>
      <c r="AM165" s="242"/>
      <c r="AN165" s="242"/>
      <c r="AO165" s="242"/>
    </row>
    <row r="166">
      <c r="A166" s="242"/>
      <c r="B166" s="13"/>
      <c r="C166" s="242"/>
      <c r="D166" s="242"/>
      <c r="E166" s="242"/>
      <c r="F166" s="242"/>
      <c r="G166" s="13"/>
      <c r="H166" s="13"/>
      <c r="I166" s="13"/>
      <c r="J166" s="13"/>
      <c r="K166" s="13"/>
      <c r="L166" s="242"/>
      <c r="M166" s="242"/>
      <c r="N166" s="242"/>
      <c r="O166" s="242"/>
      <c r="P166" s="242"/>
      <c r="Q166" s="525"/>
      <c r="R166" s="242"/>
      <c r="S166" s="242"/>
      <c r="T166" s="242"/>
      <c r="U166" s="242"/>
      <c r="V166" s="242"/>
      <c r="W166" s="242"/>
      <c r="X166" s="242"/>
      <c r="Y166" s="242"/>
      <c r="Z166" s="242"/>
      <c r="AA166" s="242"/>
      <c r="AB166" s="242"/>
      <c r="AC166" s="242"/>
      <c r="AD166" s="242"/>
      <c r="AE166" s="242"/>
      <c r="AF166" s="242"/>
      <c r="AG166" s="242"/>
      <c r="AH166" s="242"/>
      <c r="AI166" s="242"/>
      <c r="AJ166" s="13"/>
      <c r="AK166" s="242"/>
      <c r="AL166" s="242"/>
      <c r="AM166" s="242"/>
      <c r="AN166" s="242"/>
      <c r="AO166" s="242"/>
    </row>
    <row r="167">
      <c r="A167" s="242"/>
      <c r="B167" s="13"/>
      <c r="C167" s="242"/>
      <c r="D167" s="242"/>
      <c r="E167" s="242"/>
      <c r="F167" s="242"/>
      <c r="G167" s="13"/>
      <c r="H167" s="13"/>
      <c r="I167" s="13"/>
      <c r="J167" s="13"/>
      <c r="K167" s="13"/>
      <c r="L167" s="242"/>
      <c r="M167" s="242"/>
      <c r="N167" s="242"/>
      <c r="O167" s="242"/>
      <c r="P167" s="242"/>
      <c r="Q167" s="525"/>
      <c r="R167" s="242"/>
      <c r="S167" s="242"/>
      <c r="T167" s="242"/>
      <c r="U167" s="242"/>
      <c r="V167" s="242"/>
      <c r="W167" s="242"/>
      <c r="X167" s="242"/>
      <c r="Y167" s="242"/>
      <c r="Z167" s="242"/>
      <c r="AA167" s="242"/>
      <c r="AB167" s="242"/>
      <c r="AC167" s="242"/>
      <c r="AD167" s="242"/>
      <c r="AE167" s="242"/>
      <c r="AF167" s="242"/>
      <c r="AG167" s="242"/>
      <c r="AH167" s="242"/>
      <c r="AI167" s="242"/>
      <c r="AJ167" s="13"/>
      <c r="AK167" s="242"/>
      <c r="AL167" s="242"/>
      <c r="AM167" s="242"/>
      <c r="AN167" s="242"/>
      <c r="AO167" s="242"/>
    </row>
    <row r="168">
      <c r="A168" s="242"/>
      <c r="B168" s="13"/>
      <c r="C168" s="242"/>
      <c r="D168" s="242"/>
      <c r="E168" s="242"/>
      <c r="F168" s="242"/>
      <c r="G168" s="13"/>
      <c r="H168" s="13"/>
      <c r="I168" s="13"/>
      <c r="J168" s="13"/>
      <c r="K168" s="13"/>
      <c r="L168" s="242"/>
      <c r="M168" s="242"/>
      <c r="N168" s="242"/>
      <c r="O168" s="242"/>
      <c r="P168" s="242"/>
      <c r="Q168" s="525"/>
      <c r="R168" s="242"/>
      <c r="S168" s="242"/>
      <c r="T168" s="242"/>
      <c r="U168" s="242"/>
      <c r="V168" s="242"/>
      <c r="W168" s="242"/>
      <c r="X168" s="242"/>
      <c r="Y168" s="242"/>
      <c r="Z168" s="242"/>
      <c r="AA168" s="242"/>
      <c r="AB168" s="242"/>
      <c r="AC168" s="242"/>
      <c r="AD168" s="242"/>
      <c r="AE168" s="242"/>
      <c r="AF168" s="242"/>
      <c r="AG168" s="242"/>
      <c r="AH168" s="242"/>
      <c r="AI168" s="242"/>
      <c r="AJ168" s="13"/>
      <c r="AK168" s="242"/>
      <c r="AL168" s="242"/>
      <c r="AM168" s="242"/>
      <c r="AN168" s="242"/>
      <c r="AO168" s="242"/>
    </row>
    <row r="169">
      <c r="A169" s="242"/>
      <c r="B169" s="13"/>
      <c r="C169" s="242"/>
      <c r="D169" s="242"/>
      <c r="E169" s="242"/>
      <c r="F169" s="242"/>
      <c r="G169" s="13"/>
      <c r="H169" s="13"/>
      <c r="I169" s="13"/>
      <c r="J169" s="13"/>
      <c r="K169" s="13"/>
      <c r="L169" s="242"/>
      <c r="M169" s="242"/>
      <c r="N169" s="242"/>
      <c r="O169" s="242"/>
      <c r="P169" s="242"/>
      <c r="Q169" s="525"/>
      <c r="R169" s="242"/>
      <c r="S169" s="242"/>
      <c r="T169" s="242"/>
      <c r="U169" s="242"/>
      <c r="V169" s="242"/>
      <c r="W169" s="242"/>
      <c r="X169" s="242"/>
      <c r="Y169" s="242"/>
      <c r="Z169" s="242"/>
      <c r="AA169" s="242"/>
      <c r="AB169" s="242"/>
      <c r="AC169" s="242"/>
      <c r="AD169" s="242"/>
      <c r="AE169" s="242"/>
      <c r="AF169" s="242"/>
      <c r="AG169" s="242"/>
      <c r="AH169" s="242"/>
      <c r="AI169" s="242"/>
      <c r="AJ169" s="13"/>
      <c r="AK169" s="242"/>
      <c r="AL169" s="242"/>
      <c r="AM169" s="242"/>
      <c r="AN169" s="242"/>
      <c r="AO169" s="242"/>
    </row>
    <row r="170">
      <c r="A170" s="242"/>
      <c r="B170" s="13"/>
      <c r="C170" s="242"/>
      <c r="D170" s="242"/>
      <c r="E170" s="242"/>
      <c r="F170" s="242"/>
      <c r="G170" s="13"/>
      <c r="H170" s="13"/>
      <c r="I170" s="13"/>
      <c r="J170" s="13"/>
      <c r="K170" s="13"/>
      <c r="L170" s="242"/>
      <c r="M170" s="242"/>
      <c r="N170" s="242"/>
      <c r="O170" s="242"/>
      <c r="P170" s="242"/>
      <c r="Q170" s="525"/>
      <c r="R170" s="242"/>
      <c r="S170" s="242"/>
      <c r="T170" s="242"/>
      <c r="U170" s="242"/>
      <c r="V170" s="242"/>
      <c r="W170" s="242"/>
      <c r="X170" s="242"/>
      <c r="Y170" s="242"/>
      <c r="Z170" s="242"/>
      <c r="AA170" s="242"/>
      <c r="AB170" s="242"/>
      <c r="AC170" s="242"/>
      <c r="AD170" s="242"/>
      <c r="AE170" s="242"/>
      <c r="AF170" s="242"/>
      <c r="AG170" s="242"/>
      <c r="AH170" s="242"/>
      <c r="AI170" s="242"/>
      <c r="AJ170" s="13"/>
      <c r="AK170" s="242"/>
      <c r="AL170" s="242"/>
      <c r="AM170" s="242"/>
      <c r="AN170" s="242"/>
      <c r="AO170" s="242"/>
    </row>
    <row r="171">
      <c r="A171" s="242"/>
      <c r="B171" s="13"/>
      <c r="C171" s="242"/>
      <c r="D171" s="242"/>
      <c r="E171" s="242"/>
      <c r="F171" s="242"/>
      <c r="G171" s="13"/>
      <c r="H171" s="13"/>
      <c r="I171" s="13"/>
      <c r="J171" s="13"/>
      <c r="K171" s="13"/>
      <c r="L171" s="242"/>
      <c r="M171" s="242"/>
      <c r="N171" s="242"/>
      <c r="O171" s="242"/>
      <c r="P171" s="242"/>
      <c r="Q171" s="525"/>
      <c r="R171" s="242"/>
      <c r="S171" s="242"/>
      <c r="T171" s="242"/>
      <c r="U171" s="242"/>
      <c r="V171" s="242"/>
      <c r="W171" s="242"/>
      <c r="X171" s="242"/>
      <c r="Y171" s="242"/>
      <c r="Z171" s="242"/>
      <c r="AA171" s="242"/>
      <c r="AB171" s="242"/>
      <c r="AC171" s="242"/>
      <c r="AD171" s="242"/>
      <c r="AE171" s="242"/>
      <c r="AF171" s="242"/>
      <c r="AG171" s="242"/>
      <c r="AH171" s="242"/>
      <c r="AI171" s="242"/>
      <c r="AJ171" s="13"/>
      <c r="AK171" s="242"/>
      <c r="AL171" s="242"/>
      <c r="AM171" s="242"/>
      <c r="AN171" s="242"/>
      <c r="AO171" s="242"/>
    </row>
    <row r="172">
      <c r="A172" s="242"/>
      <c r="B172" s="13"/>
      <c r="C172" s="242"/>
      <c r="D172" s="242"/>
      <c r="E172" s="242"/>
      <c r="F172" s="242"/>
      <c r="G172" s="13"/>
      <c r="H172" s="13"/>
      <c r="I172" s="13"/>
      <c r="J172" s="13"/>
      <c r="K172" s="13"/>
      <c r="L172" s="242"/>
      <c r="M172" s="242"/>
      <c r="N172" s="242"/>
      <c r="O172" s="242"/>
      <c r="P172" s="242"/>
      <c r="Q172" s="525"/>
      <c r="R172" s="242"/>
      <c r="S172" s="242"/>
      <c r="T172" s="242"/>
      <c r="U172" s="242"/>
      <c r="V172" s="242"/>
      <c r="W172" s="242"/>
      <c r="X172" s="242"/>
      <c r="Y172" s="242"/>
      <c r="Z172" s="242"/>
      <c r="AA172" s="242"/>
      <c r="AB172" s="242"/>
      <c r="AC172" s="242"/>
      <c r="AD172" s="242"/>
      <c r="AE172" s="242"/>
      <c r="AF172" s="242"/>
      <c r="AG172" s="242"/>
      <c r="AH172" s="242"/>
      <c r="AI172" s="242"/>
      <c r="AJ172" s="13"/>
      <c r="AK172" s="242"/>
      <c r="AL172" s="242"/>
      <c r="AM172" s="242"/>
      <c r="AN172" s="242"/>
      <c r="AO172" s="242"/>
    </row>
    <row r="173">
      <c r="A173" s="242"/>
      <c r="B173" s="13"/>
      <c r="C173" s="242"/>
      <c r="D173" s="242"/>
      <c r="E173" s="242"/>
      <c r="F173" s="242"/>
      <c r="G173" s="13"/>
      <c r="H173" s="13"/>
      <c r="I173" s="13"/>
      <c r="J173" s="13"/>
      <c r="K173" s="13"/>
      <c r="L173" s="242"/>
      <c r="M173" s="242"/>
      <c r="N173" s="242"/>
      <c r="O173" s="242"/>
      <c r="P173" s="242"/>
      <c r="Q173" s="525"/>
      <c r="R173" s="242"/>
      <c r="S173" s="242"/>
      <c r="T173" s="242"/>
      <c r="U173" s="242"/>
      <c r="V173" s="242"/>
      <c r="W173" s="242"/>
      <c r="X173" s="242"/>
      <c r="Y173" s="242"/>
      <c r="Z173" s="242"/>
      <c r="AA173" s="242"/>
      <c r="AB173" s="242"/>
      <c r="AC173" s="242"/>
      <c r="AD173" s="242"/>
      <c r="AE173" s="242"/>
      <c r="AF173" s="242"/>
      <c r="AG173" s="242"/>
      <c r="AH173" s="242"/>
      <c r="AI173" s="242"/>
      <c r="AJ173" s="13"/>
      <c r="AK173" s="242"/>
      <c r="AL173" s="242"/>
      <c r="AM173" s="242"/>
      <c r="AN173" s="242"/>
      <c r="AO173" s="242"/>
    </row>
    <row r="174">
      <c r="A174" s="242"/>
      <c r="B174" s="13"/>
      <c r="C174" s="242"/>
      <c r="D174" s="242"/>
      <c r="E174" s="242"/>
      <c r="F174" s="242"/>
      <c r="G174" s="13"/>
      <c r="H174" s="13"/>
      <c r="I174" s="13"/>
      <c r="J174" s="13"/>
      <c r="K174" s="13"/>
      <c r="L174" s="242"/>
      <c r="M174" s="242"/>
      <c r="N174" s="242"/>
      <c r="O174" s="242"/>
      <c r="P174" s="242"/>
      <c r="Q174" s="525"/>
      <c r="R174" s="242"/>
      <c r="S174" s="242"/>
      <c r="T174" s="242"/>
      <c r="U174" s="242"/>
      <c r="V174" s="242"/>
      <c r="W174" s="242"/>
      <c r="X174" s="242"/>
      <c r="Y174" s="242"/>
      <c r="Z174" s="242"/>
      <c r="AA174" s="242"/>
      <c r="AB174" s="242"/>
      <c r="AC174" s="242"/>
      <c r="AD174" s="242"/>
      <c r="AE174" s="242"/>
      <c r="AF174" s="242"/>
      <c r="AG174" s="242"/>
      <c r="AH174" s="242"/>
      <c r="AI174" s="242"/>
      <c r="AJ174" s="13"/>
      <c r="AK174" s="242"/>
      <c r="AL174" s="242"/>
      <c r="AM174" s="242"/>
      <c r="AN174" s="242"/>
      <c r="AO174" s="242"/>
    </row>
    <row r="175">
      <c r="A175" s="242"/>
      <c r="B175" s="13"/>
      <c r="C175" s="242"/>
      <c r="D175" s="242"/>
      <c r="E175" s="242"/>
      <c r="F175" s="242"/>
      <c r="G175" s="13"/>
      <c r="H175" s="13"/>
      <c r="I175" s="13"/>
      <c r="J175" s="13"/>
      <c r="K175" s="13"/>
      <c r="L175" s="242"/>
      <c r="M175" s="242"/>
      <c r="N175" s="242"/>
      <c r="O175" s="242"/>
      <c r="P175" s="242"/>
      <c r="Q175" s="525"/>
      <c r="R175" s="242"/>
      <c r="S175" s="242"/>
      <c r="T175" s="242"/>
      <c r="U175" s="242"/>
      <c r="V175" s="242"/>
      <c r="W175" s="242"/>
      <c r="X175" s="242"/>
      <c r="Y175" s="242"/>
      <c r="Z175" s="242"/>
      <c r="AA175" s="242"/>
      <c r="AB175" s="242"/>
      <c r="AC175" s="242"/>
      <c r="AD175" s="242"/>
      <c r="AE175" s="242"/>
      <c r="AF175" s="242"/>
      <c r="AG175" s="242"/>
      <c r="AH175" s="242"/>
      <c r="AI175" s="242"/>
      <c r="AJ175" s="13"/>
      <c r="AK175" s="242"/>
      <c r="AL175" s="242"/>
      <c r="AM175" s="242"/>
      <c r="AN175" s="242"/>
      <c r="AO175" s="242"/>
    </row>
    <row r="176">
      <c r="A176" s="242"/>
      <c r="B176" s="13"/>
      <c r="C176" s="242"/>
      <c r="D176" s="242"/>
      <c r="E176" s="242"/>
      <c r="F176" s="242"/>
      <c r="G176" s="13"/>
      <c r="H176" s="13"/>
      <c r="I176" s="13"/>
      <c r="J176" s="13"/>
      <c r="K176" s="13"/>
      <c r="L176" s="242"/>
      <c r="M176" s="242"/>
      <c r="N176" s="242"/>
      <c r="O176" s="242"/>
      <c r="P176" s="242"/>
      <c r="Q176" s="525"/>
      <c r="R176" s="242"/>
      <c r="S176" s="242"/>
      <c r="T176" s="242"/>
      <c r="U176" s="242"/>
      <c r="V176" s="242"/>
      <c r="W176" s="242"/>
      <c r="X176" s="242"/>
      <c r="Y176" s="242"/>
      <c r="Z176" s="242"/>
      <c r="AA176" s="242"/>
      <c r="AB176" s="242"/>
      <c r="AC176" s="242"/>
      <c r="AD176" s="242"/>
      <c r="AE176" s="242"/>
      <c r="AF176" s="242"/>
      <c r="AG176" s="242"/>
      <c r="AH176" s="242"/>
      <c r="AI176" s="242"/>
      <c r="AJ176" s="13"/>
      <c r="AK176" s="242"/>
      <c r="AL176" s="242"/>
      <c r="AM176" s="242"/>
      <c r="AN176" s="242"/>
      <c r="AO176" s="242"/>
    </row>
    <row r="177">
      <c r="A177" s="242"/>
      <c r="B177" s="13"/>
      <c r="C177" s="242"/>
      <c r="D177" s="242"/>
      <c r="E177" s="242"/>
      <c r="F177" s="242"/>
      <c r="G177" s="13"/>
      <c r="H177" s="13"/>
      <c r="I177" s="13"/>
      <c r="J177" s="13"/>
      <c r="K177" s="13"/>
      <c r="L177" s="242"/>
      <c r="M177" s="242"/>
      <c r="N177" s="242"/>
      <c r="O177" s="242"/>
      <c r="P177" s="242"/>
      <c r="Q177" s="525"/>
      <c r="R177" s="242"/>
      <c r="S177" s="242"/>
      <c r="T177" s="242"/>
      <c r="U177" s="242"/>
      <c r="V177" s="242"/>
      <c r="W177" s="242"/>
      <c r="X177" s="242"/>
      <c r="Y177" s="242"/>
      <c r="Z177" s="242"/>
      <c r="AA177" s="242"/>
      <c r="AB177" s="242"/>
      <c r="AC177" s="242"/>
      <c r="AD177" s="242"/>
      <c r="AE177" s="242"/>
      <c r="AF177" s="242"/>
      <c r="AG177" s="242"/>
      <c r="AH177" s="242"/>
      <c r="AI177" s="242"/>
      <c r="AJ177" s="13"/>
      <c r="AK177" s="242"/>
      <c r="AL177" s="242"/>
      <c r="AM177" s="242"/>
      <c r="AN177" s="242"/>
      <c r="AO177" s="242"/>
    </row>
    <row r="178">
      <c r="A178" s="242"/>
      <c r="B178" s="13"/>
      <c r="C178" s="242"/>
      <c r="D178" s="242"/>
      <c r="E178" s="242"/>
      <c r="F178" s="242"/>
      <c r="G178" s="13"/>
      <c r="H178" s="13"/>
      <c r="I178" s="13"/>
      <c r="J178" s="13"/>
      <c r="K178" s="13"/>
      <c r="L178" s="242"/>
      <c r="M178" s="242"/>
      <c r="N178" s="242"/>
      <c r="O178" s="242"/>
      <c r="P178" s="242"/>
      <c r="Q178" s="525"/>
      <c r="R178" s="242"/>
      <c r="S178" s="242"/>
      <c r="T178" s="242"/>
      <c r="U178" s="242"/>
      <c r="V178" s="242"/>
      <c r="W178" s="242"/>
      <c r="X178" s="242"/>
      <c r="Y178" s="242"/>
      <c r="Z178" s="242"/>
      <c r="AA178" s="242"/>
      <c r="AB178" s="242"/>
      <c r="AC178" s="242"/>
      <c r="AD178" s="242"/>
      <c r="AE178" s="242"/>
      <c r="AF178" s="242"/>
      <c r="AG178" s="242"/>
      <c r="AH178" s="242"/>
      <c r="AI178" s="242"/>
      <c r="AJ178" s="13"/>
      <c r="AK178" s="242"/>
      <c r="AL178" s="242"/>
      <c r="AM178" s="242"/>
      <c r="AN178" s="242"/>
      <c r="AO178" s="242"/>
    </row>
    <row r="179">
      <c r="A179" s="242"/>
      <c r="B179" s="13"/>
      <c r="C179" s="242"/>
      <c r="D179" s="242"/>
      <c r="E179" s="242"/>
      <c r="F179" s="242"/>
      <c r="G179" s="13"/>
      <c r="H179" s="13"/>
      <c r="I179" s="13"/>
      <c r="J179" s="13"/>
      <c r="K179" s="13"/>
      <c r="L179" s="242"/>
      <c r="M179" s="242"/>
      <c r="N179" s="242"/>
      <c r="O179" s="242"/>
      <c r="P179" s="242"/>
      <c r="Q179" s="525"/>
      <c r="R179" s="242"/>
      <c r="S179" s="242"/>
      <c r="T179" s="242"/>
      <c r="U179" s="242"/>
      <c r="V179" s="242"/>
      <c r="W179" s="242"/>
      <c r="X179" s="242"/>
      <c r="Y179" s="242"/>
      <c r="Z179" s="242"/>
      <c r="AA179" s="242"/>
      <c r="AB179" s="242"/>
      <c r="AC179" s="242"/>
      <c r="AD179" s="242"/>
      <c r="AE179" s="242"/>
      <c r="AF179" s="242"/>
      <c r="AG179" s="242"/>
      <c r="AH179" s="242"/>
      <c r="AI179" s="242"/>
      <c r="AJ179" s="13"/>
      <c r="AK179" s="242"/>
      <c r="AL179" s="242"/>
      <c r="AM179" s="242"/>
      <c r="AN179" s="242"/>
      <c r="AO179" s="242"/>
    </row>
    <row r="180">
      <c r="A180" s="242"/>
      <c r="B180" s="13"/>
      <c r="C180" s="242"/>
      <c r="D180" s="242"/>
      <c r="E180" s="242"/>
      <c r="F180" s="242"/>
      <c r="G180" s="13"/>
      <c r="H180" s="13"/>
      <c r="I180" s="13"/>
      <c r="J180" s="13"/>
      <c r="K180" s="13"/>
      <c r="L180" s="242"/>
      <c r="M180" s="242"/>
      <c r="N180" s="242"/>
      <c r="O180" s="242"/>
      <c r="P180" s="242"/>
      <c r="Q180" s="525"/>
      <c r="R180" s="242"/>
      <c r="S180" s="242"/>
      <c r="T180" s="242"/>
      <c r="U180" s="242"/>
      <c r="V180" s="242"/>
      <c r="W180" s="242"/>
      <c r="X180" s="242"/>
      <c r="Y180" s="242"/>
      <c r="Z180" s="242"/>
      <c r="AA180" s="242"/>
      <c r="AB180" s="242"/>
      <c r="AC180" s="242"/>
      <c r="AD180" s="242"/>
      <c r="AE180" s="242"/>
      <c r="AF180" s="242"/>
      <c r="AG180" s="242"/>
      <c r="AH180" s="242"/>
      <c r="AI180" s="242"/>
      <c r="AJ180" s="13"/>
      <c r="AK180" s="242"/>
      <c r="AL180" s="242"/>
      <c r="AM180" s="242"/>
      <c r="AN180" s="242"/>
      <c r="AO180" s="242"/>
    </row>
    <row r="181">
      <c r="A181" s="242"/>
      <c r="B181" s="13"/>
      <c r="C181" s="242"/>
      <c r="D181" s="242"/>
      <c r="E181" s="242"/>
      <c r="F181" s="242"/>
      <c r="G181" s="13"/>
      <c r="H181" s="13"/>
      <c r="I181" s="13"/>
      <c r="J181" s="13"/>
      <c r="K181" s="13"/>
      <c r="L181" s="242"/>
      <c r="M181" s="242"/>
      <c r="N181" s="242"/>
      <c r="O181" s="242"/>
      <c r="P181" s="242"/>
      <c r="Q181" s="525"/>
      <c r="R181" s="242"/>
      <c r="S181" s="242"/>
      <c r="T181" s="242"/>
      <c r="U181" s="242"/>
      <c r="V181" s="242"/>
      <c r="W181" s="242"/>
      <c r="X181" s="242"/>
      <c r="Y181" s="242"/>
      <c r="Z181" s="242"/>
      <c r="AA181" s="242"/>
      <c r="AB181" s="242"/>
      <c r="AC181" s="242"/>
      <c r="AD181" s="242"/>
      <c r="AE181" s="242"/>
      <c r="AF181" s="242"/>
      <c r="AG181" s="242"/>
      <c r="AH181" s="242"/>
      <c r="AI181" s="242"/>
      <c r="AJ181" s="13"/>
      <c r="AK181" s="242"/>
      <c r="AL181" s="242"/>
      <c r="AM181" s="242"/>
      <c r="AN181" s="242"/>
      <c r="AO181" s="242"/>
    </row>
    <row r="182">
      <c r="A182" s="242"/>
      <c r="B182" s="13"/>
      <c r="C182" s="242"/>
      <c r="D182" s="242"/>
      <c r="E182" s="242"/>
      <c r="F182" s="242"/>
      <c r="G182" s="13"/>
      <c r="H182" s="13"/>
      <c r="I182" s="13"/>
      <c r="J182" s="13"/>
      <c r="K182" s="13"/>
      <c r="L182" s="242"/>
      <c r="M182" s="242"/>
      <c r="N182" s="242"/>
      <c r="O182" s="242"/>
      <c r="P182" s="242"/>
      <c r="Q182" s="525"/>
      <c r="R182" s="242"/>
      <c r="S182" s="242"/>
      <c r="T182" s="242"/>
      <c r="U182" s="242"/>
      <c r="V182" s="242"/>
      <c r="W182" s="242"/>
      <c r="X182" s="242"/>
      <c r="Y182" s="242"/>
      <c r="Z182" s="242"/>
      <c r="AA182" s="242"/>
      <c r="AB182" s="242"/>
      <c r="AC182" s="242"/>
      <c r="AD182" s="242"/>
      <c r="AE182" s="242"/>
      <c r="AF182" s="242"/>
      <c r="AG182" s="242"/>
      <c r="AH182" s="242"/>
      <c r="AI182" s="242"/>
      <c r="AJ182" s="13"/>
      <c r="AK182" s="242"/>
      <c r="AL182" s="242"/>
      <c r="AM182" s="242"/>
      <c r="AN182" s="242"/>
      <c r="AO182" s="242"/>
    </row>
    <row r="183">
      <c r="A183" s="242"/>
      <c r="B183" s="13"/>
      <c r="C183" s="242"/>
      <c r="D183" s="242"/>
      <c r="E183" s="242"/>
      <c r="F183" s="242"/>
      <c r="G183" s="13"/>
      <c r="H183" s="13"/>
      <c r="I183" s="13"/>
      <c r="J183" s="13"/>
      <c r="K183" s="13"/>
      <c r="L183" s="242"/>
      <c r="M183" s="242"/>
      <c r="N183" s="242"/>
      <c r="O183" s="242"/>
      <c r="P183" s="242"/>
      <c r="Q183" s="525"/>
      <c r="R183" s="242"/>
      <c r="S183" s="242"/>
      <c r="T183" s="242"/>
      <c r="U183" s="242"/>
      <c r="V183" s="242"/>
      <c r="W183" s="242"/>
      <c r="X183" s="242"/>
      <c r="Y183" s="242"/>
      <c r="Z183" s="242"/>
      <c r="AA183" s="242"/>
      <c r="AB183" s="242"/>
      <c r="AC183" s="242"/>
      <c r="AD183" s="242"/>
      <c r="AE183" s="242"/>
      <c r="AF183" s="242"/>
      <c r="AG183" s="242"/>
      <c r="AH183" s="242"/>
      <c r="AI183" s="242"/>
      <c r="AJ183" s="13"/>
      <c r="AK183" s="242"/>
      <c r="AL183" s="242"/>
      <c r="AM183" s="242"/>
      <c r="AN183" s="242"/>
      <c r="AO183" s="242"/>
    </row>
    <row r="184">
      <c r="A184" s="242"/>
      <c r="B184" s="13"/>
      <c r="C184" s="242"/>
      <c r="D184" s="242"/>
      <c r="E184" s="242"/>
      <c r="F184" s="242"/>
      <c r="G184" s="13"/>
      <c r="H184" s="13"/>
      <c r="I184" s="13"/>
      <c r="J184" s="13"/>
      <c r="K184" s="13"/>
      <c r="L184" s="242"/>
      <c r="M184" s="242"/>
      <c r="N184" s="242"/>
      <c r="O184" s="242"/>
      <c r="P184" s="242"/>
      <c r="Q184" s="525"/>
      <c r="R184" s="242"/>
      <c r="S184" s="242"/>
      <c r="T184" s="242"/>
      <c r="U184" s="242"/>
      <c r="V184" s="242"/>
      <c r="W184" s="242"/>
      <c r="X184" s="242"/>
      <c r="Y184" s="242"/>
      <c r="Z184" s="242"/>
      <c r="AA184" s="242"/>
      <c r="AB184" s="242"/>
      <c r="AC184" s="242"/>
      <c r="AD184" s="242"/>
      <c r="AE184" s="242"/>
      <c r="AF184" s="242"/>
      <c r="AG184" s="242"/>
      <c r="AH184" s="242"/>
      <c r="AI184" s="242"/>
      <c r="AJ184" s="13"/>
      <c r="AK184" s="242"/>
      <c r="AL184" s="242"/>
      <c r="AM184" s="242"/>
      <c r="AN184" s="242"/>
      <c r="AO184" s="242"/>
    </row>
    <row r="185">
      <c r="A185" s="242"/>
      <c r="B185" s="13"/>
      <c r="C185" s="242"/>
      <c r="D185" s="242"/>
      <c r="E185" s="242"/>
      <c r="F185" s="242"/>
      <c r="G185" s="13"/>
      <c r="H185" s="13"/>
      <c r="I185" s="13"/>
      <c r="J185" s="13"/>
      <c r="K185" s="13"/>
      <c r="L185" s="242"/>
      <c r="M185" s="242"/>
      <c r="N185" s="242"/>
      <c r="O185" s="242"/>
      <c r="P185" s="242"/>
      <c r="Q185" s="525"/>
      <c r="R185" s="242"/>
      <c r="S185" s="242"/>
      <c r="T185" s="242"/>
      <c r="U185" s="242"/>
      <c r="V185" s="242"/>
      <c r="W185" s="242"/>
      <c r="X185" s="242"/>
      <c r="Y185" s="242"/>
      <c r="Z185" s="242"/>
      <c r="AA185" s="242"/>
      <c r="AB185" s="242"/>
      <c r="AC185" s="242"/>
      <c r="AD185" s="242"/>
      <c r="AE185" s="242"/>
      <c r="AF185" s="242"/>
      <c r="AG185" s="242"/>
      <c r="AH185" s="242"/>
      <c r="AI185" s="242"/>
      <c r="AJ185" s="13"/>
      <c r="AK185" s="242"/>
      <c r="AL185" s="242"/>
      <c r="AM185" s="242"/>
      <c r="AN185" s="242"/>
      <c r="AO185" s="242"/>
    </row>
    <row r="186">
      <c r="A186" s="242"/>
      <c r="B186" s="13"/>
      <c r="C186" s="242"/>
      <c r="D186" s="242"/>
      <c r="E186" s="242"/>
      <c r="F186" s="242"/>
      <c r="G186" s="13"/>
      <c r="H186" s="13"/>
      <c r="I186" s="13"/>
      <c r="J186" s="13"/>
      <c r="K186" s="13"/>
      <c r="L186" s="242"/>
      <c r="M186" s="242"/>
      <c r="N186" s="242"/>
      <c r="O186" s="242"/>
      <c r="P186" s="242"/>
      <c r="Q186" s="525"/>
      <c r="R186" s="242"/>
      <c r="S186" s="242"/>
      <c r="T186" s="242"/>
      <c r="U186" s="242"/>
      <c r="V186" s="242"/>
      <c r="W186" s="242"/>
      <c r="X186" s="242"/>
      <c r="Y186" s="242"/>
      <c r="Z186" s="242"/>
      <c r="AA186" s="242"/>
      <c r="AB186" s="242"/>
      <c r="AC186" s="242"/>
      <c r="AD186" s="242"/>
      <c r="AE186" s="242"/>
      <c r="AF186" s="242"/>
      <c r="AG186" s="242"/>
      <c r="AH186" s="242"/>
      <c r="AI186" s="242"/>
      <c r="AJ186" s="13"/>
      <c r="AK186" s="242"/>
      <c r="AL186" s="242"/>
      <c r="AM186" s="242"/>
      <c r="AN186" s="242"/>
      <c r="AO186" s="242"/>
    </row>
    <row r="187">
      <c r="A187" s="242"/>
      <c r="B187" s="13"/>
      <c r="C187" s="242"/>
      <c r="D187" s="242"/>
      <c r="E187" s="242"/>
      <c r="F187" s="242"/>
      <c r="G187" s="13"/>
      <c r="H187" s="13"/>
      <c r="I187" s="13"/>
      <c r="J187" s="13"/>
      <c r="K187" s="13"/>
      <c r="L187" s="242"/>
      <c r="M187" s="242"/>
      <c r="N187" s="242"/>
      <c r="O187" s="242"/>
      <c r="P187" s="242"/>
      <c r="Q187" s="525"/>
      <c r="R187" s="242"/>
      <c r="S187" s="242"/>
      <c r="T187" s="242"/>
      <c r="U187" s="242"/>
      <c r="V187" s="242"/>
      <c r="W187" s="242"/>
      <c r="X187" s="242"/>
      <c r="Y187" s="242"/>
      <c r="Z187" s="242"/>
      <c r="AA187" s="242"/>
      <c r="AB187" s="242"/>
      <c r="AC187" s="242"/>
      <c r="AD187" s="242"/>
      <c r="AE187" s="242"/>
      <c r="AF187" s="242"/>
      <c r="AG187" s="242"/>
      <c r="AH187" s="242"/>
      <c r="AI187" s="242"/>
      <c r="AJ187" s="13"/>
      <c r="AK187" s="242"/>
      <c r="AL187" s="242"/>
      <c r="AM187" s="242"/>
      <c r="AN187" s="242"/>
      <c r="AO187" s="242"/>
    </row>
    <row r="188">
      <c r="A188" s="242"/>
      <c r="B188" s="13"/>
      <c r="C188" s="242"/>
      <c r="D188" s="242"/>
      <c r="E188" s="242"/>
      <c r="F188" s="242"/>
      <c r="G188" s="13"/>
      <c r="H188" s="13"/>
      <c r="I188" s="13"/>
      <c r="J188" s="13"/>
      <c r="K188" s="13"/>
      <c r="L188" s="242"/>
      <c r="M188" s="242"/>
      <c r="N188" s="242"/>
      <c r="O188" s="242"/>
      <c r="P188" s="242"/>
      <c r="Q188" s="525"/>
      <c r="R188" s="242"/>
      <c r="S188" s="242"/>
      <c r="T188" s="242"/>
      <c r="U188" s="242"/>
      <c r="V188" s="242"/>
      <c r="W188" s="242"/>
      <c r="X188" s="242"/>
      <c r="Y188" s="242"/>
      <c r="Z188" s="242"/>
      <c r="AA188" s="242"/>
      <c r="AB188" s="242"/>
      <c r="AC188" s="242"/>
      <c r="AD188" s="242"/>
      <c r="AE188" s="242"/>
      <c r="AF188" s="242"/>
      <c r="AG188" s="242"/>
      <c r="AH188" s="242"/>
      <c r="AI188" s="242"/>
      <c r="AJ188" s="13"/>
      <c r="AK188" s="242"/>
      <c r="AL188" s="242"/>
      <c r="AM188" s="242"/>
      <c r="AN188" s="242"/>
      <c r="AO188" s="242"/>
    </row>
    <row r="189">
      <c r="A189" s="242"/>
      <c r="B189" s="13"/>
      <c r="C189" s="242"/>
      <c r="D189" s="242"/>
      <c r="E189" s="242"/>
      <c r="F189" s="242"/>
      <c r="G189" s="13"/>
      <c r="H189" s="13"/>
      <c r="I189" s="13"/>
      <c r="J189" s="13"/>
      <c r="K189" s="13"/>
      <c r="L189" s="242"/>
      <c r="M189" s="242"/>
      <c r="N189" s="242"/>
      <c r="O189" s="242"/>
      <c r="P189" s="242"/>
      <c r="Q189" s="525"/>
      <c r="R189" s="242"/>
      <c r="S189" s="242"/>
      <c r="T189" s="242"/>
      <c r="U189" s="242"/>
      <c r="V189" s="242"/>
      <c r="W189" s="242"/>
      <c r="X189" s="242"/>
      <c r="Y189" s="242"/>
      <c r="Z189" s="242"/>
      <c r="AA189" s="242"/>
      <c r="AB189" s="242"/>
      <c r="AC189" s="242"/>
      <c r="AD189" s="242"/>
      <c r="AE189" s="242"/>
      <c r="AF189" s="242"/>
      <c r="AG189" s="242"/>
      <c r="AH189" s="242"/>
      <c r="AI189" s="242"/>
      <c r="AJ189" s="13"/>
      <c r="AK189" s="242"/>
      <c r="AL189" s="242"/>
      <c r="AM189" s="242"/>
      <c r="AN189" s="242"/>
      <c r="AO189" s="242"/>
    </row>
    <row r="190">
      <c r="A190" s="242"/>
      <c r="B190" s="13"/>
      <c r="C190" s="242"/>
      <c r="D190" s="242"/>
      <c r="E190" s="242"/>
      <c r="F190" s="242"/>
      <c r="G190" s="13"/>
      <c r="H190" s="13"/>
      <c r="I190" s="13"/>
      <c r="J190" s="13"/>
      <c r="K190" s="13"/>
      <c r="L190" s="242"/>
      <c r="M190" s="242"/>
      <c r="N190" s="242"/>
      <c r="O190" s="242"/>
      <c r="P190" s="242"/>
      <c r="Q190" s="525"/>
      <c r="R190" s="242"/>
      <c r="S190" s="242"/>
      <c r="T190" s="242"/>
      <c r="U190" s="242"/>
      <c r="V190" s="242"/>
      <c r="W190" s="242"/>
      <c r="X190" s="242"/>
      <c r="Y190" s="242"/>
      <c r="Z190" s="242"/>
      <c r="AA190" s="242"/>
      <c r="AB190" s="242"/>
      <c r="AC190" s="242"/>
      <c r="AD190" s="242"/>
      <c r="AE190" s="242"/>
      <c r="AF190" s="242"/>
      <c r="AG190" s="242"/>
      <c r="AH190" s="242"/>
      <c r="AI190" s="242"/>
      <c r="AJ190" s="13"/>
      <c r="AK190" s="242"/>
      <c r="AL190" s="242"/>
      <c r="AM190" s="242"/>
      <c r="AN190" s="242"/>
      <c r="AO190" s="242"/>
    </row>
    <row r="191">
      <c r="A191" s="242"/>
      <c r="B191" s="13"/>
      <c r="C191" s="242"/>
      <c r="D191" s="242"/>
      <c r="E191" s="242"/>
      <c r="F191" s="242"/>
      <c r="G191" s="13"/>
      <c r="H191" s="13"/>
      <c r="I191" s="13"/>
      <c r="J191" s="13"/>
      <c r="K191" s="13"/>
      <c r="L191" s="242"/>
      <c r="M191" s="242"/>
      <c r="N191" s="242"/>
      <c r="O191" s="242"/>
      <c r="P191" s="242"/>
      <c r="Q191" s="525"/>
      <c r="R191" s="242"/>
      <c r="S191" s="242"/>
      <c r="T191" s="242"/>
      <c r="U191" s="242"/>
      <c r="V191" s="242"/>
      <c r="W191" s="242"/>
      <c r="X191" s="242"/>
      <c r="Y191" s="242"/>
      <c r="Z191" s="242"/>
      <c r="AA191" s="242"/>
      <c r="AB191" s="242"/>
      <c r="AC191" s="242"/>
      <c r="AD191" s="242"/>
      <c r="AE191" s="242"/>
      <c r="AF191" s="242"/>
      <c r="AG191" s="242"/>
      <c r="AH191" s="242"/>
      <c r="AI191" s="242"/>
      <c r="AJ191" s="13"/>
      <c r="AK191" s="242"/>
      <c r="AL191" s="242"/>
      <c r="AM191" s="242"/>
      <c r="AN191" s="242"/>
      <c r="AO191" s="242"/>
    </row>
    <row r="192">
      <c r="A192" s="242"/>
      <c r="B192" s="13"/>
      <c r="C192" s="242"/>
      <c r="D192" s="242"/>
      <c r="E192" s="242"/>
      <c r="F192" s="242"/>
      <c r="G192" s="13"/>
      <c r="H192" s="13"/>
      <c r="I192" s="13"/>
      <c r="J192" s="13"/>
      <c r="K192" s="13"/>
      <c r="L192" s="242"/>
      <c r="M192" s="242"/>
      <c r="N192" s="242"/>
      <c r="O192" s="242"/>
      <c r="P192" s="242"/>
      <c r="Q192" s="525"/>
      <c r="R192" s="242"/>
      <c r="S192" s="242"/>
      <c r="T192" s="242"/>
      <c r="U192" s="242"/>
      <c r="V192" s="242"/>
      <c r="W192" s="242"/>
      <c r="X192" s="242"/>
      <c r="Y192" s="242"/>
      <c r="Z192" s="242"/>
      <c r="AA192" s="242"/>
      <c r="AB192" s="242"/>
      <c r="AC192" s="242"/>
      <c r="AD192" s="242"/>
      <c r="AE192" s="242"/>
      <c r="AF192" s="242"/>
      <c r="AG192" s="242"/>
      <c r="AH192" s="242"/>
      <c r="AI192" s="242"/>
      <c r="AJ192" s="13"/>
      <c r="AK192" s="242"/>
      <c r="AL192" s="242"/>
      <c r="AM192" s="242"/>
      <c r="AN192" s="242"/>
      <c r="AO192" s="242"/>
    </row>
    <row r="193">
      <c r="A193" s="242"/>
      <c r="B193" s="13"/>
      <c r="C193" s="242"/>
      <c r="D193" s="242"/>
      <c r="E193" s="242"/>
      <c r="F193" s="242"/>
      <c r="G193" s="13"/>
      <c r="H193" s="13"/>
      <c r="I193" s="13"/>
      <c r="J193" s="13"/>
      <c r="K193" s="13"/>
      <c r="L193" s="242"/>
      <c r="M193" s="242"/>
      <c r="N193" s="242"/>
      <c r="O193" s="242"/>
      <c r="P193" s="242"/>
      <c r="Q193" s="525"/>
      <c r="R193" s="242"/>
      <c r="S193" s="242"/>
      <c r="T193" s="242"/>
      <c r="U193" s="242"/>
      <c r="V193" s="242"/>
      <c r="W193" s="242"/>
      <c r="X193" s="242"/>
      <c r="Y193" s="242"/>
      <c r="Z193" s="242"/>
      <c r="AA193" s="242"/>
      <c r="AB193" s="242"/>
      <c r="AC193" s="242"/>
      <c r="AD193" s="242"/>
      <c r="AE193" s="242"/>
      <c r="AF193" s="242"/>
      <c r="AG193" s="242"/>
      <c r="AH193" s="242"/>
      <c r="AI193" s="242"/>
      <c r="AJ193" s="13"/>
      <c r="AK193" s="242"/>
      <c r="AL193" s="242"/>
      <c r="AM193" s="242"/>
      <c r="AN193" s="242"/>
      <c r="AO193" s="242"/>
    </row>
    <row r="194">
      <c r="A194" s="242"/>
      <c r="B194" s="13"/>
      <c r="C194" s="242"/>
      <c r="D194" s="242"/>
      <c r="E194" s="242"/>
      <c r="F194" s="242"/>
      <c r="G194" s="13"/>
      <c r="H194" s="13"/>
      <c r="I194" s="13"/>
      <c r="J194" s="13"/>
      <c r="K194" s="13"/>
      <c r="L194" s="242"/>
      <c r="M194" s="242"/>
      <c r="N194" s="242"/>
      <c r="O194" s="242"/>
      <c r="P194" s="242"/>
      <c r="Q194" s="525"/>
      <c r="R194" s="242"/>
      <c r="S194" s="242"/>
      <c r="T194" s="242"/>
      <c r="U194" s="242"/>
      <c r="V194" s="242"/>
      <c r="W194" s="242"/>
      <c r="X194" s="242"/>
      <c r="Y194" s="242"/>
      <c r="Z194" s="242"/>
      <c r="AA194" s="242"/>
      <c r="AB194" s="242"/>
      <c r="AC194" s="242"/>
      <c r="AD194" s="242"/>
      <c r="AE194" s="242"/>
      <c r="AF194" s="242"/>
      <c r="AG194" s="242"/>
      <c r="AH194" s="242"/>
      <c r="AI194" s="242"/>
      <c r="AJ194" s="13"/>
      <c r="AK194" s="242"/>
      <c r="AL194" s="242"/>
      <c r="AM194" s="242"/>
      <c r="AN194" s="242"/>
      <c r="AO194" s="242"/>
    </row>
    <row r="195">
      <c r="A195" s="242"/>
      <c r="B195" s="13"/>
      <c r="C195" s="242"/>
      <c r="D195" s="242"/>
      <c r="E195" s="242"/>
      <c r="F195" s="242"/>
      <c r="G195" s="13"/>
      <c r="H195" s="13"/>
      <c r="I195" s="13"/>
      <c r="J195" s="13"/>
      <c r="K195" s="13"/>
      <c r="L195" s="242"/>
      <c r="M195" s="242"/>
      <c r="N195" s="242"/>
      <c r="O195" s="242"/>
      <c r="P195" s="242"/>
      <c r="Q195" s="525"/>
      <c r="R195" s="242"/>
      <c r="S195" s="242"/>
      <c r="T195" s="242"/>
      <c r="U195" s="242"/>
      <c r="V195" s="242"/>
      <c r="W195" s="242"/>
      <c r="X195" s="242"/>
      <c r="Y195" s="242"/>
      <c r="Z195" s="242"/>
      <c r="AA195" s="242"/>
      <c r="AB195" s="242"/>
      <c r="AC195" s="242"/>
      <c r="AD195" s="242"/>
      <c r="AE195" s="242"/>
      <c r="AF195" s="242"/>
      <c r="AG195" s="242"/>
      <c r="AH195" s="242"/>
      <c r="AI195" s="242"/>
      <c r="AJ195" s="13"/>
      <c r="AK195" s="242"/>
      <c r="AL195" s="242"/>
      <c r="AM195" s="242"/>
      <c r="AN195" s="242"/>
      <c r="AO195" s="242"/>
    </row>
    <row r="196">
      <c r="A196" s="242"/>
      <c r="B196" s="13"/>
      <c r="C196" s="242"/>
      <c r="D196" s="242"/>
      <c r="E196" s="242"/>
      <c r="F196" s="242"/>
      <c r="G196" s="13"/>
      <c r="H196" s="13"/>
      <c r="I196" s="13"/>
      <c r="J196" s="13"/>
      <c r="K196" s="13"/>
      <c r="L196" s="242"/>
      <c r="M196" s="242"/>
      <c r="N196" s="242"/>
      <c r="O196" s="242"/>
      <c r="P196" s="242"/>
      <c r="Q196" s="525"/>
      <c r="R196" s="242"/>
      <c r="S196" s="242"/>
      <c r="T196" s="242"/>
      <c r="U196" s="242"/>
      <c r="V196" s="242"/>
      <c r="W196" s="242"/>
      <c r="X196" s="242"/>
      <c r="Y196" s="242"/>
      <c r="Z196" s="242"/>
      <c r="AA196" s="242"/>
      <c r="AB196" s="242"/>
      <c r="AC196" s="242"/>
      <c r="AD196" s="242"/>
      <c r="AE196" s="242"/>
      <c r="AF196" s="242"/>
      <c r="AG196" s="242"/>
      <c r="AH196" s="242"/>
      <c r="AI196" s="242"/>
      <c r="AJ196" s="13"/>
      <c r="AK196" s="242"/>
      <c r="AL196" s="242"/>
      <c r="AM196" s="242"/>
      <c r="AN196" s="242"/>
      <c r="AO196" s="242"/>
    </row>
    <row r="197">
      <c r="A197" s="242"/>
      <c r="B197" s="13"/>
      <c r="C197" s="242"/>
      <c r="D197" s="242"/>
      <c r="E197" s="242"/>
      <c r="F197" s="242"/>
      <c r="G197" s="13"/>
      <c r="H197" s="13"/>
      <c r="I197" s="13"/>
      <c r="J197" s="13"/>
      <c r="K197" s="13"/>
      <c r="L197" s="242"/>
      <c r="M197" s="242"/>
      <c r="N197" s="242"/>
      <c r="O197" s="242"/>
      <c r="P197" s="242"/>
      <c r="Q197" s="525"/>
      <c r="R197" s="242"/>
      <c r="S197" s="242"/>
      <c r="T197" s="242"/>
      <c r="U197" s="242"/>
      <c r="V197" s="242"/>
      <c r="W197" s="242"/>
      <c r="X197" s="242"/>
      <c r="Y197" s="242"/>
      <c r="Z197" s="242"/>
      <c r="AA197" s="242"/>
      <c r="AB197" s="242"/>
      <c r="AC197" s="242"/>
      <c r="AD197" s="242"/>
      <c r="AE197" s="242"/>
      <c r="AF197" s="242"/>
      <c r="AG197" s="242"/>
      <c r="AH197" s="242"/>
      <c r="AI197" s="242"/>
      <c r="AJ197" s="13"/>
      <c r="AK197" s="242"/>
      <c r="AL197" s="242"/>
      <c r="AM197" s="242"/>
      <c r="AN197" s="242"/>
      <c r="AO197" s="242"/>
    </row>
    <row r="198">
      <c r="A198" s="242"/>
      <c r="B198" s="13"/>
      <c r="C198" s="242"/>
      <c r="D198" s="242"/>
      <c r="E198" s="242"/>
      <c r="F198" s="242"/>
      <c r="G198" s="13"/>
      <c r="H198" s="13"/>
      <c r="I198" s="13"/>
      <c r="J198" s="13"/>
      <c r="K198" s="13"/>
      <c r="L198" s="242"/>
      <c r="M198" s="242"/>
      <c r="N198" s="242"/>
      <c r="O198" s="242"/>
      <c r="P198" s="242"/>
      <c r="Q198" s="525"/>
      <c r="R198" s="242"/>
      <c r="S198" s="242"/>
      <c r="T198" s="242"/>
      <c r="U198" s="242"/>
      <c r="V198" s="242"/>
      <c r="W198" s="242"/>
      <c r="X198" s="242"/>
      <c r="Y198" s="242"/>
      <c r="Z198" s="242"/>
      <c r="AA198" s="242"/>
      <c r="AB198" s="242"/>
      <c r="AC198" s="242"/>
      <c r="AD198" s="242"/>
      <c r="AE198" s="242"/>
      <c r="AF198" s="242"/>
      <c r="AG198" s="242"/>
      <c r="AH198" s="242"/>
      <c r="AI198" s="242"/>
      <c r="AJ198" s="13"/>
      <c r="AK198" s="242"/>
      <c r="AL198" s="242"/>
      <c r="AM198" s="242"/>
      <c r="AN198" s="242"/>
      <c r="AO198" s="242"/>
    </row>
    <row r="199">
      <c r="A199" s="242"/>
      <c r="B199" s="13"/>
      <c r="C199" s="242"/>
      <c r="D199" s="242"/>
      <c r="E199" s="242"/>
      <c r="F199" s="242"/>
      <c r="G199" s="13"/>
      <c r="H199" s="13"/>
      <c r="I199" s="13"/>
      <c r="J199" s="13"/>
      <c r="K199" s="13"/>
      <c r="L199" s="242"/>
      <c r="M199" s="242"/>
      <c r="N199" s="242"/>
      <c r="O199" s="242"/>
      <c r="P199" s="242"/>
      <c r="Q199" s="525"/>
      <c r="R199" s="242"/>
      <c r="S199" s="242"/>
      <c r="T199" s="242"/>
      <c r="U199" s="242"/>
      <c r="V199" s="242"/>
      <c r="W199" s="242"/>
      <c r="X199" s="242"/>
      <c r="Y199" s="242"/>
      <c r="Z199" s="242"/>
      <c r="AA199" s="242"/>
      <c r="AB199" s="242"/>
      <c r="AC199" s="242"/>
      <c r="AD199" s="242"/>
      <c r="AE199" s="242"/>
      <c r="AF199" s="242"/>
      <c r="AG199" s="242"/>
      <c r="AH199" s="242"/>
      <c r="AI199" s="242"/>
      <c r="AJ199" s="13"/>
      <c r="AK199" s="242"/>
      <c r="AL199" s="242"/>
      <c r="AM199" s="242"/>
      <c r="AN199" s="242"/>
      <c r="AO199" s="242"/>
    </row>
    <row r="200">
      <c r="A200" s="242"/>
      <c r="B200" s="13"/>
      <c r="C200" s="242"/>
      <c r="D200" s="242"/>
      <c r="E200" s="242"/>
      <c r="F200" s="242"/>
      <c r="G200" s="13"/>
      <c r="H200" s="13"/>
      <c r="I200" s="13"/>
      <c r="J200" s="13"/>
      <c r="K200" s="13"/>
      <c r="L200" s="242"/>
      <c r="M200" s="242"/>
      <c r="N200" s="242"/>
      <c r="O200" s="242"/>
      <c r="P200" s="242"/>
      <c r="Q200" s="525"/>
      <c r="R200" s="242"/>
      <c r="S200" s="242"/>
      <c r="T200" s="242"/>
      <c r="U200" s="242"/>
      <c r="V200" s="242"/>
      <c r="W200" s="242"/>
      <c r="X200" s="242"/>
      <c r="Y200" s="242"/>
      <c r="Z200" s="242"/>
      <c r="AA200" s="242"/>
      <c r="AB200" s="242"/>
      <c r="AC200" s="242"/>
      <c r="AD200" s="242"/>
      <c r="AE200" s="242"/>
      <c r="AF200" s="242"/>
      <c r="AG200" s="242"/>
      <c r="AH200" s="242"/>
      <c r="AI200" s="242"/>
      <c r="AJ200" s="13"/>
      <c r="AK200" s="242"/>
      <c r="AL200" s="242"/>
      <c r="AM200" s="242"/>
      <c r="AN200" s="242"/>
      <c r="AO200" s="242"/>
    </row>
    <row r="201">
      <c r="A201" s="242"/>
      <c r="B201" s="13"/>
      <c r="C201" s="242"/>
      <c r="D201" s="242"/>
      <c r="E201" s="242"/>
      <c r="F201" s="242"/>
      <c r="G201" s="13"/>
      <c r="H201" s="13"/>
      <c r="I201" s="13"/>
      <c r="J201" s="13"/>
      <c r="K201" s="13"/>
      <c r="L201" s="242"/>
      <c r="M201" s="242"/>
      <c r="N201" s="242"/>
      <c r="O201" s="242"/>
      <c r="P201" s="242"/>
      <c r="Q201" s="525"/>
      <c r="R201" s="242"/>
      <c r="S201" s="242"/>
      <c r="T201" s="242"/>
      <c r="U201" s="242"/>
      <c r="V201" s="242"/>
      <c r="W201" s="242"/>
      <c r="X201" s="242"/>
      <c r="Y201" s="242"/>
      <c r="Z201" s="242"/>
      <c r="AA201" s="242"/>
      <c r="AB201" s="242"/>
      <c r="AC201" s="242"/>
      <c r="AD201" s="242"/>
      <c r="AE201" s="242"/>
      <c r="AF201" s="242"/>
      <c r="AG201" s="242"/>
      <c r="AH201" s="242"/>
      <c r="AI201" s="242"/>
      <c r="AJ201" s="13"/>
      <c r="AK201" s="242"/>
      <c r="AL201" s="242"/>
      <c r="AM201" s="242"/>
      <c r="AN201" s="242"/>
      <c r="AO201" s="242"/>
    </row>
    <row r="202">
      <c r="A202" s="242"/>
      <c r="B202" s="13"/>
      <c r="C202" s="242"/>
      <c r="D202" s="242"/>
      <c r="E202" s="242"/>
      <c r="F202" s="242"/>
      <c r="G202" s="13"/>
      <c r="H202" s="13"/>
      <c r="I202" s="13"/>
      <c r="J202" s="13"/>
      <c r="K202" s="13"/>
      <c r="L202" s="242"/>
      <c r="M202" s="242"/>
      <c r="N202" s="242"/>
      <c r="O202" s="242"/>
      <c r="P202" s="242"/>
      <c r="Q202" s="525"/>
      <c r="R202" s="242"/>
      <c r="S202" s="242"/>
      <c r="T202" s="242"/>
      <c r="U202" s="242"/>
      <c r="V202" s="242"/>
      <c r="W202" s="242"/>
      <c r="X202" s="242"/>
      <c r="Y202" s="242"/>
      <c r="Z202" s="242"/>
      <c r="AA202" s="242"/>
      <c r="AB202" s="242"/>
      <c r="AC202" s="242"/>
      <c r="AD202" s="242"/>
      <c r="AE202" s="242"/>
      <c r="AF202" s="242"/>
      <c r="AG202" s="242"/>
      <c r="AH202" s="242"/>
      <c r="AI202" s="242"/>
      <c r="AJ202" s="13"/>
      <c r="AK202" s="242"/>
      <c r="AL202" s="242"/>
      <c r="AM202" s="242"/>
      <c r="AN202" s="242"/>
      <c r="AO202" s="242"/>
    </row>
    <row r="203">
      <c r="A203" s="242"/>
      <c r="B203" s="13"/>
      <c r="C203" s="242"/>
      <c r="D203" s="242"/>
      <c r="E203" s="242"/>
      <c r="F203" s="242"/>
      <c r="G203" s="13"/>
      <c r="H203" s="13"/>
      <c r="I203" s="13"/>
      <c r="J203" s="13"/>
      <c r="K203" s="13"/>
      <c r="L203" s="242"/>
      <c r="M203" s="242"/>
      <c r="N203" s="242"/>
      <c r="O203" s="242"/>
      <c r="P203" s="242"/>
      <c r="Q203" s="525"/>
      <c r="R203" s="242"/>
      <c r="S203" s="242"/>
      <c r="T203" s="242"/>
      <c r="U203" s="242"/>
      <c r="V203" s="242"/>
      <c r="W203" s="242"/>
      <c r="X203" s="242"/>
      <c r="Y203" s="242"/>
      <c r="Z203" s="242"/>
      <c r="AA203" s="242"/>
      <c r="AB203" s="242"/>
      <c r="AC203" s="242"/>
      <c r="AD203" s="242"/>
      <c r="AE203" s="242"/>
      <c r="AF203" s="242"/>
      <c r="AG203" s="242"/>
      <c r="AH203" s="242"/>
      <c r="AI203" s="242"/>
      <c r="AJ203" s="13"/>
      <c r="AK203" s="242"/>
      <c r="AL203" s="242"/>
      <c r="AM203" s="242"/>
      <c r="AN203" s="242"/>
      <c r="AO203" s="242"/>
    </row>
    <row r="204">
      <c r="A204" s="242"/>
      <c r="B204" s="13"/>
      <c r="C204" s="242"/>
      <c r="D204" s="242"/>
      <c r="E204" s="242"/>
      <c r="F204" s="242"/>
      <c r="G204" s="13"/>
      <c r="H204" s="13"/>
      <c r="I204" s="13"/>
      <c r="J204" s="13"/>
      <c r="K204" s="13"/>
      <c r="L204" s="242"/>
      <c r="M204" s="242"/>
      <c r="N204" s="242"/>
      <c r="O204" s="242"/>
      <c r="P204" s="242"/>
      <c r="Q204" s="525"/>
      <c r="R204" s="242"/>
      <c r="S204" s="242"/>
      <c r="T204" s="242"/>
      <c r="U204" s="242"/>
      <c r="V204" s="242"/>
      <c r="W204" s="242"/>
      <c r="X204" s="242"/>
      <c r="Y204" s="242"/>
      <c r="Z204" s="242"/>
      <c r="AA204" s="242"/>
      <c r="AB204" s="242"/>
      <c r="AC204" s="242"/>
      <c r="AD204" s="242"/>
      <c r="AE204" s="242"/>
      <c r="AF204" s="242"/>
      <c r="AG204" s="242"/>
      <c r="AH204" s="242"/>
      <c r="AI204" s="242"/>
      <c r="AJ204" s="13"/>
      <c r="AK204" s="242"/>
      <c r="AL204" s="242"/>
      <c r="AM204" s="242"/>
      <c r="AN204" s="242"/>
      <c r="AO204" s="242"/>
    </row>
    <row r="205">
      <c r="A205" s="242"/>
      <c r="B205" s="13"/>
      <c r="C205" s="242"/>
      <c r="D205" s="242"/>
      <c r="E205" s="242"/>
      <c r="F205" s="242"/>
      <c r="G205" s="13"/>
      <c r="H205" s="13"/>
      <c r="I205" s="13"/>
      <c r="J205" s="13"/>
      <c r="K205" s="13"/>
      <c r="L205" s="242"/>
      <c r="M205" s="242"/>
      <c r="N205" s="242"/>
      <c r="O205" s="242"/>
      <c r="P205" s="242"/>
      <c r="Q205" s="525"/>
      <c r="R205" s="242"/>
      <c r="S205" s="242"/>
      <c r="T205" s="242"/>
      <c r="U205" s="242"/>
      <c r="V205" s="242"/>
      <c r="W205" s="242"/>
      <c r="X205" s="242"/>
      <c r="Y205" s="242"/>
      <c r="Z205" s="242"/>
      <c r="AA205" s="242"/>
      <c r="AB205" s="242"/>
      <c r="AC205" s="242"/>
      <c r="AD205" s="242"/>
      <c r="AE205" s="242"/>
      <c r="AF205" s="242"/>
      <c r="AG205" s="242"/>
      <c r="AH205" s="242"/>
      <c r="AI205" s="242"/>
      <c r="AJ205" s="13"/>
      <c r="AK205" s="242"/>
      <c r="AL205" s="242"/>
      <c r="AM205" s="242"/>
      <c r="AN205" s="242"/>
      <c r="AO205" s="242"/>
    </row>
    <row r="206">
      <c r="A206" s="242"/>
      <c r="B206" s="13"/>
      <c r="C206" s="242"/>
      <c r="D206" s="242"/>
      <c r="E206" s="242"/>
      <c r="F206" s="242"/>
      <c r="G206" s="13"/>
      <c r="H206" s="13"/>
      <c r="I206" s="13"/>
      <c r="J206" s="13"/>
      <c r="K206" s="13"/>
      <c r="L206" s="242"/>
      <c r="M206" s="242"/>
      <c r="N206" s="242"/>
      <c r="O206" s="242"/>
      <c r="P206" s="242"/>
      <c r="Q206" s="525"/>
      <c r="R206" s="242"/>
      <c r="S206" s="242"/>
      <c r="T206" s="242"/>
      <c r="U206" s="242"/>
      <c r="V206" s="242"/>
      <c r="W206" s="242"/>
      <c r="X206" s="242"/>
      <c r="Y206" s="242"/>
      <c r="Z206" s="242"/>
      <c r="AA206" s="242"/>
      <c r="AB206" s="242"/>
      <c r="AC206" s="242"/>
      <c r="AD206" s="242"/>
      <c r="AE206" s="242"/>
      <c r="AF206" s="242"/>
      <c r="AG206" s="242"/>
      <c r="AH206" s="242"/>
      <c r="AI206" s="242"/>
      <c r="AJ206" s="13"/>
      <c r="AK206" s="242"/>
      <c r="AL206" s="242"/>
      <c r="AM206" s="242"/>
      <c r="AN206" s="242"/>
      <c r="AO206" s="242"/>
    </row>
    <row r="207">
      <c r="A207" s="242"/>
      <c r="B207" s="13"/>
      <c r="C207" s="242"/>
      <c r="D207" s="242"/>
      <c r="E207" s="242"/>
      <c r="F207" s="242"/>
      <c r="G207" s="13"/>
      <c r="H207" s="13"/>
      <c r="I207" s="13"/>
      <c r="J207" s="13"/>
      <c r="K207" s="13"/>
      <c r="L207" s="242"/>
      <c r="M207" s="242"/>
      <c r="N207" s="242"/>
      <c r="O207" s="242"/>
      <c r="P207" s="242"/>
      <c r="Q207" s="525"/>
      <c r="R207" s="242"/>
      <c r="S207" s="242"/>
      <c r="T207" s="242"/>
      <c r="U207" s="242"/>
      <c r="V207" s="242"/>
      <c r="W207" s="242"/>
      <c r="X207" s="242"/>
      <c r="Y207" s="242"/>
      <c r="Z207" s="242"/>
      <c r="AA207" s="242"/>
      <c r="AB207" s="242"/>
      <c r="AC207" s="242"/>
      <c r="AD207" s="242"/>
      <c r="AE207" s="242"/>
      <c r="AF207" s="242"/>
      <c r="AG207" s="242"/>
      <c r="AH207" s="242"/>
      <c r="AI207" s="242"/>
      <c r="AJ207" s="13"/>
      <c r="AK207" s="242"/>
      <c r="AL207" s="242"/>
      <c r="AM207" s="242"/>
      <c r="AN207" s="242"/>
      <c r="AO207" s="242"/>
    </row>
    <row r="208">
      <c r="A208" s="242"/>
      <c r="B208" s="13"/>
      <c r="C208" s="242"/>
      <c r="D208" s="242"/>
      <c r="E208" s="242"/>
      <c r="F208" s="242"/>
      <c r="G208" s="13"/>
      <c r="H208" s="13"/>
      <c r="I208" s="13"/>
      <c r="J208" s="13"/>
      <c r="K208" s="13"/>
      <c r="L208" s="242"/>
      <c r="M208" s="242"/>
      <c r="N208" s="242"/>
      <c r="O208" s="242"/>
      <c r="P208" s="242"/>
      <c r="Q208" s="525"/>
      <c r="R208" s="242"/>
      <c r="S208" s="242"/>
      <c r="T208" s="242"/>
      <c r="U208" s="242"/>
      <c r="V208" s="242"/>
      <c r="W208" s="242"/>
      <c r="X208" s="242"/>
      <c r="Y208" s="242"/>
      <c r="Z208" s="242"/>
      <c r="AA208" s="242"/>
      <c r="AB208" s="242"/>
      <c r="AC208" s="242"/>
      <c r="AD208" s="242"/>
      <c r="AE208" s="242"/>
      <c r="AF208" s="242"/>
      <c r="AG208" s="242"/>
      <c r="AH208" s="242"/>
      <c r="AI208" s="242"/>
      <c r="AJ208" s="13"/>
      <c r="AK208" s="242"/>
      <c r="AL208" s="242"/>
      <c r="AM208" s="242"/>
      <c r="AN208" s="242"/>
      <c r="AO208" s="242"/>
    </row>
    <row r="209">
      <c r="A209" s="242"/>
      <c r="B209" s="13"/>
      <c r="C209" s="242"/>
      <c r="D209" s="242"/>
      <c r="E209" s="242"/>
      <c r="F209" s="242"/>
      <c r="G209" s="13"/>
      <c r="H209" s="13"/>
      <c r="I209" s="13"/>
      <c r="J209" s="13"/>
      <c r="K209" s="13"/>
      <c r="L209" s="242"/>
      <c r="M209" s="242"/>
      <c r="N209" s="242"/>
      <c r="O209" s="242"/>
      <c r="P209" s="242"/>
      <c r="Q209" s="525"/>
      <c r="R209" s="242"/>
      <c r="S209" s="242"/>
      <c r="T209" s="242"/>
      <c r="U209" s="242"/>
      <c r="V209" s="242"/>
      <c r="W209" s="242"/>
      <c r="X209" s="242"/>
      <c r="Y209" s="242"/>
      <c r="Z209" s="242"/>
      <c r="AA209" s="242"/>
      <c r="AB209" s="242"/>
      <c r="AC209" s="242"/>
      <c r="AD209" s="242"/>
      <c r="AE209" s="242"/>
      <c r="AF209" s="242"/>
      <c r="AG209" s="242"/>
      <c r="AH209" s="242"/>
      <c r="AI209" s="242"/>
      <c r="AJ209" s="13"/>
      <c r="AK209" s="242"/>
      <c r="AL209" s="242"/>
      <c r="AM209" s="242"/>
      <c r="AN209" s="242"/>
      <c r="AO209" s="242"/>
    </row>
    <row r="210">
      <c r="A210" s="242"/>
      <c r="B210" s="13"/>
      <c r="C210" s="242"/>
      <c r="D210" s="242"/>
      <c r="E210" s="242"/>
      <c r="F210" s="242"/>
      <c r="G210" s="13"/>
      <c r="H210" s="13"/>
      <c r="I210" s="13"/>
      <c r="J210" s="13"/>
      <c r="K210" s="13"/>
      <c r="L210" s="242"/>
      <c r="M210" s="242"/>
      <c r="N210" s="242"/>
      <c r="O210" s="242"/>
      <c r="P210" s="242"/>
      <c r="Q210" s="525"/>
      <c r="R210" s="242"/>
      <c r="S210" s="242"/>
      <c r="T210" s="242"/>
      <c r="U210" s="242"/>
      <c r="V210" s="242"/>
      <c r="W210" s="242"/>
      <c r="X210" s="242"/>
      <c r="Y210" s="242"/>
      <c r="Z210" s="242"/>
      <c r="AA210" s="242"/>
      <c r="AB210" s="242"/>
      <c r="AC210" s="242"/>
      <c r="AD210" s="242"/>
      <c r="AE210" s="242"/>
      <c r="AF210" s="242"/>
      <c r="AG210" s="242"/>
      <c r="AH210" s="242"/>
      <c r="AI210" s="242"/>
      <c r="AJ210" s="13"/>
      <c r="AK210" s="242"/>
      <c r="AL210" s="242"/>
      <c r="AM210" s="242"/>
      <c r="AN210" s="242"/>
      <c r="AO210" s="242"/>
    </row>
    <row r="211">
      <c r="A211" s="242"/>
      <c r="B211" s="13"/>
      <c r="C211" s="242"/>
      <c r="D211" s="242"/>
      <c r="E211" s="242"/>
      <c r="F211" s="242"/>
      <c r="G211" s="13"/>
      <c r="H211" s="13"/>
      <c r="I211" s="13"/>
      <c r="J211" s="13"/>
      <c r="K211" s="13"/>
      <c r="L211" s="242"/>
      <c r="M211" s="242"/>
      <c r="N211" s="242"/>
      <c r="O211" s="242"/>
      <c r="P211" s="242"/>
      <c r="Q211" s="525"/>
      <c r="R211" s="242"/>
      <c r="S211" s="242"/>
      <c r="T211" s="242"/>
      <c r="U211" s="242"/>
      <c r="V211" s="242"/>
      <c r="W211" s="242"/>
      <c r="X211" s="242"/>
      <c r="Y211" s="242"/>
      <c r="Z211" s="242"/>
      <c r="AA211" s="242"/>
      <c r="AB211" s="242"/>
      <c r="AC211" s="242"/>
      <c r="AD211" s="242"/>
      <c r="AE211" s="242"/>
      <c r="AF211" s="242"/>
      <c r="AG211" s="242"/>
      <c r="AH211" s="242"/>
      <c r="AI211" s="242"/>
      <c r="AJ211" s="13"/>
      <c r="AK211" s="242"/>
      <c r="AL211" s="242"/>
      <c r="AM211" s="242"/>
      <c r="AN211" s="242"/>
      <c r="AO211" s="242"/>
    </row>
    <row r="212">
      <c r="A212" s="242"/>
      <c r="B212" s="13"/>
      <c r="C212" s="242"/>
      <c r="D212" s="242"/>
      <c r="E212" s="242"/>
      <c r="F212" s="242"/>
      <c r="G212" s="13"/>
      <c r="H212" s="13"/>
      <c r="I212" s="13"/>
      <c r="J212" s="13"/>
      <c r="K212" s="13"/>
      <c r="L212" s="242"/>
      <c r="M212" s="242"/>
      <c r="N212" s="242"/>
      <c r="O212" s="242"/>
      <c r="P212" s="242"/>
      <c r="Q212" s="525"/>
      <c r="R212" s="242"/>
      <c r="S212" s="242"/>
      <c r="T212" s="242"/>
      <c r="U212" s="242"/>
      <c r="V212" s="242"/>
      <c r="W212" s="242"/>
      <c r="X212" s="242"/>
      <c r="Y212" s="242"/>
      <c r="Z212" s="242"/>
      <c r="AA212" s="242"/>
      <c r="AB212" s="242"/>
      <c r="AC212" s="242"/>
      <c r="AD212" s="242"/>
      <c r="AE212" s="242"/>
      <c r="AF212" s="242"/>
      <c r="AG212" s="242"/>
      <c r="AH212" s="242"/>
      <c r="AI212" s="242"/>
      <c r="AJ212" s="13"/>
      <c r="AK212" s="242"/>
      <c r="AL212" s="242"/>
      <c r="AM212" s="242"/>
      <c r="AN212" s="242"/>
      <c r="AO212" s="242"/>
    </row>
    <row r="213">
      <c r="A213" s="242"/>
      <c r="B213" s="13"/>
      <c r="C213" s="242"/>
      <c r="D213" s="242"/>
      <c r="E213" s="242"/>
      <c r="F213" s="242"/>
      <c r="G213" s="13"/>
      <c r="H213" s="13"/>
      <c r="I213" s="13"/>
      <c r="J213" s="13"/>
      <c r="K213" s="13"/>
      <c r="L213" s="242"/>
      <c r="M213" s="242"/>
      <c r="N213" s="242"/>
      <c r="O213" s="242"/>
      <c r="P213" s="242"/>
      <c r="Q213" s="525"/>
      <c r="R213" s="242"/>
      <c r="S213" s="242"/>
      <c r="T213" s="242"/>
      <c r="U213" s="242"/>
      <c r="V213" s="242"/>
      <c r="W213" s="242"/>
      <c r="X213" s="242"/>
      <c r="Y213" s="242"/>
      <c r="Z213" s="242"/>
      <c r="AA213" s="242"/>
      <c r="AB213" s="242"/>
      <c r="AC213" s="242"/>
      <c r="AD213" s="242"/>
      <c r="AE213" s="242"/>
      <c r="AF213" s="242"/>
      <c r="AG213" s="242"/>
      <c r="AH213" s="242"/>
      <c r="AI213" s="242"/>
      <c r="AJ213" s="13"/>
      <c r="AK213" s="242"/>
      <c r="AL213" s="242"/>
      <c r="AM213" s="242"/>
      <c r="AN213" s="242"/>
      <c r="AO213" s="242"/>
    </row>
    <row r="214">
      <c r="A214" s="242"/>
      <c r="B214" s="13"/>
      <c r="C214" s="242"/>
      <c r="D214" s="242"/>
      <c r="E214" s="242"/>
      <c r="F214" s="242"/>
      <c r="G214" s="13"/>
      <c r="H214" s="13"/>
      <c r="I214" s="13"/>
      <c r="J214" s="13"/>
      <c r="K214" s="13"/>
      <c r="L214" s="242"/>
      <c r="M214" s="242"/>
      <c r="N214" s="242"/>
      <c r="O214" s="242"/>
      <c r="P214" s="242"/>
      <c r="Q214" s="525"/>
      <c r="R214" s="242"/>
      <c r="S214" s="242"/>
      <c r="T214" s="242"/>
      <c r="U214" s="242"/>
      <c r="V214" s="242"/>
      <c r="W214" s="242"/>
      <c r="X214" s="242"/>
      <c r="Y214" s="242"/>
      <c r="Z214" s="242"/>
      <c r="AA214" s="242"/>
      <c r="AB214" s="242"/>
      <c r="AC214" s="242"/>
      <c r="AD214" s="242"/>
      <c r="AE214" s="242"/>
      <c r="AF214" s="242"/>
      <c r="AG214" s="242"/>
      <c r="AH214" s="242"/>
      <c r="AI214" s="242"/>
      <c r="AJ214" s="13"/>
      <c r="AK214" s="242"/>
      <c r="AL214" s="242"/>
      <c r="AM214" s="242"/>
      <c r="AN214" s="242"/>
      <c r="AO214" s="242"/>
    </row>
    <row r="215">
      <c r="A215" s="242"/>
      <c r="B215" s="13"/>
      <c r="C215" s="242"/>
      <c r="D215" s="242"/>
      <c r="E215" s="242"/>
      <c r="F215" s="242"/>
      <c r="G215" s="13"/>
      <c r="H215" s="13"/>
      <c r="I215" s="13"/>
      <c r="J215" s="13"/>
      <c r="K215" s="13"/>
      <c r="L215" s="242"/>
      <c r="M215" s="242"/>
      <c r="N215" s="242"/>
      <c r="O215" s="242"/>
      <c r="P215" s="242"/>
      <c r="Q215" s="525"/>
      <c r="R215" s="242"/>
      <c r="S215" s="242"/>
      <c r="T215" s="242"/>
      <c r="U215" s="242"/>
      <c r="V215" s="242"/>
      <c r="W215" s="242"/>
      <c r="X215" s="242"/>
      <c r="Y215" s="242"/>
      <c r="Z215" s="242"/>
      <c r="AA215" s="242"/>
      <c r="AB215" s="242"/>
      <c r="AC215" s="242"/>
      <c r="AD215" s="242"/>
      <c r="AE215" s="242"/>
      <c r="AF215" s="242"/>
      <c r="AG215" s="242"/>
      <c r="AH215" s="242"/>
      <c r="AI215" s="242"/>
      <c r="AJ215" s="13"/>
      <c r="AK215" s="242"/>
      <c r="AL215" s="242"/>
      <c r="AM215" s="242"/>
      <c r="AN215" s="242"/>
      <c r="AO215" s="242"/>
    </row>
    <row r="216">
      <c r="A216" s="242"/>
      <c r="B216" s="13"/>
      <c r="C216" s="242"/>
      <c r="D216" s="242"/>
      <c r="E216" s="242"/>
      <c r="F216" s="242"/>
      <c r="G216" s="13"/>
      <c r="H216" s="13"/>
      <c r="I216" s="13"/>
      <c r="J216" s="13"/>
      <c r="K216" s="13"/>
      <c r="L216" s="242"/>
      <c r="M216" s="242"/>
      <c r="N216" s="242"/>
      <c r="O216" s="242"/>
      <c r="P216" s="242"/>
      <c r="Q216" s="525"/>
      <c r="R216" s="242"/>
      <c r="S216" s="242"/>
      <c r="T216" s="242"/>
      <c r="U216" s="242"/>
      <c r="V216" s="242"/>
      <c r="W216" s="242"/>
      <c r="X216" s="242"/>
      <c r="Y216" s="242"/>
      <c r="Z216" s="242"/>
      <c r="AA216" s="242"/>
      <c r="AB216" s="242"/>
      <c r="AC216" s="242"/>
      <c r="AD216" s="242"/>
      <c r="AE216" s="242"/>
      <c r="AF216" s="242"/>
      <c r="AG216" s="242"/>
      <c r="AH216" s="242"/>
      <c r="AI216" s="242"/>
      <c r="AJ216" s="13"/>
      <c r="AK216" s="242"/>
      <c r="AL216" s="242"/>
      <c r="AM216" s="242"/>
      <c r="AN216" s="242"/>
      <c r="AO216" s="242"/>
    </row>
    <row r="217">
      <c r="A217" s="242"/>
      <c r="B217" s="13"/>
      <c r="C217" s="242"/>
      <c r="D217" s="242"/>
      <c r="E217" s="242"/>
      <c r="F217" s="242"/>
      <c r="G217" s="13"/>
      <c r="H217" s="13"/>
      <c r="I217" s="13"/>
      <c r="J217" s="13"/>
      <c r="K217" s="13"/>
      <c r="L217" s="242"/>
      <c r="M217" s="242"/>
      <c r="N217" s="242"/>
      <c r="O217" s="242"/>
      <c r="P217" s="242"/>
      <c r="Q217" s="525"/>
      <c r="R217" s="242"/>
      <c r="S217" s="242"/>
      <c r="T217" s="242"/>
      <c r="U217" s="242"/>
      <c r="V217" s="242"/>
      <c r="W217" s="242"/>
      <c r="X217" s="242"/>
      <c r="Y217" s="242"/>
      <c r="Z217" s="242"/>
      <c r="AA217" s="242"/>
      <c r="AB217" s="242"/>
      <c r="AC217" s="242"/>
      <c r="AD217" s="242"/>
      <c r="AE217" s="242"/>
      <c r="AF217" s="242"/>
      <c r="AG217" s="242"/>
      <c r="AH217" s="242"/>
      <c r="AI217" s="242"/>
      <c r="AJ217" s="13"/>
      <c r="AK217" s="242"/>
      <c r="AL217" s="242"/>
      <c r="AM217" s="242"/>
      <c r="AN217" s="242"/>
      <c r="AO217" s="242"/>
    </row>
    <row r="218">
      <c r="A218" s="242"/>
      <c r="B218" s="13"/>
      <c r="C218" s="242"/>
      <c r="D218" s="242"/>
      <c r="E218" s="242"/>
      <c r="F218" s="242"/>
      <c r="G218" s="13"/>
      <c r="H218" s="13"/>
      <c r="I218" s="13"/>
      <c r="J218" s="13"/>
      <c r="K218" s="13"/>
      <c r="L218" s="242"/>
      <c r="M218" s="242"/>
      <c r="N218" s="242"/>
      <c r="O218" s="242"/>
      <c r="P218" s="242"/>
      <c r="Q218" s="525"/>
      <c r="R218" s="242"/>
      <c r="S218" s="242"/>
      <c r="T218" s="242"/>
      <c r="U218" s="242"/>
      <c r="V218" s="242"/>
      <c r="W218" s="242"/>
      <c r="X218" s="242"/>
      <c r="Y218" s="242"/>
      <c r="Z218" s="242"/>
      <c r="AA218" s="242"/>
      <c r="AB218" s="242"/>
      <c r="AC218" s="242"/>
      <c r="AD218" s="242"/>
      <c r="AE218" s="242"/>
      <c r="AF218" s="242"/>
      <c r="AG218" s="242"/>
      <c r="AH218" s="242"/>
      <c r="AI218" s="242"/>
      <c r="AJ218" s="13"/>
      <c r="AK218" s="242"/>
      <c r="AL218" s="242"/>
      <c r="AM218" s="242"/>
      <c r="AN218" s="242"/>
      <c r="AO218" s="242"/>
    </row>
    <row r="219">
      <c r="A219" s="242"/>
      <c r="B219" s="13"/>
      <c r="C219" s="242"/>
      <c r="D219" s="242"/>
      <c r="E219" s="242"/>
      <c r="F219" s="242"/>
      <c r="G219" s="13"/>
      <c r="H219" s="13"/>
      <c r="I219" s="13"/>
      <c r="J219" s="13"/>
      <c r="K219" s="13"/>
      <c r="L219" s="242"/>
      <c r="M219" s="242"/>
      <c r="N219" s="242"/>
      <c r="O219" s="242"/>
      <c r="P219" s="242"/>
      <c r="Q219" s="525"/>
      <c r="R219" s="242"/>
      <c r="S219" s="242"/>
      <c r="T219" s="242"/>
      <c r="U219" s="242"/>
      <c r="V219" s="242"/>
      <c r="W219" s="242"/>
      <c r="X219" s="242"/>
      <c r="Y219" s="242"/>
      <c r="Z219" s="242"/>
      <c r="AA219" s="242"/>
      <c r="AB219" s="242"/>
      <c r="AC219" s="242"/>
      <c r="AD219" s="242"/>
      <c r="AE219" s="242"/>
      <c r="AF219" s="242"/>
      <c r="AG219" s="242"/>
      <c r="AH219" s="242"/>
      <c r="AI219" s="242"/>
      <c r="AJ219" s="13"/>
      <c r="AK219" s="242"/>
      <c r="AL219" s="242"/>
      <c r="AM219" s="242"/>
      <c r="AN219" s="242"/>
      <c r="AO219" s="242"/>
    </row>
    <row r="220">
      <c r="A220" s="242"/>
      <c r="B220" s="13"/>
      <c r="C220" s="242"/>
      <c r="D220" s="242"/>
      <c r="E220" s="242"/>
      <c r="F220" s="242"/>
      <c r="G220" s="13"/>
      <c r="H220" s="13"/>
      <c r="I220" s="13"/>
      <c r="J220" s="13"/>
      <c r="K220" s="13"/>
      <c r="L220" s="242"/>
      <c r="M220" s="242"/>
      <c r="N220" s="242"/>
      <c r="O220" s="242"/>
      <c r="P220" s="242"/>
      <c r="Q220" s="525"/>
      <c r="R220" s="242"/>
      <c r="S220" s="242"/>
      <c r="T220" s="242"/>
      <c r="U220" s="242"/>
      <c r="V220" s="242"/>
      <c r="W220" s="242"/>
      <c r="X220" s="242"/>
      <c r="Y220" s="242"/>
      <c r="Z220" s="242"/>
      <c r="AA220" s="242"/>
      <c r="AB220" s="242"/>
      <c r="AC220" s="242"/>
      <c r="AD220" s="242"/>
      <c r="AE220" s="242"/>
      <c r="AF220" s="242"/>
      <c r="AG220" s="242"/>
      <c r="AH220" s="242"/>
      <c r="AI220" s="242"/>
      <c r="AJ220" s="13"/>
      <c r="AK220" s="242"/>
      <c r="AL220" s="242"/>
      <c r="AM220" s="242"/>
      <c r="AN220" s="242"/>
      <c r="AO220" s="242"/>
    </row>
    <row r="221">
      <c r="A221" s="242"/>
      <c r="B221" s="13"/>
      <c r="C221" s="242"/>
      <c r="D221" s="242"/>
      <c r="E221" s="242"/>
      <c r="F221" s="242"/>
      <c r="G221" s="13"/>
      <c r="H221" s="13"/>
      <c r="I221" s="13"/>
      <c r="J221" s="13"/>
      <c r="K221" s="13"/>
      <c r="L221" s="242"/>
      <c r="M221" s="242"/>
      <c r="N221" s="242"/>
      <c r="O221" s="242"/>
      <c r="P221" s="242"/>
      <c r="Q221" s="525"/>
      <c r="R221" s="242"/>
      <c r="S221" s="242"/>
      <c r="T221" s="242"/>
      <c r="U221" s="242"/>
      <c r="V221" s="242"/>
      <c r="W221" s="242"/>
      <c r="X221" s="242"/>
      <c r="Y221" s="242"/>
      <c r="Z221" s="242"/>
      <c r="AA221" s="242"/>
      <c r="AB221" s="242"/>
      <c r="AC221" s="242"/>
      <c r="AD221" s="242"/>
      <c r="AE221" s="242"/>
      <c r="AF221" s="242"/>
      <c r="AG221" s="242"/>
      <c r="AH221" s="242"/>
      <c r="AI221" s="242"/>
      <c r="AJ221" s="13"/>
      <c r="AK221" s="242"/>
      <c r="AL221" s="242"/>
      <c r="AM221" s="242"/>
      <c r="AN221" s="242"/>
      <c r="AO221" s="242"/>
    </row>
    <row r="222">
      <c r="A222" s="242"/>
      <c r="B222" s="13"/>
      <c r="C222" s="242"/>
      <c r="D222" s="242"/>
      <c r="E222" s="242"/>
      <c r="F222" s="242"/>
      <c r="G222" s="13"/>
      <c r="H222" s="13"/>
      <c r="I222" s="13"/>
      <c r="J222" s="13"/>
      <c r="K222" s="13"/>
      <c r="L222" s="242"/>
      <c r="M222" s="242"/>
      <c r="N222" s="242"/>
      <c r="O222" s="242"/>
      <c r="P222" s="242"/>
      <c r="Q222" s="525"/>
      <c r="R222" s="242"/>
      <c r="S222" s="242"/>
      <c r="T222" s="242"/>
      <c r="U222" s="242"/>
      <c r="V222" s="242"/>
      <c r="W222" s="242"/>
      <c r="X222" s="242"/>
      <c r="Y222" s="242"/>
      <c r="Z222" s="242"/>
      <c r="AA222" s="242"/>
      <c r="AB222" s="242"/>
      <c r="AC222" s="242"/>
      <c r="AD222" s="242"/>
      <c r="AE222" s="242"/>
      <c r="AF222" s="242"/>
      <c r="AG222" s="242"/>
      <c r="AH222" s="242"/>
      <c r="AI222" s="242"/>
      <c r="AJ222" s="13"/>
      <c r="AK222" s="242"/>
      <c r="AL222" s="242"/>
      <c r="AM222" s="242"/>
      <c r="AN222" s="242"/>
      <c r="AO222" s="242"/>
    </row>
    <row r="223">
      <c r="A223" s="242"/>
      <c r="B223" s="13"/>
      <c r="C223" s="242"/>
      <c r="D223" s="242"/>
      <c r="E223" s="242"/>
      <c r="F223" s="242"/>
      <c r="G223" s="13"/>
      <c r="H223" s="13"/>
      <c r="I223" s="13"/>
      <c r="J223" s="13"/>
      <c r="K223" s="13"/>
      <c r="L223" s="242"/>
      <c r="M223" s="242"/>
      <c r="N223" s="242"/>
      <c r="O223" s="242"/>
      <c r="P223" s="242"/>
      <c r="Q223" s="525"/>
      <c r="R223" s="242"/>
      <c r="S223" s="242"/>
      <c r="T223" s="242"/>
      <c r="U223" s="242"/>
      <c r="V223" s="242"/>
      <c r="W223" s="242"/>
      <c r="X223" s="242"/>
      <c r="Y223" s="242"/>
      <c r="Z223" s="242"/>
      <c r="AA223" s="242"/>
      <c r="AB223" s="242"/>
      <c r="AC223" s="242"/>
      <c r="AD223" s="242"/>
      <c r="AE223" s="242"/>
      <c r="AF223" s="242"/>
      <c r="AG223" s="242"/>
      <c r="AH223" s="242"/>
      <c r="AI223" s="242"/>
      <c r="AJ223" s="13"/>
      <c r="AK223" s="242"/>
      <c r="AL223" s="242"/>
      <c r="AM223" s="242"/>
      <c r="AN223" s="242"/>
      <c r="AO223" s="242"/>
    </row>
    <row r="224">
      <c r="A224" s="242"/>
      <c r="B224" s="13"/>
      <c r="C224" s="242"/>
      <c r="D224" s="242"/>
      <c r="E224" s="242"/>
      <c r="F224" s="242"/>
      <c r="G224" s="13"/>
      <c r="H224" s="13"/>
      <c r="I224" s="13"/>
      <c r="J224" s="13"/>
      <c r="K224" s="13"/>
      <c r="L224" s="242"/>
      <c r="M224" s="242"/>
      <c r="N224" s="242"/>
      <c r="O224" s="242"/>
      <c r="P224" s="242"/>
      <c r="Q224" s="525"/>
      <c r="R224" s="242"/>
      <c r="S224" s="242"/>
      <c r="T224" s="242"/>
      <c r="U224" s="242"/>
      <c r="V224" s="242"/>
      <c r="W224" s="242"/>
      <c r="X224" s="242"/>
      <c r="Y224" s="242"/>
      <c r="Z224" s="242"/>
      <c r="AA224" s="242"/>
      <c r="AB224" s="242"/>
      <c r="AC224" s="242"/>
      <c r="AD224" s="242"/>
      <c r="AE224" s="242"/>
      <c r="AF224" s="242"/>
      <c r="AG224" s="242"/>
      <c r="AH224" s="242"/>
      <c r="AI224" s="242"/>
      <c r="AJ224" s="13"/>
      <c r="AK224" s="242"/>
      <c r="AL224" s="242"/>
      <c r="AM224" s="242"/>
      <c r="AN224" s="242"/>
      <c r="AO224" s="242"/>
    </row>
    <row r="225">
      <c r="A225" s="242"/>
      <c r="B225" s="13"/>
      <c r="C225" s="242"/>
      <c r="D225" s="242"/>
      <c r="E225" s="242"/>
      <c r="F225" s="242"/>
      <c r="G225" s="13"/>
      <c r="H225" s="13"/>
      <c r="I225" s="13"/>
      <c r="J225" s="13"/>
      <c r="K225" s="13"/>
      <c r="L225" s="242"/>
      <c r="M225" s="242"/>
      <c r="N225" s="242"/>
      <c r="O225" s="242"/>
      <c r="P225" s="242"/>
      <c r="Q225" s="525"/>
      <c r="R225" s="242"/>
      <c r="S225" s="242"/>
      <c r="T225" s="242"/>
      <c r="U225" s="242"/>
      <c r="V225" s="242"/>
      <c r="W225" s="242"/>
      <c r="X225" s="242"/>
      <c r="Y225" s="242"/>
      <c r="Z225" s="242"/>
      <c r="AA225" s="242"/>
      <c r="AB225" s="242"/>
      <c r="AC225" s="242"/>
      <c r="AD225" s="242"/>
      <c r="AE225" s="242"/>
      <c r="AF225" s="242"/>
      <c r="AG225" s="242"/>
      <c r="AH225" s="242"/>
      <c r="AI225" s="242"/>
      <c r="AJ225" s="13"/>
      <c r="AK225" s="242"/>
      <c r="AL225" s="242"/>
      <c r="AM225" s="242"/>
      <c r="AN225" s="242"/>
      <c r="AO225" s="242"/>
    </row>
    <row r="226">
      <c r="A226" s="242"/>
      <c r="B226" s="13"/>
      <c r="C226" s="242"/>
      <c r="D226" s="242"/>
      <c r="E226" s="242"/>
      <c r="F226" s="242"/>
      <c r="G226" s="13"/>
      <c r="H226" s="13"/>
      <c r="I226" s="13"/>
      <c r="J226" s="13"/>
      <c r="K226" s="13"/>
      <c r="L226" s="242"/>
      <c r="M226" s="242"/>
      <c r="N226" s="242"/>
      <c r="O226" s="242"/>
      <c r="P226" s="242"/>
      <c r="Q226" s="525"/>
      <c r="R226" s="242"/>
      <c r="S226" s="242"/>
      <c r="T226" s="242"/>
      <c r="U226" s="242"/>
      <c r="V226" s="242"/>
      <c r="W226" s="242"/>
      <c r="X226" s="242"/>
      <c r="Y226" s="242"/>
      <c r="Z226" s="242"/>
      <c r="AA226" s="242"/>
      <c r="AB226" s="242"/>
      <c r="AC226" s="242"/>
      <c r="AD226" s="242"/>
      <c r="AE226" s="242"/>
      <c r="AF226" s="242"/>
      <c r="AG226" s="242"/>
      <c r="AH226" s="242"/>
      <c r="AI226" s="242"/>
      <c r="AJ226" s="13"/>
      <c r="AK226" s="242"/>
      <c r="AL226" s="242"/>
      <c r="AM226" s="242"/>
      <c r="AN226" s="242"/>
      <c r="AO226" s="242"/>
    </row>
    <row r="227">
      <c r="A227" s="242"/>
      <c r="B227" s="13"/>
      <c r="C227" s="242"/>
      <c r="D227" s="242"/>
      <c r="E227" s="242"/>
      <c r="F227" s="242"/>
      <c r="G227" s="13"/>
      <c r="H227" s="13"/>
      <c r="I227" s="13"/>
      <c r="J227" s="13"/>
      <c r="K227" s="13"/>
      <c r="L227" s="242"/>
      <c r="M227" s="242"/>
      <c r="N227" s="242"/>
      <c r="O227" s="242"/>
      <c r="P227" s="242"/>
      <c r="Q227" s="525"/>
      <c r="R227" s="242"/>
      <c r="S227" s="242"/>
      <c r="T227" s="242"/>
      <c r="U227" s="242"/>
      <c r="V227" s="242"/>
      <c r="W227" s="242"/>
      <c r="X227" s="242"/>
      <c r="Y227" s="242"/>
      <c r="Z227" s="242"/>
      <c r="AA227" s="242"/>
      <c r="AB227" s="242"/>
      <c r="AC227" s="242"/>
      <c r="AD227" s="242"/>
      <c r="AE227" s="242"/>
      <c r="AF227" s="242"/>
      <c r="AG227" s="242"/>
      <c r="AH227" s="242"/>
      <c r="AI227" s="242"/>
      <c r="AJ227" s="13"/>
      <c r="AK227" s="242"/>
      <c r="AL227" s="242"/>
      <c r="AM227" s="242"/>
      <c r="AN227" s="242"/>
      <c r="AO227" s="242"/>
    </row>
    <row r="228">
      <c r="A228" s="242"/>
      <c r="B228" s="13"/>
      <c r="C228" s="242"/>
      <c r="D228" s="242"/>
      <c r="E228" s="242"/>
      <c r="F228" s="242"/>
      <c r="G228" s="13"/>
      <c r="H228" s="13"/>
      <c r="I228" s="13"/>
      <c r="J228" s="13"/>
      <c r="K228" s="13"/>
      <c r="L228" s="242"/>
      <c r="M228" s="242"/>
      <c r="N228" s="242"/>
      <c r="O228" s="242"/>
      <c r="P228" s="242"/>
      <c r="Q228" s="525"/>
      <c r="R228" s="242"/>
      <c r="S228" s="242"/>
      <c r="T228" s="242"/>
      <c r="U228" s="242"/>
      <c r="V228" s="242"/>
      <c r="W228" s="242"/>
      <c r="X228" s="242"/>
      <c r="Y228" s="242"/>
      <c r="Z228" s="242"/>
      <c r="AA228" s="242"/>
      <c r="AB228" s="242"/>
      <c r="AC228" s="242"/>
      <c r="AD228" s="242"/>
      <c r="AE228" s="242"/>
      <c r="AF228" s="242"/>
      <c r="AG228" s="242"/>
      <c r="AH228" s="242"/>
      <c r="AI228" s="242"/>
      <c r="AJ228" s="13"/>
      <c r="AK228" s="242"/>
      <c r="AL228" s="242"/>
      <c r="AM228" s="242"/>
      <c r="AN228" s="242"/>
      <c r="AO228" s="242"/>
    </row>
    <row r="229">
      <c r="A229" s="242"/>
      <c r="B229" s="13"/>
      <c r="C229" s="242"/>
      <c r="D229" s="242"/>
      <c r="E229" s="242"/>
      <c r="F229" s="242"/>
      <c r="G229" s="13"/>
      <c r="H229" s="13"/>
      <c r="I229" s="13"/>
      <c r="J229" s="13"/>
      <c r="K229" s="13"/>
      <c r="L229" s="242"/>
      <c r="M229" s="242"/>
      <c r="N229" s="242"/>
      <c r="O229" s="242"/>
      <c r="P229" s="242"/>
      <c r="Q229" s="525"/>
      <c r="R229" s="242"/>
      <c r="S229" s="242"/>
      <c r="T229" s="242"/>
      <c r="U229" s="242"/>
      <c r="V229" s="242"/>
      <c r="W229" s="242"/>
      <c r="X229" s="242"/>
      <c r="Y229" s="242"/>
      <c r="Z229" s="242"/>
      <c r="AA229" s="242"/>
      <c r="AB229" s="242"/>
      <c r="AC229" s="242"/>
      <c r="AD229" s="242"/>
      <c r="AE229" s="242"/>
      <c r="AF229" s="242"/>
      <c r="AG229" s="242"/>
      <c r="AH229" s="242"/>
      <c r="AI229" s="242"/>
      <c r="AJ229" s="13"/>
      <c r="AK229" s="242"/>
      <c r="AL229" s="242"/>
      <c r="AM229" s="242"/>
      <c r="AN229" s="242"/>
      <c r="AO229" s="242"/>
    </row>
    <row r="230">
      <c r="A230" s="242"/>
      <c r="B230" s="13"/>
      <c r="C230" s="242"/>
      <c r="D230" s="242"/>
      <c r="E230" s="242"/>
      <c r="F230" s="242"/>
      <c r="G230" s="13"/>
      <c r="H230" s="13"/>
      <c r="I230" s="13"/>
      <c r="J230" s="13"/>
      <c r="K230" s="13"/>
      <c r="L230" s="242"/>
      <c r="M230" s="242"/>
      <c r="N230" s="242"/>
      <c r="O230" s="242"/>
      <c r="P230" s="242"/>
      <c r="Q230" s="525"/>
      <c r="R230" s="242"/>
      <c r="S230" s="242"/>
      <c r="T230" s="242"/>
      <c r="U230" s="242"/>
      <c r="V230" s="242"/>
      <c r="W230" s="242"/>
      <c r="X230" s="242"/>
      <c r="Y230" s="242"/>
      <c r="Z230" s="242"/>
      <c r="AA230" s="242"/>
      <c r="AB230" s="242"/>
      <c r="AC230" s="242"/>
      <c r="AD230" s="242"/>
      <c r="AE230" s="242"/>
      <c r="AF230" s="242"/>
      <c r="AG230" s="242"/>
      <c r="AH230" s="242"/>
      <c r="AI230" s="242"/>
      <c r="AJ230" s="13"/>
      <c r="AK230" s="242"/>
      <c r="AL230" s="242"/>
      <c r="AM230" s="242"/>
      <c r="AN230" s="242"/>
      <c r="AO230" s="242"/>
    </row>
    <row r="231">
      <c r="A231" s="242"/>
      <c r="B231" s="13"/>
      <c r="C231" s="242"/>
      <c r="D231" s="242"/>
      <c r="E231" s="242"/>
      <c r="F231" s="242"/>
      <c r="G231" s="13"/>
      <c r="H231" s="13"/>
      <c r="I231" s="13"/>
      <c r="J231" s="13"/>
      <c r="K231" s="13"/>
      <c r="L231" s="242"/>
      <c r="M231" s="242"/>
      <c r="N231" s="242"/>
      <c r="O231" s="242"/>
      <c r="P231" s="242"/>
      <c r="Q231" s="525"/>
      <c r="R231" s="242"/>
      <c r="S231" s="242"/>
      <c r="T231" s="242"/>
      <c r="U231" s="242"/>
      <c r="V231" s="242"/>
      <c r="W231" s="242"/>
      <c r="X231" s="242"/>
      <c r="Y231" s="242"/>
      <c r="Z231" s="242"/>
      <c r="AA231" s="242"/>
      <c r="AB231" s="242"/>
      <c r="AC231" s="242"/>
      <c r="AD231" s="242"/>
      <c r="AE231" s="242"/>
      <c r="AF231" s="242"/>
      <c r="AG231" s="242"/>
      <c r="AH231" s="242"/>
      <c r="AI231" s="242"/>
      <c r="AJ231" s="13"/>
      <c r="AK231" s="242"/>
      <c r="AL231" s="242"/>
      <c r="AM231" s="242"/>
      <c r="AN231" s="242"/>
      <c r="AO231" s="242"/>
    </row>
    <row r="232">
      <c r="A232" s="242"/>
      <c r="B232" s="13"/>
      <c r="C232" s="242"/>
      <c r="D232" s="242"/>
      <c r="E232" s="242"/>
      <c r="F232" s="242"/>
      <c r="G232" s="13"/>
      <c r="H232" s="13"/>
      <c r="I232" s="13"/>
      <c r="J232" s="13"/>
      <c r="K232" s="13"/>
      <c r="L232" s="242"/>
      <c r="M232" s="242"/>
      <c r="N232" s="242"/>
      <c r="O232" s="242"/>
      <c r="P232" s="242"/>
      <c r="Q232" s="525"/>
      <c r="R232" s="242"/>
      <c r="S232" s="242"/>
      <c r="T232" s="242"/>
      <c r="U232" s="242"/>
      <c r="V232" s="242"/>
      <c r="W232" s="242"/>
      <c r="X232" s="242"/>
      <c r="Y232" s="242"/>
      <c r="Z232" s="242"/>
      <c r="AA232" s="242"/>
      <c r="AB232" s="242"/>
      <c r="AC232" s="242"/>
      <c r="AD232" s="242"/>
      <c r="AE232" s="242"/>
      <c r="AF232" s="242"/>
      <c r="AG232" s="242"/>
      <c r="AH232" s="242"/>
      <c r="AI232" s="242"/>
      <c r="AJ232" s="13"/>
      <c r="AK232" s="242"/>
      <c r="AL232" s="242"/>
      <c r="AM232" s="242"/>
      <c r="AN232" s="242"/>
      <c r="AO232" s="242"/>
    </row>
    <row r="233">
      <c r="A233" s="242"/>
      <c r="B233" s="13"/>
      <c r="C233" s="242"/>
      <c r="D233" s="242"/>
      <c r="E233" s="242"/>
      <c r="F233" s="242"/>
      <c r="G233" s="13"/>
      <c r="H233" s="13"/>
      <c r="I233" s="13"/>
      <c r="J233" s="13"/>
      <c r="K233" s="13"/>
      <c r="L233" s="242"/>
      <c r="M233" s="242"/>
      <c r="N233" s="242"/>
      <c r="O233" s="242"/>
      <c r="P233" s="242"/>
      <c r="Q233" s="525"/>
      <c r="R233" s="242"/>
      <c r="S233" s="242"/>
      <c r="T233" s="242"/>
      <c r="U233" s="242"/>
      <c r="V233" s="242"/>
      <c r="W233" s="242"/>
      <c r="X233" s="242"/>
      <c r="Y233" s="242"/>
      <c r="Z233" s="242"/>
      <c r="AA233" s="242"/>
      <c r="AB233" s="242"/>
      <c r="AC233" s="242"/>
      <c r="AD233" s="242"/>
      <c r="AE233" s="242"/>
      <c r="AF233" s="242"/>
      <c r="AG233" s="242"/>
      <c r="AH233" s="242"/>
      <c r="AI233" s="242"/>
      <c r="AJ233" s="13"/>
      <c r="AK233" s="242"/>
      <c r="AL233" s="242"/>
      <c r="AM233" s="242"/>
      <c r="AN233" s="242"/>
      <c r="AO233" s="242"/>
    </row>
    <row r="234">
      <c r="A234" s="242"/>
      <c r="B234" s="13"/>
      <c r="C234" s="242"/>
      <c r="D234" s="242"/>
      <c r="E234" s="242"/>
      <c r="F234" s="242"/>
      <c r="G234" s="13"/>
      <c r="H234" s="13"/>
      <c r="I234" s="13"/>
      <c r="J234" s="13"/>
      <c r="K234" s="13"/>
      <c r="L234" s="242"/>
      <c r="M234" s="242"/>
      <c r="N234" s="242"/>
      <c r="O234" s="242"/>
      <c r="P234" s="242"/>
      <c r="Q234" s="525"/>
      <c r="R234" s="242"/>
      <c r="S234" s="242"/>
      <c r="T234" s="242"/>
      <c r="U234" s="242"/>
      <c r="V234" s="242"/>
      <c r="W234" s="242"/>
      <c r="X234" s="242"/>
      <c r="Y234" s="242"/>
      <c r="Z234" s="242"/>
      <c r="AA234" s="242"/>
      <c r="AB234" s="242"/>
      <c r="AC234" s="242"/>
      <c r="AD234" s="242"/>
      <c r="AE234" s="242"/>
      <c r="AF234" s="242"/>
      <c r="AG234" s="242"/>
      <c r="AH234" s="242"/>
      <c r="AI234" s="242"/>
      <c r="AJ234" s="13"/>
      <c r="AK234" s="242"/>
      <c r="AL234" s="242"/>
      <c r="AM234" s="242"/>
      <c r="AN234" s="242"/>
      <c r="AO234" s="242"/>
    </row>
    <row r="235">
      <c r="A235" s="242"/>
      <c r="B235" s="13"/>
      <c r="C235" s="242"/>
      <c r="D235" s="242"/>
      <c r="E235" s="242"/>
      <c r="F235" s="242"/>
      <c r="G235" s="13"/>
      <c r="H235" s="13"/>
      <c r="I235" s="13"/>
      <c r="J235" s="13"/>
      <c r="K235" s="13"/>
      <c r="L235" s="242"/>
      <c r="M235" s="242"/>
      <c r="N235" s="242"/>
      <c r="O235" s="242"/>
      <c r="P235" s="242"/>
      <c r="Q235" s="525"/>
      <c r="R235" s="242"/>
      <c r="S235" s="242"/>
      <c r="T235" s="242"/>
      <c r="U235" s="242"/>
      <c r="V235" s="242"/>
      <c r="W235" s="242"/>
      <c r="X235" s="242"/>
      <c r="Y235" s="242"/>
      <c r="Z235" s="242"/>
      <c r="AA235" s="242"/>
      <c r="AB235" s="242"/>
      <c r="AC235" s="242"/>
      <c r="AD235" s="242"/>
      <c r="AE235" s="242"/>
      <c r="AF235" s="242"/>
      <c r="AG235" s="242"/>
      <c r="AH235" s="242"/>
      <c r="AI235" s="242"/>
      <c r="AJ235" s="13"/>
      <c r="AK235" s="242"/>
      <c r="AL235" s="242"/>
      <c r="AM235" s="242"/>
      <c r="AN235" s="242"/>
      <c r="AO235" s="242"/>
    </row>
    <row r="236">
      <c r="A236" s="242"/>
      <c r="B236" s="13"/>
      <c r="C236" s="242"/>
      <c r="D236" s="242"/>
      <c r="E236" s="242"/>
      <c r="F236" s="242"/>
      <c r="G236" s="13"/>
      <c r="H236" s="13"/>
      <c r="I236" s="13"/>
      <c r="J236" s="13"/>
      <c r="K236" s="13"/>
      <c r="L236" s="242"/>
      <c r="M236" s="242"/>
      <c r="N236" s="242"/>
      <c r="O236" s="242"/>
      <c r="P236" s="242"/>
      <c r="Q236" s="525"/>
      <c r="R236" s="242"/>
      <c r="S236" s="242"/>
      <c r="T236" s="242"/>
      <c r="U236" s="242"/>
      <c r="V236" s="242"/>
      <c r="W236" s="242"/>
      <c r="X236" s="242"/>
      <c r="Y236" s="242"/>
      <c r="Z236" s="242"/>
      <c r="AA236" s="242"/>
      <c r="AB236" s="242"/>
      <c r="AC236" s="242"/>
      <c r="AD236" s="242"/>
      <c r="AE236" s="242"/>
      <c r="AF236" s="242"/>
      <c r="AG236" s="242"/>
      <c r="AH236" s="242"/>
      <c r="AI236" s="242"/>
      <c r="AJ236" s="13"/>
      <c r="AK236" s="242"/>
      <c r="AL236" s="242"/>
      <c r="AM236" s="242"/>
      <c r="AN236" s="242"/>
      <c r="AO236" s="242"/>
    </row>
    <row r="237">
      <c r="A237" s="242"/>
      <c r="B237" s="13"/>
      <c r="C237" s="242"/>
      <c r="D237" s="242"/>
      <c r="E237" s="242"/>
      <c r="F237" s="242"/>
      <c r="G237" s="13"/>
      <c r="H237" s="13"/>
      <c r="I237" s="13"/>
      <c r="J237" s="13"/>
      <c r="K237" s="13"/>
      <c r="L237" s="242"/>
      <c r="M237" s="242"/>
      <c r="N237" s="242"/>
      <c r="O237" s="242"/>
      <c r="P237" s="242"/>
      <c r="Q237" s="525"/>
      <c r="R237" s="242"/>
      <c r="S237" s="242"/>
      <c r="T237" s="242"/>
      <c r="U237" s="242"/>
      <c r="V237" s="242"/>
      <c r="W237" s="242"/>
      <c r="X237" s="242"/>
      <c r="Y237" s="242"/>
      <c r="Z237" s="242"/>
      <c r="AA237" s="242"/>
      <c r="AB237" s="242"/>
      <c r="AC237" s="242"/>
      <c r="AD237" s="242"/>
      <c r="AE237" s="242"/>
      <c r="AF237" s="242"/>
      <c r="AG237" s="242"/>
      <c r="AH237" s="242"/>
      <c r="AI237" s="242"/>
      <c r="AJ237" s="13"/>
      <c r="AK237" s="242"/>
      <c r="AL237" s="242"/>
      <c r="AM237" s="242"/>
      <c r="AN237" s="242"/>
      <c r="AO237" s="242"/>
    </row>
    <row r="238">
      <c r="A238" s="242"/>
      <c r="B238" s="13"/>
      <c r="C238" s="242"/>
      <c r="D238" s="242"/>
      <c r="E238" s="242"/>
      <c r="F238" s="242"/>
      <c r="G238" s="13"/>
      <c r="H238" s="13"/>
      <c r="I238" s="13"/>
      <c r="J238" s="13"/>
      <c r="K238" s="13"/>
      <c r="L238" s="242"/>
      <c r="M238" s="242"/>
      <c r="N238" s="242"/>
      <c r="O238" s="242"/>
      <c r="P238" s="242"/>
      <c r="Q238" s="525"/>
      <c r="R238" s="242"/>
      <c r="S238" s="242"/>
      <c r="T238" s="242"/>
      <c r="U238" s="242"/>
      <c r="V238" s="242"/>
      <c r="W238" s="242"/>
      <c r="X238" s="242"/>
      <c r="Y238" s="242"/>
      <c r="Z238" s="242"/>
      <c r="AA238" s="242"/>
      <c r="AB238" s="242"/>
      <c r="AC238" s="242"/>
      <c r="AD238" s="242"/>
      <c r="AE238" s="242"/>
      <c r="AF238" s="242"/>
      <c r="AG238" s="242"/>
      <c r="AH238" s="242"/>
      <c r="AI238" s="242"/>
      <c r="AJ238" s="13"/>
      <c r="AK238" s="242"/>
      <c r="AL238" s="242"/>
      <c r="AM238" s="242"/>
      <c r="AN238" s="242"/>
      <c r="AO238" s="242"/>
    </row>
    <row r="239">
      <c r="A239" s="242"/>
      <c r="B239" s="13"/>
      <c r="C239" s="242"/>
      <c r="D239" s="242"/>
      <c r="E239" s="242"/>
      <c r="F239" s="242"/>
      <c r="G239" s="13"/>
      <c r="H239" s="13"/>
      <c r="I239" s="13"/>
      <c r="J239" s="13"/>
      <c r="K239" s="13"/>
      <c r="L239" s="242"/>
      <c r="M239" s="242"/>
      <c r="N239" s="242"/>
      <c r="O239" s="242"/>
      <c r="P239" s="242"/>
      <c r="Q239" s="525"/>
      <c r="R239" s="242"/>
      <c r="S239" s="242"/>
      <c r="T239" s="242"/>
      <c r="U239" s="242"/>
      <c r="V239" s="242"/>
      <c r="W239" s="242"/>
      <c r="X239" s="242"/>
      <c r="Y239" s="242"/>
      <c r="Z239" s="242"/>
      <c r="AA239" s="242"/>
      <c r="AB239" s="242"/>
      <c r="AC239" s="242"/>
      <c r="AD239" s="242"/>
      <c r="AE239" s="242"/>
      <c r="AF239" s="242"/>
      <c r="AG239" s="242"/>
      <c r="AH239" s="242"/>
      <c r="AI239" s="242"/>
      <c r="AJ239" s="13"/>
      <c r="AK239" s="242"/>
      <c r="AL239" s="242"/>
      <c r="AM239" s="242"/>
      <c r="AN239" s="242"/>
      <c r="AO239" s="242"/>
    </row>
    <row r="240">
      <c r="A240" s="242"/>
      <c r="B240" s="13"/>
      <c r="C240" s="242"/>
      <c r="D240" s="242"/>
      <c r="E240" s="242"/>
      <c r="F240" s="242"/>
      <c r="G240" s="13"/>
      <c r="H240" s="13"/>
      <c r="I240" s="13"/>
      <c r="J240" s="13"/>
      <c r="K240" s="13"/>
      <c r="L240" s="242"/>
      <c r="M240" s="242"/>
      <c r="N240" s="242"/>
      <c r="O240" s="242"/>
      <c r="P240" s="242"/>
      <c r="Q240" s="525"/>
      <c r="R240" s="242"/>
      <c r="S240" s="242"/>
      <c r="T240" s="242"/>
      <c r="U240" s="242"/>
      <c r="V240" s="242"/>
      <c r="W240" s="242"/>
      <c r="X240" s="242"/>
      <c r="Y240" s="242"/>
      <c r="Z240" s="242"/>
      <c r="AA240" s="242"/>
      <c r="AB240" s="242"/>
      <c r="AC240" s="242"/>
      <c r="AD240" s="242"/>
      <c r="AE240" s="242"/>
      <c r="AF240" s="242"/>
      <c r="AG240" s="242"/>
      <c r="AH240" s="242"/>
      <c r="AI240" s="242"/>
      <c r="AJ240" s="13"/>
      <c r="AK240" s="242"/>
      <c r="AL240" s="242"/>
      <c r="AM240" s="242"/>
      <c r="AN240" s="242"/>
      <c r="AO240" s="242"/>
    </row>
    <row r="241">
      <c r="A241" s="242"/>
      <c r="B241" s="13"/>
      <c r="C241" s="242"/>
      <c r="D241" s="242"/>
      <c r="E241" s="242"/>
      <c r="F241" s="242"/>
      <c r="G241" s="13"/>
      <c r="H241" s="13"/>
      <c r="I241" s="13"/>
      <c r="J241" s="13"/>
      <c r="K241" s="13"/>
      <c r="L241" s="242"/>
      <c r="M241" s="242"/>
      <c r="N241" s="242"/>
      <c r="O241" s="242"/>
      <c r="P241" s="242"/>
      <c r="Q241" s="525"/>
      <c r="R241" s="242"/>
      <c r="S241" s="242"/>
      <c r="T241" s="242"/>
      <c r="U241" s="242"/>
      <c r="V241" s="242"/>
      <c r="W241" s="242"/>
      <c r="X241" s="242"/>
      <c r="Y241" s="242"/>
      <c r="Z241" s="242"/>
      <c r="AA241" s="242"/>
      <c r="AB241" s="242"/>
      <c r="AC241" s="242"/>
      <c r="AD241" s="242"/>
      <c r="AE241" s="242"/>
      <c r="AF241" s="242"/>
      <c r="AG241" s="242"/>
      <c r="AH241" s="242"/>
      <c r="AI241" s="242"/>
      <c r="AJ241" s="13"/>
      <c r="AK241" s="242"/>
      <c r="AL241" s="242"/>
      <c r="AM241" s="242"/>
      <c r="AN241" s="242"/>
      <c r="AO241" s="242"/>
    </row>
    <row r="242">
      <c r="A242" s="242"/>
      <c r="B242" s="13"/>
      <c r="C242" s="242"/>
      <c r="D242" s="242"/>
      <c r="E242" s="242"/>
      <c r="F242" s="242"/>
      <c r="G242" s="13"/>
      <c r="H242" s="13"/>
      <c r="I242" s="13"/>
      <c r="J242" s="13"/>
      <c r="K242" s="13"/>
      <c r="L242" s="242"/>
      <c r="M242" s="242"/>
      <c r="N242" s="242"/>
      <c r="O242" s="242"/>
      <c r="P242" s="242"/>
      <c r="Q242" s="525"/>
      <c r="R242" s="242"/>
      <c r="S242" s="242"/>
      <c r="T242" s="242"/>
      <c r="U242" s="242"/>
      <c r="V242" s="242"/>
      <c r="W242" s="242"/>
      <c r="X242" s="242"/>
      <c r="Y242" s="242"/>
      <c r="Z242" s="242"/>
      <c r="AA242" s="242"/>
      <c r="AB242" s="242"/>
      <c r="AC242" s="242"/>
      <c r="AD242" s="242"/>
      <c r="AE242" s="242"/>
      <c r="AF242" s="242"/>
      <c r="AG242" s="242"/>
      <c r="AH242" s="242"/>
      <c r="AI242" s="242"/>
      <c r="AJ242" s="13"/>
      <c r="AK242" s="242"/>
      <c r="AL242" s="242"/>
      <c r="AM242" s="242"/>
      <c r="AN242" s="242"/>
      <c r="AO242" s="242"/>
    </row>
    <row r="243">
      <c r="A243" s="242"/>
      <c r="B243" s="13"/>
      <c r="C243" s="242"/>
      <c r="D243" s="242"/>
      <c r="E243" s="242"/>
      <c r="F243" s="242"/>
      <c r="G243" s="13"/>
      <c r="H243" s="13"/>
      <c r="I243" s="13"/>
      <c r="J243" s="13"/>
      <c r="K243" s="13"/>
      <c r="L243" s="242"/>
      <c r="M243" s="242"/>
      <c r="N243" s="242"/>
      <c r="O243" s="242"/>
      <c r="P243" s="242"/>
      <c r="Q243" s="525"/>
      <c r="R243" s="242"/>
      <c r="S243" s="242"/>
      <c r="T243" s="242"/>
      <c r="U243" s="242"/>
      <c r="V243" s="242"/>
      <c r="W243" s="242"/>
      <c r="X243" s="242"/>
      <c r="Y243" s="242"/>
      <c r="Z243" s="242"/>
      <c r="AA243" s="242"/>
      <c r="AB243" s="242"/>
      <c r="AC243" s="242"/>
      <c r="AD243" s="242"/>
      <c r="AE243" s="242"/>
      <c r="AF243" s="242"/>
      <c r="AG243" s="242"/>
      <c r="AH243" s="242"/>
      <c r="AI243" s="242"/>
      <c r="AJ243" s="13"/>
      <c r="AK243" s="242"/>
      <c r="AL243" s="242"/>
      <c r="AM243" s="242"/>
      <c r="AN243" s="242"/>
      <c r="AO243" s="242"/>
    </row>
    <row r="244">
      <c r="A244" s="242"/>
      <c r="B244" s="13"/>
      <c r="C244" s="242"/>
      <c r="D244" s="242"/>
      <c r="E244" s="242"/>
      <c r="F244" s="242"/>
      <c r="G244" s="13"/>
      <c r="H244" s="13"/>
      <c r="I244" s="13"/>
      <c r="J244" s="13"/>
      <c r="K244" s="13"/>
      <c r="L244" s="242"/>
      <c r="M244" s="242"/>
      <c r="N244" s="242"/>
      <c r="O244" s="242"/>
      <c r="P244" s="242"/>
      <c r="Q244" s="525"/>
      <c r="R244" s="242"/>
      <c r="S244" s="242"/>
      <c r="T244" s="242"/>
      <c r="U244" s="242"/>
      <c r="V244" s="242"/>
      <c r="W244" s="242"/>
      <c r="X244" s="242"/>
      <c r="Y244" s="242"/>
      <c r="Z244" s="242"/>
      <c r="AA244" s="242"/>
      <c r="AB244" s="242"/>
      <c r="AC244" s="242"/>
      <c r="AD244" s="242"/>
      <c r="AE244" s="242"/>
      <c r="AF244" s="242"/>
      <c r="AG244" s="242"/>
      <c r="AH244" s="242"/>
      <c r="AI244" s="242"/>
      <c r="AJ244" s="13"/>
      <c r="AK244" s="242"/>
      <c r="AL244" s="242"/>
      <c r="AM244" s="242"/>
      <c r="AN244" s="242"/>
      <c r="AO244" s="242"/>
    </row>
    <row r="245">
      <c r="A245" s="242"/>
      <c r="B245" s="13"/>
      <c r="C245" s="242"/>
      <c r="D245" s="242"/>
      <c r="E245" s="242"/>
      <c r="F245" s="242"/>
      <c r="G245" s="13"/>
      <c r="H245" s="13"/>
      <c r="I245" s="13"/>
      <c r="J245" s="13"/>
      <c r="K245" s="13"/>
      <c r="L245" s="242"/>
      <c r="M245" s="242"/>
      <c r="N245" s="242"/>
      <c r="O245" s="242"/>
      <c r="P245" s="242"/>
      <c r="Q245" s="525"/>
      <c r="R245" s="242"/>
      <c r="S245" s="242"/>
      <c r="T245" s="242"/>
      <c r="U245" s="242"/>
      <c r="V245" s="242"/>
      <c r="W245" s="242"/>
      <c r="X245" s="242"/>
      <c r="Y245" s="242"/>
      <c r="Z245" s="242"/>
      <c r="AA245" s="242"/>
      <c r="AB245" s="242"/>
      <c r="AC245" s="242"/>
      <c r="AD245" s="242"/>
      <c r="AE245" s="242"/>
      <c r="AF245" s="242"/>
      <c r="AG245" s="242"/>
      <c r="AH245" s="242"/>
      <c r="AI245" s="242"/>
      <c r="AJ245" s="13"/>
      <c r="AK245" s="242"/>
      <c r="AL245" s="242"/>
      <c r="AM245" s="242"/>
      <c r="AN245" s="242"/>
      <c r="AO245" s="242"/>
    </row>
    <row r="246">
      <c r="A246" s="242"/>
      <c r="B246" s="13"/>
      <c r="C246" s="242"/>
      <c r="D246" s="242"/>
      <c r="E246" s="242"/>
      <c r="F246" s="242"/>
      <c r="G246" s="13"/>
      <c r="H246" s="13"/>
      <c r="I246" s="13"/>
      <c r="J246" s="13"/>
      <c r="K246" s="13"/>
      <c r="L246" s="242"/>
      <c r="M246" s="242"/>
      <c r="N246" s="242"/>
      <c r="O246" s="242"/>
      <c r="P246" s="242"/>
      <c r="Q246" s="525"/>
      <c r="R246" s="242"/>
      <c r="S246" s="242"/>
      <c r="T246" s="242"/>
      <c r="U246" s="242"/>
      <c r="V246" s="242"/>
      <c r="W246" s="242"/>
      <c r="X246" s="242"/>
      <c r="Y246" s="242"/>
      <c r="Z246" s="242"/>
      <c r="AA246" s="242"/>
      <c r="AB246" s="242"/>
      <c r="AC246" s="242"/>
      <c r="AD246" s="242"/>
      <c r="AE246" s="242"/>
      <c r="AF246" s="242"/>
      <c r="AG246" s="242"/>
      <c r="AH246" s="242"/>
      <c r="AI246" s="242"/>
      <c r="AJ246" s="13"/>
      <c r="AK246" s="242"/>
      <c r="AL246" s="242"/>
      <c r="AM246" s="242"/>
      <c r="AN246" s="242"/>
      <c r="AO246" s="242"/>
    </row>
    <row r="247">
      <c r="A247" s="242"/>
      <c r="B247" s="13"/>
      <c r="C247" s="242"/>
      <c r="D247" s="242"/>
      <c r="E247" s="242"/>
      <c r="F247" s="242"/>
      <c r="G247" s="13"/>
      <c r="H247" s="13"/>
      <c r="I247" s="13"/>
      <c r="J247" s="13"/>
      <c r="K247" s="13"/>
      <c r="L247" s="242"/>
      <c r="M247" s="242"/>
      <c r="N247" s="242"/>
      <c r="O247" s="242"/>
      <c r="P247" s="242"/>
      <c r="Q247" s="525"/>
      <c r="R247" s="242"/>
      <c r="S247" s="242"/>
      <c r="T247" s="242"/>
      <c r="U247" s="242"/>
      <c r="V247" s="242"/>
      <c r="W247" s="242"/>
      <c r="X247" s="242"/>
      <c r="Y247" s="242"/>
      <c r="Z247" s="242"/>
      <c r="AA247" s="242"/>
      <c r="AB247" s="242"/>
      <c r="AC247" s="242"/>
      <c r="AD247" s="242"/>
      <c r="AE247" s="242"/>
      <c r="AF247" s="242"/>
      <c r="AG247" s="242"/>
      <c r="AH247" s="242"/>
      <c r="AI247" s="242"/>
      <c r="AJ247" s="13"/>
      <c r="AK247" s="242"/>
      <c r="AL247" s="242"/>
      <c r="AM247" s="242"/>
      <c r="AN247" s="242"/>
      <c r="AO247" s="242"/>
    </row>
    <row r="248">
      <c r="A248" s="242"/>
      <c r="B248" s="13"/>
      <c r="C248" s="242"/>
      <c r="D248" s="242"/>
      <c r="E248" s="242"/>
      <c r="F248" s="242"/>
      <c r="G248" s="13"/>
      <c r="H248" s="13"/>
      <c r="I248" s="13"/>
      <c r="J248" s="13"/>
      <c r="K248" s="13"/>
      <c r="L248" s="242"/>
      <c r="M248" s="242"/>
      <c r="N248" s="242"/>
      <c r="O248" s="242"/>
      <c r="P248" s="242"/>
      <c r="Q248" s="525"/>
      <c r="R248" s="242"/>
      <c r="S248" s="242"/>
      <c r="T248" s="242"/>
      <c r="U248" s="242"/>
      <c r="V248" s="242"/>
      <c r="W248" s="242"/>
      <c r="X248" s="242"/>
      <c r="Y248" s="242"/>
      <c r="Z248" s="242"/>
      <c r="AA248" s="242"/>
      <c r="AB248" s="242"/>
      <c r="AC248" s="242"/>
      <c r="AD248" s="242"/>
      <c r="AE248" s="242"/>
      <c r="AF248" s="242"/>
      <c r="AG248" s="242"/>
      <c r="AH248" s="242"/>
      <c r="AI248" s="242"/>
      <c r="AJ248" s="13"/>
      <c r="AK248" s="242"/>
      <c r="AL248" s="242"/>
      <c r="AM248" s="242"/>
      <c r="AN248" s="242"/>
      <c r="AO248" s="242"/>
    </row>
    <row r="249">
      <c r="A249" s="242"/>
      <c r="B249" s="13"/>
      <c r="C249" s="242"/>
      <c r="D249" s="242"/>
      <c r="E249" s="242"/>
      <c r="F249" s="242"/>
      <c r="G249" s="13"/>
      <c r="H249" s="13"/>
      <c r="I249" s="13"/>
      <c r="J249" s="13"/>
      <c r="K249" s="13"/>
      <c r="L249" s="242"/>
      <c r="M249" s="242"/>
      <c r="N249" s="242"/>
      <c r="O249" s="242"/>
      <c r="P249" s="242"/>
      <c r="Q249" s="525"/>
      <c r="R249" s="242"/>
      <c r="S249" s="242"/>
      <c r="T249" s="242"/>
      <c r="U249" s="242"/>
      <c r="V249" s="242"/>
      <c r="W249" s="242"/>
      <c r="X249" s="242"/>
      <c r="Y249" s="242"/>
      <c r="Z249" s="242"/>
      <c r="AA249" s="242"/>
      <c r="AB249" s="242"/>
      <c r="AC249" s="242"/>
      <c r="AD249" s="242"/>
      <c r="AE249" s="242"/>
      <c r="AF249" s="242"/>
      <c r="AG249" s="242"/>
      <c r="AH249" s="242"/>
      <c r="AI249" s="242"/>
      <c r="AJ249" s="13"/>
      <c r="AK249" s="242"/>
      <c r="AL249" s="242"/>
      <c r="AM249" s="242"/>
      <c r="AN249" s="242"/>
      <c r="AO249" s="242"/>
    </row>
    <row r="250">
      <c r="A250" s="242"/>
      <c r="B250" s="13"/>
      <c r="C250" s="242"/>
      <c r="D250" s="242"/>
      <c r="E250" s="242"/>
      <c r="F250" s="242"/>
      <c r="G250" s="13"/>
      <c r="H250" s="13"/>
      <c r="I250" s="13"/>
      <c r="J250" s="13"/>
      <c r="K250" s="13"/>
      <c r="L250" s="242"/>
      <c r="M250" s="242"/>
      <c r="N250" s="242"/>
      <c r="O250" s="242"/>
      <c r="P250" s="242"/>
      <c r="Q250" s="525"/>
      <c r="R250" s="242"/>
      <c r="S250" s="242"/>
      <c r="T250" s="242"/>
      <c r="U250" s="242"/>
      <c r="V250" s="242"/>
      <c r="W250" s="242"/>
      <c r="X250" s="242"/>
      <c r="Y250" s="242"/>
      <c r="Z250" s="242"/>
      <c r="AA250" s="242"/>
      <c r="AB250" s="242"/>
      <c r="AC250" s="242"/>
      <c r="AD250" s="242"/>
      <c r="AE250" s="242"/>
      <c r="AF250" s="242"/>
      <c r="AG250" s="242"/>
      <c r="AH250" s="242"/>
      <c r="AI250" s="242"/>
      <c r="AJ250" s="13"/>
      <c r="AK250" s="242"/>
      <c r="AL250" s="242"/>
      <c r="AM250" s="242"/>
      <c r="AN250" s="242"/>
      <c r="AO250" s="242"/>
    </row>
    <row r="251">
      <c r="A251" s="242"/>
      <c r="B251" s="13"/>
      <c r="C251" s="242"/>
      <c r="D251" s="242"/>
      <c r="E251" s="242"/>
      <c r="F251" s="242"/>
      <c r="G251" s="13"/>
      <c r="H251" s="13"/>
      <c r="I251" s="13"/>
      <c r="J251" s="13"/>
      <c r="K251" s="13"/>
      <c r="L251" s="242"/>
      <c r="M251" s="242"/>
      <c r="N251" s="242"/>
      <c r="O251" s="242"/>
      <c r="P251" s="242"/>
      <c r="Q251" s="525"/>
      <c r="R251" s="242"/>
      <c r="S251" s="242"/>
      <c r="T251" s="242"/>
      <c r="U251" s="242"/>
      <c r="V251" s="242"/>
      <c r="W251" s="242"/>
      <c r="X251" s="242"/>
      <c r="Y251" s="242"/>
      <c r="Z251" s="242"/>
      <c r="AA251" s="242"/>
      <c r="AB251" s="242"/>
      <c r="AC251" s="242"/>
      <c r="AD251" s="242"/>
      <c r="AE251" s="242"/>
      <c r="AF251" s="242"/>
      <c r="AG251" s="242"/>
      <c r="AH251" s="242"/>
      <c r="AI251" s="242"/>
      <c r="AJ251" s="13"/>
      <c r="AK251" s="242"/>
      <c r="AL251" s="242"/>
      <c r="AM251" s="242"/>
      <c r="AN251" s="242"/>
      <c r="AO251" s="242"/>
    </row>
    <row r="252">
      <c r="A252" s="242"/>
      <c r="B252" s="13"/>
      <c r="C252" s="242"/>
      <c r="D252" s="242"/>
      <c r="E252" s="242"/>
      <c r="F252" s="242"/>
      <c r="G252" s="13"/>
      <c r="H252" s="13"/>
      <c r="I252" s="13"/>
      <c r="J252" s="13"/>
      <c r="K252" s="13"/>
      <c r="L252" s="242"/>
      <c r="M252" s="242"/>
      <c r="N252" s="242"/>
      <c r="O252" s="242"/>
      <c r="P252" s="242"/>
      <c r="Q252" s="525"/>
      <c r="R252" s="242"/>
      <c r="S252" s="242"/>
      <c r="T252" s="242"/>
      <c r="U252" s="242"/>
      <c r="V252" s="242"/>
      <c r="W252" s="242"/>
      <c r="X252" s="242"/>
      <c r="Y252" s="242"/>
      <c r="Z252" s="242"/>
      <c r="AA252" s="242"/>
      <c r="AB252" s="242"/>
      <c r="AC252" s="242"/>
      <c r="AD252" s="242"/>
      <c r="AE252" s="242"/>
      <c r="AF252" s="242"/>
      <c r="AG252" s="242"/>
      <c r="AH252" s="242"/>
      <c r="AI252" s="242"/>
      <c r="AJ252" s="13"/>
      <c r="AK252" s="242"/>
      <c r="AL252" s="242"/>
      <c r="AM252" s="242"/>
      <c r="AN252" s="242"/>
      <c r="AO252" s="242"/>
    </row>
    <row r="253">
      <c r="A253" s="242"/>
      <c r="B253" s="13"/>
      <c r="C253" s="242"/>
      <c r="D253" s="242"/>
      <c r="E253" s="242"/>
      <c r="F253" s="242"/>
      <c r="G253" s="13"/>
      <c r="H253" s="13"/>
      <c r="I253" s="13"/>
      <c r="J253" s="13"/>
      <c r="K253" s="13"/>
      <c r="L253" s="242"/>
      <c r="M253" s="242"/>
      <c r="N253" s="242"/>
      <c r="O253" s="242"/>
      <c r="P253" s="242"/>
      <c r="Q253" s="525"/>
      <c r="R253" s="242"/>
      <c r="S253" s="242"/>
      <c r="T253" s="242"/>
      <c r="U253" s="242"/>
      <c r="V253" s="242"/>
      <c r="W253" s="242"/>
      <c r="X253" s="242"/>
      <c r="Y253" s="242"/>
      <c r="Z253" s="242"/>
      <c r="AA253" s="242"/>
      <c r="AB253" s="242"/>
      <c r="AC253" s="242"/>
      <c r="AD253" s="242"/>
      <c r="AE253" s="242"/>
      <c r="AF253" s="242"/>
      <c r="AG253" s="242"/>
      <c r="AH253" s="242"/>
      <c r="AI253" s="242"/>
      <c r="AJ253" s="13"/>
      <c r="AK253" s="242"/>
      <c r="AL253" s="242"/>
      <c r="AM253" s="242"/>
      <c r="AN253" s="242"/>
      <c r="AO253" s="242"/>
    </row>
    <row r="254">
      <c r="A254" s="242"/>
      <c r="B254" s="13"/>
      <c r="C254" s="242"/>
      <c r="D254" s="242"/>
      <c r="E254" s="242"/>
      <c r="F254" s="242"/>
      <c r="G254" s="13"/>
      <c r="H254" s="13"/>
      <c r="I254" s="13"/>
      <c r="J254" s="13"/>
      <c r="K254" s="13"/>
      <c r="L254" s="242"/>
      <c r="M254" s="242"/>
      <c r="N254" s="242"/>
      <c r="O254" s="242"/>
      <c r="P254" s="242"/>
      <c r="Q254" s="525"/>
      <c r="R254" s="242"/>
      <c r="S254" s="242"/>
      <c r="T254" s="242"/>
      <c r="U254" s="242"/>
      <c r="V254" s="242"/>
      <c r="W254" s="242"/>
      <c r="X254" s="242"/>
      <c r="Y254" s="242"/>
      <c r="Z254" s="242"/>
      <c r="AA254" s="242"/>
      <c r="AB254" s="242"/>
      <c r="AC254" s="242"/>
      <c r="AD254" s="242"/>
      <c r="AE254" s="242"/>
      <c r="AF254" s="242"/>
      <c r="AG254" s="242"/>
      <c r="AH254" s="242"/>
      <c r="AI254" s="242"/>
      <c r="AJ254" s="13"/>
      <c r="AK254" s="242"/>
      <c r="AL254" s="242"/>
      <c r="AM254" s="242"/>
      <c r="AN254" s="242"/>
      <c r="AO254" s="242"/>
    </row>
    <row r="255">
      <c r="A255" s="242"/>
      <c r="B255" s="13"/>
      <c r="C255" s="242"/>
      <c r="D255" s="242"/>
      <c r="E255" s="242"/>
      <c r="F255" s="242"/>
      <c r="G255" s="13"/>
      <c r="H255" s="13"/>
      <c r="I255" s="13"/>
      <c r="J255" s="13"/>
      <c r="K255" s="13"/>
      <c r="L255" s="242"/>
      <c r="M255" s="242"/>
      <c r="N255" s="242"/>
      <c r="O255" s="242"/>
      <c r="P255" s="242"/>
      <c r="Q255" s="525"/>
      <c r="R255" s="242"/>
      <c r="S255" s="242"/>
      <c r="T255" s="242"/>
      <c r="U255" s="242"/>
      <c r="V255" s="242"/>
      <c r="W255" s="242"/>
      <c r="X255" s="242"/>
      <c r="Y255" s="242"/>
      <c r="Z255" s="242"/>
      <c r="AA255" s="242"/>
      <c r="AB255" s="242"/>
      <c r="AC255" s="242"/>
      <c r="AD255" s="242"/>
      <c r="AE255" s="242"/>
      <c r="AF255" s="242"/>
      <c r="AG255" s="242"/>
      <c r="AH255" s="242"/>
      <c r="AI255" s="242"/>
      <c r="AJ255" s="13"/>
      <c r="AK255" s="242"/>
      <c r="AL255" s="242"/>
      <c r="AM255" s="242"/>
      <c r="AN255" s="242"/>
      <c r="AO255" s="242"/>
    </row>
    <row r="256">
      <c r="A256" s="242"/>
      <c r="B256" s="13"/>
      <c r="C256" s="242"/>
      <c r="D256" s="242"/>
      <c r="E256" s="242"/>
      <c r="F256" s="242"/>
      <c r="G256" s="13"/>
      <c r="H256" s="13"/>
      <c r="I256" s="13"/>
      <c r="J256" s="13"/>
      <c r="K256" s="13"/>
      <c r="L256" s="242"/>
      <c r="M256" s="242"/>
      <c r="N256" s="242"/>
      <c r="O256" s="242"/>
      <c r="P256" s="242"/>
      <c r="Q256" s="525"/>
      <c r="R256" s="242"/>
      <c r="S256" s="242"/>
      <c r="T256" s="242"/>
      <c r="U256" s="242"/>
      <c r="V256" s="242"/>
      <c r="W256" s="242"/>
      <c r="X256" s="242"/>
      <c r="Y256" s="242"/>
      <c r="Z256" s="242"/>
      <c r="AA256" s="242"/>
      <c r="AB256" s="242"/>
      <c r="AC256" s="242"/>
      <c r="AD256" s="242"/>
      <c r="AE256" s="242"/>
      <c r="AF256" s="242"/>
      <c r="AG256" s="242"/>
      <c r="AH256" s="242"/>
      <c r="AI256" s="242"/>
      <c r="AJ256" s="13"/>
      <c r="AK256" s="242"/>
      <c r="AL256" s="242"/>
      <c r="AM256" s="242"/>
      <c r="AN256" s="242"/>
      <c r="AO256" s="242"/>
    </row>
    <row r="257">
      <c r="A257" s="242"/>
      <c r="B257" s="13"/>
      <c r="C257" s="242"/>
      <c r="D257" s="242"/>
      <c r="E257" s="242"/>
      <c r="F257" s="242"/>
      <c r="G257" s="13"/>
      <c r="H257" s="13"/>
      <c r="I257" s="13"/>
      <c r="J257" s="13"/>
      <c r="K257" s="13"/>
      <c r="L257" s="242"/>
      <c r="M257" s="242"/>
      <c r="N257" s="242"/>
      <c r="O257" s="242"/>
      <c r="P257" s="242"/>
      <c r="Q257" s="525"/>
      <c r="R257" s="242"/>
      <c r="S257" s="242"/>
      <c r="T257" s="242"/>
      <c r="U257" s="242"/>
      <c r="V257" s="242"/>
      <c r="W257" s="242"/>
      <c r="X257" s="242"/>
      <c r="Y257" s="242"/>
      <c r="Z257" s="242"/>
      <c r="AA257" s="242"/>
      <c r="AB257" s="242"/>
      <c r="AC257" s="242"/>
      <c r="AD257" s="242"/>
      <c r="AE257" s="242"/>
      <c r="AF257" s="242"/>
      <c r="AG257" s="242"/>
      <c r="AH257" s="242"/>
      <c r="AI257" s="242"/>
      <c r="AJ257" s="13"/>
      <c r="AK257" s="242"/>
      <c r="AL257" s="242"/>
      <c r="AM257" s="242"/>
      <c r="AN257" s="242"/>
      <c r="AO257" s="242"/>
    </row>
    <row r="258">
      <c r="A258" s="242"/>
      <c r="B258" s="13"/>
      <c r="C258" s="242"/>
      <c r="D258" s="242"/>
      <c r="E258" s="242"/>
      <c r="F258" s="242"/>
      <c r="G258" s="13"/>
      <c r="H258" s="13"/>
      <c r="I258" s="13"/>
      <c r="J258" s="13"/>
      <c r="K258" s="13"/>
      <c r="L258" s="242"/>
      <c r="M258" s="242"/>
      <c r="N258" s="242"/>
      <c r="O258" s="242"/>
      <c r="P258" s="242"/>
      <c r="Q258" s="525"/>
      <c r="R258" s="242"/>
      <c r="S258" s="242"/>
      <c r="T258" s="242"/>
      <c r="U258" s="242"/>
      <c r="V258" s="242"/>
      <c r="W258" s="242"/>
      <c r="X258" s="242"/>
      <c r="Y258" s="242"/>
      <c r="Z258" s="242"/>
      <c r="AA258" s="242"/>
      <c r="AB258" s="242"/>
      <c r="AC258" s="242"/>
      <c r="AD258" s="242"/>
      <c r="AE258" s="242"/>
      <c r="AF258" s="242"/>
      <c r="AG258" s="242"/>
      <c r="AH258" s="242"/>
      <c r="AI258" s="242"/>
      <c r="AJ258" s="13"/>
      <c r="AK258" s="242"/>
      <c r="AL258" s="242"/>
      <c r="AM258" s="242"/>
      <c r="AN258" s="242"/>
      <c r="AO258" s="242"/>
    </row>
    <row r="259">
      <c r="A259" s="242"/>
      <c r="B259" s="13"/>
      <c r="C259" s="242"/>
      <c r="D259" s="242"/>
      <c r="E259" s="242"/>
      <c r="F259" s="242"/>
      <c r="G259" s="13"/>
      <c r="H259" s="13"/>
      <c r="I259" s="13"/>
      <c r="J259" s="13"/>
      <c r="K259" s="13"/>
      <c r="L259" s="242"/>
      <c r="M259" s="242"/>
      <c r="N259" s="242"/>
      <c r="O259" s="242"/>
      <c r="P259" s="242"/>
      <c r="Q259" s="525"/>
      <c r="R259" s="242"/>
      <c r="S259" s="242"/>
      <c r="T259" s="242"/>
      <c r="U259" s="242"/>
      <c r="V259" s="242"/>
      <c r="W259" s="242"/>
      <c r="X259" s="242"/>
      <c r="Y259" s="242"/>
      <c r="Z259" s="242"/>
      <c r="AA259" s="242"/>
      <c r="AB259" s="242"/>
      <c r="AC259" s="242"/>
      <c r="AD259" s="242"/>
      <c r="AE259" s="242"/>
      <c r="AF259" s="242"/>
      <c r="AG259" s="242"/>
      <c r="AH259" s="242"/>
      <c r="AI259" s="242"/>
      <c r="AJ259" s="13"/>
      <c r="AK259" s="242"/>
      <c r="AL259" s="242"/>
      <c r="AM259" s="242"/>
      <c r="AN259" s="242"/>
      <c r="AO259" s="242"/>
    </row>
    <row r="260">
      <c r="A260" s="242"/>
      <c r="B260" s="13"/>
      <c r="C260" s="242"/>
      <c r="D260" s="242"/>
      <c r="E260" s="242"/>
      <c r="F260" s="242"/>
      <c r="G260" s="13"/>
      <c r="H260" s="13"/>
      <c r="I260" s="13"/>
      <c r="J260" s="13"/>
      <c r="K260" s="13"/>
      <c r="L260" s="242"/>
      <c r="M260" s="242"/>
      <c r="N260" s="242"/>
      <c r="O260" s="242"/>
      <c r="P260" s="242"/>
      <c r="Q260" s="525"/>
      <c r="R260" s="242"/>
      <c r="S260" s="242"/>
      <c r="T260" s="242"/>
      <c r="U260" s="242"/>
      <c r="V260" s="242"/>
      <c r="W260" s="242"/>
      <c r="X260" s="242"/>
      <c r="Y260" s="242"/>
      <c r="Z260" s="242"/>
      <c r="AA260" s="242"/>
      <c r="AB260" s="242"/>
      <c r="AC260" s="242"/>
      <c r="AD260" s="242"/>
      <c r="AE260" s="242"/>
      <c r="AF260" s="242"/>
      <c r="AG260" s="242"/>
      <c r="AH260" s="242"/>
      <c r="AI260" s="242"/>
      <c r="AJ260" s="13"/>
      <c r="AK260" s="242"/>
      <c r="AL260" s="242"/>
      <c r="AM260" s="242"/>
      <c r="AN260" s="242"/>
      <c r="AO260" s="242"/>
    </row>
    <row r="261">
      <c r="A261" s="242"/>
      <c r="B261" s="13"/>
      <c r="C261" s="242"/>
      <c r="D261" s="242"/>
      <c r="E261" s="242"/>
      <c r="F261" s="242"/>
      <c r="G261" s="13"/>
      <c r="H261" s="13"/>
      <c r="I261" s="13"/>
      <c r="J261" s="13"/>
      <c r="K261" s="13"/>
      <c r="L261" s="242"/>
      <c r="M261" s="242"/>
      <c r="N261" s="242"/>
      <c r="O261" s="242"/>
      <c r="P261" s="242"/>
      <c r="Q261" s="525"/>
      <c r="R261" s="242"/>
      <c r="S261" s="242"/>
      <c r="T261" s="242"/>
      <c r="U261" s="242"/>
      <c r="V261" s="242"/>
      <c r="W261" s="242"/>
      <c r="X261" s="242"/>
      <c r="Y261" s="242"/>
      <c r="Z261" s="242"/>
      <c r="AA261" s="242"/>
      <c r="AB261" s="242"/>
      <c r="AC261" s="242"/>
      <c r="AD261" s="242"/>
      <c r="AE261" s="242"/>
      <c r="AF261" s="242"/>
      <c r="AG261" s="242"/>
      <c r="AH261" s="242"/>
      <c r="AI261" s="242"/>
      <c r="AJ261" s="13"/>
      <c r="AK261" s="242"/>
      <c r="AL261" s="242"/>
      <c r="AM261" s="242"/>
      <c r="AN261" s="242"/>
      <c r="AO261" s="242"/>
    </row>
    <row r="262">
      <c r="A262" s="242"/>
      <c r="B262" s="13"/>
      <c r="C262" s="242"/>
      <c r="D262" s="242"/>
      <c r="E262" s="242"/>
      <c r="F262" s="242"/>
      <c r="G262" s="13"/>
      <c r="H262" s="13"/>
      <c r="I262" s="13"/>
      <c r="J262" s="13"/>
      <c r="K262" s="13"/>
      <c r="L262" s="242"/>
      <c r="M262" s="242"/>
      <c r="N262" s="242"/>
      <c r="O262" s="242"/>
      <c r="P262" s="242"/>
      <c r="Q262" s="525"/>
      <c r="R262" s="242"/>
      <c r="S262" s="242"/>
      <c r="T262" s="242"/>
      <c r="U262" s="242"/>
      <c r="V262" s="242"/>
      <c r="W262" s="242"/>
      <c r="X262" s="242"/>
      <c r="Y262" s="242"/>
      <c r="Z262" s="242"/>
      <c r="AA262" s="242"/>
      <c r="AB262" s="242"/>
      <c r="AC262" s="242"/>
      <c r="AD262" s="242"/>
      <c r="AE262" s="242"/>
      <c r="AF262" s="242"/>
      <c r="AG262" s="242"/>
      <c r="AH262" s="242"/>
      <c r="AI262" s="242"/>
      <c r="AJ262" s="13"/>
      <c r="AK262" s="242"/>
      <c r="AL262" s="242"/>
      <c r="AM262" s="242"/>
      <c r="AN262" s="242"/>
      <c r="AO262" s="242"/>
    </row>
    <row r="263">
      <c r="A263" s="242"/>
      <c r="B263" s="13"/>
      <c r="C263" s="242"/>
      <c r="D263" s="242"/>
      <c r="E263" s="242"/>
      <c r="F263" s="242"/>
      <c r="G263" s="13"/>
      <c r="H263" s="13"/>
      <c r="I263" s="13"/>
      <c r="J263" s="13"/>
      <c r="K263" s="13"/>
      <c r="L263" s="242"/>
      <c r="M263" s="242"/>
      <c r="N263" s="242"/>
      <c r="O263" s="242"/>
      <c r="P263" s="242"/>
      <c r="Q263" s="525"/>
      <c r="R263" s="242"/>
      <c r="S263" s="242"/>
      <c r="T263" s="242"/>
      <c r="U263" s="242"/>
      <c r="V263" s="242"/>
      <c r="W263" s="242"/>
      <c r="X263" s="242"/>
      <c r="Y263" s="242"/>
      <c r="Z263" s="242"/>
      <c r="AA263" s="242"/>
      <c r="AB263" s="242"/>
      <c r="AC263" s="242"/>
      <c r="AD263" s="242"/>
      <c r="AE263" s="242"/>
      <c r="AF263" s="242"/>
      <c r="AG263" s="242"/>
      <c r="AH263" s="242"/>
      <c r="AI263" s="242"/>
      <c r="AJ263" s="13"/>
      <c r="AK263" s="242"/>
      <c r="AL263" s="242"/>
      <c r="AM263" s="242"/>
      <c r="AN263" s="242"/>
      <c r="AO263" s="242"/>
    </row>
    <row r="264">
      <c r="A264" s="242"/>
      <c r="B264" s="13"/>
      <c r="C264" s="242"/>
      <c r="D264" s="242"/>
      <c r="E264" s="242"/>
      <c r="F264" s="242"/>
      <c r="G264" s="13"/>
      <c r="H264" s="13"/>
      <c r="I264" s="13"/>
      <c r="J264" s="13"/>
      <c r="K264" s="13"/>
      <c r="L264" s="242"/>
      <c r="M264" s="242"/>
      <c r="N264" s="242"/>
      <c r="O264" s="242"/>
      <c r="P264" s="242"/>
      <c r="Q264" s="525"/>
      <c r="R264" s="242"/>
      <c r="S264" s="242"/>
      <c r="T264" s="242"/>
      <c r="U264" s="242"/>
      <c r="V264" s="242"/>
      <c r="W264" s="242"/>
      <c r="X264" s="242"/>
      <c r="Y264" s="242"/>
      <c r="Z264" s="242"/>
      <c r="AA264" s="242"/>
      <c r="AB264" s="242"/>
      <c r="AC264" s="242"/>
      <c r="AD264" s="242"/>
      <c r="AE264" s="242"/>
      <c r="AF264" s="242"/>
      <c r="AG264" s="242"/>
      <c r="AH264" s="242"/>
      <c r="AI264" s="242"/>
      <c r="AJ264" s="13"/>
      <c r="AK264" s="242"/>
      <c r="AL264" s="242"/>
      <c r="AM264" s="242"/>
      <c r="AN264" s="242"/>
      <c r="AO264" s="242"/>
    </row>
    <row r="265">
      <c r="A265" s="242"/>
      <c r="B265" s="13"/>
      <c r="C265" s="242"/>
      <c r="D265" s="242"/>
      <c r="E265" s="242"/>
      <c r="F265" s="242"/>
      <c r="G265" s="13"/>
      <c r="H265" s="13"/>
      <c r="I265" s="13"/>
      <c r="J265" s="13"/>
      <c r="K265" s="13"/>
      <c r="L265" s="242"/>
      <c r="M265" s="242"/>
      <c r="N265" s="242"/>
      <c r="O265" s="242"/>
      <c r="P265" s="242"/>
      <c r="Q265" s="525"/>
      <c r="R265" s="242"/>
      <c r="S265" s="242"/>
      <c r="T265" s="242"/>
      <c r="U265" s="242"/>
      <c r="V265" s="242"/>
      <c r="W265" s="242"/>
      <c r="X265" s="242"/>
      <c r="Y265" s="242"/>
      <c r="Z265" s="242"/>
      <c r="AA265" s="242"/>
      <c r="AB265" s="242"/>
      <c r="AC265" s="242"/>
      <c r="AD265" s="242"/>
      <c r="AE265" s="242"/>
      <c r="AF265" s="242"/>
      <c r="AG265" s="242"/>
      <c r="AH265" s="242"/>
      <c r="AI265" s="242"/>
      <c r="AJ265" s="13"/>
      <c r="AK265" s="242"/>
      <c r="AL265" s="242"/>
      <c r="AM265" s="242"/>
      <c r="AN265" s="242"/>
      <c r="AO265" s="242"/>
    </row>
    <row r="266">
      <c r="A266" s="242"/>
      <c r="B266" s="13"/>
      <c r="C266" s="242"/>
      <c r="D266" s="242"/>
      <c r="E266" s="242"/>
      <c r="F266" s="242"/>
      <c r="G266" s="13"/>
      <c r="H266" s="13"/>
      <c r="I266" s="13"/>
      <c r="J266" s="13"/>
      <c r="K266" s="13"/>
      <c r="L266" s="242"/>
      <c r="M266" s="242"/>
      <c r="N266" s="242"/>
      <c r="O266" s="242"/>
      <c r="P266" s="242"/>
      <c r="Q266" s="525"/>
      <c r="R266" s="242"/>
      <c r="S266" s="242"/>
      <c r="T266" s="242"/>
      <c r="U266" s="242"/>
      <c r="V266" s="242"/>
      <c r="W266" s="242"/>
      <c r="X266" s="242"/>
      <c r="Y266" s="242"/>
      <c r="Z266" s="242"/>
      <c r="AA266" s="242"/>
      <c r="AB266" s="242"/>
      <c r="AC266" s="242"/>
      <c r="AD266" s="242"/>
      <c r="AE266" s="242"/>
      <c r="AF266" s="242"/>
      <c r="AG266" s="242"/>
      <c r="AH266" s="242"/>
      <c r="AI266" s="242"/>
      <c r="AJ266" s="13"/>
      <c r="AK266" s="242"/>
      <c r="AL266" s="242"/>
      <c r="AM266" s="242"/>
      <c r="AN266" s="242"/>
      <c r="AO266" s="242"/>
    </row>
    <row r="267">
      <c r="A267" s="242"/>
      <c r="B267" s="13"/>
      <c r="C267" s="242"/>
      <c r="D267" s="242"/>
      <c r="E267" s="242"/>
      <c r="F267" s="242"/>
      <c r="G267" s="13"/>
      <c r="H267" s="13"/>
      <c r="I267" s="13"/>
      <c r="J267" s="13"/>
      <c r="K267" s="13"/>
      <c r="L267" s="242"/>
      <c r="M267" s="242"/>
      <c r="N267" s="242"/>
      <c r="O267" s="242"/>
      <c r="P267" s="242"/>
      <c r="Q267" s="525"/>
      <c r="R267" s="242"/>
      <c r="S267" s="242"/>
      <c r="T267" s="242"/>
      <c r="U267" s="242"/>
      <c r="V267" s="242"/>
      <c r="W267" s="242"/>
      <c r="X267" s="242"/>
      <c r="Y267" s="242"/>
      <c r="Z267" s="242"/>
      <c r="AA267" s="242"/>
      <c r="AB267" s="242"/>
      <c r="AC267" s="242"/>
      <c r="AD267" s="242"/>
      <c r="AE267" s="242"/>
      <c r="AF267" s="242"/>
      <c r="AG267" s="242"/>
      <c r="AH267" s="242"/>
      <c r="AI267" s="242"/>
      <c r="AJ267" s="13"/>
      <c r="AK267" s="242"/>
      <c r="AL267" s="242"/>
      <c r="AM267" s="242"/>
      <c r="AN267" s="242"/>
      <c r="AO267" s="242"/>
    </row>
    <row r="268">
      <c r="A268" s="242"/>
      <c r="B268" s="13"/>
      <c r="C268" s="242"/>
      <c r="D268" s="242"/>
      <c r="E268" s="242"/>
      <c r="F268" s="242"/>
      <c r="G268" s="13"/>
      <c r="H268" s="13"/>
      <c r="I268" s="13"/>
      <c r="J268" s="13"/>
      <c r="K268" s="13"/>
      <c r="L268" s="242"/>
      <c r="M268" s="242"/>
      <c r="N268" s="242"/>
      <c r="O268" s="242"/>
      <c r="P268" s="242"/>
      <c r="Q268" s="525"/>
      <c r="R268" s="242"/>
      <c r="S268" s="242"/>
      <c r="T268" s="242"/>
      <c r="U268" s="242"/>
      <c r="V268" s="242"/>
      <c r="W268" s="242"/>
      <c r="X268" s="242"/>
      <c r="Y268" s="242"/>
      <c r="Z268" s="242"/>
      <c r="AA268" s="242"/>
      <c r="AB268" s="242"/>
      <c r="AC268" s="242"/>
      <c r="AD268" s="242"/>
      <c r="AE268" s="242"/>
      <c r="AF268" s="242"/>
      <c r="AG268" s="242"/>
      <c r="AH268" s="242"/>
      <c r="AI268" s="242"/>
      <c r="AJ268" s="13"/>
      <c r="AK268" s="242"/>
      <c r="AL268" s="242"/>
      <c r="AM268" s="242"/>
      <c r="AN268" s="242"/>
      <c r="AO268" s="242"/>
    </row>
    <row r="269">
      <c r="A269" s="242"/>
      <c r="B269" s="13"/>
      <c r="C269" s="242"/>
      <c r="D269" s="242"/>
      <c r="E269" s="242"/>
      <c r="F269" s="242"/>
      <c r="G269" s="13"/>
      <c r="H269" s="13"/>
      <c r="I269" s="13"/>
      <c r="J269" s="13"/>
      <c r="K269" s="13"/>
      <c r="L269" s="242"/>
      <c r="M269" s="242"/>
      <c r="N269" s="242"/>
      <c r="O269" s="242"/>
      <c r="P269" s="242"/>
      <c r="Q269" s="525"/>
      <c r="R269" s="242"/>
      <c r="S269" s="242"/>
      <c r="T269" s="242"/>
      <c r="U269" s="242"/>
      <c r="V269" s="242"/>
      <c r="W269" s="242"/>
      <c r="X269" s="242"/>
      <c r="Y269" s="242"/>
      <c r="Z269" s="242"/>
      <c r="AA269" s="242"/>
      <c r="AB269" s="242"/>
      <c r="AC269" s="242"/>
      <c r="AD269" s="242"/>
      <c r="AE269" s="242"/>
      <c r="AF269" s="242"/>
      <c r="AG269" s="242"/>
      <c r="AH269" s="242"/>
      <c r="AI269" s="242"/>
      <c r="AJ269" s="13"/>
      <c r="AK269" s="242"/>
      <c r="AL269" s="242"/>
      <c r="AM269" s="242"/>
      <c r="AN269" s="242"/>
      <c r="AO269" s="242"/>
    </row>
    <row r="270">
      <c r="A270" s="242"/>
      <c r="B270" s="13"/>
      <c r="C270" s="242"/>
      <c r="D270" s="242"/>
      <c r="E270" s="242"/>
      <c r="F270" s="242"/>
      <c r="G270" s="13"/>
      <c r="H270" s="13"/>
      <c r="I270" s="13"/>
      <c r="J270" s="13"/>
      <c r="K270" s="13"/>
      <c r="L270" s="242"/>
      <c r="M270" s="242"/>
      <c r="N270" s="242"/>
      <c r="O270" s="242"/>
      <c r="P270" s="242"/>
      <c r="Q270" s="525"/>
      <c r="R270" s="242"/>
      <c r="S270" s="242"/>
      <c r="T270" s="242"/>
      <c r="U270" s="242"/>
      <c r="V270" s="242"/>
      <c r="W270" s="242"/>
      <c r="X270" s="242"/>
      <c r="Y270" s="242"/>
      <c r="Z270" s="242"/>
      <c r="AA270" s="242"/>
      <c r="AB270" s="242"/>
      <c r="AC270" s="242"/>
      <c r="AD270" s="242"/>
      <c r="AE270" s="242"/>
      <c r="AF270" s="242"/>
      <c r="AG270" s="242"/>
      <c r="AH270" s="242"/>
      <c r="AI270" s="242"/>
      <c r="AJ270" s="13"/>
      <c r="AK270" s="242"/>
      <c r="AL270" s="242"/>
      <c r="AM270" s="242"/>
      <c r="AN270" s="242"/>
      <c r="AO270" s="242"/>
    </row>
    <row r="271">
      <c r="A271" s="242"/>
      <c r="B271" s="13"/>
      <c r="C271" s="242"/>
      <c r="D271" s="242"/>
      <c r="E271" s="242"/>
      <c r="F271" s="242"/>
      <c r="G271" s="13"/>
      <c r="H271" s="13"/>
      <c r="I271" s="13"/>
      <c r="J271" s="13"/>
      <c r="K271" s="13"/>
      <c r="L271" s="242"/>
      <c r="M271" s="242"/>
      <c r="N271" s="242"/>
      <c r="O271" s="242"/>
      <c r="P271" s="242"/>
      <c r="Q271" s="525"/>
      <c r="R271" s="242"/>
      <c r="S271" s="242"/>
      <c r="T271" s="242"/>
      <c r="U271" s="242"/>
      <c r="V271" s="242"/>
      <c r="W271" s="242"/>
      <c r="X271" s="242"/>
      <c r="Y271" s="242"/>
      <c r="Z271" s="242"/>
      <c r="AA271" s="242"/>
      <c r="AB271" s="242"/>
      <c r="AC271" s="242"/>
      <c r="AD271" s="242"/>
      <c r="AE271" s="242"/>
      <c r="AF271" s="242"/>
      <c r="AG271" s="242"/>
      <c r="AH271" s="242"/>
      <c r="AI271" s="242"/>
      <c r="AJ271" s="13"/>
      <c r="AK271" s="242"/>
      <c r="AL271" s="242"/>
      <c r="AM271" s="242"/>
      <c r="AN271" s="242"/>
      <c r="AO271" s="242"/>
    </row>
    <row r="272">
      <c r="A272" s="242"/>
      <c r="B272" s="13"/>
      <c r="C272" s="242"/>
      <c r="D272" s="242"/>
      <c r="E272" s="242"/>
      <c r="F272" s="242"/>
      <c r="G272" s="13"/>
      <c r="H272" s="13"/>
      <c r="I272" s="13"/>
      <c r="J272" s="13"/>
      <c r="K272" s="13"/>
      <c r="L272" s="242"/>
      <c r="M272" s="242"/>
      <c r="N272" s="242"/>
      <c r="O272" s="242"/>
      <c r="P272" s="242"/>
      <c r="Q272" s="525"/>
      <c r="R272" s="242"/>
      <c r="S272" s="242"/>
      <c r="T272" s="242"/>
      <c r="U272" s="242"/>
      <c r="V272" s="242"/>
      <c r="W272" s="242"/>
      <c r="X272" s="242"/>
      <c r="Y272" s="242"/>
      <c r="Z272" s="242"/>
      <c r="AA272" s="242"/>
      <c r="AB272" s="242"/>
      <c r="AC272" s="242"/>
      <c r="AD272" s="242"/>
      <c r="AE272" s="242"/>
      <c r="AF272" s="242"/>
      <c r="AG272" s="242"/>
      <c r="AH272" s="242"/>
      <c r="AI272" s="242"/>
      <c r="AJ272" s="13"/>
      <c r="AK272" s="242"/>
      <c r="AL272" s="242"/>
      <c r="AM272" s="242"/>
      <c r="AN272" s="242"/>
      <c r="AO272" s="242"/>
    </row>
    <row r="273">
      <c r="A273" s="242"/>
      <c r="B273" s="13"/>
      <c r="C273" s="242"/>
      <c r="D273" s="242"/>
      <c r="E273" s="242"/>
      <c r="F273" s="242"/>
      <c r="G273" s="13"/>
      <c r="H273" s="13"/>
      <c r="I273" s="13"/>
      <c r="J273" s="13"/>
      <c r="K273" s="13"/>
      <c r="L273" s="242"/>
      <c r="M273" s="242"/>
      <c r="N273" s="242"/>
      <c r="O273" s="242"/>
      <c r="P273" s="242"/>
      <c r="Q273" s="525"/>
      <c r="R273" s="242"/>
      <c r="S273" s="242"/>
      <c r="T273" s="242"/>
      <c r="U273" s="242"/>
      <c r="V273" s="242"/>
      <c r="W273" s="242"/>
      <c r="X273" s="242"/>
      <c r="Y273" s="242"/>
      <c r="Z273" s="242"/>
      <c r="AA273" s="242"/>
      <c r="AB273" s="242"/>
      <c r="AC273" s="242"/>
      <c r="AD273" s="242"/>
      <c r="AE273" s="242"/>
      <c r="AF273" s="242"/>
      <c r="AG273" s="242"/>
      <c r="AH273" s="242"/>
      <c r="AI273" s="242"/>
      <c r="AJ273" s="13"/>
      <c r="AK273" s="242"/>
      <c r="AL273" s="242"/>
      <c r="AM273" s="242"/>
      <c r="AN273" s="242"/>
      <c r="AO273" s="242"/>
    </row>
    <row r="274">
      <c r="A274" s="242"/>
      <c r="B274" s="13"/>
      <c r="C274" s="242"/>
      <c r="D274" s="242"/>
      <c r="E274" s="242"/>
      <c r="F274" s="242"/>
      <c r="G274" s="13"/>
      <c r="H274" s="13"/>
      <c r="I274" s="13"/>
      <c r="J274" s="13"/>
      <c r="K274" s="13"/>
      <c r="L274" s="242"/>
      <c r="M274" s="242"/>
      <c r="N274" s="242"/>
      <c r="O274" s="242"/>
      <c r="P274" s="242"/>
      <c r="Q274" s="525"/>
      <c r="R274" s="242"/>
      <c r="S274" s="242"/>
      <c r="T274" s="242"/>
      <c r="U274" s="242"/>
      <c r="V274" s="242"/>
      <c r="W274" s="242"/>
      <c r="X274" s="242"/>
      <c r="Y274" s="242"/>
      <c r="Z274" s="242"/>
      <c r="AA274" s="242"/>
      <c r="AB274" s="242"/>
      <c r="AC274" s="242"/>
      <c r="AD274" s="242"/>
      <c r="AE274" s="242"/>
      <c r="AF274" s="242"/>
      <c r="AG274" s="242"/>
      <c r="AH274" s="242"/>
      <c r="AI274" s="242"/>
      <c r="AJ274" s="13"/>
      <c r="AK274" s="242"/>
      <c r="AL274" s="242"/>
      <c r="AM274" s="242"/>
      <c r="AN274" s="242"/>
      <c r="AO274" s="242"/>
    </row>
    <row r="275">
      <c r="A275" s="242"/>
      <c r="B275" s="13"/>
      <c r="C275" s="242"/>
      <c r="D275" s="242"/>
      <c r="E275" s="242"/>
      <c r="F275" s="242"/>
      <c r="G275" s="13"/>
      <c r="H275" s="13"/>
      <c r="I275" s="13"/>
      <c r="J275" s="13"/>
      <c r="K275" s="13"/>
      <c r="L275" s="242"/>
      <c r="M275" s="242"/>
      <c r="N275" s="242"/>
      <c r="O275" s="242"/>
      <c r="P275" s="242"/>
      <c r="Q275" s="525"/>
      <c r="R275" s="242"/>
      <c r="S275" s="242"/>
      <c r="T275" s="242"/>
      <c r="U275" s="242"/>
      <c r="V275" s="242"/>
      <c r="W275" s="242"/>
      <c r="X275" s="242"/>
      <c r="Y275" s="242"/>
      <c r="Z275" s="242"/>
      <c r="AA275" s="242"/>
      <c r="AB275" s="242"/>
      <c r="AC275" s="242"/>
      <c r="AD275" s="242"/>
      <c r="AE275" s="242"/>
      <c r="AF275" s="242"/>
      <c r="AG275" s="242"/>
      <c r="AH275" s="242"/>
      <c r="AI275" s="242"/>
      <c r="AJ275" s="13"/>
      <c r="AK275" s="242"/>
      <c r="AL275" s="242"/>
      <c r="AM275" s="242"/>
      <c r="AN275" s="242"/>
      <c r="AO275" s="242"/>
    </row>
    <row r="276">
      <c r="A276" s="242"/>
      <c r="B276" s="13"/>
      <c r="C276" s="242"/>
      <c r="D276" s="242"/>
      <c r="E276" s="242"/>
      <c r="F276" s="242"/>
      <c r="G276" s="13"/>
      <c r="H276" s="13"/>
      <c r="I276" s="13"/>
      <c r="J276" s="13"/>
      <c r="K276" s="13"/>
      <c r="L276" s="242"/>
      <c r="M276" s="242"/>
      <c r="N276" s="242"/>
      <c r="O276" s="242"/>
      <c r="P276" s="242"/>
      <c r="Q276" s="525"/>
      <c r="R276" s="242"/>
      <c r="S276" s="242"/>
      <c r="T276" s="242"/>
      <c r="U276" s="242"/>
      <c r="V276" s="242"/>
      <c r="W276" s="242"/>
      <c r="X276" s="242"/>
      <c r="Y276" s="242"/>
      <c r="Z276" s="242"/>
      <c r="AA276" s="242"/>
      <c r="AB276" s="242"/>
      <c r="AC276" s="242"/>
      <c r="AD276" s="242"/>
      <c r="AE276" s="242"/>
      <c r="AF276" s="242"/>
      <c r="AG276" s="242"/>
      <c r="AH276" s="242"/>
      <c r="AI276" s="242"/>
      <c r="AJ276" s="13"/>
      <c r="AK276" s="242"/>
      <c r="AL276" s="242"/>
      <c r="AM276" s="242"/>
      <c r="AN276" s="242"/>
      <c r="AO276" s="242"/>
    </row>
    <row r="277">
      <c r="A277" s="242"/>
      <c r="B277" s="13"/>
      <c r="C277" s="242"/>
      <c r="D277" s="242"/>
      <c r="E277" s="242"/>
      <c r="F277" s="242"/>
      <c r="G277" s="13"/>
      <c r="H277" s="13"/>
      <c r="I277" s="13"/>
      <c r="J277" s="13"/>
      <c r="K277" s="13"/>
      <c r="L277" s="242"/>
      <c r="M277" s="242"/>
      <c r="N277" s="242"/>
      <c r="O277" s="242"/>
      <c r="P277" s="242"/>
      <c r="Q277" s="525"/>
      <c r="R277" s="242"/>
      <c r="S277" s="242"/>
      <c r="T277" s="242"/>
      <c r="U277" s="242"/>
      <c r="V277" s="242"/>
      <c r="W277" s="242"/>
      <c r="X277" s="242"/>
      <c r="Y277" s="242"/>
      <c r="Z277" s="242"/>
      <c r="AA277" s="242"/>
      <c r="AB277" s="242"/>
      <c r="AC277" s="242"/>
      <c r="AD277" s="242"/>
      <c r="AE277" s="242"/>
      <c r="AF277" s="242"/>
      <c r="AG277" s="242"/>
      <c r="AH277" s="242"/>
      <c r="AI277" s="242"/>
      <c r="AJ277" s="13"/>
      <c r="AK277" s="242"/>
      <c r="AL277" s="242"/>
      <c r="AM277" s="242"/>
      <c r="AN277" s="242"/>
      <c r="AO277" s="242"/>
    </row>
    <row r="278">
      <c r="A278" s="242"/>
      <c r="B278" s="13"/>
      <c r="C278" s="242"/>
      <c r="D278" s="242"/>
      <c r="E278" s="242"/>
      <c r="F278" s="242"/>
      <c r="G278" s="13"/>
      <c r="H278" s="13"/>
      <c r="I278" s="13"/>
      <c r="J278" s="13"/>
      <c r="K278" s="13"/>
      <c r="L278" s="242"/>
      <c r="M278" s="242"/>
      <c r="N278" s="242"/>
      <c r="O278" s="242"/>
      <c r="P278" s="242"/>
      <c r="Q278" s="525"/>
      <c r="R278" s="242"/>
      <c r="S278" s="242"/>
      <c r="T278" s="242"/>
      <c r="U278" s="242"/>
      <c r="V278" s="242"/>
      <c r="W278" s="242"/>
      <c r="X278" s="242"/>
      <c r="Y278" s="242"/>
      <c r="Z278" s="242"/>
      <c r="AA278" s="242"/>
      <c r="AB278" s="242"/>
      <c r="AC278" s="242"/>
      <c r="AD278" s="242"/>
      <c r="AE278" s="242"/>
      <c r="AF278" s="242"/>
      <c r="AG278" s="242"/>
      <c r="AH278" s="242"/>
      <c r="AI278" s="242"/>
      <c r="AJ278" s="13"/>
      <c r="AK278" s="242"/>
      <c r="AL278" s="242"/>
      <c r="AM278" s="242"/>
      <c r="AN278" s="242"/>
      <c r="AO278" s="242"/>
    </row>
    <row r="279">
      <c r="A279" s="242"/>
      <c r="B279" s="13"/>
      <c r="C279" s="242"/>
      <c r="D279" s="242"/>
      <c r="E279" s="242"/>
      <c r="F279" s="242"/>
      <c r="G279" s="13"/>
      <c r="H279" s="13"/>
      <c r="I279" s="13"/>
      <c r="J279" s="13"/>
      <c r="K279" s="13"/>
      <c r="L279" s="242"/>
      <c r="M279" s="242"/>
      <c r="N279" s="242"/>
      <c r="O279" s="242"/>
      <c r="P279" s="242"/>
      <c r="Q279" s="525"/>
      <c r="R279" s="242"/>
      <c r="S279" s="242"/>
      <c r="T279" s="242"/>
      <c r="U279" s="242"/>
      <c r="V279" s="242"/>
      <c r="W279" s="242"/>
      <c r="X279" s="242"/>
      <c r="Y279" s="242"/>
      <c r="Z279" s="242"/>
      <c r="AA279" s="242"/>
      <c r="AB279" s="242"/>
      <c r="AC279" s="242"/>
      <c r="AD279" s="242"/>
      <c r="AE279" s="242"/>
      <c r="AF279" s="242"/>
      <c r="AG279" s="242"/>
      <c r="AH279" s="242"/>
      <c r="AI279" s="242"/>
      <c r="AJ279" s="13"/>
      <c r="AK279" s="242"/>
      <c r="AL279" s="242"/>
      <c r="AM279" s="242"/>
      <c r="AN279" s="242"/>
      <c r="AO279" s="242"/>
    </row>
    <row r="280">
      <c r="A280" s="242"/>
      <c r="B280" s="13"/>
      <c r="C280" s="242"/>
      <c r="D280" s="242"/>
      <c r="E280" s="242"/>
      <c r="F280" s="242"/>
      <c r="G280" s="13"/>
      <c r="H280" s="13"/>
      <c r="I280" s="13"/>
      <c r="J280" s="13"/>
      <c r="K280" s="13"/>
      <c r="L280" s="242"/>
      <c r="M280" s="242"/>
      <c r="N280" s="242"/>
      <c r="O280" s="242"/>
      <c r="P280" s="242"/>
      <c r="Q280" s="525"/>
      <c r="R280" s="242"/>
      <c r="S280" s="242"/>
      <c r="T280" s="242"/>
      <c r="U280" s="242"/>
      <c r="V280" s="242"/>
      <c r="W280" s="242"/>
      <c r="X280" s="242"/>
      <c r="Y280" s="242"/>
      <c r="Z280" s="242"/>
      <c r="AA280" s="242"/>
      <c r="AB280" s="242"/>
      <c r="AC280" s="242"/>
      <c r="AD280" s="242"/>
      <c r="AE280" s="242"/>
      <c r="AF280" s="242"/>
      <c r="AG280" s="242"/>
      <c r="AH280" s="242"/>
      <c r="AI280" s="242"/>
      <c r="AJ280" s="13"/>
      <c r="AK280" s="242"/>
      <c r="AL280" s="242"/>
      <c r="AM280" s="242"/>
      <c r="AN280" s="242"/>
      <c r="AO280" s="242"/>
    </row>
    <row r="281">
      <c r="A281" s="242"/>
      <c r="B281" s="13"/>
      <c r="C281" s="242"/>
      <c r="D281" s="242"/>
      <c r="E281" s="242"/>
      <c r="F281" s="242"/>
      <c r="G281" s="13"/>
      <c r="H281" s="13"/>
      <c r="I281" s="13"/>
      <c r="J281" s="13"/>
      <c r="K281" s="13"/>
      <c r="L281" s="242"/>
      <c r="M281" s="242"/>
      <c r="N281" s="242"/>
      <c r="O281" s="242"/>
      <c r="P281" s="242"/>
      <c r="Q281" s="525"/>
      <c r="R281" s="242"/>
      <c r="S281" s="242"/>
      <c r="T281" s="242"/>
      <c r="U281" s="242"/>
      <c r="V281" s="242"/>
      <c r="W281" s="242"/>
      <c r="X281" s="242"/>
      <c r="Y281" s="242"/>
      <c r="Z281" s="242"/>
      <c r="AA281" s="242"/>
      <c r="AB281" s="242"/>
      <c r="AC281" s="242"/>
      <c r="AD281" s="242"/>
      <c r="AE281" s="242"/>
      <c r="AF281" s="242"/>
      <c r="AG281" s="242"/>
      <c r="AH281" s="242"/>
      <c r="AI281" s="242"/>
      <c r="AJ281" s="13"/>
      <c r="AK281" s="242"/>
      <c r="AL281" s="242"/>
      <c r="AM281" s="242"/>
      <c r="AN281" s="242"/>
      <c r="AO281" s="242"/>
    </row>
    <row r="282">
      <c r="A282" s="242"/>
      <c r="B282" s="13"/>
      <c r="C282" s="242"/>
      <c r="D282" s="242"/>
      <c r="E282" s="242"/>
      <c r="F282" s="242"/>
      <c r="G282" s="13"/>
      <c r="H282" s="13"/>
      <c r="I282" s="13"/>
      <c r="J282" s="13"/>
      <c r="K282" s="13"/>
      <c r="L282" s="242"/>
      <c r="M282" s="242"/>
      <c r="N282" s="242"/>
      <c r="O282" s="242"/>
      <c r="P282" s="242"/>
      <c r="Q282" s="525"/>
      <c r="R282" s="242"/>
      <c r="S282" s="242"/>
      <c r="T282" s="242"/>
      <c r="U282" s="242"/>
      <c r="V282" s="242"/>
      <c r="W282" s="242"/>
      <c r="X282" s="242"/>
      <c r="Y282" s="242"/>
      <c r="Z282" s="242"/>
      <c r="AA282" s="242"/>
      <c r="AB282" s="242"/>
      <c r="AC282" s="242"/>
      <c r="AD282" s="242"/>
      <c r="AE282" s="242"/>
      <c r="AF282" s="242"/>
      <c r="AG282" s="242"/>
      <c r="AH282" s="242"/>
      <c r="AI282" s="242"/>
      <c r="AJ282" s="13"/>
      <c r="AK282" s="242"/>
      <c r="AL282" s="242"/>
      <c r="AM282" s="242"/>
      <c r="AN282" s="242"/>
      <c r="AO282" s="242"/>
    </row>
    <row r="283">
      <c r="A283" s="242"/>
      <c r="B283" s="13"/>
      <c r="C283" s="242"/>
      <c r="D283" s="242"/>
      <c r="E283" s="242"/>
      <c r="F283" s="242"/>
      <c r="G283" s="13"/>
      <c r="H283" s="13"/>
      <c r="I283" s="13"/>
      <c r="J283" s="13"/>
      <c r="K283" s="13"/>
      <c r="L283" s="242"/>
      <c r="M283" s="242"/>
      <c r="N283" s="242"/>
      <c r="O283" s="242"/>
      <c r="P283" s="242"/>
      <c r="Q283" s="525"/>
      <c r="R283" s="242"/>
      <c r="S283" s="242"/>
      <c r="T283" s="242"/>
      <c r="U283" s="242"/>
      <c r="V283" s="242"/>
      <c r="W283" s="242"/>
      <c r="X283" s="242"/>
      <c r="Y283" s="242"/>
      <c r="Z283" s="242"/>
      <c r="AA283" s="242"/>
      <c r="AB283" s="242"/>
      <c r="AC283" s="242"/>
      <c r="AD283" s="242"/>
      <c r="AE283" s="242"/>
      <c r="AF283" s="242"/>
      <c r="AG283" s="242"/>
      <c r="AH283" s="242"/>
      <c r="AI283" s="242"/>
      <c r="AJ283" s="13"/>
      <c r="AK283" s="242"/>
      <c r="AL283" s="242"/>
      <c r="AM283" s="242"/>
      <c r="AN283" s="242"/>
      <c r="AO283" s="242"/>
    </row>
    <row r="284">
      <c r="A284" s="242"/>
      <c r="B284" s="13"/>
      <c r="C284" s="242"/>
      <c r="D284" s="242"/>
      <c r="E284" s="242"/>
      <c r="F284" s="242"/>
      <c r="G284" s="13"/>
      <c r="H284" s="13"/>
      <c r="I284" s="13"/>
      <c r="J284" s="13"/>
      <c r="K284" s="13"/>
      <c r="L284" s="242"/>
      <c r="M284" s="242"/>
      <c r="N284" s="242"/>
      <c r="O284" s="242"/>
      <c r="P284" s="242"/>
      <c r="Q284" s="525"/>
      <c r="R284" s="242"/>
      <c r="S284" s="242"/>
      <c r="T284" s="242"/>
      <c r="U284" s="242"/>
      <c r="V284" s="242"/>
      <c r="W284" s="242"/>
      <c r="X284" s="242"/>
      <c r="Y284" s="242"/>
      <c r="Z284" s="242"/>
      <c r="AA284" s="242"/>
      <c r="AB284" s="242"/>
      <c r="AC284" s="242"/>
      <c r="AD284" s="242"/>
      <c r="AE284" s="242"/>
      <c r="AF284" s="242"/>
      <c r="AG284" s="242"/>
      <c r="AH284" s="242"/>
      <c r="AI284" s="242"/>
      <c r="AJ284" s="13"/>
      <c r="AK284" s="242"/>
      <c r="AL284" s="242"/>
      <c r="AM284" s="242"/>
      <c r="AN284" s="242"/>
      <c r="AO284" s="242"/>
    </row>
    <row r="285">
      <c r="A285" s="242"/>
      <c r="B285" s="13"/>
      <c r="C285" s="242"/>
      <c r="D285" s="242"/>
      <c r="E285" s="242"/>
      <c r="F285" s="242"/>
      <c r="G285" s="13"/>
      <c r="H285" s="13"/>
      <c r="I285" s="13"/>
      <c r="J285" s="13"/>
      <c r="K285" s="13"/>
      <c r="L285" s="242"/>
      <c r="M285" s="242"/>
      <c r="N285" s="242"/>
      <c r="O285" s="242"/>
      <c r="P285" s="242"/>
      <c r="Q285" s="525"/>
      <c r="R285" s="242"/>
      <c r="S285" s="242"/>
      <c r="T285" s="242"/>
      <c r="U285" s="242"/>
      <c r="V285" s="242"/>
      <c r="W285" s="242"/>
      <c r="X285" s="242"/>
      <c r="Y285" s="242"/>
      <c r="Z285" s="242"/>
      <c r="AA285" s="242"/>
      <c r="AB285" s="242"/>
      <c r="AC285" s="242"/>
      <c r="AD285" s="242"/>
      <c r="AE285" s="242"/>
      <c r="AF285" s="242"/>
      <c r="AG285" s="242"/>
      <c r="AH285" s="242"/>
      <c r="AI285" s="242"/>
      <c r="AJ285" s="13"/>
      <c r="AK285" s="242"/>
      <c r="AL285" s="242"/>
      <c r="AM285" s="242"/>
      <c r="AN285" s="242"/>
      <c r="AO285" s="242"/>
    </row>
    <row r="286">
      <c r="A286" s="242"/>
      <c r="B286" s="13"/>
      <c r="C286" s="242"/>
      <c r="D286" s="242"/>
      <c r="E286" s="242"/>
      <c r="F286" s="242"/>
      <c r="G286" s="13"/>
      <c r="H286" s="13"/>
      <c r="I286" s="13"/>
      <c r="J286" s="13"/>
      <c r="K286" s="13"/>
      <c r="L286" s="242"/>
      <c r="M286" s="242"/>
      <c r="N286" s="242"/>
      <c r="O286" s="242"/>
      <c r="P286" s="242"/>
      <c r="Q286" s="525"/>
      <c r="R286" s="242"/>
      <c r="S286" s="242"/>
      <c r="T286" s="242"/>
      <c r="U286" s="242"/>
      <c r="V286" s="242"/>
      <c r="W286" s="242"/>
      <c r="X286" s="242"/>
      <c r="Y286" s="242"/>
      <c r="Z286" s="242"/>
      <c r="AA286" s="242"/>
      <c r="AB286" s="242"/>
      <c r="AC286" s="242"/>
      <c r="AD286" s="242"/>
      <c r="AE286" s="242"/>
      <c r="AF286" s="242"/>
      <c r="AG286" s="242"/>
      <c r="AH286" s="242"/>
      <c r="AI286" s="242"/>
      <c r="AJ286" s="13"/>
      <c r="AK286" s="242"/>
      <c r="AL286" s="242"/>
      <c r="AM286" s="242"/>
      <c r="AN286" s="242"/>
      <c r="AO286" s="242"/>
    </row>
    <row r="287">
      <c r="A287" s="242"/>
      <c r="B287" s="13"/>
      <c r="C287" s="242"/>
      <c r="D287" s="242"/>
      <c r="E287" s="242"/>
      <c r="F287" s="242"/>
      <c r="G287" s="13"/>
      <c r="H287" s="13"/>
      <c r="I287" s="13"/>
      <c r="J287" s="13"/>
      <c r="K287" s="13"/>
      <c r="L287" s="242"/>
      <c r="M287" s="242"/>
      <c r="N287" s="242"/>
      <c r="O287" s="242"/>
      <c r="P287" s="242"/>
      <c r="Q287" s="525"/>
      <c r="R287" s="242"/>
      <c r="S287" s="242"/>
      <c r="T287" s="242"/>
      <c r="U287" s="242"/>
      <c r="V287" s="242"/>
      <c r="W287" s="242"/>
      <c r="X287" s="242"/>
      <c r="Y287" s="242"/>
      <c r="Z287" s="242"/>
      <c r="AA287" s="242"/>
      <c r="AB287" s="242"/>
      <c r="AC287" s="242"/>
      <c r="AD287" s="242"/>
      <c r="AE287" s="242"/>
      <c r="AF287" s="242"/>
      <c r="AG287" s="242"/>
      <c r="AH287" s="242"/>
      <c r="AI287" s="242"/>
      <c r="AJ287" s="13"/>
      <c r="AK287" s="242"/>
      <c r="AL287" s="242"/>
      <c r="AM287" s="242"/>
      <c r="AN287" s="242"/>
      <c r="AO287" s="242"/>
    </row>
    <row r="288">
      <c r="A288" s="242"/>
      <c r="B288" s="13"/>
      <c r="C288" s="242"/>
      <c r="D288" s="242"/>
      <c r="E288" s="242"/>
      <c r="F288" s="242"/>
      <c r="G288" s="13"/>
      <c r="H288" s="13"/>
      <c r="I288" s="13"/>
      <c r="J288" s="13"/>
      <c r="K288" s="13"/>
      <c r="L288" s="242"/>
      <c r="M288" s="242"/>
      <c r="N288" s="242"/>
      <c r="O288" s="242"/>
      <c r="P288" s="242"/>
      <c r="Q288" s="525"/>
      <c r="R288" s="242"/>
      <c r="S288" s="242"/>
      <c r="T288" s="242"/>
      <c r="U288" s="242"/>
      <c r="V288" s="242"/>
      <c r="W288" s="242"/>
      <c r="X288" s="242"/>
      <c r="Y288" s="242"/>
      <c r="Z288" s="242"/>
      <c r="AA288" s="242"/>
      <c r="AB288" s="242"/>
      <c r="AC288" s="242"/>
      <c r="AD288" s="242"/>
      <c r="AE288" s="242"/>
      <c r="AF288" s="242"/>
      <c r="AG288" s="242"/>
      <c r="AH288" s="242"/>
      <c r="AI288" s="242"/>
      <c r="AJ288" s="13"/>
      <c r="AK288" s="242"/>
      <c r="AL288" s="242"/>
      <c r="AM288" s="242"/>
      <c r="AN288" s="242"/>
      <c r="AO288" s="242"/>
    </row>
    <row r="289">
      <c r="A289" s="242"/>
      <c r="B289" s="13"/>
      <c r="C289" s="242"/>
      <c r="D289" s="242"/>
      <c r="E289" s="242"/>
      <c r="F289" s="242"/>
      <c r="G289" s="13"/>
      <c r="H289" s="13"/>
      <c r="I289" s="13"/>
      <c r="J289" s="13"/>
      <c r="K289" s="13"/>
      <c r="L289" s="242"/>
      <c r="M289" s="242"/>
      <c r="N289" s="242"/>
      <c r="O289" s="242"/>
      <c r="P289" s="242"/>
      <c r="Q289" s="525"/>
      <c r="R289" s="242"/>
      <c r="S289" s="242"/>
      <c r="T289" s="242"/>
      <c r="U289" s="242"/>
      <c r="V289" s="242"/>
      <c r="W289" s="242"/>
      <c r="X289" s="242"/>
      <c r="Y289" s="242"/>
      <c r="Z289" s="242"/>
      <c r="AA289" s="242"/>
      <c r="AB289" s="242"/>
      <c r="AC289" s="242"/>
      <c r="AD289" s="242"/>
      <c r="AE289" s="242"/>
      <c r="AF289" s="242"/>
      <c r="AG289" s="242"/>
      <c r="AH289" s="242"/>
      <c r="AI289" s="242"/>
      <c r="AJ289" s="13"/>
      <c r="AK289" s="242"/>
      <c r="AL289" s="242"/>
      <c r="AM289" s="242"/>
      <c r="AN289" s="242"/>
      <c r="AO289" s="242"/>
    </row>
    <row r="290">
      <c r="A290" s="242"/>
      <c r="B290" s="13"/>
      <c r="C290" s="242"/>
      <c r="D290" s="242"/>
      <c r="E290" s="242"/>
      <c r="F290" s="242"/>
      <c r="G290" s="13"/>
      <c r="H290" s="13"/>
      <c r="I290" s="13"/>
      <c r="J290" s="13"/>
      <c r="K290" s="13"/>
      <c r="L290" s="242"/>
      <c r="M290" s="242"/>
      <c r="N290" s="242"/>
      <c r="O290" s="242"/>
      <c r="P290" s="242"/>
      <c r="Q290" s="525"/>
      <c r="R290" s="242"/>
      <c r="S290" s="242"/>
      <c r="T290" s="242"/>
      <c r="U290" s="242"/>
      <c r="V290" s="242"/>
      <c r="W290" s="242"/>
      <c r="X290" s="242"/>
      <c r="Y290" s="242"/>
      <c r="Z290" s="242"/>
      <c r="AA290" s="242"/>
      <c r="AB290" s="242"/>
      <c r="AC290" s="242"/>
      <c r="AD290" s="242"/>
      <c r="AE290" s="242"/>
      <c r="AF290" s="242"/>
      <c r="AG290" s="242"/>
      <c r="AH290" s="242"/>
      <c r="AI290" s="242"/>
      <c r="AJ290" s="13"/>
      <c r="AK290" s="242"/>
      <c r="AL290" s="242"/>
      <c r="AM290" s="242"/>
      <c r="AN290" s="242"/>
      <c r="AO290" s="242"/>
    </row>
    <row r="291">
      <c r="A291" s="242"/>
      <c r="B291" s="13"/>
      <c r="C291" s="242"/>
      <c r="D291" s="242"/>
      <c r="E291" s="242"/>
      <c r="F291" s="242"/>
      <c r="G291" s="13"/>
      <c r="H291" s="13"/>
      <c r="I291" s="13"/>
      <c r="J291" s="13"/>
      <c r="K291" s="13"/>
      <c r="L291" s="242"/>
      <c r="M291" s="242"/>
      <c r="N291" s="242"/>
      <c r="O291" s="242"/>
      <c r="P291" s="242"/>
      <c r="Q291" s="525"/>
      <c r="R291" s="242"/>
      <c r="S291" s="242"/>
      <c r="T291" s="242"/>
      <c r="U291" s="242"/>
      <c r="V291" s="242"/>
      <c r="W291" s="242"/>
      <c r="X291" s="242"/>
      <c r="Y291" s="242"/>
      <c r="Z291" s="242"/>
      <c r="AA291" s="242"/>
      <c r="AB291" s="242"/>
      <c r="AC291" s="242"/>
      <c r="AD291" s="242"/>
      <c r="AE291" s="242"/>
      <c r="AF291" s="242"/>
      <c r="AG291" s="242"/>
      <c r="AH291" s="242"/>
      <c r="AI291" s="242"/>
      <c r="AJ291" s="13"/>
      <c r="AK291" s="242"/>
      <c r="AL291" s="242"/>
      <c r="AM291" s="242"/>
      <c r="AN291" s="242"/>
      <c r="AO291" s="242"/>
    </row>
    <row r="292">
      <c r="A292" s="242"/>
      <c r="B292" s="13"/>
      <c r="C292" s="242"/>
      <c r="D292" s="242"/>
      <c r="E292" s="242"/>
      <c r="F292" s="242"/>
      <c r="G292" s="13"/>
      <c r="H292" s="13"/>
      <c r="I292" s="13"/>
      <c r="J292" s="13"/>
      <c r="K292" s="13"/>
      <c r="L292" s="242"/>
      <c r="M292" s="242"/>
      <c r="N292" s="242"/>
      <c r="O292" s="242"/>
      <c r="P292" s="242"/>
      <c r="Q292" s="525"/>
      <c r="R292" s="242"/>
      <c r="S292" s="242"/>
      <c r="T292" s="242"/>
      <c r="U292" s="242"/>
      <c r="V292" s="242"/>
      <c r="W292" s="242"/>
      <c r="X292" s="242"/>
      <c r="Y292" s="242"/>
      <c r="Z292" s="242"/>
      <c r="AA292" s="242"/>
      <c r="AB292" s="242"/>
      <c r="AC292" s="242"/>
      <c r="AD292" s="242"/>
      <c r="AE292" s="242"/>
      <c r="AF292" s="242"/>
      <c r="AG292" s="242"/>
      <c r="AH292" s="242"/>
      <c r="AI292" s="242"/>
      <c r="AJ292" s="13"/>
      <c r="AK292" s="242"/>
      <c r="AL292" s="242"/>
      <c r="AM292" s="242"/>
      <c r="AN292" s="242"/>
      <c r="AO292" s="242"/>
    </row>
    <row r="293">
      <c r="A293" s="242"/>
      <c r="B293" s="13"/>
      <c r="C293" s="242"/>
      <c r="D293" s="242"/>
      <c r="E293" s="242"/>
      <c r="F293" s="242"/>
      <c r="G293" s="13"/>
      <c r="H293" s="13"/>
      <c r="I293" s="13"/>
      <c r="J293" s="13"/>
      <c r="K293" s="13"/>
      <c r="L293" s="242"/>
      <c r="M293" s="242"/>
      <c r="N293" s="242"/>
      <c r="O293" s="242"/>
      <c r="P293" s="242"/>
      <c r="Q293" s="525"/>
      <c r="R293" s="242"/>
      <c r="S293" s="242"/>
      <c r="T293" s="242"/>
      <c r="U293" s="242"/>
      <c r="V293" s="242"/>
      <c r="W293" s="242"/>
      <c r="X293" s="242"/>
      <c r="Y293" s="242"/>
      <c r="Z293" s="242"/>
      <c r="AA293" s="242"/>
      <c r="AB293" s="242"/>
      <c r="AC293" s="242"/>
      <c r="AD293" s="242"/>
      <c r="AE293" s="242"/>
      <c r="AF293" s="242"/>
      <c r="AG293" s="242"/>
      <c r="AH293" s="242"/>
      <c r="AI293" s="242"/>
      <c r="AJ293" s="13"/>
      <c r="AK293" s="242"/>
      <c r="AL293" s="242"/>
      <c r="AM293" s="242"/>
      <c r="AN293" s="242"/>
      <c r="AO293" s="242"/>
    </row>
    <row r="294">
      <c r="A294" s="242"/>
      <c r="B294" s="13"/>
      <c r="C294" s="242"/>
      <c r="D294" s="242"/>
      <c r="E294" s="242"/>
      <c r="F294" s="242"/>
      <c r="G294" s="13"/>
      <c r="H294" s="13"/>
      <c r="I294" s="13"/>
      <c r="J294" s="13"/>
      <c r="K294" s="13"/>
      <c r="L294" s="242"/>
      <c r="M294" s="242"/>
      <c r="N294" s="242"/>
      <c r="O294" s="242"/>
      <c r="P294" s="242"/>
      <c r="Q294" s="525"/>
      <c r="R294" s="242"/>
      <c r="S294" s="242"/>
      <c r="T294" s="242"/>
      <c r="U294" s="242"/>
      <c r="V294" s="242"/>
      <c r="W294" s="242"/>
      <c r="X294" s="242"/>
      <c r="Y294" s="242"/>
      <c r="Z294" s="242"/>
      <c r="AA294" s="242"/>
      <c r="AB294" s="242"/>
      <c r="AC294" s="242"/>
      <c r="AD294" s="242"/>
      <c r="AE294" s="242"/>
      <c r="AF294" s="242"/>
      <c r="AG294" s="242"/>
      <c r="AH294" s="242"/>
      <c r="AI294" s="242"/>
      <c r="AJ294" s="13"/>
      <c r="AK294" s="242"/>
      <c r="AL294" s="242"/>
      <c r="AM294" s="242"/>
      <c r="AN294" s="242"/>
      <c r="AO294" s="242"/>
    </row>
    <row r="295">
      <c r="A295" s="242"/>
      <c r="B295" s="13"/>
      <c r="C295" s="242"/>
      <c r="D295" s="242"/>
      <c r="E295" s="242"/>
      <c r="F295" s="242"/>
      <c r="G295" s="13"/>
      <c r="H295" s="13"/>
      <c r="I295" s="13"/>
      <c r="J295" s="13"/>
      <c r="K295" s="13"/>
      <c r="L295" s="242"/>
      <c r="M295" s="242"/>
      <c r="N295" s="242"/>
      <c r="O295" s="242"/>
      <c r="P295" s="242"/>
      <c r="Q295" s="525"/>
      <c r="R295" s="242"/>
      <c r="S295" s="242"/>
      <c r="T295" s="242"/>
      <c r="U295" s="242"/>
      <c r="V295" s="242"/>
      <c r="W295" s="242"/>
      <c r="X295" s="242"/>
      <c r="Y295" s="242"/>
      <c r="Z295" s="242"/>
      <c r="AA295" s="242"/>
      <c r="AB295" s="242"/>
      <c r="AC295" s="242"/>
      <c r="AD295" s="242"/>
      <c r="AE295" s="242"/>
      <c r="AF295" s="242"/>
      <c r="AG295" s="242"/>
      <c r="AH295" s="242"/>
      <c r="AI295" s="242"/>
      <c r="AJ295" s="13"/>
      <c r="AK295" s="242"/>
      <c r="AL295" s="242"/>
      <c r="AM295" s="242"/>
      <c r="AN295" s="242"/>
      <c r="AO295" s="242"/>
    </row>
    <row r="296">
      <c r="A296" s="242"/>
      <c r="B296" s="13"/>
      <c r="C296" s="242"/>
      <c r="D296" s="242"/>
      <c r="E296" s="242"/>
      <c r="F296" s="242"/>
      <c r="G296" s="13"/>
      <c r="H296" s="13"/>
      <c r="I296" s="13"/>
      <c r="J296" s="13"/>
      <c r="K296" s="13"/>
      <c r="L296" s="242"/>
      <c r="M296" s="242"/>
      <c r="N296" s="242"/>
      <c r="O296" s="242"/>
      <c r="P296" s="242"/>
      <c r="Q296" s="525"/>
      <c r="R296" s="242"/>
      <c r="S296" s="242"/>
      <c r="T296" s="242"/>
      <c r="U296" s="242"/>
      <c r="V296" s="242"/>
      <c r="W296" s="242"/>
      <c r="X296" s="242"/>
      <c r="Y296" s="242"/>
      <c r="Z296" s="242"/>
      <c r="AA296" s="242"/>
      <c r="AB296" s="242"/>
      <c r="AC296" s="242"/>
      <c r="AD296" s="242"/>
      <c r="AE296" s="242"/>
      <c r="AF296" s="242"/>
      <c r="AG296" s="242"/>
      <c r="AH296" s="242"/>
      <c r="AI296" s="242"/>
      <c r="AJ296" s="13"/>
      <c r="AK296" s="242"/>
      <c r="AL296" s="242"/>
      <c r="AM296" s="242"/>
      <c r="AN296" s="242"/>
      <c r="AO296" s="242"/>
    </row>
    <row r="297">
      <c r="A297" s="242"/>
      <c r="B297" s="13"/>
      <c r="C297" s="242"/>
      <c r="D297" s="242"/>
      <c r="E297" s="242"/>
      <c r="F297" s="242"/>
      <c r="G297" s="13"/>
      <c r="H297" s="13"/>
      <c r="I297" s="13"/>
      <c r="J297" s="13"/>
      <c r="K297" s="13"/>
      <c r="L297" s="242"/>
      <c r="M297" s="242"/>
      <c r="N297" s="242"/>
      <c r="O297" s="242"/>
      <c r="P297" s="242"/>
      <c r="Q297" s="525"/>
      <c r="R297" s="242"/>
      <c r="S297" s="242"/>
      <c r="T297" s="242"/>
      <c r="U297" s="242"/>
      <c r="V297" s="242"/>
      <c r="W297" s="242"/>
      <c r="X297" s="242"/>
      <c r="Y297" s="242"/>
      <c r="Z297" s="242"/>
      <c r="AA297" s="242"/>
      <c r="AB297" s="242"/>
      <c r="AC297" s="242"/>
      <c r="AD297" s="242"/>
      <c r="AE297" s="242"/>
      <c r="AF297" s="242"/>
      <c r="AG297" s="242"/>
      <c r="AH297" s="242"/>
      <c r="AI297" s="242"/>
      <c r="AJ297" s="13"/>
      <c r="AK297" s="242"/>
      <c r="AL297" s="242"/>
      <c r="AM297" s="242"/>
      <c r="AN297" s="242"/>
      <c r="AO297" s="242"/>
    </row>
    <row r="298">
      <c r="A298" s="242"/>
      <c r="B298" s="13"/>
      <c r="C298" s="242"/>
      <c r="D298" s="242"/>
      <c r="E298" s="242"/>
      <c r="F298" s="242"/>
      <c r="G298" s="13"/>
      <c r="H298" s="13"/>
      <c r="I298" s="13"/>
      <c r="J298" s="13"/>
      <c r="K298" s="13"/>
      <c r="L298" s="242"/>
      <c r="M298" s="242"/>
      <c r="N298" s="242"/>
      <c r="O298" s="242"/>
      <c r="P298" s="242"/>
      <c r="Q298" s="525"/>
      <c r="R298" s="242"/>
      <c r="S298" s="242"/>
      <c r="T298" s="242"/>
      <c r="U298" s="242"/>
      <c r="V298" s="242"/>
      <c r="W298" s="242"/>
      <c r="X298" s="242"/>
      <c r="Y298" s="242"/>
      <c r="Z298" s="242"/>
      <c r="AA298" s="242"/>
      <c r="AB298" s="242"/>
      <c r="AC298" s="242"/>
      <c r="AD298" s="242"/>
      <c r="AE298" s="242"/>
      <c r="AF298" s="242"/>
      <c r="AG298" s="242"/>
      <c r="AH298" s="242"/>
      <c r="AI298" s="242"/>
      <c r="AJ298" s="13"/>
      <c r="AK298" s="242"/>
      <c r="AL298" s="242"/>
      <c r="AM298" s="242"/>
      <c r="AN298" s="242"/>
      <c r="AO298" s="242"/>
    </row>
    <row r="299">
      <c r="A299" s="242"/>
      <c r="B299" s="13"/>
      <c r="C299" s="242"/>
      <c r="D299" s="242"/>
      <c r="E299" s="242"/>
      <c r="F299" s="242"/>
      <c r="G299" s="13"/>
      <c r="H299" s="13"/>
      <c r="I299" s="13"/>
      <c r="J299" s="13"/>
      <c r="K299" s="13"/>
      <c r="L299" s="242"/>
      <c r="M299" s="242"/>
      <c r="N299" s="242"/>
      <c r="O299" s="242"/>
      <c r="P299" s="242"/>
      <c r="Q299" s="525"/>
      <c r="R299" s="242"/>
      <c r="S299" s="242"/>
      <c r="T299" s="242"/>
      <c r="U299" s="242"/>
      <c r="V299" s="242"/>
      <c r="W299" s="242"/>
      <c r="X299" s="242"/>
      <c r="Y299" s="242"/>
      <c r="Z299" s="242"/>
      <c r="AA299" s="242"/>
      <c r="AB299" s="242"/>
      <c r="AC299" s="242"/>
      <c r="AD299" s="242"/>
      <c r="AE299" s="242"/>
      <c r="AF299" s="242"/>
      <c r="AG299" s="242"/>
      <c r="AH299" s="242"/>
      <c r="AI299" s="242"/>
      <c r="AJ299" s="13"/>
      <c r="AK299" s="242"/>
      <c r="AL299" s="242"/>
      <c r="AM299" s="242"/>
      <c r="AN299" s="242"/>
      <c r="AO299" s="242"/>
    </row>
    <row r="300">
      <c r="A300" s="242"/>
      <c r="B300" s="13"/>
      <c r="C300" s="242"/>
      <c r="D300" s="242"/>
      <c r="E300" s="242"/>
      <c r="F300" s="242"/>
      <c r="G300" s="13"/>
      <c r="H300" s="13"/>
      <c r="I300" s="13"/>
      <c r="J300" s="13"/>
      <c r="K300" s="13"/>
      <c r="L300" s="242"/>
      <c r="M300" s="242"/>
      <c r="N300" s="242"/>
      <c r="O300" s="242"/>
      <c r="P300" s="242"/>
      <c r="Q300" s="525"/>
      <c r="R300" s="242"/>
      <c r="S300" s="242"/>
      <c r="T300" s="242"/>
      <c r="U300" s="242"/>
      <c r="V300" s="242"/>
      <c r="W300" s="242"/>
      <c r="X300" s="242"/>
      <c r="Y300" s="242"/>
      <c r="Z300" s="242"/>
      <c r="AA300" s="242"/>
      <c r="AB300" s="242"/>
      <c r="AC300" s="242"/>
      <c r="AD300" s="242"/>
      <c r="AE300" s="242"/>
      <c r="AF300" s="242"/>
      <c r="AG300" s="242"/>
      <c r="AH300" s="242"/>
      <c r="AI300" s="242"/>
      <c r="AJ300" s="13"/>
      <c r="AK300" s="242"/>
      <c r="AL300" s="242"/>
      <c r="AM300" s="242"/>
      <c r="AN300" s="242"/>
      <c r="AO300" s="242"/>
    </row>
    <row r="301">
      <c r="A301" s="242"/>
      <c r="B301" s="13"/>
      <c r="C301" s="242"/>
      <c r="D301" s="242"/>
      <c r="E301" s="242"/>
      <c r="F301" s="242"/>
      <c r="G301" s="13"/>
      <c r="H301" s="13"/>
      <c r="I301" s="13"/>
      <c r="J301" s="13"/>
      <c r="K301" s="13"/>
      <c r="L301" s="242"/>
      <c r="M301" s="242"/>
      <c r="N301" s="242"/>
      <c r="O301" s="242"/>
      <c r="P301" s="242"/>
      <c r="Q301" s="525"/>
      <c r="R301" s="242"/>
      <c r="S301" s="242"/>
      <c r="T301" s="242"/>
      <c r="U301" s="242"/>
      <c r="V301" s="242"/>
      <c r="W301" s="242"/>
      <c r="X301" s="242"/>
      <c r="Y301" s="242"/>
      <c r="Z301" s="242"/>
      <c r="AA301" s="242"/>
      <c r="AB301" s="242"/>
      <c r="AC301" s="242"/>
      <c r="AD301" s="242"/>
      <c r="AE301" s="242"/>
      <c r="AF301" s="242"/>
      <c r="AG301" s="242"/>
      <c r="AH301" s="242"/>
      <c r="AI301" s="242"/>
      <c r="AJ301" s="13"/>
      <c r="AK301" s="242"/>
      <c r="AL301" s="242"/>
      <c r="AM301" s="242"/>
      <c r="AN301" s="242"/>
      <c r="AO301" s="242"/>
    </row>
    <row r="302">
      <c r="A302" s="242"/>
      <c r="B302" s="13"/>
      <c r="C302" s="242"/>
      <c r="D302" s="242"/>
      <c r="E302" s="242"/>
      <c r="F302" s="242"/>
      <c r="G302" s="13"/>
      <c r="H302" s="13"/>
      <c r="I302" s="13"/>
      <c r="J302" s="13"/>
      <c r="K302" s="13"/>
      <c r="L302" s="242"/>
      <c r="M302" s="242"/>
      <c r="N302" s="242"/>
      <c r="O302" s="242"/>
      <c r="P302" s="242"/>
      <c r="Q302" s="525"/>
      <c r="R302" s="242"/>
      <c r="S302" s="242"/>
      <c r="T302" s="242"/>
      <c r="U302" s="242"/>
      <c r="V302" s="242"/>
      <c r="W302" s="242"/>
      <c r="X302" s="242"/>
      <c r="Y302" s="242"/>
      <c r="Z302" s="242"/>
      <c r="AA302" s="242"/>
      <c r="AB302" s="242"/>
      <c r="AC302" s="242"/>
      <c r="AD302" s="242"/>
      <c r="AE302" s="242"/>
      <c r="AF302" s="242"/>
      <c r="AG302" s="242"/>
      <c r="AH302" s="242"/>
      <c r="AI302" s="242"/>
      <c r="AJ302" s="13"/>
      <c r="AK302" s="242"/>
      <c r="AL302" s="242"/>
      <c r="AM302" s="242"/>
      <c r="AN302" s="242"/>
      <c r="AO302" s="242"/>
    </row>
    <row r="303">
      <c r="A303" s="242"/>
      <c r="B303" s="13"/>
      <c r="C303" s="242"/>
      <c r="D303" s="242"/>
      <c r="E303" s="242"/>
      <c r="F303" s="242"/>
      <c r="G303" s="13"/>
      <c r="H303" s="13"/>
      <c r="I303" s="13"/>
      <c r="J303" s="13"/>
      <c r="K303" s="13"/>
      <c r="L303" s="242"/>
      <c r="M303" s="242"/>
      <c r="N303" s="242"/>
      <c r="O303" s="242"/>
      <c r="P303" s="242"/>
      <c r="Q303" s="525"/>
      <c r="R303" s="242"/>
      <c r="S303" s="242"/>
      <c r="T303" s="242"/>
      <c r="U303" s="242"/>
      <c r="V303" s="242"/>
      <c r="W303" s="242"/>
      <c r="X303" s="242"/>
      <c r="Y303" s="242"/>
      <c r="Z303" s="242"/>
      <c r="AA303" s="242"/>
      <c r="AB303" s="242"/>
      <c r="AC303" s="242"/>
      <c r="AD303" s="242"/>
      <c r="AE303" s="242"/>
      <c r="AF303" s="242"/>
      <c r="AG303" s="242"/>
      <c r="AH303" s="242"/>
      <c r="AI303" s="242"/>
      <c r="AJ303" s="13"/>
      <c r="AK303" s="242"/>
      <c r="AL303" s="242"/>
      <c r="AM303" s="242"/>
      <c r="AN303" s="242"/>
      <c r="AO303" s="242"/>
    </row>
    <row r="304">
      <c r="A304" s="242"/>
      <c r="B304" s="13"/>
      <c r="C304" s="242"/>
      <c r="D304" s="242"/>
      <c r="E304" s="242"/>
      <c r="F304" s="242"/>
      <c r="G304" s="13"/>
      <c r="H304" s="13"/>
      <c r="I304" s="13"/>
      <c r="J304" s="13"/>
      <c r="K304" s="13"/>
      <c r="L304" s="242"/>
      <c r="M304" s="242"/>
      <c r="N304" s="242"/>
      <c r="O304" s="242"/>
      <c r="P304" s="242"/>
      <c r="Q304" s="525"/>
      <c r="R304" s="242"/>
      <c r="S304" s="242"/>
      <c r="T304" s="242"/>
      <c r="U304" s="242"/>
      <c r="V304" s="242"/>
      <c r="W304" s="242"/>
      <c r="X304" s="242"/>
      <c r="Y304" s="242"/>
      <c r="Z304" s="242"/>
      <c r="AA304" s="242"/>
      <c r="AB304" s="242"/>
      <c r="AC304" s="242"/>
      <c r="AD304" s="242"/>
      <c r="AE304" s="242"/>
      <c r="AF304" s="242"/>
      <c r="AG304" s="242"/>
      <c r="AH304" s="242"/>
      <c r="AI304" s="242"/>
      <c r="AJ304" s="13"/>
      <c r="AK304" s="242"/>
      <c r="AL304" s="242"/>
      <c r="AM304" s="242"/>
      <c r="AN304" s="242"/>
      <c r="AO304" s="242"/>
    </row>
    <row r="305">
      <c r="A305" s="242"/>
      <c r="B305" s="13"/>
      <c r="C305" s="242"/>
      <c r="D305" s="242"/>
      <c r="E305" s="242"/>
      <c r="F305" s="242"/>
      <c r="G305" s="13"/>
      <c r="H305" s="13"/>
      <c r="I305" s="13"/>
      <c r="J305" s="13"/>
      <c r="K305" s="13"/>
      <c r="L305" s="242"/>
      <c r="M305" s="242"/>
      <c r="N305" s="242"/>
      <c r="O305" s="242"/>
      <c r="P305" s="242"/>
      <c r="Q305" s="525"/>
      <c r="R305" s="242"/>
      <c r="S305" s="242"/>
      <c r="T305" s="242"/>
      <c r="U305" s="242"/>
      <c r="V305" s="242"/>
      <c r="W305" s="242"/>
      <c r="X305" s="242"/>
      <c r="Y305" s="242"/>
      <c r="Z305" s="242"/>
      <c r="AA305" s="242"/>
      <c r="AB305" s="242"/>
      <c r="AC305" s="242"/>
      <c r="AD305" s="242"/>
      <c r="AE305" s="242"/>
      <c r="AF305" s="242"/>
      <c r="AG305" s="242"/>
      <c r="AH305" s="242"/>
      <c r="AI305" s="242"/>
      <c r="AJ305" s="13"/>
      <c r="AK305" s="242"/>
      <c r="AL305" s="242"/>
      <c r="AM305" s="242"/>
      <c r="AN305" s="242"/>
      <c r="AO305" s="242"/>
    </row>
    <row r="306">
      <c r="A306" s="242"/>
      <c r="B306" s="13"/>
      <c r="C306" s="242"/>
      <c r="D306" s="242"/>
      <c r="E306" s="242"/>
      <c r="F306" s="242"/>
      <c r="G306" s="13"/>
      <c r="H306" s="13"/>
      <c r="I306" s="13"/>
      <c r="J306" s="13"/>
      <c r="K306" s="13"/>
      <c r="L306" s="242"/>
      <c r="M306" s="242"/>
      <c r="N306" s="242"/>
      <c r="O306" s="242"/>
      <c r="P306" s="242"/>
      <c r="Q306" s="525"/>
      <c r="R306" s="242"/>
      <c r="S306" s="242"/>
      <c r="T306" s="242"/>
      <c r="U306" s="242"/>
      <c r="V306" s="242"/>
      <c r="W306" s="242"/>
      <c r="X306" s="242"/>
      <c r="Y306" s="242"/>
      <c r="Z306" s="242"/>
      <c r="AA306" s="242"/>
      <c r="AB306" s="242"/>
      <c r="AC306" s="242"/>
      <c r="AD306" s="242"/>
      <c r="AE306" s="242"/>
      <c r="AF306" s="242"/>
      <c r="AG306" s="242"/>
      <c r="AH306" s="242"/>
      <c r="AI306" s="242"/>
      <c r="AJ306" s="13"/>
      <c r="AK306" s="242"/>
      <c r="AL306" s="242"/>
      <c r="AM306" s="242"/>
      <c r="AN306" s="242"/>
      <c r="AO306" s="242"/>
    </row>
    <row r="307">
      <c r="A307" s="242"/>
      <c r="B307" s="13"/>
      <c r="C307" s="242"/>
      <c r="D307" s="242"/>
      <c r="E307" s="242"/>
      <c r="F307" s="242"/>
      <c r="G307" s="13"/>
      <c r="H307" s="13"/>
      <c r="I307" s="13"/>
      <c r="J307" s="13"/>
      <c r="K307" s="13"/>
      <c r="L307" s="242"/>
      <c r="M307" s="242"/>
      <c r="N307" s="242"/>
      <c r="O307" s="242"/>
      <c r="P307" s="242"/>
      <c r="Q307" s="525"/>
      <c r="R307" s="242"/>
      <c r="S307" s="242"/>
      <c r="T307" s="242"/>
      <c r="U307" s="242"/>
      <c r="V307" s="242"/>
      <c r="W307" s="242"/>
      <c r="X307" s="242"/>
      <c r="Y307" s="242"/>
      <c r="Z307" s="242"/>
      <c r="AA307" s="242"/>
      <c r="AB307" s="242"/>
      <c r="AC307" s="242"/>
      <c r="AD307" s="242"/>
      <c r="AE307" s="242"/>
      <c r="AF307" s="242"/>
      <c r="AG307" s="242"/>
      <c r="AH307" s="242"/>
      <c r="AI307" s="242"/>
      <c r="AJ307" s="13"/>
      <c r="AK307" s="242"/>
      <c r="AL307" s="242"/>
      <c r="AM307" s="242"/>
      <c r="AN307" s="242"/>
      <c r="AO307" s="242"/>
    </row>
    <row r="308">
      <c r="A308" s="242"/>
      <c r="B308" s="13"/>
      <c r="C308" s="242"/>
      <c r="D308" s="242"/>
      <c r="E308" s="242"/>
      <c r="F308" s="242"/>
      <c r="G308" s="13"/>
      <c r="H308" s="13"/>
      <c r="I308" s="13"/>
      <c r="J308" s="13"/>
      <c r="K308" s="13"/>
      <c r="L308" s="242"/>
      <c r="M308" s="242"/>
      <c r="N308" s="242"/>
      <c r="O308" s="242"/>
      <c r="P308" s="242"/>
      <c r="Q308" s="525"/>
      <c r="R308" s="242"/>
      <c r="S308" s="242"/>
      <c r="T308" s="242"/>
      <c r="U308" s="242"/>
      <c r="V308" s="242"/>
      <c r="W308" s="242"/>
      <c r="X308" s="242"/>
      <c r="Y308" s="242"/>
      <c r="Z308" s="242"/>
      <c r="AA308" s="242"/>
      <c r="AB308" s="242"/>
      <c r="AC308" s="242"/>
      <c r="AD308" s="242"/>
      <c r="AE308" s="242"/>
      <c r="AF308" s="242"/>
      <c r="AG308" s="242"/>
      <c r="AH308" s="242"/>
      <c r="AI308" s="242"/>
      <c r="AJ308" s="13"/>
      <c r="AK308" s="242"/>
      <c r="AL308" s="242"/>
      <c r="AM308" s="242"/>
      <c r="AN308" s="242"/>
      <c r="AO308" s="242"/>
    </row>
    <row r="309">
      <c r="A309" s="242"/>
      <c r="B309" s="13"/>
      <c r="C309" s="242"/>
      <c r="D309" s="242"/>
      <c r="E309" s="242"/>
      <c r="F309" s="242"/>
      <c r="G309" s="13"/>
      <c r="H309" s="13"/>
      <c r="I309" s="13"/>
      <c r="J309" s="13"/>
      <c r="K309" s="13"/>
      <c r="L309" s="242"/>
      <c r="M309" s="242"/>
      <c r="N309" s="242"/>
      <c r="O309" s="242"/>
      <c r="P309" s="242"/>
      <c r="Q309" s="525"/>
      <c r="R309" s="242"/>
      <c r="S309" s="242"/>
      <c r="T309" s="242"/>
      <c r="U309" s="242"/>
      <c r="V309" s="242"/>
      <c r="W309" s="242"/>
      <c r="X309" s="242"/>
      <c r="Y309" s="242"/>
      <c r="Z309" s="242"/>
      <c r="AA309" s="242"/>
      <c r="AB309" s="242"/>
      <c r="AC309" s="242"/>
      <c r="AD309" s="242"/>
      <c r="AE309" s="242"/>
      <c r="AF309" s="242"/>
      <c r="AG309" s="242"/>
      <c r="AH309" s="242"/>
      <c r="AI309" s="242"/>
      <c r="AJ309" s="13"/>
      <c r="AK309" s="242"/>
      <c r="AL309" s="242"/>
      <c r="AM309" s="242"/>
      <c r="AN309" s="242"/>
      <c r="AO309" s="242"/>
    </row>
    <row r="310">
      <c r="A310" s="242"/>
      <c r="B310" s="13"/>
      <c r="C310" s="242"/>
      <c r="D310" s="242"/>
      <c r="E310" s="242"/>
      <c r="F310" s="242"/>
      <c r="G310" s="13"/>
      <c r="H310" s="13"/>
      <c r="I310" s="13"/>
      <c r="J310" s="13"/>
      <c r="K310" s="13"/>
      <c r="L310" s="242"/>
      <c r="M310" s="242"/>
      <c r="N310" s="242"/>
      <c r="O310" s="242"/>
      <c r="P310" s="242"/>
      <c r="Q310" s="525"/>
      <c r="R310" s="242"/>
      <c r="S310" s="242"/>
      <c r="T310" s="242"/>
      <c r="U310" s="242"/>
      <c r="V310" s="242"/>
      <c r="W310" s="242"/>
      <c r="X310" s="242"/>
      <c r="Y310" s="242"/>
      <c r="Z310" s="242"/>
      <c r="AA310" s="242"/>
      <c r="AB310" s="242"/>
      <c r="AC310" s="242"/>
      <c r="AD310" s="242"/>
      <c r="AE310" s="242"/>
      <c r="AF310" s="242"/>
      <c r="AG310" s="242"/>
      <c r="AH310" s="242"/>
      <c r="AI310" s="242"/>
      <c r="AJ310" s="13"/>
      <c r="AK310" s="242"/>
      <c r="AL310" s="242"/>
      <c r="AM310" s="242"/>
      <c r="AN310" s="242"/>
      <c r="AO310" s="242"/>
    </row>
    <row r="311">
      <c r="A311" s="242"/>
      <c r="B311" s="13"/>
      <c r="C311" s="242"/>
      <c r="D311" s="242"/>
      <c r="E311" s="242"/>
      <c r="F311" s="242"/>
      <c r="G311" s="13"/>
      <c r="H311" s="13"/>
      <c r="I311" s="13"/>
      <c r="J311" s="13"/>
      <c r="K311" s="13"/>
      <c r="L311" s="242"/>
      <c r="M311" s="242"/>
      <c r="N311" s="242"/>
      <c r="O311" s="242"/>
      <c r="P311" s="242"/>
      <c r="Q311" s="525"/>
      <c r="R311" s="242"/>
      <c r="S311" s="242"/>
      <c r="T311" s="242"/>
      <c r="U311" s="242"/>
      <c r="V311" s="242"/>
      <c r="W311" s="242"/>
      <c r="X311" s="242"/>
      <c r="Y311" s="242"/>
      <c r="Z311" s="242"/>
      <c r="AA311" s="242"/>
      <c r="AB311" s="242"/>
      <c r="AC311" s="242"/>
      <c r="AD311" s="242"/>
      <c r="AE311" s="242"/>
      <c r="AF311" s="242"/>
      <c r="AG311" s="242"/>
      <c r="AH311" s="242"/>
      <c r="AI311" s="242"/>
      <c r="AJ311" s="13"/>
      <c r="AK311" s="242"/>
      <c r="AL311" s="242"/>
      <c r="AM311" s="242"/>
      <c r="AN311" s="242"/>
      <c r="AO311" s="242"/>
    </row>
    <row r="312">
      <c r="A312" s="242"/>
      <c r="B312" s="13"/>
      <c r="C312" s="242"/>
      <c r="D312" s="242"/>
      <c r="E312" s="242"/>
      <c r="F312" s="242"/>
      <c r="G312" s="13"/>
      <c r="H312" s="13"/>
      <c r="I312" s="13"/>
      <c r="J312" s="13"/>
      <c r="K312" s="13"/>
      <c r="L312" s="242"/>
      <c r="M312" s="242"/>
      <c r="N312" s="242"/>
      <c r="O312" s="242"/>
      <c r="P312" s="242"/>
      <c r="Q312" s="525"/>
      <c r="R312" s="242"/>
      <c r="S312" s="242"/>
      <c r="T312" s="242"/>
      <c r="U312" s="242"/>
      <c r="V312" s="242"/>
      <c r="W312" s="242"/>
      <c r="X312" s="242"/>
      <c r="Y312" s="242"/>
      <c r="Z312" s="242"/>
      <c r="AA312" s="242"/>
      <c r="AB312" s="242"/>
      <c r="AC312" s="242"/>
      <c r="AD312" s="242"/>
      <c r="AE312" s="242"/>
      <c r="AF312" s="242"/>
      <c r="AG312" s="242"/>
      <c r="AH312" s="242"/>
      <c r="AI312" s="242"/>
      <c r="AJ312" s="13"/>
      <c r="AK312" s="242"/>
      <c r="AL312" s="242"/>
      <c r="AM312" s="242"/>
      <c r="AN312" s="242"/>
      <c r="AO312" s="242"/>
    </row>
    <row r="313">
      <c r="A313" s="242"/>
      <c r="B313" s="13"/>
      <c r="C313" s="242"/>
      <c r="D313" s="242"/>
      <c r="E313" s="242"/>
      <c r="F313" s="242"/>
      <c r="G313" s="13"/>
      <c r="H313" s="13"/>
      <c r="I313" s="13"/>
      <c r="J313" s="13"/>
      <c r="K313" s="13"/>
      <c r="L313" s="242"/>
      <c r="M313" s="242"/>
      <c r="N313" s="242"/>
      <c r="O313" s="242"/>
      <c r="P313" s="242"/>
      <c r="Q313" s="525"/>
      <c r="R313" s="242"/>
      <c r="S313" s="242"/>
      <c r="T313" s="242"/>
      <c r="U313" s="242"/>
      <c r="V313" s="242"/>
      <c r="W313" s="242"/>
      <c r="X313" s="242"/>
      <c r="Y313" s="242"/>
      <c r="Z313" s="242"/>
      <c r="AA313" s="242"/>
      <c r="AB313" s="242"/>
      <c r="AC313" s="242"/>
      <c r="AD313" s="242"/>
      <c r="AE313" s="242"/>
      <c r="AF313" s="242"/>
      <c r="AG313" s="242"/>
      <c r="AH313" s="242"/>
      <c r="AI313" s="242"/>
      <c r="AJ313" s="13"/>
      <c r="AK313" s="242"/>
      <c r="AL313" s="242"/>
      <c r="AM313" s="242"/>
      <c r="AN313" s="242"/>
      <c r="AO313" s="242"/>
    </row>
    <row r="314">
      <c r="A314" s="242"/>
      <c r="B314" s="13"/>
      <c r="C314" s="242"/>
      <c r="D314" s="242"/>
      <c r="E314" s="242"/>
      <c r="F314" s="242"/>
      <c r="G314" s="13"/>
      <c r="H314" s="13"/>
      <c r="I314" s="13"/>
      <c r="J314" s="13"/>
      <c r="K314" s="13"/>
      <c r="L314" s="242"/>
      <c r="M314" s="242"/>
      <c r="N314" s="242"/>
      <c r="O314" s="242"/>
      <c r="P314" s="242"/>
      <c r="Q314" s="525"/>
      <c r="R314" s="242"/>
      <c r="S314" s="242"/>
      <c r="T314" s="242"/>
      <c r="U314" s="242"/>
      <c r="V314" s="242"/>
      <c r="W314" s="242"/>
      <c r="X314" s="242"/>
      <c r="Y314" s="242"/>
      <c r="Z314" s="242"/>
      <c r="AA314" s="242"/>
      <c r="AB314" s="242"/>
      <c r="AC314" s="242"/>
      <c r="AD314" s="242"/>
      <c r="AE314" s="242"/>
      <c r="AF314" s="242"/>
      <c r="AG314" s="242"/>
      <c r="AH314" s="242"/>
      <c r="AI314" s="242"/>
      <c r="AJ314" s="13"/>
      <c r="AK314" s="242"/>
      <c r="AL314" s="242"/>
      <c r="AM314" s="242"/>
      <c r="AN314" s="242"/>
      <c r="AO314" s="242"/>
    </row>
    <row r="315">
      <c r="A315" s="242"/>
      <c r="B315" s="13"/>
      <c r="C315" s="242"/>
      <c r="D315" s="242"/>
      <c r="E315" s="242"/>
      <c r="F315" s="242"/>
      <c r="G315" s="13"/>
      <c r="H315" s="13"/>
      <c r="I315" s="13"/>
      <c r="J315" s="13"/>
      <c r="K315" s="13"/>
      <c r="L315" s="242"/>
      <c r="M315" s="242"/>
      <c r="N315" s="242"/>
      <c r="O315" s="242"/>
      <c r="P315" s="242"/>
      <c r="Q315" s="525"/>
      <c r="R315" s="242"/>
      <c r="S315" s="242"/>
      <c r="T315" s="242"/>
      <c r="U315" s="242"/>
      <c r="V315" s="242"/>
      <c r="W315" s="242"/>
      <c r="X315" s="242"/>
      <c r="Y315" s="242"/>
      <c r="Z315" s="242"/>
      <c r="AA315" s="242"/>
      <c r="AB315" s="242"/>
      <c r="AC315" s="242"/>
      <c r="AD315" s="242"/>
      <c r="AE315" s="242"/>
      <c r="AF315" s="242"/>
      <c r="AG315" s="242"/>
      <c r="AH315" s="242"/>
      <c r="AI315" s="242"/>
      <c r="AJ315" s="13"/>
      <c r="AK315" s="242"/>
      <c r="AL315" s="242"/>
      <c r="AM315" s="242"/>
      <c r="AN315" s="242"/>
      <c r="AO315" s="242"/>
    </row>
    <row r="316">
      <c r="A316" s="242"/>
      <c r="B316" s="13"/>
      <c r="C316" s="242"/>
      <c r="D316" s="242"/>
      <c r="E316" s="242"/>
      <c r="F316" s="242"/>
      <c r="G316" s="13"/>
      <c r="H316" s="13"/>
      <c r="I316" s="13"/>
      <c r="J316" s="13"/>
      <c r="K316" s="13"/>
      <c r="L316" s="242"/>
      <c r="M316" s="242"/>
      <c r="N316" s="242"/>
      <c r="O316" s="242"/>
      <c r="P316" s="242"/>
      <c r="Q316" s="525"/>
      <c r="R316" s="242"/>
      <c r="S316" s="242"/>
      <c r="T316" s="242"/>
      <c r="U316" s="242"/>
      <c r="V316" s="242"/>
      <c r="W316" s="242"/>
      <c r="X316" s="242"/>
      <c r="Y316" s="242"/>
      <c r="Z316" s="242"/>
      <c r="AA316" s="242"/>
      <c r="AB316" s="242"/>
      <c r="AC316" s="242"/>
      <c r="AD316" s="242"/>
      <c r="AE316" s="242"/>
      <c r="AF316" s="242"/>
      <c r="AG316" s="242"/>
      <c r="AH316" s="242"/>
      <c r="AI316" s="242"/>
      <c r="AJ316" s="13"/>
      <c r="AK316" s="242"/>
      <c r="AL316" s="242"/>
      <c r="AM316" s="242"/>
      <c r="AN316" s="242"/>
      <c r="AO316" s="242"/>
    </row>
    <row r="317">
      <c r="A317" s="242"/>
      <c r="B317" s="13"/>
      <c r="C317" s="242"/>
      <c r="D317" s="242"/>
      <c r="E317" s="242"/>
      <c r="F317" s="242"/>
      <c r="G317" s="13"/>
      <c r="H317" s="13"/>
      <c r="I317" s="13"/>
      <c r="J317" s="13"/>
      <c r="K317" s="13"/>
      <c r="L317" s="242"/>
      <c r="M317" s="242"/>
      <c r="N317" s="242"/>
      <c r="O317" s="242"/>
      <c r="P317" s="242"/>
      <c r="Q317" s="525"/>
      <c r="R317" s="242"/>
      <c r="S317" s="242"/>
      <c r="T317" s="242"/>
      <c r="U317" s="242"/>
      <c r="V317" s="242"/>
      <c r="W317" s="242"/>
      <c r="X317" s="242"/>
      <c r="Y317" s="242"/>
      <c r="Z317" s="242"/>
      <c r="AA317" s="242"/>
      <c r="AB317" s="242"/>
      <c r="AC317" s="242"/>
      <c r="AD317" s="242"/>
      <c r="AE317" s="242"/>
      <c r="AF317" s="242"/>
      <c r="AG317" s="242"/>
      <c r="AH317" s="242"/>
      <c r="AI317" s="242"/>
      <c r="AJ317" s="13"/>
      <c r="AK317" s="242"/>
      <c r="AL317" s="242"/>
      <c r="AM317" s="242"/>
      <c r="AN317" s="242"/>
      <c r="AO317" s="242"/>
    </row>
    <row r="318">
      <c r="A318" s="242"/>
      <c r="B318" s="13"/>
      <c r="C318" s="242"/>
      <c r="D318" s="242"/>
      <c r="E318" s="242"/>
      <c r="F318" s="242"/>
      <c r="G318" s="13"/>
      <c r="H318" s="13"/>
      <c r="I318" s="13"/>
      <c r="J318" s="13"/>
      <c r="K318" s="13"/>
      <c r="L318" s="242"/>
      <c r="M318" s="242"/>
      <c r="N318" s="242"/>
      <c r="O318" s="242"/>
      <c r="P318" s="242"/>
      <c r="Q318" s="525"/>
      <c r="R318" s="242"/>
      <c r="S318" s="242"/>
      <c r="T318" s="242"/>
      <c r="U318" s="242"/>
      <c r="V318" s="242"/>
      <c r="W318" s="242"/>
      <c r="X318" s="242"/>
      <c r="Y318" s="242"/>
      <c r="Z318" s="242"/>
      <c r="AA318" s="242"/>
      <c r="AB318" s="242"/>
      <c r="AC318" s="242"/>
      <c r="AD318" s="242"/>
      <c r="AE318" s="242"/>
      <c r="AF318" s="242"/>
      <c r="AG318" s="242"/>
      <c r="AH318" s="242"/>
      <c r="AI318" s="242"/>
      <c r="AJ318" s="13"/>
      <c r="AK318" s="242"/>
      <c r="AL318" s="242"/>
      <c r="AM318" s="242"/>
      <c r="AN318" s="242"/>
      <c r="AO318" s="242"/>
    </row>
    <row r="319">
      <c r="A319" s="242"/>
      <c r="B319" s="13"/>
      <c r="C319" s="242"/>
      <c r="D319" s="242"/>
      <c r="E319" s="242"/>
      <c r="F319" s="242"/>
      <c r="G319" s="13"/>
      <c r="H319" s="13"/>
      <c r="I319" s="13"/>
      <c r="J319" s="13"/>
      <c r="K319" s="13"/>
      <c r="L319" s="242"/>
      <c r="M319" s="242"/>
      <c r="N319" s="242"/>
      <c r="O319" s="242"/>
      <c r="P319" s="242"/>
      <c r="Q319" s="525"/>
      <c r="R319" s="242"/>
      <c r="S319" s="242"/>
      <c r="T319" s="242"/>
      <c r="U319" s="242"/>
      <c r="V319" s="242"/>
      <c r="W319" s="242"/>
      <c r="X319" s="242"/>
      <c r="Y319" s="242"/>
      <c r="Z319" s="242"/>
      <c r="AA319" s="242"/>
      <c r="AB319" s="242"/>
      <c r="AC319" s="242"/>
      <c r="AD319" s="242"/>
      <c r="AE319" s="242"/>
      <c r="AF319" s="242"/>
      <c r="AG319" s="242"/>
      <c r="AH319" s="242"/>
      <c r="AI319" s="242"/>
      <c r="AJ319" s="13"/>
      <c r="AK319" s="242"/>
      <c r="AL319" s="242"/>
      <c r="AM319" s="242"/>
      <c r="AN319" s="242"/>
      <c r="AO319" s="242"/>
    </row>
    <row r="320">
      <c r="A320" s="242"/>
      <c r="B320" s="13"/>
      <c r="C320" s="242"/>
      <c r="D320" s="242"/>
      <c r="E320" s="242"/>
      <c r="F320" s="242"/>
      <c r="G320" s="13"/>
      <c r="H320" s="13"/>
      <c r="I320" s="13"/>
      <c r="J320" s="13"/>
      <c r="K320" s="13"/>
      <c r="L320" s="242"/>
      <c r="M320" s="242"/>
      <c r="N320" s="242"/>
      <c r="O320" s="242"/>
      <c r="P320" s="242"/>
      <c r="Q320" s="525"/>
      <c r="R320" s="242"/>
      <c r="S320" s="242"/>
      <c r="T320" s="242"/>
      <c r="U320" s="242"/>
      <c r="V320" s="242"/>
      <c r="W320" s="242"/>
      <c r="X320" s="242"/>
      <c r="Y320" s="242"/>
      <c r="Z320" s="242"/>
      <c r="AA320" s="242"/>
      <c r="AB320" s="242"/>
      <c r="AC320" s="242"/>
      <c r="AD320" s="242"/>
      <c r="AE320" s="242"/>
      <c r="AF320" s="242"/>
      <c r="AG320" s="242"/>
      <c r="AH320" s="242"/>
      <c r="AI320" s="242"/>
      <c r="AJ320" s="13"/>
      <c r="AK320" s="242"/>
      <c r="AL320" s="242"/>
      <c r="AM320" s="242"/>
      <c r="AN320" s="242"/>
      <c r="AO320" s="242"/>
    </row>
    <row r="321">
      <c r="A321" s="242"/>
      <c r="B321" s="13"/>
      <c r="C321" s="242"/>
      <c r="D321" s="242"/>
      <c r="E321" s="242"/>
      <c r="F321" s="242"/>
      <c r="G321" s="13"/>
      <c r="H321" s="13"/>
      <c r="I321" s="13"/>
      <c r="J321" s="13"/>
      <c r="K321" s="13"/>
      <c r="L321" s="242"/>
      <c r="M321" s="242"/>
      <c r="N321" s="242"/>
      <c r="O321" s="242"/>
      <c r="P321" s="242"/>
      <c r="Q321" s="525"/>
      <c r="R321" s="242"/>
      <c r="S321" s="242"/>
      <c r="T321" s="242"/>
      <c r="U321" s="242"/>
      <c r="V321" s="242"/>
      <c r="W321" s="242"/>
      <c r="X321" s="242"/>
      <c r="Y321" s="242"/>
      <c r="Z321" s="242"/>
      <c r="AA321" s="242"/>
      <c r="AB321" s="242"/>
      <c r="AC321" s="242"/>
      <c r="AD321" s="242"/>
      <c r="AE321" s="242"/>
      <c r="AF321" s="242"/>
      <c r="AG321" s="242"/>
      <c r="AH321" s="242"/>
      <c r="AI321" s="242"/>
      <c r="AJ321" s="13"/>
      <c r="AK321" s="242"/>
      <c r="AL321" s="242"/>
      <c r="AM321" s="242"/>
      <c r="AN321" s="242"/>
      <c r="AO321" s="242"/>
    </row>
    <row r="322">
      <c r="A322" s="242"/>
      <c r="B322" s="13"/>
      <c r="C322" s="242"/>
      <c r="D322" s="242"/>
      <c r="E322" s="242"/>
      <c r="F322" s="242"/>
      <c r="G322" s="13"/>
      <c r="H322" s="13"/>
      <c r="I322" s="13"/>
      <c r="J322" s="13"/>
      <c r="K322" s="13"/>
      <c r="L322" s="242"/>
      <c r="M322" s="242"/>
      <c r="N322" s="242"/>
      <c r="O322" s="242"/>
      <c r="P322" s="242"/>
      <c r="Q322" s="525"/>
      <c r="R322" s="242"/>
      <c r="S322" s="242"/>
      <c r="T322" s="242"/>
      <c r="U322" s="242"/>
      <c r="V322" s="242"/>
      <c r="W322" s="242"/>
      <c r="X322" s="242"/>
      <c r="Y322" s="242"/>
      <c r="Z322" s="242"/>
      <c r="AA322" s="242"/>
      <c r="AB322" s="242"/>
      <c r="AC322" s="242"/>
      <c r="AD322" s="242"/>
      <c r="AE322" s="242"/>
      <c r="AF322" s="242"/>
      <c r="AG322" s="242"/>
      <c r="AH322" s="242"/>
      <c r="AI322" s="242"/>
      <c r="AJ322" s="13"/>
      <c r="AK322" s="242"/>
      <c r="AL322" s="242"/>
      <c r="AM322" s="242"/>
      <c r="AN322" s="242"/>
      <c r="AO322" s="242"/>
    </row>
    <row r="323">
      <c r="A323" s="242"/>
      <c r="B323" s="13"/>
      <c r="C323" s="242"/>
      <c r="D323" s="242"/>
      <c r="E323" s="242"/>
      <c r="F323" s="242"/>
      <c r="G323" s="13"/>
      <c r="H323" s="13"/>
      <c r="I323" s="13"/>
      <c r="J323" s="13"/>
      <c r="K323" s="13"/>
      <c r="L323" s="242"/>
      <c r="M323" s="242"/>
      <c r="N323" s="242"/>
      <c r="O323" s="242"/>
      <c r="P323" s="242"/>
      <c r="Q323" s="525"/>
      <c r="R323" s="242"/>
      <c r="S323" s="242"/>
      <c r="T323" s="242"/>
      <c r="U323" s="242"/>
      <c r="V323" s="242"/>
      <c r="W323" s="242"/>
      <c r="X323" s="242"/>
      <c r="Y323" s="242"/>
      <c r="Z323" s="242"/>
      <c r="AA323" s="242"/>
      <c r="AB323" s="242"/>
      <c r="AC323" s="242"/>
      <c r="AD323" s="242"/>
      <c r="AE323" s="242"/>
      <c r="AF323" s="242"/>
      <c r="AG323" s="242"/>
      <c r="AH323" s="242"/>
      <c r="AI323" s="242"/>
      <c r="AJ323" s="13"/>
      <c r="AK323" s="242"/>
      <c r="AL323" s="242"/>
      <c r="AM323" s="242"/>
      <c r="AN323" s="242"/>
      <c r="AO323" s="242"/>
    </row>
    <row r="324">
      <c r="A324" s="242"/>
      <c r="B324" s="13"/>
      <c r="C324" s="242"/>
      <c r="D324" s="242"/>
      <c r="E324" s="242"/>
      <c r="F324" s="242"/>
      <c r="G324" s="13"/>
      <c r="H324" s="13"/>
      <c r="I324" s="13"/>
      <c r="J324" s="13"/>
      <c r="K324" s="13"/>
      <c r="L324" s="242"/>
      <c r="M324" s="242"/>
      <c r="N324" s="242"/>
      <c r="O324" s="242"/>
      <c r="P324" s="242"/>
      <c r="Q324" s="525"/>
      <c r="R324" s="242"/>
      <c r="S324" s="242"/>
      <c r="T324" s="242"/>
      <c r="U324" s="242"/>
      <c r="V324" s="242"/>
      <c r="W324" s="242"/>
      <c r="X324" s="242"/>
      <c r="Y324" s="242"/>
      <c r="Z324" s="242"/>
      <c r="AA324" s="242"/>
      <c r="AB324" s="242"/>
      <c r="AC324" s="242"/>
      <c r="AD324" s="242"/>
      <c r="AE324" s="242"/>
      <c r="AF324" s="242"/>
      <c r="AG324" s="242"/>
      <c r="AH324" s="242"/>
      <c r="AI324" s="242"/>
      <c r="AJ324" s="13"/>
      <c r="AK324" s="242"/>
      <c r="AL324" s="242"/>
      <c r="AM324" s="242"/>
      <c r="AN324" s="242"/>
      <c r="AO324" s="242"/>
    </row>
    <row r="325">
      <c r="A325" s="242"/>
      <c r="B325" s="13"/>
      <c r="C325" s="242"/>
      <c r="D325" s="242"/>
      <c r="E325" s="242"/>
      <c r="F325" s="242"/>
      <c r="G325" s="13"/>
      <c r="H325" s="13"/>
      <c r="I325" s="13"/>
      <c r="J325" s="13"/>
      <c r="K325" s="13"/>
      <c r="L325" s="242"/>
      <c r="M325" s="242"/>
      <c r="N325" s="242"/>
      <c r="O325" s="242"/>
      <c r="P325" s="242"/>
      <c r="Q325" s="525"/>
      <c r="R325" s="242"/>
      <c r="S325" s="242"/>
      <c r="T325" s="242"/>
      <c r="U325" s="242"/>
      <c r="V325" s="242"/>
      <c r="W325" s="242"/>
      <c r="X325" s="242"/>
      <c r="Y325" s="242"/>
      <c r="Z325" s="242"/>
      <c r="AA325" s="242"/>
      <c r="AB325" s="242"/>
      <c r="AC325" s="242"/>
      <c r="AD325" s="242"/>
      <c r="AE325" s="242"/>
      <c r="AF325" s="242"/>
      <c r="AG325" s="242"/>
      <c r="AH325" s="242"/>
      <c r="AI325" s="242"/>
      <c r="AJ325" s="13"/>
      <c r="AK325" s="242"/>
      <c r="AL325" s="242"/>
      <c r="AM325" s="242"/>
      <c r="AN325" s="242"/>
      <c r="AO325" s="242"/>
    </row>
    <row r="326">
      <c r="A326" s="242"/>
      <c r="B326" s="13"/>
      <c r="C326" s="242"/>
      <c r="D326" s="242"/>
      <c r="E326" s="242"/>
      <c r="F326" s="242"/>
      <c r="G326" s="13"/>
      <c r="H326" s="13"/>
      <c r="I326" s="13"/>
      <c r="J326" s="13"/>
      <c r="K326" s="13"/>
      <c r="L326" s="242"/>
      <c r="M326" s="242"/>
      <c r="N326" s="242"/>
      <c r="O326" s="242"/>
      <c r="P326" s="242"/>
      <c r="Q326" s="525"/>
      <c r="R326" s="242"/>
      <c r="S326" s="242"/>
      <c r="T326" s="242"/>
      <c r="U326" s="242"/>
      <c r="V326" s="242"/>
      <c r="W326" s="242"/>
      <c r="X326" s="242"/>
      <c r="Y326" s="242"/>
      <c r="Z326" s="242"/>
      <c r="AA326" s="242"/>
      <c r="AB326" s="242"/>
      <c r="AC326" s="242"/>
      <c r="AD326" s="242"/>
      <c r="AE326" s="242"/>
      <c r="AF326" s="242"/>
      <c r="AG326" s="242"/>
      <c r="AH326" s="242"/>
      <c r="AI326" s="242"/>
      <c r="AJ326" s="13"/>
      <c r="AK326" s="242"/>
      <c r="AL326" s="242"/>
      <c r="AM326" s="242"/>
      <c r="AN326" s="242"/>
      <c r="AO326" s="242"/>
    </row>
    <row r="327">
      <c r="A327" s="242"/>
      <c r="B327" s="13"/>
      <c r="C327" s="242"/>
      <c r="D327" s="242"/>
      <c r="E327" s="242"/>
      <c r="F327" s="242"/>
      <c r="G327" s="13"/>
      <c r="H327" s="13"/>
      <c r="I327" s="13"/>
      <c r="J327" s="13"/>
      <c r="K327" s="13"/>
      <c r="L327" s="242"/>
      <c r="M327" s="242"/>
      <c r="N327" s="242"/>
      <c r="O327" s="242"/>
      <c r="P327" s="242"/>
      <c r="Q327" s="525"/>
      <c r="R327" s="242"/>
      <c r="S327" s="242"/>
      <c r="T327" s="242"/>
      <c r="U327" s="242"/>
      <c r="V327" s="242"/>
      <c r="W327" s="242"/>
      <c r="X327" s="242"/>
      <c r="Y327" s="242"/>
      <c r="Z327" s="242"/>
      <c r="AA327" s="242"/>
      <c r="AB327" s="242"/>
      <c r="AC327" s="242"/>
      <c r="AD327" s="242"/>
      <c r="AE327" s="242"/>
      <c r="AF327" s="242"/>
      <c r="AG327" s="242"/>
      <c r="AH327" s="242"/>
      <c r="AI327" s="242"/>
      <c r="AJ327" s="13"/>
      <c r="AK327" s="242"/>
      <c r="AL327" s="242"/>
      <c r="AM327" s="242"/>
      <c r="AN327" s="242"/>
      <c r="AO327" s="242"/>
    </row>
    <row r="328">
      <c r="A328" s="242"/>
      <c r="B328" s="13"/>
      <c r="C328" s="242"/>
      <c r="D328" s="242"/>
      <c r="E328" s="242"/>
      <c r="F328" s="242"/>
      <c r="G328" s="13"/>
      <c r="H328" s="13"/>
      <c r="I328" s="13"/>
      <c r="J328" s="13"/>
      <c r="K328" s="13"/>
      <c r="L328" s="242"/>
      <c r="M328" s="242"/>
      <c r="N328" s="242"/>
      <c r="O328" s="242"/>
      <c r="P328" s="242"/>
      <c r="Q328" s="525"/>
      <c r="R328" s="242"/>
      <c r="S328" s="242"/>
      <c r="T328" s="242"/>
      <c r="U328" s="242"/>
      <c r="V328" s="242"/>
      <c r="W328" s="242"/>
      <c r="X328" s="242"/>
      <c r="Y328" s="242"/>
      <c r="Z328" s="242"/>
      <c r="AA328" s="242"/>
      <c r="AB328" s="242"/>
      <c r="AC328" s="242"/>
      <c r="AD328" s="242"/>
      <c r="AE328" s="242"/>
      <c r="AF328" s="242"/>
      <c r="AG328" s="242"/>
      <c r="AH328" s="242"/>
      <c r="AI328" s="242"/>
      <c r="AJ328" s="13"/>
      <c r="AK328" s="242"/>
      <c r="AL328" s="242"/>
      <c r="AM328" s="242"/>
      <c r="AN328" s="242"/>
      <c r="AO328" s="242"/>
    </row>
    <row r="329">
      <c r="A329" s="242"/>
      <c r="B329" s="13"/>
      <c r="C329" s="242"/>
      <c r="D329" s="242"/>
      <c r="E329" s="242"/>
      <c r="F329" s="242"/>
      <c r="G329" s="13"/>
      <c r="H329" s="13"/>
      <c r="I329" s="13"/>
      <c r="J329" s="13"/>
      <c r="K329" s="13"/>
      <c r="L329" s="242"/>
      <c r="M329" s="242"/>
      <c r="N329" s="242"/>
      <c r="O329" s="242"/>
      <c r="P329" s="242"/>
      <c r="Q329" s="525"/>
      <c r="R329" s="242"/>
      <c r="S329" s="242"/>
      <c r="T329" s="242"/>
      <c r="U329" s="242"/>
      <c r="V329" s="242"/>
      <c r="W329" s="242"/>
      <c r="X329" s="242"/>
      <c r="Y329" s="242"/>
      <c r="Z329" s="242"/>
      <c r="AA329" s="242"/>
      <c r="AB329" s="242"/>
      <c r="AC329" s="242"/>
      <c r="AD329" s="242"/>
      <c r="AE329" s="242"/>
      <c r="AF329" s="242"/>
      <c r="AG329" s="242"/>
      <c r="AH329" s="242"/>
      <c r="AI329" s="242"/>
      <c r="AJ329" s="13"/>
      <c r="AK329" s="242"/>
      <c r="AL329" s="242"/>
      <c r="AM329" s="242"/>
      <c r="AN329" s="242"/>
      <c r="AO329" s="242"/>
    </row>
    <row r="330">
      <c r="A330" s="242"/>
      <c r="B330" s="13"/>
      <c r="C330" s="242"/>
      <c r="D330" s="242"/>
      <c r="E330" s="242"/>
      <c r="F330" s="242"/>
      <c r="G330" s="13"/>
      <c r="H330" s="13"/>
      <c r="I330" s="13"/>
      <c r="J330" s="13"/>
      <c r="K330" s="13"/>
      <c r="L330" s="242"/>
      <c r="M330" s="242"/>
      <c r="N330" s="242"/>
      <c r="O330" s="242"/>
      <c r="P330" s="242"/>
      <c r="Q330" s="525"/>
      <c r="R330" s="242"/>
      <c r="S330" s="242"/>
      <c r="T330" s="242"/>
      <c r="U330" s="242"/>
      <c r="V330" s="242"/>
      <c r="W330" s="242"/>
      <c r="X330" s="242"/>
      <c r="Y330" s="242"/>
      <c r="Z330" s="242"/>
      <c r="AA330" s="242"/>
      <c r="AB330" s="242"/>
      <c r="AC330" s="242"/>
      <c r="AD330" s="242"/>
      <c r="AE330" s="242"/>
      <c r="AF330" s="242"/>
      <c r="AG330" s="242"/>
      <c r="AH330" s="242"/>
      <c r="AI330" s="242"/>
      <c r="AJ330" s="13"/>
      <c r="AK330" s="242"/>
      <c r="AL330" s="242"/>
      <c r="AM330" s="242"/>
      <c r="AN330" s="242"/>
      <c r="AO330" s="242"/>
    </row>
    <row r="331">
      <c r="A331" s="242"/>
      <c r="B331" s="13"/>
      <c r="C331" s="242"/>
      <c r="D331" s="242"/>
      <c r="E331" s="242"/>
      <c r="F331" s="242"/>
      <c r="G331" s="13"/>
      <c r="H331" s="13"/>
      <c r="I331" s="13"/>
      <c r="J331" s="13"/>
      <c r="K331" s="13"/>
      <c r="L331" s="242"/>
      <c r="M331" s="242"/>
      <c r="N331" s="242"/>
      <c r="O331" s="242"/>
      <c r="P331" s="242"/>
      <c r="Q331" s="525"/>
      <c r="R331" s="242"/>
      <c r="S331" s="242"/>
      <c r="T331" s="242"/>
      <c r="U331" s="242"/>
      <c r="V331" s="242"/>
      <c r="W331" s="242"/>
      <c r="X331" s="242"/>
      <c r="Y331" s="242"/>
      <c r="Z331" s="242"/>
      <c r="AA331" s="242"/>
      <c r="AB331" s="242"/>
      <c r="AC331" s="242"/>
      <c r="AD331" s="242"/>
      <c r="AE331" s="242"/>
      <c r="AF331" s="242"/>
      <c r="AG331" s="242"/>
      <c r="AH331" s="242"/>
      <c r="AI331" s="242"/>
      <c r="AJ331" s="13"/>
      <c r="AK331" s="242"/>
      <c r="AL331" s="242"/>
      <c r="AM331" s="242"/>
      <c r="AN331" s="242"/>
      <c r="AO331" s="242"/>
    </row>
    <row r="332">
      <c r="A332" s="242"/>
      <c r="B332" s="13"/>
      <c r="C332" s="242"/>
      <c r="D332" s="242"/>
      <c r="E332" s="242"/>
      <c r="F332" s="242"/>
      <c r="G332" s="13"/>
      <c r="H332" s="13"/>
      <c r="I332" s="13"/>
      <c r="J332" s="13"/>
      <c r="K332" s="13"/>
      <c r="L332" s="242"/>
      <c r="M332" s="242"/>
      <c r="N332" s="242"/>
      <c r="O332" s="242"/>
      <c r="P332" s="242"/>
      <c r="Q332" s="525"/>
      <c r="R332" s="242"/>
      <c r="S332" s="242"/>
      <c r="T332" s="242"/>
      <c r="U332" s="242"/>
      <c r="V332" s="242"/>
      <c r="W332" s="242"/>
      <c r="X332" s="242"/>
      <c r="Y332" s="242"/>
      <c r="Z332" s="242"/>
      <c r="AA332" s="242"/>
      <c r="AB332" s="242"/>
      <c r="AC332" s="242"/>
      <c r="AD332" s="242"/>
      <c r="AE332" s="242"/>
      <c r="AF332" s="242"/>
      <c r="AG332" s="242"/>
      <c r="AH332" s="242"/>
      <c r="AI332" s="242"/>
      <c r="AJ332" s="13"/>
      <c r="AK332" s="242"/>
      <c r="AL332" s="242"/>
      <c r="AM332" s="242"/>
      <c r="AN332" s="242"/>
      <c r="AO332" s="242"/>
    </row>
    <row r="333">
      <c r="A333" s="242"/>
      <c r="B333" s="13"/>
      <c r="C333" s="242"/>
      <c r="D333" s="242"/>
      <c r="E333" s="242"/>
      <c r="F333" s="242"/>
      <c r="G333" s="13"/>
      <c r="H333" s="13"/>
      <c r="I333" s="13"/>
      <c r="J333" s="13"/>
      <c r="K333" s="13"/>
      <c r="L333" s="242"/>
      <c r="M333" s="242"/>
      <c r="N333" s="242"/>
      <c r="O333" s="242"/>
      <c r="P333" s="242"/>
      <c r="Q333" s="525"/>
      <c r="R333" s="242"/>
      <c r="S333" s="242"/>
      <c r="T333" s="242"/>
      <c r="U333" s="242"/>
      <c r="V333" s="242"/>
      <c r="W333" s="242"/>
      <c r="X333" s="242"/>
      <c r="Y333" s="242"/>
      <c r="Z333" s="242"/>
      <c r="AA333" s="242"/>
      <c r="AB333" s="242"/>
      <c r="AC333" s="242"/>
      <c r="AD333" s="242"/>
      <c r="AE333" s="242"/>
      <c r="AF333" s="242"/>
      <c r="AG333" s="242"/>
      <c r="AH333" s="242"/>
      <c r="AI333" s="242"/>
      <c r="AJ333" s="13"/>
      <c r="AK333" s="242"/>
      <c r="AL333" s="242"/>
      <c r="AM333" s="242"/>
      <c r="AN333" s="242"/>
      <c r="AO333" s="242"/>
    </row>
    <row r="334">
      <c r="A334" s="242"/>
      <c r="B334" s="13"/>
      <c r="C334" s="242"/>
      <c r="D334" s="242"/>
      <c r="E334" s="242"/>
      <c r="F334" s="242"/>
      <c r="G334" s="13"/>
      <c r="H334" s="13"/>
      <c r="I334" s="13"/>
      <c r="J334" s="13"/>
      <c r="K334" s="13"/>
      <c r="L334" s="242"/>
      <c r="M334" s="242"/>
      <c r="N334" s="242"/>
      <c r="O334" s="242"/>
      <c r="P334" s="242"/>
      <c r="Q334" s="525"/>
      <c r="R334" s="242"/>
      <c r="S334" s="242"/>
      <c r="T334" s="242"/>
      <c r="U334" s="242"/>
      <c r="V334" s="242"/>
      <c r="W334" s="242"/>
      <c r="X334" s="242"/>
      <c r="Y334" s="242"/>
      <c r="Z334" s="242"/>
      <c r="AA334" s="242"/>
      <c r="AB334" s="242"/>
      <c r="AC334" s="242"/>
      <c r="AD334" s="242"/>
      <c r="AE334" s="242"/>
      <c r="AF334" s="242"/>
      <c r="AG334" s="242"/>
      <c r="AH334" s="242"/>
      <c r="AI334" s="242"/>
      <c r="AJ334" s="13"/>
      <c r="AK334" s="242"/>
      <c r="AL334" s="242"/>
      <c r="AM334" s="242"/>
      <c r="AN334" s="242"/>
      <c r="AO334" s="242"/>
    </row>
    <row r="335">
      <c r="A335" s="242"/>
      <c r="B335" s="13"/>
      <c r="C335" s="242"/>
      <c r="D335" s="242"/>
      <c r="E335" s="242"/>
      <c r="F335" s="242"/>
      <c r="G335" s="13"/>
      <c r="H335" s="13"/>
      <c r="I335" s="13"/>
      <c r="J335" s="13"/>
      <c r="K335" s="13"/>
      <c r="L335" s="242"/>
      <c r="M335" s="242"/>
      <c r="N335" s="242"/>
      <c r="O335" s="242"/>
      <c r="P335" s="242"/>
      <c r="Q335" s="525"/>
      <c r="R335" s="242"/>
      <c r="S335" s="242"/>
      <c r="T335" s="242"/>
      <c r="U335" s="242"/>
      <c r="V335" s="242"/>
      <c r="W335" s="242"/>
      <c r="X335" s="242"/>
      <c r="Y335" s="242"/>
      <c r="Z335" s="242"/>
      <c r="AA335" s="242"/>
      <c r="AB335" s="242"/>
      <c r="AC335" s="242"/>
      <c r="AD335" s="242"/>
      <c r="AE335" s="242"/>
      <c r="AF335" s="242"/>
      <c r="AG335" s="242"/>
      <c r="AH335" s="242"/>
      <c r="AI335" s="242"/>
      <c r="AJ335" s="13"/>
      <c r="AK335" s="242"/>
      <c r="AL335" s="242"/>
      <c r="AM335" s="242"/>
      <c r="AN335" s="242"/>
      <c r="AO335" s="242"/>
    </row>
    <row r="336">
      <c r="A336" s="242"/>
      <c r="B336" s="13"/>
      <c r="C336" s="242"/>
      <c r="D336" s="242"/>
      <c r="E336" s="242"/>
      <c r="F336" s="242"/>
      <c r="G336" s="13"/>
      <c r="H336" s="13"/>
      <c r="I336" s="13"/>
      <c r="J336" s="13"/>
      <c r="K336" s="13"/>
      <c r="L336" s="242"/>
      <c r="M336" s="242"/>
      <c r="N336" s="242"/>
      <c r="O336" s="242"/>
      <c r="P336" s="242"/>
      <c r="Q336" s="525"/>
      <c r="R336" s="242"/>
      <c r="S336" s="242"/>
      <c r="T336" s="242"/>
      <c r="U336" s="242"/>
      <c r="V336" s="242"/>
      <c r="W336" s="242"/>
      <c r="X336" s="242"/>
      <c r="Y336" s="242"/>
      <c r="Z336" s="242"/>
      <c r="AA336" s="242"/>
      <c r="AB336" s="242"/>
      <c r="AC336" s="242"/>
      <c r="AD336" s="242"/>
      <c r="AE336" s="242"/>
      <c r="AF336" s="242"/>
      <c r="AG336" s="242"/>
      <c r="AH336" s="242"/>
      <c r="AI336" s="242"/>
      <c r="AJ336" s="13"/>
      <c r="AK336" s="242"/>
      <c r="AL336" s="242"/>
      <c r="AM336" s="242"/>
      <c r="AN336" s="242"/>
      <c r="AO336" s="242"/>
    </row>
    <row r="337">
      <c r="A337" s="242"/>
      <c r="B337" s="13"/>
      <c r="C337" s="242"/>
      <c r="D337" s="242"/>
      <c r="E337" s="242"/>
      <c r="F337" s="242"/>
      <c r="G337" s="13"/>
      <c r="H337" s="13"/>
      <c r="I337" s="13"/>
      <c r="J337" s="13"/>
      <c r="K337" s="13"/>
      <c r="L337" s="242"/>
      <c r="M337" s="242"/>
      <c r="N337" s="242"/>
      <c r="O337" s="242"/>
      <c r="P337" s="242"/>
      <c r="Q337" s="525"/>
      <c r="R337" s="242"/>
      <c r="S337" s="242"/>
      <c r="T337" s="242"/>
      <c r="U337" s="242"/>
      <c r="V337" s="242"/>
      <c r="W337" s="242"/>
      <c r="X337" s="242"/>
      <c r="Y337" s="242"/>
      <c r="Z337" s="242"/>
      <c r="AA337" s="242"/>
      <c r="AB337" s="242"/>
      <c r="AC337" s="242"/>
      <c r="AD337" s="242"/>
      <c r="AE337" s="242"/>
      <c r="AF337" s="242"/>
      <c r="AG337" s="242"/>
      <c r="AH337" s="242"/>
      <c r="AI337" s="242"/>
      <c r="AJ337" s="13"/>
      <c r="AK337" s="242"/>
      <c r="AL337" s="242"/>
      <c r="AM337" s="242"/>
      <c r="AN337" s="242"/>
      <c r="AO337" s="242"/>
    </row>
    <row r="338">
      <c r="A338" s="242"/>
      <c r="B338" s="13"/>
      <c r="C338" s="242"/>
      <c r="D338" s="242"/>
      <c r="E338" s="242"/>
      <c r="F338" s="242"/>
      <c r="G338" s="13"/>
      <c r="H338" s="13"/>
      <c r="I338" s="13"/>
      <c r="J338" s="13"/>
      <c r="K338" s="13"/>
      <c r="L338" s="242"/>
      <c r="M338" s="242"/>
      <c r="N338" s="242"/>
      <c r="O338" s="242"/>
      <c r="P338" s="242"/>
      <c r="Q338" s="525"/>
      <c r="R338" s="242"/>
      <c r="S338" s="242"/>
      <c r="T338" s="242"/>
      <c r="U338" s="242"/>
      <c r="V338" s="242"/>
      <c r="W338" s="242"/>
      <c r="X338" s="242"/>
      <c r="Y338" s="242"/>
      <c r="Z338" s="242"/>
      <c r="AA338" s="242"/>
      <c r="AB338" s="242"/>
      <c r="AC338" s="242"/>
      <c r="AD338" s="242"/>
      <c r="AE338" s="242"/>
      <c r="AF338" s="242"/>
      <c r="AG338" s="242"/>
      <c r="AH338" s="242"/>
      <c r="AI338" s="242"/>
      <c r="AJ338" s="13"/>
      <c r="AK338" s="242"/>
      <c r="AL338" s="242"/>
      <c r="AM338" s="242"/>
      <c r="AN338" s="242"/>
      <c r="AO338" s="242"/>
    </row>
    <row r="339">
      <c r="A339" s="242"/>
      <c r="B339" s="13"/>
      <c r="C339" s="242"/>
      <c r="D339" s="242"/>
      <c r="E339" s="242"/>
      <c r="F339" s="242"/>
      <c r="G339" s="13"/>
      <c r="H339" s="13"/>
      <c r="I339" s="13"/>
      <c r="J339" s="13"/>
      <c r="K339" s="13"/>
      <c r="L339" s="242"/>
      <c r="M339" s="242"/>
      <c r="N339" s="242"/>
      <c r="O339" s="242"/>
      <c r="P339" s="242"/>
      <c r="Q339" s="525"/>
      <c r="R339" s="242"/>
      <c r="S339" s="242"/>
      <c r="T339" s="242"/>
      <c r="U339" s="242"/>
      <c r="V339" s="242"/>
      <c r="W339" s="242"/>
      <c r="X339" s="242"/>
      <c r="Y339" s="242"/>
      <c r="Z339" s="242"/>
      <c r="AA339" s="242"/>
      <c r="AB339" s="242"/>
      <c r="AC339" s="242"/>
      <c r="AD339" s="242"/>
      <c r="AE339" s="242"/>
      <c r="AF339" s="242"/>
      <c r="AG339" s="242"/>
      <c r="AH339" s="242"/>
      <c r="AI339" s="242"/>
      <c r="AJ339" s="13"/>
      <c r="AK339" s="242"/>
      <c r="AL339" s="242"/>
      <c r="AM339" s="242"/>
      <c r="AN339" s="242"/>
      <c r="AO339" s="242"/>
    </row>
    <row r="340">
      <c r="A340" s="242"/>
      <c r="B340" s="13"/>
      <c r="C340" s="242"/>
      <c r="D340" s="242"/>
      <c r="E340" s="242"/>
      <c r="F340" s="242"/>
      <c r="G340" s="13"/>
      <c r="H340" s="13"/>
      <c r="I340" s="13"/>
      <c r="J340" s="13"/>
      <c r="K340" s="13"/>
      <c r="L340" s="242"/>
      <c r="M340" s="242"/>
      <c r="N340" s="242"/>
      <c r="O340" s="242"/>
      <c r="P340" s="242"/>
      <c r="Q340" s="525"/>
      <c r="R340" s="242"/>
      <c r="S340" s="242"/>
      <c r="T340" s="242"/>
      <c r="U340" s="242"/>
      <c r="V340" s="242"/>
      <c r="W340" s="242"/>
      <c r="X340" s="242"/>
      <c r="Y340" s="242"/>
      <c r="Z340" s="242"/>
      <c r="AA340" s="242"/>
      <c r="AB340" s="242"/>
      <c r="AC340" s="242"/>
      <c r="AD340" s="242"/>
      <c r="AE340" s="242"/>
      <c r="AF340" s="242"/>
      <c r="AG340" s="242"/>
      <c r="AH340" s="242"/>
      <c r="AI340" s="242"/>
      <c r="AJ340" s="13"/>
      <c r="AK340" s="242"/>
      <c r="AL340" s="242"/>
      <c r="AM340" s="242"/>
      <c r="AN340" s="242"/>
      <c r="AO340" s="242"/>
    </row>
    <row r="341">
      <c r="A341" s="242"/>
      <c r="B341" s="13"/>
      <c r="C341" s="242"/>
      <c r="D341" s="242"/>
      <c r="E341" s="242"/>
      <c r="F341" s="242"/>
      <c r="G341" s="13"/>
      <c r="H341" s="13"/>
      <c r="I341" s="13"/>
      <c r="J341" s="13"/>
      <c r="K341" s="13"/>
      <c r="L341" s="242"/>
      <c r="M341" s="242"/>
      <c r="N341" s="242"/>
      <c r="O341" s="242"/>
      <c r="P341" s="242"/>
      <c r="Q341" s="525"/>
      <c r="R341" s="242"/>
      <c r="S341" s="242"/>
      <c r="T341" s="242"/>
      <c r="U341" s="242"/>
      <c r="V341" s="242"/>
      <c r="W341" s="242"/>
      <c r="X341" s="242"/>
      <c r="Y341" s="242"/>
      <c r="Z341" s="242"/>
      <c r="AA341" s="242"/>
      <c r="AB341" s="242"/>
      <c r="AC341" s="242"/>
      <c r="AD341" s="242"/>
      <c r="AE341" s="242"/>
      <c r="AF341" s="242"/>
      <c r="AG341" s="242"/>
      <c r="AH341" s="242"/>
      <c r="AI341" s="242"/>
      <c r="AJ341" s="13"/>
      <c r="AK341" s="242"/>
      <c r="AL341" s="242"/>
      <c r="AM341" s="242"/>
      <c r="AN341" s="242"/>
      <c r="AO341" s="242"/>
    </row>
    <row r="342">
      <c r="A342" s="242"/>
      <c r="B342" s="13"/>
      <c r="C342" s="242"/>
      <c r="D342" s="242"/>
      <c r="E342" s="242"/>
      <c r="F342" s="242"/>
      <c r="G342" s="13"/>
      <c r="H342" s="13"/>
      <c r="I342" s="13"/>
      <c r="J342" s="13"/>
      <c r="K342" s="13"/>
      <c r="L342" s="242"/>
      <c r="M342" s="242"/>
      <c r="N342" s="242"/>
      <c r="O342" s="242"/>
      <c r="P342" s="242"/>
      <c r="Q342" s="525"/>
      <c r="R342" s="242"/>
      <c r="S342" s="242"/>
      <c r="T342" s="242"/>
      <c r="U342" s="242"/>
      <c r="V342" s="242"/>
      <c r="W342" s="242"/>
      <c r="X342" s="242"/>
      <c r="Y342" s="242"/>
      <c r="Z342" s="242"/>
      <c r="AA342" s="242"/>
      <c r="AB342" s="242"/>
      <c r="AC342" s="242"/>
      <c r="AD342" s="242"/>
      <c r="AE342" s="242"/>
      <c r="AF342" s="242"/>
      <c r="AG342" s="242"/>
      <c r="AH342" s="242"/>
      <c r="AI342" s="242"/>
      <c r="AJ342" s="13"/>
      <c r="AK342" s="242"/>
      <c r="AL342" s="242"/>
      <c r="AM342" s="242"/>
      <c r="AN342" s="242"/>
      <c r="AO342" s="242"/>
    </row>
    <row r="343">
      <c r="A343" s="242"/>
      <c r="B343" s="13"/>
      <c r="C343" s="242"/>
      <c r="D343" s="242"/>
      <c r="E343" s="242"/>
      <c r="F343" s="242"/>
      <c r="G343" s="13"/>
      <c r="H343" s="13"/>
      <c r="I343" s="13"/>
      <c r="J343" s="13"/>
      <c r="K343" s="13"/>
      <c r="L343" s="242"/>
      <c r="M343" s="242"/>
      <c r="N343" s="242"/>
      <c r="O343" s="242"/>
      <c r="P343" s="242"/>
      <c r="Q343" s="525"/>
      <c r="R343" s="242"/>
      <c r="S343" s="242"/>
      <c r="T343" s="242"/>
      <c r="U343" s="242"/>
      <c r="V343" s="242"/>
      <c r="W343" s="242"/>
      <c r="X343" s="242"/>
      <c r="Y343" s="242"/>
      <c r="Z343" s="242"/>
      <c r="AA343" s="242"/>
      <c r="AB343" s="242"/>
      <c r="AC343" s="242"/>
      <c r="AD343" s="242"/>
      <c r="AE343" s="242"/>
      <c r="AF343" s="242"/>
      <c r="AG343" s="242"/>
      <c r="AH343" s="242"/>
      <c r="AI343" s="242"/>
      <c r="AJ343" s="13"/>
      <c r="AK343" s="242"/>
      <c r="AL343" s="242"/>
      <c r="AM343" s="242"/>
      <c r="AN343" s="242"/>
      <c r="AO343" s="242"/>
    </row>
    <row r="344">
      <c r="A344" s="242"/>
      <c r="B344" s="13"/>
      <c r="C344" s="242"/>
      <c r="D344" s="242"/>
      <c r="E344" s="242"/>
      <c r="F344" s="242"/>
      <c r="G344" s="13"/>
      <c r="H344" s="13"/>
      <c r="I344" s="13"/>
      <c r="J344" s="13"/>
      <c r="K344" s="13"/>
      <c r="L344" s="242"/>
      <c r="M344" s="242"/>
      <c r="N344" s="242"/>
      <c r="O344" s="242"/>
      <c r="P344" s="242"/>
      <c r="Q344" s="525"/>
      <c r="R344" s="242"/>
      <c r="S344" s="242"/>
      <c r="T344" s="242"/>
      <c r="U344" s="242"/>
      <c r="V344" s="242"/>
      <c r="W344" s="242"/>
      <c r="X344" s="242"/>
      <c r="Y344" s="242"/>
      <c r="Z344" s="242"/>
      <c r="AA344" s="242"/>
      <c r="AB344" s="242"/>
      <c r="AC344" s="242"/>
      <c r="AD344" s="242"/>
      <c r="AE344" s="242"/>
      <c r="AF344" s="242"/>
      <c r="AG344" s="242"/>
      <c r="AH344" s="242"/>
      <c r="AI344" s="242"/>
      <c r="AJ344" s="13"/>
      <c r="AK344" s="242"/>
      <c r="AL344" s="242"/>
      <c r="AM344" s="242"/>
      <c r="AN344" s="242"/>
      <c r="AO344" s="242"/>
    </row>
    <row r="345">
      <c r="A345" s="242"/>
      <c r="B345" s="13"/>
      <c r="C345" s="242"/>
      <c r="D345" s="242"/>
      <c r="E345" s="242"/>
      <c r="F345" s="242"/>
      <c r="G345" s="13"/>
      <c r="H345" s="13"/>
      <c r="I345" s="13"/>
      <c r="J345" s="13"/>
      <c r="K345" s="13"/>
      <c r="L345" s="242"/>
      <c r="M345" s="242"/>
      <c r="N345" s="242"/>
      <c r="O345" s="242"/>
      <c r="P345" s="242"/>
      <c r="Q345" s="525"/>
      <c r="R345" s="242"/>
      <c r="S345" s="242"/>
      <c r="T345" s="242"/>
      <c r="U345" s="242"/>
      <c r="V345" s="242"/>
      <c r="W345" s="242"/>
      <c r="X345" s="242"/>
      <c r="Y345" s="242"/>
      <c r="Z345" s="242"/>
      <c r="AA345" s="242"/>
      <c r="AB345" s="242"/>
      <c r="AC345" s="242"/>
      <c r="AD345" s="242"/>
      <c r="AE345" s="242"/>
      <c r="AF345" s="242"/>
      <c r="AG345" s="242"/>
      <c r="AH345" s="242"/>
      <c r="AI345" s="242"/>
      <c r="AJ345" s="13"/>
      <c r="AK345" s="242"/>
      <c r="AL345" s="242"/>
      <c r="AM345" s="242"/>
      <c r="AN345" s="242"/>
      <c r="AO345" s="242"/>
    </row>
    <row r="346">
      <c r="A346" s="242"/>
      <c r="B346" s="13"/>
      <c r="C346" s="242"/>
      <c r="D346" s="242"/>
      <c r="E346" s="242"/>
      <c r="F346" s="242"/>
      <c r="G346" s="13"/>
      <c r="H346" s="13"/>
      <c r="I346" s="13"/>
      <c r="J346" s="13"/>
      <c r="K346" s="13"/>
      <c r="L346" s="242"/>
      <c r="M346" s="242"/>
      <c r="N346" s="242"/>
      <c r="O346" s="242"/>
      <c r="P346" s="242"/>
      <c r="Q346" s="525"/>
      <c r="R346" s="242"/>
      <c r="S346" s="242"/>
      <c r="T346" s="242"/>
      <c r="U346" s="242"/>
      <c r="V346" s="242"/>
      <c r="W346" s="242"/>
      <c r="X346" s="242"/>
      <c r="Y346" s="242"/>
      <c r="Z346" s="242"/>
      <c r="AA346" s="242"/>
      <c r="AB346" s="242"/>
      <c r="AC346" s="242"/>
      <c r="AD346" s="242"/>
      <c r="AE346" s="242"/>
      <c r="AF346" s="242"/>
      <c r="AG346" s="242"/>
      <c r="AH346" s="242"/>
      <c r="AI346" s="242"/>
      <c r="AJ346" s="13"/>
      <c r="AK346" s="242"/>
      <c r="AL346" s="242"/>
      <c r="AM346" s="242"/>
      <c r="AN346" s="242"/>
      <c r="AO346" s="242"/>
    </row>
    <row r="347">
      <c r="A347" s="242"/>
      <c r="B347" s="13"/>
      <c r="C347" s="242"/>
      <c r="D347" s="242"/>
      <c r="E347" s="242"/>
      <c r="F347" s="242"/>
      <c r="G347" s="13"/>
      <c r="H347" s="13"/>
      <c r="I347" s="13"/>
      <c r="J347" s="13"/>
      <c r="K347" s="13"/>
      <c r="L347" s="242"/>
      <c r="M347" s="242"/>
      <c r="N347" s="242"/>
      <c r="O347" s="242"/>
      <c r="P347" s="242"/>
      <c r="Q347" s="525"/>
      <c r="R347" s="242"/>
      <c r="S347" s="242"/>
      <c r="T347" s="242"/>
      <c r="U347" s="242"/>
      <c r="V347" s="242"/>
      <c r="W347" s="242"/>
      <c r="X347" s="242"/>
      <c r="Y347" s="242"/>
      <c r="Z347" s="242"/>
      <c r="AA347" s="242"/>
      <c r="AB347" s="242"/>
      <c r="AC347" s="242"/>
      <c r="AD347" s="242"/>
      <c r="AE347" s="242"/>
      <c r="AF347" s="242"/>
      <c r="AG347" s="242"/>
      <c r="AH347" s="242"/>
      <c r="AI347" s="242"/>
      <c r="AJ347" s="13"/>
      <c r="AK347" s="242"/>
      <c r="AL347" s="242"/>
      <c r="AM347" s="242"/>
      <c r="AN347" s="242"/>
      <c r="AO347" s="242"/>
    </row>
    <row r="348">
      <c r="A348" s="242"/>
      <c r="B348" s="13"/>
      <c r="C348" s="242"/>
      <c r="D348" s="242"/>
      <c r="E348" s="242"/>
      <c r="F348" s="242"/>
      <c r="G348" s="13"/>
      <c r="H348" s="13"/>
      <c r="I348" s="13"/>
      <c r="J348" s="13"/>
      <c r="K348" s="13"/>
      <c r="L348" s="242"/>
      <c r="M348" s="242"/>
      <c r="N348" s="242"/>
      <c r="O348" s="242"/>
      <c r="P348" s="242"/>
      <c r="Q348" s="525"/>
      <c r="R348" s="242"/>
      <c r="S348" s="242"/>
      <c r="T348" s="242"/>
      <c r="U348" s="242"/>
      <c r="V348" s="242"/>
      <c r="W348" s="242"/>
      <c r="X348" s="242"/>
      <c r="Y348" s="242"/>
      <c r="Z348" s="242"/>
      <c r="AA348" s="242"/>
      <c r="AB348" s="242"/>
      <c r="AC348" s="242"/>
      <c r="AD348" s="242"/>
      <c r="AE348" s="242"/>
      <c r="AF348" s="242"/>
      <c r="AG348" s="242"/>
      <c r="AH348" s="242"/>
      <c r="AI348" s="242"/>
      <c r="AJ348" s="13"/>
      <c r="AK348" s="242"/>
      <c r="AL348" s="242"/>
      <c r="AM348" s="242"/>
      <c r="AN348" s="242"/>
      <c r="AO348" s="242"/>
    </row>
    <row r="349">
      <c r="A349" s="242"/>
      <c r="B349" s="13"/>
      <c r="C349" s="242"/>
      <c r="D349" s="242"/>
      <c r="E349" s="242"/>
      <c r="F349" s="242"/>
      <c r="G349" s="13"/>
      <c r="H349" s="13"/>
      <c r="I349" s="13"/>
      <c r="J349" s="13"/>
      <c r="K349" s="13"/>
      <c r="L349" s="242"/>
      <c r="M349" s="242"/>
      <c r="N349" s="242"/>
      <c r="O349" s="242"/>
      <c r="P349" s="242"/>
      <c r="Q349" s="525"/>
      <c r="R349" s="242"/>
      <c r="S349" s="242"/>
      <c r="T349" s="242"/>
      <c r="U349" s="242"/>
      <c r="V349" s="242"/>
      <c r="W349" s="242"/>
      <c r="X349" s="242"/>
      <c r="Y349" s="242"/>
      <c r="Z349" s="242"/>
      <c r="AA349" s="242"/>
      <c r="AB349" s="242"/>
      <c r="AC349" s="242"/>
      <c r="AD349" s="242"/>
      <c r="AE349" s="242"/>
      <c r="AF349" s="242"/>
      <c r="AG349" s="242"/>
      <c r="AH349" s="242"/>
      <c r="AI349" s="242"/>
      <c r="AJ349" s="13"/>
      <c r="AK349" s="242"/>
      <c r="AL349" s="242"/>
      <c r="AM349" s="242"/>
      <c r="AN349" s="242"/>
      <c r="AO349" s="242"/>
    </row>
    <row r="350">
      <c r="A350" s="242"/>
      <c r="B350" s="13"/>
      <c r="C350" s="242"/>
      <c r="D350" s="242"/>
      <c r="E350" s="242"/>
      <c r="F350" s="242"/>
      <c r="G350" s="13"/>
      <c r="H350" s="13"/>
      <c r="I350" s="13"/>
      <c r="J350" s="13"/>
      <c r="K350" s="13"/>
      <c r="L350" s="242"/>
      <c r="M350" s="242"/>
      <c r="N350" s="242"/>
      <c r="O350" s="242"/>
      <c r="P350" s="242"/>
      <c r="Q350" s="525"/>
      <c r="R350" s="242"/>
      <c r="S350" s="242"/>
      <c r="T350" s="242"/>
      <c r="U350" s="242"/>
      <c r="V350" s="242"/>
      <c r="W350" s="242"/>
      <c r="X350" s="242"/>
      <c r="Y350" s="242"/>
      <c r="Z350" s="242"/>
      <c r="AA350" s="242"/>
      <c r="AB350" s="242"/>
      <c r="AC350" s="242"/>
      <c r="AD350" s="242"/>
      <c r="AE350" s="242"/>
      <c r="AF350" s="242"/>
      <c r="AG350" s="242"/>
      <c r="AH350" s="242"/>
      <c r="AI350" s="242"/>
      <c r="AJ350" s="13"/>
      <c r="AK350" s="242"/>
      <c r="AL350" s="242"/>
      <c r="AM350" s="242"/>
      <c r="AN350" s="242"/>
      <c r="AO350" s="242"/>
    </row>
    <row r="351">
      <c r="A351" s="242"/>
      <c r="B351" s="13"/>
      <c r="C351" s="242"/>
      <c r="D351" s="242"/>
      <c r="E351" s="242"/>
      <c r="F351" s="242"/>
      <c r="G351" s="13"/>
      <c r="H351" s="13"/>
      <c r="I351" s="13"/>
      <c r="J351" s="13"/>
      <c r="K351" s="13"/>
      <c r="L351" s="242"/>
      <c r="M351" s="242"/>
      <c r="N351" s="242"/>
      <c r="O351" s="242"/>
      <c r="P351" s="242"/>
      <c r="Q351" s="525"/>
      <c r="R351" s="242"/>
      <c r="S351" s="242"/>
      <c r="T351" s="242"/>
      <c r="U351" s="242"/>
      <c r="V351" s="242"/>
      <c r="W351" s="242"/>
      <c r="X351" s="242"/>
      <c r="Y351" s="242"/>
      <c r="Z351" s="242"/>
      <c r="AA351" s="242"/>
      <c r="AB351" s="242"/>
      <c r="AC351" s="242"/>
      <c r="AD351" s="242"/>
      <c r="AE351" s="242"/>
      <c r="AF351" s="242"/>
      <c r="AG351" s="242"/>
      <c r="AH351" s="242"/>
      <c r="AI351" s="242"/>
      <c r="AJ351" s="13"/>
      <c r="AK351" s="242"/>
      <c r="AL351" s="242"/>
      <c r="AM351" s="242"/>
      <c r="AN351" s="242"/>
      <c r="AO351" s="242"/>
    </row>
    <row r="352">
      <c r="A352" s="242"/>
      <c r="B352" s="13"/>
      <c r="C352" s="242"/>
      <c r="D352" s="242"/>
      <c r="E352" s="242"/>
      <c r="F352" s="242"/>
      <c r="G352" s="13"/>
      <c r="H352" s="13"/>
      <c r="I352" s="13"/>
      <c r="J352" s="13"/>
      <c r="K352" s="13"/>
      <c r="L352" s="242"/>
      <c r="M352" s="242"/>
      <c r="N352" s="242"/>
      <c r="O352" s="242"/>
      <c r="P352" s="242"/>
      <c r="Q352" s="525"/>
      <c r="R352" s="242"/>
      <c r="S352" s="242"/>
      <c r="T352" s="242"/>
      <c r="U352" s="242"/>
      <c r="V352" s="242"/>
      <c r="W352" s="242"/>
      <c r="X352" s="242"/>
      <c r="Y352" s="242"/>
      <c r="Z352" s="242"/>
      <c r="AA352" s="242"/>
      <c r="AB352" s="242"/>
      <c r="AC352" s="242"/>
      <c r="AD352" s="242"/>
      <c r="AE352" s="242"/>
      <c r="AF352" s="242"/>
      <c r="AG352" s="242"/>
      <c r="AH352" s="242"/>
      <c r="AI352" s="242"/>
      <c r="AJ352" s="13"/>
      <c r="AK352" s="242"/>
      <c r="AL352" s="242"/>
      <c r="AM352" s="242"/>
      <c r="AN352" s="242"/>
      <c r="AO352" s="242"/>
    </row>
    <row r="353">
      <c r="A353" s="242"/>
      <c r="B353" s="13"/>
      <c r="C353" s="242"/>
      <c r="D353" s="242"/>
      <c r="E353" s="242"/>
      <c r="F353" s="242"/>
      <c r="G353" s="13"/>
      <c r="H353" s="13"/>
      <c r="I353" s="13"/>
      <c r="J353" s="13"/>
      <c r="K353" s="13"/>
      <c r="L353" s="242"/>
      <c r="M353" s="242"/>
      <c r="N353" s="242"/>
      <c r="O353" s="242"/>
      <c r="P353" s="242"/>
      <c r="Q353" s="525"/>
      <c r="R353" s="242"/>
      <c r="S353" s="242"/>
      <c r="T353" s="242"/>
      <c r="U353" s="242"/>
      <c r="V353" s="242"/>
      <c r="W353" s="242"/>
      <c r="X353" s="242"/>
      <c r="Y353" s="242"/>
      <c r="Z353" s="242"/>
      <c r="AA353" s="242"/>
      <c r="AB353" s="242"/>
      <c r="AC353" s="242"/>
      <c r="AD353" s="242"/>
      <c r="AE353" s="242"/>
      <c r="AF353" s="242"/>
      <c r="AG353" s="242"/>
      <c r="AH353" s="242"/>
      <c r="AI353" s="242"/>
      <c r="AJ353" s="13"/>
      <c r="AK353" s="242"/>
      <c r="AL353" s="242"/>
      <c r="AM353" s="242"/>
      <c r="AN353" s="242"/>
      <c r="AO353" s="242"/>
    </row>
    <row r="354">
      <c r="A354" s="242"/>
      <c r="B354" s="13"/>
      <c r="C354" s="242"/>
      <c r="D354" s="242"/>
      <c r="E354" s="242"/>
      <c r="F354" s="242"/>
      <c r="G354" s="13"/>
      <c r="H354" s="13"/>
      <c r="I354" s="13"/>
      <c r="J354" s="13"/>
      <c r="K354" s="13"/>
      <c r="L354" s="242"/>
      <c r="M354" s="242"/>
      <c r="N354" s="242"/>
      <c r="O354" s="242"/>
      <c r="P354" s="242"/>
      <c r="Q354" s="525"/>
      <c r="R354" s="242"/>
      <c r="S354" s="242"/>
      <c r="T354" s="242"/>
      <c r="U354" s="242"/>
      <c r="V354" s="242"/>
      <c r="W354" s="242"/>
      <c r="X354" s="242"/>
      <c r="Y354" s="242"/>
      <c r="Z354" s="242"/>
      <c r="AA354" s="242"/>
      <c r="AB354" s="242"/>
      <c r="AC354" s="242"/>
      <c r="AD354" s="242"/>
      <c r="AE354" s="242"/>
      <c r="AF354" s="242"/>
      <c r="AG354" s="242"/>
      <c r="AH354" s="242"/>
      <c r="AI354" s="242"/>
      <c r="AJ354" s="13"/>
      <c r="AK354" s="242"/>
      <c r="AL354" s="242"/>
      <c r="AM354" s="242"/>
      <c r="AN354" s="242"/>
      <c r="AO354" s="242"/>
    </row>
    <row r="355">
      <c r="A355" s="242"/>
      <c r="B355" s="13"/>
      <c r="C355" s="242"/>
      <c r="D355" s="242"/>
      <c r="E355" s="242"/>
      <c r="F355" s="242"/>
      <c r="G355" s="13"/>
      <c r="H355" s="13"/>
      <c r="I355" s="13"/>
      <c r="J355" s="13"/>
      <c r="K355" s="13"/>
      <c r="L355" s="242"/>
      <c r="M355" s="242"/>
      <c r="N355" s="242"/>
      <c r="O355" s="242"/>
      <c r="P355" s="242"/>
      <c r="Q355" s="525"/>
      <c r="R355" s="242"/>
      <c r="S355" s="242"/>
      <c r="T355" s="242"/>
      <c r="U355" s="242"/>
      <c r="V355" s="242"/>
      <c r="W355" s="242"/>
      <c r="X355" s="242"/>
      <c r="Y355" s="242"/>
      <c r="Z355" s="242"/>
      <c r="AA355" s="242"/>
      <c r="AB355" s="242"/>
      <c r="AC355" s="242"/>
      <c r="AD355" s="242"/>
      <c r="AE355" s="242"/>
      <c r="AF355" s="242"/>
      <c r="AG355" s="242"/>
      <c r="AH355" s="242"/>
      <c r="AI355" s="242"/>
      <c r="AJ355" s="13"/>
      <c r="AK355" s="242"/>
      <c r="AL355" s="242"/>
      <c r="AM355" s="242"/>
      <c r="AN355" s="242"/>
      <c r="AO355" s="242"/>
    </row>
    <row r="356">
      <c r="A356" s="242"/>
      <c r="B356" s="13"/>
      <c r="C356" s="242"/>
      <c r="D356" s="242"/>
      <c r="E356" s="242"/>
      <c r="F356" s="242"/>
      <c r="G356" s="13"/>
      <c r="H356" s="13"/>
      <c r="I356" s="13"/>
      <c r="J356" s="13"/>
      <c r="K356" s="13"/>
      <c r="L356" s="242"/>
      <c r="M356" s="242"/>
      <c r="N356" s="242"/>
      <c r="O356" s="242"/>
      <c r="P356" s="242"/>
      <c r="Q356" s="525"/>
      <c r="R356" s="242"/>
      <c r="S356" s="242"/>
      <c r="T356" s="242"/>
      <c r="U356" s="242"/>
      <c r="V356" s="242"/>
      <c r="W356" s="242"/>
      <c r="X356" s="242"/>
      <c r="Y356" s="242"/>
      <c r="Z356" s="242"/>
      <c r="AA356" s="242"/>
      <c r="AB356" s="242"/>
      <c r="AC356" s="242"/>
      <c r="AD356" s="242"/>
      <c r="AE356" s="242"/>
      <c r="AF356" s="242"/>
      <c r="AG356" s="242"/>
      <c r="AH356" s="242"/>
      <c r="AI356" s="242"/>
      <c r="AJ356" s="13"/>
      <c r="AK356" s="242"/>
      <c r="AL356" s="242"/>
      <c r="AM356" s="242"/>
      <c r="AN356" s="242"/>
      <c r="AO356" s="242"/>
    </row>
    <row r="357">
      <c r="A357" s="242"/>
      <c r="B357" s="13"/>
      <c r="C357" s="242"/>
      <c r="D357" s="242"/>
      <c r="E357" s="242"/>
      <c r="F357" s="242"/>
      <c r="G357" s="13"/>
      <c r="H357" s="13"/>
      <c r="I357" s="13"/>
      <c r="J357" s="13"/>
      <c r="K357" s="13"/>
      <c r="L357" s="242"/>
      <c r="M357" s="242"/>
      <c r="N357" s="242"/>
      <c r="O357" s="242"/>
      <c r="P357" s="242"/>
      <c r="Q357" s="525"/>
      <c r="R357" s="242"/>
      <c r="S357" s="242"/>
      <c r="T357" s="242"/>
      <c r="U357" s="242"/>
      <c r="V357" s="242"/>
      <c r="W357" s="242"/>
      <c r="X357" s="242"/>
      <c r="Y357" s="242"/>
      <c r="Z357" s="242"/>
      <c r="AA357" s="242"/>
      <c r="AB357" s="242"/>
      <c r="AC357" s="242"/>
      <c r="AD357" s="242"/>
      <c r="AE357" s="242"/>
      <c r="AF357" s="242"/>
      <c r="AG357" s="242"/>
      <c r="AH357" s="242"/>
      <c r="AI357" s="242"/>
      <c r="AJ357" s="13"/>
      <c r="AK357" s="242"/>
      <c r="AL357" s="242"/>
      <c r="AM357" s="242"/>
      <c r="AN357" s="242"/>
      <c r="AO357" s="242"/>
    </row>
    <row r="358">
      <c r="A358" s="242"/>
      <c r="B358" s="13"/>
      <c r="C358" s="242"/>
      <c r="D358" s="242"/>
      <c r="E358" s="242"/>
      <c r="F358" s="242"/>
      <c r="G358" s="13"/>
      <c r="H358" s="13"/>
      <c r="I358" s="13"/>
      <c r="J358" s="13"/>
      <c r="K358" s="13"/>
      <c r="L358" s="242"/>
      <c r="M358" s="242"/>
      <c r="N358" s="242"/>
      <c r="O358" s="242"/>
      <c r="P358" s="242"/>
      <c r="Q358" s="525"/>
      <c r="R358" s="242"/>
      <c r="S358" s="242"/>
      <c r="T358" s="242"/>
      <c r="U358" s="242"/>
      <c r="V358" s="242"/>
      <c r="W358" s="242"/>
      <c r="X358" s="242"/>
      <c r="Y358" s="242"/>
      <c r="Z358" s="242"/>
      <c r="AA358" s="242"/>
      <c r="AB358" s="242"/>
      <c r="AC358" s="242"/>
      <c r="AD358" s="242"/>
      <c r="AE358" s="242"/>
      <c r="AF358" s="242"/>
      <c r="AG358" s="242"/>
      <c r="AH358" s="242"/>
      <c r="AI358" s="242"/>
      <c r="AJ358" s="13"/>
      <c r="AK358" s="242"/>
      <c r="AL358" s="242"/>
      <c r="AM358" s="242"/>
      <c r="AN358" s="242"/>
      <c r="AO358" s="242"/>
    </row>
    <row r="359">
      <c r="A359" s="242"/>
      <c r="B359" s="13"/>
      <c r="C359" s="242"/>
      <c r="D359" s="242"/>
      <c r="E359" s="242"/>
      <c r="F359" s="242"/>
      <c r="G359" s="13"/>
      <c r="H359" s="13"/>
      <c r="I359" s="13"/>
      <c r="J359" s="13"/>
      <c r="K359" s="13"/>
      <c r="L359" s="242"/>
      <c r="M359" s="242"/>
      <c r="N359" s="242"/>
      <c r="O359" s="242"/>
      <c r="P359" s="242"/>
      <c r="Q359" s="525"/>
      <c r="R359" s="242"/>
      <c r="S359" s="242"/>
      <c r="T359" s="242"/>
      <c r="U359" s="242"/>
      <c r="V359" s="242"/>
      <c r="W359" s="242"/>
      <c r="X359" s="242"/>
      <c r="Y359" s="242"/>
      <c r="Z359" s="242"/>
      <c r="AA359" s="242"/>
      <c r="AB359" s="242"/>
      <c r="AC359" s="242"/>
      <c r="AD359" s="242"/>
      <c r="AE359" s="242"/>
      <c r="AF359" s="242"/>
      <c r="AG359" s="242"/>
      <c r="AH359" s="242"/>
      <c r="AI359" s="242"/>
      <c r="AJ359" s="13"/>
      <c r="AK359" s="242"/>
      <c r="AL359" s="242"/>
      <c r="AM359" s="242"/>
      <c r="AN359" s="242"/>
      <c r="AO359" s="242"/>
    </row>
    <row r="360">
      <c r="A360" s="242"/>
      <c r="B360" s="13"/>
      <c r="C360" s="242"/>
      <c r="D360" s="242"/>
      <c r="E360" s="242"/>
      <c r="F360" s="242"/>
      <c r="G360" s="13"/>
      <c r="H360" s="13"/>
      <c r="I360" s="13"/>
      <c r="J360" s="13"/>
      <c r="K360" s="13"/>
      <c r="L360" s="242"/>
      <c r="M360" s="242"/>
      <c r="N360" s="242"/>
      <c r="O360" s="242"/>
      <c r="P360" s="242"/>
      <c r="Q360" s="525"/>
      <c r="R360" s="242"/>
      <c r="S360" s="242"/>
      <c r="T360" s="242"/>
      <c r="U360" s="242"/>
      <c r="V360" s="242"/>
      <c r="W360" s="242"/>
      <c r="X360" s="242"/>
      <c r="Y360" s="242"/>
      <c r="Z360" s="242"/>
      <c r="AA360" s="242"/>
      <c r="AB360" s="242"/>
      <c r="AC360" s="242"/>
      <c r="AD360" s="242"/>
      <c r="AE360" s="242"/>
      <c r="AF360" s="242"/>
      <c r="AG360" s="242"/>
      <c r="AH360" s="242"/>
      <c r="AI360" s="242"/>
      <c r="AJ360" s="13"/>
      <c r="AK360" s="242"/>
      <c r="AL360" s="242"/>
      <c r="AM360" s="242"/>
      <c r="AN360" s="242"/>
      <c r="AO360" s="242"/>
    </row>
    <row r="361">
      <c r="A361" s="242"/>
      <c r="B361" s="13"/>
      <c r="C361" s="242"/>
      <c r="D361" s="242"/>
      <c r="E361" s="242"/>
      <c r="F361" s="242"/>
      <c r="G361" s="13"/>
      <c r="H361" s="13"/>
      <c r="I361" s="13"/>
      <c r="J361" s="13"/>
      <c r="K361" s="13"/>
      <c r="L361" s="242"/>
      <c r="M361" s="242"/>
      <c r="N361" s="242"/>
      <c r="O361" s="242"/>
      <c r="P361" s="242"/>
      <c r="Q361" s="525"/>
      <c r="R361" s="242"/>
      <c r="S361" s="242"/>
      <c r="T361" s="242"/>
      <c r="U361" s="242"/>
      <c r="V361" s="242"/>
      <c r="W361" s="242"/>
      <c r="X361" s="242"/>
      <c r="Y361" s="242"/>
      <c r="Z361" s="242"/>
      <c r="AA361" s="242"/>
      <c r="AB361" s="242"/>
      <c r="AC361" s="242"/>
      <c r="AD361" s="242"/>
      <c r="AE361" s="242"/>
      <c r="AF361" s="242"/>
      <c r="AG361" s="242"/>
      <c r="AH361" s="242"/>
      <c r="AI361" s="242"/>
      <c r="AJ361" s="13"/>
      <c r="AK361" s="242"/>
      <c r="AL361" s="242"/>
      <c r="AM361" s="242"/>
      <c r="AN361" s="242"/>
      <c r="AO361" s="242"/>
    </row>
    <row r="362">
      <c r="A362" s="242"/>
      <c r="B362" s="13"/>
      <c r="C362" s="242"/>
      <c r="D362" s="242"/>
      <c r="E362" s="242"/>
      <c r="F362" s="242"/>
      <c r="G362" s="13"/>
      <c r="H362" s="13"/>
      <c r="I362" s="13"/>
      <c r="J362" s="13"/>
      <c r="K362" s="13"/>
      <c r="L362" s="242"/>
      <c r="M362" s="242"/>
      <c r="N362" s="242"/>
      <c r="O362" s="242"/>
      <c r="P362" s="242"/>
      <c r="Q362" s="525"/>
      <c r="R362" s="242"/>
      <c r="S362" s="242"/>
      <c r="T362" s="242"/>
      <c r="U362" s="242"/>
      <c r="V362" s="242"/>
      <c r="W362" s="242"/>
      <c r="X362" s="242"/>
      <c r="Y362" s="242"/>
      <c r="Z362" s="242"/>
      <c r="AA362" s="242"/>
      <c r="AB362" s="242"/>
      <c r="AC362" s="242"/>
      <c r="AD362" s="242"/>
      <c r="AE362" s="242"/>
      <c r="AF362" s="242"/>
      <c r="AG362" s="242"/>
      <c r="AH362" s="242"/>
      <c r="AI362" s="242"/>
      <c r="AJ362" s="13"/>
      <c r="AK362" s="242"/>
      <c r="AL362" s="242"/>
      <c r="AM362" s="242"/>
      <c r="AN362" s="242"/>
      <c r="AO362" s="242"/>
    </row>
    <row r="363">
      <c r="A363" s="242"/>
      <c r="B363" s="13"/>
      <c r="C363" s="242"/>
      <c r="D363" s="242"/>
      <c r="E363" s="242"/>
      <c r="F363" s="242"/>
      <c r="G363" s="13"/>
      <c r="H363" s="13"/>
      <c r="I363" s="13"/>
      <c r="J363" s="13"/>
      <c r="K363" s="13"/>
      <c r="L363" s="242"/>
      <c r="M363" s="242"/>
      <c r="N363" s="242"/>
      <c r="O363" s="242"/>
      <c r="P363" s="242"/>
      <c r="Q363" s="525"/>
      <c r="R363" s="242"/>
      <c r="S363" s="242"/>
      <c r="T363" s="242"/>
      <c r="U363" s="242"/>
      <c r="V363" s="242"/>
      <c r="W363" s="242"/>
      <c r="X363" s="242"/>
      <c r="Y363" s="242"/>
      <c r="Z363" s="242"/>
      <c r="AA363" s="242"/>
      <c r="AB363" s="242"/>
      <c r="AC363" s="242"/>
      <c r="AD363" s="242"/>
      <c r="AE363" s="242"/>
      <c r="AF363" s="242"/>
      <c r="AG363" s="242"/>
      <c r="AH363" s="242"/>
      <c r="AI363" s="242"/>
      <c r="AJ363" s="13"/>
      <c r="AK363" s="242"/>
      <c r="AL363" s="242"/>
      <c r="AM363" s="242"/>
      <c r="AN363" s="242"/>
      <c r="AO363" s="242"/>
    </row>
    <row r="364">
      <c r="A364" s="242"/>
      <c r="B364" s="13"/>
      <c r="C364" s="242"/>
      <c r="D364" s="242"/>
      <c r="E364" s="242"/>
      <c r="F364" s="242"/>
      <c r="G364" s="13"/>
      <c r="H364" s="13"/>
      <c r="I364" s="13"/>
      <c r="J364" s="13"/>
      <c r="K364" s="13"/>
      <c r="L364" s="242"/>
      <c r="M364" s="242"/>
      <c r="N364" s="242"/>
      <c r="O364" s="242"/>
      <c r="P364" s="242"/>
      <c r="Q364" s="525"/>
      <c r="R364" s="242"/>
      <c r="S364" s="242"/>
      <c r="T364" s="242"/>
      <c r="U364" s="242"/>
      <c r="V364" s="242"/>
      <c r="W364" s="242"/>
      <c r="X364" s="242"/>
      <c r="Y364" s="242"/>
      <c r="Z364" s="242"/>
      <c r="AA364" s="242"/>
      <c r="AB364" s="242"/>
      <c r="AC364" s="242"/>
      <c r="AD364" s="242"/>
      <c r="AE364" s="242"/>
      <c r="AF364" s="242"/>
      <c r="AG364" s="242"/>
      <c r="AH364" s="242"/>
      <c r="AI364" s="242"/>
      <c r="AJ364" s="13"/>
      <c r="AK364" s="242"/>
      <c r="AL364" s="242"/>
      <c r="AM364" s="242"/>
      <c r="AN364" s="242"/>
      <c r="AO364" s="242"/>
    </row>
    <row r="365">
      <c r="A365" s="242"/>
      <c r="B365" s="13"/>
      <c r="C365" s="242"/>
      <c r="D365" s="242"/>
      <c r="E365" s="242"/>
      <c r="F365" s="242"/>
      <c r="G365" s="13"/>
      <c r="H365" s="13"/>
      <c r="I365" s="13"/>
      <c r="J365" s="13"/>
      <c r="K365" s="13"/>
      <c r="L365" s="242"/>
      <c r="M365" s="242"/>
      <c r="N365" s="242"/>
      <c r="O365" s="242"/>
      <c r="P365" s="242"/>
      <c r="Q365" s="525"/>
      <c r="R365" s="242"/>
      <c r="S365" s="242"/>
      <c r="T365" s="242"/>
      <c r="U365" s="242"/>
      <c r="V365" s="242"/>
      <c r="W365" s="242"/>
      <c r="X365" s="242"/>
      <c r="Y365" s="242"/>
      <c r="Z365" s="242"/>
      <c r="AA365" s="242"/>
      <c r="AB365" s="242"/>
      <c r="AC365" s="242"/>
      <c r="AD365" s="242"/>
      <c r="AE365" s="242"/>
      <c r="AF365" s="242"/>
      <c r="AG365" s="242"/>
      <c r="AH365" s="242"/>
      <c r="AI365" s="242"/>
      <c r="AJ365" s="13"/>
      <c r="AK365" s="242"/>
      <c r="AL365" s="242"/>
      <c r="AM365" s="242"/>
      <c r="AN365" s="242"/>
      <c r="AO365" s="242"/>
    </row>
    <row r="366">
      <c r="A366" s="242"/>
      <c r="B366" s="13"/>
      <c r="C366" s="242"/>
      <c r="D366" s="242"/>
      <c r="E366" s="242"/>
      <c r="F366" s="242"/>
      <c r="G366" s="13"/>
      <c r="H366" s="13"/>
      <c r="I366" s="13"/>
      <c r="J366" s="13"/>
      <c r="K366" s="13"/>
      <c r="L366" s="242"/>
      <c r="M366" s="242"/>
      <c r="N366" s="242"/>
      <c r="O366" s="242"/>
      <c r="P366" s="242"/>
      <c r="Q366" s="525"/>
      <c r="R366" s="242"/>
      <c r="S366" s="242"/>
      <c r="T366" s="242"/>
      <c r="U366" s="242"/>
      <c r="V366" s="242"/>
      <c r="W366" s="242"/>
      <c r="X366" s="242"/>
      <c r="Y366" s="242"/>
      <c r="Z366" s="242"/>
      <c r="AA366" s="242"/>
      <c r="AB366" s="242"/>
      <c r="AC366" s="242"/>
      <c r="AD366" s="242"/>
      <c r="AE366" s="242"/>
      <c r="AF366" s="242"/>
      <c r="AG366" s="242"/>
      <c r="AH366" s="242"/>
      <c r="AI366" s="242"/>
      <c r="AJ366" s="13"/>
      <c r="AK366" s="242"/>
      <c r="AL366" s="242"/>
      <c r="AM366" s="242"/>
      <c r="AN366" s="242"/>
      <c r="AO366" s="242"/>
    </row>
    <row r="367">
      <c r="A367" s="242"/>
      <c r="B367" s="13"/>
      <c r="C367" s="242"/>
      <c r="D367" s="242"/>
      <c r="E367" s="242"/>
      <c r="F367" s="242"/>
      <c r="G367" s="13"/>
      <c r="H367" s="13"/>
      <c r="I367" s="13"/>
      <c r="J367" s="13"/>
      <c r="K367" s="13"/>
      <c r="L367" s="242"/>
      <c r="M367" s="242"/>
      <c r="N367" s="242"/>
      <c r="O367" s="242"/>
      <c r="P367" s="242"/>
      <c r="Q367" s="525"/>
      <c r="R367" s="242"/>
      <c r="S367" s="242"/>
      <c r="T367" s="242"/>
      <c r="U367" s="242"/>
      <c r="V367" s="242"/>
      <c r="W367" s="242"/>
      <c r="X367" s="242"/>
      <c r="Y367" s="242"/>
      <c r="Z367" s="242"/>
      <c r="AA367" s="242"/>
      <c r="AB367" s="242"/>
      <c r="AC367" s="242"/>
      <c r="AD367" s="242"/>
      <c r="AE367" s="242"/>
      <c r="AF367" s="242"/>
      <c r="AG367" s="242"/>
      <c r="AH367" s="242"/>
      <c r="AI367" s="242"/>
      <c r="AJ367" s="13"/>
      <c r="AK367" s="242"/>
      <c r="AL367" s="242"/>
      <c r="AM367" s="242"/>
      <c r="AN367" s="242"/>
      <c r="AO367" s="242"/>
    </row>
    <row r="368">
      <c r="A368" s="242"/>
      <c r="B368" s="13"/>
      <c r="C368" s="242"/>
      <c r="D368" s="242"/>
      <c r="E368" s="242"/>
      <c r="F368" s="242"/>
      <c r="G368" s="13"/>
      <c r="H368" s="13"/>
      <c r="I368" s="13"/>
      <c r="J368" s="13"/>
      <c r="K368" s="13"/>
      <c r="L368" s="242"/>
      <c r="M368" s="242"/>
      <c r="N368" s="242"/>
      <c r="O368" s="242"/>
      <c r="P368" s="242"/>
      <c r="Q368" s="525"/>
      <c r="R368" s="242"/>
      <c r="S368" s="242"/>
      <c r="T368" s="242"/>
      <c r="U368" s="242"/>
      <c r="V368" s="242"/>
      <c r="W368" s="242"/>
      <c r="X368" s="242"/>
      <c r="Y368" s="242"/>
      <c r="Z368" s="242"/>
      <c r="AA368" s="242"/>
      <c r="AB368" s="242"/>
      <c r="AC368" s="242"/>
      <c r="AD368" s="242"/>
      <c r="AE368" s="242"/>
      <c r="AF368" s="242"/>
      <c r="AG368" s="242"/>
      <c r="AH368" s="242"/>
      <c r="AI368" s="242"/>
      <c r="AJ368" s="13"/>
      <c r="AK368" s="242"/>
      <c r="AL368" s="242"/>
      <c r="AM368" s="242"/>
      <c r="AN368" s="242"/>
      <c r="AO368" s="242"/>
    </row>
    <row r="369">
      <c r="A369" s="242"/>
      <c r="B369" s="13"/>
      <c r="C369" s="242"/>
      <c r="D369" s="242"/>
      <c r="E369" s="242"/>
      <c r="F369" s="242"/>
      <c r="G369" s="13"/>
      <c r="H369" s="13"/>
      <c r="I369" s="13"/>
      <c r="J369" s="13"/>
      <c r="K369" s="13"/>
      <c r="L369" s="242"/>
      <c r="M369" s="242"/>
      <c r="N369" s="242"/>
      <c r="O369" s="242"/>
      <c r="P369" s="242"/>
      <c r="Q369" s="525"/>
      <c r="R369" s="242"/>
      <c r="S369" s="242"/>
      <c r="T369" s="242"/>
      <c r="U369" s="242"/>
      <c r="V369" s="242"/>
      <c r="W369" s="242"/>
      <c r="X369" s="242"/>
      <c r="Y369" s="242"/>
      <c r="Z369" s="242"/>
      <c r="AA369" s="242"/>
      <c r="AB369" s="242"/>
      <c r="AC369" s="242"/>
      <c r="AD369" s="242"/>
      <c r="AE369" s="242"/>
      <c r="AF369" s="242"/>
      <c r="AG369" s="242"/>
      <c r="AH369" s="242"/>
      <c r="AI369" s="242"/>
      <c r="AJ369" s="13"/>
      <c r="AK369" s="242"/>
      <c r="AL369" s="242"/>
      <c r="AM369" s="242"/>
      <c r="AN369" s="242"/>
      <c r="AO369" s="242"/>
    </row>
    <row r="370">
      <c r="A370" s="242"/>
      <c r="B370" s="13"/>
      <c r="C370" s="242"/>
      <c r="D370" s="242"/>
      <c r="E370" s="242"/>
      <c r="F370" s="242"/>
      <c r="G370" s="13"/>
      <c r="H370" s="13"/>
      <c r="I370" s="13"/>
      <c r="J370" s="13"/>
      <c r="K370" s="13"/>
      <c r="L370" s="242"/>
      <c r="M370" s="242"/>
      <c r="N370" s="242"/>
      <c r="O370" s="242"/>
      <c r="P370" s="242"/>
      <c r="Q370" s="525"/>
      <c r="R370" s="242"/>
      <c r="S370" s="242"/>
      <c r="T370" s="242"/>
      <c r="U370" s="242"/>
      <c r="V370" s="242"/>
      <c r="W370" s="242"/>
      <c r="X370" s="242"/>
      <c r="Y370" s="242"/>
      <c r="Z370" s="242"/>
      <c r="AA370" s="242"/>
      <c r="AB370" s="242"/>
      <c r="AC370" s="242"/>
      <c r="AD370" s="242"/>
      <c r="AE370" s="242"/>
      <c r="AF370" s="242"/>
      <c r="AG370" s="242"/>
      <c r="AH370" s="242"/>
      <c r="AI370" s="242"/>
      <c r="AJ370" s="13"/>
      <c r="AK370" s="242"/>
      <c r="AL370" s="242"/>
      <c r="AM370" s="242"/>
      <c r="AN370" s="242"/>
      <c r="AO370" s="242"/>
    </row>
    <row r="371">
      <c r="A371" s="242"/>
      <c r="B371" s="13"/>
      <c r="C371" s="242"/>
      <c r="D371" s="242"/>
      <c r="E371" s="242"/>
      <c r="F371" s="242"/>
      <c r="G371" s="13"/>
      <c r="H371" s="13"/>
      <c r="I371" s="13"/>
      <c r="J371" s="13"/>
      <c r="K371" s="13"/>
      <c r="L371" s="242"/>
      <c r="M371" s="242"/>
      <c r="N371" s="242"/>
      <c r="O371" s="242"/>
      <c r="P371" s="242"/>
      <c r="Q371" s="525"/>
      <c r="R371" s="242"/>
      <c r="S371" s="242"/>
      <c r="T371" s="242"/>
      <c r="U371" s="242"/>
      <c r="V371" s="242"/>
      <c r="W371" s="242"/>
      <c r="X371" s="242"/>
      <c r="Y371" s="242"/>
      <c r="Z371" s="242"/>
      <c r="AA371" s="242"/>
      <c r="AB371" s="242"/>
      <c r="AC371" s="242"/>
      <c r="AD371" s="242"/>
      <c r="AE371" s="242"/>
      <c r="AF371" s="242"/>
      <c r="AG371" s="242"/>
      <c r="AH371" s="242"/>
      <c r="AI371" s="242"/>
      <c r="AJ371" s="13"/>
      <c r="AK371" s="242"/>
      <c r="AL371" s="242"/>
      <c r="AM371" s="242"/>
      <c r="AN371" s="242"/>
      <c r="AO371" s="242"/>
    </row>
    <row r="372">
      <c r="A372" s="242"/>
      <c r="B372" s="13"/>
      <c r="C372" s="242"/>
      <c r="D372" s="242"/>
      <c r="E372" s="242"/>
      <c r="F372" s="242"/>
      <c r="G372" s="13"/>
      <c r="H372" s="13"/>
      <c r="I372" s="13"/>
      <c r="J372" s="13"/>
      <c r="K372" s="13"/>
      <c r="L372" s="242"/>
      <c r="M372" s="242"/>
      <c r="N372" s="242"/>
      <c r="O372" s="242"/>
      <c r="P372" s="242"/>
      <c r="Q372" s="525"/>
      <c r="R372" s="242"/>
      <c r="S372" s="242"/>
      <c r="T372" s="242"/>
      <c r="U372" s="242"/>
      <c r="V372" s="242"/>
      <c r="W372" s="242"/>
      <c r="X372" s="242"/>
      <c r="Y372" s="242"/>
      <c r="Z372" s="242"/>
      <c r="AA372" s="242"/>
      <c r="AB372" s="242"/>
      <c r="AC372" s="242"/>
      <c r="AD372" s="242"/>
      <c r="AE372" s="242"/>
      <c r="AF372" s="242"/>
      <c r="AG372" s="242"/>
      <c r="AH372" s="242"/>
      <c r="AI372" s="242"/>
      <c r="AJ372" s="13"/>
      <c r="AK372" s="242"/>
      <c r="AL372" s="242"/>
      <c r="AM372" s="242"/>
      <c r="AN372" s="242"/>
      <c r="AO372" s="242"/>
    </row>
    <row r="373">
      <c r="A373" s="242"/>
      <c r="B373" s="13"/>
      <c r="C373" s="242"/>
      <c r="D373" s="242"/>
      <c r="E373" s="242"/>
      <c r="F373" s="242"/>
      <c r="G373" s="13"/>
      <c r="H373" s="13"/>
      <c r="I373" s="13"/>
      <c r="J373" s="13"/>
      <c r="K373" s="13"/>
      <c r="L373" s="242"/>
      <c r="M373" s="242"/>
      <c r="N373" s="242"/>
      <c r="O373" s="242"/>
      <c r="P373" s="242"/>
      <c r="Q373" s="525"/>
      <c r="R373" s="242"/>
      <c r="S373" s="242"/>
      <c r="T373" s="242"/>
      <c r="U373" s="242"/>
      <c r="V373" s="242"/>
      <c r="W373" s="242"/>
      <c r="X373" s="242"/>
      <c r="Y373" s="242"/>
      <c r="Z373" s="242"/>
      <c r="AA373" s="242"/>
      <c r="AB373" s="242"/>
      <c r="AC373" s="242"/>
      <c r="AD373" s="242"/>
      <c r="AE373" s="242"/>
      <c r="AF373" s="242"/>
      <c r="AG373" s="242"/>
      <c r="AH373" s="242"/>
      <c r="AI373" s="242"/>
      <c r="AJ373" s="13"/>
      <c r="AK373" s="242"/>
      <c r="AL373" s="242"/>
      <c r="AM373" s="242"/>
      <c r="AN373" s="242"/>
      <c r="AO373" s="242"/>
    </row>
    <row r="374">
      <c r="A374" s="242"/>
      <c r="B374" s="13"/>
      <c r="C374" s="242"/>
      <c r="D374" s="242"/>
      <c r="E374" s="242"/>
      <c r="F374" s="242"/>
      <c r="G374" s="13"/>
      <c r="H374" s="13"/>
      <c r="I374" s="13"/>
      <c r="J374" s="13"/>
      <c r="K374" s="13"/>
      <c r="L374" s="242"/>
      <c r="M374" s="242"/>
      <c r="N374" s="242"/>
      <c r="O374" s="242"/>
      <c r="P374" s="242"/>
      <c r="Q374" s="525"/>
      <c r="R374" s="242"/>
      <c r="S374" s="242"/>
      <c r="T374" s="242"/>
      <c r="U374" s="242"/>
      <c r="V374" s="242"/>
      <c r="W374" s="242"/>
      <c r="X374" s="242"/>
      <c r="Y374" s="242"/>
      <c r="Z374" s="242"/>
      <c r="AA374" s="242"/>
      <c r="AB374" s="242"/>
      <c r="AC374" s="242"/>
      <c r="AD374" s="242"/>
      <c r="AE374" s="242"/>
      <c r="AF374" s="242"/>
      <c r="AG374" s="242"/>
      <c r="AH374" s="242"/>
      <c r="AI374" s="242"/>
      <c r="AJ374" s="13"/>
      <c r="AK374" s="242"/>
      <c r="AL374" s="242"/>
      <c r="AM374" s="242"/>
      <c r="AN374" s="242"/>
      <c r="AO374" s="242"/>
    </row>
    <row r="375">
      <c r="A375" s="242"/>
      <c r="B375" s="13"/>
      <c r="C375" s="242"/>
      <c r="D375" s="242"/>
      <c r="E375" s="242"/>
      <c r="F375" s="242"/>
      <c r="G375" s="13"/>
      <c r="H375" s="13"/>
      <c r="I375" s="13"/>
      <c r="J375" s="13"/>
      <c r="K375" s="13"/>
      <c r="L375" s="242"/>
      <c r="M375" s="242"/>
      <c r="N375" s="242"/>
      <c r="O375" s="242"/>
      <c r="P375" s="242"/>
      <c r="Q375" s="525"/>
      <c r="R375" s="242"/>
      <c r="S375" s="242"/>
      <c r="T375" s="242"/>
      <c r="U375" s="242"/>
      <c r="V375" s="242"/>
      <c r="W375" s="242"/>
      <c r="X375" s="242"/>
      <c r="Y375" s="242"/>
      <c r="Z375" s="242"/>
      <c r="AA375" s="242"/>
      <c r="AB375" s="242"/>
      <c r="AC375" s="242"/>
      <c r="AD375" s="242"/>
      <c r="AE375" s="242"/>
      <c r="AF375" s="242"/>
      <c r="AG375" s="242"/>
      <c r="AH375" s="242"/>
      <c r="AI375" s="242"/>
      <c r="AJ375" s="13"/>
      <c r="AK375" s="242"/>
      <c r="AL375" s="242"/>
      <c r="AM375" s="242"/>
      <c r="AN375" s="242"/>
      <c r="AO375" s="242"/>
    </row>
    <row r="376">
      <c r="A376" s="242"/>
      <c r="B376" s="13"/>
      <c r="C376" s="242"/>
      <c r="D376" s="242"/>
      <c r="E376" s="242"/>
      <c r="F376" s="242"/>
      <c r="G376" s="13"/>
      <c r="H376" s="13"/>
      <c r="I376" s="13"/>
      <c r="J376" s="13"/>
      <c r="K376" s="13"/>
      <c r="L376" s="242"/>
      <c r="M376" s="242"/>
      <c r="N376" s="242"/>
      <c r="O376" s="242"/>
      <c r="P376" s="242"/>
      <c r="Q376" s="525"/>
      <c r="R376" s="242"/>
      <c r="S376" s="242"/>
      <c r="T376" s="242"/>
      <c r="U376" s="242"/>
      <c r="V376" s="242"/>
      <c r="W376" s="242"/>
      <c r="X376" s="242"/>
      <c r="Y376" s="242"/>
      <c r="Z376" s="242"/>
      <c r="AA376" s="242"/>
      <c r="AB376" s="242"/>
      <c r="AC376" s="242"/>
      <c r="AD376" s="242"/>
      <c r="AE376" s="242"/>
      <c r="AF376" s="242"/>
      <c r="AG376" s="242"/>
      <c r="AH376" s="242"/>
      <c r="AI376" s="242"/>
      <c r="AJ376" s="13"/>
      <c r="AK376" s="242"/>
      <c r="AL376" s="242"/>
      <c r="AM376" s="242"/>
      <c r="AN376" s="242"/>
      <c r="AO376" s="242"/>
    </row>
    <row r="377">
      <c r="A377" s="242"/>
      <c r="B377" s="13"/>
      <c r="C377" s="242"/>
      <c r="D377" s="242"/>
      <c r="E377" s="242"/>
      <c r="F377" s="242"/>
      <c r="G377" s="13"/>
      <c r="H377" s="13"/>
      <c r="I377" s="13"/>
      <c r="J377" s="13"/>
      <c r="K377" s="13"/>
      <c r="L377" s="242"/>
      <c r="M377" s="242"/>
      <c r="N377" s="242"/>
      <c r="O377" s="242"/>
      <c r="P377" s="242"/>
      <c r="Q377" s="525"/>
      <c r="R377" s="242"/>
      <c r="S377" s="242"/>
      <c r="T377" s="242"/>
      <c r="U377" s="242"/>
      <c r="V377" s="242"/>
      <c r="W377" s="242"/>
      <c r="X377" s="242"/>
      <c r="Y377" s="242"/>
      <c r="Z377" s="242"/>
      <c r="AA377" s="242"/>
      <c r="AB377" s="242"/>
      <c r="AC377" s="242"/>
      <c r="AD377" s="242"/>
      <c r="AE377" s="242"/>
      <c r="AF377" s="242"/>
      <c r="AG377" s="242"/>
      <c r="AH377" s="242"/>
      <c r="AI377" s="242"/>
      <c r="AJ377" s="13"/>
      <c r="AK377" s="242"/>
      <c r="AL377" s="242"/>
      <c r="AM377" s="242"/>
      <c r="AN377" s="242"/>
      <c r="AO377" s="242"/>
    </row>
    <row r="378">
      <c r="A378" s="242"/>
      <c r="B378" s="13"/>
      <c r="C378" s="242"/>
      <c r="D378" s="242"/>
      <c r="E378" s="242"/>
      <c r="F378" s="242"/>
      <c r="G378" s="13"/>
      <c r="H378" s="13"/>
      <c r="I378" s="13"/>
      <c r="J378" s="13"/>
      <c r="K378" s="13"/>
      <c r="L378" s="242"/>
      <c r="M378" s="242"/>
      <c r="N378" s="242"/>
      <c r="O378" s="242"/>
      <c r="P378" s="242"/>
      <c r="Q378" s="525"/>
      <c r="R378" s="242"/>
      <c r="S378" s="242"/>
      <c r="T378" s="242"/>
      <c r="U378" s="242"/>
      <c r="V378" s="242"/>
      <c r="W378" s="242"/>
      <c r="X378" s="242"/>
      <c r="Y378" s="242"/>
      <c r="Z378" s="242"/>
      <c r="AA378" s="242"/>
      <c r="AB378" s="242"/>
      <c r="AC378" s="242"/>
      <c r="AD378" s="242"/>
      <c r="AE378" s="242"/>
      <c r="AF378" s="242"/>
      <c r="AG378" s="242"/>
      <c r="AH378" s="242"/>
      <c r="AI378" s="242"/>
      <c r="AJ378" s="13"/>
      <c r="AK378" s="242"/>
      <c r="AL378" s="242"/>
      <c r="AM378" s="242"/>
      <c r="AN378" s="242"/>
      <c r="AO378" s="242"/>
    </row>
    <row r="379">
      <c r="A379" s="242"/>
      <c r="B379" s="13"/>
      <c r="C379" s="242"/>
      <c r="D379" s="242"/>
      <c r="E379" s="242"/>
      <c r="F379" s="242"/>
      <c r="G379" s="13"/>
      <c r="H379" s="13"/>
      <c r="I379" s="13"/>
      <c r="J379" s="13"/>
      <c r="K379" s="13"/>
      <c r="L379" s="242"/>
      <c r="M379" s="242"/>
      <c r="N379" s="242"/>
      <c r="O379" s="242"/>
      <c r="P379" s="242"/>
      <c r="Q379" s="525"/>
      <c r="R379" s="242"/>
      <c r="S379" s="242"/>
      <c r="T379" s="242"/>
      <c r="U379" s="242"/>
      <c r="V379" s="242"/>
      <c r="W379" s="242"/>
      <c r="X379" s="242"/>
      <c r="Y379" s="242"/>
      <c r="Z379" s="242"/>
      <c r="AA379" s="242"/>
      <c r="AB379" s="242"/>
      <c r="AC379" s="242"/>
      <c r="AD379" s="242"/>
      <c r="AE379" s="242"/>
      <c r="AF379" s="242"/>
      <c r="AG379" s="242"/>
      <c r="AH379" s="242"/>
      <c r="AI379" s="242"/>
      <c r="AJ379" s="13"/>
      <c r="AK379" s="242"/>
      <c r="AL379" s="242"/>
      <c r="AM379" s="242"/>
      <c r="AN379" s="242"/>
      <c r="AO379" s="242"/>
    </row>
    <row r="380">
      <c r="A380" s="242"/>
      <c r="B380" s="13"/>
      <c r="C380" s="242"/>
      <c r="D380" s="242"/>
      <c r="E380" s="242"/>
      <c r="F380" s="242"/>
      <c r="G380" s="13"/>
      <c r="H380" s="13"/>
      <c r="I380" s="13"/>
      <c r="J380" s="13"/>
      <c r="K380" s="13"/>
      <c r="L380" s="242"/>
      <c r="M380" s="242"/>
      <c r="N380" s="242"/>
      <c r="O380" s="242"/>
      <c r="P380" s="242"/>
      <c r="Q380" s="525"/>
      <c r="R380" s="242"/>
      <c r="S380" s="242"/>
      <c r="T380" s="242"/>
      <c r="U380" s="242"/>
      <c r="V380" s="242"/>
      <c r="W380" s="242"/>
      <c r="X380" s="242"/>
      <c r="Y380" s="242"/>
      <c r="Z380" s="242"/>
      <c r="AA380" s="242"/>
      <c r="AB380" s="242"/>
      <c r="AC380" s="242"/>
      <c r="AD380" s="242"/>
      <c r="AE380" s="242"/>
      <c r="AF380" s="242"/>
      <c r="AG380" s="242"/>
      <c r="AH380" s="242"/>
      <c r="AI380" s="242"/>
      <c r="AJ380" s="13"/>
      <c r="AK380" s="242"/>
      <c r="AL380" s="242"/>
      <c r="AM380" s="242"/>
      <c r="AN380" s="242"/>
      <c r="AO380" s="242"/>
    </row>
    <row r="381">
      <c r="A381" s="242"/>
      <c r="B381" s="13"/>
      <c r="C381" s="242"/>
      <c r="D381" s="242"/>
      <c r="E381" s="242"/>
      <c r="F381" s="242"/>
      <c r="G381" s="13"/>
      <c r="H381" s="13"/>
      <c r="I381" s="13"/>
      <c r="J381" s="13"/>
      <c r="K381" s="13"/>
      <c r="L381" s="242"/>
      <c r="M381" s="242"/>
      <c r="N381" s="242"/>
      <c r="O381" s="242"/>
      <c r="P381" s="242"/>
      <c r="Q381" s="525"/>
      <c r="R381" s="242"/>
      <c r="S381" s="242"/>
      <c r="T381" s="242"/>
      <c r="U381" s="242"/>
      <c r="V381" s="242"/>
      <c r="W381" s="242"/>
      <c r="X381" s="242"/>
      <c r="Y381" s="242"/>
      <c r="Z381" s="242"/>
      <c r="AA381" s="242"/>
      <c r="AB381" s="242"/>
      <c r="AC381" s="242"/>
      <c r="AD381" s="242"/>
      <c r="AE381" s="242"/>
      <c r="AF381" s="242"/>
      <c r="AG381" s="242"/>
      <c r="AH381" s="242"/>
      <c r="AI381" s="242"/>
      <c r="AJ381" s="13"/>
      <c r="AK381" s="242"/>
      <c r="AL381" s="242"/>
      <c r="AM381" s="242"/>
      <c r="AN381" s="242"/>
      <c r="AO381" s="242"/>
    </row>
    <row r="382">
      <c r="A382" s="242"/>
      <c r="B382" s="13"/>
      <c r="C382" s="242"/>
      <c r="D382" s="242"/>
      <c r="E382" s="242"/>
      <c r="F382" s="242"/>
      <c r="G382" s="13"/>
      <c r="H382" s="13"/>
      <c r="I382" s="13"/>
      <c r="J382" s="13"/>
      <c r="K382" s="13"/>
      <c r="L382" s="242"/>
      <c r="M382" s="242"/>
      <c r="N382" s="242"/>
      <c r="O382" s="242"/>
      <c r="P382" s="242"/>
      <c r="Q382" s="525"/>
      <c r="R382" s="242"/>
      <c r="S382" s="242"/>
      <c r="T382" s="242"/>
      <c r="U382" s="242"/>
      <c r="V382" s="242"/>
      <c r="W382" s="242"/>
      <c r="X382" s="242"/>
      <c r="Y382" s="242"/>
      <c r="Z382" s="242"/>
      <c r="AA382" s="242"/>
      <c r="AB382" s="242"/>
      <c r="AC382" s="242"/>
      <c r="AD382" s="242"/>
      <c r="AE382" s="242"/>
      <c r="AF382" s="242"/>
      <c r="AG382" s="242"/>
      <c r="AH382" s="242"/>
      <c r="AI382" s="242"/>
      <c r="AJ382" s="13"/>
      <c r="AK382" s="242"/>
      <c r="AL382" s="242"/>
      <c r="AM382" s="242"/>
      <c r="AN382" s="242"/>
      <c r="AO382" s="242"/>
    </row>
    <row r="383">
      <c r="A383" s="242"/>
      <c r="B383" s="13"/>
      <c r="C383" s="242"/>
      <c r="D383" s="242"/>
      <c r="E383" s="242"/>
      <c r="F383" s="242"/>
      <c r="G383" s="13"/>
      <c r="H383" s="13"/>
      <c r="I383" s="13"/>
      <c r="J383" s="13"/>
      <c r="K383" s="13"/>
      <c r="L383" s="242"/>
      <c r="M383" s="242"/>
      <c r="N383" s="242"/>
      <c r="O383" s="242"/>
      <c r="P383" s="242"/>
      <c r="Q383" s="525"/>
      <c r="R383" s="242"/>
      <c r="S383" s="242"/>
      <c r="T383" s="242"/>
      <c r="U383" s="242"/>
      <c r="V383" s="242"/>
      <c r="W383" s="242"/>
      <c r="X383" s="242"/>
      <c r="Y383" s="242"/>
      <c r="Z383" s="242"/>
      <c r="AA383" s="242"/>
      <c r="AB383" s="242"/>
      <c r="AC383" s="242"/>
      <c r="AD383" s="242"/>
      <c r="AE383" s="242"/>
      <c r="AF383" s="242"/>
      <c r="AG383" s="242"/>
      <c r="AH383" s="242"/>
      <c r="AI383" s="242"/>
      <c r="AJ383" s="13"/>
      <c r="AK383" s="242"/>
      <c r="AL383" s="242"/>
      <c r="AM383" s="242"/>
      <c r="AN383" s="242"/>
      <c r="AO383" s="242"/>
    </row>
    <row r="384">
      <c r="A384" s="242"/>
      <c r="B384" s="13"/>
      <c r="C384" s="242"/>
      <c r="D384" s="242"/>
      <c r="E384" s="242"/>
      <c r="F384" s="242"/>
      <c r="G384" s="13"/>
      <c r="H384" s="13"/>
      <c r="I384" s="13"/>
      <c r="J384" s="13"/>
      <c r="K384" s="13"/>
      <c r="L384" s="242"/>
      <c r="M384" s="242"/>
      <c r="N384" s="242"/>
      <c r="O384" s="242"/>
      <c r="P384" s="242"/>
      <c r="Q384" s="525"/>
      <c r="R384" s="242"/>
      <c r="S384" s="242"/>
      <c r="T384" s="242"/>
      <c r="U384" s="242"/>
      <c r="V384" s="242"/>
      <c r="W384" s="242"/>
      <c r="X384" s="242"/>
      <c r="Y384" s="242"/>
      <c r="Z384" s="242"/>
      <c r="AA384" s="242"/>
      <c r="AB384" s="242"/>
      <c r="AC384" s="242"/>
      <c r="AD384" s="242"/>
      <c r="AE384" s="242"/>
      <c r="AF384" s="242"/>
      <c r="AG384" s="242"/>
      <c r="AH384" s="242"/>
      <c r="AI384" s="242"/>
      <c r="AJ384" s="13"/>
      <c r="AK384" s="242"/>
      <c r="AL384" s="242"/>
      <c r="AM384" s="242"/>
      <c r="AN384" s="242"/>
      <c r="AO384" s="242"/>
    </row>
    <row r="385">
      <c r="A385" s="242"/>
      <c r="B385" s="13"/>
      <c r="C385" s="242"/>
      <c r="D385" s="242"/>
      <c r="E385" s="242"/>
      <c r="F385" s="242"/>
      <c r="G385" s="13"/>
      <c r="H385" s="13"/>
      <c r="I385" s="13"/>
      <c r="J385" s="13"/>
      <c r="K385" s="13"/>
      <c r="L385" s="242"/>
      <c r="M385" s="242"/>
      <c r="N385" s="242"/>
      <c r="O385" s="242"/>
      <c r="P385" s="242"/>
      <c r="Q385" s="525"/>
      <c r="R385" s="242"/>
      <c r="S385" s="242"/>
      <c r="T385" s="242"/>
      <c r="U385" s="242"/>
      <c r="V385" s="242"/>
      <c r="W385" s="242"/>
      <c r="X385" s="242"/>
      <c r="Y385" s="242"/>
      <c r="Z385" s="242"/>
      <c r="AA385" s="242"/>
      <c r="AB385" s="242"/>
      <c r="AC385" s="242"/>
      <c r="AD385" s="242"/>
      <c r="AE385" s="242"/>
      <c r="AF385" s="242"/>
      <c r="AG385" s="242"/>
      <c r="AH385" s="242"/>
      <c r="AI385" s="242"/>
      <c r="AJ385" s="13"/>
      <c r="AK385" s="242"/>
      <c r="AL385" s="242"/>
      <c r="AM385" s="242"/>
      <c r="AN385" s="242"/>
      <c r="AO385" s="242"/>
    </row>
    <row r="386">
      <c r="A386" s="242"/>
      <c r="B386" s="13"/>
      <c r="C386" s="242"/>
      <c r="D386" s="242"/>
      <c r="E386" s="242"/>
      <c r="F386" s="242"/>
      <c r="G386" s="13"/>
      <c r="H386" s="13"/>
      <c r="I386" s="13"/>
      <c r="J386" s="13"/>
      <c r="K386" s="13"/>
      <c r="L386" s="242"/>
      <c r="M386" s="242"/>
      <c r="N386" s="242"/>
      <c r="O386" s="242"/>
      <c r="P386" s="242"/>
      <c r="Q386" s="525"/>
      <c r="R386" s="242"/>
      <c r="S386" s="242"/>
      <c r="T386" s="242"/>
      <c r="U386" s="242"/>
      <c r="V386" s="242"/>
      <c r="W386" s="242"/>
      <c r="X386" s="242"/>
      <c r="Y386" s="242"/>
      <c r="Z386" s="242"/>
      <c r="AA386" s="242"/>
      <c r="AB386" s="242"/>
      <c r="AC386" s="242"/>
      <c r="AD386" s="242"/>
      <c r="AE386" s="242"/>
      <c r="AF386" s="242"/>
      <c r="AG386" s="242"/>
      <c r="AH386" s="242"/>
      <c r="AI386" s="242"/>
      <c r="AJ386" s="13"/>
      <c r="AK386" s="242"/>
      <c r="AL386" s="242"/>
      <c r="AM386" s="242"/>
      <c r="AN386" s="242"/>
      <c r="AO386" s="242"/>
    </row>
    <row r="387">
      <c r="A387" s="242"/>
      <c r="B387" s="13"/>
      <c r="C387" s="242"/>
      <c r="D387" s="242"/>
      <c r="E387" s="242"/>
      <c r="F387" s="242"/>
      <c r="G387" s="13"/>
      <c r="H387" s="13"/>
      <c r="I387" s="13"/>
      <c r="J387" s="13"/>
      <c r="K387" s="13"/>
      <c r="L387" s="242"/>
      <c r="M387" s="242"/>
      <c r="N387" s="242"/>
      <c r="O387" s="242"/>
      <c r="P387" s="242"/>
      <c r="Q387" s="525"/>
      <c r="R387" s="242"/>
      <c r="S387" s="242"/>
      <c r="T387" s="242"/>
      <c r="U387" s="242"/>
      <c r="V387" s="242"/>
      <c r="W387" s="242"/>
      <c r="X387" s="242"/>
      <c r="Y387" s="242"/>
      <c r="Z387" s="242"/>
      <c r="AA387" s="242"/>
      <c r="AB387" s="242"/>
      <c r="AC387" s="242"/>
      <c r="AD387" s="242"/>
      <c r="AE387" s="242"/>
      <c r="AF387" s="242"/>
      <c r="AG387" s="242"/>
      <c r="AH387" s="242"/>
      <c r="AI387" s="242"/>
      <c r="AJ387" s="13"/>
      <c r="AK387" s="242"/>
      <c r="AL387" s="242"/>
      <c r="AM387" s="242"/>
      <c r="AN387" s="242"/>
      <c r="AO387" s="242"/>
    </row>
    <row r="388">
      <c r="A388" s="242"/>
      <c r="B388" s="13"/>
      <c r="C388" s="242"/>
      <c r="D388" s="242"/>
      <c r="E388" s="242"/>
      <c r="F388" s="242"/>
      <c r="G388" s="13"/>
      <c r="H388" s="13"/>
      <c r="I388" s="13"/>
      <c r="J388" s="13"/>
      <c r="K388" s="13"/>
      <c r="L388" s="242"/>
      <c r="M388" s="242"/>
      <c r="N388" s="242"/>
      <c r="O388" s="242"/>
      <c r="P388" s="242"/>
      <c r="Q388" s="525"/>
      <c r="R388" s="242"/>
      <c r="S388" s="242"/>
      <c r="T388" s="242"/>
      <c r="U388" s="242"/>
      <c r="V388" s="242"/>
      <c r="W388" s="242"/>
      <c r="X388" s="242"/>
      <c r="Y388" s="242"/>
      <c r="Z388" s="242"/>
      <c r="AA388" s="242"/>
      <c r="AB388" s="242"/>
      <c r="AC388" s="242"/>
      <c r="AD388" s="242"/>
      <c r="AE388" s="242"/>
      <c r="AF388" s="242"/>
      <c r="AG388" s="242"/>
      <c r="AH388" s="242"/>
      <c r="AI388" s="242"/>
      <c r="AJ388" s="13"/>
      <c r="AK388" s="242"/>
      <c r="AL388" s="242"/>
      <c r="AM388" s="242"/>
      <c r="AN388" s="242"/>
      <c r="AO388" s="242"/>
    </row>
    <row r="389">
      <c r="A389" s="242"/>
      <c r="B389" s="13"/>
      <c r="C389" s="242"/>
      <c r="D389" s="242"/>
      <c r="E389" s="242"/>
      <c r="F389" s="242"/>
      <c r="G389" s="13"/>
      <c r="H389" s="13"/>
      <c r="I389" s="13"/>
      <c r="J389" s="13"/>
      <c r="K389" s="13"/>
      <c r="L389" s="242"/>
      <c r="M389" s="242"/>
      <c r="N389" s="242"/>
      <c r="O389" s="242"/>
      <c r="P389" s="242"/>
      <c r="Q389" s="525"/>
      <c r="R389" s="242"/>
      <c r="S389" s="242"/>
      <c r="T389" s="242"/>
      <c r="U389" s="242"/>
      <c r="V389" s="242"/>
      <c r="W389" s="242"/>
      <c r="X389" s="242"/>
      <c r="Y389" s="242"/>
      <c r="Z389" s="242"/>
      <c r="AA389" s="242"/>
      <c r="AB389" s="242"/>
      <c r="AC389" s="242"/>
      <c r="AD389" s="242"/>
      <c r="AE389" s="242"/>
      <c r="AF389" s="242"/>
      <c r="AG389" s="242"/>
      <c r="AH389" s="242"/>
      <c r="AI389" s="242"/>
      <c r="AJ389" s="13"/>
      <c r="AK389" s="242"/>
      <c r="AL389" s="242"/>
      <c r="AM389" s="242"/>
      <c r="AN389" s="242"/>
      <c r="AO389" s="242"/>
    </row>
    <row r="390">
      <c r="A390" s="242"/>
      <c r="B390" s="13"/>
      <c r="C390" s="242"/>
      <c r="D390" s="242"/>
      <c r="E390" s="242"/>
      <c r="F390" s="242"/>
      <c r="G390" s="13"/>
      <c r="H390" s="13"/>
      <c r="I390" s="13"/>
      <c r="J390" s="13"/>
      <c r="K390" s="13"/>
      <c r="L390" s="242"/>
      <c r="M390" s="242"/>
      <c r="N390" s="242"/>
      <c r="O390" s="242"/>
      <c r="P390" s="242"/>
      <c r="Q390" s="525"/>
      <c r="R390" s="242"/>
      <c r="S390" s="242"/>
      <c r="T390" s="242"/>
      <c r="U390" s="242"/>
      <c r="V390" s="242"/>
      <c r="W390" s="242"/>
      <c r="X390" s="242"/>
      <c r="Y390" s="242"/>
      <c r="Z390" s="242"/>
      <c r="AA390" s="242"/>
      <c r="AB390" s="242"/>
      <c r="AC390" s="242"/>
      <c r="AD390" s="242"/>
      <c r="AE390" s="242"/>
      <c r="AF390" s="242"/>
      <c r="AG390" s="242"/>
      <c r="AH390" s="242"/>
      <c r="AI390" s="242"/>
      <c r="AJ390" s="13"/>
      <c r="AK390" s="242"/>
      <c r="AL390" s="242"/>
      <c r="AM390" s="242"/>
      <c r="AN390" s="242"/>
      <c r="AO390" s="242"/>
    </row>
    <row r="391">
      <c r="A391" s="242"/>
      <c r="B391" s="13"/>
      <c r="C391" s="242"/>
      <c r="D391" s="242"/>
      <c r="E391" s="242"/>
      <c r="F391" s="242"/>
      <c r="G391" s="13"/>
      <c r="H391" s="13"/>
      <c r="I391" s="13"/>
      <c r="J391" s="13"/>
      <c r="K391" s="13"/>
      <c r="L391" s="242"/>
      <c r="M391" s="242"/>
      <c r="N391" s="242"/>
      <c r="O391" s="242"/>
      <c r="P391" s="242"/>
      <c r="Q391" s="525"/>
      <c r="R391" s="242"/>
      <c r="S391" s="242"/>
      <c r="T391" s="242"/>
      <c r="U391" s="242"/>
      <c r="V391" s="242"/>
      <c r="W391" s="242"/>
      <c r="X391" s="242"/>
      <c r="Y391" s="242"/>
      <c r="Z391" s="242"/>
      <c r="AA391" s="242"/>
      <c r="AB391" s="242"/>
      <c r="AC391" s="242"/>
      <c r="AD391" s="242"/>
      <c r="AE391" s="242"/>
      <c r="AF391" s="242"/>
      <c r="AG391" s="242"/>
      <c r="AH391" s="242"/>
      <c r="AI391" s="242"/>
      <c r="AJ391" s="13"/>
      <c r="AK391" s="242"/>
      <c r="AL391" s="242"/>
      <c r="AM391" s="242"/>
      <c r="AN391" s="242"/>
      <c r="AO391" s="242"/>
    </row>
    <row r="392">
      <c r="A392" s="242"/>
      <c r="B392" s="13"/>
      <c r="C392" s="242"/>
      <c r="D392" s="242"/>
      <c r="E392" s="242"/>
      <c r="F392" s="242"/>
      <c r="G392" s="13"/>
      <c r="H392" s="13"/>
      <c r="I392" s="13"/>
      <c r="J392" s="13"/>
      <c r="K392" s="13"/>
      <c r="L392" s="242"/>
      <c r="M392" s="242"/>
      <c r="N392" s="242"/>
      <c r="O392" s="242"/>
      <c r="P392" s="242"/>
      <c r="Q392" s="525"/>
      <c r="R392" s="242"/>
      <c r="S392" s="242"/>
      <c r="T392" s="242"/>
      <c r="U392" s="242"/>
      <c r="V392" s="242"/>
      <c r="W392" s="242"/>
      <c r="X392" s="242"/>
      <c r="Y392" s="242"/>
      <c r="Z392" s="242"/>
      <c r="AA392" s="242"/>
      <c r="AB392" s="242"/>
      <c r="AC392" s="242"/>
      <c r="AD392" s="242"/>
      <c r="AE392" s="242"/>
      <c r="AF392" s="242"/>
      <c r="AG392" s="242"/>
      <c r="AH392" s="242"/>
      <c r="AI392" s="242"/>
      <c r="AJ392" s="13"/>
      <c r="AK392" s="242"/>
      <c r="AL392" s="242"/>
      <c r="AM392" s="242"/>
      <c r="AN392" s="242"/>
      <c r="AO392" s="242"/>
    </row>
    <row r="393">
      <c r="A393" s="242"/>
      <c r="B393" s="13"/>
      <c r="C393" s="242"/>
      <c r="D393" s="242"/>
      <c r="E393" s="242"/>
      <c r="F393" s="242"/>
      <c r="G393" s="13"/>
      <c r="H393" s="13"/>
      <c r="I393" s="13"/>
      <c r="J393" s="13"/>
      <c r="K393" s="13"/>
      <c r="L393" s="242"/>
      <c r="M393" s="242"/>
      <c r="N393" s="242"/>
      <c r="O393" s="242"/>
      <c r="P393" s="242"/>
      <c r="Q393" s="525"/>
      <c r="R393" s="242"/>
      <c r="S393" s="242"/>
      <c r="T393" s="242"/>
      <c r="U393" s="242"/>
      <c r="V393" s="242"/>
      <c r="W393" s="242"/>
      <c r="X393" s="242"/>
      <c r="Y393" s="242"/>
      <c r="Z393" s="242"/>
      <c r="AA393" s="242"/>
      <c r="AB393" s="242"/>
      <c r="AC393" s="242"/>
      <c r="AD393" s="242"/>
      <c r="AE393" s="242"/>
      <c r="AF393" s="242"/>
      <c r="AG393" s="242"/>
      <c r="AH393" s="242"/>
      <c r="AI393" s="242"/>
      <c r="AJ393" s="13"/>
      <c r="AK393" s="242"/>
      <c r="AL393" s="242"/>
      <c r="AM393" s="242"/>
      <c r="AN393" s="242"/>
      <c r="AO393" s="242"/>
    </row>
    <row r="394">
      <c r="A394" s="242"/>
      <c r="B394" s="13"/>
      <c r="C394" s="242"/>
      <c r="D394" s="242"/>
      <c r="E394" s="242"/>
      <c r="F394" s="242"/>
      <c r="G394" s="13"/>
      <c r="H394" s="13"/>
      <c r="I394" s="13"/>
      <c r="J394" s="13"/>
      <c r="K394" s="13"/>
      <c r="L394" s="242"/>
      <c r="M394" s="242"/>
      <c r="N394" s="242"/>
      <c r="O394" s="242"/>
      <c r="P394" s="242"/>
      <c r="Q394" s="525"/>
      <c r="R394" s="242"/>
      <c r="S394" s="242"/>
      <c r="T394" s="242"/>
      <c r="U394" s="242"/>
      <c r="V394" s="242"/>
      <c r="W394" s="242"/>
      <c r="X394" s="242"/>
      <c r="Y394" s="242"/>
      <c r="Z394" s="242"/>
      <c r="AA394" s="242"/>
      <c r="AB394" s="242"/>
      <c r="AC394" s="242"/>
      <c r="AD394" s="242"/>
      <c r="AE394" s="242"/>
      <c r="AF394" s="242"/>
      <c r="AG394" s="242"/>
      <c r="AH394" s="242"/>
      <c r="AI394" s="242"/>
      <c r="AJ394" s="13"/>
      <c r="AK394" s="242"/>
      <c r="AL394" s="242"/>
      <c r="AM394" s="242"/>
      <c r="AN394" s="242"/>
      <c r="AO394" s="242"/>
    </row>
    <row r="395">
      <c r="A395" s="242"/>
      <c r="B395" s="13"/>
      <c r="C395" s="242"/>
      <c r="D395" s="242"/>
      <c r="E395" s="242"/>
      <c r="F395" s="242"/>
      <c r="G395" s="13"/>
      <c r="H395" s="13"/>
      <c r="I395" s="13"/>
      <c r="J395" s="13"/>
      <c r="K395" s="13"/>
      <c r="L395" s="242"/>
      <c r="M395" s="242"/>
      <c r="N395" s="242"/>
      <c r="O395" s="242"/>
      <c r="P395" s="242"/>
      <c r="Q395" s="525"/>
      <c r="R395" s="242"/>
      <c r="S395" s="242"/>
      <c r="T395" s="242"/>
      <c r="U395" s="242"/>
      <c r="V395" s="242"/>
      <c r="W395" s="242"/>
      <c r="X395" s="242"/>
      <c r="Y395" s="242"/>
      <c r="Z395" s="242"/>
      <c r="AA395" s="242"/>
      <c r="AB395" s="242"/>
      <c r="AC395" s="242"/>
      <c r="AD395" s="242"/>
      <c r="AE395" s="242"/>
      <c r="AF395" s="242"/>
      <c r="AG395" s="242"/>
      <c r="AH395" s="242"/>
      <c r="AI395" s="242"/>
      <c r="AJ395" s="13"/>
      <c r="AK395" s="242"/>
      <c r="AL395" s="242"/>
      <c r="AM395" s="242"/>
      <c r="AN395" s="242"/>
      <c r="AO395" s="242"/>
    </row>
    <row r="396">
      <c r="A396" s="242"/>
      <c r="B396" s="13"/>
      <c r="C396" s="242"/>
      <c r="D396" s="242"/>
      <c r="E396" s="242"/>
      <c r="F396" s="242"/>
      <c r="G396" s="13"/>
      <c r="H396" s="13"/>
      <c r="I396" s="13"/>
      <c r="J396" s="13"/>
      <c r="K396" s="13"/>
      <c r="L396" s="242"/>
      <c r="M396" s="242"/>
      <c r="N396" s="242"/>
      <c r="O396" s="242"/>
      <c r="P396" s="242"/>
      <c r="Q396" s="525"/>
      <c r="R396" s="242"/>
      <c r="S396" s="242"/>
      <c r="T396" s="242"/>
      <c r="U396" s="242"/>
      <c r="V396" s="242"/>
      <c r="W396" s="242"/>
      <c r="X396" s="242"/>
      <c r="Y396" s="242"/>
      <c r="Z396" s="242"/>
      <c r="AA396" s="242"/>
      <c r="AB396" s="242"/>
      <c r="AC396" s="242"/>
      <c r="AD396" s="242"/>
      <c r="AE396" s="242"/>
      <c r="AF396" s="242"/>
      <c r="AG396" s="242"/>
      <c r="AH396" s="242"/>
      <c r="AI396" s="242"/>
      <c r="AJ396" s="13"/>
      <c r="AK396" s="242"/>
      <c r="AL396" s="242"/>
      <c r="AM396" s="242"/>
      <c r="AN396" s="242"/>
      <c r="AO396" s="242"/>
    </row>
    <row r="397">
      <c r="A397" s="242"/>
      <c r="B397" s="13"/>
      <c r="C397" s="242"/>
      <c r="D397" s="242"/>
      <c r="E397" s="242"/>
      <c r="F397" s="242"/>
      <c r="G397" s="13"/>
      <c r="H397" s="13"/>
      <c r="I397" s="13"/>
      <c r="J397" s="13"/>
      <c r="K397" s="13"/>
      <c r="L397" s="242"/>
      <c r="M397" s="242"/>
      <c r="N397" s="242"/>
      <c r="O397" s="242"/>
      <c r="P397" s="242"/>
      <c r="Q397" s="525"/>
      <c r="R397" s="242"/>
      <c r="S397" s="242"/>
      <c r="T397" s="242"/>
      <c r="U397" s="242"/>
      <c r="V397" s="242"/>
      <c r="W397" s="242"/>
      <c r="X397" s="242"/>
      <c r="Y397" s="242"/>
      <c r="Z397" s="242"/>
      <c r="AA397" s="242"/>
      <c r="AB397" s="242"/>
      <c r="AC397" s="242"/>
      <c r="AD397" s="242"/>
      <c r="AE397" s="242"/>
      <c r="AF397" s="242"/>
      <c r="AG397" s="242"/>
      <c r="AH397" s="242"/>
      <c r="AI397" s="242"/>
      <c r="AJ397" s="13"/>
      <c r="AK397" s="242"/>
      <c r="AL397" s="242"/>
      <c r="AM397" s="242"/>
      <c r="AN397" s="242"/>
      <c r="AO397" s="242"/>
    </row>
    <row r="398">
      <c r="A398" s="242"/>
      <c r="B398" s="13"/>
      <c r="C398" s="242"/>
      <c r="D398" s="242"/>
      <c r="E398" s="242"/>
      <c r="F398" s="242"/>
      <c r="G398" s="13"/>
      <c r="H398" s="13"/>
      <c r="I398" s="13"/>
      <c r="J398" s="13"/>
      <c r="K398" s="13"/>
      <c r="L398" s="242"/>
      <c r="M398" s="242"/>
      <c r="N398" s="242"/>
      <c r="O398" s="242"/>
      <c r="P398" s="242"/>
      <c r="Q398" s="525"/>
      <c r="R398" s="242"/>
      <c r="S398" s="242"/>
      <c r="T398" s="242"/>
      <c r="U398" s="242"/>
      <c r="V398" s="242"/>
      <c r="W398" s="242"/>
      <c r="X398" s="242"/>
      <c r="Y398" s="242"/>
      <c r="Z398" s="242"/>
      <c r="AA398" s="242"/>
      <c r="AB398" s="242"/>
      <c r="AC398" s="242"/>
      <c r="AD398" s="242"/>
      <c r="AE398" s="242"/>
      <c r="AF398" s="242"/>
      <c r="AG398" s="242"/>
      <c r="AH398" s="242"/>
      <c r="AI398" s="242"/>
      <c r="AJ398" s="13"/>
      <c r="AK398" s="242"/>
      <c r="AL398" s="242"/>
      <c r="AM398" s="242"/>
      <c r="AN398" s="242"/>
      <c r="AO398" s="242"/>
    </row>
    <row r="399">
      <c r="A399" s="242"/>
      <c r="B399" s="13"/>
      <c r="C399" s="242"/>
      <c r="D399" s="242"/>
      <c r="E399" s="242"/>
      <c r="F399" s="242"/>
      <c r="G399" s="13"/>
      <c r="H399" s="13"/>
      <c r="I399" s="13"/>
      <c r="J399" s="13"/>
      <c r="K399" s="13"/>
      <c r="L399" s="242"/>
      <c r="M399" s="242"/>
      <c r="N399" s="242"/>
      <c r="O399" s="242"/>
      <c r="P399" s="242"/>
      <c r="Q399" s="525"/>
      <c r="R399" s="242"/>
      <c r="S399" s="242"/>
      <c r="T399" s="242"/>
      <c r="U399" s="242"/>
      <c r="V399" s="242"/>
      <c r="W399" s="242"/>
      <c r="X399" s="242"/>
      <c r="Y399" s="242"/>
      <c r="Z399" s="242"/>
      <c r="AA399" s="242"/>
      <c r="AB399" s="242"/>
      <c r="AC399" s="242"/>
      <c r="AD399" s="242"/>
      <c r="AE399" s="242"/>
      <c r="AF399" s="242"/>
      <c r="AG399" s="242"/>
      <c r="AH399" s="242"/>
      <c r="AI399" s="242"/>
      <c r="AJ399" s="13"/>
      <c r="AK399" s="242"/>
      <c r="AL399" s="242"/>
      <c r="AM399" s="242"/>
      <c r="AN399" s="242"/>
      <c r="AO399" s="242"/>
    </row>
    <row r="400">
      <c r="A400" s="242"/>
      <c r="B400" s="13"/>
      <c r="C400" s="242"/>
      <c r="D400" s="242"/>
      <c r="E400" s="242"/>
      <c r="F400" s="242"/>
      <c r="G400" s="13"/>
      <c r="H400" s="13"/>
      <c r="I400" s="13"/>
      <c r="J400" s="13"/>
      <c r="K400" s="13"/>
      <c r="L400" s="242"/>
      <c r="M400" s="242"/>
      <c r="N400" s="242"/>
      <c r="O400" s="242"/>
      <c r="P400" s="242"/>
      <c r="Q400" s="525"/>
      <c r="R400" s="242"/>
      <c r="S400" s="242"/>
      <c r="T400" s="242"/>
      <c r="U400" s="242"/>
      <c r="V400" s="242"/>
      <c r="W400" s="242"/>
      <c r="X400" s="242"/>
      <c r="Y400" s="242"/>
      <c r="Z400" s="242"/>
      <c r="AA400" s="242"/>
      <c r="AB400" s="242"/>
      <c r="AC400" s="242"/>
      <c r="AD400" s="242"/>
      <c r="AE400" s="242"/>
      <c r="AF400" s="242"/>
      <c r="AG400" s="242"/>
      <c r="AH400" s="242"/>
      <c r="AI400" s="242"/>
      <c r="AJ400" s="13"/>
      <c r="AK400" s="242"/>
      <c r="AL400" s="242"/>
      <c r="AM400" s="242"/>
      <c r="AN400" s="242"/>
      <c r="AO400" s="242"/>
    </row>
    <row r="401">
      <c r="A401" s="242"/>
      <c r="B401" s="13"/>
      <c r="C401" s="242"/>
      <c r="D401" s="242"/>
      <c r="E401" s="242"/>
      <c r="F401" s="242"/>
      <c r="G401" s="13"/>
      <c r="H401" s="13"/>
      <c r="I401" s="13"/>
      <c r="J401" s="13"/>
      <c r="K401" s="13"/>
      <c r="L401" s="242"/>
      <c r="M401" s="242"/>
      <c r="N401" s="242"/>
      <c r="O401" s="242"/>
      <c r="P401" s="242"/>
      <c r="Q401" s="525"/>
      <c r="R401" s="242"/>
      <c r="S401" s="242"/>
      <c r="T401" s="242"/>
      <c r="U401" s="242"/>
      <c r="V401" s="242"/>
      <c r="W401" s="242"/>
      <c r="X401" s="242"/>
      <c r="Y401" s="242"/>
      <c r="Z401" s="242"/>
      <c r="AA401" s="242"/>
      <c r="AB401" s="242"/>
      <c r="AC401" s="242"/>
      <c r="AD401" s="242"/>
      <c r="AE401" s="242"/>
      <c r="AF401" s="242"/>
      <c r="AG401" s="242"/>
      <c r="AH401" s="242"/>
      <c r="AI401" s="242"/>
      <c r="AJ401" s="13"/>
      <c r="AK401" s="242"/>
      <c r="AL401" s="242"/>
      <c r="AM401" s="242"/>
      <c r="AN401" s="242"/>
      <c r="AO401" s="242"/>
    </row>
    <row r="402">
      <c r="A402" s="242"/>
      <c r="B402" s="13"/>
      <c r="C402" s="242"/>
      <c r="D402" s="242"/>
      <c r="E402" s="242"/>
      <c r="F402" s="242"/>
      <c r="G402" s="13"/>
      <c r="H402" s="13"/>
      <c r="I402" s="13"/>
      <c r="J402" s="13"/>
      <c r="K402" s="13"/>
      <c r="L402" s="242"/>
      <c r="M402" s="242"/>
      <c r="N402" s="242"/>
      <c r="O402" s="242"/>
      <c r="P402" s="242"/>
      <c r="Q402" s="525"/>
      <c r="R402" s="242"/>
      <c r="S402" s="242"/>
      <c r="T402" s="242"/>
      <c r="U402" s="242"/>
      <c r="V402" s="242"/>
      <c r="W402" s="242"/>
      <c r="X402" s="242"/>
      <c r="Y402" s="242"/>
      <c r="Z402" s="242"/>
      <c r="AA402" s="242"/>
      <c r="AB402" s="242"/>
      <c r="AC402" s="242"/>
      <c r="AD402" s="242"/>
      <c r="AE402" s="242"/>
      <c r="AF402" s="242"/>
      <c r="AG402" s="242"/>
      <c r="AH402" s="242"/>
      <c r="AI402" s="242"/>
      <c r="AJ402" s="13"/>
      <c r="AK402" s="242"/>
      <c r="AL402" s="242"/>
      <c r="AM402" s="242"/>
      <c r="AN402" s="242"/>
      <c r="AO402" s="242"/>
    </row>
    <row r="403">
      <c r="A403" s="242"/>
      <c r="B403" s="13"/>
      <c r="C403" s="242"/>
      <c r="D403" s="242"/>
      <c r="E403" s="242"/>
      <c r="F403" s="242"/>
      <c r="G403" s="13"/>
      <c r="H403" s="13"/>
      <c r="I403" s="13"/>
      <c r="J403" s="13"/>
      <c r="K403" s="13"/>
      <c r="L403" s="242"/>
      <c r="M403" s="242"/>
      <c r="N403" s="242"/>
      <c r="O403" s="242"/>
      <c r="P403" s="242"/>
      <c r="Q403" s="525"/>
      <c r="R403" s="242"/>
      <c r="S403" s="242"/>
      <c r="T403" s="242"/>
      <c r="U403" s="242"/>
      <c r="V403" s="242"/>
      <c r="W403" s="242"/>
      <c r="X403" s="242"/>
      <c r="Y403" s="242"/>
      <c r="Z403" s="242"/>
      <c r="AA403" s="242"/>
      <c r="AB403" s="242"/>
      <c r="AC403" s="242"/>
      <c r="AD403" s="242"/>
      <c r="AE403" s="242"/>
      <c r="AF403" s="242"/>
      <c r="AG403" s="242"/>
      <c r="AH403" s="242"/>
      <c r="AI403" s="242"/>
      <c r="AJ403" s="13"/>
      <c r="AK403" s="242"/>
      <c r="AL403" s="242"/>
      <c r="AM403" s="242"/>
      <c r="AN403" s="242"/>
      <c r="AO403" s="242"/>
    </row>
    <row r="404">
      <c r="A404" s="242"/>
      <c r="B404" s="13"/>
      <c r="C404" s="242"/>
      <c r="D404" s="242"/>
      <c r="E404" s="242"/>
      <c r="F404" s="242"/>
      <c r="G404" s="13"/>
      <c r="H404" s="13"/>
      <c r="I404" s="13"/>
      <c r="J404" s="13"/>
      <c r="K404" s="13"/>
      <c r="L404" s="242"/>
      <c r="M404" s="242"/>
      <c r="N404" s="242"/>
      <c r="O404" s="242"/>
      <c r="P404" s="242"/>
      <c r="Q404" s="525"/>
      <c r="R404" s="242"/>
      <c r="S404" s="242"/>
      <c r="T404" s="242"/>
      <c r="U404" s="242"/>
      <c r="V404" s="242"/>
      <c r="W404" s="242"/>
      <c r="X404" s="242"/>
      <c r="Y404" s="242"/>
      <c r="Z404" s="242"/>
      <c r="AA404" s="242"/>
      <c r="AB404" s="242"/>
      <c r="AC404" s="242"/>
      <c r="AD404" s="242"/>
      <c r="AE404" s="242"/>
      <c r="AF404" s="242"/>
      <c r="AG404" s="242"/>
      <c r="AH404" s="242"/>
      <c r="AI404" s="242"/>
      <c r="AJ404" s="13"/>
      <c r="AK404" s="242"/>
      <c r="AL404" s="242"/>
      <c r="AM404" s="242"/>
      <c r="AN404" s="242"/>
      <c r="AO404" s="242"/>
    </row>
    <row r="405">
      <c r="A405" s="242"/>
      <c r="B405" s="13"/>
      <c r="C405" s="242"/>
      <c r="D405" s="242"/>
      <c r="E405" s="242"/>
      <c r="F405" s="242"/>
      <c r="G405" s="13"/>
      <c r="H405" s="13"/>
      <c r="I405" s="13"/>
      <c r="J405" s="13"/>
      <c r="K405" s="13"/>
      <c r="L405" s="242"/>
      <c r="M405" s="242"/>
      <c r="N405" s="242"/>
      <c r="O405" s="242"/>
      <c r="P405" s="242"/>
      <c r="Q405" s="525"/>
      <c r="R405" s="242"/>
      <c r="S405" s="242"/>
      <c r="T405" s="242"/>
      <c r="U405" s="242"/>
      <c r="V405" s="242"/>
      <c r="W405" s="242"/>
      <c r="X405" s="242"/>
      <c r="Y405" s="242"/>
      <c r="Z405" s="242"/>
      <c r="AA405" s="242"/>
      <c r="AB405" s="242"/>
      <c r="AC405" s="242"/>
      <c r="AD405" s="242"/>
      <c r="AE405" s="242"/>
      <c r="AF405" s="242"/>
      <c r="AG405" s="242"/>
      <c r="AH405" s="242"/>
      <c r="AI405" s="242"/>
      <c r="AJ405" s="13"/>
      <c r="AK405" s="242"/>
      <c r="AL405" s="242"/>
      <c r="AM405" s="242"/>
      <c r="AN405" s="242"/>
      <c r="AO405" s="242"/>
    </row>
    <row r="406">
      <c r="A406" s="242"/>
      <c r="B406" s="13"/>
      <c r="C406" s="242"/>
      <c r="D406" s="242"/>
      <c r="E406" s="242"/>
      <c r="F406" s="242"/>
      <c r="G406" s="13"/>
      <c r="H406" s="13"/>
      <c r="I406" s="13"/>
      <c r="J406" s="13"/>
      <c r="K406" s="13"/>
      <c r="L406" s="242"/>
      <c r="M406" s="242"/>
      <c r="N406" s="242"/>
      <c r="O406" s="242"/>
      <c r="P406" s="242"/>
      <c r="Q406" s="525"/>
      <c r="R406" s="242"/>
      <c r="S406" s="242"/>
      <c r="T406" s="242"/>
      <c r="U406" s="242"/>
      <c r="V406" s="242"/>
      <c r="W406" s="242"/>
      <c r="X406" s="242"/>
      <c r="Y406" s="242"/>
      <c r="Z406" s="242"/>
      <c r="AA406" s="242"/>
      <c r="AB406" s="242"/>
      <c r="AC406" s="242"/>
      <c r="AD406" s="242"/>
      <c r="AE406" s="242"/>
      <c r="AF406" s="242"/>
      <c r="AG406" s="242"/>
      <c r="AH406" s="242"/>
      <c r="AI406" s="242"/>
      <c r="AJ406" s="13"/>
      <c r="AK406" s="242"/>
      <c r="AL406" s="242"/>
      <c r="AM406" s="242"/>
      <c r="AN406" s="242"/>
      <c r="AO406" s="242"/>
    </row>
    <row r="407">
      <c r="A407" s="242"/>
      <c r="B407" s="13"/>
      <c r="C407" s="242"/>
      <c r="D407" s="242"/>
      <c r="E407" s="242"/>
      <c r="F407" s="242"/>
      <c r="G407" s="13"/>
      <c r="H407" s="13"/>
      <c r="I407" s="13"/>
      <c r="J407" s="13"/>
      <c r="K407" s="13"/>
      <c r="L407" s="242"/>
      <c r="M407" s="242"/>
      <c r="N407" s="242"/>
      <c r="O407" s="242"/>
      <c r="P407" s="242"/>
      <c r="Q407" s="525"/>
      <c r="R407" s="242"/>
      <c r="S407" s="242"/>
      <c r="T407" s="242"/>
      <c r="U407" s="242"/>
      <c r="V407" s="242"/>
      <c r="W407" s="242"/>
      <c r="X407" s="242"/>
      <c r="Y407" s="242"/>
      <c r="Z407" s="242"/>
      <c r="AA407" s="242"/>
      <c r="AB407" s="242"/>
      <c r="AC407" s="242"/>
      <c r="AD407" s="242"/>
      <c r="AE407" s="242"/>
      <c r="AF407" s="242"/>
      <c r="AG407" s="242"/>
      <c r="AH407" s="242"/>
      <c r="AI407" s="242"/>
      <c r="AJ407" s="13"/>
      <c r="AK407" s="242"/>
      <c r="AL407" s="242"/>
      <c r="AM407" s="242"/>
      <c r="AN407" s="242"/>
      <c r="AO407" s="242"/>
    </row>
    <row r="408">
      <c r="A408" s="242"/>
      <c r="B408" s="13"/>
      <c r="C408" s="242"/>
      <c r="D408" s="242"/>
      <c r="E408" s="242"/>
      <c r="F408" s="242"/>
      <c r="G408" s="13"/>
      <c r="H408" s="13"/>
      <c r="I408" s="13"/>
      <c r="J408" s="13"/>
      <c r="K408" s="13"/>
      <c r="L408" s="242"/>
      <c r="M408" s="242"/>
      <c r="N408" s="242"/>
      <c r="O408" s="242"/>
      <c r="P408" s="242"/>
      <c r="Q408" s="525"/>
      <c r="R408" s="242"/>
      <c r="S408" s="242"/>
      <c r="T408" s="242"/>
      <c r="U408" s="242"/>
      <c r="V408" s="242"/>
      <c r="W408" s="242"/>
      <c r="X408" s="242"/>
      <c r="Y408" s="242"/>
      <c r="Z408" s="242"/>
      <c r="AA408" s="242"/>
      <c r="AB408" s="242"/>
      <c r="AC408" s="242"/>
      <c r="AD408" s="242"/>
      <c r="AE408" s="242"/>
      <c r="AF408" s="242"/>
      <c r="AG408" s="242"/>
      <c r="AH408" s="242"/>
      <c r="AI408" s="242"/>
      <c r="AJ408" s="13"/>
      <c r="AK408" s="242"/>
      <c r="AL408" s="242"/>
      <c r="AM408" s="242"/>
      <c r="AN408" s="242"/>
      <c r="AO408" s="242"/>
    </row>
    <row r="409">
      <c r="A409" s="242"/>
      <c r="B409" s="13"/>
      <c r="C409" s="242"/>
      <c r="D409" s="242"/>
      <c r="E409" s="242"/>
      <c r="F409" s="242"/>
      <c r="G409" s="13"/>
      <c r="H409" s="13"/>
      <c r="I409" s="13"/>
      <c r="J409" s="13"/>
      <c r="K409" s="13"/>
      <c r="L409" s="242"/>
      <c r="M409" s="242"/>
      <c r="N409" s="242"/>
      <c r="O409" s="242"/>
      <c r="P409" s="242"/>
      <c r="Q409" s="525"/>
      <c r="R409" s="242"/>
      <c r="S409" s="242"/>
      <c r="T409" s="242"/>
      <c r="U409" s="242"/>
      <c r="V409" s="242"/>
      <c r="W409" s="242"/>
      <c r="X409" s="242"/>
      <c r="Y409" s="242"/>
      <c r="Z409" s="242"/>
      <c r="AA409" s="242"/>
      <c r="AB409" s="242"/>
      <c r="AC409" s="242"/>
      <c r="AD409" s="242"/>
      <c r="AE409" s="242"/>
      <c r="AF409" s="242"/>
      <c r="AG409" s="242"/>
      <c r="AH409" s="242"/>
      <c r="AI409" s="242"/>
      <c r="AJ409" s="13"/>
      <c r="AK409" s="242"/>
      <c r="AL409" s="242"/>
      <c r="AM409" s="242"/>
      <c r="AN409" s="242"/>
      <c r="AO409" s="242"/>
    </row>
    <row r="410">
      <c r="A410" s="242"/>
      <c r="B410" s="13"/>
      <c r="C410" s="242"/>
      <c r="D410" s="242"/>
      <c r="E410" s="242"/>
      <c r="F410" s="242"/>
      <c r="G410" s="13"/>
      <c r="H410" s="13"/>
      <c r="I410" s="13"/>
      <c r="J410" s="13"/>
      <c r="K410" s="13"/>
      <c r="L410" s="242"/>
      <c r="M410" s="242"/>
      <c r="N410" s="242"/>
      <c r="O410" s="242"/>
      <c r="P410" s="242"/>
      <c r="Q410" s="525"/>
      <c r="R410" s="242"/>
      <c r="S410" s="242"/>
      <c r="T410" s="242"/>
      <c r="U410" s="242"/>
      <c r="V410" s="242"/>
      <c r="W410" s="242"/>
      <c r="X410" s="242"/>
      <c r="Y410" s="242"/>
      <c r="Z410" s="242"/>
      <c r="AA410" s="242"/>
      <c r="AB410" s="242"/>
      <c r="AC410" s="242"/>
      <c r="AD410" s="242"/>
      <c r="AE410" s="242"/>
      <c r="AF410" s="242"/>
      <c r="AG410" s="242"/>
      <c r="AH410" s="242"/>
      <c r="AI410" s="242"/>
      <c r="AJ410" s="13"/>
      <c r="AK410" s="242"/>
      <c r="AL410" s="242"/>
      <c r="AM410" s="242"/>
      <c r="AN410" s="242"/>
      <c r="AO410" s="242"/>
    </row>
    <row r="411">
      <c r="A411" s="242"/>
      <c r="B411" s="13"/>
      <c r="C411" s="242"/>
      <c r="D411" s="242"/>
      <c r="E411" s="242"/>
      <c r="F411" s="242"/>
      <c r="G411" s="13"/>
      <c r="H411" s="13"/>
      <c r="I411" s="13"/>
      <c r="J411" s="13"/>
      <c r="K411" s="13"/>
      <c r="L411" s="242"/>
      <c r="M411" s="242"/>
      <c r="N411" s="242"/>
      <c r="O411" s="242"/>
      <c r="P411" s="242"/>
      <c r="Q411" s="525"/>
      <c r="R411" s="242"/>
      <c r="S411" s="242"/>
      <c r="T411" s="242"/>
      <c r="U411" s="242"/>
      <c r="V411" s="242"/>
      <c r="W411" s="242"/>
      <c r="X411" s="242"/>
      <c r="Y411" s="242"/>
      <c r="Z411" s="242"/>
      <c r="AA411" s="242"/>
      <c r="AB411" s="242"/>
      <c r="AC411" s="242"/>
      <c r="AD411" s="242"/>
      <c r="AE411" s="242"/>
      <c r="AF411" s="242"/>
      <c r="AG411" s="242"/>
      <c r="AH411" s="242"/>
      <c r="AI411" s="242"/>
      <c r="AJ411" s="13"/>
      <c r="AK411" s="242"/>
      <c r="AL411" s="242"/>
      <c r="AM411" s="242"/>
      <c r="AN411" s="242"/>
      <c r="AO411" s="242"/>
    </row>
    <row r="412">
      <c r="A412" s="242"/>
      <c r="B412" s="13"/>
      <c r="C412" s="242"/>
      <c r="D412" s="242"/>
      <c r="E412" s="242"/>
      <c r="F412" s="242"/>
      <c r="G412" s="13"/>
      <c r="H412" s="13"/>
      <c r="I412" s="13"/>
      <c r="J412" s="13"/>
      <c r="K412" s="13"/>
      <c r="L412" s="242"/>
      <c r="M412" s="242"/>
      <c r="N412" s="242"/>
      <c r="O412" s="242"/>
      <c r="P412" s="242"/>
      <c r="Q412" s="525"/>
      <c r="R412" s="242"/>
      <c r="S412" s="242"/>
      <c r="T412" s="242"/>
      <c r="U412" s="242"/>
      <c r="V412" s="242"/>
      <c r="W412" s="242"/>
      <c r="X412" s="242"/>
      <c r="Y412" s="242"/>
      <c r="Z412" s="242"/>
      <c r="AA412" s="242"/>
      <c r="AB412" s="242"/>
      <c r="AC412" s="242"/>
      <c r="AD412" s="242"/>
      <c r="AE412" s="242"/>
      <c r="AF412" s="242"/>
      <c r="AG412" s="242"/>
      <c r="AH412" s="242"/>
      <c r="AI412" s="242"/>
      <c r="AJ412" s="13"/>
      <c r="AK412" s="242"/>
      <c r="AL412" s="242"/>
      <c r="AM412" s="242"/>
      <c r="AN412" s="242"/>
      <c r="AO412" s="242"/>
    </row>
    <row r="413">
      <c r="A413" s="242"/>
      <c r="B413" s="13"/>
      <c r="C413" s="242"/>
      <c r="D413" s="242"/>
      <c r="E413" s="242"/>
      <c r="F413" s="242"/>
      <c r="G413" s="13"/>
      <c r="H413" s="13"/>
      <c r="I413" s="13"/>
      <c r="J413" s="13"/>
      <c r="K413" s="13"/>
      <c r="L413" s="242"/>
      <c r="M413" s="242"/>
      <c r="N413" s="242"/>
      <c r="O413" s="242"/>
      <c r="P413" s="242"/>
      <c r="Q413" s="525"/>
      <c r="R413" s="242"/>
      <c r="S413" s="242"/>
      <c r="T413" s="242"/>
      <c r="U413" s="242"/>
      <c r="V413" s="242"/>
      <c r="W413" s="242"/>
      <c r="X413" s="242"/>
      <c r="Y413" s="242"/>
      <c r="Z413" s="242"/>
      <c r="AA413" s="242"/>
      <c r="AB413" s="242"/>
      <c r="AC413" s="242"/>
      <c r="AD413" s="242"/>
      <c r="AE413" s="242"/>
      <c r="AF413" s="242"/>
      <c r="AG413" s="242"/>
      <c r="AH413" s="242"/>
      <c r="AI413" s="242"/>
      <c r="AJ413" s="13"/>
      <c r="AK413" s="242"/>
      <c r="AL413" s="242"/>
      <c r="AM413" s="242"/>
      <c r="AN413" s="242"/>
      <c r="AO413" s="242"/>
    </row>
    <row r="414">
      <c r="A414" s="242"/>
      <c r="B414" s="13"/>
      <c r="C414" s="242"/>
      <c r="D414" s="242"/>
      <c r="E414" s="242"/>
      <c r="F414" s="242"/>
      <c r="G414" s="13"/>
      <c r="H414" s="13"/>
      <c r="I414" s="13"/>
      <c r="J414" s="13"/>
      <c r="K414" s="13"/>
      <c r="L414" s="242"/>
      <c r="M414" s="242"/>
      <c r="N414" s="242"/>
      <c r="O414" s="242"/>
      <c r="P414" s="242"/>
      <c r="Q414" s="525"/>
      <c r="R414" s="242"/>
      <c r="S414" s="242"/>
      <c r="T414" s="242"/>
      <c r="U414" s="242"/>
      <c r="V414" s="242"/>
      <c r="W414" s="242"/>
      <c r="X414" s="242"/>
      <c r="Y414" s="242"/>
      <c r="Z414" s="242"/>
      <c r="AA414" s="242"/>
      <c r="AB414" s="242"/>
      <c r="AC414" s="242"/>
      <c r="AD414" s="242"/>
      <c r="AE414" s="242"/>
      <c r="AF414" s="242"/>
      <c r="AG414" s="242"/>
      <c r="AH414" s="242"/>
      <c r="AI414" s="242"/>
      <c r="AJ414" s="13"/>
      <c r="AK414" s="242"/>
      <c r="AL414" s="242"/>
      <c r="AM414" s="242"/>
      <c r="AN414" s="242"/>
      <c r="AO414" s="242"/>
    </row>
    <row r="415">
      <c r="A415" s="242"/>
      <c r="B415" s="13"/>
      <c r="C415" s="242"/>
      <c r="D415" s="242"/>
      <c r="E415" s="242"/>
      <c r="F415" s="242"/>
      <c r="G415" s="13"/>
      <c r="H415" s="13"/>
      <c r="I415" s="13"/>
      <c r="J415" s="13"/>
      <c r="K415" s="13"/>
      <c r="L415" s="242"/>
      <c r="M415" s="242"/>
      <c r="N415" s="242"/>
      <c r="O415" s="242"/>
      <c r="P415" s="242"/>
      <c r="Q415" s="525"/>
      <c r="R415" s="242"/>
      <c r="S415" s="242"/>
      <c r="T415" s="242"/>
      <c r="U415" s="242"/>
      <c r="V415" s="242"/>
      <c r="W415" s="242"/>
      <c r="X415" s="242"/>
      <c r="Y415" s="242"/>
      <c r="Z415" s="242"/>
      <c r="AA415" s="242"/>
      <c r="AB415" s="242"/>
      <c r="AC415" s="242"/>
      <c r="AD415" s="242"/>
      <c r="AE415" s="242"/>
      <c r="AF415" s="242"/>
      <c r="AG415" s="242"/>
      <c r="AH415" s="242"/>
      <c r="AI415" s="242"/>
      <c r="AJ415" s="13"/>
      <c r="AK415" s="242"/>
      <c r="AL415" s="242"/>
      <c r="AM415" s="242"/>
      <c r="AN415" s="242"/>
      <c r="AO415" s="242"/>
    </row>
    <row r="416">
      <c r="A416" s="242"/>
      <c r="B416" s="13"/>
      <c r="C416" s="242"/>
      <c r="D416" s="242"/>
      <c r="E416" s="242"/>
      <c r="F416" s="242"/>
      <c r="G416" s="13"/>
      <c r="H416" s="13"/>
      <c r="I416" s="13"/>
      <c r="J416" s="13"/>
      <c r="K416" s="13"/>
      <c r="L416" s="242"/>
      <c r="M416" s="242"/>
      <c r="N416" s="242"/>
      <c r="O416" s="242"/>
      <c r="P416" s="242"/>
      <c r="Q416" s="525"/>
      <c r="R416" s="242"/>
      <c r="S416" s="242"/>
      <c r="T416" s="242"/>
      <c r="U416" s="242"/>
      <c r="V416" s="242"/>
      <c r="W416" s="242"/>
      <c r="X416" s="242"/>
      <c r="Y416" s="242"/>
      <c r="Z416" s="242"/>
      <c r="AA416" s="242"/>
      <c r="AB416" s="242"/>
      <c r="AC416" s="242"/>
      <c r="AD416" s="242"/>
      <c r="AE416" s="242"/>
      <c r="AF416" s="242"/>
      <c r="AG416" s="242"/>
      <c r="AH416" s="242"/>
      <c r="AI416" s="242"/>
      <c r="AJ416" s="13"/>
      <c r="AK416" s="242"/>
      <c r="AL416" s="242"/>
      <c r="AM416" s="242"/>
      <c r="AN416" s="242"/>
      <c r="AO416" s="242"/>
    </row>
    <row r="417">
      <c r="A417" s="242"/>
      <c r="B417" s="13"/>
      <c r="C417" s="242"/>
      <c r="D417" s="242"/>
      <c r="E417" s="242"/>
      <c r="F417" s="242"/>
      <c r="G417" s="13"/>
      <c r="H417" s="13"/>
      <c r="I417" s="13"/>
      <c r="J417" s="13"/>
      <c r="K417" s="13"/>
      <c r="L417" s="242"/>
      <c r="M417" s="242"/>
      <c r="N417" s="242"/>
      <c r="O417" s="242"/>
      <c r="P417" s="242"/>
      <c r="Q417" s="525"/>
      <c r="R417" s="242"/>
      <c r="S417" s="242"/>
      <c r="T417" s="242"/>
      <c r="U417" s="242"/>
      <c r="V417" s="242"/>
      <c r="W417" s="242"/>
      <c r="X417" s="242"/>
      <c r="Y417" s="242"/>
      <c r="Z417" s="242"/>
      <c r="AA417" s="242"/>
      <c r="AB417" s="242"/>
      <c r="AC417" s="242"/>
      <c r="AD417" s="242"/>
      <c r="AE417" s="242"/>
      <c r="AF417" s="242"/>
      <c r="AG417" s="242"/>
      <c r="AH417" s="242"/>
      <c r="AI417" s="242"/>
      <c r="AJ417" s="13"/>
      <c r="AK417" s="242"/>
      <c r="AL417" s="242"/>
      <c r="AM417" s="242"/>
      <c r="AN417" s="242"/>
      <c r="AO417" s="242"/>
    </row>
    <row r="418">
      <c r="A418" s="242"/>
      <c r="B418" s="13"/>
      <c r="C418" s="242"/>
      <c r="D418" s="242"/>
      <c r="E418" s="242"/>
      <c r="F418" s="242"/>
      <c r="G418" s="13"/>
      <c r="H418" s="13"/>
      <c r="I418" s="13"/>
      <c r="J418" s="13"/>
      <c r="K418" s="13"/>
      <c r="L418" s="242"/>
      <c r="M418" s="242"/>
      <c r="N418" s="242"/>
      <c r="O418" s="242"/>
      <c r="P418" s="242"/>
      <c r="Q418" s="525"/>
      <c r="R418" s="242"/>
      <c r="S418" s="242"/>
      <c r="T418" s="242"/>
      <c r="U418" s="242"/>
      <c r="V418" s="242"/>
      <c r="W418" s="242"/>
      <c r="X418" s="242"/>
      <c r="Y418" s="242"/>
      <c r="Z418" s="242"/>
      <c r="AA418" s="242"/>
      <c r="AB418" s="242"/>
      <c r="AC418" s="242"/>
      <c r="AD418" s="242"/>
      <c r="AE418" s="242"/>
      <c r="AF418" s="242"/>
      <c r="AG418" s="242"/>
      <c r="AH418" s="242"/>
      <c r="AI418" s="242"/>
      <c r="AJ418" s="13"/>
      <c r="AK418" s="242"/>
      <c r="AL418" s="242"/>
      <c r="AM418" s="242"/>
      <c r="AN418" s="242"/>
      <c r="AO418" s="242"/>
    </row>
    <row r="419">
      <c r="A419" s="242"/>
      <c r="B419" s="13"/>
      <c r="C419" s="242"/>
      <c r="D419" s="242"/>
      <c r="E419" s="242"/>
      <c r="F419" s="242"/>
      <c r="G419" s="13"/>
      <c r="H419" s="13"/>
      <c r="I419" s="13"/>
      <c r="J419" s="13"/>
      <c r="K419" s="13"/>
      <c r="L419" s="242"/>
      <c r="M419" s="242"/>
      <c r="N419" s="242"/>
      <c r="O419" s="242"/>
      <c r="P419" s="242"/>
      <c r="Q419" s="525"/>
      <c r="R419" s="242"/>
      <c r="S419" s="242"/>
      <c r="T419" s="242"/>
      <c r="U419" s="242"/>
      <c r="V419" s="242"/>
      <c r="W419" s="242"/>
      <c r="X419" s="242"/>
      <c r="Y419" s="242"/>
      <c r="Z419" s="242"/>
      <c r="AA419" s="242"/>
      <c r="AB419" s="242"/>
      <c r="AC419" s="242"/>
      <c r="AD419" s="242"/>
      <c r="AE419" s="242"/>
      <c r="AF419" s="242"/>
      <c r="AG419" s="242"/>
      <c r="AH419" s="242"/>
      <c r="AI419" s="242"/>
      <c r="AJ419" s="13"/>
      <c r="AK419" s="242"/>
      <c r="AL419" s="242"/>
      <c r="AM419" s="242"/>
      <c r="AN419" s="242"/>
      <c r="AO419" s="242"/>
    </row>
    <row r="420">
      <c r="A420" s="242"/>
      <c r="B420" s="13"/>
      <c r="C420" s="242"/>
      <c r="D420" s="242"/>
      <c r="E420" s="242"/>
      <c r="F420" s="242"/>
      <c r="G420" s="13"/>
      <c r="H420" s="13"/>
      <c r="I420" s="13"/>
      <c r="J420" s="13"/>
      <c r="K420" s="13"/>
      <c r="L420" s="242"/>
      <c r="M420" s="242"/>
      <c r="N420" s="242"/>
      <c r="O420" s="242"/>
      <c r="P420" s="242"/>
      <c r="Q420" s="525"/>
      <c r="R420" s="242"/>
      <c r="S420" s="242"/>
      <c r="T420" s="242"/>
      <c r="U420" s="242"/>
      <c r="V420" s="242"/>
      <c r="W420" s="242"/>
      <c r="X420" s="242"/>
      <c r="Y420" s="242"/>
      <c r="Z420" s="242"/>
      <c r="AA420" s="242"/>
      <c r="AB420" s="242"/>
      <c r="AC420" s="242"/>
      <c r="AD420" s="242"/>
      <c r="AE420" s="242"/>
      <c r="AF420" s="242"/>
      <c r="AG420" s="242"/>
      <c r="AH420" s="242"/>
      <c r="AI420" s="242"/>
      <c r="AJ420" s="13"/>
      <c r="AK420" s="242"/>
      <c r="AL420" s="242"/>
      <c r="AM420" s="242"/>
      <c r="AN420" s="242"/>
      <c r="AO420" s="242"/>
    </row>
    <row r="421">
      <c r="A421" s="242"/>
      <c r="B421" s="13"/>
      <c r="C421" s="242"/>
      <c r="D421" s="242"/>
      <c r="E421" s="242"/>
      <c r="F421" s="242"/>
      <c r="G421" s="13"/>
      <c r="H421" s="13"/>
      <c r="I421" s="13"/>
      <c r="J421" s="13"/>
      <c r="K421" s="13"/>
      <c r="L421" s="242"/>
      <c r="M421" s="242"/>
      <c r="N421" s="242"/>
      <c r="O421" s="242"/>
      <c r="P421" s="242"/>
      <c r="Q421" s="525"/>
      <c r="R421" s="242"/>
      <c r="S421" s="242"/>
      <c r="T421" s="242"/>
      <c r="U421" s="242"/>
      <c r="V421" s="242"/>
      <c r="W421" s="242"/>
      <c r="X421" s="242"/>
      <c r="Y421" s="242"/>
      <c r="Z421" s="242"/>
      <c r="AA421" s="242"/>
      <c r="AB421" s="242"/>
      <c r="AC421" s="242"/>
      <c r="AD421" s="242"/>
      <c r="AE421" s="242"/>
      <c r="AF421" s="242"/>
      <c r="AG421" s="242"/>
      <c r="AH421" s="242"/>
      <c r="AI421" s="242"/>
      <c r="AJ421" s="13"/>
      <c r="AK421" s="242"/>
      <c r="AL421" s="242"/>
      <c r="AM421" s="242"/>
      <c r="AN421" s="242"/>
      <c r="AO421" s="242"/>
    </row>
    <row r="422">
      <c r="A422" s="242"/>
      <c r="B422" s="13"/>
      <c r="C422" s="242"/>
      <c r="D422" s="242"/>
      <c r="E422" s="242"/>
      <c r="F422" s="242"/>
      <c r="G422" s="13"/>
      <c r="H422" s="13"/>
      <c r="I422" s="13"/>
      <c r="J422" s="13"/>
      <c r="K422" s="13"/>
      <c r="L422" s="242"/>
      <c r="M422" s="242"/>
      <c r="N422" s="242"/>
      <c r="O422" s="242"/>
      <c r="P422" s="242"/>
      <c r="Q422" s="525"/>
      <c r="R422" s="242"/>
      <c r="S422" s="242"/>
      <c r="T422" s="242"/>
      <c r="U422" s="242"/>
      <c r="V422" s="242"/>
      <c r="W422" s="242"/>
      <c r="X422" s="242"/>
      <c r="Y422" s="242"/>
      <c r="Z422" s="242"/>
      <c r="AA422" s="242"/>
      <c r="AB422" s="242"/>
      <c r="AC422" s="242"/>
      <c r="AD422" s="242"/>
      <c r="AE422" s="242"/>
      <c r="AF422" s="242"/>
      <c r="AG422" s="242"/>
      <c r="AH422" s="242"/>
      <c r="AI422" s="242"/>
      <c r="AJ422" s="13"/>
      <c r="AK422" s="242"/>
      <c r="AL422" s="242"/>
      <c r="AM422" s="242"/>
      <c r="AN422" s="242"/>
      <c r="AO422" s="242"/>
    </row>
    <row r="423">
      <c r="A423" s="242"/>
      <c r="B423" s="13"/>
      <c r="C423" s="242"/>
      <c r="D423" s="242"/>
      <c r="E423" s="242"/>
      <c r="F423" s="242"/>
      <c r="G423" s="13"/>
      <c r="H423" s="13"/>
      <c r="I423" s="13"/>
      <c r="J423" s="13"/>
      <c r="K423" s="13"/>
      <c r="L423" s="242"/>
      <c r="M423" s="242"/>
      <c r="N423" s="242"/>
      <c r="O423" s="242"/>
      <c r="P423" s="242"/>
      <c r="Q423" s="525"/>
      <c r="R423" s="242"/>
      <c r="S423" s="242"/>
      <c r="T423" s="242"/>
      <c r="U423" s="242"/>
      <c r="V423" s="242"/>
      <c r="W423" s="242"/>
      <c r="X423" s="242"/>
      <c r="Y423" s="242"/>
      <c r="Z423" s="242"/>
      <c r="AA423" s="242"/>
      <c r="AB423" s="242"/>
      <c r="AC423" s="242"/>
      <c r="AD423" s="242"/>
      <c r="AE423" s="242"/>
      <c r="AF423" s="242"/>
      <c r="AG423" s="242"/>
      <c r="AH423" s="242"/>
      <c r="AI423" s="242"/>
      <c r="AJ423" s="13"/>
      <c r="AK423" s="242"/>
      <c r="AL423" s="242"/>
      <c r="AM423" s="242"/>
      <c r="AN423" s="242"/>
      <c r="AO423" s="242"/>
    </row>
    <row r="424">
      <c r="A424" s="242"/>
      <c r="B424" s="13"/>
      <c r="C424" s="242"/>
      <c r="D424" s="242"/>
      <c r="E424" s="242"/>
      <c r="F424" s="242"/>
      <c r="G424" s="13"/>
      <c r="H424" s="13"/>
      <c r="I424" s="13"/>
      <c r="J424" s="13"/>
      <c r="K424" s="13"/>
      <c r="L424" s="242"/>
      <c r="M424" s="242"/>
      <c r="N424" s="242"/>
      <c r="O424" s="242"/>
      <c r="P424" s="242"/>
      <c r="Q424" s="525"/>
      <c r="R424" s="242"/>
      <c r="S424" s="242"/>
      <c r="T424" s="242"/>
      <c r="U424" s="242"/>
      <c r="V424" s="242"/>
      <c r="W424" s="242"/>
      <c r="X424" s="242"/>
      <c r="Y424" s="242"/>
      <c r="Z424" s="242"/>
      <c r="AA424" s="242"/>
      <c r="AB424" s="242"/>
      <c r="AC424" s="242"/>
      <c r="AD424" s="242"/>
      <c r="AE424" s="242"/>
      <c r="AF424" s="242"/>
      <c r="AG424" s="242"/>
      <c r="AH424" s="242"/>
      <c r="AI424" s="242"/>
      <c r="AJ424" s="13"/>
      <c r="AK424" s="242"/>
      <c r="AL424" s="242"/>
      <c r="AM424" s="242"/>
      <c r="AN424" s="242"/>
      <c r="AO424" s="242"/>
    </row>
    <row r="425">
      <c r="A425" s="242"/>
      <c r="B425" s="13"/>
      <c r="C425" s="242"/>
      <c r="D425" s="242"/>
      <c r="E425" s="242"/>
      <c r="F425" s="242"/>
      <c r="G425" s="13"/>
      <c r="H425" s="13"/>
      <c r="I425" s="13"/>
      <c r="J425" s="13"/>
      <c r="K425" s="13"/>
      <c r="L425" s="242"/>
      <c r="M425" s="242"/>
      <c r="N425" s="242"/>
      <c r="O425" s="242"/>
      <c r="P425" s="242"/>
      <c r="Q425" s="525"/>
      <c r="R425" s="242"/>
      <c r="S425" s="242"/>
      <c r="T425" s="242"/>
      <c r="U425" s="242"/>
      <c r="V425" s="242"/>
      <c r="W425" s="242"/>
      <c r="X425" s="242"/>
      <c r="Y425" s="242"/>
      <c r="Z425" s="242"/>
      <c r="AA425" s="242"/>
      <c r="AB425" s="242"/>
      <c r="AC425" s="242"/>
      <c r="AD425" s="242"/>
      <c r="AE425" s="242"/>
      <c r="AF425" s="242"/>
      <c r="AG425" s="242"/>
      <c r="AH425" s="242"/>
      <c r="AI425" s="242"/>
      <c r="AJ425" s="13"/>
      <c r="AK425" s="242"/>
      <c r="AL425" s="242"/>
      <c r="AM425" s="242"/>
      <c r="AN425" s="242"/>
      <c r="AO425" s="242"/>
    </row>
    <row r="426">
      <c r="A426" s="242"/>
      <c r="B426" s="13"/>
      <c r="C426" s="242"/>
      <c r="D426" s="242"/>
      <c r="E426" s="242"/>
      <c r="F426" s="242"/>
      <c r="G426" s="13"/>
      <c r="H426" s="13"/>
      <c r="I426" s="13"/>
      <c r="J426" s="13"/>
      <c r="K426" s="13"/>
      <c r="L426" s="242"/>
      <c r="M426" s="242"/>
      <c r="N426" s="242"/>
      <c r="O426" s="242"/>
      <c r="P426" s="242"/>
      <c r="Q426" s="525"/>
      <c r="R426" s="242"/>
      <c r="S426" s="242"/>
      <c r="T426" s="242"/>
      <c r="U426" s="242"/>
      <c r="V426" s="242"/>
      <c r="W426" s="242"/>
      <c r="X426" s="242"/>
      <c r="Y426" s="242"/>
      <c r="Z426" s="242"/>
      <c r="AA426" s="242"/>
      <c r="AB426" s="242"/>
      <c r="AC426" s="242"/>
      <c r="AD426" s="242"/>
      <c r="AE426" s="242"/>
      <c r="AF426" s="242"/>
      <c r="AG426" s="242"/>
      <c r="AH426" s="242"/>
      <c r="AI426" s="242"/>
      <c r="AJ426" s="13"/>
      <c r="AK426" s="242"/>
      <c r="AL426" s="242"/>
      <c r="AM426" s="242"/>
      <c r="AN426" s="242"/>
      <c r="AO426" s="242"/>
    </row>
    <row r="427">
      <c r="A427" s="242"/>
      <c r="B427" s="13"/>
      <c r="C427" s="242"/>
      <c r="D427" s="242"/>
      <c r="E427" s="242"/>
      <c r="F427" s="242"/>
      <c r="G427" s="13"/>
      <c r="H427" s="13"/>
      <c r="I427" s="13"/>
      <c r="J427" s="13"/>
      <c r="K427" s="13"/>
      <c r="L427" s="242"/>
      <c r="M427" s="242"/>
      <c r="N427" s="242"/>
      <c r="O427" s="242"/>
      <c r="P427" s="242"/>
      <c r="Q427" s="525"/>
      <c r="R427" s="242"/>
      <c r="S427" s="242"/>
      <c r="T427" s="242"/>
      <c r="U427" s="242"/>
      <c r="V427" s="242"/>
      <c r="W427" s="242"/>
      <c r="X427" s="242"/>
      <c r="Y427" s="242"/>
      <c r="Z427" s="242"/>
      <c r="AA427" s="242"/>
      <c r="AB427" s="242"/>
      <c r="AC427" s="242"/>
      <c r="AD427" s="242"/>
      <c r="AE427" s="242"/>
      <c r="AF427" s="242"/>
      <c r="AG427" s="242"/>
      <c r="AH427" s="242"/>
      <c r="AI427" s="242"/>
      <c r="AJ427" s="13"/>
      <c r="AK427" s="242"/>
      <c r="AL427" s="242"/>
      <c r="AM427" s="242"/>
      <c r="AN427" s="242"/>
      <c r="AO427" s="242"/>
    </row>
    <row r="428">
      <c r="A428" s="242"/>
      <c r="B428" s="13"/>
      <c r="C428" s="242"/>
      <c r="D428" s="242"/>
      <c r="E428" s="242"/>
      <c r="F428" s="242"/>
      <c r="G428" s="13"/>
      <c r="H428" s="13"/>
      <c r="I428" s="13"/>
      <c r="J428" s="13"/>
      <c r="K428" s="13"/>
      <c r="L428" s="242"/>
      <c r="M428" s="242"/>
      <c r="N428" s="242"/>
      <c r="O428" s="242"/>
      <c r="P428" s="242"/>
      <c r="Q428" s="525"/>
      <c r="R428" s="242"/>
      <c r="S428" s="242"/>
      <c r="T428" s="242"/>
      <c r="U428" s="242"/>
      <c r="V428" s="242"/>
      <c r="W428" s="242"/>
      <c r="X428" s="242"/>
      <c r="Y428" s="242"/>
      <c r="Z428" s="242"/>
      <c r="AA428" s="242"/>
      <c r="AB428" s="242"/>
      <c r="AC428" s="242"/>
      <c r="AD428" s="242"/>
      <c r="AE428" s="242"/>
      <c r="AF428" s="242"/>
      <c r="AG428" s="242"/>
      <c r="AH428" s="242"/>
      <c r="AI428" s="242"/>
      <c r="AJ428" s="13"/>
      <c r="AK428" s="242"/>
      <c r="AL428" s="242"/>
      <c r="AM428" s="242"/>
      <c r="AN428" s="242"/>
      <c r="AO428" s="242"/>
    </row>
    <row r="429">
      <c r="A429" s="242"/>
      <c r="B429" s="13"/>
      <c r="C429" s="242"/>
      <c r="D429" s="242"/>
      <c r="E429" s="242"/>
      <c r="F429" s="242"/>
      <c r="G429" s="13"/>
      <c r="H429" s="13"/>
      <c r="I429" s="13"/>
      <c r="J429" s="13"/>
      <c r="K429" s="13"/>
      <c r="L429" s="242"/>
      <c r="M429" s="242"/>
      <c r="N429" s="242"/>
      <c r="O429" s="242"/>
      <c r="P429" s="242"/>
      <c r="Q429" s="525"/>
      <c r="R429" s="242"/>
      <c r="S429" s="242"/>
      <c r="T429" s="242"/>
      <c r="U429" s="242"/>
      <c r="V429" s="242"/>
      <c r="W429" s="242"/>
      <c r="X429" s="242"/>
      <c r="Y429" s="242"/>
      <c r="Z429" s="242"/>
      <c r="AA429" s="242"/>
      <c r="AB429" s="242"/>
      <c r="AC429" s="242"/>
      <c r="AD429" s="242"/>
      <c r="AE429" s="242"/>
      <c r="AF429" s="242"/>
      <c r="AG429" s="242"/>
      <c r="AH429" s="242"/>
      <c r="AI429" s="242"/>
      <c r="AJ429" s="13"/>
      <c r="AK429" s="242"/>
      <c r="AL429" s="242"/>
      <c r="AM429" s="242"/>
      <c r="AN429" s="242"/>
      <c r="AO429" s="242"/>
    </row>
    <row r="430">
      <c r="A430" s="242"/>
      <c r="B430" s="13"/>
      <c r="C430" s="242"/>
      <c r="D430" s="242"/>
      <c r="E430" s="242"/>
      <c r="F430" s="242"/>
      <c r="G430" s="13"/>
      <c r="H430" s="13"/>
      <c r="I430" s="13"/>
      <c r="J430" s="13"/>
      <c r="K430" s="13"/>
      <c r="L430" s="242"/>
      <c r="M430" s="242"/>
      <c r="N430" s="242"/>
      <c r="O430" s="242"/>
      <c r="P430" s="242"/>
      <c r="Q430" s="525"/>
      <c r="R430" s="242"/>
      <c r="S430" s="242"/>
      <c r="T430" s="242"/>
      <c r="U430" s="242"/>
      <c r="V430" s="242"/>
      <c r="W430" s="242"/>
      <c r="X430" s="242"/>
      <c r="Y430" s="242"/>
      <c r="Z430" s="242"/>
      <c r="AA430" s="242"/>
      <c r="AB430" s="242"/>
      <c r="AC430" s="242"/>
      <c r="AD430" s="242"/>
      <c r="AE430" s="242"/>
      <c r="AF430" s="242"/>
      <c r="AG430" s="242"/>
      <c r="AH430" s="242"/>
      <c r="AI430" s="242"/>
      <c r="AJ430" s="13"/>
      <c r="AK430" s="242"/>
      <c r="AL430" s="242"/>
      <c r="AM430" s="242"/>
      <c r="AN430" s="242"/>
      <c r="AO430" s="242"/>
    </row>
    <row r="431">
      <c r="A431" s="242"/>
      <c r="B431" s="13"/>
      <c r="C431" s="242"/>
      <c r="D431" s="242"/>
      <c r="E431" s="242"/>
      <c r="F431" s="242"/>
      <c r="G431" s="13"/>
      <c r="H431" s="13"/>
      <c r="I431" s="13"/>
      <c r="J431" s="13"/>
      <c r="K431" s="13"/>
      <c r="L431" s="242"/>
      <c r="M431" s="242"/>
      <c r="N431" s="242"/>
      <c r="O431" s="242"/>
      <c r="P431" s="242"/>
      <c r="Q431" s="525"/>
      <c r="R431" s="242"/>
      <c r="S431" s="242"/>
      <c r="T431" s="242"/>
      <c r="U431" s="242"/>
      <c r="V431" s="242"/>
      <c r="W431" s="242"/>
      <c r="X431" s="242"/>
      <c r="Y431" s="242"/>
      <c r="Z431" s="242"/>
      <c r="AA431" s="242"/>
      <c r="AB431" s="242"/>
      <c r="AC431" s="242"/>
      <c r="AD431" s="242"/>
      <c r="AE431" s="242"/>
      <c r="AF431" s="242"/>
      <c r="AG431" s="242"/>
      <c r="AH431" s="242"/>
      <c r="AI431" s="242"/>
      <c r="AJ431" s="13"/>
      <c r="AK431" s="242"/>
      <c r="AL431" s="242"/>
      <c r="AM431" s="242"/>
      <c r="AN431" s="242"/>
      <c r="AO431" s="242"/>
    </row>
    <row r="432">
      <c r="A432" s="242"/>
      <c r="B432" s="13"/>
      <c r="C432" s="242"/>
      <c r="D432" s="242"/>
      <c r="E432" s="242"/>
      <c r="F432" s="242"/>
      <c r="G432" s="13"/>
      <c r="H432" s="13"/>
      <c r="I432" s="13"/>
      <c r="J432" s="13"/>
      <c r="K432" s="13"/>
      <c r="L432" s="242"/>
      <c r="M432" s="242"/>
      <c r="N432" s="242"/>
      <c r="O432" s="242"/>
      <c r="P432" s="242"/>
      <c r="Q432" s="525"/>
      <c r="R432" s="242"/>
      <c r="S432" s="242"/>
      <c r="T432" s="242"/>
      <c r="U432" s="242"/>
      <c r="V432" s="242"/>
      <c r="W432" s="242"/>
      <c r="X432" s="242"/>
      <c r="Y432" s="242"/>
      <c r="Z432" s="242"/>
      <c r="AA432" s="242"/>
      <c r="AB432" s="242"/>
      <c r="AC432" s="242"/>
      <c r="AD432" s="242"/>
      <c r="AE432" s="242"/>
      <c r="AF432" s="242"/>
      <c r="AG432" s="242"/>
      <c r="AH432" s="242"/>
      <c r="AI432" s="242"/>
      <c r="AJ432" s="13"/>
      <c r="AK432" s="242"/>
      <c r="AL432" s="242"/>
      <c r="AM432" s="242"/>
      <c r="AN432" s="242"/>
      <c r="AO432" s="242"/>
    </row>
    <row r="433">
      <c r="A433" s="242"/>
      <c r="B433" s="13"/>
      <c r="C433" s="242"/>
      <c r="D433" s="242"/>
      <c r="E433" s="242"/>
      <c r="F433" s="242"/>
      <c r="G433" s="13"/>
      <c r="H433" s="13"/>
      <c r="I433" s="13"/>
      <c r="J433" s="13"/>
      <c r="K433" s="13"/>
      <c r="L433" s="242"/>
      <c r="M433" s="242"/>
      <c r="N433" s="242"/>
      <c r="O433" s="242"/>
      <c r="P433" s="242"/>
      <c r="Q433" s="525"/>
      <c r="R433" s="242"/>
      <c r="S433" s="242"/>
      <c r="T433" s="242"/>
      <c r="U433" s="242"/>
      <c r="V433" s="242"/>
      <c r="W433" s="242"/>
      <c r="X433" s="242"/>
      <c r="Y433" s="242"/>
      <c r="Z433" s="242"/>
      <c r="AA433" s="242"/>
      <c r="AB433" s="242"/>
      <c r="AC433" s="242"/>
      <c r="AD433" s="242"/>
      <c r="AE433" s="242"/>
      <c r="AF433" s="242"/>
      <c r="AG433" s="242"/>
      <c r="AH433" s="242"/>
      <c r="AI433" s="242"/>
      <c r="AJ433" s="13"/>
      <c r="AK433" s="242"/>
      <c r="AL433" s="242"/>
      <c r="AM433" s="242"/>
      <c r="AN433" s="242"/>
      <c r="AO433" s="242"/>
    </row>
    <row r="434">
      <c r="A434" s="242"/>
      <c r="B434" s="13"/>
      <c r="C434" s="242"/>
      <c r="D434" s="242"/>
      <c r="E434" s="242"/>
      <c r="F434" s="242"/>
      <c r="G434" s="13"/>
      <c r="H434" s="13"/>
      <c r="I434" s="13"/>
      <c r="J434" s="13"/>
      <c r="K434" s="13"/>
      <c r="L434" s="242"/>
      <c r="M434" s="242"/>
      <c r="N434" s="242"/>
      <c r="O434" s="242"/>
      <c r="P434" s="242"/>
      <c r="Q434" s="525"/>
      <c r="R434" s="242"/>
      <c r="S434" s="242"/>
      <c r="T434" s="242"/>
      <c r="U434" s="242"/>
      <c r="V434" s="242"/>
      <c r="W434" s="242"/>
      <c r="X434" s="242"/>
      <c r="Y434" s="242"/>
      <c r="Z434" s="242"/>
      <c r="AA434" s="242"/>
      <c r="AB434" s="242"/>
      <c r="AC434" s="242"/>
      <c r="AD434" s="242"/>
      <c r="AE434" s="242"/>
      <c r="AF434" s="242"/>
      <c r="AG434" s="242"/>
      <c r="AH434" s="242"/>
      <c r="AI434" s="242"/>
      <c r="AJ434" s="13"/>
      <c r="AK434" s="242"/>
      <c r="AL434" s="242"/>
      <c r="AM434" s="242"/>
      <c r="AN434" s="242"/>
      <c r="AO434" s="242"/>
    </row>
    <row r="435">
      <c r="A435" s="242"/>
      <c r="B435" s="13"/>
      <c r="C435" s="242"/>
      <c r="D435" s="242"/>
      <c r="E435" s="242"/>
      <c r="F435" s="242"/>
      <c r="G435" s="13"/>
      <c r="H435" s="13"/>
      <c r="I435" s="13"/>
      <c r="J435" s="13"/>
      <c r="K435" s="13"/>
      <c r="L435" s="242"/>
      <c r="M435" s="242"/>
      <c r="N435" s="242"/>
      <c r="O435" s="242"/>
      <c r="P435" s="242"/>
      <c r="Q435" s="525"/>
      <c r="R435" s="242"/>
      <c r="S435" s="242"/>
      <c r="T435" s="242"/>
      <c r="U435" s="242"/>
      <c r="V435" s="242"/>
      <c r="W435" s="242"/>
      <c r="X435" s="242"/>
      <c r="Y435" s="242"/>
      <c r="Z435" s="242"/>
      <c r="AA435" s="242"/>
      <c r="AB435" s="242"/>
      <c r="AC435" s="242"/>
      <c r="AD435" s="242"/>
      <c r="AE435" s="242"/>
      <c r="AF435" s="242"/>
      <c r="AG435" s="242"/>
      <c r="AH435" s="242"/>
      <c r="AI435" s="242"/>
      <c r="AJ435" s="13"/>
      <c r="AK435" s="242"/>
      <c r="AL435" s="242"/>
      <c r="AM435" s="242"/>
      <c r="AN435" s="242"/>
      <c r="AO435" s="242"/>
    </row>
    <row r="436">
      <c r="A436" s="242"/>
      <c r="B436" s="13"/>
      <c r="C436" s="242"/>
      <c r="D436" s="242"/>
      <c r="E436" s="242"/>
      <c r="F436" s="242"/>
      <c r="G436" s="13"/>
      <c r="H436" s="13"/>
      <c r="I436" s="13"/>
      <c r="J436" s="13"/>
      <c r="K436" s="13"/>
      <c r="L436" s="242"/>
      <c r="M436" s="242"/>
      <c r="N436" s="242"/>
      <c r="O436" s="242"/>
      <c r="P436" s="242"/>
      <c r="Q436" s="525"/>
      <c r="R436" s="242"/>
      <c r="S436" s="242"/>
      <c r="T436" s="242"/>
      <c r="U436" s="242"/>
      <c r="V436" s="242"/>
      <c r="W436" s="242"/>
      <c r="X436" s="242"/>
      <c r="Y436" s="242"/>
      <c r="Z436" s="242"/>
      <c r="AA436" s="242"/>
      <c r="AB436" s="242"/>
      <c r="AC436" s="242"/>
      <c r="AD436" s="242"/>
      <c r="AE436" s="242"/>
      <c r="AF436" s="242"/>
      <c r="AG436" s="242"/>
      <c r="AH436" s="242"/>
      <c r="AI436" s="242"/>
      <c r="AJ436" s="13"/>
      <c r="AK436" s="242"/>
      <c r="AL436" s="242"/>
      <c r="AM436" s="242"/>
      <c r="AN436" s="242"/>
      <c r="AO436" s="242"/>
    </row>
    <row r="437">
      <c r="A437" s="242"/>
      <c r="B437" s="13"/>
      <c r="C437" s="242"/>
      <c r="D437" s="242"/>
      <c r="E437" s="242"/>
      <c r="F437" s="242"/>
      <c r="G437" s="13"/>
      <c r="H437" s="13"/>
      <c r="I437" s="13"/>
      <c r="J437" s="13"/>
      <c r="K437" s="13"/>
      <c r="L437" s="242"/>
      <c r="M437" s="242"/>
      <c r="N437" s="242"/>
      <c r="O437" s="242"/>
      <c r="P437" s="242"/>
      <c r="Q437" s="525"/>
      <c r="R437" s="242"/>
      <c r="S437" s="242"/>
      <c r="T437" s="242"/>
      <c r="U437" s="242"/>
      <c r="V437" s="242"/>
      <c r="W437" s="242"/>
      <c r="X437" s="242"/>
      <c r="Y437" s="242"/>
      <c r="Z437" s="242"/>
      <c r="AA437" s="242"/>
      <c r="AB437" s="242"/>
      <c r="AC437" s="242"/>
      <c r="AD437" s="242"/>
      <c r="AE437" s="242"/>
      <c r="AF437" s="242"/>
      <c r="AG437" s="242"/>
      <c r="AH437" s="242"/>
      <c r="AI437" s="242"/>
      <c r="AJ437" s="13"/>
      <c r="AK437" s="242"/>
      <c r="AL437" s="242"/>
      <c r="AM437" s="242"/>
      <c r="AN437" s="242"/>
      <c r="AO437" s="242"/>
    </row>
    <row r="438">
      <c r="A438" s="242"/>
      <c r="B438" s="13"/>
      <c r="C438" s="242"/>
      <c r="D438" s="242"/>
      <c r="E438" s="242"/>
      <c r="F438" s="242"/>
      <c r="G438" s="13"/>
      <c r="H438" s="13"/>
      <c r="I438" s="13"/>
      <c r="J438" s="13"/>
      <c r="K438" s="13"/>
      <c r="L438" s="242"/>
      <c r="M438" s="242"/>
      <c r="N438" s="242"/>
      <c r="O438" s="242"/>
      <c r="P438" s="242"/>
      <c r="Q438" s="525"/>
      <c r="R438" s="242"/>
      <c r="S438" s="242"/>
      <c r="T438" s="242"/>
      <c r="U438" s="242"/>
      <c r="V438" s="242"/>
      <c r="W438" s="242"/>
      <c r="X438" s="242"/>
      <c r="Y438" s="242"/>
      <c r="Z438" s="242"/>
      <c r="AA438" s="242"/>
      <c r="AB438" s="242"/>
      <c r="AC438" s="242"/>
      <c r="AD438" s="242"/>
      <c r="AE438" s="242"/>
      <c r="AF438" s="242"/>
      <c r="AG438" s="242"/>
      <c r="AH438" s="242"/>
      <c r="AI438" s="242"/>
      <c r="AJ438" s="13"/>
      <c r="AK438" s="242"/>
      <c r="AL438" s="242"/>
      <c r="AM438" s="242"/>
      <c r="AN438" s="242"/>
      <c r="AO438" s="242"/>
    </row>
    <row r="439">
      <c r="A439" s="242"/>
      <c r="B439" s="13"/>
      <c r="C439" s="242"/>
      <c r="D439" s="242"/>
      <c r="E439" s="242"/>
      <c r="F439" s="242"/>
      <c r="G439" s="13"/>
      <c r="H439" s="13"/>
      <c r="I439" s="13"/>
      <c r="J439" s="13"/>
      <c r="K439" s="13"/>
      <c r="L439" s="242"/>
      <c r="M439" s="242"/>
      <c r="N439" s="242"/>
      <c r="O439" s="242"/>
      <c r="P439" s="242"/>
      <c r="Q439" s="525"/>
      <c r="R439" s="242"/>
      <c r="S439" s="242"/>
      <c r="T439" s="242"/>
      <c r="U439" s="242"/>
      <c r="V439" s="242"/>
      <c r="W439" s="242"/>
      <c r="X439" s="242"/>
      <c r="Y439" s="242"/>
      <c r="Z439" s="242"/>
      <c r="AA439" s="242"/>
      <c r="AB439" s="242"/>
      <c r="AC439" s="242"/>
      <c r="AD439" s="242"/>
      <c r="AE439" s="242"/>
      <c r="AF439" s="242"/>
      <c r="AG439" s="242"/>
      <c r="AH439" s="242"/>
      <c r="AI439" s="242"/>
      <c r="AJ439" s="13"/>
      <c r="AK439" s="242"/>
      <c r="AL439" s="242"/>
      <c r="AM439" s="242"/>
      <c r="AN439" s="242"/>
      <c r="AO439" s="242"/>
    </row>
    <row r="440">
      <c r="A440" s="242"/>
      <c r="B440" s="13"/>
      <c r="C440" s="242"/>
      <c r="D440" s="242"/>
      <c r="E440" s="242"/>
      <c r="F440" s="242"/>
      <c r="G440" s="13"/>
      <c r="H440" s="13"/>
      <c r="I440" s="13"/>
      <c r="J440" s="13"/>
      <c r="K440" s="13"/>
      <c r="L440" s="242"/>
      <c r="M440" s="242"/>
      <c r="N440" s="242"/>
      <c r="O440" s="242"/>
      <c r="P440" s="242"/>
      <c r="Q440" s="525"/>
      <c r="R440" s="242"/>
      <c r="S440" s="242"/>
      <c r="T440" s="242"/>
      <c r="U440" s="242"/>
      <c r="V440" s="242"/>
      <c r="W440" s="242"/>
      <c r="X440" s="242"/>
      <c r="Y440" s="242"/>
      <c r="Z440" s="242"/>
      <c r="AA440" s="242"/>
      <c r="AB440" s="242"/>
      <c r="AC440" s="242"/>
      <c r="AD440" s="242"/>
      <c r="AE440" s="242"/>
      <c r="AF440" s="242"/>
      <c r="AG440" s="242"/>
      <c r="AH440" s="242"/>
      <c r="AI440" s="242"/>
      <c r="AJ440" s="13"/>
      <c r="AK440" s="242"/>
      <c r="AL440" s="242"/>
      <c r="AM440" s="242"/>
      <c r="AN440" s="242"/>
      <c r="AO440" s="242"/>
    </row>
    <row r="441">
      <c r="A441" s="242"/>
      <c r="B441" s="13"/>
      <c r="C441" s="242"/>
      <c r="D441" s="242"/>
      <c r="E441" s="242"/>
      <c r="F441" s="242"/>
      <c r="G441" s="13"/>
      <c r="H441" s="13"/>
      <c r="I441" s="13"/>
      <c r="J441" s="13"/>
      <c r="K441" s="13"/>
      <c r="L441" s="242"/>
      <c r="M441" s="242"/>
      <c r="N441" s="242"/>
      <c r="O441" s="242"/>
      <c r="P441" s="242"/>
      <c r="Q441" s="525"/>
      <c r="R441" s="242"/>
      <c r="S441" s="242"/>
      <c r="T441" s="242"/>
      <c r="U441" s="242"/>
      <c r="V441" s="242"/>
      <c r="W441" s="242"/>
      <c r="X441" s="242"/>
      <c r="Y441" s="242"/>
      <c r="Z441" s="242"/>
      <c r="AA441" s="242"/>
      <c r="AB441" s="242"/>
      <c r="AC441" s="242"/>
      <c r="AD441" s="242"/>
      <c r="AE441" s="242"/>
      <c r="AF441" s="242"/>
      <c r="AG441" s="242"/>
      <c r="AH441" s="242"/>
      <c r="AI441" s="242"/>
      <c r="AJ441" s="13"/>
      <c r="AK441" s="242"/>
      <c r="AL441" s="242"/>
      <c r="AM441" s="242"/>
      <c r="AN441" s="242"/>
      <c r="AO441" s="242"/>
    </row>
    <row r="442">
      <c r="A442" s="242"/>
      <c r="B442" s="13"/>
      <c r="C442" s="242"/>
      <c r="D442" s="242"/>
      <c r="E442" s="242"/>
      <c r="F442" s="242"/>
      <c r="G442" s="13"/>
      <c r="H442" s="13"/>
      <c r="I442" s="13"/>
      <c r="J442" s="13"/>
      <c r="K442" s="13"/>
      <c r="L442" s="242"/>
      <c r="M442" s="242"/>
      <c r="N442" s="242"/>
      <c r="O442" s="242"/>
      <c r="P442" s="242"/>
      <c r="Q442" s="525"/>
      <c r="R442" s="242"/>
      <c r="S442" s="242"/>
      <c r="T442" s="242"/>
      <c r="U442" s="242"/>
      <c r="V442" s="242"/>
      <c r="W442" s="242"/>
      <c r="X442" s="242"/>
      <c r="Y442" s="242"/>
      <c r="Z442" s="242"/>
      <c r="AA442" s="242"/>
      <c r="AB442" s="242"/>
      <c r="AC442" s="242"/>
      <c r="AD442" s="242"/>
      <c r="AE442" s="242"/>
      <c r="AF442" s="242"/>
      <c r="AG442" s="242"/>
      <c r="AH442" s="242"/>
      <c r="AI442" s="242"/>
      <c r="AJ442" s="13"/>
      <c r="AK442" s="242"/>
      <c r="AL442" s="242"/>
      <c r="AM442" s="242"/>
      <c r="AN442" s="242"/>
      <c r="AO442" s="242"/>
    </row>
    <row r="443">
      <c r="A443" s="242"/>
      <c r="B443" s="13"/>
      <c r="C443" s="242"/>
      <c r="D443" s="242"/>
      <c r="E443" s="242"/>
      <c r="F443" s="242"/>
      <c r="G443" s="13"/>
      <c r="H443" s="13"/>
      <c r="I443" s="13"/>
      <c r="J443" s="13"/>
      <c r="K443" s="13"/>
      <c r="L443" s="242"/>
      <c r="M443" s="242"/>
      <c r="N443" s="242"/>
      <c r="O443" s="242"/>
      <c r="P443" s="242"/>
      <c r="Q443" s="525"/>
      <c r="R443" s="242"/>
      <c r="S443" s="242"/>
      <c r="T443" s="242"/>
      <c r="U443" s="242"/>
      <c r="V443" s="242"/>
      <c r="W443" s="242"/>
      <c r="X443" s="242"/>
      <c r="Y443" s="242"/>
      <c r="Z443" s="242"/>
      <c r="AA443" s="242"/>
      <c r="AB443" s="242"/>
      <c r="AC443" s="242"/>
      <c r="AD443" s="242"/>
      <c r="AE443" s="242"/>
      <c r="AF443" s="242"/>
      <c r="AG443" s="242"/>
      <c r="AH443" s="242"/>
      <c r="AI443" s="242"/>
      <c r="AJ443" s="13"/>
      <c r="AK443" s="242"/>
      <c r="AL443" s="242"/>
      <c r="AM443" s="242"/>
      <c r="AN443" s="242"/>
      <c r="AO443" s="242"/>
    </row>
    <row r="444">
      <c r="A444" s="242"/>
      <c r="B444" s="13"/>
      <c r="C444" s="242"/>
      <c r="D444" s="242"/>
      <c r="E444" s="242"/>
      <c r="F444" s="242"/>
      <c r="G444" s="13"/>
      <c r="H444" s="13"/>
      <c r="I444" s="13"/>
      <c r="J444" s="13"/>
      <c r="K444" s="13"/>
      <c r="L444" s="242"/>
      <c r="M444" s="242"/>
      <c r="N444" s="242"/>
      <c r="O444" s="242"/>
      <c r="P444" s="242"/>
      <c r="Q444" s="525"/>
      <c r="R444" s="242"/>
      <c r="S444" s="242"/>
      <c r="T444" s="242"/>
      <c r="U444" s="242"/>
      <c r="V444" s="242"/>
      <c r="W444" s="242"/>
      <c r="X444" s="242"/>
      <c r="Y444" s="242"/>
      <c r="Z444" s="242"/>
      <c r="AA444" s="242"/>
      <c r="AB444" s="242"/>
      <c r="AC444" s="242"/>
      <c r="AD444" s="242"/>
      <c r="AE444" s="242"/>
      <c r="AF444" s="242"/>
      <c r="AG444" s="242"/>
      <c r="AH444" s="242"/>
      <c r="AI444" s="242"/>
      <c r="AJ444" s="13"/>
      <c r="AK444" s="242"/>
      <c r="AL444" s="242"/>
      <c r="AM444" s="242"/>
      <c r="AN444" s="242"/>
      <c r="AO444" s="242"/>
    </row>
    <row r="445">
      <c r="A445" s="242"/>
      <c r="B445" s="13"/>
      <c r="C445" s="242"/>
      <c r="D445" s="242"/>
      <c r="E445" s="242"/>
      <c r="F445" s="242"/>
      <c r="G445" s="13"/>
      <c r="H445" s="13"/>
      <c r="I445" s="13"/>
      <c r="J445" s="13"/>
      <c r="K445" s="13"/>
      <c r="L445" s="242"/>
      <c r="M445" s="242"/>
      <c r="N445" s="242"/>
      <c r="O445" s="242"/>
      <c r="P445" s="242"/>
      <c r="Q445" s="525"/>
      <c r="R445" s="242"/>
      <c r="S445" s="242"/>
      <c r="T445" s="242"/>
      <c r="U445" s="242"/>
      <c r="V445" s="242"/>
      <c r="W445" s="242"/>
      <c r="X445" s="242"/>
      <c r="Y445" s="242"/>
      <c r="Z445" s="242"/>
      <c r="AA445" s="242"/>
      <c r="AB445" s="242"/>
      <c r="AC445" s="242"/>
      <c r="AD445" s="242"/>
      <c r="AE445" s="242"/>
      <c r="AF445" s="242"/>
      <c r="AG445" s="242"/>
      <c r="AH445" s="242"/>
      <c r="AI445" s="242"/>
      <c r="AJ445" s="13"/>
      <c r="AK445" s="242"/>
      <c r="AL445" s="242"/>
      <c r="AM445" s="242"/>
      <c r="AN445" s="242"/>
      <c r="AO445" s="242"/>
    </row>
    <row r="446">
      <c r="A446" s="242"/>
      <c r="B446" s="13"/>
      <c r="C446" s="242"/>
      <c r="D446" s="242"/>
      <c r="E446" s="242"/>
      <c r="F446" s="242"/>
      <c r="G446" s="13"/>
      <c r="H446" s="13"/>
      <c r="I446" s="13"/>
      <c r="J446" s="13"/>
      <c r="K446" s="13"/>
      <c r="L446" s="242"/>
      <c r="M446" s="242"/>
      <c r="N446" s="242"/>
      <c r="O446" s="242"/>
      <c r="P446" s="242"/>
      <c r="Q446" s="525"/>
      <c r="R446" s="242"/>
      <c r="S446" s="242"/>
      <c r="T446" s="242"/>
      <c r="U446" s="242"/>
      <c r="V446" s="242"/>
      <c r="W446" s="242"/>
      <c r="X446" s="242"/>
      <c r="Y446" s="242"/>
      <c r="Z446" s="242"/>
      <c r="AA446" s="242"/>
      <c r="AB446" s="242"/>
      <c r="AC446" s="242"/>
      <c r="AD446" s="242"/>
      <c r="AE446" s="242"/>
      <c r="AF446" s="242"/>
      <c r="AG446" s="242"/>
      <c r="AH446" s="242"/>
      <c r="AI446" s="242"/>
      <c r="AJ446" s="13"/>
      <c r="AK446" s="242"/>
      <c r="AL446" s="242"/>
      <c r="AM446" s="242"/>
      <c r="AN446" s="242"/>
      <c r="AO446" s="242"/>
    </row>
    <row r="447">
      <c r="A447" s="242"/>
      <c r="B447" s="13"/>
      <c r="C447" s="242"/>
      <c r="D447" s="242"/>
      <c r="E447" s="242"/>
      <c r="F447" s="242"/>
      <c r="G447" s="13"/>
      <c r="H447" s="13"/>
      <c r="I447" s="13"/>
      <c r="J447" s="13"/>
      <c r="K447" s="13"/>
      <c r="L447" s="242"/>
      <c r="M447" s="242"/>
      <c r="N447" s="242"/>
      <c r="O447" s="242"/>
      <c r="P447" s="242"/>
      <c r="Q447" s="525"/>
      <c r="R447" s="242"/>
      <c r="S447" s="242"/>
      <c r="T447" s="242"/>
      <c r="U447" s="242"/>
      <c r="V447" s="242"/>
      <c r="W447" s="242"/>
      <c r="X447" s="242"/>
      <c r="Y447" s="242"/>
      <c r="Z447" s="242"/>
      <c r="AA447" s="242"/>
      <c r="AB447" s="242"/>
      <c r="AC447" s="242"/>
      <c r="AD447" s="242"/>
      <c r="AE447" s="242"/>
      <c r="AF447" s="242"/>
      <c r="AG447" s="242"/>
      <c r="AH447" s="242"/>
      <c r="AI447" s="242"/>
      <c r="AJ447" s="13"/>
      <c r="AK447" s="242"/>
      <c r="AL447" s="242"/>
      <c r="AM447" s="242"/>
      <c r="AN447" s="242"/>
      <c r="AO447" s="242"/>
    </row>
    <row r="448">
      <c r="A448" s="242"/>
      <c r="B448" s="13"/>
      <c r="C448" s="242"/>
      <c r="D448" s="242"/>
      <c r="E448" s="242"/>
      <c r="F448" s="242"/>
      <c r="G448" s="13"/>
      <c r="H448" s="13"/>
      <c r="I448" s="13"/>
      <c r="J448" s="13"/>
      <c r="K448" s="13"/>
      <c r="L448" s="242"/>
      <c r="M448" s="242"/>
      <c r="N448" s="242"/>
      <c r="O448" s="242"/>
      <c r="P448" s="242"/>
      <c r="Q448" s="525"/>
      <c r="R448" s="242"/>
      <c r="S448" s="242"/>
      <c r="T448" s="242"/>
      <c r="U448" s="242"/>
      <c r="V448" s="242"/>
      <c r="W448" s="242"/>
      <c r="X448" s="242"/>
      <c r="Y448" s="242"/>
      <c r="Z448" s="242"/>
      <c r="AA448" s="242"/>
      <c r="AB448" s="242"/>
      <c r="AC448" s="242"/>
      <c r="AD448" s="242"/>
      <c r="AE448" s="242"/>
      <c r="AF448" s="242"/>
      <c r="AG448" s="242"/>
      <c r="AH448" s="242"/>
      <c r="AI448" s="242"/>
      <c r="AJ448" s="13"/>
      <c r="AK448" s="242"/>
      <c r="AL448" s="242"/>
      <c r="AM448" s="242"/>
      <c r="AN448" s="242"/>
      <c r="AO448" s="242"/>
    </row>
    <row r="449">
      <c r="A449" s="242"/>
      <c r="B449" s="13"/>
      <c r="C449" s="242"/>
      <c r="D449" s="242"/>
      <c r="E449" s="242"/>
      <c r="F449" s="242"/>
      <c r="G449" s="13"/>
      <c r="H449" s="13"/>
      <c r="I449" s="13"/>
      <c r="J449" s="13"/>
      <c r="K449" s="13"/>
      <c r="L449" s="242"/>
      <c r="M449" s="242"/>
      <c r="N449" s="242"/>
      <c r="O449" s="242"/>
      <c r="P449" s="242"/>
      <c r="Q449" s="525"/>
      <c r="R449" s="242"/>
      <c r="S449" s="242"/>
      <c r="T449" s="242"/>
      <c r="U449" s="242"/>
      <c r="V449" s="242"/>
      <c r="W449" s="242"/>
      <c r="X449" s="242"/>
      <c r="Y449" s="242"/>
      <c r="Z449" s="242"/>
      <c r="AA449" s="242"/>
      <c r="AB449" s="242"/>
      <c r="AC449" s="242"/>
      <c r="AD449" s="242"/>
      <c r="AE449" s="242"/>
      <c r="AF449" s="242"/>
      <c r="AG449" s="242"/>
      <c r="AH449" s="242"/>
      <c r="AI449" s="242"/>
      <c r="AJ449" s="13"/>
      <c r="AK449" s="242"/>
      <c r="AL449" s="242"/>
      <c r="AM449" s="242"/>
      <c r="AN449" s="242"/>
      <c r="AO449" s="242"/>
    </row>
    <row r="450">
      <c r="A450" s="242"/>
      <c r="B450" s="13"/>
      <c r="C450" s="242"/>
      <c r="D450" s="242"/>
      <c r="E450" s="242"/>
      <c r="F450" s="242"/>
      <c r="G450" s="13"/>
      <c r="H450" s="13"/>
      <c r="I450" s="13"/>
      <c r="J450" s="13"/>
      <c r="K450" s="13"/>
      <c r="L450" s="242"/>
      <c r="M450" s="242"/>
      <c r="N450" s="242"/>
      <c r="O450" s="242"/>
      <c r="P450" s="242"/>
      <c r="Q450" s="525"/>
      <c r="R450" s="242"/>
      <c r="S450" s="242"/>
      <c r="T450" s="242"/>
      <c r="U450" s="242"/>
      <c r="V450" s="242"/>
      <c r="W450" s="242"/>
      <c r="X450" s="242"/>
      <c r="Y450" s="242"/>
      <c r="Z450" s="242"/>
      <c r="AA450" s="242"/>
      <c r="AB450" s="242"/>
      <c r="AC450" s="242"/>
      <c r="AD450" s="242"/>
      <c r="AE450" s="242"/>
      <c r="AF450" s="242"/>
      <c r="AG450" s="242"/>
      <c r="AH450" s="242"/>
      <c r="AI450" s="242"/>
      <c r="AJ450" s="13"/>
      <c r="AK450" s="242"/>
      <c r="AL450" s="242"/>
      <c r="AM450" s="242"/>
      <c r="AN450" s="242"/>
      <c r="AO450" s="242"/>
    </row>
    <row r="451">
      <c r="A451" s="242"/>
      <c r="B451" s="13"/>
      <c r="C451" s="242"/>
      <c r="D451" s="242"/>
      <c r="E451" s="242"/>
      <c r="F451" s="242"/>
      <c r="G451" s="13"/>
      <c r="H451" s="13"/>
      <c r="I451" s="13"/>
      <c r="J451" s="13"/>
      <c r="K451" s="13"/>
      <c r="L451" s="242"/>
      <c r="M451" s="242"/>
      <c r="N451" s="242"/>
      <c r="O451" s="242"/>
      <c r="P451" s="242"/>
      <c r="Q451" s="525"/>
      <c r="R451" s="242"/>
      <c r="S451" s="242"/>
      <c r="T451" s="242"/>
      <c r="U451" s="242"/>
      <c r="V451" s="242"/>
      <c r="W451" s="242"/>
      <c r="X451" s="242"/>
      <c r="Y451" s="242"/>
      <c r="Z451" s="242"/>
      <c r="AA451" s="242"/>
      <c r="AB451" s="242"/>
      <c r="AC451" s="242"/>
      <c r="AD451" s="242"/>
      <c r="AE451" s="242"/>
      <c r="AF451" s="242"/>
      <c r="AG451" s="242"/>
      <c r="AH451" s="242"/>
      <c r="AI451" s="242"/>
      <c r="AJ451" s="13"/>
      <c r="AK451" s="242"/>
      <c r="AL451" s="242"/>
      <c r="AM451" s="242"/>
      <c r="AN451" s="242"/>
      <c r="AO451" s="242"/>
    </row>
    <row r="452">
      <c r="A452" s="242"/>
      <c r="B452" s="13"/>
      <c r="C452" s="242"/>
      <c r="D452" s="242"/>
      <c r="E452" s="242"/>
      <c r="F452" s="242"/>
      <c r="G452" s="13"/>
      <c r="H452" s="13"/>
      <c r="I452" s="13"/>
      <c r="J452" s="13"/>
      <c r="K452" s="13"/>
      <c r="L452" s="242"/>
      <c r="M452" s="242"/>
      <c r="N452" s="242"/>
      <c r="O452" s="242"/>
      <c r="P452" s="242"/>
      <c r="Q452" s="525"/>
      <c r="R452" s="242"/>
      <c r="S452" s="242"/>
      <c r="T452" s="242"/>
      <c r="U452" s="242"/>
      <c r="V452" s="242"/>
      <c r="W452" s="242"/>
      <c r="X452" s="242"/>
      <c r="Y452" s="242"/>
      <c r="Z452" s="242"/>
      <c r="AA452" s="242"/>
      <c r="AB452" s="242"/>
      <c r="AC452" s="242"/>
      <c r="AD452" s="242"/>
      <c r="AE452" s="242"/>
      <c r="AF452" s="242"/>
      <c r="AG452" s="242"/>
      <c r="AH452" s="242"/>
      <c r="AI452" s="242"/>
      <c r="AJ452" s="13"/>
      <c r="AK452" s="242"/>
      <c r="AL452" s="242"/>
      <c r="AM452" s="242"/>
      <c r="AN452" s="242"/>
      <c r="AO452" s="242"/>
    </row>
    <row r="453">
      <c r="A453" s="242"/>
      <c r="B453" s="13"/>
      <c r="C453" s="242"/>
      <c r="D453" s="242"/>
      <c r="E453" s="242"/>
      <c r="F453" s="242"/>
      <c r="G453" s="13"/>
      <c r="H453" s="13"/>
      <c r="I453" s="13"/>
      <c r="J453" s="13"/>
      <c r="K453" s="13"/>
      <c r="L453" s="242"/>
      <c r="M453" s="242"/>
      <c r="N453" s="242"/>
      <c r="O453" s="242"/>
      <c r="P453" s="242"/>
      <c r="Q453" s="525"/>
      <c r="R453" s="242"/>
      <c r="S453" s="242"/>
      <c r="T453" s="242"/>
      <c r="U453" s="242"/>
      <c r="V453" s="242"/>
      <c r="W453" s="242"/>
      <c r="X453" s="242"/>
      <c r="Y453" s="242"/>
      <c r="Z453" s="242"/>
      <c r="AA453" s="242"/>
      <c r="AB453" s="242"/>
      <c r="AC453" s="242"/>
      <c r="AD453" s="242"/>
      <c r="AE453" s="242"/>
      <c r="AF453" s="242"/>
      <c r="AG453" s="242"/>
      <c r="AH453" s="242"/>
      <c r="AI453" s="242"/>
      <c r="AJ453" s="13"/>
      <c r="AK453" s="242"/>
      <c r="AL453" s="242"/>
      <c r="AM453" s="242"/>
      <c r="AN453" s="242"/>
      <c r="AO453" s="242"/>
    </row>
    <row r="454">
      <c r="A454" s="242"/>
      <c r="B454" s="13"/>
      <c r="C454" s="242"/>
      <c r="D454" s="242"/>
      <c r="E454" s="242"/>
      <c r="F454" s="242"/>
      <c r="G454" s="13"/>
      <c r="H454" s="13"/>
      <c r="I454" s="13"/>
      <c r="J454" s="13"/>
      <c r="K454" s="13"/>
      <c r="L454" s="242"/>
      <c r="M454" s="242"/>
      <c r="N454" s="242"/>
      <c r="O454" s="242"/>
      <c r="P454" s="242"/>
      <c r="Q454" s="525"/>
      <c r="R454" s="242"/>
      <c r="S454" s="242"/>
      <c r="T454" s="242"/>
      <c r="U454" s="242"/>
      <c r="V454" s="242"/>
      <c r="W454" s="242"/>
      <c r="X454" s="242"/>
      <c r="Y454" s="242"/>
      <c r="Z454" s="242"/>
      <c r="AA454" s="242"/>
      <c r="AB454" s="242"/>
      <c r="AC454" s="242"/>
      <c r="AD454" s="242"/>
      <c r="AE454" s="242"/>
      <c r="AF454" s="242"/>
      <c r="AG454" s="242"/>
      <c r="AH454" s="242"/>
      <c r="AI454" s="242"/>
      <c r="AJ454" s="13"/>
      <c r="AK454" s="242"/>
      <c r="AL454" s="242"/>
      <c r="AM454" s="242"/>
      <c r="AN454" s="242"/>
      <c r="AO454" s="242"/>
    </row>
    <row r="455">
      <c r="A455" s="242"/>
      <c r="B455" s="13"/>
      <c r="C455" s="242"/>
      <c r="D455" s="242"/>
      <c r="E455" s="242"/>
      <c r="F455" s="242"/>
      <c r="G455" s="13"/>
      <c r="H455" s="13"/>
      <c r="I455" s="13"/>
      <c r="J455" s="13"/>
      <c r="K455" s="13"/>
      <c r="L455" s="242"/>
      <c r="M455" s="242"/>
      <c r="N455" s="242"/>
      <c r="O455" s="242"/>
      <c r="P455" s="242"/>
      <c r="Q455" s="525"/>
      <c r="R455" s="242"/>
      <c r="S455" s="242"/>
      <c r="T455" s="242"/>
      <c r="U455" s="242"/>
      <c r="V455" s="242"/>
      <c r="W455" s="242"/>
      <c r="X455" s="242"/>
      <c r="Y455" s="242"/>
      <c r="Z455" s="242"/>
      <c r="AA455" s="242"/>
      <c r="AB455" s="242"/>
      <c r="AC455" s="242"/>
      <c r="AD455" s="242"/>
      <c r="AE455" s="242"/>
      <c r="AF455" s="242"/>
      <c r="AG455" s="242"/>
      <c r="AH455" s="242"/>
      <c r="AI455" s="242"/>
      <c r="AJ455" s="13"/>
      <c r="AK455" s="242"/>
      <c r="AL455" s="242"/>
      <c r="AM455" s="242"/>
      <c r="AN455" s="242"/>
      <c r="AO455" s="242"/>
    </row>
    <row r="456">
      <c r="A456" s="242"/>
      <c r="B456" s="13"/>
      <c r="C456" s="242"/>
      <c r="D456" s="242"/>
      <c r="E456" s="242"/>
      <c r="F456" s="242"/>
      <c r="G456" s="13"/>
      <c r="H456" s="13"/>
      <c r="I456" s="13"/>
      <c r="J456" s="13"/>
      <c r="K456" s="13"/>
      <c r="L456" s="242"/>
      <c r="M456" s="242"/>
      <c r="N456" s="242"/>
      <c r="O456" s="242"/>
      <c r="P456" s="242"/>
      <c r="Q456" s="525"/>
      <c r="R456" s="242"/>
      <c r="S456" s="242"/>
      <c r="T456" s="242"/>
      <c r="U456" s="242"/>
      <c r="V456" s="242"/>
      <c r="W456" s="242"/>
      <c r="X456" s="242"/>
      <c r="Y456" s="242"/>
      <c r="Z456" s="242"/>
      <c r="AA456" s="242"/>
      <c r="AB456" s="242"/>
      <c r="AC456" s="242"/>
      <c r="AD456" s="242"/>
      <c r="AE456" s="242"/>
      <c r="AF456" s="242"/>
      <c r="AG456" s="242"/>
      <c r="AH456" s="242"/>
      <c r="AI456" s="242"/>
      <c r="AJ456" s="13"/>
      <c r="AK456" s="242"/>
      <c r="AL456" s="242"/>
      <c r="AM456" s="242"/>
      <c r="AN456" s="242"/>
      <c r="AO456" s="242"/>
    </row>
    <row r="457">
      <c r="A457" s="242"/>
      <c r="B457" s="13"/>
      <c r="C457" s="242"/>
      <c r="D457" s="242"/>
      <c r="E457" s="242"/>
      <c r="F457" s="242"/>
      <c r="G457" s="13"/>
      <c r="H457" s="13"/>
      <c r="I457" s="13"/>
      <c r="J457" s="13"/>
      <c r="K457" s="13"/>
      <c r="L457" s="242"/>
      <c r="M457" s="242"/>
      <c r="N457" s="242"/>
      <c r="O457" s="242"/>
      <c r="P457" s="242"/>
      <c r="Q457" s="525"/>
      <c r="R457" s="242"/>
      <c r="S457" s="242"/>
      <c r="T457" s="242"/>
      <c r="U457" s="242"/>
      <c r="V457" s="242"/>
      <c r="W457" s="242"/>
      <c r="X457" s="242"/>
      <c r="Y457" s="242"/>
      <c r="Z457" s="242"/>
      <c r="AA457" s="242"/>
      <c r="AB457" s="242"/>
      <c r="AC457" s="242"/>
      <c r="AD457" s="242"/>
      <c r="AE457" s="242"/>
      <c r="AF457" s="242"/>
      <c r="AG457" s="242"/>
      <c r="AH457" s="242"/>
      <c r="AI457" s="242"/>
      <c r="AJ457" s="13"/>
      <c r="AK457" s="242"/>
      <c r="AL457" s="242"/>
      <c r="AM457" s="242"/>
      <c r="AN457" s="242"/>
      <c r="AO457" s="242"/>
    </row>
    <row r="458">
      <c r="A458" s="242"/>
      <c r="B458" s="13"/>
      <c r="C458" s="242"/>
      <c r="D458" s="242"/>
      <c r="E458" s="242"/>
      <c r="F458" s="242"/>
      <c r="G458" s="13"/>
      <c r="H458" s="13"/>
      <c r="I458" s="13"/>
      <c r="J458" s="13"/>
      <c r="K458" s="13"/>
      <c r="L458" s="242"/>
      <c r="M458" s="242"/>
      <c r="N458" s="242"/>
      <c r="O458" s="242"/>
      <c r="P458" s="242"/>
      <c r="Q458" s="525"/>
      <c r="R458" s="242"/>
      <c r="S458" s="242"/>
      <c r="T458" s="242"/>
      <c r="U458" s="242"/>
      <c r="V458" s="242"/>
      <c r="W458" s="242"/>
      <c r="X458" s="242"/>
      <c r="Y458" s="242"/>
      <c r="Z458" s="242"/>
      <c r="AA458" s="242"/>
      <c r="AB458" s="242"/>
      <c r="AC458" s="242"/>
      <c r="AD458" s="242"/>
      <c r="AE458" s="242"/>
      <c r="AF458" s="242"/>
      <c r="AG458" s="242"/>
      <c r="AH458" s="242"/>
      <c r="AI458" s="242"/>
      <c r="AJ458" s="13"/>
      <c r="AK458" s="242"/>
      <c r="AL458" s="242"/>
      <c r="AM458" s="242"/>
      <c r="AN458" s="242"/>
      <c r="AO458" s="242"/>
    </row>
    <row r="459">
      <c r="A459" s="242"/>
      <c r="B459" s="13"/>
      <c r="C459" s="242"/>
      <c r="D459" s="242"/>
      <c r="E459" s="242"/>
      <c r="F459" s="242"/>
      <c r="G459" s="13"/>
      <c r="H459" s="13"/>
      <c r="I459" s="13"/>
      <c r="J459" s="13"/>
      <c r="K459" s="13"/>
      <c r="L459" s="242"/>
      <c r="M459" s="242"/>
      <c r="N459" s="242"/>
      <c r="O459" s="242"/>
      <c r="P459" s="242"/>
      <c r="Q459" s="525"/>
      <c r="R459" s="242"/>
      <c r="S459" s="242"/>
      <c r="T459" s="242"/>
      <c r="U459" s="242"/>
      <c r="V459" s="242"/>
      <c r="W459" s="242"/>
      <c r="X459" s="242"/>
      <c r="Y459" s="242"/>
      <c r="Z459" s="242"/>
      <c r="AA459" s="242"/>
      <c r="AB459" s="242"/>
      <c r="AC459" s="242"/>
      <c r="AD459" s="242"/>
      <c r="AE459" s="242"/>
      <c r="AF459" s="242"/>
      <c r="AG459" s="242"/>
      <c r="AH459" s="242"/>
      <c r="AI459" s="242"/>
      <c r="AJ459" s="13"/>
      <c r="AK459" s="242"/>
      <c r="AL459" s="242"/>
      <c r="AM459" s="242"/>
      <c r="AN459" s="242"/>
      <c r="AO459" s="242"/>
    </row>
    <row r="460">
      <c r="A460" s="242"/>
      <c r="B460" s="13"/>
      <c r="C460" s="242"/>
      <c r="D460" s="242"/>
      <c r="E460" s="242"/>
      <c r="F460" s="242"/>
      <c r="G460" s="13"/>
      <c r="H460" s="13"/>
      <c r="I460" s="13"/>
      <c r="J460" s="13"/>
      <c r="K460" s="13"/>
      <c r="L460" s="242"/>
      <c r="M460" s="242"/>
      <c r="N460" s="242"/>
      <c r="O460" s="242"/>
      <c r="P460" s="242"/>
      <c r="Q460" s="525"/>
      <c r="R460" s="242"/>
      <c r="S460" s="242"/>
      <c r="T460" s="242"/>
      <c r="U460" s="242"/>
      <c r="V460" s="242"/>
      <c r="W460" s="242"/>
      <c r="X460" s="242"/>
      <c r="Y460" s="242"/>
      <c r="Z460" s="242"/>
      <c r="AA460" s="242"/>
      <c r="AB460" s="242"/>
      <c r="AC460" s="242"/>
      <c r="AD460" s="242"/>
      <c r="AE460" s="242"/>
      <c r="AF460" s="242"/>
      <c r="AG460" s="242"/>
      <c r="AH460" s="242"/>
      <c r="AI460" s="242"/>
      <c r="AJ460" s="13"/>
      <c r="AK460" s="242"/>
      <c r="AL460" s="242"/>
      <c r="AM460" s="242"/>
      <c r="AN460" s="242"/>
      <c r="AO460" s="242"/>
    </row>
    <row r="461">
      <c r="A461" s="242"/>
      <c r="B461" s="13"/>
      <c r="C461" s="242"/>
      <c r="D461" s="242"/>
      <c r="E461" s="242"/>
      <c r="F461" s="242"/>
      <c r="G461" s="13"/>
      <c r="H461" s="13"/>
      <c r="I461" s="13"/>
      <c r="J461" s="13"/>
      <c r="K461" s="13"/>
      <c r="L461" s="242"/>
      <c r="M461" s="242"/>
      <c r="N461" s="242"/>
      <c r="O461" s="242"/>
      <c r="P461" s="242"/>
      <c r="Q461" s="525"/>
      <c r="R461" s="242"/>
      <c r="S461" s="242"/>
      <c r="T461" s="242"/>
      <c r="U461" s="242"/>
      <c r="V461" s="242"/>
      <c r="W461" s="242"/>
      <c r="X461" s="242"/>
      <c r="Y461" s="242"/>
      <c r="Z461" s="242"/>
      <c r="AA461" s="242"/>
      <c r="AB461" s="242"/>
      <c r="AC461" s="242"/>
      <c r="AD461" s="242"/>
      <c r="AE461" s="242"/>
      <c r="AF461" s="242"/>
      <c r="AG461" s="242"/>
      <c r="AH461" s="242"/>
      <c r="AI461" s="242"/>
      <c r="AJ461" s="13"/>
      <c r="AK461" s="242"/>
      <c r="AL461" s="242"/>
      <c r="AM461" s="242"/>
      <c r="AN461" s="242"/>
      <c r="AO461" s="242"/>
    </row>
    <row r="462">
      <c r="A462" s="242"/>
      <c r="B462" s="13"/>
      <c r="C462" s="242"/>
      <c r="D462" s="242"/>
      <c r="E462" s="242"/>
      <c r="F462" s="242"/>
      <c r="G462" s="13"/>
      <c r="H462" s="13"/>
      <c r="I462" s="13"/>
      <c r="J462" s="13"/>
      <c r="K462" s="13"/>
      <c r="L462" s="242"/>
      <c r="M462" s="242"/>
      <c r="N462" s="242"/>
      <c r="O462" s="242"/>
      <c r="P462" s="242"/>
      <c r="Q462" s="525"/>
      <c r="R462" s="242"/>
      <c r="S462" s="242"/>
      <c r="T462" s="242"/>
      <c r="U462" s="242"/>
      <c r="V462" s="242"/>
      <c r="W462" s="242"/>
      <c r="X462" s="242"/>
      <c r="Y462" s="242"/>
      <c r="Z462" s="242"/>
      <c r="AA462" s="242"/>
      <c r="AB462" s="242"/>
      <c r="AC462" s="242"/>
      <c r="AD462" s="242"/>
      <c r="AE462" s="242"/>
      <c r="AF462" s="242"/>
      <c r="AG462" s="242"/>
      <c r="AH462" s="242"/>
      <c r="AI462" s="242"/>
      <c r="AJ462" s="13"/>
      <c r="AK462" s="242"/>
      <c r="AL462" s="242"/>
      <c r="AM462" s="242"/>
      <c r="AN462" s="242"/>
      <c r="AO462" s="242"/>
    </row>
    <row r="463">
      <c r="A463" s="242"/>
      <c r="B463" s="13"/>
      <c r="C463" s="242"/>
      <c r="D463" s="242"/>
      <c r="E463" s="242"/>
      <c r="F463" s="242"/>
      <c r="G463" s="13"/>
      <c r="H463" s="13"/>
      <c r="I463" s="13"/>
      <c r="J463" s="13"/>
      <c r="K463" s="13"/>
      <c r="L463" s="242"/>
      <c r="M463" s="242"/>
      <c r="N463" s="242"/>
      <c r="O463" s="242"/>
      <c r="P463" s="242"/>
      <c r="Q463" s="525"/>
      <c r="R463" s="242"/>
      <c r="S463" s="242"/>
      <c r="T463" s="242"/>
      <c r="U463" s="242"/>
      <c r="V463" s="242"/>
      <c r="W463" s="242"/>
      <c r="X463" s="242"/>
      <c r="Y463" s="242"/>
      <c r="Z463" s="242"/>
      <c r="AA463" s="242"/>
      <c r="AB463" s="242"/>
      <c r="AC463" s="242"/>
      <c r="AD463" s="242"/>
      <c r="AE463" s="242"/>
      <c r="AF463" s="242"/>
      <c r="AG463" s="242"/>
      <c r="AH463" s="242"/>
      <c r="AI463" s="242"/>
      <c r="AJ463" s="13"/>
      <c r="AK463" s="242"/>
      <c r="AL463" s="242"/>
      <c r="AM463" s="242"/>
      <c r="AN463" s="242"/>
      <c r="AO463" s="242"/>
    </row>
    <row r="464">
      <c r="A464" s="242"/>
      <c r="B464" s="13"/>
      <c r="C464" s="242"/>
      <c r="D464" s="242"/>
      <c r="E464" s="242"/>
      <c r="F464" s="242"/>
      <c r="G464" s="13"/>
      <c r="H464" s="13"/>
      <c r="I464" s="13"/>
      <c r="J464" s="13"/>
      <c r="K464" s="13"/>
      <c r="L464" s="242"/>
      <c r="M464" s="242"/>
      <c r="N464" s="242"/>
      <c r="O464" s="242"/>
      <c r="P464" s="242"/>
      <c r="Q464" s="525"/>
      <c r="R464" s="242"/>
      <c r="S464" s="242"/>
      <c r="T464" s="242"/>
      <c r="U464" s="242"/>
      <c r="V464" s="242"/>
      <c r="W464" s="242"/>
      <c r="X464" s="242"/>
      <c r="Y464" s="242"/>
      <c r="Z464" s="242"/>
      <c r="AA464" s="242"/>
      <c r="AB464" s="242"/>
      <c r="AC464" s="242"/>
      <c r="AD464" s="242"/>
      <c r="AE464" s="242"/>
      <c r="AF464" s="242"/>
      <c r="AG464" s="242"/>
      <c r="AH464" s="242"/>
      <c r="AI464" s="242"/>
      <c r="AJ464" s="13"/>
      <c r="AK464" s="242"/>
      <c r="AL464" s="242"/>
      <c r="AM464" s="242"/>
      <c r="AN464" s="242"/>
      <c r="AO464" s="242"/>
    </row>
    <row r="465">
      <c r="A465" s="242"/>
      <c r="B465" s="13"/>
      <c r="C465" s="242"/>
      <c r="D465" s="242"/>
      <c r="E465" s="242"/>
      <c r="F465" s="242"/>
      <c r="G465" s="13"/>
      <c r="H465" s="13"/>
      <c r="I465" s="13"/>
      <c r="J465" s="13"/>
      <c r="K465" s="13"/>
      <c r="L465" s="242"/>
      <c r="M465" s="242"/>
      <c r="N465" s="242"/>
      <c r="O465" s="242"/>
      <c r="P465" s="242"/>
      <c r="Q465" s="525"/>
      <c r="R465" s="242"/>
      <c r="S465" s="242"/>
      <c r="T465" s="242"/>
      <c r="U465" s="242"/>
      <c r="V465" s="242"/>
      <c r="W465" s="242"/>
      <c r="X465" s="242"/>
      <c r="Y465" s="242"/>
      <c r="Z465" s="242"/>
      <c r="AA465" s="242"/>
      <c r="AB465" s="242"/>
      <c r="AC465" s="242"/>
      <c r="AD465" s="242"/>
      <c r="AE465" s="242"/>
      <c r="AF465" s="242"/>
      <c r="AG465" s="242"/>
      <c r="AH465" s="242"/>
      <c r="AI465" s="242"/>
      <c r="AJ465" s="13"/>
      <c r="AK465" s="242"/>
      <c r="AL465" s="242"/>
      <c r="AM465" s="242"/>
      <c r="AN465" s="242"/>
      <c r="AO465" s="242"/>
    </row>
    <row r="466">
      <c r="A466" s="242"/>
      <c r="B466" s="13"/>
      <c r="C466" s="242"/>
      <c r="D466" s="242"/>
      <c r="E466" s="242"/>
      <c r="F466" s="242"/>
      <c r="G466" s="13"/>
      <c r="H466" s="13"/>
      <c r="I466" s="13"/>
      <c r="J466" s="13"/>
      <c r="K466" s="13"/>
      <c r="L466" s="242"/>
      <c r="M466" s="242"/>
      <c r="N466" s="242"/>
      <c r="O466" s="242"/>
      <c r="P466" s="242"/>
      <c r="Q466" s="525"/>
      <c r="R466" s="242"/>
      <c r="S466" s="242"/>
      <c r="T466" s="242"/>
      <c r="U466" s="242"/>
      <c r="V466" s="242"/>
      <c r="W466" s="242"/>
      <c r="X466" s="242"/>
      <c r="Y466" s="242"/>
      <c r="Z466" s="242"/>
      <c r="AA466" s="242"/>
      <c r="AB466" s="242"/>
      <c r="AC466" s="242"/>
      <c r="AD466" s="242"/>
      <c r="AE466" s="242"/>
      <c r="AF466" s="242"/>
      <c r="AG466" s="242"/>
      <c r="AH466" s="242"/>
      <c r="AI466" s="242"/>
      <c r="AJ466" s="13"/>
      <c r="AK466" s="242"/>
      <c r="AL466" s="242"/>
      <c r="AM466" s="242"/>
      <c r="AN466" s="242"/>
      <c r="AO466" s="242"/>
    </row>
    <row r="467">
      <c r="A467" s="242"/>
      <c r="B467" s="13"/>
      <c r="C467" s="242"/>
      <c r="D467" s="242"/>
      <c r="E467" s="242"/>
      <c r="F467" s="242"/>
      <c r="G467" s="13"/>
      <c r="H467" s="13"/>
      <c r="I467" s="13"/>
      <c r="J467" s="13"/>
      <c r="K467" s="13"/>
      <c r="L467" s="242"/>
      <c r="M467" s="242"/>
      <c r="N467" s="242"/>
      <c r="O467" s="242"/>
      <c r="P467" s="242"/>
      <c r="Q467" s="525"/>
      <c r="R467" s="242"/>
      <c r="S467" s="242"/>
      <c r="T467" s="242"/>
      <c r="U467" s="242"/>
      <c r="V467" s="242"/>
      <c r="W467" s="242"/>
      <c r="X467" s="242"/>
      <c r="Y467" s="242"/>
      <c r="Z467" s="242"/>
      <c r="AA467" s="242"/>
      <c r="AB467" s="242"/>
      <c r="AC467" s="242"/>
      <c r="AD467" s="242"/>
      <c r="AE467" s="242"/>
      <c r="AF467" s="242"/>
      <c r="AG467" s="242"/>
      <c r="AH467" s="242"/>
      <c r="AI467" s="242"/>
      <c r="AJ467" s="13"/>
      <c r="AK467" s="242"/>
      <c r="AL467" s="242"/>
      <c r="AM467" s="242"/>
      <c r="AN467" s="242"/>
      <c r="AO467" s="242"/>
    </row>
    <row r="468">
      <c r="A468" s="242"/>
      <c r="B468" s="13"/>
      <c r="C468" s="242"/>
      <c r="D468" s="242"/>
      <c r="E468" s="242"/>
      <c r="F468" s="242"/>
      <c r="G468" s="13"/>
      <c r="H468" s="13"/>
      <c r="I468" s="13"/>
      <c r="J468" s="13"/>
      <c r="K468" s="13"/>
      <c r="L468" s="242"/>
      <c r="M468" s="242"/>
      <c r="N468" s="242"/>
      <c r="O468" s="242"/>
      <c r="P468" s="242"/>
      <c r="Q468" s="525"/>
      <c r="R468" s="242"/>
      <c r="S468" s="242"/>
      <c r="T468" s="242"/>
      <c r="U468" s="242"/>
      <c r="V468" s="242"/>
      <c r="W468" s="242"/>
      <c r="X468" s="242"/>
      <c r="Y468" s="242"/>
      <c r="Z468" s="242"/>
      <c r="AA468" s="242"/>
      <c r="AB468" s="242"/>
      <c r="AC468" s="242"/>
      <c r="AD468" s="242"/>
      <c r="AE468" s="242"/>
      <c r="AF468" s="242"/>
      <c r="AG468" s="242"/>
      <c r="AH468" s="242"/>
      <c r="AI468" s="242"/>
      <c r="AJ468" s="13"/>
      <c r="AK468" s="242"/>
      <c r="AL468" s="242"/>
      <c r="AM468" s="242"/>
      <c r="AN468" s="242"/>
      <c r="AO468" s="242"/>
    </row>
    <row r="469">
      <c r="A469" s="242"/>
      <c r="B469" s="13"/>
      <c r="C469" s="242"/>
      <c r="D469" s="242"/>
      <c r="E469" s="242"/>
      <c r="F469" s="242"/>
      <c r="G469" s="13"/>
      <c r="H469" s="13"/>
      <c r="I469" s="13"/>
      <c r="J469" s="13"/>
      <c r="K469" s="13"/>
      <c r="L469" s="242"/>
      <c r="M469" s="242"/>
      <c r="N469" s="242"/>
      <c r="O469" s="242"/>
      <c r="P469" s="242"/>
      <c r="Q469" s="525"/>
      <c r="R469" s="242"/>
      <c r="S469" s="242"/>
      <c r="T469" s="242"/>
      <c r="U469" s="242"/>
      <c r="V469" s="242"/>
      <c r="W469" s="242"/>
      <c r="X469" s="242"/>
      <c r="Y469" s="242"/>
      <c r="Z469" s="242"/>
      <c r="AA469" s="242"/>
      <c r="AB469" s="242"/>
      <c r="AC469" s="242"/>
      <c r="AD469" s="242"/>
      <c r="AE469" s="242"/>
      <c r="AF469" s="242"/>
      <c r="AG469" s="242"/>
      <c r="AH469" s="242"/>
      <c r="AI469" s="242"/>
      <c r="AJ469" s="13"/>
      <c r="AK469" s="242"/>
      <c r="AL469" s="242"/>
      <c r="AM469" s="242"/>
      <c r="AN469" s="242"/>
      <c r="AO469" s="242"/>
    </row>
    <row r="470">
      <c r="A470" s="242"/>
      <c r="B470" s="13"/>
      <c r="C470" s="242"/>
      <c r="D470" s="242"/>
      <c r="E470" s="242"/>
      <c r="F470" s="242"/>
      <c r="G470" s="13"/>
      <c r="H470" s="13"/>
      <c r="I470" s="13"/>
      <c r="J470" s="13"/>
      <c r="K470" s="13"/>
      <c r="L470" s="242"/>
      <c r="M470" s="242"/>
      <c r="N470" s="242"/>
      <c r="O470" s="242"/>
      <c r="P470" s="242"/>
      <c r="Q470" s="525"/>
      <c r="R470" s="242"/>
      <c r="S470" s="242"/>
      <c r="T470" s="242"/>
      <c r="U470" s="242"/>
      <c r="V470" s="242"/>
      <c r="W470" s="242"/>
      <c r="X470" s="242"/>
      <c r="Y470" s="242"/>
      <c r="Z470" s="242"/>
      <c r="AA470" s="242"/>
      <c r="AB470" s="242"/>
      <c r="AC470" s="242"/>
      <c r="AD470" s="242"/>
      <c r="AE470" s="242"/>
      <c r="AF470" s="242"/>
      <c r="AG470" s="242"/>
      <c r="AH470" s="242"/>
      <c r="AI470" s="242"/>
      <c r="AJ470" s="13"/>
      <c r="AK470" s="242"/>
      <c r="AL470" s="242"/>
      <c r="AM470" s="242"/>
      <c r="AN470" s="242"/>
      <c r="AO470" s="242"/>
    </row>
    <row r="471">
      <c r="A471" s="242"/>
      <c r="B471" s="13"/>
      <c r="C471" s="242"/>
      <c r="D471" s="242"/>
      <c r="E471" s="242"/>
      <c r="F471" s="242"/>
      <c r="G471" s="13"/>
      <c r="H471" s="13"/>
      <c r="I471" s="13"/>
      <c r="J471" s="13"/>
      <c r="K471" s="13"/>
      <c r="L471" s="242"/>
      <c r="M471" s="242"/>
      <c r="N471" s="242"/>
      <c r="O471" s="242"/>
      <c r="P471" s="242"/>
      <c r="Q471" s="525"/>
      <c r="R471" s="242"/>
      <c r="S471" s="242"/>
      <c r="T471" s="242"/>
      <c r="U471" s="242"/>
      <c r="V471" s="242"/>
      <c r="W471" s="242"/>
      <c r="X471" s="242"/>
      <c r="Y471" s="242"/>
      <c r="Z471" s="242"/>
      <c r="AA471" s="242"/>
      <c r="AB471" s="242"/>
      <c r="AC471" s="242"/>
      <c r="AD471" s="242"/>
      <c r="AE471" s="242"/>
      <c r="AF471" s="242"/>
      <c r="AG471" s="242"/>
      <c r="AH471" s="242"/>
      <c r="AI471" s="242"/>
      <c r="AJ471" s="13"/>
      <c r="AK471" s="242"/>
      <c r="AL471" s="242"/>
      <c r="AM471" s="242"/>
      <c r="AN471" s="242"/>
      <c r="AO471" s="242"/>
    </row>
    <row r="472">
      <c r="A472" s="242"/>
      <c r="B472" s="13"/>
      <c r="C472" s="242"/>
      <c r="D472" s="242"/>
      <c r="E472" s="242"/>
      <c r="F472" s="242"/>
      <c r="G472" s="13"/>
      <c r="H472" s="13"/>
      <c r="I472" s="13"/>
      <c r="J472" s="13"/>
      <c r="K472" s="13"/>
      <c r="L472" s="242"/>
      <c r="M472" s="242"/>
      <c r="N472" s="242"/>
      <c r="O472" s="242"/>
      <c r="P472" s="242"/>
      <c r="Q472" s="525"/>
      <c r="R472" s="242"/>
      <c r="S472" s="242"/>
      <c r="T472" s="242"/>
      <c r="U472" s="242"/>
      <c r="V472" s="242"/>
      <c r="W472" s="242"/>
      <c r="X472" s="242"/>
      <c r="Y472" s="242"/>
      <c r="Z472" s="242"/>
      <c r="AA472" s="242"/>
      <c r="AB472" s="242"/>
      <c r="AC472" s="242"/>
      <c r="AD472" s="242"/>
      <c r="AE472" s="242"/>
      <c r="AF472" s="242"/>
      <c r="AG472" s="242"/>
      <c r="AH472" s="242"/>
      <c r="AI472" s="242"/>
      <c r="AJ472" s="13"/>
      <c r="AK472" s="242"/>
      <c r="AL472" s="242"/>
      <c r="AM472" s="242"/>
      <c r="AN472" s="242"/>
      <c r="AO472" s="242"/>
    </row>
    <row r="473">
      <c r="A473" s="242"/>
      <c r="B473" s="13"/>
      <c r="C473" s="242"/>
      <c r="D473" s="242"/>
      <c r="E473" s="242"/>
      <c r="F473" s="242"/>
      <c r="G473" s="13"/>
      <c r="H473" s="13"/>
      <c r="I473" s="13"/>
      <c r="J473" s="13"/>
      <c r="K473" s="13"/>
      <c r="L473" s="242"/>
      <c r="M473" s="242"/>
      <c r="N473" s="242"/>
      <c r="O473" s="242"/>
      <c r="P473" s="242"/>
      <c r="Q473" s="525"/>
      <c r="R473" s="242"/>
      <c r="S473" s="242"/>
      <c r="T473" s="242"/>
      <c r="U473" s="242"/>
      <c r="V473" s="242"/>
      <c r="W473" s="242"/>
      <c r="X473" s="242"/>
      <c r="Y473" s="242"/>
      <c r="Z473" s="242"/>
      <c r="AA473" s="242"/>
      <c r="AB473" s="242"/>
      <c r="AC473" s="242"/>
      <c r="AD473" s="242"/>
      <c r="AE473" s="242"/>
      <c r="AF473" s="242"/>
      <c r="AG473" s="242"/>
      <c r="AH473" s="242"/>
      <c r="AI473" s="242"/>
      <c r="AJ473" s="13"/>
      <c r="AK473" s="242"/>
      <c r="AL473" s="242"/>
      <c r="AM473" s="242"/>
      <c r="AN473" s="242"/>
      <c r="AO473" s="242"/>
    </row>
    <row r="474">
      <c r="A474" s="242"/>
      <c r="B474" s="13"/>
      <c r="C474" s="242"/>
      <c r="D474" s="242"/>
      <c r="E474" s="242"/>
      <c r="F474" s="242"/>
      <c r="G474" s="13"/>
      <c r="H474" s="13"/>
      <c r="I474" s="13"/>
      <c r="J474" s="13"/>
      <c r="K474" s="13"/>
      <c r="L474" s="242"/>
      <c r="M474" s="242"/>
      <c r="N474" s="242"/>
      <c r="O474" s="242"/>
      <c r="P474" s="242"/>
      <c r="Q474" s="525"/>
      <c r="R474" s="242"/>
      <c r="S474" s="242"/>
      <c r="T474" s="242"/>
      <c r="U474" s="242"/>
      <c r="V474" s="242"/>
      <c r="W474" s="242"/>
      <c r="X474" s="242"/>
      <c r="Y474" s="242"/>
      <c r="Z474" s="242"/>
      <c r="AA474" s="242"/>
      <c r="AB474" s="242"/>
      <c r="AC474" s="242"/>
      <c r="AD474" s="242"/>
      <c r="AE474" s="242"/>
      <c r="AF474" s="242"/>
      <c r="AG474" s="242"/>
      <c r="AH474" s="242"/>
      <c r="AI474" s="242"/>
      <c r="AJ474" s="13"/>
      <c r="AK474" s="242"/>
      <c r="AL474" s="242"/>
      <c r="AM474" s="242"/>
      <c r="AN474" s="242"/>
      <c r="AO474" s="242"/>
    </row>
    <row r="475">
      <c r="A475" s="242"/>
      <c r="B475" s="13"/>
      <c r="C475" s="242"/>
      <c r="D475" s="242"/>
      <c r="E475" s="242"/>
      <c r="F475" s="242"/>
      <c r="G475" s="13"/>
      <c r="H475" s="13"/>
      <c r="I475" s="13"/>
      <c r="J475" s="13"/>
      <c r="K475" s="13"/>
      <c r="L475" s="242"/>
      <c r="M475" s="242"/>
      <c r="N475" s="242"/>
      <c r="O475" s="242"/>
      <c r="P475" s="242"/>
      <c r="Q475" s="525"/>
      <c r="R475" s="242"/>
      <c r="S475" s="242"/>
      <c r="T475" s="242"/>
      <c r="U475" s="242"/>
      <c r="V475" s="242"/>
      <c r="W475" s="242"/>
      <c r="X475" s="242"/>
      <c r="Y475" s="242"/>
      <c r="Z475" s="242"/>
      <c r="AA475" s="242"/>
      <c r="AB475" s="242"/>
      <c r="AC475" s="242"/>
      <c r="AD475" s="242"/>
      <c r="AE475" s="242"/>
      <c r="AF475" s="242"/>
      <c r="AG475" s="242"/>
      <c r="AH475" s="242"/>
      <c r="AI475" s="242"/>
      <c r="AJ475" s="13"/>
      <c r="AK475" s="242"/>
      <c r="AL475" s="242"/>
      <c r="AM475" s="242"/>
      <c r="AN475" s="242"/>
      <c r="AO475" s="242"/>
    </row>
    <row r="476">
      <c r="A476" s="242"/>
      <c r="B476" s="13"/>
      <c r="C476" s="242"/>
      <c r="D476" s="242"/>
      <c r="E476" s="242"/>
      <c r="F476" s="242"/>
      <c r="G476" s="13"/>
      <c r="H476" s="13"/>
      <c r="I476" s="13"/>
      <c r="J476" s="13"/>
      <c r="K476" s="13"/>
      <c r="L476" s="242"/>
      <c r="M476" s="242"/>
      <c r="N476" s="242"/>
      <c r="O476" s="242"/>
      <c r="P476" s="242"/>
      <c r="Q476" s="525"/>
      <c r="R476" s="242"/>
      <c r="S476" s="242"/>
      <c r="T476" s="242"/>
      <c r="U476" s="242"/>
      <c r="V476" s="242"/>
      <c r="W476" s="242"/>
      <c r="X476" s="242"/>
      <c r="Y476" s="242"/>
      <c r="Z476" s="242"/>
      <c r="AA476" s="242"/>
      <c r="AB476" s="242"/>
      <c r="AC476" s="242"/>
      <c r="AD476" s="242"/>
      <c r="AE476" s="242"/>
      <c r="AF476" s="242"/>
      <c r="AG476" s="242"/>
      <c r="AH476" s="242"/>
      <c r="AI476" s="242"/>
      <c r="AJ476" s="13"/>
      <c r="AK476" s="242"/>
      <c r="AL476" s="242"/>
      <c r="AM476" s="242"/>
      <c r="AN476" s="242"/>
      <c r="AO476" s="242"/>
    </row>
    <row r="477">
      <c r="A477" s="242"/>
      <c r="B477" s="13"/>
      <c r="C477" s="242"/>
      <c r="D477" s="242"/>
      <c r="E477" s="242"/>
      <c r="F477" s="242"/>
      <c r="G477" s="13"/>
      <c r="H477" s="13"/>
      <c r="I477" s="13"/>
      <c r="J477" s="13"/>
      <c r="K477" s="13"/>
      <c r="L477" s="242"/>
      <c r="M477" s="242"/>
      <c r="N477" s="242"/>
      <c r="O477" s="242"/>
      <c r="P477" s="242"/>
      <c r="Q477" s="525"/>
      <c r="R477" s="242"/>
      <c r="S477" s="242"/>
      <c r="T477" s="242"/>
      <c r="U477" s="242"/>
      <c r="V477" s="242"/>
      <c r="W477" s="242"/>
      <c r="X477" s="242"/>
      <c r="Y477" s="242"/>
      <c r="Z477" s="242"/>
      <c r="AA477" s="242"/>
      <c r="AB477" s="242"/>
      <c r="AC477" s="242"/>
      <c r="AD477" s="242"/>
      <c r="AE477" s="242"/>
      <c r="AF477" s="242"/>
      <c r="AG477" s="242"/>
      <c r="AH477" s="242"/>
      <c r="AI477" s="242"/>
      <c r="AJ477" s="13"/>
      <c r="AK477" s="242"/>
      <c r="AL477" s="242"/>
      <c r="AM477" s="242"/>
      <c r="AN477" s="242"/>
      <c r="AO477" s="242"/>
    </row>
    <row r="478">
      <c r="A478" s="242"/>
      <c r="B478" s="13"/>
      <c r="C478" s="242"/>
      <c r="D478" s="242"/>
      <c r="E478" s="242"/>
      <c r="F478" s="242"/>
      <c r="G478" s="13"/>
      <c r="H478" s="13"/>
      <c r="I478" s="13"/>
      <c r="J478" s="13"/>
      <c r="K478" s="13"/>
      <c r="L478" s="242"/>
      <c r="M478" s="242"/>
      <c r="N478" s="242"/>
      <c r="O478" s="242"/>
      <c r="P478" s="242"/>
      <c r="Q478" s="525"/>
      <c r="R478" s="242"/>
      <c r="S478" s="242"/>
      <c r="T478" s="242"/>
      <c r="U478" s="242"/>
      <c r="V478" s="242"/>
      <c r="W478" s="242"/>
      <c r="X478" s="242"/>
      <c r="Y478" s="242"/>
      <c r="Z478" s="242"/>
      <c r="AA478" s="242"/>
      <c r="AB478" s="242"/>
      <c r="AC478" s="242"/>
      <c r="AD478" s="242"/>
      <c r="AE478" s="242"/>
      <c r="AF478" s="242"/>
      <c r="AG478" s="242"/>
      <c r="AH478" s="242"/>
      <c r="AI478" s="242"/>
      <c r="AJ478" s="13"/>
      <c r="AK478" s="242"/>
      <c r="AL478" s="242"/>
      <c r="AM478" s="242"/>
      <c r="AN478" s="242"/>
      <c r="AO478" s="242"/>
    </row>
    <row r="479">
      <c r="A479" s="242"/>
      <c r="B479" s="13"/>
      <c r="C479" s="242"/>
      <c r="D479" s="242"/>
      <c r="E479" s="242"/>
      <c r="F479" s="242"/>
      <c r="G479" s="13"/>
      <c r="H479" s="13"/>
      <c r="I479" s="13"/>
      <c r="J479" s="13"/>
      <c r="K479" s="13"/>
      <c r="L479" s="242"/>
      <c r="M479" s="242"/>
      <c r="N479" s="242"/>
      <c r="O479" s="242"/>
      <c r="P479" s="242"/>
      <c r="Q479" s="525"/>
      <c r="R479" s="242"/>
      <c r="S479" s="242"/>
      <c r="T479" s="242"/>
      <c r="U479" s="242"/>
      <c r="V479" s="242"/>
      <c r="W479" s="242"/>
      <c r="X479" s="242"/>
      <c r="Y479" s="242"/>
      <c r="Z479" s="242"/>
      <c r="AA479" s="242"/>
      <c r="AB479" s="242"/>
      <c r="AC479" s="242"/>
      <c r="AD479" s="242"/>
      <c r="AE479" s="242"/>
      <c r="AF479" s="242"/>
      <c r="AG479" s="242"/>
      <c r="AH479" s="242"/>
      <c r="AI479" s="242"/>
      <c r="AJ479" s="13"/>
      <c r="AK479" s="242"/>
      <c r="AL479" s="242"/>
      <c r="AM479" s="242"/>
      <c r="AN479" s="242"/>
      <c r="AO479" s="242"/>
    </row>
    <row r="480">
      <c r="A480" s="242"/>
      <c r="B480" s="13"/>
      <c r="C480" s="242"/>
      <c r="D480" s="242"/>
      <c r="E480" s="242"/>
      <c r="F480" s="242"/>
      <c r="G480" s="13"/>
      <c r="H480" s="13"/>
      <c r="I480" s="13"/>
      <c r="J480" s="13"/>
      <c r="K480" s="13"/>
      <c r="L480" s="242"/>
      <c r="M480" s="242"/>
      <c r="N480" s="242"/>
      <c r="O480" s="242"/>
      <c r="P480" s="242"/>
      <c r="Q480" s="525"/>
      <c r="R480" s="242"/>
      <c r="S480" s="242"/>
      <c r="T480" s="242"/>
      <c r="U480" s="242"/>
      <c r="V480" s="242"/>
      <c r="W480" s="242"/>
      <c r="X480" s="242"/>
      <c r="Y480" s="242"/>
      <c r="Z480" s="242"/>
      <c r="AA480" s="242"/>
      <c r="AB480" s="242"/>
      <c r="AC480" s="242"/>
      <c r="AD480" s="242"/>
      <c r="AE480" s="242"/>
      <c r="AF480" s="242"/>
      <c r="AG480" s="242"/>
      <c r="AH480" s="242"/>
      <c r="AI480" s="242"/>
      <c r="AJ480" s="13"/>
      <c r="AK480" s="242"/>
      <c r="AL480" s="242"/>
      <c r="AM480" s="242"/>
      <c r="AN480" s="242"/>
      <c r="AO480" s="242"/>
    </row>
    <row r="481">
      <c r="A481" s="242"/>
      <c r="B481" s="13"/>
      <c r="C481" s="242"/>
      <c r="D481" s="242"/>
      <c r="E481" s="242"/>
      <c r="F481" s="242"/>
      <c r="G481" s="13"/>
      <c r="H481" s="13"/>
      <c r="I481" s="13"/>
      <c r="J481" s="13"/>
      <c r="K481" s="13"/>
      <c r="L481" s="242"/>
      <c r="M481" s="242"/>
      <c r="N481" s="242"/>
      <c r="O481" s="242"/>
      <c r="P481" s="242"/>
      <c r="Q481" s="525"/>
      <c r="R481" s="242"/>
      <c r="S481" s="242"/>
      <c r="T481" s="242"/>
      <c r="U481" s="242"/>
      <c r="V481" s="242"/>
      <c r="W481" s="242"/>
      <c r="X481" s="242"/>
      <c r="Y481" s="242"/>
      <c r="Z481" s="242"/>
      <c r="AA481" s="242"/>
      <c r="AB481" s="242"/>
      <c r="AC481" s="242"/>
      <c r="AD481" s="242"/>
      <c r="AE481" s="242"/>
      <c r="AF481" s="242"/>
      <c r="AG481" s="242"/>
      <c r="AH481" s="242"/>
      <c r="AI481" s="242"/>
      <c r="AJ481" s="13"/>
      <c r="AK481" s="242"/>
      <c r="AL481" s="242"/>
      <c r="AM481" s="242"/>
      <c r="AN481" s="242"/>
      <c r="AO481" s="242"/>
    </row>
    <row r="482">
      <c r="A482" s="242"/>
      <c r="B482" s="13"/>
      <c r="C482" s="242"/>
      <c r="D482" s="242"/>
      <c r="E482" s="242"/>
      <c r="F482" s="242"/>
      <c r="G482" s="13"/>
      <c r="H482" s="13"/>
      <c r="I482" s="13"/>
      <c r="J482" s="13"/>
      <c r="K482" s="13"/>
      <c r="L482" s="242"/>
      <c r="M482" s="242"/>
      <c r="N482" s="242"/>
      <c r="O482" s="242"/>
      <c r="P482" s="242"/>
      <c r="Q482" s="525"/>
      <c r="R482" s="242"/>
      <c r="S482" s="242"/>
      <c r="T482" s="242"/>
      <c r="U482" s="242"/>
      <c r="V482" s="242"/>
      <c r="W482" s="242"/>
      <c r="X482" s="242"/>
      <c r="Y482" s="242"/>
      <c r="Z482" s="242"/>
      <c r="AA482" s="242"/>
      <c r="AB482" s="242"/>
      <c r="AC482" s="242"/>
      <c r="AD482" s="242"/>
      <c r="AE482" s="242"/>
      <c r="AF482" s="242"/>
      <c r="AG482" s="242"/>
      <c r="AH482" s="242"/>
      <c r="AI482" s="242"/>
      <c r="AJ482" s="13"/>
      <c r="AK482" s="242"/>
      <c r="AL482" s="242"/>
      <c r="AM482" s="242"/>
      <c r="AN482" s="242"/>
      <c r="AO482" s="242"/>
    </row>
    <row r="483">
      <c r="A483" s="242"/>
      <c r="B483" s="13"/>
      <c r="C483" s="242"/>
      <c r="D483" s="242"/>
      <c r="E483" s="242"/>
      <c r="F483" s="242"/>
      <c r="G483" s="13"/>
      <c r="H483" s="13"/>
      <c r="I483" s="13"/>
      <c r="J483" s="13"/>
      <c r="K483" s="13"/>
      <c r="L483" s="242"/>
      <c r="M483" s="242"/>
      <c r="N483" s="242"/>
      <c r="O483" s="242"/>
      <c r="P483" s="242"/>
      <c r="Q483" s="525"/>
      <c r="R483" s="242"/>
      <c r="S483" s="242"/>
      <c r="T483" s="242"/>
      <c r="U483" s="242"/>
      <c r="V483" s="242"/>
      <c r="W483" s="242"/>
      <c r="X483" s="242"/>
      <c r="Y483" s="242"/>
      <c r="Z483" s="242"/>
      <c r="AA483" s="242"/>
      <c r="AB483" s="242"/>
      <c r="AC483" s="242"/>
      <c r="AD483" s="242"/>
      <c r="AE483" s="242"/>
      <c r="AF483" s="242"/>
      <c r="AG483" s="242"/>
      <c r="AH483" s="242"/>
      <c r="AI483" s="242"/>
      <c r="AJ483" s="13"/>
      <c r="AK483" s="242"/>
      <c r="AL483" s="242"/>
      <c r="AM483" s="242"/>
      <c r="AN483" s="242"/>
      <c r="AO483" s="242"/>
    </row>
    <row r="484">
      <c r="A484" s="242"/>
      <c r="B484" s="13"/>
      <c r="C484" s="242"/>
      <c r="D484" s="242"/>
      <c r="E484" s="242"/>
      <c r="F484" s="242"/>
      <c r="G484" s="13"/>
      <c r="H484" s="13"/>
      <c r="I484" s="13"/>
      <c r="J484" s="13"/>
      <c r="K484" s="13"/>
      <c r="L484" s="242"/>
      <c r="M484" s="242"/>
      <c r="N484" s="242"/>
      <c r="O484" s="242"/>
      <c r="P484" s="242"/>
      <c r="Q484" s="525"/>
      <c r="R484" s="242"/>
      <c r="S484" s="242"/>
      <c r="T484" s="242"/>
      <c r="U484" s="242"/>
      <c r="V484" s="242"/>
      <c r="W484" s="242"/>
      <c r="X484" s="242"/>
      <c r="Y484" s="242"/>
      <c r="Z484" s="242"/>
      <c r="AA484" s="242"/>
      <c r="AB484" s="242"/>
      <c r="AC484" s="242"/>
      <c r="AD484" s="242"/>
      <c r="AE484" s="242"/>
      <c r="AF484" s="242"/>
      <c r="AG484" s="242"/>
      <c r="AH484" s="242"/>
      <c r="AI484" s="242"/>
      <c r="AJ484" s="13"/>
      <c r="AK484" s="242"/>
      <c r="AL484" s="242"/>
      <c r="AM484" s="242"/>
      <c r="AN484" s="242"/>
      <c r="AO484" s="242"/>
    </row>
    <row r="485">
      <c r="A485" s="242"/>
      <c r="B485" s="13"/>
      <c r="C485" s="242"/>
      <c r="D485" s="242"/>
      <c r="E485" s="242"/>
      <c r="F485" s="242"/>
      <c r="G485" s="13"/>
      <c r="H485" s="13"/>
      <c r="I485" s="13"/>
      <c r="J485" s="13"/>
      <c r="K485" s="13"/>
      <c r="L485" s="242"/>
      <c r="M485" s="242"/>
      <c r="N485" s="242"/>
      <c r="O485" s="242"/>
      <c r="P485" s="242"/>
      <c r="Q485" s="525"/>
      <c r="R485" s="242"/>
      <c r="S485" s="242"/>
      <c r="T485" s="242"/>
      <c r="U485" s="242"/>
      <c r="V485" s="242"/>
      <c r="W485" s="242"/>
      <c r="X485" s="242"/>
      <c r="Y485" s="242"/>
      <c r="Z485" s="242"/>
      <c r="AA485" s="242"/>
      <c r="AB485" s="242"/>
      <c r="AC485" s="242"/>
      <c r="AD485" s="242"/>
      <c r="AE485" s="242"/>
      <c r="AF485" s="242"/>
      <c r="AG485" s="242"/>
      <c r="AH485" s="242"/>
      <c r="AI485" s="242"/>
      <c r="AJ485" s="13"/>
      <c r="AK485" s="242"/>
      <c r="AL485" s="242"/>
      <c r="AM485" s="242"/>
      <c r="AN485" s="242"/>
      <c r="AO485" s="242"/>
    </row>
    <row r="486">
      <c r="A486" s="242"/>
      <c r="B486" s="13"/>
      <c r="C486" s="242"/>
      <c r="D486" s="242"/>
      <c r="E486" s="242"/>
      <c r="F486" s="242"/>
      <c r="G486" s="13"/>
      <c r="H486" s="13"/>
      <c r="I486" s="13"/>
      <c r="J486" s="13"/>
      <c r="K486" s="13"/>
      <c r="L486" s="242"/>
      <c r="M486" s="242"/>
      <c r="N486" s="242"/>
      <c r="O486" s="242"/>
      <c r="P486" s="242"/>
      <c r="Q486" s="525"/>
      <c r="R486" s="242"/>
      <c r="S486" s="242"/>
      <c r="T486" s="242"/>
      <c r="U486" s="242"/>
      <c r="V486" s="242"/>
      <c r="W486" s="242"/>
      <c r="X486" s="242"/>
      <c r="Y486" s="242"/>
      <c r="Z486" s="242"/>
      <c r="AA486" s="242"/>
      <c r="AB486" s="242"/>
      <c r="AC486" s="242"/>
      <c r="AD486" s="242"/>
      <c r="AE486" s="242"/>
      <c r="AF486" s="242"/>
      <c r="AG486" s="242"/>
      <c r="AH486" s="242"/>
      <c r="AI486" s="242"/>
      <c r="AJ486" s="13"/>
      <c r="AK486" s="242"/>
      <c r="AL486" s="242"/>
      <c r="AM486" s="242"/>
      <c r="AN486" s="242"/>
      <c r="AO486" s="242"/>
    </row>
    <row r="487">
      <c r="A487" s="242"/>
      <c r="B487" s="13"/>
      <c r="C487" s="242"/>
      <c r="D487" s="242"/>
      <c r="E487" s="242"/>
      <c r="F487" s="242"/>
      <c r="G487" s="13"/>
      <c r="H487" s="13"/>
      <c r="I487" s="13"/>
      <c r="J487" s="13"/>
      <c r="K487" s="13"/>
      <c r="L487" s="242"/>
      <c r="M487" s="242"/>
      <c r="N487" s="242"/>
      <c r="O487" s="242"/>
      <c r="P487" s="242"/>
      <c r="Q487" s="525"/>
      <c r="R487" s="242"/>
      <c r="S487" s="242"/>
      <c r="T487" s="242"/>
      <c r="U487" s="242"/>
      <c r="V487" s="242"/>
      <c r="W487" s="242"/>
      <c r="X487" s="242"/>
      <c r="Y487" s="242"/>
      <c r="Z487" s="242"/>
      <c r="AA487" s="242"/>
      <c r="AB487" s="242"/>
      <c r="AC487" s="242"/>
      <c r="AD487" s="242"/>
      <c r="AE487" s="242"/>
      <c r="AF487" s="242"/>
      <c r="AG487" s="242"/>
      <c r="AH487" s="242"/>
      <c r="AI487" s="242"/>
      <c r="AJ487" s="13"/>
      <c r="AK487" s="242"/>
      <c r="AL487" s="242"/>
      <c r="AM487" s="242"/>
      <c r="AN487" s="242"/>
      <c r="AO487" s="242"/>
    </row>
    <row r="488">
      <c r="A488" s="242"/>
      <c r="B488" s="13"/>
      <c r="C488" s="242"/>
      <c r="D488" s="242"/>
      <c r="E488" s="242"/>
      <c r="F488" s="242"/>
      <c r="G488" s="13"/>
      <c r="H488" s="13"/>
      <c r="I488" s="13"/>
      <c r="J488" s="13"/>
      <c r="K488" s="13"/>
      <c r="L488" s="242"/>
      <c r="M488" s="242"/>
      <c r="N488" s="242"/>
      <c r="O488" s="242"/>
      <c r="P488" s="242"/>
      <c r="Q488" s="525"/>
      <c r="R488" s="242"/>
      <c r="S488" s="242"/>
      <c r="T488" s="242"/>
      <c r="U488" s="242"/>
      <c r="V488" s="242"/>
      <c r="W488" s="242"/>
      <c r="X488" s="242"/>
      <c r="Y488" s="242"/>
      <c r="Z488" s="242"/>
      <c r="AA488" s="242"/>
      <c r="AB488" s="242"/>
      <c r="AC488" s="242"/>
      <c r="AD488" s="242"/>
      <c r="AE488" s="242"/>
      <c r="AF488" s="242"/>
      <c r="AG488" s="242"/>
      <c r="AH488" s="242"/>
      <c r="AI488" s="242"/>
      <c r="AJ488" s="13"/>
      <c r="AK488" s="242"/>
      <c r="AL488" s="242"/>
      <c r="AM488" s="242"/>
      <c r="AN488" s="242"/>
      <c r="AO488" s="242"/>
    </row>
    <row r="489">
      <c r="A489" s="242"/>
      <c r="B489" s="13"/>
      <c r="C489" s="242"/>
      <c r="D489" s="242"/>
      <c r="E489" s="242"/>
      <c r="F489" s="242"/>
      <c r="G489" s="13"/>
      <c r="H489" s="13"/>
      <c r="I489" s="13"/>
      <c r="J489" s="13"/>
      <c r="K489" s="13"/>
      <c r="L489" s="242"/>
      <c r="M489" s="242"/>
      <c r="N489" s="242"/>
      <c r="O489" s="242"/>
      <c r="P489" s="242"/>
      <c r="Q489" s="525"/>
      <c r="R489" s="242"/>
      <c r="S489" s="242"/>
      <c r="T489" s="242"/>
      <c r="U489" s="242"/>
      <c r="V489" s="242"/>
      <c r="W489" s="242"/>
      <c r="X489" s="242"/>
      <c r="Y489" s="242"/>
      <c r="Z489" s="242"/>
      <c r="AA489" s="242"/>
      <c r="AB489" s="242"/>
      <c r="AC489" s="242"/>
      <c r="AD489" s="242"/>
      <c r="AE489" s="242"/>
      <c r="AF489" s="242"/>
      <c r="AG489" s="242"/>
      <c r="AH489" s="242"/>
      <c r="AI489" s="242"/>
      <c r="AJ489" s="13"/>
      <c r="AK489" s="242"/>
      <c r="AL489" s="242"/>
      <c r="AM489" s="242"/>
      <c r="AN489" s="242"/>
      <c r="AO489" s="242"/>
    </row>
    <row r="490">
      <c r="A490" s="242"/>
      <c r="B490" s="13"/>
      <c r="C490" s="242"/>
      <c r="D490" s="242"/>
      <c r="E490" s="242"/>
      <c r="F490" s="242"/>
      <c r="G490" s="13"/>
      <c r="H490" s="13"/>
      <c r="I490" s="13"/>
      <c r="J490" s="13"/>
      <c r="K490" s="13"/>
      <c r="L490" s="242"/>
      <c r="M490" s="242"/>
      <c r="N490" s="242"/>
      <c r="O490" s="242"/>
      <c r="P490" s="242"/>
      <c r="Q490" s="525"/>
      <c r="R490" s="242"/>
      <c r="S490" s="242"/>
      <c r="T490" s="242"/>
      <c r="U490" s="242"/>
      <c r="V490" s="242"/>
      <c r="W490" s="242"/>
      <c r="X490" s="242"/>
      <c r="Y490" s="242"/>
      <c r="Z490" s="242"/>
      <c r="AA490" s="242"/>
      <c r="AB490" s="242"/>
      <c r="AC490" s="242"/>
      <c r="AD490" s="242"/>
      <c r="AE490" s="242"/>
      <c r="AF490" s="242"/>
      <c r="AG490" s="242"/>
      <c r="AH490" s="242"/>
      <c r="AI490" s="242"/>
      <c r="AJ490" s="13"/>
      <c r="AK490" s="242"/>
      <c r="AL490" s="242"/>
      <c r="AM490" s="242"/>
      <c r="AN490" s="242"/>
      <c r="AO490" s="242"/>
    </row>
    <row r="491">
      <c r="A491" s="242"/>
      <c r="B491" s="13"/>
      <c r="C491" s="242"/>
      <c r="D491" s="242"/>
      <c r="E491" s="242"/>
      <c r="F491" s="242"/>
      <c r="G491" s="13"/>
      <c r="H491" s="13"/>
      <c r="I491" s="13"/>
      <c r="J491" s="13"/>
      <c r="K491" s="13"/>
      <c r="L491" s="242"/>
      <c r="M491" s="242"/>
      <c r="N491" s="242"/>
      <c r="O491" s="242"/>
      <c r="P491" s="242"/>
      <c r="Q491" s="525"/>
      <c r="R491" s="242"/>
      <c r="S491" s="242"/>
      <c r="T491" s="242"/>
      <c r="U491" s="242"/>
      <c r="V491" s="242"/>
      <c r="W491" s="242"/>
      <c r="X491" s="242"/>
      <c r="Y491" s="242"/>
      <c r="Z491" s="242"/>
      <c r="AA491" s="242"/>
      <c r="AB491" s="242"/>
      <c r="AC491" s="242"/>
      <c r="AD491" s="242"/>
      <c r="AE491" s="242"/>
      <c r="AF491" s="242"/>
      <c r="AG491" s="242"/>
      <c r="AH491" s="242"/>
      <c r="AI491" s="242"/>
      <c r="AJ491" s="13"/>
      <c r="AK491" s="242"/>
      <c r="AL491" s="242"/>
      <c r="AM491" s="242"/>
      <c r="AN491" s="242"/>
      <c r="AO491" s="242"/>
    </row>
    <row r="492">
      <c r="A492" s="242"/>
      <c r="B492" s="13"/>
      <c r="C492" s="242"/>
      <c r="D492" s="242"/>
      <c r="E492" s="242"/>
      <c r="F492" s="242"/>
      <c r="G492" s="13"/>
      <c r="H492" s="13"/>
      <c r="I492" s="13"/>
      <c r="J492" s="13"/>
      <c r="K492" s="13"/>
      <c r="L492" s="242"/>
      <c r="M492" s="242"/>
      <c r="N492" s="242"/>
      <c r="O492" s="242"/>
      <c r="P492" s="242"/>
      <c r="Q492" s="525"/>
      <c r="R492" s="242"/>
      <c r="S492" s="242"/>
      <c r="T492" s="242"/>
      <c r="U492" s="242"/>
      <c r="V492" s="242"/>
      <c r="W492" s="242"/>
      <c r="X492" s="242"/>
      <c r="Y492" s="242"/>
      <c r="Z492" s="242"/>
      <c r="AA492" s="242"/>
      <c r="AB492" s="242"/>
      <c r="AC492" s="242"/>
      <c r="AD492" s="242"/>
      <c r="AE492" s="242"/>
      <c r="AF492" s="242"/>
      <c r="AG492" s="242"/>
      <c r="AH492" s="242"/>
      <c r="AI492" s="242"/>
      <c r="AJ492" s="13"/>
      <c r="AK492" s="242"/>
      <c r="AL492" s="242"/>
      <c r="AM492" s="242"/>
      <c r="AN492" s="242"/>
      <c r="AO492" s="242"/>
    </row>
    <row r="493">
      <c r="A493" s="242"/>
      <c r="B493" s="13"/>
      <c r="C493" s="242"/>
      <c r="D493" s="242"/>
      <c r="E493" s="242"/>
      <c r="F493" s="242"/>
      <c r="G493" s="13"/>
      <c r="H493" s="13"/>
      <c r="I493" s="13"/>
      <c r="J493" s="13"/>
      <c r="K493" s="13"/>
      <c r="L493" s="242"/>
      <c r="M493" s="242"/>
      <c r="N493" s="242"/>
      <c r="O493" s="242"/>
      <c r="P493" s="242"/>
      <c r="Q493" s="525"/>
      <c r="R493" s="242"/>
      <c r="S493" s="242"/>
      <c r="T493" s="242"/>
      <c r="U493" s="242"/>
      <c r="V493" s="242"/>
      <c r="W493" s="242"/>
      <c r="X493" s="242"/>
      <c r="Y493" s="242"/>
      <c r="Z493" s="242"/>
      <c r="AA493" s="242"/>
      <c r="AB493" s="242"/>
      <c r="AC493" s="242"/>
      <c r="AD493" s="242"/>
      <c r="AE493" s="242"/>
      <c r="AF493" s="242"/>
      <c r="AG493" s="242"/>
      <c r="AH493" s="242"/>
      <c r="AI493" s="242"/>
      <c r="AJ493" s="13"/>
      <c r="AK493" s="242"/>
      <c r="AL493" s="242"/>
      <c r="AM493" s="242"/>
      <c r="AN493" s="242"/>
      <c r="AO493" s="242"/>
    </row>
    <row r="494">
      <c r="A494" s="242"/>
      <c r="B494" s="13"/>
      <c r="C494" s="242"/>
      <c r="D494" s="242"/>
      <c r="E494" s="242"/>
      <c r="F494" s="242"/>
      <c r="G494" s="13"/>
      <c r="H494" s="13"/>
      <c r="I494" s="13"/>
      <c r="J494" s="13"/>
      <c r="K494" s="13"/>
      <c r="L494" s="242"/>
      <c r="M494" s="242"/>
      <c r="N494" s="242"/>
      <c r="O494" s="242"/>
      <c r="P494" s="242"/>
      <c r="Q494" s="525"/>
      <c r="R494" s="242"/>
      <c r="S494" s="242"/>
      <c r="T494" s="242"/>
      <c r="U494" s="242"/>
      <c r="V494" s="242"/>
      <c r="W494" s="242"/>
      <c r="X494" s="242"/>
      <c r="Y494" s="242"/>
      <c r="Z494" s="242"/>
      <c r="AA494" s="242"/>
      <c r="AB494" s="242"/>
      <c r="AC494" s="242"/>
      <c r="AD494" s="242"/>
      <c r="AE494" s="242"/>
      <c r="AF494" s="242"/>
      <c r="AG494" s="242"/>
      <c r="AH494" s="242"/>
      <c r="AI494" s="242"/>
      <c r="AJ494" s="13"/>
      <c r="AK494" s="242"/>
      <c r="AL494" s="242"/>
      <c r="AM494" s="242"/>
      <c r="AN494" s="242"/>
      <c r="AO494" s="242"/>
    </row>
    <row r="495">
      <c r="A495" s="242"/>
      <c r="B495" s="13"/>
      <c r="C495" s="242"/>
      <c r="D495" s="242"/>
      <c r="E495" s="242"/>
      <c r="F495" s="242"/>
      <c r="G495" s="13"/>
      <c r="H495" s="13"/>
      <c r="I495" s="13"/>
      <c r="J495" s="13"/>
      <c r="K495" s="13"/>
      <c r="L495" s="242"/>
      <c r="M495" s="242"/>
      <c r="N495" s="242"/>
      <c r="O495" s="242"/>
      <c r="P495" s="242"/>
      <c r="Q495" s="525"/>
      <c r="R495" s="242"/>
      <c r="S495" s="242"/>
      <c r="T495" s="242"/>
      <c r="U495" s="242"/>
      <c r="V495" s="242"/>
      <c r="W495" s="242"/>
      <c r="X495" s="242"/>
      <c r="Y495" s="242"/>
      <c r="Z495" s="242"/>
      <c r="AA495" s="242"/>
      <c r="AB495" s="242"/>
      <c r="AC495" s="242"/>
      <c r="AD495" s="242"/>
      <c r="AE495" s="242"/>
      <c r="AF495" s="242"/>
      <c r="AG495" s="242"/>
      <c r="AH495" s="242"/>
      <c r="AI495" s="242"/>
      <c r="AJ495" s="13"/>
      <c r="AK495" s="242"/>
      <c r="AL495" s="242"/>
      <c r="AM495" s="242"/>
      <c r="AN495" s="242"/>
      <c r="AO495" s="242"/>
    </row>
    <row r="496">
      <c r="A496" s="242"/>
      <c r="B496" s="13"/>
      <c r="C496" s="242"/>
      <c r="D496" s="242"/>
      <c r="E496" s="242"/>
      <c r="F496" s="242"/>
      <c r="G496" s="13"/>
      <c r="H496" s="13"/>
      <c r="I496" s="13"/>
      <c r="J496" s="13"/>
      <c r="K496" s="13"/>
      <c r="L496" s="242"/>
      <c r="M496" s="242"/>
      <c r="N496" s="242"/>
      <c r="O496" s="242"/>
      <c r="P496" s="242"/>
      <c r="Q496" s="525"/>
      <c r="R496" s="242"/>
      <c r="S496" s="242"/>
      <c r="T496" s="242"/>
      <c r="U496" s="242"/>
      <c r="V496" s="242"/>
      <c r="W496" s="242"/>
      <c r="X496" s="242"/>
      <c r="Y496" s="242"/>
      <c r="Z496" s="242"/>
      <c r="AA496" s="242"/>
      <c r="AB496" s="242"/>
      <c r="AC496" s="242"/>
      <c r="AD496" s="242"/>
      <c r="AE496" s="242"/>
      <c r="AF496" s="242"/>
      <c r="AG496" s="242"/>
      <c r="AH496" s="242"/>
      <c r="AI496" s="242"/>
      <c r="AJ496" s="13"/>
      <c r="AK496" s="242"/>
      <c r="AL496" s="242"/>
      <c r="AM496" s="242"/>
      <c r="AN496" s="242"/>
      <c r="AO496" s="242"/>
    </row>
    <row r="497">
      <c r="A497" s="242"/>
      <c r="B497" s="13"/>
      <c r="C497" s="242"/>
      <c r="D497" s="242"/>
      <c r="E497" s="242"/>
      <c r="F497" s="242"/>
      <c r="G497" s="13"/>
      <c r="H497" s="13"/>
      <c r="I497" s="13"/>
      <c r="J497" s="13"/>
      <c r="K497" s="13"/>
      <c r="L497" s="242"/>
      <c r="M497" s="242"/>
      <c r="N497" s="242"/>
      <c r="O497" s="242"/>
      <c r="P497" s="242"/>
      <c r="Q497" s="525"/>
      <c r="R497" s="242"/>
      <c r="S497" s="242"/>
      <c r="T497" s="242"/>
      <c r="U497" s="242"/>
      <c r="V497" s="242"/>
      <c r="W497" s="242"/>
      <c r="X497" s="242"/>
      <c r="Y497" s="242"/>
      <c r="Z497" s="242"/>
      <c r="AA497" s="242"/>
      <c r="AB497" s="242"/>
      <c r="AC497" s="242"/>
      <c r="AD497" s="242"/>
      <c r="AE497" s="242"/>
      <c r="AF497" s="242"/>
      <c r="AG497" s="242"/>
      <c r="AH497" s="242"/>
      <c r="AI497" s="242"/>
      <c r="AJ497" s="13"/>
      <c r="AK497" s="242"/>
      <c r="AL497" s="242"/>
      <c r="AM497" s="242"/>
      <c r="AN497" s="242"/>
      <c r="AO497" s="242"/>
    </row>
    <row r="498">
      <c r="A498" s="242"/>
      <c r="B498" s="13"/>
      <c r="C498" s="242"/>
      <c r="D498" s="242"/>
      <c r="E498" s="242"/>
      <c r="F498" s="242"/>
      <c r="G498" s="13"/>
      <c r="H498" s="13"/>
      <c r="I498" s="13"/>
      <c r="J498" s="13"/>
      <c r="K498" s="13"/>
      <c r="L498" s="242"/>
      <c r="M498" s="242"/>
      <c r="N498" s="242"/>
      <c r="O498" s="242"/>
      <c r="P498" s="242"/>
      <c r="Q498" s="525"/>
      <c r="R498" s="242"/>
      <c r="S498" s="242"/>
      <c r="T498" s="242"/>
      <c r="U498" s="242"/>
      <c r="V498" s="242"/>
      <c r="W498" s="242"/>
      <c r="X498" s="242"/>
      <c r="Y498" s="242"/>
      <c r="Z498" s="242"/>
      <c r="AA498" s="242"/>
      <c r="AB498" s="242"/>
      <c r="AC498" s="242"/>
      <c r="AD498" s="242"/>
      <c r="AE498" s="242"/>
      <c r="AF498" s="242"/>
      <c r="AG498" s="242"/>
      <c r="AH498" s="242"/>
      <c r="AI498" s="242"/>
      <c r="AJ498" s="13"/>
      <c r="AK498" s="242"/>
      <c r="AL498" s="242"/>
      <c r="AM498" s="242"/>
      <c r="AN498" s="242"/>
      <c r="AO498" s="242"/>
    </row>
    <row r="499">
      <c r="A499" s="242"/>
      <c r="B499" s="13"/>
      <c r="C499" s="242"/>
      <c r="D499" s="242"/>
      <c r="E499" s="242"/>
      <c r="F499" s="242"/>
      <c r="G499" s="13"/>
      <c r="H499" s="13"/>
      <c r="I499" s="13"/>
      <c r="J499" s="13"/>
      <c r="K499" s="13"/>
      <c r="L499" s="242"/>
      <c r="M499" s="242"/>
      <c r="N499" s="242"/>
      <c r="O499" s="242"/>
      <c r="P499" s="242"/>
      <c r="Q499" s="525"/>
      <c r="R499" s="242"/>
      <c r="S499" s="242"/>
      <c r="T499" s="242"/>
      <c r="U499" s="242"/>
      <c r="V499" s="242"/>
      <c r="W499" s="242"/>
      <c r="X499" s="242"/>
      <c r="Y499" s="242"/>
      <c r="Z499" s="242"/>
      <c r="AA499" s="242"/>
      <c r="AB499" s="242"/>
      <c r="AC499" s="242"/>
      <c r="AD499" s="242"/>
      <c r="AE499" s="242"/>
      <c r="AF499" s="242"/>
      <c r="AG499" s="242"/>
      <c r="AH499" s="242"/>
      <c r="AI499" s="242"/>
      <c r="AJ499" s="13"/>
      <c r="AK499" s="242"/>
      <c r="AL499" s="242"/>
      <c r="AM499" s="242"/>
      <c r="AN499" s="242"/>
      <c r="AO499" s="242"/>
    </row>
    <row r="500">
      <c r="A500" s="242"/>
      <c r="B500" s="13"/>
      <c r="C500" s="242"/>
      <c r="D500" s="242"/>
      <c r="E500" s="242"/>
      <c r="F500" s="242"/>
      <c r="G500" s="13"/>
      <c r="H500" s="13"/>
      <c r="I500" s="13"/>
      <c r="J500" s="13"/>
      <c r="K500" s="13"/>
      <c r="L500" s="242"/>
      <c r="M500" s="242"/>
      <c r="N500" s="242"/>
      <c r="O500" s="242"/>
      <c r="P500" s="242"/>
      <c r="Q500" s="525"/>
      <c r="R500" s="242"/>
      <c r="S500" s="242"/>
      <c r="T500" s="242"/>
      <c r="U500" s="242"/>
      <c r="V500" s="242"/>
      <c r="W500" s="242"/>
      <c r="X500" s="242"/>
      <c r="Y500" s="242"/>
      <c r="Z500" s="242"/>
      <c r="AA500" s="242"/>
      <c r="AB500" s="242"/>
      <c r="AC500" s="242"/>
      <c r="AD500" s="242"/>
      <c r="AE500" s="242"/>
      <c r="AF500" s="242"/>
      <c r="AG500" s="242"/>
      <c r="AH500" s="242"/>
      <c r="AI500" s="242"/>
      <c r="AJ500" s="13"/>
      <c r="AK500" s="242"/>
      <c r="AL500" s="242"/>
      <c r="AM500" s="242"/>
      <c r="AN500" s="242"/>
      <c r="AO500" s="242"/>
    </row>
    <row r="501">
      <c r="A501" s="242"/>
      <c r="B501" s="13"/>
      <c r="C501" s="242"/>
      <c r="D501" s="242"/>
      <c r="E501" s="242"/>
      <c r="F501" s="242"/>
      <c r="G501" s="13"/>
      <c r="H501" s="13"/>
      <c r="I501" s="13"/>
      <c r="J501" s="13"/>
      <c r="K501" s="13"/>
      <c r="L501" s="242"/>
      <c r="M501" s="242"/>
      <c r="N501" s="242"/>
      <c r="O501" s="242"/>
      <c r="P501" s="242"/>
      <c r="Q501" s="525"/>
      <c r="R501" s="242"/>
      <c r="S501" s="242"/>
      <c r="T501" s="242"/>
      <c r="U501" s="242"/>
      <c r="V501" s="242"/>
      <c r="W501" s="242"/>
      <c r="X501" s="242"/>
      <c r="Y501" s="242"/>
      <c r="Z501" s="242"/>
      <c r="AA501" s="242"/>
      <c r="AB501" s="242"/>
      <c r="AC501" s="242"/>
      <c r="AD501" s="242"/>
      <c r="AE501" s="242"/>
      <c r="AF501" s="242"/>
      <c r="AG501" s="242"/>
      <c r="AH501" s="242"/>
      <c r="AI501" s="242"/>
      <c r="AJ501" s="13"/>
      <c r="AK501" s="242"/>
      <c r="AL501" s="242"/>
      <c r="AM501" s="242"/>
      <c r="AN501" s="242"/>
      <c r="AO501" s="242"/>
    </row>
    <row r="502">
      <c r="A502" s="242"/>
      <c r="B502" s="13"/>
      <c r="C502" s="242"/>
      <c r="D502" s="242"/>
      <c r="E502" s="242"/>
      <c r="F502" s="242"/>
      <c r="G502" s="13"/>
      <c r="H502" s="13"/>
      <c r="I502" s="13"/>
      <c r="J502" s="13"/>
      <c r="K502" s="13"/>
      <c r="L502" s="242"/>
      <c r="M502" s="242"/>
      <c r="N502" s="242"/>
      <c r="O502" s="242"/>
      <c r="P502" s="242"/>
      <c r="Q502" s="525"/>
      <c r="R502" s="242"/>
      <c r="S502" s="242"/>
      <c r="T502" s="242"/>
      <c r="U502" s="242"/>
      <c r="V502" s="242"/>
      <c r="W502" s="242"/>
      <c r="X502" s="242"/>
      <c r="Y502" s="242"/>
      <c r="Z502" s="242"/>
      <c r="AA502" s="242"/>
      <c r="AB502" s="242"/>
      <c r="AC502" s="242"/>
      <c r="AD502" s="242"/>
      <c r="AE502" s="242"/>
      <c r="AF502" s="242"/>
      <c r="AG502" s="242"/>
      <c r="AH502" s="242"/>
      <c r="AI502" s="242"/>
      <c r="AJ502" s="13"/>
      <c r="AK502" s="242"/>
      <c r="AL502" s="242"/>
      <c r="AM502" s="242"/>
      <c r="AN502" s="242"/>
      <c r="AO502" s="242"/>
    </row>
    <row r="503">
      <c r="A503" s="242"/>
      <c r="B503" s="13"/>
      <c r="C503" s="242"/>
      <c r="D503" s="242"/>
      <c r="E503" s="242"/>
      <c r="F503" s="242"/>
      <c r="G503" s="13"/>
      <c r="H503" s="13"/>
      <c r="I503" s="13"/>
      <c r="J503" s="13"/>
      <c r="K503" s="13"/>
      <c r="L503" s="242"/>
      <c r="M503" s="242"/>
      <c r="N503" s="242"/>
      <c r="O503" s="242"/>
      <c r="P503" s="242"/>
      <c r="Q503" s="525"/>
      <c r="R503" s="242"/>
      <c r="S503" s="242"/>
      <c r="T503" s="242"/>
      <c r="U503" s="242"/>
      <c r="V503" s="242"/>
      <c r="W503" s="242"/>
      <c r="X503" s="242"/>
      <c r="Y503" s="242"/>
      <c r="Z503" s="242"/>
      <c r="AA503" s="242"/>
      <c r="AB503" s="242"/>
      <c r="AC503" s="242"/>
      <c r="AD503" s="242"/>
      <c r="AE503" s="242"/>
      <c r="AF503" s="242"/>
      <c r="AG503" s="242"/>
      <c r="AH503" s="242"/>
      <c r="AI503" s="242"/>
      <c r="AJ503" s="13"/>
      <c r="AK503" s="242"/>
      <c r="AL503" s="242"/>
      <c r="AM503" s="242"/>
      <c r="AN503" s="242"/>
      <c r="AO503" s="242"/>
    </row>
    <row r="504">
      <c r="A504" s="242"/>
      <c r="B504" s="13"/>
      <c r="C504" s="242"/>
      <c r="D504" s="242"/>
      <c r="E504" s="242"/>
      <c r="F504" s="242"/>
      <c r="G504" s="13"/>
      <c r="H504" s="13"/>
      <c r="I504" s="13"/>
      <c r="J504" s="13"/>
      <c r="K504" s="13"/>
      <c r="L504" s="242"/>
      <c r="M504" s="242"/>
      <c r="N504" s="242"/>
      <c r="O504" s="242"/>
      <c r="P504" s="242"/>
      <c r="Q504" s="525"/>
      <c r="R504" s="242"/>
      <c r="S504" s="242"/>
      <c r="T504" s="242"/>
      <c r="U504" s="242"/>
      <c r="V504" s="242"/>
      <c r="W504" s="242"/>
      <c r="X504" s="242"/>
      <c r="Y504" s="242"/>
      <c r="Z504" s="242"/>
      <c r="AA504" s="242"/>
      <c r="AB504" s="242"/>
      <c r="AC504" s="242"/>
      <c r="AD504" s="242"/>
      <c r="AE504" s="242"/>
      <c r="AF504" s="242"/>
      <c r="AG504" s="242"/>
      <c r="AH504" s="242"/>
      <c r="AI504" s="242"/>
      <c r="AJ504" s="13"/>
      <c r="AK504" s="242"/>
      <c r="AL504" s="242"/>
      <c r="AM504" s="242"/>
      <c r="AN504" s="242"/>
      <c r="AO504" s="242"/>
    </row>
    <row r="505">
      <c r="A505" s="242"/>
      <c r="B505" s="13"/>
      <c r="C505" s="242"/>
      <c r="D505" s="242"/>
      <c r="E505" s="242"/>
      <c r="F505" s="242"/>
      <c r="G505" s="13"/>
      <c r="H505" s="13"/>
      <c r="I505" s="13"/>
      <c r="J505" s="13"/>
      <c r="K505" s="13"/>
      <c r="L505" s="242"/>
      <c r="M505" s="242"/>
      <c r="N505" s="242"/>
      <c r="O505" s="242"/>
      <c r="P505" s="242"/>
      <c r="Q505" s="525"/>
      <c r="R505" s="242"/>
      <c r="S505" s="242"/>
      <c r="T505" s="242"/>
      <c r="U505" s="242"/>
      <c r="V505" s="242"/>
      <c r="W505" s="242"/>
      <c r="X505" s="242"/>
      <c r="Y505" s="242"/>
      <c r="Z505" s="242"/>
      <c r="AA505" s="242"/>
      <c r="AB505" s="242"/>
      <c r="AC505" s="242"/>
      <c r="AD505" s="242"/>
      <c r="AE505" s="242"/>
      <c r="AF505" s="242"/>
      <c r="AG505" s="242"/>
      <c r="AH505" s="242"/>
      <c r="AI505" s="242"/>
      <c r="AJ505" s="13"/>
      <c r="AK505" s="242"/>
      <c r="AL505" s="242"/>
      <c r="AM505" s="242"/>
      <c r="AN505" s="242"/>
      <c r="AO505" s="242"/>
    </row>
    <row r="506">
      <c r="A506" s="242"/>
      <c r="B506" s="13"/>
      <c r="C506" s="242"/>
      <c r="D506" s="242"/>
      <c r="E506" s="242"/>
      <c r="F506" s="242"/>
      <c r="G506" s="13"/>
      <c r="H506" s="13"/>
      <c r="I506" s="13"/>
      <c r="J506" s="13"/>
      <c r="K506" s="13"/>
      <c r="L506" s="242"/>
      <c r="M506" s="242"/>
      <c r="N506" s="242"/>
      <c r="O506" s="242"/>
      <c r="P506" s="242"/>
      <c r="Q506" s="525"/>
      <c r="R506" s="242"/>
      <c r="S506" s="242"/>
      <c r="T506" s="242"/>
      <c r="U506" s="242"/>
      <c r="V506" s="242"/>
      <c r="W506" s="242"/>
      <c r="X506" s="242"/>
      <c r="Y506" s="242"/>
      <c r="Z506" s="242"/>
      <c r="AA506" s="242"/>
      <c r="AB506" s="242"/>
      <c r="AC506" s="242"/>
      <c r="AD506" s="242"/>
      <c r="AE506" s="242"/>
      <c r="AF506" s="242"/>
      <c r="AG506" s="242"/>
      <c r="AH506" s="242"/>
      <c r="AI506" s="242"/>
      <c r="AJ506" s="13"/>
      <c r="AK506" s="242"/>
      <c r="AL506" s="242"/>
      <c r="AM506" s="242"/>
      <c r="AN506" s="242"/>
      <c r="AO506" s="242"/>
    </row>
    <row r="507">
      <c r="A507" s="242"/>
      <c r="B507" s="13"/>
      <c r="C507" s="242"/>
      <c r="D507" s="242"/>
      <c r="E507" s="242"/>
      <c r="F507" s="242"/>
      <c r="G507" s="13"/>
      <c r="H507" s="13"/>
      <c r="I507" s="13"/>
      <c r="J507" s="13"/>
      <c r="K507" s="13"/>
      <c r="L507" s="242"/>
      <c r="M507" s="242"/>
      <c r="N507" s="242"/>
      <c r="O507" s="242"/>
      <c r="P507" s="242"/>
      <c r="Q507" s="525"/>
      <c r="R507" s="242"/>
      <c r="S507" s="242"/>
      <c r="T507" s="242"/>
      <c r="U507" s="242"/>
      <c r="V507" s="242"/>
      <c r="W507" s="242"/>
      <c r="X507" s="242"/>
      <c r="Y507" s="242"/>
      <c r="Z507" s="242"/>
      <c r="AA507" s="242"/>
      <c r="AB507" s="242"/>
      <c r="AC507" s="242"/>
      <c r="AD507" s="242"/>
      <c r="AE507" s="242"/>
      <c r="AF507" s="242"/>
      <c r="AG507" s="242"/>
      <c r="AH507" s="242"/>
      <c r="AI507" s="242"/>
      <c r="AJ507" s="13"/>
      <c r="AK507" s="242"/>
      <c r="AL507" s="242"/>
      <c r="AM507" s="242"/>
      <c r="AN507" s="242"/>
      <c r="AO507" s="242"/>
    </row>
    <row r="508">
      <c r="A508" s="242"/>
      <c r="B508" s="13"/>
      <c r="C508" s="242"/>
      <c r="D508" s="242"/>
      <c r="E508" s="242"/>
      <c r="F508" s="242"/>
      <c r="G508" s="13"/>
      <c r="H508" s="13"/>
      <c r="I508" s="13"/>
      <c r="J508" s="13"/>
      <c r="K508" s="13"/>
      <c r="L508" s="242"/>
      <c r="M508" s="242"/>
      <c r="N508" s="242"/>
      <c r="O508" s="242"/>
      <c r="P508" s="242"/>
      <c r="Q508" s="525"/>
      <c r="R508" s="242"/>
      <c r="S508" s="242"/>
      <c r="T508" s="242"/>
      <c r="U508" s="242"/>
      <c r="V508" s="242"/>
      <c r="W508" s="242"/>
      <c r="X508" s="242"/>
      <c r="Y508" s="242"/>
      <c r="Z508" s="242"/>
      <c r="AA508" s="242"/>
      <c r="AB508" s="242"/>
      <c r="AC508" s="242"/>
      <c r="AD508" s="242"/>
      <c r="AE508" s="242"/>
      <c r="AF508" s="242"/>
      <c r="AG508" s="242"/>
      <c r="AH508" s="242"/>
      <c r="AI508" s="242"/>
      <c r="AJ508" s="13"/>
      <c r="AK508" s="242"/>
      <c r="AL508" s="242"/>
      <c r="AM508" s="242"/>
      <c r="AN508" s="242"/>
      <c r="AO508" s="242"/>
    </row>
    <row r="509">
      <c r="A509" s="242"/>
      <c r="B509" s="13"/>
      <c r="C509" s="242"/>
      <c r="D509" s="242"/>
      <c r="E509" s="242"/>
      <c r="F509" s="242"/>
      <c r="G509" s="13"/>
      <c r="H509" s="13"/>
      <c r="I509" s="13"/>
      <c r="J509" s="13"/>
      <c r="K509" s="13"/>
      <c r="L509" s="242"/>
      <c r="M509" s="242"/>
      <c r="N509" s="242"/>
      <c r="O509" s="242"/>
      <c r="P509" s="242"/>
      <c r="Q509" s="525"/>
      <c r="R509" s="242"/>
      <c r="S509" s="242"/>
      <c r="T509" s="242"/>
      <c r="U509" s="242"/>
      <c r="V509" s="242"/>
      <c r="W509" s="242"/>
      <c r="X509" s="242"/>
      <c r="Y509" s="242"/>
      <c r="Z509" s="242"/>
      <c r="AA509" s="242"/>
      <c r="AB509" s="242"/>
      <c r="AC509" s="242"/>
      <c r="AD509" s="242"/>
      <c r="AE509" s="242"/>
      <c r="AF509" s="242"/>
      <c r="AG509" s="242"/>
      <c r="AH509" s="242"/>
      <c r="AI509" s="242"/>
      <c r="AJ509" s="13"/>
      <c r="AK509" s="242"/>
      <c r="AL509" s="242"/>
      <c r="AM509" s="242"/>
      <c r="AN509" s="242"/>
      <c r="AO509" s="242"/>
    </row>
    <row r="510">
      <c r="A510" s="242"/>
      <c r="B510" s="13"/>
      <c r="C510" s="242"/>
      <c r="D510" s="242"/>
      <c r="E510" s="242"/>
      <c r="F510" s="242"/>
      <c r="G510" s="13"/>
      <c r="H510" s="13"/>
      <c r="I510" s="13"/>
      <c r="J510" s="13"/>
      <c r="K510" s="13"/>
      <c r="L510" s="242"/>
      <c r="M510" s="242"/>
      <c r="N510" s="242"/>
      <c r="O510" s="242"/>
      <c r="P510" s="242"/>
      <c r="Q510" s="525"/>
      <c r="R510" s="242"/>
      <c r="S510" s="242"/>
      <c r="T510" s="242"/>
      <c r="U510" s="242"/>
      <c r="V510" s="242"/>
      <c r="W510" s="242"/>
      <c r="X510" s="242"/>
      <c r="Y510" s="242"/>
      <c r="Z510" s="242"/>
      <c r="AA510" s="242"/>
      <c r="AB510" s="242"/>
      <c r="AC510" s="242"/>
      <c r="AD510" s="242"/>
      <c r="AE510" s="242"/>
      <c r="AF510" s="242"/>
      <c r="AG510" s="242"/>
      <c r="AH510" s="242"/>
      <c r="AI510" s="242"/>
      <c r="AJ510" s="13"/>
      <c r="AK510" s="242"/>
      <c r="AL510" s="242"/>
      <c r="AM510" s="242"/>
      <c r="AN510" s="242"/>
      <c r="AO510" s="242"/>
    </row>
    <row r="511">
      <c r="A511" s="242"/>
      <c r="B511" s="13"/>
      <c r="C511" s="242"/>
      <c r="D511" s="242"/>
      <c r="E511" s="242"/>
      <c r="F511" s="242"/>
      <c r="G511" s="13"/>
      <c r="H511" s="13"/>
      <c r="I511" s="13"/>
      <c r="J511" s="13"/>
      <c r="K511" s="13"/>
      <c r="L511" s="242"/>
      <c r="M511" s="242"/>
      <c r="N511" s="242"/>
      <c r="O511" s="242"/>
      <c r="P511" s="242"/>
      <c r="Q511" s="525"/>
      <c r="R511" s="242"/>
      <c r="S511" s="242"/>
      <c r="T511" s="242"/>
      <c r="U511" s="242"/>
      <c r="V511" s="242"/>
      <c r="W511" s="242"/>
      <c r="X511" s="242"/>
      <c r="Y511" s="242"/>
      <c r="Z511" s="242"/>
      <c r="AA511" s="242"/>
      <c r="AB511" s="242"/>
      <c r="AC511" s="242"/>
      <c r="AD511" s="242"/>
      <c r="AE511" s="242"/>
      <c r="AF511" s="242"/>
      <c r="AG511" s="242"/>
      <c r="AH511" s="242"/>
      <c r="AI511" s="242"/>
      <c r="AJ511" s="13"/>
      <c r="AK511" s="242"/>
      <c r="AL511" s="242"/>
      <c r="AM511" s="242"/>
      <c r="AN511" s="242"/>
      <c r="AO511" s="242"/>
    </row>
    <row r="512">
      <c r="A512" s="242"/>
      <c r="B512" s="13"/>
      <c r="C512" s="242"/>
      <c r="D512" s="242"/>
      <c r="E512" s="242"/>
      <c r="F512" s="242"/>
      <c r="G512" s="13"/>
      <c r="H512" s="13"/>
      <c r="I512" s="13"/>
      <c r="J512" s="13"/>
      <c r="K512" s="13"/>
      <c r="L512" s="242"/>
      <c r="M512" s="242"/>
      <c r="N512" s="242"/>
      <c r="O512" s="242"/>
      <c r="P512" s="242"/>
      <c r="Q512" s="525"/>
      <c r="R512" s="242"/>
      <c r="S512" s="242"/>
      <c r="T512" s="242"/>
      <c r="U512" s="242"/>
      <c r="V512" s="242"/>
      <c r="W512" s="242"/>
      <c r="X512" s="242"/>
      <c r="Y512" s="242"/>
      <c r="Z512" s="242"/>
      <c r="AA512" s="242"/>
      <c r="AB512" s="242"/>
      <c r="AC512" s="242"/>
      <c r="AD512" s="242"/>
      <c r="AE512" s="242"/>
      <c r="AF512" s="242"/>
      <c r="AG512" s="242"/>
      <c r="AH512" s="242"/>
      <c r="AI512" s="242"/>
      <c r="AJ512" s="13"/>
      <c r="AK512" s="242"/>
      <c r="AL512" s="242"/>
      <c r="AM512" s="242"/>
      <c r="AN512" s="242"/>
      <c r="AO512" s="242"/>
    </row>
    <row r="513">
      <c r="A513" s="242"/>
      <c r="B513" s="13"/>
      <c r="C513" s="242"/>
      <c r="D513" s="242"/>
      <c r="E513" s="242"/>
      <c r="F513" s="242"/>
      <c r="G513" s="13"/>
      <c r="H513" s="13"/>
      <c r="I513" s="13"/>
      <c r="J513" s="13"/>
      <c r="K513" s="13"/>
      <c r="L513" s="242"/>
      <c r="M513" s="242"/>
      <c r="N513" s="242"/>
      <c r="O513" s="242"/>
      <c r="P513" s="242"/>
      <c r="Q513" s="525"/>
      <c r="R513" s="242"/>
      <c r="S513" s="242"/>
      <c r="T513" s="242"/>
      <c r="U513" s="242"/>
      <c r="V513" s="242"/>
      <c r="W513" s="242"/>
      <c r="X513" s="242"/>
      <c r="Y513" s="242"/>
      <c r="Z513" s="242"/>
      <c r="AA513" s="242"/>
      <c r="AB513" s="242"/>
      <c r="AC513" s="242"/>
      <c r="AD513" s="242"/>
      <c r="AE513" s="242"/>
      <c r="AF513" s="242"/>
      <c r="AG513" s="242"/>
      <c r="AH513" s="242"/>
      <c r="AI513" s="242"/>
      <c r="AJ513" s="13"/>
      <c r="AK513" s="242"/>
      <c r="AL513" s="242"/>
      <c r="AM513" s="242"/>
      <c r="AN513" s="242"/>
      <c r="AO513" s="242"/>
    </row>
    <row r="514">
      <c r="A514" s="242"/>
      <c r="B514" s="13"/>
      <c r="C514" s="242"/>
      <c r="D514" s="242"/>
      <c r="E514" s="242"/>
      <c r="F514" s="242"/>
      <c r="G514" s="13"/>
      <c r="H514" s="13"/>
      <c r="I514" s="13"/>
      <c r="J514" s="13"/>
      <c r="K514" s="13"/>
      <c r="L514" s="242"/>
      <c r="M514" s="242"/>
      <c r="N514" s="242"/>
      <c r="O514" s="242"/>
      <c r="P514" s="242"/>
      <c r="Q514" s="525"/>
      <c r="R514" s="242"/>
      <c r="S514" s="242"/>
      <c r="T514" s="242"/>
      <c r="U514" s="242"/>
      <c r="V514" s="242"/>
      <c r="W514" s="242"/>
      <c r="X514" s="242"/>
      <c r="Y514" s="242"/>
      <c r="Z514" s="242"/>
      <c r="AA514" s="242"/>
      <c r="AB514" s="242"/>
      <c r="AC514" s="242"/>
      <c r="AD514" s="242"/>
      <c r="AE514" s="242"/>
      <c r="AF514" s="242"/>
      <c r="AG514" s="242"/>
      <c r="AH514" s="242"/>
      <c r="AI514" s="242"/>
      <c r="AJ514" s="13"/>
      <c r="AK514" s="242"/>
      <c r="AL514" s="242"/>
      <c r="AM514" s="242"/>
      <c r="AN514" s="242"/>
      <c r="AO514" s="242"/>
    </row>
    <row r="515">
      <c r="A515" s="242"/>
      <c r="B515" s="13"/>
      <c r="C515" s="242"/>
      <c r="D515" s="242"/>
      <c r="E515" s="242"/>
      <c r="F515" s="242"/>
      <c r="G515" s="13"/>
      <c r="H515" s="13"/>
      <c r="I515" s="13"/>
      <c r="J515" s="13"/>
      <c r="K515" s="13"/>
      <c r="L515" s="242"/>
      <c r="M515" s="242"/>
      <c r="N515" s="242"/>
      <c r="O515" s="242"/>
      <c r="P515" s="242"/>
      <c r="Q515" s="525"/>
      <c r="R515" s="242"/>
      <c r="S515" s="242"/>
      <c r="T515" s="242"/>
      <c r="U515" s="242"/>
      <c r="V515" s="242"/>
      <c r="W515" s="242"/>
      <c r="X515" s="242"/>
      <c r="Y515" s="242"/>
      <c r="Z515" s="242"/>
      <c r="AA515" s="242"/>
      <c r="AB515" s="242"/>
      <c r="AC515" s="242"/>
      <c r="AD515" s="242"/>
      <c r="AE515" s="242"/>
      <c r="AF515" s="242"/>
      <c r="AG515" s="242"/>
      <c r="AH515" s="242"/>
      <c r="AI515" s="242"/>
      <c r="AJ515" s="13"/>
      <c r="AK515" s="242"/>
      <c r="AL515" s="242"/>
      <c r="AM515" s="242"/>
      <c r="AN515" s="242"/>
      <c r="AO515" s="242"/>
    </row>
    <row r="516">
      <c r="A516" s="242"/>
      <c r="B516" s="13"/>
      <c r="C516" s="242"/>
      <c r="D516" s="242"/>
      <c r="E516" s="242"/>
      <c r="F516" s="242"/>
      <c r="G516" s="13"/>
      <c r="H516" s="13"/>
      <c r="I516" s="13"/>
      <c r="J516" s="13"/>
      <c r="K516" s="13"/>
      <c r="L516" s="242"/>
      <c r="M516" s="242"/>
      <c r="N516" s="242"/>
      <c r="O516" s="242"/>
      <c r="P516" s="242"/>
      <c r="Q516" s="525"/>
      <c r="R516" s="242"/>
      <c r="S516" s="242"/>
      <c r="T516" s="242"/>
      <c r="U516" s="242"/>
      <c r="V516" s="242"/>
      <c r="W516" s="242"/>
      <c r="X516" s="242"/>
      <c r="Y516" s="242"/>
      <c r="Z516" s="242"/>
      <c r="AA516" s="242"/>
      <c r="AB516" s="242"/>
      <c r="AC516" s="242"/>
      <c r="AD516" s="242"/>
      <c r="AE516" s="242"/>
      <c r="AF516" s="242"/>
      <c r="AG516" s="242"/>
      <c r="AH516" s="242"/>
      <c r="AI516" s="242"/>
      <c r="AJ516" s="13"/>
      <c r="AK516" s="242"/>
      <c r="AL516" s="242"/>
      <c r="AM516" s="242"/>
      <c r="AN516" s="242"/>
      <c r="AO516" s="242"/>
    </row>
    <row r="517">
      <c r="A517" s="242"/>
      <c r="B517" s="13"/>
      <c r="C517" s="242"/>
      <c r="D517" s="242"/>
      <c r="E517" s="242"/>
      <c r="F517" s="242"/>
      <c r="G517" s="13"/>
      <c r="H517" s="13"/>
      <c r="I517" s="13"/>
      <c r="J517" s="13"/>
      <c r="K517" s="13"/>
      <c r="L517" s="242"/>
      <c r="M517" s="242"/>
      <c r="N517" s="242"/>
      <c r="O517" s="242"/>
      <c r="P517" s="242"/>
      <c r="Q517" s="525"/>
      <c r="R517" s="242"/>
      <c r="S517" s="242"/>
      <c r="T517" s="242"/>
      <c r="U517" s="242"/>
      <c r="V517" s="242"/>
      <c r="W517" s="242"/>
      <c r="X517" s="242"/>
      <c r="Y517" s="242"/>
      <c r="Z517" s="242"/>
      <c r="AA517" s="242"/>
      <c r="AB517" s="242"/>
      <c r="AC517" s="242"/>
      <c r="AD517" s="242"/>
      <c r="AE517" s="242"/>
      <c r="AF517" s="242"/>
      <c r="AG517" s="242"/>
      <c r="AH517" s="242"/>
      <c r="AI517" s="242"/>
      <c r="AJ517" s="13"/>
      <c r="AK517" s="242"/>
      <c r="AL517" s="242"/>
      <c r="AM517" s="242"/>
      <c r="AN517" s="242"/>
      <c r="AO517" s="242"/>
    </row>
    <row r="518">
      <c r="A518" s="242"/>
      <c r="B518" s="13"/>
      <c r="C518" s="242"/>
      <c r="D518" s="242"/>
      <c r="E518" s="242"/>
      <c r="F518" s="242"/>
      <c r="G518" s="13"/>
      <c r="H518" s="13"/>
      <c r="I518" s="13"/>
      <c r="J518" s="13"/>
      <c r="K518" s="13"/>
      <c r="L518" s="242"/>
      <c r="M518" s="242"/>
      <c r="N518" s="242"/>
      <c r="O518" s="242"/>
      <c r="P518" s="242"/>
      <c r="Q518" s="525"/>
      <c r="R518" s="242"/>
      <c r="S518" s="242"/>
      <c r="T518" s="242"/>
      <c r="U518" s="242"/>
      <c r="V518" s="242"/>
      <c r="W518" s="242"/>
      <c r="X518" s="242"/>
      <c r="Y518" s="242"/>
      <c r="Z518" s="242"/>
      <c r="AA518" s="242"/>
      <c r="AB518" s="242"/>
      <c r="AC518" s="242"/>
      <c r="AD518" s="242"/>
      <c r="AE518" s="242"/>
      <c r="AF518" s="242"/>
      <c r="AG518" s="242"/>
      <c r="AH518" s="242"/>
      <c r="AI518" s="242"/>
      <c r="AJ518" s="13"/>
      <c r="AK518" s="242"/>
      <c r="AL518" s="242"/>
      <c r="AM518" s="242"/>
      <c r="AN518" s="242"/>
      <c r="AO518" s="242"/>
    </row>
    <row r="519">
      <c r="A519" s="242"/>
      <c r="B519" s="13"/>
      <c r="C519" s="242"/>
      <c r="D519" s="242"/>
      <c r="E519" s="242"/>
      <c r="F519" s="242"/>
      <c r="G519" s="13"/>
      <c r="H519" s="13"/>
      <c r="I519" s="13"/>
      <c r="J519" s="13"/>
      <c r="K519" s="13"/>
      <c r="L519" s="242"/>
      <c r="M519" s="242"/>
      <c r="N519" s="242"/>
      <c r="O519" s="242"/>
      <c r="P519" s="242"/>
      <c r="Q519" s="525"/>
      <c r="R519" s="242"/>
      <c r="S519" s="242"/>
      <c r="T519" s="242"/>
      <c r="U519" s="242"/>
      <c r="V519" s="242"/>
      <c r="W519" s="242"/>
      <c r="X519" s="242"/>
      <c r="Y519" s="242"/>
      <c r="Z519" s="242"/>
      <c r="AA519" s="242"/>
      <c r="AB519" s="242"/>
      <c r="AC519" s="242"/>
      <c r="AD519" s="242"/>
      <c r="AE519" s="242"/>
      <c r="AF519" s="242"/>
      <c r="AG519" s="242"/>
      <c r="AH519" s="242"/>
      <c r="AI519" s="242"/>
      <c r="AJ519" s="13"/>
      <c r="AK519" s="242"/>
      <c r="AL519" s="242"/>
      <c r="AM519" s="242"/>
      <c r="AN519" s="242"/>
      <c r="AO519" s="242"/>
    </row>
    <row r="520">
      <c r="A520" s="242"/>
      <c r="B520" s="13"/>
      <c r="C520" s="242"/>
      <c r="D520" s="242"/>
      <c r="E520" s="242"/>
      <c r="F520" s="242"/>
      <c r="G520" s="13"/>
      <c r="H520" s="13"/>
      <c r="I520" s="13"/>
      <c r="J520" s="13"/>
      <c r="K520" s="13"/>
      <c r="L520" s="242"/>
      <c r="M520" s="242"/>
      <c r="N520" s="242"/>
      <c r="O520" s="242"/>
      <c r="P520" s="242"/>
      <c r="Q520" s="525"/>
      <c r="R520" s="242"/>
      <c r="S520" s="242"/>
      <c r="T520" s="242"/>
      <c r="U520" s="242"/>
      <c r="V520" s="242"/>
      <c r="W520" s="242"/>
      <c r="X520" s="242"/>
      <c r="Y520" s="242"/>
      <c r="Z520" s="242"/>
      <c r="AA520" s="242"/>
      <c r="AB520" s="242"/>
      <c r="AC520" s="242"/>
      <c r="AD520" s="242"/>
      <c r="AE520" s="242"/>
      <c r="AF520" s="242"/>
      <c r="AG520" s="242"/>
      <c r="AH520" s="242"/>
      <c r="AI520" s="242"/>
      <c r="AJ520" s="13"/>
      <c r="AK520" s="242"/>
      <c r="AL520" s="242"/>
      <c r="AM520" s="242"/>
      <c r="AN520" s="242"/>
      <c r="AO520" s="242"/>
    </row>
    <row r="521">
      <c r="A521" s="242"/>
      <c r="B521" s="13"/>
      <c r="C521" s="242"/>
      <c r="D521" s="242"/>
      <c r="E521" s="242"/>
      <c r="F521" s="242"/>
      <c r="G521" s="13"/>
      <c r="H521" s="13"/>
      <c r="I521" s="13"/>
      <c r="J521" s="13"/>
      <c r="K521" s="13"/>
      <c r="L521" s="242"/>
      <c r="M521" s="242"/>
      <c r="N521" s="242"/>
      <c r="O521" s="242"/>
      <c r="P521" s="242"/>
      <c r="Q521" s="525"/>
      <c r="R521" s="242"/>
      <c r="S521" s="242"/>
      <c r="T521" s="242"/>
      <c r="U521" s="242"/>
      <c r="V521" s="242"/>
      <c r="W521" s="242"/>
      <c r="X521" s="242"/>
      <c r="Y521" s="242"/>
      <c r="Z521" s="242"/>
      <c r="AA521" s="242"/>
      <c r="AB521" s="242"/>
      <c r="AC521" s="242"/>
      <c r="AD521" s="242"/>
      <c r="AE521" s="242"/>
      <c r="AF521" s="242"/>
      <c r="AG521" s="242"/>
      <c r="AH521" s="242"/>
      <c r="AI521" s="242"/>
      <c r="AJ521" s="13"/>
      <c r="AK521" s="242"/>
      <c r="AL521" s="242"/>
      <c r="AM521" s="242"/>
      <c r="AN521" s="242"/>
      <c r="AO521" s="242"/>
    </row>
    <row r="522">
      <c r="A522" s="242"/>
      <c r="B522" s="13"/>
      <c r="C522" s="242"/>
      <c r="D522" s="242"/>
      <c r="E522" s="242"/>
      <c r="F522" s="242"/>
      <c r="G522" s="13"/>
      <c r="H522" s="13"/>
      <c r="I522" s="13"/>
      <c r="J522" s="13"/>
      <c r="K522" s="13"/>
      <c r="L522" s="242"/>
      <c r="M522" s="242"/>
      <c r="N522" s="242"/>
      <c r="O522" s="242"/>
      <c r="P522" s="242"/>
      <c r="Q522" s="525"/>
      <c r="R522" s="242"/>
      <c r="S522" s="242"/>
      <c r="T522" s="242"/>
      <c r="U522" s="242"/>
      <c r="V522" s="242"/>
      <c r="W522" s="242"/>
      <c r="X522" s="242"/>
      <c r="Y522" s="242"/>
      <c r="Z522" s="242"/>
      <c r="AA522" s="242"/>
      <c r="AB522" s="242"/>
      <c r="AC522" s="242"/>
      <c r="AD522" s="242"/>
      <c r="AE522" s="242"/>
      <c r="AF522" s="242"/>
      <c r="AG522" s="242"/>
      <c r="AH522" s="242"/>
      <c r="AI522" s="242"/>
      <c r="AJ522" s="13"/>
      <c r="AK522" s="242"/>
      <c r="AL522" s="242"/>
      <c r="AM522" s="242"/>
      <c r="AN522" s="242"/>
      <c r="AO522" s="242"/>
    </row>
    <row r="523">
      <c r="A523" s="242"/>
      <c r="B523" s="13"/>
      <c r="C523" s="242"/>
      <c r="D523" s="242"/>
      <c r="E523" s="242"/>
      <c r="F523" s="242"/>
      <c r="G523" s="13"/>
      <c r="H523" s="13"/>
      <c r="I523" s="13"/>
      <c r="J523" s="13"/>
      <c r="K523" s="13"/>
      <c r="L523" s="242"/>
      <c r="M523" s="242"/>
      <c r="N523" s="242"/>
      <c r="O523" s="242"/>
      <c r="P523" s="242"/>
      <c r="Q523" s="525"/>
      <c r="R523" s="242"/>
      <c r="S523" s="242"/>
      <c r="T523" s="242"/>
      <c r="U523" s="242"/>
      <c r="V523" s="242"/>
      <c r="W523" s="242"/>
      <c r="X523" s="242"/>
      <c r="Y523" s="242"/>
      <c r="Z523" s="242"/>
      <c r="AA523" s="242"/>
      <c r="AB523" s="242"/>
      <c r="AC523" s="242"/>
      <c r="AD523" s="242"/>
      <c r="AE523" s="242"/>
      <c r="AF523" s="242"/>
      <c r="AG523" s="242"/>
      <c r="AH523" s="242"/>
      <c r="AI523" s="242"/>
      <c r="AJ523" s="13"/>
      <c r="AK523" s="242"/>
      <c r="AL523" s="242"/>
      <c r="AM523" s="242"/>
      <c r="AN523" s="242"/>
      <c r="AO523" s="242"/>
    </row>
    <row r="524">
      <c r="A524" s="242"/>
      <c r="B524" s="13"/>
      <c r="C524" s="242"/>
      <c r="D524" s="242"/>
      <c r="E524" s="242"/>
      <c r="F524" s="242"/>
      <c r="G524" s="13"/>
      <c r="H524" s="13"/>
      <c r="I524" s="13"/>
      <c r="J524" s="13"/>
      <c r="K524" s="13"/>
      <c r="L524" s="242"/>
      <c r="M524" s="242"/>
      <c r="N524" s="242"/>
      <c r="O524" s="242"/>
      <c r="P524" s="242"/>
      <c r="Q524" s="525"/>
      <c r="R524" s="242"/>
      <c r="S524" s="242"/>
      <c r="T524" s="242"/>
      <c r="U524" s="242"/>
      <c r="V524" s="242"/>
      <c r="W524" s="242"/>
      <c r="X524" s="242"/>
      <c r="Y524" s="242"/>
      <c r="Z524" s="242"/>
      <c r="AA524" s="242"/>
      <c r="AB524" s="242"/>
      <c r="AC524" s="242"/>
      <c r="AD524" s="242"/>
      <c r="AE524" s="242"/>
      <c r="AF524" s="242"/>
      <c r="AG524" s="242"/>
      <c r="AH524" s="242"/>
      <c r="AI524" s="242"/>
      <c r="AJ524" s="13"/>
      <c r="AK524" s="242"/>
      <c r="AL524" s="242"/>
      <c r="AM524" s="242"/>
      <c r="AN524" s="242"/>
      <c r="AO524" s="242"/>
    </row>
    <row r="525">
      <c r="A525" s="242"/>
      <c r="B525" s="13"/>
      <c r="C525" s="242"/>
      <c r="D525" s="242"/>
      <c r="E525" s="242"/>
      <c r="F525" s="242"/>
      <c r="G525" s="13"/>
      <c r="H525" s="13"/>
      <c r="I525" s="13"/>
      <c r="J525" s="13"/>
      <c r="K525" s="13"/>
      <c r="L525" s="242"/>
      <c r="M525" s="242"/>
      <c r="N525" s="242"/>
      <c r="O525" s="242"/>
      <c r="P525" s="242"/>
      <c r="Q525" s="525"/>
      <c r="R525" s="242"/>
      <c r="S525" s="242"/>
      <c r="T525" s="242"/>
      <c r="U525" s="242"/>
      <c r="V525" s="242"/>
      <c r="W525" s="242"/>
      <c r="X525" s="242"/>
      <c r="Y525" s="242"/>
      <c r="Z525" s="242"/>
      <c r="AA525" s="242"/>
      <c r="AB525" s="242"/>
      <c r="AC525" s="242"/>
      <c r="AD525" s="242"/>
      <c r="AE525" s="242"/>
      <c r="AF525" s="242"/>
      <c r="AG525" s="242"/>
      <c r="AH525" s="242"/>
      <c r="AI525" s="242"/>
      <c r="AJ525" s="13"/>
      <c r="AK525" s="242"/>
      <c r="AL525" s="242"/>
      <c r="AM525" s="242"/>
      <c r="AN525" s="242"/>
      <c r="AO525" s="242"/>
    </row>
    <row r="526">
      <c r="A526" s="242"/>
      <c r="B526" s="13"/>
      <c r="C526" s="242"/>
      <c r="D526" s="242"/>
      <c r="E526" s="242"/>
      <c r="F526" s="242"/>
      <c r="G526" s="13"/>
      <c r="H526" s="13"/>
      <c r="I526" s="13"/>
      <c r="J526" s="13"/>
      <c r="K526" s="13"/>
      <c r="L526" s="242"/>
      <c r="M526" s="242"/>
      <c r="N526" s="242"/>
      <c r="O526" s="242"/>
      <c r="P526" s="242"/>
      <c r="Q526" s="525"/>
      <c r="R526" s="242"/>
      <c r="S526" s="242"/>
      <c r="T526" s="242"/>
      <c r="U526" s="242"/>
      <c r="V526" s="242"/>
      <c r="W526" s="242"/>
      <c r="X526" s="242"/>
      <c r="Y526" s="242"/>
      <c r="Z526" s="242"/>
      <c r="AA526" s="242"/>
      <c r="AB526" s="242"/>
      <c r="AC526" s="242"/>
      <c r="AD526" s="242"/>
      <c r="AE526" s="242"/>
      <c r="AF526" s="242"/>
      <c r="AG526" s="242"/>
      <c r="AH526" s="242"/>
      <c r="AI526" s="242"/>
      <c r="AJ526" s="13"/>
      <c r="AK526" s="242"/>
      <c r="AL526" s="242"/>
      <c r="AM526" s="242"/>
      <c r="AN526" s="242"/>
      <c r="AO526" s="242"/>
    </row>
    <row r="527">
      <c r="A527" s="242"/>
      <c r="B527" s="13"/>
      <c r="C527" s="242"/>
      <c r="D527" s="242"/>
      <c r="E527" s="242"/>
      <c r="F527" s="242"/>
      <c r="G527" s="13"/>
      <c r="H527" s="13"/>
      <c r="I527" s="13"/>
      <c r="J527" s="13"/>
      <c r="K527" s="13"/>
      <c r="L527" s="242"/>
      <c r="M527" s="242"/>
      <c r="N527" s="242"/>
      <c r="O527" s="242"/>
      <c r="P527" s="242"/>
      <c r="Q527" s="525"/>
      <c r="R527" s="242"/>
      <c r="S527" s="242"/>
      <c r="T527" s="242"/>
      <c r="U527" s="242"/>
      <c r="V527" s="242"/>
      <c r="W527" s="242"/>
      <c r="X527" s="242"/>
      <c r="Y527" s="242"/>
      <c r="Z527" s="242"/>
      <c r="AA527" s="242"/>
      <c r="AB527" s="242"/>
      <c r="AC527" s="242"/>
      <c r="AD527" s="242"/>
      <c r="AE527" s="242"/>
      <c r="AF527" s="242"/>
      <c r="AG527" s="242"/>
      <c r="AH527" s="242"/>
      <c r="AI527" s="242"/>
      <c r="AJ527" s="13"/>
      <c r="AK527" s="242"/>
      <c r="AL527" s="242"/>
      <c r="AM527" s="242"/>
      <c r="AN527" s="242"/>
      <c r="AO527" s="242"/>
    </row>
    <row r="528">
      <c r="A528" s="242"/>
      <c r="B528" s="13"/>
      <c r="C528" s="242"/>
      <c r="D528" s="242"/>
      <c r="E528" s="242"/>
      <c r="F528" s="242"/>
      <c r="G528" s="13"/>
      <c r="H528" s="13"/>
      <c r="I528" s="13"/>
      <c r="J528" s="13"/>
      <c r="K528" s="13"/>
      <c r="L528" s="242"/>
      <c r="M528" s="242"/>
      <c r="N528" s="242"/>
      <c r="O528" s="242"/>
      <c r="P528" s="242"/>
      <c r="Q528" s="525"/>
      <c r="R528" s="242"/>
      <c r="S528" s="242"/>
      <c r="T528" s="242"/>
      <c r="U528" s="242"/>
      <c r="V528" s="242"/>
      <c r="W528" s="242"/>
      <c r="X528" s="242"/>
      <c r="Y528" s="242"/>
      <c r="Z528" s="242"/>
      <c r="AA528" s="242"/>
      <c r="AB528" s="242"/>
      <c r="AC528" s="242"/>
      <c r="AD528" s="242"/>
      <c r="AE528" s="242"/>
      <c r="AF528" s="242"/>
      <c r="AG528" s="242"/>
      <c r="AH528" s="242"/>
      <c r="AI528" s="242"/>
      <c r="AJ528" s="13"/>
      <c r="AK528" s="242"/>
      <c r="AL528" s="242"/>
      <c r="AM528" s="242"/>
      <c r="AN528" s="242"/>
      <c r="AO528" s="242"/>
    </row>
    <row r="529">
      <c r="A529" s="242"/>
      <c r="B529" s="13"/>
      <c r="C529" s="242"/>
      <c r="D529" s="242"/>
      <c r="E529" s="242"/>
      <c r="F529" s="242"/>
      <c r="G529" s="13"/>
      <c r="H529" s="13"/>
      <c r="I529" s="13"/>
      <c r="J529" s="13"/>
      <c r="K529" s="13"/>
      <c r="L529" s="242"/>
      <c r="M529" s="242"/>
      <c r="N529" s="242"/>
      <c r="O529" s="242"/>
      <c r="P529" s="242"/>
      <c r="Q529" s="525"/>
      <c r="R529" s="242"/>
      <c r="S529" s="242"/>
      <c r="T529" s="242"/>
      <c r="U529" s="242"/>
      <c r="V529" s="242"/>
      <c r="W529" s="242"/>
      <c r="X529" s="242"/>
      <c r="Y529" s="242"/>
      <c r="Z529" s="242"/>
      <c r="AA529" s="242"/>
      <c r="AB529" s="242"/>
      <c r="AC529" s="242"/>
      <c r="AD529" s="242"/>
      <c r="AE529" s="242"/>
      <c r="AF529" s="242"/>
      <c r="AG529" s="242"/>
      <c r="AH529" s="242"/>
      <c r="AI529" s="242"/>
      <c r="AJ529" s="13"/>
      <c r="AK529" s="242"/>
      <c r="AL529" s="242"/>
      <c r="AM529" s="242"/>
      <c r="AN529" s="242"/>
      <c r="AO529" s="242"/>
    </row>
    <row r="530">
      <c r="A530" s="242"/>
      <c r="B530" s="13"/>
      <c r="C530" s="242"/>
      <c r="D530" s="242"/>
      <c r="E530" s="242"/>
      <c r="F530" s="242"/>
      <c r="G530" s="13"/>
      <c r="H530" s="13"/>
      <c r="I530" s="13"/>
      <c r="J530" s="13"/>
      <c r="K530" s="13"/>
      <c r="L530" s="242"/>
      <c r="M530" s="242"/>
      <c r="N530" s="242"/>
      <c r="O530" s="242"/>
      <c r="P530" s="242"/>
      <c r="Q530" s="525"/>
      <c r="R530" s="242"/>
      <c r="S530" s="242"/>
      <c r="T530" s="242"/>
      <c r="U530" s="242"/>
      <c r="V530" s="242"/>
      <c r="W530" s="242"/>
      <c r="X530" s="242"/>
      <c r="Y530" s="242"/>
      <c r="Z530" s="242"/>
      <c r="AA530" s="242"/>
      <c r="AB530" s="242"/>
      <c r="AC530" s="242"/>
      <c r="AD530" s="242"/>
      <c r="AE530" s="242"/>
      <c r="AF530" s="242"/>
      <c r="AG530" s="242"/>
      <c r="AH530" s="242"/>
      <c r="AI530" s="242"/>
      <c r="AJ530" s="13"/>
      <c r="AK530" s="242"/>
      <c r="AL530" s="242"/>
      <c r="AM530" s="242"/>
      <c r="AN530" s="242"/>
      <c r="AO530" s="242"/>
    </row>
    <row r="531">
      <c r="A531" s="242"/>
      <c r="B531" s="13"/>
      <c r="C531" s="242"/>
      <c r="D531" s="242"/>
      <c r="E531" s="242"/>
      <c r="F531" s="242"/>
      <c r="G531" s="13"/>
      <c r="H531" s="13"/>
      <c r="I531" s="13"/>
      <c r="J531" s="13"/>
      <c r="K531" s="13"/>
      <c r="L531" s="242"/>
      <c r="M531" s="242"/>
      <c r="N531" s="242"/>
      <c r="O531" s="242"/>
      <c r="P531" s="242"/>
      <c r="Q531" s="525"/>
      <c r="R531" s="242"/>
      <c r="S531" s="242"/>
      <c r="T531" s="242"/>
      <c r="U531" s="242"/>
      <c r="V531" s="242"/>
      <c r="W531" s="242"/>
      <c r="X531" s="242"/>
      <c r="Y531" s="242"/>
      <c r="Z531" s="242"/>
      <c r="AA531" s="242"/>
      <c r="AB531" s="242"/>
      <c r="AC531" s="242"/>
      <c r="AD531" s="242"/>
      <c r="AE531" s="242"/>
      <c r="AF531" s="242"/>
      <c r="AG531" s="242"/>
      <c r="AH531" s="242"/>
      <c r="AI531" s="242"/>
      <c r="AJ531" s="13"/>
      <c r="AK531" s="242"/>
      <c r="AL531" s="242"/>
      <c r="AM531" s="242"/>
      <c r="AN531" s="242"/>
      <c r="AO531" s="242"/>
    </row>
    <row r="532">
      <c r="A532" s="242"/>
      <c r="B532" s="13"/>
      <c r="C532" s="242"/>
      <c r="D532" s="242"/>
      <c r="E532" s="242"/>
      <c r="F532" s="242"/>
      <c r="G532" s="13"/>
      <c r="H532" s="13"/>
      <c r="I532" s="13"/>
      <c r="J532" s="13"/>
      <c r="K532" s="13"/>
      <c r="L532" s="242"/>
      <c r="M532" s="242"/>
      <c r="N532" s="242"/>
      <c r="O532" s="242"/>
      <c r="P532" s="242"/>
      <c r="Q532" s="525"/>
      <c r="R532" s="242"/>
      <c r="S532" s="242"/>
      <c r="T532" s="242"/>
      <c r="U532" s="242"/>
      <c r="V532" s="242"/>
      <c r="W532" s="242"/>
      <c r="X532" s="242"/>
      <c r="Y532" s="242"/>
      <c r="Z532" s="242"/>
      <c r="AA532" s="242"/>
      <c r="AB532" s="242"/>
      <c r="AC532" s="242"/>
      <c r="AD532" s="242"/>
      <c r="AE532" s="242"/>
      <c r="AF532" s="242"/>
      <c r="AG532" s="242"/>
      <c r="AH532" s="242"/>
      <c r="AI532" s="242"/>
      <c r="AJ532" s="13"/>
      <c r="AK532" s="242"/>
      <c r="AL532" s="242"/>
      <c r="AM532" s="242"/>
      <c r="AN532" s="242"/>
      <c r="AO532" s="242"/>
    </row>
    <row r="533">
      <c r="A533" s="242"/>
      <c r="B533" s="13"/>
      <c r="C533" s="242"/>
      <c r="D533" s="242"/>
      <c r="E533" s="242"/>
      <c r="F533" s="242"/>
      <c r="G533" s="13"/>
      <c r="H533" s="13"/>
      <c r="I533" s="13"/>
      <c r="J533" s="13"/>
      <c r="K533" s="13"/>
      <c r="L533" s="242"/>
      <c r="M533" s="242"/>
      <c r="N533" s="242"/>
      <c r="O533" s="242"/>
      <c r="P533" s="242"/>
      <c r="Q533" s="525"/>
      <c r="R533" s="242"/>
      <c r="S533" s="242"/>
      <c r="T533" s="242"/>
      <c r="U533" s="242"/>
      <c r="V533" s="242"/>
      <c r="W533" s="242"/>
      <c r="X533" s="242"/>
      <c r="Y533" s="242"/>
      <c r="Z533" s="242"/>
      <c r="AA533" s="242"/>
      <c r="AB533" s="242"/>
      <c r="AC533" s="242"/>
      <c r="AD533" s="242"/>
      <c r="AE533" s="242"/>
      <c r="AF533" s="242"/>
      <c r="AG533" s="242"/>
      <c r="AH533" s="242"/>
      <c r="AI533" s="242"/>
      <c r="AJ533" s="13"/>
      <c r="AK533" s="242"/>
      <c r="AL533" s="242"/>
      <c r="AM533" s="242"/>
      <c r="AN533" s="242"/>
      <c r="AO533" s="242"/>
    </row>
    <row r="534">
      <c r="A534" s="242"/>
      <c r="B534" s="13"/>
      <c r="C534" s="242"/>
      <c r="D534" s="242"/>
      <c r="E534" s="242"/>
      <c r="F534" s="242"/>
      <c r="G534" s="13"/>
      <c r="H534" s="13"/>
      <c r="I534" s="13"/>
      <c r="J534" s="13"/>
      <c r="K534" s="13"/>
      <c r="L534" s="242"/>
      <c r="M534" s="242"/>
      <c r="N534" s="242"/>
      <c r="O534" s="242"/>
      <c r="P534" s="242"/>
      <c r="Q534" s="525"/>
      <c r="R534" s="242"/>
      <c r="S534" s="242"/>
      <c r="T534" s="242"/>
      <c r="U534" s="242"/>
      <c r="V534" s="242"/>
      <c r="W534" s="242"/>
      <c r="X534" s="242"/>
      <c r="Y534" s="242"/>
      <c r="Z534" s="242"/>
      <c r="AA534" s="242"/>
      <c r="AB534" s="242"/>
      <c r="AC534" s="242"/>
      <c r="AD534" s="242"/>
      <c r="AE534" s="242"/>
      <c r="AF534" s="242"/>
      <c r="AG534" s="242"/>
      <c r="AH534" s="242"/>
      <c r="AI534" s="242"/>
      <c r="AJ534" s="13"/>
      <c r="AK534" s="242"/>
      <c r="AL534" s="242"/>
      <c r="AM534" s="242"/>
      <c r="AN534" s="242"/>
      <c r="AO534" s="242"/>
    </row>
    <row r="535">
      <c r="A535" s="242"/>
      <c r="B535" s="13"/>
      <c r="C535" s="242"/>
      <c r="D535" s="242"/>
      <c r="E535" s="242"/>
      <c r="F535" s="242"/>
      <c r="G535" s="13"/>
      <c r="H535" s="13"/>
      <c r="I535" s="13"/>
      <c r="J535" s="13"/>
      <c r="K535" s="13"/>
      <c r="L535" s="242"/>
      <c r="M535" s="242"/>
      <c r="N535" s="242"/>
      <c r="O535" s="242"/>
      <c r="P535" s="242"/>
      <c r="Q535" s="525"/>
      <c r="R535" s="242"/>
      <c r="S535" s="242"/>
      <c r="T535" s="242"/>
      <c r="U535" s="242"/>
      <c r="V535" s="242"/>
      <c r="W535" s="242"/>
      <c r="X535" s="242"/>
      <c r="Y535" s="242"/>
      <c r="Z535" s="242"/>
      <c r="AA535" s="242"/>
      <c r="AB535" s="242"/>
      <c r="AC535" s="242"/>
      <c r="AD535" s="242"/>
      <c r="AE535" s="242"/>
      <c r="AF535" s="242"/>
      <c r="AG535" s="242"/>
      <c r="AH535" s="242"/>
      <c r="AI535" s="242"/>
      <c r="AJ535" s="13"/>
      <c r="AK535" s="242"/>
      <c r="AL535" s="242"/>
      <c r="AM535" s="242"/>
      <c r="AN535" s="242"/>
      <c r="AO535" s="242"/>
    </row>
    <row r="536">
      <c r="A536" s="242"/>
      <c r="B536" s="13"/>
      <c r="C536" s="242"/>
      <c r="D536" s="242"/>
      <c r="E536" s="242"/>
      <c r="F536" s="242"/>
      <c r="G536" s="13"/>
      <c r="H536" s="13"/>
      <c r="I536" s="13"/>
      <c r="J536" s="13"/>
      <c r="K536" s="13"/>
      <c r="L536" s="242"/>
      <c r="M536" s="242"/>
      <c r="N536" s="242"/>
      <c r="O536" s="242"/>
      <c r="P536" s="242"/>
      <c r="Q536" s="525"/>
      <c r="R536" s="242"/>
      <c r="S536" s="242"/>
      <c r="T536" s="242"/>
      <c r="U536" s="242"/>
      <c r="V536" s="242"/>
      <c r="W536" s="242"/>
      <c r="X536" s="242"/>
      <c r="Y536" s="242"/>
      <c r="Z536" s="242"/>
      <c r="AA536" s="242"/>
      <c r="AB536" s="242"/>
      <c r="AC536" s="242"/>
      <c r="AD536" s="242"/>
      <c r="AE536" s="242"/>
      <c r="AF536" s="242"/>
      <c r="AG536" s="242"/>
      <c r="AH536" s="242"/>
      <c r="AI536" s="242"/>
      <c r="AJ536" s="13"/>
      <c r="AK536" s="242"/>
      <c r="AL536" s="242"/>
      <c r="AM536" s="242"/>
      <c r="AN536" s="242"/>
      <c r="AO536" s="242"/>
    </row>
    <row r="537">
      <c r="A537" s="242"/>
      <c r="B537" s="13"/>
      <c r="C537" s="242"/>
      <c r="D537" s="242"/>
      <c r="E537" s="242"/>
      <c r="F537" s="242"/>
      <c r="G537" s="13"/>
      <c r="H537" s="13"/>
      <c r="I537" s="13"/>
      <c r="J537" s="13"/>
      <c r="K537" s="13"/>
      <c r="L537" s="242"/>
      <c r="M537" s="242"/>
      <c r="N537" s="242"/>
      <c r="O537" s="242"/>
      <c r="P537" s="242"/>
      <c r="Q537" s="525"/>
      <c r="R537" s="242"/>
      <c r="S537" s="242"/>
      <c r="T537" s="242"/>
      <c r="U537" s="242"/>
      <c r="V537" s="242"/>
      <c r="W537" s="242"/>
      <c r="X537" s="242"/>
      <c r="Y537" s="242"/>
      <c r="Z537" s="242"/>
      <c r="AA537" s="242"/>
      <c r="AB537" s="242"/>
      <c r="AC537" s="242"/>
      <c r="AD537" s="242"/>
      <c r="AE537" s="242"/>
      <c r="AF537" s="242"/>
      <c r="AG537" s="242"/>
      <c r="AH537" s="242"/>
      <c r="AI537" s="242"/>
      <c r="AJ537" s="13"/>
      <c r="AK537" s="242"/>
      <c r="AL537" s="242"/>
      <c r="AM537" s="242"/>
      <c r="AN537" s="242"/>
      <c r="AO537" s="242"/>
    </row>
    <row r="538">
      <c r="A538" s="242"/>
      <c r="B538" s="13"/>
      <c r="C538" s="242"/>
      <c r="D538" s="242"/>
      <c r="E538" s="242"/>
      <c r="F538" s="242"/>
      <c r="G538" s="13"/>
      <c r="H538" s="13"/>
      <c r="I538" s="13"/>
      <c r="J538" s="13"/>
      <c r="K538" s="13"/>
      <c r="L538" s="242"/>
      <c r="M538" s="242"/>
      <c r="N538" s="242"/>
      <c r="O538" s="242"/>
      <c r="P538" s="242"/>
      <c r="Q538" s="525"/>
      <c r="R538" s="242"/>
      <c r="S538" s="242"/>
      <c r="T538" s="242"/>
      <c r="U538" s="242"/>
      <c r="V538" s="242"/>
      <c r="W538" s="242"/>
      <c r="X538" s="242"/>
      <c r="Y538" s="242"/>
      <c r="Z538" s="242"/>
      <c r="AA538" s="242"/>
      <c r="AB538" s="242"/>
      <c r="AC538" s="242"/>
      <c r="AD538" s="242"/>
      <c r="AE538" s="242"/>
      <c r="AF538" s="242"/>
      <c r="AG538" s="242"/>
      <c r="AH538" s="242"/>
      <c r="AI538" s="242"/>
      <c r="AJ538" s="13"/>
      <c r="AK538" s="242"/>
      <c r="AL538" s="242"/>
      <c r="AM538" s="242"/>
      <c r="AN538" s="242"/>
      <c r="AO538" s="242"/>
    </row>
    <row r="539">
      <c r="A539" s="242"/>
      <c r="B539" s="13"/>
      <c r="C539" s="242"/>
      <c r="D539" s="242"/>
      <c r="E539" s="242"/>
      <c r="F539" s="242"/>
      <c r="G539" s="13"/>
      <c r="H539" s="13"/>
      <c r="I539" s="13"/>
      <c r="J539" s="13"/>
      <c r="K539" s="13"/>
      <c r="L539" s="242"/>
      <c r="M539" s="242"/>
      <c r="N539" s="242"/>
      <c r="O539" s="242"/>
      <c r="P539" s="242"/>
      <c r="Q539" s="525"/>
      <c r="R539" s="242"/>
      <c r="S539" s="242"/>
      <c r="T539" s="242"/>
      <c r="U539" s="242"/>
      <c r="V539" s="242"/>
      <c r="W539" s="242"/>
      <c r="X539" s="242"/>
      <c r="Y539" s="242"/>
      <c r="Z539" s="242"/>
      <c r="AA539" s="242"/>
      <c r="AB539" s="242"/>
      <c r="AC539" s="242"/>
      <c r="AD539" s="242"/>
      <c r="AE539" s="242"/>
      <c r="AF539" s="242"/>
      <c r="AG539" s="242"/>
      <c r="AH539" s="242"/>
      <c r="AI539" s="242"/>
      <c r="AJ539" s="13"/>
      <c r="AK539" s="242"/>
      <c r="AL539" s="242"/>
      <c r="AM539" s="242"/>
      <c r="AN539" s="242"/>
      <c r="AO539" s="242"/>
    </row>
    <row r="540">
      <c r="A540" s="242"/>
      <c r="B540" s="13"/>
      <c r="C540" s="242"/>
      <c r="D540" s="242"/>
      <c r="E540" s="242"/>
      <c r="F540" s="242"/>
      <c r="G540" s="13"/>
      <c r="H540" s="13"/>
      <c r="I540" s="13"/>
      <c r="J540" s="13"/>
      <c r="K540" s="13"/>
      <c r="L540" s="242"/>
      <c r="M540" s="242"/>
      <c r="N540" s="242"/>
      <c r="O540" s="242"/>
      <c r="P540" s="242"/>
      <c r="Q540" s="525"/>
      <c r="R540" s="242"/>
      <c r="S540" s="242"/>
      <c r="T540" s="242"/>
      <c r="U540" s="242"/>
      <c r="V540" s="242"/>
      <c r="W540" s="242"/>
      <c r="X540" s="242"/>
      <c r="Y540" s="242"/>
      <c r="Z540" s="242"/>
      <c r="AA540" s="242"/>
      <c r="AB540" s="242"/>
      <c r="AC540" s="242"/>
      <c r="AD540" s="242"/>
      <c r="AE540" s="242"/>
      <c r="AF540" s="242"/>
      <c r="AG540" s="242"/>
      <c r="AH540" s="242"/>
      <c r="AI540" s="242"/>
      <c r="AJ540" s="13"/>
      <c r="AK540" s="242"/>
      <c r="AL540" s="242"/>
      <c r="AM540" s="242"/>
      <c r="AN540" s="242"/>
      <c r="AO540" s="242"/>
    </row>
    <row r="541">
      <c r="A541" s="242"/>
      <c r="B541" s="13"/>
      <c r="C541" s="242"/>
      <c r="D541" s="242"/>
      <c r="E541" s="242"/>
      <c r="F541" s="242"/>
      <c r="G541" s="13"/>
      <c r="H541" s="13"/>
      <c r="I541" s="13"/>
      <c r="J541" s="13"/>
      <c r="K541" s="13"/>
      <c r="L541" s="242"/>
      <c r="M541" s="242"/>
      <c r="N541" s="242"/>
      <c r="O541" s="242"/>
      <c r="P541" s="242"/>
      <c r="Q541" s="525"/>
      <c r="R541" s="242"/>
      <c r="S541" s="242"/>
      <c r="T541" s="242"/>
      <c r="U541" s="242"/>
      <c r="V541" s="242"/>
      <c r="W541" s="242"/>
      <c r="X541" s="242"/>
      <c r="Y541" s="242"/>
      <c r="Z541" s="242"/>
      <c r="AA541" s="242"/>
      <c r="AB541" s="242"/>
      <c r="AC541" s="242"/>
      <c r="AD541" s="242"/>
      <c r="AE541" s="242"/>
      <c r="AF541" s="242"/>
      <c r="AG541" s="242"/>
      <c r="AH541" s="242"/>
      <c r="AI541" s="242"/>
      <c r="AJ541" s="13"/>
      <c r="AK541" s="242"/>
      <c r="AL541" s="242"/>
      <c r="AM541" s="242"/>
      <c r="AN541" s="242"/>
      <c r="AO541" s="242"/>
    </row>
    <row r="542">
      <c r="A542" s="242"/>
      <c r="B542" s="13"/>
      <c r="C542" s="242"/>
      <c r="D542" s="242"/>
      <c r="E542" s="242"/>
      <c r="F542" s="242"/>
      <c r="G542" s="13"/>
      <c r="H542" s="13"/>
      <c r="I542" s="13"/>
      <c r="J542" s="13"/>
      <c r="K542" s="13"/>
      <c r="L542" s="242"/>
      <c r="M542" s="242"/>
      <c r="N542" s="242"/>
      <c r="O542" s="242"/>
      <c r="P542" s="242"/>
      <c r="Q542" s="525"/>
      <c r="R542" s="242"/>
      <c r="S542" s="242"/>
      <c r="T542" s="242"/>
      <c r="U542" s="242"/>
      <c r="V542" s="242"/>
      <c r="W542" s="242"/>
      <c r="X542" s="242"/>
      <c r="Y542" s="242"/>
      <c r="Z542" s="242"/>
      <c r="AA542" s="242"/>
      <c r="AB542" s="242"/>
      <c r="AC542" s="242"/>
      <c r="AD542" s="242"/>
      <c r="AE542" s="242"/>
      <c r="AF542" s="242"/>
      <c r="AG542" s="242"/>
      <c r="AH542" s="242"/>
      <c r="AI542" s="242"/>
      <c r="AJ542" s="13"/>
      <c r="AK542" s="242"/>
      <c r="AL542" s="242"/>
      <c r="AM542" s="242"/>
      <c r="AN542" s="242"/>
      <c r="AO542" s="242"/>
    </row>
    <row r="543">
      <c r="A543" s="242"/>
      <c r="B543" s="13"/>
      <c r="C543" s="242"/>
      <c r="D543" s="242"/>
      <c r="E543" s="242"/>
      <c r="F543" s="242"/>
      <c r="G543" s="13"/>
      <c r="H543" s="13"/>
      <c r="I543" s="13"/>
      <c r="J543" s="13"/>
      <c r="K543" s="13"/>
      <c r="L543" s="242"/>
      <c r="M543" s="242"/>
      <c r="N543" s="242"/>
      <c r="O543" s="242"/>
      <c r="P543" s="242"/>
      <c r="Q543" s="525"/>
      <c r="R543" s="242"/>
      <c r="S543" s="242"/>
      <c r="T543" s="242"/>
      <c r="U543" s="242"/>
      <c r="V543" s="242"/>
      <c r="W543" s="242"/>
      <c r="X543" s="242"/>
      <c r="Y543" s="242"/>
      <c r="Z543" s="242"/>
      <c r="AA543" s="242"/>
      <c r="AB543" s="242"/>
      <c r="AC543" s="242"/>
      <c r="AD543" s="242"/>
      <c r="AE543" s="242"/>
      <c r="AF543" s="242"/>
      <c r="AG543" s="242"/>
      <c r="AH543" s="242"/>
      <c r="AI543" s="242"/>
      <c r="AJ543" s="13"/>
      <c r="AK543" s="242"/>
      <c r="AL543" s="242"/>
      <c r="AM543" s="242"/>
      <c r="AN543" s="242"/>
      <c r="AO543" s="242"/>
    </row>
    <row r="544">
      <c r="A544" s="242"/>
      <c r="B544" s="13"/>
      <c r="C544" s="242"/>
      <c r="D544" s="242"/>
      <c r="E544" s="242"/>
      <c r="F544" s="242"/>
      <c r="G544" s="13"/>
      <c r="H544" s="13"/>
      <c r="I544" s="13"/>
      <c r="J544" s="13"/>
      <c r="K544" s="13"/>
      <c r="L544" s="242"/>
      <c r="M544" s="242"/>
      <c r="N544" s="242"/>
      <c r="O544" s="242"/>
      <c r="P544" s="242"/>
      <c r="Q544" s="525"/>
      <c r="R544" s="242"/>
      <c r="S544" s="242"/>
      <c r="T544" s="242"/>
      <c r="U544" s="242"/>
      <c r="V544" s="242"/>
      <c r="W544" s="242"/>
      <c r="X544" s="242"/>
      <c r="Y544" s="242"/>
      <c r="Z544" s="242"/>
      <c r="AA544" s="242"/>
      <c r="AB544" s="242"/>
      <c r="AC544" s="242"/>
      <c r="AD544" s="242"/>
      <c r="AE544" s="242"/>
      <c r="AF544" s="242"/>
      <c r="AG544" s="242"/>
      <c r="AH544" s="242"/>
      <c r="AI544" s="242"/>
      <c r="AJ544" s="13"/>
      <c r="AK544" s="242"/>
      <c r="AL544" s="242"/>
      <c r="AM544" s="242"/>
      <c r="AN544" s="242"/>
      <c r="AO544" s="242"/>
    </row>
    <row r="545">
      <c r="A545" s="242"/>
      <c r="B545" s="13"/>
      <c r="C545" s="242"/>
      <c r="D545" s="242"/>
      <c r="E545" s="242"/>
      <c r="F545" s="242"/>
      <c r="G545" s="13"/>
      <c r="H545" s="13"/>
      <c r="I545" s="13"/>
      <c r="J545" s="13"/>
      <c r="K545" s="13"/>
      <c r="L545" s="242"/>
      <c r="M545" s="242"/>
      <c r="N545" s="242"/>
      <c r="O545" s="242"/>
      <c r="P545" s="242"/>
      <c r="Q545" s="525"/>
      <c r="R545" s="242"/>
      <c r="S545" s="242"/>
      <c r="T545" s="242"/>
      <c r="U545" s="242"/>
      <c r="V545" s="242"/>
      <c r="W545" s="242"/>
      <c r="X545" s="242"/>
      <c r="Y545" s="242"/>
      <c r="Z545" s="242"/>
      <c r="AA545" s="242"/>
      <c r="AB545" s="242"/>
      <c r="AC545" s="242"/>
      <c r="AD545" s="242"/>
      <c r="AE545" s="242"/>
      <c r="AF545" s="242"/>
      <c r="AG545" s="242"/>
      <c r="AH545" s="242"/>
      <c r="AI545" s="242"/>
      <c r="AJ545" s="13"/>
      <c r="AK545" s="242"/>
      <c r="AL545" s="242"/>
      <c r="AM545" s="242"/>
      <c r="AN545" s="242"/>
      <c r="AO545" s="242"/>
    </row>
    <row r="546">
      <c r="A546" s="242"/>
      <c r="B546" s="13"/>
      <c r="C546" s="242"/>
      <c r="D546" s="242"/>
      <c r="E546" s="242"/>
      <c r="F546" s="242"/>
      <c r="G546" s="13"/>
      <c r="H546" s="13"/>
      <c r="I546" s="13"/>
      <c r="J546" s="13"/>
      <c r="K546" s="13"/>
      <c r="L546" s="242"/>
      <c r="M546" s="242"/>
      <c r="N546" s="242"/>
      <c r="O546" s="242"/>
      <c r="P546" s="242"/>
      <c r="Q546" s="525"/>
      <c r="R546" s="242"/>
      <c r="S546" s="242"/>
      <c r="T546" s="242"/>
      <c r="U546" s="242"/>
      <c r="V546" s="242"/>
      <c r="W546" s="242"/>
      <c r="X546" s="242"/>
      <c r="Y546" s="242"/>
      <c r="Z546" s="242"/>
      <c r="AA546" s="242"/>
      <c r="AB546" s="242"/>
      <c r="AC546" s="242"/>
      <c r="AD546" s="242"/>
      <c r="AE546" s="242"/>
      <c r="AF546" s="242"/>
      <c r="AG546" s="242"/>
      <c r="AH546" s="242"/>
      <c r="AI546" s="242"/>
      <c r="AJ546" s="13"/>
      <c r="AK546" s="242"/>
      <c r="AL546" s="242"/>
      <c r="AM546" s="242"/>
      <c r="AN546" s="242"/>
      <c r="AO546" s="242"/>
    </row>
    <row r="547">
      <c r="A547" s="242"/>
      <c r="B547" s="13"/>
      <c r="C547" s="242"/>
      <c r="D547" s="242"/>
      <c r="E547" s="242"/>
      <c r="F547" s="242"/>
      <c r="G547" s="13"/>
      <c r="H547" s="13"/>
      <c r="I547" s="13"/>
      <c r="J547" s="13"/>
      <c r="K547" s="13"/>
      <c r="L547" s="242"/>
      <c r="M547" s="242"/>
      <c r="N547" s="242"/>
      <c r="O547" s="242"/>
      <c r="P547" s="242"/>
      <c r="Q547" s="525"/>
      <c r="R547" s="242"/>
      <c r="S547" s="242"/>
      <c r="T547" s="242"/>
      <c r="U547" s="242"/>
      <c r="V547" s="242"/>
      <c r="W547" s="242"/>
      <c r="X547" s="242"/>
      <c r="Y547" s="242"/>
      <c r="Z547" s="242"/>
      <c r="AA547" s="242"/>
      <c r="AB547" s="242"/>
      <c r="AC547" s="242"/>
      <c r="AD547" s="242"/>
      <c r="AE547" s="242"/>
      <c r="AF547" s="242"/>
      <c r="AG547" s="242"/>
      <c r="AH547" s="242"/>
      <c r="AI547" s="242"/>
      <c r="AJ547" s="13"/>
      <c r="AK547" s="242"/>
      <c r="AL547" s="242"/>
      <c r="AM547" s="242"/>
      <c r="AN547" s="242"/>
      <c r="AO547" s="242"/>
    </row>
    <row r="548">
      <c r="A548" s="242"/>
      <c r="B548" s="13"/>
      <c r="C548" s="242"/>
      <c r="D548" s="242"/>
      <c r="E548" s="242"/>
      <c r="F548" s="242"/>
      <c r="G548" s="13"/>
      <c r="H548" s="13"/>
      <c r="I548" s="13"/>
      <c r="J548" s="13"/>
      <c r="K548" s="13"/>
      <c r="L548" s="242"/>
      <c r="M548" s="242"/>
      <c r="N548" s="242"/>
      <c r="O548" s="242"/>
      <c r="P548" s="242"/>
      <c r="Q548" s="525"/>
      <c r="R548" s="242"/>
      <c r="S548" s="242"/>
      <c r="T548" s="242"/>
      <c r="U548" s="242"/>
      <c r="V548" s="242"/>
      <c r="W548" s="242"/>
      <c r="X548" s="242"/>
      <c r="Y548" s="242"/>
      <c r="Z548" s="242"/>
      <c r="AA548" s="242"/>
      <c r="AB548" s="242"/>
      <c r="AC548" s="242"/>
      <c r="AD548" s="242"/>
      <c r="AE548" s="242"/>
      <c r="AF548" s="242"/>
      <c r="AG548" s="242"/>
      <c r="AH548" s="242"/>
      <c r="AI548" s="242"/>
      <c r="AJ548" s="13"/>
      <c r="AK548" s="242"/>
      <c r="AL548" s="242"/>
      <c r="AM548" s="242"/>
      <c r="AN548" s="242"/>
      <c r="AO548" s="242"/>
    </row>
    <row r="549">
      <c r="A549" s="242"/>
      <c r="B549" s="13"/>
      <c r="C549" s="242"/>
      <c r="D549" s="242"/>
      <c r="E549" s="242"/>
      <c r="F549" s="242"/>
      <c r="G549" s="13"/>
      <c r="H549" s="13"/>
      <c r="I549" s="13"/>
      <c r="J549" s="13"/>
      <c r="K549" s="13"/>
      <c r="L549" s="242"/>
      <c r="M549" s="242"/>
      <c r="N549" s="242"/>
      <c r="O549" s="242"/>
      <c r="P549" s="242"/>
      <c r="Q549" s="525"/>
      <c r="R549" s="242"/>
      <c r="S549" s="242"/>
      <c r="T549" s="242"/>
      <c r="U549" s="242"/>
      <c r="V549" s="242"/>
      <c r="W549" s="242"/>
      <c r="X549" s="242"/>
      <c r="Y549" s="242"/>
      <c r="Z549" s="242"/>
      <c r="AA549" s="242"/>
      <c r="AB549" s="242"/>
      <c r="AC549" s="242"/>
      <c r="AD549" s="242"/>
      <c r="AE549" s="242"/>
      <c r="AF549" s="242"/>
      <c r="AG549" s="242"/>
      <c r="AH549" s="242"/>
      <c r="AI549" s="242"/>
      <c r="AJ549" s="13"/>
      <c r="AK549" s="242"/>
      <c r="AL549" s="242"/>
      <c r="AM549" s="242"/>
      <c r="AN549" s="242"/>
      <c r="AO549" s="242"/>
    </row>
    <row r="550">
      <c r="A550" s="242"/>
      <c r="B550" s="13"/>
      <c r="C550" s="242"/>
      <c r="D550" s="242"/>
      <c r="E550" s="242"/>
      <c r="F550" s="242"/>
      <c r="G550" s="13"/>
      <c r="H550" s="13"/>
      <c r="I550" s="13"/>
      <c r="J550" s="13"/>
      <c r="K550" s="13"/>
      <c r="L550" s="242"/>
      <c r="M550" s="242"/>
      <c r="N550" s="242"/>
      <c r="O550" s="242"/>
      <c r="P550" s="242"/>
      <c r="Q550" s="525"/>
      <c r="R550" s="242"/>
      <c r="S550" s="242"/>
      <c r="T550" s="242"/>
      <c r="U550" s="242"/>
      <c r="V550" s="242"/>
      <c r="W550" s="242"/>
      <c r="X550" s="242"/>
      <c r="Y550" s="242"/>
      <c r="Z550" s="242"/>
      <c r="AA550" s="242"/>
      <c r="AB550" s="242"/>
      <c r="AC550" s="242"/>
      <c r="AD550" s="242"/>
      <c r="AE550" s="242"/>
      <c r="AF550" s="242"/>
      <c r="AG550" s="242"/>
      <c r="AH550" s="242"/>
      <c r="AI550" s="242"/>
      <c r="AJ550" s="13"/>
      <c r="AK550" s="242"/>
      <c r="AL550" s="242"/>
      <c r="AM550" s="242"/>
      <c r="AN550" s="242"/>
      <c r="AO550" s="242"/>
    </row>
    <row r="551">
      <c r="A551" s="242"/>
      <c r="B551" s="13"/>
      <c r="C551" s="242"/>
      <c r="D551" s="242"/>
      <c r="E551" s="242"/>
      <c r="F551" s="242"/>
      <c r="G551" s="13"/>
      <c r="H551" s="13"/>
      <c r="I551" s="13"/>
      <c r="J551" s="13"/>
      <c r="K551" s="13"/>
      <c r="L551" s="242"/>
      <c r="M551" s="242"/>
      <c r="N551" s="242"/>
      <c r="O551" s="242"/>
      <c r="P551" s="242"/>
      <c r="Q551" s="525"/>
      <c r="R551" s="242"/>
      <c r="S551" s="242"/>
      <c r="T551" s="242"/>
      <c r="U551" s="242"/>
      <c r="V551" s="242"/>
      <c r="W551" s="242"/>
      <c r="X551" s="242"/>
      <c r="Y551" s="242"/>
      <c r="Z551" s="242"/>
      <c r="AA551" s="242"/>
      <c r="AB551" s="242"/>
      <c r="AC551" s="242"/>
      <c r="AD551" s="242"/>
      <c r="AE551" s="242"/>
      <c r="AF551" s="242"/>
      <c r="AG551" s="242"/>
      <c r="AH551" s="242"/>
      <c r="AI551" s="242"/>
      <c r="AJ551" s="13"/>
      <c r="AK551" s="242"/>
      <c r="AL551" s="242"/>
      <c r="AM551" s="242"/>
      <c r="AN551" s="242"/>
      <c r="AO551" s="242"/>
    </row>
    <row r="552">
      <c r="A552" s="242"/>
      <c r="B552" s="13"/>
      <c r="C552" s="242"/>
      <c r="D552" s="242"/>
      <c r="E552" s="242"/>
      <c r="F552" s="242"/>
      <c r="G552" s="13"/>
      <c r="H552" s="13"/>
      <c r="I552" s="13"/>
      <c r="J552" s="13"/>
      <c r="K552" s="13"/>
      <c r="L552" s="242"/>
      <c r="M552" s="242"/>
      <c r="N552" s="242"/>
      <c r="O552" s="242"/>
      <c r="P552" s="242"/>
      <c r="Q552" s="525"/>
      <c r="R552" s="242"/>
      <c r="S552" s="242"/>
      <c r="T552" s="242"/>
      <c r="U552" s="242"/>
      <c r="V552" s="242"/>
      <c r="W552" s="242"/>
      <c r="X552" s="242"/>
      <c r="Y552" s="242"/>
      <c r="Z552" s="242"/>
      <c r="AA552" s="242"/>
      <c r="AB552" s="242"/>
      <c r="AC552" s="242"/>
      <c r="AD552" s="242"/>
      <c r="AE552" s="242"/>
      <c r="AF552" s="242"/>
      <c r="AG552" s="242"/>
      <c r="AH552" s="242"/>
      <c r="AI552" s="242"/>
      <c r="AJ552" s="13"/>
      <c r="AK552" s="242"/>
      <c r="AL552" s="242"/>
      <c r="AM552" s="242"/>
      <c r="AN552" s="242"/>
      <c r="AO552" s="242"/>
    </row>
    <row r="553">
      <c r="A553" s="242"/>
      <c r="B553" s="13"/>
      <c r="C553" s="242"/>
      <c r="D553" s="242"/>
      <c r="E553" s="242"/>
      <c r="F553" s="242"/>
      <c r="G553" s="13"/>
      <c r="H553" s="13"/>
      <c r="I553" s="13"/>
      <c r="J553" s="13"/>
      <c r="K553" s="13"/>
      <c r="L553" s="242"/>
      <c r="M553" s="242"/>
      <c r="N553" s="242"/>
      <c r="O553" s="242"/>
      <c r="P553" s="242"/>
      <c r="Q553" s="525"/>
      <c r="R553" s="242"/>
      <c r="S553" s="242"/>
      <c r="T553" s="242"/>
      <c r="U553" s="242"/>
      <c r="V553" s="242"/>
      <c r="W553" s="242"/>
      <c r="X553" s="242"/>
      <c r="Y553" s="242"/>
      <c r="Z553" s="242"/>
      <c r="AA553" s="242"/>
      <c r="AB553" s="242"/>
      <c r="AC553" s="242"/>
      <c r="AD553" s="242"/>
      <c r="AE553" s="242"/>
      <c r="AF553" s="242"/>
      <c r="AG553" s="242"/>
      <c r="AH553" s="242"/>
      <c r="AI553" s="242"/>
      <c r="AJ553" s="13"/>
      <c r="AK553" s="242"/>
      <c r="AL553" s="242"/>
      <c r="AM553" s="242"/>
      <c r="AN553" s="242"/>
      <c r="AO553" s="242"/>
    </row>
    <row r="554">
      <c r="A554" s="242"/>
      <c r="B554" s="13"/>
      <c r="C554" s="242"/>
      <c r="D554" s="242"/>
      <c r="E554" s="242"/>
      <c r="F554" s="242"/>
      <c r="G554" s="13"/>
      <c r="H554" s="13"/>
      <c r="I554" s="13"/>
      <c r="J554" s="13"/>
      <c r="K554" s="13"/>
      <c r="L554" s="242"/>
      <c r="M554" s="242"/>
      <c r="N554" s="242"/>
      <c r="O554" s="242"/>
      <c r="P554" s="242"/>
      <c r="Q554" s="525"/>
      <c r="R554" s="242"/>
      <c r="S554" s="242"/>
      <c r="T554" s="242"/>
      <c r="U554" s="242"/>
      <c r="V554" s="242"/>
      <c r="W554" s="242"/>
      <c r="X554" s="242"/>
      <c r="Y554" s="242"/>
      <c r="Z554" s="242"/>
      <c r="AA554" s="242"/>
      <c r="AB554" s="242"/>
      <c r="AC554" s="242"/>
      <c r="AD554" s="242"/>
      <c r="AE554" s="242"/>
      <c r="AF554" s="242"/>
      <c r="AG554" s="242"/>
      <c r="AH554" s="242"/>
      <c r="AI554" s="242"/>
      <c r="AJ554" s="13"/>
      <c r="AK554" s="242"/>
      <c r="AL554" s="242"/>
      <c r="AM554" s="242"/>
      <c r="AN554" s="242"/>
      <c r="AO554" s="242"/>
    </row>
    <row r="555">
      <c r="A555" s="242"/>
      <c r="B555" s="13"/>
      <c r="C555" s="242"/>
      <c r="D555" s="242"/>
      <c r="E555" s="242"/>
      <c r="F555" s="242"/>
      <c r="G555" s="13"/>
      <c r="H555" s="13"/>
      <c r="I555" s="13"/>
      <c r="J555" s="13"/>
      <c r="K555" s="13"/>
      <c r="L555" s="242"/>
      <c r="M555" s="242"/>
      <c r="N555" s="242"/>
      <c r="O555" s="242"/>
      <c r="P555" s="242"/>
      <c r="Q555" s="525"/>
      <c r="R555" s="242"/>
      <c r="S555" s="242"/>
      <c r="T555" s="242"/>
      <c r="U555" s="242"/>
      <c r="V555" s="242"/>
      <c r="W555" s="242"/>
      <c r="X555" s="242"/>
      <c r="Y555" s="242"/>
      <c r="Z555" s="242"/>
      <c r="AA555" s="242"/>
      <c r="AB555" s="242"/>
      <c r="AC555" s="242"/>
      <c r="AD555" s="242"/>
      <c r="AE555" s="242"/>
      <c r="AF555" s="242"/>
      <c r="AG555" s="242"/>
      <c r="AH555" s="242"/>
      <c r="AI555" s="242"/>
      <c r="AJ555" s="13"/>
      <c r="AK555" s="242"/>
      <c r="AL555" s="242"/>
      <c r="AM555" s="242"/>
      <c r="AN555" s="242"/>
      <c r="AO555" s="242"/>
    </row>
    <row r="556">
      <c r="A556" s="242"/>
      <c r="B556" s="13"/>
      <c r="C556" s="242"/>
      <c r="D556" s="242"/>
      <c r="E556" s="242"/>
      <c r="F556" s="242"/>
      <c r="G556" s="13"/>
      <c r="H556" s="13"/>
      <c r="I556" s="13"/>
      <c r="J556" s="13"/>
      <c r="K556" s="13"/>
      <c r="L556" s="242"/>
      <c r="M556" s="242"/>
      <c r="N556" s="242"/>
      <c r="O556" s="242"/>
      <c r="P556" s="242"/>
      <c r="Q556" s="525"/>
      <c r="R556" s="242"/>
      <c r="S556" s="242"/>
      <c r="T556" s="242"/>
      <c r="U556" s="242"/>
      <c r="V556" s="242"/>
      <c r="W556" s="242"/>
      <c r="X556" s="242"/>
      <c r="Y556" s="242"/>
      <c r="Z556" s="242"/>
      <c r="AA556" s="242"/>
      <c r="AB556" s="242"/>
      <c r="AC556" s="242"/>
      <c r="AD556" s="242"/>
      <c r="AE556" s="242"/>
      <c r="AF556" s="242"/>
      <c r="AG556" s="242"/>
      <c r="AH556" s="242"/>
      <c r="AI556" s="242"/>
      <c r="AJ556" s="13"/>
      <c r="AK556" s="242"/>
      <c r="AL556" s="242"/>
      <c r="AM556" s="242"/>
      <c r="AN556" s="242"/>
      <c r="AO556" s="242"/>
    </row>
    <row r="557">
      <c r="A557" s="242"/>
      <c r="B557" s="13"/>
      <c r="C557" s="242"/>
      <c r="D557" s="242"/>
      <c r="E557" s="242"/>
      <c r="F557" s="242"/>
      <c r="G557" s="13"/>
      <c r="H557" s="13"/>
      <c r="I557" s="13"/>
      <c r="J557" s="13"/>
      <c r="K557" s="13"/>
      <c r="L557" s="242"/>
      <c r="M557" s="242"/>
      <c r="N557" s="242"/>
      <c r="O557" s="242"/>
      <c r="P557" s="242"/>
      <c r="Q557" s="525"/>
      <c r="R557" s="242"/>
      <c r="S557" s="242"/>
      <c r="T557" s="242"/>
      <c r="U557" s="242"/>
      <c r="V557" s="242"/>
      <c r="W557" s="242"/>
      <c r="X557" s="242"/>
      <c r="Y557" s="242"/>
      <c r="Z557" s="242"/>
      <c r="AA557" s="242"/>
      <c r="AB557" s="242"/>
      <c r="AC557" s="242"/>
      <c r="AD557" s="242"/>
      <c r="AE557" s="242"/>
      <c r="AF557" s="242"/>
      <c r="AG557" s="242"/>
      <c r="AH557" s="242"/>
      <c r="AI557" s="242"/>
      <c r="AJ557" s="13"/>
      <c r="AK557" s="242"/>
      <c r="AL557" s="242"/>
      <c r="AM557" s="242"/>
      <c r="AN557" s="242"/>
      <c r="AO557" s="242"/>
    </row>
    <row r="558">
      <c r="A558" s="242"/>
      <c r="B558" s="13"/>
      <c r="C558" s="242"/>
      <c r="D558" s="242"/>
      <c r="E558" s="242"/>
      <c r="F558" s="242"/>
      <c r="G558" s="13"/>
      <c r="H558" s="13"/>
      <c r="I558" s="13"/>
      <c r="J558" s="13"/>
      <c r="K558" s="13"/>
      <c r="L558" s="242"/>
      <c r="M558" s="242"/>
      <c r="N558" s="242"/>
      <c r="O558" s="242"/>
      <c r="P558" s="242"/>
      <c r="Q558" s="525"/>
      <c r="R558" s="242"/>
      <c r="S558" s="242"/>
      <c r="T558" s="242"/>
      <c r="U558" s="242"/>
      <c r="V558" s="242"/>
      <c r="W558" s="242"/>
      <c r="X558" s="242"/>
      <c r="Y558" s="242"/>
      <c r="Z558" s="242"/>
      <c r="AA558" s="242"/>
      <c r="AB558" s="242"/>
      <c r="AC558" s="242"/>
      <c r="AD558" s="242"/>
      <c r="AE558" s="242"/>
      <c r="AF558" s="242"/>
      <c r="AG558" s="242"/>
      <c r="AH558" s="242"/>
      <c r="AI558" s="242"/>
      <c r="AJ558" s="13"/>
      <c r="AK558" s="242"/>
      <c r="AL558" s="242"/>
      <c r="AM558" s="242"/>
      <c r="AN558" s="242"/>
      <c r="AO558" s="242"/>
    </row>
    <row r="559">
      <c r="A559" s="242"/>
      <c r="B559" s="13"/>
      <c r="C559" s="242"/>
      <c r="D559" s="242"/>
      <c r="E559" s="242"/>
      <c r="F559" s="242"/>
      <c r="G559" s="13"/>
      <c r="H559" s="13"/>
      <c r="I559" s="13"/>
      <c r="J559" s="13"/>
      <c r="K559" s="13"/>
      <c r="L559" s="242"/>
      <c r="M559" s="242"/>
      <c r="N559" s="242"/>
      <c r="O559" s="242"/>
      <c r="P559" s="242"/>
      <c r="Q559" s="525"/>
      <c r="R559" s="242"/>
      <c r="S559" s="242"/>
      <c r="T559" s="242"/>
      <c r="U559" s="242"/>
      <c r="V559" s="242"/>
      <c r="W559" s="242"/>
      <c r="X559" s="242"/>
      <c r="Y559" s="242"/>
      <c r="Z559" s="242"/>
      <c r="AA559" s="242"/>
      <c r="AB559" s="242"/>
      <c r="AC559" s="242"/>
      <c r="AD559" s="242"/>
      <c r="AE559" s="242"/>
      <c r="AF559" s="242"/>
      <c r="AG559" s="242"/>
      <c r="AH559" s="242"/>
      <c r="AI559" s="242"/>
      <c r="AJ559" s="13"/>
      <c r="AK559" s="242"/>
      <c r="AL559" s="242"/>
      <c r="AM559" s="242"/>
      <c r="AN559" s="242"/>
      <c r="AO559" s="242"/>
    </row>
    <row r="560">
      <c r="A560" s="242"/>
      <c r="B560" s="13"/>
      <c r="C560" s="242"/>
      <c r="D560" s="242"/>
      <c r="E560" s="242"/>
      <c r="F560" s="242"/>
      <c r="G560" s="13"/>
      <c r="H560" s="13"/>
      <c r="I560" s="13"/>
      <c r="J560" s="13"/>
      <c r="K560" s="13"/>
      <c r="L560" s="242"/>
      <c r="M560" s="242"/>
      <c r="N560" s="242"/>
      <c r="O560" s="242"/>
      <c r="P560" s="242"/>
      <c r="Q560" s="525"/>
      <c r="R560" s="242"/>
      <c r="S560" s="242"/>
      <c r="T560" s="242"/>
      <c r="U560" s="242"/>
      <c r="V560" s="242"/>
      <c r="W560" s="242"/>
      <c r="X560" s="242"/>
      <c r="Y560" s="242"/>
      <c r="Z560" s="242"/>
      <c r="AA560" s="242"/>
      <c r="AB560" s="242"/>
      <c r="AC560" s="242"/>
      <c r="AD560" s="242"/>
      <c r="AE560" s="242"/>
      <c r="AF560" s="242"/>
      <c r="AG560" s="242"/>
      <c r="AH560" s="242"/>
      <c r="AI560" s="242"/>
      <c r="AJ560" s="13"/>
      <c r="AK560" s="242"/>
      <c r="AL560" s="242"/>
      <c r="AM560" s="242"/>
      <c r="AN560" s="242"/>
      <c r="AO560" s="242"/>
    </row>
    <row r="561">
      <c r="A561" s="242"/>
      <c r="B561" s="13"/>
      <c r="C561" s="242"/>
      <c r="D561" s="242"/>
      <c r="E561" s="242"/>
      <c r="F561" s="242"/>
      <c r="G561" s="13"/>
      <c r="H561" s="13"/>
      <c r="I561" s="13"/>
      <c r="J561" s="13"/>
      <c r="K561" s="13"/>
      <c r="L561" s="242"/>
      <c r="M561" s="242"/>
      <c r="N561" s="242"/>
      <c r="O561" s="242"/>
      <c r="P561" s="242"/>
      <c r="Q561" s="525"/>
      <c r="R561" s="242"/>
      <c r="S561" s="242"/>
      <c r="T561" s="242"/>
      <c r="U561" s="242"/>
      <c r="V561" s="242"/>
      <c r="W561" s="242"/>
      <c r="X561" s="242"/>
      <c r="Y561" s="242"/>
      <c r="Z561" s="242"/>
      <c r="AA561" s="242"/>
      <c r="AB561" s="242"/>
      <c r="AC561" s="242"/>
      <c r="AD561" s="242"/>
      <c r="AE561" s="242"/>
      <c r="AF561" s="242"/>
      <c r="AG561" s="242"/>
      <c r="AH561" s="242"/>
      <c r="AI561" s="242"/>
      <c r="AJ561" s="13"/>
      <c r="AK561" s="242"/>
      <c r="AL561" s="242"/>
      <c r="AM561" s="242"/>
      <c r="AN561" s="242"/>
      <c r="AO561" s="242"/>
    </row>
    <row r="562">
      <c r="A562" s="242"/>
      <c r="B562" s="13"/>
      <c r="C562" s="242"/>
      <c r="D562" s="242"/>
      <c r="E562" s="242"/>
      <c r="F562" s="242"/>
      <c r="G562" s="13"/>
      <c r="H562" s="13"/>
      <c r="I562" s="13"/>
      <c r="J562" s="13"/>
      <c r="K562" s="13"/>
      <c r="L562" s="242"/>
      <c r="M562" s="242"/>
      <c r="N562" s="242"/>
      <c r="O562" s="242"/>
      <c r="P562" s="242"/>
      <c r="Q562" s="525"/>
      <c r="R562" s="242"/>
      <c r="S562" s="242"/>
      <c r="T562" s="242"/>
      <c r="U562" s="242"/>
      <c r="V562" s="242"/>
      <c r="W562" s="242"/>
      <c r="X562" s="242"/>
      <c r="Y562" s="242"/>
      <c r="Z562" s="242"/>
      <c r="AA562" s="242"/>
      <c r="AB562" s="242"/>
      <c r="AC562" s="242"/>
      <c r="AD562" s="242"/>
      <c r="AE562" s="242"/>
      <c r="AF562" s="242"/>
      <c r="AG562" s="242"/>
      <c r="AH562" s="242"/>
      <c r="AI562" s="242"/>
      <c r="AJ562" s="13"/>
      <c r="AK562" s="242"/>
      <c r="AL562" s="242"/>
      <c r="AM562" s="242"/>
      <c r="AN562" s="242"/>
      <c r="AO562" s="242"/>
    </row>
    <row r="563">
      <c r="A563" s="242"/>
      <c r="B563" s="13"/>
      <c r="C563" s="242"/>
      <c r="D563" s="242"/>
      <c r="E563" s="242"/>
      <c r="F563" s="242"/>
      <c r="G563" s="13"/>
      <c r="H563" s="13"/>
      <c r="I563" s="13"/>
      <c r="J563" s="13"/>
      <c r="K563" s="13"/>
      <c r="L563" s="242"/>
      <c r="M563" s="242"/>
      <c r="N563" s="242"/>
      <c r="O563" s="242"/>
      <c r="P563" s="242"/>
      <c r="Q563" s="525"/>
      <c r="R563" s="242"/>
      <c r="S563" s="242"/>
      <c r="T563" s="242"/>
      <c r="U563" s="242"/>
      <c r="V563" s="242"/>
      <c r="W563" s="242"/>
      <c r="X563" s="242"/>
      <c r="Y563" s="242"/>
      <c r="Z563" s="242"/>
      <c r="AA563" s="242"/>
      <c r="AB563" s="242"/>
      <c r="AC563" s="242"/>
      <c r="AD563" s="242"/>
      <c r="AE563" s="242"/>
      <c r="AF563" s="242"/>
      <c r="AG563" s="242"/>
      <c r="AH563" s="242"/>
      <c r="AI563" s="242"/>
      <c r="AJ563" s="13"/>
      <c r="AK563" s="242"/>
      <c r="AL563" s="242"/>
      <c r="AM563" s="242"/>
      <c r="AN563" s="242"/>
      <c r="AO563" s="242"/>
    </row>
    <row r="564">
      <c r="A564" s="242"/>
      <c r="B564" s="13"/>
      <c r="C564" s="242"/>
      <c r="D564" s="242"/>
      <c r="E564" s="242"/>
      <c r="F564" s="242"/>
      <c r="G564" s="13"/>
      <c r="H564" s="13"/>
      <c r="I564" s="13"/>
      <c r="J564" s="13"/>
      <c r="K564" s="13"/>
      <c r="L564" s="242"/>
      <c r="M564" s="242"/>
      <c r="N564" s="242"/>
      <c r="O564" s="242"/>
      <c r="P564" s="242"/>
      <c r="Q564" s="525"/>
      <c r="R564" s="242"/>
      <c r="S564" s="242"/>
      <c r="T564" s="242"/>
      <c r="U564" s="242"/>
      <c r="V564" s="242"/>
      <c r="W564" s="242"/>
      <c r="X564" s="242"/>
      <c r="Y564" s="242"/>
      <c r="Z564" s="242"/>
      <c r="AA564" s="242"/>
      <c r="AB564" s="242"/>
      <c r="AC564" s="242"/>
      <c r="AD564" s="242"/>
      <c r="AE564" s="242"/>
      <c r="AF564" s="242"/>
      <c r="AG564" s="242"/>
      <c r="AH564" s="242"/>
      <c r="AI564" s="242"/>
      <c r="AJ564" s="13"/>
      <c r="AK564" s="242"/>
      <c r="AL564" s="242"/>
      <c r="AM564" s="242"/>
      <c r="AN564" s="242"/>
      <c r="AO564" s="242"/>
    </row>
    <row r="565">
      <c r="A565" s="242"/>
      <c r="B565" s="13"/>
      <c r="C565" s="242"/>
      <c r="D565" s="242"/>
      <c r="E565" s="242"/>
      <c r="F565" s="242"/>
      <c r="G565" s="13"/>
      <c r="H565" s="13"/>
      <c r="I565" s="13"/>
      <c r="J565" s="13"/>
      <c r="K565" s="13"/>
      <c r="L565" s="242"/>
      <c r="M565" s="242"/>
      <c r="N565" s="242"/>
      <c r="O565" s="242"/>
      <c r="P565" s="242"/>
      <c r="Q565" s="525"/>
      <c r="R565" s="242"/>
      <c r="S565" s="242"/>
      <c r="T565" s="242"/>
      <c r="U565" s="242"/>
      <c r="V565" s="242"/>
      <c r="W565" s="242"/>
      <c r="X565" s="242"/>
      <c r="Y565" s="242"/>
      <c r="Z565" s="242"/>
      <c r="AA565" s="242"/>
      <c r="AB565" s="242"/>
      <c r="AC565" s="242"/>
      <c r="AD565" s="242"/>
      <c r="AE565" s="242"/>
      <c r="AF565" s="242"/>
      <c r="AG565" s="242"/>
      <c r="AH565" s="242"/>
      <c r="AI565" s="242"/>
      <c r="AJ565" s="13"/>
      <c r="AK565" s="242"/>
      <c r="AL565" s="242"/>
      <c r="AM565" s="242"/>
      <c r="AN565" s="242"/>
      <c r="AO565" s="242"/>
    </row>
    <row r="566">
      <c r="A566" s="242"/>
      <c r="B566" s="13"/>
      <c r="C566" s="242"/>
      <c r="D566" s="242"/>
      <c r="E566" s="242"/>
      <c r="F566" s="242"/>
      <c r="G566" s="13"/>
      <c r="H566" s="13"/>
      <c r="I566" s="13"/>
      <c r="J566" s="13"/>
      <c r="K566" s="13"/>
      <c r="L566" s="242"/>
      <c r="M566" s="242"/>
      <c r="N566" s="242"/>
      <c r="O566" s="242"/>
      <c r="P566" s="242"/>
      <c r="Q566" s="525"/>
      <c r="R566" s="242"/>
      <c r="S566" s="242"/>
      <c r="T566" s="242"/>
      <c r="U566" s="242"/>
      <c r="V566" s="242"/>
      <c r="W566" s="242"/>
      <c r="X566" s="242"/>
      <c r="Y566" s="242"/>
      <c r="Z566" s="242"/>
      <c r="AA566" s="242"/>
      <c r="AB566" s="242"/>
      <c r="AC566" s="242"/>
      <c r="AD566" s="242"/>
      <c r="AE566" s="242"/>
      <c r="AF566" s="242"/>
      <c r="AG566" s="242"/>
      <c r="AH566" s="242"/>
      <c r="AI566" s="242"/>
      <c r="AJ566" s="13"/>
      <c r="AK566" s="242"/>
      <c r="AL566" s="242"/>
      <c r="AM566" s="242"/>
      <c r="AN566" s="242"/>
      <c r="AO566" s="242"/>
    </row>
    <row r="567">
      <c r="A567" s="242"/>
      <c r="B567" s="13"/>
      <c r="C567" s="242"/>
      <c r="D567" s="242"/>
      <c r="E567" s="242"/>
      <c r="F567" s="242"/>
      <c r="G567" s="13"/>
      <c r="H567" s="13"/>
      <c r="I567" s="13"/>
      <c r="J567" s="13"/>
      <c r="K567" s="13"/>
      <c r="L567" s="242"/>
      <c r="M567" s="242"/>
      <c r="N567" s="242"/>
      <c r="O567" s="242"/>
      <c r="P567" s="242"/>
      <c r="Q567" s="525"/>
      <c r="R567" s="242"/>
      <c r="S567" s="242"/>
      <c r="T567" s="242"/>
      <c r="U567" s="242"/>
      <c r="V567" s="242"/>
      <c r="W567" s="242"/>
      <c r="X567" s="242"/>
      <c r="Y567" s="242"/>
      <c r="Z567" s="242"/>
      <c r="AA567" s="242"/>
      <c r="AB567" s="242"/>
      <c r="AC567" s="242"/>
      <c r="AD567" s="242"/>
      <c r="AE567" s="242"/>
      <c r="AF567" s="242"/>
      <c r="AG567" s="242"/>
      <c r="AH567" s="242"/>
      <c r="AI567" s="242"/>
      <c r="AJ567" s="13"/>
      <c r="AK567" s="242"/>
      <c r="AL567" s="242"/>
      <c r="AM567" s="242"/>
      <c r="AN567" s="242"/>
      <c r="AO567" s="242"/>
    </row>
    <row r="568">
      <c r="A568" s="242"/>
      <c r="B568" s="13"/>
      <c r="C568" s="242"/>
      <c r="D568" s="242"/>
      <c r="E568" s="242"/>
      <c r="F568" s="242"/>
      <c r="G568" s="13"/>
      <c r="H568" s="13"/>
      <c r="I568" s="13"/>
      <c r="J568" s="13"/>
      <c r="K568" s="13"/>
      <c r="L568" s="242"/>
      <c r="M568" s="242"/>
      <c r="N568" s="242"/>
      <c r="O568" s="242"/>
      <c r="P568" s="242"/>
      <c r="Q568" s="525"/>
      <c r="R568" s="242"/>
      <c r="S568" s="242"/>
      <c r="T568" s="242"/>
      <c r="U568" s="242"/>
      <c r="V568" s="242"/>
      <c r="W568" s="242"/>
      <c r="X568" s="242"/>
      <c r="Y568" s="242"/>
      <c r="Z568" s="242"/>
      <c r="AA568" s="242"/>
      <c r="AB568" s="242"/>
      <c r="AC568" s="242"/>
      <c r="AD568" s="242"/>
      <c r="AE568" s="242"/>
      <c r="AF568" s="242"/>
      <c r="AG568" s="242"/>
      <c r="AH568" s="242"/>
      <c r="AI568" s="242"/>
      <c r="AJ568" s="13"/>
      <c r="AK568" s="242"/>
      <c r="AL568" s="242"/>
      <c r="AM568" s="242"/>
      <c r="AN568" s="242"/>
      <c r="AO568" s="242"/>
    </row>
    <row r="569">
      <c r="A569" s="242"/>
      <c r="B569" s="13"/>
      <c r="C569" s="242"/>
      <c r="D569" s="242"/>
      <c r="E569" s="242"/>
      <c r="F569" s="242"/>
      <c r="G569" s="13"/>
      <c r="H569" s="13"/>
      <c r="I569" s="13"/>
      <c r="J569" s="13"/>
      <c r="K569" s="13"/>
      <c r="L569" s="242"/>
      <c r="M569" s="242"/>
      <c r="N569" s="242"/>
      <c r="O569" s="242"/>
      <c r="P569" s="242"/>
      <c r="Q569" s="525"/>
      <c r="R569" s="242"/>
      <c r="S569" s="242"/>
      <c r="T569" s="242"/>
      <c r="U569" s="242"/>
      <c r="V569" s="242"/>
      <c r="W569" s="242"/>
      <c r="X569" s="242"/>
      <c r="Y569" s="242"/>
      <c r="Z569" s="242"/>
      <c r="AA569" s="242"/>
      <c r="AB569" s="242"/>
      <c r="AC569" s="242"/>
      <c r="AD569" s="242"/>
      <c r="AE569" s="242"/>
      <c r="AF569" s="242"/>
      <c r="AG569" s="242"/>
      <c r="AH569" s="242"/>
      <c r="AI569" s="242"/>
      <c r="AJ569" s="13"/>
      <c r="AK569" s="242"/>
      <c r="AL569" s="242"/>
      <c r="AM569" s="242"/>
      <c r="AN569" s="242"/>
      <c r="AO569" s="242"/>
    </row>
    <row r="570">
      <c r="A570" s="242"/>
      <c r="B570" s="13"/>
      <c r="C570" s="242"/>
      <c r="D570" s="242"/>
      <c r="E570" s="242"/>
      <c r="F570" s="242"/>
      <c r="G570" s="13"/>
      <c r="H570" s="13"/>
      <c r="I570" s="13"/>
      <c r="J570" s="13"/>
      <c r="K570" s="13"/>
      <c r="L570" s="242"/>
      <c r="M570" s="242"/>
      <c r="N570" s="242"/>
      <c r="O570" s="242"/>
      <c r="P570" s="242"/>
      <c r="Q570" s="525"/>
      <c r="R570" s="242"/>
      <c r="S570" s="242"/>
      <c r="T570" s="242"/>
      <c r="U570" s="242"/>
      <c r="V570" s="242"/>
      <c r="W570" s="242"/>
      <c r="X570" s="242"/>
      <c r="Y570" s="242"/>
      <c r="Z570" s="242"/>
      <c r="AA570" s="242"/>
      <c r="AB570" s="242"/>
      <c r="AC570" s="242"/>
      <c r="AD570" s="242"/>
      <c r="AE570" s="242"/>
      <c r="AF570" s="242"/>
      <c r="AG570" s="242"/>
      <c r="AH570" s="242"/>
      <c r="AI570" s="242"/>
      <c r="AJ570" s="13"/>
      <c r="AK570" s="242"/>
      <c r="AL570" s="242"/>
      <c r="AM570" s="242"/>
      <c r="AN570" s="242"/>
      <c r="AO570" s="242"/>
    </row>
    <row r="571">
      <c r="A571" s="242"/>
      <c r="B571" s="13"/>
      <c r="C571" s="242"/>
      <c r="D571" s="242"/>
      <c r="E571" s="242"/>
      <c r="F571" s="242"/>
      <c r="G571" s="13"/>
      <c r="H571" s="13"/>
      <c r="I571" s="13"/>
      <c r="J571" s="13"/>
      <c r="K571" s="13"/>
      <c r="L571" s="242"/>
      <c r="M571" s="242"/>
      <c r="N571" s="242"/>
      <c r="O571" s="242"/>
      <c r="P571" s="242"/>
      <c r="Q571" s="525"/>
      <c r="R571" s="242"/>
      <c r="S571" s="242"/>
      <c r="T571" s="242"/>
      <c r="U571" s="242"/>
      <c r="V571" s="242"/>
      <c r="W571" s="242"/>
      <c r="X571" s="242"/>
      <c r="Y571" s="242"/>
      <c r="Z571" s="242"/>
      <c r="AA571" s="242"/>
      <c r="AB571" s="242"/>
      <c r="AC571" s="242"/>
      <c r="AD571" s="242"/>
      <c r="AE571" s="242"/>
      <c r="AF571" s="242"/>
      <c r="AG571" s="242"/>
      <c r="AH571" s="242"/>
      <c r="AI571" s="242"/>
      <c r="AJ571" s="13"/>
      <c r="AK571" s="242"/>
      <c r="AL571" s="242"/>
      <c r="AM571" s="242"/>
      <c r="AN571" s="242"/>
      <c r="AO571" s="242"/>
    </row>
    <row r="572">
      <c r="A572" s="242"/>
      <c r="B572" s="13"/>
      <c r="C572" s="242"/>
      <c r="D572" s="242"/>
      <c r="E572" s="242"/>
      <c r="F572" s="242"/>
      <c r="G572" s="13"/>
      <c r="H572" s="13"/>
      <c r="I572" s="13"/>
      <c r="J572" s="13"/>
      <c r="K572" s="13"/>
      <c r="L572" s="242"/>
      <c r="M572" s="242"/>
      <c r="N572" s="242"/>
      <c r="O572" s="242"/>
      <c r="P572" s="242"/>
      <c r="Q572" s="525"/>
      <c r="R572" s="242"/>
      <c r="S572" s="242"/>
      <c r="T572" s="242"/>
      <c r="U572" s="242"/>
      <c r="V572" s="242"/>
      <c r="W572" s="242"/>
      <c r="X572" s="242"/>
      <c r="Y572" s="242"/>
      <c r="Z572" s="242"/>
      <c r="AA572" s="242"/>
      <c r="AB572" s="242"/>
      <c r="AC572" s="242"/>
      <c r="AD572" s="242"/>
      <c r="AE572" s="242"/>
      <c r="AF572" s="242"/>
      <c r="AG572" s="242"/>
      <c r="AH572" s="242"/>
      <c r="AI572" s="242"/>
      <c r="AJ572" s="13"/>
      <c r="AK572" s="242"/>
      <c r="AL572" s="242"/>
      <c r="AM572" s="242"/>
      <c r="AN572" s="242"/>
      <c r="AO572" s="242"/>
    </row>
    <row r="573">
      <c r="A573" s="242"/>
      <c r="B573" s="13"/>
      <c r="C573" s="242"/>
      <c r="D573" s="242"/>
      <c r="E573" s="242"/>
      <c r="F573" s="242"/>
      <c r="G573" s="13"/>
      <c r="H573" s="13"/>
      <c r="I573" s="13"/>
      <c r="J573" s="13"/>
      <c r="K573" s="13"/>
      <c r="L573" s="242"/>
      <c r="M573" s="242"/>
      <c r="N573" s="242"/>
      <c r="O573" s="242"/>
      <c r="P573" s="242"/>
      <c r="Q573" s="525"/>
      <c r="R573" s="242"/>
      <c r="S573" s="242"/>
      <c r="T573" s="242"/>
      <c r="U573" s="242"/>
      <c r="V573" s="242"/>
      <c r="W573" s="242"/>
      <c r="X573" s="242"/>
      <c r="Y573" s="242"/>
      <c r="Z573" s="242"/>
      <c r="AA573" s="242"/>
      <c r="AB573" s="242"/>
      <c r="AC573" s="242"/>
      <c r="AD573" s="242"/>
      <c r="AE573" s="242"/>
      <c r="AF573" s="242"/>
      <c r="AG573" s="242"/>
      <c r="AH573" s="242"/>
      <c r="AI573" s="242"/>
      <c r="AJ573" s="13"/>
      <c r="AK573" s="242"/>
      <c r="AL573" s="242"/>
      <c r="AM573" s="242"/>
      <c r="AN573" s="242"/>
      <c r="AO573" s="242"/>
    </row>
    <row r="574">
      <c r="A574" s="242"/>
      <c r="B574" s="13"/>
      <c r="C574" s="242"/>
      <c r="D574" s="242"/>
      <c r="E574" s="242"/>
      <c r="F574" s="242"/>
      <c r="G574" s="13"/>
      <c r="H574" s="13"/>
      <c r="I574" s="13"/>
      <c r="J574" s="13"/>
      <c r="K574" s="13"/>
      <c r="L574" s="242"/>
      <c r="M574" s="242"/>
      <c r="N574" s="242"/>
      <c r="O574" s="242"/>
      <c r="P574" s="242"/>
      <c r="Q574" s="525"/>
      <c r="R574" s="242"/>
      <c r="S574" s="242"/>
      <c r="T574" s="242"/>
      <c r="U574" s="242"/>
      <c r="V574" s="242"/>
      <c r="W574" s="242"/>
      <c r="X574" s="242"/>
      <c r="Y574" s="242"/>
      <c r="Z574" s="242"/>
      <c r="AA574" s="242"/>
      <c r="AB574" s="242"/>
      <c r="AC574" s="242"/>
      <c r="AD574" s="242"/>
      <c r="AE574" s="242"/>
      <c r="AF574" s="242"/>
      <c r="AG574" s="242"/>
      <c r="AH574" s="242"/>
      <c r="AI574" s="242"/>
      <c r="AJ574" s="13"/>
      <c r="AK574" s="242"/>
      <c r="AL574" s="242"/>
      <c r="AM574" s="242"/>
      <c r="AN574" s="242"/>
      <c r="AO574" s="242"/>
    </row>
    <row r="575">
      <c r="A575" s="242"/>
      <c r="B575" s="13"/>
      <c r="C575" s="242"/>
      <c r="D575" s="242"/>
      <c r="E575" s="242"/>
      <c r="F575" s="242"/>
      <c r="G575" s="13"/>
      <c r="H575" s="13"/>
      <c r="I575" s="13"/>
      <c r="J575" s="13"/>
      <c r="K575" s="13"/>
      <c r="L575" s="242"/>
      <c r="M575" s="242"/>
      <c r="N575" s="242"/>
      <c r="O575" s="242"/>
      <c r="P575" s="242"/>
      <c r="Q575" s="525"/>
      <c r="R575" s="242"/>
      <c r="S575" s="242"/>
      <c r="T575" s="242"/>
      <c r="U575" s="242"/>
      <c r="V575" s="242"/>
      <c r="W575" s="242"/>
      <c r="X575" s="242"/>
      <c r="Y575" s="242"/>
      <c r="Z575" s="242"/>
      <c r="AA575" s="242"/>
      <c r="AB575" s="242"/>
      <c r="AC575" s="242"/>
      <c r="AD575" s="242"/>
      <c r="AE575" s="242"/>
      <c r="AF575" s="242"/>
      <c r="AG575" s="242"/>
      <c r="AH575" s="242"/>
      <c r="AI575" s="242"/>
      <c r="AJ575" s="13"/>
      <c r="AK575" s="242"/>
      <c r="AL575" s="242"/>
      <c r="AM575" s="242"/>
      <c r="AN575" s="242"/>
      <c r="AO575" s="242"/>
    </row>
    <row r="576">
      <c r="A576" s="242"/>
      <c r="B576" s="13"/>
      <c r="C576" s="242"/>
      <c r="D576" s="242"/>
      <c r="E576" s="242"/>
      <c r="F576" s="242"/>
      <c r="G576" s="13"/>
      <c r="H576" s="13"/>
      <c r="I576" s="13"/>
      <c r="J576" s="13"/>
      <c r="K576" s="13"/>
      <c r="L576" s="242"/>
      <c r="M576" s="242"/>
      <c r="N576" s="242"/>
      <c r="O576" s="242"/>
      <c r="P576" s="242"/>
      <c r="Q576" s="525"/>
      <c r="R576" s="242"/>
      <c r="S576" s="242"/>
      <c r="T576" s="242"/>
      <c r="U576" s="242"/>
      <c r="V576" s="242"/>
      <c r="W576" s="242"/>
      <c r="X576" s="242"/>
      <c r="Y576" s="242"/>
      <c r="Z576" s="242"/>
      <c r="AA576" s="242"/>
      <c r="AB576" s="242"/>
      <c r="AC576" s="242"/>
      <c r="AD576" s="242"/>
      <c r="AE576" s="242"/>
      <c r="AF576" s="242"/>
      <c r="AG576" s="242"/>
      <c r="AH576" s="242"/>
      <c r="AI576" s="242"/>
      <c r="AJ576" s="13"/>
      <c r="AK576" s="242"/>
      <c r="AL576" s="242"/>
      <c r="AM576" s="242"/>
      <c r="AN576" s="242"/>
      <c r="AO576" s="242"/>
    </row>
    <row r="577">
      <c r="A577" s="242"/>
      <c r="B577" s="13"/>
      <c r="C577" s="242"/>
      <c r="D577" s="242"/>
      <c r="E577" s="242"/>
      <c r="F577" s="242"/>
      <c r="G577" s="13"/>
      <c r="H577" s="13"/>
      <c r="I577" s="13"/>
      <c r="J577" s="13"/>
      <c r="K577" s="13"/>
      <c r="L577" s="242"/>
      <c r="M577" s="242"/>
      <c r="N577" s="242"/>
      <c r="O577" s="242"/>
      <c r="P577" s="242"/>
      <c r="Q577" s="525"/>
      <c r="R577" s="242"/>
      <c r="S577" s="242"/>
      <c r="T577" s="242"/>
      <c r="U577" s="242"/>
      <c r="V577" s="242"/>
      <c r="W577" s="242"/>
      <c r="X577" s="242"/>
      <c r="Y577" s="242"/>
      <c r="Z577" s="242"/>
      <c r="AA577" s="242"/>
      <c r="AB577" s="242"/>
      <c r="AC577" s="242"/>
      <c r="AD577" s="242"/>
      <c r="AE577" s="242"/>
      <c r="AF577" s="242"/>
      <c r="AG577" s="242"/>
      <c r="AH577" s="242"/>
      <c r="AI577" s="242"/>
      <c r="AJ577" s="13"/>
      <c r="AK577" s="242"/>
      <c r="AL577" s="242"/>
      <c r="AM577" s="242"/>
      <c r="AN577" s="242"/>
      <c r="AO577" s="242"/>
    </row>
    <row r="578">
      <c r="A578" s="242"/>
      <c r="B578" s="13"/>
      <c r="C578" s="242"/>
      <c r="D578" s="242"/>
      <c r="E578" s="242"/>
      <c r="F578" s="242"/>
      <c r="G578" s="13"/>
      <c r="H578" s="13"/>
      <c r="I578" s="13"/>
      <c r="J578" s="13"/>
      <c r="K578" s="13"/>
      <c r="L578" s="242"/>
      <c r="M578" s="242"/>
      <c r="N578" s="242"/>
      <c r="O578" s="242"/>
      <c r="P578" s="242"/>
      <c r="Q578" s="525"/>
      <c r="R578" s="242"/>
      <c r="S578" s="242"/>
      <c r="T578" s="242"/>
      <c r="U578" s="242"/>
      <c r="V578" s="242"/>
      <c r="W578" s="242"/>
      <c r="X578" s="242"/>
      <c r="Y578" s="242"/>
      <c r="Z578" s="242"/>
      <c r="AA578" s="242"/>
      <c r="AB578" s="242"/>
      <c r="AC578" s="242"/>
      <c r="AD578" s="242"/>
      <c r="AE578" s="242"/>
      <c r="AF578" s="242"/>
      <c r="AG578" s="242"/>
      <c r="AH578" s="242"/>
      <c r="AI578" s="242"/>
      <c r="AJ578" s="13"/>
      <c r="AK578" s="242"/>
      <c r="AL578" s="242"/>
      <c r="AM578" s="242"/>
      <c r="AN578" s="242"/>
      <c r="AO578" s="242"/>
    </row>
    <row r="579">
      <c r="A579" s="242"/>
      <c r="B579" s="13"/>
      <c r="C579" s="242"/>
      <c r="D579" s="242"/>
      <c r="E579" s="242"/>
      <c r="F579" s="242"/>
      <c r="G579" s="13"/>
      <c r="H579" s="13"/>
      <c r="I579" s="13"/>
      <c r="J579" s="13"/>
      <c r="K579" s="13"/>
      <c r="L579" s="242"/>
      <c r="M579" s="242"/>
      <c r="N579" s="242"/>
      <c r="O579" s="242"/>
      <c r="P579" s="242"/>
      <c r="Q579" s="525"/>
      <c r="R579" s="242"/>
      <c r="S579" s="242"/>
      <c r="T579" s="242"/>
      <c r="U579" s="242"/>
      <c r="V579" s="242"/>
      <c r="W579" s="242"/>
      <c r="X579" s="242"/>
      <c r="Y579" s="242"/>
      <c r="Z579" s="242"/>
      <c r="AA579" s="242"/>
      <c r="AB579" s="242"/>
      <c r="AC579" s="242"/>
      <c r="AD579" s="242"/>
      <c r="AE579" s="242"/>
      <c r="AF579" s="242"/>
      <c r="AG579" s="242"/>
      <c r="AH579" s="242"/>
      <c r="AI579" s="242"/>
      <c r="AJ579" s="13"/>
      <c r="AK579" s="242"/>
      <c r="AL579" s="242"/>
      <c r="AM579" s="242"/>
      <c r="AN579" s="242"/>
      <c r="AO579" s="242"/>
    </row>
    <row r="580">
      <c r="A580" s="242"/>
      <c r="B580" s="13"/>
      <c r="C580" s="242"/>
      <c r="D580" s="242"/>
      <c r="E580" s="242"/>
      <c r="F580" s="242"/>
      <c r="G580" s="13"/>
      <c r="H580" s="13"/>
      <c r="I580" s="13"/>
      <c r="J580" s="13"/>
      <c r="K580" s="13"/>
      <c r="L580" s="242"/>
      <c r="M580" s="242"/>
      <c r="N580" s="242"/>
      <c r="O580" s="242"/>
      <c r="P580" s="242"/>
      <c r="Q580" s="525"/>
      <c r="R580" s="242"/>
      <c r="S580" s="242"/>
      <c r="T580" s="242"/>
      <c r="U580" s="242"/>
      <c r="V580" s="242"/>
      <c r="W580" s="242"/>
      <c r="X580" s="242"/>
      <c r="Y580" s="242"/>
      <c r="Z580" s="242"/>
      <c r="AA580" s="242"/>
      <c r="AB580" s="242"/>
      <c r="AC580" s="242"/>
      <c r="AD580" s="242"/>
      <c r="AE580" s="242"/>
      <c r="AF580" s="242"/>
      <c r="AG580" s="242"/>
      <c r="AH580" s="242"/>
      <c r="AI580" s="242"/>
      <c r="AJ580" s="13"/>
      <c r="AK580" s="242"/>
      <c r="AL580" s="242"/>
      <c r="AM580" s="242"/>
      <c r="AN580" s="242"/>
      <c r="AO580" s="242"/>
    </row>
    <row r="581">
      <c r="A581" s="242"/>
      <c r="B581" s="13"/>
      <c r="C581" s="242"/>
      <c r="D581" s="242"/>
      <c r="E581" s="242"/>
      <c r="F581" s="242"/>
      <c r="G581" s="13"/>
      <c r="H581" s="13"/>
      <c r="I581" s="13"/>
      <c r="J581" s="13"/>
      <c r="K581" s="13"/>
      <c r="L581" s="242"/>
      <c r="M581" s="242"/>
      <c r="N581" s="242"/>
      <c r="O581" s="242"/>
      <c r="P581" s="242"/>
      <c r="Q581" s="525"/>
      <c r="R581" s="242"/>
      <c r="S581" s="242"/>
      <c r="T581" s="242"/>
      <c r="U581" s="242"/>
      <c r="V581" s="242"/>
      <c r="W581" s="242"/>
      <c r="X581" s="242"/>
      <c r="Y581" s="242"/>
      <c r="Z581" s="242"/>
      <c r="AA581" s="242"/>
      <c r="AB581" s="242"/>
      <c r="AC581" s="242"/>
      <c r="AD581" s="242"/>
      <c r="AE581" s="242"/>
      <c r="AF581" s="242"/>
      <c r="AG581" s="242"/>
      <c r="AH581" s="242"/>
      <c r="AI581" s="242"/>
      <c r="AJ581" s="13"/>
      <c r="AK581" s="242"/>
      <c r="AL581" s="242"/>
      <c r="AM581" s="242"/>
      <c r="AN581" s="242"/>
      <c r="AO581" s="242"/>
    </row>
    <row r="582">
      <c r="A582" s="242"/>
      <c r="B582" s="13"/>
      <c r="C582" s="242"/>
      <c r="D582" s="242"/>
      <c r="E582" s="242"/>
      <c r="F582" s="242"/>
      <c r="G582" s="13"/>
      <c r="H582" s="13"/>
      <c r="I582" s="13"/>
      <c r="J582" s="13"/>
      <c r="K582" s="13"/>
      <c r="L582" s="242"/>
      <c r="M582" s="242"/>
      <c r="N582" s="242"/>
      <c r="O582" s="242"/>
      <c r="P582" s="242"/>
      <c r="Q582" s="525"/>
      <c r="R582" s="242"/>
      <c r="S582" s="242"/>
      <c r="T582" s="242"/>
      <c r="U582" s="242"/>
      <c r="V582" s="242"/>
      <c r="W582" s="242"/>
      <c r="X582" s="242"/>
      <c r="Y582" s="242"/>
      <c r="Z582" s="242"/>
      <c r="AA582" s="242"/>
      <c r="AB582" s="242"/>
      <c r="AC582" s="242"/>
      <c r="AD582" s="242"/>
      <c r="AE582" s="242"/>
      <c r="AF582" s="242"/>
      <c r="AG582" s="242"/>
      <c r="AH582" s="242"/>
      <c r="AI582" s="242"/>
      <c r="AJ582" s="13"/>
      <c r="AK582" s="242"/>
      <c r="AL582" s="242"/>
      <c r="AM582" s="242"/>
      <c r="AN582" s="242"/>
      <c r="AO582" s="242"/>
    </row>
    <row r="583">
      <c r="A583" s="242"/>
      <c r="B583" s="13"/>
      <c r="C583" s="242"/>
      <c r="D583" s="242"/>
      <c r="E583" s="242"/>
      <c r="F583" s="242"/>
      <c r="G583" s="13"/>
      <c r="H583" s="13"/>
      <c r="I583" s="13"/>
      <c r="J583" s="13"/>
      <c r="K583" s="13"/>
      <c r="L583" s="242"/>
      <c r="M583" s="242"/>
      <c r="N583" s="242"/>
      <c r="O583" s="242"/>
      <c r="P583" s="242"/>
      <c r="Q583" s="525"/>
      <c r="R583" s="242"/>
      <c r="S583" s="242"/>
      <c r="T583" s="242"/>
      <c r="U583" s="242"/>
      <c r="V583" s="242"/>
      <c r="W583" s="242"/>
      <c r="X583" s="242"/>
      <c r="Y583" s="242"/>
      <c r="Z583" s="242"/>
      <c r="AA583" s="242"/>
      <c r="AB583" s="242"/>
      <c r="AC583" s="242"/>
      <c r="AD583" s="242"/>
      <c r="AE583" s="242"/>
      <c r="AF583" s="242"/>
      <c r="AG583" s="242"/>
      <c r="AH583" s="242"/>
      <c r="AI583" s="242"/>
      <c r="AJ583" s="13"/>
      <c r="AK583" s="242"/>
      <c r="AL583" s="242"/>
      <c r="AM583" s="242"/>
      <c r="AN583" s="242"/>
      <c r="AO583" s="242"/>
    </row>
    <row r="584">
      <c r="A584" s="242"/>
      <c r="B584" s="13"/>
      <c r="C584" s="242"/>
      <c r="D584" s="242"/>
      <c r="E584" s="242"/>
      <c r="F584" s="242"/>
      <c r="G584" s="13"/>
      <c r="H584" s="13"/>
      <c r="I584" s="13"/>
      <c r="J584" s="13"/>
      <c r="K584" s="13"/>
      <c r="L584" s="242"/>
      <c r="M584" s="242"/>
      <c r="N584" s="242"/>
      <c r="O584" s="242"/>
      <c r="P584" s="242"/>
      <c r="Q584" s="525"/>
      <c r="R584" s="242"/>
      <c r="S584" s="242"/>
      <c r="T584" s="242"/>
      <c r="U584" s="242"/>
      <c r="V584" s="242"/>
      <c r="W584" s="242"/>
      <c r="X584" s="242"/>
      <c r="Y584" s="242"/>
      <c r="Z584" s="242"/>
      <c r="AA584" s="242"/>
      <c r="AB584" s="242"/>
      <c r="AC584" s="242"/>
      <c r="AD584" s="242"/>
      <c r="AE584" s="242"/>
      <c r="AF584" s="242"/>
      <c r="AG584" s="242"/>
      <c r="AH584" s="242"/>
      <c r="AI584" s="242"/>
      <c r="AJ584" s="13"/>
      <c r="AK584" s="242"/>
      <c r="AL584" s="242"/>
      <c r="AM584" s="242"/>
      <c r="AN584" s="242"/>
      <c r="AO584" s="242"/>
    </row>
    <row r="585">
      <c r="A585" s="242"/>
      <c r="B585" s="13"/>
      <c r="C585" s="242"/>
      <c r="D585" s="242"/>
      <c r="E585" s="242"/>
      <c r="F585" s="242"/>
      <c r="G585" s="13"/>
      <c r="H585" s="13"/>
      <c r="I585" s="13"/>
      <c r="J585" s="13"/>
      <c r="K585" s="13"/>
      <c r="L585" s="242"/>
      <c r="M585" s="242"/>
      <c r="N585" s="242"/>
      <c r="O585" s="242"/>
      <c r="P585" s="242"/>
      <c r="Q585" s="525"/>
      <c r="R585" s="242"/>
      <c r="S585" s="242"/>
      <c r="T585" s="242"/>
      <c r="U585" s="242"/>
      <c r="V585" s="242"/>
      <c r="W585" s="242"/>
      <c r="X585" s="242"/>
      <c r="Y585" s="242"/>
      <c r="Z585" s="242"/>
      <c r="AA585" s="242"/>
      <c r="AB585" s="242"/>
      <c r="AC585" s="242"/>
      <c r="AD585" s="242"/>
      <c r="AE585" s="242"/>
      <c r="AF585" s="242"/>
      <c r="AG585" s="242"/>
      <c r="AH585" s="242"/>
      <c r="AI585" s="242"/>
      <c r="AJ585" s="13"/>
      <c r="AK585" s="242"/>
      <c r="AL585" s="242"/>
      <c r="AM585" s="242"/>
      <c r="AN585" s="242"/>
      <c r="AO585" s="242"/>
    </row>
    <row r="586">
      <c r="A586" s="242"/>
      <c r="B586" s="13"/>
      <c r="C586" s="242"/>
      <c r="D586" s="242"/>
      <c r="E586" s="242"/>
      <c r="F586" s="242"/>
      <c r="G586" s="13"/>
      <c r="H586" s="13"/>
      <c r="I586" s="13"/>
      <c r="J586" s="13"/>
      <c r="K586" s="13"/>
      <c r="L586" s="242"/>
      <c r="M586" s="242"/>
      <c r="N586" s="242"/>
      <c r="O586" s="242"/>
      <c r="P586" s="242"/>
      <c r="Q586" s="525"/>
      <c r="R586" s="242"/>
      <c r="S586" s="242"/>
      <c r="T586" s="242"/>
      <c r="U586" s="242"/>
      <c r="V586" s="242"/>
      <c r="W586" s="242"/>
      <c r="X586" s="242"/>
      <c r="Y586" s="242"/>
      <c r="Z586" s="242"/>
      <c r="AA586" s="242"/>
      <c r="AB586" s="242"/>
      <c r="AC586" s="242"/>
      <c r="AD586" s="242"/>
      <c r="AE586" s="242"/>
      <c r="AF586" s="242"/>
      <c r="AG586" s="242"/>
      <c r="AH586" s="242"/>
      <c r="AI586" s="242"/>
      <c r="AJ586" s="13"/>
      <c r="AK586" s="242"/>
      <c r="AL586" s="242"/>
      <c r="AM586" s="242"/>
      <c r="AN586" s="242"/>
      <c r="AO586" s="242"/>
    </row>
    <row r="587">
      <c r="A587" s="242"/>
      <c r="B587" s="13"/>
      <c r="C587" s="242"/>
      <c r="D587" s="242"/>
      <c r="E587" s="242"/>
      <c r="F587" s="242"/>
      <c r="G587" s="13"/>
      <c r="H587" s="13"/>
      <c r="I587" s="13"/>
      <c r="J587" s="13"/>
      <c r="K587" s="13"/>
      <c r="L587" s="242"/>
      <c r="M587" s="242"/>
      <c r="N587" s="242"/>
      <c r="O587" s="242"/>
      <c r="P587" s="242"/>
      <c r="Q587" s="525"/>
      <c r="R587" s="242"/>
      <c r="S587" s="242"/>
      <c r="T587" s="242"/>
      <c r="U587" s="242"/>
      <c r="V587" s="242"/>
      <c r="W587" s="242"/>
      <c r="X587" s="242"/>
      <c r="Y587" s="242"/>
      <c r="Z587" s="242"/>
      <c r="AA587" s="242"/>
      <c r="AB587" s="242"/>
      <c r="AC587" s="242"/>
      <c r="AD587" s="242"/>
      <c r="AE587" s="242"/>
      <c r="AF587" s="242"/>
      <c r="AG587" s="242"/>
      <c r="AH587" s="242"/>
      <c r="AI587" s="242"/>
      <c r="AJ587" s="13"/>
      <c r="AK587" s="242"/>
      <c r="AL587" s="242"/>
      <c r="AM587" s="242"/>
      <c r="AN587" s="242"/>
      <c r="AO587" s="242"/>
    </row>
    <row r="588">
      <c r="A588" s="242"/>
      <c r="B588" s="13"/>
      <c r="C588" s="242"/>
      <c r="D588" s="242"/>
      <c r="E588" s="242"/>
      <c r="F588" s="242"/>
      <c r="G588" s="13"/>
      <c r="H588" s="13"/>
      <c r="I588" s="13"/>
      <c r="J588" s="13"/>
      <c r="K588" s="13"/>
      <c r="L588" s="242"/>
      <c r="M588" s="242"/>
      <c r="N588" s="242"/>
      <c r="O588" s="242"/>
      <c r="P588" s="242"/>
      <c r="Q588" s="525"/>
      <c r="R588" s="242"/>
      <c r="S588" s="242"/>
      <c r="T588" s="242"/>
      <c r="U588" s="242"/>
      <c r="V588" s="242"/>
      <c r="W588" s="242"/>
      <c r="X588" s="242"/>
      <c r="Y588" s="242"/>
      <c r="Z588" s="242"/>
      <c r="AA588" s="242"/>
      <c r="AB588" s="242"/>
      <c r="AC588" s="242"/>
      <c r="AD588" s="242"/>
      <c r="AE588" s="242"/>
      <c r="AF588" s="242"/>
      <c r="AG588" s="242"/>
      <c r="AH588" s="242"/>
      <c r="AI588" s="242"/>
      <c r="AJ588" s="13"/>
      <c r="AK588" s="242"/>
      <c r="AL588" s="242"/>
      <c r="AM588" s="242"/>
      <c r="AN588" s="242"/>
      <c r="AO588" s="242"/>
    </row>
    <row r="589">
      <c r="A589" s="242"/>
      <c r="B589" s="13"/>
      <c r="C589" s="242"/>
      <c r="D589" s="242"/>
      <c r="E589" s="242"/>
      <c r="F589" s="242"/>
      <c r="G589" s="13"/>
      <c r="H589" s="13"/>
      <c r="I589" s="13"/>
      <c r="J589" s="13"/>
      <c r="K589" s="13"/>
      <c r="L589" s="242"/>
      <c r="M589" s="242"/>
      <c r="N589" s="242"/>
      <c r="O589" s="242"/>
      <c r="P589" s="242"/>
      <c r="Q589" s="525"/>
      <c r="R589" s="242"/>
      <c r="S589" s="242"/>
      <c r="T589" s="242"/>
      <c r="U589" s="242"/>
      <c r="V589" s="242"/>
      <c r="W589" s="242"/>
      <c r="X589" s="242"/>
      <c r="Y589" s="242"/>
      <c r="Z589" s="242"/>
      <c r="AA589" s="242"/>
      <c r="AB589" s="242"/>
      <c r="AC589" s="242"/>
      <c r="AD589" s="242"/>
      <c r="AE589" s="242"/>
      <c r="AF589" s="242"/>
      <c r="AG589" s="242"/>
      <c r="AH589" s="242"/>
      <c r="AI589" s="242"/>
      <c r="AJ589" s="13"/>
      <c r="AK589" s="242"/>
      <c r="AL589" s="242"/>
      <c r="AM589" s="242"/>
      <c r="AN589" s="242"/>
      <c r="AO589" s="242"/>
    </row>
    <row r="590">
      <c r="A590" s="242"/>
      <c r="B590" s="13"/>
      <c r="C590" s="242"/>
      <c r="D590" s="242"/>
      <c r="E590" s="242"/>
      <c r="F590" s="242"/>
      <c r="G590" s="13"/>
      <c r="H590" s="13"/>
      <c r="I590" s="13"/>
      <c r="J590" s="13"/>
      <c r="K590" s="13"/>
      <c r="L590" s="242"/>
      <c r="M590" s="242"/>
      <c r="N590" s="242"/>
      <c r="O590" s="242"/>
      <c r="P590" s="242"/>
      <c r="Q590" s="525"/>
      <c r="R590" s="242"/>
      <c r="S590" s="242"/>
      <c r="T590" s="242"/>
      <c r="U590" s="242"/>
      <c r="V590" s="242"/>
      <c r="W590" s="242"/>
      <c r="X590" s="242"/>
      <c r="Y590" s="242"/>
      <c r="Z590" s="242"/>
      <c r="AA590" s="242"/>
      <c r="AB590" s="242"/>
      <c r="AC590" s="242"/>
      <c r="AD590" s="242"/>
      <c r="AE590" s="242"/>
      <c r="AF590" s="242"/>
      <c r="AG590" s="242"/>
      <c r="AH590" s="242"/>
      <c r="AI590" s="242"/>
      <c r="AJ590" s="13"/>
      <c r="AK590" s="242"/>
      <c r="AL590" s="242"/>
      <c r="AM590" s="242"/>
      <c r="AN590" s="242"/>
      <c r="AO590" s="242"/>
    </row>
    <row r="591">
      <c r="A591" s="242"/>
      <c r="B591" s="13"/>
      <c r="C591" s="242"/>
      <c r="D591" s="242"/>
      <c r="E591" s="242"/>
      <c r="F591" s="242"/>
      <c r="G591" s="13"/>
      <c r="H591" s="13"/>
      <c r="I591" s="13"/>
      <c r="J591" s="13"/>
      <c r="K591" s="13"/>
      <c r="L591" s="242"/>
      <c r="M591" s="242"/>
      <c r="N591" s="242"/>
      <c r="O591" s="242"/>
      <c r="P591" s="242"/>
      <c r="Q591" s="525"/>
      <c r="R591" s="242"/>
      <c r="S591" s="242"/>
      <c r="T591" s="242"/>
      <c r="U591" s="242"/>
      <c r="V591" s="242"/>
      <c r="W591" s="242"/>
      <c r="X591" s="242"/>
      <c r="Y591" s="242"/>
      <c r="Z591" s="242"/>
      <c r="AA591" s="242"/>
      <c r="AB591" s="242"/>
      <c r="AC591" s="242"/>
      <c r="AD591" s="242"/>
      <c r="AE591" s="242"/>
      <c r="AF591" s="242"/>
      <c r="AG591" s="242"/>
      <c r="AH591" s="242"/>
      <c r="AI591" s="242"/>
      <c r="AJ591" s="13"/>
      <c r="AK591" s="242"/>
      <c r="AL591" s="242"/>
      <c r="AM591" s="242"/>
      <c r="AN591" s="242"/>
      <c r="AO591" s="242"/>
    </row>
    <row r="592">
      <c r="A592" s="242"/>
      <c r="B592" s="13"/>
      <c r="C592" s="242"/>
      <c r="D592" s="242"/>
      <c r="E592" s="242"/>
      <c r="F592" s="242"/>
      <c r="G592" s="13"/>
      <c r="H592" s="13"/>
      <c r="I592" s="13"/>
      <c r="J592" s="13"/>
      <c r="K592" s="13"/>
      <c r="L592" s="242"/>
      <c r="M592" s="242"/>
      <c r="N592" s="242"/>
      <c r="O592" s="242"/>
      <c r="P592" s="242"/>
      <c r="Q592" s="525"/>
      <c r="R592" s="242"/>
      <c r="S592" s="242"/>
      <c r="T592" s="242"/>
      <c r="U592" s="242"/>
      <c r="V592" s="242"/>
      <c r="W592" s="242"/>
      <c r="X592" s="242"/>
      <c r="Y592" s="242"/>
      <c r="Z592" s="242"/>
      <c r="AA592" s="242"/>
      <c r="AB592" s="242"/>
      <c r="AC592" s="242"/>
      <c r="AD592" s="242"/>
      <c r="AE592" s="242"/>
      <c r="AF592" s="242"/>
      <c r="AG592" s="242"/>
      <c r="AH592" s="242"/>
      <c r="AI592" s="242"/>
      <c r="AJ592" s="13"/>
      <c r="AK592" s="242"/>
      <c r="AL592" s="242"/>
      <c r="AM592" s="242"/>
      <c r="AN592" s="242"/>
      <c r="AO592" s="242"/>
    </row>
    <row r="593">
      <c r="A593" s="242"/>
      <c r="B593" s="13"/>
      <c r="C593" s="242"/>
      <c r="D593" s="242"/>
      <c r="E593" s="242"/>
      <c r="F593" s="242"/>
      <c r="G593" s="13"/>
      <c r="H593" s="13"/>
      <c r="I593" s="13"/>
      <c r="J593" s="13"/>
      <c r="K593" s="13"/>
      <c r="L593" s="242"/>
      <c r="M593" s="242"/>
      <c r="N593" s="242"/>
      <c r="O593" s="242"/>
      <c r="P593" s="242"/>
      <c r="Q593" s="525"/>
      <c r="R593" s="242"/>
      <c r="S593" s="242"/>
      <c r="T593" s="242"/>
      <c r="U593" s="242"/>
      <c r="V593" s="242"/>
      <c r="W593" s="242"/>
      <c r="X593" s="242"/>
      <c r="Y593" s="242"/>
      <c r="Z593" s="242"/>
      <c r="AA593" s="242"/>
      <c r="AB593" s="242"/>
      <c r="AC593" s="242"/>
      <c r="AD593" s="242"/>
      <c r="AE593" s="242"/>
      <c r="AF593" s="242"/>
      <c r="AG593" s="242"/>
      <c r="AH593" s="242"/>
      <c r="AI593" s="242"/>
      <c r="AJ593" s="13"/>
      <c r="AK593" s="242"/>
      <c r="AL593" s="242"/>
      <c r="AM593" s="242"/>
      <c r="AN593" s="242"/>
      <c r="AO593" s="242"/>
    </row>
    <row r="594">
      <c r="A594" s="242"/>
      <c r="B594" s="13"/>
      <c r="C594" s="242"/>
      <c r="D594" s="242"/>
      <c r="E594" s="242"/>
      <c r="F594" s="242"/>
      <c r="G594" s="13"/>
      <c r="H594" s="13"/>
      <c r="I594" s="13"/>
      <c r="J594" s="13"/>
      <c r="K594" s="13"/>
      <c r="L594" s="242"/>
      <c r="M594" s="242"/>
      <c r="N594" s="242"/>
      <c r="O594" s="242"/>
      <c r="P594" s="242"/>
      <c r="Q594" s="525"/>
      <c r="R594" s="242"/>
      <c r="S594" s="242"/>
      <c r="T594" s="242"/>
      <c r="U594" s="242"/>
      <c r="V594" s="242"/>
      <c r="W594" s="242"/>
      <c r="X594" s="242"/>
      <c r="Y594" s="242"/>
      <c r="Z594" s="242"/>
      <c r="AA594" s="242"/>
      <c r="AB594" s="242"/>
      <c r="AC594" s="242"/>
      <c r="AD594" s="242"/>
      <c r="AE594" s="242"/>
      <c r="AF594" s="242"/>
      <c r="AG594" s="242"/>
      <c r="AH594" s="242"/>
      <c r="AI594" s="242"/>
      <c r="AJ594" s="13"/>
      <c r="AK594" s="242"/>
      <c r="AL594" s="242"/>
      <c r="AM594" s="242"/>
      <c r="AN594" s="242"/>
      <c r="AO594" s="242"/>
    </row>
    <row r="595">
      <c r="A595" s="242"/>
      <c r="B595" s="13"/>
      <c r="C595" s="242"/>
      <c r="D595" s="242"/>
      <c r="E595" s="242"/>
      <c r="F595" s="242"/>
      <c r="G595" s="13"/>
      <c r="H595" s="13"/>
      <c r="I595" s="13"/>
      <c r="J595" s="13"/>
      <c r="K595" s="13"/>
      <c r="L595" s="242"/>
      <c r="M595" s="242"/>
      <c r="N595" s="242"/>
      <c r="O595" s="242"/>
      <c r="P595" s="242"/>
      <c r="Q595" s="525"/>
      <c r="R595" s="242"/>
      <c r="S595" s="242"/>
      <c r="T595" s="242"/>
      <c r="U595" s="242"/>
      <c r="V595" s="242"/>
      <c r="W595" s="242"/>
      <c r="X595" s="242"/>
      <c r="Y595" s="242"/>
      <c r="Z595" s="242"/>
      <c r="AA595" s="242"/>
      <c r="AB595" s="242"/>
      <c r="AC595" s="242"/>
      <c r="AD595" s="242"/>
      <c r="AE595" s="242"/>
      <c r="AF595" s="242"/>
      <c r="AG595" s="242"/>
      <c r="AH595" s="242"/>
      <c r="AI595" s="242"/>
      <c r="AJ595" s="13"/>
      <c r="AK595" s="242"/>
      <c r="AL595" s="242"/>
      <c r="AM595" s="242"/>
      <c r="AN595" s="242"/>
      <c r="AO595" s="242"/>
    </row>
    <row r="596">
      <c r="A596" s="242"/>
      <c r="B596" s="13"/>
      <c r="C596" s="242"/>
      <c r="D596" s="242"/>
      <c r="E596" s="242"/>
      <c r="F596" s="242"/>
      <c r="G596" s="13"/>
      <c r="H596" s="13"/>
      <c r="I596" s="13"/>
      <c r="J596" s="13"/>
      <c r="K596" s="13"/>
      <c r="L596" s="242"/>
      <c r="M596" s="242"/>
      <c r="N596" s="242"/>
      <c r="O596" s="242"/>
      <c r="P596" s="242"/>
      <c r="Q596" s="525"/>
      <c r="R596" s="242"/>
      <c r="S596" s="242"/>
      <c r="T596" s="242"/>
      <c r="U596" s="242"/>
      <c r="V596" s="242"/>
      <c r="W596" s="242"/>
      <c r="X596" s="242"/>
      <c r="Y596" s="242"/>
      <c r="Z596" s="242"/>
      <c r="AA596" s="242"/>
      <c r="AB596" s="242"/>
      <c r="AC596" s="242"/>
      <c r="AD596" s="242"/>
      <c r="AE596" s="242"/>
      <c r="AF596" s="242"/>
      <c r="AG596" s="242"/>
      <c r="AH596" s="242"/>
      <c r="AI596" s="242"/>
      <c r="AJ596" s="13"/>
      <c r="AK596" s="242"/>
      <c r="AL596" s="242"/>
      <c r="AM596" s="242"/>
      <c r="AN596" s="242"/>
      <c r="AO596" s="242"/>
    </row>
    <row r="597">
      <c r="A597" s="242"/>
      <c r="B597" s="13"/>
      <c r="C597" s="242"/>
      <c r="D597" s="242"/>
      <c r="E597" s="242"/>
      <c r="F597" s="242"/>
      <c r="G597" s="13"/>
      <c r="H597" s="13"/>
      <c r="I597" s="13"/>
      <c r="J597" s="13"/>
      <c r="K597" s="13"/>
      <c r="L597" s="242"/>
      <c r="M597" s="242"/>
      <c r="N597" s="242"/>
      <c r="O597" s="242"/>
      <c r="P597" s="242"/>
      <c r="Q597" s="525"/>
      <c r="R597" s="242"/>
      <c r="S597" s="242"/>
      <c r="T597" s="242"/>
      <c r="U597" s="242"/>
      <c r="V597" s="242"/>
      <c r="W597" s="242"/>
      <c r="X597" s="242"/>
      <c r="Y597" s="242"/>
      <c r="Z597" s="242"/>
      <c r="AA597" s="242"/>
      <c r="AB597" s="242"/>
      <c r="AC597" s="242"/>
      <c r="AD597" s="242"/>
      <c r="AE597" s="242"/>
      <c r="AF597" s="242"/>
      <c r="AG597" s="242"/>
      <c r="AH597" s="242"/>
      <c r="AI597" s="242"/>
      <c r="AJ597" s="13"/>
      <c r="AK597" s="242"/>
      <c r="AL597" s="242"/>
      <c r="AM597" s="242"/>
      <c r="AN597" s="242"/>
      <c r="AO597" s="242"/>
    </row>
    <row r="598">
      <c r="A598" s="242"/>
      <c r="B598" s="13"/>
      <c r="C598" s="242"/>
      <c r="D598" s="242"/>
      <c r="E598" s="242"/>
      <c r="F598" s="242"/>
      <c r="G598" s="13"/>
      <c r="H598" s="13"/>
      <c r="I598" s="13"/>
      <c r="J598" s="13"/>
      <c r="K598" s="13"/>
      <c r="L598" s="242"/>
      <c r="M598" s="242"/>
      <c r="N598" s="242"/>
      <c r="O598" s="242"/>
      <c r="P598" s="242"/>
      <c r="Q598" s="525"/>
      <c r="R598" s="242"/>
      <c r="S598" s="242"/>
      <c r="T598" s="242"/>
      <c r="U598" s="242"/>
      <c r="V598" s="242"/>
      <c r="W598" s="242"/>
      <c r="X598" s="242"/>
      <c r="Y598" s="242"/>
      <c r="Z598" s="242"/>
      <c r="AA598" s="242"/>
      <c r="AB598" s="242"/>
      <c r="AC598" s="242"/>
      <c r="AD598" s="242"/>
      <c r="AE598" s="242"/>
      <c r="AF598" s="242"/>
      <c r="AG598" s="242"/>
      <c r="AH598" s="242"/>
      <c r="AI598" s="242"/>
      <c r="AJ598" s="13"/>
      <c r="AK598" s="242"/>
      <c r="AL598" s="242"/>
      <c r="AM598" s="242"/>
      <c r="AN598" s="242"/>
      <c r="AO598" s="242"/>
    </row>
    <row r="599">
      <c r="A599" s="242"/>
      <c r="B599" s="13"/>
      <c r="C599" s="242"/>
      <c r="D599" s="242"/>
      <c r="E599" s="242"/>
      <c r="F599" s="242"/>
      <c r="G599" s="13"/>
      <c r="H599" s="13"/>
      <c r="I599" s="13"/>
      <c r="J599" s="13"/>
      <c r="K599" s="13"/>
      <c r="L599" s="242"/>
      <c r="M599" s="242"/>
      <c r="N599" s="242"/>
      <c r="O599" s="242"/>
      <c r="P599" s="242"/>
      <c r="Q599" s="525"/>
      <c r="R599" s="242"/>
      <c r="S599" s="242"/>
      <c r="T599" s="242"/>
      <c r="U599" s="242"/>
      <c r="V599" s="242"/>
      <c r="W599" s="242"/>
      <c r="X599" s="242"/>
      <c r="Y599" s="242"/>
      <c r="Z599" s="242"/>
      <c r="AA599" s="242"/>
      <c r="AB599" s="242"/>
      <c r="AC599" s="242"/>
      <c r="AD599" s="242"/>
      <c r="AE599" s="242"/>
      <c r="AF599" s="242"/>
      <c r="AG599" s="242"/>
      <c r="AH599" s="242"/>
      <c r="AI599" s="242"/>
      <c r="AJ599" s="13"/>
      <c r="AK599" s="242"/>
      <c r="AL599" s="242"/>
      <c r="AM599" s="242"/>
      <c r="AN599" s="242"/>
      <c r="AO599" s="242"/>
    </row>
    <row r="600">
      <c r="A600" s="242"/>
      <c r="B600" s="13"/>
      <c r="C600" s="242"/>
      <c r="D600" s="242"/>
      <c r="E600" s="242"/>
      <c r="F600" s="242"/>
      <c r="G600" s="13"/>
      <c r="H600" s="13"/>
      <c r="I600" s="13"/>
      <c r="J600" s="13"/>
      <c r="K600" s="13"/>
      <c r="L600" s="242"/>
      <c r="M600" s="242"/>
      <c r="N600" s="242"/>
      <c r="O600" s="242"/>
      <c r="P600" s="242"/>
      <c r="Q600" s="525"/>
      <c r="R600" s="242"/>
      <c r="S600" s="242"/>
      <c r="T600" s="242"/>
      <c r="U600" s="242"/>
      <c r="V600" s="242"/>
      <c r="W600" s="242"/>
      <c r="X600" s="242"/>
      <c r="Y600" s="242"/>
      <c r="Z600" s="242"/>
      <c r="AA600" s="242"/>
      <c r="AB600" s="242"/>
      <c r="AC600" s="242"/>
      <c r="AD600" s="242"/>
      <c r="AE600" s="242"/>
      <c r="AF600" s="242"/>
      <c r="AG600" s="242"/>
      <c r="AH600" s="242"/>
      <c r="AI600" s="242"/>
      <c r="AJ600" s="13"/>
      <c r="AK600" s="242"/>
      <c r="AL600" s="242"/>
      <c r="AM600" s="242"/>
      <c r="AN600" s="242"/>
      <c r="AO600" s="242"/>
    </row>
    <row r="601">
      <c r="A601" s="242"/>
      <c r="B601" s="13"/>
      <c r="C601" s="242"/>
      <c r="D601" s="242"/>
      <c r="E601" s="242"/>
      <c r="F601" s="242"/>
      <c r="G601" s="13"/>
      <c r="H601" s="13"/>
      <c r="I601" s="13"/>
      <c r="J601" s="13"/>
      <c r="K601" s="13"/>
      <c r="L601" s="242"/>
      <c r="M601" s="242"/>
      <c r="N601" s="242"/>
      <c r="O601" s="242"/>
      <c r="P601" s="242"/>
      <c r="Q601" s="525"/>
      <c r="R601" s="242"/>
      <c r="S601" s="242"/>
      <c r="T601" s="242"/>
      <c r="U601" s="242"/>
      <c r="V601" s="242"/>
      <c r="W601" s="242"/>
      <c r="X601" s="242"/>
      <c r="Y601" s="242"/>
      <c r="Z601" s="242"/>
      <c r="AA601" s="242"/>
      <c r="AB601" s="242"/>
      <c r="AC601" s="242"/>
      <c r="AD601" s="242"/>
      <c r="AE601" s="242"/>
      <c r="AF601" s="242"/>
      <c r="AG601" s="242"/>
      <c r="AH601" s="242"/>
      <c r="AI601" s="242"/>
      <c r="AJ601" s="13"/>
      <c r="AK601" s="242"/>
      <c r="AL601" s="242"/>
      <c r="AM601" s="242"/>
      <c r="AN601" s="242"/>
      <c r="AO601" s="242"/>
    </row>
    <row r="602">
      <c r="A602" s="242"/>
      <c r="B602" s="13"/>
      <c r="C602" s="242"/>
      <c r="D602" s="242"/>
      <c r="E602" s="242"/>
      <c r="F602" s="242"/>
      <c r="G602" s="13"/>
      <c r="H602" s="13"/>
      <c r="I602" s="13"/>
      <c r="J602" s="13"/>
      <c r="K602" s="13"/>
      <c r="L602" s="242"/>
      <c r="M602" s="242"/>
      <c r="N602" s="242"/>
      <c r="O602" s="242"/>
      <c r="P602" s="242"/>
      <c r="Q602" s="525"/>
      <c r="R602" s="242"/>
      <c r="S602" s="242"/>
      <c r="T602" s="242"/>
      <c r="U602" s="242"/>
      <c r="V602" s="242"/>
      <c r="W602" s="242"/>
      <c r="X602" s="242"/>
      <c r="Y602" s="242"/>
      <c r="Z602" s="242"/>
      <c r="AA602" s="242"/>
      <c r="AB602" s="242"/>
      <c r="AC602" s="242"/>
      <c r="AD602" s="242"/>
      <c r="AE602" s="242"/>
      <c r="AF602" s="242"/>
      <c r="AG602" s="242"/>
      <c r="AH602" s="242"/>
      <c r="AI602" s="242"/>
      <c r="AJ602" s="13"/>
      <c r="AK602" s="242"/>
      <c r="AL602" s="242"/>
      <c r="AM602" s="242"/>
      <c r="AN602" s="242"/>
      <c r="AO602" s="242"/>
    </row>
    <row r="603">
      <c r="A603" s="242"/>
      <c r="B603" s="13"/>
      <c r="C603" s="242"/>
      <c r="D603" s="242"/>
      <c r="E603" s="242"/>
      <c r="F603" s="242"/>
      <c r="G603" s="13"/>
      <c r="H603" s="13"/>
      <c r="I603" s="13"/>
      <c r="J603" s="13"/>
      <c r="K603" s="13"/>
      <c r="L603" s="242"/>
      <c r="M603" s="242"/>
      <c r="N603" s="242"/>
      <c r="O603" s="242"/>
      <c r="P603" s="242"/>
      <c r="Q603" s="525"/>
      <c r="R603" s="242"/>
      <c r="S603" s="242"/>
      <c r="T603" s="242"/>
      <c r="U603" s="242"/>
      <c r="V603" s="242"/>
      <c r="W603" s="242"/>
      <c r="X603" s="242"/>
      <c r="Y603" s="242"/>
      <c r="Z603" s="242"/>
      <c r="AA603" s="242"/>
      <c r="AB603" s="242"/>
      <c r="AC603" s="242"/>
      <c r="AD603" s="242"/>
      <c r="AE603" s="242"/>
      <c r="AF603" s="242"/>
      <c r="AG603" s="242"/>
      <c r="AH603" s="242"/>
      <c r="AI603" s="242"/>
      <c r="AJ603" s="13"/>
      <c r="AK603" s="242"/>
      <c r="AL603" s="242"/>
      <c r="AM603" s="242"/>
      <c r="AN603" s="242"/>
      <c r="AO603" s="242"/>
    </row>
    <row r="604">
      <c r="A604" s="242"/>
      <c r="B604" s="13"/>
      <c r="C604" s="242"/>
      <c r="D604" s="242"/>
      <c r="E604" s="242"/>
      <c r="F604" s="242"/>
      <c r="G604" s="13"/>
      <c r="H604" s="13"/>
      <c r="I604" s="13"/>
      <c r="J604" s="13"/>
      <c r="K604" s="13"/>
      <c r="L604" s="242"/>
      <c r="M604" s="242"/>
      <c r="N604" s="242"/>
      <c r="O604" s="242"/>
      <c r="P604" s="242"/>
      <c r="Q604" s="525"/>
      <c r="R604" s="242"/>
      <c r="S604" s="242"/>
      <c r="T604" s="242"/>
      <c r="U604" s="242"/>
      <c r="V604" s="242"/>
      <c r="W604" s="242"/>
      <c r="X604" s="242"/>
      <c r="Y604" s="242"/>
      <c r="Z604" s="242"/>
      <c r="AA604" s="242"/>
      <c r="AB604" s="242"/>
      <c r="AC604" s="242"/>
      <c r="AD604" s="242"/>
      <c r="AE604" s="242"/>
      <c r="AF604" s="242"/>
      <c r="AG604" s="242"/>
      <c r="AH604" s="242"/>
      <c r="AI604" s="242"/>
      <c r="AJ604" s="13"/>
      <c r="AK604" s="242"/>
      <c r="AL604" s="242"/>
      <c r="AM604" s="242"/>
      <c r="AN604" s="242"/>
      <c r="AO604" s="242"/>
    </row>
    <row r="605">
      <c r="A605" s="242"/>
      <c r="B605" s="13"/>
      <c r="C605" s="242"/>
      <c r="D605" s="242"/>
      <c r="E605" s="242"/>
      <c r="F605" s="242"/>
      <c r="G605" s="13"/>
      <c r="H605" s="13"/>
      <c r="I605" s="13"/>
      <c r="J605" s="13"/>
      <c r="K605" s="13"/>
      <c r="L605" s="242"/>
      <c r="M605" s="242"/>
      <c r="N605" s="242"/>
      <c r="O605" s="242"/>
      <c r="P605" s="242"/>
      <c r="Q605" s="525"/>
      <c r="R605" s="242"/>
      <c r="S605" s="242"/>
      <c r="T605" s="242"/>
      <c r="U605" s="242"/>
      <c r="V605" s="242"/>
      <c r="W605" s="242"/>
      <c r="X605" s="242"/>
      <c r="Y605" s="242"/>
      <c r="Z605" s="242"/>
      <c r="AA605" s="242"/>
      <c r="AB605" s="242"/>
      <c r="AC605" s="242"/>
      <c r="AD605" s="242"/>
      <c r="AE605" s="242"/>
      <c r="AF605" s="242"/>
      <c r="AG605" s="242"/>
      <c r="AH605" s="242"/>
      <c r="AI605" s="242"/>
      <c r="AJ605" s="13"/>
      <c r="AK605" s="242"/>
      <c r="AL605" s="242"/>
      <c r="AM605" s="242"/>
      <c r="AN605" s="242"/>
      <c r="AO605" s="242"/>
    </row>
    <row r="606">
      <c r="A606" s="242"/>
      <c r="B606" s="13"/>
      <c r="C606" s="242"/>
      <c r="D606" s="242"/>
      <c r="E606" s="242"/>
      <c r="F606" s="242"/>
      <c r="G606" s="13"/>
      <c r="H606" s="13"/>
      <c r="I606" s="13"/>
      <c r="J606" s="13"/>
      <c r="K606" s="13"/>
      <c r="L606" s="242"/>
      <c r="M606" s="242"/>
      <c r="N606" s="242"/>
      <c r="O606" s="242"/>
      <c r="P606" s="242"/>
      <c r="Q606" s="525"/>
      <c r="R606" s="242"/>
      <c r="S606" s="242"/>
      <c r="T606" s="242"/>
      <c r="U606" s="242"/>
      <c r="V606" s="242"/>
      <c r="W606" s="242"/>
      <c r="X606" s="242"/>
      <c r="Y606" s="242"/>
      <c r="Z606" s="242"/>
      <c r="AA606" s="242"/>
      <c r="AB606" s="242"/>
      <c r="AC606" s="242"/>
      <c r="AD606" s="242"/>
      <c r="AE606" s="242"/>
      <c r="AF606" s="242"/>
      <c r="AG606" s="242"/>
      <c r="AH606" s="242"/>
      <c r="AI606" s="242"/>
      <c r="AJ606" s="13"/>
      <c r="AK606" s="242"/>
      <c r="AL606" s="242"/>
      <c r="AM606" s="242"/>
      <c r="AN606" s="242"/>
      <c r="AO606" s="242"/>
    </row>
    <row r="607">
      <c r="A607" s="242"/>
      <c r="B607" s="13"/>
      <c r="C607" s="242"/>
      <c r="D607" s="242"/>
      <c r="E607" s="242"/>
      <c r="F607" s="242"/>
      <c r="G607" s="13"/>
      <c r="H607" s="13"/>
      <c r="I607" s="13"/>
      <c r="J607" s="13"/>
      <c r="K607" s="13"/>
      <c r="L607" s="242"/>
      <c r="M607" s="242"/>
      <c r="N607" s="242"/>
      <c r="O607" s="242"/>
      <c r="P607" s="242"/>
      <c r="Q607" s="525"/>
      <c r="R607" s="242"/>
      <c r="S607" s="242"/>
      <c r="T607" s="242"/>
      <c r="U607" s="242"/>
      <c r="V607" s="242"/>
      <c r="W607" s="242"/>
      <c r="X607" s="242"/>
      <c r="Y607" s="242"/>
      <c r="Z607" s="242"/>
      <c r="AA607" s="242"/>
      <c r="AB607" s="242"/>
      <c r="AC607" s="242"/>
      <c r="AD607" s="242"/>
      <c r="AE607" s="242"/>
      <c r="AF607" s="242"/>
      <c r="AG607" s="242"/>
      <c r="AH607" s="242"/>
      <c r="AI607" s="242"/>
      <c r="AJ607" s="13"/>
      <c r="AK607" s="242"/>
      <c r="AL607" s="242"/>
      <c r="AM607" s="242"/>
      <c r="AN607" s="242"/>
      <c r="AO607" s="242"/>
    </row>
    <row r="608">
      <c r="A608" s="242"/>
      <c r="B608" s="13"/>
      <c r="C608" s="242"/>
      <c r="D608" s="242"/>
      <c r="E608" s="242"/>
      <c r="F608" s="242"/>
      <c r="G608" s="13"/>
      <c r="H608" s="13"/>
      <c r="I608" s="13"/>
      <c r="J608" s="13"/>
      <c r="K608" s="13"/>
      <c r="L608" s="242"/>
      <c r="M608" s="242"/>
      <c r="N608" s="242"/>
      <c r="O608" s="242"/>
      <c r="P608" s="242"/>
      <c r="Q608" s="525"/>
      <c r="R608" s="242"/>
      <c r="S608" s="242"/>
      <c r="T608" s="242"/>
      <c r="U608" s="242"/>
      <c r="V608" s="242"/>
      <c r="W608" s="242"/>
      <c r="X608" s="242"/>
      <c r="Y608" s="242"/>
      <c r="Z608" s="242"/>
      <c r="AA608" s="242"/>
      <c r="AB608" s="242"/>
      <c r="AC608" s="242"/>
      <c r="AD608" s="242"/>
      <c r="AE608" s="242"/>
      <c r="AF608" s="242"/>
      <c r="AG608" s="242"/>
      <c r="AH608" s="242"/>
      <c r="AI608" s="242"/>
      <c r="AJ608" s="13"/>
      <c r="AK608" s="242"/>
      <c r="AL608" s="242"/>
      <c r="AM608" s="242"/>
      <c r="AN608" s="242"/>
      <c r="AO608" s="242"/>
    </row>
    <row r="609">
      <c r="A609" s="242"/>
      <c r="B609" s="13"/>
      <c r="C609" s="242"/>
      <c r="D609" s="242"/>
      <c r="E609" s="242"/>
      <c r="F609" s="242"/>
      <c r="G609" s="13"/>
      <c r="H609" s="13"/>
      <c r="I609" s="13"/>
      <c r="J609" s="13"/>
      <c r="K609" s="13"/>
      <c r="L609" s="242"/>
      <c r="M609" s="242"/>
      <c r="N609" s="242"/>
      <c r="O609" s="242"/>
      <c r="P609" s="242"/>
      <c r="Q609" s="525"/>
      <c r="R609" s="242"/>
      <c r="S609" s="242"/>
      <c r="T609" s="242"/>
      <c r="U609" s="242"/>
      <c r="V609" s="242"/>
      <c r="W609" s="242"/>
      <c r="X609" s="242"/>
      <c r="Y609" s="242"/>
      <c r="Z609" s="242"/>
      <c r="AA609" s="242"/>
      <c r="AB609" s="242"/>
      <c r="AC609" s="242"/>
      <c r="AD609" s="242"/>
      <c r="AE609" s="242"/>
      <c r="AF609" s="242"/>
      <c r="AG609" s="242"/>
      <c r="AH609" s="242"/>
      <c r="AI609" s="242"/>
      <c r="AJ609" s="13"/>
      <c r="AK609" s="242"/>
      <c r="AL609" s="242"/>
      <c r="AM609" s="242"/>
      <c r="AN609" s="242"/>
      <c r="AO609" s="242"/>
    </row>
    <row r="610">
      <c r="A610" s="242"/>
      <c r="B610" s="13"/>
      <c r="C610" s="242"/>
      <c r="D610" s="242"/>
      <c r="E610" s="242"/>
      <c r="F610" s="242"/>
      <c r="G610" s="13"/>
      <c r="H610" s="13"/>
      <c r="I610" s="13"/>
      <c r="J610" s="13"/>
      <c r="K610" s="13"/>
      <c r="L610" s="242"/>
      <c r="M610" s="242"/>
      <c r="N610" s="242"/>
      <c r="O610" s="242"/>
      <c r="P610" s="242"/>
      <c r="Q610" s="525"/>
      <c r="R610" s="242"/>
      <c r="S610" s="242"/>
      <c r="T610" s="242"/>
      <c r="U610" s="242"/>
      <c r="V610" s="242"/>
      <c r="W610" s="242"/>
      <c r="X610" s="242"/>
      <c r="Y610" s="242"/>
      <c r="Z610" s="242"/>
      <c r="AA610" s="242"/>
      <c r="AB610" s="242"/>
      <c r="AC610" s="242"/>
      <c r="AD610" s="242"/>
      <c r="AE610" s="242"/>
      <c r="AF610" s="242"/>
      <c r="AG610" s="242"/>
      <c r="AH610" s="242"/>
      <c r="AI610" s="242"/>
      <c r="AJ610" s="13"/>
      <c r="AK610" s="242"/>
      <c r="AL610" s="242"/>
      <c r="AM610" s="242"/>
      <c r="AN610" s="242"/>
      <c r="AO610" s="242"/>
    </row>
    <row r="611">
      <c r="A611" s="242"/>
      <c r="B611" s="13"/>
      <c r="C611" s="242"/>
      <c r="D611" s="242"/>
      <c r="E611" s="242"/>
      <c r="F611" s="242"/>
      <c r="G611" s="13"/>
      <c r="H611" s="13"/>
      <c r="I611" s="13"/>
      <c r="J611" s="13"/>
      <c r="K611" s="13"/>
      <c r="L611" s="242"/>
      <c r="M611" s="242"/>
      <c r="N611" s="242"/>
      <c r="O611" s="242"/>
      <c r="P611" s="242"/>
      <c r="Q611" s="525"/>
      <c r="R611" s="242"/>
      <c r="S611" s="242"/>
      <c r="T611" s="242"/>
      <c r="U611" s="242"/>
      <c r="V611" s="242"/>
      <c r="W611" s="242"/>
      <c r="X611" s="242"/>
      <c r="Y611" s="242"/>
      <c r="Z611" s="242"/>
      <c r="AA611" s="242"/>
      <c r="AB611" s="242"/>
      <c r="AC611" s="242"/>
      <c r="AD611" s="242"/>
      <c r="AE611" s="242"/>
      <c r="AF611" s="242"/>
      <c r="AG611" s="242"/>
      <c r="AH611" s="242"/>
      <c r="AI611" s="242"/>
      <c r="AJ611" s="13"/>
      <c r="AK611" s="242"/>
      <c r="AL611" s="242"/>
      <c r="AM611" s="242"/>
      <c r="AN611" s="242"/>
      <c r="AO611" s="242"/>
    </row>
    <row r="612">
      <c r="A612" s="242"/>
      <c r="B612" s="13"/>
      <c r="C612" s="242"/>
      <c r="D612" s="242"/>
      <c r="E612" s="242"/>
      <c r="F612" s="242"/>
      <c r="G612" s="13"/>
      <c r="H612" s="13"/>
      <c r="I612" s="13"/>
      <c r="J612" s="13"/>
      <c r="K612" s="13"/>
      <c r="L612" s="242"/>
      <c r="M612" s="242"/>
      <c r="N612" s="242"/>
      <c r="O612" s="242"/>
      <c r="P612" s="242"/>
      <c r="Q612" s="525"/>
      <c r="R612" s="242"/>
      <c r="S612" s="242"/>
      <c r="T612" s="242"/>
      <c r="U612" s="242"/>
      <c r="V612" s="242"/>
      <c r="W612" s="242"/>
      <c r="X612" s="242"/>
      <c r="Y612" s="242"/>
      <c r="Z612" s="242"/>
      <c r="AA612" s="242"/>
      <c r="AB612" s="242"/>
      <c r="AC612" s="242"/>
      <c r="AD612" s="242"/>
      <c r="AE612" s="242"/>
      <c r="AF612" s="242"/>
      <c r="AG612" s="242"/>
      <c r="AH612" s="242"/>
      <c r="AI612" s="242"/>
      <c r="AJ612" s="13"/>
      <c r="AK612" s="242"/>
      <c r="AL612" s="242"/>
      <c r="AM612" s="242"/>
      <c r="AN612" s="242"/>
      <c r="AO612" s="242"/>
    </row>
    <row r="613">
      <c r="A613" s="242"/>
      <c r="B613" s="13"/>
      <c r="C613" s="242"/>
      <c r="D613" s="242"/>
      <c r="E613" s="242"/>
      <c r="F613" s="242"/>
      <c r="G613" s="13"/>
      <c r="H613" s="13"/>
      <c r="I613" s="13"/>
      <c r="J613" s="13"/>
      <c r="K613" s="13"/>
      <c r="L613" s="242"/>
      <c r="M613" s="242"/>
      <c r="N613" s="242"/>
      <c r="O613" s="242"/>
      <c r="P613" s="242"/>
      <c r="Q613" s="525"/>
      <c r="R613" s="242"/>
      <c r="S613" s="242"/>
      <c r="T613" s="242"/>
      <c r="U613" s="242"/>
      <c r="V613" s="242"/>
      <c r="W613" s="242"/>
      <c r="X613" s="242"/>
      <c r="Y613" s="242"/>
      <c r="Z613" s="242"/>
      <c r="AA613" s="242"/>
      <c r="AB613" s="242"/>
      <c r="AC613" s="242"/>
      <c r="AD613" s="242"/>
      <c r="AE613" s="242"/>
      <c r="AF613" s="242"/>
      <c r="AG613" s="242"/>
      <c r="AH613" s="242"/>
      <c r="AI613" s="242"/>
      <c r="AJ613" s="13"/>
      <c r="AK613" s="242"/>
      <c r="AL613" s="242"/>
      <c r="AM613" s="242"/>
      <c r="AN613" s="242"/>
      <c r="AO613" s="242"/>
    </row>
    <row r="614">
      <c r="A614" s="242"/>
      <c r="B614" s="13"/>
      <c r="C614" s="242"/>
      <c r="D614" s="242"/>
      <c r="E614" s="242"/>
      <c r="F614" s="242"/>
      <c r="G614" s="13"/>
      <c r="H614" s="13"/>
      <c r="I614" s="13"/>
      <c r="J614" s="13"/>
      <c r="K614" s="13"/>
      <c r="L614" s="242"/>
      <c r="M614" s="242"/>
      <c r="N614" s="242"/>
      <c r="O614" s="242"/>
      <c r="P614" s="242"/>
      <c r="Q614" s="525"/>
      <c r="R614" s="242"/>
      <c r="S614" s="242"/>
      <c r="T614" s="242"/>
      <c r="U614" s="242"/>
      <c r="V614" s="242"/>
      <c r="W614" s="242"/>
      <c r="X614" s="242"/>
      <c r="Y614" s="242"/>
      <c r="Z614" s="242"/>
      <c r="AA614" s="242"/>
      <c r="AB614" s="242"/>
      <c r="AC614" s="242"/>
      <c r="AD614" s="242"/>
      <c r="AE614" s="242"/>
      <c r="AF614" s="242"/>
      <c r="AG614" s="242"/>
      <c r="AH614" s="242"/>
      <c r="AI614" s="242"/>
      <c r="AJ614" s="13"/>
      <c r="AK614" s="242"/>
      <c r="AL614" s="242"/>
      <c r="AM614" s="242"/>
      <c r="AN614" s="242"/>
      <c r="AO614" s="242"/>
    </row>
    <row r="615">
      <c r="A615" s="242"/>
      <c r="B615" s="13"/>
      <c r="C615" s="242"/>
      <c r="D615" s="242"/>
      <c r="E615" s="242"/>
      <c r="F615" s="242"/>
      <c r="G615" s="13"/>
      <c r="H615" s="13"/>
      <c r="I615" s="13"/>
      <c r="J615" s="13"/>
      <c r="K615" s="13"/>
      <c r="L615" s="242"/>
      <c r="M615" s="242"/>
      <c r="N615" s="242"/>
      <c r="O615" s="242"/>
      <c r="P615" s="242"/>
      <c r="Q615" s="525"/>
      <c r="R615" s="242"/>
      <c r="S615" s="242"/>
      <c r="T615" s="242"/>
      <c r="U615" s="242"/>
      <c r="V615" s="242"/>
      <c r="W615" s="242"/>
      <c r="X615" s="242"/>
      <c r="Y615" s="242"/>
      <c r="Z615" s="242"/>
      <c r="AA615" s="242"/>
      <c r="AB615" s="242"/>
      <c r="AC615" s="242"/>
      <c r="AD615" s="242"/>
      <c r="AE615" s="242"/>
      <c r="AF615" s="242"/>
      <c r="AG615" s="242"/>
      <c r="AH615" s="242"/>
      <c r="AI615" s="242"/>
      <c r="AJ615" s="13"/>
      <c r="AK615" s="242"/>
      <c r="AL615" s="242"/>
      <c r="AM615" s="242"/>
      <c r="AN615" s="242"/>
      <c r="AO615" s="242"/>
    </row>
    <row r="616">
      <c r="A616" s="242"/>
      <c r="B616" s="13"/>
      <c r="C616" s="242"/>
      <c r="D616" s="242"/>
      <c r="E616" s="242"/>
      <c r="F616" s="242"/>
      <c r="G616" s="13"/>
      <c r="H616" s="13"/>
      <c r="I616" s="13"/>
      <c r="J616" s="13"/>
      <c r="K616" s="13"/>
      <c r="L616" s="242"/>
      <c r="M616" s="242"/>
      <c r="N616" s="242"/>
      <c r="O616" s="242"/>
      <c r="P616" s="242"/>
      <c r="Q616" s="525"/>
      <c r="R616" s="242"/>
      <c r="S616" s="242"/>
      <c r="T616" s="242"/>
      <c r="U616" s="242"/>
      <c r="V616" s="242"/>
      <c r="W616" s="242"/>
      <c r="X616" s="242"/>
      <c r="Y616" s="242"/>
      <c r="Z616" s="242"/>
      <c r="AA616" s="242"/>
      <c r="AB616" s="242"/>
      <c r="AC616" s="242"/>
      <c r="AD616" s="242"/>
      <c r="AE616" s="242"/>
      <c r="AF616" s="242"/>
      <c r="AG616" s="242"/>
      <c r="AH616" s="242"/>
      <c r="AI616" s="242"/>
      <c r="AJ616" s="13"/>
      <c r="AK616" s="242"/>
      <c r="AL616" s="242"/>
      <c r="AM616" s="242"/>
      <c r="AN616" s="242"/>
      <c r="AO616" s="242"/>
    </row>
    <row r="617">
      <c r="A617" s="242"/>
      <c r="B617" s="13"/>
      <c r="C617" s="242"/>
      <c r="D617" s="242"/>
      <c r="E617" s="242"/>
      <c r="F617" s="242"/>
      <c r="G617" s="13"/>
      <c r="H617" s="13"/>
      <c r="I617" s="13"/>
      <c r="J617" s="13"/>
      <c r="K617" s="13"/>
      <c r="L617" s="242"/>
      <c r="M617" s="242"/>
      <c r="N617" s="242"/>
      <c r="O617" s="242"/>
      <c r="P617" s="242"/>
      <c r="Q617" s="525"/>
      <c r="R617" s="242"/>
      <c r="S617" s="242"/>
      <c r="T617" s="242"/>
      <c r="U617" s="242"/>
      <c r="V617" s="242"/>
      <c r="W617" s="242"/>
      <c r="X617" s="242"/>
      <c r="Y617" s="242"/>
      <c r="Z617" s="242"/>
      <c r="AA617" s="242"/>
      <c r="AB617" s="242"/>
      <c r="AC617" s="242"/>
      <c r="AD617" s="242"/>
      <c r="AE617" s="242"/>
      <c r="AF617" s="242"/>
      <c r="AG617" s="242"/>
      <c r="AH617" s="242"/>
      <c r="AI617" s="242"/>
      <c r="AJ617" s="13"/>
      <c r="AK617" s="242"/>
      <c r="AL617" s="242"/>
      <c r="AM617" s="242"/>
      <c r="AN617" s="242"/>
      <c r="AO617" s="242"/>
    </row>
    <row r="618">
      <c r="A618" s="242"/>
      <c r="B618" s="13"/>
      <c r="C618" s="242"/>
      <c r="D618" s="242"/>
      <c r="E618" s="242"/>
      <c r="F618" s="242"/>
      <c r="G618" s="13"/>
      <c r="H618" s="13"/>
      <c r="I618" s="13"/>
      <c r="J618" s="13"/>
      <c r="K618" s="13"/>
      <c r="L618" s="242"/>
      <c r="M618" s="242"/>
      <c r="N618" s="242"/>
      <c r="O618" s="242"/>
      <c r="P618" s="242"/>
      <c r="Q618" s="525"/>
      <c r="R618" s="242"/>
      <c r="S618" s="242"/>
      <c r="T618" s="242"/>
      <c r="U618" s="242"/>
      <c r="V618" s="242"/>
      <c r="W618" s="242"/>
      <c r="X618" s="242"/>
      <c r="Y618" s="242"/>
      <c r="Z618" s="242"/>
      <c r="AA618" s="242"/>
      <c r="AB618" s="242"/>
      <c r="AC618" s="242"/>
      <c r="AD618" s="242"/>
      <c r="AE618" s="242"/>
      <c r="AF618" s="242"/>
      <c r="AG618" s="242"/>
      <c r="AH618" s="242"/>
      <c r="AI618" s="242"/>
      <c r="AJ618" s="13"/>
      <c r="AK618" s="242"/>
      <c r="AL618" s="242"/>
      <c r="AM618" s="242"/>
      <c r="AN618" s="242"/>
      <c r="AO618" s="242"/>
    </row>
    <row r="619">
      <c r="A619" s="242"/>
      <c r="B619" s="13"/>
      <c r="C619" s="242"/>
      <c r="D619" s="242"/>
      <c r="E619" s="242"/>
      <c r="F619" s="242"/>
      <c r="G619" s="13"/>
      <c r="H619" s="13"/>
      <c r="I619" s="13"/>
      <c r="J619" s="13"/>
      <c r="K619" s="13"/>
      <c r="L619" s="242"/>
      <c r="M619" s="242"/>
      <c r="N619" s="242"/>
      <c r="O619" s="242"/>
      <c r="P619" s="242"/>
      <c r="Q619" s="525"/>
      <c r="R619" s="242"/>
      <c r="S619" s="242"/>
      <c r="T619" s="242"/>
      <c r="U619" s="242"/>
      <c r="V619" s="242"/>
      <c r="W619" s="242"/>
      <c r="X619" s="242"/>
      <c r="Y619" s="242"/>
      <c r="Z619" s="242"/>
      <c r="AA619" s="242"/>
      <c r="AB619" s="242"/>
      <c r="AC619" s="242"/>
      <c r="AD619" s="242"/>
      <c r="AE619" s="242"/>
      <c r="AF619" s="242"/>
      <c r="AG619" s="242"/>
      <c r="AH619" s="242"/>
      <c r="AI619" s="242"/>
      <c r="AJ619" s="13"/>
      <c r="AK619" s="242"/>
      <c r="AL619" s="242"/>
      <c r="AM619" s="242"/>
      <c r="AN619" s="242"/>
      <c r="AO619" s="242"/>
    </row>
    <row r="620">
      <c r="A620" s="242"/>
      <c r="B620" s="13"/>
      <c r="C620" s="242"/>
      <c r="D620" s="242"/>
      <c r="E620" s="242"/>
      <c r="F620" s="242"/>
      <c r="G620" s="13"/>
      <c r="H620" s="13"/>
      <c r="I620" s="13"/>
      <c r="J620" s="13"/>
      <c r="K620" s="13"/>
      <c r="L620" s="242"/>
      <c r="M620" s="242"/>
      <c r="N620" s="242"/>
      <c r="O620" s="242"/>
      <c r="P620" s="242"/>
      <c r="Q620" s="525"/>
      <c r="R620" s="242"/>
      <c r="S620" s="242"/>
      <c r="T620" s="242"/>
      <c r="U620" s="242"/>
      <c r="V620" s="242"/>
      <c r="W620" s="242"/>
      <c r="X620" s="242"/>
      <c r="Y620" s="242"/>
      <c r="Z620" s="242"/>
      <c r="AA620" s="242"/>
      <c r="AB620" s="242"/>
      <c r="AC620" s="242"/>
      <c r="AD620" s="242"/>
      <c r="AE620" s="242"/>
      <c r="AF620" s="242"/>
      <c r="AG620" s="242"/>
      <c r="AH620" s="242"/>
      <c r="AI620" s="242"/>
      <c r="AJ620" s="13"/>
      <c r="AK620" s="242"/>
      <c r="AL620" s="242"/>
      <c r="AM620" s="242"/>
      <c r="AN620" s="242"/>
      <c r="AO620" s="242"/>
    </row>
    <row r="621">
      <c r="A621" s="242"/>
      <c r="B621" s="13"/>
      <c r="C621" s="242"/>
      <c r="D621" s="242"/>
      <c r="E621" s="242"/>
      <c r="F621" s="242"/>
      <c r="G621" s="13"/>
      <c r="H621" s="13"/>
      <c r="I621" s="13"/>
      <c r="J621" s="13"/>
      <c r="K621" s="13"/>
      <c r="L621" s="242"/>
      <c r="M621" s="242"/>
      <c r="N621" s="242"/>
      <c r="O621" s="242"/>
      <c r="P621" s="242"/>
      <c r="Q621" s="525"/>
      <c r="R621" s="242"/>
      <c r="S621" s="242"/>
      <c r="T621" s="242"/>
      <c r="U621" s="242"/>
      <c r="V621" s="242"/>
      <c r="W621" s="242"/>
      <c r="X621" s="242"/>
      <c r="Y621" s="242"/>
      <c r="Z621" s="242"/>
      <c r="AA621" s="242"/>
      <c r="AB621" s="242"/>
      <c r="AC621" s="242"/>
      <c r="AD621" s="242"/>
      <c r="AE621" s="242"/>
      <c r="AF621" s="242"/>
      <c r="AG621" s="242"/>
      <c r="AH621" s="242"/>
      <c r="AI621" s="242"/>
      <c r="AJ621" s="13"/>
      <c r="AK621" s="242"/>
      <c r="AL621" s="242"/>
      <c r="AM621" s="242"/>
      <c r="AN621" s="242"/>
      <c r="AO621" s="242"/>
    </row>
    <row r="622">
      <c r="A622" s="242"/>
      <c r="B622" s="13"/>
      <c r="C622" s="242"/>
      <c r="D622" s="242"/>
      <c r="E622" s="242"/>
      <c r="F622" s="242"/>
      <c r="G622" s="13"/>
      <c r="H622" s="13"/>
      <c r="I622" s="13"/>
      <c r="J622" s="13"/>
      <c r="K622" s="13"/>
      <c r="L622" s="242"/>
      <c r="M622" s="242"/>
      <c r="N622" s="242"/>
      <c r="O622" s="242"/>
      <c r="P622" s="242"/>
      <c r="Q622" s="525"/>
      <c r="R622" s="242"/>
      <c r="S622" s="242"/>
      <c r="T622" s="242"/>
      <c r="U622" s="242"/>
      <c r="V622" s="242"/>
      <c r="W622" s="242"/>
      <c r="X622" s="242"/>
      <c r="Y622" s="242"/>
      <c r="Z622" s="242"/>
      <c r="AA622" s="242"/>
      <c r="AB622" s="242"/>
      <c r="AC622" s="242"/>
      <c r="AD622" s="242"/>
      <c r="AE622" s="242"/>
      <c r="AF622" s="242"/>
      <c r="AG622" s="242"/>
      <c r="AH622" s="242"/>
      <c r="AI622" s="242"/>
      <c r="AJ622" s="13"/>
      <c r="AK622" s="242"/>
      <c r="AL622" s="242"/>
      <c r="AM622" s="242"/>
      <c r="AN622" s="242"/>
      <c r="AO622" s="242"/>
    </row>
    <row r="623">
      <c r="A623" s="242"/>
      <c r="B623" s="13"/>
      <c r="C623" s="242"/>
      <c r="D623" s="242"/>
      <c r="E623" s="242"/>
      <c r="F623" s="242"/>
      <c r="G623" s="13"/>
      <c r="H623" s="13"/>
      <c r="I623" s="13"/>
      <c r="J623" s="13"/>
      <c r="K623" s="13"/>
      <c r="L623" s="242"/>
      <c r="M623" s="242"/>
      <c r="N623" s="242"/>
      <c r="O623" s="242"/>
      <c r="P623" s="242"/>
      <c r="Q623" s="525"/>
      <c r="R623" s="242"/>
      <c r="S623" s="242"/>
      <c r="T623" s="242"/>
      <c r="U623" s="242"/>
      <c r="V623" s="242"/>
      <c r="W623" s="242"/>
      <c r="X623" s="242"/>
      <c r="Y623" s="242"/>
      <c r="Z623" s="242"/>
      <c r="AA623" s="242"/>
      <c r="AB623" s="242"/>
      <c r="AC623" s="242"/>
      <c r="AD623" s="242"/>
      <c r="AE623" s="242"/>
      <c r="AF623" s="242"/>
      <c r="AG623" s="242"/>
      <c r="AH623" s="242"/>
      <c r="AI623" s="242"/>
      <c r="AJ623" s="13"/>
      <c r="AK623" s="242"/>
      <c r="AL623" s="242"/>
      <c r="AM623" s="242"/>
      <c r="AN623" s="242"/>
      <c r="AO623" s="242"/>
    </row>
    <row r="624">
      <c r="A624" s="242"/>
      <c r="B624" s="13"/>
      <c r="C624" s="242"/>
      <c r="D624" s="242"/>
      <c r="E624" s="242"/>
      <c r="F624" s="242"/>
      <c r="G624" s="13"/>
      <c r="H624" s="13"/>
      <c r="I624" s="13"/>
      <c r="J624" s="13"/>
      <c r="K624" s="13"/>
      <c r="L624" s="242"/>
      <c r="M624" s="242"/>
      <c r="N624" s="242"/>
      <c r="O624" s="242"/>
      <c r="P624" s="242"/>
      <c r="Q624" s="525"/>
      <c r="R624" s="242"/>
      <c r="S624" s="242"/>
      <c r="T624" s="242"/>
      <c r="U624" s="242"/>
      <c r="V624" s="242"/>
      <c r="W624" s="242"/>
      <c r="X624" s="242"/>
      <c r="Y624" s="242"/>
      <c r="Z624" s="242"/>
      <c r="AA624" s="242"/>
      <c r="AB624" s="242"/>
      <c r="AC624" s="242"/>
      <c r="AD624" s="242"/>
      <c r="AE624" s="242"/>
      <c r="AF624" s="242"/>
      <c r="AG624" s="242"/>
      <c r="AH624" s="242"/>
      <c r="AI624" s="242"/>
      <c r="AJ624" s="13"/>
      <c r="AK624" s="242"/>
      <c r="AL624" s="242"/>
      <c r="AM624" s="242"/>
      <c r="AN624" s="242"/>
      <c r="AO624" s="242"/>
    </row>
    <row r="625">
      <c r="A625" s="242"/>
      <c r="B625" s="13"/>
      <c r="C625" s="242"/>
      <c r="D625" s="242"/>
      <c r="E625" s="242"/>
      <c r="F625" s="242"/>
      <c r="G625" s="13"/>
      <c r="H625" s="13"/>
      <c r="I625" s="13"/>
      <c r="J625" s="13"/>
      <c r="K625" s="13"/>
      <c r="L625" s="242"/>
      <c r="M625" s="242"/>
      <c r="N625" s="242"/>
      <c r="O625" s="242"/>
      <c r="P625" s="242"/>
      <c r="Q625" s="525"/>
      <c r="R625" s="242"/>
      <c r="S625" s="242"/>
      <c r="T625" s="242"/>
      <c r="U625" s="242"/>
      <c r="V625" s="242"/>
      <c r="W625" s="242"/>
      <c r="X625" s="242"/>
      <c r="Y625" s="242"/>
      <c r="Z625" s="242"/>
      <c r="AA625" s="242"/>
      <c r="AB625" s="242"/>
      <c r="AC625" s="242"/>
      <c r="AD625" s="242"/>
      <c r="AE625" s="242"/>
      <c r="AF625" s="242"/>
      <c r="AG625" s="242"/>
      <c r="AH625" s="242"/>
      <c r="AI625" s="242"/>
      <c r="AJ625" s="13"/>
      <c r="AK625" s="242"/>
      <c r="AL625" s="242"/>
      <c r="AM625" s="242"/>
      <c r="AN625" s="242"/>
      <c r="AO625" s="242"/>
    </row>
    <row r="626">
      <c r="A626" s="242"/>
      <c r="B626" s="13"/>
      <c r="C626" s="242"/>
      <c r="D626" s="242"/>
      <c r="E626" s="242"/>
      <c r="F626" s="242"/>
      <c r="G626" s="13"/>
      <c r="H626" s="13"/>
      <c r="I626" s="13"/>
      <c r="J626" s="13"/>
      <c r="K626" s="13"/>
      <c r="L626" s="242"/>
      <c r="M626" s="242"/>
      <c r="N626" s="242"/>
      <c r="O626" s="242"/>
      <c r="P626" s="242"/>
      <c r="Q626" s="525"/>
      <c r="R626" s="242"/>
      <c r="S626" s="242"/>
      <c r="T626" s="242"/>
      <c r="U626" s="242"/>
      <c r="V626" s="242"/>
      <c r="W626" s="242"/>
      <c r="X626" s="242"/>
      <c r="Y626" s="242"/>
      <c r="Z626" s="242"/>
      <c r="AA626" s="242"/>
      <c r="AB626" s="242"/>
      <c r="AC626" s="242"/>
      <c r="AD626" s="242"/>
      <c r="AE626" s="242"/>
      <c r="AF626" s="242"/>
      <c r="AG626" s="242"/>
      <c r="AH626" s="242"/>
      <c r="AI626" s="242"/>
      <c r="AJ626" s="13"/>
      <c r="AK626" s="242"/>
      <c r="AL626" s="242"/>
      <c r="AM626" s="242"/>
      <c r="AN626" s="242"/>
      <c r="AO626" s="242"/>
    </row>
    <row r="627">
      <c r="A627" s="242"/>
      <c r="B627" s="13"/>
      <c r="C627" s="242"/>
      <c r="D627" s="242"/>
      <c r="E627" s="242"/>
      <c r="F627" s="242"/>
      <c r="G627" s="13"/>
      <c r="H627" s="13"/>
      <c r="I627" s="13"/>
      <c r="J627" s="13"/>
      <c r="K627" s="13"/>
      <c r="L627" s="242"/>
      <c r="M627" s="242"/>
      <c r="N627" s="242"/>
      <c r="O627" s="242"/>
      <c r="P627" s="242"/>
      <c r="Q627" s="525"/>
      <c r="R627" s="242"/>
      <c r="S627" s="242"/>
      <c r="T627" s="242"/>
      <c r="U627" s="242"/>
      <c r="V627" s="242"/>
      <c r="W627" s="242"/>
      <c r="X627" s="242"/>
      <c r="Y627" s="242"/>
      <c r="Z627" s="242"/>
      <c r="AA627" s="242"/>
      <c r="AB627" s="242"/>
      <c r="AC627" s="242"/>
      <c r="AD627" s="242"/>
      <c r="AE627" s="242"/>
      <c r="AF627" s="242"/>
      <c r="AG627" s="242"/>
      <c r="AH627" s="242"/>
      <c r="AI627" s="242"/>
      <c r="AJ627" s="13"/>
      <c r="AK627" s="242"/>
      <c r="AL627" s="242"/>
      <c r="AM627" s="242"/>
      <c r="AN627" s="242"/>
      <c r="AO627" s="242"/>
    </row>
    <row r="628">
      <c r="A628" s="242"/>
      <c r="B628" s="13"/>
      <c r="C628" s="242"/>
      <c r="D628" s="242"/>
      <c r="E628" s="242"/>
      <c r="F628" s="242"/>
      <c r="G628" s="13"/>
      <c r="H628" s="13"/>
      <c r="I628" s="13"/>
      <c r="J628" s="13"/>
      <c r="K628" s="13"/>
      <c r="L628" s="242"/>
      <c r="M628" s="242"/>
      <c r="N628" s="242"/>
      <c r="O628" s="242"/>
      <c r="P628" s="242"/>
      <c r="Q628" s="525"/>
      <c r="R628" s="242"/>
      <c r="S628" s="242"/>
      <c r="T628" s="242"/>
      <c r="U628" s="242"/>
      <c r="V628" s="242"/>
      <c r="W628" s="242"/>
      <c r="X628" s="242"/>
      <c r="Y628" s="242"/>
      <c r="Z628" s="242"/>
      <c r="AA628" s="242"/>
      <c r="AB628" s="242"/>
      <c r="AC628" s="242"/>
      <c r="AD628" s="242"/>
      <c r="AE628" s="242"/>
      <c r="AF628" s="242"/>
      <c r="AG628" s="242"/>
      <c r="AH628" s="242"/>
      <c r="AI628" s="242"/>
      <c r="AJ628" s="13"/>
      <c r="AK628" s="242"/>
      <c r="AL628" s="242"/>
      <c r="AM628" s="242"/>
      <c r="AN628" s="242"/>
      <c r="AO628" s="242"/>
    </row>
    <row r="629">
      <c r="A629" s="242"/>
      <c r="B629" s="13"/>
      <c r="C629" s="242"/>
      <c r="D629" s="242"/>
      <c r="E629" s="242"/>
      <c r="F629" s="242"/>
      <c r="G629" s="13"/>
      <c r="H629" s="13"/>
      <c r="I629" s="13"/>
      <c r="J629" s="13"/>
      <c r="K629" s="13"/>
      <c r="L629" s="242"/>
      <c r="M629" s="242"/>
      <c r="N629" s="242"/>
      <c r="O629" s="242"/>
      <c r="P629" s="242"/>
      <c r="Q629" s="525"/>
      <c r="R629" s="242"/>
      <c r="S629" s="242"/>
      <c r="T629" s="242"/>
      <c r="U629" s="242"/>
      <c r="V629" s="242"/>
      <c r="W629" s="242"/>
      <c r="X629" s="242"/>
      <c r="Y629" s="242"/>
      <c r="Z629" s="242"/>
      <c r="AA629" s="242"/>
      <c r="AB629" s="242"/>
      <c r="AC629" s="242"/>
      <c r="AD629" s="242"/>
      <c r="AE629" s="242"/>
      <c r="AF629" s="242"/>
      <c r="AG629" s="242"/>
      <c r="AH629" s="242"/>
      <c r="AI629" s="242"/>
      <c r="AJ629" s="13"/>
      <c r="AK629" s="242"/>
      <c r="AL629" s="242"/>
      <c r="AM629" s="242"/>
      <c r="AN629" s="242"/>
      <c r="AO629" s="242"/>
    </row>
    <row r="630">
      <c r="A630" s="242"/>
      <c r="B630" s="13"/>
      <c r="C630" s="242"/>
      <c r="D630" s="242"/>
      <c r="E630" s="242"/>
      <c r="F630" s="242"/>
      <c r="G630" s="13"/>
      <c r="H630" s="13"/>
      <c r="I630" s="13"/>
      <c r="J630" s="13"/>
      <c r="K630" s="13"/>
      <c r="L630" s="242"/>
      <c r="M630" s="242"/>
      <c r="N630" s="242"/>
      <c r="O630" s="242"/>
      <c r="P630" s="242"/>
      <c r="Q630" s="525"/>
      <c r="R630" s="242"/>
      <c r="S630" s="242"/>
      <c r="T630" s="242"/>
      <c r="U630" s="242"/>
      <c r="V630" s="242"/>
      <c r="W630" s="242"/>
      <c r="X630" s="242"/>
      <c r="Y630" s="242"/>
      <c r="Z630" s="242"/>
      <c r="AA630" s="242"/>
      <c r="AB630" s="242"/>
      <c r="AC630" s="242"/>
      <c r="AD630" s="242"/>
      <c r="AE630" s="242"/>
      <c r="AF630" s="242"/>
      <c r="AG630" s="242"/>
      <c r="AH630" s="242"/>
      <c r="AI630" s="242"/>
      <c r="AJ630" s="13"/>
      <c r="AK630" s="242"/>
      <c r="AL630" s="242"/>
      <c r="AM630" s="242"/>
      <c r="AN630" s="242"/>
      <c r="AO630" s="242"/>
    </row>
    <row r="631">
      <c r="A631" s="242"/>
      <c r="B631" s="13"/>
      <c r="C631" s="242"/>
      <c r="D631" s="242"/>
      <c r="E631" s="242"/>
      <c r="F631" s="242"/>
      <c r="G631" s="13"/>
      <c r="H631" s="13"/>
      <c r="I631" s="13"/>
      <c r="J631" s="13"/>
      <c r="K631" s="13"/>
      <c r="L631" s="242"/>
      <c r="M631" s="242"/>
      <c r="N631" s="242"/>
      <c r="O631" s="242"/>
      <c r="P631" s="242"/>
      <c r="Q631" s="525"/>
      <c r="R631" s="242"/>
      <c r="S631" s="242"/>
      <c r="T631" s="242"/>
      <c r="U631" s="242"/>
      <c r="V631" s="242"/>
      <c r="W631" s="242"/>
      <c r="X631" s="242"/>
      <c r="Y631" s="242"/>
      <c r="Z631" s="242"/>
      <c r="AA631" s="242"/>
      <c r="AB631" s="242"/>
      <c r="AC631" s="242"/>
      <c r="AD631" s="242"/>
      <c r="AE631" s="242"/>
      <c r="AF631" s="242"/>
      <c r="AG631" s="242"/>
      <c r="AH631" s="242"/>
      <c r="AI631" s="242"/>
      <c r="AJ631" s="13"/>
      <c r="AK631" s="242"/>
      <c r="AL631" s="242"/>
      <c r="AM631" s="242"/>
      <c r="AN631" s="242"/>
      <c r="AO631" s="242"/>
    </row>
    <row r="632">
      <c r="A632" s="242"/>
      <c r="B632" s="13"/>
      <c r="C632" s="242"/>
      <c r="D632" s="242"/>
      <c r="E632" s="242"/>
      <c r="F632" s="242"/>
      <c r="G632" s="13"/>
      <c r="H632" s="13"/>
      <c r="I632" s="13"/>
      <c r="J632" s="13"/>
      <c r="K632" s="13"/>
      <c r="L632" s="242"/>
      <c r="M632" s="242"/>
      <c r="N632" s="242"/>
      <c r="O632" s="242"/>
      <c r="P632" s="242"/>
      <c r="Q632" s="525"/>
      <c r="R632" s="242"/>
      <c r="S632" s="242"/>
      <c r="T632" s="242"/>
      <c r="U632" s="242"/>
      <c r="V632" s="242"/>
      <c r="W632" s="242"/>
      <c r="X632" s="242"/>
      <c r="Y632" s="242"/>
      <c r="Z632" s="242"/>
      <c r="AA632" s="242"/>
      <c r="AB632" s="242"/>
      <c r="AC632" s="242"/>
      <c r="AD632" s="242"/>
      <c r="AE632" s="242"/>
      <c r="AF632" s="242"/>
      <c r="AG632" s="242"/>
      <c r="AH632" s="242"/>
      <c r="AI632" s="242"/>
      <c r="AJ632" s="13"/>
      <c r="AK632" s="242"/>
      <c r="AL632" s="242"/>
      <c r="AM632" s="242"/>
      <c r="AN632" s="242"/>
      <c r="AO632" s="242"/>
    </row>
    <row r="633">
      <c r="A633" s="242"/>
      <c r="B633" s="13"/>
      <c r="C633" s="242"/>
      <c r="D633" s="242"/>
      <c r="E633" s="242"/>
      <c r="F633" s="242"/>
      <c r="G633" s="13"/>
      <c r="H633" s="13"/>
      <c r="I633" s="13"/>
      <c r="J633" s="13"/>
      <c r="K633" s="13"/>
      <c r="L633" s="242"/>
      <c r="M633" s="242"/>
      <c r="N633" s="242"/>
      <c r="O633" s="242"/>
      <c r="P633" s="242"/>
      <c r="Q633" s="525"/>
      <c r="R633" s="242"/>
      <c r="S633" s="242"/>
      <c r="T633" s="242"/>
      <c r="U633" s="242"/>
      <c r="V633" s="242"/>
      <c r="W633" s="242"/>
      <c r="X633" s="242"/>
      <c r="Y633" s="242"/>
      <c r="Z633" s="242"/>
      <c r="AA633" s="242"/>
      <c r="AB633" s="242"/>
      <c r="AC633" s="242"/>
      <c r="AD633" s="242"/>
      <c r="AE633" s="242"/>
      <c r="AF633" s="242"/>
      <c r="AG633" s="242"/>
      <c r="AH633" s="242"/>
      <c r="AI633" s="242"/>
      <c r="AJ633" s="13"/>
      <c r="AK633" s="242"/>
      <c r="AL633" s="242"/>
      <c r="AM633" s="242"/>
      <c r="AN633" s="242"/>
      <c r="AO633" s="242"/>
    </row>
    <row r="634">
      <c r="A634" s="242"/>
      <c r="B634" s="13"/>
      <c r="C634" s="242"/>
      <c r="D634" s="242"/>
      <c r="E634" s="242"/>
      <c r="F634" s="242"/>
      <c r="G634" s="13"/>
      <c r="H634" s="13"/>
      <c r="I634" s="13"/>
      <c r="J634" s="13"/>
      <c r="K634" s="13"/>
      <c r="L634" s="242"/>
      <c r="M634" s="242"/>
      <c r="N634" s="242"/>
      <c r="O634" s="242"/>
      <c r="P634" s="242"/>
      <c r="Q634" s="525"/>
      <c r="R634" s="242"/>
      <c r="S634" s="242"/>
      <c r="T634" s="242"/>
      <c r="U634" s="242"/>
      <c r="V634" s="242"/>
      <c r="W634" s="242"/>
      <c r="X634" s="242"/>
      <c r="Y634" s="242"/>
      <c r="Z634" s="242"/>
      <c r="AA634" s="242"/>
      <c r="AB634" s="242"/>
      <c r="AC634" s="242"/>
      <c r="AD634" s="242"/>
      <c r="AE634" s="242"/>
      <c r="AF634" s="242"/>
      <c r="AG634" s="242"/>
      <c r="AH634" s="242"/>
      <c r="AI634" s="242"/>
      <c r="AJ634" s="13"/>
      <c r="AK634" s="242"/>
      <c r="AL634" s="242"/>
      <c r="AM634" s="242"/>
      <c r="AN634" s="242"/>
      <c r="AO634" s="242"/>
    </row>
    <row r="635">
      <c r="A635" s="242"/>
      <c r="B635" s="13"/>
      <c r="C635" s="242"/>
      <c r="D635" s="242"/>
      <c r="E635" s="242"/>
      <c r="F635" s="242"/>
      <c r="G635" s="13"/>
      <c r="H635" s="13"/>
      <c r="I635" s="13"/>
      <c r="J635" s="13"/>
      <c r="K635" s="13"/>
      <c r="L635" s="242"/>
      <c r="M635" s="242"/>
      <c r="N635" s="242"/>
      <c r="O635" s="242"/>
      <c r="P635" s="242"/>
      <c r="Q635" s="525"/>
      <c r="R635" s="242"/>
      <c r="S635" s="242"/>
      <c r="T635" s="242"/>
      <c r="U635" s="242"/>
      <c r="V635" s="242"/>
      <c r="W635" s="242"/>
      <c r="X635" s="242"/>
      <c r="Y635" s="242"/>
      <c r="Z635" s="242"/>
      <c r="AA635" s="242"/>
      <c r="AB635" s="242"/>
      <c r="AC635" s="242"/>
      <c r="AD635" s="242"/>
      <c r="AE635" s="242"/>
      <c r="AF635" s="242"/>
      <c r="AG635" s="242"/>
      <c r="AH635" s="242"/>
      <c r="AI635" s="242"/>
      <c r="AJ635" s="13"/>
      <c r="AK635" s="242"/>
      <c r="AL635" s="242"/>
      <c r="AM635" s="242"/>
      <c r="AN635" s="242"/>
      <c r="AO635" s="242"/>
    </row>
    <row r="636">
      <c r="A636" s="242"/>
      <c r="B636" s="13"/>
      <c r="C636" s="242"/>
      <c r="D636" s="242"/>
      <c r="E636" s="242"/>
      <c r="F636" s="242"/>
      <c r="G636" s="13"/>
      <c r="H636" s="13"/>
      <c r="I636" s="13"/>
      <c r="J636" s="13"/>
      <c r="K636" s="13"/>
      <c r="L636" s="242"/>
      <c r="M636" s="242"/>
      <c r="N636" s="242"/>
      <c r="O636" s="242"/>
      <c r="P636" s="242"/>
      <c r="Q636" s="525"/>
      <c r="R636" s="242"/>
      <c r="S636" s="242"/>
      <c r="T636" s="242"/>
      <c r="U636" s="242"/>
      <c r="V636" s="242"/>
      <c r="W636" s="242"/>
      <c r="X636" s="242"/>
      <c r="Y636" s="242"/>
      <c r="Z636" s="242"/>
      <c r="AA636" s="242"/>
      <c r="AB636" s="242"/>
      <c r="AC636" s="242"/>
      <c r="AD636" s="242"/>
      <c r="AE636" s="242"/>
      <c r="AF636" s="242"/>
      <c r="AG636" s="242"/>
      <c r="AH636" s="242"/>
      <c r="AI636" s="242"/>
      <c r="AJ636" s="13"/>
      <c r="AK636" s="242"/>
      <c r="AL636" s="242"/>
      <c r="AM636" s="242"/>
      <c r="AN636" s="242"/>
      <c r="AO636" s="242"/>
    </row>
    <row r="637">
      <c r="A637" s="242"/>
      <c r="B637" s="13"/>
      <c r="C637" s="242"/>
      <c r="D637" s="242"/>
      <c r="E637" s="242"/>
      <c r="F637" s="242"/>
      <c r="G637" s="13"/>
      <c r="H637" s="13"/>
      <c r="I637" s="13"/>
      <c r="J637" s="13"/>
      <c r="K637" s="13"/>
      <c r="L637" s="242"/>
      <c r="M637" s="242"/>
      <c r="N637" s="242"/>
      <c r="O637" s="242"/>
      <c r="P637" s="242"/>
      <c r="Q637" s="525"/>
      <c r="R637" s="242"/>
      <c r="S637" s="242"/>
      <c r="T637" s="242"/>
      <c r="U637" s="242"/>
      <c r="V637" s="242"/>
      <c r="W637" s="242"/>
      <c r="X637" s="242"/>
      <c r="Y637" s="242"/>
      <c r="Z637" s="242"/>
      <c r="AA637" s="242"/>
      <c r="AB637" s="242"/>
      <c r="AC637" s="242"/>
      <c r="AD637" s="242"/>
      <c r="AE637" s="242"/>
      <c r="AF637" s="242"/>
      <c r="AG637" s="242"/>
      <c r="AH637" s="242"/>
      <c r="AI637" s="242"/>
      <c r="AJ637" s="13"/>
      <c r="AK637" s="242"/>
      <c r="AL637" s="242"/>
      <c r="AM637" s="242"/>
      <c r="AN637" s="242"/>
      <c r="AO637" s="242"/>
    </row>
    <row r="638">
      <c r="A638" s="242"/>
      <c r="B638" s="13"/>
      <c r="C638" s="242"/>
      <c r="D638" s="242"/>
      <c r="E638" s="242"/>
      <c r="F638" s="242"/>
      <c r="G638" s="13"/>
      <c r="H638" s="13"/>
      <c r="I638" s="13"/>
      <c r="J638" s="13"/>
      <c r="K638" s="13"/>
      <c r="L638" s="242"/>
      <c r="M638" s="242"/>
      <c r="N638" s="242"/>
      <c r="O638" s="242"/>
      <c r="P638" s="242"/>
      <c r="Q638" s="525"/>
      <c r="R638" s="242"/>
      <c r="S638" s="242"/>
      <c r="T638" s="242"/>
      <c r="U638" s="242"/>
      <c r="V638" s="242"/>
      <c r="W638" s="242"/>
      <c r="X638" s="242"/>
      <c r="Y638" s="242"/>
      <c r="Z638" s="242"/>
      <c r="AA638" s="242"/>
      <c r="AB638" s="242"/>
      <c r="AC638" s="242"/>
      <c r="AD638" s="242"/>
      <c r="AE638" s="242"/>
      <c r="AF638" s="242"/>
      <c r="AG638" s="242"/>
      <c r="AH638" s="242"/>
      <c r="AI638" s="242"/>
      <c r="AJ638" s="13"/>
      <c r="AK638" s="242"/>
      <c r="AL638" s="242"/>
      <c r="AM638" s="242"/>
      <c r="AN638" s="242"/>
      <c r="AO638" s="242"/>
    </row>
    <row r="639">
      <c r="A639" s="242"/>
      <c r="B639" s="13"/>
      <c r="C639" s="242"/>
      <c r="D639" s="242"/>
      <c r="E639" s="242"/>
      <c r="F639" s="242"/>
      <c r="G639" s="13"/>
      <c r="H639" s="13"/>
      <c r="I639" s="13"/>
      <c r="J639" s="13"/>
      <c r="K639" s="13"/>
      <c r="L639" s="242"/>
      <c r="M639" s="242"/>
      <c r="N639" s="242"/>
      <c r="O639" s="242"/>
      <c r="P639" s="242"/>
      <c r="Q639" s="525"/>
      <c r="R639" s="242"/>
      <c r="S639" s="242"/>
      <c r="T639" s="242"/>
      <c r="U639" s="242"/>
      <c r="V639" s="242"/>
      <c r="W639" s="242"/>
      <c r="X639" s="242"/>
      <c r="Y639" s="242"/>
      <c r="Z639" s="242"/>
      <c r="AA639" s="242"/>
      <c r="AB639" s="242"/>
      <c r="AC639" s="242"/>
      <c r="AD639" s="242"/>
      <c r="AE639" s="242"/>
      <c r="AF639" s="242"/>
      <c r="AG639" s="242"/>
      <c r="AH639" s="242"/>
      <c r="AI639" s="242"/>
      <c r="AJ639" s="13"/>
      <c r="AK639" s="242"/>
      <c r="AL639" s="242"/>
      <c r="AM639" s="242"/>
      <c r="AN639" s="242"/>
      <c r="AO639" s="242"/>
    </row>
    <row r="640">
      <c r="A640" s="242"/>
      <c r="B640" s="13"/>
      <c r="C640" s="242"/>
      <c r="D640" s="242"/>
      <c r="E640" s="242"/>
      <c r="F640" s="242"/>
      <c r="G640" s="13"/>
      <c r="H640" s="13"/>
      <c r="I640" s="13"/>
      <c r="J640" s="13"/>
      <c r="K640" s="13"/>
      <c r="L640" s="242"/>
      <c r="M640" s="242"/>
      <c r="N640" s="242"/>
      <c r="O640" s="242"/>
      <c r="P640" s="242"/>
      <c r="Q640" s="525"/>
      <c r="R640" s="242"/>
      <c r="S640" s="242"/>
      <c r="T640" s="242"/>
      <c r="U640" s="242"/>
      <c r="V640" s="242"/>
      <c r="W640" s="242"/>
      <c r="X640" s="242"/>
      <c r="Y640" s="242"/>
      <c r="Z640" s="242"/>
      <c r="AA640" s="242"/>
      <c r="AB640" s="242"/>
      <c r="AC640" s="242"/>
      <c r="AD640" s="242"/>
      <c r="AE640" s="242"/>
      <c r="AF640" s="242"/>
      <c r="AG640" s="242"/>
      <c r="AH640" s="242"/>
      <c r="AI640" s="242"/>
      <c r="AJ640" s="13"/>
      <c r="AK640" s="242"/>
      <c r="AL640" s="242"/>
      <c r="AM640" s="242"/>
      <c r="AN640" s="242"/>
      <c r="AO640" s="242"/>
    </row>
    <row r="641">
      <c r="A641" s="242"/>
      <c r="B641" s="13"/>
      <c r="C641" s="242"/>
      <c r="D641" s="242"/>
      <c r="E641" s="242"/>
      <c r="F641" s="242"/>
      <c r="G641" s="13"/>
      <c r="H641" s="13"/>
      <c r="I641" s="13"/>
      <c r="J641" s="13"/>
      <c r="K641" s="13"/>
      <c r="L641" s="242"/>
      <c r="M641" s="242"/>
      <c r="N641" s="242"/>
      <c r="O641" s="242"/>
      <c r="P641" s="242"/>
      <c r="Q641" s="525"/>
      <c r="R641" s="242"/>
      <c r="S641" s="242"/>
      <c r="T641" s="242"/>
      <c r="U641" s="242"/>
      <c r="V641" s="242"/>
      <c r="W641" s="242"/>
      <c r="X641" s="242"/>
      <c r="Y641" s="242"/>
      <c r="Z641" s="242"/>
      <c r="AA641" s="242"/>
      <c r="AB641" s="242"/>
      <c r="AC641" s="242"/>
      <c r="AD641" s="242"/>
      <c r="AE641" s="242"/>
      <c r="AF641" s="242"/>
      <c r="AG641" s="242"/>
      <c r="AH641" s="242"/>
      <c r="AI641" s="242"/>
      <c r="AJ641" s="13"/>
      <c r="AK641" s="242"/>
      <c r="AL641" s="242"/>
      <c r="AM641" s="242"/>
      <c r="AN641" s="242"/>
      <c r="AO641" s="242"/>
    </row>
    <row r="642">
      <c r="A642" s="242"/>
      <c r="B642" s="13"/>
      <c r="C642" s="242"/>
      <c r="D642" s="242"/>
      <c r="E642" s="242"/>
      <c r="F642" s="242"/>
      <c r="G642" s="13"/>
      <c r="H642" s="13"/>
      <c r="I642" s="13"/>
      <c r="J642" s="13"/>
      <c r="K642" s="13"/>
      <c r="L642" s="242"/>
      <c r="M642" s="242"/>
      <c r="N642" s="242"/>
      <c r="O642" s="242"/>
      <c r="P642" s="242"/>
      <c r="Q642" s="525"/>
      <c r="R642" s="242"/>
      <c r="S642" s="242"/>
      <c r="T642" s="242"/>
      <c r="U642" s="242"/>
      <c r="V642" s="242"/>
      <c r="W642" s="242"/>
      <c r="X642" s="242"/>
      <c r="Y642" s="242"/>
      <c r="Z642" s="242"/>
      <c r="AA642" s="242"/>
      <c r="AB642" s="242"/>
      <c r="AC642" s="242"/>
      <c r="AD642" s="242"/>
      <c r="AE642" s="242"/>
      <c r="AF642" s="242"/>
      <c r="AG642" s="242"/>
      <c r="AH642" s="242"/>
      <c r="AI642" s="242"/>
      <c r="AJ642" s="13"/>
      <c r="AK642" s="242"/>
      <c r="AL642" s="242"/>
      <c r="AM642" s="242"/>
      <c r="AN642" s="242"/>
      <c r="AO642" s="242"/>
    </row>
    <row r="643">
      <c r="A643" s="242"/>
      <c r="B643" s="13"/>
      <c r="C643" s="242"/>
      <c r="D643" s="242"/>
      <c r="E643" s="242"/>
      <c r="F643" s="242"/>
      <c r="G643" s="13"/>
      <c r="H643" s="13"/>
      <c r="I643" s="13"/>
      <c r="J643" s="13"/>
      <c r="K643" s="13"/>
      <c r="L643" s="242"/>
      <c r="M643" s="242"/>
      <c r="N643" s="242"/>
      <c r="O643" s="242"/>
      <c r="P643" s="242"/>
      <c r="Q643" s="525"/>
      <c r="R643" s="242"/>
      <c r="S643" s="242"/>
      <c r="T643" s="242"/>
      <c r="U643" s="242"/>
      <c r="V643" s="242"/>
      <c r="W643" s="242"/>
      <c r="X643" s="242"/>
      <c r="Y643" s="242"/>
      <c r="Z643" s="242"/>
      <c r="AA643" s="242"/>
      <c r="AB643" s="242"/>
      <c r="AC643" s="242"/>
      <c r="AD643" s="242"/>
      <c r="AE643" s="242"/>
      <c r="AF643" s="242"/>
      <c r="AG643" s="242"/>
      <c r="AH643" s="242"/>
      <c r="AI643" s="242"/>
      <c r="AJ643" s="13"/>
      <c r="AK643" s="242"/>
      <c r="AL643" s="242"/>
      <c r="AM643" s="242"/>
      <c r="AN643" s="242"/>
      <c r="AO643" s="242"/>
    </row>
    <row r="644">
      <c r="A644" s="242"/>
      <c r="B644" s="13"/>
      <c r="C644" s="242"/>
      <c r="D644" s="242"/>
      <c r="E644" s="242"/>
      <c r="F644" s="242"/>
      <c r="G644" s="13"/>
      <c r="H644" s="13"/>
      <c r="I644" s="13"/>
      <c r="J644" s="13"/>
      <c r="K644" s="13"/>
      <c r="L644" s="242"/>
      <c r="M644" s="242"/>
      <c r="N644" s="242"/>
      <c r="O644" s="242"/>
      <c r="P644" s="242"/>
      <c r="Q644" s="525"/>
      <c r="R644" s="242"/>
      <c r="S644" s="242"/>
      <c r="T644" s="242"/>
      <c r="U644" s="242"/>
      <c r="V644" s="242"/>
      <c r="W644" s="242"/>
      <c r="X644" s="242"/>
      <c r="Y644" s="242"/>
      <c r="Z644" s="242"/>
      <c r="AA644" s="242"/>
      <c r="AB644" s="242"/>
      <c r="AC644" s="242"/>
      <c r="AD644" s="242"/>
      <c r="AE644" s="242"/>
      <c r="AF644" s="242"/>
      <c r="AG644" s="242"/>
      <c r="AH644" s="242"/>
      <c r="AI644" s="242"/>
      <c r="AJ644" s="13"/>
      <c r="AK644" s="242"/>
      <c r="AL644" s="242"/>
      <c r="AM644" s="242"/>
      <c r="AN644" s="242"/>
      <c r="AO644" s="242"/>
    </row>
    <row r="645">
      <c r="A645" s="242"/>
      <c r="B645" s="13"/>
      <c r="C645" s="242"/>
      <c r="D645" s="242"/>
      <c r="E645" s="242"/>
      <c r="F645" s="242"/>
      <c r="G645" s="13"/>
      <c r="H645" s="13"/>
      <c r="I645" s="13"/>
      <c r="J645" s="13"/>
      <c r="K645" s="13"/>
      <c r="L645" s="242"/>
      <c r="M645" s="242"/>
      <c r="N645" s="242"/>
      <c r="O645" s="242"/>
      <c r="P645" s="242"/>
      <c r="Q645" s="525"/>
      <c r="R645" s="242"/>
      <c r="S645" s="242"/>
      <c r="T645" s="242"/>
      <c r="U645" s="242"/>
      <c r="V645" s="242"/>
      <c r="W645" s="242"/>
      <c r="X645" s="242"/>
      <c r="Y645" s="242"/>
      <c r="Z645" s="242"/>
      <c r="AA645" s="242"/>
      <c r="AB645" s="242"/>
      <c r="AC645" s="242"/>
      <c r="AD645" s="242"/>
      <c r="AE645" s="242"/>
      <c r="AF645" s="242"/>
      <c r="AG645" s="242"/>
      <c r="AH645" s="242"/>
      <c r="AI645" s="242"/>
      <c r="AJ645" s="13"/>
      <c r="AK645" s="242"/>
      <c r="AL645" s="242"/>
      <c r="AM645" s="242"/>
      <c r="AN645" s="242"/>
      <c r="AO645" s="242"/>
    </row>
    <row r="646">
      <c r="A646" s="242"/>
      <c r="B646" s="13"/>
      <c r="C646" s="242"/>
      <c r="D646" s="242"/>
      <c r="E646" s="242"/>
      <c r="F646" s="242"/>
      <c r="G646" s="13"/>
      <c r="H646" s="13"/>
      <c r="I646" s="13"/>
      <c r="J646" s="13"/>
      <c r="K646" s="13"/>
      <c r="L646" s="242"/>
      <c r="M646" s="242"/>
      <c r="N646" s="242"/>
      <c r="O646" s="242"/>
      <c r="P646" s="242"/>
      <c r="Q646" s="525"/>
      <c r="R646" s="242"/>
      <c r="S646" s="242"/>
      <c r="T646" s="242"/>
      <c r="U646" s="242"/>
      <c r="V646" s="242"/>
      <c r="W646" s="242"/>
      <c r="X646" s="242"/>
      <c r="Y646" s="242"/>
      <c r="Z646" s="242"/>
      <c r="AA646" s="242"/>
      <c r="AB646" s="242"/>
      <c r="AC646" s="242"/>
      <c r="AD646" s="242"/>
      <c r="AE646" s="242"/>
      <c r="AF646" s="242"/>
      <c r="AG646" s="242"/>
      <c r="AH646" s="242"/>
      <c r="AI646" s="242"/>
      <c r="AJ646" s="13"/>
      <c r="AK646" s="242"/>
      <c r="AL646" s="242"/>
      <c r="AM646" s="242"/>
      <c r="AN646" s="242"/>
      <c r="AO646" s="242"/>
    </row>
    <row r="647">
      <c r="A647" s="242"/>
      <c r="B647" s="13"/>
      <c r="C647" s="242"/>
      <c r="D647" s="242"/>
      <c r="E647" s="242"/>
      <c r="F647" s="242"/>
      <c r="G647" s="13"/>
      <c r="H647" s="13"/>
      <c r="I647" s="13"/>
      <c r="J647" s="13"/>
      <c r="K647" s="13"/>
      <c r="L647" s="242"/>
      <c r="M647" s="242"/>
      <c r="N647" s="242"/>
      <c r="O647" s="242"/>
      <c r="P647" s="242"/>
      <c r="Q647" s="525"/>
      <c r="R647" s="242"/>
      <c r="S647" s="242"/>
      <c r="T647" s="242"/>
      <c r="U647" s="242"/>
      <c r="V647" s="242"/>
      <c r="W647" s="242"/>
      <c r="X647" s="242"/>
      <c r="Y647" s="242"/>
      <c r="Z647" s="242"/>
      <c r="AA647" s="242"/>
      <c r="AB647" s="242"/>
      <c r="AC647" s="242"/>
      <c r="AD647" s="242"/>
      <c r="AE647" s="242"/>
      <c r="AF647" s="242"/>
      <c r="AG647" s="242"/>
      <c r="AH647" s="242"/>
      <c r="AI647" s="242"/>
      <c r="AJ647" s="13"/>
      <c r="AK647" s="242"/>
      <c r="AL647" s="242"/>
      <c r="AM647" s="242"/>
      <c r="AN647" s="242"/>
      <c r="AO647" s="242"/>
    </row>
    <row r="648">
      <c r="A648" s="242"/>
      <c r="B648" s="13"/>
      <c r="C648" s="242"/>
      <c r="D648" s="242"/>
      <c r="E648" s="242"/>
      <c r="F648" s="242"/>
      <c r="G648" s="13"/>
      <c r="H648" s="13"/>
      <c r="I648" s="13"/>
      <c r="J648" s="13"/>
      <c r="K648" s="13"/>
      <c r="L648" s="242"/>
      <c r="M648" s="242"/>
      <c r="N648" s="242"/>
      <c r="O648" s="242"/>
      <c r="P648" s="242"/>
      <c r="Q648" s="525"/>
      <c r="R648" s="242"/>
      <c r="S648" s="242"/>
      <c r="T648" s="242"/>
      <c r="U648" s="242"/>
      <c r="V648" s="242"/>
      <c r="W648" s="242"/>
      <c r="X648" s="242"/>
      <c r="Y648" s="242"/>
      <c r="Z648" s="242"/>
      <c r="AA648" s="242"/>
      <c r="AB648" s="242"/>
      <c r="AC648" s="242"/>
      <c r="AD648" s="242"/>
      <c r="AE648" s="242"/>
      <c r="AF648" s="242"/>
      <c r="AG648" s="242"/>
      <c r="AH648" s="242"/>
      <c r="AI648" s="242"/>
      <c r="AJ648" s="13"/>
      <c r="AK648" s="242"/>
      <c r="AL648" s="242"/>
      <c r="AM648" s="242"/>
      <c r="AN648" s="242"/>
      <c r="AO648" s="242"/>
    </row>
    <row r="649">
      <c r="A649" s="242"/>
      <c r="B649" s="13"/>
      <c r="C649" s="242"/>
      <c r="D649" s="242"/>
      <c r="E649" s="242"/>
      <c r="F649" s="242"/>
      <c r="G649" s="13"/>
      <c r="H649" s="13"/>
      <c r="I649" s="13"/>
      <c r="J649" s="13"/>
      <c r="K649" s="13"/>
      <c r="L649" s="242"/>
      <c r="M649" s="242"/>
      <c r="N649" s="242"/>
      <c r="O649" s="242"/>
      <c r="P649" s="242"/>
      <c r="Q649" s="525"/>
      <c r="R649" s="242"/>
      <c r="S649" s="242"/>
      <c r="T649" s="242"/>
      <c r="U649" s="242"/>
      <c r="V649" s="242"/>
      <c r="W649" s="242"/>
      <c r="X649" s="242"/>
      <c r="Y649" s="242"/>
      <c r="Z649" s="242"/>
      <c r="AA649" s="242"/>
      <c r="AB649" s="242"/>
      <c r="AC649" s="242"/>
      <c r="AD649" s="242"/>
      <c r="AE649" s="242"/>
      <c r="AF649" s="242"/>
      <c r="AG649" s="242"/>
      <c r="AH649" s="242"/>
      <c r="AI649" s="242"/>
      <c r="AJ649" s="13"/>
      <c r="AK649" s="242"/>
      <c r="AL649" s="242"/>
      <c r="AM649" s="242"/>
      <c r="AN649" s="242"/>
      <c r="AO649" s="242"/>
    </row>
    <row r="650">
      <c r="A650" s="242"/>
      <c r="B650" s="13"/>
      <c r="C650" s="242"/>
      <c r="D650" s="242"/>
      <c r="E650" s="242"/>
      <c r="F650" s="242"/>
      <c r="G650" s="13"/>
      <c r="H650" s="13"/>
      <c r="I650" s="13"/>
      <c r="J650" s="13"/>
      <c r="K650" s="13"/>
      <c r="L650" s="242"/>
      <c r="M650" s="242"/>
      <c r="N650" s="242"/>
      <c r="O650" s="242"/>
      <c r="P650" s="242"/>
      <c r="Q650" s="525"/>
      <c r="R650" s="242"/>
      <c r="S650" s="242"/>
      <c r="T650" s="242"/>
      <c r="U650" s="242"/>
      <c r="V650" s="242"/>
      <c r="W650" s="242"/>
      <c r="X650" s="242"/>
      <c r="Y650" s="242"/>
      <c r="Z650" s="242"/>
      <c r="AA650" s="242"/>
      <c r="AB650" s="242"/>
      <c r="AC650" s="242"/>
      <c r="AD650" s="242"/>
      <c r="AE650" s="242"/>
      <c r="AF650" s="242"/>
      <c r="AG650" s="242"/>
      <c r="AH650" s="242"/>
      <c r="AI650" s="242"/>
      <c r="AJ650" s="13"/>
      <c r="AK650" s="242"/>
      <c r="AL650" s="242"/>
      <c r="AM650" s="242"/>
      <c r="AN650" s="242"/>
      <c r="AO650" s="242"/>
    </row>
    <row r="651">
      <c r="A651" s="242"/>
      <c r="B651" s="13"/>
      <c r="C651" s="242"/>
      <c r="D651" s="242"/>
      <c r="E651" s="242"/>
      <c r="F651" s="242"/>
      <c r="G651" s="13"/>
      <c r="H651" s="13"/>
      <c r="I651" s="13"/>
      <c r="J651" s="13"/>
      <c r="K651" s="13"/>
      <c r="L651" s="242"/>
      <c r="M651" s="242"/>
      <c r="N651" s="242"/>
      <c r="O651" s="242"/>
      <c r="P651" s="242"/>
      <c r="Q651" s="525"/>
      <c r="R651" s="242"/>
      <c r="S651" s="242"/>
      <c r="T651" s="242"/>
      <c r="U651" s="242"/>
      <c r="V651" s="242"/>
      <c r="W651" s="242"/>
      <c r="X651" s="242"/>
      <c r="Y651" s="242"/>
      <c r="Z651" s="242"/>
      <c r="AA651" s="242"/>
      <c r="AB651" s="242"/>
      <c r="AC651" s="242"/>
      <c r="AD651" s="242"/>
      <c r="AE651" s="242"/>
      <c r="AF651" s="242"/>
      <c r="AG651" s="242"/>
      <c r="AH651" s="242"/>
      <c r="AI651" s="242"/>
      <c r="AJ651" s="13"/>
      <c r="AK651" s="242"/>
      <c r="AL651" s="242"/>
      <c r="AM651" s="242"/>
      <c r="AN651" s="242"/>
      <c r="AO651" s="242"/>
    </row>
    <row r="652">
      <c r="A652" s="242"/>
      <c r="B652" s="13"/>
      <c r="C652" s="242"/>
      <c r="D652" s="242"/>
      <c r="E652" s="242"/>
      <c r="F652" s="242"/>
      <c r="G652" s="13"/>
      <c r="H652" s="13"/>
      <c r="I652" s="13"/>
      <c r="J652" s="13"/>
      <c r="K652" s="13"/>
      <c r="L652" s="242"/>
      <c r="M652" s="242"/>
      <c r="N652" s="242"/>
      <c r="O652" s="242"/>
      <c r="P652" s="242"/>
      <c r="Q652" s="525"/>
      <c r="R652" s="242"/>
      <c r="S652" s="242"/>
      <c r="T652" s="242"/>
      <c r="U652" s="242"/>
      <c r="V652" s="242"/>
      <c r="W652" s="242"/>
      <c r="X652" s="242"/>
      <c r="Y652" s="242"/>
      <c r="Z652" s="242"/>
      <c r="AA652" s="242"/>
      <c r="AB652" s="242"/>
      <c r="AC652" s="242"/>
      <c r="AD652" s="242"/>
      <c r="AE652" s="242"/>
      <c r="AF652" s="242"/>
      <c r="AG652" s="242"/>
      <c r="AH652" s="242"/>
      <c r="AI652" s="242"/>
      <c r="AJ652" s="13"/>
      <c r="AK652" s="242"/>
      <c r="AL652" s="242"/>
      <c r="AM652" s="242"/>
      <c r="AN652" s="242"/>
      <c r="AO652" s="242"/>
    </row>
    <row r="653">
      <c r="A653" s="242"/>
      <c r="B653" s="13"/>
      <c r="C653" s="242"/>
      <c r="D653" s="242"/>
      <c r="E653" s="242"/>
      <c r="F653" s="242"/>
      <c r="G653" s="13"/>
      <c r="H653" s="13"/>
      <c r="I653" s="13"/>
      <c r="J653" s="13"/>
      <c r="K653" s="13"/>
      <c r="L653" s="242"/>
      <c r="M653" s="242"/>
      <c r="N653" s="242"/>
      <c r="O653" s="242"/>
      <c r="P653" s="242"/>
      <c r="Q653" s="525"/>
      <c r="R653" s="242"/>
      <c r="S653" s="242"/>
      <c r="T653" s="242"/>
      <c r="U653" s="242"/>
      <c r="V653" s="242"/>
      <c r="W653" s="242"/>
      <c r="X653" s="242"/>
      <c r="Y653" s="242"/>
      <c r="Z653" s="242"/>
      <c r="AA653" s="242"/>
      <c r="AB653" s="242"/>
      <c r="AC653" s="242"/>
      <c r="AD653" s="242"/>
      <c r="AE653" s="242"/>
      <c r="AF653" s="242"/>
      <c r="AG653" s="242"/>
      <c r="AH653" s="242"/>
      <c r="AI653" s="242"/>
      <c r="AJ653" s="13"/>
      <c r="AK653" s="242"/>
      <c r="AL653" s="242"/>
      <c r="AM653" s="242"/>
      <c r="AN653" s="242"/>
      <c r="AO653" s="242"/>
    </row>
    <row r="654">
      <c r="A654" s="242"/>
      <c r="B654" s="13"/>
      <c r="C654" s="242"/>
      <c r="D654" s="242"/>
      <c r="E654" s="242"/>
      <c r="F654" s="242"/>
      <c r="G654" s="13"/>
      <c r="H654" s="13"/>
      <c r="I654" s="13"/>
      <c r="J654" s="13"/>
      <c r="K654" s="13"/>
      <c r="L654" s="242"/>
      <c r="M654" s="242"/>
      <c r="N654" s="242"/>
      <c r="O654" s="242"/>
      <c r="P654" s="242"/>
      <c r="Q654" s="525"/>
      <c r="R654" s="242"/>
      <c r="S654" s="242"/>
      <c r="T654" s="242"/>
      <c r="U654" s="242"/>
      <c r="V654" s="242"/>
      <c r="W654" s="242"/>
      <c r="X654" s="242"/>
      <c r="Y654" s="242"/>
      <c r="Z654" s="242"/>
      <c r="AA654" s="242"/>
      <c r="AB654" s="242"/>
      <c r="AC654" s="242"/>
      <c r="AD654" s="242"/>
      <c r="AE654" s="242"/>
      <c r="AF654" s="242"/>
      <c r="AG654" s="242"/>
      <c r="AH654" s="242"/>
      <c r="AI654" s="242"/>
      <c r="AJ654" s="13"/>
      <c r="AK654" s="242"/>
      <c r="AL654" s="242"/>
      <c r="AM654" s="242"/>
      <c r="AN654" s="242"/>
      <c r="AO654" s="242"/>
    </row>
    <row r="655">
      <c r="A655" s="242"/>
      <c r="B655" s="13"/>
      <c r="C655" s="242"/>
      <c r="D655" s="242"/>
      <c r="E655" s="242"/>
      <c r="F655" s="242"/>
      <c r="G655" s="13"/>
      <c r="H655" s="13"/>
      <c r="I655" s="13"/>
      <c r="J655" s="13"/>
      <c r="K655" s="13"/>
      <c r="L655" s="242"/>
      <c r="M655" s="242"/>
      <c r="N655" s="242"/>
      <c r="O655" s="242"/>
      <c r="P655" s="242"/>
      <c r="Q655" s="525"/>
      <c r="R655" s="242"/>
      <c r="S655" s="242"/>
      <c r="T655" s="242"/>
      <c r="U655" s="242"/>
      <c r="V655" s="242"/>
      <c r="W655" s="242"/>
      <c r="X655" s="242"/>
      <c r="Y655" s="242"/>
      <c r="Z655" s="242"/>
      <c r="AA655" s="242"/>
      <c r="AB655" s="242"/>
      <c r="AC655" s="242"/>
      <c r="AD655" s="242"/>
      <c r="AE655" s="242"/>
      <c r="AF655" s="242"/>
      <c r="AG655" s="242"/>
      <c r="AH655" s="242"/>
      <c r="AI655" s="242"/>
      <c r="AJ655" s="13"/>
      <c r="AK655" s="242"/>
      <c r="AL655" s="242"/>
      <c r="AM655" s="242"/>
      <c r="AN655" s="242"/>
      <c r="AO655" s="242"/>
    </row>
    <row r="656">
      <c r="A656" s="242"/>
      <c r="B656" s="13"/>
      <c r="C656" s="242"/>
      <c r="D656" s="242"/>
      <c r="E656" s="242"/>
      <c r="F656" s="242"/>
      <c r="G656" s="13"/>
      <c r="H656" s="13"/>
      <c r="I656" s="13"/>
      <c r="J656" s="13"/>
      <c r="K656" s="13"/>
      <c r="L656" s="242"/>
      <c r="M656" s="242"/>
      <c r="N656" s="242"/>
      <c r="O656" s="242"/>
      <c r="P656" s="242"/>
      <c r="Q656" s="525"/>
      <c r="R656" s="242"/>
      <c r="S656" s="242"/>
      <c r="T656" s="242"/>
      <c r="U656" s="242"/>
      <c r="V656" s="242"/>
      <c r="W656" s="242"/>
      <c r="X656" s="242"/>
      <c r="Y656" s="242"/>
      <c r="Z656" s="242"/>
      <c r="AA656" s="242"/>
      <c r="AB656" s="242"/>
      <c r="AC656" s="242"/>
      <c r="AD656" s="242"/>
      <c r="AE656" s="242"/>
      <c r="AF656" s="242"/>
      <c r="AG656" s="242"/>
      <c r="AH656" s="242"/>
      <c r="AI656" s="242"/>
      <c r="AJ656" s="13"/>
      <c r="AK656" s="242"/>
      <c r="AL656" s="242"/>
      <c r="AM656" s="242"/>
      <c r="AN656" s="242"/>
      <c r="AO656" s="242"/>
    </row>
    <row r="657">
      <c r="A657" s="242"/>
      <c r="B657" s="13"/>
      <c r="C657" s="242"/>
      <c r="D657" s="242"/>
      <c r="E657" s="242"/>
      <c r="F657" s="242"/>
      <c r="G657" s="13"/>
      <c r="H657" s="13"/>
      <c r="I657" s="13"/>
      <c r="J657" s="13"/>
      <c r="K657" s="13"/>
      <c r="L657" s="242"/>
      <c r="M657" s="242"/>
      <c r="N657" s="242"/>
      <c r="O657" s="242"/>
      <c r="P657" s="242"/>
      <c r="Q657" s="525"/>
      <c r="R657" s="242"/>
      <c r="S657" s="242"/>
      <c r="T657" s="242"/>
      <c r="U657" s="242"/>
      <c r="V657" s="242"/>
      <c r="W657" s="242"/>
      <c r="X657" s="242"/>
      <c r="Y657" s="242"/>
      <c r="Z657" s="242"/>
      <c r="AA657" s="242"/>
      <c r="AB657" s="242"/>
      <c r="AC657" s="242"/>
      <c r="AD657" s="242"/>
      <c r="AE657" s="242"/>
      <c r="AF657" s="242"/>
      <c r="AG657" s="242"/>
      <c r="AH657" s="242"/>
      <c r="AI657" s="242"/>
      <c r="AJ657" s="13"/>
      <c r="AK657" s="242"/>
      <c r="AL657" s="242"/>
      <c r="AM657" s="242"/>
      <c r="AN657" s="242"/>
      <c r="AO657" s="242"/>
    </row>
    <row r="658">
      <c r="A658" s="242"/>
      <c r="B658" s="13"/>
      <c r="C658" s="242"/>
      <c r="D658" s="242"/>
      <c r="E658" s="242"/>
      <c r="F658" s="242"/>
      <c r="G658" s="13"/>
      <c r="H658" s="13"/>
      <c r="I658" s="13"/>
      <c r="J658" s="13"/>
      <c r="K658" s="13"/>
      <c r="L658" s="242"/>
      <c r="M658" s="242"/>
      <c r="N658" s="242"/>
      <c r="O658" s="242"/>
      <c r="P658" s="242"/>
      <c r="Q658" s="525"/>
      <c r="R658" s="242"/>
      <c r="S658" s="242"/>
      <c r="T658" s="242"/>
      <c r="U658" s="242"/>
      <c r="V658" s="242"/>
      <c r="W658" s="242"/>
      <c r="X658" s="242"/>
      <c r="Y658" s="242"/>
      <c r="Z658" s="242"/>
      <c r="AA658" s="242"/>
      <c r="AB658" s="242"/>
      <c r="AC658" s="242"/>
      <c r="AD658" s="242"/>
      <c r="AE658" s="242"/>
      <c r="AF658" s="242"/>
      <c r="AG658" s="242"/>
      <c r="AH658" s="242"/>
      <c r="AI658" s="242"/>
      <c r="AJ658" s="13"/>
      <c r="AK658" s="242"/>
      <c r="AL658" s="242"/>
      <c r="AM658" s="242"/>
      <c r="AN658" s="242"/>
      <c r="AO658" s="242"/>
    </row>
    <row r="659">
      <c r="A659" s="242"/>
      <c r="B659" s="13"/>
      <c r="C659" s="242"/>
      <c r="D659" s="242"/>
      <c r="E659" s="242"/>
      <c r="F659" s="242"/>
      <c r="G659" s="13"/>
      <c r="H659" s="13"/>
      <c r="I659" s="13"/>
      <c r="J659" s="13"/>
      <c r="K659" s="13"/>
      <c r="L659" s="242"/>
      <c r="M659" s="242"/>
      <c r="N659" s="242"/>
      <c r="O659" s="242"/>
      <c r="P659" s="242"/>
      <c r="Q659" s="525"/>
      <c r="R659" s="242"/>
      <c r="S659" s="242"/>
      <c r="T659" s="242"/>
      <c r="U659" s="242"/>
      <c r="V659" s="242"/>
      <c r="W659" s="242"/>
      <c r="X659" s="242"/>
      <c r="Y659" s="242"/>
      <c r="Z659" s="242"/>
      <c r="AA659" s="242"/>
      <c r="AB659" s="242"/>
      <c r="AC659" s="242"/>
      <c r="AD659" s="242"/>
      <c r="AE659" s="242"/>
      <c r="AF659" s="242"/>
      <c r="AG659" s="242"/>
      <c r="AH659" s="242"/>
      <c r="AI659" s="242"/>
      <c r="AJ659" s="13"/>
      <c r="AK659" s="242"/>
      <c r="AL659" s="242"/>
      <c r="AM659" s="242"/>
      <c r="AN659" s="242"/>
      <c r="AO659" s="242"/>
    </row>
    <row r="660">
      <c r="A660" s="242"/>
      <c r="B660" s="13"/>
      <c r="C660" s="242"/>
      <c r="D660" s="242"/>
      <c r="E660" s="242"/>
      <c r="F660" s="242"/>
      <c r="G660" s="13"/>
      <c r="H660" s="13"/>
      <c r="I660" s="13"/>
      <c r="J660" s="13"/>
      <c r="K660" s="13"/>
      <c r="L660" s="242"/>
      <c r="M660" s="242"/>
      <c r="N660" s="242"/>
      <c r="O660" s="242"/>
      <c r="P660" s="242"/>
      <c r="Q660" s="525"/>
      <c r="R660" s="242"/>
      <c r="S660" s="242"/>
      <c r="T660" s="242"/>
      <c r="U660" s="242"/>
      <c r="V660" s="242"/>
      <c r="W660" s="242"/>
      <c r="X660" s="242"/>
      <c r="Y660" s="242"/>
      <c r="Z660" s="242"/>
      <c r="AA660" s="242"/>
      <c r="AB660" s="242"/>
      <c r="AC660" s="242"/>
      <c r="AD660" s="242"/>
      <c r="AE660" s="242"/>
      <c r="AF660" s="242"/>
      <c r="AG660" s="242"/>
      <c r="AH660" s="242"/>
      <c r="AI660" s="242"/>
      <c r="AJ660" s="13"/>
      <c r="AK660" s="242"/>
      <c r="AL660" s="242"/>
      <c r="AM660" s="242"/>
      <c r="AN660" s="242"/>
      <c r="AO660" s="242"/>
    </row>
    <row r="661">
      <c r="A661" s="242"/>
      <c r="B661" s="13"/>
      <c r="C661" s="242"/>
      <c r="D661" s="242"/>
      <c r="E661" s="242"/>
      <c r="F661" s="242"/>
      <c r="G661" s="13"/>
      <c r="H661" s="13"/>
      <c r="I661" s="13"/>
      <c r="J661" s="13"/>
      <c r="K661" s="13"/>
      <c r="L661" s="242"/>
      <c r="M661" s="242"/>
      <c r="N661" s="242"/>
      <c r="O661" s="242"/>
      <c r="P661" s="242"/>
      <c r="Q661" s="525"/>
      <c r="R661" s="242"/>
      <c r="S661" s="242"/>
      <c r="T661" s="242"/>
      <c r="U661" s="242"/>
      <c r="V661" s="242"/>
      <c r="W661" s="242"/>
      <c r="X661" s="242"/>
      <c r="Y661" s="242"/>
      <c r="Z661" s="242"/>
      <c r="AA661" s="242"/>
      <c r="AB661" s="242"/>
      <c r="AC661" s="242"/>
      <c r="AD661" s="242"/>
      <c r="AE661" s="242"/>
      <c r="AF661" s="242"/>
      <c r="AG661" s="242"/>
      <c r="AH661" s="242"/>
      <c r="AI661" s="242"/>
      <c r="AJ661" s="13"/>
      <c r="AK661" s="242"/>
      <c r="AL661" s="242"/>
      <c r="AM661" s="242"/>
      <c r="AN661" s="242"/>
      <c r="AO661" s="242"/>
    </row>
    <row r="662">
      <c r="A662" s="242"/>
      <c r="B662" s="13"/>
      <c r="C662" s="242"/>
      <c r="D662" s="242"/>
      <c r="E662" s="242"/>
      <c r="F662" s="242"/>
      <c r="G662" s="13"/>
      <c r="H662" s="13"/>
      <c r="I662" s="13"/>
      <c r="J662" s="13"/>
      <c r="K662" s="13"/>
      <c r="L662" s="242"/>
      <c r="M662" s="242"/>
      <c r="N662" s="242"/>
      <c r="O662" s="242"/>
      <c r="P662" s="242"/>
      <c r="Q662" s="525"/>
      <c r="R662" s="242"/>
      <c r="S662" s="242"/>
      <c r="T662" s="242"/>
      <c r="U662" s="242"/>
      <c r="V662" s="242"/>
      <c r="W662" s="242"/>
      <c r="X662" s="242"/>
      <c r="Y662" s="242"/>
      <c r="Z662" s="242"/>
      <c r="AA662" s="242"/>
      <c r="AB662" s="242"/>
      <c r="AC662" s="242"/>
      <c r="AD662" s="242"/>
      <c r="AE662" s="242"/>
      <c r="AF662" s="242"/>
      <c r="AG662" s="242"/>
      <c r="AH662" s="242"/>
      <c r="AI662" s="242"/>
      <c r="AJ662" s="13"/>
      <c r="AK662" s="242"/>
      <c r="AL662" s="242"/>
      <c r="AM662" s="242"/>
      <c r="AN662" s="242"/>
      <c r="AO662" s="242"/>
    </row>
    <row r="663">
      <c r="A663" s="242"/>
      <c r="B663" s="13"/>
      <c r="C663" s="242"/>
      <c r="D663" s="242"/>
      <c r="E663" s="242"/>
      <c r="F663" s="242"/>
      <c r="G663" s="13"/>
      <c r="H663" s="13"/>
      <c r="I663" s="13"/>
      <c r="J663" s="13"/>
      <c r="K663" s="13"/>
      <c r="L663" s="242"/>
      <c r="M663" s="242"/>
      <c r="N663" s="242"/>
      <c r="O663" s="242"/>
      <c r="P663" s="242"/>
      <c r="Q663" s="525"/>
      <c r="R663" s="242"/>
      <c r="S663" s="242"/>
      <c r="T663" s="242"/>
      <c r="U663" s="242"/>
      <c r="V663" s="242"/>
      <c r="W663" s="242"/>
      <c r="X663" s="242"/>
      <c r="Y663" s="242"/>
      <c r="Z663" s="242"/>
      <c r="AA663" s="242"/>
      <c r="AB663" s="242"/>
      <c r="AC663" s="242"/>
      <c r="AD663" s="242"/>
      <c r="AE663" s="242"/>
      <c r="AF663" s="242"/>
      <c r="AG663" s="242"/>
      <c r="AH663" s="242"/>
      <c r="AI663" s="242"/>
      <c r="AJ663" s="13"/>
      <c r="AK663" s="242"/>
      <c r="AL663" s="242"/>
      <c r="AM663" s="242"/>
      <c r="AN663" s="242"/>
      <c r="AO663" s="242"/>
    </row>
    <row r="664">
      <c r="A664" s="242"/>
      <c r="B664" s="13"/>
      <c r="C664" s="242"/>
      <c r="D664" s="242"/>
      <c r="E664" s="242"/>
      <c r="F664" s="242"/>
      <c r="G664" s="13"/>
      <c r="H664" s="13"/>
      <c r="I664" s="13"/>
      <c r="J664" s="13"/>
      <c r="K664" s="13"/>
      <c r="L664" s="242"/>
      <c r="M664" s="242"/>
      <c r="N664" s="242"/>
      <c r="O664" s="242"/>
      <c r="P664" s="242"/>
      <c r="Q664" s="525"/>
      <c r="R664" s="242"/>
      <c r="S664" s="242"/>
      <c r="T664" s="242"/>
      <c r="U664" s="242"/>
      <c r="V664" s="242"/>
      <c r="W664" s="242"/>
      <c r="X664" s="242"/>
      <c r="Y664" s="242"/>
      <c r="Z664" s="242"/>
      <c r="AA664" s="242"/>
      <c r="AB664" s="242"/>
      <c r="AC664" s="242"/>
      <c r="AD664" s="242"/>
      <c r="AE664" s="242"/>
      <c r="AF664" s="242"/>
      <c r="AG664" s="242"/>
      <c r="AH664" s="242"/>
      <c r="AI664" s="242"/>
      <c r="AJ664" s="13"/>
      <c r="AK664" s="242"/>
      <c r="AL664" s="242"/>
      <c r="AM664" s="242"/>
      <c r="AN664" s="242"/>
      <c r="AO664" s="242"/>
    </row>
    <row r="665">
      <c r="A665" s="242"/>
      <c r="B665" s="13"/>
      <c r="C665" s="242"/>
      <c r="D665" s="242"/>
      <c r="E665" s="242"/>
      <c r="F665" s="242"/>
      <c r="G665" s="13"/>
      <c r="H665" s="13"/>
      <c r="I665" s="13"/>
      <c r="J665" s="13"/>
      <c r="K665" s="13"/>
      <c r="L665" s="242"/>
      <c r="M665" s="242"/>
      <c r="N665" s="242"/>
      <c r="O665" s="242"/>
      <c r="P665" s="242"/>
      <c r="Q665" s="525"/>
      <c r="R665" s="242"/>
      <c r="S665" s="242"/>
      <c r="T665" s="242"/>
      <c r="U665" s="242"/>
      <c r="V665" s="242"/>
      <c r="W665" s="242"/>
      <c r="X665" s="242"/>
      <c r="Y665" s="242"/>
      <c r="Z665" s="242"/>
      <c r="AA665" s="242"/>
      <c r="AB665" s="242"/>
      <c r="AC665" s="242"/>
      <c r="AD665" s="242"/>
      <c r="AE665" s="242"/>
      <c r="AF665" s="242"/>
      <c r="AG665" s="242"/>
      <c r="AH665" s="242"/>
      <c r="AI665" s="242"/>
      <c r="AJ665" s="13"/>
      <c r="AK665" s="242"/>
      <c r="AL665" s="242"/>
      <c r="AM665" s="242"/>
      <c r="AN665" s="242"/>
      <c r="AO665" s="242"/>
    </row>
    <row r="666">
      <c r="A666" s="242"/>
      <c r="B666" s="13"/>
      <c r="C666" s="242"/>
      <c r="D666" s="242"/>
      <c r="E666" s="242"/>
      <c r="F666" s="242"/>
      <c r="G666" s="13"/>
      <c r="H666" s="13"/>
      <c r="I666" s="13"/>
      <c r="J666" s="13"/>
      <c r="K666" s="13"/>
      <c r="L666" s="242"/>
      <c r="M666" s="242"/>
      <c r="N666" s="242"/>
      <c r="O666" s="242"/>
      <c r="P666" s="242"/>
      <c r="Q666" s="525"/>
      <c r="R666" s="242"/>
      <c r="S666" s="242"/>
      <c r="T666" s="242"/>
      <c r="U666" s="242"/>
      <c r="V666" s="242"/>
      <c r="W666" s="242"/>
      <c r="X666" s="242"/>
      <c r="Y666" s="242"/>
      <c r="Z666" s="242"/>
      <c r="AA666" s="242"/>
      <c r="AB666" s="242"/>
      <c r="AC666" s="242"/>
      <c r="AD666" s="242"/>
      <c r="AE666" s="242"/>
      <c r="AF666" s="242"/>
      <c r="AG666" s="242"/>
      <c r="AH666" s="242"/>
      <c r="AI666" s="242"/>
      <c r="AJ666" s="13"/>
      <c r="AK666" s="242"/>
      <c r="AL666" s="242"/>
      <c r="AM666" s="242"/>
      <c r="AN666" s="242"/>
      <c r="AO666" s="242"/>
    </row>
    <row r="667">
      <c r="A667" s="242"/>
      <c r="B667" s="13"/>
      <c r="C667" s="242"/>
      <c r="D667" s="242"/>
      <c r="E667" s="242"/>
      <c r="F667" s="242"/>
      <c r="G667" s="13"/>
      <c r="H667" s="13"/>
      <c r="I667" s="13"/>
      <c r="J667" s="13"/>
      <c r="K667" s="13"/>
      <c r="L667" s="242"/>
      <c r="M667" s="242"/>
      <c r="N667" s="242"/>
      <c r="O667" s="242"/>
      <c r="P667" s="242"/>
      <c r="Q667" s="525"/>
      <c r="R667" s="242"/>
      <c r="S667" s="242"/>
      <c r="T667" s="242"/>
      <c r="U667" s="242"/>
      <c r="V667" s="242"/>
      <c r="W667" s="242"/>
      <c r="X667" s="242"/>
      <c r="Y667" s="242"/>
      <c r="Z667" s="242"/>
      <c r="AA667" s="242"/>
      <c r="AB667" s="242"/>
      <c r="AC667" s="242"/>
      <c r="AD667" s="242"/>
      <c r="AE667" s="242"/>
      <c r="AF667" s="242"/>
      <c r="AG667" s="242"/>
      <c r="AH667" s="242"/>
      <c r="AI667" s="242"/>
      <c r="AJ667" s="13"/>
      <c r="AK667" s="242"/>
      <c r="AL667" s="242"/>
      <c r="AM667" s="242"/>
      <c r="AN667" s="242"/>
      <c r="AO667" s="242"/>
    </row>
    <row r="668">
      <c r="A668" s="242"/>
      <c r="B668" s="13"/>
      <c r="C668" s="242"/>
      <c r="D668" s="242"/>
      <c r="E668" s="242"/>
      <c r="F668" s="242"/>
      <c r="G668" s="13"/>
      <c r="H668" s="13"/>
      <c r="I668" s="13"/>
      <c r="J668" s="13"/>
      <c r="K668" s="13"/>
      <c r="L668" s="242"/>
      <c r="M668" s="242"/>
      <c r="N668" s="242"/>
      <c r="O668" s="242"/>
      <c r="P668" s="242"/>
      <c r="Q668" s="525"/>
      <c r="R668" s="242"/>
      <c r="S668" s="242"/>
      <c r="T668" s="242"/>
      <c r="U668" s="242"/>
      <c r="V668" s="242"/>
      <c r="W668" s="242"/>
      <c r="X668" s="242"/>
      <c r="Y668" s="242"/>
      <c r="Z668" s="242"/>
      <c r="AA668" s="242"/>
      <c r="AB668" s="242"/>
      <c r="AC668" s="242"/>
      <c r="AD668" s="242"/>
      <c r="AE668" s="242"/>
      <c r="AF668" s="242"/>
      <c r="AG668" s="242"/>
      <c r="AH668" s="242"/>
      <c r="AI668" s="242"/>
      <c r="AJ668" s="13"/>
      <c r="AK668" s="242"/>
      <c r="AL668" s="242"/>
      <c r="AM668" s="242"/>
      <c r="AN668" s="242"/>
      <c r="AO668" s="242"/>
    </row>
    <row r="669">
      <c r="A669" s="242"/>
      <c r="B669" s="13"/>
      <c r="C669" s="242"/>
      <c r="D669" s="242"/>
      <c r="E669" s="242"/>
      <c r="F669" s="242"/>
      <c r="G669" s="13"/>
      <c r="H669" s="13"/>
      <c r="I669" s="13"/>
      <c r="J669" s="13"/>
      <c r="K669" s="13"/>
      <c r="L669" s="242"/>
      <c r="M669" s="242"/>
      <c r="N669" s="242"/>
      <c r="O669" s="242"/>
      <c r="P669" s="242"/>
      <c r="Q669" s="525"/>
      <c r="R669" s="242"/>
      <c r="S669" s="242"/>
      <c r="T669" s="242"/>
      <c r="U669" s="242"/>
      <c r="V669" s="242"/>
      <c r="W669" s="242"/>
      <c r="X669" s="242"/>
      <c r="Y669" s="242"/>
      <c r="Z669" s="242"/>
      <c r="AA669" s="242"/>
      <c r="AB669" s="242"/>
      <c r="AC669" s="242"/>
      <c r="AD669" s="242"/>
      <c r="AE669" s="242"/>
      <c r="AF669" s="242"/>
      <c r="AG669" s="242"/>
      <c r="AH669" s="242"/>
      <c r="AI669" s="242"/>
      <c r="AJ669" s="13"/>
      <c r="AK669" s="242"/>
      <c r="AL669" s="242"/>
      <c r="AM669" s="242"/>
      <c r="AN669" s="242"/>
      <c r="AO669" s="242"/>
    </row>
    <row r="670">
      <c r="A670" s="242"/>
      <c r="B670" s="13"/>
      <c r="C670" s="242"/>
      <c r="D670" s="242"/>
      <c r="E670" s="242"/>
      <c r="F670" s="242"/>
      <c r="G670" s="13"/>
      <c r="H670" s="13"/>
      <c r="I670" s="13"/>
      <c r="J670" s="13"/>
      <c r="K670" s="13"/>
      <c r="L670" s="242"/>
      <c r="M670" s="242"/>
      <c r="N670" s="242"/>
      <c r="O670" s="242"/>
      <c r="P670" s="242"/>
      <c r="Q670" s="525"/>
      <c r="R670" s="242"/>
      <c r="S670" s="242"/>
      <c r="T670" s="242"/>
      <c r="U670" s="242"/>
      <c r="V670" s="242"/>
      <c r="W670" s="242"/>
      <c r="X670" s="242"/>
      <c r="Y670" s="242"/>
      <c r="Z670" s="242"/>
      <c r="AA670" s="242"/>
      <c r="AB670" s="242"/>
      <c r="AC670" s="242"/>
      <c r="AD670" s="242"/>
      <c r="AE670" s="242"/>
      <c r="AF670" s="242"/>
      <c r="AG670" s="242"/>
      <c r="AH670" s="242"/>
      <c r="AI670" s="242"/>
      <c r="AJ670" s="13"/>
      <c r="AK670" s="242"/>
      <c r="AL670" s="242"/>
      <c r="AM670" s="242"/>
      <c r="AN670" s="242"/>
      <c r="AO670" s="242"/>
    </row>
    <row r="671">
      <c r="A671" s="242"/>
      <c r="B671" s="13"/>
      <c r="C671" s="242"/>
      <c r="D671" s="242"/>
      <c r="E671" s="242"/>
      <c r="F671" s="242"/>
      <c r="G671" s="13"/>
      <c r="H671" s="13"/>
      <c r="I671" s="13"/>
      <c r="J671" s="13"/>
      <c r="K671" s="13"/>
      <c r="L671" s="242"/>
      <c r="M671" s="242"/>
      <c r="N671" s="242"/>
      <c r="O671" s="242"/>
      <c r="P671" s="242"/>
      <c r="Q671" s="525"/>
      <c r="R671" s="242"/>
      <c r="S671" s="242"/>
      <c r="T671" s="242"/>
      <c r="U671" s="242"/>
      <c r="V671" s="242"/>
      <c r="W671" s="242"/>
      <c r="X671" s="242"/>
      <c r="Y671" s="242"/>
      <c r="Z671" s="242"/>
      <c r="AA671" s="242"/>
      <c r="AB671" s="242"/>
      <c r="AC671" s="242"/>
      <c r="AD671" s="242"/>
      <c r="AE671" s="242"/>
      <c r="AF671" s="242"/>
      <c r="AG671" s="242"/>
      <c r="AH671" s="242"/>
      <c r="AI671" s="242"/>
      <c r="AJ671" s="13"/>
      <c r="AK671" s="242"/>
      <c r="AL671" s="242"/>
      <c r="AM671" s="242"/>
      <c r="AN671" s="242"/>
      <c r="AO671" s="242"/>
    </row>
    <row r="672">
      <c r="A672" s="242"/>
      <c r="B672" s="13"/>
      <c r="C672" s="242"/>
      <c r="D672" s="242"/>
      <c r="E672" s="242"/>
      <c r="F672" s="242"/>
      <c r="G672" s="13"/>
      <c r="H672" s="13"/>
      <c r="I672" s="13"/>
      <c r="J672" s="13"/>
      <c r="K672" s="13"/>
      <c r="L672" s="242"/>
      <c r="M672" s="242"/>
      <c r="N672" s="242"/>
      <c r="O672" s="242"/>
      <c r="P672" s="242"/>
      <c r="Q672" s="525"/>
      <c r="R672" s="242"/>
      <c r="S672" s="242"/>
      <c r="T672" s="242"/>
      <c r="U672" s="242"/>
      <c r="V672" s="242"/>
      <c r="W672" s="242"/>
      <c r="X672" s="242"/>
      <c r="Y672" s="242"/>
      <c r="Z672" s="242"/>
      <c r="AA672" s="242"/>
      <c r="AB672" s="242"/>
      <c r="AC672" s="242"/>
      <c r="AD672" s="242"/>
      <c r="AE672" s="242"/>
      <c r="AF672" s="242"/>
      <c r="AG672" s="242"/>
      <c r="AH672" s="242"/>
      <c r="AI672" s="242"/>
      <c r="AJ672" s="13"/>
      <c r="AK672" s="242"/>
      <c r="AL672" s="242"/>
      <c r="AM672" s="242"/>
      <c r="AN672" s="242"/>
      <c r="AO672" s="242"/>
    </row>
    <row r="673">
      <c r="A673" s="242"/>
      <c r="B673" s="13"/>
      <c r="C673" s="242"/>
      <c r="D673" s="242"/>
      <c r="E673" s="242"/>
      <c r="F673" s="242"/>
      <c r="G673" s="13"/>
      <c r="H673" s="13"/>
      <c r="I673" s="13"/>
      <c r="J673" s="13"/>
      <c r="K673" s="13"/>
      <c r="L673" s="242"/>
      <c r="M673" s="242"/>
      <c r="N673" s="242"/>
      <c r="O673" s="242"/>
      <c r="P673" s="242"/>
      <c r="Q673" s="525"/>
      <c r="R673" s="242"/>
      <c r="S673" s="242"/>
      <c r="T673" s="242"/>
      <c r="U673" s="242"/>
      <c r="V673" s="242"/>
      <c r="W673" s="242"/>
      <c r="X673" s="242"/>
      <c r="Y673" s="242"/>
      <c r="Z673" s="242"/>
      <c r="AA673" s="242"/>
      <c r="AB673" s="242"/>
      <c r="AC673" s="242"/>
      <c r="AD673" s="242"/>
      <c r="AE673" s="242"/>
      <c r="AF673" s="242"/>
      <c r="AG673" s="242"/>
      <c r="AH673" s="242"/>
      <c r="AI673" s="242"/>
      <c r="AJ673" s="13"/>
      <c r="AK673" s="242"/>
      <c r="AL673" s="242"/>
      <c r="AM673" s="242"/>
      <c r="AN673" s="242"/>
      <c r="AO673" s="242"/>
    </row>
    <row r="674">
      <c r="A674" s="242"/>
      <c r="B674" s="13"/>
      <c r="C674" s="242"/>
      <c r="D674" s="242"/>
      <c r="E674" s="242"/>
      <c r="F674" s="242"/>
      <c r="G674" s="13"/>
      <c r="H674" s="13"/>
      <c r="I674" s="13"/>
      <c r="J674" s="13"/>
      <c r="K674" s="13"/>
      <c r="L674" s="242"/>
      <c r="M674" s="242"/>
      <c r="N674" s="242"/>
      <c r="O674" s="242"/>
      <c r="P674" s="242"/>
      <c r="Q674" s="525"/>
      <c r="R674" s="242"/>
      <c r="S674" s="242"/>
      <c r="T674" s="242"/>
      <c r="U674" s="242"/>
      <c r="V674" s="242"/>
      <c r="W674" s="242"/>
      <c r="X674" s="242"/>
      <c r="Y674" s="242"/>
      <c r="Z674" s="242"/>
      <c r="AA674" s="242"/>
      <c r="AB674" s="242"/>
      <c r="AC674" s="242"/>
      <c r="AD674" s="242"/>
      <c r="AE674" s="242"/>
      <c r="AF674" s="242"/>
      <c r="AG674" s="242"/>
      <c r="AH674" s="242"/>
      <c r="AI674" s="242"/>
      <c r="AJ674" s="13"/>
      <c r="AK674" s="242"/>
      <c r="AL674" s="242"/>
      <c r="AM674" s="242"/>
      <c r="AN674" s="242"/>
      <c r="AO674" s="242"/>
    </row>
    <row r="675">
      <c r="A675" s="242"/>
      <c r="B675" s="13"/>
      <c r="C675" s="242"/>
      <c r="D675" s="242"/>
      <c r="E675" s="242"/>
      <c r="F675" s="242"/>
      <c r="G675" s="13"/>
      <c r="H675" s="13"/>
      <c r="I675" s="13"/>
      <c r="J675" s="13"/>
      <c r="K675" s="13"/>
      <c r="L675" s="242"/>
      <c r="M675" s="242"/>
      <c r="N675" s="242"/>
      <c r="O675" s="242"/>
      <c r="P675" s="242"/>
      <c r="Q675" s="525"/>
      <c r="R675" s="242"/>
      <c r="S675" s="242"/>
      <c r="T675" s="242"/>
      <c r="U675" s="242"/>
      <c r="V675" s="242"/>
      <c r="W675" s="242"/>
      <c r="X675" s="242"/>
      <c r="Y675" s="242"/>
      <c r="Z675" s="242"/>
      <c r="AA675" s="242"/>
      <c r="AB675" s="242"/>
      <c r="AC675" s="242"/>
      <c r="AD675" s="242"/>
      <c r="AE675" s="242"/>
      <c r="AF675" s="242"/>
      <c r="AG675" s="242"/>
      <c r="AH675" s="242"/>
      <c r="AI675" s="242"/>
      <c r="AJ675" s="13"/>
      <c r="AK675" s="242"/>
      <c r="AL675" s="242"/>
      <c r="AM675" s="242"/>
      <c r="AN675" s="242"/>
      <c r="AO675" s="242"/>
    </row>
    <row r="676">
      <c r="A676" s="242"/>
      <c r="B676" s="13"/>
      <c r="C676" s="242"/>
      <c r="D676" s="242"/>
      <c r="E676" s="242"/>
      <c r="F676" s="242"/>
      <c r="G676" s="13"/>
      <c r="H676" s="13"/>
      <c r="I676" s="13"/>
      <c r="J676" s="13"/>
      <c r="K676" s="13"/>
      <c r="L676" s="242"/>
      <c r="M676" s="242"/>
      <c r="N676" s="242"/>
      <c r="O676" s="242"/>
      <c r="P676" s="242"/>
      <c r="Q676" s="525"/>
      <c r="R676" s="242"/>
      <c r="S676" s="242"/>
      <c r="T676" s="242"/>
      <c r="U676" s="242"/>
      <c r="V676" s="242"/>
      <c r="W676" s="242"/>
      <c r="X676" s="242"/>
      <c r="Y676" s="242"/>
      <c r="Z676" s="242"/>
      <c r="AA676" s="242"/>
      <c r="AB676" s="242"/>
      <c r="AC676" s="242"/>
      <c r="AD676" s="242"/>
      <c r="AE676" s="242"/>
      <c r="AF676" s="242"/>
      <c r="AG676" s="242"/>
      <c r="AH676" s="242"/>
      <c r="AI676" s="242"/>
      <c r="AJ676" s="13"/>
      <c r="AK676" s="242"/>
      <c r="AL676" s="242"/>
      <c r="AM676" s="242"/>
      <c r="AN676" s="242"/>
      <c r="AO676" s="242"/>
    </row>
    <row r="677">
      <c r="A677" s="242"/>
      <c r="B677" s="13"/>
      <c r="C677" s="242"/>
      <c r="D677" s="242"/>
      <c r="E677" s="242"/>
      <c r="F677" s="242"/>
      <c r="G677" s="13"/>
      <c r="H677" s="13"/>
      <c r="I677" s="13"/>
      <c r="J677" s="13"/>
      <c r="K677" s="13"/>
      <c r="L677" s="242"/>
      <c r="M677" s="242"/>
      <c r="N677" s="242"/>
      <c r="O677" s="242"/>
      <c r="P677" s="242"/>
      <c r="Q677" s="525"/>
      <c r="R677" s="242"/>
      <c r="S677" s="242"/>
      <c r="T677" s="242"/>
      <c r="U677" s="242"/>
      <c r="V677" s="242"/>
      <c r="W677" s="242"/>
      <c r="X677" s="242"/>
      <c r="Y677" s="242"/>
      <c r="Z677" s="242"/>
      <c r="AA677" s="242"/>
      <c r="AB677" s="242"/>
      <c r="AC677" s="242"/>
      <c r="AD677" s="242"/>
      <c r="AE677" s="242"/>
      <c r="AF677" s="242"/>
      <c r="AG677" s="242"/>
      <c r="AH677" s="242"/>
      <c r="AI677" s="242"/>
      <c r="AJ677" s="13"/>
      <c r="AK677" s="242"/>
      <c r="AL677" s="242"/>
      <c r="AM677" s="242"/>
      <c r="AN677" s="242"/>
      <c r="AO677" s="242"/>
    </row>
    <row r="678">
      <c r="A678" s="242"/>
      <c r="B678" s="13"/>
      <c r="C678" s="242"/>
      <c r="D678" s="242"/>
      <c r="E678" s="242"/>
      <c r="F678" s="242"/>
      <c r="G678" s="13"/>
      <c r="H678" s="13"/>
      <c r="I678" s="13"/>
      <c r="J678" s="13"/>
      <c r="K678" s="13"/>
      <c r="L678" s="242"/>
      <c r="M678" s="242"/>
      <c r="N678" s="242"/>
      <c r="O678" s="242"/>
      <c r="P678" s="242"/>
      <c r="Q678" s="525"/>
      <c r="R678" s="242"/>
      <c r="S678" s="242"/>
      <c r="T678" s="242"/>
      <c r="U678" s="242"/>
      <c r="V678" s="242"/>
      <c r="W678" s="242"/>
      <c r="X678" s="242"/>
      <c r="Y678" s="242"/>
      <c r="Z678" s="242"/>
      <c r="AA678" s="242"/>
      <c r="AB678" s="242"/>
      <c r="AC678" s="242"/>
      <c r="AD678" s="242"/>
      <c r="AE678" s="242"/>
      <c r="AF678" s="242"/>
      <c r="AG678" s="242"/>
      <c r="AH678" s="242"/>
      <c r="AI678" s="242"/>
      <c r="AJ678" s="13"/>
      <c r="AK678" s="242"/>
      <c r="AL678" s="242"/>
      <c r="AM678" s="242"/>
      <c r="AN678" s="242"/>
      <c r="AO678" s="242"/>
    </row>
    <row r="679">
      <c r="A679" s="242"/>
      <c r="B679" s="13"/>
      <c r="C679" s="242"/>
      <c r="D679" s="242"/>
      <c r="E679" s="242"/>
      <c r="F679" s="242"/>
      <c r="G679" s="13"/>
      <c r="H679" s="13"/>
      <c r="I679" s="13"/>
      <c r="J679" s="13"/>
      <c r="K679" s="13"/>
      <c r="L679" s="242"/>
      <c r="M679" s="242"/>
      <c r="N679" s="242"/>
      <c r="O679" s="242"/>
      <c r="P679" s="242"/>
      <c r="Q679" s="525"/>
      <c r="R679" s="242"/>
      <c r="S679" s="242"/>
      <c r="T679" s="242"/>
      <c r="U679" s="242"/>
      <c r="V679" s="242"/>
      <c r="W679" s="242"/>
      <c r="X679" s="242"/>
      <c r="Y679" s="242"/>
      <c r="Z679" s="242"/>
      <c r="AA679" s="242"/>
      <c r="AB679" s="242"/>
      <c r="AC679" s="242"/>
      <c r="AD679" s="242"/>
      <c r="AE679" s="242"/>
      <c r="AF679" s="242"/>
      <c r="AG679" s="242"/>
      <c r="AH679" s="242"/>
      <c r="AI679" s="242"/>
      <c r="AJ679" s="13"/>
      <c r="AK679" s="242"/>
      <c r="AL679" s="242"/>
      <c r="AM679" s="242"/>
      <c r="AN679" s="242"/>
      <c r="AO679" s="242"/>
    </row>
    <row r="680">
      <c r="A680" s="242"/>
      <c r="B680" s="13"/>
      <c r="C680" s="242"/>
      <c r="D680" s="242"/>
      <c r="E680" s="242"/>
      <c r="F680" s="242"/>
      <c r="G680" s="13"/>
      <c r="H680" s="13"/>
      <c r="I680" s="13"/>
      <c r="J680" s="13"/>
      <c r="K680" s="13"/>
      <c r="L680" s="242"/>
      <c r="M680" s="242"/>
      <c r="N680" s="242"/>
      <c r="O680" s="242"/>
      <c r="P680" s="242"/>
      <c r="Q680" s="525"/>
      <c r="R680" s="242"/>
      <c r="S680" s="242"/>
      <c r="T680" s="242"/>
      <c r="U680" s="242"/>
      <c r="V680" s="242"/>
      <c r="W680" s="242"/>
      <c r="X680" s="242"/>
      <c r="Y680" s="242"/>
      <c r="Z680" s="242"/>
      <c r="AA680" s="242"/>
      <c r="AB680" s="242"/>
      <c r="AC680" s="242"/>
      <c r="AD680" s="242"/>
      <c r="AE680" s="242"/>
      <c r="AF680" s="242"/>
      <c r="AG680" s="242"/>
      <c r="AH680" s="242"/>
      <c r="AI680" s="242"/>
      <c r="AJ680" s="13"/>
      <c r="AK680" s="242"/>
      <c r="AL680" s="242"/>
      <c r="AM680" s="242"/>
      <c r="AN680" s="242"/>
      <c r="AO680" s="242"/>
    </row>
    <row r="681">
      <c r="A681" s="242"/>
      <c r="B681" s="13"/>
      <c r="C681" s="242"/>
      <c r="D681" s="242"/>
      <c r="E681" s="242"/>
      <c r="F681" s="242"/>
      <c r="G681" s="13"/>
      <c r="H681" s="13"/>
      <c r="I681" s="13"/>
      <c r="J681" s="13"/>
      <c r="K681" s="13"/>
      <c r="L681" s="242"/>
      <c r="M681" s="242"/>
      <c r="N681" s="242"/>
      <c r="O681" s="242"/>
      <c r="P681" s="242"/>
      <c r="Q681" s="525"/>
      <c r="R681" s="242"/>
      <c r="S681" s="242"/>
      <c r="T681" s="242"/>
      <c r="U681" s="242"/>
      <c r="V681" s="242"/>
      <c r="W681" s="242"/>
      <c r="X681" s="242"/>
      <c r="Y681" s="242"/>
      <c r="Z681" s="242"/>
      <c r="AA681" s="242"/>
      <c r="AB681" s="242"/>
      <c r="AC681" s="242"/>
      <c r="AD681" s="242"/>
      <c r="AE681" s="242"/>
      <c r="AF681" s="242"/>
      <c r="AG681" s="242"/>
      <c r="AH681" s="242"/>
      <c r="AI681" s="242"/>
      <c r="AJ681" s="13"/>
      <c r="AK681" s="242"/>
      <c r="AL681" s="242"/>
      <c r="AM681" s="242"/>
      <c r="AN681" s="242"/>
      <c r="AO681" s="242"/>
    </row>
    <row r="682">
      <c r="A682" s="242"/>
      <c r="B682" s="13"/>
      <c r="C682" s="242"/>
      <c r="D682" s="242"/>
      <c r="E682" s="242"/>
      <c r="F682" s="242"/>
      <c r="G682" s="13"/>
      <c r="H682" s="13"/>
      <c r="I682" s="13"/>
      <c r="J682" s="13"/>
      <c r="K682" s="13"/>
      <c r="L682" s="242"/>
      <c r="M682" s="242"/>
      <c r="N682" s="242"/>
      <c r="O682" s="242"/>
      <c r="P682" s="242"/>
      <c r="Q682" s="525"/>
      <c r="R682" s="242"/>
      <c r="S682" s="242"/>
      <c r="T682" s="242"/>
      <c r="U682" s="242"/>
      <c r="V682" s="242"/>
      <c r="W682" s="242"/>
      <c r="X682" s="242"/>
      <c r="Y682" s="242"/>
      <c r="Z682" s="242"/>
      <c r="AA682" s="242"/>
      <c r="AB682" s="242"/>
      <c r="AC682" s="242"/>
      <c r="AD682" s="242"/>
      <c r="AE682" s="242"/>
      <c r="AF682" s="242"/>
      <c r="AG682" s="242"/>
      <c r="AH682" s="242"/>
      <c r="AI682" s="242"/>
      <c r="AJ682" s="13"/>
      <c r="AK682" s="242"/>
      <c r="AL682" s="242"/>
      <c r="AM682" s="242"/>
      <c r="AN682" s="242"/>
      <c r="AO682" s="242"/>
    </row>
    <row r="683">
      <c r="A683" s="242"/>
      <c r="B683" s="13"/>
      <c r="C683" s="242"/>
      <c r="D683" s="242"/>
      <c r="E683" s="242"/>
      <c r="F683" s="242"/>
      <c r="G683" s="13"/>
      <c r="H683" s="13"/>
      <c r="I683" s="13"/>
      <c r="J683" s="13"/>
      <c r="K683" s="13"/>
      <c r="L683" s="242"/>
      <c r="M683" s="242"/>
      <c r="N683" s="242"/>
      <c r="O683" s="242"/>
      <c r="P683" s="242"/>
      <c r="Q683" s="525"/>
      <c r="R683" s="242"/>
      <c r="S683" s="242"/>
      <c r="T683" s="242"/>
      <c r="U683" s="242"/>
      <c r="V683" s="242"/>
      <c r="W683" s="242"/>
      <c r="X683" s="242"/>
      <c r="Y683" s="242"/>
      <c r="Z683" s="242"/>
      <c r="AA683" s="242"/>
      <c r="AB683" s="242"/>
      <c r="AC683" s="242"/>
      <c r="AD683" s="242"/>
      <c r="AE683" s="242"/>
      <c r="AF683" s="242"/>
      <c r="AG683" s="242"/>
      <c r="AH683" s="242"/>
      <c r="AI683" s="242"/>
      <c r="AJ683" s="13"/>
      <c r="AK683" s="242"/>
      <c r="AL683" s="242"/>
      <c r="AM683" s="242"/>
      <c r="AN683" s="242"/>
      <c r="AO683" s="242"/>
    </row>
    <row r="684">
      <c r="A684" s="242"/>
      <c r="B684" s="13"/>
      <c r="C684" s="242"/>
      <c r="D684" s="242"/>
      <c r="E684" s="242"/>
      <c r="F684" s="242"/>
      <c r="G684" s="13"/>
      <c r="H684" s="13"/>
      <c r="I684" s="13"/>
      <c r="J684" s="13"/>
      <c r="K684" s="13"/>
      <c r="L684" s="242"/>
      <c r="M684" s="242"/>
      <c r="N684" s="242"/>
      <c r="O684" s="242"/>
      <c r="P684" s="242"/>
      <c r="Q684" s="525"/>
      <c r="R684" s="242"/>
      <c r="S684" s="242"/>
      <c r="T684" s="242"/>
      <c r="U684" s="242"/>
      <c r="V684" s="242"/>
      <c r="W684" s="242"/>
      <c r="X684" s="242"/>
      <c r="Y684" s="242"/>
      <c r="Z684" s="242"/>
      <c r="AA684" s="242"/>
      <c r="AB684" s="242"/>
      <c r="AC684" s="242"/>
      <c r="AD684" s="242"/>
      <c r="AE684" s="242"/>
      <c r="AF684" s="242"/>
      <c r="AG684" s="242"/>
      <c r="AH684" s="242"/>
      <c r="AI684" s="242"/>
      <c r="AJ684" s="13"/>
      <c r="AK684" s="242"/>
      <c r="AL684" s="242"/>
      <c r="AM684" s="242"/>
      <c r="AN684" s="242"/>
      <c r="AO684" s="242"/>
    </row>
    <row r="685">
      <c r="A685" s="242"/>
      <c r="B685" s="13"/>
      <c r="C685" s="242"/>
      <c r="D685" s="242"/>
      <c r="E685" s="242"/>
      <c r="F685" s="242"/>
      <c r="G685" s="13"/>
      <c r="H685" s="13"/>
      <c r="I685" s="13"/>
      <c r="J685" s="13"/>
      <c r="K685" s="13"/>
      <c r="L685" s="242"/>
      <c r="M685" s="242"/>
      <c r="N685" s="242"/>
      <c r="O685" s="242"/>
      <c r="P685" s="242"/>
      <c r="Q685" s="525"/>
      <c r="R685" s="242"/>
      <c r="S685" s="242"/>
      <c r="T685" s="242"/>
      <c r="U685" s="242"/>
      <c r="V685" s="242"/>
      <c r="W685" s="242"/>
      <c r="X685" s="242"/>
      <c r="Y685" s="242"/>
      <c r="Z685" s="242"/>
      <c r="AA685" s="242"/>
      <c r="AB685" s="242"/>
      <c r="AC685" s="242"/>
      <c r="AD685" s="242"/>
      <c r="AE685" s="242"/>
      <c r="AF685" s="242"/>
      <c r="AG685" s="242"/>
      <c r="AH685" s="242"/>
      <c r="AI685" s="242"/>
      <c r="AJ685" s="13"/>
      <c r="AK685" s="242"/>
      <c r="AL685" s="242"/>
      <c r="AM685" s="242"/>
      <c r="AN685" s="242"/>
      <c r="AO685" s="242"/>
    </row>
    <row r="686">
      <c r="A686" s="242"/>
      <c r="B686" s="13"/>
      <c r="C686" s="242"/>
      <c r="D686" s="242"/>
      <c r="E686" s="242"/>
      <c r="F686" s="242"/>
      <c r="G686" s="13"/>
      <c r="H686" s="13"/>
      <c r="I686" s="13"/>
      <c r="J686" s="13"/>
      <c r="K686" s="13"/>
      <c r="L686" s="242"/>
      <c r="M686" s="242"/>
      <c r="N686" s="242"/>
      <c r="O686" s="242"/>
      <c r="P686" s="242"/>
      <c r="Q686" s="525"/>
      <c r="R686" s="242"/>
      <c r="S686" s="242"/>
      <c r="T686" s="242"/>
      <c r="U686" s="242"/>
      <c r="V686" s="242"/>
      <c r="W686" s="242"/>
      <c r="X686" s="242"/>
      <c r="Y686" s="242"/>
      <c r="Z686" s="242"/>
      <c r="AA686" s="242"/>
      <c r="AB686" s="242"/>
      <c r="AC686" s="242"/>
      <c r="AD686" s="242"/>
      <c r="AE686" s="242"/>
      <c r="AF686" s="242"/>
      <c r="AG686" s="242"/>
      <c r="AH686" s="242"/>
      <c r="AI686" s="242"/>
      <c r="AJ686" s="13"/>
      <c r="AK686" s="242"/>
      <c r="AL686" s="242"/>
      <c r="AM686" s="242"/>
      <c r="AN686" s="242"/>
      <c r="AO686" s="242"/>
    </row>
    <row r="687">
      <c r="A687" s="242"/>
      <c r="B687" s="13"/>
      <c r="C687" s="242"/>
      <c r="D687" s="242"/>
      <c r="E687" s="242"/>
      <c r="F687" s="242"/>
      <c r="G687" s="13"/>
      <c r="H687" s="13"/>
      <c r="I687" s="13"/>
      <c r="J687" s="13"/>
      <c r="K687" s="13"/>
      <c r="L687" s="242"/>
      <c r="M687" s="242"/>
      <c r="N687" s="242"/>
      <c r="O687" s="242"/>
      <c r="P687" s="242"/>
      <c r="Q687" s="525"/>
      <c r="R687" s="242"/>
      <c r="S687" s="242"/>
      <c r="T687" s="242"/>
      <c r="U687" s="242"/>
      <c r="V687" s="242"/>
      <c r="W687" s="242"/>
      <c r="X687" s="242"/>
      <c r="Y687" s="242"/>
      <c r="Z687" s="242"/>
      <c r="AA687" s="242"/>
      <c r="AB687" s="242"/>
      <c r="AC687" s="242"/>
      <c r="AD687" s="242"/>
      <c r="AE687" s="242"/>
      <c r="AF687" s="242"/>
      <c r="AG687" s="242"/>
      <c r="AH687" s="242"/>
      <c r="AI687" s="242"/>
      <c r="AJ687" s="13"/>
      <c r="AK687" s="242"/>
      <c r="AL687" s="242"/>
      <c r="AM687" s="242"/>
      <c r="AN687" s="242"/>
      <c r="AO687" s="242"/>
    </row>
    <row r="688">
      <c r="A688" s="242"/>
      <c r="B688" s="13"/>
      <c r="C688" s="242"/>
      <c r="D688" s="242"/>
      <c r="E688" s="242"/>
      <c r="F688" s="242"/>
      <c r="G688" s="13"/>
      <c r="H688" s="13"/>
      <c r="I688" s="13"/>
      <c r="J688" s="13"/>
      <c r="K688" s="13"/>
      <c r="L688" s="242"/>
      <c r="M688" s="242"/>
      <c r="N688" s="242"/>
      <c r="O688" s="242"/>
      <c r="P688" s="242"/>
      <c r="Q688" s="525"/>
      <c r="R688" s="242"/>
      <c r="S688" s="242"/>
      <c r="T688" s="242"/>
      <c r="U688" s="242"/>
      <c r="V688" s="242"/>
      <c r="W688" s="242"/>
      <c r="X688" s="242"/>
      <c r="Y688" s="242"/>
      <c r="Z688" s="242"/>
      <c r="AA688" s="242"/>
      <c r="AB688" s="242"/>
      <c r="AC688" s="242"/>
      <c r="AD688" s="242"/>
      <c r="AE688" s="242"/>
      <c r="AF688" s="242"/>
      <c r="AG688" s="242"/>
      <c r="AH688" s="242"/>
      <c r="AI688" s="242"/>
      <c r="AJ688" s="13"/>
      <c r="AK688" s="242"/>
      <c r="AL688" s="242"/>
      <c r="AM688" s="242"/>
      <c r="AN688" s="242"/>
      <c r="AO688" s="242"/>
    </row>
    <row r="689">
      <c r="A689" s="242"/>
      <c r="B689" s="13"/>
      <c r="C689" s="242"/>
      <c r="D689" s="242"/>
      <c r="E689" s="242"/>
      <c r="F689" s="242"/>
      <c r="G689" s="13"/>
      <c r="H689" s="13"/>
      <c r="I689" s="13"/>
      <c r="J689" s="13"/>
      <c r="K689" s="13"/>
      <c r="L689" s="242"/>
      <c r="M689" s="242"/>
      <c r="N689" s="242"/>
      <c r="O689" s="242"/>
      <c r="P689" s="242"/>
      <c r="Q689" s="525"/>
      <c r="R689" s="242"/>
      <c r="S689" s="242"/>
      <c r="T689" s="242"/>
      <c r="U689" s="242"/>
      <c r="V689" s="242"/>
      <c r="W689" s="242"/>
      <c r="X689" s="242"/>
      <c r="Y689" s="242"/>
      <c r="Z689" s="242"/>
      <c r="AA689" s="242"/>
      <c r="AB689" s="242"/>
      <c r="AC689" s="242"/>
      <c r="AD689" s="242"/>
      <c r="AE689" s="242"/>
      <c r="AF689" s="242"/>
      <c r="AG689" s="242"/>
      <c r="AH689" s="242"/>
      <c r="AI689" s="242"/>
      <c r="AJ689" s="13"/>
      <c r="AK689" s="242"/>
      <c r="AL689" s="242"/>
      <c r="AM689" s="242"/>
      <c r="AN689" s="242"/>
      <c r="AO689" s="242"/>
    </row>
    <row r="690">
      <c r="A690" s="242"/>
      <c r="B690" s="13"/>
      <c r="C690" s="242"/>
      <c r="D690" s="242"/>
      <c r="E690" s="242"/>
      <c r="F690" s="242"/>
      <c r="G690" s="13"/>
      <c r="H690" s="13"/>
      <c r="I690" s="13"/>
      <c r="J690" s="13"/>
      <c r="K690" s="13"/>
      <c r="L690" s="242"/>
      <c r="M690" s="242"/>
      <c r="N690" s="242"/>
      <c r="O690" s="242"/>
      <c r="P690" s="242"/>
      <c r="Q690" s="525"/>
      <c r="R690" s="242"/>
      <c r="S690" s="242"/>
      <c r="T690" s="242"/>
      <c r="U690" s="242"/>
      <c r="V690" s="242"/>
      <c r="W690" s="242"/>
      <c r="X690" s="242"/>
      <c r="Y690" s="242"/>
      <c r="Z690" s="242"/>
      <c r="AA690" s="242"/>
      <c r="AB690" s="242"/>
      <c r="AC690" s="242"/>
      <c r="AD690" s="242"/>
      <c r="AE690" s="242"/>
      <c r="AF690" s="242"/>
      <c r="AG690" s="242"/>
      <c r="AH690" s="242"/>
      <c r="AI690" s="242"/>
      <c r="AJ690" s="13"/>
      <c r="AK690" s="242"/>
      <c r="AL690" s="242"/>
      <c r="AM690" s="242"/>
      <c r="AN690" s="242"/>
      <c r="AO690" s="242"/>
    </row>
    <row r="691">
      <c r="A691" s="242"/>
      <c r="B691" s="13"/>
      <c r="C691" s="242"/>
      <c r="D691" s="242"/>
      <c r="E691" s="242"/>
      <c r="F691" s="242"/>
      <c r="G691" s="13"/>
      <c r="H691" s="13"/>
      <c r="I691" s="13"/>
      <c r="J691" s="13"/>
      <c r="K691" s="13"/>
      <c r="L691" s="242"/>
      <c r="M691" s="242"/>
      <c r="N691" s="242"/>
      <c r="O691" s="242"/>
      <c r="P691" s="242"/>
      <c r="Q691" s="525"/>
      <c r="R691" s="242"/>
      <c r="S691" s="242"/>
      <c r="T691" s="242"/>
      <c r="U691" s="242"/>
      <c r="V691" s="242"/>
      <c r="W691" s="242"/>
      <c r="X691" s="242"/>
      <c r="Y691" s="242"/>
      <c r="Z691" s="242"/>
      <c r="AA691" s="242"/>
      <c r="AB691" s="242"/>
      <c r="AC691" s="242"/>
      <c r="AD691" s="242"/>
      <c r="AE691" s="242"/>
      <c r="AF691" s="242"/>
      <c r="AG691" s="242"/>
      <c r="AH691" s="242"/>
      <c r="AI691" s="242"/>
      <c r="AJ691" s="13"/>
      <c r="AK691" s="242"/>
      <c r="AL691" s="242"/>
      <c r="AM691" s="242"/>
      <c r="AN691" s="242"/>
      <c r="AO691" s="242"/>
    </row>
    <row r="692">
      <c r="A692" s="242"/>
      <c r="B692" s="13"/>
      <c r="C692" s="242"/>
      <c r="D692" s="242"/>
      <c r="E692" s="242"/>
      <c r="F692" s="242"/>
      <c r="G692" s="13"/>
      <c r="H692" s="13"/>
      <c r="I692" s="13"/>
      <c r="J692" s="13"/>
      <c r="K692" s="13"/>
      <c r="L692" s="242"/>
      <c r="M692" s="242"/>
      <c r="N692" s="242"/>
      <c r="O692" s="242"/>
      <c r="P692" s="242"/>
      <c r="Q692" s="525"/>
      <c r="R692" s="242"/>
      <c r="S692" s="242"/>
      <c r="T692" s="242"/>
      <c r="U692" s="242"/>
      <c r="V692" s="242"/>
      <c r="W692" s="242"/>
      <c r="X692" s="242"/>
      <c r="Y692" s="242"/>
      <c r="Z692" s="242"/>
      <c r="AA692" s="242"/>
      <c r="AB692" s="242"/>
      <c r="AC692" s="242"/>
      <c r="AD692" s="242"/>
      <c r="AE692" s="242"/>
      <c r="AF692" s="242"/>
      <c r="AG692" s="242"/>
      <c r="AH692" s="242"/>
      <c r="AI692" s="242"/>
      <c r="AJ692" s="13"/>
      <c r="AK692" s="242"/>
      <c r="AL692" s="242"/>
      <c r="AM692" s="242"/>
      <c r="AN692" s="242"/>
      <c r="AO692" s="242"/>
    </row>
    <row r="693">
      <c r="A693" s="242"/>
      <c r="B693" s="13"/>
      <c r="C693" s="242"/>
      <c r="D693" s="242"/>
      <c r="E693" s="242"/>
      <c r="F693" s="242"/>
      <c r="G693" s="13"/>
      <c r="H693" s="13"/>
      <c r="I693" s="13"/>
      <c r="J693" s="13"/>
      <c r="K693" s="13"/>
      <c r="L693" s="242"/>
      <c r="M693" s="242"/>
      <c r="N693" s="242"/>
      <c r="O693" s="242"/>
      <c r="P693" s="242"/>
      <c r="Q693" s="525"/>
      <c r="R693" s="242"/>
      <c r="S693" s="242"/>
      <c r="T693" s="242"/>
      <c r="U693" s="242"/>
      <c r="V693" s="242"/>
      <c r="W693" s="242"/>
      <c r="X693" s="242"/>
      <c r="Y693" s="242"/>
      <c r="Z693" s="242"/>
      <c r="AA693" s="242"/>
      <c r="AB693" s="242"/>
      <c r="AC693" s="242"/>
      <c r="AD693" s="242"/>
      <c r="AE693" s="242"/>
      <c r="AF693" s="242"/>
      <c r="AG693" s="242"/>
      <c r="AH693" s="242"/>
      <c r="AI693" s="242"/>
      <c r="AJ693" s="13"/>
      <c r="AK693" s="242"/>
      <c r="AL693" s="242"/>
      <c r="AM693" s="242"/>
      <c r="AN693" s="242"/>
      <c r="AO693" s="242"/>
    </row>
    <row r="694">
      <c r="A694" s="242"/>
      <c r="B694" s="13"/>
      <c r="C694" s="242"/>
      <c r="D694" s="242"/>
      <c r="E694" s="242"/>
      <c r="F694" s="242"/>
      <c r="G694" s="13"/>
      <c r="H694" s="13"/>
      <c r="I694" s="13"/>
      <c r="J694" s="13"/>
      <c r="K694" s="13"/>
      <c r="L694" s="242"/>
      <c r="M694" s="242"/>
      <c r="N694" s="242"/>
      <c r="O694" s="242"/>
      <c r="P694" s="242"/>
      <c r="Q694" s="525"/>
      <c r="R694" s="242"/>
      <c r="S694" s="242"/>
      <c r="T694" s="242"/>
      <c r="U694" s="242"/>
      <c r="V694" s="242"/>
      <c r="W694" s="242"/>
      <c r="X694" s="242"/>
      <c r="Y694" s="242"/>
      <c r="Z694" s="242"/>
      <c r="AA694" s="242"/>
      <c r="AB694" s="242"/>
      <c r="AC694" s="242"/>
      <c r="AD694" s="242"/>
      <c r="AE694" s="242"/>
      <c r="AF694" s="242"/>
      <c r="AG694" s="242"/>
      <c r="AH694" s="242"/>
      <c r="AI694" s="242"/>
      <c r="AJ694" s="13"/>
      <c r="AK694" s="242"/>
      <c r="AL694" s="242"/>
      <c r="AM694" s="242"/>
      <c r="AN694" s="242"/>
      <c r="AO694" s="242"/>
    </row>
    <row r="695">
      <c r="A695" s="242"/>
      <c r="B695" s="13"/>
      <c r="C695" s="242"/>
      <c r="D695" s="242"/>
      <c r="E695" s="242"/>
      <c r="F695" s="242"/>
      <c r="G695" s="13"/>
      <c r="H695" s="13"/>
      <c r="I695" s="13"/>
      <c r="J695" s="13"/>
      <c r="K695" s="13"/>
      <c r="L695" s="242"/>
      <c r="M695" s="242"/>
      <c r="N695" s="242"/>
      <c r="O695" s="242"/>
      <c r="P695" s="242"/>
      <c r="Q695" s="525"/>
      <c r="R695" s="242"/>
      <c r="S695" s="242"/>
      <c r="T695" s="242"/>
      <c r="U695" s="242"/>
      <c r="V695" s="242"/>
      <c r="W695" s="242"/>
      <c r="X695" s="242"/>
      <c r="Y695" s="242"/>
      <c r="Z695" s="242"/>
      <c r="AA695" s="242"/>
      <c r="AB695" s="242"/>
      <c r="AC695" s="242"/>
      <c r="AD695" s="242"/>
      <c r="AE695" s="242"/>
      <c r="AF695" s="242"/>
      <c r="AG695" s="242"/>
      <c r="AH695" s="242"/>
      <c r="AI695" s="242"/>
      <c r="AJ695" s="13"/>
      <c r="AK695" s="242"/>
      <c r="AL695" s="242"/>
      <c r="AM695" s="242"/>
      <c r="AN695" s="242"/>
      <c r="AO695" s="242"/>
    </row>
    <row r="696">
      <c r="A696" s="242"/>
      <c r="B696" s="13"/>
      <c r="C696" s="242"/>
      <c r="D696" s="242"/>
      <c r="E696" s="242"/>
      <c r="F696" s="242"/>
      <c r="G696" s="13"/>
      <c r="H696" s="13"/>
      <c r="I696" s="13"/>
      <c r="J696" s="13"/>
      <c r="K696" s="13"/>
      <c r="L696" s="242"/>
      <c r="M696" s="242"/>
      <c r="N696" s="242"/>
      <c r="O696" s="242"/>
      <c r="P696" s="242"/>
      <c r="Q696" s="525"/>
      <c r="R696" s="242"/>
      <c r="S696" s="242"/>
      <c r="T696" s="242"/>
      <c r="U696" s="242"/>
      <c r="V696" s="242"/>
      <c r="W696" s="242"/>
      <c r="X696" s="242"/>
      <c r="Y696" s="242"/>
      <c r="Z696" s="242"/>
      <c r="AA696" s="242"/>
      <c r="AB696" s="242"/>
      <c r="AC696" s="242"/>
      <c r="AD696" s="242"/>
      <c r="AE696" s="242"/>
      <c r="AF696" s="242"/>
      <c r="AG696" s="242"/>
      <c r="AH696" s="242"/>
      <c r="AI696" s="242"/>
      <c r="AJ696" s="13"/>
      <c r="AK696" s="242"/>
      <c r="AL696" s="242"/>
      <c r="AM696" s="242"/>
      <c r="AN696" s="242"/>
      <c r="AO696" s="242"/>
    </row>
    <row r="697">
      <c r="A697" s="242"/>
      <c r="B697" s="13"/>
      <c r="C697" s="242"/>
      <c r="D697" s="242"/>
      <c r="E697" s="242"/>
      <c r="F697" s="242"/>
      <c r="G697" s="13"/>
      <c r="H697" s="13"/>
      <c r="I697" s="13"/>
      <c r="J697" s="13"/>
      <c r="K697" s="13"/>
      <c r="L697" s="242"/>
      <c r="M697" s="242"/>
      <c r="N697" s="242"/>
      <c r="O697" s="242"/>
      <c r="P697" s="242"/>
      <c r="Q697" s="525"/>
      <c r="R697" s="242"/>
      <c r="S697" s="242"/>
      <c r="T697" s="242"/>
      <c r="U697" s="242"/>
      <c r="V697" s="242"/>
      <c r="W697" s="242"/>
      <c r="X697" s="242"/>
      <c r="Y697" s="242"/>
      <c r="Z697" s="242"/>
      <c r="AA697" s="242"/>
      <c r="AB697" s="242"/>
      <c r="AC697" s="242"/>
      <c r="AD697" s="242"/>
      <c r="AE697" s="242"/>
      <c r="AF697" s="242"/>
      <c r="AG697" s="242"/>
      <c r="AH697" s="242"/>
      <c r="AI697" s="242"/>
      <c r="AJ697" s="13"/>
      <c r="AK697" s="242"/>
      <c r="AL697" s="242"/>
      <c r="AM697" s="242"/>
      <c r="AN697" s="242"/>
      <c r="AO697" s="242"/>
    </row>
    <row r="698">
      <c r="A698" s="242"/>
      <c r="B698" s="13"/>
      <c r="C698" s="242"/>
      <c r="D698" s="242"/>
      <c r="E698" s="242"/>
      <c r="F698" s="242"/>
      <c r="G698" s="13"/>
      <c r="H698" s="13"/>
      <c r="I698" s="13"/>
      <c r="J698" s="13"/>
      <c r="K698" s="13"/>
      <c r="L698" s="242"/>
      <c r="M698" s="242"/>
      <c r="N698" s="242"/>
      <c r="O698" s="242"/>
      <c r="P698" s="242"/>
      <c r="Q698" s="525"/>
      <c r="R698" s="242"/>
      <c r="S698" s="242"/>
      <c r="T698" s="242"/>
      <c r="U698" s="242"/>
      <c r="V698" s="242"/>
      <c r="W698" s="242"/>
      <c r="X698" s="242"/>
      <c r="Y698" s="242"/>
      <c r="Z698" s="242"/>
      <c r="AA698" s="242"/>
      <c r="AB698" s="242"/>
      <c r="AC698" s="242"/>
      <c r="AD698" s="242"/>
      <c r="AE698" s="242"/>
      <c r="AF698" s="242"/>
      <c r="AG698" s="242"/>
      <c r="AH698" s="242"/>
      <c r="AI698" s="242"/>
      <c r="AJ698" s="13"/>
      <c r="AK698" s="242"/>
      <c r="AL698" s="242"/>
      <c r="AM698" s="242"/>
      <c r="AN698" s="242"/>
      <c r="AO698" s="242"/>
    </row>
    <row r="699">
      <c r="A699" s="242"/>
      <c r="B699" s="13"/>
      <c r="C699" s="242"/>
      <c r="D699" s="242"/>
      <c r="E699" s="242"/>
      <c r="F699" s="242"/>
      <c r="G699" s="13"/>
      <c r="H699" s="13"/>
      <c r="I699" s="13"/>
      <c r="J699" s="13"/>
      <c r="K699" s="13"/>
      <c r="L699" s="242"/>
      <c r="M699" s="242"/>
      <c r="N699" s="242"/>
      <c r="O699" s="242"/>
      <c r="P699" s="242"/>
      <c r="Q699" s="525"/>
      <c r="R699" s="242"/>
      <c r="S699" s="242"/>
      <c r="T699" s="242"/>
      <c r="U699" s="242"/>
      <c r="V699" s="242"/>
      <c r="W699" s="242"/>
      <c r="X699" s="242"/>
      <c r="Y699" s="242"/>
      <c r="Z699" s="242"/>
      <c r="AA699" s="242"/>
      <c r="AB699" s="242"/>
      <c r="AC699" s="242"/>
      <c r="AD699" s="242"/>
      <c r="AE699" s="242"/>
      <c r="AF699" s="242"/>
      <c r="AG699" s="242"/>
      <c r="AH699" s="242"/>
      <c r="AI699" s="242"/>
      <c r="AJ699" s="13"/>
      <c r="AK699" s="242"/>
      <c r="AL699" s="242"/>
      <c r="AM699" s="242"/>
      <c r="AN699" s="242"/>
      <c r="AO699" s="242"/>
    </row>
    <row r="700">
      <c r="A700" s="242"/>
      <c r="B700" s="13"/>
      <c r="C700" s="242"/>
      <c r="D700" s="242"/>
      <c r="E700" s="242"/>
      <c r="F700" s="242"/>
      <c r="G700" s="13"/>
      <c r="H700" s="13"/>
      <c r="I700" s="13"/>
      <c r="J700" s="13"/>
      <c r="K700" s="13"/>
      <c r="L700" s="242"/>
      <c r="M700" s="242"/>
      <c r="N700" s="242"/>
      <c r="O700" s="242"/>
      <c r="P700" s="242"/>
      <c r="Q700" s="525"/>
      <c r="R700" s="242"/>
      <c r="S700" s="242"/>
      <c r="T700" s="242"/>
      <c r="U700" s="242"/>
      <c r="V700" s="242"/>
      <c r="W700" s="242"/>
      <c r="X700" s="242"/>
      <c r="Y700" s="242"/>
      <c r="Z700" s="242"/>
      <c r="AA700" s="242"/>
      <c r="AB700" s="242"/>
      <c r="AC700" s="242"/>
      <c r="AD700" s="242"/>
      <c r="AE700" s="242"/>
      <c r="AF700" s="242"/>
      <c r="AG700" s="242"/>
      <c r="AH700" s="242"/>
      <c r="AI700" s="242"/>
      <c r="AJ700" s="13"/>
      <c r="AK700" s="242"/>
      <c r="AL700" s="242"/>
      <c r="AM700" s="242"/>
      <c r="AN700" s="242"/>
      <c r="AO700" s="242"/>
    </row>
    <row r="701">
      <c r="A701" s="242"/>
      <c r="B701" s="13"/>
      <c r="C701" s="242"/>
      <c r="D701" s="242"/>
      <c r="E701" s="242"/>
      <c r="F701" s="242"/>
      <c r="G701" s="13"/>
      <c r="H701" s="13"/>
      <c r="I701" s="13"/>
      <c r="J701" s="13"/>
      <c r="K701" s="13"/>
      <c r="L701" s="242"/>
      <c r="M701" s="242"/>
      <c r="N701" s="242"/>
      <c r="O701" s="242"/>
      <c r="P701" s="242"/>
      <c r="Q701" s="525"/>
      <c r="R701" s="242"/>
      <c r="S701" s="242"/>
      <c r="T701" s="242"/>
      <c r="U701" s="242"/>
      <c r="V701" s="242"/>
      <c r="W701" s="242"/>
      <c r="X701" s="242"/>
      <c r="Y701" s="242"/>
      <c r="Z701" s="242"/>
      <c r="AA701" s="242"/>
      <c r="AB701" s="242"/>
      <c r="AC701" s="242"/>
      <c r="AD701" s="242"/>
      <c r="AE701" s="242"/>
      <c r="AF701" s="242"/>
      <c r="AG701" s="242"/>
      <c r="AH701" s="242"/>
      <c r="AI701" s="242"/>
      <c r="AJ701" s="13"/>
      <c r="AK701" s="242"/>
      <c r="AL701" s="242"/>
      <c r="AM701" s="242"/>
      <c r="AN701" s="242"/>
      <c r="AO701" s="242"/>
    </row>
    <row r="702">
      <c r="A702" s="242"/>
      <c r="B702" s="13"/>
      <c r="C702" s="242"/>
      <c r="D702" s="242"/>
      <c r="E702" s="242"/>
      <c r="F702" s="242"/>
      <c r="G702" s="13"/>
      <c r="H702" s="13"/>
      <c r="I702" s="13"/>
      <c r="J702" s="13"/>
      <c r="K702" s="13"/>
      <c r="L702" s="242"/>
      <c r="M702" s="242"/>
      <c r="N702" s="242"/>
      <c r="O702" s="242"/>
      <c r="P702" s="242"/>
      <c r="Q702" s="525"/>
      <c r="R702" s="242"/>
      <c r="S702" s="242"/>
      <c r="T702" s="242"/>
      <c r="U702" s="242"/>
      <c r="V702" s="242"/>
      <c r="W702" s="242"/>
      <c r="X702" s="242"/>
      <c r="Y702" s="242"/>
      <c r="Z702" s="242"/>
      <c r="AA702" s="242"/>
      <c r="AB702" s="242"/>
      <c r="AC702" s="242"/>
      <c r="AD702" s="242"/>
      <c r="AE702" s="242"/>
      <c r="AF702" s="242"/>
      <c r="AG702" s="242"/>
      <c r="AH702" s="242"/>
      <c r="AI702" s="242"/>
      <c r="AJ702" s="13"/>
      <c r="AK702" s="242"/>
      <c r="AL702" s="242"/>
      <c r="AM702" s="242"/>
      <c r="AN702" s="242"/>
      <c r="AO702" s="242"/>
    </row>
    <row r="703">
      <c r="A703" s="242"/>
      <c r="B703" s="13"/>
      <c r="C703" s="242"/>
      <c r="D703" s="242"/>
      <c r="E703" s="242"/>
      <c r="F703" s="242"/>
      <c r="G703" s="13"/>
      <c r="H703" s="13"/>
      <c r="I703" s="13"/>
      <c r="J703" s="13"/>
      <c r="K703" s="13"/>
      <c r="L703" s="242"/>
      <c r="M703" s="242"/>
      <c r="N703" s="242"/>
      <c r="O703" s="242"/>
      <c r="P703" s="242"/>
      <c r="Q703" s="525"/>
      <c r="R703" s="242"/>
      <c r="S703" s="242"/>
      <c r="T703" s="242"/>
      <c r="U703" s="242"/>
      <c r="V703" s="242"/>
      <c r="W703" s="242"/>
      <c r="X703" s="242"/>
      <c r="Y703" s="242"/>
      <c r="Z703" s="242"/>
      <c r="AA703" s="242"/>
      <c r="AB703" s="242"/>
      <c r="AC703" s="242"/>
      <c r="AD703" s="242"/>
      <c r="AE703" s="242"/>
      <c r="AF703" s="242"/>
      <c r="AG703" s="242"/>
      <c r="AH703" s="242"/>
      <c r="AI703" s="242"/>
      <c r="AJ703" s="13"/>
      <c r="AK703" s="242"/>
      <c r="AL703" s="242"/>
      <c r="AM703" s="242"/>
      <c r="AN703" s="242"/>
      <c r="AO703" s="242"/>
    </row>
    <row r="704">
      <c r="A704" s="242"/>
      <c r="B704" s="13"/>
      <c r="C704" s="242"/>
      <c r="D704" s="242"/>
      <c r="E704" s="242"/>
      <c r="F704" s="242"/>
      <c r="G704" s="13"/>
      <c r="H704" s="13"/>
      <c r="I704" s="13"/>
      <c r="J704" s="13"/>
      <c r="K704" s="13"/>
      <c r="L704" s="242"/>
      <c r="M704" s="242"/>
      <c r="N704" s="242"/>
      <c r="O704" s="242"/>
      <c r="P704" s="242"/>
      <c r="Q704" s="525"/>
      <c r="R704" s="242"/>
      <c r="S704" s="242"/>
      <c r="T704" s="242"/>
      <c r="U704" s="242"/>
      <c r="V704" s="242"/>
      <c r="W704" s="242"/>
      <c r="X704" s="242"/>
      <c r="Y704" s="242"/>
      <c r="Z704" s="242"/>
      <c r="AA704" s="242"/>
      <c r="AB704" s="242"/>
      <c r="AC704" s="242"/>
      <c r="AD704" s="242"/>
      <c r="AE704" s="242"/>
      <c r="AF704" s="242"/>
      <c r="AG704" s="242"/>
      <c r="AH704" s="242"/>
      <c r="AI704" s="242"/>
      <c r="AJ704" s="13"/>
      <c r="AK704" s="242"/>
      <c r="AL704" s="242"/>
      <c r="AM704" s="242"/>
      <c r="AN704" s="242"/>
      <c r="AO704" s="242"/>
    </row>
    <row r="705">
      <c r="A705" s="242"/>
      <c r="B705" s="13"/>
      <c r="C705" s="242"/>
      <c r="D705" s="242"/>
      <c r="E705" s="242"/>
      <c r="F705" s="242"/>
      <c r="G705" s="13"/>
      <c r="H705" s="13"/>
      <c r="I705" s="13"/>
      <c r="J705" s="13"/>
      <c r="K705" s="13"/>
      <c r="L705" s="242"/>
      <c r="M705" s="242"/>
      <c r="N705" s="242"/>
      <c r="O705" s="242"/>
      <c r="P705" s="242"/>
      <c r="Q705" s="525"/>
      <c r="R705" s="242"/>
      <c r="S705" s="242"/>
      <c r="T705" s="242"/>
      <c r="U705" s="242"/>
      <c r="V705" s="242"/>
      <c r="W705" s="242"/>
      <c r="X705" s="242"/>
      <c r="Y705" s="242"/>
      <c r="Z705" s="242"/>
      <c r="AA705" s="242"/>
      <c r="AB705" s="242"/>
      <c r="AC705" s="242"/>
      <c r="AD705" s="242"/>
      <c r="AE705" s="242"/>
      <c r="AF705" s="242"/>
      <c r="AG705" s="242"/>
      <c r="AH705" s="242"/>
      <c r="AI705" s="242"/>
      <c r="AJ705" s="13"/>
      <c r="AK705" s="242"/>
      <c r="AL705" s="242"/>
      <c r="AM705" s="242"/>
      <c r="AN705" s="242"/>
      <c r="AO705" s="242"/>
    </row>
    <row r="706">
      <c r="A706" s="242"/>
      <c r="B706" s="13"/>
      <c r="C706" s="242"/>
      <c r="D706" s="242"/>
      <c r="E706" s="242"/>
      <c r="F706" s="242"/>
      <c r="G706" s="13"/>
      <c r="H706" s="13"/>
      <c r="I706" s="13"/>
      <c r="J706" s="13"/>
      <c r="K706" s="13"/>
      <c r="L706" s="242"/>
      <c r="M706" s="242"/>
      <c r="N706" s="242"/>
      <c r="O706" s="242"/>
      <c r="P706" s="242"/>
      <c r="Q706" s="525"/>
      <c r="R706" s="242"/>
      <c r="S706" s="242"/>
      <c r="T706" s="242"/>
      <c r="U706" s="242"/>
      <c r="V706" s="242"/>
      <c r="W706" s="242"/>
      <c r="X706" s="242"/>
      <c r="Y706" s="242"/>
      <c r="Z706" s="242"/>
      <c r="AA706" s="242"/>
      <c r="AB706" s="242"/>
      <c r="AC706" s="242"/>
      <c r="AD706" s="242"/>
      <c r="AE706" s="242"/>
      <c r="AF706" s="242"/>
      <c r="AG706" s="242"/>
      <c r="AH706" s="242"/>
      <c r="AI706" s="242"/>
      <c r="AJ706" s="13"/>
      <c r="AK706" s="242"/>
      <c r="AL706" s="242"/>
      <c r="AM706" s="242"/>
      <c r="AN706" s="242"/>
      <c r="AO706" s="242"/>
    </row>
    <row r="707">
      <c r="A707" s="242"/>
      <c r="B707" s="13"/>
      <c r="C707" s="242"/>
      <c r="D707" s="242"/>
      <c r="E707" s="242"/>
      <c r="F707" s="242"/>
      <c r="G707" s="13"/>
      <c r="H707" s="13"/>
      <c r="I707" s="13"/>
      <c r="J707" s="13"/>
      <c r="K707" s="13"/>
      <c r="L707" s="242"/>
      <c r="M707" s="242"/>
      <c r="N707" s="242"/>
      <c r="O707" s="242"/>
      <c r="P707" s="242"/>
      <c r="Q707" s="525"/>
      <c r="R707" s="242"/>
      <c r="S707" s="242"/>
      <c r="T707" s="242"/>
      <c r="U707" s="242"/>
      <c r="V707" s="242"/>
      <c r="W707" s="242"/>
      <c r="X707" s="242"/>
      <c r="Y707" s="242"/>
      <c r="Z707" s="242"/>
      <c r="AA707" s="242"/>
      <c r="AB707" s="242"/>
      <c r="AC707" s="242"/>
      <c r="AD707" s="242"/>
      <c r="AE707" s="242"/>
      <c r="AF707" s="242"/>
      <c r="AG707" s="242"/>
      <c r="AH707" s="242"/>
      <c r="AI707" s="242"/>
      <c r="AJ707" s="13"/>
      <c r="AK707" s="242"/>
      <c r="AL707" s="242"/>
      <c r="AM707" s="242"/>
      <c r="AN707" s="242"/>
      <c r="AO707" s="242"/>
    </row>
    <row r="708">
      <c r="A708" s="242"/>
      <c r="B708" s="13"/>
      <c r="C708" s="242"/>
      <c r="D708" s="242"/>
      <c r="E708" s="242"/>
      <c r="F708" s="242"/>
      <c r="G708" s="13"/>
      <c r="H708" s="13"/>
      <c r="I708" s="13"/>
      <c r="J708" s="13"/>
      <c r="K708" s="13"/>
      <c r="L708" s="242"/>
      <c r="M708" s="242"/>
      <c r="N708" s="242"/>
      <c r="O708" s="242"/>
      <c r="P708" s="242"/>
      <c r="Q708" s="525"/>
      <c r="R708" s="242"/>
      <c r="S708" s="242"/>
      <c r="T708" s="242"/>
      <c r="U708" s="242"/>
      <c r="V708" s="242"/>
      <c r="W708" s="242"/>
      <c r="X708" s="242"/>
      <c r="Y708" s="242"/>
      <c r="Z708" s="242"/>
      <c r="AA708" s="242"/>
      <c r="AB708" s="242"/>
      <c r="AC708" s="242"/>
      <c r="AD708" s="242"/>
      <c r="AE708" s="242"/>
      <c r="AF708" s="242"/>
      <c r="AG708" s="242"/>
      <c r="AH708" s="242"/>
      <c r="AI708" s="242"/>
      <c r="AJ708" s="13"/>
      <c r="AK708" s="242"/>
      <c r="AL708" s="242"/>
      <c r="AM708" s="242"/>
      <c r="AN708" s="242"/>
      <c r="AO708" s="242"/>
    </row>
    <row r="709">
      <c r="A709" s="242"/>
      <c r="B709" s="13"/>
      <c r="C709" s="242"/>
      <c r="D709" s="242"/>
      <c r="E709" s="242"/>
      <c r="F709" s="242"/>
      <c r="G709" s="13"/>
      <c r="H709" s="13"/>
      <c r="I709" s="13"/>
      <c r="J709" s="13"/>
      <c r="K709" s="13"/>
      <c r="L709" s="242"/>
      <c r="M709" s="242"/>
      <c r="N709" s="242"/>
      <c r="O709" s="242"/>
      <c r="P709" s="242"/>
      <c r="Q709" s="525"/>
      <c r="R709" s="242"/>
      <c r="S709" s="242"/>
      <c r="T709" s="242"/>
      <c r="U709" s="242"/>
      <c r="V709" s="242"/>
      <c r="W709" s="242"/>
      <c r="X709" s="242"/>
      <c r="Y709" s="242"/>
      <c r="Z709" s="242"/>
      <c r="AA709" s="242"/>
      <c r="AB709" s="242"/>
      <c r="AC709" s="242"/>
      <c r="AD709" s="242"/>
      <c r="AE709" s="242"/>
      <c r="AF709" s="242"/>
      <c r="AG709" s="242"/>
      <c r="AH709" s="242"/>
      <c r="AI709" s="242"/>
      <c r="AJ709" s="13"/>
      <c r="AK709" s="242"/>
      <c r="AL709" s="242"/>
      <c r="AM709" s="242"/>
      <c r="AN709" s="242"/>
      <c r="AO709" s="242"/>
    </row>
    <row r="710">
      <c r="A710" s="242"/>
      <c r="B710" s="13"/>
      <c r="C710" s="242"/>
      <c r="D710" s="242"/>
      <c r="E710" s="242"/>
      <c r="F710" s="242"/>
      <c r="G710" s="13"/>
      <c r="H710" s="13"/>
      <c r="I710" s="13"/>
      <c r="J710" s="13"/>
      <c r="K710" s="13"/>
      <c r="L710" s="242"/>
      <c r="M710" s="242"/>
      <c r="N710" s="242"/>
      <c r="O710" s="242"/>
      <c r="P710" s="242"/>
      <c r="Q710" s="525"/>
      <c r="R710" s="242"/>
      <c r="S710" s="242"/>
      <c r="T710" s="242"/>
      <c r="U710" s="242"/>
      <c r="V710" s="242"/>
      <c r="W710" s="242"/>
      <c r="X710" s="242"/>
      <c r="Y710" s="242"/>
      <c r="Z710" s="242"/>
      <c r="AA710" s="242"/>
      <c r="AB710" s="242"/>
      <c r="AC710" s="242"/>
      <c r="AD710" s="242"/>
      <c r="AE710" s="242"/>
      <c r="AF710" s="242"/>
      <c r="AG710" s="242"/>
      <c r="AH710" s="242"/>
      <c r="AI710" s="242"/>
      <c r="AJ710" s="13"/>
      <c r="AK710" s="242"/>
      <c r="AL710" s="242"/>
      <c r="AM710" s="242"/>
      <c r="AN710" s="242"/>
      <c r="AO710" s="242"/>
    </row>
    <row r="711">
      <c r="A711" s="242"/>
      <c r="B711" s="13"/>
      <c r="C711" s="242"/>
      <c r="D711" s="242"/>
      <c r="E711" s="242"/>
      <c r="F711" s="242"/>
      <c r="G711" s="13"/>
      <c r="H711" s="13"/>
      <c r="I711" s="13"/>
      <c r="J711" s="13"/>
      <c r="K711" s="13"/>
      <c r="L711" s="242"/>
      <c r="M711" s="242"/>
      <c r="N711" s="242"/>
      <c r="O711" s="242"/>
      <c r="P711" s="242"/>
      <c r="Q711" s="525"/>
      <c r="R711" s="242"/>
      <c r="S711" s="242"/>
      <c r="T711" s="242"/>
      <c r="U711" s="242"/>
      <c r="V711" s="242"/>
      <c r="W711" s="242"/>
      <c r="X711" s="242"/>
      <c r="Y711" s="242"/>
      <c r="Z711" s="242"/>
      <c r="AA711" s="242"/>
      <c r="AB711" s="242"/>
      <c r="AC711" s="242"/>
      <c r="AD711" s="242"/>
      <c r="AE711" s="242"/>
      <c r="AF711" s="242"/>
      <c r="AG711" s="242"/>
      <c r="AH711" s="242"/>
      <c r="AI711" s="242"/>
      <c r="AJ711" s="13"/>
      <c r="AK711" s="242"/>
      <c r="AL711" s="242"/>
      <c r="AM711" s="242"/>
      <c r="AN711" s="242"/>
      <c r="AO711" s="242"/>
    </row>
    <row r="712">
      <c r="A712" s="242"/>
      <c r="B712" s="13"/>
      <c r="C712" s="242"/>
      <c r="D712" s="242"/>
      <c r="E712" s="242"/>
      <c r="F712" s="242"/>
      <c r="G712" s="13"/>
      <c r="H712" s="13"/>
      <c r="I712" s="13"/>
      <c r="J712" s="13"/>
      <c r="K712" s="13"/>
      <c r="L712" s="242"/>
      <c r="M712" s="242"/>
      <c r="N712" s="242"/>
      <c r="O712" s="242"/>
      <c r="P712" s="242"/>
      <c r="Q712" s="525"/>
      <c r="R712" s="242"/>
      <c r="S712" s="242"/>
      <c r="T712" s="242"/>
      <c r="U712" s="242"/>
      <c r="V712" s="242"/>
      <c r="W712" s="242"/>
      <c r="X712" s="242"/>
      <c r="Y712" s="242"/>
      <c r="Z712" s="242"/>
      <c r="AA712" s="242"/>
      <c r="AB712" s="242"/>
      <c r="AC712" s="242"/>
      <c r="AD712" s="242"/>
      <c r="AE712" s="242"/>
      <c r="AF712" s="242"/>
      <c r="AG712" s="242"/>
      <c r="AH712" s="242"/>
      <c r="AI712" s="242"/>
      <c r="AJ712" s="13"/>
      <c r="AK712" s="242"/>
      <c r="AL712" s="242"/>
      <c r="AM712" s="242"/>
      <c r="AN712" s="242"/>
      <c r="AO712" s="242"/>
    </row>
    <row r="713">
      <c r="A713" s="242"/>
      <c r="B713" s="13"/>
      <c r="C713" s="242"/>
      <c r="D713" s="242"/>
      <c r="E713" s="242"/>
      <c r="F713" s="242"/>
      <c r="G713" s="13"/>
      <c r="H713" s="13"/>
      <c r="I713" s="13"/>
      <c r="J713" s="13"/>
      <c r="K713" s="13"/>
      <c r="L713" s="242"/>
      <c r="M713" s="242"/>
      <c r="N713" s="242"/>
      <c r="O713" s="242"/>
      <c r="P713" s="242"/>
      <c r="Q713" s="525"/>
      <c r="R713" s="242"/>
      <c r="S713" s="242"/>
      <c r="T713" s="242"/>
      <c r="U713" s="242"/>
      <c r="V713" s="242"/>
      <c r="W713" s="242"/>
      <c r="X713" s="242"/>
      <c r="Y713" s="242"/>
      <c r="Z713" s="242"/>
      <c r="AA713" s="242"/>
      <c r="AB713" s="242"/>
      <c r="AC713" s="242"/>
      <c r="AD713" s="242"/>
      <c r="AE713" s="242"/>
      <c r="AF713" s="242"/>
      <c r="AG713" s="242"/>
      <c r="AH713" s="242"/>
      <c r="AI713" s="242"/>
      <c r="AJ713" s="13"/>
      <c r="AK713" s="242"/>
      <c r="AL713" s="242"/>
      <c r="AM713" s="242"/>
      <c r="AN713" s="242"/>
      <c r="AO713" s="242"/>
    </row>
    <row r="714">
      <c r="A714" s="242"/>
      <c r="B714" s="13"/>
      <c r="C714" s="242"/>
      <c r="D714" s="242"/>
      <c r="E714" s="242"/>
      <c r="F714" s="242"/>
      <c r="G714" s="13"/>
      <c r="H714" s="13"/>
      <c r="I714" s="13"/>
      <c r="J714" s="13"/>
      <c r="K714" s="13"/>
      <c r="L714" s="242"/>
      <c r="M714" s="242"/>
      <c r="N714" s="242"/>
      <c r="O714" s="242"/>
      <c r="P714" s="242"/>
      <c r="Q714" s="525"/>
      <c r="R714" s="242"/>
      <c r="S714" s="242"/>
      <c r="T714" s="242"/>
      <c r="U714" s="242"/>
      <c r="V714" s="242"/>
      <c r="W714" s="242"/>
      <c r="X714" s="242"/>
      <c r="Y714" s="242"/>
      <c r="Z714" s="242"/>
      <c r="AA714" s="242"/>
      <c r="AB714" s="242"/>
      <c r="AC714" s="242"/>
      <c r="AD714" s="242"/>
      <c r="AE714" s="242"/>
      <c r="AF714" s="242"/>
      <c r="AG714" s="242"/>
      <c r="AH714" s="242"/>
      <c r="AI714" s="242"/>
      <c r="AJ714" s="13"/>
      <c r="AK714" s="242"/>
      <c r="AL714" s="242"/>
      <c r="AM714" s="242"/>
      <c r="AN714" s="242"/>
      <c r="AO714" s="242"/>
    </row>
    <row r="715">
      <c r="A715" s="242"/>
      <c r="B715" s="13"/>
      <c r="C715" s="242"/>
      <c r="D715" s="242"/>
      <c r="E715" s="242"/>
      <c r="F715" s="242"/>
      <c r="G715" s="13"/>
      <c r="H715" s="13"/>
      <c r="I715" s="13"/>
      <c r="J715" s="13"/>
      <c r="K715" s="13"/>
      <c r="L715" s="242"/>
      <c r="M715" s="242"/>
      <c r="N715" s="242"/>
      <c r="O715" s="242"/>
      <c r="P715" s="242"/>
      <c r="Q715" s="525"/>
      <c r="R715" s="242"/>
      <c r="S715" s="242"/>
      <c r="T715" s="242"/>
      <c r="U715" s="242"/>
      <c r="V715" s="242"/>
      <c r="W715" s="242"/>
      <c r="X715" s="242"/>
      <c r="Y715" s="242"/>
      <c r="Z715" s="242"/>
      <c r="AA715" s="242"/>
      <c r="AB715" s="242"/>
      <c r="AC715" s="242"/>
      <c r="AD715" s="242"/>
      <c r="AE715" s="242"/>
      <c r="AF715" s="242"/>
      <c r="AG715" s="242"/>
      <c r="AH715" s="242"/>
      <c r="AI715" s="242"/>
      <c r="AJ715" s="13"/>
      <c r="AK715" s="242"/>
      <c r="AL715" s="242"/>
      <c r="AM715" s="242"/>
      <c r="AN715" s="242"/>
      <c r="AO715" s="242"/>
    </row>
    <row r="716">
      <c r="A716" s="242"/>
      <c r="B716" s="13"/>
      <c r="C716" s="242"/>
      <c r="D716" s="242"/>
      <c r="E716" s="242"/>
      <c r="F716" s="242"/>
      <c r="G716" s="13"/>
      <c r="H716" s="13"/>
      <c r="I716" s="13"/>
      <c r="J716" s="13"/>
      <c r="K716" s="13"/>
      <c r="L716" s="242"/>
      <c r="M716" s="242"/>
      <c r="N716" s="242"/>
      <c r="O716" s="242"/>
      <c r="P716" s="242"/>
      <c r="Q716" s="525"/>
      <c r="R716" s="242"/>
      <c r="S716" s="242"/>
      <c r="T716" s="242"/>
      <c r="U716" s="242"/>
      <c r="V716" s="242"/>
      <c r="W716" s="242"/>
      <c r="X716" s="242"/>
      <c r="Y716" s="242"/>
      <c r="Z716" s="242"/>
      <c r="AA716" s="242"/>
      <c r="AB716" s="242"/>
      <c r="AC716" s="242"/>
      <c r="AD716" s="242"/>
      <c r="AE716" s="242"/>
      <c r="AF716" s="242"/>
      <c r="AG716" s="242"/>
      <c r="AH716" s="242"/>
      <c r="AI716" s="242"/>
      <c r="AJ716" s="13"/>
      <c r="AK716" s="242"/>
      <c r="AL716" s="242"/>
      <c r="AM716" s="242"/>
      <c r="AN716" s="242"/>
      <c r="AO716" s="242"/>
    </row>
    <row r="717">
      <c r="A717" s="242"/>
      <c r="B717" s="13"/>
      <c r="C717" s="242"/>
      <c r="D717" s="242"/>
      <c r="E717" s="242"/>
      <c r="F717" s="242"/>
      <c r="G717" s="13"/>
      <c r="H717" s="13"/>
      <c r="I717" s="13"/>
      <c r="J717" s="13"/>
      <c r="K717" s="13"/>
      <c r="L717" s="242"/>
      <c r="M717" s="242"/>
      <c r="N717" s="242"/>
      <c r="O717" s="242"/>
      <c r="P717" s="242"/>
      <c r="Q717" s="525"/>
      <c r="R717" s="242"/>
      <c r="S717" s="242"/>
      <c r="T717" s="242"/>
      <c r="U717" s="242"/>
      <c r="V717" s="242"/>
      <c r="W717" s="242"/>
      <c r="X717" s="242"/>
      <c r="Y717" s="242"/>
      <c r="Z717" s="242"/>
      <c r="AA717" s="242"/>
      <c r="AB717" s="242"/>
      <c r="AC717" s="242"/>
      <c r="AD717" s="242"/>
      <c r="AE717" s="242"/>
      <c r="AF717" s="242"/>
      <c r="AG717" s="242"/>
      <c r="AH717" s="242"/>
      <c r="AI717" s="242"/>
      <c r="AJ717" s="13"/>
      <c r="AK717" s="242"/>
      <c r="AL717" s="242"/>
      <c r="AM717" s="242"/>
      <c r="AN717" s="242"/>
      <c r="AO717" s="242"/>
    </row>
    <row r="718">
      <c r="A718" s="242"/>
      <c r="B718" s="13"/>
      <c r="C718" s="242"/>
      <c r="D718" s="242"/>
      <c r="E718" s="242"/>
      <c r="F718" s="242"/>
      <c r="G718" s="13"/>
      <c r="H718" s="13"/>
      <c r="I718" s="13"/>
      <c r="J718" s="13"/>
      <c r="K718" s="13"/>
      <c r="L718" s="242"/>
      <c r="M718" s="242"/>
      <c r="N718" s="242"/>
      <c r="O718" s="242"/>
      <c r="P718" s="242"/>
      <c r="Q718" s="525"/>
      <c r="R718" s="242"/>
      <c r="S718" s="242"/>
      <c r="T718" s="242"/>
      <c r="U718" s="242"/>
      <c r="V718" s="242"/>
      <c r="W718" s="242"/>
      <c r="X718" s="242"/>
      <c r="Y718" s="242"/>
      <c r="Z718" s="242"/>
      <c r="AA718" s="242"/>
      <c r="AB718" s="242"/>
      <c r="AC718" s="242"/>
      <c r="AD718" s="242"/>
      <c r="AE718" s="242"/>
      <c r="AF718" s="242"/>
      <c r="AG718" s="242"/>
      <c r="AH718" s="242"/>
      <c r="AI718" s="242"/>
      <c r="AJ718" s="13"/>
      <c r="AK718" s="242"/>
      <c r="AL718" s="242"/>
      <c r="AM718" s="242"/>
      <c r="AN718" s="242"/>
      <c r="AO718" s="242"/>
    </row>
    <row r="719">
      <c r="A719" s="242"/>
      <c r="B719" s="13"/>
      <c r="C719" s="242"/>
      <c r="D719" s="242"/>
      <c r="E719" s="242"/>
      <c r="F719" s="242"/>
      <c r="G719" s="13"/>
      <c r="H719" s="13"/>
      <c r="I719" s="13"/>
      <c r="J719" s="13"/>
      <c r="K719" s="13"/>
      <c r="L719" s="242"/>
      <c r="M719" s="242"/>
      <c r="N719" s="242"/>
      <c r="O719" s="242"/>
      <c r="P719" s="242"/>
      <c r="Q719" s="525"/>
      <c r="R719" s="242"/>
      <c r="S719" s="242"/>
      <c r="T719" s="242"/>
      <c r="U719" s="242"/>
      <c r="V719" s="242"/>
      <c r="W719" s="242"/>
      <c r="X719" s="242"/>
      <c r="Y719" s="242"/>
      <c r="Z719" s="242"/>
      <c r="AA719" s="242"/>
      <c r="AB719" s="242"/>
      <c r="AC719" s="242"/>
      <c r="AD719" s="242"/>
      <c r="AE719" s="242"/>
      <c r="AF719" s="242"/>
      <c r="AG719" s="242"/>
      <c r="AH719" s="242"/>
      <c r="AI719" s="242"/>
      <c r="AJ719" s="13"/>
      <c r="AK719" s="242"/>
      <c r="AL719" s="242"/>
      <c r="AM719" s="242"/>
      <c r="AN719" s="242"/>
      <c r="AO719" s="242"/>
    </row>
    <row r="720">
      <c r="A720" s="242"/>
      <c r="B720" s="13"/>
      <c r="C720" s="242"/>
      <c r="D720" s="242"/>
      <c r="E720" s="242"/>
      <c r="F720" s="242"/>
      <c r="G720" s="13"/>
      <c r="H720" s="13"/>
      <c r="I720" s="13"/>
      <c r="J720" s="13"/>
      <c r="K720" s="13"/>
      <c r="L720" s="242"/>
      <c r="M720" s="242"/>
      <c r="N720" s="242"/>
      <c r="O720" s="242"/>
      <c r="P720" s="242"/>
      <c r="Q720" s="525"/>
      <c r="R720" s="242"/>
      <c r="S720" s="242"/>
      <c r="T720" s="242"/>
      <c r="U720" s="242"/>
      <c r="V720" s="242"/>
      <c r="W720" s="242"/>
      <c r="X720" s="242"/>
      <c r="Y720" s="242"/>
      <c r="Z720" s="242"/>
      <c r="AA720" s="242"/>
      <c r="AB720" s="242"/>
      <c r="AC720" s="242"/>
      <c r="AD720" s="242"/>
      <c r="AE720" s="242"/>
      <c r="AF720" s="242"/>
      <c r="AG720" s="242"/>
      <c r="AH720" s="242"/>
      <c r="AI720" s="242"/>
      <c r="AJ720" s="13"/>
      <c r="AK720" s="242"/>
      <c r="AL720" s="242"/>
      <c r="AM720" s="242"/>
      <c r="AN720" s="242"/>
      <c r="AO720" s="242"/>
    </row>
    <row r="721">
      <c r="A721" s="242"/>
      <c r="B721" s="13"/>
      <c r="C721" s="242"/>
      <c r="D721" s="242"/>
      <c r="E721" s="242"/>
      <c r="F721" s="242"/>
      <c r="G721" s="13"/>
      <c r="H721" s="13"/>
      <c r="I721" s="13"/>
      <c r="J721" s="13"/>
      <c r="K721" s="13"/>
      <c r="L721" s="242"/>
      <c r="M721" s="242"/>
      <c r="N721" s="242"/>
      <c r="O721" s="242"/>
      <c r="P721" s="242"/>
      <c r="Q721" s="525"/>
      <c r="R721" s="242"/>
      <c r="S721" s="242"/>
      <c r="T721" s="242"/>
      <c r="U721" s="242"/>
      <c r="V721" s="242"/>
      <c r="W721" s="242"/>
      <c r="X721" s="242"/>
      <c r="Y721" s="242"/>
      <c r="Z721" s="242"/>
      <c r="AA721" s="242"/>
      <c r="AB721" s="242"/>
      <c r="AC721" s="242"/>
      <c r="AD721" s="242"/>
      <c r="AE721" s="242"/>
      <c r="AF721" s="242"/>
      <c r="AG721" s="242"/>
      <c r="AH721" s="242"/>
      <c r="AI721" s="242"/>
      <c r="AJ721" s="13"/>
      <c r="AK721" s="242"/>
      <c r="AL721" s="242"/>
      <c r="AM721" s="242"/>
      <c r="AN721" s="242"/>
      <c r="AO721" s="242"/>
    </row>
    <row r="722">
      <c r="A722" s="242"/>
      <c r="B722" s="13"/>
      <c r="C722" s="242"/>
      <c r="D722" s="242"/>
      <c r="E722" s="242"/>
      <c r="F722" s="242"/>
      <c r="G722" s="13"/>
      <c r="H722" s="13"/>
      <c r="I722" s="13"/>
      <c r="J722" s="13"/>
      <c r="K722" s="13"/>
      <c r="L722" s="242"/>
      <c r="M722" s="242"/>
      <c r="N722" s="242"/>
      <c r="O722" s="242"/>
      <c r="P722" s="242"/>
      <c r="Q722" s="525"/>
      <c r="R722" s="242"/>
      <c r="S722" s="242"/>
      <c r="T722" s="242"/>
      <c r="U722" s="242"/>
      <c r="V722" s="242"/>
      <c r="W722" s="242"/>
      <c r="X722" s="242"/>
      <c r="Y722" s="242"/>
      <c r="Z722" s="242"/>
      <c r="AA722" s="242"/>
      <c r="AB722" s="242"/>
      <c r="AC722" s="242"/>
      <c r="AD722" s="242"/>
      <c r="AE722" s="242"/>
      <c r="AF722" s="242"/>
      <c r="AG722" s="242"/>
      <c r="AH722" s="242"/>
      <c r="AI722" s="242"/>
      <c r="AJ722" s="13"/>
      <c r="AK722" s="242"/>
      <c r="AL722" s="242"/>
      <c r="AM722" s="242"/>
      <c r="AN722" s="242"/>
      <c r="AO722" s="242"/>
    </row>
    <row r="723">
      <c r="A723" s="242"/>
      <c r="B723" s="13"/>
      <c r="C723" s="242"/>
      <c r="D723" s="242"/>
      <c r="E723" s="242"/>
      <c r="F723" s="242"/>
      <c r="G723" s="13"/>
      <c r="H723" s="13"/>
      <c r="I723" s="13"/>
      <c r="J723" s="13"/>
      <c r="K723" s="13"/>
      <c r="L723" s="242"/>
      <c r="M723" s="242"/>
      <c r="N723" s="242"/>
      <c r="O723" s="242"/>
      <c r="P723" s="242"/>
      <c r="Q723" s="525"/>
      <c r="R723" s="242"/>
      <c r="S723" s="242"/>
      <c r="T723" s="242"/>
      <c r="U723" s="242"/>
      <c r="V723" s="242"/>
      <c r="W723" s="242"/>
      <c r="X723" s="242"/>
      <c r="Y723" s="242"/>
      <c r="Z723" s="242"/>
      <c r="AA723" s="242"/>
      <c r="AB723" s="242"/>
      <c r="AC723" s="242"/>
      <c r="AD723" s="242"/>
      <c r="AE723" s="242"/>
      <c r="AF723" s="242"/>
      <c r="AG723" s="242"/>
      <c r="AH723" s="242"/>
      <c r="AI723" s="242"/>
      <c r="AJ723" s="13"/>
      <c r="AK723" s="242"/>
      <c r="AL723" s="242"/>
      <c r="AM723" s="242"/>
      <c r="AN723" s="242"/>
      <c r="AO723" s="242"/>
    </row>
    <row r="724">
      <c r="A724" s="242"/>
      <c r="B724" s="13"/>
      <c r="C724" s="242"/>
      <c r="D724" s="242"/>
      <c r="E724" s="242"/>
      <c r="F724" s="242"/>
      <c r="G724" s="13"/>
      <c r="H724" s="13"/>
      <c r="I724" s="13"/>
      <c r="J724" s="13"/>
      <c r="K724" s="13"/>
      <c r="L724" s="242"/>
      <c r="M724" s="242"/>
      <c r="N724" s="242"/>
      <c r="O724" s="242"/>
      <c r="P724" s="242"/>
      <c r="Q724" s="525"/>
      <c r="R724" s="242"/>
      <c r="S724" s="242"/>
      <c r="T724" s="242"/>
      <c r="U724" s="242"/>
      <c r="V724" s="242"/>
      <c r="W724" s="242"/>
      <c r="X724" s="242"/>
      <c r="Y724" s="242"/>
      <c r="Z724" s="242"/>
      <c r="AA724" s="242"/>
      <c r="AB724" s="242"/>
      <c r="AC724" s="242"/>
      <c r="AD724" s="242"/>
      <c r="AE724" s="242"/>
      <c r="AF724" s="242"/>
      <c r="AG724" s="242"/>
      <c r="AH724" s="242"/>
      <c r="AI724" s="242"/>
      <c r="AJ724" s="13"/>
      <c r="AK724" s="242"/>
      <c r="AL724" s="242"/>
      <c r="AM724" s="242"/>
      <c r="AN724" s="242"/>
      <c r="AO724" s="242"/>
    </row>
    <row r="725">
      <c r="A725" s="242"/>
      <c r="B725" s="13"/>
      <c r="C725" s="242"/>
      <c r="D725" s="242"/>
      <c r="E725" s="242"/>
      <c r="F725" s="242"/>
      <c r="G725" s="13"/>
      <c r="H725" s="13"/>
      <c r="I725" s="13"/>
      <c r="J725" s="13"/>
      <c r="K725" s="13"/>
      <c r="L725" s="242"/>
      <c r="M725" s="242"/>
      <c r="N725" s="242"/>
      <c r="O725" s="242"/>
      <c r="P725" s="242"/>
      <c r="Q725" s="525"/>
      <c r="R725" s="242"/>
      <c r="S725" s="242"/>
      <c r="T725" s="242"/>
      <c r="U725" s="242"/>
      <c r="V725" s="242"/>
      <c r="W725" s="242"/>
      <c r="X725" s="242"/>
      <c r="Y725" s="242"/>
      <c r="Z725" s="242"/>
      <c r="AA725" s="242"/>
      <c r="AB725" s="242"/>
      <c r="AC725" s="242"/>
      <c r="AD725" s="242"/>
      <c r="AE725" s="242"/>
      <c r="AF725" s="242"/>
      <c r="AG725" s="242"/>
      <c r="AH725" s="242"/>
      <c r="AI725" s="242"/>
      <c r="AJ725" s="13"/>
      <c r="AK725" s="242"/>
      <c r="AL725" s="242"/>
      <c r="AM725" s="242"/>
      <c r="AN725" s="242"/>
      <c r="AO725" s="242"/>
    </row>
    <row r="726">
      <c r="A726" s="242"/>
      <c r="B726" s="13"/>
      <c r="C726" s="242"/>
      <c r="D726" s="242"/>
      <c r="E726" s="242"/>
      <c r="F726" s="242"/>
      <c r="G726" s="13"/>
      <c r="H726" s="13"/>
      <c r="I726" s="13"/>
      <c r="J726" s="13"/>
      <c r="K726" s="13"/>
      <c r="L726" s="242"/>
      <c r="M726" s="242"/>
      <c r="N726" s="242"/>
      <c r="O726" s="242"/>
      <c r="P726" s="242"/>
      <c r="Q726" s="525"/>
      <c r="R726" s="242"/>
      <c r="S726" s="242"/>
      <c r="T726" s="242"/>
      <c r="U726" s="242"/>
      <c r="V726" s="242"/>
      <c r="W726" s="242"/>
      <c r="X726" s="242"/>
      <c r="Y726" s="242"/>
      <c r="Z726" s="242"/>
      <c r="AA726" s="242"/>
      <c r="AB726" s="242"/>
      <c r="AC726" s="242"/>
      <c r="AD726" s="242"/>
      <c r="AE726" s="242"/>
      <c r="AF726" s="242"/>
      <c r="AG726" s="242"/>
      <c r="AH726" s="242"/>
      <c r="AI726" s="242"/>
      <c r="AJ726" s="13"/>
      <c r="AK726" s="242"/>
      <c r="AL726" s="242"/>
      <c r="AM726" s="242"/>
      <c r="AN726" s="242"/>
      <c r="AO726" s="242"/>
    </row>
    <row r="727">
      <c r="A727" s="242"/>
      <c r="B727" s="13"/>
      <c r="C727" s="242"/>
      <c r="D727" s="242"/>
      <c r="E727" s="242"/>
      <c r="F727" s="242"/>
      <c r="G727" s="13"/>
      <c r="H727" s="13"/>
      <c r="I727" s="13"/>
      <c r="J727" s="13"/>
      <c r="K727" s="13"/>
      <c r="L727" s="242"/>
      <c r="M727" s="242"/>
      <c r="N727" s="242"/>
      <c r="O727" s="242"/>
      <c r="P727" s="242"/>
      <c r="Q727" s="525"/>
      <c r="R727" s="242"/>
      <c r="S727" s="242"/>
      <c r="T727" s="242"/>
      <c r="U727" s="242"/>
      <c r="V727" s="242"/>
      <c r="W727" s="242"/>
      <c r="X727" s="242"/>
      <c r="Y727" s="242"/>
      <c r="Z727" s="242"/>
      <c r="AA727" s="242"/>
      <c r="AB727" s="242"/>
      <c r="AC727" s="242"/>
      <c r="AD727" s="242"/>
      <c r="AE727" s="242"/>
      <c r="AF727" s="242"/>
      <c r="AG727" s="242"/>
      <c r="AH727" s="242"/>
      <c r="AI727" s="242"/>
      <c r="AJ727" s="13"/>
      <c r="AK727" s="242"/>
      <c r="AL727" s="242"/>
      <c r="AM727" s="242"/>
      <c r="AN727" s="242"/>
      <c r="AO727" s="242"/>
    </row>
    <row r="728">
      <c r="A728" s="242"/>
      <c r="B728" s="13"/>
      <c r="C728" s="242"/>
      <c r="D728" s="242"/>
      <c r="E728" s="242"/>
      <c r="F728" s="242"/>
      <c r="G728" s="13"/>
      <c r="H728" s="13"/>
      <c r="I728" s="13"/>
      <c r="J728" s="13"/>
      <c r="K728" s="13"/>
      <c r="L728" s="242"/>
      <c r="M728" s="242"/>
      <c r="N728" s="242"/>
      <c r="O728" s="242"/>
      <c r="P728" s="242"/>
      <c r="Q728" s="525"/>
      <c r="R728" s="242"/>
      <c r="S728" s="242"/>
      <c r="T728" s="242"/>
      <c r="U728" s="242"/>
      <c r="V728" s="242"/>
      <c r="W728" s="242"/>
      <c r="X728" s="242"/>
      <c r="Y728" s="242"/>
      <c r="Z728" s="242"/>
      <c r="AA728" s="242"/>
      <c r="AB728" s="242"/>
      <c r="AC728" s="242"/>
      <c r="AD728" s="242"/>
      <c r="AE728" s="242"/>
      <c r="AF728" s="242"/>
      <c r="AG728" s="242"/>
      <c r="AH728" s="242"/>
      <c r="AI728" s="242"/>
      <c r="AJ728" s="13"/>
      <c r="AK728" s="242"/>
      <c r="AL728" s="242"/>
      <c r="AM728" s="242"/>
      <c r="AN728" s="242"/>
      <c r="AO728" s="242"/>
    </row>
    <row r="729">
      <c r="A729" s="242"/>
      <c r="B729" s="13"/>
      <c r="C729" s="242"/>
      <c r="D729" s="242"/>
      <c r="E729" s="242"/>
      <c r="F729" s="242"/>
      <c r="G729" s="13"/>
      <c r="H729" s="13"/>
      <c r="I729" s="13"/>
      <c r="J729" s="13"/>
      <c r="K729" s="13"/>
      <c r="L729" s="242"/>
      <c r="M729" s="242"/>
      <c r="N729" s="242"/>
      <c r="O729" s="242"/>
      <c r="P729" s="242"/>
      <c r="Q729" s="525"/>
      <c r="R729" s="242"/>
      <c r="S729" s="242"/>
      <c r="T729" s="242"/>
      <c r="U729" s="242"/>
      <c r="V729" s="242"/>
      <c r="W729" s="242"/>
      <c r="X729" s="242"/>
      <c r="Y729" s="242"/>
      <c r="Z729" s="242"/>
      <c r="AA729" s="242"/>
      <c r="AB729" s="242"/>
      <c r="AC729" s="242"/>
      <c r="AD729" s="242"/>
      <c r="AE729" s="242"/>
      <c r="AF729" s="242"/>
      <c r="AG729" s="242"/>
      <c r="AH729" s="242"/>
      <c r="AI729" s="242"/>
      <c r="AJ729" s="13"/>
      <c r="AK729" s="242"/>
      <c r="AL729" s="242"/>
      <c r="AM729" s="242"/>
      <c r="AN729" s="242"/>
      <c r="AO729" s="242"/>
    </row>
    <row r="730">
      <c r="A730" s="242"/>
      <c r="B730" s="13"/>
      <c r="C730" s="242"/>
      <c r="D730" s="242"/>
      <c r="E730" s="242"/>
      <c r="F730" s="242"/>
      <c r="G730" s="13"/>
      <c r="H730" s="13"/>
      <c r="I730" s="13"/>
      <c r="J730" s="13"/>
      <c r="K730" s="13"/>
      <c r="L730" s="242"/>
      <c r="M730" s="242"/>
      <c r="N730" s="242"/>
      <c r="O730" s="242"/>
      <c r="P730" s="242"/>
      <c r="Q730" s="525"/>
      <c r="R730" s="242"/>
      <c r="S730" s="242"/>
      <c r="T730" s="242"/>
      <c r="U730" s="242"/>
      <c r="V730" s="242"/>
      <c r="W730" s="242"/>
      <c r="X730" s="242"/>
      <c r="Y730" s="242"/>
      <c r="Z730" s="242"/>
      <c r="AA730" s="242"/>
      <c r="AB730" s="242"/>
      <c r="AC730" s="242"/>
      <c r="AD730" s="242"/>
      <c r="AE730" s="242"/>
      <c r="AF730" s="242"/>
      <c r="AG730" s="242"/>
      <c r="AH730" s="242"/>
      <c r="AI730" s="242"/>
      <c r="AJ730" s="13"/>
      <c r="AK730" s="242"/>
      <c r="AL730" s="242"/>
      <c r="AM730" s="242"/>
      <c r="AN730" s="242"/>
      <c r="AO730" s="242"/>
    </row>
    <row r="731">
      <c r="A731" s="242"/>
      <c r="B731" s="13"/>
      <c r="C731" s="242"/>
      <c r="D731" s="242"/>
      <c r="E731" s="242"/>
      <c r="F731" s="242"/>
      <c r="G731" s="13"/>
      <c r="H731" s="13"/>
      <c r="I731" s="13"/>
      <c r="J731" s="13"/>
      <c r="K731" s="13"/>
      <c r="L731" s="242"/>
      <c r="M731" s="242"/>
      <c r="N731" s="242"/>
      <c r="O731" s="242"/>
      <c r="P731" s="242"/>
      <c r="Q731" s="525"/>
      <c r="R731" s="242"/>
      <c r="S731" s="242"/>
      <c r="T731" s="242"/>
      <c r="U731" s="242"/>
      <c r="V731" s="242"/>
      <c r="W731" s="242"/>
      <c r="X731" s="242"/>
      <c r="Y731" s="242"/>
      <c r="Z731" s="242"/>
      <c r="AA731" s="242"/>
      <c r="AB731" s="242"/>
      <c r="AC731" s="242"/>
      <c r="AD731" s="242"/>
      <c r="AE731" s="242"/>
      <c r="AF731" s="242"/>
      <c r="AG731" s="242"/>
      <c r="AH731" s="242"/>
      <c r="AI731" s="242"/>
      <c r="AJ731" s="13"/>
      <c r="AK731" s="242"/>
      <c r="AL731" s="242"/>
      <c r="AM731" s="242"/>
      <c r="AN731" s="242"/>
      <c r="AO731" s="242"/>
    </row>
    <row r="732">
      <c r="A732" s="242"/>
      <c r="B732" s="13"/>
      <c r="C732" s="242"/>
      <c r="D732" s="242"/>
      <c r="E732" s="242"/>
      <c r="F732" s="242"/>
      <c r="G732" s="13"/>
      <c r="H732" s="13"/>
      <c r="I732" s="13"/>
      <c r="J732" s="13"/>
      <c r="K732" s="13"/>
      <c r="L732" s="242"/>
      <c r="M732" s="242"/>
      <c r="N732" s="242"/>
      <c r="O732" s="242"/>
      <c r="P732" s="242"/>
      <c r="Q732" s="525"/>
      <c r="R732" s="242"/>
      <c r="S732" s="242"/>
      <c r="T732" s="242"/>
      <c r="U732" s="242"/>
      <c r="V732" s="242"/>
      <c r="W732" s="242"/>
      <c r="X732" s="242"/>
      <c r="Y732" s="242"/>
      <c r="Z732" s="242"/>
      <c r="AA732" s="242"/>
      <c r="AB732" s="242"/>
      <c r="AC732" s="242"/>
      <c r="AD732" s="242"/>
      <c r="AE732" s="242"/>
      <c r="AF732" s="242"/>
      <c r="AG732" s="242"/>
      <c r="AH732" s="242"/>
      <c r="AI732" s="242"/>
      <c r="AJ732" s="13"/>
      <c r="AK732" s="242"/>
      <c r="AL732" s="242"/>
      <c r="AM732" s="242"/>
      <c r="AN732" s="242"/>
      <c r="AO732" s="242"/>
    </row>
    <row r="733">
      <c r="A733" s="242"/>
      <c r="B733" s="13"/>
      <c r="C733" s="242"/>
      <c r="D733" s="242"/>
      <c r="E733" s="242"/>
      <c r="F733" s="242"/>
      <c r="G733" s="13"/>
      <c r="H733" s="13"/>
      <c r="I733" s="13"/>
      <c r="J733" s="13"/>
      <c r="K733" s="13"/>
      <c r="L733" s="242"/>
      <c r="M733" s="242"/>
      <c r="N733" s="242"/>
      <c r="O733" s="242"/>
      <c r="P733" s="242"/>
      <c r="Q733" s="525"/>
      <c r="R733" s="242"/>
      <c r="S733" s="242"/>
      <c r="T733" s="242"/>
      <c r="U733" s="242"/>
      <c r="V733" s="242"/>
      <c r="W733" s="242"/>
      <c r="X733" s="242"/>
      <c r="Y733" s="242"/>
      <c r="Z733" s="242"/>
      <c r="AA733" s="242"/>
      <c r="AB733" s="242"/>
      <c r="AC733" s="242"/>
      <c r="AD733" s="242"/>
      <c r="AE733" s="242"/>
      <c r="AF733" s="242"/>
      <c r="AG733" s="242"/>
      <c r="AH733" s="242"/>
      <c r="AI733" s="242"/>
      <c r="AJ733" s="13"/>
      <c r="AK733" s="242"/>
      <c r="AL733" s="242"/>
      <c r="AM733" s="242"/>
      <c r="AN733" s="242"/>
      <c r="AO733" s="242"/>
    </row>
    <row r="734">
      <c r="A734" s="242"/>
      <c r="B734" s="13"/>
      <c r="C734" s="242"/>
      <c r="D734" s="242"/>
      <c r="E734" s="242"/>
      <c r="F734" s="242"/>
      <c r="G734" s="13"/>
      <c r="H734" s="13"/>
      <c r="I734" s="13"/>
      <c r="J734" s="13"/>
      <c r="K734" s="13"/>
      <c r="L734" s="242"/>
      <c r="M734" s="242"/>
      <c r="N734" s="242"/>
      <c r="O734" s="242"/>
      <c r="P734" s="242"/>
      <c r="Q734" s="525"/>
      <c r="R734" s="242"/>
      <c r="S734" s="242"/>
      <c r="T734" s="242"/>
      <c r="U734" s="242"/>
      <c r="V734" s="242"/>
      <c r="W734" s="242"/>
      <c r="X734" s="242"/>
      <c r="Y734" s="242"/>
      <c r="Z734" s="242"/>
      <c r="AA734" s="242"/>
      <c r="AB734" s="242"/>
      <c r="AC734" s="242"/>
      <c r="AD734" s="242"/>
      <c r="AE734" s="242"/>
      <c r="AF734" s="242"/>
      <c r="AG734" s="242"/>
      <c r="AH734" s="242"/>
      <c r="AI734" s="242"/>
      <c r="AJ734" s="13"/>
      <c r="AK734" s="242"/>
      <c r="AL734" s="242"/>
      <c r="AM734" s="242"/>
      <c r="AN734" s="242"/>
      <c r="AO734" s="242"/>
    </row>
    <row r="735">
      <c r="A735" s="242"/>
      <c r="B735" s="13"/>
      <c r="C735" s="242"/>
      <c r="D735" s="242"/>
      <c r="E735" s="242"/>
      <c r="F735" s="242"/>
      <c r="G735" s="13"/>
      <c r="H735" s="13"/>
      <c r="I735" s="13"/>
      <c r="J735" s="13"/>
      <c r="K735" s="13"/>
      <c r="L735" s="242"/>
      <c r="M735" s="242"/>
      <c r="N735" s="242"/>
      <c r="O735" s="242"/>
      <c r="P735" s="242"/>
      <c r="Q735" s="525"/>
      <c r="R735" s="242"/>
      <c r="S735" s="242"/>
      <c r="T735" s="242"/>
      <c r="U735" s="242"/>
      <c r="V735" s="242"/>
      <c r="W735" s="242"/>
      <c r="X735" s="242"/>
      <c r="Y735" s="242"/>
      <c r="Z735" s="242"/>
      <c r="AA735" s="242"/>
      <c r="AB735" s="242"/>
      <c r="AC735" s="242"/>
      <c r="AD735" s="242"/>
      <c r="AE735" s="242"/>
      <c r="AF735" s="242"/>
      <c r="AG735" s="242"/>
      <c r="AH735" s="242"/>
      <c r="AI735" s="242"/>
      <c r="AJ735" s="13"/>
      <c r="AK735" s="242"/>
      <c r="AL735" s="242"/>
      <c r="AM735" s="242"/>
      <c r="AN735" s="242"/>
      <c r="AO735" s="242"/>
    </row>
    <row r="736">
      <c r="A736" s="242"/>
      <c r="B736" s="13"/>
      <c r="C736" s="242"/>
      <c r="D736" s="242"/>
      <c r="E736" s="242"/>
      <c r="F736" s="242"/>
      <c r="G736" s="13"/>
      <c r="H736" s="13"/>
      <c r="I736" s="13"/>
      <c r="J736" s="13"/>
      <c r="K736" s="13"/>
      <c r="L736" s="242"/>
      <c r="M736" s="242"/>
      <c r="N736" s="242"/>
      <c r="O736" s="242"/>
      <c r="P736" s="242"/>
      <c r="Q736" s="525"/>
      <c r="R736" s="242"/>
      <c r="S736" s="242"/>
      <c r="T736" s="242"/>
      <c r="U736" s="242"/>
      <c r="V736" s="242"/>
      <c r="W736" s="242"/>
      <c r="X736" s="242"/>
      <c r="Y736" s="242"/>
      <c r="Z736" s="242"/>
      <c r="AA736" s="242"/>
      <c r="AB736" s="242"/>
      <c r="AC736" s="242"/>
      <c r="AD736" s="242"/>
      <c r="AE736" s="242"/>
      <c r="AF736" s="242"/>
      <c r="AG736" s="242"/>
      <c r="AH736" s="242"/>
      <c r="AI736" s="242"/>
      <c r="AJ736" s="13"/>
      <c r="AK736" s="242"/>
      <c r="AL736" s="242"/>
      <c r="AM736" s="242"/>
      <c r="AN736" s="242"/>
      <c r="AO736" s="242"/>
    </row>
    <row r="737">
      <c r="A737" s="242"/>
      <c r="B737" s="13"/>
      <c r="C737" s="242"/>
      <c r="D737" s="242"/>
      <c r="E737" s="242"/>
      <c r="F737" s="242"/>
      <c r="G737" s="13"/>
      <c r="H737" s="13"/>
      <c r="I737" s="13"/>
      <c r="J737" s="13"/>
      <c r="K737" s="13"/>
      <c r="L737" s="242"/>
      <c r="M737" s="242"/>
      <c r="N737" s="242"/>
      <c r="O737" s="242"/>
      <c r="P737" s="242"/>
      <c r="Q737" s="525"/>
      <c r="R737" s="242"/>
      <c r="S737" s="242"/>
      <c r="T737" s="242"/>
      <c r="U737" s="242"/>
      <c r="V737" s="242"/>
      <c r="W737" s="242"/>
      <c r="X737" s="242"/>
      <c r="Y737" s="242"/>
      <c r="Z737" s="242"/>
      <c r="AA737" s="242"/>
      <c r="AB737" s="242"/>
      <c r="AC737" s="242"/>
      <c r="AD737" s="242"/>
      <c r="AE737" s="242"/>
      <c r="AF737" s="242"/>
      <c r="AG737" s="242"/>
      <c r="AH737" s="242"/>
      <c r="AI737" s="242"/>
      <c r="AJ737" s="13"/>
      <c r="AK737" s="242"/>
      <c r="AL737" s="242"/>
      <c r="AM737" s="242"/>
      <c r="AN737" s="242"/>
      <c r="AO737" s="242"/>
    </row>
    <row r="738">
      <c r="A738" s="242"/>
      <c r="B738" s="13"/>
      <c r="C738" s="242"/>
      <c r="D738" s="242"/>
      <c r="E738" s="242"/>
      <c r="F738" s="242"/>
      <c r="G738" s="13"/>
      <c r="H738" s="13"/>
      <c r="I738" s="13"/>
      <c r="J738" s="13"/>
      <c r="K738" s="13"/>
      <c r="L738" s="242"/>
      <c r="M738" s="242"/>
      <c r="N738" s="242"/>
      <c r="O738" s="242"/>
      <c r="P738" s="242"/>
      <c r="Q738" s="525"/>
      <c r="R738" s="242"/>
      <c r="S738" s="242"/>
      <c r="T738" s="242"/>
      <c r="U738" s="242"/>
      <c r="V738" s="242"/>
      <c r="W738" s="242"/>
      <c r="X738" s="242"/>
      <c r="Y738" s="242"/>
      <c r="Z738" s="242"/>
      <c r="AA738" s="242"/>
      <c r="AB738" s="242"/>
      <c r="AC738" s="242"/>
      <c r="AD738" s="242"/>
      <c r="AE738" s="242"/>
      <c r="AF738" s="242"/>
      <c r="AG738" s="242"/>
      <c r="AH738" s="242"/>
      <c r="AI738" s="242"/>
      <c r="AJ738" s="13"/>
      <c r="AK738" s="242"/>
      <c r="AL738" s="242"/>
      <c r="AM738" s="242"/>
      <c r="AN738" s="242"/>
      <c r="AO738" s="242"/>
    </row>
    <row r="739">
      <c r="A739" s="242"/>
      <c r="B739" s="13"/>
      <c r="C739" s="242"/>
      <c r="D739" s="242"/>
      <c r="E739" s="242"/>
      <c r="F739" s="242"/>
      <c r="G739" s="13"/>
      <c r="H739" s="13"/>
      <c r="I739" s="13"/>
      <c r="J739" s="13"/>
      <c r="K739" s="13"/>
      <c r="L739" s="242"/>
      <c r="M739" s="242"/>
      <c r="N739" s="242"/>
      <c r="O739" s="242"/>
      <c r="P739" s="242"/>
      <c r="Q739" s="525"/>
      <c r="R739" s="242"/>
      <c r="S739" s="242"/>
      <c r="T739" s="242"/>
      <c r="U739" s="242"/>
      <c r="V739" s="242"/>
      <c r="W739" s="242"/>
      <c r="X739" s="242"/>
      <c r="Y739" s="242"/>
      <c r="Z739" s="242"/>
      <c r="AA739" s="242"/>
      <c r="AB739" s="242"/>
      <c r="AC739" s="242"/>
      <c r="AD739" s="242"/>
      <c r="AE739" s="242"/>
      <c r="AF739" s="242"/>
      <c r="AG739" s="242"/>
      <c r="AH739" s="242"/>
      <c r="AI739" s="242"/>
      <c r="AJ739" s="13"/>
      <c r="AK739" s="242"/>
      <c r="AL739" s="242"/>
      <c r="AM739" s="242"/>
      <c r="AN739" s="242"/>
      <c r="AO739" s="242"/>
    </row>
    <row r="740">
      <c r="A740" s="242"/>
      <c r="B740" s="13"/>
      <c r="C740" s="242"/>
      <c r="D740" s="242"/>
      <c r="E740" s="242"/>
      <c r="F740" s="242"/>
      <c r="G740" s="13"/>
      <c r="H740" s="13"/>
      <c r="I740" s="13"/>
      <c r="J740" s="13"/>
      <c r="K740" s="13"/>
      <c r="L740" s="242"/>
      <c r="M740" s="242"/>
      <c r="N740" s="242"/>
      <c r="O740" s="242"/>
      <c r="P740" s="242"/>
      <c r="Q740" s="525"/>
      <c r="R740" s="242"/>
      <c r="S740" s="242"/>
      <c r="T740" s="242"/>
      <c r="U740" s="242"/>
      <c r="V740" s="242"/>
      <c r="W740" s="242"/>
      <c r="X740" s="242"/>
      <c r="Y740" s="242"/>
      <c r="Z740" s="242"/>
      <c r="AA740" s="242"/>
      <c r="AB740" s="242"/>
      <c r="AC740" s="242"/>
      <c r="AD740" s="242"/>
      <c r="AE740" s="242"/>
      <c r="AF740" s="242"/>
      <c r="AG740" s="242"/>
      <c r="AH740" s="242"/>
      <c r="AI740" s="242"/>
      <c r="AJ740" s="13"/>
      <c r="AK740" s="242"/>
      <c r="AL740" s="242"/>
      <c r="AM740" s="242"/>
      <c r="AN740" s="242"/>
      <c r="AO740" s="242"/>
    </row>
    <row r="741">
      <c r="A741" s="242"/>
      <c r="B741" s="13"/>
      <c r="C741" s="242"/>
      <c r="D741" s="242"/>
      <c r="E741" s="242"/>
      <c r="F741" s="242"/>
      <c r="G741" s="13"/>
      <c r="H741" s="13"/>
      <c r="I741" s="13"/>
      <c r="J741" s="13"/>
      <c r="K741" s="13"/>
      <c r="L741" s="242"/>
      <c r="M741" s="242"/>
      <c r="N741" s="242"/>
      <c r="O741" s="242"/>
      <c r="P741" s="242"/>
      <c r="Q741" s="525"/>
      <c r="R741" s="242"/>
      <c r="S741" s="242"/>
      <c r="T741" s="242"/>
      <c r="U741" s="242"/>
      <c r="V741" s="242"/>
      <c r="W741" s="242"/>
      <c r="X741" s="242"/>
      <c r="Y741" s="242"/>
      <c r="Z741" s="242"/>
      <c r="AA741" s="242"/>
      <c r="AB741" s="242"/>
      <c r="AC741" s="242"/>
      <c r="AD741" s="242"/>
      <c r="AE741" s="242"/>
      <c r="AF741" s="242"/>
      <c r="AG741" s="242"/>
      <c r="AH741" s="242"/>
      <c r="AI741" s="242"/>
      <c r="AJ741" s="13"/>
      <c r="AK741" s="242"/>
      <c r="AL741" s="242"/>
      <c r="AM741" s="242"/>
      <c r="AN741" s="242"/>
      <c r="AO741" s="242"/>
    </row>
    <row r="742">
      <c r="A742" s="242"/>
      <c r="B742" s="13"/>
      <c r="C742" s="242"/>
      <c r="D742" s="242"/>
      <c r="E742" s="242"/>
      <c r="F742" s="242"/>
      <c r="G742" s="13"/>
      <c r="H742" s="13"/>
      <c r="I742" s="13"/>
      <c r="J742" s="13"/>
      <c r="K742" s="13"/>
      <c r="L742" s="242"/>
      <c r="M742" s="242"/>
      <c r="N742" s="242"/>
      <c r="O742" s="242"/>
      <c r="P742" s="242"/>
      <c r="Q742" s="525"/>
      <c r="R742" s="242"/>
      <c r="S742" s="242"/>
      <c r="T742" s="242"/>
      <c r="U742" s="242"/>
      <c r="V742" s="242"/>
      <c r="W742" s="242"/>
      <c r="X742" s="242"/>
      <c r="Y742" s="242"/>
      <c r="Z742" s="242"/>
      <c r="AA742" s="242"/>
      <c r="AB742" s="242"/>
      <c r="AC742" s="242"/>
      <c r="AD742" s="242"/>
      <c r="AE742" s="242"/>
      <c r="AF742" s="242"/>
      <c r="AG742" s="242"/>
      <c r="AH742" s="242"/>
      <c r="AI742" s="242"/>
      <c r="AJ742" s="13"/>
      <c r="AK742" s="242"/>
      <c r="AL742" s="242"/>
      <c r="AM742" s="242"/>
      <c r="AN742" s="242"/>
      <c r="AO742" s="242"/>
    </row>
    <row r="743">
      <c r="A743" s="242"/>
      <c r="B743" s="13"/>
      <c r="C743" s="242"/>
      <c r="D743" s="242"/>
      <c r="E743" s="242"/>
      <c r="F743" s="242"/>
      <c r="G743" s="13"/>
      <c r="H743" s="13"/>
      <c r="I743" s="13"/>
      <c r="J743" s="13"/>
      <c r="K743" s="13"/>
      <c r="L743" s="242"/>
      <c r="M743" s="242"/>
      <c r="N743" s="242"/>
      <c r="O743" s="242"/>
      <c r="P743" s="242"/>
      <c r="Q743" s="525"/>
      <c r="R743" s="242"/>
      <c r="S743" s="242"/>
      <c r="T743" s="242"/>
      <c r="U743" s="242"/>
      <c r="V743" s="242"/>
      <c r="W743" s="242"/>
      <c r="X743" s="242"/>
      <c r="Y743" s="242"/>
      <c r="Z743" s="242"/>
      <c r="AA743" s="242"/>
      <c r="AB743" s="242"/>
      <c r="AC743" s="242"/>
      <c r="AD743" s="242"/>
      <c r="AE743" s="242"/>
      <c r="AF743" s="242"/>
      <c r="AG743" s="242"/>
      <c r="AH743" s="242"/>
      <c r="AI743" s="242"/>
      <c r="AJ743" s="13"/>
      <c r="AK743" s="242"/>
      <c r="AL743" s="242"/>
      <c r="AM743" s="242"/>
      <c r="AN743" s="242"/>
      <c r="AO743" s="242"/>
    </row>
    <row r="744">
      <c r="A744" s="242"/>
      <c r="B744" s="13"/>
      <c r="C744" s="242"/>
      <c r="D744" s="242"/>
      <c r="E744" s="242"/>
      <c r="F744" s="242"/>
      <c r="G744" s="13"/>
      <c r="H744" s="13"/>
      <c r="I744" s="13"/>
      <c r="J744" s="13"/>
      <c r="K744" s="13"/>
      <c r="L744" s="242"/>
      <c r="M744" s="242"/>
      <c r="N744" s="242"/>
      <c r="O744" s="242"/>
      <c r="P744" s="242"/>
      <c r="Q744" s="525"/>
      <c r="R744" s="242"/>
      <c r="S744" s="242"/>
      <c r="T744" s="242"/>
      <c r="U744" s="242"/>
      <c r="V744" s="242"/>
      <c r="W744" s="242"/>
      <c r="X744" s="242"/>
      <c r="Y744" s="242"/>
      <c r="Z744" s="242"/>
      <c r="AA744" s="242"/>
      <c r="AB744" s="242"/>
      <c r="AC744" s="242"/>
      <c r="AD744" s="242"/>
      <c r="AE744" s="242"/>
      <c r="AF744" s="242"/>
      <c r="AG744" s="242"/>
      <c r="AH744" s="242"/>
      <c r="AI744" s="242"/>
      <c r="AJ744" s="13"/>
      <c r="AK744" s="242"/>
      <c r="AL744" s="242"/>
      <c r="AM744" s="242"/>
      <c r="AN744" s="242"/>
      <c r="AO744" s="242"/>
    </row>
    <row r="745">
      <c r="A745" s="242"/>
      <c r="B745" s="13"/>
      <c r="C745" s="242"/>
      <c r="D745" s="242"/>
      <c r="E745" s="242"/>
      <c r="F745" s="242"/>
      <c r="G745" s="13"/>
      <c r="H745" s="13"/>
      <c r="I745" s="13"/>
      <c r="J745" s="13"/>
      <c r="K745" s="13"/>
      <c r="L745" s="242"/>
      <c r="M745" s="242"/>
      <c r="N745" s="242"/>
      <c r="O745" s="242"/>
      <c r="P745" s="242"/>
      <c r="Q745" s="525"/>
      <c r="R745" s="242"/>
      <c r="S745" s="242"/>
      <c r="T745" s="242"/>
      <c r="U745" s="242"/>
      <c r="V745" s="242"/>
      <c r="W745" s="242"/>
      <c r="X745" s="242"/>
      <c r="Y745" s="242"/>
      <c r="Z745" s="242"/>
      <c r="AA745" s="242"/>
      <c r="AB745" s="242"/>
      <c r="AC745" s="242"/>
      <c r="AD745" s="242"/>
      <c r="AE745" s="242"/>
      <c r="AF745" s="242"/>
      <c r="AG745" s="242"/>
      <c r="AH745" s="242"/>
      <c r="AI745" s="242"/>
      <c r="AJ745" s="13"/>
      <c r="AK745" s="242"/>
      <c r="AL745" s="242"/>
      <c r="AM745" s="242"/>
      <c r="AN745" s="242"/>
      <c r="AO745" s="242"/>
    </row>
    <row r="746">
      <c r="A746" s="242"/>
      <c r="B746" s="13"/>
      <c r="C746" s="242"/>
      <c r="D746" s="242"/>
      <c r="E746" s="242"/>
      <c r="F746" s="242"/>
      <c r="G746" s="13"/>
      <c r="H746" s="13"/>
      <c r="I746" s="13"/>
      <c r="J746" s="13"/>
      <c r="K746" s="13"/>
      <c r="L746" s="242"/>
      <c r="M746" s="242"/>
      <c r="N746" s="242"/>
      <c r="O746" s="242"/>
      <c r="P746" s="242"/>
      <c r="Q746" s="525"/>
      <c r="R746" s="242"/>
      <c r="S746" s="242"/>
      <c r="T746" s="242"/>
      <c r="U746" s="242"/>
      <c r="V746" s="242"/>
      <c r="W746" s="242"/>
      <c r="X746" s="242"/>
      <c r="Y746" s="242"/>
      <c r="Z746" s="242"/>
      <c r="AA746" s="242"/>
      <c r="AB746" s="242"/>
      <c r="AC746" s="242"/>
      <c r="AD746" s="242"/>
      <c r="AE746" s="242"/>
      <c r="AF746" s="242"/>
      <c r="AG746" s="242"/>
      <c r="AH746" s="242"/>
      <c r="AI746" s="242"/>
      <c r="AJ746" s="13"/>
      <c r="AK746" s="242"/>
      <c r="AL746" s="242"/>
      <c r="AM746" s="242"/>
      <c r="AN746" s="242"/>
      <c r="AO746" s="242"/>
    </row>
    <row r="747">
      <c r="A747" s="242"/>
      <c r="B747" s="13"/>
      <c r="C747" s="242"/>
      <c r="D747" s="242"/>
      <c r="E747" s="242"/>
      <c r="F747" s="242"/>
      <c r="G747" s="13"/>
      <c r="H747" s="13"/>
      <c r="I747" s="13"/>
      <c r="J747" s="13"/>
      <c r="K747" s="13"/>
      <c r="L747" s="242"/>
      <c r="M747" s="242"/>
      <c r="N747" s="242"/>
      <c r="O747" s="242"/>
      <c r="P747" s="242"/>
      <c r="Q747" s="525"/>
      <c r="R747" s="242"/>
      <c r="S747" s="242"/>
      <c r="T747" s="242"/>
      <c r="U747" s="242"/>
      <c r="V747" s="242"/>
      <c r="W747" s="242"/>
      <c r="X747" s="242"/>
      <c r="Y747" s="242"/>
      <c r="Z747" s="242"/>
      <c r="AA747" s="242"/>
      <c r="AB747" s="242"/>
      <c r="AC747" s="242"/>
      <c r="AD747" s="242"/>
      <c r="AE747" s="242"/>
      <c r="AF747" s="242"/>
      <c r="AG747" s="242"/>
      <c r="AH747" s="242"/>
      <c r="AI747" s="242"/>
      <c r="AJ747" s="13"/>
      <c r="AK747" s="242"/>
      <c r="AL747" s="242"/>
      <c r="AM747" s="242"/>
      <c r="AN747" s="242"/>
      <c r="AO747" s="242"/>
    </row>
    <row r="748">
      <c r="A748" s="242"/>
      <c r="B748" s="13"/>
      <c r="C748" s="242"/>
      <c r="D748" s="242"/>
      <c r="E748" s="242"/>
      <c r="F748" s="242"/>
      <c r="G748" s="13"/>
      <c r="H748" s="13"/>
      <c r="I748" s="13"/>
      <c r="J748" s="13"/>
      <c r="K748" s="13"/>
      <c r="L748" s="242"/>
      <c r="M748" s="242"/>
      <c r="N748" s="242"/>
      <c r="O748" s="242"/>
      <c r="P748" s="242"/>
      <c r="Q748" s="525"/>
      <c r="R748" s="242"/>
      <c r="S748" s="242"/>
      <c r="T748" s="242"/>
      <c r="U748" s="242"/>
      <c r="V748" s="242"/>
      <c r="W748" s="242"/>
      <c r="X748" s="242"/>
      <c r="Y748" s="242"/>
      <c r="Z748" s="242"/>
      <c r="AA748" s="242"/>
      <c r="AB748" s="242"/>
      <c r="AC748" s="242"/>
      <c r="AD748" s="242"/>
      <c r="AE748" s="242"/>
      <c r="AF748" s="242"/>
      <c r="AG748" s="242"/>
      <c r="AH748" s="242"/>
      <c r="AI748" s="242"/>
      <c r="AJ748" s="13"/>
      <c r="AK748" s="242"/>
      <c r="AL748" s="242"/>
      <c r="AM748" s="242"/>
      <c r="AN748" s="242"/>
      <c r="AO748" s="242"/>
    </row>
    <row r="749">
      <c r="A749" s="242"/>
      <c r="B749" s="13"/>
      <c r="C749" s="242"/>
      <c r="D749" s="242"/>
      <c r="E749" s="242"/>
      <c r="F749" s="242"/>
      <c r="G749" s="13"/>
      <c r="H749" s="13"/>
      <c r="I749" s="13"/>
      <c r="J749" s="13"/>
      <c r="K749" s="13"/>
      <c r="L749" s="242"/>
      <c r="M749" s="242"/>
      <c r="N749" s="242"/>
      <c r="O749" s="242"/>
      <c r="P749" s="242"/>
      <c r="Q749" s="525"/>
      <c r="R749" s="242"/>
      <c r="S749" s="242"/>
      <c r="T749" s="242"/>
      <c r="U749" s="242"/>
      <c r="V749" s="242"/>
      <c r="W749" s="242"/>
      <c r="X749" s="242"/>
      <c r="Y749" s="242"/>
      <c r="Z749" s="242"/>
      <c r="AA749" s="242"/>
      <c r="AB749" s="242"/>
      <c r="AC749" s="242"/>
      <c r="AD749" s="242"/>
      <c r="AE749" s="242"/>
      <c r="AF749" s="242"/>
      <c r="AG749" s="242"/>
      <c r="AH749" s="242"/>
      <c r="AI749" s="242"/>
      <c r="AJ749" s="13"/>
      <c r="AK749" s="242"/>
      <c r="AL749" s="242"/>
      <c r="AM749" s="242"/>
      <c r="AN749" s="242"/>
      <c r="AO749" s="242"/>
    </row>
    <row r="750">
      <c r="A750" s="242"/>
      <c r="B750" s="13"/>
      <c r="C750" s="242"/>
      <c r="D750" s="242"/>
      <c r="E750" s="242"/>
      <c r="F750" s="242"/>
      <c r="G750" s="13"/>
      <c r="H750" s="13"/>
      <c r="I750" s="13"/>
      <c r="J750" s="13"/>
      <c r="K750" s="13"/>
      <c r="L750" s="242"/>
      <c r="M750" s="242"/>
      <c r="N750" s="242"/>
      <c r="O750" s="242"/>
      <c r="P750" s="242"/>
      <c r="Q750" s="525"/>
      <c r="R750" s="242"/>
      <c r="S750" s="242"/>
      <c r="T750" s="242"/>
      <c r="U750" s="242"/>
      <c r="V750" s="242"/>
      <c r="W750" s="242"/>
      <c r="X750" s="242"/>
      <c r="Y750" s="242"/>
      <c r="Z750" s="242"/>
      <c r="AA750" s="242"/>
      <c r="AB750" s="242"/>
      <c r="AC750" s="242"/>
      <c r="AD750" s="242"/>
      <c r="AE750" s="242"/>
      <c r="AF750" s="242"/>
      <c r="AG750" s="242"/>
      <c r="AH750" s="242"/>
      <c r="AI750" s="242"/>
      <c r="AJ750" s="13"/>
      <c r="AK750" s="242"/>
      <c r="AL750" s="242"/>
      <c r="AM750" s="242"/>
      <c r="AN750" s="242"/>
      <c r="AO750" s="242"/>
    </row>
    <row r="751">
      <c r="A751" s="242"/>
      <c r="B751" s="13"/>
      <c r="C751" s="242"/>
      <c r="D751" s="242"/>
      <c r="E751" s="242"/>
      <c r="F751" s="242"/>
      <c r="G751" s="13"/>
      <c r="H751" s="13"/>
      <c r="I751" s="13"/>
      <c r="J751" s="13"/>
      <c r="K751" s="13"/>
      <c r="L751" s="242"/>
      <c r="M751" s="242"/>
      <c r="N751" s="242"/>
      <c r="O751" s="242"/>
      <c r="P751" s="242"/>
      <c r="Q751" s="525"/>
      <c r="R751" s="242"/>
      <c r="S751" s="242"/>
      <c r="T751" s="242"/>
      <c r="U751" s="242"/>
      <c r="V751" s="242"/>
      <c r="W751" s="242"/>
      <c r="X751" s="242"/>
      <c r="Y751" s="242"/>
      <c r="Z751" s="242"/>
      <c r="AA751" s="242"/>
      <c r="AB751" s="242"/>
      <c r="AC751" s="242"/>
      <c r="AD751" s="242"/>
      <c r="AE751" s="242"/>
      <c r="AF751" s="242"/>
      <c r="AG751" s="242"/>
      <c r="AH751" s="242"/>
      <c r="AI751" s="242"/>
      <c r="AJ751" s="13"/>
      <c r="AK751" s="242"/>
      <c r="AL751" s="242"/>
      <c r="AM751" s="242"/>
      <c r="AN751" s="242"/>
      <c r="AO751" s="242"/>
    </row>
    <row r="752">
      <c r="A752" s="242"/>
      <c r="B752" s="13"/>
      <c r="C752" s="242"/>
      <c r="D752" s="242"/>
      <c r="E752" s="242"/>
      <c r="F752" s="242"/>
      <c r="G752" s="13"/>
      <c r="H752" s="13"/>
      <c r="I752" s="13"/>
      <c r="J752" s="13"/>
      <c r="K752" s="13"/>
      <c r="L752" s="242"/>
      <c r="M752" s="242"/>
      <c r="N752" s="242"/>
      <c r="O752" s="242"/>
      <c r="P752" s="242"/>
      <c r="Q752" s="525"/>
      <c r="R752" s="242"/>
      <c r="S752" s="242"/>
      <c r="T752" s="242"/>
      <c r="U752" s="242"/>
      <c r="V752" s="242"/>
      <c r="W752" s="242"/>
      <c r="X752" s="242"/>
      <c r="Y752" s="242"/>
      <c r="Z752" s="242"/>
      <c r="AA752" s="242"/>
      <c r="AB752" s="242"/>
      <c r="AC752" s="242"/>
      <c r="AD752" s="242"/>
      <c r="AE752" s="242"/>
      <c r="AF752" s="242"/>
      <c r="AG752" s="242"/>
      <c r="AH752" s="242"/>
      <c r="AI752" s="242"/>
      <c r="AJ752" s="13"/>
      <c r="AK752" s="242"/>
      <c r="AL752" s="242"/>
      <c r="AM752" s="242"/>
      <c r="AN752" s="242"/>
      <c r="AO752" s="242"/>
    </row>
    <row r="753">
      <c r="A753" s="242"/>
      <c r="B753" s="13"/>
      <c r="C753" s="242"/>
      <c r="D753" s="242"/>
      <c r="E753" s="242"/>
      <c r="F753" s="242"/>
      <c r="G753" s="13"/>
      <c r="H753" s="13"/>
      <c r="I753" s="13"/>
      <c r="J753" s="13"/>
      <c r="K753" s="13"/>
      <c r="L753" s="242"/>
      <c r="M753" s="242"/>
      <c r="N753" s="242"/>
      <c r="O753" s="242"/>
      <c r="P753" s="242"/>
      <c r="Q753" s="525"/>
      <c r="R753" s="242"/>
      <c r="S753" s="242"/>
      <c r="T753" s="242"/>
      <c r="U753" s="242"/>
      <c r="V753" s="242"/>
      <c r="W753" s="242"/>
      <c r="X753" s="242"/>
      <c r="Y753" s="242"/>
      <c r="Z753" s="242"/>
      <c r="AA753" s="242"/>
      <c r="AB753" s="242"/>
      <c r="AC753" s="242"/>
      <c r="AD753" s="242"/>
      <c r="AE753" s="242"/>
      <c r="AF753" s="242"/>
      <c r="AG753" s="242"/>
      <c r="AH753" s="242"/>
      <c r="AI753" s="242"/>
      <c r="AJ753" s="13"/>
      <c r="AK753" s="242"/>
      <c r="AL753" s="242"/>
      <c r="AM753" s="242"/>
      <c r="AN753" s="242"/>
      <c r="AO753" s="242"/>
    </row>
    <row r="754">
      <c r="A754" s="242"/>
      <c r="B754" s="13"/>
      <c r="C754" s="242"/>
      <c r="D754" s="242"/>
      <c r="E754" s="242"/>
      <c r="F754" s="242"/>
      <c r="G754" s="13"/>
      <c r="H754" s="13"/>
      <c r="I754" s="13"/>
      <c r="J754" s="13"/>
      <c r="K754" s="13"/>
      <c r="L754" s="242"/>
      <c r="M754" s="242"/>
      <c r="N754" s="242"/>
      <c r="O754" s="242"/>
      <c r="P754" s="242"/>
      <c r="Q754" s="525"/>
      <c r="R754" s="242"/>
      <c r="S754" s="242"/>
      <c r="T754" s="242"/>
      <c r="U754" s="242"/>
      <c r="V754" s="242"/>
      <c r="W754" s="242"/>
      <c r="X754" s="242"/>
      <c r="Y754" s="242"/>
      <c r="Z754" s="242"/>
      <c r="AA754" s="242"/>
      <c r="AB754" s="242"/>
      <c r="AC754" s="242"/>
      <c r="AD754" s="242"/>
      <c r="AE754" s="242"/>
      <c r="AF754" s="242"/>
      <c r="AG754" s="242"/>
      <c r="AH754" s="242"/>
      <c r="AI754" s="242"/>
      <c r="AJ754" s="13"/>
      <c r="AK754" s="242"/>
      <c r="AL754" s="242"/>
      <c r="AM754" s="242"/>
      <c r="AN754" s="242"/>
      <c r="AO754" s="242"/>
    </row>
    <row r="755">
      <c r="A755" s="242"/>
      <c r="B755" s="13"/>
      <c r="C755" s="242"/>
      <c r="D755" s="242"/>
      <c r="E755" s="242"/>
      <c r="F755" s="242"/>
      <c r="G755" s="13"/>
      <c r="H755" s="13"/>
      <c r="I755" s="13"/>
      <c r="J755" s="13"/>
      <c r="K755" s="13"/>
      <c r="L755" s="242"/>
      <c r="M755" s="242"/>
      <c r="N755" s="242"/>
      <c r="O755" s="242"/>
      <c r="P755" s="242"/>
      <c r="Q755" s="525"/>
      <c r="R755" s="242"/>
      <c r="S755" s="242"/>
      <c r="T755" s="242"/>
      <c r="U755" s="242"/>
      <c r="V755" s="242"/>
      <c r="W755" s="242"/>
      <c r="X755" s="242"/>
      <c r="Y755" s="242"/>
      <c r="Z755" s="242"/>
      <c r="AA755" s="242"/>
      <c r="AB755" s="242"/>
      <c r="AC755" s="242"/>
      <c r="AD755" s="242"/>
      <c r="AE755" s="242"/>
      <c r="AF755" s="242"/>
      <c r="AG755" s="242"/>
      <c r="AH755" s="242"/>
      <c r="AI755" s="242"/>
      <c r="AJ755" s="13"/>
      <c r="AK755" s="242"/>
      <c r="AL755" s="242"/>
      <c r="AM755" s="242"/>
      <c r="AN755" s="242"/>
      <c r="AO755" s="242"/>
    </row>
    <row r="756">
      <c r="A756" s="242"/>
      <c r="B756" s="13"/>
      <c r="C756" s="242"/>
      <c r="D756" s="242"/>
      <c r="E756" s="242"/>
      <c r="F756" s="242"/>
      <c r="G756" s="13"/>
      <c r="H756" s="13"/>
      <c r="I756" s="13"/>
      <c r="J756" s="13"/>
      <c r="K756" s="13"/>
      <c r="L756" s="242"/>
      <c r="M756" s="242"/>
      <c r="N756" s="242"/>
      <c r="O756" s="242"/>
      <c r="P756" s="242"/>
      <c r="Q756" s="525"/>
      <c r="R756" s="242"/>
      <c r="S756" s="242"/>
      <c r="T756" s="242"/>
      <c r="U756" s="242"/>
      <c r="V756" s="242"/>
      <c r="W756" s="242"/>
      <c r="X756" s="242"/>
      <c r="Y756" s="242"/>
      <c r="Z756" s="242"/>
      <c r="AA756" s="242"/>
      <c r="AB756" s="242"/>
      <c r="AC756" s="242"/>
      <c r="AD756" s="242"/>
      <c r="AE756" s="242"/>
      <c r="AF756" s="242"/>
      <c r="AG756" s="242"/>
      <c r="AH756" s="242"/>
      <c r="AI756" s="242"/>
      <c r="AJ756" s="13"/>
      <c r="AK756" s="242"/>
      <c r="AL756" s="242"/>
      <c r="AM756" s="242"/>
      <c r="AN756" s="242"/>
      <c r="AO756" s="242"/>
    </row>
    <row r="757">
      <c r="A757" s="242"/>
      <c r="B757" s="13"/>
      <c r="C757" s="242"/>
      <c r="D757" s="242"/>
      <c r="E757" s="242"/>
      <c r="F757" s="242"/>
      <c r="G757" s="13"/>
      <c r="H757" s="13"/>
      <c r="I757" s="13"/>
      <c r="J757" s="13"/>
      <c r="K757" s="13"/>
      <c r="L757" s="242"/>
      <c r="M757" s="242"/>
      <c r="N757" s="242"/>
      <c r="O757" s="242"/>
      <c r="P757" s="242"/>
      <c r="Q757" s="525"/>
      <c r="R757" s="242"/>
      <c r="S757" s="242"/>
      <c r="T757" s="242"/>
      <c r="U757" s="242"/>
      <c r="V757" s="242"/>
      <c r="W757" s="242"/>
      <c r="X757" s="242"/>
      <c r="Y757" s="242"/>
      <c r="Z757" s="242"/>
      <c r="AA757" s="242"/>
      <c r="AB757" s="242"/>
      <c r="AC757" s="242"/>
      <c r="AD757" s="242"/>
      <c r="AE757" s="242"/>
      <c r="AF757" s="242"/>
      <c r="AG757" s="242"/>
      <c r="AH757" s="242"/>
      <c r="AI757" s="242"/>
      <c r="AJ757" s="13"/>
      <c r="AK757" s="242"/>
      <c r="AL757" s="242"/>
      <c r="AM757" s="242"/>
      <c r="AN757" s="242"/>
      <c r="AO757" s="242"/>
    </row>
    <row r="758">
      <c r="A758" s="242"/>
      <c r="B758" s="13"/>
      <c r="C758" s="242"/>
      <c r="D758" s="242"/>
      <c r="E758" s="242"/>
      <c r="F758" s="242"/>
      <c r="G758" s="13"/>
      <c r="H758" s="13"/>
      <c r="I758" s="13"/>
      <c r="J758" s="13"/>
      <c r="K758" s="13"/>
      <c r="L758" s="242"/>
      <c r="M758" s="242"/>
      <c r="N758" s="242"/>
      <c r="O758" s="242"/>
      <c r="P758" s="242"/>
      <c r="Q758" s="525"/>
      <c r="R758" s="242"/>
      <c r="S758" s="242"/>
      <c r="T758" s="242"/>
      <c r="U758" s="242"/>
      <c r="V758" s="242"/>
      <c r="W758" s="242"/>
      <c r="X758" s="242"/>
      <c r="Y758" s="242"/>
      <c r="Z758" s="242"/>
      <c r="AA758" s="242"/>
      <c r="AB758" s="242"/>
      <c r="AC758" s="242"/>
      <c r="AD758" s="242"/>
      <c r="AE758" s="242"/>
      <c r="AF758" s="242"/>
      <c r="AG758" s="242"/>
      <c r="AH758" s="242"/>
      <c r="AI758" s="242"/>
      <c r="AJ758" s="13"/>
      <c r="AK758" s="242"/>
      <c r="AL758" s="242"/>
      <c r="AM758" s="242"/>
      <c r="AN758" s="242"/>
      <c r="AO758" s="242"/>
    </row>
    <row r="759">
      <c r="A759" s="242"/>
      <c r="B759" s="13"/>
      <c r="C759" s="242"/>
      <c r="D759" s="242"/>
      <c r="E759" s="242"/>
      <c r="F759" s="242"/>
      <c r="G759" s="13"/>
      <c r="H759" s="13"/>
      <c r="I759" s="13"/>
      <c r="J759" s="13"/>
      <c r="K759" s="13"/>
      <c r="L759" s="242"/>
      <c r="M759" s="242"/>
      <c r="N759" s="242"/>
      <c r="O759" s="242"/>
      <c r="P759" s="242"/>
      <c r="Q759" s="525"/>
      <c r="R759" s="242"/>
      <c r="S759" s="242"/>
      <c r="T759" s="242"/>
      <c r="U759" s="242"/>
      <c r="V759" s="242"/>
      <c r="W759" s="242"/>
      <c r="X759" s="242"/>
      <c r="Y759" s="242"/>
      <c r="Z759" s="242"/>
      <c r="AA759" s="242"/>
      <c r="AB759" s="242"/>
      <c r="AC759" s="242"/>
      <c r="AD759" s="242"/>
      <c r="AE759" s="242"/>
      <c r="AF759" s="242"/>
      <c r="AG759" s="242"/>
      <c r="AH759" s="242"/>
      <c r="AI759" s="242"/>
      <c r="AJ759" s="13"/>
      <c r="AK759" s="242"/>
      <c r="AL759" s="242"/>
      <c r="AM759" s="242"/>
      <c r="AN759" s="242"/>
      <c r="AO759" s="242"/>
    </row>
    <row r="760">
      <c r="A760" s="242"/>
      <c r="B760" s="13"/>
      <c r="C760" s="242"/>
      <c r="D760" s="242"/>
      <c r="E760" s="242"/>
      <c r="F760" s="242"/>
      <c r="G760" s="13"/>
      <c r="H760" s="13"/>
      <c r="I760" s="13"/>
      <c r="J760" s="13"/>
      <c r="K760" s="13"/>
      <c r="L760" s="242"/>
      <c r="M760" s="242"/>
      <c r="N760" s="242"/>
      <c r="O760" s="242"/>
      <c r="P760" s="242"/>
      <c r="Q760" s="525"/>
      <c r="R760" s="242"/>
      <c r="S760" s="242"/>
      <c r="T760" s="242"/>
      <c r="U760" s="242"/>
      <c r="V760" s="242"/>
      <c r="W760" s="242"/>
      <c r="X760" s="242"/>
      <c r="Y760" s="242"/>
      <c r="Z760" s="242"/>
      <c r="AA760" s="242"/>
      <c r="AB760" s="242"/>
      <c r="AC760" s="242"/>
      <c r="AD760" s="242"/>
      <c r="AE760" s="242"/>
      <c r="AF760" s="242"/>
      <c r="AG760" s="242"/>
      <c r="AH760" s="242"/>
      <c r="AI760" s="242"/>
      <c r="AJ760" s="13"/>
      <c r="AK760" s="242"/>
      <c r="AL760" s="242"/>
      <c r="AM760" s="242"/>
      <c r="AN760" s="242"/>
      <c r="AO760" s="242"/>
    </row>
    <row r="761">
      <c r="A761" s="242"/>
      <c r="B761" s="13"/>
      <c r="C761" s="242"/>
      <c r="D761" s="242"/>
      <c r="E761" s="242"/>
      <c r="F761" s="242"/>
      <c r="G761" s="13"/>
      <c r="H761" s="13"/>
      <c r="I761" s="13"/>
      <c r="J761" s="13"/>
      <c r="K761" s="13"/>
      <c r="L761" s="242"/>
      <c r="M761" s="242"/>
      <c r="N761" s="242"/>
      <c r="O761" s="242"/>
      <c r="P761" s="242"/>
      <c r="Q761" s="525"/>
      <c r="R761" s="242"/>
      <c r="S761" s="242"/>
      <c r="T761" s="242"/>
      <c r="U761" s="242"/>
      <c r="V761" s="242"/>
      <c r="W761" s="242"/>
      <c r="X761" s="242"/>
      <c r="Y761" s="242"/>
      <c r="Z761" s="242"/>
      <c r="AA761" s="242"/>
      <c r="AB761" s="242"/>
      <c r="AC761" s="242"/>
      <c r="AD761" s="242"/>
      <c r="AE761" s="242"/>
      <c r="AF761" s="242"/>
      <c r="AG761" s="242"/>
      <c r="AH761" s="242"/>
      <c r="AI761" s="242"/>
      <c r="AJ761" s="13"/>
      <c r="AK761" s="242"/>
      <c r="AL761" s="242"/>
      <c r="AM761" s="242"/>
      <c r="AN761" s="242"/>
      <c r="AO761" s="242"/>
    </row>
    <row r="762">
      <c r="A762" s="242"/>
      <c r="B762" s="13"/>
      <c r="C762" s="242"/>
      <c r="D762" s="242"/>
      <c r="E762" s="242"/>
      <c r="F762" s="242"/>
      <c r="G762" s="13"/>
      <c r="H762" s="13"/>
      <c r="I762" s="13"/>
      <c r="J762" s="13"/>
      <c r="K762" s="13"/>
      <c r="L762" s="242"/>
      <c r="M762" s="242"/>
      <c r="N762" s="242"/>
      <c r="O762" s="242"/>
      <c r="P762" s="242"/>
      <c r="Q762" s="525"/>
      <c r="R762" s="242"/>
      <c r="S762" s="242"/>
      <c r="T762" s="242"/>
      <c r="U762" s="242"/>
      <c r="V762" s="242"/>
      <c r="W762" s="242"/>
      <c r="X762" s="242"/>
      <c r="Y762" s="242"/>
      <c r="Z762" s="242"/>
      <c r="AA762" s="242"/>
      <c r="AB762" s="242"/>
      <c r="AC762" s="242"/>
      <c r="AD762" s="242"/>
      <c r="AE762" s="242"/>
      <c r="AF762" s="242"/>
      <c r="AG762" s="242"/>
      <c r="AH762" s="242"/>
      <c r="AI762" s="242"/>
      <c r="AJ762" s="13"/>
      <c r="AK762" s="242"/>
      <c r="AL762" s="242"/>
      <c r="AM762" s="242"/>
      <c r="AN762" s="242"/>
      <c r="AO762" s="242"/>
    </row>
    <row r="763">
      <c r="A763" s="242"/>
      <c r="B763" s="13"/>
      <c r="C763" s="242"/>
      <c r="D763" s="242"/>
      <c r="E763" s="242"/>
      <c r="F763" s="242"/>
      <c r="G763" s="13"/>
      <c r="H763" s="13"/>
      <c r="I763" s="13"/>
      <c r="J763" s="13"/>
      <c r="K763" s="13"/>
      <c r="L763" s="242"/>
      <c r="M763" s="242"/>
      <c r="N763" s="242"/>
      <c r="O763" s="242"/>
      <c r="P763" s="242"/>
      <c r="Q763" s="525"/>
      <c r="R763" s="242"/>
      <c r="S763" s="242"/>
      <c r="T763" s="242"/>
      <c r="U763" s="242"/>
      <c r="V763" s="242"/>
      <c r="W763" s="242"/>
      <c r="X763" s="242"/>
      <c r="Y763" s="242"/>
      <c r="Z763" s="242"/>
      <c r="AA763" s="242"/>
      <c r="AB763" s="242"/>
      <c r="AC763" s="242"/>
      <c r="AD763" s="242"/>
      <c r="AE763" s="242"/>
      <c r="AF763" s="242"/>
      <c r="AG763" s="242"/>
      <c r="AH763" s="242"/>
      <c r="AI763" s="242"/>
      <c r="AJ763" s="13"/>
      <c r="AK763" s="242"/>
      <c r="AL763" s="242"/>
      <c r="AM763" s="242"/>
      <c r="AN763" s="242"/>
      <c r="AO763" s="242"/>
    </row>
    <row r="764">
      <c r="A764" s="242"/>
      <c r="B764" s="13"/>
      <c r="C764" s="242"/>
      <c r="D764" s="242"/>
      <c r="E764" s="242"/>
      <c r="F764" s="242"/>
      <c r="G764" s="13"/>
      <c r="H764" s="13"/>
      <c r="I764" s="13"/>
      <c r="J764" s="13"/>
      <c r="K764" s="13"/>
      <c r="L764" s="242"/>
      <c r="M764" s="242"/>
      <c r="N764" s="242"/>
      <c r="O764" s="242"/>
      <c r="P764" s="242"/>
      <c r="Q764" s="525"/>
      <c r="R764" s="242"/>
      <c r="S764" s="242"/>
      <c r="T764" s="242"/>
      <c r="U764" s="242"/>
      <c r="V764" s="242"/>
      <c r="W764" s="242"/>
      <c r="X764" s="242"/>
      <c r="Y764" s="242"/>
      <c r="Z764" s="242"/>
      <c r="AA764" s="242"/>
      <c r="AB764" s="242"/>
      <c r="AC764" s="242"/>
      <c r="AD764" s="242"/>
      <c r="AE764" s="242"/>
      <c r="AF764" s="242"/>
      <c r="AG764" s="242"/>
      <c r="AH764" s="242"/>
      <c r="AI764" s="242"/>
      <c r="AJ764" s="13"/>
      <c r="AK764" s="242"/>
      <c r="AL764" s="242"/>
      <c r="AM764" s="242"/>
      <c r="AN764" s="242"/>
      <c r="AO764" s="242"/>
    </row>
    <row r="765">
      <c r="A765" s="242"/>
      <c r="B765" s="13"/>
      <c r="C765" s="242"/>
      <c r="D765" s="242"/>
      <c r="E765" s="242"/>
      <c r="F765" s="242"/>
      <c r="G765" s="13"/>
      <c r="H765" s="13"/>
      <c r="I765" s="13"/>
      <c r="J765" s="13"/>
      <c r="K765" s="13"/>
      <c r="L765" s="242"/>
      <c r="M765" s="242"/>
      <c r="N765" s="242"/>
      <c r="O765" s="242"/>
      <c r="P765" s="242"/>
      <c r="Q765" s="525"/>
      <c r="R765" s="242"/>
      <c r="S765" s="242"/>
      <c r="T765" s="242"/>
      <c r="U765" s="242"/>
      <c r="V765" s="242"/>
      <c r="W765" s="242"/>
      <c r="X765" s="242"/>
      <c r="Y765" s="242"/>
      <c r="Z765" s="242"/>
      <c r="AA765" s="242"/>
      <c r="AB765" s="242"/>
      <c r="AC765" s="242"/>
      <c r="AD765" s="242"/>
      <c r="AE765" s="242"/>
      <c r="AF765" s="242"/>
      <c r="AG765" s="242"/>
      <c r="AH765" s="242"/>
      <c r="AI765" s="242"/>
      <c r="AJ765" s="13"/>
      <c r="AK765" s="242"/>
      <c r="AL765" s="242"/>
      <c r="AM765" s="242"/>
      <c r="AN765" s="242"/>
      <c r="AO765" s="242"/>
    </row>
    <row r="766">
      <c r="A766" s="242"/>
      <c r="B766" s="13"/>
      <c r="C766" s="242"/>
      <c r="D766" s="242"/>
      <c r="E766" s="242"/>
      <c r="F766" s="242"/>
      <c r="G766" s="13"/>
      <c r="H766" s="13"/>
      <c r="I766" s="13"/>
      <c r="J766" s="13"/>
      <c r="K766" s="13"/>
      <c r="L766" s="242"/>
      <c r="M766" s="242"/>
      <c r="N766" s="242"/>
      <c r="O766" s="242"/>
      <c r="P766" s="242"/>
      <c r="Q766" s="525"/>
      <c r="R766" s="242"/>
      <c r="S766" s="242"/>
      <c r="T766" s="242"/>
      <c r="U766" s="242"/>
      <c r="V766" s="242"/>
      <c r="W766" s="242"/>
      <c r="X766" s="242"/>
      <c r="Y766" s="242"/>
      <c r="Z766" s="242"/>
      <c r="AA766" s="242"/>
      <c r="AB766" s="242"/>
      <c r="AC766" s="242"/>
      <c r="AD766" s="242"/>
      <c r="AE766" s="242"/>
      <c r="AF766" s="242"/>
      <c r="AG766" s="242"/>
      <c r="AH766" s="242"/>
      <c r="AI766" s="242"/>
      <c r="AJ766" s="13"/>
      <c r="AK766" s="242"/>
      <c r="AL766" s="242"/>
      <c r="AM766" s="242"/>
      <c r="AN766" s="242"/>
      <c r="AO766" s="242"/>
    </row>
    <row r="767">
      <c r="A767" s="242"/>
      <c r="B767" s="13"/>
      <c r="C767" s="242"/>
      <c r="D767" s="242"/>
      <c r="E767" s="242"/>
      <c r="F767" s="242"/>
      <c r="G767" s="13"/>
      <c r="H767" s="13"/>
      <c r="I767" s="13"/>
      <c r="J767" s="13"/>
      <c r="K767" s="13"/>
      <c r="L767" s="242"/>
      <c r="M767" s="242"/>
      <c r="N767" s="242"/>
      <c r="O767" s="242"/>
      <c r="P767" s="242"/>
      <c r="Q767" s="525"/>
      <c r="R767" s="242"/>
      <c r="S767" s="242"/>
      <c r="T767" s="242"/>
      <c r="U767" s="242"/>
      <c r="V767" s="242"/>
      <c r="W767" s="242"/>
      <c r="X767" s="242"/>
      <c r="Y767" s="242"/>
      <c r="Z767" s="242"/>
      <c r="AA767" s="242"/>
      <c r="AB767" s="242"/>
      <c r="AC767" s="242"/>
      <c r="AD767" s="242"/>
      <c r="AE767" s="242"/>
      <c r="AF767" s="242"/>
      <c r="AG767" s="242"/>
      <c r="AH767" s="242"/>
      <c r="AI767" s="242"/>
      <c r="AJ767" s="13"/>
      <c r="AK767" s="242"/>
      <c r="AL767" s="242"/>
      <c r="AM767" s="242"/>
      <c r="AN767" s="242"/>
      <c r="AO767" s="242"/>
    </row>
    <row r="768">
      <c r="A768" s="242"/>
      <c r="B768" s="13"/>
      <c r="C768" s="242"/>
      <c r="D768" s="242"/>
      <c r="E768" s="242"/>
      <c r="F768" s="242"/>
      <c r="G768" s="13"/>
      <c r="H768" s="13"/>
      <c r="I768" s="13"/>
      <c r="J768" s="13"/>
      <c r="K768" s="13"/>
      <c r="L768" s="242"/>
      <c r="M768" s="242"/>
      <c r="N768" s="242"/>
      <c r="O768" s="242"/>
      <c r="P768" s="242"/>
      <c r="Q768" s="525"/>
      <c r="R768" s="242"/>
      <c r="S768" s="242"/>
      <c r="T768" s="242"/>
      <c r="U768" s="242"/>
      <c r="V768" s="242"/>
      <c r="W768" s="242"/>
      <c r="X768" s="242"/>
      <c r="Y768" s="242"/>
      <c r="Z768" s="242"/>
      <c r="AA768" s="242"/>
      <c r="AB768" s="242"/>
      <c r="AC768" s="242"/>
      <c r="AD768" s="242"/>
      <c r="AE768" s="242"/>
      <c r="AF768" s="242"/>
      <c r="AG768" s="242"/>
      <c r="AH768" s="242"/>
      <c r="AI768" s="242"/>
      <c r="AJ768" s="13"/>
      <c r="AK768" s="242"/>
      <c r="AL768" s="242"/>
      <c r="AM768" s="242"/>
      <c r="AN768" s="242"/>
      <c r="AO768" s="242"/>
    </row>
    <row r="769">
      <c r="A769" s="242"/>
      <c r="B769" s="13"/>
      <c r="C769" s="242"/>
      <c r="D769" s="242"/>
      <c r="E769" s="242"/>
      <c r="F769" s="242"/>
      <c r="G769" s="13"/>
      <c r="H769" s="13"/>
      <c r="I769" s="13"/>
      <c r="J769" s="13"/>
      <c r="K769" s="13"/>
      <c r="L769" s="242"/>
      <c r="M769" s="242"/>
      <c r="N769" s="242"/>
      <c r="O769" s="242"/>
      <c r="P769" s="242"/>
      <c r="Q769" s="525"/>
      <c r="R769" s="242"/>
      <c r="S769" s="242"/>
      <c r="T769" s="242"/>
      <c r="U769" s="242"/>
      <c r="V769" s="242"/>
      <c r="W769" s="242"/>
      <c r="X769" s="242"/>
      <c r="Y769" s="242"/>
      <c r="Z769" s="242"/>
      <c r="AA769" s="242"/>
      <c r="AB769" s="242"/>
      <c r="AC769" s="242"/>
      <c r="AD769" s="242"/>
      <c r="AE769" s="242"/>
      <c r="AF769" s="242"/>
      <c r="AG769" s="242"/>
      <c r="AH769" s="242"/>
      <c r="AI769" s="242"/>
      <c r="AJ769" s="13"/>
      <c r="AK769" s="242"/>
      <c r="AL769" s="242"/>
      <c r="AM769" s="242"/>
      <c r="AN769" s="242"/>
      <c r="AO769" s="242"/>
    </row>
    <row r="770">
      <c r="A770" s="242"/>
      <c r="B770" s="13"/>
      <c r="C770" s="242"/>
      <c r="D770" s="242"/>
      <c r="E770" s="242"/>
      <c r="F770" s="242"/>
      <c r="G770" s="13"/>
      <c r="H770" s="13"/>
      <c r="I770" s="13"/>
      <c r="J770" s="13"/>
      <c r="K770" s="13"/>
      <c r="L770" s="242"/>
      <c r="M770" s="242"/>
      <c r="N770" s="242"/>
      <c r="O770" s="242"/>
      <c r="P770" s="242"/>
      <c r="Q770" s="525"/>
      <c r="R770" s="242"/>
      <c r="S770" s="242"/>
      <c r="T770" s="242"/>
      <c r="U770" s="242"/>
      <c r="V770" s="242"/>
      <c r="W770" s="242"/>
      <c r="X770" s="242"/>
      <c r="Y770" s="242"/>
      <c r="Z770" s="242"/>
      <c r="AA770" s="242"/>
      <c r="AB770" s="242"/>
      <c r="AC770" s="242"/>
      <c r="AD770" s="242"/>
      <c r="AE770" s="242"/>
      <c r="AF770" s="242"/>
      <c r="AG770" s="242"/>
      <c r="AH770" s="242"/>
      <c r="AI770" s="242"/>
      <c r="AJ770" s="13"/>
      <c r="AK770" s="242"/>
      <c r="AL770" s="242"/>
      <c r="AM770" s="242"/>
      <c r="AN770" s="242"/>
      <c r="AO770" s="242"/>
    </row>
    <row r="771">
      <c r="A771" s="242"/>
      <c r="B771" s="13"/>
      <c r="C771" s="242"/>
      <c r="D771" s="242"/>
      <c r="E771" s="242"/>
      <c r="F771" s="242"/>
      <c r="G771" s="13"/>
      <c r="H771" s="13"/>
      <c r="I771" s="13"/>
      <c r="J771" s="13"/>
      <c r="K771" s="13"/>
      <c r="L771" s="242"/>
      <c r="M771" s="242"/>
      <c r="N771" s="242"/>
      <c r="O771" s="242"/>
      <c r="P771" s="242"/>
      <c r="Q771" s="525"/>
      <c r="R771" s="242"/>
      <c r="S771" s="242"/>
      <c r="T771" s="242"/>
      <c r="U771" s="242"/>
      <c r="V771" s="242"/>
      <c r="W771" s="242"/>
      <c r="X771" s="242"/>
      <c r="Y771" s="242"/>
      <c r="Z771" s="242"/>
      <c r="AA771" s="242"/>
      <c r="AB771" s="242"/>
      <c r="AC771" s="242"/>
      <c r="AD771" s="242"/>
      <c r="AE771" s="242"/>
      <c r="AF771" s="242"/>
      <c r="AG771" s="242"/>
      <c r="AH771" s="242"/>
      <c r="AI771" s="242"/>
      <c r="AJ771" s="13"/>
      <c r="AK771" s="242"/>
      <c r="AL771" s="242"/>
      <c r="AM771" s="242"/>
      <c r="AN771" s="242"/>
      <c r="AO771" s="242"/>
    </row>
    <row r="772">
      <c r="A772" s="242"/>
      <c r="B772" s="13"/>
      <c r="C772" s="242"/>
      <c r="D772" s="242"/>
      <c r="E772" s="242"/>
      <c r="F772" s="242"/>
      <c r="G772" s="13"/>
      <c r="H772" s="13"/>
      <c r="I772" s="13"/>
      <c r="J772" s="13"/>
      <c r="K772" s="13"/>
      <c r="L772" s="242"/>
      <c r="M772" s="242"/>
      <c r="N772" s="242"/>
      <c r="O772" s="242"/>
      <c r="P772" s="242"/>
      <c r="Q772" s="525"/>
      <c r="R772" s="242"/>
      <c r="S772" s="242"/>
      <c r="T772" s="242"/>
      <c r="U772" s="242"/>
      <c r="V772" s="242"/>
      <c r="W772" s="242"/>
      <c r="X772" s="242"/>
      <c r="Y772" s="242"/>
      <c r="Z772" s="242"/>
      <c r="AA772" s="242"/>
      <c r="AB772" s="242"/>
      <c r="AC772" s="242"/>
      <c r="AD772" s="242"/>
      <c r="AE772" s="242"/>
      <c r="AF772" s="242"/>
      <c r="AG772" s="242"/>
      <c r="AH772" s="242"/>
      <c r="AI772" s="242"/>
      <c r="AJ772" s="13"/>
      <c r="AK772" s="242"/>
      <c r="AL772" s="242"/>
      <c r="AM772" s="242"/>
      <c r="AN772" s="242"/>
      <c r="AO772" s="242"/>
    </row>
    <row r="773">
      <c r="A773" s="242"/>
      <c r="B773" s="13"/>
      <c r="C773" s="242"/>
      <c r="D773" s="242"/>
      <c r="E773" s="242"/>
      <c r="F773" s="242"/>
      <c r="G773" s="13"/>
      <c r="H773" s="13"/>
      <c r="I773" s="13"/>
      <c r="J773" s="13"/>
      <c r="K773" s="13"/>
      <c r="L773" s="242"/>
      <c r="M773" s="242"/>
      <c r="N773" s="242"/>
      <c r="O773" s="242"/>
      <c r="P773" s="242"/>
      <c r="Q773" s="525"/>
      <c r="R773" s="242"/>
      <c r="S773" s="242"/>
      <c r="T773" s="242"/>
      <c r="U773" s="242"/>
      <c r="V773" s="242"/>
      <c r="W773" s="242"/>
      <c r="X773" s="242"/>
      <c r="Y773" s="242"/>
      <c r="Z773" s="242"/>
      <c r="AA773" s="242"/>
      <c r="AB773" s="242"/>
      <c r="AC773" s="242"/>
      <c r="AD773" s="242"/>
      <c r="AE773" s="242"/>
      <c r="AF773" s="242"/>
      <c r="AG773" s="242"/>
      <c r="AH773" s="242"/>
      <c r="AI773" s="242"/>
      <c r="AJ773" s="13"/>
      <c r="AK773" s="242"/>
      <c r="AL773" s="242"/>
      <c r="AM773" s="242"/>
      <c r="AN773" s="242"/>
      <c r="AO773" s="242"/>
    </row>
    <row r="774">
      <c r="A774" s="242"/>
      <c r="B774" s="13"/>
      <c r="C774" s="242"/>
      <c r="D774" s="242"/>
      <c r="E774" s="242"/>
      <c r="F774" s="242"/>
      <c r="G774" s="13"/>
      <c r="H774" s="13"/>
      <c r="I774" s="13"/>
      <c r="J774" s="13"/>
      <c r="K774" s="13"/>
      <c r="L774" s="242"/>
      <c r="M774" s="242"/>
      <c r="N774" s="242"/>
      <c r="O774" s="242"/>
      <c r="P774" s="242"/>
      <c r="Q774" s="525"/>
      <c r="R774" s="242"/>
      <c r="S774" s="242"/>
      <c r="T774" s="242"/>
      <c r="U774" s="242"/>
      <c r="V774" s="242"/>
      <c r="W774" s="242"/>
      <c r="X774" s="242"/>
      <c r="Y774" s="242"/>
      <c r="Z774" s="242"/>
      <c r="AA774" s="242"/>
      <c r="AB774" s="242"/>
      <c r="AC774" s="242"/>
      <c r="AD774" s="242"/>
      <c r="AE774" s="242"/>
      <c r="AF774" s="242"/>
      <c r="AG774" s="242"/>
      <c r="AH774" s="242"/>
      <c r="AI774" s="242"/>
      <c r="AJ774" s="13"/>
      <c r="AK774" s="242"/>
      <c r="AL774" s="242"/>
      <c r="AM774" s="242"/>
      <c r="AN774" s="242"/>
      <c r="AO774" s="242"/>
    </row>
    <row r="775">
      <c r="A775" s="242"/>
      <c r="B775" s="13"/>
      <c r="C775" s="242"/>
      <c r="D775" s="242"/>
      <c r="E775" s="242"/>
      <c r="F775" s="242"/>
      <c r="G775" s="13"/>
      <c r="H775" s="13"/>
      <c r="I775" s="13"/>
      <c r="J775" s="13"/>
      <c r="K775" s="13"/>
      <c r="L775" s="242"/>
      <c r="M775" s="242"/>
      <c r="N775" s="242"/>
      <c r="O775" s="242"/>
      <c r="P775" s="242"/>
      <c r="Q775" s="525"/>
      <c r="R775" s="242"/>
      <c r="S775" s="242"/>
      <c r="T775" s="242"/>
      <c r="U775" s="242"/>
      <c r="V775" s="242"/>
      <c r="W775" s="242"/>
      <c r="X775" s="242"/>
      <c r="Y775" s="242"/>
      <c r="Z775" s="242"/>
      <c r="AA775" s="242"/>
      <c r="AB775" s="242"/>
      <c r="AC775" s="242"/>
      <c r="AD775" s="242"/>
      <c r="AE775" s="242"/>
      <c r="AF775" s="242"/>
      <c r="AG775" s="242"/>
      <c r="AH775" s="242"/>
      <c r="AI775" s="242"/>
      <c r="AJ775" s="13"/>
      <c r="AK775" s="242"/>
      <c r="AL775" s="242"/>
      <c r="AM775" s="242"/>
      <c r="AN775" s="242"/>
      <c r="AO775" s="242"/>
    </row>
    <row r="776">
      <c r="A776" s="242"/>
      <c r="B776" s="13"/>
      <c r="C776" s="242"/>
      <c r="D776" s="242"/>
      <c r="E776" s="242"/>
      <c r="F776" s="242"/>
      <c r="G776" s="13"/>
      <c r="H776" s="13"/>
      <c r="I776" s="13"/>
      <c r="J776" s="13"/>
      <c r="K776" s="13"/>
      <c r="L776" s="242"/>
      <c r="M776" s="242"/>
      <c r="N776" s="242"/>
      <c r="O776" s="242"/>
      <c r="P776" s="242"/>
      <c r="Q776" s="525"/>
      <c r="R776" s="242"/>
      <c r="S776" s="242"/>
      <c r="T776" s="242"/>
      <c r="U776" s="242"/>
      <c r="V776" s="242"/>
      <c r="W776" s="242"/>
      <c r="X776" s="242"/>
      <c r="Y776" s="242"/>
      <c r="Z776" s="242"/>
      <c r="AA776" s="242"/>
      <c r="AB776" s="242"/>
      <c r="AC776" s="242"/>
      <c r="AD776" s="242"/>
      <c r="AE776" s="242"/>
      <c r="AF776" s="242"/>
      <c r="AG776" s="242"/>
      <c r="AH776" s="242"/>
      <c r="AI776" s="242"/>
      <c r="AJ776" s="13"/>
      <c r="AK776" s="242"/>
      <c r="AL776" s="242"/>
      <c r="AM776" s="242"/>
      <c r="AN776" s="242"/>
      <c r="AO776" s="242"/>
    </row>
    <row r="777">
      <c r="A777" s="242"/>
      <c r="B777" s="13"/>
      <c r="C777" s="242"/>
      <c r="D777" s="242"/>
      <c r="E777" s="242"/>
      <c r="F777" s="242"/>
      <c r="G777" s="13"/>
      <c r="H777" s="13"/>
      <c r="I777" s="13"/>
      <c r="J777" s="13"/>
      <c r="K777" s="13"/>
      <c r="L777" s="242"/>
      <c r="M777" s="242"/>
      <c r="N777" s="242"/>
      <c r="O777" s="242"/>
      <c r="P777" s="242"/>
      <c r="Q777" s="525"/>
      <c r="R777" s="242"/>
      <c r="S777" s="242"/>
      <c r="T777" s="242"/>
      <c r="U777" s="242"/>
      <c r="V777" s="242"/>
      <c r="W777" s="242"/>
      <c r="X777" s="242"/>
      <c r="Y777" s="242"/>
      <c r="Z777" s="242"/>
      <c r="AA777" s="242"/>
      <c r="AB777" s="242"/>
      <c r="AC777" s="242"/>
      <c r="AD777" s="242"/>
      <c r="AE777" s="242"/>
      <c r="AF777" s="242"/>
      <c r="AG777" s="242"/>
      <c r="AH777" s="242"/>
      <c r="AI777" s="242"/>
      <c r="AJ777" s="13"/>
      <c r="AK777" s="242"/>
      <c r="AL777" s="242"/>
      <c r="AM777" s="242"/>
      <c r="AN777" s="242"/>
      <c r="AO777" s="242"/>
    </row>
    <row r="778">
      <c r="A778" s="242"/>
      <c r="B778" s="13"/>
      <c r="C778" s="242"/>
      <c r="D778" s="242"/>
      <c r="E778" s="242"/>
      <c r="F778" s="242"/>
      <c r="G778" s="13"/>
      <c r="H778" s="13"/>
      <c r="I778" s="13"/>
      <c r="J778" s="13"/>
      <c r="K778" s="13"/>
      <c r="L778" s="242"/>
      <c r="M778" s="242"/>
      <c r="N778" s="242"/>
      <c r="O778" s="242"/>
      <c r="P778" s="242"/>
      <c r="Q778" s="525"/>
      <c r="R778" s="242"/>
      <c r="S778" s="242"/>
      <c r="T778" s="242"/>
      <c r="U778" s="242"/>
      <c r="V778" s="242"/>
      <c r="W778" s="242"/>
      <c r="X778" s="242"/>
      <c r="Y778" s="242"/>
      <c r="Z778" s="242"/>
      <c r="AA778" s="242"/>
      <c r="AB778" s="242"/>
      <c r="AC778" s="242"/>
      <c r="AD778" s="242"/>
      <c r="AE778" s="242"/>
      <c r="AF778" s="242"/>
      <c r="AG778" s="242"/>
      <c r="AH778" s="242"/>
      <c r="AI778" s="242"/>
      <c r="AJ778" s="13"/>
      <c r="AK778" s="242"/>
      <c r="AL778" s="242"/>
      <c r="AM778" s="242"/>
      <c r="AN778" s="242"/>
      <c r="AO778" s="242"/>
    </row>
    <row r="779">
      <c r="A779" s="242"/>
      <c r="B779" s="13"/>
      <c r="C779" s="242"/>
      <c r="D779" s="242"/>
      <c r="E779" s="242"/>
      <c r="F779" s="242"/>
      <c r="G779" s="13"/>
      <c r="H779" s="13"/>
      <c r="I779" s="13"/>
      <c r="J779" s="13"/>
      <c r="K779" s="13"/>
      <c r="L779" s="242"/>
      <c r="M779" s="242"/>
      <c r="N779" s="242"/>
      <c r="O779" s="242"/>
      <c r="P779" s="242"/>
      <c r="Q779" s="525"/>
      <c r="R779" s="242"/>
      <c r="S779" s="242"/>
      <c r="T779" s="242"/>
      <c r="U779" s="242"/>
      <c r="V779" s="242"/>
      <c r="W779" s="242"/>
      <c r="X779" s="242"/>
      <c r="Y779" s="242"/>
      <c r="Z779" s="242"/>
      <c r="AA779" s="242"/>
      <c r="AB779" s="242"/>
      <c r="AC779" s="242"/>
      <c r="AD779" s="242"/>
      <c r="AE779" s="242"/>
      <c r="AF779" s="242"/>
      <c r="AG779" s="242"/>
      <c r="AH779" s="242"/>
      <c r="AI779" s="242"/>
      <c r="AJ779" s="13"/>
      <c r="AK779" s="242"/>
      <c r="AL779" s="242"/>
      <c r="AM779" s="242"/>
      <c r="AN779" s="242"/>
      <c r="AO779" s="242"/>
    </row>
    <row r="780">
      <c r="A780" s="242"/>
      <c r="B780" s="13"/>
      <c r="C780" s="242"/>
      <c r="D780" s="242"/>
      <c r="E780" s="242"/>
      <c r="F780" s="242"/>
      <c r="G780" s="13"/>
      <c r="H780" s="13"/>
      <c r="I780" s="13"/>
      <c r="J780" s="13"/>
      <c r="K780" s="13"/>
      <c r="L780" s="242"/>
      <c r="M780" s="242"/>
      <c r="N780" s="242"/>
      <c r="O780" s="242"/>
      <c r="P780" s="242"/>
      <c r="Q780" s="525"/>
      <c r="R780" s="242"/>
      <c r="S780" s="242"/>
      <c r="T780" s="242"/>
      <c r="U780" s="242"/>
      <c r="V780" s="242"/>
      <c r="W780" s="242"/>
      <c r="X780" s="242"/>
      <c r="Y780" s="242"/>
      <c r="Z780" s="242"/>
      <c r="AA780" s="242"/>
      <c r="AB780" s="242"/>
      <c r="AC780" s="242"/>
      <c r="AD780" s="242"/>
      <c r="AE780" s="242"/>
      <c r="AF780" s="242"/>
      <c r="AG780" s="242"/>
      <c r="AH780" s="242"/>
      <c r="AI780" s="242"/>
      <c r="AJ780" s="13"/>
      <c r="AK780" s="242"/>
      <c r="AL780" s="242"/>
      <c r="AM780" s="242"/>
      <c r="AN780" s="242"/>
      <c r="AO780" s="242"/>
    </row>
    <row r="781">
      <c r="A781" s="242"/>
      <c r="B781" s="13"/>
      <c r="C781" s="242"/>
      <c r="D781" s="242"/>
      <c r="E781" s="242"/>
      <c r="F781" s="242"/>
      <c r="G781" s="13"/>
      <c r="H781" s="13"/>
      <c r="I781" s="13"/>
      <c r="J781" s="13"/>
      <c r="K781" s="13"/>
      <c r="L781" s="242"/>
      <c r="M781" s="242"/>
      <c r="N781" s="242"/>
      <c r="O781" s="242"/>
      <c r="P781" s="242"/>
      <c r="Q781" s="525"/>
      <c r="R781" s="242"/>
      <c r="S781" s="242"/>
      <c r="T781" s="242"/>
      <c r="U781" s="242"/>
      <c r="V781" s="242"/>
      <c r="W781" s="242"/>
      <c r="X781" s="242"/>
      <c r="Y781" s="242"/>
      <c r="Z781" s="242"/>
      <c r="AA781" s="242"/>
      <c r="AB781" s="242"/>
      <c r="AC781" s="242"/>
      <c r="AD781" s="242"/>
      <c r="AE781" s="242"/>
      <c r="AF781" s="242"/>
      <c r="AG781" s="242"/>
      <c r="AH781" s="242"/>
      <c r="AI781" s="242"/>
      <c r="AJ781" s="13"/>
      <c r="AK781" s="242"/>
      <c r="AL781" s="242"/>
      <c r="AM781" s="242"/>
      <c r="AN781" s="242"/>
      <c r="AO781" s="242"/>
    </row>
    <row r="782">
      <c r="A782" s="242"/>
      <c r="B782" s="13"/>
      <c r="C782" s="242"/>
      <c r="D782" s="242"/>
      <c r="E782" s="242"/>
      <c r="F782" s="242"/>
      <c r="G782" s="13"/>
      <c r="H782" s="13"/>
      <c r="I782" s="13"/>
      <c r="J782" s="13"/>
      <c r="K782" s="13"/>
      <c r="L782" s="242"/>
      <c r="M782" s="242"/>
      <c r="N782" s="242"/>
      <c r="O782" s="242"/>
      <c r="P782" s="242"/>
      <c r="Q782" s="525"/>
      <c r="R782" s="242"/>
      <c r="S782" s="242"/>
      <c r="T782" s="242"/>
      <c r="U782" s="242"/>
      <c r="V782" s="242"/>
      <c r="W782" s="242"/>
      <c r="X782" s="242"/>
      <c r="Y782" s="242"/>
      <c r="Z782" s="242"/>
      <c r="AA782" s="242"/>
      <c r="AB782" s="242"/>
      <c r="AC782" s="242"/>
      <c r="AD782" s="242"/>
      <c r="AE782" s="242"/>
      <c r="AF782" s="242"/>
      <c r="AG782" s="242"/>
      <c r="AH782" s="242"/>
      <c r="AI782" s="242"/>
      <c r="AJ782" s="13"/>
      <c r="AK782" s="242"/>
      <c r="AL782" s="242"/>
      <c r="AM782" s="242"/>
      <c r="AN782" s="242"/>
      <c r="AO782" s="242"/>
    </row>
    <row r="783">
      <c r="A783" s="242"/>
      <c r="B783" s="13"/>
      <c r="C783" s="242"/>
      <c r="D783" s="242"/>
      <c r="E783" s="242"/>
      <c r="F783" s="242"/>
      <c r="G783" s="13"/>
      <c r="H783" s="13"/>
      <c r="I783" s="13"/>
      <c r="J783" s="13"/>
      <c r="K783" s="13"/>
      <c r="L783" s="242"/>
      <c r="M783" s="242"/>
      <c r="N783" s="242"/>
      <c r="O783" s="242"/>
      <c r="P783" s="242"/>
      <c r="Q783" s="525"/>
      <c r="R783" s="242"/>
      <c r="S783" s="242"/>
      <c r="T783" s="242"/>
      <c r="U783" s="242"/>
      <c r="V783" s="242"/>
      <c r="W783" s="242"/>
      <c r="X783" s="242"/>
      <c r="Y783" s="242"/>
      <c r="Z783" s="242"/>
      <c r="AA783" s="242"/>
      <c r="AB783" s="242"/>
      <c r="AC783" s="242"/>
      <c r="AD783" s="242"/>
      <c r="AE783" s="242"/>
      <c r="AF783" s="242"/>
      <c r="AG783" s="242"/>
      <c r="AH783" s="242"/>
      <c r="AI783" s="242"/>
      <c r="AJ783" s="13"/>
      <c r="AK783" s="242"/>
      <c r="AL783" s="242"/>
      <c r="AM783" s="242"/>
      <c r="AN783" s="242"/>
      <c r="AO783" s="242"/>
    </row>
    <row r="784">
      <c r="A784" s="242"/>
      <c r="B784" s="13"/>
      <c r="C784" s="242"/>
      <c r="D784" s="242"/>
      <c r="E784" s="242"/>
      <c r="F784" s="242"/>
      <c r="G784" s="13"/>
      <c r="H784" s="13"/>
      <c r="I784" s="13"/>
      <c r="J784" s="13"/>
      <c r="K784" s="13"/>
      <c r="L784" s="242"/>
      <c r="M784" s="242"/>
      <c r="N784" s="242"/>
      <c r="O784" s="242"/>
      <c r="P784" s="242"/>
      <c r="Q784" s="525"/>
      <c r="R784" s="242"/>
      <c r="S784" s="242"/>
      <c r="T784" s="242"/>
      <c r="U784" s="242"/>
      <c r="V784" s="242"/>
      <c r="W784" s="242"/>
      <c r="X784" s="242"/>
      <c r="Y784" s="242"/>
      <c r="Z784" s="242"/>
      <c r="AA784" s="242"/>
      <c r="AB784" s="242"/>
      <c r="AC784" s="242"/>
      <c r="AD784" s="242"/>
      <c r="AE784" s="242"/>
      <c r="AF784" s="242"/>
      <c r="AG784" s="242"/>
      <c r="AH784" s="242"/>
      <c r="AI784" s="242"/>
      <c r="AJ784" s="13"/>
      <c r="AK784" s="242"/>
      <c r="AL784" s="242"/>
      <c r="AM784" s="242"/>
      <c r="AN784" s="242"/>
      <c r="AO784" s="242"/>
    </row>
    <row r="785">
      <c r="A785" s="242"/>
      <c r="B785" s="13"/>
      <c r="C785" s="242"/>
      <c r="D785" s="242"/>
      <c r="E785" s="242"/>
      <c r="F785" s="242"/>
      <c r="G785" s="13"/>
      <c r="H785" s="13"/>
      <c r="I785" s="13"/>
      <c r="J785" s="13"/>
      <c r="K785" s="13"/>
      <c r="L785" s="242"/>
      <c r="M785" s="242"/>
      <c r="N785" s="242"/>
      <c r="O785" s="242"/>
      <c r="P785" s="242"/>
      <c r="Q785" s="525"/>
      <c r="R785" s="242"/>
      <c r="S785" s="242"/>
      <c r="T785" s="242"/>
      <c r="U785" s="242"/>
      <c r="V785" s="242"/>
      <c r="W785" s="242"/>
      <c r="X785" s="242"/>
      <c r="Y785" s="242"/>
      <c r="Z785" s="242"/>
      <c r="AA785" s="242"/>
      <c r="AB785" s="242"/>
      <c r="AC785" s="242"/>
      <c r="AD785" s="242"/>
      <c r="AE785" s="242"/>
      <c r="AF785" s="242"/>
      <c r="AG785" s="242"/>
      <c r="AH785" s="242"/>
      <c r="AI785" s="242"/>
      <c r="AJ785" s="13"/>
      <c r="AK785" s="242"/>
      <c r="AL785" s="242"/>
      <c r="AM785" s="242"/>
      <c r="AN785" s="242"/>
      <c r="AO785" s="242"/>
    </row>
    <row r="786">
      <c r="A786" s="242"/>
      <c r="B786" s="13"/>
      <c r="C786" s="242"/>
      <c r="D786" s="242"/>
      <c r="E786" s="242"/>
      <c r="F786" s="242"/>
      <c r="G786" s="13"/>
      <c r="H786" s="13"/>
      <c r="I786" s="13"/>
      <c r="J786" s="13"/>
      <c r="K786" s="13"/>
      <c r="L786" s="242"/>
      <c r="M786" s="242"/>
      <c r="N786" s="242"/>
      <c r="O786" s="242"/>
      <c r="P786" s="242"/>
      <c r="Q786" s="525"/>
      <c r="R786" s="242"/>
      <c r="S786" s="242"/>
      <c r="T786" s="242"/>
      <c r="U786" s="242"/>
      <c r="V786" s="242"/>
      <c r="W786" s="242"/>
      <c r="X786" s="242"/>
      <c r="Y786" s="242"/>
      <c r="Z786" s="242"/>
      <c r="AA786" s="242"/>
      <c r="AB786" s="242"/>
      <c r="AC786" s="242"/>
      <c r="AD786" s="242"/>
      <c r="AE786" s="242"/>
      <c r="AF786" s="242"/>
      <c r="AG786" s="242"/>
      <c r="AH786" s="242"/>
      <c r="AI786" s="242"/>
      <c r="AJ786" s="13"/>
      <c r="AK786" s="242"/>
      <c r="AL786" s="242"/>
      <c r="AM786" s="242"/>
      <c r="AN786" s="242"/>
      <c r="AO786" s="242"/>
    </row>
    <row r="787">
      <c r="A787" s="242"/>
      <c r="B787" s="13"/>
      <c r="C787" s="242"/>
      <c r="D787" s="242"/>
      <c r="E787" s="242"/>
      <c r="F787" s="242"/>
      <c r="G787" s="13"/>
      <c r="H787" s="13"/>
      <c r="I787" s="13"/>
      <c r="J787" s="13"/>
      <c r="K787" s="13"/>
      <c r="L787" s="242"/>
      <c r="M787" s="242"/>
      <c r="N787" s="242"/>
      <c r="O787" s="242"/>
      <c r="P787" s="242"/>
      <c r="Q787" s="525"/>
      <c r="R787" s="242"/>
      <c r="S787" s="242"/>
      <c r="T787" s="242"/>
      <c r="U787" s="242"/>
      <c r="V787" s="242"/>
      <c r="W787" s="242"/>
      <c r="X787" s="242"/>
      <c r="Y787" s="242"/>
      <c r="Z787" s="242"/>
      <c r="AA787" s="242"/>
      <c r="AB787" s="242"/>
      <c r="AC787" s="242"/>
      <c r="AD787" s="242"/>
      <c r="AE787" s="242"/>
      <c r="AF787" s="242"/>
      <c r="AG787" s="242"/>
      <c r="AH787" s="242"/>
      <c r="AI787" s="242"/>
      <c r="AJ787" s="13"/>
      <c r="AK787" s="242"/>
      <c r="AL787" s="242"/>
      <c r="AM787" s="242"/>
      <c r="AN787" s="242"/>
      <c r="AO787" s="242"/>
    </row>
    <row r="788">
      <c r="A788" s="242"/>
      <c r="B788" s="13"/>
      <c r="C788" s="242"/>
      <c r="D788" s="242"/>
      <c r="E788" s="242"/>
      <c r="F788" s="242"/>
      <c r="G788" s="13"/>
      <c r="H788" s="13"/>
      <c r="I788" s="13"/>
      <c r="J788" s="13"/>
      <c r="K788" s="13"/>
      <c r="L788" s="242"/>
      <c r="M788" s="242"/>
      <c r="N788" s="242"/>
      <c r="O788" s="242"/>
      <c r="P788" s="242"/>
      <c r="Q788" s="525"/>
      <c r="R788" s="242"/>
      <c r="S788" s="242"/>
      <c r="T788" s="242"/>
      <c r="U788" s="242"/>
      <c r="V788" s="242"/>
      <c r="W788" s="242"/>
      <c r="X788" s="242"/>
      <c r="Y788" s="242"/>
      <c r="Z788" s="242"/>
      <c r="AA788" s="242"/>
      <c r="AB788" s="242"/>
      <c r="AC788" s="242"/>
      <c r="AD788" s="242"/>
      <c r="AE788" s="242"/>
      <c r="AF788" s="242"/>
      <c r="AG788" s="242"/>
      <c r="AH788" s="242"/>
      <c r="AI788" s="242"/>
      <c r="AJ788" s="13"/>
      <c r="AK788" s="242"/>
      <c r="AL788" s="242"/>
      <c r="AM788" s="242"/>
      <c r="AN788" s="242"/>
      <c r="AO788" s="242"/>
    </row>
    <row r="789">
      <c r="A789" s="242"/>
      <c r="B789" s="13"/>
      <c r="C789" s="242"/>
      <c r="D789" s="242"/>
      <c r="E789" s="242"/>
      <c r="F789" s="242"/>
      <c r="G789" s="13"/>
      <c r="H789" s="13"/>
      <c r="I789" s="13"/>
      <c r="J789" s="13"/>
      <c r="K789" s="13"/>
      <c r="L789" s="242"/>
      <c r="M789" s="242"/>
      <c r="N789" s="242"/>
      <c r="O789" s="242"/>
      <c r="P789" s="242"/>
      <c r="Q789" s="525"/>
      <c r="R789" s="242"/>
      <c r="S789" s="242"/>
      <c r="T789" s="242"/>
      <c r="U789" s="242"/>
      <c r="V789" s="242"/>
      <c r="W789" s="242"/>
      <c r="X789" s="242"/>
      <c r="Y789" s="242"/>
      <c r="Z789" s="242"/>
      <c r="AA789" s="242"/>
      <c r="AB789" s="242"/>
      <c r="AC789" s="242"/>
      <c r="AD789" s="242"/>
      <c r="AE789" s="242"/>
      <c r="AF789" s="242"/>
      <c r="AG789" s="242"/>
      <c r="AH789" s="242"/>
      <c r="AI789" s="242"/>
      <c r="AJ789" s="13"/>
      <c r="AK789" s="242"/>
      <c r="AL789" s="242"/>
      <c r="AM789" s="242"/>
      <c r="AN789" s="242"/>
      <c r="AO789" s="242"/>
    </row>
    <row r="790">
      <c r="A790" s="242"/>
      <c r="B790" s="13"/>
      <c r="C790" s="242"/>
      <c r="D790" s="242"/>
      <c r="E790" s="242"/>
      <c r="F790" s="242"/>
      <c r="G790" s="13"/>
      <c r="H790" s="13"/>
      <c r="I790" s="13"/>
      <c r="J790" s="13"/>
      <c r="K790" s="13"/>
      <c r="L790" s="242"/>
      <c r="M790" s="242"/>
      <c r="N790" s="242"/>
      <c r="O790" s="242"/>
      <c r="P790" s="242"/>
      <c r="Q790" s="525"/>
      <c r="R790" s="242"/>
      <c r="S790" s="242"/>
      <c r="T790" s="242"/>
      <c r="U790" s="242"/>
      <c r="V790" s="242"/>
      <c r="W790" s="242"/>
      <c r="X790" s="242"/>
      <c r="Y790" s="242"/>
      <c r="Z790" s="242"/>
      <c r="AA790" s="242"/>
      <c r="AB790" s="242"/>
      <c r="AC790" s="242"/>
      <c r="AD790" s="242"/>
      <c r="AE790" s="242"/>
      <c r="AF790" s="242"/>
      <c r="AG790" s="242"/>
      <c r="AH790" s="242"/>
      <c r="AI790" s="242"/>
      <c r="AJ790" s="13"/>
      <c r="AK790" s="242"/>
      <c r="AL790" s="242"/>
      <c r="AM790" s="242"/>
      <c r="AN790" s="242"/>
      <c r="AO790" s="242"/>
    </row>
    <row r="791">
      <c r="A791" s="242"/>
      <c r="B791" s="13"/>
      <c r="C791" s="242"/>
      <c r="D791" s="242"/>
      <c r="E791" s="242"/>
      <c r="F791" s="242"/>
      <c r="G791" s="13"/>
      <c r="H791" s="13"/>
      <c r="I791" s="13"/>
      <c r="J791" s="13"/>
      <c r="K791" s="13"/>
      <c r="L791" s="242"/>
      <c r="M791" s="242"/>
      <c r="N791" s="242"/>
      <c r="O791" s="242"/>
      <c r="P791" s="242"/>
      <c r="Q791" s="525"/>
      <c r="R791" s="242"/>
      <c r="S791" s="242"/>
      <c r="T791" s="242"/>
      <c r="U791" s="242"/>
      <c r="V791" s="242"/>
      <c r="W791" s="242"/>
      <c r="X791" s="242"/>
      <c r="Y791" s="242"/>
      <c r="Z791" s="242"/>
      <c r="AA791" s="242"/>
      <c r="AB791" s="242"/>
      <c r="AC791" s="242"/>
      <c r="AD791" s="242"/>
      <c r="AE791" s="242"/>
      <c r="AF791" s="242"/>
      <c r="AG791" s="242"/>
      <c r="AH791" s="242"/>
      <c r="AI791" s="242"/>
      <c r="AJ791" s="13"/>
      <c r="AK791" s="242"/>
      <c r="AL791" s="242"/>
      <c r="AM791" s="242"/>
      <c r="AN791" s="242"/>
      <c r="AO791" s="242"/>
    </row>
    <row r="792">
      <c r="A792" s="242"/>
      <c r="B792" s="13"/>
      <c r="C792" s="242"/>
      <c r="D792" s="242"/>
      <c r="E792" s="242"/>
      <c r="F792" s="242"/>
      <c r="G792" s="13"/>
      <c r="H792" s="13"/>
      <c r="I792" s="13"/>
      <c r="J792" s="13"/>
      <c r="K792" s="13"/>
      <c r="L792" s="242"/>
      <c r="M792" s="242"/>
      <c r="N792" s="242"/>
      <c r="O792" s="242"/>
      <c r="P792" s="242"/>
      <c r="Q792" s="525"/>
      <c r="R792" s="242"/>
      <c r="S792" s="242"/>
      <c r="T792" s="242"/>
      <c r="U792" s="242"/>
      <c r="V792" s="242"/>
      <c r="W792" s="242"/>
      <c r="X792" s="242"/>
      <c r="Y792" s="242"/>
      <c r="Z792" s="242"/>
      <c r="AA792" s="242"/>
      <c r="AB792" s="242"/>
      <c r="AC792" s="242"/>
      <c r="AD792" s="242"/>
      <c r="AE792" s="242"/>
      <c r="AF792" s="242"/>
      <c r="AG792" s="242"/>
      <c r="AH792" s="242"/>
      <c r="AI792" s="242"/>
      <c r="AJ792" s="13"/>
      <c r="AK792" s="242"/>
      <c r="AL792" s="242"/>
      <c r="AM792" s="242"/>
      <c r="AN792" s="242"/>
      <c r="AO792" s="242"/>
    </row>
    <row r="793">
      <c r="A793" s="242"/>
      <c r="B793" s="13"/>
      <c r="C793" s="242"/>
      <c r="D793" s="242"/>
      <c r="E793" s="242"/>
      <c r="F793" s="242"/>
      <c r="G793" s="13"/>
      <c r="H793" s="13"/>
      <c r="I793" s="13"/>
      <c r="J793" s="13"/>
      <c r="K793" s="13"/>
      <c r="L793" s="242"/>
      <c r="M793" s="242"/>
      <c r="N793" s="242"/>
      <c r="O793" s="242"/>
      <c r="P793" s="242"/>
      <c r="Q793" s="525"/>
      <c r="R793" s="242"/>
      <c r="S793" s="242"/>
      <c r="T793" s="242"/>
      <c r="U793" s="242"/>
      <c r="V793" s="242"/>
      <c r="W793" s="242"/>
      <c r="X793" s="242"/>
      <c r="Y793" s="242"/>
      <c r="Z793" s="242"/>
      <c r="AA793" s="242"/>
      <c r="AB793" s="242"/>
      <c r="AC793" s="242"/>
      <c r="AD793" s="242"/>
      <c r="AE793" s="242"/>
      <c r="AF793" s="242"/>
      <c r="AG793" s="242"/>
      <c r="AH793" s="242"/>
      <c r="AI793" s="242"/>
      <c r="AJ793" s="13"/>
      <c r="AK793" s="242"/>
      <c r="AL793" s="242"/>
      <c r="AM793" s="242"/>
      <c r="AN793" s="242"/>
      <c r="AO793" s="242"/>
    </row>
    <row r="794">
      <c r="A794" s="242"/>
      <c r="B794" s="13"/>
      <c r="C794" s="242"/>
      <c r="D794" s="242"/>
      <c r="E794" s="242"/>
      <c r="F794" s="242"/>
      <c r="G794" s="13"/>
      <c r="H794" s="13"/>
      <c r="I794" s="13"/>
      <c r="J794" s="13"/>
      <c r="K794" s="13"/>
      <c r="L794" s="242"/>
      <c r="M794" s="242"/>
      <c r="N794" s="242"/>
      <c r="O794" s="242"/>
      <c r="P794" s="242"/>
      <c r="Q794" s="525"/>
      <c r="R794" s="242"/>
      <c r="S794" s="242"/>
      <c r="T794" s="242"/>
      <c r="U794" s="242"/>
      <c r="V794" s="242"/>
      <c r="W794" s="242"/>
      <c r="X794" s="242"/>
      <c r="Y794" s="242"/>
      <c r="Z794" s="242"/>
      <c r="AA794" s="242"/>
      <c r="AB794" s="242"/>
      <c r="AC794" s="242"/>
      <c r="AD794" s="242"/>
      <c r="AE794" s="242"/>
      <c r="AF794" s="242"/>
      <c r="AG794" s="242"/>
      <c r="AH794" s="242"/>
      <c r="AI794" s="242"/>
      <c r="AJ794" s="13"/>
      <c r="AK794" s="242"/>
      <c r="AL794" s="242"/>
      <c r="AM794" s="242"/>
      <c r="AN794" s="242"/>
      <c r="AO794" s="242"/>
    </row>
    <row r="795">
      <c r="A795" s="242"/>
      <c r="B795" s="13"/>
      <c r="C795" s="242"/>
      <c r="D795" s="242"/>
      <c r="E795" s="242"/>
      <c r="F795" s="242"/>
      <c r="G795" s="13"/>
      <c r="H795" s="13"/>
      <c r="I795" s="13"/>
      <c r="J795" s="13"/>
      <c r="K795" s="13"/>
      <c r="L795" s="242"/>
      <c r="M795" s="242"/>
      <c r="N795" s="242"/>
      <c r="O795" s="242"/>
      <c r="P795" s="242"/>
      <c r="Q795" s="525"/>
      <c r="R795" s="242"/>
      <c r="S795" s="242"/>
      <c r="T795" s="242"/>
      <c r="U795" s="242"/>
      <c r="V795" s="242"/>
      <c r="W795" s="242"/>
      <c r="X795" s="242"/>
      <c r="Y795" s="242"/>
      <c r="Z795" s="242"/>
      <c r="AA795" s="242"/>
      <c r="AB795" s="242"/>
      <c r="AC795" s="242"/>
      <c r="AD795" s="242"/>
      <c r="AE795" s="242"/>
      <c r="AF795" s="242"/>
      <c r="AG795" s="242"/>
      <c r="AH795" s="242"/>
      <c r="AI795" s="242"/>
      <c r="AJ795" s="13"/>
      <c r="AK795" s="242"/>
      <c r="AL795" s="242"/>
      <c r="AM795" s="242"/>
      <c r="AN795" s="242"/>
      <c r="AO795" s="242"/>
    </row>
    <row r="796">
      <c r="A796" s="242"/>
      <c r="B796" s="13"/>
      <c r="C796" s="242"/>
      <c r="D796" s="242"/>
      <c r="E796" s="242"/>
      <c r="F796" s="242"/>
      <c r="G796" s="13"/>
      <c r="H796" s="13"/>
      <c r="I796" s="13"/>
      <c r="J796" s="13"/>
      <c r="K796" s="13"/>
      <c r="L796" s="242"/>
      <c r="M796" s="242"/>
      <c r="N796" s="242"/>
      <c r="O796" s="242"/>
      <c r="P796" s="242"/>
      <c r="Q796" s="525"/>
      <c r="R796" s="242"/>
      <c r="S796" s="242"/>
      <c r="T796" s="242"/>
      <c r="U796" s="242"/>
      <c r="V796" s="242"/>
      <c r="W796" s="242"/>
      <c r="X796" s="242"/>
      <c r="Y796" s="242"/>
      <c r="Z796" s="242"/>
      <c r="AA796" s="242"/>
      <c r="AB796" s="242"/>
      <c r="AC796" s="242"/>
      <c r="AD796" s="242"/>
      <c r="AE796" s="242"/>
      <c r="AF796" s="242"/>
      <c r="AG796" s="242"/>
      <c r="AH796" s="242"/>
      <c r="AI796" s="242"/>
      <c r="AJ796" s="13"/>
      <c r="AK796" s="242"/>
      <c r="AL796" s="242"/>
      <c r="AM796" s="242"/>
      <c r="AN796" s="242"/>
      <c r="AO796" s="242"/>
    </row>
    <row r="797">
      <c r="A797" s="242"/>
      <c r="B797" s="13"/>
      <c r="C797" s="242"/>
      <c r="D797" s="242"/>
      <c r="E797" s="242"/>
      <c r="F797" s="242"/>
      <c r="G797" s="13"/>
      <c r="H797" s="13"/>
      <c r="I797" s="13"/>
      <c r="J797" s="13"/>
      <c r="K797" s="13"/>
      <c r="L797" s="242"/>
      <c r="M797" s="242"/>
      <c r="N797" s="242"/>
      <c r="O797" s="242"/>
      <c r="P797" s="242"/>
      <c r="Q797" s="525"/>
      <c r="R797" s="242"/>
      <c r="S797" s="242"/>
      <c r="T797" s="242"/>
      <c r="U797" s="242"/>
      <c r="V797" s="242"/>
      <c r="W797" s="242"/>
      <c r="X797" s="242"/>
      <c r="Y797" s="242"/>
      <c r="Z797" s="242"/>
      <c r="AA797" s="242"/>
      <c r="AB797" s="242"/>
      <c r="AC797" s="242"/>
      <c r="AD797" s="242"/>
      <c r="AE797" s="242"/>
      <c r="AF797" s="242"/>
      <c r="AG797" s="242"/>
      <c r="AH797" s="242"/>
      <c r="AI797" s="242"/>
      <c r="AJ797" s="13"/>
      <c r="AK797" s="242"/>
      <c r="AL797" s="242"/>
      <c r="AM797" s="242"/>
      <c r="AN797" s="242"/>
      <c r="AO797" s="242"/>
    </row>
    <row r="798">
      <c r="A798" s="242"/>
      <c r="B798" s="13"/>
      <c r="C798" s="242"/>
      <c r="D798" s="242"/>
      <c r="E798" s="242"/>
      <c r="F798" s="242"/>
      <c r="G798" s="13"/>
      <c r="H798" s="13"/>
      <c r="I798" s="13"/>
      <c r="J798" s="13"/>
      <c r="K798" s="13"/>
      <c r="L798" s="242"/>
      <c r="M798" s="242"/>
      <c r="N798" s="242"/>
      <c r="O798" s="242"/>
      <c r="P798" s="242"/>
      <c r="Q798" s="525"/>
      <c r="R798" s="242"/>
      <c r="S798" s="242"/>
      <c r="T798" s="242"/>
      <c r="U798" s="242"/>
      <c r="V798" s="242"/>
      <c r="W798" s="242"/>
      <c r="X798" s="242"/>
      <c r="Y798" s="242"/>
      <c r="Z798" s="242"/>
      <c r="AA798" s="242"/>
      <c r="AB798" s="242"/>
      <c r="AC798" s="242"/>
      <c r="AD798" s="242"/>
      <c r="AE798" s="242"/>
      <c r="AF798" s="242"/>
      <c r="AG798" s="242"/>
      <c r="AH798" s="242"/>
      <c r="AI798" s="242"/>
      <c r="AJ798" s="13"/>
      <c r="AK798" s="242"/>
      <c r="AL798" s="242"/>
      <c r="AM798" s="242"/>
      <c r="AN798" s="242"/>
      <c r="AO798" s="242"/>
    </row>
    <row r="799">
      <c r="A799" s="242"/>
      <c r="B799" s="13"/>
      <c r="C799" s="242"/>
      <c r="D799" s="242"/>
      <c r="E799" s="242"/>
      <c r="F799" s="242"/>
      <c r="G799" s="13"/>
      <c r="H799" s="13"/>
      <c r="I799" s="13"/>
      <c r="J799" s="13"/>
      <c r="K799" s="13"/>
      <c r="L799" s="242"/>
      <c r="M799" s="242"/>
      <c r="N799" s="242"/>
      <c r="O799" s="242"/>
      <c r="P799" s="242"/>
      <c r="Q799" s="525"/>
      <c r="R799" s="242"/>
      <c r="S799" s="242"/>
      <c r="T799" s="242"/>
      <c r="U799" s="242"/>
      <c r="V799" s="242"/>
      <c r="W799" s="242"/>
      <c r="X799" s="242"/>
      <c r="Y799" s="242"/>
      <c r="Z799" s="242"/>
      <c r="AA799" s="242"/>
      <c r="AB799" s="242"/>
      <c r="AC799" s="242"/>
      <c r="AD799" s="242"/>
      <c r="AE799" s="242"/>
      <c r="AF799" s="242"/>
      <c r="AG799" s="242"/>
      <c r="AH799" s="242"/>
      <c r="AI799" s="242"/>
      <c r="AJ799" s="13"/>
      <c r="AK799" s="242"/>
      <c r="AL799" s="242"/>
      <c r="AM799" s="242"/>
      <c r="AN799" s="242"/>
      <c r="AO799" s="242"/>
    </row>
    <row r="800">
      <c r="A800" s="242"/>
      <c r="B800" s="13"/>
      <c r="C800" s="242"/>
      <c r="D800" s="242"/>
      <c r="E800" s="242"/>
      <c r="F800" s="242"/>
      <c r="G800" s="13"/>
      <c r="H800" s="13"/>
      <c r="I800" s="13"/>
      <c r="J800" s="13"/>
      <c r="K800" s="13"/>
      <c r="L800" s="242"/>
      <c r="M800" s="242"/>
      <c r="N800" s="242"/>
      <c r="O800" s="242"/>
      <c r="P800" s="242"/>
      <c r="Q800" s="525"/>
      <c r="R800" s="242"/>
      <c r="S800" s="242"/>
      <c r="T800" s="242"/>
      <c r="U800" s="242"/>
      <c r="V800" s="242"/>
      <c r="W800" s="242"/>
      <c r="X800" s="242"/>
      <c r="Y800" s="242"/>
      <c r="Z800" s="242"/>
      <c r="AA800" s="242"/>
      <c r="AB800" s="242"/>
      <c r="AC800" s="242"/>
      <c r="AD800" s="242"/>
      <c r="AE800" s="242"/>
      <c r="AF800" s="242"/>
      <c r="AG800" s="242"/>
      <c r="AH800" s="242"/>
      <c r="AI800" s="242"/>
      <c r="AJ800" s="13"/>
      <c r="AK800" s="242"/>
      <c r="AL800" s="242"/>
      <c r="AM800" s="242"/>
      <c r="AN800" s="242"/>
      <c r="AO800" s="242"/>
    </row>
    <row r="801">
      <c r="A801" s="242"/>
      <c r="B801" s="13"/>
      <c r="C801" s="242"/>
      <c r="D801" s="242"/>
      <c r="E801" s="242"/>
      <c r="F801" s="242"/>
      <c r="G801" s="13"/>
      <c r="H801" s="13"/>
      <c r="I801" s="13"/>
      <c r="J801" s="13"/>
      <c r="K801" s="13"/>
      <c r="L801" s="242"/>
      <c r="M801" s="242"/>
      <c r="N801" s="242"/>
      <c r="O801" s="242"/>
      <c r="P801" s="242"/>
      <c r="Q801" s="525"/>
      <c r="R801" s="242"/>
      <c r="S801" s="242"/>
      <c r="T801" s="242"/>
      <c r="U801" s="242"/>
      <c r="V801" s="242"/>
      <c r="W801" s="242"/>
      <c r="X801" s="242"/>
      <c r="Y801" s="242"/>
      <c r="Z801" s="242"/>
      <c r="AA801" s="242"/>
      <c r="AB801" s="242"/>
      <c r="AC801" s="242"/>
      <c r="AD801" s="242"/>
      <c r="AE801" s="242"/>
      <c r="AF801" s="242"/>
      <c r="AG801" s="242"/>
      <c r="AH801" s="242"/>
      <c r="AI801" s="242"/>
      <c r="AJ801" s="13"/>
      <c r="AK801" s="242"/>
      <c r="AL801" s="242"/>
      <c r="AM801" s="242"/>
      <c r="AN801" s="242"/>
      <c r="AO801" s="242"/>
    </row>
    <row r="802">
      <c r="A802" s="242"/>
      <c r="B802" s="13"/>
      <c r="C802" s="242"/>
      <c r="D802" s="242"/>
      <c r="E802" s="242"/>
      <c r="F802" s="242"/>
      <c r="G802" s="13"/>
      <c r="H802" s="13"/>
      <c r="I802" s="13"/>
      <c r="J802" s="13"/>
      <c r="K802" s="13"/>
      <c r="L802" s="242"/>
      <c r="M802" s="242"/>
      <c r="N802" s="242"/>
      <c r="O802" s="242"/>
      <c r="P802" s="242"/>
      <c r="Q802" s="525"/>
      <c r="R802" s="242"/>
      <c r="S802" s="242"/>
      <c r="T802" s="242"/>
      <c r="U802" s="242"/>
      <c r="V802" s="242"/>
      <c r="W802" s="242"/>
      <c r="X802" s="242"/>
      <c r="Y802" s="242"/>
      <c r="Z802" s="242"/>
      <c r="AA802" s="242"/>
      <c r="AB802" s="242"/>
      <c r="AC802" s="242"/>
      <c r="AD802" s="242"/>
      <c r="AE802" s="242"/>
      <c r="AF802" s="242"/>
      <c r="AG802" s="242"/>
      <c r="AH802" s="242"/>
      <c r="AI802" s="242"/>
      <c r="AJ802" s="13"/>
      <c r="AK802" s="242"/>
      <c r="AL802" s="242"/>
      <c r="AM802" s="242"/>
      <c r="AN802" s="242"/>
      <c r="AO802" s="242"/>
    </row>
    <row r="803">
      <c r="A803" s="242"/>
      <c r="B803" s="13"/>
      <c r="C803" s="242"/>
      <c r="D803" s="242"/>
      <c r="E803" s="242"/>
      <c r="F803" s="242"/>
      <c r="G803" s="13"/>
      <c r="H803" s="13"/>
      <c r="I803" s="13"/>
      <c r="J803" s="13"/>
      <c r="K803" s="13"/>
      <c r="L803" s="242"/>
      <c r="M803" s="242"/>
      <c r="N803" s="242"/>
      <c r="O803" s="242"/>
      <c r="P803" s="242"/>
      <c r="Q803" s="525"/>
      <c r="R803" s="242"/>
      <c r="S803" s="242"/>
      <c r="T803" s="242"/>
      <c r="U803" s="242"/>
      <c r="V803" s="242"/>
      <c r="W803" s="242"/>
      <c r="X803" s="242"/>
      <c r="Y803" s="242"/>
      <c r="Z803" s="242"/>
      <c r="AA803" s="242"/>
      <c r="AB803" s="242"/>
      <c r="AC803" s="242"/>
      <c r="AD803" s="242"/>
      <c r="AE803" s="242"/>
      <c r="AF803" s="242"/>
      <c r="AG803" s="242"/>
      <c r="AH803" s="242"/>
      <c r="AI803" s="242"/>
      <c r="AJ803" s="13"/>
      <c r="AK803" s="242"/>
      <c r="AL803" s="242"/>
      <c r="AM803" s="242"/>
      <c r="AN803" s="242"/>
      <c r="AO803" s="242"/>
    </row>
    <row r="804">
      <c r="A804" s="242"/>
      <c r="B804" s="13"/>
      <c r="C804" s="242"/>
      <c r="D804" s="242"/>
      <c r="E804" s="242"/>
      <c r="F804" s="242"/>
      <c r="G804" s="13"/>
      <c r="H804" s="13"/>
      <c r="I804" s="13"/>
      <c r="J804" s="13"/>
      <c r="K804" s="13"/>
      <c r="L804" s="242"/>
      <c r="M804" s="242"/>
      <c r="N804" s="242"/>
      <c r="O804" s="242"/>
      <c r="P804" s="242"/>
      <c r="Q804" s="525"/>
      <c r="R804" s="242"/>
      <c r="S804" s="242"/>
      <c r="T804" s="242"/>
      <c r="U804" s="242"/>
      <c r="V804" s="242"/>
      <c r="W804" s="242"/>
      <c r="X804" s="242"/>
      <c r="Y804" s="242"/>
      <c r="Z804" s="242"/>
      <c r="AA804" s="242"/>
      <c r="AB804" s="242"/>
      <c r="AC804" s="242"/>
      <c r="AD804" s="242"/>
      <c r="AE804" s="242"/>
      <c r="AF804" s="242"/>
      <c r="AG804" s="242"/>
      <c r="AH804" s="242"/>
      <c r="AI804" s="242"/>
      <c r="AJ804" s="13"/>
      <c r="AK804" s="242"/>
      <c r="AL804" s="242"/>
      <c r="AM804" s="242"/>
      <c r="AN804" s="242"/>
      <c r="AO804" s="242"/>
    </row>
    <row r="805">
      <c r="A805" s="242"/>
      <c r="B805" s="13"/>
      <c r="C805" s="242"/>
      <c r="D805" s="242"/>
      <c r="E805" s="242"/>
      <c r="F805" s="242"/>
      <c r="G805" s="13"/>
      <c r="H805" s="13"/>
      <c r="I805" s="13"/>
      <c r="J805" s="13"/>
      <c r="K805" s="13"/>
      <c r="L805" s="242"/>
      <c r="M805" s="242"/>
      <c r="N805" s="242"/>
      <c r="O805" s="242"/>
      <c r="P805" s="242"/>
      <c r="Q805" s="525"/>
      <c r="R805" s="242"/>
      <c r="S805" s="242"/>
      <c r="T805" s="242"/>
      <c r="U805" s="242"/>
      <c r="V805" s="242"/>
      <c r="W805" s="242"/>
      <c r="X805" s="242"/>
      <c r="Y805" s="242"/>
      <c r="Z805" s="242"/>
      <c r="AA805" s="242"/>
      <c r="AB805" s="242"/>
      <c r="AC805" s="242"/>
      <c r="AD805" s="242"/>
      <c r="AE805" s="242"/>
      <c r="AF805" s="242"/>
      <c r="AG805" s="242"/>
      <c r="AH805" s="242"/>
      <c r="AI805" s="242"/>
      <c r="AJ805" s="13"/>
      <c r="AK805" s="242"/>
      <c r="AL805" s="242"/>
      <c r="AM805" s="242"/>
      <c r="AN805" s="242"/>
      <c r="AO805" s="242"/>
    </row>
    <row r="806">
      <c r="A806" s="242"/>
      <c r="B806" s="13"/>
      <c r="C806" s="242"/>
      <c r="D806" s="242"/>
      <c r="E806" s="242"/>
      <c r="F806" s="242"/>
      <c r="G806" s="13"/>
      <c r="H806" s="13"/>
      <c r="I806" s="13"/>
      <c r="J806" s="13"/>
      <c r="K806" s="13"/>
      <c r="L806" s="242"/>
      <c r="M806" s="242"/>
      <c r="N806" s="242"/>
      <c r="O806" s="242"/>
      <c r="P806" s="242"/>
      <c r="Q806" s="525"/>
      <c r="R806" s="242"/>
      <c r="S806" s="242"/>
      <c r="T806" s="242"/>
      <c r="U806" s="242"/>
      <c r="V806" s="242"/>
      <c r="W806" s="242"/>
      <c r="X806" s="242"/>
      <c r="Y806" s="242"/>
      <c r="Z806" s="242"/>
      <c r="AA806" s="242"/>
      <c r="AB806" s="242"/>
      <c r="AC806" s="242"/>
      <c r="AD806" s="242"/>
      <c r="AE806" s="242"/>
      <c r="AF806" s="242"/>
      <c r="AG806" s="242"/>
      <c r="AH806" s="242"/>
      <c r="AI806" s="242"/>
      <c r="AJ806" s="13"/>
      <c r="AK806" s="242"/>
      <c r="AL806" s="242"/>
      <c r="AM806" s="242"/>
      <c r="AN806" s="242"/>
      <c r="AO806" s="242"/>
    </row>
    <row r="807">
      <c r="A807" s="242"/>
      <c r="B807" s="13"/>
      <c r="C807" s="242"/>
      <c r="D807" s="242"/>
      <c r="E807" s="242"/>
      <c r="F807" s="242"/>
      <c r="G807" s="13"/>
      <c r="H807" s="13"/>
      <c r="I807" s="13"/>
      <c r="J807" s="13"/>
      <c r="K807" s="13"/>
      <c r="L807" s="242"/>
      <c r="M807" s="242"/>
      <c r="N807" s="242"/>
      <c r="O807" s="242"/>
      <c r="P807" s="242"/>
      <c r="Q807" s="525"/>
      <c r="R807" s="242"/>
      <c r="S807" s="242"/>
      <c r="T807" s="242"/>
      <c r="U807" s="242"/>
      <c r="V807" s="242"/>
      <c r="W807" s="242"/>
      <c r="X807" s="242"/>
      <c r="Y807" s="242"/>
      <c r="Z807" s="242"/>
      <c r="AA807" s="242"/>
      <c r="AB807" s="242"/>
      <c r="AC807" s="242"/>
      <c r="AD807" s="242"/>
      <c r="AE807" s="242"/>
      <c r="AF807" s="242"/>
      <c r="AG807" s="242"/>
      <c r="AH807" s="242"/>
      <c r="AI807" s="242"/>
      <c r="AJ807" s="13"/>
      <c r="AK807" s="242"/>
      <c r="AL807" s="242"/>
      <c r="AM807" s="242"/>
      <c r="AN807" s="242"/>
      <c r="AO807" s="242"/>
    </row>
    <row r="808">
      <c r="A808" s="242"/>
      <c r="B808" s="13"/>
      <c r="C808" s="242"/>
      <c r="D808" s="242"/>
      <c r="E808" s="242"/>
      <c r="F808" s="242"/>
      <c r="G808" s="13"/>
      <c r="H808" s="13"/>
      <c r="I808" s="13"/>
      <c r="J808" s="13"/>
      <c r="K808" s="13"/>
      <c r="L808" s="242"/>
      <c r="M808" s="242"/>
      <c r="N808" s="242"/>
      <c r="O808" s="242"/>
      <c r="P808" s="242"/>
      <c r="Q808" s="525"/>
      <c r="R808" s="242"/>
      <c r="S808" s="242"/>
      <c r="T808" s="242"/>
      <c r="U808" s="242"/>
      <c r="V808" s="242"/>
      <c r="W808" s="242"/>
      <c r="X808" s="242"/>
      <c r="Y808" s="242"/>
      <c r="Z808" s="242"/>
      <c r="AA808" s="242"/>
      <c r="AB808" s="242"/>
      <c r="AC808" s="242"/>
      <c r="AD808" s="242"/>
      <c r="AE808" s="242"/>
      <c r="AF808" s="242"/>
      <c r="AG808" s="242"/>
      <c r="AH808" s="242"/>
      <c r="AI808" s="242"/>
      <c r="AJ808" s="13"/>
      <c r="AK808" s="242"/>
      <c r="AL808" s="242"/>
      <c r="AM808" s="242"/>
      <c r="AN808" s="242"/>
      <c r="AO808" s="242"/>
    </row>
    <row r="809">
      <c r="A809" s="242"/>
      <c r="B809" s="13"/>
      <c r="C809" s="242"/>
      <c r="D809" s="242"/>
      <c r="E809" s="242"/>
      <c r="F809" s="242"/>
      <c r="G809" s="13"/>
      <c r="H809" s="13"/>
      <c r="I809" s="13"/>
      <c r="J809" s="13"/>
      <c r="K809" s="13"/>
      <c r="L809" s="242"/>
      <c r="M809" s="242"/>
      <c r="N809" s="242"/>
      <c r="O809" s="242"/>
      <c r="P809" s="242"/>
      <c r="Q809" s="525"/>
      <c r="R809" s="242"/>
      <c r="S809" s="242"/>
      <c r="T809" s="242"/>
      <c r="U809" s="242"/>
      <c r="V809" s="242"/>
      <c r="W809" s="242"/>
      <c r="X809" s="242"/>
      <c r="Y809" s="242"/>
      <c r="Z809" s="242"/>
      <c r="AA809" s="242"/>
      <c r="AB809" s="242"/>
      <c r="AC809" s="242"/>
      <c r="AD809" s="242"/>
      <c r="AE809" s="242"/>
      <c r="AF809" s="242"/>
      <c r="AG809" s="242"/>
      <c r="AH809" s="242"/>
      <c r="AI809" s="242"/>
      <c r="AJ809" s="13"/>
      <c r="AK809" s="242"/>
      <c r="AL809" s="242"/>
      <c r="AM809" s="242"/>
      <c r="AN809" s="242"/>
      <c r="AO809" s="242"/>
    </row>
    <row r="810">
      <c r="A810" s="242"/>
      <c r="B810" s="13"/>
      <c r="C810" s="242"/>
      <c r="D810" s="242"/>
      <c r="E810" s="242"/>
      <c r="F810" s="242"/>
      <c r="G810" s="13"/>
      <c r="H810" s="13"/>
      <c r="I810" s="13"/>
      <c r="J810" s="13"/>
      <c r="K810" s="13"/>
      <c r="L810" s="242"/>
      <c r="M810" s="242"/>
      <c r="N810" s="242"/>
      <c r="O810" s="242"/>
      <c r="P810" s="242"/>
      <c r="Q810" s="525"/>
      <c r="R810" s="242"/>
      <c r="S810" s="242"/>
      <c r="T810" s="242"/>
      <c r="U810" s="242"/>
      <c r="V810" s="242"/>
      <c r="W810" s="242"/>
      <c r="X810" s="242"/>
      <c r="Y810" s="242"/>
      <c r="Z810" s="242"/>
      <c r="AA810" s="242"/>
      <c r="AB810" s="242"/>
      <c r="AC810" s="242"/>
      <c r="AD810" s="242"/>
      <c r="AE810" s="242"/>
      <c r="AF810" s="242"/>
      <c r="AG810" s="242"/>
      <c r="AH810" s="242"/>
      <c r="AI810" s="242"/>
      <c r="AJ810" s="13"/>
      <c r="AK810" s="242"/>
      <c r="AL810" s="242"/>
      <c r="AM810" s="242"/>
      <c r="AN810" s="242"/>
      <c r="AO810" s="242"/>
    </row>
    <row r="811">
      <c r="A811" s="242"/>
      <c r="B811" s="13"/>
      <c r="C811" s="242"/>
      <c r="D811" s="242"/>
      <c r="E811" s="242"/>
      <c r="F811" s="242"/>
      <c r="G811" s="13"/>
      <c r="H811" s="13"/>
      <c r="I811" s="13"/>
      <c r="J811" s="13"/>
      <c r="K811" s="13"/>
      <c r="L811" s="242"/>
      <c r="M811" s="242"/>
      <c r="N811" s="242"/>
      <c r="O811" s="242"/>
      <c r="P811" s="242"/>
      <c r="Q811" s="525"/>
      <c r="R811" s="242"/>
      <c r="S811" s="242"/>
      <c r="T811" s="242"/>
      <c r="U811" s="242"/>
      <c r="V811" s="242"/>
      <c r="W811" s="242"/>
      <c r="X811" s="242"/>
      <c r="Y811" s="242"/>
      <c r="Z811" s="242"/>
      <c r="AA811" s="242"/>
      <c r="AB811" s="242"/>
      <c r="AC811" s="242"/>
      <c r="AD811" s="242"/>
      <c r="AE811" s="242"/>
      <c r="AF811" s="242"/>
      <c r="AG811" s="242"/>
      <c r="AH811" s="242"/>
      <c r="AI811" s="242"/>
      <c r="AJ811" s="13"/>
      <c r="AK811" s="242"/>
      <c r="AL811" s="242"/>
      <c r="AM811" s="242"/>
      <c r="AN811" s="242"/>
      <c r="AO811" s="242"/>
    </row>
    <row r="812">
      <c r="A812" s="242"/>
      <c r="B812" s="13"/>
      <c r="C812" s="242"/>
      <c r="D812" s="242"/>
      <c r="E812" s="242"/>
      <c r="F812" s="242"/>
      <c r="G812" s="13"/>
      <c r="H812" s="13"/>
      <c r="I812" s="13"/>
      <c r="J812" s="13"/>
      <c r="K812" s="13"/>
      <c r="L812" s="242"/>
      <c r="M812" s="242"/>
      <c r="N812" s="242"/>
      <c r="O812" s="242"/>
      <c r="P812" s="242"/>
      <c r="Q812" s="525"/>
      <c r="R812" s="242"/>
      <c r="S812" s="242"/>
      <c r="T812" s="242"/>
      <c r="U812" s="242"/>
      <c r="V812" s="242"/>
      <c r="W812" s="242"/>
      <c r="X812" s="242"/>
      <c r="Y812" s="242"/>
      <c r="Z812" s="242"/>
      <c r="AA812" s="242"/>
      <c r="AB812" s="242"/>
      <c r="AC812" s="242"/>
      <c r="AD812" s="242"/>
      <c r="AE812" s="242"/>
      <c r="AF812" s="242"/>
      <c r="AG812" s="242"/>
      <c r="AH812" s="242"/>
      <c r="AI812" s="242"/>
      <c r="AJ812" s="13"/>
      <c r="AK812" s="242"/>
      <c r="AL812" s="242"/>
      <c r="AM812" s="242"/>
      <c r="AN812" s="242"/>
      <c r="AO812" s="242"/>
    </row>
    <row r="813">
      <c r="A813" s="242"/>
      <c r="B813" s="13"/>
      <c r="C813" s="242"/>
      <c r="D813" s="242"/>
      <c r="E813" s="242"/>
      <c r="F813" s="242"/>
      <c r="G813" s="13"/>
      <c r="H813" s="13"/>
      <c r="I813" s="13"/>
      <c r="J813" s="13"/>
      <c r="K813" s="13"/>
      <c r="L813" s="242"/>
      <c r="M813" s="242"/>
      <c r="N813" s="242"/>
      <c r="O813" s="242"/>
      <c r="P813" s="242"/>
      <c r="Q813" s="525"/>
      <c r="R813" s="242"/>
      <c r="S813" s="242"/>
      <c r="T813" s="242"/>
      <c r="U813" s="242"/>
      <c r="V813" s="242"/>
      <c r="W813" s="242"/>
      <c r="X813" s="242"/>
      <c r="Y813" s="242"/>
      <c r="Z813" s="242"/>
      <c r="AA813" s="242"/>
      <c r="AB813" s="242"/>
      <c r="AC813" s="242"/>
      <c r="AD813" s="242"/>
      <c r="AE813" s="242"/>
      <c r="AF813" s="242"/>
      <c r="AG813" s="242"/>
      <c r="AH813" s="242"/>
      <c r="AI813" s="242"/>
      <c r="AJ813" s="13"/>
      <c r="AK813" s="242"/>
      <c r="AL813" s="242"/>
      <c r="AM813" s="242"/>
      <c r="AN813" s="242"/>
      <c r="AO813" s="242"/>
    </row>
    <row r="814">
      <c r="A814" s="242"/>
      <c r="B814" s="13"/>
      <c r="C814" s="242"/>
      <c r="D814" s="242"/>
      <c r="E814" s="242"/>
      <c r="F814" s="242"/>
      <c r="G814" s="13"/>
      <c r="H814" s="13"/>
      <c r="I814" s="13"/>
      <c r="J814" s="13"/>
      <c r="K814" s="13"/>
      <c r="L814" s="242"/>
      <c r="M814" s="242"/>
      <c r="N814" s="242"/>
      <c r="O814" s="242"/>
      <c r="P814" s="242"/>
      <c r="Q814" s="525"/>
      <c r="R814" s="242"/>
      <c r="S814" s="242"/>
      <c r="T814" s="242"/>
      <c r="U814" s="242"/>
      <c r="V814" s="242"/>
      <c r="W814" s="242"/>
      <c r="X814" s="242"/>
      <c r="Y814" s="242"/>
      <c r="Z814" s="242"/>
      <c r="AA814" s="242"/>
      <c r="AB814" s="242"/>
      <c r="AC814" s="242"/>
      <c r="AD814" s="242"/>
      <c r="AE814" s="242"/>
      <c r="AF814" s="242"/>
      <c r="AG814" s="242"/>
      <c r="AH814" s="242"/>
      <c r="AI814" s="242"/>
      <c r="AJ814" s="13"/>
      <c r="AK814" s="242"/>
      <c r="AL814" s="242"/>
      <c r="AM814" s="242"/>
      <c r="AN814" s="242"/>
      <c r="AO814" s="242"/>
    </row>
    <row r="815">
      <c r="A815" s="242"/>
      <c r="B815" s="13"/>
      <c r="C815" s="242"/>
      <c r="D815" s="242"/>
      <c r="E815" s="242"/>
      <c r="F815" s="242"/>
      <c r="G815" s="13"/>
      <c r="H815" s="13"/>
      <c r="I815" s="13"/>
      <c r="J815" s="13"/>
      <c r="K815" s="13"/>
      <c r="L815" s="242"/>
      <c r="M815" s="242"/>
      <c r="N815" s="242"/>
      <c r="O815" s="242"/>
      <c r="P815" s="242"/>
      <c r="Q815" s="525"/>
      <c r="R815" s="242"/>
      <c r="S815" s="242"/>
      <c r="T815" s="242"/>
      <c r="U815" s="242"/>
      <c r="V815" s="242"/>
      <c r="W815" s="242"/>
      <c r="X815" s="242"/>
      <c r="Y815" s="242"/>
      <c r="Z815" s="242"/>
      <c r="AA815" s="242"/>
      <c r="AB815" s="242"/>
      <c r="AC815" s="242"/>
      <c r="AD815" s="242"/>
      <c r="AE815" s="242"/>
      <c r="AF815" s="242"/>
      <c r="AG815" s="242"/>
      <c r="AH815" s="242"/>
      <c r="AI815" s="242"/>
      <c r="AJ815" s="13"/>
      <c r="AK815" s="242"/>
      <c r="AL815" s="242"/>
      <c r="AM815" s="242"/>
      <c r="AN815" s="242"/>
      <c r="AO815" s="242"/>
    </row>
    <row r="816">
      <c r="A816" s="242"/>
      <c r="B816" s="13"/>
      <c r="C816" s="242"/>
      <c r="D816" s="242"/>
      <c r="E816" s="242"/>
      <c r="F816" s="242"/>
      <c r="G816" s="13"/>
      <c r="H816" s="13"/>
      <c r="I816" s="13"/>
      <c r="J816" s="13"/>
      <c r="K816" s="13"/>
      <c r="L816" s="242"/>
      <c r="M816" s="242"/>
      <c r="N816" s="242"/>
      <c r="O816" s="242"/>
      <c r="P816" s="242"/>
      <c r="Q816" s="525"/>
      <c r="R816" s="242"/>
      <c r="S816" s="242"/>
      <c r="T816" s="242"/>
      <c r="U816" s="242"/>
      <c r="V816" s="242"/>
      <c r="W816" s="242"/>
      <c r="X816" s="242"/>
      <c r="Y816" s="242"/>
      <c r="Z816" s="242"/>
      <c r="AA816" s="242"/>
      <c r="AB816" s="242"/>
      <c r="AC816" s="242"/>
      <c r="AD816" s="242"/>
      <c r="AE816" s="242"/>
      <c r="AF816" s="242"/>
      <c r="AG816" s="242"/>
      <c r="AH816" s="242"/>
      <c r="AI816" s="242"/>
      <c r="AJ816" s="13"/>
      <c r="AK816" s="242"/>
      <c r="AL816" s="242"/>
      <c r="AM816" s="242"/>
      <c r="AN816" s="242"/>
      <c r="AO816" s="242"/>
    </row>
    <row r="817">
      <c r="A817" s="242"/>
      <c r="B817" s="13"/>
      <c r="C817" s="242"/>
      <c r="D817" s="242"/>
      <c r="E817" s="242"/>
      <c r="F817" s="242"/>
      <c r="G817" s="13"/>
      <c r="H817" s="13"/>
      <c r="I817" s="13"/>
      <c r="J817" s="13"/>
      <c r="K817" s="13"/>
      <c r="L817" s="242"/>
      <c r="M817" s="242"/>
      <c r="N817" s="242"/>
      <c r="O817" s="242"/>
      <c r="P817" s="242"/>
      <c r="Q817" s="525"/>
      <c r="R817" s="242"/>
      <c r="S817" s="242"/>
      <c r="T817" s="242"/>
      <c r="U817" s="242"/>
      <c r="V817" s="242"/>
      <c r="W817" s="242"/>
      <c r="X817" s="242"/>
      <c r="Y817" s="242"/>
      <c r="Z817" s="242"/>
      <c r="AA817" s="242"/>
      <c r="AB817" s="242"/>
      <c r="AC817" s="242"/>
      <c r="AD817" s="242"/>
      <c r="AE817" s="242"/>
      <c r="AF817" s="242"/>
      <c r="AG817" s="242"/>
      <c r="AH817" s="242"/>
      <c r="AI817" s="242"/>
      <c r="AJ817" s="13"/>
      <c r="AK817" s="242"/>
      <c r="AL817" s="242"/>
      <c r="AM817" s="242"/>
      <c r="AN817" s="242"/>
      <c r="AO817" s="242"/>
    </row>
    <row r="818">
      <c r="A818" s="242"/>
      <c r="B818" s="13"/>
      <c r="C818" s="242"/>
      <c r="D818" s="242"/>
      <c r="E818" s="242"/>
      <c r="F818" s="242"/>
      <c r="G818" s="13"/>
      <c r="H818" s="13"/>
      <c r="I818" s="13"/>
      <c r="J818" s="13"/>
      <c r="K818" s="13"/>
      <c r="L818" s="242"/>
      <c r="M818" s="242"/>
      <c r="N818" s="242"/>
      <c r="O818" s="242"/>
      <c r="P818" s="242"/>
      <c r="Q818" s="525"/>
      <c r="R818" s="242"/>
      <c r="S818" s="242"/>
      <c r="T818" s="242"/>
      <c r="U818" s="242"/>
      <c r="V818" s="242"/>
      <c r="W818" s="242"/>
      <c r="X818" s="242"/>
      <c r="Y818" s="242"/>
      <c r="Z818" s="242"/>
      <c r="AA818" s="242"/>
      <c r="AB818" s="242"/>
      <c r="AC818" s="242"/>
      <c r="AD818" s="242"/>
      <c r="AE818" s="242"/>
      <c r="AF818" s="242"/>
      <c r="AG818" s="242"/>
      <c r="AH818" s="242"/>
      <c r="AI818" s="242"/>
      <c r="AJ818" s="13"/>
      <c r="AK818" s="242"/>
      <c r="AL818" s="242"/>
      <c r="AM818" s="242"/>
      <c r="AN818" s="242"/>
      <c r="AO818" s="242"/>
    </row>
    <row r="819">
      <c r="A819" s="242"/>
      <c r="B819" s="13"/>
      <c r="C819" s="242"/>
      <c r="D819" s="242"/>
      <c r="E819" s="242"/>
      <c r="F819" s="242"/>
      <c r="G819" s="13"/>
      <c r="H819" s="13"/>
      <c r="I819" s="13"/>
      <c r="J819" s="13"/>
      <c r="K819" s="13"/>
      <c r="L819" s="242"/>
      <c r="M819" s="242"/>
      <c r="N819" s="242"/>
      <c r="O819" s="242"/>
      <c r="P819" s="242"/>
      <c r="Q819" s="525"/>
      <c r="R819" s="242"/>
      <c r="S819" s="242"/>
      <c r="T819" s="242"/>
      <c r="U819" s="242"/>
      <c r="V819" s="242"/>
      <c r="W819" s="242"/>
      <c r="X819" s="242"/>
      <c r="Y819" s="242"/>
      <c r="Z819" s="242"/>
      <c r="AA819" s="242"/>
      <c r="AB819" s="242"/>
      <c r="AC819" s="242"/>
      <c r="AD819" s="242"/>
      <c r="AE819" s="242"/>
      <c r="AF819" s="242"/>
      <c r="AG819" s="242"/>
      <c r="AH819" s="242"/>
      <c r="AI819" s="242"/>
      <c r="AJ819" s="13"/>
      <c r="AK819" s="242"/>
      <c r="AL819" s="242"/>
      <c r="AM819" s="242"/>
      <c r="AN819" s="242"/>
      <c r="AO819" s="242"/>
    </row>
    <row r="820">
      <c r="A820" s="242"/>
      <c r="B820" s="13"/>
      <c r="C820" s="242"/>
      <c r="D820" s="242"/>
      <c r="E820" s="242"/>
      <c r="F820" s="242"/>
      <c r="G820" s="13"/>
      <c r="H820" s="13"/>
      <c r="I820" s="13"/>
      <c r="J820" s="13"/>
      <c r="K820" s="13"/>
      <c r="L820" s="242"/>
      <c r="M820" s="242"/>
      <c r="N820" s="242"/>
      <c r="O820" s="242"/>
      <c r="P820" s="242"/>
      <c r="Q820" s="525"/>
      <c r="R820" s="242"/>
      <c r="S820" s="242"/>
      <c r="T820" s="242"/>
      <c r="U820" s="242"/>
      <c r="V820" s="242"/>
      <c r="W820" s="242"/>
      <c r="X820" s="242"/>
      <c r="Y820" s="242"/>
      <c r="Z820" s="242"/>
      <c r="AA820" s="242"/>
      <c r="AB820" s="242"/>
      <c r="AC820" s="242"/>
      <c r="AD820" s="242"/>
      <c r="AE820" s="242"/>
      <c r="AF820" s="242"/>
      <c r="AG820" s="242"/>
      <c r="AH820" s="242"/>
      <c r="AI820" s="242"/>
      <c r="AJ820" s="13"/>
      <c r="AK820" s="242"/>
      <c r="AL820" s="242"/>
      <c r="AM820" s="242"/>
      <c r="AN820" s="242"/>
      <c r="AO820" s="242"/>
    </row>
    <row r="821">
      <c r="A821" s="242"/>
      <c r="B821" s="13"/>
      <c r="C821" s="242"/>
      <c r="D821" s="242"/>
      <c r="E821" s="242"/>
      <c r="F821" s="242"/>
      <c r="G821" s="13"/>
      <c r="H821" s="13"/>
      <c r="I821" s="13"/>
      <c r="J821" s="13"/>
      <c r="K821" s="13"/>
      <c r="L821" s="242"/>
      <c r="M821" s="242"/>
      <c r="N821" s="242"/>
      <c r="O821" s="242"/>
      <c r="P821" s="242"/>
      <c r="Q821" s="525"/>
      <c r="R821" s="242"/>
      <c r="S821" s="242"/>
      <c r="T821" s="242"/>
      <c r="U821" s="242"/>
      <c r="V821" s="242"/>
      <c r="W821" s="242"/>
      <c r="X821" s="242"/>
      <c r="Y821" s="242"/>
      <c r="Z821" s="242"/>
      <c r="AA821" s="242"/>
      <c r="AB821" s="242"/>
      <c r="AC821" s="242"/>
      <c r="AD821" s="242"/>
      <c r="AE821" s="242"/>
      <c r="AF821" s="242"/>
      <c r="AG821" s="242"/>
      <c r="AH821" s="242"/>
      <c r="AI821" s="242"/>
      <c r="AJ821" s="13"/>
      <c r="AK821" s="242"/>
      <c r="AL821" s="242"/>
      <c r="AM821" s="242"/>
      <c r="AN821" s="242"/>
      <c r="AO821" s="242"/>
    </row>
    <row r="822">
      <c r="A822" s="242"/>
      <c r="B822" s="13"/>
      <c r="C822" s="242"/>
      <c r="D822" s="242"/>
      <c r="E822" s="242"/>
      <c r="F822" s="242"/>
      <c r="G822" s="13"/>
      <c r="H822" s="13"/>
      <c r="I822" s="13"/>
      <c r="J822" s="13"/>
      <c r="K822" s="13"/>
      <c r="L822" s="242"/>
      <c r="M822" s="242"/>
      <c r="N822" s="242"/>
      <c r="O822" s="242"/>
      <c r="P822" s="242"/>
      <c r="Q822" s="525"/>
      <c r="R822" s="242"/>
      <c r="S822" s="242"/>
      <c r="T822" s="242"/>
      <c r="U822" s="242"/>
      <c r="V822" s="242"/>
      <c r="W822" s="242"/>
      <c r="X822" s="242"/>
      <c r="Y822" s="242"/>
      <c r="Z822" s="242"/>
      <c r="AA822" s="242"/>
      <c r="AB822" s="242"/>
      <c r="AC822" s="242"/>
      <c r="AD822" s="242"/>
      <c r="AE822" s="242"/>
      <c r="AF822" s="242"/>
      <c r="AG822" s="242"/>
      <c r="AH822" s="242"/>
      <c r="AI822" s="242"/>
      <c r="AJ822" s="13"/>
      <c r="AK822" s="242"/>
      <c r="AL822" s="242"/>
      <c r="AM822" s="242"/>
      <c r="AN822" s="242"/>
      <c r="AO822" s="242"/>
    </row>
    <row r="823">
      <c r="A823" s="242"/>
      <c r="B823" s="13"/>
      <c r="C823" s="242"/>
      <c r="D823" s="242"/>
      <c r="E823" s="242"/>
      <c r="F823" s="242"/>
      <c r="G823" s="13"/>
      <c r="H823" s="13"/>
      <c r="I823" s="13"/>
      <c r="J823" s="13"/>
      <c r="K823" s="13"/>
      <c r="L823" s="242"/>
      <c r="M823" s="242"/>
      <c r="N823" s="242"/>
      <c r="O823" s="242"/>
      <c r="P823" s="242"/>
      <c r="Q823" s="525"/>
      <c r="R823" s="242"/>
      <c r="S823" s="242"/>
      <c r="T823" s="242"/>
      <c r="U823" s="242"/>
      <c r="V823" s="242"/>
      <c r="W823" s="242"/>
      <c r="X823" s="242"/>
      <c r="Y823" s="242"/>
      <c r="Z823" s="242"/>
      <c r="AA823" s="242"/>
      <c r="AB823" s="242"/>
      <c r="AC823" s="242"/>
      <c r="AD823" s="242"/>
      <c r="AE823" s="242"/>
      <c r="AF823" s="242"/>
      <c r="AG823" s="242"/>
      <c r="AH823" s="242"/>
      <c r="AI823" s="242"/>
      <c r="AJ823" s="13"/>
      <c r="AK823" s="242"/>
      <c r="AL823" s="242"/>
      <c r="AM823" s="242"/>
      <c r="AN823" s="242"/>
      <c r="AO823" s="242"/>
    </row>
    <row r="824">
      <c r="A824" s="242"/>
      <c r="B824" s="13"/>
      <c r="C824" s="242"/>
      <c r="D824" s="242"/>
      <c r="E824" s="242"/>
      <c r="F824" s="242"/>
      <c r="G824" s="13"/>
      <c r="H824" s="13"/>
      <c r="I824" s="13"/>
      <c r="J824" s="13"/>
      <c r="K824" s="13"/>
      <c r="L824" s="242"/>
      <c r="M824" s="242"/>
      <c r="N824" s="242"/>
      <c r="O824" s="242"/>
      <c r="P824" s="242"/>
      <c r="Q824" s="525"/>
      <c r="R824" s="242"/>
      <c r="S824" s="242"/>
      <c r="T824" s="242"/>
      <c r="U824" s="242"/>
      <c r="V824" s="242"/>
      <c r="W824" s="242"/>
      <c r="X824" s="242"/>
      <c r="Y824" s="242"/>
      <c r="Z824" s="242"/>
      <c r="AA824" s="242"/>
      <c r="AB824" s="242"/>
      <c r="AC824" s="242"/>
      <c r="AD824" s="242"/>
      <c r="AE824" s="242"/>
      <c r="AF824" s="242"/>
      <c r="AG824" s="242"/>
      <c r="AH824" s="242"/>
      <c r="AI824" s="242"/>
      <c r="AJ824" s="13"/>
      <c r="AK824" s="242"/>
      <c r="AL824" s="242"/>
      <c r="AM824" s="242"/>
      <c r="AN824" s="242"/>
      <c r="AO824" s="242"/>
    </row>
    <row r="825">
      <c r="A825" s="242"/>
      <c r="B825" s="13"/>
      <c r="C825" s="242"/>
      <c r="D825" s="242"/>
      <c r="E825" s="242"/>
      <c r="F825" s="242"/>
      <c r="G825" s="13"/>
      <c r="H825" s="13"/>
      <c r="I825" s="13"/>
      <c r="J825" s="13"/>
      <c r="K825" s="13"/>
      <c r="L825" s="242"/>
      <c r="M825" s="242"/>
      <c r="N825" s="242"/>
      <c r="O825" s="242"/>
      <c r="P825" s="242"/>
      <c r="Q825" s="525"/>
      <c r="R825" s="242"/>
      <c r="S825" s="242"/>
      <c r="T825" s="242"/>
      <c r="U825" s="242"/>
      <c r="V825" s="242"/>
      <c r="W825" s="242"/>
      <c r="X825" s="242"/>
      <c r="Y825" s="242"/>
      <c r="Z825" s="242"/>
      <c r="AA825" s="242"/>
      <c r="AB825" s="242"/>
      <c r="AC825" s="242"/>
      <c r="AD825" s="242"/>
      <c r="AE825" s="242"/>
      <c r="AF825" s="242"/>
      <c r="AG825" s="242"/>
      <c r="AH825" s="242"/>
      <c r="AI825" s="242"/>
      <c r="AJ825" s="13"/>
      <c r="AK825" s="242"/>
      <c r="AL825" s="242"/>
      <c r="AM825" s="242"/>
      <c r="AN825" s="242"/>
      <c r="AO825" s="242"/>
    </row>
    <row r="826">
      <c r="A826" s="242"/>
      <c r="B826" s="13"/>
      <c r="C826" s="242"/>
      <c r="D826" s="242"/>
      <c r="E826" s="242"/>
      <c r="F826" s="242"/>
      <c r="G826" s="13"/>
      <c r="H826" s="13"/>
      <c r="I826" s="13"/>
      <c r="J826" s="13"/>
      <c r="K826" s="13"/>
      <c r="L826" s="242"/>
      <c r="M826" s="242"/>
      <c r="N826" s="242"/>
      <c r="O826" s="242"/>
      <c r="P826" s="242"/>
      <c r="Q826" s="525"/>
      <c r="R826" s="242"/>
      <c r="S826" s="242"/>
      <c r="T826" s="242"/>
      <c r="U826" s="242"/>
      <c r="V826" s="242"/>
      <c r="W826" s="242"/>
      <c r="X826" s="242"/>
      <c r="Y826" s="242"/>
      <c r="Z826" s="242"/>
      <c r="AA826" s="242"/>
      <c r="AB826" s="242"/>
      <c r="AC826" s="242"/>
      <c r="AD826" s="242"/>
      <c r="AE826" s="242"/>
      <c r="AF826" s="242"/>
      <c r="AG826" s="242"/>
      <c r="AH826" s="242"/>
      <c r="AI826" s="242"/>
      <c r="AJ826" s="13"/>
      <c r="AK826" s="242"/>
      <c r="AL826" s="242"/>
      <c r="AM826" s="242"/>
      <c r="AN826" s="242"/>
      <c r="AO826" s="242"/>
    </row>
    <row r="827">
      <c r="A827" s="242"/>
      <c r="B827" s="13"/>
      <c r="C827" s="242"/>
      <c r="D827" s="242"/>
      <c r="E827" s="242"/>
      <c r="F827" s="242"/>
      <c r="G827" s="13"/>
      <c r="H827" s="13"/>
      <c r="I827" s="13"/>
      <c r="J827" s="13"/>
      <c r="K827" s="13"/>
      <c r="L827" s="242"/>
      <c r="M827" s="242"/>
      <c r="N827" s="242"/>
      <c r="O827" s="242"/>
      <c r="P827" s="242"/>
      <c r="Q827" s="525"/>
      <c r="R827" s="242"/>
      <c r="S827" s="242"/>
      <c r="T827" s="242"/>
      <c r="U827" s="242"/>
      <c r="V827" s="242"/>
      <c r="W827" s="242"/>
      <c r="X827" s="242"/>
      <c r="Y827" s="242"/>
      <c r="Z827" s="242"/>
      <c r="AA827" s="242"/>
      <c r="AB827" s="242"/>
      <c r="AC827" s="242"/>
      <c r="AD827" s="242"/>
      <c r="AE827" s="242"/>
      <c r="AF827" s="242"/>
      <c r="AG827" s="242"/>
      <c r="AH827" s="242"/>
      <c r="AI827" s="242"/>
      <c r="AJ827" s="13"/>
      <c r="AK827" s="242"/>
      <c r="AL827" s="242"/>
      <c r="AM827" s="242"/>
      <c r="AN827" s="242"/>
      <c r="AO827" s="242"/>
    </row>
    <row r="828">
      <c r="A828" s="242"/>
      <c r="B828" s="13"/>
      <c r="C828" s="242"/>
      <c r="D828" s="242"/>
      <c r="E828" s="242"/>
      <c r="F828" s="242"/>
      <c r="G828" s="13"/>
      <c r="H828" s="13"/>
      <c r="I828" s="13"/>
      <c r="J828" s="13"/>
      <c r="K828" s="13"/>
      <c r="L828" s="242"/>
      <c r="M828" s="242"/>
      <c r="N828" s="242"/>
      <c r="O828" s="242"/>
      <c r="P828" s="242"/>
      <c r="Q828" s="525"/>
      <c r="R828" s="242"/>
      <c r="S828" s="242"/>
      <c r="T828" s="242"/>
      <c r="U828" s="242"/>
      <c r="V828" s="242"/>
      <c r="W828" s="242"/>
      <c r="X828" s="242"/>
      <c r="Y828" s="242"/>
      <c r="Z828" s="242"/>
      <c r="AA828" s="242"/>
      <c r="AB828" s="242"/>
      <c r="AC828" s="242"/>
      <c r="AD828" s="242"/>
      <c r="AE828" s="242"/>
      <c r="AF828" s="242"/>
      <c r="AG828" s="242"/>
      <c r="AH828" s="242"/>
      <c r="AI828" s="242"/>
      <c r="AJ828" s="13"/>
      <c r="AK828" s="242"/>
      <c r="AL828" s="242"/>
      <c r="AM828" s="242"/>
      <c r="AN828" s="242"/>
      <c r="AO828" s="242"/>
    </row>
    <row r="829">
      <c r="A829" s="242"/>
      <c r="B829" s="13"/>
      <c r="C829" s="242"/>
      <c r="D829" s="242"/>
      <c r="E829" s="242"/>
      <c r="F829" s="242"/>
      <c r="G829" s="13"/>
      <c r="H829" s="13"/>
      <c r="I829" s="13"/>
      <c r="J829" s="13"/>
      <c r="K829" s="13"/>
      <c r="L829" s="242"/>
      <c r="M829" s="242"/>
      <c r="N829" s="242"/>
      <c r="O829" s="242"/>
      <c r="P829" s="242"/>
      <c r="Q829" s="525"/>
      <c r="R829" s="242"/>
      <c r="S829" s="242"/>
      <c r="T829" s="242"/>
      <c r="U829" s="242"/>
      <c r="V829" s="242"/>
      <c r="W829" s="242"/>
      <c r="X829" s="242"/>
      <c r="Y829" s="242"/>
      <c r="Z829" s="242"/>
      <c r="AA829" s="242"/>
      <c r="AB829" s="242"/>
      <c r="AC829" s="242"/>
      <c r="AD829" s="242"/>
      <c r="AE829" s="242"/>
      <c r="AF829" s="242"/>
      <c r="AG829" s="242"/>
      <c r="AH829" s="242"/>
      <c r="AI829" s="242"/>
      <c r="AJ829" s="13"/>
      <c r="AK829" s="242"/>
      <c r="AL829" s="242"/>
      <c r="AM829" s="242"/>
      <c r="AN829" s="242"/>
      <c r="AO829" s="242"/>
    </row>
    <row r="830">
      <c r="A830" s="242"/>
      <c r="B830" s="13"/>
      <c r="C830" s="242"/>
      <c r="D830" s="242"/>
      <c r="E830" s="242"/>
      <c r="F830" s="242"/>
      <c r="G830" s="13"/>
      <c r="H830" s="13"/>
      <c r="I830" s="13"/>
      <c r="J830" s="13"/>
      <c r="K830" s="13"/>
      <c r="L830" s="242"/>
      <c r="M830" s="242"/>
      <c r="N830" s="242"/>
      <c r="O830" s="242"/>
      <c r="P830" s="242"/>
      <c r="Q830" s="525"/>
      <c r="R830" s="242"/>
      <c r="S830" s="242"/>
      <c r="T830" s="242"/>
      <c r="U830" s="242"/>
      <c r="V830" s="242"/>
      <c r="W830" s="242"/>
      <c r="X830" s="242"/>
      <c r="Y830" s="242"/>
      <c r="Z830" s="242"/>
      <c r="AA830" s="242"/>
      <c r="AB830" s="242"/>
      <c r="AC830" s="242"/>
      <c r="AD830" s="242"/>
      <c r="AE830" s="242"/>
      <c r="AF830" s="242"/>
      <c r="AG830" s="242"/>
      <c r="AH830" s="242"/>
      <c r="AI830" s="242"/>
      <c r="AJ830" s="13"/>
      <c r="AK830" s="242"/>
      <c r="AL830" s="242"/>
      <c r="AM830" s="242"/>
      <c r="AN830" s="242"/>
      <c r="AO830" s="242"/>
    </row>
    <row r="831">
      <c r="A831" s="242"/>
      <c r="B831" s="13"/>
      <c r="C831" s="242"/>
      <c r="D831" s="242"/>
      <c r="E831" s="242"/>
      <c r="F831" s="242"/>
      <c r="G831" s="13"/>
      <c r="H831" s="13"/>
      <c r="I831" s="13"/>
      <c r="J831" s="13"/>
      <c r="K831" s="13"/>
      <c r="L831" s="242"/>
      <c r="M831" s="242"/>
      <c r="N831" s="242"/>
      <c r="O831" s="242"/>
      <c r="P831" s="242"/>
      <c r="Q831" s="525"/>
      <c r="R831" s="242"/>
      <c r="S831" s="242"/>
      <c r="T831" s="242"/>
      <c r="U831" s="242"/>
      <c r="V831" s="242"/>
      <c r="W831" s="242"/>
      <c r="X831" s="242"/>
      <c r="Y831" s="242"/>
      <c r="Z831" s="242"/>
      <c r="AA831" s="242"/>
      <c r="AB831" s="242"/>
      <c r="AC831" s="242"/>
      <c r="AD831" s="242"/>
      <c r="AE831" s="242"/>
      <c r="AF831" s="242"/>
      <c r="AG831" s="242"/>
      <c r="AH831" s="242"/>
      <c r="AI831" s="242"/>
      <c r="AJ831" s="13"/>
      <c r="AK831" s="242"/>
      <c r="AL831" s="242"/>
      <c r="AM831" s="242"/>
      <c r="AN831" s="242"/>
      <c r="AO831" s="242"/>
    </row>
    <row r="832">
      <c r="A832" s="242"/>
      <c r="B832" s="13"/>
      <c r="C832" s="242"/>
      <c r="D832" s="242"/>
      <c r="E832" s="242"/>
      <c r="F832" s="242"/>
      <c r="G832" s="13"/>
      <c r="H832" s="13"/>
      <c r="I832" s="13"/>
      <c r="J832" s="13"/>
      <c r="K832" s="13"/>
      <c r="L832" s="242"/>
      <c r="M832" s="242"/>
      <c r="N832" s="242"/>
      <c r="O832" s="242"/>
      <c r="P832" s="242"/>
      <c r="Q832" s="525"/>
      <c r="R832" s="242"/>
      <c r="S832" s="242"/>
      <c r="T832" s="242"/>
      <c r="U832" s="242"/>
      <c r="V832" s="242"/>
      <c r="W832" s="242"/>
      <c r="X832" s="242"/>
      <c r="Y832" s="242"/>
      <c r="Z832" s="242"/>
      <c r="AA832" s="242"/>
      <c r="AB832" s="242"/>
      <c r="AC832" s="242"/>
      <c r="AD832" s="242"/>
      <c r="AE832" s="242"/>
      <c r="AF832" s="242"/>
      <c r="AG832" s="242"/>
      <c r="AH832" s="242"/>
      <c r="AI832" s="242"/>
      <c r="AJ832" s="13"/>
      <c r="AK832" s="242"/>
      <c r="AL832" s="242"/>
      <c r="AM832" s="242"/>
      <c r="AN832" s="242"/>
      <c r="AO832" s="242"/>
    </row>
    <row r="833">
      <c r="A833" s="242"/>
      <c r="B833" s="13"/>
      <c r="C833" s="242"/>
      <c r="D833" s="242"/>
      <c r="E833" s="242"/>
      <c r="F833" s="242"/>
      <c r="G833" s="13"/>
      <c r="H833" s="13"/>
      <c r="I833" s="13"/>
      <c r="J833" s="13"/>
      <c r="K833" s="13"/>
      <c r="L833" s="242"/>
      <c r="M833" s="242"/>
      <c r="N833" s="242"/>
      <c r="O833" s="242"/>
      <c r="P833" s="242"/>
      <c r="Q833" s="525"/>
      <c r="R833" s="242"/>
      <c r="S833" s="242"/>
      <c r="T833" s="242"/>
      <c r="U833" s="242"/>
      <c r="V833" s="242"/>
      <c r="W833" s="242"/>
      <c r="X833" s="242"/>
      <c r="Y833" s="242"/>
      <c r="Z833" s="242"/>
      <c r="AA833" s="242"/>
      <c r="AB833" s="242"/>
      <c r="AC833" s="242"/>
      <c r="AD833" s="242"/>
      <c r="AE833" s="242"/>
      <c r="AF833" s="242"/>
      <c r="AG833" s="242"/>
      <c r="AH833" s="242"/>
      <c r="AI833" s="242"/>
      <c r="AJ833" s="13"/>
      <c r="AK833" s="242"/>
      <c r="AL833" s="242"/>
      <c r="AM833" s="242"/>
      <c r="AN833" s="242"/>
      <c r="AO833" s="242"/>
    </row>
    <row r="834">
      <c r="A834" s="242"/>
      <c r="B834" s="13"/>
      <c r="C834" s="242"/>
      <c r="D834" s="242"/>
      <c r="E834" s="242"/>
      <c r="F834" s="242"/>
      <c r="G834" s="13"/>
      <c r="H834" s="13"/>
      <c r="I834" s="13"/>
      <c r="J834" s="13"/>
      <c r="K834" s="13"/>
      <c r="L834" s="242"/>
      <c r="M834" s="242"/>
      <c r="N834" s="242"/>
      <c r="O834" s="242"/>
      <c r="P834" s="242"/>
      <c r="Q834" s="525"/>
      <c r="R834" s="242"/>
      <c r="S834" s="242"/>
      <c r="T834" s="242"/>
      <c r="U834" s="242"/>
      <c r="V834" s="242"/>
      <c r="W834" s="242"/>
      <c r="X834" s="242"/>
      <c r="Y834" s="242"/>
      <c r="Z834" s="242"/>
      <c r="AA834" s="242"/>
      <c r="AB834" s="242"/>
      <c r="AC834" s="242"/>
      <c r="AD834" s="242"/>
      <c r="AE834" s="242"/>
      <c r="AF834" s="242"/>
      <c r="AG834" s="242"/>
      <c r="AH834" s="242"/>
      <c r="AI834" s="242"/>
      <c r="AJ834" s="13"/>
      <c r="AK834" s="242"/>
      <c r="AL834" s="242"/>
      <c r="AM834" s="242"/>
      <c r="AN834" s="242"/>
      <c r="AO834" s="242"/>
    </row>
    <row r="835">
      <c r="A835" s="242"/>
      <c r="B835" s="13"/>
      <c r="C835" s="242"/>
      <c r="D835" s="242"/>
      <c r="E835" s="242"/>
      <c r="F835" s="242"/>
      <c r="G835" s="13"/>
      <c r="H835" s="13"/>
      <c r="I835" s="13"/>
      <c r="J835" s="13"/>
      <c r="K835" s="13"/>
      <c r="L835" s="242"/>
      <c r="M835" s="242"/>
      <c r="N835" s="242"/>
      <c r="O835" s="242"/>
      <c r="P835" s="242"/>
      <c r="Q835" s="525"/>
      <c r="R835" s="242"/>
      <c r="S835" s="242"/>
      <c r="T835" s="242"/>
      <c r="U835" s="242"/>
      <c r="V835" s="242"/>
      <c r="W835" s="242"/>
      <c r="X835" s="242"/>
      <c r="Y835" s="242"/>
      <c r="Z835" s="242"/>
      <c r="AA835" s="242"/>
      <c r="AB835" s="242"/>
      <c r="AC835" s="242"/>
      <c r="AD835" s="242"/>
      <c r="AE835" s="242"/>
      <c r="AF835" s="242"/>
      <c r="AG835" s="242"/>
      <c r="AH835" s="242"/>
      <c r="AI835" s="242"/>
      <c r="AJ835" s="13"/>
      <c r="AK835" s="242"/>
      <c r="AL835" s="242"/>
      <c r="AM835" s="242"/>
      <c r="AN835" s="242"/>
      <c r="AO835" s="242"/>
    </row>
    <row r="836">
      <c r="A836" s="242"/>
      <c r="B836" s="13"/>
      <c r="C836" s="242"/>
      <c r="D836" s="242"/>
      <c r="E836" s="242"/>
      <c r="F836" s="242"/>
      <c r="G836" s="13"/>
      <c r="H836" s="13"/>
      <c r="I836" s="13"/>
      <c r="J836" s="13"/>
      <c r="K836" s="13"/>
      <c r="L836" s="242"/>
      <c r="M836" s="242"/>
      <c r="N836" s="242"/>
      <c r="O836" s="242"/>
      <c r="P836" s="242"/>
      <c r="Q836" s="525"/>
      <c r="R836" s="242"/>
      <c r="S836" s="242"/>
      <c r="T836" s="242"/>
      <c r="U836" s="242"/>
      <c r="V836" s="242"/>
      <c r="W836" s="242"/>
      <c r="X836" s="242"/>
      <c r="Y836" s="242"/>
      <c r="Z836" s="242"/>
      <c r="AA836" s="242"/>
      <c r="AB836" s="242"/>
      <c r="AC836" s="242"/>
      <c r="AD836" s="242"/>
      <c r="AE836" s="242"/>
      <c r="AF836" s="242"/>
      <c r="AG836" s="242"/>
      <c r="AH836" s="242"/>
      <c r="AI836" s="242"/>
      <c r="AJ836" s="13"/>
      <c r="AK836" s="242"/>
      <c r="AL836" s="242"/>
      <c r="AM836" s="242"/>
      <c r="AN836" s="242"/>
      <c r="AO836" s="242"/>
    </row>
    <row r="837">
      <c r="A837" s="242"/>
      <c r="B837" s="13"/>
      <c r="C837" s="242"/>
      <c r="D837" s="242"/>
      <c r="E837" s="242"/>
      <c r="F837" s="242"/>
      <c r="G837" s="13"/>
      <c r="H837" s="13"/>
      <c r="I837" s="13"/>
      <c r="J837" s="13"/>
      <c r="K837" s="13"/>
      <c r="L837" s="242"/>
      <c r="M837" s="242"/>
      <c r="N837" s="242"/>
      <c r="O837" s="242"/>
      <c r="P837" s="242"/>
      <c r="Q837" s="525"/>
      <c r="R837" s="242"/>
      <c r="S837" s="242"/>
      <c r="T837" s="242"/>
      <c r="U837" s="242"/>
      <c r="V837" s="242"/>
      <c r="W837" s="242"/>
      <c r="X837" s="242"/>
      <c r="Y837" s="242"/>
      <c r="Z837" s="242"/>
      <c r="AA837" s="242"/>
      <c r="AB837" s="242"/>
      <c r="AC837" s="242"/>
      <c r="AD837" s="242"/>
      <c r="AE837" s="242"/>
      <c r="AF837" s="242"/>
      <c r="AG837" s="242"/>
      <c r="AH837" s="242"/>
      <c r="AI837" s="242"/>
      <c r="AJ837" s="13"/>
      <c r="AK837" s="242"/>
      <c r="AL837" s="242"/>
      <c r="AM837" s="242"/>
      <c r="AN837" s="242"/>
      <c r="AO837" s="242"/>
    </row>
    <row r="838">
      <c r="A838" s="242"/>
      <c r="B838" s="13"/>
      <c r="C838" s="242"/>
      <c r="D838" s="242"/>
      <c r="E838" s="242"/>
      <c r="F838" s="242"/>
      <c r="G838" s="13"/>
      <c r="H838" s="13"/>
      <c r="I838" s="13"/>
      <c r="J838" s="13"/>
      <c r="K838" s="13"/>
      <c r="L838" s="242"/>
      <c r="M838" s="242"/>
      <c r="N838" s="242"/>
      <c r="O838" s="242"/>
      <c r="P838" s="242"/>
      <c r="Q838" s="525"/>
      <c r="R838" s="242"/>
      <c r="S838" s="242"/>
      <c r="T838" s="242"/>
      <c r="U838" s="242"/>
      <c r="V838" s="242"/>
      <c r="W838" s="242"/>
      <c r="X838" s="242"/>
      <c r="Y838" s="242"/>
      <c r="Z838" s="242"/>
      <c r="AA838" s="242"/>
      <c r="AB838" s="242"/>
      <c r="AC838" s="242"/>
      <c r="AD838" s="242"/>
      <c r="AE838" s="242"/>
      <c r="AF838" s="242"/>
      <c r="AG838" s="242"/>
      <c r="AH838" s="242"/>
      <c r="AI838" s="242"/>
      <c r="AJ838" s="13"/>
      <c r="AK838" s="242"/>
      <c r="AL838" s="242"/>
      <c r="AM838" s="242"/>
      <c r="AN838" s="242"/>
      <c r="AO838" s="242"/>
    </row>
    <row r="839">
      <c r="A839" s="242"/>
      <c r="B839" s="13"/>
      <c r="C839" s="242"/>
      <c r="D839" s="242"/>
      <c r="E839" s="242"/>
      <c r="F839" s="242"/>
      <c r="G839" s="13"/>
      <c r="H839" s="13"/>
      <c r="I839" s="13"/>
      <c r="J839" s="13"/>
      <c r="K839" s="13"/>
      <c r="L839" s="242"/>
      <c r="M839" s="242"/>
      <c r="N839" s="242"/>
      <c r="O839" s="242"/>
      <c r="P839" s="242"/>
      <c r="Q839" s="525"/>
      <c r="R839" s="242"/>
      <c r="S839" s="242"/>
      <c r="T839" s="242"/>
      <c r="U839" s="242"/>
      <c r="V839" s="242"/>
      <c r="W839" s="242"/>
      <c r="X839" s="242"/>
      <c r="Y839" s="242"/>
      <c r="Z839" s="242"/>
      <c r="AA839" s="242"/>
      <c r="AB839" s="242"/>
      <c r="AC839" s="242"/>
      <c r="AD839" s="242"/>
      <c r="AE839" s="242"/>
      <c r="AF839" s="242"/>
      <c r="AG839" s="242"/>
      <c r="AH839" s="242"/>
      <c r="AI839" s="242"/>
      <c r="AJ839" s="13"/>
      <c r="AK839" s="242"/>
      <c r="AL839" s="242"/>
      <c r="AM839" s="242"/>
      <c r="AN839" s="242"/>
      <c r="AO839" s="242"/>
    </row>
    <row r="840">
      <c r="A840" s="242"/>
      <c r="B840" s="13"/>
      <c r="C840" s="242"/>
      <c r="D840" s="242"/>
      <c r="E840" s="242"/>
      <c r="F840" s="242"/>
      <c r="G840" s="13"/>
      <c r="H840" s="13"/>
      <c r="I840" s="13"/>
      <c r="J840" s="13"/>
      <c r="K840" s="13"/>
      <c r="L840" s="242"/>
      <c r="M840" s="242"/>
      <c r="N840" s="242"/>
      <c r="O840" s="242"/>
      <c r="P840" s="242"/>
      <c r="Q840" s="525"/>
      <c r="R840" s="242"/>
      <c r="S840" s="242"/>
      <c r="T840" s="242"/>
      <c r="U840" s="242"/>
      <c r="V840" s="242"/>
      <c r="W840" s="242"/>
      <c r="X840" s="242"/>
      <c r="Y840" s="242"/>
      <c r="Z840" s="242"/>
      <c r="AA840" s="242"/>
      <c r="AB840" s="242"/>
      <c r="AC840" s="242"/>
      <c r="AD840" s="242"/>
      <c r="AE840" s="242"/>
      <c r="AF840" s="242"/>
      <c r="AG840" s="242"/>
      <c r="AH840" s="242"/>
      <c r="AI840" s="242"/>
      <c r="AJ840" s="13"/>
      <c r="AK840" s="242"/>
      <c r="AL840" s="242"/>
      <c r="AM840" s="242"/>
      <c r="AN840" s="242"/>
      <c r="AO840" s="242"/>
    </row>
    <row r="841">
      <c r="A841" s="242"/>
      <c r="B841" s="13"/>
      <c r="C841" s="242"/>
      <c r="D841" s="242"/>
      <c r="E841" s="242"/>
      <c r="F841" s="242"/>
      <c r="G841" s="13"/>
      <c r="H841" s="13"/>
      <c r="I841" s="13"/>
      <c r="J841" s="13"/>
      <c r="K841" s="13"/>
      <c r="L841" s="242"/>
      <c r="M841" s="242"/>
      <c r="N841" s="242"/>
      <c r="O841" s="242"/>
      <c r="P841" s="242"/>
      <c r="Q841" s="525"/>
      <c r="R841" s="242"/>
      <c r="S841" s="242"/>
      <c r="T841" s="242"/>
      <c r="U841" s="242"/>
      <c r="V841" s="242"/>
      <c r="W841" s="242"/>
      <c r="X841" s="242"/>
      <c r="Y841" s="242"/>
      <c r="Z841" s="242"/>
      <c r="AA841" s="242"/>
      <c r="AB841" s="242"/>
      <c r="AC841" s="242"/>
      <c r="AD841" s="242"/>
      <c r="AE841" s="242"/>
      <c r="AF841" s="242"/>
      <c r="AG841" s="242"/>
      <c r="AH841" s="242"/>
      <c r="AI841" s="242"/>
      <c r="AJ841" s="13"/>
      <c r="AK841" s="242"/>
      <c r="AL841" s="242"/>
      <c r="AM841" s="242"/>
      <c r="AN841" s="242"/>
      <c r="AO841" s="242"/>
    </row>
    <row r="842">
      <c r="A842" s="242"/>
      <c r="B842" s="13"/>
      <c r="C842" s="242"/>
      <c r="D842" s="242"/>
      <c r="E842" s="242"/>
      <c r="F842" s="242"/>
      <c r="G842" s="13"/>
      <c r="H842" s="13"/>
      <c r="I842" s="13"/>
      <c r="J842" s="13"/>
      <c r="K842" s="13"/>
      <c r="L842" s="242"/>
      <c r="M842" s="242"/>
      <c r="N842" s="242"/>
      <c r="O842" s="242"/>
      <c r="P842" s="242"/>
      <c r="Q842" s="525"/>
      <c r="R842" s="242"/>
      <c r="S842" s="242"/>
      <c r="T842" s="242"/>
      <c r="U842" s="242"/>
      <c r="V842" s="242"/>
      <c r="W842" s="242"/>
      <c r="X842" s="242"/>
      <c r="Y842" s="242"/>
      <c r="Z842" s="242"/>
      <c r="AA842" s="242"/>
      <c r="AB842" s="242"/>
      <c r="AC842" s="242"/>
      <c r="AD842" s="242"/>
      <c r="AE842" s="242"/>
      <c r="AF842" s="242"/>
      <c r="AG842" s="242"/>
      <c r="AH842" s="242"/>
      <c r="AI842" s="242"/>
      <c r="AJ842" s="13"/>
      <c r="AK842" s="242"/>
      <c r="AL842" s="242"/>
      <c r="AM842" s="242"/>
      <c r="AN842" s="242"/>
      <c r="AO842" s="242"/>
    </row>
    <row r="843">
      <c r="A843" s="242"/>
      <c r="B843" s="13"/>
      <c r="C843" s="242"/>
      <c r="D843" s="242"/>
      <c r="E843" s="242"/>
      <c r="F843" s="242"/>
      <c r="G843" s="13"/>
      <c r="H843" s="13"/>
      <c r="I843" s="13"/>
      <c r="J843" s="13"/>
      <c r="K843" s="13"/>
      <c r="L843" s="242"/>
      <c r="M843" s="242"/>
      <c r="N843" s="242"/>
      <c r="O843" s="242"/>
      <c r="P843" s="242"/>
      <c r="Q843" s="525"/>
      <c r="R843" s="242"/>
      <c r="S843" s="242"/>
      <c r="T843" s="242"/>
      <c r="U843" s="242"/>
      <c r="V843" s="242"/>
      <c r="W843" s="242"/>
      <c r="X843" s="242"/>
      <c r="Y843" s="242"/>
      <c r="Z843" s="242"/>
      <c r="AA843" s="242"/>
      <c r="AB843" s="242"/>
      <c r="AC843" s="242"/>
      <c r="AD843" s="242"/>
      <c r="AE843" s="242"/>
      <c r="AF843" s="242"/>
      <c r="AG843" s="242"/>
      <c r="AH843" s="242"/>
      <c r="AI843" s="242"/>
      <c r="AJ843" s="13"/>
      <c r="AK843" s="242"/>
      <c r="AL843" s="242"/>
      <c r="AM843" s="242"/>
      <c r="AN843" s="242"/>
      <c r="AO843" s="242"/>
    </row>
    <row r="844">
      <c r="A844" s="242"/>
      <c r="B844" s="13"/>
      <c r="C844" s="242"/>
      <c r="D844" s="242"/>
      <c r="E844" s="242"/>
      <c r="F844" s="242"/>
      <c r="G844" s="13"/>
      <c r="H844" s="13"/>
      <c r="I844" s="13"/>
      <c r="J844" s="13"/>
      <c r="K844" s="13"/>
      <c r="L844" s="242"/>
      <c r="M844" s="242"/>
      <c r="N844" s="242"/>
      <c r="O844" s="242"/>
      <c r="P844" s="242"/>
      <c r="Q844" s="525"/>
      <c r="R844" s="242"/>
      <c r="S844" s="242"/>
      <c r="T844" s="242"/>
      <c r="U844" s="242"/>
      <c r="V844" s="242"/>
      <c r="W844" s="242"/>
      <c r="X844" s="242"/>
      <c r="Y844" s="242"/>
      <c r="Z844" s="242"/>
      <c r="AA844" s="242"/>
      <c r="AB844" s="242"/>
      <c r="AC844" s="242"/>
      <c r="AD844" s="242"/>
      <c r="AE844" s="242"/>
      <c r="AF844" s="242"/>
      <c r="AG844" s="242"/>
      <c r="AH844" s="242"/>
      <c r="AI844" s="242"/>
      <c r="AJ844" s="13"/>
      <c r="AK844" s="242"/>
      <c r="AL844" s="242"/>
      <c r="AM844" s="242"/>
      <c r="AN844" s="242"/>
      <c r="AO844" s="242"/>
    </row>
    <row r="845">
      <c r="A845" s="242"/>
      <c r="B845" s="13"/>
      <c r="C845" s="242"/>
      <c r="D845" s="242"/>
      <c r="E845" s="242"/>
      <c r="F845" s="242"/>
      <c r="G845" s="13"/>
      <c r="H845" s="13"/>
      <c r="I845" s="13"/>
      <c r="J845" s="13"/>
      <c r="K845" s="13"/>
      <c r="L845" s="242"/>
      <c r="M845" s="242"/>
      <c r="N845" s="242"/>
      <c r="O845" s="242"/>
      <c r="P845" s="242"/>
      <c r="Q845" s="525"/>
      <c r="R845" s="242"/>
      <c r="S845" s="242"/>
      <c r="T845" s="242"/>
      <c r="U845" s="242"/>
      <c r="V845" s="242"/>
      <c r="W845" s="242"/>
      <c r="X845" s="242"/>
      <c r="Y845" s="242"/>
      <c r="Z845" s="242"/>
      <c r="AA845" s="242"/>
      <c r="AB845" s="242"/>
      <c r="AC845" s="242"/>
      <c r="AD845" s="242"/>
      <c r="AE845" s="242"/>
      <c r="AF845" s="242"/>
      <c r="AG845" s="242"/>
      <c r="AH845" s="242"/>
      <c r="AI845" s="242"/>
      <c r="AJ845" s="13"/>
      <c r="AK845" s="242"/>
      <c r="AL845" s="242"/>
      <c r="AM845" s="242"/>
      <c r="AN845" s="242"/>
      <c r="AO845" s="242"/>
    </row>
    <row r="846">
      <c r="A846" s="242"/>
      <c r="B846" s="13"/>
      <c r="C846" s="242"/>
      <c r="D846" s="242"/>
      <c r="E846" s="242"/>
      <c r="F846" s="242"/>
      <c r="G846" s="13"/>
      <c r="H846" s="13"/>
      <c r="I846" s="13"/>
      <c r="J846" s="13"/>
      <c r="K846" s="13"/>
      <c r="L846" s="242"/>
      <c r="M846" s="242"/>
      <c r="N846" s="242"/>
      <c r="O846" s="242"/>
      <c r="P846" s="242"/>
      <c r="Q846" s="525"/>
      <c r="R846" s="242"/>
      <c r="S846" s="242"/>
      <c r="T846" s="242"/>
      <c r="U846" s="242"/>
      <c r="V846" s="242"/>
      <c r="W846" s="242"/>
      <c r="X846" s="242"/>
      <c r="Y846" s="242"/>
      <c r="Z846" s="242"/>
      <c r="AA846" s="242"/>
      <c r="AB846" s="242"/>
      <c r="AC846" s="242"/>
      <c r="AD846" s="242"/>
      <c r="AE846" s="242"/>
      <c r="AF846" s="242"/>
      <c r="AG846" s="242"/>
      <c r="AH846" s="242"/>
      <c r="AI846" s="242"/>
      <c r="AJ846" s="13"/>
      <c r="AK846" s="242"/>
      <c r="AL846" s="242"/>
      <c r="AM846" s="242"/>
      <c r="AN846" s="242"/>
      <c r="AO846" s="242"/>
    </row>
    <row r="847">
      <c r="A847" s="242"/>
      <c r="B847" s="13"/>
      <c r="C847" s="242"/>
      <c r="D847" s="242"/>
      <c r="E847" s="242"/>
      <c r="F847" s="242"/>
      <c r="G847" s="13"/>
      <c r="H847" s="13"/>
      <c r="I847" s="13"/>
      <c r="J847" s="13"/>
      <c r="K847" s="13"/>
      <c r="L847" s="242"/>
      <c r="M847" s="242"/>
      <c r="N847" s="242"/>
      <c r="O847" s="242"/>
      <c r="P847" s="242"/>
      <c r="Q847" s="525"/>
      <c r="R847" s="242"/>
      <c r="S847" s="242"/>
      <c r="T847" s="242"/>
      <c r="U847" s="242"/>
      <c r="V847" s="242"/>
      <c r="W847" s="242"/>
      <c r="X847" s="242"/>
      <c r="Y847" s="242"/>
      <c r="Z847" s="242"/>
      <c r="AA847" s="242"/>
      <c r="AB847" s="242"/>
      <c r="AC847" s="242"/>
      <c r="AD847" s="242"/>
      <c r="AE847" s="242"/>
      <c r="AF847" s="242"/>
      <c r="AG847" s="242"/>
      <c r="AH847" s="242"/>
      <c r="AI847" s="242"/>
      <c r="AJ847" s="13"/>
      <c r="AK847" s="242"/>
      <c r="AL847" s="242"/>
      <c r="AM847" s="242"/>
      <c r="AN847" s="242"/>
      <c r="AO847" s="242"/>
    </row>
    <row r="848">
      <c r="A848" s="242"/>
      <c r="B848" s="13"/>
      <c r="C848" s="242"/>
      <c r="D848" s="242"/>
      <c r="E848" s="242"/>
      <c r="F848" s="242"/>
      <c r="G848" s="13"/>
      <c r="H848" s="13"/>
      <c r="I848" s="13"/>
      <c r="J848" s="13"/>
      <c r="K848" s="13"/>
      <c r="L848" s="242"/>
      <c r="M848" s="242"/>
      <c r="N848" s="242"/>
      <c r="O848" s="242"/>
      <c r="P848" s="242"/>
      <c r="Q848" s="525"/>
      <c r="R848" s="242"/>
      <c r="S848" s="242"/>
      <c r="T848" s="242"/>
      <c r="U848" s="242"/>
      <c r="V848" s="242"/>
      <c r="W848" s="242"/>
      <c r="X848" s="242"/>
      <c r="Y848" s="242"/>
      <c r="Z848" s="242"/>
      <c r="AA848" s="242"/>
      <c r="AB848" s="242"/>
      <c r="AC848" s="242"/>
      <c r="AD848" s="242"/>
      <c r="AE848" s="242"/>
      <c r="AF848" s="242"/>
      <c r="AG848" s="242"/>
      <c r="AH848" s="242"/>
      <c r="AI848" s="242"/>
      <c r="AJ848" s="13"/>
      <c r="AK848" s="242"/>
      <c r="AL848" s="242"/>
      <c r="AM848" s="242"/>
      <c r="AN848" s="242"/>
      <c r="AO848" s="242"/>
    </row>
    <row r="849">
      <c r="A849" s="242"/>
      <c r="B849" s="13"/>
      <c r="C849" s="242"/>
      <c r="D849" s="242"/>
      <c r="E849" s="242"/>
      <c r="F849" s="242"/>
      <c r="G849" s="13"/>
      <c r="H849" s="13"/>
      <c r="I849" s="13"/>
      <c r="J849" s="13"/>
      <c r="K849" s="13"/>
      <c r="L849" s="242"/>
      <c r="M849" s="242"/>
      <c r="N849" s="242"/>
      <c r="O849" s="242"/>
      <c r="P849" s="242"/>
      <c r="Q849" s="525"/>
      <c r="R849" s="242"/>
      <c r="S849" s="242"/>
      <c r="T849" s="242"/>
      <c r="U849" s="242"/>
      <c r="V849" s="242"/>
      <c r="W849" s="242"/>
      <c r="X849" s="242"/>
      <c r="Y849" s="242"/>
      <c r="Z849" s="242"/>
      <c r="AA849" s="242"/>
      <c r="AB849" s="242"/>
      <c r="AC849" s="242"/>
      <c r="AD849" s="242"/>
      <c r="AE849" s="242"/>
      <c r="AF849" s="242"/>
      <c r="AG849" s="242"/>
      <c r="AH849" s="242"/>
      <c r="AI849" s="242"/>
      <c r="AJ849" s="13"/>
      <c r="AK849" s="242"/>
      <c r="AL849" s="242"/>
      <c r="AM849" s="242"/>
      <c r="AN849" s="242"/>
      <c r="AO849" s="242"/>
    </row>
    <row r="850">
      <c r="A850" s="242"/>
      <c r="B850" s="13"/>
      <c r="C850" s="242"/>
      <c r="D850" s="242"/>
      <c r="E850" s="242"/>
      <c r="F850" s="242"/>
      <c r="G850" s="13"/>
      <c r="H850" s="13"/>
      <c r="I850" s="13"/>
      <c r="J850" s="13"/>
      <c r="K850" s="13"/>
      <c r="L850" s="242"/>
      <c r="M850" s="242"/>
      <c r="N850" s="242"/>
      <c r="O850" s="242"/>
      <c r="P850" s="242"/>
      <c r="Q850" s="525"/>
      <c r="R850" s="242"/>
      <c r="S850" s="242"/>
      <c r="T850" s="242"/>
      <c r="U850" s="242"/>
      <c r="V850" s="242"/>
      <c r="W850" s="242"/>
      <c r="X850" s="242"/>
      <c r="Y850" s="242"/>
      <c r="Z850" s="242"/>
      <c r="AA850" s="242"/>
      <c r="AB850" s="242"/>
      <c r="AC850" s="242"/>
      <c r="AD850" s="242"/>
      <c r="AE850" s="242"/>
      <c r="AF850" s="242"/>
      <c r="AG850" s="242"/>
      <c r="AH850" s="242"/>
      <c r="AI850" s="242"/>
      <c r="AJ850" s="13"/>
      <c r="AK850" s="242"/>
      <c r="AL850" s="242"/>
      <c r="AM850" s="242"/>
      <c r="AN850" s="242"/>
      <c r="AO850" s="242"/>
    </row>
    <row r="851">
      <c r="A851" s="242"/>
      <c r="B851" s="13"/>
      <c r="C851" s="242"/>
      <c r="D851" s="242"/>
      <c r="E851" s="242"/>
      <c r="F851" s="242"/>
      <c r="G851" s="13"/>
      <c r="H851" s="13"/>
      <c r="I851" s="13"/>
      <c r="J851" s="13"/>
      <c r="K851" s="13"/>
      <c r="L851" s="242"/>
      <c r="M851" s="242"/>
      <c r="N851" s="242"/>
      <c r="O851" s="242"/>
      <c r="P851" s="242"/>
      <c r="Q851" s="525"/>
      <c r="R851" s="242"/>
      <c r="S851" s="242"/>
      <c r="T851" s="242"/>
      <c r="U851" s="242"/>
      <c r="V851" s="242"/>
      <c r="W851" s="242"/>
      <c r="X851" s="242"/>
      <c r="Y851" s="242"/>
      <c r="Z851" s="242"/>
      <c r="AA851" s="242"/>
      <c r="AB851" s="242"/>
      <c r="AC851" s="242"/>
      <c r="AD851" s="242"/>
      <c r="AE851" s="242"/>
      <c r="AF851" s="242"/>
      <c r="AG851" s="242"/>
      <c r="AH851" s="242"/>
      <c r="AI851" s="242"/>
      <c r="AJ851" s="13"/>
      <c r="AK851" s="242"/>
      <c r="AL851" s="242"/>
      <c r="AM851" s="242"/>
      <c r="AN851" s="242"/>
      <c r="AO851" s="242"/>
    </row>
    <row r="852">
      <c r="A852" s="242"/>
      <c r="B852" s="13"/>
      <c r="C852" s="242"/>
      <c r="D852" s="242"/>
      <c r="E852" s="242"/>
      <c r="F852" s="242"/>
      <c r="G852" s="13"/>
      <c r="H852" s="13"/>
      <c r="I852" s="13"/>
      <c r="J852" s="13"/>
      <c r="K852" s="13"/>
      <c r="L852" s="242"/>
      <c r="M852" s="242"/>
      <c r="N852" s="242"/>
      <c r="O852" s="242"/>
      <c r="P852" s="242"/>
      <c r="Q852" s="525"/>
      <c r="R852" s="242"/>
      <c r="S852" s="242"/>
      <c r="T852" s="242"/>
      <c r="U852" s="242"/>
      <c r="V852" s="242"/>
      <c r="W852" s="242"/>
      <c r="X852" s="242"/>
      <c r="Y852" s="242"/>
      <c r="Z852" s="242"/>
      <c r="AA852" s="242"/>
      <c r="AB852" s="242"/>
      <c r="AC852" s="242"/>
      <c r="AD852" s="242"/>
      <c r="AE852" s="242"/>
      <c r="AF852" s="242"/>
      <c r="AG852" s="242"/>
      <c r="AH852" s="242"/>
      <c r="AI852" s="242"/>
      <c r="AJ852" s="13"/>
      <c r="AK852" s="242"/>
      <c r="AL852" s="242"/>
      <c r="AM852" s="242"/>
      <c r="AN852" s="242"/>
      <c r="AO852" s="242"/>
    </row>
    <row r="853">
      <c r="A853" s="242"/>
      <c r="B853" s="13"/>
      <c r="C853" s="242"/>
      <c r="D853" s="242"/>
      <c r="E853" s="242"/>
      <c r="F853" s="242"/>
      <c r="G853" s="13"/>
      <c r="H853" s="13"/>
      <c r="I853" s="13"/>
      <c r="J853" s="13"/>
      <c r="K853" s="13"/>
      <c r="L853" s="242"/>
      <c r="M853" s="242"/>
      <c r="N853" s="242"/>
      <c r="O853" s="242"/>
      <c r="P853" s="242"/>
      <c r="Q853" s="525"/>
      <c r="R853" s="242"/>
      <c r="S853" s="242"/>
      <c r="T853" s="242"/>
      <c r="U853" s="242"/>
      <c r="V853" s="242"/>
      <c r="W853" s="242"/>
      <c r="X853" s="242"/>
      <c r="Y853" s="242"/>
      <c r="Z853" s="242"/>
      <c r="AA853" s="242"/>
      <c r="AB853" s="242"/>
      <c r="AC853" s="242"/>
      <c r="AD853" s="242"/>
      <c r="AE853" s="242"/>
      <c r="AF853" s="242"/>
      <c r="AG853" s="242"/>
      <c r="AH853" s="242"/>
      <c r="AI853" s="242"/>
      <c r="AJ853" s="13"/>
      <c r="AK853" s="242"/>
      <c r="AL853" s="242"/>
      <c r="AM853" s="242"/>
      <c r="AN853" s="242"/>
      <c r="AO853" s="242"/>
    </row>
    <row r="854">
      <c r="A854" s="242"/>
      <c r="B854" s="13"/>
      <c r="C854" s="242"/>
      <c r="D854" s="242"/>
      <c r="E854" s="242"/>
      <c r="F854" s="242"/>
      <c r="G854" s="13"/>
      <c r="H854" s="13"/>
      <c r="I854" s="13"/>
      <c r="J854" s="13"/>
      <c r="K854" s="13"/>
      <c r="L854" s="242"/>
      <c r="M854" s="242"/>
      <c r="N854" s="242"/>
      <c r="O854" s="242"/>
      <c r="P854" s="242"/>
      <c r="Q854" s="525"/>
      <c r="R854" s="242"/>
      <c r="S854" s="242"/>
      <c r="T854" s="242"/>
      <c r="U854" s="242"/>
      <c r="V854" s="242"/>
      <c r="W854" s="242"/>
      <c r="X854" s="242"/>
      <c r="Y854" s="242"/>
      <c r="Z854" s="242"/>
      <c r="AA854" s="242"/>
      <c r="AB854" s="242"/>
      <c r="AC854" s="242"/>
      <c r="AD854" s="242"/>
      <c r="AE854" s="242"/>
      <c r="AF854" s="242"/>
      <c r="AG854" s="242"/>
      <c r="AH854" s="242"/>
      <c r="AI854" s="242"/>
      <c r="AJ854" s="13"/>
      <c r="AK854" s="242"/>
      <c r="AL854" s="242"/>
      <c r="AM854" s="242"/>
      <c r="AN854" s="242"/>
      <c r="AO854" s="242"/>
    </row>
    <row r="855">
      <c r="A855" s="242"/>
      <c r="B855" s="13"/>
      <c r="C855" s="242"/>
      <c r="D855" s="242"/>
      <c r="E855" s="242"/>
      <c r="F855" s="242"/>
      <c r="G855" s="13"/>
      <c r="H855" s="13"/>
      <c r="I855" s="13"/>
      <c r="J855" s="13"/>
      <c r="K855" s="13"/>
      <c r="L855" s="242"/>
      <c r="M855" s="242"/>
      <c r="N855" s="242"/>
      <c r="O855" s="242"/>
      <c r="P855" s="242"/>
      <c r="Q855" s="525"/>
      <c r="R855" s="242"/>
      <c r="S855" s="242"/>
      <c r="T855" s="242"/>
      <c r="U855" s="242"/>
      <c r="V855" s="242"/>
      <c r="W855" s="242"/>
      <c r="X855" s="242"/>
      <c r="Y855" s="242"/>
      <c r="Z855" s="242"/>
      <c r="AA855" s="242"/>
      <c r="AB855" s="242"/>
      <c r="AC855" s="242"/>
      <c r="AD855" s="242"/>
      <c r="AE855" s="242"/>
      <c r="AF855" s="242"/>
      <c r="AG855" s="242"/>
      <c r="AH855" s="242"/>
      <c r="AI855" s="242"/>
      <c r="AJ855" s="13"/>
      <c r="AK855" s="242"/>
      <c r="AL855" s="242"/>
      <c r="AM855" s="242"/>
      <c r="AN855" s="242"/>
      <c r="AO855" s="242"/>
    </row>
    <row r="856">
      <c r="A856" s="242"/>
      <c r="B856" s="13"/>
      <c r="C856" s="242"/>
      <c r="D856" s="242"/>
      <c r="E856" s="242"/>
      <c r="F856" s="242"/>
      <c r="G856" s="13"/>
      <c r="H856" s="13"/>
      <c r="I856" s="13"/>
      <c r="J856" s="13"/>
      <c r="K856" s="13"/>
      <c r="L856" s="242"/>
      <c r="M856" s="242"/>
      <c r="N856" s="242"/>
      <c r="O856" s="242"/>
      <c r="P856" s="242"/>
      <c r="Q856" s="525"/>
      <c r="R856" s="242"/>
      <c r="S856" s="242"/>
      <c r="T856" s="242"/>
      <c r="U856" s="242"/>
      <c r="V856" s="242"/>
      <c r="W856" s="242"/>
      <c r="X856" s="242"/>
      <c r="Y856" s="242"/>
      <c r="Z856" s="242"/>
      <c r="AA856" s="242"/>
      <c r="AB856" s="242"/>
      <c r="AC856" s="242"/>
      <c r="AD856" s="242"/>
      <c r="AE856" s="242"/>
      <c r="AF856" s="242"/>
      <c r="AG856" s="242"/>
      <c r="AH856" s="242"/>
      <c r="AI856" s="242"/>
      <c r="AJ856" s="13"/>
      <c r="AK856" s="242"/>
      <c r="AL856" s="242"/>
      <c r="AM856" s="242"/>
      <c r="AN856" s="242"/>
      <c r="AO856" s="242"/>
    </row>
    <row r="857">
      <c r="A857" s="242"/>
      <c r="B857" s="13"/>
      <c r="C857" s="242"/>
      <c r="D857" s="242"/>
      <c r="E857" s="242"/>
      <c r="F857" s="242"/>
      <c r="G857" s="13"/>
      <c r="H857" s="13"/>
      <c r="I857" s="13"/>
      <c r="J857" s="13"/>
      <c r="K857" s="13"/>
      <c r="L857" s="242"/>
      <c r="M857" s="242"/>
      <c r="N857" s="242"/>
      <c r="O857" s="242"/>
      <c r="P857" s="242"/>
      <c r="Q857" s="525"/>
      <c r="R857" s="242"/>
      <c r="S857" s="242"/>
      <c r="T857" s="242"/>
      <c r="U857" s="242"/>
      <c r="V857" s="242"/>
      <c r="W857" s="242"/>
      <c r="X857" s="242"/>
      <c r="Y857" s="242"/>
      <c r="Z857" s="242"/>
      <c r="AA857" s="242"/>
      <c r="AB857" s="242"/>
      <c r="AC857" s="242"/>
      <c r="AD857" s="242"/>
      <c r="AE857" s="242"/>
      <c r="AF857" s="242"/>
      <c r="AG857" s="242"/>
      <c r="AH857" s="242"/>
      <c r="AI857" s="242"/>
      <c r="AJ857" s="13"/>
      <c r="AK857" s="242"/>
      <c r="AL857" s="242"/>
      <c r="AM857" s="242"/>
      <c r="AN857" s="242"/>
      <c r="AO857" s="242"/>
    </row>
    <row r="858">
      <c r="A858" s="242"/>
      <c r="B858" s="13"/>
      <c r="C858" s="242"/>
      <c r="D858" s="242"/>
      <c r="E858" s="242"/>
      <c r="F858" s="242"/>
      <c r="G858" s="13"/>
      <c r="H858" s="13"/>
      <c r="I858" s="13"/>
      <c r="J858" s="13"/>
      <c r="K858" s="13"/>
      <c r="L858" s="242"/>
      <c r="M858" s="242"/>
      <c r="N858" s="242"/>
      <c r="O858" s="242"/>
      <c r="P858" s="242"/>
      <c r="Q858" s="525"/>
      <c r="R858" s="242"/>
      <c r="S858" s="242"/>
      <c r="T858" s="242"/>
      <c r="U858" s="242"/>
      <c r="V858" s="242"/>
      <c r="W858" s="242"/>
      <c r="X858" s="242"/>
      <c r="Y858" s="242"/>
      <c r="Z858" s="242"/>
      <c r="AA858" s="242"/>
      <c r="AB858" s="242"/>
      <c r="AC858" s="242"/>
      <c r="AD858" s="242"/>
      <c r="AE858" s="242"/>
      <c r="AF858" s="242"/>
      <c r="AG858" s="242"/>
      <c r="AH858" s="242"/>
      <c r="AI858" s="242"/>
      <c r="AJ858" s="13"/>
      <c r="AK858" s="242"/>
      <c r="AL858" s="242"/>
      <c r="AM858" s="242"/>
      <c r="AN858" s="242"/>
      <c r="AO858" s="242"/>
    </row>
    <row r="859">
      <c r="A859" s="242"/>
      <c r="B859" s="13"/>
      <c r="C859" s="242"/>
      <c r="D859" s="242"/>
      <c r="E859" s="242"/>
      <c r="F859" s="242"/>
      <c r="G859" s="13"/>
      <c r="H859" s="13"/>
      <c r="I859" s="13"/>
      <c r="J859" s="13"/>
      <c r="K859" s="13"/>
      <c r="L859" s="242"/>
      <c r="M859" s="242"/>
      <c r="N859" s="242"/>
      <c r="O859" s="242"/>
      <c r="P859" s="242"/>
      <c r="Q859" s="525"/>
      <c r="R859" s="242"/>
      <c r="S859" s="242"/>
      <c r="T859" s="242"/>
      <c r="U859" s="242"/>
      <c r="V859" s="242"/>
      <c r="W859" s="242"/>
      <c r="X859" s="242"/>
      <c r="Y859" s="242"/>
      <c r="Z859" s="242"/>
      <c r="AA859" s="242"/>
      <c r="AB859" s="242"/>
      <c r="AC859" s="242"/>
      <c r="AD859" s="242"/>
      <c r="AE859" s="242"/>
      <c r="AF859" s="242"/>
      <c r="AG859" s="242"/>
      <c r="AH859" s="242"/>
      <c r="AI859" s="242"/>
      <c r="AJ859" s="13"/>
      <c r="AK859" s="242"/>
      <c r="AL859" s="242"/>
      <c r="AM859" s="242"/>
      <c r="AN859" s="242"/>
      <c r="AO859" s="242"/>
    </row>
    <row r="860">
      <c r="A860" s="242"/>
      <c r="B860" s="13"/>
      <c r="C860" s="242"/>
      <c r="D860" s="242"/>
      <c r="E860" s="242"/>
      <c r="F860" s="242"/>
      <c r="G860" s="13"/>
      <c r="H860" s="13"/>
      <c r="I860" s="13"/>
      <c r="J860" s="13"/>
      <c r="K860" s="13"/>
      <c r="L860" s="242"/>
      <c r="M860" s="242"/>
      <c r="N860" s="242"/>
      <c r="O860" s="242"/>
      <c r="P860" s="242"/>
      <c r="Q860" s="525"/>
      <c r="R860" s="242"/>
      <c r="S860" s="242"/>
      <c r="T860" s="242"/>
      <c r="U860" s="242"/>
      <c r="V860" s="242"/>
      <c r="W860" s="242"/>
      <c r="X860" s="242"/>
      <c r="Y860" s="242"/>
      <c r="Z860" s="242"/>
      <c r="AA860" s="242"/>
      <c r="AB860" s="242"/>
      <c r="AC860" s="242"/>
      <c r="AD860" s="242"/>
      <c r="AE860" s="242"/>
      <c r="AF860" s="242"/>
      <c r="AG860" s="242"/>
      <c r="AH860" s="242"/>
      <c r="AI860" s="242"/>
      <c r="AJ860" s="13"/>
      <c r="AK860" s="242"/>
      <c r="AL860" s="242"/>
      <c r="AM860" s="242"/>
      <c r="AN860" s="242"/>
      <c r="AO860" s="242"/>
    </row>
    <row r="861">
      <c r="A861" s="242"/>
      <c r="B861" s="13"/>
      <c r="C861" s="242"/>
      <c r="D861" s="242"/>
      <c r="E861" s="242"/>
      <c r="F861" s="242"/>
      <c r="G861" s="13"/>
      <c r="H861" s="13"/>
      <c r="I861" s="13"/>
      <c r="J861" s="13"/>
      <c r="K861" s="13"/>
      <c r="L861" s="242"/>
      <c r="M861" s="242"/>
      <c r="N861" s="242"/>
      <c r="O861" s="242"/>
      <c r="P861" s="242"/>
      <c r="Q861" s="525"/>
      <c r="R861" s="242"/>
      <c r="S861" s="242"/>
      <c r="T861" s="242"/>
      <c r="U861" s="242"/>
      <c r="V861" s="242"/>
      <c r="W861" s="242"/>
      <c r="X861" s="242"/>
      <c r="Y861" s="242"/>
      <c r="Z861" s="242"/>
      <c r="AA861" s="242"/>
      <c r="AB861" s="242"/>
      <c r="AC861" s="242"/>
      <c r="AD861" s="242"/>
      <c r="AE861" s="242"/>
      <c r="AF861" s="242"/>
      <c r="AG861" s="242"/>
      <c r="AH861" s="242"/>
      <c r="AI861" s="242"/>
      <c r="AJ861" s="13"/>
      <c r="AK861" s="242"/>
      <c r="AL861" s="242"/>
      <c r="AM861" s="242"/>
      <c r="AN861" s="242"/>
      <c r="AO861" s="242"/>
    </row>
    <row r="862">
      <c r="A862" s="242"/>
      <c r="B862" s="13"/>
      <c r="C862" s="242"/>
      <c r="D862" s="242"/>
      <c r="E862" s="242"/>
      <c r="F862" s="242"/>
      <c r="G862" s="13"/>
      <c r="H862" s="13"/>
      <c r="I862" s="13"/>
      <c r="J862" s="13"/>
      <c r="K862" s="13"/>
      <c r="L862" s="242"/>
      <c r="M862" s="242"/>
      <c r="N862" s="242"/>
      <c r="O862" s="242"/>
      <c r="P862" s="242"/>
      <c r="Q862" s="525"/>
      <c r="R862" s="242"/>
      <c r="S862" s="242"/>
      <c r="T862" s="242"/>
      <c r="U862" s="242"/>
      <c r="V862" s="242"/>
      <c r="W862" s="242"/>
      <c r="X862" s="242"/>
      <c r="Y862" s="242"/>
      <c r="Z862" s="242"/>
      <c r="AA862" s="242"/>
      <c r="AB862" s="242"/>
      <c r="AC862" s="242"/>
      <c r="AD862" s="242"/>
      <c r="AE862" s="242"/>
      <c r="AF862" s="242"/>
      <c r="AG862" s="242"/>
      <c r="AH862" s="242"/>
      <c r="AI862" s="242"/>
      <c r="AJ862" s="13"/>
      <c r="AK862" s="242"/>
      <c r="AL862" s="242"/>
      <c r="AM862" s="242"/>
      <c r="AN862" s="242"/>
      <c r="AO862" s="242"/>
    </row>
    <row r="863">
      <c r="A863" s="242"/>
      <c r="B863" s="13"/>
      <c r="C863" s="242"/>
      <c r="D863" s="242"/>
      <c r="E863" s="242"/>
      <c r="F863" s="242"/>
      <c r="G863" s="13"/>
      <c r="H863" s="13"/>
      <c r="I863" s="13"/>
      <c r="J863" s="13"/>
      <c r="K863" s="13"/>
      <c r="L863" s="242"/>
      <c r="M863" s="242"/>
      <c r="N863" s="242"/>
      <c r="O863" s="242"/>
      <c r="P863" s="242"/>
      <c r="Q863" s="525"/>
      <c r="R863" s="242"/>
      <c r="S863" s="242"/>
      <c r="T863" s="242"/>
      <c r="U863" s="242"/>
      <c r="V863" s="242"/>
      <c r="W863" s="242"/>
      <c r="X863" s="242"/>
      <c r="Y863" s="242"/>
      <c r="Z863" s="242"/>
      <c r="AA863" s="242"/>
      <c r="AB863" s="242"/>
      <c r="AC863" s="242"/>
      <c r="AD863" s="242"/>
      <c r="AE863" s="242"/>
      <c r="AF863" s="242"/>
      <c r="AG863" s="242"/>
      <c r="AH863" s="242"/>
      <c r="AI863" s="242"/>
      <c r="AJ863" s="13"/>
      <c r="AK863" s="242"/>
      <c r="AL863" s="242"/>
      <c r="AM863" s="242"/>
      <c r="AN863" s="242"/>
      <c r="AO863" s="242"/>
    </row>
    <row r="864">
      <c r="A864" s="242"/>
      <c r="B864" s="13"/>
      <c r="C864" s="242"/>
      <c r="D864" s="242"/>
      <c r="E864" s="242"/>
      <c r="F864" s="242"/>
      <c r="G864" s="13"/>
      <c r="H864" s="13"/>
      <c r="I864" s="13"/>
      <c r="J864" s="13"/>
      <c r="K864" s="13"/>
      <c r="L864" s="242"/>
      <c r="M864" s="242"/>
      <c r="N864" s="242"/>
      <c r="O864" s="242"/>
      <c r="P864" s="242"/>
      <c r="Q864" s="525"/>
      <c r="R864" s="242"/>
      <c r="S864" s="242"/>
      <c r="T864" s="242"/>
      <c r="U864" s="242"/>
      <c r="V864" s="242"/>
      <c r="W864" s="242"/>
      <c r="X864" s="242"/>
      <c r="Y864" s="242"/>
      <c r="Z864" s="242"/>
      <c r="AA864" s="242"/>
      <c r="AB864" s="242"/>
      <c r="AC864" s="242"/>
      <c r="AD864" s="242"/>
      <c r="AE864" s="242"/>
      <c r="AF864" s="242"/>
      <c r="AG864" s="242"/>
      <c r="AH864" s="242"/>
      <c r="AI864" s="242"/>
      <c r="AJ864" s="13"/>
      <c r="AK864" s="242"/>
      <c r="AL864" s="242"/>
      <c r="AM864" s="242"/>
      <c r="AN864" s="242"/>
      <c r="AO864" s="242"/>
    </row>
    <row r="865">
      <c r="A865" s="242"/>
      <c r="B865" s="13"/>
      <c r="C865" s="242"/>
      <c r="D865" s="242"/>
      <c r="E865" s="242"/>
      <c r="F865" s="242"/>
      <c r="G865" s="13"/>
      <c r="H865" s="13"/>
      <c r="I865" s="13"/>
      <c r="J865" s="13"/>
      <c r="K865" s="13"/>
      <c r="L865" s="242"/>
      <c r="M865" s="242"/>
      <c r="N865" s="242"/>
      <c r="O865" s="242"/>
      <c r="P865" s="242"/>
      <c r="Q865" s="525"/>
      <c r="R865" s="242"/>
      <c r="S865" s="242"/>
      <c r="T865" s="242"/>
      <c r="U865" s="242"/>
      <c r="V865" s="242"/>
      <c r="W865" s="242"/>
      <c r="X865" s="242"/>
      <c r="Y865" s="242"/>
      <c r="Z865" s="242"/>
      <c r="AA865" s="242"/>
      <c r="AB865" s="242"/>
      <c r="AC865" s="242"/>
      <c r="AD865" s="242"/>
      <c r="AE865" s="242"/>
      <c r="AF865" s="242"/>
      <c r="AG865" s="242"/>
      <c r="AH865" s="242"/>
      <c r="AI865" s="242"/>
      <c r="AJ865" s="13"/>
      <c r="AK865" s="242"/>
      <c r="AL865" s="242"/>
      <c r="AM865" s="242"/>
      <c r="AN865" s="242"/>
      <c r="AO865" s="242"/>
    </row>
    <row r="866">
      <c r="A866" s="242"/>
      <c r="B866" s="13"/>
      <c r="C866" s="242"/>
      <c r="D866" s="242"/>
      <c r="E866" s="242"/>
      <c r="F866" s="242"/>
      <c r="G866" s="13"/>
      <c r="H866" s="13"/>
      <c r="I866" s="13"/>
      <c r="J866" s="13"/>
      <c r="K866" s="13"/>
      <c r="L866" s="242"/>
      <c r="M866" s="242"/>
      <c r="N866" s="242"/>
      <c r="O866" s="242"/>
      <c r="P866" s="242"/>
      <c r="Q866" s="525"/>
      <c r="R866" s="242"/>
      <c r="S866" s="242"/>
      <c r="T866" s="242"/>
      <c r="U866" s="242"/>
      <c r="V866" s="242"/>
      <c r="W866" s="242"/>
      <c r="X866" s="242"/>
      <c r="Y866" s="242"/>
      <c r="Z866" s="242"/>
      <c r="AA866" s="242"/>
      <c r="AB866" s="242"/>
      <c r="AC866" s="242"/>
      <c r="AD866" s="242"/>
      <c r="AE866" s="242"/>
      <c r="AF866" s="242"/>
      <c r="AG866" s="242"/>
      <c r="AH866" s="242"/>
      <c r="AI866" s="242"/>
      <c r="AJ866" s="13"/>
      <c r="AK866" s="242"/>
      <c r="AL866" s="242"/>
      <c r="AM866" s="242"/>
      <c r="AN866" s="242"/>
      <c r="AO866" s="242"/>
    </row>
    <row r="867">
      <c r="A867" s="242"/>
      <c r="B867" s="13"/>
      <c r="C867" s="242"/>
      <c r="D867" s="242"/>
      <c r="E867" s="242"/>
      <c r="F867" s="242"/>
      <c r="G867" s="13"/>
      <c r="H867" s="13"/>
      <c r="I867" s="13"/>
      <c r="J867" s="13"/>
      <c r="K867" s="13"/>
      <c r="L867" s="242"/>
      <c r="M867" s="242"/>
      <c r="N867" s="242"/>
      <c r="O867" s="242"/>
      <c r="P867" s="242"/>
      <c r="Q867" s="525"/>
      <c r="R867" s="242"/>
      <c r="S867" s="242"/>
      <c r="T867" s="242"/>
      <c r="U867" s="242"/>
      <c r="V867" s="242"/>
      <c r="W867" s="242"/>
      <c r="X867" s="242"/>
      <c r="Y867" s="242"/>
      <c r="Z867" s="242"/>
      <c r="AA867" s="242"/>
      <c r="AB867" s="242"/>
      <c r="AC867" s="242"/>
      <c r="AD867" s="242"/>
      <c r="AE867" s="242"/>
      <c r="AF867" s="242"/>
      <c r="AG867" s="242"/>
      <c r="AH867" s="242"/>
      <c r="AI867" s="242"/>
      <c r="AJ867" s="13"/>
      <c r="AK867" s="242"/>
      <c r="AL867" s="242"/>
      <c r="AM867" s="242"/>
      <c r="AN867" s="242"/>
      <c r="AO867" s="242"/>
    </row>
    <row r="868">
      <c r="A868" s="242"/>
      <c r="B868" s="13"/>
      <c r="C868" s="242"/>
      <c r="D868" s="242"/>
      <c r="E868" s="242"/>
      <c r="F868" s="242"/>
      <c r="G868" s="13"/>
      <c r="H868" s="13"/>
      <c r="I868" s="13"/>
      <c r="J868" s="13"/>
      <c r="K868" s="13"/>
      <c r="L868" s="242"/>
      <c r="M868" s="242"/>
      <c r="N868" s="242"/>
      <c r="O868" s="242"/>
      <c r="P868" s="242"/>
      <c r="Q868" s="525"/>
      <c r="R868" s="242"/>
      <c r="S868" s="242"/>
      <c r="T868" s="242"/>
      <c r="U868" s="242"/>
      <c r="V868" s="242"/>
      <c r="W868" s="242"/>
      <c r="X868" s="242"/>
      <c r="Y868" s="242"/>
      <c r="Z868" s="242"/>
      <c r="AA868" s="242"/>
      <c r="AB868" s="242"/>
      <c r="AC868" s="242"/>
      <c r="AD868" s="242"/>
      <c r="AE868" s="242"/>
      <c r="AF868" s="242"/>
      <c r="AG868" s="242"/>
      <c r="AH868" s="242"/>
      <c r="AI868" s="242"/>
      <c r="AJ868" s="13"/>
      <c r="AK868" s="242"/>
      <c r="AL868" s="242"/>
      <c r="AM868" s="242"/>
      <c r="AN868" s="242"/>
      <c r="AO868" s="242"/>
    </row>
    <row r="869">
      <c r="A869" s="242"/>
      <c r="B869" s="13"/>
      <c r="C869" s="242"/>
      <c r="D869" s="242"/>
      <c r="E869" s="242"/>
      <c r="F869" s="242"/>
      <c r="G869" s="13"/>
      <c r="H869" s="13"/>
      <c r="I869" s="13"/>
      <c r="J869" s="13"/>
      <c r="K869" s="13"/>
      <c r="L869" s="242"/>
      <c r="M869" s="242"/>
      <c r="N869" s="242"/>
      <c r="O869" s="242"/>
      <c r="P869" s="242"/>
      <c r="Q869" s="525"/>
      <c r="R869" s="242"/>
      <c r="S869" s="242"/>
      <c r="T869" s="242"/>
      <c r="U869" s="242"/>
      <c r="V869" s="242"/>
      <c r="W869" s="242"/>
      <c r="X869" s="242"/>
      <c r="Y869" s="242"/>
      <c r="Z869" s="242"/>
      <c r="AA869" s="242"/>
      <c r="AB869" s="242"/>
      <c r="AC869" s="242"/>
      <c r="AD869" s="242"/>
      <c r="AE869" s="242"/>
      <c r="AF869" s="242"/>
      <c r="AG869" s="242"/>
      <c r="AH869" s="242"/>
      <c r="AI869" s="242"/>
      <c r="AJ869" s="13"/>
      <c r="AK869" s="242"/>
      <c r="AL869" s="242"/>
      <c r="AM869" s="242"/>
      <c r="AN869" s="242"/>
      <c r="AO869" s="242"/>
    </row>
    <row r="870">
      <c r="A870" s="242"/>
      <c r="B870" s="13"/>
      <c r="C870" s="242"/>
      <c r="D870" s="242"/>
      <c r="E870" s="242"/>
      <c r="F870" s="242"/>
      <c r="G870" s="13"/>
      <c r="H870" s="13"/>
      <c r="I870" s="13"/>
      <c r="J870" s="13"/>
      <c r="K870" s="13"/>
      <c r="L870" s="242"/>
      <c r="M870" s="242"/>
      <c r="N870" s="242"/>
      <c r="O870" s="242"/>
      <c r="P870" s="242"/>
      <c r="Q870" s="525"/>
      <c r="R870" s="242"/>
      <c r="S870" s="242"/>
      <c r="T870" s="242"/>
      <c r="U870" s="242"/>
      <c r="V870" s="242"/>
      <c r="W870" s="242"/>
      <c r="X870" s="242"/>
      <c r="Y870" s="242"/>
      <c r="Z870" s="242"/>
      <c r="AA870" s="242"/>
      <c r="AB870" s="242"/>
      <c r="AC870" s="242"/>
      <c r="AD870" s="242"/>
      <c r="AE870" s="242"/>
      <c r="AF870" s="242"/>
      <c r="AG870" s="242"/>
      <c r="AH870" s="242"/>
      <c r="AI870" s="242"/>
      <c r="AJ870" s="13"/>
      <c r="AK870" s="242"/>
      <c r="AL870" s="242"/>
      <c r="AM870" s="242"/>
      <c r="AN870" s="242"/>
      <c r="AO870" s="242"/>
    </row>
    <row r="871">
      <c r="A871" s="242"/>
      <c r="B871" s="13"/>
      <c r="C871" s="242"/>
      <c r="D871" s="242"/>
      <c r="E871" s="242"/>
      <c r="F871" s="242"/>
      <c r="G871" s="13"/>
      <c r="H871" s="13"/>
      <c r="I871" s="13"/>
      <c r="J871" s="13"/>
      <c r="K871" s="13"/>
      <c r="L871" s="242"/>
      <c r="M871" s="242"/>
      <c r="N871" s="242"/>
      <c r="O871" s="242"/>
      <c r="P871" s="242"/>
      <c r="Q871" s="525"/>
      <c r="R871" s="242"/>
      <c r="S871" s="242"/>
      <c r="T871" s="242"/>
      <c r="U871" s="242"/>
      <c r="V871" s="242"/>
      <c r="W871" s="242"/>
      <c r="X871" s="242"/>
      <c r="Y871" s="242"/>
      <c r="Z871" s="242"/>
      <c r="AA871" s="242"/>
      <c r="AB871" s="242"/>
      <c r="AC871" s="242"/>
      <c r="AD871" s="242"/>
      <c r="AE871" s="242"/>
      <c r="AF871" s="242"/>
      <c r="AG871" s="242"/>
      <c r="AH871" s="242"/>
      <c r="AI871" s="242"/>
      <c r="AJ871" s="13"/>
      <c r="AK871" s="242"/>
      <c r="AL871" s="242"/>
      <c r="AM871" s="242"/>
      <c r="AN871" s="242"/>
      <c r="AO871" s="242"/>
    </row>
    <row r="872">
      <c r="A872" s="242"/>
      <c r="B872" s="13"/>
      <c r="C872" s="242"/>
      <c r="D872" s="242"/>
      <c r="E872" s="242"/>
      <c r="F872" s="242"/>
      <c r="G872" s="13"/>
      <c r="H872" s="13"/>
      <c r="I872" s="13"/>
      <c r="J872" s="13"/>
      <c r="K872" s="13"/>
      <c r="L872" s="242"/>
      <c r="M872" s="242"/>
      <c r="N872" s="242"/>
      <c r="O872" s="242"/>
      <c r="P872" s="242"/>
      <c r="Q872" s="525"/>
      <c r="R872" s="242"/>
      <c r="S872" s="242"/>
      <c r="T872" s="242"/>
      <c r="U872" s="242"/>
      <c r="V872" s="242"/>
      <c r="W872" s="242"/>
      <c r="X872" s="242"/>
      <c r="Y872" s="242"/>
      <c r="Z872" s="242"/>
      <c r="AA872" s="242"/>
      <c r="AB872" s="242"/>
      <c r="AC872" s="242"/>
      <c r="AD872" s="242"/>
      <c r="AE872" s="242"/>
      <c r="AF872" s="242"/>
      <c r="AG872" s="242"/>
      <c r="AH872" s="242"/>
      <c r="AI872" s="242"/>
      <c r="AJ872" s="13"/>
      <c r="AK872" s="242"/>
      <c r="AL872" s="242"/>
      <c r="AM872" s="242"/>
      <c r="AN872" s="242"/>
      <c r="AO872" s="242"/>
    </row>
    <row r="873">
      <c r="A873" s="242"/>
      <c r="B873" s="13"/>
      <c r="C873" s="242"/>
      <c r="D873" s="242"/>
      <c r="E873" s="242"/>
      <c r="F873" s="242"/>
      <c r="G873" s="13"/>
      <c r="H873" s="13"/>
      <c r="I873" s="13"/>
      <c r="J873" s="13"/>
      <c r="K873" s="13"/>
      <c r="L873" s="242"/>
      <c r="M873" s="242"/>
      <c r="N873" s="242"/>
      <c r="O873" s="242"/>
      <c r="P873" s="242"/>
      <c r="Q873" s="525"/>
      <c r="R873" s="242"/>
      <c r="S873" s="242"/>
      <c r="T873" s="242"/>
      <c r="U873" s="242"/>
      <c r="V873" s="242"/>
      <c r="W873" s="242"/>
      <c r="X873" s="242"/>
      <c r="Y873" s="242"/>
      <c r="Z873" s="242"/>
      <c r="AA873" s="242"/>
      <c r="AB873" s="242"/>
      <c r="AC873" s="242"/>
      <c r="AD873" s="242"/>
      <c r="AE873" s="242"/>
      <c r="AF873" s="242"/>
      <c r="AG873" s="242"/>
      <c r="AH873" s="242"/>
      <c r="AI873" s="242"/>
      <c r="AJ873" s="13"/>
      <c r="AK873" s="242"/>
      <c r="AL873" s="242"/>
      <c r="AM873" s="242"/>
      <c r="AN873" s="242"/>
      <c r="AO873" s="242"/>
    </row>
    <row r="874">
      <c r="A874" s="242"/>
      <c r="B874" s="13"/>
      <c r="C874" s="242"/>
      <c r="D874" s="242"/>
      <c r="E874" s="242"/>
      <c r="F874" s="242"/>
      <c r="G874" s="13"/>
      <c r="H874" s="13"/>
      <c r="I874" s="13"/>
      <c r="J874" s="13"/>
      <c r="K874" s="13"/>
      <c r="L874" s="242"/>
      <c r="M874" s="242"/>
      <c r="N874" s="242"/>
      <c r="O874" s="242"/>
      <c r="P874" s="242"/>
      <c r="Q874" s="525"/>
      <c r="R874" s="242"/>
      <c r="S874" s="242"/>
      <c r="T874" s="242"/>
      <c r="U874" s="242"/>
      <c r="V874" s="242"/>
      <c r="W874" s="242"/>
      <c r="X874" s="242"/>
      <c r="Y874" s="242"/>
      <c r="Z874" s="242"/>
      <c r="AA874" s="242"/>
      <c r="AB874" s="242"/>
      <c r="AC874" s="242"/>
      <c r="AD874" s="242"/>
      <c r="AE874" s="242"/>
      <c r="AF874" s="242"/>
      <c r="AG874" s="242"/>
      <c r="AH874" s="242"/>
      <c r="AI874" s="242"/>
      <c r="AJ874" s="13"/>
      <c r="AK874" s="242"/>
      <c r="AL874" s="242"/>
      <c r="AM874" s="242"/>
      <c r="AN874" s="242"/>
      <c r="AO874" s="242"/>
    </row>
    <row r="875">
      <c r="A875" s="242"/>
      <c r="B875" s="13"/>
      <c r="C875" s="242"/>
      <c r="D875" s="242"/>
      <c r="E875" s="242"/>
      <c r="F875" s="242"/>
      <c r="G875" s="13"/>
      <c r="H875" s="13"/>
      <c r="I875" s="13"/>
      <c r="J875" s="13"/>
      <c r="K875" s="13"/>
      <c r="L875" s="242"/>
      <c r="M875" s="242"/>
      <c r="N875" s="242"/>
      <c r="O875" s="242"/>
      <c r="P875" s="242"/>
      <c r="Q875" s="525"/>
      <c r="R875" s="242"/>
      <c r="S875" s="242"/>
      <c r="T875" s="242"/>
      <c r="U875" s="242"/>
      <c r="V875" s="242"/>
      <c r="W875" s="242"/>
      <c r="X875" s="242"/>
      <c r="Y875" s="242"/>
      <c r="Z875" s="242"/>
      <c r="AA875" s="242"/>
      <c r="AB875" s="242"/>
      <c r="AC875" s="242"/>
      <c r="AD875" s="242"/>
      <c r="AE875" s="242"/>
      <c r="AF875" s="242"/>
      <c r="AG875" s="242"/>
      <c r="AH875" s="242"/>
      <c r="AI875" s="242"/>
      <c r="AJ875" s="13"/>
      <c r="AK875" s="242"/>
      <c r="AL875" s="242"/>
      <c r="AM875" s="242"/>
      <c r="AN875" s="242"/>
      <c r="AO875" s="242"/>
    </row>
    <row r="876">
      <c r="A876" s="242"/>
      <c r="B876" s="13"/>
      <c r="C876" s="242"/>
      <c r="D876" s="242"/>
      <c r="E876" s="242"/>
      <c r="F876" s="242"/>
      <c r="G876" s="13"/>
      <c r="H876" s="13"/>
      <c r="I876" s="13"/>
      <c r="J876" s="13"/>
      <c r="K876" s="13"/>
      <c r="L876" s="242"/>
      <c r="M876" s="242"/>
      <c r="N876" s="242"/>
      <c r="O876" s="242"/>
      <c r="P876" s="242"/>
      <c r="Q876" s="525"/>
      <c r="R876" s="242"/>
      <c r="S876" s="242"/>
      <c r="T876" s="242"/>
      <c r="U876" s="242"/>
      <c r="V876" s="242"/>
      <c r="W876" s="242"/>
      <c r="X876" s="242"/>
      <c r="Y876" s="242"/>
      <c r="Z876" s="242"/>
      <c r="AA876" s="242"/>
      <c r="AB876" s="242"/>
      <c r="AC876" s="242"/>
      <c r="AD876" s="242"/>
      <c r="AE876" s="242"/>
      <c r="AF876" s="242"/>
      <c r="AG876" s="242"/>
      <c r="AH876" s="242"/>
      <c r="AI876" s="242"/>
      <c r="AJ876" s="13"/>
      <c r="AK876" s="242"/>
      <c r="AL876" s="242"/>
      <c r="AM876" s="242"/>
      <c r="AN876" s="242"/>
      <c r="AO876" s="242"/>
    </row>
    <row r="877">
      <c r="A877" s="242"/>
      <c r="B877" s="13"/>
      <c r="C877" s="242"/>
      <c r="D877" s="242"/>
      <c r="E877" s="242"/>
      <c r="F877" s="242"/>
      <c r="G877" s="13"/>
      <c r="H877" s="13"/>
      <c r="I877" s="13"/>
      <c r="J877" s="13"/>
      <c r="K877" s="13"/>
      <c r="L877" s="242"/>
      <c r="M877" s="242"/>
      <c r="N877" s="242"/>
      <c r="O877" s="242"/>
      <c r="P877" s="242"/>
      <c r="Q877" s="525"/>
      <c r="R877" s="242"/>
      <c r="S877" s="242"/>
      <c r="T877" s="242"/>
      <c r="U877" s="242"/>
      <c r="V877" s="242"/>
      <c r="W877" s="242"/>
      <c r="X877" s="242"/>
      <c r="Y877" s="242"/>
      <c r="Z877" s="242"/>
      <c r="AA877" s="242"/>
      <c r="AB877" s="242"/>
      <c r="AC877" s="242"/>
      <c r="AD877" s="242"/>
      <c r="AE877" s="242"/>
      <c r="AF877" s="242"/>
      <c r="AG877" s="242"/>
      <c r="AH877" s="242"/>
      <c r="AI877" s="242"/>
      <c r="AJ877" s="13"/>
      <c r="AK877" s="242"/>
      <c r="AL877" s="242"/>
      <c r="AM877" s="242"/>
      <c r="AN877" s="242"/>
      <c r="AO877" s="242"/>
    </row>
    <row r="878">
      <c r="A878" s="242"/>
      <c r="B878" s="13"/>
      <c r="C878" s="242"/>
      <c r="D878" s="242"/>
      <c r="E878" s="242"/>
      <c r="F878" s="242"/>
      <c r="G878" s="13"/>
      <c r="H878" s="13"/>
      <c r="I878" s="13"/>
      <c r="J878" s="13"/>
      <c r="K878" s="13"/>
      <c r="L878" s="242"/>
      <c r="M878" s="242"/>
      <c r="N878" s="242"/>
      <c r="O878" s="242"/>
      <c r="P878" s="242"/>
      <c r="Q878" s="525"/>
      <c r="R878" s="242"/>
      <c r="S878" s="242"/>
      <c r="T878" s="242"/>
      <c r="U878" s="242"/>
      <c r="V878" s="242"/>
      <c r="W878" s="242"/>
      <c r="X878" s="242"/>
      <c r="Y878" s="242"/>
      <c r="Z878" s="242"/>
      <c r="AA878" s="242"/>
      <c r="AB878" s="242"/>
      <c r="AC878" s="242"/>
      <c r="AD878" s="242"/>
      <c r="AE878" s="242"/>
      <c r="AF878" s="242"/>
      <c r="AG878" s="242"/>
      <c r="AH878" s="242"/>
      <c r="AI878" s="242"/>
      <c r="AJ878" s="13"/>
      <c r="AK878" s="242"/>
      <c r="AL878" s="242"/>
      <c r="AM878" s="242"/>
      <c r="AN878" s="242"/>
      <c r="AO878" s="242"/>
    </row>
    <row r="879">
      <c r="A879" s="242"/>
      <c r="B879" s="13"/>
      <c r="C879" s="242"/>
      <c r="D879" s="242"/>
      <c r="E879" s="242"/>
      <c r="F879" s="242"/>
      <c r="G879" s="13"/>
      <c r="H879" s="13"/>
      <c r="I879" s="13"/>
      <c r="J879" s="13"/>
      <c r="K879" s="13"/>
      <c r="L879" s="242"/>
      <c r="M879" s="242"/>
      <c r="N879" s="242"/>
      <c r="O879" s="242"/>
      <c r="P879" s="242"/>
      <c r="Q879" s="525"/>
      <c r="R879" s="242"/>
      <c r="S879" s="242"/>
      <c r="T879" s="242"/>
      <c r="U879" s="242"/>
      <c r="V879" s="242"/>
      <c r="W879" s="242"/>
      <c r="X879" s="242"/>
      <c r="Y879" s="242"/>
      <c r="Z879" s="242"/>
      <c r="AA879" s="242"/>
      <c r="AB879" s="242"/>
      <c r="AC879" s="242"/>
      <c r="AD879" s="242"/>
      <c r="AE879" s="242"/>
      <c r="AF879" s="242"/>
      <c r="AG879" s="242"/>
      <c r="AH879" s="242"/>
      <c r="AI879" s="242"/>
      <c r="AJ879" s="13"/>
      <c r="AK879" s="242"/>
      <c r="AL879" s="242"/>
      <c r="AM879" s="242"/>
      <c r="AN879" s="242"/>
      <c r="AO879" s="242"/>
    </row>
    <row r="880">
      <c r="A880" s="242"/>
      <c r="B880" s="13"/>
      <c r="C880" s="242"/>
      <c r="D880" s="242"/>
      <c r="E880" s="242"/>
      <c r="F880" s="242"/>
      <c r="G880" s="13"/>
      <c r="H880" s="13"/>
      <c r="I880" s="13"/>
      <c r="J880" s="13"/>
      <c r="K880" s="13"/>
      <c r="L880" s="242"/>
      <c r="M880" s="242"/>
      <c r="N880" s="242"/>
      <c r="O880" s="242"/>
      <c r="P880" s="242"/>
      <c r="Q880" s="525"/>
      <c r="R880" s="242"/>
      <c r="S880" s="242"/>
      <c r="T880" s="242"/>
      <c r="U880" s="242"/>
      <c r="V880" s="242"/>
      <c r="W880" s="242"/>
      <c r="X880" s="242"/>
      <c r="Y880" s="242"/>
      <c r="Z880" s="242"/>
      <c r="AA880" s="242"/>
      <c r="AB880" s="242"/>
      <c r="AC880" s="242"/>
      <c r="AD880" s="242"/>
      <c r="AE880" s="242"/>
      <c r="AF880" s="242"/>
      <c r="AG880" s="242"/>
      <c r="AH880" s="242"/>
      <c r="AI880" s="242"/>
      <c r="AJ880" s="13"/>
      <c r="AK880" s="242"/>
      <c r="AL880" s="242"/>
      <c r="AM880" s="242"/>
      <c r="AN880" s="242"/>
      <c r="AO880" s="242"/>
    </row>
    <row r="881">
      <c r="A881" s="242"/>
      <c r="B881" s="13"/>
      <c r="C881" s="242"/>
      <c r="D881" s="242"/>
      <c r="E881" s="242"/>
      <c r="F881" s="242"/>
      <c r="G881" s="13"/>
      <c r="H881" s="13"/>
      <c r="I881" s="13"/>
      <c r="J881" s="13"/>
      <c r="K881" s="13"/>
      <c r="L881" s="242"/>
      <c r="M881" s="242"/>
      <c r="N881" s="242"/>
      <c r="O881" s="242"/>
      <c r="P881" s="242"/>
      <c r="Q881" s="525"/>
      <c r="R881" s="242"/>
      <c r="S881" s="242"/>
      <c r="T881" s="242"/>
      <c r="U881" s="242"/>
      <c r="V881" s="242"/>
      <c r="W881" s="242"/>
      <c r="X881" s="242"/>
      <c r="Y881" s="242"/>
      <c r="Z881" s="242"/>
      <c r="AA881" s="242"/>
      <c r="AB881" s="242"/>
      <c r="AC881" s="242"/>
      <c r="AD881" s="242"/>
      <c r="AE881" s="242"/>
      <c r="AF881" s="242"/>
      <c r="AG881" s="242"/>
      <c r="AH881" s="242"/>
      <c r="AI881" s="242"/>
      <c r="AJ881" s="13"/>
      <c r="AK881" s="242"/>
      <c r="AL881" s="242"/>
      <c r="AM881" s="242"/>
      <c r="AN881" s="242"/>
      <c r="AO881" s="242"/>
    </row>
    <row r="882">
      <c r="A882" s="242"/>
      <c r="B882" s="13"/>
      <c r="C882" s="242"/>
      <c r="D882" s="242"/>
      <c r="E882" s="242"/>
      <c r="F882" s="242"/>
      <c r="G882" s="13"/>
      <c r="H882" s="13"/>
      <c r="I882" s="13"/>
      <c r="J882" s="13"/>
      <c r="K882" s="13"/>
      <c r="L882" s="242"/>
      <c r="M882" s="242"/>
      <c r="N882" s="242"/>
      <c r="O882" s="242"/>
      <c r="P882" s="242"/>
      <c r="Q882" s="525"/>
      <c r="R882" s="242"/>
      <c r="S882" s="242"/>
      <c r="T882" s="242"/>
      <c r="U882" s="242"/>
      <c r="V882" s="242"/>
      <c r="W882" s="242"/>
      <c r="X882" s="242"/>
      <c r="Y882" s="242"/>
      <c r="Z882" s="242"/>
      <c r="AA882" s="242"/>
      <c r="AB882" s="242"/>
      <c r="AC882" s="242"/>
      <c r="AD882" s="242"/>
      <c r="AE882" s="242"/>
      <c r="AF882" s="242"/>
      <c r="AG882" s="242"/>
      <c r="AH882" s="242"/>
      <c r="AI882" s="242"/>
      <c r="AJ882" s="13"/>
      <c r="AK882" s="242"/>
      <c r="AL882" s="242"/>
      <c r="AM882" s="242"/>
      <c r="AN882" s="242"/>
      <c r="AO882" s="242"/>
    </row>
    <row r="883">
      <c r="A883" s="242"/>
      <c r="B883" s="13"/>
      <c r="C883" s="242"/>
      <c r="D883" s="242"/>
      <c r="E883" s="242"/>
      <c r="F883" s="242"/>
      <c r="G883" s="13"/>
      <c r="H883" s="13"/>
      <c r="I883" s="13"/>
      <c r="J883" s="13"/>
      <c r="K883" s="13"/>
      <c r="L883" s="242"/>
      <c r="M883" s="242"/>
      <c r="N883" s="242"/>
      <c r="O883" s="242"/>
      <c r="P883" s="242"/>
      <c r="Q883" s="525"/>
      <c r="R883" s="242"/>
      <c r="S883" s="242"/>
      <c r="T883" s="242"/>
      <c r="U883" s="242"/>
      <c r="V883" s="242"/>
      <c r="W883" s="242"/>
      <c r="X883" s="242"/>
      <c r="Y883" s="242"/>
      <c r="Z883" s="242"/>
      <c r="AA883" s="242"/>
      <c r="AB883" s="242"/>
      <c r="AC883" s="242"/>
      <c r="AD883" s="242"/>
      <c r="AE883" s="242"/>
      <c r="AF883" s="242"/>
      <c r="AG883" s="242"/>
      <c r="AH883" s="242"/>
      <c r="AI883" s="242"/>
      <c r="AJ883" s="13"/>
      <c r="AK883" s="242"/>
      <c r="AL883" s="242"/>
      <c r="AM883" s="242"/>
      <c r="AN883" s="242"/>
      <c r="AO883" s="242"/>
    </row>
    <row r="884">
      <c r="A884" s="242"/>
      <c r="B884" s="13"/>
      <c r="C884" s="242"/>
      <c r="D884" s="242"/>
      <c r="E884" s="242"/>
      <c r="F884" s="242"/>
      <c r="G884" s="13"/>
      <c r="H884" s="13"/>
      <c r="I884" s="13"/>
      <c r="J884" s="13"/>
      <c r="K884" s="13"/>
      <c r="L884" s="242"/>
      <c r="M884" s="242"/>
      <c r="N884" s="242"/>
      <c r="O884" s="242"/>
      <c r="P884" s="242"/>
      <c r="Q884" s="525"/>
      <c r="R884" s="242"/>
      <c r="S884" s="242"/>
      <c r="T884" s="242"/>
      <c r="U884" s="242"/>
      <c r="V884" s="242"/>
      <c r="W884" s="242"/>
      <c r="X884" s="242"/>
      <c r="Y884" s="242"/>
      <c r="Z884" s="242"/>
      <c r="AA884" s="242"/>
      <c r="AB884" s="242"/>
      <c r="AC884" s="242"/>
      <c r="AD884" s="242"/>
      <c r="AE884" s="242"/>
      <c r="AF884" s="242"/>
      <c r="AG884" s="242"/>
      <c r="AH884" s="242"/>
      <c r="AI884" s="242"/>
      <c r="AJ884" s="13"/>
      <c r="AK884" s="242"/>
      <c r="AL884" s="242"/>
      <c r="AM884" s="242"/>
      <c r="AN884" s="242"/>
      <c r="AO884" s="242"/>
    </row>
    <row r="885">
      <c r="A885" s="242"/>
      <c r="B885" s="13"/>
      <c r="C885" s="242"/>
      <c r="D885" s="242"/>
      <c r="E885" s="242"/>
      <c r="F885" s="242"/>
      <c r="G885" s="13"/>
      <c r="H885" s="13"/>
      <c r="I885" s="13"/>
      <c r="J885" s="13"/>
      <c r="K885" s="13"/>
      <c r="L885" s="242"/>
      <c r="M885" s="242"/>
      <c r="N885" s="242"/>
      <c r="O885" s="242"/>
      <c r="P885" s="242"/>
      <c r="Q885" s="525"/>
      <c r="R885" s="242"/>
      <c r="S885" s="242"/>
      <c r="T885" s="242"/>
      <c r="U885" s="242"/>
      <c r="V885" s="242"/>
      <c r="W885" s="242"/>
      <c r="X885" s="242"/>
      <c r="Y885" s="242"/>
      <c r="Z885" s="242"/>
      <c r="AA885" s="242"/>
      <c r="AB885" s="242"/>
      <c r="AC885" s="242"/>
      <c r="AD885" s="242"/>
      <c r="AE885" s="242"/>
      <c r="AF885" s="242"/>
      <c r="AG885" s="242"/>
      <c r="AH885" s="242"/>
      <c r="AI885" s="242"/>
      <c r="AJ885" s="13"/>
      <c r="AK885" s="242"/>
      <c r="AL885" s="242"/>
      <c r="AM885" s="242"/>
      <c r="AN885" s="242"/>
      <c r="AO885" s="242"/>
    </row>
    <row r="886">
      <c r="A886" s="242"/>
      <c r="B886" s="13"/>
      <c r="C886" s="242"/>
      <c r="D886" s="242"/>
      <c r="E886" s="242"/>
      <c r="F886" s="242"/>
      <c r="G886" s="13"/>
      <c r="H886" s="13"/>
      <c r="I886" s="13"/>
      <c r="J886" s="13"/>
      <c r="K886" s="13"/>
      <c r="L886" s="242"/>
      <c r="M886" s="242"/>
      <c r="N886" s="242"/>
      <c r="O886" s="242"/>
      <c r="P886" s="242"/>
      <c r="Q886" s="525"/>
      <c r="R886" s="242"/>
      <c r="S886" s="242"/>
      <c r="T886" s="242"/>
      <c r="U886" s="242"/>
      <c r="V886" s="242"/>
      <c r="W886" s="242"/>
      <c r="X886" s="242"/>
      <c r="Y886" s="242"/>
      <c r="Z886" s="242"/>
      <c r="AA886" s="242"/>
      <c r="AB886" s="242"/>
      <c r="AC886" s="242"/>
      <c r="AD886" s="242"/>
      <c r="AE886" s="242"/>
      <c r="AF886" s="242"/>
      <c r="AG886" s="242"/>
      <c r="AH886" s="242"/>
      <c r="AI886" s="242"/>
      <c r="AJ886" s="13"/>
      <c r="AK886" s="242"/>
      <c r="AL886" s="242"/>
      <c r="AM886" s="242"/>
      <c r="AN886" s="242"/>
      <c r="AO886" s="242"/>
    </row>
    <row r="887">
      <c r="A887" s="242"/>
      <c r="B887" s="13"/>
      <c r="C887" s="242"/>
      <c r="D887" s="242"/>
      <c r="E887" s="242"/>
      <c r="F887" s="242"/>
      <c r="G887" s="13"/>
      <c r="H887" s="13"/>
      <c r="I887" s="13"/>
      <c r="J887" s="13"/>
      <c r="K887" s="13"/>
      <c r="L887" s="242"/>
      <c r="M887" s="242"/>
      <c r="N887" s="242"/>
      <c r="O887" s="242"/>
      <c r="P887" s="242"/>
      <c r="Q887" s="525"/>
      <c r="R887" s="242"/>
      <c r="S887" s="242"/>
      <c r="T887" s="242"/>
      <c r="U887" s="242"/>
      <c r="V887" s="242"/>
      <c r="W887" s="242"/>
      <c r="X887" s="242"/>
      <c r="Y887" s="242"/>
      <c r="Z887" s="242"/>
      <c r="AA887" s="242"/>
      <c r="AB887" s="242"/>
      <c r="AC887" s="242"/>
      <c r="AD887" s="242"/>
      <c r="AE887" s="242"/>
      <c r="AF887" s="242"/>
      <c r="AG887" s="242"/>
      <c r="AH887" s="242"/>
      <c r="AI887" s="242"/>
      <c r="AJ887" s="13"/>
      <c r="AK887" s="242"/>
      <c r="AL887" s="242"/>
      <c r="AM887" s="242"/>
      <c r="AN887" s="242"/>
      <c r="AO887" s="242"/>
    </row>
    <row r="888">
      <c r="A888" s="242"/>
      <c r="B888" s="13"/>
      <c r="C888" s="242"/>
      <c r="D888" s="242"/>
      <c r="E888" s="242"/>
      <c r="F888" s="242"/>
      <c r="G888" s="13"/>
      <c r="H888" s="13"/>
      <c r="I888" s="13"/>
      <c r="J888" s="13"/>
      <c r="K888" s="13"/>
      <c r="L888" s="242"/>
      <c r="M888" s="242"/>
      <c r="N888" s="242"/>
      <c r="O888" s="242"/>
      <c r="P888" s="242"/>
      <c r="Q888" s="525"/>
      <c r="R888" s="242"/>
      <c r="S888" s="242"/>
      <c r="T888" s="242"/>
      <c r="U888" s="242"/>
      <c r="V888" s="242"/>
      <c r="W888" s="242"/>
      <c r="X888" s="242"/>
      <c r="Y888" s="242"/>
      <c r="Z888" s="242"/>
      <c r="AA888" s="242"/>
      <c r="AB888" s="242"/>
      <c r="AC888" s="242"/>
      <c r="AD888" s="242"/>
      <c r="AE888" s="242"/>
      <c r="AF888" s="242"/>
      <c r="AG888" s="242"/>
      <c r="AH888" s="242"/>
      <c r="AI888" s="242"/>
      <c r="AJ888" s="13"/>
      <c r="AK888" s="242"/>
      <c r="AL888" s="242"/>
      <c r="AM888" s="242"/>
      <c r="AN888" s="242"/>
      <c r="AO888" s="242"/>
    </row>
    <row r="889">
      <c r="A889" s="242"/>
      <c r="B889" s="13"/>
      <c r="C889" s="242"/>
      <c r="D889" s="242"/>
      <c r="E889" s="242"/>
      <c r="F889" s="242"/>
      <c r="G889" s="13"/>
      <c r="H889" s="13"/>
      <c r="I889" s="13"/>
      <c r="J889" s="13"/>
      <c r="K889" s="13"/>
      <c r="L889" s="242"/>
      <c r="M889" s="242"/>
      <c r="N889" s="242"/>
      <c r="O889" s="242"/>
      <c r="P889" s="242"/>
      <c r="Q889" s="525"/>
      <c r="R889" s="242"/>
      <c r="S889" s="242"/>
      <c r="T889" s="242"/>
      <c r="U889" s="242"/>
      <c r="V889" s="242"/>
      <c r="W889" s="242"/>
      <c r="X889" s="242"/>
      <c r="Y889" s="242"/>
      <c r="Z889" s="242"/>
      <c r="AA889" s="242"/>
      <c r="AB889" s="242"/>
      <c r="AC889" s="242"/>
      <c r="AD889" s="242"/>
      <c r="AE889" s="242"/>
      <c r="AF889" s="242"/>
      <c r="AG889" s="242"/>
      <c r="AH889" s="242"/>
      <c r="AI889" s="242"/>
      <c r="AJ889" s="13"/>
      <c r="AK889" s="242"/>
      <c r="AL889" s="242"/>
      <c r="AM889" s="242"/>
      <c r="AN889" s="242"/>
      <c r="AO889" s="242"/>
    </row>
    <row r="890">
      <c r="A890" s="242"/>
      <c r="B890" s="13"/>
      <c r="C890" s="242"/>
      <c r="D890" s="242"/>
      <c r="E890" s="242"/>
      <c r="F890" s="242"/>
      <c r="G890" s="13"/>
      <c r="H890" s="13"/>
      <c r="I890" s="13"/>
      <c r="J890" s="13"/>
      <c r="K890" s="13"/>
      <c r="L890" s="242"/>
      <c r="M890" s="242"/>
      <c r="N890" s="242"/>
      <c r="O890" s="242"/>
      <c r="P890" s="242"/>
      <c r="Q890" s="525"/>
      <c r="R890" s="242"/>
      <c r="S890" s="242"/>
      <c r="T890" s="242"/>
      <c r="U890" s="242"/>
      <c r="V890" s="242"/>
      <c r="W890" s="242"/>
      <c r="X890" s="242"/>
      <c r="Y890" s="242"/>
      <c r="Z890" s="242"/>
      <c r="AA890" s="242"/>
      <c r="AB890" s="242"/>
      <c r="AC890" s="242"/>
      <c r="AD890" s="242"/>
      <c r="AE890" s="242"/>
      <c r="AF890" s="242"/>
      <c r="AG890" s="242"/>
      <c r="AH890" s="242"/>
      <c r="AI890" s="242"/>
      <c r="AJ890" s="13"/>
      <c r="AK890" s="242"/>
      <c r="AL890" s="242"/>
      <c r="AM890" s="242"/>
      <c r="AN890" s="242"/>
      <c r="AO890" s="242"/>
    </row>
    <row r="891">
      <c r="A891" s="242"/>
      <c r="B891" s="13"/>
      <c r="C891" s="242"/>
      <c r="D891" s="242"/>
      <c r="E891" s="242"/>
      <c r="F891" s="242"/>
      <c r="G891" s="13"/>
      <c r="H891" s="13"/>
      <c r="I891" s="13"/>
      <c r="J891" s="13"/>
      <c r="K891" s="13"/>
      <c r="L891" s="242"/>
      <c r="M891" s="242"/>
      <c r="N891" s="242"/>
      <c r="O891" s="242"/>
      <c r="P891" s="242"/>
      <c r="Q891" s="525"/>
      <c r="R891" s="242"/>
      <c r="S891" s="242"/>
      <c r="T891" s="242"/>
      <c r="U891" s="242"/>
      <c r="V891" s="242"/>
      <c r="W891" s="242"/>
      <c r="X891" s="242"/>
      <c r="Y891" s="242"/>
      <c r="Z891" s="242"/>
      <c r="AA891" s="242"/>
      <c r="AB891" s="242"/>
      <c r="AC891" s="242"/>
      <c r="AD891" s="242"/>
      <c r="AE891" s="242"/>
      <c r="AF891" s="242"/>
      <c r="AG891" s="242"/>
      <c r="AH891" s="242"/>
      <c r="AI891" s="242"/>
      <c r="AJ891" s="13"/>
      <c r="AK891" s="242"/>
      <c r="AL891" s="242"/>
      <c r="AM891" s="242"/>
      <c r="AN891" s="242"/>
      <c r="AO891" s="242"/>
    </row>
    <row r="892">
      <c r="A892" s="242"/>
      <c r="B892" s="13"/>
      <c r="C892" s="242"/>
      <c r="D892" s="242"/>
      <c r="E892" s="242"/>
      <c r="F892" s="242"/>
      <c r="G892" s="13"/>
      <c r="H892" s="13"/>
      <c r="I892" s="13"/>
      <c r="J892" s="13"/>
      <c r="K892" s="13"/>
      <c r="L892" s="242"/>
      <c r="M892" s="242"/>
      <c r="N892" s="242"/>
      <c r="O892" s="242"/>
      <c r="P892" s="242"/>
      <c r="Q892" s="525"/>
      <c r="R892" s="242"/>
      <c r="S892" s="242"/>
      <c r="T892" s="242"/>
      <c r="U892" s="242"/>
      <c r="V892" s="242"/>
      <c r="W892" s="242"/>
      <c r="X892" s="242"/>
      <c r="Y892" s="242"/>
      <c r="Z892" s="242"/>
      <c r="AA892" s="242"/>
      <c r="AB892" s="242"/>
      <c r="AC892" s="242"/>
      <c r="AD892" s="242"/>
      <c r="AE892" s="242"/>
      <c r="AF892" s="242"/>
      <c r="AG892" s="242"/>
      <c r="AH892" s="242"/>
      <c r="AI892" s="242"/>
      <c r="AJ892" s="13"/>
      <c r="AK892" s="242"/>
      <c r="AL892" s="242"/>
      <c r="AM892" s="242"/>
      <c r="AN892" s="242"/>
      <c r="AO892" s="242"/>
    </row>
    <row r="893">
      <c r="A893" s="242"/>
      <c r="B893" s="13"/>
      <c r="C893" s="242"/>
      <c r="D893" s="242"/>
      <c r="E893" s="242"/>
      <c r="F893" s="242"/>
      <c r="G893" s="13"/>
      <c r="H893" s="13"/>
      <c r="I893" s="13"/>
      <c r="J893" s="13"/>
      <c r="K893" s="13"/>
      <c r="L893" s="242"/>
      <c r="M893" s="242"/>
      <c r="N893" s="242"/>
      <c r="O893" s="242"/>
      <c r="P893" s="242"/>
      <c r="Q893" s="525"/>
      <c r="R893" s="242"/>
      <c r="S893" s="242"/>
      <c r="T893" s="242"/>
      <c r="U893" s="242"/>
      <c r="V893" s="242"/>
      <c r="W893" s="242"/>
      <c r="X893" s="242"/>
      <c r="Y893" s="242"/>
      <c r="Z893" s="242"/>
      <c r="AA893" s="242"/>
      <c r="AB893" s="242"/>
      <c r="AC893" s="242"/>
      <c r="AD893" s="242"/>
      <c r="AE893" s="242"/>
      <c r="AF893" s="242"/>
      <c r="AG893" s="242"/>
      <c r="AH893" s="242"/>
      <c r="AI893" s="242"/>
      <c r="AJ893" s="13"/>
      <c r="AK893" s="242"/>
      <c r="AL893" s="242"/>
      <c r="AM893" s="242"/>
      <c r="AN893" s="242"/>
      <c r="AO893" s="242"/>
    </row>
    <row r="894">
      <c r="A894" s="242"/>
      <c r="B894" s="13"/>
      <c r="C894" s="242"/>
      <c r="D894" s="242"/>
      <c r="E894" s="242"/>
      <c r="F894" s="242"/>
      <c r="G894" s="13"/>
      <c r="H894" s="13"/>
      <c r="I894" s="13"/>
      <c r="J894" s="13"/>
      <c r="K894" s="13"/>
      <c r="L894" s="242"/>
      <c r="M894" s="242"/>
      <c r="N894" s="242"/>
      <c r="O894" s="242"/>
      <c r="P894" s="242"/>
      <c r="Q894" s="525"/>
      <c r="R894" s="242"/>
      <c r="S894" s="242"/>
      <c r="T894" s="242"/>
      <c r="U894" s="242"/>
      <c r="V894" s="242"/>
      <c r="W894" s="242"/>
      <c r="X894" s="242"/>
      <c r="Y894" s="242"/>
      <c r="Z894" s="242"/>
      <c r="AA894" s="242"/>
      <c r="AB894" s="242"/>
      <c r="AC894" s="242"/>
      <c r="AD894" s="242"/>
      <c r="AE894" s="242"/>
      <c r="AF894" s="242"/>
      <c r="AG894" s="242"/>
      <c r="AH894" s="242"/>
      <c r="AI894" s="242"/>
      <c r="AJ894" s="13"/>
      <c r="AK894" s="242"/>
      <c r="AL894" s="242"/>
      <c r="AM894" s="242"/>
      <c r="AN894" s="242"/>
      <c r="AO894" s="242"/>
    </row>
    <row r="895">
      <c r="A895" s="242"/>
      <c r="B895" s="13"/>
      <c r="C895" s="242"/>
      <c r="D895" s="242"/>
      <c r="E895" s="242"/>
      <c r="F895" s="242"/>
      <c r="G895" s="13"/>
      <c r="H895" s="13"/>
      <c r="I895" s="13"/>
      <c r="J895" s="13"/>
      <c r="K895" s="13"/>
      <c r="L895" s="242"/>
      <c r="M895" s="242"/>
      <c r="N895" s="242"/>
      <c r="O895" s="242"/>
      <c r="P895" s="242"/>
      <c r="Q895" s="525"/>
      <c r="R895" s="242"/>
      <c r="S895" s="242"/>
      <c r="T895" s="242"/>
      <c r="U895" s="242"/>
      <c r="V895" s="242"/>
      <c r="W895" s="242"/>
      <c r="X895" s="242"/>
      <c r="Y895" s="242"/>
      <c r="Z895" s="242"/>
      <c r="AA895" s="242"/>
      <c r="AB895" s="242"/>
      <c r="AC895" s="242"/>
      <c r="AD895" s="242"/>
      <c r="AE895" s="242"/>
      <c r="AF895" s="242"/>
      <c r="AG895" s="242"/>
      <c r="AH895" s="242"/>
      <c r="AI895" s="242"/>
      <c r="AJ895" s="13"/>
      <c r="AK895" s="242"/>
      <c r="AL895" s="242"/>
      <c r="AM895" s="242"/>
      <c r="AN895" s="242"/>
      <c r="AO895" s="242"/>
    </row>
    <row r="896">
      <c r="A896" s="242"/>
      <c r="B896" s="13"/>
      <c r="C896" s="242"/>
      <c r="D896" s="242"/>
      <c r="E896" s="242"/>
      <c r="F896" s="242"/>
      <c r="G896" s="13"/>
      <c r="H896" s="13"/>
      <c r="I896" s="13"/>
      <c r="J896" s="13"/>
      <c r="K896" s="13"/>
      <c r="L896" s="242"/>
      <c r="M896" s="242"/>
      <c r="N896" s="242"/>
      <c r="O896" s="242"/>
      <c r="P896" s="242"/>
      <c r="Q896" s="525"/>
      <c r="R896" s="242"/>
      <c r="S896" s="242"/>
      <c r="T896" s="242"/>
      <c r="U896" s="242"/>
      <c r="V896" s="242"/>
      <c r="W896" s="242"/>
      <c r="X896" s="242"/>
      <c r="Y896" s="242"/>
      <c r="Z896" s="242"/>
      <c r="AA896" s="242"/>
      <c r="AB896" s="242"/>
      <c r="AC896" s="242"/>
      <c r="AD896" s="242"/>
      <c r="AE896" s="242"/>
      <c r="AF896" s="242"/>
      <c r="AG896" s="242"/>
      <c r="AH896" s="242"/>
      <c r="AI896" s="242"/>
      <c r="AJ896" s="13"/>
      <c r="AK896" s="242"/>
      <c r="AL896" s="242"/>
      <c r="AM896" s="242"/>
      <c r="AN896" s="242"/>
      <c r="AO896" s="242"/>
    </row>
    <row r="897">
      <c r="A897" s="242"/>
      <c r="B897" s="13"/>
      <c r="C897" s="242"/>
      <c r="D897" s="242"/>
      <c r="E897" s="242"/>
      <c r="F897" s="242"/>
      <c r="G897" s="13"/>
      <c r="H897" s="13"/>
      <c r="I897" s="13"/>
      <c r="J897" s="13"/>
      <c r="K897" s="13"/>
      <c r="L897" s="242"/>
      <c r="M897" s="242"/>
      <c r="N897" s="242"/>
      <c r="O897" s="242"/>
      <c r="P897" s="242"/>
      <c r="Q897" s="525"/>
      <c r="R897" s="242"/>
      <c r="S897" s="242"/>
      <c r="T897" s="242"/>
      <c r="U897" s="242"/>
      <c r="V897" s="242"/>
      <c r="W897" s="242"/>
      <c r="X897" s="242"/>
      <c r="Y897" s="242"/>
      <c r="Z897" s="242"/>
      <c r="AA897" s="242"/>
      <c r="AB897" s="242"/>
      <c r="AC897" s="242"/>
      <c r="AD897" s="242"/>
      <c r="AE897" s="242"/>
      <c r="AF897" s="242"/>
      <c r="AG897" s="242"/>
      <c r="AH897" s="242"/>
      <c r="AI897" s="242"/>
      <c r="AJ897" s="13"/>
      <c r="AK897" s="242"/>
      <c r="AL897" s="242"/>
      <c r="AM897" s="242"/>
      <c r="AN897" s="242"/>
      <c r="AO897" s="242"/>
    </row>
    <row r="898">
      <c r="A898" s="242"/>
      <c r="B898" s="13"/>
      <c r="C898" s="242"/>
      <c r="D898" s="242"/>
      <c r="E898" s="242"/>
      <c r="F898" s="242"/>
      <c r="G898" s="13"/>
      <c r="H898" s="13"/>
      <c r="I898" s="13"/>
      <c r="J898" s="13"/>
      <c r="K898" s="13"/>
      <c r="L898" s="242"/>
      <c r="M898" s="242"/>
      <c r="N898" s="242"/>
      <c r="O898" s="242"/>
      <c r="P898" s="242"/>
      <c r="Q898" s="525"/>
      <c r="R898" s="242"/>
      <c r="S898" s="242"/>
      <c r="T898" s="242"/>
      <c r="U898" s="242"/>
      <c r="V898" s="242"/>
      <c r="W898" s="242"/>
      <c r="X898" s="242"/>
      <c r="Y898" s="242"/>
      <c r="Z898" s="242"/>
      <c r="AA898" s="242"/>
      <c r="AB898" s="242"/>
      <c r="AC898" s="242"/>
      <c r="AD898" s="242"/>
      <c r="AE898" s="242"/>
      <c r="AF898" s="242"/>
      <c r="AG898" s="242"/>
      <c r="AH898" s="242"/>
      <c r="AI898" s="242"/>
      <c r="AJ898" s="13"/>
      <c r="AK898" s="242"/>
      <c r="AL898" s="242"/>
      <c r="AM898" s="242"/>
      <c r="AN898" s="242"/>
      <c r="AO898" s="242"/>
    </row>
    <row r="899">
      <c r="A899" s="242"/>
      <c r="B899" s="13"/>
      <c r="C899" s="242"/>
      <c r="D899" s="242"/>
      <c r="E899" s="242"/>
      <c r="F899" s="242"/>
      <c r="G899" s="13"/>
      <c r="H899" s="13"/>
      <c r="I899" s="13"/>
      <c r="J899" s="13"/>
      <c r="K899" s="13"/>
      <c r="L899" s="242"/>
      <c r="M899" s="242"/>
      <c r="N899" s="242"/>
      <c r="O899" s="242"/>
      <c r="P899" s="242"/>
      <c r="Q899" s="525"/>
      <c r="R899" s="242"/>
      <c r="S899" s="242"/>
      <c r="T899" s="242"/>
      <c r="U899" s="242"/>
      <c r="V899" s="242"/>
      <c r="W899" s="242"/>
      <c r="X899" s="242"/>
      <c r="Y899" s="242"/>
      <c r="Z899" s="242"/>
      <c r="AA899" s="242"/>
      <c r="AB899" s="242"/>
      <c r="AC899" s="242"/>
      <c r="AD899" s="242"/>
      <c r="AE899" s="242"/>
      <c r="AF899" s="242"/>
      <c r="AG899" s="242"/>
      <c r="AH899" s="242"/>
      <c r="AI899" s="242"/>
      <c r="AJ899" s="13"/>
      <c r="AK899" s="242"/>
      <c r="AL899" s="242"/>
      <c r="AM899" s="242"/>
      <c r="AN899" s="242"/>
      <c r="AO899" s="242"/>
    </row>
    <row r="900">
      <c r="A900" s="242"/>
      <c r="B900" s="13"/>
      <c r="C900" s="242"/>
      <c r="D900" s="242"/>
      <c r="E900" s="242"/>
      <c r="F900" s="242"/>
      <c r="G900" s="13"/>
      <c r="H900" s="13"/>
      <c r="I900" s="13"/>
      <c r="J900" s="13"/>
      <c r="K900" s="13"/>
      <c r="L900" s="242"/>
      <c r="M900" s="242"/>
      <c r="N900" s="242"/>
      <c r="O900" s="242"/>
      <c r="P900" s="242"/>
      <c r="Q900" s="525"/>
      <c r="R900" s="242"/>
      <c r="S900" s="242"/>
      <c r="T900" s="242"/>
      <c r="U900" s="242"/>
      <c r="V900" s="242"/>
      <c r="W900" s="242"/>
      <c r="X900" s="242"/>
      <c r="Y900" s="242"/>
      <c r="Z900" s="242"/>
      <c r="AA900" s="242"/>
      <c r="AB900" s="242"/>
      <c r="AC900" s="242"/>
      <c r="AD900" s="242"/>
      <c r="AE900" s="242"/>
      <c r="AF900" s="242"/>
      <c r="AG900" s="242"/>
      <c r="AH900" s="242"/>
      <c r="AI900" s="242"/>
      <c r="AJ900" s="13"/>
      <c r="AK900" s="242"/>
      <c r="AL900" s="242"/>
      <c r="AM900" s="242"/>
      <c r="AN900" s="242"/>
      <c r="AO900" s="242"/>
    </row>
    <row r="901">
      <c r="A901" s="242"/>
      <c r="B901" s="13"/>
      <c r="C901" s="242"/>
      <c r="D901" s="242"/>
      <c r="E901" s="242"/>
      <c r="F901" s="242"/>
      <c r="G901" s="13"/>
      <c r="H901" s="13"/>
      <c r="I901" s="13"/>
      <c r="J901" s="13"/>
      <c r="K901" s="13"/>
      <c r="L901" s="242"/>
      <c r="M901" s="242"/>
      <c r="N901" s="242"/>
      <c r="O901" s="242"/>
      <c r="P901" s="242"/>
      <c r="Q901" s="525"/>
      <c r="R901" s="242"/>
      <c r="S901" s="242"/>
      <c r="T901" s="242"/>
      <c r="U901" s="242"/>
      <c r="V901" s="242"/>
      <c r="W901" s="242"/>
      <c r="X901" s="242"/>
      <c r="Y901" s="242"/>
      <c r="Z901" s="242"/>
      <c r="AA901" s="242"/>
      <c r="AB901" s="242"/>
      <c r="AC901" s="242"/>
      <c r="AD901" s="242"/>
      <c r="AE901" s="242"/>
      <c r="AF901" s="242"/>
      <c r="AG901" s="242"/>
      <c r="AH901" s="242"/>
      <c r="AI901" s="242"/>
      <c r="AJ901" s="13"/>
      <c r="AK901" s="242"/>
      <c r="AL901" s="242"/>
      <c r="AM901" s="242"/>
      <c r="AN901" s="242"/>
      <c r="AO901" s="242"/>
    </row>
    <row r="902">
      <c r="A902" s="242"/>
      <c r="B902" s="13"/>
      <c r="C902" s="242"/>
      <c r="D902" s="242"/>
      <c r="E902" s="242"/>
      <c r="F902" s="242"/>
      <c r="G902" s="13"/>
      <c r="H902" s="13"/>
      <c r="I902" s="13"/>
      <c r="J902" s="13"/>
      <c r="K902" s="13"/>
      <c r="L902" s="242"/>
      <c r="M902" s="242"/>
      <c r="N902" s="242"/>
      <c r="O902" s="242"/>
      <c r="P902" s="242"/>
      <c r="Q902" s="525"/>
      <c r="R902" s="242"/>
      <c r="S902" s="242"/>
      <c r="T902" s="242"/>
      <c r="U902" s="242"/>
      <c r="V902" s="242"/>
      <c r="W902" s="242"/>
      <c r="X902" s="242"/>
      <c r="Y902" s="242"/>
      <c r="Z902" s="242"/>
      <c r="AA902" s="242"/>
      <c r="AB902" s="242"/>
      <c r="AC902" s="242"/>
      <c r="AD902" s="242"/>
      <c r="AE902" s="242"/>
      <c r="AF902" s="242"/>
      <c r="AG902" s="242"/>
      <c r="AH902" s="242"/>
      <c r="AI902" s="242"/>
      <c r="AJ902" s="13"/>
      <c r="AK902" s="242"/>
      <c r="AL902" s="242"/>
      <c r="AM902" s="242"/>
      <c r="AN902" s="242"/>
      <c r="AO902" s="242"/>
    </row>
    <row r="903">
      <c r="A903" s="242"/>
      <c r="B903" s="13"/>
      <c r="C903" s="242"/>
      <c r="D903" s="242"/>
      <c r="E903" s="242"/>
      <c r="F903" s="242"/>
      <c r="G903" s="13"/>
      <c r="H903" s="13"/>
      <c r="I903" s="13"/>
      <c r="J903" s="13"/>
      <c r="K903" s="13"/>
      <c r="L903" s="242"/>
      <c r="M903" s="242"/>
      <c r="N903" s="242"/>
      <c r="O903" s="242"/>
      <c r="P903" s="242"/>
      <c r="Q903" s="525"/>
      <c r="R903" s="242"/>
      <c r="S903" s="242"/>
      <c r="T903" s="242"/>
      <c r="U903" s="242"/>
      <c r="V903" s="242"/>
      <c r="W903" s="242"/>
      <c r="X903" s="242"/>
      <c r="Y903" s="242"/>
      <c r="Z903" s="242"/>
      <c r="AA903" s="242"/>
      <c r="AB903" s="242"/>
      <c r="AC903" s="242"/>
      <c r="AD903" s="242"/>
      <c r="AE903" s="242"/>
      <c r="AF903" s="242"/>
      <c r="AG903" s="242"/>
      <c r="AH903" s="242"/>
      <c r="AI903" s="242"/>
      <c r="AJ903" s="13"/>
      <c r="AK903" s="242"/>
      <c r="AL903" s="242"/>
      <c r="AM903" s="242"/>
      <c r="AN903" s="242"/>
      <c r="AO903" s="242"/>
    </row>
    <row r="904">
      <c r="A904" s="242"/>
      <c r="B904" s="13"/>
      <c r="C904" s="242"/>
      <c r="D904" s="242"/>
      <c r="E904" s="242"/>
      <c r="F904" s="242"/>
      <c r="G904" s="13"/>
      <c r="H904" s="13"/>
      <c r="I904" s="13"/>
      <c r="J904" s="13"/>
      <c r="K904" s="13"/>
      <c r="L904" s="242"/>
      <c r="M904" s="242"/>
      <c r="N904" s="242"/>
      <c r="O904" s="242"/>
      <c r="P904" s="242"/>
      <c r="Q904" s="525"/>
      <c r="R904" s="242"/>
      <c r="S904" s="242"/>
      <c r="T904" s="242"/>
      <c r="U904" s="242"/>
      <c r="V904" s="242"/>
      <c r="W904" s="242"/>
      <c r="X904" s="242"/>
      <c r="Y904" s="242"/>
      <c r="Z904" s="242"/>
      <c r="AA904" s="242"/>
      <c r="AB904" s="242"/>
      <c r="AC904" s="242"/>
      <c r="AD904" s="242"/>
      <c r="AE904" s="242"/>
      <c r="AF904" s="242"/>
      <c r="AG904" s="242"/>
      <c r="AH904" s="242"/>
      <c r="AI904" s="242"/>
      <c r="AJ904" s="13"/>
      <c r="AK904" s="242"/>
      <c r="AL904" s="242"/>
      <c r="AM904" s="242"/>
      <c r="AN904" s="242"/>
      <c r="AO904" s="242"/>
    </row>
    <row r="905">
      <c r="A905" s="242"/>
      <c r="B905" s="13"/>
      <c r="C905" s="242"/>
      <c r="D905" s="242"/>
      <c r="E905" s="242"/>
      <c r="F905" s="242"/>
      <c r="G905" s="13"/>
      <c r="H905" s="13"/>
      <c r="I905" s="13"/>
      <c r="J905" s="13"/>
      <c r="K905" s="13"/>
      <c r="L905" s="242"/>
      <c r="M905" s="242"/>
      <c r="N905" s="242"/>
      <c r="O905" s="242"/>
      <c r="P905" s="242"/>
      <c r="Q905" s="525"/>
      <c r="R905" s="242"/>
      <c r="S905" s="242"/>
      <c r="T905" s="242"/>
      <c r="U905" s="242"/>
      <c r="V905" s="242"/>
      <c r="W905" s="242"/>
      <c r="X905" s="242"/>
      <c r="Y905" s="242"/>
      <c r="Z905" s="242"/>
      <c r="AA905" s="242"/>
      <c r="AB905" s="242"/>
      <c r="AC905" s="242"/>
      <c r="AD905" s="242"/>
      <c r="AE905" s="242"/>
      <c r="AF905" s="242"/>
      <c r="AG905" s="242"/>
      <c r="AH905" s="242"/>
      <c r="AI905" s="242"/>
      <c r="AJ905" s="13"/>
      <c r="AK905" s="242"/>
      <c r="AL905" s="242"/>
      <c r="AM905" s="242"/>
      <c r="AN905" s="242"/>
      <c r="AO905" s="242"/>
    </row>
    <row r="906">
      <c r="A906" s="242"/>
      <c r="B906" s="13"/>
      <c r="C906" s="242"/>
      <c r="D906" s="242"/>
      <c r="E906" s="242"/>
      <c r="F906" s="242"/>
      <c r="G906" s="13"/>
      <c r="H906" s="13"/>
      <c r="I906" s="13"/>
      <c r="J906" s="13"/>
      <c r="K906" s="13"/>
      <c r="L906" s="242"/>
      <c r="M906" s="242"/>
      <c r="N906" s="242"/>
      <c r="O906" s="242"/>
      <c r="P906" s="242"/>
      <c r="Q906" s="525"/>
      <c r="R906" s="242"/>
      <c r="S906" s="242"/>
      <c r="T906" s="242"/>
      <c r="U906" s="242"/>
      <c r="V906" s="242"/>
      <c r="W906" s="242"/>
      <c r="X906" s="242"/>
      <c r="Y906" s="242"/>
      <c r="Z906" s="242"/>
      <c r="AA906" s="242"/>
      <c r="AB906" s="242"/>
      <c r="AC906" s="242"/>
      <c r="AD906" s="242"/>
      <c r="AE906" s="242"/>
      <c r="AF906" s="242"/>
      <c r="AG906" s="242"/>
      <c r="AH906" s="242"/>
      <c r="AI906" s="242"/>
      <c r="AJ906" s="13"/>
      <c r="AK906" s="242"/>
      <c r="AL906" s="242"/>
      <c r="AM906" s="242"/>
      <c r="AN906" s="242"/>
      <c r="AO906" s="242"/>
    </row>
    <row r="907">
      <c r="A907" s="242"/>
      <c r="B907" s="13"/>
      <c r="C907" s="242"/>
      <c r="D907" s="242"/>
      <c r="E907" s="242"/>
      <c r="F907" s="242"/>
      <c r="G907" s="13"/>
      <c r="H907" s="13"/>
      <c r="I907" s="13"/>
      <c r="J907" s="13"/>
      <c r="K907" s="13"/>
      <c r="L907" s="242"/>
      <c r="M907" s="242"/>
      <c r="N907" s="242"/>
      <c r="O907" s="242"/>
      <c r="P907" s="242"/>
      <c r="Q907" s="525"/>
      <c r="R907" s="242"/>
      <c r="S907" s="242"/>
      <c r="T907" s="242"/>
      <c r="U907" s="242"/>
      <c r="V907" s="242"/>
      <c r="W907" s="242"/>
      <c r="X907" s="242"/>
      <c r="Y907" s="242"/>
      <c r="Z907" s="242"/>
      <c r="AA907" s="242"/>
      <c r="AB907" s="242"/>
      <c r="AC907" s="242"/>
      <c r="AD907" s="242"/>
      <c r="AE907" s="242"/>
      <c r="AF907" s="242"/>
      <c r="AG907" s="242"/>
      <c r="AH907" s="242"/>
      <c r="AI907" s="242"/>
      <c r="AJ907" s="13"/>
      <c r="AK907" s="242"/>
      <c r="AL907" s="242"/>
      <c r="AM907" s="242"/>
      <c r="AN907" s="242"/>
      <c r="AO907" s="242"/>
    </row>
    <row r="908">
      <c r="A908" s="242"/>
      <c r="B908" s="13"/>
      <c r="C908" s="242"/>
      <c r="D908" s="242"/>
      <c r="E908" s="242"/>
      <c r="F908" s="242"/>
      <c r="G908" s="13"/>
      <c r="H908" s="13"/>
      <c r="I908" s="13"/>
      <c r="J908" s="13"/>
      <c r="K908" s="13"/>
      <c r="L908" s="242"/>
      <c r="M908" s="242"/>
      <c r="N908" s="242"/>
      <c r="O908" s="242"/>
      <c r="P908" s="242"/>
      <c r="Q908" s="525"/>
      <c r="R908" s="242"/>
      <c r="S908" s="242"/>
      <c r="T908" s="242"/>
      <c r="U908" s="242"/>
      <c r="V908" s="242"/>
      <c r="W908" s="242"/>
      <c r="X908" s="242"/>
      <c r="Y908" s="242"/>
      <c r="Z908" s="242"/>
      <c r="AA908" s="242"/>
      <c r="AB908" s="242"/>
      <c r="AC908" s="242"/>
      <c r="AD908" s="242"/>
      <c r="AE908" s="242"/>
      <c r="AF908" s="242"/>
      <c r="AG908" s="242"/>
      <c r="AH908" s="242"/>
      <c r="AI908" s="242"/>
      <c r="AJ908" s="13"/>
      <c r="AK908" s="242"/>
      <c r="AL908" s="242"/>
      <c r="AM908" s="242"/>
      <c r="AN908" s="242"/>
      <c r="AO908" s="242"/>
    </row>
    <row r="909">
      <c r="A909" s="242"/>
      <c r="B909" s="13"/>
      <c r="C909" s="242"/>
      <c r="D909" s="242"/>
      <c r="E909" s="242"/>
      <c r="F909" s="242"/>
      <c r="G909" s="13"/>
      <c r="H909" s="13"/>
      <c r="I909" s="13"/>
      <c r="J909" s="13"/>
      <c r="K909" s="13"/>
      <c r="L909" s="242"/>
      <c r="M909" s="242"/>
      <c r="N909" s="242"/>
      <c r="O909" s="242"/>
      <c r="P909" s="242"/>
      <c r="Q909" s="525"/>
      <c r="R909" s="242"/>
      <c r="S909" s="242"/>
      <c r="T909" s="242"/>
      <c r="U909" s="242"/>
      <c r="V909" s="242"/>
      <c r="W909" s="242"/>
      <c r="X909" s="242"/>
      <c r="Y909" s="242"/>
      <c r="Z909" s="242"/>
      <c r="AA909" s="242"/>
      <c r="AB909" s="242"/>
      <c r="AC909" s="242"/>
      <c r="AD909" s="242"/>
      <c r="AE909" s="242"/>
      <c r="AF909" s="242"/>
      <c r="AG909" s="242"/>
      <c r="AH909" s="242"/>
      <c r="AI909" s="242"/>
      <c r="AJ909" s="13"/>
      <c r="AK909" s="242"/>
      <c r="AL909" s="242"/>
      <c r="AM909" s="242"/>
      <c r="AN909" s="242"/>
      <c r="AO909" s="242"/>
    </row>
    <row r="910">
      <c r="A910" s="242"/>
      <c r="B910" s="13"/>
      <c r="C910" s="242"/>
      <c r="D910" s="242"/>
      <c r="E910" s="242"/>
      <c r="F910" s="242"/>
      <c r="G910" s="13"/>
      <c r="H910" s="13"/>
      <c r="I910" s="13"/>
      <c r="J910" s="13"/>
      <c r="K910" s="13"/>
      <c r="L910" s="242"/>
      <c r="M910" s="242"/>
      <c r="N910" s="242"/>
      <c r="O910" s="242"/>
      <c r="P910" s="242"/>
      <c r="Q910" s="525"/>
      <c r="R910" s="242"/>
      <c r="S910" s="242"/>
      <c r="T910" s="242"/>
      <c r="U910" s="242"/>
      <c r="V910" s="242"/>
      <c r="W910" s="242"/>
      <c r="X910" s="242"/>
      <c r="Y910" s="242"/>
      <c r="Z910" s="242"/>
      <c r="AA910" s="242"/>
      <c r="AB910" s="242"/>
      <c r="AC910" s="242"/>
      <c r="AD910" s="242"/>
      <c r="AE910" s="242"/>
      <c r="AF910" s="242"/>
      <c r="AG910" s="242"/>
      <c r="AH910" s="242"/>
      <c r="AI910" s="242"/>
      <c r="AJ910" s="13"/>
      <c r="AK910" s="242"/>
      <c r="AL910" s="242"/>
      <c r="AM910" s="242"/>
      <c r="AN910" s="242"/>
      <c r="AO910" s="242"/>
    </row>
    <row r="911">
      <c r="A911" s="242"/>
      <c r="B911" s="13"/>
      <c r="C911" s="242"/>
      <c r="D911" s="242"/>
      <c r="E911" s="242"/>
      <c r="F911" s="242"/>
      <c r="G911" s="13"/>
      <c r="H911" s="13"/>
      <c r="I911" s="13"/>
      <c r="J911" s="13"/>
      <c r="K911" s="13"/>
      <c r="L911" s="242"/>
      <c r="M911" s="242"/>
      <c r="N911" s="242"/>
      <c r="O911" s="242"/>
      <c r="P911" s="242"/>
      <c r="Q911" s="525"/>
      <c r="R911" s="242"/>
      <c r="S911" s="242"/>
      <c r="T911" s="242"/>
      <c r="U911" s="242"/>
      <c r="V911" s="242"/>
      <c r="W911" s="242"/>
      <c r="X911" s="242"/>
      <c r="Y911" s="242"/>
      <c r="Z911" s="242"/>
      <c r="AA911" s="242"/>
      <c r="AB911" s="242"/>
      <c r="AC911" s="242"/>
      <c r="AD911" s="242"/>
      <c r="AE911" s="242"/>
      <c r="AF911" s="242"/>
      <c r="AG911" s="242"/>
      <c r="AH911" s="242"/>
      <c r="AI911" s="242"/>
      <c r="AJ911" s="13"/>
      <c r="AK911" s="242"/>
      <c r="AL911" s="242"/>
      <c r="AM911" s="242"/>
      <c r="AN911" s="242"/>
      <c r="AO911" s="242"/>
    </row>
    <row r="912">
      <c r="A912" s="242"/>
      <c r="B912" s="13"/>
      <c r="C912" s="242"/>
      <c r="D912" s="242"/>
      <c r="E912" s="242"/>
      <c r="F912" s="242"/>
      <c r="G912" s="13"/>
      <c r="H912" s="13"/>
      <c r="I912" s="13"/>
      <c r="J912" s="13"/>
      <c r="K912" s="13"/>
      <c r="L912" s="242"/>
      <c r="M912" s="242"/>
      <c r="N912" s="242"/>
      <c r="O912" s="242"/>
      <c r="P912" s="242"/>
      <c r="Q912" s="525"/>
      <c r="R912" s="242"/>
      <c r="S912" s="242"/>
      <c r="T912" s="242"/>
      <c r="U912" s="242"/>
      <c r="V912" s="242"/>
      <c r="W912" s="242"/>
      <c r="X912" s="242"/>
      <c r="Y912" s="242"/>
      <c r="Z912" s="242"/>
      <c r="AA912" s="242"/>
      <c r="AB912" s="242"/>
      <c r="AC912" s="242"/>
      <c r="AD912" s="242"/>
      <c r="AE912" s="242"/>
      <c r="AF912" s="242"/>
      <c r="AG912" s="242"/>
      <c r="AH912" s="242"/>
      <c r="AI912" s="242"/>
      <c r="AJ912" s="13"/>
      <c r="AK912" s="242"/>
      <c r="AL912" s="242"/>
      <c r="AM912" s="242"/>
      <c r="AN912" s="242"/>
      <c r="AO912" s="242"/>
    </row>
    <row r="913">
      <c r="A913" s="242"/>
      <c r="B913" s="13"/>
      <c r="C913" s="242"/>
      <c r="D913" s="242"/>
      <c r="E913" s="242"/>
      <c r="F913" s="242"/>
      <c r="G913" s="13"/>
      <c r="H913" s="13"/>
      <c r="I913" s="13"/>
      <c r="J913" s="13"/>
      <c r="K913" s="13"/>
      <c r="L913" s="242"/>
      <c r="M913" s="242"/>
      <c r="N913" s="242"/>
      <c r="O913" s="242"/>
      <c r="P913" s="242"/>
      <c r="Q913" s="525"/>
      <c r="R913" s="242"/>
      <c r="S913" s="242"/>
      <c r="T913" s="242"/>
      <c r="U913" s="242"/>
      <c r="V913" s="242"/>
      <c r="W913" s="242"/>
      <c r="X913" s="242"/>
      <c r="Y913" s="242"/>
      <c r="Z913" s="242"/>
      <c r="AA913" s="242"/>
      <c r="AB913" s="242"/>
      <c r="AC913" s="242"/>
      <c r="AD913" s="242"/>
      <c r="AE913" s="242"/>
      <c r="AF913" s="242"/>
      <c r="AG913" s="242"/>
      <c r="AH913" s="242"/>
      <c r="AI913" s="242"/>
      <c r="AJ913" s="13"/>
      <c r="AK913" s="242"/>
      <c r="AL913" s="242"/>
      <c r="AM913" s="242"/>
      <c r="AN913" s="242"/>
      <c r="AO913" s="242"/>
    </row>
    <row r="914">
      <c r="A914" s="242"/>
      <c r="B914" s="13"/>
      <c r="C914" s="242"/>
      <c r="D914" s="242"/>
      <c r="E914" s="242"/>
      <c r="F914" s="242"/>
      <c r="G914" s="13"/>
      <c r="H914" s="13"/>
      <c r="I914" s="13"/>
      <c r="J914" s="13"/>
      <c r="K914" s="13"/>
      <c r="L914" s="242"/>
      <c r="M914" s="242"/>
      <c r="N914" s="242"/>
      <c r="O914" s="242"/>
      <c r="P914" s="242"/>
      <c r="Q914" s="525"/>
      <c r="R914" s="242"/>
      <c r="S914" s="242"/>
      <c r="T914" s="242"/>
      <c r="U914" s="242"/>
      <c r="V914" s="242"/>
      <c r="W914" s="242"/>
      <c r="X914" s="242"/>
      <c r="Y914" s="242"/>
      <c r="Z914" s="242"/>
      <c r="AA914" s="242"/>
      <c r="AB914" s="242"/>
      <c r="AC914" s="242"/>
      <c r="AD914" s="242"/>
      <c r="AE914" s="242"/>
      <c r="AF914" s="242"/>
      <c r="AG914" s="242"/>
      <c r="AH914" s="242"/>
      <c r="AI914" s="242"/>
      <c r="AJ914" s="13"/>
      <c r="AK914" s="242"/>
      <c r="AL914" s="242"/>
      <c r="AM914" s="242"/>
      <c r="AN914" s="242"/>
      <c r="AO914" s="242"/>
    </row>
    <row r="915">
      <c r="A915" s="242"/>
      <c r="B915" s="13"/>
      <c r="C915" s="242"/>
      <c r="D915" s="242"/>
      <c r="E915" s="242"/>
      <c r="F915" s="242"/>
      <c r="G915" s="13"/>
      <c r="H915" s="13"/>
      <c r="I915" s="13"/>
      <c r="J915" s="13"/>
      <c r="K915" s="13"/>
      <c r="L915" s="242"/>
      <c r="M915" s="242"/>
      <c r="N915" s="242"/>
      <c r="O915" s="242"/>
      <c r="P915" s="242"/>
      <c r="Q915" s="525"/>
      <c r="R915" s="242"/>
      <c r="S915" s="242"/>
      <c r="T915" s="242"/>
      <c r="U915" s="242"/>
      <c r="V915" s="242"/>
      <c r="W915" s="242"/>
      <c r="X915" s="242"/>
      <c r="Y915" s="242"/>
      <c r="Z915" s="242"/>
      <c r="AA915" s="242"/>
      <c r="AB915" s="242"/>
      <c r="AC915" s="242"/>
      <c r="AD915" s="242"/>
      <c r="AE915" s="242"/>
      <c r="AF915" s="242"/>
      <c r="AG915" s="242"/>
      <c r="AH915" s="242"/>
      <c r="AI915" s="242"/>
      <c r="AJ915" s="13"/>
      <c r="AK915" s="242"/>
      <c r="AL915" s="242"/>
      <c r="AM915" s="242"/>
      <c r="AN915" s="242"/>
      <c r="AO915" s="242"/>
    </row>
    <row r="916">
      <c r="A916" s="242"/>
      <c r="B916" s="13"/>
      <c r="C916" s="242"/>
      <c r="D916" s="242"/>
      <c r="E916" s="242"/>
      <c r="F916" s="242"/>
      <c r="G916" s="13"/>
      <c r="H916" s="13"/>
      <c r="I916" s="13"/>
      <c r="J916" s="13"/>
      <c r="K916" s="13"/>
      <c r="L916" s="242"/>
      <c r="M916" s="242"/>
      <c r="N916" s="242"/>
      <c r="O916" s="242"/>
      <c r="P916" s="242"/>
      <c r="Q916" s="525"/>
      <c r="R916" s="242"/>
      <c r="S916" s="242"/>
      <c r="T916" s="242"/>
      <c r="U916" s="242"/>
      <c r="V916" s="242"/>
      <c r="W916" s="242"/>
      <c r="X916" s="242"/>
      <c r="Y916" s="242"/>
      <c r="Z916" s="242"/>
      <c r="AA916" s="242"/>
      <c r="AB916" s="242"/>
      <c r="AC916" s="242"/>
      <c r="AD916" s="242"/>
      <c r="AE916" s="242"/>
      <c r="AF916" s="242"/>
      <c r="AG916" s="242"/>
      <c r="AH916" s="242"/>
      <c r="AI916" s="242"/>
      <c r="AJ916" s="13"/>
      <c r="AK916" s="242"/>
      <c r="AL916" s="242"/>
      <c r="AM916" s="242"/>
      <c r="AN916" s="242"/>
      <c r="AO916" s="242"/>
    </row>
    <row r="917">
      <c r="A917" s="242"/>
      <c r="B917" s="13"/>
      <c r="C917" s="242"/>
      <c r="D917" s="242"/>
      <c r="E917" s="242"/>
      <c r="F917" s="242"/>
      <c r="G917" s="13"/>
      <c r="H917" s="13"/>
      <c r="I917" s="13"/>
      <c r="J917" s="13"/>
      <c r="K917" s="13"/>
      <c r="L917" s="242"/>
      <c r="M917" s="242"/>
      <c r="N917" s="242"/>
      <c r="O917" s="242"/>
      <c r="P917" s="242"/>
      <c r="Q917" s="525"/>
      <c r="R917" s="242"/>
      <c r="S917" s="242"/>
      <c r="T917" s="242"/>
      <c r="U917" s="242"/>
      <c r="V917" s="242"/>
      <c r="W917" s="242"/>
      <c r="X917" s="242"/>
      <c r="Y917" s="242"/>
      <c r="Z917" s="242"/>
      <c r="AA917" s="242"/>
      <c r="AB917" s="242"/>
      <c r="AC917" s="242"/>
      <c r="AD917" s="242"/>
      <c r="AE917" s="242"/>
      <c r="AF917" s="242"/>
      <c r="AG917" s="242"/>
      <c r="AH917" s="242"/>
      <c r="AI917" s="242"/>
      <c r="AJ917" s="13"/>
      <c r="AK917" s="242"/>
      <c r="AL917" s="242"/>
      <c r="AM917" s="242"/>
      <c r="AN917" s="242"/>
      <c r="AO917" s="242"/>
    </row>
    <row r="918">
      <c r="A918" s="242"/>
      <c r="B918" s="13"/>
      <c r="C918" s="242"/>
      <c r="D918" s="242"/>
      <c r="E918" s="242"/>
      <c r="F918" s="242"/>
      <c r="G918" s="13"/>
      <c r="H918" s="13"/>
      <c r="I918" s="13"/>
      <c r="J918" s="13"/>
      <c r="K918" s="13"/>
      <c r="L918" s="242"/>
      <c r="M918" s="242"/>
      <c r="N918" s="242"/>
      <c r="O918" s="242"/>
      <c r="P918" s="242"/>
      <c r="Q918" s="525"/>
      <c r="R918" s="242"/>
      <c r="S918" s="242"/>
      <c r="T918" s="242"/>
      <c r="U918" s="242"/>
      <c r="V918" s="242"/>
      <c r="W918" s="242"/>
      <c r="X918" s="242"/>
      <c r="Y918" s="242"/>
      <c r="Z918" s="242"/>
      <c r="AA918" s="242"/>
      <c r="AB918" s="242"/>
      <c r="AC918" s="242"/>
      <c r="AD918" s="242"/>
      <c r="AE918" s="242"/>
      <c r="AF918" s="242"/>
      <c r="AG918" s="242"/>
      <c r="AH918" s="242"/>
      <c r="AI918" s="242"/>
      <c r="AJ918" s="13"/>
      <c r="AK918" s="242"/>
      <c r="AL918" s="242"/>
      <c r="AM918" s="242"/>
      <c r="AN918" s="242"/>
      <c r="AO918" s="242"/>
    </row>
    <row r="919">
      <c r="A919" s="242"/>
      <c r="B919" s="13"/>
      <c r="C919" s="242"/>
      <c r="D919" s="242"/>
      <c r="E919" s="242"/>
      <c r="F919" s="242"/>
      <c r="G919" s="13"/>
      <c r="H919" s="13"/>
      <c r="I919" s="13"/>
      <c r="J919" s="13"/>
      <c r="K919" s="13"/>
      <c r="L919" s="242"/>
      <c r="M919" s="242"/>
      <c r="N919" s="242"/>
      <c r="O919" s="242"/>
      <c r="P919" s="242"/>
      <c r="Q919" s="525"/>
      <c r="R919" s="242"/>
      <c r="S919" s="242"/>
      <c r="T919" s="242"/>
      <c r="U919" s="242"/>
      <c r="V919" s="242"/>
      <c r="W919" s="242"/>
      <c r="X919" s="242"/>
      <c r="Y919" s="242"/>
      <c r="Z919" s="242"/>
      <c r="AA919" s="242"/>
      <c r="AB919" s="242"/>
      <c r="AC919" s="242"/>
      <c r="AD919" s="242"/>
      <c r="AE919" s="242"/>
      <c r="AF919" s="242"/>
      <c r="AG919" s="242"/>
      <c r="AH919" s="242"/>
      <c r="AI919" s="242"/>
      <c r="AJ919" s="13"/>
      <c r="AK919" s="242"/>
      <c r="AL919" s="242"/>
      <c r="AM919" s="242"/>
      <c r="AN919" s="242"/>
      <c r="AO919" s="242"/>
    </row>
    <row r="920">
      <c r="A920" s="242"/>
      <c r="B920" s="13"/>
      <c r="C920" s="242"/>
      <c r="D920" s="242"/>
      <c r="E920" s="242"/>
      <c r="F920" s="242"/>
      <c r="G920" s="13"/>
      <c r="H920" s="13"/>
      <c r="I920" s="13"/>
      <c r="J920" s="13"/>
      <c r="K920" s="13"/>
      <c r="L920" s="242"/>
      <c r="M920" s="242"/>
      <c r="N920" s="242"/>
      <c r="O920" s="242"/>
      <c r="P920" s="242"/>
      <c r="Q920" s="525"/>
      <c r="R920" s="242"/>
      <c r="S920" s="242"/>
      <c r="T920" s="242"/>
      <c r="U920" s="242"/>
      <c r="V920" s="242"/>
      <c r="W920" s="242"/>
      <c r="X920" s="242"/>
      <c r="Y920" s="242"/>
      <c r="Z920" s="242"/>
      <c r="AA920" s="242"/>
      <c r="AB920" s="242"/>
      <c r="AC920" s="242"/>
      <c r="AD920" s="242"/>
      <c r="AE920" s="242"/>
      <c r="AF920" s="242"/>
      <c r="AG920" s="242"/>
      <c r="AH920" s="242"/>
      <c r="AI920" s="242"/>
      <c r="AJ920" s="13"/>
      <c r="AK920" s="242"/>
      <c r="AL920" s="242"/>
      <c r="AM920" s="242"/>
      <c r="AN920" s="242"/>
      <c r="AO920" s="242"/>
    </row>
    <row r="921">
      <c r="A921" s="242"/>
      <c r="B921" s="13"/>
      <c r="C921" s="242"/>
      <c r="D921" s="242"/>
      <c r="E921" s="242"/>
      <c r="F921" s="242"/>
      <c r="G921" s="13"/>
      <c r="H921" s="13"/>
      <c r="I921" s="13"/>
      <c r="J921" s="13"/>
      <c r="K921" s="13"/>
      <c r="L921" s="242"/>
      <c r="M921" s="242"/>
      <c r="N921" s="242"/>
      <c r="O921" s="242"/>
      <c r="P921" s="242"/>
      <c r="Q921" s="525"/>
      <c r="R921" s="242"/>
      <c r="S921" s="242"/>
      <c r="T921" s="242"/>
      <c r="U921" s="242"/>
      <c r="V921" s="242"/>
      <c r="W921" s="242"/>
      <c r="X921" s="242"/>
      <c r="Y921" s="242"/>
      <c r="Z921" s="242"/>
      <c r="AA921" s="242"/>
      <c r="AB921" s="242"/>
      <c r="AC921" s="242"/>
      <c r="AD921" s="242"/>
      <c r="AE921" s="242"/>
      <c r="AF921" s="242"/>
      <c r="AG921" s="242"/>
      <c r="AH921" s="242"/>
      <c r="AI921" s="242"/>
      <c r="AJ921" s="13"/>
      <c r="AK921" s="242"/>
      <c r="AL921" s="242"/>
      <c r="AM921" s="242"/>
      <c r="AN921" s="242"/>
      <c r="AO921" s="242"/>
    </row>
    <row r="922">
      <c r="A922" s="242"/>
      <c r="B922" s="13"/>
      <c r="C922" s="242"/>
      <c r="D922" s="242"/>
      <c r="E922" s="242"/>
      <c r="F922" s="242"/>
      <c r="G922" s="13"/>
      <c r="H922" s="13"/>
      <c r="I922" s="13"/>
      <c r="J922" s="13"/>
      <c r="K922" s="13"/>
      <c r="L922" s="242"/>
      <c r="M922" s="242"/>
      <c r="N922" s="242"/>
      <c r="O922" s="242"/>
      <c r="P922" s="242"/>
      <c r="Q922" s="525"/>
      <c r="R922" s="242"/>
      <c r="S922" s="242"/>
      <c r="T922" s="242"/>
      <c r="U922" s="242"/>
      <c r="V922" s="242"/>
      <c r="W922" s="242"/>
      <c r="X922" s="242"/>
      <c r="Y922" s="242"/>
      <c r="Z922" s="242"/>
      <c r="AA922" s="242"/>
      <c r="AB922" s="242"/>
      <c r="AC922" s="242"/>
      <c r="AD922" s="242"/>
      <c r="AE922" s="242"/>
      <c r="AF922" s="242"/>
      <c r="AG922" s="242"/>
      <c r="AH922" s="242"/>
      <c r="AI922" s="242"/>
      <c r="AJ922" s="13"/>
      <c r="AK922" s="242"/>
      <c r="AL922" s="242"/>
      <c r="AM922" s="242"/>
      <c r="AN922" s="242"/>
      <c r="AO922" s="242"/>
    </row>
    <row r="923">
      <c r="A923" s="242"/>
      <c r="B923" s="13"/>
      <c r="C923" s="242"/>
      <c r="D923" s="242"/>
      <c r="E923" s="242"/>
      <c r="F923" s="242"/>
      <c r="G923" s="13"/>
      <c r="H923" s="13"/>
      <c r="I923" s="13"/>
      <c r="J923" s="13"/>
      <c r="K923" s="13"/>
      <c r="L923" s="242"/>
      <c r="M923" s="242"/>
      <c r="N923" s="242"/>
      <c r="O923" s="242"/>
      <c r="P923" s="242"/>
      <c r="Q923" s="525"/>
      <c r="R923" s="242"/>
      <c r="S923" s="242"/>
      <c r="T923" s="242"/>
      <c r="U923" s="242"/>
      <c r="V923" s="242"/>
      <c r="W923" s="242"/>
      <c r="X923" s="242"/>
      <c r="Y923" s="242"/>
      <c r="Z923" s="242"/>
      <c r="AA923" s="242"/>
      <c r="AB923" s="242"/>
      <c r="AC923" s="242"/>
      <c r="AD923" s="242"/>
      <c r="AE923" s="242"/>
      <c r="AF923" s="242"/>
      <c r="AG923" s="242"/>
      <c r="AH923" s="242"/>
      <c r="AI923" s="242"/>
      <c r="AJ923" s="13"/>
      <c r="AK923" s="242"/>
      <c r="AL923" s="242"/>
      <c r="AM923" s="242"/>
      <c r="AN923" s="242"/>
      <c r="AO923" s="242"/>
    </row>
    <row r="924">
      <c r="A924" s="242"/>
      <c r="B924" s="13"/>
      <c r="C924" s="242"/>
      <c r="D924" s="242"/>
      <c r="E924" s="242"/>
      <c r="F924" s="242"/>
      <c r="G924" s="13"/>
      <c r="H924" s="13"/>
      <c r="I924" s="13"/>
      <c r="J924" s="13"/>
      <c r="K924" s="13"/>
      <c r="L924" s="242"/>
      <c r="M924" s="242"/>
      <c r="N924" s="242"/>
      <c r="O924" s="242"/>
      <c r="P924" s="242"/>
      <c r="Q924" s="525"/>
      <c r="R924" s="242"/>
      <c r="S924" s="242"/>
      <c r="T924" s="242"/>
      <c r="U924" s="242"/>
      <c r="V924" s="242"/>
      <c r="W924" s="242"/>
      <c r="X924" s="242"/>
      <c r="Y924" s="242"/>
      <c r="Z924" s="242"/>
      <c r="AA924" s="242"/>
      <c r="AB924" s="242"/>
      <c r="AC924" s="242"/>
      <c r="AD924" s="242"/>
      <c r="AE924" s="242"/>
      <c r="AF924" s="242"/>
      <c r="AG924" s="242"/>
      <c r="AH924" s="242"/>
      <c r="AI924" s="242"/>
      <c r="AJ924" s="13"/>
      <c r="AK924" s="242"/>
      <c r="AL924" s="242"/>
      <c r="AM924" s="242"/>
      <c r="AN924" s="242"/>
      <c r="AO924" s="242"/>
    </row>
    <row r="925">
      <c r="A925" s="242"/>
      <c r="B925" s="13"/>
      <c r="C925" s="242"/>
      <c r="D925" s="242"/>
      <c r="E925" s="242"/>
      <c r="F925" s="242"/>
      <c r="G925" s="13"/>
      <c r="H925" s="13"/>
      <c r="I925" s="13"/>
      <c r="J925" s="13"/>
      <c r="K925" s="13"/>
      <c r="L925" s="242"/>
      <c r="M925" s="242"/>
      <c r="N925" s="242"/>
      <c r="O925" s="242"/>
      <c r="P925" s="242"/>
      <c r="Q925" s="525"/>
      <c r="R925" s="242"/>
      <c r="S925" s="242"/>
      <c r="T925" s="242"/>
      <c r="U925" s="242"/>
      <c r="V925" s="242"/>
      <c r="W925" s="242"/>
      <c r="X925" s="242"/>
      <c r="Y925" s="242"/>
      <c r="Z925" s="242"/>
      <c r="AA925" s="242"/>
      <c r="AB925" s="242"/>
      <c r="AC925" s="242"/>
      <c r="AD925" s="242"/>
      <c r="AE925" s="242"/>
      <c r="AF925" s="242"/>
      <c r="AG925" s="242"/>
      <c r="AH925" s="242"/>
      <c r="AI925" s="242"/>
      <c r="AJ925" s="13"/>
      <c r="AK925" s="242"/>
      <c r="AL925" s="242"/>
      <c r="AM925" s="242"/>
      <c r="AN925" s="242"/>
      <c r="AO925" s="242"/>
    </row>
    <row r="926">
      <c r="A926" s="242"/>
      <c r="B926" s="13"/>
      <c r="C926" s="242"/>
      <c r="D926" s="242"/>
      <c r="E926" s="242"/>
      <c r="F926" s="242"/>
      <c r="G926" s="13"/>
      <c r="H926" s="13"/>
      <c r="I926" s="13"/>
      <c r="J926" s="13"/>
      <c r="K926" s="13"/>
      <c r="L926" s="242"/>
      <c r="M926" s="242"/>
      <c r="N926" s="242"/>
      <c r="O926" s="242"/>
      <c r="P926" s="242"/>
      <c r="Q926" s="525"/>
      <c r="R926" s="242"/>
      <c r="S926" s="242"/>
      <c r="T926" s="242"/>
      <c r="U926" s="242"/>
      <c r="V926" s="242"/>
      <c r="W926" s="242"/>
      <c r="X926" s="242"/>
      <c r="Y926" s="242"/>
      <c r="Z926" s="242"/>
      <c r="AA926" s="242"/>
      <c r="AB926" s="242"/>
      <c r="AC926" s="242"/>
      <c r="AD926" s="242"/>
      <c r="AE926" s="242"/>
      <c r="AF926" s="242"/>
      <c r="AG926" s="242"/>
      <c r="AH926" s="242"/>
      <c r="AI926" s="242"/>
      <c r="AJ926" s="13"/>
      <c r="AK926" s="242"/>
      <c r="AL926" s="242"/>
      <c r="AM926" s="242"/>
      <c r="AN926" s="242"/>
      <c r="AO926" s="242"/>
    </row>
    <row r="927">
      <c r="A927" s="242"/>
      <c r="B927" s="13"/>
      <c r="C927" s="242"/>
      <c r="D927" s="242"/>
      <c r="E927" s="242"/>
      <c r="F927" s="242"/>
      <c r="G927" s="13"/>
      <c r="H927" s="13"/>
      <c r="I927" s="13"/>
      <c r="J927" s="13"/>
      <c r="K927" s="13"/>
      <c r="L927" s="242"/>
      <c r="M927" s="242"/>
      <c r="N927" s="242"/>
      <c r="O927" s="242"/>
      <c r="P927" s="242"/>
      <c r="Q927" s="525"/>
      <c r="R927" s="242"/>
      <c r="S927" s="242"/>
      <c r="T927" s="242"/>
      <c r="U927" s="242"/>
      <c r="V927" s="242"/>
      <c r="W927" s="242"/>
      <c r="X927" s="242"/>
      <c r="Y927" s="242"/>
      <c r="Z927" s="242"/>
      <c r="AA927" s="242"/>
      <c r="AB927" s="242"/>
      <c r="AC927" s="242"/>
      <c r="AD927" s="242"/>
      <c r="AE927" s="242"/>
      <c r="AF927" s="242"/>
      <c r="AG927" s="242"/>
      <c r="AH927" s="242"/>
      <c r="AI927" s="242"/>
      <c r="AJ927" s="13"/>
      <c r="AK927" s="242"/>
      <c r="AL927" s="242"/>
      <c r="AM927" s="242"/>
      <c r="AN927" s="242"/>
      <c r="AO927" s="242"/>
    </row>
    <row r="928">
      <c r="A928" s="242"/>
      <c r="B928" s="13"/>
      <c r="C928" s="242"/>
      <c r="D928" s="242"/>
      <c r="E928" s="242"/>
      <c r="F928" s="242"/>
      <c r="G928" s="13"/>
      <c r="H928" s="13"/>
      <c r="I928" s="13"/>
      <c r="J928" s="13"/>
      <c r="K928" s="13"/>
      <c r="L928" s="242"/>
      <c r="M928" s="242"/>
      <c r="N928" s="242"/>
      <c r="O928" s="242"/>
      <c r="P928" s="242"/>
      <c r="Q928" s="525"/>
      <c r="R928" s="242"/>
      <c r="S928" s="242"/>
      <c r="T928" s="242"/>
      <c r="U928" s="242"/>
      <c r="V928" s="242"/>
      <c r="W928" s="242"/>
      <c r="X928" s="242"/>
      <c r="Y928" s="242"/>
      <c r="Z928" s="242"/>
      <c r="AA928" s="242"/>
      <c r="AB928" s="242"/>
      <c r="AC928" s="242"/>
      <c r="AD928" s="242"/>
      <c r="AE928" s="242"/>
      <c r="AF928" s="242"/>
      <c r="AG928" s="242"/>
      <c r="AH928" s="242"/>
      <c r="AI928" s="242"/>
      <c r="AJ928" s="13"/>
      <c r="AK928" s="242"/>
      <c r="AL928" s="242"/>
      <c r="AM928" s="242"/>
      <c r="AN928" s="242"/>
      <c r="AO928" s="242"/>
    </row>
    <row r="929">
      <c r="A929" s="242"/>
      <c r="B929" s="13"/>
      <c r="C929" s="242"/>
      <c r="D929" s="242"/>
      <c r="E929" s="242"/>
      <c r="F929" s="242"/>
      <c r="G929" s="13"/>
      <c r="H929" s="13"/>
      <c r="I929" s="13"/>
      <c r="J929" s="13"/>
      <c r="K929" s="13"/>
      <c r="L929" s="242"/>
      <c r="M929" s="242"/>
      <c r="N929" s="242"/>
      <c r="O929" s="242"/>
      <c r="P929" s="242"/>
      <c r="Q929" s="525"/>
      <c r="R929" s="242"/>
      <c r="S929" s="242"/>
      <c r="T929" s="242"/>
      <c r="U929" s="242"/>
      <c r="V929" s="242"/>
      <c r="W929" s="242"/>
      <c r="X929" s="242"/>
      <c r="Y929" s="242"/>
      <c r="Z929" s="242"/>
      <c r="AA929" s="242"/>
      <c r="AB929" s="242"/>
      <c r="AC929" s="242"/>
      <c r="AD929" s="242"/>
      <c r="AE929" s="242"/>
      <c r="AF929" s="242"/>
      <c r="AG929" s="242"/>
      <c r="AH929" s="242"/>
      <c r="AI929" s="242"/>
      <c r="AJ929" s="13"/>
      <c r="AK929" s="242"/>
      <c r="AL929" s="242"/>
      <c r="AM929" s="242"/>
      <c r="AN929" s="242"/>
      <c r="AO929" s="242"/>
    </row>
    <row r="930">
      <c r="A930" s="242"/>
      <c r="B930" s="13"/>
      <c r="C930" s="242"/>
      <c r="D930" s="242"/>
      <c r="E930" s="242"/>
      <c r="F930" s="242"/>
      <c r="G930" s="13"/>
      <c r="H930" s="13"/>
      <c r="I930" s="13"/>
      <c r="J930" s="13"/>
      <c r="K930" s="13"/>
      <c r="L930" s="242"/>
      <c r="M930" s="242"/>
      <c r="N930" s="242"/>
      <c r="O930" s="242"/>
      <c r="P930" s="242"/>
      <c r="Q930" s="525"/>
      <c r="R930" s="242"/>
      <c r="S930" s="242"/>
      <c r="T930" s="242"/>
      <c r="U930" s="242"/>
      <c r="V930" s="242"/>
      <c r="W930" s="242"/>
      <c r="X930" s="242"/>
      <c r="Y930" s="242"/>
      <c r="Z930" s="242"/>
      <c r="AA930" s="242"/>
      <c r="AB930" s="242"/>
      <c r="AC930" s="242"/>
      <c r="AD930" s="242"/>
      <c r="AE930" s="242"/>
      <c r="AF930" s="242"/>
      <c r="AG930" s="242"/>
      <c r="AH930" s="242"/>
      <c r="AI930" s="242"/>
      <c r="AJ930" s="13"/>
      <c r="AK930" s="242"/>
      <c r="AL930" s="242"/>
      <c r="AM930" s="242"/>
      <c r="AN930" s="242"/>
      <c r="AO930" s="242"/>
    </row>
    <row r="931">
      <c r="A931" s="242"/>
      <c r="B931" s="13"/>
      <c r="C931" s="242"/>
      <c r="D931" s="242"/>
      <c r="E931" s="242"/>
      <c r="F931" s="242"/>
      <c r="G931" s="13"/>
      <c r="H931" s="13"/>
      <c r="I931" s="13"/>
      <c r="J931" s="13"/>
      <c r="K931" s="13"/>
      <c r="L931" s="242"/>
      <c r="M931" s="242"/>
      <c r="N931" s="242"/>
      <c r="O931" s="242"/>
      <c r="P931" s="242"/>
      <c r="Q931" s="525"/>
      <c r="R931" s="242"/>
      <c r="S931" s="242"/>
      <c r="T931" s="242"/>
      <c r="U931" s="242"/>
      <c r="V931" s="242"/>
      <c r="W931" s="242"/>
      <c r="X931" s="242"/>
      <c r="Y931" s="242"/>
      <c r="Z931" s="242"/>
      <c r="AA931" s="242"/>
      <c r="AB931" s="242"/>
      <c r="AC931" s="242"/>
      <c r="AD931" s="242"/>
      <c r="AE931" s="242"/>
      <c r="AF931" s="242"/>
      <c r="AG931" s="242"/>
      <c r="AH931" s="242"/>
      <c r="AI931" s="242"/>
      <c r="AJ931" s="13"/>
      <c r="AK931" s="242"/>
      <c r="AL931" s="242"/>
      <c r="AM931" s="242"/>
      <c r="AN931" s="242"/>
      <c r="AO931" s="242"/>
    </row>
    <row r="932">
      <c r="A932" s="242"/>
      <c r="B932" s="13"/>
      <c r="C932" s="242"/>
      <c r="D932" s="242"/>
      <c r="E932" s="242"/>
      <c r="F932" s="242"/>
      <c r="G932" s="13"/>
      <c r="H932" s="13"/>
      <c r="I932" s="13"/>
      <c r="J932" s="13"/>
      <c r="K932" s="13"/>
      <c r="L932" s="242"/>
      <c r="M932" s="242"/>
      <c r="N932" s="242"/>
      <c r="O932" s="242"/>
      <c r="P932" s="242"/>
      <c r="Q932" s="525"/>
      <c r="R932" s="242"/>
      <c r="S932" s="242"/>
      <c r="T932" s="242"/>
      <c r="U932" s="242"/>
      <c r="V932" s="242"/>
      <c r="W932" s="242"/>
      <c r="X932" s="242"/>
      <c r="Y932" s="242"/>
      <c r="Z932" s="242"/>
      <c r="AA932" s="242"/>
      <c r="AB932" s="242"/>
      <c r="AC932" s="242"/>
      <c r="AD932" s="242"/>
      <c r="AE932" s="242"/>
      <c r="AF932" s="242"/>
      <c r="AG932" s="242"/>
      <c r="AH932" s="242"/>
      <c r="AI932" s="242"/>
      <c r="AJ932" s="13"/>
      <c r="AK932" s="242"/>
      <c r="AL932" s="242"/>
      <c r="AM932" s="242"/>
      <c r="AN932" s="242"/>
      <c r="AO932" s="242"/>
    </row>
    <row r="933">
      <c r="A933" s="242"/>
      <c r="B933" s="13"/>
      <c r="C933" s="242"/>
      <c r="D933" s="242"/>
      <c r="E933" s="242"/>
      <c r="F933" s="242"/>
      <c r="G933" s="13"/>
      <c r="H933" s="13"/>
      <c r="I933" s="13"/>
      <c r="J933" s="13"/>
      <c r="K933" s="13"/>
      <c r="L933" s="242"/>
      <c r="M933" s="242"/>
      <c r="N933" s="242"/>
      <c r="O933" s="242"/>
      <c r="P933" s="242"/>
      <c r="Q933" s="525"/>
      <c r="R933" s="242"/>
      <c r="S933" s="242"/>
      <c r="T933" s="242"/>
      <c r="U933" s="242"/>
      <c r="V933" s="242"/>
      <c r="W933" s="242"/>
      <c r="X933" s="242"/>
      <c r="Y933" s="242"/>
      <c r="Z933" s="242"/>
      <c r="AA933" s="242"/>
      <c r="AB933" s="242"/>
      <c r="AC933" s="242"/>
      <c r="AD933" s="242"/>
      <c r="AE933" s="242"/>
      <c r="AF933" s="242"/>
      <c r="AG933" s="242"/>
      <c r="AH933" s="242"/>
      <c r="AI933" s="242"/>
      <c r="AJ933" s="13"/>
      <c r="AK933" s="242"/>
      <c r="AL933" s="242"/>
      <c r="AM933" s="242"/>
      <c r="AN933" s="242"/>
      <c r="AO933" s="242"/>
    </row>
    <row r="934">
      <c r="A934" s="242"/>
      <c r="B934" s="13"/>
      <c r="C934" s="242"/>
      <c r="D934" s="242"/>
      <c r="E934" s="242"/>
      <c r="F934" s="242"/>
      <c r="G934" s="13"/>
      <c r="H934" s="13"/>
      <c r="I934" s="13"/>
      <c r="J934" s="13"/>
      <c r="K934" s="13"/>
      <c r="L934" s="242"/>
      <c r="M934" s="242"/>
      <c r="N934" s="242"/>
      <c r="O934" s="242"/>
      <c r="P934" s="242"/>
      <c r="Q934" s="525"/>
      <c r="R934" s="242"/>
      <c r="S934" s="242"/>
      <c r="T934" s="242"/>
      <c r="U934" s="242"/>
      <c r="V934" s="242"/>
      <c r="W934" s="242"/>
      <c r="X934" s="242"/>
      <c r="Y934" s="242"/>
      <c r="Z934" s="242"/>
      <c r="AA934" s="242"/>
      <c r="AB934" s="242"/>
      <c r="AC934" s="242"/>
      <c r="AD934" s="242"/>
      <c r="AE934" s="242"/>
      <c r="AF934" s="242"/>
      <c r="AG934" s="242"/>
      <c r="AH934" s="242"/>
      <c r="AI934" s="242"/>
      <c r="AJ934" s="13"/>
      <c r="AK934" s="242"/>
      <c r="AL934" s="242"/>
      <c r="AM934" s="242"/>
      <c r="AN934" s="242"/>
      <c r="AO934" s="242"/>
    </row>
    <row r="935">
      <c r="A935" s="242"/>
      <c r="B935" s="13"/>
      <c r="C935" s="242"/>
      <c r="D935" s="242"/>
      <c r="E935" s="242"/>
      <c r="F935" s="242"/>
      <c r="G935" s="13"/>
      <c r="H935" s="13"/>
      <c r="I935" s="13"/>
      <c r="J935" s="13"/>
      <c r="K935" s="13"/>
      <c r="L935" s="242"/>
      <c r="M935" s="242"/>
      <c r="N935" s="242"/>
      <c r="O935" s="242"/>
      <c r="P935" s="242"/>
      <c r="Q935" s="525"/>
      <c r="R935" s="242"/>
      <c r="S935" s="242"/>
      <c r="T935" s="242"/>
      <c r="U935" s="242"/>
      <c r="V935" s="242"/>
      <c r="W935" s="242"/>
      <c r="X935" s="242"/>
      <c r="Y935" s="242"/>
      <c r="Z935" s="242"/>
      <c r="AA935" s="242"/>
      <c r="AB935" s="242"/>
      <c r="AC935" s="242"/>
      <c r="AD935" s="242"/>
      <c r="AE935" s="242"/>
      <c r="AF935" s="242"/>
      <c r="AG935" s="242"/>
      <c r="AH935" s="242"/>
      <c r="AI935" s="242"/>
      <c r="AJ935" s="13"/>
      <c r="AK935" s="242"/>
      <c r="AL935" s="242"/>
      <c r="AM935" s="242"/>
      <c r="AN935" s="242"/>
      <c r="AO935" s="242"/>
    </row>
    <row r="936">
      <c r="A936" s="242"/>
      <c r="B936" s="13"/>
      <c r="C936" s="242"/>
      <c r="D936" s="242"/>
      <c r="E936" s="242"/>
      <c r="F936" s="242"/>
      <c r="G936" s="13"/>
      <c r="H936" s="13"/>
      <c r="I936" s="13"/>
      <c r="J936" s="13"/>
      <c r="K936" s="13"/>
      <c r="L936" s="242"/>
      <c r="M936" s="242"/>
      <c r="N936" s="242"/>
      <c r="O936" s="242"/>
      <c r="P936" s="242"/>
      <c r="Q936" s="525"/>
      <c r="R936" s="242"/>
      <c r="S936" s="242"/>
      <c r="T936" s="242"/>
      <c r="U936" s="242"/>
      <c r="V936" s="242"/>
      <c r="W936" s="242"/>
      <c r="X936" s="242"/>
      <c r="Y936" s="242"/>
      <c r="Z936" s="242"/>
      <c r="AA936" s="242"/>
      <c r="AB936" s="242"/>
      <c r="AC936" s="242"/>
      <c r="AD936" s="242"/>
      <c r="AE936" s="242"/>
      <c r="AF936" s="242"/>
      <c r="AG936" s="242"/>
      <c r="AH936" s="242"/>
      <c r="AI936" s="242"/>
      <c r="AJ936" s="13"/>
      <c r="AK936" s="242"/>
      <c r="AL936" s="242"/>
      <c r="AM936" s="242"/>
      <c r="AN936" s="242"/>
      <c r="AO936" s="242"/>
    </row>
    <row r="937">
      <c r="A937" s="242"/>
      <c r="B937" s="13"/>
      <c r="C937" s="242"/>
      <c r="D937" s="242"/>
      <c r="E937" s="242"/>
      <c r="F937" s="242"/>
      <c r="G937" s="13"/>
      <c r="H937" s="13"/>
      <c r="I937" s="13"/>
      <c r="J937" s="13"/>
      <c r="K937" s="13"/>
      <c r="L937" s="242"/>
      <c r="M937" s="242"/>
      <c r="N937" s="242"/>
      <c r="O937" s="242"/>
      <c r="P937" s="242"/>
      <c r="Q937" s="525"/>
      <c r="R937" s="242"/>
      <c r="S937" s="242"/>
      <c r="T937" s="242"/>
      <c r="U937" s="242"/>
      <c r="V937" s="242"/>
      <c r="W937" s="242"/>
      <c r="X937" s="242"/>
      <c r="Y937" s="242"/>
      <c r="Z937" s="242"/>
      <c r="AA937" s="242"/>
      <c r="AB937" s="242"/>
      <c r="AC937" s="242"/>
      <c r="AD937" s="242"/>
      <c r="AE937" s="242"/>
      <c r="AF937" s="242"/>
      <c r="AG937" s="242"/>
      <c r="AH937" s="242"/>
      <c r="AI937" s="242"/>
      <c r="AJ937" s="13"/>
      <c r="AK937" s="242"/>
      <c r="AL937" s="242"/>
      <c r="AM937" s="242"/>
      <c r="AN937" s="242"/>
      <c r="AO937" s="242"/>
    </row>
    <row r="938">
      <c r="A938" s="242"/>
      <c r="B938" s="13"/>
      <c r="C938" s="242"/>
      <c r="D938" s="242"/>
      <c r="E938" s="242"/>
      <c r="F938" s="242"/>
      <c r="G938" s="13"/>
      <c r="H938" s="13"/>
      <c r="I938" s="13"/>
      <c r="J938" s="13"/>
      <c r="K938" s="13"/>
      <c r="L938" s="242"/>
      <c r="M938" s="242"/>
      <c r="N938" s="242"/>
      <c r="O938" s="242"/>
      <c r="P938" s="242"/>
      <c r="Q938" s="525"/>
      <c r="R938" s="242"/>
      <c r="S938" s="242"/>
      <c r="T938" s="242"/>
      <c r="U938" s="242"/>
      <c r="V938" s="242"/>
      <c r="W938" s="242"/>
      <c r="X938" s="242"/>
      <c r="Y938" s="242"/>
      <c r="Z938" s="242"/>
      <c r="AA938" s="242"/>
      <c r="AB938" s="242"/>
      <c r="AC938" s="242"/>
      <c r="AD938" s="242"/>
      <c r="AE938" s="242"/>
      <c r="AF938" s="242"/>
      <c r="AG938" s="242"/>
      <c r="AH938" s="242"/>
      <c r="AI938" s="242"/>
      <c r="AJ938" s="13"/>
      <c r="AK938" s="242"/>
      <c r="AL938" s="242"/>
      <c r="AM938" s="242"/>
      <c r="AN938" s="242"/>
      <c r="AO938" s="242"/>
    </row>
    <row r="939">
      <c r="A939" s="242"/>
      <c r="B939" s="13"/>
      <c r="C939" s="242"/>
      <c r="D939" s="242"/>
      <c r="E939" s="242"/>
      <c r="F939" s="242"/>
      <c r="G939" s="13"/>
      <c r="H939" s="13"/>
      <c r="I939" s="13"/>
      <c r="J939" s="13"/>
      <c r="K939" s="13"/>
      <c r="L939" s="242"/>
      <c r="M939" s="242"/>
      <c r="N939" s="242"/>
      <c r="O939" s="242"/>
      <c r="P939" s="242"/>
      <c r="Q939" s="525"/>
      <c r="R939" s="242"/>
      <c r="S939" s="242"/>
      <c r="T939" s="242"/>
      <c r="U939" s="242"/>
      <c r="V939" s="242"/>
      <c r="W939" s="242"/>
      <c r="X939" s="242"/>
      <c r="Y939" s="242"/>
      <c r="Z939" s="242"/>
      <c r="AA939" s="242"/>
      <c r="AB939" s="242"/>
      <c r="AC939" s="242"/>
      <c r="AD939" s="242"/>
      <c r="AE939" s="242"/>
      <c r="AF939" s="242"/>
      <c r="AG939" s="242"/>
      <c r="AH939" s="242"/>
      <c r="AI939" s="242"/>
      <c r="AJ939" s="13"/>
      <c r="AK939" s="242"/>
      <c r="AL939" s="242"/>
      <c r="AM939" s="242"/>
      <c r="AN939" s="242"/>
      <c r="AO939" s="242"/>
    </row>
    <row r="940">
      <c r="A940" s="242"/>
      <c r="B940" s="13"/>
      <c r="C940" s="242"/>
      <c r="D940" s="242"/>
      <c r="E940" s="242"/>
      <c r="F940" s="242"/>
      <c r="G940" s="13"/>
      <c r="H940" s="13"/>
      <c r="I940" s="13"/>
      <c r="J940" s="13"/>
      <c r="K940" s="13"/>
      <c r="L940" s="242"/>
      <c r="M940" s="242"/>
      <c r="N940" s="242"/>
      <c r="O940" s="242"/>
      <c r="P940" s="242"/>
      <c r="Q940" s="525"/>
      <c r="R940" s="242"/>
      <c r="S940" s="242"/>
      <c r="T940" s="242"/>
      <c r="U940" s="242"/>
      <c r="V940" s="242"/>
      <c r="W940" s="242"/>
      <c r="X940" s="242"/>
      <c r="Y940" s="242"/>
      <c r="Z940" s="242"/>
      <c r="AA940" s="242"/>
      <c r="AB940" s="242"/>
      <c r="AC940" s="242"/>
      <c r="AD940" s="242"/>
      <c r="AE940" s="242"/>
      <c r="AF940" s="242"/>
      <c r="AG940" s="242"/>
      <c r="AH940" s="242"/>
      <c r="AI940" s="242"/>
      <c r="AJ940" s="13"/>
      <c r="AK940" s="242"/>
      <c r="AL940" s="242"/>
      <c r="AM940" s="242"/>
      <c r="AN940" s="242"/>
      <c r="AO940" s="242"/>
    </row>
    <row r="941">
      <c r="A941" s="242"/>
      <c r="B941" s="13"/>
      <c r="C941" s="242"/>
      <c r="D941" s="242"/>
      <c r="E941" s="242"/>
      <c r="F941" s="242"/>
      <c r="G941" s="13"/>
      <c r="H941" s="13"/>
      <c r="I941" s="13"/>
      <c r="J941" s="13"/>
      <c r="K941" s="13"/>
      <c r="L941" s="242"/>
      <c r="M941" s="242"/>
      <c r="N941" s="242"/>
      <c r="O941" s="242"/>
      <c r="P941" s="242"/>
      <c r="Q941" s="525"/>
      <c r="R941" s="242"/>
      <c r="S941" s="242"/>
      <c r="T941" s="242"/>
      <c r="U941" s="242"/>
      <c r="V941" s="242"/>
      <c r="W941" s="242"/>
      <c r="X941" s="242"/>
      <c r="Y941" s="242"/>
      <c r="Z941" s="242"/>
      <c r="AA941" s="242"/>
      <c r="AB941" s="242"/>
      <c r="AC941" s="242"/>
      <c r="AD941" s="242"/>
      <c r="AE941" s="242"/>
      <c r="AF941" s="242"/>
      <c r="AG941" s="242"/>
      <c r="AH941" s="242"/>
      <c r="AI941" s="242"/>
      <c r="AJ941" s="13"/>
      <c r="AK941" s="242"/>
      <c r="AL941" s="242"/>
      <c r="AM941" s="242"/>
      <c r="AN941" s="242"/>
      <c r="AO941" s="242"/>
    </row>
    <row r="942">
      <c r="A942" s="242"/>
      <c r="B942" s="13"/>
      <c r="C942" s="242"/>
      <c r="D942" s="242"/>
      <c r="E942" s="242"/>
      <c r="F942" s="242"/>
      <c r="G942" s="13"/>
      <c r="H942" s="13"/>
      <c r="I942" s="13"/>
      <c r="J942" s="13"/>
      <c r="K942" s="13"/>
      <c r="L942" s="242"/>
      <c r="M942" s="242"/>
      <c r="N942" s="242"/>
      <c r="O942" s="242"/>
      <c r="P942" s="242"/>
      <c r="Q942" s="525"/>
      <c r="R942" s="242"/>
      <c r="S942" s="242"/>
      <c r="T942" s="242"/>
      <c r="U942" s="242"/>
      <c r="V942" s="242"/>
      <c r="W942" s="242"/>
      <c r="X942" s="242"/>
      <c r="Y942" s="242"/>
      <c r="Z942" s="242"/>
      <c r="AA942" s="242"/>
      <c r="AB942" s="242"/>
      <c r="AC942" s="242"/>
      <c r="AD942" s="242"/>
      <c r="AE942" s="242"/>
      <c r="AF942" s="242"/>
      <c r="AG942" s="242"/>
      <c r="AH942" s="242"/>
      <c r="AI942" s="242"/>
      <c r="AJ942" s="13"/>
      <c r="AK942" s="242"/>
      <c r="AL942" s="242"/>
      <c r="AM942" s="242"/>
      <c r="AN942" s="242"/>
      <c r="AO942" s="242"/>
    </row>
    <row r="943">
      <c r="A943" s="242"/>
      <c r="B943" s="13"/>
      <c r="C943" s="242"/>
      <c r="D943" s="242"/>
      <c r="E943" s="242"/>
      <c r="F943" s="242"/>
      <c r="G943" s="13"/>
      <c r="H943" s="13"/>
      <c r="I943" s="13"/>
      <c r="J943" s="13"/>
      <c r="K943" s="13"/>
      <c r="L943" s="242"/>
      <c r="M943" s="242"/>
      <c r="N943" s="242"/>
      <c r="O943" s="242"/>
      <c r="P943" s="242"/>
      <c r="Q943" s="525"/>
      <c r="R943" s="242"/>
      <c r="S943" s="242"/>
      <c r="T943" s="242"/>
      <c r="U943" s="242"/>
      <c r="V943" s="242"/>
      <c r="W943" s="242"/>
      <c r="X943" s="242"/>
      <c r="Y943" s="242"/>
      <c r="Z943" s="242"/>
      <c r="AA943" s="242"/>
      <c r="AB943" s="242"/>
      <c r="AC943" s="242"/>
      <c r="AD943" s="242"/>
      <c r="AE943" s="242"/>
      <c r="AF943" s="242"/>
      <c r="AG943" s="242"/>
      <c r="AH943" s="242"/>
      <c r="AI943" s="242"/>
      <c r="AJ943" s="13"/>
      <c r="AK943" s="242"/>
      <c r="AL943" s="242"/>
      <c r="AM943" s="242"/>
      <c r="AN943" s="242"/>
      <c r="AO943" s="242"/>
    </row>
    <row r="944">
      <c r="A944" s="242"/>
      <c r="B944" s="13"/>
      <c r="C944" s="242"/>
      <c r="D944" s="242"/>
      <c r="E944" s="242"/>
      <c r="F944" s="242"/>
      <c r="G944" s="13"/>
      <c r="H944" s="13"/>
      <c r="I944" s="13"/>
      <c r="J944" s="13"/>
      <c r="K944" s="13"/>
      <c r="L944" s="242"/>
      <c r="M944" s="242"/>
      <c r="N944" s="242"/>
      <c r="O944" s="242"/>
      <c r="P944" s="242"/>
      <c r="Q944" s="525"/>
      <c r="R944" s="242"/>
      <c r="S944" s="242"/>
      <c r="T944" s="242"/>
      <c r="U944" s="242"/>
      <c r="V944" s="242"/>
      <c r="W944" s="242"/>
      <c r="X944" s="242"/>
      <c r="Y944" s="242"/>
      <c r="Z944" s="242"/>
      <c r="AA944" s="242"/>
      <c r="AB944" s="242"/>
      <c r="AC944" s="242"/>
      <c r="AD944" s="242"/>
      <c r="AE944" s="242"/>
      <c r="AF944" s="242"/>
      <c r="AG944" s="242"/>
      <c r="AH944" s="242"/>
      <c r="AI944" s="242"/>
      <c r="AJ944" s="13"/>
      <c r="AK944" s="242"/>
      <c r="AL944" s="242"/>
      <c r="AM944" s="242"/>
      <c r="AN944" s="242"/>
      <c r="AO944" s="242"/>
    </row>
    <row r="945">
      <c r="A945" s="242"/>
      <c r="B945" s="13"/>
      <c r="C945" s="242"/>
      <c r="D945" s="242"/>
      <c r="E945" s="242"/>
      <c r="F945" s="242"/>
      <c r="G945" s="13"/>
      <c r="H945" s="13"/>
      <c r="I945" s="13"/>
      <c r="J945" s="13"/>
      <c r="K945" s="13"/>
      <c r="L945" s="242"/>
      <c r="M945" s="242"/>
      <c r="N945" s="242"/>
      <c r="O945" s="242"/>
      <c r="P945" s="242"/>
      <c r="Q945" s="525"/>
      <c r="R945" s="242"/>
      <c r="S945" s="242"/>
      <c r="T945" s="242"/>
      <c r="U945" s="242"/>
      <c r="V945" s="242"/>
      <c r="W945" s="242"/>
      <c r="X945" s="242"/>
      <c r="Y945" s="242"/>
      <c r="Z945" s="242"/>
      <c r="AA945" s="242"/>
      <c r="AB945" s="242"/>
      <c r="AC945" s="242"/>
      <c r="AD945" s="242"/>
      <c r="AE945" s="242"/>
      <c r="AF945" s="242"/>
      <c r="AG945" s="242"/>
      <c r="AH945" s="242"/>
      <c r="AI945" s="242"/>
      <c r="AJ945" s="13"/>
      <c r="AK945" s="242"/>
      <c r="AL945" s="242"/>
      <c r="AM945" s="242"/>
      <c r="AN945" s="242"/>
      <c r="AO945" s="242"/>
    </row>
    <row r="946">
      <c r="A946" s="242"/>
      <c r="B946" s="13"/>
      <c r="C946" s="242"/>
      <c r="D946" s="242"/>
      <c r="E946" s="242"/>
      <c r="F946" s="242"/>
      <c r="G946" s="13"/>
      <c r="H946" s="13"/>
      <c r="I946" s="13"/>
      <c r="J946" s="13"/>
      <c r="K946" s="13"/>
      <c r="L946" s="242"/>
      <c r="M946" s="242"/>
      <c r="N946" s="242"/>
      <c r="O946" s="242"/>
      <c r="P946" s="242"/>
      <c r="Q946" s="525"/>
      <c r="R946" s="242"/>
      <c r="S946" s="242"/>
      <c r="T946" s="242"/>
      <c r="U946" s="242"/>
      <c r="V946" s="242"/>
      <c r="W946" s="242"/>
      <c r="X946" s="242"/>
      <c r="Y946" s="242"/>
      <c r="Z946" s="242"/>
      <c r="AA946" s="242"/>
      <c r="AB946" s="242"/>
      <c r="AC946" s="242"/>
      <c r="AD946" s="242"/>
      <c r="AE946" s="242"/>
      <c r="AF946" s="242"/>
      <c r="AG946" s="242"/>
      <c r="AH946" s="242"/>
      <c r="AI946" s="242"/>
      <c r="AJ946" s="13"/>
      <c r="AK946" s="242"/>
      <c r="AL946" s="242"/>
      <c r="AM946" s="242"/>
      <c r="AN946" s="242"/>
      <c r="AO946" s="242"/>
    </row>
    <row r="947">
      <c r="A947" s="242"/>
      <c r="B947" s="13"/>
      <c r="C947" s="242"/>
      <c r="D947" s="242"/>
      <c r="E947" s="242"/>
      <c r="F947" s="242"/>
      <c r="G947" s="13"/>
      <c r="H947" s="13"/>
      <c r="I947" s="13"/>
      <c r="J947" s="13"/>
      <c r="K947" s="13"/>
      <c r="L947" s="242"/>
      <c r="M947" s="242"/>
      <c r="N947" s="242"/>
      <c r="O947" s="242"/>
      <c r="P947" s="242"/>
      <c r="Q947" s="525"/>
      <c r="R947" s="242"/>
      <c r="S947" s="242"/>
      <c r="T947" s="242"/>
      <c r="U947" s="242"/>
      <c r="V947" s="242"/>
      <c r="W947" s="242"/>
      <c r="X947" s="242"/>
      <c r="Y947" s="242"/>
      <c r="Z947" s="242"/>
      <c r="AA947" s="242"/>
      <c r="AB947" s="242"/>
      <c r="AC947" s="242"/>
      <c r="AD947" s="242"/>
      <c r="AE947" s="242"/>
      <c r="AF947" s="242"/>
      <c r="AG947" s="242"/>
      <c r="AH947" s="242"/>
      <c r="AI947" s="242"/>
      <c r="AJ947" s="13"/>
      <c r="AK947" s="242"/>
      <c r="AL947" s="242"/>
      <c r="AM947" s="242"/>
      <c r="AN947" s="242"/>
      <c r="AO947" s="242"/>
    </row>
    <row r="948">
      <c r="A948" s="242"/>
      <c r="B948" s="13"/>
      <c r="C948" s="242"/>
      <c r="D948" s="242"/>
      <c r="E948" s="242"/>
      <c r="F948" s="242"/>
      <c r="G948" s="13"/>
      <c r="H948" s="13"/>
      <c r="I948" s="13"/>
      <c r="J948" s="13"/>
      <c r="K948" s="13"/>
      <c r="L948" s="242"/>
      <c r="M948" s="242"/>
      <c r="N948" s="242"/>
      <c r="O948" s="242"/>
      <c r="P948" s="242"/>
      <c r="Q948" s="525"/>
      <c r="R948" s="242"/>
      <c r="S948" s="242"/>
      <c r="T948" s="242"/>
      <c r="U948" s="242"/>
      <c r="V948" s="242"/>
      <c r="W948" s="242"/>
      <c r="X948" s="242"/>
      <c r="Y948" s="242"/>
      <c r="Z948" s="242"/>
      <c r="AA948" s="242"/>
      <c r="AB948" s="242"/>
      <c r="AC948" s="242"/>
      <c r="AD948" s="242"/>
      <c r="AE948" s="242"/>
      <c r="AF948" s="242"/>
      <c r="AG948" s="242"/>
      <c r="AH948" s="242"/>
      <c r="AI948" s="242"/>
      <c r="AJ948" s="13"/>
      <c r="AK948" s="242"/>
      <c r="AL948" s="242"/>
      <c r="AM948" s="242"/>
      <c r="AN948" s="242"/>
      <c r="AO948" s="242"/>
    </row>
    <row r="949">
      <c r="A949" s="242"/>
      <c r="B949" s="13"/>
      <c r="C949" s="242"/>
      <c r="D949" s="242"/>
      <c r="E949" s="242"/>
      <c r="F949" s="242"/>
      <c r="G949" s="13"/>
      <c r="H949" s="13"/>
      <c r="I949" s="13"/>
      <c r="J949" s="13"/>
      <c r="K949" s="13"/>
      <c r="L949" s="242"/>
      <c r="M949" s="242"/>
      <c r="N949" s="242"/>
      <c r="O949" s="242"/>
      <c r="P949" s="242"/>
      <c r="Q949" s="525"/>
      <c r="R949" s="242"/>
      <c r="S949" s="242"/>
      <c r="T949" s="242"/>
      <c r="U949" s="242"/>
      <c r="V949" s="242"/>
      <c r="W949" s="242"/>
      <c r="X949" s="242"/>
      <c r="Y949" s="242"/>
      <c r="Z949" s="242"/>
      <c r="AA949" s="242"/>
      <c r="AB949" s="242"/>
      <c r="AC949" s="242"/>
      <c r="AD949" s="242"/>
      <c r="AE949" s="242"/>
      <c r="AF949" s="242"/>
      <c r="AG949" s="242"/>
      <c r="AH949" s="242"/>
      <c r="AI949" s="242"/>
      <c r="AJ949" s="13"/>
      <c r="AK949" s="242"/>
      <c r="AL949" s="242"/>
      <c r="AM949" s="242"/>
      <c r="AN949" s="242"/>
      <c r="AO949" s="242"/>
    </row>
    <row r="950">
      <c r="A950" s="242"/>
      <c r="B950" s="13"/>
      <c r="C950" s="242"/>
      <c r="D950" s="242"/>
      <c r="E950" s="242"/>
      <c r="F950" s="242"/>
      <c r="G950" s="13"/>
      <c r="H950" s="13"/>
      <c r="I950" s="13"/>
      <c r="J950" s="13"/>
      <c r="K950" s="13"/>
      <c r="L950" s="242"/>
      <c r="M950" s="242"/>
      <c r="N950" s="242"/>
      <c r="O950" s="242"/>
      <c r="P950" s="242"/>
      <c r="Q950" s="525"/>
      <c r="R950" s="242"/>
      <c r="S950" s="242"/>
      <c r="T950" s="242"/>
      <c r="U950" s="242"/>
      <c r="V950" s="242"/>
      <c r="W950" s="242"/>
      <c r="X950" s="242"/>
      <c r="Y950" s="242"/>
      <c r="Z950" s="242"/>
      <c r="AA950" s="242"/>
      <c r="AB950" s="242"/>
      <c r="AC950" s="242"/>
      <c r="AD950" s="242"/>
      <c r="AE950" s="242"/>
      <c r="AF950" s="242"/>
      <c r="AG950" s="242"/>
      <c r="AH950" s="242"/>
      <c r="AI950" s="242"/>
      <c r="AJ950" s="13"/>
      <c r="AK950" s="242"/>
      <c r="AL950" s="242"/>
      <c r="AM950" s="242"/>
      <c r="AN950" s="242"/>
      <c r="AO950" s="242"/>
    </row>
    <row r="951">
      <c r="A951" s="242"/>
      <c r="B951" s="13"/>
      <c r="C951" s="242"/>
      <c r="D951" s="242"/>
      <c r="E951" s="242"/>
      <c r="F951" s="242"/>
      <c r="G951" s="13"/>
      <c r="H951" s="13"/>
      <c r="I951" s="13"/>
      <c r="J951" s="13"/>
      <c r="K951" s="13"/>
      <c r="L951" s="242"/>
      <c r="M951" s="242"/>
      <c r="N951" s="242"/>
      <c r="O951" s="242"/>
      <c r="P951" s="242"/>
      <c r="Q951" s="525"/>
      <c r="R951" s="242"/>
      <c r="S951" s="242"/>
      <c r="T951" s="242"/>
      <c r="U951" s="242"/>
      <c r="V951" s="242"/>
      <c r="W951" s="242"/>
      <c r="X951" s="242"/>
      <c r="Y951" s="242"/>
      <c r="Z951" s="242"/>
      <c r="AA951" s="242"/>
      <c r="AB951" s="242"/>
      <c r="AC951" s="242"/>
      <c r="AD951" s="242"/>
      <c r="AE951" s="242"/>
      <c r="AF951" s="242"/>
      <c r="AG951" s="242"/>
      <c r="AH951" s="242"/>
      <c r="AI951" s="242"/>
      <c r="AJ951" s="13"/>
      <c r="AK951" s="242"/>
      <c r="AL951" s="242"/>
      <c r="AM951" s="242"/>
      <c r="AN951" s="242"/>
      <c r="AO951" s="242"/>
    </row>
    <row r="952">
      <c r="A952" s="242"/>
      <c r="B952" s="13"/>
      <c r="C952" s="242"/>
      <c r="D952" s="242"/>
      <c r="E952" s="242"/>
      <c r="F952" s="242"/>
      <c r="G952" s="13"/>
      <c r="H952" s="13"/>
      <c r="I952" s="13"/>
      <c r="J952" s="13"/>
      <c r="K952" s="13"/>
      <c r="L952" s="242"/>
      <c r="M952" s="242"/>
      <c r="N952" s="242"/>
      <c r="O952" s="242"/>
      <c r="P952" s="242"/>
      <c r="Q952" s="525"/>
      <c r="R952" s="242"/>
      <c r="S952" s="242"/>
      <c r="T952" s="242"/>
      <c r="U952" s="242"/>
      <c r="V952" s="242"/>
      <c r="W952" s="242"/>
      <c r="X952" s="242"/>
      <c r="Y952" s="242"/>
      <c r="Z952" s="242"/>
      <c r="AA952" s="242"/>
      <c r="AB952" s="242"/>
      <c r="AC952" s="242"/>
      <c r="AD952" s="242"/>
      <c r="AE952" s="242"/>
      <c r="AF952" s="242"/>
      <c r="AG952" s="242"/>
      <c r="AH952" s="242"/>
      <c r="AI952" s="242"/>
      <c r="AJ952" s="13"/>
      <c r="AK952" s="242"/>
      <c r="AL952" s="242"/>
      <c r="AM952" s="242"/>
      <c r="AN952" s="242"/>
      <c r="AO952" s="242"/>
    </row>
    <row r="953">
      <c r="A953" s="242"/>
      <c r="B953" s="13"/>
      <c r="C953" s="242"/>
      <c r="D953" s="242"/>
      <c r="E953" s="242"/>
      <c r="F953" s="242"/>
      <c r="G953" s="13"/>
      <c r="H953" s="13"/>
      <c r="I953" s="13"/>
      <c r="J953" s="13"/>
      <c r="K953" s="13"/>
      <c r="L953" s="242"/>
      <c r="M953" s="242"/>
      <c r="N953" s="242"/>
      <c r="O953" s="242"/>
      <c r="P953" s="242"/>
      <c r="Q953" s="525"/>
      <c r="R953" s="242"/>
      <c r="S953" s="242"/>
      <c r="T953" s="242"/>
      <c r="U953" s="242"/>
      <c r="V953" s="242"/>
      <c r="W953" s="242"/>
      <c r="X953" s="242"/>
      <c r="Y953" s="242"/>
      <c r="Z953" s="242"/>
      <c r="AA953" s="242"/>
      <c r="AB953" s="242"/>
      <c r="AC953" s="242"/>
      <c r="AD953" s="242"/>
      <c r="AE953" s="242"/>
      <c r="AF953" s="242"/>
      <c r="AG953" s="242"/>
      <c r="AH953" s="242"/>
      <c r="AI953" s="242"/>
      <c r="AJ953" s="13"/>
      <c r="AK953" s="242"/>
      <c r="AL953" s="242"/>
      <c r="AM953" s="242"/>
      <c r="AN953" s="242"/>
      <c r="AO953" s="242"/>
    </row>
    <row r="954">
      <c r="A954" s="242"/>
      <c r="B954" s="13"/>
      <c r="C954" s="242"/>
      <c r="D954" s="242"/>
      <c r="E954" s="242"/>
      <c r="F954" s="242"/>
      <c r="G954" s="13"/>
      <c r="H954" s="13"/>
      <c r="I954" s="13"/>
      <c r="J954" s="13"/>
      <c r="K954" s="13"/>
      <c r="L954" s="242"/>
      <c r="M954" s="242"/>
      <c r="N954" s="242"/>
      <c r="O954" s="242"/>
      <c r="P954" s="242"/>
      <c r="Q954" s="525"/>
      <c r="R954" s="242"/>
      <c r="S954" s="242"/>
      <c r="T954" s="242"/>
      <c r="U954" s="242"/>
      <c r="V954" s="242"/>
      <c r="W954" s="242"/>
      <c r="X954" s="242"/>
      <c r="Y954" s="242"/>
      <c r="Z954" s="242"/>
      <c r="AA954" s="242"/>
      <c r="AB954" s="242"/>
      <c r="AC954" s="242"/>
      <c r="AD954" s="242"/>
      <c r="AE954" s="242"/>
      <c r="AF954" s="242"/>
      <c r="AG954" s="242"/>
      <c r="AH954" s="242"/>
      <c r="AI954" s="242"/>
      <c r="AJ954" s="13"/>
      <c r="AK954" s="242"/>
      <c r="AL954" s="242"/>
      <c r="AM954" s="242"/>
      <c r="AN954" s="242"/>
      <c r="AO954" s="242"/>
    </row>
    <row r="955">
      <c r="A955" s="242"/>
      <c r="B955" s="13"/>
      <c r="C955" s="242"/>
      <c r="D955" s="242"/>
      <c r="E955" s="242"/>
      <c r="F955" s="242"/>
      <c r="G955" s="13"/>
      <c r="H955" s="13"/>
      <c r="I955" s="13"/>
      <c r="J955" s="13"/>
      <c r="K955" s="13"/>
      <c r="L955" s="242"/>
      <c r="M955" s="242"/>
      <c r="N955" s="242"/>
      <c r="O955" s="242"/>
      <c r="P955" s="242"/>
      <c r="Q955" s="525"/>
      <c r="R955" s="242"/>
      <c r="S955" s="242"/>
      <c r="T955" s="242"/>
      <c r="U955" s="242"/>
      <c r="V955" s="242"/>
      <c r="W955" s="242"/>
      <c r="X955" s="242"/>
      <c r="Y955" s="242"/>
      <c r="Z955" s="242"/>
      <c r="AA955" s="242"/>
      <c r="AB955" s="242"/>
      <c r="AC955" s="242"/>
      <c r="AD955" s="242"/>
      <c r="AE955" s="242"/>
      <c r="AF955" s="242"/>
      <c r="AG955" s="242"/>
      <c r="AH955" s="242"/>
      <c r="AI955" s="242"/>
      <c r="AJ955" s="13"/>
      <c r="AK955" s="242"/>
      <c r="AL955" s="242"/>
      <c r="AM955" s="242"/>
      <c r="AN955" s="242"/>
      <c r="AO955" s="242"/>
    </row>
    <row r="956">
      <c r="A956" s="242"/>
      <c r="B956" s="13"/>
      <c r="C956" s="242"/>
      <c r="D956" s="242"/>
      <c r="E956" s="242"/>
      <c r="F956" s="242"/>
      <c r="G956" s="13"/>
      <c r="H956" s="13"/>
      <c r="I956" s="13"/>
      <c r="J956" s="13"/>
      <c r="K956" s="13"/>
      <c r="L956" s="242"/>
      <c r="M956" s="242"/>
      <c r="N956" s="242"/>
      <c r="O956" s="242"/>
      <c r="P956" s="242"/>
      <c r="Q956" s="525"/>
      <c r="R956" s="242"/>
      <c r="S956" s="242"/>
      <c r="T956" s="242"/>
      <c r="U956" s="242"/>
      <c r="V956" s="242"/>
      <c r="W956" s="242"/>
      <c r="X956" s="242"/>
      <c r="Y956" s="242"/>
      <c r="Z956" s="242"/>
      <c r="AA956" s="242"/>
      <c r="AB956" s="242"/>
      <c r="AC956" s="242"/>
      <c r="AD956" s="242"/>
      <c r="AE956" s="242"/>
      <c r="AF956" s="242"/>
      <c r="AG956" s="242"/>
      <c r="AH956" s="242"/>
      <c r="AI956" s="242"/>
      <c r="AJ956" s="13"/>
      <c r="AK956" s="242"/>
      <c r="AL956" s="242"/>
      <c r="AM956" s="242"/>
      <c r="AN956" s="242"/>
      <c r="AO956" s="242"/>
    </row>
    <row r="957">
      <c r="A957" s="242"/>
      <c r="B957" s="13"/>
      <c r="C957" s="242"/>
      <c r="D957" s="242"/>
      <c r="E957" s="242"/>
      <c r="F957" s="242"/>
      <c r="G957" s="13"/>
      <c r="H957" s="13"/>
      <c r="I957" s="13"/>
      <c r="J957" s="13"/>
      <c r="K957" s="13"/>
      <c r="L957" s="242"/>
      <c r="M957" s="242"/>
      <c r="N957" s="242"/>
      <c r="O957" s="242"/>
      <c r="P957" s="242"/>
      <c r="Q957" s="525"/>
      <c r="R957" s="242"/>
      <c r="S957" s="242"/>
      <c r="T957" s="242"/>
      <c r="U957" s="242"/>
      <c r="V957" s="242"/>
      <c r="W957" s="242"/>
      <c r="X957" s="242"/>
      <c r="Y957" s="242"/>
      <c r="Z957" s="242"/>
      <c r="AA957" s="242"/>
      <c r="AB957" s="242"/>
      <c r="AC957" s="242"/>
      <c r="AD957" s="242"/>
      <c r="AE957" s="242"/>
      <c r="AF957" s="242"/>
      <c r="AG957" s="242"/>
      <c r="AH957" s="242"/>
      <c r="AI957" s="242"/>
      <c r="AJ957" s="13"/>
      <c r="AK957" s="242"/>
      <c r="AL957" s="242"/>
      <c r="AM957" s="242"/>
      <c r="AN957" s="242"/>
      <c r="AO957" s="242"/>
    </row>
    <row r="958">
      <c r="A958" s="242"/>
      <c r="B958" s="13"/>
      <c r="C958" s="242"/>
      <c r="D958" s="242"/>
      <c r="E958" s="242"/>
      <c r="F958" s="242"/>
      <c r="G958" s="13"/>
      <c r="H958" s="13"/>
      <c r="I958" s="13"/>
      <c r="J958" s="13"/>
      <c r="K958" s="13"/>
      <c r="L958" s="242"/>
      <c r="M958" s="242"/>
      <c r="N958" s="242"/>
      <c r="O958" s="242"/>
      <c r="P958" s="242"/>
      <c r="Q958" s="525"/>
      <c r="R958" s="242"/>
      <c r="S958" s="242"/>
      <c r="T958" s="242"/>
      <c r="U958" s="242"/>
      <c r="V958" s="242"/>
      <c r="W958" s="242"/>
      <c r="X958" s="242"/>
      <c r="Y958" s="242"/>
      <c r="Z958" s="242"/>
      <c r="AA958" s="242"/>
      <c r="AB958" s="242"/>
      <c r="AC958" s="242"/>
      <c r="AD958" s="242"/>
      <c r="AE958" s="242"/>
      <c r="AF958" s="242"/>
      <c r="AG958" s="242"/>
      <c r="AH958" s="242"/>
      <c r="AI958" s="242"/>
      <c r="AJ958" s="13"/>
      <c r="AK958" s="242"/>
      <c r="AL958" s="242"/>
      <c r="AM958" s="242"/>
      <c r="AN958" s="242"/>
      <c r="AO958" s="242"/>
    </row>
    <row r="959">
      <c r="A959" s="242"/>
      <c r="B959" s="13"/>
      <c r="C959" s="242"/>
      <c r="D959" s="242"/>
      <c r="E959" s="242"/>
      <c r="F959" s="242"/>
      <c r="G959" s="13"/>
      <c r="H959" s="13"/>
      <c r="I959" s="13"/>
      <c r="J959" s="13"/>
      <c r="K959" s="13"/>
      <c r="L959" s="242"/>
      <c r="M959" s="242"/>
      <c r="N959" s="242"/>
      <c r="O959" s="242"/>
      <c r="P959" s="242"/>
      <c r="Q959" s="525"/>
      <c r="R959" s="242"/>
      <c r="S959" s="242"/>
      <c r="T959" s="242"/>
      <c r="U959" s="242"/>
      <c r="V959" s="242"/>
      <c r="W959" s="242"/>
      <c r="X959" s="242"/>
      <c r="Y959" s="242"/>
      <c r="Z959" s="242"/>
      <c r="AA959" s="242"/>
      <c r="AB959" s="242"/>
      <c r="AC959" s="242"/>
      <c r="AD959" s="242"/>
      <c r="AE959" s="242"/>
      <c r="AF959" s="242"/>
      <c r="AG959" s="242"/>
      <c r="AH959" s="242"/>
      <c r="AI959" s="242"/>
      <c r="AJ959" s="13"/>
      <c r="AK959" s="242"/>
      <c r="AL959" s="242"/>
      <c r="AM959" s="242"/>
      <c r="AN959" s="242"/>
      <c r="AO959" s="242"/>
    </row>
    <row r="960">
      <c r="A960" s="242"/>
      <c r="B960" s="13"/>
      <c r="C960" s="242"/>
      <c r="D960" s="242"/>
      <c r="E960" s="242"/>
      <c r="F960" s="242"/>
      <c r="G960" s="13"/>
      <c r="H960" s="13"/>
      <c r="I960" s="13"/>
      <c r="J960" s="13"/>
      <c r="K960" s="13"/>
      <c r="L960" s="242"/>
      <c r="M960" s="242"/>
      <c r="N960" s="242"/>
      <c r="O960" s="242"/>
      <c r="P960" s="242"/>
      <c r="Q960" s="525"/>
      <c r="R960" s="242"/>
      <c r="S960" s="242"/>
      <c r="T960" s="242"/>
      <c r="U960" s="242"/>
      <c r="V960" s="242"/>
      <c r="W960" s="242"/>
      <c r="X960" s="242"/>
      <c r="Y960" s="242"/>
      <c r="Z960" s="242"/>
      <c r="AA960" s="242"/>
      <c r="AB960" s="242"/>
      <c r="AC960" s="242"/>
      <c r="AD960" s="242"/>
      <c r="AE960" s="242"/>
      <c r="AF960" s="242"/>
      <c r="AG960" s="242"/>
      <c r="AH960" s="242"/>
      <c r="AI960" s="242"/>
      <c r="AJ960" s="13"/>
      <c r="AK960" s="242"/>
      <c r="AL960" s="242"/>
      <c r="AM960" s="242"/>
      <c r="AN960" s="242"/>
      <c r="AO960" s="242"/>
    </row>
    <row r="961">
      <c r="A961" s="242"/>
      <c r="B961" s="13"/>
      <c r="C961" s="242"/>
      <c r="D961" s="242"/>
      <c r="E961" s="242"/>
      <c r="F961" s="242"/>
      <c r="G961" s="13"/>
      <c r="H961" s="13"/>
      <c r="I961" s="13"/>
      <c r="J961" s="13"/>
      <c r="K961" s="13"/>
      <c r="L961" s="242"/>
      <c r="M961" s="242"/>
      <c r="N961" s="242"/>
      <c r="O961" s="242"/>
      <c r="P961" s="242"/>
      <c r="Q961" s="525"/>
      <c r="R961" s="242"/>
      <c r="S961" s="242"/>
      <c r="T961" s="242"/>
      <c r="U961" s="242"/>
      <c r="V961" s="242"/>
      <c r="W961" s="242"/>
      <c r="X961" s="242"/>
      <c r="Y961" s="242"/>
      <c r="Z961" s="242"/>
      <c r="AA961" s="242"/>
      <c r="AB961" s="242"/>
      <c r="AC961" s="242"/>
      <c r="AD961" s="242"/>
      <c r="AE961" s="242"/>
      <c r="AF961" s="242"/>
      <c r="AG961" s="242"/>
      <c r="AH961" s="242"/>
      <c r="AI961" s="242"/>
      <c r="AJ961" s="13"/>
      <c r="AK961" s="242"/>
      <c r="AL961" s="242"/>
      <c r="AM961" s="242"/>
      <c r="AN961" s="242"/>
      <c r="AO961" s="242"/>
    </row>
    <row r="962">
      <c r="A962" s="242"/>
      <c r="B962" s="13"/>
      <c r="C962" s="242"/>
      <c r="D962" s="242"/>
      <c r="E962" s="242"/>
      <c r="F962" s="242"/>
      <c r="G962" s="13"/>
      <c r="H962" s="13"/>
      <c r="I962" s="13"/>
      <c r="J962" s="13"/>
      <c r="K962" s="13"/>
      <c r="L962" s="242"/>
      <c r="M962" s="242"/>
      <c r="N962" s="242"/>
      <c r="O962" s="242"/>
      <c r="P962" s="242"/>
      <c r="Q962" s="525"/>
      <c r="R962" s="242"/>
      <c r="S962" s="242"/>
      <c r="T962" s="242"/>
      <c r="U962" s="242"/>
      <c r="V962" s="242"/>
      <c r="W962" s="242"/>
      <c r="X962" s="242"/>
      <c r="Y962" s="242"/>
      <c r="Z962" s="242"/>
      <c r="AA962" s="242"/>
      <c r="AB962" s="242"/>
      <c r="AC962" s="242"/>
      <c r="AD962" s="242"/>
      <c r="AE962" s="242"/>
      <c r="AF962" s="242"/>
      <c r="AG962" s="242"/>
      <c r="AH962" s="242"/>
      <c r="AI962" s="242"/>
      <c r="AJ962" s="13"/>
      <c r="AK962" s="242"/>
      <c r="AL962" s="242"/>
      <c r="AM962" s="242"/>
      <c r="AN962" s="242"/>
      <c r="AO962" s="242"/>
    </row>
    <row r="963">
      <c r="A963" s="242"/>
      <c r="B963" s="13"/>
      <c r="C963" s="242"/>
      <c r="D963" s="242"/>
      <c r="E963" s="242"/>
      <c r="F963" s="242"/>
      <c r="G963" s="13"/>
      <c r="H963" s="13"/>
      <c r="I963" s="13"/>
      <c r="J963" s="13"/>
      <c r="K963" s="13"/>
      <c r="L963" s="242"/>
      <c r="M963" s="242"/>
      <c r="N963" s="242"/>
      <c r="O963" s="242"/>
      <c r="P963" s="242"/>
      <c r="Q963" s="525"/>
      <c r="R963" s="242"/>
      <c r="S963" s="242"/>
      <c r="T963" s="242"/>
      <c r="U963" s="242"/>
      <c r="V963" s="242"/>
      <c r="W963" s="242"/>
      <c r="X963" s="242"/>
      <c r="Y963" s="242"/>
      <c r="Z963" s="242"/>
      <c r="AA963" s="242"/>
      <c r="AB963" s="242"/>
      <c r="AC963" s="242"/>
      <c r="AD963" s="242"/>
      <c r="AE963" s="242"/>
      <c r="AF963" s="242"/>
      <c r="AG963" s="242"/>
      <c r="AH963" s="242"/>
      <c r="AI963" s="242"/>
      <c r="AJ963" s="13"/>
      <c r="AK963" s="242"/>
      <c r="AL963" s="242"/>
      <c r="AM963" s="242"/>
      <c r="AN963" s="242"/>
      <c r="AO963" s="242"/>
    </row>
    <row r="964">
      <c r="A964" s="242"/>
      <c r="B964" s="13"/>
      <c r="C964" s="242"/>
      <c r="D964" s="242"/>
      <c r="E964" s="242"/>
      <c r="F964" s="242"/>
      <c r="G964" s="13"/>
      <c r="H964" s="13"/>
      <c r="I964" s="13"/>
      <c r="J964" s="13"/>
      <c r="K964" s="13"/>
      <c r="L964" s="242"/>
      <c r="M964" s="242"/>
      <c r="N964" s="242"/>
      <c r="O964" s="242"/>
      <c r="P964" s="242"/>
      <c r="Q964" s="525"/>
      <c r="R964" s="242"/>
      <c r="S964" s="242"/>
      <c r="T964" s="242"/>
      <c r="U964" s="242"/>
      <c r="V964" s="242"/>
      <c r="W964" s="242"/>
      <c r="X964" s="242"/>
      <c r="Y964" s="242"/>
      <c r="Z964" s="242"/>
      <c r="AA964" s="242"/>
      <c r="AB964" s="242"/>
      <c r="AC964" s="242"/>
      <c r="AD964" s="242"/>
      <c r="AE964" s="242"/>
      <c r="AF964" s="242"/>
      <c r="AG964" s="242"/>
      <c r="AH964" s="242"/>
      <c r="AI964" s="242"/>
      <c r="AJ964" s="13"/>
      <c r="AK964" s="242"/>
      <c r="AL964" s="242"/>
      <c r="AM964" s="242"/>
      <c r="AN964" s="242"/>
      <c r="AO964" s="242"/>
    </row>
    <row r="965">
      <c r="A965" s="242"/>
      <c r="B965" s="13"/>
      <c r="C965" s="242"/>
      <c r="D965" s="242"/>
      <c r="E965" s="242"/>
      <c r="F965" s="242"/>
      <c r="G965" s="13"/>
      <c r="H965" s="13"/>
      <c r="I965" s="13"/>
      <c r="J965" s="13"/>
      <c r="K965" s="13"/>
      <c r="L965" s="242"/>
      <c r="M965" s="242"/>
      <c r="N965" s="242"/>
      <c r="O965" s="242"/>
      <c r="P965" s="242"/>
      <c r="Q965" s="525"/>
      <c r="R965" s="242"/>
      <c r="S965" s="242"/>
      <c r="T965" s="242"/>
      <c r="U965" s="242"/>
      <c r="V965" s="242"/>
      <c r="W965" s="242"/>
      <c r="X965" s="242"/>
      <c r="Y965" s="242"/>
      <c r="Z965" s="242"/>
      <c r="AA965" s="242"/>
      <c r="AB965" s="242"/>
      <c r="AC965" s="242"/>
      <c r="AD965" s="242"/>
      <c r="AE965" s="242"/>
      <c r="AF965" s="242"/>
      <c r="AG965" s="242"/>
      <c r="AH965" s="242"/>
      <c r="AI965" s="242"/>
      <c r="AJ965" s="13"/>
      <c r="AK965" s="242"/>
      <c r="AL965" s="242"/>
      <c r="AM965" s="242"/>
      <c r="AN965" s="242"/>
      <c r="AO965" s="242"/>
    </row>
    <row r="966">
      <c r="A966" s="242"/>
      <c r="B966" s="13"/>
      <c r="C966" s="242"/>
      <c r="D966" s="242"/>
      <c r="E966" s="242"/>
      <c r="F966" s="242"/>
      <c r="G966" s="13"/>
      <c r="H966" s="13"/>
      <c r="I966" s="13"/>
      <c r="J966" s="13"/>
      <c r="K966" s="13"/>
      <c r="L966" s="242"/>
      <c r="M966" s="242"/>
      <c r="N966" s="242"/>
      <c r="O966" s="242"/>
      <c r="P966" s="242"/>
      <c r="Q966" s="525"/>
      <c r="R966" s="242"/>
      <c r="S966" s="242"/>
      <c r="T966" s="242"/>
      <c r="U966" s="242"/>
      <c r="V966" s="242"/>
      <c r="W966" s="242"/>
      <c r="X966" s="242"/>
      <c r="Y966" s="242"/>
      <c r="Z966" s="242"/>
      <c r="AA966" s="242"/>
      <c r="AB966" s="242"/>
      <c r="AC966" s="242"/>
      <c r="AD966" s="242"/>
      <c r="AE966" s="242"/>
      <c r="AF966" s="242"/>
      <c r="AG966" s="242"/>
      <c r="AH966" s="242"/>
      <c r="AI966" s="242"/>
      <c r="AJ966" s="13"/>
      <c r="AK966" s="242"/>
      <c r="AL966" s="242"/>
      <c r="AM966" s="242"/>
      <c r="AN966" s="242"/>
      <c r="AO966" s="242"/>
    </row>
    <row r="967">
      <c r="A967" s="242"/>
      <c r="B967" s="13"/>
      <c r="C967" s="242"/>
      <c r="D967" s="242"/>
      <c r="E967" s="242"/>
      <c r="F967" s="242"/>
      <c r="G967" s="13"/>
      <c r="H967" s="13"/>
      <c r="I967" s="13"/>
      <c r="J967" s="13"/>
      <c r="K967" s="13"/>
      <c r="L967" s="242"/>
      <c r="M967" s="242"/>
      <c r="N967" s="242"/>
      <c r="O967" s="242"/>
      <c r="P967" s="242"/>
      <c r="Q967" s="525"/>
      <c r="R967" s="242"/>
      <c r="S967" s="242"/>
      <c r="T967" s="242"/>
      <c r="U967" s="242"/>
      <c r="V967" s="242"/>
      <c r="W967" s="242"/>
      <c r="X967" s="242"/>
      <c r="Y967" s="242"/>
      <c r="Z967" s="242"/>
      <c r="AA967" s="242"/>
      <c r="AB967" s="242"/>
      <c r="AC967" s="242"/>
      <c r="AD967" s="242"/>
      <c r="AE967" s="242"/>
      <c r="AF967" s="242"/>
      <c r="AG967" s="242"/>
      <c r="AH967" s="242"/>
      <c r="AI967" s="242"/>
      <c r="AJ967" s="13"/>
      <c r="AK967" s="242"/>
      <c r="AL967" s="242"/>
      <c r="AM967" s="242"/>
      <c r="AN967" s="242"/>
      <c r="AO967" s="242"/>
    </row>
    <row r="968">
      <c r="A968" s="242"/>
      <c r="B968" s="13"/>
      <c r="C968" s="242"/>
      <c r="D968" s="242"/>
      <c r="E968" s="242"/>
      <c r="F968" s="242"/>
      <c r="G968" s="13"/>
      <c r="H968" s="13"/>
      <c r="I968" s="13"/>
      <c r="J968" s="13"/>
      <c r="K968" s="13"/>
      <c r="L968" s="242"/>
      <c r="M968" s="242"/>
      <c r="N968" s="242"/>
      <c r="O968" s="242"/>
      <c r="P968" s="242"/>
      <c r="Q968" s="525"/>
      <c r="R968" s="242"/>
      <c r="S968" s="242"/>
      <c r="T968" s="242"/>
      <c r="U968" s="242"/>
      <c r="V968" s="242"/>
      <c r="W968" s="242"/>
      <c r="X968" s="242"/>
      <c r="Y968" s="242"/>
      <c r="Z968" s="242"/>
      <c r="AA968" s="242"/>
      <c r="AB968" s="242"/>
      <c r="AC968" s="242"/>
      <c r="AD968" s="242"/>
      <c r="AE968" s="242"/>
      <c r="AF968" s="242"/>
      <c r="AG968" s="242"/>
      <c r="AH968" s="242"/>
      <c r="AI968" s="242"/>
      <c r="AJ968" s="13"/>
      <c r="AK968" s="242"/>
      <c r="AL968" s="242"/>
      <c r="AM968" s="242"/>
      <c r="AN968" s="242"/>
      <c r="AO968" s="242"/>
    </row>
    <row r="969">
      <c r="A969" s="242"/>
      <c r="B969" s="13"/>
      <c r="C969" s="242"/>
      <c r="D969" s="242"/>
      <c r="E969" s="242"/>
      <c r="F969" s="242"/>
      <c r="G969" s="13"/>
      <c r="H969" s="13"/>
      <c r="I969" s="13"/>
      <c r="J969" s="13"/>
      <c r="K969" s="13"/>
      <c r="L969" s="242"/>
      <c r="M969" s="242"/>
      <c r="N969" s="242"/>
      <c r="O969" s="242"/>
      <c r="P969" s="242"/>
      <c r="Q969" s="525"/>
      <c r="R969" s="242"/>
      <c r="S969" s="242"/>
      <c r="T969" s="242"/>
      <c r="U969" s="242"/>
      <c r="V969" s="242"/>
      <c r="W969" s="242"/>
      <c r="X969" s="242"/>
      <c r="Y969" s="242"/>
      <c r="Z969" s="242"/>
      <c r="AA969" s="242"/>
      <c r="AB969" s="242"/>
      <c r="AC969" s="242"/>
      <c r="AD969" s="242"/>
      <c r="AE969" s="242"/>
      <c r="AF969" s="242"/>
      <c r="AG969" s="242"/>
      <c r="AH969" s="242"/>
      <c r="AI969" s="242"/>
      <c r="AJ969" s="13"/>
      <c r="AK969" s="242"/>
      <c r="AL969" s="242"/>
      <c r="AM969" s="242"/>
      <c r="AN969" s="242"/>
      <c r="AO969" s="242"/>
    </row>
    <row r="970">
      <c r="A970" s="242"/>
      <c r="B970" s="13"/>
      <c r="C970" s="242"/>
      <c r="D970" s="242"/>
      <c r="E970" s="242"/>
      <c r="F970" s="242"/>
      <c r="G970" s="13"/>
      <c r="H970" s="13"/>
      <c r="I970" s="13"/>
      <c r="J970" s="13"/>
      <c r="K970" s="13"/>
      <c r="L970" s="242"/>
      <c r="M970" s="242"/>
      <c r="N970" s="242"/>
      <c r="O970" s="242"/>
      <c r="P970" s="242"/>
      <c r="Q970" s="525"/>
      <c r="R970" s="242"/>
      <c r="S970" s="242"/>
      <c r="T970" s="242"/>
      <c r="U970" s="242"/>
      <c r="V970" s="242"/>
      <c r="W970" s="242"/>
      <c r="X970" s="242"/>
      <c r="Y970" s="242"/>
      <c r="Z970" s="242"/>
      <c r="AA970" s="242"/>
      <c r="AB970" s="242"/>
      <c r="AC970" s="242"/>
      <c r="AD970" s="242"/>
      <c r="AE970" s="242"/>
      <c r="AF970" s="242"/>
      <c r="AG970" s="242"/>
      <c r="AH970" s="242"/>
      <c r="AI970" s="242"/>
      <c r="AJ970" s="13"/>
      <c r="AK970" s="242"/>
      <c r="AL970" s="242"/>
      <c r="AM970" s="242"/>
      <c r="AN970" s="242"/>
      <c r="AO970" s="242"/>
    </row>
    <row r="971">
      <c r="A971" s="242"/>
      <c r="B971" s="13"/>
      <c r="C971" s="242"/>
      <c r="D971" s="242"/>
      <c r="E971" s="242"/>
      <c r="F971" s="242"/>
      <c r="G971" s="13"/>
      <c r="H971" s="13"/>
      <c r="I971" s="13"/>
      <c r="J971" s="13"/>
      <c r="K971" s="13"/>
      <c r="L971" s="242"/>
      <c r="M971" s="242"/>
      <c r="N971" s="242"/>
      <c r="O971" s="242"/>
      <c r="P971" s="242"/>
      <c r="Q971" s="525"/>
      <c r="R971" s="242"/>
      <c r="S971" s="242"/>
      <c r="T971" s="242"/>
      <c r="U971" s="242"/>
      <c r="V971" s="242"/>
      <c r="W971" s="242"/>
      <c r="X971" s="242"/>
      <c r="Y971" s="242"/>
      <c r="Z971" s="242"/>
      <c r="AA971" s="242"/>
      <c r="AB971" s="242"/>
      <c r="AC971" s="242"/>
      <c r="AD971" s="242"/>
      <c r="AE971" s="242"/>
      <c r="AF971" s="242"/>
      <c r="AG971" s="242"/>
      <c r="AH971" s="242"/>
      <c r="AI971" s="242"/>
      <c r="AJ971" s="13"/>
      <c r="AK971" s="242"/>
      <c r="AL971" s="242"/>
      <c r="AM971" s="242"/>
      <c r="AN971" s="242"/>
      <c r="AO971" s="242"/>
    </row>
    <row r="972">
      <c r="A972" s="242"/>
      <c r="B972" s="13"/>
      <c r="C972" s="242"/>
      <c r="D972" s="242"/>
      <c r="E972" s="242"/>
      <c r="F972" s="242"/>
      <c r="G972" s="13"/>
      <c r="H972" s="13"/>
      <c r="I972" s="13"/>
      <c r="J972" s="13"/>
      <c r="K972" s="13"/>
      <c r="L972" s="242"/>
      <c r="M972" s="242"/>
      <c r="N972" s="242"/>
      <c r="O972" s="242"/>
      <c r="P972" s="242"/>
      <c r="Q972" s="525"/>
      <c r="R972" s="242"/>
      <c r="S972" s="242"/>
      <c r="T972" s="242"/>
      <c r="U972" s="242"/>
      <c r="V972" s="242"/>
      <c r="W972" s="242"/>
      <c r="X972" s="242"/>
      <c r="Y972" s="242"/>
      <c r="Z972" s="242"/>
      <c r="AA972" s="242"/>
      <c r="AB972" s="242"/>
      <c r="AC972" s="242"/>
      <c r="AD972" s="242"/>
      <c r="AE972" s="242"/>
      <c r="AF972" s="242"/>
      <c r="AG972" s="242"/>
      <c r="AH972" s="242"/>
      <c r="AI972" s="242"/>
      <c r="AJ972" s="13"/>
      <c r="AK972" s="242"/>
      <c r="AL972" s="242"/>
      <c r="AM972" s="242"/>
      <c r="AN972" s="242"/>
      <c r="AO972" s="242"/>
    </row>
    <row r="973">
      <c r="A973" s="242"/>
      <c r="B973" s="13"/>
      <c r="C973" s="242"/>
      <c r="D973" s="242"/>
      <c r="E973" s="242"/>
      <c r="F973" s="242"/>
      <c r="G973" s="13"/>
      <c r="H973" s="13"/>
      <c r="I973" s="13"/>
      <c r="J973" s="13"/>
      <c r="K973" s="13"/>
      <c r="L973" s="242"/>
      <c r="M973" s="242"/>
      <c r="N973" s="242"/>
      <c r="O973" s="242"/>
      <c r="P973" s="242"/>
      <c r="Q973" s="525"/>
      <c r="R973" s="242"/>
      <c r="S973" s="242"/>
      <c r="T973" s="242"/>
      <c r="U973" s="242"/>
      <c r="V973" s="242"/>
      <c r="W973" s="242"/>
      <c r="X973" s="242"/>
      <c r="Y973" s="242"/>
      <c r="Z973" s="242"/>
      <c r="AA973" s="242"/>
      <c r="AB973" s="242"/>
      <c r="AC973" s="242"/>
      <c r="AD973" s="242"/>
      <c r="AE973" s="242"/>
      <c r="AF973" s="242"/>
      <c r="AG973" s="242"/>
      <c r="AH973" s="242"/>
      <c r="AI973" s="242"/>
      <c r="AJ973" s="13"/>
      <c r="AK973" s="242"/>
      <c r="AL973" s="242"/>
      <c r="AM973" s="242"/>
      <c r="AN973" s="242"/>
      <c r="AO973" s="242"/>
    </row>
    <row r="974">
      <c r="A974" s="242"/>
      <c r="B974" s="13"/>
      <c r="C974" s="242"/>
      <c r="D974" s="242"/>
      <c r="E974" s="242"/>
      <c r="F974" s="242"/>
      <c r="G974" s="13"/>
      <c r="H974" s="13"/>
      <c r="I974" s="13"/>
      <c r="J974" s="13"/>
      <c r="K974" s="13"/>
      <c r="L974" s="242"/>
      <c r="M974" s="242"/>
      <c r="N974" s="242"/>
      <c r="O974" s="242"/>
      <c r="P974" s="242"/>
      <c r="Q974" s="525"/>
      <c r="R974" s="242"/>
      <c r="S974" s="242"/>
      <c r="T974" s="242"/>
      <c r="U974" s="242"/>
      <c r="V974" s="242"/>
      <c r="W974" s="242"/>
      <c r="X974" s="242"/>
      <c r="Y974" s="242"/>
      <c r="Z974" s="242"/>
      <c r="AA974" s="242"/>
      <c r="AB974" s="242"/>
      <c r="AC974" s="242"/>
      <c r="AD974" s="242"/>
      <c r="AE974" s="242"/>
      <c r="AF974" s="242"/>
      <c r="AG974" s="242"/>
      <c r="AH974" s="242"/>
      <c r="AI974" s="242"/>
      <c r="AJ974" s="13"/>
      <c r="AK974" s="242"/>
      <c r="AL974" s="242"/>
      <c r="AM974" s="242"/>
      <c r="AN974" s="242"/>
      <c r="AO974" s="242"/>
    </row>
    <row r="975">
      <c r="A975" s="242"/>
      <c r="B975" s="13"/>
      <c r="C975" s="242"/>
      <c r="D975" s="242"/>
      <c r="E975" s="242"/>
      <c r="F975" s="242"/>
      <c r="G975" s="13"/>
      <c r="H975" s="13"/>
      <c r="I975" s="13"/>
      <c r="J975" s="13"/>
      <c r="K975" s="13"/>
      <c r="L975" s="242"/>
      <c r="M975" s="242"/>
      <c r="N975" s="242"/>
      <c r="O975" s="242"/>
      <c r="P975" s="242"/>
      <c r="Q975" s="525"/>
      <c r="R975" s="242"/>
      <c r="S975" s="242"/>
      <c r="T975" s="242"/>
      <c r="U975" s="242"/>
      <c r="V975" s="242"/>
      <c r="W975" s="242"/>
      <c r="X975" s="242"/>
      <c r="Y975" s="242"/>
      <c r="Z975" s="242"/>
      <c r="AA975" s="242"/>
      <c r="AB975" s="242"/>
      <c r="AC975" s="242"/>
      <c r="AD975" s="242"/>
      <c r="AE975" s="242"/>
      <c r="AF975" s="242"/>
      <c r="AG975" s="242"/>
      <c r="AH975" s="242"/>
      <c r="AI975" s="242"/>
      <c r="AJ975" s="13"/>
      <c r="AK975" s="242"/>
      <c r="AL975" s="242"/>
      <c r="AM975" s="242"/>
      <c r="AN975" s="242"/>
      <c r="AO975" s="242"/>
    </row>
    <row r="976">
      <c r="A976" s="242"/>
      <c r="B976" s="13"/>
      <c r="C976" s="242"/>
      <c r="D976" s="242"/>
      <c r="E976" s="242"/>
      <c r="F976" s="242"/>
      <c r="G976" s="13"/>
      <c r="H976" s="13"/>
      <c r="I976" s="13"/>
      <c r="J976" s="13"/>
      <c r="K976" s="13"/>
      <c r="L976" s="242"/>
      <c r="M976" s="242"/>
      <c r="N976" s="242"/>
      <c r="O976" s="242"/>
      <c r="P976" s="242"/>
      <c r="Q976" s="525"/>
      <c r="R976" s="242"/>
      <c r="S976" s="242"/>
      <c r="T976" s="242"/>
      <c r="U976" s="242"/>
      <c r="V976" s="242"/>
      <c r="W976" s="242"/>
      <c r="X976" s="242"/>
      <c r="Y976" s="242"/>
      <c r="Z976" s="242"/>
      <c r="AA976" s="242"/>
      <c r="AB976" s="242"/>
      <c r="AC976" s="242"/>
      <c r="AD976" s="242"/>
      <c r="AE976" s="242"/>
      <c r="AF976" s="242"/>
      <c r="AG976" s="242"/>
      <c r="AH976" s="242"/>
      <c r="AI976" s="242"/>
      <c r="AJ976" s="13"/>
      <c r="AK976" s="242"/>
      <c r="AL976" s="242"/>
      <c r="AM976" s="242"/>
      <c r="AN976" s="242"/>
      <c r="AO976" s="242"/>
    </row>
    <row r="977">
      <c r="A977" s="242"/>
      <c r="B977" s="13"/>
      <c r="C977" s="242"/>
      <c r="D977" s="242"/>
      <c r="E977" s="242"/>
      <c r="F977" s="242"/>
      <c r="G977" s="13"/>
      <c r="H977" s="13"/>
      <c r="I977" s="13"/>
      <c r="J977" s="13"/>
      <c r="K977" s="13"/>
      <c r="L977" s="242"/>
      <c r="M977" s="242"/>
      <c r="N977" s="242"/>
      <c r="O977" s="242"/>
      <c r="P977" s="242"/>
      <c r="Q977" s="525"/>
      <c r="R977" s="242"/>
      <c r="S977" s="242"/>
      <c r="T977" s="242"/>
      <c r="U977" s="242"/>
      <c r="V977" s="242"/>
      <c r="W977" s="242"/>
      <c r="X977" s="242"/>
      <c r="Y977" s="242"/>
      <c r="Z977" s="242"/>
      <c r="AA977" s="242"/>
      <c r="AB977" s="242"/>
      <c r="AC977" s="242"/>
      <c r="AD977" s="242"/>
      <c r="AE977" s="242"/>
      <c r="AF977" s="242"/>
      <c r="AG977" s="242"/>
      <c r="AH977" s="242"/>
      <c r="AI977" s="242"/>
      <c r="AJ977" s="13"/>
      <c r="AK977" s="242"/>
      <c r="AL977" s="242"/>
      <c r="AM977" s="242"/>
      <c r="AN977" s="242"/>
      <c r="AO977" s="242"/>
    </row>
    <row r="978">
      <c r="A978" s="242"/>
      <c r="B978" s="13"/>
      <c r="C978" s="242"/>
      <c r="D978" s="242"/>
      <c r="E978" s="242"/>
      <c r="F978" s="242"/>
      <c r="G978" s="13"/>
      <c r="H978" s="13"/>
      <c r="I978" s="13"/>
      <c r="J978" s="13"/>
      <c r="K978" s="13"/>
      <c r="L978" s="242"/>
      <c r="M978" s="242"/>
      <c r="N978" s="242"/>
      <c r="O978" s="242"/>
      <c r="P978" s="242"/>
      <c r="Q978" s="525"/>
      <c r="R978" s="242"/>
      <c r="S978" s="242"/>
      <c r="T978" s="242"/>
      <c r="U978" s="242"/>
      <c r="V978" s="242"/>
      <c r="W978" s="242"/>
      <c r="X978" s="242"/>
      <c r="Y978" s="242"/>
      <c r="Z978" s="242"/>
      <c r="AA978" s="242"/>
      <c r="AB978" s="242"/>
      <c r="AC978" s="242"/>
      <c r="AD978" s="242"/>
      <c r="AE978" s="242"/>
      <c r="AF978" s="242"/>
      <c r="AG978" s="242"/>
      <c r="AH978" s="242"/>
      <c r="AI978" s="242"/>
      <c r="AJ978" s="13"/>
      <c r="AK978" s="242"/>
      <c r="AL978" s="242"/>
      <c r="AM978" s="242"/>
      <c r="AN978" s="242"/>
      <c r="AO978" s="242"/>
    </row>
    <row r="979">
      <c r="A979" s="242"/>
      <c r="B979" s="13"/>
      <c r="C979" s="242"/>
      <c r="D979" s="242"/>
      <c r="E979" s="242"/>
      <c r="F979" s="242"/>
      <c r="G979" s="13"/>
      <c r="H979" s="13"/>
      <c r="I979" s="13"/>
      <c r="J979" s="13"/>
      <c r="K979" s="13"/>
      <c r="L979" s="242"/>
      <c r="M979" s="242"/>
      <c r="N979" s="242"/>
      <c r="O979" s="242"/>
      <c r="P979" s="242"/>
      <c r="Q979" s="525"/>
      <c r="R979" s="242"/>
      <c r="S979" s="242"/>
      <c r="T979" s="242"/>
      <c r="U979" s="242"/>
      <c r="V979" s="242"/>
      <c r="W979" s="242"/>
      <c r="X979" s="242"/>
      <c r="Y979" s="242"/>
      <c r="Z979" s="242"/>
      <c r="AA979" s="242"/>
      <c r="AB979" s="242"/>
      <c r="AC979" s="242"/>
      <c r="AD979" s="242"/>
      <c r="AE979" s="242"/>
      <c r="AF979" s="242"/>
      <c r="AG979" s="242"/>
      <c r="AH979" s="242"/>
      <c r="AI979" s="242"/>
      <c r="AJ979" s="13"/>
      <c r="AK979" s="242"/>
      <c r="AL979" s="242"/>
      <c r="AM979" s="242"/>
      <c r="AN979" s="242"/>
      <c r="AO979" s="242"/>
    </row>
    <row r="980">
      <c r="A980" s="242"/>
      <c r="B980" s="13"/>
      <c r="C980" s="242"/>
      <c r="D980" s="242"/>
      <c r="E980" s="242"/>
      <c r="F980" s="242"/>
      <c r="G980" s="13"/>
      <c r="H980" s="13"/>
      <c r="I980" s="13"/>
      <c r="J980" s="13"/>
      <c r="K980" s="13"/>
      <c r="L980" s="242"/>
      <c r="M980" s="242"/>
      <c r="N980" s="242"/>
      <c r="O980" s="242"/>
      <c r="P980" s="242"/>
      <c r="Q980" s="525"/>
      <c r="R980" s="242"/>
      <c r="S980" s="242"/>
      <c r="T980" s="242"/>
      <c r="U980" s="242"/>
      <c r="V980" s="242"/>
      <c r="W980" s="242"/>
      <c r="X980" s="242"/>
      <c r="Y980" s="242"/>
      <c r="Z980" s="242"/>
      <c r="AA980" s="242"/>
      <c r="AB980" s="242"/>
      <c r="AC980" s="242"/>
      <c r="AD980" s="242"/>
      <c r="AE980" s="242"/>
      <c r="AF980" s="242"/>
      <c r="AG980" s="242"/>
      <c r="AH980" s="242"/>
      <c r="AI980" s="242"/>
      <c r="AJ980" s="13"/>
      <c r="AK980" s="242"/>
      <c r="AL980" s="242"/>
      <c r="AM980" s="242"/>
      <c r="AN980" s="242"/>
      <c r="AO980" s="242"/>
    </row>
    <row r="981">
      <c r="A981" s="242"/>
      <c r="B981" s="13"/>
      <c r="C981" s="242"/>
      <c r="D981" s="242"/>
      <c r="E981" s="242"/>
      <c r="F981" s="242"/>
      <c r="G981" s="13"/>
      <c r="H981" s="13"/>
      <c r="I981" s="13"/>
      <c r="J981" s="13"/>
      <c r="K981" s="13"/>
      <c r="L981" s="242"/>
      <c r="M981" s="242"/>
      <c r="N981" s="242"/>
      <c r="O981" s="242"/>
      <c r="P981" s="242"/>
      <c r="Q981" s="525"/>
      <c r="R981" s="242"/>
      <c r="S981" s="242"/>
      <c r="T981" s="242"/>
      <c r="U981" s="242"/>
      <c r="V981" s="242"/>
      <c r="W981" s="242"/>
      <c r="X981" s="242"/>
      <c r="Y981" s="242"/>
      <c r="Z981" s="242"/>
      <c r="AA981" s="242"/>
      <c r="AB981" s="242"/>
      <c r="AC981" s="242"/>
      <c r="AD981" s="242"/>
      <c r="AE981" s="242"/>
      <c r="AF981" s="242"/>
      <c r="AG981" s="242"/>
      <c r="AH981" s="242"/>
      <c r="AI981" s="242"/>
      <c r="AJ981" s="13"/>
      <c r="AK981" s="242"/>
      <c r="AL981" s="242"/>
      <c r="AM981" s="242"/>
      <c r="AN981" s="242"/>
      <c r="AO981" s="242"/>
    </row>
    <row r="982">
      <c r="A982" s="242"/>
      <c r="B982" s="13"/>
      <c r="C982" s="242"/>
      <c r="D982" s="242"/>
      <c r="E982" s="242"/>
      <c r="F982" s="242"/>
      <c r="G982" s="13"/>
      <c r="H982" s="13"/>
      <c r="I982" s="13"/>
      <c r="J982" s="13"/>
      <c r="K982" s="13"/>
      <c r="L982" s="242"/>
      <c r="M982" s="242"/>
      <c r="N982" s="242"/>
      <c r="O982" s="242"/>
      <c r="P982" s="242"/>
      <c r="Q982" s="525"/>
      <c r="R982" s="242"/>
      <c r="S982" s="242"/>
      <c r="T982" s="242"/>
      <c r="U982" s="242"/>
      <c r="V982" s="242"/>
      <c r="W982" s="242"/>
      <c r="X982" s="242"/>
      <c r="Y982" s="242"/>
      <c r="Z982" s="242"/>
      <c r="AA982" s="242"/>
      <c r="AB982" s="242"/>
      <c r="AC982" s="242"/>
      <c r="AD982" s="242"/>
      <c r="AE982" s="242"/>
      <c r="AF982" s="242"/>
      <c r="AG982" s="242"/>
      <c r="AH982" s="242"/>
      <c r="AI982" s="242"/>
      <c r="AJ982" s="13"/>
      <c r="AK982" s="242"/>
      <c r="AL982" s="242"/>
      <c r="AM982" s="242"/>
      <c r="AN982" s="242"/>
      <c r="AO982" s="242"/>
    </row>
    <row r="983">
      <c r="A983" s="242"/>
      <c r="B983" s="13"/>
      <c r="C983" s="242"/>
      <c r="D983" s="242"/>
      <c r="E983" s="242"/>
      <c r="F983" s="242"/>
      <c r="G983" s="13"/>
      <c r="H983" s="13"/>
      <c r="I983" s="13"/>
      <c r="J983" s="13"/>
      <c r="K983" s="13"/>
      <c r="L983" s="242"/>
      <c r="M983" s="242"/>
      <c r="N983" s="242"/>
      <c r="O983" s="242"/>
      <c r="P983" s="242"/>
      <c r="Q983" s="525"/>
      <c r="R983" s="242"/>
      <c r="S983" s="242"/>
      <c r="T983" s="242"/>
      <c r="U983" s="242"/>
      <c r="V983" s="242"/>
      <c r="W983" s="242"/>
      <c r="X983" s="242"/>
      <c r="Y983" s="242"/>
      <c r="Z983" s="242"/>
      <c r="AA983" s="242"/>
      <c r="AB983" s="242"/>
      <c r="AC983" s="242"/>
      <c r="AD983" s="242"/>
      <c r="AE983" s="242"/>
      <c r="AF983" s="242"/>
      <c r="AG983" s="242"/>
      <c r="AH983" s="242"/>
      <c r="AI983" s="242"/>
      <c r="AJ983" s="13"/>
      <c r="AK983" s="242"/>
      <c r="AL983" s="242"/>
      <c r="AM983" s="242"/>
      <c r="AN983" s="242"/>
      <c r="AO983" s="242"/>
    </row>
    <row r="984">
      <c r="A984" s="242"/>
      <c r="B984" s="13"/>
      <c r="C984" s="242"/>
      <c r="D984" s="242"/>
      <c r="E984" s="242"/>
      <c r="F984" s="242"/>
      <c r="G984" s="13"/>
      <c r="H984" s="13"/>
      <c r="I984" s="13"/>
      <c r="J984" s="13"/>
      <c r="K984" s="13"/>
      <c r="L984" s="242"/>
      <c r="M984" s="242"/>
      <c r="N984" s="242"/>
      <c r="O984" s="242"/>
      <c r="P984" s="242"/>
      <c r="Q984" s="525"/>
      <c r="R984" s="242"/>
      <c r="S984" s="242"/>
      <c r="T984" s="242"/>
      <c r="U984" s="242"/>
      <c r="V984" s="242"/>
      <c r="W984" s="242"/>
      <c r="X984" s="242"/>
      <c r="Y984" s="242"/>
      <c r="Z984" s="242"/>
      <c r="AA984" s="242"/>
      <c r="AB984" s="242"/>
      <c r="AC984" s="242"/>
      <c r="AD984" s="242"/>
      <c r="AE984" s="242"/>
      <c r="AF984" s="242"/>
      <c r="AG984" s="242"/>
      <c r="AH984" s="242"/>
      <c r="AI984" s="242"/>
      <c r="AJ984" s="13"/>
      <c r="AK984" s="242"/>
      <c r="AL984" s="242"/>
      <c r="AM984" s="242"/>
      <c r="AN984" s="242"/>
      <c r="AO984" s="242"/>
    </row>
    <row r="985">
      <c r="A985" s="242"/>
      <c r="B985" s="13"/>
      <c r="C985" s="242"/>
      <c r="D985" s="242"/>
      <c r="E985" s="242"/>
      <c r="F985" s="242"/>
      <c r="G985" s="13"/>
      <c r="H985" s="13"/>
      <c r="I985" s="13"/>
      <c r="J985" s="13"/>
      <c r="K985" s="13"/>
      <c r="L985" s="242"/>
      <c r="M985" s="242"/>
      <c r="N985" s="242"/>
      <c r="O985" s="242"/>
      <c r="P985" s="242"/>
      <c r="Q985" s="525"/>
      <c r="R985" s="242"/>
      <c r="S985" s="242"/>
      <c r="T985" s="242"/>
      <c r="U985" s="242"/>
      <c r="V985" s="242"/>
      <c r="W985" s="242"/>
      <c r="X985" s="242"/>
      <c r="Y985" s="242"/>
      <c r="Z985" s="242"/>
      <c r="AA985" s="242"/>
      <c r="AB985" s="242"/>
      <c r="AC985" s="242"/>
      <c r="AD985" s="242"/>
      <c r="AE985" s="242"/>
      <c r="AF985" s="242"/>
      <c r="AG985" s="242"/>
      <c r="AH985" s="242"/>
      <c r="AI985" s="242"/>
      <c r="AJ985" s="13"/>
      <c r="AK985" s="242"/>
      <c r="AL985" s="242"/>
      <c r="AM985" s="242"/>
      <c r="AN985" s="242"/>
      <c r="AO985" s="242"/>
    </row>
    <row r="986">
      <c r="A986" s="242"/>
      <c r="B986" s="13"/>
      <c r="C986" s="242"/>
      <c r="D986" s="242"/>
      <c r="E986" s="242"/>
      <c r="F986" s="242"/>
      <c r="G986" s="13"/>
      <c r="H986" s="13"/>
      <c r="I986" s="13"/>
      <c r="J986" s="13"/>
      <c r="K986" s="13"/>
      <c r="L986" s="242"/>
      <c r="M986" s="242"/>
      <c r="N986" s="242"/>
      <c r="O986" s="242"/>
      <c r="P986" s="242"/>
      <c r="Q986" s="525"/>
      <c r="R986" s="242"/>
      <c r="S986" s="242"/>
      <c r="T986" s="242"/>
      <c r="U986" s="242"/>
      <c r="V986" s="242"/>
      <c r="W986" s="242"/>
      <c r="X986" s="242"/>
      <c r="Y986" s="242"/>
      <c r="Z986" s="242"/>
      <c r="AA986" s="242"/>
      <c r="AB986" s="242"/>
      <c r="AC986" s="242"/>
      <c r="AD986" s="242"/>
      <c r="AE986" s="242"/>
      <c r="AF986" s="242"/>
      <c r="AG986" s="242"/>
      <c r="AH986" s="242"/>
      <c r="AI986" s="242"/>
      <c r="AJ986" s="13"/>
      <c r="AK986" s="242"/>
      <c r="AL986" s="242"/>
      <c r="AM986" s="242"/>
      <c r="AN986" s="242"/>
      <c r="AO986" s="242"/>
    </row>
    <row r="987">
      <c r="A987" s="242"/>
      <c r="B987" s="13"/>
      <c r="C987" s="242"/>
      <c r="D987" s="242"/>
      <c r="E987" s="242"/>
      <c r="F987" s="242"/>
      <c r="G987" s="13"/>
      <c r="H987" s="13"/>
      <c r="I987" s="13"/>
      <c r="J987" s="13"/>
      <c r="K987" s="13"/>
      <c r="L987" s="242"/>
      <c r="M987" s="242"/>
      <c r="N987" s="242"/>
      <c r="O987" s="242"/>
      <c r="P987" s="242"/>
      <c r="Q987" s="525"/>
      <c r="R987" s="242"/>
      <c r="S987" s="242"/>
      <c r="T987" s="242"/>
      <c r="U987" s="242"/>
      <c r="V987" s="242"/>
      <c r="W987" s="242"/>
      <c r="X987" s="242"/>
      <c r="Y987" s="242"/>
      <c r="Z987" s="242"/>
      <c r="AA987" s="242"/>
      <c r="AB987" s="242"/>
      <c r="AC987" s="242"/>
      <c r="AD987" s="242"/>
      <c r="AE987" s="242"/>
      <c r="AF987" s="242"/>
      <c r="AG987" s="242"/>
      <c r="AH987" s="242"/>
      <c r="AI987" s="242"/>
      <c r="AJ987" s="13"/>
      <c r="AK987" s="242"/>
      <c r="AL987" s="242"/>
      <c r="AM987" s="242"/>
      <c r="AN987" s="242"/>
      <c r="AO987" s="242"/>
    </row>
    <row r="988">
      <c r="A988" s="242"/>
      <c r="B988" s="13"/>
      <c r="C988" s="242"/>
      <c r="D988" s="242"/>
      <c r="E988" s="242"/>
      <c r="F988" s="242"/>
      <c r="G988" s="13"/>
      <c r="H988" s="13"/>
      <c r="I988" s="13"/>
      <c r="J988" s="13"/>
      <c r="K988" s="13"/>
      <c r="L988" s="242"/>
      <c r="M988" s="242"/>
      <c r="N988" s="242"/>
      <c r="O988" s="242"/>
      <c r="P988" s="242"/>
      <c r="Q988" s="525"/>
      <c r="R988" s="242"/>
      <c r="S988" s="242"/>
      <c r="T988" s="242"/>
      <c r="U988" s="242"/>
      <c r="V988" s="242"/>
      <c r="W988" s="242"/>
      <c r="X988" s="242"/>
      <c r="Y988" s="242"/>
      <c r="Z988" s="242"/>
      <c r="AA988" s="242"/>
      <c r="AB988" s="242"/>
      <c r="AC988" s="242"/>
      <c r="AD988" s="242"/>
      <c r="AE988" s="242"/>
      <c r="AF988" s="242"/>
      <c r="AG988" s="242"/>
      <c r="AH988" s="242"/>
      <c r="AI988" s="242"/>
      <c r="AJ988" s="13"/>
      <c r="AK988" s="242"/>
      <c r="AL988" s="242"/>
      <c r="AM988" s="242"/>
      <c r="AN988" s="242"/>
      <c r="AO988" s="242"/>
    </row>
    <row r="989">
      <c r="A989" s="242"/>
      <c r="B989" s="13"/>
      <c r="C989" s="242"/>
      <c r="D989" s="242"/>
      <c r="E989" s="242"/>
      <c r="F989" s="242"/>
      <c r="G989" s="13"/>
      <c r="H989" s="13"/>
      <c r="I989" s="13"/>
      <c r="J989" s="13"/>
      <c r="K989" s="13"/>
      <c r="L989" s="242"/>
      <c r="M989" s="242"/>
      <c r="N989" s="242"/>
      <c r="O989" s="242"/>
      <c r="P989" s="242"/>
      <c r="Q989" s="525"/>
      <c r="R989" s="242"/>
      <c r="S989" s="242"/>
      <c r="T989" s="242"/>
      <c r="U989" s="242"/>
      <c r="V989" s="242"/>
      <c r="W989" s="242"/>
      <c r="X989" s="242"/>
      <c r="Y989" s="242"/>
      <c r="Z989" s="242"/>
      <c r="AA989" s="242"/>
      <c r="AB989" s="242"/>
      <c r="AC989" s="242"/>
      <c r="AD989" s="242"/>
      <c r="AE989" s="242"/>
      <c r="AF989" s="242"/>
      <c r="AG989" s="242"/>
      <c r="AH989" s="242"/>
      <c r="AI989" s="242"/>
      <c r="AJ989" s="13"/>
      <c r="AK989" s="242"/>
      <c r="AL989" s="242"/>
      <c r="AM989" s="242"/>
      <c r="AN989" s="242"/>
      <c r="AO989" s="242"/>
    </row>
    <row r="990">
      <c r="A990" s="242"/>
      <c r="B990" s="13"/>
      <c r="C990" s="242"/>
      <c r="D990" s="242"/>
      <c r="E990" s="242"/>
      <c r="F990" s="242"/>
      <c r="G990" s="13"/>
      <c r="H990" s="13"/>
      <c r="I990" s="13"/>
      <c r="J990" s="13"/>
      <c r="K990" s="13"/>
      <c r="L990" s="242"/>
      <c r="M990" s="242"/>
      <c r="N990" s="242"/>
      <c r="O990" s="242"/>
      <c r="P990" s="242"/>
      <c r="Q990" s="525"/>
      <c r="R990" s="242"/>
      <c r="S990" s="242"/>
      <c r="T990" s="242"/>
      <c r="U990" s="242"/>
      <c r="V990" s="242"/>
      <c r="W990" s="242"/>
      <c r="X990" s="242"/>
      <c r="Y990" s="242"/>
      <c r="Z990" s="242"/>
      <c r="AA990" s="242"/>
      <c r="AB990" s="242"/>
      <c r="AC990" s="242"/>
      <c r="AD990" s="242"/>
      <c r="AE990" s="242"/>
      <c r="AF990" s="242"/>
      <c r="AG990" s="242"/>
      <c r="AH990" s="242"/>
      <c r="AI990" s="242"/>
      <c r="AJ990" s="13"/>
      <c r="AK990" s="242"/>
      <c r="AL990" s="242"/>
      <c r="AM990" s="242"/>
      <c r="AN990" s="242"/>
      <c r="AO990" s="242"/>
    </row>
    <row r="991">
      <c r="A991" s="242"/>
      <c r="B991" s="13"/>
      <c r="C991" s="242"/>
      <c r="D991" s="242"/>
      <c r="E991" s="242"/>
      <c r="F991" s="242"/>
      <c r="G991" s="13"/>
      <c r="H991" s="13"/>
      <c r="I991" s="13"/>
      <c r="J991" s="13"/>
      <c r="K991" s="13"/>
      <c r="L991" s="242"/>
      <c r="M991" s="242"/>
      <c r="N991" s="242"/>
      <c r="O991" s="242"/>
      <c r="P991" s="242"/>
      <c r="Q991" s="525"/>
      <c r="R991" s="242"/>
      <c r="S991" s="242"/>
      <c r="T991" s="242"/>
      <c r="U991" s="242"/>
      <c r="V991" s="242"/>
      <c r="W991" s="242"/>
      <c r="X991" s="242"/>
      <c r="Y991" s="242"/>
      <c r="Z991" s="242"/>
      <c r="AA991" s="242"/>
      <c r="AB991" s="242"/>
      <c r="AC991" s="242"/>
      <c r="AD991" s="242"/>
      <c r="AE991" s="242"/>
      <c r="AF991" s="242"/>
      <c r="AG991" s="242"/>
      <c r="AH991" s="242"/>
      <c r="AI991" s="242"/>
      <c r="AJ991" s="13"/>
      <c r="AK991" s="242"/>
      <c r="AL991" s="242"/>
      <c r="AM991" s="242"/>
      <c r="AN991" s="242"/>
      <c r="AO991" s="242"/>
    </row>
    <row r="992">
      <c r="A992" s="242"/>
      <c r="B992" s="13"/>
      <c r="C992" s="242"/>
      <c r="D992" s="242"/>
      <c r="E992" s="242"/>
      <c r="F992" s="242"/>
      <c r="G992" s="13"/>
      <c r="H992" s="13"/>
      <c r="I992" s="13"/>
      <c r="J992" s="13"/>
      <c r="K992" s="13"/>
      <c r="L992" s="242"/>
      <c r="M992" s="242"/>
      <c r="N992" s="242"/>
      <c r="O992" s="242"/>
      <c r="P992" s="242"/>
      <c r="Q992" s="525"/>
      <c r="R992" s="242"/>
      <c r="S992" s="242"/>
      <c r="T992" s="242"/>
      <c r="U992" s="242"/>
      <c r="V992" s="242"/>
      <c r="W992" s="242"/>
      <c r="X992" s="242"/>
      <c r="Y992" s="242"/>
      <c r="Z992" s="242"/>
      <c r="AA992" s="242"/>
      <c r="AB992" s="242"/>
      <c r="AC992" s="242"/>
      <c r="AD992" s="242"/>
      <c r="AE992" s="242"/>
      <c r="AF992" s="242"/>
      <c r="AG992" s="242"/>
      <c r="AH992" s="242"/>
      <c r="AI992" s="242"/>
      <c r="AJ992" s="13"/>
      <c r="AK992" s="242"/>
      <c r="AL992" s="242"/>
      <c r="AM992" s="242"/>
      <c r="AN992" s="242"/>
      <c r="AO992" s="242"/>
    </row>
    <row r="993">
      <c r="A993" s="242"/>
      <c r="B993" s="13"/>
      <c r="C993" s="242"/>
      <c r="D993" s="242"/>
      <c r="E993" s="242"/>
      <c r="F993" s="242"/>
      <c r="G993" s="13"/>
      <c r="H993" s="13"/>
      <c r="I993" s="13"/>
      <c r="J993" s="13"/>
      <c r="K993" s="13"/>
      <c r="L993" s="242"/>
      <c r="M993" s="242"/>
      <c r="N993" s="242"/>
      <c r="O993" s="242"/>
      <c r="P993" s="242"/>
      <c r="Q993" s="525"/>
      <c r="R993" s="242"/>
      <c r="S993" s="242"/>
      <c r="T993" s="242"/>
      <c r="U993" s="242"/>
      <c r="V993" s="242"/>
      <c r="W993" s="242"/>
      <c r="X993" s="242"/>
      <c r="Y993" s="242"/>
      <c r="Z993" s="242"/>
      <c r="AA993" s="242"/>
      <c r="AB993" s="242"/>
      <c r="AC993" s="242"/>
      <c r="AD993" s="242"/>
      <c r="AE993" s="242"/>
      <c r="AF993" s="242"/>
      <c r="AG993" s="242"/>
      <c r="AH993" s="242"/>
      <c r="AI993" s="242"/>
      <c r="AJ993" s="13"/>
      <c r="AK993" s="242"/>
      <c r="AL993" s="242"/>
      <c r="AM993" s="242"/>
      <c r="AN993" s="242"/>
      <c r="AO993" s="242"/>
    </row>
    <row r="994">
      <c r="A994" s="242"/>
      <c r="B994" s="13"/>
      <c r="C994" s="242"/>
      <c r="D994" s="242"/>
      <c r="E994" s="242"/>
      <c r="F994" s="242"/>
      <c r="G994" s="13"/>
      <c r="H994" s="13"/>
      <c r="I994" s="13"/>
      <c r="J994" s="13"/>
      <c r="K994" s="13"/>
      <c r="L994" s="242"/>
      <c r="M994" s="242"/>
      <c r="N994" s="242"/>
      <c r="O994" s="242"/>
      <c r="P994" s="242"/>
      <c r="Q994" s="525"/>
      <c r="R994" s="242"/>
      <c r="S994" s="242"/>
      <c r="T994" s="242"/>
      <c r="U994" s="242"/>
      <c r="V994" s="242"/>
      <c r="W994" s="242"/>
      <c r="X994" s="242"/>
      <c r="Y994" s="242"/>
      <c r="Z994" s="242"/>
      <c r="AA994" s="242"/>
      <c r="AB994" s="242"/>
      <c r="AC994" s="242"/>
      <c r="AD994" s="242"/>
      <c r="AE994" s="242"/>
      <c r="AF994" s="242"/>
      <c r="AG994" s="242"/>
      <c r="AH994" s="242"/>
      <c r="AI994" s="242"/>
      <c r="AJ994" s="13"/>
      <c r="AK994" s="242"/>
      <c r="AL994" s="242"/>
      <c r="AM994" s="242"/>
      <c r="AN994" s="242"/>
      <c r="AO994" s="242"/>
    </row>
    <row r="995">
      <c r="A995" s="242"/>
      <c r="B995" s="13"/>
      <c r="C995" s="242"/>
      <c r="D995" s="242"/>
      <c r="E995" s="242"/>
      <c r="F995" s="242"/>
      <c r="G995" s="13"/>
      <c r="H995" s="13"/>
      <c r="I995" s="13"/>
      <c r="J995" s="13"/>
      <c r="K995" s="13"/>
      <c r="L995" s="242"/>
      <c r="M995" s="242"/>
      <c r="N995" s="242"/>
      <c r="O995" s="242"/>
      <c r="P995" s="242"/>
      <c r="Q995" s="525"/>
      <c r="R995" s="242"/>
      <c r="S995" s="242"/>
      <c r="T995" s="242"/>
      <c r="U995" s="242"/>
      <c r="V995" s="242"/>
      <c r="W995" s="242"/>
      <c r="X995" s="242"/>
      <c r="Y995" s="242"/>
      <c r="Z995" s="242"/>
      <c r="AA995" s="242"/>
      <c r="AB995" s="242"/>
      <c r="AC995" s="242"/>
      <c r="AD995" s="242"/>
      <c r="AE995" s="242"/>
      <c r="AF995" s="242"/>
      <c r="AG995" s="242"/>
      <c r="AH995" s="242"/>
      <c r="AI995" s="242"/>
      <c r="AJ995" s="13"/>
      <c r="AK995" s="242"/>
      <c r="AL995" s="242"/>
      <c r="AM995" s="242"/>
      <c r="AN995" s="242"/>
      <c r="AO995" s="242"/>
    </row>
    <row r="996">
      <c r="A996" s="242"/>
      <c r="B996" s="13"/>
      <c r="C996" s="242"/>
      <c r="D996" s="242"/>
      <c r="E996" s="242"/>
      <c r="F996" s="242"/>
      <c r="G996" s="13"/>
      <c r="H996" s="13"/>
      <c r="I996" s="13"/>
      <c r="J996" s="13"/>
      <c r="K996" s="13"/>
      <c r="L996" s="242"/>
      <c r="M996" s="242"/>
      <c r="N996" s="242"/>
      <c r="O996" s="242"/>
      <c r="P996" s="242"/>
      <c r="Q996" s="525"/>
      <c r="R996" s="242"/>
      <c r="S996" s="242"/>
      <c r="T996" s="242"/>
      <c r="U996" s="242"/>
      <c r="V996" s="242"/>
      <c r="W996" s="242"/>
      <c r="X996" s="242"/>
      <c r="Y996" s="242"/>
      <c r="Z996" s="242"/>
      <c r="AA996" s="242"/>
      <c r="AB996" s="242"/>
      <c r="AC996" s="242"/>
      <c r="AD996" s="242"/>
      <c r="AE996" s="242"/>
      <c r="AF996" s="242"/>
      <c r="AG996" s="242"/>
      <c r="AH996" s="242"/>
      <c r="AI996" s="242"/>
      <c r="AJ996" s="13"/>
      <c r="AK996" s="242"/>
      <c r="AL996" s="242"/>
      <c r="AM996" s="242"/>
      <c r="AN996" s="242"/>
      <c r="AO996" s="242"/>
    </row>
    <row r="997">
      <c r="A997" s="242"/>
      <c r="B997" s="13"/>
      <c r="C997" s="242"/>
      <c r="D997" s="242"/>
      <c r="E997" s="242"/>
      <c r="F997" s="242"/>
      <c r="G997" s="13"/>
      <c r="H997" s="13"/>
      <c r="I997" s="13"/>
      <c r="J997" s="13"/>
      <c r="K997" s="13"/>
      <c r="L997" s="242"/>
      <c r="M997" s="242"/>
      <c r="N997" s="242"/>
      <c r="O997" s="242"/>
      <c r="P997" s="242"/>
      <c r="Q997" s="525"/>
      <c r="R997" s="242"/>
      <c r="S997" s="242"/>
      <c r="T997" s="242"/>
      <c r="U997" s="242"/>
      <c r="V997" s="242"/>
      <c r="W997" s="242"/>
      <c r="X997" s="242"/>
      <c r="Y997" s="242"/>
      <c r="Z997" s="242"/>
      <c r="AA997" s="242"/>
      <c r="AB997" s="242"/>
      <c r="AC997" s="242"/>
      <c r="AD997" s="242"/>
      <c r="AE997" s="242"/>
      <c r="AF997" s="242"/>
      <c r="AG997" s="242"/>
      <c r="AH997" s="242"/>
      <c r="AI997" s="242"/>
      <c r="AJ997" s="13"/>
      <c r="AK997" s="242"/>
      <c r="AL997" s="242"/>
      <c r="AM997" s="242"/>
      <c r="AN997" s="242"/>
      <c r="AO997" s="242"/>
    </row>
    <row r="998">
      <c r="A998" s="242"/>
      <c r="B998" s="13"/>
      <c r="C998" s="242"/>
      <c r="D998" s="242"/>
      <c r="E998" s="242"/>
      <c r="F998" s="242"/>
      <c r="G998" s="13"/>
      <c r="H998" s="13"/>
      <c r="I998" s="13"/>
      <c r="J998" s="13"/>
      <c r="K998" s="13"/>
      <c r="L998" s="242"/>
      <c r="M998" s="242"/>
      <c r="N998" s="242"/>
      <c r="O998" s="242"/>
      <c r="P998" s="242"/>
      <c r="Q998" s="525"/>
      <c r="R998" s="242"/>
      <c r="S998" s="242"/>
      <c r="T998" s="242"/>
      <c r="U998" s="242"/>
      <c r="V998" s="242"/>
      <c r="W998" s="242"/>
      <c r="X998" s="242"/>
      <c r="Y998" s="242"/>
      <c r="Z998" s="242"/>
      <c r="AA998" s="242"/>
      <c r="AB998" s="242"/>
      <c r="AC998" s="242"/>
      <c r="AD998" s="242"/>
      <c r="AE998" s="242"/>
      <c r="AF998" s="242"/>
      <c r="AG998" s="242"/>
      <c r="AH998" s="242"/>
      <c r="AI998" s="242"/>
      <c r="AJ998" s="13"/>
      <c r="AK998" s="242"/>
      <c r="AL998" s="242"/>
      <c r="AM998" s="242"/>
      <c r="AN998" s="242"/>
      <c r="AO998" s="242"/>
    </row>
    <row r="999">
      <c r="A999" s="242"/>
      <c r="B999" s="13"/>
      <c r="C999" s="242"/>
      <c r="D999" s="242"/>
      <c r="E999" s="242"/>
      <c r="F999" s="242"/>
      <c r="G999" s="13"/>
      <c r="H999" s="13"/>
      <c r="I999" s="13"/>
      <c r="J999" s="13"/>
      <c r="K999" s="13"/>
      <c r="L999" s="242"/>
      <c r="M999" s="242"/>
      <c r="N999" s="242"/>
      <c r="O999" s="242"/>
      <c r="P999" s="242"/>
      <c r="Q999" s="525"/>
      <c r="R999" s="242"/>
      <c r="S999" s="242"/>
      <c r="T999" s="242"/>
      <c r="U999" s="242"/>
      <c r="V999" s="242"/>
      <c r="W999" s="242"/>
      <c r="X999" s="242"/>
      <c r="Y999" s="242"/>
      <c r="Z999" s="242"/>
      <c r="AA999" s="242"/>
      <c r="AB999" s="242"/>
      <c r="AC999" s="242"/>
      <c r="AD999" s="242"/>
      <c r="AE999" s="242"/>
      <c r="AF999" s="242"/>
      <c r="AG999" s="242"/>
      <c r="AH999" s="242"/>
      <c r="AI999" s="242"/>
      <c r="AJ999" s="13"/>
      <c r="AK999" s="242"/>
      <c r="AL999" s="242"/>
      <c r="AM999" s="242"/>
      <c r="AN999" s="242"/>
      <c r="AO999" s="242"/>
    </row>
    <row r="1000">
      <c r="A1000" s="242"/>
      <c r="B1000" s="13"/>
      <c r="C1000" s="242"/>
      <c r="D1000" s="242"/>
      <c r="E1000" s="242"/>
      <c r="F1000" s="242"/>
      <c r="G1000" s="13"/>
      <c r="H1000" s="13"/>
      <c r="I1000" s="13"/>
      <c r="J1000" s="13"/>
      <c r="K1000" s="13"/>
      <c r="L1000" s="242"/>
      <c r="M1000" s="242"/>
      <c r="N1000" s="242"/>
      <c r="O1000" s="242"/>
      <c r="P1000" s="242"/>
      <c r="Q1000" s="525"/>
      <c r="R1000" s="242"/>
      <c r="S1000" s="242"/>
      <c r="T1000" s="242"/>
      <c r="U1000" s="242"/>
      <c r="V1000" s="242"/>
      <c r="W1000" s="242"/>
      <c r="X1000" s="242"/>
      <c r="Y1000" s="242"/>
      <c r="Z1000" s="242"/>
      <c r="AA1000" s="242"/>
      <c r="AB1000" s="242"/>
      <c r="AC1000" s="242"/>
      <c r="AD1000" s="242"/>
      <c r="AE1000" s="242"/>
      <c r="AF1000" s="242"/>
      <c r="AG1000" s="242"/>
      <c r="AH1000" s="242"/>
      <c r="AI1000" s="242"/>
      <c r="AJ1000" s="13"/>
      <c r="AK1000" s="242"/>
      <c r="AL1000" s="242"/>
      <c r="AM1000" s="242"/>
      <c r="AN1000" s="242"/>
      <c r="AO1000" s="242"/>
    </row>
    <row r="1001">
      <c r="A1001" s="242"/>
      <c r="B1001" s="13"/>
      <c r="C1001" s="242"/>
      <c r="D1001" s="242"/>
      <c r="E1001" s="242"/>
      <c r="F1001" s="242"/>
      <c r="G1001" s="13"/>
      <c r="H1001" s="13"/>
      <c r="I1001" s="13"/>
      <c r="J1001" s="13"/>
      <c r="K1001" s="13"/>
      <c r="L1001" s="242"/>
      <c r="M1001" s="242"/>
      <c r="N1001" s="242"/>
      <c r="O1001" s="242"/>
      <c r="P1001" s="242"/>
      <c r="Q1001" s="525"/>
      <c r="R1001" s="242"/>
      <c r="S1001" s="242"/>
      <c r="T1001" s="242"/>
      <c r="U1001" s="242"/>
      <c r="V1001" s="242"/>
      <c r="W1001" s="242"/>
      <c r="X1001" s="242"/>
      <c r="Y1001" s="242"/>
      <c r="Z1001" s="242"/>
      <c r="AA1001" s="242"/>
      <c r="AB1001" s="242"/>
      <c r="AC1001" s="242"/>
      <c r="AD1001" s="242"/>
      <c r="AE1001" s="242"/>
      <c r="AF1001" s="242"/>
      <c r="AG1001" s="242"/>
      <c r="AH1001" s="242"/>
      <c r="AI1001" s="242"/>
      <c r="AJ1001" s="13"/>
      <c r="AK1001" s="242"/>
      <c r="AL1001" s="242"/>
      <c r="AM1001" s="242"/>
      <c r="AN1001" s="242"/>
      <c r="AO1001" s="242"/>
    </row>
    <row r="1002">
      <c r="A1002" s="242"/>
      <c r="B1002" s="13"/>
      <c r="C1002" s="242"/>
      <c r="D1002" s="242"/>
      <c r="E1002" s="242"/>
      <c r="F1002" s="242"/>
      <c r="G1002" s="13"/>
      <c r="H1002" s="13"/>
      <c r="I1002" s="13"/>
      <c r="J1002" s="13"/>
      <c r="K1002" s="13"/>
      <c r="L1002" s="242"/>
      <c r="M1002" s="242"/>
      <c r="N1002" s="242"/>
      <c r="O1002" s="242"/>
      <c r="P1002" s="242"/>
      <c r="Q1002" s="525"/>
      <c r="R1002" s="242"/>
      <c r="S1002" s="242"/>
      <c r="T1002" s="242"/>
      <c r="U1002" s="242"/>
      <c r="V1002" s="242"/>
      <c r="W1002" s="242"/>
      <c r="X1002" s="242"/>
      <c r="Y1002" s="242"/>
      <c r="Z1002" s="242"/>
      <c r="AA1002" s="242"/>
      <c r="AB1002" s="242"/>
      <c r="AC1002" s="242"/>
      <c r="AD1002" s="242"/>
      <c r="AE1002" s="242"/>
      <c r="AF1002" s="242"/>
      <c r="AG1002" s="242"/>
      <c r="AH1002" s="242"/>
      <c r="AI1002" s="242"/>
      <c r="AJ1002" s="13"/>
      <c r="AK1002" s="242"/>
      <c r="AL1002" s="242"/>
      <c r="AM1002" s="242"/>
      <c r="AN1002" s="242"/>
      <c r="AO1002" s="242"/>
    </row>
    <row r="1003">
      <c r="A1003" s="242"/>
      <c r="B1003" s="13"/>
      <c r="C1003" s="242"/>
      <c r="D1003" s="242"/>
      <c r="E1003" s="242"/>
      <c r="F1003" s="242"/>
      <c r="G1003" s="13"/>
      <c r="H1003" s="13"/>
      <c r="I1003" s="13"/>
      <c r="J1003" s="13"/>
      <c r="K1003" s="13"/>
      <c r="L1003" s="242"/>
      <c r="M1003" s="242"/>
      <c r="N1003" s="242"/>
      <c r="O1003" s="242"/>
      <c r="P1003" s="242"/>
      <c r="Q1003" s="525"/>
      <c r="R1003" s="242"/>
      <c r="S1003" s="242"/>
      <c r="T1003" s="242"/>
      <c r="U1003" s="242"/>
      <c r="V1003" s="242"/>
      <c r="W1003" s="242"/>
      <c r="X1003" s="242"/>
      <c r="Y1003" s="242"/>
      <c r="Z1003" s="242"/>
      <c r="AA1003" s="242"/>
      <c r="AB1003" s="242"/>
      <c r="AC1003" s="242"/>
      <c r="AD1003" s="242"/>
      <c r="AE1003" s="242"/>
      <c r="AF1003" s="242"/>
      <c r="AG1003" s="242"/>
      <c r="AH1003" s="242"/>
      <c r="AI1003" s="242"/>
      <c r="AJ1003" s="13"/>
      <c r="AK1003" s="242"/>
      <c r="AL1003" s="242"/>
      <c r="AM1003" s="242"/>
      <c r="AN1003" s="242"/>
      <c r="AO1003" s="242"/>
    </row>
    <row r="1004">
      <c r="A1004" s="242"/>
      <c r="B1004" s="13"/>
      <c r="C1004" s="242"/>
      <c r="D1004" s="242"/>
      <c r="E1004" s="242"/>
      <c r="F1004" s="242"/>
      <c r="G1004" s="13"/>
      <c r="H1004" s="13"/>
      <c r="I1004" s="13"/>
      <c r="J1004" s="13"/>
      <c r="K1004" s="13"/>
      <c r="L1004" s="242"/>
      <c r="M1004" s="242"/>
      <c r="N1004" s="242"/>
      <c r="O1004" s="242"/>
      <c r="P1004" s="242"/>
      <c r="Q1004" s="525"/>
      <c r="R1004" s="242"/>
      <c r="S1004" s="242"/>
      <c r="T1004" s="242"/>
      <c r="U1004" s="242"/>
      <c r="V1004" s="242"/>
      <c r="W1004" s="242"/>
      <c r="X1004" s="242"/>
      <c r="Y1004" s="242"/>
      <c r="Z1004" s="242"/>
      <c r="AA1004" s="242"/>
      <c r="AB1004" s="242"/>
      <c r="AC1004" s="242"/>
      <c r="AD1004" s="242"/>
      <c r="AE1004" s="242"/>
      <c r="AF1004" s="242"/>
      <c r="AG1004" s="242"/>
      <c r="AH1004" s="242"/>
      <c r="AI1004" s="242"/>
      <c r="AJ1004" s="13"/>
      <c r="AK1004" s="242"/>
      <c r="AL1004" s="242"/>
      <c r="AM1004" s="242"/>
      <c r="AN1004" s="242"/>
      <c r="AO1004" s="242"/>
    </row>
    <row r="1005">
      <c r="A1005" s="242"/>
      <c r="B1005" s="13"/>
      <c r="C1005" s="242"/>
      <c r="D1005" s="242"/>
      <c r="E1005" s="242"/>
      <c r="F1005" s="242"/>
      <c r="G1005" s="13"/>
      <c r="H1005" s="13"/>
      <c r="I1005" s="13"/>
      <c r="J1005" s="13"/>
      <c r="K1005" s="13"/>
      <c r="L1005" s="242"/>
      <c r="M1005" s="242"/>
      <c r="N1005" s="242"/>
      <c r="O1005" s="242"/>
      <c r="P1005" s="242"/>
      <c r="Q1005" s="525"/>
      <c r="R1005" s="242"/>
      <c r="S1005" s="242"/>
      <c r="T1005" s="242"/>
      <c r="U1005" s="242"/>
      <c r="V1005" s="242"/>
      <c r="W1005" s="242"/>
      <c r="X1005" s="242"/>
      <c r="Y1005" s="242"/>
      <c r="Z1005" s="242"/>
      <c r="AA1005" s="242"/>
      <c r="AB1005" s="242"/>
      <c r="AC1005" s="242"/>
      <c r="AD1005" s="242"/>
      <c r="AE1005" s="242"/>
      <c r="AF1005" s="242"/>
      <c r="AG1005" s="242"/>
      <c r="AH1005" s="242"/>
      <c r="AI1005" s="242"/>
      <c r="AJ1005" s="13"/>
      <c r="AK1005" s="242"/>
      <c r="AL1005" s="242"/>
      <c r="AM1005" s="242"/>
      <c r="AN1005" s="242"/>
      <c r="AO1005" s="242"/>
    </row>
    <row r="1006">
      <c r="A1006" s="242"/>
      <c r="B1006" s="13"/>
      <c r="C1006" s="242"/>
      <c r="D1006" s="242"/>
      <c r="E1006" s="242"/>
      <c r="F1006" s="242"/>
      <c r="G1006" s="13"/>
      <c r="H1006" s="13"/>
      <c r="I1006" s="13"/>
      <c r="J1006" s="13"/>
      <c r="K1006" s="13"/>
      <c r="L1006" s="242"/>
      <c r="M1006" s="242"/>
      <c r="N1006" s="242"/>
      <c r="O1006" s="242"/>
      <c r="P1006" s="242"/>
      <c r="Q1006" s="525"/>
      <c r="R1006" s="242"/>
      <c r="S1006" s="242"/>
      <c r="T1006" s="242"/>
      <c r="U1006" s="242"/>
      <c r="V1006" s="242"/>
      <c r="W1006" s="242"/>
      <c r="X1006" s="242"/>
      <c r="Y1006" s="242"/>
      <c r="Z1006" s="242"/>
      <c r="AA1006" s="242"/>
      <c r="AB1006" s="242"/>
      <c r="AC1006" s="242"/>
      <c r="AD1006" s="242"/>
      <c r="AE1006" s="242"/>
      <c r="AF1006" s="242"/>
      <c r="AG1006" s="242"/>
      <c r="AH1006" s="242"/>
      <c r="AI1006" s="242"/>
      <c r="AJ1006" s="13"/>
      <c r="AK1006" s="242"/>
      <c r="AL1006" s="242"/>
      <c r="AM1006" s="242"/>
      <c r="AN1006" s="242"/>
      <c r="AO1006" s="242"/>
    </row>
    <row r="1007">
      <c r="A1007" s="242"/>
      <c r="B1007" s="13"/>
      <c r="C1007" s="242"/>
      <c r="D1007" s="242"/>
      <c r="E1007" s="242"/>
      <c r="F1007" s="242"/>
      <c r="G1007" s="13"/>
      <c r="H1007" s="13"/>
      <c r="I1007" s="13"/>
      <c r="J1007" s="13"/>
      <c r="K1007" s="13"/>
      <c r="L1007" s="242"/>
      <c r="M1007" s="242"/>
      <c r="N1007" s="242"/>
      <c r="O1007" s="242"/>
      <c r="P1007" s="242"/>
      <c r="Q1007" s="525"/>
      <c r="R1007" s="242"/>
      <c r="S1007" s="242"/>
      <c r="T1007" s="242"/>
      <c r="U1007" s="242"/>
      <c r="V1007" s="242"/>
      <c r="W1007" s="242"/>
      <c r="X1007" s="242"/>
      <c r="Y1007" s="242"/>
      <c r="Z1007" s="242"/>
      <c r="AA1007" s="242"/>
      <c r="AB1007" s="242"/>
      <c r="AC1007" s="242"/>
      <c r="AD1007" s="242"/>
      <c r="AE1007" s="242"/>
      <c r="AF1007" s="242"/>
      <c r="AG1007" s="242"/>
      <c r="AH1007" s="242"/>
      <c r="AI1007" s="242"/>
      <c r="AJ1007" s="13"/>
      <c r="AK1007" s="242"/>
      <c r="AL1007" s="242"/>
      <c r="AM1007" s="242"/>
      <c r="AN1007" s="242"/>
      <c r="AO1007" s="242"/>
    </row>
    <row r="1008">
      <c r="A1008" s="242"/>
      <c r="B1008" s="13"/>
      <c r="C1008" s="242"/>
      <c r="D1008" s="242"/>
      <c r="E1008" s="242"/>
      <c r="F1008" s="242"/>
      <c r="G1008" s="13"/>
      <c r="H1008" s="13"/>
      <c r="I1008" s="13"/>
      <c r="J1008" s="13"/>
      <c r="K1008" s="13"/>
      <c r="L1008" s="242"/>
      <c r="M1008" s="242"/>
      <c r="N1008" s="242"/>
      <c r="O1008" s="242"/>
      <c r="P1008" s="242"/>
      <c r="Q1008" s="525"/>
      <c r="R1008" s="242"/>
      <c r="S1008" s="242"/>
      <c r="T1008" s="242"/>
      <c r="U1008" s="242"/>
      <c r="V1008" s="242"/>
      <c r="W1008" s="242"/>
      <c r="X1008" s="242"/>
      <c r="Y1008" s="242"/>
      <c r="Z1008" s="242"/>
      <c r="AA1008" s="242"/>
      <c r="AB1008" s="242"/>
      <c r="AC1008" s="242"/>
      <c r="AD1008" s="242"/>
      <c r="AE1008" s="242"/>
      <c r="AF1008" s="242"/>
      <c r="AG1008" s="242"/>
      <c r="AH1008" s="242"/>
      <c r="AI1008" s="242"/>
      <c r="AJ1008" s="13"/>
      <c r="AK1008" s="242"/>
      <c r="AL1008" s="242"/>
      <c r="AM1008" s="242"/>
      <c r="AN1008" s="242"/>
      <c r="AO1008" s="242"/>
    </row>
    <row r="1009">
      <c r="A1009" s="242"/>
      <c r="B1009" s="13"/>
      <c r="C1009" s="242"/>
      <c r="D1009" s="242"/>
      <c r="E1009" s="242"/>
      <c r="F1009" s="242"/>
      <c r="G1009" s="13"/>
      <c r="H1009" s="13"/>
      <c r="I1009" s="13"/>
      <c r="J1009" s="13"/>
      <c r="K1009" s="13"/>
      <c r="L1009" s="242"/>
      <c r="M1009" s="242"/>
      <c r="N1009" s="242"/>
      <c r="O1009" s="242"/>
      <c r="P1009" s="242"/>
      <c r="Q1009" s="525"/>
      <c r="R1009" s="242"/>
      <c r="S1009" s="242"/>
      <c r="T1009" s="242"/>
      <c r="U1009" s="242"/>
      <c r="V1009" s="242"/>
      <c r="W1009" s="242"/>
      <c r="X1009" s="242"/>
      <c r="Y1009" s="242"/>
      <c r="Z1009" s="242"/>
      <c r="AA1009" s="242"/>
      <c r="AB1009" s="242"/>
      <c r="AC1009" s="242"/>
      <c r="AD1009" s="242"/>
      <c r="AE1009" s="242"/>
      <c r="AF1009" s="242"/>
      <c r="AG1009" s="242"/>
      <c r="AH1009" s="242"/>
      <c r="AI1009" s="242"/>
      <c r="AJ1009" s="13"/>
      <c r="AK1009" s="242"/>
      <c r="AL1009" s="242"/>
      <c r="AM1009" s="242"/>
      <c r="AN1009" s="242"/>
      <c r="AO1009" s="242"/>
    </row>
    <row r="1010">
      <c r="A1010" s="242"/>
      <c r="B1010" s="13"/>
      <c r="C1010" s="242"/>
      <c r="D1010" s="242"/>
      <c r="E1010" s="242"/>
      <c r="F1010" s="242"/>
      <c r="G1010" s="13"/>
      <c r="H1010" s="13"/>
      <c r="I1010" s="13"/>
      <c r="J1010" s="13"/>
      <c r="K1010" s="13"/>
      <c r="L1010" s="242"/>
      <c r="M1010" s="242"/>
      <c r="N1010" s="242"/>
      <c r="O1010" s="242"/>
      <c r="P1010" s="242"/>
      <c r="Q1010" s="525"/>
      <c r="R1010" s="242"/>
      <c r="S1010" s="242"/>
      <c r="T1010" s="242"/>
      <c r="U1010" s="242"/>
      <c r="V1010" s="242"/>
      <c r="W1010" s="242"/>
      <c r="X1010" s="242"/>
      <c r="Y1010" s="242"/>
      <c r="Z1010" s="242"/>
      <c r="AA1010" s="242"/>
      <c r="AB1010" s="242"/>
      <c r="AC1010" s="242"/>
      <c r="AD1010" s="242"/>
      <c r="AE1010" s="242"/>
      <c r="AF1010" s="242"/>
      <c r="AG1010" s="242"/>
      <c r="AH1010" s="242"/>
      <c r="AI1010" s="242"/>
      <c r="AJ1010" s="13"/>
      <c r="AK1010" s="242"/>
      <c r="AL1010" s="242"/>
      <c r="AM1010" s="242"/>
      <c r="AN1010" s="242"/>
      <c r="AO1010" s="242"/>
    </row>
    <row r="1011">
      <c r="A1011" s="242"/>
      <c r="B1011" s="13"/>
      <c r="C1011" s="242"/>
      <c r="D1011" s="242"/>
      <c r="E1011" s="242"/>
      <c r="F1011" s="242"/>
      <c r="G1011" s="13"/>
      <c r="H1011" s="13"/>
      <c r="I1011" s="13"/>
      <c r="J1011" s="13"/>
      <c r="K1011" s="13"/>
      <c r="L1011" s="242"/>
      <c r="M1011" s="242"/>
      <c r="N1011" s="242"/>
      <c r="O1011" s="242"/>
      <c r="P1011" s="242"/>
      <c r="Q1011" s="525"/>
      <c r="R1011" s="242"/>
      <c r="S1011" s="242"/>
      <c r="T1011" s="242"/>
      <c r="U1011" s="242"/>
      <c r="V1011" s="242"/>
      <c r="W1011" s="242"/>
      <c r="X1011" s="242"/>
      <c r="Y1011" s="242"/>
      <c r="Z1011" s="242"/>
      <c r="AA1011" s="242"/>
      <c r="AB1011" s="242"/>
      <c r="AC1011" s="242"/>
      <c r="AD1011" s="242"/>
      <c r="AE1011" s="242"/>
      <c r="AF1011" s="242"/>
      <c r="AG1011" s="242"/>
      <c r="AH1011" s="242"/>
      <c r="AI1011" s="242"/>
      <c r="AJ1011" s="13"/>
      <c r="AK1011" s="242"/>
      <c r="AL1011" s="242"/>
      <c r="AM1011" s="242"/>
      <c r="AN1011" s="242"/>
      <c r="AO1011" s="242"/>
    </row>
    <row r="1012">
      <c r="A1012" s="242"/>
      <c r="B1012" s="13"/>
      <c r="C1012" s="242"/>
      <c r="D1012" s="242"/>
      <c r="E1012" s="242"/>
      <c r="F1012" s="242"/>
      <c r="G1012" s="13"/>
      <c r="H1012" s="13"/>
      <c r="I1012" s="13"/>
      <c r="J1012" s="13"/>
      <c r="K1012" s="13"/>
      <c r="L1012" s="242"/>
      <c r="M1012" s="242"/>
      <c r="N1012" s="242"/>
      <c r="O1012" s="242"/>
      <c r="P1012" s="242"/>
      <c r="Q1012" s="525"/>
      <c r="R1012" s="242"/>
      <c r="S1012" s="242"/>
      <c r="T1012" s="242"/>
      <c r="U1012" s="242"/>
      <c r="V1012" s="242"/>
      <c r="W1012" s="242"/>
      <c r="X1012" s="242"/>
      <c r="Y1012" s="242"/>
      <c r="Z1012" s="242"/>
      <c r="AA1012" s="242"/>
      <c r="AB1012" s="242"/>
      <c r="AC1012" s="242"/>
      <c r="AD1012" s="242"/>
      <c r="AE1012" s="242"/>
      <c r="AF1012" s="242"/>
      <c r="AG1012" s="242"/>
      <c r="AH1012" s="242"/>
      <c r="AI1012" s="242"/>
      <c r="AJ1012" s="13"/>
      <c r="AK1012" s="242"/>
      <c r="AL1012" s="242"/>
      <c r="AM1012" s="242"/>
      <c r="AN1012" s="242"/>
      <c r="AO1012" s="242"/>
    </row>
    <row r="1013">
      <c r="A1013" s="242"/>
      <c r="B1013" s="13"/>
      <c r="C1013" s="242"/>
      <c r="D1013" s="242"/>
      <c r="E1013" s="242"/>
      <c r="F1013" s="242"/>
      <c r="G1013" s="13"/>
      <c r="H1013" s="13"/>
      <c r="I1013" s="13"/>
      <c r="J1013" s="13"/>
      <c r="K1013" s="13"/>
      <c r="L1013" s="242"/>
      <c r="M1013" s="242"/>
      <c r="N1013" s="242"/>
      <c r="O1013" s="242"/>
      <c r="P1013" s="242"/>
      <c r="Q1013" s="525"/>
      <c r="R1013" s="242"/>
      <c r="S1013" s="242"/>
      <c r="T1013" s="242"/>
      <c r="U1013" s="242"/>
      <c r="V1013" s="242"/>
      <c r="W1013" s="242"/>
      <c r="X1013" s="242"/>
      <c r="Y1013" s="242"/>
      <c r="Z1013" s="242"/>
      <c r="AA1013" s="242"/>
      <c r="AB1013" s="242"/>
      <c r="AC1013" s="242"/>
      <c r="AD1013" s="242"/>
      <c r="AE1013" s="242"/>
      <c r="AF1013" s="242"/>
      <c r="AG1013" s="242"/>
      <c r="AH1013" s="242"/>
      <c r="AI1013" s="242"/>
      <c r="AJ1013" s="13"/>
      <c r="AK1013" s="242"/>
      <c r="AL1013" s="242"/>
      <c r="AM1013" s="242"/>
      <c r="AN1013" s="242"/>
      <c r="AO1013" s="242"/>
    </row>
    <row r="1014">
      <c r="A1014" s="242"/>
      <c r="B1014" s="13"/>
      <c r="C1014" s="242"/>
      <c r="D1014" s="242"/>
      <c r="E1014" s="242"/>
      <c r="F1014" s="242"/>
      <c r="G1014" s="13"/>
      <c r="H1014" s="13"/>
      <c r="I1014" s="13"/>
      <c r="J1014" s="13"/>
      <c r="K1014" s="13"/>
      <c r="L1014" s="242"/>
      <c r="M1014" s="242"/>
      <c r="N1014" s="242"/>
      <c r="O1014" s="242"/>
      <c r="P1014" s="242"/>
      <c r="Q1014" s="525"/>
      <c r="R1014" s="242"/>
      <c r="S1014" s="242"/>
      <c r="T1014" s="242"/>
      <c r="U1014" s="242"/>
      <c r="V1014" s="242"/>
      <c r="W1014" s="242"/>
      <c r="X1014" s="242"/>
      <c r="Y1014" s="242"/>
      <c r="Z1014" s="242"/>
      <c r="AA1014" s="242"/>
      <c r="AB1014" s="242"/>
      <c r="AC1014" s="242"/>
      <c r="AD1014" s="242"/>
      <c r="AE1014" s="242"/>
      <c r="AF1014" s="242"/>
      <c r="AG1014" s="242"/>
      <c r="AH1014" s="242"/>
      <c r="AI1014" s="242"/>
      <c r="AJ1014" s="13"/>
      <c r="AK1014" s="242"/>
      <c r="AL1014" s="242"/>
      <c r="AM1014" s="242"/>
      <c r="AN1014" s="242"/>
      <c r="AO1014" s="242"/>
    </row>
    <row r="1015">
      <c r="A1015" s="242"/>
      <c r="B1015" s="13"/>
      <c r="C1015" s="242"/>
      <c r="D1015" s="242"/>
      <c r="E1015" s="242"/>
      <c r="F1015" s="242"/>
      <c r="G1015" s="13"/>
      <c r="H1015" s="13"/>
      <c r="I1015" s="13"/>
      <c r="J1015" s="13"/>
      <c r="K1015" s="13"/>
      <c r="L1015" s="242"/>
      <c r="M1015" s="242"/>
      <c r="N1015" s="242"/>
      <c r="O1015" s="242"/>
      <c r="P1015" s="242"/>
      <c r="Q1015" s="525"/>
      <c r="R1015" s="242"/>
      <c r="S1015" s="242"/>
      <c r="T1015" s="242"/>
      <c r="U1015" s="242"/>
      <c r="V1015" s="242"/>
      <c r="W1015" s="242"/>
      <c r="X1015" s="242"/>
      <c r="Y1015" s="242"/>
      <c r="Z1015" s="242"/>
      <c r="AA1015" s="242"/>
      <c r="AB1015" s="242"/>
      <c r="AC1015" s="242"/>
      <c r="AD1015" s="242"/>
      <c r="AE1015" s="242"/>
      <c r="AF1015" s="242"/>
      <c r="AG1015" s="242"/>
      <c r="AH1015" s="242"/>
      <c r="AI1015" s="242"/>
      <c r="AJ1015" s="13"/>
      <c r="AK1015" s="242"/>
      <c r="AL1015" s="242"/>
      <c r="AM1015" s="242"/>
      <c r="AN1015" s="242"/>
      <c r="AO1015" s="242"/>
    </row>
    <row r="1016">
      <c r="A1016" s="242"/>
      <c r="B1016" s="13"/>
      <c r="C1016" s="242"/>
      <c r="D1016" s="242"/>
      <c r="E1016" s="242"/>
      <c r="F1016" s="242"/>
      <c r="G1016" s="13"/>
      <c r="H1016" s="13"/>
      <c r="I1016" s="13"/>
      <c r="J1016" s="13"/>
      <c r="K1016" s="13"/>
      <c r="L1016" s="242"/>
      <c r="M1016" s="242"/>
      <c r="N1016" s="242"/>
      <c r="O1016" s="242"/>
      <c r="P1016" s="242"/>
      <c r="Q1016" s="525"/>
      <c r="R1016" s="242"/>
      <c r="S1016" s="242"/>
      <c r="T1016" s="242"/>
      <c r="U1016" s="242"/>
      <c r="V1016" s="242"/>
      <c r="W1016" s="242"/>
      <c r="X1016" s="242"/>
      <c r="Y1016" s="242"/>
      <c r="Z1016" s="242"/>
      <c r="AA1016" s="242"/>
      <c r="AB1016" s="242"/>
      <c r="AC1016" s="242"/>
      <c r="AD1016" s="242"/>
      <c r="AE1016" s="242"/>
      <c r="AF1016" s="242"/>
      <c r="AG1016" s="242"/>
      <c r="AH1016" s="242"/>
      <c r="AI1016" s="242"/>
      <c r="AJ1016" s="13"/>
      <c r="AK1016" s="242"/>
      <c r="AL1016" s="242"/>
      <c r="AM1016" s="242"/>
      <c r="AN1016" s="242"/>
      <c r="AO1016" s="242"/>
    </row>
    <row r="1017">
      <c r="A1017" s="242"/>
      <c r="B1017" s="13"/>
      <c r="C1017" s="242"/>
      <c r="D1017" s="242"/>
      <c r="E1017" s="242"/>
      <c r="F1017" s="242"/>
      <c r="G1017" s="13"/>
      <c r="H1017" s="13"/>
      <c r="I1017" s="13"/>
      <c r="J1017" s="13"/>
      <c r="K1017" s="13"/>
      <c r="L1017" s="242"/>
      <c r="M1017" s="242"/>
      <c r="N1017" s="242"/>
      <c r="O1017" s="242"/>
      <c r="P1017" s="242"/>
      <c r="Q1017" s="525"/>
      <c r="R1017" s="242"/>
      <c r="S1017" s="242"/>
      <c r="T1017" s="242"/>
      <c r="U1017" s="242"/>
      <c r="V1017" s="242"/>
      <c r="W1017" s="242"/>
      <c r="X1017" s="242"/>
      <c r="Y1017" s="242"/>
      <c r="Z1017" s="242"/>
      <c r="AA1017" s="242"/>
      <c r="AB1017" s="242"/>
      <c r="AC1017" s="242"/>
      <c r="AD1017" s="242"/>
      <c r="AE1017" s="242"/>
      <c r="AF1017" s="242"/>
      <c r="AG1017" s="242"/>
      <c r="AH1017" s="242"/>
      <c r="AI1017" s="242"/>
      <c r="AJ1017" s="13"/>
      <c r="AK1017" s="242"/>
      <c r="AL1017" s="242"/>
      <c r="AM1017" s="242"/>
      <c r="AN1017" s="242"/>
      <c r="AO1017" s="242"/>
    </row>
    <row r="1018">
      <c r="A1018" s="242"/>
      <c r="B1018" s="13"/>
      <c r="C1018" s="242"/>
      <c r="D1018" s="242"/>
      <c r="E1018" s="242"/>
      <c r="F1018" s="242"/>
      <c r="G1018" s="13"/>
      <c r="H1018" s="13"/>
      <c r="I1018" s="13"/>
      <c r="J1018" s="13"/>
      <c r="K1018" s="13"/>
      <c r="L1018" s="242"/>
      <c r="M1018" s="242"/>
      <c r="N1018" s="242"/>
      <c r="O1018" s="242"/>
      <c r="P1018" s="242"/>
      <c r="Q1018" s="525"/>
      <c r="R1018" s="242"/>
      <c r="S1018" s="242"/>
      <c r="T1018" s="242"/>
      <c r="U1018" s="242"/>
      <c r="V1018" s="242"/>
      <c r="W1018" s="242"/>
      <c r="X1018" s="242"/>
      <c r="Y1018" s="242"/>
      <c r="Z1018" s="242"/>
      <c r="AA1018" s="242"/>
      <c r="AB1018" s="242"/>
      <c r="AC1018" s="242"/>
      <c r="AD1018" s="242"/>
      <c r="AE1018" s="242"/>
      <c r="AF1018" s="242"/>
      <c r="AG1018" s="242"/>
      <c r="AH1018" s="242"/>
      <c r="AI1018" s="242"/>
      <c r="AJ1018" s="13"/>
      <c r="AK1018" s="242"/>
      <c r="AL1018" s="242"/>
      <c r="AM1018" s="242"/>
      <c r="AN1018" s="242"/>
      <c r="AO1018" s="242"/>
    </row>
    <row r="1019">
      <c r="A1019" s="242"/>
      <c r="B1019" s="13"/>
      <c r="C1019" s="242"/>
      <c r="D1019" s="242"/>
      <c r="E1019" s="242"/>
      <c r="F1019" s="242"/>
      <c r="G1019" s="13"/>
      <c r="H1019" s="13"/>
      <c r="I1019" s="13"/>
      <c r="J1019" s="13"/>
      <c r="K1019" s="13"/>
      <c r="L1019" s="242"/>
      <c r="M1019" s="242"/>
      <c r="N1019" s="242"/>
      <c r="O1019" s="242"/>
      <c r="P1019" s="242"/>
      <c r="Q1019" s="525"/>
      <c r="R1019" s="242"/>
      <c r="S1019" s="242"/>
      <c r="T1019" s="242"/>
      <c r="U1019" s="242"/>
      <c r="V1019" s="242"/>
      <c r="W1019" s="242"/>
      <c r="X1019" s="242"/>
      <c r="Y1019" s="242"/>
      <c r="Z1019" s="242"/>
      <c r="AA1019" s="242"/>
      <c r="AB1019" s="242"/>
      <c r="AC1019" s="242"/>
      <c r="AD1019" s="242"/>
      <c r="AE1019" s="242"/>
      <c r="AF1019" s="242"/>
      <c r="AG1019" s="242"/>
      <c r="AH1019" s="242"/>
      <c r="AI1019" s="242"/>
      <c r="AJ1019" s="13"/>
      <c r="AK1019" s="242"/>
      <c r="AL1019" s="242"/>
      <c r="AM1019" s="242"/>
      <c r="AN1019" s="242"/>
      <c r="AO1019" s="242"/>
    </row>
    <row r="1020">
      <c r="A1020" s="242"/>
      <c r="B1020" s="13"/>
      <c r="C1020" s="242"/>
      <c r="D1020" s="242"/>
      <c r="E1020" s="242"/>
      <c r="F1020" s="242"/>
      <c r="G1020" s="13"/>
      <c r="H1020" s="13"/>
      <c r="I1020" s="13"/>
      <c r="J1020" s="13"/>
      <c r="K1020" s="13"/>
      <c r="L1020" s="242"/>
      <c r="M1020" s="242"/>
      <c r="N1020" s="242"/>
      <c r="O1020" s="242"/>
      <c r="P1020" s="242"/>
      <c r="Q1020" s="525"/>
      <c r="R1020" s="242"/>
      <c r="S1020" s="242"/>
      <c r="T1020" s="242"/>
      <c r="U1020" s="242"/>
      <c r="V1020" s="242"/>
      <c r="W1020" s="242"/>
      <c r="X1020" s="242"/>
      <c r="Y1020" s="242"/>
      <c r="Z1020" s="242"/>
      <c r="AA1020" s="242"/>
      <c r="AB1020" s="242"/>
      <c r="AC1020" s="242"/>
      <c r="AD1020" s="242"/>
      <c r="AE1020" s="242"/>
      <c r="AF1020" s="242"/>
      <c r="AG1020" s="242"/>
      <c r="AH1020" s="242"/>
      <c r="AI1020" s="242"/>
      <c r="AJ1020" s="13"/>
      <c r="AK1020" s="242"/>
      <c r="AL1020" s="242"/>
      <c r="AM1020" s="242"/>
      <c r="AN1020" s="242"/>
      <c r="AO1020" s="242"/>
    </row>
    <row r="1021">
      <c r="A1021" s="242"/>
      <c r="B1021" s="13"/>
      <c r="C1021" s="242"/>
      <c r="D1021" s="242"/>
      <c r="E1021" s="242"/>
      <c r="F1021" s="242"/>
      <c r="G1021" s="13"/>
      <c r="H1021" s="13"/>
      <c r="I1021" s="13"/>
      <c r="J1021" s="13"/>
      <c r="K1021" s="13"/>
      <c r="L1021" s="242"/>
      <c r="M1021" s="242"/>
      <c r="N1021" s="242"/>
      <c r="O1021" s="242"/>
      <c r="P1021" s="242"/>
      <c r="Q1021" s="525"/>
      <c r="R1021" s="242"/>
      <c r="S1021" s="242"/>
      <c r="T1021" s="242"/>
      <c r="U1021" s="242"/>
      <c r="V1021" s="242"/>
      <c r="W1021" s="242"/>
      <c r="X1021" s="242"/>
      <c r="Y1021" s="242"/>
      <c r="Z1021" s="242"/>
      <c r="AA1021" s="242"/>
      <c r="AB1021" s="242"/>
      <c r="AC1021" s="242"/>
      <c r="AD1021" s="242"/>
      <c r="AE1021" s="242"/>
      <c r="AF1021" s="242"/>
      <c r="AG1021" s="242"/>
      <c r="AH1021" s="242"/>
      <c r="AI1021" s="242"/>
      <c r="AJ1021" s="13"/>
      <c r="AK1021" s="242"/>
      <c r="AL1021" s="242"/>
      <c r="AM1021" s="242"/>
      <c r="AN1021" s="242"/>
      <c r="AO1021" s="242"/>
    </row>
    <row r="1022">
      <c r="A1022" s="242"/>
      <c r="B1022" s="13"/>
      <c r="C1022" s="242"/>
      <c r="D1022" s="242"/>
      <c r="E1022" s="242"/>
      <c r="F1022" s="242"/>
      <c r="G1022" s="13"/>
      <c r="H1022" s="13"/>
      <c r="I1022" s="13"/>
      <c r="J1022" s="13"/>
      <c r="K1022" s="13"/>
      <c r="L1022" s="242"/>
      <c r="M1022" s="242"/>
      <c r="N1022" s="242"/>
      <c r="O1022" s="242"/>
      <c r="P1022" s="242"/>
      <c r="Q1022" s="525"/>
      <c r="R1022" s="242"/>
      <c r="S1022" s="242"/>
      <c r="T1022" s="242"/>
      <c r="U1022" s="242"/>
      <c r="V1022" s="242"/>
      <c r="W1022" s="242"/>
      <c r="X1022" s="242"/>
      <c r="Y1022" s="242"/>
      <c r="Z1022" s="242"/>
      <c r="AA1022" s="242"/>
      <c r="AB1022" s="242"/>
      <c r="AC1022" s="242"/>
      <c r="AD1022" s="242"/>
      <c r="AE1022" s="242"/>
      <c r="AF1022" s="242"/>
      <c r="AG1022" s="242"/>
      <c r="AH1022" s="242"/>
      <c r="AI1022" s="242"/>
      <c r="AJ1022" s="13"/>
      <c r="AK1022" s="242"/>
      <c r="AL1022" s="242"/>
      <c r="AM1022" s="242"/>
      <c r="AN1022" s="242"/>
      <c r="AO1022" s="242"/>
    </row>
    <row r="1023">
      <c r="A1023" s="242"/>
      <c r="B1023" s="13"/>
      <c r="C1023" s="242"/>
      <c r="D1023" s="242"/>
      <c r="E1023" s="242"/>
      <c r="F1023" s="242"/>
      <c r="G1023" s="13"/>
      <c r="H1023" s="13"/>
      <c r="I1023" s="13"/>
      <c r="J1023" s="13"/>
      <c r="K1023" s="13"/>
      <c r="L1023" s="242"/>
      <c r="M1023" s="242"/>
      <c r="N1023" s="242"/>
      <c r="O1023" s="242"/>
      <c r="P1023" s="242"/>
      <c r="Q1023" s="525"/>
      <c r="R1023" s="242"/>
      <c r="S1023" s="242"/>
      <c r="T1023" s="242"/>
      <c r="U1023" s="242"/>
      <c r="V1023" s="242"/>
      <c r="W1023" s="242"/>
      <c r="X1023" s="242"/>
      <c r="Y1023" s="242"/>
      <c r="Z1023" s="242"/>
      <c r="AA1023" s="242"/>
      <c r="AB1023" s="242"/>
      <c r="AC1023" s="242"/>
      <c r="AD1023" s="242"/>
      <c r="AE1023" s="242"/>
      <c r="AF1023" s="242"/>
      <c r="AG1023" s="242"/>
      <c r="AH1023" s="242"/>
      <c r="AI1023" s="242"/>
      <c r="AJ1023" s="13"/>
      <c r="AK1023" s="242"/>
      <c r="AL1023" s="242"/>
      <c r="AM1023" s="242"/>
      <c r="AN1023" s="242"/>
      <c r="AO1023" s="242"/>
    </row>
  </sheetData>
  <mergeCells count="31">
    <mergeCell ref="F2:W2"/>
    <mergeCell ref="F3:K3"/>
    <mergeCell ref="L3:Q3"/>
    <mergeCell ref="R3:W3"/>
    <mergeCell ref="F4:K4"/>
    <mergeCell ref="L4:Q4"/>
    <mergeCell ref="R4:W4"/>
    <mergeCell ref="L26:Q26"/>
    <mergeCell ref="R26:W26"/>
    <mergeCell ref="X26:AC26"/>
    <mergeCell ref="AD26:AI26"/>
    <mergeCell ref="F24:AI24"/>
    <mergeCell ref="F25:K25"/>
    <mergeCell ref="L25:Q25"/>
    <mergeCell ref="R25:W25"/>
    <mergeCell ref="X25:AC25"/>
    <mergeCell ref="AD25:AI25"/>
    <mergeCell ref="F26:K26"/>
    <mergeCell ref="F48:K48"/>
    <mergeCell ref="L48:Q48"/>
    <mergeCell ref="R48:W48"/>
    <mergeCell ref="X48:AC48"/>
    <mergeCell ref="AD48:AI48"/>
    <mergeCell ref="AJ48:AO48"/>
    <mergeCell ref="F46:AO46"/>
    <mergeCell ref="F47:K47"/>
    <mergeCell ref="L47:Q47"/>
    <mergeCell ref="R47:W47"/>
    <mergeCell ref="X47:AC47"/>
    <mergeCell ref="AD47:AI47"/>
    <mergeCell ref="AJ47:AO47"/>
  </mergeCells>
  <printOptions horizontalCentered="1"/>
  <pageMargins bottom="0.75" footer="0.0" header="0.0" left="0.25" right="0.25" top="0.75"/>
  <pageSetup fitToHeight="0" paperSize="9" cellComments="atEnd" orientation="landscape" pageOrder="overThenDown"/>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75"/>
    <col customWidth="1" min="2" max="2" width="16.13"/>
    <col customWidth="1" min="5" max="6" width="17.63"/>
    <col customWidth="1" min="7" max="7" width="22.75"/>
  </cols>
  <sheetData>
    <row r="1">
      <c r="A1" s="840" t="s">
        <v>4734</v>
      </c>
      <c r="B1" s="45"/>
      <c r="C1" s="45"/>
      <c r="D1" s="45"/>
      <c r="E1" s="45"/>
      <c r="F1" s="45"/>
      <c r="G1" s="45"/>
      <c r="H1" s="46"/>
    </row>
    <row r="2">
      <c r="A2" s="842" t="s">
        <v>4735</v>
      </c>
      <c r="B2" s="844" t="s">
        <v>2515</v>
      </c>
      <c r="C2" s="845" t="s">
        <v>4736</v>
      </c>
      <c r="D2" s="845" t="s">
        <v>4737</v>
      </c>
      <c r="E2" s="845" t="s">
        <v>4738</v>
      </c>
      <c r="F2" s="845">
        <v>100.0</v>
      </c>
      <c r="G2" s="845" t="s">
        <v>4739</v>
      </c>
      <c r="H2" s="845" t="s">
        <v>4740</v>
      </c>
    </row>
    <row r="3">
      <c r="A3" s="846">
        <v>1.0</v>
      </c>
      <c r="B3" s="847" t="s">
        <v>1504</v>
      </c>
      <c r="C3" s="848">
        <v>16.0</v>
      </c>
      <c r="D3" s="846">
        <v>4.0</v>
      </c>
      <c r="E3" s="849">
        <v>4.57</v>
      </c>
      <c r="F3" s="849">
        <f t="shared" ref="F3:F47" si="1">E3*$F$2</f>
        <v>457</v>
      </c>
      <c r="G3" s="849">
        <v>6.0</v>
      </c>
      <c r="H3" s="849" t="s">
        <v>4741</v>
      </c>
    </row>
    <row r="4">
      <c r="A4" s="848">
        <v>2.0</v>
      </c>
      <c r="B4" s="176"/>
      <c r="C4" s="848">
        <v>20.0</v>
      </c>
      <c r="D4" s="848">
        <v>4.0</v>
      </c>
      <c r="E4" s="849">
        <v>7.09</v>
      </c>
      <c r="F4" s="849">
        <f t="shared" si="1"/>
        <v>709</v>
      </c>
      <c r="G4" s="849">
        <v>10.0</v>
      </c>
      <c r="H4" s="849" t="s">
        <v>4741</v>
      </c>
    </row>
    <row r="5">
      <c r="A5" s="848">
        <v>3.0</v>
      </c>
      <c r="B5" s="176"/>
      <c r="C5" s="848">
        <v>25.0</v>
      </c>
      <c r="D5" s="848">
        <v>4.0</v>
      </c>
      <c r="E5" s="849">
        <v>11.41</v>
      </c>
      <c r="F5" s="849">
        <f t="shared" si="1"/>
        <v>1141</v>
      </c>
      <c r="G5" s="849">
        <v>17.0</v>
      </c>
      <c r="H5" s="849" t="s">
        <v>4741</v>
      </c>
    </row>
    <row r="6">
      <c r="A6" s="848">
        <v>4.0</v>
      </c>
      <c r="B6" s="41"/>
      <c r="C6" s="848">
        <v>32.0</v>
      </c>
      <c r="D6" s="848">
        <v>4.0</v>
      </c>
      <c r="E6" s="849">
        <v>17.8</v>
      </c>
      <c r="F6" s="849">
        <f t="shared" si="1"/>
        <v>1780</v>
      </c>
      <c r="G6" s="849">
        <v>21.0</v>
      </c>
      <c r="H6" s="849" t="s">
        <v>4741</v>
      </c>
    </row>
    <row r="7">
      <c r="A7" s="848">
        <v>5.0</v>
      </c>
      <c r="B7" s="850" t="s">
        <v>4742</v>
      </c>
      <c r="C7" s="848">
        <v>16.0</v>
      </c>
      <c r="D7" s="846">
        <v>4.0</v>
      </c>
      <c r="E7" s="849">
        <v>6.92</v>
      </c>
      <c r="F7" s="849">
        <f t="shared" si="1"/>
        <v>692</v>
      </c>
      <c r="G7" s="849">
        <v>6.0</v>
      </c>
      <c r="H7" s="849" t="s">
        <v>4741</v>
      </c>
    </row>
    <row r="8">
      <c r="A8" s="848">
        <v>6.0</v>
      </c>
      <c r="C8" s="848">
        <v>20.0</v>
      </c>
      <c r="D8" s="848">
        <v>4.0</v>
      </c>
      <c r="E8" s="849">
        <v>11.24</v>
      </c>
      <c r="F8" s="849">
        <f t="shared" si="1"/>
        <v>1124</v>
      </c>
      <c r="G8" s="849">
        <v>10.0</v>
      </c>
      <c r="H8" s="849" t="s">
        <v>4741</v>
      </c>
    </row>
    <row r="9">
      <c r="A9" s="848">
        <v>7.0</v>
      </c>
      <c r="C9" s="848">
        <v>25.0</v>
      </c>
      <c r="D9" s="848">
        <v>4.0</v>
      </c>
      <c r="E9" s="849">
        <v>18.6</v>
      </c>
      <c r="F9" s="849">
        <f t="shared" si="1"/>
        <v>1860</v>
      </c>
      <c r="G9" s="849">
        <v>17.0</v>
      </c>
      <c r="H9" s="849" t="s">
        <v>4741</v>
      </c>
    </row>
    <row r="10">
      <c r="A10" s="848">
        <v>8.0</v>
      </c>
      <c r="B10" s="273"/>
      <c r="C10" s="848">
        <v>32.0</v>
      </c>
      <c r="D10" s="848">
        <v>4.0</v>
      </c>
      <c r="E10" s="849">
        <v>32.86</v>
      </c>
      <c r="F10" s="849">
        <f t="shared" si="1"/>
        <v>3286</v>
      </c>
      <c r="G10" s="849">
        <v>21.0</v>
      </c>
      <c r="H10" s="849" t="s">
        <v>4741</v>
      </c>
    </row>
    <row r="11">
      <c r="A11" s="848">
        <v>9.0</v>
      </c>
      <c r="B11" s="852" t="s">
        <v>172</v>
      </c>
      <c r="C11" s="848">
        <v>16.0</v>
      </c>
      <c r="D11" s="846">
        <v>2.0</v>
      </c>
      <c r="E11" s="849">
        <v>9.61</v>
      </c>
      <c r="F11" s="849">
        <f t="shared" si="1"/>
        <v>961</v>
      </c>
      <c r="G11" s="849">
        <v>6.0</v>
      </c>
      <c r="H11" s="849" t="s">
        <v>4741</v>
      </c>
    </row>
    <row r="12">
      <c r="A12" s="848">
        <v>10.0</v>
      </c>
      <c r="B12" s="176"/>
      <c r="C12" s="848">
        <v>20.0</v>
      </c>
      <c r="D12" s="848">
        <v>2.0</v>
      </c>
      <c r="E12" s="849">
        <v>15.14</v>
      </c>
      <c r="F12" s="849">
        <f t="shared" si="1"/>
        <v>1514</v>
      </c>
      <c r="G12" s="849">
        <v>10.0</v>
      </c>
      <c r="H12" s="849" t="s">
        <v>4741</v>
      </c>
    </row>
    <row r="13">
      <c r="A13" s="848">
        <v>11.0</v>
      </c>
      <c r="B13" s="176"/>
      <c r="C13" s="848">
        <v>25.0</v>
      </c>
      <c r="D13" s="848">
        <v>2.0</v>
      </c>
      <c r="E13" s="849">
        <v>24.88</v>
      </c>
      <c r="F13" s="849">
        <f t="shared" si="1"/>
        <v>2488</v>
      </c>
      <c r="G13" s="849">
        <v>17.0</v>
      </c>
      <c r="H13" s="849" t="s">
        <v>4741</v>
      </c>
    </row>
    <row r="14">
      <c r="A14" s="848">
        <v>12.0</v>
      </c>
      <c r="B14" s="41"/>
      <c r="C14" s="848">
        <v>32.0</v>
      </c>
      <c r="D14" s="848">
        <v>2.0</v>
      </c>
      <c r="E14" s="849">
        <v>42.85</v>
      </c>
      <c r="F14" s="849">
        <f t="shared" si="1"/>
        <v>4285</v>
      </c>
      <c r="G14" s="849">
        <v>21.0</v>
      </c>
      <c r="H14" s="849" t="s">
        <v>4741</v>
      </c>
    </row>
    <row r="15">
      <c r="A15" s="848">
        <v>13.0</v>
      </c>
      <c r="B15" s="852" t="s">
        <v>4743</v>
      </c>
      <c r="C15" s="848">
        <v>16.0</v>
      </c>
      <c r="D15" s="848">
        <v>4.0</v>
      </c>
      <c r="E15" s="849">
        <v>3.72</v>
      </c>
      <c r="F15" s="849">
        <f t="shared" si="1"/>
        <v>372</v>
      </c>
      <c r="G15" s="849">
        <v>6.0</v>
      </c>
      <c r="H15" s="849" t="s">
        <v>4741</v>
      </c>
    </row>
    <row r="16">
      <c r="A16" s="848">
        <v>14.0</v>
      </c>
      <c r="B16" s="176"/>
      <c r="C16" s="848">
        <v>20.0</v>
      </c>
      <c r="D16" s="848">
        <v>4.0</v>
      </c>
      <c r="E16" s="849">
        <v>5.35</v>
      </c>
      <c r="F16" s="849">
        <f t="shared" si="1"/>
        <v>535</v>
      </c>
      <c r="G16" s="849">
        <v>10.0</v>
      </c>
      <c r="H16" s="849" t="s">
        <v>4741</v>
      </c>
    </row>
    <row r="17">
      <c r="A17" s="848">
        <v>15.0</v>
      </c>
      <c r="B17" s="176"/>
      <c r="C17" s="848">
        <v>25.0</v>
      </c>
      <c r="D17" s="848">
        <v>4.0</v>
      </c>
      <c r="E17" s="849">
        <v>8.41</v>
      </c>
      <c r="F17" s="849">
        <f t="shared" si="1"/>
        <v>841</v>
      </c>
      <c r="G17" s="849">
        <v>17.0</v>
      </c>
      <c r="H17" s="849" t="s">
        <v>4741</v>
      </c>
    </row>
    <row r="18">
      <c r="A18" s="848">
        <v>16.0</v>
      </c>
      <c r="B18" s="41"/>
      <c r="C18" s="848">
        <v>32.0</v>
      </c>
      <c r="D18" s="848">
        <v>4.0</v>
      </c>
      <c r="E18" s="849">
        <v>13.2</v>
      </c>
      <c r="F18" s="849">
        <f t="shared" si="1"/>
        <v>1320</v>
      </c>
      <c r="G18" s="849">
        <v>21.0</v>
      </c>
      <c r="H18" s="849" t="s">
        <v>4741</v>
      </c>
    </row>
    <row r="19">
      <c r="A19" s="848">
        <v>17.0</v>
      </c>
      <c r="B19" s="852" t="s">
        <v>4744</v>
      </c>
      <c r="C19" s="848">
        <v>16.0</v>
      </c>
      <c r="D19" s="848">
        <v>4.0</v>
      </c>
      <c r="E19" s="849">
        <v>1.87</v>
      </c>
      <c r="F19" s="849">
        <f t="shared" si="1"/>
        <v>187</v>
      </c>
      <c r="G19" s="853"/>
      <c r="H19" s="849" t="s">
        <v>4741</v>
      </c>
    </row>
    <row r="20">
      <c r="A20" s="848">
        <v>18.0</v>
      </c>
      <c r="B20" s="176"/>
      <c r="C20" s="848">
        <v>20.0</v>
      </c>
      <c r="D20" s="848">
        <v>4.0</v>
      </c>
      <c r="E20" s="849">
        <v>2.24</v>
      </c>
      <c r="F20" s="849">
        <f t="shared" si="1"/>
        <v>224</v>
      </c>
      <c r="G20" s="853"/>
      <c r="H20" s="849" t="s">
        <v>4741</v>
      </c>
    </row>
    <row r="21">
      <c r="A21" s="848">
        <v>19.0</v>
      </c>
      <c r="B21" s="176"/>
      <c r="C21" s="848">
        <v>25.0</v>
      </c>
      <c r="D21" s="848">
        <v>4.0</v>
      </c>
      <c r="E21" s="849">
        <v>3.01</v>
      </c>
      <c r="F21" s="849">
        <f t="shared" si="1"/>
        <v>301</v>
      </c>
      <c r="G21" s="853"/>
      <c r="H21" s="849" t="s">
        <v>4741</v>
      </c>
    </row>
    <row r="22">
      <c r="A22" s="848">
        <v>20.0</v>
      </c>
      <c r="B22" s="176"/>
      <c r="C22" s="848">
        <v>32.0</v>
      </c>
      <c r="D22" s="848">
        <v>4.0</v>
      </c>
      <c r="E22" s="849">
        <v>4.0</v>
      </c>
      <c r="F22" s="849">
        <f t="shared" si="1"/>
        <v>400</v>
      </c>
      <c r="G22" s="853"/>
      <c r="H22" s="849" t="s">
        <v>4741</v>
      </c>
    </row>
    <row r="23">
      <c r="A23" s="854"/>
      <c r="B23" s="41"/>
      <c r="C23" s="848">
        <v>40.0</v>
      </c>
      <c r="D23" s="848">
        <v>4.0</v>
      </c>
      <c r="E23" s="849">
        <v>6.05</v>
      </c>
      <c r="F23" s="849">
        <f t="shared" si="1"/>
        <v>605</v>
      </c>
      <c r="G23" s="853"/>
      <c r="H23" s="849" t="s">
        <v>4741</v>
      </c>
    </row>
    <row r="24">
      <c r="A24" s="848">
        <v>21.0</v>
      </c>
      <c r="B24" s="852" t="s">
        <v>4307</v>
      </c>
      <c r="C24" s="848" t="s">
        <v>4745</v>
      </c>
      <c r="D24" s="848">
        <v>4.0</v>
      </c>
      <c r="E24" s="849">
        <v>18.25</v>
      </c>
      <c r="F24" s="849">
        <f t="shared" si="1"/>
        <v>1825</v>
      </c>
      <c r="G24" s="849">
        <v>6.0</v>
      </c>
      <c r="H24" s="849" t="s">
        <v>4741</v>
      </c>
    </row>
    <row r="25">
      <c r="A25" s="848">
        <v>22.0</v>
      </c>
      <c r="B25" s="176"/>
      <c r="C25" s="848" t="s">
        <v>4746</v>
      </c>
      <c r="D25" s="848">
        <v>4.0</v>
      </c>
      <c r="E25" s="849">
        <v>27.43</v>
      </c>
      <c r="F25" s="849">
        <f t="shared" si="1"/>
        <v>2743</v>
      </c>
      <c r="G25" s="849">
        <v>10.0</v>
      </c>
      <c r="H25" s="849" t="s">
        <v>4741</v>
      </c>
    </row>
    <row r="26">
      <c r="A26" s="848">
        <v>23.0</v>
      </c>
      <c r="B26" s="176"/>
      <c r="C26" s="848" t="s">
        <v>4211</v>
      </c>
      <c r="D26" s="848">
        <v>4.0</v>
      </c>
      <c r="E26" s="849">
        <v>43.16</v>
      </c>
      <c r="F26" s="849">
        <f t="shared" si="1"/>
        <v>4316</v>
      </c>
      <c r="G26" s="849">
        <v>17.0</v>
      </c>
      <c r="H26" s="849" t="s">
        <v>4741</v>
      </c>
    </row>
    <row r="27">
      <c r="A27" s="848">
        <v>24.0</v>
      </c>
      <c r="B27" s="176"/>
      <c r="C27" s="848" t="s">
        <v>4747</v>
      </c>
      <c r="D27" s="848">
        <v>2.0</v>
      </c>
      <c r="E27" s="849">
        <v>70.8</v>
      </c>
      <c r="F27" s="849">
        <f t="shared" si="1"/>
        <v>7080</v>
      </c>
      <c r="G27" s="853"/>
      <c r="H27" s="849" t="s">
        <v>4741</v>
      </c>
    </row>
    <row r="28">
      <c r="A28" s="848">
        <v>25.0</v>
      </c>
      <c r="B28" s="176"/>
      <c r="C28" s="848" t="s">
        <v>3625</v>
      </c>
      <c r="D28" s="848">
        <v>2.0</v>
      </c>
      <c r="E28" s="849">
        <v>45.84</v>
      </c>
      <c r="F28" s="849">
        <f t="shared" si="1"/>
        <v>4584</v>
      </c>
      <c r="G28" s="849">
        <v>21.0</v>
      </c>
      <c r="H28" s="849" t="s">
        <v>4741</v>
      </c>
    </row>
    <row r="29">
      <c r="A29" s="848">
        <v>26.0</v>
      </c>
      <c r="B29" s="176"/>
      <c r="C29" s="848" t="s">
        <v>4748</v>
      </c>
      <c r="D29" s="848">
        <v>4.0</v>
      </c>
      <c r="E29" s="849">
        <v>29.39</v>
      </c>
      <c r="F29" s="849">
        <f t="shared" si="1"/>
        <v>2939</v>
      </c>
      <c r="G29" s="849">
        <v>17.0</v>
      </c>
      <c r="H29" s="849" t="s">
        <v>4741</v>
      </c>
    </row>
    <row r="30">
      <c r="A30" s="848">
        <v>27.0</v>
      </c>
      <c r="B30" s="41"/>
      <c r="C30" s="848" t="s">
        <v>4749</v>
      </c>
      <c r="D30" s="848">
        <v>4.0</v>
      </c>
      <c r="E30" s="849">
        <v>19.27</v>
      </c>
      <c r="F30" s="849">
        <f t="shared" si="1"/>
        <v>1927</v>
      </c>
      <c r="G30" s="849">
        <v>10.0</v>
      </c>
      <c r="H30" s="849" t="s">
        <v>4741</v>
      </c>
    </row>
    <row r="31">
      <c r="A31" s="848">
        <v>28.0</v>
      </c>
      <c r="B31" s="852" t="s">
        <v>4750</v>
      </c>
      <c r="C31" s="848" t="s">
        <v>4197</v>
      </c>
      <c r="D31" s="848">
        <v>4.0</v>
      </c>
      <c r="E31" s="849">
        <v>8.63</v>
      </c>
      <c r="F31" s="849">
        <f t="shared" si="1"/>
        <v>863</v>
      </c>
      <c r="G31" s="849" t="s">
        <v>4751</v>
      </c>
      <c r="H31" s="849" t="s">
        <v>4741</v>
      </c>
    </row>
    <row r="32">
      <c r="A32" s="848">
        <v>29.0</v>
      </c>
      <c r="B32" s="176"/>
      <c r="C32" s="848" t="s">
        <v>155</v>
      </c>
      <c r="D32" s="848">
        <v>4.0</v>
      </c>
      <c r="E32" s="849">
        <v>9.74</v>
      </c>
      <c r="F32" s="849">
        <f t="shared" si="1"/>
        <v>974</v>
      </c>
      <c r="G32" s="849" t="s">
        <v>4752</v>
      </c>
      <c r="H32" s="849" t="s">
        <v>4741</v>
      </c>
    </row>
    <row r="33">
      <c r="A33" s="848">
        <v>30.0</v>
      </c>
      <c r="B33" s="176"/>
      <c r="C33" s="848" t="s">
        <v>304</v>
      </c>
      <c r="D33" s="848">
        <v>4.0</v>
      </c>
      <c r="E33" s="849">
        <v>13.33</v>
      </c>
      <c r="F33" s="849">
        <f t="shared" si="1"/>
        <v>1333</v>
      </c>
      <c r="G33" s="849" t="s">
        <v>4753</v>
      </c>
      <c r="H33" s="849" t="s">
        <v>4741</v>
      </c>
    </row>
    <row r="34">
      <c r="A34" s="848">
        <v>31.0</v>
      </c>
      <c r="B34" s="41"/>
      <c r="C34" s="848" t="s">
        <v>307</v>
      </c>
      <c r="D34" s="848">
        <v>4.0</v>
      </c>
      <c r="E34" s="849">
        <v>15.35</v>
      </c>
      <c r="F34" s="849">
        <f t="shared" si="1"/>
        <v>1535</v>
      </c>
      <c r="G34" s="849" t="s">
        <v>4754</v>
      </c>
      <c r="H34" s="849" t="s">
        <v>4741</v>
      </c>
    </row>
    <row r="35">
      <c r="A35" s="848">
        <v>32.0</v>
      </c>
      <c r="B35" s="850" t="s">
        <v>4755</v>
      </c>
      <c r="C35" s="848" t="s">
        <v>4749</v>
      </c>
      <c r="D35" s="848">
        <v>4.0</v>
      </c>
      <c r="E35" s="849">
        <v>24.24</v>
      </c>
      <c r="F35" s="849">
        <f t="shared" si="1"/>
        <v>2424</v>
      </c>
      <c r="G35" s="849">
        <v>10.0</v>
      </c>
      <c r="H35" s="849" t="s">
        <v>4741</v>
      </c>
    </row>
    <row r="36">
      <c r="A36" s="848">
        <v>33.0</v>
      </c>
      <c r="B36" s="273"/>
      <c r="C36" s="848" t="s">
        <v>4746</v>
      </c>
      <c r="D36" s="848">
        <v>4.0</v>
      </c>
      <c r="E36" s="849">
        <v>33.04</v>
      </c>
      <c r="F36" s="849">
        <f t="shared" si="1"/>
        <v>3304</v>
      </c>
      <c r="G36" s="849">
        <v>10.0</v>
      </c>
      <c r="H36" s="849" t="s">
        <v>4741</v>
      </c>
    </row>
    <row r="37">
      <c r="A37" s="848">
        <v>34.0</v>
      </c>
      <c r="B37" s="852" t="s">
        <v>4756</v>
      </c>
      <c r="C37" s="848" t="s">
        <v>4745</v>
      </c>
      <c r="D37" s="848">
        <v>2.0</v>
      </c>
      <c r="E37" s="849">
        <v>24.81</v>
      </c>
      <c r="F37" s="849">
        <f t="shared" si="1"/>
        <v>2481</v>
      </c>
      <c r="G37" s="849">
        <v>6.0</v>
      </c>
      <c r="H37" s="849" t="s">
        <v>4741</v>
      </c>
    </row>
    <row r="38">
      <c r="A38" s="848">
        <v>35.0</v>
      </c>
      <c r="B38" s="176"/>
      <c r="C38" s="848" t="s">
        <v>4749</v>
      </c>
      <c r="D38" s="848">
        <v>2.0</v>
      </c>
      <c r="E38" s="849">
        <v>29.24</v>
      </c>
      <c r="F38" s="849">
        <f t="shared" si="1"/>
        <v>2924</v>
      </c>
      <c r="G38" s="849">
        <v>10.0</v>
      </c>
      <c r="H38" s="849" t="s">
        <v>4741</v>
      </c>
    </row>
    <row r="39">
      <c r="A39" s="848">
        <v>36.0</v>
      </c>
      <c r="B39" s="41"/>
      <c r="C39" s="848" t="s">
        <v>4757</v>
      </c>
      <c r="D39" s="848">
        <v>2.0</v>
      </c>
      <c r="E39" s="849">
        <v>35.89</v>
      </c>
      <c r="F39" s="849">
        <f t="shared" si="1"/>
        <v>3589</v>
      </c>
      <c r="G39" s="849">
        <v>17.0</v>
      </c>
      <c r="H39" s="849" t="s">
        <v>4741</v>
      </c>
    </row>
    <row r="40">
      <c r="A40" s="848">
        <v>37.0</v>
      </c>
      <c r="B40" s="852" t="s">
        <v>4758</v>
      </c>
      <c r="C40" s="848" t="s">
        <v>4745</v>
      </c>
      <c r="D40" s="848">
        <v>4.0</v>
      </c>
      <c r="E40" s="849">
        <v>12.1</v>
      </c>
      <c r="F40" s="849">
        <f t="shared" si="1"/>
        <v>1210</v>
      </c>
      <c r="G40" s="849">
        <v>6.0</v>
      </c>
      <c r="H40" s="849" t="s">
        <v>4741</v>
      </c>
    </row>
    <row r="41">
      <c r="A41" s="848">
        <v>38.0</v>
      </c>
      <c r="B41" s="176"/>
      <c r="C41" s="848" t="s">
        <v>4749</v>
      </c>
      <c r="D41" s="848">
        <v>4.0</v>
      </c>
      <c r="E41" s="849">
        <v>14.77</v>
      </c>
      <c r="F41" s="849">
        <f t="shared" si="1"/>
        <v>1477</v>
      </c>
      <c r="G41" s="849">
        <v>10.0</v>
      </c>
      <c r="H41" s="849" t="s">
        <v>4741</v>
      </c>
    </row>
    <row r="42">
      <c r="A42" s="848">
        <v>39.0</v>
      </c>
      <c r="B42" s="41"/>
      <c r="C42" s="848" t="s">
        <v>4757</v>
      </c>
      <c r="D42" s="848">
        <v>4.0</v>
      </c>
      <c r="E42" s="849">
        <v>19.88</v>
      </c>
      <c r="F42" s="849">
        <f t="shared" si="1"/>
        <v>1988</v>
      </c>
      <c r="G42" s="849">
        <v>17.0</v>
      </c>
      <c r="H42" s="849" t="s">
        <v>4741</v>
      </c>
    </row>
    <row r="43">
      <c r="A43" s="848">
        <v>40.0</v>
      </c>
      <c r="B43" s="852" t="s">
        <v>4759</v>
      </c>
      <c r="C43" s="848" t="s">
        <v>4192</v>
      </c>
      <c r="D43" s="848">
        <v>2.0</v>
      </c>
      <c r="E43" s="849">
        <v>12.95</v>
      </c>
      <c r="F43" s="849">
        <f t="shared" si="1"/>
        <v>1295</v>
      </c>
      <c r="G43" s="849" t="s">
        <v>4760</v>
      </c>
      <c r="H43" s="849" t="s">
        <v>4741</v>
      </c>
    </row>
    <row r="44">
      <c r="A44" s="848">
        <v>41.0</v>
      </c>
      <c r="B44" s="176"/>
      <c r="C44" s="848" t="s">
        <v>4197</v>
      </c>
      <c r="D44" s="846">
        <v>2.0</v>
      </c>
      <c r="E44" s="849">
        <v>18.68</v>
      </c>
      <c r="F44" s="849">
        <f t="shared" si="1"/>
        <v>1868</v>
      </c>
      <c r="G44" s="849" t="s">
        <v>4751</v>
      </c>
      <c r="H44" s="849" t="s">
        <v>4741</v>
      </c>
    </row>
    <row r="45">
      <c r="A45" s="848">
        <v>42.0</v>
      </c>
      <c r="B45" s="176"/>
      <c r="C45" s="848" t="s">
        <v>155</v>
      </c>
      <c r="D45" s="848">
        <v>2.0</v>
      </c>
      <c r="E45" s="849">
        <v>21.12</v>
      </c>
      <c r="F45" s="849">
        <f t="shared" si="1"/>
        <v>2112</v>
      </c>
      <c r="G45" s="849" t="s">
        <v>4752</v>
      </c>
      <c r="H45" s="849" t="s">
        <v>4741</v>
      </c>
    </row>
    <row r="46">
      <c r="A46" s="848">
        <v>43.0</v>
      </c>
      <c r="B46" s="176"/>
      <c r="C46" s="848" t="s">
        <v>304</v>
      </c>
      <c r="D46" s="848">
        <v>2.0</v>
      </c>
      <c r="E46" s="849">
        <v>31.35</v>
      </c>
      <c r="F46" s="849">
        <f t="shared" si="1"/>
        <v>3135</v>
      </c>
      <c r="G46" s="849" t="s">
        <v>4753</v>
      </c>
      <c r="H46" s="849" t="s">
        <v>4741</v>
      </c>
    </row>
    <row r="47">
      <c r="A47" s="848">
        <v>44.0</v>
      </c>
      <c r="B47" s="41"/>
      <c r="C47" s="848" t="s">
        <v>307</v>
      </c>
      <c r="D47" s="848">
        <v>2.0</v>
      </c>
      <c r="E47" s="849">
        <v>36.8</v>
      </c>
      <c r="F47" s="849">
        <f t="shared" si="1"/>
        <v>3680</v>
      </c>
      <c r="G47" s="849" t="s">
        <v>4754</v>
      </c>
      <c r="H47" s="849" t="s">
        <v>4741</v>
      </c>
    </row>
    <row r="48">
      <c r="B48" s="855"/>
    </row>
    <row r="49">
      <c r="B49" s="855"/>
    </row>
    <row r="50">
      <c r="B50" s="855"/>
    </row>
    <row r="51">
      <c r="B51" s="855"/>
    </row>
    <row r="52">
      <c r="B52" s="855"/>
    </row>
    <row r="53">
      <c r="B53" s="855"/>
    </row>
    <row r="54">
      <c r="B54" s="855"/>
    </row>
    <row r="55">
      <c r="B55" s="855"/>
    </row>
    <row r="56">
      <c r="B56" s="855"/>
    </row>
    <row r="57">
      <c r="B57" s="855"/>
    </row>
    <row r="58">
      <c r="B58" s="855"/>
    </row>
    <row r="59">
      <c r="B59" s="855"/>
    </row>
    <row r="60">
      <c r="B60" s="855"/>
    </row>
    <row r="61">
      <c r="B61" s="855"/>
    </row>
    <row r="62">
      <c r="B62" s="855"/>
    </row>
    <row r="63">
      <c r="B63" s="855"/>
    </row>
    <row r="64">
      <c r="B64" s="855"/>
    </row>
    <row r="65">
      <c r="B65" s="855"/>
    </row>
    <row r="66">
      <c r="B66" s="855"/>
    </row>
    <row r="67">
      <c r="B67" s="855"/>
    </row>
    <row r="68">
      <c r="B68" s="855"/>
    </row>
    <row r="69">
      <c r="B69" s="855"/>
    </row>
    <row r="70">
      <c r="B70" s="855"/>
    </row>
    <row r="71">
      <c r="B71" s="855"/>
    </row>
    <row r="72">
      <c r="B72" s="855"/>
    </row>
    <row r="73">
      <c r="B73" s="855"/>
    </row>
    <row r="74">
      <c r="B74" s="855"/>
    </row>
    <row r="75">
      <c r="B75" s="855"/>
    </row>
    <row r="76">
      <c r="B76" s="855"/>
    </row>
    <row r="77">
      <c r="B77" s="855"/>
    </row>
    <row r="78">
      <c r="B78" s="855"/>
    </row>
    <row r="79">
      <c r="B79" s="855"/>
    </row>
    <row r="80">
      <c r="B80" s="855"/>
    </row>
    <row r="81">
      <c r="B81" s="855"/>
    </row>
    <row r="82">
      <c r="B82" s="855"/>
    </row>
    <row r="83">
      <c r="B83" s="855"/>
    </row>
    <row r="84">
      <c r="B84" s="855"/>
    </row>
    <row r="85">
      <c r="B85" s="855"/>
    </row>
    <row r="86">
      <c r="B86" s="855"/>
    </row>
    <row r="87">
      <c r="B87" s="855"/>
    </row>
    <row r="88">
      <c r="B88" s="855"/>
    </row>
    <row r="89">
      <c r="B89" s="855"/>
    </row>
    <row r="90">
      <c r="B90" s="855"/>
    </row>
    <row r="91">
      <c r="B91" s="855"/>
    </row>
    <row r="92">
      <c r="B92" s="855"/>
    </row>
    <row r="93">
      <c r="B93" s="855"/>
    </row>
    <row r="94">
      <c r="B94" s="855"/>
    </row>
    <row r="95">
      <c r="B95" s="855"/>
    </row>
    <row r="96">
      <c r="B96" s="855"/>
    </row>
    <row r="97">
      <c r="B97" s="855"/>
    </row>
    <row r="98">
      <c r="B98" s="855"/>
    </row>
    <row r="99">
      <c r="B99" s="855"/>
    </row>
    <row r="100">
      <c r="B100" s="855"/>
    </row>
    <row r="101">
      <c r="B101" s="855"/>
    </row>
    <row r="102">
      <c r="B102" s="855"/>
    </row>
    <row r="103">
      <c r="B103" s="855"/>
    </row>
    <row r="104">
      <c r="B104" s="855"/>
    </row>
    <row r="105">
      <c r="B105" s="855"/>
    </row>
    <row r="106">
      <c r="B106" s="855"/>
    </row>
    <row r="107">
      <c r="B107" s="855"/>
    </row>
    <row r="108">
      <c r="B108" s="855"/>
    </row>
    <row r="109">
      <c r="B109" s="855"/>
    </row>
    <row r="110">
      <c r="B110" s="855"/>
    </row>
    <row r="111">
      <c r="B111" s="855"/>
    </row>
    <row r="112">
      <c r="B112" s="855"/>
    </row>
    <row r="113">
      <c r="B113" s="855"/>
    </row>
    <row r="114">
      <c r="B114" s="855"/>
    </row>
    <row r="115">
      <c r="B115" s="855"/>
    </row>
    <row r="116">
      <c r="B116" s="855"/>
    </row>
    <row r="117">
      <c r="B117" s="855"/>
    </row>
    <row r="118">
      <c r="B118" s="855"/>
    </row>
    <row r="119">
      <c r="B119" s="855"/>
    </row>
    <row r="120">
      <c r="B120" s="855"/>
    </row>
    <row r="121">
      <c r="B121" s="855"/>
    </row>
    <row r="122">
      <c r="B122" s="855"/>
    </row>
    <row r="123">
      <c r="B123" s="855"/>
    </row>
    <row r="124">
      <c r="B124" s="855"/>
    </row>
    <row r="125">
      <c r="B125" s="855"/>
    </row>
    <row r="126">
      <c r="B126" s="855"/>
    </row>
    <row r="127">
      <c r="B127" s="855"/>
    </row>
    <row r="128">
      <c r="B128" s="855"/>
    </row>
    <row r="129">
      <c r="B129" s="855"/>
    </row>
    <row r="130">
      <c r="B130" s="855"/>
    </row>
    <row r="131">
      <c r="B131" s="855"/>
    </row>
    <row r="132">
      <c r="B132" s="855"/>
    </row>
    <row r="133">
      <c r="B133" s="855"/>
    </row>
    <row r="134">
      <c r="B134" s="855"/>
    </row>
    <row r="135">
      <c r="B135" s="855"/>
    </row>
    <row r="136">
      <c r="B136" s="855"/>
    </row>
    <row r="137">
      <c r="B137" s="855"/>
    </row>
    <row r="138">
      <c r="B138" s="855"/>
    </row>
    <row r="139">
      <c r="B139" s="855"/>
    </row>
    <row r="140">
      <c r="B140" s="855"/>
    </row>
    <row r="141">
      <c r="B141" s="855"/>
    </row>
    <row r="142">
      <c r="B142" s="855"/>
    </row>
    <row r="143">
      <c r="B143" s="855"/>
    </row>
    <row r="144">
      <c r="B144" s="855"/>
    </row>
    <row r="145">
      <c r="B145" s="855"/>
    </row>
    <row r="146">
      <c r="B146" s="855"/>
    </row>
    <row r="147">
      <c r="B147" s="855"/>
    </row>
    <row r="148">
      <c r="B148" s="855"/>
    </row>
    <row r="149">
      <c r="B149" s="855"/>
    </row>
    <row r="150">
      <c r="B150" s="855"/>
    </row>
    <row r="151">
      <c r="B151" s="855"/>
    </row>
    <row r="152">
      <c r="B152" s="855"/>
    </row>
    <row r="153">
      <c r="B153" s="855"/>
    </row>
    <row r="154">
      <c r="B154" s="855"/>
    </row>
    <row r="155">
      <c r="B155" s="855"/>
    </row>
    <row r="156">
      <c r="B156" s="855"/>
    </row>
    <row r="157">
      <c r="B157" s="855"/>
    </row>
    <row r="158">
      <c r="B158" s="855"/>
    </row>
    <row r="159">
      <c r="B159" s="855"/>
    </row>
    <row r="160">
      <c r="B160" s="855"/>
    </row>
    <row r="161">
      <c r="B161" s="855"/>
    </row>
    <row r="162">
      <c r="B162" s="855"/>
    </row>
    <row r="163">
      <c r="B163" s="855"/>
    </row>
    <row r="164">
      <c r="B164" s="855"/>
    </row>
    <row r="165">
      <c r="B165" s="855"/>
    </row>
    <row r="166">
      <c r="B166" s="855"/>
    </row>
    <row r="167">
      <c r="B167" s="855"/>
    </row>
    <row r="168">
      <c r="B168" s="855"/>
    </row>
    <row r="169">
      <c r="B169" s="855"/>
    </row>
    <row r="170">
      <c r="B170" s="855"/>
    </row>
    <row r="171">
      <c r="B171" s="855"/>
    </row>
    <row r="172">
      <c r="B172" s="855"/>
    </row>
    <row r="173">
      <c r="B173" s="855"/>
    </row>
    <row r="174">
      <c r="B174" s="855"/>
    </row>
    <row r="175">
      <c r="B175" s="855"/>
    </row>
    <row r="176">
      <c r="B176" s="855"/>
    </row>
    <row r="177">
      <c r="B177" s="855"/>
    </row>
    <row r="178">
      <c r="B178" s="855"/>
    </row>
    <row r="179">
      <c r="B179" s="855"/>
    </row>
    <row r="180">
      <c r="B180" s="855"/>
    </row>
    <row r="181">
      <c r="B181" s="855"/>
    </row>
    <row r="182">
      <c r="B182" s="855"/>
    </row>
    <row r="183">
      <c r="B183" s="855"/>
    </row>
    <row r="184">
      <c r="B184" s="855"/>
    </row>
    <row r="185">
      <c r="B185" s="855"/>
    </row>
    <row r="186">
      <c r="B186" s="855"/>
    </row>
    <row r="187">
      <c r="B187" s="855"/>
    </row>
    <row r="188">
      <c r="B188" s="855"/>
    </row>
    <row r="189">
      <c r="B189" s="855"/>
    </row>
    <row r="190">
      <c r="B190" s="855"/>
    </row>
    <row r="191">
      <c r="B191" s="855"/>
    </row>
    <row r="192">
      <c r="B192" s="855"/>
    </row>
    <row r="193">
      <c r="B193" s="855"/>
    </row>
    <row r="194">
      <c r="B194" s="855"/>
    </row>
    <row r="195">
      <c r="B195" s="855"/>
    </row>
    <row r="196">
      <c r="B196" s="855"/>
    </row>
    <row r="197">
      <c r="B197" s="855"/>
    </row>
    <row r="198">
      <c r="B198" s="855"/>
    </row>
    <row r="199">
      <c r="B199" s="855"/>
    </row>
    <row r="200">
      <c r="B200" s="855"/>
    </row>
    <row r="201">
      <c r="B201" s="855"/>
    </row>
    <row r="202">
      <c r="B202" s="855"/>
    </row>
    <row r="203">
      <c r="B203" s="855"/>
    </row>
    <row r="204">
      <c r="B204" s="855"/>
    </row>
    <row r="205">
      <c r="B205" s="855"/>
    </row>
    <row r="206">
      <c r="B206" s="855"/>
    </row>
    <row r="207">
      <c r="B207" s="855"/>
    </row>
    <row r="208">
      <c r="B208" s="855"/>
    </row>
    <row r="209">
      <c r="B209" s="855"/>
    </row>
    <row r="210">
      <c r="B210" s="855"/>
    </row>
    <row r="211">
      <c r="B211" s="855"/>
    </row>
    <row r="212">
      <c r="B212" s="855"/>
    </row>
    <row r="213">
      <c r="B213" s="855"/>
    </row>
    <row r="214">
      <c r="B214" s="855"/>
    </row>
    <row r="215">
      <c r="B215" s="855"/>
    </row>
    <row r="216">
      <c r="B216" s="855"/>
    </row>
    <row r="217">
      <c r="B217" s="855"/>
    </row>
    <row r="218">
      <c r="B218" s="855"/>
    </row>
    <row r="219">
      <c r="B219" s="855"/>
    </row>
    <row r="220">
      <c r="B220" s="855"/>
    </row>
    <row r="221">
      <c r="B221" s="855"/>
    </row>
    <row r="222">
      <c r="B222" s="855"/>
    </row>
    <row r="223">
      <c r="B223" s="855"/>
    </row>
    <row r="224">
      <c r="B224" s="855"/>
    </row>
    <row r="225">
      <c r="B225" s="855"/>
    </row>
    <row r="226">
      <c r="B226" s="855"/>
    </row>
    <row r="227">
      <c r="B227" s="855"/>
    </row>
    <row r="228">
      <c r="B228" s="855"/>
    </row>
    <row r="229">
      <c r="B229" s="855"/>
    </row>
    <row r="230">
      <c r="B230" s="855"/>
    </row>
    <row r="231">
      <c r="B231" s="855"/>
    </row>
    <row r="232">
      <c r="B232" s="855"/>
    </row>
    <row r="233">
      <c r="B233" s="855"/>
    </row>
    <row r="234">
      <c r="B234" s="855"/>
    </row>
    <row r="235">
      <c r="B235" s="855"/>
    </row>
    <row r="236">
      <c r="B236" s="855"/>
    </row>
    <row r="237">
      <c r="B237" s="855"/>
    </row>
    <row r="238">
      <c r="B238" s="855"/>
    </row>
    <row r="239">
      <c r="B239" s="855"/>
    </row>
    <row r="240">
      <c r="B240" s="855"/>
    </row>
    <row r="241">
      <c r="B241" s="855"/>
    </row>
    <row r="242">
      <c r="B242" s="855"/>
    </row>
    <row r="243">
      <c r="B243" s="855"/>
    </row>
    <row r="244">
      <c r="B244" s="855"/>
    </row>
    <row r="245">
      <c r="B245" s="855"/>
    </row>
    <row r="246">
      <c r="B246" s="855"/>
    </row>
    <row r="247">
      <c r="B247" s="855"/>
    </row>
    <row r="248">
      <c r="B248" s="855"/>
    </row>
    <row r="249">
      <c r="B249" s="855"/>
    </row>
    <row r="250">
      <c r="B250" s="855"/>
    </row>
    <row r="251">
      <c r="B251" s="855"/>
    </row>
    <row r="252">
      <c r="B252" s="855"/>
    </row>
    <row r="253">
      <c r="B253" s="855"/>
    </row>
    <row r="254">
      <c r="B254" s="855"/>
    </row>
    <row r="255">
      <c r="B255" s="855"/>
    </row>
    <row r="256">
      <c r="B256" s="855"/>
    </row>
    <row r="257">
      <c r="B257" s="855"/>
    </row>
    <row r="258">
      <c r="B258" s="855"/>
    </row>
    <row r="259">
      <c r="B259" s="855"/>
    </row>
    <row r="260">
      <c r="B260" s="855"/>
    </row>
    <row r="261">
      <c r="B261" s="855"/>
    </row>
    <row r="262">
      <c r="B262" s="855"/>
    </row>
    <row r="263">
      <c r="B263" s="855"/>
    </row>
    <row r="264">
      <c r="B264" s="855"/>
    </row>
    <row r="265">
      <c r="B265" s="855"/>
    </row>
    <row r="266">
      <c r="B266" s="855"/>
    </row>
    <row r="267">
      <c r="B267" s="855"/>
    </row>
    <row r="268">
      <c r="B268" s="855"/>
    </row>
    <row r="269">
      <c r="B269" s="855"/>
    </row>
    <row r="270">
      <c r="B270" s="855"/>
    </row>
    <row r="271">
      <c r="B271" s="855"/>
    </row>
    <row r="272">
      <c r="B272" s="855"/>
    </row>
    <row r="273">
      <c r="B273" s="855"/>
    </row>
    <row r="274">
      <c r="B274" s="855"/>
    </row>
    <row r="275">
      <c r="B275" s="855"/>
    </row>
    <row r="276">
      <c r="B276" s="855"/>
    </row>
    <row r="277">
      <c r="B277" s="855"/>
    </row>
    <row r="278">
      <c r="B278" s="855"/>
    </row>
    <row r="279">
      <c r="B279" s="855"/>
    </row>
    <row r="280">
      <c r="B280" s="855"/>
    </row>
    <row r="281">
      <c r="B281" s="855"/>
    </row>
    <row r="282">
      <c r="B282" s="855"/>
    </row>
    <row r="283">
      <c r="B283" s="855"/>
    </row>
    <row r="284">
      <c r="B284" s="855"/>
    </row>
    <row r="285">
      <c r="B285" s="855"/>
    </row>
    <row r="286">
      <c r="B286" s="855"/>
    </row>
    <row r="287">
      <c r="B287" s="855"/>
    </row>
    <row r="288">
      <c r="B288" s="855"/>
    </row>
    <row r="289">
      <c r="B289" s="855"/>
    </row>
    <row r="290">
      <c r="B290" s="855"/>
    </row>
    <row r="291">
      <c r="B291" s="855"/>
    </row>
    <row r="292">
      <c r="B292" s="855"/>
    </row>
    <row r="293">
      <c r="B293" s="855"/>
    </row>
    <row r="294">
      <c r="B294" s="855"/>
    </row>
    <row r="295">
      <c r="B295" s="855"/>
    </row>
    <row r="296">
      <c r="B296" s="855"/>
    </row>
    <row r="297">
      <c r="B297" s="855"/>
    </row>
    <row r="298">
      <c r="B298" s="855"/>
    </row>
    <row r="299">
      <c r="B299" s="855"/>
    </row>
    <row r="300">
      <c r="B300" s="855"/>
    </row>
    <row r="301">
      <c r="B301" s="855"/>
    </row>
    <row r="302">
      <c r="B302" s="855"/>
    </row>
    <row r="303">
      <c r="B303" s="855"/>
    </row>
    <row r="304">
      <c r="B304" s="855"/>
    </row>
    <row r="305">
      <c r="B305" s="855"/>
    </row>
    <row r="306">
      <c r="B306" s="855"/>
    </row>
    <row r="307">
      <c r="B307" s="855"/>
    </row>
    <row r="308">
      <c r="B308" s="855"/>
    </row>
    <row r="309">
      <c r="B309" s="855"/>
    </row>
    <row r="310">
      <c r="B310" s="855"/>
    </row>
    <row r="311">
      <c r="B311" s="855"/>
    </row>
    <row r="312">
      <c r="B312" s="855"/>
    </row>
    <row r="313">
      <c r="B313" s="855"/>
    </row>
    <row r="314">
      <c r="B314" s="855"/>
    </row>
    <row r="315">
      <c r="B315" s="855"/>
    </row>
    <row r="316">
      <c r="B316" s="855"/>
    </row>
    <row r="317">
      <c r="B317" s="855"/>
    </row>
    <row r="318">
      <c r="B318" s="855"/>
    </row>
    <row r="319">
      <c r="B319" s="855"/>
    </row>
    <row r="320">
      <c r="B320" s="855"/>
    </row>
    <row r="321">
      <c r="B321" s="855"/>
    </row>
    <row r="322">
      <c r="B322" s="855"/>
    </row>
    <row r="323">
      <c r="B323" s="855"/>
    </row>
    <row r="324">
      <c r="B324" s="855"/>
    </row>
    <row r="325">
      <c r="B325" s="855"/>
    </row>
    <row r="326">
      <c r="B326" s="855"/>
    </row>
    <row r="327">
      <c r="B327" s="855"/>
    </row>
    <row r="328">
      <c r="B328" s="855"/>
    </row>
    <row r="329">
      <c r="B329" s="855"/>
    </row>
    <row r="330">
      <c r="B330" s="855"/>
    </row>
    <row r="331">
      <c r="B331" s="855"/>
    </row>
    <row r="332">
      <c r="B332" s="855"/>
    </row>
    <row r="333">
      <c r="B333" s="855"/>
    </row>
    <row r="334">
      <c r="B334" s="855"/>
    </row>
    <row r="335">
      <c r="B335" s="855"/>
    </row>
    <row r="336">
      <c r="B336" s="855"/>
    </row>
    <row r="337">
      <c r="B337" s="855"/>
    </row>
    <row r="338">
      <c r="B338" s="855"/>
    </row>
    <row r="339">
      <c r="B339" s="855"/>
    </row>
    <row r="340">
      <c r="B340" s="855"/>
    </row>
    <row r="341">
      <c r="B341" s="855"/>
    </row>
    <row r="342">
      <c r="B342" s="855"/>
    </row>
    <row r="343">
      <c r="B343" s="855"/>
    </row>
    <row r="344">
      <c r="B344" s="855"/>
    </row>
    <row r="345">
      <c r="B345" s="855"/>
    </row>
    <row r="346">
      <c r="B346" s="855"/>
    </row>
    <row r="347">
      <c r="B347" s="855"/>
    </row>
    <row r="348">
      <c r="B348" s="855"/>
    </row>
    <row r="349">
      <c r="B349" s="855"/>
    </row>
    <row r="350">
      <c r="B350" s="855"/>
    </row>
    <row r="351">
      <c r="B351" s="855"/>
    </row>
    <row r="352">
      <c r="B352" s="855"/>
    </row>
    <row r="353">
      <c r="B353" s="855"/>
    </row>
    <row r="354">
      <c r="B354" s="855"/>
    </row>
    <row r="355">
      <c r="B355" s="855"/>
    </row>
    <row r="356">
      <c r="B356" s="855"/>
    </row>
    <row r="357">
      <c r="B357" s="855"/>
    </row>
    <row r="358">
      <c r="B358" s="855"/>
    </row>
    <row r="359">
      <c r="B359" s="855"/>
    </row>
    <row r="360">
      <c r="B360" s="855"/>
    </row>
    <row r="361">
      <c r="B361" s="855"/>
    </row>
    <row r="362">
      <c r="B362" s="855"/>
    </row>
    <row r="363">
      <c r="B363" s="855"/>
    </row>
    <row r="364">
      <c r="B364" s="855"/>
    </row>
    <row r="365">
      <c r="B365" s="855"/>
    </row>
    <row r="366">
      <c r="B366" s="855"/>
    </row>
    <row r="367">
      <c r="B367" s="855"/>
    </row>
    <row r="368">
      <c r="B368" s="855"/>
    </row>
    <row r="369">
      <c r="B369" s="855"/>
    </row>
    <row r="370">
      <c r="B370" s="855"/>
    </row>
    <row r="371">
      <c r="B371" s="855"/>
    </row>
    <row r="372">
      <c r="B372" s="855"/>
    </row>
    <row r="373">
      <c r="B373" s="855"/>
    </row>
    <row r="374">
      <c r="B374" s="855"/>
    </row>
    <row r="375">
      <c r="B375" s="855"/>
    </row>
    <row r="376">
      <c r="B376" s="855"/>
    </row>
    <row r="377">
      <c r="B377" s="855"/>
    </row>
    <row r="378">
      <c r="B378" s="855"/>
    </row>
    <row r="379">
      <c r="B379" s="855"/>
    </row>
    <row r="380">
      <c r="B380" s="855"/>
    </row>
    <row r="381">
      <c r="B381" s="855"/>
    </row>
    <row r="382">
      <c r="B382" s="855"/>
    </row>
    <row r="383">
      <c r="B383" s="855"/>
    </row>
    <row r="384">
      <c r="B384" s="855"/>
    </row>
    <row r="385">
      <c r="B385" s="855"/>
    </row>
    <row r="386">
      <c r="B386" s="855"/>
    </row>
    <row r="387">
      <c r="B387" s="855"/>
    </row>
    <row r="388">
      <c r="B388" s="855"/>
    </row>
    <row r="389">
      <c r="B389" s="855"/>
    </row>
    <row r="390">
      <c r="B390" s="855"/>
    </row>
    <row r="391">
      <c r="B391" s="855"/>
    </row>
    <row r="392">
      <c r="B392" s="855"/>
    </row>
    <row r="393">
      <c r="B393" s="855"/>
    </row>
    <row r="394">
      <c r="B394" s="855"/>
    </row>
    <row r="395">
      <c r="B395" s="855"/>
    </row>
    <row r="396">
      <c r="B396" s="855"/>
    </row>
    <row r="397">
      <c r="B397" s="855"/>
    </row>
    <row r="398">
      <c r="B398" s="855"/>
    </row>
    <row r="399">
      <c r="B399" s="855"/>
    </row>
    <row r="400">
      <c r="B400" s="855"/>
    </row>
    <row r="401">
      <c r="B401" s="855"/>
    </row>
    <row r="402">
      <c r="B402" s="855"/>
    </row>
    <row r="403">
      <c r="B403" s="855"/>
    </row>
    <row r="404">
      <c r="B404" s="855"/>
    </row>
    <row r="405">
      <c r="B405" s="855"/>
    </row>
    <row r="406">
      <c r="B406" s="855"/>
    </row>
    <row r="407">
      <c r="B407" s="855"/>
    </row>
    <row r="408">
      <c r="B408" s="855"/>
    </row>
    <row r="409">
      <c r="B409" s="855"/>
    </row>
    <row r="410">
      <c r="B410" s="855"/>
    </row>
    <row r="411">
      <c r="B411" s="855"/>
    </row>
    <row r="412">
      <c r="B412" s="855"/>
    </row>
    <row r="413">
      <c r="B413" s="855"/>
    </row>
    <row r="414">
      <c r="B414" s="855"/>
    </row>
    <row r="415">
      <c r="B415" s="855"/>
    </row>
    <row r="416">
      <c r="B416" s="855"/>
    </row>
    <row r="417">
      <c r="B417" s="855"/>
    </row>
    <row r="418">
      <c r="B418" s="855"/>
    </row>
    <row r="419">
      <c r="B419" s="855"/>
    </row>
    <row r="420">
      <c r="B420" s="855"/>
    </row>
    <row r="421">
      <c r="B421" s="855"/>
    </row>
    <row r="422">
      <c r="B422" s="855"/>
    </row>
    <row r="423">
      <c r="B423" s="855"/>
    </row>
    <row r="424">
      <c r="B424" s="855"/>
    </row>
    <row r="425">
      <c r="B425" s="855"/>
    </row>
    <row r="426">
      <c r="B426" s="855"/>
    </row>
    <row r="427">
      <c r="B427" s="855"/>
    </row>
    <row r="428">
      <c r="B428" s="855"/>
    </row>
    <row r="429">
      <c r="B429" s="855"/>
    </row>
    <row r="430">
      <c r="B430" s="855"/>
    </row>
    <row r="431">
      <c r="B431" s="855"/>
    </row>
    <row r="432">
      <c r="B432" s="855"/>
    </row>
    <row r="433">
      <c r="B433" s="855"/>
    </row>
    <row r="434">
      <c r="B434" s="855"/>
    </row>
    <row r="435">
      <c r="B435" s="855"/>
    </row>
    <row r="436">
      <c r="B436" s="855"/>
    </row>
    <row r="437">
      <c r="B437" s="855"/>
    </row>
    <row r="438">
      <c r="B438" s="855"/>
    </row>
    <row r="439">
      <c r="B439" s="855"/>
    </row>
    <row r="440">
      <c r="B440" s="855"/>
    </row>
    <row r="441">
      <c r="B441" s="855"/>
    </row>
    <row r="442">
      <c r="B442" s="855"/>
    </row>
    <row r="443">
      <c r="B443" s="855"/>
    </row>
    <row r="444">
      <c r="B444" s="855"/>
    </row>
    <row r="445">
      <c r="B445" s="855"/>
    </row>
    <row r="446">
      <c r="B446" s="855"/>
    </row>
    <row r="447">
      <c r="B447" s="855"/>
    </row>
    <row r="448">
      <c r="B448" s="855"/>
    </row>
    <row r="449">
      <c r="B449" s="855"/>
    </row>
    <row r="450">
      <c r="B450" s="855"/>
    </row>
    <row r="451">
      <c r="B451" s="855"/>
    </row>
    <row r="452">
      <c r="B452" s="855"/>
    </row>
    <row r="453">
      <c r="B453" s="855"/>
    </row>
    <row r="454">
      <c r="B454" s="855"/>
    </row>
    <row r="455">
      <c r="B455" s="855"/>
    </row>
    <row r="456">
      <c r="B456" s="855"/>
    </row>
    <row r="457">
      <c r="B457" s="855"/>
    </row>
    <row r="458">
      <c r="B458" s="855"/>
    </row>
    <row r="459">
      <c r="B459" s="855"/>
    </row>
    <row r="460">
      <c r="B460" s="855"/>
    </row>
    <row r="461">
      <c r="B461" s="855"/>
    </row>
    <row r="462">
      <c r="B462" s="855"/>
    </row>
    <row r="463">
      <c r="B463" s="855"/>
    </row>
    <row r="464">
      <c r="B464" s="855"/>
    </row>
    <row r="465">
      <c r="B465" s="855"/>
    </row>
    <row r="466">
      <c r="B466" s="855"/>
    </row>
    <row r="467">
      <c r="B467" s="855"/>
    </row>
    <row r="468">
      <c r="B468" s="855"/>
    </row>
    <row r="469">
      <c r="B469" s="855"/>
    </row>
    <row r="470">
      <c r="B470" s="855"/>
    </row>
    <row r="471">
      <c r="B471" s="855"/>
    </row>
    <row r="472">
      <c r="B472" s="855"/>
    </row>
    <row r="473">
      <c r="B473" s="855"/>
    </row>
    <row r="474">
      <c r="B474" s="855"/>
    </row>
    <row r="475">
      <c r="B475" s="855"/>
    </row>
    <row r="476">
      <c r="B476" s="855"/>
    </row>
    <row r="477">
      <c r="B477" s="855"/>
    </row>
    <row r="478">
      <c r="B478" s="855"/>
    </row>
    <row r="479">
      <c r="B479" s="855"/>
    </row>
    <row r="480">
      <c r="B480" s="855"/>
    </row>
    <row r="481">
      <c r="B481" s="855"/>
    </row>
    <row r="482">
      <c r="B482" s="855"/>
    </row>
    <row r="483">
      <c r="B483" s="855"/>
    </row>
    <row r="484">
      <c r="B484" s="855"/>
    </row>
    <row r="485">
      <c r="B485" s="855"/>
    </row>
    <row r="486">
      <c r="B486" s="855"/>
    </row>
    <row r="487">
      <c r="B487" s="855"/>
    </row>
    <row r="488">
      <c r="B488" s="855"/>
    </row>
    <row r="489">
      <c r="B489" s="855"/>
    </row>
    <row r="490">
      <c r="B490" s="855"/>
    </row>
    <row r="491">
      <c r="B491" s="855"/>
    </row>
    <row r="492">
      <c r="B492" s="855"/>
    </row>
    <row r="493">
      <c r="B493" s="855"/>
    </row>
    <row r="494">
      <c r="B494" s="855"/>
    </row>
    <row r="495">
      <c r="B495" s="855"/>
    </row>
    <row r="496">
      <c r="B496" s="855"/>
    </row>
    <row r="497">
      <c r="B497" s="855"/>
    </row>
    <row r="498">
      <c r="B498" s="855"/>
    </row>
    <row r="499">
      <c r="B499" s="855"/>
    </row>
    <row r="500">
      <c r="B500" s="855"/>
    </row>
    <row r="501">
      <c r="B501" s="855"/>
    </row>
    <row r="502">
      <c r="B502" s="855"/>
    </row>
    <row r="503">
      <c r="B503" s="855"/>
    </row>
    <row r="504">
      <c r="B504" s="855"/>
    </row>
    <row r="505">
      <c r="B505" s="855"/>
    </row>
    <row r="506">
      <c r="B506" s="855"/>
    </row>
    <row r="507">
      <c r="B507" s="855"/>
    </row>
    <row r="508">
      <c r="B508" s="855"/>
    </row>
    <row r="509">
      <c r="B509" s="855"/>
    </row>
    <row r="510">
      <c r="B510" s="855"/>
    </row>
    <row r="511">
      <c r="B511" s="855"/>
    </row>
    <row r="512">
      <c r="B512" s="855"/>
    </row>
    <row r="513">
      <c r="B513" s="855"/>
    </row>
    <row r="514">
      <c r="B514" s="855"/>
    </row>
    <row r="515">
      <c r="B515" s="855"/>
    </row>
    <row r="516">
      <c r="B516" s="855"/>
    </row>
    <row r="517">
      <c r="B517" s="855"/>
    </row>
    <row r="518">
      <c r="B518" s="855"/>
    </row>
    <row r="519">
      <c r="B519" s="855"/>
    </row>
    <row r="520">
      <c r="B520" s="855"/>
    </row>
    <row r="521">
      <c r="B521" s="855"/>
    </row>
    <row r="522">
      <c r="B522" s="855"/>
    </row>
    <row r="523">
      <c r="B523" s="855"/>
    </row>
    <row r="524">
      <c r="B524" s="855"/>
    </row>
    <row r="525">
      <c r="B525" s="855"/>
    </row>
    <row r="526">
      <c r="B526" s="855"/>
    </row>
    <row r="527">
      <c r="B527" s="855"/>
    </row>
    <row r="528">
      <c r="B528" s="855"/>
    </row>
    <row r="529">
      <c r="B529" s="855"/>
    </row>
    <row r="530">
      <c r="B530" s="855"/>
    </row>
    <row r="531">
      <c r="B531" s="855"/>
    </row>
    <row r="532">
      <c r="B532" s="855"/>
    </row>
    <row r="533">
      <c r="B533" s="855"/>
    </row>
    <row r="534">
      <c r="B534" s="855"/>
    </row>
    <row r="535">
      <c r="B535" s="855"/>
    </row>
    <row r="536">
      <c r="B536" s="855"/>
    </row>
    <row r="537">
      <c r="B537" s="855"/>
    </row>
    <row r="538">
      <c r="B538" s="855"/>
    </row>
    <row r="539">
      <c r="B539" s="855"/>
    </row>
    <row r="540">
      <c r="B540" s="855"/>
    </row>
    <row r="541">
      <c r="B541" s="855"/>
    </row>
    <row r="542">
      <c r="B542" s="855"/>
    </row>
    <row r="543">
      <c r="B543" s="855"/>
    </row>
    <row r="544">
      <c r="B544" s="855"/>
    </row>
    <row r="545">
      <c r="B545" s="855"/>
    </row>
    <row r="546">
      <c r="B546" s="855"/>
    </row>
    <row r="547">
      <c r="B547" s="855"/>
    </row>
    <row r="548">
      <c r="B548" s="855"/>
    </row>
    <row r="549">
      <c r="B549" s="855"/>
    </row>
    <row r="550">
      <c r="B550" s="855"/>
    </row>
    <row r="551">
      <c r="B551" s="855"/>
    </row>
    <row r="552">
      <c r="B552" s="855"/>
    </row>
    <row r="553">
      <c r="B553" s="855"/>
    </row>
    <row r="554">
      <c r="B554" s="855"/>
    </row>
    <row r="555">
      <c r="B555" s="855"/>
    </row>
    <row r="556">
      <c r="B556" s="855"/>
    </row>
    <row r="557">
      <c r="B557" s="855"/>
    </row>
    <row r="558">
      <c r="B558" s="855"/>
    </row>
    <row r="559">
      <c r="B559" s="855"/>
    </row>
    <row r="560">
      <c r="B560" s="855"/>
    </row>
    <row r="561">
      <c r="B561" s="855"/>
    </row>
    <row r="562">
      <c r="B562" s="855"/>
    </row>
    <row r="563">
      <c r="B563" s="855"/>
    </row>
    <row r="564">
      <c r="B564" s="855"/>
    </row>
    <row r="565">
      <c r="B565" s="855"/>
    </row>
    <row r="566">
      <c r="B566" s="855"/>
    </row>
    <row r="567">
      <c r="B567" s="855"/>
    </row>
    <row r="568">
      <c r="B568" s="855"/>
    </row>
    <row r="569">
      <c r="B569" s="855"/>
    </row>
    <row r="570">
      <c r="B570" s="855"/>
    </row>
    <row r="571">
      <c r="B571" s="855"/>
    </row>
    <row r="572">
      <c r="B572" s="855"/>
    </row>
    <row r="573">
      <c r="B573" s="855"/>
    </row>
    <row r="574">
      <c r="B574" s="855"/>
    </row>
    <row r="575">
      <c r="B575" s="855"/>
    </row>
    <row r="576">
      <c r="B576" s="855"/>
    </row>
    <row r="577">
      <c r="B577" s="855"/>
    </row>
    <row r="578">
      <c r="B578" s="855"/>
    </row>
    <row r="579">
      <c r="B579" s="855"/>
    </row>
    <row r="580">
      <c r="B580" s="855"/>
    </row>
    <row r="581">
      <c r="B581" s="855"/>
    </row>
    <row r="582">
      <c r="B582" s="855"/>
    </row>
    <row r="583">
      <c r="B583" s="855"/>
    </row>
    <row r="584">
      <c r="B584" s="855"/>
    </row>
    <row r="585">
      <c r="B585" s="855"/>
    </row>
    <row r="586">
      <c r="B586" s="855"/>
    </row>
    <row r="587">
      <c r="B587" s="855"/>
    </row>
    <row r="588">
      <c r="B588" s="855"/>
    </row>
    <row r="589">
      <c r="B589" s="855"/>
    </row>
    <row r="590">
      <c r="B590" s="855"/>
    </row>
    <row r="591">
      <c r="B591" s="855"/>
    </row>
    <row r="592">
      <c r="B592" s="855"/>
    </row>
    <row r="593">
      <c r="B593" s="855"/>
    </row>
    <row r="594">
      <c r="B594" s="855"/>
    </row>
    <row r="595">
      <c r="B595" s="855"/>
    </row>
    <row r="596">
      <c r="B596" s="855"/>
    </row>
    <row r="597">
      <c r="B597" s="855"/>
    </row>
    <row r="598">
      <c r="B598" s="855"/>
    </row>
    <row r="599">
      <c r="B599" s="855"/>
    </row>
    <row r="600">
      <c r="B600" s="855"/>
    </row>
    <row r="601">
      <c r="B601" s="855"/>
    </row>
    <row r="602">
      <c r="B602" s="855"/>
    </row>
    <row r="603">
      <c r="B603" s="855"/>
    </row>
    <row r="604">
      <c r="B604" s="855"/>
    </row>
    <row r="605">
      <c r="B605" s="855"/>
    </row>
    <row r="606">
      <c r="B606" s="855"/>
    </row>
    <row r="607">
      <c r="B607" s="855"/>
    </row>
    <row r="608">
      <c r="B608" s="855"/>
    </row>
    <row r="609">
      <c r="B609" s="855"/>
    </row>
    <row r="610">
      <c r="B610" s="855"/>
    </row>
    <row r="611">
      <c r="B611" s="855"/>
    </row>
    <row r="612">
      <c r="B612" s="855"/>
    </row>
    <row r="613">
      <c r="B613" s="855"/>
    </row>
    <row r="614">
      <c r="B614" s="855"/>
    </row>
    <row r="615">
      <c r="B615" s="855"/>
    </row>
    <row r="616">
      <c r="B616" s="855"/>
    </row>
    <row r="617">
      <c r="B617" s="855"/>
    </row>
    <row r="618">
      <c r="B618" s="855"/>
    </row>
    <row r="619">
      <c r="B619" s="855"/>
    </row>
    <row r="620">
      <c r="B620" s="855"/>
    </row>
    <row r="621">
      <c r="B621" s="855"/>
    </row>
    <row r="622">
      <c r="B622" s="855"/>
    </row>
    <row r="623">
      <c r="B623" s="855"/>
    </row>
    <row r="624">
      <c r="B624" s="855"/>
    </row>
    <row r="625">
      <c r="B625" s="855"/>
    </row>
    <row r="626">
      <c r="B626" s="855"/>
    </row>
    <row r="627">
      <c r="B627" s="855"/>
    </row>
    <row r="628">
      <c r="B628" s="855"/>
    </row>
    <row r="629">
      <c r="B629" s="855"/>
    </row>
    <row r="630">
      <c r="B630" s="855"/>
    </row>
    <row r="631">
      <c r="B631" s="855"/>
    </row>
    <row r="632">
      <c r="B632" s="855"/>
    </row>
    <row r="633">
      <c r="B633" s="855"/>
    </row>
    <row r="634">
      <c r="B634" s="855"/>
    </row>
    <row r="635">
      <c r="B635" s="855"/>
    </row>
    <row r="636">
      <c r="B636" s="855"/>
    </row>
    <row r="637">
      <c r="B637" s="855"/>
    </row>
    <row r="638">
      <c r="B638" s="855"/>
    </row>
    <row r="639">
      <c r="B639" s="855"/>
    </row>
    <row r="640">
      <c r="B640" s="855"/>
    </row>
    <row r="641">
      <c r="B641" s="855"/>
    </row>
    <row r="642">
      <c r="B642" s="855"/>
    </row>
    <row r="643">
      <c r="B643" s="855"/>
    </row>
    <row r="644">
      <c r="B644" s="855"/>
    </row>
    <row r="645">
      <c r="B645" s="855"/>
    </row>
    <row r="646">
      <c r="B646" s="855"/>
    </row>
    <row r="647">
      <c r="B647" s="855"/>
    </row>
    <row r="648">
      <c r="B648" s="855"/>
    </row>
    <row r="649">
      <c r="B649" s="855"/>
    </row>
    <row r="650">
      <c r="B650" s="855"/>
    </row>
    <row r="651">
      <c r="B651" s="855"/>
    </row>
    <row r="652">
      <c r="B652" s="855"/>
    </row>
    <row r="653">
      <c r="B653" s="855"/>
    </row>
    <row r="654">
      <c r="B654" s="855"/>
    </row>
    <row r="655">
      <c r="B655" s="855"/>
    </row>
    <row r="656">
      <c r="B656" s="855"/>
    </row>
    <row r="657">
      <c r="B657" s="855"/>
    </row>
    <row r="658">
      <c r="B658" s="855"/>
    </row>
    <row r="659">
      <c r="B659" s="855"/>
    </row>
    <row r="660">
      <c r="B660" s="855"/>
    </row>
    <row r="661">
      <c r="B661" s="855"/>
    </row>
    <row r="662">
      <c r="B662" s="855"/>
    </row>
    <row r="663">
      <c r="B663" s="855"/>
    </row>
    <row r="664">
      <c r="B664" s="855"/>
    </row>
    <row r="665">
      <c r="B665" s="855"/>
    </row>
    <row r="666">
      <c r="B666" s="855"/>
    </row>
    <row r="667">
      <c r="B667" s="855"/>
    </row>
    <row r="668">
      <c r="B668" s="855"/>
    </row>
    <row r="669">
      <c r="B669" s="855"/>
    </row>
    <row r="670">
      <c r="B670" s="855"/>
    </row>
    <row r="671">
      <c r="B671" s="855"/>
    </row>
    <row r="672">
      <c r="B672" s="855"/>
    </row>
    <row r="673">
      <c r="B673" s="855"/>
    </row>
    <row r="674">
      <c r="B674" s="855"/>
    </row>
    <row r="675">
      <c r="B675" s="855"/>
    </row>
    <row r="676">
      <c r="B676" s="855"/>
    </row>
    <row r="677">
      <c r="B677" s="855"/>
    </row>
    <row r="678">
      <c r="B678" s="855"/>
    </row>
    <row r="679">
      <c r="B679" s="855"/>
    </row>
    <row r="680">
      <c r="B680" s="855"/>
    </row>
    <row r="681">
      <c r="B681" s="855"/>
    </row>
    <row r="682">
      <c r="B682" s="855"/>
    </row>
    <row r="683">
      <c r="B683" s="855"/>
    </row>
    <row r="684">
      <c r="B684" s="855"/>
    </row>
    <row r="685">
      <c r="B685" s="855"/>
    </row>
    <row r="686">
      <c r="B686" s="855"/>
    </row>
    <row r="687">
      <c r="B687" s="855"/>
    </row>
    <row r="688">
      <c r="B688" s="855"/>
    </row>
    <row r="689">
      <c r="B689" s="855"/>
    </row>
    <row r="690">
      <c r="B690" s="855"/>
    </row>
    <row r="691">
      <c r="B691" s="855"/>
    </row>
    <row r="692">
      <c r="B692" s="855"/>
    </row>
    <row r="693">
      <c r="B693" s="855"/>
    </row>
    <row r="694">
      <c r="B694" s="855"/>
    </row>
    <row r="695">
      <c r="B695" s="855"/>
    </row>
    <row r="696">
      <c r="B696" s="855"/>
    </row>
    <row r="697">
      <c r="B697" s="855"/>
    </row>
    <row r="698">
      <c r="B698" s="855"/>
    </row>
    <row r="699">
      <c r="B699" s="855"/>
    </row>
    <row r="700">
      <c r="B700" s="855"/>
    </row>
    <row r="701">
      <c r="B701" s="855"/>
    </row>
    <row r="702">
      <c r="B702" s="855"/>
    </row>
    <row r="703">
      <c r="B703" s="855"/>
    </row>
    <row r="704">
      <c r="B704" s="855"/>
    </row>
    <row r="705">
      <c r="B705" s="855"/>
    </row>
    <row r="706">
      <c r="B706" s="855"/>
    </row>
    <row r="707">
      <c r="B707" s="855"/>
    </row>
    <row r="708">
      <c r="B708" s="855"/>
    </row>
    <row r="709">
      <c r="B709" s="855"/>
    </row>
    <row r="710">
      <c r="B710" s="855"/>
    </row>
    <row r="711">
      <c r="B711" s="855"/>
    </row>
    <row r="712">
      <c r="B712" s="855"/>
    </row>
    <row r="713">
      <c r="B713" s="855"/>
    </row>
    <row r="714">
      <c r="B714" s="855"/>
    </row>
    <row r="715">
      <c r="B715" s="855"/>
    </row>
    <row r="716">
      <c r="B716" s="855"/>
    </row>
    <row r="717">
      <c r="B717" s="855"/>
    </row>
    <row r="718">
      <c r="B718" s="855"/>
    </row>
    <row r="719">
      <c r="B719" s="855"/>
    </row>
    <row r="720">
      <c r="B720" s="855"/>
    </row>
    <row r="721">
      <c r="B721" s="855"/>
    </row>
    <row r="722">
      <c r="B722" s="855"/>
    </row>
    <row r="723">
      <c r="B723" s="855"/>
    </row>
    <row r="724">
      <c r="B724" s="855"/>
    </row>
    <row r="725">
      <c r="B725" s="855"/>
    </row>
    <row r="726">
      <c r="B726" s="855"/>
    </row>
    <row r="727">
      <c r="B727" s="855"/>
    </row>
    <row r="728">
      <c r="B728" s="855"/>
    </row>
    <row r="729">
      <c r="B729" s="855"/>
    </row>
    <row r="730">
      <c r="B730" s="855"/>
    </row>
    <row r="731">
      <c r="B731" s="855"/>
    </row>
    <row r="732">
      <c r="B732" s="855"/>
    </row>
    <row r="733">
      <c r="B733" s="855"/>
    </row>
    <row r="734">
      <c r="B734" s="855"/>
    </row>
    <row r="735">
      <c r="B735" s="855"/>
    </row>
    <row r="736">
      <c r="B736" s="855"/>
    </row>
    <row r="737">
      <c r="B737" s="855"/>
    </row>
    <row r="738">
      <c r="B738" s="855"/>
    </row>
    <row r="739">
      <c r="B739" s="855"/>
    </row>
    <row r="740">
      <c r="B740" s="855"/>
    </row>
    <row r="741">
      <c r="B741" s="855"/>
    </row>
    <row r="742">
      <c r="B742" s="855"/>
    </row>
    <row r="743">
      <c r="B743" s="855"/>
    </row>
    <row r="744">
      <c r="B744" s="855"/>
    </row>
    <row r="745">
      <c r="B745" s="855"/>
    </row>
    <row r="746">
      <c r="B746" s="855"/>
    </row>
    <row r="747">
      <c r="B747" s="855"/>
    </row>
    <row r="748">
      <c r="B748" s="855"/>
    </row>
    <row r="749">
      <c r="B749" s="855"/>
    </row>
    <row r="750">
      <c r="B750" s="855"/>
    </row>
    <row r="751">
      <c r="B751" s="855"/>
    </row>
    <row r="752">
      <c r="B752" s="855"/>
    </row>
    <row r="753">
      <c r="B753" s="855"/>
    </row>
    <row r="754">
      <c r="B754" s="855"/>
    </row>
    <row r="755">
      <c r="B755" s="855"/>
    </row>
    <row r="756">
      <c r="B756" s="855"/>
    </row>
    <row r="757">
      <c r="B757" s="855"/>
    </row>
    <row r="758">
      <c r="B758" s="855"/>
    </row>
    <row r="759">
      <c r="B759" s="855"/>
    </row>
    <row r="760">
      <c r="B760" s="855"/>
    </row>
    <row r="761">
      <c r="B761" s="855"/>
    </row>
    <row r="762">
      <c r="B762" s="855"/>
    </row>
    <row r="763">
      <c r="B763" s="855"/>
    </row>
    <row r="764">
      <c r="B764" s="855"/>
    </row>
    <row r="765">
      <c r="B765" s="855"/>
    </row>
    <row r="766">
      <c r="B766" s="855"/>
    </row>
    <row r="767">
      <c r="B767" s="855"/>
    </row>
    <row r="768">
      <c r="B768" s="855"/>
    </row>
    <row r="769">
      <c r="B769" s="855"/>
    </row>
    <row r="770">
      <c r="B770" s="855"/>
    </row>
    <row r="771">
      <c r="B771" s="855"/>
    </row>
    <row r="772">
      <c r="B772" s="855"/>
    </row>
    <row r="773">
      <c r="B773" s="855"/>
    </row>
    <row r="774">
      <c r="B774" s="855"/>
    </row>
    <row r="775">
      <c r="B775" s="855"/>
    </row>
    <row r="776">
      <c r="B776" s="855"/>
    </row>
    <row r="777">
      <c r="B777" s="855"/>
    </row>
    <row r="778">
      <c r="B778" s="855"/>
    </row>
    <row r="779">
      <c r="B779" s="855"/>
    </row>
    <row r="780">
      <c r="B780" s="855"/>
    </row>
    <row r="781">
      <c r="B781" s="855"/>
    </row>
    <row r="782">
      <c r="B782" s="855"/>
    </row>
    <row r="783">
      <c r="B783" s="855"/>
    </row>
    <row r="784">
      <c r="B784" s="855"/>
    </row>
    <row r="785">
      <c r="B785" s="855"/>
    </row>
    <row r="786">
      <c r="B786" s="855"/>
    </row>
    <row r="787">
      <c r="B787" s="855"/>
    </row>
    <row r="788">
      <c r="B788" s="855"/>
    </row>
    <row r="789">
      <c r="B789" s="855"/>
    </row>
    <row r="790">
      <c r="B790" s="855"/>
    </row>
    <row r="791">
      <c r="B791" s="855"/>
    </row>
    <row r="792">
      <c r="B792" s="855"/>
    </row>
    <row r="793">
      <c r="B793" s="855"/>
    </row>
    <row r="794">
      <c r="B794" s="855"/>
    </row>
    <row r="795">
      <c r="B795" s="855"/>
    </row>
    <row r="796">
      <c r="B796" s="855"/>
    </row>
    <row r="797">
      <c r="B797" s="855"/>
    </row>
    <row r="798">
      <c r="B798" s="855"/>
    </row>
    <row r="799">
      <c r="B799" s="855"/>
    </row>
    <row r="800">
      <c r="B800" s="855"/>
    </row>
    <row r="801">
      <c r="B801" s="855"/>
    </row>
    <row r="802">
      <c r="B802" s="855"/>
    </row>
    <row r="803">
      <c r="B803" s="855"/>
    </row>
    <row r="804">
      <c r="B804" s="855"/>
    </row>
    <row r="805">
      <c r="B805" s="855"/>
    </row>
    <row r="806">
      <c r="B806" s="855"/>
    </row>
    <row r="807">
      <c r="B807" s="855"/>
    </row>
    <row r="808">
      <c r="B808" s="855"/>
    </row>
    <row r="809">
      <c r="B809" s="855"/>
    </row>
    <row r="810">
      <c r="B810" s="855"/>
    </row>
    <row r="811">
      <c r="B811" s="855"/>
    </row>
    <row r="812">
      <c r="B812" s="855"/>
    </row>
    <row r="813">
      <c r="B813" s="855"/>
    </row>
    <row r="814">
      <c r="B814" s="855"/>
    </row>
    <row r="815">
      <c r="B815" s="855"/>
    </row>
    <row r="816">
      <c r="B816" s="855"/>
    </row>
    <row r="817">
      <c r="B817" s="855"/>
    </row>
    <row r="818">
      <c r="B818" s="855"/>
    </row>
    <row r="819">
      <c r="B819" s="855"/>
    </row>
    <row r="820">
      <c r="B820" s="855"/>
    </row>
    <row r="821">
      <c r="B821" s="855"/>
    </row>
    <row r="822">
      <c r="B822" s="855"/>
    </row>
    <row r="823">
      <c r="B823" s="855"/>
    </row>
    <row r="824">
      <c r="B824" s="855"/>
    </row>
    <row r="825">
      <c r="B825" s="855"/>
    </row>
    <row r="826">
      <c r="B826" s="855"/>
    </row>
    <row r="827">
      <c r="B827" s="855"/>
    </row>
    <row r="828">
      <c r="B828" s="855"/>
    </row>
    <row r="829">
      <c r="B829" s="855"/>
    </row>
    <row r="830">
      <c r="B830" s="855"/>
    </row>
    <row r="831">
      <c r="B831" s="855"/>
    </row>
    <row r="832">
      <c r="B832" s="855"/>
    </row>
    <row r="833">
      <c r="B833" s="855"/>
    </row>
    <row r="834">
      <c r="B834" s="855"/>
    </row>
    <row r="835">
      <c r="B835" s="855"/>
    </row>
    <row r="836">
      <c r="B836" s="855"/>
    </row>
    <row r="837">
      <c r="B837" s="855"/>
    </row>
    <row r="838">
      <c r="B838" s="855"/>
    </row>
    <row r="839">
      <c r="B839" s="855"/>
    </row>
    <row r="840">
      <c r="B840" s="855"/>
    </row>
    <row r="841">
      <c r="B841" s="855"/>
    </row>
    <row r="842">
      <c r="B842" s="855"/>
    </row>
    <row r="843">
      <c r="B843" s="855"/>
    </row>
    <row r="844">
      <c r="B844" s="855"/>
    </row>
    <row r="845">
      <c r="B845" s="855"/>
    </row>
    <row r="846">
      <c r="B846" s="855"/>
    </row>
    <row r="847">
      <c r="B847" s="855"/>
    </row>
    <row r="848">
      <c r="B848" s="855"/>
    </row>
    <row r="849">
      <c r="B849" s="855"/>
    </row>
    <row r="850">
      <c r="B850" s="855"/>
    </row>
    <row r="851">
      <c r="B851" s="855"/>
    </row>
    <row r="852">
      <c r="B852" s="855"/>
    </row>
    <row r="853">
      <c r="B853" s="855"/>
    </row>
    <row r="854">
      <c r="B854" s="855"/>
    </row>
    <row r="855">
      <c r="B855" s="855"/>
    </row>
    <row r="856">
      <c r="B856" s="855"/>
    </row>
    <row r="857">
      <c r="B857" s="855"/>
    </row>
    <row r="858">
      <c r="B858" s="855"/>
    </row>
    <row r="859">
      <c r="B859" s="855"/>
    </row>
    <row r="860">
      <c r="B860" s="855"/>
    </row>
    <row r="861">
      <c r="B861" s="855"/>
    </row>
    <row r="862">
      <c r="B862" s="855"/>
    </row>
    <row r="863">
      <c r="B863" s="855"/>
    </row>
    <row r="864">
      <c r="B864" s="855"/>
    </row>
    <row r="865">
      <c r="B865" s="855"/>
    </row>
    <row r="866">
      <c r="B866" s="855"/>
    </row>
    <row r="867">
      <c r="B867" s="855"/>
    </row>
    <row r="868">
      <c r="B868" s="855"/>
    </row>
    <row r="869">
      <c r="B869" s="855"/>
    </row>
    <row r="870">
      <c r="B870" s="855"/>
    </row>
    <row r="871">
      <c r="B871" s="855"/>
    </row>
    <row r="872">
      <c r="B872" s="855"/>
    </row>
    <row r="873">
      <c r="B873" s="855"/>
    </row>
    <row r="874">
      <c r="B874" s="855"/>
    </row>
    <row r="875">
      <c r="B875" s="855"/>
    </row>
    <row r="876">
      <c r="B876" s="855"/>
    </row>
    <row r="877">
      <c r="B877" s="855"/>
    </row>
    <row r="878">
      <c r="B878" s="855"/>
    </row>
    <row r="879">
      <c r="B879" s="855"/>
    </row>
    <row r="880">
      <c r="B880" s="855"/>
    </row>
    <row r="881">
      <c r="B881" s="855"/>
    </row>
    <row r="882">
      <c r="B882" s="855"/>
    </row>
    <row r="883">
      <c r="B883" s="855"/>
    </row>
    <row r="884">
      <c r="B884" s="855"/>
    </row>
    <row r="885">
      <c r="B885" s="855"/>
    </row>
    <row r="886">
      <c r="B886" s="855"/>
    </row>
    <row r="887">
      <c r="B887" s="855"/>
    </row>
    <row r="888">
      <c r="B888" s="855"/>
    </row>
    <row r="889">
      <c r="B889" s="855"/>
    </row>
    <row r="890">
      <c r="B890" s="855"/>
    </row>
    <row r="891">
      <c r="B891" s="855"/>
    </row>
    <row r="892">
      <c r="B892" s="855"/>
    </row>
    <row r="893">
      <c r="B893" s="855"/>
    </row>
    <row r="894">
      <c r="B894" s="855"/>
    </row>
    <row r="895">
      <c r="B895" s="855"/>
    </row>
    <row r="896">
      <c r="B896" s="855"/>
    </row>
    <row r="897">
      <c r="B897" s="855"/>
    </row>
    <row r="898">
      <c r="B898" s="855"/>
    </row>
    <row r="899">
      <c r="B899" s="855"/>
    </row>
    <row r="900">
      <c r="B900" s="855"/>
    </row>
    <row r="901">
      <c r="B901" s="855"/>
    </row>
    <row r="902">
      <c r="B902" s="855"/>
    </row>
    <row r="903">
      <c r="B903" s="855"/>
    </row>
    <row r="904">
      <c r="B904" s="855"/>
    </row>
    <row r="905">
      <c r="B905" s="855"/>
    </row>
    <row r="906">
      <c r="B906" s="855"/>
    </row>
    <row r="907">
      <c r="B907" s="855"/>
    </row>
    <row r="908">
      <c r="B908" s="855"/>
    </row>
    <row r="909">
      <c r="B909" s="855"/>
    </row>
    <row r="910">
      <c r="B910" s="855"/>
    </row>
    <row r="911">
      <c r="B911" s="855"/>
    </row>
    <row r="912">
      <c r="B912" s="855"/>
    </row>
    <row r="913">
      <c r="B913" s="855"/>
    </row>
    <row r="914">
      <c r="B914" s="855"/>
    </row>
    <row r="915">
      <c r="B915" s="855"/>
    </row>
    <row r="916">
      <c r="B916" s="855"/>
    </row>
    <row r="917">
      <c r="B917" s="855"/>
    </row>
    <row r="918">
      <c r="B918" s="855"/>
    </row>
    <row r="919">
      <c r="B919" s="855"/>
    </row>
    <row r="920">
      <c r="B920" s="855"/>
    </row>
    <row r="921">
      <c r="B921" s="855"/>
    </row>
    <row r="922">
      <c r="B922" s="855"/>
    </row>
    <row r="923">
      <c r="B923" s="855"/>
    </row>
    <row r="924">
      <c r="B924" s="855"/>
    </row>
    <row r="925">
      <c r="B925" s="855"/>
    </row>
    <row r="926">
      <c r="B926" s="855"/>
    </row>
    <row r="927">
      <c r="B927" s="855"/>
    </row>
    <row r="928">
      <c r="B928" s="855"/>
    </row>
    <row r="929">
      <c r="B929" s="855"/>
    </row>
    <row r="930">
      <c r="B930" s="855"/>
    </row>
    <row r="931">
      <c r="B931" s="855"/>
    </row>
    <row r="932">
      <c r="B932" s="855"/>
    </row>
    <row r="933">
      <c r="B933" s="855"/>
    </row>
    <row r="934">
      <c r="B934" s="855"/>
    </row>
    <row r="935">
      <c r="B935" s="855"/>
    </row>
    <row r="936">
      <c r="B936" s="855"/>
    </row>
    <row r="937">
      <c r="B937" s="855"/>
    </row>
    <row r="938">
      <c r="B938" s="855"/>
    </row>
    <row r="939">
      <c r="B939" s="855"/>
    </row>
    <row r="940">
      <c r="B940" s="855"/>
    </row>
    <row r="941">
      <c r="B941" s="855"/>
    </row>
    <row r="942">
      <c r="B942" s="855"/>
    </row>
    <row r="943">
      <c r="B943" s="855"/>
    </row>
    <row r="944">
      <c r="B944" s="855"/>
    </row>
    <row r="945">
      <c r="B945" s="855"/>
    </row>
    <row r="946">
      <c r="B946" s="855"/>
    </row>
    <row r="947">
      <c r="B947" s="855"/>
    </row>
    <row r="948">
      <c r="B948" s="855"/>
    </row>
    <row r="949">
      <c r="B949" s="855"/>
    </row>
    <row r="950">
      <c r="B950" s="855"/>
    </row>
    <row r="951">
      <c r="B951" s="855"/>
    </row>
    <row r="952">
      <c r="B952" s="855"/>
    </row>
    <row r="953">
      <c r="B953" s="855"/>
    </row>
    <row r="954">
      <c r="B954" s="855"/>
    </row>
    <row r="955">
      <c r="B955" s="855"/>
    </row>
    <row r="956">
      <c r="B956" s="855"/>
    </row>
    <row r="957">
      <c r="B957" s="855"/>
    </row>
    <row r="958">
      <c r="B958" s="855"/>
    </row>
    <row r="959">
      <c r="B959" s="855"/>
    </row>
    <row r="960">
      <c r="B960" s="855"/>
    </row>
    <row r="961">
      <c r="B961" s="855"/>
    </row>
    <row r="962">
      <c r="B962" s="855"/>
    </row>
    <row r="963">
      <c r="B963" s="855"/>
    </row>
    <row r="964">
      <c r="B964" s="855"/>
    </row>
    <row r="965">
      <c r="B965" s="855"/>
    </row>
    <row r="966">
      <c r="B966" s="855"/>
    </row>
    <row r="967">
      <c r="B967" s="855"/>
    </row>
    <row r="968">
      <c r="B968" s="855"/>
    </row>
    <row r="969">
      <c r="B969" s="855"/>
    </row>
    <row r="970">
      <c r="B970" s="855"/>
    </row>
    <row r="971">
      <c r="B971" s="855"/>
    </row>
    <row r="972">
      <c r="B972" s="855"/>
    </row>
    <row r="973">
      <c r="B973" s="855"/>
    </row>
    <row r="974">
      <c r="B974" s="855"/>
    </row>
    <row r="975">
      <c r="B975" s="855"/>
    </row>
    <row r="976">
      <c r="B976" s="855"/>
    </row>
    <row r="977">
      <c r="B977" s="855"/>
    </row>
    <row r="978">
      <c r="B978" s="855"/>
    </row>
    <row r="979">
      <c r="B979" s="855"/>
    </row>
    <row r="980">
      <c r="B980" s="855"/>
    </row>
    <row r="981">
      <c r="B981" s="855"/>
    </row>
    <row r="982">
      <c r="B982" s="855"/>
    </row>
    <row r="983">
      <c r="B983" s="855"/>
    </row>
    <row r="984">
      <c r="B984" s="855"/>
    </row>
    <row r="985">
      <c r="B985" s="855"/>
    </row>
    <row r="986">
      <c r="B986" s="855"/>
    </row>
    <row r="987">
      <c r="B987" s="855"/>
    </row>
    <row r="988">
      <c r="B988" s="855"/>
    </row>
    <row r="989">
      <c r="B989" s="855"/>
    </row>
    <row r="990">
      <c r="B990" s="855"/>
    </row>
    <row r="991">
      <c r="B991" s="855"/>
    </row>
    <row r="992">
      <c r="B992" s="855"/>
    </row>
    <row r="993">
      <c r="B993" s="855"/>
    </row>
    <row r="994">
      <c r="B994" s="855"/>
    </row>
    <row r="995">
      <c r="B995" s="855"/>
    </row>
    <row r="996">
      <c r="B996" s="855"/>
    </row>
    <row r="997">
      <c r="B997" s="855"/>
    </row>
    <row r="998">
      <c r="B998" s="855"/>
    </row>
    <row r="999">
      <c r="B999" s="855"/>
    </row>
    <row r="1000">
      <c r="B1000" s="855"/>
    </row>
  </sheetData>
  <mergeCells count="12">
    <mergeCell ref="B31:B34"/>
    <mergeCell ref="B35:B36"/>
    <mergeCell ref="B37:B39"/>
    <mergeCell ref="B40:B42"/>
    <mergeCell ref="B43:B47"/>
    <mergeCell ref="A1:H1"/>
    <mergeCell ref="B3:B6"/>
    <mergeCell ref="B7:B10"/>
    <mergeCell ref="B11:B14"/>
    <mergeCell ref="B15:B18"/>
    <mergeCell ref="B19:B23"/>
    <mergeCell ref="B24:B30"/>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25"/>
    <col customWidth="1" min="4" max="5" width="14.75"/>
    <col customWidth="1" min="8" max="8" width="19.0"/>
  </cols>
  <sheetData>
    <row r="1">
      <c r="A1" s="2" t="s">
        <v>4</v>
      </c>
      <c r="B1" s="2" t="s">
        <v>3450</v>
      </c>
      <c r="C1" s="3" t="s">
        <v>4764</v>
      </c>
      <c r="D1" s="2"/>
      <c r="E1" s="2"/>
      <c r="F1" s="242"/>
      <c r="G1" s="242"/>
      <c r="H1" s="3" t="s">
        <v>4765</v>
      </c>
      <c r="I1" s="3" t="s">
        <v>4766</v>
      </c>
      <c r="J1" s="3" t="s">
        <v>2519</v>
      </c>
      <c r="K1" s="3">
        <v>390.0</v>
      </c>
      <c r="L1" s="242"/>
      <c r="M1" s="242"/>
      <c r="N1" s="242"/>
      <c r="O1" s="242"/>
      <c r="P1" s="242"/>
      <c r="Q1" s="242"/>
      <c r="R1" s="242"/>
      <c r="S1" s="242"/>
      <c r="T1" s="242"/>
      <c r="U1" s="242"/>
      <c r="V1" s="242"/>
      <c r="W1" s="242"/>
      <c r="X1" s="242"/>
      <c r="Y1" s="242"/>
      <c r="Z1" s="242"/>
      <c r="AA1" s="242"/>
    </row>
    <row r="2">
      <c r="A2" s="2" t="s">
        <v>4767</v>
      </c>
      <c r="B2" s="2" t="s">
        <v>4768</v>
      </c>
      <c r="C2" s="3">
        <v>0.155</v>
      </c>
      <c r="D2" s="2" t="s">
        <v>4769</v>
      </c>
      <c r="E2" s="2"/>
      <c r="F2" s="242"/>
      <c r="G2" s="242"/>
      <c r="H2" s="3">
        <v>55.0</v>
      </c>
      <c r="I2" s="3">
        <v>62.0</v>
      </c>
      <c r="J2" s="3">
        <v>456.0</v>
      </c>
      <c r="K2" s="578">
        <f t="shared" ref="K2:K11" si="1">C2*$K$1</f>
        <v>60.45</v>
      </c>
      <c r="L2" s="242"/>
      <c r="M2" s="242"/>
      <c r="N2" s="242"/>
      <c r="O2" s="242"/>
      <c r="P2" s="242"/>
      <c r="Q2" s="242"/>
      <c r="R2" s="242"/>
      <c r="S2" s="242"/>
      <c r="T2" s="242"/>
      <c r="U2" s="242"/>
      <c r="V2" s="242"/>
      <c r="W2" s="242"/>
      <c r="X2" s="242"/>
      <c r="Y2" s="242"/>
      <c r="Z2" s="242"/>
      <c r="AA2" s="242"/>
    </row>
    <row r="3">
      <c r="A3" s="2" t="s">
        <v>4770</v>
      </c>
      <c r="B3" s="2" t="s">
        <v>4771</v>
      </c>
      <c r="C3" s="3">
        <v>0.215</v>
      </c>
      <c r="D3" s="2" t="s">
        <v>4769</v>
      </c>
      <c r="E3" s="2"/>
      <c r="F3" s="242"/>
      <c r="G3" s="242"/>
      <c r="H3" s="3">
        <v>76.0</v>
      </c>
      <c r="I3" s="3">
        <v>84.0</v>
      </c>
      <c r="J3" s="3">
        <v>552.0</v>
      </c>
      <c r="K3" s="578">
        <f t="shared" si="1"/>
        <v>83.85</v>
      </c>
      <c r="L3" s="242"/>
      <c r="M3" s="242"/>
      <c r="N3" s="242"/>
      <c r="O3" s="242"/>
      <c r="P3" s="242"/>
      <c r="Q3" s="242"/>
      <c r="R3" s="242"/>
      <c r="S3" s="242"/>
      <c r="T3" s="242"/>
      <c r="U3" s="242"/>
      <c r="V3" s="242"/>
      <c r="W3" s="242"/>
      <c r="X3" s="242"/>
      <c r="Y3" s="242"/>
      <c r="Z3" s="242"/>
      <c r="AA3" s="242"/>
    </row>
    <row r="4">
      <c r="A4" s="2" t="s">
        <v>4772</v>
      </c>
      <c r="B4" s="2" t="s">
        <v>4773</v>
      </c>
      <c r="C4" s="3">
        <v>0.285</v>
      </c>
      <c r="D4" s="2" t="s">
        <v>4769</v>
      </c>
      <c r="E4" s="2"/>
      <c r="F4" s="242"/>
      <c r="G4" s="242"/>
      <c r="H4" s="3">
        <v>133.0</v>
      </c>
      <c r="I4" s="3">
        <v>114.0</v>
      </c>
      <c r="J4" s="3">
        <v>798.0</v>
      </c>
      <c r="K4" s="578">
        <f t="shared" si="1"/>
        <v>111.15</v>
      </c>
      <c r="L4" s="242"/>
      <c r="M4" s="242"/>
      <c r="N4" s="242"/>
      <c r="O4" s="242"/>
      <c r="P4" s="242"/>
      <c r="Q4" s="242"/>
      <c r="R4" s="242"/>
      <c r="S4" s="242"/>
      <c r="T4" s="242"/>
      <c r="U4" s="242"/>
      <c r="V4" s="242"/>
      <c r="W4" s="242"/>
      <c r="X4" s="242"/>
      <c r="Y4" s="242"/>
      <c r="Z4" s="242"/>
      <c r="AA4" s="242"/>
    </row>
    <row r="5">
      <c r="A5" s="2" t="s">
        <v>4774</v>
      </c>
      <c r="B5" s="2" t="s">
        <v>2818</v>
      </c>
      <c r="C5" s="3">
        <v>0.41</v>
      </c>
      <c r="D5" s="2" t="s">
        <v>4769</v>
      </c>
      <c r="E5" s="2"/>
      <c r="F5" s="242"/>
      <c r="G5" s="242"/>
      <c r="H5" s="13"/>
      <c r="I5" s="3">
        <v>164.0</v>
      </c>
      <c r="J5" s="3">
        <v>996.0</v>
      </c>
      <c r="K5" s="578">
        <f t="shared" si="1"/>
        <v>159.9</v>
      </c>
      <c r="L5" s="242"/>
      <c r="M5" s="242"/>
      <c r="N5" s="242"/>
      <c r="O5" s="242"/>
      <c r="P5" s="242"/>
      <c r="Q5" s="242"/>
      <c r="R5" s="242"/>
      <c r="S5" s="242"/>
      <c r="T5" s="242"/>
      <c r="U5" s="242"/>
      <c r="V5" s="242"/>
      <c r="W5" s="242"/>
      <c r="X5" s="242"/>
      <c r="Y5" s="242"/>
      <c r="Z5" s="242"/>
      <c r="AA5" s="242"/>
    </row>
    <row r="6">
      <c r="A6" s="2" t="s">
        <v>4775</v>
      </c>
      <c r="B6" s="2" t="s">
        <v>4653</v>
      </c>
      <c r="C6" s="3">
        <v>0.52</v>
      </c>
      <c r="D6" s="2" t="s">
        <v>4769</v>
      </c>
      <c r="E6" s="2"/>
      <c r="F6" s="242"/>
      <c r="G6" s="242"/>
      <c r="H6" s="13"/>
      <c r="I6" s="3">
        <v>212.0</v>
      </c>
      <c r="J6" s="863">
        <v>1272.0</v>
      </c>
      <c r="K6" s="578">
        <f t="shared" si="1"/>
        <v>202.8</v>
      </c>
      <c r="L6" s="242"/>
      <c r="M6" s="242"/>
      <c r="N6" s="242"/>
      <c r="O6" s="242"/>
      <c r="P6" s="242"/>
      <c r="Q6" s="242"/>
      <c r="R6" s="242"/>
      <c r="S6" s="242"/>
      <c r="T6" s="242"/>
      <c r="U6" s="242"/>
      <c r="V6" s="242"/>
      <c r="W6" s="242"/>
      <c r="X6" s="242"/>
      <c r="Y6" s="242"/>
      <c r="Z6" s="242"/>
      <c r="AA6" s="242"/>
    </row>
    <row r="7">
      <c r="A7" s="2" t="s">
        <v>4458</v>
      </c>
      <c r="B7" s="2" t="s">
        <v>4776</v>
      </c>
      <c r="C7" s="3">
        <v>0.2</v>
      </c>
      <c r="D7" s="2"/>
      <c r="E7" s="2" t="s">
        <v>4777</v>
      </c>
      <c r="F7" s="2" t="s">
        <v>4778</v>
      </c>
      <c r="G7" s="2" t="s">
        <v>4779</v>
      </c>
      <c r="H7" s="3">
        <v>54.72</v>
      </c>
      <c r="I7" s="13"/>
      <c r="J7" s="13"/>
      <c r="K7" s="578">
        <f t="shared" si="1"/>
        <v>78</v>
      </c>
      <c r="L7" s="242"/>
      <c r="M7" s="242"/>
      <c r="N7" s="242"/>
      <c r="O7" s="242"/>
      <c r="P7" s="242"/>
      <c r="Q7" s="242"/>
      <c r="R7" s="242"/>
      <c r="S7" s="242"/>
      <c r="T7" s="242"/>
      <c r="U7" s="242"/>
      <c r="V7" s="242"/>
      <c r="W7" s="242"/>
      <c r="X7" s="242"/>
      <c r="Y7" s="242"/>
      <c r="Z7" s="242"/>
      <c r="AA7" s="242"/>
    </row>
    <row r="8">
      <c r="A8" s="2" t="s">
        <v>4459</v>
      </c>
      <c r="B8" s="2" t="s">
        <v>4780</v>
      </c>
      <c r="C8" s="3">
        <v>0.25</v>
      </c>
      <c r="D8" s="2"/>
      <c r="E8" s="2" t="s">
        <v>4777</v>
      </c>
      <c r="F8" s="2" t="s">
        <v>4778</v>
      </c>
      <c r="G8" s="2" t="s">
        <v>4779</v>
      </c>
      <c r="H8" s="3">
        <v>81.32</v>
      </c>
      <c r="I8" s="13"/>
      <c r="J8" s="13"/>
      <c r="K8" s="578">
        <f t="shared" si="1"/>
        <v>97.5</v>
      </c>
      <c r="L8" s="242"/>
      <c r="M8" s="242"/>
      <c r="N8" s="242"/>
      <c r="O8" s="242"/>
      <c r="P8" s="242"/>
      <c r="Q8" s="242"/>
      <c r="R8" s="242"/>
      <c r="S8" s="242"/>
      <c r="T8" s="242"/>
      <c r="U8" s="242"/>
      <c r="V8" s="242"/>
      <c r="W8" s="242"/>
      <c r="X8" s="242"/>
      <c r="Y8" s="242"/>
      <c r="Z8" s="242"/>
      <c r="AA8" s="242"/>
    </row>
    <row r="9">
      <c r="A9" s="2" t="s">
        <v>4460</v>
      </c>
      <c r="B9" s="2" t="s">
        <v>4781</v>
      </c>
      <c r="C9" s="3">
        <v>0.33</v>
      </c>
      <c r="D9" s="2"/>
      <c r="E9" s="2" t="s">
        <v>4777</v>
      </c>
      <c r="F9" s="2" t="s">
        <v>4778</v>
      </c>
      <c r="G9" s="2" t="s">
        <v>4779</v>
      </c>
      <c r="H9" s="3">
        <v>103.39</v>
      </c>
      <c r="I9" s="13"/>
      <c r="J9" s="13"/>
      <c r="K9" s="578">
        <f t="shared" si="1"/>
        <v>128.7</v>
      </c>
      <c r="L9" s="242"/>
      <c r="M9" s="242"/>
      <c r="N9" s="242"/>
      <c r="O9" s="242"/>
      <c r="P9" s="242"/>
      <c r="Q9" s="242"/>
      <c r="R9" s="242"/>
      <c r="S9" s="242"/>
      <c r="T9" s="242"/>
      <c r="U9" s="242"/>
      <c r="V9" s="242"/>
      <c r="W9" s="242"/>
      <c r="X9" s="242"/>
      <c r="Y9" s="242"/>
      <c r="Z9" s="242"/>
      <c r="AA9" s="242"/>
    </row>
    <row r="10">
      <c r="A10" s="2" t="s">
        <v>4461</v>
      </c>
      <c r="B10" s="2" t="s">
        <v>4652</v>
      </c>
      <c r="C10" s="3">
        <v>0.43</v>
      </c>
      <c r="D10" s="2"/>
      <c r="E10" s="2" t="s">
        <v>4777</v>
      </c>
      <c r="F10" s="2" t="s">
        <v>4778</v>
      </c>
      <c r="G10" s="2" t="s">
        <v>2214</v>
      </c>
      <c r="H10" s="3">
        <v>159.8</v>
      </c>
      <c r="I10" s="13"/>
      <c r="J10" s="13"/>
      <c r="K10" s="578">
        <f t="shared" si="1"/>
        <v>167.7</v>
      </c>
      <c r="L10" s="242"/>
      <c r="M10" s="242"/>
      <c r="N10" s="242"/>
      <c r="O10" s="242"/>
      <c r="P10" s="242"/>
      <c r="Q10" s="242"/>
      <c r="R10" s="242"/>
      <c r="S10" s="242"/>
      <c r="T10" s="242"/>
      <c r="U10" s="242"/>
      <c r="V10" s="242"/>
      <c r="W10" s="242"/>
      <c r="X10" s="242"/>
      <c r="Y10" s="242"/>
      <c r="Z10" s="242"/>
      <c r="AA10" s="242"/>
    </row>
    <row r="11">
      <c r="A11" s="2" t="s">
        <v>4462</v>
      </c>
      <c r="B11" s="2" t="s">
        <v>4653</v>
      </c>
      <c r="C11" s="3">
        <v>0.52</v>
      </c>
      <c r="D11" s="2"/>
      <c r="E11" s="2" t="s">
        <v>4777</v>
      </c>
      <c r="F11" s="2" t="s">
        <v>4778</v>
      </c>
      <c r="G11" s="2" t="s">
        <v>2214</v>
      </c>
      <c r="H11" s="3">
        <v>247.73</v>
      </c>
      <c r="I11" s="13"/>
      <c r="J11" s="13"/>
      <c r="K11" s="578">
        <f t="shared" si="1"/>
        <v>202.8</v>
      </c>
      <c r="L11" s="242"/>
      <c r="M11" s="242"/>
      <c r="N11" s="242"/>
      <c r="O11" s="242"/>
      <c r="P11" s="242"/>
      <c r="Q11" s="242"/>
      <c r="R11" s="242"/>
      <c r="S11" s="242"/>
      <c r="T11" s="242"/>
      <c r="U11" s="242"/>
      <c r="V11" s="242"/>
      <c r="W11" s="242"/>
      <c r="X11" s="242"/>
      <c r="Y11" s="242"/>
      <c r="Z11" s="242"/>
      <c r="AA11" s="242"/>
    </row>
    <row r="12">
      <c r="A12" s="242"/>
      <c r="B12" s="242"/>
      <c r="C12" s="13"/>
      <c r="D12" s="242"/>
      <c r="E12" s="242"/>
      <c r="F12" s="242"/>
      <c r="G12" s="242"/>
      <c r="H12" s="13"/>
      <c r="I12" s="13"/>
      <c r="J12" s="13"/>
      <c r="K12" s="13"/>
      <c r="L12" s="242"/>
      <c r="M12" s="242"/>
      <c r="N12" s="242"/>
      <c r="O12" s="242"/>
      <c r="P12" s="242"/>
      <c r="Q12" s="242"/>
      <c r="R12" s="242"/>
      <c r="S12" s="242"/>
      <c r="T12" s="242"/>
      <c r="U12" s="242"/>
      <c r="V12" s="242"/>
      <c r="W12" s="242"/>
      <c r="X12" s="242"/>
      <c r="Y12" s="242"/>
      <c r="Z12" s="242"/>
      <c r="AA12" s="242"/>
    </row>
    <row r="13">
      <c r="A13" s="242"/>
      <c r="B13" s="242"/>
      <c r="C13" s="13"/>
      <c r="D13" s="242"/>
      <c r="E13" s="242"/>
      <c r="F13" s="242"/>
      <c r="G13" s="242"/>
      <c r="H13" s="13"/>
      <c r="I13" s="13"/>
      <c r="J13" s="13"/>
      <c r="K13" s="13"/>
      <c r="L13" s="242"/>
      <c r="M13" s="242"/>
      <c r="N13" s="242"/>
      <c r="O13" s="242"/>
      <c r="P13" s="242"/>
      <c r="Q13" s="242"/>
      <c r="R13" s="242"/>
      <c r="S13" s="242"/>
      <c r="T13" s="242"/>
      <c r="U13" s="242"/>
      <c r="V13" s="242"/>
      <c r="W13" s="242"/>
      <c r="X13" s="242"/>
      <c r="Y13" s="242"/>
      <c r="Z13" s="242"/>
      <c r="AA13" s="242"/>
    </row>
    <row r="14">
      <c r="A14" s="242"/>
      <c r="B14" s="242"/>
      <c r="C14" s="13"/>
      <c r="D14" s="242"/>
      <c r="E14" s="242"/>
      <c r="F14" s="242"/>
      <c r="G14" s="242"/>
      <c r="H14" s="13"/>
      <c r="I14" s="13"/>
      <c r="J14" s="13"/>
      <c r="K14" s="13"/>
      <c r="L14" s="242"/>
      <c r="M14" s="242"/>
      <c r="N14" s="242"/>
      <c r="O14" s="242"/>
      <c r="P14" s="242"/>
      <c r="Q14" s="242"/>
      <c r="R14" s="242"/>
      <c r="S14" s="242"/>
      <c r="T14" s="242"/>
      <c r="U14" s="242"/>
      <c r="V14" s="242"/>
      <c r="W14" s="242"/>
      <c r="X14" s="242"/>
      <c r="Y14" s="242"/>
      <c r="Z14" s="242"/>
      <c r="AA14" s="242"/>
    </row>
    <row r="15">
      <c r="A15" s="242"/>
      <c r="B15" s="242"/>
      <c r="C15" s="13"/>
      <c r="D15" s="242"/>
      <c r="E15" s="242"/>
      <c r="F15" s="242"/>
      <c r="G15" s="242"/>
      <c r="H15" s="13"/>
      <c r="I15" s="13"/>
      <c r="J15" s="13"/>
      <c r="K15" s="13"/>
      <c r="L15" s="242"/>
      <c r="M15" s="242"/>
      <c r="N15" s="242"/>
      <c r="O15" s="242"/>
      <c r="P15" s="242"/>
      <c r="Q15" s="242"/>
      <c r="R15" s="242"/>
      <c r="S15" s="242"/>
      <c r="T15" s="242"/>
      <c r="U15" s="242"/>
      <c r="V15" s="242"/>
      <c r="W15" s="242"/>
      <c r="X15" s="242"/>
      <c r="Y15" s="242"/>
      <c r="Z15" s="242"/>
      <c r="AA15" s="242"/>
    </row>
    <row r="16">
      <c r="A16" s="242"/>
      <c r="B16" s="242"/>
      <c r="C16" s="13"/>
      <c r="D16" s="242"/>
      <c r="E16" s="242"/>
      <c r="F16" s="242"/>
      <c r="G16" s="242"/>
      <c r="H16" s="13"/>
      <c r="I16" s="13"/>
      <c r="J16" s="13"/>
      <c r="K16" s="13"/>
      <c r="L16" s="242"/>
      <c r="M16" s="242"/>
      <c r="N16" s="242"/>
      <c r="O16" s="242"/>
      <c r="P16" s="242"/>
      <c r="Q16" s="242"/>
      <c r="R16" s="242"/>
      <c r="S16" s="242"/>
      <c r="T16" s="242"/>
      <c r="U16" s="242"/>
      <c r="V16" s="242"/>
      <c r="W16" s="242"/>
      <c r="X16" s="242"/>
      <c r="Y16" s="242"/>
      <c r="Z16" s="242"/>
      <c r="AA16" s="242"/>
    </row>
    <row r="17">
      <c r="A17" s="242"/>
      <c r="B17" s="242"/>
      <c r="C17" s="13"/>
      <c r="D17" s="242"/>
      <c r="E17" s="242"/>
      <c r="F17" s="242"/>
      <c r="G17" s="242"/>
      <c r="H17" s="13"/>
      <c r="I17" s="13"/>
      <c r="J17" s="13"/>
      <c r="K17" s="13"/>
      <c r="L17" s="242"/>
      <c r="M17" s="242"/>
      <c r="N17" s="242"/>
      <c r="O17" s="242"/>
      <c r="P17" s="242"/>
      <c r="Q17" s="242"/>
      <c r="R17" s="242"/>
      <c r="S17" s="242"/>
      <c r="T17" s="242"/>
      <c r="U17" s="242"/>
      <c r="V17" s="242"/>
      <c r="W17" s="242"/>
      <c r="X17" s="242"/>
      <c r="Y17" s="242"/>
      <c r="Z17" s="242"/>
      <c r="AA17" s="242"/>
    </row>
    <row r="18">
      <c r="A18" s="242"/>
      <c r="B18" s="242"/>
      <c r="C18" s="13"/>
      <c r="D18" s="242"/>
      <c r="E18" s="242"/>
      <c r="F18" s="242"/>
      <c r="G18" s="242"/>
      <c r="H18" s="13"/>
      <c r="I18" s="13"/>
      <c r="J18" s="13"/>
      <c r="K18" s="13"/>
      <c r="L18" s="242"/>
      <c r="M18" s="242"/>
      <c r="N18" s="242"/>
      <c r="O18" s="242"/>
      <c r="P18" s="242"/>
      <c r="Q18" s="242"/>
      <c r="R18" s="242"/>
      <c r="S18" s="242"/>
      <c r="T18" s="242"/>
      <c r="U18" s="242"/>
      <c r="V18" s="242"/>
      <c r="W18" s="242"/>
      <c r="X18" s="242"/>
      <c r="Y18" s="242"/>
      <c r="Z18" s="242"/>
      <c r="AA18" s="242"/>
    </row>
    <row r="19">
      <c r="A19" s="242"/>
      <c r="B19" s="242"/>
      <c r="C19" s="13"/>
      <c r="D19" s="242"/>
      <c r="E19" s="242"/>
      <c r="F19" s="242"/>
      <c r="G19" s="242"/>
      <c r="H19" s="13"/>
      <c r="I19" s="13"/>
      <c r="J19" s="13"/>
      <c r="K19" s="13"/>
      <c r="L19" s="242"/>
      <c r="M19" s="242"/>
      <c r="N19" s="242"/>
      <c r="O19" s="242"/>
      <c r="P19" s="242"/>
      <c r="Q19" s="242"/>
      <c r="R19" s="242"/>
      <c r="S19" s="242"/>
      <c r="T19" s="242"/>
      <c r="U19" s="242"/>
      <c r="V19" s="242"/>
      <c r="W19" s="242"/>
      <c r="X19" s="242"/>
      <c r="Y19" s="242"/>
      <c r="Z19" s="242"/>
      <c r="AA19" s="242"/>
    </row>
    <row r="20">
      <c r="A20" s="242"/>
      <c r="B20" s="242"/>
      <c r="C20" s="13"/>
      <c r="D20" s="242"/>
      <c r="E20" s="242"/>
      <c r="F20" s="242"/>
      <c r="G20" s="242"/>
      <c r="H20" s="13"/>
      <c r="I20" s="13"/>
      <c r="J20" s="13"/>
      <c r="K20" s="13"/>
      <c r="L20" s="242"/>
      <c r="M20" s="242"/>
      <c r="N20" s="242"/>
      <c r="O20" s="242"/>
      <c r="P20" s="242"/>
      <c r="Q20" s="242"/>
      <c r="R20" s="242"/>
      <c r="S20" s="242"/>
      <c r="T20" s="242"/>
      <c r="U20" s="242"/>
      <c r="V20" s="242"/>
      <c r="W20" s="242"/>
      <c r="X20" s="242"/>
      <c r="Y20" s="242"/>
      <c r="Z20" s="242"/>
      <c r="AA20" s="242"/>
    </row>
    <row r="21">
      <c r="A21" s="242"/>
      <c r="B21" s="242"/>
      <c r="C21" s="13"/>
      <c r="D21" s="242"/>
      <c r="E21" s="242"/>
      <c r="F21" s="242"/>
      <c r="G21" s="242"/>
      <c r="H21" s="13"/>
      <c r="I21" s="13"/>
      <c r="J21" s="13"/>
      <c r="K21" s="13"/>
      <c r="L21" s="242"/>
      <c r="M21" s="242"/>
      <c r="N21" s="242"/>
      <c r="O21" s="242"/>
      <c r="P21" s="242"/>
      <c r="Q21" s="242"/>
      <c r="R21" s="242"/>
      <c r="S21" s="242"/>
      <c r="T21" s="242"/>
      <c r="U21" s="242"/>
      <c r="V21" s="242"/>
      <c r="W21" s="242"/>
      <c r="X21" s="242"/>
      <c r="Y21" s="242"/>
      <c r="Z21" s="242"/>
      <c r="AA21" s="242"/>
    </row>
    <row r="22">
      <c r="A22" s="242"/>
      <c r="B22" s="242"/>
      <c r="C22" s="13"/>
      <c r="D22" s="242"/>
      <c r="E22" s="242"/>
      <c r="F22" s="242"/>
      <c r="G22" s="242"/>
      <c r="H22" s="13"/>
      <c r="I22" s="13"/>
      <c r="J22" s="13"/>
      <c r="K22" s="13"/>
      <c r="L22" s="242"/>
      <c r="M22" s="242"/>
      <c r="N22" s="242"/>
      <c r="O22" s="242"/>
      <c r="P22" s="242"/>
      <c r="Q22" s="242"/>
      <c r="R22" s="242"/>
      <c r="S22" s="242"/>
      <c r="T22" s="242"/>
      <c r="U22" s="242"/>
      <c r="V22" s="242"/>
      <c r="W22" s="242"/>
      <c r="X22" s="242"/>
      <c r="Y22" s="242"/>
      <c r="Z22" s="242"/>
      <c r="AA22" s="242"/>
    </row>
    <row r="23">
      <c r="A23" s="242"/>
      <c r="B23" s="242"/>
      <c r="C23" s="13"/>
      <c r="D23" s="242"/>
      <c r="E23" s="242"/>
      <c r="F23" s="242"/>
      <c r="G23" s="242"/>
      <c r="H23" s="13"/>
      <c r="I23" s="13"/>
      <c r="J23" s="13"/>
      <c r="K23" s="13"/>
      <c r="L23" s="242"/>
      <c r="M23" s="242"/>
      <c r="N23" s="242"/>
      <c r="O23" s="242"/>
      <c r="P23" s="242"/>
      <c r="Q23" s="242"/>
      <c r="R23" s="242"/>
      <c r="S23" s="242"/>
      <c r="T23" s="242"/>
      <c r="U23" s="242"/>
      <c r="V23" s="242"/>
      <c r="W23" s="242"/>
      <c r="X23" s="242"/>
      <c r="Y23" s="242"/>
      <c r="Z23" s="242"/>
      <c r="AA23" s="242"/>
    </row>
    <row r="24">
      <c r="A24" s="242"/>
      <c r="B24" s="242"/>
      <c r="C24" s="13"/>
      <c r="D24" s="242"/>
      <c r="E24" s="242"/>
      <c r="F24" s="242"/>
      <c r="G24" s="242"/>
      <c r="H24" s="13"/>
      <c r="I24" s="13"/>
      <c r="J24" s="13"/>
      <c r="K24" s="13"/>
      <c r="L24" s="242"/>
      <c r="M24" s="242"/>
      <c r="N24" s="242"/>
      <c r="O24" s="242"/>
      <c r="P24" s="242"/>
      <c r="Q24" s="242"/>
      <c r="R24" s="242"/>
      <c r="S24" s="242"/>
      <c r="T24" s="242"/>
      <c r="U24" s="242"/>
      <c r="V24" s="242"/>
      <c r="W24" s="242"/>
      <c r="X24" s="242"/>
      <c r="Y24" s="242"/>
      <c r="Z24" s="242"/>
      <c r="AA24" s="242"/>
    </row>
    <row r="25">
      <c r="A25" s="242"/>
      <c r="B25" s="242"/>
      <c r="C25" s="13"/>
      <c r="D25" s="242"/>
      <c r="E25" s="242"/>
      <c r="F25" s="242"/>
      <c r="G25" s="242"/>
      <c r="H25" s="13"/>
      <c r="I25" s="13"/>
      <c r="J25" s="13"/>
      <c r="K25" s="13"/>
      <c r="L25" s="242"/>
      <c r="M25" s="242"/>
      <c r="N25" s="242"/>
      <c r="O25" s="242"/>
      <c r="P25" s="242"/>
      <c r="Q25" s="242"/>
      <c r="R25" s="242"/>
      <c r="S25" s="242"/>
      <c r="T25" s="242"/>
      <c r="U25" s="242"/>
      <c r="V25" s="242"/>
      <c r="W25" s="242"/>
      <c r="X25" s="242"/>
      <c r="Y25" s="242"/>
      <c r="Z25" s="242"/>
      <c r="AA25" s="242"/>
    </row>
    <row r="26">
      <c r="A26" s="242"/>
      <c r="B26" s="242"/>
      <c r="C26" s="13"/>
      <c r="D26" s="242"/>
      <c r="E26" s="242"/>
      <c r="F26" s="242"/>
      <c r="G26" s="242"/>
      <c r="H26" s="13"/>
      <c r="I26" s="13"/>
      <c r="J26" s="13"/>
      <c r="K26" s="13"/>
      <c r="L26" s="242"/>
      <c r="M26" s="242"/>
      <c r="N26" s="242"/>
      <c r="O26" s="242"/>
      <c r="P26" s="242"/>
      <c r="Q26" s="242"/>
      <c r="R26" s="242"/>
      <c r="S26" s="242"/>
      <c r="T26" s="242"/>
      <c r="U26" s="242"/>
      <c r="V26" s="242"/>
      <c r="W26" s="242"/>
      <c r="X26" s="242"/>
      <c r="Y26" s="242"/>
      <c r="Z26" s="242"/>
      <c r="AA26" s="242"/>
    </row>
    <row r="27">
      <c r="A27" s="242"/>
      <c r="B27" s="242"/>
      <c r="C27" s="13"/>
      <c r="D27" s="242"/>
      <c r="E27" s="242"/>
      <c r="F27" s="242"/>
      <c r="G27" s="242"/>
      <c r="H27" s="13"/>
      <c r="I27" s="13"/>
      <c r="J27" s="13"/>
      <c r="K27" s="13"/>
      <c r="L27" s="242"/>
      <c r="M27" s="242"/>
      <c r="N27" s="242"/>
      <c r="O27" s="242"/>
      <c r="P27" s="242"/>
      <c r="Q27" s="242"/>
      <c r="R27" s="242"/>
      <c r="S27" s="242"/>
      <c r="T27" s="242"/>
      <c r="U27" s="242"/>
      <c r="V27" s="242"/>
      <c r="W27" s="242"/>
      <c r="X27" s="242"/>
      <c r="Y27" s="242"/>
      <c r="Z27" s="242"/>
      <c r="AA27" s="242"/>
    </row>
    <row r="28">
      <c r="A28" s="242"/>
      <c r="B28" s="242"/>
      <c r="C28" s="13"/>
      <c r="D28" s="242"/>
      <c r="E28" s="242"/>
      <c r="F28" s="242"/>
      <c r="G28" s="242"/>
      <c r="H28" s="13"/>
      <c r="I28" s="13"/>
      <c r="J28" s="13"/>
      <c r="K28" s="13"/>
      <c r="L28" s="242"/>
      <c r="M28" s="242"/>
      <c r="N28" s="242"/>
      <c r="O28" s="242"/>
      <c r="P28" s="242"/>
      <c r="Q28" s="242"/>
      <c r="R28" s="242"/>
      <c r="S28" s="242"/>
      <c r="T28" s="242"/>
      <c r="U28" s="242"/>
      <c r="V28" s="242"/>
      <c r="W28" s="242"/>
      <c r="X28" s="242"/>
      <c r="Y28" s="242"/>
      <c r="Z28" s="242"/>
      <c r="AA28" s="242"/>
    </row>
    <row r="29">
      <c r="A29" s="242"/>
      <c r="B29" s="242"/>
      <c r="C29" s="13"/>
      <c r="D29" s="242"/>
      <c r="E29" s="242"/>
      <c r="F29" s="242"/>
      <c r="G29" s="242"/>
      <c r="H29" s="13"/>
      <c r="I29" s="13"/>
      <c r="J29" s="13"/>
      <c r="K29" s="13"/>
      <c r="L29" s="242"/>
      <c r="M29" s="242"/>
      <c r="N29" s="242"/>
      <c r="O29" s="242"/>
      <c r="P29" s="242"/>
      <c r="Q29" s="242"/>
      <c r="R29" s="242"/>
      <c r="S29" s="242"/>
      <c r="T29" s="242"/>
      <c r="U29" s="242"/>
      <c r="V29" s="242"/>
      <c r="W29" s="242"/>
      <c r="X29" s="242"/>
      <c r="Y29" s="242"/>
      <c r="Z29" s="242"/>
      <c r="AA29" s="242"/>
    </row>
    <row r="30">
      <c r="A30" s="242"/>
      <c r="B30" s="242"/>
      <c r="C30" s="13"/>
      <c r="D30" s="242"/>
      <c r="E30" s="242"/>
      <c r="F30" s="242"/>
      <c r="G30" s="242"/>
      <c r="H30" s="13"/>
      <c r="I30" s="13"/>
      <c r="J30" s="13"/>
      <c r="K30" s="13"/>
      <c r="L30" s="242"/>
      <c r="M30" s="242"/>
      <c r="N30" s="242"/>
      <c r="O30" s="242"/>
      <c r="P30" s="242"/>
      <c r="Q30" s="242"/>
      <c r="R30" s="242"/>
      <c r="S30" s="242"/>
      <c r="T30" s="242"/>
      <c r="U30" s="242"/>
      <c r="V30" s="242"/>
      <c r="W30" s="242"/>
      <c r="X30" s="242"/>
      <c r="Y30" s="242"/>
      <c r="Z30" s="242"/>
      <c r="AA30" s="242"/>
    </row>
    <row r="31">
      <c r="A31" s="242"/>
      <c r="B31" s="242"/>
      <c r="C31" s="13"/>
      <c r="D31" s="242"/>
      <c r="E31" s="242"/>
      <c r="F31" s="242"/>
      <c r="G31" s="242"/>
      <c r="H31" s="13"/>
      <c r="I31" s="13"/>
      <c r="J31" s="13"/>
      <c r="K31" s="13"/>
      <c r="L31" s="242"/>
      <c r="M31" s="242"/>
      <c r="N31" s="242"/>
      <c r="O31" s="242"/>
      <c r="P31" s="242"/>
      <c r="Q31" s="242"/>
      <c r="R31" s="242"/>
      <c r="S31" s="242"/>
      <c r="T31" s="242"/>
      <c r="U31" s="242"/>
      <c r="V31" s="242"/>
      <c r="W31" s="242"/>
      <c r="X31" s="242"/>
      <c r="Y31" s="242"/>
      <c r="Z31" s="242"/>
      <c r="AA31" s="242"/>
    </row>
    <row r="32">
      <c r="A32" s="242"/>
      <c r="B32" s="242"/>
      <c r="C32" s="13"/>
      <c r="D32" s="242"/>
      <c r="E32" s="242"/>
      <c r="F32" s="242"/>
      <c r="G32" s="242"/>
      <c r="H32" s="13"/>
      <c r="I32" s="13"/>
      <c r="J32" s="13"/>
      <c r="K32" s="13"/>
      <c r="L32" s="242"/>
      <c r="M32" s="242"/>
      <c r="N32" s="242"/>
      <c r="O32" s="242"/>
      <c r="P32" s="242"/>
      <c r="Q32" s="242"/>
      <c r="R32" s="242"/>
      <c r="S32" s="242"/>
      <c r="T32" s="242"/>
      <c r="U32" s="242"/>
      <c r="V32" s="242"/>
      <c r="W32" s="242"/>
      <c r="X32" s="242"/>
      <c r="Y32" s="242"/>
      <c r="Z32" s="242"/>
      <c r="AA32" s="242"/>
    </row>
    <row r="33">
      <c r="A33" s="242"/>
      <c r="B33" s="242"/>
      <c r="C33" s="13"/>
      <c r="D33" s="242"/>
      <c r="E33" s="242"/>
      <c r="F33" s="242"/>
      <c r="G33" s="242"/>
      <c r="H33" s="13"/>
      <c r="I33" s="13"/>
      <c r="J33" s="13"/>
      <c r="K33" s="13"/>
      <c r="L33" s="242"/>
      <c r="M33" s="242"/>
      <c r="N33" s="242"/>
      <c r="O33" s="242"/>
      <c r="P33" s="242"/>
      <c r="Q33" s="242"/>
      <c r="R33" s="242"/>
      <c r="S33" s="242"/>
      <c r="T33" s="242"/>
      <c r="U33" s="242"/>
      <c r="V33" s="242"/>
      <c r="W33" s="242"/>
      <c r="X33" s="242"/>
      <c r="Y33" s="242"/>
      <c r="Z33" s="242"/>
      <c r="AA33" s="242"/>
    </row>
    <row r="34">
      <c r="A34" s="242"/>
      <c r="B34" s="242"/>
      <c r="C34" s="13"/>
      <c r="D34" s="242"/>
      <c r="E34" s="242"/>
      <c r="F34" s="242"/>
      <c r="G34" s="242"/>
      <c r="H34" s="13"/>
      <c r="I34" s="13"/>
      <c r="J34" s="13"/>
      <c r="K34" s="13"/>
      <c r="L34" s="242"/>
      <c r="M34" s="242"/>
      <c r="N34" s="242"/>
      <c r="O34" s="242"/>
      <c r="P34" s="242"/>
      <c r="Q34" s="242"/>
      <c r="R34" s="242"/>
      <c r="S34" s="242"/>
      <c r="T34" s="242"/>
      <c r="U34" s="242"/>
      <c r="V34" s="242"/>
      <c r="W34" s="242"/>
      <c r="X34" s="242"/>
      <c r="Y34" s="242"/>
      <c r="Z34" s="242"/>
      <c r="AA34" s="242"/>
    </row>
    <row r="35">
      <c r="A35" s="242"/>
      <c r="B35" s="242"/>
      <c r="C35" s="13"/>
      <c r="D35" s="242"/>
      <c r="E35" s="242"/>
      <c r="F35" s="242"/>
      <c r="G35" s="242"/>
      <c r="H35" s="13"/>
      <c r="I35" s="13"/>
      <c r="J35" s="13"/>
      <c r="K35" s="13"/>
      <c r="L35" s="242"/>
      <c r="M35" s="242"/>
      <c r="N35" s="242"/>
      <c r="O35" s="242"/>
      <c r="P35" s="242"/>
      <c r="Q35" s="242"/>
      <c r="R35" s="242"/>
      <c r="S35" s="242"/>
      <c r="T35" s="242"/>
      <c r="U35" s="242"/>
      <c r="V35" s="242"/>
      <c r="W35" s="242"/>
      <c r="X35" s="242"/>
      <c r="Y35" s="242"/>
      <c r="Z35" s="242"/>
      <c r="AA35" s="242"/>
    </row>
    <row r="36">
      <c r="A36" s="242"/>
      <c r="B36" s="242"/>
      <c r="C36" s="13"/>
      <c r="D36" s="242"/>
      <c r="E36" s="242"/>
      <c r="F36" s="242"/>
      <c r="G36" s="242"/>
      <c r="H36" s="13"/>
      <c r="I36" s="13"/>
      <c r="J36" s="13"/>
      <c r="K36" s="13"/>
      <c r="L36" s="242"/>
      <c r="M36" s="242"/>
      <c r="N36" s="242"/>
      <c r="O36" s="242"/>
      <c r="P36" s="242"/>
      <c r="Q36" s="242"/>
      <c r="R36" s="242"/>
      <c r="S36" s="242"/>
      <c r="T36" s="242"/>
      <c r="U36" s="242"/>
      <c r="V36" s="242"/>
      <c r="W36" s="242"/>
      <c r="X36" s="242"/>
      <c r="Y36" s="242"/>
      <c r="Z36" s="242"/>
      <c r="AA36" s="242"/>
    </row>
    <row r="37">
      <c r="A37" s="242"/>
      <c r="B37" s="242"/>
      <c r="C37" s="13"/>
      <c r="D37" s="242"/>
      <c r="E37" s="242"/>
      <c r="F37" s="242"/>
      <c r="G37" s="242"/>
      <c r="H37" s="13"/>
      <c r="I37" s="13"/>
      <c r="J37" s="13"/>
      <c r="K37" s="13"/>
      <c r="L37" s="242"/>
      <c r="M37" s="242"/>
      <c r="N37" s="242"/>
      <c r="O37" s="242"/>
      <c r="P37" s="242"/>
      <c r="Q37" s="242"/>
      <c r="R37" s="242"/>
      <c r="S37" s="242"/>
      <c r="T37" s="242"/>
      <c r="U37" s="242"/>
      <c r="V37" s="242"/>
      <c r="W37" s="242"/>
      <c r="X37" s="242"/>
      <c r="Y37" s="242"/>
      <c r="Z37" s="242"/>
      <c r="AA37" s="242"/>
    </row>
    <row r="38">
      <c r="A38" s="242"/>
      <c r="B38" s="242"/>
      <c r="C38" s="13"/>
      <c r="D38" s="242"/>
      <c r="E38" s="242"/>
      <c r="F38" s="242"/>
      <c r="G38" s="242"/>
      <c r="H38" s="13"/>
      <c r="I38" s="13"/>
      <c r="J38" s="13"/>
      <c r="K38" s="13"/>
      <c r="L38" s="242"/>
      <c r="M38" s="242"/>
      <c r="N38" s="242"/>
      <c r="O38" s="242"/>
      <c r="P38" s="242"/>
      <c r="Q38" s="242"/>
      <c r="R38" s="242"/>
      <c r="S38" s="242"/>
      <c r="T38" s="242"/>
      <c r="U38" s="242"/>
      <c r="V38" s="242"/>
      <c r="W38" s="242"/>
      <c r="X38" s="242"/>
      <c r="Y38" s="242"/>
      <c r="Z38" s="242"/>
      <c r="AA38" s="242"/>
    </row>
    <row r="39">
      <c r="A39" s="242"/>
      <c r="B39" s="242"/>
      <c r="C39" s="13"/>
      <c r="D39" s="242"/>
      <c r="E39" s="242"/>
      <c r="F39" s="242"/>
      <c r="G39" s="242"/>
      <c r="H39" s="13"/>
      <c r="I39" s="13"/>
      <c r="J39" s="13"/>
      <c r="K39" s="13"/>
      <c r="L39" s="242"/>
      <c r="M39" s="242"/>
      <c r="N39" s="242"/>
      <c r="O39" s="242"/>
      <c r="P39" s="242"/>
      <c r="Q39" s="242"/>
      <c r="R39" s="242"/>
      <c r="S39" s="242"/>
      <c r="T39" s="242"/>
      <c r="U39" s="242"/>
      <c r="V39" s="242"/>
      <c r="W39" s="242"/>
      <c r="X39" s="242"/>
      <c r="Y39" s="242"/>
      <c r="Z39" s="242"/>
      <c r="AA39" s="242"/>
    </row>
    <row r="40">
      <c r="A40" s="242"/>
      <c r="B40" s="242"/>
      <c r="C40" s="13"/>
      <c r="D40" s="242"/>
      <c r="E40" s="242"/>
      <c r="F40" s="242"/>
      <c r="G40" s="242"/>
      <c r="H40" s="13"/>
      <c r="I40" s="13"/>
      <c r="J40" s="13"/>
      <c r="K40" s="13"/>
      <c r="L40" s="242"/>
      <c r="M40" s="242"/>
      <c r="N40" s="242"/>
      <c r="O40" s="242"/>
      <c r="P40" s="242"/>
      <c r="Q40" s="242"/>
      <c r="R40" s="242"/>
      <c r="S40" s="242"/>
      <c r="T40" s="242"/>
      <c r="U40" s="242"/>
      <c r="V40" s="242"/>
      <c r="W40" s="242"/>
      <c r="X40" s="242"/>
      <c r="Y40" s="242"/>
      <c r="Z40" s="242"/>
      <c r="AA40" s="242"/>
    </row>
    <row r="41">
      <c r="A41" s="242"/>
      <c r="B41" s="242"/>
      <c r="C41" s="13"/>
      <c r="D41" s="242"/>
      <c r="E41" s="242"/>
      <c r="F41" s="242"/>
      <c r="G41" s="242"/>
      <c r="H41" s="13"/>
      <c r="I41" s="13"/>
      <c r="J41" s="13"/>
      <c r="K41" s="13"/>
      <c r="L41" s="242"/>
      <c r="M41" s="242"/>
      <c r="N41" s="242"/>
      <c r="O41" s="242"/>
      <c r="P41" s="242"/>
      <c r="Q41" s="242"/>
      <c r="R41" s="242"/>
      <c r="S41" s="242"/>
      <c r="T41" s="242"/>
      <c r="U41" s="242"/>
      <c r="V41" s="242"/>
      <c r="W41" s="242"/>
      <c r="X41" s="242"/>
      <c r="Y41" s="242"/>
      <c r="Z41" s="242"/>
      <c r="AA41" s="242"/>
    </row>
    <row r="42">
      <c r="A42" s="242"/>
      <c r="B42" s="242"/>
      <c r="C42" s="13"/>
      <c r="D42" s="242"/>
      <c r="E42" s="242"/>
      <c r="F42" s="242"/>
      <c r="G42" s="242"/>
      <c r="H42" s="13"/>
      <c r="I42" s="13"/>
      <c r="J42" s="13"/>
      <c r="K42" s="13"/>
      <c r="L42" s="242"/>
      <c r="M42" s="242"/>
      <c r="N42" s="242"/>
      <c r="O42" s="242"/>
      <c r="P42" s="242"/>
      <c r="Q42" s="242"/>
      <c r="R42" s="242"/>
      <c r="S42" s="242"/>
      <c r="T42" s="242"/>
      <c r="U42" s="242"/>
      <c r="V42" s="242"/>
      <c r="W42" s="242"/>
      <c r="X42" s="242"/>
      <c r="Y42" s="242"/>
      <c r="Z42" s="242"/>
      <c r="AA42" s="242"/>
    </row>
    <row r="43">
      <c r="A43" s="242"/>
      <c r="B43" s="242"/>
      <c r="C43" s="13"/>
      <c r="D43" s="242"/>
      <c r="E43" s="242"/>
      <c r="F43" s="242"/>
      <c r="G43" s="242"/>
      <c r="H43" s="13"/>
      <c r="I43" s="13"/>
      <c r="J43" s="13"/>
      <c r="K43" s="13"/>
      <c r="L43" s="242"/>
      <c r="M43" s="242"/>
      <c r="N43" s="242"/>
      <c r="O43" s="242"/>
      <c r="P43" s="242"/>
      <c r="Q43" s="242"/>
      <c r="R43" s="242"/>
      <c r="S43" s="242"/>
      <c r="T43" s="242"/>
      <c r="U43" s="242"/>
      <c r="V43" s="242"/>
      <c r="W43" s="242"/>
      <c r="X43" s="242"/>
      <c r="Y43" s="242"/>
      <c r="Z43" s="242"/>
      <c r="AA43" s="242"/>
    </row>
    <row r="44">
      <c r="A44" s="242"/>
      <c r="B44" s="242"/>
      <c r="C44" s="13"/>
      <c r="D44" s="242"/>
      <c r="E44" s="242"/>
      <c r="F44" s="242"/>
      <c r="G44" s="242"/>
      <c r="H44" s="13"/>
      <c r="I44" s="13"/>
      <c r="J44" s="13"/>
      <c r="K44" s="13"/>
      <c r="L44" s="242"/>
      <c r="M44" s="242"/>
      <c r="N44" s="242"/>
      <c r="O44" s="242"/>
      <c r="P44" s="242"/>
      <c r="Q44" s="242"/>
      <c r="R44" s="242"/>
      <c r="S44" s="242"/>
      <c r="T44" s="242"/>
      <c r="U44" s="242"/>
      <c r="V44" s="242"/>
      <c r="W44" s="242"/>
      <c r="X44" s="242"/>
      <c r="Y44" s="242"/>
      <c r="Z44" s="242"/>
      <c r="AA44" s="242"/>
    </row>
    <row r="45">
      <c r="A45" s="242"/>
      <c r="B45" s="242"/>
      <c r="C45" s="13"/>
      <c r="D45" s="242"/>
      <c r="E45" s="242"/>
      <c r="F45" s="242"/>
      <c r="G45" s="242"/>
      <c r="H45" s="13"/>
      <c r="I45" s="13"/>
      <c r="J45" s="13"/>
      <c r="K45" s="13"/>
      <c r="L45" s="242"/>
      <c r="M45" s="242"/>
      <c r="N45" s="242"/>
      <c r="O45" s="242"/>
      <c r="P45" s="242"/>
      <c r="Q45" s="242"/>
      <c r="R45" s="242"/>
      <c r="S45" s="242"/>
      <c r="T45" s="242"/>
      <c r="U45" s="242"/>
      <c r="V45" s="242"/>
      <c r="W45" s="242"/>
      <c r="X45" s="242"/>
      <c r="Y45" s="242"/>
      <c r="Z45" s="242"/>
      <c r="AA45" s="242"/>
    </row>
    <row r="46">
      <c r="A46" s="242"/>
      <c r="B46" s="242"/>
      <c r="C46" s="13"/>
      <c r="D46" s="242"/>
      <c r="E46" s="242"/>
      <c r="F46" s="242"/>
      <c r="G46" s="242"/>
      <c r="H46" s="13"/>
      <c r="I46" s="13"/>
      <c r="J46" s="13"/>
      <c r="K46" s="13"/>
      <c r="L46" s="242"/>
      <c r="M46" s="242"/>
      <c r="N46" s="242"/>
      <c r="O46" s="242"/>
      <c r="P46" s="242"/>
      <c r="Q46" s="242"/>
      <c r="R46" s="242"/>
      <c r="S46" s="242"/>
      <c r="T46" s="242"/>
      <c r="U46" s="242"/>
      <c r="V46" s="242"/>
      <c r="W46" s="242"/>
      <c r="X46" s="242"/>
      <c r="Y46" s="242"/>
      <c r="Z46" s="242"/>
      <c r="AA46" s="242"/>
    </row>
    <row r="47">
      <c r="A47" s="242"/>
      <c r="B47" s="242"/>
      <c r="C47" s="13"/>
      <c r="D47" s="242"/>
      <c r="E47" s="242"/>
      <c r="F47" s="242"/>
      <c r="G47" s="242"/>
      <c r="H47" s="13"/>
      <c r="I47" s="13"/>
      <c r="J47" s="13"/>
      <c r="K47" s="13"/>
      <c r="L47" s="242"/>
      <c r="M47" s="242"/>
      <c r="N47" s="242"/>
      <c r="O47" s="242"/>
      <c r="P47" s="242"/>
      <c r="Q47" s="242"/>
      <c r="R47" s="242"/>
      <c r="S47" s="242"/>
      <c r="T47" s="242"/>
      <c r="U47" s="242"/>
      <c r="V47" s="242"/>
      <c r="W47" s="242"/>
      <c r="X47" s="242"/>
      <c r="Y47" s="242"/>
      <c r="Z47" s="242"/>
      <c r="AA47" s="242"/>
    </row>
    <row r="48">
      <c r="A48" s="242"/>
      <c r="B48" s="242"/>
      <c r="C48" s="13"/>
      <c r="D48" s="242"/>
      <c r="E48" s="242"/>
      <c r="F48" s="242"/>
      <c r="G48" s="242"/>
      <c r="H48" s="13"/>
      <c r="I48" s="13"/>
      <c r="J48" s="13"/>
      <c r="K48" s="13"/>
      <c r="L48" s="242"/>
      <c r="M48" s="242"/>
      <c r="N48" s="242"/>
      <c r="O48" s="242"/>
      <c r="P48" s="242"/>
      <c r="Q48" s="242"/>
      <c r="R48" s="242"/>
      <c r="S48" s="242"/>
      <c r="T48" s="242"/>
      <c r="U48" s="242"/>
      <c r="V48" s="242"/>
      <c r="W48" s="242"/>
      <c r="X48" s="242"/>
      <c r="Y48" s="242"/>
      <c r="Z48" s="242"/>
      <c r="AA48" s="242"/>
    </row>
    <row r="49">
      <c r="A49" s="242"/>
      <c r="B49" s="242"/>
      <c r="C49" s="13"/>
      <c r="D49" s="242"/>
      <c r="E49" s="242"/>
      <c r="F49" s="242"/>
      <c r="G49" s="242"/>
      <c r="H49" s="13"/>
      <c r="I49" s="13"/>
      <c r="J49" s="13"/>
      <c r="K49" s="13"/>
      <c r="L49" s="242"/>
      <c r="M49" s="242"/>
      <c r="N49" s="242"/>
      <c r="O49" s="242"/>
      <c r="P49" s="242"/>
      <c r="Q49" s="242"/>
      <c r="R49" s="242"/>
      <c r="S49" s="242"/>
      <c r="T49" s="242"/>
      <c r="U49" s="242"/>
      <c r="V49" s="242"/>
      <c r="W49" s="242"/>
      <c r="X49" s="242"/>
      <c r="Y49" s="242"/>
      <c r="Z49" s="242"/>
      <c r="AA49" s="242"/>
    </row>
    <row r="50">
      <c r="A50" s="242"/>
      <c r="B50" s="242"/>
      <c r="C50" s="13"/>
      <c r="D50" s="242"/>
      <c r="E50" s="242"/>
      <c r="F50" s="242"/>
      <c r="G50" s="242"/>
      <c r="H50" s="13"/>
      <c r="I50" s="13"/>
      <c r="J50" s="13"/>
      <c r="K50" s="13"/>
      <c r="L50" s="242"/>
      <c r="M50" s="242"/>
      <c r="N50" s="242"/>
      <c r="O50" s="242"/>
      <c r="P50" s="242"/>
      <c r="Q50" s="242"/>
      <c r="R50" s="242"/>
      <c r="S50" s="242"/>
      <c r="T50" s="242"/>
      <c r="U50" s="242"/>
      <c r="V50" s="242"/>
      <c r="W50" s="242"/>
      <c r="X50" s="242"/>
      <c r="Y50" s="242"/>
      <c r="Z50" s="242"/>
      <c r="AA50" s="242"/>
    </row>
    <row r="51">
      <c r="A51" s="242"/>
      <c r="B51" s="242"/>
      <c r="C51" s="13"/>
      <c r="D51" s="242"/>
      <c r="E51" s="242"/>
      <c r="F51" s="242"/>
      <c r="G51" s="242"/>
      <c r="H51" s="13"/>
      <c r="I51" s="13"/>
      <c r="J51" s="13"/>
      <c r="K51" s="13"/>
      <c r="L51" s="242"/>
      <c r="M51" s="242"/>
      <c r="N51" s="242"/>
      <c r="O51" s="242"/>
      <c r="P51" s="242"/>
      <c r="Q51" s="242"/>
      <c r="R51" s="242"/>
      <c r="S51" s="242"/>
      <c r="T51" s="242"/>
      <c r="U51" s="242"/>
      <c r="V51" s="242"/>
      <c r="W51" s="242"/>
      <c r="X51" s="242"/>
      <c r="Y51" s="242"/>
      <c r="Z51" s="242"/>
      <c r="AA51" s="242"/>
    </row>
    <row r="52">
      <c r="A52" s="242"/>
      <c r="B52" s="242"/>
      <c r="C52" s="13"/>
      <c r="D52" s="242"/>
      <c r="E52" s="242"/>
      <c r="F52" s="242"/>
      <c r="G52" s="242"/>
      <c r="H52" s="13"/>
      <c r="I52" s="13"/>
      <c r="J52" s="13"/>
      <c r="K52" s="13"/>
      <c r="L52" s="242"/>
      <c r="M52" s="242"/>
      <c r="N52" s="242"/>
      <c r="O52" s="242"/>
      <c r="P52" s="242"/>
      <c r="Q52" s="242"/>
      <c r="R52" s="242"/>
      <c r="S52" s="242"/>
      <c r="T52" s="242"/>
      <c r="U52" s="242"/>
      <c r="V52" s="242"/>
      <c r="W52" s="242"/>
      <c r="X52" s="242"/>
      <c r="Y52" s="242"/>
      <c r="Z52" s="242"/>
      <c r="AA52" s="242"/>
    </row>
    <row r="53">
      <c r="A53" s="242"/>
      <c r="B53" s="242"/>
      <c r="C53" s="13"/>
      <c r="D53" s="242"/>
      <c r="E53" s="242"/>
      <c r="F53" s="242"/>
      <c r="G53" s="242"/>
      <c r="H53" s="13"/>
      <c r="I53" s="13"/>
      <c r="J53" s="13"/>
      <c r="K53" s="13"/>
      <c r="L53" s="242"/>
      <c r="M53" s="242"/>
      <c r="N53" s="242"/>
      <c r="O53" s="242"/>
      <c r="P53" s="242"/>
      <c r="Q53" s="242"/>
      <c r="R53" s="242"/>
      <c r="S53" s="242"/>
      <c r="T53" s="242"/>
      <c r="U53" s="242"/>
      <c r="V53" s="242"/>
      <c r="W53" s="242"/>
      <c r="X53" s="242"/>
      <c r="Y53" s="242"/>
      <c r="Z53" s="242"/>
      <c r="AA53" s="242"/>
    </row>
    <row r="54">
      <c r="A54" s="242"/>
      <c r="B54" s="242"/>
      <c r="C54" s="13"/>
      <c r="D54" s="242"/>
      <c r="E54" s="242"/>
      <c r="F54" s="242"/>
      <c r="G54" s="242"/>
      <c r="H54" s="13"/>
      <c r="I54" s="13"/>
      <c r="J54" s="13"/>
      <c r="K54" s="13"/>
      <c r="L54" s="242"/>
      <c r="M54" s="242"/>
      <c r="N54" s="242"/>
      <c r="O54" s="242"/>
      <c r="P54" s="242"/>
      <c r="Q54" s="242"/>
      <c r="R54" s="242"/>
      <c r="S54" s="242"/>
      <c r="T54" s="242"/>
      <c r="U54" s="242"/>
      <c r="V54" s="242"/>
      <c r="W54" s="242"/>
      <c r="X54" s="242"/>
      <c r="Y54" s="242"/>
      <c r="Z54" s="242"/>
      <c r="AA54" s="242"/>
    </row>
    <row r="55">
      <c r="A55" s="242"/>
      <c r="B55" s="242"/>
      <c r="C55" s="13"/>
      <c r="D55" s="242"/>
      <c r="E55" s="242"/>
      <c r="F55" s="242"/>
      <c r="G55" s="242"/>
      <c r="H55" s="13"/>
      <c r="I55" s="13"/>
      <c r="J55" s="13"/>
      <c r="K55" s="13"/>
      <c r="L55" s="242"/>
      <c r="M55" s="242"/>
      <c r="N55" s="242"/>
      <c r="O55" s="242"/>
      <c r="P55" s="242"/>
      <c r="Q55" s="242"/>
      <c r="R55" s="242"/>
      <c r="S55" s="242"/>
      <c r="T55" s="242"/>
      <c r="U55" s="242"/>
      <c r="V55" s="242"/>
      <c r="W55" s="242"/>
      <c r="X55" s="242"/>
      <c r="Y55" s="242"/>
      <c r="Z55" s="242"/>
      <c r="AA55" s="242"/>
    </row>
    <row r="56">
      <c r="A56" s="242"/>
      <c r="B56" s="242"/>
      <c r="C56" s="13"/>
      <c r="D56" s="242"/>
      <c r="E56" s="242"/>
      <c r="F56" s="242"/>
      <c r="G56" s="242"/>
      <c r="H56" s="13"/>
      <c r="I56" s="13"/>
      <c r="J56" s="13"/>
      <c r="K56" s="13"/>
      <c r="L56" s="242"/>
      <c r="M56" s="242"/>
      <c r="N56" s="242"/>
      <c r="O56" s="242"/>
      <c r="P56" s="242"/>
      <c r="Q56" s="242"/>
      <c r="R56" s="242"/>
      <c r="S56" s="242"/>
      <c r="T56" s="242"/>
      <c r="U56" s="242"/>
      <c r="V56" s="242"/>
      <c r="W56" s="242"/>
      <c r="X56" s="242"/>
      <c r="Y56" s="242"/>
      <c r="Z56" s="242"/>
      <c r="AA56" s="242"/>
    </row>
    <row r="57">
      <c r="A57" s="242"/>
      <c r="B57" s="242"/>
      <c r="C57" s="13"/>
      <c r="D57" s="242"/>
      <c r="E57" s="242"/>
      <c r="F57" s="242"/>
      <c r="G57" s="242"/>
      <c r="H57" s="13"/>
      <c r="I57" s="13"/>
      <c r="J57" s="13"/>
      <c r="K57" s="13"/>
      <c r="L57" s="242"/>
      <c r="M57" s="242"/>
      <c r="N57" s="242"/>
      <c r="O57" s="242"/>
      <c r="P57" s="242"/>
      <c r="Q57" s="242"/>
      <c r="R57" s="242"/>
      <c r="S57" s="242"/>
      <c r="T57" s="242"/>
      <c r="U57" s="242"/>
      <c r="V57" s="242"/>
      <c r="W57" s="242"/>
      <c r="X57" s="242"/>
      <c r="Y57" s="242"/>
      <c r="Z57" s="242"/>
      <c r="AA57" s="242"/>
    </row>
    <row r="58">
      <c r="A58" s="242"/>
      <c r="B58" s="242"/>
      <c r="C58" s="13"/>
      <c r="D58" s="242"/>
      <c r="E58" s="242"/>
      <c r="F58" s="242"/>
      <c r="G58" s="242"/>
      <c r="H58" s="13"/>
      <c r="I58" s="13"/>
      <c r="J58" s="13"/>
      <c r="K58" s="13"/>
      <c r="L58" s="242"/>
      <c r="M58" s="242"/>
      <c r="N58" s="242"/>
      <c r="O58" s="242"/>
      <c r="P58" s="242"/>
      <c r="Q58" s="242"/>
      <c r="R58" s="242"/>
      <c r="S58" s="242"/>
      <c r="T58" s="242"/>
      <c r="U58" s="242"/>
      <c r="V58" s="242"/>
      <c r="W58" s="242"/>
      <c r="X58" s="242"/>
      <c r="Y58" s="242"/>
      <c r="Z58" s="242"/>
      <c r="AA58" s="242"/>
    </row>
    <row r="59">
      <c r="A59" s="242"/>
      <c r="B59" s="242"/>
      <c r="C59" s="13"/>
      <c r="D59" s="242"/>
      <c r="E59" s="242"/>
      <c r="F59" s="242"/>
      <c r="G59" s="242"/>
      <c r="H59" s="13"/>
      <c r="I59" s="13"/>
      <c r="J59" s="13"/>
      <c r="K59" s="13"/>
      <c r="L59" s="242"/>
      <c r="M59" s="242"/>
      <c r="N59" s="242"/>
      <c r="O59" s="242"/>
      <c r="P59" s="242"/>
      <c r="Q59" s="242"/>
      <c r="R59" s="242"/>
      <c r="S59" s="242"/>
      <c r="T59" s="242"/>
      <c r="U59" s="242"/>
      <c r="V59" s="242"/>
      <c r="W59" s="242"/>
      <c r="X59" s="242"/>
      <c r="Y59" s="242"/>
      <c r="Z59" s="242"/>
      <c r="AA59" s="242"/>
    </row>
    <row r="60">
      <c r="A60" s="242"/>
      <c r="B60" s="242"/>
      <c r="C60" s="13"/>
      <c r="D60" s="242"/>
      <c r="E60" s="242"/>
      <c r="F60" s="242"/>
      <c r="G60" s="242"/>
      <c r="H60" s="13"/>
      <c r="I60" s="13"/>
      <c r="J60" s="13"/>
      <c r="K60" s="13"/>
      <c r="L60" s="242"/>
      <c r="M60" s="242"/>
      <c r="N60" s="242"/>
      <c r="O60" s="242"/>
      <c r="P60" s="242"/>
      <c r="Q60" s="242"/>
      <c r="R60" s="242"/>
      <c r="S60" s="242"/>
      <c r="T60" s="242"/>
      <c r="U60" s="242"/>
      <c r="V60" s="242"/>
      <c r="W60" s="242"/>
      <c r="X60" s="242"/>
      <c r="Y60" s="242"/>
      <c r="Z60" s="242"/>
      <c r="AA60" s="242"/>
    </row>
    <row r="61">
      <c r="A61" s="242"/>
      <c r="B61" s="242"/>
      <c r="C61" s="13"/>
      <c r="D61" s="242"/>
      <c r="E61" s="242"/>
      <c r="F61" s="242"/>
      <c r="G61" s="242"/>
      <c r="H61" s="13"/>
      <c r="I61" s="13"/>
      <c r="J61" s="13"/>
      <c r="K61" s="13"/>
      <c r="L61" s="242"/>
      <c r="M61" s="242"/>
      <c r="N61" s="242"/>
      <c r="O61" s="242"/>
      <c r="P61" s="242"/>
      <c r="Q61" s="242"/>
      <c r="R61" s="242"/>
      <c r="S61" s="242"/>
      <c r="T61" s="242"/>
      <c r="U61" s="242"/>
      <c r="V61" s="242"/>
      <c r="W61" s="242"/>
      <c r="X61" s="242"/>
      <c r="Y61" s="242"/>
      <c r="Z61" s="242"/>
      <c r="AA61" s="242"/>
    </row>
    <row r="62">
      <c r="A62" s="242"/>
      <c r="B62" s="242"/>
      <c r="C62" s="13"/>
      <c r="D62" s="242"/>
      <c r="E62" s="242"/>
      <c r="F62" s="242"/>
      <c r="G62" s="242"/>
      <c r="H62" s="13"/>
      <c r="I62" s="13"/>
      <c r="J62" s="13"/>
      <c r="K62" s="13"/>
      <c r="L62" s="242"/>
      <c r="M62" s="242"/>
      <c r="N62" s="242"/>
      <c r="O62" s="242"/>
      <c r="P62" s="242"/>
      <c r="Q62" s="242"/>
      <c r="R62" s="242"/>
      <c r="S62" s="242"/>
      <c r="T62" s="242"/>
      <c r="U62" s="242"/>
      <c r="V62" s="242"/>
      <c r="W62" s="242"/>
      <c r="X62" s="242"/>
      <c r="Y62" s="242"/>
      <c r="Z62" s="242"/>
      <c r="AA62" s="242"/>
    </row>
    <row r="63">
      <c r="A63" s="242"/>
      <c r="B63" s="242"/>
      <c r="C63" s="13"/>
      <c r="D63" s="242"/>
      <c r="E63" s="242"/>
      <c r="F63" s="242"/>
      <c r="G63" s="242"/>
      <c r="H63" s="13"/>
      <c r="I63" s="13"/>
      <c r="J63" s="13"/>
      <c r="K63" s="13"/>
      <c r="L63" s="242"/>
      <c r="M63" s="242"/>
      <c r="N63" s="242"/>
      <c r="O63" s="242"/>
      <c r="P63" s="242"/>
      <c r="Q63" s="242"/>
      <c r="R63" s="242"/>
      <c r="S63" s="242"/>
      <c r="T63" s="242"/>
      <c r="U63" s="242"/>
      <c r="V63" s="242"/>
      <c r="W63" s="242"/>
      <c r="X63" s="242"/>
      <c r="Y63" s="242"/>
      <c r="Z63" s="242"/>
      <c r="AA63" s="242"/>
    </row>
    <row r="64">
      <c r="A64" s="242"/>
      <c r="B64" s="242"/>
      <c r="C64" s="13"/>
      <c r="D64" s="242"/>
      <c r="E64" s="242"/>
      <c r="F64" s="242"/>
      <c r="G64" s="242"/>
      <c r="H64" s="13"/>
      <c r="I64" s="13"/>
      <c r="J64" s="13"/>
      <c r="K64" s="13"/>
      <c r="L64" s="242"/>
      <c r="M64" s="242"/>
      <c r="N64" s="242"/>
      <c r="O64" s="242"/>
      <c r="P64" s="242"/>
      <c r="Q64" s="242"/>
      <c r="R64" s="242"/>
      <c r="S64" s="242"/>
      <c r="T64" s="242"/>
      <c r="U64" s="242"/>
      <c r="V64" s="242"/>
      <c r="W64" s="242"/>
      <c r="X64" s="242"/>
      <c r="Y64" s="242"/>
      <c r="Z64" s="242"/>
      <c r="AA64" s="242"/>
    </row>
    <row r="65">
      <c r="A65" s="242"/>
      <c r="B65" s="242"/>
      <c r="C65" s="13"/>
      <c r="D65" s="242"/>
      <c r="E65" s="242"/>
      <c r="F65" s="242"/>
      <c r="G65" s="242"/>
      <c r="H65" s="13"/>
      <c r="I65" s="13"/>
      <c r="J65" s="13"/>
      <c r="K65" s="13"/>
      <c r="L65" s="242"/>
      <c r="M65" s="242"/>
      <c r="N65" s="242"/>
      <c r="O65" s="242"/>
      <c r="P65" s="242"/>
      <c r="Q65" s="242"/>
      <c r="R65" s="242"/>
      <c r="S65" s="242"/>
      <c r="T65" s="242"/>
      <c r="U65" s="242"/>
      <c r="V65" s="242"/>
      <c r="W65" s="242"/>
      <c r="X65" s="242"/>
      <c r="Y65" s="242"/>
      <c r="Z65" s="242"/>
      <c r="AA65" s="242"/>
    </row>
    <row r="66">
      <c r="A66" s="242"/>
      <c r="B66" s="242"/>
      <c r="C66" s="13"/>
      <c r="D66" s="242"/>
      <c r="E66" s="242"/>
      <c r="F66" s="242"/>
      <c r="G66" s="242"/>
      <c r="H66" s="13"/>
      <c r="I66" s="13"/>
      <c r="J66" s="13"/>
      <c r="K66" s="13"/>
      <c r="L66" s="242"/>
      <c r="M66" s="242"/>
      <c r="N66" s="242"/>
      <c r="O66" s="242"/>
      <c r="P66" s="242"/>
      <c r="Q66" s="242"/>
      <c r="R66" s="242"/>
      <c r="S66" s="242"/>
      <c r="T66" s="242"/>
      <c r="U66" s="242"/>
      <c r="V66" s="242"/>
      <c r="W66" s="242"/>
      <c r="X66" s="242"/>
      <c r="Y66" s="242"/>
      <c r="Z66" s="242"/>
      <c r="AA66" s="242"/>
    </row>
    <row r="67">
      <c r="A67" s="242"/>
      <c r="B67" s="242"/>
      <c r="C67" s="13"/>
      <c r="D67" s="242"/>
      <c r="E67" s="242"/>
      <c r="F67" s="242"/>
      <c r="G67" s="242"/>
      <c r="H67" s="13"/>
      <c r="I67" s="13"/>
      <c r="J67" s="13"/>
      <c r="K67" s="13"/>
      <c r="L67" s="242"/>
      <c r="M67" s="242"/>
      <c r="N67" s="242"/>
      <c r="O67" s="242"/>
      <c r="P67" s="242"/>
      <c r="Q67" s="242"/>
      <c r="R67" s="242"/>
      <c r="S67" s="242"/>
      <c r="T67" s="242"/>
      <c r="U67" s="242"/>
      <c r="V67" s="242"/>
      <c r="W67" s="242"/>
      <c r="X67" s="242"/>
      <c r="Y67" s="242"/>
      <c r="Z67" s="242"/>
      <c r="AA67" s="242"/>
    </row>
    <row r="68">
      <c r="A68" s="242"/>
      <c r="B68" s="242"/>
      <c r="C68" s="13"/>
      <c r="D68" s="242"/>
      <c r="E68" s="242"/>
      <c r="F68" s="242"/>
      <c r="G68" s="242"/>
      <c r="H68" s="13"/>
      <c r="I68" s="13"/>
      <c r="J68" s="13"/>
      <c r="K68" s="13"/>
      <c r="L68" s="242"/>
      <c r="M68" s="242"/>
      <c r="N68" s="242"/>
      <c r="O68" s="242"/>
      <c r="P68" s="242"/>
      <c r="Q68" s="242"/>
      <c r="R68" s="242"/>
      <c r="S68" s="242"/>
      <c r="T68" s="242"/>
      <c r="U68" s="242"/>
      <c r="V68" s="242"/>
      <c r="W68" s="242"/>
      <c r="X68" s="242"/>
      <c r="Y68" s="242"/>
      <c r="Z68" s="242"/>
      <c r="AA68" s="242"/>
    </row>
    <row r="69">
      <c r="A69" s="242"/>
      <c r="B69" s="242"/>
      <c r="C69" s="13"/>
      <c r="D69" s="242"/>
      <c r="E69" s="242"/>
      <c r="F69" s="242"/>
      <c r="G69" s="242"/>
      <c r="H69" s="13"/>
      <c r="I69" s="13"/>
      <c r="J69" s="13"/>
      <c r="K69" s="13"/>
      <c r="L69" s="242"/>
      <c r="M69" s="242"/>
      <c r="N69" s="242"/>
      <c r="O69" s="242"/>
      <c r="P69" s="242"/>
      <c r="Q69" s="242"/>
      <c r="R69" s="242"/>
      <c r="S69" s="242"/>
      <c r="T69" s="242"/>
      <c r="U69" s="242"/>
      <c r="V69" s="242"/>
      <c r="W69" s="242"/>
      <c r="X69" s="242"/>
      <c r="Y69" s="242"/>
      <c r="Z69" s="242"/>
      <c r="AA69" s="242"/>
    </row>
    <row r="70">
      <c r="A70" s="242"/>
      <c r="B70" s="242"/>
      <c r="C70" s="13"/>
      <c r="D70" s="242"/>
      <c r="E70" s="242"/>
      <c r="F70" s="242"/>
      <c r="G70" s="242"/>
      <c r="H70" s="13"/>
      <c r="I70" s="13"/>
      <c r="J70" s="13"/>
      <c r="K70" s="13"/>
      <c r="L70" s="242"/>
      <c r="M70" s="242"/>
      <c r="N70" s="242"/>
      <c r="O70" s="242"/>
      <c r="P70" s="242"/>
      <c r="Q70" s="242"/>
      <c r="R70" s="242"/>
      <c r="S70" s="242"/>
      <c r="T70" s="242"/>
      <c r="U70" s="242"/>
      <c r="V70" s="242"/>
      <c r="W70" s="242"/>
      <c r="X70" s="242"/>
      <c r="Y70" s="242"/>
      <c r="Z70" s="242"/>
      <c r="AA70" s="242"/>
    </row>
    <row r="71">
      <c r="A71" s="242"/>
      <c r="B71" s="242"/>
      <c r="C71" s="13"/>
      <c r="D71" s="242"/>
      <c r="E71" s="242"/>
      <c r="F71" s="242"/>
      <c r="G71" s="242"/>
      <c r="H71" s="13"/>
      <c r="I71" s="13"/>
      <c r="J71" s="13"/>
      <c r="K71" s="13"/>
      <c r="L71" s="242"/>
      <c r="M71" s="242"/>
      <c r="N71" s="242"/>
      <c r="O71" s="242"/>
      <c r="P71" s="242"/>
      <c r="Q71" s="242"/>
      <c r="R71" s="242"/>
      <c r="S71" s="242"/>
      <c r="T71" s="242"/>
      <c r="U71" s="242"/>
      <c r="V71" s="242"/>
      <c r="W71" s="242"/>
      <c r="X71" s="242"/>
      <c r="Y71" s="242"/>
      <c r="Z71" s="242"/>
      <c r="AA71" s="242"/>
    </row>
    <row r="72">
      <c r="A72" s="242"/>
      <c r="B72" s="242"/>
      <c r="C72" s="13"/>
      <c r="D72" s="242"/>
      <c r="E72" s="242"/>
      <c r="F72" s="242"/>
      <c r="G72" s="242"/>
      <c r="H72" s="13"/>
      <c r="I72" s="13"/>
      <c r="J72" s="13"/>
      <c r="K72" s="13"/>
      <c r="L72" s="242"/>
      <c r="M72" s="242"/>
      <c r="N72" s="242"/>
      <c r="O72" s="242"/>
      <c r="P72" s="242"/>
      <c r="Q72" s="242"/>
      <c r="R72" s="242"/>
      <c r="S72" s="242"/>
      <c r="T72" s="242"/>
      <c r="U72" s="242"/>
      <c r="V72" s="242"/>
      <c r="W72" s="242"/>
      <c r="X72" s="242"/>
      <c r="Y72" s="242"/>
      <c r="Z72" s="242"/>
      <c r="AA72" s="242"/>
    </row>
    <row r="73">
      <c r="A73" s="242"/>
      <c r="B73" s="242"/>
      <c r="C73" s="13"/>
      <c r="D73" s="242"/>
      <c r="E73" s="242"/>
      <c r="F73" s="242"/>
      <c r="G73" s="242"/>
      <c r="H73" s="13"/>
      <c r="I73" s="13"/>
      <c r="J73" s="13"/>
      <c r="K73" s="13"/>
      <c r="L73" s="242"/>
      <c r="M73" s="242"/>
      <c r="N73" s="242"/>
      <c r="O73" s="242"/>
      <c r="P73" s="242"/>
      <c r="Q73" s="242"/>
      <c r="R73" s="242"/>
      <c r="S73" s="242"/>
      <c r="T73" s="242"/>
      <c r="U73" s="242"/>
      <c r="V73" s="242"/>
      <c r="W73" s="242"/>
      <c r="X73" s="242"/>
      <c r="Y73" s="242"/>
      <c r="Z73" s="242"/>
      <c r="AA73" s="242"/>
    </row>
    <row r="74">
      <c r="A74" s="242"/>
      <c r="B74" s="242"/>
      <c r="C74" s="13"/>
      <c r="D74" s="242"/>
      <c r="E74" s="242"/>
      <c r="F74" s="242"/>
      <c r="G74" s="242"/>
      <c r="H74" s="13"/>
      <c r="I74" s="13"/>
      <c r="J74" s="13"/>
      <c r="K74" s="13"/>
      <c r="L74" s="242"/>
      <c r="M74" s="242"/>
      <c r="N74" s="242"/>
      <c r="O74" s="242"/>
      <c r="P74" s="242"/>
      <c r="Q74" s="242"/>
      <c r="R74" s="242"/>
      <c r="S74" s="242"/>
      <c r="T74" s="242"/>
      <c r="U74" s="242"/>
      <c r="V74" s="242"/>
      <c r="W74" s="242"/>
      <c r="X74" s="242"/>
      <c r="Y74" s="242"/>
      <c r="Z74" s="242"/>
      <c r="AA74" s="242"/>
    </row>
    <row r="75">
      <c r="A75" s="242"/>
      <c r="B75" s="242"/>
      <c r="C75" s="13"/>
      <c r="D75" s="242"/>
      <c r="E75" s="242"/>
      <c r="F75" s="242"/>
      <c r="G75" s="242"/>
      <c r="H75" s="13"/>
      <c r="I75" s="13"/>
      <c r="J75" s="13"/>
      <c r="K75" s="13"/>
      <c r="L75" s="242"/>
      <c r="M75" s="242"/>
      <c r="N75" s="242"/>
      <c r="O75" s="242"/>
      <c r="P75" s="242"/>
      <c r="Q75" s="242"/>
      <c r="R75" s="242"/>
      <c r="S75" s="242"/>
      <c r="T75" s="242"/>
      <c r="U75" s="242"/>
      <c r="V75" s="242"/>
      <c r="W75" s="242"/>
      <c r="X75" s="242"/>
      <c r="Y75" s="242"/>
      <c r="Z75" s="242"/>
      <c r="AA75" s="242"/>
    </row>
    <row r="76">
      <c r="A76" s="242"/>
      <c r="B76" s="242"/>
      <c r="C76" s="13"/>
      <c r="D76" s="242"/>
      <c r="E76" s="242"/>
      <c r="F76" s="242"/>
      <c r="G76" s="242"/>
      <c r="H76" s="13"/>
      <c r="I76" s="13"/>
      <c r="J76" s="13"/>
      <c r="K76" s="13"/>
      <c r="L76" s="242"/>
      <c r="M76" s="242"/>
      <c r="N76" s="242"/>
      <c r="O76" s="242"/>
      <c r="P76" s="242"/>
      <c r="Q76" s="242"/>
      <c r="R76" s="242"/>
      <c r="S76" s="242"/>
      <c r="T76" s="242"/>
      <c r="U76" s="242"/>
      <c r="V76" s="242"/>
      <c r="W76" s="242"/>
      <c r="X76" s="242"/>
      <c r="Y76" s="242"/>
      <c r="Z76" s="242"/>
      <c r="AA76" s="242"/>
    </row>
    <row r="77">
      <c r="A77" s="242"/>
      <c r="B77" s="242"/>
      <c r="C77" s="13"/>
      <c r="D77" s="242"/>
      <c r="E77" s="242"/>
      <c r="F77" s="242"/>
      <c r="G77" s="242"/>
      <c r="H77" s="13"/>
      <c r="I77" s="13"/>
      <c r="J77" s="13"/>
      <c r="K77" s="13"/>
      <c r="L77" s="242"/>
      <c r="M77" s="242"/>
      <c r="N77" s="242"/>
      <c r="O77" s="242"/>
      <c r="P77" s="242"/>
      <c r="Q77" s="242"/>
      <c r="R77" s="242"/>
      <c r="S77" s="242"/>
      <c r="T77" s="242"/>
      <c r="U77" s="242"/>
      <c r="V77" s="242"/>
      <c r="W77" s="242"/>
      <c r="X77" s="242"/>
      <c r="Y77" s="242"/>
      <c r="Z77" s="242"/>
      <c r="AA77" s="242"/>
    </row>
    <row r="78">
      <c r="A78" s="242"/>
      <c r="B78" s="242"/>
      <c r="C78" s="13"/>
      <c r="D78" s="242"/>
      <c r="E78" s="242"/>
      <c r="F78" s="242"/>
      <c r="G78" s="242"/>
      <c r="H78" s="13"/>
      <c r="I78" s="13"/>
      <c r="J78" s="13"/>
      <c r="K78" s="13"/>
      <c r="L78" s="242"/>
      <c r="M78" s="242"/>
      <c r="N78" s="242"/>
      <c r="O78" s="242"/>
      <c r="P78" s="242"/>
      <c r="Q78" s="242"/>
      <c r="R78" s="242"/>
      <c r="S78" s="242"/>
      <c r="T78" s="242"/>
      <c r="U78" s="242"/>
      <c r="V78" s="242"/>
      <c r="W78" s="242"/>
      <c r="X78" s="242"/>
      <c r="Y78" s="242"/>
      <c r="Z78" s="242"/>
      <c r="AA78" s="242"/>
    </row>
    <row r="79">
      <c r="A79" s="242"/>
      <c r="B79" s="242"/>
      <c r="C79" s="13"/>
      <c r="D79" s="242"/>
      <c r="E79" s="242"/>
      <c r="F79" s="242"/>
      <c r="G79" s="242"/>
      <c r="H79" s="13"/>
      <c r="I79" s="13"/>
      <c r="J79" s="13"/>
      <c r="K79" s="13"/>
      <c r="L79" s="242"/>
      <c r="M79" s="242"/>
      <c r="N79" s="242"/>
      <c r="O79" s="242"/>
      <c r="P79" s="242"/>
      <c r="Q79" s="242"/>
      <c r="R79" s="242"/>
      <c r="S79" s="242"/>
      <c r="T79" s="242"/>
      <c r="U79" s="242"/>
      <c r="V79" s="242"/>
      <c r="W79" s="242"/>
      <c r="X79" s="242"/>
      <c r="Y79" s="242"/>
      <c r="Z79" s="242"/>
      <c r="AA79" s="242"/>
    </row>
    <row r="80">
      <c r="A80" s="242"/>
      <c r="B80" s="242"/>
      <c r="C80" s="13"/>
      <c r="D80" s="242"/>
      <c r="E80" s="242"/>
      <c r="F80" s="242"/>
      <c r="G80" s="242"/>
      <c r="H80" s="13"/>
      <c r="I80" s="13"/>
      <c r="J80" s="13"/>
      <c r="K80" s="13"/>
      <c r="L80" s="242"/>
      <c r="M80" s="242"/>
      <c r="N80" s="242"/>
      <c r="O80" s="242"/>
      <c r="P80" s="242"/>
      <c r="Q80" s="242"/>
      <c r="R80" s="242"/>
      <c r="S80" s="242"/>
      <c r="T80" s="242"/>
      <c r="U80" s="242"/>
      <c r="V80" s="242"/>
      <c r="W80" s="242"/>
      <c r="X80" s="242"/>
      <c r="Y80" s="242"/>
      <c r="Z80" s="242"/>
      <c r="AA80" s="242"/>
    </row>
    <row r="81">
      <c r="A81" s="242"/>
      <c r="B81" s="242"/>
      <c r="C81" s="13"/>
      <c r="D81" s="242"/>
      <c r="E81" s="242"/>
      <c r="F81" s="242"/>
      <c r="G81" s="242"/>
      <c r="H81" s="13"/>
      <c r="I81" s="13"/>
      <c r="J81" s="13"/>
      <c r="K81" s="13"/>
      <c r="L81" s="242"/>
      <c r="M81" s="242"/>
      <c r="N81" s="242"/>
      <c r="O81" s="242"/>
      <c r="P81" s="242"/>
      <c r="Q81" s="242"/>
      <c r="R81" s="242"/>
      <c r="S81" s="242"/>
      <c r="T81" s="242"/>
      <c r="U81" s="242"/>
      <c r="V81" s="242"/>
      <c r="W81" s="242"/>
      <c r="X81" s="242"/>
      <c r="Y81" s="242"/>
      <c r="Z81" s="242"/>
      <c r="AA81" s="242"/>
    </row>
    <row r="82">
      <c r="A82" s="242"/>
      <c r="B82" s="242"/>
      <c r="C82" s="13"/>
      <c r="D82" s="242"/>
      <c r="E82" s="242"/>
      <c r="F82" s="242"/>
      <c r="G82" s="242"/>
      <c r="H82" s="13"/>
      <c r="I82" s="13"/>
      <c r="J82" s="13"/>
      <c r="K82" s="13"/>
      <c r="L82" s="242"/>
      <c r="M82" s="242"/>
      <c r="N82" s="242"/>
      <c r="O82" s="242"/>
      <c r="P82" s="242"/>
      <c r="Q82" s="242"/>
      <c r="R82" s="242"/>
      <c r="S82" s="242"/>
      <c r="T82" s="242"/>
      <c r="U82" s="242"/>
      <c r="V82" s="242"/>
      <c r="W82" s="242"/>
      <c r="X82" s="242"/>
      <c r="Y82" s="242"/>
      <c r="Z82" s="242"/>
      <c r="AA82" s="242"/>
    </row>
    <row r="83">
      <c r="A83" s="242"/>
      <c r="B83" s="242"/>
      <c r="C83" s="13"/>
      <c r="D83" s="242"/>
      <c r="E83" s="242"/>
      <c r="F83" s="242"/>
      <c r="G83" s="242"/>
      <c r="H83" s="13"/>
      <c r="I83" s="13"/>
      <c r="J83" s="13"/>
      <c r="K83" s="13"/>
      <c r="L83" s="242"/>
      <c r="M83" s="242"/>
      <c r="N83" s="242"/>
      <c r="O83" s="242"/>
      <c r="P83" s="242"/>
      <c r="Q83" s="242"/>
      <c r="R83" s="242"/>
      <c r="S83" s="242"/>
      <c r="T83" s="242"/>
      <c r="U83" s="242"/>
      <c r="V83" s="242"/>
      <c r="W83" s="242"/>
      <c r="X83" s="242"/>
      <c r="Y83" s="242"/>
      <c r="Z83" s="242"/>
      <c r="AA83" s="242"/>
    </row>
    <row r="84">
      <c r="A84" s="242"/>
      <c r="B84" s="242"/>
      <c r="C84" s="13"/>
      <c r="D84" s="242"/>
      <c r="E84" s="242"/>
      <c r="F84" s="242"/>
      <c r="G84" s="242"/>
      <c r="H84" s="13"/>
      <c r="I84" s="13"/>
      <c r="J84" s="13"/>
      <c r="K84" s="13"/>
      <c r="L84" s="242"/>
      <c r="M84" s="242"/>
      <c r="N84" s="242"/>
      <c r="O84" s="242"/>
      <c r="P84" s="242"/>
      <c r="Q84" s="242"/>
      <c r="R84" s="242"/>
      <c r="S84" s="242"/>
      <c r="T84" s="242"/>
      <c r="U84" s="242"/>
      <c r="V84" s="242"/>
      <c r="W84" s="242"/>
      <c r="X84" s="242"/>
      <c r="Y84" s="242"/>
      <c r="Z84" s="242"/>
      <c r="AA84" s="242"/>
    </row>
    <row r="85">
      <c r="A85" s="242"/>
      <c r="B85" s="242"/>
      <c r="C85" s="13"/>
      <c r="D85" s="242"/>
      <c r="E85" s="242"/>
      <c r="F85" s="242"/>
      <c r="G85" s="242"/>
      <c r="H85" s="13"/>
      <c r="I85" s="13"/>
      <c r="J85" s="13"/>
      <c r="K85" s="13"/>
      <c r="L85" s="242"/>
      <c r="M85" s="242"/>
      <c r="N85" s="242"/>
      <c r="O85" s="242"/>
      <c r="P85" s="242"/>
      <c r="Q85" s="242"/>
      <c r="R85" s="242"/>
      <c r="S85" s="242"/>
      <c r="T85" s="242"/>
      <c r="U85" s="242"/>
      <c r="V85" s="242"/>
      <c r="W85" s="242"/>
      <c r="X85" s="242"/>
      <c r="Y85" s="242"/>
      <c r="Z85" s="242"/>
      <c r="AA85" s="242"/>
    </row>
    <row r="86">
      <c r="A86" s="242"/>
      <c r="B86" s="242"/>
      <c r="C86" s="13"/>
      <c r="D86" s="242"/>
      <c r="E86" s="242"/>
      <c r="F86" s="242"/>
      <c r="G86" s="242"/>
      <c r="H86" s="13"/>
      <c r="I86" s="13"/>
      <c r="J86" s="13"/>
      <c r="K86" s="13"/>
      <c r="L86" s="242"/>
      <c r="M86" s="242"/>
      <c r="N86" s="242"/>
      <c r="O86" s="242"/>
      <c r="P86" s="242"/>
      <c r="Q86" s="242"/>
      <c r="R86" s="242"/>
      <c r="S86" s="242"/>
      <c r="T86" s="242"/>
      <c r="U86" s="242"/>
      <c r="V86" s="242"/>
      <c r="W86" s="242"/>
      <c r="X86" s="242"/>
      <c r="Y86" s="242"/>
      <c r="Z86" s="242"/>
      <c r="AA86" s="242"/>
    </row>
    <row r="87">
      <c r="A87" s="242"/>
      <c r="B87" s="242"/>
      <c r="C87" s="13"/>
      <c r="D87" s="242"/>
      <c r="E87" s="242"/>
      <c r="F87" s="242"/>
      <c r="G87" s="242"/>
      <c r="H87" s="13"/>
      <c r="I87" s="13"/>
      <c r="J87" s="13"/>
      <c r="K87" s="13"/>
      <c r="L87" s="242"/>
      <c r="M87" s="242"/>
      <c r="N87" s="242"/>
      <c r="O87" s="242"/>
      <c r="P87" s="242"/>
      <c r="Q87" s="242"/>
      <c r="R87" s="242"/>
      <c r="S87" s="242"/>
      <c r="T87" s="242"/>
      <c r="U87" s="242"/>
      <c r="V87" s="242"/>
      <c r="W87" s="242"/>
      <c r="X87" s="242"/>
      <c r="Y87" s="242"/>
      <c r="Z87" s="242"/>
      <c r="AA87" s="242"/>
    </row>
    <row r="88">
      <c r="A88" s="242"/>
      <c r="B88" s="242"/>
      <c r="C88" s="13"/>
      <c r="D88" s="242"/>
      <c r="E88" s="242"/>
      <c r="F88" s="242"/>
      <c r="G88" s="242"/>
      <c r="H88" s="13"/>
      <c r="I88" s="13"/>
      <c r="J88" s="13"/>
      <c r="K88" s="13"/>
      <c r="L88" s="242"/>
      <c r="M88" s="242"/>
      <c r="N88" s="242"/>
      <c r="O88" s="242"/>
      <c r="P88" s="242"/>
      <c r="Q88" s="242"/>
      <c r="R88" s="242"/>
      <c r="S88" s="242"/>
      <c r="T88" s="242"/>
      <c r="U88" s="242"/>
      <c r="V88" s="242"/>
      <c r="W88" s="242"/>
      <c r="X88" s="242"/>
      <c r="Y88" s="242"/>
      <c r="Z88" s="242"/>
      <c r="AA88" s="242"/>
    </row>
    <row r="89">
      <c r="A89" s="242"/>
      <c r="B89" s="242"/>
      <c r="C89" s="13"/>
      <c r="D89" s="242"/>
      <c r="E89" s="242"/>
      <c r="F89" s="242"/>
      <c r="G89" s="242"/>
      <c r="H89" s="13"/>
      <c r="I89" s="13"/>
      <c r="J89" s="13"/>
      <c r="K89" s="13"/>
      <c r="L89" s="242"/>
      <c r="M89" s="242"/>
      <c r="N89" s="242"/>
      <c r="O89" s="242"/>
      <c r="P89" s="242"/>
      <c r="Q89" s="242"/>
      <c r="R89" s="242"/>
      <c r="S89" s="242"/>
      <c r="T89" s="242"/>
      <c r="U89" s="242"/>
      <c r="V89" s="242"/>
      <c r="W89" s="242"/>
      <c r="X89" s="242"/>
      <c r="Y89" s="242"/>
      <c r="Z89" s="242"/>
      <c r="AA89" s="242"/>
    </row>
    <row r="90">
      <c r="A90" s="242"/>
      <c r="B90" s="242"/>
      <c r="C90" s="13"/>
      <c r="D90" s="242"/>
      <c r="E90" s="242"/>
      <c r="F90" s="242"/>
      <c r="G90" s="242"/>
      <c r="H90" s="13"/>
      <c r="I90" s="13"/>
      <c r="J90" s="13"/>
      <c r="K90" s="13"/>
      <c r="L90" s="242"/>
      <c r="M90" s="242"/>
      <c r="N90" s="242"/>
      <c r="O90" s="242"/>
      <c r="P90" s="242"/>
      <c r="Q90" s="242"/>
      <c r="R90" s="242"/>
      <c r="S90" s="242"/>
      <c r="T90" s="242"/>
      <c r="U90" s="242"/>
      <c r="V90" s="242"/>
      <c r="W90" s="242"/>
      <c r="X90" s="242"/>
      <c r="Y90" s="242"/>
      <c r="Z90" s="242"/>
      <c r="AA90" s="242"/>
    </row>
    <row r="91">
      <c r="A91" s="242"/>
      <c r="B91" s="242"/>
      <c r="C91" s="13"/>
      <c r="D91" s="242"/>
      <c r="E91" s="242"/>
      <c r="F91" s="242"/>
      <c r="G91" s="242"/>
      <c r="H91" s="13"/>
      <c r="I91" s="13"/>
      <c r="J91" s="13"/>
      <c r="K91" s="13"/>
      <c r="L91" s="242"/>
      <c r="M91" s="242"/>
      <c r="N91" s="242"/>
      <c r="O91" s="242"/>
      <c r="P91" s="242"/>
      <c r="Q91" s="242"/>
      <c r="R91" s="242"/>
      <c r="S91" s="242"/>
      <c r="T91" s="242"/>
      <c r="U91" s="242"/>
      <c r="V91" s="242"/>
      <c r="W91" s="242"/>
      <c r="X91" s="242"/>
      <c r="Y91" s="242"/>
      <c r="Z91" s="242"/>
      <c r="AA91" s="242"/>
    </row>
    <row r="92">
      <c r="A92" s="242"/>
      <c r="B92" s="242"/>
      <c r="C92" s="13"/>
      <c r="D92" s="242"/>
      <c r="E92" s="242"/>
      <c r="F92" s="242"/>
      <c r="G92" s="242"/>
      <c r="H92" s="13"/>
      <c r="I92" s="13"/>
      <c r="J92" s="13"/>
      <c r="K92" s="13"/>
      <c r="L92" s="242"/>
      <c r="M92" s="242"/>
      <c r="N92" s="242"/>
      <c r="O92" s="242"/>
      <c r="P92" s="242"/>
      <c r="Q92" s="242"/>
      <c r="R92" s="242"/>
      <c r="S92" s="242"/>
      <c r="T92" s="242"/>
      <c r="U92" s="242"/>
      <c r="V92" s="242"/>
      <c r="W92" s="242"/>
      <c r="X92" s="242"/>
      <c r="Y92" s="242"/>
      <c r="Z92" s="242"/>
      <c r="AA92" s="242"/>
    </row>
    <row r="93">
      <c r="A93" s="242"/>
      <c r="B93" s="242"/>
      <c r="C93" s="13"/>
      <c r="D93" s="242"/>
      <c r="E93" s="242"/>
      <c r="F93" s="242"/>
      <c r="G93" s="242"/>
      <c r="H93" s="13"/>
      <c r="I93" s="13"/>
      <c r="J93" s="13"/>
      <c r="K93" s="13"/>
      <c r="L93" s="242"/>
      <c r="M93" s="242"/>
      <c r="N93" s="242"/>
      <c r="O93" s="242"/>
      <c r="P93" s="242"/>
      <c r="Q93" s="242"/>
      <c r="R93" s="242"/>
      <c r="S93" s="242"/>
      <c r="T93" s="242"/>
      <c r="U93" s="242"/>
      <c r="V93" s="242"/>
      <c r="W93" s="242"/>
      <c r="X93" s="242"/>
      <c r="Y93" s="242"/>
      <c r="Z93" s="242"/>
      <c r="AA93" s="242"/>
    </row>
    <row r="94">
      <c r="A94" s="242"/>
      <c r="B94" s="242"/>
      <c r="C94" s="13"/>
      <c r="D94" s="242"/>
      <c r="E94" s="242"/>
      <c r="F94" s="242"/>
      <c r="G94" s="242"/>
      <c r="H94" s="13"/>
      <c r="I94" s="13"/>
      <c r="J94" s="13"/>
      <c r="K94" s="13"/>
      <c r="L94" s="242"/>
      <c r="M94" s="242"/>
      <c r="N94" s="242"/>
      <c r="O94" s="242"/>
      <c r="P94" s="242"/>
      <c r="Q94" s="242"/>
      <c r="R94" s="242"/>
      <c r="S94" s="242"/>
      <c r="T94" s="242"/>
      <c r="U94" s="242"/>
      <c r="V94" s="242"/>
      <c r="W94" s="242"/>
      <c r="X94" s="242"/>
      <c r="Y94" s="242"/>
      <c r="Z94" s="242"/>
      <c r="AA94" s="242"/>
    </row>
    <row r="95">
      <c r="A95" s="242"/>
      <c r="B95" s="242"/>
      <c r="C95" s="13"/>
      <c r="D95" s="242"/>
      <c r="E95" s="242"/>
      <c r="F95" s="242"/>
      <c r="G95" s="242"/>
      <c r="H95" s="13"/>
      <c r="I95" s="13"/>
      <c r="J95" s="13"/>
      <c r="K95" s="13"/>
      <c r="L95" s="242"/>
      <c r="M95" s="242"/>
      <c r="N95" s="242"/>
      <c r="O95" s="242"/>
      <c r="P95" s="242"/>
      <c r="Q95" s="242"/>
      <c r="R95" s="242"/>
      <c r="S95" s="242"/>
      <c r="T95" s="242"/>
      <c r="U95" s="242"/>
      <c r="V95" s="242"/>
      <c r="W95" s="242"/>
      <c r="X95" s="242"/>
      <c r="Y95" s="242"/>
      <c r="Z95" s="242"/>
      <c r="AA95" s="242"/>
    </row>
    <row r="96">
      <c r="A96" s="242"/>
      <c r="B96" s="242"/>
      <c r="C96" s="13"/>
      <c r="D96" s="242"/>
      <c r="E96" s="242"/>
      <c r="F96" s="242"/>
      <c r="G96" s="242"/>
      <c r="H96" s="13"/>
      <c r="I96" s="13"/>
      <c r="J96" s="13"/>
      <c r="K96" s="13"/>
      <c r="L96" s="242"/>
      <c r="M96" s="242"/>
      <c r="N96" s="242"/>
      <c r="O96" s="242"/>
      <c r="P96" s="242"/>
      <c r="Q96" s="242"/>
      <c r="R96" s="242"/>
      <c r="S96" s="242"/>
      <c r="T96" s="242"/>
      <c r="U96" s="242"/>
      <c r="V96" s="242"/>
      <c r="W96" s="242"/>
      <c r="X96" s="242"/>
      <c r="Y96" s="242"/>
      <c r="Z96" s="242"/>
      <c r="AA96" s="242"/>
    </row>
    <row r="97">
      <c r="A97" s="242"/>
      <c r="B97" s="242"/>
      <c r="C97" s="13"/>
      <c r="D97" s="242"/>
      <c r="E97" s="242"/>
      <c r="F97" s="242"/>
      <c r="G97" s="242"/>
      <c r="H97" s="13"/>
      <c r="I97" s="13"/>
      <c r="J97" s="13"/>
      <c r="K97" s="13"/>
      <c r="L97" s="242"/>
      <c r="M97" s="242"/>
      <c r="N97" s="242"/>
      <c r="O97" s="242"/>
      <c r="P97" s="242"/>
      <c r="Q97" s="242"/>
      <c r="R97" s="242"/>
      <c r="S97" s="242"/>
      <c r="T97" s="242"/>
      <c r="U97" s="242"/>
      <c r="V97" s="242"/>
      <c r="W97" s="242"/>
      <c r="X97" s="242"/>
      <c r="Y97" s="242"/>
      <c r="Z97" s="242"/>
      <c r="AA97" s="242"/>
    </row>
    <row r="98">
      <c r="A98" s="242"/>
      <c r="B98" s="242"/>
      <c r="C98" s="13"/>
      <c r="D98" s="242"/>
      <c r="E98" s="242"/>
      <c r="F98" s="242"/>
      <c r="G98" s="242"/>
      <c r="H98" s="13"/>
      <c r="I98" s="13"/>
      <c r="J98" s="13"/>
      <c r="K98" s="13"/>
      <c r="L98" s="242"/>
      <c r="M98" s="242"/>
      <c r="N98" s="242"/>
      <c r="O98" s="242"/>
      <c r="P98" s="242"/>
      <c r="Q98" s="242"/>
      <c r="R98" s="242"/>
      <c r="S98" s="242"/>
      <c r="T98" s="242"/>
      <c r="U98" s="242"/>
      <c r="V98" s="242"/>
      <c r="W98" s="242"/>
      <c r="X98" s="242"/>
      <c r="Y98" s="242"/>
      <c r="Z98" s="242"/>
      <c r="AA98" s="242"/>
    </row>
    <row r="99">
      <c r="A99" s="242"/>
      <c r="B99" s="242"/>
      <c r="C99" s="13"/>
      <c r="D99" s="242"/>
      <c r="E99" s="242"/>
      <c r="F99" s="242"/>
      <c r="G99" s="242"/>
      <c r="H99" s="13"/>
      <c r="I99" s="13"/>
      <c r="J99" s="13"/>
      <c r="K99" s="13"/>
      <c r="L99" s="242"/>
      <c r="M99" s="242"/>
      <c r="N99" s="242"/>
      <c r="O99" s="242"/>
      <c r="P99" s="242"/>
      <c r="Q99" s="242"/>
      <c r="R99" s="242"/>
      <c r="S99" s="242"/>
      <c r="T99" s="242"/>
      <c r="U99" s="242"/>
      <c r="V99" s="242"/>
      <c r="W99" s="242"/>
      <c r="X99" s="242"/>
      <c r="Y99" s="242"/>
      <c r="Z99" s="242"/>
      <c r="AA99" s="242"/>
    </row>
    <row r="100">
      <c r="A100" s="242"/>
      <c r="B100" s="242"/>
      <c r="C100" s="13"/>
      <c r="D100" s="242"/>
      <c r="E100" s="242"/>
      <c r="F100" s="242"/>
      <c r="G100" s="242"/>
      <c r="H100" s="13"/>
      <c r="I100" s="13"/>
      <c r="J100" s="13"/>
      <c r="K100" s="13"/>
      <c r="L100" s="242"/>
      <c r="M100" s="242"/>
      <c r="N100" s="242"/>
      <c r="O100" s="242"/>
      <c r="P100" s="242"/>
      <c r="Q100" s="242"/>
      <c r="R100" s="242"/>
      <c r="S100" s="242"/>
      <c r="T100" s="242"/>
      <c r="U100" s="242"/>
      <c r="V100" s="242"/>
      <c r="W100" s="242"/>
      <c r="X100" s="242"/>
      <c r="Y100" s="242"/>
      <c r="Z100" s="242"/>
      <c r="AA100" s="242"/>
    </row>
    <row r="101">
      <c r="A101" s="242"/>
      <c r="B101" s="242"/>
      <c r="C101" s="13"/>
      <c r="D101" s="242"/>
      <c r="E101" s="242"/>
      <c r="F101" s="242"/>
      <c r="G101" s="242"/>
      <c r="H101" s="13"/>
      <c r="I101" s="13"/>
      <c r="J101" s="13"/>
      <c r="K101" s="13"/>
      <c r="L101" s="242"/>
      <c r="M101" s="242"/>
      <c r="N101" s="242"/>
      <c r="O101" s="242"/>
      <c r="P101" s="242"/>
      <c r="Q101" s="242"/>
      <c r="R101" s="242"/>
      <c r="S101" s="242"/>
      <c r="T101" s="242"/>
      <c r="U101" s="242"/>
      <c r="V101" s="242"/>
      <c r="W101" s="242"/>
      <c r="X101" s="242"/>
      <c r="Y101" s="242"/>
      <c r="Z101" s="242"/>
      <c r="AA101" s="242"/>
    </row>
    <row r="102">
      <c r="A102" s="242"/>
      <c r="B102" s="242"/>
      <c r="C102" s="13"/>
      <c r="D102" s="242"/>
      <c r="E102" s="242"/>
      <c r="F102" s="242"/>
      <c r="G102" s="242"/>
      <c r="H102" s="13"/>
      <c r="I102" s="13"/>
      <c r="J102" s="13"/>
      <c r="K102" s="13"/>
      <c r="L102" s="242"/>
      <c r="M102" s="242"/>
      <c r="N102" s="242"/>
      <c r="O102" s="242"/>
      <c r="P102" s="242"/>
      <c r="Q102" s="242"/>
      <c r="R102" s="242"/>
      <c r="S102" s="242"/>
      <c r="T102" s="242"/>
      <c r="U102" s="242"/>
      <c r="V102" s="242"/>
      <c r="W102" s="242"/>
      <c r="X102" s="242"/>
      <c r="Y102" s="242"/>
      <c r="Z102" s="242"/>
      <c r="AA102" s="242"/>
    </row>
    <row r="103">
      <c r="A103" s="242"/>
      <c r="B103" s="242"/>
      <c r="C103" s="13"/>
      <c r="D103" s="242"/>
      <c r="E103" s="242"/>
      <c r="F103" s="242"/>
      <c r="G103" s="242"/>
      <c r="H103" s="13"/>
      <c r="I103" s="13"/>
      <c r="J103" s="13"/>
      <c r="K103" s="13"/>
      <c r="L103" s="242"/>
      <c r="M103" s="242"/>
      <c r="N103" s="242"/>
      <c r="O103" s="242"/>
      <c r="P103" s="242"/>
      <c r="Q103" s="242"/>
      <c r="R103" s="242"/>
      <c r="S103" s="242"/>
      <c r="T103" s="242"/>
      <c r="U103" s="242"/>
      <c r="V103" s="242"/>
      <c r="W103" s="242"/>
      <c r="X103" s="242"/>
      <c r="Y103" s="242"/>
      <c r="Z103" s="242"/>
      <c r="AA103" s="242"/>
    </row>
    <row r="104">
      <c r="A104" s="242"/>
      <c r="B104" s="242"/>
      <c r="C104" s="13"/>
      <c r="D104" s="242"/>
      <c r="E104" s="242"/>
      <c r="F104" s="242"/>
      <c r="G104" s="242"/>
      <c r="H104" s="13"/>
      <c r="I104" s="13"/>
      <c r="J104" s="13"/>
      <c r="K104" s="13"/>
      <c r="L104" s="242"/>
      <c r="M104" s="242"/>
      <c r="N104" s="242"/>
      <c r="O104" s="242"/>
      <c r="P104" s="242"/>
      <c r="Q104" s="242"/>
      <c r="R104" s="242"/>
      <c r="S104" s="242"/>
      <c r="T104" s="242"/>
      <c r="U104" s="242"/>
      <c r="V104" s="242"/>
      <c r="W104" s="242"/>
      <c r="X104" s="242"/>
      <c r="Y104" s="242"/>
      <c r="Z104" s="242"/>
      <c r="AA104" s="242"/>
    </row>
    <row r="105">
      <c r="A105" s="242"/>
      <c r="B105" s="242"/>
      <c r="C105" s="13"/>
      <c r="D105" s="242"/>
      <c r="E105" s="242"/>
      <c r="F105" s="242"/>
      <c r="G105" s="242"/>
      <c r="H105" s="13"/>
      <c r="I105" s="13"/>
      <c r="J105" s="13"/>
      <c r="K105" s="13"/>
      <c r="L105" s="242"/>
      <c r="M105" s="242"/>
      <c r="N105" s="242"/>
      <c r="O105" s="242"/>
      <c r="P105" s="242"/>
      <c r="Q105" s="242"/>
      <c r="R105" s="242"/>
      <c r="S105" s="242"/>
      <c r="T105" s="242"/>
      <c r="U105" s="242"/>
      <c r="V105" s="242"/>
      <c r="W105" s="242"/>
      <c r="X105" s="242"/>
      <c r="Y105" s="242"/>
      <c r="Z105" s="242"/>
      <c r="AA105" s="242"/>
    </row>
    <row r="106">
      <c r="A106" s="242"/>
      <c r="B106" s="242"/>
      <c r="C106" s="13"/>
      <c r="D106" s="242"/>
      <c r="E106" s="242"/>
      <c r="F106" s="242"/>
      <c r="G106" s="242"/>
      <c r="H106" s="13"/>
      <c r="I106" s="13"/>
      <c r="J106" s="13"/>
      <c r="K106" s="13"/>
      <c r="L106" s="242"/>
      <c r="M106" s="242"/>
      <c r="N106" s="242"/>
      <c r="O106" s="242"/>
      <c r="P106" s="242"/>
      <c r="Q106" s="242"/>
      <c r="R106" s="242"/>
      <c r="S106" s="242"/>
      <c r="T106" s="242"/>
      <c r="U106" s="242"/>
      <c r="V106" s="242"/>
      <c r="W106" s="242"/>
      <c r="X106" s="242"/>
      <c r="Y106" s="242"/>
      <c r="Z106" s="242"/>
      <c r="AA106" s="242"/>
    </row>
    <row r="107">
      <c r="A107" s="242"/>
      <c r="B107" s="242"/>
      <c r="C107" s="13"/>
      <c r="D107" s="242"/>
      <c r="E107" s="242"/>
      <c r="F107" s="242"/>
      <c r="G107" s="242"/>
      <c r="H107" s="13"/>
      <c r="I107" s="13"/>
      <c r="J107" s="13"/>
      <c r="K107" s="13"/>
      <c r="L107" s="242"/>
      <c r="M107" s="242"/>
      <c r="N107" s="242"/>
      <c r="O107" s="242"/>
      <c r="P107" s="242"/>
      <c r="Q107" s="242"/>
      <c r="R107" s="242"/>
      <c r="S107" s="242"/>
      <c r="T107" s="242"/>
      <c r="U107" s="242"/>
      <c r="V107" s="242"/>
      <c r="W107" s="242"/>
      <c r="X107" s="242"/>
      <c r="Y107" s="242"/>
      <c r="Z107" s="242"/>
      <c r="AA107" s="242"/>
    </row>
    <row r="108">
      <c r="A108" s="242"/>
      <c r="B108" s="242"/>
      <c r="C108" s="13"/>
      <c r="D108" s="242"/>
      <c r="E108" s="242"/>
      <c r="F108" s="242"/>
      <c r="G108" s="242"/>
      <c r="H108" s="13"/>
      <c r="I108" s="13"/>
      <c r="J108" s="13"/>
      <c r="K108" s="13"/>
      <c r="L108" s="242"/>
      <c r="M108" s="242"/>
      <c r="N108" s="242"/>
      <c r="O108" s="242"/>
      <c r="P108" s="242"/>
      <c r="Q108" s="242"/>
      <c r="R108" s="242"/>
      <c r="S108" s="242"/>
      <c r="T108" s="242"/>
      <c r="U108" s="242"/>
      <c r="V108" s="242"/>
      <c r="W108" s="242"/>
      <c r="X108" s="242"/>
      <c r="Y108" s="242"/>
      <c r="Z108" s="242"/>
      <c r="AA108" s="242"/>
    </row>
    <row r="109">
      <c r="A109" s="242"/>
      <c r="B109" s="242"/>
      <c r="C109" s="13"/>
      <c r="D109" s="242"/>
      <c r="E109" s="242"/>
      <c r="F109" s="242"/>
      <c r="G109" s="242"/>
      <c r="H109" s="13"/>
      <c r="I109" s="13"/>
      <c r="J109" s="13"/>
      <c r="K109" s="13"/>
      <c r="L109" s="242"/>
      <c r="M109" s="242"/>
      <c r="N109" s="242"/>
      <c r="O109" s="242"/>
      <c r="P109" s="242"/>
      <c r="Q109" s="242"/>
      <c r="R109" s="242"/>
      <c r="S109" s="242"/>
      <c r="T109" s="242"/>
      <c r="U109" s="242"/>
      <c r="V109" s="242"/>
      <c r="W109" s="242"/>
      <c r="X109" s="242"/>
      <c r="Y109" s="242"/>
      <c r="Z109" s="242"/>
      <c r="AA109" s="242"/>
    </row>
    <row r="110">
      <c r="A110" s="242"/>
      <c r="B110" s="242"/>
      <c r="C110" s="13"/>
      <c r="D110" s="242"/>
      <c r="E110" s="242"/>
      <c r="F110" s="242"/>
      <c r="G110" s="242"/>
      <c r="H110" s="13"/>
      <c r="I110" s="13"/>
      <c r="J110" s="13"/>
      <c r="K110" s="13"/>
      <c r="L110" s="242"/>
      <c r="M110" s="242"/>
      <c r="N110" s="242"/>
      <c r="O110" s="242"/>
      <c r="P110" s="242"/>
      <c r="Q110" s="242"/>
      <c r="R110" s="242"/>
      <c r="S110" s="242"/>
      <c r="T110" s="242"/>
      <c r="U110" s="242"/>
      <c r="V110" s="242"/>
      <c r="W110" s="242"/>
      <c r="X110" s="242"/>
      <c r="Y110" s="242"/>
      <c r="Z110" s="242"/>
      <c r="AA110" s="242"/>
    </row>
    <row r="111">
      <c r="A111" s="242"/>
      <c r="B111" s="242"/>
      <c r="C111" s="13"/>
      <c r="D111" s="242"/>
      <c r="E111" s="242"/>
      <c r="F111" s="242"/>
      <c r="G111" s="242"/>
      <c r="H111" s="13"/>
      <c r="I111" s="13"/>
      <c r="J111" s="13"/>
      <c r="K111" s="13"/>
      <c r="L111" s="242"/>
      <c r="M111" s="242"/>
      <c r="N111" s="242"/>
      <c r="O111" s="242"/>
      <c r="P111" s="242"/>
      <c r="Q111" s="242"/>
      <c r="R111" s="242"/>
      <c r="S111" s="242"/>
      <c r="T111" s="242"/>
      <c r="U111" s="242"/>
      <c r="V111" s="242"/>
      <c r="W111" s="242"/>
      <c r="X111" s="242"/>
      <c r="Y111" s="242"/>
      <c r="Z111" s="242"/>
      <c r="AA111" s="242"/>
    </row>
    <row r="112">
      <c r="A112" s="242"/>
      <c r="B112" s="242"/>
      <c r="C112" s="13"/>
      <c r="D112" s="242"/>
      <c r="E112" s="242"/>
      <c r="F112" s="242"/>
      <c r="G112" s="242"/>
      <c r="H112" s="13"/>
      <c r="I112" s="13"/>
      <c r="J112" s="13"/>
      <c r="K112" s="13"/>
      <c r="L112" s="242"/>
      <c r="M112" s="242"/>
      <c r="N112" s="242"/>
      <c r="O112" s="242"/>
      <c r="P112" s="242"/>
      <c r="Q112" s="242"/>
      <c r="R112" s="242"/>
      <c r="S112" s="242"/>
      <c r="T112" s="242"/>
      <c r="U112" s="242"/>
      <c r="V112" s="242"/>
      <c r="W112" s="242"/>
      <c r="X112" s="242"/>
      <c r="Y112" s="242"/>
      <c r="Z112" s="242"/>
      <c r="AA112" s="242"/>
    </row>
    <row r="113">
      <c r="A113" s="242"/>
      <c r="B113" s="242"/>
      <c r="C113" s="13"/>
      <c r="D113" s="242"/>
      <c r="E113" s="242"/>
      <c r="F113" s="242"/>
      <c r="G113" s="242"/>
      <c r="H113" s="13"/>
      <c r="I113" s="13"/>
      <c r="J113" s="13"/>
      <c r="K113" s="13"/>
      <c r="L113" s="242"/>
      <c r="M113" s="242"/>
      <c r="N113" s="242"/>
      <c r="O113" s="242"/>
      <c r="P113" s="242"/>
      <c r="Q113" s="242"/>
      <c r="R113" s="242"/>
      <c r="S113" s="242"/>
      <c r="T113" s="242"/>
      <c r="U113" s="242"/>
      <c r="V113" s="242"/>
      <c r="W113" s="242"/>
      <c r="X113" s="242"/>
      <c r="Y113" s="242"/>
      <c r="Z113" s="242"/>
      <c r="AA113" s="242"/>
    </row>
    <row r="114">
      <c r="A114" s="242"/>
      <c r="B114" s="242"/>
      <c r="C114" s="13"/>
      <c r="D114" s="242"/>
      <c r="E114" s="242"/>
      <c r="F114" s="242"/>
      <c r="G114" s="242"/>
      <c r="H114" s="13"/>
      <c r="I114" s="13"/>
      <c r="J114" s="13"/>
      <c r="K114" s="13"/>
      <c r="L114" s="242"/>
      <c r="M114" s="242"/>
      <c r="N114" s="242"/>
      <c r="O114" s="242"/>
      <c r="P114" s="242"/>
      <c r="Q114" s="242"/>
      <c r="R114" s="242"/>
      <c r="S114" s="242"/>
      <c r="T114" s="242"/>
      <c r="U114" s="242"/>
      <c r="V114" s="242"/>
      <c r="W114" s="242"/>
      <c r="X114" s="242"/>
      <c r="Y114" s="242"/>
      <c r="Z114" s="242"/>
      <c r="AA114" s="242"/>
    </row>
    <row r="115">
      <c r="A115" s="242"/>
      <c r="B115" s="242"/>
      <c r="C115" s="13"/>
      <c r="D115" s="242"/>
      <c r="E115" s="242"/>
      <c r="F115" s="242"/>
      <c r="G115" s="242"/>
      <c r="H115" s="13"/>
      <c r="I115" s="13"/>
      <c r="J115" s="13"/>
      <c r="K115" s="13"/>
      <c r="L115" s="242"/>
      <c r="M115" s="242"/>
      <c r="N115" s="242"/>
      <c r="O115" s="242"/>
      <c r="P115" s="242"/>
      <c r="Q115" s="242"/>
      <c r="R115" s="242"/>
      <c r="S115" s="242"/>
      <c r="T115" s="242"/>
      <c r="U115" s="242"/>
      <c r="V115" s="242"/>
      <c r="W115" s="242"/>
      <c r="X115" s="242"/>
      <c r="Y115" s="242"/>
      <c r="Z115" s="242"/>
      <c r="AA115" s="242"/>
    </row>
    <row r="116">
      <c r="A116" s="242"/>
      <c r="B116" s="242"/>
      <c r="C116" s="13"/>
      <c r="D116" s="242"/>
      <c r="E116" s="242"/>
      <c r="F116" s="242"/>
      <c r="G116" s="242"/>
      <c r="H116" s="13"/>
      <c r="I116" s="13"/>
      <c r="J116" s="13"/>
      <c r="K116" s="13"/>
      <c r="L116" s="242"/>
      <c r="M116" s="242"/>
      <c r="N116" s="242"/>
      <c r="O116" s="242"/>
      <c r="P116" s="242"/>
      <c r="Q116" s="242"/>
      <c r="R116" s="242"/>
      <c r="S116" s="242"/>
      <c r="T116" s="242"/>
      <c r="U116" s="242"/>
      <c r="V116" s="242"/>
      <c r="W116" s="242"/>
      <c r="X116" s="242"/>
      <c r="Y116" s="242"/>
      <c r="Z116" s="242"/>
      <c r="AA116" s="242"/>
    </row>
    <row r="117">
      <c r="A117" s="242"/>
      <c r="B117" s="242"/>
      <c r="C117" s="13"/>
      <c r="D117" s="242"/>
      <c r="E117" s="242"/>
      <c r="F117" s="242"/>
      <c r="G117" s="242"/>
      <c r="H117" s="13"/>
      <c r="I117" s="13"/>
      <c r="J117" s="13"/>
      <c r="K117" s="13"/>
      <c r="L117" s="242"/>
      <c r="M117" s="242"/>
      <c r="N117" s="242"/>
      <c r="O117" s="242"/>
      <c r="P117" s="242"/>
      <c r="Q117" s="242"/>
      <c r="R117" s="242"/>
      <c r="S117" s="242"/>
      <c r="T117" s="242"/>
      <c r="U117" s="242"/>
      <c r="V117" s="242"/>
      <c r="W117" s="242"/>
      <c r="X117" s="242"/>
      <c r="Y117" s="242"/>
      <c r="Z117" s="242"/>
      <c r="AA117" s="242"/>
    </row>
    <row r="118">
      <c r="A118" s="242"/>
      <c r="B118" s="242"/>
      <c r="C118" s="13"/>
      <c r="D118" s="242"/>
      <c r="E118" s="242"/>
      <c r="F118" s="242"/>
      <c r="G118" s="242"/>
      <c r="H118" s="13"/>
      <c r="I118" s="13"/>
      <c r="J118" s="13"/>
      <c r="K118" s="13"/>
      <c r="L118" s="242"/>
      <c r="M118" s="242"/>
      <c r="N118" s="242"/>
      <c r="O118" s="242"/>
      <c r="P118" s="242"/>
      <c r="Q118" s="242"/>
      <c r="R118" s="242"/>
      <c r="S118" s="242"/>
      <c r="T118" s="242"/>
      <c r="U118" s="242"/>
      <c r="V118" s="242"/>
      <c r="W118" s="242"/>
      <c r="X118" s="242"/>
      <c r="Y118" s="242"/>
      <c r="Z118" s="242"/>
      <c r="AA118" s="242"/>
    </row>
    <row r="119">
      <c r="A119" s="242"/>
      <c r="B119" s="242"/>
      <c r="C119" s="13"/>
      <c r="D119" s="242"/>
      <c r="E119" s="242"/>
      <c r="F119" s="242"/>
      <c r="G119" s="242"/>
      <c r="H119" s="13"/>
      <c r="I119" s="13"/>
      <c r="J119" s="13"/>
      <c r="K119" s="13"/>
      <c r="L119" s="242"/>
      <c r="M119" s="242"/>
      <c r="N119" s="242"/>
      <c r="O119" s="242"/>
      <c r="P119" s="242"/>
      <c r="Q119" s="242"/>
      <c r="R119" s="242"/>
      <c r="S119" s="242"/>
      <c r="T119" s="242"/>
      <c r="U119" s="242"/>
      <c r="V119" s="242"/>
      <c r="W119" s="242"/>
      <c r="X119" s="242"/>
      <c r="Y119" s="242"/>
      <c r="Z119" s="242"/>
      <c r="AA119" s="242"/>
    </row>
    <row r="120">
      <c r="A120" s="242"/>
      <c r="B120" s="242"/>
      <c r="C120" s="13"/>
      <c r="D120" s="242"/>
      <c r="E120" s="242"/>
      <c r="F120" s="242"/>
      <c r="G120" s="242"/>
      <c r="H120" s="13"/>
      <c r="I120" s="13"/>
      <c r="J120" s="13"/>
      <c r="K120" s="13"/>
      <c r="L120" s="242"/>
      <c r="M120" s="242"/>
      <c r="N120" s="242"/>
      <c r="O120" s="242"/>
      <c r="P120" s="242"/>
      <c r="Q120" s="242"/>
      <c r="R120" s="242"/>
      <c r="S120" s="242"/>
      <c r="T120" s="242"/>
      <c r="U120" s="242"/>
      <c r="V120" s="242"/>
      <c r="W120" s="242"/>
      <c r="X120" s="242"/>
      <c r="Y120" s="242"/>
      <c r="Z120" s="242"/>
      <c r="AA120" s="242"/>
    </row>
    <row r="121">
      <c r="A121" s="242"/>
      <c r="B121" s="242"/>
      <c r="C121" s="13"/>
      <c r="D121" s="242"/>
      <c r="E121" s="242"/>
      <c r="F121" s="242"/>
      <c r="G121" s="242"/>
      <c r="H121" s="13"/>
      <c r="I121" s="13"/>
      <c r="J121" s="13"/>
      <c r="K121" s="13"/>
      <c r="L121" s="242"/>
      <c r="M121" s="242"/>
      <c r="N121" s="242"/>
      <c r="O121" s="242"/>
      <c r="P121" s="242"/>
      <c r="Q121" s="242"/>
      <c r="R121" s="242"/>
      <c r="S121" s="242"/>
      <c r="T121" s="242"/>
      <c r="U121" s="242"/>
      <c r="V121" s="242"/>
      <c r="W121" s="242"/>
      <c r="X121" s="242"/>
      <c r="Y121" s="242"/>
      <c r="Z121" s="242"/>
      <c r="AA121" s="242"/>
    </row>
    <row r="122">
      <c r="A122" s="242"/>
      <c r="B122" s="242"/>
      <c r="C122" s="13"/>
      <c r="D122" s="242"/>
      <c r="E122" s="242"/>
      <c r="F122" s="242"/>
      <c r="G122" s="242"/>
      <c r="H122" s="13"/>
      <c r="I122" s="13"/>
      <c r="J122" s="13"/>
      <c r="K122" s="13"/>
      <c r="L122" s="242"/>
      <c r="M122" s="242"/>
      <c r="N122" s="242"/>
      <c r="O122" s="242"/>
      <c r="P122" s="242"/>
      <c r="Q122" s="242"/>
      <c r="R122" s="242"/>
      <c r="S122" s="242"/>
      <c r="T122" s="242"/>
      <c r="U122" s="242"/>
      <c r="V122" s="242"/>
      <c r="W122" s="242"/>
      <c r="X122" s="242"/>
      <c r="Y122" s="242"/>
      <c r="Z122" s="242"/>
      <c r="AA122" s="242"/>
    </row>
    <row r="123">
      <c r="A123" s="242"/>
      <c r="B123" s="242"/>
      <c r="C123" s="13"/>
      <c r="D123" s="242"/>
      <c r="E123" s="242"/>
      <c r="F123" s="242"/>
      <c r="G123" s="242"/>
      <c r="H123" s="13"/>
      <c r="I123" s="13"/>
      <c r="J123" s="13"/>
      <c r="K123" s="13"/>
      <c r="L123" s="242"/>
      <c r="M123" s="242"/>
      <c r="N123" s="242"/>
      <c r="O123" s="242"/>
      <c r="P123" s="242"/>
      <c r="Q123" s="242"/>
      <c r="R123" s="242"/>
      <c r="S123" s="242"/>
      <c r="T123" s="242"/>
      <c r="U123" s="242"/>
      <c r="V123" s="242"/>
      <c r="W123" s="242"/>
      <c r="X123" s="242"/>
      <c r="Y123" s="242"/>
      <c r="Z123" s="242"/>
      <c r="AA123" s="242"/>
    </row>
    <row r="124">
      <c r="A124" s="242"/>
      <c r="B124" s="242"/>
      <c r="C124" s="13"/>
      <c r="D124" s="242"/>
      <c r="E124" s="242"/>
      <c r="F124" s="242"/>
      <c r="G124" s="242"/>
      <c r="H124" s="13"/>
      <c r="I124" s="13"/>
      <c r="J124" s="13"/>
      <c r="K124" s="13"/>
      <c r="L124" s="242"/>
      <c r="M124" s="242"/>
      <c r="N124" s="242"/>
      <c r="O124" s="242"/>
      <c r="P124" s="242"/>
      <c r="Q124" s="242"/>
      <c r="R124" s="242"/>
      <c r="S124" s="242"/>
      <c r="T124" s="242"/>
      <c r="U124" s="242"/>
      <c r="V124" s="242"/>
      <c r="W124" s="242"/>
      <c r="X124" s="242"/>
      <c r="Y124" s="242"/>
      <c r="Z124" s="242"/>
      <c r="AA124" s="242"/>
    </row>
    <row r="125">
      <c r="A125" s="242"/>
      <c r="B125" s="242"/>
      <c r="C125" s="13"/>
      <c r="D125" s="242"/>
      <c r="E125" s="242"/>
      <c r="F125" s="242"/>
      <c r="G125" s="242"/>
      <c r="H125" s="13"/>
      <c r="I125" s="13"/>
      <c r="J125" s="13"/>
      <c r="K125" s="13"/>
      <c r="L125" s="242"/>
      <c r="M125" s="242"/>
      <c r="N125" s="242"/>
      <c r="O125" s="242"/>
      <c r="P125" s="242"/>
      <c r="Q125" s="242"/>
      <c r="R125" s="242"/>
      <c r="S125" s="242"/>
      <c r="T125" s="242"/>
      <c r="U125" s="242"/>
      <c r="V125" s="242"/>
      <c r="W125" s="242"/>
      <c r="X125" s="242"/>
      <c r="Y125" s="242"/>
      <c r="Z125" s="242"/>
      <c r="AA125" s="242"/>
    </row>
    <row r="126">
      <c r="A126" s="242"/>
      <c r="B126" s="242"/>
      <c r="C126" s="13"/>
      <c r="D126" s="242"/>
      <c r="E126" s="242"/>
      <c r="F126" s="242"/>
      <c r="G126" s="242"/>
      <c r="H126" s="13"/>
      <c r="I126" s="13"/>
      <c r="J126" s="13"/>
      <c r="K126" s="13"/>
      <c r="L126" s="242"/>
      <c r="M126" s="242"/>
      <c r="N126" s="242"/>
      <c r="O126" s="242"/>
      <c r="P126" s="242"/>
      <c r="Q126" s="242"/>
      <c r="R126" s="242"/>
      <c r="S126" s="242"/>
      <c r="T126" s="242"/>
      <c r="U126" s="242"/>
      <c r="V126" s="242"/>
      <c r="W126" s="242"/>
      <c r="X126" s="242"/>
      <c r="Y126" s="242"/>
      <c r="Z126" s="242"/>
      <c r="AA126" s="242"/>
    </row>
    <row r="127">
      <c r="A127" s="242"/>
      <c r="B127" s="242"/>
      <c r="C127" s="13"/>
      <c r="D127" s="242"/>
      <c r="E127" s="242"/>
      <c r="F127" s="242"/>
      <c r="G127" s="242"/>
      <c r="H127" s="13"/>
      <c r="I127" s="13"/>
      <c r="J127" s="13"/>
      <c r="K127" s="13"/>
      <c r="L127" s="242"/>
      <c r="M127" s="242"/>
      <c r="N127" s="242"/>
      <c r="O127" s="242"/>
      <c r="P127" s="242"/>
      <c r="Q127" s="242"/>
      <c r="R127" s="242"/>
      <c r="S127" s="242"/>
      <c r="T127" s="242"/>
      <c r="U127" s="242"/>
      <c r="V127" s="242"/>
      <c r="W127" s="242"/>
      <c r="X127" s="242"/>
      <c r="Y127" s="242"/>
      <c r="Z127" s="242"/>
      <c r="AA127" s="242"/>
    </row>
    <row r="128">
      <c r="A128" s="242"/>
      <c r="B128" s="242"/>
      <c r="C128" s="13"/>
      <c r="D128" s="242"/>
      <c r="E128" s="242"/>
      <c r="F128" s="242"/>
      <c r="G128" s="242"/>
      <c r="H128" s="13"/>
      <c r="I128" s="13"/>
      <c r="J128" s="13"/>
      <c r="K128" s="13"/>
      <c r="L128" s="242"/>
      <c r="M128" s="242"/>
      <c r="N128" s="242"/>
      <c r="O128" s="242"/>
      <c r="P128" s="242"/>
      <c r="Q128" s="242"/>
      <c r="R128" s="242"/>
      <c r="S128" s="242"/>
      <c r="T128" s="242"/>
      <c r="U128" s="242"/>
      <c r="V128" s="242"/>
      <c r="W128" s="242"/>
      <c r="X128" s="242"/>
      <c r="Y128" s="242"/>
      <c r="Z128" s="242"/>
      <c r="AA128" s="242"/>
    </row>
    <row r="129">
      <c r="A129" s="242"/>
      <c r="B129" s="242"/>
      <c r="C129" s="13"/>
      <c r="D129" s="242"/>
      <c r="E129" s="242"/>
      <c r="F129" s="242"/>
      <c r="G129" s="242"/>
      <c r="H129" s="13"/>
      <c r="I129" s="13"/>
      <c r="J129" s="13"/>
      <c r="K129" s="13"/>
      <c r="L129" s="242"/>
      <c r="M129" s="242"/>
      <c r="N129" s="242"/>
      <c r="O129" s="242"/>
      <c r="P129" s="242"/>
      <c r="Q129" s="242"/>
      <c r="R129" s="242"/>
      <c r="S129" s="242"/>
      <c r="T129" s="242"/>
      <c r="U129" s="242"/>
      <c r="V129" s="242"/>
      <c r="W129" s="242"/>
      <c r="X129" s="242"/>
      <c r="Y129" s="242"/>
      <c r="Z129" s="242"/>
      <c r="AA129" s="242"/>
    </row>
    <row r="130">
      <c r="A130" s="242"/>
      <c r="B130" s="242"/>
      <c r="C130" s="13"/>
      <c r="D130" s="242"/>
      <c r="E130" s="242"/>
      <c r="F130" s="242"/>
      <c r="G130" s="242"/>
      <c r="H130" s="13"/>
      <c r="I130" s="13"/>
      <c r="J130" s="13"/>
      <c r="K130" s="13"/>
      <c r="L130" s="242"/>
      <c r="M130" s="242"/>
      <c r="N130" s="242"/>
      <c r="O130" s="242"/>
      <c r="P130" s="242"/>
      <c r="Q130" s="242"/>
      <c r="R130" s="242"/>
      <c r="S130" s="242"/>
      <c r="T130" s="242"/>
      <c r="U130" s="242"/>
      <c r="V130" s="242"/>
      <c r="W130" s="242"/>
      <c r="X130" s="242"/>
      <c r="Y130" s="242"/>
      <c r="Z130" s="242"/>
      <c r="AA130" s="242"/>
    </row>
    <row r="131">
      <c r="A131" s="242"/>
      <c r="B131" s="242"/>
      <c r="C131" s="13"/>
      <c r="D131" s="242"/>
      <c r="E131" s="242"/>
      <c r="F131" s="242"/>
      <c r="G131" s="242"/>
      <c r="H131" s="13"/>
      <c r="I131" s="13"/>
      <c r="J131" s="13"/>
      <c r="K131" s="13"/>
      <c r="L131" s="242"/>
      <c r="M131" s="242"/>
      <c r="N131" s="242"/>
      <c r="O131" s="242"/>
      <c r="P131" s="242"/>
      <c r="Q131" s="242"/>
      <c r="R131" s="242"/>
      <c r="S131" s="242"/>
      <c r="T131" s="242"/>
      <c r="U131" s="242"/>
      <c r="V131" s="242"/>
      <c r="W131" s="242"/>
      <c r="X131" s="242"/>
      <c r="Y131" s="242"/>
      <c r="Z131" s="242"/>
      <c r="AA131" s="242"/>
    </row>
    <row r="132">
      <c r="A132" s="242"/>
      <c r="B132" s="242"/>
      <c r="C132" s="13"/>
      <c r="D132" s="242"/>
      <c r="E132" s="242"/>
      <c r="F132" s="242"/>
      <c r="G132" s="242"/>
      <c r="H132" s="13"/>
      <c r="I132" s="13"/>
      <c r="J132" s="13"/>
      <c r="K132" s="13"/>
      <c r="L132" s="242"/>
      <c r="M132" s="242"/>
      <c r="N132" s="242"/>
      <c r="O132" s="242"/>
      <c r="P132" s="242"/>
      <c r="Q132" s="242"/>
      <c r="R132" s="242"/>
      <c r="S132" s="242"/>
      <c r="T132" s="242"/>
      <c r="U132" s="242"/>
      <c r="V132" s="242"/>
      <c r="W132" s="242"/>
      <c r="X132" s="242"/>
      <c r="Y132" s="242"/>
      <c r="Z132" s="242"/>
      <c r="AA132" s="242"/>
    </row>
    <row r="133">
      <c r="A133" s="242"/>
      <c r="B133" s="242"/>
      <c r="C133" s="13"/>
      <c r="D133" s="242"/>
      <c r="E133" s="242"/>
      <c r="F133" s="242"/>
      <c r="G133" s="242"/>
      <c r="H133" s="13"/>
      <c r="I133" s="13"/>
      <c r="J133" s="13"/>
      <c r="K133" s="13"/>
      <c r="L133" s="242"/>
      <c r="M133" s="242"/>
      <c r="N133" s="242"/>
      <c r="O133" s="242"/>
      <c r="P133" s="242"/>
      <c r="Q133" s="242"/>
      <c r="R133" s="242"/>
      <c r="S133" s="242"/>
      <c r="T133" s="242"/>
      <c r="U133" s="242"/>
      <c r="V133" s="242"/>
      <c r="W133" s="242"/>
      <c r="X133" s="242"/>
      <c r="Y133" s="242"/>
      <c r="Z133" s="242"/>
      <c r="AA133" s="242"/>
    </row>
    <row r="134">
      <c r="A134" s="242"/>
      <c r="B134" s="242"/>
      <c r="C134" s="13"/>
      <c r="D134" s="242"/>
      <c r="E134" s="242"/>
      <c r="F134" s="242"/>
      <c r="G134" s="242"/>
      <c r="H134" s="13"/>
      <c r="I134" s="13"/>
      <c r="J134" s="13"/>
      <c r="K134" s="13"/>
      <c r="L134" s="242"/>
      <c r="M134" s="242"/>
      <c r="N134" s="242"/>
      <c r="O134" s="242"/>
      <c r="P134" s="242"/>
      <c r="Q134" s="242"/>
      <c r="R134" s="242"/>
      <c r="S134" s="242"/>
      <c r="T134" s="242"/>
      <c r="U134" s="242"/>
      <c r="V134" s="242"/>
      <c r="W134" s="242"/>
      <c r="X134" s="242"/>
      <c r="Y134" s="242"/>
      <c r="Z134" s="242"/>
      <c r="AA134" s="242"/>
    </row>
    <row r="135">
      <c r="A135" s="242"/>
      <c r="B135" s="242"/>
      <c r="C135" s="13"/>
      <c r="D135" s="242"/>
      <c r="E135" s="242"/>
      <c r="F135" s="242"/>
      <c r="G135" s="242"/>
      <c r="H135" s="13"/>
      <c r="I135" s="13"/>
      <c r="J135" s="13"/>
      <c r="K135" s="13"/>
      <c r="L135" s="242"/>
      <c r="M135" s="242"/>
      <c r="N135" s="242"/>
      <c r="O135" s="242"/>
      <c r="P135" s="242"/>
      <c r="Q135" s="242"/>
      <c r="R135" s="242"/>
      <c r="S135" s="242"/>
      <c r="T135" s="242"/>
      <c r="U135" s="242"/>
      <c r="V135" s="242"/>
      <c r="W135" s="242"/>
      <c r="X135" s="242"/>
      <c r="Y135" s="242"/>
      <c r="Z135" s="242"/>
      <c r="AA135" s="242"/>
    </row>
    <row r="136">
      <c r="A136" s="242"/>
      <c r="B136" s="242"/>
      <c r="C136" s="13"/>
      <c r="D136" s="242"/>
      <c r="E136" s="242"/>
      <c r="F136" s="242"/>
      <c r="G136" s="242"/>
      <c r="H136" s="13"/>
      <c r="I136" s="13"/>
      <c r="J136" s="13"/>
      <c r="K136" s="13"/>
      <c r="L136" s="242"/>
      <c r="M136" s="242"/>
      <c r="N136" s="242"/>
      <c r="O136" s="242"/>
      <c r="P136" s="242"/>
      <c r="Q136" s="242"/>
      <c r="R136" s="242"/>
      <c r="S136" s="242"/>
      <c r="T136" s="242"/>
      <c r="U136" s="242"/>
      <c r="V136" s="242"/>
      <c r="W136" s="242"/>
      <c r="X136" s="242"/>
      <c r="Y136" s="242"/>
      <c r="Z136" s="242"/>
      <c r="AA136" s="242"/>
    </row>
    <row r="137">
      <c r="A137" s="242"/>
      <c r="B137" s="242"/>
      <c r="C137" s="13"/>
      <c r="D137" s="242"/>
      <c r="E137" s="242"/>
      <c r="F137" s="242"/>
      <c r="G137" s="242"/>
      <c r="H137" s="13"/>
      <c r="I137" s="13"/>
      <c r="J137" s="13"/>
      <c r="K137" s="13"/>
      <c r="L137" s="242"/>
      <c r="M137" s="242"/>
      <c r="N137" s="242"/>
      <c r="O137" s="242"/>
      <c r="P137" s="242"/>
      <c r="Q137" s="242"/>
      <c r="R137" s="242"/>
      <c r="S137" s="242"/>
      <c r="T137" s="242"/>
      <c r="U137" s="242"/>
      <c r="V137" s="242"/>
      <c r="W137" s="242"/>
      <c r="X137" s="242"/>
      <c r="Y137" s="242"/>
      <c r="Z137" s="242"/>
      <c r="AA137" s="242"/>
    </row>
    <row r="138">
      <c r="A138" s="242"/>
      <c r="B138" s="242"/>
      <c r="C138" s="13"/>
      <c r="D138" s="242"/>
      <c r="E138" s="242"/>
      <c r="F138" s="242"/>
      <c r="G138" s="242"/>
      <c r="H138" s="13"/>
      <c r="I138" s="13"/>
      <c r="J138" s="13"/>
      <c r="K138" s="13"/>
      <c r="L138" s="242"/>
      <c r="M138" s="242"/>
      <c r="N138" s="242"/>
      <c r="O138" s="242"/>
      <c r="P138" s="242"/>
      <c r="Q138" s="242"/>
      <c r="R138" s="242"/>
      <c r="S138" s="242"/>
      <c r="T138" s="242"/>
      <c r="U138" s="242"/>
      <c r="V138" s="242"/>
      <c r="W138" s="242"/>
      <c r="X138" s="242"/>
      <c r="Y138" s="242"/>
      <c r="Z138" s="242"/>
      <c r="AA138" s="242"/>
    </row>
    <row r="139">
      <c r="A139" s="242"/>
      <c r="B139" s="242"/>
      <c r="C139" s="13"/>
      <c r="D139" s="242"/>
      <c r="E139" s="242"/>
      <c r="F139" s="242"/>
      <c r="G139" s="242"/>
      <c r="H139" s="13"/>
      <c r="I139" s="13"/>
      <c r="J139" s="13"/>
      <c r="K139" s="13"/>
      <c r="L139" s="242"/>
      <c r="M139" s="242"/>
      <c r="N139" s="242"/>
      <c r="O139" s="242"/>
      <c r="P139" s="242"/>
      <c r="Q139" s="242"/>
      <c r="R139" s="242"/>
      <c r="S139" s="242"/>
      <c r="T139" s="242"/>
      <c r="U139" s="242"/>
      <c r="V139" s="242"/>
      <c r="W139" s="242"/>
      <c r="X139" s="242"/>
      <c r="Y139" s="242"/>
      <c r="Z139" s="242"/>
      <c r="AA139" s="242"/>
    </row>
    <row r="140">
      <c r="A140" s="242"/>
      <c r="B140" s="242"/>
      <c r="C140" s="13"/>
      <c r="D140" s="242"/>
      <c r="E140" s="242"/>
      <c r="F140" s="242"/>
      <c r="G140" s="242"/>
      <c r="H140" s="13"/>
      <c r="I140" s="13"/>
      <c r="J140" s="13"/>
      <c r="K140" s="13"/>
      <c r="L140" s="242"/>
      <c r="M140" s="242"/>
      <c r="N140" s="242"/>
      <c r="O140" s="242"/>
      <c r="P140" s="242"/>
      <c r="Q140" s="242"/>
      <c r="R140" s="242"/>
      <c r="S140" s="242"/>
      <c r="T140" s="242"/>
      <c r="U140" s="242"/>
      <c r="V140" s="242"/>
      <c r="W140" s="242"/>
      <c r="X140" s="242"/>
      <c r="Y140" s="242"/>
      <c r="Z140" s="242"/>
      <c r="AA140" s="242"/>
    </row>
    <row r="141">
      <c r="A141" s="242"/>
      <c r="B141" s="242"/>
      <c r="C141" s="13"/>
      <c r="D141" s="242"/>
      <c r="E141" s="242"/>
      <c r="F141" s="242"/>
      <c r="G141" s="242"/>
      <c r="H141" s="13"/>
      <c r="I141" s="13"/>
      <c r="J141" s="13"/>
      <c r="K141" s="13"/>
      <c r="L141" s="242"/>
      <c r="M141" s="242"/>
      <c r="N141" s="242"/>
      <c r="O141" s="242"/>
      <c r="P141" s="242"/>
      <c r="Q141" s="242"/>
      <c r="R141" s="242"/>
      <c r="S141" s="242"/>
      <c r="T141" s="242"/>
      <c r="U141" s="242"/>
      <c r="V141" s="242"/>
      <c r="W141" s="242"/>
      <c r="X141" s="242"/>
      <c r="Y141" s="242"/>
      <c r="Z141" s="242"/>
      <c r="AA141" s="242"/>
    </row>
    <row r="142">
      <c r="A142" s="242"/>
      <c r="B142" s="242"/>
      <c r="C142" s="13"/>
      <c r="D142" s="242"/>
      <c r="E142" s="242"/>
      <c r="F142" s="242"/>
      <c r="G142" s="242"/>
      <c r="H142" s="13"/>
      <c r="I142" s="13"/>
      <c r="J142" s="13"/>
      <c r="K142" s="13"/>
      <c r="L142" s="242"/>
      <c r="M142" s="242"/>
      <c r="N142" s="242"/>
      <c r="O142" s="242"/>
      <c r="P142" s="242"/>
      <c r="Q142" s="242"/>
      <c r="R142" s="242"/>
      <c r="S142" s="242"/>
      <c r="T142" s="242"/>
      <c r="U142" s="242"/>
      <c r="V142" s="242"/>
      <c r="W142" s="242"/>
      <c r="X142" s="242"/>
      <c r="Y142" s="242"/>
      <c r="Z142" s="242"/>
      <c r="AA142" s="242"/>
    </row>
    <row r="143">
      <c r="A143" s="242"/>
      <c r="B143" s="242"/>
      <c r="C143" s="13"/>
      <c r="D143" s="242"/>
      <c r="E143" s="242"/>
      <c r="F143" s="242"/>
      <c r="G143" s="242"/>
      <c r="H143" s="13"/>
      <c r="I143" s="13"/>
      <c r="J143" s="13"/>
      <c r="K143" s="13"/>
      <c r="L143" s="242"/>
      <c r="M143" s="242"/>
      <c r="N143" s="242"/>
      <c r="O143" s="242"/>
      <c r="P143" s="242"/>
      <c r="Q143" s="242"/>
      <c r="R143" s="242"/>
      <c r="S143" s="242"/>
      <c r="T143" s="242"/>
      <c r="U143" s="242"/>
      <c r="V143" s="242"/>
      <c r="W143" s="242"/>
      <c r="X143" s="242"/>
      <c r="Y143" s="242"/>
      <c r="Z143" s="242"/>
      <c r="AA143" s="242"/>
    </row>
    <row r="144">
      <c r="A144" s="242"/>
      <c r="B144" s="242"/>
      <c r="C144" s="13"/>
      <c r="D144" s="242"/>
      <c r="E144" s="242"/>
      <c r="F144" s="242"/>
      <c r="G144" s="242"/>
      <c r="H144" s="13"/>
      <c r="I144" s="13"/>
      <c r="J144" s="13"/>
      <c r="K144" s="13"/>
      <c r="L144" s="242"/>
      <c r="M144" s="242"/>
      <c r="N144" s="242"/>
      <c r="O144" s="242"/>
      <c r="P144" s="242"/>
      <c r="Q144" s="242"/>
      <c r="R144" s="242"/>
      <c r="S144" s="242"/>
      <c r="T144" s="242"/>
      <c r="U144" s="242"/>
      <c r="V144" s="242"/>
      <c r="W144" s="242"/>
      <c r="X144" s="242"/>
      <c r="Y144" s="242"/>
      <c r="Z144" s="242"/>
      <c r="AA144" s="242"/>
    </row>
    <row r="145">
      <c r="A145" s="242"/>
      <c r="B145" s="242"/>
      <c r="C145" s="13"/>
      <c r="D145" s="242"/>
      <c r="E145" s="242"/>
      <c r="F145" s="242"/>
      <c r="G145" s="242"/>
      <c r="H145" s="13"/>
      <c r="I145" s="13"/>
      <c r="J145" s="13"/>
      <c r="K145" s="13"/>
      <c r="L145" s="242"/>
      <c r="M145" s="242"/>
      <c r="N145" s="242"/>
      <c r="O145" s="242"/>
      <c r="P145" s="242"/>
      <c r="Q145" s="242"/>
      <c r="R145" s="242"/>
      <c r="S145" s="242"/>
      <c r="T145" s="242"/>
      <c r="U145" s="242"/>
      <c r="V145" s="242"/>
      <c r="W145" s="242"/>
      <c r="X145" s="242"/>
      <c r="Y145" s="242"/>
      <c r="Z145" s="242"/>
      <c r="AA145" s="242"/>
    </row>
    <row r="146">
      <c r="A146" s="242"/>
      <c r="B146" s="242"/>
      <c r="C146" s="13"/>
      <c r="D146" s="242"/>
      <c r="E146" s="242"/>
      <c r="F146" s="242"/>
      <c r="G146" s="242"/>
      <c r="H146" s="13"/>
      <c r="I146" s="13"/>
      <c r="J146" s="13"/>
      <c r="K146" s="13"/>
      <c r="L146" s="242"/>
      <c r="M146" s="242"/>
      <c r="N146" s="242"/>
      <c r="O146" s="242"/>
      <c r="P146" s="242"/>
      <c r="Q146" s="242"/>
      <c r="R146" s="242"/>
      <c r="S146" s="242"/>
      <c r="T146" s="242"/>
      <c r="U146" s="242"/>
      <c r="V146" s="242"/>
      <c r="W146" s="242"/>
      <c r="X146" s="242"/>
      <c r="Y146" s="242"/>
      <c r="Z146" s="242"/>
      <c r="AA146" s="242"/>
    </row>
    <row r="147">
      <c r="A147" s="242"/>
      <c r="B147" s="242"/>
      <c r="C147" s="13"/>
      <c r="D147" s="242"/>
      <c r="E147" s="242"/>
      <c r="F147" s="242"/>
      <c r="G147" s="242"/>
      <c r="H147" s="13"/>
      <c r="I147" s="13"/>
      <c r="J147" s="13"/>
      <c r="K147" s="13"/>
      <c r="L147" s="242"/>
      <c r="M147" s="242"/>
      <c r="N147" s="242"/>
      <c r="O147" s="242"/>
      <c r="P147" s="242"/>
      <c r="Q147" s="242"/>
      <c r="R147" s="242"/>
      <c r="S147" s="242"/>
      <c r="T147" s="242"/>
      <c r="U147" s="242"/>
      <c r="V147" s="242"/>
      <c r="W147" s="242"/>
      <c r="X147" s="242"/>
      <c r="Y147" s="242"/>
      <c r="Z147" s="242"/>
      <c r="AA147" s="242"/>
    </row>
    <row r="148">
      <c r="A148" s="242"/>
      <c r="B148" s="242"/>
      <c r="C148" s="13"/>
      <c r="D148" s="242"/>
      <c r="E148" s="242"/>
      <c r="F148" s="242"/>
      <c r="G148" s="242"/>
      <c r="H148" s="13"/>
      <c r="I148" s="13"/>
      <c r="J148" s="13"/>
      <c r="K148" s="13"/>
      <c r="L148" s="242"/>
      <c r="M148" s="242"/>
      <c r="N148" s="242"/>
      <c r="O148" s="242"/>
      <c r="P148" s="242"/>
      <c r="Q148" s="242"/>
      <c r="R148" s="242"/>
      <c r="S148" s="242"/>
      <c r="T148" s="242"/>
      <c r="U148" s="242"/>
      <c r="V148" s="242"/>
      <c r="W148" s="242"/>
      <c r="X148" s="242"/>
      <c r="Y148" s="242"/>
      <c r="Z148" s="242"/>
      <c r="AA148" s="242"/>
    </row>
    <row r="149">
      <c r="A149" s="242"/>
      <c r="B149" s="242"/>
      <c r="C149" s="13"/>
      <c r="D149" s="242"/>
      <c r="E149" s="242"/>
      <c r="F149" s="242"/>
      <c r="G149" s="242"/>
      <c r="H149" s="13"/>
      <c r="I149" s="13"/>
      <c r="J149" s="13"/>
      <c r="K149" s="13"/>
      <c r="L149" s="242"/>
      <c r="M149" s="242"/>
      <c r="N149" s="242"/>
      <c r="O149" s="242"/>
      <c r="P149" s="242"/>
      <c r="Q149" s="242"/>
      <c r="R149" s="242"/>
      <c r="S149" s="242"/>
      <c r="T149" s="242"/>
      <c r="U149" s="242"/>
      <c r="V149" s="242"/>
      <c r="W149" s="242"/>
      <c r="X149" s="242"/>
      <c r="Y149" s="242"/>
      <c r="Z149" s="242"/>
      <c r="AA149" s="242"/>
    </row>
    <row r="150">
      <c r="A150" s="242"/>
      <c r="B150" s="242"/>
      <c r="C150" s="13"/>
      <c r="D150" s="242"/>
      <c r="E150" s="242"/>
      <c r="F150" s="242"/>
      <c r="G150" s="242"/>
      <c r="H150" s="13"/>
      <c r="I150" s="13"/>
      <c r="J150" s="13"/>
      <c r="K150" s="13"/>
      <c r="L150" s="242"/>
      <c r="M150" s="242"/>
      <c r="N150" s="242"/>
      <c r="O150" s="242"/>
      <c r="P150" s="242"/>
      <c r="Q150" s="242"/>
      <c r="R150" s="242"/>
      <c r="S150" s="242"/>
      <c r="T150" s="242"/>
      <c r="U150" s="242"/>
      <c r="V150" s="242"/>
      <c r="W150" s="242"/>
      <c r="X150" s="242"/>
      <c r="Y150" s="242"/>
      <c r="Z150" s="242"/>
      <c r="AA150" s="242"/>
    </row>
    <row r="151">
      <c r="A151" s="242"/>
      <c r="B151" s="242"/>
      <c r="C151" s="13"/>
      <c r="D151" s="242"/>
      <c r="E151" s="242"/>
      <c r="F151" s="242"/>
      <c r="G151" s="242"/>
      <c r="H151" s="13"/>
      <c r="I151" s="13"/>
      <c r="J151" s="13"/>
      <c r="K151" s="13"/>
      <c r="L151" s="242"/>
      <c r="M151" s="242"/>
      <c r="N151" s="242"/>
      <c r="O151" s="242"/>
      <c r="P151" s="242"/>
      <c r="Q151" s="242"/>
      <c r="R151" s="242"/>
      <c r="S151" s="242"/>
      <c r="T151" s="242"/>
      <c r="U151" s="242"/>
      <c r="V151" s="242"/>
      <c r="W151" s="242"/>
      <c r="X151" s="242"/>
      <c r="Y151" s="242"/>
      <c r="Z151" s="242"/>
      <c r="AA151" s="242"/>
    </row>
    <row r="152">
      <c r="A152" s="242"/>
      <c r="B152" s="242"/>
      <c r="C152" s="13"/>
      <c r="D152" s="242"/>
      <c r="E152" s="242"/>
      <c r="F152" s="242"/>
      <c r="G152" s="242"/>
      <c r="H152" s="13"/>
      <c r="I152" s="13"/>
      <c r="J152" s="13"/>
      <c r="K152" s="13"/>
      <c r="L152" s="242"/>
      <c r="M152" s="242"/>
      <c r="N152" s="242"/>
      <c r="O152" s="242"/>
      <c r="P152" s="242"/>
      <c r="Q152" s="242"/>
      <c r="R152" s="242"/>
      <c r="S152" s="242"/>
      <c r="T152" s="242"/>
      <c r="U152" s="242"/>
      <c r="V152" s="242"/>
      <c r="W152" s="242"/>
      <c r="X152" s="242"/>
      <c r="Y152" s="242"/>
      <c r="Z152" s="242"/>
      <c r="AA152" s="242"/>
    </row>
    <row r="153">
      <c r="A153" s="242"/>
      <c r="B153" s="242"/>
      <c r="C153" s="13"/>
      <c r="D153" s="242"/>
      <c r="E153" s="242"/>
      <c r="F153" s="242"/>
      <c r="G153" s="242"/>
      <c r="H153" s="13"/>
      <c r="I153" s="13"/>
      <c r="J153" s="13"/>
      <c r="K153" s="13"/>
      <c r="L153" s="242"/>
      <c r="M153" s="242"/>
      <c r="N153" s="242"/>
      <c r="O153" s="242"/>
      <c r="P153" s="242"/>
      <c r="Q153" s="242"/>
      <c r="R153" s="242"/>
      <c r="S153" s="242"/>
      <c r="T153" s="242"/>
      <c r="U153" s="242"/>
      <c r="V153" s="242"/>
      <c r="W153" s="242"/>
      <c r="X153" s="242"/>
      <c r="Y153" s="242"/>
      <c r="Z153" s="242"/>
      <c r="AA153" s="242"/>
    </row>
    <row r="154">
      <c r="A154" s="242"/>
      <c r="B154" s="242"/>
      <c r="C154" s="13"/>
      <c r="D154" s="242"/>
      <c r="E154" s="242"/>
      <c r="F154" s="242"/>
      <c r="G154" s="242"/>
      <c r="H154" s="13"/>
      <c r="I154" s="13"/>
      <c r="J154" s="13"/>
      <c r="K154" s="13"/>
      <c r="L154" s="242"/>
      <c r="M154" s="242"/>
      <c r="N154" s="242"/>
      <c r="O154" s="242"/>
      <c r="P154" s="242"/>
      <c r="Q154" s="242"/>
      <c r="R154" s="242"/>
      <c r="S154" s="242"/>
      <c r="T154" s="242"/>
      <c r="U154" s="242"/>
      <c r="V154" s="242"/>
      <c r="W154" s="242"/>
      <c r="X154" s="242"/>
      <c r="Y154" s="242"/>
      <c r="Z154" s="242"/>
      <c r="AA154" s="242"/>
    </row>
    <row r="155">
      <c r="A155" s="242"/>
      <c r="B155" s="242"/>
      <c r="C155" s="13"/>
      <c r="D155" s="242"/>
      <c r="E155" s="242"/>
      <c r="F155" s="242"/>
      <c r="G155" s="242"/>
      <c r="H155" s="13"/>
      <c r="I155" s="13"/>
      <c r="J155" s="13"/>
      <c r="K155" s="13"/>
      <c r="L155" s="242"/>
      <c r="M155" s="242"/>
      <c r="N155" s="242"/>
      <c r="O155" s="242"/>
      <c r="P155" s="242"/>
      <c r="Q155" s="242"/>
      <c r="R155" s="242"/>
      <c r="S155" s="242"/>
      <c r="T155" s="242"/>
      <c r="U155" s="242"/>
      <c r="V155" s="242"/>
      <c r="W155" s="242"/>
      <c r="X155" s="242"/>
      <c r="Y155" s="242"/>
      <c r="Z155" s="242"/>
      <c r="AA155" s="242"/>
    </row>
    <row r="156">
      <c r="A156" s="242"/>
      <c r="B156" s="242"/>
      <c r="C156" s="13"/>
      <c r="D156" s="242"/>
      <c r="E156" s="242"/>
      <c r="F156" s="242"/>
      <c r="G156" s="242"/>
      <c r="H156" s="13"/>
      <c r="I156" s="13"/>
      <c r="J156" s="13"/>
      <c r="K156" s="13"/>
      <c r="L156" s="242"/>
      <c r="M156" s="242"/>
      <c r="N156" s="242"/>
      <c r="O156" s="242"/>
      <c r="P156" s="242"/>
      <c r="Q156" s="242"/>
      <c r="R156" s="242"/>
      <c r="S156" s="242"/>
      <c r="T156" s="242"/>
      <c r="U156" s="242"/>
      <c r="V156" s="242"/>
      <c r="W156" s="242"/>
      <c r="X156" s="242"/>
      <c r="Y156" s="242"/>
      <c r="Z156" s="242"/>
      <c r="AA156" s="242"/>
    </row>
    <row r="157">
      <c r="A157" s="242"/>
      <c r="B157" s="242"/>
      <c r="C157" s="13"/>
      <c r="D157" s="242"/>
      <c r="E157" s="242"/>
      <c r="F157" s="242"/>
      <c r="G157" s="242"/>
      <c r="H157" s="13"/>
      <c r="I157" s="13"/>
      <c r="J157" s="13"/>
      <c r="K157" s="13"/>
      <c r="L157" s="242"/>
      <c r="M157" s="242"/>
      <c r="N157" s="242"/>
      <c r="O157" s="242"/>
      <c r="P157" s="242"/>
      <c r="Q157" s="242"/>
      <c r="R157" s="242"/>
      <c r="S157" s="242"/>
      <c r="T157" s="242"/>
      <c r="U157" s="242"/>
      <c r="V157" s="242"/>
      <c r="W157" s="242"/>
      <c r="X157" s="242"/>
      <c r="Y157" s="242"/>
      <c r="Z157" s="242"/>
      <c r="AA157" s="242"/>
    </row>
    <row r="158">
      <c r="A158" s="242"/>
      <c r="B158" s="242"/>
      <c r="C158" s="13"/>
      <c r="D158" s="242"/>
      <c r="E158" s="242"/>
      <c r="F158" s="242"/>
      <c r="G158" s="242"/>
      <c r="H158" s="13"/>
      <c r="I158" s="13"/>
      <c r="J158" s="13"/>
      <c r="K158" s="13"/>
      <c r="L158" s="242"/>
      <c r="M158" s="242"/>
      <c r="N158" s="242"/>
      <c r="O158" s="242"/>
      <c r="P158" s="242"/>
      <c r="Q158" s="242"/>
      <c r="R158" s="242"/>
      <c r="S158" s="242"/>
      <c r="T158" s="242"/>
      <c r="U158" s="242"/>
      <c r="V158" s="242"/>
      <c r="W158" s="242"/>
      <c r="X158" s="242"/>
      <c r="Y158" s="242"/>
      <c r="Z158" s="242"/>
      <c r="AA158" s="242"/>
    </row>
    <row r="159">
      <c r="A159" s="242"/>
      <c r="B159" s="242"/>
      <c r="C159" s="13"/>
      <c r="D159" s="242"/>
      <c r="E159" s="242"/>
      <c r="F159" s="242"/>
      <c r="G159" s="242"/>
      <c r="H159" s="13"/>
      <c r="I159" s="13"/>
      <c r="J159" s="13"/>
      <c r="K159" s="13"/>
      <c r="L159" s="242"/>
      <c r="M159" s="242"/>
      <c r="N159" s="242"/>
      <c r="O159" s="242"/>
      <c r="P159" s="242"/>
      <c r="Q159" s="242"/>
      <c r="R159" s="242"/>
      <c r="S159" s="242"/>
      <c r="T159" s="242"/>
      <c r="U159" s="242"/>
      <c r="V159" s="242"/>
      <c r="W159" s="242"/>
      <c r="X159" s="242"/>
      <c r="Y159" s="242"/>
      <c r="Z159" s="242"/>
      <c r="AA159" s="242"/>
    </row>
    <row r="160">
      <c r="A160" s="242"/>
      <c r="B160" s="242"/>
      <c r="C160" s="13"/>
      <c r="D160" s="242"/>
      <c r="E160" s="242"/>
      <c r="F160" s="242"/>
      <c r="G160" s="242"/>
      <c r="H160" s="13"/>
      <c r="I160" s="13"/>
      <c r="J160" s="13"/>
      <c r="K160" s="13"/>
      <c r="L160" s="242"/>
      <c r="M160" s="242"/>
      <c r="N160" s="242"/>
      <c r="O160" s="242"/>
      <c r="P160" s="242"/>
      <c r="Q160" s="242"/>
      <c r="R160" s="242"/>
      <c r="S160" s="242"/>
      <c r="T160" s="242"/>
      <c r="U160" s="242"/>
      <c r="V160" s="242"/>
      <c r="W160" s="242"/>
      <c r="X160" s="242"/>
      <c r="Y160" s="242"/>
      <c r="Z160" s="242"/>
      <c r="AA160" s="242"/>
    </row>
    <row r="161">
      <c r="A161" s="242"/>
      <c r="B161" s="242"/>
      <c r="C161" s="13"/>
      <c r="D161" s="242"/>
      <c r="E161" s="242"/>
      <c r="F161" s="242"/>
      <c r="G161" s="242"/>
      <c r="H161" s="13"/>
      <c r="I161" s="13"/>
      <c r="J161" s="13"/>
      <c r="K161" s="13"/>
      <c r="L161" s="242"/>
      <c r="M161" s="242"/>
      <c r="N161" s="242"/>
      <c r="O161" s="242"/>
      <c r="P161" s="242"/>
      <c r="Q161" s="242"/>
      <c r="R161" s="242"/>
      <c r="S161" s="242"/>
      <c r="T161" s="242"/>
      <c r="U161" s="242"/>
      <c r="V161" s="242"/>
      <c r="W161" s="242"/>
      <c r="X161" s="242"/>
      <c r="Y161" s="242"/>
      <c r="Z161" s="242"/>
      <c r="AA161" s="242"/>
    </row>
    <row r="162">
      <c r="A162" s="242"/>
      <c r="B162" s="242"/>
      <c r="C162" s="13"/>
      <c r="D162" s="242"/>
      <c r="E162" s="242"/>
      <c r="F162" s="242"/>
      <c r="G162" s="242"/>
      <c r="H162" s="13"/>
      <c r="I162" s="13"/>
      <c r="J162" s="13"/>
      <c r="K162" s="13"/>
      <c r="L162" s="242"/>
      <c r="M162" s="242"/>
      <c r="N162" s="242"/>
      <c r="O162" s="242"/>
      <c r="P162" s="242"/>
      <c r="Q162" s="242"/>
      <c r="R162" s="242"/>
      <c r="S162" s="242"/>
      <c r="T162" s="242"/>
      <c r="U162" s="242"/>
      <c r="V162" s="242"/>
      <c r="W162" s="242"/>
      <c r="X162" s="242"/>
      <c r="Y162" s="242"/>
      <c r="Z162" s="242"/>
      <c r="AA162" s="242"/>
    </row>
    <row r="163">
      <c r="A163" s="242"/>
      <c r="B163" s="242"/>
      <c r="C163" s="13"/>
      <c r="D163" s="242"/>
      <c r="E163" s="242"/>
      <c r="F163" s="242"/>
      <c r="G163" s="242"/>
      <c r="H163" s="13"/>
      <c r="I163" s="13"/>
      <c r="J163" s="13"/>
      <c r="K163" s="13"/>
      <c r="L163" s="242"/>
      <c r="M163" s="242"/>
      <c r="N163" s="242"/>
      <c r="O163" s="242"/>
      <c r="P163" s="242"/>
      <c r="Q163" s="242"/>
      <c r="R163" s="242"/>
      <c r="S163" s="242"/>
      <c r="T163" s="242"/>
      <c r="U163" s="242"/>
      <c r="V163" s="242"/>
      <c r="W163" s="242"/>
      <c r="X163" s="242"/>
      <c r="Y163" s="242"/>
      <c r="Z163" s="242"/>
      <c r="AA163" s="242"/>
    </row>
    <row r="164">
      <c r="A164" s="242"/>
      <c r="B164" s="242"/>
      <c r="C164" s="13"/>
      <c r="D164" s="242"/>
      <c r="E164" s="242"/>
      <c r="F164" s="242"/>
      <c r="G164" s="242"/>
      <c r="H164" s="13"/>
      <c r="I164" s="13"/>
      <c r="J164" s="13"/>
      <c r="K164" s="13"/>
      <c r="L164" s="242"/>
      <c r="M164" s="242"/>
      <c r="N164" s="242"/>
      <c r="O164" s="242"/>
      <c r="P164" s="242"/>
      <c r="Q164" s="242"/>
      <c r="R164" s="242"/>
      <c r="S164" s="242"/>
      <c r="T164" s="242"/>
      <c r="U164" s="242"/>
      <c r="V164" s="242"/>
      <c r="W164" s="242"/>
      <c r="X164" s="242"/>
      <c r="Y164" s="242"/>
      <c r="Z164" s="242"/>
      <c r="AA164" s="242"/>
    </row>
    <row r="165">
      <c r="A165" s="242"/>
      <c r="B165" s="242"/>
      <c r="C165" s="13"/>
      <c r="D165" s="242"/>
      <c r="E165" s="242"/>
      <c r="F165" s="242"/>
      <c r="G165" s="242"/>
      <c r="H165" s="13"/>
      <c r="I165" s="13"/>
      <c r="J165" s="13"/>
      <c r="K165" s="13"/>
      <c r="L165" s="242"/>
      <c r="M165" s="242"/>
      <c r="N165" s="242"/>
      <c r="O165" s="242"/>
      <c r="P165" s="242"/>
      <c r="Q165" s="242"/>
      <c r="R165" s="242"/>
      <c r="S165" s="242"/>
      <c r="T165" s="242"/>
      <c r="U165" s="242"/>
      <c r="V165" s="242"/>
      <c r="W165" s="242"/>
      <c r="X165" s="242"/>
      <c r="Y165" s="242"/>
      <c r="Z165" s="242"/>
      <c r="AA165" s="242"/>
    </row>
    <row r="166">
      <c r="A166" s="242"/>
      <c r="B166" s="242"/>
      <c r="C166" s="13"/>
      <c r="D166" s="242"/>
      <c r="E166" s="242"/>
      <c r="F166" s="242"/>
      <c r="G166" s="242"/>
      <c r="H166" s="13"/>
      <c r="I166" s="13"/>
      <c r="J166" s="13"/>
      <c r="K166" s="13"/>
      <c r="L166" s="242"/>
      <c r="M166" s="242"/>
      <c r="N166" s="242"/>
      <c r="O166" s="242"/>
      <c r="P166" s="242"/>
      <c r="Q166" s="242"/>
      <c r="R166" s="242"/>
      <c r="S166" s="242"/>
      <c r="T166" s="242"/>
      <c r="U166" s="242"/>
      <c r="V166" s="242"/>
      <c r="W166" s="242"/>
      <c r="X166" s="242"/>
      <c r="Y166" s="242"/>
      <c r="Z166" s="242"/>
      <c r="AA166" s="242"/>
    </row>
    <row r="167">
      <c r="A167" s="242"/>
      <c r="B167" s="242"/>
      <c r="C167" s="13"/>
      <c r="D167" s="242"/>
      <c r="E167" s="242"/>
      <c r="F167" s="242"/>
      <c r="G167" s="242"/>
      <c r="H167" s="13"/>
      <c r="I167" s="13"/>
      <c r="J167" s="13"/>
      <c r="K167" s="13"/>
      <c r="L167" s="242"/>
      <c r="M167" s="242"/>
      <c r="N167" s="242"/>
      <c r="O167" s="242"/>
      <c r="P167" s="242"/>
      <c r="Q167" s="242"/>
      <c r="R167" s="242"/>
      <c r="S167" s="242"/>
      <c r="T167" s="242"/>
      <c r="U167" s="242"/>
      <c r="V167" s="242"/>
      <c r="W167" s="242"/>
      <c r="X167" s="242"/>
      <c r="Y167" s="242"/>
      <c r="Z167" s="242"/>
      <c r="AA167" s="242"/>
    </row>
    <row r="168">
      <c r="A168" s="242"/>
      <c r="B168" s="242"/>
      <c r="C168" s="13"/>
      <c r="D168" s="242"/>
      <c r="E168" s="242"/>
      <c r="F168" s="242"/>
      <c r="G168" s="242"/>
      <c r="H168" s="13"/>
      <c r="I168" s="13"/>
      <c r="J168" s="13"/>
      <c r="K168" s="13"/>
      <c r="L168" s="242"/>
      <c r="M168" s="242"/>
      <c r="N168" s="242"/>
      <c r="O168" s="242"/>
      <c r="P168" s="242"/>
      <c r="Q168" s="242"/>
      <c r="R168" s="242"/>
      <c r="S168" s="242"/>
      <c r="T168" s="242"/>
      <c r="U168" s="242"/>
      <c r="V168" s="242"/>
      <c r="W168" s="242"/>
      <c r="X168" s="242"/>
      <c r="Y168" s="242"/>
      <c r="Z168" s="242"/>
      <c r="AA168" s="242"/>
    </row>
    <row r="169">
      <c r="A169" s="242"/>
      <c r="B169" s="242"/>
      <c r="C169" s="13"/>
      <c r="D169" s="242"/>
      <c r="E169" s="242"/>
      <c r="F169" s="242"/>
      <c r="G169" s="242"/>
      <c r="H169" s="13"/>
      <c r="I169" s="13"/>
      <c r="J169" s="13"/>
      <c r="K169" s="13"/>
      <c r="L169" s="242"/>
      <c r="M169" s="242"/>
      <c r="N169" s="242"/>
      <c r="O169" s="242"/>
      <c r="P169" s="242"/>
      <c r="Q169" s="242"/>
      <c r="R169" s="242"/>
      <c r="S169" s="242"/>
      <c r="T169" s="242"/>
      <c r="U169" s="242"/>
      <c r="V169" s="242"/>
      <c r="W169" s="242"/>
      <c r="X169" s="242"/>
      <c r="Y169" s="242"/>
      <c r="Z169" s="242"/>
      <c r="AA169" s="242"/>
    </row>
    <row r="170">
      <c r="A170" s="242"/>
      <c r="B170" s="242"/>
      <c r="C170" s="13"/>
      <c r="D170" s="242"/>
      <c r="E170" s="242"/>
      <c r="F170" s="242"/>
      <c r="G170" s="242"/>
      <c r="H170" s="13"/>
      <c r="I170" s="13"/>
      <c r="J170" s="13"/>
      <c r="K170" s="13"/>
      <c r="L170" s="242"/>
      <c r="M170" s="242"/>
      <c r="N170" s="242"/>
      <c r="O170" s="242"/>
      <c r="P170" s="242"/>
      <c r="Q170" s="242"/>
      <c r="R170" s="242"/>
      <c r="S170" s="242"/>
      <c r="T170" s="242"/>
      <c r="U170" s="242"/>
      <c r="V170" s="242"/>
      <c r="W170" s="242"/>
      <c r="X170" s="242"/>
      <c r="Y170" s="242"/>
      <c r="Z170" s="242"/>
      <c r="AA170" s="242"/>
    </row>
    <row r="171">
      <c r="A171" s="242"/>
      <c r="B171" s="242"/>
      <c r="C171" s="13"/>
      <c r="D171" s="242"/>
      <c r="E171" s="242"/>
      <c r="F171" s="242"/>
      <c r="G171" s="242"/>
      <c r="H171" s="13"/>
      <c r="I171" s="13"/>
      <c r="J171" s="13"/>
      <c r="K171" s="13"/>
      <c r="L171" s="242"/>
      <c r="M171" s="242"/>
      <c r="N171" s="242"/>
      <c r="O171" s="242"/>
      <c r="P171" s="242"/>
      <c r="Q171" s="242"/>
      <c r="R171" s="242"/>
      <c r="S171" s="242"/>
      <c r="T171" s="242"/>
      <c r="U171" s="242"/>
      <c r="V171" s="242"/>
      <c r="W171" s="242"/>
      <c r="X171" s="242"/>
      <c r="Y171" s="242"/>
      <c r="Z171" s="242"/>
      <c r="AA171" s="242"/>
    </row>
    <row r="172">
      <c r="A172" s="242"/>
      <c r="B172" s="242"/>
      <c r="C172" s="13"/>
      <c r="D172" s="242"/>
      <c r="E172" s="242"/>
      <c r="F172" s="242"/>
      <c r="G172" s="242"/>
      <c r="H172" s="13"/>
      <c r="I172" s="13"/>
      <c r="J172" s="13"/>
      <c r="K172" s="13"/>
      <c r="L172" s="242"/>
      <c r="M172" s="242"/>
      <c r="N172" s="242"/>
      <c r="O172" s="242"/>
      <c r="P172" s="242"/>
      <c r="Q172" s="242"/>
      <c r="R172" s="242"/>
      <c r="S172" s="242"/>
      <c r="T172" s="242"/>
      <c r="U172" s="242"/>
      <c r="V172" s="242"/>
      <c r="W172" s="242"/>
      <c r="X172" s="242"/>
      <c r="Y172" s="242"/>
      <c r="Z172" s="242"/>
      <c r="AA172" s="242"/>
    </row>
    <row r="173">
      <c r="A173" s="242"/>
      <c r="B173" s="242"/>
      <c r="C173" s="13"/>
      <c r="D173" s="242"/>
      <c r="E173" s="242"/>
      <c r="F173" s="242"/>
      <c r="G173" s="242"/>
      <c r="H173" s="13"/>
      <c r="I173" s="13"/>
      <c r="J173" s="13"/>
      <c r="K173" s="13"/>
      <c r="L173" s="242"/>
      <c r="M173" s="242"/>
      <c r="N173" s="242"/>
      <c r="O173" s="242"/>
      <c r="P173" s="242"/>
      <c r="Q173" s="242"/>
      <c r="R173" s="242"/>
      <c r="S173" s="242"/>
      <c r="T173" s="242"/>
      <c r="U173" s="242"/>
      <c r="V173" s="242"/>
      <c r="W173" s="242"/>
      <c r="X173" s="242"/>
      <c r="Y173" s="242"/>
      <c r="Z173" s="242"/>
      <c r="AA173" s="242"/>
    </row>
    <row r="174">
      <c r="A174" s="242"/>
      <c r="B174" s="242"/>
      <c r="C174" s="13"/>
      <c r="D174" s="242"/>
      <c r="E174" s="242"/>
      <c r="F174" s="242"/>
      <c r="G174" s="242"/>
      <c r="H174" s="13"/>
      <c r="I174" s="13"/>
      <c r="J174" s="13"/>
      <c r="K174" s="13"/>
      <c r="L174" s="242"/>
      <c r="M174" s="242"/>
      <c r="N174" s="242"/>
      <c r="O174" s="242"/>
      <c r="P174" s="242"/>
      <c r="Q174" s="242"/>
      <c r="R174" s="242"/>
      <c r="S174" s="242"/>
      <c r="T174" s="242"/>
      <c r="U174" s="242"/>
      <c r="V174" s="242"/>
      <c r="W174" s="242"/>
      <c r="X174" s="242"/>
      <c r="Y174" s="242"/>
      <c r="Z174" s="242"/>
      <c r="AA174" s="242"/>
    </row>
    <row r="175">
      <c r="A175" s="242"/>
      <c r="B175" s="242"/>
      <c r="C175" s="13"/>
      <c r="D175" s="242"/>
      <c r="E175" s="242"/>
      <c r="F175" s="242"/>
      <c r="G175" s="242"/>
      <c r="H175" s="13"/>
      <c r="I175" s="13"/>
      <c r="J175" s="13"/>
      <c r="K175" s="13"/>
      <c r="L175" s="242"/>
      <c r="M175" s="242"/>
      <c r="N175" s="242"/>
      <c r="O175" s="242"/>
      <c r="P175" s="242"/>
      <c r="Q175" s="242"/>
      <c r="R175" s="242"/>
      <c r="S175" s="242"/>
      <c r="T175" s="242"/>
      <c r="U175" s="242"/>
      <c r="V175" s="242"/>
      <c r="W175" s="242"/>
      <c r="X175" s="242"/>
      <c r="Y175" s="242"/>
      <c r="Z175" s="242"/>
      <c r="AA175" s="242"/>
    </row>
    <row r="176">
      <c r="A176" s="242"/>
      <c r="B176" s="242"/>
      <c r="C176" s="13"/>
      <c r="D176" s="242"/>
      <c r="E176" s="242"/>
      <c r="F176" s="242"/>
      <c r="G176" s="242"/>
      <c r="H176" s="13"/>
      <c r="I176" s="13"/>
      <c r="J176" s="13"/>
      <c r="K176" s="13"/>
      <c r="L176" s="242"/>
      <c r="M176" s="242"/>
      <c r="N176" s="242"/>
      <c r="O176" s="242"/>
      <c r="P176" s="242"/>
      <c r="Q176" s="242"/>
      <c r="R176" s="242"/>
      <c r="S176" s="242"/>
      <c r="T176" s="242"/>
      <c r="U176" s="242"/>
      <c r="V176" s="242"/>
      <c r="W176" s="242"/>
      <c r="X176" s="242"/>
      <c r="Y176" s="242"/>
      <c r="Z176" s="242"/>
      <c r="AA176" s="242"/>
    </row>
    <row r="177">
      <c r="A177" s="242"/>
      <c r="B177" s="242"/>
      <c r="C177" s="13"/>
      <c r="D177" s="242"/>
      <c r="E177" s="242"/>
      <c r="F177" s="242"/>
      <c r="G177" s="242"/>
      <c r="H177" s="13"/>
      <c r="I177" s="13"/>
      <c r="J177" s="13"/>
      <c r="K177" s="13"/>
      <c r="L177" s="242"/>
      <c r="M177" s="242"/>
      <c r="N177" s="242"/>
      <c r="O177" s="242"/>
      <c r="P177" s="242"/>
      <c r="Q177" s="242"/>
      <c r="R177" s="242"/>
      <c r="S177" s="242"/>
      <c r="T177" s="242"/>
      <c r="U177" s="242"/>
      <c r="V177" s="242"/>
      <c r="W177" s="242"/>
      <c r="X177" s="242"/>
      <c r="Y177" s="242"/>
      <c r="Z177" s="242"/>
      <c r="AA177" s="242"/>
    </row>
    <row r="178">
      <c r="A178" s="242"/>
      <c r="B178" s="242"/>
      <c r="C178" s="13"/>
      <c r="D178" s="242"/>
      <c r="E178" s="242"/>
      <c r="F178" s="242"/>
      <c r="G178" s="242"/>
      <c r="H178" s="13"/>
      <c r="I178" s="13"/>
      <c r="J178" s="13"/>
      <c r="K178" s="13"/>
      <c r="L178" s="242"/>
      <c r="M178" s="242"/>
      <c r="N178" s="242"/>
      <c r="O178" s="242"/>
      <c r="P178" s="242"/>
      <c r="Q178" s="242"/>
      <c r="R178" s="242"/>
      <c r="S178" s="242"/>
      <c r="T178" s="242"/>
      <c r="U178" s="242"/>
      <c r="V178" s="242"/>
      <c r="W178" s="242"/>
      <c r="X178" s="242"/>
      <c r="Y178" s="242"/>
      <c r="Z178" s="242"/>
      <c r="AA178" s="242"/>
    </row>
    <row r="179">
      <c r="A179" s="242"/>
      <c r="B179" s="242"/>
      <c r="C179" s="13"/>
      <c r="D179" s="242"/>
      <c r="E179" s="242"/>
      <c r="F179" s="242"/>
      <c r="G179" s="242"/>
      <c r="H179" s="13"/>
      <c r="I179" s="13"/>
      <c r="J179" s="13"/>
      <c r="K179" s="13"/>
      <c r="L179" s="242"/>
      <c r="M179" s="242"/>
      <c r="N179" s="242"/>
      <c r="O179" s="242"/>
      <c r="P179" s="242"/>
      <c r="Q179" s="242"/>
      <c r="R179" s="242"/>
      <c r="S179" s="242"/>
      <c r="T179" s="242"/>
      <c r="U179" s="242"/>
      <c r="V179" s="242"/>
      <c r="W179" s="242"/>
      <c r="X179" s="242"/>
      <c r="Y179" s="242"/>
      <c r="Z179" s="242"/>
      <c r="AA179" s="242"/>
    </row>
    <row r="180">
      <c r="A180" s="242"/>
      <c r="B180" s="242"/>
      <c r="C180" s="13"/>
      <c r="D180" s="242"/>
      <c r="E180" s="242"/>
      <c r="F180" s="242"/>
      <c r="G180" s="242"/>
      <c r="H180" s="13"/>
      <c r="I180" s="13"/>
      <c r="J180" s="13"/>
      <c r="K180" s="13"/>
      <c r="L180" s="242"/>
      <c r="M180" s="242"/>
      <c r="N180" s="242"/>
      <c r="O180" s="242"/>
      <c r="P180" s="242"/>
      <c r="Q180" s="242"/>
      <c r="R180" s="242"/>
      <c r="S180" s="242"/>
      <c r="T180" s="242"/>
      <c r="U180" s="242"/>
      <c r="V180" s="242"/>
      <c r="W180" s="242"/>
      <c r="X180" s="242"/>
      <c r="Y180" s="242"/>
      <c r="Z180" s="242"/>
      <c r="AA180" s="242"/>
    </row>
    <row r="181">
      <c r="A181" s="242"/>
      <c r="B181" s="242"/>
      <c r="C181" s="13"/>
      <c r="D181" s="242"/>
      <c r="E181" s="242"/>
      <c r="F181" s="242"/>
      <c r="G181" s="242"/>
      <c r="H181" s="13"/>
      <c r="I181" s="13"/>
      <c r="J181" s="13"/>
      <c r="K181" s="13"/>
      <c r="L181" s="242"/>
      <c r="M181" s="242"/>
      <c r="N181" s="242"/>
      <c r="O181" s="242"/>
      <c r="P181" s="242"/>
      <c r="Q181" s="242"/>
      <c r="R181" s="242"/>
      <c r="S181" s="242"/>
      <c r="T181" s="242"/>
      <c r="U181" s="242"/>
      <c r="V181" s="242"/>
      <c r="W181" s="242"/>
      <c r="X181" s="242"/>
      <c r="Y181" s="242"/>
      <c r="Z181" s="242"/>
      <c r="AA181" s="242"/>
    </row>
    <row r="182">
      <c r="A182" s="242"/>
      <c r="B182" s="242"/>
      <c r="C182" s="13"/>
      <c r="D182" s="242"/>
      <c r="E182" s="242"/>
      <c r="F182" s="242"/>
      <c r="G182" s="242"/>
      <c r="H182" s="13"/>
      <c r="I182" s="13"/>
      <c r="J182" s="13"/>
      <c r="K182" s="13"/>
      <c r="L182" s="242"/>
      <c r="M182" s="242"/>
      <c r="N182" s="242"/>
      <c r="O182" s="242"/>
      <c r="P182" s="242"/>
      <c r="Q182" s="242"/>
      <c r="R182" s="242"/>
      <c r="S182" s="242"/>
      <c r="T182" s="242"/>
      <c r="U182" s="242"/>
      <c r="V182" s="242"/>
      <c r="W182" s="242"/>
      <c r="X182" s="242"/>
      <c r="Y182" s="242"/>
      <c r="Z182" s="242"/>
      <c r="AA182" s="242"/>
    </row>
    <row r="183">
      <c r="A183" s="242"/>
      <c r="B183" s="242"/>
      <c r="C183" s="13"/>
      <c r="D183" s="242"/>
      <c r="E183" s="242"/>
      <c r="F183" s="242"/>
      <c r="G183" s="242"/>
      <c r="H183" s="13"/>
      <c r="I183" s="13"/>
      <c r="J183" s="13"/>
      <c r="K183" s="13"/>
      <c r="L183" s="242"/>
      <c r="M183" s="242"/>
      <c r="N183" s="242"/>
      <c r="O183" s="242"/>
      <c r="P183" s="242"/>
      <c r="Q183" s="242"/>
      <c r="R183" s="242"/>
      <c r="S183" s="242"/>
      <c r="T183" s="242"/>
      <c r="U183" s="242"/>
      <c r="V183" s="242"/>
      <c r="W183" s="242"/>
      <c r="X183" s="242"/>
      <c r="Y183" s="242"/>
      <c r="Z183" s="242"/>
      <c r="AA183" s="242"/>
    </row>
    <row r="184">
      <c r="A184" s="242"/>
      <c r="B184" s="242"/>
      <c r="C184" s="13"/>
      <c r="D184" s="242"/>
      <c r="E184" s="242"/>
      <c r="F184" s="242"/>
      <c r="G184" s="242"/>
      <c r="H184" s="13"/>
      <c r="I184" s="13"/>
      <c r="J184" s="13"/>
      <c r="K184" s="13"/>
      <c r="L184" s="242"/>
      <c r="M184" s="242"/>
      <c r="N184" s="242"/>
      <c r="O184" s="242"/>
      <c r="P184" s="242"/>
      <c r="Q184" s="242"/>
      <c r="R184" s="242"/>
      <c r="S184" s="242"/>
      <c r="T184" s="242"/>
      <c r="U184" s="242"/>
      <c r="V184" s="242"/>
      <c r="W184" s="242"/>
      <c r="X184" s="242"/>
      <c r="Y184" s="242"/>
      <c r="Z184" s="242"/>
      <c r="AA184" s="242"/>
    </row>
    <row r="185">
      <c r="A185" s="242"/>
      <c r="B185" s="242"/>
      <c r="C185" s="13"/>
      <c r="D185" s="242"/>
      <c r="E185" s="242"/>
      <c r="F185" s="242"/>
      <c r="G185" s="242"/>
      <c r="H185" s="13"/>
      <c r="I185" s="13"/>
      <c r="J185" s="13"/>
      <c r="K185" s="13"/>
      <c r="L185" s="242"/>
      <c r="M185" s="242"/>
      <c r="N185" s="242"/>
      <c r="O185" s="242"/>
      <c r="P185" s="242"/>
      <c r="Q185" s="242"/>
      <c r="R185" s="242"/>
      <c r="S185" s="242"/>
      <c r="T185" s="242"/>
      <c r="U185" s="242"/>
      <c r="V185" s="242"/>
      <c r="W185" s="242"/>
      <c r="X185" s="242"/>
      <c r="Y185" s="242"/>
      <c r="Z185" s="242"/>
      <c r="AA185" s="242"/>
    </row>
    <row r="186">
      <c r="A186" s="242"/>
      <c r="B186" s="242"/>
      <c r="C186" s="13"/>
      <c r="D186" s="242"/>
      <c r="E186" s="242"/>
      <c r="F186" s="242"/>
      <c r="G186" s="242"/>
      <c r="H186" s="13"/>
      <c r="I186" s="13"/>
      <c r="J186" s="13"/>
      <c r="K186" s="13"/>
      <c r="L186" s="242"/>
      <c r="M186" s="242"/>
      <c r="N186" s="242"/>
      <c r="O186" s="242"/>
      <c r="P186" s="242"/>
      <c r="Q186" s="242"/>
      <c r="R186" s="242"/>
      <c r="S186" s="242"/>
      <c r="T186" s="242"/>
      <c r="U186" s="242"/>
      <c r="V186" s="242"/>
      <c r="W186" s="242"/>
      <c r="X186" s="242"/>
      <c r="Y186" s="242"/>
      <c r="Z186" s="242"/>
      <c r="AA186" s="242"/>
    </row>
    <row r="187">
      <c r="A187" s="242"/>
      <c r="B187" s="242"/>
      <c r="C187" s="13"/>
      <c r="D187" s="242"/>
      <c r="E187" s="242"/>
      <c r="F187" s="242"/>
      <c r="G187" s="242"/>
      <c r="H187" s="13"/>
      <c r="I187" s="13"/>
      <c r="J187" s="13"/>
      <c r="K187" s="13"/>
      <c r="L187" s="242"/>
      <c r="M187" s="242"/>
      <c r="N187" s="242"/>
      <c r="O187" s="242"/>
      <c r="P187" s="242"/>
      <c r="Q187" s="242"/>
      <c r="R187" s="242"/>
      <c r="S187" s="242"/>
      <c r="T187" s="242"/>
      <c r="U187" s="242"/>
      <c r="V187" s="242"/>
      <c r="W187" s="242"/>
      <c r="X187" s="242"/>
      <c r="Y187" s="242"/>
      <c r="Z187" s="242"/>
      <c r="AA187" s="242"/>
    </row>
    <row r="188">
      <c r="A188" s="242"/>
      <c r="B188" s="242"/>
      <c r="C188" s="13"/>
      <c r="D188" s="242"/>
      <c r="E188" s="242"/>
      <c r="F188" s="242"/>
      <c r="G188" s="242"/>
      <c r="H188" s="13"/>
      <c r="I188" s="13"/>
      <c r="J188" s="13"/>
      <c r="K188" s="13"/>
      <c r="L188" s="242"/>
      <c r="M188" s="242"/>
      <c r="N188" s="242"/>
      <c r="O188" s="242"/>
      <c r="P188" s="242"/>
      <c r="Q188" s="242"/>
      <c r="R188" s="242"/>
      <c r="S188" s="242"/>
      <c r="T188" s="242"/>
      <c r="U188" s="242"/>
      <c r="V188" s="242"/>
      <c r="W188" s="242"/>
      <c r="X188" s="242"/>
      <c r="Y188" s="242"/>
      <c r="Z188" s="242"/>
      <c r="AA188" s="242"/>
    </row>
    <row r="189">
      <c r="A189" s="242"/>
      <c r="B189" s="242"/>
      <c r="C189" s="13"/>
      <c r="D189" s="242"/>
      <c r="E189" s="242"/>
      <c r="F189" s="242"/>
      <c r="G189" s="242"/>
      <c r="H189" s="13"/>
      <c r="I189" s="13"/>
      <c r="J189" s="13"/>
      <c r="K189" s="13"/>
      <c r="L189" s="242"/>
      <c r="M189" s="242"/>
      <c r="N189" s="242"/>
      <c r="O189" s="242"/>
      <c r="P189" s="242"/>
      <c r="Q189" s="242"/>
      <c r="R189" s="242"/>
      <c r="S189" s="242"/>
      <c r="T189" s="242"/>
      <c r="U189" s="242"/>
      <c r="V189" s="242"/>
      <c r="W189" s="242"/>
      <c r="X189" s="242"/>
      <c r="Y189" s="242"/>
      <c r="Z189" s="242"/>
      <c r="AA189" s="242"/>
    </row>
    <row r="190">
      <c r="A190" s="242"/>
      <c r="B190" s="242"/>
      <c r="C190" s="13"/>
      <c r="D190" s="242"/>
      <c r="E190" s="242"/>
      <c r="F190" s="242"/>
      <c r="G190" s="242"/>
      <c r="H190" s="13"/>
      <c r="I190" s="13"/>
      <c r="J190" s="13"/>
      <c r="K190" s="13"/>
      <c r="L190" s="242"/>
      <c r="M190" s="242"/>
      <c r="N190" s="242"/>
      <c r="O190" s="242"/>
      <c r="P190" s="242"/>
      <c r="Q190" s="242"/>
      <c r="R190" s="242"/>
      <c r="S190" s="242"/>
      <c r="T190" s="242"/>
      <c r="U190" s="242"/>
      <c r="V190" s="242"/>
      <c r="W190" s="242"/>
      <c r="X190" s="242"/>
      <c r="Y190" s="242"/>
      <c r="Z190" s="242"/>
      <c r="AA190" s="242"/>
    </row>
    <row r="191">
      <c r="A191" s="242"/>
      <c r="B191" s="242"/>
      <c r="C191" s="13"/>
      <c r="D191" s="242"/>
      <c r="E191" s="242"/>
      <c r="F191" s="242"/>
      <c r="G191" s="242"/>
      <c r="H191" s="13"/>
      <c r="I191" s="13"/>
      <c r="J191" s="13"/>
      <c r="K191" s="13"/>
      <c r="L191" s="242"/>
      <c r="M191" s="242"/>
      <c r="N191" s="242"/>
      <c r="O191" s="242"/>
      <c r="P191" s="242"/>
      <c r="Q191" s="242"/>
      <c r="R191" s="242"/>
      <c r="S191" s="242"/>
      <c r="T191" s="242"/>
      <c r="U191" s="242"/>
      <c r="V191" s="242"/>
      <c r="W191" s="242"/>
      <c r="X191" s="242"/>
      <c r="Y191" s="242"/>
      <c r="Z191" s="242"/>
      <c r="AA191" s="242"/>
    </row>
    <row r="192">
      <c r="A192" s="242"/>
      <c r="B192" s="242"/>
      <c r="C192" s="13"/>
      <c r="D192" s="242"/>
      <c r="E192" s="242"/>
      <c r="F192" s="242"/>
      <c r="G192" s="242"/>
      <c r="H192" s="13"/>
      <c r="I192" s="13"/>
      <c r="J192" s="13"/>
      <c r="K192" s="13"/>
      <c r="L192" s="242"/>
      <c r="M192" s="242"/>
      <c r="N192" s="242"/>
      <c r="O192" s="242"/>
      <c r="P192" s="242"/>
      <c r="Q192" s="242"/>
      <c r="R192" s="242"/>
      <c r="S192" s="242"/>
      <c r="T192" s="242"/>
      <c r="U192" s="242"/>
      <c r="V192" s="242"/>
      <c r="W192" s="242"/>
      <c r="X192" s="242"/>
      <c r="Y192" s="242"/>
      <c r="Z192" s="242"/>
      <c r="AA192" s="242"/>
    </row>
    <row r="193">
      <c r="A193" s="242"/>
      <c r="B193" s="242"/>
      <c r="C193" s="13"/>
      <c r="D193" s="242"/>
      <c r="E193" s="242"/>
      <c r="F193" s="242"/>
      <c r="G193" s="242"/>
      <c r="H193" s="13"/>
      <c r="I193" s="13"/>
      <c r="J193" s="13"/>
      <c r="K193" s="13"/>
      <c r="L193" s="242"/>
      <c r="M193" s="242"/>
      <c r="N193" s="242"/>
      <c r="O193" s="242"/>
      <c r="P193" s="242"/>
      <c r="Q193" s="242"/>
      <c r="R193" s="242"/>
      <c r="S193" s="242"/>
      <c r="T193" s="242"/>
      <c r="U193" s="242"/>
      <c r="V193" s="242"/>
      <c r="W193" s="242"/>
      <c r="X193" s="242"/>
      <c r="Y193" s="242"/>
      <c r="Z193" s="242"/>
      <c r="AA193" s="242"/>
    </row>
    <row r="194">
      <c r="A194" s="242"/>
      <c r="B194" s="242"/>
      <c r="C194" s="13"/>
      <c r="D194" s="242"/>
      <c r="E194" s="242"/>
      <c r="F194" s="242"/>
      <c r="G194" s="242"/>
      <c r="H194" s="13"/>
      <c r="I194" s="13"/>
      <c r="J194" s="13"/>
      <c r="K194" s="13"/>
      <c r="L194" s="242"/>
      <c r="M194" s="242"/>
      <c r="N194" s="242"/>
      <c r="O194" s="242"/>
      <c r="P194" s="242"/>
      <c r="Q194" s="242"/>
      <c r="R194" s="242"/>
      <c r="S194" s="242"/>
      <c r="T194" s="242"/>
      <c r="U194" s="242"/>
      <c r="V194" s="242"/>
      <c r="W194" s="242"/>
      <c r="X194" s="242"/>
      <c r="Y194" s="242"/>
      <c r="Z194" s="242"/>
      <c r="AA194" s="242"/>
    </row>
    <row r="195">
      <c r="A195" s="242"/>
      <c r="B195" s="242"/>
      <c r="C195" s="13"/>
      <c r="D195" s="242"/>
      <c r="E195" s="242"/>
      <c r="F195" s="242"/>
      <c r="G195" s="242"/>
      <c r="H195" s="13"/>
      <c r="I195" s="13"/>
      <c r="J195" s="13"/>
      <c r="K195" s="13"/>
      <c r="L195" s="242"/>
      <c r="M195" s="242"/>
      <c r="N195" s="242"/>
      <c r="O195" s="242"/>
      <c r="P195" s="242"/>
      <c r="Q195" s="242"/>
      <c r="R195" s="242"/>
      <c r="S195" s="242"/>
      <c r="T195" s="242"/>
      <c r="U195" s="242"/>
      <c r="V195" s="242"/>
      <c r="W195" s="242"/>
      <c r="X195" s="242"/>
      <c r="Y195" s="242"/>
      <c r="Z195" s="242"/>
      <c r="AA195" s="242"/>
    </row>
    <row r="196">
      <c r="A196" s="242"/>
      <c r="B196" s="242"/>
      <c r="C196" s="13"/>
      <c r="D196" s="242"/>
      <c r="E196" s="242"/>
      <c r="F196" s="242"/>
      <c r="G196" s="242"/>
      <c r="H196" s="13"/>
      <c r="I196" s="13"/>
      <c r="J196" s="13"/>
      <c r="K196" s="13"/>
      <c r="L196" s="242"/>
      <c r="M196" s="242"/>
      <c r="N196" s="242"/>
      <c r="O196" s="242"/>
      <c r="P196" s="242"/>
      <c r="Q196" s="242"/>
      <c r="R196" s="242"/>
      <c r="S196" s="242"/>
      <c r="T196" s="242"/>
      <c r="U196" s="242"/>
      <c r="V196" s="242"/>
      <c r="W196" s="242"/>
      <c r="X196" s="242"/>
      <c r="Y196" s="242"/>
      <c r="Z196" s="242"/>
      <c r="AA196" s="242"/>
    </row>
    <row r="197">
      <c r="A197" s="242"/>
      <c r="B197" s="242"/>
      <c r="C197" s="13"/>
      <c r="D197" s="242"/>
      <c r="E197" s="242"/>
      <c r="F197" s="242"/>
      <c r="G197" s="242"/>
      <c r="H197" s="13"/>
      <c r="I197" s="13"/>
      <c r="J197" s="13"/>
      <c r="K197" s="13"/>
      <c r="L197" s="242"/>
      <c r="M197" s="242"/>
      <c r="N197" s="242"/>
      <c r="O197" s="242"/>
      <c r="P197" s="242"/>
      <c r="Q197" s="242"/>
      <c r="R197" s="242"/>
      <c r="S197" s="242"/>
      <c r="T197" s="242"/>
      <c r="U197" s="242"/>
      <c r="V197" s="242"/>
      <c r="W197" s="242"/>
      <c r="X197" s="242"/>
      <c r="Y197" s="242"/>
      <c r="Z197" s="242"/>
      <c r="AA197" s="242"/>
    </row>
    <row r="198">
      <c r="A198" s="242"/>
      <c r="B198" s="242"/>
      <c r="C198" s="13"/>
      <c r="D198" s="242"/>
      <c r="E198" s="242"/>
      <c r="F198" s="242"/>
      <c r="G198" s="242"/>
      <c r="H198" s="13"/>
      <c r="I198" s="13"/>
      <c r="J198" s="13"/>
      <c r="K198" s="13"/>
      <c r="L198" s="242"/>
      <c r="M198" s="242"/>
      <c r="N198" s="242"/>
      <c r="O198" s="242"/>
      <c r="P198" s="242"/>
      <c r="Q198" s="242"/>
      <c r="R198" s="242"/>
      <c r="S198" s="242"/>
      <c r="T198" s="242"/>
      <c r="U198" s="242"/>
      <c r="V198" s="242"/>
      <c r="W198" s="242"/>
      <c r="X198" s="242"/>
      <c r="Y198" s="242"/>
      <c r="Z198" s="242"/>
      <c r="AA198" s="242"/>
    </row>
    <row r="199">
      <c r="A199" s="242"/>
      <c r="B199" s="242"/>
      <c r="C199" s="13"/>
      <c r="D199" s="242"/>
      <c r="E199" s="242"/>
      <c r="F199" s="242"/>
      <c r="G199" s="242"/>
      <c r="H199" s="13"/>
      <c r="I199" s="13"/>
      <c r="J199" s="13"/>
      <c r="K199" s="13"/>
      <c r="L199" s="242"/>
      <c r="M199" s="242"/>
      <c r="N199" s="242"/>
      <c r="O199" s="242"/>
      <c r="P199" s="242"/>
      <c r="Q199" s="242"/>
      <c r="R199" s="242"/>
      <c r="S199" s="242"/>
      <c r="T199" s="242"/>
      <c r="U199" s="242"/>
      <c r="V199" s="242"/>
      <c r="W199" s="242"/>
      <c r="X199" s="242"/>
      <c r="Y199" s="242"/>
      <c r="Z199" s="242"/>
      <c r="AA199" s="242"/>
    </row>
    <row r="200">
      <c r="A200" s="242"/>
      <c r="B200" s="242"/>
      <c r="C200" s="13"/>
      <c r="D200" s="242"/>
      <c r="E200" s="242"/>
      <c r="F200" s="242"/>
      <c r="G200" s="242"/>
      <c r="H200" s="13"/>
      <c r="I200" s="13"/>
      <c r="J200" s="13"/>
      <c r="K200" s="13"/>
      <c r="L200" s="242"/>
      <c r="M200" s="242"/>
      <c r="N200" s="242"/>
      <c r="O200" s="242"/>
      <c r="P200" s="242"/>
      <c r="Q200" s="242"/>
      <c r="R200" s="242"/>
      <c r="S200" s="242"/>
      <c r="T200" s="242"/>
      <c r="U200" s="242"/>
      <c r="V200" s="242"/>
      <c r="W200" s="242"/>
      <c r="X200" s="242"/>
      <c r="Y200" s="242"/>
      <c r="Z200" s="242"/>
      <c r="AA200" s="242"/>
    </row>
    <row r="201">
      <c r="A201" s="242"/>
      <c r="B201" s="242"/>
      <c r="C201" s="13"/>
      <c r="D201" s="242"/>
      <c r="E201" s="242"/>
      <c r="F201" s="242"/>
      <c r="G201" s="242"/>
      <c r="H201" s="13"/>
      <c r="I201" s="13"/>
      <c r="J201" s="13"/>
      <c r="K201" s="13"/>
      <c r="L201" s="242"/>
      <c r="M201" s="242"/>
      <c r="N201" s="242"/>
      <c r="O201" s="242"/>
      <c r="P201" s="242"/>
      <c r="Q201" s="242"/>
      <c r="R201" s="242"/>
      <c r="S201" s="242"/>
      <c r="T201" s="242"/>
      <c r="U201" s="242"/>
      <c r="V201" s="242"/>
      <c r="W201" s="242"/>
      <c r="X201" s="242"/>
      <c r="Y201" s="242"/>
      <c r="Z201" s="242"/>
      <c r="AA201" s="242"/>
    </row>
    <row r="202">
      <c r="A202" s="242"/>
      <c r="B202" s="242"/>
      <c r="C202" s="13"/>
      <c r="D202" s="242"/>
      <c r="E202" s="242"/>
      <c r="F202" s="242"/>
      <c r="G202" s="242"/>
      <c r="H202" s="13"/>
      <c r="I202" s="13"/>
      <c r="J202" s="13"/>
      <c r="K202" s="13"/>
      <c r="L202" s="242"/>
      <c r="M202" s="242"/>
      <c r="N202" s="242"/>
      <c r="O202" s="242"/>
      <c r="P202" s="242"/>
      <c r="Q202" s="242"/>
      <c r="R202" s="242"/>
      <c r="S202" s="242"/>
      <c r="T202" s="242"/>
      <c r="U202" s="242"/>
      <c r="V202" s="242"/>
      <c r="W202" s="242"/>
      <c r="X202" s="242"/>
      <c r="Y202" s="242"/>
      <c r="Z202" s="242"/>
      <c r="AA202" s="242"/>
    </row>
    <row r="203">
      <c r="A203" s="242"/>
      <c r="B203" s="242"/>
      <c r="C203" s="13"/>
      <c r="D203" s="242"/>
      <c r="E203" s="242"/>
      <c r="F203" s="242"/>
      <c r="G203" s="242"/>
      <c r="H203" s="13"/>
      <c r="I203" s="13"/>
      <c r="J203" s="13"/>
      <c r="K203" s="13"/>
      <c r="L203" s="242"/>
      <c r="M203" s="242"/>
      <c r="N203" s="242"/>
      <c r="O203" s="242"/>
      <c r="P203" s="242"/>
      <c r="Q203" s="242"/>
      <c r="R203" s="242"/>
      <c r="S203" s="242"/>
      <c r="T203" s="242"/>
      <c r="U203" s="242"/>
      <c r="V203" s="242"/>
      <c r="W203" s="242"/>
      <c r="X203" s="242"/>
      <c r="Y203" s="242"/>
      <c r="Z203" s="242"/>
      <c r="AA203" s="242"/>
    </row>
    <row r="204">
      <c r="A204" s="242"/>
      <c r="B204" s="242"/>
      <c r="C204" s="13"/>
      <c r="D204" s="242"/>
      <c r="E204" s="242"/>
      <c r="F204" s="242"/>
      <c r="G204" s="242"/>
      <c r="H204" s="13"/>
      <c r="I204" s="13"/>
      <c r="J204" s="13"/>
      <c r="K204" s="13"/>
      <c r="L204" s="242"/>
      <c r="M204" s="242"/>
      <c r="N204" s="242"/>
      <c r="O204" s="242"/>
      <c r="P204" s="242"/>
      <c r="Q204" s="242"/>
      <c r="R204" s="242"/>
      <c r="S204" s="242"/>
      <c r="T204" s="242"/>
      <c r="U204" s="242"/>
      <c r="V204" s="242"/>
      <c r="W204" s="242"/>
      <c r="X204" s="242"/>
      <c r="Y204" s="242"/>
      <c r="Z204" s="242"/>
      <c r="AA204" s="242"/>
    </row>
    <row r="205">
      <c r="A205" s="242"/>
      <c r="B205" s="242"/>
      <c r="C205" s="13"/>
      <c r="D205" s="242"/>
      <c r="E205" s="242"/>
      <c r="F205" s="242"/>
      <c r="G205" s="242"/>
      <c r="H205" s="13"/>
      <c r="I205" s="13"/>
      <c r="J205" s="13"/>
      <c r="K205" s="13"/>
      <c r="L205" s="242"/>
      <c r="M205" s="242"/>
      <c r="N205" s="242"/>
      <c r="O205" s="242"/>
      <c r="P205" s="242"/>
      <c r="Q205" s="242"/>
      <c r="R205" s="242"/>
      <c r="S205" s="242"/>
      <c r="T205" s="242"/>
      <c r="U205" s="242"/>
      <c r="V205" s="242"/>
      <c r="W205" s="242"/>
      <c r="X205" s="242"/>
      <c r="Y205" s="242"/>
      <c r="Z205" s="242"/>
      <c r="AA205" s="242"/>
    </row>
    <row r="206">
      <c r="A206" s="242"/>
      <c r="B206" s="242"/>
      <c r="C206" s="13"/>
      <c r="D206" s="242"/>
      <c r="E206" s="242"/>
      <c r="F206" s="242"/>
      <c r="G206" s="242"/>
      <c r="H206" s="13"/>
      <c r="I206" s="13"/>
      <c r="J206" s="13"/>
      <c r="K206" s="13"/>
      <c r="L206" s="242"/>
      <c r="M206" s="242"/>
      <c r="N206" s="242"/>
      <c r="O206" s="242"/>
      <c r="P206" s="242"/>
      <c r="Q206" s="242"/>
      <c r="R206" s="242"/>
      <c r="S206" s="242"/>
      <c r="T206" s="242"/>
      <c r="U206" s="242"/>
      <c r="V206" s="242"/>
      <c r="W206" s="242"/>
      <c r="X206" s="242"/>
      <c r="Y206" s="242"/>
      <c r="Z206" s="242"/>
      <c r="AA206" s="242"/>
    </row>
    <row r="207">
      <c r="A207" s="242"/>
      <c r="B207" s="242"/>
      <c r="C207" s="13"/>
      <c r="D207" s="242"/>
      <c r="E207" s="242"/>
      <c r="F207" s="242"/>
      <c r="G207" s="242"/>
      <c r="H207" s="13"/>
      <c r="I207" s="13"/>
      <c r="J207" s="13"/>
      <c r="K207" s="13"/>
      <c r="L207" s="242"/>
      <c r="M207" s="242"/>
      <c r="N207" s="242"/>
      <c r="O207" s="242"/>
      <c r="P207" s="242"/>
      <c r="Q207" s="242"/>
      <c r="R207" s="242"/>
      <c r="S207" s="242"/>
      <c r="T207" s="242"/>
      <c r="U207" s="242"/>
      <c r="V207" s="242"/>
      <c r="W207" s="242"/>
      <c r="X207" s="242"/>
      <c r="Y207" s="242"/>
      <c r="Z207" s="242"/>
      <c r="AA207" s="242"/>
    </row>
    <row r="208">
      <c r="A208" s="242"/>
      <c r="B208" s="242"/>
      <c r="C208" s="13"/>
      <c r="D208" s="242"/>
      <c r="E208" s="242"/>
      <c r="F208" s="242"/>
      <c r="G208" s="242"/>
      <c r="H208" s="13"/>
      <c r="I208" s="13"/>
      <c r="J208" s="13"/>
      <c r="K208" s="13"/>
      <c r="L208" s="242"/>
      <c r="M208" s="242"/>
      <c r="N208" s="242"/>
      <c r="O208" s="242"/>
      <c r="P208" s="242"/>
      <c r="Q208" s="242"/>
      <c r="R208" s="242"/>
      <c r="S208" s="242"/>
      <c r="T208" s="242"/>
      <c r="U208" s="242"/>
      <c r="V208" s="242"/>
      <c r="W208" s="242"/>
      <c r="X208" s="242"/>
      <c r="Y208" s="242"/>
      <c r="Z208" s="242"/>
      <c r="AA208" s="242"/>
    </row>
    <row r="209">
      <c r="A209" s="242"/>
      <c r="B209" s="242"/>
      <c r="C209" s="13"/>
      <c r="D209" s="242"/>
      <c r="E209" s="242"/>
      <c r="F209" s="242"/>
      <c r="G209" s="242"/>
      <c r="H209" s="13"/>
      <c r="I209" s="13"/>
      <c r="J209" s="13"/>
      <c r="K209" s="13"/>
      <c r="L209" s="242"/>
      <c r="M209" s="242"/>
      <c r="N209" s="242"/>
      <c r="O209" s="242"/>
      <c r="P209" s="242"/>
      <c r="Q209" s="242"/>
      <c r="R209" s="242"/>
      <c r="S209" s="242"/>
      <c r="T209" s="242"/>
      <c r="U209" s="242"/>
      <c r="V209" s="242"/>
      <c r="W209" s="242"/>
      <c r="X209" s="242"/>
      <c r="Y209" s="242"/>
      <c r="Z209" s="242"/>
      <c r="AA209" s="242"/>
    </row>
    <row r="210">
      <c r="A210" s="242"/>
      <c r="B210" s="242"/>
      <c r="C210" s="13"/>
      <c r="D210" s="242"/>
      <c r="E210" s="242"/>
      <c r="F210" s="242"/>
      <c r="G210" s="242"/>
      <c r="H210" s="13"/>
      <c r="I210" s="13"/>
      <c r="J210" s="13"/>
      <c r="K210" s="13"/>
      <c r="L210" s="242"/>
      <c r="M210" s="242"/>
      <c r="N210" s="242"/>
      <c r="O210" s="242"/>
      <c r="P210" s="242"/>
      <c r="Q210" s="242"/>
      <c r="R210" s="242"/>
      <c r="S210" s="242"/>
      <c r="T210" s="242"/>
      <c r="U210" s="242"/>
      <c r="V210" s="242"/>
      <c r="W210" s="242"/>
      <c r="X210" s="242"/>
      <c r="Y210" s="242"/>
      <c r="Z210" s="242"/>
      <c r="AA210" s="242"/>
    </row>
    <row r="211">
      <c r="A211" s="242"/>
      <c r="B211" s="242"/>
      <c r="C211" s="13"/>
      <c r="D211" s="242"/>
      <c r="E211" s="242"/>
      <c r="F211" s="242"/>
      <c r="G211" s="242"/>
      <c r="H211" s="13"/>
      <c r="I211" s="13"/>
      <c r="J211" s="13"/>
      <c r="K211" s="13"/>
      <c r="L211" s="242"/>
      <c r="M211" s="242"/>
      <c r="N211" s="242"/>
      <c r="O211" s="242"/>
      <c r="P211" s="242"/>
      <c r="Q211" s="242"/>
      <c r="R211" s="242"/>
      <c r="S211" s="242"/>
      <c r="T211" s="242"/>
      <c r="U211" s="242"/>
      <c r="V211" s="242"/>
      <c r="W211" s="242"/>
      <c r="X211" s="242"/>
      <c r="Y211" s="242"/>
      <c r="Z211" s="242"/>
      <c r="AA211" s="242"/>
    </row>
    <row r="212">
      <c r="A212" s="242"/>
      <c r="B212" s="242"/>
      <c r="C212" s="13"/>
      <c r="D212" s="242"/>
      <c r="E212" s="242"/>
      <c r="F212" s="242"/>
      <c r="G212" s="242"/>
      <c r="H212" s="13"/>
      <c r="I212" s="13"/>
      <c r="J212" s="13"/>
      <c r="K212" s="13"/>
      <c r="L212" s="242"/>
      <c r="M212" s="242"/>
      <c r="N212" s="242"/>
      <c r="O212" s="242"/>
      <c r="P212" s="242"/>
      <c r="Q212" s="242"/>
      <c r="R212" s="242"/>
      <c r="S212" s="242"/>
      <c r="T212" s="242"/>
      <c r="U212" s="242"/>
      <c r="V212" s="242"/>
      <c r="W212" s="242"/>
      <c r="X212" s="242"/>
      <c r="Y212" s="242"/>
      <c r="Z212" s="242"/>
      <c r="AA212" s="242"/>
    </row>
    <row r="213">
      <c r="A213" s="242"/>
      <c r="B213" s="242"/>
      <c r="C213" s="13"/>
      <c r="D213" s="242"/>
      <c r="E213" s="242"/>
      <c r="F213" s="242"/>
      <c r="G213" s="242"/>
      <c r="H213" s="13"/>
      <c r="I213" s="13"/>
      <c r="J213" s="13"/>
      <c r="K213" s="13"/>
      <c r="L213" s="242"/>
      <c r="M213" s="242"/>
      <c r="N213" s="242"/>
      <c r="O213" s="242"/>
      <c r="P213" s="242"/>
      <c r="Q213" s="242"/>
      <c r="R213" s="242"/>
      <c r="S213" s="242"/>
      <c r="T213" s="242"/>
      <c r="U213" s="242"/>
      <c r="V213" s="242"/>
      <c r="W213" s="242"/>
      <c r="X213" s="242"/>
      <c r="Y213" s="242"/>
      <c r="Z213" s="242"/>
      <c r="AA213" s="242"/>
    </row>
    <row r="214">
      <c r="A214" s="242"/>
      <c r="B214" s="242"/>
      <c r="C214" s="13"/>
      <c r="D214" s="242"/>
      <c r="E214" s="242"/>
      <c r="F214" s="242"/>
      <c r="G214" s="242"/>
      <c r="H214" s="13"/>
      <c r="I214" s="13"/>
      <c r="J214" s="13"/>
      <c r="K214" s="13"/>
      <c r="L214" s="242"/>
      <c r="M214" s="242"/>
      <c r="N214" s="242"/>
      <c r="O214" s="242"/>
      <c r="P214" s="242"/>
      <c r="Q214" s="242"/>
      <c r="R214" s="242"/>
      <c r="S214" s="242"/>
      <c r="T214" s="242"/>
      <c r="U214" s="242"/>
      <c r="V214" s="242"/>
      <c r="W214" s="242"/>
      <c r="X214" s="242"/>
      <c r="Y214" s="242"/>
      <c r="Z214" s="242"/>
      <c r="AA214" s="242"/>
    </row>
    <row r="215">
      <c r="A215" s="242"/>
      <c r="B215" s="242"/>
      <c r="C215" s="13"/>
      <c r="D215" s="242"/>
      <c r="E215" s="242"/>
      <c r="F215" s="242"/>
      <c r="G215" s="242"/>
      <c r="H215" s="13"/>
      <c r="I215" s="13"/>
      <c r="J215" s="13"/>
      <c r="K215" s="13"/>
      <c r="L215" s="242"/>
      <c r="M215" s="242"/>
      <c r="N215" s="242"/>
      <c r="O215" s="242"/>
      <c r="P215" s="242"/>
      <c r="Q215" s="242"/>
      <c r="R215" s="242"/>
      <c r="S215" s="242"/>
      <c r="T215" s="242"/>
      <c r="U215" s="242"/>
      <c r="V215" s="242"/>
      <c r="W215" s="242"/>
      <c r="X215" s="242"/>
      <c r="Y215" s="242"/>
      <c r="Z215" s="242"/>
      <c r="AA215" s="242"/>
    </row>
    <row r="216">
      <c r="A216" s="242"/>
      <c r="B216" s="242"/>
      <c r="C216" s="13"/>
      <c r="D216" s="242"/>
      <c r="E216" s="242"/>
      <c r="F216" s="242"/>
      <c r="G216" s="242"/>
      <c r="H216" s="13"/>
      <c r="I216" s="13"/>
      <c r="J216" s="13"/>
      <c r="K216" s="13"/>
      <c r="L216" s="242"/>
      <c r="M216" s="242"/>
      <c r="N216" s="242"/>
      <c r="O216" s="242"/>
      <c r="P216" s="242"/>
      <c r="Q216" s="242"/>
      <c r="R216" s="242"/>
      <c r="S216" s="242"/>
      <c r="T216" s="242"/>
      <c r="U216" s="242"/>
      <c r="V216" s="242"/>
      <c r="W216" s="242"/>
      <c r="X216" s="242"/>
      <c r="Y216" s="242"/>
      <c r="Z216" s="242"/>
      <c r="AA216" s="242"/>
    </row>
    <row r="217">
      <c r="A217" s="242"/>
      <c r="B217" s="242"/>
      <c r="C217" s="13"/>
      <c r="D217" s="242"/>
      <c r="E217" s="242"/>
      <c r="F217" s="242"/>
      <c r="G217" s="242"/>
      <c r="H217" s="13"/>
      <c r="I217" s="13"/>
      <c r="J217" s="13"/>
      <c r="K217" s="13"/>
      <c r="L217" s="242"/>
      <c r="M217" s="242"/>
      <c r="N217" s="242"/>
      <c r="O217" s="242"/>
      <c r="P217" s="242"/>
      <c r="Q217" s="242"/>
      <c r="R217" s="242"/>
      <c r="S217" s="242"/>
      <c r="T217" s="242"/>
      <c r="U217" s="242"/>
      <c r="V217" s="242"/>
      <c r="W217" s="242"/>
      <c r="X217" s="242"/>
      <c r="Y217" s="242"/>
      <c r="Z217" s="242"/>
      <c r="AA217" s="242"/>
    </row>
    <row r="218">
      <c r="A218" s="242"/>
      <c r="B218" s="242"/>
      <c r="C218" s="13"/>
      <c r="D218" s="242"/>
      <c r="E218" s="242"/>
      <c r="F218" s="242"/>
      <c r="G218" s="242"/>
      <c r="H218" s="13"/>
      <c r="I218" s="13"/>
      <c r="J218" s="13"/>
      <c r="K218" s="13"/>
      <c r="L218" s="242"/>
      <c r="M218" s="242"/>
      <c r="N218" s="242"/>
      <c r="O218" s="242"/>
      <c r="P218" s="242"/>
      <c r="Q218" s="242"/>
      <c r="R218" s="242"/>
      <c r="S218" s="242"/>
      <c r="T218" s="242"/>
      <c r="U218" s="242"/>
      <c r="V218" s="242"/>
      <c r="W218" s="242"/>
      <c r="X218" s="242"/>
      <c r="Y218" s="242"/>
      <c r="Z218" s="242"/>
      <c r="AA218" s="242"/>
    </row>
    <row r="219">
      <c r="A219" s="242"/>
      <c r="B219" s="242"/>
      <c r="C219" s="13"/>
      <c r="D219" s="242"/>
      <c r="E219" s="242"/>
      <c r="F219" s="242"/>
      <c r="G219" s="242"/>
      <c r="H219" s="13"/>
      <c r="I219" s="13"/>
      <c r="J219" s="13"/>
      <c r="K219" s="13"/>
      <c r="L219" s="242"/>
      <c r="M219" s="242"/>
      <c r="N219" s="242"/>
      <c r="O219" s="242"/>
      <c r="P219" s="242"/>
      <c r="Q219" s="242"/>
      <c r="R219" s="242"/>
      <c r="S219" s="242"/>
      <c r="T219" s="242"/>
      <c r="U219" s="242"/>
      <c r="V219" s="242"/>
      <c r="W219" s="242"/>
      <c r="X219" s="242"/>
      <c r="Y219" s="242"/>
      <c r="Z219" s="242"/>
      <c r="AA219" s="242"/>
    </row>
    <row r="220">
      <c r="A220" s="242"/>
      <c r="B220" s="242"/>
      <c r="C220" s="13"/>
      <c r="D220" s="242"/>
      <c r="E220" s="242"/>
      <c r="F220" s="242"/>
      <c r="G220" s="242"/>
      <c r="H220" s="13"/>
      <c r="I220" s="13"/>
      <c r="J220" s="13"/>
      <c r="K220" s="13"/>
      <c r="L220" s="242"/>
      <c r="M220" s="242"/>
      <c r="N220" s="242"/>
      <c r="O220" s="242"/>
      <c r="P220" s="242"/>
      <c r="Q220" s="242"/>
      <c r="R220" s="242"/>
      <c r="S220" s="242"/>
      <c r="T220" s="242"/>
      <c r="U220" s="242"/>
      <c r="V220" s="242"/>
      <c r="W220" s="242"/>
      <c r="X220" s="242"/>
      <c r="Y220" s="242"/>
      <c r="Z220" s="242"/>
      <c r="AA220" s="242"/>
    </row>
    <row r="221">
      <c r="A221" s="242"/>
      <c r="B221" s="242"/>
      <c r="C221" s="13"/>
      <c r="D221" s="242"/>
      <c r="E221" s="242"/>
      <c r="F221" s="242"/>
      <c r="G221" s="242"/>
      <c r="H221" s="13"/>
      <c r="I221" s="13"/>
      <c r="J221" s="13"/>
      <c r="K221" s="13"/>
      <c r="L221" s="242"/>
      <c r="M221" s="242"/>
      <c r="N221" s="242"/>
      <c r="O221" s="242"/>
      <c r="P221" s="242"/>
      <c r="Q221" s="242"/>
      <c r="R221" s="242"/>
      <c r="S221" s="242"/>
      <c r="T221" s="242"/>
      <c r="U221" s="242"/>
      <c r="V221" s="242"/>
      <c r="W221" s="242"/>
      <c r="X221" s="242"/>
      <c r="Y221" s="242"/>
      <c r="Z221" s="242"/>
      <c r="AA221" s="242"/>
    </row>
    <row r="222">
      <c r="A222" s="242"/>
      <c r="B222" s="242"/>
      <c r="C222" s="13"/>
      <c r="D222" s="242"/>
      <c r="E222" s="242"/>
      <c r="F222" s="242"/>
      <c r="G222" s="242"/>
      <c r="H222" s="13"/>
      <c r="I222" s="13"/>
      <c r="J222" s="13"/>
      <c r="K222" s="13"/>
      <c r="L222" s="242"/>
      <c r="M222" s="242"/>
      <c r="N222" s="242"/>
      <c r="O222" s="242"/>
      <c r="P222" s="242"/>
      <c r="Q222" s="242"/>
      <c r="R222" s="242"/>
      <c r="S222" s="242"/>
      <c r="T222" s="242"/>
      <c r="U222" s="242"/>
      <c r="V222" s="242"/>
      <c r="W222" s="242"/>
      <c r="X222" s="242"/>
      <c r="Y222" s="242"/>
      <c r="Z222" s="242"/>
      <c r="AA222" s="242"/>
    </row>
    <row r="223">
      <c r="A223" s="242"/>
      <c r="B223" s="242"/>
      <c r="C223" s="13"/>
      <c r="D223" s="242"/>
      <c r="E223" s="242"/>
      <c r="F223" s="242"/>
      <c r="G223" s="242"/>
      <c r="H223" s="13"/>
      <c r="I223" s="13"/>
      <c r="J223" s="13"/>
      <c r="K223" s="13"/>
      <c r="L223" s="242"/>
      <c r="M223" s="242"/>
      <c r="N223" s="242"/>
      <c r="O223" s="242"/>
      <c r="P223" s="242"/>
      <c r="Q223" s="242"/>
      <c r="R223" s="242"/>
      <c r="S223" s="242"/>
      <c r="T223" s="242"/>
      <c r="U223" s="242"/>
      <c r="V223" s="242"/>
      <c r="W223" s="242"/>
      <c r="X223" s="242"/>
      <c r="Y223" s="242"/>
      <c r="Z223" s="242"/>
      <c r="AA223" s="242"/>
    </row>
    <row r="224">
      <c r="A224" s="242"/>
      <c r="B224" s="242"/>
      <c r="C224" s="13"/>
      <c r="D224" s="242"/>
      <c r="E224" s="242"/>
      <c r="F224" s="242"/>
      <c r="G224" s="242"/>
      <c r="H224" s="13"/>
      <c r="I224" s="13"/>
      <c r="J224" s="13"/>
      <c r="K224" s="13"/>
      <c r="L224" s="242"/>
      <c r="M224" s="242"/>
      <c r="N224" s="242"/>
      <c r="O224" s="242"/>
      <c r="P224" s="242"/>
      <c r="Q224" s="242"/>
      <c r="R224" s="242"/>
      <c r="S224" s="242"/>
      <c r="T224" s="242"/>
      <c r="U224" s="242"/>
      <c r="V224" s="242"/>
      <c r="W224" s="242"/>
      <c r="X224" s="242"/>
      <c r="Y224" s="242"/>
      <c r="Z224" s="242"/>
      <c r="AA224" s="242"/>
    </row>
    <row r="225">
      <c r="A225" s="242"/>
      <c r="B225" s="242"/>
      <c r="C225" s="13"/>
      <c r="D225" s="242"/>
      <c r="E225" s="242"/>
      <c r="F225" s="242"/>
      <c r="G225" s="242"/>
      <c r="H225" s="13"/>
      <c r="I225" s="13"/>
      <c r="J225" s="13"/>
      <c r="K225" s="13"/>
      <c r="L225" s="242"/>
      <c r="M225" s="242"/>
      <c r="N225" s="242"/>
      <c r="O225" s="242"/>
      <c r="P225" s="242"/>
      <c r="Q225" s="242"/>
      <c r="R225" s="242"/>
      <c r="S225" s="242"/>
      <c r="T225" s="242"/>
      <c r="U225" s="242"/>
      <c r="V225" s="242"/>
      <c r="W225" s="242"/>
      <c r="X225" s="242"/>
      <c r="Y225" s="242"/>
      <c r="Z225" s="242"/>
      <c r="AA225" s="242"/>
    </row>
    <row r="226">
      <c r="A226" s="242"/>
      <c r="B226" s="242"/>
      <c r="C226" s="13"/>
      <c r="D226" s="242"/>
      <c r="E226" s="242"/>
      <c r="F226" s="242"/>
      <c r="G226" s="242"/>
      <c r="H226" s="13"/>
      <c r="I226" s="13"/>
      <c r="J226" s="13"/>
      <c r="K226" s="13"/>
      <c r="L226" s="242"/>
      <c r="M226" s="242"/>
      <c r="N226" s="242"/>
      <c r="O226" s="242"/>
      <c r="P226" s="242"/>
      <c r="Q226" s="242"/>
      <c r="R226" s="242"/>
      <c r="S226" s="242"/>
      <c r="T226" s="242"/>
      <c r="U226" s="242"/>
      <c r="V226" s="242"/>
      <c r="W226" s="242"/>
      <c r="X226" s="242"/>
      <c r="Y226" s="242"/>
      <c r="Z226" s="242"/>
      <c r="AA226" s="242"/>
    </row>
    <row r="227">
      <c r="A227" s="242"/>
      <c r="B227" s="242"/>
      <c r="C227" s="13"/>
      <c r="D227" s="242"/>
      <c r="E227" s="242"/>
      <c r="F227" s="242"/>
      <c r="G227" s="242"/>
      <c r="H227" s="13"/>
      <c r="I227" s="13"/>
      <c r="J227" s="13"/>
      <c r="K227" s="13"/>
      <c r="L227" s="242"/>
      <c r="M227" s="242"/>
      <c r="N227" s="242"/>
      <c r="O227" s="242"/>
      <c r="P227" s="242"/>
      <c r="Q227" s="242"/>
      <c r="R227" s="242"/>
      <c r="S227" s="242"/>
      <c r="T227" s="242"/>
      <c r="U227" s="242"/>
      <c r="V227" s="242"/>
      <c r="W227" s="242"/>
      <c r="X227" s="242"/>
      <c r="Y227" s="242"/>
      <c r="Z227" s="242"/>
      <c r="AA227" s="242"/>
    </row>
    <row r="228">
      <c r="A228" s="242"/>
      <c r="B228" s="242"/>
      <c r="C228" s="13"/>
      <c r="D228" s="242"/>
      <c r="E228" s="242"/>
      <c r="F228" s="242"/>
      <c r="G228" s="242"/>
      <c r="H228" s="13"/>
      <c r="I228" s="13"/>
      <c r="J228" s="13"/>
      <c r="K228" s="13"/>
      <c r="L228" s="242"/>
      <c r="M228" s="242"/>
      <c r="N228" s="242"/>
      <c r="O228" s="242"/>
      <c r="P228" s="242"/>
      <c r="Q228" s="242"/>
      <c r="R228" s="242"/>
      <c r="S228" s="242"/>
      <c r="T228" s="242"/>
      <c r="U228" s="242"/>
      <c r="V228" s="242"/>
      <c r="W228" s="242"/>
      <c r="X228" s="242"/>
      <c r="Y228" s="242"/>
      <c r="Z228" s="242"/>
      <c r="AA228" s="242"/>
    </row>
    <row r="229">
      <c r="A229" s="242"/>
      <c r="B229" s="242"/>
      <c r="C229" s="13"/>
      <c r="D229" s="242"/>
      <c r="E229" s="242"/>
      <c r="F229" s="242"/>
      <c r="G229" s="242"/>
      <c r="H229" s="13"/>
      <c r="I229" s="13"/>
      <c r="J229" s="13"/>
      <c r="K229" s="13"/>
      <c r="L229" s="242"/>
      <c r="M229" s="242"/>
      <c r="N229" s="242"/>
      <c r="O229" s="242"/>
      <c r="P229" s="242"/>
      <c r="Q229" s="242"/>
      <c r="R229" s="242"/>
      <c r="S229" s="242"/>
      <c r="T229" s="242"/>
      <c r="U229" s="242"/>
      <c r="V229" s="242"/>
      <c r="W229" s="242"/>
      <c r="X229" s="242"/>
      <c r="Y229" s="242"/>
      <c r="Z229" s="242"/>
      <c r="AA229" s="242"/>
    </row>
    <row r="230">
      <c r="A230" s="242"/>
      <c r="B230" s="242"/>
      <c r="C230" s="13"/>
      <c r="D230" s="242"/>
      <c r="E230" s="242"/>
      <c r="F230" s="242"/>
      <c r="G230" s="242"/>
      <c r="H230" s="13"/>
      <c r="I230" s="13"/>
      <c r="J230" s="13"/>
      <c r="K230" s="13"/>
      <c r="L230" s="242"/>
      <c r="M230" s="242"/>
      <c r="N230" s="242"/>
      <c r="O230" s="242"/>
      <c r="P230" s="242"/>
      <c r="Q230" s="242"/>
      <c r="R230" s="242"/>
      <c r="S230" s="242"/>
      <c r="T230" s="242"/>
      <c r="U230" s="242"/>
      <c r="V230" s="242"/>
      <c r="W230" s="242"/>
      <c r="X230" s="242"/>
      <c r="Y230" s="242"/>
      <c r="Z230" s="242"/>
      <c r="AA230" s="242"/>
    </row>
    <row r="231">
      <c r="A231" s="242"/>
      <c r="B231" s="242"/>
      <c r="C231" s="13"/>
      <c r="D231" s="242"/>
      <c r="E231" s="242"/>
      <c r="F231" s="242"/>
      <c r="G231" s="242"/>
      <c r="H231" s="13"/>
      <c r="I231" s="13"/>
      <c r="J231" s="13"/>
      <c r="K231" s="13"/>
      <c r="L231" s="242"/>
      <c r="M231" s="242"/>
      <c r="N231" s="242"/>
      <c r="O231" s="242"/>
      <c r="P231" s="242"/>
      <c r="Q231" s="242"/>
      <c r="R231" s="242"/>
      <c r="S231" s="242"/>
      <c r="T231" s="242"/>
      <c r="U231" s="242"/>
      <c r="V231" s="242"/>
      <c r="W231" s="242"/>
      <c r="X231" s="242"/>
      <c r="Y231" s="242"/>
      <c r="Z231" s="242"/>
      <c r="AA231" s="242"/>
    </row>
    <row r="232">
      <c r="A232" s="242"/>
      <c r="B232" s="242"/>
      <c r="C232" s="13"/>
      <c r="D232" s="242"/>
      <c r="E232" s="242"/>
      <c r="F232" s="242"/>
      <c r="G232" s="242"/>
      <c r="H232" s="13"/>
      <c r="I232" s="13"/>
      <c r="J232" s="13"/>
      <c r="K232" s="13"/>
      <c r="L232" s="242"/>
      <c r="M232" s="242"/>
      <c r="N232" s="242"/>
      <c r="O232" s="242"/>
      <c r="P232" s="242"/>
      <c r="Q232" s="242"/>
      <c r="R232" s="242"/>
      <c r="S232" s="242"/>
      <c r="T232" s="242"/>
      <c r="U232" s="242"/>
      <c r="V232" s="242"/>
      <c r="W232" s="242"/>
      <c r="X232" s="242"/>
      <c r="Y232" s="242"/>
      <c r="Z232" s="242"/>
      <c r="AA232" s="242"/>
    </row>
    <row r="233">
      <c r="A233" s="242"/>
      <c r="B233" s="242"/>
      <c r="C233" s="13"/>
      <c r="D233" s="242"/>
      <c r="E233" s="242"/>
      <c r="F233" s="242"/>
      <c r="G233" s="242"/>
      <c r="H233" s="13"/>
      <c r="I233" s="13"/>
      <c r="J233" s="13"/>
      <c r="K233" s="13"/>
      <c r="L233" s="242"/>
      <c r="M233" s="242"/>
      <c r="N233" s="242"/>
      <c r="O233" s="242"/>
      <c r="P233" s="242"/>
      <c r="Q233" s="242"/>
      <c r="R233" s="242"/>
      <c r="S233" s="242"/>
      <c r="T233" s="242"/>
      <c r="U233" s="242"/>
      <c r="V233" s="242"/>
      <c r="W233" s="242"/>
      <c r="X233" s="242"/>
      <c r="Y233" s="242"/>
      <c r="Z233" s="242"/>
      <c r="AA233" s="242"/>
    </row>
    <row r="234">
      <c r="A234" s="242"/>
      <c r="B234" s="242"/>
      <c r="C234" s="13"/>
      <c r="D234" s="242"/>
      <c r="E234" s="242"/>
      <c r="F234" s="242"/>
      <c r="G234" s="242"/>
      <c r="H234" s="13"/>
      <c r="I234" s="13"/>
      <c r="J234" s="13"/>
      <c r="K234" s="13"/>
      <c r="L234" s="242"/>
      <c r="M234" s="242"/>
      <c r="N234" s="242"/>
      <c r="O234" s="242"/>
      <c r="P234" s="242"/>
      <c r="Q234" s="242"/>
      <c r="R234" s="242"/>
      <c r="S234" s="242"/>
      <c r="T234" s="242"/>
      <c r="U234" s="242"/>
      <c r="V234" s="242"/>
      <c r="W234" s="242"/>
      <c r="X234" s="242"/>
      <c r="Y234" s="242"/>
      <c r="Z234" s="242"/>
      <c r="AA234" s="242"/>
    </row>
    <row r="235">
      <c r="A235" s="242"/>
      <c r="B235" s="242"/>
      <c r="C235" s="13"/>
      <c r="D235" s="242"/>
      <c r="E235" s="242"/>
      <c r="F235" s="242"/>
      <c r="G235" s="242"/>
      <c r="H235" s="13"/>
      <c r="I235" s="13"/>
      <c r="J235" s="13"/>
      <c r="K235" s="13"/>
      <c r="L235" s="242"/>
      <c r="M235" s="242"/>
      <c r="N235" s="242"/>
      <c r="O235" s="242"/>
      <c r="P235" s="242"/>
      <c r="Q235" s="242"/>
      <c r="R235" s="242"/>
      <c r="S235" s="242"/>
      <c r="T235" s="242"/>
      <c r="U235" s="242"/>
      <c r="V235" s="242"/>
      <c r="W235" s="242"/>
      <c r="X235" s="242"/>
      <c r="Y235" s="242"/>
      <c r="Z235" s="242"/>
      <c r="AA235" s="242"/>
    </row>
    <row r="236">
      <c r="A236" s="242"/>
      <c r="B236" s="242"/>
      <c r="C236" s="13"/>
      <c r="D236" s="242"/>
      <c r="E236" s="242"/>
      <c r="F236" s="242"/>
      <c r="G236" s="242"/>
      <c r="H236" s="13"/>
      <c r="I236" s="13"/>
      <c r="J236" s="13"/>
      <c r="K236" s="13"/>
      <c r="L236" s="242"/>
      <c r="M236" s="242"/>
      <c r="N236" s="242"/>
      <c r="O236" s="242"/>
      <c r="P236" s="242"/>
      <c r="Q236" s="242"/>
      <c r="R236" s="242"/>
      <c r="S236" s="242"/>
      <c r="T236" s="242"/>
      <c r="U236" s="242"/>
      <c r="V236" s="242"/>
      <c r="W236" s="242"/>
      <c r="X236" s="242"/>
      <c r="Y236" s="242"/>
      <c r="Z236" s="242"/>
      <c r="AA236" s="242"/>
    </row>
    <row r="237">
      <c r="A237" s="242"/>
      <c r="B237" s="242"/>
      <c r="C237" s="13"/>
      <c r="D237" s="242"/>
      <c r="E237" s="242"/>
      <c r="F237" s="242"/>
      <c r="G237" s="242"/>
      <c r="H237" s="13"/>
      <c r="I237" s="13"/>
      <c r="J237" s="13"/>
      <c r="K237" s="13"/>
      <c r="L237" s="242"/>
      <c r="M237" s="242"/>
      <c r="N237" s="242"/>
      <c r="O237" s="242"/>
      <c r="P237" s="242"/>
      <c r="Q237" s="242"/>
      <c r="R237" s="242"/>
      <c r="S237" s="242"/>
      <c r="T237" s="242"/>
      <c r="U237" s="242"/>
      <c r="V237" s="242"/>
      <c r="W237" s="242"/>
      <c r="X237" s="242"/>
      <c r="Y237" s="242"/>
      <c r="Z237" s="242"/>
      <c r="AA237" s="242"/>
    </row>
    <row r="238">
      <c r="A238" s="242"/>
      <c r="B238" s="242"/>
      <c r="C238" s="13"/>
      <c r="D238" s="242"/>
      <c r="E238" s="242"/>
      <c r="F238" s="242"/>
      <c r="G238" s="242"/>
      <c r="H238" s="13"/>
      <c r="I238" s="13"/>
      <c r="J238" s="13"/>
      <c r="K238" s="13"/>
      <c r="L238" s="242"/>
      <c r="M238" s="242"/>
      <c r="N238" s="242"/>
      <c r="O238" s="242"/>
      <c r="P238" s="242"/>
      <c r="Q238" s="242"/>
      <c r="R238" s="242"/>
      <c r="S238" s="242"/>
      <c r="T238" s="242"/>
      <c r="U238" s="242"/>
      <c r="V238" s="242"/>
      <c r="W238" s="242"/>
      <c r="X238" s="242"/>
      <c r="Y238" s="242"/>
      <c r="Z238" s="242"/>
      <c r="AA238" s="242"/>
    </row>
    <row r="239">
      <c r="A239" s="242"/>
      <c r="B239" s="242"/>
      <c r="C239" s="13"/>
      <c r="D239" s="242"/>
      <c r="E239" s="242"/>
      <c r="F239" s="242"/>
      <c r="G239" s="242"/>
      <c r="H239" s="13"/>
      <c r="I239" s="13"/>
      <c r="J239" s="13"/>
      <c r="K239" s="13"/>
      <c r="L239" s="242"/>
      <c r="M239" s="242"/>
      <c r="N239" s="242"/>
      <c r="O239" s="242"/>
      <c r="P239" s="242"/>
      <c r="Q239" s="242"/>
      <c r="R239" s="242"/>
      <c r="S239" s="242"/>
      <c r="T239" s="242"/>
      <c r="U239" s="242"/>
      <c r="V239" s="242"/>
      <c r="W239" s="242"/>
      <c r="X239" s="242"/>
      <c r="Y239" s="242"/>
      <c r="Z239" s="242"/>
      <c r="AA239" s="242"/>
    </row>
    <row r="240">
      <c r="A240" s="242"/>
      <c r="B240" s="242"/>
      <c r="C240" s="13"/>
      <c r="D240" s="242"/>
      <c r="E240" s="242"/>
      <c r="F240" s="242"/>
      <c r="G240" s="242"/>
      <c r="H240" s="13"/>
      <c r="I240" s="13"/>
      <c r="J240" s="13"/>
      <c r="K240" s="13"/>
      <c r="L240" s="242"/>
      <c r="M240" s="242"/>
      <c r="N240" s="242"/>
      <c r="O240" s="242"/>
      <c r="P240" s="242"/>
      <c r="Q240" s="242"/>
      <c r="R240" s="242"/>
      <c r="S240" s="242"/>
      <c r="T240" s="242"/>
      <c r="U240" s="242"/>
      <c r="V240" s="242"/>
      <c r="W240" s="242"/>
      <c r="X240" s="242"/>
      <c r="Y240" s="242"/>
      <c r="Z240" s="242"/>
      <c r="AA240" s="242"/>
    </row>
    <row r="241">
      <c r="A241" s="242"/>
      <c r="B241" s="242"/>
      <c r="C241" s="13"/>
      <c r="D241" s="242"/>
      <c r="E241" s="242"/>
      <c r="F241" s="242"/>
      <c r="G241" s="242"/>
      <c r="H241" s="13"/>
      <c r="I241" s="13"/>
      <c r="J241" s="13"/>
      <c r="K241" s="13"/>
      <c r="L241" s="242"/>
      <c r="M241" s="242"/>
      <c r="N241" s="242"/>
      <c r="O241" s="242"/>
      <c r="P241" s="242"/>
      <c r="Q241" s="242"/>
      <c r="R241" s="242"/>
      <c r="S241" s="242"/>
      <c r="T241" s="242"/>
      <c r="U241" s="242"/>
      <c r="V241" s="242"/>
      <c r="W241" s="242"/>
      <c r="X241" s="242"/>
      <c r="Y241" s="242"/>
      <c r="Z241" s="242"/>
      <c r="AA241" s="242"/>
    </row>
    <row r="242">
      <c r="A242" s="242"/>
      <c r="B242" s="242"/>
      <c r="C242" s="13"/>
      <c r="D242" s="242"/>
      <c r="E242" s="242"/>
      <c r="F242" s="242"/>
      <c r="G242" s="242"/>
      <c r="H242" s="13"/>
      <c r="I242" s="13"/>
      <c r="J242" s="13"/>
      <c r="K242" s="13"/>
      <c r="L242" s="242"/>
      <c r="M242" s="242"/>
      <c r="N242" s="242"/>
      <c r="O242" s="242"/>
      <c r="P242" s="242"/>
      <c r="Q242" s="242"/>
      <c r="R242" s="242"/>
      <c r="S242" s="242"/>
      <c r="T242" s="242"/>
      <c r="U242" s="242"/>
      <c r="V242" s="242"/>
      <c r="W242" s="242"/>
      <c r="X242" s="242"/>
      <c r="Y242" s="242"/>
      <c r="Z242" s="242"/>
      <c r="AA242" s="242"/>
    </row>
    <row r="243">
      <c r="A243" s="242"/>
      <c r="B243" s="242"/>
      <c r="C243" s="13"/>
      <c r="D243" s="242"/>
      <c r="E243" s="242"/>
      <c r="F243" s="242"/>
      <c r="G243" s="242"/>
      <c r="H243" s="13"/>
      <c r="I243" s="13"/>
      <c r="J243" s="13"/>
      <c r="K243" s="13"/>
      <c r="L243" s="242"/>
      <c r="M243" s="242"/>
      <c r="N243" s="242"/>
      <c r="O243" s="242"/>
      <c r="P243" s="242"/>
      <c r="Q243" s="242"/>
      <c r="R243" s="242"/>
      <c r="S243" s="242"/>
      <c r="T243" s="242"/>
      <c r="U243" s="242"/>
      <c r="V243" s="242"/>
      <c r="W243" s="242"/>
      <c r="X243" s="242"/>
      <c r="Y243" s="242"/>
      <c r="Z243" s="242"/>
      <c r="AA243" s="242"/>
    </row>
    <row r="244">
      <c r="A244" s="242"/>
      <c r="B244" s="242"/>
      <c r="C244" s="13"/>
      <c r="D244" s="242"/>
      <c r="E244" s="242"/>
      <c r="F244" s="242"/>
      <c r="G244" s="242"/>
      <c r="H244" s="13"/>
      <c r="I244" s="13"/>
      <c r="J244" s="13"/>
      <c r="K244" s="13"/>
      <c r="L244" s="242"/>
      <c r="M244" s="242"/>
      <c r="N244" s="242"/>
      <c r="O244" s="242"/>
      <c r="P244" s="242"/>
      <c r="Q244" s="242"/>
      <c r="R244" s="242"/>
      <c r="S244" s="242"/>
      <c r="T244" s="242"/>
      <c r="U244" s="242"/>
      <c r="V244" s="242"/>
      <c r="W244" s="242"/>
      <c r="X244" s="242"/>
      <c r="Y244" s="242"/>
      <c r="Z244" s="242"/>
      <c r="AA244" s="242"/>
    </row>
    <row r="245">
      <c r="A245" s="242"/>
      <c r="B245" s="242"/>
      <c r="C245" s="13"/>
      <c r="D245" s="242"/>
      <c r="E245" s="242"/>
      <c r="F245" s="242"/>
      <c r="G245" s="242"/>
      <c r="H245" s="13"/>
      <c r="I245" s="13"/>
      <c r="J245" s="13"/>
      <c r="K245" s="13"/>
      <c r="L245" s="242"/>
      <c r="M245" s="242"/>
      <c r="N245" s="242"/>
      <c r="O245" s="242"/>
      <c r="P245" s="242"/>
      <c r="Q245" s="242"/>
      <c r="R245" s="242"/>
      <c r="S245" s="242"/>
      <c r="T245" s="242"/>
      <c r="U245" s="242"/>
      <c r="V245" s="242"/>
      <c r="W245" s="242"/>
      <c r="X245" s="242"/>
      <c r="Y245" s="242"/>
      <c r="Z245" s="242"/>
      <c r="AA245" s="242"/>
    </row>
    <row r="246">
      <c r="A246" s="242"/>
      <c r="B246" s="242"/>
      <c r="C246" s="13"/>
      <c r="D246" s="242"/>
      <c r="E246" s="242"/>
      <c r="F246" s="242"/>
      <c r="G246" s="242"/>
      <c r="H246" s="13"/>
      <c r="I246" s="13"/>
      <c r="J246" s="13"/>
      <c r="K246" s="13"/>
      <c r="L246" s="242"/>
      <c r="M246" s="242"/>
      <c r="N246" s="242"/>
      <c r="O246" s="242"/>
      <c r="P246" s="242"/>
      <c r="Q246" s="242"/>
      <c r="R246" s="242"/>
      <c r="S246" s="242"/>
      <c r="T246" s="242"/>
      <c r="U246" s="242"/>
      <c r="V246" s="242"/>
      <c r="W246" s="242"/>
      <c r="X246" s="242"/>
      <c r="Y246" s="242"/>
      <c r="Z246" s="242"/>
      <c r="AA246" s="242"/>
    </row>
    <row r="247">
      <c r="A247" s="242"/>
      <c r="B247" s="242"/>
      <c r="C247" s="13"/>
      <c r="D247" s="242"/>
      <c r="E247" s="242"/>
      <c r="F247" s="242"/>
      <c r="G247" s="242"/>
      <c r="H247" s="13"/>
      <c r="I247" s="13"/>
      <c r="J247" s="13"/>
      <c r="K247" s="13"/>
      <c r="L247" s="242"/>
      <c r="M247" s="242"/>
      <c r="N247" s="242"/>
      <c r="O247" s="242"/>
      <c r="P247" s="242"/>
      <c r="Q247" s="242"/>
      <c r="R247" s="242"/>
      <c r="S247" s="242"/>
      <c r="T247" s="242"/>
      <c r="U247" s="242"/>
      <c r="V247" s="242"/>
      <c r="W247" s="242"/>
      <c r="X247" s="242"/>
      <c r="Y247" s="242"/>
      <c r="Z247" s="242"/>
      <c r="AA247" s="242"/>
    </row>
    <row r="248">
      <c r="A248" s="242"/>
      <c r="B248" s="242"/>
      <c r="C248" s="13"/>
      <c r="D248" s="242"/>
      <c r="E248" s="242"/>
      <c r="F248" s="242"/>
      <c r="G248" s="242"/>
      <c r="H248" s="13"/>
      <c r="I248" s="13"/>
      <c r="J248" s="13"/>
      <c r="K248" s="13"/>
      <c r="L248" s="242"/>
      <c r="M248" s="242"/>
      <c r="N248" s="242"/>
      <c r="O248" s="242"/>
      <c r="P248" s="242"/>
      <c r="Q248" s="242"/>
      <c r="R248" s="242"/>
      <c r="S248" s="242"/>
      <c r="T248" s="242"/>
      <c r="U248" s="242"/>
      <c r="V248" s="242"/>
      <c r="W248" s="242"/>
      <c r="X248" s="242"/>
      <c r="Y248" s="242"/>
      <c r="Z248" s="242"/>
      <c r="AA248" s="242"/>
    </row>
    <row r="249">
      <c r="A249" s="242"/>
      <c r="B249" s="242"/>
      <c r="C249" s="13"/>
      <c r="D249" s="242"/>
      <c r="E249" s="242"/>
      <c r="F249" s="242"/>
      <c r="G249" s="242"/>
      <c r="H249" s="13"/>
      <c r="I249" s="13"/>
      <c r="J249" s="13"/>
      <c r="K249" s="13"/>
      <c r="L249" s="242"/>
      <c r="M249" s="242"/>
      <c r="N249" s="242"/>
      <c r="O249" s="242"/>
      <c r="P249" s="242"/>
      <c r="Q249" s="242"/>
      <c r="R249" s="242"/>
      <c r="S249" s="242"/>
      <c r="T249" s="242"/>
      <c r="U249" s="242"/>
      <c r="V249" s="242"/>
      <c r="W249" s="242"/>
      <c r="X249" s="242"/>
      <c r="Y249" s="242"/>
      <c r="Z249" s="242"/>
      <c r="AA249" s="242"/>
    </row>
    <row r="250">
      <c r="A250" s="242"/>
      <c r="B250" s="242"/>
      <c r="C250" s="13"/>
      <c r="D250" s="242"/>
      <c r="E250" s="242"/>
      <c r="F250" s="242"/>
      <c r="G250" s="242"/>
      <c r="H250" s="13"/>
      <c r="I250" s="13"/>
      <c r="J250" s="13"/>
      <c r="K250" s="13"/>
      <c r="L250" s="242"/>
      <c r="M250" s="242"/>
      <c r="N250" s="242"/>
      <c r="O250" s="242"/>
      <c r="P250" s="242"/>
      <c r="Q250" s="242"/>
      <c r="R250" s="242"/>
      <c r="S250" s="242"/>
      <c r="T250" s="242"/>
      <c r="U250" s="242"/>
      <c r="V250" s="242"/>
      <c r="W250" s="242"/>
      <c r="X250" s="242"/>
      <c r="Y250" s="242"/>
      <c r="Z250" s="242"/>
      <c r="AA250" s="242"/>
    </row>
    <row r="251">
      <c r="A251" s="242"/>
      <c r="B251" s="242"/>
      <c r="C251" s="13"/>
      <c r="D251" s="242"/>
      <c r="E251" s="242"/>
      <c r="F251" s="242"/>
      <c r="G251" s="242"/>
      <c r="H251" s="13"/>
      <c r="I251" s="13"/>
      <c r="J251" s="13"/>
      <c r="K251" s="13"/>
      <c r="L251" s="242"/>
      <c r="M251" s="242"/>
      <c r="N251" s="242"/>
      <c r="O251" s="242"/>
      <c r="P251" s="242"/>
      <c r="Q251" s="242"/>
      <c r="R251" s="242"/>
      <c r="S251" s="242"/>
      <c r="T251" s="242"/>
      <c r="U251" s="242"/>
      <c r="V251" s="242"/>
      <c r="W251" s="242"/>
      <c r="X251" s="242"/>
      <c r="Y251" s="242"/>
      <c r="Z251" s="242"/>
      <c r="AA251" s="242"/>
    </row>
    <row r="252">
      <c r="A252" s="242"/>
      <c r="B252" s="242"/>
      <c r="C252" s="13"/>
      <c r="D252" s="242"/>
      <c r="E252" s="242"/>
      <c r="F252" s="242"/>
      <c r="G252" s="242"/>
      <c r="H252" s="13"/>
      <c r="I252" s="13"/>
      <c r="J252" s="13"/>
      <c r="K252" s="13"/>
      <c r="L252" s="242"/>
      <c r="M252" s="242"/>
      <c r="N252" s="242"/>
      <c r="O252" s="242"/>
      <c r="P252" s="242"/>
      <c r="Q252" s="242"/>
      <c r="R252" s="242"/>
      <c r="S252" s="242"/>
      <c r="T252" s="242"/>
      <c r="U252" s="242"/>
      <c r="V252" s="242"/>
      <c r="W252" s="242"/>
      <c r="X252" s="242"/>
      <c r="Y252" s="242"/>
      <c r="Z252" s="242"/>
      <c r="AA252" s="242"/>
    </row>
    <row r="253">
      <c r="A253" s="242"/>
      <c r="B253" s="242"/>
      <c r="C253" s="13"/>
      <c r="D253" s="242"/>
      <c r="E253" s="242"/>
      <c r="F253" s="242"/>
      <c r="G253" s="242"/>
      <c r="H253" s="13"/>
      <c r="I253" s="13"/>
      <c r="J253" s="13"/>
      <c r="K253" s="13"/>
      <c r="L253" s="242"/>
      <c r="M253" s="242"/>
      <c r="N253" s="242"/>
      <c r="O253" s="242"/>
      <c r="P253" s="242"/>
      <c r="Q253" s="242"/>
      <c r="R253" s="242"/>
      <c r="S253" s="242"/>
      <c r="T253" s="242"/>
      <c r="U253" s="242"/>
      <c r="V253" s="242"/>
      <c r="W253" s="242"/>
      <c r="X253" s="242"/>
      <c r="Y253" s="242"/>
      <c r="Z253" s="242"/>
      <c r="AA253" s="242"/>
    </row>
    <row r="254">
      <c r="A254" s="242"/>
      <c r="B254" s="242"/>
      <c r="C254" s="13"/>
      <c r="D254" s="242"/>
      <c r="E254" s="242"/>
      <c r="F254" s="242"/>
      <c r="G254" s="242"/>
      <c r="H254" s="13"/>
      <c r="I254" s="13"/>
      <c r="J254" s="13"/>
      <c r="K254" s="13"/>
      <c r="L254" s="242"/>
      <c r="M254" s="242"/>
      <c r="N254" s="242"/>
      <c r="O254" s="242"/>
      <c r="P254" s="242"/>
      <c r="Q254" s="242"/>
      <c r="R254" s="242"/>
      <c r="S254" s="242"/>
      <c r="T254" s="242"/>
      <c r="U254" s="242"/>
      <c r="V254" s="242"/>
      <c r="W254" s="242"/>
      <c r="X254" s="242"/>
      <c r="Y254" s="242"/>
      <c r="Z254" s="242"/>
      <c r="AA254" s="242"/>
    </row>
    <row r="255">
      <c r="A255" s="242"/>
      <c r="B255" s="242"/>
      <c r="C255" s="13"/>
      <c r="D255" s="242"/>
      <c r="E255" s="242"/>
      <c r="F255" s="242"/>
      <c r="G255" s="242"/>
      <c r="H255" s="13"/>
      <c r="I255" s="13"/>
      <c r="J255" s="13"/>
      <c r="K255" s="13"/>
      <c r="L255" s="242"/>
      <c r="M255" s="242"/>
      <c r="N255" s="242"/>
      <c r="O255" s="242"/>
      <c r="P255" s="242"/>
      <c r="Q255" s="242"/>
      <c r="R255" s="242"/>
      <c r="S255" s="242"/>
      <c r="T255" s="242"/>
      <c r="U255" s="242"/>
      <c r="V255" s="242"/>
      <c r="W255" s="242"/>
      <c r="X255" s="242"/>
      <c r="Y255" s="242"/>
      <c r="Z255" s="242"/>
      <c r="AA255" s="242"/>
    </row>
    <row r="256">
      <c r="A256" s="242"/>
      <c r="B256" s="242"/>
      <c r="C256" s="13"/>
      <c r="D256" s="242"/>
      <c r="E256" s="242"/>
      <c r="F256" s="242"/>
      <c r="G256" s="242"/>
      <c r="H256" s="13"/>
      <c r="I256" s="13"/>
      <c r="J256" s="13"/>
      <c r="K256" s="13"/>
      <c r="L256" s="242"/>
      <c r="M256" s="242"/>
      <c r="N256" s="242"/>
      <c r="O256" s="242"/>
      <c r="P256" s="242"/>
      <c r="Q256" s="242"/>
      <c r="R256" s="242"/>
      <c r="S256" s="242"/>
      <c r="T256" s="242"/>
      <c r="U256" s="242"/>
      <c r="V256" s="242"/>
      <c r="W256" s="242"/>
      <c r="X256" s="242"/>
      <c r="Y256" s="242"/>
      <c r="Z256" s="242"/>
      <c r="AA256" s="242"/>
    </row>
    <row r="257">
      <c r="A257" s="242"/>
      <c r="B257" s="242"/>
      <c r="C257" s="13"/>
      <c r="D257" s="242"/>
      <c r="E257" s="242"/>
      <c r="F257" s="242"/>
      <c r="G257" s="242"/>
      <c r="H257" s="13"/>
      <c r="I257" s="13"/>
      <c r="J257" s="13"/>
      <c r="K257" s="13"/>
      <c r="L257" s="242"/>
      <c r="M257" s="242"/>
      <c r="N257" s="242"/>
      <c r="O257" s="242"/>
      <c r="P257" s="242"/>
      <c r="Q257" s="242"/>
      <c r="R257" s="242"/>
      <c r="S257" s="242"/>
      <c r="T257" s="242"/>
      <c r="U257" s="242"/>
      <c r="V257" s="242"/>
      <c r="W257" s="242"/>
      <c r="X257" s="242"/>
      <c r="Y257" s="242"/>
      <c r="Z257" s="242"/>
      <c r="AA257" s="242"/>
    </row>
    <row r="258">
      <c r="A258" s="242"/>
      <c r="B258" s="242"/>
      <c r="C258" s="13"/>
      <c r="D258" s="242"/>
      <c r="E258" s="242"/>
      <c r="F258" s="242"/>
      <c r="G258" s="242"/>
      <c r="H258" s="13"/>
      <c r="I258" s="13"/>
      <c r="J258" s="13"/>
      <c r="K258" s="13"/>
      <c r="L258" s="242"/>
      <c r="M258" s="242"/>
      <c r="N258" s="242"/>
      <c r="O258" s="242"/>
      <c r="P258" s="242"/>
      <c r="Q258" s="242"/>
      <c r="R258" s="242"/>
      <c r="S258" s="242"/>
      <c r="T258" s="242"/>
      <c r="U258" s="242"/>
      <c r="V258" s="242"/>
      <c r="W258" s="242"/>
      <c r="X258" s="242"/>
      <c r="Y258" s="242"/>
      <c r="Z258" s="242"/>
      <c r="AA258" s="242"/>
    </row>
    <row r="259">
      <c r="A259" s="242"/>
      <c r="B259" s="242"/>
      <c r="C259" s="13"/>
      <c r="D259" s="242"/>
      <c r="E259" s="242"/>
      <c r="F259" s="242"/>
      <c r="G259" s="242"/>
      <c r="H259" s="13"/>
      <c r="I259" s="13"/>
      <c r="J259" s="13"/>
      <c r="K259" s="13"/>
      <c r="L259" s="242"/>
      <c r="M259" s="242"/>
      <c r="N259" s="242"/>
      <c r="O259" s="242"/>
      <c r="P259" s="242"/>
      <c r="Q259" s="242"/>
      <c r="R259" s="242"/>
      <c r="S259" s="242"/>
      <c r="T259" s="242"/>
      <c r="U259" s="242"/>
      <c r="V259" s="242"/>
      <c r="W259" s="242"/>
      <c r="X259" s="242"/>
      <c r="Y259" s="242"/>
      <c r="Z259" s="242"/>
      <c r="AA259" s="242"/>
    </row>
    <row r="260">
      <c r="A260" s="242"/>
      <c r="B260" s="242"/>
      <c r="C260" s="13"/>
      <c r="D260" s="242"/>
      <c r="E260" s="242"/>
      <c r="F260" s="242"/>
      <c r="G260" s="242"/>
      <c r="H260" s="13"/>
      <c r="I260" s="13"/>
      <c r="J260" s="13"/>
      <c r="K260" s="13"/>
      <c r="L260" s="242"/>
      <c r="M260" s="242"/>
      <c r="N260" s="242"/>
      <c r="O260" s="242"/>
      <c r="P260" s="242"/>
      <c r="Q260" s="242"/>
      <c r="R260" s="242"/>
      <c r="S260" s="242"/>
      <c r="T260" s="242"/>
      <c r="U260" s="242"/>
      <c r="V260" s="242"/>
      <c r="W260" s="242"/>
      <c r="X260" s="242"/>
      <c r="Y260" s="242"/>
      <c r="Z260" s="242"/>
      <c r="AA260" s="242"/>
    </row>
    <row r="261">
      <c r="A261" s="242"/>
      <c r="B261" s="242"/>
      <c r="C261" s="13"/>
      <c r="D261" s="242"/>
      <c r="E261" s="242"/>
      <c r="F261" s="242"/>
      <c r="G261" s="242"/>
      <c r="H261" s="13"/>
      <c r="I261" s="13"/>
      <c r="J261" s="13"/>
      <c r="K261" s="13"/>
      <c r="L261" s="242"/>
      <c r="M261" s="242"/>
      <c r="N261" s="242"/>
      <c r="O261" s="242"/>
      <c r="P261" s="242"/>
      <c r="Q261" s="242"/>
      <c r="R261" s="242"/>
      <c r="S261" s="242"/>
      <c r="T261" s="242"/>
      <c r="U261" s="242"/>
      <c r="V261" s="242"/>
      <c r="W261" s="242"/>
      <c r="X261" s="242"/>
      <c r="Y261" s="242"/>
      <c r="Z261" s="242"/>
      <c r="AA261" s="242"/>
    </row>
    <row r="262">
      <c r="A262" s="242"/>
      <c r="B262" s="242"/>
      <c r="C262" s="13"/>
      <c r="D262" s="242"/>
      <c r="E262" s="242"/>
      <c r="F262" s="242"/>
      <c r="G262" s="242"/>
      <c r="H262" s="13"/>
      <c r="I262" s="13"/>
      <c r="J262" s="13"/>
      <c r="K262" s="13"/>
      <c r="L262" s="242"/>
      <c r="M262" s="242"/>
      <c r="N262" s="242"/>
      <c r="O262" s="242"/>
      <c r="P262" s="242"/>
      <c r="Q262" s="242"/>
      <c r="R262" s="242"/>
      <c r="S262" s="242"/>
      <c r="T262" s="242"/>
      <c r="U262" s="242"/>
      <c r="V262" s="242"/>
      <c r="W262" s="242"/>
      <c r="X262" s="242"/>
      <c r="Y262" s="242"/>
      <c r="Z262" s="242"/>
      <c r="AA262" s="242"/>
    </row>
    <row r="263">
      <c r="A263" s="242"/>
      <c r="B263" s="242"/>
      <c r="C263" s="13"/>
      <c r="D263" s="242"/>
      <c r="E263" s="242"/>
      <c r="F263" s="242"/>
      <c r="G263" s="242"/>
      <c r="H263" s="13"/>
      <c r="I263" s="13"/>
      <c r="J263" s="13"/>
      <c r="K263" s="13"/>
      <c r="L263" s="242"/>
      <c r="M263" s="242"/>
      <c r="N263" s="242"/>
      <c r="O263" s="242"/>
      <c r="P263" s="242"/>
      <c r="Q263" s="242"/>
      <c r="R263" s="242"/>
      <c r="S263" s="242"/>
      <c r="T263" s="242"/>
      <c r="U263" s="242"/>
      <c r="V263" s="242"/>
      <c r="W263" s="242"/>
      <c r="X263" s="242"/>
      <c r="Y263" s="242"/>
      <c r="Z263" s="242"/>
      <c r="AA263" s="242"/>
    </row>
    <row r="264">
      <c r="A264" s="242"/>
      <c r="B264" s="242"/>
      <c r="C264" s="13"/>
      <c r="D264" s="242"/>
      <c r="E264" s="242"/>
      <c r="F264" s="242"/>
      <c r="G264" s="242"/>
      <c r="H264" s="13"/>
      <c r="I264" s="13"/>
      <c r="J264" s="13"/>
      <c r="K264" s="13"/>
      <c r="L264" s="242"/>
      <c r="M264" s="242"/>
      <c r="N264" s="242"/>
      <c r="O264" s="242"/>
      <c r="P264" s="242"/>
      <c r="Q264" s="242"/>
      <c r="R264" s="242"/>
      <c r="S264" s="242"/>
      <c r="T264" s="242"/>
      <c r="U264" s="242"/>
      <c r="V264" s="242"/>
      <c r="W264" s="242"/>
      <c r="X264" s="242"/>
      <c r="Y264" s="242"/>
      <c r="Z264" s="242"/>
      <c r="AA264" s="242"/>
    </row>
    <row r="265">
      <c r="A265" s="242"/>
      <c r="B265" s="242"/>
      <c r="C265" s="13"/>
      <c r="D265" s="242"/>
      <c r="E265" s="242"/>
      <c r="F265" s="242"/>
      <c r="G265" s="242"/>
      <c r="H265" s="13"/>
      <c r="I265" s="13"/>
      <c r="J265" s="13"/>
      <c r="K265" s="13"/>
      <c r="L265" s="242"/>
      <c r="M265" s="242"/>
      <c r="N265" s="242"/>
      <c r="O265" s="242"/>
      <c r="P265" s="242"/>
      <c r="Q265" s="242"/>
      <c r="R265" s="242"/>
      <c r="S265" s="242"/>
      <c r="T265" s="242"/>
      <c r="U265" s="242"/>
      <c r="V265" s="242"/>
      <c r="W265" s="242"/>
      <c r="X265" s="242"/>
      <c r="Y265" s="242"/>
      <c r="Z265" s="242"/>
      <c r="AA265" s="242"/>
    </row>
    <row r="266">
      <c r="A266" s="242"/>
      <c r="B266" s="242"/>
      <c r="C266" s="13"/>
      <c r="D266" s="242"/>
      <c r="E266" s="242"/>
      <c r="F266" s="242"/>
      <c r="G266" s="242"/>
      <c r="H266" s="13"/>
      <c r="I266" s="13"/>
      <c r="J266" s="13"/>
      <c r="K266" s="13"/>
      <c r="L266" s="242"/>
      <c r="M266" s="242"/>
      <c r="N266" s="242"/>
      <c r="O266" s="242"/>
      <c r="P266" s="242"/>
      <c r="Q266" s="242"/>
      <c r="R266" s="242"/>
      <c r="S266" s="242"/>
      <c r="T266" s="242"/>
      <c r="U266" s="242"/>
      <c r="V266" s="242"/>
      <c r="W266" s="242"/>
      <c r="X266" s="242"/>
      <c r="Y266" s="242"/>
      <c r="Z266" s="242"/>
      <c r="AA266" s="242"/>
    </row>
    <row r="267">
      <c r="A267" s="242"/>
      <c r="B267" s="242"/>
      <c r="C267" s="13"/>
      <c r="D267" s="242"/>
      <c r="E267" s="242"/>
      <c r="F267" s="242"/>
      <c r="G267" s="242"/>
      <c r="H267" s="13"/>
      <c r="I267" s="13"/>
      <c r="J267" s="13"/>
      <c r="K267" s="13"/>
      <c r="L267" s="242"/>
      <c r="M267" s="242"/>
      <c r="N267" s="242"/>
      <c r="O267" s="242"/>
      <c r="P267" s="242"/>
      <c r="Q267" s="242"/>
      <c r="R267" s="242"/>
      <c r="S267" s="242"/>
      <c r="T267" s="242"/>
      <c r="U267" s="242"/>
      <c r="V267" s="242"/>
      <c r="W267" s="242"/>
      <c r="X267" s="242"/>
      <c r="Y267" s="242"/>
      <c r="Z267" s="242"/>
      <c r="AA267" s="242"/>
    </row>
    <row r="268">
      <c r="A268" s="242"/>
      <c r="B268" s="242"/>
      <c r="C268" s="13"/>
      <c r="D268" s="242"/>
      <c r="E268" s="242"/>
      <c r="F268" s="242"/>
      <c r="G268" s="242"/>
      <c r="H268" s="13"/>
      <c r="I268" s="13"/>
      <c r="J268" s="13"/>
      <c r="K268" s="13"/>
      <c r="L268" s="242"/>
      <c r="M268" s="242"/>
      <c r="N268" s="242"/>
      <c r="O268" s="242"/>
      <c r="P268" s="242"/>
      <c r="Q268" s="242"/>
      <c r="R268" s="242"/>
      <c r="S268" s="242"/>
      <c r="T268" s="242"/>
      <c r="U268" s="242"/>
      <c r="V268" s="242"/>
      <c r="W268" s="242"/>
      <c r="X268" s="242"/>
      <c r="Y268" s="242"/>
      <c r="Z268" s="242"/>
      <c r="AA268" s="242"/>
    </row>
    <row r="269">
      <c r="A269" s="242"/>
      <c r="B269" s="242"/>
      <c r="C269" s="13"/>
      <c r="D269" s="242"/>
      <c r="E269" s="242"/>
      <c r="F269" s="242"/>
      <c r="G269" s="242"/>
      <c r="H269" s="13"/>
      <c r="I269" s="13"/>
      <c r="J269" s="13"/>
      <c r="K269" s="13"/>
      <c r="L269" s="242"/>
      <c r="M269" s="242"/>
      <c r="N269" s="242"/>
      <c r="O269" s="242"/>
      <c r="P269" s="242"/>
      <c r="Q269" s="242"/>
      <c r="R269" s="242"/>
      <c r="S269" s="242"/>
      <c r="T269" s="242"/>
      <c r="U269" s="242"/>
      <c r="V269" s="242"/>
      <c r="W269" s="242"/>
      <c r="X269" s="242"/>
      <c r="Y269" s="242"/>
      <c r="Z269" s="242"/>
      <c r="AA269" s="242"/>
    </row>
    <row r="270">
      <c r="A270" s="242"/>
      <c r="B270" s="242"/>
      <c r="C270" s="13"/>
      <c r="D270" s="242"/>
      <c r="E270" s="242"/>
      <c r="F270" s="242"/>
      <c r="G270" s="242"/>
      <c r="H270" s="13"/>
      <c r="I270" s="13"/>
      <c r="J270" s="13"/>
      <c r="K270" s="13"/>
      <c r="L270" s="242"/>
      <c r="M270" s="242"/>
      <c r="N270" s="242"/>
      <c r="O270" s="242"/>
      <c r="P270" s="242"/>
      <c r="Q270" s="242"/>
      <c r="R270" s="242"/>
      <c r="S270" s="242"/>
      <c r="T270" s="242"/>
      <c r="U270" s="242"/>
      <c r="V270" s="242"/>
      <c r="W270" s="242"/>
      <c r="X270" s="242"/>
      <c r="Y270" s="242"/>
      <c r="Z270" s="242"/>
      <c r="AA270" s="242"/>
    </row>
    <row r="271">
      <c r="A271" s="242"/>
      <c r="B271" s="242"/>
      <c r="C271" s="13"/>
      <c r="D271" s="242"/>
      <c r="E271" s="242"/>
      <c r="F271" s="242"/>
      <c r="G271" s="242"/>
      <c r="H271" s="13"/>
      <c r="I271" s="13"/>
      <c r="J271" s="13"/>
      <c r="K271" s="13"/>
      <c r="L271" s="242"/>
      <c r="M271" s="242"/>
      <c r="N271" s="242"/>
      <c r="O271" s="242"/>
      <c r="P271" s="242"/>
      <c r="Q271" s="242"/>
      <c r="R271" s="242"/>
      <c r="S271" s="242"/>
      <c r="T271" s="242"/>
      <c r="U271" s="242"/>
      <c r="V271" s="242"/>
      <c r="W271" s="242"/>
      <c r="X271" s="242"/>
      <c r="Y271" s="242"/>
      <c r="Z271" s="242"/>
      <c r="AA271" s="242"/>
    </row>
    <row r="272">
      <c r="A272" s="242"/>
      <c r="B272" s="242"/>
      <c r="C272" s="13"/>
      <c r="D272" s="242"/>
      <c r="E272" s="242"/>
      <c r="F272" s="242"/>
      <c r="G272" s="242"/>
      <c r="H272" s="13"/>
      <c r="I272" s="13"/>
      <c r="J272" s="13"/>
      <c r="K272" s="13"/>
      <c r="L272" s="242"/>
      <c r="M272" s="242"/>
      <c r="N272" s="242"/>
      <c r="O272" s="242"/>
      <c r="P272" s="242"/>
      <c r="Q272" s="242"/>
      <c r="R272" s="242"/>
      <c r="S272" s="242"/>
      <c r="T272" s="242"/>
      <c r="U272" s="242"/>
      <c r="V272" s="242"/>
      <c r="W272" s="242"/>
      <c r="X272" s="242"/>
      <c r="Y272" s="242"/>
      <c r="Z272" s="242"/>
      <c r="AA272" s="242"/>
    </row>
    <row r="273">
      <c r="A273" s="242"/>
      <c r="B273" s="242"/>
      <c r="C273" s="13"/>
      <c r="D273" s="242"/>
      <c r="E273" s="242"/>
      <c r="F273" s="242"/>
      <c r="G273" s="242"/>
      <c r="H273" s="13"/>
      <c r="I273" s="13"/>
      <c r="J273" s="13"/>
      <c r="K273" s="13"/>
      <c r="L273" s="242"/>
      <c r="M273" s="242"/>
      <c r="N273" s="242"/>
      <c r="O273" s="242"/>
      <c r="P273" s="242"/>
      <c r="Q273" s="242"/>
      <c r="R273" s="242"/>
      <c r="S273" s="242"/>
      <c r="T273" s="242"/>
      <c r="U273" s="242"/>
      <c r="V273" s="242"/>
      <c r="W273" s="242"/>
      <c r="X273" s="242"/>
      <c r="Y273" s="242"/>
      <c r="Z273" s="242"/>
      <c r="AA273" s="242"/>
    </row>
    <row r="274">
      <c r="A274" s="242"/>
      <c r="B274" s="242"/>
      <c r="C274" s="13"/>
      <c r="D274" s="242"/>
      <c r="E274" s="242"/>
      <c r="F274" s="242"/>
      <c r="G274" s="242"/>
      <c r="H274" s="13"/>
      <c r="I274" s="13"/>
      <c r="J274" s="13"/>
      <c r="K274" s="13"/>
      <c r="L274" s="242"/>
      <c r="M274" s="242"/>
      <c r="N274" s="242"/>
      <c r="O274" s="242"/>
      <c r="P274" s="242"/>
      <c r="Q274" s="242"/>
      <c r="R274" s="242"/>
      <c r="S274" s="242"/>
      <c r="T274" s="242"/>
      <c r="U274" s="242"/>
      <c r="V274" s="242"/>
      <c r="W274" s="242"/>
      <c r="X274" s="242"/>
      <c r="Y274" s="242"/>
      <c r="Z274" s="242"/>
      <c r="AA274" s="242"/>
    </row>
    <row r="275">
      <c r="A275" s="242"/>
      <c r="B275" s="242"/>
      <c r="C275" s="13"/>
      <c r="D275" s="242"/>
      <c r="E275" s="242"/>
      <c r="F275" s="242"/>
      <c r="G275" s="242"/>
      <c r="H275" s="13"/>
      <c r="I275" s="13"/>
      <c r="J275" s="13"/>
      <c r="K275" s="13"/>
      <c r="L275" s="242"/>
      <c r="M275" s="242"/>
      <c r="N275" s="242"/>
      <c r="O275" s="242"/>
      <c r="P275" s="242"/>
      <c r="Q275" s="242"/>
      <c r="R275" s="242"/>
      <c r="S275" s="242"/>
      <c r="T275" s="242"/>
      <c r="U275" s="242"/>
      <c r="V275" s="242"/>
      <c r="W275" s="242"/>
      <c r="X275" s="242"/>
      <c r="Y275" s="242"/>
      <c r="Z275" s="242"/>
      <c r="AA275" s="242"/>
    </row>
    <row r="276">
      <c r="A276" s="242"/>
      <c r="B276" s="242"/>
      <c r="C276" s="13"/>
      <c r="D276" s="242"/>
      <c r="E276" s="242"/>
      <c r="F276" s="242"/>
      <c r="G276" s="242"/>
      <c r="H276" s="13"/>
      <c r="I276" s="13"/>
      <c r="J276" s="13"/>
      <c r="K276" s="13"/>
      <c r="L276" s="242"/>
      <c r="M276" s="242"/>
      <c r="N276" s="242"/>
      <c r="O276" s="242"/>
      <c r="P276" s="242"/>
      <c r="Q276" s="242"/>
      <c r="R276" s="242"/>
      <c r="S276" s="242"/>
      <c r="T276" s="242"/>
      <c r="U276" s="242"/>
      <c r="V276" s="242"/>
      <c r="W276" s="242"/>
      <c r="X276" s="242"/>
      <c r="Y276" s="242"/>
      <c r="Z276" s="242"/>
      <c r="AA276" s="242"/>
    </row>
    <row r="277">
      <c r="A277" s="242"/>
      <c r="B277" s="242"/>
      <c r="C277" s="13"/>
      <c r="D277" s="242"/>
      <c r="E277" s="242"/>
      <c r="F277" s="242"/>
      <c r="G277" s="242"/>
      <c r="H277" s="13"/>
      <c r="I277" s="13"/>
      <c r="J277" s="13"/>
      <c r="K277" s="13"/>
      <c r="L277" s="242"/>
      <c r="M277" s="242"/>
      <c r="N277" s="242"/>
      <c r="O277" s="242"/>
      <c r="P277" s="242"/>
      <c r="Q277" s="242"/>
      <c r="R277" s="242"/>
      <c r="S277" s="242"/>
      <c r="T277" s="242"/>
      <c r="U277" s="242"/>
      <c r="V277" s="242"/>
      <c r="W277" s="242"/>
      <c r="X277" s="242"/>
      <c r="Y277" s="242"/>
      <c r="Z277" s="242"/>
      <c r="AA277" s="242"/>
    </row>
    <row r="278">
      <c r="A278" s="242"/>
      <c r="B278" s="242"/>
      <c r="C278" s="13"/>
      <c r="D278" s="242"/>
      <c r="E278" s="242"/>
      <c r="F278" s="242"/>
      <c r="G278" s="242"/>
      <c r="H278" s="13"/>
      <c r="I278" s="13"/>
      <c r="J278" s="13"/>
      <c r="K278" s="13"/>
      <c r="L278" s="242"/>
      <c r="M278" s="242"/>
      <c r="N278" s="242"/>
      <c r="O278" s="242"/>
      <c r="P278" s="242"/>
      <c r="Q278" s="242"/>
      <c r="R278" s="242"/>
      <c r="S278" s="242"/>
      <c r="T278" s="242"/>
      <c r="U278" s="242"/>
      <c r="V278" s="242"/>
      <c r="W278" s="242"/>
      <c r="X278" s="242"/>
      <c r="Y278" s="242"/>
      <c r="Z278" s="242"/>
      <c r="AA278" s="242"/>
    </row>
    <row r="279">
      <c r="A279" s="242"/>
      <c r="B279" s="242"/>
      <c r="C279" s="13"/>
      <c r="D279" s="242"/>
      <c r="E279" s="242"/>
      <c r="F279" s="242"/>
      <c r="G279" s="242"/>
      <c r="H279" s="13"/>
      <c r="I279" s="13"/>
      <c r="J279" s="13"/>
      <c r="K279" s="13"/>
      <c r="L279" s="242"/>
      <c r="M279" s="242"/>
      <c r="N279" s="242"/>
      <c r="O279" s="242"/>
      <c r="P279" s="242"/>
      <c r="Q279" s="242"/>
      <c r="R279" s="242"/>
      <c r="S279" s="242"/>
      <c r="T279" s="242"/>
      <c r="U279" s="242"/>
      <c r="V279" s="242"/>
      <c r="W279" s="242"/>
      <c r="X279" s="242"/>
      <c r="Y279" s="242"/>
      <c r="Z279" s="242"/>
      <c r="AA279" s="242"/>
    </row>
    <row r="280">
      <c r="A280" s="242"/>
      <c r="B280" s="242"/>
      <c r="C280" s="13"/>
      <c r="D280" s="242"/>
      <c r="E280" s="242"/>
      <c r="F280" s="242"/>
      <c r="G280" s="242"/>
      <c r="H280" s="13"/>
      <c r="I280" s="13"/>
      <c r="J280" s="13"/>
      <c r="K280" s="13"/>
      <c r="L280" s="242"/>
      <c r="M280" s="242"/>
      <c r="N280" s="242"/>
      <c r="O280" s="242"/>
      <c r="P280" s="242"/>
      <c r="Q280" s="242"/>
      <c r="R280" s="242"/>
      <c r="S280" s="242"/>
      <c r="T280" s="242"/>
      <c r="U280" s="242"/>
      <c r="V280" s="242"/>
      <c r="W280" s="242"/>
      <c r="X280" s="242"/>
      <c r="Y280" s="242"/>
      <c r="Z280" s="242"/>
      <c r="AA280" s="242"/>
    </row>
    <row r="281">
      <c r="A281" s="242"/>
      <c r="B281" s="242"/>
      <c r="C281" s="13"/>
      <c r="D281" s="242"/>
      <c r="E281" s="242"/>
      <c r="F281" s="242"/>
      <c r="G281" s="242"/>
      <c r="H281" s="13"/>
      <c r="I281" s="13"/>
      <c r="J281" s="13"/>
      <c r="K281" s="13"/>
      <c r="L281" s="242"/>
      <c r="M281" s="242"/>
      <c r="N281" s="242"/>
      <c r="O281" s="242"/>
      <c r="P281" s="242"/>
      <c r="Q281" s="242"/>
      <c r="R281" s="242"/>
      <c r="S281" s="242"/>
      <c r="T281" s="242"/>
      <c r="U281" s="242"/>
      <c r="V281" s="242"/>
      <c r="W281" s="242"/>
      <c r="X281" s="242"/>
      <c r="Y281" s="242"/>
      <c r="Z281" s="242"/>
      <c r="AA281" s="242"/>
    </row>
    <row r="282">
      <c r="A282" s="242"/>
      <c r="B282" s="242"/>
      <c r="C282" s="13"/>
      <c r="D282" s="242"/>
      <c r="E282" s="242"/>
      <c r="F282" s="242"/>
      <c r="G282" s="242"/>
      <c r="H282" s="13"/>
      <c r="I282" s="13"/>
      <c r="J282" s="13"/>
      <c r="K282" s="13"/>
      <c r="L282" s="242"/>
      <c r="M282" s="242"/>
      <c r="N282" s="242"/>
      <c r="O282" s="242"/>
      <c r="P282" s="242"/>
      <c r="Q282" s="242"/>
      <c r="R282" s="242"/>
      <c r="S282" s="242"/>
      <c r="T282" s="242"/>
      <c r="U282" s="242"/>
      <c r="V282" s="242"/>
      <c r="W282" s="242"/>
      <c r="X282" s="242"/>
      <c r="Y282" s="242"/>
      <c r="Z282" s="242"/>
      <c r="AA282" s="242"/>
    </row>
    <row r="283">
      <c r="A283" s="242"/>
      <c r="B283" s="242"/>
      <c r="C283" s="13"/>
      <c r="D283" s="242"/>
      <c r="E283" s="242"/>
      <c r="F283" s="242"/>
      <c r="G283" s="242"/>
      <c r="H283" s="13"/>
      <c r="I283" s="13"/>
      <c r="J283" s="13"/>
      <c r="K283" s="13"/>
      <c r="L283" s="242"/>
      <c r="M283" s="242"/>
      <c r="N283" s="242"/>
      <c r="O283" s="242"/>
      <c r="P283" s="242"/>
      <c r="Q283" s="242"/>
      <c r="R283" s="242"/>
      <c r="S283" s="242"/>
      <c r="T283" s="242"/>
      <c r="U283" s="242"/>
      <c r="V283" s="242"/>
      <c r="W283" s="242"/>
      <c r="X283" s="242"/>
      <c r="Y283" s="242"/>
      <c r="Z283" s="242"/>
      <c r="AA283" s="242"/>
    </row>
    <row r="284">
      <c r="A284" s="242"/>
      <c r="B284" s="242"/>
      <c r="C284" s="13"/>
      <c r="D284" s="242"/>
      <c r="E284" s="242"/>
      <c r="F284" s="242"/>
      <c r="G284" s="242"/>
      <c r="H284" s="13"/>
      <c r="I284" s="13"/>
      <c r="J284" s="13"/>
      <c r="K284" s="13"/>
      <c r="L284" s="242"/>
      <c r="M284" s="242"/>
      <c r="N284" s="242"/>
      <c r="O284" s="242"/>
      <c r="P284" s="242"/>
      <c r="Q284" s="242"/>
      <c r="R284" s="242"/>
      <c r="S284" s="242"/>
      <c r="T284" s="242"/>
      <c r="U284" s="242"/>
      <c r="V284" s="242"/>
      <c r="W284" s="242"/>
      <c r="X284" s="242"/>
      <c r="Y284" s="242"/>
      <c r="Z284" s="242"/>
      <c r="AA284" s="242"/>
    </row>
    <row r="285">
      <c r="A285" s="242"/>
      <c r="B285" s="242"/>
      <c r="C285" s="13"/>
      <c r="D285" s="242"/>
      <c r="E285" s="242"/>
      <c r="F285" s="242"/>
      <c r="G285" s="242"/>
      <c r="H285" s="13"/>
      <c r="I285" s="13"/>
      <c r="J285" s="13"/>
      <c r="K285" s="13"/>
      <c r="L285" s="242"/>
      <c r="M285" s="242"/>
      <c r="N285" s="242"/>
      <c r="O285" s="242"/>
      <c r="P285" s="242"/>
      <c r="Q285" s="242"/>
      <c r="R285" s="242"/>
      <c r="S285" s="242"/>
      <c r="T285" s="242"/>
      <c r="U285" s="242"/>
      <c r="V285" s="242"/>
      <c r="W285" s="242"/>
      <c r="X285" s="242"/>
      <c r="Y285" s="242"/>
      <c r="Z285" s="242"/>
      <c r="AA285" s="242"/>
    </row>
    <row r="286">
      <c r="A286" s="242"/>
      <c r="B286" s="242"/>
      <c r="C286" s="13"/>
      <c r="D286" s="242"/>
      <c r="E286" s="242"/>
      <c r="F286" s="242"/>
      <c r="G286" s="242"/>
      <c r="H286" s="13"/>
      <c r="I286" s="13"/>
      <c r="J286" s="13"/>
      <c r="K286" s="13"/>
      <c r="L286" s="242"/>
      <c r="M286" s="242"/>
      <c r="N286" s="242"/>
      <c r="O286" s="242"/>
      <c r="P286" s="242"/>
      <c r="Q286" s="242"/>
      <c r="R286" s="242"/>
      <c r="S286" s="242"/>
      <c r="T286" s="242"/>
      <c r="U286" s="242"/>
      <c r="V286" s="242"/>
      <c r="W286" s="242"/>
      <c r="X286" s="242"/>
      <c r="Y286" s="242"/>
      <c r="Z286" s="242"/>
      <c r="AA286" s="242"/>
    </row>
    <row r="287">
      <c r="A287" s="242"/>
      <c r="B287" s="242"/>
      <c r="C287" s="13"/>
      <c r="D287" s="242"/>
      <c r="E287" s="242"/>
      <c r="F287" s="242"/>
      <c r="G287" s="242"/>
      <c r="H287" s="13"/>
      <c r="I287" s="13"/>
      <c r="J287" s="13"/>
      <c r="K287" s="13"/>
      <c r="L287" s="242"/>
      <c r="M287" s="242"/>
      <c r="N287" s="242"/>
      <c r="O287" s="242"/>
      <c r="P287" s="242"/>
      <c r="Q287" s="242"/>
      <c r="R287" s="242"/>
      <c r="S287" s="242"/>
      <c r="T287" s="242"/>
      <c r="U287" s="242"/>
      <c r="V287" s="242"/>
      <c r="W287" s="242"/>
      <c r="X287" s="242"/>
      <c r="Y287" s="242"/>
      <c r="Z287" s="242"/>
      <c r="AA287" s="242"/>
    </row>
    <row r="288">
      <c r="A288" s="242"/>
      <c r="B288" s="242"/>
      <c r="C288" s="13"/>
      <c r="D288" s="242"/>
      <c r="E288" s="242"/>
      <c r="F288" s="242"/>
      <c r="G288" s="242"/>
      <c r="H288" s="13"/>
      <c r="I288" s="13"/>
      <c r="J288" s="13"/>
      <c r="K288" s="13"/>
      <c r="L288" s="242"/>
      <c r="M288" s="242"/>
      <c r="N288" s="242"/>
      <c r="O288" s="242"/>
      <c r="P288" s="242"/>
      <c r="Q288" s="242"/>
      <c r="R288" s="242"/>
      <c r="S288" s="242"/>
      <c r="T288" s="242"/>
      <c r="U288" s="242"/>
      <c r="V288" s="242"/>
      <c r="W288" s="242"/>
      <c r="X288" s="242"/>
      <c r="Y288" s="242"/>
      <c r="Z288" s="242"/>
      <c r="AA288" s="242"/>
    </row>
    <row r="289">
      <c r="A289" s="242"/>
      <c r="B289" s="242"/>
      <c r="C289" s="13"/>
      <c r="D289" s="242"/>
      <c r="E289" s="242"/>
      <c r="F289" s="242"/>
      <c r="G289" s="242"/>
      <c r="H289" s="13"/>
      <c r="I289" s="13"/>
      <c r="J289" s="13"/>
      <c r="K289" s="13"/>
      <c r="L289" s="242"/>
      <c r="M289" s="242"/>
      <c r="N289" s="242"/>
      <c r="O289" s="242"/>
      <c r="P289" s="242"/>
      <c r="Q289" s="242"/>
      <c r="R289" s="242"/>
      <c r="S289" s="242"/>
      <c r="T289" s="242"/>
      <c r="U289" s="242"/>
      <c r="V289" s="242"/>
      <c r="W289" s="242"/>
      <c r="X289" s="242"/>
      <c r="Y289" s="242"/>
      <c r="Z289" s="242"/>
      <c r="AA289" s="242"/>
    </row>
    <row r="290">
      <c r="A290" s="242"/>
      <c r="B290" s="242"/>
      <c r="C290" s="13"/>
      <c r="D290" s="242"/>
      <c r="E290" s="242"/>
      <c r="F290" s="242"/>
      <c r="G290" s="242"/>
      <c r="H290" s="13"/>
      <c r="I290" s="13"/>
      <c r="J290" s="13"/>
      <c r="K290" s="13"/>
      <c r="L290" s="242"/>
      <c r="M290" s="242"/>
      <c r="N290" s="242"/>
      <c r="O290" s="242"/>
      <c r="P290" s="242"/>
      <c r="Q290" s="242"/>
      <c r="R290" s="242"/>
      <c r="S290" s="242"/>
      <c r="T290" s="242"/>
      <c r="U290" s="242"/>
      <c r="V290" s="242"/>
      <c r="W290" s="242"/>
      <c r="X290" s="242"/>
      <c r="Y290" s="242"/>
      <c r="Z290" s="242"/>
      <c r="AA290" s="242"/>
    </row>
    <row r="291">
      <c r="A291" s="242"/>
      <c r="B291" s="242"/>
      <c r="C291" s="13"/>
      <c r="D291" s="242"/>
      <c r="E291" s="242"/>
      <c r="F291" s="242"/>
      <c r="G291" s="242"/>
      <c r="H291" s="13"/>
      <c r="I291" s="13"/>
      <c r="J291" s="13"/>
      <c r="K291" s="13"/>
      <c r="L291" s="242"/>
      <c r="M291" s="242"/>
      <c r="N291" s="242"/>
      <c r="O291" s="242"/>
      <c r="P291" s="242"/>
      <c r="Q291" s="242"/>
      <c r="R291" s="242"/>
      <c r="S291" s="242"/>
      <c r="T291" s="242"/>
      <c r="U291" s="242"/>
      <c r="V291" s="242"/>
      <c r="W291" s="242"/>
      <c r="X291" s="242"/>
      <c r="Y291" s="242"/>
      <c r="Z291" s="242"/>
      <c r="AA291" s="242"/>
    </row>
    <row r="292">
      <c r="A292" s="242"/>
      <c r="B292" s="242"/>
      <c r="C292" s="13"/>
      <c r="D292" s="242"/>
      <c r="E292" s="242"/>
      <c r="F292" s="242"/>
      <c r="G292" s="242"/>
      <c r="H292" s="13"/>
      <c r="I292" s="13"/>
      <c r="J292" s="13"/>
      <c r="K292" s="13"/>
      <c r="L292" s="242"/>
      <c r="M292" s="242"/>
      <c r="N292" s="242"/>
      <c r="O292" s="242"/>
      <c r="P292" s="242"/>
      <c r="Q292" s="242"/>
      <c r="R292" s="242"/>
      <c r="S292" s="242"/>
      <c r="T292" s="242"/>
      <c r="U292" s="242"/>
      <c r="V292" s="242"/>
      <c r="W292" s="242"/>
      <c r="X292" s="242"/>
      <c r="Y292" s="242"/>
      <c r="Z292" s="242"/>
      <c r="AA292" s="242"/>
    </row>
    <row r="293">
      <c r="A293" s="242"/>
      <c r="B293" s="242"/>
      <c r="C293" s="13"/>
      <c r="D293" s="242"/>
      <c r="E293" s="242"/>
      <c r="F293" s="242"/>
      <c r="G293" s="242"/>
      <c r="H293" s="13"/>
      <c r="I293" s="13"/>
      <c r="J293" s="13"/>
      <c r="K293" s="13"/>
      <c r="L293" s="242"/>
      <c r="M293" s="242"/>
      <c r="N293" s="242"/>
      <c r="O293" s="242"/>
      <c r="P293" s="242"/>
      <c r="Q293" s="242"/>
      <c r="R293" s="242"/>
      <c r="S293" s="242"/>
      <c r="T293" s="242"/>
      <c r="U293" s="242"/>
      <c r="V293" s="242"/>
      <c r="W293" s="242"/>
      <c r="X293" s="242"/>
      <c r="Y293" s="242"/>
      <c r="Z293" s="242"/>
      <c r="AA293" s="242"/>
    </row>
    <row r="294">
      <c r="A294" s="242"/>
      <c r="B294" s="242"/>
      <c r="C294" s="13"/>
      <c r="D294" s="242"/>
      <c r="E294" s="242"/>
      <c r="F294" s="242"/>
      <c r="G294" s="242"/>
      <c r="H294" s="13"/>
      <c r="I294" s="13"/>
      <c r="J294" s="13"/>
      <c r="K294" s="13"/>
      <c r="L294" s="242"/>
      <c r="M294" s="242"/>
      <c r="N294" s="242"/>
      <c r="O294" s="242"/>
      <c r="P294" s="242"/>
      <c r="Q294" s="242"/>
      <c r="R294" s="242"/>
      <c r="S294" s="242"/>
      <c r="T294" s="242"/>
      <c r="U294" s="242"/>
      <c r="V294" s="242"/>
      <c r="W294" s="242"/>
      <c r="X294" s="242"/>
      <c r="Y294" s="242"/>
      <c r="Z294" s="242"/>
      <c r="AA294" s="242"/>
    </row>
    <row r="295">
      <c r="A295" s="242"/>
      <c r="B295" s="242"/>
      <c r="C295" s="13"/>
      <c r="D295" s="242"/>
      <c r="E295" s="242"/>
      <c r="F295" s="242"/>
      <c r="G295" s="242"/>
      <c r="H295" s="13"/>
      <c r="I295" s="13"/>
      <c r="J295" s="13"/>
      <c r="K295" s="13"/>
      <c r="L295" s="242"/>
      <c r="M295" s="242"/>
      <c r="N295" s="242"/>
      <c r="O295" s="242"/>
      <c r="P295" s="242"/>
      <c r="Q295" s="242"/>
      <c r="R295" s="242"/>
      <c r="S295" s="242"/>
      <c r="T295" s="242"/>
      <c r="U295" s="242"/>
      <c r="V295" s="242"/>
      <c r="W295" s="242"/>
      <c r="X295" s="242"/>
      <c r="Y295" s="242"/>
      <c r="Z295" s="242"/>
      <c r="AA295" s="242"/>
    </row>
    <row r="296">
      <c r="A296" s="242"/>
      <c r="B296" s="242"/>
      <c r="C296" s="13"/>
      <c r="D296" s="242"/>
      <c r="E296" s="242"/>
      <c r="F296" s="242"/>
      <c r="G296" s="242"/>
      <c r="H296" s="13"/>
      <c r="I296" s="13"/>
      <c r="J296" s="13"/>
      <c r="K296" s="13"/>
      <c r="L296" s="242"/>
      <c r="M296" s="242"/>
      <c r="N296" s="242"/>
      <c r="O296" s="242"/>
      <c r="P296" s="242"/>
      <c r="Q296" s="242"/>
      <c r="R296" s="242"/>
      <c r="S296" s="242"/>
      <c r="T296" s="242"/>
      <c r="U296" s="242"/>
      <c r="V296" s="242"/>
      <c r="W296" s="242"/>
      <c r="X296" s="242"/>
      <c r="Y296" s="242"/>
      <c r="Z296" s="242"/>
      <c r="AA296" s="242"/>
    </row>
    <row r="297">
      <c r="A297" s="242"/>
      <c r="B297" s="242"/>
      <c r="C297" s="13"/>
      <c r="D297" s="242"/>
      <c r="E297" s="242"/>
      <c r="F297" s="242"/>
      <c r="G297" s="242"/>
      <c r="H297" s="13"/>
      <c r="I297" s="13"/>
      <c r="J297" s="13"/>
      <c r="K297" s="13"/>
      <c r="L297" s="242"/>
      <c r="M297" s="242"/>
      <c r="N297" s="242"/>
      <c r="O297" s="242"/>
      <c r="P297" s="242"/>
      <c r="Q297" s="242"/>
      <c r="R297" s="242"/>
      <c r="S297" s="242"/>
      <c r="T297" s="242"/>
      <c r="U297" s="242"/>
      <c r="V297" s="242"/>
      <c r="W297" s="242"/>
      <c r="X297" s="242"/>
      <c r="Y297" s="242"/>
      <c r="Z297" s="242"/>
      <c r="AA297" s="242"/>
    </row>
    <row r="298">
      <c r="A298" s="242"/>
      <c r="B298" s="242"/>
      <c r="C298" s="13"/>
      <c r="D298" s="242"/>
      <c r="E298" s="242"/>
      <c r="F298" s="242"/>
      <c r="G298" s="242"/>
      <c r="H298" s="13"/>
      <c r="I298" s="13"/>
      <c r="J298" s="13"/>
      <c r="K298" s="13"/>
      <c r="L298" s="242"/>
      <c r="M298" s="242"/>
      <c r="N298" s="242"/>
      <c r="O298" s="242"/>
      <c r="P298" s="242"/>
      <c r="Q298" s="242"/>
      <c r="R298" s="242"/>
      <c r="S298" s="242"/>
      <c r="T298" s="242"/>
      <c r="U298" s="242"/>
      <c r="V298" s="242"/>
      <c r="W298" s="242"/>
      <c r="X298" s="242"/>
      <c r="Y298" s="242"/>
      <c r="Z298" s="242"/>
      <c r="AA298" s="242"/>
    </row>
    <row r="299">
      <c r="A299" s="242"/>
      <c r="B299" s="242"/>
      <c r="C299" s="13"/>
      <c r="D299" s="242"/>
      <c r="E299" s="242"/>
      <c r="F299" s="242"/>
      <c r="G299" s="242"/>
      <c r="H299" s="13"/>
      <c r="I299" s="13"/>
      <c r="J299" s="13"/>
      <c r="K299" s="13"/>
      <c r="L299" s="242"/>
      <c r="M299" s="242"/>
      <c r="N299" s="242"/>
      <c r="O299" s="242"/>
      <c r="P299" s="242"/>
      <c r="Q299" s="242"/>
      <c r="R299" s="242"/>
      <c r="S299" s="242"/>
      <c r="T299" s="242"/>
      <c r="U299" s="242"/>
      <c r="V299" s="242"/>
      <c r="W299" s="242"/>
      <c r="X299" s="242"/>
      <c r="Y299" s="242"/>
      <c r="Z299" s="242"/>
      <c r="AA299" s="242"/>
    </row>
    <row r="300">
      <c r="A300" s="242"/>
      <c r="B300" s="242"/>
      <c r="C300" s="13"/>
      <c r="D300" s="242"/>
      <c r="E300" s="242"/>
      <c r="F300" s="242"/>
      <c r="G300" s="242"/>
      <c r="H300" s="13"/>
      <c r="I300" s="13"/>
      <c r="J300" s="13"/>
      <c r="K300" s="13"/>
      <c r="L300" s="242"/>
      <c r="M300" s="242"/>
      <c r="N300" s="242"/>
      <c r="O300" s="242"/>
      <c r="P300" s="242"/>
      <c r="Q300" s="242"/>
      <c r="R300" s="242"/>
      <c r="S300" s="242"/>
      <c r="T300" s="242"/>
      <c r="U300" s="242"/>
      <c r="V300" s="242"/>
      <c r="W300" s="242"/>
      <c r="X300" s="242"/>
      <c r="Y300" s="242"/>
      <c r="Z300" s="242"/>
      <c r="AA300" s="242"/>
    </row>
    <row r="301">
      <c r="A301" s="242"/>
      <c r="B301" s="242"/>
      <c r="C301" s="13"/>
      <c r="D301" s="242"/>
      <c r="E301" s="242"/>
      <c r="F301" s="242"/>
      <c r="G301" s="242"/>
      <c r="H301" s="13"/>
      <c r="I301" s="13"/>
      <c r="J301" s="13"/>
      <c r="K301" s="13"/>
      <c r="L301" s="242"/>
      <c r="M301" s="242"/>
      <c r="N301" s="242"/>
      <c r="O301" s="242"/>
      <c r="P301" s="242"/>
      <c r="Q301" s="242"/>
      <c r="R301" s="242"/>
      <c r="S301" s="242"/>
      <c r="T301" s="242"/>
      <c r="U301" s="242"/>
      <c r="V301" s="242"/>
      <c r="W301" s="242"/>
      <c r="X301" s="242"/>
      <c r="Y301" s="242"/>
      <c r="Z301" s="242"/>
      <c r="AA301" s="242"/>
    </row>
    <row r="302">
      <c r="A302" s="242"/>
      <c r="B302" s="242"/>
      <c r="C302" s="13"/>
      <c r="D302" s="242"/>
      <c r="E302" s="242"/>
      <c r="F302" s="242"/>
      <c r="G302" s="242"/>
      <c r="H302" s="13"/>
      <c r="I302" s="13"/>
      <c r="J302" s="13"/>
      <c r="K302" s="13"/>
      <c r="L302" s="242"/>
      <c r="M302" s="242"/>
      <c r="N302" s="242"/>
      <c r="O302" s="242"/>
      <c r="P302" s="242"/>
      <c r="Q302" s="242"/>
      <c r="R302" s="242"/>
      <c r="S302" s="242"/>
      <c r="T302" s="242"/>
      <c r="U302" s="242"/>
      <c r="V302" s="242"/>
      <c r="W302" s="242"/>
      <c r="X302" s="242"/>
      <c r="Y302" s="242"/>
      <c r="Z302" s="242"/>
      <c r="AA302" s="242"/>
    </row>
    <row r="303">
      <c r="A303" s="242"/>
      <c r="B303" s="242"/>
      <c r="C303" s="13"/>
      <c r="D303" s="242"/>
      <c r="E303" s="242"/>
      <c r="F303" s="242"/>
      <c r="G303" s="242"/>
      <c r="H303" s="13"/>
      <c r="I303" s="13"/>
      <c r="J303" s="13"/>
      <c r="K303" s="13"/>
      <c r="L303" s="242"/>
      <c r="M303" s="242"/>
      <c r="N303" s="242"/>
      <c r="O303" s="242"/>
      <c r="P303" s="242"/>
      <c r="Q303" s="242"/>
      <c r="R303" s="242"/>
      <c r="S303" s="242"/>
      <c r="T303" s="242"/>
      <c r="U303" s="242"/>
      <c r="V303" s="242"/>
      <c r="W303" s="242"/>
      <c r="X303" s="242"/>
      <c r="Y303" s="242"/>
      <c r="Z303" s="242"/>
      <c r="AA303" s="242"/>
    </row>
    <row r="304">
      <c r="A304" s="242"/>
      <c r="B304" s="242"/>
      <c r="C304" s="13"/>
      <c r="D304" s="242"/>
      <c r="E304" s="242"/>
      <c r="F304" s="242"/>
      <c r="G304" s="242"/>
      <c r="H304" s="13"/>
      <c r="I304" s="13"/>
      <c r="J304" s="13"/>
      <c r="K304" s="13"/>
      <c r="L304" s="242"/>
      <c r="M304" s="242"/>
      <c r="N304" s="242"/>
      <c r="O304" s="242"/>
      <c r="P304" s="242"/>
      <c r="Q304" s="242"/>
      <c r="R304" s="242"/>
      <c r="S304" s="242"/>
      <c r="T304" s="242"/>
      <c r="U304" s="242"/>
      <c r="V304" s="242"/>
      <c r="W304" s="242"/>
      <c r="X304" s="242"/>
      <c r="Y304" s="242"/>
      <c r="Z304" s="242"/>
      <c r="AA304" s="242"/>
    </row>
    <row r="305">
      <c r="A305" s="242"/>
      <c r="B305" s="242"/>
      <c r="C305" s="13"/>
      <c r="D305" s="242"/>
      <c r="E305" s="242"/>
      <c r="F305" s="242"/>
      <c r="G305" s="242"/>
      <c r="H305" s="13"/>
      <c r="I305" s="13"/>
      <c r="J305" s="13"/>
      <c r="K305" s="13"/>
      <c r="L305" s="242"/>
      <c r="M305" s="242"/>
      <c r="N305" s="242"/>
      <c r="O305" s="242"/>
      <c r="P305" s="242"/>
      <c r="Q305" s="242"/>
      <c r="R305" s="242"/>
      <c r="S305" s="242"/>
      <c r="T305" s="242"/>
      <c r="U305" s="242"/>
      <c r="V305" s="242"/>
      <c r="W305" s="242"/>
      <c r="X305" s="242"/>
      <c r="Y305" s="242"/>
      <c r="Z305" s="242"/>
      <c r="AA305" s="242"/>
    </row>
    <row r="306">
      <c r="A306" s="242"/>
      <c r="B306" s="242"/>
      <c r="C306" s="13"/>
      <c r="D306" s="242"/>
      <c r="E306" s="242"/>
      <c r="F306" s="242"/>
      <c r="G306" s="242"/>
      <c r="H306" s="13"/>
      <c r="I306" s="13"/>
      <c r="J306" s="13"/>
      <c r="K306" s="13"/>
      <c r="L306" s="242"/>
      <c r="M306" s="242"/>
      <c r="N306" s="242"/>
      <c r="O306" s="242"/>
      <c r="P306" s="242"/>
      <c r="Q306" s="242"/>
      <c r="R306" s="242"/>
      <c r="S306" s="242"/>
      <c r="T306" s="242"/>
      <c r="U306" s="242"/>
      <c r="V306" s="242"/>
      <c r="W306" s="242"/>
      <c r="X306" s="242"/>
      <c r="Y306" s="242"/>
      <c r="Z306" s="242"/>
      <c r="AA306" s="242"/>
    </row>
    <row r="307">
      <c r="A307" s="242"/>
      <c r="B307" s="242"/>
      <c r="C307" s="13"/>
      <c r="D307" s="242"/>
      <c r="E307" s="242"/>
      <c r="F307" s="242"/>
      <c r="G307" s="242"/>
      <c r="H307" s="13"/>
      <c r="I307" s="13"/>
      <c r="J307" s="13"/>
      <c r="K307" s="13"/>
      <c r="L307" s="242"/>
      <c r="M307" s="242"/>
      <c r="N307" s="242"/>
      <c r="O307" s="242"/>
      <c r="P307" s="242"/>
      <c r="Q307" s="242"/>
      <c r="R307" s="242"/>
      <c r="S307" s="242"/>
      <c r="T307" s="242"/>
      <c r="U307" s="242"/>
      <c r="V307" s="242"/>
      <c r="W307" s="242"/>
      <c r="X307" s="242"/>
      <c r="Y307" s="242"/>
      <c r="Z307" s="242"/>
      <c r="AA307" s="242"/>
    </row>
    <row r="308">
      <c r="A308" s="242"/>
      <c r="B308" s="242"/>
      <c r="C308" s="13"/>
      <c r="D308" s="242"/>
      <c r="E308" s="242"/>
      <c r="F308" s="242"/>
      <c r="G308" s="242"/>
      <c r="H308" s="13"/>
      <c r="I308" s="13"/>
      <c r="J308" s="13"/>
      <c r="K308" s="13"/>
      <c r="L308" s="242"/>
      <c r="M308" s="242"/>
      <c r="N308" s="242"/>
      <c r="O308" s="242"/>
      <c r="P308" s="242"/>
      <c r="Q308" s="242"/>
      <c r="R308" s="242"/>
      <c r="S308" s="242"/>
      <c r="T308" s="242"/>
      <c r="U308" s="242"/>
      <c r="V308" s="242"/>
      <c r="W308" s="242"/>
      <c r="X308" s="242"/>
      <c r="Y308" s="242"/>
      <c r="Z308" s="242"/>
      <c r="AA308" s="242"/>
    </row>
    <row r="309">
      <c r="A309" s="242"/>
      <c r="B309" s="242"/>
      <c r="C309" s="13"/>
      <c r="D309" s="242"/>
      <c r="E309" s="242"/>
      <c r="F309" s="242"/>
      <c r="G309" s="242"/>
      <c r="H309" s="13"/>
      <c r="I309" s="13"/>
      <c r="J309" s="13"/>
      <c r="K309" s="13"/>
      <c r="L309" s="242"/>
      <c r="M309" s="242"/>
      <c r="N309" s="242"/>
      <c r="O309" s="242"/>
      <c r="P309" s="242"/>
      <c r="Q309" s="242"/>
      <c r="R309" s="242"/>
      <c r="S309" s="242"/>
      <c r="T309" s="242"/>
      <c r="U309" s="242"/>
      <c r="V309" s="242"/>
      <c r="W309" s="242"/>
      <c r="X309" s="242"/>
      <c r="Y309" s="242"/>
      <c r="Z309" s="242"/>
      <c r="AA309" s="242"/>
    </row>
    <row r="310">
      <c r="A310" s="242"/>
      <c r="B310" s="242"/>
      <c r="C310" s="13"/>
      <c r="D310" s="242"/>
      <c r="E310" s="242"/>
      <c r="F310" s="242"/>
      <c r="G310" s="242"/>
      <c r="H310" s="13"/>
      <c r="I310" s="13"/>
      <c r="J310" s="13"/>
      <c r="K310" s="13"/>
      <c r="L310" s="242"/>
      <c r="M310" s="242"/>
      <c r="N310" s="242"/>
      <c r="O310" s="242"/>
      <c r="P310" s="242"/>
      <c r="Q310" s="242"/>
      <c r="R310" s="242"/>
      <c r="S310" s="242"/>
      <c r="T310" s="242"/>
      <c r="U310" s="242"/>
      <c r="V310" s="242"/>
      <c r="W310" s="242"/>
      <c r="X310" s="242"/>
      <c r="Y310" s="242"/>
      <c r="Z310" s="242"/>
      <c r="AA310" s="242"/>
    </row>
    <row r="311">
      <c r="A311" s="242"/>
      <c r="B311" s="242"/>
      <c r="C311" s="13"/>
      <c r="D311" s="242"/>
      <c r="E311" s="242"/>
      <c r="F311" s="242"/>
      <c r="G311" s="242"/>
      <c r="H311" s="13"/>
      <c r="I311" s="13"/>
      <c r="J311" s="13"/>
      <c r="K311" s="13"/>
      <c r="L311" s="242"/>
      <c r="M311" s="242"/>
      <c r="N311" s="242"/>
      <c r="O311" s="242"/>
      <c r="P311" s="242"/>
      <c r="Q311" s="242"/>
      <c r="R311" s="242"/>
      <c r="S311" s="242"/>
      <c r="T311" s="242"/>
      <c r="U311" s="242"/>
      <c r="V311" s="242"/>
      <c r="W311" s="242"/>
      <c r="X311" s="242"/>
      <c r="Y311" s="242"/>
      <c r="Z311" s="242"/>
      <c r="AA311" s="242"/>
    </row>
    <row r="312">
      <c r="A312" s="242"/>
      <c r="B312" s="242"/>
      <c r="C312" s="13"/>
      <c r="D312" s="242"/>
      <c r="E312" s="242"/>
      <c r="F312" s="242"/>
      <c r="G312" s="242"/>
      <c r="H312" s="13"/>
      <c r="I312" s="13"/>
      <c r="J312" s="13"/>
      <c r="K312" s="13"/>
      <c r="L312" s="242"/>
      <c r="M312" s="242"/>
      <c r="N312" s="242"/>
      <c r="O312" s="242"/>
      <c r="P312" s="242"/>
      <c r="Q312" s="242"/>
      <c r="R312" s="242"/>
      <c r="S312" s="242"/>
      <c r="T312" s="242"/>
      <c r="U312" s="242"/>
      <c r="V312" s="242"/>
      <c r="W312" s="242"/>
      <c r="X312" s="242"/>
      <c r="Y312" s="242"/>
      <c r="Z312" s="242"/>
      <c r="AA312" s="242"/>
    </row>
    <row r="313">
      <c r="A313" s="242"/>
      <c r="B313" s="242"/>
      <c r="C313" s="13"/>
      <c r="D313" s="242"/>
      <c r="E313" s="242"/>
      <c r="F313" s="242"/>
      <c r="G313" s="242"/>
      <c r="H313" s="13"/>
      <c r="I313" s="13"/>
      <c r="J313" s="13"/>
      <c r="K313" s="13"/>
      <c r="L313" s="242"/>
      <c r="M313" s="242"/>
      <c r="N313" s="242"/>
      <c r="O313" s="242"/>
      <c r="P313" s="242"/>
      <c r="Q313" s="242"/>
      <c r="R313" s="242"/>
      <c r="S313" s="242"/>
      <c r="T313" s="242"/>
      <c r="U313" s="242"/>
      <c r="V313" s="242"/>
      <c r="W313" s="242"/>
      <c r="X313" s="242"/>
      <c r="Y313" s="242"/>
      <c r="Z313" s="242"/>
      <c r="AA313" s="242"/>
    </row>
    <row r="314">
      <c r="A314" s="242"/>
      <c r="B314" s="242"/>
      <c r="C314" s="13"/>
      <c r="D314" s="242"/>
      <c r="E314" s="242"/>
      <c r="F314" s="242"/>
      <c r="G314" s="242"/>
      <c r="H314" s="13"/>
      <c r="I314" s="13"/>
      <c r="J314" s="13"/>
      <c r="K314" s="13"/>
      <c r="L314" s="242"/>
      <c r="M314" s="242"/>
      <c r="N314" s="242"/>
      <c r="O314" s="242"/>
      <c r="P314" s="242"/>
      <c r="Q314" s="242"/>
      <c r="R314" s="242"/>
      <c r="S314" s="242"/>
      <c r="T314" s="242"/>
      <c r="U314" s="242"/>
      <c r="V314" s="242"/>
      <c r="W314" s="242"/>
      <c r="X314" s="242"/>
      <c r="Y314" s="242"/>
      <c r="Z314" s="242"/>
      <c r="AA314" s="242"/>
    </row>
    <row r="315">
      <c r="A315" s="242"/>
      <c r="B315" s="242"/>
      <c r="C315" s="13"/>
      <c r="D315" s="242"/>
      <c r="E315" s="242"/>
      <c r="F315" s="242"/>
      <c r="G315" s="242"/>
      <c r="H315" s="13"/>
      <c r="I315" s="13"/>
      <c r="J315" s="13"/>
      <c r="K315" s="13"/>
      <c r="L315" s="242"/>
      <c r="M315" s="242"/>
      <c r="N315" s="242"/>
      <c r="O315" s="242"/>
      <c r="P315" s="242"/>
      <c r="Q315" s="242"/>
      <c r="R315" s="242"/>
      <c r="S315" s="242"/>
      <c r="T315" s="242"/>
      <c r="U315" s="242"/>
      <c r="V315" s="242"/>
      <c r="W315" s="242"/>
      <c r="X315" s="242"/>
      <c r="Y315" s="242"/>
      <c r="Z315" s="242"/>
      <c r="AA315" s="242"/>
    </row>
    <row r="316">
      <c r="A316" s="242"/>
      <c r="B316" s="242"/>
      <c r="C316" s="13"/>
      <c r="D316" s="242"/>
      <c r="E316" s="242"/>
      <c r="F316" s="242"/>
      <c r="G316" s="242"/>
      <c r="H316" s="13"/>
      <c r="I316" s="13"/>
      <c r="J316" s="13"/>
      <c r="K316" s="13"/>
      <c r="L316" s="242"/>
      <c r="M316" s="242"/>
      <c r="N316" s="242"/>
      <c r="O316" s="242"/>
      <c r="P316" s="242"/>
      <c r="Q316" s="242"/>
      <c r="R316" s="242"/>
      <c r="S316" s="242"/>
      <c r="T316" s="242"/>
      <c r="U316" s="242"/>
      <c r="V316" s="242"/>
      <c r="W316" s="242"/>
      <c r="X316" s="242"/>
      <c r="Y316" s="242"/>
      <c r="Z316" s="242"/>
      <c r="AA316" s="242"/>
    </row>
    <row r="317">
      <c r="A317" s="242"/>
      <c r="B317" s="242"/>
      <c r="C317" s="13"/>
      <c r="D317" s="242"/>
      <c r="E317" s="242"/>
      <c r="F317" s="242"/>
      <c r="G317" s="242"/>
      <c r="H317" s="13"/>
      <c r="I317" s="13"/>
      <c r="J317" s="13"/>
      <c r="K317" s="13"/>
      <c r="L317" s="242"/>
      <c r="M317" s="242"/>
      <c r="N317" s="242"/>
      <c r="O317" s="242"/>
      <c r="P317" s="242"/>
      <c r="Q317" s="242"/>
      <c r="R317" s="242"/>
      <c r="S317" s="242"/>
      <c r="T317" s="242"/>
      <c r="U317" s="242"/>
      <c r="V317" s="242"/>
      <c r="W317" s="242"/>
      <c r="X317" s="242"/>
      <c r="Y317" s="242"/>
      <c r="Z317" s="242"/>
      <c r="AA317" s="242"/>
    </row>
    <row r="318">
      <c r="A318" s="242"/>
      <c r="B318" s="242"/>
      <c r="C318" s="13"/>
      <c r="D318" s="242"/>
      <c r="E318" s="242"/>
      <c r="F318" s="242"/>
      <c r="G318" s="242"/>
      <c r="H318" s="13"/>
      <c r="I318" s="13"/>
      <c r="J318" s="13"/>
      <c r="K318" s="13"/>
      <c r="L318" s="242"/>
      <c r="M318" s="242"/>
      <c r="N318" s="242"/>
      <c r="O318" s="242"/>
      <c r="P318" s="242"/>
      <c r="Q318" s="242"/>
      <c r="R318" s="242"/>
      <c r="S318" s="242"/>
      <c r="T318" s="242"/>
      <c r="U318" s="242"/>
      <c r="V318" s="242"/>
      <c r="W318" s="242"/>
      <c r="X318" s="242"/>
      <c r="Y318" s="242"/>
      <c r="Z318" s="242"/>
      <c r="AA318" s="242"/>
    </row>
    <row r="319">
      <c r="A319" s="242"/>
      <c r="B319" s="242"/>
      <c r="C319" s="13"/>
      <c r="D319" s="242"/>
      <c r="E319" s="242"/>
      <c r="F319" s="242"/>
      <c r="G319" s="242"/>
      <c r="H319" s="13"/>
      <c r="I319" s="13"/>
      <c r="J319" s="13"/>
      <c r="K319" s="13"/>
      <c r="L319" s="242"/>
      <c r="M319" s="242"/>
      <c r="N319" s="242"/>
      <c r="O319" s="242"/>
      <c r="P319" s="242"/>
      <c r="Q319" s="242"/>
      <c r="R319" s="242"/>
      <c r="S319" s="242"/>
      <c r="T319" s="242"/>
      <c r="U319" s="242"/>
      <c r="V319" s="242"/>
      <c r="W319" s="242"/>
      <c r="X319" s="242"/>
      <c r="Y319" s="242"/>
      <c r="Z319" s="242"/>
      <c r="AA319" s="242"/>
    </row>
    <row r="320">
      <c r="A320" s="242"/>
      <c r="B320" s="242"/>
      <c r="C320" s="13"/>
      <c r="D320" s="242"/>
      <c r="E320" s="242"/>
      <c r="F320" s="242"/>
      <c r="G320" s="242"/>
      <c r="H320" s="13"/>
      <c r="I320" s="13"/>
      <c r="J320" s="13"/>
      <c r="K320" s="13"/>
      <c r="L320" s="242"/>
      <c r="M320" s="242"/>
      <c r="N320" s="242"/>
      <c r="O320" s="242"/>
      <c r="P320" s="242"/>
      <c r="Q320" s="242"/>
      <c r="R320" s="242"/>
      <c r="S320" s="242"/>
      <c r="T320" s="242"/>
      <c r="U320" s="242"/>
      <c r="V320" s="242"/>
      <c r="W320" s="242"/>
      <c r="X320" s="242"/>
      <c r="Y320" s="242"/>
      <c r="Z320" s="242"/>
      <c r="AA320" s="242"/>
    </row>
    <row r="321">
      <c r="A321" s="242"/>
      <c r="B321" s="242"/>
      <c r="C321" s="13"/>
      <c r="D321" s="242"/>
      <c r="E321" s="242"/>
      <c r="F321" s="242"/>
      <c r="G321" s="242"/>
      <c r="H321" s="13"/>
      <c r="I321" s="13"/>
      <c r="J321" s="13"/>
      <c r="K321" s="13"/>
      <c r="L321" s="242"/>
      <c r="M321" s="242"/>
      <c r="N321" s="242"/>
      <c r="O321" s="242"/>
      <c r="P321" s="242"/>
      <c r="Q321" s="242"/>
      <c r="R321" s="242"/>
      <c r="S321" s="242"/>
      <c r="T321" s="242"/>
      <c r="U321" s="242"/>
      <c r="V321" s="242"/>
      <c r="W321" s="242"/>
      <c r="X321" s="242"/>
      <c r="Y321" s="242"/>
      <c r="Z321" s="242"/>
      <c r="AA321" s="242"/>
    </row>
    <row r="322">
      <c r="A322" s="242"/>
      <c r="B322" s="242"/>
      <c r="C322" s="13"/>
      <c r="D322" s="242"/>
      <c r="E322" s="242"/>
      <c r="F322" s="242"/>
      <c r="G322" s="242"/>
      <c r="H322" s="13"/>
      <c r="I322" s="13"/>
      <c r="J322" s="13"/>
      <c r="K322" s="13"/>
      <c r="L322" s="242"/>
      <c r="M322" s="242"/>
      <c r="N322" s="242"/>
      <c r="O322" s="242"/>
      <c r="P322" s="242"/>
      <c r="Q322" s="242"/>
      <c r="R322" s="242"/>
      <c r="S322" s="242"/>
      <c r="T322" s="242"/>
      <c r="U322" s="242"/>
      <c r="V322" s="242"/>
      <c r="W322" s="242"/>
      <c r="X322" s="242"/>
      <c r="Y322" s="242"/>
      <c r="Z322" s="242"/>
      <c r="AA322" s="242"/>
    </row>
    <row r="323">
      <c r="A323" s="242"/>
      <c r="B323" s="242"/>
      <c r="C323" s="13"/>
      <c r="D323" s="242"/>
      <c r="E323" s="242"/>
      <c r="F323" s="242"/>
      <c r="G323" s="242"/>
      <c r="H323" s="13"/>
      <c r="I323" s="13"/>
      <c r="J323" s="13"/>
      <c r="K323" s="13"/>
      <c r="L323" s="242"/>
      <c r="M323" s="242"/>
      <c r="N323" s="242"/>
      <c r="O323" s="242"/>
      <c r="P323" s="242"/>
      <c r="Q323" s="242"/>
      <c r="R323" s="242"/>
      <c r="S323" s="242"/>
      <c r="T323" s="242"/>
      <c r="U323" s="242"/>
      <c r="V323" s="242"/>
      <c r="W323" s="242"/>
      <c r="X323" s="242"/>
      <c r="Y323" s="242"/>
      <c r="Z323" s="242"/>
      <c r="AA323" s="242"/>
    </row>
    <row r="324">
      <c r="A324" s="242"/>
      <c r="B324" s="242"/>
      <c r="C324" s="13"/>
      <c r="D324" s="242"/>
      <c r="E324" s="242"/>
      <c r="F324" s="242"/>
      <c r="G324" s="242"/>
      <c r="H324" s="13"/>
      <c r="I324" s="13"/>
      <c r="J324" s="13"/>
      <c r="K324" s="13"/>
      <c r="L324" s="242"/>
      <c r="M324" s="242"/>
      <c r="N324" s="242"/>
      <c r="O324" s="242"/>
      <c r="P324" s="242"/>
      <c r="Q324" s="242"/>
      <c r="R324" s="242"/>
      <c r="S324" s="242"/>
      <c r="T324" s="242"/>
      <c r="U324" s="242"/>
      <c r="V324" s="242"/>
      <c r="W324" s="242"/>
      <c r="X324" s="242"/>
      <c r="Y324" s="242"/>
      <c r="Z324" s="242"/>
      <c r="AA324" s="242"/>
    </row>
    <row r="325">
      <c r="A325" s="242"/>
      <c r="B325" s="242"/>
      <c r="C325" s="13"/>
      <c r="D325" s="242"/>
      <c r="E325" s="242"/>
      <c r="F325" s="242"/>
      <c r="G325" s="242"/>
      <c r="H325" s="13"/>
      <c r="I325" s="13"/>
      <c r="J325" s="13"/>
      <c r="K325" s="13"/>
      <c r="L325" s="242"/>
      <c r="M325" s="242"/>
      <c r="N325" s="242"/>
      <c r="O325" s="242"/>
      <c r="P325" s="242"/>
      <c r="Q325" s="242"/>
      <c r="R325" s="242"/>
      <c r="S325" s="242"/>
      <c r="T325" s="242"/>
      <c r="U325" s="242"/>
      <c r="V325" s="242"/>
      <c r="W325" s="242"/>
      <c r="X325" s="242"/>
      <c r="Y325" s="242"/>
      <c r="Z325" s="242"/>
      <c r="AA325" s="242"/>
    </row>
    <row r="326">
      <c r="A326" s="242"/>
      <c r="B326" s="242"/>
      <c r="C326" s="13"/>
      <c r="D326" s="242"/>
      <c r="E326" s="242"/>
      <c r="F326" s="242"/>
      <c r="G326" s="242"/>
      <c r="H326" s="13"/>
      <c r="I326" s="13"/>
      <c r="J326" s="13"/>
      <c r="K326" s="13"/>
      <c r="L326" s="242"/>
      <c r="M326" s="242"/>
      <c r="N326" s="242"/>
      <c r="O326" s="242"/>
      <c r="P326" s="242"/>
      <c r="Q326" s="242"/>
      <c r="R326" s="242"/>
      <c r="S326" s="242"/>
      <c r="T326" s="242"/>
      <c r="U326" s="242"/>
      <c r="V326" s="242"/>
      <c r="W326" s="242"/>
      <c r="X326" s="242"/>
      <c r="Y326" s="242"/>
      <c r="Z326" s="242"/>
      <c r="AA326" s="242"/>
    </row>
    <row r="327">
      <c r="A327" s="242"/>
      <c r="B327" s="242"/>
      <c r="C327" s="13"/>
      <c r="D327" s="242"/>
      <c r="E327" s="242"/>
      <c r="F327" s="242"/>
      <c r="G327" s="242"/>
      <c r="H327" s="13"/>
      <c r="I327" s="13"/>
      <c r="J327" s="13"/>
      <c r="K327" s="13"/>
      <c r="L327" s="242"/>
      <c r="M327" s="242"/>
      <c r="N327" s="242"/>
      <c r="O327" s="242"/>
      <c r="P327" s="242"/>
      <c r="Q327" s="242"/>
      <c r="R327" s="242"/>
      <c r="S327" s="242"/>
      <c r="T327" s="242"/>
      <c r="U327" s="242"/>
      <c r="V327" s="242"/>
      <c r="W327" s="242"/>
      <c r="X327" s="242"/>
      <c r="Y327" s="242"/>
      <c r="Z327" s="242"/>
      <c r="AA327" s="242"/>
    </row>
    <row r="328">
      <c r="A328" s="242"/>
      <c r="B328" s="242"/>
      <c r="C328" s="13"/>
      <c r="D328" s="242"/>
      <c r="E328" s="242"/>
      <c r="F328" s="242"/>
      <c r="G328" s="242"/>
      <c r="H328" s="13"/>
      <c r="I328" s="13"/>
      <c r="J328" s="13"/>
      <c r="K328" s="13"/>
      <c r="L328" s="242"/>
      <c r="M328" s="242"/>
      <c r="N328" s="242"/>
      <c r="O328" s="242"/>
      <c r="P328" s="242"/>
      <c r="Q328" s="242"/>
      <c r="R328" s="242"/>
      <c r="S328" s="242"/>
      <c r="T328" s="242"/>
      <c r="U328" s="242"/>
      <c r="V328" s="242"/>
      <c r="W328" s="242"/>
      <c r="X328" s="242"/>
      <c r="Y328" s="242"/>
      <c r="Z328" s="242"/>
      <c r="AA328" s="242"/>
    </row>
    <row r="329">
      <c r="A329" s="242"/>
      <c r="B329" s="242"/>
      <c r="C329" s="13"/>
      <c r="D329" s="242"/>
      <c r="E329" s="242"/>
      <c r="F329" s="242"/>
      <c r="G329" s="242"/>
      <c r="H329" s="13"/>
      <c r="I329" s="13"/>
      <c r="J329" s="13"/>
      <c r="K329" s="13"/>
      <c r="L329" s="242"/>
      <c r="M329" s="242"/>
      <c r="N329" s="242"/>
      <c r="O329" s="242"/>
      <c r="P329" s="242"/>
      <c r="Q329" s="242"/>
      <c r="R329" s="242"/>
      <c r="S329" s="242"/>
      <c r="T329" s="242"/>
      <c r="U329" s="242"/>
      <c r="V329" s="242"/>
      <c r="W329" s="242"/>
      <c r="X329" s="242"/>
      <c r="Y329" s="242"/>
      <c r="Z329" s="242"/>
      <c r="AA329" s="242"/>
    </row>
    <row r="330">
      <c r="A330" s="242"/>
      <c r="B330" s="242"/>
      <c r="C330" s="13"/>
      <c r="D330" s="242"/>
      <c r="E330" s="242"/>
      <c r="F330" s="242"/>
      <c r="G330" s="242"/>
      <c r="H330" s="13"/>
      <c r="I330" s="13"/>
      <c r="J330" s="13"/>
      <c r="K330" s="13"/>
      <c r="L330" s="242"/>
      <c r="M330" s="242"/>
      <c r="N330" s="242"/>
      <c r="O330" s="242"/>
      <c r="P330" s="242"/>
      <c r="Q330" s="242"/>
      <c r="R330" s="242"/>
      <c r="S330" s="242"/>
      <c r="T330" s="242"/>
      <c r="U330" s="242"/>
      <c r="V330" s="242"/>
      <c r="W330" s="242"/>
      <c r="X330" s="242"/>
      <c r="Y330" s="242"/>
      <c r="Z330" s="242"/>
      <c r="AA330" s="242"/>
    </row>
    <row r="331">
      <c r="A331" s="242"/>
      <c r="B331" s="242"/>
      <c r="C331" s="13"/>
      <c r="D331" s="242"/>
      <c r="E331" s="242"/>
      <c r="F331" s="242"/>
      <c r="G331" s="242"/>
      <c r="H331" s="13"/>
      <c r="I331" s="13"/>
      <c r="J331" s="13"/>
      <c r="K331" s="13"/>
      <c r="L331" s="242"/>
      <c r="M331" s="242"/>
      <c r="N331" s="242"/>
      <c r="O331" s="242"/>
      <c r="P331" s="242"/>
      <c r="Q331" s="242"/>
      <c r="R331" s="242"/>
      <c r="S331" s="242"/>
      <c r="T331" s="242"/>
      <c r="U331" s="242"/>
      <c r="V331" s="242"/>
      <c r="W331" s="242"/>
      <c r="X331" s="242"/>
      <c r="Y331" s="242"/>
      <c r="Z331" s="242"/>
      <c r="AA331" s="242"/>
    </row>
    <row r="332">
      <c r="A332" s="242"/>
      <c r="B332" s="242"/>
      <c r="C332" s="13"/>
      <c r="D332" s="242"/>
      <c r="E332" s="242"/>
      <c r="F332" s="242"/>
      <c r="G332" s="242"/>
      <c r="H332" s="13"/>
      <c r="I332" s="13"/>
      <c r="J332" s="13"/>
      <c r="K332" s="13"/>
      <c r="L332" s="242"/>
      <c r="M332" s="242"/>
      <c r="N332" s="242"/>
      <c r="O332" s="242"/>
      <c r="P332" s="242"/>
      <c r="Q332" s="242"/>
      <c r="R332" s="242"/>
      <c r="S332" s="242"/>
      <c r="T332" s="242"/>
      <c r="U332" s="242"/>
      <c r="V332" s="242"/>
      <c r="W332" s="242"/>
      <c r="X332" s="242"/>
      <c r="Y332" s="242"/>
      <c r="Z332" s="242"/>
      <c r="AA332" s="242"/>
    </row>
    <row r="333">
      <c r="A333" s="242"/>
      <c r="B333" s="242"/>
      <c r="C333" s="13"/>
      <c r="D333" s="242"/>
      <c r="E333" s="242"/>
      <c r="F333" s="242"/>
      <c r="G333" s="242"/>
      <c r="H333" s="13"/>
      <c r="I333" s="13"/>
      <c r="J333" s="13"/>
      <c r="K333" s="13"/>
      <c r="L333" s="242"/>
      <c r="M333" s="242"/>
      <c r="N333" s="242"/>
      <c r="O333" s="242"/>
      <c r="P333" s="242"/>
      <c r="Q333" s="242"/>
      <c r="R333" s="242"/>
      <c r="S333" s="242"/>
      <c r="T333" s="242"/>
      <c r="U333" s="242"/>
      <c r="V333" s="242"/>
      <c r="W333" s="242"/>
      <c r="X333" s="242"/>
      <c r="Y333" s="242"/>
      <c r="Z333" s="242"/>
      <c r="AA333" s="242"/>
    </row>
    <row r="334">
      <c r="A334" s="242"/>
      <c r="B334" s="242"/>
      <c r="C334" s="13"/>
      <c r="D334" s="242"/>
      <c r="E334" s="242"/>
      <c r="F334" s="242"/>
      <c r="G334" s="242"/>
      <c r="H334" s="13"/>
      <c r="I334" s="13"/>
      <c r="J334" s="13"/>
      <c r="K334" s="13"/>
      <c r="L334" s="242"/>
      <c r="M334" s="242"/>
      <c r="N334" s="242"/>
      <c r="O334" s="242"/>
      <c r="P334" s="242"/>
      <c r="Q334" s="242"/>
      <c r="R334" s="242"/>
      <c r="S334" s="242"/>
      <c r="T334" s="242"/>
      <c r="U334" s="242"/>
      <c r="V334" s="242"/>
      <c r="W334" s="242"/>
      <c r="X334" s="242"/>
      <c r="Y334" s="242"/>
      <c r="Z334" s="242"/>
      <c r="AA334" s="242"/>
    </row>
    <row r="335">
      <c r="A335" s="242"/>
      <c r="B335" s="242"/>
      <c r="C335" s="13"/>
      <c r="D335" s="242"/>
      <c r="E335" s="242"/>
      <c r="F335" s="242"/>
      <c r="G335" s="242"/>
      <c r="H335" s="13"/>
      <c r="I335" s="13"/>
      <c r="J335" s="13"/>
      <c r="K335" s="13"/>
      <c r="L335" s="242"/>
      <c r="M335" s="242"/>
      <c r="N335" s="242"/>
      <c r="O335" s="242"/>
      <c r="P335" s="242"/>
      <c r="Q335" s="242"/>
      <c r="R335" s="242"/>
      <c r="S335" s="242"/>
      <c r="T335" s="242"/>
      <c r="U335" s="242"/>
      <c r="V335" s="242"/>
      <c r="W335" s="242"/>
      <c r="X335" s="242"/>
      <c r="Y335" s="242"/>
      <c r="Z335" s="242"/>
      <c r="AA335" s="242"/>
    </row>
    <row r="336">
      <c r="A336" s="242"/>
      <c r="B336" s="242"/>
      <c r="C336" s="13"/>
      <c r="D336" s="242"/>
      <c r="E336" s="242"/>
      <c r="F336" s="242"/>
      <c r="G336" s="242"/>
      <c r="H336" s="13"/>
      <c r="I336" s="13"/>
      <c r="J336" s="13"/>
      <c r="K336" s="13"/>
      <c r="L336" s="242"/>
      <c r="M336" s="242"/>
      <c r="N336" s="242"/>
      <c r="O336" s="242"/>
      <c r="P336" s="242"/>
      <c r="Q336" s="242"/>
      <c r="R336" s="242"/>
      <c r="S336" s="242"/>
      <c r="T336" s="242"/>
      <c r="U336" s="242"/>
      <c r="V336" s="242"/>
      <c r="W336" s="242"/>
      <c r="X336" s="242"/>
      <c r="Y336" s="242"/>
      <c r="Z336" s="242"/>
      <c r="AA336" s="242"/>
    </row>
    <row r="337">
      <c r="A337" s="242"/>
      <c r="B337" s="242"/>
      <c r="C337" s="13"/>
      <c r="D337" s="242"/>
      <c r="E337" s="242"/>
      <c r="F337" s="242"/>
      <c r="G337" s="242"/>
      <c r="H337" s="13"/>
      <c r="I337" s="13"/>
      <c r="J337" s="13"/>
      <c r="K337" s="13"/>
      <c r="L337" s="242"/>
      <c r="M337" s="242"/>
      <c r="N337" s="242"/>
      <c r="O337" s="242"/>
      <c r="P337" s="242"/>
      <c r="Q337" s="242"/>
      <c r="R337" s="242"/>
      <c r="S337" s="242"/>
      <c r="T337" s="242"/>
      <c r="U337" s="242"/>
      <c r="V337" s="242"/>
      <c r="W337" s="242"/>
      <c r="X337" s="242"/>
      <c r="Y337" s="242"/>
      <c r="Z337" s="242"/>
      <c r="AA337" s="242"/>
    </row>
    <row r="338">
      <c r="A338" s="242"/>
      <c r="B338" s="242"/>
      <c r="C338" s="13"/>
      <c r="D338" s="242"/>
      <c r="E338" s="242"/>
      <c r="F338" s="242"/>
      <c r="G338" s="242"/>
      <c r="H338" s="13"/>
      <c r="I338" s="13"/>
      <c r="J338" s="13"/>
      <c r="K338" s="13"/>
      <c r="L338" s="242"/>
      <c r="M338" s="242"/>
      <c r="N338" s="242"/>
      <c r="O338" s="242"/>
      <c r="P338" s="242"/>
      <c r="Q338" s="242"/>
      <c r="R338" s="242"/>
      <c r="S338" s="242"/>
      <c r="T338" s="242"/>
      <c r="U338" s="242"/>
      <c r="V338" s="242"/>
      <c r="W338" s="242"/>
      <c r="X338" s="242"/>
      <c r="Y338" s="242"/>
      <c r="Z338" s="242"/>
      <c r="AA338" s="242"/>
    </row>
    <row r="339">
      <c r="A339" s="242"/>
      <c r="B339" s="242"/>
      <c r="C339" s="13"/>
      <c r="D339" s="242"/>
      <c r="E339" s="242"/>
      <c r="F339" s="242"/>
      <c r="G339" s="242"/>
      <c r="H339" s="13"/>
      <c r="I339" s="13"/>
      <c r="J339" s="13"/>
      <c r="K339" s="13"/>
      <c r="L339" s="242"/>
      <c r="M339" s="242"/>
      <c r="N339" s="242"/>
      <c r="O339" s="242"/>
      <c r="P339" s="242"/>
      <c r="Q339" s="242"/>
      <c r="R339" s="242"/>
      <c r="S339" s="242"/>
      <c r="T339" s="242"/>
      <c r="U339" s="242"/>
      <c r="V339" s="242"/>
      <c r="W339" s="242"/>
      <c r="X339" s="242"/>
      <c r="Y339" s="242"/>
      <c r="Z339" s="242"/>
      <c r="AA339" s="242"/>
    </row>
    <row r="340">
      <c r="A340" s="242"/>
      <c r="B340" s="242"/>
      <c r="C340" s="13"/>
      <c r="D340" s="242"/>
      <c r="E340" s="242"/>
      <c r="F340" s="242"/>
      <c r="G340" s="242"/>
      <c r="H340" s="13"/>
      <c r="I340" s="13"/>
      <c r="J340" s="13"/>
      <c r="K340" s="13"/>
      <c r="L340" s="242"/>
      <c r="M340" s="242"/>
      <c r="N340" s="242"/>
      <c r="O340" s="242"/>
      <c r="P340" s="242"/>
      <c r="Q340" s="242"/>
      <c r="R340" s="242"/>
      <c r="S340" s="242"/>
      <c r="T340" s="242"/>
      <c r="U340" s="242"/>
      <c r="V340" s="242"/>
      <c r="W340" s="242"/>
      <c r="X340" s="242"/>
      <c r="Y340" s="242"/>
      <c r="Z340" s="242"/>
      <c r="AA340" s="242"/>
    </row>
    <row r="341">
      <c r="A341" s="242"/>
      <c r="B341" s="242"/>
      <c r="C341" s="13"/>
      <c r="D341" s="242"/>
      <c r="E341" s="242"/>
      <c r="F341" s="242"/>
      <c r="G341" s="242"/>
      <c r="H341" s="13"/>
      <c r="I341" s="13"/>
      <c r="J341" s="13"/>
      <c r="K341" s="13"/>
      <c r="L341" s="242"/>
      <c r="M341" s="242"/>
      <c r="N341" s="242"/>
      <c r="O341" s="242"/>
      <c r="P341" s="242"/>
      <c r="Q341" s="242"/>
      <c r="R341" s="242"/>
      <c r="S341" s="242"/>
      <c r="T341" s="242"/>
      <c r="U341" s="242"/>
      <c r="V341" s="242"/>
      <c r="W341" s="242"/>
      <c r="X341" s="242"/>
      <c r="Y341" s="242"/>
      <c r="Z341" s="242"/>
      <c r="AA341" s="242"/>
    </row>
    <row r="342">
      <c r="A342" s="242"/>
      <c r="B342" s="242"/>
      <c r="C342" s="13"/>
      <c r="D342" s="242"/>
      <c r="E342" s="242"/>
      <c r="F342" s="242"/>
      <c r="G342" s="242"/>
      <c r="H342" s="13"/>
      <c r="I342" s="13"/>
      <c r="J342" s="13"/>
      <c r="K342" s="13"/>
      <c r="L342" s="242"/>
      <c r="M342" s="242"/>
      <c r="N342" s="242"/>
      <c r="O342" s="242"/>
      <c r="P342" s="242"/>
      <c r="Q342" s="242"/>
      <c r="R342" s="242"/>
      <c r="S342" s="242"/>
      <c r="T342" s="242"/>
      <c r="U342" s="242"/>
      <c r="V342" s="242"/>
      <c r="W342" s="242"/>
      <c r="X342" s="242"/>
      <c r="Y342" s="242"/>
      <c r="Z342" s="242"/>
      <c r="AA342" s="242"/>
    </row>
    <row r="343">
      <c r="A343" s="242"/>
      <c r="B343" s="242"/>
      <c r="C343" s="13"/>
      <c r="D343" s="242"/>
      <c r="E343" s="242"/>
      <c r="F343" s="242"/>
      <c r="G343" s="242"/>
      <c r="H343" s="13"/>
      <c r="I343" s="13"/>
      <c r="J343" s="13"/>
      <c r="K343" s="13"/>
      <c r="L343" s="242"/>
      <c r="M343" s="242"/>
      <c r="N343" s="242"/>
      <c r="O343" s="242"/>
      <c r="P343" s="242"/>
      <c r="Q343" s="242"/>
      <c r="R343" s="242"/>
      <c r="S343" s="242"/>
      <c r="T343" s="242"/>
      <c r="U343" s="242"/>
      <c r="V343" s="242"/>
      <c r="W343" s="242"/>
      <c r="X343" s="242"/>
      <c r="Y343" s="242"/>
      <c r="Z343" s="242"/>
      <c r="AA343" s="242"/>
    </row>
    <row r="344">
      <c r="A344" s="242"/>
      <c r="B344" s="242"/>
      <c r="C344" s="13"/>
      <c r="D344" s="242"/>
      <c r="E344" s="242"/>
      <c r="F344" s="242"/>
      <c r="G344" s="242"/>
      <c r="H344" s="13"/>
      <c r="I344" s="13"/>
      <c r="J344" s="13"/>
      <c r="K344" s="13"/>
      <c r="L344" s="242"/>
      <c r="M344" s="242"/>
      <c r="N344" s="242"/>
      <c r="O344" s="242"/>
      <c r="P344" s="242"/>
      <c r="Q344" s="242"/>
      <c r="R344" s="242"/>
      <c r="S344" s="242"/>
      <c r="T344" s="242"/>
      <c r="U344" s="242"/>
      <c r="V344" s="242"/>
      <c r="W344" s="242"/>
      <c r="X344" s="242"/>
      <c r="Y344" s="242"/>
      <c r="Z344" s="242"/>
      <c r="AA344" s="242"/>
    </row>
    <row r="345">
      <c r="A345" s="242"/>
      <c r="B345" s="242"/>
      <c r="C345" s="13"/>
      <c r="D345" s="242"/>
      <c r="E345" s="242"/>
      <c r="F345" s="242"/>
      <c r="G345" s="242"/>
      <c r="H345" s="13"/>
      <c r="I345" s="13"/>
      <c r="J345" s="13"/>
      <c r="K345" s="13"/>
      <c r="L345" s="242"/>
      <c r="M345" s="242"/>
      <c r="N345" s="242"/>
      <c r="O345" s="242"/>
      <c r="P345" s="242"/>
      <c r="Q345" s="242"/>
      <c r="R345" s="242"/>
      <c r="S345" s="242"/>
      <c r="T345" s="242"/>
      <c r="U345" s="242"/>
      <c r="V345" s="242"/>
      <c r="W345" s="242"/>
      <c r="X345" s="242"/>
      <c r="Y345" s="242"/>
      <c r="Z345" s="242"/>
      <c r="AA345" s="242"/>
    </row>
    <row r="346">
      <c r="A346" s="242"/>
      <c r="B346" s="242"/>
      <c r="C346" s="13"/>
      <c r="D346" s="242"/>
      <c r="E346" s="242"/>
      <c r="F346" s="242"/>
      <c r="G346" s="242"/>
      <c r="H346" s="13"/>
      <c r="I346" s="13"/>
      <c r="J346" s="13"/>
      <c r="K346" s="13"/>
      <c r="L346" s="242"/>
      <c r="M346" s="242"/>
      <c r="N346" s="242"/>
      <c r="O346" s="242"/>
      <c r="P346" s="242"/>
      <c r="Q346" s="242"/>
      <c r="R346" s="242"/>
      <c r="S346" s="242"/>
      <c r="T346" s="242"/>
      <c r="U346" s="242"/>
      <c r="V346" s="242"/>
      <c r="W346" s="242"/>
      <c r="X346" s="242"/>
      <c r="Y346" s="242"/>
      <c r="Z346" s="242"/>
      <c r="AA346" s="242"/>
    </row>
    <row r="347">
      <c r="A347" s="242"/>
      <c r="B347" s="242"/>
      <c r="C347" s="13"/>
      <c r="D347" s="242"/>
      <c r="E347" s="242"/>
      <c r="F347" s="242"/>
      <c r="G347" s="242"/>
      <c r="H347" s="13"/>
      <c r="I347" s="13"/>
      <c r="J347" s="13"/>
      <c r="K347" s="13"/>
      <c r="L347" s="242"/>
      <c r="M347" s="242"/>
      <c r="N347" s="242"/>
      <c r="O347" s="242"/>
      <c r="P347" s="242"/>
      <c r="Q347" s="242"/>
      <c r="R347" s="242"/>
      <c r="S347" s="242"/>
      <c r="T347" s="242"/>
      <c r="U347" s="242"/>
      <c r="V347" s="242"/>
      <c r="W347" s="242"/>
      <c r="X347" s="242"/>
      <c r="Y347" s="242"/>
      <c r="Z347" s="242"/>
      <c r="AA347" s="242"/>
    </row>
    <row r="348">
      <c r="A348" s="242"/>
      <c r="B348" s="242"/>
      <c r="C348" s="13"/>
      <c r="D348" s="242"/>
      <c r="E348" s="242"/>
      <c r="F348" s="242"/>
      <c r="G348" s="242"/>
      <c r="H348" s="13"/>
      <c r="I348" s="13"/>
      <c r="J348" s="13"/>
      <c r="K348" s="13"/>
      <c r="L348" s="242"/>
      <c r="M348" s="242"/>
      <c r="N348" s="242"/>
      <c r="O348" s="242"/>
      <c r="P348" s="242"/>
      <c r="Q348" s="242"/>
      <c r="R348" s="242"/>
      <c r="S348" s="242"/>
      <c r="T348" s="242"/>
      <c r="U348" s="242"/>
      <c r="V348" s="242"/>
      <c r="W348" s="242"/>
      <c r="X348" s="242"/>
      <c r="Y348" s="242"/>
      <c r="Z348" s="242"/>
      <c r="AA348" s="242"/>
    </row>
    <row r="349">
      <c r="A349" s="242"/>
      <c r="B349" s="242"/>
      <c r="C349" s="13"/>
      <c r="D349" s="242"/>
      <c r="E349" s="242"/>
      <c r="F349" s="242"/>
      <c r="G349" s="242"/>
      <c r="H349" s="13"/>
      <c r="I349" s="13"/>
      <c r="J349" s="13"/>
      <c r="K349" s="13"/>
      <c r="L349" s="242"/>
      <c r="M349" s="242"/>
      <c r="N349" s="242"/>
      <c r="O349" s="242"/>
      <c r="P349" s="242"/>
      <c r="Q349" s="242"/>
      <c r="R349" s="242"/>
      <c r="S349" s="242"/>
      <c r="T349" s="242"/>
      <c r="U349" s="242"/>
      <c r="V349" s="242"/>
      <c r="W349" s="242"/>
      <c r="X349" s="242"/>
      <c r="Y349" s="242"/>
      <c r="Z349" s="242"/>
      <c r="AA349" s="242"/>
    </row>
    <row r="350">
      <c r="A350" s="242"/>
      <c r="B350" s="242"/>
      <c r="C350" s="13"/>
      <c r="D350" s="242"/>
      <c r="E350" s="242"/>
      <c r="F350" s="242"/>
      <c r="G350" s="242"/>
      <c r="H350" s="13"/>
      <c r="I350" s="13"/>
      <c r="J350" s="13"/>
      <c r="K350" s="13"/>
      <c r="L350" s="242"/>
      <c r="M350" s="242"/>
      <c r="N350" s="242"/>
      <c r="O350" s="242"/>
      <c r="P350" s="242"/>
      <c r="Q350" s="242"/>
      <c r="R350" s="242"/>
      <c r="S350" s="242"/>
      <c r="T350" s="242"/>
      <c r="U350" s="242"/>
      <c r="V350" s="242"/>
      <c r="W350" s="242"/>
      <c r="X350" s="242"/>
      <c r="Y350" s="242"/>
      <c r="Z350" s="242"/>
      <c r="AA350" s="242"/>
    </row>
    <row r="351">
      <c r="A351" s="242"/>
      <c r="B351" s="242"/>
      <c r="C351" s="13"/>
      <c r="D351" s="242"/>
      <c r="E351" s="242"/>
      <c r="F351" s="242"/>
      <c r="G351" s="242"/>
      <c r="H351" s="13"/>
      <c r="I351" s="13"/>
      <c r="J351" s="13"/>
      <c r="K351" s="13"/>
      <c r="L351" s="242"/>
      <c r="M351" s="242"/>
      <c r="N351" s="242"/>
      <c r="O351" s="242"/>
      <c r="P351" s="242"/>
      <c r="Q351" s="242"/>
      <c r="R351" s="242"/>
      <c r="S351" s="242"/>
      <c r="T351" s="242"/>
      <c r="U351" s="242"/>
      <c r="V351" s="242"/>
      <c r="W351" s="242"/>
      <c r="X351" s="242"/>
      <c r="Y351" s="242"/>
      <c r="Z351" s="242"/>
      <c r="AA351" s="242"/>
    </row>
    <row r="352">
      <c r="A352" s="242"/>
      <c r="B352" s="242"/>
      <c r="C352" s="13"/>
      <c r="D352" s="242"/>
      <c r="E352" s="242"/>
      <c r="F352" s="242"/>
      <c r="G352" s="242"/>
      <c r="H352" s="13"/>
      <c r="I352" s="13"/>
      <c r="J352" s="13"/>
      <c r="K352" s="13"/>
      <c r="L352" s="242"/>
      <c r="M352" s="242"/>
      <c r="N352" s="242"/>
      <c r="O352" s="242"/>
      <c r="P352" s="242"/>
      <c r="Q352" s="242"/>
      <c r="R352" s="242"/>
      <c r="S352" s="242"/>
      <c r="T352" s="242"/>
      <c r="U352" s="242"/>
      <c r="V352" s="242"/>
      <c r="W352" s="242"/>
      <c r="X352" s="242"/>
      <c r="Y352" s="242"/>
      <c r="Z352" s="242"/>
      <c r="AA352" s="242"/>
    </row>
    <row r="353">
      <c r="A353" s="242"/>
      <c r="B353" s="242"/>
      <c r="C353" s="13"/>
      <c r="D353" s="242"/>
      <c r="E353" s="242"/>
      <c r="F353" s="242"/>
      <c r="G353" s="242"/>
      <c r="H353" s="13"/>
      <c r="I353" s="13"/>
      <c r="J353" s="13"/>
      <c r="K353" s="13"/>
      <c r="L353" s="242"/>
      <c r="M353" s="242"/>
      <c r="N353" s="242"/>
      <c r="O353" s="242"/>
      <c r="P353" s="242"/>
      <c r="Q353" s="242"/>
      <c r="R353" s="242"/>
      <c r="S353" s="242"/>
      <c r="T353" s="242"/>
      <c r="U353" s="242"/>
      <c r="V353" s="242"/>
      <c r="W353" s="242"/>
      <c r="X353" s="242"/>
      <c r="Y353" s="242"/>
      <c r="Z353" s="242"/>
      <c r="AA353" s="242"/>
    </row>
    <row r="354">
      <c r="A354" s="242"/>
      <c r="B354" s="242"/>
      <c r="C354" s="13"/>
      <c r="D354" s="242"/>
      <c r="E354" s="242"/>
      <c r="F354" s="242"/>
      <c r="G354" s="242"/>
      <c r="H354" s="13"/>
      <c r="I354" s="13"/>
      <c r="J354" s="13"/>
      <c r="K354" s="13"/>
      <c r="L354" s="242"/>
      <c r="M354" s="242"/>
      <c r="N354" s="242"/>
      <c r="O354" s="242"/>
      <c r="P354" s="242"/>
      <c r="Q354" s="242"/>
      <c r="R354" s="242"/>
      <c r="S354" s="242"/>
      <c r="T354" s="242"/>
      <c r="U354" s="242"/>
      <c r="V354" s="242"/>
      <c r="W354" s="242"/>
      <c r="X354" s="242"/>
      <c r="Y354" s="242"/>
      <c r="Z354" s="242"/>
      <c r="AA354" s="242"/>
    </row>
    <row r="355">
      <c r="A355" s="242"/>
      <c r="B355" s="242"/>
      <c r="C355" s="13"/>
      <c r="D355" s="242"/>
      <c r="E355" s="242"/>
      <c r="F355" s="242"/>
      <c r="G355" s="242"/>
      <c r="H355" s="13"/>
      <c r="I355" s="13"/>
      <c r="J355" s="13"/>
      <c r="K355" s="13"/>
      <c r="L355" s="242"/>
      <c r="M355" s="242"/>
      <c r="N355" s="242"/>
      <c r="O355" s="242"/>
      <c r="P355" s="242"/>
      <c r="Q355" s="242"/>
      <c r="R355" s="242"/>
      <c r="S355" s="242"/>
      <c r="T355" s="242"/>
      <c r="U355" s="242"/>
      <c r="V355" s="242"/>
      <c r="W355" s="242"/>
      <c r="X355" s="242"/>
      <c r="Y355" s="242"/>
      <c r="Z355" s="242"/>
      <c r="AA355" s="242"/>
    </row>
    <row r="356">
      <c r="A356" s="242"/>
      <c r="B356" s="242"/>
      <c r="C356" s="13"/>
      <c r="D356" s="242"/>
      <c r="E356" s="242"/>
      <c r="F356" s="242"/>
      <c r="G356" s="242"/>
      <c r="H356" s="13"/>
      <c r="I356" s="13"/>
      <c r="J356" s="13"/>
      <c r="K356" s="13"/>
      <c r="L356" s="242"/>
      <c r="M356" s="242"/>
      <c r="N356" s="242"/>
      <c r="O356" s="242"/>
      <c r="P356" s="242"/>
      <c r="Q356" s="242"/>
      <c r="R356" s="242"/>
      <c r="S356" s="242"/>
      <c r="T356" s="242"/>
      <c r="U356" s="242"/>
      <c r="V356" s="242"/>
      <c r="W356" s="242"/>
      <c r="X356" s="242"/>
      <c r="Y356" s="242"/>
      <c r="Z356" s="242"/>
      <c r="AA356" s="242"/>
    </row>
    <row r="357">
      <c r="A357" s="242"/>
      <c r="B357" s="242"/>
      <c r="C357" s="13"/>
      <c r="D357" s="242"/>
      <c r="E357" s="242"/>
      <c r="F357" s="242"/>
      <c r="G357" s="242"/>
      <c r="H357" s="13"/>
      <c r="I357" s="13"/>
      <c r="J357" s="13"/>
      <c r="K357" s="13"/>
      <c r="L357" s="242"/>
      <c r="M357" s="242"/>
      <c r="N357" s="242"/>
      <c r="O357" s="242"/>
      <c r="P357" s="242"/>
      <c r="Q357" s="242"/>
      <c r="R357" s="242"/>
      <c r="S357" s="242"/>
      <c r="T357" s="242"/>
      <c r="U357" s="242"/>
      <c r="V357" s="242"/>
      <c r="W357" s="242"/>
      <c r="X357" s="242"/>
      <c r="Y357" s="242"/>
      <c r="Z357" s="242"/>
      <c r="AA357" s="242"/>
    </row>
    <row r="358">
      <c r="A358" s="242"/>
      <c r="B358" s="242"/>
      <c r="C358" s="13"/>
      <c r="D358" s="242"/>
      <c r="E358" s="242"/>
      <c r="F358" s="242"/>
      <c r="G358" s="242"/>
      <c r="H358" s="13"/>
      <c r="I358" s="13"/>
      <c r="J358" s="13"/>
      <c r="K358" s="13"/>
      <c r="L358" s="242"/>
      <c r="M358" s="242"/>
      <c r="N358" s="242"/>
      <c r="O358" s="242"/>
      <c r="P358" s="242"/>
      <c r="Q358" s="242"/>
      <c r="R358" s="242"/>
      <c r="S358" s="242"/>
      <c r="T358" s="242"/>
      <c r="U358" s="242"/>
      <c r="V358" s="242"/>
      <c r="W358" s="242"/>
      <c r="X358" s="242"/>
      <c r="Y358" s="242"/>
      <c r="Z358" s="242"/>
      <c r="AA358" s="242"/>
    </row>
    <row r="359">
      <c r="A359" s="242"/>
      <c r="B359" s="242"/>
      <c r="C359" s="13"/>
      <c r="D359" s="242"/>
      <c r="E359" s="242"/>
      <c r="F359" s="242"/>
      <c r="G359" s="242"/>
      <c r="H359" s="13"/>
      <c r="I359" s="13"/>
      <c r="J359" s="13"/>
      <c r="K359" s="13"/>
      <c r="L359" s="242"/>
      <c r="M359" s="242"/>
      <c r="N359" s="242"/>
      <c r="O359" s="242"/>
      <c r="P359" s="242"/>
      <c r="Q359" s="242"/>
      <c r="R359" s="242"/>
      <c r="S359" s="242"/>
      <c r="T359" s="242"/>
      <c r="U359" s="242"/>
      <c r="V359" s="242"/>
      <c r="W359" s="242"/>
      <c r="X359" s="242"/>
      <c r="Y359" s="242"/>
      <c r="Z359" s="242"/>
      <c r="AA359" s="242"/>
    </row>
    <row r="360">
      <c r="A360" s="242"/>
      <c r="B360" s="242"/>
      <c r="C360" s="13"/>
      <c r="D360" s="242"/>
      <c r="E360" s="242"/>
      <c r="F360" s="242"/>
      <c r="G360" s="242"/>
      <c r="H360" s="13"/>
      <c r="I360" s="13"/>
      <c r="J360" s="13"/>
      <c r="K360" s="13"/>
      <c r="L360" s="242"/>
      <c r="M360" s="242"/>
      <c r="N360" s="242"/>
      <c r="O360" s="242"/>
      <c r="P360" s="242"/>
      <c r="Q360" s="242"/>
      <c r="R360" s="242"/>
      <c r="S360" s="242"/>
      <c r="T360" s="242"/>
      <c r="U360" s="242"/>
      <c r="V360" s="242"/>
      <c r="W360" s="242"/>
      <c r="X360" s="242"/>
      <c r="Y360" s="242"/>
      <c r="Z360" s="242"/>
      <c r="AA360" s="242"/>
    </row>
    <row r="361">
      <c r="A361" s="242"/>
      <c r="B361" s="242"/>
      <c r="C361" s="13"/>
      <c r="D361" s="242"/>
      <c r="E361" s="242"/>
      <c r="F361" s="242"/>
      <c r="G361" s="242"/>
      <c r="H361" s="13"/>
      <c r="I361" s="13"/>
      <c r="J361" s="13"/>
      <c r="K361" s="13"/>
      <c r="L361" s="242"/>
      <c r="M361" s="242"/>
      <c r="N361" s="242"/>
      <c r="O361" s="242"/>
      <c r="P361" s="242"/>
      <c r="Q361" s="242"/>
      <c r="R361" s="242"/>
      <c r="S361" s="242"/>
      <c r="T361" s="242"/>
      <c r="U361" s="242"/>
      <c r="V361" s="242"/>
      <c r="W361" s="242"/>
      <c r="X361" s="242"/>
      <c r="Y361" s="242"/>
      <c r="Z361" s="242"/>
      <c r="AA361" s="242"/>
    </row>
    <row r="362">
      <c r="A362" s="242"/>
      <c r="B362" s="242"/>
      <c r="C362" s="13"/>
      <c r="D362" s="242"/>
      <c r="E362" s="242"/>
      <c r="F362" s="242"/>
      <c r="G362" s="242"/>
      <c r="H362" s="13"/>
      <c r="I362" s="13"/>
      <c r="J362" s="13"/>
      <c r="K362" s="13"/>
      <c r="L362" s="242"/>
      <c r="M362" s="242"/>
      <c r="N362" s="242"/>
      <c r="O362" s="242"/>
      <c r="P362" s="242"/>
      <c r="Q362" s="242"/>
      <c r="R362" s="242"/>
      <c r="S362" s="242"/>
      <c r="T362" s="242"/>
      <c r="U362" s="242"/>
      <c r="V362" s="242"/>
      <c r="W362" s="242"/>
      <c r="X362" s="242"/>
      <c r="Y362" s="242"/>
      <c r="Z362" s="242"/>
      <c r="AA362" s="242"/>
    </row>
    <row r="363">
      <c r="A363" s="242"/>
      <c r="B363" s="242"/>
      <c r="C363" s="13"/>
      <c r="D363" s="242"/>
      <c r="E363" s="242"/>
      <c r="F363" s="242"/>
      <c r="G363" s="242"/>
      <c r="H363" s="13"/>
      <c r="I363" s="13"/>
      <c r="J363" s="13"/>
      <c r="K363" s="13"/>
      <c r="L363" s="242"/>
      <c r="M363" s="242"/>
      <c r="N363" s="242"/>
      <c r="O363" s="242"/>
      <c r="P363" s="242"/>
      <c r="Q363" s="242"/>
      <c r="R363" s="242"/>
      <c r="S363" s="242"/>
      <c r="T363" s="242"/>
      <c r="U363" s="242"/>
      <c r="V363" s="242"/>
      <c r="W363" s="242"/>
      <c r="X363" s="242"/>
      <c r="Y363" s="242"/>
      <c r="Z363" s="242"/>
      <c r="AA363" s="242"/>
    </row>
    <row r="364">
      <c r="A364" s="242"/>
      <c r="B364" s="242"/>
      <c r="C364" s="13"/>
      <c r="D364" s="242"/>
      <c r="E364" s="242"/>
      <c r="F364" s="242"/>
      <c r="G364" s="242"/>
      <c r="H364" s="13"/>
      <c r="I364" s="13"/>
      <c r="J364" s="13"/>
      <c r="K364" s="13"/>
      <c r="L364" s="242"/>
      <c r="M364" s="242"/>
      <c r="N364" s="242"/>
      <c r="O364" s="242"/>
      <c r="P364" s="242"/>
      <c r="Q364" s="242"/>
      <c r="R364" s="242"/>
      <c r="S364" s="242"/>
      <c r="T364" s="242"/>
      <c r="U364" s="242"/>
      <c r="V364" s="242"/>
      <c r="W364" s="242"/>
      <c r="X364" s="242"/>
      <c r="Y364" s="242"/>
      <c r="Z364" s="242"/>
      <c r="AA364" s="242"/>
    </row>
    <row r="365">
      <c r="A365" s="242"/>
      <c r="B365" s="242"/>
      <c r="C365" s="13"/>
      <c r="D365" s="242"/>
      <c r="E365" s="242"/>
      <c r="F365" s="242"/>
      <c r="G365" s="242"/>
      <c r="H365" s="13"/>
      <c r="I365" s="13"/>
      <c r="J365" s="13"/>
      <c r="K365" s="13"/>
      <c r="L365" s="242"/>
      <c r="M365" s="242"/>
      <c r="N365" s="242"/>
      <c r="O365" s="242"/>
      <c r="P365" s="242"/>
      <c r="Q365" s="242"/>
      <c r="R365" s="242"/>
      <c r="S365" s="242"/>
      <c r="T365" s="242"/>
      <c r="U365" s="242"/>
      <c r="V365" s="242"/>
      <c r="W365" s="242"/>
      <c r="X365" s="242"/>
      <c r="Y365" s="242"/>
      <c r="Z365" s="242"/>
      <c r="AA365" s="242"/>
    </row>
    <row r="366">
      <c r="A366" s="242"/>
      <c r="B366" s="242"/>
      <c r="C366" s="13"/>
      <c r="D366" s="242"/>
      <c r="E366" s="242"/>
      <c r="F366" s="242"/>
      <c r="G366" s="242"/>
      <c r="H366" s="13"/>
      <c r="I366" s="13"/>
      <c r="J366" s="13"/>
      <c r="K366" s="13"/>
      <c r="L366" s="242"/>
      <c r="M366" s="242"/>
      <c r="N366" s="242"/>
      <c r="O366" s="242"/>
      <c r="P366" s="242"/>
      <c r="Q366" s="242"/>
      <c r="R366" s="242"/>
      <c r="S366" s="242"/>
      <c r="T366" s="242"/>
      <c r="U366" s="242"/>
      <c r="V366" s="242"/>
      <c r="W366" s="242"/>
      <c r="X366" s="242"/>
      <c r="Y366" s="242"/>
      <c r="Z366" s="242"/>
      <c r="AA366" s="242"/>
    </row>
    <row r="367">
      <c r="A367" s="242"/>
      <c r="B367" s="242"/>
      <c r="C367" s="13"/>
      <c r="D367" s="242"/>
      <c r="E367" s="242"/>
      <c r="F367" s="242"/>
      <c r="G367" s="242"/>
      <c r="H367" s="13"/>
      <c r="I367" s="13"/>
      <c r="J367" s="13"/>
      <c r="K367" s="13"/>
      <c r="L367" s="242"/>
      <c r="M367" s="242"/>
      <c r="N367" s="242"/>
      <c r="O367" s="242"/>
      <c r="P367" s="242"/>
      <c r="Q367" s="242"/>
      <c r="R367" s="242"/>
      <c r="S367" s="242"/>
      <c r="T367" s="242"/>
      <c r="U367" s="242"/>
      <c r="V367" s="242"/>
      <c r="W367" s="242"/>
      <c r="X367" s="242"/>
      <c r="Y367" s="242"/>
      <c r="Z367" s="242"/>
      <c r="AA367" s="242"/>
    </row>
    <row r="368">
      <c r="A368" s="242"/>
      <c r="B368" s="242"/>
      <c r="C368" s="13"/>
      <c r="D368" s="242"/>
      <c r="E368" s="242"/>
      <c r="F368" s="242"/>
      <c r="G368" s="242"/>
      <c r="H368" s="13"/>
      <c r="I368" s="13"/>
      <c r="J368" s="13"/>
      <c r="K368" s="13"/>
      <c r="L368" s="242"/>
      <c r="M368" s="242"/>
      <c r="N368" s="242"/>
      <c r="O368" s="242"/>
      <c r="P368" s="242"/>
      <c r="Q368" s="242"/>
      <c r="R368" s="242"/>
      <c r="S368" s="242"/>
      <c r="T368" s="242"/>
      <c r="U368" s="242"/>
      <c r="V368" s="242"/>
      <c r="W368" s="242"/>
      <c r="X368" s="242"/>
      <c r="Y368" s="242"/>
      <c r="Z368" s="242"/>
      <c r="AA368" s="242"/>
    </row>
    <row r="369">
      <c r="A369" s="242"/>
      <c r="B369" s="242"/>
      <c r="C369" s="13"/>
      <c r="D369" s="242"/>
      <c r="E369" s="242"/>
      <c r="F369" s="242"/>
      <c r="G369" s="242"/>
      <c r="H369" s="13"/>
      <c r="I369" s="13"/>
      <c r="J369" s="13"/>
      <c r="K369" s="13"/>
      <c r="L369" s="242"/>
      <c r="M369" s="242"/>
      <c r="N369" s="242"/>
      <c r="O369" s="242"/>
      <c r="P369" s="242"/>
      <c r="Q369" s="242"/>
      <c r="R369" s="242"/>
      <c r="S369" s="242"/>
      <c r="T369" s="242"/>
      <c r="U369" s="242"/>
      <c r="V369" s="242"/>
      <c r="W369" s="242"/>
      <c r="X369" s="242"/>
      <c r="Y369" s="242"/>
      <c r="Z369" s="242"/>
      <c r="AA369" s="242"/>
    </row>
    <row r="370">
      <c r="A370" s="242"/>
      <c r="B370" s="242"/>
      <c r="C370" s="13"/>
      <c r="D370" s="242"/>
      <c r="E370" s="242"/>
      <c r="F370" s="242"/>
      <c r="G370" s="242"/>
      <c r="H370" s="13"/>
      <c r="I370" s="13"/>
      <c r="J370" s="13"/>
      <c r="K370" s="13"/>
      <c r="L370" s="242"/>
      <c r="M370" s="242"/>
      <c r="N370" s="242"/>
      <c r="O370" s="242"/>
      <c r="P370" s="242"/>
      <c r="Q370" s="242"/>
      <c r="R370" s="242"/>
      <c r="S370" s="242"/>
      <c r="T370" s="242"/>
      <c r="U370" s="242"/>
      <c r="V370" s="242"/>
      <c r="W370" s="242"/>
      <c r="X370" s="242"/>
      <c r="Y370" s="242"/>
      <c r="Z370" s="242"/>
      <c r="AA370" s="242"/>
    </row>
    <row r="371">
      <c r="A371" s="242"/>
      <c r="B371" s="242"/>
      <c r="C371" s="13"/>
      <c r="D371" s="242"/>
      <c r="E371" s="242"/>
      <c r="F371" s="242"/>
      <c r="G371" s="242"/>
      <c r="H371" s="13"/>
      <c r="I371" s="13"/>
      <c r="J371" s="13"/>
      <c r="K371" s="13"/>
      <c r="L371" s="242"/>
      <c r="M371" s="242"/>
      <c r="N371" s="242"/>
      <c r="O371" s="242"/>
      <c r="P371" s="242"/>
      <c r="Q371" s="242"/>
      <c r="R371" s="242"/>
      <c r="S371" s="242"/>
      <c r="T371" s="242"/>
      <c r="U371" s="242"/>
      <c r="V371" s="242"/>
      <c r="W371" s="242"/>
      <c r="X371" s="242"/>
      <c r="Y371" s="242"/>
      <c r="Z371" s="242"/>
      <c r="AA371" s="242"/>
    </row>
    <row r="372">
      <c r="A372" s="242"/>
      <c r="B372" s="242"/>
      <c r="C372" s="13"/>
      <c r="D372" s="242"/>
      <c r="E372" s="242"/>
      <c r="F372" s="242"/>
      <c r="G372" s="242"/>
      <c r="H372" s="13"/>
      <c r="I372" s="13"/>
      <c r="J372" s="13"/>
      <c r="K372" s="13"/>
      <c r="L372" s="242"/>
      <c r="M372" s="242"/>
      <c r="N372" s="242"/>
      <c r="O372" s="242"/>
      <c r="P372" s="242"/>
      <c r="Q372" s="242"/>
      <c r="R372" s="242"/>
      <c r="S372" s="242"/>
      <c r="T372" s="242"/>
      <c r="U372" s="242"/>
      <c r="V372" s="242"/>
      <c r="W372" s="242"/>
      <c r="X372" s="242"/>
      <c r="Y372" s="242"/>
      <c r="Z372" s="242"/>
      <c r="AA372" s="242"/>
    </row>
    <row r="373">
      <c r="A373" s="242"/>
      <c r="B373" s="242"/>
      <c r="C373" s="13"/>
      <c r="D373" s="242"/>
      <c r="E373" s="242"/>
      <c r="F373" s="242"/>
      <c r="G373" s="242"/>
      <c r="H373" s="13"/>
      <c r="I373" s="13"/>
      <c r="J373" s="13"/>
      <c r="K373" s="13"/>
      <c r="L373" s="242"/>
      <c r="M373" s="242"/>
      <c r="N373" s="242"/>
      <c r="O373" s="242"/>
      <c r="P373" s="242"/>
      <c r="Q373" s="242"/>
      <c r="R373" s="242"/>
      <c r="S373" s="242"/>
      <c r="T373" s="242"/>
      <c r="U373" s="242"/>
      <c r="V373" s="242"/>
      <c r="W373" s="242"/>
      <c r="X373" s="242"/>
      <c r="Y373" s="242"/>
      <c r="Z373" s="242"/>
      <c r="AA373" s="242"/>
    </row>
    <row r="374">
      <c r="A374" s="242"/>
      <c r="B374" s="242"/>
      <c r="C374" s="13"/>
      <c r="D374" s="242"/>
      <c r="E374" s="242"/>
      <c r="F374" s="242"/>
      <c r="G374" s="242"/>
      <c r="H374" s="13"/>
      <c r="I374" s="13"/>
      <c r="J374" s="13"/>
      <c r="K374" s="13"/>
      <c r="L374" s="242"/>
      <c r="M374" s="242"/>
      <c r="N374" s="242"/>
      <c r="O374" s="242"/>
      <c r="P374" s="242"/>
      <c r="Q374" s="242"/>
      <c r="R374" s="242"/>
      <c r="S374" s="242"/>
      <c r="T374" s="242"/>
      <c r="U374" s="242"/>
      <c r="V374" s="242"/>
      <c r="W374" s="242"/>
      <c r="X374" s="242"/>
      <c r="Y374" s="242"/>
      <c r="Z374" s="242"/>
      <c r="AA374" s="242"/>
    </row>
    <row r="375">
      <c r="A375" s="242"/>
      <c r="B375" s="242"/>
      <c r="C375" s="13"/>
      <c r="D375" s="242"/>
      <c r="E375" s="242"/>
      <c r="F375" s="242"/>
      <c r="G375" s="242"/>
      <c r="H375" s="13"/>
      <c r="I375" s="13"/>
      <c r="J375" s="13"/>
      <c r="K375" s="13"/>
      <c r="L375" s="242"/>
      <c r="M375" s="242"/>
      <c r="N375" s="242"/>
      <c r="O375" s="242"/>
      <c r="P375" s="242"/>
      <c r="Q375" s="242"/>
      <c r="R375" s="242"/>
      <c r="S375" s="242"/>
      <c r="T375" s="242"/>
      <c r="U375" s="242"/>
      <c r="V375" s="242"/>
      <c r="W375" s="242"/>
      <c r="X375" s="242"/>
      <c r="Y375" s="242"/>
      <c r="Z375" s="242"/>
      <c r="AA375" s="242"/>
    </row>
    <row r="376">
      <c r="A376" s="242"/>
      <c r="B376" s="242"/>
      <c r="C376" s="13"/>
      <c r="D376" s="242"/>
      <c r="E376" s="242"/>
      <c r="F376" s="242"/>
      <c r="G376" s="242"/>
      <c r="H376" s="13"/>
      <c r="I376" s="13"/>
      <c r="J376" s="13"/>
      <c r="K376" s="13"/>
      <c r="L376" s="242"/>
      <c r="M376" s="242"/>
      <c r="N376" s="242"/>
      <c r="O376" s="242"/>
      <c r="P376" s="242"/>
      <c r="Q376" s="242"/>
      <c r="R376" s="242"/>
      <c r="S376" s="242"/>
      <c r="T376" s="242"/>
      <c r="U376" s="242"/>
      <c r="V376" s="242"/>
      <c r="W376" s="242"/>
      <c r="X376" s="242"/>
      <c r="Y376" s="242"/>
      <c r="Z376" s="242"/>
      <c r="AA376" s="242"/>
    </row>
    <row r="377">
      <c r="A377" s="242"/>
      <c r="B377" s="242"/>
      <c r="C377" s="13"/>
      <c r="D377" s="242"/>
      <c r="E377" s="242"/>
      <c r="F377" s="242"/>
      <c r="G377" s="242"/>
      <c r="H377" s="13"/>
      <c r="I377" s="13"/>
      <c r="J377" s="13"/>
      <c r="K377" s="13"/>
      <c r="L377" s="242"/>
      <c r="M377" s="242"/>
      <c r="N377" s="242"/>
      <c r="O377" s="242"/>
      <c r="P377" s="242"/>
      <c r="Q377" s="242"/>
      <c r="R377" s="242"/>
      <c r="S377" s="242"/>
      <c r="T377" s="242"/>
      <c r="U377" s="242"/>
      <c r="V377" s="242"/>
      <c r="W377" s="242"/>
      <c r="X377" s="242"/>
      <c r="Y377" s="242"/>
      <c r="Z377" s="242"/>
      <c r="AA377" s="242"/>
    </row>
    <row r="378">
      <c r="A378" s="242"/>
      <c r="B378" s="242"/>
      <c r="C378" s="13"/>
      <c r="D378" s="242"/>
      <c r="E378" s="242"/>
      <c r="F378" s="242"/>
      <c r="G378" s="242"/>
      <c r="H378" s="13"/>
      <c r="I378" s="13"/>
      <c r="J378" s="13"/>
      <c r="K378" s="13"/>
      <c r="L378" s="242"/>
      <c r="M378" s="242"/>
      <c r="N378" s="242"/>
      <c r="O378" s="242"/>
      <c r="P378" s="242"/>
      <c r="Q378" s="242"/>
      <c r="R378" s="242"/>
      <c r="S378" s="242"/>
      <c r="T378" s="242"/>
      <c r="U378" s="242"/>
      <c r="V378" s="242"/>
      <c r="W378" s="242"/>
      <c r="X378" s="242"/>
      <c r="Y378" s="242"/>
      <c r="Z378" s="242"/>
      <c r="AA378" s="242"/>
    </row>
    <row r="379">
      <c r="A379" s="242"/>
      <c r="B379" s="242"/>
      <c r="C379" s="13"/>
      <c r="D379" s="242"/>
      <c r="E379" s="242"/>
      <c r="F379" s="242"/>
      <c r="G379" s="242"/>
      <c r="H379" s="13"/>
      <c r="I379" s="13"/>
      <c r="J379" s="13"/>
      <c r="K379" s="13"/>
      <c r="L379" s="242"/>
      <c r="M379" s="242"/>
      <c r="N379" s="242"/>
      <c r="O379" s="242"/>
      <c r="P379" s="242"/>
      <c r="Q379" s="242"/>
      <c r="R379" s="242"/>
      <c r="S379" s="242"/>
      <c r="T379" s="242"/>
      <c r="U379" s="242"/>
      <c r="V379" s="242"/>
      <c r="W379" s="242"/>
      <c r="X379" s="242"/>
      <c r="Y379" s="242"/>
      <c r="Z379" s="242"/>
      <c r="AA379" s="242"/>
    </row>
    <row r="380">
      <c r="A380" s="242"/>
      <c r="B380" s="242"/>
      <c r="C380" s="13"/>
      <c r="D380" s="242"/>
      <c r="E380" s="242"/>
      <c r="F380" s="242"/>
      <c r="G380" s="242"/>
      <c r="H380" s="13"/>
      <c r="I380" s="13"/>
      <c r="J380" s="13"/>
      <c r="K380" s="13"/>
      <c r="L380" s="242"/>
      <c r="M380" s="242"/>
      <c r="N380" s="242"/>
      <c r="O380" s="242"/>
      <c r="P380" s="242"/>
      <c r="Q380" s="242"/>
      <c r="R380" s="242"/>
      <c r="S380" s="242"/>
      <c r="T380" s="242"/>
      <c r="U380" s="242"/>
      <c r="V380" s="242"/>
      <c r="W380" s="242"/>
      <c r="X380" s="242"/>
      <c r="Y380" s="242"/>
      <c r="Z380" s="242"/>
      <c r="AA380" s="242"/>
    </row>
    <row r="381">
      <c r="A381" s="242"/>
      <c r="B381" s="242"/>
      <c r="C381" s="13"/>
      <c r="D381" s="242"/>
      <c r="E381" s="242"/>
      <c r="F381" s="242"/>
      <c r="G381" s="242"/>
      <c r="H381" s="13"/>
      <c r="I381" s="13"/>
      <c r="J381" s="13"/>
      <c r="K381" s="13"/>
      <c r="L381" s="242"/>
      <c r="M381" s="242"/>
      <c r="N381" s="242"/>
      <c r="O381" s="242"/>
      <c r="P381" s="242"/>
      <c r="Q381" s="242"/>
      <c r="R381" s="242"/>
      <c r="S381" s="242"/>
      <c r="T381" s="242"/>
      <c r="U381" s="242"/>
      <c r="V381" s="242"/>
      <c r="W381" s="242"/>
      <c r="X381" s="242"/>
      <c r="Y381" s="242"/>
      <c r="Z381" s="242"/>
      <c r="AA381" s="242"/>
    </row>
    <row r="382">
      <c r="A382" s="242"/>
      <c r="B382" s="242"/>
      <c r="C382" s="13"/>
      <c r="D382" s="242"/>
      <c r="E382" s="242"/>
      <c r="F382" s="242"/>
      <c r="G382" s="242"/>
      <c r="H382" s="13"/>
      <c r="I382" s="13"/>
      <c r="J382" s="13"/>
      <c r="K382" s="13"/>
      <c r="L382" s="242"/>
      <c r="M382" s="242"/>
      <c r="N382" s="242"/>
      <c r="O382" s="242"/>
      <c r="P382" s="242"/>
      <c r="Q382" s="242"/>
      <c r="R382" s="242"/>
      <c r="S382" s="242"/>
      <c r="T382" s="242"/>
      <c r="U382" s="242"/>
      <c r="V382" s="242"/>
      <c r="W382" s="242"/>
      <c r="X382" s="242"/>
      <c r="Y382" s="242"/>
      <c r="Z382" s="242"/>
      <c r="AA382" s="242"/>
    </row>
    <row r="383">
      <c r="A383" s="242"/>
      <c r="B383" s="242"/>
      <c r="C383" s="13"/>
      <c r="D383" s="242"/>
      <c r="E383" s="242"/>
      <c r="F383" s="242"/>
      <c r="G383" s="242"/>
      <c r="H383" s="13"/>
      <c r="I383" s="13"/>
      <c r="J383" s="13"/>
      <c r="K383" s="13"/>
      <c r="L383" s="242"/>
      <c r="M383" s="242"/>
      <c r="N383" s="242"/>
      <c r="O383" s="242"/>
      <c r="P383" s="242"/>
      <c r="Q383" s="242"/>
      <c r="R383" s="242"/>
      <c r="S383" s="242"/>
      <c r="T383" s="242"/>
      <c r="U383" s="242"/>
      <c r="V383" s="242"/>
      <c r="W383" s="242"/>
      <c r="X383" s="242"/>
      <c r="Y383" s="242"/>
      <c r="Z383" s="242"/>
      <c r="AA383" s="242"/>
    </row>
    <row r="384">
      <c r="A384" s="242"/>
      <c r="B384" s="242"/>
      <c r="C384" s="13"/>
      <c r="D384" s="242"/>
      <c r="E384" s="242"/>
      <c r="F384" s="242"/>
      <c r="G384" s="242"/>
      <c r="H384" s="13"/>
      <c r="I384" s="13"/>
      <c r="J384" s="13"/>
      <c r="K384" s="13"/>
      <c r="L384" s="242"/>
      <c r="M384" s="242"/>
      <c r="N384" s="242"/>
      <c r="O384" s="242"/>
      <c r="P384" s="242"/>
      <c r="Q384" s="242"/>
      <c r="R384" s="242"/>
      <c r="S384" s="242"/>
      <c r="T384" s="242"/>
      <c r="U384" s="242"/>
      <c r="V384" s="242"/>
      <c r="W384" s="242"/>
      <c r="X384" s="242"/>
      <c r="Y384" s="242"/>
      <c r="Z384" s="242"/>
      <c r="AA384" s="242"/>
    </row>
    <row r="385">
      <c r="A385" s="242"/>
      <c r="B385" s="242"/>
      <c r="C385" s="13"/>
      <c r="D385" s="242"/>
      <c r="E385" s="242"/>
      <c r="F385" s="242"/>
      <c r="G385" s="242"/>
      <c r="H385" s="13"/>
      <c r="I385" s="13"/>
      <c r="J385" s="13"/>
      <c r="K385" s="13"/>
      <c r="L385" s="242"/>
      <c r="M385" s="242"/>
      <c r="N385" s="242"/>
      <c r="O385" s="242"/>
      <c r="P385" s="242"/>
      <c r="Q385" s="242"/>
      <c r="R385" s="242"/>
      <c r="S385" s="242"/>
      <c r="T385" s="242"/>
      <c r="U385" s="242"/>
      <c r="V385" s="242"/>
      <c r="W385" s="242"/>
      <c r="X385" s="242"/>
      <c r="Y385" s="242"/>
      <c r="Z385" s="242"/>
      <c r="AA385" s="242"/>
    </row>
    <row r="386">
      <c r="A386" s="242"/>
      <c r="B386" s="242"/>
      <c r="C386" s="13"/>
      <c r="D386" s="242"/>
      <c r="E386" s="242"/>
      <c r="F386" s="242"/>
      <c r="G386" s="242"/>
      <c r="H386" s="13"/>
      <c r="I386" s="13"/>
      <c r="J386" s="13"/>
      <c r="K386" s="13"/>
      <c r="L386" s="242"/>
      <c r="M386" s="242"/>
      <c r="N386" s="242"/>
      <c r="O386" s="242"/>
      <c r="P386" s="242"/>
      <c r="Q386" s="242"/>
      <c r="R386" s="242"/>
      <c r="S386" s="242"/>
      <c r="T386" s="242"/>
      <c r="U386" s="242"/>
      <c r="V386" s="242"/>
      <c r="W386" s="242"/>
      <c r="X386" s="242"/>
      <c r="Y386" s="242"/>
      <c r="Z386" s="242"/>
      <c r="AA386" s="242"/>
    </row>
    <row r="387">
      <c r="A387" s="242"/>
      <c r="B387" s="242"/>
      <c r="C387" s="13"/>
      <c r="D387" s="242"/>
      <c r="E387" s="242"/>
      <c r="F387" s="242"/>
      <c r="G387" s="242"/>
      <c r="H387" s="13"/>
      <c r="I387" s="13"/>
      <c r="J387" s="13"/>
      <c r="K387" s="13"/>
      <c r="L387" s="242"/>
      <c r="M387" s="242"/>
      <c r="N387" s="242"/>
      <c r="O387" s="242"/>
      <c r="P387" s="242"/>
      <c r="Q387" s="242"/>
      <c r="R387" s="242"/>
      <c r="S387" s="242"/>
      <c r="T387" s="242"/>
      <c r="U387" s="242"/>
      <c r="V387" s="242"/>
      <c r="W387" s="242"/>
      <c r="X387" s="242"/>
      <c r="Y387" s="242"/>
      <c r="Z387" s="242"/>
      <c r="AA387" s="242"/>
    </row>
    <row r="388">
      <c r="A388" s="242"/>
      <c r="B388" s="242"/>
      <c r="C388" s="13"/>
      <c r="D388" s="242"/>
      <c r="E388" s="242"/>
      <c r="F388" s="242"/>
      <c r="G388" s="242"/>
      <c r="H388" s="13"/>
      <c r="I388" s="13"/>
      <c r="J388" s="13"/>
      <c r="K388" s="13"/>
      <c r="L388" s="242"/>
      <c r="M388" s="242"/>
      <c r="N388" s="242"/>
      <c r="O388" s="242"/>
      <c r="P388" s="242"/>
      <c r="Q388" s="242"/>
      <c r="R388" s="242"/>
      <c r="S388" s="242"/>
      <c r="T388" s="242"/>
      <c r="U388" s="242"/>
      <c r="V388" s="242"/>
      <c r="W388" s="242"/>
      <c r="X388" s="242"/>
      <c r="Y388" s="242"/>
      <c r="Z388" s="242"/>
      <c r="AA388" s="242"/>
    </row>
    <row r="389">
      <c r="A389" s="242"/>
      <c r="B389" s="242"/>
      <c r="C389" s="13"/>
      <c r="D389" s="242"/>
      <c r="E389" s="242"/>
      <c r="F389" s="242"/>
      <c r="G389" s="242"/>
      <c r="H389" s="13"/>
      <c r="I389" s="13"/>
      <c r="J389" s="13"/>
      <c r="K389" s="13"/>
      <c r="L389" s="242"/>
      <c r="M389" s="242"/>
      <c r="N389" s="242"/>
      <c r="O389" s="242"/>
      <c r="P389" s="242"/>
      <c r="Q389" s="242"/>
      <c r="R389" s="242"/>
      <c r="S389" s="242"/>
      <c r="T389" s="242"/>
      <c r="U389" s="242"/>
      <c r="V389" s="242"/>
      <c r="W389" s="242"/>
      <c r="X389" s="242"/>
      <c r="Y389" s="242"/>
      <c r="Z389" s="242"/>
      <c r="AA389" s="242"/>
    </row>
    <row r="390">
      <c r="A390" s="242"/>
      <c r="B390" s="242"/>
      <c r="C390" s="13"/>
      <c r="D390" s="242"/>
      <c r="E390" s="242"/>
      <c r="F390" s="242"/>
      <c r="G390" s="242"/>
      <c r="H390" s="13"/>
      <c r="I390" s="13"/>
      <c r="J390" s="13"/>
      <c r="K390" s="13"/>
      <c r="L390" s="242"/>
      <c r="M390" s="242"/>
      <c r="N390" s="242"/>
      <c r="O390" s="242"/>
      <c r="P390" s="242"/>
      <c r="Q390" s="242"/>
      <c r="R390" s="242"/>
      <c r="S390" s="242"/>
      <c r="T390" s="242"/>
      <c r="U390" s="242"/>
      <c r="V390" s="242"/>
      <c r="W390" s="242"/>
      <c r="X390" s="242"/>
      <c r="Y390" s="242"/>
      <c r="Z390" s="242"/>
      <c r="AA390" s="242"/>
    </row>
    <row r="391">
      <c r="A391" s="242"/>
      <c r="B391" s="242"/>
      <c r="C391" s="13"/>
      <c r="D391" s="242"/>
      <c r="E391" s="242"/>
      <c r="F391" s="242"/>
      <c r="G391" s="242"/>
      <c r="H391" s="13"/>
      <c r="I391" s="13"/>
      <c r="J391" s="13"/>
      <c r="K391" s="13"/>
      <c r="L391" s="242"/>
      <c r="M391" s="242"/>
      <c r="N391" s="242"/>
      <c r="O391" s="242"/>
      <c r="P391" s="242"/>
      <c r="Q391" s="242"/>
      <c r="R391" s="242"/>
      <c r="S391" s="242"/>
      <c r="T391" s="242"/>
      <c r="U391" s="242"/>
      <c r="V391" s="242"/>
      <c r="W391" s="242"/>
      <c r="X391" s="242"/>
      <c r="Y391" s="242"/>
      <c r="Z391" s="242"/>
      <c r="AA391" s="242"/>
    </row>
    <row r="392">
      <c r="A392" s="242"/>
      <c r="B392" s="242"/>
      <c r="C392" s="13"/>
      <c r="D392" s="242"/>
      <c r="E392" s="242"/>
      <c r="F392" s="242"/>
      <c r="G392" s="242"/>
      <c r="H392" s="13"/>
      <c r="I392" s="13"/>
      <c r="J392" s="13"/>
      <c r="K392" s="13"/>
      <c r="L392" s="242"/>
      <c r="M392" s="242"/>
      <c r="N392" s="242"/>
      <c r="O392" s="242"/>
      <c r="P392" s="242"/>
      <c r="Q392" s="242"/>
      <c r="R392" s="242"/>
      <c r="S392" s="242"/>
      <c r="T392" s="242"/>
      <c r="U392" s="242"/>
      <c r="V392" s="242"/>
      <c r="W392" s="242"/>
      <c r="X392" s="242"/>
      <c r="Y392" s="242"/>
      <c r="Z392" s="242"/>
      <c r="AA392" s="242"/>
    </row>
    <row r="393">
      <c r="A393" s="242"/>
      <c r="B393" s="242"/>
      <c r="C393" s="13"/>
      <c r="D393" s="242"/>
      <c r="E393" s="242"/>
      <c r="F393" s="242"/>
      <c r="G393" s="242"/>
      <c r="H393" s="13"/>
      <c r="I393" s="13"/>
      <c r="J393" s="13"/>
      <c r="K393" s="13"/>
      <c r="L393" s="242"/>
      <c r="M393" s="242"/>
      <c r="N393" s="242"/>
      <c r="O393" s="242"/>
      <c r="P393" s="242"/>
      <c r="Q393" s="242"/>
      <c r="R393" s="242"/>
      <c r="S393" s="242"/>
      <c r="T393" s="242"/>
      <c r="U393" s="242"/>
      <c r="V393" s="242"/>
      <c r="W393" s="242"/>
      <c r="X393" s="242"/>
      <c r="Y393" s="242"/>
      <c r="Z393" s="242"/>
      <c r="AA393" s="242"/>
    </row>
    <row r="394">
      <c r="A394" s="242"/>
      <c r="B394" s="242"/>
      <c r="C394" s="13"/>
      <c r="D394" s="242"/>
      <c r="E394" s="242"/>
      <c r="F394" s="242"/>
      <c r="G394" s="242"/>
      <c r="H394" s="13"/>
      <c r="I394" s="13"/>
      <c r="J394" s="13"/>
      <c r="K394" s="13"/>
      <c r="L394" s="242"/>
      <c r="M394" s="242"/>
      <c r="N394" s="242"/>
      <c r="O394" s="242"/>
      <c r="P394" s="242"/>
      <c r="Q394" s="242"/>
      <c r="R394" s="242"/>
      <c r="S394" s="242"/>
      <c r="T394" s="242"/>
      <c r="U394" s="242"/>
      <c r="V394" s="242"/>
      <c r="W394" s="242"/>
      <c r="X394" s="242"/>
      <c r="Y394" s="242"/>
      <c r="Z394" s="242"/>
      <c r="AA394" s="242"/>
    </row>
    <row r="395">
      <c r="A395" s="242"/>
      <c r="B395" s="242"/>
      <c r="C395" s="13"/>
      <c r="D395" s="242"/>
      <c r="E395" s="242"/>
      <c r="F395" s="242"/>
      <c r="G395" s="242"/>
      <c r="H395" s="13"/>
      <c r="I395" s="13"/>
      <c r="J395" s="13"/>
      <c r="K395" s="13"/>
      <c r="L395" s="242"/>
      <c r="M395" s="242"/>
      <c r="N395" s="242"/>
      <c r="O395" s="242"/>
      <c r="P395" s="242"/>
      <c r="Q395" s="242"/>
      <c r="R395" s="242"/>
      <c r="S395" s="242"/>
      <c r="T395" s="242"/>
      <c r="U395" s="242"/>
      <c r="V395" s="242"/>
      <c r="W395" s="242"/>
      <c r="X395" s="242"/>
      <c r="Y395" s="242"/>
      <c r="Z395" s="242"/>
      <c r="AA395" s="242"/>
    </row>
    <row r="396">
      <c r="A396" s="242"/>
      <c r="B396" s="242"/>
      <c r="C396" s="13"/>
      <c r="D396" s="242"/>
      <c r="E396" s="242"/>
      <c r="F396" s="242"/>
      <c r="G396" s="242"/>
      <c r="H396" s="13"/>
      <c r="I396" s="13"/>
      <c r="J396" s="13"/>
      <c r="K396" s="13"/>
      <c r="L396" s="242"/>
      <c r="M396" s="242"/>
      <c r="N396" s="242"/>
      <c r="O396" s="242"/>
      <c r="P396" s="242"/>
      <c r="Q396" s="242"/>
      <c r="R396" s="242"/>
      <c r="S396" s="242"/>
      <c r="T396" s="242"/>
      <c r="U396" s="242"/>
      <c r="V396" s="242"/>
      <c r="W396" s="242"/>
      <c r="X396" s="242"/>
      <c r="Y396" s="242"/>
      <c r="Z396" s="242"/>
      <c r="AA396" s="242"/>
    </row>
    <row r="397">
      <c r="A397" s="242"/>
      <c r="B397" s="242"/>
      <c r="C397" s="13"/>
      <c r="D397" s="242"/>
      <c r="E397" s="242"/>
      <c r="F397" s="242"/>
      <c r="G397" s="242"/>
      <c r="H397" s="13"/>
      <c r="I397" s="13"/>
      <c r="J397" s="13"/>
      <c r="K397" s="13"/>
      <c r="L397" s="242"/>
      <c r="M397" s="242"/>
      <c r="N397" s="242"/>
      <c r="O397" s="242"/>
      <c r="P397" s="242"/>
      <c r="Q397" s="242"/>
      <c r="R397" s="242"/>
      <c r="S397" s="242"/>
      <c r="T397" s="242"/>
      <c r="U397" s="242"/>
      <c r="V397" s="242"/>
      <c r="W397" s="242"/>
      <c r="X397" s="242"/>
      <c r="Y397" s="242"/>
      <c r="Z397" s="242"/>
      <c r="AA397" s="242"/>
    </row>
    <row r="398">
      <c r="A398" s="242"/>
      <c r="B398" s="242"/>
      <c r="C398" s="13"/>
      <c r="D398" s="242"/>
      <c r="E398" s="242"/>
      <c r="F398" s="242"/>
      <c r="G398" s="242"/>
      <c r="H398" s="13"/>
      <c r="I398" s="13"/>
      <c r="J398" s="13"/>
      <c r="K398" s="13"/>
      <c r="L398" s="242"/>
      <c r="M398" s="242"/>
      <c r="N398" s="242"/>
      <c r="O398" s="242"/>
      <c r="P398" s="242"/>
      <c r="Q398" s="242"/>
      <c r="R398" s="242"/>
      <c r="S398" s="242"/>
      <c r="T398" s="242"/>
      <c r="U398" s="242"/>
      <c r="V398" s="242"/>
      <c r="W398" s="242"/>
      <c r="X398" s="242"/>
      <c r="Y398" s="242"/>
      <c r="Z398" s="242"/>
      <c r="AA398" s="242"/>
    </row>
    <row r="399">
      <c r="A399" s="242"/>
      <c r="B399" s="242"/>
      <c r="C399" s="13"/>
      <c r="D399" s="242"/>
      <c r="E399" s="242"/>
      <c r="F399" s="242"/>
      <c r="G399" s="242"/>
      <c r="H399" s="13"/>
      <c r="I399" s="13"/>
      <c r="J399" s="13"/>
      <c r="K399" s="13"/>
      <c r="L399" s="242"/>
      <c r="M399" s="242"/>
      <c r="N399" s="242"/>
      <c r="O399" s="242"/>
      <c r="P399" s="242"/>
      <c r="Q399" s="242"/>
      <c r="R399" s="242"/>
      <c r="S399" s="242"/>
      <c r="T399" s="242"/>
      <c r="U399" s="242"/>
      <c r="V399" s="242"/>
      <c r="W399" s="242"/>
      <c r="X399" s="242"/>
      <c r="Y399" s="242"/>
      <c r="Z399" s="242"/>
      <c r="AA399" s="242"/>
    </row>
    <row r="400">
      <c r="A400" s="242"/>
      <c r="B400" s="242"/>
      <c r="C400" s="13"/>
      <c r="D400" s="242"/>
      <c r="E400" s="242"/>
      <c r="F400" s="242"/>
      <c r="G400" s="242"/>
      <c r="H400" s="13"/>
      <c r="I400" s="13"/>
      <c r="J400" s="13"/>
      <c r="K400" s="13"/>
      <c r="L400" s="242"/>
      <c r="M400" s="242"/>
      <c r="N400" s="242"/>
      <c r="O400" s="242"/>
      <c r="P400" s="242"/>
      <c r="Q400" s="242"/>
      <c r="R400" s="242"/>
      <c r="S400" s="242"/>
      <c r="T400" s="242"/>
      <c r="U400" s="242"/>
      <c r="V400" s="242"/>
      <c r="W400" s="242"/>
      <c r="X400" s="242"/>
      <c r="Y400" s="242"/>
      <c r="Z400" s="242"/>
      <c r="AA400" s="242"/>
    </row>
    <row r="401">
      <c r="A401" s="242"/>
      <c r="B401" s="242"/>
      <c r="C401" s="13"/>
      <c r="D401" s="242"/>
      <c r="E401" s="242"/>
      <c r="F401" s="242"/>
      <c r="G401" s="242"/>
      <c r="H401" s="13"/>
      <c r="I401" s="13"/>
      <c r="J401" s="13"/>
      <c r="K401" s="13"/>
      <c r="L401" s="242"/>
      <c r="M401" s="242"/>
      <c r="N401" s="242"/>
      <c r="O401" s="242"/>
      <c r="P401" s="242"/>
      <c r="Q401" s="242"/>
      <c r="R401" s="242"/>
      <c r="S401" s="242"/>
      <c r="T401" s="242"/>
      <c r="U401" s="242"/>
      <c r="V401" s="242"/>
      <c r="W401" s="242"/>
      <c r="X401" s="242"/>
      <c r="Y401" s="242"/>
      <c r="Z401" s="242"/>
      <c r="AA401" s="242"/>
    </row>
    <row r="402">
      <c r="A402" s="242"/>
      <c r="B402" s="242"/>
      <c r="C402" s="13"/>
      <c r="D402" s="242"/>
      <c r="E402" s="242"/>
      <c r="F402" s="242"/>
      <c r="G402" s="242"/>
      <c r="H402" s="13"/>
      <c r="I402" s="13"/>
      <c r="J402" s="13"/>
      <c r="K402" s="13"/>
      <c r="L402" s="242"/>
      <c r="M402" s="242"/>
      <c r="N402" s="242"/>
      <c r="O402" s="242"/>
      <c r="P402" s="242"/>
      <c r="Q402" s="242"/>
      <c r="R402" s="242"/>
      <c r="S402" s="242"/>
      <c r="T402" s="242"/>
      <c r="U402" s="242"/>
      <c r="V402" s="242"/>
      <c r="W402" s="242"/>
      <c r="X402" s="242"/>
      <c r="Y402" s="242"/>
      <c r="Z402" s="242"/>
      <c r="AA402" s="242"/>
    </row>
    <row r="403">
      <c r="A403" s="242"/>
      <c r="B403" s="242"/>
      <c r="C403" s="13"/>
      <c r="D403" s="242"/>
      <c r="E403" s="242"/>
      <c r="F403" s="242"/>
      <c r="G403" s="242"/>
      <c r="H403" s="13"/>
      <c r="I403" s="13"/>
      <c r="J403" s="13"/>
      <c r="K403" s="13"/>
      <c r="L403" s="242"/>
      <c r="M403" s="242"/>
      <c r="N403" s="242"/>
      <c r="O403" s="242"/>
      <c r="P403" s="242"/>
      <c r="Q403" s="242"/>
      <c r="R403" s="242"/>
      <c r="S403" s="242"/>
      <c r="T403" s="242"/>
      <c r="U403" s="242"/>
      <c r="V403" s="242"/>
      <c r="W403" s="242"/>
      <c r="X403" s="242"/>
      <c r="Y403" s="242"/>
      <c r="Z403" s="242"/>
      <c r="AA403" s="242"/>
    </row>
    <row r="404">
      <c r="A404" s="242"/>
      <c r="B404" s="242"/>
      <c r="C404" s="13"/>
      <c r="D404" s="242"/>
      <c r="E404" s="242"/>
      <c r="F404" s="242"/>
      <c r="G404" s="242"/>
      <c r="H404" s="13"/>
      <c r="I404" s="13"/>
      <c r="J404" s="13"/>
      <c r="K404" s="13"/>
      <c r="L404" s="242"/>
      <c r="M404" s="242"/>
      <c r="N404" s="242"/>
      <c r="O404" s="242"/>
      <c r="P404" s="242"/>
      <c r="Q404" s="242"/>
      <c r="R404" s="242"/>
      <c r="S404" s="242"/>
      <c r="T404" s="242"/>
      <c r="U404" s="242"/>
      <c r="V404" s="242"/>
      <c r="W404" s="242"/>
      <c r="X404" s="242"/>
      <c r="Y404" s="242"/>
      <c r="Z404" s="242"/>
      <c r="AA404" s="242"/>
    </row>
    <row r="405">
      <c r="A405" s="242"/>
      <c r="B405" s="242"/>
      <c r="C405" s="13"/>
      <c r="D405" s="242"/>
      <c r="E405" s="242"/>
      <c r="F405" s="242"/>
      <c r="G405" s="242"/>
      <c r="H405" s="13"/>
      <c r="I405" s="13"/>
      <c r="J405" s="13"/>
      <c r="K405" s="13"/>
      <c r="L405" s="242"/>
      <c r="M405" s="242"/>
      <c r="N405" s="242"/>
      <c r="O405" s="242"/>
      <c r="P405" s="242"/>
      <c r="Q405" s="242"/>
      <c r="R405" s="242"/>
      <c r="S405" s="242"/>
      <c r="T405" s="242"/>
      <c r="U405" s="242"/>
      <c r="V405" s="242"/>
      <c r="W405" s="242"/>
      <c r="X405" s="242"/>
      <c r="Y405" s="242"/>
      <c r="Z405" s="242"/>
      <c r="AA405" s="242"/>
    </row>
    <row r="406">
      <c r="A406" s="242"/>
      <c r="B406" s="242"/>
      <c r="C406" s="13"/>
      <c r="D406" s="242"/>
      <c r="E406" s="242"/>
      <c r="F406" s="242"/>
      <c r="G406" s="242"/>
      <c r="H406" s="13"/>
      <c r="I406" s="13"/>
      <c r="J406" s="13"/>
      <c r="K406" s="13"/>
      <c r="L406" s="242"/>
      <c r="M406" s="242"/>
      <c r="N406" s="242"/>
      <c r="O406" s="242"/>
      <c r="P406" s="242"/>
      <c r="Q406" s="242"/>
      <c r="R406" s="242"/>
      <c r="S406" s="242"/>
      <c r="T406" s="242"/>
      <c r="U406" s="242"/>
      <c r="V406" s="242"/>
      <c r="W406" s="242"/>
      <c r="X406" s="242"/>
      <c r="Y406" s="242"/>
      <c r="Z406" s="242"/>
      <c r="AA406" s="242"/>
    </row>
    <row r="407">
      <c r="A407" s="242"/>
      <c r="B407" s="242"/>
      <c r="C407" s="13"/>
      <c r="D407" s="242"/>
      <c r="E407" s="242"/>
      <c r="F407" s="242"/>
      <c r="G407" s="242"/>
      <c r="H407" s="13"/>
      <c r="I407" s="13"/>
      <c r="J407" s="13"/>
      <c r="K407" s="13"/>
      <c r="L407" s="242"/>
      <c r="M407" s="242"/>
      <c r="N407" s="242"/>
      <c r="O407" s="242"/>
      <c r="P407" s="242"/>
      <c r="Q407" s="242"/>
      <c r="R407" s="242"/>
      <c r="S407" s="242"/>
      <c r="T407" s="242"/>
      <c r="U407" s="242"/>
      <c r="V407" s="242"/>
      <c r="W407" s="242"/>
      <c r="X407" s="242"/>
      <c r="Y407" s="242"/>
      <c r="Z407" s="242"/>
      <c r="AA407" s="242"/>
    </row>
    <row r="408">
      <c r="A408" s="242"/>
      <c r="B408" s="242"/>
      <c r="C408" s="13"/>
      <c r="D408" s="242"/>
      <c r="E408" s="242"/>
      <c r="F408" s="242"/>
      <c r="G408" s="242"/>
      <c r="H408" s="13"/>
      <c r="I408" s="13"/>
      <c r="J408" s="13"/>
      <c r="K408" s="13"/>
      <c r="L408" s="242"/>
      <c r="M408" s="242"/>
      <c r="N408" s="242"/>
      <c r="O408" s="242"/>
      <c r="P408" s="242"/>
      <c r="Q408" s="242"/>
      <c r="R408" s="242"/>
      <c r="S408" s="242"/>
      <c r="T408" s="242"/>
      <c r="U408" s="242"/>
      <c r="V408" s="242"/>
      <c r="W408" s="242"/>
      <c r="X408" s="242"/>
      <c r="Y408" s="242"/>
      <c r="Z408" s="242"/>
      <c r="AA408" s="242"/>
    </row>
    <row r="409">
      <c r="A409" s="242"/>
      <c r="B409" s="242"/>
      <c r="C409" s="13"/>
      <c r="D409" s="242"/>
      <c r="E409" s="242"/>
      <c r="F409" s="242"/>
      <c r="G409" s="242"/>
      <c r="H409" s="13"/>
      <c r="I409" s="13"/>
      <c r="J409" s="13"/>
      <c r="K409" s="13"/>
      <c r="L409" s="242"/>
      <c r="M409" s="242"/>
      <c r="N409" s="242"/>
      <c r="O409" s="242"/>
      <c r="P409" s="242"/>
      <c r="Q409" s="242"/>
      <c r="R409" s="242"/>
      <c r="S409" s="242"/>
      <c r="T409" s="242"/>
      <c r="U409" s="242"/>
      <c r="V409" s="242"/>
      <c r="W409" s="242"/>
      <c r="X409" s="242"/>
      <c r="Y409" s="242"/>
      <c r="Z409" s="242"/>
      <c r="AA409" s="242"/>
    </row>
    <row r="410">
      <c r="A410" s="242"/>
      <c r="B410" s="242"/>
      <c r="C410" s="13"/>
      <c r="D410" s="242"/>
      <c r="E410" s="242"/>
      <c r="F410" s="242"/>
      <c r="G410" s="242"/>
      <c r="H410" s="13"/>
      <c r="I410" s="13"/>
      <c r="J410" s="13"/>
      <c r="K410" s="13"/>
      <c r="L410" s="242"/>
      <c r="M410" s="242"/>
      <c r="N410" s="242"/>
      <c r="O410" s="242"/>
      <c r="P410" s="242"/>
      <c r="Q410" s="242"/>
      <c r="R410" s="242"/>
      <c r="S410" s="242"/>
      <c r="T410" s="242"/>
      <c r="U410" s="242"/>
      <c r="V410" s="242"/>
      <c r="W410" s="242"/>
      <c r="X410" s="242"/>
      <c r="Y410" s="242"/>
      <c r="Z410" s="242"/>
      <c r="AA410" s="242"/>
    </row>
    <row r="411">
      <c r="A411" s="242"/>
      <c r="B411" s="242"/>
      <c r="C411" s="13"/>
      <c r="D411" s="242"/>
      <c r="E411" s="242"/>
      <c r="F411" s="242"/>
      <c r="G411" s="242"/>
      <c r="H411" s="13"/>
      <c r="I411" s="13"/>
      <c r="J411" s="13"/>
      <c r="K411" s="13"/>
      <c r="L411" s="242"/>
      <c r="M411" s="242"/>
      <c r="N411" s="242"/>
      <c r="O411" s="242"/>
      <c r="P411" s="242"/>
      <c r="Q411" s="242"/>
      <c r="R411" s="242"/>
      <c r="S411" s="242"/>
      <c r="T411" s="242"/>
      <c r="U411" s="242"/>
      <c r="V411" s="242"/>
      <c r="W411" s="242"/>
      <c r="X411" s="242"/>
      <c r="Y411" s="242"/>
      <c r="Z411" s="242"/>
      <c r="AA411" s="242"/>
    </row>
    <row r="412">
      <c r="A412" s="242"/>
      <c r="B412" s="242"/>
      <c r="C412" s="13"/>
      <c r="D412" s="242"/>
      <c r="E412" s="242"/>
      <c r="F412" s="242"/>
      <c r="G412" s="242"/>
      <c r="H412" s="13"/>
      <c r="I412" s="13"/>
      <c r="J412" s="13"/>
      <c r="K412" s="13"/>
      <c r="L412" s="242"/>
      <c r="M412" s="242"/>
      <c r="N412" s="242"/>
      <c r="O412" s="242"/>
      <c r="P412" s="242"/>
      <c r="Q412" s="242"/>
      <c r="R412" s="242"/>
      <c r="S412" s="242"/>
      <c r="T412" s="242"/>
      <c r="U412" s="242"/>
      <c r="V412" s="242"/>
      <c r="W412" s="242"/>
      <c r="X412" s="242"/>
      <c r="Y412" s="242"/>
      <c r="Z412" s="242"/>
      <c r="AA412" s="242"/>
    </row>
    <row r="413">
      <c r="A413" s="242"/>
      <c r="B413" s="242"/>
      <c r="C413" s="13"/>
      <c r="D413" s="242"/>
      <c r="E413" s="242"/>
      <c r="F413" s="242"/>
      <c r="G413" s="242"/>
      <c r="H413" s="13"/>
      <c r="I413" s="13"/>
      <c r="J413" s="13"/>
      <c r="K413" s="13"/>
      <c r="L413" s="242"/>
      <c r="M413" s="242"/>
      <c r="N413" s="242"/>
      <c r="O413" s="242"/>
      <c r="P413" s="242"/>
      <c r="Q413" s="242"/>
      <c r="R413" s="242"/>
      <c r="S413" s="242"/>
      <c r="T413" s="242"/>
      <c r="U413" s="242"/>
      <c r="V413" s="242"/>
      <c r="W413" s="242"/>
      <c r="X413" s="242"/>
      <c r="Y413" s="242"/>
      <c r="Z413" s="242"/>
      <c r="AA413" s="242"/>
    </row>
    <row r="414">
      <c r="A414" s="242"/>
      <c r="B414" s="242"/>
      <c r="C414" s="13"/>
      <c r="D414" s="242"/>
      <c r="E414" s="242"/>
      <c r="F414" s="242"/>
      <c r="G414" s="242"/>
      <c r="H414" s="13"/>
      <c r="I414" s="13"/>
      <c r="J414" s="13"/>
      <c r="K414" s="13"/>
      <c r="L414" s="242"/>
      <c r="M414" s="242"/>
      <c r="N414" s="242"/>
      <c r="O414" s="242"/>
      <c r="P414" s="242"/>
      <c r="Q414" s="242"/>
      <c r="R414" s="242"/>
      <c r="S414" s="242"/>
      <c r="T414" s="242"/>
      <c r="U414" s="242"/>
      <c r="V414" s="242"/>
      <c r="W414" s="242"/>
      <c r="X414" s="242"/>
      <c r="Y414" s="242"/>
      <c r="Z414" s="242"/>
      <c r="AA414" s="242"/>
    </row>
    <row r="415">
      <c r="A415" s="242"/>
      <c r="B415" s="242"/>
      <c r="C415" s="13"/>
      <c r="D415" s="242"/>
      <c r="E415" s="242"/>
      <c r="F415" s="242"/>
      <c r="G415" s="242"/>
      <c r="H415" s="13"/>
      <c r="I415" s="13"/>
      <c r="J415" s="13"/>
      <c r="K415" s="13"/>
      <c r="L415" s="242"/>
      <c r="M415" s="242"/>
      <c r="N415" s="242"/>
      <c r="O415" s="242"/>
      <c r="P415" s="242"/>
      <c r="Q415" s="242"/>
      <c r="R415" s="242"/>
      <c r="S415" s="242"/>
      <c r="T415" s="242"/>
      <c r="U415" s="242"/>
      <c r="V415" s="242"/>
      <c r="W415" s="242"/>
      <c r="X415" s="242"/>
      <c r="Y415" s="242"/>
      <c r="Z415" s="242"/>
      <c r="AA415" s="242"/>
    </row>
    <row r="416">
      <c r="A416" s="242"/>
      <c r="B416" s="242"/>
      <c r="C416" s="13"/>
      <c r="D416" s="242"/>
      <c r="E416" s="242"/>
      <c r="F416" s="242"/>
      <c r="G416" s="242"/>
      <c r="H416" s="13"/>
      <c r="I416" s="13"/>
      <c r="J416" s="13"/>
      <c r="K416" s="13"/>
      <c r="L416" s="242"/>
      <c r="M416" s="242"/>
      <c r="N416" s="242"/>
      <c r="O416" s="242"/>
      <c r="P416" s="242"/>
      <c r="Q416" s="242"/>
      <c r="R416" s="242"/>
      <c r="S416" s="242"/>
      <c r="T416" s="242"/>
      <c r="U416" s="242"/>
      <c r="V416" s="242"/>
      <c r="W416" s="242"/>
      <c r="X416" s="242"/>
      <c r="Y416" s="242"/>
      <c r="Z416" s="242"/>
      <c r="AA416" s="242"/>
    </row>
    <row r="417">
      <c r="A417" s="242"/>
      <c r="B417" s="242"/>
      <c r="C417" s="13"/>
      <c r="D417" s="242"/>
      <c r="E417" s="242"/>
      <c r="F417" s="242"/>
      <c r="G417" s="242"/>
      <c r="H417" s="13"/>
      <c r="I417" s="13"/>
      <c r="J417" s="13"/>
      <c r="K417" s="13"/>
      <c r="L417" s="242"/>
      <c r="M417" s="242"/>
      <c r="N417" s="242"/>
      <c r="O417" s="242"/>
      <c r="P417" s="242"/>
      <c r="Q417" s="242"/>
      <c r="R417" s="242"/>
      <c r="S417" s="242"/>
      <c r="T417" s="242"/>
      <c r="U417" s="242"/>
      <c r="V417" s="242"/>
      <c r="W417" s="242"/>
      <c r="X417" s="242"/>
      <c r="Y417" s="242"/>
      <c r="Z417" s="242"/>
      <c r="AA417" s="242"/>
    </row>
    <row r="418">
      <c r="A418" s="242"/>
      <c r="B418" s="242"/>
      <c r="C418" s="13"/>
      <c r="D418" s="242"/>
      <c r="E418" s="242"/>
      <c r="F418" s="242"/>
      <c r="G418" s="242"/>
      <c r="H418" s="13"/>
      <c r="I418" s="13"/>
      <c r="J418" s="13"/>
      <c r="K418" s="13"/>
      <c r="L418" s="242"/>
      <c r="M418" s="242"/>
      <c r="N418" s="242"/>
      <c r="O418" s="242"/>
      <c r="P418" s="242"/>
      <c r="Q418" s="242"/>
      <c r="R418" s="242"/>
      <c r="S418" s="242"/>
      <c r="T418" s="242"/>
      <c r="U418" s="242"/>
      <c r="V418" s="242"/>
      <c r="W418" s="242"/>
      <c r="X418" s="242"/>
      <c r="Y418" s="242"/>
      <c r="Z418" s="242"/>
      <c r="AA418" s="242"/>
    </row>
    <row r="419">
      <c r="A419" s="242"/>
      <c r="B419" s="242"/>
      <c r="C419" s="13"/>
      <c r="D419" s="242"/>
      <c r="E419" s="242"/>
      <c r="F419" s="242"/>
      <c r="G419" s="242"/>
      <c r="H419" s="13"/>
      <c r="I419" s="13"/>
      <c r="J419" s="13"/>
      <c r="K419" s="13"/>
      <c r="L419" s="242"/>
      <c r="M419" s="242"/>
      <c r="N419" s="242"/>
      <c r="O419" s="242"/>
      <c r="P419" s="242"/>
      <c r="Q419" s="242"/>
      <c r="R419" s="242"/>
      <c r="S419" s="242"/>
      <c r="T419" s="242"/>
      <c r="U419" s="242"/>
      <c r="V419" s="242"/>
      <c r="W419" s="242"/>
      <c r="X419" s="242"/>
      <c r="Y419" s="242"/>
      <c r="Z419" s="242"/>
      <c r="AA419" s="242"/>
    </row>
    <row r="420">
      <c r="A420" s="242"/>
      <c r="B420" s="242"/>
      <c r="C420" s="13"/>
      <c r="D420" s="242"/>
      <c r="E420" s="242"/>
      <c r="F420" s="242"/>
      <c r="G420" s="242"/>
      <c r="H420" s="13"/>
      <c r="I420" s="13"/>
      <c r="J420" s="13"/>
      <c r="K420" s="13"/>
      <c r="L420" s="242"/>
      <c r="M420" s="242"/>
      <c r="N420" s="242"/>
      <c r="O420" s="242"/>
      <c r="P420" s="242"/>
      <c r="Q420" s="242"/>
      <c r="R420" s="242"/>
      <c r="S420" s="242"/>
      <c r="T420" s="242"/>
      <c r="U420" s="242"/>
      <c r="V420" s="242"/>
      <c r="W420" s="242"/>
      <c r="X420" s="242"/>
      <c r="Y420" s="242"/>
      <c r="Z420" s="242"/>
      <c r="AA420" s="242"/>
    </row>
    <row r="421">
      <c r="A421" s="242"/>
      <c r="B421" s="242"/>
      <c r="C421" s="13"/>
      <c r="D421" s="242"/>
      <c r="E421" s="242"/>
      <c r="F421" s="242"/>
      <c r="G421" s="242"/>
      <c r="H421" s="13"/>
      <c r="I421" s="13"/>
      <c r="J421" s="13"/>
      <c r="K421" s="13"/>
      <c r="L421" s="242"/>
      <c r="M421" s="242"/>
      <c r="N421" s="242"/>
      <c r="O421" s="242"/>
      <c r="P421" s="242"/>
      <c r="Q421" s="242"/>
      <c r="R421" s="242"/>
      <c r="S421" s="242"/>
      <c r="T421" s="242"/>
      <c r="U421" s="242"/>
      <c r="V421" s="242"/>
      <c r="W421" s="242"/>
      <c r="X421" s="242"/>
      <c r="Y421" s="242"/>
      <c r="Z421" s="242"/>
      <c r="AA421" s="242"/>
    </row>
    <row r="422">
      <c r="A422" s="242"/>
      <c r="B422" s="242"/>
      <c r="C422" s="13"/>
      <c r="D422" s="242"/>
      <c r="E422" s="242"/>
      <c r="F422" s="242"/>
      <c r="G422" s="242"/>
      <c r="H422" s="13"/>
      <c r="I422" s="13"/>
      <c r="J422" s="13"/>
      <c r="K422" s="13"/>
      <c r="L422" s="242"/>
      <c r="M422" s="242"/>
      <c r="N422" s="242"/>
      <c r="O422" s="242"/>
      <c r="P422" s="242"/>
      <c r="Q422" s="242"/>
      <c r="R422" s="242"/>
      <c r="S422" s="242"/>
      <c r="T422" s="242"/>
      <c r="U422" s="242"/>
      <c r="V422" s="242"/>
      <c r="W422" s="242"/>
      <c r="X422" s="242"/>
      <c r="Y422" s="242"/>
      <c r="Z422" s="242"/>
      <c r="AA422" s="242"/>
    </row>
    <row r="423">
      <c r="A423" s="242"/>
      <c r="B423" s="242"/>
      <c r="C423" s="13"/>
      <c r="D423" s="242"/>
      <c r="E423" s="242"/>
      <c r="F423" s="242"/>
      <c r="G423" s="242"/>
      <c r="H423" s="13"/>
      <c r="I423" s="13"/>
      <c r="J423" s="13"/>
      <c r="K423" s="13"/>
      <c r="L423" s="242"/>
      <c r="M423" s="242"/>
      <c r="N423" s="242"/>
      <c r="O423" s="242"/>
      <c r="P423" s="242"/>
      <c r="Q423" s="242"/>
      <c r="R423" s="242"/>
      <c r="S423" s="242"/>
      <c r="T423" s="242"/>
      <c r="U423" s="242"/>
      <c r="V423" s="242"/>
      <c r="W423" s="242"/>
      <c r="X423" s="242"/>
      <c r="Y423" s="242"/>
      <c r="Z423" s="242"/>
      <c r="AA423" s="242"/>
    </row>
    <row r="424">
      <c r="A424" s="242"/>
      <c r="B424" s="242"/>
      <c r="C424" s="13"/>
      <c r="D424" s="242"/>
      <c r="E424" s="242"/>
      <c r="F424" s="242"/>
      <c r="G424" s="242"/>
      <c r="H424" s="13"/>
      <c r="I424" s="13"/>
      <c r="J424" s="13"/>
      <c r="K424" s="13"/>
      <c r="L424" s="242"/>
      <c r="M424" s="242"/>
      <c r="N424" s="242"/>
      <c r="O424" s="242"/>
      <c r="P424" s="242"/>
      <c r="Q424" s="242"/>
      <c r="R424" s="242"/>
      <c r="S424" s="242"/>
      <c r="T424" s="242"/>
      <c r="U424" s="242"/>
      <c r="V424" s="242"/>
      <c r="W424" s="242"/>
      <c r="X424" s="242"/>
      <c r="Y424" s="242"/>
      <c r="Z424" s="242"/>
      <c r="AA424" s="242"/>
    </row>
    <row r="425">
      <c r="A425" s="242"/>
      <c r="B425" s="242"/>
      <c r="C425" s="13"/>
      <c r="D425" s="242"/>
      <c r="E425" s="242"/>
      <c r="F425" s="242"/>
      <c r="G425" s="242"/>
      <c r="H425" s="13"/>
      <c r="I425" s="13"/>
      <c r="J425" s="13"/>
      <c r="K425" s="13"/>
      <c r="L425" s="242"/>
      <c r="M425" s="242"/>
      <c r="N425" s="242"/>
      <c r="O425" s="242"/>
      <c r="P425" s="242"/>
      <c r="Q425" s="242"/>
      <c r="R425" s="242"/>
      <c r="S425" s="242"/>
      <c r="T425" s="242"/>
      <c r="U425" s="242"/>
      <c r="V425" s="242"/>
      <c r="W425" s="242"/>
      <c r="X425" s="242"/>
      <c r="Y425" s="242"/>
      <c r="Z425" s="242"/>
      <c r="AA425" s="242"/>
    </row>
    <row r="426">
      <c r="A426" s="242"/>
      <c r="B426" s="242"/>
      <c r="C426" s="13"/>
      <c r="D426" s="242"/>
      <c r="E426" s="242"/>
      <c r="F426" s="242"/>
      <c r="G426" s="242"/>
      <c r="H426" s="13"/>
      <c r="I426" s="13"/>
      <c r="J426" s="13"/>
      <c r="K426" s="13"/>
      <c r="L426" s="242"/>
      <c r="M426" s="242"/>
      <c r="N426" s="242"/>
      <c r="O426" s="242"/>
      <c r="P426" s="242"/>
      <c r="Q426" s="242"/>
      <c r="R426" s="242"/>
      <c r="S426" s="242"/>
      <c r="T426" s="242"/>
      <c r="U426" s="242"/>
      <c r="V426" s="242"/>
      <c r="W426" s="242"/>
      <c r="X426" s="242"/>
      <c r="Y426" s="242"/>
      <c r="Z426" s="242"/>
      <c r="AA426" s="242"/>
    </row>
    <row r="427">
      <c r="A427" s="242"/>
      <c r="B427" s="242"/>
      <c r="C427" s="13"/>
      <c r="D427" s="242"/>
      <c r="E427" s="242"/>
      <c r="F427" s="242"/>
      <c r="G427" s="242"/>
      <c r="H427" s="13"/>
      <c r="I427" s="13"/>
      <c r="J427" s="13"/>
      <c r="K427" s="13"/>
      <c r="L427" s="242"/>
      <c r="M427" s="242"/>
      <c r="N427" s="242"/>
      <c r="O427" s="242"/>
      <c r="P427" s="242"/>
      <c r="Q427" s="242"/>
      <c r="R427" s="242"/>
      <c r="S427" s="242"/>
      <c r="T427" s="242"/>
      <c r="U427" s="242"/>
      <c r="V427" s="242"/>
      <c r="W427" s="242"/>
      <c r="X427" s="242"/>
      <c r="Y427" s="242"/>
      <c r="Z427" s="242"/>
      <c r="AA427" s="242"/>
    </row>
    <row r="428">
      <c r="A428" s="242"/>
      <c r="B428" s="242"/>
      <c r="C428" s="13"/>
      <c r="D428" s="242"/>
      <c r="E428" s="242"/>
      <c r="F428" s="242"/>
      <c r="G428" s="242"/>
      <c r="H428" s="13"/>
      <c r="I428" s="13"/>
      <c r="J428" s="13"/>
      <c r="K428" s="13"/>
      <c r="L428" s="242"/>
      <c r="M428" s="242"/>
      <c r="N428" s="242"/>
      <c r="O428" s="242"/>
      <c r="P428" s="242"/>
      <c r="Q428" s="242"/>
      <c r="R428" s="242"/>
      <c r="S428" s="242"/>
      <c r="T428" s="242"/>
      <c r="U428" s="242"/>
      <c r="V428" s="242"/>
      <c r="W428" s="242"/>
      <c r="X428" s="242"/>
      <c r="Y428" s="242"/>
      <c r="Z428" s="242"/>
      <c r="AA428" s="242"/>
    </row>
    <row r="429">
      <c r="A429" s="242"/>
      <c r="B429" s="242"/>
      <c r="C429" s="13"/>
      <c r="D429" s="242"/>
      <c r="E429" s="242"/>
      <c r="F429" s="242"/>
      <c r="G429" s="242"/>
      <c r="H429" s="13"/>
      <c r="I429" s="13"/>
      <c r="J429" s="13"/>
      <c r="K429" s="13"/>
      <c r="L429" s="242"/>
      <c r="M429" s="242"/>
      <c r="N429" s="242"/>
      <c r="O429" s="242"/>
      <c r="P429" s="242"/>
      <c r="Q429" s="242"/>
      <c r="R429" s="242"/>
      <c r="S429" s="242"/>
      <c r="T429" s="242"/>
      <c r="U429" s="242"/>
      <c r="V429" s="242"/>
      <c r="W429" s="242"/>
      <c r="X429" s="242"/>
      <c r="Y429" s="242"/>
      <c r="Z429" s="242"/>
      <c r="AA429" s="242"/>
    </row>
    <row r="430">
      <c r="A430" s="242"/>
      <c r="B430" s="242"/>
      <c r="C430" s="13"/>
      <c r="D430" s="242"/>
      <c r="E430" s="242"/>
      <c r="F430" s="242"/>
      <c r="G430" s="242"/>
      <c r="H430" s="13"/>
      <c r="I430" s="13"/>
      <c r="J430" s="13"/>
      <c r="K430" s="13"/>
      <c r="L430" s="242"/>
      <c r="M430" s="242"/>
      <c r="N430" s="242"/>
      <c r="O430" s="242"/>
      <c r="P430" s="242"/>
      <c r="Q430" s="242"/>
      <c r="R430" s="242"/>
      <c r="S430" s="242"/>
      <c r="T430" s="242"/>
      <c r="U430" s="242"/>
      <c r="V430" s="242"/>
      <c r="W430" s="242"/>
      <c r="X430" s="242"/>
      <c r="Y430" s="242"/>
      <c r="Z430" s="242"/>
      <c r="AA430" s="242"/>
    </row>
    <row r="431">
      <c r="A431" s="242"/>
      <c r="B431" s="242"/>
      <c r="C431" s="13"/>
      <c r="D431" s="242"/>
      <c r="E431" s="242"/>
      <c r="F431" s="242"/>
      <c r="G431" s="242"/>
      <c r="H431" s="13"/>
      <c r="I431" s="13"/>
      <c r="J431" s="13"/>
      <c r="K431" s="13"/>
      <c r="L431" s="242"/>
      <c r="M431" s="242"/>
      <c r="N431" s="242"/>
      <c r="O431" s="242"/>
      <c r="P431" s="242"/>
      <c r="Q431" s="242"/>
      <c r="R431" s="242"/>
      <c r="S431" s="242"/>
      <c r="T431" s="242"/>
      <c r="U431" s="242"/>
      <c r="V431" s="242"/>
      <c r="W431" s="242"/>
      <c r="X431" s="242"/>
      <c r="Y431" s="242"/>
      <c r="Z431" s="242"/>
      <c r="AA431" s="242"/>
    </row>
    <row r="432">
      <c r="A432" s="242"/>
      <c r="B432" s="242"/>
      <c r="C432" s="13"/>
      <c r="D432" s="242"/>
      <c r="E432" s="242"/>
      <c r="F432" s="242"/>
      <c r="G432" s="242"/>
      <c r="H432" s="13"/>
      <c r="I432" s="13"/>
      <c r="J432" s="13"/>
      <c r="K432" s="13"/>
      <c r="L432" s="242"/>
      <c r="M432" s="242"/>
      <c r="N432" s="242"/>
      <c r="O432" s="242"/>
      <c r="P432" s="242"/>
      <c r="Q432" s="242"/>
      <c r="R432" s="242"/>
      <c r="S432" s="242"/>
      <c r="T432" s="242"/>
      <c r="U432" s="242"/>
      <c r="V432" s="242"/>
      <c r="W432" s="242"/>
      <c r="X432" s="242"/>
      <c r="Y432" s="242"/>
      <c r="Z432" s="242"/>
      <c r="AA432" s="242"/>
    </row>
    <row r="433">
      <c r="A433" s="242"/>
      <c r="B433" s="242"/>
      <c r="C433" s="13"/>
      <c r="D433" s="242"/>
      <c r="E433" s="242"/>
      <c r="F433" s="242"/>
      <c r="G433" s="242"/>
      <c r="H433" s="13"/>
      <c r="I433" s="13"/>
      <c r="J433" s="13"/>
      <c r="K433" s="13"/>
      <c r="L433" s="242"/>
      <c r="M433" s="242"/>
      <c r="N433" s="242"/>
      <c r="O433" s="242"/>
      <c r="P433" s="242"/>
      <c r="Q433" s="242"/>
      <c r="R433" s="242"/>
      <c r="S433" s="242"/>
      <c r="T433" s="242"/>
      <c r="U433" s="242"/>
      <c r="V433" s="242"/>
      <c r="W433" s="242"/>
      <c r="X433" s="242"/>
      <c r="Y433" s="242"/>
      <c r="Z433" s="242"/>
      <c r="AA433" s="242"/>
    </row>
    <row r="434">
      <c r="A434" s="242"/>
      <c r="B434" s="242"/>
      <c r="C434" s="13"/>
      <c r="D434" s="242"/>
      <c r="E434" s="242"/>
      <c r="F434" s="242"/>
      <c r="G434" s="242"/>
      <c r="H434" s="13"/>
      <c r="I434" s="13"/>
      <c r="J434" s="13"/>
      <c r="K434" s="13"/>
      <c r="L434" s="242"/>
      <c r="M434" s="242"/>
      <c r="N434" s="242"/>
      <c r="O434" s="242"/>
      <c r="P434" s="242"/>
      <c r="Q434" s="242"/>
      <c r="R434" s="242"/>
      <c r="S434" s="242"/>
      <c r="T434" s="242"/>
      <c r="U434" s="242"/>
      <c r="V434" s="242"/>
      <c r="W434" s="242"/>
      <c r="X434" s="242"/>
      <c r="Y434" s="242"/>
      <c r="Z434" s="242"/>
      <c r="AA434" s="242"/>
    </row>
    <row r="435">
      <c r="A435" s="242"/>
      <c r="B435" s="242"/>
      <c r="C435" s="13"/>
      <c r="D435" s="242"/>
      <c r="E435" s="242"/>
      <c r="F435" s="242"/>
      <c r="G435" s="242"/>
      <c r="H435" s="13"/>
      <c r="I435" s="13"/>
      <c r="J435" s="13"/>
      <c r="K435" s="13"/>
      <c r="L435" s="242"/>
      <c r="M435" s="242"/>
      <c r="N435" s="242"/>
      <c r="O435" s="242"/>
      <c r="P435" s="242"/>
      <c r="Q435" s="242"/>
      <c r="R435" s="242"/>
      <c r="S435" s="242"/>
      <c r="T435" s="242"/>
      <c r="U435" s="242"/>
      <c r="V435" s="242"/>
      <c r="W435" s="242"/>
      <c r="X435" s="242"/>
      <c r="Y435" s="242"/>
      <c r="Z435" s="242"/>
      <c r="AA435" s="242"/>
    </row>
    <row r="436">
      <c r="A436" s="242"/>
      <c r="B436" s="242"/>
      <c r="C436" s="13"/>
      <c r="D436" s="242"/>
      <c r="E436" s="242"/>
      <c r="F436" s="242"/>
      <c r="G436" s="242"/>
      <c r="H436" s="13"/>
      <c r="I436" s="13"/>
      <c r="J436" s="13"/>
      <c r="K436" s="13"/>
      <c r="L436" s="242"/>
      <c r="M436" s="242"/>
      <c r="N436" s="242"/>
      <c r="O436" s="242"/>
      <c r="P436" s="242"/>
      <c r="Q436" s="242"/>
      <c r="R436" s="242"/>
      <c r="S436" s="242"/>
      <c r="T436" s="242"/>
      <c r="U436" s="242"/>
      <c r="V436" s="242"/>
      <c r="W436" s="242"/>
      <c r="X436" s="242"/>
      <c r="Y436" s="242"/>
      <c r="Z436" s="242"/>
      <c r="AA436" s="242"/>
    </row>
    <row r="437">
      <c r="A437" s="242"/>
      <c r="B437" s="242"/>
      <c r="C437" s="13"/>
      <c r="D437" s="242"/>
      <c r="E437" s="242"/>
      <c r="F437" s="242"/>
      <c r="G437" s="242"/>
      <c r="H437" s="13"/>
      <c r="I437" s="13"/>
      <c r="J437" s="13"/>
      <c r="K437" s="13"/>
      <c r="L437" s="242"/>
      <c r="M437" s="242"/>
      <c r="N437" s="242"/>
      <c r="O437" s="242"/>
      <c r="P437" s="242"/>
      <c r="Q437" s="242"/>
      <c r="R437" s="242"/>
      <c r="S437" s="242"/>
      <c r="T437" s="242"/>
      <c r="U437" s="242"/>
      <c r="V437" s="242"/>
      <c r="W437" s="242"/>
      <c r="X437" s="242"/>
      <c r="Y437" s="242"/>
      <c r="Z437" s="242"/>
      <c r="AA437" s="242"/>
    </row>
    <row r="438">
      <c r="A438" s="242"/>
      <c r="B438" s="242"/>
      <c r="C438" s="13"/>
      <c r="D438" s="242"/>
      <c r="E438" s="242"/>
      <c r="F438" s="242"/>
      <c r="G438" s="242"/>
      <c r="H438" s="13"/>
      <c r="I438" s="13"/>
      <c r="J438" s="13"/>
      <c r="K438" s="13"/>
      <c r="L438" s="242"/>
      <c r="M438" s="242"/>
      <c r="N438" s="242"/>
      <c r="O438" s="242"/>
      <c r="P438" s="242"/>
      <c r="Q438" s="242"/>
      <c r="R438" s="242"/>
      <c r="S438" s="242"/>
      <c r="T438" s="242"/>
      <c r="U438" s="242"/>
      <c r="V438" s="242"/>
      <c r="W438" s="242"/>
      <c r="X438" s="242"/>
      <c r="Y438" s="242"/>
      <c r="Z438" s="242"/>
      <c r="AA438" s="242"/>
    </row>
    <row r="439">
      <c r="A439" s="242"/>
      <c r="B439" s="242"/>
      <c r="C439" s="13"/>
      <c r="D439" s="242"/>
      <c r="E439" s="242"/>
      <c r="F439" s="242"/>
      <c r="G439" s="242"/>
      <c r="H439" s="13"/>
      <c r="I439" s="13"/>
      <c r="J439" s="13"/>
      <c r="K439" s="13"/>
      <c r="L439" s="242"/>
      <c r="M439" s="242"/>
      <c r="N439" s="242"/>
      <c r="O439" s="242"/>
      <c r="P439" s="242"/>
      <c r="Q439" s="242"/>
      <c r="R439" s="242"/>
      <c r="S439" s="242"/>
      <c r="T439" s="242"/>
      <c r="U439" s="242"/>
      <c r="V439" s="242"/>
      <c r="W439" s="242"/>
      <c r="X439" s="242"/>
      <c r="Y439" s="242"/>
      <c r="Z439" s="242"/>
      <c r="AA439" s="242"/>
    </row>
    <row r="440">
      <c r="A440" s="242"/>
      <c r="B440" s="242"/>
      <c r="C440" s="13"/>
      <c r="D440" s="242"/>
      <c r="E440" s="242"/>
      <c r="F440" s="242"/>
      <c r="G440" s="242"/>
      <c r="H440" s="13"/>
      <c r="I440" s="13"/>
      <c r="J440" s="13"/>
      <c r="K440" s="13"/>
      <c r="L440" s="242"/>
      <c r="M440" s="242"/>
      <c r="N440" s="242"/>
      <c r="O440" s="242"/>
      <c r="P440" s="242"/>
      <c r="Q440" s="242"/>
      <c r="R440" s="242"/>
      <c r="S440" s="242"/>
      <c r="T440" s="242"/>
      <c r="U440" s="242"/>
      <c r="V440" s="242"/>
      <c r="W440" s="242"/>
      <c r="X440" s="242"/>
      <c r="Y440" s="242"/>
      <c r="Z440" s="242"/>
      <c r="AA440" s="242"/>
    </row>
    <row r="441">
      <c r="A441" s="242"/>
      <c r="B441" s="242"/>
      <c r="C441" s="13"/>
      <c r="D441" s="242"/>
      <c r="E441" s="242"/>
      <c r="F441" s="242"/>
      <c r="G441" s="242"/>
      <c r="H441" s="13"/>
      <c r="I441" s="13"/>
      <c r="J441" s="13"/>
      <c r="K441" s="13"/>
      <c r="L441" s="242"/>
      <c r="M441" s="242"/>
      <c r="N441" s="242"/>
      <c r="O441" s="242"/>
      <c r="P441" s="242"/>
      <c r="Q441" s="242"/>
      <c r="R441" s="242"/>
      <c r="S441" s="242"/>
      <c r="T441" s="242"/>
      <c r="U441" s="242"/>
      <c r="V441" s="242"/>
      <c r="W441" s="242"/>
      <c r="X441" s="242"/>
      <c r="Y441" s="242"/>
      <c r="Z441" s="242"/>
      <c r="AA441" s="242"/>
    </row>
    <row r="442">
      <c r="A442" s="242"/>
      <c r="B442" s="242"/>
      <c r="C442" s="13"/>
      <c r="D442" s="242"/>
      <c r="E442" s="242"/>
      <c r="F442" s="242"/>
      <c r="G442" s="242"/>
      <c r="H442" s="13"/>
      <c r="I442" s="13"/>
      <c r="J442" s="13"/>
      <c r="K442" s="13"/>
      <c r="L442" s="242"/>
      <c r="M442" s="242"/>
      <c r="N442" s="242"/>
      <c r="O442" s="242"/>
      <c r="P442" s="242"/>
      <c r="Q442" s="242"/>
      <c r="R442" s="242"/>
      <c r="S442" s="242"/>
      <c r="T442" s="242"/>
      <c r="U442" s="242"/>
      <c r="V442" s="242"/>
      <c r="W442" s="242"/>
      <c r="X442" s="242"/>
      <c r="Y442" s="242"/>
      <c r="Z442" s="242"/>
      <c r="AA442" s="242"/>
    </row>
    <row r="443">
      <c r="A443" s="242"/>
      <c r="B443" s="242"/>
      <c r="C443" s="13"/>
      <c r="D443" s="242"/>
      <c r="E443" s="242"/>
      <c r="F443" s="242"/>
      <c r="G443" s="242"/>
      <c r="H443" s="13"/>
      <c r="I443" s="13"/>
      <c r="J443" s="13"/>
      <c r="K443" s="13"/>
      <c r="L443" s="242"/>
      <c r="M443" s="242"/>
      <c r="N443" s="242"/>
      <c r="O443" s="242"/>
      <c r="P443" s="242"/>
      <c r="Q443" s="242"/>
      <c r="R443" s="242"/>
      <c r="S443" s="242"/>
      <c r="T443" s="242"/>
      <c r="U443" s="242"/>
      <c r="V443" s="242"/>
      <c r="W443" s="242"/>
      <c r="X443" s="242"/>
      <c r="Y443" s="242"/>
      <c r="Z443" s="242"/>
      <c r="AA443" s="242"/>
    </row>
    <row r="444">
      <c r="A444" s="242"/>
      <c r="B444" s="242"/>
      <c r="C444" s="13"/>
      <c r="D444" s="242"/>
      <c r="E444" s="242"/>
      <c r="F444" s="242"/>
      <c r="G444" s="242"/>
      <c r="H444" s="13"/>
      <c r="I444" s="13"/>
      <c r="J444" s="13"/>
      <c r="K444" s="13"/>
      <c r="L444" s="242"/>
      <c r="M444" s="242"/>
      <c r="N444" s="242"/>
      <c r="O444" s="242"/>
      <c r="P444" s="242"/>
      <c r="Q444" s="242"/>
      <c r="R444" s="242"/>
      <c r="S444" s="242"/>
      <c r="T444" s="242"/>
      <c r="U444" s="242"/>
      <c r="V444" s="242"/>
      <c r="W444" s="242"/>
      <c r="X444" s="242"/>
      <c r="Y444" s="242"/>
      <c r="Z444" s="242"/>
      <c r="AA444" s="242"/>
    </row>
    <row r="445">
      <c r="A445" s="242"/>
      <c r="B445" s="242"/>
      <c r="C445" s="13"/>
      <c r="D445" s="242"/>
      <c r="E445" s="242"/>
      <c r="F445" s="242"/>
      <c r="G445" s="242"/>
      <c r="H445" s="13"/>
      <c r="I445" s="13"/>
      <c r="J445" s="13"/>
      <c r="K445" s="13"/>
      <c r="L445" s="242"/>
      <c r="M445" s="242"/>
      <c r="N445" s="242"/>
      <c r="O445" s="242"/>
      <c r="P445" s="242"/>
      <c r="Q445" s="242"/>
      <c r="R445" s="242"/>
      <c r="S445" s="242"/>
      <c r="T445" s="242"/>
      <c r="U445" s="242"/>
      <c r="V445" s="242"/>
      <c r="W445" s="242"/>
      <c r="X445" s="242"/>
      <c r="Y445" s="242"/>
      <c r="Z445" s="242"/>
      <c r="AA445" s="242"/>
    </row>
    <row r="446">
      <c r="A446" s="242"/>
      <c r="B446" s="242"/>
      <c r="C446" s="13"/>
      <c r="D446" s="242"/>
      <c r="E446" s="242"/>
      <c r="F446" s="242"/>
      <c r="G446" s="242"/>
      <c r="H446" s="13"/>
      <c r="I446" s="13"/>
      <c r="J446" s="13"/>
      <c r="K446" s="13"/>
      <c r="L446" s="242"/>
      <c r="M446" s="242"/>
      <c r="N446" s="242"/>
      <c r="O446" s="242"/>
      <c r="P446" s="242"/>
      <c r="Q446" s="242"/>
      <c r="R446" s="242"/>
      <c r="S446" s="242"/>
      <c r="T446" s="242"/>
      <c r="U446" s="242"/>
      <c r="V446" s="242"/>
      <c r="W446" s="242"/>
      <c r="X446" s="242"/>
      <c r="Y446" s="242"/>
      <c r="Z446" s="242"/>
      <c r="AA446" s="242"/>
    </row>
    <row r="447">
      <c r="A447" s="242"/>
      <c r="B447" s="242"/>
      <c r="C447" s="13"/>
      <c r="D447" s="242"/>
      <c r="E447" s="242"/>
      <c r="F447" s="242"/>
      <c r="G447" s="242"/>
      <c r="H447" s="13"/>
      <c r="I447" s="13"/>
      <c r="J447" s="13"/>
      <c r="K447" s="13"/>
      <c r="L447" s="242"/>
      <c r="M447" s="242"/>
      <c r="N447" s="242"/>
      <c r="O447" s="242"/>
      <c r="P447" s="242"/>
      <c r="Q447" s="242"/>
      <c r="R447" s="242"/>
      <c r="S447" s="242"/>
      <c r="T447" s="242"/>
      <c r="U447" s="242"/>
      <c r="V447" s="242"/>
      <c r="W447" s="242"/>
      <c r="X447" s="242"/>
      <c r="Y447" s="242"/>
      <c r="Z447" s="242"/>
      <c r="AA447" s="242"/>
    </row>
    <row r="448">
      <c r="A448" s="242"/>
      <c r="B448" s="242"/>
      <c r="C448" s="13"/>
      <c r="D448" s="242"/>
      <c r="E448" s="242"/>
      <c r="F448" s="242"/>
      <c r="G448" s="242"/>
      <c r="H448" s="13"/>
      <c r="I448" s="13"/>
      <c r="J448" s="13"/>
      <c r="K448" s="13"/>
      <c r="L448" s="242"/>
      <c r="M448" s="242"/>
      <c r="N448" s="242"/>
      <c r="O448" s="242"/>
      <c r="P448" s="242"/>
      <c r="Q448" s="242"/>
      <c r="R448" s="242"/>
      <c r="S448" s="242"/>
      <c r="T448" s="242"/>
      <c r="U448" s="242"/>
      <c r="V448" s="242"/>
      <c r="W448" s="242"/>
      <c r="X448" s="242"/>
      <c r="Y448" s="242"/>
      <c r="Z448" s="242"/>
      <c r="AA448" s="242"/>
    </row>
    <row r="449">
      <c r="A449" s="242"/>
      <c r="B449" s="242"/>
      <c r="C449" s="13"/>
      <c r="D449" s="242"/>
      <c r="E449" s="242"/>
      <c r="F449" s="242"/>
      <c r="G449" s="242"/>
      <c r="H449" s="13"/>
      <c r="I449" s="13"/>
      <c r="J449" s="13"/>
      <c r="K449" s="13"/>
      <c r="L449" s="242"/>
      <c r="M449" s="242"/>
      <c r="N449" s="242"/>
      <c r="O449" s="242"/>
      <c r="P449" s="242"/>
      <c r="Q449" s="242"/>
      <c r="R449" s="242"/>
      <c r="S449" s="242"/>
      <c r="T449" s="242"/>
      <c r="U449" s="242"/>
      <c r="V449" s="242"/>
      <c r="W449" s="242"/>
      <c r="X449" s="242"/>
      <c r="Y449" s="242"/>
      <c r="Z449" s="242"/>
      <c r="AA449" s="242"/>
    </row>
    <row r="450">
      <c r="A450" s="242"/>
      <c r="B450" s="242"/>
      <c r="C450" s="13"/>
      <c r="D450" s="242"/>
      <c r="E450" s="242"/>
      <c r="F450" s="242"/>
      <c r="G450" s="242"/>
      <c r="H450" s="13"/>
      <c r="I450" s="13"/>
      <c r="J450" s="13"/>
      <c r="K450" s="13"/>
      <c r="L450" s="242"/>
      <c r="M450" s="242"/>
      <c r="N450" s="242"/>
      <c r="O450" s="242"/>
      <c r="P450" s="242"/>
      <c r="Q450" s="242"/>
      <c r="R450" s="242"/>
      <c r="S450" s="242"/>
      <c r="T450" s="242"/>
      <c r="U450" s="242"/>
      <c r="V450" s="242"/>
      <c r="W450" s="242"/>
      <c r="X450" s="242"/>
      <c r="Y450" s="242"/>
      <c r="Z450" s="242"/>
      <c r="AA450" s="242"/>
    </row>
    <row r="451">
      <c r="A451" s="242"/>
      <c r="B451" s="242"/>
      <c r="C451" s="13"/>
      <c r="D451" s="242"/>
      <c r="E451" s="242"/>
      <c r="F451" s="242"/>
      <c r="G451" s="242"/>
      <c r="H451" s="13"/>
      <c r="I451" s="13"/>
      <c r="J451" s="13"/>
      <c r="K451" s="13"/>
      <c r="L451" s="242"/>
      <c r="M451" s="242"/>
      <c r="N451" s="242"/>
      <c r="O451" s="242"/>
      <c r="P451" s="242"/>
      <c r="Q451" s="242"/>
      <c r="R451" s="242"/>
      <c r="S451" s="242"/>
      <c r="T451" s="242"/>
      <c r="U451" s="242"/>
      <c r="V451" s="242"/>
      <c r="W451" s="242"/>
      <c r="X451" s="242"/>
      <c r="Y451" s="242"/>
      <c r="Z451" s="242"/>
      <c r="AA451" s="242"/>
    </row>
    <row r="452">
      <c r="A452" s="242"/>
      <c r="B452" s="242"/>
      <c r="C452" s="13"/>
      <c r="D452" s="242"/>
      <c r="E452" s="242"/>
      <c r="F452" s="242"/>
      <c r="G452" s="242"/>
      <c r="H452" s="13"/>
      <c r="I452" s="13"/>
      <c r="J452" s="13"/>
      <c r="K452" s="13"/>
      <c r="L452" s="242"/>
      <c r="M452" s="242"/>
      <c r="N452" s="242"/>
      <c r="O452" s="242"/>
      <c r="P452" s="242"/>
      <c r="Q452" s="242"/>
      <c r="R452" s="242"/>
      <c r="S452" s="242"/>
      <c r="T452" s="242"/>
      <c r="U452" s="242"/>
      <c r="V452" s="242"/>
      <c r="W452" s="242"/>
      <c r="X452" s="242"/>
      <c r="Y452" s="242"/>
      <c r="Z452" s="242"/>
      <c r="AA452" s="242"/>
    </row>
    <row r="453">
      <c r="A453" s="242"/>
      <c r="B453" s="242"/>
      <c r="C453" s="13"/>
      <c r="D453" s="242"/>
      <c r="E453" s="242"/>
      <c r="F453" s="242"/>
      <c r="G453" s="242"/>
      <c r="H453" s="13"/>
      <c r="I453" s="13"/>
      <c r="J453" s="13"/>
      <c r="K453" s="13"/>
      <c r="L453" s="242"/>
      <c r="M453" s="242"/>
      <c r="N453" s="242"/>
      <c r="O453" s="242"/>
      <c r="P453" s="242"/>
      <c r="Q453" s="242"/>
      <c r="R453" s="242"/>
      <c r="S453" s="242"/>
      <c r="T453" s="242"/>
      <c r="U453" s="242"/>
      <c r="V453" s="242"/>
      <c r="W453" s="242"/>
      <c r="X453" s="242"/>
      <c r="Y453" s="242"/>
      <c r="Z453" s="242"/>
      <c r="AA453" s="242"/>
    </row>
    <row r="454">
      <c r="A454" s="242"/>
      <c r="B454" s="242"/>
      <c r="C454" s="13"/>
      <c r="D454" s="242"/>
      <c r="E454" s="242"/>
      <c r="F454" s="242"/>
      <c r="G454" s="242"/>
      <c r="H454" s="13"/>
      <c r="I454" s="13"/>
      <c r="J454" s="13"/>
      <c r="K454" s="13"/>
      <c r="L454" s="242"/>
      <c r="M454" s="242"/>
      <c r="N454" s="242"/>
      <c r="O454" s="242"/>
      <c r="P454" s="242"/>
      <c r="Q454" s="242"/>
      <c r="R454" s="242"/>
      <c r="S454" s="242"/>
      <c r="T454" s="242"/>
      <c r="U454" s="242"/>
      <c r="V454" s="242"/>
      <c r="W454" s="242"/>
      <c r="X454" s="242"/>
      <c r="Y454" s="242"/>
      <c r="Z454" s="242"/>
      <c r="AA454" s="242"/>
    </row>
    <row r="455">
      <c r="A455" s="242"/>
      <c r="B455" s="242"/>
      <c r="C455" s="13"/>
      <c r="D455" s="242"/>
      <c r="E455" s="242"/>
      <c r="F455" s="242"/>
      <c r="G455" s="242"/>
      <c r="H455" s="13"/>
      <c r="I455" s="13"/>
      <c r="J455" s="13"/>
      <c r="K455" s="13"/>
      <c r="L455" s="242"/>
      <c r="M455" s="242"/>
      <c r="N455" s="242"/>
      <c r="O455" s="242"/>
      <c r="P455" s="242"/>
      <c r="Q455" s="242"/>
      <c r="R455" s="242"/>
      <c r="S455" s="242"/>
      <c r="T455" s="242"/>
      <c r="U455" s="242"/>
      <c r="V455" s="242"/>
      <c r="W455" s="242"/>
      <c r="X455" s="242"/>
      <c r="Y455" s="242"/>
      <c r="Z455" s="242"/>
      <c r="AA455" s="242"/>
    </row>
    <row r="456">
      <c r="A456" s="242"/>
      <c r="B456" s="242"/>
      <c r="C456" s="13"/>
      <c r="D456" s="242"/>
      <c r="E456" s="242"/>
      <c r="F456" s="242"/>
      <c r="G456" s="242"/>
      <c r="H456" s="13"/>
      <c r="I456" s="13"/>
      <c r="J456" s="13"/>
      <c r="K456" s="13"/>
      <c r="L456" s="242"/>
      <c r="M456" s="242"/>
      <c r="N456" s="242"/>
      <c r="O456" s="242"/>
      <c r="P456" s="242"/>
      <c r="Q456" s="242"/>
      <c r="R456" s="242"/>
      <c r="S456" s="242"/>
      <c r="T456" s="242"/>
      <c r="U456" s="242"/>
      <c r="V456" s="242"/>
      <c r="W456" s="242"/>
      <c r="X456" s="242"/>
      <c r="Y456" s="242"/>
      <c r="Z456" s="242"/>
      <c r="AA456" s="242"/>
    </row>
    <row r="457">
      <c r="A457" s="242"/>
      <c r="B457" s="242"/>
      <c r="C457" s="13"/>
      <c r="D457" s="242"/>
      <c r="E457" s="242"/>
      <c r="F457" s="242"/>
      <c r="G457" s="242"/>
      <c r="H457" s="13"/>
      <c r="I457" s="13"/>
      <c r="J457" s="13"/>
      <c r="K457" s="13"/>
      <c r="L457" s="242"/>
      <c r="M457" s="242"/>
      <c r="N457" s="242"/>
      <c r="O457" s="242"/>
      <c r="P457" s="242"/>
      <c r="Q457" s="242"/>
      <c r="R457" s="242"/>
      <c r="S457" s="242"/>
      <c r="T457" s="242"/>
      <c r="U457" s="242"/>
      <c r="V457" s="242"/>
      <c r="W457" s="242"/>
      <c r="X457" s="242"/>
      <c r="Y457" s="242"/>
      <c r="Z457" s="242"/>
      <c r="AA457" s="242"/>
    </row>
    <row r="458">
      <c r="A458" s="242"/>
      <c r="B458" s="242"/>
      <c r="C458" s="13"/>
      <c r="D458" s="242"/>
      <c r="E458" s="242"/>
      <c r="F458" s="242"/>
      <c r="G458" s="242"/>
      <c r="H458" s="13"/>
      <c r="I458" s="13"/>
      <c r="J458" s="13"/>
      <c r="K458" s="13"/>
      <c r="L458" s="242"/>
      <c r="M458" s="242"/>
      <c r="N458" s="242"/>
      <c r="O458" s="242"/>
      <c r="P458" s="242"/>
      <c r="Q458" s="242"/>
      <c r="R458" s="242"/>
      <c r="S458" s="242"/>
      <c r="T458" s="242"/>
      <c r="U458" s="242"/>
      <c r="V458" s="242"/>
      <c r="W458" s="242"/>
      <c r="X458" s="242"/>
      <c r="Y458" s="242"/>
      <c r="Z458" s="242"/>
      <c r="AA458" s="242"/>
    </row>
    <row r="459">
      <c r="A459" s="242"/>
      <c r="B459" s="242"/>
      <c r="C459" s="13"/>
      <c r="D459" s="242"/>
      <c r="E459" s="242"/>
      <c r="F459" s="242"/>
      <c r="G459" s="242"/>
      <c r="H459" s="13"/>
      <c r="I459" s="13"/>
      <c r="J459" s="13"/>
      <c r="K459" s="13"/>
      <c r="L459" s="242"/>
      <c r="M459" s="242"/>
      <c r="N459" s="242"/>
      <c r="O459" s="242"/>
      <c r="P459" s="242"/>
      <c r="Q459" s="242"/>
      <c r="R459" s="242"/>
      <c r="S459" s="242"/>
      <c r="T459" s="242"/>
      <c r="U459" s="242"/>
      <c r="V459" s="242"/>
      <c r="W459" s="242"/>
      <c r="X459" s="242"/>
      <c r="Y459" s="242"/>
      <c r="Z459" s="242"/>
      <c r="AA459" s="242"/>
    </row>
    <row r="460">
      <c r="A460" s="242"/>
      <c r="B460" s="242"/>
      <c r="C460" s="13"/>
      <c r="D460" s="242"/>
      <c r="E460" s="242"/>
      <c r="F460" s="242"/>
      <c r="G460" s="242"/>
      <c r="H460" s="13"/>
      <c r="I460" s="13"/>
      <c r="J460" s="13"/>
      <c r="K460" s="13"/>
      <c r="L460" s="242"/>
      <c r="M460" s="242"/>
      <c r="N460" s="242"/>
      <c r="O460" s="242"/>
      <c r="P460" s="242"/>
      <c r="Q460" s="242"/>
      <c r="R460" s="242"/>
      <c r="S460" s="242"/>
      <c r="T460" s="242"/>
      <c r="U460" s="242"/>
      <c r="V460" s="242"/>
      <c r="W460" s="242"/>
      <c r="X460" s="242"/>
      <c r="Y460" s="242"/>
      <c r="Z460" s="242"/>
      <c r="AA460" s="242"/>
    </row>
    <row r="461">
      <c r="A461" s="242"/>
      <c r="B461" s="242"/>
      <c r="C461" s="13"/>
      <c r="D461" s="242"/>
      <c r="E461" s="242"/>
      <c r="F461" s="242"/>
      <c r="G461" s="242"/>
      <c r="H461" s="13"/>
      <c r="I461" s="13"/>
      <c r="J461" s="13"/>
      <c r="K461" s="13"/>
      <c r="L461" s="242"/>
      <c r="M461" s="242"/>
      <c r="N461" s="242"/>
      <c r="O461" s="242"/>
      <c r="P461" s="242"/>
      <c r="Q461" s="242"/>
      <c r="R461" s="242"/>
      <c r="S461" s="242"/>
      <c r="T461" s="242"/>
      <c r="U461" s="242"/>
      <c r="V461" s="242"/>
      <c r="W461" s="242"/>
      <c r="X461" s="242"/>
      <c r="Y461" s="242"/>
      <c r="Z461" s="242"/>
      <c r="AA461" s="242"/>
    </row>
    <row r="462">
      <c r="A462" s="242"/>
      <c r="B462" s="242"/>
      <c r="C462" s="13"/>
      <c r="D462" s="242"/>
      <c r="E462" s="242"/>
      <c r="F462" s="242"/>
      <c r="G462" s="242"/>
      <c r="H462" s="13"/>
      <c r="I462" s="13"/>
      <c r="J462" s="13"/>
      <c r="K462" s="13"/>
      <c r="L462" s="242"/>
      <c r="M462" s="242"/>
      <c r="N462" s="242"/>
      <c r="O462" s="242"/>
      <c r="P462" s="242"/>
      <c r="Q462" s="242"/>
      <c r="R462" s="242"/>
      <c r="S462" s="242"/>
      <c r="T462" s="242"/>
      <c r="U462" s="242"/>
      <c r="V462" s="242"/>
      <c r="W462" s="242"/>
      <c r="X462" s="242"/>
      <c r="Y462" s="242"/>
      <c r="Z462" s="242"/>
      <c r="AA462" s="242"/>
    </row>
    <row r="463">
      <c r="A463" s="242"/>
      <c r="B463" s="242"/>
      <c r="C463" s="13"/>
      <c r="D463" s="242"/>
      <c r="E463" s="242"/>
      <c r="F463" s="242"/>
      <c r="G463" s="242"/>
      <c r="H463" s="13"/>
      <c r="I463" s="13"/>
      <c r="J463" s="13"/>
      <c r="K463" s="13"/>
      <c r="L463" s="242"/>
      <c r="M463" s="242"/>
      <c r="N463" s="242"/>
      <c r="O463" s="242"/>
      <c r="P463" s="242"/>
      <c r="Q463" s="242"/>
      <c r="R463" s="242"/>
      <c r="S463" s="242"/>
      <c r="T463" s="242"/>
      <c r="U463" s="242"/>
      <c r="V463" s="242"/>
      <c r="W463" s="242"/>
      <c r="X463" s="242"/>
      <c r="Y463" s="242"/>
      <c r="Z463" s="242"/>
      <c r="AA463" s="242"/>
    </row>
    <row r="464">
      <c r="A464" s="242"/>
      <c r="B464" s="242"/>
      <c r="C464" s="13"/>
      <c r="D464" s="242"/>
      <c r="E464" s="242"/>
      <c r="F464" s="242"/>
      <c r="G464" s="242"/>
      <c r="H464" s="13"/>
      <c r="I464" s="13"/>
      <c r="J464" s="13"/>
      <c r="K464" s="13"/>
      <c r="L464" s="242"/>
      <c r="M464" s="242"/>
      <c r="N464" s="242"/>
      <c r="O464" s="242"/>
      <c r="P464" s="242"/>
      <c r="Q464" s="242"/>
      <c r="R464" s="242"/>
      <c r="S464" s="242"/>
      <c r="T464" s="242"/>
      <c r="U464" s="242"/>
      <c r="V464" s="242"/>
      <c r="W464" s="242"/>
      <c r="X464" s="242"/>
      <c r="Y464" s="242"/>
      <c r="Z464" s="242"/>
      <c r="AA464" s="242"/>
    </row>
    <row r="465">
      <c r="A465" s="242"/>
      <c r="B465" s="242"/>
      <c r="C465" s="13"/>
      <c r="D465" s="242"/>
      <c r="E465" s="242"/>
      <c r="F465" s="242"/>
      <c r="G465" s="242"/>
      <c r="H465" s="13"/>
      <c r="I465" s="13"/>
      <c r="J465" s="13"/>
      <c r="K465" s="13"/>
      <c r="L465" s="242"/>
      <c r="M465" s="242"/>
      <c r="N465" s="242"/>
      <c r="O465" s="242"/>
      <c r="P465" s="242"/>
      <c r="Q465" s="242"/>
      <c r="R465" s="242"/>
      <c r="S465" s="242"/>
      <c r="T465" s="242"/>
      <c r="U465" s="242"/>
      <c r="V465" s="242"/>
      <c r="W465" s="242"/>
      <c r="X465" s="242"/>
      <c r="Y465" s="242"/>
      <c r="Z465" s="242"/>
      <c r="AA465" s="242"/>
    </row>
    <row r="466">
      <c r="A466" s="242"/>
      <c r="B466" s="242"/>
      <c r="C466" s="13"/>
      <c r="D466" s="242"/>
      <c r="E466" s="242"/>
      <c r="F466" s="242"/>
      <c r="G466" s="242"/>
      <c r="H466" s="13"/>
      <c r="I466" s="13"/>
      <c r="J466" s="13"/>
      <c r="K466" s="13"/>
      <c r="L466" s="242"/>
      <c r="M466" s="242"/>
      <c r="N466" s="242"/>
      <c r="O466" s="242"/>
      <c r="P466" s="242"/>
      <c r="Q466" s="242"/>
      <c r="R466" s="242"/>
      <c r="S466" s="242"/>
      <c r="T466" s="242"/>
      <c r="U466" s="242"/>
      <c r="V466" s="242"/>
      <c r="W466" s="242"/>
      <c r="X466" s="242"/>
      <c r="Y466" s="242"/>
      <c r="Z466" s="242"/>
      <c r="AA466" s="242"/>
    </row>
    <row r="467">
      <c r="A467" s="242"/>
      <c r="B467" s="242"/>
      <c r="C467" s="13"/>
      <c r="D467" s="242"/>
      <c r="E467" s="242"/>
      <c r="F467" s="242"/>
      <c r="G467" s="242"/>
      <c r="H467" s="13"/>
      <c r="I467" s="13"/>
      <c r="J467" s="13"/>
      <c r="K467" s="13"/>
      <c r="L467" s="242"/>
      <c r="M467" s="242"/>
      <c r="N467" s="242"/>
      <c r="O467" s="242"/>
      <c r="P467" s="242"/>
      <c r="Q467" s="242"/>
      <c r="R467" s="242"/>
      <c r="S467" s="242"/>
      <c r="T467" s="242"/>
      <c r="U467" s="242"/>
      <c r="V467" s="242"/>
      <c r="W467" s="242"/>
      <c r="X467" s="242"/>
      <c r="Y467" s="242"/>
      <c r="Z467" s="242"/>
      <c r="AA467" s="242"/>
    </row>
    <row r="468">
      <c r="A468" s="242"/>
      <c r="B468" s="242"/>
      <c r="C468" s="13"/>
      <c r="D468" s="242"/>
      <c r="E468" s="242"/>
      <c r="F468" s="242"/>
      <c r="G468" s="242"/>
      <c r="H468" s="13"/>
      <c r="I468" s="13"/>
      <c r="J468" s="13"/>
      <c r="K468" s="13"/>
      <c r="L468" s="242"/>
      <c r="M468" s="242"/>
      <c r="N468" s="242"/>
      <c r="O468" s="242"/>
      <c r="P468" s="242"/>
      <c r="Q468" s="242"/>
      <c r="R468" s="242"/>
      <c r="S468" s="242"/>
      <c r="T468" s="242"/>
      <c r="U468" s="242"/>
      <c r="V468" s="242"/>
      <c r="W468" s="242"/>
      <c r="X468" s="242"/>
      <c r="Y468" s="242"/>
      <c r="Z468" s="242"/>
      <c r="AA468" s="242"/>
    </row>
    <row r="469">
      <c r="A469" s="242"/>
      <c r="B469" s="242"/>
      <c r="C469" s="13"/>
      <c r="D469" s="242"/>
      <c r="E469" s="242"/>
      <c r="F469" s="242"/>
      <c r="G469" s="242"/>
      <c r="H469" s="13"/>
      <c r="I469" s="13"/>
      <c r="J469" s="13"/>
      <c r="K469" s="13"/>
      <c r="L469" s="242"/>
      <c r="M469" s="242"/>
      <c r="N469" s="242"/>
      <c r="O469" s="242"/>
      <c r="P469" s="242"/>
      <c r="Q469" s="242"/>
      <c r="R469" s="242"/>
      <c r="S469" s="242"/>
      <c r="T469" s="242"/>
      <c r="U469" s="242"/>
      <c r="V469" s="242"/>
      <c r="W469" s="242"/>
      <c r="X469" s="242"/>
      <c r="Y469" s="242"/>
      <c r="Z469" s="242"/>
      <c r="AA469" s="242"/>
    </row>
    <row r="470">
      <c r="A470" s="242"/>
      <c r="B470" s="242"/>
      <c r="C470" s="13"/>
      <c r="D470" s="242"/>
      <c r="E470" s="242"/>
      <c r="F470" s="242"/>
      <c r="G470" s="242"/>
      <c r="H470" s="13"/>
      <c r="I470" s="13"/>
      <c r="J470" s="13"/>
      <c r="K470" s="13"/>
      <c r="L470" s="242"/>
      <c r="M470" s="242"/>
      <c r="N470" s="242"/>
      <c r="O470" s="242"/>
      <c r="P470" s="242"/>
      <c r="Q470" s="242"/>
      <c r="R470" s="242"/>
      <c r="S470" s="242"/>
      <c r="T470" s="242"/>
      <c r="U470" s="242"/>
      <c r="V470" s="242"/>
      <c r="W470" s="242"/>
      <c r="X470" s="242"/>
      <c r="Y470" s="242"/>
      <c r="Z470" s="242"/>
      <c r="AA470" s="242"/>
    </row>
    <row r="471">
      <c r="A471" s="242"/>
      <c r="B471" s="242"/>
      <c r="C471" s="13"/>
      <c r="D471" s="242"/>
      <c r="E471" s="242"/>
      <c r="F471" s="242"/>
      <c r="G471" s="242"/>
      <c r="H471" s="13"/>
      <c r="I471" s="13"/>
      <c r="J471" s="13"/>
      <c r="K471" s="13"/>
      <c r="L471" s="242"/>
      <c r="M471" s="242"/>
      <c r="N471" s="242"/>
      <c r="O471" s="242"/>
      <c r="P471" s="242"/>
      <c r="Q471" s="242"/>
      <c r="R471" s="242"/>
      <c r="S471" s="242"/>
      <c r="T471" s="242"/>
      <c r="U471" s="242"/>
      <c r="V471" s="242"/>
      <c r="W471" s="242"/>
      <c r="X471" s="242"/>
      <c r="Y471" s="242"/>
      <c r="Z471" s="242"/>
      <c r="AA471" s="242"/>
    </row>
    <row r="472">
      <c r="A472" s="242"/>
      <c r="B472" s="242"/>
      <c r="C472" s="13"/>
      <c r="D472" s="242"/>
      <c r="E472" s="242"/>
      <c r="F472" s="242"/>
      <c r="G472" s="242"/>
      <c r="H472" s="13"/>
      <c r="I472" s="13"/>
      <c r="J472" s="13"/>
      <c r="K472" s="13"/>
      <c r="L472" s="242"/>
      <c r="M472" s="242"/>
      <c r="N472" s="242"/>
      <c r="O472" s="242"/>
      <c r="P472" s="242"/>
      <c r="Q472" s="242"/>
      <c r="R472" s="242"/>
      <c r="S472" s="242"/>
      <c r="T472" s="242"/>
      <c r="U472" s="242"/>
      <c r="V472" s="242"/>
      <c r="W472" s="242"/>
      <c r="X472" s="242"/>
      <c r="Y472" s="242"/>
      <c r="Z472" s="242"/>
      <c r="AA472" s="242"/>
    </row>
    <row r="473">
      <c r="A473" s="242"/>
      <c r="B473" s="242"/>
      <c r="C473" s="13"/>
      <c r="D473" s="242"/>
      <c r="E473" s="242"/>
      <c r="F473" s="242"/>
      <c r="G473" s="242"/>
      <c r="H473" s="13"/>
      <c r="I473" s="13"/>
      <c r="J473" s="13"/>
      <c r="K473" s="13"/>
      <c r="L473" s="242"/>
      <c r="M473" s="242"/>
      <c r="N473" s="242"/>
      <c r="O473" s="242"/>
      <c r="P473" s="242"/>
      <c r="Q473" s="242"/>
      <c r="R473" s="242"/>
      <c r="S473" s="242"/>
      <c r="T473" s="242"/>
      <c r="U473" s="242"/>
      <c r="V473" s="242"/>
      <c r="W473" s="242"/>
      <c r="X473" s="242"/>
      <c r="Y473" s="242"/>
      <c r="Z473" s="242"/>
      <c r="AA473" s="242"/>
    </row>
    <row r="474">
      <c r="A474" s="242"/>
      <c r="B474" s="242"/>
      <c r="C474" s="13"/>
      <c r="D474" s="242"/>
      <c r="E474" s="242"/>
      <c r="F474" s="242"/>
      <c r="G474" s="242"/>
      <c r="H474" s="13"/>
      <c r="I474" s="13"/>
      <c r="J474" s="13"/>
      <c r="K474" s="13"/>
      <c r="L474" s="242"/>
      <c r="M474" s="242"/>
      <c r="N474" s="242"/>
      <c r="O474" s="242"/>
      <c r="P474" s="242"/>
      <c r="Q474" s="242"/>
      <c r="R474" s="242"/>
      <c r="S474" s="242"/>
      <c r="T474" s="242"/>
      <c r="U474" s="242"/>
      <c r="V474" s="242"/>
      <c r="W474" s="242"/>
      <c r="X474" s="242"/>
      <c r="Y474" s="242"/>
      <c r="Z474" s="242"/>
      <c r="AA474" s="242"/>
    </row>
    <row r="475">
      <c r="A475" s="242"/>
      <c r="B475" s="242"/>
      <c r="C475" s="13"/>
      <c r="D475" s="242"/>
      <c r="E475" s="242"/>
      <c r="F475" s="242"/>
      <c r="G475" s="242"/>
      <c r="H475" s="13"/>
      <c r="I475" s="13"/>
      <c r="J475" s="13"/>
      <c r="K475" s="13"/>
      <c r="L475" s="242"/>
      <c r="M475" s="242"/>
      <c r="N475" s="242"/>
      <c r="O475" s="242"/>
      <c r="P475" s="242"/>
      <c r="Q475" s="242"/>
      <c r="R475" s="242"/>
      <c r="S475" s="242"/>
      <c r="T475" s="242"/>
      <c r="U475" s="242"/>
      <c r="V475" s="242"/>
      <c r="W475" s="242"/>
      <c r="X475" s="242"/>
      <c r="Y475" s="242"/>
      <c r="Z475" s="242"/>
      <c r="AA475" s="242"/>
    </row>
    <row r="476">
      <c r="A476" s="242"/>
      <c r="B476" s="242"/>
      <c r="C476" s="13"/>
      <c r="D476" s="242"/>
      <c r="E476" s="242"/>
      <c r="F476" s="242"/>
      <c r="G476" s="242"/>
      <c r="H476" s="13"/>
      <c r="I476" s="13"/>
      <c r="J476" s="13"/>
      <c r="K476" s="13"/>
      <c r="L476" s="242"/>
      <c r="M476" s="242"/>
      <c r="N476" s="242"/>
      <c r="O476" s="242"/>
      <c r="P476" s="242"/>
      <c r="Q476" s="242"/>
      <c r="R476" s="242"/>
      <c r="S476" s="242"/>
      <c r="T476" s="242"/>
      <c r="U476" s="242"/>
      <c r="V476" s="242"/>
      <c r="W476" s="242"/>
      <c r="X476" s="242"/>
      <c r="Y476" s="242"/>
      <c r="Z476" s="242"/>
      <c r="AA476" s="242"/>
    </row>
    <row r="477">
      <c r="A477" s="242"/>
      <c r="B477" s="242"/>
      <c r="C477" s="13"/>
      <c r="D477" s="242"/>
      <c r="E477" s="242"/>
      <c r="F477" s="242"/>
      <c r="G477" s="242"/>
      <c r="H477" s="13"/>
      <c r="I477" s="13"/>
      <c r="J477" s="13"/>
      <c r="K477" s="13"/>
      <c r="L477" s="242"/>
      <c r="M477" s="242"/>
      <c r="N477" s="242"/>
      <c r="O477" s="242"/>
      <c r="P477" s="242"/>
      <c r="Q477" s="242"/>
      <c r="R477" s="242"/>
      <c r="S477" s="242"/>
      <c r="T477" s="242"/>
      <c r="U477" s="242"/>
      <c r="V477" s="242"/>
      <c r="W477" s="242"/>
      <c r="X477" s="242"/>
      <c r="Y477" s="242"/>
      <c r="Z477" s="242"/>
      <c r="AA477" s="242"/>
    </row>
    <row r="478">
      <c r="A478" s="242"/>
      <c r="B478" s="242"/>
      <c r="C478" s="13"/>
      <c r="D478" s="242"/>
      <c r="E478" s="242"/>
      <c r="F478" s="242"/>
      <c r="G478" s="242"/>
      <c r="H478" s="13"/>
      <c r="I478" s="13"/>
      <c r="J478" s="13"/>
      <c r="K478" s="13"/>
      <c r="L478" s="242"/>
      <c r="M478" s="242"/>
      <c r="N478" s="242"/>
      <c r="O478" s="242"/>
      <c r="P478" s="242"/>
      <c r="Q478" s="242"/>
      <c r="R478" s="242"/>
      <c r="S478" s="242"/>
      <c r="T478" s="242"/>
      <c r="U478" s="242"/>
      <c r="V478" s="242"/>
      <c r="W478" s="242"/>
      <c r="X478" s="242"/>
      <c r="Y478" s="242"/>
      <c r="Z478" s="242"/>
      <c r="AA478" s="242"/>
    </row>
    <row r="479">
      <c r="A479" s="242"/>
      <c r="B479" s="242"/>
      <c r="C479" s="13"/>
      <c r="D479" s="242"/>
      <c r="E479" s="242"/>
      <c r="F479" s="242"/>
      <c r="G479" s="242"/>
      <c r="H479" s="13"/>
      <c r="I479" s="13"/>
      <c r="J479" s="13"/>
      <c r="K479" s="13"/>
      <c r="L479" s="242"/>
      <c r="M479" s="242"/>
      <c r="N479" s="242"/>
      <c r="O479" s="242"/>
      <c r="P479" s="242"/>
      <c r="Q479" s="242"/>
      <c r="R479" s="242"/>
      <c r="S479" s="242"/>
      <c r="T479" s="242"/>
      <c r="U479" s="242"/>
      <c r="V479" s="242"/>
      <c r="W479" s="242"/>
      <c r="X479" s="242"/>
      <c r="Y479" s="242"/>
      <c r="Z479" s="242"/>
      <c r="AA479" s="242"/>
    </row>
    <row r="480">
      <c r="A480" s="242"/>
      <c r="B480" s="242"/>
      <c r="C480" s="13"/>
      <c r="D480" s="242"/>
      <c r="E480" s="242"/>
      <c r="F480" s="242"/>
      <c r="G480" s="242"/>
      <c r="H480" s="13"/>
      <c r="I480" s="13"/>
      <c r="J480" s="13"/>
      <c r="K480" s="13"/>
      <c r="L480" s="242"/>
      <c r="M480" s="242"/>
      <c r="N480" s="242"/>
      <c r="O480" s="242"/>
      <c r="P480" s="242"/>
      <c r="Q480" s="242"/>
      <c r="R480" s="242"/>
      <c r="S480" s="242"/>
      <c r="T480" s="242"/>
      <c r="U480" s="242"/>
      <c r="V480" s="242"/>
      <c r="W480" s="242"/>
      <c r="X480" s="242"/>
      <c r="Y480" s="242"/>
      <c r="Z480" s="242"/>
      <c r="AA480" s="242"/>
    </row>
    <row r="481">
      <c r="A481" s="242"/>
      <c r="B481" s="242"/>
      <c r="C481" s="13"/>
      <c r="D481" s="242"/>
      <c r="E481" s="242"/>
      <c r="F481" s="242"/>
      <c r="G481" s="242"/>
      <c r="H481" s="13"/>
      <c r="I481" s="13"/>
      <c r="J481" s="13"/>
      <c r="K481" s="13"/>
      <c r="L481" s="242"/>
      <c r="M481" s="242"/>
      <c r="N481" s="242"/>
      <c r="O481" s="242"/>
      <c r="P481" s="242"/>
      <c r="Q481" s="242"/>
      <c r="R481" s="242"/>
      <c r="S481" s="242"/>
      <c r="T481" s="242"/>
      <c r="U481" s="242"/>
      <c r="V481" s="242"/>
      <c r="W481" s="242"/>
      <c r="X481" s="242"/>
      <c r="Y481" s="242"/>
      <c r="Z481" s="242"/>
      <c r="AA481" s="242"/>
    </row>
    <row r="482">
      <c r="A482" s="242"/>
      <c r="B482" s="242"/>
      <c r="C482" s="13"/>
      <c r="D482" s="242"/>
      <c r="E482" s="242"/>
      <c r="F482" s="242"/>
      <c r="G482" s="242"/>
      <c r="H482" s="13"/>
      <c r="I482" s="13"/>
      <c r="J482" s="13"/>
      <c r="K482" s="13"/>
      <c r="L482" s="242"/>
      <c r="M482" s="242"/>
      <c r="N482" s="242"/>
      <c r="O482" s="242"/>
      <c r="P482" s="242"/>
      <c r="Q482" s="242"/>
      <c r="R482" s="242"/>
      <c r="S482" s="242"/>
      <c r="T482" s="242"/>
      <c r="U482" s="242"/>
      <c r="V482" s="242"/>
      <c r="W482" s="242"/>
      <c r="X482" s="242"/>
      <c r="Y482" s="242"/>
      <c r="Z482" s="242"/>
      <c r="AA482" s="242"/>
    </row>
    <row r="483">
      <c r="A483" s="242"/>
      <c r="B483" s="242"/>
      <c r="C483" s="13"/>
      <c r="D483" s="242"/>
      <c r="E483" s="242"/>
      <c r="F483" s="242"/>
      <c r="G483" s="242"/>
      <c r="H483" s="13"/>
      <c r="I483" s="13"/>
      <c r="J483" s="13"/>
      <c r="K483" s="13"/>
      <c r="L483" s="242"/>
      <c r="M483" s="242"/>
      <c r="N483" s="242"/>
      <c r="O483" s="242"/>
      <c r="P483" s="242"/>
      <c r="Q483" s="242"/>
      <c r="R483" s="242"/>
      <c r="S483" s="242"/>
      <c r="T483" s="242"/>
      <c r="U483" s="242"/>
      <c r="V483" s="242"/>
      <c r="W483" s="242"/>
      <c r="X483" s="242"/>
      <c r="Y483" s="242"/>
      <c r="Z483" s="242"/>
      <c r="AA483" s="242"/>
    </row>
    <row r="484">
      <c r="A484" s="242"/>
      <c r="B484" s="242"/>
      <c r="C484" s="13"/>
      <c r="D484" s="242"/>
      <c r="E484" s="242"/>
      <c r="F484" s="242"/>
      <c r="G484" s="242"/>
      <c r="H484" s="13"/>
      <c r="I484" s="13"/>
      <c r="J484" s="13"/>
      <c r="K484" s="13"/>
      <c r="L484" s="242"/>
      <c r="M484" s="242"/>
      <c r="N484" s="242"/>
      <c r="O484" s="242"/>
      <c r="P484" s="242"/>
      <c r="Q484" s="242"/>
      <c r="R484" s="242"/>
      <c r="S484" s="242"/>
      <c r="T484" s="242"/>
      <c r="U484" s="242"/>
      <c r="V484" s="242"/>
      <c r="W484" s="242"/>
      <c r="X484" s="242"/>
      <c r="Y484" s="242"/>
      <c r="Z484" s="242"/>
      <c r="AA484" s="242"/>
    </row>
    <row r="485">
      <c r="A485" s="242"/>
      <c r="B485" s="242"/>
      <c r="C485" s="13"/>
      <c r="D485" s="242"/>
      <c r="E485" s="242"/>
      <c r="F485" s="242"/>
      <c r="G485" s="242"/>
      <c r="H485" s="13"/>
      <c r="I485" s="13"/>
      <c r="J485" s="13"/>
      <c r="K485" s="13"/>
      <c r="L485" s="242"/>
      <c r="M485" s="242"/>
      <c r="N485" s="242"/>
      <c r="O485" s="242"/>
      <c r="P485" s="242"/>
      <c r="Q485" s="242"/>
      <c r="R485" s="242"/>
      <c r="S485" s="242"/>
      <c r="T485" s="242"/>
      <c r="U485" s="242"/>
      <c r="V485" s="242"/>
      <c r="W485" s="242"/>
      <c r="X485" s="242"/>
      <c r="Y485" s="242"/>
      <c r="Z485" s="242"/>
      <c r="AA485" s="242"/>
    </row>
    <row r="486">
      <c r="A486" s="242"/>
      <c r="B486" s="242"/>
      <c r="C486" s="13"/>
      <c r="D486" s="242"/>
      <c r="E486" s="242"/>
      <c r="F486" s="242"/>
      <c r="G486" s="242"/>
      <c r="H486" s="13"/>
      <c r="I486" s="13"/>
      <c r="J486" s="13"/>
      <c r="K486" s="13"/>
      <c r="L486" s="242"/>
      <c r="M486" s="242"/>
      <c r="N486" s="242"/>
      <c r="O486" s="242"/>
      <c r="P486" s="242"/>
      <c r="Q486" s="242"/>
      <c r="R486" s="242"/>
      <c r="S486" s="242"/>
      <c r="T486" s="242"/>
      <c r="U486" s="242"/>
      <c r="V486" s="242"/>
      <c r="W486" s="242"/>
      <c r="X486" s="242"/>
      <c r="Y486" s="242"/>
      <c r="Z486" s="242"/>
      <c r="AA486" s="242"/>
    </row>
    <row r="487">
      <c r="A487" s="242"/>
      <c r="B487" s="242"/>
      <c r="C487" s="13"/>
      <c r="D487" s="242"/>
      <c r="E487" s="242"/>
      <c r="F487" s="242"/>
      <c r="G487" s="242"/>
      <c r="H487" s="13"/>
      <c r="I487" s="13"/>
      <c r="J487" s="13"/>
      <c r="K487" s="13"/>
      <c r="L487" s="242"/>
      <c r="M487" s="242"/>
      <c r="N487" s="242"/>
      <c r="O487" s="242"/>
      <c r="P487" s="242"/>
      <c r="Q487" s="242"/>
      <c r="R487" s="242"/>
      <c r="S487" s="242"/>
      <c r="T487" s="242"/>
      <c r="U487" s="242"/>
      <c r="V487" s="242"/>
      <c r="W487" s="242"/>
      <c r="X487" s="242"/>
      <c r="Y487" s="242"/>
      <c r="Z487" s="242"/>
      <c r="AA487" s="242"/>
    </row>
    <row r="488">
      <c r="A488" s="242"/>
      <c r="B488" s="242"/>
      <c r="C488" s="13"/>
      <c r="D488" s="242"/>
      <c r="E488" s="242"/>
      <c r="F488" s="242"/>
      <c r="G488" s="242"/>
      <c r="H488" s="13"/>
      <c r="I488" s="13"/>
      <c r="J488" s="13"/>
      <c r="K488" s="13"/>
      <c r="L488" s="242"/>
      <c r="M488" s="242"/>
      <c r="N488" s="242"/>
      <c r="O488" s="242"/>
      <c r="P488" s="242"/>
      <c r="Q488" s="242"/>
      <c r="R488" s="242"/>
      <c r="S488" s="242"/>
      <c r="T488" s="242"/>
      <c r="U488" s="242"/>
      <c r="V488" s="242"/>
      <c r="W488" s="242"/>
      <c r="X488" s="242"/>
      <c r="Y488" s="242"/>
      <c r="Z488" s="242"/>
      <c r="AA488" s="242"/>
    </row>
    <row r="489">
      <c r="A489" s="242"/>
      <c r="B489" s="242"/>
      <c r="C489" s="13"/>
      <c r="D489" s="242"/>
      <c r="E489" s="242"/>
      <c r="F489" s="242"/>
      <c r="G489" s="242"/>
      <c r="H489" s="13"/>
      <c r="I489" s="13"/>
      <c r="J489" s="13"/>
      <c r="K489" s="13"/>
      <c r="L489" s="242"/>
      <c r="M489" s="242"/>
      <c r="N489" s="242"/>
      <c r="O489" s="242"/>
      <c r="P489" s="242"/>
      <c r="Q489" s="242"/>
      <c r="R489" s="242"/>
      <c r="S489" s="242"/>
      <c r="T489" s="242"/>
      <c r="U489" s="242"/>
      <c r="V489" s="242"/>
      <c r="W489" s="242"/>
      <c r="X489" s="242"/>
      <c r="Y489" s="242"/>
      <c r="Z489" s="242"/>
      <c r="AA489" s="242"/>
    </row>
    <row r="490">
      <c r="A490" s="242"/>
      <c r="B490" s="242"/>
      <c r="C490" s="13"/>
      <c r="D490" s="242"/>
      <c r="E490" s="242"/>
      <c r="F490" s="242"/>
      <c r="G490" s="242"/>
      <c r="H490" s="13"/>
      <c r="I490" s="13"/>
      <c r="J490" s="13"/>
      <c r="K490" s="13"/>
      <c r="L490" s="242"/>
      <c r="M490" s="242"/>
      <c r="N490" s="242"/>
      <c r="O490" s="242"/>
      <c r="P490" s="242"/>
      <c r="Q490" s="242"/>
      <c r="R490" s="242"/>
      <c r="S490" s="242"/>
      <c r="T490" s="242"/>
      <c r="U490" s="242"/>
      <c r="V490" s="242"/>
      <c r="W490" s="242"/>
      <c r="X490" s="242"/>
      <c r="Y490" s="242"/>
      <c r="Z490" s="242"/>
      <c r="AA490" s="242"/>
    </row>
    <row r="491">
      <c r="A491" s="242"/>
      <c r="B491" s="242"/>
      <c r="C491" s="13"/>
      <c r="D491" s="242"/>
      <c r="E491" s="242"/>
      <c r="F491" s="242"/>
      <c r="G491" s="242"/>
      <c r="H491" s="13"/>
      <c r="I491" s="13"/>
      <c r="J491" s="13"/>
      <c r="K491" s="13"/>
      <c r="L491" s="242"/>
      <c r="M491" s="242"/>
      <c r="N491" s="242"/>
      <c r="O491" s="242"/>
      <c r="P491" s="242"/>
      <c r="Q491" s="242"/>
      <c r="R491" s="242"/>
      <c r="S491" s="242"/>
      <c r="T491" s="242"/>
      <c r="U491" s="242"/>
      <c r="V491" s="242"/>
      <c r="W491" s="242"/>
      <c r="X491" s="242"/>
      <c r="Y491" s="242"/>
      <c r="Z491" s="242"/>
      <c r="AA491" s="242"/>
    </row>
    <row r="492">
      <c r="A492" s="242"/>
      <c r="B492" s="242"/>
      <c r="C492" s="13"/>
      <c r="D492" s="242"/>
      <c r="E492" s="242"/>
      <c r="F492" s="242"/>
      <c r="G492" s="242"/>
      <c r="H492" s="13"/>
      <c r="I492" s="13"/>
      <c r="J492" s="13"/>
      <c r="K492" s="13"/>
      <c r="L492" s="242"/>
      <c r="M492" s="242"/>
      <c r="N492" s="242"/>
      <c r="O492" s="242"/>
      <c r="P492" s="242"/>
      <c r="Q492" s="242"/>
      <c r="R492" s="242"/>
      <c r="S492" s="242"/>
      <c r="T492" s="242"/>
      <c r="U492" s="242"/>
      <c r="V492" s="242"/>
      <c r="W492" s="242"/>
      <c r="X492" s="242"/>
      <c r="Y492" s="242"/>
      <c r="Z492" s="242"/>
      <c r="AA492" s="242"/>
    </row>
    <row r="493">
      <c r="A493" s="242"/>
      <c r="B493" s="242"/>
      <c r="C493" s="13"/>
      <c r="D493" s="242"/>
      <c r="E493" s="242"/>
      <c r="F493" s="242"/>
      <c r="G493" s="242"/>
      <c r="H493" s="13"/>
      <c r="I493" s="13"/>
      <c r="J493" s="13"/>
      <c r="K493" s="13"/>
      <c r="L493" s="242"/>
      <c r="M493" s="242"/>
      <c r="N493" s="242"/>
      <c r="O493" s="242"/>
      <c r="P493" s="242"/>
      <c r="Q493" s="242"/>
      <c r="R493" s="242"/>
      <c r="S493" s="242"/>
      <c r="T493" s="242"/>
      <c r="U493" s="242"/>
      <c r="V493" s="242"/>
      <c r="W493" s="242"/>
      <c r="X493" s="242"/>
      <c r="Y493" s="242"/>
      <c r="Z493" s="242"/>
      <c r="AA493" s="242"/>
    </row>
    <row r="494">
      <c r="A494" s="242"/>
      <c r="B494" s="242"/>
      <c r="C494" s="13"/>
      <c r="D494" s="242"/>
      <c r="E494" s="242"/>
      <c r="F494" s="242"/>
      <c r="G494" s="242"/>
      <c r="H494" s="13"/>
      <c r="I494" s="13"/>
      <c r="J494" s="13"/>
      <c r="K494" s="13"/>
      <c r="L494" s="242"/>
      <c r="M494" s="242"/>
      <c r="N494" s="242"/>
      <c r="O494" s="242"/>
      <c r="P494" s="242"/>
      <c r="Q494" s="242"/>
      <c r="R494" s="242"/>
      <c r="S494" s="242"/>
      <c r="T494" s="242"/>
      <c r="U494" s="242"/>
      <c r="V494" s="242"/>
      <c r="W494" s="242"/>
      <c r="X494" s="242"/>
      <c r="Y494" s="242"/>
      <c r="Z494" s="242"/>
      <c r="AA494" s="242"/>
    </row>
    <row r="495">
      <c r="A495" s="242"/>
      <c r="B495" s="242"/>
      <c r="C495" s="13"/>
      <c r="D495" s="242"/>
      <c r="E495" s="242"/>
      <c r="F495" s="242"/>
      <c r="G495" s="242"/>
      <c r="H495" s="13"/>
      <c r="I495" s="13"/>
      <c r="J495" s="13"/>
      <c r="K495" s="13"/>
      <c r="L495" s="242"/>
      <c r="M495" s="242"/>
      <c r="N495" s="242"/>
      <c r="O495" s="242"/>
      <c r="P495" s="242"/>
      <c r="Q495" s="242"/>
      <c r="R495" s="242"/>
      <c r="S495" s="242"/>
      <c r="T495" s="242"/>
      <c r="U495" s="242"/>
      <c r="V495" s="242"/>
      <c r="W495" s="242"/>
      <c r="X495" s="242"/>
      <c r="Y495" s="242"/>
      <c r="Z495" s="242"/>
      <c r="AA495" s="242"/>
    </row>
    <row r="496">
      <c r="A496" s="242"/>
      <c r="B496" s="242"/>
      <c r="C496" s="13"/>
      <c r="D496" s="242"/>
      <c r="E496" s="242"/>
      <c r="F496" s="242"/>
      <c r="G496" s="242"/>
      <c r="H496" s="13"/>
      <c r="I496" s="13"/>
      <c r="J496" s="13"/>
      <c r="K496" s="13"/>
      <c r="L496" s="242"/>
      <c r="M496" s="242"/>
      <c r="N496" s="242"/>
      <c r="O496" s="242"/>
      <c r="P496" s="242"/>
      <c r="Q496" s="242"/>
      <c r="R496" s="242"/>
      <c r="S496" s="242"/>
      <c r="T496" s="242"/>
      <c r="U496" s="242"/>
      <c r="V496" s="242"/>
      <c r="W496" s="242"/>
      <c r="X496" s="242"/>
      <c r="Y496" s="242"/>
      <c r="Z496" s="242"/>
      <c r="AA496" s="242"/>
    </row>
    <row r="497">
      <c r="A497" s="242"/>
      <c r="B497" s="242"/>
      <c r="C497" s="13"/>
      <c r="D497" s="242"/>
      <c r="E497" s="242"/>
      <c r="F497" s="242"/>
      <c r="G497" s="242"/>
      <c r="H497" s="13"/>
      <c r="I497" s="13"/>
      <c r="J497" s="13"/>
      <c r="K497" s="13"/>
      <c r="L497" s="242"/>
      <c r="M497" s="242"/>
      <c r="N497" s="242"/>
      <c r="O497" s="242"/>
      <c r="P497" s="242"/>
      <c r="Q497" s="242"/>
      <c r="R497" s="242"/>
      <c r="S497" s="242"/>
      <c r="T497" s="242"/>
      <c r="U497" s="242"/>
      <c r="V497" s="242"/>
      <c r="W497" s="242"/>
      <c r="X497" s="242"/>
      <c r="Y497" s="242"/>
      <c r="Z497" s="242"/>
      <c r="AA497" s="242"/>
    </row>
    <row r="498">
      <c r="A498" s="242"/>
      <c r="B498" s="242"/>
      <c r="C498" s="13"/>
      <c r="D498" s="242"/>
      <c r="E498" s="242"/>
      <c r="F498" s="242"/>
      <c r="G498" s="242"/>
      <c r="H498" s="13"/>
      <c r="I498" s="13"/>
      <c r="J498" s="13"/>
      <c r="K498" s="13"/>
      <c r="L498" s="242"/>
      <c r="M498" s="242"/>
      <c r="N498" s="242"/>
      <c r="O498" s="242"/>
      <c r="P498" s="242"/>
      <c r="Q498" s="242"/>
      <c r="R498" s="242"/>
      <c r="S498" s="242"/>
      <c r="T498" s="242"/>
      <c r="U498" s="242"/>
      <c r="V498" s="242"/>
      <c r="W498" s="242"/>
      <c r="X498" s="242"/>
      <c r="Y498" s="242"/>
      <c r="Z498" s="242"/>
      <c r="AA498" s="242"/>
    </row>
    <row r="499">
      <c r="A499" s="242"/>
      <c r="B499" s="242"/>
      <c r="C499" s="13"/>
      <c r="D499" s="242"/>
      <c r="E499" s="242"/>
      <c r="F499" s="242"/>
      <c r="G499" s="242"/>
      <c r="H499" s="13"/>
      <c r="I499" s="13"/>
      <c r="J499" s="13"/>
      <c r="K499" s="13"/>
      <c r="L499" s="242"/>
      <c r="M499" s="242"/>
      <c r="N499" s="242"/>
      <c r="O499" s="242"/>
      <c r="P499" s="242"/>
      <c r="Q499" s="242"/>
      <c r="R499" s="242"/>
      <c r="S499" s="242"/>
      <c r="T499" s="242"/>
      <c r="U499" s="242"/>
      <c r="V499" s="242"/>
      <c r="W499" s="242"/>
      <c r="X499" s="242"/>
      <c r="Y499" s="242"/>
      <c r="Z499" s="242"/>
      <c r="AA499" s="242"/>
    </row>
    <row r="500">
      <c r="A500" s="242"/>
      <c r="B500" s="242"/>
      <c r="C500" s="13"/>
      <c r="D500" s="242"/>
      <c r="E500" s="242"/>
      <c r="F500" s="242"/>
      <c r="G500" s="242"/>
      <c r="H500" s="13"/>
      <c r="I500" s="13"/>
      <c r="J500" s="13"/>
      <c r="K500" s="13"/>
      <c r="L500" s="242"/>
      <c r="M500" s="242"/>
      <c r="N500" s="242"/>
      <c r="O500" s="242"/>
      <c r="P500" s="242"/>
      <c r="Q500" s="242"/>
      <c r="R500" s="242"/>
      <c r="S500" s="242"/>
      <c r="T500" s="242"/>
      <c r="U500" s="242"/>
      <c r="V500" s="242"/>
      <c r="W500" s="242"/>
      <c r="X500" s="242"/>
      <c r="Y500" s="242"/>
      <c r="Z500" s="242"/>
      <c r="AA500" s="242"/>
    </row>
    <row r="501">
      <c r="A501" s="242"/>
      <c r="B501" s="242"/>
      <c r="C501" s="13"/>
      <c r="D501" s="242"/>
      <c r="E501" s="242"/>
      <c r="F501" s="242"/>
      <c r="G501" s="242"/>
      <c r="H501" s="13"/>
      <c r="I501" s="13"/>
      <c r="J501" s="13"/>
      <c r="K501" s="13"/>
      <c r="L501" s="242"/>
      <c r="M501" s="242"/>
      <c r="N501" s="242"/>
      <c r="O501" s="242"/>
      <c r="P501" s="242"/>
      <c r="Q501" s="242"/>
      <c r="R501" s="242"/>
      <c r="S501" s="242"/>
      <c r="T501" s="242"/>
      <c r="U501" s="242"/>
      <c r="V501" s="242"/>
      <c r="W501" s="242"/>
      <c r="X501" s="242"/>
      <c r="Y501" s="242"/>
      <c r="Z501" s="242"/>
      <c r="AA501" s="242"/>
    </row>
    <row r="502">
      <c r="A502" s="242"/>
      <c r="B502" s="242"/>
      <c r="C502" s="13"/>
      <c r="D502" s="242"/>
      <c r="E502" s="242"/>
      <c r="F502" s="242"/>
      <c r="G502" s="242"/>
      <c r="H502" s="13"/>
      <c r="I502" s="13"/>
      <c r="J502" s="13"/>
      <c r="K502" s="13"/>
      <c r="L502" s="242"/>
      <c r="M502" s="242"/>
      <c r="N502" s="242"/>
      <c r="O502" s="242"/>
      <c r="P502" s="242"/>
      <c r="Q502" s="242"/>
      <c r="R502" s="242"/>
      <c r="S502" s="242"/>
      <c r="T502" s="242"/>
      <c r="U502" s="242"/>
      <c r="V502" s="242"/>
      <c r="W502" s="242"/>
      <c r="X502" s="242"/>
      <c r="Y502" s="242"/>
      <c r="Z502" s="242"/>
      <c r="AA502" s="242"/>
    </row>
    <row r="503">
      <c r="A503" s="242"/>
      <c r="B503" s="242"/>
      <c r="C503" s="13"/>
      <c r="D503" s="242"/>
      <c r="E503" s="242"/>
      <c r="F503" s="242"/>
      <c r="G503" s="242"/>
      <c r="H503" s="13"/>
      <c r="I503" s="13"/>
      <c r="J503" s="13"/>
      <c r="K503" s="13"/>
      <c r="L503" s="242"/>
      <c r="M503" s="242"/>
      <c r="N503" s="242"/>
      <c r="O503" s="242"/>
      <c r="P503" s="242"/>
      <c r="Q503" s="242"/>
      <c r="R503" s="242"/>
      <c r="S503" s="242"/>
      <c r="T503" s="242"/>
      <c r="U503" s="242"/>
      <c r="V503" s="242"/>
      <c r="W503" s="242"/>
      <c r="X503" s="242"/>
      <c r="Y503" s="242"/>
      <c r="Z503" s="242"/>
      <c r="AA503" s="242"/>
    </row>
    <row r="504">
      <c r="A504" s="242"/>
      <c r="B504" s="242"/>
      <c r="C504" s="13"/>
      <c r="D504" s="242"/>
      <c r="E504" s="242"/>
      <c r="F504" s="242"/>
      <c r="G504" s="242"/>
      <c r="H504" s="13"/>
      <c r="I504" s="13"/>
      <c r="J504" s="13"/>
      <c r="K504" s="13"/>
      <c r="L504" s="242"/>
      <c r="M504" s="242"/>
      <c r="N504" s="242"/>
      <c r="O504" s="242"/>
      <c r="P504" s="242"/>
      <c r="Q504" s="242"/>
      <c r="R504" s="242"/>
      <c r="S504" s="242"/>
      <c r="T504" s="242"/>
      <c r="U504" s="242"/>
      <c r="V504" s="242"/>
      <c r="W504" s="242"/>
      <c r="X504" s="242"/>
      <c r="Y504" s="242"/>
      <c r="Z504" s="242"/>
      <c r="AA504" s="242"/>
    </row>
    <row r="505">
      <c r="A505" s="242"/>
      <c r="B505" s="242"/>
      <c r="C505" s="13"/>
      <c r="D505" s="242"/>
      <c r="E505" s="242"/>
      <c r="F505" s="242"/>
      <c r="G505" s="242"/>
      <c r="H505" s="13"/>
      <c r="I505" s="13"/>
      <c r="J505" s="13"/>
      <c r="K505" s="13"/>
      <c r="L505" s="242"/>
      <c r="M505" s="242"/>
      <c r="N505" s="242"/>
      <c r="O505" s="242"/>
      <c r="P505" s="242"/>
      <c r="Q505" s="242"/>
      <c r="R505" s="242"/>
      <c r="S505" s="242"/>
      <c r="T505" s="242"/>
      <c r="U505" s="242"/>
      <c r="V505" s="242"/>
      <c r="W505" s="242"/>
      <c r="X505" s="242"/>
      <c r="Y505" s="242"/>
      <c r="Z505" s="242"/>
      <c r="AA505" s="242"/>
    </row>
    <row r="506">
      <c r="A506" s="242"/>
      <c r="B506" s="242"/>
      <c r="C506" s="13"/>
      <c r="D506" s="242"/>
      <c r="E506" s="242"/>
      <c r="F506" s="242"/>
      <c r="G506" s="242"/>
      <c r="H506" s="13"/>
      <c r="I506" s="13"/>
      <c r="J506" s="13"/>
      <c r="K506" s="13"/>
      <c r="L506" s="242"/>
      <c r="M506" s="242"/>
      <c r="N506" s="242"/>
      <c r="O506" s="242"/>
      <c r="P506" s="242"/>
      <c r="Q506" s="242"/>
      <c r="R506" s="242"/>
      <c r="S506" s="242"/>
      <c r="T506" s="242"/>
      <c r="U506" s="242"/>
      <c r="V506" s="242"/>
      <c r="W506" s="242"/>
      <c r="X506" s="242"/>
      <c r="Y506" s="242"/>
      <c r="Z506" s="242"/>
      <c r="AA506" s="242"/>
    </row>
    <row r="507">
      <c r="A507" s="242"/>
      <c r="B507" s="242"/>
      <c r="C507" s="13"/>
      <c r="D507" s="242"/>
      <c r="E507" s="242"/>
      <c r="F507" s="242"/>
      <c r="G507" s="242"/>
      <c r="H507" s="13"/>
      <c r="I507" s="13"/>
      <c r="J507" s="13"/>
      <c r="K507" s="13"/>
      <c r="L507" s="242"/>
      <c r="M507" s="242"/>
      <c r="N507" s="242"/>
      <c r="O507" s="242"/>
      <c r="P507" s="242"/>
      <c r="Q507" s="242"/>
      <c r="R507" s="242"/>
      <c r="S507" s="242"/>
      <c r="T507" s="242"/>
      <c r="U507" s="242"/>
      <c r="V507" s="242"/>
      <c r="W507" s="242"/>
      <c r="X507" s="242"/>
      <c r="Y507" s="242"/>
      <c r="Z507" s="242"/>
      <c r="AA507" s="242"/>
    </row>
    <row r="508">
      <c r="A508" s="242"/>
      <c r="B508" s="242"/>
      <c r="C508" s="13"/>
      <c r="D508" s="242"/>
      <c r="E508" s="242"/>
      <c r="F508" s="242"/>
      <c r="G508" s="242"/>
      <c r="H508" s="13"/>
      <c r="I508" s="13"/>
      <c r="J508" s="13"/>
      <c r="K508" s="13"/>
      <c r="L508" s="242"/>
      <c r="M508" s="242"/>
      <c r="N508" s="242"/>
      <c r="O508" s="242"/>
      <c r="P508" s="242"/>
      <c r="Q508" s="242"/>
      <c r="R508" s="242"/>
      <c r="S508" s="242"/>
      <c r="T508" s="242"/>
      <c r="U508" s="242"/>
      <c r="V508" s="242"/>
      <c r="W508" s="242"/>
      <c r="X508" s="242"/>
      <c r="Y508" s="242"/>
      <c r="Z508" s="242"/>
      <c r="AA508" s="242"/>
    </row>
    <row r="509">
      <c r="A509" s="242"/>
      <c r="B509" s="242"/>
      <c r="C509" s="13"/>
      <c r="D509" s="242"/>
      <c r="E509" s="242"/>
      <c r="F509" s="242"/>
      <c r="G509" s="242"/>
      <c r="H509" s="13"/>
      <c r="I509" s="13"/>
      <c r="J509" s="13"/>
      <c r="K509" s="13"/>
      <c r="L509" s="242"/>
      <c r="M509" s="242"/>
      <c r="N509" s="242"/>
      <c r="O509" s="242"/>
      <c r="P509" s="242"/>
      <c r="Q509" s="242"/>
      <c r="R509" s="242"/>
      <c r="S509" s="242"/>
      <c r="T509" s="242"/>
      <c r="U509" s="242"/>
      <c r="V509" s="242"/>
      <c r="W509" s="242"/>
      <c r="X509" s="242"/>
      <c r="Y509" s="242"/>
      <c r="Z509" s="242"/>
      <c r="AA509" s="242"/>
    </row>
    <row r="510">
      <c r="A510" s="242"/>
      <c r="B510" s="242"/>
      <c r="C510" s="13"/>
      <c r="D510" s="242"/>
      <c r="E510" s="242"/>
      <c r="F510" s="242"/>
      <c r="G510" s="242"/>
      <c r="H510" s="13"/>
      <c r="I510" s="13"/>
      <c r="J510" s="13"/>
      <c r="K510" s="13"/>
      <c r="L510" s="242"/>
      <c r="M510" s="242"/>
      <c r="N510" s="242"/>
      <c r="O510" s="242"/>
      <c r="P510" s="242"/>
      <c r="Q510" s="242"/>
      <c r="R510" s="242"/>
      <c r="S510" s="242"/>
      <c r="T510" s="242"/>
      <c r="U510" s="242"/>
      <c r="V510" s="242"/>
      <c r="W510" s="242"/>
      <c r="X510" s="242"/>
      <c r="Y510" s="242"/>
      <c r="Z510" s="242"/>
      <c r="AA510" s="242"/>
    </row>
    <row r="511">
      <c r="A511" s="242"/>
      <c r="B511" s="242"/>
      <c r="C511" s="13"/>
      <c r="D511" s="242"/>
      <c r="E511" s="242"/>
      <c r="F511" s="242"/>
      <c r="G511" s="242"/>
      <c r="H511" s="13"/>
      <c r="I511" s="13"/>
      <c r="J511" s="13"/>
      <c r="K511" s="13"/>
      <c r="L511" s="242"/>
      <c r="M511" s="242"/>
      <c r="N511" s="242"/>
      <c r="O511" s="242"/>
      <c r="P511" s="242"/>
      <c r="Q511" s="242"/>
      <c r="R511" s="242"/>
      <c r="S511" s="242"/>
      <c r="T511" s="242"/>
      <c r="U511" s="242"/>
      <c r="V511" s="242"/>
      <c r="W511" s="242"/>
      <c r="X511" s="242"/>
      <c r="Y511" s="242"/>
      <c r="Z511" s="242"/>
      <c r="AA511" s="242"/>
    </row>
    <row r="512">
      <c r="A512" s="242"/>
      <c r="B512" s="242"/>
      <c r="C512" s="13"/>
      <c r="D512" s="242"/>
      <c r="E512" s="242"/>
      <c r="F512" s="242"/>
      <c r="G512" s="242"/>
      <c r="H512" s="13"/>
      <c r="I512" s="13"/>
      <c r="J512" s="13"/>
      <c r="K512" s="13"/>
      <c r="L512" s="242"/>
      <c r="M512" s="242"/>
      <c r="N512" s="242"/>
      <c r="O512" s="242"/>
      <c r="P512" s="242"/>
      <c r="Q512" s="242"/>
      <c r="R512" s="242"/>
      <c r="S512" s="242"/>
      <c r="T512" s="242"/>
      <c r="U512" s="242"/>
      <c r="V512" s="242"/>
      <c r="W512" s="242"/>
      <c r="X512" s="242"/>
      <c r="Y512" s="242"/>
      <c r="Z512" s="242"/>
      <c r="AA512" s="242"/>
    </row>
    <row r="513">
      <c r="A513" s="242"/>
      <c r="B513" s="242"/>
      <c r="C513" s="13"/>
      <c r="D513" s="242"/>
      <c r="E513" s="242"/>
      <c r="F513" s="242"/>
      <c r="G513" s="242"/>
      <c r="H513" s="13"/>
      <c r="I513" s="13"/>
      <c r="J513" s="13"/>
      <c r="K513" s="13"/>
      <c r="L513" s="242"/>
      <c r="M513" s="242"/>
      <c r="N513" s="242"/>
      <c r="O513" s="242"/>
      <c r="P513" s="242"/>
      <c r="Q513" s="242"/>
      <c r="R513" s="242"/>
      <c r="S513" s="242"/>
      <c r="T513" s="242"/>
      <c r="U513" s="242"/>
      <c r="V513" s="242"/>
      <c r="W513" s="242"/>
      <c r="X513" s="242"/>
      <c r="Y513" s="242"/>
      <c r="Z513" s="242"/>
      <c r="AA513" s="242"/>
    </row>
    <row r="514">
      <c r="A514" s="242"/>
      <c r="B514" s="242"/>
      <c r="C514" s="13"/>
      <c r="D514" s="242"/>
      <c r="E514" s="242"/>
      <c r="F514" s="242"/>
      <c r="G514" s="242"/>
      <c r="H514" s="13"/>
      <c r="I514" s="13"/>
      <c r="J514" s="13"/>
      <c r="K514" s="13"/>
      <c r="L514" s="242"/>
      <c r="M514" s="242"/>
      <c r="N514" s="242"/>
      <c r="O514" s="242"/>
      <c r="P514" s="242"/>
      <c r="Q514" s="242"/>
      <c r="R514" s="242"/>
      <c r="S514" s="242"/>
      <c r="T514" s="242"/>
      <c r="U514" s="242"/>
      <c r="V514" s="242"/>
      <c r="W514" s="242"/>
      <c r="X514" s="242"/>
      <c r="Y514" s="242"/>
      <c r="Z514" s="242"/>
      <c r="AA514" s="242"/>
    </row>
    <row r="515">
      <c r="A515" s="242"/>
      <c r="B515" s="242"/>
      <c r="C515" s="13"/>
      <c r="D515" s="242"/>
      <c r="E515" s="242"/>
      <c r="F515" s="242"/>
      <c r="G515" s="242"/>
      <c r="H515" s="13"/>
      <c r="I515" s="13"/>
      <c r="J515" s="13"/>
      <c r="K515" s="13"/>
      <c r="L515" s="242"/>
      <c r="M515" s="242"/>
      <c r="N515" s="242"/>
      <c r="O515" s="242"/>
      <c r="P515" s="242"/>
      <c r="Q515" s="242"/>
      <c r="R515" s="242"/>
      <c r="S515" s="242"/>
      <c r="T515" s="242"/>
      <c r="U515" s="242"/>
      <c r="V515" s="242"/>
      <c r="W515" s="242"/>
      <c r="X515" s="242"/>
      <c r="Y515" s="242"/>
      <c r="Z515" s="242"/>
      <c r="AA515" s="242"/>
    </row>
    <row r="516">
      <c r="A516" s="242"/>
      <c r="B516" s="242"/>
      <c r="C516" s="13"/>
      <c r="D516" s="242"/>
      <c r="E516" s="242"/>
      <c r="F516" s="242"/>
      <c r="G516" s="242"/>
      <c r="H516" s="13"/>
      <c r="I516" s="13"/>
      <c r="J516" s="13"/>
      <c r="K516" s="13"/>
      <c r="L516" s="242"/>
      <c r="M516" s="242"/>
      <c r="N516" s="242"/>
      <c r="O516" s="242"/>
      <c r="P516" s="242"/>
      <c r="Q516" s="242"/>
      <c r="R516" s="242"/>
      <c r="S516" s="242"/>
      <c r="T516" s="242"/>
      <c r="U516" s="242"/>
      <c r="V516" s="242"/>
      <c r="W516" s="242"/>
      <c r="X516" s="242"/>
      <c r="Y516" s="242"/>
      <c r="Z516" s="242"/>
      <c r="AA516" s="242"/>
    </row>
    <row r="517">
      <c r="A517" s="242"/>
      <c r="B517" s="242"/>
      <c r="C517" s="13"/>
      <c r="D517" s="242"/>
      <c r="E517" s="242"/>
      <c r="F517" s="242"/>
      <c r="G517" s="242"/>
      <c r="H517" s="13"/>
      <c r="I517" s="13"/>
      <c r="J517" s="13"/>
      <c r="K517" s="13"/>
      <c r="L517" s="242"/>
      <c r="M517" s="242"/>
      <c r="N517" s="242"/>
      <c r="O517" s="242"/>
      <c r="P517" s="242"/>
      <c r="Q517" s="242"/>
      <c r="R517" s="242"/>
      <c r="S517" s="242"/>
      <c r="T517" s="242"/>
      <c r="U517" s="242"/>
      <c r="V517" s="242"/>
      <c r="W517" s="242"/>
      <c r="X517" s="242"/>
      <c r="Y517" s="242"/>
      <c r="Z517" s="242"/>
      <c r="AA517" s="242"/>
    </row>
    <row r="518">
      <c r="A518" s="242"/>
      <c r="B518" s="242"/>
      <c r="C518" s="13"/>
      <c r="D518" s="242"/>
      <c r="E518" s="242"/>
      <c r="F518" s="242"/>
      <c r="G518" s="242"/>
      <c r="H518" s="13"/>
      <c r="I518" s="13"/>
      <c r="J518" s="13"/>
      <c r="K518" s="13"/>
      <c r="L518" s="242"/>
      <c r="M518" s="242"/>
      <c r="N518" s="242"/>
      <c r="O518" s="242"/>
      <c r="P518" s="242"/>
      <c r="Q518" s="242"/>
      <c r="R518" s="242"/>
      <c r="S518" s="242"/>
      <c r="T518" s="242"/>
      <c r="U518" s="242"/>
      <c r="V518" s="242"/>
      <c r="W518" s="242"/>
      <c r="X518" s="242"/>
      <c r="Y518" s="242"/>
      <c r="Z518" s="242"/>
      <c r="AA518" s="242"/>
    </row>
    <row r="519">
      <c r="A519" s="242"/>
      <c r="B519" s="242"/>
      <c r="C519" s="13"/>
      <c r="D519" s="242"/>
      <c r="E519" s="242"/>
      <c r="F519" s="242"/>
      <c r="G519" s="242"/>
      <c r="H519" s="13"/>
      <c r="I519" s="13"/>
      <c r="J519" s="13"/>
      <c r="K519" s="13"/>
      <c r="L519" s="242"/>
      <c r="M519" s="242"/>
      <c r="N519" s="242"/>
      <c r="O519" s="242"/>
      <c r="P519" s="242"/>
      <c r="Q519" s="242"/>
      <c r="R519" s="242"/>
      <c r="S519" s="242"/>
      <c r="T519" s="242"/>
      <c r="U519" s="242"/>
      <c r="V519" s="242"/>
      <c r="W519" s="242"/>
      <c r="X519" s="242"/>
      <c r="Y519" s="242"/>
      <c r="Z519" s="242"/>
      <c r="AA519" s="242"/>
    </row>
    <row r="520">
      <c r="A520" s="242"/>
      <c r="B520" s="242"/>
      <c r="C520" s="13"/>
      <c r="D520" s="242"/>
      <c r="E520" s="242"/>
      <c r="F520" s="242"/>
      <c r="G520" s="242"/>
      <c r="H520" s="13"/>
      <c r="I520" s="13"/>
      <c r="J520" s="13"/>
      <c r="K520" s="13"/>
      <c r="L520" s="242"/>
      <c r="M520" s="242"/>
      <c r="N520" s="242"/>
      <c r="O520" s="242"/>
      <c r="P520" s="242"/>
      <c r="Q520" s="242"/>
      <c r="R520" s="242"/>
      <c r="S520" s="242"/>
      <c r="T520" s="242"/>
      <c r="U520" s="242"/>
      <c r="V520" s="242"/>
      <c r="W520" s="242"/>
      <c r="X520" s="242"/>
      <c r="Y520" s="242"/>
      <c r="Z520" s="242"/>
      <c r="AA520" s="242"/>
    </row>
    <row r="521">
      <c r="A521" s="242"/>
      <c r="B521" s="242"/>
      <c r="C521" s="13"/>
      <c r="D521" s="242"/>
      <c r="E521" s="242"/>
      <c r="F521" s="242"/>
      <c r="G521" s="242"/>
      <c r="H521" s="13"/>
      <c r="I521" s="13"/>
      <c r="J521" s="13"/>
      <c r="K521" s="13"/>
      <c r="L521" s="242"/>
      <c r="M521" s="242"/>
      <c r="N521" s="242"/>
      <c r="O521" s="242"/>
      <c r="P521" s="242"/>
      <c r="Q521" s="242"/>
      <c r="R521" s="242"/>
      <c r="S521" s="242"/>
      <c r="T521" s="242"/>
      <c r="U521" s="242"/>
      <c r="V521" s="242"/>
      <c r="W521" s="242"/>
      <c r="X521" s="242"/>
      <c r="Y521" s="242"/>
      <c r="Z521" s="242"/>
      <c r="AA521" s="242"/>
    </row>
    <row r="522">
      <c r="A522" s="242"/>
      <c r="B522" s="242"/>
      <c r="C522" s="13"/>
      <c r="D522" s="242"/>
      <c r="E522" s="242"/>
      <c r="F522" s="242"/>
      <c r="G522" s="242"/>
      <c r="H522" s="13"/>
      <c r="I522" s="13"/>
      <c r="J522" s="13"/>
      <c r="K522" s="13"/>
      <c r="L522" s="242"/>
      <c r="M522" s="242"/>
      <c r="N522" s="242"/>
      <c r="O522" s="242"/>
      <c r="P522" s="242"/>
      <c r="Q522" s="242"/>
      <c r="R522" s="242"/>
      <c r="S522" s="242"/>
      <c r="T522" s="242"/>
      <c r="U522" s="242"/>
      <c r="V522" s="242"/>
      <c r="W522" s="242"/>
      <c r="X522" s="242"/>
      <c r="Y522" s="242"/>
      <c r="Z522" s="242"/>
      <c r="AA522" s="242"/>
    </row>
    <row r="523">
      <c r="A523" s="242"/>
      <c r="B523" s="242"/>
      <c r="C523" s="13"/>
      <c r="D523" s="242"/>
      <c r="E523" s="242"/>
      <c r="F523" s="242"/>
      <c r="G523" s="242"/>
      <c r="H523" s="13"/>
      <c r="I523" s="13"/>
      <c r="J523" s="13"/>
      <c r="K523" s="13"/>
      <c r="L523" s="242"/>
      <c r="M523" s="242"/>
      <c r="N523" s="242"/>
      <c r="O523" s="242"/>
      <c r="P523" s="242"/>
      <c r="Q523" s="242"/>
      <c r="R523" s="242"/>
      <c r="S523" s="242"/>
      <c r="T523" s="242"/>
      <c r="U523" s="242"/>
      <c r="V523" s="242"/>
      <c r="W523" s="242"/>
      <c r="X523" s="242"/>
      <c r="Y523" s="242"/>
      <c r="Z523" s="242"/>
      <c r="AA523" s="242"/>
    </row>
    <row r="524">
      <c r="A524" s="242"/>
      <c r="B524" s="242"/>
      <c r="C524" s="13"/>
      <c r="D524" s="242"/>
      <c r="E524" s="242"/>
      <c r="F524" s="242"/>
      <c r="G524" s="242"/>
      <c r="H524" s="13"/>
      <c r="I524" s="13"/>
      <c r="J524" s="13"/>
      <c r="K524" s="13"/>
      <c r="L524" s="242"/>
      <c r="M524" s="242"/>
      <c r="N524" s="242"/>
      <c r="O524" s="242"/>
      <c r="P524" s="242"/>
      <c r="Q524" s="242"/>
      <c r="R524" s="242"/>
      <c r="S524" s="242"/>
      <c r="T524" s="242"/>
      <c r="U524" s="242"/>
      <c r="V524" s="242"/>
      <c r="W524" s="242"/>
      <c r="X524" s="242"/>
      <c r="Y524" s="242"/>
      <c r="Z524" s="242"/>
      <c r="AA524" s="242"/>
    </row>
    <row r="525">
      <c r="A525" s="242"/>
      <c r="B525" s="242"/>
      <c r="C525" s="13"/>
      <c r="D525" s="242"/>
      <c r="E525" s="242"/>
      <c r="F525" s="242"/>
      <c r="G525" s="242"/>
      <c r="H525" s="13"/>
      <c r="I525" s="13"/>
      <c r="J525" s="13"/>
      <c r="K525" s="13"/>
      <c r="L525" s="242"/>
      <c r="M525" s="242"/>
      <c r="N525" s="242"/>
      <c r="O525" s="242"/>
      <c r="P525" s="242"/>
      <c r="Q525" s="242"/>
      <c r="R525" s="242"/>
      <c r="S525" s="242"/>
      <c r="T525" s="242"/>
      <c r="U525" s="242"/>
      <c r="V525" s="242"/>
      <c r="W525" s="242"/>
      <c r="X525" s="242"/>
      <c r="Y525" s="242"/>
      <c r="Z525" s="242"/>
      <c r="AA525" s="242"/>
    </row>
    <row r="526">
      <c r="A526" s="242"/>
      <c r="B526" s="242"/>
      <c r="C526" s="13"/>
      <c r="D526" s="242"/>
      <c r="E526" s="242"/>
      <c r="F526" s="242"/>
      <c r="G526" s="242"/>
      <c r="H526" s="13"/>
      <c r="I526" s="13"/>
      <c r="J526" s="13"/>
      <c r="K526" s="13"/>
      <c r="L526" s="242"/>
      <c r="M526" s="242"/>
      <c r="N526" s="242"/>
      <c r="O526" s="242"/>
      <c r="P526" s="242"/>
      <c r="Q526" s="242"/>
      <c r="R526" s="242"/>
      <c r="S526" s="242"/>
      <c r="T526" s="242"/>
      <c r="U526" s="242"/>
      <c r="V526" s="242"/>
      <c r="W526" s="242"/>
      <c r="X526" s="242"/>
      <c r="Y526" s="242"/>
      <c r="Z526" s="242"/>
      <c r="AA526" s="242"/>
    </row>
    <row r="527">
      <c r="A527" s="242"/>
      <c r="B527" s="242"/>
      <c r="C527" s="13"/>
      <c r="D527" s="242"/>
      <c r="E527" s="242"/>
      <c r="F527" s="242"/>
      <c r="G527" s="242"/>
      <c r="H527" s="13"/>
      <c r="I527" s="13"/>
      <c r="J527" s="13"/>
      <c r="K527" s="13"/>
      <c r="L527" s="242"/>
      <c r="M527" s="242"/>
      <c r="N527" s="242"/>
      <c r="O527" s="242"/>
      <c r="P527" s="242"/>
      <c r="Q527" s="242"/>
      <c r="R527" s="242"/>
      <c r="S527" s="242"/>
      <c r="T527" s="242"/>
      <c r="U527" s="242"/>
      <c r="V527" s="242"/>
      <c r="W527" s="242"/>
      <c r="X527" s="242"/>
      <c r="Y527" s="242"/>
      <c r="Z527" s="242"/>
      <c r="AA527" s="242"/>
    </row>
    <row r="528">
      <c r="A528" s="242"/>
      <c r="B528" s="242"/>
      <c r="C528" s="13"/>
      <c r="D528" s="242"/>
      <c r="E528" s="242"/>
      <c r="F528" s="242"/>
      <c r="G528" s="242"/>
      <c r="H528" s="13"/>
      <c r="I528" s="13"/>
      <c r="J528" s="13"/>
      <c r="K528" s="13"/>
      <c r="L528" s="242"/>
      <c r="M528" s="242"/>
      <c r="N528" s="242"/>
      <c r="O528" s="242"/>
      <c r="P528" s="242"/>
      <c r="Q528" s="242"/>
      <c r="R528" s="242"/>
      <c r="S528" s="242"/>
      <c r="T528" s="242"/>
      <c r="U528" s="242"/>
      <c r="V528" s="242"/>
      <c r="W528" s="242"/>
      <c r="X528" s="242"/>
      <c r="Y528" s="242"/>
      <c r="Z528" s="242"/>
      <c r="AA528" s="242"/>
    </row>
    <row r="529">
      <c r="A529" s="242"/>
      <c r="B529" s="242"/>
      <c r="C529" s="13"/>
      <c r="D529" s="242"/>
      <c r="E529" s="242"/>
      <c r="F529" s="242"/>
      <c r="G529" s="242"/>
      <c r="H529" s="13"/>
      <c r="I529" s="13"/>
      <c r="J529" s="13"/>
      <c r="K529" s="13"/>
      <c r="L529" s="242"/>
      <c r="M529" s="242"/>
      <c r="N529" s="242"/>
      <c r="O529" s="242"/>
      <c r="P529" s="242"/>
      <c r="Q529" s="242"/>
      <c r="R529" s="242"/>
      <c r="S529" s="242"/>
      <c r="T529" s="242"/>
      <c r="U529" s="242"/>
      <c r="V529" s="242"/>
      <c r="W529" s="242"/>
      <c r="X529" s="242"/>
      <c r="Y529" s="242"/>
      <c r="Z529" s="242"/>
      <c r="AA529" s="242"/>
    </row>
    <row r="530">
      <c r="A530" s="242"/>
      <c r="B530" s="242"/>
      <c r="C530" s="13"/>
      <c r="D530" s="242"/>
      <c r="E530" s="242"/>
      <c r="F530" s="242"/>
      <c r="G530" s="242"/>
      <c r="H530" s="13"/>
      <c r="I530" s="13"/>
      <c r="J530" s="13"/>
      <c r="K530" s="13"/>
      <c r="L530" s="242"/>
      <c r="M530" s="242"/>
      <c r="N530" s="242"/>
      <c r="O530" s="242"/>
      <c r="P530" s="242"/>
      <c r="Q530" s="242"/>
      <c r="R530" s="242"/>
      <c r="S530" s="242"/>
      <c r="T530" s="242"/>
      <c r="U530" s="242"/>
      <c r="V530" s="242"/>
      <c r="W530" s="242"/>
      <c r="X530" s="242"/>
      <c r="Y530" s="242"/>
      <c r="Z530" s="242"/>
      <c r="AA530" s="242"/>
    </row>
    <row r="531">
      <c r="A531" s="242"/>
      <c r="B531" s="242"/>
      <c r="C531" s="13"/>
      <c r="D531" s="242"/>
      <c r="E531" s="242"/>
      <c r="F531" s="242"/>
      <c r="G531" s="242"/>
      <c r="H531" s="13"/>
      <c r="I531" s="13"/>
      <c r="J531" s="13"/>
      <c r="K531" s="13"/>
      <c r="L531" s="242"/>
      <c r="M531" s="242"/>
      <c r="N531" s="242"/>
      <c r="O531" s="242"/>
      <c r="P531" s="242"/>
      <c r="Q531" s="242"/>
      <c r="R531" s="242"/>
      <c r="S531" s="242"/>
      <c r="T531" s="242"/>
      <c r="U531" s="242"/>
      <c r="V531" s="242"/>
      <c r="W531" s="242"/>
      <c r="X531" s="242"/>
      <c r="Y531" s="242"/>
      <c r="Z531" s="242"/>
      <c r="AA531" s="242"/>
    </row>
    <row r="532">
      <c r="A532" s="242"/>
      <c r="B532" s="242"/>
      <c r="C532" s="13"/>
      <c r="D532" s="242"/>
      <c r="E532" s="242"/>
      <c r="F532" s="242"/>
      <c r="G532" s="242"/>
      <c r="H532" s="13"/>
      <c r="I532" s="13"/>
      <c r="J532" s="13"/>
      <c r="K532" s="13"/>
      <c r="L532" s="242"/>
      <c r="M532" s="242"/>
      <c r="N532" s="242"/>
      <c r="O532" s="242"/>
      <c r="P532" s="242"/>
      <c r="Q532" s="242"/>
      <c r="R532" s="242"/>
      <c r="S532" s="242"/>
      <c r="T532" s="242"/>
      <c r="U532" s="242"/>
      <c r="V532" s="242"/>
      <c r="W532" s="242"/>
      <c r="X532" s="242"/>
      <c r="Y532" s="242"/>
      <c r="Z532" s="242"/>
      <c r="AA532" s="242"/>
    </row>
    <row r="533">
      <c r="A533" s="242"/>
      <c r="B533" s="242"/>
      <c r="C533" s="13"/>
      <c r="D533" s="242"/>
      <c r="E533" s="242"/>
      <c r="F533" s="242"/>
      <c r="G533" s="242"/>
      <c r="H533" s="13"/>
      <c r="I533" s="13"/>
      <c r="J533" s="13"/>
      <c r="K533" s="13"/>
      <c r="L533" s="242"/>
      <c r="M533" s="242"/>
      <c r="N533" s="242"/>
      <c r="O533" s="242"/>
      <c r="P533" s="242"/>
      <c r="Q533" s="242"/>
      <c r="R533" s="242"/>
      <c r="S533" s="242"/>
      <c r="T533" s="242"/>
      <c r="U533" s="242"/>
      <c r="V533" s="242"/>
      <c r="W533" s="242"/>
      <c r="X533" s="242"/>
      <c r="Y533" s="242"/>
      <c r="Z533" s="242"/>
      <c r="AA533" s="242"/>
    </row>
    <row r="534">
      <c r="A534" s="242"/>
      <c r="B534" s="242"/>
      <c r="C534" s="13"/>
      <c r="D534" s="242"/>
      <c r="E534" s="242"/>
      <c r="F534" s="242"/>
      <c r="G534" s="242"/>
      <c r="H534" s="13"/>
      <c r="I534" s="13"/>
      <c r="J534" s="13"/>
      <c r="K534" s="13"/>
      <c r="L534" s="242"/>
      <c r="M534" s="242"/>
      <c r="N534" s="242"/>
      <c r="O534" s="242"/>
      <c r="P534" s="242"/>
      <c r="Q534" s="242"/>
      <c r="R534" s="242"/>
      <c r="S534" s="242"/>
      <c r="T534" s="242"/>
      <c r="U534" s="242"/>
      <c r="V534" s="242"/>
      <c r="W534" s="242"/>
      <c r="X534" s="242"/>
      <c r="Y534" s="242"/>
      <c r="Z534" s="242"/>
      <c r="AA534" s="242"/>
    </row>
    <row r="535">
      <c r="A535" s="242"/>
      <c r="B535" s="242"/>
      <c r="C535" s="13"/>
      <c r="D535" s="242"/>
      <c r="E535" s="242"/>
      <c r="F535" s="242"/>
      <c r="G535" s="242"/>
      <c r="H535" s="13"/>
      <c r="I535" s="13"/>
      <c r="J535" s="13"/>
      <c r="K535" s="13"/>
      <c r="L535" s="242"/>
      <c r="M535" s="242"/>
      <c r="N535" s="242"/>
      <c r="O535" s="242"/>
      <c r="P535" s="242"/>
      <c r="Q535" s="242"/>
      <c r="R535" s="242"/>
      <c r="S535" s="242"/>
      <c r="T535" s="242"/>
      <c r="U535" s="242"/>
      <c r="V535" s="242"/>
      <c r="W535" s="242"/>
      <c r="X535" s="242"/>
      <c r="Y535" s="242"/>
      <c r="Z535" s="242"/>
      <c r="AA535" s="242"/>
    </row>
    <row r="536">
      <c r="A536" s="242"/>
      <c r="B536" s="242"/>
      <c r="C536" s="13"/>
      <c r="D536" s="242"/>
      <c r="E536" s="242"/>
      <c r="F536" s="242"/>
      <c r="G536" s="242"/>
      <c r="H536" s="13"/>
      <c r="I536" s="13"/>
      <c r="J536" s="13"/>
      <c r="K536" s="13"/>
      <c r="L536" s="242"/>
      <c r="M536" s="242"/>
      <c r="N536" s="242"/>
      <c r="O536" s="242"/>
      <c r="P536" s="242"/>
      <c r="Q536" s="242"/>
      <c r="R536" s="242"/>
      <c r="S536" s="242"/>
      <c r="T536" s="242"/>
      <c r="U536" s="242"/>
      <c r="V536" s="242"/>
      <c r="W536" s="242"/>
      <c r="X536" s="242"/>
      <c r="Y536" s="242"/>
      <c r="Z536" s="242"/>
      <c r="AA536" s="242"/>
    </row>
    <row r="537">
      <c r="A537" s="242"/>
      <c r="B537" s="242"/>
      <c r="C537" s="13"/>
      <c r="D537" s="242"/>
      <c r="E537" s="242"/>
      <c r="F537" s="242"/>
      <c r="G537" s="242"/>
      <c r="H537" s="13"/>
      <c r="I537" s="13"/>
      <c r="J537" s="13"/>
      <c r="K537" s="13"/>
      <c r="L537" s="242"/>
      <c r="M537" s="242"/>
      <c r="N537" s="242"/>
      <c r="O537" s="242"/>
      <c r="P537" s="242"/>
      <c r="Q537" s="242"/>
      <c r="R537" s="242"/>
      <c r="S537" s="242"/>
      <c r="T537" s="242"/>
      <c r="U537" s="242"/>
      <c r="V537" s="242"/>
      <c r="W537" s="242"/>
      <c r="X537" s="242"/>
      <c r="Y537" s="242"/>
      <c r="Z537" s="242"/>
      <c r="AA537" s="242"/>
    </row>
    <row r="538">
      <c r="A538" s="242"/>
      <c r="B538" s="242"/>
      <c r="C538" s="13"/>
      <c r="D538" s="242"/>
      <c r="E538" s="242"/>
      <c r="F538" s="242"/>
      <c r="G538" s="242"/>
      <c r="H538" s="13"/>
      <c r="I538" s="13"/>
      <c r="J538" s="13"/>
      <c r="K538" s="13"/>
      <c r="L538" s="242"/>
      <c r="M538" s="242"/>
      <c r="N538" s="242"/>
      <c r="O538" s="242"/>
      <c r="P538" s="242"/>
      <c r="Q538" s="242"/>
      <c r="R538" s="242"/>
      <c r="S538" s="242"/>
      <c r="T538" s="242"/>
      <c r="U538" s="242"/>
      <c r="V538" s="242"/>
      <c r="W538" s="242"/>
      <c r="X538" s="242"/>
      <c r="Y538" s="242"/>
      <c r="Z538" s="242"/>
      <c r="AA538" s="242"/>
    </row>
    <row r="539">
      <c r="A539" s="242"/>
      <c r="B539" s="242"/>
      <c r="C539" s="13"/>
      <c r="D539" s="242"/>
      <c r="E539" s="242"/>
      <c r="F539" s="242"/>
      <c r="G539" s="242"/>
      <c r="H539" s="13"/>
      <c r="I539" s="13"/>
      <c r="J539" s="13"/>
      <c r="K539" s="13"/>
      <c r="L539" s="242"/>
      <c r="M539" s="242"/>
      <c r="N539" s="242"/>
      <c r="O539" s="242"/>
      <c r="P539" s="242"/>
      <c r="Q539" s="242"/>
      <c r="R539" s="242"/>
      <c r="S539" s="242"/>
      <c r="T539" s="242"/>
      <c r="U539" s="242"/>
      <c r="V539" s="242"/>
      <c r="W539" s="242"/>
      <c r="X539" s="242"/>
      <c r="Y539" s="242"/>
      <c r="Z539" s="242"/>
      <c r="AA539" s="242"/>
    </row>
    <row r="540">
      <c r="A540" s="242"/>
      <c r="B540" s="242"/>
      <c r="C540" s="13"/>
      <c r="D540" s="242"/>
      <c r="E540" s="242"/>
      <c r="F540" s="242"/>
      <c r="G540" s="242"/>
      <c r="H540" s="13"/>
      <c r="I540" s="13"/>
      <c r="J540" s="13"/>
      <c r="K540" s="13"/>
      <c r="L540" s="242"/>
      <c r="M540" s="242"/>
      <c r="N540" s="242"/>
      <c r="O540" s="242"/>
      <c r="P540" s="242"/>
      <c r="Q540" s="242"/>
      <c r="R540" s="242"/>
      <c r="S540" s="242"/>
      <c r="T540" s="242"/>
      <c r="U540" s="242"/>
      <c r="V540" s="242"/>
      <c r="W540" s="242"/>
      <c r="X540" s="242"/>
      <c r="Y540" s="242"/>
      <c r="Z540" s="242"/>
      <c r="AA540" s="242"/>
    </row>
    <row r="541">
      <c r="A541" s="242"/>
      <c r="B541" s="242"/>
      <c r="C541" s="13"/>
      <c r="D541" s="242"/>
      <c r="E541" s="242"/>
      <c r="F541" s="242"/>
      <c r="G541" s="242"/>
      <c r="H541" s="13"/>
      <c r="I541" s="13"/>
      <c r="J541" s="13"/>
      <c r="K541" s="13"/>
      <c r="L541" s="242"/>
      <c r="M541" s="242"/>
      <c r="N541" s="242"/>
      <c r="O541" s="242"/>
      <c r="P541" s="242"/>
      <c r="Q541" s="242"/>
      <c r="R541" s="242"/>
      <c r="S541" s="242"/>
      <c r="T541" s="242"/>
      <c r="U541" s="242"/>
      <c r="V541" s="242"/>
      <c r="W541" s="242"/>
      <c r="X541" s="242"/>
      <c r="Y541" s="242"/>
      <c r="Z541" s="242"/>
      <c r="AA541" s="242"/>
    </row>
    <row r="542">
      <c r="A542" s="242"/>
      <c r="B542" s="242"/>
      <c r="C542" s="13"/>
      <c r="D542" s="242"/>
      <c r="E542" s="242"/>
      <c r="F542" s="242"/>
      <c r="G542" s="242"/>
      <c r="H542" s="13"/>
      <c r="I542" s="13"/>
      <c r="J542" s="13"/>
      <c r="K542" s="13"/>
      <c r="L542" s="242"/>
      <c r="M542" s="242"/>
      <c r="N542" s="242"/>
      <c r="O542" s="242"/>
      <c r="P542" s="242"/>
      <c r="Q542" s="242"/>
      <c r="R542" s="242"/>
      <c r="S542" s="242"/>
      <c r="T542" s="242"/>
      <c r="U542" s="242"/>
      <c r="V542" s="242"/>
      <c r="W542" s="242"/>
      <c r="X542" s="242"/>
      <c r="Y542" s="242"/>
      <c r="Z542" s="242"/>
      <c r="AA542" s="242"/>
    </row>
    <row r="543">
      <c r="A543" s="242"/>
      <c r="B543" s="242"/>
      <c r="C543" s="13"/>
      <c r="D543" s="242"/>
      <c r="E543" s="242"/>
      <c r="F543" s="242"/>
      <c r="G543" s="242"/>
      <c r="H543" s="13"/>
      <c r="I543" s="13"/>
      <c r="J543" s="13"/>
      <c r="K543" s="13"/>
      <c r="L543" s="242"/>
      <c r="M543" s="242"/>
      <c r="N543" s="242"/>
      <c r="O543" s="242"/>
      <c r="P543" s="242"/>
      <c r="Q543" s="242"/>
      <c r="R543" s="242"/>
      <c r="S543" s="242"/>
      <c r="T543" s="242"/>
      <c r="U543" s="242"/>
      <c r="V543" s="242"/>
      <c r="W543" s="242"/>
      <c r="X543" s="242"/>
      <c r="Y543" s="242"/>
      <c r="Z543" s="242"/>
      <c r="AA543" s="242"/>
    </row>
    <row r="544">
      <c r="A544" s="242"/>
      <c r="B544" s="242"/>
      <c r="C544" s="13"/>
      <c r="D544" s="242"/>
      <c r="E544" s="242"/>
      <c r="F544" s="242"/>
      <c r="G544" s="242"/>
      <c r="H544" s="13"/>
      <c r="I544" s="13"/>
      <c r="J544" s="13"/>
      <c r="K544" s="13"/>
      <c r="L544" s="242"/>
      <c r="M544" s="242"/>
      <c r="N544" s="242"/>
      <c r="O544" s="242"/>
      <c r="P544" s="242"/>
      <c r="Q544" s="242"/>
      <c r="R544" s="242"/>
      <c r="S544" s="242"/>
      <c r="T544" s="242"/>
      <c r="U544" s="242"/>
      <c r="V544" s="242"/>
      <c r="W544" s="242"/>
      <c r="X544" s="242"/>
      <c r="Y544" s="242"/>
      <c r="Z544" s="242"/>
      <c r="AA544" s="242"/>
    </row>
    <row r="545">
      <c r="A545" s="242"/>
      <c r="B545" s="242"/>
      <c r="C545" s="13"/>
      <c r="D545" s="242"/>
      <c r="E545" s="242"/>
      <c r="F545" s="242"/>
      <c r="G545" s="242"/>
      <c r="H545" s="13"/>
      <c r="I545" s="13"/>
      <c r="J545" s="13"/>
      <c r="K545" s="13"/>
      <c r="L545" s="242"/>
      <c r="M545" s="242"/>
      <c r="N545" s="242"/>
      <c r="O545" s="242"/>
      <c r="P545" s="242"/>
      <c r="Q545" s="242"/>
      <c r="R545" s="242"/>
      <c r="S545" s="242"/>
      <c r="T545" s="242"/>
      <c r="U545" s="242"/>
      <c r="V545" s="242"/>
      <c r="W545" s="242"/>
      <c r="X545" s="242"/>
      <c r="Y545" s="242"/>
      <c r="Z545" s="242"/>
      <c r="AA545" s="242"/>
    </row>
    <row r="546">
      <c r="A546" s="242"/>
      <c r="B546" s="242"/>
      <c r="C546" s="13"/>
      <c r="D546" s="242"/>
      <c r="E546" s="242"/>
      <c r="F546" s="242"/>
      <c r="G546" s="242"/>
      <c r="H546" s="13"/>
      <c r="I546" s="13"/>
      <c r="J546" s="13"/>
      <c r="K546" s="13"/>
      <c r="L546" s="242"/>
      <c r="M546" s="242"/>
      <c r="N546" s="242"/>
      <c r="O546" s="242"/>
      <c r="P546" s="242"/>
      <c r="Q546" s="242"/>
      <c r="R546" s="242"/>
      <c r="S546" s="242"/>
      <c r="T546" s="242"/>
      <c r="U546" s="242"/>
      <c r="V546" s="242"/>
      <c r="W546" s="242"/>
      <c r="X546" s="242"/>
      <c r="Y546" s="242"/>
      <c r="Z546" s="242"/>
      <c r="AA546" s="242"/>
    </row>
    <row r="547">
      <c r="A547" s="242"/>
      <c r="B547" s="242"/>
      <c r="C547" s="13"/>
      <c r="D547" s="242"/>
      <c r="E547" s="242"/>
      <c r="F547" s="242"/>
      <c r="G547" s="242"/>
      <c r="H547" s="13"/>
      <c r="I547" s="13"/>
      <c r="J547" s="13"/>
      <c r="K547" s="13"/>
      <c r="L547" s="242"/>
      <c r="M547" s="242"/>
      <c r="N547" s="242"/>
      <c r="O547" s="242"/>
      <c r="P547" s="242"/>
      <c r="Q547" s="242"/>
      <c r="R547" s="242"/>
      <c r="S547" s="242"/>
      <c r="T547" s="242"/>
      <c r="U547" s="242"/>
      <c r="V547" s="242"/>
      <c r="W547" s="242"/>
      <c r="X547" s="242"/>
      <c r="Y547" s="242"/>
      <c r="Z547" s="242"/>
      <c r="AA547" s="242"/>
    </row>
    <row r="548">
      <c r="A548" s="242"/>
      <c r="B548" s="242"/>
      <c r="C548" s="13"/>
      <c r="D548" s="242"/>
      <c r="E548" s="242"/>
      <c r="F548" s="242"/>
      <c r="G548" s="242"/>
      <c r="H548" s="13"/>
      <c r="I548" s="13"/>
      <c r="J548" s="13"/>
      <c r="K548" s="13"/>
      <c r="L548" s="242"/>
      <c r="M548" s="242"/>
      <c r="N548" s="242"/>
      <c r="O548" s="242"/>
      <c r="P548" s="242"/>
      <c r="Q548" s="242"/>
      <c r="R548" s="242"/>
      <c r="S548" s="242"/>
      <c r="T548" s="242"/>
      <c r="U548" s="242"/>
      <c r="V548" s="242"/>
      <c r="W548" s="242"/>
      <c r="X548" s="242"/>
      <c r="Y548" s="242"/>
      <c r="Z548" s="242"/>
      <c r="AA548" s="242"/>
    </row>
    <row r="549">
      <c r="A549" s="242"/>
      <c r="B549" s="242"/>
      <c r="C549" s="13"/>
      <c r="D549" s="242"/>
      <c r="E549" s="242"/>
      <c r="F549" s="242"/>
      <c r="G549" s="242"/>
      <c r="H549" s="13"/>
      <c r="I549" s="13"/>
      <c r="J549" s="13"/>
      <c r="K549" s="13"/>
      <c r="L549" s="242"/>
      <c r="M549" s="242"/>
      <c r="N549" s="242"/>
      <c r="O549" s="242"/>
      <c r="P549" s="242"/>
      <c r="Q549" s="242"/>
      <c r="R549" s="242"/>
      <c r="S549" s="242"/>
      <c r="T549" s="242"/>
      <c r="U549" s="242"/>
      <c r="V549" s="242"/>
      <c r="W549" s="242"/>
      <c r="X549" s="242"/>
      <c r="Y549" s="242"/>
      <c r="Z549" s="242"/>
      <c r="AA549" s="242"/>
    </row>
    <row r="550">
      <c r="A550" s="242"/>
      <c r="B550" s="242"/>
      <c r="C550" s="13"/>
      <c r="D550" s="242"/>
      <c r="E550" s="242"/>
      <c r="F550" s="242"/>
      <c r="G550" s="242"/>
      <c r="H550" s="13"/>
      <c r="I550" s="13"/>
      <c r="J550" s="13"/>
      <c r="K550" s="13"/>
      <c r="L550" s="242"/>
      <c r="M550" s="242"/>
      <c r="N550" s="242"/>
      <c r="O550" s="242"/>
      <c r="P550" s="242"/>
      <c r="Q550" s="242"/>
      <c r="R550" s="242"/>
      <c r="S550" s="242"/>
      <c r="T550" s="242"/>
      <c r="U550" s="242"/>
      <c r="V550" s="242"/>
      <c r="W550" s="242"/>
      <c r="X550" s="242"/>
      <c r="Y550" s="242"/>
      <c r="Z550" s="242"/>
      <c r="AA550" s="242"/>
    </row>
    <row r="551">
      <c r="A551" s="242"/>
      <c r="B551" s="242"/>
      <c r="C551" s="13"/>
      <c r="D551" s="242"/>
      <c r="E551" s="242"/>
      <c r="F551" s="242"/>
      <c r="G551" s="242"/>
      <c r="H551" s="13"/>
      <c r="I551" s="13"/>
      <c r="J551" s="13"/>
      <c r="K551" s="13"/>
      <c r="L551" s="242"/>
      <c r="M551" s="242"/>
      <c r="N551" s="242"/>
      <c r="O551" s="242"/>
      <c r="P551" s="242"/>
      <c r="Q551" s="242"/>
      <c r="R551" s="242"/>
      <c r="S551" s="242"/>
      <c r="T551" s="242"/>
      <c r="U551" s="242"/>
      <c r="V551" s="242"/>
      <c r="W551" s="242"/>
      <c r="X551" s="242"/>
      <c r="Y551" s="242"/>
      <c r="Z551" s="242"/>
      <c r="AA551" s="242"/>
    </row>
    <row r="552">
      <c r="A552" s="242"/>
      <c r="B552" s="242"/>
      <c r="C552" s="13"/>
      <c r="D552" s="242"/>
      <c r="E552" s="242"/>
      <c r="F552" s="242"/>
      <c r="G552" s="242"/>
      <c r="H552" s="13"/>
      <c r="I552" s="13"/>
      <c r="J552" s="13"/>
      <c r="K552" s="13"/>
      <c r="L552" s="242"/>
      <c r="M552" s="242"/>
      <c r="N552" s="242"/>
      <c r="O552" s="242"/>
      <c r="P552" s="242"/>
      <c r="Q552" s="242"/>
      <c r="R552" s="242"/>
      <c r="S552" s="242"/>
      <c r="T552" s="242"/>
      <c r="U552" s="242"/>
      <c r="V552" s="242"/>
      <c r="W552" s="242"/>
      <c r="X552" s="242"/>
      <c r="Y552" s="242"/>
      <c r="Z552" s="242"/>
      <c r="AA552" s="242"/>
    </row>
    <row r="553">
      <c r="A553" s="242"/>
      <c r="B553" s="242"/>
      <c r="C553" s="13"/>
      <c r="D553" s="242"/>
      <c r="E553" s="242"/>
      <c r="F553" s="242"/>
      <c r="G553" s="242"/>
      <c r="H553" s="13"/>
      <c r="I553" s="13"/>
      <c r="J553" s="13"/>
      <c r="K553" s="13"/>
      <c r="L553" s="242"/>
      <c r="M553" s="242"/>
      <c r="N553" s="242"/>
      <c r="O553" s="242"/>
      <c r="P553" s="242"/>
      <c r="Q553" s="242"/>
      <c r="R553" s="242"/>
      <c r="S553" s="242"/>
      <c r="T553" s="242"/>
      <c r="U553" s="242"/>
      <c r="V553" s="242"/>
      <c r="W553" s="242"/>
      <c r="X553" s="242"/>
      <c r="Y553" s="242"/>
      <c r="Z553" s="242"/>
      <c r="AA553" s="242"/>
    </row>
    <row r="554">
      <c r="A554" s="242"/>
      <c r="B554" s="242"/>
      <c r="C554" s="13"/>
      <c r="D554" s="242"/>
      <c r="E554" s="242"/>
      <c r="F554" s="242"/>
      <c r="G554" s="242"/>
      <c r="H554" s="13"/>
      <c r="I554" s="13"/>
      <c r="J554" s="13"/>
      <c r="K554" s="13"/>
      <c r="L554" s="242"/>
      <c r="M554" s="242"/>
      <c r="N554" s="242"/>
      <c r="O554" s="242"/>
      <c r="P554" s="242"/>
      <c r="Q554" s="242"/>
      <c r="R554" s="242"/>
      <c r="S554" s="242"/>
      <c r="T554" s="242"/>
      <c r="U554" s="242"/>
      <c r="V554" s="242"/>
      <c r="W554" s="242"/>
      <c r="X554" s="242"/>
      <c r="Y554" s="242"/>
      <c r="Z554" s="242"/>
      <c r="AA554" s="242"/>
    </row>
    <row r="555">
      <c r="A555" s="242"/>
      <c r="B555" s="242"/>
      <c r="C555" s="13"/>
      <c r="D555" s="242"/>
      <c r="E555" s="242"/>
      <c r="F555" s="242"/>
      <c r="G555" s="242"/>
      <c r="H555" s="13"/>
      <c r="I555" s="13"/>
      <c r="J555" s="13"/>
      <c r="K555" s="13"/>
      <c r="L555" s="242"/>
      <c r="M555" s="242"/>
      <c r="N555" s="242"/>
      <c r="O555" s="242"/>
      <c r="P555" s="242"/>
      <c r="Q555" s="242"/>
      <c r="R555" s="242"/>
      <c r="S555" s="242"/>
      <c r="T555" s="242"/>
      <c r="U555" s="242"/>
      <c r="V555" s="242"/>
      <c r="W555" s="242"/>
      <c r="X555" s="242"/>
      <c r="Y555" s="242"/>
      <c r="Z555" s="242"/>
      <c r="AA555" s="242"/>
    </row>
    <row r="556">
      <c r="A556" s="242"/>
      <c r="B556" s="242"/>
      <c r="C556" s="13"/>
      <c r="D556" s="242"/>
      <c r="E556" s="242"/>
      <c r="F556" s="242"/>
      <c r="G556" s="242"/>
      <c r="H556" s="13"/>
      <c r="I556" s="13"/>
      <c r="J556" s="13"/>
      <c r="K556" s="13"/>
      <c r="L556" s="242"/>
      <c r="M556" s="242"/>
      <c r="N556" s="242"/>
      <c r="O556" s="242"/>
      <c r="P556" s="242"/>
      <c r="Q556" s="242"/>
      <c r="R556" s="242"/>
      <c r="S556" s="242"/>
      <c r="T556" s="242"/>
      <c r="U556" s="242"/>
      <c r="V556" s="242"/>
      <c r="W556" s="242"/>
      <c r="X556" s="242"/>
      <c r="Y556" s="242"/>
      <c r="Z556" s="242"/>
      <c r="AA556" s="242"/>
    </row>
    <row r="557">
      <c r="A557" s="242"/>
      <c r="B557" s="242"/>
      <c r="C557" s="13"/>
      <c r="D557" s="242"/>
      <c r="E557" s="242"/>
      <c r="F557" s="242"/>
      <c r="G557" s="242"/>
      <c r="H557" s="13"/>
      <c r="I557" s="13"/>
      <c r="J557" s="13"/>
      <c r="K557" s="13"/>
      <c r="L557" s="242"/>
      <c r="M557" s="242"/>
      <c r="N557" s="242"/>
      <c r="O557" s="242"/>
      <c r="P557" s="242"/>
      <c r="Q557" s="242"/>
      <c r="R557" s="242"/>
      <c r="S557" s="242"/>
      <c r="T557" s="242"/>
      <c r="U557" s="242"/>
      <c r="V557" s="242"/>
      <c r="W557" s="242"/>
      <c r="X557" s="242"/>
      <c r="Y557" s="242"/>
      <c r="Z557" s="242"/>
      <c r="AA557" s="242"/>
    </row>
    <row r="558">
      <c r="A558" s="242"/>
      <c r="B558" s="242"/>
      <c r="C558" s="13"/>
      <c r="D558" s="242"/>
      <c r="E558" s="242"/>
      <c r="F558" s="242"/>
      <c r="G558" s="242"/>
      <c r="H558" s="13"/>
      <c r="I558" s="13"/>
      <c r="J558" s="13"/>
      <c r="K558" s="13"/>
      <c r="L558" s="242"/>
      <c r="M558" s="242"/>
      <c r="N558" s="242"/>
      <c r="O558" s="242"/>
      <c r="P558" s="242"/>
      <c r="Q558" s="242"/>
      <c r="R558" s="242"/>
      <c r="S558" s="242"/>
      <c r="T558" s="242"/>
      <c r="U558" s="242"/>
      <c r="V558" s="242"/>
      <c r="W558" s="242"/>
      <c r="X558" s="242"/>
      <c r="Y558" s="242"/>
      <c r="Z558" s="242"/>
      <c r="AA558" s="242"/>
    </row>
    <row r="559">
      <c r="A559" s="242"/>
      <c r="B559" s="242"/>
      <c r="C559" s="13"/>
      <c r="D559" s="242"/>
      <c r="E559" s="242"/>
      <c r="F559" s="242"/>
      <c r="G559" s="242"/>
      <c r="H559" s="13"/>
      <c r="I559" s="13"/>
      <c r="J559" s="13"/>
      <c r="K559" s="13"/>
      <c r="L559" s="242"/>
      <c r="M559" s="242"/>
      <c r="N559" s="242"/>
      <c r="O559" s="242"/>
      <c r="P559" s="242"/>
      <c r="Q559" s="242"/>
      <c r="R559" s="242"/>
      <c r="S559" s="242"/>
      <c r="T559" s="242"/>
      <c r="U559" s="242"/>
      <c r="V559" s="242"/>
      <c r="W559" s="242"/>
      <c r="X559" s="242"/>
      <c r="Y559" s="242"/>
      <c r="Z559" s="242"/>
      <c r="AA559" s="242"/>
    </row>
    <row r="560">
      <c r="A560" s="242"/>
      <c r="B560" s="242"/>
      <c r="C560" s="13"/>
      <c r="D560" s="242"/>
      <c r="E560" s="242"/>
      <c r="F560" s="242"/>
      <c r="G560" s="242"/>
      <c r="H560" s="13"/>
      <c r="I560" s="13"/>
      <c r="J560" s="13"/>
      <c r="K560" s="13"/>
      <c r="L560" s="242"/>
      <c r="M560" s="242"/>
      <c r="N560" s="242"/>
      <c r="O560" s="242"/>
      <c r="P560" s="242"/>
      <c r="Q560" s="242"/>
      <c r="R560" s="242"/>
      <c r="S560" s="242"/>
      <c r="T560" s="242"/>
      <c r="U560" s="242"/>
      <c r="V560" s="242"/>
      <c r="W560" s="242"/>
      <c r="X560" s="242"/>
      <c r="Y560" s="242"/>
      <c r="Z560" s="242"/>
      <c r="AA560" s="242"/>
    </row>
    <row r="561">
      <c r="A561" s="242"/>
      <c r="B561" s="242"/>
      <c r="C561" s="13"/>
      <c r="D561" s="242"/>
      <c r="E561" s="242"/>
      <c r="F561" s="242"/>
      <c r="G561" s="242"/>
      <c r="H561" s="13"/>
      <c r="I561" s="13"/>
      <c r="J561" s="13"/>
      <c r="K561" s="13"/>
      <c r="L561" s="242"/>
      <c r="M561" s="242"/>
      <c r="N561" s="242"/>
      <c r="O561" s="242"/>
      <c r="P561" s="242"/>
      <c r="Q561" s="242"/>
      <c r="R561" s="242"/>
      <c r="S561" s="242"/>
      <c r="T561" s="242"/>
      <c r="U561" s="242"/>
      <c r="V561" s="242"/>
      <c r="W561" s="242"/>
      <c r="X561" s="242"/>
      <c r="Y561" s="242"/>
      <c r="Z561" s="242"/>
      <c r="AA561" s="242"/>
    </row>
    <row r="562">
      <c r="A562" s="242"/>
      <c r="B562" s="242"/>
      <c r="C562" s="13"/>
      <c r="D562" s="242"/>
      <c r="E562" s="242"/>
      <c r="F562" s="242"/>
      <c r="G562" s="242"/>
      <c r="H562" s="13"/>
      <c r="I562" s="13"/>
      <c r="J562" s="13"/>
      <c r="K562" s="13"/>
      <c r="L562" s="242"/>
      <c r="M562" s="242"/>
      <c r="N562" s="242"/>
      <c r="O562" s="242"/>
      <c r="P562" s="242"/>
      <c r="Q562" s="242"/>
      <c r="R562" s="242"/>
      <c r="S562" s="242"/>
      <c r="T562" s="242"/>
      <c r="U562" s="242"/>
      <c r="V562" s="242"/>
      <c r="W562" s="242"/>
      <c r="X562" s="242"/>
      <c r="Y562" s="242"/>
      <c r="Z562" s="242"/>
      <c r="AA562" s="242"/>
    </row>
    <row r="563">
      <c r="A563" s="242"/>
      <c r="B563" s="242"/>
      <c r="C563" s="13"/>
      <c r="D563" s="242"/>
      <c r="E563" s="242"/>
      <c r="F563" s="242"/>
      <c r="G563" s="242"/>
      <c r="H563" s="13"/>
      <c r="I563" s="13"/>
      <c r="J563" s="13"/>
      <c r="K563" s="13"/>
      <c r="L563" s="242"/>
      <c r="M563" s="242"/>
      <c r="N563" s="242"/>
      <c r="O563" s="242"/>
      <c r="P563" s="242"/>
      <c r="Q563" s="242"/>
      <c r="R563" s="242"/>
      <c r="S563" s="242"/>
      <c r="T563" s="242"/>
      <c r="U563" s="242"/>
      <c r="V563" s="242"/>
      <c r="W563" s="242"/>
      <c r="X563" s="242"/>
      <c r="Y563" s="242"/>
      <c r="Z563" s="242"/>
      <c r="AA563" s="242"/>
    </row>
    <row r="564">
      <c r="A564" s="242"/>
      <c r="B564" s="242"/>
      <c r="C564" s="13"/>
      <c r="D564" s="242"/>
      <c r="E564" s="242"/>
      <c r="F564" s="242"/>
      <c r="G564" s="242"/>
      <c r="H564" s="13"/>
      <c r="I564" s="13"/>
      <c r="J564" s="13"/>
      <c r="K564" s="13"/>
      <c r="L564" s="242"/>
      <c r="M564" s="242"/>
      <c r="N564" s="242"/>
      <c r="O564" s="242"/>
      <c r="P564" s="242"/>
      <c r="Q564" s="242"/>
      <c r="R564" s="242"/>
      <c r="S564" s="242"/>
      <c r="T564" s="242"/>
      <c r="U564" s="242"/>
      <c r="V564" s="242"/>
      <c r="W564" s="242"/>
      <c r="X564" s="242"/>
      <c r="Y564" s="242"/>
      <c r="Z564" s="242"/>
      <c r="AA564" s="242"/>
    </row>
    <row r="565">
      <c r="A565" s="242"/>
      <c r="B565" s="242"/>
      <c r="C565" s="13"/>
      <c r="D565" s="242"/>
      <c r="E565" s="242"/>
      <c r="F565" s="242"/>
      <c r="G565" s="242"/>
      <c r="H565" s="13"/>
      <c r="I565" s="13"/>
      <c r="J565" s="13"/>
      <c r="K565" s="13"/>
      <c r="L565" s="242"/>
      <c r="M565" s="242"/>
      <c r="N565" s="242"/>
      <c r="O565" s="242"/>
      <c r="P565" s="242"/>
      <c r="Q565" s="242"/>
      <c r="R565" s="242"/>
      <c r="S565" s="242"/>
      <c r="T565" s="242"/>
      <c r="U565" s="242"/>
      <c r="V565" s="242"/>
      <c r="W565" s="242"/>
      <c r="X565" s="242"/>
      <c r="Y565" s="242"/>
      <c r="Z565" s="242"/>
      <c r="AA565" s="242"/>
    </row>
    <row r="566">
      <c r="A566" s="242"/>
      <c r="B566" s="242"/>
      <c r="C566" s="13"/>
      <c r="D566" s="242"/>
      <c r="E566" s="242"/>
      <c r="F566" s="242"/>
      <c r="G566" s="242"/>
      <c r="H566" s="13"/>
      <c r="I566" s="13"/>
      <c r="J566" s="13"/>
      <c r="K566" s="13"/>
      <c r="L566" s="242"/>
      <c r="M566" s="242"/>
      <c r="N566" s="242"/>
      <c r="O566" s="242"/>
      <c r="P566" s="242"/>
      <c r="Q566" s="242"/>
      <c r="R566" s="242"/>
      <c r="S566" s="242"/>
      <c r="T566" s="242"/>
      <c r="U566" s="242"/>
      <c r="V566" s="242"/>
      <c r="W566" s="242"/>
      <c r="X566" s="242"/>
      <c r="Y566" s="242"/>
      <c r="Z566" s="242"/>
      <c r="AA566" s="242"/>
    </row>
    <row r="567">
      <c r="A567" s="242"/>
      <c r="B567" s="242"/>
      <c r="C567" s="13"/>
      <c r="D567" s="242"/>
      <c r="E567" s="242"/>
      <c r="F567" s="242"/>
      <c r="G567" s="242"/>
      <c r="H567" s="13"/>
      <c r="I567" s="13"/>
      <c r="J567" s="13"/>
      <c r="K567" s="13"/>
      <c r="L567" s="242"/>
      <c r="M567" s="242"/>
      <c r="N567" s="242"/>
      <c r="O567" s="242"/>
      <c r="P567" s="242"/>
      <c r="Q567" s="242"/>
      <c r="R567" s="242"/>
      <c r="S567" s="242"/>
      <c r="T567" s="242"/>
      <c r="U567" s="242"/>
      <c r="V567" s="242"/>
      <c r="W567" s="242"/>
      <c r="X567" s="242"/>
      <c r="Y567" s="242"/>
      <c r="Z567" s="242"/>
      <c r="AA567" s="242"/>
    </row>
    <row r="568">
      <c r="A568" s="242"/>
      <c r="B568" s="242"/>
      <c r="C568" s="13"/>
      <c r="D568" s="242"/>
      <c r="E568" s="242"/>
      <c r="F568" s="242"/>
      <c r="G568" s="242"/>
      <c r="H568" s="13"/>
      <c r="I568" s="13"/>
      <c r="J568" s="13"/>
      <c r="K568" s="13"/>
      <c r="L568" s="242"/>
      <c r="M568" s="242"/>
      <c r="N568" s="242"/>
      <c r="O568" s="242"/>
      <c r="P568" s="242"/>
      <c r="Q568" s="242"/>
      <c r="R568" s="242"/>
      <c r="S568" s="242"/>
      <c r="T568" s="242"/>
      <c r="U568" s="242"/>
      <c r="V568" s="242"/>
      <c r="W568" s="242"/>
      <c r="X568" s="242"/>
      <c r="Y568" s="242"/>
      <c r="Z568" s="242"/>
      <c r="AA568" s="242"/>
    </row>
    <row r="569">
      <c r="A569" s="242"/>
      <c r="B569" s="242"/>
      <c r="C569" s="13"/>
      <c r="D569" s="242"/>
      <c r="E569" s="242"/>
      <c r="F569" s="242"/>
      <c r="G569" s="242"/>
      <c r="H569" s="13"/>
      <c r="I569" s="13"/>
      <c r="J569" s="13"/>
      <c r="K569" s="13"/>
      <c r="L569" s="242"/>
      <c r="M569" s="242"/>
      <c r="N569" s="242"/>
      <c r="O569" s="242"/>
      <c r="P569" s="242"/>
      <c r="Q569" s="242"/>
      <c r="R569" s="242"/>
      <c r="S569" s="242"/>
      <c r="T569" s="242"/>
      <c r="U569" s="242"/>
      <c r="V569" s="242"/>
      <c r="W569" s="242"/>
      <c r="X569" s="242"/>
      <c r="Y569" s="242"/>
      <c r="Z569" s="242"/>
      <c r="AA569" s="242"/>
    </row>
    <row r="570">
      <c r="A570" s="242"/>
      <c r="B570" s="242"/>
      <c r="C570" s="13"/>
      <c r="D570" s="242"/>
      <c r="E570" s="242"/>
      <c r="F570" s="242"/>
      <c r="G570" s="242"/>
      <c r="H570" s="13"/>
      <c r="I570" s="13"/>
      <c r="J570" s="13"/>
      <c r="K570" s="13"/>
      <c r="L570" s="242"/>
      <c r="M570" s="242"/>
      <c r="N570" s="242"/>
      <c r="O570" s="242"/>
      <c r="P570" s="242"/>
      <c r="Q570" s="242"/>
      <c r="R570" s="242"/>
      <c r="S570" s="242"/>
      <c r="T570" s="242"/>
      <c r="U570" s="242"/>
      <c r="V570" s="242"/>
      <c r="W570" s="242"/>
      <c r="X570" s="242"/>
      <c r="Y570" s="242"/>
      <c r="Z570" s="242"/>
      <c r="AA570" s="242"/>
    </row>
    <row r="571">
      <c r="A571" s="242"/>
      <c r="B571" s="242"/>
      <c r="C571" s="13"/>
      <c r="D571" s="242"/>
      <c r="E571" s="242"/>
      <c r="F571" s="242"/>
      <c r="G571" s="242"/>
      <c r="H571" s="13"/>
      <c r="I571" s="13"/>
      <c r="J571" s="13"/>
      <c r="K571" s="13"/>
      <c r="L571" s="242"/>
      <c r="M571" s="242"/>
      <c r="N571" s="242"/>
      <c r="O571" s="242"/>
      <c r="P571" s="242"/>
      <c r="Q571" s="242"/>
      <c r="R571" s="242"/>
      <c r="S571" s="242"/>
      <c r="T571" s="242"/>
      <c r="U571" s="242"/>
      <c r="V571" s="242"/>
      <c r="W571" s="242"/>
      <c r="X571" s="242"/>
      <c r="Y571" s="242"/>
      <c r="Z571" s="242"/>
      <c r="AA571" s="242"/>
    </row>
    <row r="572">
      <c r="A572" s="242"/>
      <c r="B572" s="242"/>
      <c r="C572" s="13"/>
      <c r="D572" s="242"/>
      <c r="E572" s="242"/>
      <c r="F572" s="242"/>
      <c r="G572" s="242"/>
      <c r="H572" s="13"/>
      <c r="I572" s="13"/>
      <c r="J572" s="13"/>
      <c r="K572" s="13"/>
      <c r="L572" s="242"/>
      <c r="M572" s="242"/>
      <c r="N572" s="242"/>
      <c r="O572" s="242"/>
      <c r="P572" s="242"/>
      <c r="Q572" s="242"/>
      <c r="R572" s="242"/>
      <c r="S572" s="242"/>
      <c r="T572" s="242"/>
      <c r="U572" s="242"/>
      <c r="V572" s="242"/>
      <c r="W572" s="242"/>
      <c r="X572" s="242"/>
      <c r="Y572" s="242"/>
      <c r="Z572" s="242"/>
      <c r="AA572" s="242"/>
    </row>
    <row r="573">
      <c r="A573" s="242"/>
      <c r="B573" s="242"/>
      <c r="C573" s="13"/>
      <c r="D573" s="242"/>
      <c r="E573" s="242"/>
      <c r="F573" s="242"/>
      <c r="G573" s="242"/>
      <c r="H573" s="13"/>
      <c r="I573" s="13"/>
      <c r="J573" s="13"/>
      <c r="K573" s="13"/>
      <c r="L573" s="242"/>
      <c r="M573" s="242"/>
      <c r="N573" s="242"/>
      <c r="O573" s="242"/>
      <c r="P573" s="242"/>
      <c r="Q573" s="242"/>
      <c r="R573" s="242"/>
      <c r="S573" s="242"/>
      <c r="T573" s="242"/>
      <c r="U573" s="242"/>
      <c r="V573" s="242"/>
      <c r="W573" s="242"/>
      <c r="X573" s="242"/>
      <c r="Y573" s="242"/>
      <c r="Z573" s="242"/>
      <c r="AA573" s="242"/>
    </row>
    <row r="574">
      <c r="A574" s="242"/>
      <c r="B574" s="242"/>
      <c r="C574" s="13"/>
      <c r="D574" s="242"/>
      <c r="E574" s="242"/>
      <c r="F574" s="242"/>
      <c r="G574" s="242"/>
      <c r="H574" s="13"/>
      <c r="I574" s="13"/>
      <c r="J574" s="13"/>
      <c r="K574" s="13"/>
      <c r="L574" s="242"/>
      <c r="M574" s="242"/>
      <c r="N574" s="242"/>
      <c r="O574" s="242"/>
      <c r="P574" s="242"/>
      <c r="Q574" s="242"/>
      <c r="R574" s="242"/>
      <c r="S574" s="242"/>
      <c r="T574" s="242"/>
      <c r="U574" s="242"/>
      <c r="V574" s="242"/>
      <c r="W574" s="242"/>
      <c r="X574" s="242"/>
      <c r="Y574" s="242"/>
      <c r="Z574" s="242"/>
      <c r="AA574" s="242"/>
    </row>
    <row r="575">
      <c r="A575" s="242"/>
      <c r="B575" s="242"/>
      <c r="C575" s="13"/>
      <c r="D575" s="242"/>
      <c r="E575" s="242"/>
      <c r="F575" s="242"/>
      <c r="G575" s="242"/>
      <c r="H575" s="13"/>
      <c r="I575" s="13"/>
      <c r="J575" s="13"/>
      <c r="K575" s="13"/>
      <c r="L575" s="242"/>
      <c r="M575" s="242"/>
      <c r="N575" s="242"/>
      <c r="O575" s="242"/>
      <c r="P575" s="242"/>
      <c r="Q575" s="242"/>
      <c r="R575" s="242"/>
      <c r="S575" s="242"/>
      <c r="T575" s="242"/>
      <c r="U575" s="242"/>
      <c r="V575" s="242"/>
      <c r="W575" s="242"/>
      <c r="X575" s="242"/>
      <c r="Y575" s="242"/>
      <c r="Z575" s="242"/>
      <c r="AA575" s="242"/>
    </row>
    <row r="576">
      <c r="A576" s="242"/>
      <c r="B576" s="242"/>
      <c r="C576" s="13"/>
      <c r="D576" s="242"/>
      <c r="E576" s="242"/>
      <c r="F576" s="242"/>
      <c r="G576" s="242"/>
      <c r="H576" s="13"/>
      <c r="I576" s="13"/>
      <c r="J576" s="13"/>
      <c r="K576" s="13"/>
      <c r="L576" s="242"/>
      <c r="M576" s="242"/>
      <c r="N576" s="242"/>
      <c r="O576" s="242"/>
      <c r="P576" s="242"/>
      <c r="Q576" s="242"/>
      <c r="R576" s="242"/>
      <c r="S576" s="242"/>
      <c r="T576" s="242"/>
      <c r="U576" s="242"/>
      <c r="V576" s="242"/>
      <c r="W576" s="242"/>
      <c r="X576" s="242"/>
      <c r="Y576" s="242"/>
      <c r="Z576" s="242"/>
      <c r="AA576" s="242"/>
    </row>
    <row r="577">
      <c r="A577" s="242"/>
      <c r="B577" s="242"/>
      <c r="C577" s="13"/>
      <c r="D577" s="242"/>
      <c r="E577" s="242"/>
      <c r="F577" s="242"/>
      <c r="G577" s="242"/>
      <c r="H577" s="13"/>
      <c r="I577" s="13"/>
      <c r="J577" s="13"/>
      <c r="K577" s="13"/>
      <c r="L577" s="242"/>
      <c r="M577" s="242"/>
      <c r="N577" s="242"/>
      <c r="O577" s="242"/>
      <c r="P577" s="242"/>
      <c r="Q577" s="242"/>
      <c r="R577" s="242"/>
      <c r="S577" s="242"/>
      <c r="T577" s="242"/>
      <c r="U577" s="242"/>
      <c r="V577" s="242"/>
      <c r="W577" s="242"/>
      <c r="X577" s="242"/>
      <c r="Y577" s="242"/>
      <c r="Z577" s="242"/>
      <c r="AA577" s="242"/>
    </row>
    <row r="578">
      <c r="A578" s="242"/>
      <c r="B578" s="242"/>
      <c r="C578" s="13"/>
      <c r="D578" s="242"/>
      <c r="E578" s="242"/>
      <c r="F578" s="242"/>
      <c r="G578" s="242"/>
      <c r="H578" s="13"/>
      <c r="I578" s="13"/>
      <c r="J578" s="13"/>
      <c r="K578" s="13"/>
      <c r="L578" s="242"/>
      <c r="M578" s="242"/>
      <c r="N578" s="242"/>
      <c r="O578" s="242"/>
      <c r="P578" s="242"/>
      <c r="Q578" s="242"/>
      <c r="R578" s="242"/>
      <c r="S578" s="242"/>
      <c r="T578" s="242"/>
      <c r="U578" s="242"/>
      <c r="V578" s="242"/>
      <c r="W578" s="242"/>
      <c r="X578" s="242"/>
      <c r="Y578" s="242"/>
      <c r="Z578" s="242"/>
      <c r="AA578" s="242"/>
    </row>
    <row r="579">
      <c r="A579" s="242"/>
      <c r="B579" s="242"/>
      <c r="C579" s="13"/>
      <c r="D579" s="242"/>
      <c r="E579" s="242"/>
      <c r="F579" s="242"/>
      <c r="G579" s="242"/>
      <c r="H579" s="13"/>
      <c r="I579" s="13"/>
      <c r="J579" s="13"/>
      <c r="K579" s="13"/>
      <c r="L579" s="242"/>
      <c r="M579" s="242"/>
      <c r="N579" s="242"/>
      <c r="O579" s="242"/>
      <c r="P579" s="242"/>
      <c r="Q579" s="242"/>
      <c r="R579" s="242"/>
      <c r="S579" s="242"/>
      <c r="T579" s="242"/>
      <c r="U579" s="242"/>
      <c r="V579" s="242"/>
      <c r="W579" s="242"/>
      <c r="X579" s="242"/>
      <c r="Y579" s="242"/>
      <c r="Z579" s="242"/>
      <c r="AA579" s="242"/>
    </row>
    <row r="580">
      <c r="A580" s="242"/>
      <c r="B580" s="242"/>
      <c r="C580" s="13"/>
      <c r="D580" s="242"/>
      <c r="E580" s="242"/>
      <c r="F580" s="242"/>
      <c r="G580" s="242"/>
      <c r="H580" s="13"/>
      <c r="I580" s="13"/>
      <c r="J580" s="13"/>
      <c r="K580" s="13"/>
      <c r="L580" s="242"/>
      <c r="M580" s="242"/>
      <c r="N580" s="242"/>
      <c r="O580" s="242"/>
      <c r="P580" s="242"/>
      <c r="Q580" s="242"/>
      <c r="R580" s="242"/>
      <c r="S580" s="242"/>
      <c r="T580" s="242"/>
      <c r="U580" s="242"/>
      <c r="V580" s="242"/>
      <c r="W580" s="242"/>
      <c r="X580" s="242"/>
      <c r="Y580" s="242"/>
      <c r="Z580" s="242"/>
      <c r="AA580" s="242"/>
    </row>
    <row r="581">
      <c r="A581" s="242"/>
      <c r="B581" s="242"/>
      <c r="C581" s="13"/>
      <c r="D581" s="242"/>
      <c r="E581" s="242"/>
      <c r="F581" s="242"/>
      <c r="G581" s="242"/>
      <c r="H581" s="13"/>
      <c r="I581" s="13"/>
      <c r="J581" s="13"/>
      <c r="K581" s="13"/>
      <c r="L581" s="242"/>
      <c r="M581" s="242"/>
      <c r="N581" s="242"/>
      <c r="O581" s="242"/>
      <c r="P581" s="242"/>
      <c r="Q581" s="242"/>
      <c r="R581" s="242"/>
      <c r="S581" s="242"/>
      <c r="T581" s="242"/>
      <c r="U581" s="242"/>
      <c r="V581" s="242"/>
      <c r="W581" s="242"/>
      <c r="X581" s="242"/>
      <c r="Y581" s="242"/>
      <c r="Z581" s="242"/>
      <c r="AA581" s="242"/>
    </row>
    <row r="582">
      <c r="A582" s="242"/>
      <c r="B582" s="242"/>
      <c r="C582" s="13"/>
      <c r="D582" s="242"/>
      <c r="E582" s="242"/>
      <c r="F582" s="242"/>
      <c r="G582" s="242"/>
      <c r="H582" s="13"/>
      <c r="I582" s="13"/>
      <c r="J582" s="13"/>
      <c r="K582" s="13"/>
      <c r="L582" s="242"/>
      <c r="M582" s="242"/>
      <c r="N582" s="242"/>
      <c r="O582" s="242"/>
      <c r="P582" s="242"/>
      <c r="Q582" s="242"/>
      <c r="R582" s="242"/>
      <c r="S582" s="242"/>
      <c r="T582" s="242"/>
      <c r="U582" s="242"/>
      <c r="V582" s="242"/>
      <c r="W582" s="242"/>
      <c r="X582" s="242"/>
      <c r="Y582" s="242"/>
      <c r="Z582" s="242"/>
      <c r="AA582" s="242"/>
    </row>
    <row r="583">
      <c r="A583" s="242"/>
      <c r="B583" s="242"/>
      <c r="C583" s="13"/>
      <c r="D583" s="242"/>
      <c r="E583" s="242"/>
      <c r="F583" s="242"/>
      <c r="G583" s="242"/>
      <c r="H583" s="13"/>
      <c r="I583" s="13"/>
      <c r="J583" s="13"/>
      <c r="K583" s="13"/>
      <c r="L583" s="242"/>
      <c r="M583" s="242"/>
      <c r="N583" s="242"/>
      <c r="O583" s="242"/>
      <c r="P583" s="242"/>
      <c r="Q583" s="242"/>
      <c r="R583" s="242"/>
      <c r="S583" s="242"/>
      <c r="T583" s="242"/>
      <c r="U583" s="242"/>
      <c r="V583" s="242"/>
      <c r="W583" s="242"/>
      <c r="X583" s="242"/>
      <c r="Y583" s="242"/>
      <c r="Z583" s="242"/>
      <c r="AA583" s="242"/>
    </row>
    <row r="584">
      <c r="A584" s="242"/>
      <c r="B584" s="242"/>
      <c r="C584" s="13"/>
      <c r="D584" s="242"/>
      <c r="E584" s="242"/>
      <c r="F584" s="242"/>
      <c r="G584" s="242"/>
      <c r="H584" s="13"/>
      <c r="I584" s="13"/>
      <c r="J584" s="13"/>
      <c r="K584" s="13"/>
      <c r="L584" s="242"/>
      <c r="M584" s="242"/>
      <c r="N584" s="242"/>
      <c r="O584" s="242"/>
      <c r="P584" s="242"/>
      <c r="Q584" s="242"/>
      <c r="R584" s="242"/>
      <c r="S584" s="242"/>
      <c r="T584" s="242"/>
      <c r="U584" s="242"/>
      <c r="V584" s="242"/>
      <c r="W584" s="242"/>
      <c r="X584" s="242"/>
      <c r="Y584" s="242"/>
      <c r="Z584" s="242"/>
      <c r="AA584" s="242"/>
    </row>
    <row r="585">
      <c r="A585" s="242"/>
      <c r="B585" s="242"/>
      <c r="C585" s="13"/>
      <c r="D585" s="242"/>
      <c r="E585" s="242"/>
      <c r="F585" s="242"/>
      <c r="G585" s="242"/>
      <c r="H585" s="13"/>
      <c r="I585" s="13"/>
      <c r="J585" s="13"/>
      <c r="K585" s="13"/>
      <c r="L585" s="242"/>
      <c r="M585" s="242"/>
      <c r="N585" s="242"/>
      <c r="O585" s="242"/>
      <c r="P585" s="242"/>
      <c r="Q585" s="242"/>
      <c r="R585" s="242"/>
      <c r="S585" s="242"/>
      <c r="T585" s="242"/>
      <c r="U585" s="242"/>
      <c r="V585" s="242"/>
      <c r="W585" s="242"/>
      <c r="X585" s="242"/>
      <c r="Y585" s="242"/>
      <c r="Z585" s="242"/>
      <c r="AA585" s="242"/>
    </row>
    <row r="586">
      <c r="A586" s="242"/>
      <c r="B586" s="242"/>
      <c r="C586" s="13"/>
      <c r="D586" s="242"/>
      <c r="E586" s="242"/>
      <c r="F586" s="242"/>
      <c r="G586" s="242"/>
      <c r="H586" s="13"/>
      <c r="I586" s="13"/>
      <c r="J586" s="13"/>
      <c r="K586" s="13"/>
      <c r="L586" s="242"/>
      <c r="M586" s="242"/>
      <c r="N586" s="242"/>
      <c r="O586" s="242"/>
      <c r="P586" s="242"/>
      <c r="Q586" s="242"/>
      <c r="R586" s="242"/>
      <c r="S586" s="242"/>
      <c r="T586" s="242"/>
      <c r="U586" s="242"/>
      <c r="V586" s="242"/>
      <c r="W586" s="242"/>
      <c r="X586" s="242"/>
      <c r="Y586" s="242"/>
      <c r="Z586" s="242"/>
      <c r="AA586" s="242"/>
    </row>
    <row r="587">
      <c r="A587" s="242"/>
      <c r="B587" s="242"/>
      <c r="C587" s="13"/>
      <c r="D587" s="242"/>
      <c r="E587" s="242"/>
      <c r="F587" s="242"/>
      <c r="G587" s="242"/>
      <c r="H587" s="13"/>
      <c r="I587" s="13"/>
      <c r="J587" s="13"/>
      <c r="K587" s="13"/>
      <c r="L587" s="242"/>
      <c r="M587" s="242"/>
      <c r="N587" s="242"/>
      <c r="O587" s="242"/>
      <c r="P587" s="242"/>
      <c r="Q587" s="242"/>
      <c r="R587" s="242"/>
      <c r="S587" s="242"/>
      <c r="T587" s="242"/>
      <c r="U587" s="242"/>
      <c r="V587" s="242"/>
      <c r="W587" s="242"/>
      <c r="X587" s="242"/>
      <c r="Y587" s="242"/>
      <c r="Z587" s="242"/>
      <c r="AA587" s="242"/>
    </row>
    <row r="588">
      <c r="A588" s="242"/>
      <c r="B588" s="242"/>
      <c r="C588" s="13"/>
      <c r="D588" s="242"/>
      <c r="E588" s="242"/>
      <c r="F588" s="242"/>
      <c r="G588" s="242"/>
      <c r="H588" s="13"/>
      <c r="I588" s="13"/>
      <c r="J588" s="13"/>
      <c r="K588" s="13"/>
      <c r="L588" s="242"/>
      <c r="M588" s="242"/>
      <c r="N588" s="242"/>
      <c r="O588" s="242"/>
      <c r="P588" s="242"/>
      <c r="Q588" s="242"/>
      <c r="R588" s="242"/>
      <c r="S588" s="242"/>
      <c r="T588" s="242"/>
      <c r="U588" s="242"/>
      <c r="V588" s="242"/>
      <c r="W588" s="242"/>
      <c r="X588" s="242"/>
      <c r="Y588" s="242"/>
      <c r="Z588" s="242"/>
      <c r="AA588" s="242"/>
    </row>
    <row r="589">
      <c r="A589" s="242"/>
      <c r="B589" s="242"/>
      <c r="C589" s="13"/>
      <c r="D589" s="242"/>
      <c r="E589" s="242"/>
      <c r="F589" s="242"/>
      <c r="G589" s="242"/>
      <c r="H589" s="13"/>
      <c r="I589" s="13"/>
      <c r="J589" s="13"/>
      <c r="K589" s="13"/>
      <c r="L589" s="242"/>
      <c r="M589" s="242"/>
      <c r="N589" s="242"/>
      <c r="O589" s="242"/>
      <c r="P589" s="242"/>
      <c r="Q589" s="242"/>
      <c r="R589" s="242"/>
      <c r="S589" s="242"/>
      <c r="T589" s="242"/>
      <c r="U589" s="242"/>
      <c r="V589" s="242"/>
      <c r="W589" s="242"/>
      <c r="X589" s="242"/>
      <c r="Y589" s="242"/>
      <c r="Z589" s="242"/>
      <c r="AA589" s="242"/>
    </row>
    <row r="590">
      <c r="A590" s="242"/>
      <c r="B590" s="242"/>
      <c r="C590" s="13"/>
      <c r="D590" s="242"/>
      <c r="E590" s="242"/>
      <c r="F590" s="242"/>
      <c r="G590" s="242"/>
      <c r="H590" s="13"/>
      <c r="I590" s="13"/>
      <c r="J590" s="13"/>
      <c r="K590" s="13"/>
      <c r="L590" s="242"/>
      <c r="M590" s="242"/>
      <c r="N590" s="242"/>
      <c r="O590" s="242"/>
      <c r="P590" s="242"/>
      <c r="Q590" s="242"/>
      <c r="R590" s="242"/>
      <c r="S590" s="242"/>
      <c r="T590" s="242"/>
      <c r="U590" s="242"/>
      <c r="V590" s="242"/>
      <c r="W590" s="242"/>
      <c r="X590" s="242"/>
      <c r="Y590" s="242"/>
      <c r="Z590" s="242"/>
      <c r="AA590" s="242"/>
    </row>
    <row r="591">
      <c r="A591" s="242"/>
      <c r="B591" s="242"/>
      <c r="C591" s="13"/>
      <c r="D591" s="242"/>
      <c r="E591" s="242"/>
      <c r="F591" s="242"/>
      <c r="G591" s="242"/>
      <c r="H591" s="13"/>
      <c r="I591" s="13"/>
      <c r="J591" s="13"/>
      <c r="K591" s="13"/>
      <c r="L591" s="242"/>
      <c r="M591" s="242"/>
      <c r="N591" s="242"/>
      <c r="O591" s="242"/>
      <c r="P591" s="242"/>
      <c r="Q591" s="242"/>
      <c r="R591" s="242"/>
      <c r="S591" s="242"/>
      <c r="T591" s="242"/>
      <c r="U591" s="242"/>
      <c r="V591" s="242"/>
      <c r="W591" s="242"/>
      <c r="X591" s="242"/>
      <c r="Y591" s="242"/>
      <c r="Z591" s="242"/>
      <c r="AA591" s="242"/>
    </row>
    <row r="592">
      <c r="A592" s="242"/>
      <c r="B592" s="242"/>
      <c r="C592" s="13"/>
      <c r="D592" s="242"/>
      <c r="E592" s="242"/>
      <c r="F592" s="242"/>
      <c r="G592" s="242"/>
      <c r="H592" s="13"/>
      <c r="I592" s="13"/>
      <c r="J592" s="13"/>
      <c r="K592" s="13"/>
      <c r="L592" s="242"/>
      <c r="M592" s="242"/>
      <c r="N592" s="242"/>
      <c r="O592" s="242"/>
      <c r="P592" s="242"/>
      <c r="Q592" s="242"/>
      <c r="R592" s="242"/>
      <c r="S592" s="242"/>
      <c r="T592" s="242"/>
      <c r="U592" s="242"/>
      <c r="V592" s="242"/>
      <c r="W592" s="242"/>
      <c r="X592" s="242"/>
      <c r="Y592" s="242"/>
      <c r="Z592" s="242"/>
      <c r="AA592" s="242"/>
    </row>
    <row r="593">
      <c r="A593" s="242"/>
      <c r="B593" s="242"/>
      <c r="C593" s="13"/>
      <c r="D593" s="242"/>
      <c r="E593" s="242"/>
      <c r="F593" s="242"/>
      <c r="G593" s="242"/>
      <c r="H593" s="13"/>
      <c r="I593" s="13"/>
      <c r="J593" s="13"/>
      <c r="K593" s="13"/>
      <c r="L593" s="242"/>
      <c r="M593" s="242"/>
      <c r="N593" s="242"/>
      <c r="O593" s="242"/>
      <c r="P593" s="242"/>
      <c r="Q593" s="242"/>
      <c r="R593" s="242"/>
      <c r="S593" s="242"/>
      <c r="T593" s="242"/>
      <c r="U593" s="242"/>
      <c r="V593" s="242"/>
      <c r="W593" s="242"/>
      <c r="X593" s="242"/>
      <c r="Y593" s="242"/>
      <c r="Z593" s="242"/>
      <c r="AA593" s="242"/>
    </row>
    <row r="594">
      <c r="A594" s="242"/>
      <c r="B594" s="242"/>
      <c r="C594" s="13"/>
      <c r="D594" s="242"/>
      <c r="E594" s="242"/>
      <c r="F594" s="242"/>
      <c r="G594" s="242"/>
      <c r="H594" s="13"/>
      <c r="I594" s="13"/>
      <c r="J594" s="13"/>
      <c r="K594" s="13"/>
      <c r="L594" s="242"/>
      <c r="M594" s="242"/>
      <c r="N594" s="242"/>
      <c r="O594" s="242"/>
      <c r="P594" s="242"/>
      <c r="Q594" s="242"/>
      <c r="R594" s="242"/>
      <c r="S594" s="242"/>
      <c r="T594" s="242"/>
      <c r="U594" s="242"/>
      <c r="V594" s="242"/>
      <c r="W594" s="242"/>
      <c r="X594" s="242"/>
      <c r="Y594" s="242"/>
      <c r="Z594" s="242"/>
      <c r="AA594" s="242"/>
    </row>
    <row r="595">
      <c r="A595" s="242"/>
      <c r="B595" s="242"/>
      <c r="C595" s="13"/>
      <c r="D595" s="242"/>
      <c r="E595" s="242"/>
      <c r="F595" s="242"/>
      <c r="G595" s="242"/>
      <c r="H595" s="13"/>
      <c r="I595" s="13"/>
      <c r="J595" s="13"/>
      <c r="K595" s="13"/>
      <c r="L595" s="242"/>
      <c r="M595" s="242"/>
      <c r="N595" s="242"/>
      <c r="O595" s="242"/>
      <c r="P595" s="242"/>
      <c r="Q595" s="242"/>
      <c r="R595" s="242"/>
      <c r="S595" s="242"/>
      <c r="T595" s="242"/>
      <c r="U595" s="242"/>
      <c r="V595" s="242"/>
      <c r="W595" s="242"/>
      <c r="X595" s="242"/>
      <c r="Y595" s="242"/>
      <c r="Z595" s="242"/>
      <c r="AA595" s="242"/>
    </row>
    <row r="596">
      <c r="A596" s="242"/>
      <c r="B596" s="242"/>
      <c r="C596" s="13"/>
      <c r="D596" s="242"/>
      <c r="E596" s="242"/>
      <c r="F596" s="242"/>
      <c r="G596" s="242"/>
      <c r="H596" s="13"/>
      <c r="I596" s="13"/>
      <c r="J596" s="13"/>
      <c r="K596" s="13"/>
      <c r="L596" s="242"/>
      <c r="M596" s="242"/>
      <c r="N596" s="242"/>
      <c r="O596" s="242"/>
      <c r="P596" s="242"/>
      <c r="Q596" s="242"/>
      <c r="R596" s="242"/>
      <c r="S596" s="242"/>
      <c r="T596" s="242"/>
      <c r="U596" s="242"/>
      <c r="V596" s="242"/>
      <c r="W596" s="242"/>
      <c r="X596" s="242"/>
      <c r="Y596" s="242"/>
      <c r="Z596" s="242"/>
      <c r="AA596" s="242"/>
    </row>
    <row r="597">
      <c r="A597" s="242"/>
      <c r="B597" s="242"/>
      <c r="C597" s="13"/>
      <c r="D597" s="242"/>
      <c r="E597" s="242"/>
      <c r="F597" s="242"/>
      <c r="G597" s="242"/>
      <c r="H597" s="13"/>
      <c r="I597" s="13"/>
      <c r="J597" s="13"/>
      <c r="K597" s="13"/>
      <c r="L597" s="242"/>
      <c r="M597" s="242"/>
      <c r="N597" s="242"/>
      <c r="O597" s="242"/>
      <c r="P597" s="242"/>
      <c r="Q597" s="242"/>
      <c r="R597" s="242"/>
      <c r="S597" s="242"/>
      <c r="T597" s="242"/>
      <c r="U597" s="242"/>
      <c r="V597" s="242"/>
      <c r="W597" s="242"/>
      <c r="X597" s="242"/>
      <c r="Y597" s="242"/>
      <c r="Z597" s="242"/>
      <c r="AA597" s="242"/>
    </row>
    <row r="598">
      <c r="A598" s="242"/>
      <c r="B598" s="242"/>
      <c r="C598" s="13"/>
      <c r="D598" s="242"/>
      <c r="E598" s="242"/>
      <c r="F598" s="242"/>
      <c r="G598" s="242"/>
      <c r="H598" s="13"/>
      <c r="I598" s="13"/>
      <c r="J598" s="13"/>
      <c r="K598" s="13"/>
      <c r="L598" s="242"/>
      <c r="M598" s="242"/>
      <c r="N598" s="242"/>
      <c r="O598" s="242"/>
      <c r="P598" s="242"/>
      <c r="Q598" s="242"/>
      <c r="R598" s="242"/>
      <c r="S598" s="242"/>
      <c r="T598" s="242"/>
      <c r="U598" s="242"/>
      <c r="V598" s="242"/>
      <c r="W598" s="242"/>
      <c r="X598" s="242"/>
      <c r="Y598" s="242"/>
      <c r="Z598" s="242"/>
      <c r="AA598" s="242"/>
    </row>
    <row r="599">
      <c r="A599" s="242"/>
      <c r="B599" s="242"/>
      <c r="C599" s="13"/>
      <c r="D599" s="242"/>
      <c r="E599" s="242"/>
      <c r="F599" s="242"/>
      <c r="G599" s="242"/>
      <c r="H599" s="13"/>
      <c r="I599" s="13"/>
      <c r="J599" s="13"/>
      <c r="K599" s="13"/>
      <c r="L599" s="242"/>
      <c r="M599" s="242"/>
      <c r="N599" s="242"/>
      <c r="O599" s="242"/>
      <c r="P599" s="242"/>
      <c r="Q599" s="242"/>
      <c r="R599" s="242"/>
      <c r="S599" s="242"/>
      <c r="T599" s="242"/>
      <c r="U599" s="242"/>
      <c r="V599" s="242"/>
      <c r="W599" s="242"/>
      <c r="X599" s="242"/>
      <c r="Y599" s="242"/>
      <c r="Z599" s="242"/>
      <c r="AA599" s="242"/>
    </row>
    <row r="600">
      <c r="A600" s="242"/>
      <c r="B600" s="242"/>
      <c r="C600" s="13"/>
      <c r="D600" s="242"/>
      <c r="E600" s="242"/>
      <c r="F600" s="242"/>
      <c r="G600" s="242"/>
      <c r="H600" s="13"/>
      <c r="I600" s="13"/>
      <c r="J600" s="13"/>
      <c r="K600" s="13"/>
      <c r="L600" s="242"/>
      <c r="M600" s="242"/>
      <c r="N600" s="242"/>
      <c r="O600" s="242"/>
      <c r="P600" s="242"/>
      <c r="Q600" s="242"/>
      <c r="R600" s="242"/>
      <c r="S600" s="242"/>
      <c r="T600" s="242"/>
      <c r="U600" s="242"/>
      <c r="V600" s="242"/>
      <c r="W600" s="242"/>
      <c r="X600" s="242"/>
      <c r="Y600" s="242"/>
      <c r="Z600" s="242"/>
      <c r="AA600" s="242"/>
    </row>
    <row r="601">
      <c r="A601" s="242"/>
      <c r="B601" s="242"/>
      <c r="C601" s="13"/>
      <c r="D601" s="242"/>
      <c r="E601" s="242"/>
      <c r="F601" s="242"/>
      <c r="G601" s="242"/>
      <c r="H601" s="13"/>
      <c r="I601" s="13"/>
      <c r="J601" s="13"/>
      <c r="K601" s="13"/>
      <c r="L601" s="242"/>
      <c r="M601" s="242"/>
      <c r="N601" s="242"/>
      <c r="O601" s="242"/>
      <c r="P601" s="242"/>
      <c r="Q601" s="242"/>
      <c r="R601" s="242"/>
      <c r="S601" s="242"/>
      <c r="T601" s="242"/>
      <c r="U601" s="242"/>
      <c r="V601" s="242"/>
      <c r="W601" s="242"/>
      <c r="X601" s="242"/>
      <c r="Y601" s="242"/>
      <c r="Z601" s="242"/>
      <c r="AA601" s="242"/>
    </row>
    <row r="602">
      <c r="A602" s="242"/>
      <c r="B602" s="242"/>
      <c r="C602" s="13"/>
      <c r="D602" s="242"/>
      <c r="E602" s="242"/>
      <c r="F602" s="242"/>
      <c r="G602" s="242"/>
      <c r="H602" s="13"/>
      <c r="I602" s="13"/>
      <c r="J602" s="13"/>
      <c r="K602" s="13"/>
      <c r="L602" s="242"/>
      <c r="M602" s="242"/>
      <c r="N602" s="242"/>
      <c r="O602" s="242"/>
      <c r="P602" s="242"/>
      <c r="Q602" s="242"/>
      <c r="R602" s="242"/>
      <c r="S602" s="242"/>
      <c r="T602" s="242"/>
      <c r="U602" s="242"/>
      <c r="V602" s="242"/>
      <c r="W602" s="242"/>
      <c r="X602" s="242"/>
      <c r="Y602" s="242"/>
      <c r="Z602" s="242"/>
      <c r="AA602" s="242"/>
    </row>
    <row r="603">
      <c r="A603" s="242"/>
      <c r="B603" s="242"/>
      <c r="C603" s="13"/>
      <c r="D603" s="242"/>
      <c r="E603" s="242"/>
      <c r="F603" s="242"/>
      <c r="G603" s="242"/>
      <c r="H603" s="13"/>
      <c r="I603" s="13"/>
      <c r="J603" s="13"/>
      <c r="K603" s="13"/>
      <c r="L603" s="242"/>
      <c r="M603" s="242"/>
      <c r="N603" s="242"/>
      <c r="O603" s="242"/>
      <c r="P603" s="242"/>
      <c r="Q603" s="242"/>
      <c r="R603" s="242"/>
      <c r="S603" s="242"/>
      <c r="T603" s="242"/>
      <c r="U603" s="242"/>
      <c r="V603" s="242"/>
      <c r="W603" s="242"/>
      <c r="X603" s="242"/>
      <c r="Y603" s="242"/>
      <c r="Z603" s="242"/>
      <c r="AA603" s="242"/>
    </row>
    <row r="604">
      <c r="A604" s="242"/>
      <c r="B604" s="242"/>
      <c r="C604" s="13"/>
      <c r="D604" s="242"/>
      <c r="E604" s="242"/>
      <c r="F604" s="242"/>
      <c r="G604" s="242"/>
      <c r="H604" s="13"/>
      <c r="I604" s="13"/>
      <c r="J604" s="13"/>
      <c r="K604" s="13"/>
      <c r="L604" s="242"/>
      <c r="M604" s="242"/>
      <c r="N604" s="242"/>
      <c r="O604" s="242"/>
      <c r="P604" s="242"/>
      <c r="Q604" s="242"/>
      <c r="R604" s="242"/>
      <c r="S604" s="242"/>
      <c r="T604" s="242"/>
      <c r="U604" s="242"/>
      <c r="V604" s="242"/>
      <c r="W604" s="242"/>
      <c r="X604" s="242"/>
      <c r="Y604" s="242"/>
      <c r="Z604" s="242"/>
      <c r="AA604" s="242"/>
    </row>
    <row r="605">
      <c r="A605" s="242"/>
      <c r="B605" s="242"/>
      <c r="C605" s="13"/>
      <c r="D605" s="242"/>
      <c r="E605" s="242"/>
      <c r="F605" s="242"/>
      <c r="G605" s="242"/>
      <c r="H605" s="13"/>
      <c r="I605" s="13"/>
      <c r="J605" s="13"/>
      <c r="K605" s="13"/>
      <c r="L605" s="242"/>
      <c r="M605" s="242"/>
      <c r="N605" s="242"/>
      <c r="O605" s="242"/>
      <c r="P605" s="242"/>
      <c r="Q605" s="242"/>
      <c r="R605" s="242"/>
      <c r="S605" s="242"/>
      <c r="T605" s="242"/>
      <c r="U605" s="242"/>
      <c r="V605" s="242"/>
      <c r="W605" s="242"/>
      <c r="X605" s="242"/>
      <c r="Y605" s="242"/>
      <c r="Z605" s="242"/>
      <c r="AA605" s="242"/>
    </row>
    <row r="606">
      <c r="A606" s="242"/>
      <c r="B606" s="242"/>
      <c r="C606" s="13"/>
      <c r="D606" s="242"/>
      <c r="E606" s="242"/>
      <c r="F606" s="242"/>
      <c r="G606" s="242"/>
      <c r="H606" s="13"/>
      <c r="I606" s="13"/>
      <c r="J606" s="13"/>
      <c r="K606" s="13"/>
      <c r="L606" s="242"/>
      <c r="M606" s="242"/>
      <c r="N606" s="242"/>
      <c r="O606" s="242"/>
      <c r="P606" s="242"/>
      <c r="Q606" s="242"/>
      <c r="R606" s="242"/>
      <c r="S606" s="242"/>
      <c r="T606" s="242"/>
      <c r="U606" s="242"/>
      <c r="V606" s="242"/>
      <c r="W606" s="242"/>
      <c r="X606" s="242"/>
      <c r="Y606" s="242"/>
      <c r="Z606" s="242"/>
      <c r="AA606" s="242"/>
    </row>
    <row r="607">
      <c r="A607" s="242"/>
      <c r="B607" s="242"/>
      <c r="C607" s="13"/>
      <c r="D607" s="242"/>
      <c r="E607" s="242"/>
      <c r="F607" s="242"/>
      <c r="G607" s="242"/>
      <c r="H607" s="13"/>
      <c r="I607" s="13"/>
      <c r="J607" s="13"/>
      <c r="K607" s="13"/>
      <c r="L607" s="242"/>
      <c r="M607" s="242"/>
      <c r="N607" s="242"/>
      <c r="O607" s="242"/>
      <c r="P607" s="242"/>
      <c r="Q607" s="242"/>
      <c r="R607" s="242"/>
      <c r="S607" s="242"/>
      <c r="T607" s="242"/>
      <c r="U607" s="242"/>
      <c r="V607" s="242"/>
      <c r="W607" s="242"/>
      <c r="X607" s="242"/>
      <c r="Y607" s="242"/>
      <c r="Z607" s="242"/>
      <c r="AA607" s="242"/>
    </row>
    <row r="608">
      <c r="A608" s="242"/>
      <c r="B608" s="242"/>
      <c r="C608" s="13"/>
      <c r="D608" s="242"/>
      <c r="E608" s="242"/>
      <c r="F608" s="242"/>
      <c r="G608" s="242"/>
      <c r="H608" s="13"/>
      <c r="I608" s="13"/>
      <c r="J608" s="13"/>
      <c r="K608" s="13"/>
      <c r="L608" s="242"/>
      <c r="M608" s="242"/>
      <c r="N608" s="242"/>
      <c r="O608" s="242"/>
      <c r="P608" s="242"/>
      <c r="Q608" s="242"/>
      <c r="R608" s="242"/>
      <c r="S608" s="242"/>
      <c r="T608" s="242"/>
      <c r="U608" s="242"/>
      <c r="V608" s="242"/>
      <c r="W608" s="242"/>
      <c r="X608" s="242"/>
      <c r="Y608" s="242"/>
      <c r="Z608" s="242"/>
      <c r="AA608" s="242"/>
    </row>
    <row r="609">
      <c r="A609" s="242"/>
      <c r="B609" s="242"/>
      <c r="C609" s="13"/>
      <c r="D609" s="242"/>
      <c r="E609" s="242"/>
      <c r="F609" s="242"/>
      <c r="G609" s="242"/>
      <c r="H609" s="13"/>
      <c r="I609" s="13"/>
      <c r="J609" s="13"/>
      <c r="K609" s="13"/>
      <c r="L609" s="242"/>
      <c r="M609" s="242"/>
      <c r="N609" s="242"/>
      <c r="O609" s="242"/>
      <c r="P609" s="242"/>
      <c r="Q609" s="242"/>
      <c r="R609" s="242"/>
      <c r="S609" s="242"/>
      <c r="T609" s="242"/>
      <c r="U609" s="242"/>
      <c r="V609" s="242"/>
      <c r="W609" s="242"/>
      <c r="X609" s="242"/>
      <c r="Y609" s="242"/>
      <c r="Z609" s="242"/>
      <c r="AA609" s="242"/>
    </row>
    <row r="610">
      <c r="A610" s="242"/>
      <c r="B610" s="242"/>
      <c r="C610" s="13"/>
      <c r="D610" s="242"/>
      <c r="E610" s="242"/>
      <c r="F610" s="242"/>
      <c r="G610" s="242"/>
      <c r="H610" s="13"/>
      <c r="I610" s="13"/>
      <c r="J610" s="13"/>
      <c r="K610" s="13"/>
      <c r="L610" s="242"/>
      <c r="M610" s="242"/>
      <c r="N610" s="242"/>
      <c r="O610" s="242"/>
      <c r="P610" s="242"/>
      <c r="Q610" s="242"/>
      <c r="R610" s="242"/>
      <c r="S610" s="242"/>
      <c r="T610" s="242"/>
      <c r="U610" s="242"/>
      <c r="V610" s="242"/>
      <c r="W610" s="242"/>
      <c r="X610" s="242"/>
      <c r="Y610" s="242"/>
      <c r="Z610" s="242"/>
      <c r="AA610" s="242"/>
    </row>
    <row r="611">
      <c r="A611" s="242"/>
      <c r="B611" s="242"/>
      <c r="C611" s="13"/>
      <c r="D611" s="242"/>
      <c r="E611" s="242"/>
      <c r="F611" s="242"/>
      <c r="G611" s="242"/>
      <c r="H611" s="13"/>
      <c r="I611" s="13"/>
      <c r="J611" s="13"/>
      <c r="K611" s="13"/>
      <c r="L611" s="242"/>
      <c r="M611" s="242"/>
      <c r="N611" s="242"/>
      <c r="O611" s="242"/>
      <c r="P611" s="242"/>
      <c r="Q611" s="242"/>
      <c r="R611" s="242"/>
      <c r="S611" s="242"/>
      <c r="T611" s="242"/>
      <c r="U611" s="242"/>
      <c r="V611" s="242"/>
      <c r="W611" s="242"/>
      <c r="X611" s="242"/>
      <c r="Y611" s="242"/>
      <c r="Z611" s="242"/>
      <c r="AA611" s="242"/>
    </row>
    <row r="612">
      <c r="A612" s="242"/>
      <c r="B612" s="242"/>
      <c r="C612" s="13"/>
      <c r="D612" s="242"/>
      <c r="E612" s="242"/>
      <c r="F612" s="242"/>
      <c r="G612" s="242"/>
      <c r="H612" s="13"/>
      <c r="I612" s="13"/>
      <c r="J612" s="13"/>
      <c r="K612" s="13"/>
      <c r="L612" s="242"/>
      <c r="M612" s="242"/>
      <c r="N612" s="242"/>
      <c r="O612" s="242"/>
      <c r="P612" s="242"/>
      <c r="Q612" s="242"/>
      <c r="R612" s="242"/>
      <c r="S612" s="242"/>
      <c r="T612" s="242"/>
      <c r="U612" s="242"/>
      <c r="V612" s="242"/>
      <c r="W612" s="242"/>
      <c r="X612" s="242"/>
      <c r="Y612" s="242"/>
      <c r="Z612" s="242"/>
      <c r="AA612" s="242"/>
    </row>
    <row r="613">
      <c r="A613" s="242"/>
      <c r="B613" s="242"/>
      <c r="C613" s="13"/>
      <c r="D613" s="242"/>
      <c r="E613" s="242"/>
      <c r="F613" s="242"/>
      <c r="G613" s="242"/>
      <c r="H613" s="13"/>
      <c r="I613" s="13"/>
      <c r="J613" s="13"/>
      <c r="K613" s="13"/>
      <c r="L613" s="242"/>
      <c r="M613" s="242"/>
      <c r="N613" s="242"/>
      <c r="O613" s="242"/>
      <c r="P613" s="242"/>
      <c r="Q613" s="242"/>
      <c r="R613" s="242"/>
      <c r="S613" s="242"/>
      <c r="T613" s="242"/>
      <c r="U613" s="242"/>
      <c r="V613" s="242"/>
      <c r="W613" s="242"/>
      <c r="X613" s="242"/>
      <c r="Y613" s="242"/>
      <c r="Z613" s="242"/>
      <c r="AA613" s="242"/>
    </row>
    <row r="614">
      <c r="A614" s="242"/>
      <c r="B614" s="242"/>
      <c r="C614" s="13"/>
      <c r="D614" s="242"/>
      <c r="E614" s="242"/>
      <c r="F614" s="242"/>
      <c r="G614" s="242"/>
      <c r="H614" s="13"/>
      <c r="I614" s="13"/>
      <c r="J614" s="13"/>
      <c r="K614" s="13"/>
      <c r="L614" s="242"/>
      <c r="M614" s="242"/>
      <c r="N614" s="242"/>
      <c r="O614" s="242"/>
      <c r="P614" s="242"/>
      <c r="Q614" s="242"/>
      <c r="R614" s="242"/>
      <c r="S614" s="242"/>
      <c r="T614" s="242"/>
      <c r="U614" s="242"/>
      <c r="V614" s="242"/>
      <c r="W614" s="242"/>
      <c r="X614" s="242"/>
      <c r="Y614" s="242"/>
      <c r="Z614" s="242"/>
      <c r="AA614" s="242"/>
    </row>
    <row r="615">
      <c r="A615" s="242"/>
      <c r="B615" s="242"/>
      <c r="C615" s="13"/>
      <c r="D615" s="242"/>
      <c r="E615" s="242"/>
      <c r="F615" s="242"/>
      <c r="G615" s="242"/>
      <c r="H615" s="13"/>
      <c r="I615" s="13"/>
      <c r="J615" s="13"/>
      <c r="K615" s="13"/>
      <c r="L615" s="242"/>
      <c r="M615" s="242"/>
      <c r="N615" s="242"/>
      <c r="O615" s="242"/>
      <c r="P615" s="242"/>
      <c r="Q615" s="242"/>
      <c r="R615" s="242"/>
      <c r="S615" s="242"/>
      <c r="T615" s="242"/>
      <c r="U615" s="242"/>
      <c r="V615" s="242"/>
      <c r="W615" s="242"/>
      <c r="X615" s="242"/>
      <c r="Y615" s="242"/>
      <c r="Z615" s="242"/>
      <c r="AA615" s="242"/>
    </row>
    <row r="616">
      <c r="A616" s="242"/>
      <c r="B616" s="242"/>
      <c r="C616" s="13"/>
      <c r="D616" s="242"/>
      <c r="E616" s="242"/>
      <c r="F616" s="242"/>
      <c r="G616" s="242"/>
      <c r="H616" s="13"/>
      <c r="I616" s="13"/>
      <c r="J616" s="13"/>
      <c r="K616" s="13"/>
      <c r="L616" s="242"/>
      <c r="M616" s="242"/>
      <c r="N616" s="242"/>
      <c r="O616" s="242"/>
      <c r="P616" s="242"/>
      <c r="Q616" s="242"/>
      <c r="R616" s="242"/>
      <c r="S616" s="242"/>
      <c r="T616" s="242"/>
      <c r="U616" s="242"/>
      <c r="V616" s="242"/>
      <c r="W616" s="242"/>
      <c r="X616" s="242"/>
      <c r="Y616" s="242"/>
      <c r="Z616" s="242"/>
      <c r="AA616" s="242"/>
    </row>
    <row r="617">
      <c r="A617" s="242"/>
      <c r="B617" s="242"/>
      <c r="C617" s="13"/>
      <c r="D617" s="242"/>
      <c r="E617" s="242"/>
      <c r="F617" s="242"/>
      <c r="G617" s="242"/>
      <c r="H617" s="13"/>
      <c r="I617" s="13"/>
      <c r="J617" s="13"/>
      <c r="K617" s="13"/>
      <c r="L617" s="242"/>
      <c r="M617" s="242"/>
      <c r="N617" s="242"/>
      <c r="O617" s="242"/>
      <c r="P617" s="242"/>
      <c r="Q617" s="242"/>
      <c r="R617" s="242"/>
      <c r="S617" s="242"/>
      <c r="T617" s="242"/>
      <c r="U617" s="242"/>
      <c r="V617" s="242"/>
      <c r="W617" s="242"/>
      <c r="X617" s="242"/>
      <c r="Y617" s="242"/>
      <c r="Z617" s="242"/>
      <c r="AA617" s="242"/>
    </row>
    <row r="618">
      <c r="A618" s="242"/>
      <c r="B618" s="242"/>
      <c r="C618" s="13"/>
      <c r="D618" s="242"/>
      <c r="E618" s="242"/>
      <c r="F618" s="242"/>
      <c r="G618" s="242"/>
      <c r="H618" s="13"/>
      <c r="I618" s="13"/>
      <c r="J618" s="13"/>
      <c r="K618" s="13"/>
      <c r="L618" s="242"/>
      <c r="M618" s="242"/>
      <c r="N618" s="242"/>
      <c r="O618" s="242"/>
      <c r="P618" s="242"/>
      <c r="Q618" s="242"/>
      <c r="R618" s="242"/>
      <c r="S618" s="242"/>
      <c r="T618" s="242"/>
      <c r="U618" s="242"/>
      <c r="V618" s="242"/>
      <c r="W618" s="242"/>
      <c r="X618" s="242"/>
      <c r="Y618" s="242"/>
      <c r="Z618" s="242"/>
      <c r="AA618" s="242"/>
    </row>
    <row r="619">
      <c r="A619" s="242"/>
      <c r="B619" s="242"/>
      <c r="C619" s="13"/>
      <c r="D619" s="242"/>
      <c r="E619" s="242"/>
      <c r="F619" s="242"/>
      <c r="G619" s="242"/>
      <c r="H619" s="13"/>
      <c r="I619" s="13"/>
      <c r="J619" s="13"/>
      <c r="K619" s="13"/>
      <c r="L619" s="242"/>
      <c r="M619" s="242"/>
      <c r="N619" s="242"/>
      <c r="O619" s="242"/>
      <c r="P619" s="242"/>
      <c r="Q619" s="242"/>
      <c r="R619" s="242"/>
      <c r="S619" s="242"/>
      <c r="T619" s="242"/>
      <c r="U619" s="242"/>
      <c r="V619" s="242"/>
      <c r="W619" s="242"/>
      <c r="X619" s="242"/>
      <c r="Y619" s="242"/>
      <c r="Z619" s="242"/>
      <c r="AA619" s="242"/>
    </row>
    <row r="620">
      <c r="A620" s="242"/>
      <c r="B620" s="242"/>
      <c r="C620" s="13"/>
      <c r="D620" s="242"/>
      <c r="E620" s="242"/>
      <c r="F620" s="242"/>
      <c r="G620" s="242"/>
      <c r="H620" s="13"/>
      <c r="I620" s="13"/>
      <c r="J620" s="13"/>
      <c r="K620" s="13"/>
      <c r="L620" s="242"/>
      <c r="M620" s="242"/>
      <c r="N620" s="242"/>
      <c r="O620" s="242"/>
      <c r="P620" s="242"/>
      <c r="Q620" s="242"/>
      <c r="R620" s="242"/>
      <c r="S620" s="242"/>
      <c r="T620" s="242"/>
      <c r="U620" s="242"/>
      <c r="V620" s="242"/>
      <c r="W620" s="242"/>
      <c r="X620" s="242"/>
      <c r="Y620" s="242"/>
      <c r="Z620" s="242"/>
      <c r="AA620" s="242"/>
    </row>
    <row r="621">
      <c r="A621" s="242"/>
      <c r="B621" s="242"/>
      <c r="C621" s="13"/>
      <c r="D621" s="242"/>
      <c r="E621" s="242"/>
      <c r="F621" s="242"/>
      <c r="G621" s="242"/>
      <c r="H621" s="13"/>
      <c r="I621" s="13"/>
      <c r="J621" s="13"/>
      <c r="K621" s="13"/>
      <c r="L621" s="242"/>
      <c r="M621" s="242"/>
      <c r="N621" s="242"/>
      <c r="O621" s="242"/>
      <c r="P621" s="242"/>
      <c r="Q621" s="242"/>
      <c r="R621" s="242"/>
      <c r="S621" s="242"/>
      <c r="T621" s="242"/>
      <c r="U621" s="242"/>
      <c r="V621" s="242"/>
      <c r="W621" s="242"/>
      <c r="X621" s="242"/>
      <c r="Y621" s="242"/>
      <c r="Z621" s="242"/>
      <c r="AA621" s="242"/>
    </row>
    <row r="622">
      <c r="A622" s="242"/>
      <c r="B622" s="242"/>
      <c r="C622" s="13"/>
      <c r="D622" s="242"/>
      <c r="E622" s="242"/>
      <c r="F622" s="242"/>
      <c r="G622" s="242"/>
      <c r="H622" s="13"/>
      <c r="I622" s="13"/>
      <c r="J622" s="13"/>
      <c r="K622" s="13"/>
      <c r="L622" s="242"/>
      <c r="M622" s="242"/>
      <c r="N622" s="242"/>
      <c r="O622" s="242"/>
      <c r="P622" s="242"/>
      <c r="Q622" s="242"/>
      <c r="R622" s="242"/>
      <c r="S622" s="242"/>
      <c r="T622" s="242"/>
      <c r="U622" s="242"/>
      <c r="V622" s="242"/>
      <c r="W622" s="242"/>
      <c r="X622" s="242"/>
      <c r="Y622" s="242"/>
      <c r="Z622" s="242"/>
      <c r="AA622" s="242"/>
    </row>
    <row r="623">
      <c r="A623" s="242"/>
      <c r="B623" s="242"/>
      <c r="C623" s="13"/>
      <c r="D623" s="242"/>
      <c r="E623" s="242"/>
      <c r="F623" s="242"/>
      <c r="G623" s="242"/>
      <c r="H623" s="13"/>
      <c r="I623" s="13"/>
      <c r="J623" s="13"/>
      <c r="K623" s="13"/>
      <c r="L623" s="242"/>
      <c r="M623" s="242"/>
      <c r="N623" s="242"/>
      <c r="O623" s="242"/>
      <c r="P623" s="242"/>
      <c r="Q623" s="242"/>
      <c r="R623" s="242"/>
      <c r="S623" s="242"/>
      <c r="T623" s="242"/>
      <c r="U623" s="242"/>
      <c r="V623" s="242"/>
      <c r="W623" s="242"/>
      <c r="X623" s="242"/>
      <c r="Y623" s="242"/>
      <c r="Z623" s="242"/>
      <c r="AA623" s="242"/>
    </row>
    <row r="624">
      <c r="A624" s="242"/>
      <c r="B624" s="242"/>
      <c r="C624" s="13"/>
      <c r="D624" s="242"/>
      <c r="E624" s="242"/>
      <c r="F624" s="242"/>
      <c r="G624" s="242"/>
      <c r="H624" s="13"/>
      <c r="I624" s="13"/>
      <c r="J624" s="13"/>
      <c r="K624" s="13"/>
      <c r="L624" s="242"/>
      <c r="M624" s="242"/>
      <c r="N624" s="242"/>
      <c r="O624" s="242"/>
      <c r="P624" s="242"/>
      <c r="Q624" s="242"/>
      <c r="R624" s="242"/>
      <c r="S624" s="242"/>
      <c r="T624" s="242"/>
      <c r="U624" s="242"/>
      <c r="V624" s="242"/>
      <c r="W624" s="242"/>
      <c r="X624" s="242"/>
      <c r="Y624" s="242"/>
      <c r="Z624" s="242"/>
      <c r="AA624" s="242"/>
    </row>
    <row r="625">
      <c r="A625" s="242"/>
      <c r="B625" s="242"/>
      <c r="C625" s="13"/>
      <c r="D625" s="242"/>
      <c r="E625" s="242"/>
      <c r="F625" s="242"/>
      <c r="G625" s="242"/>
      <c r="H625" s="13"/>
      <c r="I625" s="13"/>
      <c r="J625" s="13"/>
      <c r="K625" s="13"/>
      <c r="L625" s="242"/>
      <c r="M625" s="242"/>
      <c r="N625" s="242"/>
      <c r="O625" s="242"/>
      <c r="P625" s="242"/>
      <c r="Q625" s="242"/>
      <c r="R625" s="242"/>
      <c r="S625" s="242"/>
      <c r="T625" s="242"/>
      <c r="U625" s="242"/>
      <c r="V625" s="242"/>
      <c r="W625" s="242"/>
      <c r="X625" s="242"/>
      <c r="Y625" s="242"/>
      <c r="Z625" s="242"/>
      <c r="AA625" s="242"/>
    </row>
    <row r="626">
      <c r="A626" s="242"/>
      <c r="B626" s="242"/>
      <c r="C626" s="13"/>
      <c r="D626" s="242"/>
      <c r="E626" s="242"/>
      <c r="F626" s="242"/>
      <c r="G626" s="242"/>
      <c r="H626" s="13"/>
      <c r="I626" s="13"/>
      <c r="J626" s="13"/>
      <c r="K626" s="13"/>
      <c r="L626" s="242"/>
      <c r="M626" s="242"/>
      <c r="N626" s="242"/>
      <c r="O626" s="242"/>
      <c r="P626" s="242"/>
      <c r="Q626" s="242"/>
      <c r="R626" s="242"/>
      <c r="S626" s="242"/>
      <c r="T626" s="242"/>
      <c r="U626" s="242"/>
      <c r="V626" s="242"/>
      <c r="W626" s="242"/>
      <c r="X626" s="242"/>
      <c r="Y626" s="242"/>
      <c r="Z626" s="242"/>
      <c r="AA626" s="242"/>
    </row>
    <row r="627">
      <c r="A627" s="242"/>
      <c r="B627" s="242"/>
      <c r="C627" s="13"/>
      <c r="D627" s="242"/>
      <c r="E627" s="242"/>
      <c r="F627" s="242"/>
      <c r="G627" s="242"/>
      <c r="H627" s="13"/>
      <c r="I627" s="13"/>
      <c r="J627" s="13"/>
      <c r="K627" s="13"/>
      <c r="L627" s="242"/>
      <c r="M627" s="242"/>
      <c r="N627" s="242"/>
      <c r="O627" s="242"/>
      <c r="P627" s="242"/>
      <c r="Q627" s="242"/>
      <c r="R627" s="242"/>
      <c r="S627" s="242"/>
      <c r="T627" s="242"/>
      <c r="U627" s="242"/>
      <c r="V627" s="242"/>
      <c r="W627" s="242"/>
      <c r="X627" s="242"/>
      <c r="Y627" s="242"/>
      <c r="Z627" s="242"/>
      <c r="AA627" s="242"/>
    </row>
    <row r="628">
      <c r="A628" s="242"/>
      <c r="B628" s="242"/>
      <c r="C628" s="13"/>
      <c r="D628" s="242"/>
      <c r="E628" s="242"/>
      <c r="F628" s="242"/>
      <c r="G628" s="242"/>
      <c r="H628" s="13"/>
      <c r="I628" s="13"/>
      <c r="J628" s="13"/>
      <c r="K628" s="13"/>
      <c r="L628" s="242"/>
      <c r="M628" s="242"/>
      <c r="N628" s="242"/>
      <c r="O628" s="242"/>
      <c r="P628" s="242"/>
      <c r="Q628" s="242"/>
      <c r="R628" s="242"/>
      <c r="S628" s="242"/>
      <c r="T628" s="242"/>
      <c r="U628" s="242"/>
      <c r="V628" s="242"/>
      <c r="W628" s="242"/>
      <c r="X628" s="242"/>
      <c r="Y628" s="242"/>
      <c r="Z628" s="242"/>
      <c r="AA628" s="242"/>
    </row>
    <row r="629">
      <c r="A629" s="242"/>
      <c r="B629" s="242"/>
      <c r="C629" s="13"/>
      <c r="D629" s="242"/>
      <c r="E629" s="242"/>
      <c r="F629" s="242"/>
      <c r="G629" s="242"/>
      <c r="H629" s="13"/>
      <c r="I629" s="13"/>
      <c r="J629" s="13"/>
      <c r="K629" s="13"/>
      <c r="L629" s="242"/>
      <c r="M629" s="242"/>
      <c r="N629" s="242"/>
      <c r="O629" s="242"/>
      <c r="P629" s="242"/>
      <c r="Q629" s="242"/>
      <c r="R629" s="242"/>
      <c r="S629" s="242"/>
      <c r="T629" s="242"/>
      <c r="U629" s="242"/>
      <c r="V629" s="242"/>
      <c r="W629" s="242"/>
      <c r="X629" s="242"/>
      <c r="Y629" s="242"/>
      <c r="Z629" s="242"/>
      <c r="AA629" s="242"/>
    </row>
    <row r="630">
      <c r="A630" s="242"/>
      <c r="B630" s="242"/>
      <c r="C630" s="13"/>
      <c r="D630" s="242"/>
      <c r="E630" s="242"/>
      <c r="F630" s="242"/>
      <c r="G630" s="242"/>
      <c r="H630" s="13"/>
      <c r="I630" s="13"/>
      <c r="J630" s="13"/>
      <c r="K630" s="13"/>
      <c r="L630" s="242"/>
      <c r="M630" s="242"/>
      <c r="N630" s="242"/>
      <c r="O630" s="242"/>
      <c r="P630" s="242"/>
      <c r="Q630" s="242"/>
      <c r="R630" s="242"/>
      <c r="S630" s="242"/>
      <c r="T630" s="242"/>
      <c r="U630" s="242"/>
      <c r="V630" s="242"/>
      <c r="W630" s="242"/>
      <c r="X630" s="242"/>
      <c r="Y630" s="242"/>
      <c r="Z630" s="242"/>
      <c r="AA630" s="242"/>
    </row>
    <row r="631">
      <c r="A631" s="242"/>
      <c r="B631" s="242"/>
      <c r="C631" s="13"/>
      <c r="D631" s="242"/>
      <c r="E631" s="242"/>
      <c r="F631" s="242"/>
      <c r="G631" s="242"/>
      <c r="H631" s="13"/>
      <c r="I631" s="13"/>
      <c r="J631" s="13"/>
      <c r="K631" s="13"/>
      <c r="L631" s="242"/>
      <c r="M631" s="242"/>
      <c r="N631" s="242"/>
      <c r="O631" s="242"/>
      <c r="P631" s="242"/>
      <c r="Q631" s="242"/>
      <c r="R631" s="242"/>
      <c r="S631" s="242"/>
      <c r="T631" s="242"/>
      <c r="U631" s="242"/>
      <c r="V631" s="242"/>
      <c r="W631" s="242"/>
      <c r="X631" s="242"/>
      <c r="Y631" s="242"/>
      <c r="Z631" s="242"/>
      <c r="AA631" s="242"/>
    </row>
    <row r="632">
      <c r="A632" s="242"/>
      <c r="B632" s="242"/>
      <c r="C632" s="13"/>
      <c r="D632" s="242"/>
      <c r="E632" s="242"/>
      <c r="F632" s="242"/>
      <c r="G632" s="242"/>
      <c r="H632" s="13"/>
      <c r="I632" s="13"/>
      <c r="J632" s="13"/>
      <c r="K632" s="13"/>
      <c r="L632" s="242"/>
      <c r="M632" s="242"/>
      <c r="N632" s="242"/>
      <c r="O632" s="242"/>
      <c r="P632" s="242"/>
      <c r="Q632" s="242"/>
      <c r="R632" s="242"/>
      <c r="S632" s="242"/>
      <c r="T632" s="242"/>
      <c r="U632" s="242"/>
      <c r="V632" s="242"/>
      <c r="W632" s="242"/>
      <c r="X632" s="242"/>
      <c r="Y632" s="242"/>
      <c r="Z632" s="242"/>
      <c r="AA632" s="242"/>
    </row>
    <row r="633">
      <c r="A633" s="242"/>
      <c r="B633" s="242"/>
      <c r="C633" s="13"/>
      <c r="D633" s="242"/>
      <c r="E633" s="242"/>
      <c r="F633" s="242"/>
      <c r="G633" s="242"/>
      <c r="H633" s="13"/>
      <c r="I633" s="13"/>
      <c r="J633" s="13"/>
      <c r="K633" s="13"/>
      <c r="L633" s="242"/>
      <c r="M633" s="242"/>
      <c r="N633" s="242"/>
      <c r="O633" s="242"/>
      <c r="P633" s="242"/>
      <c r="Q633" s="242"/>
      <c r="R633" s="242"/>
      <c r="S633" s="242"/>
      <c r="T633" s="242"/>
      <c r="U633" s="242"/>
      <c r="V633" s="242"/>
      <c r="W633" s="242"/>
      <c r="X633" s="242"/>
      <c r="Y633" s="242"/>
      <c r="Z633" s="242"/>
      <c r="AA633" s="242"/>
    </row>
    <row r="634">
      <c r="A634" s="242"/>
      <c r="B634" s="242"/>
      <c r="C634" s="13"/>
      <c r="D634" s="242"/>
      <c r="E634" s="242"/>
      <c r="F634" s="242"/>
      <c r="G634" s="242"/>
      <c r="H634" s="13"/>
      <c r="I634" s="13"/>
      <c r="J634" s="13"/>
      <c r="K634" s="13"/>
      <c r="L634" s="242"/>
      <c r="M634" s="242"/>
      <c r="N634" s="242"/>
      <c r="O634" s="242"/>
      <c r="P634" s="242"/>
      <c r="Q634" s="242"/>
      <c r="R634" s="242"/>
      <c r="S634" s="242"/>
      <c r="T634" s="242"/>
      <c r="U634" s="242"/>
      <c r="V634" s="242"/>
      <c r="W634" s="242"/>
      <c r="X634" s="242"/>
      <c r="Y634" s="242"/>
      <c r="Z634" s="242"/>
      <c r="AA634" s="242"/>
    </row>
    <row r="635">
      <c r="A635" s="242"/>
      <c r="B635" s="242"/>
      <c r="C635" s="13"/>
      <c r="D635" s="242"/>
      <c r="E635" s="242"/>
      <c r="F635" s="242"/>
      <c r="G635" s="242"/>
      <c r="H635" s="13"/>
      <c r="I635" s="13"/>
      <c r="J635" s="13"/>
      <c r="K635" s="13"/>
      <c r="L635" s="242"/>
      <c r="M635" s="242"/>
      <c r="N635" s="242"/>
      <c r="O635" s="242"/>
      <c r="P635" s="242"/>
      <c r="Q635" s="242"/>
      <c r="R635" s="242"/>
      <c r="S635" s="242"/>
      <c r="T635" s="242"/>
      <c r="U635" s="242"/>
      <c r="V635" s="242"/>
      <c r="W635" s="242"/>
      <c r="X635" s="242"/>
      <c r="Y635" s="242"/>
      <c r="Z635" s="242"/>
      <c r="AA635" s="242"/>
    </row>
    <row r="636">
      <c r="A636" s="242"/>
      <c r="B636" s="242"/>
      <c r="C636" s="13"/>
      <c r="D636" s="242"/>
      <c r="E636" s="242"/>
      <c r="F636" s="242"/>
      <c r="G636" s="242"/>
      <c r="H636" s="13"/>
      <c r="I636" s="13"/>
      <c r="J636" s="13"/>
      <c r="K636" s="13"/>
      <c r="L636" s="242"/>
      <c r="M636" s="242"/>
      <c r="N636" s="242"/>
      <c r="O636" s="242"/>
      <c r="P636" s="242"/>
      <c r="Q636" s="242"/>
      <c r="R636" s="242"/>
      <c r="S636" s="242"/>
      <c r="T636" s="242"/>
      <c r="U636" s="242"/>
      <c r="V636" s="242"/>
      <c r="W636" s="242"/>
      <c r="X636" s="242"/>
      <c r="Y636" s="242"/>
      <c r="Z636" s="242"/>
      <c r="AA636" s="242"/>
    </row>
    <row r="637">
      <c r="A637" s="242"/>
      <c r="B637" s="242"/>
      <c r="C637" s="13"/>
      <c r="D637" s="242"/>
      <c r="E637" s="242"/>
      <c r="F637" s="242"/>
      <c r="G637" s="242"/>
      <c r="H637" s="13"/>
      <c r="I637" s="13"/>
      <c r="J637" s="13"/>
      <c r="K637" s="13"/>
      <c r="L637" s="242"/>
      <c r="M637" s="242"/>
      <c r="N637" s="242"/>
      <c r="O637" s="242"/>
      <c r="P637" s="242"/>
      <c r="Q637" s="242"/>
      <c r="R637" s="242"/>
      <c r="S637" s="242"/>
      <c r="T637" s="242"/>
      <c r="U637" s="242"/>
      <c r="V637" s="242"/>
      <c r="W637" s="242"/>
      <c r="X637" s="242"/>
      <c r="Y637" s="242"/>
      <c r="Z637" s="242"/>
      <c r="AA637" s="242"/>
    </row>
    <row r="638">
      <c r="A638" s="242"/>
      <c r="B638" s="242"/>
      <c r="C638" s="13"/>
      <c r="D638" s="242"/>
      <c r="E638" s="242"/>
      <c r="F638" s="242"/>
      <c r="G638" s="242"/>
      <c r="H638" s="13"/>
      <c r="I638" s="13"/>
      <c r="J638" s="13"/>
      <c r="K638" s="13"/>
      <c r="L638" s="242"/>
      <c r="M638" s="242"/>
      <c r="N638" s="242"/>
      <c r="O638" s="242"/>
      <c r="P638" s="242"/>
      <c r="Q638" s="242"/>
      <c r="R638" s="242"/>
      <c r="S638" s="242"/>
      <c r="T638" s="242"/>
      <c r="U638" s="242"/>
      <c r="V638" s="242"/>
      <c r="W638" s="242"/>
      <c r="X638" s="242"/>
      <c r="Y638" s="242"/>
      <c r="Z638" s="242"/>
      <c r="AA638" s="242"/>
    </row>
    <row r="639">
      <c r="A639" s="242"/>
      <c r="B639" s="242"/>
      <c r="C639" s="13"/>
      <c r="D639" s="242"/>
      <c r="E639" s="242"/>
      <c r="F639" s="242"/>
      <c r="G639" s="242"/>
      <c r="H639" s="13"/>
      <c r="I639" s="13"/>
      <c r="J639" s="13"/>
      <c r="K639" s="13"/>
      <c r="L639" s="242"/>
      <c r="M639" s="242"/>
      <c r="N639" s="242"/>
      <c r="O639" s="242"/>
      <c r="P639" s="242"/>
      <c r="Q639" s="242"/>
      <c r="R639" s="242"/>
      <c r="S639" s="242"/>
      <c r="T639" s="242"/>
      <c r="U639" s="242"/>
      <c r="V639" s="242"/>
      <c r="W639" s="242"/>
      <c r="X639" s="242"/>
      <c r="Y639" s="242"/>
      <c r="Z639" s="242"/>
      <c r="AA639" s="242"/>
    </row>
    <row r="640">
      <c r="A640" s="242"/>
      <c r="B640" s="242"/>
      <c r="C640" s="13"/>
      <c r="D640" s="242"/>
      <c r="E640" s="242"/>
      <c r="F640" s="242"/>
      <c r="G640" s="242"/>
      <c r="H640" s="13"/>
      <c r="I640" s="13"/>
      <c r="J640" s="13"/>
      <c r="K640" s="13"/>
      <c r="L640" s="242"/>
      <c r="M640" s="242"/>
      <c r="N640" s="242"/>
      <c r="O640" s="242"/>
      <c r="P640" s="242"/>
      <c r="Q640" s="242"/>
      <c r="R640" s="242"/>
      <c r="S640" s="242"/>
      <c r="T640" s="242"/>
      <c r="U640" s="242"/>
      <c r="V640" s="242"/>
      <c r="W640" s="242"/>
      <c r="X640" s="242"/>
      <c r="Y640" s="242"/>
      <c r="Z640" s="242"/>
      <c r="AA640" s="242"/>
    </row>
    <row r="641">
      <c r="A641" s="242"/>
      <c r="B641" s="242"/>
      <c r="C641" s="13"/>
      <c r="D641" s="242"/>
      <c r="E641" s="242"/>
      <c r="F641" s="242"/>
      <c r="G641" s="242"/>
      <c r="H641" s="13"/>
      <c r="I641" s="13"/>
      <c r="J641" s="13"/>
      <c r="K641" s="13"/>
      <c r="L641" s="242"/>
      <c r="M641" s="242"/>
      <c r="N641" s="242"/>
      <c r="O641" s="242"/>
      <c r="P641" s="242"/>
      <c r="Q641" s="242"/>
      <c r="R641" s="242"/>
      <c r="S641" s="242"/>
      <c r="T641" s="242"/>
      <c r="U641" s="242"/>
      <c r="V641" s="242"/>
      <c r="W641" s="242"/>
      <c r="X641" s="242"/>
      <c r="Y641" s="242"/>
      <c r="Z641" s="242"/>
      <c r="AA641" s="242"/>
    </row>
    <row r="642">
      <c r="A642" s="242"/>
      <c r="B642" s="242"/>
      <c r="C642" s="13"/>
      <c r="D642" s="242"/>
      <c r="E642" s="242"/>
      <c r="F642" s="242"/>
      <c r="G642" s="242"/>
      <c r="H642" s="13"/>
      <c r="I642" s="13"/>
      <c r="J642" s="13"/>
      <c r="K642" s="13"/>
      <c r="L642" s="242"/>
      <c r="M642" s="242"/>
      <c r="N642" s="242"/>
      <c r="O642" s="242"/>
      <c r="P642" s="242"/>
      <c r="Q642" s="242"/>
      <c r="R642" s="242"/>
      <c r="S642" s="242"/>
      <c r="T642" s="242"/>
      <c r="U642" s="242"/>
      <c r="V642" s="242"/>
      <c r="W642" s="242"/>
      <c r="X642" s="242"/>
      <c r="Y642" s="242"/>
      <c r="Z642" s="242"/>
      <c r="AA642" s="242"/>
    </row>
    <row r="643">
      <c r="A643" s="242"/>
      <c r="B643" s="242"/>
      <c r="C643" s="13"/>
      <c r="D643" s="242"/>
      <c r="E643" s="242"/>
      <c r="F643" s="242"/>
      <c r="G643" s="242"/>
      <c r="H643" s="13"/>
      <c r="I643" s="13"/>
      <c r="J643" s="13"/>
      <c r="K643" s="13"/>
      <c r="L643" s="242"/>
      <c r="M643" s="242"/>
      <c r="N643" s="242"/>
      <c r="O643" s="242"/>
      <c r="P643" s="242"/>
      <c r="Q643" s="242"/>
      <c r="R643" s="242"/>
      <c r="S643" s="242"/>
      <c r="T643" s="242"/>
      <c r="U643" s="242"/>
      <c r="V643" s="242"/>
      <c r="W643" s="242"/>
      <c r="X643" s="242"/>
      <c r="Y643" s="242"/>
      <c r="Z643" s="242"/>
      <c r="AA643" s="242"/>
    </row>
    <row r="644">
      <c r="A644" s="242"/>
      <c r="B644" s="242"/>
      <c r="C644" s="13"/>
      <c r="D644" s="242"/>
      <c r="E644" s="242"/>
      <c r="F644" s="242"/>
      <c r="G644" s="242"/>
      <c r="H644" s="13"/>
      <c r="I644" s="13"/>
      <c r="J644" s="13"/>
      <c r="K644" s="13"/>
      <c r="L644" s="242"/>
      <c r="M644" s="242"/>
      <c r="N644" s="242"/>
      <c r="O644" s="242"/>
      <c r="P644" s="242"/>
      <c r="Q644" s="242"/>
      <c r="R644" s="242"/>
      <c r="S644" s="242"/>
      <c r="T644" s="242"/>
      <c r="U644" s="242"/>
      <c r="V644" s="242"/>
      <c r="W644" s="242"/>
      <c r="X644" s="242"/>
      <c r="Y644" s="242"/>
      <c r="Z644" s="242"/>
      <c r="AA644" s="242"/>
    </row>
    <row r="645">
      <c r="A645" s="242"/>
      <c r="B645" s="242"/>
      <c r="C645" s="13"/>
      <c r="D645" s="242"/>
      <c r="E645" s="242"/>
      <c r="F645" s="242"/>
      <c r="G645" s="242"/>
      <c r="H645" s="13"/>
      <c r="I645" s="13"/>
      <c r="J645" s="13"/>
      <c r="K645" s="13"/>
      <c r="L645" s="242"/>
      <c r="M645" s="242"/>
      <c r="N645" s="242"/>
      <c r="O645" s="242"/>
      <c r="P645" s="242"/>
      <c r="Q645" s="242"/>
      <c r="R645" s="242"/>
      <c r="S645" s="242"/>
      <c r="T645" s="242"/>
      <c r="U645" s="242"/>
      <c r="V645" s="242"/>
      <c r="W645" s="242"/>
      <c r="X645" s="242"/>
      <c r="Y645" s="242"/>
      <c r="Z645" s="242"/>
      <c r="AA645" s="242"/>
    </row>
    <row r="646">
      <c r="A646" s="242"/>
      <c r="B646" s="242"/>
      <c r="C646" s="13"/>
      <c r="D646" s="242"/>
      <c r="E646" s="242"/>
      <c r="F646" s="242"/>
      <c r="G646" s="242"/>
      <c r="H646" s="13"/>
      <c r="I646" s="13"/>
      <c r="J646" s="13"/>
      <c r="K646" s="13"/>
      <c r="L646" s="242"/>
      <c r="M646" s="242"/>
      <c r="N646" s="242"/>
      <c r="O646" s="242"/>
      <c r="P646" s="242"/>
      <c r="Q646" s="242"/>
      <c r="R646" s="242"/>
      <c r="S646" s="242"/>
      <c r="T646" s="242"/>
      <c r="U646" s="242"/>
      <c r="V646" s="242"/>
      <c r="W646" s="242"/>
      <c r="X646" s="242"/>
      <c r="Y646" s="242"/>
      <c r="Z646" s="242"/>
      <c r="AA646" s="242"/>
    </row>
    <row r="647">
      <c r="A647" s="242"/>
      <c r="B647" s="242"/>
      <c r="C647" s="13"/>
      <c r="D647" s="242"/>
      <c r="E647" s="242"/>
      <c r="F647" s="242"/>
      <c r="G647" s="242"/>
      <c r="H647" s="13"/>
      <c r="I647" s="13"/>
      <c r="J647" s="13"/>
      <c r="K647" s="13"/>
      <c r="L647" s="242"/>
      <c r="M647" s="242"/>
      <c r="N647" s="242"/>
      <c r="O647" s="242"/>
      <c r="P647" s="242"/>
      <c r="Q647" s="242"/>
      <c r="R647" s="242"/>
      <c r="S647" s="242"/>
      <c r="T647" s="242"/>
      <c r="U647" s="242"/>
      <c r="V647" s="242"/>
      <c r="W647" s="242"/>
      <c r="X647" s="242"/>
      <c r="Y647" s="242"/>
      <c r="Z647" s="242"/>
      <c r="AA647" s="242"/>
    </row>
    <row r="648">
      <c r="A648" s="242"/>
      <c r="B648" s="242"/>
      <c r="C648" s="13"/>
      <c r="D648" s="242"/>
      <c r="E648" s="242"/>
      <c r="F648" s="242"/>
      <c r="G648" s="242"/>
      <c r="H648" s="13"/>
      <c r="I648" s="13"/>
      <c r="J648" s="13"/>
      <c r="K648" s="13"/>
      <c r="L648" s="242"/>
      <c r="M648" s="242"/>
      <c r="N648" s="242"/>
      <c r="O648" s="242"/>
      <c r="P648" s="242"/>
      <c r="Q648" s="242"/>
      <c r="R648" s="242"/>
      <c r="S648" s="242"/>
      <c r="T648" s="242"/>
      <c r="U648" s="242"/>
      <c r="V648" s="242"/>
      <c r="W648" s="242"/>
      <c r="X648" s="242"/>
      <c r="Y648" s="242"/>
      <c r="Z648" s="242"/>
      <c r="AA648" s="242"/>
    </row>
    <row r="649">
      <c r="A649" s="242"/>
      <c r="B649" s="242"/>
      <c r="C649" s="13"/>
      <c r="D649" s="242"/>
      <c r="E649" s="242"/>
      <c r="F649" s="242"/>
      <c r="G649" s="242"/>
      <c r="H649" s="13"/>
      <c r="I649" s="13"/>
      <c r="J649" s="13"/>
      <c r="K649" s="13"/>
      <c r="L649" s="242"/>
      <c r="M649" s="242"/>
      <c r="N649" s="242"/>
      <c r="O649" s="242"/>
      <c r="P649" s="242"/>
      <c r="Q649" s="242"/>
      <c r="R649" s="242"/>
      <c r="S649" s="242"/>
      <c r="T649" s="242"/>
      <c r="U649" s="242"/>
      <c r="V649" s="242"/>
      <c r="W649" s="242"/>
      <c r="X649" s="242"/>
      <c r="Y649" s="242"/>
      <c r="Z649" s="242"/>
      <c r="AA649" s="242"/>
    </row>
    <row r="650">
      <c r="A650" s="242"/>
      <c r="B650" s="242"/>
      <c r="C650" s="13"/>
      <c r="D650" s="242"/>
      <c r="E650" s="242"/>
      <c r="F650" s="242"/>
      <c r="G650" s="242"/>
      <c r="H650" s="13"/>
      <c r="I650" s="13"/>
      <c r="J650" s="13"/>
      <c r="K650" s="13"/>
      <c r="L650" s="242"/>
      <c r="M650" s="242"/>
      <c r="N650" s="242"/>
      <c r="O650" s="242"/>
      <c r="P650" s="242"/>
      <c r="Q650" s="242"/>
      <c r="R650" s="242"/>
      <c r="S650" s="242"/>
      <c r="T650" s="242"/>
      <c r="U650" s="242"/>
      <c r="V650" s="242"/>
      <c r="W650" s="242"/>
      <c r="X650" s="242"/>
      <c r="Y650" s="242"/>
      <c r="Z650" s="242"/>
      <c r="AA650" s="242"/>
    </row>
    <row r="651">
      <c r="A651" s="242"/>
      <c r="B651" s="242"/>
      <c r="C651" s="13"/>
      <c r="D651" s="242"/>
      <c r="E651" s="242"/>
      <c r="F651" s="242"/>
      <c r="G651" s="242"/>
      <c r="H651" s="13"/>
      <c r="I651" s="13"/>
      <c r="J651" s="13"/>
      <c r="K651" s="13"/>
      <c r="L651" s="242"/>
      <c r="M651" s="242"/>
      <c r="N651" s="242"/>
      <c r="O651" s="242"/>
      <c r="P651" s="242"/>
      <c r="Q651" s="242"/>
      <c r="R651" s="242"/>
      <c r="S651" s="242"/>
      <c r="T651" s="242"/>
      <c r="U651" s="242"/>
      <c r="V651" s="242"/>
      <c r="W651" s="242"/>
      <c r="X651" s="242"/>
      <c r="Y651" s="242"/>
      <c r="Z651" s="242"/>
      <c r="AA651" s="242"/>
    </row>
    <row r="652">
      <c r="A652" s="242"/>
      <c r="B652" s="242"/>
      <c r="C652" s="13"/>
      <c r="D652" s="242"/>
      <c r="E652" s="242"/>
      <c r="F652" s="242"/>
      <c r="G652" s="242"/>
      <c r="H652" s="13"/>
      <c r="I652" s="13"/>
      <c r="J652" s="13"/>
      <c r="K652" s="13"/>
      <c r="L652" s="242"/>
      <c r="M652" s="242"/>
      <c r="N652" s="242"/>
      <c r="O652" s="242"/>
      <c r="P652" s="242"/>
      <c r="Q652" s="242"/>
      <c r="R652" s="242"/>
      <c r="S652" s="242"/>
      <c r="T652" s="242"/>
      <c r="U652" s="242"/>
      <c r="V652" s="242"/>
      <c r="W652" s="242"/>
      <c r="X652" s="242"/>
      <c r="Y652" s="242"/>
      <c r="Z652" s="242"/>
      <c r="AA652" s="242"/>
    </row>
    <row r="653">
      <c r="A653" s="242"/>
      <c r="B653" s="242"/>
      <c r="C653" s="13"/>
      <c r="D653" s="242"/>
      <c r="E653" s="242"/>
      <c r="F653" s="242"/>
      <c r="G653" s="242"/>
      <c r="H653" s="13"/>
      <c r="I653" s="13"/>
      <c r="J653" s="13"/>
      <c r="K653" s="13"/>
      <c r="L653" s="242"/>
      <c r="M653" s="242"/>
      <c r="N653" s="242"/>
      <c r="O653" s="242"/>
      <c r="P653" s="242"/>
      <c r="Q653" s="242"/>
      <c r="R653" s="242"/>
      <c r="S653" s="242"/>
      <c r="T653" s="242"/>
      <c r="U653" s="242"/>
      <c r="V653" s="242"/>
      <c r="W653" s="242"/>
      <c r="X653" s="242"/>
      <c r="Y653" s="242"/>
      <c r="Z653" s="242"/>
      <c r="AA653" s="242"/>
    </row>
    <row r="654">
      <c r="A654" s="242"/>
      <c r="B654" s="242"/>
      <c r="C654" s="13"/>
      <c r="D654" s="242"/>
      <c r="E654" s="242"/>
      <c r="F654" s="242"/>
      <c r="G654" s="242"/>
      <c r="H654" s="13"/>
      <c r="I654" s="13"/>
      <c r="J654" s="13"/>
      <c r="K654" s="13"/>
      <c r="L654" s="242"/>
      <c r="M654" s="242"/>
      <c r="N654" s="242"/>
      <c r="O654" s="242"/>
      <c r="P654" s="242"/>
      <c r="Q654" s="242"/>
      <c r="R654" s="242"/>
      <c r="S654" s="242"/>
      <c r="T654" s="242"/>
      <c r="U654" s="242"/>
      <c r="V654" s="242"/>
      <c r="W654" s="242"/>
      <c r="X654" s="242"/>
      <c r="Y654" s="242"/>
      <c r="Z654" s="242"/>
      <c r="AA654" s="242"/>
    </row>
    <row r="655">
      <c r="A655" s="242"/>
      <c r="B655" s="242"/>
      <c r="C655" s="13"/>
      <c r="D655" s="242"/>
      <c r="E655" s="242"/>
      <c r="F655" s="242"/>
      <c r="G655" s="242"/>
      <c r="H655" s="13"/>
      <c r="I655" s="13"/>
      <c r="J655" s="13"/>
      <c r="K655" s="13"/>
      <c r="L655" s="242"/>
      <c r="M655" s="242"/>
      <c r="N655" s="242"/>
      <c r="O655" s="242"/>
      <c r="P655" s="242"/>
      <c r="Q655" s="242"/>
      <c r="R655" s="242"/>
      <c r="S655" s="242"/>
      <c r="T655" s="242"/>
      <c r="U655" s="242"/>
      <c r="V655" s="242"/>
      <c r="W655" s="242"/>
      <c r="X655" s="242"/>
      <c r="Y655" s="242"/>
      <c r="Z655" s="242"/>
      <c r="AA655" s="242"/>
    </row>
    <row r="656">
      <c r="A656" s="242"/>
      <c r="B656" s="242"/>
      <c r="C656" s="13"/>
      <c r="D656" s="242"/>
      <c r="E656" s="242"/>
      <c r="F656" s="242"/>
      <c r="G656" s="242"/>
      <c r="H656" s="13"/>
      <c r="I656" s="13"/>
      <c r="J656" s="13"/>
      <c r="K656" s="13"/>
      <c r="L656" s="242"/>
      <c r="M656" s="242"/>
      <c r="N656" s="242"/>
      <c r="O656" s="242"/>
      <c r="P656" s="242"/>
      <c r="Q656" s="242"/>
      <c r="R656" s="242"/>
      <c r="S656" s="242"/>
      <c r="T656" s="242"/>
      <c r="U656" s="242"/>
      <c r="V656" s="242"/>
      <c r="W656" s="242"/>
      <c r="X656" s="242"/>
      <c r="Y656" s="242"/>
      <c r="Z656" s="242"/>
      <c r="AA656" s="242"/>
    </row>
    <row r="657">
      <c r="A657" s="242"/>
      <c r="B657" s="242"/>
      <c r="C657" s="13"/>
      <c r="D657" s="242"/>
      <c r="E657" s="242"/>
      <c r="F657" s="242"/>
      <c r="G657" s="242"/>
      <c r="H657" s="13"/>
      <c r="I657" s="13"/>
      <c r="J657" s="13"/>
      <c r="K657" s="13"/>
      <c r="L657" s="242"/>
      <c r="M657" s="242"/>
      <c r="N657" s="242"/>
      <c r="O657" s="242"/>
      <c r="P657" s="242"/>
      <c r="Q657" s="242"/>
      <c r="R657" s="242"/>
      <c r="S657" s="242"/>
      <c r="T657" s="242"/>
      <c r="U657" s="242"/>
      <c r="V657" s="242"/>
      <c r="W657" s="242"/>
      <c r="X657" s="242"/>
      <c r="Y657" s="242"/>
      <c r="Z657" s="242"/>
      <c r="AA657" s="242"/>
    </row>
    <row r="658">
      <c r="A658" s="242"/>
      <c r="B658" s="242"/>
      <c r="C658" s="13"/>
      <c r="D658" s="242"/>
      <c r="E658" s="242"/>
      <c r="F658" s="242"/>
      <c r="G658" s="242"/>
      <c r="H658" s="13"/>
      <c r="I658" s="13"/>
      <c r="J658" s="13"/>
      <c r="K658" s="13"/>
      <c r="L658" s="242"/>
      <c r="M658" s="242"/>
      <c r="N658" s="242"/>
      <c r="O658" s="242"/>
      <c r="P658" s="242"/>
      <c r="Q658" s="242"/>
      <c r="R658" s="242"/>
      <c r="S658" s="242"/>
      <c r="T658" s="242"/>
      <c r="U658" s="242"/>
      <c r="V658" s="242"/>
      <c r="W658" s="242"/>
      <c r="X658" s="242"/>
      <c r="Y658" s="242"/>
      <c r="Z658" s="242"/>
      <c r="AA658" s="242"/>
    </row>
    <row r="659">
      <c r="A659" s="242"/>
      <c r="B659" s="242"/>
      <c r="C659" s="13"/>
      <c r="D659" s="242"/>
      <c r="E659" s="242"/>
      <c r="F659" s="242"/>
      <c r="G659" s="242"/>
      <c r="H659" s="13"/>
      <c r="I659" s="13"/>
      <c r="J659" s="13"/>
      <c r="K659" s="13"/>
      <c r="L659" s="242"/>
      <c r="M659" s="242"/>
      <c r="N659" s="242"/>
      <c r="O659" s="242"/>
      <c r="P659" s="242"/>
      <c r="Q659" s="242"/>
      <c r="R659" s="242"/>
      <c r="S659" s="242"/>
      <c r="T659" s="242"/>
      <c r="U659" s="242"/>
      <c r="V659" s="242"/>
      <c r="W659" s="242"/>
      <c r="X659" s="242"/>
      <c r="Y659" s="242"/>
      <c r="Z659" s="242"/>
      <c r="AA659" s="242"/>
    </row>
    <row r="660">
      <c r="A660" s="242"/>
      <c r="B660" s="242"/>
      <c r="C660" s="13"/>
      <c r="D660" s="242"/>
      <c r="E660" s="242"/>
      <c r="F660" s="242"/>
      <c r="G660" s="242"/>
      <c r="H660" s="13"/>
      <c r="I660" s="13"/>
      <c r="J660" s="13"/>
      <c r="K660" s="13"/>
      <c r="L660" s="242"/>
      <c r="M660" s="242"/>
      <c r="N660" s="242"/>
      <c r="O660" s="242"/>
      <c r="P660" s="242"/>
      <c r="Q660" s="242"/>
      <c r="R660" s="242"/>
      <c r="S660" s="242"/>
      <c r="T660" s="242"/>
      <c r="U660" s="242"/>
      <c r="V660" s="242"/>
      <c r="W660" s="242"/>
      <c r="X660" s="242"/>
      <c r="Y660" s="242"/>
      <c r="Z660" s="242"/>
      <c r="AA660" s="242"/>
    </row>
    <row r="661">
      <c r="A661" s="242"/>
      <c r="B661" s="242"/>
      <c r="C661" s="13"/>
      <c r="D661" s="242"/>
      <c r="E661" s="242"/>
      <c r="F661" s="242"/>
      <c r="G661" s="242"/>
      <c r="H661" s="13"/>
      <c r="I661" s="13"/>
      <c r="J661" s="13"/>
      <c r="K661" s="13"/>
      <c r="L661" s="242"/>
      <c r="M661" s="242"/>
      <c r="N661" s="242"/>
      <c r="O661" s="242"/>
      <c r="P661" s="242"/>
      <c r="Q661" s="242"/>
      <c r="R661" s="242"/>
      <c r="S661" s="242"/>
      <c r="T661" s="242"/>
      <c r="U661" s="242"/>
      <c r="V661" s="242"/>
      <c r="W661" s="242"/>
      <c r="X661" s="242"/>
      <c r="Y661" s="242"/>
      <c r="Z661" s="242"/>
      <c r="AA661" s="242"/>
    </row>
    <row r="662">
      <c r="A662" s="242"/>
      <c r="B662" s="242"/>
      <c r="C662" s="13"/>
      <c r="D662" s="242"/>
      <c r="E662" s="242"/>
      <c r="F662" s="242"/>
      <c r="G662" s="242"/>
      <c r="H662" s="13"/>
      <c r="I662" s="13"/>
      <c r="J662" s="13"/>
      <c r="K662" s="13"/>
      <c r="L662" s="242"/>
      <c r="M662" s="242"/>
      <c r="N662" s="242"/>
      <c r="O662" s="242"/>
      <c r="P662" s="242"/>
      <c r="Q662" s="242"/>
      <c r="R662" s="242"/>
      <c r="S662" s="242"/>
      <c r="T662" s="242"/>
      <c r="U662" s="242"/>
      <c r="V662" s="242"/>
      <c r="W662" s="242"/>
      <c r="X662" s="242"/>
      <c r="Y662" s="242"/>
      <c r="Z662" s="242"/>
      <c r="AA662" s="242"/>
    </row>
    <row r="663">
      <c r="A663" s="242"/>
      <c r="B663" s="242"/>
      <c r="C663" s="13"/>
      <c r="D663" s="242"/>
      <c r="E663" s="242"/>
      <c r="F663" s="242"/>
      <c r="G663" s="242"/>
      <c r="H663" s="13"/>
      <c r="I663" s="13"/>
      <c r="J663" s="13"/>
      <c r="K663" s="13"/>
      <c r="L663" s="242"/>
      <c r="M663" s="242"/>
      <c r="N663" s="242"/>
      <c r="O663" s="242"/>
      <c r="P663" s="242"/>
      <c r="Q663" s="242"/>
      <c r="R663" s="242"/>
      <c r="S663" s="242"/>
      <c r="T663" s="242"/>
      <c r="U663" s="242"/>
      <c r="V663" s="242"/>
      <c r="W663" s="242"/>
      <c r="X663" s="242"/>
      <c r="Y663" s="242"/>
      <c r="Z663" s="242"/>
      <c r="AA663" s="242"/>
    </row>
    <row r="664">
      <c r="A664" s="242"/>
      <c r="B664" s="242"/>
      <c r="C664" s="13"/>
      <c r="D664" s="242"/>
      <c r="E664" s="242"/>
      <c r="F664" s="242"/>
      <c r="G664" s="242"/>
      <c r="H664" s="13"/>
      <c r="I664" s="13"/>
      <c r="J664" s="13"/>
      <c r="K664" s="13"/>
      <c r="L664" s="242"/>
      <c r="M664" s="242"/>
      <c r="N664" s="242"/>
      <c r="O664" s="242"/>
      <c r="P664" s="242"/>
      <c r="Q664" s="242"/>
      <c r="R664" s="242"/>
      <c r="S664" s="242"/>
      <c r="T664" s="242"/>
      <c r="U664" s="242"/>
      <c r="V664" s="242"/>
      <c r="W664" s="242"/>
      <c r="X664" s="242"/>
      <c r="Y664" s="242"/>
      <c r="Z664" s="242"/>
      <c r="AA664" s="242"/>
    </row>
    <row r="665">
      <c r="A665" s="242"/>
      <c r="B665" s="242"/>
      <c r="C665" s="13"/>
      <c r="D665" s="242"/>
      <c r="E665" s="242"/>
      <c r="F665" s="242"/>
      <c r="G665" s="242"/>
      <c r="H665" s="13"/>
      <c r="I665" s="13"/>
      <c r="J665" s="13"/>
      <c r="K665" s="13"/>
      <c r="L665" s="242"/>
      <c r="M665" s="242"/>
      <c r="N665" s="242"/>
      <c r="O665" s="242"/>
      <c r="P665" s="242"/>
      <c r="Q665" s="242"/>
      <c r="R665" s="242"/>
      <c r="S665" s="242"/>
      <c r="T665" s="242"/>
      <c r="U665" s="242"/>
      <c r="V665" s="242"/>
      <c r="W665" s="242"/>
      <c r="X665" s="242"/>
      <c r="Y665" s="242"/>
      <c r="Z665" s="242"/>
      <c r="AA665" s="242"/>
    </row>
    <row r="666">
      <c r="A666" s="242"/>
      <c r="B666" s="242"/>
      <c r="C666" s="13"/>
      <c r="D666" s="242"/>
      <c r="E666" s="242"/>
      <c r="F666" s="242"/>
      <c r="G666" s="242"/>
      <c r="H666" s="13"/>
      <c r="I666" s="13"/>
      <c r="J666" s="13"/>
      <c r="K666" s="13"/>
      <c r="L666" s="242"/>
      <c r="M666" s="242"/>
      <c r="N666" s="242"/>
      <c r="O666" s="242"/>
      <c r="P666" s="242"/>
      <c r="Q666" s="242"/>
      <c r="R666" s="242"/>
      <c r="S666" s="242"/>
      <c r="T666" s="242"/>
      <c r="U666" s="242"/>
      <c r="V666" s="242"/>
      <c r="W666" s="242"/>
      <c r="X666" s="242"/>
      <c r="Y666" s="242"/>
      <c r="Z666" s="242"/>
      <c r="AA666" s="242"/>
    </row>
    <row r="667">
      <c r="A667" s="242"/>
      <c r="B667" s="242"/>
      <c r="C667" s="13"/>
      <c r="D667" s="242"/>
      <c r="E667" s="242"/>
      <c r="F667" s="242"/>
      <c r="G667" s="242"/>
      <c r="H667" s="13"/>
      <c r="I667" s="13"/>
      <c r="J667" s="13"/>
      <c r="K667" s="13"/>
      <c r="L667" s="242"/>
      <c r="M667" s="242"/>
      <c r="N667" s="242"/>
      <c r="O667" s="242"/>
      <c r="P667" s="242"/>
      <c r="Q667" s="242"/>
      <c r="R667" s="242"/>
      <c r="S667" s="242"/>
      <c r="T667" s="242"/>
      <c r="U667" s="242"/>
      <c r="V667" s="242"/>
      <c r="W667" s="242"/>
      <c r="X667" s="242"/>
      <c r="Y667" s="242"/>
      <c r="Z667" s="242"/>
      <c r="AA667" s="242"/>
    </row>
    <row r="668">
      <c r="A668" s="242"/>
      <c r="B668" s="242"/>
      <c r="C668" s="13"/>
      <c r="D668" s="242"/>
      <c r="E668" s="242"/>
      <c r="F668" s="242"/>
      <c r="G668" s="242"/>
      <c r="H668" s="13"/>
      <c r="I668" s="13"/>
      <c r="J668" s="13"/>
      <c r="K668" s="13"/>
      <c r="L668" s="242"/>
      <c r="M668" s="242"/>
      <c r="N668" s="242"/>
      <c r="O668" s="242"/>
      <c r="P668" s="242"/>
      <c r="Q668" s="242"/>
      <c r="R668" s="242"/>
      <c r="S668" s="242"/>
      <c r="T668" s="242"/>
      <c r="U668" s="242"/>
      <c r="V668" s="242"/>
      <c r="W668" s="242"/>
      <c r="X668" s="242"/>
      <c r="Y668" s="242"/>
      <c r="Z668" s="242"/>
      <c r="AA668" s="242"/>
    </row>
    <row r="669">
      <c r="A669" s="242"/>
      <c r="B669" s="242"/>
      <c r="C669" s="13"/>
      <c r="D669" s="242"/>
      <c r="E669" s="242"/>
      <c r="F669" s="242"/>
      <c r="G669" s="242"/>
      <c r="H669" s="13"/>
      <c r="I669" s="13"/>
      <c r="J669" s="13"/>
      <c r="K669" s="13"/>
      <c r="L669" s="242"/>
      <c r="M669" s="242"/>
      <c r="N669" s="242"/>
      <c r="O669" s="242"/>
      <c r="P669" s="242"/>
      <c r="Q669" s="242"/>
      <c r="R669" s="242"/>
      <c r="S669" s="242"/>
      <c r="T669" s="242"/>
      <c r="U669" s="242"/>
      <c r="V669" s="242"/>
      <c r="W669" s="242"/>
      <c r="X669" s="242"/>
      <c r="Y669" s="242"/>
      <c r="Z669" s="242"/>
      <c r="AA669" s="242"/>
    </row>
    <row r="670">
      <c r="A670" s="242"/>
      <c r="B670" s="242"/>
      <c r="C670" s="13"/>
      <c r="D670" s="242"/>
      <c r="E670" s="242"/>
      <c r="F670" s="242"/>
      <c r="G670" s="242"/>
      <c r="H670" s="13"/>
      <c r="I670" s="13"/>
      <c r="J670" s="13"/>
      <c r="K670" s="13"/>
      <c r="L670" s="242"/>
      <c r="M670" s="242"/>
      <c r="N670" s="242"/>
      <c r="O670" s="242"/>
      <c r="P670" s="242"/>
      <c r="Q670" s="242"/>
      <c r="R670" s="242"/>
      <c r="S670" s="242"/>
      <c r="T670" s="242"/>
      <c r="U670" s="242"/>
      <c r="V670" s="242"/>
      <c r="W670" s="242"/>
      <c r="X670" s="242"/>
      <c r="Y670" s="242"/>
      <c r="Z670" s="242"/>
      <c r="AA670" s="242"/>
    </row>
    <row r="671">
      <c r="A671" s="242"/>
      <c r="B671" s="242"/>
      <c r="C671" s="13"/>
      <c r="D671" s="242"/>
      <c r="E671" s="242"/>
      <c r="F671" s="242"/>
      <c r="G671" s="242"/>
      <c r="H671" s="13"/>
      <c r="I671" s="13"/>
      <c r="J671" s="13"/>
      <c r="K671" s="13"/>
      <c r="L671" s="242"/>
      <c r="M671" s="242"/>
      <c r="N671" s="242"/>
      <c r="O671" s="242"/>
      <c r="P671" s="242"/>
      <c r="Q671" s="242"/>
      <c r="R671" s="242"/>
      <c r="S671" s="242"/>
      <c r="T671" s="242"/>
      <c r="U671" s="242"/>
      <c r="V671" s="242"/>
      <c r="W671" s="242"/>
      <c r="X671" s="242"/>
      <c r="Y671" s="242"/>
      <c r="Z671" s="242"/>
      <c r="AA671" s="242"/>
    </row>
    <row r="672">
      <c r="A672" s="242"/>
      <c r="B672" s="242"/>
      <c r="C672" s="13"/>
      <c r="D672" s="242"/>
      <c r="E672" s="242"/>
      <c r="F672" s="242"/>
      <c r="G672" s="242"/>
      <c r="H672" s="13"/>
      <c r="I672" s="13"/>
      <c r="J672" s="13"/>
      <c r="K672" s="13"/>
      <c r="L672" s="242"/>
      <c r="M672" s="242"/>
      <c r="N672" s="242"/>
      <c r="O672" s="242"/>
      <c r="P672" s="242"/>
      <c r="Q672" s="242"/>
      <c r="R672" s="242"/>
      <c r="S672" s="242"/>
      <c r="T672" s="242"/>
      <c r="U672" s="242"/>
      <c r="V672" s="242"/>
      <c r="W672" s="242"/>
      <c r="X672" s="242"/>
      <c r="Y672" s="242"/>
      <c r="Z672" s="242"/>
      <c r="AA672" s="242"/>
    </row>
    <row r="673">
      <c r="A673" s="242"/>
      <c r="B673" s="242"/>
      <c r="C673" s="13"/>
      <c r="D673" s="242"/>
      <c r="E673" s="242"/>
      <c r="F673" s="242"/>
      <c r="G673" s="242"/>
      <c r="H673" s="13"/>
      <c r="I673" s="13"/>
      <c r="J673" s="13"/>
      <c r="K673" s="13"/>
      <c r="L673" s="242"/>
      <c r="M673" s="242"/>
      <c r="N673" s="242"/>
      <c r="O673" s="242"/>
      <c r="P673" s="242"/>
      <c r="Q673" s="242"/>
      <c r="R673" s="242"/>
      <c r="S673" s="242"/>
      <c r="T673" s="242"/>
      <c r="U673" s="242"/>
      <c r="V673" s="242"/>
      <c r="W673" s="242"/>
      <c r="X673" s="242"/>
      <c r="Y673" s="242"/>
      <c r="Z673" s="242"/>
      <c r="AA673" s="242"/>
    </row>
    <row r="674">
      <c r="A674" s="242"/>
      <c r="B674" s="242"/>
      <c r="C674" s="13"/>
      <c r="D674" s="242"/>
      <c r="E674" s="242"/>
      <c r="F674" s="242"/>
      <c r="G674" s="242"/>
      <c r="H674" s="13"/>
      <c r="I674" s="13"/>
      <c r="J674" s="13"/>
      <c r="K674" s="13"/>
      <c r="L674" s="242"/>
      <c r="M674" s="242"/>
      <c r="N674" s="242"/>
      <c r="O674" s="242"/>
      <c r="P674" s="242"/>
      <c r="Q674" s="242"/>
      <c r="R674" s="242"/>
      <c r="S674" s="242"/>
      <c r="T674" s="242"/>
      <c r="U674" s="242"/>
      <c r="V674" s="242"/>
      <c r="W674" s="242"/>
      <c r="X674" s="242"/>
      <c r="Y674" s="242"/>
      <c r="Z674" s="242"/>
      <c r="AA674" s="242"/>
    </row>
    <row r="675">
      <c r="A675" s="242"/>
      <c r="B675" s="242"/>
      <c r="C675" s="13"/>
      <c r="D675" s="242"/>
      <c r="E675" s="242"/>
      <c r="F675" s="242"/>
      <c r="G675" s="242"/>
      <c r="H675" s="13"/>
      <c r="I675" s="13"/>
      <c r="J675" s="13"/>
      <c r="K675" s="13"/>
      <c r="L675" s="242"/>
      <c r="M675" s="242"/>
      <c r="N675" s="242"/>
      <c r="O675" s="242"/>
      <c r="P675" s="242"/>
      <c r="Q675" s="242"/>
      <c r="R675" s="242"/>
      <c r="S675" s="242"/>
      <c r="T675" s="242"/>
      <c r="U675" s="242"/>
      <c r="V675" s="242"/>
      <c r="W675" s="242"/>
      <c r="X675" s="242"/>
      <c r="Y675" s="242"/>
      <c r="Z675" s="242"/>
      <c r="AA675" s="242"/>
    </row>
    <row r="676">
      <c r="A676" s="242"/>
      <c r="B676" s="242"/>
      <c r="C676" s="13"/>
      <c r="D676" s="242"/>
      <c r="E676" s="242"/>
      <c r="F676" s="242"/>
      <c r="G676" s="242"/>
      <c r="H676" s="13"/>
      <c r="I676" s="13"/>
      <c r="J676" s="13"/>
      <c r="K676" s="13"/>
      <c r="L676" s="242"/>
      <c r="M676" s="242"/>
      <c r="N676" s="242"/>
      <c r="O676" s="242"/>
      <c r="P676" s="242"/>
      <c r="Q676" s="242"/>
      <c r="R676" s="242"/>
      <c r="S676" s="242"/>
      <c r="T676" s="242"/>
      <c r="U676" s="242"/>
      <c r="V676" s="242"/>
      <c r="W676" s="242"/>
      <c r="X676" s="242"/>
      <c r="Y676" s="242"/>
      <c r="Z676" s="242"/>
      <c r="AA676" s="242"/>
    </row>
    <row r="677">
      <c r="A677" s="242"/>
      <c r="B677" s="242"/>
      <c r="C677" s="13"/>
      <c r="D677" s="242"/>
      <c r="E677" s="242"/>
      <c r="F677" s="242"/>
      <c r="G677" s="242"/>
      <c r="H677" s="13"/>
      <c r="I677" s="13"/>
      <c r="J677" s="13"/>
      <c r="K677" s="13"/>
      <c r="L677" s="242"/>
      <c r="M677" s="242"/>
      <c r="N677" s="242"/>
      <c r="O677" s="242"/>
      <c r="P677" s="242"/>
      <c r="Q677" s="242"/>
      <c r="R677" s="242"/>
      <c r="S677" s="242"/>
      <c r="T677" s="242"/>
      <c r="U677" s="242"/>
      <c r="V677" s="242"/>
      <c r="W677" s="242"/>
      <c r="X677" s="242"/>
      <c r="Y677" s="242"/>
      <c r="Z677" s="242"/>
      <c r="AA677" s="242"/>
    </row>
    <row r="678">
      <c r="A678" s="242"/>
      <c r="B678" s="242"/>
      <c r="C678" s="13"/>
      <c r="D678" s="242"/>
      <c r="E678" s="242"/>
      <c r="F678" s="242"/>
      <c r="G678" s="242"/>
      <c r="H678" s="13"/>
      <c r="I678" s="13"/>
      <c r="J678" s="13"/>
      <c r="K678" s="13"/>
      <c r="L678" s="242"/>
      <c r="M678" s="242"/>
      <c r="N678" s="242"/>
      <c r="O678" s="242"/>
      <c r="P678" s="242"/>
      <c r="Q678" s="242"/>
      <c r="R678" s="242"/>
      <c r="S678" s="242"/>
      <c r="T678" s="242"/>
      <c r="U678" s="242"/>
      <c r="V678" s="242"/>
      <c r="W678" s="242"/>
      <c r="X678" s="242"/>
      <c r="Y678" s="242"/>
      <c r="Z678" s="242"/>
      <c r="AA678" s="242"/>
    </row>
    <row r="679">
      <c r="A679" s="242"/>
      <c r="B679" s="242"/>
      <c r="C679" s="13"/>
      <c r="D679" s="242"/>
      <c r="E679" s="242"/>
      <c r="F679" s="242"/>
      <c r="G679" s="242"/>
      <c r="H679" s="13"/>
      <c r="I679" s="13"/>
      <c r="J679" s="13"/>
      <c r="K679" s="13"/>
      <c r="L679" s="242"/>
      <c r="M679" s="242"/>
      <c r="N679" s="242"/>
      <c r="O679" s="242"/>
      <c r="P679" s="242"/>
      <c r="Q679" s="242"/>
      <c r="R679" s="242"/>
      <c r="S679" s="242"/>
      <c r="T679" s="242"/>
      <c r="U679" s="242"/>
      <c r="V679" s="242"/>
      <c r="W679" s="242"/>
      <c r="X679" s="242"/>
      <c r="Y679" s="242"/>
      <c r="Z679" s="242"/>
      <c r="AA679" s="242"/>
    </row>
    <row r="680">
      <c r="A680" s="242"/>
      <c r="B680" s="242"/>
      <c r="C680" s="13"/>
      <c r="D680" s="242"/>
      <c r="E680" s="242"/>
      <c r="F680" s="242"/>
      <c r="G680" s="242"/>
      <c r="H680" s="13"/>
      <c r="I680" s="13"/>
      <c r="J680" s="13"/>
      <c r="K680" s="13"/>
      <c r="L680" s="242"/>
      <c r="M680" s="242"/>
      <c r="N680" s="242"/>
      <c r="O680" s="242"/>
      <c r="P680" s="242"/>
      <c r="Q680" s="242"/>
      <c r="R680" s="242"/>
      <c r="S680" s="242"/>
      <c r="T680" s="242"/>
      <c r="U680" s="242"/>
      <c r="V680" s="242"/>
      <c r="W680" s="242"/>
      <c r="X680" s="242"/>
      <c r="Y680" s="242"/>
      <c r="Z680" s="242"/>
      <c r="AA680" s="242"/>
    </row>
    <row r="681">
      <c r="A681" s="242"/>
      <c r="B681" s="242"/>
      <c r="C681" s="13"/>
      <c r="D681" s="242"/>
      <c r="E681" s="242"/>
      <c r="F681" s="242"/>
      <c r="G681" s="242"/>
      <c r="H681" s="13"/>
      <c r="I681" s="13"/>
      <c r="J681" s="13"/>
      <c r="K681" s="13"/>
      <c r="L681" s="242"/>
      <c r="M681" s="242"/>
      <c r="N681" s="242"/>
      <c r="O681" s="242"/>
      <c r="P681" s="242"/>
      <c r="Q681" s="242"/>
      <c r="R681" s="242"/>
      <c r="S681" s="242"/>
      <c r="T681" s="242"/>
      <c r="U681" s="242"/>
      <c r="V681" s="242"/>
      <c r="W681" s="242"/>
      <c r="X681" s="242"/>
      <c r="Y681" s="242"/>
      <c r="Z681" s="242"/>
      <c r="AA681" s="242"/>
    </row>
    <row r="682">
      <c r="A682" s="242"/>
      <c r="B682" s="242"/>
      <c r="C682" s="13"/>
      <c r="D682" s="242"/>
      <c r="E682" s="242"/>
      <c r="F682" s="242"/>
      <c r="G682" s="242"/>
      <c r="H682" s="13"/>
      <c r="I682" s="13"/>
      <c r="J682" s="13"/>
      <c r="K682" s="13"/>
      <c r="L682" s="242"/>
      <c r="M682" s="242"/>
      <c r="N682" s="242"/>
      <c r="O682" s="242"/>
      <c r="P682" s="242"/>
      <c r="Q682" s="242"/>
      <c r="R682" s="242"/>
      <c r="S682" s="242"/>
      <c r="T682" s="242"/>
      <c r="U682" s="242"/>
      <c r="V682" s="242"/>
      <c r="W682" s="242"/>
      <c r="X682" s="242"/>
      <c r="Y682" s="242"/>
      <c r="Z682" s="242"/>
      <c r="AA682" s="242"/>
    </row>
    <row r="683">
      <c r="A683" s="242"/>
      <c r="B683" s="242"/>
      <c r="C683" s="13"/>
      <c r="D683" s="242"/>
      <c r="E683" s="242"/>
      <c r="F683" s="242"/>
      <c r="G683" s="242"/>
      <c r="H683" s="13"/>
      <c r="I683" s="13"/>
      <c r="J683" s="13"/>
      <c r="K683" s="13"/>
      <c r="L683" s="242"/>
      <c r="M683" s="242"/>
      <c r="N683" s="242"/>
      <c r="O683" s="242"/>
      <c r="P683" s="242"/>
      <c r="Q683" s="242"/>
      <c r="R683" s="242"/>
      <c r="S683" s="242"/>
      <c r="T683" s="242"/>
      <c r="U683" s="242"/>
      <c r="V683" s="242"/>
      <c r="W683" s="242"/>
      <c r="X683" s="242"/>
      <c r="Y683" s="242"/>
      <c r="Z683" s="242"/>
      <c r="AA683" s="242"/>
    </row>
    <row r="684">
      <c r="A684" s="242"/>
      <c r="B684" s="242"/>
      <c r="C684" s="13"/>
      <c r="D684" s="242"/>
      <c r="E684" s="242"/>
      <c r="F684" s="242"/>
      <c r="G684" s="242"/>
      <c r="H684" s="13"/>
      <c r="I684" s="13"/>
      <c r="J684" s="13"/>
      <c r="K684" s="13"/>
      <c r="L684" s="242"/>
      <c r="M684" s="242"/>
      <c r="N684" s="242"/>
      <c r="O684" s="242"/>
      <c r="P684" s="242"/>
      <c r="Q684" s="242"/>
      <c r="R684" s="242"/>
      <c r="S684" s="242"/>
      <c r="T684" s="242"/>
      <c r="U684" s="242"/>
      <c r="V684" s="242"/>
      <c r="W684" s="242"/>
      <c r="X684" s="242"/>
      <c r="Y684" s="242"/>
      <c r="Z684" s="242"/>
      <c r="AA684" s="242"/>
    </row>
    <row r="685">
      <c r="A685" s="242"/>
      <c r="B685" s="242"/>
      <c r="C685" s="13"/>
      <c r="D685" s="242"/>
      <c r="E685" s="242"/>
      <c r="F685" s="242"/>
      <c r="G685" s="242"/>
      <c r="H685" s="13"/>
      <c r="I685" s="13"/>
      <c r="J685" s="13"/>
      <c r="K685" s="13"/>
      <c r="L685" s="242"/>
      <c r="M685" s="242"/>
      <c r="N685" s="242"/>
      <c r="O685" s="242"/>
      <c r="P685" s="242"/>
      <c r="Q685" s="242"/>
      <c r="R685" s="242"/>
      <c r="S685" s="242"/>
      <c r="T685" s="242"/>
      <c r="U685" s="242"/>
      <c r="V685" s="242"/>
      <c r="W685" s="242"/>
      <c r="X685" s="242"/>
      <c r="Y685" s="242"/>
      <c r="Z685" s="242"/>
      <c r="AA685" s="242"/>
    </row>
    <row r="686">
      <c r="A686" s="242"/>
      <c r="B686" s="242"/>
      <c r="C686" s="13"/>
      <c r="D686" s="242"/>
      <c r="E686" s="242"/>
      <c r="F686" s="242"/>
      <c r="G686" s="242"/>
      <c r="H686" s="13"/>
      <c r="I686" s="13"/>
      <c r="J686" s="13"/>
      <c r="K686" s="13"/>
      <c r="L686" s="242"/>
      <c r="M686" s="242"/>
      <c r="N686" s="242"/>
      <c r="O686" s="242"/>
      <c r="P686" s="242"/>
      <c r="Q686" s="242"/>
      <c r="R686" s="242"/>
      <c r="S686" s="242"/>
      <c r="T686" s="242"/>
      <c r="U686" s="242"/>
      <c r="V686" s="242"/>
      <c r="W686" s="242"/>
      <c r="X686" s="242"/>
      <c r="Y686" s="242"/>
      <c r="Z686" s="242"/>
      <c r="AA686" s="242"/>
    </row>
    <row r="687">
      <c r="A687" s="242"/>
      <c r="B687" s="242"/>
      <c r="C687" s="13"/>
      <c r="D687" s="242"/>
      <c r="E687" s="242"/>
      <c r="F687" s="242"/>
      <c r="G687" s="242"/>
      <c r="H687" s="13"/>
      <c r="I687" s="13"/>
      <c r="J687" s="13"/>
      <c r="K687" s="13"/>
      <c r="L687" s="242"/>
      <c r="M687" s="242"/>
      <c r="N687" s="242"/>
      <c r="O687" s="242"/>
      <c r="P687" s="242"/>
      <c r="Q687" s="242"/>
      <c r="R687" s="242"/>
      <c r="S687" s="242"/>
      <c r="T687" s="242"/>
      <c r="U687" s="242"/>
      <c r="V687" s="242"/>
      <c r="W687" s="242"/>
      <c r="X687" s="242"/>
      <c r="Y687" s="242"/>
      <c r="Z687" s="242"/>
      <c r="AA687" s="242"/>
    </row>
    <row r="688">
      <c r="A688" s="242"/>
      <c r="B688" s="242"/>
      <c r="C688" s="13"/>
      <c r="D688" s="242"/>
      <c r="E688" s="242"/>
      <c r="F688" s="242"/>
      <c r="G688" s="242"/>
      <c r="H688" s="13"/>
      <c r="I688" s="13"/>
      <c r="J688" s="13"/>
      <c r="K688" s="13"/>
      <c r="L688" s="242"/>
      <c r="M688" s="242"/>
      <c r="N688" s="242"/>
      <c r="O688" s="242"/>
      <c r="P688" s="242"/>
      <c r="Q688" s="242"/>
      <c r="R688" s="242"/>
      <c r="S688" s="242"/>
      <c r="T688" s="242"/>
      <c r="U688" s="242"/>
      <c r="V688" s="242"/>
      <c r="W688" s="242"/>
      <c r="X688" s="242"/>
      <c r="Y688" s="242"/>
      <c r="Z688" s="242"/>
      <c r="AA688" s="242"/>
    </row>
    <row r="689">
      <c r="A689" s="242"/>
      <c r="B689" s="242"/>
      <c r="C689" s="13"/>
      <c r="D689" s="242"/>
      <c r="E689" s="242"/>
      <c r="F689" s="242"/>
      <c r="G689" s="242"/>
      <c r="H689" s="13"/>
      <c r="I689" s="13"/>
      <c r="J689" s="13"/>
      <c r="K689" s="13"/>
      <c r="L689" s="242"/>
      <c r="M689" s="242"/>
      <c r="N689" s="242"/>
      <c r="O689" s="242"/>
      <c r="P689" s="242"/>
      <c r="Q689" s="242"/>
      <c r="R689" s="242"/>
      <c r="S689" s="242"/>
      <c r="T689" s="242"/>
      <c r="U689" s="242"/>
      <c r="V689" s="242"/>
      <c r="W689" s="242"/>
      <c r="X689" s="242"/>
      <c r="Y689" s="242"/>
      <c r="Z689" s="242"/>
      <c r="AA689" s="242"/>
    </row>
    <row r="690">
      <c r="A690" s="242"/>
      <c r="B690" s="242"/>
      <c r="C690" s="13"/>
      <c r="D690" s="242"/>
      <c r="E690" s="242"/>
      <c r="F690" s="242"/>
      <c r="G690" s="242"/>
      <c r="H690" s="13"/>
      <c r="I690" s="13"/>
      <c r="J690" s="13"/>
      <c r="K690" s="13"/>
      <c r="L690" s="242"/>
      <c r="M690" s="242"/>
      <c r="N690" s="242"/>
      <c r="O690" s="242"/>
      <c r="P690" s="242"/>
      <c r="Q690" s="242"/>
      <c r="R690" s="242"/>
      <c r="S690" s="242"/>
      <c r="T690" s="242"/>
      <c r="U690" s="242"/>
      <c r="V690" s="242"/>
      <c r="W690" s="242"/>
      <c r="X690" s="242"/>
      <c r="Y690" s="242"/>
      <c r="Z690" s="242"/>
      <c r="AA690" s="242"/>
    </row>
    <row r="691">
      <c r="A691" s="242"/>
      <c r="B691" s="242"/>
      <c r="C691" s="13"/>
      <c r="D691" s="242"/>
      <c r="E691" s="242"/>
      <c r="F691" s="242"/>
      <c r="G691" s="242"/>
      <c r="H691" s="13"/>
      <c r="I691" s="13"/>
      <c r="J691" s="13"/>
      <c r="K691" s="13"/>
      <c r="L691" s="242"/>
      <c r="M691" s="242"/>
      <c r="N691" s="242"/>
      <c r="O691" s="242"/>
      <c r="P691" s="242"/>
      <c r="Q691" s="242"/>
      <c r="R691" s="242"/>
      <c r="S691" s="242"/>
      <c r="T691" s="242"/>
      <c r="U691" s="242"/>
      <c r="V691" s="242"/>
      <c r="W691" s="242"/>
      <c r="X691" s="242"/>
      <c r="Y691" s="242"/>
      <c r="Z691" s="242"/>
      <c r="AA691" s="242"/>
    </row>
    <row r="692">
      <c r="A692" s="242"/>
      <c r="B692" s="242"/>
      <c r="C692" s="13"/>
      <c r="D692" s="242"/>
      <c r="E692" s="242"/>
      <c r="F692" s="242"/>
      <c r="G692" s="242"/>
      <c r="H692" s="13"/>
      <c r="I692" s="13"/>
      <c r="J692" s="13"/>
      <c r="K692" s="13"/>
      <c r="L692" s="242"/>
      <c r="M692" s="242"/>
      <c r="N692" s="242"/>
      <c r="O692" s="242"/>
      <c r="P692" s="242"/>
      <c r="Q692" s="242"/>
      <c r="R692" s="242"/>
      <c r="S692" s="242"/>
      <c r="T692" s="242"/>
      <c r="U692" s="242"/>
      <c r="V692" s="242"/>
      <c r="W692" s="242"/>
      <c r="X692" s="242"/>
      <c r="Y692" s="242"/>
      <c r="Z692" s="242"/>
      <c r="AA692" s="242"/>
    </row>
    <row r="693">
      <c r="A693" s="242"/>
      <c r="B693" s="242"/>
      <c r="C693" s="13"/>
      <c r="D693" s="242"/>
      <c r="E693" s="242"/>
      <c r="F693" s="242"/>
      <c r="G693" s="242"/>
      <c r="H693" s="13"/>
      <c r="I693" s="13"/>
      <c r="J693" s="13"/>
      <c r="K693" s="13"/>
      <c r="L693" s="242"/>
      <c r="M693" s="242"/>
      <c r="N693" s="242"/>
      <c r="O693" s="242"/>
      <c r="P693" s="242"/>
      <c r="Q693" s="242"/>
      <c r="R693" s="242"/>
      <c r="S693" s="242"/>
      <c r="T693" s="242"/>
      <c r="U693" s="242"/>
      <c r="V693" s="242"/>
      <c r="W693" s="242"/>
      <c r="X693" s="242"/>
      <c r="Y693" s="242"/>
      <c r="Z693" s="242"/>
      <c r="AA693" s="242"/>
    </row>
    <row r="694">
      <c r="A694" s="242"/>
      <c r="B694" s="242"/>
      <c r="C694" s="13"/>
      <c r="D694" s="242"/>
      <c r="E694" s="242"/>
      <c r="F694" s="242"/>
      <c r="G694" s="242"/>
      <c r="H694" s="13"/>
      <c r="I694" s="13"/>
      <c r="J694" s="13"/>
      <c r="K694" s="13"/>
      <c r="L694" s="242"/>
      <c r="M694" s="242"/>
      <c r="N694" s="242"/>
      <c r="O694" s="242"/>
      <c r="P694" s="242"/>
      <c r="Q694" s="242"/>
      <c r="R694" s="242"/>
      <c r="S694" s="242"/>
      <c r="T694" s="242"/>
      <c r="U694" s="242"/>
      <c r="V694" s="242"/>
      <c r="W694" s="242"/>
      <c r="X694" s="242"/>
      <c r="Y694" s="242"/>
      <c r="Z694" s="242"/>
      <c r="AA694" s="242"/>
    </row>
    <row r="695">
      <c r="A695" s="242"/>
      <c r="B695" s="242"/>
      <c r="C695" s="13"/>
      <c r="D695" s="242"/>
      <c r="E695" s="242"/>
      <c r="F695" s="242"/>
      <c r="G695" s="242"/>
      <c r="H695" s="13"/>
      <c r="I695" s="13"/>
      <c r="J695" s="13"/>
      <c r="K695" s="13"/>
      <c r="L695" s="242"/>
      <c r="M695" s="242"/>
      <c r="N695" s="242"/>
      <c r="O695" s="242"/>
      <c r="P695" s="242"/>
      <c r="Q695" s="242"/>
      <c r="R695" s="242"/>
      <c r="S695" s="242"/>
      <c r="T695" s="242"/>
      <c r="U695" s="242"/>
      <c r="V695" s="242"/>
      <c r="W695" s="242"/>
      <c r="X695" s="242"/>
      <c r="Y695" s="242"/>
      <c r="Z695" s="242"/>
      <c r="AA695" s="242"/>
    </row>
    <row r="696">
      <c r="A696" s="242"/>
      <c r="B696" s="242"/>
      <c r="C696" s="13"/>
      <c r="D696" s="242"/>
      <c r="E696" s="242"/>
      <c r="F696" s="242"/>
      <c r="G696" s="242"/>
      <c r="H696" s="13"/>
      <c r="I696" s="13"/>
      <c r="J696" s="13"/>
      <c r="K696" s="13"/>
      <c r="L696" s="242"/>
      <c r="M696" s="242"/>
      <c r="N696" s="242"/>
      <c r="O696" s="242"/>
      <c r="P696" s="242"/>
      <c r="Q696" s="242"/>
      <c r="R696" s="242"/>
      <c r="S696" s="242"/>
      <c r="T696" s="242"/>
      <c r="U696" s="242"/>
      <c r="V696" s="242"/>
      <c r="W696" s="242"/>
      <c r="X696" s="242"/>
      <c r="Y696" s="242"/>
      <c r="Z696" s="242"/>
      <c r="AA696" s="242"/>
    </row>
    <row r="697">
      <c r="A697" s="242"/>
      <c r="B697" s="242"/>
      <c r="C697" s="13"/>
      <c r="D697" s="242"/>
      <c r="E697" s="242"/>
      <c r="F697" s="242"/>
      <c r="G697" s="242"/>
      <c r="H697" s="13"/>
      <c r="I697" s="13"/>
      <c r="J697" s="13"/>
      <c r="K697" s="13"/>
      <c r="L697" s="242"/>
      <c r="M697" s="242"/>
      <c r="N697" s="242"/>
      <c r="O697" s="242"/>
      <c r="P697" s="242"/>
      <c r="Q697" s="242"/>
      <c r="R697" s="242"/>
      <c r="S697" s="242"/>
      <c r="T697" s="242"/>
      <c r="U697" s="242"/>
      <c r="V697" s="242"/>
      <c r="W697" s="242"/>
      <c r="X697" s="242"/>
      <c r="Y697" s="242"/>
      <c r="Z697" s="242"/>
      <c r="AA697" s="242"/>
    </row>
    <row r="698">
      <c r="A698" s="242"/>
      <c r="B698" s="242"/>
      <c r="C698" s="13"/>
      <c r="D698" s="242"/>
      <c r="E698" s="242"/>
      <c r="F698" s="242"/>
      <c r="G698" s="242"/>
      <c r="H698" s="13"/>
      <c r="I698" s="13"/>
      <c r="J698" s="13"/>
      <c r="K698" s="13"/>
      <c r="L698" s="242"/>
      <c r="M698" s="242"/>
      <c r="N698" s="242"/>
      <c r="O698" s="242"/>
      <c r="P698" s="242"/>
      <c r="Q698" s="242"/>
      <c r="R698" s="242"/>
      <c r="S698" s="242"/>
      <c r="T698" s="242"/>
      <c r="U698" s="242"/>
      <c r="V698" s="242"/>
      <c r="W698" s="242"/>
      <c r="X698" s="242"/>
      <c r="Y698" s="242"/>
      <c r="Z698" s="242"/>
      <c r="AA698" s="242"/>
    </row>
    <row r="699">
      <c r="A699" s="242"/>
      <c r="B699" s="242"/>
      <c r="C699" s="13"/>
      <c r="D699" s="242"/>
      <c r="E699" s="242"/>
      <c r="F699" s="242"/>
      <c r="G699" s="242"/>
      <c r="H699" s="13"/>
      <c r="I699" s="13"/>
      <c r="J699" s="13"/>
      <c r="K699" s="13"/>
      <c r="L699" s="242"/>
      <c r="M699" s="242"/>
      <c r="N699" s="242"/>
      <c r="O699" s="242"/>
      <c r="P699" s="242"/>
      <c r="Q699" s="242"/>
      <c r="R699" s="242"/>
      <c r="S699" s="242"/>
      <c r="T699" s="242"/>
      <c r="U699" s="242"/>
      <c r="V699" s="242"/>
      <c r="W699" s="242"/>
      <c r="X699" s="242"/>
      <c r="Y699" s="242"/>
      <c r="Z699" s="242"/>
      <c r="AA699" s="242"/>
    </row>
    <row r="700">
      <c r="A700" s="242"/>
      <c r="B700" s="242"/>
      <c r="C700" s="13"/>
      <c r="D700" s="242"/>
      <c r="E700" s="242"/>
      <c r="F700" s="242"/>
      <c r="G700" s="242"/>
      <c r="H700" s="13"/>
      <c r="I700" s="13"/>
      <c r="J700" s="13"/>
      <c r="K700" s="13"/>
      <c r="L700" s="242"/>
      <c r="M700" s="242"/>
      <c r="N700" s="242"/>
      <c r="O700" s="242"/>
      <c r="P700" s="242"/>
      <c r="Q700" s="242"/>
      <c r="R700" s="242"/>
      <c r="S700" s="242"/>
      <c r="T700" s="242"/>
      <c r="U700" s="242"/>
      <c r="V700" s="242"/>
      <c r="W700" s="242"/>
      <c r="X700" s="242"/>
      <c r="Y700" s="242"/>
      <c r="Z700" s="242"/>
      <c r="AA700" s="242"/>
    </row>
    <row r="701">
      <c r="A701" s="242"/>
      <c r="B701" s="242"/>
      <c r="C701" s="13"/>
      <c r="D701" s="242"/>
      <c r="E701" s="242"/>
      <c r="F701" s="242"/>
      <c r="G701" s="242"/>
      <c r="H701" s="13"/>
      <c r="I701" s="13"/>
      <c r="J701" s="13"/>
      <c r="K701" s="13"/>
      <c r="L701" s="242"/>
      <c r="M701" s="242"/>
      <c r="N701" s="242"/>
      <c r="O701" s="242"/>
      <c r="P701" s="242"/>
      <c r="Q701" s="242"/>
      <c r="R701" s="242"/>
      <c r="S701" s="242"/>
      <c r="T701" s="242"/>
      <c r="U701" s="242"/>
      <c r="V701" s="242"/>
      <c r="W701" s="242"/>
      <c r="X701" s="242"/>
      <c r="Y701" s="242"/>
      <c r="Z701" s="242"/>
      <c r="AA701" s="242"/>
    </row>
    <row r="702">
      <c r="A702" s="242"/>
      <c r="B702" s="242"/>
      <c r="C702" s="13"/>
      <c r="D702" s="242"/>
      <c r="E702" s="242"/>
      <c r="F702" s="242"/>
      <c r="G702" s="242"/>
      <c r="H702" s="13"/>
      <c r="I702" s="13"/>
      <c r="J702" s="13"/>
      <c r="K702" s="13"/>
      <c r="L702" s="242"/>
      <c r="M702" s="242"/>
      <c r="N702" s="242"/>
      <c r="O702" s="242"/>
      <c r="P702" s="242"/>
      <c r="Q702" s="242"/>
      <c r="R702" s="242"/>
      <c r="S702" s="242"/>
      <c r="T702" s="242"/>
      <c r="U702" s="242"/>
      <c r="V702" s="242"/>
      <c r="W702" s="242"/>
      <c r="X702" s="242"/>
      <c r="Y702" s="242"/>
      <c r="Z702" s="242"/>
      <c r="AA702" s="242"/>
    </row>
    <row r="703">
      <c r="A703" s="242"/>
      <c r="B703" s="242"/>
      <c r="C703" s="13"/>
      <c r="D703" s="242"/>
      <c r="E703" s="242"/>
      <c r="F703" s="242"/>
      <c r="G703" s="242"/>
      <c r="H703" s="13"/>
      <c r="I703" s="13"/>
      <c r="J703" s="13"/>
      <c r="K703" s="13"/>
      <c r="L703" s="242"/>
      <c r="M703" s="242"/>
      <c r="N703" s="242"/>
      <c r="O703" s="242"/>
      <c r="P703" s="242"/>
      <c r="Q703" s="242"/>
      <c r="R703" s="242"/>
      <c r="S703" s="242"/>
      <c r="T703" s="242"/>
      <c r="U703" s="242"/>
      <c r="V703" s="242"/>
      <c r="W703" s="242"/>
      <c r="X703" s="242"/>
      <c r="Y703" s="242"/>
      <c r="Z703" s="242"/>
      <c r="AA703" s="242"/>
    </row>
    <row r="704">
      <c r="A704" s="242"/>
      <c r="B704" s="242"/>
      <c r="C704" s="13"/>
      <c r="D704" s="242"/>
      <c r="E704" s="242"/>
      <c r="F704" s="242"/>
      <c r="G704" s="242"/>
      <c r="H704" s="13"/>
      <c r="I704" s="13"/>
      <c r="J704" s="13"/>
      <c r="K704" s="13"/>
      <c r="L704" s="242"/>
      <c r="M704" s="242"/>
      <c r="N704" s="242"/>
      <c r="O704" s="242"/>
      <c r="P704" s="242"/>
      <c r="Q704" s="242"/>
      <c r="R704" s="242"/>
      <c r="S704" s="242"/>
      <c r="T704" s="242"/>
      <c r="U704" s="242"/>
      <c r="V704" s="242"/>
      <c r="W704" s="242"/>
      <c r="X704" s="242"/>
      <c r="Y704" s="242"/>
      <c r="Z704" s="242"/>
      <c r="AA704" s="242"/>
    </row>
    <row r="705">
      <c r="A705" s="242"/>
      <c r="B705" s="242"/>
      <c r="C705" s="13"/>
      <c r="D705" s="242"/>
      <c r="E705" s="242"/>
      <c r="F705" s="242"/>
      <c r="G705" s="242"/>
      <c r="H705" s="13"/>
      <c r="I705" s="13"/>
      <c r="J705" s="13"/>
      <c r="K705" s="13"/>
      <c r="L705" s="242"/>
      <c r="M705" s="242"/>
      <c r="N705" s="242"/>
      <c r="O705" s="242"/>
      <c r="P705" s="242"/>
      <c r="Q705" s="242"/>
      <c r="R705" s="242"/>
      <c r="S705" s="242"/>
      <c r="T705" s="242"/>
      <c r="U705" s="242"/>
      <c r="V705" s="242"/>
      <c r="W705" s="242"/>
      <c r="X705" s="242"/>
      <c r="Y705" s="242"/>
      <c r="Z705" s="242"/>
      <c r="AA705" s="242"/>
    </row>
    <row r="706">
      <c r="A706" s="242"/>
      <c r="B706" s="242"/>
      <c r="C706" s="13"/>
      <c r="D706" s="242"/>
      <c r="E706" s="242"/>
      <c r="F706" s="242"/>
      <c r="G706" s="242"/>
      <c r="H706" s="13"/>
      <c r="I706" s="13"/>
      <c r="J706" s="13"/>
      <c r="K706" s="13"/>
      <c r="L706" s="242"/>
      <c r="M706" s="242"/>
      <c r="N706" s="242"/>
      <c r="O706" s="242"/>
      <c r="P706" s="242"/>
      <c r="Q706" s="242"/>
      <c r="R706" s="242"/>
      <c r="S706" s="242"/>
      <c r="T706" s="242"/>
      <c r="U706" s="242"/>
      <c r="V706" s="242"/>
      <c r="W706" s="242"/>
      <c r="X706" s="242"/>
      <c r="Y706" s="242"/>
      <c r="Z706" s="242"/>
      <c r="AA706" s="242"/>
    </row>
    <row r="707">
      <c r="A707" s="242"/>
      <c r="B707" s="242"/>
      <c r="C707" s="13"/>
      <c r="D707" s="242"/>
      <c r="E707" s="242"/>
      <c r="F707" s="242"/>
      <c r="G707" s="242"/>
      <c r="H707" s="13"/>
      <c r="I707" s="13"/>
      <c r="J707" s="13"/>
      <c r="K707" s="13"/>
      <c r="L707" s="242"/>
      <c r="M707" s="242"/>
      <c r="N707" s="242"/>
      <c r="O707" s="242"/>
      <c r="P707" s="242"/>
      <c r="Q707" s="242"/>
      <c r="R707" s="242"/>
      <c r="S707" s="242"/>
      <c r="T707" s="242"/>
      <c r="U707" s="242"/>
      <c r="V707" s="242"/>
      <c r="W707" s="242"/>
      <c r="X707" s="242"/>
      <c r="Y707" s="242"/>
      <c r="Z707" s="242"/>
      <c r="AA707" s="242"/>
    </row>
    <row r="708">
      <c r="A708" s="242"/>
      <c r="B708" s="242"/>
      <c r="C708" s="13"/>
      <c r="D708" s="242"/>
      <c r="E708" s="242"/>
      <c r="F708" s="242"/>
      <c r="G708" s="242"/>
      <c r="H708" s="13"/>
      <c r="I708" s="13"/>
      <c r="J708" s="13"/>
      <c r="K708" s="13"/>
      <c r="L708" s="242"/>
      <c r="M708" s="242"/>
      <c r="N708" s="242"/>
      <c r="O708" s="242"/>
      <c r="P708" s="242"/>
      <c r="Q708" s="242"/>
      <c r="R708" s="242"/>
      <c r="S708" s="242"/>
      <c r="T708" s="242"/>
      <c r="U708" s="242"/>
      <c r="V708" s="242"/>
      <c r="W708" s="242"/>
      <c r="X708" s="242"/>
      <c r="Y708" s="242"/>
      <c r="Z708" s="242"/>
      <c r="AA708" s="242"/>
    </row>
    <row r="709">
      <c r="A709" s="242"/>
      <c r="B709" s="242"/>
      <c r="C709" s="13"/>
      <c r="D709" s="242"/>
      <c r="E709" s="242"/>
      <c r="F709" s="242"/>
      <c r="G709" s="242"/>
      <c r="H709" s="13"/>
      <c r="I709" s="13"/>
      <c r="J709" s="13"/>
      <c r="K709" s="13"/>
      <c r="L709" s="242"/>
      <c r="M709" s="242"/>
      <c r="N709" s="242"/>
      <c r="O709" s="242"/>
      <c r="P709" s="242"/>
      <c r="Q709" s="242"/>
      <c r="R709" s="242"/>
      <c r="S709" s="242"/>
      <c r="T709" s="242"/>
      <c r="U709" s="242"/>
      <c r="V709" s="242"/>
      <c r="W709" s="242"/>
      <c r="X709" s="242"/>
      <c r="Y709" s="242"/>
      <c r="Z709" s="242"/>
      <c r="AA709" s="242"/>
    </row>
    <row r="710">
      <c r="A710" s="242"/>
      <c r="B710" s="242"/>
      <c r="C710" s="13"/>
      <c r="D710" s="242"/>
      <c r="E710" s="242"/>
      <c r="F710" s="242"/>
      <c r="G710" s="242"/>
      <c r="H710" s="13"/>
      <c r="I710" s="13"/>
      <c r="J710" s="13"/>
      <c r="K710" s="13"/>
      <c r="L710" s="242"/>
      <c r="M710" s="242"/>
      <c r="N710" s="242"/>
      <c r="O710" s="242"/>
      <c r="P710" s="242"/>
      <c r="Q710" s="242"/>
      <c r="R710" s="242"/>
      <c r="S710" s="242"/>
      <c r="T710" s="242"/>
      <c r="U710" s="242"/>
      <c r="V710" s="242"/>
      <c r="W710" s="242"/>
      <c r="X710" s="242"/>
      <c r="Y710" s="242"/>
      <c r="Z710" s="242"/>
      <c r="AA710" s="242"/>
    </row>
    <row r="711">
      <c r="A711" s="242"/>
      <c r="B711" s="242"/>
      <c r="C711" s="13"/>
      <c r="D711" s="242"/>
      <c r="E711" s="242"/>
      <c r="F711" s="242"/>
      <c r="G711" s="242"/>
      <c r="H711" s="13"/>
      <c r="I711" s="13"/>
      <c r="J711" s="13"/>
      <c r="K711" s="13"/>
      <c r="L711" s="242"/>
      <c r="M711" s="242"/>
      <c r="N711" s="242"/>
      <c r="O711" s="242"/>
      <c r="P711" s="242"/>
      <c r="Q711" s="242"/>
      <c r="R711" s="242"/>
      <c r="S711" s="242"/>
      <c r="T711" s="242"/>
      <c r="U711" s="242"/>
      <c r="V711" s="242"/>
      <c r="W711" s="242"/>
      <c r="X711" s="242"/>
      <c r="Y711" s="242"/>
      <c r="Z711" s="242"/>
      <c r="AA711" s="242"/>
    </row>
    <row r="712">
      <c r="A712" s="242"/>
      <c r="B712" s="242"/>
      <c r="C712" s="13"/>
      <c r="D712" s="242"/>
      <c r="E712" s="242"/>
      <c r="F712" s="242"/>
      <c r="G712" s="242"/>
      <c r="H712" s="13"/>
      <c r="I712" s="13"/>
      <c r="J712" s="13"/>
      <c r="K712" s="13"/>
      <c r="L712" s="242"/>
      <c r="M712" s="242"/>
      <c r="N712" s="242"/>
      <c r="O712" s="242"/>
      <c r="P712" s="242"/>
      <c r="Q712" s="242"/>
      <c r="R712" s="242"/>
      <c r="S712" s="242"/>
      <c r="T712" s="242"/>
      <c r="U712" s="242"/>
      <c r="V712" s="242"/>
      <c r="W712" s="242"/>
      <c r="X712" s="242"/>
      <c r="Y712" s="242"/>
      <c r="Z712" s="242"/>
      <c r="AA712" s="242"/>
    </row>
    <row r="713">
      <c r="A713" s="242"/>
      <c r="B713" s="242"/>
      <c r="C713" s="13"/>
      <c r="D713" s="242"/>
      <c r="E713" s="242"/>
      <c r="F713" s="242"/>
      <c r="G713" s="242"/>
      <c r="H713" s="13"/>
      <c r="I713" s="13"/>
      <c r="J713" s="13"/>
      <c r="K713" s="13"/>
      <c r="L713" s="242"/>
      <c r="M713" s="242"/>
      <c r="N713" s="242"/>
      <c r="O713" s="242"/>
      <c r="P713" s="242"/>
      <c r="Q713" s="242"/>
      <c r="R713" s="242"/>
      <c r="S713" s="242"/>
      <c r="T713" s="242"/>
      <c r="U713" s="242"/>
      <c r="V713" s="242"/>
      <c r="W713" s="242"/>
      <c r="X713" s="242"/>
      <c r="Y713" s="242"/>
      <c r="Z713" s="242"/>
      <c r="AA713" s="242"/>
    </row>
    <row r="714">
      <c r="A714" s="242"/>
      <c r="B714" s="242"/>
      <c r="C714" s="13"/>
      <c r="D714" s="242"/>
      <c r="E714" s="242"/>
      <c r="F714" s="242"/>
      <c r="G714" s="242"/>
      <c r="H714" s="13"/>
      <c r="I714" s="13"/>
      <c r="J714" s="13"/>
      <c r="K714" s="13"/>
      <c r="L714" s="242"/>
      <c r="M714" s="242"/>
      <c r="N714" s="242"/>
      <c r="O714" s="242"/>
      <c r="P714" s="242"/>
      <c r="Q714" s="242"/>
      <c r="R714" s="242"/>
      <c r="S714" s="242"/>
      <c r="T714" s="242"/>
      <c r="U714" s="242"/>
      <c r="V714" s="242"/>
      <c r="W714" s="242"/>
      <c r="X714" s="242"/>
      <c r="Y714" s="242"/>
      <c r="Z714" s="242"/>
      <c r="AA714" s="242"/>
    </row>
    <row r="715">
      <c r="A715" s="242"/>
      <c r="B715" s="242"/>
      <c r="C715" s="13"/>
      <c r="D715" s="242"/>
      <c r="E715" s="242"/>
      <c r="F715" s="242"/>
      <c r="G715" s="242"/>
      <c r="H715" s="13"/>
      <c r="I715" s="13"/>
      <c r="J715" s="13"/>
      <c r="K715" s="13"/>
      <c r="L715" s="242"/>
      <c r="M715" s="242"/>
      <c r="N715" s="242"/>
      <c r="O715" s="242"/>
      <c r="P715" s="242"/>
      <c r="Q715" s="242"/>
      <c r="R715" s="242"/>
      <c r="S715" s="242"/>
      <c r="T715" s="242"/>
      <c r="U715" s="242"/>
      <c r="V715" s="242"/>
      <c r="W715" s="242"/>
      <c r="X715" s="242"/>
      <c r="Y715" s="242"/>
      <c r="Z715" s="242"/>
      <c r="AA715" s="242"/>
    </row>
    <row r="716">
      <c r="A716" s="242"/>
      <c r="B716" s="242"/>
      <c r="C716" s="13"/>
      <c r="D716" s="242"/>
      <c r="E716" s="242"/>
      <c r="F716" s="242"/>
      <c r="G716" s="242"/>
      <c r="H716" s="13"/>
      <c r="I716" s="13"/>
      <c r="J716" s="13"/>
      <c r="K716" s="13"/>
      <c r="L716" s="242"/>
      <c r="M716" s="242"/>
      <c r="N716" s="242"/>
      <c r="O716" s="242"/>
      <c r="P716" s="242"/>
      <c r="Q716" s="242"/>
      <c r="R716" s="242"/>
      <c r="S716" s="242"/>
      <c r="T716" s="242"/>
      <c r="U716" s="242"/>
      <c r="V716" s="242"/>
      <c r="W716" s="242"/>
      <c r="X716" s="242"/>
      <c r="Y716" s="242"/>
      <c r="Z716" s="242"/>
      <c r="AA716" s="242"/>
    </row>
    <row r="717">
      <c r="A717" s="242"/>
      <c r="B717" s="242"/>
      <c r="C717" s="13"/>
      <c r="D717" s="242"/>
      <c r="E717" s="242"/>
      <c r="F717" s="242"/>
      <c r="G717" s="242"/>
      <c r="H717" s="13"/>
      <c r="I717" s="13"/>
      <c r="J717" s="13"/>
      <c r="K717" s="13"/>
      <c r="L717" s="242"/>
      <c r="M717" s="242"/>
      <c r="N717" s="242"/>
      <c r="O717" s="242"/>
      <c r="P717" s="242"/>
      <c r="Q717" s="242"/>
      <c r="R717" s="242"/>
      <c r="S717" s="242"/>
      <c r="T717" s="242"/>
      <c r="U717" s="242"/>
      <c r="V717" s="242"/>
      <c r="W717" s="242"/>
      <c r="X717" s="242"/>
      <c r="Y717" s="242"/>
      <c r="Z717" s="242"/>
      <c r="AA717" s="242"/>
    </row>
    <row r="718">
      <c r="A718" s="242"/>
      <c r="B718" s="242"/>
      <c r="C718" s="13"/>
      <c r="D718" s="242"/>
      <c r="E718" s="242"/>
      <c r="F718" s="242"/>
      <c r="G718" s="242"/>
      <c r="H718" s="13"/>
      <c r="I718" s="13"/>
      <c r="J718" s="13"/>
      <c r="K718" s="13"/>
      <c r="L718" s="242"/>
      <c r="M718" s="242"/>
      <c r="N718" s="242"/>
      <c r="O718" s="242"/>
      <c r="P718" s="242"/>
      <c r="Q718" s="242"/>
      <c r="R718" s="242"/>
      <c r="S718" s="242"/>
      <c r="T718" s="242"/>
      <c r="U718" s="242"/>
      <c r="V718" s="242"/>
      <c r="W718" s="242"/>
      <c r="X718" s="242"/>
      <c r="Y718" s="242"/>
      <c r="Z718" s="242"/>
      <c r="AA718" s="242"/>
    </row>
    <row r="719">
      <c r="A719" s="242"/>
      <c r="B719" s="242"/>
      <c r="C719" s="13"/>
      <c r="D719" s="242"/>
      <c r="E719" s="242"/>
      <c r="F719" s="242"/>
      <c r="G719" s="242"/>
      <c r="H719" s="13"/>
      <c r="I719" s="13"/>
      <c r="J719" s="13"/>
      <c r="K719" s="13"/>
      <c r="L719" s="242"/>
      <c r="M719" s="242"/>
      <c r="N719" s="242"/>
      <c r="O719" s="242"/>
      <c r="P719" s="242"/>
      <c r="Q719" s="242"/>
      <c r="R719" s="242"/>
      <c r="S719" s="242"/>
      <c r="T719" s="242"/>
      <c r="U719" s="242"/>
      <c r="V719" s="242"/>
      <c r="W719" s="242"/>
      <c r="X719" s="242"/>
      <c r="Y719" s="242"/>
      <c r="Z719" s="242"/>
      <c r="AA719" s="242"/>
    </row>
    <row r="720">
      <c r="A720" s="242"/>
      <c r="B720" s="242"/>
      <c r="C720" s="13"/>
      <c r="D720" s="242"/>
      <c r="E720" s="242"/>
      <c r="F720" s="242"/>
      <c r="G720" s="242"/>
      <c r="H720" s="13"/>
      <c r="I720" s="13"/>
      <c r="J720" s="13"/>
      <c r="K720" s="13"/>
      <c r="L720" s="242"/>
      <c r="M720" s="242"/>
      <c r="N720" s="242"/>
      <c r="O720" s="242"/>
      <c r="P720" s="242"/>
      <c r="Q720" s="242"/>
      <c r="R720" s="242"/>
      <c r="S720" s="242"/>
      <c r="T720" s="242"/>
      <c r="U720" s="242"/>
      <c r="V720" s="242"/>
      <c r="W720" s="242"/>
      <c r="X720" s="242"/>
      <c r="Y720" s="242"/>
      <c r="Z720" s="242"/>
      <c r="AA720" s="242"/>
    </row>
    <row r="721">
      <c r="A721" s="242"/>
      <c r="B721" s="242"/>
      <c r="C721" s="13"/>
      <c r="D721" s="242"/>
      <c r="E721" s="242"/>
      <c r="F721" s="242"/>
      <c r="G721" s="242"/>
      <c r="H721" s="13"/>
      <c r="I721" s="13"/>
      <c r="J721" s="13"/>
      <c r="K721" s="13"/>
      <c r="L721" s="242"/>
      <c r="M721" s="242"/>
      <c r="N721" s="242"/>
      <c r="O721" s="242"/>
      <c r="P721" s="242"/>
      <c r="Q721" s="242"/>
      <c r="R721" s="242"/>
      <c r="S721" s="242"/>
      <c r="T721" s="242"/>
      <c r="U721" s="242"/>
      <c r="V721" s="242"/>
      <c r="W721" s="242"/>
      <c r="X721" s="242"/>
      <c r="Y721" s="242"/>
      <c r="Z721" s="242"/>
      <c r="AA721" s="242"/>
    </row>
    <row r="722">
      <c r="A722" s="242"/>
      <c r="B722" s="242"/>
      <c r="C722" s="13"/>
      <c r="D722" s="242"/>
      <c r="E722" s="242"/>
      <c r="F722" s="242"/>
      <c r="G722" s="242"/>
      <c r="H722" s="13"/>
      <c r="I722" s="13"/>
      <c r="J722" s="13"/>
      <c r="K722" s="13"/>
      <c r="L722" s="242"/>
      <c r="M722" s="242"/>
      <c r="N722" s="242"/>
      <c r="O722" s="242"/>
      <c r="P722" s="242"/>
      <c r="Q722" s="242"/>
      <c r="R722" s="242"/>
      <c r="S722" s="242"/>
      <c r="T722" s="242"/>
      <c r="U722" s="242"/>
      <c r="V722" s="242"/>
      <c r="W722" s="242"/>
      <c r="X722" s="242"/>
      <c r="Y722" s="242"/>
      <c r="Z722" s="242"/>
      <c r="AA722" s="242"/>
    </row>
    <row r="723">
      <c r="A723" s="242"/>
      <c r="B723" s="242"/>
      <c r="C723" s="13"/>
      <c r="D723" s="242"/>
      <c r="E723" s="242"/>
      <c r="F723" s="242"/>
      <c r="G723" s="242"/>
      <c r="H723" s="13"/>
      <c r="I723" s="13"/>
      <c r="J723" s="13"/>
      <c r="K723" s="13"/>
      <c r="L723" s="242"/>
      <c r="M723" s="242"/>
      <c r="N723" s="242"/>
      <c r="O723" s="242"/>
      <c r="P723" s="242"/>
      <c r="Q723" s="242"/>
      <c r="R723" s="242"/>
      <c r="S723" s="242"/>
      <c r="T723" s="242"/>
      <c r="U723" s="242"/>
      <c r="V723" s="242"/>
      <c r="W723" s="242"/>
      <c r="X723" s="242"/>
      <c r="Y723" s="242"/>
      <c r="Z723" s="242"/>
      <c r="AA723" s="242"/>
    </row>
    <row r="724">
      <c r="A724" s="242"/>
      <c r="B724" s="242"/>
      <c r="C724" s="13"/>
      <c r="D724" s="242"/>
      <c r="E724" s="242"/>
      <c r="F724" s="242"/>
      <c r="G724" s="242"/>
      <c r="H724" s="13"/>
      <c r="I724" s="13"/>
      <c r="J724" s="13"/>
      <c r="K724" s="13"/>
      <c r="L724" s="242"/>
      <c r="M724" s="242"/>
      <c r="N724" s="242"/>
      <c r="O724" s="242"/>
      <c r="P724" s="242"/>
      <c r="Q724" s="242"/>
      <c r="R724" s="242"/>
      <c r="S724" s="242"/>
      <c r="T724" s="242"/>
      <c r="U724" s="242"/>
      <c r="V724" s="242"/>
      <c r="W724" s="242"/>
      <c r="X724" s="242"/>
      <c r="Y724" s="242"/>
      <c r="Z724" s="242"/>
      <c r="AA724" s="242"/>
    </row>
    <row r="725">
      <c r="A725" s="242"/>
      <c r="B725" s="242"/>
      <c r="C725" s="13"/>
      <c r="D725" s="242"/>
      <c r="E725" s="242"/>
      <c r="F725" s="242"/>
      <c r="G725" s="242"/>
      <c r="H725" s="13"/>
      <c r="I725" s="13"/>
      <c r="J725" s="13"/>
      <c r="K725" s="13"/>
      <c r="L725" s="242"/>
      <c r="M725" s="242"/>
      <c r="N725" s="242"/>
      <c r="O725" s="242"/>
      <c r="P725" s="242"/>
      <c r="Q725" s="242"/>
      <c r="R725" s="242"/>
      <c r="S725" s="242"/>
      <c r="T725" s="242"/>
      <c r="U725" s="242"/>
      <c r="V725" s="242"/>
      <c r="W725" s="242"/>
      <c r="X725" s="242"/>
      <c r="Y725" s="242"/>
      <c r="Z725" s="242"/>
      <c r="AA725" s="242"/>
    </row>
    <row r="726">
      <c r="A726" s="242"/>
      <c r="B726" s="242"/>
      <c r="C726" s="13"/>
      <c r="D726" s="242"/>
      <c r="E726" s="242"/>
      <c r="F726" s="242"/>
      <c r="G726" s="242"/>
      <c r="H726" s="13"/>
      <c r="I726" s="13"/>
      <c r="J726" s="13"/>
      <c r="K726" s="13"/>
      <c r="L726" s="242"/>
      <c r="M726" s="242"/>
      <c r="N726" s="242"/>
      <c r="O726" s="242"/>
      <c r="P726" s="242"/>
      <c r="Q726" s="242"/>
      <c r="R726" s="242"/>
      <c r="S726" s="242"/>
      <c r="T726" s="242"/>
      <c r="U726" s="242"/>
      <c r="V726" s="242"/>
      <c r="W726" s="242"/>
      <c r="X726" s="242"/>
      <c r="Y726" s="242"/>
      <c r="Z726" s="242"/>
      <c r="AA726" s="242"/>
    </row>
    <row r="727">
      <c r="A727" s="242"/>
      <c r="B727" s="242"/>
      <c r="C727" s="13"/>
      <c r="D727" s="242"/>
      <c r="E727" s="242"/>
      <c r="F727" s="242"/>
      <c r="G727" s="242"/>
      <c r="H727" s="13"/>
      <c r="I727" s="13"/>
      <c r="J727" s="13"/>
      <c r="K727" s="13"/>
      <c r="L727" s="242"/>
      <c r="M727" s="242"/>
      <c r="N727" s="242"/>
      <c r="O727" s="242"/>
      <c r="P727" s="242"/>
      <c r="Q727" s="242"/>
      <c r="R727" s="242"/>
      <c r="S727" s="242"/>
      <c r="T727" s="242"/>
      <c r="U727" s="242"/>
      <c r="V727" s="242"/>
      <c r="W727" s="242"/>
      <c r="X727" s="242"/>
      <c r="Y727" s="242"/>
      <c r="Z727" s="242"/>
      <c r="AA727" s="242"/>
    </row>
    <row r="728">
      <c r="A728" s="242"/>
      <c r="B728" s="242"/>
      <c r="C728" s="13"/>
      <c r="D728" s="242"/>
      <c r="E728" s="242"/>
      <c r="F728" s="242"/>
      <c r="G728" s="242"/>
      <c r="H728" s="13"/>
      <c r="I728" s="13"/>
      <c r="J728" s="13"/>
      <c r="K728" s="13"/>
      <c r="L728" s="242"/>
      <c r="M728" s="242"/>
      <c r="N728" s="242"/>
      <c r="O728" s="242"/>
      <c r="P728" s="242"/>
      <c r="Q728" s="242"/>
      <c r="R728" s="242"/>
      <c r="S728" s="242"/>
      <c r="T728" s="242"/>
      <c r="U728" s="242"/>
      <c r="V728" s="242"/>
      <c r="W728" s="242"/>
      <c r="X728" s="242"/>
      <c r="Y728" s="242"/>
      <c r="Z728" s="242"/>
      <c r="AA728" s="242"/>
    </row>
    <row r="729">
      <c r="A729" s="242"/>
      <c r="B729" s="242"/>
      <c r="C729" s="13"/>
      <c r="D729" s="242"/>
      <c r="E729" s="242"/>
      <c r="F729" s="242"/>
      <c r="G729" s="242"/>
      <c r="H729" s="13"/>
      <c r="I729" s="13"/>
      <c r="J729" s="13"/>
      <c r="K729" s="13"/>
      <c r="L729" s="242"/>
      <c r="M729" s="242"/>
      <c r="N729" s="242"/>
      <c r="O729" s="242"/>
      <c r="P729" s="242"/>
      <c r="Q729" s="242"/>
      <c r="R729" s="242"/>
      <c r="S729" s="242"/>
      <c r="T729" s="242"/>
      <c r="U729" s="242"/>
      <c r="V729" s="242"/>
      <c r="W729" s="242"/>
      <c r="X729" s="242"/>
      <c r="Y729" s="242"/>
      <c r="Z729" s="242"/>
      <c r="AA729" s="242"/>
    </row>
    <row r="730">
      <c r="A730" s="242"/>
      <c r="B730" s="242"/>
      <c r="C730" s="13"/>
      <c r="D730" s="242"/>
      <c r="E730" s="242"/>
      <c r="F730" s="242"/>
      <c r="G730" s="242"/>
      <c r="H730" s="13"/>
      <c r="I730" s="13"/>
      <c r="J730" s="13"/>
      <c r="K730" s="13"/>
      <c r="L730" s="242"/>
      <c r="M730" s="242"/>
      <c r="N730" s="242"/>
      <c r="O730" s="242"/>
      <c r="P730" s="242"/>
      <c r="Q730" s="242"/>
      <c r="R730" s="242"/>
      <c r="S730" s="242"/>
      <c r="T730" s="242"/>
      <c r="U730" s="242"/>
      <c r="V730" s="242"/>
      <c r="W730" s="242"/>
      <c r="X730" s="242"/>
      <c r="Y730" s="242"/>
      <c r="Z730" s="242"/>
      <c r="AA730" s="242"/>
    </row>
    <row r="731">
      <c r="A731" s="242"/>
      <c r="B731" s="242"/>
      <c r="C731" s="13"/>
      <c r="D731" s="242"/>
      <c r="E731" s="242"/>
      <c r="F731" s="242"/>
      <c r="G731" s="242"/>
      <c r="H731" s="13"/>
      <c r="I731" s="13"/>
      <c r="J731" s="13"/>
      <c r="K731" s="13"/>
      <c r="L731" s="242"/>
      <c r="M731" s="242"/>
      <c r="N731" s="242"/>
      <c r="O731" s="242"/>
      <c r="P731" s="242"/>
      <c r="Q731" s="242"/>
      <c r="R731" s="242"/>
      <c r="S731" s="242"/>
      <c r="T731" s="242"/>
      <c r="U731" s="242"/>
      <c r="V731" s="242"/>
      <c r="W731" s="242"/>
      <c r="X731" s="242"/>
      <c r="Y731" s="242"/>
      <c r="Z731" s="242"/>
      <c r="AA731" s="242"/>
    </row>
    <row r="732">
      <c r="A732" s="242"/>
      <c r="B732" s="242"/>
      <c r="C732" s="13"/>
      <c r="D732" s="242"/>
      <c r="E732" s="242"/>
      <c r="F732" s="242"/>
      <c r="G732" s="242"/>
      <c r="H732" s="13"/>
      <c r="I732" s="13"/>
      <c r="J732" s="13"/>
      <c r="K732" s="13"/>
      <c r="L732" s="242"/>
      <c r="M732" s="242"/>
      <c r="N732" s="242"/>
      <c r="O732" s="242"/>
      <c r="P732" s="242"/>
      <c r="Q732" s="242"/>
      <c r="R732" s="242"/>
      <c r="S732" s="242"/>
      <c r="T732" s="242"/>
      <c r="U732" s="242"/>
      <c r="V732" s="242"/>
      <c r="W732" s="242"/>
      <c r="X732" s="242"/>
      <c r="Y732" s="242"/>
      <c r="Z732" s="242"/>
      <c r="AA732" s="242"/>
    </row>
    <row r="733">
      <c r="A733" s="242"/>
      <c r="B733" s="242"/>
      <c r="C733" s="13"/>
      <c r="D733" s="242"/>
      <c r="E733" s="242"/>
      <c r="F733" s="242"/>
      <c r="G733" s="242"/>
      <c r="H733" s="13"/>
      <c r="I733" s="13"/>
      <c r="J733" s="13"/>
      <c r="K733" s="13"/>
      <c r="L733" s="242"/>
      <c r="M733" s="242"/>
      <c r="N733" s="242"/>
      <c r="O733" s="242"/>
      <c r="P733" s="242"/>
      <c r="Q733" s="242"/>
      <c r="R733" s="242"/>
      <c r="S733" s="242"/>
      <c r="T733" s="242"/>
      <c r="U733" s="242"/>
      <c r="V733" s="242"/>
      <c r="W733" s="242"/>
      <c r="X733" s="242"/>
      <c r="Y733" s="242"/>
      <c r="Z733" s="242"/>
      <c r="AA733" s="242"/>
    </row>
    <row r="734">
      <c r="A734" s="242"/>
      <c r="B734" s="242"/>
      <c r="C734" s="13"/>
      <c r="D734" s="242"/>
      <c r="E734" s="242"/>
      <c r="F734" s="242"/>
      <c r="G734" s="242"/>
      <c r="H734" s="13"/>
      <c r="I734" s="13"/>
      <c r="J734" s="13"/>
      <c r="K734" s="13"/>
      <c r="L734" s="242"/>
      <c r="M734" s="242"/>
      <c r="N734" s="242"/>
      <c r="O734" s="242"/>
      <c r="P734" s="242"/>
      <c r="Q734" s="242"/>
      <c r="R734" s="242"/>
      <c r="S734" s="242"/>
      <c r="T734" s="242"/>
      <c r="U734" s="242"/>
      <c r="V734" s="242"/>
      <c r="W734" s="242"/>
      <c r="X734" s="242"/>
      <c r="Y734" s="242"/>
      <c r="Z734" s="242"/>
      <c r="AA734" s="242"/>
    </row>
    <row r="735">
      <c r="A735" s="242"/>
      <c r="B735" s="242"/>
      <c r="C735" s="13"/>
      <c r="D735" s="242"/>
      <c r="E735" s="242"/>
      <c r="F735" s="242"/>
      <c r="G735" s="242"/>
      <c r="H735" s="13"/>
      <c r="I735" s="13"/>
      <c r="J735" s="13"/>
      <c r="K735" s="13"/>
      <c r="L735" s="242"/>
      <c r="M735" s="242"/>
      <c r="N735" s="242"/>
      <c r="O735" s="242"/>
      <c r="P735" s="242"/>
      <c r="Q735" s="242"/>
      <c r="R735" s="242"/>
      <c r="S735" s="242"/>
      <c r="T735" s="242"/>
      <c r="U735" s="242"/>
      <c r="V735" s="242"/>
      <c r="W735" s="242"/>
      <c r="X735" s="242"/>
      <c r="Y735" s="242"/>
      <c r="Z735" s="242"/>
      <c r="AA735" s="242"/>
    </row>
    <row r="736">
      <c r="A736" s="242"/>
      <c r="B736" s="242"/>
      <c r="C736" s="13"/>
      <c r="D736" s="242"/>
      <c r="E736" s="242"/>
      <c r="F736" s="242"/>
      <c r="G736" s="242"/>
      <c r="H736" s="13"/>
      <c r="I736" s="13"/>
      <c r="J736" s="13"/>
      <c r="K736" s="13"/>
      <c r="L736" s="242"/>
      <c r="M736" s="242"/>
      <c r="N736" s="242"/>
      <c r="O736" s="242"/>
      <c r="P736" s="242"/>
      <c r="Q736" s="242"/>
      <c r="R736" s="242"/>
      <c r="S736" s="242"/>
      <c r="T736" s="242"/>
      <c r="U736" s="242"/>
      <c r="V736" s="242"/>
      <c r="W736" s="242"/>
      <c r="X736" s="242"/>
      <c r="Y736" s="242"/>
      <c r="Z736" s="242"/>
      <c r="AA736" s="242"/>
    </row>
    <row r="737">
      <c r="A737" s="242"/>
      <c r="B737" s="242"/>
      <c r="C737" s="13"/>
      <c r="D737" s="242"/>
      <c r="E737" s="242"/>
      <c r="F737" s="242"/>
      <c r="G737" s="242"/>
      <c r="H737" s="13"/>
      <c r="I737" s="13"/>
      <c r="J737" s="13"/>
      <c r="K737" s="13"/>
      <c r="L737" s="242"/>
      <c r="M737" s="242"/>
      <c r="N737" s="242"/>
      <c r="O737" s="242"/>
      <c r="P737" s="242"/>
      <c r="Q737" s="242"/>
      <c r="R737" s="242"/>
      <c r="S737" s="242"/>
      <c r="T737" s="242"/>
      <c r="U737" s="242"/>
      <c r="V737" s="242"/>
      <c r="W737" s="242"/>
      <c r="X737" s="242"/>
      <c r="Y737" s="242"/>
      <c r="Z737" s="242"/>
      <c r="AA737" s="242"/>
    </row>
    <row r="738">
      <c r="A738" s="242"/>
      <c r="B738" s="242"/>
      <c r="C738" s="13"/>
      <c r="D738" s="242"/>
      <c r="E738" s="242"/>
      <c r="F738" s="242"/>
      <c r="G738" s="242"/>
      <c r="H738" s="13"/>
      <c r="I738" s="13"/>
      <c r="J738" s="13"/>
      <c r="K738" s="13"/>
      <c r="L738" s="242"/>
      <c r="M738" s="242"/>
      <c r="N738" s="242"/>
      <c r="O738" s="242"/>
      <c r="P738" s="242"/>
      <c r="Q738" s="242"/>
      <c r="R738" s="242"/>
      <c r="S738" s="242"/>
      <c r="T738" s="242"/>
      <c r="U738" s="242"/>
      <c r="V738" s="242"/>
      <c r="W738" s="242"/>
      <c r="X738" s="242"/>
      <c r="Y738" s="242"/>
      <c r="Z738" s="242"/>
      <c r="AA738" s="242"/>
    </row>
    <row r="739">
      <c r="A739" s="242"/>
      <c r="B739" s="242"/>
      <c r="C739" s="13"/>
      <c r="D739" s="242"/>
      <c r="E739" s="242"/>
      <c r="F739" s="242"/>
      <c r="G739" s="242"/>
      <c r="H739" s="13"/>
      <c r="I739" s="13"/>
      <c r="J739" s="13"/>
      <c r="K739" s="13"/>
      <c r="L739" s="242"/>
      <c r="M739" s="242"/>
      <c r="N739" s="242"/>
      <c r="O739" s="242"/>
      <c r="P739" s="242"/>
      <c r="Q739" s="242"/>
      <c r="R739" s="242"/>
      <c r="S739" s="242"/>
      <c r="T739" s="242"/>
      <c r="U739" s="242"/>
      <c r="V739" s="242"/>
      <c r="W739" s="242"/>
      <c r="X739" s="242"/>
      <c r="Y739" s="242"/>
      <c r="Z739" s="242"/>
      <c r="AA739" s="242"/>
    </row>
    <row r="740">
      <c r="A740" s="242"/>
      <c r="B740" s="242"/>
      <c r="C740" s="13"/>
      <c r="D740" s="242"/>
      <c r="E740" s="242"/>
      <c r="F740" s="242"/>
      <c r="G740" s="242"/>
      <c r="H740" s="13"/>
      <c r="I740" s="13"/>
      <c r="J740" s="13"/>
      <c r="K740" s="13"/>
      <c r="L740" s="242"/>
      <c r="M740" s="242"/>
      <c r="N740" s="242"/>
      <c r="O740" s="242"/>
      <c r="P740" s="242"/>
      <c r="Q740" s="242"/>
      <c r="R740" s="242"/>
      <c r="S740" s="242"/>
      <c r="T740" s="242"/>
      <c r="U740" s="242"/>
      <c r="V740" s="242"/>
      <c r="W740" s="242"/>
      <c r="X740" s="242"/>
      <c r="Y740" s="242"/>
      <c r="Z740" s="242"/>
      <c r="AA740" s="242"/>
    </row>
    <row r="741">
      <c r="A741" s="242"/>
      <c r="B741" s="242"/>
      <c r="C741" s="13"/>
      <c r="D741" s="242"/>
      <c r="E741" s="242"/>
      <c r="F741" s="242"/>
      <c r="G741" s="242"/>
      <c r="H741" s="13"/>
      <c r="I741" s="13"/>
      <c r="J741" s="13"/>
      <c r="K741" s="13"/>
      <c r="L741" s="242"/>
      <c r="M741" s="242"/>
      <c r="N741" s="242"/>
      <c r="O741" s="242"/>
      <c r="P741" s="242"/>
      <c r="Q741" s="242"/>
      <c r="R741" s="242"/>
      <c r="S741" s="242"/>
      <c r="T741" s="242"/>
      <c r="U741" s="242"/>
      <c r="V741" s="242"/>
      <c r="W741" s="242"/>
      <c r="X741" s="242"/>
      <c r="Y741" s="242"/>
      <c r="Z741" s="242"/>
      <c r="AA741" s="242"/>
    </row>
    <row r="742">
      <c r="A742" s="242"/>
      <c r="B742" s="242"/>
      <c r="C742" s="13"/>
      <c r="D742" s="242"/>
      <c r="E742" s="242"/>
      <c r="F742" s="242"/>
      <c r="G742" s="242"/>
      <c r="H742" s="13"/>
      <c r="I742" s="13"/>
      <c r="J742" s="13"/>
      <c r="K742" s="13"/>
      <c r="L742" s="242"/>
      <c r="M742" s="242"/>
      <c r="N742" s="242"/>
      <c r="O742" s="242"/>
      <c r="P742" s="242"/>
      <c r="Q742" s="242"/>
      <c r="R742" s="242"/>
      <c r="S742" s="242"/>
      <c r="T742" s="242"/>
      <c r="U742" s="242"/>
      <c r="V742" s="242"/>
      <c r="W742" s="242"/>
      <c r="X742" s="242"/>
      <c r="Y742" s="242"/>
      <c r="Z742" s="242"/>
      <c r="AA742" s="242"/>
    </row>
    <row r="743">
      <c r="A743" s="242"/>
      <c r="B743" s="242"/>
      <c r="C743" s="13"/>
      <c r="D743" s="242"/>
      <c r="E743" s="242"/>
      <c r="F743" s="242"/>
      <c r="G743" s="242"/>
      <c r="H743" s="13"/>
      <c r="I743" s="13"/>
      <c r="J743" s="13"/>
      <c r="K743" s="13"/>
      <c r="L743" s="242"/>
      <c r="M743" s="242"/>
      <c r="N743" s="242"/>
      <c r="O743" s="242"/>
      <c r="P743" s="242"/>
      <c r="Q743" s="242"/>
      <c r="R743" s="242"/>
      <c r="S743" s="242"/>
      <c r="T743" s="242"/>
      <c r="U743" s="242"/>
      <c r="V743" s="242"/>
      <c r="W743" s="242"/>
      <c r="X743" s="242"/>
      <c r="Y743" s="242"/>
      <c r="Z743" s="242"/>
      <c r="AA743" s="242"/>
    </row>
    <row r="744">
      <c r="A744" s="242"/>
      <c r="B744" s="242"/>
      <c r="C744" s="13"/>
      <c r="D744" s="242"/>
      <c r="E744" s="242"/>
      <c r="F744" s="242"/>
      <c r="G744" s="242"/>
      <c r="H744" s="13"/>
      <c r="I744" s="13"/>
      <c r="J744" s="13"/>
      <c r="K744" s="13"/>
      <c r="L744" s="242"/>
      <c r="M744" s="242"/>
      <c r="N744" s="242"/>
      <c r="O744" s="242"/>
      <c r="P744" s="242"/>
      <c r="Q744" s="242"/>
      <c r="R744" s="242"/>
      <c r="S744" s="242"/>
      <c r="T744" s="242"/>
      <c r="U744" s="242"/>
      <c r="V744" s="242"/>
      <c r="W744" s="242"/>
      <c r="X744" s="242"/>
      <c r="Y744" s="242"/>
      <c r="Z744" s="242"/>
      <c r="AA744" s="242"/>
    </row>
    <row r="745">
      <c r="A745" s="242"/>
      <c r="B745" s="242"/>
      <c r="C745" s="13"/>
      <c r="D745" s="242"/>
      <c r="E745" s="242"/>
      <c r="F745" s="242"/>
      <c r="G745" s="242"/>
      <c r="H745" s="13"/>
      <c r="I745" s="13"/>
      <c r="J745" s="13"/>
      <c r="K745" s="13"/>
      <c r="L745" s="242"/>
      <c r="M745" s="242"/>
      <c r="N745" s="242"/>
      <c r="O745" s="242"/>
      <c r="P745" s="242"/>
      <c r="Q745" s="242"/>
      <c r="R745" s="242"/>
      <c r="S745" s="242"/>
      <c r="T745" s="242"/>
      <c r="U745" s="242"/>
      <c r="V745" s="242"/>
      <c r="W745" s="242"/>
      <c r="X745" s="242"/>
      <c r="Y745" s="242"/>
      <c r="Z745" s="242"/>
      <c r="AA745" s="242"/>
    </row>
    <row r="746">
      <c r="A746" s="242"/>
      <c r="B746" s="242"/>
      <c r="C746" s="13"/>
      <c r="D746" s="242"/>
      <c r="E746" s="242"/>
      <c r="F746" s="242"/>
      <c r="G746" s="242"/>
      <c r="H746" s="13"/>
      <c r="I746" s="13"/>
      <c r="J746" s="13"/>
      <c r="K746" s="13"/>
      <c r="L746" s="242"/>
      <c r="M746" s="242"/>
      <c r="N746" s="242"/>
      <c r="O746" s="242"/>
      <c r="P746" s="242"/>
      <c r="Q746" s="242"/>
      <c r="R746" s="242"/>
      <c r="S746" s="242"/>
      <c r="T746" s="242"/>
      <c r="U746" s="242"/>
      <c r="V746" s="242"/>
      <c r="W746" s="242"/>
      <c r="X746" s="242"/>
      <c r="Y746" s="242"/>
      <c r="Z746" s="242"/>
      <c r="AA746" s="242"/>
    </row>
    <row r="747">
      <c r="A747" s="242"/>
      <c r="B747" s="242"/>
      <c r="C747" s="13"/>
      <c r="D747" s="242"/>
      <c r="E747" s="242"/>
      <c r="F747" s="242"/>
      <c r="G747" s="242"/>
      <c r="H747" s="13"/>
      <c r="I747" s="13"/>
      <c r="J747" s="13"/>
      <c r="K747" s="13"/>
      <c r="L747" s="242"/>
      <c r="M747" s="242"/>
      <c r="N747" s="242"/>
      <c r="O747" s="242"/>
      <c r="P747" s="242"/>
      <c r="Q747" s="242"/>
      <c r="R747" s="242"/>
      <c r="S747" s="242"/>
      <c r="T747" s="242"/>
      <c r="U747" s="242"/>
      <c r="V747" s="242"/>
      <c r="W747" s="242"/>
      <c r="X747" s="242"/>
      <c r="Y747" s="242"/>
      <c r="Z747" s="242"/>
      <c r="AA747" s="242"/>
    </row>
    <row r="748">
      <c r="A748" s="242"/>
      <c r="B748" s="242"/>
      <c r="C748" s="13"/>
      <c r="D748" s="242"/>
      <c r="E748" s="242"/>
      <c r="F748" s="242"/>
      <c r="G748" s="242"/>
      <c r="H748" s="13"/>
      <c r="I748" s="13"/>
      <c r="J748" s="13"/>
      <c r="K748" s="13"/>
      <c r="L748" s="242"/>
      <c r="M748" s="242"/>
      <c r="N748" s="242"/>
      <c r="O748" s="242"/>
      <c r="P748" s="242"/>
      <c r="Q748" s="242"/>
      <c r="R748" s="242"/>
      <c r="S748" s="242"/>
      <c r="T748" s="242"/>
      <c r="U748" s="242"/>
      <c r="V748" s="242"/>
      <c r="W748" s="242"/>
      <c r="X748" s="242"/>
      <c r="Y748" s="242"/>
      <c r="Z748" s="242"/>
      <c r="AA748" s="242"/>
    </row>
    <row r="749">
      <c r="A749" s="242"/>
      <c r="B749" s="242"/>
      <c r="C749" s="13"/>
      <c r="D749" s="242"/>
      <c r="E749" s="242"/>
      <c r="F749" s="242"/>
      <c r="G749" s="242"/>
      <c r="H749" s="13"/>
      <c r="I749" s="13"/>
      <c r="J749" s="13"/>
      <c r="K749" s="13"/>
      <c r="L749" s="242"/>
      <c r="M749" s="242"/>
      <c r="N749" s="242"/>
      <c r="O749" s="242"/>
      <c r="P749" s="242"/>
      <c r="Q749" s="242"/>
      <c r="R749" s="242"/>
      <c r="S749" s="242"/>
      <c r="T749" s="242"/>
      <c r="U749" s="242"/>
      <c r="V749" s="242"/>
      <c r="W749" s="242"/>
      <c r="X749" s="242"/>
      <c r="Y749" s="242"/>
      <c r="Z749" s="242"/>
      <c r="AA749" s="242"/>
    </row>
    <row r="750">
      <c r="A750" s="242"/>
      <c r="B750" s="242"/>
      <c r="C750" s="13"/>
      <c r="D750" s="242"/>
      <c r="E750" s="242"/>
      <c r="F750" s="242"/>
      <c r="G750" s="242"/>
      <c r="H750" s="13"/>
      <c r="I750" s="13"/>
      <c r="J750" s="13"/>
      <c r="K750" s="13"/>
      <c r="L750" s="242"/>
      <c r="M750" s="242"/>
      <c r="N750" s="242"/>
      <c r="O750" s="242"/>
      <c r="P750" s="242"/>
      <c r="Q750" s="242"/>
      <c r="R750" s="242"/>
      <c r="S750" s="242"/>
      <c r="T750" s="242"/>
      <c r="U750" s="242"/>
      <c r="V750" s="242"/>
      <c r="W750" s="242"/>
      <c r="X750" s="242"/>
      <c r="Y750" s="242"/>
      <c r="Z750" s="242"/>
      <c r="AA750" s="242"/>
    </row>
    <row r="751">
      <c r="A751" s="242"/>
      <c r="B751" s="242"/>
      <c r="C751" s="13"/>
      <c r="D751" s="242"/>
      <c r="E751" s="242"/>
      <c r="F751" s="242"/>
      <c r="G751" s="242"/>
      <c r="H751" s="13"/>
      <c r="I751" s="13"/>
      <c r="J751" s="13"/>
      <c r="K751" s="13"/>
      <c r="L751" s="242"/>
      <c r="M751" s="242"/>
      <c r="N751" s="242"/>
      <c r="O751" s="242"/>
      <c r="P751" s="242"/>
      <c r="Q751" s="242"/>
      <c r="R751" s="242"/>
      <c r="S751" s="242"/>
      <c r="T751" s="242"/>
      <c r="U751" s="242"/>
      <c r="V751" s="242"/>
      <c r="W751" s="242"/>
      <c r="X751" s="242"/>
      <c r="Y751" s="242"/>
      <c r="Z751" s="242"/>
      <c r="AA751" s="242"/>
    </row>
    <row r="752">
      <c r="A752" s="242"/>
      <c r="B752" s="242"/>
      <c r="C752" s="13"/>
      <c r="D752" s="242"/>
      <c r="E752" s="242"/>
      <c r="F752" s="242"/>
      <c r="G752" s="242"/>
      <c r="H752" s="13"/>
      <c r="I752" s="13"/>
      <c r="J752" s="13"/>
      <c r="K752" s="13"/>
      <c r="L752" s="242"/>
      <c r="M752" s="242"/>
      <c r="N752" s="242"/>
      <c r="O752" s="242"/>
      <c r="P752" s="242"/>
      <c r="Q752" s="242"/>
      <c r="R752" s="242"/>
      <c r="S752" s="242"/>
      <c r="T752" s="242"/>
      <c r="U752" s="242"/>
      <c r="V752" s="242"/>
      <c r="W752" s="242"/>
      <c r="X752" s="242"/>
      <c r="Y752" s="242"/>
      <c r="Z752" s="242"/>
      <c r="AA752" s="242"/>
    </row>
    <row r="753">
      <c r="A753" s="242"/>
      <c r="B753" s="242"/>
      <c r="C753" s="13"/>
      <c r="D753" s="242"/>
      <c r="E753" s="242"/>
      <c r="F753" s="242"/>
      <c r="G753" s="242"/>
      <c r="H753" s="13"/>
      <c r="I753" s="13"/>
      <c r="J753" s="13"/>
      <c r="K753" s="13"/>
      <c r="L753" s="242"/>
      <c r="M753" s="242"/>
      <c r="N753" s="242"/>
      <c r="O753" s="242"/>
      <c r="P753" s="242"/>
      <c r="Q753" s="242"/>
      <c r="R753" s="242"/>
      <c r="S753" s="242"/>
      <c r="T753" s="242"/>
      <c r="U753" s="242"/>
      <c r="V753" s="242"/>
      <c r="W753" s="242"/>
      <c r="X753" s="242"/>
      <c r="Y753" s="242"/>
      <c r="Z753" s="242"/>
      <c r="AA753" s="242"/>
    </row>
    <row r="754">
      <c r="A754" s="242"/>
      <c r="B754" s="242"/>
      <c r="C754" s="13"/>
      <c r="D754" s="242"/>
      <c r="E754" s="242"/>
      <c r="F754" s="242"/>
      <c r="G754" s="242"/>
      <c r="H754" s="13"/>
      <c r="I754" s="13"/>
      <c r="J754" s="13"/>
      <c r="K754" s="13"/>
      <c r="L754" s="242"/>
      <c r="M754" s="242"/>
      <c r="N754" s="242"/>
      <c r="O754" s="242"/>
      <c r="P754" s="242"/>
      <c r="Q754" s="242"/>
      <c r="R754" s="242"/>
      <c r="S754" s="242"/>
      <c r="T754" s="242"/>
      <c r="U754" s="242"/>
      <c r="V754" s="242"/>
      <c r="W754" s="242"/>
      <c r="X754" s="242"/>
      <c r="Y754" s="242"/>
      <c r="Z754" s="242"/>
      <c r="AA754" s="242"/>
    </row>
    <row r="755">
      <c r="A755" s="242"/>
      <c r="B755" s="242"/>
      <c r="C755" s="13"/>
      <c r="D755" s="242"/>
      <c r="E755" s="242"/>
      <c r="F755" s="242"/>
      <c r="G755" s="242"/>
      <c r="H755" s="13"/>
      <c r="I755" s="13"/>
      <c r="J755" s="13"/>
      <c r="K755" s="13"/>
      <c r="L755" s="242"/>
      <c r="M755" s="242"/>
      <c r="N755" s="242"/>
      <c r="O755" s="242"/>
      <c r="P755" s="242"/>
      <c r="Q755" s="242"/>
      <c r="R755" s="242"/>
      <c r="S755" s="242"/>
      <c r="T755" s="242"/>
      <c r="U755" s="242"/>
      <c r="V755" s="242"/>
      <c r="W755" s="242"/>
      <c r="X755" s="242"/>
      <c r="Y755" s="242"/>
      <c r="Z755" s="242"/>
      <c r="AA755" s="242"/>
    </row>
    <row r="756">
      <c r="A756" s="242"/>
      <c r="B756" s="242"/>
      <c r="C756" s="13"/>
      <c r="D756" s="242"/>
      <c r="E756" s="242"/>
      <c r="F756" s="242"/>
      <c r="G756" s="242"/>
      <c r="H756" s="13"/>
      <c r="I756" s="13"/>
      <c r="J756" s="13"/>
      <c r="K756" s="13"/>
      <c r="L756" s="242"/>
      <c r="M756" s="242"/>
      <c r="N756" s="242"/>
      <c r="O756" s="242"/>
      <c r="P756" s="242"/>
      <c r="Q756" s="242"/>
      <c r="R756" s="242"/>
      <c r="S756" s="242"/>
      <c r="T756" s="242"/>
      <c r="U756" s="242"/>
      <c r="V756" s="242"/>
      <c r="W756" s="242"/>
      <c r="X756" s="242"/>
      <c r="Y756" s="242"/>
      <c r="Z756" s="242"/>
      <c r="AA756" s="242"/>
    </row>
    <row r="757">
      <c r="A757" s="242"/>
      <c r="B757" s="242"/>
      <c r="C757" s="13"/>
      <c r="D757" s="242"/>
      <c r="E757" s="242"/>
      <c r="F757" s="242"/>
      <c r="G757" s="242"/>
      <c r="H757" s="13"/>
      <c r="I757" s="13"/>
      <c r="J757" s="13"/>
      <c r="K757" s="13"/>
      <c r="L757" s="242"/>
      <c r="M757" s="242"/>
      <c r="N757" s="242"/>
      <c r="O757" s="242"/>
      <c r="P757" s="242"/>
      <c r="Q757" s="242"/>
      <c r="R757" s="242"/>
      <c r="S757" s="242"/>
      <c r="T757" s="242"/>
      <c r="U757" s="242"/>
      <c r="V757" s="242"/>
      <c r="W757" s="242"/>
      <c r="X757" s="242"/>
      <c r="Y757" s="242"/>
      <c r="Z757" s="242"/>
      <c r="AA757" s="242"/>
    </row>
    <row r="758">
      <c r="A758" s="242"/>
      <c r="B758" s="242"/>
      <c r="C758" s="13"/>
      <c r="D758" s="242"/>
      <c r="E758" s="242"/>
      <c r="F758" s="242"/>
      <c r="G758" s="242"/>
      <c r="H758" s="13"/>
      <c r="I758" s="13"/>
      <c r="J758" s="13"/>
      <c r="K758" s="13"/>
      <c r="L758" s="242"/>
      <c r="M758" s="242"/>
      <c r="N758" s="242"/>
      <c r="O758" s="242"/>
      <c r="P758" s="242"/>
      <c r="Q758" s="242"/>
      <c r="R758" s="242"/>
      <c r="S758" s="242"/>
      <c r="T758" s="242"/>
      <c r="U758" s="242"/>
      <c r="V758" s="242"/>
      <c r="W758" s="242"/>
      <c r="X758" s="242"/>
      <c r="Y758" s="242"/>
      <c r="Z758" s="242"/>
      <c r="AA758" s="242"/>
    </row>
    <row r="759">
      <c r="A759" s="242"/>
      <c r="B759" s="242"/>
      <c r="C759" s="13"/>
      <c r="D759" s="242"/>
      <c r="E759" s="242"/>
      <c r="F759" s="242"/>
      <c r="G759" s="242"/>
      <c r="H759" s="13"/>
      <c r="I759" s="13"/>
      <c r="J759" s="13"/>
      <c r="K759" s="13"/>
      <c r="L759" s="242"/>
      <c r="M759" s="242"/>
      <c r="N759" s="242"/>
      <c r="O759" s="242"/>
      <c r="P759" s="242"/>
      <c r="Q759" s="242"/>
      <c r="R759" s="242"/>
      <c r="S759" s="242"/>
      <c r="T759" s="242"/>
      <c r="U759" s="242"/>
      <c r="V759" s="242"/>
      <c r="W759" s="242"/>
      <c r="X759" s="242"/>
      <c r="Y759" s="242"/>
      <c r="Z759" s="242"/>
      <c r="AA759" s="242"/>
    </row>
    <row r="760">
      <c r="A760" s="242"/>
      <c r="B760" s="242"/>
      <c r="C760" s="13"/>
      <c r="D760" s="242"/>
      <c r="E760" s="242"/>
      <c r="F760" s="242"/>
      <c r="G760" s="242"/>
      <c r="H760" s="13"/>
      <c r="I760" s="13"/>
      <c r="J760" s="13"/>
      <c r="K760" s="13"/>
      <c r="L760" s="242"/>
      <c r="M760" s="242"/>
      <c r="N760" s="242"/>
      <c r="O760" s="242"/>
      <c r="P760" s="242"/>
      <c r="Q760" s="242"/>
      <c r="R760" s="242"/>
      <c r="S760" s="242"/>
      <c r="T760" s="242"/>
      <c r="U760" s="242"/>
      <c r="V760" s="242"/>
      <c r="W760" s="242"/>
      <c r="X760" s="242"/>
      <c r="Y760" s="242"/>
      <c r="Z760" s="242"/>
      <c r="AA760" s="242"/>
    </row>
    <row r="761">
      <c r="A761" s="242"/>
      <c r="B761" s="242"/>
      <c r="C761" s="13"/>
      <c r="D761" s="242"/>
      <c r="E761" s="242"/>
      <c r="F761" s="242"/>
      <c r="G761" s="242"/>
      <c r="H761" s="13"/>
      <c r="I761" s="13"/>
      <c r="J761" s="13"/>
      <c r="K761" s="13"/>
      <c r="L761" s="242"/>
      <c r="M761" s="242"/>
      <c r="N761" s="242"/>
      <c r="O761" s="242"/>
      <c r="P761" s="242"/>
      <c r="Q761" s="242"/>
      <c r="R761" s="242"/>
      <c r="S761" s="242"/>
      <c r="T761" s="242"/>
      <c r="U761" s="242"/>
      <c r="V761" s="242"/>
      <c r="W761" s="242"/>
      <c r="X761" s="242"/>
      <c r="Y761" s="242"/>
      <c r="Z761" s="242"/>
      <c r="AA761" s="242"/>
    </row>
    <row r="762">
      <c r="A762" s="242"/>
      <c r="B762" s="242"/>
      <c r="C762" s="13"/>
      <c r="D762" s="242"/>
      <c r="E762" s="242"/>
      <c r="F762" s="242"/>
      <c r="G762" s="242"/>
      <c r="H762" s="13"/>
      <c r="I762" s="13"/>
      <c r="J762" s="13"/>
      <c r="K762" s="13"/>
      <c r="L762" s="242"/>
      <c r="M762" s="242"/>
      <c r="N762" s="242"/>
      <c r="O762" s="242"/>
      <c r="P762" s="242"/>
      <c r="Q762" s="242"/>
      <c r="R762" s="242"/>
      <c r="S762" s="242"/>
      <c r="T762" s="242"/>
      <c r="U762" s="242"/>
      <c r="V762" s="242"/>
      <c r="W762" s="242"/>
      <c r="X762" s="242"/>
      <c r="Y762" s="242"/>
      <c r="Z762" s="242"/>
      <c r="AA762" s="242"/>
    </row>
    <row r="763">
      <c r="A763" s="242"/>
      <c r="B763" s="242"/>
      <c r="C763" s="13"/>
      <c r="D763" s="242"/>
      <c r="E763" s="242"/>
      <c r="F763" s="242"/>
      <c r="G763" s="242"/>
      <c r="H763" s="13"/>
      <c r="I763" s="13"/>
      <c r="J763" s="13"/>
      <c r="K763" s="13"/>
      <c r="L763" s="242"/>
      <c r="M763" s="242"/>
      <c r="N763" s="242"/>
      <c r="O763" s="242"/>
      <c r="P763" s="242"/>
      <c r="Q763" s="242"/>
      <c r="R763" s="242"/>
      <c r="S763" s="242"/>
      <c r="T763" s="242"/>
      <c r="U763" s="242"/>
      <c r="V763" s="242"/>
      <c r="W763" s="242"/>
      <c r="X763" s="242"/>
      <c r="Y763" s="242"/>
      <c r="Z763" s="242"/>
      <c r="AA763" s="242"/>
    </row>
    <row r="764">
      <c r="A764" s="242"/>
      <c r="B764" s="242"/>
      <c r="C764" s="13"/>
      <c r="D764" s="242"/>
      <c r="E764" s="242"/>
      <c r="F764" s="242"/>
      <c r="G764" s="242"/>
      <c r="H764" s="13"/>
      <c r="I764" s="13"/>
      <c r="J764" s="13"/>
      <c r="K764" s="13"/>
      <c r="L764" s="242"/>
      <c r="M764" s="242"/>
      <c r="N764" s="242"/>
      <c r="O764" s="242"/>
      <c r="P764" s="242"/>
      <c r="Q764" s="242"/>
      <c r="R764" s="242"/>
      <c r="S764" s="242"/>
      <c r="T764" s="242"/>
      <c r="U764" s="242"/>
      <c r="V764" s="242"/>
      <c r="W764" s="242"/>
      <c r="X764" s="242"/>
      <c r="Y764" s="242"/>
      <c r="Z764" s="242"/>
      <c r="AA764" s="242"/>
    </row>
    <row r="765">
      <c r="A765" s="242"/>
      <c r="B765" s="242"/>
      <c r="C765" s="13"/>
      <c r="D765" s="242"/>
      <c r="E765" s="242"/>
      <c r="F765" s="242"/>
      <c r="G765" s="242"/>
      <c r="H765" s="13"/>
      <c r="I765" s="13"/>
      <c r="J765" s="13"/>
      <c r="K765" s="13"/>
      <c r="L765" s="242"/>
      <c r="M765" s="242"/>
      <c r="N765" s="242"/>
      <c r="O765" s="242"/>
      <c r="P765" s="242"/>
      <c r="Q765" s="242"/>
      <c r="R765" s="242"/>
      <c r="S765" s="242"/>
      <c r="T765" s="242"/>
      <c r="U765" s="242"/>
      <c r="V765" s="242"/>
      <c r="W765" s="242"/>
      <c r="X765" s="242"/>
      <c r="Y765" s="242"/>
      <c r="Z765" s="242"/>
      <c r="AA765" s="242"/>
    </row>
    <row r="766">
      <c r="A766" s="242"/>
      <c r="B766" s="242"/>
      <c r="C766" s="13"/>
      <c r="D766" s="242"/>
      <c r="E766" s="242"/>
      <c r="F766" s="242"/>
      <c r="G766" s="242"/>
      <c r="H766" s="13"/>
      <c r="I766" s="13"/>
      <c r="J766" s="13"/>
      <c r="K766" s="13"/>
      <c r="L766" s="242"/>
      <c r="M766" s="242"/>
      <c r="N766" s="242"/>
      <c r="O766" s="242"/>
      <c r="P766" s="242"/>
      <c r="Q766" s="242"/>
      <c r="R766" s="242"/>
      <c r="S766" s="242"/>
      <c r="T766" s="242"/>
      <c r="U766" s="242"/>
      <c r="V766" s="242"/>
      <c r="W766" s="242"/>
      <c r="X766" s="242"/>
      <c r="Y766" s="242"/>
      <c r="Z766" s="242"/>
      <c r="AA766" s="242"/>
    </row>
    <row r="767">
      <c r="A767" s="242"/>
      <c r="B767" s="242"/>
      <c r="C767" s="13"/>
      <c r="D767" s="242"/>
      <c r="E767" s="242"/>
      <c r="F767" s="242"/>
      <c r="G767" s="242"/>
      <c r="H767" s="13"/>
      <c r="I767" s="13"/>
      <c r="J767" s="13"/>
      <c r="K767" s="13"/>
      <c r="L767" s="242"/>
      <c r="M767" s="242"/>
      <c r="N767" s="242"/>
      <c r="O767" s="242"/>
      <c r="P767" s="242"/>
      <c r="Q767" s="242"/>
      <c r="R767" s="242"/>
      <c r="S767" s="242"/>
      <c r="T767" s="242"/>
      <c r="U767" s="242"/>
      <c r="V767" s="242"/>
      <c r="W767" s="242"/>
      <c r="X767" s="242"/>
      <c r="Y767" s="242"/>
      <c r="Z767" s="242"/>
      <c r="AA767" s="242"/>
    </row>
    <row r="768">
      <c r="A768" s="242"/>
      <c r="B768" s="242"/>
      <c r="C768" s="13"/>
      <c r="D768" s="242"/>
      <c r="E768" s="242"/>
      <c r="F768" s="242"/>
      <c r="G768" s="242"/>
      <c r="H768" s="13"/>
      <c r="I768" s="13"/>
      <c r="J768" s="13"/>
      <c r="K768" s="13"/>
      <c r="L768" s="242"/>
      <c r="M768" s="242"/>
      <c r="N768" s="242"/>
      <c r="O768" s="242"/>
      <c r="P768" s="242"/>
      <c r="Q768" s="242"/>
      <c r="R768" s="242"/>
      <c r="S768" s="242"/>
      <c r="T768" s="242"/>
      <c r="U768" s="242"/>
      <c r="V768" s="242"/>
      <c r="W768" s="242"/>
      <c r="X768" s="242"/>
      <c r="Y768" s="242"/>
      <c r="Z768" s="242"/>
      <c r="AA768" s="242"/>
    </row>
    <row r="769">
      <c r="A769" s="242"/>
      <c r="B769" s="242"/>
      <c r="C769" s="13"/>
      <c r="D769" s="242"/>
      <c r="E769" s="242"/>
      <c r="F769" s="242"/>
      <c r="G769" s="242"/>
      <c r="H769" s="13"/>
      <c r="I769" s="13"/>
      <c r="J769" s="13"/>
      <c r="K769" s="13"/>
      <c r="L769" s="242"/>
      <c r="M769" s="242"/>
      <c r="N769" s="242"/>
      <c r="O769" s="242"/>
      <c r="P769" s="242"/>
      <c r="Q769" s="242"/>
      <c r="R769" s="242"/>
      <c r="S769" s="242"/>
      <c r="T769" s="242"/>
      <c r="U769" s="242"/>
      <c r="V769" s="242"/>
      <c r="W769" s="242"/>
      <c r="X769" s="242"/>
      <c r="Y769" s="242"/>
      <c r="Z769" s="242"/>
      <c r="AA769" s="242"/>
    </row>
    <row r="770">
      <c r="A770" s="242"/>
      <c r="B770" s="242"/>
      <c r="C770" s="13"/>
      <c r="D770" s="242"/>
      <c r="E770" s="242"/>
      <c r="F770" s="242"/>
      <c r="G770" s="242"/>
      <c r="H770" s="13"/>
      <c r="I770" s="13"/>
      <c r="J770" s="13"/>
      <c r="K770" s="13"/>
      <c r="L770" s="242"/>
      <c r="M770" s="242"/>
      <c r="N770" s="242"/>
      <c r="O770" s="242"/>
      <c r="P770" s="242"/>
      <c r="Q770" s="242"/>
      <c r="R770" s="242"/>
      <c r="S770" s="242"/>
      <c r="T770" s="242"/>
      <c r="U770" s="242"/>
      <c r="V770" s="242"/>
      <c r="W770" s="242"/>
      <c r="X770" s="242"/>
      <c r="Y770" s="242"/>
      <c r="Z770" s="242"/>
      <c r="AA770" s="242"/>
    </row>
    <row r="771">
      <c r="A771" s="242"/>
      <c r="B771" s="242"/>
      <c r="C771" s="13"/>
      <c r="D771" s="242"/>
      <c r="E771" s="242"/>
      <c r="F771" s="242"/>
      <c r="G771" s="242"/>
      <c r="H771" s="13"/>
      <c r="I771" s="13"/>
      <c r="J771" s="13"/>
      <c r="K771" s="13"/>
      <c r="L771" s="242"/>
      <c r="M771" s="242"/>
      <c r="N771" s="242"/>
      <c r="O771" s="242"/>
      <c r="P771" s="242"/>
      <c r="Q771" s="242"/>
      <c r="R771" s="242"/>
      <c r="S771" s="242"/>
      <c r="T771" s="242"/>
      <c r="U771" s="242"/>
      <c r="V771" s="242"/>
      <c r="W771" s="242"/>
      <c r="X771" s="242"/>
      <c r="Y771" s="242"/>
      <c r="Z771" s="242"/>
      <c r="AA771" s="242"/>
    </row>
    <row r="772">
      <c r="A772" s="242"/>
      <c r="B772" s="242"/>
      <c r="C772" s="13"/>
      <c r="D772" s="242"/>
      <c r="E772" s="242"/>
      <c r="F772" s="242"/>
      <c r="G772" s="242"/>
      <c r="H772" s="13"/>
      <c r="I772" s="13"/>
      <c r="J772" s="13"/>
      <c r="K772" s="13"/>
      <c r="L772" s="242"/>
      <c r="M772" s="242"/>
      <c r="N772" s="242"/>
      <c r="O772" s="242"/>
      <c r="P772" s="242"/>
      <c r="Q772" s="242"/>
      <c r="R772" s="242"/>
      <c r="S772" s="242"/>
      <c r="T772" s="242"/>
      <c r="U772" s="242"/>
      <c r="V772" s="242"/>
      <c r="W772" s="242"/>
      <c r="X772" s="242"/>
      <c r="Y772" s="242"/>
      <c r="Z772" s="242"/>
      <c r="AA772" s="242"/>
    </row>
    <row r="773">
      <c r="A773" s="242"/>
      <c r="B773" s="242"/>
      <c r="C773" s="13"/>
      <c r="D773" s="242"/>
      <c r="E773" s="242"/>
      <c r="F773" s="242"/>
      <c r="G773" s="242"/>
      <c r="H773" s="13"/>
      <c r="I773" s="13"/>
      <c r="J773" s="13"/>
      <c r="K773" s="13"/>
      <c r="L773" s="242"/>
      <c r="M773" s="242"/>
      <c r="N773" s="242"/>
      <c r="O773" s="242"/>
      <c r="P773" s="242"/>
      <c r="Q773" s="242"/>
      <c r="R773" s="242"/>
      <c r="S773" s="242"/>
      <c r="T773" s="242"/>
      <c r="U773" s="242"/>
      <c r="V773" s="242"/>
      <c r="W773" s="242"/>
      <c r="X773" s="242"/>
      <c r="Y773" s="242"/>
      <c r="Z773" s="242"/>
      <c r="AA773" s="242"/>
    </row>
    <row r="774">
      <c r="A774" s="242"/>
      <c r="B774" s="242"/>
      <c r="C774" s="13"/>
      <c r="D774" s="242"/>
      <c r="E774" s="242"/>
      <c r="F774" s="242"/>
      <c r="G774" s="242"/>
      <c r="H774" s="13"/>
      <c r="I774" s="13"/>
      <c r="J774" s="13"/>
      <c r="K774" s="13"/>
      <c r="L774" s="242"/>
      <c r="M774" s="242"/>
      <c r="N774" s="242"/>
      <c r="O774" s="242"/>
      <c r="P774" s="242"/>
      <c r="Q774" s="242"/>
      <c r="R774" s="242"/>
      <c r="S774" s="242"/>
      <c r="T774" s="242"/>
      <c r="U774" s="242"/>
      <c r="V774" s="242"/>
      <c r="W774" s="242"/>
      <c r="X774" s="242"/>
      <c r="Y774" s="242"/>
      <c r="Z774" s="242"/>
      <c r="AA774" s="242"/>
    </row>
    <row r="775">
      <c r="A775" s="242"/>
      <c r="B775" s="242"/>
      <c r="C775" s="13"/>
      <c r="D775" s="242"/>
      <c r="E775" s="242"/>
      <c r="F775" s="242"/>
      <c r="G775" s="242"/>
      <c r="H775" s="13"/>
      <c r="I775" s="13"/>
      <c r="J775" s="13"/>
      <c r="K775" s="13"/>
      <c r="L775" s="242"/>
      <c r="M775" s="242"/>
      <c r="N775" s="242"/>
      <c r="O775" s="242"/>
      <c r="P775" s="242"/>
      <c r="Q775" s="242"/>
      <c r="R775" s="242"/>
      <c r="S775" s="242"/>
      <c r="T775" s="242"/>
      <c r="U775" s="242"/>
      <c r="V775" s="242"/>
      <c r="W775" s="242"/>
      <c r="X775" s="242"/>
      <c r="Y775" s="242"/>
      <c r="Z775" s="242"/>
      <c r="AA775" s="242"/>
    </row>
    <row r="776">
      <c r="A776" s="242"/>
      <c r="B776" s="242"/>
      <c r="C776" s="13"/>
      <c r="D776" s="242"/>
      <c r="E776" s="242"/>
      <c r="F776" s="242"/>
      <c r="G776" s="242"/>
      <c r="H776" s="13"/>
      <c r="I776" s="13"/>
      <c r="J776" s="13"/>
      <c r="K776" s="13"/>
      <c r="L776" s="242"/>
      <c r="M776" s="242"/>
      <c r="N776" s="242"/>
      <c r="O776" s="242"/>
      <c r="P776" s="242"/>
      <c r="Q776" s="242"/>
      <c r="R776" s="242"/>
      <c r="S776" s="242"/>
      <c r="T776" s="242"/>
      <c r="U776" s="242"/>
      <c r="V776" s="242"/>
      <c r="W776" s="242"/>
      <c r="X776" s="242"/>
      <c r="Y776" s="242"/>
      <c r="Z776" s="242"/>
      <c r="AA776" s="242"/>
    </row>
    <row r="777">
      <c r="A777" s="242"/>
      <c r="B777" s="242"/>
      <c r="C777" s="13"/>
      <c r="D777" s="242"/>
      <c r="E777" s="242"/>
      <c r="F777" s="242"/>
      <c r="G777" s="242"/>
      <c r="H777" s="13"/>
      <c r="I777" s="13"/>
      <c r="J777" s="13"/>
      <c r="K777" s="13"/>
      <c r="L777" s="242"/>
      <c r="M777" s="242"/>
      <c r="N777" s="242"/>
      <c r="O777" s="242"/>
      <c r="P777" s="242"/>
      <c r="Q777" s="242"/>
      <c r="R777" s="242"/>
      <c r="S777" s="242"/>
      <c r="T777" s="242"/>
      <c r="U777" s="242"/>
      <c r="V777" s="242"/>
      <c r="W777" s="242"/>
      <c r="X777" s="242"/>
      <c r="Y777" s="242"/>
      <c r="Z777" s="242"/>
      <c r="AA777" s="242"/>
    </row>
    <row r="778">
      <c r="A778" s="242"/>
      <c r="B778" s="242"/>
      <c r="C778" s="13"/>
      <c r="D778" s="242"/>
      <c r="E778" s="242"/>
      <c r="F778" s="242"/>
      <c r="G778" s="242"/>
      <c r="H778" s="13"/>
      <c r="I778" s="13"/>
      <c r="J778" s="13"/>
      <c r="K778" s="13"/>
      <c r="L778" s="242"/>
      <c r="M778" s="242"/>
      <c r="N778" s="242"/>
      <c r="O778" s="242"/>
      <c r="P778" s="242"/>
      <c r="Q778" s="242"/>
      <c r="R778" s="242"/>
      <c r="S778" s="242"/>
      <c r="T778" s="242"/>
      <c r="U778" s="242"/>
      <c r="V778" s="242"/>
      <c r="W778" s="242"/>
      <c r="X778" s="242"/>
      <c r="Y778" s="242"/>
      <c r="Z778" s="242"/>
      <c r="AA778" s="242"/>
    </row>
    <row r="779">
      <c r="A779" s="242"/>
      <c r="B779" s="242"/>
      <c r="C779" s="13"/>
      <c r="D779" s="242"/>
      <c r="E779" s="242"/>
      <c r="F779" s="242"/>
      <c r="G779" s="242"/>
      <c r="H779" s="13"/>
      <c r="I779" s="13"/>
      <c r="J779" s="13"/>
      <c r="K779" s="13"/>
      <c r="L779" s="242"/>
      <c r="M779" s="242"/>
      <c r="N779" s="242"/>
      <c r="O779" s="242"/>
      <c r="P779" s="242"/>
      <c r="Q779" s="242"/>
      <c r="R779" s="242"/>
      <c r="S779" s="242"/>
      <c r="T779" s="242"/>
      <c r="U779" s="242"/>
      <c r="V779" s="242"/>
      <c r="W779" s="242"/>
      <c r="X779" s="242"/>
      <c r="Y779" s="242"/>
      <c r="Z779" s="242"/>
      <c r="AA779" s="242"/>
    </row>
    <row r="780">
      <c r="A780" s="242"/>
      <c r="B780" s="242"/>
      <c r="C780" s="13"/>
      <c r="D780" s="242"/>
      <c r="E780" s="242"/>
      <c r="F780" s="242"/>
      <c r="G780" s="242"/>
      <c r="H780" s="13"/>
      <c r="I780" s="13"/>
      <c r="J780" s="13"/>
      <c r="K780" s="13"/>
      <c r="L780" s="242"/>
      <c r="M780" s="242"/>
      <c r="N780" s="242"/>
      <c r="O780" s="242"/>
      <c r="P780" s="242"/>
      <c r="Q780" s="242"/>
      <c r="R780" s="242"/>
      <c r="S780" s="242"/>
      <c r="T780" s="242"/>
      <c r="U780" s="242"/>
      <c r="V780" s="242"/>
      <c r="W780" s="242"/>
      <c r="X780" s="242"/>
      <c r="Y780" s="242"/>
      <c r="Z780" s="242"/>
      <c r="AA780" s="242"/>
    </row>
    <row r="781">
      <c r="A781" s="242"/>
      <c r="B781" s="242"/>
      <c r="C781" s="13"/>
      <c r="D781" s="242"/>
      <c r="E781" s="242"/>
      <c r="F781" s="242"/>
      <c r="G781" s="242"/>
      <c r="H781" s="13"/>
      <c r="I781" s="13"/>
      <c r="J781" s="13"/>
      <c r="K781" s="13"/>
      <c r="L781" s="242"/>
      <c r="M781" s="242"/>
      <c r="N781" s="242"/>
      <c r="O781" s="242"/>
      <c r="P781" s="242"/>
      <c r="Q781" s="242"/>
      <c r="R781" s="242"/>
      <c r="S781" s="242"/>
      <c r="T781" s="242"/>
      <c r="U781" s="242"/>
      <c r="V781" s="242"/>
      <c r="W781" s="242"/>
      <c r="X781" s="242"/>
      <c r="Y781" s="242"/>
      <c r="Z781" s="242"/>
      <c r="AA781" s="242"/>
    </row>
    <row r="782">
      <c r="A782" s="242"/>
      <c r="B782" s="242"/>
      <c r="C782" s="13"/>
      <c r="D782" s="242"/>
      <c r="E782" s="242"/>
      <c r="F782" s="242"/>
      <c r="G782" s="242"/>
      <c r="H782" s="13"/>
      <c r="I782" s="13"/>
      <c r="J782" s="13"/>
      <c r="K782" s="13"/>
      <c r="L782" s="242"/>
      <c r="M782" s="242"/>
      <c r="N782" s="242"/>
      <c r="O782" s="242"/>
      <c r="P782" s="242"/>
      <c r="Q782" s="242"/>
      <c r="R782" s="242"/>
      <c r="S782" s="242"/>
      <c r="T782" s="242"/>
      <c r="U782" s="242"/>
      <c r="V782" s="242"/>
      <c r="W782" s="242"/>
      <c r="X782" s="242"/>
      <c r="Y782" s="242"/>
      <c r="Z782" s="242"/>
      <c r="AA782" s="242"/>
    </row>
    <row r="783">
      <c r="A783" s="242"/>
      <c r="B783" s="242"/>
      <c r="C783" s="13"/>
      <c r="D783" s="242"/>
      <c r="E783" s="242"/>
      <c r="F783" s="242"/>
      <c r="G783" s="242"/>
      <c r="H783" s="13"/>
      <c r="I783" s="13"/>
      <c r="J783" s="13"/>
      <c r="K783" s="13"/>
      <c r="L783" s="242"/>
      <c r="M783" s="242"/>
      <c r="N783" s="242"/>
      <c r="O783" s="242"/>
      <c r="P783" s="242"/>
      <c r="Q783" s="242"/>
      <c r="R783" s="242"/>
      <c r="S783" s="242"/>
      <c r="T783" s="242"/>
      <c r="U783" s="242"/>
      <c r="V783" s="242"/>
      <c r="W783" s="242"/>
      <c r="X783" s="242"/>
      <c r="Y783" s="242"/>
      <c r="Z783" s="242"/>
      <c r="AA783" s="242"/>
    </row>
    <row r="784">
      <c r="A784" s="242"/>
      <c r="B784" s="242"/>
      <c r="C784" s="13"/>
      <c r="D784" s="242"/>
      <c r="E784" s="242"/>
      <c r="F784" s="242"/>
      <c r="G784" s="242"/>
      <c r="H784" s="13"/>
      <c r="I784" s="13"/>
      <c r="J784" s="13"/>
      <c r="K784" s="13"/>
      <c r="L784" s="242"/>
      <c r="M784" s="242"/>
      <c r="N784" s="242"/>
      <c r="O784" s="242"/>
      <c r="P784" s="242"/>
      <c r="Q784" s="242"/>
      <c r="R784" s="242"/>
      <c r="S784" s="242"/>
      <c r="T784" s="242"/>
      <c r="U784" s="242"/>
      <c r="V784" s="242"/>
      <c r="W784" s="242"/>
      <c r="X784" s="242"/>
      <c r="Y784" s="242"/>
      <c r="Z784" s="242"/>
      <c r="AA784" s="242"/>
    </row>
    <row r="785">
      <c r="A785" s="242"/>
      <c r="B785" s="242"/>
      <c r="C785" s="13"/>
      <c r="D785" s="242"/>
      <c r="E785" s="242"/>
      <c r="F785" s="242"/>
      <c r="G785" s="242"/>
      <c r="H785" s="13"/>
      <c r="I785" s="13"/>
      <c r="J785" s="13"/>
      <c r="K785" s="13"/>
      <c r="L785" s="242"/>
      <c r="M785" s="242"/>
      <c r="N785" s="242"/>
      <c r="O785" s="242"/>
      <c r="P785" s="242"/>
      <c r="Q785" s="242"/>
      <c r="R785" s="242"/>
      <c r="S785" s="242"/>
      <c r="T785" s="242"/>
      <c r="U785" s="242"/>
      <c r="V785" s="242"/>
      <c r="W785" s="242"/>
      <c r="X785" s="242"/>
      <c r="Y785" s="242"/>
      <c r="Z785" s="242"/>
      <c r="AA785" s="242"/>
    </row>
    <row r="786">
      <c r="A786" s="242"/>
      <c r="B786" s="242"/>
      <c r="C786" s="13"/>
      <c r="D786" s="242"/>
      <c r="E786" s="242"/>
      <c r="F786" s="242"/>
      <c r="G786" s="242"/>
      <c r="H786" s="13"/>
      <c r="I786" s="13"/>
      <c r="J786" s="13"/>
      <c r="K786" s="13"/>
      <c r="L786" s="242"/>
      <c r="M786" s="242"/>
      <c r="N786" s="242"/>
      <c r="O786" s="242"/>
      <c r="P786" s="242"/>
      <c r="Q786" s="242"/>
      <c r="R786" s="242"/>
      <c r="S786" s="242"/>
      <c r="T786" s="242"/>
      <c r="U786" s="242"/>
      <c r="V786" s="242"/>
      <c r="W786" s="242"/>
      <c r="X786" s="242"/>
      <c r="Y786" s="242"/>
      <c r="Z786" s="242"/>
      <c r="AA786" s="242"/>
    </row>
    <row r="787">
      <c r="A787" s="242"/>
      <c r="B787" s="242"/>
      <c r="C787" s="13"/>
      <c r="D787" s="242"/>
      <c r="E787" s="242"/>
      <c r="F787" s="242"/>
      <c r="G787" s="242"/>
      <c r="H787" s="13"/>
      <c r="I787" s="13"/>
      <c r="J787" s="13"/>
      <c r="K787" s="13"/>
      <c r="L787" s="242"/>
      <c r="M787" s="242"/>
      <c r="N787" s="242"/>
      <c r="O787" s="242"/>
      <c r="P787" s="242"/>
      <c r="Q787" s="242"/>
      <c r="R787" s="242"/>
      <c r="S787" s="242"/>
      <c r="T787" s="242"/>
      <c r="U787" s="242"/>
      <c r="V787" s="242"/>
      <c r="W787" s="242"/>
      <c r="X787" s="242"/>
      <c r="Y787" s="242"/>
      <c r="Z787" s="242"/>
      <c r="AA787" s="242"/>
    </row>
    <row r="788">
      <c r="A788" s="242"/>
      <c r="B788" s="242"/>
      <c r="C788" s="13"/>
      <c r="D788" s="242"/>
      <c r="E788" s="242"/>
      <c r="F788" s="242"/>
      <c r="G788" s="242"/>
      <c r="H788" s="13"/>
      <c r="I788" s="13"/>
      <c r="J788" s="13"/>
      <c r="K788" s="13"/>
      <c r="L788" s="242"/>
      <c r="M788" s="242"/>
      <c r="N788" s="242"/>
      <c r="O788" s="242"/>
      <c r="P788" s="242"/>
      <c r="Q788" s="242"/>
      <c r="R788" s="242"/>
      <c r="S788" s="242"/>
      <c r="T788" s="242"/>
      <c r="U788" s="242"/>
      <c r="V788" s="242"/>
      <c r="W788" s="242"/>
      <c r="X788" s="242"/>
      <c r="Y788" s="242"/>
      <c r="Z788" s="242"/>
      <c r="AA788" s="242"/>
    </row>
    <row r="789">
      <c r="A789" s="242"/>
      <c r="B789" s="242"/>
      <c r="C789" s="13"/>
      <c r="D789" s="242"/>
      <c r="E789" s="242"/>
      <c r="F789" s="242"/>
      <c r="G789" s="242"/>
      <c r="H789" s="13"/>
      <c r="I789" s="13"/>
      <c r="J789" s="13"/>
      <c r="K789" s="13"/>
      <c r="L789" s="242"/>
      <c r="M789" s="242"/>
      <c r="N789" s="242"/>
      <c r="O789" s="242"/>
      <c r="P789" s="242"/>
      <c r="Q789" s="242"/>
      <c r="R789" s="242"/>
      <c r="S789" s="242"/>
      <c r="T789" s="242"/>
      <c r="U789" s="242"/>
      <c r="V789" s="242"/>
      <c r="W789" s="242"/>
      <c r="X789" s="242"/>
      <c r="Y789" s="242"/>
      <c r="Z789" s="242"/>
      <c r="AA789" s="242"/>
    </row>
    <row r="790">
      <c r="A790" s="242"/>
      <c r="B790" s="242"/>
      <c r="C790" s="13"/>
      <c r="D790" s="242"/>
      <c r="E790" s="242"/>
      <c r="F790" s="242"/>
      <c r="G790" s="242"/>
      <c r="H790" s="13"/>
      <c r="I790" s="13"/>
      <c r="J790" s="13"/>
      <c r="K790" s="13"/>
      <c r="L790" s="242"/>
      <c r="M790" s="242"/>
      <c r="N790" s="242"/>
      <c r="O790" s="242"/>
      <c r="P790" s="242"/>
      <c r="Q790" s="242"/>
      <c r="R790" s="242"/>
      <c r="S790" s="242"/>
      <c r="T790" s="242"/>
      <c r="U790" s="242"/>
      <c r="V790" s="242"/>
      <c r="W790" s="242"/>
      <c r="X790" s="242"/>
      <c r="Y790" s="242"/>
      <c r="Z790" s="242"/>
      <c r="AA790" s="242"/>
    </row>
    <row r="791">
      <c r="A791" s="242"/>
      <c r="B791" s="242"/>
      <c r="C791" s="13"/>
      <c r="D791" s="242"/>
      <c r="E791" s="242"/>
      <c r="F791" s="242"/>
      <c r="G791" s="242"/>
      <c r="H791" s="13"/>
      <c r="I791" s="13"/>
      <c r="J791" s="13"/>
      <c r="K791" s="13"/>
      <c r="L791" s="242"/>
      <c r="M791" s="242"/>
      <c r="N791" s="242"/>
      <c r="O791" s="242"/>
      <c r="P791" s="242"/>
      <c r="Q791" s="242"/>
      <c r="R791" s="242"/>
      <c r="S791" s="242"/>
      <c r="T791" s="242"/>
      <c r="U791" s="242"/>
      <c r="V791" s="242"/>
      <c r="W791" s="242"/>
      <c r="X791" s="242"/>
      <c r="Y791" s="242"/>
      <c r="Z791" s="242"/>
      <c r="AA791" s="242"/>
    </row>
    <row r="792">
      <c r="A792" s="242"/>
      <c r="B792" s="242"/>
      <c r="C792" s="13"/>
      <c r="D792" s="242"/>
      <c r="E792" s="242"/>
      <c r="F792" s="242"/>
      <c r="G792" s="242"/>
      <c r="H792" s="13"/>
      <c r="I792" s="13"/>
      <c r="J792" s="13"/>
      <c r="K792" s="13"/>
      <c r="L792" s="242"/>
      <c r="M792" s="242"/>
      <c r="N792" s="242"/>
      <c r="O792" s="242"/>
      <c r="P792" s="242"/>
      <c r="Q792" s="242"/>
      <c r="R792" s="242"/>
      <c r="S792" s="242"/>
      <c r="T792" s="242"/>
      <c r="U792" s="242"/>
      <c r="V792" s="242"/>
      <c r="W792" s="242"/>
      <c r="X792" s="242"/>
      <c r="Y792" s="242"/>
      <c r="Z792" s="242"/>
      <c r="AA792" s="242"/>
    </row>
    <row r="793">
      <c r="A793" s="242"/>
      <c r="B793" s="242"/>
      <c r="C793" s="13"/>
      <c r="D793" s="242"/>
      <c r="E793" s="242"/>
      <c r="F793" s="242"/>
      <c r="G793" s="242"/>
      <c r="H793" s="13"/>
      <c r="I793" s="13"/>
      <c r="J793" s="13"/>
      <c r="K793" s="13"/>
      <c r="L793" s="242"/>
      <c r="M793" s="242"/>
      <c r="N793" s="242"/>
      <c r="O793" s="242"/>
      <c r="P793" s="242"/>
      <c r="Q793" s="242"/>
      <c r="R793" s="242"/>
      <c r="S793" s="242"/>
      <c r="T793" s="242"/>
      <c r="U793" s="242"/>
      <c r="V793" s="242"/>
      <c r="W793" s="242"/>
      <c r="X793" s="242"/>
      <c r="Y793" s="242"/>
      <c r="Z793" s="242"/>
      <c r="AA793" s="242"/>
    </row>
    <row r="794">
      <c r="A794" s="242"/>
      <c r="B794" s="242"/>
      <c r="C794" s="13"/>
      <c r="D794" s="242"/>
      <c r="E794" s="242"/>
      <c r="F794" s="242"/>
      <c r="G794" s="242"/>
      <c r="H794" s="13"/>
      <c r="I794" s="13"/>
      <c r="J794" s="13"/>
      <c r="K794" s="13"/>
      <c r="L794" s="242"/>
      <c r="M794" s="242"/>
      <c r="N794" s="242"/>
      <c r="O794" s="242"/>
      <c r="P794" s="242"/>
      <c r="Q794" s="242"/>
      <c r="R794" s="242"/>
      <c r="S794" s="242"/>
      <c r="T794" s="242"/>
      <c r="U794" s="242"/>
      <c r="V794" s="242"/>
      <c r="W794" s="242"/>
      <c r="X794" s="242"/>
      <c r="Y794" s="242"/>
      <c r="Z794" s="242"/>
      <c r="AA794" s="242"/>
    </row>
    <row r="795">
      <c r="A795" s="242"/>
      <c r="B795" s="242"/>
      <c r="C795" s="13"/>
      <c r="D795" s="242"/>
      <c r="E795" s="242"/>
      <c r="F795" s="242"/>
      <c r="G795" s="242"/>
      <c r="H795" s="13"/>
      <c r="I795" s="13"/>
      <c r="J795" s="13"/>
      <c r="K795" s="13"/>
      <c r="L795" s="242"/>
      <c r="M795" s="242"/>
      <c r="N795" s="242"/>
      <c r="O795" s="242"/>
      <c r="P795" s="242"/>
      <c r="Q795" s="242"/>
      <c r="R795" s="242"/>
      <c r="S795" s="242"/>
      <c r="T795" s="242"/>
      <c r="U795" s="242"/>
      <c r="V795" s="242"/>
      <c r="W795" s="242"/>
      <c r="X795" s="242"/>
      <c r="Y795" s="242"/>
      <c r="Z795" s="242"/>
      <c r="AA795" s="242"/>
    </row>
    <row r="796">
      <c r="A796" s="242"/>
      <c r="B796" s="242"/>
      <c r="C796" s="13"/>
      <c r="D796" s="242"/>
      <c r="E796" s="242"/>
      <c r="F796" s="242"/>
      <c r="G796" s="242"/>
      <c r="H796" s="13"/>
      <c r="I796" s="13"/>
      <c r="J796" s="13"/>
      <c r="K796" s="13"/>
      <c r="L796" s="242"/>
      <c r="M796" s="242"/>
      <c r="N796" s="242"/>
      <c r="O796" s="242"/>
      <c r="P796" s="242"/>
      <c r="Q796" s="242"/>
      <c r="R796" s="242"/>
      <c r="S796" s="242"/>
      <c r="T796" s="242"/>
      <c r="U796" s="242"/>
      <c r="V796" s="242"/>
      <c r="W796" s="242"/>
      <c r="X796" s="242"/>
      <c r="Y796" s="242"/>
      <c r="Z796" s="242"/>
      <c r="AA796" s="242"/>
    </row>
    <row r="797">
      <c r="A797" s="242"/>
      <c r="B797" s="242"/>
      <c r="C797" s="13"/>
      <c r="D797" s="242"/>
      <c r="E797" s="242"/>
      <c r="F797" s="242"/>
      <c r="G797" s="242"/>
      <c r="H797" s="13"/>
      <c r="I797" s="13"/>
      <c r="J797" s="13"/>
      <c r="K797" s="13"/>
      <c r="L797" s="242"/>
      <c r="M797" s="242"/>
      <c r="N797" s="242"/>
      <c r="O797" s="242"/>
      <c r="P797" s="242"/>
      <c r="Q797" s="242"/>
      <c r="R797" s="242"/>
      <c r="S797" s="242"/>
      <c r="T797" s="242"/>
      <c r="U797" s="242"/>
      <c r="V797" s="242"/>
      <c r="W797" s="242"/>
      <c r="X797" s="242"/>
      <c r="Y797" s="242"/>
      <c r="Z797" s="242"/>
      <c r="AA797" s="242"/>
    </row>
    <row r="798">
      <c r="A798" s="242"/>
      <c r="B798" s="242"/>
      <c r="C798" s="13"/>
      <c r="D798" s="242"/>
      <c r="E798" s="242"/>
      <c r="F798" s="242"/>
      <c r="G798" s="242"/>
      <c r="H798" s="13"/>
      <c r="I798" s="13"/>
      <c r="J798" s="13"/>
      <c r="K798" s="13"/>
      <c r="L798" s="242"/>
      <c r="M798" s="242"/>
      <c r="N798" s="242"/>
      <c r="O798" s="242"/>
      <c r="P798" s="242"/>
      <c r="Q798" s="242"/>
      <c r="R798" s="242"/>
      <c r="S798" s="242"/>
      <c r="T798" s="242"/>
      <c r="U798" s="242"/>
      <c r="V798" s="242"/>
      <c r="W798" s="242"/>
      <c r="X798" s="242"/>
      <c r="Y798" s="242"/>
      <c r="Z798" s="242"/>
      <c r="AA798" s="242"/>
    </row>
    <row r="799">
      <c r="A799" s="242"/>
      <c r="B799" s="242"/>
      <c r="C799" s="13"/>
      <c r="D799" s="242"/>
      <c r="E799" s="242"/>
      <c r="F799" s="242"/>
      <c r="G799" s="242"/>
      <c r="H799" s="13"/>
      <c r="I799" s="13"/>
      <c r="J799" s="13"/>
      <c r="K799" s="13"/>
      <c r="L799" s="242"/>
      <c r="M799" s="242"/>
      <c r="N799" s="242"/>
      <c r="O799" s="242"/>
      <c r="P799" s="242"/>
      <c r="Q799" s="242"/>
      <c r="R799" s="242"/>
      <c r="S799" s="242"/>
      <c r="T799" s="242"/>
      <c r="U799" s="242"/>
      <c r="V799" s="242"/>
      <c r="W799" s="242"/>
      <c r="X799" s="242"/>
      <c r="Y799" s="242"/>
      <c r="Z799" s="242"/>
      <c r="AA799" s="242"/>
    </row>
    <row r="800">
      <c r="A800" s="242"/>
      <c r="B800" s="242"/>
      <c r="C800" s="13"/>
      <c r="D800" s="242"/>
      <c r="E800" s="242"/>
      <c r="F800" s="242"/>
      <c r="G800" s="242"/>
      <c r="H800" s="13"/>
      <c r="I800" s="13"/>
      <c r="J800" s="13"/>
      <c r="K800" s="13"/>
      <c r="L800" s="242"/>
      <c r="M800" s="242"/>
      <c r="N800" s="242"/>
      <c r="O800" s="242"/>
      <c r="P800" s="242"/>
      <c r="Q800" s="242"/>
      <c r="R800" s="242"/>
      <c r="S800" s="242"/>
      <c r="T800" s="242"/>
      <c r="U800" s="242"/>
      <c r="V800" s="242"/>
      <c r="W800" s="242"/>
      <c r="X800" s="242"/>
      <c r="Y800" s="242"/>
      <c r="Z800" s="242"/>
      <c r="AA800" s="242"/>
    </row>
    <row r="801">
      <c r="A801" s="242"/>
      <c r="B801" s="242"/>
      <c r="C801" s="13"/>
      <c r="D801" s="242"/>
      <c r="E801" s="242"/>
      <c r="F801" s="242"/>
      <c r="G801" s="242"/>
      <c r="H801" s="13"/>
      <c r="I801" s="13"/>
      <c r="J801" s="13"/>
      <c r="K801" s="13"/>
      <c r="L801" s="242"/>
      <c r="M801" s="242"/>
      <c r="N801" s="242"/>
      <c r="O801" s="242"/>
      <c r="P801" s="242"/>
      <c r="Q801" s="242"/>
      <c r="R801" s="242"/>
      <c r="S801" s="242"/>
      <c r="T801" s="242"/>
      <c r="U801" s="242"/>
      <c r="V801" s="242"/>
      <c r="W801" s="242"/>
      <c r="X801" s="242"/>
      <c r="Y801" s="242"/>
      <c r="Z801" s="242"/>
      <c r="AA801" s="242"/>
    </row>
    <row r="802">
      <c r="A802" s="242"/>
      <c r="B802" s="242"/>
      <c r="C802" s="13"/>
      <c r="D802" s="242"/>
      <c r="E802" s="242"/>
      <c r="F802" s="242"/>
      <c r="G802" s="242"/>
      <c r="H802" s="13"/>
      <c r="I802" s="13"/>
      <c r="J802" s="13"/>
      <c r="K802" s="13"/>
      <c r="L802" s="242"/>
      <c r="M802" s="242"/>
      <c r="N802" s="242"/>
      <c r="O802" s="242"/>
      <c r="P802" s="242"/>
      <c r="Q802" s="242"/>
      <c r="R802" s="242"/>
      <c r="S802" s="242"/>
      <c r="T802" s="242"/>
      <c r="U802" s="242"/>
      <c r="V802" s="242"/>
      <c r="W802" s="242"/>
      <c r="X802" s="242"/>
      <c r="Y802" s="242"/>
      <c r="Z802" s="242"/>
      <c r="AA802" s="242"/>
    </row>
    <row r="803">
      <c r="A803" s="242"/>
      <c r="B803" s="242"/>
      <c r="C803" s="13"/>
      <c r="D803" s="242"/>
      <c r="E803" s="242"/>
      <c r="F803" s="242"/>
      <c r="G803" s="242"/>
      <c r="H803" s="13"/>
      <c r="I803" s="13"/>
      <c r="J803" s="13"/>
      <c r="K803" s="13"/>
      <c r="L803" s="242"/>
      <c r="M803" s="242"/>
      <c r="N803" s="242"/>
      <c r="O803" s="242"/>
      <c r="P803" s="242"/>
      <c r="Q803" s="242"/>
      <c r="R803" s="242"/>
      <c r="S803" s="242"/>
      <c r="T803" s="242"/>
      <c r="U803" s="242"/>
      <c r="V803" s="242"/>
      <c r="W803" s="242"/>
      <c r="X803" s="242"/>
      <c r="Y803" s="242"/>
      <c r="Z803" s="242"/>
      <c r="AA803" s="242"/>
    </row>
    <row r="804">
      <c r="A804" s="242"/>
      <c r="B804" s="242"/>
      <c r="C804" s="13"/>
      <c r="D804" s="242"/>
      <c r="E804" s="242"/>
      <c r="F804" s="242"/>
      <c r="G804" s="242"/>
      <c r="H804" s="13"/>
      <c r="I804" s="13"/>
      <c r="J804" s="13"/>
      <c r="K804" s="13"/>
      <c r="L804" s="242"/>
      <c r="M804" s="242"/>
      <c r="N804" s="242"/>
      <c r="O804" s="242"/>
      <c r="P804" s="242"/>
      <c r="Q804" s="242"/>
      <c r="R804" s="242"/>
      <c r="S804" s="242"/>
      <c r="T804" s="242"/>
      <c r="U804" s="242"/>
      <c r="V804" s="242"/>
      <c r="W804" s="242"/>
      <c r="X804" s="242"/>
      <c r="Y804" s="242"/>
      <c r="Z804" s="242"/>
      <c r="AA804" s="242"/>
    </row>
    <row r="805">
      <c r="A805" s="242"/>
      <c r="B805" s="242"/>
      <c r="C805" s="13"/>
      <c r="D805" s="242"/>
      <c r="E805" s="242"/>
      <c r="F805" s="242"/>
      <c r="G805" s="242"/>
      <c r="H805" s="13"/>
      <c r="I805" s="13"/>
      <c r="J805" s="13"/>
      <c r="K805" s="13"/>
      <c r="L805" s="242"/>
      <c r="M805" s="242"/>
      <c r="N805" s="242"/>
      <c r="O805" s="242"/>
      <c r="P805" s="242"/>
      <c r="Q805" s="242"/>
      <c r="R805" s="242"/>
      <c r="S805" s="242"/>
      <c r="T805" s="242"/>
      <c r="U805" s="242"/>
      <c r="V805" s="242"/>
      <c r="W805" s="242"/>
      <c r="X805" s="242"/>
      <c r="Y805" s="242"/>
      <c r="Z805" s="242"/>
      <c r="AA805" s="242"/>
    </row>
    <row r="806">
      <c r="A806" s="242"/>
      <c r="B806" s="242"/>
      <c r="C806" s="13"/>
      <c r="D806" s="242"/>
      <c r="E806" s="242"/>
      <c r="F806" s="242"/>
      <c r="G806" s="242"/>
      <c r="H806" s="13"/>
      <c r="I806" s="13"/>
      <c r="J806" s="13"/>
      <c r="K806" s="13"/>
      <c r="L806" s="242"/>
      <c r="M806" s="242"/>
      <c r="N806" s="242"/>
      <c r="O806" s="242"/>
      <c r="P806" s="242"/>
      <c r="Q806" s="242"/>
      <c r="R806" s="242"/>
      <c r="S806" s="242"/>
      <c r="T806" s="242"/>
      <c r="U806" s="242"/>
      <c r="V806" s="242"/>
      <c r="W806" s="242"/>
      <c r="X806" s="242"/>
      <c r="Y806" s="242"/>
      <c r="Z806" s="242"/>
      <c r="AA806" s="242"/>
    </row>
    <row r="807">
      <c r="A807" s="242"/>
      <c r="B807" s="242"/>
      <c r="C807" s="13"/>
      <c r="D807" s="242"/>
      <c r="E807" s="242"/>
      <c r="F807" s="242"/>
      <c r="G807" s="242"/>
      <c r="H807" s="13"/>
      <c r="I807" s="13"/>
      <c r="J807" s="13"/>
      <c r="K807" s="13"/>
      <c r="L807" s="242"/>
      <c r="M807" s="242"/>
      <c r="N807" s="242"/>
      <c r="O807" s="242"/>
      <c r="P807" s="242"/>
      <c r="Q807" s="242"/>
      <c r="R807" s="242"/>
      <c r="S807" s="242"/>
      <c r="T807" s="242"/>
      <c r="U807" s="242"/>
      <c r="V807" s="242"/>
      <c r="W807" s="242"/>
      <c r="X807" s="242"/>
      <c r="Y807" s="242"/>
      <c r="Z807" s="242"/>
      <c r="AA807" s="242"/>
    </row>
    <row r="808">
      <c r="A808" s="242"/>
      <c r="B808" s="242"/>
      <c r="C808" s="13"/>
      <c r="D808" s="242"/>
      <c r="E808" s="242"/>
      <c r="F808" s="242"/>
      <c r="G808" s="242"/>
      <c r="H808" s="13"/>
      <c r="I808" s="13"/>
      <c r="J808" s="13"/>
      <c r="K808" s="13"/>
      <c r="L808" s="242"/>
      <c r="M808" s="242"/>
      <c r="N808" s="242"/>
      <c r="O808" s="242"/>
      <c r="P808" s="242"/>
      <c r="Q808" s="242"/>
      <c r="R808" s="242"/>
      <c r="S808" s="242"/>
      <c r="T808" s="242"/>
      <c r="U808" s="242"/>
      <c r="V808" s="242"/>
      <c r="W808" s="242"/>
      <c r="X808" s="242"/>
      <c r="Y808" s="242"/>
      <c r="Z808" s="242"/>
      <c r="AA808" s="242"/>
    </row>
    <row r="809">
      <c r="A809" s="242"/>
      <c r="B809" s="242"/>
      <c r="C809" s="13"/>
      <c r="D809" s="242"/>
      <c r="E809" s="242"/>
      <c r="F809" s="242"/>
      <c r="G809" s="242"/>
      <c r="H809" s="13"/>
      <c r="I809" s="13"/>
      <c r="J809" s="13"/>
      <c r="K809" s="13"/>
      <c r="L809" s="242"/>
      <c r="M809" s="242"/>
      <c r="N809" s="242"/>
      <c r="O809" s="242"/>
      <c r="P809" s="242"/>
      <c r="Q809" s="242"/>
      <c r="R809" s="242"/>
      <c r="S809" s="242"/>
      <c r="T809" s="242"/>
      <c r="U809" s="242"/>
      <c r="V809" s="242"/>
      <c r="W809" s="242"/>
      <c r="X809" s="242"/>
      <c r="Y809" s="242"/>
      <c r="Z809" s="242"/>
      <c r="AA809" s="242"/>
    </row>
    <row r="810">
      <c r="A810" s="242"/>
      <c r="B810" s="242"/>
      <c r="C810" s="13"/>
      <c r="D810" s="242"/>
      <c r="E810" s="242"/>
      <c r="F810" s="242"/>
      <c r="G810" s="242"/>
      <c r="H810" s="13"/>
      <c r="I810" s="13"/>
      <c r="J810" s="13"/>
      <c r="K810" s="13"/>
      <c r="L810" s="242"/>
      <c r="M810" s="242"/>
      <c r="N810" s="242"/>
      <c r="O810" s="242"/>
      <c r="P810" s="242"/>
      <c r="Q810" s="242"/>
      <c r="R810" s="242"/>
      <c r="S810" s="242"/>
      <c r="T810" s="242"/>
      <c r="U810" s="242"/>
      <c r="V810" s="242"/>
      <c r="W810" s="242"/>
      <c r="X810" s="242"/>
      <c r="Y810" s="242"/>
      <c r="Z810" s="242"/>
      <c r="AA810" s="242"/>
    </row>
    <row r="811">
      <c r="A811" s="242"/>
      <c r="B811" s="242"/>
      <c r="C811" s="13"/>
      <c r="D811" s="242"/>
      <c r="E811" s="242"/>
      <c r="F811" s="242"/>
      <c r="G811" s="242"/>
      <c r="H811" s="13"/>
      <c r="I811" s="13"/>
      <c r="J811" s="13"/>
      <c r="K811" s="13"/>
      <c r="L811" s="242"/>
      <c r="M811" s="242"/>
      <c r="N811" s="242"/>
      <c r="O811" s="242"/>
      <c r="P811" s="242"/>
      <c r="Q811" s="242"/>
      <c r="R811" s="242"/>
      <c r="S811" s="242"/>
      <c r="T811" s="242"/>
      <c r="U811" s="242"/>
      <c r="V811" s="242"/>
      <c r="W811" s="242"/>
      <c r="X811" s="242"/>
      <c r="Y811" s="242"/>
      <c r="Z811" s="242"/>
      <c r="AA811" s="242"/>
    </row>
    <row r="812">
      <c r="A812" s="242"/>
      <c r="B812" s="242"/>
      <c r="C812" s="13"/>
      <c r="D812" s="242"/>
      <c r="E812" s="242"/>
      <c r="F812" s="242"/>
      <c r="G812" s="242"/>
      <c r="H812" s="13"/>
      <c r="I812" s="13"/>
      <c r="J812" s="13"/>
      <c r="K812" s="13"/>
      <c r="L812" s="242"/>
      <c r="M812" s="242"/>
      <c r="N812" s="242"/>
      <c r="O812" s="242"/>
      <c r="P812" s="242"/>
      <c r="Q812" s="242"/>
      <c r="R812" s="242"/>
      <c r="S812" s="242"/>
      <c r="T812" s="242"/>
      <c r="U812" s="242"/>
      <c r="V812" s="242"/>
      <c r="W812" s="242"/>
      <c r="X812" s="242"/>
      <c r="Y812" s="242"/>
      <c r="Z812" s="242"/>
      <c r="AA812" s="242"/>
    </row>
    <row r="813">
      <c r="A813" s="242"/>
      <c r="B813" s="242"/>
      <c r="C813" s="13"/>
      <c r="D813" s="242"/>
      <c r="E813" s="242"/>
      <c r="F813" s="242"/>
      <c r="G813" s="242"/>
      <c r="H813" s="13"/>
      <c r="I813" s="13"/>
      <c r="J813" s="13"/>
      <c r="K813" s="13"/>
      <c r="L813" s="242"/>
      <c r="M813" s="242"/>
      <c r="N813" s="242"/>
      <c r="O813" s="242"/>
      <c r="P813" s="242"/>
      <c r="Q813" s="242"/>
      <c r="R813" s="242"/>
      <c r="S813" s="242"/>
      <c r="T813" s="242"/>
      <c r="U813" s="242"/>
      <c r="V813" s="242"/>
      <c r="W813" s="242"/>
      <c r="X813" s="242"/>
      <c r="Y813" s="242"/>
      <c r="Z813" s="242"/>
      <c r="AA813" s="242"/>
    </row>
    <row r="814">
      <c r="A814" s="242"/>
      <c r="B814" s="242"/>
      <c r="C814" s="13"/>
      <c r="D814" s="242"/>
      <c r="E814" s="242"/>
      <c r="F814" s="242"/>
      <c r="G814" s="242"/>
      <c r="H814" s="13"/>
      <c r="I814" s="13"/>
      <c r="J814" s="13"/>
      <c r="K814" s="13"/>
      <c r="L814" s="242"/>
      <c r="M814" s="242"/>
      <c r="N814" s="242"/>
      <c r="O814" s="242"/>
      <c r="P814" s="242"/>
      <c r="Q814" s="242"/>
      <c r="R814" s="242"/>
      <c r="S814" s="242"/>
      <c r="T814" s="242"/>
      <c r="U814" s="242"/>
      <c r="V814" s="242"/>
      <c r="W814" s="242"/>
      <c r="X814" s="242"/>
      <c r="Y814" s="242"/>
      <c r="Z814" s="242"/>
      <c r="AA814" s="242"/>
    </row>
    <row r="815">
      <c r="A815" s="242"/>
      <c r="B815" s="242"/>
      <c r="C815" s="13"/>
      <c r="D815" s="242"/>
      <c r="E815" s="242"/>
      <c r="F815" s="242"/>
      <c r="G815" s="242"/>
      <c r="H815" s="13"/>
      <c r="I815" s="13"/>
      <c r="J815" s="13"/>
      <c r="K815" s="13"/>
      <c r="L815" s="242"/>
      <c r="M815" s="242"/>
      <c r="N815" s="242"/>
      <c r="O815" s="242"/>
      <c r="P815" s="242"/>
      <c r="Q815" s="242"/>
      <c r="R815" s="242"/>
      <c r="S815" s="242"/>
      <c r="T815" s="242"/>
      <c r="U815" s="242"/>
      <c r="V815" s="242"/>
      <c r="W815" s="242"/>
      <c r="X815" s="242"/>
      <c r="Y815" s="242"/>
      <c r="Z815" s="242"/>
      <c r="AA815" s="242"/>
    </row>
    <row r="816">
      <c r="A816" s="242"/>
      <c r="B816" s="242"/>
      <c r="C816" s="13"/>
      <c r="D816" s="242"/>
      <c r="E816" s="242"/>
      <c r="F816" s="242"/>
      <c r="G816" s="242"/>
      <c r="H816" s="13"/>
      <c r="I816" s="13"/>
      <c r="J816" s="13"/>
      <c r="K816" s="13"/>
      <c r="L816" s="242"/>
      <c r="M816" s="242"/>
      <c r="N816" s="242"/>
      <c r="O816" s="242"/>
      <c r="P816" s="242"/>
      <c r="Q816" s="242"/>
      <c r="R816" s="242"/>
      <c r="S816" s="242"/>
      <c r="T816" s="242"/>
      <c r="U816" s="242"/>
      <c r="V816" s="242"/>
      <c r="W816" s="242"/>
      <c r="X816" s="242"/>
      <c r="Y816" s="242"/>
      <c r="Z816" s="242"/>
      <c r="AA816" s="242"/>
    </row>
    <row r="817">
      <c r="A817" s="242"/>
      <c r="B817" s="242"/>
      <c r="C817" s="13"/>
      <c r="D817" s="242"/>
      <c r="E817" s="242"/>
      <c r="F817" s="242"/>
      <c r="G817" s="242"/>
      <c r="H817" s="13"/>
      <c r="I817" s="13"/>
      <c r="J817" s="13"/>
      <c r="K817" s="13"/>
      <c r="L817" s="242"/>
      <c r="M817" s="242"/>
      <c r="N817" s="242"/>
      <c r="O817" s="242"/>
      <c r="P817" s="242"/>
      <c r="Q817" s="242"/>
      <c r="R817" s="242"/>
      <c r="S817" s="242"/>
      <c r="T817" s="242"/>
      <c r="U817" s="242"/>
      <c r="V817" s="242"/>
      <c r="W817" s="242"/>
      <c r="X817" s="242"/>
      <c r="Y817" s="242"/>
      <c r="Z817" s="242"/>
      <c r="AA817" s="242"/>
    </row>
    <row r="818">
      <c r="A818" s="242"/>
      <c r="B818" s="242"/>
      <c r="C818" s="13"/>
      <c r="D818" s="242"/>
      <c r="E818" s="242"/>
      <c r="F818" s="242"/>
      <c r="G818" s="242"/>
      <c r="H818" s="13"/>
      <c r="I818" s="13"/>
      <c r="J818" s="13"/>
      <c r="K818" s="13"/>
      <c r="L818" s="242"/>
      <c r="M818" s="242"/>
      <c r="N818" s="242"/>
      <c r="O818" s="242"/>
      <c r="P818" s="242"/>
      <c r="Q818" s="242"/>
      <c r="R818" s="242"/>
      <c r="S818" s="242"/>
      <c r="T818" s="242"/>
      <c r="U818" s="242"/>
      <c r="V818" s="242"/>
      <c r="W818" s="242"/>
      <c r="X818" s="242"/>
      <c r="Y818" s="242"/>
      <c r="Z818" s="242"/>
      <c r="AA818" s="242"/>
    </row>
    <row r="819">
      <c r="A819" s="242"/>
      <c r="B819" s="242"/>
      <c r="C819" s="13"/>
      <c r="D819" s="242"/>
      <c r="E819" s="242"/>
      <c r="F819" s="242"/>
      <c r="G819" s="242"/>
      <c r="H819" s="13"/>
      <c r="I819" s="13"/>
      <c r="J819" s="13"/>
      <c r="K819" s="13"/>
      <c r="L819" s="242"/>
      <c r="M819" s="242"/>
      <c r="N819" s="242"/>
      <c r="O819" s="242"/>
      <c r="P819" s="242"/>
      <c r="Q819" s="242"/>
      <c r="R819" s="242"/>
      <c r="S819" s="242"/>
      <c r="T819" s="242"/>
      <c r="U819" s="242"/>
      <c r="V819" s="242"/>
      <c r="W819" s="242"/>
      <c r="X819" s="242"/>
      <c r="Y819" s="242"/>
      <c r="Z819" s="242"/>
      <c r="AA819" s="242"/>
    </row>
    <row r="820">
      <c r="A820" s="242"/>
      <c r="B820" s="242"/>
      <c r="C820" s="13"/>
      <c r="D820" s="242"/>
      <c r="E820" s="242"/>
      <c r="F820" s="242"/>
      <c r="G820" s="242"/>
      <c r="H820" s="13"/>
      <c r="I820" s="13"/>
      <c r="J820" s="13"/>
      <c r="K820" s="13"/>
      <c r="L820" s="242"/>
      <c r="M820" s="242"/>
      <c r="N820" s="242"/>
      <c r="O820" s="242"/>
      <c r="P820" s="242"/>
      <c r="Q820" s="242"/>
      <c r="R820" s="242"/>
      <c r="S820" s="242"/>
      <c r="T820" s="242"/>
      <c r="U820" s="242"/>
      <c r="V820" s="242"/>
      <c r="W820" s="242"/>
      <c r="X820" s="242"/>
      <c r="Y820" s="242"/>
      <c r="Z820" s="242"/>
      <c r="AA820" s="242"/>
    </row>
    <row r="821">
      <c r="A821" s="242"/>
      <c r="B821" s="242"/>
      <c r="C821" s="13"/>
      <c r="D821" s="242"/>
      <c r="E821" s="242"/>
      <c r="F821" s="242"/>
      <c r="G821" s="242"/>
      <c r="H821" s="13"/>
      <c r="I821" s="13"/>
      <c r="J821" s="13"/>
      <c r="K821" s="13"/>
      <c r="L821" s="242"/>
      <c r="M821" s="242"/>
      <c r="N821" s="242"/>
      <c r="O821" s="242"/>
      <c r="P821" s="242"/>
      <c r="Q821" s="242"/>
      <c r="R821" s="242"/>
      <c r="S821" s="242"/>
      <c r="T821" s="242"/>
      <c r="U821" s="242"/>
      <c r="V821" s="242"/>
      <c r="W821" s="242"/>
      <c r="X821" s="242"/>
      <c r="Y821" s="242"/>
      <c r="Z821" s="242"/>
      <c r="AA821" s="242"/>
    </row>
    <row r="822">
      <c r="A822" s="242"/>
      <c r="B822" s="242"/>
      <c r="C822" s="13"/>
      <c r="D822" s="242"/>
      <c r="E822" s="242"/>
      <c r="F822" s="242"/>
      <c r="G822" s="242"/>
      <c r="H822" s="13"/>
      <c r="I822" s="13"/>
      <c r="J822" s="13"/>
      <c r="K822" s="13"/>
      <c r="L822" s="242"/>
      <c r="M822" s="242"/>
      <c r="N822" s="242"/>
      <c r="O822" s="242"/>
      <c r="P822" s="242"/>
      <c r="Q822" s="242"/>
      <c r="R822" s="242"/>
      <c r="S822" s="242"/>
      <c r="T822" s="242"/>
      <c r="U822" s="242"/>
      <c r="V822" s="242"/>
      <c r="W822" s="242"/>
      <c r="X822" s="242"/>
      <c r="Y822" s="242"/>
      <c r="Z822" s="242"/>
      <c r="AA822" s="242"/>
    </row>
    <row r="823">
      <c r="A823" s="242"/>
      <c r="B823" s="242"/>
      <c r="C823" s="13"/>
      <c r="D823" s="242"/>
      <c r="E823" s="242"/>
      <c r="F823" s="242"/>
      <c r="G823" s="242"/>
      <c r="H823" s="13"/>
      <c r="I823" s="13"/>
      <c r="J823" s="13"/>
      <c r="K823" s="13"/>
      <c r="L823" s="242"/>
      <c r="M823" s="242"/>
      <c r="N823" s="242"/>
      <c r="O823" s="242"/>
      <c r="P823" s="242"/>
      <c r="Q823" s="242"/>
      <c r="R823" s="242"/>
      <c r="S823" s="242"/>
      <c r="T823" s="242"/>
      <c r="U823" s="242"/>
      <c r="V823" s="242"/>
      <c r="W823" s="242"/>
      <c r="X823" s="242"/>
      <c r="Y823" s="242"/>
      <c r="Z823" s="242"/>
      <c r="AA823" s="242"/>
    </row>
    <row r="824">
      <c r="A824" s="242"/>
      <c r="B824" s="242"/>
      <c r="C824" s="13"/>
      <c r="D824" s="242"/>
      <c r="E824" s="242"/>
      <c r="F824" s="242"/>
      <c r="G824" s="242"/>
      <c r="H824" s="13"/>
      <c r="I824" s="13"/>
      <c r="J824" s="13"/>
      <c r="K824" s="13"/>
      <c r="L824" s="242"/>
      <c r="M824" s="242"/>
      <c r="N824" s="242"/>
      <c r="O824" s="242"/>
      <c r="P824" s="242"/>
      <c r="Q824" s="242"/>
      <c r="R824" s="242"/>
      <c r="S824" s="242"/>
      <c r="T824" s="242"/>
      <c r="U824" s="242"/>
      <c r="V824" s="242"/>
      <c r="W824" s="242"/>
      <c r="X824" s="242"/>
      <c r="Y824" s="242"/>
      <c r="Z824" s="242"/>
      <c r="AA824" s="242"/>
    </row>
    <row r="825">
      <c r="A825" s="242"/>
      <c r="B825" s="242"/>
      <c r="C825" s="13"/>
      <c r="D825" s="242"/>
      <c r="E825" s="242"/>
      <c r="F825" s="242"/>
      <c r="G825" s="242"/>
      <c r="H825" s="13"/>
      <c r="I825" s="13"/>
      <c r="J825" s="13"/>
      <c r="K825" s="13"/>
      <c r="L825" s="242"/>
      <c r="M825" s="242"/>
      <c r="N825" s="242"/>
      <c r="O825" s="242"/>
      <c r="P825" s="242"/>
      <c r="Q825" s="242"/>
      <c r="R825" s="242"/>
      <c r="S825" s="242"/>
      <c r="T825" s="242"/>
      <c r="U825" s="242"/>
      <c r="V825" s="242"/>
      <c r="W825" s="242"/>
      <c r="X825" s="242"/>
      <c r="Y825" s="242"/>
      <c r="Z825" s="242"/>
      <c r="AA825" s="242"/>
    </row>
    <row r="826">
      <c r="A826" s="242"/>
      <c r="B826" s="242"/>
      <c r="C826" s="13"/>
      <c r="D826" s="242"/>
      <c r="E826" s="242"/>
      <c r="F826" s="242"/>
      <c r="G826" s="242"/>
      <c r="H826" s="13"/>
      <c r="I826" s="13"/>
      <c r="J826" s="13"/>
      <c r="K826" s="13"/>
      <c r="L826" s="242"/>
      <c r="M826" s="242"/>
      <c r="N826" s="242"/>
      <c r="O826" s="242"/>
      <c r="P826" s="242"/>
      <c r="Q826" s="242"/>
      <c r="R826" s="242"/>
      <c r="S826" s="242"/>
      <c r="T826" s="242"/>
      <c r="U826" s="242"/>
      <c r="V826" s="242"/>
      <c r="W826" s="242"/>
      <c r="X826" s="242"/>
      <c r="Y826" s="242"/>
      <c r="Z826" s="242"/>
      <c r="AA826" s="242"/>
    </row>
    <row r="827">
      <c r="A827" s="242"/>
      <c r="B827" s="242"/>
      <c r="C827" s="13"/>
      <c r="D827" s="242"/>
      <c r="E827" s="242"/>
      <c r="F827" s="242"/>
      <c r="G827" s="242"/>
      <c r="H827" s="13"/>
      <c r="I827" s="13"/>
      <c r="J827" s="13"/>
      <c r="K827" s="13"/>
      <c r="L827" s="242"/>
      <c r="M827" s="242"/>
      <c r="N827" s="242"/>
      <c r="O827" s="242"/>
      <c r="P827" s="242"/>
      <c r="Q827" s="242"/>
      <c r="R827" s="242"/>
      <c r="S827" s="242"/>
      <c r="T827" s="242"/>
      <c r="U827" s="242"/>
      <c r="V827" s="242"/>
      <c r="W827" s="242"/>
      <c r="X827" s="242"/>
      <c r="Y827" s="242"/>
      <c r="Z827" s="242"/>
      <c r="AA827" s="242"/>
    </row>
    <row r="828">
      <c r="A828" s="242"/>
      <c r="B828" s="242"/>
      <c r="C828" s="13"/>
      <c r="D828" s="242"/>
      <c r="E828" s="242"/>
      <c r="F828" s="242"/>
      <c r="G828" s="242"/>
      <c r="H828" s="13"/>
      <c r="I828" s="13"/>
      <c r="J828" s="13"/>
      <c r="K828" s="13"/>
      <c r="L828" s="242"/>
      <c r="M828" s="242"/>
      <c r="N828" s="242"/>
      <c r="O828" s="242"/>
      <c r="P828" s="242"/>
      <c r="Q828" s="242"/>
      <c r="R828" s="242"/>
      <c r="S828" s="242"/>
      <c r="T828" s="242"/>
      <c r="U828" s="242"/>
      <c r="V828" s="242"/>
      <c r="W828" s="242"/>
      <c r="X828" s="242"/>
      <c r="Y828" s="242"/>
      <c r="Z828" s="242"/>
      <c r="AA828" s="242"/>
    </row>
    <row r="829">
      <c r="A829" s="242"/>
      <c r="B829" s="242"/>
      <c r="C829" s="13"/>
      <c r="D829" s="242"/>
      <c r="E829" s="242"/>
      <c r="F829" s="242"/>
      <c r="G829" s="242"/>
      <c r="H829" s="13"/>
      <c r="I829" s="13"/>
      <c r="J829" s="13"/>
      <c r="K829" s="13"/>
      <c r="L829" s="242"/>
      <c r="M829" s="242"/>
      <c r="N829" s="242"/>
      <c r="O829" s="242"/>
      <c r="P829" s="242"/>
      <c r="Q829" s="242"/>
      <c r="R829" s="242"/>
      <c r="S829" s="242"/>
      <c r="T829" s="242"/>
      <c r="U829" s="242"/>
      <c r="V829" s="242"/>
      <c r="W829" s="242"/>
      <c r="X829" s="242"/>
      <c r="Y829" s="242"/>
      <c r="Z829" s="242"/>
      <c r="AA829" s="242"/>
    </row>
    <row r="830">
      <c r="A830" s="242"/>
      <c r="B830" s="242"/>
      <c r="C830" s="13"/>
      <c r="D830" s="242"/>
      <c r="E830" s="242"/>
      <c r="F830" s="242"/>
      <c r="G830" s="242"/>
      <c r="H830" s="13"/>
      <c r="I830" s="13"/>
      <c r="J830" s="13"/>
      <c r="K830" s="13"/>
      <c r="L830" s="242"/>
      <c r="M830" s="242"/>
      <c r="N830" s="242"/>
      <c r="O830" s="242"/>
      <c r="P830" s="242"/>
      <c r="Q830" s="242"/>
      <c r="R830" s="242"/>
      <c r="S830" s="242"/>
      <c r="T830" s="242"/>
      <c r="U830" s="242"/>
      <c r="V830" s="242"/>
      <c r="W830" s="242"/>
      <c r="X830" s="242"/>
      <c r="Y830" s="242"/>
      <c r="Z830" s="242"/>
      <c r="AA830" s="242"/>
    </row>
    <row r="831">
      <c r="A831" s="242"/>
      <c r="B831" s="242"/>
      <c r="C831" s="13"/>
      <c r="D831" s="242"/>
      <c r="E831" s="242"/>
      <c r="F831" s="242"/>
      <c r="G831" s="242"/>
      <c r="H831" s="13"/>
      <c r="I831" s="13"/>
      <c r="J831" s="13"/>
      <c r="K831" s="13"/>
      <c r="L831" s="242"/>
      <c r="M831" s="242"/>
      <c r="N831" s="242"/>
      <c r="O831" s="242"/>
      <c r="P831" s="242"/>
      <c r="Q831" s="242"/>
      <c r="R831" s="242"/>
      <c r="S831" s="242"/>
      <c r="T831" s="242"/>
      <c r="U831" s="242"/>
      <c r="V831" s="242"/>
      <c r="W831" s="242"/>
      <c r="X831" s="242"/>
      <c r="Y831" s="242"/>
      <c r="Z831" s="242"/>
      <c r="AA831" s="242"/>
    </row>
    <row r="832">
      <c r="A832" s="242"/>
      <c r="B832" s="242"/>
      <c r="C832" s="13"/>
      <c r="D832" s="242"/>
      <c r="E832" s="242"/>
      <c r="F832" s="242"/>
      <c r="G832" s="242"/>
      <c r="H832" s="13"/>
      <c r="I832" s="13"/>
      <c r="J832" s="13"/>
      <c r="K832" s="13"/>
      <c r="L832" s="242"/>
      <c r="M832" s="242"/>
      <c r="N832" s="242"/>
      <c r="O832" s="242"/>
      <c r="P832" s="242"/>
      <c r="Q832" s="242"/>
      <c r="R832" s="242"/>
      <c r="S832" s="242"/>
      <c r="T832" s="242"/>
      <c r="U832" s="242"/>
      <c r="V832" s="242"/>
      <c r="W832" s="242"/>
      <c r="X832" s="242"/>
      <c r="Y832" s="242"/>
      <c r="Z832" s="242"/>
      <c r="AA832" s="242"/>
    </row>
    <row r="833">
      <c r="A833" s="242"/>
      <c r="B833" s="242"/>
      <c r="C833" s="13"/>
      <c r="D833" s="242"/>
      <c r="E833" s="242"/>
      <c r="F833" s="242"/>
      <c r="G833" s="242"/>
      <c r="H833" s="13"/>
      <c r="I833" s="13"/>
      <c r="J833" s="13"/>
      <c r="K833" s="13"/>
      <c r="L833" s="242"/>
      <c r="M833" s="242"/>
      <c r="N833" s="242"/>
      <c r="O833" s="242"/>
      <c r="P833" s="242"/>
      <c r="Q833" s="242"/>
      <c r="R833" s="242"/>
      <c r="S833" s="242"/>
      <c r="T833" s="242"/>
      <c r="U833" s="242"/>
      <c r="V833" s="242"/>
      <c r="W833" s="242"/>
      <c r="X833" s="242"/>
      <c r="Y833" s="242"/>
      <c r="Z833" s="242"/>
      <c r="AA833" s="242"/>
    </row>
    <row r="834">
      <c r="A834" s="242"/>
      <c r="B834" s="242"/>
      <c r="C834" s="13"/>
      <c r="D834" s="242"/>
      <c r="E834" s="242"/>
      <c r="F834" s="242"/>
      <c r="G834" s="242"/>
      <c r="H834" s="13"/>
      <c r="I834" s="13"/>
      <c r="J834" s="13"/>
      <c r="K834" s="13"/>
      <c r="L834" s="242"/>
      <c r="M834" s="242"/>
      <c r="N834" s="242"/>
      <c r="O834" s="242"/>
      <c r="P834" s="242"/>
      <c r="Q834" s="242"/>
      <c r="R834" s="242"/>
      <c r="S834" s="242"/>
      <c r="T834" s="242"/>
      <c r="U834" s="242"/>
      <c r="V834" s="242"/>
      <c r="W834" s="242"/>
      <c r="X834" s="242"/>
      <c r="Y834" s="242"/>
      <c r="Z834" s="242"/>
      <c r="AA834" s="242"/>
    </row>
    <row r="835">
      <c r="A835" s="242"/>
      <c r="B835" s="242"/>
      <c r="C835" s="13"/>
      <c r="D835" s="242"/>
      <c r="E835" s="242"/>
      <c r="F835" s="242"/>
      <c r="G835" s="242"/>
      <c r="H835" s="13"/>
      <c r="I835" s="13"/>
      <c r="J835" s="13"/>
      <c r="K835" s="13"/>
      <c r="L835" s="242"/>
      <c r="M835" s="242"/>
      <c r="N835" s="242"/>
      <c r="O835" s="242"/>
      <c r="P835" s="242"/>
      <c r="Q835" s="242"/>
      <c r="R835" s="242"/>
      <c r="S835" s="242"/>
      <c r="T835" s="242"/>
      <c r="U835" s="242"/>
      <c r="V835" s="242"/>
      <c r="W835" s="242"/>
      <c r="X835" s="242"/>
      <c r="Y835" s="242"/>
      <c r="Z835" s="242"/>
      <c r="AA835" s="242"/>
    </row>
    <row r="836">
      <c r="A836" s="242"/>
      <c r="B836" s="242"/>
      <c r="C836" s="13"/>
      <c r="D836" s="242"/>
      <c r="E836" s="242"/>
      <c r="F836" s="242"/>
      <c r="G836" s="242"/>
      <c r="H836" s="13"/>
      <c r="I836" s="13"/>
      <c r="J836" s="13"/>
      <c r="K836" s="13"/>
      <c r="L836" s="242"/>
      <c r="M836" s="242"/>
      <c r="N836" s="242"/>
      <c r="O836" s="242"/>
      <c r="P836" s="242"/>
      <c r="Q836" s="242"/>
      <c r="R836" s="242"/>
      <c r="S836" s="242"/>
      <c r="T836" s="242"/>
      <c r="U836" s="242"/>
      <c r="V836" s="242"/>
      <c r="W836" s="242"/>
      <c r="X836" s="242"/>
      <c r="Y836" s="242"/>
      <c r="Z836" s="242"/>
      <c r="AA836" s="242"/>
    </row>
    <row r="837">
      <c r="A837" s="242"/>
      <c r="B837" s="242"/>
      <c r="C837" s="13"/>
      <c r="D837" s="242"/>
      <c r="E837" s="242"/>
      <c r="F837" s="242"/>
      <c r="G837" s="242"/>
      <c r="H837" s="13"/>
      <c r="I837" s="13"/>
      <c r="J837" s="13"/>
      <c r="K837" s="13"/>
      <c r="L837" s="242"/>
      <c r="M837" s="242"/>
      <c r="N837" s="242"/>
      <c r="O837" s="242"/>
      <c r="P837" s="242"/>
      <c r="Q837" s="242"/>
      <c r="R837" s="242"/>
      <c r="S837" s="242"/>
      <c r="T837" s="242"/>
      <c r="U837" s="242"/>
      <c r="V837" s="242"/>
      <c r="W837" s="242"/>
      <c r="X837" s="242"/>
      <c r="Y837" s="242"/>
      <c r="Z837" s="242"/>
      <c r="AA837" s="242"/>
    </row>
    <row r="838">
      <c r="A838" s="242"/>
      <c r="B838" s="242"/>
      <c r="C838" s="13"/>
      <c r="D838" s="242"/>
      <c r="E838" s="242"/>
      <c r="F838" s="242"/>
      <c r="G838" s="242"/>
      <c r="H838" s="13"/>
      <c r="I838" s="13"/>
      <c r="J838" s="13"/>
      <c r="K838" s="13"/>
      <c r="L838" s="242"/>
      <c r="M838" s="242"/>
      <c r="N838" s="242"/>
      <c r="O838" s="242"/>
      <c r="P838" s="242"/>
      <c r="Q838" s="242"/>
      <c r="R838" s="242"/>
      <c r="S838" s="242"/>
      <c r="T838" s="242"/>
      <c r="U838" s="242"/>
      <c r="V838" s="242"/>
      <c r="W838" s="242"/>
      <c r="X838" s="242"/>
      <c r="Y838" s="242"/>
      <c r="Z838" s="242"/>
      <c r="AA838" s="242"/>
    </row>
    <row r="839">
      <c r="A839" s="242"/>
      <c r="B839" s="242"/>
      <c r="C839" s="13"/>
      <c r="D839" s="242"/>
      <c r="E839" s="242"/>
      <c r="F839" s="242"/>
      <c r="G839" s="242"/>
      <c r="H839" s="13"/>
      <c r="I839" s="13"/>
      <c r="J839" s="13"/>
      <c r="K839" s="13"/>
      <c r="L839" s="242"/>
      <c r="M839" s="242"/>
      <c r="N839" s="242"/>
      <c r="O839" s="242"/>
      <c r="P839" s="242"/>
      <c r="Q839" s="242"/>
      <c r="R839" s="242"/>
      <c r="S839" s="242"/>
      <c r="T839" s="242"/>
      <c r="U839" s="242"/>
      <c r="V839" s="242"/>
      <c r="W839" s="242"/>
      <c r="X839" s="242"/>
      <c r="Y839" s="242"/>
      <c r="Z839" s="242"/>
      <c r="AA839" s="242"/>
    </row>
    <row r="840">
      <c r="A840" s="242"/>
      <c r="B840" s="242"/>
      <c r="C840" s="13"/>
      <c r="D840" s="242"/>
      <c r="E840" s="242"/>
      <c r="F840" s="242"/>
      <c r="G840" s="242"/>
      <c r="H840" s="13"/>
      <c r="I840" s="13"/>
      <c r="J840" s="13"/>
      <c r="K840" s="13"/>
      <c r="L840" s="242"/>
      <c r="M840" s="242"/>
      <c r="N840" s="242"/>
      <c r="O840" s="242"/>
      <c r="P840" s="242"/>
      <c r="Q840" s="242"/>
      <c r="R840" s="242"/>
      <c r="S840" s="242"/>
      <c r="T840" s="242"/>
      <c r="U840" s="242"/>
      <c r="V840" s="242"/>
      <c r="W840" s="242"/>
      <c r="X840" s="242"/>
      <c r="Y840" s="242"/>
      <c r="Z840" s="242"/>
      <c r="AA840" s="242"/>
    </row>
    <row r="841">
      <c r="A841" s="242"/>
      <c r="B841" s="242"/>
      <c r="C841" s="13"/>
      <c r="D841" s="242"/>
      <c r="E841" s="242"/>
      <c r="F841" s="242"/>
      <c r="G841" s="242"/>
      <c r="H841" s="13"/>
      <c r="I841" s="13"/>
      <c r="J841" s="13"/>
      <c r="K841" s="13"/>
      <c r="L841" s="242"/>
      <c r="M841" s="242"/>
      <c r="N841" s="242"/>
      <c r="O841" s="242"/>
      <c r="P841" s="242"/>
      <c r="Q841" s="242"/>
      <c r="R841" s="242"/>
      <c r="S841" s="242"/>
      <c r="T841" s="242"/>
      <c r="U841" s="242"/>
      <c r="V841" s="242"/>
      <c r="W841" s="242"/>
      <c r="X841" s="242"/>
      <c r="Y841" s="242"/>
      <c r="Z841" s="242"/>
      <c r="AA841" s="242"/>
    </row>
    <row r="842">
      <c r="A842" s="242"/>
      <c r="B842" s="242"/>
      <c r="C842" s="13"/>
      <c r="D842" s="242"/>
      <c r="E842" s="242"/>
      <c r="F842" s="242"/>
      <c r="G842" s="242"/>
      <c r="H842" s="13"/>
      <c r="I842" s="13"/>
      <c r="J842" s="13"/>
      <c r="K842" s="13"/>
      <c r="L842" s="242"/>
      <c r="M842" s="242"/>
      <c r="N842" s="242"/>
      <c r="O842" s="242"/>
      <c r="P842" s="242"/>
      <c r="Q842" s="242"/>
      <c r="R842" s="242"/>
      <c r="S842" s="242"/>
      <c r="T842" s="242"/>
      <c r="U842" s="242"/>
      <c r="V842" s="242"/>
      <c r="W842" s="242"/>
      <c r="X842" s="242"/>
      <c r="Y842" s="242"/>
      <c r="Z842" s="242"/>
      <c r="AA842" s="242"/>
    </row>
    <row r="843">
      <c r="A843" s="242"/>
      <c r="B843" s="242"/>
      <c r="C843" s="13"/>
      <c r="D843" s="242"/>
      <c r="E843" s="242"/>
      <c r="F843" s="242"/>
      <c r="G843" s="242"/>
      <c r="H843" s="13"/>
      <c r="I843" s="13"/>
      <c r="J843" s="13"/>
      <c r="K843" s="13"/>
      <c r="L843" s="242"/>
      <c r="M843" s="242"/>
      <c r="N843" s="242"/>
      <c r="O843" s="242"/>
      <c r="P843" s="242"/>
      <c r="Q843" s="242"/>
      <c r="R843" s="242"/>
      <c r="S843" s="242"/>
      <c r="T843" s="242"/>
      <c r="U843" s="242"/>
      <c r="V843" s="242"/>
      <c r="W843" s="242"/>
      <c r="X843" s="242"/>
      <c r="Y843" s="242"/>
      <c r="Z843" s="242"/>
      <c r="AA843" s="242"/>
    </row>
    <row r="844">
      <c r="A844" s="242"/>
      <c r="B844" s="242"/>
      <c r="C844" s="13"/>
      <c r="D844" s="242"/>
      <c r="E844" s="242"/>
      <c r="F844" s="242"/>
      <c r="G844" s="242"/>
      <c r="H844" s="13"/>
      <c r="I844" s="13"/>
      <c r="J844" s="13"/>
      <c r="K844" s="13"/>
      <c r="L844" s="242"/>
      <c r="M844" s="242"/>
      <c r="N844" s="242"/>
      <c r="O844" s="242"/>
      <c r="P844" s="242"/>
      <c r="Q844" s="242"/>
      <c r="R844" s="242"/>
      <c r="S844" s="242"/>
      <c r="T844" s="242"/>
      <c r="U844" s="242"/>
      <c r="V844" s="242"/>
      <c r="W844" s="242"/>
      <c r="X844" s="242"/>
      <c r="Y844" s="242"/>
      <c r="Z844" s="242"/>
      <c r="AA844" s="242"/>
    </row>
    <row r="845">
      <c r="A845" s="242"/>
      <c r="B845" s="242"/>
      <c r="C845" s="13"/>
      <c r="D845" s="242"/>
      <c r="E845" s="242"/>
      <c r="F845" s="242"/>
      <c r="G845" s="242"/>
      <c r="H845" s="13"/>
      <c r="I845" s="13"/>
      <c r="J845" s="13"/>
      <c r="K845" s="13"/>
      <c r="L845" s="242"/>
      <c r="M845" s="242"/>
      <c r="N845" s="242"/>
      <c r="O845" s="242"/>
      <c r="P845" s="242"/>
      <c r="Q845" s="242"/>
      <c r="R845" s="242"/>
      <c r="S845" s="242"/>
      <c r="T845" s="242"/>
      <c r="U845" s="242"/>
      <c r="V845" s="242"/>
      <c r="W845" s="242"/>
      <c r="X845" s="242"/>
      <c r="Y845" s="242"/>
      <c r="Z845" s="242"/>
      <c r="AA845" s="242"/>
    </row>
    <row r="846">
      <c r="A846" s="242"/>
      <c r="B846" s="242"/>
      <c r="C846" s="13"/>
      <c r="D846" s="242"/>
      <c r="E846" s="242"/>
      <c r="F846" s="242"/>
      <c r="G846" s="242"/>
      <c r="H846" s="13"/>
      <c r="I846" s="13"/>
      <c r="J846" s="13"/>
      <c r="K846" s="13"/>
      <c r="L846" s="242"/>
      <c r="M846" s="242"/>
      <c r="N846" s="242"/>
      <c r="O846" s="242"/>
      <c r="P846" s="242"/>
      <c r="Q846" s="242"/>
      <c r="R846" s="242"/>
      <c r="S846" s="242"/>
      <c r="T846" s="242"/>
      <c r="U846" s="242"/>
      <c r="V846" s="242"/>
      <c r="W846" s="242"/>
      <c r="X846" s="242"/>
      <c r="Y846" s="242"/>
      <c r="Z846" s="242"/>
      <c r="AA846" s="242"/>
    </row>
    <row r="847">
      <c r="A847" s="242"/>
      <c r="B847" s="242"/>
      <c r="C847" s="13"/>
      <c r="D847" s="242"/>
      <c r="E847" s="242"/>
      <c r="F847" s="242"/>
      <c r="G847" s="242"/>
      <c r="H847" s="13"/>
      <c r="I847" s="13"/>
      <c r="J847" s="13"/>
      <c r="K847" s="13"/>
      <c r="L847" s="242"/>
      <c r="M847" s="242"/>
      <c r="N847" s="242"/>
      <c r="O847" s="242"/>
      <c r="P847" s="242"/>
      <c r="Q847" s="242"/>
      <c r="R847" s="242"/>
      <c r="S847" s="242"/>
      <c r="T847" s="242"/>
      <c r="U847" s="242"/>
      <c r="V847" s="242"/>
      <c r="W847" s="242"/>
      <c r="X847" s="242"/>
      <c r="Y847" s="242"/>
      <c r="Z847" s="242"/>
      <c r="AA847" s="242"/>
    </row>
    <row r="848">
      <c r="A848" s="242"/>
      <c r="B848" s="242"/>
      <c r="C848" s="13"/>
      <c r="D848" s="242"/>
      <c r="E848" s="242"/>
      <c r="F848" s="242"/>
      <c r="G848" s="242"/>
      <c r="H848" s="13"/>
      <c r="I848" s="13"/>
      <c r="J848" s="13"/>
      <c r="K848" s="13"/>
      <c r="L848" s="242"/>
      <c r="M848" s="242"/>
      <c r="N848" s="242"/>
      <c r="O848" s="242"/>
      <c r="P848" s="242"/>
      <c r="Q848" s="242"/>
      <c r="R848" s="242"/>
      <c r="S848" s="242"/>
      <c r="T848" s="242"/>
      <c r="U848" s="242"/>
      <c r="V848" s="242"/>
      <c r="W848" s="242"/>
      <c r="X848" s="242"/>
      <c r="Y848" s="242"/>
      <c r="Z848" s="242"/>
      <c r="AA848" s="242"/>
    </row>
    <row r="849">
      <c r="A849" s="242"/>
      <c r="B849" s="242"/>
      <c r="C849" s="13"/>
      <c r="D849" s="242"/>
      <c r="E849" s="242"/>
      <c r="F849" s="242"/>
      <c r="G849" s="242"/>
      <c r="H849" s="13"/>
      <c r="I849" s="13"/>
      <c r="J849" s="13"/>
      <c r="K849" s="13"/>
      <c r="L849" s="242"/>
      <c r="M849" s="242"/>
      <c r="N849" s="242"/>
      <c r="O849" s="242"/>
      <c r="P849" s="242"/>
      <c r="Q849" s="242"/>
      <c r="R849" s="242"/>
      <c r="S849" s="242"/>
      <c r="T849" s="242"/>
      <c r="U849" s="242"/>
      <c r="V849" s="242"/>
      <c r="W849" s="242"/>
      <c r="X849" s="242"/>
      <c r="Y849" s="242"/>
      <c r="Z849" s="242"/>
      <c r="AA849" s="242"/>
    </row>
    <row r="850">
      <c r="A850" s="242"/>
      <c r="B850" s="242"/>
      <c r="C850" s="13"/>
      <c r="D850" s="242"/>
      <c r="E850" s="242"/>
      <c r="F850" s="242"/>
      <c r="G850" s="242"/>
      <c r="H850" s="13"/>
      <c r="I850" s="13"/>
      <c r="J850" s="13"/>
      <c r="K850" s="13"/>
      <c r="L850" s="242"/>
      <c r="M850" s="242"/>
      <c r="N850" s="242"/>
      <c r="O850" s="242"/>
      <c r="P850" s="242"/>
      <c r="Q850" s="242"/>
      <c r="R850" s="242"/>
      <c r="S850" s="242"/>
      <c r="T850" s="242"/>
      <c r="U850" s="242"/>
      <c r="V850" s="242"/>
      <c r="W850" s="242"/>
      <c r="X850" s="242"/>
      <c r="Y850" s="242"/>
      <c r="Z850" s="242"/>
      <c r="AA850" s="242"/>
    </row>
    <row r="851">
      <c r="A851" s="242"/>
      <c r="B851" s="242"/>
      <c r="C851" s="13"/>
      <c r="D851" s="242"/>
      <c r="E851" s="242"/>
      <c r="F851" s="242"/>
      <c r="G851" s="242"/>
      <c r="H851" s="13"/>
      <c r="I851" s="13"/>
      <c r="J851" s="13"/>
      <c r="K851" s="13"/>
      <c r="L851" s="242"/>
      <c r="M851" s="242"/>
      <c r="N851" s="242"/>
      <c r="O851" s="242"/>
      <c r="P851" s="242"/>
      <c r="Q851" s="242"/>
      <c r="R851" s="242"/>
      <c r="S851" s="242"/>
      <c r="T851" s="242"/>
      <c r="U851" s="242"/>
      <c r="V851" s="242"/>
      <c r="W851" s="242"/>
      <c r="X851" s="242"/>
      <c r="Y851" s="242"/>
      <c r="Z851" s="242"/>
      <c r="AA851" s="242"/>
    </row>
    <row r="852">
      <c r="A852" s="242"/>
      <c r="B852" s="242"/>
      <c r="C852" s="13"/>
      <c r="D852" s="242"/>
      <c r="E852" s="242"/>
      <c r="F852" s="242"/>
      <c r="G852" s="242"/>
      <c r="H852" s="13"/>
      <c r="I852" s="13"/>
      <c r="J852" s="13"/>
      <c r="K852" s="13"/>
      <c r="L852" s="242"/>
      <c r="M852" s="242"/>
      <c r="N852" s="242"/>
      <c r="O852" s="242"/>
      <c r="P852" s="242"/>
      <c r="Q852" s="242"/>
      <c r="R852" s="242"/>
      <c r="S852" s="242"/>
      <c r="T852" s="242"/>
      <c r="U852" s="242"/>
      <c r="V852" s="242"/>
      <c r="W852" s="242"/>
      <c r="X852" s="242"/>
      <c r="Y852" s="242"/>
      <c r="Z852" s="242"/>
      <c r="AA852" s="242"/>
    </row>
    <row r="853">
      <c r="A853" s="242"/>
      <c r="B853" s="242"/>
      <c r="C853" s="13"/>
      <c r="D853" s="242"/>
      <c r="E853" s="242"/>
      <c r="F853" s="242"/>
      <c r="G853" s="242"/>
      <c r="H853" s="13"/>
      <c r="I853" s="13"/>
      <c r="J853" s="13"/>
      <c r="K853" s="13"/>
      <c r="L853" s="242"/>
      <c r="M853" s="242"/>
      <c r="N853" s="242"/>
      <c r="O853" s="242"/>
      <c r="P853" s="242"/>
      <c r="Q853" s="242"/>
      <c r="R853" s="242"/>
      <c r="S853" s="242"/>
      <c r="T853" s="242"/>
      <c r="U853" s="242"/>
      <c r="V853" s="242"/>
      <c r="W853" s="242"/>
      <c r="X853" s="242"/>
      <c r="Y853" s="242"/>
      <c r="Z853" s="242"/>
      <c r="AA853" s="242"/>
    </row>
    <row r="854">
      <c r="A854" s="242"/>
      <c r="B854" s="242"/>
      <c r="C854" s="13"/>
      <c r="D854" s="242"/>
      <c r="E854" s="242"/>
      <c r="F854" s="242"/>
      <c r="G854" s="242"/>
      <c r="H854" s="13"/>
      <c r="I854" s="13"/>
      <c r="J854" s="13"/>
      <c r="K854" s="13"/>
      <c r="L854" s="242"/>
      <c r="M854" s="242"/>
      <c r="N854" s="242"/>
      <c r="O854" s="242"/>
      <c r="P854" s="242"/>
      <c r="Q854" s="242"/>
      <c r="R854" s="242"/>
      <c r="S854" s="242"/>
      <c r="T854" s="242"/>
      <c r="U854" s="242"/>
      <c r="V854" s="242"/>
      <c r="W854" s="242"/>
      <c r="X854" s="242"/>
      <c r="Y854" s="242"/>
      <c r="Z854" s="242"/>
      <c r="AA854" s="242"/>
    </row>
    <row r="855">
      <c r="A855" s="242"/>
      <c r="B855" s="242"/>
      <c r="C855" s="13"/>
      <c r="D855" s="242"/>
      <c r="E855" s="242"/>
      <c r="F855" s="242"/>
      <c r="G855" s="242"/>
      <c r="H855" s="13"/>
      <c r="I855" s="13"/>
      <c r="J855" s="13"/>
      <c r="K855" s="13"/>
      <c r="L855" s="242"/>
      <c r="M855" s="242"/>
      <c r="N855" s="242"/>
      <c r="O855" s="242"/>
      <c r="P855" s="242"/>
      <c r="Q855" s="242"/>
      <c r="R855" s="242"/>
      <c r="S855" s="242"/>
      <c r="T855" s="242"/>
      <c r="U855" s="242"/>
      <c r="V855" s="242"/>
      <c r="W855" s="242"/>
      <c r="X855" s="242"/>
      <c r="Y855" s="242"/>
      <c r="Z855" s="242"/>
      <c r="AA855" s="242"/>
    </row>
    <row r="856">
      <c r="A856" s="242"/>
      <c r="B856" s="242"/>
      <c r="C856" s="13"/>
      <c r="D856" s="242"/>
      <c r="E856" s="242"/>
      <c r="F856" s="242"/>
      <c r="G856" s="242"/>
      <c r="H856" s="13"/>
      <c r="I856" s="13"/>
      <c r="J856" s="13"/>
      <c r="K856" s="13"/>
      <c r="L856" s="242"/>
      <c r="M856" s="242"/>
      <c r="N856" s="242"/>
      <c r="O856" s="242"/>
      <c r="P856" s="242"/>
      <c r="Q856" s="242"/>
      <c r="R856" s="242"/>
      <c r="S856" s="242"/>
      <c r="T856" s="242"/>
      <c r="U856" s="242"/>
      <c r="V856" s="242"/>
      <c r="W856" s="242"/>
      <c r="X856" s="242"/>
      <c r="Y856" s="242"/>
      <c r="Z856" s="242"/>
      <c r="AA856" s="242"/>
    </row>
    <row r="857">
      <c r="A857" s="242"/>
      <c r="B857" s="242"/>
      <c r="C857" s="13"/>
      <c r="D857" s="242"/>
      <c r="E857" s="242"/>
      <c r="F857" s="242"/>
      <c r="G857" s="242"/>
      <c r="H857" s="13"/>
      <c r="I857" s="13"/>
      <c r="J857" s="13"/>
      <c r="K857" s="13"/>
      <c r="L857" s="242"/>
      <c r="M857" s="242"/>
      <c r="N857" s="242"/>
      <c r="O857" s="242"/>
      <c r="P857" s="242"/>
      <c r="Q857" s="242"/>
      <c r="R857" s="242"/>
      <c r="S857" s="242"/>
      <c r="T857" s="242"/>
      <c r="U857" s="242"/>
      <c r="V857" s="242"/>
      <c r="W857" s="242"/>
      <c r="X857" s="242"/>
      <c r="Y857" s="242"/>
      <c r="Z857" s="242"/>
      <c r="AA857" s="242"/>
    </row>
    <row r="858">
      <c r="A858" s="242"/>
      <c r="B858" s="242"/>
      <c r="C858" s="13"/>
      <c r="D858" s="242"/>
      <c r="E858" s="242"/>
      <c r="F858" s="242"/>
      <c r="G858" s="242"/>
      <c r="H858" s="13"/>
      <c r="I858" s="13"/>
      <c r="J858" s="13"/>
      <c r="K858" s="13"/>
      <c r="L858" s="242"/>
      <c r="M858" s="242"/>
      <c r="N858" s="242"/>
      <c r="O858" s="242"/>
      <c r="P858" s="242"/>
      <c r="Q858" s="242"/>
      <c r="R858" s="242"/>
      <c r="S858" s="242"/>
      <c r="T858" s="242"/>
      <c r="U858" s="242"/>
      <c r="V858" s="242"/>
      <c r="W858" s="242"/>
      <c r="X858" s="242"/>
      <c r="Y858" s="242"/>
      <c r="Z858" s="242"/>
      <c r="AA858" s="242"/>
    </row>
    <row r="859">
      <c r="A859" s="242"/>
      <c r="B859" s="242"/>
      <c r="C859" s="13"/>
      <c r="D859" s="242"/>
      <c r="E859" s="242"/>
      <c r="F859" s="242"/>
      <c r="G859" s="242"/>
      <c r="H859" s="13"/>
      <c r="I859" s="13"/>
      <c r="J859" s="13"/>
      <c r="K859" s="13"/>
      <c r="L859" s="242"/>
      <c r="M859" s="242"/>
      <c r="N859" s="242"/>
      <c r="O859" s="242"/>
      <c r="P859" s="242"/>
      <c r="Q859" s="242"/>
      <c r="R859" s="242"/>
      <c r="S859" s="242"/>
      <c r="T859" s="242"/>
      <c r="U859" s="242"/>
      <c r="V859" s="242"/>
      <c r="W859" s="242"/>
      <c r="X859" s="242"/>
      <c r="Y859" s="242"/>
      <c r="Z859" s="242"/>
      <c r="AA859" s="242"/>
    </row>
    <row r="860">
      <c r="A860" s="242"/>
      <c r="B860" s="242"/>
      <c r="C860" s="13"/>
      <c r="D860" s="242"/>
      <c r="E860" s="242"/>
      <c r="F860" s="242"/>
      <c r="G860" s="242"/>
      <c r="H860" s="13"/>
      <c r="I860" s="13"/>
      <c r="J860" s="13"/>
      <c r="K860" s="13"/>
      <c r="L860" s="242"/>
      <c r="M860" s="242"/>
      <c r="N860" s="242"/>
      <c r="O860" s="242"/>
      <c r="P860" s="242"/>
      <c r="Q860" s="242"/>
      <c r="R860" s="242"/>
      <c r="S860" s="242"/>
      <c r="T860" s="242"/>
      <c r="U860" s="242"/>
      <c r="V860" s="242"/>
      <c r="W860" s="242"/>
      <c r="X860" s="242"/>
      <c r="Y860" s="242"/>
      <c r="Z860" s="242"/>
      <c r="AA860" s="242"/>
    </row>
    <row r="861">
      <c r="A861" s="242"/>
      <c r="B861" s="242"/>
      <c r="C861" s="13"/>
      <c r="D861" s="242"/>
      <c r="E861" s="242"/>
      <c r="F861" s="242"/>
      <c r="G861" s="242"/>
      <c r="H861" s="13"/>
      <c r="I861" s="13"/>
      <c r="J861" s="13"/>
      <c r="K861" s="13"/>
      <c r="L861" s="242"/>
      <c r="M861" s="242"/>
      <c r="N861" s="242"/>
      <c r="O861" s="242"/>
      <c r="P861" s="242"/>
      <c r="Q861" s="242"/>
      <c r="R861" s="242"/>
      <c r="S861" s="242"/>
      <c r="T861" s="242"/>
      <c r="U861" s="242"/>
      <c r="V861" s="242"/>
      <c r="W861" s="242"/>
      <c r="X861" s="242"/>
      <c r="Y861" s="242"/>
      <c r="Z861" s="242"/>
      <c r="AA861" s="242"/>
    </row>
    <row r="862">
      <c r="A862" s="242"/>
      <c r="B862" s="242"/>
      <c r="C862" s="13"/>
      <c r="D862" s="242"/>
      <c r="E862" s="242"/>
      <c r="F862" s="242"/>
      <c r="G862" s="242"/>
      <c r="H862" s="13"/>
      <c r="I862" s="13"/>
      <c r="J862" s="13"/>
      <c r="K862" s="13"/>
      <c r="L862" s="242"/>
      <c r="M862" s="242"/>
      <c r="N862" s="242"/>
      <c r="O862" s="242"/>
      <c r="P862" s="242"/>
      <c r="Q862" s="242"/>
      <c r="R862" s="242"/>
      <c r="S862" s="242"/>
      <c r="T862" s="242"/>
      <c r="U862" s="242"/>
      <c r="V862" s="242"/>
      <c r="W862" s="242"/>
      <c r="X862" s="242"/>
      <c r="Y862" s="242"/>
      <c r="Z862" s="242"/>
      <c r="AA862" s="242"/>
    </row>
    <row r="863">
      <c r="A863" s="242"/>
      <c r="B863" s="242"/>
      <c r="C863" s="13"/>
      <c r="D863" s="242"/>
      <c r="E863" s="242"/>
      <c r="F863" s="242"/>
      <c r="G863" s="242"/>
      <c r="H863" s="13"/>
      <c r="I863" s="13"/>
      <c r="J863" s="13"/>
      <c r="K863" s="13"/>
      <c r="L863" s="242"/>
      <c r="M863" s="242"/>
      <c r="N863" s="242"/>
      <c r="O863" s="242"/>
      <c r="P863" s="242"/>
      <c r="Q863" s="242"/>
      <c r="R863" s="242"/>
      <c r="S863" s="242"/>
      <c r="T863" s="242"/>
      <c r="U863" s="242"/>
      <c r="V863" s="242"/>
      <c r="W863" s="242"/>
      <c r="X863" s="242"/>
      <c r="Y863" s="242"/>
      <c r="Z863" s="242"/>
      <c r="AA863" s="242"/>
    </row>
    <row r="864">
      <c r="A864" s="242"/>
      <c r="B864" s="242"/>
      <c r="C864" s="13"/>
      <c r="D864" s="242"/>
      <c r="E864" s="242"/>
      <c r="F864" s="242"/>
      <c r="G864" s="242"/>
      <c r="H864" s="13"/>
      <c r="I864" s="13"/>
      <c r="J864" s="13"/>
      <c r="K864" s="13"/>
      <c r="L864" s="242"/>
      <c r="M864" s="242"/>
      <c r="N864" s="242"/>
      <c r="O864" s="242"/>
      <c r="P864" s="242"/>
      <c r="Q864" s="242"/>
      <c r="R864" s="242"/>
      <c r="S864" s="242"/>
      <c r="T864" s="242"/>
      <c r="U864" s="242"/>
      <c r="V864" s="242"/>
      <c r="W864" s="242"/>
      <c r="X864" s="242"/>
      <c r="Y864" s="242"/>
      <c r="Z864" s="242"/>
      <c r="AA864" s="242"/>
    </row>
    <row r="865">
      <c r="A865" s="242"/>
      <c r="B865" s="242"/>
      <c r="C865" s="13"/>
      <c r="D865" s="242"/>
      <c r="E865" s="242"/>
      <c r="F865" s="242"/>
      <c r="G865" s="242"/>
      <c r="H865" s="13"/>
      <c r="I865" s="13"/>
      <c r="J865" s="13"/>
      <c r="K865" s="13"/>
      <c r="L865" s="242"/>
      <c r="M865" s="242"/>
      <c r="N865" s="242"/>
      <c r="O865" s="242"/>
      <c r="P865" s="242"/>
      <c r="Q865" s="242"/>
      <c r="R865" s="242"/>
      <c r="S865" s="242"/>
      <c r="T865" s="242"/>
      <c r="U865" s="242"/>
      <c r="V865" s="242"/>
      <c r="W865" s="242"/>
      <c r="X865" s="242"/>
      <c r="Y865" s="242"/>
      <c r="Z865" s="242"/>
      <c r="AA865" s="242"/>
    </row>
    <row r="866">
      <c r="A866" s="242"/>
      <c r="B866" s="242"/>
      <c r="C866" s="13"/>
      <c r="D866" s="242"/>
      <c r="E866" s="242"/>
      <c r="F866" s="242"/>
      <c r="G866" s="242"/>
      <c r="H866" s="13"/>
      <c r="I866" s="13"/>
      <c r="J866" s="13"/>
      <c r="K866" s="13"/>
      <c r="L866" s="242"/>
      <c r="M866" s="242"/>
      <c r="N866" s="242"/>
      <c r="O866" s="242"/>
      <c r="P866" s="242"/>
      <c r="Q866" s="242"/>
      <c r="R866" s="242"/>
      <c r="S866" s="242"/>
      <c r="T866" s="242"/>
      <c r="U866" s="242"/>
      <c r="V866" s="242"/>
      <c r="W866" s="242"/>
      <c r="X866" s="242"/>
      <c r="Y866" s="242"/>
      <c r="Z866" s="242"/>
      <c r="AA866" s="242"/>
    </row>
    <row r="867">
      <c r="A867" s="242"/>
      <c r="B867" s="242"/>
      <c r="C867" s="13"/>
      <c r="D867" s="242"/>
      <c r="E867" s="242"/>
      <c r="F867" s="242"/>
      <c r="G867" s="242"/>
      <c r="H867" s="13"/>
      <c r="I867" s="13"/>
      <c r="J867" s="13"/>
      <c r="K867" s="13"/>
      <c r="L867" s="242"/>
      <c r="M867" s="242"/>
      <c r="N867" s="242"/>
      <c r="O867" s="242"/>
      <c r="P867" s="242"/>
      <c r="Q867" s="242"/>
      <c r="R867" s="242"/>
      <c r="S867" s="242"/>
      <c r="T867" s="242"/>
      <c r="U867" s="242"/>
      <c r="V867" s="242"/>
      <c r="W867" s="242"/>
      <c r="X867" s="242"/>
      <c r="Y867" s="242"/>
      <c r="Z867" s="242"/>
      <c r="AA867" s="242"/>
    </row>
    <row r="868">
      <c r="A868" s="242"/>
      <c r="B868" s="242"/>
      <c r="C868" s="13"/>
      <c r="D868" s="242"/>
      <c r="E868" s="242"/>
      <c r="F868" s="242"/>
      <c r="G868" s="242"/>
      <c r="H868" s="13"/>
      <c r="I868" s="13"/>
      <c r="J868" s="13"/>
      <c r="K868" s="13"/>
      <c r="L868" s="242"/>
      <c r="M868" s="242"/>
      <c r="N868" s="242"/>
      <c r="O868" s="242"/>
      <c r="P868" s="242"/>
      <c r="Q868" s="242"/>
      <c r="R868" s="242"/>
      <c r="S868" s="242"/>
      <c r="T868" s="242"/>
      <c r="U868" s="242"/>
      <c r="V868" s="242"/>
      <c r="W868" s="242"/>
      <c r="X868" s="242"/>
      <c r="Y868" s="242"/>
      <c r="Z868" s="242"/>
      <c r="AA868" s="242"/>
    </row>
    <row r="869">
      <c r="A869" s="242"/>
      <c r="B869" s="242"/>
      <c r="C869" s="13"/>
      <c r="D869" s="242"/>
      <c r="E869" s="242"/>
      <c r="F869" s="242"/>
      <c r="G869" s="242"/>
      <c r="H869" s="13"/>
      <c r="I869" s="13"/>
      <c r="J869" s="13"/>
      <c r="K869" s="13"/>
      <c r="L869" s="242"/>
      <c r="M869" s="242"/>
      <c r="N869" s="242"/>
      <c r="O869" s="242"/>
      <c r="P869" s="242"/>
      <c r="Q869" s="242"/>
      <c r="R869" s="242"/>
      <c r="S869" s="242"/>
      <c r="T869" s="242"/>
      <c r="U869" s="242"/>
      <c r="V869" s="242"/>
      <c r="W869" s="242"/>
      <c r="X869" s="242"/>
      <c r="Y869" s="242"/>
      <c r="Z869" s="242"/>
      <c r="AA869" s="242"/>
    </row>
    <row r="870">
      <c r="A870" s="242"/>
      <c r="B870" s="242"/>
      <c r="C870" s="13"/>
      <c r="D870" s="242"/>
      <c r="E870" s="242"/>
      <c r="F870" s="242"/>
      <c r="G870" s="242"/>
      <c r="H870" s="13"/>
      <c r="I870" s="13"/>
      <c r="J870" s="13"/>
      <c r="K870" s="13"/>
      <c r="L870" s="242"/>
      <c r="M870" s="242"/>
      <c r="N870" s="242"/>
      <c r="O870" s="242"/>
      <c r="P870" s="242"/>
      <c r="Q870" s="242"/>
      <c r="R870" s="242"/>
      <c r="S870" s="242"/>
      <c r="T870" s="242"/>
      <c r="U870" s="242"/>
      <c r="V870" s="242"/>
      <c r="W870" s="242"/>
      <c r="X870" s="242"/>
      <c r="Y870" s="242"/>
      <c r="Z870" s="242"/>
      <c r="AA870" s="242"/>
    </row>
    <row r="871">
      <c r="A871" s="242"/>
      <c r="B871" s="242"/>
      <c r="C871" s="13"/>
      <c r="D871" s="242"/>
      <c r="E871" s="242"/>
      <c r="F871" s="242"/>
      <c r="G871" s="242"/>
      <c r="H871" s="13"/>
      <c r="I871" s="13"/>
      <c r="J871" s="13"/>
      <c r="K871" s="13"/>
      <c r="L871" s="242"/>
      <c r="M871" s="242"/>
      <c r="N871" s="242"/>
      <c r="O871" s="242"/>
      <c r="P871" s="242"/>
      <c r="Q871" s="242"/>
      <c r="R871" s="242"/>
      <c r="S871" s="242"/>
      <c r="T871" s="242"/>
      <c r="U871" s="242"/>
      <c r="V871" s="242"/>
      <c r="W871" s="242"/>
      <c r="X871" s="242"/>
      <c r="Y871" s="242"/>
      <c r="Z871" s="242"/>
      <c r="AA871" s="242"/>
    </row>
    <row r="872">
      <c r="A872" s="242"/>
      <c r="B872" s="242"/>
      <c r="C872" s="13"/>
      <c r="D872" s="242"/>
      <c r="E872" s="242"/>
      <c r="F872" s="242"/>
      <c r="G872" s="242"/>
      <c r="H872" s="13"/>
      <c r="I872" s="13"/>
      <c r="J872" s="13"/>
      <c r="K872" s="13"/>
      <c r="L872" s="242"/>
      <c r="M872" s="242"/>
      <c r="N872" s="242"/>
      <c r="O872" s="242"/>
      <c r="P872" s="242"/>
      <c r="Q872" s="242"/>
      <c r="R872" s="242"/>
      <c r="S872" s="242"/>
      <c r="T872" s="242"/>
      <c r="U872" s="242"/>
      <c r="V872" s="242"/>
      <c r="W872" s="242"/>
      <c r="X872" s="242"/>
      <c r="Y872" s="242"/>
      <c r="Z872" s="242"/>
      <c r="AA872" s="242"/>
    </row>
    <row r="873">
      <c r="A873" s="242"/>
      <c r="B873" s="242"/>
      <c r="C873" s="13"/>
      <c r="D873" s="242"/>
      <c r="E873" s="242"/>
      <c r="F873" s="242"/>
      <c r="G873" s="242"/>
      <c r="H873" s="13"/>
      <c r="I873" s="13"/>
      <c r="J873" s="13"/>
      <c r="K873" s="13"/>
      <c r="L873" s="242"/>
      <c r="M873" s="242"/>
      <c r="N873" s="242"/>
      <c r="O873" s="242"/>
      <c r="P873" s="242"/>
      <c r="Q873" s="242"/>
      <c r="R873" s="242"/>
      <c r="S873" s="242"/>
      <c r="T873" s="242"/>
      <c r="U873" s="242"/>
      <c r="V873" s="242"/>
      <c r="W873" s="242"/>
      <c r="X873" s="242"/>
      <c r="Y873" s="242"/>
      <c r="Z873" s="242"/>
      <c r="AA873" s="242"/>
    </row>
    <row r="874">
      <c r="A874" s="242"/>
      <c r="B874" s="242"/>
      <c r="C874" s="13"/>
      <c r="D874" s="242"/>
      <c r="E874" s="242"/>
      <c r="F874" s="242"/>
      <c r="G874" s="242"/>
      <c r="H874" s="13"/>
      <c r="I874" s="13"/>
      <c r="J874" s="13"/>
      <c r="K874" s="13"/>
      <c r="L874" s="242"/>
      <c r="M874" s="242"/>
      <c r="N874" s="242"/>
      <c r="O874" s="242"/>
      <c r="P874" s="242"/>
      <c r="Q874" s="242"/>
      <c r="R874" s="242"/>
      <c r="S874" s="242"/>
      <c r="T874" s="242"/>
      <c r="U874" s="242"/>
      <c r="V874" s="242"/>
      <c r="W874" s="242"/>
      <c r="X874" s="242"/>
      <c r="Y874" s="242"/>
      <c r="Z874" s="242"/>
      <c r="AA874" s="242"/>
    </row>
    <row r="875">
      <c r="A875" s="242"/>
      <c r="B875" s="242"/>
      <c r="C875" s="13"/>
      <c r="D875" s="242"/>
      <c r="E875" s="242"/>
      <c r="F875" s="242"/>
      <c r="G875" s="242"/>
      <c r="H875" s="13"/>
      <c r="I875" s="13"/>
      <c r="J875" s="13"/>
      <c r="K875" s="13"/>
      <c r="L875" s="242"/>
      <c r="M875" s="242"/>
      <c r="N875" s="242"/>
      <c r="O875" s="242"/>
      <c r="P875" s="242"/>
      <c r="Q875" s="242"/>
      <c r="R875" s="242"/>
      <c r="S875" s="242"/>
      <c r="T875" s="242"/>
      <c r="U875" s="242"/>
      <c r="V875" s="242"/>
      <c r="W875" s="242"/>
      <c r="X875" s="242"/>
      <c r="Y875" s="242"/>
      <c r="Z875" s="242"/>
      <c r="AA875" s="242"/>
    </row>
    <row r="876">
      <c r="A876" s="242"/>
      <c r="B876" s="242"/>
      <c r="C876" s="13"/>
      <c r="D876" s="242"/>
      <c r="E876" s="242"/>
      <c r="F876" s="242"/>
      <c r="G876" s="242"/>
      <c r="H876" s="13"/>
      <c r="I876" s="13"/>
      <c r="J876" s="13"/>
      <c r="K876" s="13"/>
      <c r="L876" s="242"/>
      <c r="M876" s="242"/>
      <c r="N876" s="242"/>
      <c r="O876" s="242"/>
      <c r="P876" s="242"/>
      <c r="Q876" s="242"/>
      <c r="R876" s="242"/>
      <c r="S876" s="242"/>
      <c r="T876" s="242"/>
      <c r="U876" s="242"/>
      <c r="V876" s="242"/>
      <c r="W876" s="242"/>
      <c r="X876" s="242"/>
      <c r="Y876" s="242"/>
      <c r="Z876" s="242"/>
      <c r="AA876" s="242"/>
    </row>
    <row r="877">
      <c r="A877" s="242"/>
      <c r="B877" s="242"/>
      <c r="C877" s="13"/>
      <c r="D877" s="242"/>
      <c r="E877" s="242"/>
      <c r="F877" s="242"/>
      <c r="G877" s="242"/>
      <c r="H877" s="13"/>
      <c r="I877" s="13"/>
      <c r="J877" s="13"/>
      <c r="K877" s="13"/>
      <c r="L877" s="242"/>
      <c r="M877" s="242"/>
      <c r="N877" s="242"/>
      <c r="O877" s="242"/>
      <c r="P877" s="242"/>
      <c r="Q877" s="242"/>
      <c r="R877" s="242"/>
      <c r="S877" s="242"/>
      <c r="T877" s="242"/>
      <c r="U877" s="242"/>
      <c r="V877" s="242"/>
      <c r="W877" s="242"/>
      <c r="X877" s="242"/>
      <c r="Y877" s="242"/>
      <c r="Z877" s="242"/>
      <c r="AA877" s="242"/>
    </row>
    <row r="878">
      <c r="A878" s="242"/>
      <c r="B878" s="242"/>
      <c r="C878" s="13"/>
      <c r="D878" s="242"/>
      <c r="E878" s="242"/>
      <c r="F878" s="242"/>
      <c r="G878" s="242"/>
      <c r="H878" s="13"/>
      <c r="I878" s="13"/>
      <c r="J878" s="13"/>
      <c r="K878" s="13"/>
      <c r="L878" s="242"/>
      <c r="M878" s="242"/>
      <c r="N878" s="242"/>
      <c r="O878" s="242"/>
      <c r="P878" s="242"/>
      <c r="Q878" s="242"/>
      <c r="R878" s="242"/>
      <c r="S878" s="242"/>
      <c r="T878" s="242"/>
      <c r="U878" s="242"/>
      <c r="V878" s="242"/>
      <c r="W878" s="242"/>
      <c r="X878" s="242"/>
      <c r="Y878" s="242"/>
      <c r="Z878" s="242"/>
      <c r="AA878" s="242"/>
    </row>
    <row r="879">
      <c r="A879" s="242"/>
      <c r="B879" s="242"/>
      <c r="C879" s="13"/>
      <c r="D879" s="242"/>
      <c r="E879" s="242"/>
      <c r="F879" s="242"/>
      <c r="G879" s="242"/>
      <c r="H879" s="13"/>
      <c r="I879" s="13"/>
      <c r="J879" s="13"/>
      <c r="K879" s="13"/>
      <c r="L879" s="242"/>
      <c r="M879" s="242"/>
      <c r="N879" s="242"/>
      <c r="O879" s="242"/>
      <c r="P879" s="242"/>
      <c r="Q879" s="242"/>
      <c r="R879" s="242"/>
      <c r="S879" s="242"/>
      <c r="T879" s="242"/>
      <c r="U879" s="242"/>
      <c r="V879" s="242"/>
      <c r="W879" s="242"/>
      <c r="X879" s="242"/>
      <c r="Y879" s="242"/>
      <c r="Z879" s="242"/>
      <c r="AA879" s="242"/>
    </row>
    <row r="880">
      <c r="A880" s="242"/>
      <c r="B880" s="242"/>
      <c r="C880" s="13"/>
      <c r="D880" s="242"/>
      <c r="E880" s="242"/>
      <c r="F880" s="242"/>
      <c r="G880" s="242"/>
      <c r="H880" s="13"/>
      <c r="I880" s="13"/>
      <c r="J880" s="13"/>
      <c r="K880" s="13"/>
      <c r="L880" s="242"/>
      <c r="M880" s="242"/>
      <c r="N880" s="242"/>
      <c r="O880" s="242"/>
      <c r="P880" s="242"/>
      <c r="Q880" s="242"/>
      <c r="R880" s="242"/>
      <c r="S880" s="242"/>
      <c r="T880" s="242"/>
      <c r="U880" s="242"/>
      <c r="V880" s="242"/>
      <c r="W880" s="242"/>
      <c r="X880" s="242"/>
      <c r="Y880" s="242"/>
      <c r="Z880" s="242"/>
      <c r="AA880" s="242"/>
    </row>
    <row r="881">
      <c r="A881" s="242"/>
      <c r="B881" s="242"/>
      <c r="C881" s="13"/>
      <c r="D881" s="242"/>
      <c r="E881" s="242"/>
      <c r="F881" s="242"/>
      <c r="G881" s="242"/>
      <c r="H881" s="13"/>
      <c r="I881" s="13"/>
      <c r="J881" s="13"/>
      <c r="K881" s="13"/>
      <c r="L881" s="242"/>
      <c r="M881" s="242"/>
      <c r="N881" s="242"/>
      <c r="O881" s="242"/>
      <c r="P881" s="242"/>
      <c r="Q881" s="242"/>
      <c r="R881" s="242"/>
      <c r="S881" s="242"/>
      <c r="T881" s="242"/>
      <c r="U881" s="242"/>
      <c r="V881" s="242"/>
      <c r="W881" s="242"/>
      <c r="X881" s="242"/>
      <c r="Y881" s="242"/>
      <c r="Z881" s="242"/>
      <c r="AA881" s="242"/>
    </row>
    <row r="882">
      <c r="A882" s="242"/>
      <c r="B882" s="242"/>
      <c r="C882" s="13"/>
      <c r="D882" s="242"/>
      <c r="E882" s="242"/>
      <c r="F882" s="242"/>
      <c r="G882" s="242"/>
      <c r="H882" s="13"/>
      <c r="I882" s="13"/>
      <c r="J882" s="13"/>
      <c r="K882" s="13"/>
      <c r="L882" s="242"/>
      <c r="M882" s="242"/>
      <c r="N882" s="242"/>
      <c r="O882" s="242"/>
      <c r="P882" s="242"/>
      <c r="Q882" s="242"/>
      <c r="R882" s="242"/>
      <c r="S882" s="242"/>
      <c r="T882" s="242"/>
      <c r="U882" s="242"/>
      <c r="V882" s="242"/>
      <c r="W882" s="242"/>
      <c r="X882" s="242"/>
      <c r="Y882" s="242"/>
      <c r="Z882" s="242"/>
      <c r="AA882" s="242"/>
    </row>
    <row r="883">
      <c r="A883" s="242"/>
      <c r="B883" s="242"/>
      <c r="C883" s="13"/>
      <c r="D883" s="242"/>
      <c r="E883" s="242"/>
      <c r="F883" s="242"/>
      <c r="G883" s="242"/>
      <c r="H883" s="13"/>
      <c r="I883" s="13"/>
      <c r="J883" s="13"/>
      <c r="K883" s="13"/>
      <c r="L883" s="242"/>
      <c r="M883" s="242"/>
      <c r="N883" s="242"/>
      <c r="O883" s="242"/>
      <c r="P883" s="242"/>
      <c r="Q883" s="242"/>
      <c r="R883" s="242"/>
      <c r="S883" s="242"/>
      <c r="T883" s="242"/>
      <c r="U883" s="242"/>
      <c r="V883" s="242"/>
      <c r="W883" s="242"/>
      <c r="X883" s="242"/>
      <c r="Y883" s="242"/>
      <c r="Z883" s="242"/>
      <c r="AA883" s="242"/>
    </row>
    <row r="884">
      <c r="A884" s="242"/>
      <c r="B884" s="242"/>
      <c r="C884" s="13"/>
      <c r="D884" s="242"/>
      <c r="E884" s="242"/>
      <c r="F884" s="242"/>
      <c r="G884" s="242"/>
      <c r="H884" s="13"/>
      <c r="I884" s="13"/>
      <c r="J884" s="13"/>
      <c r="K884" s="13"/>
      <c r="L884" s="242"/>
      <c r="M884" s="242"/>
      <c r="N884" s="242"/>
      <c r="O884" s="242"/>
      <c r="P884" s="242"/>
      <c r="Q884" s="242"/>
      <c r="R884" s="242"/>
      <c r="S884" s="242"/>
      <c r="T884" s="242"/>
      <c r="U884" s="242"/>
      <c r="V884" s="242"/>
      <c r="W884" s="242"/>
      <c r="X884" s="242"/>
      <c r="Y884" s="242"/>
      <c r="Z884" s="242"/>
      <c r="AA884" s="242"/>
    </row>
    <row r="885">
      <c r="A885" s="242"/>
      <c r="B885" s="242"/>
      <c r="C885" s="13"/>
      <c r="D885" s="242"/>
      <c r="E885" s="242"/>
      <c r="F885" s="242"/>
      <c r="G885" s="242"/>
      <c r="H885" s="13"/>
      <c r="I885" s="13"/>
      <c r="J885" s="13"/>
      <c r="K885" s="13"/>
      <c r="L885" s="242"/>
      <c r="M885" s="242"/>
      <c r="N885" s="242"/>
      <c r="O885" s="242"/>
      <c r="P885" s="242"/>
      <c r="Q885" s="242"/>
      <c r="R885" s="242"/>
      <c r="S885" s="242"/>
      <c r="T885" s="242"/>
      <c r="U885" s="242"/>
      <c r="V885" s="242"/>
      <c r="W885" s="242"/>
      <c r="X885" s="242"/>
      <c r="Y885" s="242"/>
      <c r="Z885" s="242"/>
      <c r="AA885" s="242"/>
    </row>
    <row r="886">
      <c r="A886" s="242"/>
      <c r="B886" s="242"/>
      <c r="C886" s="13"/>
      <c r="D886" s="242"/>
      <c r="E886" s="242"/>
      <c r="F886" s="242"/>
      <c r="G886" s="242"/>
      <c r="H886" s="13"/>
      <c r="I886" s="13"/>
      <c r="J886" s="13"/>
      <c r="K886" s="13"/>
      <c r="L886" s="242"/>
      <c r="M886" s="242"/>
      <c r="N886" s="242"/>
      <c r="O886" s="242"/>
      <c r="P886" s="242"/>
      <c r="Q886" s="242"/>
      <c r="R886" s="242"/>
      <c r="S886" s="242"/>
      <c r="T886" s="242"/>
      <c r="U886" s="242"/>
      <c r="V886" s="242"/>
      <c r="W886" s="242"/>
      <c r="X886" s="242"/>
      <c r="Y886" s="242"/>
      <c r="Z886" s="242"/>
      <c r="AA886" s="242"/>
    </row>
    <row r="887">
      <c r="A887" s="242"/>
      <c r="B887" s="242"/>
      <c r="C887" s="13"/>
      <c r="D887" s="242"/>
      <c r="E887" s="242"/>
      <c r="F887" s="242"/>
      <c r="G887" s="242"/>
      <c r="H887" s="13"/>
      <c r="I887" s="13"/>
      <c r="J887" s="13"/>
      <c r="K887" s="13"/>
      <c r="L887" s="242"/>
      <c r="M887" s="242"/>
      <c r="N887" s="242"/>
      <c r="O887" s="242"/>
      <c r="P887" s="242"/>
      <c r="Q887" s="242"/>
      <c r="R887" s="242"/>
      <c r="S887" s="242"/>
      <c r="T887" s="242"/>
      <c r="U887" s="242"/>
      <c r="V887" s="242"/>
      <c r="W887" s="242"/>
      <c r="X887" s="242"/>
      <c r="Y887" s="242"/>
      <c r="Z887" s="242"/>
      <c r="AA887" s="242"/>
    </row>
    <row r="888">
      <c r="A888" s="242"/>
      <c r="B888" s="242"/>
      <c r="C888" s="13"/>
      <c r="D888" s="242"/>
      <c r="E888" s="242"/>
      <c r="F888" s="242"/>
      <c r="G888" s="242"/>
      <c r="H888" s="13"/>
      <c r="I888" s="13"/>
      <c r="J888" s="13"/>
      <c r="K888" s="13"/>
      <c r="L888" s="242"/>
      <c r="M888" s="242"/>
      <c r="N888" s="242"/>
      <c r="O888" s="242"/>
      <c r="P888" s="242"/>
      <c r="Q888" s="242"/>
      <c r="R888" s="242"/>
      <c r="S888" s="242"/>
      <c r="T888" s="242"/>
      <c r="U888" s="242"/>
      <c r="V888" s="242"/>
      <c r="W888" s="242"/>
      <c r="X888" s="242"/>
      <c r="Y888" s="242"/>
      <c r="Z888" s="242"/>
      <c r="AA888" s="242"/>
    </row>
    <row r="889">
      <c r="A889" s="242"/>
      <c r="B889" s="242"/>
      <c r="C889" s="13"/>
      <c r="D889" s="242"/>
      <c r="E889" s="242"/>
      <c r="F889" s="242"/>
      <c r="G889" s="242"/>
      <c r="H889" s="13"/>
      <c r="I889" s="13"/>
      <c r="J889" s="13"/>
      <c r="K889" s="13"/>
      <c r="L889" s="242"/>
      <c r="M889" s="242"/>
      <c r="N889" s="242"/>
      <c r="O889" s="242"/>
      <c r="P889" s="242"/>
      <c r="Q889" s="242"/>
      <c r="R889" s="242"/>
      <c r="S889" s="242"/>
      <c r="T889" s="242"/>
      <c r="U889" s="242"/>
      <c r="V889" s="242"/>
      <c r="W889" s="242"/>
      <c r="X889" s="242"/>
      <c r="Y889" s="242"/>
      <c r="Z889" s="242"/>
      <c r="AA889" s="242"/>
    </row>
    <row r="890">
      <c r="A890" s="242"/>
      <c r="B890" s="242"/>
      <c r="C890" s="13"/>
      <c r="D890" s="242"/>
      <c r="E890" s="242"/>
      <c r="F890" s="242"/>
      <c r="G890" s="242"/>
      <c r="H890" s="13"/>
      <c r="I890" s="13"/>
      <c r="J890" s="13"/>
      <c r="K890" s="13"/>
      <c r="L890" s="242"/>
      <c r="M890" s="242"/>
      <c r="N890" s="242"/>
      <c r="O890" s="242"/>
      <c r="P890" s="242"/>
      <c r="Q890" s="242"/>
      <c r="R890" s="242"/>
      <c r="S890" s="242"/>
      <c r="T890" s="242"/>
      <c r="U890" s="242"/>
      <c r="V890" s="242"/>
      <c r="W890" s="242"/>
      <c r="X890" s="242"/>
      <c r="Y890" s="242"/>
      <c r="Z890" s="242"/>
      <c r="AA890" s="242"/>
    </row>
    <row r="891">
      <c r="A891" s="242"/>
      <c r="B891" s="242"/>
      <c r="C891" s="13"/>
      <c r="D891" s="242"/>
      <c r="E891" s="242"/>
      <c r="F891" s="242"/>
      <c r="G891" s="242"/>
      <c r="H891" s="13"/>
      <c r="I891" s="13"/>
      <c r="J891" s="13"/>
      <c r="K891" s="13"/>
      <c r="L891" s="242"/>
      <c r="M891" s="242"/>
      <c r="N891" s="242"/>
      <c r="O891" s="242"/>
      <c r="P891" s="242"/>
      <c r="Q891" s="242"/>
      <c r="R891" s="242"/>
      <c r="S891" s="242"/>
      <c r="T891" s="242"/>
      <c r="U891" s="242"/>
      <c r="V891" s="242"/>
      <c r="W891" s="242"/>
      <c r="X891" s="242"/>
      <c r="Y891" s="242"/>
      <c r="Z891" s="242"/>
      <c r="AA891" s="242"/>
    </row>
    <row r="892">
      <c r="A892" s="242"/>
      <c r="B892" s="242"/>
      <c r="C892" s="13"/>
      <c r="D892" s="242"/>
      <c r="E892" s="242"/>
      <c r="F892" s="242"/>
      <c r="G892" s="242"/>
      <c r="H892" s="13"/>
      <c r="I892" s="13"/>
      <c r="J892" s="13"/>
      <c r="K892" s="13"/>
      <c r="L892" s="242"/>
      <c r="M892" s="242"/>
      <c r="N892" s="242"/>
      <c r="O892" s="242"/>
      <c r="P892" s="242"/>
      <c r="Q892" s="242"/>
      <c r="R892" s="242"/>
      <c r="S892" s="242"/>
      <c r="T892" s="242"/>
      <c r="U892" s="242"/>
      <c r="V892" s="242"/>
      <c r="W892" s="242"/>
      <c r="X892" s="242"/>
      <c r="Y892" s="242"/>
      <c r="Z892" s="242"/>
      <c r="AA892" s="242"/>
    </row>
    <row r="893">
      <c r="A893" s="242"/>
      <c r="B893" s="242"/>
      <c r="C893" s="13"/>
      <c r="D893" s="242"/>
      <c r="E893" s="242"/>
      <c r="F893" s="242"/>
      <c r="G893" s="242"/>
      <c r="H893" s="13"/>
      <c r="I893" s="13"/>
      <c r="J893" s="13"/>
      <c r="K893" s="13"/>
      <c r="L893" s="242"/>
      <c r="M893" s="242"/>
      <c r="N893" s="242"/>
      <c r="O893" s="242"/>
      <c r="P893" s="242"/>
      <c r="Q893" s="242"/>
      <c r="R893" s="242"/>
      <c r="S893" s="242"/>
      <c r="T893" s="242"/>
      <c r="U893" s="242"/>
      <c r="V893" s="242"/>
      <c r="W893" s="242"/>
      <c r="X893" s="242"/>
      <c r="Y893" s="242"/>
      <c r="Z893" s="242"/>
      <c r="AA893" s="242"/>
    </row>
    <row r="894">
      <c r="A894" s="242"/>
      <c r="B894" s="242"/>
      <c r="C894" s="13"/>
      <c r="D894" s="242"/>
      <c r="E894" s="242"/>
      <c r="F894" s="242"/>
      <c r="G894" s="242"/>
      <c r="H894" s="13"/>
      <c r="I894" s="13"/>
      <c r="J894" s="13"/>
      <c r="K894" s="13"/>
      <c r="L894" s="242"/>
      <c r="M894" s="242"/>
      <c r="N894" s="242"/>
      <c r="O894" s="242"/>
      <c r="P894" s="242"/>
      <c r="Q894" s="242"/>
      <c r="R894" s="242"/>
      <c r="S894" s="242"/>
      <c r="T894" s="242"/>
      <c r="U894" s="242"/>
      <c r="V894" s="242"/>
      <c r="W894" s="242"/>
      <c r="X894" s="242"/>
      <c r="Y894" s="242"/>
      <c r="Z894" s="242"/>
      <c r="AA894" s="242"/>
    </row>
    <row r="895">
      <c r="A895" s="242"/>
      <c r="B895" s="242"/>
      <c r="C895" s="13"/>
      <c r="D895" s="242"/>
      <c r="E895" s="242"/>
      <c r="F895" s="242"/>
      <c r="G895" s="242"/>
      <c r="H895" s="13"/>
      <c r="I895" s="13"/>
      <c r="J895" s="13"/>
      <c r="K895" s="13"/>
      <c r="L895" s="242"/>
      <c r="M895" s="242"/>
      <c r="N895" s="242"/>
      <c r="O895" s="242"/>
      <c r="P895" s="242"/>
      <c r="Q895" s="242"/>
      <c r="R895" s="242"/>
      <c r="S895" s="242"/>
      <c r="T895" s="242"/>
      <c r="U895" s="242"/>
      <c r="V895" s="242"/>
      <c r="W895" s="242"/>
      <c r="X895" s="242"/>
      <c r="Y895" s="242"/>
      <c r="Z895" s="242"/>
      <c r="AA895" s="242"/>
    </row>
    <row r="896">
      <c r="A896" s="242"/>
      <c r="B896" s="242"/>
      <c r="C896" s="13"/>
      <c r="D896" s="242"/>
      <c r="E896" s="242"/>
      <c r="F896" s="242"/>
      <c r="G896" s="242"/>
      <c r="H896" s="13"/>
      <c r="I896" s="13"/>
      <c r="J896" s="13"/>
      <c r="K896" s="13"/>
      <c r="L896" s="242"/>
      <c r="M896" s="242"/>
      <c r="N896" s="242"/>
      <c r="O896" s="242"/>
      <c r="P896" s="242"/>
      <c r="Q896" s="242"/>
      <c r="R896" s="242"/>
      <c r="S896" s="242"/>
      <c r="T896" s="242"/>
      <c r="U896" s="242"/>
      <c r="V896" s="242"/>
      <c r="W896" s="242"/>
      <c r="X896" s="242"/>
      <c r="Y896" s="242"/>
      <c r="Z896" s="242"/>
      <c r="AA896" s="242"/>
    </row>
    <row r="897">
      <c r="A897" s="242"/>
      <c r="B897" s="242"/>
      <c r="C897" s="13"/>
      <c r="D897" s="242"/>
      <c r="E897" s="242"/>
      <c r="F897" s="242"/>
      <c r="G897" s="242"/>
      <c r="H897" s="13"/>
      <c r="I897" s="13"/>
      <c r="J897" s="13"/>
      <c r="K897" s="13"/>
      <c r="L897" s="242"/>
      <c r="M897" s="242"/>
      <c r="N897" s="242"/>
      <c r="O897" s="242"/>
      <c r="P897" s="242"/>
      <c r="Q897" s="242"/>
      <c r="R897" s="242"/>
      <c r="S897" s="242"/>
      <c r="T897" s="242"/>
      <c r="U897" s="242"/>
      <c r="V897" s="242"/>
      <c r="W897" s="242"/>
      <c r="X897" s="242"/>
      <c r="Y897" s="242"/>
      <c r="Z897" s="242"/>
      <c r="AA897" s="242"/>
    </row>
    <row r="898">
      <c r="A898" s="242"/>
      <c r="B898" s="242"/>
      <c r="C898" s="13"/>
      <c r="D898" s="242"/>
      <c r="E898" s="242"/>
      <c r="F898" s="242"/>
      <c r="G898" s="242"/>
      <c r="H898" s="13"/>
      <c r="I898" s="13"/>
      <c r="J898" s="13"/>
      <c r="K898" s="13"/>
      <c r="L898" s="242"/>
      <c r="M898" s="242"/>
      <c r="N898" s="242"/>
      <c r="O898" s="242"/>
      <c r="P898" s="242"/>
      <c r="Q898" s="242"/>
      <c r="R898" s="242"/>
      <c r="S898" s="242"/>
      <c r="T898" s="242"/>
      <c r="U898" s="242"/>
      <c r="V898" s="242"/>
      <c r="W898" s="242"/>
      <c r="X898" s="242"/>
      <c r="Y898" s="242"/>
      <c r="Z898" s="242"/>
      <c r="AA898" s="242"/>
    </row>
    <row r="899">
      <c r="A899" s="242"/>
      <c r="B899" s="242"/>
      <c r="C899" s="13"/>
      <c r="D899" s="242"/>
      <c r="E899" s="242"/>
      <c r="F899" s="242"/>
      <c r="G899" s="242"/>
      <c r="H899" s="13"/>
      <c r="I899" s="13"/>
      <c r="J899" s="13"/>
      <c r="K899" s="13"/>
      <c r="L899" s="242"/>
      <c r="M899" s="242"/>
      <c r="N899" s="242"/>
      <c r="O899" s="242"/>
      <c r="P899" s="242"/>
      <c r="Q899" s="242"/>
      <c r="R899" s="242"/>
      <c r="S899" s="242"/>
      <c r="T899" s="242"/>
      <c r="U899" s="242"/>
      <c r="V899" s="242"/>
      <c r="W899" s="242"/>
      <c r="X899" s="242"/>
      <c r="Y899" s="242"/>
      <c r="Z899" s="242"/>
      <c r="AA899" s="242"/>
    </row>
    <row r="900">
      <c r="A900" s="242"/>
      <c r="B900" s="242"/>
      <c r="C900" s="13"/>
      <c r="D900" s="242"/>
      <c r="E900" s="242"/>
      <c r="F900" s="242"/>
      <c r="G900" s="242"/>
      <c r="H900" s="13"/>
      <c r="I900" s="13"/>
      <c r="J900" s="13"/>
      <c r="K900" s="13"/>
      <c r="L900" s="242"/>
      <c r="M900" s="242"/>
      <c r="N900" s="242"/>
      <c r="O900" s="242"/>
      <c r="P900" s="242"/>
      <c r="Q900" s="242"/>
      <c r="R900" s="242"/>
      <c r="S900" s="242"/>
      <c r="T900" s="242"/>
      <c r="U900" s="242"/>
      <c r="V900" s="242"/>
      <c r="W900" s="242"/>
      <c r="X900" s="242"/>
      <c r="Y900" s="242"/>
      <c r="Z900" s="242"/>
      <c r="AA900" s="242"/>
    </row>
    <row r="901">
      <c r="A901" s="242"/>
      <c r="B901" s="242"/>
      <c r="C901" s="13"/>
      <c r="D901" s="242"/>
      <c r="E901" s="242"/>
      <c r="F901" s="242"/>
      <c r="G901" s="242"/>
      <c r="H901" s="13"/>
      <c r="I901" s="13"/>
      <c r="J901" s="13"/>
      <c r="K901" s="13"/>
      <c r="L901" s="242"/>
      <c r="M901" s="242"/>
      <c r="N901" s="242"/>
      <c r="O901" s="242"/>
      <c r="P901" s="242"/>
      <c r="Q901" s="242"/>
      <c r="R901" s="242"/>
      <c r="S901" s="242"/>
      <c r="T901" s="242"/>
      <c r="U901" s="242"/>
      <c r="V901" s="242"/>
      <c r="W901" s="242"/>
      <c r="X901" s="242"/>
      <c r="Y901" s="242"/>
      <c r="Z901" s="242"/>
      <c r="AA901" s="242"/>
    </row>
    <row r="902">
      <c r="A902" s="242"/>
      <c r="B902" s="242"/>
      <c r="C902" s="13"/>
      <c r="D902" s="242"/>
      <c r="E902" s="242"/>
      <c r="F902" s="242"/>
      <c r="G902" s="242"/>
      <c r="H902" s="13"/>
      <c r="I902" s="13"/>
      <c r="J902" s="13"/>
      <c r="K902" s="13"/>
      <c r="L902" s="242"/>
      <c r="M902" s="242"/>
      <c r="N902" s="242"/>
      <c r="O902" s="242"/>
      <c r="P902" s="242"/>
      <c r="Q902" s="242"/>
      <c r="R902" s="242"/>
      <c r="S902" s="242"/>
      <c r="T902" s="242"/>
      <c r="U902" s="242"/>
      <c r="V902" s="242"/>
      <c r="W902" s="242"/>
      <c r="X902" s="242"/>
      <c r="Y902" s="242"/>
      <c r="Z902" s="242"/>
      <c r="AA902" s="242"/>
    </row>
    <row r="903">
      <c r="A903" s="242"/>
      <c r="B903" s="242"/>
      <c r="C903" s="13"/>
      <c r="D903" s="242"/>
      <c r="E903" s="242"/>
      <c r="F903" s="242"/>
      <c r="G903" s="242"/>
      <c r="H903" s="13"/>
      <c r="I903" s="13"/>
      <c r="J903" s="13"/>
      <c r="K903" s="13"/>
      <c r="L903" s="242"/>
      <c r="M903" s="242"/>
      <c r="N903" s="242"/>
      <c r="O903" s="242"/>
      <c r="P903" s="242"/>
      <c r="Q903" s="242"/>
      <c r="R903" s="242"/>
      <c r="S903" s="242"/>
      <c r="T903" s="242"/>
      <c r="U903" s="242"/>
      <c r="V903" s="242"/>
      <c r="W903" s="242"/>
      <c r="X903" s="242"/>
      <c r="Y903" s="242"/>
      <c r="Z903" s="242"/>
      <c r="AA903" s="242"/>
    </row>
    <row r="904">
      <c r="A904" s="242"/>
      <c r="B904" s="242"/>
      <c r="C904" s="13"/>
      <c r="D904" s="242"/>
      <c r="E904" s="242"/>
      <c r="F904" s="242"/>
      <c r="G904" s="242"/>
      <c r="H904" s="13"/>
      <c r="I904" s="13"/>
      <c r="J904" s="13"/>
      <c r="K904" s="13"/>
      <c r="L904" s="242"/>
      <c r="M904" s="242"/>
      <c r="N904" s="242"/>
      <c r="O904" s="242"/>
      <c r="P904" s="242"/>
      <c r="Q904" s="242"/>
      <c r="R904" s="242"/>
      <c r="S904" s="242"/>
      <c r="T904" s="242"/>
      <c r="U904" s="242"/>
      <c r="V904" s="242"/>
      <c r="W904" s="242"/>
      <c r="X904" s="242"/>
      <c r="Y904" s="242"/>
      <c r="Z904" s="242"/>
      <c r="AA904" s="242"/>
    </row>
    <row r="905">
      <c r="A905" s="242"/>
      <c r="B905" s="242"/>
      <c r="C905" s="13"/>
      <c r="D905" s="242"/>
      <c r="E905" s="242"/>
      <c r="F905" s="242"/>
      <c r="G905" s="242"/>
      <c r="H905" s="13"/>
      <c r="I905" s="13"/>
      <c r="J905" s="13"/>
      <c r="K905" s="13"/>
      <c r="L905" s="242"/>
      <c r="M905" s="242"/>
      <c r="N905" s="242"/>
      <c r="O905" s="242"/>
      <c r="P905" s="242"/>
      <c r="Q905" s="242"/>
      <c r="R905" s="242"/>
      <c r="S905" s="242"/>
      <c r="T905" s="242"/>
      <c r="U905" s="242"/>
      <c r="V905" s="242"/>
      <c r="W905" s="242"/>
      <c r="X905" s="242"/>
      <c r="Y905" s="242"/>
      <c r="Z905" s="242"/>
      <c r="AA905" s="242"/>
    </row>
    <row r="906">
      <c r="A906" s="242"/>
      <c r="B906" s="242"/>
      <c r="C906" s="13"/>
      <c r="D906" s="242"/>
      <c r="E906" s="242"/>
      <c r="F906" s="242"/>
      <c r="G906" s="242"/>
      <c r="H906" s="13"/>
      <c r="I906" s="13"/>
      <c r="J906" s="13"/>
      <c r="K906" s="13"/>
      <c r="L906" s="242"/>
      <c r="M906" s="242"/>
      <c r="N906" s="242"/>
      <c r="O906" s="242"/>
      <c r="P906" s="242"/>
      <c r="Q906" s="242"/>
      <c r="R906" s="242"/>
      <c r="S906" s="242"/>
      <c r="T906" s="242"/>
      <c r="U906" s="242"/>
      <c r="V906" s="242"/>
      <c r="W906" s="242"/>
      <c r="X906" s="242"/>
      <c r="Y906" s="242"/>
      <c r="Z906" s="242"/>
      <c r="AA906" s="242"/>
    </row>
    <row r="907">
      <c r="A907" s="242"/>
      <c r="B907" s="242"/>
      <c r="C907" s="13"/>
      <c r="D907" s="242"/>
      <c r="E907" s="242"/>
      <c r="F907" s="242"/>
      <c r="G907" s="242"/>
      <c r="H907" s="13"/>
      <c r="I907" s="13"/>
      <c r="J907" s="13"/>
      <c r="K907" s="13"/>
      <c r="L907" s="242"/>
      <c r="M907" s="242"/>
      <c r="N907" s="242"/>
      <c r="O907" s="242"/>
      <c r="P907" s="242"/>
      <c r="Q907" s="242"/>
      <c r="R907" s="242"/>
      <c r="S907" s="242"/>
      <c r="T907" s="242"/>
      <c r="U907" s="242"/>
      <c r="V907" s="242"/>
      <c r="W907" s="242"/>
      <c r="X907" s="242"/>
      <c r="Y907" s="242"/>
      <c r="Z907" s="242"/>
      <c r="AA907" s="242"/>
    </row>
    <row r="908">
      <c r="A908" s="242"/>
      <c r="B908" s="242"/>
      <c r="C908" s="13"/>
      <c r="D908" s="242"/>
      <c r="E908" s="242"/>
      <c r="F908" s="242"/>
      <c r="G908" s="242"/>
      <c r="H908" s="13"/>
      <c r="I908" s="13"/>
      <c r="J908" s="13"/>
      <c r="K908" s="13"/>
      <c r="L908" s="242"/>
      <c r="M908" s="242"/>
      <c r="N908" s="242"/>
      <c r="O908" s="242"/>
      <c r="P908" s="242"/>
      <c r="Q908" s="242"/>
      <c r="R908" s="242"/>
      <c r="S908" s="242"/>
      <c r="T908" s="242"/>
      <c r="U908" s="242"/>
      <c r="V908" s="242"/>
      <c r="W908" s="242"/>
      <c r="X908" s="242"/>
      <c r="Y908" s="242"/>
      <c r="Z908" s="242"/>
      <c r="AA908" s="242"/>
    </row>
    <row r="909">
      <c r="A909" s="242"/>
      <c r="B909" s="242"/>
      <c r="C909" s="13"/>
      <c r="D909" s="242"/>
      <c r="E909" s="242"/>
      <c r="F909" s="242"/>
      <c r="G909" s="242"/>
      <c r="H909" s="13"/>
      <c r="I909" s="13"/>
      <c r="J909" s="13"/>
      <c r="K909" s="13"/>
      <c r="L909" s="242"/>
      <c r="M909" s="242"/>
      <c r="N909" s="242"/>
      <c r="O909" s="242"/>
      <c r="P909" s="242"/>
      <c r="Q909" s="242"/>
      <c r="R909" s="242"/>
      <c r="S909" s="242"/>
      <c r="T909" s="242"/>
      <c r="U909" s="242"/>
      <c r="V909" s="242"/>
      <c r="W909" s="242"/>
      <c r="X909" s="242"/>
      <c r="Y909" s="242"/>
      <c r="Z909" s="242"/>
      <c r="AA909" s="242"/>
    </row>
    <row r="910">
      <c r="A910" s="242"/>
      <c r="B910" s="242"/>
      <c r="C910" s="13"/>
      <c r="D910" s="242"/>
      <c r="E910" s="242"/>
      <c r="F910" s="242"/>
      <c r="G910" s="242"/>
      <c r="H910" s="13"/>
      <c r="I910" s="13"/>
      <c r="J910" s="13"/>
      <c r="K910" s="13"/>
      <c r="L910" s="242"/>
      <c r="M910" s="242"/>
      <c r="N910" s="242"/>
      <c r="O910" s="242"/>
      <c r="P910" s="242"/>
      <c r="Q910" s="242"/>
      <c r="R910" s="242"/>
      <c r="S910" s="242"/>
      <c r="T910" s="242"/>
      <c r="U910" s="242"/>
      <c r="V910" s="242"/>
      <c r="W910" s="242"/>
      <c r="X910" s="242"/>
      <c r="Y910" s="242"/>
      <c r="Z910" s="242"/>
      <c r="AA910" s="242"/>
    </row>
    <row r="911">
      <c r="A911" s="242"/>
      <c r="B911" s="242"/>
      <c r="C911" s="13"/>
      <c r="D911" s="242"/>
      <c r="E911" s="242"/>
      <c r="F911" s="242"/>
      <c r="G911" s="242"/>
      <c r="H911" s="13"/>
      <c r="I911" s="13"/>
      <c r="J911" s="13"/>
      <c r="K911" s="13"/>
      <c r="L911" s="242"/>
      <c r="M911" s="242"/>
      <c r="N911" s="242"/>
      <c r="O911" s="242"/>
      <c r="P911" s="242"/>
      <c r="Q911" s="242"/>
      <c r="R911" s="242"/>
      <c r="S911" s="242"/>
      <c r="T911" s="242"/>
      <c r="U911" s="242"/>
      <c r="V911" s="242"/>
      <c r="W911" s="242"/>
      <c r="X911" s="242"/>
      <c r="Y911" s="242"/>
      <c r="Z911" s="242"/>
      <c r="AA911" s="242"/>
    </row>
    <row r="912">
      <c r="A912" s="242"/>
      <c r="B912" s="242"/>
      <c r="C912" s="13"/>
      <c r="D912" s="242"/>
      <c r="E912" s="242"/>
      <c r="F912" s="242"/>
      <c r="G912" s="242"/>
      <c r="H912" s="13"/>
      <c r="I912" s="13"/>
      <c r="J912" s="13"/>
      <c r="K912" s="13"/>
      <c r="L912" s="242"/>
      <c r="M912" s="242"/>
      <c r="N912" s="242"/>
      <c r="O912" s="242"/>
      <c r="P912" s="242"/>
      <c r="Q912" s="242"/>
      <c r="R912" s="242"/>
      <c r="S912" s="242"/>
      <c r="T912" s="242"/>
      <c r="U912" s="242"/>
      <c r="V912" s="242"/>
      <c r="W912" s="242"/>
      <c r="X912" s="242"/>
      <c r="Y912" s="242"/>
      <c r="Z912" s="242"/>
      <c r="AA912" s="242"/>
    </row>
    <row r="913">
      <c r="A913" s="242"/>
      <c r="B913" s="242"/>
      <c r="C913" s="13"/>
      <c r="D913" s="242"/>
      <c r="E913" s="242"/>
      <c r="F913" s="242"/>
      <c r="G913" s="242"/>
      <c r="H913" s="13"/>
      <c r="I913" s="13"/>
      <c r="J913" s="13"/>
      <c r="K913" s="13"/>
      <c r="L913" s="242"/>
      <c r="M913" s="242"/>
      <c r="N913" s="242"/>
      <c r="O913" s="242"/>
      <c r="P913" s="242"/>
      <c r="Q913" s="242"/>
      <c r="R913" s="242"/>
      <c r="S913" s="242"/>
      <c r="T913" s="242"/>
      <c r="U913" s="242"/>
      <c r="V913" s="242"/>
      <c r="W913" s="242"/>
      <c r="X913" s="242"/>
      <c r="Y913" s="242"/>
      <c r="Z913" s="242"/>
      <c r="AA913" s="242"/>
    </row>
    <row r="914">
      <c r="A914" s="242"/>
      <c r="B914" s="242"/>
      <c r="C914" s="13"/>
      <c r="D914" s="242"/>
      <c r="E914" s="242"/>
      <c r="F914" s="242"/>
      <c r="G914" s="242"/>
      <c r="H914" s="13"/>
      <c r="I914" s="13"/>
      <c r="J914" s="13"/>
      <c r="K914" s="13"/>
      <c r="L914" s="242"/>
      <c r="M914" s="242"/>
      <c r="N914" s="242"/>
      <c r="O914" s="242"/>
      <c r="P914" s="242"/>
      <c r="Q914" s="242"/>
      <c r="R914" s="242"/>
      <c r="S914" s="242"/>
      <c r="T914" s="242"/>
      <c r="U914" s="242"/>
      <c r="V914" s="242"/>
      <c r="W914" s="242"/>
      <c r="X914" s="242"/>
      <c r="Y914" s="242"/>
      <c r="Z914" s="242"/>
      <c r="AA914" s="242"/>
    </row>
    <row r="915">
      <c r="A915" s="242"/>
      <c r="B915" s="242"/>
      <c r="C915" s="13"/>
      <c r="D915" s="242"/>
      <c r="E915" s="242"/>
      <c r="F915" s="242"/>
      <c r="G915" s="242"/>
      <c r="H915" s="13"/>
      <c r="I915" s="13"/>
      <c r="J915" s="13"/>
      <c r="K915" s="13"/>
      <c r="L915" s="242"/>
      <c r="M915" s="242"/>
      <c r="N915" s="242"/>
      <c r="O915" s="242"/>
      <c r="P915" s="242"/>
      <c r="Q915" s="242"/>
      <c r="R915" s="242"/>
      <c r="S915" s="242"/>
      <c r="T915" s="242"/>
      <c r="U915" s="242"/>
      <c r="V915" s="242"/>
      <c r="W915" s="242"/>
      <c r="X915" s="242"/>
      <c r="Y915" s="242"/>
      <c r="Z915" s="242"/>
      <c r="AA915" s="242"/>
    </row>
    <row r="916">
      <c r="A916" s="242"/>
      <c r="B916" s="242"/>
      <c r="C916" s="13"/>
      <c r="D916" s="242"/>
      <c r="E916" s="242"/>
      <c r="F916" s="242"/>
      <c r="G916" s="242"/>
      <c r="H916" s="13"/>
      <c r="I916" s="13"/>
      <c r="J916" s="13"/>
      <c r="K916" s="13"/>
      <c r="L916" s="242"/>
      <c r="M916" s="242"/>
      <c r="N916" s="242"/>
      <c r="O916" s="242"/>
      <c r="P916" s="242"/>
      <c r="Q916" s="242"/>
      <c r="R916" s="242"/>
      <c r="S916" s="242"/>
      <c r="T916" s="242"/>
      <c r="U916" s="242"/>
      <c r="V916" s="242"/>
      <c r="W916" s="242"/>
      <c r="X916" s="242"/>
      <c r="Y916" s="242"/>
      <c r="Z916" s="242"/>
      <c r="AA916" s="242"/>
    </row>
    <row r="917">
      <c r="A917" s="242"/>
      <c r="B917" s="242"/>
      <c r="C917" s="13"/>
      <c r="D917" s="242"/>
      <c r="E917" s="242"/>
      <c r="F917" s="242"/>
      <c r="G917" s="242"/>
      <c r="H917" s="13"/>
      <c r="I917" s="13"/>
      <c r="J917" s="13"/>
      <c r="K917" s="13"/>
      <c r="L917" s="242"/>
      <c r="M917" s="242"/>
      <c r="N917" s="242"/>
      <c r="O917" s="242"/>
      <c r="P917" s="242"/>
      <c r="Q917" s="242"/>
      <c r="R917" s="242"/>
      <c r="S917" s="242"/>
      <c r="T917" s="242"/>
      <c r="U917" s="242"/>
      <c r="V917" s="242"/>
      <c r="W917" s="242"/>
      <c r="X917" s="242"/>
      <c r="Y917" s="242"/>
      <c r="Z917" s="242"/>
      <c r="AA917" s="242"/>
    </row>
    <row r="918">
      <c r="A918" s="242"/>
      <c r="B918" s="242"/>
      <c r="C918" s="13"/>
      <c r="D918" s="242"/>
      <c r="E918" s="242"/>
      <c r="F918" s="242"/>
      <c r="G918" s="242"/>
      <c r="H918" s="13"/>
      <c r="I918" s="13"/>
      <c r="J918" s="13"/>
      <c r="K918" s="13"/>
      <c r="L918" s="242"/>
      <c r="M918" s="242"/>
      <c r="N918" s="242"/>
      <c r="O918" s="242"/>
      <c r="P918" s="242"/>
      <c r="Q918" s="242"/>
      <c r="R918" s="242"/>
      <c r="S918" s="242"/>
      <c r="T918" s="242"/>
      <c r="U918" s="242"/>
      <c r="V918" s="242"/>
      <c r="W918" s="242"/>
      <c r="X918" s="242"/>
      <c r="Y918" s="242"/>
      <c r="Z918" s="242"/>
      <c r="AA918" s="242"/>
    </row>
    <row r="919">
      <c r="A919" s="242"/>
      <c r="B919" s="242"/>
      <c r="C919" s="13"/>
      <c r="D919" s="242"/>
      <c r="E919" s="242"/>
      <c r="F919" s="242"/>
      <c r="G919" s="242"/>
      <c r="H919" s="13"/>
      <c r="I919" s="13"/>
      <c r="J919" s="13"/>
      <c r="K919" s="13"/>
      <c r="L919" s="242"/>
      <c r="M919" s="242"/>
      <c r="N919" s="242"/>
      <c r="O919" s="242"/>
      <c r="P919" s="242"/>
      <c r="Q919" s="242"/>
      <c r="R919" s="242"/>
      <c r="S919" s="242"/>
      <c r="T919" s="242"/>
      <c r="U919" s="242"/>
      <c r="V919" s="242"/>
      <c r="W919" s="242"/>
      <c r="X919" s="242"/>
      <c r="Y919" s="242"/>
      <c r="Z919" s="242"/>
      <c r="AA919" s="242"/>
    </row>
    <row r="920">
      <c r="A920" s="242"/>
      <c r="B920" s="242"/>
      <c r="C920" s="13"/>
      <c r="D920" s="242"/>
      <c r="E920" s="242"/>
      <c r="F920" s="242"/>
      <c r="G920" s="242"/>
      <c r="H920" s="13"/>
      <c r="I920" s="13"/>
      <c r="J920" s="13"/>
      <c r="K920" s="13"/>
      <c r="L920" s="242"/>
      <c r="M920" s="242"/>
      <c r="N920" s="242"/>
      <c r="O920" s="242"/>
      <c r="P920" s="242"/>
      <c r="Q920" s="242"/>
      <c r="R920" s="242"/>
      <c r="S920" s="242"/>
      <c r="T920" s="242"/>
      <c r="U920" s="242"/>
      <c r="V920" s="242"/>
      <c r="W920" s="242"/>
      <c r="X920" s="242"/>
      <c r="Y920" s="242"/>
      <c r="Z920" s="242"/>
      <c r="AA920" s="242"/>
    </row>
    <row r="921">
      <c r="A921" s="242"/>
      <c r="B921" s="242"/>
      <c r="C921" s="13"/>
      <c r="D921" s="242"/>
      <c r="E921" s="242"/>
      <c r="F921" s="242"/>
      <c r="G921" s="242"/>
      <c r="H921" s="13"/>
      <c r="I921" s="13"/>
      <c r="J921" s="13"/>
      <c r="K921" s="13"/>
      <c r="L921" s="242"/>
      <c r="M921" s="242"/>
      <c r="N921" s="242"/>
      <c r="O921" s="242"/>
      <c r="P921" s="242"/>
      <c r="Q921" s="242"/>
      <c r="R921" s="242"/>
      <c r="S921" s="242"/>
      <c r="T921" s="242"/>
      <c r="U921" s="242"/>
      <c r="V921" s="242"/>
      <c r="W921" s="242"/>
      <c r="X921" s="242"/>
      <c r="Y921" s="242"/>
      <c r="Z921" s="242"/>
      <c r="AA921" s="242"/>
    </row>
    <row r="922">
      <c r="A922" s="242"/>
      <c r="B922" s="242"/>
      <c r="C922" s="13"/>
      <c r="D922" s="242"/>
      <c r="E922" s="242"/>
      <c r="F922" s="242"/>
      <c r="G922" s="242"/>
      <c r="H922" s="13"/>
      <c r="I922" s="13"/>
      <c r="J922" s="13"/>
      <c r="K922" s="13"/>
      <c r="L922" s="242"/>
      <c r="M922" s="242"/>
      <c r="N922" s="242"/>
      <c r="O922" s="242"/>
      <c r="P922" s="242"/>
      <c r="Q922" s="242"/>
      <c r="R922" s="242"/>
      <c r="S922" s="242"/>
      <c r="T922" s="242"/>
      <c r="U922" s="242"/>
      <c r="V922" s="242"/>
      <c r="W922" s="242"/>
      <c r="X922" s="242"/>
      <c r="Y922" s="242"/>
      <c r="Z922" s="242"/>
      <c r="AA922" s="242"/>
    </row>
    <row r="923">
      <c r="A923" s="242"/>
      <c r="B923" s="242"/>
      <c r="C923" s="13"/>
      <c r="D923" s="242"/>
      <c r="E923" s="242"/>
      <c r="F923" s="242"/>
      <c r="G923" s="242"/>
      <c r="H923" s="13"/>
      <c r="I923" s="13"/>
      <c r="J923" s="13"/>
      <c r="K923" s="13"/>
      <c r="L923" s="242"/>
      <c r="M923" s="242"/>
      <c r="N923" s="242"/>
      <c r="O923" s="242"/>
      <c r="P923" s="242"/>
      <c r="Q923" s="242"/>
      <c r="R923" s="242"/>
      <c r="S923" s="242"/>
      <c r="T923" s="242"/>
      <c r="U923" s="242"/>
      <c r="V923" s="242"/>
      <c r="W923" s="242"/>
      <c r="X923" s="242"/>
      <c r="Y923" s="242"/>
      <c r="Z923" s="242"/>
      <c r="AA923" s="242"/>
    </row>
    <row r="924">
      <c r="A924" s="242"/>
      <c r="B924" s="242"/>
      <c r="C924" s="13"/>
      <c r="D924" s="242"/>
      <c r="E924" s="242"/>
      <c r="F924" s="242"/>
      <c r="G924" s="242"/>
      <c r="H924" s="13"/>
      <c r="I924" s="13"/>
      <c r="J924" s="13"/>
      <c r="K924" s="13"/>
      <c r="L924" s="242"/>
      <c r="M924" s="242"/>
      <c r="N924" s="242"/>
      <c r="O924" s="242"/>
      <c r="P924" s="242"/>
      <c r="Q924" s="242"/>
      <c r="R924" s="242"/>
      <c r="S924" s="242"/>
      <c r="T924" s="242"/>
      <c r="U924" s="242"/>
      <c r="V924" s="242"/>
      <c r="W924" s="242"/>
      <c r="X924" s="242"/>
      <c r="Y924" s="242"/>
      <c r="Z924" s="242"/>
      <c r="AA924" s="242"/>
    </row>
    <row r="925">
      <c r="A925" s="242"/>
      <c r="B925" s="242"/>
      <c r="C925" s="13"/>
      <c r="D925" s="242"/>
      <c r="E925" s="242"/>
      <c r="F925" s="242"/>
      <c r="G925" s="242"/>
      <c r="H925" s="13"/>
      <c r="I925" s="13"/>
      <c r="J925" s="13"/>
      <c r="K925" s="13"/>
      <c r="L925" s="242"/>
      <c r="M925" s="242"/>
      <c r="N925" s="242"/>
      <c r="O925" s="242"/>
      <c r="P925" s="242"/>
      <c r="Q925" s="242"/>
      <c r="R925" s="242"/>
      <c r="S925" s="242"/>
      <c r="T925" s="242"/>
      <c r="U925" s="242"/>
      <c r="V925" s="242"/>
      <c r="W925" s="242"/>
      <c r="X925" s="242"/>
      <c r="Y925" s="242"/>
      <c r="Z925" s="242"/>
      <c r="AA925" s="242"/>
    </row>
    <row r="926">
      <c r="A926" s="242"/>
      <c r="B926" s="242"/>
      <c r="C926" s="13"/>
      <c r="D926" s="242"/>
      <c r="E926" s="242"/>
      <c r="F926" s="242"/>
      <c r="G926" s="242"/>
      <c r="H926" s="13"/>
      <c r="I926" s="13"/>
      <c r="J926" s="13"/>
      <c r="K926" s="13"/>
      <c r="L926" s="242"/>
      <c r="M926" s="242"/>
      <c r="N926" s="242"/>
      <c r="O926" s="242"/>
      <c r="P926" s="242"/>
      <c r="Q926" s="242"/>
      <c r="R926" s="242"/>
      <c r="S926" s="242"/>
      <c r="T926" s="242"/>
      <c r="U926" s="242"/>
      <c r="V926" s="242"/>
      <c r="W926" s="242"/>
      <c r="X926" s="242"/>
      <c r="Y926" s="242"/>
      <c r="Z926" s="242"/>
      <c r="AA926" s="242"/>
    </row>
    <row r="927">
      <c r="A927" s="242"/>
      <c r="B927" s="242"/>
      <c r="C927" s="13"/>
      <c r="D927" s="242"/>
      <c r="E927" s="242"/>
      <c r="F927" s="242"/>
      <c r="G927" s="242"/>
      <c r="H927" s="13"/>
      <c r="I927" s="13"/>
      <c r="J927" s="13"/>
      <c r="K927" s="13"/>
      <c r="L927" s="242"/>
      <c r="M927" s="242"/>
      <c r="N927" s="242"/>
      <c r="O927" s="242"/>
      <c r="P927" s="242"/>
      <c r="Q927" s="242"/>
      <c r="R927" s="242"/>
      <c r="S927" s="242"/>
      <c r="T927" s="242"/>
      <c r="U927" s="242"/>
      <c r="V927" s="242"/>
      <c r="W927" s="242"/>
      <c r="X927" s="242"/>
      <c r="Y927" s="242"/>
      <c r="Z927" s="242"/>
      <c r="AA927" s="242"/>
    </row>
    <row r="928">
      <c r="A928" s="242"/>
      <c r="B928" s="242"/>
      <c r="C928" s="13"/>
      <c r="D928" s="242"/>
      <c r="E928" s="242"/>
      <c r="F928" s="242"/>
      <c r="G928" s="242"/>
      <c r="H928" s="13"/>
      <c r="I928" s="13"/>
      <c r="J928" s="13"/>
      <c r="K928" s="13"/>
      <c r="L928" s="242"/>
      <c r="M928" s="242"/>
      <c r="N928" s="242"/>
      <c r="O928" s="242"/>
      <c r="P928" s="242"/>
      <c r="Q928" s="242"/>
      <c r="R928" s="242"/>
      <c r="S928" s="242"/>
      <c r="T928" s="242"/>
      <c r="U928" s="242"/>
      <c r="V928" s="242"/>
      <c r="W928" s="242"/>
      <c r="X928" s="242"/>
      <c r="Y928" s="242"/>
      <c r="Z928" s="242"/>
      <c r="AA928" s="242"/>
    </row>
    <row r="929">
      <c r="A929" s="242"/>
      <c r="B929" s="242"/>
      <c r="C929" s="13"/>
      <c r="D929" s="242"/>
      <c r="E929" s="242"/>
      <c r="F929" s="242"/>
      <c r="G929" s="242"/>
      <c r="H929" s="13"/>
      <c r="I929" s="13"/>
      <c r="J929" s="13"/>
      <c r="K929" s="13"/>
      <c r="L929" s="242"/>
      <c r="M929" s="242"/>
      <c r="N929" s="242"/>
      <c r="O929" s="242"/>
      <c r="P929" s="242"/>
      <c r="Q929" s="242"/>
      <c r="R929" s="242"/>
      <c r="S929" s="242"/>
      <c r="T929" s="242"/>
      <c r="U929" s="242"/>
      <c r="V929" s="242"/>
      <c r="W929" s="242"/>
      <c r="X929" s="242"/>
      <c r="Y929" s="242"/>
      <c r="Z929" s="242"/>
      <c r="AA929" s="242"/>
    </row>
    <row r="930">
      <c r="A930" s="242"/>
      <c r="B930" s="242"/>
      <c r="C930" s="13"/>
      <c r="D930" s="242"/>
      <c r="E930" s="242"/>
      <c r="F930" s="242"/>
      <c r="G930" s="242"/>
      <c r="H930" s="13"/>
      <c r="I930" s="13"/>
      <c r="J930" s="13"/>
      <c r="K930" s="13"/>
      <c r="L930" s="242"/>
      <c r="M930" s="242"/>
      <c r="N930" s="242"/>
      <c r="O930" s="242"/>
      <c r="P930" s="242"/>
      <c r="Q930" s="242"/>
      <c r="R930" s="242"/>
      <c r="S930" s="242"/>
      <c r="T930" s="242"/>
      <c r="U930" s="242"/>
      <c r="V930" s="242"/>
      <c r="W930" s="242"/>
      <c r="X930" s="242"/>
      <c r="Y930" s="242"/>
      <c r="Z930" s="242"/>
      <c r="AA930" s="242"/>
    </row>
    <row r="931">
      <c r="A931" s="242"/>
      <c r="B931" s="242"/>
      <c r="C931" s="13"/>
      <c r="D931" s="242"/>
      <c r="E931" s="242"/>
      <c r="F931" s="242"/>
      <c r="G931" s="242"/>
      <c r="H931" s="13"/>
      <c r="I931" s="13"/>
      <c r="J931" s="13"/>
      <c r="K931" s="13"/>
      <c r="L931" s="242"/>
      <c r="M931" s="242"/>
      <c r="N931" s="242"/>
      <c r="O931" s="242"/>
      <c r="P931" s="242"/>
      <c r="Q931" s="242"/>
      <c r="R931" s="242"/>
      <c r="S931" s="242"/>
      <c r="T931" s="242"/>
      <c r="U931" s="242"/>
      <c r="V931" s="242"/>
      <c r="W931" s="242"/>
      <c r="X931" s="242"/>
      <c r="Y931" s="242"/>
      <c r="Z931" s="242"/>
      <c r="AA931" s="242"/>
    </row>
    <row r="932">
      <c r="A932" s="242"/>
      <c r="B932" s="242"/>
      <c r="C932" s="13"/>
      <c r="D932" s="242"/>
      <c r="E932" s="242"/>
      <c r="F932" s="242"/>
      <c r="G932" s="242"/>
      <c r="H932" s="13"/>
      <c r="I932" s="13"/>
      <c r="J932" s="13"/>
      <c r="K932" s="13"/>
      <c r="L932" s="242"/>
      <c r="M932" s="242"/>
      <c r="N932" s="242"/>
      <c r="O932" s="242"/>
      <c r="P932" s="242"/>
      <c r="Q932" s="242"/>
      <c r="R932" s="242"/>
      <c r="S932" s="242"/>
      <c r="T932" s="242"/>
      <c r="U932" s="242"/>
      <c r="V932" s="242"/>
      <c r="W932" s="242"/>
      <c r="X932" s="242"/>
      <c r="Y932" s="242"/>
      <c r="Z932" s="242"/>
      <c r="AA932" s="242"/>
    </row>
    <row r="933">
      <c r="A933" s="242"/>
      <c r="B933" s="242"/>
      <c r="C933" s="13"/>
      <c r="D933" s="242"/>
      <c r="E933" s="242"/>
      <c r="F933" s="242"/>
      <c r="G933" s="242"/>
      <c r="H933" s="13"/>
      <c r="I933" s="13"/>
      <c r="J933" s="13"/>
      <c r="K933" s="13"/>
      <c r="L933" s="242"/>
      <c r="M933" s="242"/>
      <c r="N933" s="242"/>
      <c r="O933" s="242"/>
      <c r="P933" s="242"/>
      <c r="Q933" s="242"/>
      <c r="R933" s="242"/>
      <c r="S933" s="242"/>
      <c r="T933" s="242"/>
      <c r="U933" s="242"/>
      <c r="V933" s="242"/>
      <c r="W933" s="242"/>
      <c r="X933" s="242"/>
      <c r="Y933" s="242"/>
      <c r="Z933" s="242"/>
      <c r="AA933" s="242"/>
    </row>
    <row r="934">
      <c r="A934" s="242"/>
      <c r="B934" s="242"/>
      <c r="C934" s="13"/>
      <c r="D934" s="242"/>
      <c r="E934" s="242"/>
      <c r="F934" s="242"/>
      <c r="G934" s="242"/>
      <c r="H934" s="13"/>
      <c r="I934" s="13"/>
      <c r="J934" s="13"/>
      <c r="K934" s="13"/>
      <c r="L934" s="242"/>
      <c r="M934" s="242"/>
      <c r="N934" s="242"/>
      <c r="O934" s="242"/>
      <c r="P934" s="242"/>
      <c r="Q934" s="242"/>
      <c r="R934" s="242"/>
      <c r="S934" s="242"/>
      <c r="T934" s="242"/>
      <c r="U934" s="242"/>
      <c r="V934" s="242"/>
      <c r="W934" s="242"/>
      <c r="X934" s="242"/>
      <c r="Y934" s="242"/>
      <c r="Z934" s="242"/>
      <c r="AA934" s="242"/>
    </row>
    <row r="935">
      <c r="A935" s="242"/>
      <c r="B935" s="242"/>
      <c r="C935" s="13"/>
      <c r="D935" s="242"/>
      <c r="E935" s="242"/>
      <c r="F935" s="242"/>
      <c r="G935" s="242"/>
      <c r="H935" s="13"/>
      <c r="I935" s="13"/>
      <c r="J935" s="13"/>
      <c r="K935" s="13"/>
      <c r="L935" s="242"/>
      <c r="M935" s="242"/>
      <c r="N935" s="242"/>
      <c r="O935" s="242"/>
      <c r="P935" s="242"/>
      <c r="Q935" s="242"/>
      <c r="R935" s="242"/>
      <c r="S935" s="242"/>
      <c r="T935" s="242"/>
      <c r="U935" s="242"/>
      <c r="V935" s="242"/>
      <c r="W935" s="242"/>
      <c r="X935" s="242"/>
      <c r="Y935" s="242"/>
      <c r="Z935" s="242"/>
      <c r="AA935" s="242"/>
    </row>
    <row r="936">
      <c r="A936" s="242"/>
      <c r="B936" s="242"/>
      <c r="C936" s="13"/>
      <c r="D936" s="242"/>
      <c r="E936" s="242"/>
      <c r="F936" s="242"/>
      <c r="G936" s="242"/>
      <c r="H936" s="13"/>
      <c r="I936" s="13"/>
      <c r="J936" s="13"/>
      <c r="K936" s="13"/>
      <c r="L936" s="242"/>
      <c r="M936" s="242"/>
      <c r="N936" s="242"/>
      <c r="O936" s="242"/>
      <c r="P936" s="242"/>
      <c r="Q936" s="242"/>
      <c r="R936" s="242"/>
      <c r="S936" s="242"/>
      <c r="T936" s="242"/>
      <c r="U936" s="242"/>
      <c r="V936" s="242"/>
      <c r="W936" s="242"/>
      <c r="X936" s="242"/>
      <c r="Y936" s="242"/>
      <c r="Z936" s="242"/>
      <c r="AA936" s="242"/>
    </row>
    <row r="937">
      <c r="A937" s="242"/>
      <c r="B937" s="242"/>
      <c r="C937" s="13"/>
      <c r="D937" s="242"/>
      <c r="E937" s="242"/>
      <c r="F937" s="242"/>
      <c r="G937" s="242"/>
      <c r="H937" s="13"/>
      <c r="I937" s="13"/>
      <c r="J937" s="13"/>
      <c r="K937" s="13"/>
      <c r="L937" s="242"/>
      <c r="M937" s="242"/>
      <c r="N937" s="242"/>
      <c r="O937" s="242"/>
      <c r="P937" s="242"/>
      <c r="Q937" s="242"/>
      <c r="R937" s="242"/>
      <c r="S937" s="242"/>
      <c r="T937" s="242"/>
      <c r="U937" s="242"/>
      <c r="V937" s="242"/>
      <c r="W937" s="242"/>
      <c r="X937" s="242"/>
      <c r="Y937" s="242"/>
      <c r="Z937" s="242"/>
      <c r="AA937" s="242"/>
    </row>
    <row r="938">
      <c r="A938" s="242"/>
      <c r="B938" s="242"/>
      <c r="C938" s="13"/>
      <c r="D938" s="242"/>
      <c r="E938" s="242"/>
      <c r="F938" s="242"/>
      <c r="G938" s="242"/>
      <c r="H938" s="13"/>
      <c r="I938" s="13"/>
      <c r="J938" s="13"/>
      <c r="K938" s="13"/>
      <c r="L938" s="242"/>
      <c r="M938" s="242"/>
      <c r="N938" s="242"/>
      <c r="O938" s="242"/>
      <c r="P938" s="242"/>
      <c r="Q938" s="242"/>
      <c r="R938" s="242"/>
      <c r="S938" s="242"/>
      <c r="T938" s="242"/>
      <c r="U938" s="242"/>
      <c r="V938" s="242"/>
      <c r="W938" s="242"/>
      <c r="X938" s="242"/>
      <c r="Y938" s="242"/>
      <c r="Z938" s="242"/>
      <c r="AA938" s="242"/>
    </row>
    <row r="939">
      <c r="A939" s="242"/>
      <c r="B939" s="242"/>
      <c r="C939" s="13"/>
      <c r="D939" s="242"/>
      <c r="E939" s="242"/>
      <c r="F939" s="242"/>
      <c r="G939" s="242"/>
      <c r="H939" s="13"/>
      <c r="I939" s="13"/>
      <c r="J939" s="13"/>
      <c r="K939" s="13"/>
      <c r="L939" s="242"/>
      <c r="M939" s="242"/>
      <c r="N939" s="242"/>
      <c r="O939" s="242"/>
      <c r="P939" s="242"/>
      <c r="Q939" s="242"/>
      <c r="R939" s="242"/>
      <c r="S939" s="242"/>
      <c r="T939" s="242"/>
      <c r="U939" s="242"/>
      <c r="V939" s="242"/>
      <c r="W939" s="242"/>
      <c r="X939" s="242"/>
      <c r="Y939" s="242"/>
      <c r="Z939" s="242"/>
      <c r="AA939" s="242"/>
    </row>
    <row r="940">
      <c r="A940" s="242"/>
      <c r="B940" s="242"/>
      <c r="C940" s="13"/>
      <c r="D940" s="242"/>
      <c r="E940" s="242"/>
      <c r="F940" s="242"/>
      <c r="G940" s="242"/>
      <c r="H940" s="13"/>
      <c r="I940" s="13"/>
      <c r="J940" s="13"/>
      <c r="K940" s="13"/>
      <c r="L940" s="242"/>
      <c r="M940" s="242"/>
      <c r="N940" s="242"/>
      <c r="O940" s="242"/>
      <c r="P940" s="242"/>
      <c r="Q940" s="242"/>
      <c r="R940" s="242"/>
      <c r="S940" s="242"/>
      <c r="T940" s="242"/>
      <c r="U940" s="242"/>
      <c r="V940" s="242"/>
      <c r="W940" s="242"/>
      <c r="X940" s="242"/>
      <c r="Y940" s="242"/>
      <c r="Z940" s="242"/>
      <c r="AA940" s="242"/>
    </row>
    <row r="941">
      <c r="A941" s="242"/>
      <c r="B941" s="242"/>
      <c r="C941" s="13"/>
      <c r="D941" s="242"/>
      <c r="E941" s="242"/>
      <c r="F941" s="242"/>
      <c r="G941" s="242"/>
      <c r="H941" s="13"/>
      <c r="I941" s="13"/>
      <c r="J941" s="13"/>
      <c r="K941" s="13"/>
      <c r="L941" s="242"/>
      <c r="M941" s="242"/>
      <c r="N941" s="242"/>
      <c r="O941" s="242"/>
      <c r="P941" s="242"/>
      <c r="Q941" s="242"/>
      <c r="R941" s="242"/>
      <c r="S941" s="242"/>
      <c r="T941" s="242"/>
      <c r="U941" s="242"/>
      <c r="V941" s="242"/>
      <c r="W941" s="242"/>
      <c r="X941" s="242"/>
      <c r="Y941" s="242"/>
      <c r="Z941" s="242"/>
      <c r="AA941" s="242"/>
    </row>
    <row r="942">
      <c r="A942" s="242"/>
      <c r="B942" s="242"/>
      <c r="C942" s="13"/>
      <c r="D942" s="242"/>
      <c r="E942" s="242"/>
      <c r="F942" s="242"/>
      <c r="G942" s="242"/>
      <c r="H942" s="13"/>
      <c r="I942" s="13"/>
      <c r="J942" s="13"/>
      <c r="K942" s="13"/>
      <c r="L942" s="242"/>
      <c r="M942" s="242"/>
      <c r="N942" s="242"/>
      <c r="O942" s="242"/>
      <c r="P942" s="242"/>
      <c r="Q942" s="242"/>
      <c r="R942" s="242"/>
      <c r="S942" s="242"/>
      <c r="T942" s="242"/>
      <c r="U942" s="242"/>
      <c r="V942" s="242"/>
      <c r="W942" s="242"/>
      <c r="X942" s="242"/>
      <c r="Y942" s="242"/>
      <c r="Z942" s="242"/>
      <c r="AA942" s="242"/>
    </row>
    <row r="943">
      <c r="A943" s="242"/>
      <c r="B943" s="242"/>
      <c r="C943" s="13"/>
      <c r="D943" s="242"/>
      <c r="E943" s="242"/>
      <c r="F943" s="242"/>
      <c r="G943" s="242"/>
      <c r="H943" s="13"/>
      <c r="I943" s="13"/>
      <c r="J943" s="13"/>
      <c r="K943" s="13"/>
      <c r="L943" s="242"/>
      <c r="M943" s="242"/>
      <c r="N943" s="242"/>
      <c r="O943" s="242"/>
      <c r="P943" s="242"/>
      <c r="Q943" s="242"/>
      <c r="R943" s="242"/>
      <c r="S943" s="242"/>
      <c r="T943" s="242"/>
      <c r="U943" s="242"/>
      <c r="V943" s="242"/>
      <c r="W943" s="242"/>
      <c r="X943" s="242"/>
      <c r="Y943" s="242"/>
      <c r="Z943" s="242"/>
      <c r="AA943" s="242"/>
    </row>
    <row r="944">
      <c r="A944" s="242"/>
      <c r="B944" s="242"/>
      <c r="C944" s="13"/>
      <c r="D944" s="242"/>
      <c r="E944" s="242"/>
      <c r="F944" s="242"/>
      <c r="G944" s="242"/>
      <c r="H944" s="13"/>
      <c r="I944" s="13"/>
      <c r="J944" s="13"/>
      <c r="K944" s="13"/>
      <c r="L944" s="242"/>
      <c r="M944" s="242"/>
      <c r="N944" s="242"/>
      <c r="O944" s="242"/>
      <c r="P944" s="242"/>
      <c r="Q944" s="242"/>
      <c r="R944" s="242"/>
      <c r="S944" s="242"/>
      <c r="T944" s="242"/>
      <c r="U944" s="242"/>
      <c r="V944" s="242"/>
      <c r="W944" s="242"/>
      <c r="X944" s="242"/>
      <c r="Y944" s="242"/>
      <c r="Z944" s="242"/>
      <c r="AA944" s="242"/>
    </row>
    <row r="945">
      <c r="A945" s="242"/>
      <c r="B945" s="242"/>
      <c r="C945" s="13"/>
      <c r="D945" s="242"/>
      <c r="E945" s="242"/>
      <c r="F945" s="242"/>
      <c r="G945" s="242"/>
      <c r="H945" s="13"/>
      <c r="I945" s="13"/>
      <c r="J945" s="13"/>
      <c r="K945" s="13"/>
      <c r="L945" s="242"/>
      <c r="M945" s="242"/>
      <c r="N945" s="242"/>
      <c r="O945" s="242"/>
      <c r="P945" s="242"/>
      <c r="Q945" s="242"/>
      <c r="R945" s="242"/>
      <c r="S945" s="242"/>
      <c r="T945" s="242"/>
      <c r="U945" s="242"/>
      <c r="V945" s="242"/>
      <c r="W945" s="242"/>
      <c r="X945" s="242"/>
      <c r="Y945" s="242"/>
      <c r="Z945" s="242"/>
      <c r="AA945" s="242"/>
    </row>
    <row r="946">
      <c r="A946" s="242"/>
      <c r="B946" s="242"/>
      <c r="C946" s="13"/>
      <c r="D946" s="242"/>
      <c r="E946" s="242"/>
      <c r="F946" s="242"/>
      <c r="G946" s="242"/>
      <c r="H946" s="13"/>
      <c r="I946" s="13"/>
      <c r="J946" s="13"/>
      <c r="K946" s="13"/>
      <c r="L946" s="242"/>
      <c r="M946" s="242"/>
      <c r="N946" s="242"/>
      <c r="O946" s="242"/>
      <c r="P946" s="242"/>
      <c r="Q946" s="242"/>
      <c r="R946" s="242"/>
      <c r="S946" s="242"/>
      <c r="T946" s="242"/>
      <c r="U946" s="242"/>
      <c r="V946" s="242"/>
      <c r="W946" s="242"/>
      <c r="X946" s="242"/>
      <c r="Y946" s="242"/>
      <c r="Z946" s="242"/>
      <c r="AA946" s="242"/>
    </row>
    <row r="947">
      <c r="A947" s="242"/>
      <c r="B947" s="242"/>
      <c r="C947" s="13"/>
      <c r="D947" s="242"/>
      <c r="E947" s="242"/>
      <c r="F947" s="242"/>
      <c r="G947" s="242"/>
      <c r="H947" s="13"/>
      <c r="I947" s="13"/>
      <c r="J947" s="13"/>
      <c r="K947" s="13"/>
      <c r="L947" s="242"/>
      <c r="M947" s="242"/>
      <c r="N947" s="242"/>
      <c r="O947" s="242"/>
      <c r="P947" s="242"/>
      <c r="Q947" s="242"/>
      <c r="R947" s="242"/>
      <c r="S947" s="242"/>
      <c r="T947" s="242"/>
      <c r="U947" s="242"/>
      <c r="V947" s="242"/>
      <c r="W947" s="242"/>
      <c r="X947" s="242"/>
      <c r="Y947" s="242"/>
      <c r="Z947" s="242"/>
      <c r="AA947" s="242"/>
    </row>
    <row r="948">
      <c r="A948" s="242"/>
      <c r="B948" s="242"/>
      <c r="C948" s="13"/>
      <c r="D948" s="242"/>
      <c r="E948" s="242"/>
      <c r="F948" s="242"/>
      <c r="G948" s="242"/>
      <c r="H948" s="13"/>
      <c r="I948" s="13"/>
      <c r="J948" s="13"/>
      <c r="K948" s="13"/>
      <c r="L948" s="242"/>
      <c r="M948" s="242"/>
      <c r="N948" s="242"/>
      <c r="O948" s="242"/>
      <c r="P948" s="242"/>
      <c r="Q948" s="242"/>
      <c r="R948" s="242"/>
      <c r="S948" s="242"/>
      <c r="T948" s="242"/>
      <c r="U948" s="242"/>
      <c r="V948" s="242"/>
      <c r="W948" s="242"/>
      <c r="X948" s="242"/>
      <c r="Y948" s="242"/>
      <c r="Z948" s="242"/>
      <c r="AA948" s="242"/>
    </row>
    <row r="949">
      <c r="A949" s="242"/>
      <c r="B949" s="242"/>
      <c r="C949" s="13"/>
      <c r="D949" s="242"/>
      <c r="E949" s="242"/>
      <c r="F949" s="242"/>
      <c r="G949" s="242"/>
      <c r="H949" s="13"/>
      <c r="I949" s="13"/>
      <c r="J949" s="13"/>
      <c r="K949" s="13"/>
      <c r="L949" s="242"/>
      <c r="M949" s="242"/>
      <c r="N949" s="242"/>
      <c r="O949" s="242"/>
      <c r="P949" s="242"/>
      <c r="Q949" s="242"/>
      <c r="R949" s="242"/>
      <c r="S949" s="242"/>
      <c r="T949" s="242"/>
      <c r="U949" s="242"/>
      <c r="V949" s="242"/>
      <c r="W949" s="242"/>
      <c r="X949" s="242"/>
      <c r="Y949" s="242"/>
      <c r="Z949" s="242"/>
      <c r="AA949" s="242"/>
    </row>
    <row r="950">
      <c r="A950" s="242"/>
      <c r="B950" s="242"/>
      <c r="C950" s="13"/>
      <c r="D950" s="242"/>
      <c r="E950" s="242"/>
      <c r="F950" s="242"/>
      <c r="G950" s="242"/>
      <c r="H950" s="13"/>
      <c r="I950" s="13"/>
      <c r="J950" s="13"/>
      <c r="K950" s="13"/>
      <c r="L950" s="242"/>
      <c r="M950" s="242"/>
      <c r="N950" s="242"/>
      <c r="O950" s="242"/>
      <c r="P950" s="242"/>
      <c r="Q950" s="242"/>
      <c r="R950" s="242"/>
      <c r="S950" s="242"/>
      <c r="T950" s="242"/>
      <c r="U950" s="242"/>
      <c r="V950" s="242"/>
      <c r="W950" s="242"/>
      <c r="X950" s="242"/>
      <c r="Y950" s="242"/>
      <c r="Z950" s="242"/>
      <c r="AA950" s="242"/>
    </row>
    <row r="951">
      <c r="A951" s="242"/>
      <c r="B951" s="242"/>
      <c r="C951" s="13"/>
      <c r="D951" s="242"/>
      <c r="E951" s="242"/>
      <c r="F951" s="242"/>
      <c r="G951" s="242"/>
      <c r="H951" s="13"/>
      <c r="I951" s="13"/>
      <c r="J951" s="13"/>
      <c r="K951" s="13"/>
      <c r="L951" s="242"/>
      <c r="M951" s="242"/>
      <c r="N951" s="242"/>
      <c r="O951" s="242"/>
      <c r="P951" s="242"/>
      <c r="Q951" s="242"/>
      <c r="R951" s="242"/>
      <c r="S951" s="242"/>
      <c r="T951" s="242"/>
      <c r="U951" s="242"/>
      <c r="V951" s="242"/>
      <c r="W951" s="242"/>
      <c r="X951" s="242"/>
      <c r="Y951" s="242"/>
      <c r="Z951" s="242"/>
      <c r="AA951" s="242"/>
    </row>
    <row r="952">
      <c r="A952" s="242"/>
      <c r="B952" s="242"/>
      <c r="C952" s="13"/>
      <c r="D952" s="242"/>
      <c r="E952" s="242"/>
      <c r="F952" s="242"/>
      <c r="G952" s="242"/>
      <c r="H952" s="13"/>
      <c r="I952" s="13"/>
      <c r="J952" s="13"/>
      <c r="K952" s="13"/>
      <c r="L952" s="242"/>
      <c r="M952" s="242"/>
      <c r="N952" s="242"/>
      <c r="O952" s="242"/>
      <c r="P952" s="242"/>
      <c r="Q952" s="242"/>
      <c r="R952" s="242"/>
      <c r="S952" s="242"/>
      <c r="T952" s="242"/>
      <c r="U952" s="242"/>
      <c r="V952" s="242"/>
      <c r="W952" s="242"/>
      <c r="X952" s="242"/>
      <c r="Y952" s="242"/>
      <c r="Z952" s="242"/>
      <c r="AA952" s="242"/>
    </row>
    <row r="953">
      <c r="A953" s="242"/>
      <c r="B953" s="242"/>
      <c r="C953" s="13"/>
      <c r="D953" s="242"/>
      <c r="E953" s="242"/>
      <c r="F953" s="242"/>
      <c r="G953" s="242"/>
      <c r="H953" s="13"/>
      <c r="I953" s="13"/>
      <c r="J953" s="13"/>
      <c r="K953" s="13"/>
      <c r="L953" s="242"/>
      <c r="M953" s="242"/>
      <c r="N953" s="242"/>
      <c r="O953" s="242"/>
      <c r="P953" s="242"/>
      <c r="Q953" s="242"/>
      <c r="R953" s="242"/>
      <c r="S953" s="242"/>
      <c r="T953" s="242"/>
      <c r="U953" s="242"/>
      <c r="V953" s="242"/>
      <c r="W953" s="242"/>
      <c r="X953" s="242"/>
      <c r="Y953" s="242"/>
      <c r="Z953" s="242"/>
      <c r="AA953" s="242"/>
    </row>
    <row r="954">
      <c r="A954" s="242"/>
      <c r="B954" s="242"/>
      <c r="C954" s="13"/>
      <c r="D954" s="242"/>
      <c r="E954" s="242"/>
      <c r="F954" s="242"/>
      <c r="G954" s="242"/>
      <c r="H954" s="13"/>
      <c r="I954" s="13"/>
      <c r="J954" s="13"/>
      <c r="K954" s="13"/>
      <c r="L954" s="242"/>
      <c r="M954" s="242"/>
      <c r="N954" s="242"/>
      <c r="O954" s="242"/>
      <c r="P954" s="242"/>
      <c r="Q954" s="242"/>
      <c r="R954" s="242"/>
      <c r="S954" s="242"/>
      <c r="T954" s="242"/>
      <c r="U954" s="242"/>
      <c r="V954" s="242"/>
      <c r="W954" s="242"/>
      <c r="X954" s="242"/>
      <c r="Y954" s="242"/>
      <c r="Z954" s="242"/>
      <c r="AA954" s="242"/>
    </row>
    <row r="955">
      <c r="A955" s="242"/>
      <c r="B955" s="242"/>
      <c r="C955" s="13"/>
      <c r="D955" s="242"/>
      <c r="E955" s="242"/>
      <c r="F955" s="242"/>
      <c r="G955" s="242"/>
      <c r="H955" s="13"/>
      <c r="I955" s="13"/>
      <c r="J955" s="13"/>
      <c r="K955" s="13"/>
      <c r="L955" s="242"/>
      <c r="M955" s="242"/>
      <c r="N955" s="242"/>
      <c r="O955" s="242"/>
      <c r="P955" s="242"/>
      <c r="Q955" s="242"/>
      <c r="R955" s="242"/>
      <c r="S955" s="242"/>
      <c r="T955" s="242"/>
      <c r="U955" s="242"/>
      <c r="V955" s="242"/>
      <c r="W955" s="242"/>
      <c r="X955" s="242"/>
      <c r="Y955" s="242"/>
      <c r="Z955" s="242"/>
      <c r="AA955" s="242"/>
    </row>
    <row r="956">
      <c r="A956" s="242"/>
      <c r="B956" s="242"/>
      <c r="C956" s="13"/>
      <c r="D956" s="242"/>
      <c r="E956" s="242"/>
      <c r="F956" s="242"/>
      <c r="G956" s="242"/>
      <c r="H956" s="13"/>
      <c r="I956" s="13"/>
      <c r="J956" s="13"/>
      <c r="K956" s="13"/>
      <c r="L956" s="242"/>
      <c r="M956" s="242"/>
      <c r="N956" s="242"/>
      <c r="O956" s="242"/>
      <c r="P956" s="242"/>
      <c r="Q956" s="242"/>
      <c r="R956" s="242"/>
      <c r="S956" s="242"/>
      <c r="T956" s="242"/>
      <c r="U956" s="242"/>
      <c r="V956" s="242"/>
      <c r="W956" s="242"/>
      <c r="X956" s="242"/>
      <c r="Y956" s="242"/>
      <c r="Z956" s="242"/>
      <c r="AA956" s="242"/>
    </row>
    <row r="957">
      <c r="A957" s="242"/>
      <c r="B957" s="242"/>
      <c r="C957" s="13"/>
      <c r="D957" s="242"/>
      <c r="E957" s="242"/>
      <c r="F957" s="242"/>
      <c r="G957" s="242"/>
      <c r="H957" s="13"/>
      <c r="I957" s="13"/>
      <c r="J957" s="13"/>
      <c r="K957" s="13"/>
      <c r="L957" s="242"/>
      <c r="M957" s="242"/>
      <c r="N957" s="242"/>
      <c r="O957" s="242"/>
      <c r="P957" s="242"/>
      <c r="Q957" s="242"/>
      <c r="R957" s="242"/>
      <c r="S957" s="242"/>
      <c r="T957" s="242"/>
      <c r="U957" s="242"/>
      <c r="V957" s="242"/>
      <c r="W957" s="242"/>
      <c r="X957" s="242"/>
      <c r="Y957" s="242"/>
      <c r="Z957" s="242"/>
      <c r="AA957" s="242"/>
    </row>
    <row r="958">
      <c r="A958" s="242"/>
      <c r="B958" s="242"/>
      <c r="C958" s="13"/>
      <c r="D958" s="242"/>
      <c r="E958" s="242"/>
      <c r="F958" s="242"/>
      <c r="G958" s="242"/>
      <c r="H958" s="13"/>
      <c r="I958" s="13"/>
      <c r="J958" s="13"/>
      <c r="K958" s="13"/>
      <c r="L958" s="242"/>
      <c r="M958" s="242"/>
      <c r="N958" s="242"/>
      <c r="O958" s="242"/>
      <c r="P958" s="242"/>
      <c r="Q958" s="242"/>
      <c r="R958" s="242"/>
      <c r="S958" s="242"/>
      <c r="T958" s="242"/>
      <c r="U958" s="242"/>
      <c r="V958" s="242"/>
      <c r="W958" s="242"/>
      <c r="X958" s="242"/>
      <c r="Y958" s="242"/>
      <c r="Z958" s="242"/>
      <c r="AA958" s="242"/>
    </row>
    <row r="959">
      <c r="A959" s="242"/>
      <c r="B959" s="242"/>
      <c r="C959" s="13"/>
      <c r="D959" s="242"/>
      <c r="E959" s="242"/>
      <c r="F959" s="242"/>
      <c r="G959" s="242"/>
      <c r="H959" s="13"/>
      <c r="I959" s="13"/>
      <c r="J959" s="13"/>
      <c r="K959" s="13"/>
      <c r="L959" s="242"/>
      <c r="M959" s="242"/>
      <c r="N959" s="242"/>
      <c r="O959" s="242"/>
      <c r="P959" s="242"/>
      <c r="Q959" s="242"/>
      <c r="R959" s="242"/>
      <c r="S959" s="242"/>
      <c r="T959" s="242"/>
      <c r="U959" s="242"/>
      <c r="V959" s="242"/>
      <c r="W959" s="242"/>
      <c r="X959" s="242"/>
      <c r="Y959" s="242"/>
      <c r="Z959" s="242"/>
      <c r="AA959" s="242"/>
    </row>
    <row r="960">
      <c r="A960" s="242"/>
      <c r="B960" s="242"/>
      <c r="C960" s="13"/>
      <c r="D960" s="242"/>
      <c r="E960" s="242"/>
      <c r="F960" s="242"/>
      <c r="G960" s="242"/>
      <c r="H960" s="13"/>
      <c r="I960" s="13"/>
      <c r="J960" s="13"/>
      <c r="K960" s="13"/>
      <c r="L960" s="242"/>
      <c r="M960" s="242"/>
      <c r="N960" s="242"/>
      <c r="O960" s="242"/>
      <c r="P960" s="242"/>
      <c r="Q960" s="242"/>
      <c r="R960" s="242"/>
      <c r="S960" s="242"/>
      <c r="T960" s="242"/>
      <c r="U960" s="242"/>
      <c r="V960" s="242"/>
      <c r="W960" s="242"/>
      <c r="X960" s="242"/>
      <c r="Y960" s="242"/>
      <c r="Z960" s="242"/>
      <c r="AA960" s="242"/>
    </row>
    <row r="961">
      <c r="A961" s="242"/>
      <c r="B961" s="242"/>
      <c r="C961" s="13"/>
      <c r="D961" s="242"/>
      <c r="E961" s="242"/>
      <c r="F961" s="242"/>
      <c r="G961" s="242"/>
      <c r="H961" s="13"/>
      <c r="I961" s="13"/>
      <c r="J961" s="13"/>
      <c r="K961" s="13"/>
      <c r="L961" s="242"/>
      <c r="M961" s="242"/>
      <c r="N961" s="242"/>
      <c r="O961" s="242"/>
      <c r="P961" s="242"/>
      <c r="Q961" s="242"/>
      <c r="R961" s="242"/>
      <c r="S961" s="242"/>
      <c r="T961" s="242"/>
      <c r="U961" s="242"/>
      <c r="V961" s="242"/>
      <c r="W961" s="242"/>
      <c r="X961" s="242"/>
      <c r="Y961" s="242"/>
      <c r="Z961" s="242"/>
      <c r="AA961" s="242"/>
    </row>
    <row r="962">
      <c r="A962" s="242"/>
      <c r="B962" s="242"/>
      <c r="C962" s="13"/>
      <c r="D962" s="242"/>
      <c r="E962" s="242"/>
      <c r="F962" s="242"/>
      <c r="G962" s="242"/>
      <c r="H962" s="13"/>
      <c r="I962" s="13"/>
      <c r="J962" s="13"/>
      <c r="K962" s="13"/>
      <c r="L962" s="242"/>
      <c r="M962" s="242"/>
      <c r="N962" s="242"/>
      <c r="O962" s="242"/>
      <c r="P962" s="242"/>
      <c r="Q962" s="242"/>
      <c r="R962" s="242"/>
      <c r="S962" s="242"/>
      <c r="T962" s="242"/>
      <c r="U962" s="242"/>
      <c r="V962" s="242"/>
      <c r="W962" s="242"/>
      <c r="X962" s="242"/>
      <c r="Y962" s="242"/>
      <c r="Z962" s="242"/>
      <c r="AA962" s="242"/>
    </row>
    <row r="963">
      <c r="A963" s="242"/>
      <c r="B963" s="242"/>
      <c r="C963" s="13"/>
      <c r="D963" s="242"/>
      <c r="E963" s="242"/>
      <c r="F963" s="242"/>
      <c r="G963" s="242"/>
      <c r="H963" s="13"/>
      <c r="I963" s="13"/>
      <c r="J963" s="13"/>
      <c r="K963" s="13"/>
      <c r="L963" s="242"/>
      <c r="M963" s="242"/>
      <c r="N963" s="242"/>
      <c r="O963" s="242"/>
      <c r="P963" s="242"/>
      <c r="Q963" s="242"/>
      <c r="R963" s="242"/>
      <c r="S963" s="242"/>
      <c r="T963" s="242"/>
      <c r="U963" s="242"/>
      <c r="V963" s="242"/>
      <c r="W963" s="242"/>
      <c r="X963" s="242"/>
      <c r="Y963" s="242"/>
      <c r="Z963" s="242"/>
      <c r="AA963" s="242"/>
    </row>
    <row r="964">
      <c r="A964" s="242"/>
      <c r="B964" s="242"/>
      <c r="C964" s="13"/>
      <c r="D964" s="242"/>
      <c r="E964" s="242"/>
      <c r="F964" s="242"/>
      <c r="G964" s="242"/>
      <c r="H964" s="13"/>
      <c r="I964" s="13"/>
      <c r="J964" s="13"/>
      <c r="K964" s="13"/>
      <c r="L964" s="242"/>
      <c r="M964" s="242"/>
      <c r="N964" s="242"/>
      <c r="O964" s="242"/>
      <c r="P964" s="242"/>
      <c r="Q964" s="242"/>
      <c r="R964" s="242"/>
      <c r="S964" s="242"/>
      <c r="T964" s="242"/>
      <c r="U964" s="242"/>
      <c r="V964" s="242"/>
      <c r="W964" s="242"/>
      <c r="X964" s="242"/>
      <c r="Y964" s="242"/>
      <c r="Z964" s="242"/>
      <c r="AA964" s="242"/>
    </row>
    <row r="965">
      <c r="A965" s="242"/>
      <c r="B965" s="242"/>
      <c r="C965" s="13"/>
      <c r="D965" s="242"/>
      <c r="E965" s="242"/>
      <c r="F965" s="242"/>
      <c r="G965" s="242"/>
      <c r="H965" s="13"/>
      <c r="I965" s="13"/>
      <c r="J965" s="13"/>
      <c r="K965" s="13"/>
      <c r="L965" s="242"/>
      <c r="M965" s="242"/>
      <c r="N965" s="242"/>
      <c r="O965" s="242"/>
      <c r="P965" s="242"/>
      <c r="Q965" s="242"/>
      <c r="R965" s="242"/>
      <c r="S965" s="242"/>
      <c r="T965" s="242"/>
      <c r="U965" s="242"/>
      <c r="V965" s="242"/>
      <c r="W965" s="242"/>
      <c r="X965" s="242"/>
      <c r="Y965" s="242"/>
      <c r="Z965" s="242"/>
      <c r="AA965" s="242"/>
    </row>
    <row r="966">
      <c r="A966" s="242"/>
      <c r="B966" s="242"/>
      <c r="C966" s="13"/>
      <c r="D966" s="242"/>
      <c r="E966" s="242"/>
      <c r="F966" s="242"/>
      <c r="G966" s="242"/>
      <c r="H966" s="13"/>
      <c r="I966" s="13"/>
      <c r="J966" s="13"/>
      <c r="K966" s="13"/>
      <c r="L966" s="242"/>
      <c r="M966" s="242"/>
      <c r="N966" s="242"/>
      <c r="O966" s="242"/>
      <c r="P966" s="242"/>
      <c r="Q966" s="242"/>
      <c r="R966" s="242"/>
      <c r="S966" s="242"/>
      <c r="T966" s="242"/>
      <c r="U966" s="242"/>
      <c r="V966" s="242"/>
      <c r="W966" s="242"/>
      <c r="X966" s="242"/>
      <c r="Y966" s="242"/>
      <c r="Z966" s="242"/>
      <c r="AA966" s="242"/>
    </row>
    <row r="967">
      <c r="A967" s="242"/>
      <c r="B967" s="242"/>
      <c r="C967" s="13"/>
      <c r="D967" s="242"/>
      <c r="E967" s="242"/>
      <c r="F967" s="242"/>
      <c r="G967" s="242"/>
      <c r="H967" s="13"/>
      <c r="I967" s="13"/>
      <c r="J967" s="13"/>
      <c r="K967" s="13"/>
      <c r="L967" s="242"/>
      <c r="M967" s="242"/>
      <c r="N967" s="242"/>
      <c r="O967" s="242"/>
      <c r="P967" s="242"/>
      <c r="Q967" s="242"/>
      <c r="R967" s="242"/>
      <c r="S967" s="242"/>
      <c r="T967" s="242"/>
      <c r="U967" s="242"/>
      <c r="V967" s="242"/>
      <c r="W967" s="242"/>
      <c r="X967" s="242"/>
      <c r="Y967" s="242"/>
      <c r="Z967" s="242"/>
      <c r="AA967" s="242"/>
    </row>
    <row r="968">
      <c r="A968" s="242"/>
      <c r="B968" s="242"/>
      <c r="C968" s="13"/>
      <c r="D968" s="242"/>
      <c r="E968" s="242"/>
      <c r="F968" s="242"/>
      <c r="G968" s="242"/>
      <c r="H968" s="13"/>
      <c r="I968" s="13"/>
      <c r="J968" s="13"/>
      <c r="K968" s="13"/>
      <c r="L968" s="242"/>
      <c r="M968" s="242"/>
      <c r="N968" s="242"/>
      <c r="O968" s="242"/>
      <c r="P968" s="242"/>
      <c r="Q968" s="242"/>
      <c r="R968" s="242"/>
      <c r="S968" s="242"/>
      <c r="T968" s="242"/>
      <c r="U968" s="242"/>
      <c r="V968" s="242"/>
      <c r="W968" s="242"/>
      <c r="X968" s="242"/>
      <c r="Y968" s="242"/>
      <c r="Z968" s="242"/>
      <c r="AA968" s="242"/>
    </row>
    <row r="969">
      <c r="A969" s="242"/>
      <c r="B969" s="242"/>
      <c r="C969" s="13"/>
      <c r="D969" s="242"/>
      <c r="E969" s="242"/>
      <c r="F969" s="242"/>
      <c r="G969" s="242"/>
      <c r="H969" s="13"/>
      <c r="I969" s="13"/>
      <c r="J969" s="13"/>
      <c r="K969" s="13"/>
      <c r="L969" s="242"/>
      <c r="M969" s="242"/>
      <c r="N969" s="242"/>
      <c r="O969" s="242"/>
      <c r="P969" s="242"/>
      <c r="Q969" s="242"/>
      <c r="R969" s="242"/>
      <c r="S969" s="242"/>
      <c r="T969" s="242"/>
      <c r="U969" s="242"/>
      <c r="V969" s="242"/>
      <c r="W969" s="242"/>
      <c r="X969" s="242"/>
      <c r="Y969" s="242"/>
      <c r="Z969" s="242"/>
      <c r="AA969" s="242"/>
    </row>
    <row r="970">
      <c r="A970" s="242"/>
      <c r="B970" s="242"/>
      <c r="C970" s="13"/>
      <c r="D970" s="242"/>
      <c r="E970" s="242"/>
      <c r="F970" s="242"/>
      <c r="G970" s="242"/>
      <c r="H970" s="13"/>
      <c r="I970" s="13"/>
      <c r="J970" s="13"/>
      <c r="K970" s="13"/>
      <c r="L970" s="242"/>
      <c r="M970" s="242"/>
      <c r="N970" s="242"/>
      <c r="O970" s="242"/>
      <c r="P970" s="242"/>
      <c r="Q970" s="242"/>
      <c r="R970" s="242"/>
      <c r="S970" s="242"/>
      <c r="T970" s="242"/>
      <c r="U970" s="242"/>
      <c r="V970" s="242"/>
      <c r="W970" s="242"/>
      <c r="X970" s="242"/>
      <c r="Y970" s="242"/>
      <c r="Z970" s="242"/>
      <c r="AA970" s="242"/>
    </row>
    <row r="971">
      <c r="A971" s="242"/>
      <c r="B971" s="242"/>
      <c r="C971" s="13"/>
      <c r="D971" s="242"/>
      <c r="E971" s="242"/>
      <c r="F971" s="242"/>
      <c r="G971" s="242"/>
      <c r="H971" s="13"/>
      <c r="I971" s="13"/>
      <c r="J971" s="13"/>
      <c r="K971" s="13"/>
      <c r="L971" s="242"/>
      <c r="M971" s="242"/>
      <c r="N971" s="242"/>
      <c r="O971" s="242"/>
      <c r="P971" s="242"/>
      <c r="Q971" s="242"/>
      <c r="R971" s="242"/>
      <c r="S971" s="242"/>
      <c r="T971" s="242"/>
      <c r="U971" s="242"/>
      <c r="V971" s="242"/>
      <c r="W971" s="242"/>
      <c r="X971" s="242"/>
      <c r="Y971" s="242"/>
      <c r="Z971" s="242"/>
      <c r="AA971" s="242"/>
    </row>
    <row r="972">
      <c r="A972" s="242"/>
      <c r="B972" s="242"/>
      <c r="C972" s="13"/>
      <c r="D972" s="242"/>
      <c r="E972" s="242"/>
      <c r="F972" s="242"/>
      <c r="G972" s="242"/>
      <c r="H972" s="13"/>
      <c r="I972" s="13"/>
      <c r="J972" s="13"/>
      <c r="K972" s="13"/>
      <c r="L972" s="242"/>
      <c r="M972" s="242"/>
      <c r="N972" s="242"/>
      <c r="O972" s="242"/>
      <c r="P972" s="242"/>
      <c r="Q972" s="242"/>
      <c r="R972" s="242"/>
      <c r="S972" s="242"/>
      <c r="T972" s="242"/>
      <c r="U972" s="242"/>
      <c r="V972" s="242"/>
      <c r="W972" s="242"/>
      <c r="X972" s="242"/>
      <c r="Y972" s="242"/>
      <c r="Z972" s="242"/>
      <c r="AA972" s="242"/>
    </row>
    <row r="973">
      <c r="A973" s="242"/>
      <c r="B973" s="242"/>
      <c r="C973" s="13"/>
      <c r="D973" s="242"/>
      <c r="E973" s="242"/>
      <c r="F973" s="242"/>
      <c r="G973" s="242"/>
      <c r="H973" s="13"/>
      <c r="I973" s="13"/>
      <c r="J973" s="13"/>
      <c r="K973" s="13"/>
      <c r="L973" s="242"/>
      <c r="M973" s="242"/>
      <c r="N973" s="242"/>
      <c r="O973" s="242"/>
      <c r="P973" s="242"/>
      <c r="Q973" s="242"/>
      <c r="R973" s="242"/>
      <c r="S973" s="242"/>
      <c r="T973" s="242"/>
      <c r="U973" s="242"/>
      <c r="V973" s="242"/>
      <c r="W973" s="242"/>
      <c r="X973" s="242"/>
      <c r="Y973" s="242"/>
      <c r="Z973" s="242"/>
      <c r="AA973" s="242"/>
    </row>
    <row r="974">
      <c r="A974" s="242"/>
      <c r="B974" s="242"/>
      <c r="C974" s="13"/>
      <c r="D974" s="242"/>
      <c r="E974" s="242"/>
      <c r="F974" s="242"/>
      <c r="G974" s="242"/>
      <c r="H974" s="13"/>
      <c r="I974" s="13"/>
      <c r="J974" s="13"/>
      <c r="K974" s="13"/>
      <c r="L974" s="242"/>
      <c r="M974" s="242"/>
      <c r="N974" s="242"/>
      <c r="O974" s="242"/>
      <c r="P974" s="242"/>
      <c r="Q974" s="242"/>
      <c r="R974" s="242"/>
      <c r="S974" s="242"/>
      <c r="T974" s="242"/>
      <c r="U974" s="242"/>
      <c r="V974" s="242"/>
      <c r="W974" s="242"/>
      <c r="X974" s="242"/>
      <c r="Y974" s="242"/>
      <c r="Z974" s="242"/>
      <c r="AA974" s="242"/>
    </row>
    <row r="975">
      <c r="A975" s="242"/>
      <c r="B975" s="242"/>
      <c r="C975" s="13"/>
      <c r="D975" s="242"/>
      <c r="E975" s="242"/>
      <c r="F975" s="242"/>
      <c r="G975" s="242"/>
      <c r="H975" s="13"/>
      <c r="I975" s="13"/>
      <c r="J975" s="13"/>
      <c r="K975" s="13"/>
      <c r="L975" s="242"/>
      <c r="M975" s="242"/>
      <c r="N975" s="242"/>
      <c r="O975" s="242"/>
      <c r="P975" s="242"/>
      <c r="Q975" s="242"/>
      <c r="R975" s="242"/>
      <c r="S975" s="242"/>
      <c r="T975" s="242"/>
      <c r="U975" s="242"/>
      <c r="V975" s="242"/>
      <c r="W975" s="242"/>
      <c r="X975" s="242"/>
      <c r="Y975" s="242"/>
      <c r="Z975" s="242"/>
      <c r="AA975" s="242"/>
    </row>
    <row r="976">
      <c r="A976" s="242"/>
      <c r="B976" s="242"/>
      <c r="C976" s="13"/>
      <c r="D976" s="242"/>
      <c r="E976" s="242"/>
      <c r="F976" s="242"/>
      <c r="G976" s="242"/>
      <c r="H976" s="13"/>
      <c r="I976" s="13"/>
      <c r="J976" s="13"/>
      <c r="K976" s="13"/>
      <c r="L976" s="242"/>
      <c r="M976" s="242"/>
      <c r="N976" s="242"/>
      <c r="O976" s="242"/>
      <c r="P976" s="242"/>
      <c r="Q976" s="242"/>
      <c r="R976" s="242"/>
      <c r="S976" s="242"/>
      <c r="T976" s="242"/>
      <c r="U976" s="242"/>
      <c r="V976" s="242"/>
      <c r="W976" s="242"/>
      <c r="X976" s="242"/>
      <c r="Y976" s="242"/>
      <c r="Z976" s="242"/>
      <c r="AA976" s="242"/>
    </row>
    <row r="977">
      <c r="A977" s="242"/>
      <c r="B977" s="242"/>
      <c r="C977" s="13"/>
      <c r="D977" s="242"/>
      <c r="E977" s="242"/>
      <c r="F977" s="242"/>
      <c r="G977" s="242"/>
      <c r="H977" s="13"/>
      <c r="I977" s="13"/>
      <c r="J977" s="13"/>
      <c r="K977" s="13"/>
      <c r="L977" s="242"/>
      <c r="M977" s="242"/>
      <c r="N977" s="242"/>
      <c r="O977" s="242"/>
      <c r="P977" s="242"/>
      <c r="Q977" s="242"/>
      <c r="R977" s="242"/>
      <c r="S977" s="242"/>
      <c r="T977" s="242"/>
      <c r="U977" s="242"/>
      <c r="V977" s="242"/>
      <c r="W977" s="242"/>
      <c r="X977" s="242"/>
      <c r="Y977" s="242"/>
      <c r="Z977" s="242"/>
      <c r="AA977" s="242"/>
    </row>
    <row r="978">
      <c r="A978" s="242"/>
      <c r="B978" s="242"/>
      <c r="C978" s="13"/>
      <c r="D978" s="242"/>
      <c r="E978" s="242"/>
      <c r="F978" s="242"/>
      <c r="G978" s="242"/>
      <c r="H978" s="13"/>
      <c r="I978" s="13"/>
      <c r="J978" s="13"/>
      <c r="K978" s="13"/>
      <c r="L978" s="242"/>
      <c r="M978" s="242"/>
      <c r="N978" s="242"/>
      <c r="O978" s="242"/>
      <c r="P978" s="242"/>
      <c r="Q978" s="242"/>
      <c r="R978" s="242"/>
      <c r="S978" s="242"/>
      <c r="T978" s="242"/>
      <c r="U978" s="242"/>
      <c r="V978" s="242"/>
      <c r="W978" s="242"/>
      <c r="X978" s="242"/>
      <c r="Y978" s="242"/>
      <c r="Z978" s="242"/>
      <c r="AA978" s="242"/>
    </row>
    <row r="979">
      <c r="A979" s="242"/>
      <c r="B979" s="242"/>
      <c r="C979" s="13"/>
      <c r="D979" s="242"/>
      <c r="E979" s="242"/>
      <c r="F979" s="242"/>
      <c r="G979" s="242"/>
      <c r="H979" s="13"/>
      <c r="I979" s="13"/>
      <c r="J979" s="13"/>
      <c r="K979" s="13"/>
      <c r="L979" s="242"/>
      <c r="M979" s="242"/>
      <c r="N979" s="242"/>
      <c r="O979" s="242"/>
      <c r="P979" s="242"/>
      <c r="Q979" s="242"/>
      <c r="R979" s="242"/>
      <c r="S979" s="242"/>
      <c r="T979" s="242"/>
      <c r="U979" s="242"/>
      <c r="V979" s="242"/>
      <c r="W979" s="242"/>
      <c r="X979" s="242"/>
      <c r="Y979" s="242"/>
      <c r="Z979" s="242"/>
      <c r="AA979" s="242"/>
    </row>
    <row r="980">
      <c r="A980" s="242"/>
      <c r="B980" s="242"/>
      <c r="C980" s="13"/>
      <c r="D980" s="242"/>
      <c r="E980" s="242"/>
      <c r="F980" s="242"/>
      <c r="G980" s="242"/>
      <c r="H980" s="13"/>
      <c r="I980" s="13"/>
      <c r="J980" s="13"/>
      <c r="K980" s="13"/>
      <c r="L980" s="242"/>
      <c r="M980" s="242"/>
      <c r="N980" s="242"/>
      <c r="O980" s="242"/>
      <c r="P980" s="242"/>
      <c r="Q980" s="242"/>
      <c r="R980" s="242"/>
      <c r="S980" s="242"/>
      <c r="T980" s="242"/>
      <c r="U980" s="242"/>
      <c r="V980" s="242"/>
      <c r="W980" s="242"/>
      <c r="X980" s="242"/>
      <c r="Y980" s="242"/>
      <c r="Z980" s="242"/>
      <c r="AA980" s="242"/>
    </row>
    <row r="981">
      <c r="A981" s="242"/>
      <c r="B981" s="242"/>
      <c r="C981" s="13"/>
      <c r="D981" s="242"/>
      <c r="E981" s="242"/>
      <c r="F981" s="242"/>
      <c r="G981" s="242"/>
      <c r="H981" s="13"/>
      <c r="I981" s="13"/>
      <c r="J981" s="13"/>
      <c r="K981" s="13"/>
      <c r="L981" s="242"/>
      <c r="M981" s="242"/>
      <c r="N981" s="242"/>
      <c r="O981" s="242"/>
      <c r="P981" s="242"/>
      <c r="Q981" s="242"/>
      <c r="R981" s="242"/>
      <c r="S981" s="242"/>
      <c r="T981" s="242"/>
      <c r="U981" s="242"/>
      <c r="V981" s="242"/>
      <c r="W981" s="242"/>
      <c r="X981" s="242"/>
      <c r="Y981" s="242"/>
      <c r="Z981" s="242"/>
      <c r="AA981" s="242"/>
    </row>
    <row r="982">
      <c r="A982" s="242"/>
      <c r="B982" s="242"/>
      <c r="C982" s="13"/>
      <c r="D982" s="242"/>
      <c r="E982" s="242"/>
      <c r="F982" s="242"/>
      <c r="G982" s="242"/>
      <c r="H982" s="13"/>
      <c r="I982" s="13"/>
      <c r="J982" s="13"/>
      <c r="K982" s="13"/>
      <c r="L982" s="242"/>
      <c r="M982" s="242"/>
      <c r="N982" s="242"/>
      <c r="O982" s="242"/>
      <c r="P982" s="242"/>
      <c r="Q982" s="242"/>
      <c r="R982" s="242"/>
      <c r="S982" s="242"/>
      <c r="T982" s="242"/>
      <c r="U982" s="242"/>
      <c r="V982" s="242"/>
      <c r="W982" s="242"/>
      <c r="X982" s="242"/>
      <c r="Y982" s="242"/>
      <c r="Z982" s="242"/>
      <c r="AA982" s="242"/>
    </row>
    <row r="983">
      <c r="A983" s="242"/>
      <c r="B983" s="242"/>
      <c r="C983" s="13"/>
      <c r="D983" s="242"/>
      <c r="E983" s="242"/>
      <c r="F983" s="242"/>
      <c r="G983" s="242"/>
      <c r="H983" s="13"/>
      <c r="I983" s="13"/>
      <c r="J983" s="13"/>
      <c r="K983" s="13"/>
      <c r="L983" s="242"/>
      <c r="M983" s="242"/>
      <c r="N983" s="242"/>
      <c r="O983" s="242"/>
      <c r="P983" s="242"/>
      <c r="Q983" s="242"/>
      <c r="R983" s="242"/>
      <c r="S983" s="242"/>
      <c r="T983" s="242"/>
      <c r="U983" s="242"/>
      <c r="V983" s="242"/>
      <c r="W983" s="242"/>
      <c r="X983" s="242"/>
      <c r="Y983" s="242"/>
      <c r="Z983" s="242"/>
      <c r="AA983" s="242"/>
    </row>
    <row r="984">
      <c r="A984" s="242"/>
      <c r="B984" s="242"/>
      <c r="C984" s="13"/>
      <c r="D984" s="242"/>
      <c r="E984" s="242"/>
      <c r="F984" s="242"/>
      <c r="G984" s="242"/>
      <c r="H984" s="13"/>
      <c r="I984" s="13"/>
      <c r="J984" s="13"/>
      <c r="K984" s="13"/>
      <c r="L984" s="242"/>
      <c r="M984" s="242"/>
      <c r="N984" s="242"/>
      <c r="O984" s="242"/>
      <c r="P984" s="242"/>
      <c r="Q984" s="242"/>
      <c r="R984" s="242"/>
      <c r="S984" s="242"/>
      <c r="T984" s="242"/>
      <c r="U984" s="242"/>
      <c r="V984" s="242"/>
      <c r="W984" s="242"/>
      <c r="X984" s="242"/>
      <c r="Y984" s="242"/>
      <c r="Z984" s="242"/>
      <c r="AA984" s="242"/>
    </row>
    <row r="985">
      <c r="A985" s="242"/>
      <c r="B985" s="242"/>
      <c r="C985" s="13"/>
      <c r="D985" s="242"/>
      <c r="E985" s="242"/>
      <c r="F985" s="242"/>
      <c r="G985" s="242"/>
      <c r="H985" s="13"/>
      <c r="I985" s="13"/>
      <c r="J985" s="13"/>
      <c r="K985" s="13"/>
      <c r="L985" s="242"/>
      <c r="M985" s="242"/>
      <c r="N985" s="242"/>
      <c r="O985" s="242"/>
      <c r="P985" s="242"/>
      <c r="Q985" s="242"/>
      <c r="R985" s="242"/>
      <c r="S985" s="242"/>
      <c r="T985" s="242"/>
      <c r="U985" s="242"/>
      <c r="V985" s="242"/>
      <c r="W985" s="242"/>
      <c r="X985" s="242"/>
      <c r="Y985" s="242"/>
      <c r="Z985" s="242"/>
      <c r="AA985" s="242"/>
    </row>
    <row r="986">
      <c r="A986" s="242"/>
      <c r="B986" s="242"/>
      <c r="C986" s="13"/>
      <c r="D986" s="242"/>
      <c r="E986" s="242"/>
      <c r="F986" s="242"/>
      <c r="G986" s="242"/>
      <c r="H986" s="13"/>
      <c r="I986" s="13"/>
      <c r="J986" s="13"/>
      <c r="K986" s="13"/>
      <c r="L986" s="242"/>
      <c r="M986" s="242"/>
      <c r="N986" s="242"/>
      <c r="O986" s="242"/>
      <c r="P986" s="242"/>
      <c r="Q986" s="242"/>
      <c r="R986" s="242"/>
      <c r="S986" s="242"/>
      <c r="T986" s="242"/>
      <c r="U986" s="242"/>
      <c r="V986" s="242"/>
      <c r="W986" s="242"/>
      <c r="X986" s="242"/>
      <c r="Y986" s="242"/>
      <c r="Z986" s="242"/>
      <c r="AA986" s="242"/>
    </row>
    <row r="987">
      <c r="A987" s="242"/>
      <c r="B987" s="242"/>
      <c r="C987" s="13"/>
      <c r="D987" s="242"/>
      <c r="E987" s="242"/>
      <c r="F987" s="242"/>
      <c r="G987" s="242"/>
      <c r="H987" s="13"/>
      <c r="I987" s="13"/>
      <c r="J987" s="13"/>
      <c r="K987" s="13"/>
      <c r="L987" s="242"/>
      <c r="M987" s="242"/>
      <c r="N987" s="242"/>
      <c r="O987" s="242"/>
      <c r="P987" s="242"/>
      <c r="Q987" s="242"/>
      <c r="R987" s="242"/>
      <c r="S987" s="242"/>
      <c r="T987" s="242"/>
      <c r="U987" s="242"/>
      <c r="V987" s="242"/>
      <c r="W987" s="242"/>
      <c r="X987" s="242"/>
      <c r="Y987" s="242"/>
      <c r="Z987" s="242"/>
      <c r="AA987" s="242"/>
    </row>
    <row r="988">
      <c r="A988" s="242"/>
      <c r="B988" s="242"/>
      <c r="C988" s="13"/>
      <c r="D988" s="242"/>
      <c r="E988" s="242"/>
      <c r="F988" s="242"/>
      <c r="G988" s="242"/>
      <c r="H988" s="13"/>
      <c r="I988" s="13"/>
      <c r="J988" s="13"/>
      <c r="K988" s="13"/>
      <c r="L988" s="242"/>
      <c r="M988" s="242"/>
      <c r="N988" s="242"/>
      <c r="O988" s="242"/>
      <c r="P988" s="242"/>
      <c r="Q988" s="242"/>
      <c r="R988" s="242"/>
      <c r="S988" s="242"/>
      <c r="T988" s="242"/>
      <c r="U988" s="242"/>
      <c r="V988" s="242"/>
      <c r="W988" s="242"/>
      <c r="X988" s="242"/>
      <c r="Y988" s="242"/>
      <c r="Z988" s="242"/>
      <c r="AA988" s="242"/>
    </row>
    <row r="989">
      <c r="A989" s="242"/>
      <c r="B989" s="242"/>
      <c r="C989" s="13"/>
      <c r="D989" s="242"/>
      <c r="E989" s="242"/>
      <c r="F989" s="242"/>
      <c r="G989" s="242"/>
      <c r="H989" s="13"/>
      <c r="I989" s="13"/>
      <c r="J989" s="13"/>
      <c r="K989" s="13"/>
      <c r="L989" s="242"/>
      <c r="M989" s="242"/>
      <c r="N989" s="242"/>
      <c r="O989" s="242"/>
      <c r="P989" s="242"/>
      <c r="Q989" s="242"/>
      <c r="R989" s="242"/>
      <c r="S989" s="242"/>
      <c r="T989" s="242"/>
      <c r="U989" s="242"/>
      <c r="V989" s="242"/>
      <c r="W989" s="242"/>
      <c r="X989" s="242"/>
      <c r="Y989" s="242"/>
      <c r="Z989" s="242"/>
      <c r="AA989" s="242"/>
    </row>
    <row r="990">
      <c r="A990" s="242"/>
      <c r="B990" s="242"/>
      <c r="C990" s="13"/>
      <c r="D990" s="242"/>
      <c r="E990" s="242"/>
      <c r="F990" s="242"/>
      <c r="G990" s="242"/>
      <c r="H990" s="13"/>
      <c r="I990" s="13"/>
      <c r="J990" s="13"/>
      <c r="K990" s="13"/>
      <c r="L990" s="242"/>
      <c r="M990" s="242"/>
      <c r="N990" s="242"/>
      <c r="O990" s="242"/>
      <c r="P990" s="242"/>
      <c r="Q990" s="242"/>
      <c r="R990" s="242"/>
      <c r="S990" s="242"/>
      <c r="T990" s="242"/>
      <c r="U990" s="242"/>
      <c r="V990" s="242"/>
      <c r="W990" s="242"/>
      <c r="X990" s="242"/>
      <c r="Y990" s="242"/>
      <c r="Z990" s="242"/>
      <c r="AA990" s="242"/>
    </row>
    <row r="991">
      <c r="A991" s="242"/>
      <c r="B991" s="242"/>
      <c r="C991" s="13"/>
      <c r="D991" s="242"/>
      <c r="E991" s="242"/>
      <c r="F991" s="242"/>
      <c r="G991" s="242"/>
      <c r="H991" s="13"/>
      <c r="I991" s="13"/>
      <c r="J991" s="13"/>
      <c r="K991" s="13"/>
      <c r="L991" s="242"/>
      <c r="M991" s="242"/>
      <c r="N991" s="242"/>
      <c r="O991" s="242"/>
      <c r="P991" s="242"/>
      <c r="Q991" s="242"/>
      <c r="R991" s="242"/>
      <c r="S991" s="242"/>
      <c r="T991" s="242"/>
      <c r="U991" s="242"/>
      <c r="V991" s="242"/>
      <c r="W991" s="242"/>
      <c r="X991" s="242"/>
      <c r="Y991" s="242"/>
      <c r="Z991" s="242"/>
      <c r="AA991" s="242"/>
    </row>
    <row r="992">
      <c r="A992" s="242"/>
      <c r="B992" s="242"/>
      <c r="C992" s="13"/>
      <c r="D992" s="242"/>
      <c r="E992" s="242"/>
      <c r="F992" s="242"/>
      <c r="G992" s="242"/>
      <c r="H992" s="13"/>
      <c r="I992" s="13"/>
      <c r="J992" s="13"/>
      <c r="K992" s="13"/>
      <c r="L992" s="242"/>
      <c r="M992" s="242"/>
      <c r="N992" s="242"/>
      <c r="O992" s="242"/>
      <c r="P992" s="242"/>
      <c r="Q992" s="242"/>
      <c r="R992" s="242"/>
      <c r="S992" s="242"/>
      <c r="T992" s="242"/>
      <c r="U992" s="242"/>
      <c r="V992" s="242"/>
      <c r="W992" s="242"/>
      <c r="X992" s="242"/>
      <c r="Y992" s="242"/>
      <c r="Z992" s="242"/>
      <c r="AA992" s="242"/>
    </row>
    <row r="993">
      <c r="A993" s="242"/>
      <c r="B993" s="242"/>
      <c r="C993" s="13"/>
      <c r="D993" s="242"/>
      <c r="E993" s="242"/>
      <c r="F993" s="242"/>
      <c r="G993" s="242"/>
      <c r="H993" s="13"/>
      <c r="I993" s="13"/>
      <c r="J993" s="13"/>
      <c r="K993" s="13"/>
      <c r="L993" s="242"/>
      <c r="M993" s="242"/>
      <c r="N993" s="242"/>
      <c r="O993" s="242"/>
      <c r="P993" s="242"/>
      <c r="Q993" s="242"/>
      <c r="R993" s="242"/>
      <c r="S993" s="242"/>
      <c r="T993" s="242"/>
      <c r="U993" s="242"/>
      <c r="V993" s="242"/>
      <c r="W993" s="242"/>
      <c r="X993" s="242"/>
      <c r="Y993" s="242"/>
      <c r="Z993" s="242"/>
      <c r="AA993" s="242"/>
    </row>
    <row r="994">
      <c r="A994" s="242"/>
      <c r="B994" s="242"/>
      <c r="C994" s="13"/>
      <c r="D994" s="242"/>
      <c r="E994" s="242"/>
      <c r="F994" s="242"/>
      <c r="G994" s="242"/>
      <c r="H994" s="13"/>
      <c r="I994" s="13"/>
      <c r="J994" s="13"/>
      <c r="K994" s="13"/>
      <c r="L994" s="242"/>
      <c r="M994" s="242"/>
      <c r="N994" s="242"/>
      <c r="O994" s="242"/>
      <c r="P994" s="242"/>
      <c r="Q994" s="242"/>
      <c r="R994" s="242"/>
      <c r="S994" s="242"/>
      <c r="T994" s="242"/>
      <c r="U994" s="242"/>
      <c r="V994" s="242"/>
      <c r="W994" s="242"/>
      <c r="X994" s="242"/>
      <c r="Y994" s="242"/>
      <c r="Z994" s="242"/>
      <c r="AA994" s="242"/>
    </row>
    <row r="995">
      <c r="A995" s="242"/>
      <c r="B995" s="242"/>
      <c r="C995" s="13"/>
      <c r="D995" s="242"/>
      <c r="E995" s="242"/>
      <c r="F995" s="242"/>
      <c r="G995" s="242"/>
      <c r="H995" s="13"/>
      <c r="I995" s="13"/>
      <c r="J995" s="13"/>
      <c r="K995" s="13"/>
      <c r="L995" s="242"/>
      <c r="M995" s="242"/>
      <c r="N995" s="242"/>
      <c r="O995" s="242"/>
      <c r="P995" s="242"/>
      <c r="Q995" s="242"/>
      <c r="R995" s="242"/>
      <c r="S995" s="242"/>
      <c r="T995" s="242"/>
      <c r="U995" s="242"/>
      <c r="V995" s="242"/>
      <c r="W995" s="242"/>
      <c r="X995" s="242"/>
      <c r="Y995" s="242"/>
      <c r="Z995" s="242"/>
      <c r="AA995" s="242"/>
    </row>
    <row r="996">
      <c r="A996" s="242"/>
      <c r="B996" s="242"/>
      <c r="C996" s="13"/>
      <c r="D996" s="242"/>
      <c r="E996" s="242"/>
      <c r="F996" s="242"/>
      <c r="G996" s="242"/>
      <c r="H996" s="13"/>
      <c r="I996" s="13"/>
      <c r="J996" s="13"/>
      <c r="K996" s="13"/>
      <c r="L996" s="242"/>
      <c r="M996" s="242"/>
      <c r="N996" s="242"/>
      <c r="O996" s="242"/>
      <c r="P996" s="242"/>
      <c r="Q996" s="242"/>
      <c r="R996" s="242"/>
      <c r="S996" s="242"/>
      <c r="T996" s="242"/>
      <c r="U996" s="242"/>
      <c r="V996" s="242"/>
      <c r="W996" s="242"/>
      <c r="X996" s="242"/>
      <c r="Y996" s="242"/>
      <c r="Z996" s="242"/>
      <c r="AA996" s="242"/>
    </row>
    <row r="997">
      <c r="A997" s="242"/>
      <c r="B997" s="242"/>
      <c r="C997" s="13"/>
      <c r="D997" s="242"/>
      <c r="E997" s="242"/>
      <c r="F997" s="242"/>
      <c r="G997" s="242"/>
      <c r="H997" s="13"/>
      <c r="I997" s="13"/>
      <c r="J997" s="13"/>
      <c r="K997" s="13"/>
      <c r="L997" s="242"/>
      <c r="M997" s="242"/>
      <c r="N997" s="242"/>
      <c r="O997" s="242"/>
      <c r="P997" s="242"/>
      <c r="Q997" s="242"/>
      <c r="R997" s="242"/>
      <c r="S997" s="242"/>
      <c r="T997" s="242"/>
      <c r="U997" s="242"/>
      <c r="V997" s="242"/>
      <c r="W997" s="242"/>
      <c r="X997" s="242"/>
      <c r="Y997" s="242"/>
      <c r="Z997" s="242"/>
      <c r="AA997" s="242"/>
    </row>
    <row r="998">
      <c r="A998" s="242"/>
      <c r="B998" s="242"/>
      <c r="C998" s="13"/>
      <c r="D998" s="242"/>
      <c r="E998" s="242"/>
      <c r="F998" s="242"/>
      <c r="G998" s="242"/>
      <c r="H998" s="13"/>
      <c r="I998" s="13"/>
      <c r="J998" s="13"/>
      <c r="K998" s="13"/>
      <c r="L998" s="242"/>
      <c r="M998" s="242"/>
      <c r="N998" s="242"/>
      <c r="O998" s="242"/>
      <c r="P998" s="242"/>
      <c r="Q998" s="242"/>
      <c r="R998" s="242"/>
      <c r="S998" s="242"/>
      <c r="T998" s="242"/>
      <c r="U998" s="242"/>
      <c r="V998" s="242"/>
      <c r="W998" s="242"/>
      <c r="X998" s="242"/>
      <c r="Y998" s="242"/>
      <c r="Z998" s="242"/>
      <c r="AA998" s="242"/>
    </row>
    <row r="999">
      <c r="A999" s="242"/>
      <c r="B999" s="242"/>
      <c r="C999" s="13"/>
      <c r="D999" s="242"/>
      <c r="E999" s="242"/>
      <c r="F999" s="242"/>
      <c r="G999" s="242"/>
      <c r="H999" s="13"/>
      <c r="I999" s="13"/>
      <c r="J999" s="13"/>
      <c r="K999" s="13"/>
      <c r="L999" s="242"/>
      <c r="M999" s="242"/>
      <c r="N999" s="242"/>
      <c r="O999" s="242"/>
      <c r="P999" s="242"/>
      <c r="Q999" s="242"/>
      <c r="R999" s="242"/>
      <c r="S999" s="242"/>
      <c r="T999" s="242"/>
      <c r="U999" s="242"/>
      <c r="V999" s="242"/>
      <c r="W999" s="242"/>
      <c r="X999" s="242"/>
      <c r="Y999" s="242"/>
      <c r="Z999" s="242"/>
      <c r="AA999" s="242"/>
    </row>
    <row r="1000">
      <c r="A1000" s="242"/>
      <c r="B1000" s="242"/>
      <c r="C1000" s="13"/>
      <c r="D1000" s="242"/>
      <c r="E1000" s="242"/>
      <c r="F1000" s="242"/>
      <c r="G1000" s="242"/>
      <c r="H1000" s="13"/>
      <c r="I1000" s="13"/>
      <c r="J1000" s="13"/>
      <c r="K1000" s="13"/>
      <c r="L1000" s="242"/>
      <c r="M1000" s="242"/>
      <c r="N1000" s="242"/>
      <c r="O1000" s="242"/>
      <c r="P1000" s="242"/>
      <c r="Q1000" s="242"/>
      <c r="R1000" s="242"/>
      <c r="S1000" s="242"/>
      <c r="T1000" s="242"/>
      <c r="U1000" s="242"/>
      <c r="V1000" s="242"/>
      <c r="W1000" s="242"/>
      <c r="X1000" s="242"/>
      <c r="Y1000" s="242"/>
      <c r="Z1000" s="242"/>
      <c r="AA1000" s="242"/>
    </row>
    <row r="1001">
      <c r="A1001" s="242"/>
      <c r="B1001" s="242"/>
      <c r="C1001" s="13"/>
      <c r="D1001" s="242"/>
      <c r="E1001" s="242"/>
      <c r="F1001" s="242"/>
      <c r="G1001" s="242"/>
      <c r="H1001" s="13"/>
      <c r="I1001" s="13"/>
      <c r="J1001" s="13"/>
      <c r="K1001" s="13"/>
      <c r="L1001" s="242"/>
      <c r="M1001" s="242"/>
      <c r="N1001" s="242"/>
      <c r="O1001" s="242"/>
      <c r="P1001" s="242"/>
      <c r="Q1001" s="242"/>
      <c r="R1001" s="242"/>
      <c r="S1001" s="242"/>
      <c r="T1001" s="242"/>
      <c r="U1001" s="242"/>
      <c r="V1001" s="242"/>
      <c r="W1001" s="242"/>
      <c r="X1001" s="242"/>
      <c r="Y1001" s="242"/>
      <c r="Z1001" s="242"/>
      <c r="AA1001" s="242"/>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